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saveExternalLinkValues="0"/>
  <mc:AlternateContent xmlns:mc="http://schemas.openxmlformats.org/markup-compatibility/2006">
    <mc:Choice Requires="x15">
      <x15ac:absPath xmlns:x15ac="http://schemas.microsoft.com/office/spreadsheetml/2010/11/ac" url="L:\Marketing\Product - Dynamics\Website\Jet Reports\Sample Reports\Jet Reports - Operational\"/>
    </mc:Choice>
  </mc:AlternateContent>
  <xr:revisionPtr revIDLastSave="0" documentId="13_ncr:1_{B2FEDAE7-2A93-46B1-9B2D-4A73A2388454}" xr6:coauthVersionLast="47" xr6:coauthVersionMax="47" xr10:uidLastSave="{00000000-0000-0000-0000-000000000000}"/>
  <bookViews>
    <workbookView xWindow="28680" yWindow="-120" windowWidth="29040" windowHeight="15840" firstSheet="1" activeTab="1" xr2:uid="{00000000-000D-0000-FFFF-FFFF00000000}"/>
  </bookViews>
  <sheets>
    <sheet name="Options" sheetId="1" state="hidden" r:id="rId1"/>
    <sheet name="AR KPIs" sheetId="189" r:id="rId2"/>
    <sheet name="Collection Performance Index" sheetId="2003" state="hidden" r:id="rId3"/>
    <sheet name="AR Aging" sheetId="210" r:id="rId4"/>
    <sheet name="Sheet73" sheetId="2341" state="veryHidden" r:id="rId5"/>
    <sheet name="Sheet74" sheetId="2342" state="veryHidden" r:id="rId6"/>
    <sheet name="Sheet75" sheetId="2343" state="veryHidden" r:id="rId7"/>
    <sheet name="Sheet76" sheetId="2344" state="veryHidden" r:id="rId8"/>
    <sheet name="Sheet77" sheetId="2345" state="veryHidden" r:id="rId9"/>
    <sheet name="Sheet78" sheetId="2346" state="veryHidden" r:id="rId10"/>
    <sheet name="Sheet79" sheetId="2347" state="veryHidden" r:id="rId11"/>
    <sheet name="Sheet80" sheetId="2348" state="veryHidden" r:id="rId12"/>
    <sheet name="Sheet81" sheetId="2349" state="veryHidden" r:id="rId13"/>
    <sheet name="Sheet82" sheetId="2350" state="veryHidden" r:id="rId14"/>
    <sheet name="Sheet83" sheetId="2351" state="veryHidden" r:id="rId15"/>
    <sheet name="Sheet84" sheetId="2352" state="veryHidden" r:id="rId16"/>
  </sheets>
  <definedNames>
    <definedName name="AgingDate">Options!$C$7</definedName>
    <definedName name="AgingPeriod">Options!$C$8</definedName>
    <definedName name="AR_121to150">'AR KPIs'!$I$16</definedName>
    <definedName name="AR_1to30">'AR KPIs'!$I$12</definedName>
    <definedName name="AR_31to60">'AR KPIs'!$I$13</definedName>
    <definedName name="AR_61to90">'AR KPIs'!$I$14</definedName>
    <definedName name="AR_91to120">'AR KPIs'!$I$15</definedName>
    <definedName name="AR_Current">'AR KPIs'!$I$11</definedName>
    <definedName name="AR_PastDue">'AR KPIs'!$I$17</definedName>
    <definedName name="AR_Period">'AR KPIs'!$C$10</definedName>
    <definedName name="AR_Total">'AR KPIs'!$I$18</definedName>
    <definedName name="ARInvCount">'AR Aging'!$L$6564</definedName>
    <definedName name="CustomerNo">Options!$C$6</definedName>
    <definedName name="EndDate">'AR Aging'!$D$16</definedName>
    <definedName name="_xlnm.Print_Area" localSheetId="3">'AR Aging'!$I$4:$V$6568</definedName>
    <definedName name="_xlnm.Print_Area" localSheetId="1">'AR KPIs'!$A$1:$W$50</definedName>
    <definedName name="_xlnm.Print_Titles" localSheetId="3">'AR Aging'!$21:$21</definedName>
    <definedName name="StartDate">'AR Aging'!$D$15</definedName>
    <definedName name="TotalAR">'AR Aging'!$O$6564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 l="1"/>
  <c r="C6" i="1"/>
  <c r="D6" i="1"/>
  <c r="C2" i="189"/>
  <c r="I8" i="189" s="1"/>
  <c r="C4" i="189"/>
  <c r="C5" i="189" s="1"/>
  <c r="C10" i="189"/>
  <c r="D10" i="189"/>
  <c r="C11" i="189"/>
  <c r="D11" i="189"/>
  <c r="H11" i="189"/>
  <c r="K11" i="189"/>
  <c r="K18" i="189" s="1"/>
  <c r="K12" i="189"/>
  <c r="K13" i="189"/>
  <c r="K14" i="189"/>
  <c r="K15" i="189"/>
  <c r="C16" i="189"/>
  <c r="D16" i="189"/>
  <c r="C17" i="189"/>
  <c r="D17" i="189"/>
  <c r="K17" i="189"/>
  <c r="B22" i="189"/>
  <c r="F22" i="189"/>
  <c r="G22" i="189"/>
  <c r="I22" i="189"/>
  <c r="B23" i="189"/>
  <c r="F23" i="189"/>
  <c r="G23" i="189"/>
  <c r="I23" i="189"/>
  <c r="B24" i="189"/>
  <c r="F24" i="189"/>
  <c r="G24" i="189"/>
  <c r="I24" i="189"/>
  <c r="B25" i="189"/>
  <c r="F25" i="189"/>
  <c r="G25" i="189"/>
  <c r="I25" i="189"/>
  <c r="B26" i="189"/>
  <c r="F26" i="189"/>
  <c r="G26" i="189"/>
  <c r="I26" i="189"/>
  <c r="B27" i="189"/>
  <c r="F27" i="189"/>
  <c r="G27" i="189"/>
  <c r="I27" i="189"/>
  <c r="B28" i="189"/>
  <c r="F28" i="189"/>
  <c r="G28" i="189"/>
  <c r="I28" i="189"/>
  <c r="B29" i="189"/>
  <c r="F29" i="189"/>
  <c r="G29" i="189"/>
  <c r="I29" i="189"/>
  <c r="L31" i="189"/>
  <c r="B35" i="189"/>
  <c r="F35" i="189"/>
  <c r="G35" i="189"/>
  <c r="I35" i="189"/>
  <c r="B36" i="189"/>
  <c r="F36" i="189"/>
  <c r="G36" i="189"/>
  <c r="I36" i="189"/>
  <c r="B37" i="189"/>
  <c r="F37" i="189"/>
  <c r="G37" i="189"/>
  <c r="I37" i="189"/>
  <c r="B38" i="189"/>
  <c r="F38" i="189"/>
  <c r="G38" i="189"/>
  <c r="I38" i="189"/>
  <c r="B39" i="189"/>
  <c r="F39" i="189"/>
  <c r="G39" i="189"/>
  <c r="I39" i="189"/>
  <c r="B40" i="189"/>
  <c r="F40" i="189"/>
  <c r="G40" i="189"/>
  <c r="I40" i="189"/>
  <c r="B41" i="189"/>
  <c r="F41" i="189"/>
  <c r="G41" i="189"/>
  <c r="I41" i="189"/>
  <c r="B42" i="189"/>
  <c r="F42" i="189"/>
  <c r="G42" i="189"/>
  <c r="I42" i="189"/>
  <c r="J8" i="210"/>
  <c r="J9" i="210"/>
  <c r="D15" i="210"/>
  <c r="N30" i="210" s="1"/>
  <c r="D16" i="210"/>
  <c r="D17" i="210"/>
  <c r="P18" i="210"/>
  <c r="P28" i="210" s="1"/>
  <c r="Q18" i="210"/>
  <c r="Q16" i="210" s="1"/>
  <c r="Q54" i="210" s="1"/>
  <c r="O19" i="210"/>
  <c r="P19" i="210"/>
  <c r="Q19" i="210"/>
  <c r="R19" i="210"/>
  <c r="S19" i="210"/>
  <c r="T19" i="210"/>
  <c r="I21" i="210"/>
  <c r="I22" i="210"/>
  <c r="C24" i="210"/>
  <c r="C25" i="210" s="1"/>
  <c r="C26" i="210" s="1"/>
  <c r="H24" i="210"/>
  <c r="E24" i="210" s="1"/>
  <c r="E25" i="210" s="1"/>
  <c r="E26" i="210" s="1"/>
  <c r="E28" i="210" s="1"/>
  <c r="E30" i="210" s="1"/>
  <c r="E32" i="210" s="1"/>
  <c r="E34" i="210" s="1"/>
  <c r="E36" i="210" s="1"/>
  <c r="E38" i="210" s="1"/>
  <c r="E40" i="210" s="1"/>
  <c r="E42" i="210" s="1"/>
  <c r="E44" i="210" s="1"/>
  <c r="E46" i="210" s="1"/>
  <c r="E48" i="210" s="1"/>
  <c r="E50" i="210" s="1"/>
  <c r="E52" i="210" s="1"/>
  <c r="E54" i="210" s="1"/>
  <c r="E56" i="210" s="1"/>
  <c r="E58" i="210" s="1"/>
  <c r="E60" i="210" s="1"/>
  <c r="E62" i="210" s="1"/>
  <c r="E64" i="210" s="1"/>
  <c r="E66" i="210" s="1"/>
  <c r="E68" i="210" s="1"/>
  <c r="E70" i="210" s="1"/>
  <c r="E72" i="210" s="1"/>
  <c r="I24" i="210"/>
  <c r="J24" i="210"/>
  <c r="I25" i="210"/>
  <c r="I26" i="210"/>
  <c r="D28" i="210"/>
  <c r="K28" i="210"/>
  <c r="L28" i="210"/>
  <c r="D29" i="210"/>
  <c r="E29" i="210"/>
  <c r="K29" i="210"/>
  <c r="L29" i="210"/>
  <c r="N29" i="210"/>
  <c r="D30" i="210"/>
  <c r="K30" i="210"/>
  <c r="L30" i="210"/>
  <c r="D31" i="210"/>
  <c r="E31" i="210"/>
  <c r="K31" i="210"/>
  <c r="L31" i="210"/>
  <c r="N31" i="210"/>
  <c r="D32" i="210"/>
  <c r="K32" i="210"/>
  <c r="L32" i="210"/>
  <c r="N32" i="210"/>
  <c r="D33" i="210"/>
  <c r="E33" i="210"/>
  <c r="E35" i="210" s="1"/>
  <c r="E37" i="210" s="1"/>
  <c r="E39" i="210" s="1"/>
  <c r="E41" i="210" s="1"/>
  <c r="E43" i="210" s="1"/>
  <c r="E45" i="210" s="1"/>
  <c r="E47" i="210" s="1"/>
  <c r="E49" i="210" s="1"/>
  <c r="E51" i="210" s="1"/>
  <c r="E53" i="210" s="1"/>
  <c r="E55" i="210" s="1"/>
  <c r="E57" i="210" s="1"/>
  <c r="E59" i="210" s="1"/>
  <c r="E61" i="210" s="1"/>
  <c r="E63" i="210" s="1"/>
  <c r="E65" i="210" s="1"/>
  <c r="E67" i="210" s="1"/>
  <c r="E69" i="210" s="1"/>
  <c r="E71" i="210" s="1"/>
  <c r="E73" i="210" s="1"/>
  <c r="K33" i="210"/>
  <c r="L33" i="210"/>
  <c r="N33" i="210"/>
  <c r="D34" i="210"/>
  <c r="K34" i="210"/>
  <c r="L34" i="210"/>
  <c r="N34" i="210"/>
  <c r="D35" i="210"/>
  <c r="K35" i="210"/>
  <c r="L35" i="210"/>
  <c r="D36" i="210"/>
  <c r="K36" i="210"/>
  <c r="L36" i="210"/>
  <c r="D37" i="210"/>
  <c r="K37" i="210"/>
  <c r="L37" i="210"/>
  <c r="D38" i="210"/>
  <c r="K38" i="210"/>
  <c r="L38" i="210"/>
  <c r="D39" i="210"/>
  <c r="K39" i="210"/>
  <c r="L39" i="210"/>
  <c r="N39" i="210"/>
  <c r="D40" i="210"/>
  <c r="K40" i="210"/>
  <c r="L40" i="210"/>
  <c r="N40" i="210"/>
  <c r="D41" i="210"/>
  <c r="K41" i="210"/>
  <c r="L41" i="210"/>
  <c r="N41" i="210"/>
  <c r="D42" i="210"/>
  <c r="K42" i="210"/>
  <c r="L42" i="210"/>
  <c r="N42" i="210"/>
  <c r="D43" i="210"/>
  <c r="K43" i="210"/>
  <c r="L43" i="210"/>
  <c r="N43" i="210"/>
  <c r="D44" i="210"/>
  <c r="K44" i="210"/>
  <c r="L44" i="210"/>
  <c r="D45" i="210"/>
  <c r="K45" i="210"/>
  <c r="L45" i="210"/>
  <c r="N45" i="210"/>
  <c r="D46" i="210"/>
  <c r="K46" i="210"/>
  <c r="L46" i="210"/>
  <c r="D47" i="210"/>
  <c r="K47" i="210"/>
  <c r="L47" i="210"/>
  <c r="N47" i="210"/>
  <c r="D48" i="210"/>
  <c r="K48" i="210"/>
  <c r="L48" i="210"/>
  <c r="N48" i="210"/>
  <c r="D49" i="210"/>
  <c r="K49" i="210"/>
  <c r="L49" i="210"/>
  <c r="N49" i="210"/>
  <c r="P49" i="210"/>
  <c r="D50" i="210"/>
  <c r="K50" i="210"/>
  <c r="L50" i="210"/>
  <c r="N50" i="210"/>
  <c r="D51" i="210"/>
  <c r="K51" i="210"/>
  <c r="L51" i="210"/>
  <c r="N51" i="210"/>
  <c r="D52" i="210"/>
  <c r="K52" i="210"/>
  <c r="L52" i="210"/>
  <c r="D53" i="210"/>
  <c r="K53" i="210"/>
  <c r="L53" i="210"/>
  <c r="N53" i="210"/>
  <c r="D54" i="210"/>
  <c r="K54" i="210"/>
  <c r="L54" i="210"/>
  <c r="D55" i="210"/>
  <c r="K55" i="210"/>
  <c r="L55" i="210"/>
  <c r="N55" i="210"/>
  <c r="D56" i="210"/>
  <c r="K56" i="210"/>
  <c r="L56" i="210"/>
  <c r="N56" i="210"/>
  <c r="D57" i="210"/>
  <c r="K57" i="210"/>
  <c r="L57" i="210"/>
  <c r="N57" i="210"/>
  <c r="P57" i="210"/>
  <c r="D58" i="210"/>
  <c r="K58" i="210"/>
  <c r="L58" i="210"/>
  <c r="N58" i="210"/>
  <c r="D59" i="210"/>
  <c r="K59" i="210"/>
  <c r="L59" i="210"/>
  <c r="N59" i="210"/>
  <c r="D60" i="210"/>
  <c r="K60" i="210"/>
  <c r="L60" i="210"/>
  <c r="P60" i="210"/>
  <c r="D61" i="210"/>
  <c r="K61" i="210"/>
  <c r="L61" i="210"/>
  <c r="N61" i="210"/>
  <c r="D62" i="210"/>
  <c r="K62" i="210"/>
  <c r="L62" i="210"/>
  <c r="N62" i="210"/>
  <c r="Q62" i="210"/>
  <c r="D63" i="210"/>
  <c r="K63" i="210"/>
  <c r="L63" i="210"/>
  <c r="N63" i="210"/>
  <c r="D64" i="210"/>
  <c r="K64" i="210"/>
  <c r="L64" i="210"/>
  <c r="N64" i="210"/>
  <c r="D65" i="210"/>
  <c r="K65" i="210"/>
  <c r="L65" i="210"/>
  <c r="N65" i="210"/>
  <c r="P65" i="210"/>
  <c r="D66" i="210"/>
  <c r="K66" i="210"/>
  <c r="L66" i="210"/>
  <c r="N66" i="210"/>
  <c r="P66" i="210"/>
  <c r="D67" i="210"/>
  <c r="K67" i="210"/>
  <c r="L67" i="210"/>
  <c r="N67" i="210"/>
  <c r="P67" i="210"/>
  <c r="D68" i="210"/>
  <c r="K68" i="210"/>
  <c r="L68" i="210"/>
  <c r="N68" i="210"/>
  <c r="P68" i="210"/>
  <c r="D69" i="210"/>
  <c r="K69" i="210"/>
  <c r="L69" i="210"/>
  <c r="N69" i="210"/>
  <c r="P69" i="210"/>
  <c r="D70" i="210"/>
  <c r="K70" i="210"/>
  <c r="L70" i="210"/>
  <c r="N70" i="210"/>
  <c r="Q70" i="210"/>
  <c r="D71" i="210"/>
  <c r="K71" i="210"/>
  <c r="L71" i="210"/>
  <c r="N71" i="210"/>
  <c r="P71" i="210"/>
  <c r="D72" i="210"/>
  <c r="K72" i="210"/>
  <c r="L72" i="210"/>
  <c r="N72" i="210"/>
  <c r="Q72" i="210"/>
  <c r="D73" i="210"/>
  <c r="K73" i="210"/>
  <c r="L73" i="210"/>
  <c r="N73" i="210"/>
  <c r="P73" i="210"/>
  <c r="C76" i="210"/>
  <c r="C77" i="210" s="1"/>
  <c r="C78" i="210" s="1"/>
  <c r="H76" i="210"/>
  <c r="E76" i="210" s="1"/>
  <c r="E77" i="210" s="1"/>
  <c r="E78" i="210" s="1"/>
  <c r="E80" i="210" s="1"/>
  <c r="E82" i="210" s="1"/>
  <c r="E84" i="210" s="1"/>
  <c r="E86" i="210" s="1"/>
  <c r="E88" i="210" s="1"/>
  <c r="E90" i="210" s="1"/>
  <c r="E92" i="210" s="1"/>
  <c r="E94" i="210" s="1"/>
  <c r="E96" i="210" s="1"/>
  <c r="E98" i="210" s="1"/>
  <c r="E100" i="210" s="1"/>
  <c r="E102" i="210" s="1"/>
  <c r="E104" i="210" s="1"/>
  <c r="E106" i="210" s="1"/>
  <c r="E108" i="210" s="1"/>
  <c r="E110" i="210" s="1"/>
  <c r="E112" i="210" s="1"/>
  <c r="E114" i="210" s="1"/>
  <c r="E116" i="210" s="1"/>
  <c r="E118" i="210" s="1"/>
  <c r="E120" i="210" s="1"/>
  <c r="E122" i="210" s="1"/>
  <c r="E124" i="210" s="1"/>
  <c r="E126" i="210" s="1"/>
  <c r="E128" i="210" s="1"/>
  <c r="E130" i="210" s="1"/>
  <c r="E132" i="210" s="1"/>
  <c r="I76" i="210"/>
  <c r="J76" i="210"/>
  <c r="I77" i="210"/>
  <c r="I78" i="210"/>
  <c r="D80" i="210"/>
  <c r="K80" i="210"/>
  <c r="L80" i="210"/>
  <c r="N80" i="210"/>
  <c r="Q80" i="210"/>
  <c r="D81" i="210"/>
  <c r="E81" i="210"/>
  <c r="E83" i="210" s="1"/>
  <c r="E85" i="210" s="1"/>
  <c r="E87" i="210" s="1"/>
  <c r="E89" i="210" s="1"/>
  <c r="E91" i="210" s="1"/>
  <c r="E93" i="210" s="1"/>
  <c r="E95" i="210" s="1"/>
  <c r="E97" i="210" s="1"/>
  <c r="E99" i="210" s="1"/>
  <c r="E101" i="210" s="1"/>
  <c r="E103" i="210" s="1"/>
  <c r="E105" i="210" s="1"/>
  <c r="E107" i="210" s="1"/>
  <c r="E109" i="210" s="1"/>
  <c r="E111" i="210" s="1"/>
  <c r="E113" i="210" s="1"/>
  <c r="K81" i="210"/>
  <c r="L81" i="210"/>
  <c r="N81" i="210"/>
  <c r="P81" i="210"/>
  <c r="D82" i="210"/>
  <c r="K82" i="210"/>
  <c r="L82" i="210"/>
  <c r="N82" i="210"/>
  <c r="P82" i="210"/>
  <c r="D83" i="210"/>
  <c r="K83" i="210"/>
  <c r="L83" i="210"/>
  <c r="N83" i="210"/>
  <c r="P83" i="210"/>
  <c r="D84" i="210"/>
  <c r="K84" i="210"/>
  <c r="L84" i="210"/>
  <c r="N84" i="210"/>
  <c r="P84" i="210"/>
  <c r="D85" i="210"/>
  <c r="K85" i="210"/>
  <c r="L85" i="210"/>
  <c r="N85" i="210"/>
  <c r="P85" i="210"/>
  <c r="D86" i="210"/>
  <c r="K86" i="210"/>
  <c r="L86" i="210"/>
  <c r="N86" i="210"/>
  <c r="Q86" i="210"/>
  <c r="D87" i="210"/>
  <c r="K87" i="210"/>
  <c r="L87" i="210"/>
  <c r="N87" i="210"/>
  <c r="P87" i="210"/>
  <c r="D88" i="210"/>
  <c r="K88" i="210"/>
  <c r="L88" i="210"/>
  <c r="N88" i="210"/>
  <c r="Q88" i="210"/>
  <c r="D89" i="210"/>
  <c r="K89" i="210"/>
  <c r="L89" i="210"/>
  <c r="N89" i="210"/>
  <c r="P89" i="210"/>
  <c r="Q89" i="210"/>
  <c r="D90" i="210"/>
  <c r="K90" i="210"/>
  <c r="L90" i="210"/>
  <c r="N90" i="210"/>
  <c r="P90" i="210"/>
  <c r="D91" i="210"/>
  <c r="K91" i="210"/>
  <c r="L91" i="210"/>
  <c r="N91" i="210"/>
  <c r="P91" i="210"/>
  <c r="D92" i="210"/>
  <c r="K92" i="210"/>
  <c r="L92" i="210"/>
  <c r="N92" i="210"/>
  <c r="P92" i="210"/>
  <c r="Q92" i="210"/>
  <c r="D93" i="210"/>
  <c r="K93" i="210"/>
  <c r="L93" i="210"/>
  <c r="N93" i="210"/>
  <c r="P93" i="210"/>
  <c r="D94" i="210"/>
  <c r="K94" i="210"/>
  <c r="L94" i="210"/>
  <c r="N94" i="210"/>
  <c r="Q94" i="210"/>
  <c r="D95" i="210"/>
  <c r="K95" i="210"/>
  <c r="L95" i="210"/>
  <c r="N95" i="210"/>
  <c r="P95" i="210"/>
  <c r="Q95" i="210"/>
  <c r="D96" i="210"/>
  <c r="K96" i="210"/>
  <c r="L96" i="210"/>
  <c r="N96" i="210"/>
  <c r="Q96" i="210"/>
  <c r="D97" i="210"/>
  <c r="K97" i="210"/>
  <c r="L97" i="210"/>
  <c r="N97" i="210"/>
  <c r="P97" i="210"/>
  <c r="Q97" i="210"/>
  <c r="D98" i="210"/>
  <c r="K98" i="210"/>
  <c r="L98" i="210"/>
  <c r="N98" i="210"/>
  <c r="P98" i="210"/>
  <c r="Q98" i="210"/>
  <c r="D99" i="210"/>
  <c r="K99" i="210"/>
  <c r="L99" i="210"/>
  <c r="N99" i="210"/>
  <c r="P99" i="210"/>
  <c r="D100" i="210"/>
  <c r="K100" i="210"/>
  <c r="L100" i="210"/>
  <c r="N100" i="210"/>
  <c r="P100" i="210"/>
  <c r="Q100" i="210"/>
  <c r="D101" i="210"/>
  <c r="K101" i="210"/>
  <c r="L101" i="210"/>
  <c r="N101" i="210"/>
  <c r="P101" i="210"/>
  <c r="D102" i="210"/>
  <c r="K102" i="210"/>
  <c r="L102" i="210"/>
  <c r="N102" i="210"/>
  <c r="P102" i="210"/>
  <c r="Q102" i="210"/>
  <c r="D103" i="210"/>
  <c r="K103" i="210"/>
  <c r="L103" i="210"/>
  <c r="N103" i="210"/>
  <c r="P103" i="210"/>
  <c r="Q103" i="210"/>
  <c r="D104" i="210"/>
  <c r="K104" i="210"/>
  <c r="L104" i="210"/>
  <c r="N104" i="210"/>
  <c r="P104" i="210"/>
  <c r="Q104" i="210"/>
  <c r="D105" i="210"/>
  <c r="K105" i="210"/>
  <c r="L105" i="210"/>
  <c r="N105" i="210"/>
  <c r="P105" i="210"/>
  <c r="Q105" i="210"/>
  <c r="D106" i="210"/>
  <c r="K106" i="210"/>
  <c r="L106" i="210"/>
  <c r="N106" i="210"/>
  <c r="P106" i="210"/>
  <c r="Q106" i="210"/>
  <c r="D107" i="210"/>
  <c r="K107" i="210"/>
  <c r="L107" i="210"/>
  <c r="N107" i="210"/>
  <c r="P107" i="210"/>
  <c r="D108" i="210"/>
  <c r="K108" i="210"/>
  <c r="L108" i="210"/>
  <c r="N108" i="210"/>
  <c r="P108" i="210"/>
  <c r="Q108" i="210"/>
  <c r="D109" i="210"/>
  <c r="K109" i="210"/>
  <c r="L109" i="210"/>
  <c r="N109" i="210"/>
  <c r="P109" i="210"/>
  <c r="D110" i="210"/>
  <c r="K110" i="210"/>
  <c r="L110" i="210"/>
  <c r="N110" i="210"/>
  <c r="P110" i="210"/>
  <c r="Q110" i="210"/>
  <c r="D111" i="210"/>
  <c r="K111" i="210"/>
  <c r="L111" i="210"/>
  <c r="N111" i="210"/>
  <c r="P111" i="210"/>
  <c r="Q111" i="210"/>
  <c r="D112" i="210"/>
  <c r="K112" i="210"/>
  <c r="L112" i="210"/>
  <c r="N112" i="210"/>
  <c r="P112" i="210"/>
  <c r="Q112" i="210"/>
  <c r="D113" i="210"/>
  <c r="K113" i="210"/>
  <c r="L113" i="210"/>
  <c r="N113" i="210"/>
  <c r="P113" i="210"/>
  <c r="Q113" i="210"/>
  <c r="D114" i="210"/>
  <c r="K114" i="210"/>
  <c r="L114" i="210"/>
  <c r="N114" i="210"/>
  <c r="P114" i="210"/>
  <c r="Q114" i="210"/>
  <c r="D115" i="210"/>
  <c r="E115" i="210"/>
  <c r="E117" i="210" s="1"/>
  <c r="E119" i="210" s="1"/>
  <c r="E121" i="210" s="1"/>
  <c r="E123" i="210" s="1"/>
  <c r="E125" i="210" s="1"/>
  <c r="E127" i="210" s="1"/>
  <c r="E129" i="210" s="1"/>
  <c r="E131" i="210" s="1"/>
  <c r="E133" i="210" s="1"/>
  <c r="K115" i="210"/>
  <c r="L115" i="210"/>
  <c r="N115" i="210"/>
  <c r="P115" i="210"/>
  <c r="D116" i="210"/>
  <c r="K116" i="210"/>
  <c r="L116" i="210"/>
  <c r="N116" i="210"/>
  <c r="P116" i="210"/>
  <c r="Q116" i="210"/>
  <c r="D117" i="210"/>
  <c r="K117" i="210"/>
  <c r="L117" i="210"/>
  <c r="N117" i="210"/>
  <c r="P117" i="210"/>
  <c r="D118" i="210"/>
  <c r="K118" i="210"/>
  <c r="L118" i="210"/>
  <c r="N118" i="210"/>
  <c r="P118" i="210"/>
  <c r="Q118" i="210"/>
  <c r="D119" i="210"/>
  <c r="K119" i="210"/>
  <c r="L119" i="210"/>
  <c r="N119" i="210"/>
  <c r="P119" i="210"/>
  <c r="Q119" i="210"/>
  <c r="D120" i="210"/>
  <c r="K120" i="210"/>
  <c r="L120" i="210"/>
  <c r="N120" i="210"/>
  <c r="P120" i="210"/>
  <c r="Q120" i="210"/>
  <c r="D121" i="210"/>
  <c r="K121" i="210"/>
  <c r="L121" i="210"/>
  <c r="N121" i="210"/>
  <c r="P121" i="210"/>
  <c r="Q121" i="210"/>
  <c r="D122" i="210"/>
  <c r="K122" i="210"/>
  <c r="L122" i="210"/>
  <c r="N122" i="210"/>
  <c r="P122" i="210"/>
  <c r="Q122" i="210"/>
  <c r="D123" i="210"/>
  <c r="K123" i="210"/>
  <c r="L123" i="210"/>
  <c r="N123" i="210"/>
  <c r="P123" i="210"/>
  <c r="Q123" i="210"/>
  <c r="D124" i="210"/>
  <c r="K124" i="210"/>
  <c r="L124" i="210"/>
  <c r="N124" i="210"/>
  <c r="P124" i="210"/>
  <c r="Q124" i="210"/>
  <c r="D125" i="210"/>
  <c r="K125" i="210"/>
  <c r="L125" i="210"/>
  <c r="N125" i="210"/>
  <c r="P125" i="210"/>
  <c r="Q125" i="210"/>
  <c r="D126" i="210"/>
  <c r="K126" i="210"/>
  <c r="L126" i="210"/>
  <c r="N126" i="210"/>
  <c r="P126" i="210"/>
  <c r="Q126" i="210"/>
  <c r="D127" i="210"/>
  <c r="K127" i="210"/>
  <c r="L127" i="210"/>
  <c r="N127" i="210"/>
  <c r="P127" i="210"/>
  <c r="Q127" i="210"/>
  <c r="D128" i="210"/>
  <c r="K128" i="210"/>
  <c r="L128" i="210"/>
  <c r="N128" i="210"/>
  <c r="P128" i="210"/>
  <c r="Q128" i="210"/>
  <c r="D129" i="210"/>
  <c r="K129" i="210"/>
  <c r="L129" i="210"/>
  <c r="N129" i="210"/>
  <c r="P129" i="210"/>
  <c r="Q129" i="210"/>
  <c r="D130" i="210"/>
  <c r="K130" i="210"/>
  <c r="L130" i="210"/>
  <c r="N130" i="210"/>
  <c r="P130" i="210"/>
  <c r="Q130" i="210"/>
  <c r="D131" i="210"/>
  <c r="K131" i="210"/>
  <c r="L131" i="210"/>
  <c r="N131" i="210"/>
  <c r="P131" i="210"/>
  <c r="Q131" i="210"/>
  <c r="D132" i="210"/>
  <c r="K132" i="210"/>
  <c r="L132" i="210"/>
  <c r="N132" i="210"/>
  <c r="P132" i="210"/>
  <c r="Q132" i="210"/>
  <c r="D133" i="210"/>
  <c r="K133" i="210"/>
  <c r="L133" i="210"/>
  <c r="N133" i="210"/>
  <c r="P133" i="210"/>
  <c r="Q133" i="210"/>
  <c r="C136" i="210"/>
  <c r="C137" i="210" s="1"/>
  <c r="C138" i="210" s="1"/>
  <c r="E136" i="210"/>
  <c r="H136" i="210"/>
  <c r="I136" i="210"/>
  <c r="J136" i="210"/>
  <c r="E137" i="210"/>
  <c r="I137" i="210"/>
  <c r="E138" i="210"/>
  <c r="E140" i="210" s="1"/>
  <c r="E142" i="210" s="1"/>
  <c r="E144" i="210" s="1"/>
  <c r="E146" i="210" s="1"/>
  <c r="E148" i="210" s="1"/>
  <c r="E150" i="210" s="1"/>
  <c r="E152" i="210" s="1"/>
  <c r="E154" i="210" s="1"/>
  <c r="E156" i="210" s="1"/>
  <c r="E158" i="210" s="1"/>
  <c r="I138" i="210"/>
  <c r="D140" i="210"/>
  <c r="K140" i="210"/>
  <c r="L140" i="210"/>
  <c r="N140" i="210"/>
  <c r="P140" i="210"/>
  <c r="Q140" i="210"/>
  <c r="D141" i="210"/>
  <c r="E141" i="210"/>
  <c r="E143" i="210" s="1"/>
  <c r="E145" i="210" s="1"/>
  <c r="K141" i="210"/>
  <c r="L141" i="210"/>
  <c r="N141" i="210"/>
  <c r="P141" i="210"/>
  <c r="Q141" i="210"/>
  <c r="D142" i="210"/>
  <c r="K142" i="210"/>
  <c r="L142" i="210"/>
  <c r="N142" i="210"/>
  <c r="P142" i="210"/>
  <c r="Q142" i="210"/>
  <c r="D143" i="210"/>
  <c r="K143" i="210"/>
  <c r="L143" i="210"/>
  <c r="N143" i="210"/>
  <c r="P143" i="210"/>
  <c r="Q143" i="210"/>
  <c r="D144" i="210"/>
  <c r="K144" i="210"/>
  <c r="L144" i="210"/>
  <c r="N144" i="210"/>
  <c r="P144" i="210"/>
  <c r="Q144" i="210"/>
  <c r="D145" i="210"/>
  <c r="K145" i="210"/>
  <c r="L145" i="210"/>
  <c r="N145" i="210"/>
  <c r="P145" i="210"/>
  <c r="Q145" i="210"/>
  <c r="D146" i="210"/>
  <c r="K146" i="210"/>
  <c r="L146" i="210"/>
  <c r="N146" i="210"/>
  <c r="P146" i="210"/>
  <c r="Q146" i="210"/>
  <c r="D147" i="210"/>
  <c r="E147" i="210"/>
  <c r="E149" i="210" s="1"/>
  <c r="E151" i="210" s="1"/>
  <c r="E153" i="210" s="1"/>
  <c r="E155" i="210" s="1"/>
  <c r="E157" i="210" s="1"/>
  <c r="E159" i="210" s="1"/>
  <c r="K147" i="210"/>
  <c r="L147" i="210"/>
  <c r="N147" i="210"/>
  <c r="P147" i="210"/>
  <c r="Q147" i="210"/>
  <c r="D148" i="210"/>
  <c r="K148" i="210"/>
  <c r="L148" i="210"/>
  <c r="N148" i="210"/>
  <c r="P148" i="210"/>
  <c r="Q148" i="210"/>
  <c r="D149" i="210"/>
  <c r="K149" i="210"/>
  <c r="L149" i="210"/>
  <c r="N149" i="210"/>
  <c r="P149" i="210"/>
  <c r="Q149" i="210"/>
  <c r="D150" i="210"/>
  <c r="K150" i="210"/>
  <c r="L150" i="210"/>
  <c r="N150" i="210"/>
  <c r="P150" i="210"/>
  <c r="Q150" i="210"/>
  <c r="D151" i="210"/>
  <c r="K151" i="210"/>
  <c r="L151" i="210"/>
  <c r="N151" i="210"/>
  <c r="P151" i="210"/>
  <c r="Q151" i="210"/>
  <c r="D152" i="210"/>
  <c r="K152" i="210"/>
  <c r="L152" i="210"/>
  <c r="N152" i="210"/>
  <c r="P152" i="210"/>
  <c r="Q152" i="210"/>
  <c r="D153" i="210"/>
  <c r="K153" i="210"/>
  <c r="L153" i="210"/>
  <c r="N153" i="210"/>
  <c r="P153" i="210"/>
  <c r="Q153" i="210"/>
  <c r="D154" i="210"/>
  <c r="K154" i="210"/>
  <c r="L154" i="210"/>
  <c r="N154" i="210"/>
  <c r="P154" i="210"/>
  <c r="Q154" i="210"/>
  <c r="D155" i="210"/>
  <c r="K155" i="210"/>
  <c r="L155" i="210"/>
  <c r="N155" i="210"/>
  <c r="P155" i="210"/>
  <c r="Q155" i="210"/>
  <c r="D156" i="210"/>
  <c r="K156" i="210"/>
  <c r="L156" i="210"/>
  <c r="N156" i="210"/>
  <c r="P156" i="210"/>
  <c r="Q156" i="210"/>
  <c r="D157" i="210"/>
  <c r="K157" i="210"/>
  <c r="L157" i="210"/>
  <c r="N157" i="210"/>
  <c r="P157" i="210"/>
  <c r="Q157" i="210"/>
  <c r="D158" i="210"/>
  <c r="K158" i="210"/>
  <c r="L158" i="210"/>
  <c r="N158" i="210"/>
  <c r="P158" i="210"/>
  <c r="Q158" i="210"/>
  <c r="D159" i="210"/>
  <c r="K159" i="210"/>
  <c r="L159" i="210"/>
  <c r="N159" i="210"/>
  <c r="P159" i="210"/>
  <c r="Q159" i="210"/>
  <c r="C162" i="210"/>
  <c r="C163" i="210" s="1"/>
  <c r="C164" i="210" s="1"/>
  <c r="H162" i="210"/>
  <c r="E162" i="210" s="1"/>
  <c r="E163" i="210" s="1"/>
  <c r="E164" i="210" s="1"/>
  <c r="E166" i="210" s="1"/>
  <c r="E168" i="210" s="1"/>
  <c r="E170" i="210" s="1"/>
  <c r="E172" i="210" s="1"/>
  <c r="E174" i="210" s="1"/>
  <c r="E176" i="210" s="1"/>
  <c r="E178" i="210" s="1"/>
  <c r="E180" i="210" s="1"/>
  <c r="E182" i="210" s="1"/>
  <c r="E184" i="210" s="1"/>
  <c r="I162" i="210"/>
  <c r="J162" i="210"/>
  <c r="I163" i="210"/>
  <c r="I164" i="210"/>
  <c r="D166" i="210"/>
  <c r="K166" i="210"/>
  <c r="L166" i="210"/>
  <c r="N166" i="210"/>
  <c r="P166" i="210"/>
  <c r="Q166" i="210"/>
  <c r="D167" i="210"/>
  <c r="E167" i="210"/>
  <c r="E169" i="210" s="1"/>
  <c r="K167" i="210"/>
  <c r="L167" i="210"/>
  <c r="N167" i="210"/>
  <c r="P167" i="210"/>
  <c r="Q167" i="210"/>
  <c r="D168" i="210"/>
  <c r="K168" i="210"/>
  <c r="L168" i="210"/>
  <c r="N168" i="210"/>
  <c r="P168" i="210"/>
  <c r="Q168" i="210"/>
  <c r="D169" i="210"/>
  <c r="K169" i="210"/>
  <c r="L169" i="210"/>
  <c r="N169" i="210"/>
  <c r="P169" i="210"/>
  <c r="Q169" i="210"/>
  <c r="D170" i="210"/>
  <c r="K170" i="210"/>
  <c r="L170" i="210"/>
  <c r="N170" i="210"/>
  <c r="P170" i="210"/>
  <c r="Q170" i="210"/>
  <c r="D171" i="210"/>
  <c r="E171" i="210"/>
  <c r="E173" i="210" s="1"/>
  <c r="E175" i="210" s="1"/>
  <c r="E177" i="210" s="1"/>
  <c r="E179" i="210" s="1"/>
  <c r="E181" i="210" s="1"/>
  <c r="E183" i="210" s="1"/>
  <c r="K171" i="210"/>
  <c r="L171" i="210"/>
  <c r="N171" i="210"/>
  <c r="P171" i="210"/>
  <c r="Q171" i="210"/>
  <c r="D172" i="210"/>
  <c r="K172" i="210"/>
  <c r="L172" i="210"/>
  <c r="N172" i="210"/>
  <c r="P172" i="210"/>
  <c r="Q172" i="210"/>
  <c r="D173" i="210"/>
  <c r="K173" i="210"/>
  <c r="L173" i="210"/>
  <c r="N173" i="210"/>
  <c r="P173" i="210"/>
  <c r="Q173" i="210"/>
  <c r="D174" i="210"/>
  <c r="K174" i="210"/>
  <c r="L174" i="210"/>
  <c r="N174" i="210"/>
  <c r="P174" i="210"/>
  <c r="Q174" i="210"/>
  <c r="D175" i="210"/>
  <c r="K175" i="210"/>
  <c r="L175" i="210"/>
  <c r="N175" i="210"/>
  <c r="P175" i="210"/>
  <c r="Q175" i="210"/>
  <c r="D176" i="210"/>
  <c r="K176" i="210"/>
  <c r="L176" i="210"/>
  <c r="N176" i="210"/>
  <c r="P176" i="210"/>
  <c r="Q176" i="210"/>
  <c r="D177" i="210"/>
  <c r="K177" i="210"/>
  <c r="L177" i="210"/>
  <c r="N177" i="210"/>
  <c r="P177" i="210"/>
  <c r="Q177" i="210"/>
  <c r="D178" i="210"/>
  <c r="K178" i="210"/>
  <c r="L178" i="210"/>
  <c r="N178" i="210"/>
  <c r="P178" i="210"/>
  <c r="Q178" i="210"/>
  <c r="D179" i="210"/>
  <c r="K179" i="210"/>
  <c r="L179" i="210"/>
  <c r="N179" i="210"/>
  <c r="P179" i="210"/>
  <c r="Q179" i="210"/>
  <c r="D180" i="210"/>
  <c r="K180" i="210"/>
  <c r="L180" i="210"/>
  <c r="N180" i="210"/>
  <c r="P180" i="210"/>
  <c r="Q180" i="210"/>
  <c r="D181" i="210"/>
  <c r="K181" i="210"/>
  <c r="L181" i="210"/>
  <c r="N181" i="210"/>
  <c r="P181" i="210"/>
  <c r="Q181" i="210"/>
  <c r="D182" i="210"/>
  <c r="K182" i="210"/>
  <c r="L182" i="210"/>
  <c r="N182" i="210"/>
  <c r="P182" i="210"/>
  <c r="Q182" i="210"/>
  <c r="D183" i="210"/>
  <c r="K183" i="210"/>
  <c r="L183" i="210"/>
  <c r="N183" i="210"/>
  <c r="P183" i="210"/>
  <c r="Q183" i="210"/>
  <c r="D184" i="210"/>
  <c r="K184" i="210"/>
  <c r="L184" i="210"/>
  <c r="N184" i="210"/>
  <c r="P184" i="210"/>
  <c r="Q184" i="210"/>
  <c r="C187" i="210"/>
  <c r="C188" i="210" s="1"/>
  <c r="C189" i="210" s="1"/>
  <c r="H187" i="210"/>
  <c r="E187" i="210" s="1"/>
  <c r="E188" i="210" s="1"/>
  <c r="E189" i="210" s="1"/>
  <c r="E191" i="210" s="1"/>
  <c r="E193" i="210" s="1"/>
  <c r="E195" i="210" s="1"/>
  <c r="E197" i="210" s="1"/>
  <c r="E199" i="210" s="1"/>
  <c r="E201" i="210" s="1"/>
  <c r="E203" i="210" s="1"/>
  <c r="E205" i="210" s="1"/>
  <c r="E207" i="210" s="1"/>
  <c r="E209" i="210" s="1"/>
  <c r="E211" i="210" s="1"/>
  <c r="E213" i="210" s="1"/>
  <c r="E215" i="210" s="1"/>
  <c r="E217" i="210" s="1"/>
  <c r="E219" i="210" s="1"/>
  <c r="E221" i="210" s="1"/>
  <c r="E223" i="210" s="1"/>
  <c r="E225" i="210" s="1"/>
  <c r="E227" i="210" s="1"/>
  <c r="E229" i="210" s="1"/>
  <c r="E231" i="210" s="1"/>
  <c r="I187" i="210"/>
  <c r="J187" i="210"/>
  <c r="I188" i="210"/>
  <c r="I189" i="210"/>
  <c r="D191" i="210"/>
  <c r="K191" i="210"/>
  <c r="L191" i="210"/>
  <c r="N191" i="210"/>
  <c r="P191" i="210"/>
  <c r="Q191" i="210"/>
  <c r="D192" i="210"/>
  <c r="E192" i="210"/>
  <c r="K192" i="210"/>
  <c r="L192" i="210"/>
  <c r="N192" i="210"/>
  <c r="P192" i="210"/>
  <c r="Q192" i="210"/>
  <c r="D193" i="210"/>
  <c r="K193" i="210"/>
  <c r="L193" i="210"/>
  <c r="N193" i="210"/>
  <c r="P193" i="210"/>
  <c r="Q193" i="210"/>
  <c r="D194" i="210"/>
  <c r="E194" i="210"/>
  <c r="E196" i="210" s="1"/>
  <c r="E198" i="210" s="1"/>
  <c r="E200" i="210" s="1"/>
  <c r="E202" i="210" s="1"/>
  <c r="E204" i="210" s="1"/>
  <c r="E206" i="210" s="1"/>
  <c r="E208" i="210" s="1"/>
  <c r="E210" i="210" s="1"/>
  <c r="E212" i="210" s="1"/>
  <c r="E214" i="210" s="1"/>
  <c r="E216" i="210" s="1"/>
  <c r="E218" i="210" s="1"/>
  <c r="E220" i="210" s="1"/>
  <c r="E222" i="210" s="1"/>
  <c r="E224" i="210" s="1"/>
  <c r="E226" i="210" s="1"/>
  <c r="E228" i="210" s="1"/>
  <c r="E230" i="210" s="1"/>
  <c r="K194" i="210"/>
  <c r="L194" i="210"/>
  <c r="N194" i="210"/>
  <c r="P194" i="210"/>
  <c r="Q194" i="210"/>
  <c r="D195" i="210"/>
  <c r="K195" i="210"/>
  <c r="L195" i="210"/>
  <c r="N195" i="210"/>
  <c r="P195" i="210"/>
  <c r="Q195" i="210"/>
  <c r="D196" i="210"/>
  <c r="K196" i="210"/>
  <c r="L196" i="210"/>
  <c r="N196" i="210"/>
  <c r="P196" i="210"/>
  <c r="Q196" i="210"/>
  <c r="D197" i="210"/>
  <c r="K197" i="210"/>
  <c r="L197" i="210"/>
  <c r="N197" i="210"/>
  <c r="P197" i="210"/>
  <c r="Q197" i="210"/>
  <c r="D198" i="210"/>
  <c r="K198" i="210"/>
  <c r="L198" i="210"/>
  <c r="N198" i="210"/>
  <c r="P198" i="210"/>
  <c r="Q198" i="210"/>
  <c r="D199" i="210"/>
  <c r="K199" i="210"/>
  <c r="L199" i="210"/>
  <c r="N199" i="210"/>
  <c r="P199" i="210"/>
  <c r="Q199" i="210"/>
  <c r="D200" i="210"/>
  <c r="K200" i="210"/>
  <c r="L200" i="210"/>
  <c r="N200" i="210"/>
  <c r="P200" i="210"/>
  <c r="Q200" i="210"/>
  <c r="D201" i="210"/>
  <c r="K201" i="210"/>
  <c r="L201" i="210"/>
  <c r="N201" i="210"/>
  <c r="P201" i="210"/>
  <c r="Q201" i="210"/>
  <c r="D202" i="210"/>
  <c r="K202" i="210"/>
  <c r="L202" i="210"/>
  <c r="N202" i="210"/>
  <c r="P202" i="210"/>
  <c r="Q202" i="210"/>
  <c r="D203" i="210"/>
  <c r="K203" i="210"/>
  <c r="L203" i="210"/>
  <c r="N203" i="210"/>
  <c r="P203" i="210"/>
  <c r="Q203" i="210"/>
  <c r="D204" i="210"/>
  <c r="K204" i="210"/>
  <c r="L204" i="210"/>
  <c r="N204" i="210"/>
  <c r="P204" i="210"/>
  <c r="Q204" i="210"/>
  <c r="D205" i="210"/>
  <c r="K205" i="210"/>
  <c r="L205" i="210"/>
  <c r="N205" i="210"/>
  <c r="P205" i="210"/>
  <c r="Q205" i="210"/>
  <c r="D206" i="210"/>
  <c r="K206" i="210"/>
  <c r="L206" i="210"/>
  <c r="N206" i="210"/>
  <c r="P206" i="210"/>
  <c r="Q206" i="210"/>
  <c r="D207" i="210"/>
  <c r="K207" i="210"/>
  <c r="L207" i="210"/>
  <c r="N207" i="210"/>
  <c r="P207" i="210"/>
  <c r="Q207" i="210"/>
  <c r="D208" i="210"/>
  <c r="K208" i="210"/>
  <c r="L208" i="210"/>
  <c r="N208" i="210"/>
  <c r="P208" i="210"/>
  <c r="Q208" i="210"/>
  <c r="D209" i="210"/>
  <c r="K209" i="210"/>
  <c r="L209" i="210"/>
  <c r="N209" i="210"/>
  <c r="P209" i="210"/>
  <c r="Q209" i="210"/>
  <c r="D210" i="210"/>
  <c r="K210" i="210"/>
  <c r="L210" i="210"/>
  <c r="N210" i="210"/>
  <c r="P210" i="210"/>
  <c r="Q210" i="210"/>
  <c r="D211" i="210"/>
  <c r="K211" i="210"/>
  <c r="L211" i="210"/>
  <c r="N211" i="210"/>
  <c r="P211" i="210"/>
  <c r="Q211" i="210"/>
  <c r="D212" i="210"/>
  <c r="K212" i="210"/>
  <c r="L212" i="210"/>
  <c r="N212" i="210"/>
  <c r="P212" i="210"/>
  <c r="Q212" i="210"/>
  <c r="D213" i="210"/>
  <c r="K213" i="210"/>
  <c r="L213" i="210"/>
  <c r="N213" i="210"/>
  <c r="P213" i="210"/>
  <c r="Q213" i="210"/>
  <c r="D214" i="210"/>
  <c r="K214" i="210"/>
  <c r="L214" i="210"/>
  <c r="N214" i="210"/>
  <c r="P214" i="210"/>
  <c r="Q214" i="210"/>
  <c r="D215" i="210"/>
  <c r="K215" i="210"/>
  <c r="L215" i="210"/>
  <c r="N215" i="210"/>
  <c r="P215" i="210"/>
  <c r="Q215" i="210"/>
  <c r="D216" i="210"/>
  <c r="K216" i="210"/>
  <c r="L216" i="210"/>
  <c r="N216" i="210"/>
  <c r="P216" i="210"/>
  <c r="Q216" i="210"/>
  <c r="D217" i="210"/>
  <c r="K217" i="210"/>
  <c r="L217" i="210"/>
  <c r="N217" i="210"/>
  <c r="P217" i="210"/>
  <c r="Q217" i="210"/>
  <c r="D218" i="210"/>
  <c r="K218" i="210"/>
  <c r="L218" i="210"/>
  <c r="N218" i="210"/>
  <c r="P218" i="210"/>
  <c r="Q218" i="210"/>
  <c r="D219" i="210"/>
  <c r="K219" i="210"/>
  <c r="L219" i="210"/>
  <c r="N219" i="210"/>
  <c r="P219" i="210"/>
  <c r="Q219" i="210"/>
  <c r="D220" i="210"/>
  <c r="K220" i="210"/>
  <c r="L220" i="210"/>
  <c r="N220" i="210"/>
  <c r="P220" i="210"/>
  <c r="Q220" i="210"/>
  <c r="D221" i="210"/>
  <c r="K221" i="210"/>
  <c r="L221" i="210"/>
  <c r="N221" i="210"/>
  <c r="P221" i="210"/>
  <c r="Q221" i="210"/>
  <c r="D222" i="210"/>
  <c r="K222" i="210"/>
  <c r="L222" i="210"/>
  <c r="N222" i="210"/>
  <c r="P222" i="210"/>
  <c r="Q222" i="210"/>
  <c r="D223" i="210"/>
  <c r="K223" i="210"/>
  <c r="L223" i="210"/>
  <c r="N223" i="210"/>
  <c r="P223" i="210"/>
  <c r="Q223" i="210"/>
  <c r="D224" i="210"/>
  <c r="K224" i="210"/>
  <c r="L224" i="210"/>
  <c r="N224" i="210"/>
  <c r="P224" i="210"/>
  <c r="Q224" i="210"/>
  <c r="D225" i="210"/>
  <c r="K225" i="210"/>
  <c r="L225" i="210"/>
  <c r="N225" i="210"/>
  <c r="P225" i="210"/>
  <c r="Q225" i="210"/>
  <c r="D226" i="210"/>
  <c r="K226" i="210"/>
  <c r="L226" i="210"/>
  <c r="N226" i="210"/>
  <c r="P226" i="210"/>
  <c r="Q226" i="210"/>
  <c r="D227" i="210"/>
  <c r="K227" i="210"/>
  <c r="L227" i="210"/>
  <c r="N227" i="210"/>
  <c r="P227" i="210"/>
  <c r="Q227" i="210"/>
  <c r="D228" i="210"/>
  <c r="K228" i="210"/>
  <c r="L228" i="210"/>
  <c r="N228" i="210"/>
  <c r="P228" i="210"/>
  <c r="Q228" i="210"/>
  <c r="D229" i="210"/>
  <c r="K229" i="210"/>
  <c r="L229" i="210"/>
  <c r="N229" i="210"/>
  <c r="P229" i="210"/>
  <c r="Q229" i="210"/>
  <c r="D230" i="210"/>
  <c r="K230" i="210"/>
  <c r="L230" i="210"/>
  <c r="N230" i="210"/>
  <c r="P230" i="210"/>
  <c r="Q230" i="210"/>
  <c r="D231" i="210"/>
  <c r="K231" i="210"/>
  <c r="L231" i="210"/>
  <c r="N231" i="210"/>
  <c r="P231" i="210"/>
  <c r="Q231" i="210"/>
  <c r="C234" i="210"/>
  <c r="C235" i="210" s="1"/>
  <c r="C236" i="210" s="1"/>
  <c r="H234" i="210"/>
  <c r="E234" i="210" s="1"/>
  <c r="E235" i="210" s="1"/>
  <c r="E236" i="210" s="1"/>
  <c r="E238" i="210" s="1"/>
  <c r="E240" i="210" s="1"/>
  <c r="E242" i="210" s="1"/>
  <c r="E244" i="210" s="1"/>
  <c r="E246" i="210" s="1"/>
  <c r="I234" i="210"/>
  <c r="J234" i="210"/>
  <c r="I235" i="210"/>
  <c r="I236" i="210"/>
  <c r="D238" i="210"/>
  <c r="K238" i="210"/>
  <c r="L238" i="210"/>
  <c r="N238" i="210"/>
  <c r="P238" i="210"/>
  <c r="Q238" i="210"/>
  <c r="D239" i="210"/>
  <c r="E239" i="210"/>
  <c r="E241" i="210" s="1"/>
  <c r="E243" i="210" s="1"/>
  <c r="E245" i="210" s="1"/>
  <c r="E247" i="210" s="1"/>
  <c r="E249" i="210" s="1"/>
  <c r="E251" i="210" s="1"/>
  <c r="E253" i="210" s="1"/>
  <c r="E255" i="210" s="1"/>
  <c r="E257" i="210" s="1"/>
  <c r="E259" i="210" s="1"/>
  <c r="K239" i="210"/>
  <c r="L239" i="210"/>
  <c r="N239" i="210"/>
  <c r="P239" i="210"/>
  <c r="Q239" i="210"/>
  <c r="D240" i="210"/>
  <c r="K240" i="210"/>
  <c r="L240" i="210"/>
  <c r="N240" i="210"/>
  <c r="P240" i="210"/>
  <c r="Q240" i="210"/>
  <c r="D241" i="210"/>
  <c r="K241" i="210"/>
  <c r="L241" i="210"/>
  <c r="N241" i="210"/>
  <c r="P241" i="210"/>
  <c r="Q241" i="210"/>
  <c r="D242" i="210"/>
  <c r="K242" i="210"/>
  <c r="L242" i="210"/>
  <c r="N242" i="210"/>
  <c r="P242" i="210"/>
  <c r="Q242" i="210"/>
  <c r="D243" i="210"/>
  <c r="K243" i="210"/>
  <c r="L243" i="210"/>
  <c r="N243" i="210"/>
  <c r="P243" i="210"/>
  <c r="Q243" i="210"/>
  <c r="D244" i="210"/>
  <c r="K244" i="210"/>
  <c r="L244" i="210"/>
  <c r="N244" i="210"/>
  <c r="P244" i="210"/>
  <c r="Q244" i="210"/>
  <c r="D245" i="210"/>
  <c r="K245" i="210"/>
  <c r="L245" i="210"/>
  <c r="N245" i="210"/>
  <c r="P245" i="210"/>
  <c r="Q245" i="210"/>
  <c r="D246" i="210"/>
  <c r="K246" i="210"/>
  <c r="L246" i="210"/>
  <c r="N246" i="210"/>
  <c r="P246" i="210"/>
  <c r="Q246" i="210"/>
  <c r="D247" i="210"/>
  <c r="K247" i="210"/>
  <c r="L247" i="210"/>
  <c r="N247" i="210"/>
  <c r="P247" i="210"/>
  <c r="Q247" i="210"/>
  <c r="D248" i="210"/>
  <c r="E248" i="210"/>
  <c r="E250" i="210" s="1"/>
  <c r="E252" i="210" s="1"/>
  <c r="E254" i="210" s="1"/>
  <c r="E256" i="210" s="1"/>
  <c r="E258" i="210" s="1"/>
  <c r="E260" i="210" s="1"/>
  <c r="K248" i="210"/>
  <c r="L248" i="210"/>
  <c r="N248" i="210"/>
  <c r="P248" i="210"/>
  <c r="Q248" i="210"/>
  <c r="D249" i="210"/>
  <c r="K249" i="210"/>
  <c r="L249" i="210"/>
  <c r="N249" i="210"/>
  <c r="P249" i="210"/>
  <c r="Q249" i="210"/>
  <c r="D250" i="210"/>
  <c r="K250" i="210"/>
  <c r="L250" i="210"/>
  <c r="N250" i="210"/>
  <c r="P250" i="210"/>
  <c r="Q250" i="210"/>
  <c r="D251" i="210"/>
  <c r="K251" i="210"/>
  <c r="L251" i="210"/>
  <c r="N251" i="210"/>
  <c r="P251" i="210"/>
  <c r="Q251" i="210"/>
  <c r="D252" i="210"/>
  <c r="K252" i="210"/>
  <c r="L252" i="210"/>
  <c r="N252" i="210"/>
  <c r="P252" i="210"/>
  <c r="Q252" i="210"/>
  <c r="D253" i="210"/>
  <c r="K253" i="210"/>
  <c r="L253" i="210"/>
  <c r="N253" i="210"/>
  <c r="P253" i="210"/>
  <c r="Q253" i="210"/>
  <c r="D254" i="210"/>
  <c r="K254" i="210"/>
  <c r="L254" i="210"/>
  <c r="N254" i="210"/>
  <c r="P254" i="210"/>
  <c r="Q254" i="210"/>
  <c r="D255" i="210"/>
  <c r="K255" i="210"/>
  <c r="L255" i="210"/>
  <c r="N255" i="210"/>
  <c r="P255" i="210"/>
  <c r="Q255" i="210"/>
  <c r="D256" i="210"/>
  <c r="K256" i="210"/>
  <c r="L256" i="210"/>
  <c r="N256" i="210"/>
  <c r="P256" i="210"/>
  <c r="Q256" i="210"/>
  <c r="D257" i="210"/>
  <c r="K257" i="210"/>
  <c r="L257" i="210"/>
  <c r="N257" i="210"/>
  <c r="P257" i="210"/>
  <c r="Q257" i="210"/>
  <c r="D258" i="210"/>
  <c r="K258" i="210"/>
  <c r="L258" i="210"/>
  <c r="N258" i="210"/>
  <c r="P258" i="210"/>
  <c r="Q258" i="210"/>
  <c r="D259" i="210"/>
  <c r="K259" i="210"/>
  <c r="L259" i="210"/>
  <c r="N259" i="210"/>
  <c r="P259" i="210"/>
  <c r="Q259" i="210"/>
  <c r="D260" i="210"/>
  <c r="K260" i="210"/>
  <c r="L260" i="210"/>
  <c r="N260" i="210"/>
  <c r="P260" i="210"/>
  <c r="Q260" i="210"/>
  <c r="C263" i="210"/>
  <c r="C264" i="210" s="1"/>
  <c r="C265" i="210" s="1"/>
  <c r="H263" i="210"/>
  <c r="E263" i="210" s="1"/>
  <c r="E264" i="210" s="1"/>
  <c r="E265" i="210" s="1"/>
  <c r="E267" i="210" s="1"/>
  <c r="E269" i="210" s="1"/>
  <c r="E271" i="210" s="1"/>
  <c r="E273" i="210" s="1"/>
  <c r="E275" i="210" s="1"/>
  <c r="E277" i="210" s="1"/>
  <c r="E279" i="210" s="1"/>
  <c r="E281" i="210" s="1"/>
  <c r="E283" i="210" s="1"/>
  <c r="E285" i="210" s="1"/>
  <c r="E287" i="210" s="1"/>
  <c r="E289" i="210" s="1"/>
  <c r="E291" i="210" s="1"/>
  <c r="E293" i="210" s="1"/>
  <c r="E295" i="210" s="1"/>
  <c r="E297" i="210" s="1"/>
  <c r="E299" i="210" s="1"/>
  <c r="E301" i="210" s="1"/>
  <c r="E303" i="210" s="1"/>
  <c r="E305" i="210" s="1"/>
  <c r="E307" i="210" s="1"/>
  <c r="E309" i="210" s="1"/>
  <c r="I263" i="210"/>
  <c r="J263" i="210"/>
  <c r="I264" i="210"/>
  <c r="I265" i="210"/>
  <c r="D267" i="210"/>
  <c r="K267" i="210"/>
  <c r="L267" i="210"/>
  <c r="N267" i="210"/>
  <c r="P267" i="210"/>
  <c r="Q267" i="210"/>
  <c r="D268" i="210"/>
  <c r="E268" i="210"/>
  <c r="K268" i="210"/>
  <c r="L268" i="210"/>
  <c r="N268" i="210"/>
  <c r="P268" i="210"/>
  <c r="Q268" i="210"/>
  <c r="D269" i="210"/>
  <c r="K269" i="210"/>
  <c r="L269" i="210"/>
  <c r="N269" i="210"/>
  <c r="P269" i="210"/>
  <c r="Q269" i="210"/>
  <c r="D270" i="210"/>
  <c r="E270" i="210"/>
  <c r="E272" i="210" s="1"/>
  <c r="E274" i="210" s="1"/>
  <c r="E276" i="210" s="1"/>
  <c r="E278" i="210" s="1"/>
  <c r="E280" i="210" s="1"/>
  <c r="E282" i="210" s="1"/>
  <c r="E284" i="210" s="1"/>
  <c r="E286" i="210" s="1"/>
  <c r="E288" i="210" s="1"/>
  <c r="E290" i="210" s="1"/>
  <c r="E292" i="210" s="1"/>
  <c r="E294" i="210" s="1"/>
  <c r="E296" i="210" s="1"/>
  <c r="E298" i="210" s="1"/>
  <c r="E300" i="210" s="1"/>
  <c r="E302" i="210" s="1"/>
  <c r="E304" i="210" s="1"/>
  <c r="E306" i="210" s="1"/>
  <c r="E308" i="210" s="1"/>
  <c r="K270" i="210"/>
  <c r="L270" i="210"/>
  <c r="N270" i="210"/>
  <c r="P270" i="210"/>
  <c r="Q270" i="210"/>
  <c r="D271" i="210"/>
  <c r="K271" i="210"/>
  <c r="L271" i="210"/>
  <c r="N271" i="210"/>
  <c r="P271" i="210"/>
  <c r="Q271" i="210"/>
  <c r="D272" i="210"/>
  <c r="K272" i="210"/>
  <c r="L272" i="210"/>
  <c r="N272" i="210"/>
  <c r="P272" i="210"/>
  <c r="Q272" i="210"/>
  <c r="D273" i="210"/>
  <c r="K273" i="210"/>
  <c r="L273" i="210"/>
  <c r="N273" i="210"/>
  <c r="P273" i="210"/>
  <c r="Q273" i="210"/>
  <c r="D274" i="210"/>
  <c r="K274" i="210"/>
  <c r="L274" i="210"/>
  <c r="N274" i="210"/>
  <c r="P274" i="210"/>
  <c r="Q274" i="210"/>
  <c r="D275" i="210"/>
  <c r="K275" i="210"/>
  <c r="L275" i="210"/>
  <c r="N275" i="210"/>
  <c r="P275" i="210"/>
  <c r="Q275" i="210"/>
  <c r="D276" i="210"/>
  <c r="K276" i="210"/>
  <c r="L276" i="210"/>
  <c r="N276" i="210"/>
  <c r="P276" i="210"/>
  <c r="Q276" i="210"/>
  <c r="D277" i="210"/>
  <c r="K277" i="210"/>
  <c r="L277" i="210"/>
  <c r="N277" i="210"/>
  <c r="P277" i="210"/>
  <c r="Q277" i="210"/>
  <c r="D278" i="210"/>
  <c r="K278" i="210"/>
  <c r="L278" i="210"/>
  <c r="N278" i="210"/>
  <c r="P278" i="210"/>
  <c r="Q278" i="210"/>
  <c r="D279" i="210"/>
  <c r="K279" i="210"/>
  <c r="L279" i="210"/>
  <c r="N279" i="210"/>
  <c r="P279" i="210"/>
  <c r="Q279" i="210"/>
  <c r="D280" i="210"/>
  <c r="K280" i="210"/>
  <c r="L280" i="210"/>
  <c r="N280" i="210"/>
  <c r="P280" i="210"/>
  <c r="Q280" i="210"/>
  <c r="D281" i="210"/>
  <c r="K281" i="210"/>
  <c r="L281" i="210"/>
  <c r="N281" i="210"/>
  <c r="P281" i="210"/>
  <c r="Q281" i="210"/>
  <c r="D282" i="210"/>
  <c r="K282" i="210"/>
  <c r="L282" i="210"/>
  <c r="N282" i="210"/>
  <c r="P282" i="210"/>
  <c r="Q282" i="210"/>
  <c r="D283" i="210"/>
  <c r="K283" i="210"/>
  <c r="L283" i="210"/>
  <c r="N283" i="210"/>
  <c r="P283" i="210"/>
  <c r="Q283" i="210"/>
  <c r="D284" i="210"/>
  <c r="K284" i="210"/>
  <c r="L284" i="210"/>
  <c r="N284" i="210"/>
  <c r="P284" i="210"/>
  <c r="Q284" i="210"/>
  <c r="D285" i="210"/>
  <c r="K285" i="210"/>
  <c r="L285" i="210"/>
  <c r="N285" i="210"/>
  <c r="P285" i="210"/>
  <c r="Q285" i="210"/>
  <c r="D286" i="210"/>
  <c r="K286" i="210"/>
  <c r="L286" i="210"/>
  <c r="N286" i="210"/>
  <c r="P286" i="210"/>
  <c r="Q286" i="210"/>
  <c r="D287" i="210"/>
  <c r="K287" i="210"/>
  <c r="L287" i="210"/>
  <c r="N287" i="210"/>
  <c r="P287" i="210"/>
  <c r="Q287" i="210"/>
  <c r="D288" i="210"/>
  <c r="K288" i="210"/>
  <c r="L288" i="210"/>
  <c r="N288" i="210"/>
  <c r="P288" i="210"/>
  <c r="Q288" i="210"/>
  <c r="D289" i="210"/>
  <c r="K289" i="210"/>
  <c r="L289" i="210"/>
  <c r="N289" i="210"/>
  <c r="P289" i="210"/>
  <c r="Q289" i="210"/>
  <c r="D290" i="210"/>
  <c r="K290" i="210"/>
  <c r="L290" i="210"/>
  <c r="N290" i="210"/>
  <c r="P290" i="210"/>
  <c r="Q290" i="210"/>
  <c r="D291" i="210"/>
  <c r="K291" i="210"/>
  <c r="L291" i="210"/>
  <c r="N291" i="210"/>
  <c r="P291" i="210"/>
  <c r="Q291" i="210"/>
  <c r="D292" i="210"/>
  <c r="K292" i="210"/>
  <c r="L292" i="210"/>
  <c r="N292" i="210"/>
  <c r="P292" i="210"/>
  <c r="Q292" i="210"/>
  <c r="D293" i="210"/>
  <c r="K293" i="210"/>
  <c r="L293" i="210"/>
  <c r="N293" i="210"/>
  <c r="P293" i="210"/>
  <c r="Q293" i="210"/>
  <c r="D294" i="210"/>
  <c r="K294" i="210"/>
  <c r="L294" i="210"/>
  <c r="N294" i="210"/>
  <c r="P294" i="210"/>
  <c r="Q294" i="210"/>
  <c r="D295" i="210"/>
  <c r="K295" i="210"/>
  <c r="L295" i="210"/>
  <c r="N295" i="210"/>
  <c r="P295" i="210"/>
  <c r="Q295" i="210"/>
  <c r="D296" i="210"/>
  <c r="K296" i="210"/>
  <c r="L296" i="210"/>
  <c r="N296" i="210"/>
  <c r="P296" i="210"/>
  <c r="Q296" i="210"/>
  <c r="D297" i="210"/>
  <c r="K297" i="210"/>
  <c r="L297" i="210"/>
  <c r="N297" i="210"/>
  <c r="P297" i="210"/>
  <c r="Q297" i="210"/>
  <c r="D298" i="210"/>
  <c r="K298" i="210"/>
  <c r="L298" i="210"/>
  <c r="N298" i="210"/>
  <c r="P298" i="210"/>
  <c r="Q298" i="210"/>
  <c r="D299" i="210"/>
  <c r="K299" i="210"/>
  <c r="L299" i="210"/>
  <c r="N299" i="210"/>
  <c r="P299" i="210"/>
  <c r="Q299" i="210"/>
  <c r="D300" i="210"/>
  <c r="K300" i="210"/>
  <c r="L300" i="210"/>
  <c r="N300" i="210"/>
  <c r="P300" i="210"/>
  <c r="Q300" i="210"/>
  <c r="D301" i="210"/>
  <c r="K301" i="210"/>
  <c r="L301" i="210"/>
  <c r="N301" i="210"/>
  <c r="P301" i="210"/>
  <c r="Q301" i="210"/>
  <c r="D302" i="210"/>
  <c r="K302" i="210"/>
  <c r="L302" i="210"/>
  <c r="N302" i="210"/>
  <c r="P302" i="210"/>
  <c r="Q302" i="210"/>
  <c r="D303" i="210"/>
  <c r="K303" i="210"/>
  <c r="L303" i="210"/>
  <c r="N303" i="210"/>
  <c r="P303" i="210"/>
  <c r="Q303" i="210"/>
  <c r="D304" i="210"/>
  <c r="K304" i="210"/>
  <c r="L304" i="210"/>
  <c r="N304" i="210"/>
  <c r="P304" i="210"/>
  <c r="Q304" i="210"/>
  <c r="D305" i="210"/>
  <c r="K305" i="210"/>
  <c r="L305" i="210"/>
  <c r="N305" i="210"/>
  <c r="P305" i="210"/>
  <c r="Q305" i="210"/>
  <c r="D306" i="210"/>
  <c r="K306" i="210"/>
  <c r="L306" i="210"/>
  <c r="N306" i="210"/>
  <c r="P306" i="210"/>
  <c r="Q306" i="210"/>
  <c r="D307" i="210"/>
  <c r="K307" i="210"/>
  <c r="L307" i="210"/>
  <c r="N307" i="210"/>
  <c r="P307" i="210"/>
  <c r="Q307" i="210"/>
  <c r="D308" i="210"/>
  <c r="K308" i="210"/>
  <c r="L308" i="210"/>
  <c r="N308" i="210"/>
  <c r="P308" i="210"/>
  <c r="Q308" i="210"/>
  <c r="D309" i="210"/>
  <c r="K309" i="210"/>
  <c r="L309" i="210"/>
  <c r="N309" i="210"/>
  <c r="P309" i="210"/>
  <c r="Q309" i="210"/>
  <c r="C312" i="210"/>
  <c r="C313" i="210" s="1"/>
  <c r="C314" i="210" s="1"/>
  <c r="H312" i="210"/>
  <c r="E312" i="210" s="1"/>
  <c r="E313" i="210" s="1"/>
  <c r="E314" i="210" s="1"/>
  <c r="E316" i="210" s="1"/>
  <c r="E318" i="210" s="1"/>
  <c r="E320" i="210" s="1"/>
  <c r="E322" i="210" s="1"/>
  <c r="I312" i="210"/>
  <c r="J312" i="210"/>
  <c r="I313" i="210"/>
  <c r="I314" i="210"/>
  <c r="D316" i="210"/>
  <c r="K316" i="210"/>
  <c r="L316" i="210"/>
  <c r="N316" i="210"/>
  <c r="P316" i="210"/>
  <c r="Q316" i="210"/>
  <c r="D317" i="210"/>
  <c r="E317" i="210"/>
  <c r="E319" i="210" s="1"/>
  <c r="E321" i="210" s="1"/>
  <c r="E323" i="210" s="1"/>
  <c r="K317" i="210"/>
  <c r="L317" i="210"/>
  <c r="N317" i="210"/>
  <c r="P317" i="210"/>
  <c r="Q317" i="210"/>
  <c r="D318" i="210"/>
  <c r="K318" i="210"/>
  <c r="L318" i="210"/>
  <c r="N318" i="210"/>
  <c r="P318" i="210"/>
  <c r="Q318" i="210"/>
  <c r="D319" i="210"/>
  <c r="K319" i="210"/>
  <c r="L319" i="210"/>
  <c r="N319" i="210"/>
  <c r="P319" i="210"/>
  <c r="Q319" i="210"/>
  <c r="D320" i="210"/>
  <c r="K320" i="210"/>
  <c r="L320" i="210"/>
  <c r="N320" i="210"/>
  <c r="P320" i="210"/>
  <c r="Q320" i="210"/>
  <c r="D321" i="210"/>
  <c r="K321" i="210"/>
  <c r="L321" i="210"/>
  <c r="N321" i="210"/>
  <c r="P321" i="210"/>
  <c r="Q321" i="210"/>
  <c r="D322" i="210"/>
  <c r="K322" i="210"/>
  <c r="L322" i="210"/>
  <c r="N322" i="210"/>
  <c r="P322" i="210"/>
  <c r="Q322" i="210"/>
  <c r="D323" i="210"/>
  <c r="K323" i="210"/>
  <c r="L323" i="210"/>
  <c r="N323" i="210"/>
  <c r="P323" i="210"/>
  <c r="Q323" i="210"/>
  <c r="C326" i="210"/>
  <c r="C327" i="210" s="1"/>
  <c r="C328" i="210" s="1"/>
  <c r="H326" i="210"/>
  <c r="E326" i="210" s="1"/>
  <c r="I326" i="210"/>
  <c r="J326" i="210"/>
  <c r="E327" i="210"/>
  <c r="E328" i="210" s="1"/>
  <c r="E330" i="210" s="1"/>
  <c r="E332" i="210" s="1"/>
  <c r="E334" i="210" s="1"/>
  <c r="E336" i="210" s="1"/>
  <c r="E338" i="210" s="1"/>
  <c r="E340" i="210" s="1"/>
  <c r="E342" i="210" s="1"/>
  <c r="E344" i="210" s="1"/>
  <c r="E346" i="210" s="1"/>
  <c r="E348" i="210" s="1"/>
  <c r="E350" i="210" s="1"/>
  <c r="E352" i="210" s="1"/>
  <c r="E354" i="210" s="1"/>
  <c r="E356" i="210" s="1"/>
  <c r="I327" i="210"/>
  <c r="I328" i="210"/>
  <c r="D330" i="210"/>
  <c r="K330" i="210"/>
  <c r="L330" i="210"/>
  <c r="N330" i="210"/>
  <c r="P330" i="210"/>
  <c r="Q330" i="210"/>
  <c r="D331" i="210"/>
  <c r="E331" i="210"/>
  <c r="E333" i="210" s="1"/>
  <c r="K331" i="210"/>
  <c r="L331" i="210"/>
  <c r="N331" i="210"/>
  <c r="P331" i="210"/>
  <c r="Q331" i="210"/>
  <c r="D332" i="210"/>
  <c r="K332" i="210"/>
  <c r="L332" i="210"/>
  <c r="N332" i="210"/>
  <c r="P332" i="210"/>
  <c r="Q332" i="210"/>
  <c r="D333" i="210"/>
  <c r="K333" i="210"/>
  <c r="L333" i="210"/>
  <c r="N333" i="210"/>
  <c r="P333" i="210"/>
  <c r="Q333" i="210"/>
  <c r="D334" i="210"/>
  <c r="K334" i="210"/>
  <c r="L334" i="210"/>
  <c r="N334" i="210"/>
  <c r="P334" i="210"/>
  <c r="Q334" i="210"/>
  <c r="D335" i="210"/>
  <c r="E335" i="210"/>
  <c r="E337" i="210" s="1"/>
  <c r="E339" i="210" s="1"/>
  <c r="E341" i="210" s="1"/>
  <c r="E343" i="210" s="1"/>
  <c r="E345" i="210" s="1"/>
  <c r="E347" i="210" s="1"/>
  <c r="E349" i="210" s="1"/>
  <c r="E351" i="210" s="1"/>
  <c r="E353" i="210" s="1"/>
  <c r="E355" i="210" s="1"/>
  <c r="K335" i="210"/>
  <c r="L335" i="210"/>
  <c r="N335" i="210"/>
  <c r="P335" i="210"/>
  <c r="Q335" i="210"/>
  <c r="D336" i="210"/>
  <c r="K336" i="210"/>
  <c r="L336" i="210"/>
  <c r="N336" i="210"/>
  <c r="P336" i="210"/>
  <c r="Q336" i="210"/>
  <c r="D337" i="210"/>
  <c r="K337" i="210"/>
  <c r="L337" i="210"/>
  <c r="N337" i="210"/>
  <c r="P337" i="210"/>
  <c r="Q337" i="210"/>
  <c r="D338" i="210"/>
  <c r="K338" i="210"/>
  <c r="L338" i="210"/>
  <c r="N338" i="210"/>
  <c r="P338" i="210"/>
  <c r="Q338" i="210"/>
  <c r="D339" i="210"/>
  <c r="K339" i="210"/>
  <c r="L339" i="210"/>
  <c r="N339" i="210"/>
  <c r="P339" i="210"/>
  <c r="Q339" i="210"/>
  <c r="D340" i="210"/>
  <c r="K340" i="210"/>
  <c r="L340" i="210"/>
  <c r="N340" i="210"/>
  <c r="P340" i="210"/>
  <c r="Q340" i="210"/>
  <c r="D341" i="210"/>
  <c r="K341" i="210"/>
  <c r="L341" i="210"/>
  <c r="N341" i="210"/>
  <c r="P341" i="210"/>
  <c r="Q341" i="210"/>
  <c r="D342" i="210"/>
  <c r="K342" i="210"/>
  <c r="L342" i="210"/>
  <c r="N342" i="210"/>
  <c r="P342" i="210"/>
  <c r="Q342" i="210"/>
  <c r="D343" i="210"/>
  <c r="K343" i="210"/>
  <c r="L343" i="210"/>
  <c r="N343" i="210"/>
  <c r="P343" i="210"/>
  <c r="Q343" i="210"/>
  <c r="D344" i="210"/>
  <c r="K344" i="210"/>
  <c r="L344" i="210"/>
  <c r="N344" i="210"/>
  <c r="P344" i="210"/>
  <c r="Q344" i="210"/>
  <c r="D345" i="210"/>
  <c r="K345" i="210"/>
  <c r="L345" i="210"/>
  <c r="N345" i="210"/>
  <c r="P345" i="210"/>
  <c r="Q345" i="210"/>
  <c r="D346" i="210"/>
  <c r="K346" i="210"/>
  <c r="L346" i="210"/>
  <c r="N346" i="210"/>
  <c r="P346" i="210"/>
  <c r="Q346" i="210"/>
  <c r="D347" i="210"/>
  <c r="K347" i="210"/>
  <c r="L347" i="210"/>
  <c r="N347" i="210"/>
  <c r="P347" i="210"/>
  <c r="Q347" i="210"/>
  <c r="D348" i="210"/>
  <c r="K348" i="210"/>
  <c r="L348" i="210"/>
  <c r="N348" i="210"/>
  <c r="P348" i="210"/>
  <c r="Q348" i="210"/>
  <c r="D349" i="210"/>
  <c r="K349" i="210"/>
  <c r="L349" i="210"/>
  <c r="N349" i="210"/>
  <c r="P349" i="210"/>
  <c r="Q349" i="210"/>
  <c r="D350" i="210"/>
  <c r="K350" i="210"/>
  <c r="L350" i="210"/>
  <c r="N350" i="210"/>
  <c r="P350" i="210"/>
  <c r="Q350" i="210"/>
  <c r="D351" i="210"/>
  <c r="K351" i="210"/>
  <c r="L351" i="210"/>
  <c r="N351" i="210"/>
  <c r="P351" i="210"/>
  <c r="Q351" i="210"/>
  <c r="D352" i="210"/>
  <c r="K352" i="210"/>
  <c r="L352" i="210"/>
  <c r="N352" i="210"/>
  <c r="P352" i="210"/>
  <c r="Q352" i="210"/>
  <c r="D353" i="210"/>
  <c r="K353" i="210"/>
  <c r="L353" i="210"/>
  <c r="N353" i="210"/>
  <c r="P353" i="210"/>
  <c r="Q353" i="210"/>
  <c r="D354" i="210"/>
  <c r="K354" i="210"/>
  <c r="L354" i="210"/>
  <c r="N354" i="210"/>
  <c r="P354" i="210"/>
  <c r="Q354" i="210"/>
  <c r="D355" i="210"/>
  <c r="K355" i="210"/>
  <c r="L355" i="210"/>
  <c r="N355" i="210"/>
  <c r="P355" i="210"/>
  <c r="Q355" i="210"/>
  <c r="D356" i="210"/>
  <c r="K356" i="210"/>
  <c r="L356" i="210"/>
  <c r="N356" i="210"/>
  <c r="P356" i="210"/>
  <c r="Q356" i="210"/>
  <c r="C359" i="210"/>
  <c r="C360" i="210" s="1"/>
  <c r="H359" i="210"/>
  <c r="E359" i="210" s="1"/>
  <c r="E360" i="210" s="1"/>
  <c r="E361" i="210" s="1"/>
  <c r="E363" i="210" s="1"/>
  <c r="E365" i="210" s="1"/>
  <c r="E367" i="210" s="1"/>
  <c r="E369" i="210" s="1"/>
  <c r="E371" i="210" s="1"/>
  <c r="I359" i="210"/>
  <c r="J359" i="210"/>
  <c r="I360" i="210"/>
  <c r="C361" i="210"/>
  <c r="I361" i="210"/>
  <c r="D363" i="210"/>
  <c r="K363" i="210"/>
  <c r="L363" i="210"/>
  <c r="N363" i="210"/>
  <c r="P363" i="210"/>
  <c r="Q363" i="210"/>
  <c r="D364" i="210"/>
  <c r="E364" i="210"/>
  <c r="K364" i="210"/>
  <c r="L364" i="210"/>
  <c r="N364" i="210"/>
  <c r="P364" i="210"/>
  <c r="Q364" i="210"/>
  <c r="D365" i="210"/>
  <c r="K365" i="210"/>
  <c r="L365" i="210"/>
  <c r="N365" i="210"/>
  <c r="P365" i="210"/>
  <c r="Q365" i="210"/>
  <c r="D366" i="210"/>
  <c r="E366" i="210"/>
  <c r="E368" i="210" s="1"/>
  <c r="E370" i="210" s="1"/>
  <c r="E372" i="210" s="1"/>
  <c r="K366" i="210"/>
  <c r="L366" i="210"/>
  <c r="N366" i="210"/>
  <c r="P366" i="210"/>
  <c r="Q366" i="210"/>
  <c r="D367" i="210"/>
  <c r="K367" i="210"/>
  <c r="L367" i="210"/>
  <c r="N367" i="210"/>
  <c r="P367" i="210"/>
  <c r="Q367" i="210"/>
  <c r="D368" i="210"/>
  <c r="K368" i="210"/>
  <c r="L368" i="210"/>
  <c r="N368" i="210"/>
  <c r="P368" i="210"/>
  <c r="Q368" i="210"/>
  <c r="D369" i="210"/>
  <c r="K369" i="210"/>
  <c r="L369" i="210"/>
  <c r="N369" i="210"/>
  <c r="P369" i="210"/>
  <c r="Q369" i="210"/>
  <c r="D370" i="210"/>
  <c r="K370" i="210"/>
  <c r="L370" i="210"/>
  <c r="N370" i="210"/>
  <c r="P370" i="210"/>
  <c r="Q370" i="210"/>
  <c r="D371" i="210"/>
  <c r="K371" i="210"/>
  <c r="L371" i="210"/>
  <c r="N371" i="210"/>
  <c r="P371" i="210"/>
  <c r="Q371" i="210"/>
  <c r="D372" i="210"/>
  <c r="K372" i="210"/>
  <c r="L372" i="210"/>
  <c r="N372" i="210"/>
  <c r="P372" i="210"/>
  <c r="Q372" i="210"/>
  <c r="C375" i="210"/>
  <c r="C376" i="210" s="1"/>
  <c r="C377" i="210" s="1"/>
  <c r="E375" i="210"/>
  <c r="E376" i="210" s="1"/>
  <c r="E377" i="210" s="1"/>
  <c r="E379" i="210" s="1"/>
  <c r="E381" i="210" s="1"/>
  <c r="E383" i="210" s="1"/>
  <c r="E385" i="210" s="1"/>
  <c r="E387" i="210" s="1"/>
  <c r="E389" i="210" s="1"/>
  <c r="E391" i="210" s="1"/>
  <c r="E393" i="210" s="1"/>
  <c r="E395" i="210" s="1"/>
  <c r="E397" i="210" s="1"/>
  <c r="E399" i="210" s="1"/>
  <c r="E401" i="210" s="1"/>
  <c r="E403" i="210" s="1"/>
  <c r="E405" i="210" s="1"/>
  <c r="E407" i="210" s="1"/>
  <c r="E409" i="210" s="1"/>
  <c r="E411" i="210" s="1"/>
  <c r="E413" i="210" s="1"/>
  <c r="E415" i="210" s="1"/>
  <c r="E417" i="210" s="1"/>
  <c r="E419" i="210" s="1"/>
  <c r="E421" i="210" s="1"/>
  <c r="E423" i="210" s="1"/>
  <c r="E425" i="210" s="1"/>
  <c r="E427" i="210" s="1"/>
  <c r="E429" i="210" s="1"/>
  <c r="E431" i="210" s="1"/>
  <c r="E433" i="210" s="1"/>
  <c r="E435" i="210" s="1"/>
  <c r="E437" i="210" s="1"/>
  <c r="E439" i="210" s="1"/>
  <c r="E441" i="210" s="1"/>
  <c r="H375" i="210"/>
  <c r="I375" i="210"/>
  <c r="J375" i="210"/>
  <c r="I376" i="210"/>
  <c r="I377" i="210"/>
  <c r="D379" i="210"/>
  <c r="K379" i="210"/>
  <c r="L379" i="210"/>
  <c r="N379" i="210"/>
  <c r="P379" i="210"/>
  <c r="Q379" i="210"/>
  <c r="D380" i="210"/>
  <c r="E380" i="210"/>
  <c r="K380" i="210"/>
  <c r="L380" i="210"/>
  <c r="N380" i="210"/>
  <c r="P380" i="210"/>
  <c r="Q380" i="210"/>
  <c r="D381" i="210"/>
  <c r="K381" i="210"/>
  <c r="L381" i="210"/>
  <c r="N381" i="210"/>
  <c r="P381" i="210"/>
  <c r="Q381" i="210"/>
  <c r="D382" i="210"/>
  <c r="E382" i="210"/>
  <c r="E384" i="210" s="1"/>
  <c r="E386" i="210" s="1"/>
  <c r="E388" i="210" s="1"/>
  <c r="E390" i="210" s="1"/>
  <c r="E392" i="210" s="1"/>
  <c r="E394" i="210" s="1"/>
  <c r="E396" i="210" s="1"/>
  <c r="E398" i="210" s="1"/>
  <c r="E400" i="210" s="1"/>
  <c r="E402" i="210" s="1"/>
  <c r="E404" i="210" s="1"/>
  <c r="E406" i="210" s="1"/>
  <c r="E408" i="210" s="1"/>
  <c r="E410" i="210" s="1"/>
  <c r="E412" i="210" s="1"/>
  <c r="E414" i="210" s="1"/>
  <c r="E416" i="210" s="1"/>
  <c r="E418" i="210" s="1"/>
  <c r="E420" i="210" s="1"/>
  <c r="E422" i="210" s="1"/>
  <c r="E424" i="210" s="1"/>
  <c r="E426" i="210" s="1"/>
  <c r="E428" i="210" s="1"/>
  <c r="E430" i="210" s="1"/>
  <c r="E432" i="210" s="1"/>
  <c r="E434" i="210" s="1"/>
  <c r="E436" i="210" s="1"/>
  <c r="E438" i="210" s="1"/>
  <c r="E440" i="210" s="1"/>
  <c r="E442" i="210" s="1"/>
  <c r="K382" i="210"/>
  <c r="L382" i="210"/>
  <c r="N382" i="210"/>
  <c r="P382" i="210"/>
  <c r="Q382" i="210"/>
  <c r="D383" i="210"/>
  <c r="K383" i="210"/>
  <c r="L383" i="210"/>
  <c r="N383" i="210"/>
  <c r="P383" i="210"/>
  <c r="Q383" i="210"/>
  <c r="D384" i="210"/>
  <c r="K384" i="210"/>
  <c r="L384" i="210"/>
  <c r="N384" i="210"/>
  <c r="P384" i="210"/>
  <c r="Q384" i="210"/>
  <c r="D385" i="210"/>
  <c r="K385" i="210"/>
  <c r="L385" i="210"/>
  <c r="N385" i="210"/>
  <c r="P385" i="210"/>
  <c r="Q385" i="210"/>
  <c r="D386" i="210"/>
  <c r="K386" i="210"/>
  <c r="L386" i="210"/>
  <c r="N386" i="210"/>
  <c r="P386" i="210"/>
  <c r="Q386" i="210"/>
  <c r="D387" i="210"/>
  <c r="K387" i="210"/>
  <c r="L387" i="210"/>
  <c r="N387" i="210"/>
  <c r="P387" i="210"/>
  <c r="Q387" i="210"/>
  <c r="D388" i="210"/>
  <c r="K388" i="210"/>
  <c r="L388" i="210"/>
  <c r="N388" i="210"/>
  <c r="P388" i="210"/>
  <c r="Q388" i="210"/>
  <c r="D389" i="210"/>
  <c r="K389" i="210"/>
  <c r="L389" i="210"/>
  <c r="N389" i="210"/>
  <c r="P389" i="210"/>
  <c r="Q389" i="210"/>
  <c r="D390" i="210"/>
  <c r="K390" i="210"/>
  <c r="L390" i="210"/>
  <c r="N390" i="210"/>
  <c r="P390" i="210"/>
  <c r="Q390" i="210"/>
  <c r="D391" i="210"/>
  <c r="K391" i="210"/>
  <c r="L391" i="210"/>
  <c r="N391" i="210"/>
  <c r="P391" i="210"/>
  <c r="Q391" i="210"/>
  <c r="D392" i="210"/>
  <c r="K392" i="210"/>
  <c r="L392" i="210"/>
  <c r="N392" i="210"/>
  <c r="P392" i="210"/>
  <c r="Q392" i="210"/>
  <c r="D393" i="210"/>
  <c r="K393" i="210"/>
  <c r="L393" i="210"/>
  <c r="N393" i="210"/>
  <c r="P393" i="210"/>
  <c r="Q393" i="210"/>
  <c r="D394" i="210"/>
  <c r="K394" i="210"/>
  <c r="L394" i="210"/>
  <c r="N394" i="210"/>
  <c r="P394" i="210"/>
  <c r="Q394" i="210"/>
  <c r="D395" i="210"/>
  <c r="K395" i="210"/>
  <c r="L395" i="210"/>
  <c r="N395" i="210"/>
  <c r="P395" i="210"/>
  <c r="Q395" i="210"/>
  <c r="D396" i="210"/>
  <c r="K396" i="210"/>
  <c r="L396" i="210"/>
  <c r="N396" i="210"/>
  <c r="P396" i="210"/>
  <c r="Q396" i="210"/>
  <c r="D397" i="210"/>
  <c r="K397" i="210"/>
  <c r="L397" i="210"/>
  <c r="N397" i="210"/>
  <c r="P397" i="210"/>
  <c r="Q397" i="210"/>
  <c r="D398" i="210"/>
  <c r="K398" i="210"/>
  <c r="L398" i="210"/>
  <c r="N398" i="210"/>
  <c r="P398" i="210"/>
  <c r="Q398" i="210"/>
  <c r="D399" i="210"/>
  <c r="K399" i="210"/>
  <c r="L399" i="210"/>
  <c r="N399" i="210"/>
  <c r="P399" i="210"/>
  <c r="Q399" i="210"/>
  <c r="D400" i="210"/>
  <c r="K400" i="210"/>
  <c r="L400" i="210"/>
  <c r="N400" i="210"/>
  <c r="P400" i="210"/>
  <c r="Q400" i="210"/>
  <c r="D401" i="210"/>
  <c r="K401" i="210"/>
  <c r="L401" i="210"/>
  <c r="N401" i="210"/>
  <c r="P401" i="210"/>
  <c r="Q401" i="210"/>
  <c r="D402" i="210"/>
  <c r="K402" i="210"/>
  <c r="L402" i="210"/>
  <c r="N402" i="210"/>
  <c r="P402" i="210"/>
  <c r="Q402" i="210"/>
  <c r="D403" i="210"/>
  <c r="K403" i="210"/>
  <c r="L403" i="210"/>
  <c r="N403" i="210"/>
  <c r="P403" i="210"/>
  <c r="Q403" i="210"/>
  <c r="D404" i="210"/>
  <c r="K404" i="210"/>
  <c r="L404" i="210"/>
  <c r="N404" i="210"/>
  <c r="P404" i="210"/>
  <c r="Q404" i="210"/>
  <c r="D405" i="210"/>
  <c r="K405" i="210"/>
  <c r="L405" i="210"/>
  <c r="N405" i="210"/>
  <c r="P405" i="210"/>
  <c r="Q405" i="210"/>
  <c r="D406" i="210"/>
  <c r="K406" i="210"/>
  <c r="L406" i="210"/>
  <c r="N406" i="210"/>
  <c r="P406" i="210"/>
  <c r="Q406" i="210"/>
  <c r="D407" i="210"/>
  <c r="K407" i="210"/>
  <c r="L407" i="210"/>
  <c r="N407" i="210"/>
  <c r="P407" i="210"/>
  <c r="Q407" i="210"/>
  <c r="D408" i="210"/>
  <c r="K408" i="210"/>
  <c r="L408" i="210"/>
  <c r="N408" i="210"/>
  <c r="P408" i="210"/>
  <c r="Q408" i="210"/>
  <c r="D409" i="210"/>
  <c r="K409" i="210"/>
  <c r="L409" i="210"/>
  <c r="N409" i="210"/>
  <c r="P409" i="210"/>
  <c r="Q409" i="210"/>
  <c r="D410" i="210"/>
  <c r="K410" i="210"/>
  <c r="L410" i="210"/>
  <c r="N410" i="210"/>
  <c r="P410" i="210"/>
  <c r="Q410" i="210"/>
  <c r="D411" i="210"/>
  <c r="K411" i="210"/>
  <c r="L411" i="210"/>
  <c r="N411" i="210"/>
  <c r="P411" i="210"/>
  <c r="Q411" i="210"/>
  <c r="D412" i="210"/>
  <c r="K412" i="210"/>
  <c r="L412" i="210"/>
  <c r="N412" i="210"/>
  <c r="P412" i="210"/>
  <c r="Q412" i="210"/>
  <c r="D413" i="210"/>
  <c r="K413" i="210"/>
  <c r="L413" i="210"/>
  <c r="N413" i="210"/>
  <c r="P413" i="210"/>
  <c r="Q413" i="210"/>
  <c r="D414" i="210"/>
  <c r="K414" i="210"/>
  <c r="L414" i="210"/>
  <c r="N414" i="210"/>
  <c r="P414" i="210"/>
  <c r="Q414" i="210"/>
  <c r="D415" i="210"/>
  <c r="K415" i="210"/>
  <c r="L415" i="210"/>
  <c r="N415" i="210"/>
  <c r="P415" i="210"/>
  <c r="Q415" i="210"/>
  <c r="D416" i="210"/>
  <c r="K416" i="210"/>
  <c r="L416" i="210"/>
  <c r="N416" i="210"/>
  <c r="P416" i="210"/>
  <c r="Q416" i="210"/>
  <c r="D417" i="210"/>
  <c r="K417" i="210"/>
  <c r="L417" i="210"/>
  <c r="N417" i="210"/>
  <c r="P417" i="210"/>
  <c r="Q417" i="210"/>
  <c r="D418" i="210"/>
  <c r="K418" i="210"/>
  <c r="L418" i="210"/>
  <c r="N418" i="210"/>
  <c r="P418" i="210"/>
  <c r="Q418" i="210"/>
  <c r="D419" i="210"/>
  <c r="K419" i="210"/>
  <c r="L419" i="210"/>
  <c r="N419" i="210"/>
  <c r="P419" i="210"/>
  <c r="Q419" i="210"/>
  <c r="D420" i="210"/>
  <c r="K420" i="210"/>
  <c r="L420" i="210"/>
  <c r="N420" i="210"/>
  <c r="P420" i="210"/>
  <c r="Q420" i="210"/>
  <c r="D421" i="210"/>
  <c r="K421" i="210"/>
  <c r="L421" i="210"/>
  <c r="N421" i="210"/>
  <c r="P421" i="210"/>
  <c r="Q421" i="210"/>
  <c r="D422" i="210"/>
  <c r="K422" i="210"/>
  <c r="L422" i="210"/>
  <c r="N422" i="210"/>
  <c r="P422" i="210"/>
  <c r="Q422" i="210"/>
  <c r="D423" i="210"/>
  <c r="K423" i="210"/>
  <c r="L423" i="210"/>
  <c r="N423" i="210"/>
  <c r="P423" i="210"/>
  <c r="Q423" i="210"/>
  <c r="D424" i="210"/>
  <c r="K424" i="210"/>
  <c r="L424" i="210"/>
  <c r="N424" i="210"/>
  <c r="P424" i="210"/>
  <c r="Q424" i="210"/>
  <c r="D425" i="210"/>
  <c r="K425" i="210"/>
  <c r="L425" i="210"/>
  <c r="N425" i="210"/>
  <c r="P425" i="210"/>
  <c r="Q425" i="210"/>
  <c r="D426" i="210"/>
  <c r="K426" i="210"/>
  <c r="L426" i="210"/>
  <c r="N426" i="210"/>
  <c r="P426" i="210"/>
  <c r="Q426" i="210"/>
  <c r="D427" i="210"/>
  <c r="K427" i="210"/>
  <c r="L427" i="210"/>
  <c r="N427" i="210"/>
  <c r="P427" i="210"/>
  <c r="Q427" i="210"/>
  <c r="D428" i="210"/>
  <c r="K428" i="210"/>
  <c r="L428" i="210"/>
  <c r="N428" i="210"/>
  <c r="P428" i="210"/>
  <c r="Q428" i="210"/>
  <c r="D429" i="210"/>
  <c r="K429" i="210"/>
  <c r="L429" i="210"/>
  <c r="N429" i="210"/>
  <c r="P429" i="210"/>
  <c r="Q429" i="210"/>
  <c r="D430" i="210"/>
  <c r="K430" i="210"/>
  <c r="L430" i="210"/>
  <c r="N430" i="210"/>
  <c r="P430" i="210"/>
  <c r="Q430" i="210"/>
  <c r="D431" i="210"/>
  <c r="K431" i="210"/>
  <c r="L431" i="210"/>
  <c r="N431" i="210"/>
  <c r="P431" i="210"/>
  <c r="Q431" i="210"/>
  <c r="D432" i="210"/>
  <c r="K432" i="210"/>
  <c r="L432" i="210"/>
  <c r="N432" i="210"/>
  <c r="P432" i="210"/>
  <c r="Q432" i="210"/>
  <c r="D433" i="210"/>
  <c r="K433" i="210"/>
  <c r="L433" i="210"/>
  <c r="N433" i="210"/>
  <c r="P433" i="210"/>
  <c r="Q433" i="210"/>
  <c r="D434" i="210"/>
  <c r="K434" i="210"/>
  <c r="L434" i="210"/>
  <c r="N434" i="210"/>
  <c r="P434" i="210"/>
  <c r="Q434" i="210"/>
  <c r="D435" i="210"/>
  <c r="K435" i="210"/>
  <c r="L435" i="210"/>
  <c r="N435" i="210"/>
  <c r="P435" i="210"/>
  <c r="Q435" i="210"/>
  <c r="D436" i="210"/>
  <c r="K436" i="210"/>
  <c r="L436" i="210"/>
  <c r="N436" i="210"/>
  <c r="P436" i="210"/>
  <c r="Q436" i="210"/>
  <c r="D437" i="210"/>
  <c r="K437" i="210"/>
  <c r="L437" i="210"/>
  <c r="N437" i="210"/>
  <c r="P437" i="210"/>
  <c r="Q437" i="210"/>
  <c r="D438" i="210"/>
  <c r="K438" i="210"/>
  <c r="L438" i="210"/>
  <c r="N438" i="210"/>
  <c r="P438" i="210"/>
  <c r="Q438" i="210"/>
  <c r="D439" i="210"/>
  <c r="K439" i="210"/>
  <c r="L439" i="210"/>
  <c r="N439" i="210"/>
  <c r="P439" i="210"/>
  <c r="Q439" i="210"/>
  <c r="D440" i="210"/>
  <c r="K440" i="210"/>
  <c r="L440" i="210"/>
  <c r="N440" i="210"/>
  <c r="P440" i="210"/>
  <c r="Q440" i="210"/>
  <c r="D441" i="210"/>
  <c r="K441" i="210"/>
  <c r="L441" i="210"/>
  <c r="N441" i="210"/>
  <c r="P441" i="210"/>
  <c r="Q441" i="210"/>
  <c r="D442" i="210"/>
  <c r="K442" i="210"/>
  <c r="L442" i="210"/>
  <c r="N442" i="210"/>
  <c r="P442" i="210"/>
  <c r="Q442" i="210"/>
  <c r="C445" i="210"/>
  <c r="H445" i="210"/>
  <c r="E445" i="210" s="1"/>
  <c r="I445" i="210"/>
  <c r="J445" i="210"/>
  <c r="C446" i="210"/>
  <c r="C447" i="210" s="1"/>
  <c r="E446" i="210"/>
  <c r="E447" i="210" s="1"/>
  <c r="E449" i="210" s="1"/>
  <c r="E451" i="210" s="1"/>
  <c r="E453" i="210" s="1"/>
  <c r="E455" i="210" s="1"/>
  <c r="E457" i="210" s="1"/>
  <c r="E459" i="210" s="1"/>
  <c r="E461" i="210" s="1"/>
  <c r="E463" i="210" s="1"/>
  <c r="E465" i="210" s="1"/>
  <c r="E467" i="210" s="1"/>
  <c r="E469" i="210" s="1"/>
  <c r="E471" i="210" s="1"/>
  <c r="E473" i="210" s="1"/>
  <c r="E475" i="210" s="1"/>
  <c r="E477" i="210" s="1"/>
  <c r="E479" i="210" s="1"/>
  <c r="E481" i="210" s="1"/>
  <c r="E483" i="210" s="1"/>
  <c r="E485" i="210" s="1"/>
  <c r="E487" i="210" s="1"/>
  <c r="E489" i="210" s="1"/>
  <c r="E491" i="210" s="1"/>
  <c r="E493" i="210" s="1"/>
  <c r="E495" i="210" s="1"/>
  <c r="E497" i="210" s="1"/>
  <c r="E499" i="210" s="1"/>
  <c r="E501" i="210" s="1"/>
  <c r="E503" i="210" s="1"/>
  <c r="E505" i="210" s="1"/>
  <c r="E507" i="210" s="1"/>
  <c r="E509" i="210" s="1"/>
  <c r="E511" i="210" s="1"/>
  <c r="I446" i="210"/>
  <c r="I447" i="210"/>
  <c r="D449" i="210"/>
  <c r="K449" i="210"/>
  <c r="L449" i="210"/>
  <c r="N449" i="210"/>
  <c r="P449" i="210"/>
  <c r="Q449" i="210"/>
  <c r="D450" i="210"/>
  <c r="E450" i="210"/>
  <c r="E452" i="210" s="1"/>
  <c r="E454" i="210" s="1"/>
  <c r="E456" i="210" s="1"/>
  <c r="E458" i="210" s="1"/>
  <c r="E460" i="210" s="1"/>
  <c r="E462" i="210" s="1"/>
  <c r="E464" i="210" s="1"/>
  <c r="E466" i="210" s="1"/>
  <c r="E468" i="210" s="1"/>
  <c r="E470" i="210" s="1"/>
  <c r="E472" i="210" s="1"/>
  <c r="E474" i="210" s="1"/>
  <c r="E476" i="210" s="1"/>
  <c r="E478" i="210" s="1"/>
  <c r="E480" i="210" s="1"/>
  <c r="E482" i="210" s="1"/>
  <c r="E484" i="210" s="1"/>
  <c r="E486" i="210" s="1"/>
  <c r="E488" i="210" s="1"/>
  <c r="E490" i="210" s="1"/>
  <c r="E492" i="210" s="1"/>
  <c r="E494" i="210" s="1"/>
  <c r="E496" i="210" s="1"/>
  <c r="E498" i="210" s="1"/>
  <c r="E500" i="210" s="1"/>
  <c r="E502" i="210" s="1"/>
  <c r="E504" i="210" s="1"/>
  <c r="E506" i="210" s="1"/>
  <c r="E508" i="210" s="1"/>
  <c r="E510" i="210" s="1"/>
  <c r="K450" i="210"/>
  <c r="L450" i="210"/>
  <c r="N450" i="210"/>
  <c r="P450" i="210"/>
  <c r="Q450" i="210"/>
  <c r="D451" i="210"/>
  <c r="K451" i="210"/>
  <c r="L451" i="210"/>
  <c r="N451" i="210"/>
  <c r="P451" i="210"/>
  <c r="Q451" i="210"/>
  <c r="D452" i="210"/>
  <c r="K452" i="210"/>
  <c r="L452" i="210"/>
  <c r="N452" i="210"/>
  <c r="P452" i="210"/>
  <c r="Q452" i="210"/>
  <c r="D453" i="210"/>
  <c r="K453" i="210"/>
  <c r="L453" i="210"/>
  <c r="N453" i="210"/>
  <c r="P453" i="210"/>
  <c r="Q453" i="210"/>
  <c r="D454" i="210"/>
  <c r="K454" i="210"/>
  <c r="L454" i="210"/>
  <c r="N454" i="210"/>
  <c r="P454" i="210"/>
  <c r="Q454" i="210"/>
  <c r="D455" i="210"/>
  <c r="K455" i="210"/>
  <c r="L455" i="210"/>
  <c r="N455" i="210"/>
  <c r="P455" i="210"/>
  <c r="Q455" i="210"/>
  <c r="D456" i="210"/>
  <c r="K456" i="210"/>
  <c r="L456" i="210"/>
  <c r="N456" i="210"/>
  <c r="P456" i="210"/>
  <c r="Q456" i="210"/>
  <c r="D457" i="210"/>
  <c r="K457" i="210"/>
  <c r="L457" i="210"/>
  <c r="N457" i="210"/>
  <c r="P457" i="210"/>
  <c r="Q457" i="210"/>
  <c r="D458" i="210"/>
  <c r="K458" i="210"/>
  <c r="L458" i="210"/>
  <c r="N458" i="210"/>
  <c r="P458" i="210"/>
  <c r="Q458" i="210"/>
  <c r="D459" i="210"/>
  <c r="K459" i="210"/>
  <c r="L459" i="210"/>
  <c r="N459" i="210"/>
  <c r="P459" i="210"/>
  <c r="Q459" i="210"/>
  <c r="D460" i="210"/>
  <c r="K460" i="210"/>
  <c r="L460" i="210"/>
  <c r="N460" i="210"/>
  <c r="P460" i="210"/>
  <c r="Q460" i="210"/>
  <c r="D461" i="210"/>
  <c r="K461" i="210"/>
  <c r="L461" i="210"/>
  <c r="N461" i="210"/>
  <c r="P461" i="210"/>
  <c r="Q461" i="210"/>
  <c r="D462" i="210"/>
  <c r="K462" i="210"/>
  <c r="L462" i="210"/>
  <c r="N462" i="210"/>
  <c r="P462" i="210"/>
  <c r="Q462" i="210"/>
  <c r="D463" i="210"/>
  <c r="K463" i="210"/>
  <c r="L463" i="210"/>
  <c r="N463" i="210"/>
  <c r="P463" i="210"/>
  <c r="Q463" i="210"/>
  <c r="D464" i="210"/>
  <c r="K464" i="210"/>
  <c r="L464" i="210"/>
  <c r="N464" i="210"/>
  <c r="P464" i="210"/>
  <c r="Q464" i="210"/>
  <c r="D465" i="210"/>
  <c r="K465" i="210"/>
  <c r="L465" i="210"/>
  <c r="N465" i="210"/>
  <c r="P465" i="210"/>
  <c r="Q465" i="210"/>
  <c r="D466" i="210"/>
  <c r="K466" i="210"/>
  <c r="L466" i="210"/>
  <c r="N466" i="210"/>
  <c r="P466" i="210"/>
  <c r="Q466" i="210"/>
  <c r="D467" i="210"/>
  <c r="K467" i="210"/>
  <c r="L467" i="210"/>
  <c r="N467" i="210"/>
  <c r="P467" i="210"/>
  <c r="Q467" i="210"/>
  <c r="D468" i="210"/>
  <c r="K468" i="210"/>
  <c r="L468" i="210"/>
  <c r="N468" i="210"/>
  <c r="P468" i="210"/>
  <c r="Q468" i="210"/>
  <c r="D469" i="210"/>
  <c r="K469" i="210"/>
  <c r="L469" i="210"/>
  <c r="N469" i="210"/>
  <c r="P469" i="210"/>
  <c r="Q469" i="210"/>
  <c r="D470" i="210"/>
  <c r="K470" i="210"/>
  <c r="L470" i="210"/>
  <c r="N470" i="210"/>
  <c r="P470" i="210"/>
  <c r="Q470" i="210"/>
  <c r="D471" i="210"/>
  <c r="K471" i="210"/>
  <c r="L471" i="210"/>
  <c r="N471" i="210"/>
  <c r="P471" i="210"/>
  <c r="Q471" i="210"/>
  <c r="D472" i="210"/>
  <c r="K472" i="210"/>
  <c r="L472" i="210"/>
  <c r="N472" i="210"/>
  <c r="P472" i="210"/>
  <c r="Q472" i="210"/>
  <c r="D473" i="210"/>
  <c r="K473" i="210"/>
  <c r="L473" i="210"/>
  <c r="N473" i="210"/>
  <c r="P473" i="210"/>
  <c r="Q473" i="210"/>
  <c r="D474" i="210"/>
  <c r="K474" i="210"/>
  <c r="L474" i="210"/>
  <c r="N474" i="210"/>
  <c r="P474" i="210"/>
  <c r="Q474" i="210"/>
  <c r="D475" i="210"/>
  <c r="K475" i="210"/>
  <c r="L475" i="210"/>
  <c r="N475" i="210"/>
  <c r="P475" i="210"/>
  <c r="Q475" i="210"/>
  <c r="D476" i="210"/>
  <c r="K476" i="210"/>
  <c r="L476" i="210"/>
  <c r="N476" i="210"/>
  <c r="P476" i="210"/>
  <c r="Q476" i="210"/>
  <c r="D477" i="210"/>
  <c r="K477" i="210"/>
  <c r="L477" i="210"/>
  <c r="N477" i="210"/>
  <c r="P477" i="210"/>
  <c r="Q477" i="210"/>
  <c r="D478" i="210"/>
  <c r="K478" i="210"/>
  <c r="L478" i="210"/>
  <c r="N478" i="210"/>
  <c r="P478" i="210"/>
  <c r="Q478" i="210"/>
  <c r="D479" i="210"/>
  <c r="K479" i="210"/>
  <c r="L479" i="210"/>
  <c r="N479" i="210"/>
  <c r="P479" i="210"/>
  <c r="Q479" i="210"/>
  <c r="D480" i="210"/>
  <c r="K480" i="210"/>
  <c r="L480" i="210"/>
  <c r="N480" i="210"/>
  <c r="P480" i="210"/>
  <c r="Q480" i="210"/>
  <c r="D481" i="210"/>
  <c r="K481" i="210"/>
  <c r="L481" i="210"/>
  <c r="N481" i="210"/>
  <c r="P481" i="210"/>
  <c r="Q481" i="210"/>
  <c r="D482" i="210"/>
  <c r="K482" i="210"/>
  <c r="L482" i="210"/>
  <c r="N482" i="210"/>
  <c r="P482" i="210"/>
  <c r="Q482" i="210"/>
  <c r="D483" i="210"/>
  <c r="K483" i="210"/>
  <c r="L483" i="210"/>
  <c r="N483" i="210"/>
  <c r="P483" i="210"/>
  <c r="Q483" i="210"/>
  <c r="D484" i="210"/>
  <c r="K484" i="210"/>
  <c r="L484" i="210"/>
  <c r="N484" i="210"/>
  <c r="P484" i="210"/>
  <c r="Q484" i="210"/>
  <c r="D485" i="210"/>
  <c r="K485" i="210"/>
  <c r="L485" i="210"/>
  <c r="N485" i="210"/>
  <c r="P485" i="210"/>
  <c r="Q485" i="210"/>
  <c r="D486" i="210"/>
  <c r="K486" i="210"/>
  <c r="L486" i="210"/>
  <c r="N486" i="210"/>
  <c r="P486" i="210"/>
  <c r="Q486" i="210"/>
  <c r="D487" i="210"/>
  <c r="K487" i="210"/>
  <c r="L487" i="210"/>
  <c r="N487" i="210"/>
  <c r="P487" i="210"/>
  <c r="Q487" i="210"/>
  <c r="D488" i="210"/>
  <c r="K488" i="210"/>
  <c r="L488" i="210"/>
  <c r="N488" i="210"/>
  <c r="P488" i="210"/>
  <c r="Q488" i="210"/>
  <c r="D489" i="210"/>
  <c r="K489" i="210"/>
  <c r="L489" i="210"/>
  <c r="N489" i="210"/>
  <c r="P489" i="210"/>
  <c r="Q489" i="210"/>
  <c r="D490" i="210"/>
  <c r="K490" i="210"/>
  <c r="L490" i="210"/>
  <c r="N490" i="210"/>
  <c r="P490" i="210"/>
  <c r="Q490" i="210"/>
  <c r="D491" i="210"/>
  <c r="K491" i="210"/>
  <c r="L491" i="210"/>
  <c r="N491" i="210"/>
  <c r="P491" i="210"/>
  <c r="Q491" i="210"/>
  <c r="D492" i="210"/>
  <c r="K492" i="210"/>
  <c r="L492" i="210"/>
  <c r="N492" i="210"/>
  <c r="P492" i="210"/>
  <c r="Q492" i="210"/>
  <c r="D493" i="210"/>
  <c r="K493" i="210"/>
  <c r="L493" i="210"/>
  <c r="N493" i="210"/>
  <c r="P493" i="210"/>
  <c r="Q493" i="210"/>
  <c r="D494" i="210"/>
  <c r="K494" i="210"/>
  <c r="L494" i="210"/>
  <c r="N494" i="210"/>
  <c r="P494" i="210"/>
  <c r="Q494" i="210"/>
  <c r="D495" i="210"/>
  <c r="K495" i="210"/>
  <c r="L495" i="210"/>
  <c r="N495" i="210"/>
  <c r="P495" i="210"/>
  <c r="Q495" i="210"/>
  <c r="D496" i="210"/>
  <c r="K496" i="210"/>
  <c r="L496" i="210"/>
  <c r="N496" i="210"/>
  <c r="P496" i="210"/>
  <c r="Q496" i="210"/>
  <c r="D497" i="210"/>
  <c r="K497" i="210"/>
  <c r="L497" i="210"/>
  <c r="N497" i="210"/>
  <c r="P497" i="210"/>
  <c r="Q497" i="210"/>
  <c r="D498" i="210"/>
  <c r="K498" i="210"/>
  <c r="L498" i="210"/>
  <c r="N498" i="210"/>
  <c r="P498" i="210"/>
  <c r="Q498" i="210"/>
  <c r="D499" i="210"/>
  <c r="K499" i="210"/>
  <c r="L499" i="210"/>
  <c r="N499" i="210"/>
  <c r="P499" i="210"/>
  <c r="Q499" i="210"/>
  <c r="D500" i="210"/>
  <c r="K500" i="210"/>
  <c r="L500" i="210"/>
  <c r="N500" i="210"/>
  <c r="P500" i="210"/>
  <c r="Q500" i="210"/>
  <c r="D501" i="210"/>
  <c r="K501" i="210"/>
  <c r="L501" i="210"/>
  <c r="N501" i="210"/>
  <c r="P501" i="210"/>
  <c r="Q501" i="210"/>
  <c r="D502" i="210"/>
  <c r="K502" i="210"/>
  <c r="L502" i="210"/>
  <c r="N502" i="210"/>
  <c r="P502" i="210"/>
  <c r="Q502" i="210"/>
  <c r="D503" i="210"/>
  <c r="K503" i="210"/>
  <c r="L503" i="210"/>
  <c r="N503" i="210"/>
  <c r="P503" i="210"/>
  <c r="Q503" i="210"/>
  <c r="D504" i="210"/>
  <c r="K504" i="210"/>
  <c r="L504" i="210"/>
  <c r="N504" i="210"/>
  <c r="P504" i="210"/>
  <c r="Q504" i="210"/>
  <c r="D505" i="210"/>
  <c r="K505" i="210"/>
  <c r="L505" i="210"/>
  <c r="N505" i="210"/>
  <c r="P505" i="210"/>
  <c r="Q505" i="210"/>
  <c r="D506" i="210"/>
  <c r="K506" i="210"/>
  <c r="L506" i="210"/>
  <c r="N506" i="210"/>
  <c r="P506" i="210"/>
  <c r="Q506" i="210"/>
  <c r="D507" i="210"/>
  <c r="K507" i="210"/>
  <c r="L507" i="210"/>
  <c r="N507" i="210"/>
  <c r="P507" i="210"/>
  <c r="Q507" i="210"/>
  <c r="D508" i="210"/>
  <c r="K508" i="210"/>
  <c r="L508" i="210"/>
  <c r="N508" i="210"/>
  <c r="P508" i="210"/>
  <c r="Q508" i="210"/>
  <c r="D509" i="210"/>
  <c r="K509" i="210"/>
  <c r="L509" i="210"/>
  <c r="N509" i="210"/>
  <c r="P509" i="210"/>
  <c r="Q509" i="210"/>
  <c r="D510" i="210"/>
  <c r="K510" i="210"/>
  <c r="L510" i="210"/>
  <c r="N510" i="210"/>
  <c r="P510" i="210"/>
  <c r="Q510" i="210"/>
  <c r="D511" i="210"/>
  <c r="K511" i="210"/>
  <c r="L511" i="210"/>
  <c r="N511" i="210"/>
  <c r="P511" i="210"/>
  <c r="Q511" i="210"/>
  <c r="C514" i="210"/>
  <c r="C515" i="210" s="1"/>
  <c r="C516" i="210" s="1"/>
  <c r="H514" i="210"/>
  <c r="E514" i="210" s="1"/>
  <c r="I514" i="210"/>
  <c r="J514" i="210"/>
  <c r="E515" i="210"/>
  <c r="E516" i="210" s="1"/>
  <c r="E518" i="210" s="1"/>
  <c r="E520" i="210" s="1"/>
  <c r="E522" i="210" s="1"/>
  <c r="E524" i="210" s="1"/>
  <c r="E526" i="210" s="1"/>
  <c r="E528" i="210" s="1"/>
  <c r="E530" i="210" s="1"/>
  <c r="E532" i="210" s="1"/>
  <c r="E534" i="210" s="1"/>
  <c r="E536" i="210" s="1"/>
  <c r="E538" i="210" s="1"/>
  <c r="E540" i="210" s="1"/>
  <c r="E542" i="210" s="1"/>
  <c r="E544" i="210" s="1"/>
  <c r="E546" i="210" s="1"/>
  <c r="E548" i="210" s="1"/>
  <c r="E550" i="210" s="1"/>
  <c r="E552" i="210" s="1"/>
  <c r="E554" i="210" s="1"/>
  <c r="E556" i="210" s="1"/>
  <c r="E558" i="210" s="1"/>
  <c r="E560" i="210" s="1"/>
  <c r="I515" i="210"/>
  <c r="I516" i="210"/>
  <c r="D518" i="210"/>
  <c r="K518" i="210"/>
  <c r="L518" i="210"/>
  <c r="N518" i="210"/>
  <c r="P518" i="210"/>
  <c r="Q518" i="210"/>
  <c r="D519" i="210"/>
  <c r="E519" i="210"/>
  <c r="E521" i="210" s="1"/>
  <c r="E523" i="210" s="1"/>
  <c r="E525" i="210" s="1"/>
  <c r="K519" i="210"/>
  <c r="L519" i="210"/>
  <c r="N519" i="210"/>
  <c r="P519" i="210"/>
  <c r="Q519" i="210"/>
  <c r="D520" i="210"/>
  <c r="K520" i="210"/>
  <c r="L520" i="210"/>
  <c r="N520" i="210"/>
  <c r="P520" i="210"/>
  <c r="Q520" i="210"/>
  <c r="D521" i="210"/>
  <c r="K521" i="210"/>
  <c r="L521" i="210"/>
  <c r="N521" i="210"/>
  <c r="P521" i="210"/>
  <c r="Q521" i="210"/>
  <c r="D522" i="210"/>
  <c r="K522" i="210"/>
  <c r="L522" i="210"/>
  <c r="N522" i="210"/>
  <c r="P522" i="210"/>
  <c r="Q522" i="210"/>
  <c r="D523" i="210"/>
  <c r="K523" i="210"/>
  <c r="L523" i="210"/>
  <c r="N523" i="210"/>
  <c r="P523" i="210"/>
  <c r="Q523" i="210"/>
  <c r="D524" i="210"/>
  <c r="K524" i="210"/>
  <c r="L524" i="210"/>
  <c r="N524" i="210"/>
  <c r="P524" i="210"/>
  <c r="Q524" i="210"/>
  <c r="D525" i="210"/>
  <c r="K525" i="210"/>
  <c r="L525" i="210"/>
  <c r="N525" i="210"/>
  <c r="P525" i="210"/>
  <c r="Q525" i="210"/>
  <c r="D526" i="210"/>
  <c r="K526" i="210"/>
  <c r="L526" i="210"/>
  <c r="N526" i="210"/>
  <c r="P526" i="210"/>
  <c r="Q526" i="210"/>
  <c r="D527" i="210"/>
  <c r="E527" i="210"/>
  <c r="E529" i="210" s="1"/>
  <c r="E531" i="210" s="1"/>
  <c r="E533" i="210" s="1"/>
  <c r="E535" i="210" s="1"/>
  <c r="E537" i="210" s="1"/>
  <c r="E539" i="210" s="1"/>
  <c r="E541" i="210" s="1"/>
  <c r="E543" i="210" s="1"/>
  <c r="E545" i="210" s="1"/>
  <c r="E547" i="210" s="1"/>
  <c r="E549" i="210" s="1"/>
  <c r="E551" i="210" s="1"/>
  <c r="K527" i="210"/>
  <c r="L527" i="210"/>
  <c r="N527" i="210"/>
  <c r="P527" i="210"/>
  <c r="Q527" i="210"/>
  <c r="D528" i="210"/>
  <c r="K528" i="210"/>
  <c r="L528" i="210"/>
  <c r="N528" i="210"/>
  <c r="P528" i="210"/>
  <c r="Q528" i="210"/>
  <c r="D529" i="210"/>
  <c r="K529" i="210"/>
  <c r="L529" i="210"/>
  <c r="N529" i="210"/>
  <c r="P529" i="210"/>
  <c r="Q529" i="210"/>
  <c r="D530" i="210"/>
  <c r="K530" i="210"/>
  <c r="L530" i="210"/>
  <c r="N530" i="210"/>
  <c r="P530" i="210"/>
  <c r="Q530" i="210"/>
  <c r="D531" i="210"/>
  <c r="K531" i="210"/>
  <c r="L531" i="210"/>
  <c r="N531" i="210"/>
  <c r="P531" i="210"/>
  <c r="Q531" i="210"/>
  <c r="D532" i="210"/>
  <c r="K532" i="210"/>
  <c r="L532" i="210"/>
  <c r="N532" i="210"/>
  <c r="P532" i="210"/>
  <c r="Q532" i="210"/>
  <c r="D533" i="210"/>
  <c r="K533" i="210"/>
  <c r="L533" i="210"/>
  <c r="N533" i="210"/>
  <c r="P533" i="210"/>
  <c r="Q533" i="210"/>
  <c r="D534" i="210"/>
  <c r="K534" i="210"/>
  <c r="L534" i="210"/>
  <c r="N534" i="210"/>
  <c r="P534" i="210"/>
  <c r="Q534" i="210"/>
  <c r="D535" i="210"/>
  <c r="K535" i="210"/>
  <c r="L535" i="210"/>
  <c r="N535" i="210"/>
  <c r="P535" i="210"/>
  <c r="Q535" i="210"/>
  <c r="D536" i="210"/>
  <c r="K536" i="210"/>
  <c r="L536" i="210"/>
  <c r="N536" i="210"/>
  <c r="P536" i="210"/>
  <c r="Q536" i="210"/>
  <c r="D537" i="210"/>
  <c r="K537" i="210"/>
  <c r="L537" i="210"/>
  <c r="N537" i="210"/>
  <c r="P537" i="210"/>
  <c r="Q537" i="210"/>
  <c r="D538" i="210"/>
  <c r="K538" i="210"/>
  <c r="L538" i="210"/>
  <c r="N538" i="210"/>
  <c r="P538" i="210"/>
  <c r="Q538" i="210"/>
  <c r="D539" i="210"/>
  <c r="K539" i="210"/>
  <c r="L539" i="210"/>
  <c r="N539" i="210"/>
  <c r="P539" i="210"/>
  <c r="Q539" i="210"/>
  <c r="D540" i="210"/>
  <c r="K540" i="210"/>
  <c r="L540" i="210"/>
  <c r="N540" i="210"/>
  <c r="P540" i="210"/>
  <c r="Q540" i="210"/>
  <c r="D541" i="210"/>
  <c r="K541" i="210"/>
  <c r="L541" i="210"/>
  <c r="N541" i="210"/>
  <c r="P541" i="210"/>
  <c r="Q541" i="210"/>
  <c r="D542" i="210"/>
  <c r="K542" i="210"/>
  <c r="L542" i="210"/>
  <c r="N542" i="210"/>
  <c r="P542" i="210"/>
  <c r="Q542" i="210"/>
  <c r="D543" i="210"/>
  <c r="K543" i="210"/>
  <c r="L543" i="210"/>
  <c r="N543" i="210"/>
  <c r="P543" i="210"/>
  <c r="Q543" i="210"/>
  <c r="D544" i="210"/>
  <c r="K544" i="210"/>
  <c r="L544" i="210"/>
  <c r="N544" i="210"/>
  <c r="P544" i="210"/>
  <c r="Q544" i="210"/>
  <c r="D545" i="210"/>
  <c r="K545" i="210"/>
  <c r="L545" i="210"/>
  <c r="N545" i="210"/>
  <c r="P545" i="210"/>
  <c r="Q545" i="210"/>
  <c r="D546" i="210"/>
  <c r="K546" i="210"/>
  <c r="L546" i="210"/>
  <c r="N546" i="210"/>
  <c r="P546" i="210"/>
  <c r="Q546" i="210"/>
  <c r="D547" i="210"/>
  <c r="K547" i="210"/>
  <c r="L547" i="210"/>
  <c r="N547" i="210"/>
  <c r="P547" i="210"/>
  <c r="Q547" i="210"/>
  <c r="D548" i="210"/>
  <c r="K548" i="210"/>
  <c r="L548" i="210"/>
  <c r="N548" i="210"/>
  <c r="P548" i="210"/>
  <c r="Q548" i="210"/>
  <c r="D549" i="210"/>
  <c r="K549" i="210"/>
  <c r="L549" i="210"/>
  <c r="N549" i="210"/>
  <c r="P549" i="210"/>
  <c r="Q549" i="210"/>
  <c r="D550" i="210"/>
  <c r="K550" i="210"/>
  <c r="L550" i="210"/>
  <c r="N550" i="210"/>
  <c r="P550" i="210"/>
  <c r="Q550" i="210"/>
  <c r="D551" i="210"/>
  <c r="K551" i="210"/>
  <c r="L551" i="210"/>
  <c r="N551" i="210"/>
  <c r="P551" i="210"/>
  <c r="Q551" i="210"/>
  <c r="D552" i="210"/>
  <c r="K552" i="210"/>
  <c r="L552" i="210"/>
  <c r="N552" i="210"/>
  <c r="P552" i="210"/>
  <c r="Q552" i="210"/>
  <c r="D553" i="210"/>
  <c r="E553" i="210"/>
  <c r="E555" i="210" s="1"/>
  <c r="E557" i="210" s="1"/>
  <c r="E559" i="210" s="1"/>
  <c r="K553" i="210"/>
  <c r="L553" i="210"/>
  <c r="N553" i="210"/>
  <c r="P553" i="210"/>
  <c r="Q553" i="210"/>
  <c r="D554" i="210"/>
  <c r="K554" i="210"/>
  <c r="L554" i="210"/>
  <c r="N554" i="210"/>
  <c r="P554" i="210"/>
  <c r="Q554" i="210"/>
  <c r="D555" i="210"/>
  <c r="K555" i="210"/>
  <c r="L555" i="210"/>
  <c r="N555" i="210"/>
  <c r="P555" i="210"/>
  <c r="Q555" i="210"/>
  <c r="D556" i="210"/>
  <c r="K556" i="210"/>
  <c r="L556" i="210"/>
  <c r="N556" i="210"/>
  <c r="P556" i="210"/>
  <c r="Q556" i="210"/>
  <c r="D557" i="210"/>
  <c r="K557" i="210"/>
  <c r="L557" i="210"/>
  <c r="N557" i="210"/>
  <c r="P557" i="210"/>
  <c r="Q557" i="210"/>
  <c r="D558" i="210"/>
  <c r="K558" i="210"/>
  <c r="L558" i="210"/>
  <c r="N558" i="210"/>
  <c r="P558" i="210"/>
  <c r="Q558" i="210"/>
  <c r="D559" i="210"/>
  <c r="K559" i="210"/>
  <c r="L559" i="210"/>
  <c r="N559" i="210"/>
  <c r="P559" i="210"/>
  <c r="Q559" i="210"/>
  <c r="D560" i="210"/>
  <c r="K560" i="210"/>
  <c r="L560" i="210"/>
  <c r="N560" i="210"/>
  <c r="P560" i="210"/>
  <c r="Q560" i="210"/>
  <c r="C563" i="210"/>
  <c r="C564" i="210" s="1"/>
  <c r="C565" i="210" s="1"/>
  <c r="H563" i="210"/>
  <c r="E563" i="210" s="1"/>
  <c r="E564" i="210" s="1"/>
  <c r="E565" i="210" s="1"/>
  <c r="E567" i="210" s="1"/>
  <c r="E569" i="210" s="1"/>
  <c r="E571" i="210" s="1"/>
  <c r="E573" i="210" s="1"/>
  <c r="E575" i="210" s="1"/>
  <c r="E577" i="210" s="1"/>
  <c r="E579" i="210" s="1"/>
  <c r="E581" i="210" s="1"/>
  <c r="E583" i="210" s="1"/>
  <c r="E585" i="210" s="1"/>
  <c r="E587" i="210" s="1"/>
  <c r="E589" i="210" s="1"/>
  <c r="E591" i="210" s="1"/>
  <c r="E593" i="210" s="1"/>
  <c r="E595" i="210" s="1"/>
  <c r="E597" i="210" s="1"/>
  <c r="E599" i="210" s="1"/>
  <c r="E601" i="210" s="1"/>
  <c r="E603" i="210" s="1"/>
  <c r="E605" i="210" s="1"/>
  <c r="E607" i="210" s="1"/>
  <c r="E609" i="210" s="1"/>
  <c r="E611" i="210" s="1"/>
  <c r="E613" i="210" s="1"/>
  <c r="E615" i="210" s="1"/>
  <c r="E617" i="210" s="1"/>
  <c r="E619" i="210" s="1"/>
  <c r="I563" i="210"/>
  <c r="J563" i="210"/>
  <c r="I564" i="210"/>
  <c r="I565" i="210"/>
  <c r="D567" i="210"/>
  <c r="K567" i="210"/>
  <c r="L567" i="210"/>
  <c r="N567" i="210"/>
  <c r="P567" i="210"/>
  <c r="Q567" i="210"/>
  <c r="D568" i="210"/>
  <c r="E568" i="210"/>
  <c r="E570" i="210" s="1"/>
  <c r="E572" i="210" s="1"/>
  <c r="E574" i="210" s="1"/>
  <c r="E576" i="210" s="1"/>
  <c r="E578" i="210" s="1"/>
  <c r="E580" i="210" s="1"/>
  <c r="E582" i="210" s="1"/>
  <c r="E584" i="210" s="1"/>
  <c r="E586" i="210" s="1"/>
  <c r="E588" i="210" s="1"/>
  <c r="E590" i="210" s="1"/>
  <c r="E592" i="210" s="1"/>
  <c r="E594" i="210" s="1"/>
  <c r="E596" i="210" s="1"/>
  <c r="E598" i="210" s="1"/>
  <c r="E600" i="210" s="1"/>
  <c r="E602" i="210" s="1"/>
  <c r="E604" i="210" s="1"/>
  <c r="E606" i="210" s="1"/>
  <c r="E608" i="210" s="1"/>
  <c r="E610" i="210" s="1"/>
  <c r="E612" i="210" s="1"/>
  <c r="E614" i="210" s="1"/>
  <c r="E616" i="210" s="1"/>
  <c r="E618" i="210" s="1"/>
  <c r="E620" i="210" s="1"/>
  <c r="K568" i="210"/>
  <c r="L568" i="210"/>
  <c r="N568" i="210"/>
  <c r="P568" i="210"/>
  <c r="Q568" i="210"/>
  <c r="D569" i="210"/>
  <c r="K569" i="210"/>
  <c r="L569" i="210"/>
  <c r="N569" i="210"/>
  <c r="P569" i="210"/>
  <c r="Q569" i="210"/>
  <c r="D570" i="210"/>
  <c r="K570" i="210"/>
  <c r="L570" i="210"/>
  <c r="N570" i="210"/>
  <c r="P570" i="210"/>
  <c r="Q570" i="210"/>
  <c r="D571" i="210"/>
  <c r="K571" i="210"/>
  <c r="L571" i="210"/>
  <c r="N571" i="210"/>
  <c r="P571" i="210"/>
  <c r="Q571" i="210"/>
  <c r="D572" i="210"/>
  <c r="K572" i="210"/>
  <c r="L572" i="210"/>
  <c r="N572" i="210"/>
  <c r="P572" i="210"/>
  <c r="Q572" i="210"/>
  <c r="D573" i="210"/>
  <c r="K573" i="210"/>
  <c r="L573" i="210"/>
  <c r="N573" i="210"/>
  <c r="P573" i="210"/>
  <c r="Q573" i="210"/>
  <c r="D574" i="210"/>
  <c r="K574" i="210"/>
  <c r="L574" i="210"/>
  <c r="N574" i="210"/>
  <c r="P574" i="210"/>
  <c r="Q574" i="210"/>
  <c r="D575" i="210"/>
  <c r="K575" i="210"/>
  <c r="L575" i="210"/>
  <c r="N575" i="210"/>
  <c r="P575" i="210"/>
  <c r="Q575" i="210"/>
  <c r="D576" i="210"/>
  <c r="K576" i="210"/>
  <c r="L576" i="210"/>
  <c r="N576" i="210"/>
  <c r="P576" i="210"/>
  <c r="Q576" i="210"/>
  <c r="D577" i="210"/>
  <c r="K577" i="210"/>
  <c r="L577" i="210"/>
  <c r="N577" i="210"/>
  <c r="P577" i="210"/>
  <c r="Q577" i="210"/>
  <c r="D578" i="210"/>
  <c r="K578" i="210"/>
  <c r="L578" i="210"/>
  <c r="N578" i="210"/>
  <c r="P578" i="210"/>
  <c r="Q578" i="210"/>
  <c r="D579" i="210"/>
  <c r="K579" i="210"/>
  <c r="L579" i="210"/>
  <c r="N579" i="210"/>
  <c r="P579" i="210"/>
  <c r="Q579" i="210"/>
  <c r="D580" i="210"/>
  <c r="K580" i="210"/>
  <c r="L580" i="210"/>
  <c r="N580" i="210"/>
  <c r="P580" i="210"/>
  <c r="Q580" i="210"/>
  <c r="D581" i="210"/>
  <c r="K581" i="210"/>
  <c r="L581" i="210"/>
  <c r="N581" i="210"/>
  <c r="P581" i="210"/>
  <c r="Q581" i="210"/>
  <c r="D582" i="210"/>
  <c r="K582" i="210"/>
  <c r="L582" i="210"/>
  <c r="N582" i="210"/>
  <c r="P582" i="210"/>
  <c r="Q582" i="210"/>
  <c r="D583" i="210"/>
  <c r="K583" i="210"/>
  <c r="L583" i="210"/>
  <c r="N583" i="210"/>
  <c r="P583" i="210"/>
  <c r="Q583" i="210"/>
  <c r="D584" i="210"/>
  <c r="K584" i="210"/>
  <c r="L584" i="210"/>
  <c r="N584" i="210"/>
  <c r="P584" i="210"/>
  <c r="Q584" i="210"/>
  <c r="D585" i="210"/>
  <c r="K585" i="210"/>
  <c r="L585" i="210"/>
  <c r="N585" i="210"/>
  <c r="P585" i="210"/>
  <c r="Q585" i="210"/>
  <c r="D586" i="210"/>
  <c r="K586" i="210"/>
  <c r="L586" i="210"/>
  <c r="N586" i="210"/>
  <c r="P586" i="210"/>
  <c r="Q586" i="210"/>
  <c r="D587" i="210"/>
  <c r="K587" i="210"/>
  <c r="L587" i="210"/>
  <c r="N587" i="210"/>
  <c r="P587" i="210"/>
  <c r="Q587" i="210"/>
  <c r="D588" i="210"/>
  <c r="K588" i="210"/>
  <c r="L588" i="210"/>
  <c r="N588" i="210"/>
  <c r="P588" i="210"/>
  <c r="Q588" i="210"/>
  <c r="D589" i="210"/>
  <c r="K589" i="210"/>
  <c r="L589" i="210"/>
  <c r="N589" i="210"/>
  <c r="P589" i="210"/>
  <c r="Q589" i="210"/>
  <c r="D590" i="210"/>
  <c r="K590" i="210"/>
  <c r="L590" i="210"/>
  <c r="N590" i="210"/>
  <c r="P590" i="210"/>
  <c r="Q590" i="210"/>
  <c r="D591" i="210"/>
  <c r="K591" i="210"/>
  <c r="L591" i="210"/>
  <c r="N591" i="210"/>
  <c r="P591" i="210"/>
  <c r="Q591" i="210"/>
  <c r="D592" i="210"/>
  <c r="K592" i="210"/>
  <c r="L592" i="210"/>
  <c r="N592" i="210"/>
  <c r="P592" i="210"/>
  <c r="Q592" i="210"/>
  <c r="D593" i="210"/>
  <c r="K593" i="210"/>
  <c r="L593" i="210"/>
  <c r="N593" i="210"/>
  <c r="P593" i="210"/>
  <c r="Q593" i="210"/>
  <c r="D594" i="210"/>
  <c r="K594" i="210"/>
  <c r="L594" i="210"/>
  <c r="N594" i="210"/>
  <c r="P594" i="210"/>
  <c r="Q594" i="210"/>
  <c r="D595" i="210"/>
  <c r="K595" i="210"/>
  <c r="L595" i="210"/>
  <c r="N595" i="210"/>
  <c r="P595" i="210"/>
  <c r="Q595" i="210"/>
  <c r="D596" i="210"/>
  <c r="K596" i="210"/>
  <c r="L596" i="210"/>
  <c r="N596" i="210"/>
  <c r="P596" i="210"/>
  <c r="Q596" i="210"/>
  <c r="D597" i="210"/>
  <c r="K597" i="210"/>
  <c r="L597" i="210"/>
  <c r="N597" i="210"/>
  <c r="P597" i="210"/>
  <c r="Q597" i="210"/>
  <c r="D598" i="210"/>
  <c r="K598" i="210"/>
  <c r="L598" i="210"/>
  <c r="N598" i="210"/>
  <c r="P598" i="210"/>
  <c r="Q598" i="210"/>
  <c r="D599" i="210"/>
  <c r="K599" i="210"/>
  <c r="L599" i="210"/>
  <c r="N599" i="210"/>
  <c r="P599" i="210"/>
  <c r="Q599" i="210"/>
  <c r="D600" i="210"/>
  <c r="K600" i="210"/>
  <c r="L600" i="210"/>
  <c r="N600" i="210"/>
  <c r="P600" i="210"/>
  <c r="Q600" i="210"/>
  <c r="D601" i="210"/>
  <c r="K601" i="210"/>
  <c r="L601" i="210"/>
  <c r="N601" i="210"/>
  <c r="P601" i="210"/>
  <c r="Q601" i="210"/>
  <c r="D602" i="210"/>
  <c r="K602" i="210"/>
  <c r="L602" i="210"/>
  <c r="N602" i="210"/>
  <c r="P602" i="210"/>
  <c r="Q602" i="210"/>
  <c r="D603" i="210"/>
  <c r="K603" i="210"/>
  <c r="L603" i="210"/>
  <c r="N603" i="210"/>
  <c r="P603" i="210"/>
  <c r="Q603" i="210"/>
  <c r="D604" i="210"/>
  <c r="K604" i="210"/>
  <c r="L604" i="210"/>
  <c r="N604" i="210"/>
  <c r="P604" i="210"/>
  <c r="Q604" i="210"/>
  <c r="D605" i="210"/>
  <c r="K605" i="210"/>
  <c r="L605" i="210"/>
  <c r="N605" i="210"/>
  <c r="P605" i="210"/>
  <c r="Q605" i="210"/>
  <c r="D606" i="210"/>
  <c r="K606" i="210"/>
  <c r="L606" i="210"/>
  <c r="N606" i="210"/>
  <c r="P606" i="210"/>
  <c r="Q606" i="210"/>
  <c r="D607" i="210"/>
  <c r="K607" i="210"/>
  <c r="L607" i="210"/>
  <c r="N607" i="210"/>
  <c r="P607" i="210"/>
  <c r="Q607" i="210"/>
  <c r="D608" i="210"/>
  <c r="K608" i="210"/>
  <c r="L608" i="210"/>
  <c r="N608" i="210"/>
  <c r="P608" i="210"/>
  <c r="Q608" i="210"/>
  <c r="D609" i="210"/>
  <c r="K609" i="210"/>
  <c r="L609" i="210"/>
  <c r="N609" i="210"/>
  <c r="P609" i="210"/>
  <c r="Q609" i="210"/>
  <c r="D610" i="210"/>
  <c r="K610" i="210"/>
  <c r="L610" i="210"/>
  <c r="N610" i="210"/>
  <c r="P610" i="210"/>
  <c r="Q610" i="210"/>
  <c r="D611" i="210"/>
  <c r="K611" i="210"/>
  <c r="L611" i="210"/>
  <c r="N611" i="210"/>
  <c r="P611" i="210"/>
  <c r="Q611" i="210"/>
  <c r="D612" i="210"/>
  <c r="K612" i="210"/>
  <c r="L612" i="210"/>
  <c r="N612" i="210"/>
  <c r="P612" i="210"/>
  <c r="Q612" i="210"/>
  <c r="D613" i="210"/>
  <c r="K613" i="210"/>
  <c r="L613" i="210"/>
  <c r="N613" i="210"/>
  <c r="P613" i="210"/>
  <c r="Q613" i="210"/>
  <c r="D614" i="210"/>
  <c r="K614" i="210"/>
  <c r="L614" i="210"/>
  <c r="N614" i="210"/>
  <c r="P614" i="210"/>
  <c r="Q614" i="210"/>
  <c r="D615" i="210"/>
  <c r="K615" i="210"/>
  <c r="L615" i="210"/>
  <c r="N615" i="210"/>
  <c r="P615" i="210"/>
  <c r="Q615" i="210"/>
  <c r="D616" i="210"/>
  <c r="K616" i="210"/>
  <c r="L616" i="210"/>
  <c r="N616" i="210"/>
  <c r="P616" i="210"/>
  <c r="Q616" i="210"/>
  <c r="D617" i="210"/>
  <c r="K617" i="210"/>
  <c r="L617" i="210"/>
  <c r="N617" i="210"/>
  <c r="P617" i="210"/>
  <c r="Q617" i="210"/>
  <c r="D618" i="210"/>
  <c r="K618" i="210"/>
  <c r="L618" i="210"/>
  <c r="N618" i="210"/>
  <c r="P618" i="210"/>
  <c r="Q618" i="210"/>
  <c r="D619" i="210"/>
  <c r="K619" i="210"/>
  <c r="L619" i="210"/>
  <c r="N619" i="210"/>
  <c r="P619" i="210"/>
  <c r="Q619" i="210"/>
  <c r="D620" i="210"/>
  <c r="K620" i="210"/>
  <c r="L620" i="210"/>
  <c r="N620" i="210"/>
  <c r="P620" i="210"/>
  <c r="Q620" i="210"/>
  <c r="C623" i="210"/>
  <c r="E623" i="210"/>
  <c r="E624" i="210" s="1"/>
  <c r="E625" i="210" s="1"/>
  <c r="E627" i="210" s="1"/>
  <c r="E629" i="210" s="1"/>
  <c r="E631" i="210" s="1"/>
  <c r="E633" i="210" s="1"/>
  <c r="E635" i="210" s="1"/>
  <c r="E637" i="210" s="1"/>
  <c r="E639" i="210" s="1"/>
  <c r="E641" i="210" s="1"/>
  <c r="E643" i="210" s="1"/>
  <c r="E645" i="210" s="1"/>
  <c r="E647" i="210" s="1"/>
  <c r="E649" i="210" s="1"/>
  <c r="E651" i="210" s="1"/>
  <c r="E653" i="210" s="1"/>
  <c r="E655" i="210" s="1"/>
  <c r="E657" i="210" s="1"/>
  <c r="E659" i="210" s="1"/>
  <c r="E661" i="210" s="1"/>
  <c r="E663" i="210" s="1"/>
  <c r="E665" i="210" s="1"/>
  <c r="E667" i="210" s="1"/>
  <c r="E669" i="210" s="1"/>
  <c r="E671" i="210" s="1"/>
  <c r="E673" i="210" s="1"/>
  <c r="E675" i="210" s="1"/>
  <c r="E677" i="210" s="1"/>
  <c r="E679" i="210" s="1"/>
  <c r="E681" i="210" s="1"/>
  <c r="E683" i="210" s="1"/>
  <c r="E685" i="210" s="1"/>
  <c r="E687" i="210" s="1"/>
  <c r="E689" i="210" s="1"/>
  <c r="E691" i="210" s="1"/>
  <c r="H623" i="210"/>
  <c r="I623" i="210"/>
  <c r="J623" i="210"/>
  <c r="C624" i="210"/>
  <c r="C625" i="210" s="1"/>
  <c r="I624" i="210"/>
  <c r="I625" i="210"/>
  <c r="D627" i="210"/>
  <c r="K627" i="210"/>
  <c r="L627" i="210"/>
  <c r="N627" i="210"/>
  <c r="P627" i="210"/>
  <c r="Q627" i="210"/>
  <c r="D628" i="210"/>
  <c r="E628" i="210"/>
  <c r="E630" i="210" s="1"/>
  <c r="E632" i="210" s="1"/>
  <c r="E634" i="210" s="1"/>
  <c r="E636" i="210" s="1"/>
  <c r="E638" i="210" s="1"/>
  <c r="E640" i="210" s="1"/>
  <c r="E642" i="210" s="1"/>
  <c r="K628" i="210"/>
  <c r="L628" i="210"/>
  <c r="N628" i="210"/>
  <c r="P628" i="210"/>
  <c r="Q628" i="210"/>
  <c r="D629" i="210"/>
  <c r="K629" i="210"/>
  <c r="L629" i="210"/>
  <c r="N629" i="210"/>
  <c r="P629" i="210"/>
  <c r="Q629" i="210"/>
  <c r="D630" i="210"/>
  <c r="K630" i="210"/>
  <c r="L630" i="210"/>
  <c r="N630" i="210"/>
  <c r="P630" i="210"/>
  <c r="Q630" i="210"/>
  <c r="D631" i="210"/>
  <c r="K631" i="210"/>
  <c r="L631" i="210"/>
  <c r="N631" i="210"/>
  <c r="P631" i="210"/>
  <c r="Q631" i="210"/>
  <c r="D632" i="210"/>
  <c r="K632" i="210"/>
  <c r="L632" i="210"/>
  <c r="N632" i="210"/>
  <c r="P632" i="210"/>
  <c r="Q632" i="210"/>
  <c r="D633" i="210"/>
  <c r="K633" i="210"/>
  <c r="L633" i="210"/>
  <c r="N633" i="210"/>
  <c r="P633" i="210"/>
  <c r="Q633" i="210"/>
  <c r="D634" i="210"/>
  <c r="K634" i="210"/>
  <c r="L634" i="210"/>
  <c r="N634" i="210"/>
  <c r="P634" i="210"/>
  <c r="Q634" i="210"/>
  <c r="D635" i="210"/>
  <c r="K635" i="210"/>
  <c r="L635" i="210"/>
  <c r="N635" i="210"/>
  <c r="P635" i="210"/>
  <c r="Q635" i="210"/>
  <c r="D636" i="210"/>
  <c r="K636" i="210"/>
  <c r="L636" i="210"/>
  <c r="N636" i="210"/>
  <c r="P636" i="210"/>
  <c r="Q636" i="210"/>
  <c r="D637" i="210"/>
  <c r="K637" i="210"/>
  <c r="L637" i="210"/>
  <c r="N637" i="210"/>
  <c r="P637" i="210"/>
  <c r="Q637" i="210"/>
  <c r="D638" i="210"/>
  <c r="K638" i="210"/>
  <c r="L638" i="210"/>
  <c r="N638" i="210"/>
  <c r="P638" i="210"/>
  <c r="Q638" i="210"/>
  <c r="D639" i="210"/>
  <c r="K639" i="210"/>
  <c r="L639" i="210"/>
  <c r="N639" i="210"/>
  <c r="P639" i="210"/>
  <c r="Q639" i="210"/>
  <c r="D640" i="210"/>
  <c r="K640" i="210"/>
  <c r="L640" i="210"/>
  <c r="N640" i="210"/>
  <c r="P640" i="210"/>
  <c r="Q640" i="210"/>
  <c r="D641" i="210"/>
  <c r="K641" i="210"/>
  <c r="L641" i="210"/>
  <c r="N641" i="210"/>
  <c r="P641" i="210"/>
  <c r="Q641" i="210"/>
  <c r="D642" i="210"/>
  <c r="K642" i="210"/>
  <c r="L642" i="210"/>
  <c r="N642" i="210"/>
  <c r="P642" i="210"/>
  <c r="Q642" i="210"/>
  <c r="D643" i="210"/>
  <c r="K643" i="210"/>
  <c r="L643" i="210"/>
  <c r="N643" i="210"/>
  <c r="P643" i="210"/>
  <c r="Q643" i="210"/>
  <c r="D644" i="210"/>
  <c r="E644" i="210"/>
  <c r="E646" i="210" s="1"/>
  <c r="E648" i="210" s="1"/>
  <c r="E650" i="210" s="1"/>
  <c r="E652" i="210" s="1"/>
  <c r="E654" i="210" s="1"/>
  <c r="E656" i="210" s="1"/>
  <c r="E658" i="210" s="1"/>
  <c r="E660" i="210" s="1"/>
  <c r="E662" i="210" s="1"/>
  <c r="E664" i="210" s="1"/>
  <c r="E666" i="210" s="1"/>
  <c r="E668" i="210" s="1"/>
  <c r="E670" i="210" s="1"/>
  <c r="E672" i="210" s="1"/>
  <c r="E674" i="210" s="1"/>
  <c r="E676" i="210" s="1"/>
  <c r="E678" i="210" s="1"/>
  <c r="E680" i="210" s="1"/>
  <c r="E682" i="210" s="1"/>
  <c r="E684" i="210" s="1"/>
  <c r="E686" i="210" s="1"/>
  <c r="E688" i="210" s="1"/>
  <c r="E690" i="210" s="1"/>
  <c r="E692" i="210" s="1"/>
  <c r="K644" i="210"/>
  <c r="L644" i="210"/>
  <c r="N644" i="210"/>
  <c r="P644" i="210"/>
  <c r="Q644" i="210"/>
  <c r="D645" i="210"/>
  <c r="K645" i="210"/>
  <c r="L645" i="210"/>
  <c r="N645" i="210"/>
  <c r="P645" i="210"/>
  <c r="Q645" i="210"/>
  <c r="D646" i="210"/>
  <c r="K646" i="210"/>
  <c r="L646" i="210"/>
  <c r="N646" i="210"/>
  <c r="P646" i="210"/>
  <c r="Q646" i="210"/>
  <c r="D647" i="210"/>
  <c r="K647" i="210"/>
  <c r="L647" i="210"/>
  <c r="N647" i="210"/>
  <c r="P647" i="210"/>
  <c r="Q647" i="210"/>
  <c r="D648" i="210"/>
  <c r="K648" i="210"/>
  <c r="L648" i="210"/>
  <c r="N648" i="210"/>
  <c r="P648" i="210"/>
  <c r="Q648" i="210"/>
  <c r="D649" i="210"/>
  <c r="K649" i="210"/>
  <c r="L649" i="210"/>
  <c r="N649" i="210"/>
  <c r="P649" i="210"/>
  <c r="Q649" i="210"/>
  <c r="D650" i="210"/>
  <c r="K650" i="210"/>
  <c r="L650" i="210"/>
  <c r="N650" i="210"/>
  <c r="P650" i="210"/>
  <c r="Q650" i="210"/>
  <c r="D651" i="210"/>
  <c r="K651" i="210"/>
  <c r="L651" i="210"/>
  <c r="N651" i="210"/>
  <c r="P651" i="210"/>
  <c r="Q651" i="210"/>
  <c r="D652" i="210"/>
  <c r="K652" i="210"/>
  <c r="L652" i="210"/>
  <c r="N652" i="210"/>
  <c r="P652" i="210"/>
  <c r="Q652" i="210"/>
  <c r="D653" i="210"/>
  <c r="K653" i="210"/>
  <c r="L653" i="210"/>
  <c r="N653" i="210"/>
  <c r="P653" i="210"/>
  <c r="Q653" i="210"/>
  <c r="D654" i="210"/>
  <c r="K654" i="210"/>
  <c r="L654" i="210"/>
  <c r="N654" i="210"/>
  <c r="P654" i="210"/>
  <c r="Q654" i="210"/>
  <c r="D655" i="210"/>
  <c r="K655" i="210"/>
  <c r="L655" i="210"/>
  <c r="N655" i="210"/>
  <c r="P655" i="210"/>
  <c r="Q655" i="210"/>
  <c r="D656" i="210"/>
  <c r="K656" i="210"/>
  <c r="L656" i="210"/>
  <c r="N656" i="210"/>
  <c r="P656" i="210"/>
  <c r="Q656" i="210"/>
  <c r="D657" i="210"/>
  <c r="K657" i="210"/>
  <c r="L657" i="210"/>
  <c r="N657" i="210"/>
  <c r="P657" i="210"/>
  <c r="Q657" i="210"/>
  <c r="D658" i="210"/>
  <c r="K658" i="210"/>
  <c r="L658" i="210"/>
  <c r="N658" i="210"/>
  <c r="P658" i="210"/>
  <c r="Q658" i="210"/>
  <c r="D659" i="210"/>
  <c r="K659" i="210"/>
  <c r="L659" i="210"/>
  <c r="N659" i="210"/>
  <c r="P659" i="210"/>
  <c r="Q659" i="210"/>
  <c r="D660" i="210"/>
  <c r="K660" i="210"/>
  <c r="L660" i="210"/>
  <c r="N660" i="210"/>
  <c r="P660" i="210"/>
  <c r="Q660" i="210"/>
  <c r="D661" i="210"/>
  <c r="K661" i="210"/>
  <c r="L661" i="210"/>
  <c r="N661" i="210"/>
  <c r="P661" i="210"/>
  <c r="Q661" i="210"/>
  <c r="D662" i="210"/>
  <c r="K662" i="210"/>
  <c r="L662" i="210"/>
  <c r="N662" i="210"/>
  <c r="P662" i="210"/>
  <c r="Q662" i="210"/>
  <c r="D663" i="210"/>
  <c r="K663" i="210"/>
  <c r="L663" i="210"/>
  <c r="N663" i="210"/>
  <c r="P663" i="210"/>
  <c r="Q663" i="210"/>
  <c r="D664" i="210"/>
  <c r="K664" i="210"/>
  <c r="L664" i="210"/>
  <c r="N664" i="210"/>
  <c r="P664" i="210"/>
  <c r="Q664" i="210"/>
  <c r="D665" i="210"/>
  <c r="K665" i="210"/>
  <c r="L665" i="210"/>
  <c r="N665" i="210"/>
  <c r="P665" i="210"/>
  <c r="Q665" i="210"/>
  <c r="D666" i="210"/>
  <c r="K666" i="210"/>
  <c r="L666" i="210"/>
  <c r="N666" i="210"/>
  <c r="P666" i="210"/>
  <c r="Q666" i="210"/>
  <c r="D667" i="210"/>
  <c r="K667" i="210"/>
  <c r="L667" i="210"/>
  <c r="N667" i="210"/>
  <c r="P667" i="210"/>
  <c r="Q667" i="210"/>
  <c r="D668" i="210"/>
  <c r="K668" i="210"/>
  <c r="L668" i="210"/>
  <c r="N668" i="210"/>
  <c r="P668" i="210"/>
  <c r="Q668" i="210"/>
  <c r="D669" i="210"/>
  <c r="K669" i="210"/>
  <c r="L669" i="210"/>
  <c r="N669" i="210"/>
  <c r="P669" i="210"/>
  <c r="Q669" i="210"/>
  <c r="D670" i="210"/>
  <c r="K670" i="210"/>
  <c r="L670" i="210"/>
  <c r="N670" i="210"/>
  <c r="P670" i="210"/>
  <c r="Q670" i="210"/>
  <c r="D671" i="210"/>
  <c r="K671" i="210"/>
  <c r="L671" i="210"/>
  <c r="N671" i="210"/>
  <c r="P671" i="210"/>
  <c r="Q671" i="210"/>
  <c r="D672" i="210"/>
  <c r="K672" i="210"/>
  <c r="L672" i="210"/>
  <c r="N672" i="210"/>
  <c r="P672" i="210"/>
  <c r="Q672" i="210"/>
  <c r="D673" i="210"/>
  <c r="K673" i="210"/>
  <c r="L673" i="210"/>
  <c r="N673" i="210"/>
  <c r="P673" i="210"/>
  <c r="Q673" i="210"/>
  <c r="D674" i="210"/>
  <c r="K674" i="210"/>
  <c r="L674" i="210"/>
  <c r="N674" i="210"/>
  <c r="P674" i="210"/>
  <c r="Q674" i="210"/>
  <c r="D675" i="210"/>
  <c r="K675" i="210"/>
  <c r="L675" i="210"/>
  <c r="N675" i="210"/>
  <c r="P675" i="210"/>
  <c r="Q675" i="210"/>
  <c r="D676" i="210"/>
  <c r="K676" i="210"/>
  <c r="L676" i="210"/>
  <c r="N676" i="210"/>
  <c r="P676" i="210"/>
  <c r="Q676" i="210"/>
  <c r="D677" i="210"/>
  <c r="K677" i="210"/>
  <c r="L677" i="210"/>
  <c r="N677" i="210"/>
  <c r="P677" i="210"/>
  <c r="Q677" i="210"/>
  <c r="D678" i="210"/>
  <c r="K678" i="210"/>
  <c r="L678" i="210"/>
  <c r="N678" i="210"/>
  <c r="P678" i="210"/>
  <c r="Q678" i="210"/>
  <c r="D679" i="210"/>
  <c r="K679" i="210"/>
  <c r="L679" i="210"/>
  <c r="N679" i="210"/>
  <c r="P679" i="210"/>
  <c r="Q679" i="210"/>
  <c r="D680" i="210"/>
  <c r="K680" i="210"/>
  <c r="L680" i="210"/>
  <c r="N680" i="210"/>
  <c r="P680" i="210"/>
  <c r="Q680" i="210"/>
  <c r="D681" i="210"/>
  <c r="K681" i="210"/>
  <c r="L681" i="210"/>
  <c r="N681" i="210"/>
  <c r="P681" i="210"/>
  <c r="Q681" i="210"/>
  <c r="D682" i="210"/>
  <c r="K682" i="210"/>
  <c r="L682" i="210"/>
  <c r="N682" i="210"/>
  <c r="P682" i="210"/>
  <c r="Q682" i="210"/>
  <c r="D683" i="210"/>
  <c r="K683" i="210"/>
  <c r="L683" i="210"/>
  <c r="N683" i="210"/>
  <c r="P683" i="210"/>
  <c r="Q683" i="210"/>
  <c r="D684" i="210"/>
  <c r="K684" i="210"/>
  <c r="L684" i="210"/>
  <c r="N684" i="210"/>
  <c r="P684" i="210"/>
  <c r="Q684" i="210"/>
  <c r="D685" i="210"/>
  <c r="K685" i="210"/>
  <c r="L685" i="210"/>
  <c r="N685" i="210"/>
  <c r="P685" i="210"/>
  <c r="Q685" i="210"/>
  <c r="D686" i="210"/>
  <c r="K686" i="210"/>
  <c r="L686" i="210"/>
  <c r="N686" i="210"/>
  <c r="P686" i="210"/>
  <c r="Q686" i="210"/>
  <c r="D687" i="210"/>
  <c r="K687" i="210"/>
  <c r="L687" i="210"/>
  <c r="N687" i="210"/>
  <c r="P687" i="210"/>
  <c r="Q687" i="210"/>
  <c r="D688" i="210"/>
  <c r="K688" i="210"/>
  <c r="L688" i="210"/>
  <c r="N688" i="210"/>
  <c r="P688" i="210"/>
  <c r="Q688" i="210"/>
  <c r="D689" i="210"/>
  <c r="K689" i="210"/>
  <c r="L689" i="210"/>
  <c r="N689" i="210"/>
  <c r="P689" i="210"/>
  <c r="Q689" i="210"/>
  <c r="D690" i="210"/>
  <c r="K690" i="210"/>
  <c r="L690" i="210"/>
  <c r="N690" i="210"/>
  <c r="P690" i="210"/>
  <c r="Q690" i="210"/>
  <c r="D691" i="210"/>
  <c r="K691" i="210"/>
  <c r="L691" i="210"/>
  <c r="N691" i="210"/>
  <c r="P691" i="210"/>
  <c r="Q691" i="210"/>
  <c r="D692" i="210"/>
  <c r="K692" i="210"/>
  <c r="L692" i="210"/>
  <c r="N692" i="210"/>
  <c r="P692" i="210"/>
  <c r="Q692" i="210"/>
  <c r="C695" i="210"/>
  <c r="E695" i="210"/>
  <c r="E696" i="210" s="1"/>
  <c r="E697" i="210" s="1"/>
  <c r="E699" i="210" s="1"/>
  <c r="E701" i="210" s="1"/>
  <c r="E703" i="210" s="1"/>
  <c r="E705" i="210" s="1"/>
  <c r="E707" i="210" s="1"/>
  <c r="E709" i="210" s="1"/>
  <c r="E711" i="210" s="1"/>
  <c r="E713" i="210" s="1"/>
  <c r="E715" i="210" s="1"/>
  <c r="E717" i="210" s="1"/>
  <c r="E719" i="210" s="1"/>
  <c r="E721" i="210" s="1"/>
  <c r="E723" i="210" s="1"/>
  <c r="E725" i="210" s="1"/>
  <c r="E727" i="210" s="1"/>
  <c r="E729" i="210" s="1"/>
  <c r="E731" i="210" s="1"/>
  <c r="E733" i="210" s="1"/>
  <c r="E735" i="210" s="1"/>
  <c r="E737" i="210" s="1"/>
  <c r="E739" i="210" s="1"/>
  <c r="H695" i="210"/>
  <c r="I695" i="210"/>
  <c r="J695" i="210"/>
  <c r="C696" i="210"/>
  <c r="C697" i="210" s="1"/>
  <c r="I696" i="210"/>
  <c r="I697" i="210"/>
  <c r="D699" i="210"/>
  <c r="K699" i="210"/>
  <c r="L699" i="210"/>
  <c r="N699" i="210"/>
  <c r="P699" i="210"/>
  <c r="Q699" i="210"/>
  <c r="D700" i="210"/>
  <c r="E700" i="210"/>
  <c r="E702" i="210" s="1"/>
  <c r="E704" i="210" s="1"/>
  <c r="E706" i="210" s="1"/>
  <c r="E708" i="210" s="1"/>
  <c r="E710" i="210" s="1"/>
  <c r="E712" i="210" s="1"/>
  <c r="E714" i="210" s="1"/>
  <c r="E716" i="210" s="1"/>
  <c r="E718" i="210" s="1"/>
  <c r="E720" i="210" s="1"/>
  <c r="E722" i="210" s="1"/>
  <c r="E724" i="210" s="1"/>
  <c r="E726" i="210" s="1"/>
  <c r="E728" i="210" s="1"/>
  <c r="E730" i="210" s="1"/>
  <c r="E732" i="210" s="1"/>
  <c r="E734" i="210" s="1"/>
  <c r="E736" i="210" s="1"/>
  <c r="E738" i="210" s="1"/>
  <c r="E740" i="210" s="1"/>
  <c r="K700" i="210"/>
  <c r="L700" i="210"/>
  <c r="N700" i="210"/>
  <c r="P700" i="210"/>
  <c r="Q700" i="210"/>
  <c r="D701" i="210"/>
  <c r="K701" i="210"/>
  <c r="L701" i="210"/>
  <c r="N701" i="210"/>
  <c r="P701" i="210"/>
  <c r="Q701" i="210"/>
  <c r="D702" i="210"/>
  <c r="K702" i="210"/>
  <c r="L702" i="210"/>
  <c r="N702" i="210"/>
  <c r="P702" i="210"/>
  <c r="Q702" i="210"/>
  <c r="D703" i="210"/>
  <c r="K703" i="210"/>
  <c r="L703" i="210"/>
  <c r="N703" i="210"/>
  <c r="P703" i="210"/>
  <c r="Q703" i="210"/>
  <c r="D704" i="210"/>
  <c r="K704" i="210"/>
  <c r="L704" i="210"/>
  <c r="N704" i="210"/>
  <c r="P704" i="210"/>
  <c r="Q704" i="210"/>
  <c r="D705" i="210"/>
  <c r="K705" i="210"/>
  <c r="L705" i="210"/>
  <c r="N705" i="210"/>
  <c r="P705" i="210"/>
  <c r="Q705" i="210"/>
  <c r="D706" i="210"/>
  <c r="K706" i="210"/>
  <c r="L706" i="210"/>
  <c r="N706" i="210"/>
  <c r="P706" i="210"/>
  <c r="Q706" i="210"/>
  <c r="D707" i="210"/>
  <c r="K707" i="210"/>
  <c r="L707" i="210"/>
  <c r="N707" i="210"/>
  <c r="P707" i="210"/>
  <c r="Q707" i="210"/>
  <c r="D708" i="210"/>
  <c r="K708" i="210"/>
  <c r="L708" i="210"/>
  <c r="N708" i="210"/>
  <c r="P708" i="210"/>
  <c r="Q708" i="210"/>
  <c r="D709" i="210"/>
  <c r="K709" i="210"/>
  <c r="L709" i="210"/>
  <c r="N709" i="210"/>
  <c r="P709" i="210"/>
  <c r="Q709" i="210"/>
  <c r="D710" i="210"/>
  <c r="K710" i="210"/>
  <c r="L710" i="210"/>
  <c r="N710" i="210"/>
  <c r="P710" i="210"/>
  <c r="Q710" i="210"/>
  <c r="D711" i="210"/>
  <c r="K711" i="210"/>
  <c r="L711" i="210"/>
  <c r="N711" i="210"/>
  <c r="P711" i="210"/>
  <c r="Q711" i="210"/>
  <c r="D712" i="210"/>
  <c r="K712" i="210"/>
  <c r="L712" i="210"/>
  <c r="N712" i="210"/>
  <c r="P712" i="210"/>
  <c r="Q712" i="210"/>
  <c r="D713" i="210"/>
  <c r="K713" i="210"/>
  <c r="L713" i="210"/>
  <c r="N713" i="210"/>
  <c r="P713" i="210"/>
  <c r="Q713" i="210"/>
  <c r="D714" i="210"/>
  <c r="K714" i="210"/>
  <c r="L714" i="210"/>
  <c r="N714" i="210"/>
  <c r="P714" i="210"/>
  <c r="Q714" i="210"/>
  <c r="D715" i="210"/>
  <c r="K715" i="210"/>
  <c r="L715" i="210"/>
  <c r="N715" i="210"/>
  <c r="P715" i="210"/>
  <c r="Q715" i="210"/>
  <c r="D716" i="210"/>
  <c r="K716" i="210"/>
  <c r="L716" i="210"/>
  <c r="N716" i="210"/>
  <c r="P716" i="210"/>
  <c r="Q716" i="210"/>
  <c r="D717" i="210"/>
  <c r="K717" i="210"/>
  <c r="L717" i="210"/>
  <c r="N717" i="210"/>
  <c r="P717" i="210"/>
  <c r="Q717" i="210"/>
  <c r="D718" i="210"/>
  <c r="K718" i="210"/>
  <c r="L718" i="210"/>
  <c r="N718" i="210"/>
  <c r="P718" i="210"/>
  <c r="Q718" i="210"/>
  <c r="D719" i="210"/>
  <c r="K719" i="210"/>
  <c r="L719" i="210"/>
  <c r="N719" i="210"/>
  <c r="P719" i="210"/>
  <c r="Q719" i="210"/>
  <c r="D720" i="210"/>
  <c r="K720" i="210"/>
  <c r="L720" i="210"/>
  <c r="N720" i="210"/>
  <c r="P720" i="210"/>
  <c r="Q720" i="210"/>
  <c r="D721" i="210"/>
  <c r="K721" i="210"/>
  <c r="L721" i="210"/>
  <c r="N721" i="210"/>
  <c r="P721" i="210"/>
  <c r="Q721" i="210"/>
  <c r="D722" i="210"/>
  <c r="K722" i="210"/>
  <c r="L722" i="210"/>
  <c r="N722" i="210"/>
  <c r="P722" i="210"/>
  <c r="Q722" i="210"/>
  <c r="D723" i="210"/>
  <c r="K723" i="210"/>
  <c r="L723" i="210"/>
  <c r="N723" i="210"/>
  <c r="P723" i="210"/>
  <c r="Q723" i="210"/>
  <c r="D724" i="210"/>
  <c r="K724" i="210"/>
  <c r="L724" i="210"/>
  <c r="N724" i="210"/>
  <c r="P724" i="210"/>
  <c r="Q724" i="210"/>
  <c r="D725" i="210"/>
  <c r="K725" i="210"/>
  <c r="L725" i="210"/>
  <c r="N725" i="210"/>
  <c r="P725" i="210"/>
  <c r="Q725" i="210"/>
  <c r="D726" i="210"/>
  <c r="K726" i="210"/>
  <c r="L726" i="210"/>
  <c r="N726" i="210"/>
  <c r="P726" i="210"/>
  <c r="Q726" i="210"/>
  <c r="D727" i="210"/>
  <c r="K727" i="210"/>
  <c r="L727" i="210"/>
  <c r="N727" i="210"/>
  <c r="P727" i="210"/>
  <c r="Q727" i="210"/>
  <c r="D728" i="210"/>
  <c r="K728" i="210"/>
  <c r="L728" i="210"/>
  <c r="N728" i="210"/>
  <c r="P728" i="210"/>
  <c r="Q728" i="210"/>
  <c r="D729" i="210"/>
  <c r="K729" i="210"/>
  <c r="L729" i="210"/>
  <c r="N729" i="210"/>
  <c r="P729" i="210"/>
  <c r="Q729" i="210"/>
  <c r="D730" i="210"/>
  <c r="K730" i="210"/>
  <c r="L730" i="210"/>
  <c r="N730" i="210"/>
  <c r="P730" i="210"/>
  <c r="Q730" i="210"/>
  <c r="D731" i="210"/>
  <c r="K731" i="210"/>
  <c r="L731" i="210"/>
  <c r="N731" i="210"/>
  <c r="P731" i="210"/>
  <c r="Q731" i="210"/>
  <c r="D732" i="210"/>
  <c r="K732" i="210"/>
  <c r="L732" i="210"/>
  <c r="N732" i="210"/>
  <c r="P732" i="210"/>
  <c r="Q732" i="210"/>
  <c r="D733" i="210"/>
  <c r="K733" i="210"/>
  <c r="L733" i="210"/>
  <c r="N733" i="210"/>
  <c r="P733" i="210"/>
  <c r="Q733" i="210"/>
  <c r="D734" i="210"/>
  <c r="K734" i="210"/>
  <c r="L734" i="210"/>
  <c r="N734" i="210"/>
  <c r="P734" i="210"/>
  <c r="Q734" i="210"/>
  <c r="D735" i="210"/>
  <c r="K735" i="210"/>
  <c r="L735" i="210"/>
  <c r="N735" i="210"/>
  <c r="P735" i="210"/>
  <c r="Q735" i="210"/>
  <c r="D736" i="210"/>
  <c r="K736" i="210"/>
  <c r="L736" i="210"/>
  <c r="N736" i="210"/>
  <c r="P736" i="210"/>
  <c r="Q736" i="210"/>
  <c r="D737" i="210"/>
  <c r="K737" i="210"/>
  <c r="L737" i="210"/>
  <c r="N737" i="210"/>
  <c r="P737" i="210"/>
  <c r="Q737" i="210"/>
  <c r="D738" i="210"/>
  <c r="K738" i="210"/>
  <c r="L738" i="210"/>
  <c r="N738" i="210"/>
  <c r="P738" i="210"/>
  <c r="Q738" i="210"/>
  <c r="D739" i="210"/>
  <c r="K739" i="210"/>
  <c r="L739" i="210"/>
  <c r="N739" i="210"/>
  <c r="P739" i="210"/>
  <c r="Q739" i="210"/>
  <c r="D740" i="210"/>
  <c r="K740" i="210"/>
  <c r="L740" i="210"/>
  <c r="N740" i="210"/>
  <c r="P740" i="210"/>
  <c r="Q740" i="210"/>
  <c r="C743" i="210"/>
  <c r="E743" i="210"/>
  <c r="E744" i="210" s="1"/>
  <c r="E745" i="210" s="1"/>
  <c r="E747" i="210" s="1"/>
  <c r="E749" i="210" s="1"/>
  <c r="E751" i="210" s="1"/>
  <c r="E753" i="210" s="1"/>
  <c r="E755" i="210" s="1"/>
  <c r="E757" i="210" s="1"/>
  <c r="E759" i="210" s="1"/>
  <c r="E761" i="210" s="1"/>
  <c r="E763" i="210" s="1"/>
  <c r="E765" i="210" s="1"/>
  <c r="E767" i="210" s="1"/>
  <c r="E769" i="210" s="1"/>
  <c r="E771" i="210" s="1"/>
  <c r="H743" i="210"/>
  <c r="I743" i="210"/>
  <c r="J743" i="210"/>
  <c r="C744" i="210"/>
  <c r="C745" i="210" s="1"/>
  <c r="I744" i="210"/>
  <c r="I745" i="210"/>
  <c r="D747" i="210"/>
  <c r="K747" i="210"/>
  <c r="L747" i="210"/>
  <c r="N747" i="210"/>
  <c r="P747" i="210"/>
  <c r="Q747" i="210"/>
  <c r="D748" i="210"/>
  <c r="E748" i="210"/>
  <c r="E750" i="210" s="1"/>
  <c r="E752" i="210" s="1"/>
  <c r="E754" i="210" s="1"/>
  <c r="E756" i="210" s="1"/>
  <c r="E758" i="210" s="1"/>
  <c r="E760" i="210" s="1"/>
  <c r="E762" i="210" s="1"/>
  <c r="E764" i="210" s="1"/>
  <c r="E766" i="210" s="1"/>
  <c r="E768" i="210" s="1"/>
  <c r="E770" i="210" s="1"/>
  <c r="K748" i="210"/>
  <c r="L748" i="210"/>
  <c r="N748" i="210"/>
  <c r="P748" i="210"/>
  <c r="Q748" i="210"/>
  <c r="D749" i="210"/>
  <c r="K749" i="210"/>
  <c r="L749" i="210"/>
  <c r="N749" i="210"/>
  <c r="P749" i="210"/>
  <c r="Q749" i="210"/>
  <c r="D750" i="210"/>
  <c r="K750" i="210"/>
  <c r="L750" i="210"/>
  <c r="N750" i="210"/>
  <c r="P750" i="210"/>
  <c r="Q750" i="210"/>
  <c r="D751" i="210"/>
  <c r="K751" i="210"/>
  <c r="L751" i="210"/>
  <c r="N751" i="210"/>
  <c r="P751" i="210"/>
  <c r="Q751" i="210"/>
  <c r="D752" i="210"/>
  <c r="K752" i="210"/>
  <c r="L752" i="210"/>
  <c r="N752" i="210"/>
  <c r="P752" i="210"/>
  <c r="Q752" i="210"/>
  <c r="D753" i="210"/>
  <c r="K753" i="210"/>
  <c r="L753" i="210"/>
  <c r="N753" i="210"/>
  <c r="P753" i="210"/>
  <c r="Q753" i="210"/>
  <c r="D754" i="210"/>
  <c r="K754" i="210"/>
  <c r="L754" i="210"/>
  <c r="N754" i="210"/>
  <c r="P754" i="210"/>
  <c r="Q754" i="210"/>
  <c r="D755" i="210"/>
  <c r="K755" i="210"/>
  <c r="L755" i="210"/>
  <c r="N755" i="210"/>
  <c r="P755" i="210"/>
  <c r="Q755" i="210"/>
  <c r="D756" i="210"/>
  <c r="K756" i="210"/>
  <c r="L756" i="210"/>
  <c r="N756" i="210"/>
  <c r="P756" i="210"/>
  <c r="Q756" i="210"/>
  <c r="D757" i="210"/>
  <c r="K757" i="210"/>
  <c r="L757" i="210"/>
  <c r="N757" i="210"/>
  <c r="P757" i="210"/>
  <c r="Q757" i="210"/>
  <c r="D758" i="210"/>
  <c r="K758" i="210"/>
  <c r="L758" i="210"/>
  <c r="N758" i="210"/>
  <c r="P758" i="210"/>
  <c r="Q758" i="210"/>
  <c r="D759" i="210"/>
  <c r="K759" i="210"/>
  <c r="L759" i="210"/>
  <c r="N759" i="210"/>
  <c r="P759" i="210"/>
  <c r="Q759" i="210"/>
  <c r="D760" i="210"/>
  <c r="K760" i="210"/>
  <c r="L760" i="210"/>
  <c r="N760" i="210"/>
  <c r="P760" i="210"/>
  <c r="Q760" i="210"/>
  <c r="D761" i="210"/>
  <c r="K761" i="210"/>
  <c r="L761" i="210"/>
  <c r="N761" i="210"/>
  <c r="P761" i="210"/>
  <c r="Q761" i="210"/>
  <c r="D762" i="210"/>
  <c r="K762" i="210"/>
  <c r="L762" i="210"/>
  <c r="N762" i="210"/>
  <c r="P762" i="210"/>
  <c r="Q762" i="210"/>
  <c r="D763" i="210"/>
  <c r="K763" i="210"/>
  <c r="L763" i="210"/>
  <c r="N763" i="210"/>
  <c r="P763" i="210"/>
  <c r="Q763" i="210"/>
  <c r="D764" i="210"/>
  <c r="K764" i="210"/>
  <c r="L764" i="210"/>
  <c r="N764" i="210"/>
  <c r="P764" i="210"/>
  <c r="Q764" i="210"/>
  <c r="D765" i="210"/>
  <c r="K765" i="210"/>
  <c r="L765" i="210"/>
  <c r="N765" i="210"/>
  <c r="P765" i="210"/>
  <c r="Q765" i="210"/>
  <c r="D766" i="210"/>
  <c r="K766" i="210"/>
  <c r="L766" i="210"/>
  <c r="N766" i="210"/>
  <c r="P766" i="210"/>
  <c r="Q766" i="210"/>
  <c r="D767" i="210"/>
  <c r="K767" i="210"/>
  <c r="L767" i="210"/>
  <c r="N767" i="210"/>
  <c r="P767" i="210"/>
  <c r="Q767" i="210"/>
  <c r="D768" i="210"/>
  <c r="K768" i="210"/>
  <c r="L768" i="210"/>
  <c r="N768" i="210"/>
  <c r="P768" i="210"/>
  <c r="Q768" i="210"/>
  <c r="D769" i="210"/>
  <c r="K769" i="210"/>
  <c r="L769" i="210"/>
  <c r="N769" i="210"/>
  <c r="P769" i="210"/>
  <c r="Q769" i="210"/>
  <c r="D770" i="210"/>
  <c r="K770" i="210"/>
  <c r="L770" i="210"/>
  <c r="N770" i="210"/>
  <c r="P770" i="210"/>
  <c r="Q770" i="210"/>
  <c r="D771" i="210"/>
  <c r="K771" i="210"/>
  <c r="L771" i="210"/>
  <c r="N771" i="210"/>
  <c r="P771" i="210"/>
  <c r="Q771" i="210"/>
  <c r="C774" i="210"/>
  <c r="H774" i="210"/>
  <c r="E774" i="210" s="1"/>
  <c r="E775" i="210" s="1"/>
  <c r="E776" i="210" s="1"/>
  <c r="E778" i="210" s="1"/>
  <c r="E780" i="210" s="1"/>
  <c r="I774" i="210"/>
  <c r="J774" i="210"/>
  <c r="C775" i="210"/>
  <c r="C776" i="210" s="1"/>
  <c r="I775" i="210"/>
  <c r="I776" i="210"/>
  <c r="D778" i="210"/>
  <c r="K778" i="210"/>
  <c r="L778" i="210"/>
  <c r="N778" i="210"/>
  <c r="P778" i="210"/>
  <c r="Q778" i="210"/>
  <c r="D779" i="210"/>
  <c r="E779" i="210"/>
  <c r="E781" i="210" s="1"/>
  <c r="E783" i="210" s="1"/>
  <c r="E785" i="210" s="1"/>
  <c r="E787" i="210" s="1"/>
  <c r="E789" i="210" s="1"/>
  <c r="E791" i="210" s="1"/>
  <c r="E793" i="210" s="1"/>
  <c r="E795" i="210" s="1"/>
  <c r="E797" i="210" s="1"/>
  <c r="E799" i="210" s="1"/>
  <c r="E801" i="210" s="1"/>
  <c r="E803" i="210" s="1"/>
  <c r="E805" i="210" s="1"/>
  <c r="E807" i="210" s="1"/>
  <c r="E809" i="210" s="1"/>
  <c r="E811" i="210" s="1"/>
  <c r="E813" i="210" s="1"/>
  <c r="E815" i="210" s="1"/>
  <c r="E817" i="210" s="1"/>
  <c r="E819" i="210" s="1"/>
  <c r="E821" i="210" s="1"/>
  <c r="E823" i="210" s="1"/>
  <c r="E825" i="210" s="1"/>
  <c r="E827" i="210" s="1"/>
  <c r="E829" i="210" s="1"/>
  <c r="E831" i="210" s="1"/>
  <c r="E833" i="210" s="1"/>
  <c r="E835" i="210" s="1"/>
  <c r="E837" i="210" s="1"/>
  <c r="K779" i="210"/>
  <c r="L779" i="210"/>
  <c r="N779" i="210"/>
  <c r="P779" i="210"/>
  <c r="Q779" i="210"/>
  <c r="D780" i="210"/>
  <c r="K780" i="210"/>
  <c r="L780" i="210"/>
  <c r="N780" i="210"/>
  <c r="P780" i="210"/>
  <c r="Q780" i="210"/>
  <c r="D781" i="210"/>
  <c r="K781" i="210"/>
  <c r="L781" i="210"/>
  <c r="N781" i="210"/>
  <c r="P781" i="210"/>
  <c r="Q781" i="210"/>
  <c r="D782" i="210"/>
  <c r="E782" i="210"/>
  <c r="E784" i="210" s="1"/>
  <c r="E786" i="210" s="1"/>
  <c r="E788" i="210" s="1"/>
  <c r="E790" i="210" s="1"/>
  <c r="E792" i="210" s="1"/>
  <c r="E794" i="210" s="1"/>
  <c r="E796" i="210" s="1"/>
  <c r="E798" i="210" s="1"/>
  <c r="E800" i="210" s="1"/>
  <c r="E802" i="210" s="1"/>
  <c r="E804" i="210" s="1"/>
  <c r="E806" i="210" s="1"/>
  <c r="E808" i="210" s="1"/>
  <c r="E810" i="210" s="1"/>
  <c r="E812" i="210" s="1"/>
  <c r="E814" i="210" s="1"/>
  <c r="E816" i="210" s="1"/>
  <c r="E818" i="210" s="1"/>
  <c r="E820" i="210" s="1"/>
  <c r="E822" i="210" s="1"/>
  <c r="E824" i="210" s="1"/>
  <c r="E826" i="210" s="1"/>
  <c r="E828" i="210" s="1"/>
  <c r="E830" i="210" s="1"/>
  <c r="E832" i="210" s="1"/>
  <c r="E834" i="210" s="1"/>
  <c r="E836" i="210" s="1"/>
  <c r="E838" i="210" s="1"/>
  <c r="K782" i="210"/>
  <c r="L782" i="210"/>
  <c r="N782" i="210"/>
  <c r="P782" i="210"/>
  <c r="Q782" i="210"/>
  <c r="D783" i="210"/>
  <c r="K783" i="210"/>
  <c r="L783" i="210"/>
  <c r="N783" i="210"/>
  <c r="P783" i="210"/>
  <c r="Q783" i="210"/>
  <c r="D784" i="210"/>
  <c r="K784" i="210"/>
  <c r="L784" i="210"/>
  <c r="N784" i="210"/>
  <c r="P784" i="210"/>
  <c r="Q784" i="210"/>
  <c r="D785" i="210"/>
  <c r="K785" i="210"/>
  <c r="L785" i="210"/>
  <c r="N785" i="210"/>
  <c r="P785" i="210"/>
  <c r="Q785" i="210"/>
  <c r="D786" i="210"/>
  <c r="K786" i="210"/>
  <c r="L786" i="210"/>
  <c r="N786" i="210"/>
  <c r="P786" i="210"/>
  <c r="Q786" i="210"/>
  <c r="D787" i="210"/>
  <c r="K787" i="210"/>
  <c r="L787" i="210"/>
  <c r="N787" i="210"/>
  <c r="P787" i="210"/>
  <c r="Q787" i="210"/>
  <c r="D788" i="210"/>
  <c r="K788" i="210"/>
  <c r="L788" i="210"/>
  <c r="N788" i="210"/>
  <c r="P788" i="210"/>
  <c r="Q788" i="210"/>
  <c r="D789" i="210"/>
  <c r="K789" i="210"/>
  <c r="L789" i="210"/>
  <c r="N789" i="210"/>
  <c r="P789" i="210"/>
  <c r="Q789" i="210"/>
  <c r="D790" i="210"/>
  <c r="K790" i="210"/>
  <c r="L790" i="210"/>
  <c r="N790" i="210"/>
  <c r="P790" i="210"/>
  <c r="Q790" i="210"/>
  <c r="D791" i="210"/>
  <c r="K791" i="210"/>
  <c r="L791" i="210"/>
  <c r="N791" i="210"/>
  <c r="P791" i="210"/>
  <c r="Q791" i="210"/>
  <c r="D792" i="210"/>
  <c r="K792" i="210"/>
  <c r="L792" i="210"/>
  <c r="N792" i="210"/>
  <c r="P792" i="210"/>
  <c r="Q792" i="210"/>
  <c r="D793" i="210"/>
  <c r="K793" i="210"/>
  <c r="L793" i="210"/>
  <c r="N793" i="210"/>
  <c r="P793" i="210"/>
  <c r="Q793" i="210"/>
  <c r="D794" i="210"/>
  <c r="K794" i="210"/>
  <c r="L794" i="210"/>
  <c r="N794" i="210"/>
  <c r="P794" i="210"/>
  <c r="Q794" i="210"/>
  <c r="D795" i="210"/>
  <c r="K795" i="210"/>
  <c r="L795" i="210"/>
  <c r="N795" i="210"/>
  <c r="P795" i="210"/>
  <c r="Q795" i="210"/>
  <c r="D796" i="210"/>
  <c r="K796" i="210"/>
  <c r="L796" i="210"/>
  <c r="N796" i="210"/>
  <c r="P796" i="210"/>
  <c r="Q796" i="210"/>
  <c r="D797" i="210"/>
  <c r="K797" i="210"/>
  <c r="L797" i="210"/>
  <c r="N797" i="210"/>
  <c r="P797" i="210"/>
  <c r="Q797" i="210"/>
  <c r="D798" i="210"/>
  <c r="K798" i="210"/>
  <c r="L798" i="210"/>
  <c r="N798" i="210"/>
  <c r="P798" i="210"/>
  <c r="Q798" i="210"/>
  <c r="D799" i="210"/>
  <c r="K799" i="210"/>
  <c r="L799" i="210"/>
  <c r="N799" i="210"/>
  <c r="P799" i="210"/>
  <c r="Q799" i="210"/>
  <c r="D800" i="210"/>
  <c r="K800" i="210"/>
  <c r="L800" i="210"/>
  <c r="N800" i="210"/>
  <c r="P800" i="210"/>
  <c r="Q800" i="210"/>
  <c r="D801" i="210"/>
  <c r="K801" i="210"/>
  <c r="L801" i="210"/>
  <c r="N801" i="210"/>
  <c r="P801" i="210"/>
  <c r="Q801" i="210"/>
  <c r="D802" i="210"/>
  <c r="K802" i="210"/>
  <c r="L802" i="210"/>
  <c r="N802" i="210"/>
  <c r="P802" i="210"/>
  <c r="Q802" i="210"/>
  <c r="D803" i="210"/>
  <c r="K803" i="210"/>
  <c r="L803" i="210"/>
  <c r="N803" i="210"/>
  <c r="P803" i="210"/>
  <c r="Q803" i="210"/>
  <c r="D804" i="210"/>
  <c r="K804" i="210"/>
  <c r="L804" i="210"/>
  <c r="N804" i="210"/>
  <c r="P804" i="210"/>
  <c r="Q804" i="210"/>
  <c r="D805" i="210"/>
  <c r="K805" i="210"/>
  <c r="L805" i="210"/>
  <c r="N805" i="210"/>
  <c r="P805" i="210"/>
  <c r="Q805" i="210"/>
  <c r="D806" i="210"/>
  <c r="K806" i="210"/>
  <c r="L806" i="210"/>
  <c r="N806" i="210"/>
  <c r="P806" i="210"/>
  <c r="Q806" i="210"/>
  <c r="D807" i="210"/>
  <c r="K807" i="210"/>
  <c r="L807" i="210"/>
  <c r="N807" i="210"/>
  <c r="P807" i="210"/>
  <c r="Q807" i="210"/>
  <c r="D808" i="210"/>
  <c r="K808" i="210"/>
  <c r="L808" i="210"/>
  <c r="N808" i="210"/>
  <c r="P808" i="210"/>
  <c r="Q808" i="210"/>
  <c r="D809" i="210"/>
  <c r="K809" i="210"/>
  <c r="L809" i="210"/>
  <c r="N809" i="210"/>
  <c r="P809" i="210"/>
  <c r="Q809" i="210"/>
  <c r="D810" i="210"/>
  <c r="K810" i="210"/>
  <c r="L810" i="210"/>
  <c r="N810" i="210"/>
  <c r="P810" i="210"/>
  <c r="Q810" i="210"/>
  <c r="D811" i="210"/>
  <c r="K811" i="210"/>
  <c r="L811" i="210"/>
  <c r="N811" i="210"/>
  <c r="P811" i="210"/>
  <c r="Q811" i="210"/>
  <c r="D812" i="210"/>
  <c r="K812" i="210"/>
  <c r="L812" i="210"/>
  <c r="N812" i="210"/>
  <c r="P812" i="210"/>
  <c r="Q812" i="210"/>
  <c r="D813" i="210"/>
  <c r="K813" i="210"/>
  <c r="L813" i="210"/>
  <c r="N813" i="210"/>
  <c r="P813" i="210"/>
  <c r="Q813" i="210"/>
  <c r="D814" i="210"/>
  <c r="K814" i="210"/>
  <c r="L814" i="210"/>
  <c r="N814" i="210"/>
  <c r="P814" i="210"/>
  <c r="Q814" i="210"/>
  <c r="D815" i="210"/>
  <c r="K815" i="210"/>
  <c r="L815" i="210"/>
  <c r="N815" i="210"/>
  <c r="P815" i="210"/>
  <c r="Q815" i="210"/>
  <c r="D816" i="210"/>
  <c r="K816" i="210"/>
  <c r="L816" i="210"/>
  <c r="N816" i="210"/>
  <c r="P816" i="210"/>
  <c r="Q816" i="210"/>
  <c r="D817" i="210"/>
  <c r="K817" i="210"/>
  <c r="L817" i="210"/>
  <c r="N817" i="210"/>
  <c r="P817" i="210"/>
  <c r="Q817" i="210"/>
  <c r="D818" i="210"/>
  <c r="K818" i="210"/>
  <c r="L818" i="210"/>
  <c r="N818" i="210"/>
  <c r="P818" i="210"/>
  <c r="Q818" i="210"/>
  <c r="D819" i="210"/>
  <c r="K819" i="210"/>
  <c r="L819" i="210"/>
  <c r="N819" i="210"/>
  <c r="P819" i="210"/>
  <c r="Q819" i="210"/>
  <c r="D820" i="210"/>
  <c r="K820" i="210"/>
  <c r="L820" i="210"/>
  <c r="N820" i="210"/>
  <c r="P820" i="210"/>
  <c r="Q820" i="210"/>
  <c r="D821" i="210"/>
  <c r="K821" i="210"/>
  <c r="L821" i="210"/>
  <c r="N821" i="210"/>
  <c r="P821" i="210"/>
  <c r="Q821" i="210"/>
  <c r="D822" i="210"/>
  <c r="K822" i="210"/>
  <c r="L822" i="210"/>
  <c r="N822" i="210"/>
  <c r="P822" i="210"/>
  <c r="Q822" i="210"/>
  <c r="D823" i="210"/>
  <c r="K823" i="210"/>
  <c r="L823" i="210"/>
  <c r="N823" i="210"/>
  <c r="P823" i="210"/>
  <c r="Q823" i="210"/>
  <c r="D824" i="210"/>
  <c r="K824" i="210"/>
  <c r="L824" i="210"/>
  <c r="N824" i="210"/>
  <c r="P824" i="210"/>
  <c r="Q824" i="210"/>
  <c r="D825" i="210"/>
  <c r="K825" i="210"/>
  <c r="L825" i="210"/>
  <c r="N825" i="210"/>
  <c r="P825" i="210"/>
  <c r="Q825" i="210"/>
  <c r="D826" i="210"/>
  <c r="K826" i="210"/>
  <c r="L826" i="210"/>
  <c r="N826" i="210"/>
  <c r="P826" i="210"/>
  <c r="Q826" i="210"/>
  <c r="D827" i="210"/>
  <c r="K827" i="210"/>
  <c r="L827" i="210"/>
  <c r="N827" i="210"/>
  <c r="P827" i="210"/>
  <c r="Q827" i="210"/>
  <c r="D828" i="210"/>
  <c r="K828" i="210"/>
  <c r="L828" i="210"/>
  <c r="N828" i="210"/>
  <c r="P828" i="210"/>
  <c r="Q828" i="210"/>
  <c r="D829" i="210"/>
  <c r="K829" i="210"/>
  <c r="L829" i="210"/>
  <c r="N829" i="210"/>
  <c r="P829" i="210"/>
  <c r="Q829" i="210"/>
  <c r="D830" i="210"/>
  <c r="K830" i="210"/>
  <c r="L830" i="210"/>
  <c r="N830" i="210"/>
  <c r="P830" i="210"/>
  <c r="Q830" i="210"/>
  <c r="D831" i="210"/>
  <c r="K831" i="210"/>
  <c r="L831" i="210"/>
  <c r="N831" i="210"/>
  <c r="P831" i="210"/>
  <c r="Q831" i="210"/>
  <c r="D832" i="210"/>
  <c r="K832" i="210"/>
  <c r="L832" i="210"/>
  <c r="N832" i="210"/>
  <c r="P832" i="210"/>
  <c r="Q832" i="210"/>
  <c r="D833" i="210"/>
  <c r="K833" i="210"/>
  <c r="L833" i="210"/>
  <c r="N833" i="210"/>
  <c r="P833" i="210"/>
  <c r="Q833" i="210"/>
  <c r="D834" i="210"/>
  <c r="K834" i="210"/>
  <c r="L834" i="210"/>
  <c r="N834" i="210"/>
  <c r="P834" i="210"/>
  <c r="Q834" i="210"/>
  <c r="D835" i="210"/>
  <c r="K835" i="210"/>
  <c r="L835" i="210"/>
  <c r="N835" i="210"/>
  <c r="P835" i="210"/>
  <c r="Q835" i="210"/>
  <c r="D836" i="210"/>
  <c r="K836" i="210"/>
  <c r="L836" i="210"/>
  <c r="N836" i="210"/>
  <c r="P836" i="210"/>
  <c r="Q836" i="210"/>
  <c r="D837" i="210"/>
  <c r="K837" i="210"/>
  <c r="L837" i="210"/>
  <c r="N837" i="210"/>
  <c r="P837" i="210"/>
  <c r="Q837" i="210"/>
  <c r="D838" i="210"/>
  <c r="K838" i="210"/>
  <c r="L838" i="210"/>
  <c r="N838" i="210"/>
  <c r="P838" i="210"/>
  <c r="Q838" i="210"/>
  <c r="C841" i="210"/>
  <c r="C842" i="210" s="1"/>
  <c r="C843" i="210" s="1"/>
  <c r="E841" i="210"/>
  <c r="E842" i="210" s="1"/>
  <c r="E843" i="210" s="1"/>
  <c r="E845" i="210" s="1"/>
  <c r="E847" i="210" s="1"/>
  <c r="E849" i="210" s="1"/>
  <c r="E851" i="210" s="1"/>
  <c r="E853" i="210" s="1"/>
  <c r="E855" i="210" s="1"/>
  <c r="E857" i="210" s="1"/>
  <c r="E859" i="210" s="1"/>
  <c r="E861" i="210" s="1"/>
  <c r="E863" i="210" s="1"/>
  <c r="E865" i="210" s="1"/>
  <c r="E867" i="210" s="1"/>
  <c r="E869" i="210" s="1"/>
  <c r="E871" i="210" s="1"/>
  <c r="E873" i="210" s="1"/>
  <c r="E875" i="210" s="1"/>
  <c r="E877" i="210" s="1"/>
  <c r="E879" i="210" s="1"/>
  <c r="E881" i="210" s="1"/>
  <c r="E883" i="210" s="1"/>
  <c r="E885" i="210" s="1"/>
  <c r="E887" i="210" s="1"/>
  <c r="E889" i="210" s="1"/>
  <c r="H841" i="210"/>
  <c r="I841" i="210"/>
  <c r="J841" i="210"/>
  <c r="I842" i="210"/>
  <c r="I843" i="210"/>
  <c r="D845" i="210"/>
  <c r="K845" i="210"/>
  <c r="L845" i="210"/>
  <c r="L841" i="210" s="1"/>
  <c r="N845" i="210"/>
  <c r="P845" i="210"/>
  <c r="P841" i="210" s="1"/>
  <c r="Q845" i="210"/>
  <c r="D846" i="210"/>
  <c r="E846" i="210"/>
  <c r="E848" i="210" s="1"/>
  <c r="E850" i="210" s="1"/>
  <c r="E852" i="210" s="1"/>
  <c r="E854" i="210" s="1"/>
  <c r="E856" i="210" s="1"/>
  <c r="E858" i="210" s="1"/>
  <c r="E860" i="210" s="1"/>
  <c r="E862" i="210" s="1"/>
  <c r="E864" i="210" s="1"/>
  <c r="E866" i="210" s="1"/>
  <c r="E868" i="210" s="1"/>
  <c r="E870" i="210" s="1"/>
  <c r="E872" i="210" s="1"/>
  <c r="E874" i="210" s="1"/>
  <c r="E876" i="210" s="1"/>
  <c r="E878" i="210" s="1"/>
  <c r="E880" i="210" s="1"/>
  <c r="E882" i="210" s="1"/>
  <c r="E884" i="210" s="1"/>
  <c r="E886" i="210" s="1"/>
  <c r="E888" i="210" s="1"/>
  <c r="K846" i="210"/>
  <c r="L846" i="210"/>
  <c r="N846" i="210"/>
  <c r="P846" i="210"/>
  <c r="Q846" i="210"/>
  <c r="D847" i="210"/>
  <c r="K847" i="210"/>
  <c r="L847" i="210"/>
  <c r="N847" i="210"/>
  <c r="P847" i="210"/>
  <c r="Q847" i="210"/>
  <c r="D848" i="210"/>
  <c r="K848" i="210"/>
  <c r="L848" i="210"/>
  <c r="N848" i="210"/>
  <c r="P848" i="210"/>
  <c r="Q848" i="210"/>
  <c r="D849" i="210"/>
  <c r="K849" i="210"/>
  <c r="L849" i="210"/>
  <c r="N849" i="210"/>
  <c r="P849" i="210"/>
  <c r="Q849" i="210"/>
  <c r="D850" i="210"/>
  <c r="K850" i="210"/>
  <c r="L850" i="210"/>
  <c r="N850" i="210"/>
  <c r="P850" i="210"/>
  <c r="Q850" i="210"/>
  <c r="D851" i="210"/>
  <c r="K851" i="210"/>
  <c r="L851" i="210"/>
  <c r="N851" i="210"/>
  <c r="P851" i="210"/>
  <c r="Q851" i="210"/>
  <c r="D852" i="210"/>
  <c r="K852" i="210"/>
  <c r="L852" i="210"/>
  <c r="N852" i="210"/>
  <c r="P852" i="210"/>
  <c r="Q852" i="210"/>
  <c r="D853" i="210"/>
  <c r="K853" i="210"/>
  <c r="L853" i="210"/>
  <c r="N853" i="210"/>
  <c r="P853" i="210"/>
  <c r="Q853" i="210"/>
  <c r="D854" i="210"/>
  <c r="K854" i="210"/>
  <c r="L854" i="210"/>
  <c r="N854" i="210"/>
  <c r="P854" i="210"/>
  <c r="Q854" i="210"/>
  <c r="D855" i="210"/>
  <c r="K855" i="210"/>
  <c r="L855" i="210"/>
  <c r="N855" i="210"/>
  <c r="P855" i="210"/>
  <c r="Q855" i="210"/>
  <c r="D856" i="210"/>
  <c r="K856" i="210"/>
  <c r="L856" i="210"/>
  <c r="N856" i="210"/>
  <c r="P856" i="210"/>
  <c r="Q856" i="210"/>
  <c r="D857" i="210"/>
  <c r="K857" i="210"/>
  <c r="L857" i="210"/>
  <c r="N857" i="210"/>
  <c r="P857" i="210"/>
  <c r="Q857" i="210"/>
  <c r="D858" i="210"/>
  <c r="K858" i="210"/>
  <c r="L858" i="210"/>
  <c r="N858" i="210"/>
  <c r="P858" i="210"/>
  <c r="Q858" i="210"/>
  <c r="D859" i="210"/>
  <c r="K859" i="210"/>
  <c r="L859" i="210"/>
  <c r="N859" i="210"/>
  <c r="P859" i="210"/>
  <c r="Q859" i="210"/>
  <c r="D860" i="210"/>
  <c r="K860" i="210"/>
  <c r="L860" i="210"/>
  <c r="N860" i="210"/>
  <c r="P860" i="210"/>
  <c r="Q860" i="210"/>
  <c r="D861" i="210"/>
  <c r="K861" i="210"/>
  <c r="L861" i="210"/>
  <c r="N861" i="210"/>
  <c r="P861" i="210"/>
  <c r="Q861" i="210"/>
  <c r="D862" i="210"/>
  <c r="K862" i="210"/>
  <c r="L862" i="210"/>
  <c r="N862" i="210"/>
  <c r="P862" i="210"/>
  <c r="Q862" i="210"/>
  <c r="D863" i="210"/>
  <c r="K863" i="210"/>
  <c r="L863" i="210"/>
  <c r="N863" i="210"/>
  <c r="P863" i="210"/>
  <c r="Q863" i="210"/>
  <c r="D864" i="210"/>
  <c r="K864" i="210"/>
  <c r="L864" i="210"/>
  <c r="N864" i="210"/>
  <c r="P864" i="210"/>
  <c r="Q864" i="210"/>
  <c r="D865" i="210"/>
  <c r="K865" i="210"/>
  <c r="L865" i="210"/>
  <c r="N865" i="210"/>
  <c r="P865" i="210"/>
  <c r="Q865" i="210"/>
  <c r="D866" i="210"/>
  <c r="K866" i="210"/>
  <c r="L866" i="210"/>
  <c r="N866" i="210"/>
  <c r="P866" i="210"/>
  <c r="Q866" i="210"/>
  <c r="D867" i="210"/>
  <c r="K867" i="210"/>
  <c r="L867" i="210"/>
  <c r="N867" i="210"/>
  <c r="P867" i="210"/>
  <c r="Q867" i="210"/>
  <c r="D868" i="210"/>
  <c r="K868" i="210"/>
  <c r="L868" i="210"/>
  <c r="N868" i="210"/>
  <c r="P868" i="210"/>
  <c r="Q868" i="210"/>
  <c r="D869" i="210"/>
  <c r="K869" i="210"/>
  <c r="L869" i="210"/>
  <c r="N869" i="210"/>
  <c r="P869" i="210"/>
  <c r="Q869" i="210"/>
  <c r="D870" i="210"/>
  <c r="K870" i="210"/>
  <c r="L870" i="210"/>
  <c r="N870" i="210"/>
  <c r="P870" i="210"/>
  <c r="Q870" i="210"/>
  <c r="D871" i="210"/>
  <c r="K871" i="210"/>
  <c r="L871" i="210"/>
  <c r="N871" i="210"/>
  <c r="P871" i="210"/>
  <c r="Q871" i="210"/>
  <c r="D872" i="210"/>
  <c r="K872" i="210"/>
  <c r="L872" i="210"/>
  <c r="N872" i="210"/>
  <c r="P872" i="210"/>
  <c r="Q872" i="210"/>
  <c r="D873" i="210"/>
  <c r="K873" i="210"/>
  <c r="L873" i="210"/>
  <c r="N873" i="210"/>
  <c r="P873" i="210"/>
  <c r="Q873" i="210"/>
  <c r="D874" i="210"/>
  <c r="K874" i="210"/>
  <c r="L874" i="210"/>
  <c r="N874" i="210"/>
  <c r="P874" i="210"/>
  <c r="Q874" i="210"/>
  <c r="D875" i="210"/>
  <c r="K875" i="210"/>
  <c r="L875" i="210"/>
  <c r="N875" i="210"/>
  <c r="P875" i="210"/>
  <c r="Q875" i="210"/>
  <c r="D876" i="210"/>
  <c r="K876" i="210"/>
  <c r="L876" i="210"/>
  <c r="N876" i="210"/>
  <c r="P876" i="210"/>
  <c r="Q876" i="210"/>
  <c r="D877" i="210"/>
  <c r="K877" i="210"/>
  <c r="L877" i="210"/>
  <c r="N877" i="210"/>
  <c r="P877" i="210"/>
  <c r="Q877" i="210"/>
  <c r="D878" i="210"/>
  <c r="K878" i="210"/>
  <c r="L878" i="210"/>
  <c r="N878" i="210"/>
  <c r="P878" i="210"/>
  <c r="Q878" i="210"/>
  <c r="D879" i="210"/>
  <c r="K879" i="210"/>
  <c r="L879" i="210"/>
  <c r="N879" i="210"/>
  <c r="P879" i="210"/>
  <c r="Q879" i="210"/>
  <c r="D880" i="210"/>
  <c r="K880" i="210"/>
  <c r="L880" i="210"/>
  <c r="N880" i="210"/>
  <c r="P880" i="210"/>
  <c r="Q880" i="210"/>
  <c r="D881" i="210"/>
  <c r="K881" i="210"/>
  <c r="L881" i="210"/>
  <c r="N881" i="210"/>
  <c r="P881" i="210"/>
  <c r="Q881" i="210"/>
  <c r="D882" i="210"/>
  <c r="K882" i="210"/>
  <c r="L882" i="210"/>
  <c r="N882" i="210"/>
  <c r="P882" i="210"/>
  <c r="Q882" i="210"/>
  <c r="D883" i="210"/>
  <c r="K883" i="210"/>
  <c r="L883" i="210"/>
  <c r="N883" i="210"/>
  <c r="P883" i="210"/>
  <c r="Q883" i="210"/>
  <c r="D884" i="210"/>
  <c r="K884" i="210"/>
  <c r="L884" i="210"/>
  <c r="N884" i="210"/>
  <c r="P884" i="210"/>
  <c r="Q884" i="210"/>
  <c r="D885" i="210"/>
  <c r="K885" i="210"/>
  <c r="L885" i="210"/>
  <c r="N885" i="210"/>
  <c r="P885" i="210"/>
  <c r="Q885" i="210"/>
  <c r="D886" i="210"/>
  <c r="K886" i="210"/>
  <c r="L886" i="210"/>
  <c r="N886" i="210"/>
  <c r="P886" i="210"/>
  <c r="Q886" i="210"/>
  <c r="D887" i="210"/>
  <c r="K887" i="210"/>
  <c r="L887" i="210"/>
  <c r="N887" i="210"/>
  <c r="P887" i="210"/>
  <c r="Q887" i="210"/>
  <c r="D888" i="210"/>
  <c r="K888" i="210"/>
  <c r="L888" i="210"/>
  <c r="N888" i="210"/>
  <c r="P888" i="210"/>
  <c r="Q888" i="210"/>
  <c r="D889" i="210"/>
  <c r="K889" i="210"/>
  <c r="L889" i="210"/>
  <c r="N889" i="210"/>
  <c r="P889" i="210"/>
  <c r="Q889" i="210"/>
  <c r="C892" i="210"/>
  <c r="C893" i="210" s="1"/>
  <c r="C894" i="210" s="1"/>
  <c r="H892" i="210"/>
  <c r="E892" i="210" s="1"/>
  <c r="E893" i="210" s="1"/>
  <c r="E894" i="210" s="1"/>
  <c r="E896" i="210" s="1"/>
  <c r="E898" i="210" s="1"/>
  <c r="E900" i="210" s="1"/>
  <c r="E902" i="210" s="1"/>
  <c r="E904" i="210" s="1"/>
  <c r="E906" i="210" s="1"/>
  <c r="E908" i="210" s="1"/>
  <c r="E910" i="210" s="1"/>
  <c r="E912" i="210" s="1"/>
  <c r="E914" i="210" s="1"/>
  <c r="E916" i="210" s="1"/>
  <c r="I892" i="210"/>
  <c r="J892" i="210"/>
  <c r="I893" i="210"/>
  <c r="I894" i="210"/>
  <c r="D896" i="210"/>
  <c r="K896" i="210"/>
  <c r="L896" i="210"/>
  <c r="N896" i="210"/>
  <c r="P896" i="210"/>
  <c r="Q896" i="210"/>
  <c r="D897" i="210"/>
  <c r="E897" i="210"/>
  <c r="E899" i="210" s="1"/>
  <c r="E901" i="210" s="1"/>
  <c r="E903" i="210" s="1"/>
  <c r="E905" i="210" s="1"/>
  <c r="E907" i="210" s="1"/>
  <c r="E909" i="210" s="1"/>
  <c r="E911" i="210" s="1"/>
  <c r="E913" i="210" s="1"/>
  <c r="E915" i="210" s="1"/>
  <c r="E917" i="210" s="1"/>
  <c r="K897" i="210"/>
  <c r="L897" i="210"/>
  <c r="N897" i="210"/>
  <c r="P897" i="210"/>
  <c r="Q897" i="210"/>
  <c r="D898" i="210"/>
  <c r="K898" i="210"/>
  <c r="L898" i="210"/>
  <c r="N898" i="210"/>
  <c r="P898" i="210"/>
  <c r="Q898" i="210"/>
  <c r="D899" i="210"/>
  <c r="K899" i="210"/>
  <c r="L899" i="210"/>
  <c r="N899" i="210"/>
  <c r="P899" i="210"/>
  <c r="Q899" i="210"/>
  <c r="D900" i="210"/>
  <c r="K900" i="210"/>
  <c r="L900" i="210"/>
  <c r="N900" i="210"/>
  <c r="P900" i="210"/>
  <c r="Q900" i="210"/>
  <c r="D901" i="210"/>
  <c r="K901" i="210"/>
  <c r="L901" i="210"/>
  <c r="N901" i="210"/>
  <c r="P901" i="210"/>
  <c r="Q901" i="210"/>
  <c r="D902" i="210"/>
  <c r="K902" i="210"/>
  <c r="L902" i="210"/>
  <c r="N902" i="210"/>
  <c r="P902" i="210"/>
  <c r="Q902" i="210"/>
  <c r="D903" i="210"/>
  <c r="K903" i="210"/>
  <c r="L903" i="210"/>
  <c r="N903" i="210"/>
  <c r="P903" i="210"/>
  <c r="Q903" i="210"/>
  <c r="D904" i="210"/>
  <c r="K904" i="210"/>
  <c r="L904" i="210"/>
  <c r="N904" i="210"/>
  <c r="P904" i="210"/>
  <c r="Q904" i="210"/>
  <c r="D905" i="210"/>
  <c r="K905" i="210"/>
  <c r="L905" i="210"/>
  <c r="N905" i="210"/>
  <c r="P905" i="210"/>
  <c r="Q905" i="210"/>
  <c r="D906" i="210"/>
  <c r="K906" i="210"/>
  <c r="L906" i="210"/>
  <c r="N906" i="210"/>
  <c r="P906" i="210"/>
  <c r="Q906" i="210"/>
  <c r="D907" i="210"/>
  <c r="K907" i="210"/>
  <c r="L907" i="210"/>
  <c r="N907" i="210"/>
  <c r="P907" i="210"/>
  <c r="Q907" i="210"/>
  <c r="D908" i="210"/>
  <c r="K908" i="210"/>
  <c r="L908" i="210"/>
  <c r="N908" i="210"/>
  <c r="P908" i="210"/>
  <c r="Q908" i="210"/>
  <c r="D909" i="210"/>
  <c r="K909" i="210"/>
  <c r="L909" i="210"/>
  <c r="N909" i="210"/>
  <c r="P909" i="210"/>
  <c r="Q909" i="210"/>
  <c r="D910" i="210"/>
  <c r="K910" i="210"/>
  <c r="L910" i="210"/>
  <c r="N910" i="210"/>
  <c r="P910" i="210"/>
  <c r="Q910" i="210"/>
  <c r="D911" i="210"/>
  <c r="K911" i="210"/>
  <c r="L911" i="210"/>
  <c r="N911" i="210"/>
  <c r="P911" i="210"/>
  <c r="Q911" i="210"/>
  <c r="D912" i="210"/>
  <c r="K912" i="210"/>
  <c r="L912" i="210"/>
  <c r="N912" i="210"/>
  <c r="P912" i="210"/>
  <c r="Q912" i="210"/>
  <c r="D913" i="210"/>
  <c r="K913" i="210"/>
  <c r="L913" i="210"/>
  <c r="N913" i="210"/>
  <c r="P913" i="210"/>
  <c r="Q913" i="210"/>
  <c r="D914" i="210"/>
  <c r="K914" i="210"/>
  <c r="L914" i="210"/>
  <c r="N914" i="210"/>
  <c r="P914" i="210"/>
  <c r="Q914" i="210"/>
  <c r="D915" i="210"/>
  <c r="K915" i="210"/>
  <c r="L915" i="210"/>
  <c r="N915" i="210"/>
  <c r="P915" i="210"/>
  <c r="Q915" i="210"/>
  <c r="D916" i="210"/>
  <c r="K916" i="210"/>
  <c r="L916" i="210"/>
  <c r="N916" i="210"/>
  <c r="P916" i="210"/>
  <c r="Q916" i="210"/>
  <c r="D917" i="210"/>
  <c r="K917" i="210"/>
  <c r="L917" i="210"/>
  <c r="N917" i="210"/>
  <c r="P917" i="210"/>
  <c r="Q917" i="210"/>
  <c r="C920" i="210"/>
  <c r="C921" i="210" s="1"/>
  <c r="C922" i="210" s="1"/>
  <c r="H920" i="210"/>
  <c r="E920" i="210" s="1"/>
  <c r="E921" i="210" s="1"/>
  <c r="E922" i="210" s="1"/>
  <c r="E924" i="210" s="1"/>
  <c r="E926" i="210" s="1"/>
  <c r="E928" i="210" s="1"/>
  <c r="E930" i="210" s="1"/>
  <c r="E932" i="210" s="1"/>
  <c r="E934" i="210" s="1"/>
  <c r="E936" i="210" s="1"/>
  <c r="E938" i="210" s="1"/>
  <c r="E940" i="210" s="1"/>
  <c r="E942" i="210" s="1"/>
  <c r="E944" i="210" s="1"/>
  <c r="E946" i="210" s="1"/>
  <c r="E948" i="210" s="1"/>
  <c r="E950" i="210" s="1"/>
  <c r="E952" i="210" s="1"/>
  <c r="E954" i="210" s="1"/>
  <c r="E956" i="210" s="1"/>
  <c r="E958" i="210" s="1"/>
  <c r="E960" i="210" s="1"/>
  <c r="E962" i="210" s="1"/>
  <c r="E964" i="210" s="1"/>
  <c r="E966" i="210" s="1"/>
  <c r="E968" i="210" s="1"/>
  <c r="E970" i="210" s="1"/>
  <c r="E972" i="210" s="1"/>
  <c r="E974" i="210" s="1"/>
  <c r="E976" i="210" s="1"/>
  <c r="E978" i="210" s="1"/>
  <c r="E980" i="210" s="1"/>
  <c r="E982" i="210" s="1"/>
  <c r="E984" i="210" s="1"/>
  <c r="E986" i="210" s="1"/>
  <c r="E988" i="210" s="1"/>
  <c r="E990" i="210" s="1"/>
  <c r="E992" i="210" s="1"/>
  <c r="E994" i="210" s="1"/>
  <c r="E996" i="210" s="1"/>
  <c r="E998" i="210" s="1"/>
  <c r="E1000" i="210" s="1"/>
  <c r="E1002" i="210" s="1"/>
  <c r="E1004" i="210" s="1"/>
  <c r="E1006" i="210" s="1"/>
  <c r="E1008" i="210" s="1"/>
  <c r="E1010" i="210" s="1"/>
  <c r="E1012" i="210" s="1"/>
  <c r="E1014" i="210" s="1"/>
  <c r="E1016" i="210" s="1"/>
  <c r="E1018" i="210" s="1"/>
  <c r="E1020" i="210" s="1"/>
  <c r="E1022" i="210" s="1"/>
  <c r="E1024" i="210" s="1"/>
  <c r="I920" i="210"/>
  <c r="J920" i="210"/>
  <c r="I921" i="210"/>
  <c r="I922" i="210"/>
  <c r="D924" i="210"/>
  <c r="K924" i="210"/>
  <c r="L924" i="210"/>
  <c r="N924" i="210"/>
  <c r="P924" i="210"/>
  <c r="Q924" i="210"/>
  <c r="D925" i="210"/>
  <c r="E925" i="210"/>
  <c r="E927" i="210" s="1"/>
  <c r="E929" i="210" s="1"/>
  <c r="E931" i="210" s="1"/>
  <c r="K925" i="210"/>
  <c r="L925" i="210"/>
  <c r="N925" i="210"/>
  <c r="P925" i="210"/>
  <c r="Q925" i="210"/>
  <c r="D926" i="210"/>
  <c r="K926" i="210"/>
  <c r="L926" i="210"/>
  <c r="N926" i="210"/>
  <c r="P926" i="210"/>
  <c r="Q926" i="210"/>
  <c r="D927" i="210"/>
  <c r="K927" i="210"/>
  <c r="L927" i="210"/>
  <c r="N927" i="210"/>
  <c r="P927" i="210"/>
  <c r="Q927" i="210"/>
  <c r="D928" i="210"/>
  <c r="K928" i="210"/>
  <c r="L928" i="210"/>
  <c r="N928" i="210"/>
  <c r="P928" i="210"/>
  <c r="Q928" i="210"/>
  <c r="D929" i="210"/>
  <c r="K929" i="210"/>
  <c r="L929" i="210"/>
  <c r="N929" i="210"/>
  <c r="P929" i="210"/>
  <c r="Q929" i="210"/>
  <c r="D930" i="210"/>
  <c r="K930" i="210"/>
  <c r="L930" i="210"/>
  <c r="N930" i="210"/>
  <c r="P930" i="210"/>
  <c r="Q930" i="210"/>
  <c r="D931" i="210"/>
  <c r="K931" i="210"/>
  <c r="L931" i="210"/>
  <c r="N931" i="210"/>
  <c r="P931" i="210"/>
  <c r="Q931" i="210"/>
  <c r="D932" i="210"/>
  <c r="K932" i="210"/>
  <c r="L932" i="210"/>
  <c r="N932" i="210"/>
  <c r="P932" i="210"/>
  <c r="Q932" i="210"/>
  <c r="D933" i="210"/>
  <c r="E933" i="210"/>
  <c r="E935" i="210" s="1"/>
  <c r="E937" i="210" s="1"/>
  <c r="E939" i="210" s="1"/>
  <c r="E941" i="210" s="1"/>
  <c r="E943" i="210" s="1"/>
  <c r="E945" i="210" s="1"/>
  <c r="E947" i="210" s="1"/>
  <c r="E949" i="210" s="1"/>
  <c r="E951" i="210" s="1"/>
  <c r="E953" i="210" s="1"/>
  <c r="E955" i="210" s="1"/>
  <c r="E957" i="210" s="1"/>
  <c r="E959" i="210" s="1"/>
  <c r="E961" i="210" s="1"/>
  <c r="E963" i="210" s="1"/>
  <c r="E965" i="210" s="1"/>
  <c r="E967" i="210" s="1"/>
  <c r="E969" i="210" s="1"/>
  <c r="E971" i="210" s="1"/>
  <c r="E973" i="210" s="1"/>
  <c r="E975" i="210" s="1"/>
  <c r="E977" i="210" s="1"/>
  <c r="E979" i="210" s="1"/>
  <c r="E981" i="210" s="1"/>
  <c r="E983" i="210" s="1"/>
  <c r="E985" i="210" s="1"/>
  <c r="E987" i="210" s="1"/>
  <c r="E989" i="210" s="1"/>
  <c r="E991" i="210" s="1"/>
  <c r="E993" i="210" s="1"/>
  <c r="E995" i="210" s="1"/>
  <c r="E997" i="210" s="1"/>
  <c r="E999" i="210" s="1"/>
  <c r="E1001" i="210" s="1"/>
  <c r="E1003" i="210" s="1"/>
  <c r="E1005" i="210" s="1"/>
  <c r="E1007" i="210" s="1"/>
  <c r="E1009" i="210" s="1"/>
  <c r="E1011" i="210" s="1"/>
  <c r="E1013" i="210" s="1"/>
  <c r="E1015" i="210" s="1"/>
  <c r="E1017" i="210" s="1"/>
  <c r="E1019" i="210" s="1"/>
  <c r="E1021" i="210" s="1"/>
  <c r="E1023" i="210" s="1"/>
  <c r="K933" i="210"/>
  <c r="L933" i="210"/>
  <c r="N933" i="210"/>
  <c r="P933" i="210"/>
  <c r="Q933" i="210"/>
  <c r="D934" i="210"/>
  <c r="K934" i="210"/>
  <c r="L934" i="210"/>
  <c r="N934" i="210"/>
  <c r="P934" i="210"/>
  <c r="Q934" i="210"/>
  <c r="D935" i="210"/>
  <c r="K935" i="210"/>
  <c r="L935" i="210"/>
  <c r="N935" i="210"/>
  <c r="P935" i="210"/>
  <c r="Q935" i="210"/>
  <c r="D936" i="210"/>
  <c r="K936" i="210"/>
  <c r="L936" i="210"/>
  <c r="N936" i="210"/>
  <c r="P936" i="210"/>
  <c r="Q936" i="210"/>
  <c r="D937" i="210"/>
  <c r="K937" i="210"/>
  <c r="L937" i="210"/>
  <c r="N937" i="210"/>
  <c r="P937" i="210"/>
  <c r="Q937" i="210"/>
  <c r="D938" i="210"/>
  <c r="K938" i="210"/>
  <c r="L938" i="210"/>
  <c r="N938" i="210"/>
  <c r="P938" i="210"/>
  <c r="Q938" i="210"/>
  <c r="D939" i="210"/>
  <c r="K939" i="210"/>
  <c r="L939" i="210"/>
  <c r="N939" i="210"/>
  <c r="P939" i="210"/>
  <c r="Q939" i="210"/>
  <c r="D940" i="210"/>
  <c r="K940" i="210"/>
  <c r="L940" i="210"/>
  <c r="N940" i="210"/>
  <c r="P940" i="210"/>
  <c r="Q940" i="210"/>
  <c r="D941" i="210"/>
  <c r="K941" i="210"/>
  <c r="L941" i="210"/>
  <c r="N941" i="210"/>
  <c r="P941" i="210"/>
  <c r="Q941" i="210"/>
  <c r="D942" i="210"/>
  <c r="K942" i="210"/>
  <c r="L942" i="210"/>
  <c r="N942" i="210"/>
  <c r="P942" i="210"/>
  <c r="Q942" i="210"/>
  <c r="D943" i="210"/>
  <c r="K943" i="210"/>
  <c r="L943" i="210"/>
  <c r="N943" i="210"/>
  <c r="P943" i="210"/>
  <c r="Q943" i="210"/>
  <c r="D944" i="210"/>
  <c r="K944" i="210"/>
  <c r="L944" i="210"/>
  <c r="N944" i="210"/>
  <c r="P944" i="210"/>
  <c r="Q944" i="210"/>
  <c r="D945" i="210"/>
  <c r="K945" i="210"/>
  <c r="L945" i="210"/>
  <c r="N945" i="210"/>
  <c r="P945" i="210"/>
  <c r="Q945" i="210"/>
  <c r="D946" i="210"/>
  <c r="K946" i="210"/>
  <c r="L946" i="210"/>
  <c r="N946" i="210"/>
  <c r="P946" i="210"/>
  <c r="Q946" i="210"/>
  <c r="D947" i="210"/>
  <c r="K947" i="210"/>
  <c r="L947" i="210"/>
  <c r="N947" i="210"/>
  <c r="P947" i="210"/>
  <c r="Q947" i="210"/>
  <c r="D948" i="210"/>
  <c r="K948" i="210"/>
  <c r="L948" i="210"/>
  <c r="N948" i="210"/>
  <c r="P948" i="210"/>
  <c r="Q948" i="210"/>
  <c r="D949" i="210"/>
  <c r="K949" i="210"/>
  <c r="L949" i="210"/>
  <c r="N949" i="210"/>
  <c r="P949" i="210"/>
  <c r="Q949" i="210"/>
  <c r="D950" i="210"/>
  <c r="K950" i="210"/>
  <c r="L950" i="210"/>
  <c r="N950" i="210"/>
  <c r="P950" i="210"/>
  <c r="Q950" i="210"/>
  <c r="D951" i="210"/>
  <c r="K951" i="210"/>
  <c r="L951" i="210"/>
  <c r="N951" i="210"/>
  <c r="P951" i="210"/>
  <c r="Q951" i="210"/>
  <c r="D952" i="210"/>
  <c r="K952" i="210"/>
  <c r="L952" i="210"/>
  <c r="N952" i="210"/>
  <c r="P952" i="210"/>
  <c r="Q952" i="210"/>
  <c r="D953" i="210"/>
  <c r="K953" i="210"/>
  <c r="L953" i="210"/>
  <c r="N953" i="210"/>
  <c r="P953" i="210"/>
  <c r="Q953" i="210"/>
  <c r="D954" i="210"/>
  <c r="K954" i="210"/>
  <c r="L954" i="210"/>
  <c r="N954" i="210"/>
  <c r="P954" i="210"/>
  <c r="Q954" i="210"/>
  <c r="D955" i="210"/>
  <c r="K955" i="210"/>
  <c r="L955" i="210"/>
  <c r="N955" i="210"/>
  <c r="P955" i="210"/>
  <c r="Q955" i="210"/>
  <c r="D956" i="210"/>
  <c r="K956" i="210"/>
  <c r="L956" i="210"/>
  <c r="N956" i="210"/>
  <c r="P956" i="210"/>
  <c r="Q956" i="210"/>
  <c r="D957" i="210"/>
  <c r="K957" i="210"/>
  <c r="L957" i="210"/>
  <c r="N957" i="210"/>
  <c r="P957" i="210"/>
  <c r="Q957" i="210"/>
  <c r="D958" i="210"/>
  <c r="K958" i="210"/>
  <c r="L958" i="210"/>
  <c r="N958" i="210"/>
  <c r="P958" i="210"/>
  <c r="Q958" i="210"/>
  <c r="D959" i="210"/>
  <c r="K959" i="210"/>
  <c r="L959" i="210"/>
  <c r="N959" i="210"/>
  <c r="P959" i="210"/>
  <c r="Q959" i="210"/>
  <c r="D960" i="210"/>
  <c r="K960" i="210"/>
  <c r="L960" i="210"/>
  <c r="N960" i="210"/>
  <c r="P960" i="210"/>
  <c r="Q960" i="210"/>
  <c r="D961" i="210"/>
  <c r="K961" i="210"/>
  <c r="L961" i="210"/>
  <c r="N961" i="210"/>
  <c r="P961" i="210"/>
  <c r="Q961" i="210"/>
  <c r="D962" i="210"/>
  <c r="K962" i="210"/>
  <c r="L962" i="210"/>
  <c r="N962" i="210"/>
  <c r="P962" i="210"/>
  <c r="Q962" i="210"/>
  <c r="D963" i="210"/>
  <c r="K963" i="210"/>
  <c r="L963" i="210"/>
  <c r="N963" i="210"/>
  <c r="P963" i="210"/>
  <c r="Q963" i="210"/>
  <c r="D964" i="210"/>
  <c r="K964" i="210"/>
  <c r="L964" i="210"/>
  <c r="N964" i="210"/>
  <c r="P964" i="210"/>
  <c r="Q964" i="210"/>
  <c r="D965" i="210"/>
  <c r="K965" i="210"/>
  <c r="L965" i="210"/>
  <c r="N965" i="210"/>
  <c r="P965" i="210"/>
  <c r="Q965" i="210"/>
  <c r="D966" i="210"/>
  <c r="K966" i="210"/>
  <c r="L966" i="210"/>
  <c r="N966" i="210"/>
  <c r="P966" i="210"/>
  <c r="Q966" i="210"/>
  <c r="D967" i="210"/>
  <c r="K967" i="210"/>
  <c r="L967" i="210"/>
  <c r="N967" i="210"/>
  <c r="P967" i="210"/>
  <c r="Q967" i="210"/>
  <c r="D968" i="210"/>
  <c r="K968" i="210"/>
  <c r="L968" i="210"/>
  <c r="N968" i="210"/>
  <c r="P968" i="210"/>
  <c r="Q968" i="210"/>
  <c r="D969" i="210"/>
  <c r="K969" i="210"/>
  <c r="L969" i="210"/>
  <c r="N969" i="210"/>
  <c r="P969" i="210"/>
  <c r="Q969" i="210"/>
  <c r="D970" i="210"/>
  <c r="K970" i="210"/>
  <c r="L970" i="210"/>
  <c r="N970" i="210"/>
  <c r="P970" i="210"/>
  <c r="Q970" i="210"/>
  <c r="D971" i="210"/>
  <c r="K971" i="210"/>
  <c r="L971" i="210"/>
  <c r="N971" i="210"/>
  <c r="P971" i="210"/>
  <c r="Q971" i="210"/>
  <c r="D972" i="210"/>
  <c r="K972" i="210"/>
  <c r="L972" i="210"/>
  <c r="N972" i="210"/>
  <c r="P972" i="210"/>
  <c r="Q972" i="210"/>
  <c r="D973" i="210"/>
  <c r="K973" i="210"/>
  <c r="L973" i="210"/>
  <c r="N973" i="210"/>
  <c r="P973" i="210"/>
  <c r="Q973" i="210"/>
  <c r="D974" i="210"/>
  <c r="K974" i="210"/>
  <c r="L974" i="210"/>
  <c r="N974" i="210"/>
  <c r="P974" i="210"/>
  <c r="Q974" i="210"/>
  <c r="D975" i="210"/>
  <c r="K975" i="210"/>
  <c r="L975" i="210"/>
  <c r="N975" i="210"/>
  <c r="P975" i="210"/>
  <c r="Q975" i="210"/>
  <c r="D976" i="210"/>
  <c r="K976" i="210"/>
  <c r="L976" i="210"/>
  <c r="N976" i="210"/>
  <c r="P976" i="210"/>
  <c r="Q976" i="210"/>
  <c r="D977" i="210"/>
  <c r="K977" i="210"/>
  <c r="L977" i="210"/>
  <c r="N977" i="210"/>
  <c r="P977" i="210"/>
  <c r="Q977" i="210"/>
  <c r="D978" i="210"/>
  <c r="K978" i="210"/>
  <c r="L978" i="210"/>
  <c r="N978" i="210"/>
  <c r="P978" i="210"/>
  <c r="Q978" i="210"/>
  <c r="D979" i="210"/>
  <c r="K979" i="210"/>
  <c r="L979" i="210"/>
  <c r="N979" i="210"/>
  <c r="P979" i="210"/>
  <c r="Q979" i="210"/>
  <c r="D980" i="210"/>
  <c r="K980" i="210"/>
  <c r="L980" i="210"/>
  <c r="N980" i="210"/>
  <c r="P980" i="210"/>
  <c r="Q980" i="210"/>
  <c r="D981" i="210"/>
  <c r="K981" i="210"/>
  <c r="L981" i="210"/>
  <c r="N981" i="210"/>
  <c r="P981" i="210"/>
  <c r="Q981" i="210"/>
  <c r="D982" i="210"/>
  <c r="K982" i="210"/>
  <c r="L982" i="210"/>
  <c r="N982" i="210"/>
  <c r="P982" i="210"/>
  <c r="Q982" i="210"/>
  <c r="D983" i="210"/>
  <c r="K983" i="210"/>
  <c r="L983" i="210"/>
  <c r="N983" i="210"/>
  <c r="P983" i="210"/>
  <c r="Q983" i="210"/>
  <c r="D984" i="210"/>
  <c r="K984" i="210"/>
  <c r="L984" i="210"/>
  <c r="N984" i="210"/>
  <c r="P984" i="210"/>
  <c r="Q984" i="210"/>
  <c r="D985" i="210"/>
  <c r="K985" i="210"/>
  <c r="L985" i="210"/>
  <c r="N985" i="210"/>
  <c r="P985" i="210"/>
  <c r="Q985" i="210"/>
  <c r="D986" i="210"/>
  <c r="K986" i="210"/>
  <c r="L986" i="210"/>
  <c r="N986" i="210"/>
  <c r="P986" i="210"/>
  <c r="Q986" i="210"/>
  <c r="D987" i="210"/>
  <c r="K987" i="210"/>
  <c r="L987" i="210"/>
  <c r="N987" i="210"/>
  <c r="P987" i="210"/>
  <c r="Q987" i="210"/>
  <c r="D988" i="210"/>
  <c r="K988" i="210"/>
  <c r="L988" i="210"/>
  <c r="N988" i="210"/>
  <c r="P988" i="210"/>
  <c r="Q988" i="210"/>
  <c r="D989" i="210"/>
  <c r="K989" i="210"/>
  <c r="L989" i="210"/>
  <c r="N989" i="210"/>
  <c r="P989" i="210"/>
  <c r="Q989" i="210"/>
  <c r="D990" i="210"/>
  <c r="K990" i="210"/>
  <c r="L990" i="210"/>
  <c r="N990" i="210"/>
  <c r="P990" i="210"/>
  <c r="Q990" i="210"/>
  <c r="D991" i="210"/>
  <c r="K991" i="210"/>
  <c r="L991" i="210"/>
  <c r="N991" i="210"/>
  <c r="P991" i="210"/>
  <c r="Q991" i="210"/>
  <c r="D992" i="210"/>
  <c r="K992" i="210"/>
  <c r="L992" i="210"/>
  <c r="N992" i="210"/>
  <c r="P992" i="210"/>
  <c r="Q992" i="210"/>
  <c r="D993" i="210"/>
  <c r="K993" i="210"/>
  <c r="L993" i="210"/>
  <c r="N993" i="210"/>
  <c r="P993" i="210"/>
  <c r="Q993" i="210"/>
  <c r="D994" i="210"/>
  <c r="K994" i="210"/>
  <c r="L994" i="210"/>
  <c r="N994" i="210"/>
  <c r="P994" i="210"/>
  <c r="Q994" i="210"/>
  <c r="D995" i="210"/>
  <c r="K995" i="210"/>
  <c r="L995" i="210"/>
  <c r="N995" i="210"/>
  <c r="P995" i="210"/>
  <c r="Q995" i="210"/>
  <c r="D996" i="210"/>
  <c r="K996" i="210"/>
  <c r="L996" i="210"/>
  <c r="N996" i="210"/>
  <c r="P996" i="210"/>
  <c r="Q996" i="210"/>
  <c r="D997" i="210"/>
  <c r="K997" i="210"/>
  <c r="L997" i="210"/>
  <c r="N997" i="210"/>
  <c r="P997" i="210"/>
  <c r="Q997" i="210"/>
  <c r="D998" i="210"/>
  <c r="K998" i="210"/>
  <c r="L998" i="210"/>
  <c r="N998" i="210"/>
  <c r="P998" i="210"/>
  <c r="Q998" i="210"/>
  <c r="D999" i="210"/>
  <c r="K999" i="210"/>
  <c r="L999" i="210"/>
  <c r="N999" i="210"/>
  <c r="P999" i="210"/>
  <c r="Q999" i="210"/>
  <c r="D1000" i="210"/>
  <c r="K1000" i="210"/>
  <c r="L1000" i="210"/>
  <c r="N1000" i="210"/>
  <c r="P1000" i="210"/>
  <c r="Q1000" i="210"/>
  <c r="D1001" i="210"/>
  <c r="K1001" i="210"/>
  <c r="L1001" i="210"/>
  <c r="N1001" i="210"/>
  <c r="P1001" i="210"/>
  <c r="Q1001" i="210"/>
  <c r="D1002" i="210"/>
  <c r="K1002" i="210"/>
  <c r="L1002" i="210"/>
  <c r="N1002" i="210"/>
  <c r="P1002" i="210"/>
  <c r="Q1002" i="210"/>
  <c r="D1003" i="210"/>
  <c r="K1003" i="210"/>
  <c r="L1003" i="210"/>
  <c r="N1003" i="210"/>
  <c r="P1003" i="210"/>
  <c r="Q1003" i="210"/>
  <c r="D1004" i="210"/>
  <c r="K1004" i="210"/>
  <c r="L1004" i="210"/>
  <c r="N1004" i="210"/>
  <c r="P1004" i="210"/>
  <c r="Q1004" i="210"/>
  <c r="D1005" i="210"/>
  <c r="K1005" i="210"/>
  <c r="L1005" i="210"/>
  <c r="N1005" i="210"/>
  <c r="P1005" i="210"/>
  <c r="Q1005" i="210"/>
  <c r="D1006" i="210"/>
  <c r="K1006" i="210"/>
  <c r="L1006" i="210"/>
  <c r="N1006" i="210"/>
  <c r="P1006" i="210"/>
  <c r="Q1006" i="210"/>
  <c r="D1007" i="210"/>
  <c r="K1007" i="210"/>
  <c r="L1007" i="210"/>
  <c r="N1007" i="210"/>
  <c r="P1007" i="210"/>
  <c r="Q1007" i="210"/>
  <c r="D1008" i="210"/>
  <c r="K1008" i="210"/>
  <c r="L1008" i="210"/>
  <c r="N1008" i="210"/>
  <c r="P1008" i="210"/>
  <c r="Q1008" i="210"/>
  <c r="D1009" i="210"/>
  <c r="K1009" i="210"/>
  <c r="L1009" i="210"/>
  <c r="N1009" i="210"/>
  <c r="P1009" i="210"/>
  <c r="Q1009" i="210"/>
  <c r="D1010" i="210"/>
  <c r="K1010" i="210"/>
  <c r="L1010" i="210"/>
  <c r="N1010" i="210"/>
  <c r="P1010" i="210"/>
  <c r="Q1010" i="210"/>
  <c r="D1011" i="210"/>
  <c r="K1011" i="210"/>
  <c r="L1011" i="210"/>
  <c r="N1011" i="210"/>
  <c r="P1011" i="210"/>
  <c r="Q1011" i="210"/>
  <c r="D1012" i="210"/>
  <c r="K1012" i="210"/>
  <c r="L1012" i="210"/>
  <c r="N1012" i="210"/>
  <c r="P1012" i="210"/>
  <c r="Q1012" i="210"/>
  <c r="D1013" i="210"/>
  <c r="K1013" i="210"/>
  <c r="L1013" i="210"/>
  <c r="N1013" i="210"/>
  <c r="P1013" i="210"/>
  <c r="Q1013" i="210"/>
  <c r="D1014" i="210"/>
  <c r="K1014" i="210"/>
  <c r="L1014" i="210"/>
  <c r="N1014" i="210"/>
  <c r="P1014" i="210"/>
  <c r="Q1014" i="210"/>
  <c r="D1015" i="210"/>
  <c r="K1015" i="210"/>
  <c r="L1015" i="210"/>
  <c r="N1015" i="210"/>
  <c r="P1015" i="210"/>
  <c r="Q1015" i="210"/>
  <c r="D1016" i="210"/>
  <c r="K1016" i="210"/>
  <c r="L1016" i="210"/>
  <c r="N1016" i="210"/>
  <c r="P1016" i="210"/>
  <c r="Q1016" i="210"/>
  <c r="D1017" i="210"/>
  <c r="K1017" i="210"/>
  <c r="L1017" i="210"/>
  <c r="N1017" i="210"/>
  <c r="P1017" i="210"/>
  <c r="Q1017" i="210"/>
  <c r="D1018" i="210"/>
  <c r="K1018" i="210"/>
  <c r="L1018" i="210"/>
  <c r="N1018" i="210"/>
  <c r="P1018" i="210"/>
  <c r="Q1018" i="210"/>
  <c r="D1019" i="210"/>
  <c r="K1019" i="210"/>
  <c r="L1019" i="210"/>
  <c r="N1019" i="210"/>
  <c r="P1019" i="210"/>
  <c r="Q1019" i="210"/>
  <c r="D1020" i="210"/>
  <c r="K1020" i="210"/>
  <c r="L1020" i="210"/>
  <c r="N1020" i="210"/>
  <c r="P1020" i="210"/>
  <c r="Q1020" i="210"/>
  <c r="D1021" i="210"/>
  <c r="K1021" i="210"/>
  <c r="L1021" i="210"/>
  <c r="N1021" i="210"/>
  <c r="P1021" i="210"/>
  <c r="Q1021" i="210"/>
  <c r="D1022" i="210"/>
  <c r="K1022" i="210"/>
  <c r="L1022" i="210"/>
  <c r="N1022" i="210"/>
  <c r="P1022" i="210"/>
  <c r="Q1022" i="210"/>
  <c r="D1023" i="210"/>
  <c r="K1023" i="210"/>
  <c r="L1023" i="210"/>
  <c r="N1023" i="210"/>
  <c r="P1023" i="210"/>
  <c r="Q1023" i="210"/>
  <c r="D1024" i="210"/>
  <c r="K1024" i="210"/>
  <c r="L1024" i="210"/>
  <c r="N1024" i="210"/>
  <c r="P1024" i="210"/>
  <c r="Q1024" i="210"/>
  <c r="C1027" i="210"/>
  <c r="C1028" i="210" s="1"/>
  <c r="C1029" i="210" s="1"/>
  <c r="E1027" i="210"/>
  <c r="E1028" i="210" s="1"/>
  <c r="E1029" i="210" s="1"/>
  <c r="E1031" i="210" s="1"/>
  <c r="E1033" i="210" s="1"/>
  <c r="E1035" i="210" s="1"/>
  <c r="E1037" i="210" s="1"/>
  <c r="E1039" i="210" s="1"/>
  <c r="E1041" i="210" s="1"/>
  <c r="E1043" i="210" s="1"/>
  <c r="E1045" i="210" s="1"/>
  <c r="E1047" i="210" s="1"/>
  <c r="H1027" i="210"/>
  <c r="I1027" i="210"/>
  <c r="J1027" i="210"/>
  <c r="I1028" i="210"/>
  <c r="I1029" i="210"/>
  <c r="D1031" i="210"/>
  <c r="K1031" i="210"/>
  <c r="L1031" i="210"/>
  <c r="N1031" i="210"/>
  <c r="P1031" i="210"/>
  <c r="P1027" i="210" s="1"/>
  <c r="Q1031" i="210"/>
  <c r="D1032" i="210"/>
  <c r="E1032" i="210"/>
  <c r="E1034" i="210" s="1"/>
  <c r="E1036" i="210" s="1"/>
  <c r="E1038" i="210" s="1"/>
  <c r="E1040" i="210" s="1"/>
  <c r="E1042" i="210" s="1"/>
  <c r="E1044" i="210" s="1"/>
  <c r="E1046" i="210" s="1"/>
  <c r="K1032" i="210"/>
  <c r="L1032" i="210"/>
  <c r="N1032" i="210"/>
  <c r="P1032" i="210"/>
  <c r="Q1032" i="210"/>
  <c r="D1033" i="210"/>
  <c r="K1033" i="210"/>
  <c r="L1033" i="210"/>
  <c r="N1033" i="210"/>
  <c r="P1033" i="210"/>
  <c r="Q1033" i="210"/>
  <c r="D1034" i="210"/>
  <c r="K1034" i="210"/>
  <c r="L1034" i="210"/>
  <c r="N1034" i="210"/>
  <c r="P1034" i="210"/>
  <c r="Q1034" i="210"/>
  <c r="D1035" i="210"/>
  <c r="K1035" i="210"/>
  <c r="L1035" i="210"/>
  <c r="N1035" i="210"/>
  <c r="P1035" i="210"/>
  <c r="Q1035" i="210"/>
  <c r="D1036" i="210"/>
  <c r="K1036" i="210"/>
  <c r="L1036" i="210"/>
  <c r="N1036" i="210"/>
  <c r="P1036" i="210"/>
  <c r="Q1036" i="210"/>
  <c r="D1037" i="210"/>
  <c r="K1037" i="210"/>
  <c r="L1037" i="210"/>
  <c r="N1037" i="210"/>
  <c r="P1037" i="210"/>
  <c r="Q1037" i="210"/>
  <c r="D1038" i="210"/>
  <c r="K1038" i="210"/>
  <c r="L1038" i="210"/>
  <c r="N1038" i="210"/>
  <c r="P1038" i="210"/>
  <c r="Q1038" i="210"/>
  <c r="D1039" i="210"/>
  <c r="K1039" i="210"/>
  <c r="L1039" i="210"/>
  <c r="N1039" i="210"/>
  <c r="P1039" i="210"/>
  <c r="Q1039" i="210"/>
  <c r="D1040" i="210"/>
  <c r="K1040" i="210"/>
  <c r="L1040" i="210"/>
  <c r="N1040" i="210"/>
  <c r="P1040" i="210"/>
  <c r="Q1040" i="210"/>
  <c r="D1041" i="210"/>
  <c r="K1041" i="210"/>
  <c r="L1041" i="210"/>
  <c r="N1041" i="210"/>
  <c r="P1041" i="210"/>
  <c r="Q1041" i="210"/>
  <c r="D1042" i="210"/>
  <c r="K1042" i="210"/>
  <c r="L1042" i="210"/>
  <c r="N1042" i="210"/>
  <c r="P1042" i="210"/>
  <c r="Q1042" i="210"/>
  <c r="D1043" i="210"/>
  <c r="K1043" i="210"/>
  <c r="L1043" i="210"/>
  <c r="N1043" i="210"/>
  <c r="P1043" i="210"/>
  <c r="Q1043" i="210"/>
  <c r="D1044" i="210"/>
  <c r="K1044" i="210"/>
  <c r="L1044" i="210"/>
  <c r="N1044" i="210"/>
  <c r="P1044" i="210"/>
  <c r="Q1044" i="210"/>
  <c r="D1045" i="210"/>
  <c r="K1045" i="210"/>
  <c r="L1045" i="210"/>
  <c r="N1045" i="210"/>
  <c r="P1045" i="210"/>
  <c r="Q1045" i="210"/>
  <c r="D1046" i="210"/>
  <c r="K1046" i="210"/>
  <c r="L1046" i="210"/>
  <c r="N1046" i="210"/>
  <c r="P1046" i="210"/>
  <c r="Q1046" i="210"/>
  <c r="D1047" i="210"/>
  <c r="K1047" i="210"/>
  <c r="L1047" i="210"/>
  <c r="N1047" i="210"/>
  <c r="P1047" i="210"/>
  <c r="Q1047" i="210"/>
  <c r="C1050" i="210"/>
  <c r="E1050" i="210"/>
  <c r="E1051" i="210" s="1"/>
  <c r="E1052" i="210" s="1"/>
  <c r="E1054" i="210" s="1"/>
  <c r="E1056" i="210" s="1"/>
  <c r="E1058" i="210" s="1"/>
  <c r="E1060" i="210" s="1"/>
  <c r="E1062" i="210" s="1"/>
  <c r="E1064" i="210" s="1"/>
  <c r="E1066" i="210" s="1"/>
  <c r="E1068" i="210" s="1"/>
  <c r="E1070" i="210" s="1"/>
  <c r="E1072" i="210" s="1"/>
  <c r="E1074" i="210" s="1"/>
  <c r="E1076" i="210" s="1"/>
  <c r="E1078" i="210" s="1"/>
  <c r="E1080" i="210" s="1"/>
  <c r="E1082" i="210" s="1"/>
  <c r="E1084" i="210" s="1"/>
  <c r="E1086" i="210" s="1"/>
  <c r="E1088" i="210" s="1"/>
  <c r="E1090" i="210" s="1"/>
  <c r="E1092" i="210" s="1"/>
  <c r="E1094" i="210" s="1"/>
  <c r="E1096" i="210" s="1"/>
  <c r="E1098" i="210" s="1"/>
  <c r="E1100" i="210" s="1"/>
  <c r="E1102" i="210" s="1"/>
  <c r="E1104" i="210" s="1"/>
  <c r="E1106" i="210" s="1"/>
  <c r="H1050" i="210"/>
  <c r="I1050" i="210"/>
  <c r="J1050" i="210"/>
  <c r="C1051" i="210"/>
  <c r="C1052" i="210" s="1"/>
  <c r="I1051" i="210"/>
  <c r="I1052" i="210"/>
  <c r="D1054" i="210"/>
  <c r="K1054" i="210"/>
  <c r="L1054" i="210"/>
  <c r="N1054" i="210"/>
  <c r="P1054" i="210"/>
  <c r="Q1054" i="210"/>
  <c r="D1055" i="210"/>
  <c r="E1055" i="210"/>
  <c r="E1057" i="210" s="1"/>
  <c r="E1059" i="210" s="1"/>
  <c r="E1061" i="210" s="1"/>
  <c r="E1063" i="210" s="1"/>
  <c r="E1065" i="210" s="1"/>
  <c r="E1067" i="210" s="1"/>
  <c r="E1069" i="210" s="1"/>
  <c r="E1071" i="210" s="1"/>
  <c r="E1073" i="210" s="1"/>
  <c r="E1075" i="210" s="1"/>
  <c r="E1077" i="210" s="1"/>
  <c r="E1079" i="210" s="1"/>
  <c r="E1081" i="210" s="1"/>
  <c r="E1083" i="210" s="1"/>
  <c r="E1085" i="210" s="1"/>
  <c r="E1087" i="210" s="1"/>
  <c r="E1089" i="210" s="1"/>
  <c r="E1091" i="210" s="1"/>
  <c r="E1093" i="210" s="1"/>
  <c r="E1095" i="210" s="1"/>
  <c r="E1097" i="210" s="1"/>
  <c r="E1099" i="210" s="1"/>
  <c r="E1101" i="210" s="1"/>
  <c r="E1103" i="210" s="1"/>
  <c r="E1105" i="210" s="1"/>
  <c r="K1055" i="210"/>
  <c r="L1055" i="210"/>
  <c r="N1055" i="210"/>
  <c r="P1055" i="210"/>
  <c r="Q1055" i="210"/>
  <c r="D1056" i="210"/>
  <c r="K1056" i="210"/>
  <c r="L1056" i="210"/>
  <c r="N1056" i="210"/>
  <c r="P1056" i="210"/>
  <c r="Q1056" i="210"/>
  <c r="D1057" i="210"/>
  <c r="K1057" i="210"/>
  <c r="L1057" i="210"/>
  <c r="N1057" i="210"/>
  <c r="P1057" i="210"/>
  <c r="Q1057" i="210"/>
  <c r="D1058" i="210"/>
  <c r="K1058" i="210"/>
  <c r="L1058" i="210"/>
  <c r="N1058" i="210"/>
  <c r="P1058" i="210"/>
  <c r="Q1058" i="210"/>
  <c r="D1059" i="210"/>
  <c r="K1059" i="210"/>
  <c r="L1059" i="210"/>
  <c r="N1059" i="210"/>
  <c r="P1059" i="210"/>
  <c r="Q1059" i="210"/>
  <c r="D1060" i="210"/>
  <c r="K1060" i="210"/>
  <c r="L1060" i="210"/>
  <c r="N1060" i="210"/>
  <c r="P1060" i="210"/>
  <c r="Q1060" i="210"/>
  <c r="D1061" i="210"/>
  <c r="K1061" i="210"/>
  <c r="L1061" i="210"/>
  <c r="N1061" i="210"/>
  <c r="P1061" i="210"/>
  <c r="Q1061" i="210"/>
  <c r="D1062" i="210"/>
  <c r="K1062" i="210"/>
  <c r="L1062" i="210"/>
  <c r="N1062" i="210"/>
  <c r="P1062" i="210"/>
  <c r="Q1062" i="210"/>
  <c r="D1063" i="210"/>
  <c r="K1063" i="210"/>
  <c r="L1063" i="210"/>
  <c r="N1063" i="210"/>
  <c r="P1063" i="210"/>
  <c r="Q1063" i="210"/>
  <c r="D1064" i="210"/>
  <c r="K1064" i="210"/>
  <c r="L1064" i="210"/>
  <c r="N1064" i="210"/>
  <c r="P1064" i="210"/>
  <c r="Q1064" i="210"/>
  <c r="D1065" i="210"/>
  <c r="K1065" i="210"/>
  <c r="L1065" i="210"/>
  <c r="N1065" i="210"/>
  <c r="P1065" i="210"/>
  <c r="Q1065" i="210"/>
  <c r="D1066" i="210"/>
  <c r="K1066" i="210"/>
  <c r="L1066" i="210"/>
  <c r="N1066" i="210"/>
  <c r="P1066" i="210"/>
  <c r="Q1066" i="210"/>
  <c r="D1067" i="210"/>
  <c r="K1067" i="210"/>
  <c r="L1067" i="210"/>
  <c r="N1067" i="210"/>
  <c r="P1067" i="210"/>
  <c r="Q1067" i="210"/>
  <c r="D1068" i="210"/>
  <c r="K1068" i="210"/>
  <c r="L1068" i="210"/>
  <c r="N1068" i="210"/>
  <c r="P1068" i="210"/>
  <c r="Q1068" i="210"/>
  <c r="D1069" i="210"/>
  <c r="K1069" i="210"/>
  <c r="L1069" i="210"/>
  <c r="N1069" i="210"/>
  <c r="P1069" i="210"/>
  <c r="Q1069" i="210"/>
  <c r="D1070" i="210"/>
  <c r="K1070" i="210"/>
  <c r="L1070" i="210"/>
  <c r="N1070" i="210"/>
  <c r="P1070" i="210"/>
  <c r="Q1070" i="210"/>
  <c r="D1071" i="210"/>
  <c r="K1071" i="210"/>
  <c r="L1071" i="210"/>
  <c r="N1071" i="210"/>
  <c r="P1071" i="210"/>
  <c r="Q1071" i="210"/>
  <c r="D1072" i="210"/>
  <c r="K1072" i="210"/>
  <c r="L1072" i="210"/>
  <c r="N1072" i="210"/>
  <c r="P1072" i="210"/>
  <c r="Q1072" i="210"/>
  <c r="D1073" i="210"/>
  <c r="K1073" i="210"/>
  <c r="L1073" i="210"/>
  <c r="N1073" i="210"/>
  <c r="P1073" i="210"/>
  <c r="Q1073" i="210"/>
  <c r="D1074" i="210"/>
  <c r="K1074" i="210"/>
  <c r="L1074" i="210"/>
  <c r="N1074" i="210"/>
  <c r="P1074" i="210"/>
  <c r="Q1074" i="210"/>
  <c r="D1075" i="210"/>
  <c r="K1075" i="210"/>
  <c r="L1075" i="210"/>
  <c r="N1075" i="210"/>
  <c r="P1075" i="210"/>
  <c r="Q1075" i="210"/>
  <c r="D1076" i="210"/>
  <c r="K1076" i="210"/>
  <c r="L1076" i="210"/>
  <c r="N1076" i="210"/>
  <c r="P1076" i="210"/>
  <c r="Q1076" i="210"/>
  <c r="D1077" i="210"/>
  <c r="K1077" i="210"/>
  <c r="L1077" i="210"/>
  <c r="N1077" i="210"/>
  <c r="P1077" i="210"/>
  <c r="Q1077" i="210"/>
  <c r="D1078" i="210"/>
  <c r="K1078" i="210"/>
  <c r="L1078" i="210"/>
  <c r="N1078" i="210"/>
  <c r="P1078" i="210"/>
  <c r="Q1078" i="210"/>
  <c r="D1079" i="210"/>
  <c r="K1079" i="210"/>
  <c r="L1079" i="210"/>
  <c r="N1079" i="210"/>
  <c r="P1079" i="210"/>
  <c r="Q1079" i="210"/>
  <c r="D1080" i="210"/>
  <c r="K1080" i="210"/>
  <c r="L1080" i="210"/>
  <c r="N1080" i="210"/>
  <c r="P1080" i="210"/>
  <c r="Q1080" i="210"/>
  <c r="D1081" i="210"/>
  <c r="K1081" i="210"/>
  <c r="L1081" i="210"/>
  <c r="N1081" i="210"/>
  <c r="P1081" i="210"/>
  <c r="Q1081" i="210"/>
  <c r="D1082" i="210"/>
  <c r="K1082" i="210"/>
  <c r="L1082" i="210"/>
  <c r="N1082" i="210"/>
  <c r="P1082" i="210"/>
  <c r="Q1082" i="210"/>
  <c r="D1083" i="210"/>
  <c r="K1083" i="210"/>
  <c r="L1083" i="210"/>
  <c r="N1083" i="210"/>
  <c r="P1083" i="210"/>
  <c r="Q1083" i="210"/>
  <c r="D1084" i="210"/>
  <c r="K1084" i="210"/>
  <c r="L1084" i="210"/>
  <c r="N1084" i="210"/>
  <c r="P1084" i="210"/>
  <c r="Q1084" i="210"/>
  <c r="D1085" i="210"/>
  <c r="K1085" i="210"/>
  <c r="L1085" i="210"/>
  <c r="N1085" i="210"/>
  <c r="P1085" i="210"/>
  <c r="Q1085" i="210"/>
  <c r="D1086" i="210"/>
  <c r="K1086" i="210"/>
  <c r="L1086" i="210"/>
  <c r="N1086" i="210"/>
  <c r="P1086" i="210"/>
  <c r="Q1086" i="210"/>
  <c r="D1087" i="210"/>
  <c r="K1087" i="210"/>
  <c r="L1087" i="210"/>
  <c r="N1087" i="210"/>
  <c r="P1087" i="210"/>
  <c r="Q1087" i="210"/>
  <c r="D1088" i="210"/>
  <c r="K1088" i="210"/>
  <c r="L1088" i="210"/>
  <c r="N1088" i="210"/>
  <c r="P1088" i="210"/>
  <c r="Q1088" i="210"/>
  <c r="D1089" i="210"/>
  <c r="K1089" i="210"/>
  <c r="L1089" i="210"/>
  <c r="N1089" i="210"/>
  <c r="P1089" i="210"/>
  <c r="Q1089" i="210"/>
  <c r="D1090" i="210"/>
  <c r="K1090" i="210"/>
  <c r="L1090" i="210"/>
  <c r="N1090" i="210"/>
  <c r="P1090" i="210"/>
  <c r="Q1090" i="210"/>
  <c r="D1091" i="210"/>
  <c r="K1091" i="210"/>
  <c r="L1091" i="210"/>
  <c r="N1091" i="210"/>
  <c r="P1091" i="210"/>
  <c r="Q1091" i="210"/>
  <c r="D1092" i="210"/>
  <c r="K1092" i="210"/>
  <c r="L1092" i="210"/>
  <c r="N1092" i="210"/>
  <c r="P1092" i="210"/>
  <c r="Q1092" i="210"/>
  <c r="D1093" i="210"/>
  <c r="K1093" i="210"/>
  <c r="L1093" i="210"/>
  <c r="N1093" i="210"/>
  <c r="P1093" i="210"/>
  <c r="Q1093" i="210"/>
  <c r="D1094" i="210"/>
  <c r="K1094" i="210"/>
  <c r="L1094" i="210"/>
  <c r="N1094" i="210"/>
  <c r="P1094" i="210"/>
  <c r="Q1094" i="210"/>
  <c r="D1095" i="210"/>
  <c r="K1095" i="210"/>
  <c r="L1095" i="210"/>
  <c r="N1095" i="210"/>
  <c r="P1095" i="210"/>
  <c r="Q1095" i="210"/>
  <c r="D1096" i="210"/>
  <c r="K1096" i="210"/>
  <c r="L1096" i="210"/>
  <c r="N1096" i="210"/>
  <c r="P1096" i="210"/>
  <c r="Q1096" i="210"/>
  <c r="D1097" i="210"/>
  <c r="K1097" i="210"/>
  <c r="L1097" i="210"/>
  <c r="N1097" i="210"/>
  <c r="P1097" i="210"/>
  <c r="Q1097" i="210"/>
  <c r="D1098" i="210"/>
  <c r="K1098" i="210"/>
  <c r="L1098" i="210"/>
  <c r="N1098" i="210"/>
  <c r="P1098" i="210"/>
  <c r="Q1098" i="210"/>
  <c r="D1099" i="210"/>
  <c r="K1099" i="210"/>
  <c r="L1099" i="210"/>
  <c r="N1099" i="210"/>
  <c r="P1099" i="210"/>
  <c r="Q1099" i="210"/>
  <c r="D1100" i="210"/>
  <c r="K1100" i="210"/>
  <c r="L1100" i="210"/>
  <c r="N1100" i="210"/>
  <c r="P1100" i="210"/>
  <c r="Q1100" i="210"/>
  <c r="D1101" i="210"/>
  <c r="K1101" i="210"/>
  <c r="L1101" i="210"/>
  <c r="N1101" i="210"/>
  <c r="P1101" i="210"/>
  <c r="Q1101" i="210"/>
  <c r="D1102" i="210"/>
  <c r="K1102" i="210"/>
  <c r="L1102" i="210"/>
  <c r="N1102" i="210"/>
  <c r="P1102" i="210"/>
  <c r="Q1102" i="210"/>
  <c r="D1103" i="210"/>
  <c r="K1103" i="210"/>
  <c r="L1103" i="210"/>
  <c r="N1103" i="210"/>
  <c r="P1103" i="210"/>
  <c r="Q1103" i="210"/>
  <c r="D1104" i="210"/>
  <c r="K1104" i="210"/>
  <c r="L1104" i="210"/>
  <c r="N1104" i="210"/>
  <c r="P1104" i="210"/>
  <c r="Q1104" i="210"/>
  <c r="D1105" i="210"/>
  <c r="K1105" i="210"/>
  <c r="L1105" i="210"/>
  <c r="N1105" i="210"/>
  <c r="P1105" i="210"/>
  <c r="Q1105" i="210"/>
  <c r="D1106" i="210"/>
  <c r="K1106" i="210"/>
  <c r="L1106" i="210"/>
  <c r="N1106" i="210"/>
  <c r="P1106" i="210"/>
  <c r="Q1106" i="210"/>
  <c r="C1109" i="210"/>
  <c r="C1110" i="210" s="1"/>
  <c r="C1111" i="210" s="1"/>
  <c r="E1109" i="210"/>
  <c r="H1109" i="210"/>
  <c r="I1109" i="210"/>
  <c r="J1109" i="210"/>
  <c r="E1110" i="210"/>
  <c r="I1110" i="210"/>
  <c r="E1111" i="210"/>
  <c r="E1113" i="210" s="1"/>
  <c r="E1115" i="210" s="1"/>
  <c r="E1117" i="210" s="1"/>
  <c r="E1119" i="210" s="1"/>
  <c r="E1121" i="210" s="1"/>
  <c r="E1123" i="210" s="1"/>
  <c r="E1125" i="210" s="1"/>
  <c r="E1127" i="210" s="1"/>
  <c r="E1129" i="210" s="1"/>
  <c r="E1131" i="210" s="1"/>
  <c r="E1133" i="210" s="1"/>
  <c r="E1135" i="210" s="1"/>
  <c r="E1137" i="210" s="1"/>
  <c r="E1139" i="210" s="1"/>
  <c r="E1141" i="210" s="1"/>
  <c r="E1143" i="210" s="1"/>
  <c r="E1145" i="210" s="1"/>
  <c r="E1147" i="210" s="1"/>
  <c r="E1149" i="210" s="1"/>
  <c r="E1151" i="210" s="1"/>
  <c r="E1153" i="210" s="1"/>
  <c r="E1155" i="210" s="1"/>
  <c r="E1157" i="210" s="1"/>
  <c r="E1159" i="210" s="1"/>
  <c r="E1161" i="210" s="1"/>
  <c r="E1163" i="210" s="1"/>
  <c r="E1165" i="210" s="1"/>
  <c r="E1167" i="210" s="1"/>
  <c r="E1169" i="210" s="1"/>
  <c r="E1171" i="210" s="1"/>
  <c r="E1173" i="210" s="1"/>
  <c r="I1111" i="210"/>
  <c r="D1113" i="210"/>
  <c r="K1113" i="210"/>
  <c r="L1113" i="210"/>
  <c r="N1113" i="210"/>
  <c r="P1113" i="210"/>
  <c r="Q1113" i="210"/>
  <c r="D1114" i="210"/>
  <c r="E1114" i="210"/>
  <c r="E1116" i="210" s="1"/>
  <c r="E1118" i="210" s="1"/>
  <c r="E1120" i="210" s="1"/>
  <c r="E1122" i="210" s="1"/>
  <c r="E1124" i="210" s="1"/>
  <c r="E1126" i="210" s="1"/>
  <c r="E1128" i="210" s="1"/>
  <c r="E1130" i="210" s="1"/>
  <c r="E1132" i="210" s="1"/>
  <c r="E1134" i="210" s="1"/>
  <c r="E1136" i="210" s="1"/>
  <c r="E1138" i="210" s="1"/>
  <c r="E1140" i="210" s="1"/>
  <c r="E1142" i="210" s="1"/>
  <c r="E1144" i="210" s="1"/>
  <c r="E1146" i="210" s="1"/>
  <c r="E1148" i="210" s="1"/>
  <c r="E1150" i="210" s="1"/>
  <c r="E1152" i="210" s="1"/>
  <c r="E1154" i="210" s="1"/>
  <c r="E1156" i="210" s="1"/>
  <c r="E1158" i="210" s="1"/>
  <c r="E1160" i="210" s="1"/>
  <c r="E1162" i="210" s="1"/>
  <c r="E1164" i="210" s="1"/>
  <c r="E1166" i="210" s="1"/>
  <c r="E1168" i="210" s="1"/>
  <c r="E1170" i="210" s="1"/>
  <c r="E1172" i="210" s="1"/>
  <c r="E1174" i="210" s="1"/>
  <c r="K1114" i="210"/>
  <c r="L1114" i="210"/>
  <c r="N1114" i="210"/>
  <c r="P1114" i="210"/>
  <c r="Q1114" i="210"/>
  <c r="D1115" i="210"/>
  <c r="K1115" i="210"/>
  <c r="L1115" i="210"/>
  <c r="N1115" i="210"/>
  <c r="P1115" i="210"/>
  <c r="Q1115" i="210"/>
  <c r="D1116" i="210"/>
  <c r="K1116" i="210"/>
  <c r="L1116" i="210"/>
  <c r="N1116" i="210"/>
  <c r="P1116" i="210"/>
  <c r="Q1116" i="210"/>
  <c r="D1117" i="210"/>
  <c r="K1117" i="210"/>
  <c r="L1117" i="210"/>
  <c r="N1117" i="210"/>
  <c r="P1117" i="210"/>
  <c r="Q1117" i="210"/>
  <c r="D1118" i="210"/>
  <c r="K1118" i="210"/>
  <c r="L1118" i="210"/>
  <c r="N1118" i="210"/>
  <c r="P1118" i="210"/>
  <c r="Q1118" i="210"/>
  <c r="D1119" i="210"/>
  <c r="K1119" i="210"/>
  <c r="L1119" i="210"/>
  <c r="N1119" i="210"/>
  <c r="P1119" i="210"/>
  <c r="Q1119" i="210"/>
  <c r="D1120" i="210"/>
  <c r="K1120" i="210"/>
  <c r="L1120" i="210"/>
  <c r="N1120" i="210"/>
  <c r="P1120" i="210"/>
  <c r="Q1120" i="210"/>
  <c r="D1121" i="210"/>
  <c r="K1121" i="210"/>
  <c r="L1121" i="210"/>
  <c r="N1121" i="210"/>
  <c r="P1121" i="210"/>
  <c r="Q1121" i="210"/>
  <c r="D1122" i="210"/>
  <c r="K1122" i="210"/>
  <c r="L1122" i="210"/>
  <c r="N1122" i="210"/>
  <c r="P1122" i="210"/>
  <c r="Q1122" i="210"/>
  <c r="D1123" i="210"/>
  <c r="K1123" i="210"/>
  <c r="L1123" i="210"/>
  <c r="N1123" i="210"/>
  <c r="P1123" i="210"/>
  <c r="Q1123" i="210"/>
  <c r="D1124" i="210"/>
  <c r="K1124" i="210"/>
  <c r="L1124" i="210"/>
  <c r="N1124" i="210"/>
  <c r="P1124" i="210"/>
  <c r="Q1124" i="210"/>
  <c r="D1125" i="210"/>
  <c r="K1125" i="210"/>
  <c r="L1125" i="210"/>
  <c r="N1125" i="210"/>
  <c r="P1125" i="210"/>
  <c r="Q1125" i="210"/>
  <c r="D1126" i="210"/>
  <c r="K1126" i="210"/>
  <c r="L1126" i="210"/>
  <c r="N1126" i="210"/>
  <c r="P1126" i="210"/>
  <c r="Q1126" i="210"/>
  <c r="D1127" i="210"/>
  <c r="K1127" i="210"/>
  <c r="L1127" i="210"/>
  <c r="N1127" i="210"/>
  <c r="P1127" i="210"/>
  <c r="Q1127" i="210"/>
  <c r="D1128" i="210"/>
  <c r="K1128" i="210"/>
  <c r="L1128" i="210"/>
  <c r="N1128" i="210"/>
  <c r="P1128" i="210"/>
  <c r="Q1128" i="210"/>
  <c r="D1129" i="210"/>
  <c r="K1129" i="210"/>
  <c r="L1129" i="210"/>
  <c r="N1129" i="210"/>
  <c r="P1129" i="210"/>
  <c r="Q1129" i="210"/>
  <c r="D1130" i="210"/>
  <c r="K1130" i="210"/>
  <c r="L1130" i="210"/>
  <c r="N1130" i="210"/>
  <c r="P1130" i="210"/>
  <c r="Q1130" i="210"/>
  <c r="D1131" i="210"/>
  <c r="K1131" i="210"/>
  <c r="L1131" i="210"/>
  <c r="N1131" i="210"/>
  <c r="P1131" i="210"/>
  <c r="Q1131" i="210"/>
  <c r="D1132" i="210"/>
  <c r="K1132" i="210"/>
  <c r="L1132" i="210"/>
  <c r="N1132" i="210"/>
  <c r="P1132" i="210"/>
  <c r="Q1132" i="210"/>
  <c r="D1133" i="210"/>
  <c r="K1133" i="210"/>
  <c r="L1133" i="210"/>
  <c r="N1133" i="210"/>
  <c r="P1133" i="210"/>
  <c r="Q1133" i="210"/>
  <c r="D1134" i="210"/>
  <c r="K1134" i="210"/>
  <c r="L1134" i="210"/>
  <c r="N1134" i="210"/>
  <c r="P1134" i="210"/>
  <c r="Q1134" i="210"/>
  <c r="D1135" i="210"/>
  <c r="K1135" i="210"/>
  <c r="L1135" i="210"/>
  <c r="N1135" i="210"/>
  <c r="P1135" i="210"/>
  <c r="Q1135" i="210"/>
  <c r="D1136" i="210"/>
  <c r="K1136" i="210"/>
  <c r="L1136" i="210"/>
  <c r="N1136" i="210"/>
  <c r="P1136" i="210"/>
  <c r="Q1136" i="210"/>
  <c r="D1137" i="210"/>
  <c r="K1137" i="210"/>
  <c r="L1137" i="210"/>
  <c r="N1137" i="210"/>
  <c r="P1137" i="210"/>
  <c r="Q1137" i="210"/>
  <c r="D1138" i="210"/>
  <c r="K1138" i="210"/>
  <c r="L1138" i="210"/>
  <c r="N1138" i="210"/>
  <c r="P1138" i="210"/>
  <c r="Q1138" i="210"/>
  <c r="D1139" i="210"/>
  <c r="K1139" i="210"/>
  <c r="L1139" i="210"/>
  <c r="N1139" i="210"/>
  <c r="P1139" i="210"/>
  <c r="Q1139" i="210"/>
  <c r="D1140" i="210"/>
  <c r="K1140" i="210"/>
  <c r="L1140" i="210"/>
  <c r="N1140" i="210"/>
  <c r="P1140" i="210"/>
  <c r="Q1140" i="210"/>
  <c r="D1141" i="210"/>
  <c r="K1141" i="210"/>
  <c r="L1141" i="210"/>
  <c r="N1141" i="210"/>
  <c r="P1141" i="210"/>
  <c r="Q1141" i="210"/>
  <c r="D1142" i="210"/>
  <c r="K1142" i="210"/>
  <c r="L1142" i="210"/>
  <c r="N1142" i="210"/>
  <c r="P1142" i="210"/>
  <c r="Q1142" i="210"/>
  <c r="D1143" i="210"/>
  <c r="K1143" i="210"/>
  <c r="L1143" i="210"/>
  <c r="N1143" i="210"/>
  <c r="P1143" i="210"/>
  <c r="Q1143" i="210"/>
  <c r="D1144" i="210"/>
  <c r="K1144" i="210"/>
  <c r="L1144" i="210"/>
  <c r="N1144" i="210"/>
  <c r="P1144" i="210"/>
  <c r="Q1144" i="210"/>
  <c r="D1145" i="210"/>
  <c r="K1145" i="210"/>
  <c r="L1145" i="210"/>
  <c r="N1145" i="210"/>
  <c r="P1145" i="210"/>
  <c r="Q1145" i="210"/>
  <c r="D1146" i="210"/>
  <c r="K1146" i="210"/>
  <c r="L1146" i="210"/>
  <c r="N1146" i="210"/>
  <c r="P1146" i="210"/>
  <c r="Q1146" i="210"/>
  <c r="D1147" i="210"/>
  <c r="K1147" i="210"/>
  <c r="L1147" i="210"/>
  <c r="N1147" i="210"/>
  <c r="P1147" i="210"/>
  <c r="Q1147" i="210"/>
  <c r="D1148" i="210"/>
  <c r="K1148" i="210"/>
  <c r="L1148" i="210"/>
  <c r="N1148" i="210"/>
  <c r="P1148" i="210"/>
  <c r="Q1148" i="210"/>
  <c r="D1149" i="210"/>
  <c r="K1149" i="210"/>
  <c r="L1149" i="210"/>
  <c r="N1149" i="210"/>
  <c r="P1149" i="210"/>
  <c r="Q1149" i="210"/>
  <c r="D1150" i="210"/>
  <c r="K1150" i="210"/>
  <c r="L1150" i="210"/>
  <c r="N1150" i="210"/>
  <c r="P1150" i="210"/>
  <c r="Q1150" i="210"/>
  <c r="D1151" i="210"/>
  <c r="K1151" i="210"/>
  <c r="L1151" i="210"/>
  <c r="N1151" i="210"/>
  <c r="P1151" i="210"/>
  <c r="Q1151" i="210"/>
  <c r="D1152" i="210"/>
  <c r="K1152" i="210"/>
  <c r="L1152" i="210"/>
  <c r="N1152" i="210"/>
  <c r="P1152" i="210"/>
  <c r="Q1152" i="210"/>
  <c r="D1153" i="210"/>
  <c r="K1153" i="210"/>
  <c r="L1153" i="210"/>
  <c r="N1153" i="210"/>
  <c r="P1153" i="210"/>
  <c r="Q1153" i="210"/>
  <c r="D1154" i="210"/>
  <c r="K1154" i="210"/>
  <c r="L1154" i="210"/>
  <c r="N1154" i="210"/>
  <c r="P1154" i="210"/>
  <c r="Q1154" i="210"/>
  <c r="D1155" i="210"/>
  <c r="K1155" i="210"/>
  <c r="L1155" i="210"/>
  <c r="N1155" i="210"/>
  <c r="P1155" i="210"/>
  <c r="Q1155" i="210"/>
  <c r="D1156" i="210"/>
  <c r="K1156" i="210"/>
  <c r="L1156" i="210"/>
  <c r="N1156" i="210"/>
  <c r="P1156" i="210"/>
  <c r="Q1156" i="210"/>
  <c r="D1157" i="210"/>
  <c r="K1157" i="210"/>
  <c r="L1157" i="210"/>
  <c r="N1157" i="210"/>
  <c r="P1157" i="210"/>
  <c r="Q1157" i="210"/>
  <c r="D1158" i="210"/>
  <c r="K1158" i="210"/>
  <c r="L1158" i="210"/>
  <c r="N1158" i="210"/>
  <c r="P1158" i="210"/>
  <c r="Q1158" i="210"/>
  <c r="D1159" i="210"/>
  <c r="K1159" i="210"/>
  <c r="L1159" i="210"/>
  <c r="N1159" i="210"/>
  <c r="P1159" i="210"/>
  <c r="Q1159" i="210"/>
  <c r="D1160" i="210"/>
  <c r="K1160" i="210"/>
  <c r="L1160" i="210"/>
  <c r="N1160" i="210"/>
  <c r="P1160" i="210"/>
  <c r="Q1160" i="210"/>
  <c r="D1161" i="210"/>
  <c r="K1161" i="210"/>
  <c r="L1161" i="210"/>
  <c r="N1161" i="210"/>
  <c r="P1161" i="210"/>
  <c r="Q1161" i="210"/>
  <c r="D1162" i="210"/>
  <c r="K1162" i="210"/>
  <c r="L1162" i="210"/>
  <c r="N1162" i="210"/>
  <c r="P1162" i="210"/>
  <c r="Q1162" i="210"/>
  <c r="D1163" i="210"/>
  <c r="K1163" i="210"/>
  <c r="L1163" i="210"/>
  <c r="N1163" i="210"/>
  <c r="P1163" i="210"/>
  <c r="Q1163" i="210"/>
  <c r="D1164" i="210"/>
  <c r="K1164" i="210"/>
  <c r="L1164" i="210"/>
  <c r="N1164" i="210"/>
  <c r="P1164" i="210"/>
  <c r="Q1164" i="210"/>
  <c r="D1165" i="210"/>
  <c r="K1165" i="210"/>
  <c r="L1165" i="210"/>
  <c r="N1165" i="210"/>
  <c r="P1165" i="210"/>
  <c r="Q1165" i="210"/>
  <c r="D1166" i="210"/>
  <c r="K1166" i="210"/>
  <c r="L1166" i="210"/>
  <c r="N1166" i="210"/>
  <c r="P1166" i="210"/>
  <c r="Q1166" i="210"/>
  <c r="D1167" i="210"/>
  <c r="K1167" i="210"/>
  <c r="L1167" i="210"/>
  <c r="N1167" i="210"/>
  <c r="P1167" i="210"/>
  <c r="Q1167" i="210"/>
  <c r="D1168" i="210"/>
  <c r="K1168" i="210"/>
  <c r="L1168" i="210"/>
  <c r="N1168" i="210"/>
  <c r="P1168" i="210"/>
  <c r="Q1168" i="210"/>
  <c r="D1169" i="210"/>
  <c r="K1169" i="210"/>
  <c r="L1169" i="210"/>
  <c r="N1169" i="210"/>
  <c r="P1169" i="210"/>
  <c r="Q1169" i="210"/>
  <c r="D1170" i="210"/>
  <c r="K1170" i="210"/>
  <c r="L1170" i="210"/>
  <c r="N1170" i="210"/>
  <c r="P1170" i="210"/>
  <c r="Q1170" i="210"/>
  <c r="D1171" i="210"/>
  <c r="K1171" i="210"/>
  <c r="L1171" i="210"/>
  <c r="N1171" i="210"/>
  <c r="P1171" i="210"/>
  <c r="Q1171" i="210"/>
  <c r="D1172" i="210"/>
  <c r="K1172" i="210"/>
  <c r="L1172" i="210"/>
  <c r="N1172" i="210"/>
  <c r="P1172" i="210"/>
  <c r="Q1172" i="210"/>
  <c r="D1173" i="210"/>
  <c r="K1173" i="210"/>
  <c r="L1173" i="210"/>
  <c r="N1173" i="210"/>
  <c r="P1173" i="210"/>
  <c r="Q1173" i="210"/>
  <c r="D1174" i="210"/>
  <c r="K1174" i="210"/>
  <c r="L1174" i="210"/>
  <c r="N1174" i="210"/>
  <c r="P1174" i="210"/>
  <c r="Q1174" i="210"/>
  <c r="C1177" i="210"/>
  <c r="E1177" i="210"/>
  <c r="E1178" i="210" s="1"/>
  <c r="E1179" i="210" s="1"/>
  <c r="H1177" i="210"/>
  <c r="I1177" i="210"/>
  <c r="J1177" i="210"/>
  <c r="C1178" i="210"/>
  <c r="C1179" i="210" s="1"/>
  <c r="I1178" i="210"/>
  <c r="I1179" i="210"/>
  <c r="D1181" i="210"/>
  <c r="E1181" i="210"/>
  <c r="E1183" i="210" s="1"/>
  <c r="E1185" i="210" s="1"/>
  <c r="E1187" i="210" s="1"/>
  <c r="E1189" i="210" s="1"/>
  <c r="E1191" i="210" s="1"/>
  <c r="E1193" i="210" s="1"/>
  <c r="E1195" i="210" s="1"/>
  <c r="E1197" i="210" s="1"/>
  <c r="E1199" i="210" s="1"/>
  <c r="E1201" i="210" s="1"/>
  <c r="E1203" i="210" s="1"/>
  <c r="E1205" i="210" s="1"/>
  <c r="E1207" i="210" s="1"/>
  <c r="E1209" i="210" s="1"/>
  <c r="E1211" i="210" s="1"/>
  <c r="E1213" i="210" s="1"/>
  <c r="K1181" i="210"/>
  <c r="L1181" i="210"/>
  <c r="N1181" i="210"/>
  <c r="P1181" i="210"/>
  <c r="Q1181" i="210"/>
  <c r="D1182" i="210"/>
  <c r="E1182" i="210"/>
  <c r="E1184" i="210" s="1"/>
  <c r="E1186" i="210" s="1"/>
  <c r="E1188" i="210" s="1"/>
  <c r="E1190" i="210" s="1"/>
  <c r="E1192" i="210" s="1"/>
  <c r="E1194" i="210" s="1"/>
  <c r="E1196" i="210" s="1"/>
  <c r="E1198" i="210" s="1"/>
  <c r="E1200" i="210" s="1"/>
  <c r="E1202" i="210" s="1"/>
  <c r="E1204" i="210" s="1"/>
  <c r="E1206" i="210" s="1"/>
  <c r="E1208" i="210" s="1"/>
  <c r="E1210" i="210" s="1"/>
  <c r="E1212" i="210" s="1"/>
  <c r="E1214" i="210" s="1"/>
  <c r="K1182" i="210"/>
  <c r="L1182" i="210"/>
  <c r="N1182" i="210"/>
  <c r="P1182" i="210"/>
  <c r="Q1182" i="210"/>
  <c r="D1183" i="210"/>
  <c r="K1183" i="210"/>
  <c r="L1183" i="210"/>
  <c r="N1183" i="210"/>
  <c r="P1183" i="210"/>
  <c r="Q1183" i="210"/>
  <c r="D1184" i="210"/>
  <c r="K1184" i="210"/>
  <c r="L1184" i="210"/>
  <c r="N1184" i="210"/>
  <c r="P1184" i="210"/>
  <c r="Q1184" i="210"/>
  <c r="D1185" i="210"/>
  <c r="K1185" i="210"/>
  <c r="L1185" i="210"/>
  <c r="N1185" i="210"/>
  <c r="P1185" i="210"/>
  <c r="Q1185" i="210"/>
  <c r="D1186" i="210"/>
  <c r="K1186" i="210"/>
  <c r="L1186" i="210"/>
  <c r="N1186" i="210"/>
  <c r="P1186" i="210"/>
  <c r="Q1186" i="210"/>
  <c r="D1187" i="210"/>
  <c r="K1187" i="210"/>
  <c r="L1187" i="210"/>
  <c r="N1187" i="210"/>
  <c r="P1187" i="210"/>
  <c r="Q1187" i="210"/>
  <c r="D1188" i="210"/>
  <c r="K1188" i="210"/>
  <c r="L1188" i="210"/>
  <c r="N1188" i="210"/>
  <c r="P1188" i="210"/>
  <c r="Q1188" i="210"/>
  <c r="D1189" i="210"/>
  <c r="K1189" i="210"/>
  <c r="L1189" i="210"/>
  <c r="N1189" i="210"/>
  <c r="P1189" i="210"/>
  <c r="Q1189" i="210"/>
  <c r="D1190" i="210"/>
  <c r="K1190" i="210"/>
  <c r="L1190" i="210"/>
  <c r="N1190" i="210"/>
  <c r="P1190" i="210"/>
  <c r="Q1190" i="210"/>
  <c r="D1191" i="210"/>
  <c r="K1191" i="210"/>
  <c r="L1191" i="210"/>
  <c r="N1191" i="210"/>
  <c r="P1191" i="210"/>
  <c r="Q1191" i="210"/>
  <c r="D1192" i="210"/>
  <c r="K1192" i="210"/>
  <c r="L1192" i="210"/>
  <c r="N1192" i="210"/>
  <c r="P1192" i="210"/>
  <c r="Q1192" i="210"/>
  <c r="D1193" i="210"/>
  <c r="K1193" i="210"/>
  <c r="L1193" i="210"/>
  <c r="N1193" i="210"/>
  <c r="P1193" i="210"/>
  <c r="Q1193" i="210"/>
  <c r="D1194" i="210"/>
  <c r="K1194" i="210"/>
  <c r="L1194" i="210"/>
  <c r="N1194" i="210"/>
  <c r="P1194" i="210"/>
  <c r="Q1194" i="210"/>
  <c r="D1195" i="210"/>
  <c r="K1195" i="210"/>
  <c r="L1195" i="210"/>
  <c r="N1195" i="210"/>
  <c r="P1195" i="210"/>
  <c r="Q1195" i="210"/>
  <c r="D1196" i="210"/>
  <c r="K1196" i="210"/>
  <c r="L1196" i="210"/>
  <c r="N1196" i="210"/>
  <c r="P1196" i="210"/>
  <c r="Q1196" i="210"/>
  <c r="D1197" i="210"/>
  <c r="K1197" i="210"/>
  <c r="L1197" i="210"/>
  <c r="N1197" i="210"/>
  <c r="P1197" i="210"/>
  <c r="Q1197" i="210"/>
  <c r="D1198" i="210"/>
  <c r="K1198" i="210"/>
  <c r="L1198" i="210"/>
  <c r="N1198" i="210"/>
  <c r="P1198" i="210"/>
  <c r="Q1198" i="210"/>
  <c r="D1199" i="210"/>
  <c r="K1199" i="210"/>
  <c r="L1199" i="210"/>
  <c r="N1199" i="210"/>
  <c r="P1199" i="210"/>
  <c r="Q1199" i="210"/>
  <c r="D1200" i="210"/>
  <c r="K1200" i="210"/>
  <c r="L1200" i="210"/>
  <c r="N1200" i="210"/>
  <c r="P1200" i="210"/>
  <c r="Q1200" i="210"/>
  <c r="D1201" i="210"/>
  <c r="K1201" i="210"/>
  <c r="L1201" i="210"/>
  <c r="N1201" i="210"/>
  <c r="P1201" i="210"/>
  <c r="Q1201" i="210"/>
  <c r="D1202" i="210"/>
  <c r="K1202" i="210"/>
  <c r="L1202" i="210"/>
  <c r="N1202" i="210"/>
  <c r="P1202" i="210"/>
  <c r="Q1202" i="210"/>
  <c r="D1203" i="210"/>
  <c r="K1203" i="210"/>
  <c r="L1203" i="210"/>
  <c r="N1203" i="210"/>
  <c r="P1203" i="210"/>
  <c r="Q1203" i="210"/>
  <c r="D1204" i="210"/>
  <c r="K1204" i="210"/>
  <c r="L1204" i="210"/>
  <c r="N1204" i="210"/>
  <c r="P1204" i="210"/>
  <c r="Q1204" i="210"/>
  <c r="D1205" i="210"/>
  <c r="K1205" i="210"/>
  <c r="L1205" i="210"/>
  <c r="N1205" i="210"/>
  <c r="P1205" i="210"/>
  <c r="Q1205" i="210"/>
  <c r="D1206" i="210"/>
  <c r="K1206" i="210"/>
  <c r="L1206" i="210"/>
  <c r="N1206" i="210"/>
  <c r="P1206" i="210"/>
  <c r="Q1206" i="210"/>
  <c r="D1207" i="210"/>
  <c r="K1207" i="210"/>
  <c r="L1207" i="210"/>
  <c r="N1207" i="210"/>
  <c r="P1207" i="210"/>
  <c r="Q1207" i="210"/>
  <c r="D1208" i="210"/>
  <c r="K1208" i="210"/>
  <c r="L1208" i="210"/>
  <c r="N1208" i="210"/>
  <c r="P1208" i="210"/>
  <c r="Q1208" i="210"/>
  <c r="D1209" i="210"/>
  <c r="K1209" i="210"/>
  <c r="L1209" i="210"/>
  <c r="N1209" i="210"/>
  <c r="P1209" i="210"/>
  <c r="Q1209" i="210"/>
  <c r="D1210" i="210"/>
  <c r="K1210" i="210"/>
  <c r="L1210" i="210"/>
  <c r="N1210" i="210"/>
  <c r="P1210" i="210"/>
  <c r="Q1210" i="210"/>
  <c r="D1211" i="210"/>
  <c r="K1211" i="210"/>
  <c r="L1211" i="210"/>
  <c r="N1211" i="210"/>
  <c r="P1211" i="210"/>
  <c r="Q1211" i="210"/>
  <c r="D1212" i="210"/>
  <c r="K1212" i="210"/>
  <c r="L1212" i="210"/>
  <c r="N1212" i="210"/>
  <c r="P1212" i="210"/>
  <c r="Q1212" i="210"/>
  <c r="D1213" i="210"/>
  <c r="K1213" i="210"/>
  <c r="L1213" i="210"/>
  <c r="N1213" i="210"/>
  <c r="P1213" i="210"/>
  <c r="Q1213" i="210"/>
  <c r="D1214" i="210"/>
  <c r="K1214" i="210"/>
  <c r="L1214" i="210"/>
  <c r="N1214" i="210"/>
  <c r="P1214" i="210"/>
  <c r="Q1214" i="210"/>
  <c r="C1217" i="210"/>
  <c r="C1218" i="210" s="1"/>
  <c r="C1219" i="210" s="1"/>
  <c r="H1217" i="210"/>
  <c r="E1217" i="210" s="1"/>
  <c r="E1218" i="210" s="1"/>
  <c r="E1219" i="210" s="1"/>
  <c r="E1221" i="210" s="1"/>
  <c r="E1223" i="210" s="1"/>
  <c r="E1225" i="210" s="1"/>
  <c r="E1227" i="210" s="1"/>
  <c r="E1229" i="210" s="1"/>
  <c r="E1231" i="210" s="1"/>
  <c r="E1233" i="210" s="1"/>
  <c r="E1235" i="210" s="1"/>
  <c r="E1237" i="210" s="1"/>
  <c r="E1239" i="210" s="1"/>
  <c r="E1241" i="210" s="1"/>
  <c r="E1243" i="210" s="1"/>
  <c r="E1245" i="210" s="1"/>
  <c r="E1247" i="210" s="1"/>
  <c r="E1249" i="210" s="1"/>
  <c r="E1251" i="210" s="1"/>
  <c r="I1217" i="210"/>
  <c r="J1217" i="210"/>
  <c r="I1218" i="210"/>
  <c r="I1219" i="210"/>
  <c r="D1221" i="210"/>
  <c r="K1221" i="210"/>
  <c r="L1221" i="210"/>
  <c r="N1221" i="210"/>
  <c r="P1221" i="210"/>
  <c r="Q1221" i="210"/>
  <c r="D1222" i="210"/>
  <c r="E1222" i="210"/>
  <c r="E1224" i="210" s="1"/>
  <c r="E1226" i="210" s="1"/>
  <c r="E1228" i="210" s="1"/>
  <c r="E1230" i="210" s="1"/>
  <c r="E1232" i="210" s="1"/>
  <c r="E1234" i="210" s="1"/>
  <c r="E1236" i="210" s="1"/>
  <c r="E1238" i="210" s="1"/>
  <c r="E1240" i="210" s="1"/>
  <c r="E1242" i="210" s="1"/>
  <c r="E1244" i="210" s="1"/>
  <c r="E1246" i="210" s="1"/>
  <c r="E1248" i="210" s="1"/>
  <c r="E1250" i="210" s="1"/>
  <c r="K1222" i="210"/>
  <c r="L1222" i="210"/>
  <c r="N1222" i="210"/>
  <c r="P1222" i="210"/>
  <c r="Q1222" i="210"/>
  <c r="D1223" i="210"/>
  <c r="K1223" i="210"/>
  <c r="L1223" i="210"/>
  <c r="N1223" i="210"/>
  <c r="P1223" i="210"/>
  <c r="Q1223" i="210"/>
  <c r="D1224" i="210"/>
  <c r="K1224" i="210"/>
  <c r="L1224" i="210"/>
  <c r="N1224" i="210"/>
  <c r="P1224" i="210"/>
  <c r="Q1224" i="210"/>
  <c r="D1225" i="210"/>
  <c r="K1225" i="210"/>
  <c r="L1225" i="210"/>
  <c r="N1225" i="210"/>
  <c r="P1225" i="210"/>
  <c r="Q1225" i="210"/>
  <c r="D1226" i="210"/>
  <c r="K1226" i="210"/>
  <c r="L1226" i="210"/>
  <c r="N1226" i="210"/>
  <c r="P1226" i="210"/>
  <c r="Q1226" i="210"/>
  <c r="D1227" i="210"/>
  <c r="K1227" i="210"/>
  <c r="L1227" i="210"/>
  <c r="N1227" i="210"/>
  <c r="P1227" i="210"/>
  <c r="Q1227" i="210"/>
  <c r="D1228" i="210"/>
  <c r="K1228" i="210"/>
  <c r="L1228" i="210"/>
  <c r="N1228" i="210"/>
  <c r="P1228" i="210"/>
  <c r="Q1228" i="210"/>
  <c r="D1229" i="210"/>
  <c r="K1229" i="210"/>
  <c r="L1229" i="210"/>
  <c r="N1229" i="210"/>
  <c r="P1229" i="210"/>
  <c r="Q1229" i="210"/>
  <c r="D1230" i="210"/>
  <c r="K1230" i="210"/>
  <c r="L1230" i="210"/>
  <c r="N1230" i="210"/>
  <c r="P1230" i="210"/>
  <c r="Q1230" i="210"/>
  <c r="D1231" i="210"/>
  <c r="K1231" i="210"/>
  <c r="L1231" i="210"/>
  <c r="N1231" i="210"/>
  <c r="P1231" i="210"/>
  <c r="Q1231" i="210"/>
  <c r="D1232" i="210"/>
  <c r="K1232" i="210"/>
  <c r="L1232" i="210"/>
  <c r="N1232" i="210"/>
  <c r="P1232" i="210"/>
  <c r="Q1232" i="210"/>
  <c r="D1233" i="210"/>
  <c r="K1233" i="210"/>
  <c r="L1233" i="210"/>
  <c r="N1233" i="210"/>
  <c r="P1233" i="210"/>
  <c r="Q1233" i="210"/>
  <c r="D1234" i="210"/>
  <c r="K1234" i="210"/>
  <c r="L1234" i="210"/>
  <c r="N1234" i="210"/>
  <c r="P1234" i="210"/>
  <c r="Q1234" i="210"/>
  <c r="D1235" i="210"/>
  <c r="K1235" i="210"/>
  <c r="L1235" i="210"/>
  <c r="N1235" i="210"/>
  <c r="P1235" i="210"/>
  <c r="Q1235" i="210"/>
  <c r="D1236" i="210"/>
  <c r="K1236" i="210"/>
  <c r="L1236" i="210"/>
  <c r="N1236" i="210"/>
  <c r="P1236" i="210"/>
  <c r="Q1236" i="210"/>
  <c r="D1237" i="210"/>
  <c r="K1237" i="210"/>
  <c r="L1237" i="210"/>
  <c r="N1237" i="210"/>
  <c r="P1237" i="210"/>
  <c r="Q1237" i="210"/>
  <c r="D1238" i="210"/>
  <c r="K1238" i="210"/>
  <c r="L1238" i="210"/>
  <c r="N1238" i="210"/>
  <c r="P1238" i="210"/>
  <c r="Q1238" i="210"/>
  <c r="D1239" i="210"/>
  <c r="K1239" i="210"/>
  <c r="L1239" i="210"/>
  <c r="N1239" i="210"/>
  <c r="P1239" i="210"/>
  <c r="Q1239" i="210"/>
  <c r="D1240" i="210"/>
  <c r="K1240" i="210"/>
  <c r="L1240" i="210"/>
  <c r="N1240" i="210"/>
  <c r="P1240" i="210"/>
  <c r="Q1240" i="210"/>
  <c r="D1241" i="210"/>
  <c r="K1241" i="210"/>
  <c r="L1241" i="210"/>
  <c r="N1241" i="210"/>
  <c r="P1241" i="210"/>
  <c r="Q1241" i="210"/>
  <c r="D1242" i="210"/>
  <c r="K1242" i="210"/>
  <c r="L1242" i="210"/>
  <c r="N1242" i="210"/>
  <c r="P1242" i="210"/>
  <c r="Q1242" i="210"/>
  <c r="D1243" i="210"/>
  <c r="K1243" i="210"/>
  <c r="L1243" i="210"/>
  <c r="N1243" i="210"/>
  <c r="P1243" i="210"/>
  <c r="Q1243" i="210"/>
  <c r="D1244" i="210"/>
  <c r="K1244" i="210"/>
  <c r="L1244" i="210"/>
  <c r="N1244" i="210"/>
  <c r="P1244" i="210"/>
  <c r="Q1244" i="210"/>
  <c r="D1245" i="210"/>
  <c r="K1245" i="210"/>
  <c r="L1245" i="210"/>
  <c r="N1245" i="210"/>
  <c r="P1245" i="210"/>
  <c r="Q1245" i="210"/>
  <c r="D1246" i="210"/>
  <c r="K1246" i="210"/>
  <c r="L1246" i="210"/>
  <c r="N1246" i="210"/>
  <c r="P1246" i="210"/>
  <c r="Q1246" i="210"/>
  <c r="D1247" i="210"/>
  <c r="K1247" i="210"/>
  <c r="L1247" i="210"/>
  <c r="N1247" i="210"/>
  <c r="P1247" i="210"/>
  <c r="Q1247" i="210"/>
  <c r="D1248" i="210"/>
  <c r="K1248" i="210"/>
  <c r="L1248" i="210"/>
  <c r="N1248" i="210"/>
  <c r="P1248" i="210"/>
  <c r="Q1248" i="210"/>
  <c r="D1249" i="210"/>
  <c r="K1249" i="210"/>
  <c r="L1249" i="210"/>
  <c r="N1249" i="210"/>
  <c r="P1249" i="210"/>
  <c r="Q1249" i="210"/>
  <c r="D1250" i="210"/>
  <c r="K1250" i="210"/>
  <c r="L1250" i="210"/>
  <c r="N1250" i="210"/>
  <c r="P1250" i="210"/>
  <c r="Q1250" i="210"/>
  <c r="D1251" i="210"/>
  <c r="K1251" i="210"/>
  <c r="L1251" i="210"/>
  <c r="N1251" i="210"/>
  <c r="P1251" i="210"/>
  <c r="Q1251" i="210"/>
  <c r="C1254" i="210"/>
  <c r="E1254" i="210"/>
  <c r="E1255" i="210" s="1"/>
  <c r="E1256" i="210" s="1"/>
  <c r="E1258" i="210" s="1"/>
  <c r="E1260" i="210" s="1"/>
  <c r="E1262" i="210" s="1"/>
  <c r="E1264" i="210" s="1"/>
  <c r="E1266" i="210" s="1"/>
  <c r="E1268" i="210" s="1"/>
  <c r="E1270" i="210" s="1"/>
  <c r="E1272" i="210" s="1"/>
  <c r="E1274" i="210" s="1"/>
  <c r="E1276" i="210" s="1"/>
  <c r="E1278" i="210" s="1"/>
  <c r="E1280" i="210" s="1"/>
  <c r="E1282" i="210" s="1"/>
  <c r="E1284" i="210" s="1"/>
  <c r="H1254" i="210"/>
  <c r="I1254" i="210"/>
  <c r="J1254" i="210"/>
  <c r="C1255" i="210"/>
  <c r="C1256" i="210" s="1"/>
  <c r="I1255" i="210"/>
  <c r="I1256" i="210"/>
  <c r="D1258" i="210"/>
  <c r="K1258" i="210"/>
  <c r="L1258" i="210"/>
  <c r="N1258" i="210"/>
  <c r="P1258" i="210"/>
  <c r="Q1258" i="210"/>
  <c r="D1259" i="210"/>
  <c r="E1259" i="210"/>
  <c r="E1261" i="210" s="1"/>
  <c r="E1263" i="210" s="1"/>
  <c r="E1265" i="210" s="1"/>
  <c r="E1267" i="210" s="1"/>
  <c r="E1269" i="210" s="1"/>
  <c r="E1271" i="210" s="1"/>
  <c r="E1273" i="210" s="1"/>
  <c r="E1275" i="210" s="1"/>
  <c r="E1277" i="210" s="1"/>
  <c r="E1279" i="210" s="1"/>
  <c r="E1281" i="210" s="1"/>
  <c r="E1283" i="210" s="1"/>
  <c r="E1285" i="210" s="1"/>
  <c r="K1259" i="210"/>
  <c r="L1259" i="210"/>
  <c r="N1259" i="210"/>
  <c r="P1259" i="210"/>
  <c r="Q1259" i="210"/>
  <c r="D1260" i="210"/>
  <c r="K1260" i="210"/>
  <c r="L1260" i="210"/>
  <c r="N1260" i="210"/>
  <c r="P1260" i="210"/>
  <c r="P1254" i="210" s="1"/>
  <c r="Q1260" i="210"/>
  <c r="D1261" i="210"/>
  <c r="K1261" i="210"/>
  <c r="L1261" i="210"/>
  <c r="N1261" i="210"/>
  <c r="P1261" i="210"/>
  <c r="Q1261" i="210"/>
  <c r="D1262" i="210"/>
  <c r="K1262" i="210"/>
  <c r="L1262" i="210"/>
  <c r="N1262" i="210"/>
  <c r="P1262" i="210"/>
  <c r="Q1262" i="210"/>
  <c r="D1263" i="210"/>
  <c r="K1263" i="210"/>
  <c r="L1263" i="210"/>
  <c r="N1263" i="210"/>
  <c r="P1263" i="210"/>
  <c r="Q1263" i="210"/>
  <c r="D1264" i="210"/>
  <c r="K1264" i="210"/>
  <c r="L1264" i="210"/>
  <c r="N1264" i="210"/>
  <c r="P1264" i="210"/>
  <c r="Q1264" i="210"/>
  <c r="D1265" i="210"/>
  <c r="K1265" i="210"/>
  <c r="L1265" i="210"/>
  <c r="N1265" i="210"/>
  <c r="P1265" i="210"/>
  <c r="Q1265" i="210"/>
  <c r="D1266" i="210"/>
  <c r="K1266" i="210"/>
  <c r="L1266" i="210"/>
  <c r="N1266" i="210"/>
  <c r="P1266" i="210"/>
  <c r="Q1266" i="210"/>
  <c r="D1267" i="210"/>
  <c r="K1267" i="210"/>
  <c r="L1267" i="210"/>
  <c r="N1267" i="210"/>
  <c r="P1267" i="210"/>
  <c r="Q1267" i="210"/>
  <c r="D1268" i="210"/>
  <c r="K1268" i="210"/>
  <c r="L1268" i="210"/>
  <c r="N1268" i="210"/>
  <c r="P1268" i="210"/>
  <c r="Q1268" i="210"/>
  <c r="D1269" i="210"/>
  <c r="K1269" i="210"/>
  <c r="L1269" i="210"/>
  <c r="N1269" i="210"/>
  <c r="P1269" i="210"/>
  <c r="Q1269" i="210"/>
  <c r="D1270" i="210"/>
  <c r="K1270" i="210"/>
  <c r="L1270" i="210"/>
  <c r="N1270" i="210"/>
  <c r="P1270" i="210"/>
  <c r="Q1270" i="210"/>
  <c r="D1271" i="210"/>
  <c r="K1271" i="210"/>
  <c r="L1271" i="210"/>
  <c r="N1271" i="210"/>
  <c r="P1271" i="210"/>
  <c r="Q1271" i="210"/>
  <c r="D1272" i="210"/>
  <c r="K1272" i="210"/>
  <c r="L1272" i="210"/>
  <c r="N1272" i="210"/>
  <c r="P1272" i="210"/>
  <c r="Q1272" i="210"/>
  <c r="D1273" i="210"/>
  <c r="K1273" i="210"/>
  <c r="L1273" i="210"/>
  <c r="N1273" i="210"/>
  <c r="P1273" i="210"/>
  <c r="Q1273" i="210"/>
  <c r="D1274" i="210"/>
  <c r="K1274" i="210"/>
  <c r="L1274" i="210"/>
  <c r="N1274" i="210"/>
  <c r="P1274" i="210"/>
  <c r="Q1274" i="210"/>
  <c r="D1275" i="210"/>
  <c r="K1275" i="210"/>
  <c r="L1275" i="210"/>
  <c r="N1275" i="210"/>
  <c r="P1275" i="210"/>
  <c r="Q1275" i="210"/>
  <c r="D1276" i="210"/>
  <c r="K1276" i="210"/>
  <c r="L1276" i="210"/>
  <c r="N1276" i="210"/>
  <c r="P1276" i="210"/>
  <c r="Q1276" i="210"/>
  <c r="D1277" i="210"/>
  <c r="K1277" i="210"/>
  <c r="L1277" i="210"/>
  <c r="N1277" i="210"/>
  <c r="P1277" i="210"/>
  <c r="Q1277" i="210"/>
  <c r="D1278" i="210"/>
  <c r="K1278" i="210"/>
  <c r="L1278" i="210"/>
  <c r="N1278" i="210"/>
  <c r="P1278" i="210"/>
  <c r="Q1278" i="210"/>
  <c r="D1279" i="210"/>
  <c r="K1279" i="210"/>
  <c r="L1279" i="210"/>
  <c r="N1279" i="210"/>
  <c r="P1279" i="210"/>
  <c r="Q1279" i="210"/>
  <c r="D1280" i="210"/>
  <c r="K1280" i="210"/>
  <c r="L1280" i="210"/>
  <c r="N1280" i="210"/>
  <c r="P1280" i="210"/>
  <c r="Q1280" i="210"/>
  <c r="D1281" i="210"/>
  <c r="K1281" i="210"/>
  <c r="L1281" i="210"/>
  <c r="N1281" i="210"/>
  <c r="P1281" i="210"/>
  <c r="Q1281" i="210"/>
  <c r="D1282" i="210"/>
  <c r="K1282" i="210"/>
  <c r="L1282" i="210"/>
  <c r="N1282" i="210"/>
  <c r="P1282" i="210"/>
  <c r="Q1282" i="210"/>
  <c r="D1283" i="210"/>
  <c r="K1283" i="210"/>
  <c r="L1283" i="210"/>
  <c r="N1283" i="210"/>
  <c r="P1283" i="210"/>
  <c r="Q1283" i="210"/>
  <c r="D1284" i="210"/>
  <c r="K1284" i="210"/>
  <c r="L1284" i="210"/>
  <c r="N1284" i="210"/>
  <c r="P1284" i="210"/>
  <c r="Q1284" i="210"/>
  <c r="D1285" i="210"/>
  <c r="K1285" i="210"/>
  <c r="L1285" i="210"/>
  <c r="N1285" i="210"/>
  <c r="P1285" i="210"/>
  <c r="Q1285" i="210"/>
  <c r="C1288" i="210"/>
  <c r="E1288" i="210"/>
  <c r="E1289" i="210" s="1"/>
  <c r="E1290" i="210" s="1"/>
  <c r="E1292" i="210" s="1"/>
  <c r="E1294" i="210" s="1"/>
  <c r="E1296" i="210" s="1"/>
  <c r="E1298" i="210" s="1"/>
  <c r="E1300" i="210" s="1"/>
  <c r="E1302" i="210" s="1"/>
  <c r="E1304" i="210" s="1"/>
  <c r="E1306" i="210" s="1"/>
  <c r="E1308" i="210" s="1"/>
  <c r="E1310" i="210" s="1"/>
  <c r="E1312" i="210" s="1"/>
  <c r="E1314" i="210" s="1"/>
  <c r="E1316" i="210" s="1"/>
  <c r="E1318" i="210" s="1"/>
  <c r="E1320" i="210" s="1"/>
  <c r="E1322" i="210" s="1"/>
  <c r="E1324" i="210" s="1"/>
  <c r="E1326" i="210" s="1"/>
  <c r="E1328" i="210" s="1"/>
  <c r="H1288" i="210"/>
  <c r="I1288" i="210"/>
  <c r="J1288" i="210"/>
  <c r="C1289" i="210"/>
  <c r="C1290" i="210" s="1"/>
  <c r="I1289" i="210"/>
  <c r="I1290" i="210"/>
  <c r="D1292" i="210"/>
  <c r="K1292" i="210"/>
  <c r="L1292" i="210"/>
  <c r="N1292" i="210"/>
  <c r="P1292" i="210"/>
  <c r="Q1292" i="210"/>
  <c r="Q1288" i="210" s="1"/>
  <c r="D1293" i="210"/>
  <c r="E1293" i="210"/>
  <c r="E1295" i="210" s="1"/>
  <c r="E1297" i="210" s="1"/>
  <c r="E1299" i="210" s="1"/>
  <c r="E1301" i="210" s="1"/>
  <c r="E1303" i="210" s="1"/>
  <c r="E1305" i="210" s="1"/>
  <c r="E1307" i="210" s="1"/>
  <c r="E1309" i="210" s="1"/>
  <c r="E1311" i="210" s="1"/>
  <c r="E1313" i="210" s="1"/>
  <c r="E1315" i="210" s="1"/>
  <c r="E1317" i="210" s="1"/>
  <c r="E1319" i="210" s="1"/>
  <c r="E1321" i="210" s="1"/>
  <c r="E1323" i="210" s="1"/>
  <c r="E1325" i="210" s="1"/>
  <c r="E1327" i="210" s="1"/>
  <c r="E1329" i="210" s="1"/>
  <c r="K1293" i="210"/>
  <c r="L1293" i="210"/>
  <c r="N1293" i="210"/>
  <c r="P1293" i="210"/>
  <c r="Q1293" i="210"/>
  <c r="D1294" i="210"/>
  <c r="K1294" i="210"/>
  <c r="L1294" i="210"/>
  <c r="N1294" i="210"/>
  <c r="P1294" i="210"/>
  <c r="Q1294" i="210"/>
  <c r="D1295" i="210"/>
  <c r="K1295" i="210"/>
  <c r="L1295" i="210"/>
  <c r="N1295" i="210"/>
  <c r="P1295" i="210"/>
  <c r="Q1295" i="210"/>
  <c r="D1296" i="210"/>
  <c r="K1296" i="210"/>
  <c r="L1296" i="210"/>
  <c r="N1296" i="210"/>
  <c r="P1296" i="210"/>
  <c r="Q1296" i="210"/>
  <c r="D1297" i="210"/>
  <c r="K1297" i="210"/>
  <c r="L1297" i="210"/>
  <c r="N1297" i="210"/>
  <c r="P1297" i="210"/>
  <c r="Q1297" i="210"/>
  <c r="D1298" i="210"/>
  <c r="K1298" i="210"/>
  <c r="L1298" i="210"/>
  <c r="N1298" i="210"/>
  <c r="P1298" i="210"/>
  <c r="Q1298" i="210"/>
  <c r="D1299" i="210"/>
  <c r="K1299" i="210"/>
  <c r="L1299" i="210"/>
  <c r="N1299" i="210"/>
  <c r="P1299" i="210"/>
  <c r="Q1299" i="210"/>
  <c r="D1300" i="210"/>
  <c r="K1300" i="210"/>
  <c r="L1300" i="210"/>
  <c r="N1300" i="210"/>
  <c r="P1300" i="210"/>
  <c r="Q1300" i="210"/>
  <c r="D1301" i="210"/>
  <c r="K1301" i="210"/>
  <c r="L1301" i="210"/>
  <c r="N1301" i="210"/>
  <c r="P1301" i="210"/>
  <c r="Q1301" i="210"/>
  <c r="D1302" i="210"/>
  <c r="K1302" i="210"/>
  <c r="L1302" i="210"/>
  <c r="N1302" i="210"/>
  <c r="P1302" i="210"/>
  <c r="Q1302" i="210"/>
  <c r="D1303" i="210"/>
  <c r="K1303" i="210"/>
  <c r="L1303" i="210"/>
  <c r="N1303" i="210"/>
  <c r="P1303" i="210"/>
  <c r="Q1303" i="210"/>
  <c r="D1304" i="210"/>
  <c r="K1304" i="210"/>
  <c r="L1304" i="210"/>
  <c r="N1304" i="210"/>
  <c r="P1304" i="210"/>
  <c r="Q1304" i="210"/>
  <c r="D1305" i="210"/>
  <c r="K1305" i="210"/>
  <c r="L1305" i="210"/>
  <c r="N1305" i="210"/>
  <c r="P1305" i="210"/>
  <c r="Q1305" i="210"/>
  <c r="D1306" i="210"/>
  <c r="K1306" i="210"/>
  <c r="L1306" i="210"/>
  <c r="N1306" i="210"/>
  <c r="P1306" i="210"/>
  <c r="Q1306" i="210"/>
  <c r="D1307" i="210"/>
  <c r="K1307" i="210"/>
  <c r="L1307" i="210"/>
  <c r="N1307" i="210"/>
  <c r="P1307" i="210"/>
  <c r="Q1307" i="210"/>
  <c r="D1308" i="210"/>
  <c r="K1308" i="210"/>
  <c r="L1308" i="210"/>
  <c r="N1308" i="210"/>
  <c r="P1308" i="210"/>
  <c r="Q1308" i="210"/>
  <c r="D1309" i="210"/>
  <c r="K1309" i="210"/>
  <c r="L1309" i="210"/>
  <c r="N1309" i="210"/>
  <c r="P1309" i="210"/>
  <c r="Q1309" i="210"/>
  <c r="D1310" i="210"/>
  <c r="K1310" i="210"/>
  <c r="L1310" i="210"/>
  <c r="N1310" i="210"/>
  <c r="P1310" i="210"/>
  <c r="Q1310" i="210"/>
  <c r="D1311" i="210"/>
  <c r="K1311" i="210"/>
  <c r="L1311" i="210"/>
  <c r="N1311" i="210"/>
  <c r="P1311" i="210"/>
  <c r="Q1311" i="210"/>
  <c r="D1312" i="210"/>
  <c r="K1312" i="210"/>
  <c r="L1312" i="210"/>
  <c r="N1312" i="210"/>
  <c r="P1312" i="210"/>
  <c r="Q1312" i="210"/>
  <c r="D1313" i="210"/>
  <c r="K1313" i="210"/>
  <c r="L1313" i="210"/>
  <c r="N1313" i="210"/>
  <c r="P1313" i="210"/>
  <c r="Q1313" i="210"/>
  <c r="D1314" i="210"/>
  <c r="K1314" i="210"/>
  <c r="L1314" i="210"/>
  <c r="N1314" i="210"/>
  <c r="P1314" i="210"/>
  <c r="Q1314" i="210"/>
  <c r="D1315" i="210"/>
  <c r="K1315" i="210"/>
  <c r="L1315" i="210"/>
  <c r="N1315" i="210"/>
  <c r="P1315" i="210"/>
  <c r="Q1315" i="210"/>
  <c r="D1316" i="210"/>
  <c r="K1316" i="210"/>
  <c r="L1316" i="210"/>
  <c r="N1316" i="210"/>
  <c r="P1316" i="210"/>
  <c r="Q1316" i="210"/>
  <c r="D1317" i="210"/>
  <c r="K1317" i="210"/>
  <c r="L1317" i="210"/>
  <c r="N1317" i="210"/>
  <c r="P1317" i="210"/>
  <c r="Q1317" i="210"/>
  <c r="D1318" i="210"/>
  <c r="K1318" i="210"/>
  <c r="L1318" i="210"/>
  <c r="N1318" i="210"/>
  <c r="P1318" i="210"/>
  <c r="Q1318" i="210"/>
  <c r="D1319" i="210"/>
  <c r="K1319" i="210"/>
  <c r="L1319" i="210"/>
  <c r="N1319" i="210"/>
  <c r="P1319" i="210"/>
  <c r="Q1319" i="210"/>
  <c r="D1320" i="210"/>
  <c r="K1320" i="210"/>
  <c r="L1320" i="210"/>
  <c r="N1320" i="210"/>
  <c r="P1320" i="210"/>
  <c r="Q1320" i="210"/>
  <c r="D1321" i="210"/>
  <c r="K1321" i="210"/>
  <c r="L1321" i="210"/>
  <c r="N1321" i="210"/>
  <c r="P1321" i="210"/>
  <c r="Q1321" i="210"/>
  <c r="D1322" i="210"/>
  <c r="K1322" i="210"/>
  <c r="L1322" i="210"/>
  <c r="N1322" i="210"/>
  <c r="P1322" i="210"/>
  <c r="Q1322" i="210"/>
  <c r="D1323" i="210"/>
  <c r="K1323" i="210"/>
  <c r="L1323" i="210"/>
  <c r="N1323" i="210"/>
  <c r="P1323" i="210"/>
  <c r="Q1323" i="210"/>
  <c r="D1324" i="210"/>
  <c r="K1324" i="210"/>
  <c r="L1324" i="210"/>
  <c r="N1324" i="210"/>
  <c r="P1324" i="210"/>
  <c r="Q1324" i="210"/>
  <c r="D1325" i="210"/>
  <c r="K1325" i="210"/>
  <c r="L1325" i="210"/>
  <c r="N1325" i="210"/>
  <c r="P1325" i="210"/>
  <c r="Q1325" i="210"/>
  <c r="D1326" i="210"/>
  <c r="K1326" i="210"/>
  <c r="L1326" i="210"/>
  <c r="N1326" i="210"/>
  <c r="P1326" i="210"/>
  <c r="Q1326" i="210"/>
  <c r="D1327" i="210"/>
  <c r="K1327" i="210"/>
  <c r="L1327" i="210"/>
  <c r="N1327" i="210"/>
  <c r="P1327" i="210"/>
  <c r="Q1327" i="210"/>
  <c r="D1328" i="210"/>
  <c r="K1328" i="210"/>
  <c r="L1328" i="210"/>
  <c r="N1328" i="210"/>
  <c r="P1328" i="210"/>
  <c r="Q1328" i="210"/>
  <c r="D1329" i="210"/>
  <c r="K1329" i="210"/>
  <c r="L1329" i="210"/>
  <c r="N1329" i="210"/>
  <c r="P1329" i="210"/>
  <c r="Q1329" i="210"/>
  <c r="C1332" i="210"/>
  <c r="C1333" i="210" s="1"/>
  <c r="C1334" i="210" s="1"/>
  <c r="H1332" i="210"/>
  <c r="E1332" i="210" s="1"/>
  <c r="E1333" i="210" s="1"/>
  <c r="E1334" i="210" s="1"/>
  <c r="E1336" i="210" s="1"/>
  <c r="E1338" i="210" s="1"/>
  <c r="E1340" i="210" s="1"/>
  <c r="E1342" i="210" s="1"/>
  <c r="E1344" i="210" s="1"/>
  <c r="E1346" i="210" s="1"/>
  <c r="E1348" i="210" s="1"/>
  <c r="E1350" i="210" s="1"/>
  <c r="E1352" i="210" s="1"/>
  <c r="E1354" i="210" s="1"/>
  <c r="E1356" i="210" s="1"/>
  <c r="E1358" i="210" s="1"/>
  <c r="E1360" i="210" s="1"/>
  <c r="E1362" i="210" s="1"/>
  <c r="I1332" i="210"/>
  <c r="J1332" i="210"/>
  <c r="I1333" i="210"/>
  <c r="I1334" i="210"/>
  <c r="D1336" i="210"/>
  <c r="K1336" i="210"/>
  <c r="L1336" i="210"/>
  <c r="L1332" i="210" s="1"/>
  <c r="N1336" i="210"/>
  <c r="P1336" i="210"/>
  <c r="Q1336" i="210"/>
  <c r="D1337" i="210"/>
  <c r="E1337" i="210"/>
  <c r="K1337" i="210"/>
  <c r="L1337" i="210"/>
  <c r="N1337" i="210"/>
  <c r="P1337" i="210"/>
  <c r="Q1337" i="210"/>
  <c r="D1338" i="210"/>
  <c r="K1338" i="210"/>
  <c r="L1338" i="210"/>
  <c r="N1338" i="210"/>
  <c r="P1338" i="210"/>
  <c r="Q1338" i="210"/>
  <c r="D1339" i="210"/>
  <c r="E1339" i="210"/>
  <c r="E1341" i="210" s="1"/>
  <c r="E1343" i="210" s="1"/>
  <c r="E1345" i="210" s="1"/>
  <c r="E1347" i="210" s="1"/>
  <c r="E1349" i="210" s="1"/>
  <c r="E1351" i="210" s="1"/>
  <c r="E1353" i="210" s="1"/>
  <c r="E1355" i="210" s="1"/>
  <c r="E1357" i="210" s="1"/>
  <c r="E1359" i="210" s="1"/>
  <c r="E1361" i="210" s="1"/>
  <c r="E1363" i="210" s="1"/>
  <c r="E1365" i="210" s="1"/>
  <c r="K1339" i="210"/>
  <c r="L1339" i="210"/>
  <c r="N1339" i="210"/>
  <c r="P1339" i="210"/>
  <c r="Q1339" i="210"/>
  <c r="D1340" i="210"/>
  <c r="K1340" i="210"/>
  <c r="L1340" i="210"/>
  <c r="N1340" i="210"/>
  <c r="P1340" i="210"/>
  <c r="Q1340" i="210"/>
  <c r="D1341" i="210"/>
  <c r="K1341" i="210"/>
  <c r="L1341" i="210"/>
  <c r="N1341" i="210"/>
  <c r="P1341" i="210"/>
  <c r="Q1341" i="210"/>
  <c r="D1342" i="210"/>
  <c r="K1342" i="210"/>
  <c r="L1342" i="210"/>
  <c r="N1342" i="210"/>
  <c r="P1342" i="210"/>
  <c r="Q1342" i="210"/>
  <c r="D1343" i="210"/>
  <c r="K1343" i="210"/>
  <c r="L1343" i="210"/>
  <c r="N1343" i="210"/>
  <c r="P1343" i="210"/>
  <c r="Q1343" i="210"/>
  <c r="D1344" i="210"/>
  <c r="K1344" i="210"/>
  <c r="L1344" i="210"/>
  <c r="N1344" i="210"/>
  <c r="P1344" i="210"/>
  <c r="Q1344" i="210"/>
  <c r="D1345" i="210"/>
  <c r="K1345" i="210"/>
  <c r="L1345" i="210"/>
  <c r="N1345" i="210"/>
  <c r="P1345" i="210"/>
  <c r="Q1345" i="210"/>
  <c r="D1346" i="210"/>
  <c r="K1346" i="210"/>
  <c r="L1346" i="210"/>
  <c r="N1346" i="210"/>
  <c r="P1346" i="210"/>
  <c r="Q1346" i="210"/>
  <c r="D1347" i="210"/>
  <c r="K1347" i="210"/>
  <c r="L1347" i="210"/>
  <c r="N1347" i="210"/>
  <c r="P1347" i="210"/>
  <c r="Q1347" i="210"/>
  <c r="D1348" i="210"/>
  <c r="K1348" i="210"/>
  <c r="L1348" i="210"/>
  <c r="N1348" i="210"/>
  <c r="P1348" i="210"/>
  <c r="Q1348" i="210"/>
  <c r="D1349" i="210"/>
  <c r="K1349" i="210"/>
  <c r="L1349" i="210"/>
  <c r="N1349" i="210"/>
  <c r="P1349" i="210"/>
  <c r="Q1349" i="210"/>
  <c r="D1350" i="210"/>
  <c r="K1350" i="210"/>
  <c r="L1350" i="210"/>
  <c r="N1350" i="210"/>
  <c r="P1350" i="210"/>
  <c r="Q1350" i="210"/>
  <c r="D1351" i="210"/>
  <c r="K1351" i="210"/>
  <c r="L1351" i="210"/>
  <c r="N1351" i="210"/>
  <c r="P1351" i="210"/>
  <c r="Q1351" i="210"/>
  <c r="D1352" i="210"/>
  <c r="K1352" i="210"/>
  <c r="L1352" i="210"/>
  <c r="N1352" i="210"/>
  <c r="P1352" i="210"/>
  <c r="Q1352" i="210"/>
  <c r="D1353" i="210"/>
  <c r="K1353" i="210"/>
  <c r="L1353" i="210"/>
  <c r="N1353" i="210"/>
  <c r="P1353" i="210"/>
  <c r="Q1353" i="210"/>
  <c r="D1354" i="210"/>
  <c r="K1354" i="210"/>
  <c r="L1354" i="210"/>
  <c r="N1354" i="210"/>
  <c r="P1354" i="210"/>
  <c r="Q1354" i="210"/>
  <c r="D1355" i="210"/>
  <c r="K1355" i="210"/>
  <c r="L1355" i="210"/>
  <c r="N1355" i="210"/>
  <c r="P1355" i="210"/>
  <c r="Q1355" i="210"/>
  <c r="D1356" i="210"/>
  <c r="K1356" i="210"/>
  <c r="L1356" i="210"/>
  <c r="N1356" i="210"/>
  <c r="P1356" i="210"/>
  <c r="Q1356" i="210"/>
  <c r="D1357" i="210"/>
  <c r="K1357" i="210"/>
  <c r="L1357" i="210"/>
  <c r="N1357" i="210"/>
  <c r="P1357" i="210"/>
  <c r="Q1357" i="210"/>
  <c r="D1358" i="210"/>
  <c r="K1358" i="210"/>
  <c r="L1358" i="210"/>
  <c r="N1358" i="210"/>
  <c r="P1358" i="210"/>
  <c r="Q1358" i="210"/>
  <c r="D1359" i="210"/>
  <c r="K1359" i="210"/>
  <c r="L1359" i="210"/>
  <c r="N1359" i="210"/>
  <c r="P1359" i="210"/>
  <c r="Q1359" i="210"/>
  <c r="D1360" i="210"/>
  <c r="K1360" i="210"/>
  <c r="L1360" i="210"/>
  <c r="N1360" i="210"/>
  <c r="P1360" i="210"/>
  <c r="Q1360" i="210"/>
  <c r="D1361" i="210"/>
  <c r="K1361" i="210"/>
  <c r="L1361" i="210"/>
  <c r="N1361" i="210"/>
  <c r="P1361" i="210"/>
  <c r="Q1361" i="210"/>
  <c r="D1362" i="210"/>
  <c r="K1362" i="210"/>
  <c r="L1362" i="210"/>
  <c r="N1362" i="210"/>
  <c r="P1362" i="210"/>
  <c r="Q1362" i="210"/>
  <c r="D1363" i="210"/>
  <c r="K1363" i="210"/>
  <c r="L1363" i="210"/>
  <c r="N1363" i="210"/>
  <c r="P1363" i="210"/>
  <c r="Q1363" i="210"/>
  <c r="D1364" i="210"/>
  <c r="E1364" i="210"/>
  <c r="E1366" i="210" s="1"/>
  <c r="K1364" i="210"/>
  <c r="L1364" i="210"/>
  <c r="N1364" i="210"/>
  <c r="P1364" i="210"/>
  <c r="Q1364" i="210"/>
  <c r="D1365" i="210"/>
  <c r="K1365" i="210"/>
  <c r="L1365" i="210"/>
  <c r="N1365" i="210"/>
  <c r="P1365" i="210"/>
  <c r="Q1365" i="210"/>
  <c r="D1366" i="210"/>
  <c r="K1366" i="210"/>
  <c r="L1366" i="210"/>
  <c r="N1366" i="210"/>
  <c r="P1366" i="210"/>
  <c r="Q1366" i="210"/>
  <c r="C1369" i="210"/>
  <c r="C1370" i="210" s="1"/>
  <c r="C1371" i="210" s="1"/>
  <c r="E1369" i="210"/>
  <c r="E1370" i="210" s="1"/>
  <c r="E1371" i="210" s="1"/>
  <c r="E1373" i="210" s="1"/>
  <c r="E1375" i="210" s="1"/>
  <c r="E1377" i="210" s="1"/>
  <c r="E1379" i="210" s="1"/>
  <c r="E1381" i="210" s="1"/>
  <c r="E1383" i="210" s="1"/>
  <c r="E1385" i="210" s="1"/>
  <c r="E1387" i="210" s="1"/>
  <c r="E1389" i="210" s="1"/>
  <c r="E1391" i="210" s="1"/>
  <c r="E1393" i="210" s="1"/>
  <c r="E1395" i="210" s="1"/>
  <c r="E1397" i="210" s="1"/>
  <c r="E1399" i="210" s="1"/>
  <c r="E1401" i="210" s="1"/>
  <c r="E1403" i="210" s="1"/>
  <c r="E1405" i="210" s="1"/>
  <c r="E1407" i="210" s="1"/>
  <c r="E1409" i="210" s="1"/>
  <c r="E1411" i="210" s="1"/>
  <c r="E1413" i="210" s="1"/>
  <c r="E1415" i="210" s="1"/>
  <c r="E1417" i="210" s="1"/>
  <c r="H1369" i="210"/>
  <c r="I1369" i="210"/>
  <c r="J1369" i="210"/>
  <c r="I1370" i="210"/>
  <c r="I1371" i="210"/>
  <c r="D1373" i="210"/>
  <c r="K1373" i="210"/>
  <c r="L1373" i="210"/>
  <c r="N1373" i="210"/>
  <c r="P1373" i="210"/>
  <c r="Q1373" i="210"/>
  <c r="D1374" i="210"/>
  <c r="E1374" i="210"/>
  <c r="E1376" i="210" s="1"/>
  <c r="E1378" i="210" s="1"/>
  <c r="E1380" i="210" s="1"/>
  <c r="E1382" i="210" s="1"/>
  <c r="E1384" i="210" s="1"/>
  <c r="E1386" i="210" s="1"/>
  <c r="E1388" i="210" s="1"/>
  <c r="E1390" i="210" s="1"/>
  <c r="E1392" i="210" s="1"/>
  <c r="E1394" i="210" s="1"/>
  <c r="E1396" i="210" s="1"/>
  <c r="E1398" i="210" s="1"/>
  <c r="E1400" i="210" s="1"/>
  <c r="E1402" i="210" s="1"/>
  <c r="E1404" i="210" s="1"/>
  <c r="E1406" i="210" s="1"/>
  <c r="E1408" i="210" s="1"/>
  <c r="E1410" i="210" s="1"/>
  <c r="E1412" i="210" s="1"/>
  <c r="E1414" i="210" s="1"/>
  <c r="E1416" i="210" s="1"/>
  <c r="E1418" i="210" s="1"/>
  <c r="K1374" i="210"/>
  <c r="L1374" i="210"/>
  <c r="N1374" i="210"/>
  <c r="P1374" i="210"/>
  <c r="Q1374" i="210"/>
  <c r="D1375" i="210"/>
  <c r="K1375" i="210"/>
  <c r="L1375" i="210"/>
  <c r="N1375" i="210"/>
  <c r="P1375" i="210"/>
  <c r="Q1375" i="210"/>
  <c r="D1376" i="210"/>
  <c r="K1376" i="210"/>
  <c r="L1376" i="210"/>
  <c r="N1376" i="210"/>
  <c r="P1376" i="210"/>
  <c r="Q1376" i="210"/>
  <c r="D1377" i="210"/>
  <c r="K1377" i="210"/>
  <c r="L1377" i="210"/>
  <c r="N1377" i="210"/>
  <c r="P1377" i="210"/>
  <c r="Q1377" i="210"/>
  <c r="D1378" i="210"/>
  <c r="K1378" i="210"/>
  <c r="L1378" i="210"/>
  <c r="N1378" i="210"/>
  <c r="P1378" i="210"/>
  <c r="Q1378" i="210"/>
  <c r="D1379" i="210"/>
  <c r="K1379" i="210"/>
  <c r="L1379" i="210"/>
  <c r="N1379" i="210"/>
  <c r="P1379" i="210"/>
  <c r="Q1379" i="210"/>
  <c r="D1380" i="210"/>
  <c r="K1380" i="210"/>
  <c r="L1380" i="210"/>
  <c r="N1380" i="210"/>
  <c r="P1380" i="210"/>
  <c r="Q1380" i="210"/>
  <c r="D1381" i="210"/>
  <c r="K1381" i="210"/>
  <c r="L1381" i="210"/>
  <c r="N1381" i="210"/>
  <c r="P1381" i="210"/>
  <c r="Q1381" i="210"/>
  <c r="D1382" i="210"/>
  <c r="K1382" i="210"/>
  <c r="L1382" i="210"/>
  <c r="N1382" i="210"/>
  <c r="P1382" i="210"/>
  <c r="Q1382" i="210"/>
  <c r="D1383" i="210"/>
  <c r="K1383" i="210"/>
  <c r="L1383" i="210"/>
  <c r="N1383" i="210"/>
  <c r="P1383" i="210"/>
  <c r="Q1383" i="210"/>
  <c r="D1384" i="210"/>
  <c r="K1384" i="210"/>
  <c r="L1384" i="210"/>
  <c r="N1384" i="210"/>
  <c r="P1384" i="210"/>
  <c r="Q1384" i="210"/>
  <c r="D1385" i="210"/>
  <c r="K1385" i="210"/>
  <c r="L1385" i="210"/>
  <c r="N1385" i="210"/>
  <c r="P1385" i="210"/>
  <c r="Q1385" i="210"/>
  <c r="D1386" i="210"/>
  <c r="K1386" i="210"/>
  <c r="L1386" i="210"/>
  <c r="N1386" i="210"/>
  <c r="P1386" i="210"/>
  <c r="Q1386" i="210"/>
  <c r="D1387" i="210"/>
  <c r="K1387" i="210"/>
  <c r="L1387" i="210"/>
  <c r="N1387" i="210"/>
  <c r="P1387" i="210"/>
  <c r="Q1387" i="210"/>
  <c r="D1388" i="210"/>
  <c r="K1388" i="210"/>
  <c r="L1388" i="210"/>
  <c r="N1388" i="210"/>
  <c r="P1388" i="210"/>
  <c r="Q1388" i="210"/>
  <c r="D1389" i="210"/>
  <c r="K1389" i="210"/>
  <c r="L1389" i="210"/>
  <c r="N1389" i="210"/>
  <c r="P1389" i="210"/>
  <c r="Q1389" i="210"/>
  <c r="D1390" i="210"/>
  <c r="K1390" i="210"/>
  <c r="L1390" i="210"/>
  <c r="N1390" i="210"/>
  <c r="P1390" i="210"/>
  <c r="Q1390" i="210"/>
  <c r="D1391" i="210"/>
  <c r="K1391" i="210"/>
  <c r="L1391" i="210"/>
  <c r="N1391" i="210"/>
  <c r="P1391" i="210"/>
  <c r="Q1391" i="210"/>
  <c r="D1392" i="210"/>
  <c r="K1392" i="210"/>
  <c r="L1392" i="210"/>
  <c r="N1392" i="210"/>
  <c r="P1392" i="210"/>
  <c r="Q1392" i="210"/>
  <c r="D1393" i="210"/>
  <c r="K1393" i="210"/>
  <c r="L1393" i="210"/>
  <c r="N1393" i="210"/>
  <c r="P1393" i="210"/>
  <c r="Q1393" i="210"/>
  <c r="D1394" i="210"/>
  <c r="K1394" i="210"/>
  <c r="L1394" i="210"/>
  <c r="N1394" i="210"/>
  <c r="P1394" i="210"/>
  <c r="Q1394" i="210"/>
  <c r="D1395" i="210"/>
  <c r="K1395" i="210"/>
  <c r="L1395" i="210"/>
  <c r="N1395" i="210"/>
  <c r="P1395" i="210"/>
  <c r="Q1395" i="210"/>
  <c r="D1396" i="210"/>
  <c r="K1396" i="210"/>
  <c r="L1396" i="210"/>
  <c r="N1396" i="210"/>
  <c r="P1396" i="210"/>
  <c r="Q1396" i="210"/>
  <c r="D1397" i="210"/>
  <c r="K1397" i="210"/>
  <c r="L1397" i="210"/>
  <c r="N1397" i="210"/>
  <c r="P1397" i="210"/>
  <c r="Q1397" i="210"/>
  <c r="D1398" i="210"/>
  <c r="K1398" i="210"/>
  <c r="L1398" i="210"/>
  <c r="N1398" i="210"/>
  <c r="P1398" i="210"/>
  <c r="Q1398" i="210"/>
  <c r="D1399" i="210"/>
  <c r="K1399" i="210"/>
  <c r="L1399" i="210"/>
  <c r="N1399" i="210"/>
  <c r="P1399" i="210"/>
  <c r="Q1399" i="210"/>
  <c r="D1400" i="210"/>
  <c r="K1400" i="210"/>
  <c r="L1400" i="210"/>
  <c r="N1400" i="210"/>
  <c r="P1400" i="210"/>
  <c r="Q1400" i="210"/>
  <c r="D1401" i="210"/>
  <c r="K1401" i="210"/>
  <c r="L1401" i="210"/>
  <c r="N1401" i="210"/>
  <c r="P1401" i="210"/>
  <c r="Q1401" i="210"/>
  <c r="D1402" i="210"/>
  <c r="K1402" i="210"/>
  <c r="L1402" i="210"/>
  <c r="N1402" i="210"/>
  <c r="P1402" i="210"/>
  <c r="Q1402" i="210"/>
  <c r="D1403" i="210"/>
  <c r="K1403" i="210"/>
  <c r="L1403" i="210"/>
  <c r="N1403" i="210"/>
  <c r="P1403" i="210"/>
  <c r="Q1403" i="210"/>
  <c r="D1404" i="210"/>
  <c r="K1404" i="210"/>
  <c r="L1404" i="210"/>
  <c r="N1404" i="210"/>
  <c r="P1404" i="210"/>
  <c r="Q1404" i="210"/>
  <c r="D1405" i="210"/>
  <c r="K1405" i="210"/>
  <c r="L1405" i="210"/>
  <c r="N1405" i="210"/>
  <c r="P1405" i="210"/>
  <c r="Q1405" i="210"/>
  <c r="D1406" i="210"/>
  <c r="K1406" i="210"/>
  <c r="L1406" i="210"/>
  <c r="N1406" i="210"/>
  <c r="P1406" i="210"/>
  <c r="Q1406" i="210"/>
  <c r="D1407" i="210"/>
  <c r="K1407" i="210"/>
  <c r="L1407" i="210"/>
  <c r="N1407" i="210"/>
  <c r="P1407" i="210"/>
  <c r="Q1407" i="210"/>
  <c r="D1408" i="210"/>
  <c r="K1408" i="210"/>
  <c r="L1408" i="210"/>
  <c r="N1408" i="210"/>
  <c r="P1408" i="210"/>
  <c r="Q1408" i="210"/>
  <c r="D1409" i="210"/>
  <c r="K1409" i="210"/>
  <c r="L1409" i="210"/>
  <c r="N1409" i="210"/>
  <c r="P1409" i="210"/>
  <c r="Q1409" i="210"/>
  <c r="D1410" i="210"/>
  <c r="K1410" i="210"/>
  <c r="L1410" i="210"/>
  <c r="N1410" i="210"/>
  <c r="P1410" i="210"/>
  <c r="Q1410" i="210"/>
  <c r="D1411" i="210"/>
  <c r="K1411" i="210"/>
  <c r="L1411" i="210"/>
  <c r="N1411" i="210"/>
  <c r="P1411" i="210"/>
  <c r="Q1411" i="210"/>
  <c r="D1412" i="210"/>
  <c r="K1412" i="210"/>
  <c r="L1412" i="210"/>
  <c r="N1412" i="210"/>
  <c r="P1412" i="210"/>
  <c r="Q1412" i="210"/>
  <c r="D1413" i="210"/>
  <c r="K1413" i="210"/>
  <c r="L1413" i="210"/>
  <c r="N1413" i="210"/>
  <c r="P1413" i="210"/>
  <c r="Q1413" i="210"/>
  <c r="D1414" i="210"/>
  <c r="K1414" i="210"/>
  <c r="L1414" i="210"/>
  <c r="N1414" i="210"/>
  <c r="P1414" i="210"/>
  <c r="Q1414" i="210"/>
  <c r="D1415" i="210"/>
  <c r="K1415" i="210"/>
  <c r="L1415" i="210"/>
  <c r="N1415" i="210"/>
  <c r="P1415" i="210"/>
  <c r="Q1415" i="210"/>
  <c r="D1416" i="210"/>
  <c r="K1416" i="210"/>
  <c r="L1416" i="210"/>
  <c r="N1416" i="210"/>
  <c r="P1416" i="210"/>
  <c r="Q1416" i="210"/>
  <c r="D1417" i="210"/>
  <c r="K1417" i="210"/>
  <c r="L1417" i="210"/>
  <c r="N1417" i="210"/>
  <c r="P1417" i="210"/>
  <c r="Q1417" i="210"/>
  <c r="D1418" i="210"/>
  <c r="K1418" i="210"/>
  <c r="L1418" i="210"/>
  <c r="N1418" i="210"/>
  <c r="P1418" i="210"/>
  <c r="Q1418" i="210"/>
  <c r="C1421" i="210"/>
  <c r="E1421" i="210"/>
  <c r="E1422" i="210" s="1"/>
  <c r="E1423" i="210" s="1"/>
  <c r="E1425" i="210" s="1"/>
  <c r="E1427" i="210" s="1"/>
  <c r="E1429" i="210" s="1"/>
  <c r="E1431" i="210" s="1"/>
  <c r="E1433" i="210" s="1"/>
  <c r="E1435" i="210" s="1"/>
  <c r="E1437" i="210" s="1"/>
  <c r="E1439" i="210" s="1"/>
  <c r="E1441" i="210" s="1"/>
  <c r="E1443" i="210" s="1"/>
  <c r="E1445" i="210" s="1"/>
  <c r="E1447" i="210" s="1"/>
  <c r="H1421" i="210"/>
  <c r="I1421" i="210"/>
  <c r="J1421" i="210"/>
  <c r="C1422" i="210"/>
  <c r="I1422" i="210"/>
  <c r="C1423" i="210"/>
  <c r="I1423" i="210"/>
  <c r="D1425" i="210"/>
  <c r="K1425" i="210"/>
  <c r="L1425" i="210"/>
  <c r="N1425" i="210"/>
  <c r="P1425" i="210"/>
  <c r="Q1425" i="210"/>
  <c r="D1426" i="210"/>
  <c r="E1426" i="210"/>
  <c r="E1428" i="210" s="1"/>
  <c r="E1430" i="210" s="1"/>
  <c r="E1432" i="210" s="1"/>
  <c r="E1434" i="210" s="1"/>
  <c r="E1436" i="210" s="1"/>
  <c r="E1438" i="210" s="1"/>
  <c r="E1440" i="210" s="1"/>
  <c r="E1442" i="210" s="1"/>
  <c r="E1444" i="210" s="1"/>
  <c r="E1446" i="210" s="1"/>
  <c r="K1426" i="210"/>
  <c r="L1426" i="210"/>
  <c r="N1426" i="210"/>
  <c r="P1426" i="210"/>
  <c r="Q1426" i="210"/>
  <c r="D1427" i="210"/>
  <c r="K1427" i="210"/>
  <c r="L1427" i="210"/>
  <c r="N1427" i="210"/>
  <c r="P1427" i="210"/>
  <c r="Q1427" i="210"/>
  <c r="D1428" i="210"/>
  <c r="K1428" i="210"/>
  <c r="L1428" i="210"/>
  <c r="N1428" i="210"/>
  <c r="P1428" i="210"/>
  <c r="Q1428" i="210"/>
  <c r="D1429" i="210"/>
  <c r="K1429" i="210"/>
  <c r="L1429" i="210"/>
  <c r="N1429" i="210"/>
  <c r="P1429" i="210"/>
  <c r="Q1429" i="210"/>
  <c r="D1430" i="210"/>
  <c r="K1430" i="210"/>
  <c r="L1430" i="210"/>
  <c r="N1430" i="210"/>
  <c r="P1430" i="210"/>
  <c r="Q1430" i="210"/>
  <c r="D1431" i="210"/>
  <c r="K1431" i="210"/>
  <c r="L1431" i="210"/>
  <c r="N1431" i="210"/>
  <c r="P1431" i="210"/>
  <c r="Q1431" i="210"/>
  <c r="D1432" i="210"/>
  <c r="K1432" i="210"/>
  <c r="L1432" i="210"/>
  <c r="N1432" i="210"/>
  <c r="P1432" i="210"/>
  <c r="Q1432" i="210"/>
  <c r="D1433" i="210"/>
  <c r="K1433" i="210"/>
  <c r="L1433" i="210"/>
  <c r="N1433" i="210"/>
  <c r="P1433" i="210"/>
  <c r="Q1433" i="210"/>
  <c r="D1434" i="210"/>
  <c r="K1434" i="210"/>
  <c r="L1434" i="210"/>
  <c r="N1434" i="210"/>
  <c r="P1434" i="210"/>
  <c r="Q1434" i="210"/>
  <c r="D1435" i="210"/>
  <c r="K1435" i="210"/>
  <c r="L1435" i="210"/>
  <c r="N1435" i="210"/>
  <c r="P1435" i="210"/>
  <c r="Q1435" i="210"/>
  <c r="D1436" i="210"/>
  <c r="K1436" i="210"/>
  <c r="L1436" i="210"/>
  <c r="N1436" i="210"/>
  <c r="P1436" i="210"/>
  <c r="Q1436" i="210"/>
  <c r="D1437" i="210"/>
  <c r="K1437" i="210"/>
  <c r="L1437" i="210"/>
  <c r="N1437" i="210"/>
  <c r="P1437" i="210"/>
  <c r="Q1437" i="210"/>
  <c r="D1438" i="210"/>
  <c r="K1438" i="210"/>
  <c r="L1438" i="210"/>
  <c r="N1438" i="210"/>
  <c r="P1438" i="210"/>
  <c r="Q1438" i="210"/>
  <c r="D1439" i="210"/>
  <c r="K1439" i="210"/>
  <c r="L1439" i="210"/>
  <c r="N1439" i="210"/>
  <c r="P1439" i="210"/>
  <c r="Q1439" i="210"/>
  <c r="D1440" i="210"/>
  <c r="K1440" i="210"/>
  <c r="L1440" i="210"/>
  <c r="N1440" i="210"/>
  <c r="P1440" i="210"/>
  <c r="Q1440" i="210"/>
  <c r="D1441" i="210"/>
  <c r="K1441" i="210"/>
  <c r="L1441" i="210"/>
  <c r="N1441" i="210"/>
  <c r="P1441" i="210"/>
  <c r="Q1441" i="210"/>
  <c r="D1442" i="210"/>
  <c r="K1442" i="210"/>
  <c r="L1442" i="210"/>
  <c r="N1442" i="210"/>
  <c r="P1442" i="210"/>
  <c r="Q1442" i="210"/>
  <c r="D1443" i="210"/>
  <c r="K1443" i="210"/>
  <c r="L1443" i="210"/>
  <c r="N1443" i="210"/>
  <c r="P1443" i="210"/>
  <c r="Q1443" i="210"/>
  <c r="D1444" i="210"/>
  <c r="K1444" i="210"/>
  <c r="L1444" i="210"/>
  <c r="N1444" i="210"/>
  <c r="P1444" i="210"/>
  <c r="Q1444" i="210"/>
  <c r="D1445" i="210"/>
  <c r="K1445" i="210"/>
  <c r="L1445" i="210"/>
  <c r="N1445" i="210"/>
  <c r="P1445" i="210"/>
  <c r="Q1445" i="210"/>
  <c r="D1446" i="210"/>
  <c r="K1446" i="210"/>
  <c r="L1446" i="210"/>
  <c r="N1446" i="210"/>
  <c r="P1446" i="210"/>
  <c r="Q1446" i="210"/>
  <c r="D1447" i="210"/>
  <c r="K1447" i="210"/>
  <c r="L1447" i="210"/>
  <c r="N1447" i="210"/>
  <c r="P1447" i="210"/>
  <c r="Q1447" i="210"/>
  <c r="C1450" i="210"/>
  <c r="C1451" i="210" s="1"/>
  <c r="C1452" i="210" s="1"/>
  <c r="H1450" i="210"/>
  <c r="E1450" i="210" s="1"/>
  <c r="E1451" i="210" s="1"/>
  <c r="E1452" i="210" s="1"/>
  <c r="E1454" i="210" s="1"/>
  <c r="E1456" i="210" s="1"/>
  <c r="E1458" i="210" s="1"/>
  <c r="E1460" i="210" s="1"/>
  <c r="E1462" i="210" s="1"/>
  <c r="E1464" i="210" s="1"/>
  <c r="E1466" i="210" s="1"/>
  <c r="E1468" i="210" s="1"/>
  <c r="E1470" i="210" s="1"/>
  <c r="E1472" i="210" s="1"/>
  <c r="I1450" i="210"/>
  <c r="J1450" i="210"/>
  <c r="I1451" i="210"/>
  <c r="I1452" i="210"/>
  <c r="D1454" i="210"/>
  <c r="K1454" i="210"/>
  <c r="L1454" i="210"/>
  <c r="N1454" i="210"/>
  <c r="P1454" i="210"/>
  <c r="Q1454" i="210"/>
  <c r="D1455" i="210"/>
  <c r="E1455" i="210"/>
  <c r="K1455" i="210"/>
  <c r="L1455" i="210"/>
  <c r="N1455" i="210"/>
  <c r="P1455" i="210"/>
  <c r="Q1455" i="210"/>
  <c r="D1456" i="210"/>
  <c r="K1456" i="210"/>
  <c r="L1456" i="210"/>
  <c r="N1456" i="210"/>
  <c r="P1456" i="210"/>
  <c r="Q1456" i="210"/>
  <c r="D1457" i="210"/>
  <c r="E1457" i="210"/>
  <c r="E1459" i="210" s="1"/>
  <c r="E1461" i="210" s="1"/>
  <c r="E1463" i="210" s="1"/>
  <c r="E1465" i="210" s="1"/>
  <c r="E1467" i="210" s="1"/>
  <c r="E1469" i="210" s="1"/>
  <c r="E1471" i="210" s="1"/>
  <c r="K1457" i="210"/>
  <c r="L1457" i="210"/>
  <c r="N1457" i="210"/>
  <c r="P1457" i="210"/>
  <c r="Q1457" i="210"/>
  <c r="D1458" i="210"/>
  <c r="K1458" i="210"/>
  <c r="L1458" i="210"/>
  <c r="N1458" i="210"/>
  <c r="P1458" i="210"/>
  <c r="Q1458" i="210"/>
  <c r="D1459" i="210"/>
  <c r="K1459" i="210"/>
  <c r="L1459" i="210"/>
  <c r="N1459" i="210"/>
  <c r="P1459" i="210"/>
  <c r="Q1459" i="210"/>
  <c r="D1460" i="210"/>
  <c r="K1460" i="210"/>
  <c r="L1460" i="210"/>
  <c r="N1460" i="210"/>
  <c r="P1460" i="210"/>
  <c r="Q1460" i="210"/>
  <c r="D1461" i="210"/>
  <c r="K1461" i="210"/>
  <c r="L1461" i="210"/>
  <c r="N1461" i="210"/>
  <c r="P1461" i="210"/>
  <c r="Q1461" i="210"/>
  <c r="D1462" i="210"/>
  <c r="K1462" i="210"/>
  <c r="L1462" i="210"/>
  <c r="N1462" i="210"/>
  <c r="P1462" i="210"/>
  <c r="Q1462" i="210"/>
  <c r="D1463" i="210"/>
  <c r="K1463" i="210"/>
  <c r="L1463" i="210"/>
  <c r="N1463" i="210"/>
  <c r="P1463" i="210"/>
  <c r="Q1463" i="210"/>
  <c r="D1464" i="210"/>
  <c r="K1464" i="210"/>
  <c r="L1464" i="210"/>
  <c r="N1464" i="210"/>
  <c r="P1464" i="210"/>
  <c r="Q1464" i="210"/>
  <c r="D1465" i="210"/>
  <c r="K1465" i="210"/>
  <c r="L1465" i="210"/>
  <c r="N1465" i="210"/>
  <c r="P1465" i="210"/>
  <c r="Q1465" i="210"/>
  <c r="D1466" i="210"/>
  <c r="K1466" i="210"/>
  <c r="L1466" i="210"/>
  <c r="N1466" i="210"/>
  <c r="P1466" i="210"/>
  <c r="Q1466" i="210"/>
  <c r="D1467" i="210"/>
  <c r="K1467" i="210"/>
  <c r="L1467" i="210"/>
  <c r="N1467" i="210"/>
  <c r="P1467" i="210"/>
  <c r="Q1467" i="210"/>
  <c r="D1468" i="210"/>
  <c r="K1468" i="210"/>
  <c r="L1468" i="210"/>
  <c r="N1468" i="210"/>
  <c r="P1468" i="210"/>
  <c r="Q1468" i="210"/>
  <c r="D1469" i="210"/>
  <c r="K1469" i="210"/>
  <c r="L1469" i="210"/>
  <c r="N1469" i="210"/>
  <c r="P1469" i="210"/>
  <c r="Q1469" i="210"/>
  <c r="D1470" i="210"/>
  <c r="K1470" i="210"/>
  <c r="L1470" i="210"/>
  <c r="N1470" i="210"/>
  <c r="P1470" i="210"/>
  <c r="Q1470" i="210"/>
  <c r="D1471" i="210"/>
  <c r="K1471" i="210"/>
  <c r="L1471" i="210"/>
  <c r="N1471" i="210"/>
  <c r="P1471" i="210"/>
  <c r="Q1471" i="210"/>
  <c r="D1472" i="210"/>
  <c r="K1472" i="210"/>
  <c r="L1472" i="210"/>
  <c r="N1472" i="210"/>
  <c r="P1472" i="210"/>
  <c r="Q1472" i="210"/>
  <c r="C1475" i="210"/>
  <c r="H1475" i="210"/>
  <c r="E1475" i="210" s="1"/>
  <c r="E1476" i="210" s="1"/>
  <c r="E1477" i="210" s="1"/>
  <c r="E1479" i="210" s="1"/>
  <c r="E1481" i="210" s="1"/>
  <c r="I1475" i="210"/>
  <c r="J1475" i="210"/>
  <c r="C1476" i="210"/>
  <c r="I1476" i="210"/>
  <c r="C1477" i="210"/>
  <c r="I1477" i="210"/>
  <c r="D1479" i="210"/>
  <c r="K1479" i="210"/>
  <c r="L1479" i="210"/>
  <c r="N1479" i="210"/>
  <c r="P1479" i="210"/>
  <c r="Q1479" i="210"/>
  <c r="D1480" i="210"/>
  <c r="E1480" i="210"/>
  <c r="E1482" i="210" s="1"/>
  <c r="E1484" i="210" s="1"/>
  <c r="E1486" i="210" s="1"/>
  <c r="E1488" i="210" s="1"/>
  <c r="E1490" i="210" s="1"/>
  <c r="E1492" i="210" s="1"/>
  <c r="E1494" i="210" s="1"/>
  <c r="E1496" i="210" s="1"/>
  <c r="E1498" i="210" s="1"/>
  <c r="E1500" i="210" s="1"/>
  <c r="E1502" i="210" s="1"/>
  <c r="E1504" i="210" s="1"/>
  <c r="E1506" i="210" s="1"/>
  <c r="E1508" i="210" s="1"/>
  <c r="E1510" i="210" s="1"/>
  <c r="E1512" i="210" s="1"/>
  <c r="E1514" i="210" s="1"/>
  <c r="E1516" i="210" s="1"/>
  <c r="E1518" i="210" s="1"/>
  <c r="E1520" i="210" s="1"/>
  <c r="E1522" i="210" s="1"/>
  <c r="E1524" i="210" s="1"/>
  <c r="E1526" i="210" s="1"/>
  <c r="E1528" i="210" s="1"/>
  <c r="E1530" i="210" s="1"/>
  <c r="E1532" i="210" s="1"/>
  <c r="E1534" i="210" s="1"/>
  <c r="E1536" i="210" s="1"/>
  <c r="E1538" i="210" s="1"/>
  <c r="E1540" i="210" s="1"/>
  <c r="E1542" i="210" s="1"/>
  <c r="K1480" i="210"/>
  <c r="L1480" i="210"/>
  <c r="N1480" i="210"/>
  <c r="P1480" i="210"/>
  <c r="Q1480" i="210"/>
  <c r="D1481" i="210"/>
  <c r="K1481" i="210"/>
  <c r="L1481" i="210"/>
  <c r="N1481" i="210"/>
  <c r="P1481" i="210"/>
  <c r="Q1481" i="210"/>
  <c r="D1482" i="210"/>
  <c r="K1482" i="210"/>
  <c r="L1482" i="210"/>
  <c r="N1482" i="210"/>
  <c r="P1482" i="210"/>
  <c r="Q1482" i="210"/>
  <c r="D1483" i="210"/>
  <c r="E1483" i="210"/>
  <c r="E1485" i="210" s="1"/>
  <c r="E1487" i="210" s="1"/>
  <c r="E1489" i="210" s="1"/>
  <c r="E1491" i="210" s="1"/>
  <c r="E1493" i="210" s="1"/>
  <c r="E1495" i="210" s="1"/>
  <c r="E1497" i="210" s="1"/>
  <c r="E1499" i="210" s="1"/>
  <c r="E1501" i="210" s="1"/>
  <c r="E1503" i="210" s="1"/>
  <c r="E1505" i="210" s="1"/>
  <c r="E1507" i="210" s="1"/>
  <c r="E1509" i="210" s="1"/>
  <c r="E1511" i="210" s="1"/>
  <c r="E1513" i="210" s="1"/>
  <c r="E1515" i="210" s="1"/>
  <c r="E1517" i="210" s="1"/>
  <c r="E1519" i="210" s="1"/>
  <c r="E1521" i="210" s="1"/>
  <c r="E1523" i="210" s="1"/>
  <c r="E1525" i="210" s="1"/>
  <c r="E1527" i="210" s="1"/>
  <c r="E1529" i="210" s="1"/>
  <c r="E1531" i="210" s="1"/>
  <c r="E1533" i="210" s="1"/>
  <c r="E1535" i="210" s="1"/>
  <c r="E1537" i="210" s="1"/>
  <c r="E1539" i="210" s="1"/>
  <c r="E1541" i="210" s="1"/>
  <c r="K1483" i="210"/>
  <c r="L1483" i="210"/>
  <c r="N1483" i="210"/>
  <c r="P1483" i="210"/>
  <c r="Q1483" i="210"/>
  <c r="D1484" i="210"/>
  <c r="K1484" i="210"/>
  <c r="L1484" i="210"/>
  <c r="N1484" i="210"/>
  <c r="P1484" i="210"/>
  <c r="Q1484" i="210"/>
  <c r="D1485" i="210"/>
  <c r="K1485" i="210"/>
  <c r="L1485" i="210"/>
  <c r="N1485" i="210"/>
  <c r="P1485" i="210"/>
  <c r="Q1485" i="210"/>
  <c r="D1486" i="210"/>
  <c r="K1486" i="210"/>
  <c r="L1486" i="210"/>
  <c r="N1486" i="210"/>
  <c r="P1486" i="210"/>
  <c r="Q1486" i="210"/>
  <c r="D1487" i="210"/>
  <c r="K1487" i="210"/>
  <c r="L1487" i="210"/>
  <c r="N1487" i="210"/>
  <c r="P1487" i="210"/>
  <c r="Q1487" i="210"/>
  <c r="D1488" i="210"/>
  <c r="K1488" i="210"/>
  <c r="L1488" i="210"/>
  <c r="N1488" i="210"/>
  <c r="P1488" i="210"/>
  <c r="Q1488" i="210"/>
  <c r="D1489" i="210"/>
  <c r="K1489" i="210"/>
  <c r="L1489" i="210"/>
  <c r="N1489" i="210"/>
  <c r="P1489" i="210"/>
  <c r="Q1489" i="210"/>
  <c r="D1490" i="210"/>
  <c r="K1490" i="210"/>
  <c r="L1490" i="210"/>
  <c r="N1490" i="210"/>
  <c r="P1490" i="210"/>
  <c r="Q1490" i="210"/>
  <c r="D1491" i="210"/>
  <c r="K1491" i="210"/>
  <c r="L1491" i="210"/>
  <c r="N1491" i="210"/>
  <c r="P1491" i="210"/>
  <c r="Q1491" i="210"/>
  <c r="D1492" i="210"/>
  <c r="K1492" i="210"/>
  <c r="L1492" i="210"/>
  <c r="N1492" i="210"/>
  <c r="P1492" i="210"/>
  <c r="Q1492" i="210"/>
  <c r="D1493" i="210"/>
  <c r="K1493" i="210"/>
  <c r="L1493" i="210"/>
  <c r="N1493" i="210"/>
  <c r="P1493" i="210"/>
  <c r="Q1493" i="210"/>
  <c r="D1494" i="210"/>
  <c r="K1494" i="210"/>
  <c r="L1494" i="210"/>
  <c r="N1494" i="210"/>
  <c r="P1494" i="210"/>
  <c r="Q1494" i="210"/>
  <c r="D1495" i="210"/>
  <c r="K1495" i="210"/>
  <c r="L1495" i="210"/>
  <c r="N1495" i="210"/>
  <c r="P1495" i="210"/>
  <c r="Q1495" i="210"/>
  <c r="D1496" i="210"/>
  <c r="K1496" i="210"/>
  <c r="L1496" i="210"/>
  <c r="N1496" i="210"/>
  <c r="P1496" i="210"/>
  <c r="Q1496" i="210"/>
  <c r="D1497" i="210"/>
  <c r="K1497" i="210"/>
  <c r="L1497" i="210"/>
  <c r="N1497" i="210"/>
  <c r="P1497" i="210"/>
  <c r="Q1497" i="210"/>
  <c r="D1498" i="210"/>
  <c r="K1498" i="210"/>
  <c r="L1498" i="210"/>
  <c r="N1498" i="210"/>
  <c r="P1498" i="210"/>
  <c r="Q1498" i="210"/>
  <c r="D1499" i="210"/>
  <c r="K1499" i="210"/>
  <c r="L1499" i="210"/>
  <c r="N1499" i="210"/>
  <c r="P1499" i="210"/>
  <c r="Q1499" i="210"/>
  <c r="D1500" i="210"/>
  <c r="K1500" i="210"/>
  <c r="L1500" i="210"/>
  <c r="N1500" i="210"/>
  <c r="P1500" i="210"/>
  <c r="Q1500" i="210"/>
  <c r="D1501" i="210"/>
  <c r="K1501" i="210"/>
  <c r="L1501" i="210"/>
  <c r="N1501" i="210"/>
  <c r="P1501" i="210"/>
  <c r="Q1501" i="210"/>
  <c r="D1502" i="210"/>
  <c r="K1502" i="210"/>
  <c r="L1502" i="210"/>
  <c r="N1502" i="210"/>
  <c r="P1502" i="210"/>
  <c r="Q1502" i="210"/>
  <c r="D1503" i="210"/>
  <c r="K1503" i="210"/>
  <c r="L1503" i="210"/>
  <c r="N1503" i="210"/>
  <c r="P1503" i="210"/>
  <c r="Q1503" i="210"/>
  <c r="D1504" i="210"/>
  <c r="K1504" i="210"/>
  <c r="L1504" i="210"/>
  <c r="N1504" i="210"/>
  <c r="P1504" i="210"/>
  <c r="Q1504" i="210"/>
  <c r="D1505" i="210"/>
  <c r="K1505" i="210"/>
  <c r="L1505" i="210"/>
  <c r="N1505" i="210"/>
  <c r="P1505" i="210"/>
  <c r="Q1505" i="210"/>
  <c r="D1506" i="210"/>
  <c r="K1506" i="210"/>
  <c r="L1506" i="210"/>
  <c r="N1506" i="210"/>
  <c r="P1506" i="210"/>
  <c r="Q1506" i="210"/>
  <c r="D1507" i="210"/>
  <c r="K1507" i="210"/>
  <c r="L1507" i="210"/>
  <c r="N1507" i="210"/>
  <c r="P1507" i="210"/>
  <c r="Q1507" i="210"/>
  <c r="D1508" i="210"/>
  <c r="K1508" i="210"/>
  <c r="L1508" i="210"/>
  <c r="N1508" i="210"/>
  <c r="P1508" i="210"/>
  <c r="Q1508" i="210"/>
  <c r="D1509" i="210"/>
  <c r="K1509" i="210"/>
  <c r="L1509" i="210"/>
  <c r="N1509" i="210"/>
  <c r="P1509" i="210"/>
  <c r="Q1509" i="210"/>
  <c r="D1510" i="210"/>
  <c r="K1510" i="210"/>
  <c r="L1510" i="210"/>
  <c r="N1510" i="210"/>
  <c r="P1510" i="210"/>
  <c r="Q1510" i="210"/>
  <c r="D1511" i="210"/>
  <c r="K1511" i="210"/>
  <c r="L1511" i="210"/>
  <c r="N1511" i="210"/>
  <c r="P1511" i="210"/>
  <c r="Q1511" i="210"/>
  <c r="D1512" i="210"/>
  <c r="K1512" i="210"/>
  <c r="L1512" i="210"/>
  <c r="N1512" i="210"/>
  <c r="P1512" i="210"/>
  <c r="Q1512" i="210"/>
  <c r="D1513" i="210"/>
  <c r="K1513" i="210"/>
  <c r="L1513" i="210"/>
  <c r="N1513" i="210"/>
  <c r="P1513" i="210"/>
  <c r="Q1513" i="210"/>
  <c r="D1514" i="210"/>
  <c r="K1514" i="210"/>
  <c r="L1514" i="210"/>
  <c r="N1514" i="210"/>
  <c r="P1514" i="210"/>
  <c r="Q1514" i="210"/>
  <c r="D1515" i="210"/>
  <c r="K1515" i="210"/>
  <c r="L1515" i="210"/>
  <c r="N1515" i="210"/>
  <c r="P1515" i="210"/>
  <c r="Q1515" i="210"/>
  <c r="D1516" i="210"/>
  <c r="K1516" i="210"/>
  <c r="L1516" i="210"/>
  <c r="N1516" i="210"/>
  <c r="P1516" i="210"/>
  <c r="Q1516" i="210"/>
  <c r="D1517" i="210"/>
  <c r="K1517" i="210"/>
  <c r="L1517" i="210"/>
  <c r="N1517" i="210"/>
  <c r="P1517" i="210"/>
  <c r="Q1517" i="210"/>
  <c r="D1518" i="210"/>
  <c r="K1518" i="210"/>
  <c r="L1518" i="210"/>
  <c r="N1518" i="210"/>
  <c r="P1518" i="210"/>
  <c r="Q1518" i="210"/>
  <c r="D1519" i="210"/>
  <c r="K1519" i="210"/>
  <c r="L1519" i="210"/>
  <c r="N1519" i="210"/>
  <c r="P1519" i="210"/>
  <c r="Q1519" i="210"/>
  <c r="D1520" i="210"/>
  <c r="K1520" i="210"/>
  <c r="L1520" i="210"/>
  <c r="N1520" i="210"/>
  <c r="P1520" i="210"/>
  <c r="Q1520" i="210"/>
  <c r="D1521" i="210"/>
  <c r="K1521" i="210"/>
  <c r="L1521" i="210"/>
  <c r="N1521" i="210"/>
  <c r="P1521" i="210"/>
  <c r="Q1521" i="210"/>
  <c r="D1522" i="210"/>
  <c r="K1522" i="210"/>
  <c r="L1522" i="210"/>
  <c r="N1522" i="210"/>
  <c r="P1522" i="210"/>
  <c r="Q1522" i="210"/>
  <c r="D1523" i="210"/>
  <c r="K1523" i="210"/>
  <c r="L1523" i="210"/>
  <c r="N1523" i="210"/>
  <c r="P1523" i="210"/>
  <c r="Q1523" i="210"/>
  <c r="D1524" i="210"/>
  <c r="K1524" i="210"/>
  <c r="L1524" i="210"/>
  <c r="N1524" i="210"/>
  <c r="P1524" i="210"/>
  <c r="Q1524" i="210"/>
  <c r="D1525" i="210"/>
  <c r="K1525" i="210"/>
  <c r="L1525" i="210"/>
  <c r="N1525" i="210"/>
  <c r="P1525" i="210"/>
  <c r="Q1525" i="210"/>
  <c r="D1526" i="210"/>
  <c r="K1526" i="210"/>
  <c r="L1526" i="210"/>
  <c r="N1526" i="210"/>
  <c r="P1526" i="210"/>
  <c r="Q1526" i="210"/>
  <c r="D1527" i="210"/>
  <c r="K1527" i="210"/>
  <c r="L1527" i="210"/>
  <c r="N1527" i="210"/>
  <c r="P1527" i="210"/>
  <c r="Q1527" i="210"/>
  <c r="D1528" i="210"/>
  <c r="K1528" i="210"/>
  <c r="L1528" i="210"/>
  <c r="N1528" i="210"/>
  <c r="P1528" i="210"/>
  <c r="Q1528" i="210"/>
  <c r="D1529" i="210"/>
  <c r="K1529" i="210"/>
  <c r="L1529" i="210"/>
  <c r="N1529" i="210"/>
  <c r="P1529" i="210"/>
  <c r="Q1529" i="210"/>
  <c r="D1530" i="210"/>
  <c r="K1530" i="210"/>
  <c r="L1530" i="210"/>
  <c r="N1530" i="210"/>
  <c r="P1530" i="210"/>
  <c r="Q1530" i="210"/>
  <c r="D1531" i="210"/>
  <c r="K1531" i="210"/>
  <c r="L1531" i="210"/>
  <c r="N1531" i="210"/>
  <c r="P1531" i="210"/>
  <c r="Q1531" i="210"/>
  <c r="D1532" i="210"/>
  <c r="K1532" i="210"/>
  <c r="L1532" i="210"/>
  <c r="N1532" i="210"/>
  <c r="P1532" i="210"/>
  <c r="Q1532" i="210"/>
  <c r="D1533" i="210"/>
  <c r="K1533" i="210"/>
  <c r="L1533" i="210"/>
  <c r="N1533" i="210"/>
  <c r="P1533" i="210"/>
  <c r="Q1533" i="210"/>
  <c r="D1534" i="210"/>
  <c r="K1534" i="210"/>
  <c r="L1534" i="210"/>
  <c r="N1534" i="210"/>
  <c r="P1534" i="210"/>
  <c r="Q1534" i="210"/>
  <c r="D1535" i="210"/>
  <c r="K1535" i="210"/>
  <c r="L1535" i="210"/>
  <c r="N1535" i="210"/>
  <c r="P1535" i="210"/>
  <c r="Q1535" i="210"/>
  <c r="D1536" i="210"/>
  <c r="K1536" i="210"/>
  <c r="L1536" i="210"/>
  <c r="N1536" i="210"/>
  <c r="P1536" i="210"/>
  <c r="Q1536" i="210"/>
  <c r="D1537" i="210"/>
  <c r="K1537" i="210"/>
  <c r="L1537" i="210"/>
  <c r="N1537" i="210"/>
  <c r="P1537" i="210"/>
  <c r="Q1537" i="210"/>
  <c r="D1538" i="210"/>
  <c r="K1538" i="210"/>
  <c r="L1538" i="210"/>
  <c r="N1538" i="210"/>
  <c r="P1538" i="210"/>
  <c r="Q1538" i="210"/>
  <c r="D1539" i="210"/>
  <c r="K1539" i="210"/>
  <c r="L1539" i="210"/>
  <c r="N1539" i="210"/>
  <c r="P1539" i="210"/>
  <c r="Q1539" i="210"/>
  <c r="D1540" i="210"/>
  <c r="K1540" i="210"/>
  <c r="L1540" i="210"/>
  <c r="N1540" i="210"/>
  <c r="P1540" i="210"/>
  <c r="Q1540" i="210"/>
  <c r="D1541" i="210"/>
  <c r="K1541" i="210"/>
  <c r="L1541" i="210"/>
  <c r="N1541" i="210"/>
  <c r="P1541" i="210"/>
  <c r="Q1541" i="210"/>
  <c r="D1542" i="210"/>
  <c r="K1542" i="210"/>
  <c r="L1542" i="210"/>
  <c r="N1542" i="210"/>
  <c r="P1542" i="210"/>
  <c r="Q1542" i="210"/>
  <c r="C1545" i="210"/>
  <c r="C1546" i="210" s="1"/>
  <c r="C1547" i="210" s="1"/>
  <c r="H1545" i="210"/>
  <c r="E1545" i="210" s="1"/>
  <c r="E1546" i="210" s="1"/>
  <c r="E1547" i="210" s="1"/>
  <c r="E1549" i="210" s="1"/>
  <c r="E1551" i="210" s="1"/>
  <c r="E1553" i="210" s="1"/>
  <c r="E1555" i="210" s="1"/>
  <c r="E1557" i="210" s="1"/>
  <c r="E1559" i="210" s="1"/>
  <c r="E1561" i="210" s="1"/>
  <c r="E1563" i="210" s="1"/>
  <c r="E1565" i="210" s="1"/>
  <c r="E1567" i="210" s="1"/>
  <c r="E1569" i="210" s="1"/>
  <c r="E1571" i="210" s="1"/>
  <c r="E1573" i="210" s="1"/>
  <c r="E1575" i="210" s="1"/>
  <c r="E1577" i="210" s="1"/>
  <c r="E1579" i="210" s="1"/>
  <c r="E1581" i="210" s="1"/>
  <c r="E1583" i="210" s="1"/>
  <c r="E1585" i="210" s="1"/>
  <c r="E1587" i="210" s="1"/>
  <c r="E1589" i="210" s="1"/>
  <c r="E1591" i="210" s="1"/>
  <c r="E1593" i="210" s="1"/>
  <c r="E1595" i="210" s="1"/>
  <c r="E1597" i="210" s="1"/>
  <c r="E1599" i="210" s="1"/>
  <c r="I1545" i="210"/>
  <c r="J1545" i="210"/>
  <c r="I1546" i="210"/>
  <c r="I1547" i="210"/>
  <c r="D1549" i="210"/>
  <c r="K1549" i="210"/>
  <c r="L1549" i="210"/>
  <c r="N1549" i="210"/>
  <c r="P1549" i="210"/>
  <c r="Q1549" i="210"/>
  <c r="D1550" i="210"/>
  <c r="E1550" i="210"/>
  <c r="E1552" i="210" s="1"/>
  <c r="E1554" i="210" s="1"/>
  <c r="E1556" i="210" s="1"/>
  <c r="E1558" i="210" s="1"/>
  <c r="E1560" i="210" s="1"/>
  <c r="E1562" i="210" s="1"/>
  <c r="E1564" i="210" s="1"/>
  <c r="E1566" i="210" s="1"/>
  <c r="E1568" i="210" s="1"/>
  <c r="E1570" i="210" s="1"/>
  <c r="E1572" i="210" s="1"/>
  <c r="E1574" i="210" s="1"/>
  <c r="E1576" i="210" s="1"/>
  <c r="E1578" i="210" s="1"/>
  <c r="E1580" i="210" s="1"/>
  <c r="E1582" i="210" s="1"/>
  <c r="E1584" i="210" s="1"/>
  <c r="E1586" i="210" s="1"/>
  <c r="E1588" i="210" s="1"/>
  <c r="E1590" i="210" s="1"/>
  <c r="E1592" i="210" s="1"/>
  <c r="E1594" i="210" s="1"/>
  <c r="E1596" i="210" s="1"/>
  <c r="E1598" i="210" s="1"/>
  <c r="E1600" i="210" s="1"/>
  <c r="K1550" i="210"/>
  <c r="L1550" i="210"/>
  <c r="N1550" i="210"/>
  <c r="P1550" i="210"/>
  <c r="Q1550" i="210"/>
  <c r="D1551" i="210"/>
  <c r="K1551" i="210"/>
  <c r="L1551" i="210"/>
  <c r="N1551" i="210"/>
  <c r="P1551" i="210"/>
  <c r="Q1551" i="210"/>
  <c r="D1552" i="210"/>
  <c r="K1552" i="210"/>
  <c r="L1552" i="210"/>
  <c r="N1552" i="210"/>
  <c r="P1552" i="210"/>
  <c r="Q1552" i="210"/>
  <c r="D1553" i="210"/>
  <c r="K1553" i="210"/>
  <c r="L1553" i="210"/>
  <c r="N1553" i="210"/>
  <c r="P1553" i="210"/>
  <c r="Q1553" i="210"/>
  <c r="D1554" i="210"/>
  <c r="K1554" i="210"/>
  <c r="L1554" i="210"/>
  <c r="N1554" i="210"/>
  <c r="P1554" i="210"/>
  <c r="Q1554" i="210"/>
  <c r="D1555" i="210"/>
  <c r="K1555" i="210"/>
  <c r="L1555" i="210"/>
  <c r="N1555" i="210"/>
  <c r="P1555" i="210"/>
  <c r="Q1555" i="210"/>
  <c r="D1556" i="210"/>
  <c r="K1556" i="210"/>
  <c r="L1556" i="210"/>
  <c r="N1556" i="210"/>
  <c r="P1556" i="210"/>
  <c r="Q1556" i="210"/>
  <c r="D1557" i="210"/>
  <c r="K1557" i="210"/>
  <c r="L1557" i="210"/>
  <c r="N1557" i="210"/>
  <c r="P1557" i="210"/>
  <c r="Q1557" i="210"/>
  <c r="D1558" i="210"/>
  <c r="K1558" i="210"/>
  <c r="L1558" i="210"/>
  <c r="N1558" i="210"/>
  <c r="P1558" i="210"/>
  <c r="Q1558" i="210"/>
  <c r="D1559" i="210"/>
  <c r="K1559" i="210"/>
  <c r="L1559" i="210"/>
  <c r="N1559" i="210"/>
  <c r="P1559" i="210"/>
  <c r="Q1559" i="210"/>
  <c r="D1560" i="210"/>
  <c r="K1560" i="210"/>
  <c r="L1560" i="210"/>
  <c r="N1560" i="210"/>
  <c r="P1560" i="210"/>
  <c r="Q1560" i="210"/>
  <c r="D1561" i="210"/>
  <c r="K1561" i="210"/>
  <c r="L1561" i="210"/>
  <c r="N1561" i="210"/>
  <c r="P1561" i="210"/>
  <c r="Q1561" i="210"/>
  <c r="D1562" i="210"/>
  <c r="K1562" i="210"/>
  <c r="L1562" i="210"/>
  <c r="N1562" i="210"/>
  <c r="P1562" i="210"/>
  <c r="Q1562" i="210"/>
  <c r="D1563" i="210"/>
  <c r="K1563" i="210"/>
  <c r="L1563" i="210"/>
  <c r="N1563" i="210"/>
  <c r="P1563" i="210"/>
  <c r="Q1563" i="210"/>
  <c r="D1564" i="210"/>
  <c r="K1564" i="210"/>
  <c r="L1564" i="210"/>
  <c r="N1564" i="210"/>
  <c r="P1564" i="210"/>
  <c r="Q1564" i="210"/>
  <c r="D1565" i="210"/>
  <c r="K1565" i="210"/>
  <c r="L1565" i="210"/>
  <c r="N1565" i="210"/>
  <c r="P1565" i="210"/>
  <c r="Q1565" i="210"/>
  <c r="D1566" i="210"/>
  <c r="K1566" i="210"/>
  <c r="L1566" i="210"/>
  <c r="N1566" i="210"/>
  <c r="P1566" i="210"/>
  <c r="Q1566" i="210"/>
  <c r="D1567" i="210"/>
  <c r="K1567" i="210"/>
  <c r="L1567" i="210"/>
  <c r="N1567" i="210"/>
  <c r="P1567" i="210"/>
  <c r="Q1567" i="210"/>
  <c r="D1568" i="210"/>
  <c r="K1568" i="210"/>
  <c r="L1568" i="210"/>
  <c r="N1568" i="210"/>
  <c r="P1568" i="210"/>
  <c r="Q1568" i="210"/>
  <c r="D1569" i="210"/>
  <c r="K1569" i="210"/>
  <c r="L1569" i="210"/>
  <c r="N1569" i="210"/>
  <c r="P1569" i="210"/>
  <c r="Q1569" i="210"/>
  <c r="D1570" i="210"/>
  <c r="K1570" i="210"/>
  <c r="L1570" i="210"/>
  <c r="N1570" i="210"/>
  <c r="P1570" i="210"/>
  <c r="Q1570" i="210"/>
  <c r="D1571" i="210"/>
  <c r="K1571" i="210"/>
  <c r="L1571" i="210"/>
  <c r="N1571" i="210"/>
  <c r="P1571" i="210"/>
  <c r="Q1571" i="210"/>
  <c r="D1572" i="210"/>
  <c r="K1572" i="210"/>
  <c r="L1572" i="210"/>
  <c r="N1572" i="210"/>
  <c r="P1572" i="210"/>
  <c r="Q1572" i="210"/>
  <c r="D1573" i="210"/>
  <c r="K1573" i="210"/>
  <c r="L1573" i="210"/>
  <c r="N1573" i="210"/>
  <c r="P1573" i="210"/>
  <c r="Q1573" i="210"/>
  <c r="D1574" i="210"/>
  <c r="K1574" i="210"/>
  <c r="L1574" i="210"/>
  <c r="N1574" i="210"/>
  <c r="P1574" i="210"/>
  <c r="Q1574" i="210"/>
  <c r="D1575" i="210"/>
  <c r="K1575" i="210"/>
  <c r="L1575" i="210"/>
  <c r="N1575" i="210"/>
  <c r="P1575" i="210"/>
  <c r="Q1575" i="210"/>
  <c r="D1576" i="210"/>
  <c r="K1576" i="210"/>
  <c r="L1576" i="210"/>
  <c r="N1576" i="210"/>
  <c r="P1576" i="210"/>
  <c r="Q1576" i="210"/>
  <c r="D1577" i="210"/>
  <c r="K1577" i="210"/>
  <c r="L1577" i="210"/>
  <c r="N1577" i="210"/>
  <c r="P1577" i="210"/>
  <c r="Q1577" i="210"/>
  <c r="D1578" i="210"/>
  <c r="K1578" i="210"/>
  <c r="L1578" i="210"/>
  <c r="N1578" i="210"/>
  <c r="P1578" i="210"/>
  <c r="Q1578" i="210"/>
  <c r="D1579" i="210"/>
  <c r="K1579" i="210"/>
  <c r="L1579" i="210"/>
  <c r="N1579" i="210"/>
  <c r="P1579" i="210"/>
  <c r="Q1579" i="210"/>
  <c r="D1580" i="210"/>
  <c r="K1580" i="210"/>
  <c r="L1580" i="210"/>
  <c r="N1580" i="210"/>
  <c r="P1580" i="210"/>
  <c r="Q1580" i="210"/>
  <c r="D1581" i="210"/>
  <c r="K1581" i="210"/>
  <c r="L1581" i="210"/>
  <c r="N1581" i="210"/>
  <c r="P1581" i="210"/>
  <c r="Q1581" i="210"/>
  <c r="D1582" i="210"/>
  <c r="K1582" i="210"/>
  <c r="L1582" i="210"/>
  <c r="N1582" i="210"/>
  <c r="P1582" i="210"/>
  <c r="Q1582" i="210"/>
  <c r="D1583" i="210"/>
  <c r="K1583" i="210"/>
  <c r="L1583" i="210"/>
  <c r="N1583" i="210"/>
  <c r="P1583" i="210"/>
  <c r="Q1583" i="210"/>
  <c r="D1584" i="210"/>
  <c r="K1584" i="210"/>
  <c r="L1584" i="210"/>
  <c r="N1584" i="210"/>
  <c r="P1584" i="210"/>
  <c r="Q1584" i="210"/>
  <c r="D1585" i="210"/>
  <c r="K1585" i="210"/>
  <c r="L1585" i="210"/>
  <c r="N1585" i="210"/>
  <c r="P1585" i="210"/>
  <c r="Q1585" i="210"/>
  <c r="D1586" i="210"/>
  <c r="K1586" i="210"/>
  <c r="L1586" i="210"/>
  <c r="N1586" i="210"/>
  <c r="P1586" i="210"/>
  <c r="Q1586" i="210"/>
  <c r="D1587" i="210"/>
  <c r="K1587" i="210"/>
  <c r="L1587" i="210"/>
  <c r="N1587" i="210"/>
  <c r="P1587" i="210"/>
  <c r="Q1587" i="210"/>
  <c r="D1588" i="210"/>
  <c r="K1588" i="210"/>
  <c r="L1588" i="210"/>
  <c r="N1588" i="210"/>
  <c r="P1588" i="210"/>
  <c r="Q1588" i="210"/>
  <c r="D1589" i="210"/>
  <c r="K1589" i="210"/>
  <c r="L1589" i="210"/>
  <c r="N1589" i="210"/>
  <c r="P1589" i="210"/>
  <c r="Q1589" i="210"/>
  <c r="D1590" i="210"/>
  <c r="K1590" i="210"/>
  <c r="L1590" i="210"/>
  <c r="N1590" i="210"/>
  <c r="P1590" i="210"/>
  <c r="Q1590" i="210"/>
  <c r="D1591" i="210"/>
  <c r="K1591" i="210"/>
  <c r="L1591" i="210"/>
  <c r="N1591" i="210"/>
  <c r="P1591" i="210"/>
  <c r="Q1591" i="210"/>
  <c r="D1592" i="210"/>
  <c r="K1592" i="210"/>
  <c r="L1592" i="210"/>
  <c r="N1592" i="210"/>
  <c r="P1592" i="210"/>
  <c r="Q1592" i="210"/>
  <c r="D1593" i="210"/>
  <c r="K1593" i="210"/>
  <c r="L1593" i="210"/>
  <c r="N1593" i="210"/>
  <c r="P1593" i="210"/>
  <c r="Q1593" i="210"/>
  <c r="D1594" i="210"/>
  <c r="K1594" i="210"/>
  <c r="L1594" i="210"/>
  <c r="N1594" i="210"/>
  <c r="P1594" i="210"/>
  <c r="Q1594" i="210"/>
  <c r="D1595" i="210"/>
  <c r="K1595" i="210"/>
  <c r="L1595" i="210"/>
  <c r="N1595" i="210"/>
  <c r="P1595" i="210"/>
  <c r="Q1595" i="210"/>
  <c r="D1596" i="210"/>
  <c r="K1596" i="210"/>
  <c r="L1596" i="210"/>
  <c r="N1596" i="210"/>
  <c r="P1596" i="210"/>
  <c r="Q1596" i="210"/>
  <c r="D1597" i="210"/>
  <c r="K1597" i="210"/>
  <c r="L1597" i="210"/>
  <c r="N1597" i="210"/>
  <c r="P1597" i="210"/>
  <c r="Q1597" i="210"/>
  <c r="D1598" i="210"/>
  <c r="K1598" i="210"/>
  <c r="L1598" i="210"/>
  <c r="N1598" i="210"/>
  <c r="P1598" i="210"/>
  <c r="Q1598" i="210"/>
  <c r="D1599" i="210"/>
  <c r="K1599" i="210"/>
  <c r="L1599" i="210"/>
  <c r="N1599" i="210"/>
  <c r="P1599" i="210"/>
  <c r="Q1599" i="210"/>
  <c r="D1600" i="210"/>
  <c r="K1600" i="210"/>
  <c r="L1600" i="210"/>
  <c r="N1600" i="210"/>
  <c r="P1600" i="210"/>
  <c r="Q1600" i="210"/>
  <c r="C1603" i="210"/>
  <c r="C1604" i="210" s="1"/>
  <c r="C1605" i="210" s="1"/>
  <c r="H1603" i="210"/>
  <c r="E1603" i="210" s="1"/>
  <c r="E1604" i="210" s="1"/>
  <c r="E1605" i="210" s="1"/>
  <c r="E1607" i="210" s="1"/>
  <c r="E1609" i="210" s="1"/>
  <c r="E1611" i="210" s="1"/>
  <c r="E1613" i="210" s="1"/>
  <c r="E1615" i="210" s="1"/>
  <c r="E1617" i="210" s="1"/>
  <c r="E1619" i="210" s="1"/>
  <c r="E1621" i="210" s="1"/>
  <c r="E1623" i="210" s="1"/>
  <c r="I1603" i="210"/>
  <c r="J1603" i="210"/>
  <c r="I1604" i="210"/>
  <c r="I1605" i="210"/>
  <c r="D1607" i="210"/>
  <c r="K1607" i="210"/>
  <c r="L1607" i="210"/>
  <c r="N1607" i="210"/>
  <c r="P1607" i="210"/>
  <c r="Q1607" i="210"/>
  <c r="D1608" i="210"/>
  <c r="E1608" i="210"/>
  <c r="E1610" i="210" s="1"/>
  <c r="E1612" i="210" s="1"/>
  <c r="E1614" i="210" s="1"/>
  <c r="E1616" i="210" s="1"/>
  <c r="E1618" i="210" s="1"/>
  <c r="E1620" i="210" s="1"/>
  <c r="E1622" i="210" s="1"/>
  <c r="E1624" i="210" s="1"/>
  <c r="K1608" i="210"/>
  <c r="L1608" i="210"/>
  <c r="N1608" i="210"/>
  <c r="P1608" i="210"/>
  <c r="Q1608" i="210"/>
  <c r="D1609" i="210"/>
  <c r="K1609" i="210"/>
  <c r="L1609" i="210"/>
  <c r="N1609" i="210"/>
  <c r="P1609" i="210"/>
  <c r="Q1609" i="210"/>
  <c r="D1610" i="210"/>
  <c r="K1610" i="210"/>
  <c r="L1610" i="210"/>
  <c r="N1610" i="210"/>
  <c r="P1610" i="210"/>
  <c r="Q1610" i="210"/>
  <c r="D1611" i="210"/>
  <c r="K1611" i="210"/>
  <c r="L1611" i="210"/>
  <c r="N1611" i="210"/>
  <c r="P1611" i="210"/>
  <c r="Q1611" i="210"/>
  <c r="D1612" i="210"/>
  <c r="K1612" i="210"/>
  <c r="L1612" i="210"/>
  <c r="N1612" i="210"/>
  <c r="P1612" i="210"/>
  <c r="Q1612" i="210"/>
  <c r="D1613" i="210"/>
  <c r="K1613" i="210"/>
  <c r="L1613" i="210"/>
  <c r="N1613" i="210"/>
  <c r="P1613" i="210"/>
  <c r="Q1613" i="210"/>
  <c r="D1614" i="210"/>
  <c r="K1614" i="210"/>
  <c r="L1614" i="210"/>
  <c r="N1614" i="210"/>
  <c r="P1614" i="210"/>
  <c r="Q1614" i="210"/>
  <c r="D1615" i="210"/>
  <c r="K1615" i="210"/>
  <c r="L1615" i="210"/>
  <c r="N1615" i="210"/>
  <c r="P1615" i="210"/>
  <c r="Q1615" i="210"/>
  <c r="D1616" i="210"/>
  <c r="K1616" i="210"/>
  <c r="L1616" i="210"/>
  <c r="N1616" i="210"/>
  <c r="P1616" i="210"/>
  <c r="Q1616" i="210"/>
  <c r="D1617" i="210"/>
  <c r="K1617" i="210"/>
  <c r="L1617" i="210"/>
  <c r="N1617" i="210"/>
  <c r="P1617" i="210"/>
  <c r="Q1617" i="210"/>
  <c r="D1618" i="210"/>
  <c r="K1618" i="210"/>
  <c r="L1618" i="210"/>
  <c r="N1618" i="210"/>
  <c r="P1618" i="210"/>
  <c r="Q1618" i="210"/>
  <c r="D1619" i="210"/>
  <c r="K1619" i="210"/>
  <c r="L1619" i="210"/>
  <c r="N1619" i="210"/>
  <c r="P1619" i="210"/>
  <c r="Q1619" i="210"/>
  <c r="D1620" i="210"/>
  <c r="K1620" i="210"/>
  <c r="L1620" i="210"/>
  <c r="N1620" i="210"/>
  <c r="P1620" i="210"/>
  <c r="Q1620" i="210"/>
  <c r="D1621" i="210"/>
  <c r="K1621" i="210"/>
  <c r="L1621" i="210"/>
  <c r="N1621" i="210"/>
  <c r="P1621" i="210"/>
  <c r="Q1621" i="210"/>
  <c r="D1622" i="210"/>
  <c r="K1622" i="210"/>
  <c r="L1622" i="210"/>
  <c r="N1622" i="210"/>
  <c r="P1622" i="210"/>
  <c r="Q1622" i="210"/>
  <c r="D1623" i="210"/>
  <c r="K1623" i="210"/>
  <c r="L1623" i="210"/>
  <c r="N1623" i="210"/>
  <c r="P1623" i="210"/>
  <c r="Q1623" i="210"/>
  <c r="D1624" i="210"/>
  <c r="K1624" i="210"/>
  <c r="L1624" i="210"/>
  <c r="N1624" i="210"/>
  <c r="P1624" i="210"/>
  <c r="Q1624" i="210"/>
  <c r="C1627" i="210"/>
  <c r="C1628" i="210" s="1"/>
  <c r="C1629" i="210" s="1"/>
  <c r="E1627" i="210"/>
  <c r="E1628" i="210" s="1"/>
  <c r="E1629" i="210" s="1"/>
  <c r="E1631" i="210" s="1"/>
  <c r="E1633" i="210" s="1"/>
  <c r="E1635" i="210" s="1"/>
  <c r="E1637" i="210" s="1"/>
  <c r="E1639" i="210" s="1"/>
  <c r="E1641" i="210" s="1"/>
  <c r="E1643" i="210" s="1"/>
  <c r="H1627" i="210"/>
  <c r="I1627" i="210"/>
  <c r="J1627" i="210"/>
  <c r="I1628" i="210"/>
  <c r="I1629" i="210"/>
  <c r="D1631" i="210"/>
  <c r="K1631" i="210"/>
  <c r="L1631" i="210"/>
  <c r="N1631" i="210"/>
  <c r="P1631" i="210"/>
  <c r="Q1631" i="210"/>
  <c r="D1632" i="210"/>
  <c r="E1632" i="210"/>
  <c r="E1634" i="210" s="1"/>
  <c r="E1636" i="210" s="1"/>
  <c r="E1638" i="210" s="1"/>
  <c r="E1640" i="210" s="1"/>
  <c r="E1642" i="210" s="1"/>
  <c r="E1644" i="210" s="1"/>
  <c r="K1632" i="210"/>
  <c r="L1632" i="210"/>
  <c r="N1632" i="210"/>
  <c r="P1632" i="210"/>
  <c r="Q1632" i="210"/>
  <c r="D1633" i="210"/>
  <c r="K1633" i="210"/>
  <c r="L1633" i="210"/>
  <c r="N1633" i="210"/>
  <c r="P1633" i="210"/>
  <c r="Q1633" i="210"/>
  <c r="D1634" i="210"/>
  <c r="K1634" i="210"/>
  <c r="L1634" i="210"/>
  <c r="N1634" i="210"/>
  <c r="P1634" i="210"/>
  <c r="Q1634" i="210"/>
  <c r="D1635" i="210"/>
  <c r="K1635" i="210"/>
  <c r="L1635" i="210"/>
  <c r="N1635" i="210"/>
  <c r="P1635" i="210"/>
  <c r="Q1635" i="210"/>
  <c r="D1636" i="210"/>
  <c r="K1636" i="210"/>
  <c r="L1636" i="210"/>
  <c r="N1636" i="210"/>
  <c r="P1636" i="210"/>
  <c r="Q1636" i="210"/>
  <c r="D1637" i="210"/>
  <c r="K1637" i="210"/>
  <c r="L1637" i="210"/>
  <c r="N1637" i="210"/>
  <c r="P1637" i="210"/>
  <c r="Q1637" i="210"/>
  <c r="D1638" i="210"/>
  <c r="K1638" i="210"/>
  <c r="L1638" i="210"/>
  <c r="N1638" i="210"/>
  <c r="P1638" i="210"/>
  <c r="Q1638" i="210"/>
  <c r="D1639" i="210"/>
  <c r="K1639" i="210"/>
  <c r="L1639" i="210"/>
  <c r="N1639" i="210"/>
  <c r="P1639" i="210"/>
  <c r="Q1639" i="210"/>
  <c r="D1640" i="210"/>
  <c r="K1640" i="210"/>
  <c r="L1640" i="210"/>
  <c r="N1640" i="210"/>
  <c r="P1640" i="210"/>
  <c r="Q1640" i="210"/>
  <c r="D1641" i="210"/>
  <c r="K1641" i="210"/>
  <c r="L1641" i="210"/>
  <c r="N1641" i="210"/>
  <c r="P1641" i="210"/>
  <c r="Q1641" i="210"/>
  <c r="D1642" i="210"/>
  <c r="K1642" i="210"/>
  <c r="L1642" i="210"/>
  <c r="N1642" i="210"/>
  <c r="P1642" i="210"/>
  <c r="Q1642" i="210"/>
  <c r="D1643" i="210"/>
  <c r="K1643" i="210"/>
  <c r="L1643" i="210"/>
  <c r="N1643" i="210"/>
  <c r="P1643" i="210"/>
  <c r="Q1643" i="210"/>
  <c r="D1644" i="210"/>
  <c r="K1644" i="210"/>
  <c r="L1644" i="210"/>
  <c r="N1644" i="210"/>
  <c r="P1644" i="210"/>
  <c r="Q1644" i="210"/>
  <c r="C1647" i="210"/>
  <c r="E1647" i="210"/>
  <c r="E1648" i="210" s="1"/>
  <c r="E1649" i="210" s="1"/>
  <c r="H1647" i="210"/>
  <c r="I1647" i="210"/>
  <c r="J1647" i="210"/>
  <c r="C1648" i="210"/>
  <c r="C1649" i="210" s="1"/>
  <c r="I1648" i="210"/>
  <c r="I1649" i="210"/>
  <c r="D1651" i="210"/>
  <c r="E1651" i="210"/>
  <c r="E1653" i="210" s="1"/>
  <c r="E1655" i="210" s="1"/>
  <c r="E1657" i="210" s="1"/>
  <c r="E1659" i="210" s="1"/>
  <c r="E1661" i="210" s="1"/>
  <c r="E1663" i="210" s="1"/>
  <c r="E1665" i="210" s="1"/>
  <c r="E1667" i="210" s="1"/>
  <c r="E1669" i="210" s="1"/>
  <c r="E1671" i="210" s="1"/>
  <c r="E1673" i="210" s="1"/>
  <c r="E1675" i="210" s="1"/>
  <c r="E1677" i="210" s="1"/>
  <c r="E1679" i="210" s="1"/>
  <c r="E1681" i="210" s="1"/>
  <c r="E1683" i="210" s="1"/>
  <c r="E1685" i="210" s="1"/>
  <c r="E1687" i="210" s="1"/>
  <c r="E1689" i="210" s="1"/>
  <c r="E1691" i="210" s="1"/>
  <c r="E1693" i="210" s="1"/>
  <c r="E1695" i="210" s="1"/>
  <c r="E1697" i="210" s="1"/>
  <c r="E1699" i="210" s="1"/>
  <c r="E1701" i="210" s="1"/>
  <c r="E1703" i="210" s="1"/>
  <c r="E1705" i="210" s="1"/>
  <c r="E1707" i="210" s="1"/>
  <c r="E1709" i="210" s="1"/>
  <c r="E1711" i="210" s="1"/>
  <c r="E1713" i="210" s="1"/>
  <c r="E1715" i="210" s="1"/>
  <c r="E1717" i="210" s="1"/>
  <c r="E1719" i="210" s="1"/>
  <c r="E1721" i="210" s="1"/>
  <c r="E1723" i="210" s="1"/>
  <c r="E1725" i="210" s="1"/>
  <c r="K1651" i="210"/>
  <c r="L1651" i="210"/>
  <c r="N1651" i="210"/>
  <c r="P1651" i="210"/>
  <c r="Q1651" i="210"/>
  <c r="D1652" i="210"/>
  <c r="E1652" i="210"/>
  <c r="K1652" i="210"/>
  <c r="L1652" i="210"/>
  <c r="N1652" i="210"/>
  <c r="P1652" i="210"/>
  <c r="Q1652" i="210"/>
  <c r="D1653" i="210"/>
  <c r="K1653" i="210"/>
  <c r="L1653" i="210"/>
  <c r="N1653" i="210"/>
  <c r="P1653" i="210"/>
  <c r="Q1653" i="210"/>
  <c r="D1654" i="210"/>
  <c r="E1654" i="210"/>
  <c r="E1656" i="210" s="1"/>
  <c r="E1658" i="210" s="1"/>
  <c r="E1660" i="210" s="1"/>
  <c r="E1662" i="210" s="1"/>
  <c r="E1664" i="210" s="1"/>
  <c r="E1666" i="210" s="1"/>
  <c r="E1668" i="210" s="1"/>
  <c r="E1670" i="210" s="1"/>
  <c r="E1672" i="210" s="1"/>
  <c r="E1674" i="210" s="1"/>
  <c r="E1676" i="210" s="1"/>
  <c r="E1678" i="210" s="1"/>
  <c r="E1680" i="210" s="1"/>
  <c r="E1682" i="210" s="1"/>
  <c r="E1684" i="210" s="1"/>
  <c r="E1686" i="210" s="1"/>
  <c r="E1688" i="210" s="1"/>
  <c r="E1690" i="210" s="1"/>
  <c r="E1692" i="210" s="1"/>
  <c r="E1694" i="210" s="1"/>
  <c r="E1696" i="210" s="1"/>
  <c r="E1698" i="210" s="1"/>
  <c r="E1700" i="210" s="1"/>
  <c r="E1702" i="210" s="1"/>
  <c r="E1704" i="210" s="1"/>
  <c r="E1706" i="210" s="1"/>
  <c r="E1708" i="210" s="1"/>
  <c r="E1710" i="210" s="1"/>
  <c r="E1712" i="210" s="1"/>
  <c r="E1714" i="210" s="1"/>
  <c r="E1716" i="210" s="1"/>
  <c r="E1718" i="210" s="1"/>
  <c r="E1720" i="210" s="1"/>
  <c r="E1722" i="210" s="1"/>
  <c r="E1724" i="210" s="1"/>
  <c r="K1654" i="210"/>
  <c r="L1654" i="210"/>
  <c r="N1654" i="210"/>
  <c r="P1654" i="210"/>
  <c r="Q1654" i="210"/>
  <c r="D1655" i="210"/>
  <c r="K1655" i="210"/>
  <c r="L1655" i="210"/>
  <c r="N1655" i="210"/>
  <c r="P1655" i="210"/>
  <c r="Q1655" i="210"/>
  <c r="D1656" i="210"/>
  <c r="K1656" i="210"/>
  <c r="L1656" i="210"/>
  <c r="N1656" i="210"/>
  <c r="P1656" i="210"/>
  <c r="Q1656" i="210"/>
  <c r="D1657" i="210"/>
  <c r="K1657" i="210"/>
  <c r="L1657" i="210"/>
  <c r="N1657" i="210"/>
  <c r="P1657" i="210"/>
  <c r="Q1657" i="210"/>
  <c r="D1658" i="210"/>
  <c r="K1658" i="210"/>
  <c r="L1658" i="210"/>
  <c r="N1658" i="210"/>
  <c r="P1658" i="210"/>
  <c r="Q1658" i="210"/>
  <c r="D1659" i="210"/>
  <c r="K1659" i="210"/>
  <c r="L1659" i="210"/>
  <c r="N1659" i="210"/>
  <c r="P1659" i="210"/>
  <c r="Q1659" i="210"/>
  <c r="D1660" i="210"/>
  <c r="K1660" i="210"/>
  <c r="L1660" i="210"/>
  <c r="N1660" i="210"/>
  <c r="P1660" i="210"/>
  <c r="Q1660" i="210"/>
  <c r="D1661" i="210"/>
  <c r="K1661" i="210"/>
  <c r="L1661" i="210"/>
  <c r="N1661" i="210"/>
  <c r="P1661" i="210"/>
  <c r="Q1661" i="210"/>
  <c r="D1662" i="210"/>
  <c r="K1662" i="210"/>
  <c r="L1662" i="210"/>
  <c r="N1662" i="210"/>
  <c r="P1662" i="210"/>
  <c r="Q1662" i="210"/>
  <c r="D1663" i="210"/>
  <c r="K1663" i="210"/>
  <c r="L1663" i="210"/>
  <c r="N1663" i="210"/>
  <c r="P1663" i="210"/>
  <c r="Q1663" i="210"/>
  <c r="D1664" i="210"/>
  <c r="K1664" i="210"/>
  <c r="L1664" i="210"/>
  <c r="N1664" i="210"/>
  <c r="P1664" i="210"/>
  <c r="Q1664" i="210"/>
  <c r="D1665" i="210"/>
  <c r="K1665" i="210"/>
  <c r="L1665" i="210"/>
  <c r="N1665" i="210"/>
  <c r="P1665" i="210"/>
  <c r="Q1665" i="210"/>
  <c r="D1666" i="210"/>
  <c r="K1666" i="210"/>
  <c r="L1666" i="210"/>
  <c r="N1666" i="210"/>
  <c r="P1666" i="210"/>
  <c r="Q1666" i="210"/>
  <c r="D1667" i="210"/>
  <c r="K1667" i="210"/>
  <c r="L1667" i="210"/>
  <c r="N1667" i="210"/>
  <c r="P1667" i="210"/>
  <c r="Q1667" i="210"/>
  <c r="D1668" i="210"/>
  <c r="K1668" i="210"/>
  <c r="L1668" i="210"/>
  <c r="N1668" i="210"/>
  <c r="P1668" i="210"/>
  <c r="Q1668" i="210"/>
  <c r="D1669" i="210"/>
  <c r="K1669" i="210"/>
  <c r="L1669" i="210"/>
  <c r="N1669" i="210"/>
  <c r="P1669" i="210"/>
  <c r="Q1669" i="210"/>
  <c r="D1670" i="210"/>
  <c r="K1670" i="210"/>
  <c r="L1670" i="210"/>
  <c r="N1670" i="210"/>
  <c r="P1670" i="210"/>
  <c r="Q1670" i="210"/>
  <c r="D1671" i="210"/>
  <c r="K1671" i="210"/>
  <c r="L1671" i="210"/>
  <c r="N1671" i="210"/>
  <c r="P1671" i="210"/>
  <c r="Q1671" i="210"/>
  <c r="D1672" i="210"/>
  <c r="K1672" i="210"/>
  <c r="L1672" i="210"/>
  <c r="N1672" i="210"/>
  <c r="P1672" i="210"/>
  <c r="Q1672" i="210"/>
  <c r="D1673" i="210"/>
  <c r="K1673" i="210"/>
  <c r="L1673" i="210"/>
  <c r="N1673" i="210"/>
  <c r="P1673" i="210"/>
  <c r="Q1673" i="210"/>
  <c r="D1674" i="210"/>
  <c r="K1674" i="210"/>
  <c r="L1674" i="210"/>
  <c r="N1674" i="210"/>
  <c r="P1674" i="210"/>
  <c r="Q1674" i="210"/>
  <c r="D1675" i="210"/>
  <c r="K1675" i="210"/>
  <c r="L1675" i="210"/>
  <c r="N1675" i="210"/>
  <c r="P1675" i="210"/>
  <c r="Q1675" i="210"/>
  <c r="D1676" i="210"/>
  <c r="K1676" i="210"/>
  <c r="L1676" i="210"/>
  <c r="N1676" i="210"/>
  <c r="P1676" i="210"/>
  <c r="Q1676" i="210"/>
  <c r="D1677" i="210"/>
  <c r="K1677" i="210"/>
  <c r="L1677" i="210"/>
  <c r="N1677" i="210"/>
  <c r="P1677" i="210"/>
  <c r="Q1677" i="210"/>
  <c r="D1678" i="210"/>
  <c r="K1678" i="210"/>
  <c r="L1678" i="210"/>
  <c r="N1678" i="210"/>
  <c r="P1678" i="210"/>
  <c r="Q1678" i="210"/>
  <c r="D1679" i="210"/>
  <c r="K1679" i="210"/>
  <c r="L1679" i="210"/>
  <c r="N1679" i="210"/>
  <c r="P1679" i="210"/>
  <c r="Q1679" i="210"/>
  <c r="D1680" i="210"/>
  <c r="K1680" i="210"/>
  <c r="L1680" i="210"/>
  <c r="N1680" i="210"/>
  <c r="P1680" i="210"/>
  <c r="Q1680" i="210"/>
  <c r="D1681" i="210"/>
  <c r="K1681" i="210"/>
  <c r="L1681" i="210"/>
  <c r="N1681" i="210"/>
  <c r="P1681" i="210"/>
  <c r="Q1681" i="210"/>
  <c r="D1682" i="210"/>
  <c r="K1682" i="210"/>
  <c r="L1682" i="210"/>
  <c r="N1682" i="210"/>
  <c r="P1682" i="210"/>
  <c r="Q1682" i="210"/>
  <c r="D1683" i="210"/>
  <c r="K1683" i="210"/>
  <c r="L1683" i="210"/>
  <c r="N1683" i="210"/>
  <c r="P1683" i="210"/>
  <c r="Q1683" i="210"/>
  <c r="D1684" i="210"/>
  <c r="K1684" i="210"/>
  <c r="L1684" i="210"/>
  <c r="N1684" i="210"/>
  <c r="P1684" i="210"/>
  <c r="Q1684" i="210"/>
  <c r="D1685" i="210"/>
  <c r="K1685" i="210"/>
  <c r="L1685" i="210"/>
  <c r="N1685" i="210"/>
  <c r="P1685" i="210"/>
  <c r="Q1685" i="210"/>
  <c r="D1686" i="210"/>
  <c r="K1686" i="210"/>
  <c r="L1686" i="210"/>
  <c r="N1686" i="210"/>
  <c r="P1686" i="210"/>
  <c r="Q1686" i="210"/>
  <c r="D1687" i="210"/>
  <c r="K1687" i="210"/>
  <c r="L1687" i="210"/>
  <c r="N1687" i="210"/>
  <c r="P1687" i="210"/>
  <c r="Q1687" i="210"/>
  <c r="D1688" i="210"/>
  <c r="K1688" i="210"/>
  <c r="L1688" i="210"/>
  <c r="N1688" i="210"/>
  <c r="P1688" i="210"/>
  <c r="Q1688" i="210"/>
  <c r="D1689" i="210"/>
  <c r="K1689" i="210"/>
  <c r="L1689" i="210"/>
  <c r="N1689" i="210"/>
  <c r="P1689" i="210"/>
  <c r="Q1689" i="210"/>
  <c r="D1690" i="210"/>
  <c r="K1690" i="210"/>
  <c r="L1690" i="210"/>
  <c r="N1690" i="210"/>
  <c r="P1690" i="210"/>
  <c r="Q1690" i="210"/>
  <c r="D1691" i="210"/>
  <c r="K1691" i="210"/>
  <c r="L1691" i="210"/>
  <c r="N1691" i="210"/>
  <c r="P1691" i="210"/>
  <c r="Q1691" i="210"/>
  <c r="D1692" i="210"/>
  <c r="K1692" i="210"/>
  <c r="L1692" i="210"/>
  <c r="N1692" i="210"/>
  <c r="P1692" i="210"/>
  <c r="Q1692" i="210"/>
  <c r="D1693" i="210"/>
  <c r="K1693" i="210"/>
  <c r="L1693" i="210"/>
  <c r="N1693" i="210"/>
  <c r="P1693" i="210"/>
  <c r="Q1693" i="210"/>
  <c r="D1694" i="210"/>
  <c r="K1694" i="210"/>
  <c r="L1694" i="210"/>
  <c r="N1694" i="210"/>
  <c r="P1694" i="210"/>
  <c r="Q1694" i="210"/>
  <c r="D1695" i="210"/>
  <c r="K1695" i="210"/>
  <c r="L1695" i="210"/>
  <c r="N1695" i="210"/>
  <c r="P1695" i="210"/>
  <c r="Q1695" i="210"/>
  <c r="D1696" i="210"/>
  <c r="K1696" i="210"/>
  <c r="L1696" i="210"/>
  <c r="N1696" i="210"/>
  <c r="P1696" i="210"/>
  <c r="Q1696" i="210"/>
  <c r="D1697" i="210"/>
  <c r="K1697" i="210"/>
  <c r="L1697" i="210"/>
  <c r="N1697" i="210"/>
  <c r="P1697" i="210"/>
  <c r="Q1697" i="210"/>
  <c r="D1698" i="210"/>
  <c r="K1698" i="210"/>
  <c r="L1698" i="210"/>
  <c r="N1698" i="210"/>
  <c r="P1698" i="210"/>
  <c r="Q1698" i="210"/>
  <c r="D1699" i="210"/>
  <c r="K1699" i="210"/>
  <c r="L1699" i="210"/>
  <c r="N1699" i="210"/>
  <c r="P1699" i="210"/>
  <c r="Q1699" i="210"/>
  <c r="D1700" i="210"/>
  <c r="K1700" i="210"/>
  <c r="L1700" i="210"/>
  <c r="N1700" i="210"/>
  <c r="P1700" i="210"/>
  <c r="Q1700" i="210"/>
  <c r="D1701" i="210"/>
  <c r="K1701" i="210"/>
  <c r="L1701" i="210"/>
  <c r="N1701" i="210"/>
  <c r="P1701" i="210"/>
  <c r="Q1701" i="210"/>
  <c r="D1702" i="210"/>
  <c r="K1702" i="210"/>
  <c r="L1702" i="210"/>
  <c r="N1702" i="210"/>
  <c r="P1702" i="210"/>
  <c r="Q1702" i="210"/>
  <c r="D1703" i="210"/>
  <c r="K1703" i="210"/>
  <c r="L1703" i="210"/>
  <c r="N1703" i="210"/>
  <c r="P1703" i="210"/>
  <c r="Q1703" i="210"/>
  <c r="D1704" i="210"/>
  <c r="K1704" i="210"/>
  <c r="L1704" i="210"/>
  <c r="N1704" i="210"/>
  <c r="P1704" i="210"/>
  <c r="Q1704" i="210"/>
  <c r="D1705" i="210"/>
  <c r="K1705" i="210"/>
  <c r="L1705" i="210"/>
  <c r="N1705" i="210"/>
  <c r="P1705" i="210"/>
  <c r="Q1705" i="210"/>
  <c r="D1706" i="210"/>
  <c r="K1706" i="210"/>
  <c r="L1706" i="210"/>
  <c r="N1706" i="210"/>
  <c r="P1706" i="210"/>
  <c r="Q1706" i="210"/>
  <c r="D1707" i="210"/>
  <c r="K1707" i="210"/>
  <c r="L1707" i="210"/>
  <c r="N1707" i="210"/>
  <c r="P1707" i="210"/>
  <c r="Q1707" i="210"/>
  <c r="D1708" i="210"/>
  <c r="K1708" i="210"/>
  <c r="L1708" i="210"/>
  <c r="N1708" i="210"/>
  <c r="P1708" i="210"/>
  <c r="Q1708" i="210"/>
  <c r="D1709" i="210"/>
  <c r="K1709" i="210"/>
  <c r="L1709" i="210"/>
  <c r="N1709" i="210"/>
  <c r="P1709" i="210"/>
  <c r="Q1709" i="210"/>
  <c r="D1710" i="210"/>
  <c r="K1710" i="210"/>
  <c r="L1710" i="210"/>
  <c r="N1710" i="210"/>
  <c r="P1710" i="210"/>
  <c r="Q1710" i="210"/>
  <c r="D1711" i="210"/>
  <c r="K1711" i="210"/>
  <c r="L1711" i="210"/>
  <c r="N1711" i="210"/>
  <c r="P1711" i="210"/>
  <c r="Q1711" i="210"/>
  <c r="D1712" i="210"/>
  <c r="K1712" i="210"/>
  <c r="L1712" i="210"/>
  <c r="N1712" i="210"/>
  <c r="P1712" i="210"/>
  <c r="Q1712" i="210"/>
  <c r="D1713" i="210"/>
  <c r="K1713" i="210"/>
  <c r="L1713" i="210"/>
  <c r="N1713" i="210"/>
  <c r="P1713" i="210"/>
  <c r="Q1713" i="210"/>
  <c r="D1714" i="210"/>
  <c r="K1714" i="210"/>
  <c r="L1714" i="210"/>
  <c r="N1714" i="210"/>
  <c r="P1714" i="210"/>
  <c r="Q1714" i="210"/>
  <c r="D1715" i="210"/>
  <c r="K1715" i="210"/>
  <c r="L1715" i="210"/>
  <c r="N1715" i="210"/>
  <c r="P1715" i="210"/>
  <c r="Q1715" i="210"/>
  <c r="D1716" i="210"/>
  <c r="K1716" i="210"/>
  <c r="L1716" i="210"/>
  <c r="N1716" i="210"/>
  <c r="P1716" i="210"/>
  <c r="Q1716" i="210"/>
  <c r="D1717" i="210"/>
  <c r="K1717" i="210"/>
  <c r="L1717" i="210"/>
  <c r="N1717" i="210"/>
  <c r="P1717" i="210"/>
  <c r="Q1717" i="210"/>
  <c r="D1718" i="210"/>
  <c r="K1718" i="210"/>
  <c r="L1718" i="210"/>
  <c r="N1718" i="210"/>
  <c r="P1718" i="210"/>
  <c r="Q1718" i="210"/>
  <c r="D1719" i="210"/>
  <c r="K1719" i="210"/>
  <c r="L1719" i="210"/>
  <c r="N1719" i="210"/>
  <c r="P1719" i="210"/>
  <c r="Q1719" i="210"/>
  <c r="D1720" i="210"/>
  <c r="K1720" i="210"/>
  <c r="L1720" i="210"/>
  <c r="N1720" i="210"/>
  <c r="P1720" i="210"/>
  <c r="Q1720" i="210"/>
  <c r="D1721" i="210"/>
  <c r="K1721" i="210"/>
  <c r="L1721" i="210"/>
  <c r="N1721" i="210"/>
  <c r="P1721" i="210"/>
  <c r="Q1721" i="210"/>
  <c r="D1722" i="210"/>
  <c r="K1722" i="210"/>
  <c r="L1722" i="210"/>
  <c r="N1722" i="210"/>
  <c r="P1722" i="210"/>
  <c r="Q1722" i="210"/>
  <c r="D1723" i="210"/>
  <c r="K1723" i="210"/>
  <c r="L1723" i="210"/>
  <c r="N1723" i="210"/>
  <c r="P1723" i="210"/>
  <c r="Q1723" i="210"/>
  <c r="D1724" i="210"/>
  <c r="K1724" i="210"/>
  <c r="L1724" i="210"/>
  <c r="N1724" i="210"/>
  <c r="P1724" i="210"/>
  <c r="Q1724" i="210"/>
  <c r="D1725" i="210"/>
  <c r="K1725" i="210"/>
  <c r="L1725" i="210"/>
  <c r="N1725" i="210"/>
  <c r="P1725" i="210"/>
  <c r="Q1725" i="210"/>
  <c r="C1728" i="210"/>
  <c r="C1729" i="210" s="1"/>
  <c r="C1730" i="210" s="1"/>
  <c r="H1728" i="210"/>
  <c r="E1728" i="210" s="1"/>
  <c r="E1729" i="210" s="1"/>
  <c r="E1730" i="210" s="1"/>
  <c r="E1732" i="210" s="1"/>
  <c r="E1734" i="210" s="1"/>
  <c r="E1736" i="210" s="1"/>
  <c r="E1738" i="210" s="1"/>
  <c r="E1740" i="210" s="1"/>
  <c r="E1742" i="210" s="1"/>
  <c r="E1744" i="210" s="1"/>
  <c r="E1746" i="210" s="1"/>
  <c r="E1748" i="210" s="1"/>
  <c r="E1750" i="210" s="1"/>
  <c r="E1752" i="210" s="1"/>
  <c r="E1754" i="210" s="1"/>
  <c r="E1756" i="210" s="1"/>
  <c r="E1758" i="210" s="1"/>
  <c r="E1760" i="210" s="1"/>
  <c r="E1762" i="210" s="1"/>
  <c r="E1764" i="210" s="1"/>
  <c r="E1766" i="210" s="1"/>
  <c r="E1768" i="210" s="1"/>
  <c r="I1728" i="210"/>
  <c r="J1728" i="210"/>
  <c r="I1729" i="210"/>
  <c r="I1730" i="210"/>
  <c r="D1732" i="210"/>
  <c r="K1732" i="210"/>
  <c r="L1732" i="210"/>
  <c r="N1732" i="210"/>
  <c r="P1732" i="210"/>
  <c r="Q1732" i="210"/>
  <c r="D1733" i="210"/>
  <c r="E1733" i="210"/>
  <c r="E1735" i="210" s="1"/>
  <c r="E1737" i="210" s="1"/>
  <c r="E1739" i="210" s="1"/>
  <c r="E1741" i="210" s="1"/>
  <c r="E1743" i="210" s="1"/>
  <c r="E1745" i="210" s="1"/>
  <c r="E1747" i="210" s="1"/>
  <c r="E1749" i="210" s="1"/>
  <c r="E1751" i="210" s="1"/>
  <c r="E1753" i="210" s="1"/>
  <c r="E1755" i="210" s="1"/>
  <c r="E1757" i="210" s="1"/>
  <c r="E1759" i="210" s="1"/>
  <c r="E1761" i="210" s="1"/>
  <c r="E1763" i="210" s="1"/>
  <c r="E1765" i="210" s="1"/>
  <c r="E1767" i="210" s="1"/>
  <c r="E1769" i="210" s="1"/>
  <c r="K1733" i="210"/>
  <c r="L1733" i="210"/>
  <c r="N1733" i="210"/>
  <c r="P1733" i="210"/>
  <c r="Q1733" i="210"/>
  <c r="D1734" i="210"/>
  <c r="K1734" i="210"/>
  <c r="L1734" i="210"/>
  <c r="N1734" i="210"/>
  <c r="P1734" i="210"/>
  <c r="Q1734" i="210"/>
  <c r="D1735" i="210"/>
  <c r="K1735" i="210"/>
  <c r="L1735" i="210"/>
  <c r="N1735" i="210"/>
  <c r="P1735" i="210"/>
  <c r="Q1735" i="210"/>
  <c r="D1736" i="210"/>
  <c r="K1736" i="210"/>
  <c r="L1736" i="210"/>
  <c r="N1736" i="210"/>
  <c r="P1736" i="210"/>
  <c r="Q1736" i="210"/>
  <c r="D1737" i="210"/>
  <c r="K1737" i="210"/>
  <c r="L1737" i="210"/>
  <c r="N1737" i="210"/>
  <c r="P1737" i="210"/>
  <c r="Q1737" i="210"/>
  <c r="D1738" i="210"/>
  <c r="K1738" i="210"/>
  <c r="L1738" i="210"/>
  <c r="N1738" i="210"/>
  <c r="P1738" i="210"/>
  <c r="Q1738" i="210"/>
  <c r="D1739" i="210"/>
  <c r="K1739" i="210"/>
  <c r="L1739" i="210"/>
  <c r="N1739" i="210"/>
  <c r="P1739" i="210"/>
  <c r="Q1739" i="210"/>
  <c r="D1740" i="210"/>
  <c r="K1740" i="210"/>
  <c r="L1740" i="210"/>
  <c r="N1740" i="210"/>
  <c r="P1740" i="210"/>
  <c r="Q1740" i="210"/>
  <c r="D1741" i="210"/>
  <c r="K1741" i="210"/>
  <c r="L1741" i="210"/>
  <c r="N1741" i="210"/>
  <c r="P1741" i="210"/>
  <c r="Q1741" i="210"/>
  <c r="D1742" i="210"/>
  <c r="K1742" i="210"/>
  <c r="L1742" i="210"/>
  <c r="N1742" i="210"/>
  <c r="P1742" i="210"/>
  <c r="Q1742" i="210"/>
  <c r="D1743" i="210"/>
  <c r="K1743" i="210"/>
  <c r="L1743" i="210"/>
  <c r="N1743" i="210"/>
  <c r="P1743" i="210"/>
  <c r="Q1743" i="210"/>
  <c r="D1744" i="210"/>
  <c r="K1744" i="210"/>
  <c r="L1744" i="210"/>
  <c r="N1744" i="210"/>
  <c r="P1744" i="210"/>
  <c r="Q1744" i="210"/>
  <c r="D1745" i="210"/>
  <c r="K1745" i="210"/>
  <c r="L1745" i="210"/>
  <c r="N1745" i="210"/>
  <c r="P1745" i="210"/>
  <c r="Q1745" i="210"/>
  <c r="D1746" i="210"/>
  <c r="K1746" i="210"/>
  <c r="L1746" i="210"/>
  <c r="N1746" i="210"/>
  <c r="P1746" i="210"/>
  <c r="Q1746" i="210"/>
  <c r="D1747" i="210"/>
  <c r="K1747" i="210"/>
  <c r="L1747" i="210"/>
  <c r="N1747" i="210"/>
  <c r="P1747" i="210"/>
  <c r="Q1747" i="210"/>
  <c r="D1748" i="210"/>
  <c r="K1748" i="210"/>
  <c r="L1748" i="210"/>
  <c r="N1748" i="210"/>
  <c r="P1748" i="210"/>
  <c r="Q1748" i="210"/>
  <c r="D1749" i="210"/>
  <c r="K1749" i="210"/>
  <c r="L1749" i="210"/>
  <c r="N1749" i="210"/>
  <c r="P1749" i="210"/>
  <c r="Q1749" i="210"/>
  <c r="D1750" i="210"/>
  <c r="K1750" i="210"/>
  <c r="L1750" i="210"/>
  <c r="N1750" i="210"/>
  <c r="P1750" i="210"/>
  <c r="Q1750" i="210"/>
  <c r="D1751" i="210"/>
  <c r="K1751" i="210"/>
  <c r="L1751" i="210"/>
  <c r="N1751" i="210"/>
  <c r="P1751" i="210"/>
  <c r="Q1751" i="210"/>
  <c r="D1752" i="210"/>
  <c r="K1752" i="210"/>
  <c r="L1752" i="210"/>
  <c r="N1752" i="210"/>
  <c r="P1752" i="210"/>
  <c r="Q1752" i="210"/>
  <c r="D1753" i="210"/>
  <c r="K1753" i="210"/>
  <c r="L1753" i="210"/>
  <c r="N1753" i="210"/>
  <c r="P1753" i="210"/>
  <c r="Q1753" i="210"/>
  <c r="D1754" i="210"/>
  <c r="K1754" i="210"/>
  <c r="L1754" i="210"/>
  <c r="N1754" i="210"/>
  <c r="P1754" i="210"/>
  <c r="Q1754" i="210"/>
  <c r="D1755" i="210"/>
  <c r="K1755" i="210"/>
  <c r="L1755" i="210"/>
  <c r="N1755" i="210"/>
  <c r="P1755" i="210"/>
  <c r="Q1755" i="210"/>
  <c r="D1756" i="210"/>
  <c r="K1756" i="210"/>
  <c r="L1756" i="210"/>
  <c r="N1756" i="210"/>
  <c r="P1756" i="210"/>
  <c r="Q1756" i="210"/>
  <c r="D1757" i="210"/>
  <c r="K1757" i="210"/>
  <c r="L1757" i="210"/>
  <c r="N1757" i="210"/>
  <c r="P1757" i="210"/>
  <c r="Q1757" i="210"/>
  <c r="D1758" i="210"/>
  <c r="K1758" i="210"/>
  <c r="L1758" i="210"/>
  <c r="N1758" i="210"/>
  <c r="P1758" i="210"/>
  <c r="Q1758" i="210"/>
  <c r="D1759" i="210"/>
  <c r="K1759" i="210"/>
  <c r="L1759" i="210"/>
  <c r="N1759" i="210"/>
  <c r="P1759" i="210"/>
  <c r="Q1759" i="210"/>
  <c r="D1760" i="210"/>
  <c r="K1760" i="210"/>
  <c r="L1760" i="210"/>
  <c r="N1760" i="210"/>
  <c r="P1760" i="210"/>
  <c r="Q1760" i="210"/>
  <c r="D1761" i="210"/>
  <c r="K1761" i="210"/>
  <c r="L1761" i="210"/>
  <c r="N1761" i="210"/>
  <c r="P1761" i="210"/>
  <c r="Q1761" i="210"/>
  <c r="D1762" i="210"/>
  <c r="K1762" i="210"/>
  <c r="L1762" i="210"/>
  <c r="N1762" i="210"/>
  <c r="P1762" i="210"/>
  <c r="Q1762" i="210"/>
  <c r="D1763" i="210"/>
  <c r="K1763" i="210"/>
  <c r="L1763" i="210"/>
  <c r="N1763" i="210"/>
  <c r="P1763" i="210"/>
  <c r="Q1763" i="210"/>
  <c r="D1764" i="210"/>
  <c r="K1764" i="210"/>
  <c r="L1764" i="210"/>
  <c r="N1764" i="210"/>
  <c r="P1764" i="210"/>
  <c r="Q1764" i="210"/>
  <c r="D1765" i="210"/>
  <c r="K1765" i="210"/>
  <c r="L1765" i="210"/>
  <c r="N1765" i="210"/>
  <c r="P1765" i="210"/>
  <c r="Q1765" i="210"/>
  <c r="D1766" i="210"/>
  <c r="K1766" i="210"/>
  <c r="L1766" i="210"/>
  <c r="N1766" i="210"/>
  <c r="P1766" i="210"/>
  <c r="Q1766" i="210"/>
  <c r="D1767" i="210"/>
  <c r="K1767" i="210"/>
  <c r="L1767" i="210"/>
  <c r="N1767" i="210"/>
  <c r="P1767" i="210"/>
  <c r="Q1767" i="210"/>
  <c r="D1768" i="210"/>
  <c r="K1768" i="210"/>
  <c r="L1768" i="210"/>
  <c r="N1768" i="210"/>
  <c r="P1768" i="210"/>
  <c r="Q1768" i="210"/>
  <c r="D1769" i="210"/>
  <c r="K1769" i="210"/>
  <c r="L1769" i="210"/>
  <c r="N1769" i="210"/>
  <c r="P1769" i="210"/>
  <c r="Q1769" i="210"/>
  <c r="C1772" i="210"/>
  <c r="C1773" i="210" s="1"/>
  <c r="C1774" i="210" s="1"/>
  <c r="E1772" i="210"/>
  <c r="E1773" i="210" s="1"/>
  <c r="E1774" i="210" s="1"/>
  <c r="E1776" i="210" s="1"/>
  <c r="E1778" i="210" s="1"/>
  <c r="E1780" i="210" s="1"/>
  <c r="E1782" i="210" s="1"/>
  <c r="E1784" i="210" s="1"/>
  <c r="E1786" i="210" s="1"/>
  <c r="E1788" i="210" s="1"/>
  <c r="E1790" i="210" s="1"/>
  <c r="E1792" i="210" s="1"/>
  <c r="E1794" i="210" s="1"/>
  <c r="H1772" i="210"/>
  <c r="I1772" i="210"/>
  <c r="J1772" i="210"/>
  <c r="I1773" i="210"/>
  <c r="I1774" i="210"/>
  <c r="D1776" i="210"/>
  <c r="K1776" i="210"/>
  <c r="L1776" i="210"/>
  <c r="N1776" i="210"/>
  <c r="P1776" i="210"/>
  <c r="Q1776" i="210"/>
  <c r="D1777" i="210"/>
  <c r="E1777" i="210"/>
  <c r="K1777" i="210"/>
  <c r="L1777" i="210"/>
  <c r="N1777" i="210"/>
  <c r="P1777" i="210"/>
  <c r="Q1777" i="210"/>
  <c r="D1778" i="210"/>
  <c r="K1778" i="210"/>
  <c r="L1778" i="210"/>
  <c r="N1778" i="210"/>
  <c r="P1778" i="210"/>
  <c r="Q1778" i="210"/>
  <c r="D1779" i="210"/>
  <c r="E1779" i="210"/>
  <c r="E1781" i="210" s="1"/>
  <c r="E1783" i="210" s="1"/>
  <c r="E1785" i="210" s="1"/>
  <c r="E1787" i="210" s="1"/>
  <c r="E1789" i="210" s="1"/>
  <c r="E1791" i="210" s="1"/>
  <c r="E1793" i="210" s="1"/>
  <c r="E1795" i="210" s="1"/>
  <c r="K1779" i="210"/>
  <c r="L1779" i="210"/>
  <c r="N1779" i="210"/>
  <c r="P1779" i="210"/>
  <c r="Q1779" i="210"/>
  <c r="D1780" i="210"/>
  <c r="K1780" i="210"/>
  <c r="L1780" i="210"/>
  <c r="N1780" i="210"/>
  <c r="P1780" i="210"/>
  <c r="Q1780" i="210"/>
  <c r="D1781" i="210"/>
  <c r="K1781" i="210"/>
  <c r="L1781" i="210"/>
  <c r="N1781" i="210"/>
  <c r="P1781" i="210"/>
  <c r="Q1781" i="210"/>
  <c r="D1782" i="210"/>
  <c r="K1782" i="210"/>
  <c r="L1782" i="210"/>
  <c r="N1782" i="210"/>
  <c r="P1782" i="210"/>
  <c r="Q1782" i="210"/>
  <c r="D1783" i="210"/>
  <c r="K1783" i="210"/>
  <c r="L1783" i="210"/>
  <c r="N1783" i="210"/>
  <c r="P1783" i="210"/>
  <c r="Q1783" i="210"/>
  <c r="D1784" i="210"/>
  <c r="K1784" i="210"/>
  <c r="L1784" i="210"/>
  <c r="N1784" i="210"/>
  <c r="P1784" i="210"/>
  <c r="Q1784" i="210"/>
  <c r="D1785" i="210"/>
  <c r="K1785" i="210"/>
  <c r="L1785" i="210"/>
  <c r="N1785" i="210"/>
  <c r="P1785" i="210"/>
  <c r="Q1785" i="210"/>
  <c r="D1786" i="210"/>
  <c r="K1786" i="210"/>
  <c r="L1786" i="210"/>
  <c r="N1786" i="210"/>
  <c r="P1786" i="210"/>
  <c r="Q1786" i="210"/>
  <c r="D1787" i="210"/>
  <c r="K1787" i="210"/>
  <c r="L1787" i="210"/>
  <c r="N1787" i="210"/>
  <c r="P1787" i="210"/>
  <c r="Q1787" i="210"/>
  <c r="D1788" i="210"/>
  <c r="K1788" i="210"/>
  <c r="L1788" i="210"/>
  <c r="N1788" i="210"/>
  <c r="P1788" i="210"/>
  <c r="Q1788" i="210"/>
  <c r="D1789" i="210"/>
  <c r="K1789" i="210"/>
  <c r="L1789" i="210"/>
  <c r="N1789" i="210"/>
  <c r="P1789" i="210"/>
  <c r="Q1789" i="210"/>
  <c r="D1790" i="210"/>
  <c r="K1790" i="210"/>
  <c r="L1790" i="210"/>
  <c r="N1790" i="210"/>
  <c r="P1790" i="210"/>
  <c r="Q1790" i="210"/>
  <c r="D1791" i="210"/>
  <c r="K1791" i="210"/>
  <c r="L1791" i="210"/>
  <c r="N1791" i="210"/>
  <c r="P1791" i="210"/>
  <c r="Q1791" i="210"/>
  <c r="D1792" i="210"/>
  <c r="K1792" i="210"/>
  <c r="L1792" i="210"/>
  <c r="N1792" i="210"/>
  <c r="P1792" i="210"/>
  <c r="Q1792" i="210"/>
  <c r="D1793" i="210"/>
  <c r="K1793" i="210"/>
  <c r="L1793" i="210"/>
  <c r="N1793" i="210"/>
  <c r="P1793" i="210"/>
  <c r="Q1793" i="210"/>
  <c r="D1794" i="210"/>
  <c r="K1794" i="210"/>
  <c r="L1794" i="210"/>
  <c r="N1794" i="210"/>
  <c r="P1794" i="210"/>
  <c r="Q1794" i="210"/>
  <c r="D1795" i="210"/>
  <c r="K1795" i="210"/>
  <c r="L1795" i="210"/>
  <c r="N1795" i="210"/>
  <c r="P1795" i="210"/>
  <c r="Q1795" i="210"/>
  <c r="C1798" i="210"/>
  <c r="C1799" i="210" s="1"/>
  <c r="C1800" i="210" s="1"/>
  <c r="H1798" i="210"/>
  <c r="E1798" i="210" s="1"/>
  <c r="E1799" i="210" s="1"/>
  <c r="E1800" i="210" s="1"/>
  <c r="E1802" i="210" s="1"/>
  <c r="I1798" i="210"/>
  <c r="J1798" i="210"/>
  <c r="I1799" i="210"/>
  <c r="I1800" i="210"/>
  <c r="D1802" i="210"/>
  <c r="K1802" i="210"/>
  <c r="L1802" i="210"/>
  <c r="N1802" i="210"/>
  <c r="P1802" i="210"/>
  <c r="Q1802" i="210"/>
  <c r="D1803" i="210"/>
  <c r="E1803" i="210"/>
  <c r="E1805" i="210" s="1"/>
  <c r="K1803" i="210"/>
  <c r="L1803" i="210"/>
  <c r="N1803" i="210"/>
  <c r="P1803" i="210"/>
  <c r="Q1803" i="210"/>
  <c r="D1804" i="210"/>
  <c r="E1804" i="210"/>
  <c r="E1806" i="210" s="1"/>
  <c r="E1808" i="210" s="1"/>
  <c r="E1810" i="210" s="1"/>
  <c r="E1812" i="210" s="1"/>
  <c r="E1814" i="210" s="1"/>
  <c r="E1816" i="210" s="1"/>
  <c r="K1804" i="210"/>
  <c r="L1804" i="210"/>
  <c r="N1804" i="210"/>
  <c r="P1804" i="210"/>
  <c r="Q1804" i="210"/>
  <c r="D1805" i="210"/>
  <c r="K1805" i="210"/>
  <c r="L1805" i="210"/>
  <c r="N1805" i="210"/>
  <c r="P1805" i="210"/>
  <c r="Q1805" i="210"/>
  <c r="D1806" i="210"/>
  <c r="K1806" i="210"/>
  <c r="L1806" i="210"/>
  <c r="N1806" i="210"/>
  <c r="P1806" i="210"/>
  <c r="Q1806" i="210"/>
  <c r="D1807" i="210"/>
  <c r="E1807" i="210"/>
  <c r="E1809" i="210" s="1"/>
  <c r="E1811" i="210" s="1"/>
  <c r="E1813" i="210" s="1"/>
  <c r="E1815" i="210" s="1"/>
  <c r="K1807" i="210"/>
  <c r="L1807" i="210"/>
  <c r="N1807" i="210"/>
  <c r="P1807" i="210"/>
  <c r="Q1807" i="210"/>
  <c r="D1808" i="210"/>
  <c r="K1808" i="210"/>
  <c r="L1808" i="210"/>
  <c r="N1808" i="210"/>
  <c r="P1808" i="210"/>
  <c r="Q1808" i="210"/>
  <c r="D1809" i="210"/>
  <c r="K1809" i="210"/>
  <c r="L1809" i="210"/>
  <c r="N1809" i="210"/>
  <c r="P1809" i="210"/>
  <c r="Q1809" i="210"/>
  <c r="D1810" i="210"/>
  <c r="K1810" i="210"/>
  <c r="L1810" i="210"/>
  <c r="N1810" i="210"/>
  <c r="P1810" i="210"/>
  <c r="Q1810" i="210"/>
  <c r="D1811" i="210"/>
  <c r="K1811" i="210"/>
  <c r="L1811" i="210"/>
  <c r="N1811" i="210"/>
  <c r="P1811" i="210"/>
  <c r="Q1811" i="210"/>
  <c r="D1812" i="210"/>
  <c r="K1812" i="210"/>
  <c r="L1812" i="210"/>
  <c r="N1812" i="210"/>
  <c r="P1812" i="210"/>
  <c r="Q1812" i="210"/>
  <c r="D1813" i="210"/>
  <c r="K1813" i="210"/>
  <c r="L1813" i="210"/>
  <c r="N1813" i="210"/>
  <c r="P1813" i="210"/>
  <c r="Q1813" i="210"/>
  <c r="D1814" i="210"/>
  <c r="K1814" i="210"/>
  <c r="L1814" i="210"/>
  <c r="N1814" i="210"/>
  <c r="P1814" i="210"/>
  <c r="Q1814" i="210"/>
  <c r="D1815" i="210"/>
  <c r="K1815" i="210"/>
  <c r="L1815" i="210"/>
  <c r="N1815" i="210"/>
  <c r="P1815" i="210"/>
  <c r="Q1815" i="210"/>
  <c r="D1816" i="210"/>
  <c r="K1816" i="210"/>
  <c r="L1816" i="210"/>
  <c r="N1816" i="210"/>
  <c r="P1816" i="210"/>
  <c r="Q1816" i="210"/>
  <c r="C1819" i="210"/>
  <c r="H1819" i="210"/>
  <c r="E1819" i="210" s="1"/>
  <c r="E1820" i="210" s="1"/>
  <c r="E1821" i="210" s="1"/>
  <c r="E1823" i="210" s="1"/>
  <c r="E1825" i="210" s="1"/>
  <c r="E1827" i="210" s="1"/>
  <c r="E1829" i="210" s="1"/>
  <c r="E1831" i="210" s="1"/>
  <c r="E1833" i="210" s="1"/>
  <c r="E1835" i="210" s="1"/>
  <c r="E1837" i="210" s="1"/>
  <c r="E1839" i="210" s="1"/>
  <c r="E1841" i="210" s="1"/>
  <c r="E1843" i="210" s="1"/>
  <c r="E1845" i="210" s="1"/>
  <c r="E1847" i="210" s="1"/>
  <c r="E1849" i="210" s="1"/>
  <c r="E1851" i="210" s="1"/>
  <c r="E1853" i="210" s="1"/>
  <c r="E1855" i="210" s="1"/>
  <c r="E1857" i="210" s="1"/>
  <c r="E1859" i="210" s="1"/>
  <c r="E1861" i="210" s="1"/>
  <c r="E1863" i="210" s="1"/>
  <c r="E1865" i="210" s="1"/>
  <c r="E1867" i="210" s="1"/>
  <c r="E1869" i="210" s="1"/>
  <c r="E1871" i="210" s="1"/>
  <c r="E1873" i="210" s="1"/>
  <c r="E1875" i="210" s="1"/>
  <c r="E1877" i="210" s="1"/>
  <c r="E1879" i="210" s="1"/>
  <c r="E1881" i="210" s="1"/>
  <c r="E1883" i="210" s="1"/>
  <c r="E1885" i="210" s="1"/>
  <c r="E1887" i="210" s="1"/>
  <c r="E1889" i="210" s="1"/>
  <c r="E1891" i="210" s="1"/>
  <c r="E1893" i="210" s="1"/>
  <c r="E1895" i="210" s="1"/>
  <c r="I1819" i="210"/>
  <c r="J1819" i="210"/>
  <c r="C1820" i="210"/>
  <c r="C1821" i="210" s="1"/>
  <c r="I1820" i="210"/>
  <c r="I1821" i="210"/>
  <c r="D1823" i="210"/>
  <c r="K1823" i="210"/>
  <c r="L1823" i="210"/>
  <c r="N1823" i="210"/>
  <c r="P1823" i="210"/>
  <c r="Q1823" i="210"/>
  <c r="D1824" i="210"/>
  <c r="E1824" i="210"/>
  <c r="E1826" i="210" s="1"/>
  <c r="E1828" i="210" s="1"/>
  <c r="E1830" i="210" s="1"/>
  <c r="E1832" i="210" s="1"/>
  <c r="E1834" i="210" s="1"/>
  <c r="E1836" i="210" s="1"/>
  <c r="E1838" i="210" s="1"/>
  <c r="E1840" i="210" s="1"/>
  <c r="E1842" i="210" s="1"/>
  <c r="E1844" i="210" s="1"/>
  <c r="E1846" i="210" s="1"/>
  <c r="E1848" i="210" s="1"/>
  <c r="E1850" i="210" s="1"/>
  <c r="E1852" i="210" s="1"/>
  <c r="E1854" i="210" s="1"/>
  <c r="E1856" i="210" s="1"/>
  <c r="E1858" i="210" s="1"/>
  <c r="E1860" i="210" s="1"/>
  <c r="E1862" i="210" s="1"/>
  <c r="E1864" i="210" s="1"/>
  <c r="E1866" i="210" s="1"/>
  <c r="E1868" i="210" s="1"/>
  <c r="E1870" i="210" s="1"/>
  <c r="E1872" i="210" s="1"/>
  <c r="E1874" i="210" s="1"/>
  <c r="E1876" i="210" s="1"/>
  <c r="E1878" i="210" s="1"/>
  <c r="E1880" i="210" s="1"/>
  <c r="E1882" i="210" s="1"/>
  <c r="E1884" i="210" s="1"/>
  <c r="E1886" i="210" s="1"/>
  <c r="E1888" i="210" s="1"/>
  <c r="E1890" i="210" s="1"/>
  <c r="E1892" i="210" s="1"/>
  <c r="E1894" i="210" s="1"/>
  <c r="K1824" i="210"/>
  <c r="L1824" i="210"/>
  <c r="N1824" i="210"/>
  <c r="P1824" i="210"/>
  <c r="Q1824" i="210"/>
  <c r="D1825" i="210"/>
  <c r="K1825" i="210"/>
  <c r="L1825" i="210"/>
  <c r="N1825" i="210"/>
  <c r="P1825" i="210"/>
  <c r="Q1825" i="210"/>
  <c r="D1826" i="210"/>
  <c r="K1826" i="210"/>
  <c r="L1826" i="210"/>
  <c r="N1826" i="210"/>
  <c r="P1826" i="210"/>
  <c r="Q1826" i="210"/>
  <c r="D1827" i="210"/>
  <c r="K1827" i="210"/>
  <c r="L1827" i="210"/>
  <c r="N1827" i="210"/>
  <c r="P1827" i="210"/>
  <c r="Q1827" i="210"/>
  <c r="D1828" i="210"/>
  <c r="K1828" i="210"/>
  <c r="L1828" i="210"/>
  <c r="N1828" i="210"/>
  <c r="P1828" i="210"/>
  <c r="Q1828" i="210"/>
  <c r="D1829" i="210"/>
  <c r="K1829" i="210"/>
  <c r="L1829" i="210"/>
  <c r="N1829" i="210"/>
  <c r="P1829" i="210"/>
  <c r="Q1829" i="210"/>
  <c r="D1830" i="210"/>
  <c r="K1830" i="210"/>
  <c r="L1830" i="210"/>
  <c r="N1830" i="210"/>
  <c r="P1830" i="210"/>
  <c r="Q1830" i="210"/>
  <c r="D1831" i="210"/>
  <c r="K1831" i="210"/>
  <c r="L1831" i="210"/>
  <c r="N1831" i="210"/>
  <c r="P1831" i="210"/>
  <c r="Q1831" i="210"/>
  <c r="D1832" i="210"/>
  <c r="K1832" i="210"/>
  <c r="L1832" i="210"/>
  <c r="N1832" i="210"/>
  <c r="P1832" i="210"/>
  <c r="Q1832" i="210"/>
  <c r="D1833" i="210"/>
  <c r="K1833" i="210"/>
  <c r="L1833" i="210"/>
  <c r="N1833" i="210"/>
  <c r="P1833" i="210"/>
  <c r="Q1833" i="210"/>
  <c r="D1834" i="210"/>
  <c r="K1834" i="210"/>
  <c r="L1834" i="210"/>
  <c r="N1834" i="210"/>
  <c r="P1834" i="210"/>
  <c r="Q1834" i="210"/>
  <c r="D1835" i="210"/>
  <c r="K1835" i="210"/>
  <c r="L1835" i="210"/>
  <c r="N1835" i="210"/>
  <c r="P1835" i="210"/>
  <c r="Q1835" i="210"/>
  <c r="D1836" i="210"/>
  <c r="K1836" i="210"/>
  <c r="L1836" i="210"/>
  <c r="N1836" i="210"/>
  <c r="P1836" i="210"/>
  <c r="Q1836" i="210"/>
  <c r="D1837" i="210"/>
  <c r="K1837" i="210"/>
  <c r="L1837" i="210"/>
  <c r="N1837" i="210"/>
  <c r="P1837" i="210"/>
  <c r="Q1837" i="210"/>
  <c r="D1838" i="210"/>
  <c r="K1838" i="210"/>
  <c r="L1838" i="210"/>
  <c r="N1838" i="210"/>
  <c r="P1838" i="210"/>
  <c r="Q1838" i="210"/>
  <c r="D1839" i="210"/>
  <c r="K1839" i="210"/>
  <c r="L1839" i="210"/>
  <c r="N1839" i="210"/>
  <c r="P1839" i="210"/>
  <c r="Q1839" i="210"/>
  <c r="D1840" i="210"/>
  <c r="K1840" i="210"/>
  <c r="L1840" i="210"/>
  <c r="N1840" i="210"/>
  <c r="P1840" i="210"/>
  <c r="Q1840" i="210"/>
  <c r="D1841" i="210"/>
  <c r="K1841" i="210"/>
  <c r="L1841" i="210"/>
  <c r="N1841" i="210"/>
  <c r="P1841" i="210"/>
  <c r="Q1841" i="210"/>
  <c r="D1842" i="210"/>
  <c r="K1842" i="210"/>
  <c r="L1842" i="210"/>
  <c r="N1842" i="210"/>
  <c r="P1842" i="210"/>
  <c r="Q1842" i="210"/>
  <c r="D1843" i="210"/>
  <c r="K1843" i="210"/>
  <c r="L1843" i="210"/>
  <c r="N1843" i="210"/>
  <c r="P1843" i="210"/>
  <c r="Q1843" i="210"/>
  <c r="D1844" i="210"/>
  <c r="K1844" i="210"/>
  <c r="L1844" i="210"/>
  <c r="N1844" i="210"/>
  <c r="P1844" i="210"/>
  <c r="Q1844" i="210"/>
  <c r="D1845" i="210"/>
  <c r="K1845" i="210"/>
  <c r="L1845" i="210"/>
  <c r="N1845" i="210"/>
  <c r="P1845" i="210"/>
  <c r="Q1845" i="210"/>
  <c r="D1846" i="210"/>
  <c r="K1846" i="210"/>
  <c r="L1846" i="210"/>
  <c r="N1846" i="210"/>
  <c r="P1846" i="210"/>
  <c r="Q1846" i="210"/>
  <c r="D1847" i="210"/>
  <c r="K1847" i="210"/>
  <c r="L1847" i="210"/>
  <c r="N1847" i="210"/>
  <c r="P1847" i="210"/>
  <c r="Q1847" i="210"/>
  <c r="D1848" i="210"/>
  <c r="K1848" i="210"/>
  <c r="L1848" i="210"/>
  <c r="N1848" i="210"/>
  <c r="P1848" i="210"/>
  <c r="Q1848" i="210"/>
  <c r="D1849" i="210"/>
  <c r="K1849" i="210"/>
  <c r="L1849" i="210"/>
  <c r="N1849" i="210"/>
  <c r="P1849" i="210"/>
  <c r="Q1849" i="210"/>
  <c r="D1850" i="210"/>
  <c r="K1850" i="210"/>
  <c r="L1850" i="210"/>
  <c r="N1850" i="210"/>
  <c r="P1850" i="210"/>
  <c r="Q1850" i="210"/>
  <c r="D1851" i="210"/>
  <c r="K1851" i="210"/>
  <c r="L1851" i="210"/>
  <c r="N1851" i="210"/>
  <c r="P1851" i="210"/>
  <c r="Q1851" i="210"/>
  <c r="D1852" i="210"/>
  <c r="K1852" i="210"/>
  <c r="L1852" i="210"/>
  <c r="N1852" i="210"/>
  <c r="P1852" i="210"/>
  <c r="Q1852" i="210"/>
  <c r="D1853" i="210"/>
  <c r="K1853" i="210"/>
  <c r="L1853" i="210"/>
  <c r="N1853" i="210"/>
  <c r="P1853" i="210"/>
  <c r="Q1853" i="210"/>
  <c r="D1854" i="210"/>
  <c r="K1854" i="210"/>
  <c r="L1854" i="210"/>
  <c r="N1854" i="210"/>
  <c r="P1854" i="210"/>
  <c r="Q1854" i="210"/>
  <c r="D1855" i="210"/>
  <c r="K1855" i="210"/>
  <c r="L1855" i="210"/>
  <c r="N1855" i="210"/>
  <c r="P1855" i="210"/>
  <c r="Q1855" i="210"/>
  <c r="D1856" i="210"/>
  <c r="K1856" i="210"/>
  <c r="L1856" i="210"/>
  <c r="N1856" i="210"/>
  <c r="P1856" i="210"/>
  <c r="Q1856" i="210"/>
  <c r="D1857" i="210"/>
  <c r="K1857" i="210"/>
  <c r="L1857" i="210"/>
  <c r="N1857" i="210"/>
  <c r="P1857" i="210"/>
  <c r="Q1857" i="210"/>
  <c r="D1858" i="210"/>
  <c r="K1858" i="210"/>
  <c r="L1858" i="210"/>
  <c r="N1858" i="210"/>
  <c r="P1858" i="210"/>
  <c r="Q1858" i="210"/>
  <c r="D1859" i="210"/>
  <c r="K1859" i="210"/>
  <c r="L1859" i="210"/>
  <c r="N1859" i="210"/>
  <c r="P1859" i="210"/>
  <c r="Q1859" i="210"/>
  <c r="D1860" i="210"/>
  <c r="K1860" i="210"/>
  <c r="L1860" i="210"/>
  <c r="N1860" i="210"/>
  <c r="P1860" i="210"/>
  <c r="Q1860" i="210"/>
  <c r="D1861" i="210"/>
  <c r="K1861" i="210"/>
  <c r="L1861" i="210"/>
  <c r="N1861" i="210"/>
  <c r="P1861" i="210"/>
  <c r="Q1861" i="210"/>
  <c r="D1862" i="210"/>
  <c r="K1862" i="210"/>
  <c r="L1862" i="210"/>
  <c r="N1862" i="210"/>
  <c r="P1862" i="210"/>
  <c r="Q1862" i="210"/>
  <c r="D1863" i="210"/>
  <c r="K1863" i="210"/>
  <c r="L1863" i="210"/>
  <c r="N1863" i="210"/>
  <c r="P1863" i="210"/>
  <c r="Q1863" i="210"/>
  <c r="D1864" i="210"/>
  <c r="K1864" i="210"/>
  <c r="L1864" i="210"/>
  <c r="N1864" i="210"/>
  <c r="P1864" i="210"/>
  <c r="Q1864" i="210"/>
  <c r="D1865" i="210"/>
  <c r="K1865" i="210"/>
  <c r="L1865" i="210"/>
  <c r="N1865" i="210"/>
  <c r="P1865" i="210"/>
  <c r="Q1865" i="210"/>
  <c r="D1866" i="210"/>
  <c r="K1866" i="210"/>
  <c r="L1866" i="210"/>
  <c r="N1866" i="210"/>
  <c r="P1866" i="210"/>
  <c r="Q1866" i="210"/>
  <c r="D1867" i="210"/>
  <c r="K1867" i="210"/>
  <c r="L1867" i="210"/>
  <c r="N1867" i="210"/>
  <c r="P1867" i="210"/>
  <c r="Q1867" i="210"/>
  <c r="D1868" i="210"/>
  <c r="K1868" i="210"/>
  <c r="L1868" i="210"/>
  <c r="N1868" i="210"/>
  <c r="P1868" i="210"/>
  <c r="Q1868" i="210"/>
  <c r="D1869" i="210"/>
  <c r="K1869" i="210"/>
  <c r="L1869" i="210"/>
  <c r="N1869" i="210"/>
  <c r="P1869" i="210"/>
  <c r="Q1869" i="210"/>
  <c r="D1870" i="210"/>
  <c r="K1870" i="210"/>
  <c r="L1870" i="210"/>
  <c r="N1870" i="210"/>
  <c r="P1870" i="210"/>
  <c r="Q1870" i="210"/>
  <c r="D1871" i="210"/>
  <c r="K1871" i="210"/>
  <c r="L1871" i="210"/>
  <c r="N1871" i="210"/>
  <c r="P1871" i="210"/>
  <c r="Q1871" i="210"/>
  <c r="D1872" i="210"/>
  <c r="K1872" i="210"/>
  <c r="L1872" i="210"/>
  <c r="N1872" i="210"/>
  <c r="P1872" i="210"/>
  <c r="Q1872" i="210"/>
  <c r="D1873" i="210"/>
  <c r="K1873" i="210"/>
  <c r="L1873" i="210"/>
  <c r="N1873" i="210"/>
  <c r="P1873" i="210"/>
  <c r="Q1873" i="210"/>
  <c r="D1874" i="210"/>
  <c r="K1874" i="210"/>
  <c r="L1874" i="210"/>
  <c r="N1874" i="210"/>
  <c r="P1874" i="210"/>
  <c r="Q1874" i="210"/>
  <c r="D1875" i="210"/>
  <c r="K1875" i="210"/>
  <c r="L1875" i="210"/>
  <c r="N1875" i="210"/>
  <c r="P1875" i="210"/>
  <c r="Q1875" i="210"/>
  <c r="D1876" i="210"/>
  <c r="K1876" i="210"/>
  <c r="L1876" i="210"/>
  <c r="N1876" i="210"/>
  <c r="P1876" i="210"/>
  <c r="Q1876" i="210"/>
  <c r="D1877" i="210"/>
  <c r="K1877" i="210"/>
  <c r="L1877" i="210"/>
  <c r="N1877" i="210"/>
  <c r="P1877" i="210"/>
  <c r="Q1877" i="210"/>
  <c r="D1878" i="210"/>
  <c r="K1878" i="210"/>
  <c r="L1878" i="210"/>
  <c r="N1878" i="210"/>
  <c r="P1878" i="210"/>
  <c r="Q1878" i="210"/>
  <c r="D1879" i="210"/>
  <c r="K1879" i="210"/>
  <c r="L1879" i="210"/>
  <c r="N1879" i="210"/>
  <c r="P1879" i="210"/>
  <c r="Q1879" i="210"/>
  <c r="D1880" i="210"/>
  <c r="K1880" i="210"/>
  <c r="L1880" i="210"/>
  <c r="N1880" i="210"/>
  <c r="P1880" i="210"/>
  <c r="Q1880" i="210"/>
  <c r="D1881" i="210"/>
  <c r="K1881" i="210"/>
  <c r="L1881" i="210"/>
  <c r="N1881" i="210"/>
  <c r="P1881" i="210"/>
  <c r="Q1881" i="210"/>
  <c r="D1882" i="210"/>
  <c r="K1882" i="210"/>
  <c r="L1882" i="210"/>
  <c r="N1882" i="210"/>
  <c r="P1882" i="210"/>
  <c r="Q1882" i="210"/>
  <c r="D1883" i="210"/>
  <c r="K1883" i="210"/>
  <c r="L1883" i="210"/>
  <c r="N1883" i="210"/>
  <c r="P1883" i="210"/>
  <c r="Q1883" i="210"/>
  <c r="D1884" i="210"/>
  <c r="K1884" i="210"/>
  <c r="L1884" i="210"/>
  <c r="N1884" i="210"/>
  <c r="P1884" i="210"/>
  <c r="Q1884" i="210"/>
  <c r="D1885" i="210"/>
  <c r="K1885" i="210"/>
  <c r="L1885" i="210"/>
  <c r="N1885" i="210"/>
  <c r="P1885" i="210"/>
  <c r="Q1885" i="210"/>
  <c r="D1886" i="210"/>
  <c r="K1886" i="210"/>
  <c r="L1886" i="210"/>
  <c r="N1886" i="210"/>
  <c r="P1886" i="210"/>
  <c r="Q1886" i="210"/>
  <c r="D1887" i="210"/>
  <c r="K1887" i="210"/>
  <c r="L1887" i="210"/>
  <c r="N1887" i="210"/>
  <c r="P1887" i="210"/>
  <c r="Q1887" i="210"/>
  <c r="D1888" i="210"/>
  <c r="K1888" i="210"/>
  <c r="L1888" i="210"/>
  <c r="N1888" i="210"/>
  <c r="P1888" i="210"/>
  <c r="Q1888" i="210"/>
  <c r="D1889" i="210"/>
  <c r="K1889" i="210"/>
  <c r="L1889" i="210"/>
  <c r="N1889" i="210"/>
  <c r="P1889" i="210"/>
  <c r="Q1889" i="210"/>
  <c r="D1890" i="210"/>
  <c r="K1890" i="210"/>
  <c r="L1890" i="210"/>
  <c r="N1890" i="210"/>
  <c r="P1890" i="210"/>
  <c r="Q1890" i="210"/>
  <c r="D1891" i="210"/>
  <c r="K1891" i="210"/>
  <c r="L1891" i="210"/>
  <c r="N1891" i="210"/>
  <c r="P1891" i="210"/>
  <c r="Q1891" i="210"/>
  <c r="D1892" i="210"/>
  <c r="K1892" i="210"/>
  <c r="L1892" i="210"/>
  <c r="N1892" i="210"/>
  <c r="P1892" i="210"/>
  <c r="Q1892" i="210"/>
  <c r="D1893" i="210"/>
  <c r="K1893" i="210"/>
  <c r="L1893" i="210"/>
  <c r="N1893" i="210"/>
  <c r="P1893" i="210"/>
  <c r="Q1893" i="210"/>
  <c r="D1894" i="210"/>
  <c r="K1894" i="210"/>
  <c r="L1894" i="210"/>
  <c r="N1894" i="210"/>
  <c r="P1894" i="210"/>
  <c r="Q1894" i="210"/>
  <c r="D1895" i="210"/>
  <c r="K1895" i="210"/>
  <c r="L1895" i="210"/>
  <c r="N1895" i="210"/>
  <c r="P1895" i="210"/>
  <c r="Q1895" i="210"/>
  <c r="C1898" i="210"/>
  <c r="E1898" i="210"/>
  <c r="E1899" i="210" s="1"/>
  <c r="E1900" i="210" s="1"/>
  <c r="E1902" i="210" s="1"/>
  <c r="E1904" i="210" s="1"/>
  <c r="E1906" i="210" s="1"/>
  <c r="E1908" i="210" s="1"/>
  <c r="E1910" i="210" s="1"/>
  <c r="E1912" i="210" s="1"/>
  <c r="E1914" i="210" s="1"/>
  <c r="E1916" i="210" s="1"/>
  <c r="H1898" i="210"/>
  <c r="I1898" i="210"/>
  <c r="J1898" i="210"/>
  <c r="C1899" i="210"/>
  <c r="C1900" i="210" s="1"/>
  <c r="I1899" i="210"/>
  <c r="I1900" i="210"/>
  <c r="D1902" i="210"/>
  <c r="K1902" i="210"/>
  <c r="L1902" i="210"/>
  <c r="N1902" i="210"/>
  <c r="P1902" i="210"/>
  <c r="Q1902" i="210"/>
  <c r="Q1898" i="210" s="1"/>
  <c r="D1903" i="210"/>
  <c r="E1903" i="210"/>
  <c r="E1905" i="210" s="1"/>
  <c r="E1907" i="210" s="1"/>
  <c r="E1909" i="210" s="1"/>
  <c r="E1911" i="210" s="1"/>
  <c r="E1913" i="210" s="1"/>
  <c r="E1915" i="210" s="1"/>
  <c r="K1903" i="210"/>
  <c r="L1903" i="210"/>
  <c r="N1903" i="210"/>
  <c r="P1903" i="210"/>
  <c r="Q1903" i="210"/>
  <c r="D1904" i="210"/>
  <c r="K1904" i="210"/>
  <c r="L1904" i="210"/>
  <c r="N1904" i="210"/>
  <c r="P1904" i="210"/>
  <c r="Q1904" i="210"/>
  <c r="D1905" i="210"/>
  <c r="K1905" i="210"/>
  <c r="L1905" i="210"/>
  <c r="N1905" i="210"/>
  <c r="P1905" i="210"/>
  <c r="Q1905" i="210"/>
  <c r="D1906" i="210"/>
  <c r="K1906" i="210"/>
  <c r="L1906" i="210"/>
  <c r="N1906" i="210"/>
  <c r="P1906" i="210"/>
  <c r="Q1906" i="210"/>
  <c r="D1907" i="210"/>
  <c r="K1907" i="210"/>
  <c r="L1907" i="210"/>
  <c r="N1907" i="210"/>
  <c r="P1907" i="210"/>
  <c r="Q1907" i="210"/>
  <c r="D1908" i="210"/>
  <c r="K1908" i="210"/>
  <c r="L1908" i="210"/>
  <c r="N1908" i="210"/>
  <c r="P1908" i="210"/>
  <c r="Q1908" i="210"/>
  <c r="D1909" i="210"/>
  <c r="K1909" i="210"/>
  <c r="L1909" i="210"/>
  <c r="N1909" i="210"/>
  <c r="P1909" i="210"/>
  <c r="Q1909" i="210"/>
  <c r="D1910" i="210"/>
  <c r="K1910" i="210"/>
  <c r="L1910" i="210"/>
  <c r="N1910" i="210"/>
  <c r="P1910" i="210"/>
  <c r="Q1910" i="210"/>
  <c r="D1911" i="210"/>
  <c r="K1911" i="210"/>
  <c r="L1911" i="210"/>
  <c r="N1911" i="210"/>
  <c r="P1911" i="210"/>
  <c r="Q1911" i="210"/>
  <c r="D1912" i="210"/>
  <c r="K1912" i="210"/>
  <c r="L1912" i="210"/>
  <c r="N1912" i="210"/>
  <c r="P1912" i="210"/>
  <c r="Q1912" i="210"/>
  <c r="D1913" i="210"/>
  <c r="K1913" i="210"/>
  <c r="L1913" i="210"/>
  <c r="N1913" i="210"/>
  <c r="P1913" i="210"/>
  <c r="Q1913" i="210"/>
  <c r="D1914" i="210"/>
  <c r="K1914" i="210"/>
  <c r="L1914" i="210"/>
  <c r="N1914" i="210"/>
  <c r="P1914" i="210"/>
  <c r="Q1914" i="210"/>
  <c r="D1915" i="210"/>
  <c r="K1915" i="210"/>
  <c r="L1915" i="210"/>
  <c r="N1915" i="210"/>
  <c r="P1915" i="210"/>
  <c r="Q1915" i="210"/>
  <c r="D1916" i="210"/>
  <c r="K1916" i="210"/>
  <c r="L1916" i="210"/>
  <c r="N1916" i="210"/>
  <c r="P1916" i="210"/>
  <c r="Q1916" i="210"/>
  <c r="C1919" i="210"/>
  <c r="C1920" i="210" s="1"/>
  <c r="C1921" i="210" s="1"/>
  <c r="H1919" i="210"/>
  <c r="E1919" i="210" s="1"/>
  <c r="E1920" i="210" s="1"/>
  <c r="E1921" i="210" s="1"/>
  <c r="E1923" i="210" s="1"/>
  <c r="E1925" i="210" s="1"/>
  <c r="E1927" i="210" s="1"/>
  <c r="E1929" i="210" s="1"/>
  <c r="E1931" i="210" s="1"/>
  <c r="E1933" i="210" s="1"/>
  <c r="E1935" i="210" s="1"/>
  <c r="E1937" i="210" s="1"/>
  <c r="E1939" i="210" s="1"/>
  <c r="E1941" i="210" s="1"/>
  <c r="E1943" i="210" s="1"/>
  <c r="E1945" i="210" s="1"/>
  <c r="E1947" i="210" s="1"/>
  <c r="E1949" i="210" s="1"/>
  <c r="E1951" i="210" s="1"/>
  <c r="E1953" i="210" s="1"/>
  <c r="E1955" i="210" s="1"/>
  <c r="E1957" i="210" s="1"/>
  <c r="E1959" i="210" s="1"/>
  <c r="E1961" i="210" s="1"/>
  <c r="E1963" i="210" s="1"/>
  <c r="E1965" i="210" s="1"/>
  <c r="E1967" i="210" s="1"/>
  <c r="E1969" i="210" s="1"/>
  <c r="E1971" i="210" s="1"/>
  <c r="E1973" i="210" s="1"/>
  <c r="E1975" i="210" s="1"/>
  <c r="E1977" i="210" s="1"/>
  <c r="E1979" i="210" s="1"/>
  <c r="E1981" i="210" s="1"/>
  <c r="E1983" i="210" s="1"/>
  <c r="E1985" i="210" s="1"/>
  <c r="E1987" i="210" s="1"/>
  <c r="E1989" i="210" s="1"/>
  <c r="E1991" i="210" s="1"/>
  <c r="E1993" i="210" s="1"/>
  <c r="E1995" i="210" s="1"/>
  <c r="E1997" i="210" s="1"/>
  <c r="E1999" i="210" s="1"/>
  <c r="E2001" i="210" s="1"/>
  <c r="E2003" i="210" s="1"/>
  <c r="E2005" i="210" s="1"/>
  <c r="E2007" i="210" s="1"/>
  <c r="E2009" i="210" s="1"/>
  <c r="E2011" i="210" s="1"/>
  <c r="E2013" i="210" s="1"/>
  <c r="E2015" i="210" s="1"/>
  <c r="E2017" i="210" s="1"/>
  <c r="E2019" i="210" s="1"/>
  <c r="E2021" i="210" s="1"/>
  <c r="E2023" i="210" s="1"/>
  <c r="E2025" i="210" s="1"/>
  <c r="E2027" i="210" s="1"/>
  <c r="E2029" i="210" s="1"/>
  <c r="E2031" i="210" s="1"/>
  <c r="E2033" i="210" s="1"/>
  <c r="E2035" i="210" s="1"/>
  <c r="E2037" i="210" s="1"/>
  <c r="E2039" i="210" s="1"/>
  <c r="E2041" i="210" s="1"/>
  <c r="E2043" i="210" s="1"/>
  <c r="E2045" i="210" s="1"/>
  <c r="E2047" i="210" s="1"/>
  <c r="I1919" i="210"/>
  <c r="J1919" i="210"/>
  <c r="I1920" i="210"/>
  <c r="I1921" i="210"/>
  <c r="D1923" i="210"/>
  <c r="K1923" i="210"/>
  <c r="L1923" i="210"/>
  <c r="N1923" i="210"/>
  <c r="P1923" i="210"/>
  <c r="Q1923" i="210"/>
  <c r="D1924" i="210"/>
  <c r="E1924" i="210"/>
  <c r="K1924" i="210"/>
  <c r="L1924" i="210"/>
  <c r="N1924" i="210"/>
  <c r="P1924" i="210"/>
  <c r="Q1924" i="210"/>
  <c r="D1925" i="210"/>
  <c r="K1925" i="210"/>
  <c r="L1925" i="210"/>
  <c r="N1925" i="210"/>
  <c r="P1925" i="210"/>
  <c r="Q1925" i="210"/>
  <c r="D1926" i="210"/>
  <c r="E1926" i="210"/>
  <c r="E1928" i="210" s="1"/>
  <c r="E1930" i="210" s="1"/>
  <c r="E1932" i="210" s="1"/>
  <c r="E1934" i="210" s="1"/>
  <c r="E1936" i="210" s="1"/>
  <c r="E1938" i="210" s="1"/>
  <c r="E1940" i="210" s="1"/>
  <c r="E1942" i="210" s="1"/>
  <c r="E1944" i="210" s="1"/>
  <c r="E1946" i="210" s="1"/>
  <c r="E1948" i="210" s="1"/>
  <c r="E1950" i="210" s="1"/>
  <c r="E1952" i="210" s="1"/>
  <c r="E1954" i="210" s="1"/>
  <c r="E1956" i="210" s="1"/>
  <c r="E1958" i="210" s="1"/>
  <c r="E1960" i="210" s="1"/>
  <c r="E1962" i="210" s="1"/>
  <c r="E1964" i="210" s="1"/>
  <c r="E1966" i="210" s="1"/>
  <c r="E1968" i="210" s="1"/>
  <c r="E1970" i="210" s="1"/>
  <c r="E1972" i="210" s="1"/>
  <c r="E1974" i="210" s="1"/>
  <c r="E1976" i="210" s="1"/>
  <c r="E1978" i="210" s="1"/>
  <c r="E1980" i="210" s="1"/>
  <c r="E1982" i="210" s="1"/>
  <c r="E1984" i="210" s="1"/>
  <c r="E1986" i="210" s="1"/>
  <c r="E1988" i="210" s="1"/>
  <c r="E1990" i="210" s="1"/>
  <c r="E1992" i="210" s="1"/>
  <c r="E1994" i="210" s="1"/>
  <c r="E1996" i="210" s="1"/>
  <c r="E1998" i="210" s="1"/>
  <c r="E2000" i="210" s="1"/>
  <c r="E2002" i="210" s="1"/>
  <c r="E2004" i="210" s="1"/>
  <c r="E2006" i="210" s="1"/>
  <c r="E2008" i="210" s="1"/>
  <c r="E2010" i="210" s="1"/>
  <c r="E2012" i="210" s="1"/>
  <c r="E2014" i="210" s="1"/>
  <c r="E2016" i="210" s="1"/>
  <c r="E2018" i="210" s="1"/>
  <c r="E2020" i="210" s="1"/>
  <c r="E2022" i="210" s="1"/>
  <c r="E2024" i="210" s="1"/>
  <c r="E2026" i="210" s="1"/>
  <c r="E2028" i="210" s="1"/>
  <c r="E2030" i="210" s="1"/>
  <c r="E2032" i="210" s="1"/>
  <c r="E2034" i="210" s="1"/>
  <c r="E2036" i="210" s="1"/>
  <c r="E2038" i="210" s="1"/>
  <c r="E2040" i="210" s="1"/>
  <c r="E2042" i="210" s="1"/>
  <c r="E2044" i="210" s="1"/>
  <c r="E2046" i="210" s="1"/>
  <c r="E2048" i="210" s="1"/>
  <c r="E2050" i="210" s="1"/>
  <c r="E2052" i="210" s="1"/>
  <c r="E2054" i="210" s="1"/>
  <c r="E2056" i="210" s="1"/>
  <c r="E2058" i="210" s="1"/>
  <c r="E2060" i="210" s="1"/>
  <c r="E2062" i="210" s="1"/>
  <c r="E2064" i="210" s="1"/>
  <c r="K1926" i="210"/>
  <c r="L1926" i="210"/>
  <c r="N1926" i="210"/>
  <c r="P1926" i="210"/>
  <c r="Q1926" i="210"/>
  <c r="D1927" i="210"/>
  <c r="K1927" i="210"/>
  <c r="L1927" i="210"/>
  <c r="N1927" i="210"/>
  <c r="P1927" i="210"/>
  <c r="Q1927" i="210"/>
  <c r="D1928" i="210"/>
  <c r="K1928" i="210"/>
  <c r="L1928" i="210"/>
  <c r="N1928" i="210"/>
  <c r="P1928" i="210"/>
  <c r="Q1928" i="210"/>
  <c r="D1929" i="210"/>
  <c r="K1929" i="210"/>
  <c r="L1929" i="210"/>
  <c r="N1929" i="210"/>
  <c r="P1929" i="210"/>
  <c r="Q1929" i="210"/>
  <c r="D1930" i="210"/>
  <c r="K1930" i="210"/>
  <c r="L1930" i="210"/>
  <c r="N1930" i="210"/>
  <c r="P1930" i="210"/>
  <c r="Q1930" i="210"/>
  <c r="D1931" i="210"/>
  <c r="K1931" i="210"/>
  <c r="L1931" i="210"/>
  <c r="N1931" i="210"/>
  <c r="P1931" i="210"/>
  <c r="Q1931" i="210"/>
  <c r="D1932" i="210"/>
  <c r="K1932" i="210"/>
  <c r="L1932" i="210"/>
  <c r="N1932" i="210"/>
  <c r="P1932" i="210"/>
  <c r="Q1932" i="210"/>
  <c r="D1933" i="210"/>
  <c r="K1933" i="210"/>
  <c r="L1933" i="210"/>
  <c r="N1933" i="210"/>
  <c r="P1933" i="210"/>
  <c r="Q1933" i="210"/>
  <c r="D1934" i="210"/>
  <c r="K1934" i="210"/>
  <c r="L1934" i="210"/>
  <c r="N1934" i="210"/>
  <c r="P1934" i="210"/>
  <c r="Q1934" i="210"/>
  <c r="D1935" i="210"/>
  <c r="K1935" i="210"/>
  <c r="L1935" i="210"/>
  <c r="N1935" i="210"/>
  <c r="P1935" i="210"/>
  <c r="Q1935" i="210"/>
  <c r="D1936" i="210"/>
  <c r="K1936" i="210"/>
  <c r="L1936" i="210"/>
  <c r="N1936" i="210"/>
  <c r="P1936" i="210"/>
  <c r="Q1936" i="210"/>
  <c r="D1937" i="210"/>
  <c r="K1937" i="210"/>
  <c r="L1937" i="210"/>
  <c r="N1937" i="210"/>
  <c r="P1937" i="210"/>
  <c r="Q1937" i="210"/>
  <c r="D1938" i="210"/>
  <c r="K1938" i="210"/>
  <c r="L1938" i="210"/>
  <c r="N1938" i="210"/>
  <c r="P1938" i="210"/>
  <c r="Q1938" i="210"/>
  <c r="D1939" i="210"/>
  <c r="K1939" i="210"/>
  <c r="L1939" i="210"/>
  <c r="N1939" i="210"/>
  <c r="P1939" i="210"/>
  <c r="Q1939" i="210"/>
  <c r="D1940" i="210"/>
  <c r="K1940" i="210"/>
  <c r="L1940" i="210"/>
  <c r="N1940" i="210"/>
  <c r="P1940" i="210"/>
  <c r="Q1940" i="210"/>
  <c r="D1941" i="210"/>
  <c r="K1941" i="210"/>
  <c r="L1941" i="210"/>
  <c r="N1941" i="210"/>
  <c r="P1941" i="210"/>
  <c r="Q1941" i="210"/>
  <c r="D1942" i="210"/>
  <c r="K1942" i="210"/>
  <c r="L1942" i="210"/>
  <c r="N1942" i="210"/>
  <c r="P1942" i="210"/>
  <c r="Q1942" i="210"/>
  <c r="D1943" i="210"/>
  <c r="K1943" i="210"/>
  <c r="L1943" i="210"/>
  <c r="N1943" i="210"/>
  <c r="P1943" i="210"/>
  <c r="Q1943" i="210"/>
  <c r="D1944" i="210"/>
  <c r="K1944" i="210"/>
  <c r="L1944" i="210"/>
  <c r="N1944" i="210"/>
  <c r="P1944" i="210"/>
  <c r="Q1944" i="210"/>
  <c r="D1945" i="210"/>
  <c r="K1945" i="210"/>
  <c r="L1945" i="210"/>
  <c r="N1945" i="210"/>
  <c r="P1945" i="210"/>
  <c r="Q1945" i="210"/>
  <c r="D1946" i="210"/>
  <c r="K1946" i="210"/>
  <c r="L1946" i="210"/>
  <c r="N1946" i="210"/>
  <c r="P1946" i="210"/>
  <c r="Q1946" i="210"/>
  <c r="D1947" i="210"/>
  <c r="K1947" i="210"/>
  <c r="L1947" i="210"/>
  <c r="N1947" i="210"/>
  <c r="P1947" i="210"/>
  <c r="Q1947" i="210"/>
  <c r="D1948" i="210"/>
  <c r="K1948" i="210"/>
  <c r="L1948" i="210"/>
  <c r="N1948" i="210"/>
  <c r="P1948" i="210"/>
  <c r="Q1948" i="210"/>
  <c r="D1949" i="210"/>
  <c r="K1949" i="210"/>
  <c r="L1949" i="210"/>
  <c r="N1949" i="210"/>
  <c r="P1949" i="210"/>
  <c r="Q1949" i="210"/>
  <c r="D1950" i="210"/>
  <c r="K1950" i="210"/>
  <c r="L1950" i="210"/>
  <c r="N1950" i="210"/>
  <c r="P1950" i="210"/>
  <c r="Q1950" i="210"/>
  <c r="D1951" i="210"/>
  <c r="K1951" i="210"/>
  <c r="L1951" i="210"/>
  <c r="N1951" i="210"/>
  <c r="P1951" i="210"/>
  <c r="Q1951" i="210"/>
  <c r="D1952" i="210"/>
  <c r="K1952" i="210"/>
  <c r="L1952" i="210"/>
  <c r="N1952" i="210"/>
  <c r="P1952" i="210"/>
  <c r="Q1952" i="210"/>
  <c r="D1953" i="210"/>
  <c r="K1953" i="210"/>
  <c r="L1953" i="210"/>
  <c r="N1953" i="210"/>
  <c r="P1953" i="210"/>
  <c r="Q1953" i="210"/>
  <c r="D1954" i="210"/>
  <c r="K1954" i="210"/>
  <c r="L1954" i="210"/>
  <c r="N1954" i="210"/>
  <c r="P1954" i="210"/>
  <c r="Q1954" i="210"/>
  <c r="D1955" i="210"/>
  <c r="K1955" i="210"/>
  <c r="L1955" i="210"/>
  <c r="N1955" i="210"/>
  <c r="P1955" i="210"/>
  <c r="Q1955" i="210"/>
  <c r="D1956" i="210"/>
  <c r="K1956" i="210"/>
  <c r="L1956" i="210"/>
  <c r="N1956" i="210"/>
  <c r="P1956" i="210"/>
  <c r="Q1956" i="210"/>
  <c r="D1957" i="210"/>
  <c r="K1957" i="210"/>
  <c r="L1957" i="210"/>
  <c r="N1957" i="210"/>
  <c r="P1957" i="210"/>
  <c r="Q1957" i="210"/>
  <c r="D1958" i="210"/>
  <c r="K1958" i="210"/>
  <c r="L1958" i="210"/>
  <c r="N1958" i="210"/>
  <c r="P1958" i="210"/>
  <c r="Q1958" i="210"/>
  <c r="D1959" i="210"/>
  <c r="K1959" i="210"/>
  <c r="L1959" i="210"/>
  <c r="N1959" i="210"/>
  <c r="P1959" i="210"/>
  <c r="Q1959" i="210"/>
  <c r="D1960" i="210"/>
  <c r="K1960" i="210"/>
  <c r="L1960" i="210"/>
  <c r="N1960" i="210"/>
  <c r="P1960" i="210"/>
  <c r="Q1960" i="210"/>
  <c r="D1961" i="210"/>
  <c r="K1961" i="210"/>
  <c r="L1961" i="210"/>
  <c r="N1961" i="210"/>
  <c r="P1961" i="210"/>
  <c r="Q1961" i="210"/>
  <c r="D1962" i="210"/>
  <c r="K1962" i="210"/>
  <c r="L1962" i="210"/>
  <c r="N1962" i="210"/>
  <c r="P1962" i="210"/>
  <c r="Q1962" i="210"/>
  <c r="D1963" i="210"/>
  <c r="K1963" i="210"/>
  <c r="L1963" i="210"/>
  <c r="N1963" i="210"/>
  <c r="P1963" i="210"/>
  <c r="Q1963" i="210"/>
  <c r="D1964" i="210"/>
  <c r="K1964" i="210"/>
  <c r="L1964" i="210"/>
  <c r="N1964" i="210"/>
  <c r="P1964" i="210"/>
  <c r="Q1964" i="210"/>
  <c r="D1965" i="210"/>
  <c r="K1965" i="210"/>
  <c r="L1965" i="210"/>
  <c r="N1965" i="210"/>
  <c r="P1965" i="210"/>
  <c r="Q1965" i="210"/>
  <c r="D1966" i="210"/>
  <c r="K1966" i="210"/>
  <c r="L1966" i="210"/>
  <c r="N1966" i="210"/>
  <c r="P1966" i="210"/>
  <c r="Q1966" i="210"/>
  <c r="D1967" i="210"/>
  <c r="K1967" i="210"/>
  <c r="L1967" i="210"/>
  <c r="N1967" i="210"/>
  <c r="P1967" i="210"/>
  <c r="Q1967" i="210"/>
  <c r="D1968" i="210"/>
  <c r="K1968" i="210"/>
  <c r="L1968" i="210"/>
  <c r="N1968" i="210"/>
  <c r="P1968" i="210"/>
  <c r="Q1968" i="210"/>
  <c r="D1969" i="210"/>
  <c r="K1969" i="210"/>
  <c r="L1969" i="210"/>
  <c r="N1969" i="210"/>
  <c r="P1969" i="210"/>
  <c r="Q1969" i="210"/>
  <c r="D1970" i="210"/>
  <c r="K1970" i="210"/>
  <c r="L1970" i="210"/>
  <c r="N1970" i="210"/>
  <c r="P1970" i="210"/>
  <c r="Q1970" i="210"/>
  <c r="D1971" i="210"/>
  <c r="K1971" i="210"/>
  <c r="L1971" i="210"/>
  <c r="N1971" i="210"/>
  <c r="P1971" i="210"/>
  <c r="Q1971" i="210"/>
  <c r="D1972" i="210"/>
  <c r="K1972" i="210"/>
  <c r="L1972" i="210"/>
  <c r="N1972" i="210"/>
  <c r="P1972" i="210"/>
  <c r="Q1972" i="210"/>
  <c r="D1973" i="210"/>
  <c r="K1973" i="210"/>
  <c r="L1973" i="210"/>
  <c r="N1973" i="210"/>
  <c r="P1973" i="210"/>
  <c r="Q1973" i="210"/>
  <c r="D1974" i="210"/>
  <c r="K1974" i="210"/>
  <c r="L1974" i="210"/>
  <c r="N1974" i="210"/>
  <c r="P1974" i="210"/>
  <c r="Q1974" i="210"/>
  <c r="D1975" i="210"/>
  <c r="K1975" i="210"/>
  <c r="L1975" i="210"/>
  <c r="N1975" i="210"/>
  <c r="P1975" i="210"/>
  <c r="Q1975" i="210"/>
  <c r="D1976" i="210"/>
  <c r="K1976" i="210"/>
  <c r="L1976" i="210"/>
  <c r="N1976" i="210"/>
  <c r="P1976" i="210"/>
  <c r="Q1976" i="210"/>
  <c r="D1977" i="210"/>
  <c r="K1977" i="210"/>
  <c r="L1977" i="210"/>
  <c r="N1977" i="210"/>
  <c r="P1977" i="210"/>
  <c r="Q1977" i="210"/>
  <c r="D1978" i="210"/>
  <c r="K1978" i="210"/>
  <c r="L1978" i="210"/>
  <c r="N1978" i="210"/>
  <c r="P1978" i="210"/>
  <c r="Q1978" i="210"/>
  <c r="D1979" i="210"/>
  <c r="K1979" i="210"/>
  <c r="L1979" i="210"/>
  <c r="N1979" i="210"/>
  <c r="P1979" i="210"/>
  <c r="Q1979" i="210"/>
  <c r="D1980" i="210"/>
  <c r="K1980" i="210"/>
  <c r="L1980" i="210"/>
  <c r="N1980" i="210"/>
  <c r="P1980" i="210"/>
  <c r="Q1980" i="210"/>
  <c r="D1981" i="210"/>
  <c r="K1981" i="210"/>
  <c r="L1981" i="210"/>
  <c r="N1981" i="210"/>
  <c r="P1981" i="210"/>
  <c r="Q1981" i="210"/>
  <c r="D1982" i="210"/>
  <c r="K1982" i="210"/>
  <c r="L1982" i="210"/>
  <c r="N1982" i="210"/>
  <c r="P1982" i="210"/>
  <c r="Q1982" i="210"/>
  <c r="D1983" i="210"/>
  <c r="K1983" i="210"/>
  <c r="L1983" i="210"/>
  <c r="N1983" i="210"/>
  <c r="P1983" i="210"/>
  <c r="Q1983" i="210"/>
  <c r="D1984" i="210"/>
  <c r="K1984" i="210"/>
  <c r="L1984" i="210"/>
  <c r="N1984" i="210"/>
  <c r="P1984" i="210"/>
  <c r="Q1984" i="210"/>
  <c r="D1985" i="210"/>
  <c r="K1985" i="210"/>
  <c r="L1985" i="210"/>
  <c r="N1985" i="210"/>
  <c r="P1985" i="210"/>
  <c r="Q1985" i="210"/>
  <c r="D1986" i="210"/>
  <c r="K1986" i="210"/>
  <c r="L1986" i="210"/>
  <c r="N1986" i="210"/>
  <c r="P1986" i="210"/>
  <c r="Q1986" i="210"/>
  <c r="D1987" i="210"/>
  <c r="K1987" i="210"/>
  <c r="L1987" i="210"/>
  <c r="N1987" i="210"/>
  <c r="P1987" i="210"/>
  <c r="Q1987" i="210"/>
  <c r="D1988" i="210"/>
  <c r="K1988" i="210"/>
  <c r="L1988" i="210"/>
  <c r="N1988" i="210"/>
  <c r="P1988" i="210"/>
  <c r="Q1988" i="210"/>
  <c r="D1989" i="210"/>
  <c r="K1989" i="210"/>
  <c r="L1989" i="210"/>
  <c r="N1989" i="210"/>
  <c r="P1989" i="210"/>
  <c r="Q1989" i="210"/>
  <c r="D1990" i="210"/>
  <c r="K1990" i="210"/>
  <c r="L1990" i="210"/>
  <c r="N1990" i="210"/>
  <c r="P1990" i="210"/>
  <c r="Q1990" i="210"/>
  <c r="D1991" i="210"/>
  <c r="K1991" i="210"/>
  <c r="L1991" i="210"/>
  <c r="N1991" i="210"/>
  <c r="P1991" i="210"/>
  <c r="Q1991" i="210"/>
  <c r="D1992" i="210"/>
  <c r="K1992" i="210"/>
  <c r="L1992" i="210"/>
  <c r="N1992" i="210"/>
  <c r="P1992" i="210"/>
  <c r="Q1992" i="210"/>
  <c r="D1993" i="210"/>
  <c r="K1993" i="210"/>
  <c r="L1993" i="210"/>
  <c r="N1993" i="210"/>
  <c r="P1993" i="210"/>
  <c r="Q1993" i="210"/>
  <c r="D1994" i="210"/>
  <c r="K1994" i="210"/>
  <c r="L1994" i="210"/>
  <c r="N1994" i="210"/>
  <c r="P1994" i="210"/>
  <c r="Q1994" i="210"/>
  <c r="D1995" i="210"/>
  <c r="K1995" i="210"/>
  <c r="L1995" i="210"/>
  <c r="N1995" i="210"/>
  <c r="P1995" i="210"/>
  <c r="Q1995" i="210"/>
  <c r="D1996" i="210"/>
  <c r="K1996" i="210"/>
  <c r="L1996" i="210"/>
  <c r="N1996" i="210"/>
  <c r="P1996" i="210"/>
  <c r="Q1996" i="210"/>
  <c r="D1997" i="210"/>
  <c r="K1997" i="210"/>
  <c r="L1997" i="210"/>
  <c r="N1997" i="210"/>
  <c r="P1997" i="210"/>
  <c r="Q1997" i="210"/>
  <c r="D1998" i="210"/>
  <c r="K1998" i="210"/>
  <c r="L1998" i="210"/>
  <c r="N1998" i="210"/>
  <c r="P1998" i="210"/>
  <c r="Q1998" i="210"/>
  <c r="D1999" i="210"/>
  <c r="K1999" i="210"/>
  <c r="L1999" i="210"/>
  <c r="N1999" i="210"/>
  <c r="P1999" i="210"/>
  <c r="Q1999" i="210"/>
  <c r="D2000" i="210"/>
  <c r="K2000" i="210"/>
  <c r="L2000" i="210"/>
  <c r="N2000" i="210"/>
  <c r="P2000" i="210"/>
  <c r="Q2000" i="210"/>
  <c r="D2001" i="210"/>
  <c r="K2001" i="210"/>
  <c r="L2001" i="210"/>
  <c r="N2001" i="210"/>
  <c r="P2001" i="210"/>
  <c r="Q2001" i="210"/>
  <c r="D2002" i="210"/>
  <c r="K2002" i="210"/>
  <c r="L2002" i="210"/>
  <c r="N2002" i="210"/>
  <c r="P2002" i="210"/>
  <c r="Q2002" i="210"/>
  <c r="D2003" i="210"/>
  <c r="K2003" i="210"/>
  <c r="L2003" i="210"/>
  <c r="N2003" i="210"/>
  <c r="P2003" i="210"/>
  <c r="Q2003" i="210"/>
  <c r="D2004" i="210"/>
  <c r="K2004" i="210"/>
  <c r="L2004" i="210"/>
  <c r="N2004" i="210"/>
  <c r="P2004" i="210"/>
  <c r="Q2004" i="210"/>
  <c r="D2005" i="210"/>
  <c r="K2005" i="210"/>
  <c r="L2005" i="210"/>
  <c r="N2005" i="210"/>
  <c r="P2005" i="210"/>
  <c r="Q2005" i="210"/>
  <c r="D2006" i="210"/>
  <c r="K2006" i="210"/>
  <c r="L2006" i="210"/>
  <c r="N2006" i="210"/>
  <c r="P2006" i="210"/>
  <c r="Q2006" i="210"/>
  <c r="D2007" i="210"/>
  <c r="K2007" i="210"/>
  <c r="L2007" i="210"/>
  <c r="N2007" i="210"/>
  <c r="P2007" i="210"/>
  <c r="Q2007" i="210"/>
  <c r="D2008" i="210"/>
  <c r="K2008" i="210"/>
  <c r="L2008" i="210"/>
  <c r="N2008" i="210"/>
  <c r="P2008" i="210"/>
  <c r="Q2008" i="210"/>
  <c r="D2009" i="210"/>
  <c r="K2009" i="210"/>
  <c r="L2009" i="210"/>
  <c r="N2009" i="210"/>
  <c r="P2009" i="210"/>
  <c r="Q2009" i="210"/>
  <c r="D2010" i="210"/>
  <c r="K2010" i="210"/>
  <c r="L2010" i="210"/>
  <c r="N2010" i="210"/>
  <c r="P2010" i="210"/>
  <c r="Q2010" i="210"/>
  <c r="D2011" i="210"/>
  <c r="K2011" i="210"/>
  <c r="L2011" i="210"/>
  <c r="N2011" i="210"/>
  <c r="P2011" i="210"/>
  <c r="Q2011" i="210"/>
  <c r="D2012" i="210"/>
  <c r="K2012" i="210"/>
  <c r="L2012" i="210"/>
  <c r="N2012" i="210"/>
  <c r="P2012" i="210"/>
  <c r="Q2012" i="210"/>
  <c r="D2013" i="210"/>
  <c r="K2013" i="210"/>
  <c r="L2013" i="210"/>
  <c r="N2013" i="210"/>
  <c r="P2013" i="210"/>
  <c r="Q2013" i="210"/>
  <c r="D2014" i="210"/>
  <c r="K2014" i="210"/>
  <c r="L2014" i="210"/>
  <c r="N2014" i="210"/>
  <c r="P2014" i="210"/>
  <c r="Q2014" i="210"/>
  <c r="D2015" i="210"/>
  <c r="K2015" i="210"/>
  <c r="L2015" i="210"/>
  <c r="N2015" i="210"/>
  <c r="P2015" i="210"/>
  <c r="Q2015" i="210"/>
  <c r="D2016" i="210"/>
  <c r="K2016" i="210"/>
  <c r="L2016" i="210"/>
  <c r="N2016" i="210"/>
  <c r="P2016" i="210"/>
  <c r="Q2016" i="210"/>
  <c r="D2017" i="210"/>
  <c r="K2017" i="210"/>
  <c r="L2017" i="210"/>
  <c r="N2017" i="210"/>
  <c r="P2017" i="210"/>
  <c r="Q2017" i="210"/>
  <c r="D2018" i="210"/>
  <c r="K2018" i="210"/>
  <c r="L2018" i="210"/>
  <c r="N2018" i="210"/>
  <c r="P2018" i="210"/>
  <c r="Q2018" i="210"/>
  <c r="D2019" i="210"/>
  <c r="K2019" i="210"/>
  <c r="L2019" i="210"/>
  <c r="N2019" i="210"/>
  <c r="P2019" i="210"/>
  <c r="Q2019" i="210"/>
  <c r="D2020" i="210"/>
  <c r="K2020" i="210"/>
  <c r="L2020" i="210"/>
  <c r="N2020" i="210"/>
  <c r="P2020" i="210"/>
  <c r="Q2020" i="210"/>
  <c r="D2021" i="210"/>
  <c r="K2021" i="210"/>
  <c r="L2021" i="210"/>
  <c r="N2021" i="210"/>
  <c r="P2021" i="210"/>
  <c r="Q2021" i="210"/>
  <c r="D2022" i="210"/>
  <c r="K2022" i="210"/>
  <c r="L2022" i="210"/>
  <c r="N2022" i="210"/>
  <c r="P2022" i="210"/>
  <c r="Q2022" i="210"/>
  <c r="D2023" i="210"/>
  <c r="K2023" i="210"/>
  <c r="L2023" i="210"/>
  <c r="N2023" i="210"/>
  <c r="P2023" i="210"/>
  <c r="Q2023" i="210"/>
  <c r="D2024" i="210"/>
  <c r="K2024" i="210"/>
  <c r="L2024" i="210"/>
  <c r="N2024" i="210"/>
  <c r="P2024" i="210"/>
  <c r="Q2024" i="210"/>
  <c r="D2025" i="210"/>
  <c r="K2025" i="210"/>
  <c r="L2025" i="210"/>
  <c r="N2025" i="210"/>
  <c r="P2025" i="210"/>
  <c r="Q2025" i="210"/>
  <c r="D2026" i="210"/>
  <c r="K2026" i="210"/>
  <c r="L2026" i="210"/>
  <c r="N2026" i="210"/>
  <c r="P2026" i="210"/>
  <c r="Q2026" i="210"/>
  <c r="D2027" i="210"/>
  <c r="K2027" i="210"/>
  <c r="L2027" i="210"/>
  <c r="N2027" i="210"/>
  <c r="P2027" i="210"/>
  <c r="Q2027" i="210"/>
  <c r="D2028" i="210"/>
  <c r="K2028" i="210"/>
  <c r="L2028" i="210"/>
  <c r="N2028" i="210"/>
  <c r="P2028" i="210"/>
  <c r="Q2028" i="210"/>
  <c r="D2029" i="210"/>
  <c r="K2029" i="210"/>
  <c r="L2029" i="210"/>
  <c r="N2029" i="210"/>
  <c r="P2029" i="210"/>
  <c r="Q2029" i="210"/>
  <c r="D2030" i="210"/>
  <c r="K2030" i="210"/>
  <c r="L2030" i="210"/>
  <c r="N2030" i="210"/>
  <c r="P2030" i="210"/>
  <c r="Q2030" i="210"/>
  <c r="D2031" i="210"/>
  <c r="K2031" i="210"/>
  <c r="L2031" i="210"/>
  <c r="N2031" i="210"/>
  <c r="P2031" i="210"/>
  <c r="Q2031" i="210"/>
  <c r="D2032" i="210"/>
  <c r="K2032" i="210"/>
  <c r="L2032" i="210"/>
  <c r="N2032" i="210"/>
  <c r="P2032" i="210"/>
  <c r="Q2032" i="210"/>
  <c r="D2033" i="210"/>
  <c r="K2033" i="210"/>
  <c r="L2033" i="210"/>
  <c r="N2033" i="210"/>
  <c r="P2033" i="210"/>
  <c r="Q2033" i="210"/>
  <c r="D2034" i="210"/>
  <c r="K2034" i="210"/>
  <c r="L2034" i="210"/>
  <c r="N2034" i="210"/>
  <c r="P2034" i="210"/>
  <c r="Q2034" i="210"/>
  <c r="D2035" i="210"/>
  <c r="K2035" i="210"/>
  <c r="L2035" i="210"/>
  <c r="N2035" i="210"/>
  <c r="P2035" i="210"/>
  <c r="Q2035" i="210"/>
  <c r="D2036" i="210"/>
  <c r="K2036" i="210"/>
  <c r="L2036" i="210"/>
  <c r="N2036" i="210"/>
  <c r="P2036" i="210"/>
  <c r="Q2036" i="210"/>
  <c r="D2037" i="210"/>
  <c r="K2037" i="210"/>
  <c r="L2037" i="210"/>
  <c r="N2037" i="210"/>
  <c r="P2037" i="210"/>
  <c r="Q2037" i="210"/>
  <c r="D2038" i="210"/>
  <c r="K2038" i="210"/>
  <c r="L2038" i="210"/>
  <c r="N2038" i="210"/>
  <c r="P2038" i="210"/>
  <c r="Q2038" i="210"/>
  <c r="D2039" i="210"/>
  <c r="K2039" i="210"/>
  <c r="L2039" i="210"/>
  <c r="N2039" i="210"/>
  <c r="P2039" i="210"/>
  <c r="Q2039" i="210"/>
  <c r="D2040" i="210"/>
  <c r="K2040" i="210"/>
  <c r="L2040" i="210"/>
  <c r="N2040" i="210"/>
  <c r="P2040" i="210"/>
  <c r="Q2040" i="210"/>
  <c r="D2041" i="210"/>
  <c r="K2041" i="210"/>
  <c r="L2041" i="210"/>
  <c r="N2041" i="210"/>
  <c r="P2041" i="210"/>
  <c r="Q2041" i="210"/>
  <c r="D2042" i="210"/>
  <c r="K2042" i="210"/>
  <c r="L2042" i="210"/>
  <c r="N2042" i="210"/>
  <c r="P2042" i="210"/>
  <c r="Q2042" i="210"/>
  <c r="D2043" i="210"/>
  <c r="K2043" i="210"/>
  <c r="L2043" i="210"/>
  <c r="N2043" i="210"/>
  <c r="P2043" i="210"/>
  <c r="Q2043" i="210"/>
  <c r="D2044" i="210"/>
  <c r="K2044" i="210"/>
  <c r="L2044" i="210"/>
  <c r="N2044" i="210"/>
  <c r="P2044" i="210"/>
  <c r="Q2044" i="210"/>
  <c r="D2045" i="210"/>
  <c r="K2045" i="210"/>
  <c r="L2045" i="210"/>
  <c r="N2045" i="210"/>
  <c r="P2045" i="210"/>
  <c r="Q2045" i="210"/>
  <c r="D2046" i="210"/>
  <c r="K2046" i="210"/>
  <c r="L2046" i="210"/>
  <c r="N2046" i="210"/>
  <c r="P2046" i="210"/>
  <c r="Q2046" i="210"/>
  <c r="D2047" i="210"/>
  <c r="K2047" i="210"/>
  <c r="L2047" i="210"/>
  <c r="N2047" i="210"/>
  <c r="P2047" i="210"/>
  <c r="Q2047" i="210"/>
  <c r="D2048" i="210"/>
  <c r="K2048" i="210"/>
  <c r="L2048" i="210"/>
  <c r="N2048" i="210"/>
  <c r="P2048" i="210"/>
  <c r="Q2048" i="210"/>
  <c r="D2049" i="210"/>
  <c r="E2049" i="210"/>
  <c r="E2051" i="210" s="1"/>
  <c r="E2053" i="210" s="1"/>
  <c r="E2055" i="210" s="1"/>
  <c r="E2057" i="210" s="1"/>
  <c r="E2059" i="210" s="1"/>
  <c r="E2061" i="210" s="1"/>
  <c r="E2063" i="210" s="1"/>
  <c r="E2065" i="210" s="1"/>
  <c r="K2049" i="210"/>
  <c r="L2049" i="210"/>
  <c r="N2049" i="210"/>
  <c r="P2049" i="210"/>
  <c r="Q2049" i="210"/>
  <c r="D2050" i="210"/>
  <c r="K2050" i="210"/>
  <c r="L2050" i="210"/>
  <c r="N2050" i="210"/>
  <c r="P2050" i="210"/>
  <c r="Q2050" i="210"/>
  <c r="D2051" i="210"/>
  <c r="K2051" i="210"/>
  <c r="L2051" i="210"/>
  <c r="N2051" i="210"/>
  <c r="P2051" i="210"/>
  <c r="Q2051" i="210"/>
  <c r="D2052" i="210"/>
  <c r="K2052" i="210"/>
  <c r="L2052" i="210"/>
  <c r="N2052" i="210"/>
  <c r="P2052" i="210"/>
  <c r="Q2052" i="210"/>
  <c r="D2053" i="210"/>
  <c r="K2053" i="210"/>
  <c r="L2053" i="210"/>
  <c r="N2053" i="210"/>
  <c r="P2053" i="210"/>
  <c r="Q2053" i="210"/>
  <c r="D2054" i="210"/>
  <c r="K2054" i="210"/>
  <c r="L2054" i="210"/>
  <c r="N2054" i="210"/>
  <c r="P2054" i="210"/>
  <c r="Q2054" i="210"/>
  <c r="D2055" i="210"/>
  <c r="K2055" i="210"/>
  <c r="L2055" i="210"/>
  <c r="N2055" i="210"/>
  <c r="P2055" i="210"/>
  <c r="Q2055" i="210"/>
  <c r="D2056" i="210"/>
  <c r="K2056" i="210"/>
  <c r="L2056" i="210"/>
  <c r="N2056" i="210"/>
  <c r="P2056" i="210"/>
  <c r="Q2056" i="210"/>
  <c r="D2057" i="210"/>
  <c r="K2057" i="210"/>
  <c r="L2057" i="210"/>
  <c r="N2057" i="210"/>
  <c r="P2057" i="210"/>
  <c r="Q2057" i="210"/>
  <c r="D2058" i="210"/>
  <c r="K2058" i="210"/>
  <c r="L2058" i="210"/>
  <c r="N2058" i="210"/>
  <c r="P2058" i="210"/>
  <c r="Q2058" i="210"/>
  <c r="D2059" i="210"/>
  <c r="K2059" i="210"/>
  <c r="L2059" i="210"/>
  <c r="N2059" i="210"/>
  <c r="P2059" i="210"/>
  <c r="Q2059" i="210"/>
  <c r="D2060" i="210"/>
  <c r="K2060" i="210"/>
  <c r="L2060" i="210"/>
  <c r="N2060" i="210"/>
  <c r="P2060" i="210"/>
  <c r="Q2060" i="210"/>
  <c r="D2061" i="210"/>
  <c r="K2061" i="210"/>
  <c r="L2061" i="210"/>
  <c r="N2061" i="210"/>
  <c r="P2061" i="210"/>
  <c r="Q2061" i="210"/>
  <c r="D2062" i="210"/>
  <c r="K2062" i="210"/>
  <c r="L2062" i="210"/>
  <c r="N2062" i="210"/>
  <c r="P2062" i="210"/>
  <c r="Q2062" i="210"/>
  <c r="D2063" i="210"/>
  <c r="K2063" i="210"/>
  <c r="L2063" i="210"/>
  <c r="N2063" i="210"/>
  <c r="P2063" i="210"/>
  <c r="Q2063" i="210"/>
  <c r="D2064" i="210"/>
  <c r="K2064" i="210"/>
  <c r="L2064" i="210"/>
  <c r="N2064" i="210"/>
  <c r="P2064" i="210"/>
  <c r="Q2064" i="210"/>
  <c r="D2065" i="210"/>
  <c r="K2065" i="210"/>
  <c r="L2065" i="210"/>
  <c r="N2065" i="210"/>
  <c r="P2065" i="210"/>
  <c r="Q2065" i="210"/>
  <c r="C2068" i="210"/>
  <c r="C2069" i="210" s="1"/>
  <c r="C2070" i="210" s="1"/>
  <c r="H2068" i="210"/>
  <c r="E2068" i="210" s="1"/>
  <c r="E2069" i="210" s="1"/>
  <c r="I2068" i="210"/>
  <c r="J2068" i="210"/>
  <c r="I2069" i="210"/>
  <c r="E2070" i="210"/>
  <c r="E2072" i="210" s="1"/>
  <c r="E2074" i="210" s="1"/>
  <c r="E2076" i="210" s="1"/>
  <c r="E2078" i="210" s="1"/>
  <c r="E2080" i="210" s="1"/>
  <c r="E2082" i="210" s="1"/>
  <c r="I2070" i="210"/>
  <c r="D2072" i="210"/>
  <c r="K2072" i="210"/>
  <c r="L2072" i="210"/>
  <c r="N2072" i="210"/>
  <c r="P2072" i="210"/>
  <c r="Q2072" i="210"/>
  <c r="D2073" i="210"/>
  <c r="E2073" i="210"/>
  <c r="E2075" i="210" s="1"/>
  <c r="K2073" i="210"/>
  <c r="L2073" i="210"/>
  <c r="N2073" i="210"/>
  <c r="P2073" i="210"/>
  <c r="Q2073" i="210"/>
  <c r="D2074" i="210"/>
  <c r="K2074" i="210"/>
  <c r="L2074" i="210"/>
  <c r="N2074" i="210"/>
  <c r="P2074" i="210"/>
  <c r="Q2074" i="210"/>
  <c r="D2075" i="210"/>
  <c r="K2075" i="210"/>
  <c r="L2075" i="210"/>
  <c r="N2075" i="210"/>
  <c r="P2075" i="210"/>
  <c r="Q2075" i="210"/>
  <c r="D2076" i="210"/>
  <c r="K2076" i="210"/>
  <c r="L2076" i="210"/>
  <c r="N2076" i="210"/>
  <c r="P2076" i="210"/>
  <c r="Q2076" i="210"/>
  <c r="D2077" i="210"/>
  <c r="E2077" i="210"/>
  <c r="E2079" i="210" s="1"/>
  <c r="E2081" i="210" s="1"/>
  <c r="K2077" i="210"/>
  <c r="L2077" i="210"/>
  <c r="N2077" i="210"/>
  <c r="P2077" i="210"/>
  <c r="Q2077" i="210"/>
  <c r="D2078" i="210"/>
  <c r="K2078" i="210"/>
  <c r="L2078" i="210"/>
  <c r="N2078" i="210"/>
  <c r="P2078" i="210"/>
  <c r="Q2078" i="210"/>
  <c r="D2079" i="210"/>
  <c r="K2079" i="210"/>
  <c r="L2079" i="210"/>
  <c r="N2079" i="210"/>
  <c r="P2079" i="210"/>
  <c r="Q2079" i="210"/>
  <c r="D2080" i="210"/>
  <c r="K2080" i="210"/>
  <c r="L2080" i="210"/>
  <c r="N2080" i="210"/>
  <c r="P2080" i="210"/>
  <c r="Q2080" i="210"/>
  <c r="D2081" i="210"/>
  <c r="K2081" i="210"/>
  <c r="L2081" i="210"/>
  <c r="N2081" i="210"/>
  <c r="P2081" i="210"/>
  <c r="Q2081" i="210"/>
  <c r="D2082" i="210"/>
  <c r="K2082" i="210"/>
  <c r="L2082" i="210"/>
  <c r="N2082" i="210"/>
  <c r="P2082" i="210"/>
  <c r="Q2082" i="210"/>
  <c r="C2085" i="210"/>
  <c r="C2086" i="210" s="1"/>
  <c r="C2087" i="210" s="1"/>
  <c r="H2085" i="210"/>
  <c r="E2085" i="210" s="1"/>
  <c r="E2086" i="210" s="1"/>
  <c r="E2087" i="210" s="1"/>
  <c r="E2089" i="210" s="1"/>
  <c r="E2091" i="210" s="1"/>
  <c r="E2093" i="210" s="1"/>
  <c r="E2095" i="210" s="1"/>
  <c r="E2097" i="210" s="1"/>
  <c r="E2099" i="210" s="1"/>
  <c r="E2101" i="210" s="1"/>
  <c r="E2103" i="210" s="1"/>
  <c r="E2105" i="210" s="1"/>
  <c r="E2107" i="210" s="1"/>
  <c r="E2109" i="210" s="1"/>
  <c r="E2111" i="210" s="1"/>
  <c r="E2113" i="210" s="1"/>
  <c r="E2115" i="210" s="1"/>
  <c r="E2117" i="210" s="1"/>
  <c r="E2119" i="210" s="1"/>
  <c r="I2085" i="210"/>
  <c r="J2085" i="210"/>
  <c r="I2086" i="210"/>
  <c r="I2087" i="210"/>
  <c r="D2089" i="210"/>
  <c r="K2089" i="210"/>
  <c r="L2089" i="210"/>
  <c r="N2089" i="210"/>
  <c r="P2089" i="210"/>
  <c r="Q2089" i="210"/>
  <c r="D2090" i="210"/>
  <c r="E2090" i="210"/>
  <c r="K2090" i="210"/>
  <c r="L2090" i="210"/>
  <c r="N2090" i="210"/>
  <c r="P2090" i="210"/>
  <c r="Q2090" i="210"/>
  <c r="D2091" i="210"/>
  <c r="K2091" i="210"/>
  <c r="L2091" i="210"/>
  <c r="N2091" i="210"/>
  <c r="P2091" i="210"/>
  <c r="Q2091" i="210"/>
  <c r="D2092" i="210"/>
  <c r="E2092" i="210"/>
  <c r="E2094" i="210" s="1"/>
  <c r="E2096" i="210" s="1"/>
  <c r="E2098" i="210" s="1"/>
  <c r="E2100" i="210" s="1"/>
  <c r="E2102" i="210" s="1"/>
  <c r="E2104" i="210" s="1"/>
  <c r="E2106" i="210" s="1"/>
  <c r="E2108" i="210" s="1"/>
  <c r="E2110" i="210" s="1"/>
  <c r="E2112" i="210" s="1"/>
  <c r="E2114" i="210" s="1"/>
  <c r="E2116" i="210" s="1"/>
  <c r="E2118" i="210" s="1"/>
  <c r="K2092" i="210"/>
  <c r="L2092" i="210"/>
  <c r="N2092" i="210"/>
  <c r="P2092" i="210"/>
  <c r="Q2092" i="210"/>
  <c r="D2093" i="210"/>
  <c r="K2093" i="210"/>
  <c r="L2093" i="210"/>
  <c r="N2093" i="210"/>
  <c r="P2093" i="210"/>
  <c r="Q2093" i="210"/>
  <c r="D2094" i="210"/>
  <c r="K2094" i="210"/>
  <c r="L2094" i="210"/>
  <c r="N2094" i="210"/>
  <c r="P2094" i="210"/>
  <c r="Q2094" i="210"/>
  <c r="D2095" i="210"/>
  <c r="K2095" i="210"/>
  <c r="L2095" i="210"/>
  <c r="N2095" i="210"/>
  <c r="P2095" i="210"/>
  <c r="Q2095" i="210"/>
  <c r="D2096" i="210"/>
  <c r="K2096" i="210"/>
  <c r="L2096" i="210"/>
  <c r="N2096" i="210"/>
  <c r="P2096" i="210"/>
  <c r="Q2096" i="210"/>
  <c r="D2097" i="210"/>
  <c r="K2097" i="210"/>
  <c r="L2097" i="210"/>
  <c r="N2097" i="210"/>
  <c r="P2097" i="210"/>
  <c r="Q2097" i="210"/>
  <c r="D2098" i="210"/>
  <c r="K2098" i="210"/>
  <c r="L2098" i="210"/>
  <c r="N2098" i="210"/>
  <c r="P2098" i="210"/>
  <c r="Q2098" i="210"/>
  <c r="D2099" i="210"/>
  <c r="K2099" i="210"/>
  <c r="L2099" i="210"/>
  <c r="N2099" i="210"/>
  <c r="P2099" i="210"/>
  <c r="Q2099" i="210"/>
  <c r="D2100" i="210"/>
  <c r="K2100" i="210"/>
  <c r="L2100" i="210"/>
  <c r="N2100" i="210"/>
  <c r="P2100" i="210"/>
  <c r="Q2100" i="210"/>
  <c r="D2101" i="210"/>
  <c r="K2101" i="210"/>
  <c r="L2101" i="210"/>
  <c r="N2101" i="210"/>
  <c r="P2101" i="210"/>
  <c r="Q2101" i="210"/>
  <c r="D2102" i="210"/>
  <c r="K2102" i="210"/>
  <c r="L2102" i="210"/>
  <c r="N2102" i="210"/>
  <c r="P2102" i="210"/>
  <c r="Q2102" i="210"/>
  <c r="D2103" i="210"/>
  <c r="K2103" i="210"/>
  <c r="L2103" i="210"/>
  <c r="N2103" i="210"/>
  <c r="P2103" i="210"/>
  <c r="Q2103" i="210"/>
  <c r="D2104" i="210"/>
  <c r="K2104" i="210"/>
  <c r="L2104" i="210"/>
  <c r="N2104" i="210"/>
  <c r="P2104" i="210"/>
  <c r="Q2104" i="210"/>
  <c r="D2105" i="210"/>
  <c r="K2105" i="210"/>
  <c r="L2105" i="210"/>
  <c r="N2105" i="210"/>
  <c r="P2105" i="210"/>
  <c r="Q2105" i="210"/>
  <c r="D2106" i="210"/>
  <c r="K2106" i="210"/>
  <c r="L2106" i="210"/>
  <c r="N2106" i="210"/>
  <c r="P2106" i="210"/>
  <c r="Q2106" i="210"/>
  <c r="D2107" i="210"/>
  <c r="K2107" i="210"/>
  <c r="L2107" i="210"/>
  <c r="N2107" i="210"/>
  <c r="P2107" i="210"/>
  <c r="Q2107" i="210"/>
  <c r="D2108" i="210"/>
  <c r="K2108" i="210"/>
  <c r="L2108" i="210"/>
  <c r="N2108" i="210"/>
  <c r="P2108" i="210"/>
  <c r="Q2108" i="210"/>
  <c r="D2109" i="210"/>
  <c r="K2109" i="210"/>
  <c r="L2109" i="210"/>
  <c r="N2109" i="210"/>
  <c r="P2109" i="210"/>
  <c r="Q2109" i="210"/>
  <c r="D2110" i="210"/>
  <c r="K2110" i="210"/>
  <c r="L2110" i="210"/>
  <c r="N2110" i="210"/>
  <c r="P2110" i="210"/>
  <c r="Q2110" i="210"/>
  <c r="D2111" i="210"/>
  <c r="K2111" i="210"/>
  <c r="L2111" i="210"/>
  <c r="N2111" i="210"/>
  <c r="P2111" i="210"/>
  <c r="Q2111" i="210"/>
  <c r="D2112" i="210"/>
  <c r="K2112" i="210"/>
  <c r="L2112" i="210"/>
  <c r="N2112" i="210"/>
  <c r="P2112" i="210"/>
  <c r="Q2112" i="210"/>
  <c r="D2113" i="210"/>
  <c r="K2113" i="210"/>
  <c r="L2113" i="210"/>
  <c r="N2113" i="210"/>
  <c r="P2113" i="210"/>
  <c r="Q2113" i="210"/>
  <c r="D2114" i="210"/>
  <c r="K2114" i="210"/>
  <c r="L2114" i="210"/>
  <c r="N2114" i="210"/>
  <c r="P2114" i="210"/>
  <c r="Q2114" i="210"/>
  <c r="D2115" i="210"/>
  <c r="K2115" i="210"/>
  <c r="L2115" i="210"/>
  <c r="N2115" i="210"/>
  <c r="P2115" i="210"/>
  <c r="Q2115" i="210"/>
  <c r="D2116" i="210"/>
  <c r="K2116" i="210"/>
  <c r="L2116" i="210"/>
  <c r="N2116" i="210"/>
  <c r="P2116" i="210"/>
  <c r="Q2116" i="210"/>
  <c r="D2117" i="210"/>
  <c r="K2117" i="210"/>
  <c r="L2117" i="210"/>
  <c r="N2117" i="210"/>
  <c r="P2117" i="210"/>
  <c r="Q2117" i="210"/>
  <c r="D2118" i="210"/>
  <c r="K2118" i="210"/>
  <c r="L2118" i="210"/>
  <c r="N2118" i="210"/>
  <c r="P2118" i="210"/>
  <c r="Q2118" i="210"/>
  <c r="D2119" i="210"/>
  <c r="K2119" i="210"/>
  <c r="L2119" i="210"/>
  <c r="N2119" i="210"/>
  <c r="P2119" i="210"/>
  <c r="Q2119" i="210"/>
  <c r="C2122" i="210"/>
  <c r="E2122" i="210"/>
  <c r="E2123" i="210" s="1"/>
  <c r="E2124" i="210" s="1"/>
  <c r="E2126" i="210" s="1"/>
  <c r="E2128" i="210" s="1"/>
  <c r="E2130" i="210" s="1"/>
  <c r="E2132" i="210" s="1"/>
  <c r="E2134" i="210" s="1"/>
  <c r="E2136" i="210" s="1"/>
  <c r="E2138" i="210" s="1"/>
  <c r="E2140" i="210" s="1"/>
  <c r="E2142" i="210" s="1"/>
  <c r="E2144" i="210" s="1"/>
  <c r="E2146" i="210" s="1"/>
  <c r="E2148" i="210" s="1"/>
  <c r="E2150" i="210" s="1"/>
  <c r="E2152" i="210" s="1"/>
  <c r="E2154" i="210" s="1"/>
  <c r="E2156" i="210" s="1"/>
  <c r="H2122" i="210"/>
  <c r="I2122" i="210"/>
  <c r="J2122" i="210"/>
  <c r="C2123" i="210"/>
  <c r="C2124" i="210" s="1"/>
  <c r="I2123" i="210"/>
  <c r="I2124" i="210"/>
  <c r="D2126" i="210"/>
  <c r="K2126" i="210"/>
  <c r="L2126" i="210"/>
  <c r="N2126" i="210"/>
  <c r="P2126" i="210"/>
  <c r="Q2126" i="210"/>
  <c r="D2127" i="210"/>
  <c r="E2127" i="210"/>
  <c r="K2127" i="210"/>
  <c r="L2127" i="210"/>
  <c r="N2127" i="210"/>
  <c r="P2127" i="210"/>
  <c r="Q2127" i="210"/>
  <c r="D2128" i="210"/>
  <c r="K2128" i="210"/>
  <c r="L2128" i="210"/>
  <c r="N2128" i="210"/>
  <c r="P2128" i="210"/>
  <c r="Q2128" i="210"/>
  <c r="D2129" i="210"/>
  <c r="E2129" i="210"/>
  <c r="E2131" i="210" s="1"/>
  <c r="E2133" i="210" s="1"/>
  <c r="E2135" i="210" s="1"/>
  <c r="E2137" i="210" s="1"/>
  <c r="E2139" i="210" s="1"/>
  <c r="E2141" i="210" s="1"/>
  <c r="E2143" i="210" s="1"/>
  <c r="E2145" i="210" s="1"/>
  <c r="E2147" i="210" s="1"/>
  <c r="E2149" i="210" s="1"/>
  <c r="E2151" i="210" s="1"/>
  <c r="E2153" i="210" s="1"/>
  <c r="E2155" i="210" s="1"/>
  <c r="E2157" i="210" s="1"/>
  <c r="K2129" i="210"/>
  <c r="L2129" i="210"/>
  <c r="N2129" i="210"/>
  <c r="P2129" i="210"/>
  <c r="Q2129" i="210"/>
  <c r="D2130" i="210"/>
  <c r="K2130" i="210"/>
  <c r="L2130" i="210"/>
  <c r="N2130" i="210"/>
  <c r="P2130" i="210"/>
  <c r="Q2130" i="210"/>
  <c r="D2131" i="210"/>
  <c r="K2131" i="210"/>
  <c r="L2131" i="210"/>
  <c r="N2131" i="210"/>
  <c r="P2131" i="210"/>
  <c r="Q2131" i="210"/>
  <c r="D2132" i="210"/>
  <c r="K2132" i="210"/>
  <c r="L2132" i="210"/>
  <c r="N2132" i="210"/>
  <c r="P2132" i="210"/>
  <c r="Q2132" i="210"/>
  <c r="D2133" i="210"/>
  <c r="K2133" i="210"/>
  <c r="L2133" i="210"/>
  <c r="N2133" i="210"/>
  <c r="P2133" i="210"/>
  <c r="Q2133" i="210"/>
  <c r="D2134" i="210"/>
  <c r="K2134" i="210"/>
  <c r="L2134" i="210"/>
  <c r="N2134" i="210"/>
  <c r="P2134" i="210"/>
  <c r="Q2134" i="210"/>
  <c r="D2135" i="210"/>
  <c r="K2135" i="210"/>
  <c r="L2135" i="210"/>
  <c r="N2135" i="210"/>
  <c r="P2135" i="210"/>
  <c r="Q2135" i="210"/>
  <c r="D2136" i="210"/>
  <c r="K2136" i="210"/>
  <c r="L2136" i="210"/>
  <c r="N2136" i="210"/>
  <c r="P2136" i="210"/>
  <c r="Q2136" i="210"/>
  <c r="D2137" i="210"/>
  <c r="K2137" i="210"/>
  <c r="L2137" i="210"/>
  <c r="N2137" i="210"/>
  <c r="P2137" i="210"/>
  <c r="Q2137" i="210"/>
  <c r="D2138" i="210"/>
  <c r="K2138" i="210"/>
  <c r="L2138" i="210"/>
  <c r="N2138" i="210"/>
  <c r="P2138" i="210"/>
  <c r="Q2138" i="210"/>
  <c r="D2139" i="210"/>
  <c r="K2139" i="210"/>
  <c r="L2139" i="210"/>
  <c r="N2139" i="210"/>
  <c r="P2139" i="210"/>
  <c r="Q2139" i="210"/>
  <c r="D2140" i="210"/>
  <c r="K2140" i="210"/>
  <c r="L2140" i="210"/>
  <c r="N2140" i="210"/>
  <c r="P2140" i="210"/>
  <c r="Q2140" i="210"/>
  <c r="D2141" i="210"/>
  <c r="K2141" i="210"/>
  <c r="L2141" i="210"/>
  <c r="N2141" i="210"/>
  <c r="P2141" i="210"/>
  <c r="Q2141" i="210"/>
  <c r="D2142" i="210"/>
  <c r="K2142" i="210"/>
  <c r="L2142" i="210"/>
  <c r="N2142" i="210"/>
  <c r="P2142" i="210"/>
  <c r="Q2142" i="210"/>
  <c r="D2143" i="210"/>
  <c r="K2143" i="210"/>
  <c r="L2143" i="210"/>
  <c r="N2143" i="210"/>
  <c r="P2143" i="210"/>
  <c r="Q2143" i="210"/>
  <c r="D2144" i="210"/>
  <c r="K2144" i="210"/>
  <c r="L2144" i="210"/>
  <c r="N2144" i="210"/>
  <c r="P2144" i="210"/>
  <c r="Q2144" i="210"/>
  <c r="D2145" i="210"/>
  <c r="K2145" i="210"/>
  <c r="L2145" i="210"/>
  <c r="N2145" i="210"/>
  <c r="P2145" i="210"/>
  <c r="Q2145" i="210"/>
  <c r="D2146" i="210"/>
  <c r="K2146" i="210"/>
  <c r="L2146" i="210"/>
  <c r="N2146" i="210"/>
  <c r="P2146" i="210"/>
  <c r="Q2146" i="210"/>
  <c r="D2147" i="210"/>
  <c r="K2147" i="210"/>
  <c r="L2147" i="210"/>
  <c r="N2147" i="210"/>
  <c r="P2147" i="210"/>
  <c r="Q2147" i="210"/>
  <c r="D2148" i="210"/>
  <c r="K2148" i="210"/>
  <c r="L2148" i="210"/>
  <c r="N2148" i="210"/>
  <c r="P2148" i="210"/>
  <c r="Q2148" i="210"/>
  <c r="D2149" i="210"/>
  <c r="K2149" i="210"/>
  <c r="L2149" i="210"/>
  <c r="N2149" i="210"/>
  <c r="P2149" i="210"/>
  <c r="Q2149" i="210"/>
  <c r="D2150" i="210"/>
  <c r="K2150" i="210"/>
  <c r="L2150" i="210"/>
  <c r="N2150" i="210"/>
  <c r="P2150" i="210"/>
  <c r="Q2150" i="210"/>
  <c r="D2151" i="210"/>
  <c r="K2151" i="210"/>
  <c r="L2151" i="210"/>
  <c r="N2151" i="210"/>
  <c r="P2151" i="210"/>
  <c r="Q2151" i="210"/>
  <c r="D2152" i="210"/>
  <c r="K2152" i="210"/>
  <c r="L2152" i="210"/>
  <c r="N2152" i="210"/>
  <c r="P2152" i="210"/>
  <c r="Q2152" i="210"/>
  <c r="D2153" i="210"/>
  <c r="K2153" i="210"/>
  <c r="L2153" i="210"/>
  <c r="N2153" i="210"/>
  <c r="P2153" i="210"/>
  <c r="Q2153" i="210"/>
  <c r="D2154" i="210"/>
  <c r="K2154" i="210"/>
  <c r="L2154" i="210"/>
  <c r="N2154" i="210"/>
  <c r="P2154" i="210"/>
  <c r="Q2154" i="210"/>
  <c r="D2155" i="210"/>
  <c r="K2155" i="210"/>
  <c r="L2155" i="210"/>
  <c r="N2155" i="210"/>
  <c r="P2155" i="210"/>
  <c r="Q2155" i="210"/>
  <c r="D2156" i="210"/>
  <c r="K2156" i="210"/>
  <c r="L2156" i="210"/>
  <c r="N2156" i="210"/>
  <c r="P2156" i="210"/>
  <c r="Q2156" i="210"/>
  <c r="D2157" i="210"/>
  <c r="K2157" i="210"/>
  <c r="L2157" i="210"/>
  <c r="N2157" i="210"/>
  <c r="P2157" i="210"/>
  <c r="Q2157" i="210"/>
  <c r="C2160" i="210"/>
  <c r="C2161" i="210" s="1"/>
  <c r="C2162" i="210" s="1"/>
  <c r="H2160" i="210"/>
  <c r="E2160" i="210" s="1"/>
  <c r="E2161" i="210" s="1"/>
  <c r="E2162" i="210" s="1"/>
  <c r="E2164" i="210" s="1"/>
  <c r="E2166" i="210" s="1"/>
  <c r="I2160" i="210"/>
  <c r="J2160" i="210"/>
  <c r="I2161" i="210"/>
  <c r="I2162" i="210"/>
  <c r="D2164" i="210"/>
  <c r="K2164" i="210"/>
  <c r="L2164" i="210"/>
  <c r="N2164" i="210"/>
  <c r="P2164" i="210"/>
  <c r="Q2164" i="210"/>
  <c r="D2165" i="210"/>
  <c r="E2165" i="210"/>
  <c r="E2167" i="210" s="1"/>
  <c r="E2169" i="210" s="1"/>
  <c r="E2171" i="210" s="1"/>
  <c r="E2173" i="210" s="1"/>
  <c r="E2175" i="210" s="1"/>
  <c r="E2177" i="210" s="1"/>
  <c r="E2179" i="210" s="1"/>
  <c r="E2181" i="210" s="1"/>
  <c r="E2183" i="210" s="1"/>
  <c r="E2185" i="210" s="1"/>
  <c r="E2187" i="210" s="1"/>
  <c r="E2189" i="210" s="1"/>
  <c r="E2191" i="210" s="1"/>
  <c r="E2193" i="210" s="1"/>
  <c r="E2195" i="210" s="1"/>
  <c r="E2197" i="210" s="1"/>
  <c r="E2199" i="210" s="1"/>
  <c r="E2201" i="210" s="1"/>
  <c r="E2203" i="210" s="1"/>
  <c r="E2205" i="210" s="1"/>
  <c r="E2207" i="210" s="1"/>
  <c r="E2209" i="210" s="1"/>
  <c r="E2211" i="210" s="1"/>
  <c r="E2213" i="210" s="1"/>
  <c r="K2165" i="210"/>
  <c r="L2165" i="210"/>
  <c r="N2165" i="210"/>
  <c r="P2165" i="210"/>
  <c r="Q2165" i="210"/>
  <c r="D2166" i="210"/>
  <c r="K2166" i="210"/>
  <c r="L2166" i="210"/>
  <c r="N2166" i="210"/>
  <c r="P2166" i="210"/>
  <c r="Q2166" i="210"/>
  <c r="D2167" i="210"/>
  <c r="K2167" i="210"/>
  <c r="L2167" i="210"/>
  <c r="N2167" i="210"/>
  <c r="P2167" i="210"/>
  <c r="Q2167" i="210"/>
  <c r="D2168" i="210"/>
  <c r="E2168" i="210"/>
  <c r="E2170" i="210" s="1"/>
  <c r="E2172" i="210" s="1"/>
  <c r="E2174" i="210" s="1"/>
  <c r="E2176" i="210" s="1"/>
  <c r="E2178" i="210" s="1"/>
  <c r="E2180" i="210" s="1"/>
  <c r="E2182" i="210" s="1"/>
  <c r="E2184" i="210" s="1"/>
  <c r="E2186" i="210" s="1"/>
  <c r="E2188" i="210" s="1"/>
  <c r="E2190" i="210" s="1"/>
  <c r="E2192" i="210" s="1"/>
  <c r="E2194" i="210" s="1"/>
  <c r="E2196" i="210" s="1"/>
  <c r="E2198" i="210" s="1"/>
  <c r="E2200" i="210" s="1"/>
  <c r="E2202" i="210" s="1"/>
  <c r="E2204" i="210" s="1"/>
  <c r="E2206" i="210" s="1"/>
  <c r="E2208" i="210" s="1"/>
  <c r="E2210" i="210" s="1"/>
  <c r="E2212" i="210" s="1"/>
  <c r="E2214" i="210" s="1"/>
  <c r="K2168" i="210"/>
  <c r="L2168" i="210"/>
  <c r="N2168" i="210"/>
  <c r="P2168" i="210"/>
  <c r="Q2168" i="210"/>
  <c r="D2169" i="210"/>
  <c r="K2169" i="210"/>
  <c r="L2169" i="210"/>
  <c r="N2169" i="210"/>
  <c r="P2169" i="210"/>
  <c r="Q2169" i="210"/>
  <c r="D2170" i="210"/>
  <c r="K2170" i="210"/>
  <c r="L2170" i="210"/>
  <c r="N2170" i="210"/>
  <c r="P2170" i="210"/>
  <c r="Q2170" i="210"/>
  <c r="D2171" i="210"/>
  <c r="K2171" i="210"/>
  <c r="L2171" i="210"/>
  <c r="N2171" i="210"/>
  <c r="P2171" i="210"/>
  <c r="Q2171" i="210"/>
  <c r="D2172" i="210"/>
  <c r="K2172" i="210"/>
  <c r="L2172" i="210"/>
  <c r="N2172" i="210"/>
  <c r="P2172" i="210"/>
  <c r="Q2172" i="210"/>
  <c r="D2173" i="210"/>
  <c r="K2173" i="210"/>
  <c r="L2173" i="210"/>
  <c r="N2173" i="210"/>
  <c r="P2173" i="210"/>
  <c r="Q2173" i="210"/>
  <c r="D2174" i="210"/>
  <c r="K2174" i="210"/>
  <c r="L2174" i="210"/>
  <c r="N2174" i="210"/>
  <c r="P2174" i="210"/>
  <c r="Q2174" i="210"/>
  <c r="D2175" i="210"/>
  <c r="K2175" i="210"/>
  <c r="L2175" i="210"/>
  <c r="N2175" i="210"/>
  <c r="P2175" i="210"/>
  <c r="Q2175" i="210"/>
  <c r="D2176" i="210"/>
  <c r="K2176" i="210"/>
  <c r="L2176" i="210"/>
  <c r="N2176" i="210"/>
  <c r="P2176" i="210"/>
  <c r="Q2176" i="210"/>
  <c r="D2177" i="210"/>
  <c r="K2177" i="210"/>
  <c r="L2177" i="210"/>
  <c r="N2177" i="210"/>
  <c r="P2177" i="210"/>
  <c r="Q2177" i="210"/>
  <c r="D2178" i="210"/>
  <c r="K2178" i="210"/>
  <c r="L2178" i="210"/>
  <c r="N2178" i="210"/>
  <c r="P2178" i="210"/>
  <c r="Q2178" i="210"/>
  <c r="D2179" i="210"/>
  <c r="K2179" i="210"/>
  <c r="L2179" i="210"/>
  <c r="N2179" i="210"/>
  <c r="P2179" i="210"/>
  <c r="Q2179" i="210"/>
  <c r="D2180" i="210"/>
  <c r="K2180" i="210"/>
  <c r="L2180" i="210"/>
  <c r="N2180" i="210"/>
  <c r="P2180" i="210"/>
  <c r="Q2180" i="210"/>
  <c r="D2181" i="210"/>
  <c r="K2181" i="210"/>
  <c r="L2181" i="210"/>
  <c r="N2181" i="210"/>
  <c r="P2181" i="210"/>
  <c r="Q2181" i="210"/>
  <c r="D2182" i="210"/>
  <c r="K2182" i="210"/>
  <c r="L2182" i="210"/>
  <c r="N2182" i="210"/>
  <c r="P2182" i="210"/>
  <c r="Q2182" i="210"/>
  <c r="D2183" i="210"/>
  <c r="K2183" i="210"/>
  <c r="L2183" i="210"/>
  <c r="N2183" i="210"/>
  <c r="P2183" i="210"/>
  <c r="Q2183" i="210"/>
  <c r="D2184" i="210"/>
  <c r="K2184" i="210"/>
  <c r="L2184" i="210"/>
  <c r="N2184" i="210"/>
  <c r="P2184" i="210"/>
  <c r="Q2184" i="210"/>
  <c r="D2185" i="210"/>
  <c r="K2185" i="210"/>
  <c r="L2185" i="210"/>
  <c r="N2185" i="210"/>
  <c r="P2185" i="210"/>
  <c r="Q2185" i="210"/>
  <c r="D2186" i="210"/>
  <c r="K2186" i="210"/>
  <c r="L2186" i="210"/>
  <c r="N2186" i="210"/>
  <c r="P2186" i="210"/>
  <c r="Q2186" i="210"/>
  <c r="D2187" i="210"/>
  <c r="K2187" i="210"/>
  <c r="L2187" i="210"/>
  <c r="N2187" i="210"/>
  <c r="P2187" i="210"/>
  <c r="Q2187" i="210"/>
  <c r="D2188" i="210"/>
  <c r="K2188" i="210"/>
  <c r="L2188" i="210"/>
  <c r="N2188" i="210"/>
  <c r="P2188" i="210"/>
  <c r="Q2188" i="210"/>
  <c r="D2189" i="210"/>
  <c r="K2189" i="210"/>
  <c r="L2189" i="210"/>
  <c r="N2189" i="210"/>
  <c r="P2189" i="210"/>
  <c r="Q2189" i="210"/>
  <c r="D2190" i="210"/>
  <c r="K2190" i="210"/>
  <c r="L2190" i="210"/>
  <c r="N2190" i="210"/>
  <c r="P2190" i="210"/>
  <c r="Q2190" i="210"/>
  <c r="D2191" i="210"/>
  <c r="K2191" i="210"/>
  <c r="L2191" i="210"/>
  <c r="N2191" i="210"/>
  <c r="P2191" i="210"/>
  <c r="Q2191" i="210"/>
  <c r="D2192" i="210"/>
  <c r="K2192" i="210"/>
  <c r="L2192" i="210"/>
  <c r="N2192" i="210"/>
  <c r="P2192" i="210"/>
  <c r="Q2192" i="210"/>
  <c r="D2193" i="210"/>
  <c r="K2193" i="210"/>
  <c r="L2193" i="210"/>
  <c r="N2193" i="210"/>
  <c r="P2193" i="210"/>
  <c r="Q2193" i="210"/>
  <c r="D2194" i="210"/>
  <c r="K2194" i="210"/>
  <c r="L2194" i="210"/>
  <c r="N2194" i="210"/>
  <c r="P2194" i="210"/>
  <c r="Q2194" i="210"/>
  <c r="D2195" i="210"/>
  <c r="K2195" i="210"/>
  <c r="L2195" i="210"/>
  <c r="N2195" i="210"/>
  <c r="P2195" i="210"/>
  <c r="Q2195" i="210"/>
  <c r="D2196" i="210"/>
  <c r="K2196" i="210"/>
  <c r="L2196" i="210"/>
  <c r="N2196" i="210"/>
  <c r="P2196" i="210"/>
  <c r="Q2196" i="210"/>
  <c r="D2197" i="210"/>
  <c r="K2197" i="210"/>
  <c r="L2197" i="210"/>
  <c r="N2197" i="210"/>
  <c r="P2197" i="210"/>
  <c r="Q2197" i="210"/>
  <c r="D2198" i="210"/>
  <c r="K2198" i="210"/>
  <c r="L2198" i="210"/>
  <c r="N2198" i="210"/>
  <c r="P2198" i="210"/>
  <c r="Q2198" i="210"/>
  <c r="D2199" i="210"/>
  <c r="K2199" i="210"/>
  <c r="L2199" i="210"/>
  <c r="N2199" i="210"/>
  <c r="P2199" i="210"/>
  <c r="Q2199" i="210"/>
  <c r="D2200" i="210"/>
  <c r="K2200" i="210"/>
  <c r="L2200" i="210"/>
  <c r="N2200" i="210"/>
  <c r="P2200" i="210"/>
  <c r="Q2200" i="210"/>
  <c r="D2201" i="210"/>
  <c r="K2201" i="210"/>
  <c r="L2201" i="210"/>
  <c r="N2201" i="210"/>
  <c r="P2201" i="210"/>
  <c r="Q2201" i="210"/>
  <c r="D2202" i="210"/>
  <c r="K2202" i="210"/>
  <c r="L2202" i="210"/>
  <c r="N2202" i="210"/>
  <c r="P2202" i="210"/>
  <c r="Q2202" i="210"/>
  <c r="D2203" i="210"/>
  <c r="K2203" i="210"/>
  <c r="L2203" i="210"/>
  <c r="N2203" i="210"/>
  <c r="P2203" i="210"/>
  <c r="Q2203" i="210"/>
  <c r="D2204" i="210"/>
  <c r="K2204" i="210"/>
  <c r="L2204" i="210"/>
  <c r="N2204" i="210"/>
  <c r="P2204" i="210"/>
  <c r="Q2204" i="210"/>
  <c r="D2205" i="210"/>
  <c r="K2205" i="210"/>
  <c r="L2205" i="210"/>
  <c r="N2205" i="210"/>
  <c r="P2205" i="210"/>
  <c r="Q2205" i="210"/>
  <c r="D2206" i="210"/>
  <c r="K2206" i="210"/>
  <c r="L2206" i="210"/>
  <c r="N2206" i="210"/>
  <c r="P2206" i="210"/>
  <c r="Q2206" i="210"/>
  <c r="D2207" i="210"/>
  <c r="K2207" i="210"/>
  <c r="L2207" i="210"/>
  <c r="N2207" i="210"/>
  <c r="P2207" i="210"/>
  <c r="Q2207" i="210"/>
  <c r="D2208" i="210"/>
  <c r="K2208" i="210"/>
  <c r="L2208" i="210"/>
  <c r="N2208" i="210"/>
  <c r="P2208" i="210"/>
  <c r="Q2208" i="210"/>
  <c r="D2209" i="210"/>
  <c r="K2209" i="210"/>
  <c r="L2209" i="210"/>
  <c r="N2209" i="210"/>
  <c r="P2209" i="210"/>
  <c r="Q2209" i="210"/>
  <c r="D2210" i="210"/>
  <c r="K2210" i="210"/>
  <c r="L2210" i="210"/>
  <c r="N2210" i="210"/>
  <c r="P2210" i="210"/>
  <c r="Q2210" i="210"/>
  <c r="D2211" i="210"/>
  <c r="K2211" i="210"/>
  <c r="L2211" i="210"/>
  <c r="N2211" i="210"/>
  <c r="P2211" i="210"/>
  <c r="Q2211" i="210"/>
  <c r="D2212" i="210"/>
  <c r="K2212" i="210"/>
  <c r="L2212" i="210"/>
  <c r="N2212" i="210"/>
  <c r="P2212" i="210"/>
  <c r="Q2212" i="210"/>
  <c r="D2213" i="210"/>
  <c r="K2213" i="210"/>
  <c r="L2213" i="210"/>
  <c r="N2213" i="210"/>
  <c r="P2213" i="210"/>
  <c r="Q2213" i="210"/>
  <c r="D2214" i="210"/>
  <c r="K2214" i="210"/>
  <c r="L2214" i="210"/>
  <c r="N2214" i="210"/>
  <c r="P2214" i="210"/>
  <c r="Q2214" i="210"/>
  <c r="C2217" i="210"/>
  <c r="C2218" i="210" s="1"/>
  <c r="C2219" i="210" s="1"/>
  <c r="H2217" i="210"/>
  <c r="E2217" i="210" s="1"/>
  <c r="E2218" i="210" s="1"/>
  <c r="E2219" i="210" s="1"/>
  <c r="E2221" i="210" s="1"/>
  <c r="E2223" i="210" s="1"/>
  <c r="E2225" i="210" s="1"/>
  <c r="E2227" i="210" s="1"/>
  <c r="E2229" i="210" s="1"/>
  <c r="E2231" i="210" s="1"/>
  <c r="E2233" i="210" s="1"/>
  <c r="E2235" i="210" s="1"/>
  <c r="E2237" i="210" s="1"/>
  <c r="E2239" i="210" s="1"/>
  <c r="I2217" i="210"/>
  <c r="J2217" i="210"/>
  <c r="I2218" i="210"/>
  <c r="I2219" i="210"/>
  <c r="D2221" i="210"/>
  <c r="K2221" i="210"/>
  <c r="L2221" i="210"/>
  <c r="N2221" i="210"/>
  <c r="P2221" i="210"/>
  <c r="Q2221" i="210"/>
  <c r="D2222" i="210"/>
  <c r="E2222" i="210"/>
  <c r="K2222" i="210"/>
  <c r="L2222" i="210"/>
  <c r="N2222" i="210"/>
  <c r="P2222" i="210"/>
  <c r="Q2222" i="210"/>
  <c r="D2223" i="210"/>
  <c r="K2223" i="210"/>
  <c r="L2223" i="210"/>
  <c r="N2223" i="210"/>
  <c r="P2223" i="210"/>
  <c r="Q2223" i="210"/>
  <c r="D2224" i="210"/>
  <c r="E2224" i="210"/>
  <c r="E2226" i="210" s="1"/>
  <c r="E2228" i="210" s="1"/>
  <c r="E2230" i="210" s="1"/>
  <c r="E2232" i="210" s="1"/>
  <c r="E2234" i="210" s="1"/>
  <c r="E2236" i="210" s="1"/>
  <c r="E2238" i="210" s="1"/>
  <c r="E2240" i="210" s="1"/>
  <c r="K2224" i="210"/>
  <c r="L2224" i="210"/>
  <c r="N2224" i="210"/>
  <c r="P2224" i="210"/>
  <c r="Q2224" i="210"/>
  <c r="D2225" i="210"/>
  <c r="K2225" i="210"/>
  <c r="L2225" i="210"/>
  <c r="N2225" i="210"/>
  <c r="P2225" i="210"/>
  <c r="Q2225" i="210"/>
  <c r="D2226" i="210"/>
  <c r="K2226" i="210"/>
  <c r="L2226" i="210"/>
  <c r="N2226" i="210"/>
  <c r="P2226" i="210"/>
  <c r="Q2226" i="210"/>
  <c r="D2227" i="210"/>
  <c r="K2227" i="210"/>
  <c r="L2227" i="210"/>
  <c r="N2227" i="210"/>
  <c r="P2227" i="210"/>
  <c r="Q2227" i="210"/>
  <c r="D2228" i="210"/>
  <c r="K2228" i="210"/>
  <c r="L2228" i="210"/>
  <c r="N2228" i="210"/>
  <c r="P2228" i="210"/>
  <c r="Q2228" i="210"/>
  <c r="D2229" i="210"/>
  <c r="K2229" i="210"/>
  <c r="L2229" i="210"/>
  <c r="N2229" i="210"/>
  <c r="P2229" i="210"/>
  <c r="Q2229" i="210"/>
  <c r="D2230" i="210"/>
  <c r="K2230" i="210"/>
  <c r="L2230" i="210"/>
  <c r="N2230" i="210"/>
  <c r="P2230" i="210"/>
  <c r="Q2230" i="210"/>
  <c r="D2231" i="210"/>
  <c r="K2231" i="210"/>
  <c r="L2231" i="210"/>
  <c r="N2231" i="210"/>
  <c r="P2231" i="210"/>
  <c r="Q2231" i="210"/>
  <c r="D2232" i="210"/>
  <c r="K2232" i="210"/>
  <c r="L2232" i="210"/>
  <c r="N2232" i="210"/>
  <c r="P2232" i="210"/>
  <c r="Q2232" i="210"/>
  <c r="D2233" i="210"/>
  <c r="K2233" i="210"/>
  <c r="L2233" i="210"/>
  <c r="N2233" i="210"/>
  <c r="P2233" i="210"/>
  <c r="Q2233" i="210"/>
  <c r="D2234" i="210"/>
  <c r="K2234" i="210"/>
  <c r="L2234" i="210"/>
  <c r="N2234" i="210"/>
  <c r="P2234" i="210"/>
  <c r="Q2234" i="210"/>
  <c r="D2235" i="210"/>
  <c r="K2235" i="210"/>
  <c r="L2235" i="210"/>
  <c r="N2235" i="210"/>
  <c r="P2235" i="210"/>
  <c r="Q2235" i="210"/>
  <c r="D2236" i="210"/>
  <c r="K2236" i="210"/>
  <c r="L2236" i="210"/>
  <c r="N2236" i="210"/>
  <c r="P2236" i="210"/>
  <c r="Q2236" i="210"/>
  <c r="D2237" i="210"/>
  <c r="K2237" i="210"/>
  <c r="L2237" i="210"/>
  <c r="N2237" i="210"/>
  <c r="P2237" i="210"/>
  <c r="Q2237" i="210"/>
  <c r="D2238" i="210"/>
  <c r="K2238" i="210"/>
  <c r="L2238" i="210"/>
  <c r="N2238" i="210"/>
  <c r="P2238" i="210"/>
  <c r="Q2238" i="210"/>
  <c r="D2239" i="210"/>
  <c r="K2239" i="210"/>
  <c r="L2239" i="210"/>
  <c r="N2239" i="210"/>
  <c r="P2239" i="210"/>
  <c r="Q2239" i="210"/>
  <c r="D2240" i="210"/>
  <c r="K2240" i="210"/>
  <c r="L2240" i="210"/>
  <c r="N2240" i="210"/>
  <c r="P2240" i="210"/>
  <c r="Q2240" i="210"/>
  <c r="C2243" i="210"/>
  <c r="C2244" i="210" s="1"/>
  <c r="C2245" i="210" s="1"/>
  <c r="H2243" i="210"/>
  <c r="E2243" i="210" s="1"/>
  <c r="E2244" i="210" s="1"/>
  <c r="E2245" i="210" s="1"/>
  <c r="E2247" i="210" s="1"/>
  <c r="E2249" i="210" s="1"/>
  <c r="E2251" i="210" s="1"/>
  <c r="E2253" i="210" s="1"/>
  <c r="E2255" i="210" s="1"/>
  <c r="E2257" i="210" s="1"/>
  <c r="E2259" i="210" s="1"/>
  <c r="E2261" i="210" s="1"/>
  <c r="E2263" i="210" s="1"/>
  <c r="E2265" i="210" s="1"/>
  <c r="E2267" i="210" s="1"/>
  <c r="E2269" i="210" s="1"/>
  <c r="E2271" i="210" s="1"/>
  <c r="E2273" i="210" s="1"/>
  <c r="E2275" i="210" s="1"/>
  <c r="E2277" i="210" s="1"/>
  <c r="E2279" i="210" s="1"/>
  <c r="E2281" i="210" s="1"/>
  <c r="E2283" i="210" s="1"/>
  <c r="E2285" i="210" s="1"/>
  <c r="E2287" i="210" s="1"/>
  <c r="E2289" i="210" s="1"/>
  <c r="E2291" i="210" s="1"/>
  <c r="E2293" i="210" s="1"/>
  <c r="E2295" i="210" s="1"/>
  <c r="E2297" i="210" s="1"/>
  <c r="E2299" i="210" s="1"/>
  <c r="E2301" i="210" s="1"/>
  <c r="E2303" i="210" s="1"/>
  <c r="E2305" i="210" s="1"/>
  <c r="E2307" i="210" s="1"/>
  <c r="E2309" i="210" s="1"/>
  <c r="E2311" i="210" s="1"/>
  <c r="E2313" i="210" s="1"/>
  <c r="E2315" i="210" s="1"/>
  <c r="E2317" i="210" s="1"/>
  <c r="E2319" i="210" s="1"/>
  <c r="E2321" i="210" s="1"/>
  <c r="E2323" i="210" s="1"/>
  <c r="E2325" i="210" s="1"/>
  <c r="E2327" i="210" s="1"/>
  <c r="E2329" i="210" s="1"/>
  <c r="E2331" i="210" s="1"/>
  <c r="E2333" i="210" s="1"/>
  <c r="E2335" i="210" s="1"/>
  <c r="E2337" i="210" s="1"/>
  <c r="E2339" i="210" s="1"/>
  <c r="E2341" i="210" s="1"/>
  <c r="I2243" i="210"/>
  <c r="J2243" i="210"/>
  <c r="I2244" i="210"/>
  <c r="I2245" i="210"/>
  <c r="D2247" i="210"/>
  <c r="K2247" i="210"/>
  <c r="L2247" i="210"/>
  <c r="N2247" i="210"/>
  <c r="P2247" i="210"/>
  <c r="Q2247" i="210"/>
  <c r="D2248" i="210"/>
  <c r="E2248" i="210"/>
  <c r="E2250" i="210" s="1"/>
  <c r="E2252" i="210" s="1"/>
  <c r="E2254" i="210" s="1"/>
  <c r="E2256" i="210" s="1"/>
  <c r="E2258" i="210" s="1"/>
  <c r="E2260" i="210" s="1"/>
  <c r="E2262" i="210" s="1"/>
  <c r="E2264" i="210" s="1"/>
  <c r="E2266" i="210" s="1"/>
  <c r="E2268" i="210" s="1"/>
  <c r="E2270" i="210" s="1"/>
  <c r="E2272" i="210" s="1"/>
  <c r="E2274" i="210" s="1"/>
  <c r="E2276" i="210" s="1"/>
  <c r="E2278" i="210" s="1"/>
  <c r="E2280" i="210" s="1"/>
  <c r="E2282" i="210" s="1"/>
  <c r="E2284" i="210" s="1"/>
  <c r="E2286" i="210" s="1"/>
  <c r="E2288" i="210" s="1"/>
  <c r="E2290" i="210" s="1"/>
  <c r="E2292" i="210" s="1"/>
  <c r="E2294" i="210" s="1"/>
  <c r="E2296" i="210" s="1"/>
  <c r="E2298" i="210" s="1"/>
  <c r="E2300" i="210" s="1"/>
  <c r="E2302" i="210" s="1"/>
  <c r="E2304" i="210" s="1"/>
  <c r="E2306" i="210" s="1"/>
  <c r="E2308" i="210" s="1"/>
  <c r="E2310" i="210" s="1"/>
  <c r="E2312" i="210" s="1"/>
  <c r="E2314" i="210" s="1"/>
  <c r="E2316" i="210" s="1"/>
  <c r="E2318" i="210" s="1"/>
  <c r="E2320" i="210" s="1"/>
  <c r="E2322" i="210" s="1"/>
  <c r="E2324" i="210" s="1"/>
  <c r="E2326" i="210" s="1"/>
  <c r="E2328" i="210" s="1"/>
  <c r="E2330" i="210" s="1"/>
  <c r="E2332" i="210" s="1"/>
  <c r="E2334" i="210" s="1"/>
  <c r="E2336" i="210" s="1"/>
  <c r="E2338" i="210" s="1"/>
  <c r="E2340" i="210" s="1"/>
  <c r="E2342" i="210" s="1"/>
  <c r="K2248" i="210"/>
  <c r="L2248" i="210"/>
  <c r="N2248" i="210"/>
  <c r="P2248" i="210"/>
  <c r="Q2248" i="210"/>
  <c r="D2249" i="210"/>
  <c r="K2249" i="210"/>
  <c r="L2249" i="210"/>
  <c r="N2249" i="210"/>
  <c r="P2249" i="210"/>
  <c r="Q2249" i="210"/>
  <c r="D2250" i="210"/>
  <c r="K2250" i="210"/>
  <c r="L2250" i="210"/>
  <c r="N2250" i="210"/>
  <c r="P2250" i="210"/>
  <c r="Q2250" i="210"/>
  <c r="D2251" i="210"/>
  <c r="K2251" i="210"/>
  <c r="L2251" i="210"/>
  <c r="N2251" i="210"/>
  <c r="P2251" i="210"/>
  <c r="Q2251" i="210"/>
  <c r="D2252" i="210"/>
  <c r="K2252" i="210"/>
  <c r="L2252" i="210"/>
  <c r="N2252" i="210"/>
  <c r="P2252" i="210"/>
  <c r="Q2252" i="210"/>
  <c r="D2253" i="210"/>
  <c r="K2253" i="210"/>
  <c r="L2253" i="210"/>
  <c r="N2253" i="210"/>
  <c r="P2253" i="210"/>
  <c r="Q2253" i="210"/>
  <c r="D2254" i="210"/>
  <c r="K2254" i="210"/>
  <c r="L2254" i="210"/>
  <c r="N2254" i="210"/>
  <c r="P2254" i="210"/>
  <c r="Q2254" i="210"/>
  <c r="D2255" i="210"/>
  <c r="K2255" i="210"/>
  <c r="L2255" i="210"/>
  <c r="N2255" i="210"/>
  <c r="P2255" i="210"/>
  <c r="Q2255" i="210"/>
  <c r="D2256" i="210"/>
  <c r="K2256" i="210"/>
  <c r="L2256" i="210"/>
  <c r="N2256" i="210"/>
  <c r="P2256" i="210"/>
  <c r="Q2256" i="210"/>
  <c r="D2257" i="210"/>
  <c r="K2257" i="210"/>
  <c r="L2257" i="210"/>
  <c r="N2257" i="210"/>
  <c r="P2257" i="210"/>
  <c r="Q2257" i="210"/>
  <c r="D2258" i="210"/>
  <c r="K2258" i="210"/>
  <c r="L2258" i="210"/>
  <c r="N2258" i="210"/>
  <c r="P2258" i="210"/>
  <c r="Q2258" i="210"/>
  <c r="D2259" i="210"/>
  <c r="K2259" i="210"/>
  <c r="L2259" i="210"/>
  <c r="N2259" i="210"/>
  <c r="P2259" i="210"/>
  <c r="Q2259" i="210"/>
  <c r="D2260" i="210"/>
  <c r="K2260" i="210"/>
  <c r="L2260" i="210"/>
  <c r="N2260" i="210"/>
  <c r="P2260" i="210"/>
  <c r="Q2260" i="210"/>
  <c r="D2261" i="210"/>
  <c r="K2261" i="210"/>
  <c r="L2261" i="210"/>
  <c r="N2261" i="210"/>
  <c r="P2261" i="210"/>
  <c r="Q2261" i="210"/>
  <c r="D2262" i="210"/>
  <c r="K2262" i="210"/>
  <c r="L2262" i="210"/>
  <c r="N2262" i="210"/>
  <c r="P2262" i="210"/>
  <c r="Q2262" i="210"/>
  <c r="D2263" i="210"/>
  <c r="K2263" i="210"/>
  <c r="L2263" i="210"/>
  <c r="N2263" i="210"/>
  <c r="P2263" i="210"/>
  <c r="Q2263" i="210"/>
  <c r="D2264" i="210"/>
  <c r="K2264" i="210"/>
  <c r="L2264" i="210"/>
  <c r="N2264" i="210"/>
  <c r="P2264" i="210"/>
  <c r="Q2264" i="210"/>
  <c r="D2265" i="210"/>
  <c r="K2265" i="210"/>
  <c r="L2265" i="210"/>
  <c r="N2265" i="210"/>
  <c r="P2265" i="210"/>
  <c r="Q2265" i="210"/>
  <c r="D2266" i="210"/>
  <c r="K2266" i="210"/>
  <c r="L2266" i="210"/>
  <c r="N2266" i="210"/>
  <c r="P2266" i="210"/>
  <c r="Q2266" i="210"/>
  <c r="D2267" i="210"/>
  <c r="K2267" i="210"/>
  <c r="L2267" i="210"/>
  <c r="N2267" i="210"/>
  <c r="P2267" i="210"/>
  <c r="Q2267" i="210"/>
  <c r="D2268" i="210"/>
  <c r="K2268" i="210"/>
  <c r="L2268" i="210"/>
  <c r="N2268" i="210"/>
  <c r="P2268" i="210"/>
  <c r="Q2268" i="210"/>
  <c r="D2269" i="210"/>
  <c r="K2269" i="210"/>
  <c r="L2269" i="210"/>
  <c r="N2269" i="210"/>
  <c r="P2269" i="210"/>
  <c r="Q2269" i="210"/>
  <c r="D2270" i="210"/>
  <c r="K2270" i="210"/>
  <c r="L2270" i="210"/>
  <c r="N2270" i="210"/>
  <c r="P2270" i="210"/>
  <c r="Q2270" i="210"/>
  <c r="D2271" i="210"/>
  <c r="K2271" i="210"/>
  <c r="L2271" i="210"/>
  <c r="N2271" i="210"/>
  <c r="P2271" i="210"/>
  <c r="Q2271" i="210"/>
  <c r="D2272" i="210"/>
  <c r="K2272" i="210"/>
  <c r="L2272" i="210"/>
  <c r="N2272" i="210"/>
  <c r="P2272" i="210"/>
  <c r="Q2272" i="210"/>
  <c r="D2273" i="210"/>
  <c r="K2273" i="210"/>
  <c r="L2273" i="210"/>
  <c r="N2273" i="210"/>
  <c r="P2273" i="210"/>
  <c r="Q2273" i="210"/>
  <c r="D2274" i="210"/>
  <c r="K2274" i="210"/>
  <c r="L2274" i="210"/>
  <c r="N2274" i="210"/>
  <c r="P2274" i="210"/>
  <c r="Q2274" i="210"/>
  <c r="D2275" i="210"/>
  <c r="K2275" i="210"/>
  <c r="L2275" i="210"/>
  <c r="N2275" i="210"/>
  <c r="P2275" i="210"/>
  <c r="Q2275" i="210"/>
  <c r="D2276" i="210"/>
  <c r="K2276" i="210"/>
  <c r="L2276" i="210"/>
  <c r="N2276" i="210"/>
  <c r="P2276" i="210"/>
  <c r="Q2276" i="210"/>
  <c r="D2277" i="210"/>
  <c r="K2277" i="210"/>
  <c r="L2277" i="210"/>
  <c r="N2277" i="210"/>
  <c r="P2277" i="210"/>
  <c r="Q2277" i="210"/>
  <c r="D2278" i="210"/>
  <c r="K2278" i="210"/>
  <c r="L2278" i="210"/>
  <c r="N2278" i="210"/>
  <c r="P2278" i="210"/>
  <c r="Q2278" i="210"/>
  <c r="D2279" i="210"/>
  <c r="K2279" i="210"/>
  <c r="L2279" i="210"/>
  <c r="N2279" i="210"/>
  <c r="P2279" i="210"/>
  <c r="Q2279" i="210"/>
  <c r="D2280" i="210"/>
  <c r="K2280" i="210"/>
  <c r="L2280" i="210"/>
  <c r="N2280" i="210"/>
  <c r="P2280" i="210"/>
  <c r="Q2280" i="210"/>
  <c r="D2281" i="210"/>
  <c r="K2281" i="210"/>
  <c r="L2281" i="210"/>
  <c r="N2281" i="210"/>
  <c r="P2281" i="210"/>
  <c r="Q2281" i="210"/>
  <c r="D2282" i="210"/>
  <c r="K2282" i="210"/>
  <c r="L2282" i="210"/>
  <c r="N2282" i="210"/>
  <c r="P2282" i="210"/>
  <c r="Q2282" i="210"/>
  <c r="D2283" i="210"/>
  <c r="K2283" i="210"/>
  <c r="L2283" i="210"/>
  <c r="N2283" i="210"/>
  <c r="P2283" i="210"/>
  <c r="Q2283" i="210"/>
  <c r="D2284" i="210"/>
  <c r="K2284" i="210"/>
  <c r="L2284" i="210"/>
  <c r="N2284" i="210"/>
  <c r="P2284" i="210"/>
  <c r="Q2284" i="210"/>
  <c r="D2285" i="210"/>
  <c r="K2285" i="210"/>
  <c r="L2285" i="210"/>
  <c r="N2285" i="210"/>
  <c r="P2285" i="210"/>
  <c r="Q2285" i="210"/>
  <c r="D2286" i="210"/>
  <c r="K2286" i="210"/>
  <c r="L2286" i="210"/>
  <c r="N2286" i="210"/>
  <c r="P2286" i="210"/>
  <c r="Q2286" i="210"/>
  <c r="D2287" i="210"/>
  <c r="K2287" i="210"/>
  <c r="L2287" i="210"/>
  <c r="N2287" i="210"/>
  <c r="P2287" i="210"/>
  <c r="Q2287" i="210"/>
  <c r="D2288" i="210"/>
  <c r="K2288" i="210"/>
  <c r="L2288" i="210"/>
  <c r="N2288" i="210"/>
  <c r="P2288" i="210"/>
  <c r="Q2288" i="210"/>
  <c r="D2289" i="210"/>
  <c r="K2289" i="210"/>
  <c r="L2289" i="210"/>
  <c r="N2289" i="210"/>
  <c r="P2289" i="210"/>
  <c r="Q2289" i="210"/>
  <c r="D2290" i="210"/>
  <c r="K2290" i="210"/>
  <c r="L2290" i="210"/>
  <c r="N2290" i="210"/>
  <c r="P2290" i="210"/>
  <c r="Q2290" i="210"/>
  <c r="D2291" i="210"/>
  <c r="K2291" i="210"/>
  <c r="L2291" i="210"/>
  <c r="N2291" i="210"/>
  <c r="P2291" i="210"/>
  <c r="Q2291" i="210"/>
  <c r="D2292" i="210"/>
  <c r="K2292" i="210"/>
  <c r="L2292" i="210"/>
  <c r="N2292" i="210"/>
  <c r="P2292" i="210"/>
  <c r="Q2292" i="210"/>
  <c r="D2293" i="210"/>
  <c r="K2293" i="210"/>
  <c r="L2293" i="210"/>
  <c r="N2293" i="210"/>
  <c r="P2293" i="210"/>
  <c r="Q2293" i="210"/>
  <c r="D2294" i="210"/>
  <c r="K2294" i="210"/>
  <c r="L2294" i="210"/>
  <c r="N2294" i="210"/>
  <c r="P2294" i="210"/>
  <c r="Q2294" i="210"/>
  <c r="D2295" i="210"/>
  <c r="K2295" i="210"/>
  <c r="L2295" i="210"/>
  <c r="N2295" i="210"/>
  <c r="P2295" i="210"/>
  <c r="Q2295" i="210"/>
  <c r="D2296" i="210"/>
  <c r="K2296" i="210"/>
  <c r="L2296" i="210"/>
  <c r="N2296" i="210"/>
  <c r="P2296" i="210"/>
  <c r="Q2296" i="210"/>
  <c r="D2297" i="210"/>
  <c r="K2297" i="210"/>
  <c r="L2297" i="210"/>
  <c r="N2297" i="210"/>
  <c r="P2297" i="210"/>
  <c r="Q2297" i="210"/>
  <c r="D2298" i="210"/>
  <c r="K2298" i="210"/>
  <c r="L2298" i="210"/>
  <c r="N2298" i="210"/>
  <c r="P2298" i="210"/>
  <c r="Q2298" i="210"/>
  <c r="D2299" i="210"/>
  <c r="K2299" i="210"/>
  <c r="L2299" i="210"/>
  <c r="N2299" i="210"/>
  <c r="P2299" i="210"/>
  <c r="Q2299" i="210"/>
  <c r="D2300" i="210"/>
  <c r="K2300" i="210"/>
  <c r="L2300" i="210"/>
  <c r="N2300" i="210"/>
  <c r="P2300" i="210"/>
  <c r="Q2300" i="210"/>
  <c r="D2301" i="210"/>
  <c r="K2301" i="210"/>
  <c r="L2301" i="210"/>
  <c r="N2301" i="210"/>
  <c r="P2301" i="210"/>
  <c r="Q2301" i="210"/>
  <c r="D2302" i="210"/>
  <c r="K2302" i="210"/>
  <c r="L2302" i="210"/>
  <c r="N2302" i="210"/>
  <c r="P2302" i="210"/>
  <c r="Q2302" i="210"/>
  <c r="D2303" i="210"/>
  <c r="K2303" i="210"/>
  <c r="L2303" i="210"/>
  <c r="N2303" i="210"/>
  <c r="P2303" i="210"/>
  <c r="Q2303" i="210"/>
  <c r="D2304" i="210"/>
  <c r="K2304" i="210"/>
  <c r="L2304" i="210"/>
  <c r="N2304" i="210"/>
  <c r="P2304" i="210"/>
  <c r="Q2304" i="210"/>
  <c r="D2305" i="210"/>
  <c r="K2305" i="210"/>
  <c r="L2305" i="210"/>
  <c r="N2305" i="210"/>
  <c r="P2305" i="210"/>
  <c r="Q2305" i="210"/>
  <c r="D2306" i="210"/>
  <c r="K2306" i="210"/>
  <c r="L2306" i="210"/>
  <c r="N2306" i="210"/>
  <c r="P2306" i="210"/>
  <c r="Q2306" i="210"/>
  <c r="D2307" i="210"/>
  <c r="K2307" i="210"/>
  <c r="L2307" i="210"/>
  <c r="N2307" i="210"/>
  <c r="P2307" i="210"/>
  <c r="Q2307" i="210"/>
  <c r="D2308" i="210"/>
  <c r="K2308" i="210"/>
  <c r="L2308" i="210"/>
  <c r="N2308" i="210"/>
  <c r="P2308" i="210"/>
  <c r="Q2308" i="210"/>
  <c r="D2309" i="210"/>
  <c r="K2309" i="210"/>
  <c r="L2309" i="210"/>
  <c r="N2309" i="210"/>
  <c r="P2309" i="210"/>
  <c r="Q2309" i="210"/>
  <c r="D2310" i="210"/>
  <c r="K2310" i="210"/>
  <c r="L2310" i="210"/>
  <c r="N2310" i="210"/>
  <c r="P2310" i="210"/>
  <c r="Q2310" i="210"/>
  <c r="D2311" i="210"/>
  <c r="K2311" i="210"/>
  <c r="L2311" i="210"/>
  <c r="N2311" i="210"/>
  <c r="P2311" i="210"/>
  <c r="Q2311" i="210"/>
  <c r="D2312" i="210"/>
  <c r="K2312" i="210"/>
  <c r="L2312" i="210"/>
  <c r="N2312" i="210"/>
  <c r="P2312" i="210"/>
  <c r="Q2312" i="210"/>
  <c r="D2313" i="210"/>
  <c r="K2313" i="210"/>
  <c r="L2313" i="210"/>
  <c r="N2313" i="210"/>
  <c r="P2313" i="210"/>
  <c r="Q2313" i="210"/>
  <c r="D2314" i="210"/>
  <c r="K2314" i="210"/>
  <c r="L2314" i="210"/>
  <c r="N2314" i="210"/>
  <c r="P2314" i="210"/>
  <c r="Q2314" i="210"/>
  <c r="D2315" i="210"/>
  <c r="K2315" i="210"/>
  <c r="L2315" i="210"/>
  <c r="N2315" i="210"/>
  <c r="P2315" i="210"/>
  <c r="Q2315" i="210"/>
  <c r="D2316" i="210"/>
  <c r="K2316" i="210"/>
  <c r="L2316" i="210"/>
  <c r="N2316" i="210"/>
  <c r="P2316" i="210"/>
  <c r="Q2316" i="210"/>
  <c r="D2317" i="210"/>
  <c r="K2317" i="210"/>
  <c r="L2317" i="210"/>
  <c r="N2317" i="210"/>
  <c r="P2317" i="210"/>
  <c r="Q2317" i="210"/>
  <c r="D2318" i="210"/>
  <c r="K2318" i="210"/>
  <c r="L2318" i="210"/>
  <c r="N2318" i="210"/>
  <c r="P2318" i="210"/>
  <c r="Q2318" i="210"/>
  <c r="D2319" i="210"/>
  <c r="K2319" i="210"/>
  <c r="L2319" i="210"/>
  <c r="N2319" i="210"/>
  <c r="P2319" i="210"/>
  <c r="Q2319" i="210"/>
  <c r="D2320" i="210"/>
  <c r="K2320" i="210"/>
  <c r="L2320" i="210"/>
  <c r="N2320" i="210"/>
  <c r="P2320" i="210"/>
  <c r="Q2320" i="210"/>
  <c r="D2321" i="210"/>
  <c r="K2321" i="210"/>
  <c r="L2321" i="210"/>
  <c r="N2321" i="210"/>
  <c r="P2321" i="210"/>
  <c r="Q2321" i="210"/>
  <c r="D2322" i="210"/>
  <c r="K2322" i="210"/>
  <c r="L2322" i="210"/>
  <c r="N2322" i="210"/>
  <c r="P2322" i="210"/>
  <c r="Q2322" i="210"/>
  <c r="D2323" i="210"/>
  <c r="K2323" i="210"/>
  <c r="L2323" i="210"/>
  <c r="N2323" i="210"/>
  <c r="P2323" i="210"/>
  <c r="Q2323" i="210"/>
  <c r="D2324" i="210"/>
  <c r="K2324" i="210"/>
  <c r="L2324" i="210"/>
  <c r="N2324" i="210"/>
  <c r="P2324" i="210"/>
  <c r="Q2324" i="210"/>
  <c r="D2325" i="210"/>
  <c r="K2325" i="210"/>
  <c r="L2325" i="210"/>
  <c r="N2325" i="210"/>
  <c r="P2325" i="210"/>
  <c r="Q2325" i="210"/>
  <c r="D2326" i="210"/>
  <c r="K2326" i="210"/>
  <c r="L2326" i="210"/>
  <c r="N2326" i="210"/>
  <c r="P2326" i="210"/>
  <c r="Q2326" i="210"/>
  <c r="D2327" i="210"/>
  <c r="K2327" i="210"/>
  <c r="L2327" i="210"/>
  <c r="N2327" i="210"/>
  <c r="P2327" i="210"/>
  <c r="Q2327" i="210"/>
  <c r="D2328" i="210"/>
  <c r="K2328" i="210"/>
  <c r="L2328" i="210"/>
  <c r="N2328" i="210"/>
  <c r="P2328" i="210"/>
  <c r="Q2328" i="210"/>
  <c r="D2329" i="210"/>
  <c r="K2329" i="210"/>
  <c r="L2329" i="210"/>
  <c r="N2329" i="210"/>
  <c r="P2329" i="210"/>
  <c r="Q2329" i="210"/>
  <c r="D2330" i="210"/>
  <c r="K2330" i="210"/>
  <c r="L2330" i="210"/>
  <c r="N2330" i="210"/>
  <c r="P2330" i="210"/>
  <c r="Q2330" i="210"/>
  <c r="D2331" i="210"/>
  <c r="K2331" i="210"/>
  <c r="L2331" i="210"/>
  <c r="N2331" i="210"/>
  <c r="P2331" i="210"/>
  <c r="Q2331" i="210"/>
  <c r="D2332" i="210"/>
  <c r="K2332" i="210"/>
  <c r="L2332" i="210"/>
  <c r="N2332" i="210"/>
  <c r="P2332" i="210"/>
  <c r="Q2332" i="210"/>
  <c r="D2333" i="210"/>
  <c r="K2333" i="210"/>
  <c r="L2333" i="210"/>
  <c r="N2333" i="210"/>
  <c r="P2333" i="210"/>
  <c r="Q2333" i="210"/>
  <c r="D2334" i="210"/>
  <c r="K2334" i="210"/>
  <c r="L2334" i="210"/>
  <c r="N2334" i="210"/>
  <c r="P2334" i="210"/>
  <c r="Q2334" i="210"/>
  <c r="D2335" i="210"/>
  <c r="K2335" i="210"/>
  <c r="L2335" i="210"/>
  <c r="N2335" i="210"/>
  <c r="P2335" i="210"/>
  <c r="Q2335" i="210"/>
  <c r="D2336" i="210"/>
  <c r="K2336" i="210"/>
  <c r="L2336" i="210"/>
  <c r="N2336" i="210"/>
  <c r="P2336" i="210"/>
  <c r="Q2336" i="210"/>
  <c r="D2337" i="210"/>
  <c r="K2337" i="210"/>
  <c r="L2337" i="210"/>
  <c r="N2337" i="210"/>
  <c r="P2337" i="210"/>
  <c r="Q2337" i="210"/>
  <c r="D2338" i="210"/>
  <c r="K2338" i="210"/>
  <c r="L2338" i="210"/>
  <c r="N2338" i="210"/>
  <c r="P2338" i="210"/>
  <c r="Q2338" i="210"/>
  <c r="D2339" i="210"/>
  <c r="K2339" i="210"/>
  <c r="L2339" i="210"/>
  <c r="N2339" i="210"/>
  <c r="P2339" i="210"/>
  <c r="Q2339" i="210"/>
  <c r="D2340" i="210"/>
  <c r="K2340" i="210"/>
  <c r="L2340" i="210"/>
  <c r="N2340" i="210"/>
  <c r="P2340" i="210"/>
  <c r="Q2340" i="210"/>
  <c r="D2341" i="210"/>
  <c r="K2341" i="210"/>
  <c r="L2341" i="210"/>
  <c r="N2341" i="210"/>
  <c r="P2341" i="210"/>
  <c r="Q2341" i="210"/>
  <c r="D2342" i="210"/>
  <c r="K2342" i="210"/>
  <c r="L2342" i="210"/>
  <c r="N2342" i="210"/>
  <c r="P2342" i="210"/>
  <c r="Q2342" i="210"/>
  <c r="C2345" i="210"/>
  <c r="C2346" i="210" s="1"/>
  <c r="C2347" i="210" s="1"/>
  <c r="H2345" i="210"/>
  <c r="E2345" i="210" s="1"/>
  <c r="E2346" i="210" s="1"/>
  <c r="E2347" i="210" s="1"/>
  <c r="E2349" i="210" s="1"/>
  <c r="E2351" i="210" s="1"/>
  <c r="E2353" i="210" s="1"/>
  <c r="E2355" i="210" s="1"/>
  <c r="E2357" i="210" s="1"/>
  <c r="E2359" i="210" s="1"/>
  <c r="E2361" i="210" s="1"/>
  <c r="E2363" i="210" s="1"/>
  <c r="E2365" i="210" s="1"/>
  <c r="E2367" i="210" s="1"/>
  <c r="E2369" i="210" s="1"/>
  <c r="E2371" i="210" s="1"/>
  <c r="E2373" i="210" s="1"/>
  <c r="E2375" i="210" s="1"/>
  <c r="E2377" i="210" s="1"/>
  <c r="E2379" i="210" s="1"/>
  <c r="E2381" i="210" s="1"/>
  <c r="E2383" i="210" s="1"/>
  <c r="E2385" i="210" s="1"/>
  <c r="E2387" i="210" s="1"/>
  <c r="E2389" i="210" s="1"/>
  <c r="E2391" i="210" s="1"/>
  <c r="E2393" i="210" s="1"/>
  <c r="E2395" i="210" s="1"/>
  <c r="E2397" i="210" s="1"/>
  <c r="E2399" i="210" s="1"/>
  <c r="E2401" i="210" s="1"/>
  <c r="E2403" i="210" s="1"/>
  <c r="E2405" i="210" s="1"/>
  <c r="I2345" i="210"/>
  <c r="J2345" i="210"/>
  <c r="I2346" i="210"/>
  <c r="I2347" i="210"/>
  <c r="D2349" i="210"/>
  <c r="K2349" i="210"/>
  <c r="L2349" i="210"/>
  <c r="N2349" i="210"/>
  <c r="P2349" i="210"/>
  <c r="Q2349" i="210"/>
  <c r="D2350" i="210"/>
  <c r="E2350" i="210"/>
  <c r="E2352" i="210" s="1"/>
  <c r="E2354" i="210" s="1"/>
  <c r="E2356" i="210" s="1"/>
  <c r="E2358" i="210" s="1"/>
  <c r="E2360" i="210" s="1"/>
  <c r="E2362" i="210" s="1"/>
  <c r="E2364" i="210" s="1"/>
  <c r="E2366" i="210" s="1"/>
  <c r="E2368" i="210" s="1"/>
  <c r="E2370" i="210" s="1"/>
  <c r="E2372" i="210" s="1"/>
  <c r="E2374" i="210" s="1"/>
  <c r="E2376" i="210" s="1"/>
  <c r="E2378" i="210" s="1"/>
  <c r="E2380" i="210" s="1"/>
  <c r="E2382" i="210" s="1"/>
  <c r="E2384" i="210" s="1"/>
  <c r="E2386" i="210" s="1"/>
  <c r="E2388" i="210" s="1"/>
  <c r="E2390" i="210" s="1"/>
  <c r="E2392" i="210" s="1"/>
  <c r="E2394" i="210" s="1"/>
  <c r="E2396" i="210" s="1"/>
  <c r="E2398" i="210" s="1"/>
  <c r="E2400" i="210" s="1"/>
  <c r="E2402" i="210" s="1"/>
  <c r="E2404" i="210" s="1"/>
  <c r="K2350" i="210"/>
  <c r="L2350" i="210"/>
  <c r="N2350" i="210"/>
  <c r="P2350" i="210"/>
  <c r="Q2350" i="210"/>
  <c r="D2351" i="210"/>
  <c r="K2351" i="210"/>
  <c r="L2351" i="210"/>
  <c r="N2351" i="210"/>
  <c r="P2351" i="210"/>
  <c r="Q2351" i="210"/>
  <c r="D2352" i="210"/>
  <c r="K2352" i="210"/>
  <c r="L2352" i="210"/>
  <c r="N2352" i="210"/>
  <c r="P2352" i="210"/>
  <c r="Q2352" i="210"/>
  <c r="D2353" i="210"/>
  <c r="K2353" i="210"/>
  <c r="L2353" i="210"/>
  <c r="N2353" i="210"/>
  <c r="P2353" i="210"/>
  <c r="Q2353" i="210"/>
  <c r="D2354" i="210"/>
  <c r="K2354" i="210"/>
  <c r="L2354" i="210"/>
  <c r="N2354" i="210"/>
  <c r="P2354" i="210"/>
  <c r="Q2354" i="210"/>
  <c r="D2355" i="210"/>
  <c r="K2355" i="210"/>
  <c r="L2355" i="210"/>
  <c r="N2355" i="210"/>
  <c r="P2355" i="210"/>
  <c r="Q2355" i="210"/>
  <c r="D2356" i="210"/>
  <c r="K2356" i="210"/>
  <c r="L2356" i="210"/>
  <c r="N2356" i="210"/>
  <c r="P2356" i="210"/>
  <c r="Q2356" i="210"/>
  <c r="D2357" i="210"/>
  <c r="K2357" i="210"/>
  <c r="L2357" i="210"/>
  <c r="N2357" i="210"/>
  <c r="P2357" i="210"/>
  <c r="Q2357" i="210"/>
  <c r="D2358" i="210"/>
  <c r="K2358" i="210"/>
  <c r="L2358" i="210"/>
  <c r="N2358" i="210"/>
  <c r="P2358" i="210"/>
  <c r="Q2358" i="210"/>
  <c r="D2359" i="210"/>
  <c r="K2359" i="210"/>
  <c r="L2359" i="210"/>
  <c r="N2359" i="210"/>
  <c r="P2359" i="210"/>
  <c r="Q2359" i="210"/>
  <c r="D2360" i="210"/>
  <c r="K2360" i="210"/>
  <c r="L2360" i="210"/>
  <c r="N2360" i="210"/>
  <c r="P2360" i="210"/>
  <c r="Q2360" i="210"/>
  <c r="D2361" i="210"/>
  <c r="K2361" i="210"/>
  <c r="L2361" i="210"/>
  <c r="N2361" i="210"/>
  <c r="P2361" i="210"/>
  <c r="Q2361" i="210"/>
  <c r="D2362" i="210"/>
  <c r="K2362" i="210"/>
  <c r="L2362" i="210"/>
  <c r="N2362" i="210"/>
  <c r="P2362" i="210"/>
  <c r="Q2362" i="210"/>
  <c r="D2363" i="210"/>
  <c r="K2363" i="210"/>
  <c r="L2363" i="210"/>
  <c r="N2363" i="210"/>
  <c r="P2363" i="210"/>
  <c r="Q2363" i="210"/>
  <c r="D2364" i="210"/>
  <c r="K2364" i="210"/>
  <c r="L2364" i="210"/>
  <c r="N2364" i="210"/>
  <c r="P2364" i="210"/>
  <c r="Q2364" i="210"/>
  <c r="D2365" i="210"/>
  <c r="K2365" i="210"/>
  <c r="L2365" i="210"/>
  <c r="N2365" i="210"/>
  <c r="P2365" i="210"/>
  <c r="Q2365" i="210"/>
  <c r="D2366" i="210"/>
  <c r="K2366" i="210"/>
  <c r="L2366" i="210"/>
  <c r="N2366" i="210"/>
  <c r="P2366" i="210"/>
  <c r="Q2366" i="210"/>
  <c r="D2367" i="210"/>
  <c r="K2367" i="210"/>
  <c r="L2367" i="210"/>
  <c r="N2367" i="210"/>
  <c r="P2367" i="210"/>
  <c r="Q2367" i="210"/>
  <c r="D2368" i="210"/>
  <c r="K2368" i="210"/>
  <c r="L2368" i="210"/>
  <c r="N2368" i="210"/>
  <c r="P2368" i="210"/>
  <c r="Q2368" i="210"/>
  <c r="D2369" i="210"/>
  <c r="K2369" i="210"/>
  <c r="L2369" i="210"/>
  <c r="N2369" i="210"/>
  <c r="P2369" i="210"/>
  <c r="Q2369" i="210"/>
  <c r="D2370" i="210"/>
  <c r="K2370" i="210"/>
  <c r="L2370" i="210"/>
  <c r="N2370" i="210"/>
  <c r="P2370" i="210"/>
  <c r="Q2370" i="210"/>
  <c r="D2371" i="210"/>
  <c r="K2371" i="210"/>
  <c r="L2371" i="210"/>
  <c r="N2371" i="210"/>
  <c r="P2371" i="210"/>
  <c r="Q2371" i="210"/>
  <c r="D2372" i="210"/>
  <c r="K2372" i="210"/>
  <c r="L2372" i="210"/>
  <c r="N2372" i="210"/>
  <c r="P2372" i="210"/>
  <c r="Q2372" i="210"/>
  <c r="D2373" i="210"/>
  <c r="K2373" i="210"/>
  <c r="L2373" i="210"/>
  <c r="N2373" i="210"/>
  <c r="P2373" i="210"/>
  <c r="Q2373" i="210"/>
  <c r="D2374" i="210"/>
  <c r="K2374" i="210"/>
  <c r="L2374" i="210"/>
  <c r="N2374" i="210"/>
  <c r="P2374" i="210"/>
  <c r="Q2374" i="210"/>
  <c r="D2375" i="210"/>
  <c r="K2375" i="210"/>
  <c r="L2375" i="210"/>
  <c r="N2375" i="210"/>
  <c r="P2375" i="210"/>
  <c r="Q2375" i="210"/>
  <c r="D2376" i="210"/>
  <c r="K2376" i="210"/>
  <c r="L2376" i="210"/>
  <c r="N2376" i="210"/>
  <c r="P2376" i="210"/>
  <c r="Q2376" i="210"/>
  <c r="D2377" i="210"/>
  <c r="K2377" i="210"/>
  <c r="L2377" i="210"/>
  <c r="N2377" i="210"/>
  <c r="P2377" i="210"/>
  <c r="Q2377" i="210"/>
  <c r="D2378" i="210"/>
  <c r="K2378" i="210"/>
  <c r="L2378" i="210"/>
  <c r="N2378" i="210"/>
  <c r="P2378" i="210"/>
  <c r="Q2378" i="210"/>
  <c r="D2379" i="210"/>
  <c r="K2379" i="210"/>
  <c r="L2379" i="210"/>
  <c r="N2379" i="210"/>
  <c r="P2379" i="210"/>
  <c r="Q2379" i="210"/>
  <c r="D2380" i="210"/>
  <c r="K2380" i="210"/>
  <c r="L2380" i="210"/>
  <c r="N2380" i="210"/>
  <c r="P2380" i="210"/>
  <c r="Q2380" i="210"/>
  <c r="D2381" i="210"/>
  <c r="K2381" i="210"/>
  <c r="L2381" i="210"/>
  <c r="N2381" i="210"/>
  <c r="P2381" i="210"/>
  <c r="Q2381" i="210"/>
  <c r="D2382" i="210"/>
  <c r="K2382" i="210"/>
  <c r="L2382" i="210"/>
  <c r="N2382" i="210"/>
  <c r="P2382" i="210"/>
  <c r="Q2382" i="210"/>
  <c r="D2383" i="210"/>
  <c r="K2383" i="210"/>
  <c r="L2383" i="210"/>
  <c r="N2383" i="210"/>
  <c r="P2383" i="210"/>
  <c r="Q2383" i="210"/>
  <c r="D2384" i="210"/>
  <c r="K2384" i="210"/>
  <c r="L2384" i="210"/>
  <c r="N2384" i="210"/>
  <c r="P2384" i="210"/>
  <c r="Q2384" i="210"/>
  <c r="D2385" i="210"/>
  <c r="K2385" i="210"/>
  <c r="L2385" i="210"/>
  <c r="N2385" i="210"/>
  <c r="P2385" i="210"/>
  <c r="Q2385" i="210"/>
  <c r="D2386" i="210"/>
  <c r="K2386" i="210"/>
  <c r="L2386" i="210"/>
  <c r="N2386" i="210"/>
  <c r="P2386" i="210"/>
  <c r="Q2386" i="210"/>
  <c r="D2387" i="210"/>
  <c r="K2387" i="210"/>
  <c r="L2387" i="210"/>
  <c r="N2387" i="210"/>
  <c r="P2387" i="210"/>
  <c r="Q2387" i="210"/>
  <c r="D2388" i="210"/>
  <c r="K2388" i="210"/>
  <c r="L2388" i="210"/>
  <c r="N2388" i="210"/>
  <c r="P2388" i="210"/>
  <c r="Q2388" i="210"/>
  <c r="D2389" i="210"/>
  <c r="K2389" i="210"/>
  <c r="L2389" i="210"/>
  <c r="N2389" i="210"/>
  <c r="P2389" i="210"/>
  <c r="Q2389" i="210"/>
  <c r="D2390" i="210"/>
  <c r="K2390" i="210"/>
  <c r="L2390" i="210"/>
  <c r="N2390" i="210"/>
  <c r="P2390" i="210"/>
  <c r="Q2390" i="210"/>
  <c r="D2391" i="210"/>
  <c r="K2391" i="210"/>
  <c r="L2391" i="210"/>
  <c r="N2391" i="210"/>
  <c r="P2391" i="210"/>
  <c r="Q2391" i="210"/>
  <c r="D2392" i="210"/>
  <c r="K2392" i="210"/>
  <c r="L2392" i="210"/>
  <c r="N2392" i="210"/>
  <c r="P2392" i="210"/>
  <c r="Q2392" i="210"/>
  <c r="D2393" i="210"/>
  <c r="K2393" i="210"/>
  <c r="L2393" i="210"/>
  <c r="N2393" i="210"/>
  <c r="P2393" i="210"/>
  <c r="Q2393" i="210"/>
  <c r="D2394" i="210"/>
  <c r="K2394" i="210"/>
  <c r="L2394" i="210"/>
  <c r="N2394" i="210"/>
  <c r="P2394" i="210"/>
  <c r="Q2394" i="210"/>
  <c r="D2395" i="210"/>
  <c r="K2395" i="210"/>
  <c r="L2395" i="210"/>
  <c r="N2395" i="210"/>
  <c r="P2395" i="210"/>
  <c r="Q2395" i="210"/>
  <c r="D2396" i="210"/>
  <c r="K2396" i="210"/>
  <c r="L2396" i="210"/>
  <c r="N2396" i="210"/>
  <c r="P2396" i="210"/>
  <c r="Q2396" i="210"/>
  <c r="D2397" i="210"/>
  <c r="K2397" i="210"/>
  <c r="L2397" i="210"/>
  <c r="N2397" i="210"/>
  <c r="P2397" i="210"/>
  <c r="Q2397" i="210"/>
  <c r="D2398" i="210"/>
  <c r="K2398" i="210"/>
  <c r="L2398" i="210"/>
  <c r="N2398" i="210"/>
  <c r="P2398" i="210"/>
  <c r="Q2398" i="210"/>
  <c r="D2399" i="210"/>
  <c r="K2399" i="210"/>
  <c r="L2399" i="210"/>
  <c r="N2399" i="210"/>
  <c r="P2399" i="210"/>
  <c r="Q2399" i="210"/>
  <c r="D2400" i="210"/>
  <c r="K2400" i="210"/>
  <c r="L2400" i="210"/>
  <c r="N2400" i="210"/>
  <c r="P2400" i="210"/>
  <c r="Q2400" i="210"/>
  <c r="D2401" i="210"/>
  <c r="K2401" i="210"/>
  <c r="L2401" i="210"/>
  <c r="N2401" i="210"/>
  <c r="P2401" i="210"/>
  <c r="Q2401" i="210"/>
  <c r="D2402" i="210"/>
  <c r="K2402" i="210"/>
  <c r="L2402" i="210"/>
  <c r="N2402" i="210"/>
  <c r="P2402" i="210"/>
  <c r="Q2402" i="210"/>
  <c r="D2403" i="210"/>
  <c r="K2403" i="210"/>
  <c r="L2403" i="210"/>
  <c r="N2403" i="210"/>
  <c r="P2403" i="210"/>
  <c r="Q2403" i="210"/>
  <c r="D2404" i="210"/>
  <c r="K2404" i="210"/>
  <c r="L2404" i="210"/>
  <c r="N2404" i="210"/>
  <c r="P2404" i="210"/>
  <c r="Q2404" i="210"/>
  <c r="D2405" i="210"/>
  <c r="K2405" i="210"/>
  <c r="L2405" i="210"/>
  <c r="N2405" i="210"/>
  <c r="P2405" i="210"/>
  <c r="Q2405" i="210"/>
  <c r="C2408" i="210"/>
  <c r="C2409" i="210" s="1"/>
  <c r="C2410" i="210" s="1"/>
  <c r="H2408" i="210"/>
  <c r="E2408" i="210" s="1"/>
  <c r="E2409" i="210" s="1"/>
  <c r="E2410" i="210" s="1"/>
  <c r="E2412" i="210" s="1"/>
  <c r="E2414" i="210" s="1"/>
  <c r="E2416" i="210" s="1"/>
  <c r="E2418" i="210" s="1"/>
  <c r="E2420" i="210" s="1"/>
  <c r="E2422" i="210" s="1"/>
  <c r="E2424" i="210" s="1"/>
  <c r="E2426" i="210" s="1"/>
  <c r="E2428" i="210" s="1"/>
  <c r="I2408" i="210"/>
  <c r="J2408" i="210"/>
  <c r="I2409" i="210"/>
  <c r="I2410" i="210"/>
  <c r="D2412" i="210"/>
  <c r="K2412" i="210"/>
  <c r="L2412" i="210"/>
  <c r="N2412" i="210"/>
  <c r="P2412" i="210"/>
  <c r="Q2412" i="210"/>
  <c r="D2413" i="210"/>
  <c r="E2413" i="210"/>
  <c r="E2415" i="210" s="1"/>
  <c r="E2417" i="210" s="1"/>
  <c r="E2419" i="210" s="1"/>
  <c r="E2421" i="210" s="1"/>
  <c r="E2423" i="210" s="1"/>
  <c r="E2425" i="210" s="1"/>
  <c r="E2427" i="210" s="1"/>
  <c r="K2413" i="210"/>
  <c r="L2413" i="210"/>
  <c r="N2413" i="210"/>
  <c r="P2413" i="210"/>
  <c r="Q2413" i="210"/>
  <c r="D2414" i="210"/>
  <c r="K2414" i="210"/>
  <c r="L2414" i="210"/>
  <c r="N2414" i="210"/>
  <c r="P2414" i="210"/>
  <c r="Q2414" i="210"/>
  <c r="D2415" i="210"/>
  <c r="K2415" i="210"/>
  <c r="L2415" i="210"/>
  <c r="N2415" i="210"/>
  <c r="P2415" i="210"/>
  <c r="Q2415" i="210"/>
  <c r="D2416" i="210"/>
  <c r="K2416" i="210"/>
  <c r="L2416" i="210"/>
  <c r="N2416" i="210"/>
  <c r="P2416" i="210"/>
  <c r="Q2416" i="210"/>
  <c r="D2417" i="210"/>
  <c r="K2417" i="210"/>
  <c r="L2417" i="210"/>
  <c r="N2417" i="210"/>
  <c r="P2417" i="210"/>
  <c r="Q2417" i="210"/>
  <c r="D2418" i="210"/>
  <c r="K2418" i="210"/>
  <c r="L2418" i="210"/>
  <c r="N2418" i="210"/>
  <c r="P2418" i="210"/>
  <c r="Q2418" i="210"/>
  <c r="D2419" i="210"/>
  <c r="K2419" i="210"/>
  <c r="L2419" i="210"/>
  <c r="N2419" i="210"/>
  <c r="P2419" i="210"/>
  <c r="Q2419" i="210"/>
  <c r="D2420" i="210"/>
  <c r="K2420" i="210"/>
  <c r="L2420" i="210"/>
  <c r="N2420" i="210"/>
  <c r="P2420" i="210"/>
  <c r="Q2420" i="210"/>
  <c r="D2421" i="210"/>
  <c r="K2421" i="210"/>
  <c r="L2421" i="210"/>
  <c r="N2421" i="210"/>
  <c r="P2421" i="210"/>
  <c r="Q2421" i="210"/>
  <c r="D2422" i="210"/>
  <c r="K2422" i="210"/>
  <c r="L2422" i="210"/>
  <c r="N2422" i="210"/>
  <c r="P2422" i="210"/>
  <c r="Q2422" i="210"/>
  <c r="D2423" i="210"/>
  <c r="K2423" i="210"/>
  <c r="L2423" i="210"/>
  <c r="N2423" i="210"/>
  <c r="P2423" i="210"/>
  <c r="Q2423" i="210"/>
  <c r="D2424" i="210"/>
  <c r="K2424" i="210"/>
  <c r="L2424" i="210"/>
  <c r="N2424" i="210"/>
  <c r="P2424" i="210"/>
  <c r="Q2424" i="210"/>
  <c r="D2425" i="210"/>
  <c r="K2425" i="210"/>
  <c r="L2425" i="210"/>
  <c r="N2425" i="210"/>
  <c r="P2425" i="210"/>
  <c r="Q2425" i="210"/>
  <c r="D2426" i="210"/>
  <c r="K2426" i="210"/>
  <c r="L2426" i="210"/>
  <c r="N2426" i="210"/>
  <c r="P2426" i="210"/>
  <c r="Q2426" i="210"/>
  <c r="D2427" i="210"/>
  <c r="K2427" i="210"/>
  <c r="L2427" i="210"/>
  <c r="N2427" i="210"/>
  <c r="P2427" i="210"/>
  <c r="Q2427" i="210"/>
  <c r="D2428" i="210"/>
  <c r="K2428" i="210"/>
  <c r="L2428" i="210"/>
  <c r="N2428" i="210"/>
  <c r="P2428" i="210"/>
  <c r="Q2428" i="210"/>
  <c r="C2431" i="210"/>
  <c r="C2432" i="210" s="1"/>
  <c r="C2433" i="210" s="1"/>
  <c r="H2431" i="210"/>
  <c r="E2431" i="210" s="1"/>
  <c r="E2432" i="210" s="1"/>
  <c r="E2433" i="210" s="1"/>
  <c r="E2435" i="210" s="1"/>
  <c r="E2437" i="210" s="1"/>
  <c r="E2439" i="210" s="1"/>
  <c r="E2441" i="210" s="1"/>
  <c r="E2443" i="210" s="1"/>
  <c r="E2445" i="210" s="1"/>
  <c r="E2447" i="210" s="1"/>
  <c r="E2449" i="210" s="1"/>
  <c r="E2451" i="210" s="1"/>
  <c r="E2453" i="210" s="1"/>
  <c r="E2455" i="210" s="1"/>
  <c r="E2457" i="210" s="1"/>
  <c r="E2459" i="210" s="1"/>
  <c r="E2461" i="210" s="1"/>
  <c r="E2463" i="210" s="1"/>
  <c r="E2465" i="210" s="1"/>
  <c r="E2467" i="210" s="1"/>
  <c r="E2469" i="210" s="1"/>
  <c r="E2471" i="210" s="1"/>
  <c r="E2473" i="210" s="1"/>
  <c r="E2475" i="210" s="1"/>
  <c r="E2477" i="210" s="1"/>
  <c r="E2479" i="210" s="1"/>
  <c r="E2481" i="210" s="1"/>
  <c r="E2483" i="210" s="1"/>
  <c r="E2485" i="210" s="1"/>
  <c r="E2487" i="210" s="1"/>
  <c r="E2489" i="210" s="1"/>
  <c r="E2491" i="210" s="1"/>
  <c r="E2493" i="210" s="1"/>
  <c r="I2431" i="210"/>
  <c r="J2431" i="210"/>
  <c r="I2432" i="210"/>
  <c r="I2433" i="210"/>
  <c r="D2435" i="210"/>
  <c r="K2435" i="210"/>
  <c r="L2435" i="210"/>
  <c r="N2435" i="210"/>
  <c r="P2435" i="210"/>
  <c r="Q2435" i="210"/>
  <c r="D2436" i="210"/>
  <c r="E2436" i="210"/>
  <c r="K2436" i="210"/>
  <c r="L2436" i="210"/>
  <c r="N2436" i="210"/>
  <c r="P2436" i="210"/>
  <c r="Q2436" i="210"/>
  <c r="D2437" i="210"/>
  <c r="K2437" i="210"/>
  <c r="L2437" i="210"/>
  <c r="N2437" i="210"/>
  <c r="P2437" i="210"/>
  <c r="Q2437" i="210"/>
  <c r="D2438" i="210"/>
  <c r="E2438" i="210"/>
  <c r="E2440" i="210" s="1"/>
  <c r="E2442" i="210" s="1"/>
  <c r="E2444" i="210" s="1"/>
  <c r="E2446" i="210" s="1"/>
  <c r="E2448" i="210" s="1"/>
  <c r="E2450" i="210" s="1"/>
  <c r="E2452" i="210" s="1"/>
  <c r="E2454" i="210" s="1"/>
  <c r="E2456" i="210" s="1"/>
  <c r="E2458" i="210" s="1"/>
  <c r="E2460" i="210" s="1"/>
  <c r="E2462" i="210" s="1"/>
  <c r="E2464" i="210" s="1"/>
  <c r="E2466" i="210" s="1"/>
  <c r="E2468" i="210" s="1"/>
  <c r="E2470" i="210" s="1"/>
  <c r="E2472" i="210" s="1"/>
  <c r="E2474" i="210" s="1"/>
  <c r="E2476" i="210" s="1"/>
  <c r="E2478" i="210" s="1"/>
  <c r="E2480" i="210" s="1"/>
  <c r="E2482" i="210" s="1"/>
  <c r="E2484" i="210" s="1"/>
  <c r="E2486" i="210" s="1"/>
  <c r="E2488" i="210" s="1"/>
  <c r="E2490" i="210" s="1"/>
  <c r="E2492" i="210" s="1"/>
  <c r="K2438" i="210"/>
  <c r="L2438" i="210"/>
  <c r="N2438" i="210"/>
  <c r="P2438" i="210"/>
  <c r="Q2438" i="210"/>
  <c r="D2439" i="210"/>
  <c r="K2439" i="210"/>
  <c r="L2439" i="210"/>
  <c r="N2439" i="210"/>
  <c r="P2439" i="210"/>
  <c r="Q2439" i="210"/>
  <c r="D2440" i="210"/>
  <c r="K2440" i="210"/>
  <c r="L2440" i="210"/>
  <c r="N2440" i="210"/>
  <c r="P2440" i="210"/>
  <c r="Q2440" i="210"/>
  <c r="D2441" i="210"/>
  <c r="K2441" i="210"/>
  <c r="L2441" i="210"/>
  <c r="N2441" i="210"/>
  <c r="P2441" i="210"/>
  <c r="Q2441" i="210"/>
  <c r="D2442" i="210"/>
  <c r="K2442" i="210"/>
  <c r="L2442" i="210"/>
  <c r="N2442" i="210"/>
  <c r="P2442" i="210"/>
  <c r="Q2442" i="210"/>
  <c r="D2443" i="210"/>
  <c r="K2443" i="210"/>
  <c r="L2443" i="210"/>
  <c r="N2443" i="210"/>
  <c r="P2443" i="210"/>
  <c r="Q2443" i="210"/>
  <c r="D2444" i="210"/>
  <c r="K2444" i="210"/>
  <c r="L2444" i="210"/>
  <c r="N2444" i="210"/>
  <c r="P2444" i="210"/>
  <c r="Q2444" i="210"/>
  <c r="D2445" i="210"/>
  <c r="K2445" i="210"/>
  <c r="L2445" i="210"/>
  <c r="N2445" i="210"/>
  <c r="P2445" i="210"/>
  <c r="Q2445" i="210"/>
  <c r="D2446" i="210"/>
  <c r="K2446" i="210"/>
  <c r="L2446" i="210"/>
  <c r="N2446" i="210"/>
  <c r="P2446" i="210"/>
  <c r="Q2446" i="210"/>
  <c r="D2447" i="210"/>
  <c r="K2447" i="210"/>
  <c r="L2447" i="210"/>
  <c r="N2447" i="210"/>
  <c r="P2447" i="210"/>
  <c r="Q2447" i="210"/>
  <c r="D2448" i="210"/>
  <c r="K2448" i="210"/>
  <c r="L2448" i="210"/>
  <c r="N2448" i="210"/>
  <c r="P2448" i="210"/>
  <c r="Q2448" i="210"/>
  <c r="D2449" i="210"/>
  <c r="K2449" i="210"/>
  <c r="L2449" i="210"/>
  <c r="N2449" i="210"/>
  <c r="P2449" i="210"/>
  <c r="Q2449" i="210"/>
  <c r="D2450" i="210"/>
  <c r="K2450" i="210"/>
  <c r="L2450" i="210"/>
  <c r="N2450" i="210"/>
  <c r="P2450" i="210"/>
  <c r="Q2450" i="210"/>
  <c r="D2451" i="210"/>
  <c r="K2451" i="210"/>
  <c r="L2451" i="210"/>
  <c r="N2451" i="210"/>
  <c r="P2451" i="210"/>
  <c r="Q2451" i="210"/>
  <c r="D2452" i="210"/>
  <c r="K2452" i="210"/>
  <c r="L2452" i="210"/>
  <c r="N2452" i="210"/>
  <c r="P2452" i="210"/>
  <c r="Q2452" i="210"/>
  <c r="D2453" i="210"/>
  <c r="K2453" i="210"/>
  <c r="L2453" i="210"/>
  <c r="N2453" i="210"/>
  <c r="P2453" i="210"/>
  <c r="Q2453" i="210"/>
  <c r="D2454" i="210"/>
  <c r="K2454" i="210"/>
  <c r="L2454" i="210"/>
  <c r="N2454" i="210"/>
  <c r="P2454" i="210"/>
  <c r="Q2454" i="210"/>
  <c r="D2455" i="210"/>
  <c r="K2455" i="210"/>
  <c r="L2455" i="210"/>
  <c r="N2455" i="210"/>
  <c r="P2455" i="210"/>
  <c r="Q2455" i="210"/>
  <c r="D2456" i="210"/>
  <c r="K2456" i="210"/>
  <c r="L2456" i="210"/>
  <c r="N2456" i="210"/>
  <c r="P2456" i="210"/>
  <c r="Q2456" i="210"/>
  <c r="D2457" i="210"/>
  <c r="K2457" i="210"/>
  <c r="L2457" i="210"/>
  <c r="N2457" i="210"/>
  <c r="P2457" i="210"/>
  <c r="Q2457" i="210"/>
  <c r="D2458" i="210"/>
  <c r="K2458" i="210"/>
  <c r="L2458" i="210"/>
  <c r="N2458" i="210"/>
  <c r="P2458" i="210"/>
  <c r="Q2458" i="210"/>
  <c r="D2459" i="210"/>
  <c r="K2459" i="210"/>
  <c r="L2459" i="210"/>
  <c r="N2459" i="210"/>
  <c r="P2459" i="210"/>
  <c r="Q2459" i="210"/>
  <c r="D2460" i="210"/>
  <c r="K2460" i="210"/>
  <c r="L2460" i="210"/>
  <c r="N2460" i="210"/>
  <c r="P2460" i="210"/>
  <c r="Q2460" i="210"/>
  <c r="D2461" i="210"/>
  <c r="K2461" i="210"/>
  <c r="L2461" i="210"/>
  <c r="N2461" i="210"/>
  <c r="P2461" i="210"/>
  <c r="Q2461" i="210"/>
  <c r="D2462" i="210"/>
  <c r="K2462" i="210"/>
  <c r="L2462" i="210"/>
  <c r="N2462" i="210"/>
  <c r="P2462" i="210"/>
  <c r="Q2462" i="210"/>
  <c r="D2463" i="210"/>
  <c r="K2463" i="210"/>
  <c r="L2463" i="210"/>
  <c r="N2463" i="210"/>
  <c r="P2463" i="210"/>
  <c r="Q2463" i="210"/>
  <c r="D2464" i="210"/>
  <c r="K2464" i="210"/>
  <c r="L2464" i="210"/>
  <c r="N2464" i="210"/>
  <c r="P2464" i="210"/>
  <c r="Q2464" i="210"/>
  <c r="D2465" i="210"/>
  <c r="K2465" i="210"/>
  <c r="L2465" i="210"/>
  <c r="N2465" i="210"/>
  <c r="P2465" i="210"/>
  <c r="Q2465" i="210"/>
  <c r="D2466" i="210"/>
  <c r="K2466" i="210"/>
  <c r="L2466" i="210"/>
  <c r="N2466" i="210"/>
  <c r="P2466" i="210"/>
  <c r="Q2466" i="210"/>
  <c r="D2467" i="210"/>
  <c r="K2467" i="210"/>
  <c r="L2467" i="210"/>
  <c r="N2467" i="210"/>
  <c r="P2467" i="210"/>
  <c r="Q2467" i="210"/>
  <c r="D2468" i="210"/>
  <c r="K2468" i="210"/>
  <c r="L2468" i="210"/>
  <c r="N2468" i="210"/>
  <c r="P2468" i="210"/>
  <c r="Q2468" i="210"/>
  <c r="D2469" i="210"/>
  <c r="K2469" i="210"/>
  <c r="L2469" i="210"/>
  <c r="N2469" i="210"/>
  <c r="P2469" i="210"/>
  <c r="Q2469" i="210"/>
  <c r="D2470" i="210"/>
  <c r="K2470" i="210"/>
  <c r="L2470" i="210"/>
  <c r="N2470" i="210"/>
  <c r="P2470" i="210"/>
  <c r="Q2470" i="210"/>
  <c r="D2471" i="210"/>
  <c r="K2471" i="210"/>
  <c r="L2471" i="210"/>
  <c r="N2471" i="210"/>
  <c r="P2471" i="210"/>
  <c r="Q2471" i="210"/>
  <c r="D2472" i="210"/>
  <c r="K2472" i="210"/>
  <c r="L2472" i="210"/>
  <c r="N2472" i="210"/>
  <c r="P2472" i="210"/>
  <c r="Q2472" i="210"/>
  <c r="D2473" i="210"/>
  <c r="K2473" i="210"/>
  <c r="L2473" i="210"/>
  <c r="N2473" i="210"/>
  <c r="P2473" i="210"/>
  <c r="Q2473" i="210"/>
  <c r="D2474" i="210"/>
  <c r="K2474" i="210"/>
  <c r="L2474" i="210"/>
  <c r="N2474" i="210"/>
  <c r="P2474" i="210"/>
  <c r="Q2474" i="210"/>
  <c r="D2475" i="210"/>
  <c r="K2475" i="210"/>
  <c r="L2475" i="210"/>
  <c r="N2475" i="210"/>
  <c r="P2475" i="210"/>
  <c r="Q2475" i="210"/>
  <c r="D2476" i="210"/>
  <c r="K2476" i="210"/>
  <c r="L2476" i="210"/>
  <c r="N2476" i="210"/>
  <c r="P2476" i="210"/>
  <c r="Q2476" i="210"/>
  <c r="D2477" i="210"/>
  <c r="K2477" i="210"/>
  <c r="L2477" i="210"/>
  <c r="N2477" i="210"/>
  <c r="P2477" i="210"/>
  <c r="Q2477" i="210"/>
  <c r="D2478" i="210"/>
  <c r="K2478" i="210"/>
  <c r="L2478" i="210"/>
  <c r="N2478" i="210"/>
  <c r="P2478" i="210"/>
  <c r="Q2478" i="210"/>
  <c r="D2479" i="210"/>
  <c r="K2479" i="210"/>
  <c r="L2479" i="210"/>
  <c r="N2479" i="210"/>
  <c r="P2479" i="210"/>
  <c r="Q2479" i="210"/>
  <c r="D2480" i="210"/>
  <c r="K2480" i="210"/>
  <c r="L2480" i="210"/>
  <c r="N2480" i="210"/>
  <c r="P2480" i="210"/>
  <c r="Q2480" i="210"/>
  <c r="D2481" i="210"/>
  <c r="K2481" i="210"/>
  <c r="L2481" i="210"/>
  <c r="N2481" i="210"/>
  <c r="P2481" i="210"/>
  <c r="Q2481" i="210"/>
  <c r="D2482" i="210"/>
  <c r="K2482" i="210"/>
  <c r="L2482" i="210"/>
  <c r="N2482" i="210"/>
  <c r="P2482" i="210"/>
  <c r="Q2482" i="210"/>
  <c r="D2483" i="210"/>
  <c r="K2483" i="210"/>
  <c r="L2483" i="210"/>
  <c r="N2483" i="210"/>
  <c r="P2483" i="210"/>
  <c r="Q2483" i="210"/>
  <c r="D2484" i="210"/>
  <c r="K2484" i="210"/>
  <c r="L2484" i="210"/>
  <c r="N2484" i="210"/>
  <c r="P2484" i="210"/>
  <c r="Q2484" i="210"/>
  <c r="D2485" i="210"/>
  <c r="K2485" i="210"/>
  <c r="L2485" i="210"/>
  <c r="N2485" i="210"/>
  <c r="P2485" i="210"/>
  <c r="Q2485" i="210"/>
  <c r="D2486" i="210"/>
  <c r="K2486" i="210"/>
  <c r="L2486" i="210"/>
  <c r="N2486" i="210"/>
  <c r="P2486" i="210"/>
  <c r="Q2486" i="210"/>
  <c r="D2487" i="210"/>
  <c r="K2487" i="210"/>
  <c r="L2487" i="210"/>
  <c r="N2487" i="210"/>
  <c r="P2487" i="210"/>
  <c r="Q2487" i="210"/>
  <c r="D2488" i="210"/>
  <c r="K2488" i="210"/>
  <c r="L2488" i="210"/>
  <c r="N2488" i="210"/>
  <c r="P2488" i="210"/>
  <c r="Q2488" i="210"/>
  <c r="D2489" i="210"/>
  <c r="K2489" i="210"/>
  <c r="L2489" i="210"/>
  <c r="N2489" i="210"/>
  <c r="P2489" i="210"/>
  <c r="Q2489" i="210"/>
  <c r="D2490" i="210"/>
  <c r="K2490" i="210"/>
  <c r="L2490" i="210"/>
  <c r="N2490" i="210"/>
  <c r="P2490" i="210"/>
  <c r="Q2490" i="210"/>
  <c r="D2491" i="210"/>
  <c r="K2491" i="210"/>
  <c r="L2491" i="210"/>
  <c r="N2491" i="210"/>
  <c r="P2491" i="210"/>
  <c r="Q2491" i="210"/>
  <c r="D2492" i="210"/>
  <c r="K2492" i="210"/>
  <c r="L2492" i="210"/>
  <c r="N2492" i="210"/>
  <c r="P2492" i="210"/>
  <c r="Q2492" i="210"/>
  <c r="D2493" i="210"/>
  <c r="K2493" i="210"/>
  <c r="L2493" i="210"/>
  <c r="N2493" i="210"/>
  <c r="P2493" i="210"/>
  <c r="Q2493" i="210"/>
  <c r="C2496" i="210"/>
  <c r="C2497" i="210" s="1"/>
  <c r="C2498" i="210" s="1"/>
  <c r="H2496" i="210"/>
  <c r="E2496" i="210" s="1"/>
  <c r="E2497" i="210" s="1"/>
  <c r="E2498" i="210" s="1"/>
  <c r="E2500" i="210" s="1"/>
  <c r="E2502" i="210" s="1"/>
  <c r="E2504" i="210" s="1"/>
  <c r="E2506" i="210" s="1"/>
  <c r="E2508" i="210" s="1"/>
  <c r="E2510" i="210" s="1"/>
  <c r="E2512" i="210" s="1"/>
  <c r="E2514" i="210" s="1"/>
  <c r="E2516" i="210" s="1"/>
  <c r="E2518" i="210" s="1"/>
  <c r="E2520" i="210" s="1"/>
  <c r="E2522" i="210" s="1"/>
  <c r="E2524" i="210" s="1"/>
  <c r="E2526" i="210" s="1"/>
  <c r="I2496" i="210"/>
  <c r="J2496" i="210"/>
  <c r="I2497" i="210"/>
  <c r="I2498" i="210"/>
  <c r="D2500" i="210"/>
  <c r="K2500" i="210"/>
  <c r="L2500" i="210"/>
  <c r="N2500" i="210"/>
  <c r="P2500" i="210"/>
  <c r="Q2500" i="210"/>
  <c r="D2501" i="210"/>
  <c r="E2501" i="210"/>
  <c r="E2503" i="210" s="1"/>
  <c r="E2505" i="210" s="1"/>
  <c r="E2507" i="210" s="1"/>
  <c r="E2509" i="210" s="1"/>
  <c r="E2511" i="210" s="1"/>
  <c r="E2513" i="210" s="1"/>
  <c r="E2515" i="210" s="1"/>
  <c r="E2517" i="210" s="1"/>
  <c r="E2519" i="210" s="1"/>
  <c r="E2521" i="210" s="1"/>
  <c r="E2523" i="210" s="1"/>
  <c r="E2525" i="210" s="1"/>
  <c r="E2527" i="210" s="1"/>
  <c r="E2529" i="210" s="1"/>
  <c r="E2531" i="210" s="1"/>
  <c r="E2533" i="210" s="1"/>
  <c r="E2535" i="210" s="1"/>
  <c r="E2537" i="210" s="1"/>
  <c r="E2539" i="210" s="1"/>
  <c r="E2541" i="210" s="1"/>
  <c r="E2543" i="210" s="1"/>
  <c r="E2545" i="210" s="1"/>
  <c r="E2547" i="210" s="1"/>
  <c r="E2549" i="210" s="1"/>
  <c r="E2551" i="210" s="1"/>
  <c r="E2553" i="210" s="1"/>
  <c r="E2555" i="210" s="1"/>
  <c r="E2557" i="210" s="1"/>
  <c r="E2559" i="210" s="1"/>
  <c r="E2561" i="210" s="1"/>
  <c r="E2563" i="210" s="1"/>
  <c r="E2565" i="210" s="1"/>
  <c r="E2567" i="210" s="1"/>
  <c r="E2569" i="210" s="1"/>
  <c r="E2571" i="210" s="1"/>
  <c r="E2573" i="210" s="1"/>
  <c r="E2575" i="210" s="1"/>
  <c r="E2577" i="210" s="1"/>
  <c r="E2579" i="210" s="1"/>
  <c r="E2581" i="210" s="1"/>
  <c r="E2583" i="210" s="1"/>
  <c r="E2585" i="210" s="1"/>
  <c r="E2587" i="210" s="1"/>
  <c r="E2589" i="210" s="1"/>
  <c r="E2591" i="210" s="1"/>
  <c r="E2593" i="210" s="1"/>
  <c r="E2595" i="210" s="1"/>
  <c r="E2597" i="210" s="1"/>
  <c r="E2599" i="210" s="1"/>
  <c r="E2601" i="210" s="1"/>
  <c r="E2603" i="210" s="1"/>
  <c r="E2605" i="210" s="1"/>
  <c r="E2607" i="210" s="1"/>
  <c r="E2609" i="210" s="1"/>
  <c r="E2611" i="210" s="1"/>
  <c r="E2613" i="210" s="1"/>
  <c r="E2615" i="210" s="1"/>
  <c r="E2617" i="210" s="1"/>
  <c r="E2619" i="210" s="1"/>
  <c r="E2621" i="210" s="1"/>
  <c r="E2623" i="210" s="1"/>
  <c r="E2625" i="210" s="1"/>
  <c r="E2627" i="210" s="1"/>
  <c r="E2629" i="210" s="1"/>
  <c r="E2631" i="210" s="1"/>
  <c r="E2633" i="210" s="1"/>
  <c r="E2635" i="210" s="1"/>
  <c r="E2637" i="210" s="1"/>
  <c r="E2639" i="210" s="1"/>
  <c r="E2641" i="210" s="1"/>
  <c r="E2643" i="210" s="1"/>
  <c r="E2645" i="210" s="1"/>
  <c r="E2647" i="210" s="1"/>
  <c r="K2501" i="210"/>
  <c r="L2501" i="210"/>
  <c r="N2501" i="210"/>
  <c r="P2501" i="210"/>
  <c r="Q2501" i="210"/>
  <c r="D2502" i="210"/>
  <c r="K2502" i="210"/>
  <c r="L2502" i="210"/>
  <c r="N2502" i="210"/>
  <c r="P2502" i="210"/>
  <c r="Q2502" i="210"/>
  <c r="D2503" i="210"/>
  <c r="K2503" i="210"/>
  <c r="L2503" i="210"/>
  <c r="N2503" i="210"/>
  <c r="P2503" i="210"/>
  <c r="Q2503" i="210"/>
  <c r="D2504" i="210"/>
  <c r="K2504" i="210"/>
  <c r="L2504" i="210"/>
  <c r="N2504" i="210"/>
  <c r="P2504" i="210"/>
  <c r="Q2504" i="210"/>
  <c r="D2505" i="210"/>
  <c r="K2505" i="210"/>
  <c r="L2505" i="210"/>
  <c r="N2505" i="210"/>
  <c r="P2505" i="210"/>
  <c r="Q2505" i="210"/>
  <c r="D2506" i="210"/>
  <c r="K2506" i="210"/>
  <c r="L2506" i="210"/>
  <c r="N2506" i="210"/>
  <c r="P2506" i="210"/>
  <c r="Q2506" i="210"/>
  <c r="D2507" i="210"/>
  <c r="K2507" i="210"/>
  <c r="L2507" i="210"/>
  <c r="N2507" i="210"/>
  <c r="P2507" i="210"/>
  <c r="Q2507" i="210"/>
  <c r="D2508" i="210"/>
  <c r="K2508" i="210"/>
  <c r="L2508" i="210"/>
  <c r="N2508" i="210"/>
  <c r="P2508" i="210"/>
  <c r="Q2508" i="210"/>
  <c r="D2509" i="210"/>
  <c r="K2509" i="210"/>
  <c r="L2509" i="210"/>
  <c r="N2509" i="210"/>
  <c r="P2509" i="210"/>
  <c r="Q2509" i="210"/>
  <c r="D2510" i="210"/>
  <c r="K2510" i="210"/>
  <c r="L2510" i="210"/>
  <c r="N2510" i="210"/>
  <c r="P2510" i="210"/>
  <c r="Q2510" i="210"/>
  <c r="D2511" i="210"/>
  <c r="K2511" i="210"/>
  <c r="L2511" i="210"/>
  <c r="N2511" i="210"/>
  <c r="P2511" i="210"/>
  <c r="Q2511" i="210"/>
  <c r="D2512" i="210"/>
  <c r="K2512" i="210"/>
  <c r="L2512" i="210"/>
  <c r="N2512" i="210"/>
  <c r="P2512" i="210"/>
  <c r="Q2512" i="210"/>
  <c r="D2513" i="210"/>
  <c r="K2513" i="210"/>
  <c r="L2513" i="210"/>
  <c r="N2513" i="210"/>
  <c r="P2513" i="210"/>
  <c r="Q2513" i="210"/>
  <c r="D2514" i="210"/>
  <c r="K2514" i="210"/>
  <c r="L2514" i="210"/>
  <c r="N2514" i="210"/>
  <c r="P2514" i="210"/>
  <c r="Q2514" i="210"/>
  <c r="D2515" i="210"/>
  <c r="K2515" i="210"/>
  <c r="L2515" i="210"/>
  <c r="N2515" i="210"/>
  <c r="P2515" i="210"/>
  <c r="Q2515" i="210"/>
  <c r="D2516" i="210"/>
  <c r="K2516" i="210"/>
  <c r="L2516" i="210"/>
  <c r="N2516" i="210"/>
  <c r="P2516" i="210"/>
  <c r="Q2516" i="210"/>
  <c r="D2517" i="210"/>
  <c r="K2517" i="210"/>
  <c r="L2517" i="210"/>
  <c r="N2517" i="210"/>
  <c r="P2517" i="210"/>
  <c r="Q2517" i="210"/>
  <c r="D2518" i="210"/>
  <c r="K2518" i="210"/>
  <c r="L2518" i="210"/>
  <c r="N2518" i="210"/>
  <c r="P2518" i="210"/>
  <c r="Q2518" i="210"/>
  <c r="D2519" i="210"/>
  <c r="K2519" i="210"/>
  <c r="L2519" i="210"/>
  <c r="N2519" i="210"/>
  <c r="P2519" i="210"/>
  <c r="Q2519" i="210"/>
  <c r="D2520" i="210"/>
  <c r="K2520" i="210"/>
  <c r="L2520" i="210"/>
  <c r="N2520" i="210"/>
  <c r="P2520" i="210"/>
  <c r="Q2520" i="210"/>
  <c r="D2521" i="210"/>
  <c r="K2521" i="210"/>
  <c r="L2521" i="210"/>
  <c r="N2521" i="210"/>
  <c r="P2521" i="210"/>
  <c r="Q2521" i="210"/>
  <c r="D2522" i="210"/>
  <c r="K2522" i="210"/>
  <c r="L2522" i="210"/>
  <c r="N2522" i="210"/>
  <c r="P2522" i="210"/>
  <c r="Q2522" i="210"/>
  <c r="D2523" i="210"/>
  <c r="K2523" i="210"/>
  <c r="L2523" i="210"/>
  <c r="N2523" i="210"/>
  <c r="P2523" i="210"/>
  <c r="Q2523" i="210"/>
  <c r="D2524" i="210"/>
  <c r="K2524" i="210"/>
  <c r="L2524" i="210"/>
  <c r="N2524" i="210"/>
  <c r="P2524" i="210"/>
  <c r="Q2524" i="210"/>
  <c r="D2525" i="210"/>
  <c r="K2525" i="210"/>
  <c r="L2525" i="210"/>
  <c r="N2525" i="210"/>
  <c r="P2525" i="210"/>
  <c r="Q2525" i="210"/>
  <c r="D2526" i="210"/>
  <c r="K2526" i="210"/>
  <c r="L2526" i="210"/>
  <c r="N2526" i="210"/>
  <c r="P2526" i="210"/>
  <c r="Q2526" i="210"/>
  <c r="D2527" i="210"/>
  <c r="K2527" i="210"/>
  <c r="L2527" i="210"/>
  <c r="N2527" i="210"/>
  <c r="P2527" i="210"/>
  <c r="Q2527" i="210"/>
  <c r="D2528" i="210"/>
  <c r="E2528" i="210"/>
  <c r="E2530" i="210" s="1"/>
  <c r="E2532" i="210" s="1"/>
  <c r="E2534" i="210" s="1"/>
  <c r="E2536" i="210" s="1"/>
  <c r="E2538" i="210" s="1"/>
  <c r="E2540" i="210" s="1"/>
  <c r="E2542" i="210" s="1"/>
  <c r="E2544" i="210" s="1"/>
  <c r="E2546" i="210" s="1"/>
  <c r="E2548" i="210" s="1"/>
  <c r="E2550" i="210" s="1"/>
  <c r="E2552" i="210" s="1"/>
  <c r="E2554" i="210" s="1"/>
  <c r="E2556" i="210" s="1"/>
  <c r="E2558" i="210" s="1"/>
  <c r="E2560" i="210" s="1"/>
  <c r="E2562" i="210" s="1"/>
  <c r="E2564" i="210" s="1"/>
  <c r="E2566" i="210" s="1"/>
  <c r="E2568" i="210" s="1"/>
  <c r="E2570" i="210" s="1"/>
  <c r="E2572" i="210" s="1"/>
  <c r="E2574" i="210" s="1"/>
  <c r="E2576" i="210" s="1"/>
  <c r="E2578" i="210" s="1"/>
  <c r="E2580" i="210" s="1"/>
  <c r="E2582" i="210" s="1"/>
  <c r="E2584" i="210" s="1"/>
  <c r="E2586" i="210" s="1"/>
  <c r="E2588" i="210" s="1"/>
  <c r="E2590" i="210" s="1"/>
  <c r="E2592" i="210" s="1"/>
  <c r="E2594" i="210" s="1"/>
  <c r="E2596" i="210" s="1"/>
  <c r="E2598" i="210" s="1"/>
  <c r="E2600" i="210" s="1"/>
  <c r="E2602" i="210" s="1"/>
  <c r="E2604" i="210" s="1"/>
  <c r="E2606" i="210" s="1"/>
  <c r="E2608" i="210" s="1"/>
  <c r="E2610" i="210" s="1"/>
  <c r="E2612" i="210" s="1"/>
  <c r="E2614" i="210" s="1"/>
  <c r="E2616" i="210" s="1"/>
  <c r="E2618" i="210" s="1"/>
  <c r="E2620" i="210" s="1"/>
  <c r="E2622" i="210" s="1"/>
  <c r="E2624" i="210" s="1"/>
  <c r="E2626" i="210" s="1"/>
  <c r="E2628" i="210" s="1"/>
  <c r="E2630" i="210" s="1"/>
  <c r="E2632" i="210" s="1"/>
  <c r="E2634" i="210" s="1"/>
  <c r="E2636" i="210" s="1"/>
  <c r="E2638" i="210" s="1"/>
  <c r="E2640" i="210" s="1"/>
  <c r="E2642" i="210" s="1"/>
  <c r="E2644" i="210" s="1"/>
  <c r="E2646" i="210" s="1"/>
  <c r="K2528" i="210"/>
  <c r="L2528" i="210"/>
  <c r="N2528" i="210"/>
  <c r="P2528" i="210"/>
  <c r="Q2528" i="210"/>
  <c r="D2529" i="210"/>
  <c r="K2529" i="210"/>
  <c r="L2529" i="210"/>
  <c r="N2529" i="210"/>
  <c r="P2529" i="210"/>
  <c r="Q2529" i="210"/>
  <c r="D2530" i="210"/>
  <c r="K2530" i="210"/>
  <c r="L2530" i="210"/>
  <c r="N2530" i="210"/>
  <c r="P2530" i="210"/>
  <c r="Q2530" i="210"/>
  <c r="D2531" i="210"/>
  <c r="K2531" i="210"/>
  <c r="L2531" i="210"/>
  <c r="N2531" i="210"/>
  <c r="P2531" i="210"/>
  <c r="Q2531" i="210"/>
  <c r="D2532" i="210"/>
  <c r="K2532" i="210"/>
  <c r="L2532" i="210"/>
  <c r="N2532" i="210"/>
  <c r="P2532" i="210"/>
  <c r="Q2532" i="210"/>
  <c r="D2533" i="210"/>
  <c r="K2533" i="210"/>
  <c r="L2533" i="210"/>
  <c r="N2533" i="210"/>
  <c r="P2533" i="210"/>
  <c r="Q2533" i="210"/>
  <c r="D2534" i="210"/>
  <c r="K2534" i="210"/>
  <c r="L2534" i="210"/>
  <c r="N2534" i="210"/>
  <c r="P2534" i="210"/>
  <c r="Q2534" i="210"/>
  <c r="D2535" i="210"/>
  <c r="K2535" i="210"/>
  <c r="L2535" i="210"/>
  <c r="N2535" i="210"/>
  <c r="P2535" i="210"/>
  <c r="Q2535" i="210"/>
  <c r="D2536" i="210"/>
  <c r="K2536" i="210"/>
  <c r="L2536" i="210"/>
  <c r="N2536" i="210"/>
  <c r="P2536" i="210"/>
  <c r="Q2536" i="210"/>
  <c r="D2537" i="210"/>
  <c r="K2537" i="210"/>
  <c r="L2537" i="210"/>
  <c r="N2537" i="210"/>
  <c r="P2537" i="210"/>
  <c r="Q2537" i="210"/>
  <c r="D2538" i="210"/>
  <c r="K2538" i="210"/>
  <c r="L2538" i="210"/>
  <c r="N2538" i="210"/>
  <c r="P2538" i="210"/>
  <c r="Q2538" i="210"/>
  <c r="D2539" i="210"/>
  <c r="K2539" i="210"/>
  <c r="L2539" i="210"/>
  <c r="N2539" i="210"/>
  <c r="P2539" i="210"/>
  <c r="Q2539" i="210"/>
  <c r="D2540" i="210"/>
  <c r="K2540" i="210"/>
  <c r="L2540" i="210"/>
  <c r="N2540" i="210"/>
  <c r="P2540" i="210"/>
  <c r="Q2540" i="210"/>
  <c r="D2541" i="210"/>
  <c r="K2541" i="210"/>
  <c r="L2541" i="210"/>
  <c r="N2541" i="210"/>
  <c r="P2541" i="210"/>
  <c r="Q2541" i="210"/>
  <c r="D2542" i="210"/>
  <c r="K2542" i="210"/>
  <c r="L2542" i="210"/>
  <c r="N2542" i="210"/>
  <c r="P2542" i="210"/>
  <c r="Q2542" i="210"/>
  <c r="D2543" i="210"/>
  <c r="K2543" i="210"/>
  <c r="L2543" i="210"/>
  <c r="N2543" i="210"/>
  <c r="P2543" i="210"/>
  <c r="Q2543" i="210"/>
  <c r="D2544" i="210"/>
  <c r="K2544" i="210"/>
  <c r="L2544" i="210"/>
  <c r="N2544" i="210"/>
  <c r="P2544" i="210"/>
  <c r="Q2544" i="210"/>
  <c r="D2545" i="210"/>
  <c r="K2545" i="210"/>
  <c r="L2545" i="210"/>
  <c r="N2545" i="210"/>
  <c r="P2545" i="210"/>
  <c r="Q2545" i="210"/>
  <c r="D2546" i="210"/>
  <c r="K2546" i="210"/>
  <c r="L2546" i="210"/>
  <c r="N2546" i="210"/>
  <c r="P2546" i="210"/>
  <c r="Q2546" i="210"/>
  <c r="D2547" i="210"/>
  <c r="K2547" i="210"/>
  <c r="L2547" i="210"/>
  <c r="N2547" i="210"/>
  <c r="P2547" i="210"/>
  <c r="Q2547" i="210"/>
  <c r="D2548" i="210"/>
  <c r="K2548" i="210"/>
  <c r="L2548" i="210"/>
  <c r="N2548" i="210"/>
  <c r="P2548" i="210"/>
  <c r="Q2548" i="210"/>
  <c r="D2549" i="210"/>
  <c r="K2549" i="210"/>
  <c r="L2549" i="210"/>
  <c r="N2549" i="210"/>
  <c r="P2549" i="210"/>
  <c r="Q2549" i="210"/>
  <c r="D2550" i="210"/>
  <c r="K2550" i="210"/>
  <c r="L2550" i="210"/>
  <c r="N2550" i="210"/>
  <c r="P2550" i="210"/>
  <c r="Q2550" i="210"/>
  <c r="D2551" i="210"/>
  <c r="K2551" i="210"/>
  <c r="L2551" i="210"/>
  <c r="N2551" i="210"/>
  <c r="P2551" i="210"/>
  <c r="Q2551" i="210"/>
  <c r="D2552" i="210"/>
  <c r="K2552" i="210"/>
  <c r="L2552" i="210"/>
  <c r="N2552" i="210"/>
  <c r="P2552" i="210"/>
  <c r="Q2552" i="210"/>
  <c r="D2553" i="210"/>
  <c r="K2553" i="210"/>
  <c r="L2553" i="210"/>
  <c r="N2553" i="210"/>
  <c r="P2553" i="210"/>
  <c r="Q2553" i="210"/>
  <c r="D2554" i="210"/>
  <c r="K2554" i="210"/>
  <c r="L2554" i="210"/>
  <c r="N2554" i="210"/>
  <c r="P2554" i="210"/>
  <c r="Q2554" i="210"/>
  <c r="D2555" i="210"/>
  <c r="K2555" i="210"/>
  <c r="L2555" i="210"/>
  <c r="N2555" i="210"/>
  <c r="P2555" i="210"/>
  <c r="Q2555" i="210"/>
  <c r="D2556" i="210"/>
  <c r="K2556" i="210"/>
  <c r="L2556" i="210"/>
  <c r="N2556" i="210"/>
  <c r="P2556" i="210"/>
  <c r="Q2556" i="210"/>
  <c r="D2557" i="210"/>
  <c r="K2557" i="210"/>
  <c r="L2557" i="210"/>
  <c r="N2557" i="210"/>
  <c r="P2557" i="210"/>
  <c r="Q2557" i="210"/>
  <c r="D2558" i="210"/>
  <c r="K2558" i="210"/>
  <c r="L2558" i="210"/>
  <c r="N2558" i="210"/>
  <c r="P2558" i="210"/>
  <c r="Q2558" i="210"/>
  <c r="D2559" i="210"/>
  <c r="K2559" i="210"/>
  <c r="L2559" i="210"/>
  <c r="N2559" i="210"/>
  <c r="P2559" i="210"/>
  <c r="Q2559" i="210"/>
  <c r="D2560" i="210"/>
  <c r="K2560" i="210"/>
  <c r="L2560" i="210"/>
  <c r="N2560" i="210"/>
  <c r="P2560" i="210"/>
  <c r="Q2560" i="210"/>
  <c r="D2561" i="210"/>
  <c r="K2561" i="210"/>
  <c r="L2561" i="210"/>
  <c r="N2561" i="210"/>
  <c r="P2561" i="210"/>
  <c r="Q2561" i="210"/>
  <c r="D2562" i="210"/>
  <c r="K2562" i="210"/>
  <c r="L2562" i="210"/>
  <c r="N2562" i="210"/>
  <c r="P2562" i="210"/>
  <c r="Q2562" i="210"/>
  <c r="D2563" i="210"/>
  <c r="K2563" i="210"/>
  <c r="L2563" i="210"/>
  <c r="N2563" i="210"/>
  <c r="P2563" i="210"/>
  <c r="Q2563" i="210"/>
  <c r="D2564" i="210"/>
  <c r="K2564" i="210"/>
  <c r="L2564" i="210"/>
  <c r="N2564" i="210"/>
  <c r="P2564" i="210"/>
  <c r="Q2564" i="210"/>
  <c r="D2565" i="210"/>
  <c r="K2565" i="210"/>
  <c r="L2565" i="210"/>
  <c r="N2565" i="210"/>
  <c r="P2565" i="210"/>
  <c r="Q2565" i="210"/>
  <c r="D2566" i="210"/>
  <c r="K2566" i="210"/>
  <c r="L2566" i="210"/>
  <c r="N2566" i="210"/>
  <c r="P2566" i="210"/>
  <c r="Q2566" i="210"/>
  <c r="D2567" i="210"/>
  <c r="K2567" i="210"/>
  <c r="L2567" i="210"/>
  <c r="N2567" i="210"/>
  <c r="P2567" i="210"/>
  <c r="Q2567" i="210"/>
  <c r="D2568" i="210"/>
  <c r="K2568" i="210"/>
  <c r="L2568" i="210"/>
  <c r="N2568" i="210"/>
  <c r="P2568" i="210"/>
  <c r="Q2568" i="210"/>
  <c r="D2569" i="210"/>
  <c r="K2569" i="210"/>
  <c r="L2569" i="210"/>
  <c r="N2569" i="210"/>
  <c r="P2569" i="210"/>
  <c r="Q2569" i="210"/>
  <c r="D2570" i="210"/>
  <c r="K2570" i="210"/>
  <c r="L2570" i="210"/>
  <c r="N2570" i="210"/>
  <c r="P2570" i="210"/>
  <c r="Q2570" i="210"/>
  <c r="D2571" i="210"/>
  <c r="K2571" i="210"/>
  <c r="L2571" i="210"/>
  <c r="N2571" i="210"/>
  <c r="P2571" i="210"/>
  <c r="Q2571" i="210"/>
  <c r="D2572" i="210"/>
  <c r="K2572" i="210"/>
  <c r="L2572" i="210"/>
  <c r="N2572" i="210"/>
  <c r="P2572" i="210"/>
  <c r="Q2572" i="210"/>
  <c r="D2573" i="210"/>
  <c r="K2573" i="210"/>
  <c r="L2573" i="210"/>
  <c r="N2573" i="210"/>
  <c r="P2573" i="210"/>
  <c r="Q2573" i="210"/>
  <c r="D2574" i="210"/>
  <c r="K2574" i="210"/>
  <c r="L2574" i="210"/>
  <c r="N2574" i="210"/>
  <c r="P2574" i="210"/>
  <c r="Q2574" i="210"/>
  <c r="D2575" i="210"/>
  <c r="K2575" i="210"/>
  <c r="L2575" i="210"/>
  <c r="N2575" i="210"/>
  <c r="P2575" i="210"/>
  <c r="Q2575" i="210"/>
  <c r="D2576" i="210"/>
  <c r="K2576" i="210"/>
  <c r="L2576" i="210"/>
  <c r="N2576" i="210"/>
  <c r="P2576" i="210"/>
  <c r="Q2576" i="210"/>
  <c r="D2577" i="210"/>
  <c r="K2577" i="210"/>
  <c r="L2577" i="210"/>
  <c r="N2577" i="210"/>
  <c r="P2577" i="210"/>
  <c r="Q2577" i="210"/>
  <c r="D2578" i="210"/>
  <c r="K2578" i="210"/>
  <c r="L2578" i="210"/>
  <c r="N2578" i="210"/>
  <c r="P2578" i="210"/>
  <c r="Q2578" i="210"/>
  <c r="D2579" i="210"/>
  <c r="K2579" i="210"/>
  <c r="L2579" i="210"/>
  <c r="N2579" i="210"/>
  <c r="P2579" i="210"/>
  <c r="Q2579" i="210"/>
  <c r="D2580" i="210"/>
  <c r="K2580" i="210"/>
  <c r="L2580" i="210"/>
  <c r="N2580" i="210"/>
  <c r="P2580" i="210"/>
  <c r="Q2580" i="210"/>
  <c r="D2581" i="210"/>
  <c r="K2581" i="210"/>
  <c r="L2581" i="210"/>
  <c r="N2581" i="210"/>
  <c r="P2581" i="210"/>
  <c r="Q2581" i="210"/>
  <c r="D2582" i="210"/>
  <c r="K2582" i="210"/>
  <c r="L2582" i="210"/>
  <c r="N2582" i="210"/>
  <c r="P2582" i="210"/>
  <c r="Q2582" i="210"/>
  <c r="D2583" i="210"/>
  <c r="K2583" i="210"/>
  <c r="L2583" i="210"/>
  <c r="N2583" i="210"/>
  <c r="P2583" i="210"/>
  <c r="Q2583" i="210"/>
  <c r="D2584" i="210"/>
  <c r="K2584" i="210"/>
  <c r="L2584" i="210"/>
  <c r="N2584" i="210"/>
  <c r="P2584" i="210"/>
  <c r="Q2584" i="210"/>
  <c r="D2585" i="210"/>
  <c r="K2585" i="210"/>
  <c r="L2585" i="210"/>
  <c r="N2585" i="210"/>
  <c r="P2585" i="210"/>
  <c r="Q2585" i="210"/>
  <c r="D2586" i="210"/>
  <c r="K2586" i="210"/>
  <c r="L2586" i="210"/>
  <c r="N2586" i="210"/>
  <c r="P2586" i="210"/>
  <c r="Q2586" i="210"/>
  <c r="D2587" i="210"/>
  <c r="K2587" i="210"/>
  <c r="L2587" i="210"/>
  <c r="N2587" i="210"/>
  <c r="P2587" i="210"/>
  <c r="Q2587" i="210"/>
  <c r="D2588" i="210"/>
  <c r="K2588" i="210"/>
  <c r="L2588" i="210"/>
  <c r="N2588" i="210"/>
  <c r="P2588" i="210"/>
  <c r="Q2588" i="210"/>
  <c r="D2589" i="210"/>
  <c r="K2589" i="210"/>
  <c r="L2589" i="210"/>
  <c r="N2589" i="210"/>
  <c r="P2589" i="210"/>
  <c r="Q2589" i="210"/>
  <c r="D2590" i="210"/>
  <c r="K2590" i="210"/>
  <c r="L2590" i="210"/>
  <c r="N2590" i="210"/>
  <c r="P2590" i="210"/>
  <c r="Q2590" i="210"/>
  <c r="D2591" i="210"/>
  <c r="K2591" i="210"/>
  <c r="L2591" i="210"/>
  <c r="N2591" i="210"/>
  <c r="P2591" i="210"/>
  <c r="Q2591" i="210"/>
  <c r="D2592" i="210"/>
  <c r="K2592" i="210"/>
  <c r="L2592" i="210"/>
  <c r="N2592" i="210"/>
  <c r="P2592" i="210"/>
  <c r="Q2592" i="210"/>
  <c r="D2593" i="210"/>
  <c r="K2593" i="210"/>
  <c r="L2593" i="210"/>
  <c r="N2593" i="210"/>
  <c r="P2593" i="210"/>
  <c r="Q2593" i="210"/>
  <c r="D2594" i="210"/>
  <c r="K2594" i="210"/>
  <c r="L2594" i="210"/>
  <c r="N2594" i="210"/>
  <c r="P2594" i="210"/>
  <c r="Q2594" i="210"/>
  <c r="D2595" i="210"/>
  <c r="K2595" i="210"/>
  <c r="L2595" i="210"/>
  <c r="N2595" i="210"/>
  <c r="P2595" i="210"/>
  <c r="Q2595" i="210"/>
  <c r="D2596" i="210"/>
  <c r="K2596" i="210"/>
  <c r="L2596" i="210"/>
  <c r="N2596" i="210"/>
  <c r="P2596" i="210"/>
  <c r="Q2596" i="210"/>
  <c r="D2597" i="210"/>
  <c r="K2597" i="210"/>
  <c r="L2597" i="210"/>
  <c r="N2597" i="210"/>
  <c r="P2597" i="210"/>
  <c r="Q2597" i="210"/>
  <c r="D2598" i="210"/>
  <c r="K2598" i="210"/>
  <c r="L2598" i="210"/>
  <c r="N2598" i="210"/>
  <c r="P2598" i="210"/>
  <c r="Q2598" i="210"/>
  <c r="D2599" i="210"/>
  <c r="K2599" i="210"/>
  <c r="L2599" i="210"/>
  <c r="N2599" i="210"/>
  <c r="P2599" i="210"/>
  <c r="Q2599" i="210"/>
  <c r="D2600" i="210"/>
  <c r="K2600" i="210"/>
  <c r="L2600" i="210"/>
  <c r="N2600" i="210"/>
  <c r="P2600" i="210"/>
  <c r="Q2600" i="210"/>
  <c r="D2601" i="210"/>
  <c r="K2601" i="210"/>
  <c r="L2601" i="210"/>
  <c r="N2601" i="210"/>
  <c r="P2601" i="210"/>
  <c r="Q2601" i="210"/>
  <c r="D2602" i="210"/>
  <c r="K2602" i="210"/>
  <c r="L2602" i="210"/>
  <c r="N2602" i="210"/>
  <c r="P2602" i="210"/>
  <c r="Q2602" i="210"/>
  <c r="D2603" i="210"/>
  <c r="K2603" i="210"/>
  <c r="L2603" i="210"/>
  <c r="N2603" i="210"/>
  <c r="P2603" i="210"/>
  <c r="Q2603" i="210"/>
  <c r="D2604" i="210"/>
  <c r="K2604" i="210"/>
  <c r="L2604" i="210"/>
  <c r="N2604" i="210"/>
  <c r="P2604" i="210"/>
  <c r="Q2604" i="210"/>
  <c r="D2605" i="210"/>
  <c r="K2605" i="210"/>
  <c r="L2605" i="210"/>
  <c r="N2605" i="210"/>
  <c r="P2605" i="210"/>
  <c r="Q2605" i="210"/>
  <c r="D2606" i="210"/>
  <c r="K2606" i="210"/>
  <c r="L2606" i="210"/>
  <c r="N2606" i="210"/>
  <c r="P2606" i="210"/>
  <c r="Q2606" i="210"/>
  <c r="D2607" i="210"/>
  <c r="K2607" i="210"/>
  <c r="L2607" i="210"/>
  <c r="N2607" i="210"/>
  <c r="P2607" i="210"/>
  <c r="Q2607" i="210"/>
  <c r="D2608" i="210"/>
  <c r="K2608" i="210"/>
  <c r="L2608" i="210"/>
  <c r="N2608" i="210"/>
  <c r="P2608" i="210"/>
  <c r="Q2608" i="210"/>
  <c r="D2609" i="210"/>
  <c r="K2609" i="210"/>
  <c r="L2609" i="210"/>
  <c r="N2609" i="210"/>
  <c r="P2609" i="210"/>
  <c r="Q2609" i="210"/>
  <c r="D2610" i="210"/>
  <c r="K2610" i="210"/>
  <c r="L2610" i="210"/>
  <c r="N2610" i="210"/>
  <c r="P2610" i="210"/>
  <c r="Q2610" i="210"/>
  <c r="D2611" i="210"/>
  <c r="K2611" i="210"/>
  <c r="L2611" i="210"/>
  <c r="N2611" i="210"/>
  <c r="P2611" i="210"/>
  <c r="Q2611" i="210"/>
  <c r="D2612" i="210"/>
  <c r="K2612" i="210"/>
  <c r="L2612" i="210"/>
  <c r="N2612" i="210"/>
  <c r="P2612" i="210"/>
  <c r="Q2612" i="210"/>
  <c r="D2613" i="210"/>
  <c r="K2613" i="210"/>
  <c r="L2613" i="210"/>
  <c r="N2613" i="210"/>
  <c r="P2613" i="210"/>
  <c r="Q2613" i="210"/>
  <c r="D2614" i="210"/>
  <c r="K2614" i="210"/>
  <c r="L2614" i="210"/>
  <c r="N2614" i="210"/>
  <c r="P2614" i="210"/>
  <c r="Q2614" i="210"/>
  <c r="D2615" i="210"/>
  <c r="K2615" i="210"/>
  <c r="L2615" i="210"/>
  <c r="N2615" i="210"/>
  <c r="P2615" i="210"/>
  <c r="Q2615" i="210"/>
  <c r="D2616" i="210"/>
  <c r="K2616" i="210"/>
  <c r="L2616" i="210"/>
  <c r="N2616" i="210"/>
  <c r="P2616" i="210"/>
  <c r="Q2616" i="210"/>
  <c r="D2617" i="210"/>
  <c r="K2617" i="210"/>
  <c r="L2617" i="210"/>
  <c r="N2617" i="210"/>
  <c r="P2617" i="210"/>
  <c r="Q2617" i="210"/>
  <c r="D2618" i="210"/>
  <c r="K2618" i="210"/>
  <c r="L2618" i="210"/>
  <c r="N2618" i="210"/>
  <c r="P2618" i="210"/>
  <c r="Q2618" i="210"/>
  <c r="D2619" i="210"/>
  <c r="K2619" i="210"/>
  <c r="L2619" i="210"/>
  <c r="N2619" i="210"/>
  <c r="P2619" i="210"/>
  <c r="Q2619" i="210"/>
  <c r="D2620" i="210"/>
  <c r="K2620" i="210"/>
  <c r="L2620" i="210"/>
  <c r="N2620" i="210"/>
  <c r="P2620" i="210"/>
  <c r="Q2620" i="210"/>
  <c r="D2621" i="210"/>
  <c r="K2621" i="210"/>
  <c r="L2621" i="210"/>
  <c r="N2621" i="210"/>
  <c r="P2621" i="210"/>
  <c r="Q2621" i="210"/>
  <c r="D2622" i="210"/>
  <c r="K2622" i="210"/>
  <c r="L2622" i="210"/>
  <c r="N2622" i="210"/>
  <c r="P2622" i="210"/>
  <c r="Q2622" i="210"/>
  <c r="D2623" i="210"/>
  <c r="K2623" i="210"/>
  <c r="L2623" i="210"/>
  <c r="N2623" i="210"/>
  <c r="P2623" i="210"/>
  <c r="Q2623" i="210"/>
  <c r="D2624" i="210"/>
  <c r="K2624" i="210"/>
  <c r="L2624" i="210"/>
  <c r="N2624" i="210"/>
  <c r="P2624" i="210"/>
  <c r="Q2624" i="210"/>
  <c r="D2625" i="210"/>
  <c r="K2625" i="210"/>
  <c r="L2625" i="210"/>
  <c r="N2625" i="210"/>
  <c r="P2625" i="210"/>
  <c r="Q2625" i="210"/>
  <c r="D2626" i="210"/>
  <c r="K2626" i="210"/>
  <c r="L2626" i="210"/>
  <c r="N2626" i="210"/>
  <c r="P2626" i="210"/>
  <c r="Q2626" i="210"/>
  <c r="D2627" i="210"/>
  <c r="K2627" i="210"/>
  <c r="L2627" i="210"/>
  <c r="N2627" i="210"/>
  <c r="P2627" i="210"/>
  <c r="Q2627" i="210"/>
  <c r="D2628" i="210"/>
  <c r="K2628" i="210"/>
  <c r="L2628" i="210"/>
  <c r="N2628" i="210"/>
  <c r="P2628" i="210"/>
  <c r="Q2628" i="210"/>
  <c r="D2629" i="210"/>
  <c r="K2629" i="210"/>
  <c r="L2629" i="210"/>
  <c r="N2629" i="210"/>
  <c r="P2629" i="210"/>
  <c r="Q2629" i="210"/>
  <c r="D2630" i="210"/>
  <c r="K2630" i="210"/>
  <c r="L2630" i="210"/>
  <c r="N2630" i="210"/>
  <c r="P2630" i="210"/>
  <c r="Q2630" i="210"/>
  <c r="D2631" i="210"/>
  <c r="K2631" i="210"/>
  <c r="L2631" i="210"/>
  <c r="N2631" i="210"/>
  <c r="P2631" i="210"/>
  <c r="Q2631" i="210"/>
  <c r="D2632" i="210"/>
  <c r="K2632" i="210"/>
  <c r="L2632" i="210"/>
  <c r="N2632" i="210"/>
  <c r="P2632" i="210"/>
  <c r="Q2632" i="210"/>
  <c r="D2633" i="210"/>
  <c r="K2633" i="210"/>
  <c r="L2633" i="210"/>
  <c r="N2633" i="210"/>
  <c r="P2633" i="210"/>
  <c r="Q2633" i="210"/>
  <c r="D2634" i="210"/>
  <c r="K2634" i="210"/>
  <c r="L2634" i="210"/>
  <c r="N2634" i="210"/>
  <c r="P2634" i="210"/>
  <c r="Q2634" i="210"/>
  <c r="D2635" i="210"/>
  <c r="K2635" i="210"/>
  <c r="L2635" i="210"/>
  <c r="N2635" i="210"/>
  <c r="P2635" i="210"/>
  <c r="Q2635" i="210"/>
  <c r="D2636" i="210"/>
  <c r="K2636" i="210"/>
  <c r="L2636" i="210"/>
  <c r="N2636" i="210"/>
  <c r="P2636" i="210"/>
  <c r="Q2636" i="210"/>
  <c r="D2637" i="210"/>
  <c r="K2637" i="210"/>
  <c r="L2637" i="210"/>
  <c r="N2637" i="210"/>
  <c r="P2637" i="210"/>
  <c r="Q2637" i="210"/>
  <c r="D2638" i="210"/>
  <c r="K2638" i="210"/>
  <c r="L2638" i="210"/>
  <c r="N2638" i="210"/>
  <c r="P2638" i="210"/>
  <c r="Q2638" i="210"/>
  <c r="D2639" i="210"/>
  <c r="K2639" i="210"/>
  <c r="L2639" i="210"/>
  <c r="N2639" i="210"/>
  <c r="P2639" i="210"/>
  <c r="Q2639" i="210"/>
  <c r="D2640" i="210"/>
  <c r="K2640" i="210"/>
  <c r="L2640" i="210"/>
  <c r="N2640" i="210"/>
  <c r="P2640" i="210"/>
  <c r="Q2640" i="210"/>
  <c r="D2641" i="210"/>
  <c r="K2641" i="210"/>
  <c r="L2641" i="210"/>
  <c r="N2641" i="210"/>
  <c r="P2641" i="210"/>
  <c r="Q2641" i="210"/>
  <c r="D2642" i="210"/>
  <c r="K2642" i="210"/>
  <c r="L2642" i="210"/>
  <c r="N2642" i="210"/>
  <c r="P2642" i="210"/>
  <c r="Q2642" i="210"/>
  <c r="D2643" i="210"/>
  <c r="K2643" i="210"/>
  <c r="L2643" i="210"/>
  <c r="N2643" i="210"/>
  <c r="P2643" i="210"/>
  <c r="Q2643" i="210"/>
  <c r="D2644" i="210"/>
  <c r="K2644" i="210"/>
  <c r="L2644" i="210"/>
  <c r="N2644" i="210"/>
  <c r="P2644" i="210"/>
  <c r="Q2644" i="210"/>
  <c r="D2645" i="210"/>
  <c r="K2645" i="210"/>
  <c r="L2645" i="210"/>
  <c r="N2645" i="210"/>
  <c r="P2645" i="210"/>
  <c r="Q2645" i="210"/>
  <c r="D2646" i="210"/>
  <c r="K2646" i="210"/>
  <c r="L2646" i="210"/>
  <c r="N2646" i="210"/>
  <c r="P2646" i="210"/>
  <c r="Q2646" i="210"/>
  <c r="D2647" i="210"/>
  <c r="K2647" i="210"/>
  <c r="L2647" i="210"/>
  <c r="N2647" i="210"/>
  <c r="P2647" i="210"/>
  <c r="Q2647" i="210"/>
  <c r="C2650" i="210"/>
  <c r="C2651" i="210" s="1"/>
  <c r="C2652" i="210" s="1"/>
  <c r="H2650" i="210"/>
  <c r="E2650" i="210" s="1"/>
  <c r="E2651" i="210" s="1"/>
  <c r="E2652" i="210" s="1"/>
  <c r="E2654" i="210" s="1"/>
  <c r="E2656" i="210" s="1"/>
  <c r="E2658" i="210" s="1"/>
  <c r="E2660" i="210" s="1"/>
  <c r="E2662" i="210" s="1"/>
  <c r="E2664" i="210" s="1"/>
  <c r="E2666" i="210" s="1"/>
  <c r="E2668" i="210" s="1"/>
  <c r="E2670" i="210" s="1"/>
  <c r="E2672" i="210" s="1"/>
  <c r="E2674" i="210" s="1"/>
  <c r="E2676" i="210" s="1"/>
  <c r="E2678" i="210" s="1"/>
  <c r="E2680" i="210" s="1"/>
  <c r="E2682" i="210" s="1"/>
  <c r="E2684" i="210" s="1"/>
  <c r="E2686" i="210" s="1"/>
  <c r="E2688" i="210" s="1"/>
  <c r="E2690" i="210" s="1"/>
  <c r="E2692" i="210" s="1"/>
  <c r="E2694" i="210" s="1"/>
  <c r="E2696" i="210" s="1"/>
  <c r="I2650" i="210"/>
  <c r="J2650" i="210"/>
  <c r="I2651" i="210"/>
  <c r="I2652" i="210"/>
  <c r="D2654" i="210"/>
  <c r="K2654" i="210"/>
  <c r="L2654" i="210"/>
  <c r="N2654" i="210"/>
  <c r="P2654" i="210"/>
  <c r="Q2654" i="210"/>
  <c r="D2655" i="210"/>
  <c r="E2655" i="210"/>
  <c r="E2657" i="210" s="1"/>
  <c r="E2659" i="210" s="1"/>
  <c r="E2661" i="210" s="1"/>
  <c r="E2663" i="210" s="1"/>
  <c r="E2665" i="210" s="1"/>
  <c r="E2667" i="210" s="1"/>
  <c r="E2669" i="210" s="1"/>
  <c r="E2671" i="210" s="1"/>
  <c r="E2673" i="210" s="1"/>
  <c r="E2675" i="210" s="1"/>
  <c r="E2677" i="210" s="1"/>
  <c r="E2679" i="210" s="1"/>
  <c r="E2681" i="210" s="1"/>
  <c r="E2683" i="210" s="1"/>
  <c r="E2685" i="210" s="1"/>
  <c r="E2687" i="210" s="1"/>
  <c r="E2689" i="210" s="1"/>
  <c r="E2691" i="210" s="1"/>
  <c r="E2693" i="210" s="1"/>
  <c r="E2695" i="210" s="1"/>
  <c r="E2697" i="210" s="1"/>
  <c r="K2655" i="210"/>
  <c r="L2655" i="210"/>
  <c r="N2655" i="210"/>
  <c r="P2655" i="210"/>
  <c r="Q2655" i="210"/>
  <c r="D2656" i="210"/>
  <c r="K2656" i="210"/>
  <c r="L2656" i="210"/>
  <c r="N2656" i="210"/>
  <c r="P2656" i="210"/>
  <c r="Q2656" i="210"/>
  <c r="D2657" i="210"/>
  <c r="K2657" i="210"/>
  <c r="L2657" i="210"/>
  <c r="N2657" i="210"/>
  <c r="P2657" i="210"/>
  <c r="Q2657" i="210"/>
  <c r="D2658" i="210"/>
  <c r="K2658" i="210"/>
  <c r="L2658" i="210"/>
  <c r="N2658" i="210"/>
  <c r="P2658" i="210"/>
  <c r="Q2658" i="210"/>
  <c r="D2659" i="210"/>
  <c r="K2659" i="210"/>
  <c r="L2659" i="210"/>
  <c r="N2659" i="210"/>
  <c r="P2659" i="210"/>
  <c r="Q2659" i="210"/>
  <c r="D2660" i="210"/>
  <c r="K2660" i="210"/>
  <c r="L2660" i="210"/>
  <c r="N2660" i="210"/>
  <c r="P2660" i="210"/>
  <c r="Q2660" i="210"/>
  <c r="D2661" i="210"/>
  <c r="K2661" i="210"/>
  <c r="L2661" i="210"/>
  <c r="N2661" i="210"/>
  <c r="P2661" i="210"/>
  <c r="Q2661" i="210"/>
  <c r="D2662" i="210"/>
  <c r="K2662" i="210"/>
  <c r="L2662" i="210"/>
  <c r="N2662" i="210"/>
  <c r="P2662" i="210"/>
  <c r="Q2662" i="210"/>
  <c r="D2663" i="210"/>
  <c r="K2663" i="210"/>
  <c r="L2663" i="210"/>
  <c r="N2663" i="210"/>
  <c r="P2663" i="210"/>
  <c r="Q2663" i="210"/>
  <c r="D2664" i="210"/>
  <c r="K2664" i="210"/>
  <c r="L2664" i="210"/>
  <c r="N2664" i="210"/>
  <c r="P2664" i="210"/>
  <c r="Q2664" i="210"/>
  <c r="D2665" i="210"/>
  <c r="K2665" i="210"/>
  <c r="L2665" i="210"/>
  <c r="N2665" i="210"/>
  <c r="P2665" i="210"/>
  <c r="Q2665" i="210"/>
  <c r="D2666" i="210"/>
  <c r="K2666" i="210"/>
  <c r="L2666" i="210"/>
  <c r="N2666" i="210"/>
  <c r="P2666" i="210"/>
  <c r="Q2666" i="210"/>
  <c r="D2667" i="210"/>
  <c r="K2667" i="210"/>
  <c r="L2667" i="210"/>
  <c r="N2667" i="210"/>
  <c r="P2667" i="210"/>
  <c r="Q2667" i="210"/>
  <c r="D2668" i="210"/>
  <c r="K2668" i="210"/>
  <c r="L2668" i="210"/>
  <c r="N2668" i="210"/>
  <c r="P2668" i="210"/>
  <c r="Q2668" i="210"/>
  <c r="D2669" i="210"/>
  <c r="K2669" i="210"/>
  <c r="L2669" i="210"/>
  <c r="N2669" i="210"/>
  <c r="P2669" i="210"/>
  <c r="Q2669" i="210"/>
  <c r="D2670" i="210"/>
  <c r="K2670" i="210"/>
  <c r="L2670" i="210"/>
  <c r="N2670" i="210"/>
  <c r="P2670" i="210"/>
  <c r="Q2670" i="210"/>
  <c r="D2671" i="210"/>
  <c r="K2671" i="210"/>
  <c r="L2671" i="210"/>
  <c r="N2671" i="210"/>
  <c r="P2671" i="210"/>
  <c r="Q2671" i="210"/>
  <c r="D2672" i="210"/>
  <c r="K2672" i="210"/>
  <c r="L2672" i="210"/>
  <c r="N2672" i="210"/>
  <c r="P2672" i="210"/>
  <c r="Q2672" i="210"/>
  <c r="D2673" i="210"/>
  <c r="K2673" i="210"/>
  <c r="L2673" i="210"/>
  <c r="N2673" i="210"/>
  <c r="P2673" i="210"/>
  <c r="Q2673" i="210"/>
  <c r="D2674" i="210"/>
  <c r="K2674" i="210"/>
  <c r="L2674" i="210"/>
  <c r="N2674" i="210"/>
  <c r="P2674" i="210"/>
  <c r="Q2674" i="210"/>
  <c r="D2675" i="210"/>
  <c r="K2675" i="210"/>
  <c r="L2675" i="210"/>
  <c r="N2675" i="210"/>
  <c r="P2675" i="210"/>
  <c r="Q2675" i="210"/>
  <c r="D2676" i="210"/>
  <c r="K2676" i="210"/>
  <c r="L2676" i="210"/>
  <c r="N2676" i="210"/>
  <c r="P2676" i="210"/>
  <c r="Q2676" i="210"/>
  <c r="D2677" i="210"/>
  <c r="K2677" i="210"/>
  <c r="L2677" i="210"/>
  <c r="N2677" i="210"/>
  <c r="P2677" i="210"/>
  <c r="Q2677" i="210"/>
  <c r="D2678" i="210"/>
  <c r="K2678" i="210"/>
  <c r="L2678" i="210"/>
  <c r="N2678" i="210"/>
  <c r="P2678" i="210"/>
  <c r="Q2678" i="210"/>
  <c r="D2679" i="210"/>
  <c r="K2679" i="210"/>
  <c r="L2679" i="210"/>
  <c r="N2679" i="210"/>
  <c r="P2679" i="210"/>
  <c r="Q2679" i="210"/>
  <c r="D2680" i="210"/>
  <c r="K2680" i="210"/>
  <c r="L2680" i="210"/>
  <c r="N2680" i="210"/>
  <c r="P2680" i="210"/>
  <c r="Q2680" i="210"/>
  <c r="D2681" i="210"/>
  <c r="K2681" i="210"/>
  <c r="L2681" i="210"/>
  <c r="N2681" i="210"/>
  <c r="P2681" i="210"/>
  <c r="Q2681" i="210"/>
  <c r="D2682" i="210"/>
  <c r="K2682" i="210"/>
  <c r="L2682" i="210"/>
  <c r="N2682" i="210"/>
  <c r="P2682" i="210"/>
  <c r="Q2682" i="210"/>
  <c r="D2683" i="210"/>
  <c r="K2683" i="210"/>
  <c r="L2683" i="210"/>
  <c r="N2683" i="210"/>
  <c r="P2683" i="210"/>
  <c r="Q2683" i="210"/>
  <c r="D2684" i="210"/>
  <c r="K2684" i="210"/>
  <c r="L2684" i="210"/>
  <c r="N2684" i="210"/>
  <c r="P2684" i="210"/>
  <c r="Q2684" i="210"/>
  <c r="D2685" i="210"/>
  <c r="K2685" i="210"/>
  <c r="L2685" i="210"/>
  <c r="N2685" i="210"/>
  <c r="P2685" i="210"/>
  <c r="Q2685" i="210"/>
  <c r="D2686" i="210"/>
  <c r="K2686" i="210"/>
  <c r="L2686" i="210"/>
  <c r="N2686" i="210"/>
  <c r="P2686" i="210"/>
  <c r="Q2686" i="210"/>
  <c r="D2687" i="210"/>
  <c r="K2687" i="210"/>
  <c r="L2687" i="210"/>
  <c r="N2687" i="210"/>
  <c r="P2687" i="210"/>
  <c r="Q2687" i="210"/>
  <c r="D2688" i="210"/>
  <c r="K2688" i="210"/>
  <c r="L2688" i="210"/>
  <c r="N2688" i="210"/>
  <c r="P2688" i="210"/>
  <c r="Q2688" i="210"/>
  <c r="D2689" i="210"/>
  <c r="K2689" i="210"/>
  <c r="L2689" i="210"/>
  <c r="N2689" i="210"/>
  <c r="P2689" i="210"/>
  <c r="Q2689" i="210"/>
  <c r="D2690" i="210"/>
  <c r="K2690" i="210"/>
  <c r="L2690" i="210"/>
  <c r="N2690" i="210"/>
  <c r="P2690" i="210"/>
  <c r="Q2690" i="210"/>
  <c r="D2691" i="210"/>
  <c r="K2691" i="210"/>
  <c r="L2691" i="210"/>
  <c r="N2691" i="210"/>
  <c r="P2691" i="210"/>
  <c r="Q2691" i="210"/>
  <c r="D2692" i="210"/>
  <c r="K2692" i="210"/>
  <c r="L2692" i="210"/>
  <c r="N2692" i="210"/>
  <c r="P2692" i="210"/>
  <c r="Q2692" i="210"/>
  <c r="D2693" i="210"/>
  <c r="K2693" i="210"/>
  <c r="L2693" i="210"/>
  <c r="N2693" i="210"/>
  <c r="P2693" i="210"/>
  <c r="Q2693" i="210"/>
  <c r="D2694" i="210"/>
  <c r="K2694" i="210"/>
  <c r="L2694" i="210"/>
  <c r="N2694" i="210"/>
  <c r="P2694" i="210"/>
  <c r="Q2694" i="210"/>
  <c r="D2695" i="210"/>
  <c r="K2695" i="210"/>
  <c r="L2695" i="210"/>
  <c r="N2695" i="210"/>
  <c r="P2695" i="210"/>
  <c r="Q2695" i="210"/>
  <c r="D2696" i="210"/>
  <c r="K2696" i="210"/>
  <c r="L2696" i="210"/>
  <c r="N2696" i="210"/>
  <c r="P2696" i="210"/>
  <c r="Q2696" i="210"/>
  <c r="D2697" i="210"/>
  <c r="K2697" i="210"/>
  <c r="L2697" i="210"/>
  <c r="N2697" i="210"/>
  <c r="P2697" i="210"/>
  <c r="Q2697" i="210"/>
  <c r="C2700" i="210"/>
  <c r="C2701" i="210" s="1"/>
  <c r="C2702" i="210" s="1"/>
  <c r="H2700" i="210"/>
  <c r="E2700" i="210" s="1"/>
  <c r="E2701" i="210" s="1"/>
  <c r="E2702" i="210" s="1"/>
  <c r="E2704" i="210" s="1"/>
  <c r="E2706" i="210" s="1"/>
  <c r="E2708" i="210" s="1"/>
  <c r="E2710" i="210" s="1"/>
  <c r="E2712" i="210" s="1"/>
  <c r="E2714" i="210" s="1"/>
  <c r="E2716" i="210" s="1"/>
  <c r="E2718" i="210" s="1"/>
  <c r="E2720" i="210" s="1"/>
  <c r="I2700" i="210"/>
  <c r="J2700" i="210"/>
  <c r="I2701" i="210"/>
  <c r="I2702" i="210"/>
  <c r="D2704" i="210"/>
  <c r="K2704" i="210"/>
  <c r="L2704" i="210"/>
  <c r="N2704" i="210"/>
  <c r="P2704" i="210"/>
  <c r="Q2704" i="210"/>
  <c r="D2705" i="210"/>
  <c r="E2705" i="210"/>
  <c r="K2705" i="210"/>
  <c r="L2705" i="210"/>
  <c r="N2705" i="210"/>
  <c r="P2705" i="210"/>
  <c r="Q2705" i="210"/>
  <c r="D2706" i="210"/>
  <c r="K2706" i="210"/>
  <c r="L2706" i="210"/>
  <c r="N2706" i="210"/>
  <c r="P2706" i="210"/>
  <c r="Q2706" i="210"/>
  <c r="D2707" i="210"/>
  <c r="E2707" i="210"/>
  <c r="E2709" i="210" s="1"/>
  <c r="E2711" i="210" s="1"/>
  <c r="E2713" i="210" s="1"/>
  <c r="E2715" i="210" s="1"/>
  <c r="E2717" i="210" s="1"/>
  <c r="E2719" i="210" s="1"/>
  <c r="K2707" i="210"/>
  <c r="L2707" i="210"/>
  <c r="N2707" i="210"/>
  <c r="P2707" i="210"/>
  <c r="Q2707" i="210"/>
  <c r="D2708" i="210"/>
  <c r="K2708" i="210"/>
  <c r="L2708" i="210"/>
  <c r="N2708" i="210"/>
  <c r="P2708" i="210"/>
  <c r="Q2708" i="210"/>
  <c r="D2709" i="210"/>
  <c r="K2709" i="210"/>
  <c r="L2709" i="210"/>
  <c r="N2709" i="210"/>
  <c r="P2709" i="210"/>
  <c r="Q2709" i="210"/>
  <c r="D2710" i="210"/>
  <c r="K2710" i="210"/>
  <c r="L2710" i="210"/>
  <c r="N2710" i="210"/>
  <c r="P2710" i="210"/>
  <c r="Q2710" i="210"/>
  <c r="D2711" i="210"/>
  <c r="K2711" i="210"/>
  <c r="L2711" i="210"/>
  <c r="N2711" i="210"/>
  <c r="P2711" i="210"/>
  <c r="Q2711" i="210"/>
  <c r="D2712" i="210"/>
  <c r="K2712" i="210"/>
  <c r="L2712" i="210"/>
  <c r="N2712" i="210"/>
  <c r="P2712" i="210"/>
  <c r="Q2712" i="210"/>
  <c r="D2713" i="210"/>
  <c r="K2713" i="210"/>
  <c r="L2713" i="210"/>
  <c r="N2713" i="210"/>
  <c r="P2713" i="210"/>
  <c r="Q2713" i="210"/>
  <c r="D2714" i="210"/>
  <c r="K2714" i="210"/>
  <c r="L2714" i="210"/>
  <c r="N2714" i="210"/>
  <c r="P2714" i="210"/>
  <c r="Q2714" i="210"/>
  <c r="D2715" i="210"/>
  <c r="K2715" i="210"/>
  <c r="L2715" i="210"/>
  <c r="N2715" i="210"/>
  <c r="P2715" i="210"/>
  <c r="Q2715" i="210"/>
  <c r="D2716" i="210"/>
  <c r="K2716" i="210"/>
  <c r="L2716" i="210"/>
  <c r="N2716" i="210"/>
  <c r="P2716" i="210"/>
  <c r="Q2716" i="210"/>
  <c r="D2717" i="210"/>
  <c r="K2717" i="210"/>
  <c r="L2717" i="210"/>
  <c r="N2717" i="210"/>
  <c r="P2717" i="210"/>
  <c r="Q2717" i="210"/>
  <c r="D2718" i="210"/>
  <c r="K2718" i="210"/>
  <c r="L2718" i="210"/>
  <c r="N2718" i="210"/>
  <c r="P2718" i="210"/>
  <c r="Q2718" i="210"/>
  <c r="D2719" i="210"/>
  <c r="K2719" i="210"/>
  <c r="L2719" i="210"/>
  <c r="N2719" i="210"/>
  <c r="P2719" i="210"/>
  <c r="Q2719" i="210"/>
  <c r="D2720" i="210"/>
  <c r="K2720" i="210"/>
  <c r="L2720" i="210"/>
  <c r="N2720" i="210"/>
  <c r="P2720" i="210"/>
  <c r="Q2720" i="210"/>
  <c r="C2723" i="210"/>
  <c r="C2724" i="210" s="1"/>
  <c r="C2725" i="210" s="1"/>
  <c r="H2723" i="210"/>
  <c r="E2723" i="210" s="1"/>
  <c r="E2724" i="210" s="1"/>
  <c r="E2725" i="210" s="1"/>
  <c r="E2727" i="210" s="1"/>
  <c r="E2729" i="210" s="1"/>
  <c r="E2731" i="210" s="1"/>
  <c r="E2733" i="210" s="1"/>
  <c r="E2735" i="210" s="1"/>
  <c r="E2737" i="210" s="1"/>
  <c r="E2739" i="210" s="1"/>
  <c r="E2741" i="210" s="1"/>
  <c r="E2743" i="210" s="1"/>
  <c r="E2745" i="210" s="1"/>
  <c r="E2747" i="210" s="1"/>
  <c r="E2749" i="210" s="1"/>
  <c r="E2751" i="210" s="1"/>
  <c r="E2753" i="210" s="1"/>
  <c r="E2755" i="210" s="1"/>
  <c r="E2757" i="210" s="1"/>
  <c r="E2759" i="210" s="1"/>
  <c r="E2761" i="210" s="1"/>
  <c r="E2763" i="210" s="1"/>
  <c r="E2765" i="210" s="1"/>
  <c r="E2767" i="210" s="1"/>
  <c r="E2769" i="210" s="1"/>
  <c r="E2771" i="210" s="1"/>
  <c r="E2773" i="210" s="1"/>
  <c r="E2775" i="210" s="1"/>
  <c r="E2777" i="210" s="1"/>
  <c r="E2779" i="210" s="1"/>
  <c r="E2781" i="210" s="1"/>
  <c r="E2783" i="210" s="1"/>
  <c r="E2785" i="210" s="1"/>
  <c r="E2787" i="210" s="1"/>
  <c r="E2789" i="210" s="1"/>
  <c r="E2791" i="210" s="1"/>
  <c r="E2793" i="210" s="1"/>
  <c r="E2795" i="210" s="1"/>
  <c r="E2797" i="210" s="1"/>
  <c r="E2799" i="210" s="1"/>
  <c r="E2801" i="210" s="1"/>
  <c r="E2803" i="210" s="1"/>
  <c r="E2805" i="210" s="1"/>
  <c r="E2807" i="210" s="1"/>
  <c r="E2809" i="210" s="1"/>
  <c r="E2811" i="210" s="1"/>
  <c r="E2813" i="210" s="1"/>
  <c r="E2815" i="210" s="1"/>
  <c r="E2817" i="210" s="1"/>
  <c r="E2819" i="210" s="1"/>
  <c r="E2821" i="210" s="1"/>
  <c r="E2823" i="210" s="1"/>
  <c r="E2825" i="210" s="1"/>
  <c r="E2827" i="210" s="1"/>
  <c r="E2829" i="210" s="1"/>
  <c r="E2831" i="210" s="1"/>
  <c r="E2833" i="210" s="1"/>
  <c r="E2835" i="210" s="1"/>
  <c r="E2837" i="210" s="1"/>
  <c r="E2839" i="210" s="1"/>
  <c r="E2841" i="210" s="1"/>
  <c r="E2843" i="210" s="1"/>
  <c r="E2845" i="210" s="1"/>
  <c r="E2847" i="210" s="1"/>
  <c r="E2849" i="210" s="1"/>
  <c r="E2851" i="210" s="1"/>
  <c r="E2853" i="210" s="1"/>
  <c r="I2723" i="210"/>
  <c r="J2723" i="210"/>
  <c r="I2724" i="210"/>
  <c r="I2725" i="210"/>
  <c r="D2727" i="210"/>
  <c r="K2727" i="210"/>
  <c r="L2727" i="210"/>
  <c r="N2727" i="210"/>
  <c r="P2727" i="210"/>
  <c r="Q2727" i="210"/>
  <c r="D2728" i="210"/>
  <c r="E2728" i="210"/>
  <c r="E2730" i="210" s="1"/>
  <c r="E2732" i="210" s="1"/>
  <c r="E2734" i="210" s="1"/>
  <c r="E2736" i="210" s="1"/>
  <c r="E2738" i="210" s="1"/>
  <c r="E2740" i="210" s="1"/>
  <c r="E2742" i="210" s="1"/>
  <c r="E2744" i="210" s="1"/>
  <c r="E2746" i="210" s="1"/>
  <c r="E2748" i="210" s="1"/>
  <c r="E2750" i="210" s="1"/>
  <c r="E2752" i="210" s="1"/>
  <c r="E2754" i="210" s="1"/>
  <c r="E2756" i="210" s="1"/>
  <c r="E2758" i="210" s="1"/>
  <c r="E2760" i="210" s="1"/>
  <c r="E2762" i="210" s="1"/>
  <c r="E2764" i="210" s="1"/>
  <c r="E2766" i="210" s="1"/>
  <c r="E2768" i="210" s="1"/>
  <c r="E2770" i="210" s="1"/>
  <c r="E2772" i="210" s="1"/>
  <c r="E2774" i="210" s="1"/>
  <c r="E2776" i="210" s="1"/>
  <c r="E2778" i="210" s="1"/>
  <c r="E2780" i="210" s="1"/>
  <c r="E2782" i="210" s="1"/>
  <c r="E2784" i="210" s="1"/>
  <c r="E2786" i="210" s="1"/>
  <c r="E2788" i="210" s="1"/>
  <c r="E2790" i="210" s="1"/>
  <c r="E2792" i="210" s="1"/>
  <c r="E2794" i="210" s="1"/>
  <c r="E2796" i="210" s="1"/>
  <c r="E2798" i="210" s="1"/>
  <c r="E2800" i="210" s="1"/>
  <c r="E2802" i="210" s="1"/>
  <c r="E2804" i="210" s="1"/>
  <c r="E2806" i="210" s="1"/>
  <c r="E2808" i="210" s="1"/>
  <c r="E2810" i="210" s="1"/>
  <c r="E2812" i="210" s="1"/>
  <c r="E2814" i="210" s="1"/>
  <c r="E2816" i="210" s="1"/>
  <c r="E2818" i="210" s="1"/>
  <c r="E2820" i="210" s="1"/>
  <c r="E2822" i="210" s="1"/>
  <c r="E2824" i="210" s="1"/>
  <c r="E2826" i="210" s="1"/>
  <c r="E2828" i="210" s="1"/>
  <c r="E2830" i="210" s="1"/>
  <c r="E2832" i="210" s="1"/>
  <c r="E2834" i="210" s="1"/>
  <c r="E2836" i="210" s="1"/>
  <c r="E2838" i="210" s="1"/>
  <c r="E2840" i="210" s="1"/>
  <c r="E2842" i="210" s="1"/>
  <c r="E2844" i="210" s="1"/>
  <c r="E2846" i="210" s="1"/>
  <c r="E2848" i="210" s="1"/>
  <c r="E2850" i="210" s="1"/>
  <c r="E2852" i="210" s="1"/>
  <c r="K2728" i="210"/>
  <c r="L2728" i="210"/>
  <c r="N2728" i="210"/>
  <c r="P2728" i="210"/>
  <c r="Q2728" i="210"/>
  <c r="D2729" i="210"/>
  <c r="K2729" i="210"/>
  <c r="L2729" i="210"/>
  <c r="N2729" i="210"/>
  <c r="P2729" i="210"/>
  <c r="Q2729" i="210"/>
  <c r="D2730" i="210"/>
  <c r="K2730" i="210"/>
  <c r="L2730" i="210"/>
  <c r="N2730" i="210"/>
  <c r="P2730" i="210"/>
  <c r="Q2730" i="210"/>
  <c r="D2731" i="210"/>
  <c r="K2731" i="210"/>
  <c r="L2731" i="210"/>
  <c r="N2731" i="210"/>
  <c r="P2731" i="210"/>
  <c r="Q2731" i="210"/>
  <c r="D2732" i="210"/>
  <c r="K2732" i="210"/>
  <c r="L2732" i="210"/>
  <c r="N2732" i="210"/>
  <c r="P2732" i="210"/>
  <c r="Q2732" i="210"/>
  <c r="D2733" i="210"/>
  <c r="K2733" i="210"/>
  <c r="L2733" i="210"/>
  <c r="N2733" i="210"/>
  <c r="P2733" i="210"/>
  <c r="Q2733" i="210"/>
  <c r="D2734" i="210"/>
  <c r="K2734" i="210"/>
  <c r="L2734" i="210"/>
  <c r="N2734" i="210"/>
  <c r="P2734" i="210"/>
  <c r="Q2734" i="210"/>
  <c r="D2735" i="210"/>
  <c r="K2735" i="210"/>
  <c r="L2735" i="210"/>
  <c r="N2735" i="210"/>
  <c r="P2735" i="210"/>
  <c r="Q2735" i="210"/>
  <c r="D2736" i="210"/>
  <c r="K2736" i="210"/>
  <c r="L2736" i="210"/>
  <c r="N2736" i="210"/>
  <c r="P2736" i="210"/>
  <c r="Q2736" i="210"/>
  <c r="D2737" i="210"/>
  <c r="K2737" i="210"/>
  <c r="L2737" i="210"/>
  <c r="N2737" i="210"/>
  <c r="P2737" i="210"/>
  <c r="Q2737" i="210"/>
  <c r="D2738" i="210"/>
  <c r="K2738" i="210"/>
  <c r="L2738" i="210"/>
  <c r="N2738" i="210"/>
  <c r="P2738" i="210"/>
  <c r="Q2738" i="210"/>
  <c r="D2739" i="210"/>
  <c r="K2739" i="210"/>
  <c r="L2739" i="210"/>
  <c r="N2739" i="210"/>
  <c r="P2739" i="210"/>
  <c r="Q2739" i="210"/>
  <c r="D2740" i="210"/>
  <c r="K2740" i="210"/>
  <c r="L2740" i="210"/>
  <c r="N2740" i="210"/>
  <c r="P2740" i="210"/>
  <c r="Q2740" i="210"/>
  <c r="D2741" i="210"/>
  <c r="K2741" i="210"/>
  <c r="L2741" i="210"/>
  <c r="N2741" i="210"/>
  <c r="P2741" i="210"/>
  <c r="Q2741" i="210"/>
  <c r="D2742" i="210"/>
  <c r="K2742" i="210"/>
  <c r="L2742" i="210"/>
  <c r="N2742" i="210"/>
  <c r="P2742" i="210"/>
  <c r="Q2742" i="210"/>
  <c r="D2743" i="210"/>
  <c r="K2743" i="210"/>
  <c r="L2743" i="210"/>
  <c r="N2743" i="210"/>
  <c r="P2743" i="210"/>
  <c r="Q2743" i="210"/>
  <c r="D2744" i="210"/>
  <c r="K2744" i="210"/>
  <c r="L2744" i="210"/>
  <c r="N2744" i="210"/>
  <c r="P2744" i="210"/>
  <c r="Q2744" i="210"/>
  <c r="D2745" i="210"/>
  <c r="K2745" i="210"/>
  <c r="L2745" i="210"/>
  <c r="N2745" i="210"/>
  <c r="P2745" i="210"/>
  <c r="Q2745" i="210"/>
  <c r="D2746" i="210"/>
  <c r="K2746" i="210"/>
  <c r="L2746" i="210"/>
  <c r="N2746" i="210"/>
  <c r="P2746" i="210"/>
  <c r="Q2746" i="210"/>
  <c r="D2747" i="210"/>
  <c r="K2747" i="210"/>
  <c r="L2747" i="210"/>
  <c r="N2747" i="210"/>
  <c r="P2747" i="210"/>
  <c r="Q2747" i="210"/>
  <c r="D2748" i="210"/>
  <c r="K2748" i="210"/>
  <c r="L2748" i="210"/>
  <c r="N2748" i="210"/>
  <c r="P2748" i="210"/>
  <c r="Q2748" i="210"/>
  <c r="D2749" i="210"/>
  <c r="K2749" i="210"/>
  <c r="L2749" i="210"/>
  <c r="N2749" i="210"/>
  <c r="P2749" i="210"/>
  <c r="Q2749" i="210"/>
  <c r="D2750" i="210"/>
  <c r="K2750" i="210"/>
  <c r="L2750" i="210"/>
  <c r="N2750" i="210"/>
  <c r="P2750" i="210"/>
  <c r="Q2750" i="210"/>
  <c r="D2751" i="210"/>
  <c r="K2751" i="210"/>
  <c r="L2751" i="210"/>
  <c r="N2751" i="210"/>
  <c r="P2751" i="210"/>
  <c r="Q2751" i="210"/>
  <c r="D2752" i="210"/>
  <c r="K2752" i="210"/>
  <c r="L2752" i="210"/>
  <c r="N2752" i="210"/>
  <c r="P2752" i="210"/>
  <c r="Q2752" i="210"/>
  <c r="D2753" i="210"/>
  <c r="K2753" i="210"/>
  <c r="L2753" i="210"/>
  <c r="N2753" i="210"/>
  <c r="P2753" i="210"/>
  <c r="Q2753" i="210"/>
  <c r="D2754" i="210"/>
  <c r="K2754" i="210"/>
  <c r="L2754" i="210"/>
  <c r="N2754" i="210"/>
  <c r="P2754" i="210"/>
  <c r="Q2754" i="210"/>
  <c r="D2755" i="210"/>
  <c r="K2755" i="210"/>
  <c r="L2755" i="210"/>
  <c r="N2755" i="210"/>
  <c r="P2755" i="210"/>
  <c r="Q2755" i="210"/>
  <c r="D2756" i="210"/>
  <c r="K2756" i="210"/>
  <c r="L2756" i="210"/>
  <c r="N2756" i="210"/>
  <c r="P2756" i="210"/>
  <c r="Q2756" i="210"/>
  <c r="D2757" i="210"/>
  <c r="K2757" i="210"/>
  <c r="L2757" i="210"/>
  <c r="N2757" i="210"/>
  <c r="P2757" i="210"/>
  <c r="Q2757" i="210"/>
  <c r="D2758" i="210"/>
  <c r="K2758" i="210"/>
  <c r="L2758" i="210"/>
  <c r="N2758" i="210"/>
  <c r="P2758" i="210"/>
  <c r="Q2758" i="210"/>
  <c r="D2759" i="210"/>
  <c r="K2759" i="210"/>
  <c r="L2759" i="210"/>
  <c r="N2759" i="210"/>
  <c r="P2759" i="210"/>
  <c r="Q2759" i="210"/>
  <c r="D2760" i="210"/>
  <c r="K2760" i="210"/>
  <c r="L2760" i="210"/>
  <c r="N2760" i="210"/>
  <c r="P2760" i="210"/>
  <c r="Q2760" i="210"/>
  <c r="D2761" i="210"/>
  <c r="K2761" i="210"/>
  <c r="L2761" i="210"/>
  <c r="N2761" i="210"/>
  <c r="P2761" i="210"/>
  <c r="Q2761" i="210"/>
  <c r="D2762" i="210"/>
  <c r="K2762" i="210"/>
  <c r="L2762" i="210"/>
  <c r="N2762" i="210"/>
  <c r="P2762" i="210"/>
  <c r="Q2762" i="210"/>
  <c r="D2763" i="210"/>
  <c r="K2763" i="210"/>
  <c r="L2763" i="210"/>
  <c r="N2763" i="210"/>
  <c r="P2763" i="210"/>
  <c r="Q2763" i="210"/>
  <c r="D2764" i="210"/>
  <c r="K2764" i="210"/>
  <c r="L2764" i="210"/>
  <c r="N2764" i="210"/>
  <c r="P2764" i="210"/>
  <c r="Q2764" i="210"/>
  <c r="D2765" i="210"/>
  <c r="K2765" i="210"/>
  <c r="L2765" i="210"/>
  <c r="N2765" i="210"/>
  <c r="P2765" i="210"/>
  <c r="Q2765" i="210"/>
  <c r="D2766" i="210"/>
  <c r="K2766" i="210"/>
  <c r="L2766" i="210"/>
  <c r="N2766" i="210"/>
  <c r="P2766" i="210"/>
  <c r="Q2766" i="210"/>
  <c r="D2767" i="210"/>
  <c r="K2767" i="210"/>
  <c r="L2767" i="210"/>
  <c r="N2767" i="210"/>
  <c r="P2767" i="210"/>
  <c r="Q2767" i="210"/>
  <c r="D2768" i="210"/>
  <c r="K2768" i="210"/>
  <c r="L2768" i="210"/>
  <c r="N2768" i="210"/>
  <c r="P2768" i="210"/>
  <c r="Q2768" i="210"/>
  <c r="D2769" i="210"/>
  <c r="K2769" i="210"/>
  <c r="L2769" i="210"/>
  <c r="N2769" i="210"/>
  <c r="P2769" i="210"/>
  <c r="Q2769" i="210"/>
  <c r="D2770" i="210"/>
  <c r="K2770" i="210"/>
  <c r="L2770" i="210"/>
  <c r="N2770" i="210"/>
  <c r="P2770" i="210"/>
  <c r="Q2770" i="210"/>
  <c r="D2771" i="210"/>
  <c r="K2771" i="210"/>
  <c r="L2771" i="210"/>
  <c r="N2771" i="210"/>
  <c r="P2771" i="210"/>
  <c r="Q2771" i="210"/>
  <c r="D2772" i="210"/>
  <c r="K2772" i="210"/>
  <c r="L2772" i="210"/>
  <c r="N2772" i="210"/>
  <c r="P2772" i="210"/>
  <c r="Q2772" i="210"/>
  <c r="D2773" i="210"/>
  <c r="K2773" i="210"/>
  <c r="L2773" i="210"/>
  <c r="N2773" i="210"/>
  <c r="P2773" i="210"/>
  <c r="Q2773" i="210"/>
  <c r="D2774" i="210"/>
  <c r="K2774" i="210"/>
  <c r="L2774" i="210"/>
  <c r="N2774" i="210"/>
  <c r="P2774" i="210"/>
  <c r="Q2774" i="210"/>
  <c r="D2775" i="210"/>
  <c r="K2775" i="210"/>
  <c r="L2775" i="210"/>
  <c r="N2775" i="210"/>
  <c r="P2775" i="210"/>
  <c r="Q2775" i="210"/>
  <c r="D2776" i="210"/>
  <c r="K2776" i="210"/>
  <c r="L2776" i="210"/>
  <c r="N2776" i="210"/>
  <c r="P2776" i="210"/>
  <c r="Q2776" i="210"/>
  <c r="D2777" i="210"/>
  <c r="K2777" i="210"/>
  <c r="L2777" i="210"/>
  <c r="N2777" i="210"/>
  <c r="P2777" i="210"/>
  <c r="Q2777" i="210"/>
  <c r="D2778" i="210"/>
  <c r="K2778" i="210"/>
  <c r="L2778" i="210"/>
  <c r="N2778" i="210"/>
  <c r="P2778" i="210"/>
  <c r="Q2778" i="210"/>
  <c r="D2779" i="210"/>
  <c r="K2779" i="210"/>
  <c r="L2779" i="210"/>
  <c r="N2779" i="210"/>
  <c r="P2779" i="210"/>
  <c r="Q2779" i="210"/>
  <c r="D2780" i="210"/>
  <c r="K2780" i="210"/>
  <c r="L2780" i="210"/>
  <c r="N2780" i="210"/>
  <c r="P2780" i="210"/>
  <c r="Q2780" i="210"/>
  <c r="D2781" i="210"/>
  <c r="K2781" i="210"/>
  <c r="L2781" i="210"/>
  <c r="N2781" i="210"/>
  <c r="P2781" i="210"/>
  <c r="Q2781" i="210"/>
  <c r="D2782" i="210"/>
  <c r="K2782" i="210"/>
  <c r="L2782" i="210"/>
  <c r="N2782" i="210"/>
  <c r="P2782" i="210"/>
  <c r="Q2782" i="210"/>
  <c r="D2783" i="210"/>
  <c r="K2783" i="210"/>
  <c r="L2783" i="210"/>
  <c r="N2783" i="210"/>
  <c r="P2783" i="210"/>
  <c r="Q2783" i="210"/>
  <c r="D2784" i="210"/>
  <c r="K2784" i="210"/>
  <c r="L2784" i="210"/>
  <c r="N2784" i="210"/>
  <c r="P2784" i="210"/>
  <c r="Q2784" i="210"/>
  <c r="D2785" i="210"/>
  <c r="K2785" i="210"/>
  <c r="L2785" i="210"/>
  <c r="N2785" i="210"/>
  <c r="P2785" i="210"/>
  <c r="Q2785" i="210"/>
  <c r="D2786" i="210"/>
  <c r="K2786" i="210"/>
  <c r="L2786" i="210"/>
  <c r="N2786" i="210"/>
  <c r="P2786" i="210"/>
  <c r="Q2786" i="210"/>
  <c r="D2787" i="210"/>
  <c r="K2787" i="210"/>
  <c r="L2787" i="210"/>
  <c r="N2787" i="210"/>
  <c r="P2787" i="210"/>
  <c r="Q2787" i="210"/>
  <c r="D2788" i="210"/>
  <c r="K2788" i="210"/>
  <c r="L2788" i="210"/>
  <c r="N2788" i="210"/>
  <c r="P2788" i="210"/>
  <c r="Q2788" i="210"/>
  <c r="D2789" i="210"/>
  <c r="K2789" i="210"/>
  <c r="L2789" i="210"/>
  <c r="N2789" i="210"/>
  <c r="P2789" i="210"/>
  <c r="Q2789" i="210"/>
  <c r="D2790" i="210"/>
  <c r="K2790" i="210"/>
  <c r="L2790" i="210"/>
  <c r="N2790" i="210"/>
  <c r="P2790" i="210"/>
  <c r="Q2790" i="210"/>
  <c r="D2791" i="210"/>
  <c r="K2791" i="210"/>
  <c r="L2791" i="210"/>
  <c r="N2791" i="210"/>
  <c r="P2791" i="210"/>
  <c r="Q2791" i="210"/>
  <c r="D2792" i="210"/>
  <c r="K2792" i="210"/>
  <c r="L2792" i="210"/>
  <c r="N2792" i="210"/>
  <c r="P2792" i="210"/>
  <c r="Q2792" i="210"/>
  <c r="D2793" i="210"/>
  <c r="K2793" i="210"/>
  <c r="L2793" i="210"/>
  <c r="N2793" i="210"/>
  <c r="P2793" i="210"/>
  <c r="Q2793" i="210"/>
  <c r="D2794" i="210"/>
  <c r="K2794" i="210"/>
  <c r="L2794" i="210"/>
  <c r="N2794" i="210"/>
  <c r="P2794" i="210"/>
  <c r="Q2794" i="210"/>
  <c r="D2795" i="210"/>
  <c r="K2795" i="210"/>
  <c r="L2795" i="210"/>
  <c r="N2795" i="210"/>
  <c r="P2795" i="210"/>
  <c r="Q2795" i="210"/>
  <c r="D2796" i="210"/>
  <c r="K2796" i="210"/>
  <c r="L2796" i="210"/>
  <c r="N2796" i="210"/>
  <c r="P2796" i="210"/>
  <c r="Q2796" i="210"/>
  <c r="D2797" i="210"/>
  <c r="K2797" i="210"/>
  <c r="L2797" i="210"/>
  <c r="N2797" i="210"/>
  <c r="P2797" i="210"/>
  <c r="Q2797" i="210"/>
  <c r="D2798" i="210"/>
  <c r="K2798" i="210"/>
  <c r="L2798" i="210"/>
  <c r="N2798" i="210"/>
  <c r="P2798" i="210"/>
  <c r="Q2798" i="210"/>
  <c r="D2799" i="210"/>
  <c r="K2799" i="210"/>
  <c r="L2799" i="210"/>
  <c r="N2799" i="210"/>
  <c r="P2799" i="210"/>
  <c r="Q2799" i="210"/>
  <c r="D2800" i="210"/>
  <c r="K2800" i="210"/>
  <c r="L2800" i="210"/>
  <c r="N2800" i="210"/>
  <c r="P2800" i="210"/>
  <c r="Q2800" i="210"/>
  <c r="D2801" i="210"/>
  <c r="K2801" i="210"/>
  <c r="L2801" i="210"/>
  <c r="N2801" i="210"/>
  <c r="P2801" i="210"/>
  <c r="Q2801" i="210"/>
  <c r="D2802" i="210"/>
  <c r="K2802" i="210"/>
  <c r="L2802" i="210"/>
  <c r="N2802" i="210"/>
  <c r="P2802" i="210"/>
  <c r="Q2802" i="210"/>
  <c r="D2803" i="210"/>
  <c r="K2803" i="210"/>
  <c r="L2803" i="210"/>
  <c r="N2803" i="210"/>
  <c r="P2803" i="210"/>
  <c r="Q2803" i="210"/>
  <c r="D2804" i="210"/>
  <c r="K2804" i="210"/>
  <c r="L2804" i="210"/>
  <c r="N2804" i="210"/>
  <c r="P2804" i="210"/>
  <c r="Q2804" i="210"/>
  <c r="D2805" i="210"/>
  <c r="K2805" i="210"/>
  <c r="L2805" i="210"/>
  <c r="N2805" i="210"/>
  <c r="P2805" i="210"/>
  <c r="Q2805" i="210"/>
  <c r="D2806" i="210"/>
  <c r="K2806" i="210"/>
  <c r="L2806" i="210"/>
  <c r="N2806" i="210"/>
  <c r="P2806" i="210"/>
  <c r="Q2806" i="210"/>
  <c r="D2807" i="210"/>
  <c r="K2807" i="210"/>
  <c r="L2807" i="210"/>
  <c r="N2807" i="210"/>
  <c r="P2807" i="210"/>
  <c r="Q2807" i="210"/>
  <c r="D2808" i="210"/>
  <c r="K2808" i="210"/>
  <c r="L2808" i="210"/>
  <c r="N2808" i="210"/>
  <c r="P2808" i="210"/>
  <c r="Q2808" i="210"/>
  <c r="D2809" i="210"/>
  <c r="K2809" i="210"/>
  <c r="L2809" i="210"/>
  <c r="N2809" i="210"/>
  <c r="P2809" i="210"/>
  <c r="Q2809" i="210"/>
  <c r="D2810" i="210"/>
  <c r="K2810" i="210"/>
  <c r="L2810" i="210"/>
  <c r="N2810" i="210"/>
  <c r="P2810" i="210"/>
  <c r="Q2810" i="210"/>
  <c r="D2811" i="210"/>
  <c r="K2811" i="210"/>
  <c r="L2811" i="210"/>
  <c r="N2811" i="210"/>
  <c r="P2811" i="210"/>
  <c r="Q2811" i="210"/>
  <c r="D2812" i="210"/>
  <c r="K2812" i="210"/>
  <c r="L2812" i="210"/>
  <c r="N2812" i="210"/>
  <c r="P2812" i="210"/>
  <c r="Q2812" i="210"/>
  <c r="D2813" i="210"/>
  <c r="K2813" i="210"/>
  <c r="L2813" i="210"/>
  <c r="N2813" i="210"/>
  <c r="P2813" i="210"/>
  <c r="Q2813" i="210"/>
  <c r="D2814" i="210"/>
  <c r="K2814" i="210"/>
  <c r="L2814" i="210"/>
  <c r="N2814" i="210"/>
  <c r="P2814" i="210"/>
  <c r="Q2814" i="210"/>
  <c r="D2815" i="210"/>
  <c r="K2815" i="210"/>
  <c r="L2815" i="210"/>
  <c r="N2815" i="210"/>
  <c r="P2815" i="210"/>
  <c r="Q2815" i="210"/>
  <c r="D2816" i="210"/>
  <c r="K2816" i="210"/>
  <c r="L2816" i="210"/>
  <c r="N2816" i="210"/>
  <c r="P2816" i="210"/>
  <c r="Q2816" i="210"/>
  <c r="D2817" i="210"/>
  <c r="K2817" i="210"/>
  <c r="L2817" i="210"/>
  <c r="N2817" i="210"/>
  <c r="P2817" i="210"/>
  <c r="Q2817" i="210"/>
  <c r="D2818" i="210"/>
  <c r="K2818" i="210"/>
  <c r="L2818" i="210"/>
  <c r="N2818" i="210"/>
  <c r="P2818" i="210"/>
  <c r="Q2818" i="210"/>
  <c r="D2819" i="210"/>
  <c r="K2819" i="210"/>
  <c r="L2819" i="210"/>
  <c r="N2819" i="210"/>
  <c r="P2819" i="210"/>
  <c r="Q2819" i="210"/>
  <c r="D2820" i="210"/>
  <c r="K2820" i="210"/>
  <c r="L2820" i="210"/>
  <c r="N2820" i="210"/>
  <c r="P2820" i="210"/>
  <c r="Q2820" i="210"/>
  <c r="D2821" i="210"/>
  <c r="K2821" i="210"/>
  <c r="L2821" i="210"/>
  <c r="N2821" i="210"/>
  <c r="P2821" i="210"/>
  <c r="Q2821" i="210"/>
  <c r="D2822" i="210"/>
  <c r="K2822" i="210"/>
  <c r="L2822" i="210"/>
  <c r="N2822" i="210"/>
  <c r="P2822" i="210"/>
  <c r="Q2822" i="210"/>
  <c r="D2823" i="210"/>
  <c r="K2823" i="210"/>
  <c r="L2823" i="210"/>
  <c r="N2823" i="210"/>
  <c r="P2823" i="210"/>
  <c r="Q2823" i="210"/>
  <c r="D2824" i="210"/>
  <c r="K2824" i="210"/>
  <c r="L2824" i="210"/>
  <c r="N2824" i="210"/>
  <c r="P2824" i="210"/>
  <c r="Q2824" i="210"/>
  <c r="D2825" i="210"/>
  <c r="K2825" i="210"/>
  <c r="L2825" i="210"/>
  <c r="N2825" i="210"/>
  <c r="P2825" i="210"/>
  <c r="Q2825" i="210"/>
  <c r="D2826" i="210"/>
  <c r="K2826" i="210"/>
  <c r="L2826" i="210"/>
  <c r="N2826" i="210"/>
  <c r="P2826" i="210"/>
  <c r="Q2826" i="210"/>
  <c r="D2827" i="210"/>
  <c r="K2827" i="210"/>
  <c r="L2827" i="210"/>
  <c r="N2827" i="210"/>
  <c r="P2827" i="210"/>
  <c r="Q2827" i="210"/>
  <c r="D2828" i="210"/>
  <c r="K2828" i="210"/>
  <c r="L2828" i="210"/>
  <c r="N2828" i="210"/>
  <c r="P2828" i="210"/>
  <c r="Q2828" i="210"/>
  <c r="D2829" i="210"/>
  <c r="K2829" i="210"/>
  <c r="L2829" i="210"/>
  <c r="N2829" i="210"/>
  <c r="P2829" i="210"/>
  <c r="Q2829" i="210"/>
  <c r="D2830" i="210"/>
  <c r="K2830" i="210"/>
  <c r="L2830" i="210"/>
  <c r="N2830" i="210"/>
  <c r="P2830" i="210"/>
  <c r="Q2830" i="210"/>
  <c r="D2831" i="210"/>
  <c r="K2831" i="210"/>
  <c r="L2831" i="210"/>
  <c r="N2831" i="210"/>
  <c r="P2831" i="210"/>
  <c r="Q2831" i="210"/>
  <c r="D2832" i="210"/>
  <c r="K2832" i="210"/>
  <c r="L2832" i="210"/>
  <c r="N2832" i="210"/>
  <c r="P2832" i="210"/>
  <c r="Q2832" i="210"/>
  <c r="D2833" i="210"/>
  <c r="K2833" i="210"/>
  <c r="L2833" i="210"/>
  <c r="N2833" i="210"/>
  <c r="P2833" i="210"/>
  <c r="Q2833" i="210"/>
  <c r="D2834" i="210"/>
  <c r="K2834" i="210"/>
  <c r="L2834" i="210"/>
  <c r="N2834" i="210"/>
  <c r="P2834" i="210"/>
  <c r="Q2834" i="210"/>
  <c r="D2835" i="210"/>
  <c r="K2835" i="210"/>
  <c r="L2835" i="210"/>
  <c r="N2835" i="210"/>
  <c r="P2835" i="210"/>
  <c r="Q2835" i="210"/>
  <c r="D2836" i="210"/>
  <c r="K2836" i="210"/>
  <c r="L2836" i="210"/>
  <c r="N2836" i="210"/>
  <c r="P2836" i="210"/>
  <c r="Q2836" i="210"/>
  <c r="D2837" i="210"/>
  <c r="K2837" i="210"/>
  <c r="L2837" i="210"/>
  <c r="N2837" i="210"/>
  <c r="P2837" i="210"/>
  <c r="Q2837" i="210"/>
  <c r="D2838" i="210"/>
  <c r="K2838" i="210"/>
  <c r="L2838" i="210"/>
  <c r="N2838" i="210"/>
  <c r="P2838" i="210"/>
  <c r="Q2838" i="210"/>
  <c r="D2839" i="210"/>
  <c r="K2839" i="210"/>
  <c r="L2839" i="210"/>
  <c r="N2839" i="210"/>
  <c r="P2839" i="210"/>
  <c r="Q2839" i="210"/>
  <c r="D2840" i="210"/>
  <c r="K2840" i="210"/>
  <c r="L2840" i="210"/>
  <c r="N2840" i="210"/>
  <c r="P2840" i="210"/>
  <c r="Q2840" i="210"/>
  <c r="D2841" i="210"/>
  <c r="K2841" i="210"/>
  <c r="L2841" i="210"/>
  <c r="N2841" i="210"/>
  <c r="P2841" i="210"/>
  <c r="Q2841" i="210"/>
  <c r="D2842" i="210"/>
  <c r="K2842" i="210"/>
  <c r="L2842" i="210"/>
  <c r="N2842" i="210"/>
  <c r="P2842" i="210"/>
  <c r="Q2842" i="210"/>
  <c r="D2843" i="210"/>
  <c r="K2843" i="210"/>
  <c r="L2843" i="210"/>
  <c r="N2843" i="210"/>
  <c r="P2843" i="210"/>
  <c r="Q2843" i="210"/>
  <c r="D2844" i="210"/>
  <c r="K2844" i="210"/>
  <c r="L2844" i="210"/>
  <c r="N2844" i="210"/>
  <c r="P2844" i="210"/>
  <c r="Q2844" i="210"/>
  <c r="D2845" i="210"/>
  <c r="K2845" i="210"/>
  <c r="L2845" i="210"/>
  <c r="N2845" i="210"/>
  <c r="P2845" i="210"/>
  <c r="Q2845" i="210"/>
  <c r="D2846" i="210"/>
  <c r="K2846" i="210"/>
  <c r="L2846" i="210"/>
  <c r="N2846" i="210"/>
  <c r="P2846" i="210"/>
  <c r="Q2846" i="210"/>
  <c r="D2847" i="210"/>
  <c r="K2847" i="210"/>
  <c r="L2847" i="210"/>
  <c r="N2847" i="210"/>
  <c r="P2847" i="210"/>
  <c r="Q2847" i="210"/>
  <c r="D2848" i="210"/>
  <c r="K2848" i="210"/>
  <c r="L2848" i="210"/>
  <c r="N2848" i="210"/>
  <c r="P2848" i="210"/>
  <c r="Q2848" i="210"/>
  <c r="D2849" i="210"/>
  <c r="K2849" i="210"/>
  <c r="L2849" i="210"/>
  <c r="N2849" i="210"/>
  <c r="P2849" i="210"/>
  <c r="Q2849" i="210"/>
  <c r="D2850" i="210"/>
  <c r="K2850" i="210"/>
  <c r="L2850" i="210"/>
  <c r="N2850" i="210"/>
  <c r="P2850" i="210"/>
  <c r="Q2850" i="210"/>
  <c r="D2851" i="210"/>
  <c r="K2851" i="210"/>
  <c r="L2851" i="210"/>
  <c r="N2851" i="210"/>
  <c r="P2851" i="210"/>
  <c r="Q2851" i="210"/>
  <c r="D2852" i="210"/>
  <c r="K2852" i="210"/>
  <c r="L2852" i="210"/>
  <c r="N2852" i="210"/>
  <c r="P2852" i="210"/>
  <c r="Q2852" i="210"/>
  <c r="D2853" i="210"/>
  <c r="K2853" i="210"/>
  <c r="L2853" i="210"/>
  <c r="N2853" i="210"/>
  <c r="P2853" i="210"/>
  <c r="Q2853" i="210"/>
  <c r="C2856" i="210"/>
  <c r="E2856" i="210"/>
  <c r="E2857" i="210" s="1"/>
  <c r="E2858" i="210" s="1"/>
  <c r="E2860" i="210" s="1"/>
  <c r="E2862" i="210" s="1"/>
  <c r="E2864" i="210" s="1"/>
  <c r="E2866" i="210" s="1"/>
  <c r="E2868" i="210" s="1"/>
  <c r="E2870" i="210" s="1"/>
  <c r="E2872" i="210" s="1"/>
  <c r="E2874" i="210" s="1"/>
  <c r="E2876" i="210" s="1"/>
  <c r="E2878" i="210" s="1"/>
  <c r="E2880" i="210" s="1"/>
  <c r="E2882" i="210" s="1"/>
  <c r="E2884" i="210" s="1"/>
  <c r="E2886" i="210" s="1"/>
  <c r="E2888" i="210" s="1"/>
  <c r="E2890" i="210" s="1"/>
  <c r="E2892" i="210" s="1"/>
  <c r="E2894" i="210" s="1"/>
  <c r="E2896" i="210" s="1"/>
  <c r="E2898" i="210" s="1"/>
  <c r="E2900" i="210" s="1"/>
  <c r="E2902" i="210" s="1"/>
  <c r="E2904" i="210" s="1"/>
  <c r="E2906" i="210" s="1"/>
  <c r="E2908" i="210" s="1"/>
  <c r="E2910" i="210" s="1"/>
  <c r="E2912" i="210" s="1"/>
  <c r="E2914" i="210" s="1"/>
  <c r="E2916" i="210" s="1"/>
  <c r="E2918" i="210" s="1"/>
  <c r="E2920" i="210" s="1"/>
  <c r="E2922" i="210" s="1"/>
  <c r="E2924" i="210" s="1"/>
  <c r="E2926" i="210" s="1"/>
  <c r="H2856" i="210"/>
  <c r="I2856" i="210"/>
  <c r="J2856" i="210"/>
  <c r="C2857" i="210"/>
  <c r="C2858" i="210" s="1"/>
  <c r="I2857" i="210"/>
  <c r="I2858" i="210"/>
  <c r="D2860" i="210"/>
  <c r="K2860" i="210"/>
  <c r="L2860" i="210"/>
  <c r="N2860" i="210"/>
  <c r="P2860" i="210"/>
  <c r="Q2860" i="210"/>
  <c r="D2861" i="210"/>
  <c r="E2861" i="210"/>
  <c r="E2863" i="210" s="1"/>
  <c r="E2865" i="210" s="1"/>
  <c r="E2867" i="210" s="1"/>
  <c r="E2869" i="210" s="1"/>
  <c r="E2871" i="210" s="1"/>
  <c r="E2873" i="210" s="1"/>
  <c r="E2875" i="210" s="1"/>
  <c r="E2877" i="210" s="1"/>
  <c r="E2879" i="210" s="1"/>
  <c r="E2881" i="210" s="1"/>
  <c r="E2883" i="210" s="1"/>
  <c r="E2885" i="210" s="1"/>
  <c r="E2887" i="210" s="1"/>
  <c r="E2889" i="210" s="1"/>
  <c r="E2891" i="210" s="1"/>
  <c r="E2893" i="210" s="1"/>
  <c r="E2895" i="210" s="1"/>
  <c r="E2897" i="210" s="1"/>
  <c r="E2899" i="210" s="1"/>
  <c r="E2901" i="210" s="1"/>
  <c r="E2903" i="210" s="1"/>
  <c r="E2905" i="210" s="1"/>
  <c r="E2907" i="210" s="1"/>
  <c r="E2909" i="210" s="1"/>
  <c r="E2911" i="210" s="1"/>
  <c r="E2913" i="210" s="1"/>
  <c r="E2915" i="210" s="1"/>
  <c r="E2917" i="210" s="1"/>
  <c r="E2919" i="210" s="1"/>
  <c r="E2921" i="210" s="1"/>
  <c r="E2923" i="210" s="1"/>
  <c r="E2925" i="210" s="1"/>
  <c r="E2927" i="210" s="1"/>
  <c r="K2861" i="210"/>
  <c r="L2861" i="210"/>
  <c r="N2861" i="210"/>
  <c r="P2861" i="210"/>
  <c r="Q2861" i="210"/>
  <c r="D2862" i="210"/>
  <c r="K2862" i="210"/>
  <c r="L2862" i="210"/>
  <c r="N2862" i="210"/>
  <c r="P2862" i="210"/>
  <c r="Q2862" i="210"/>
  <c r="D2863" i="210"/>
  <c r="K2863" i="210"/>
  <c r="L2863" i="210"/>
  <c r="N2863" i="210"/>
  <c r="P2863" i="210"/>
  <c r="Q2863" i="210"/>
  <c r="D2864" i="210"/>
  <c r="K2864" i="210"/>
  <c r="L2864" i="210"/>
  <c r="N2864" i="210"/>
  <c r="P2864" i="210"/>
  <c r="Q2864" i="210"/>
  <c r="D2865" i="210"/>
  <c r="K2865" i="210"/>
  <c r="L2865" i="210"/>
  <c r="N2865" i="210"/>
  <c r="P2865" i="210"/>
  <c r="Q2865" i="210"/>
  <c r="D2866" i="210"/>
  <c r="K2866" i="210"/>
  <c r="L2866" i="210"/>
  <c r="N2866" i="210"/>
  <c r="P2866" i="210"/>
  <c r="Q2866" i="210"/>
  <c r="D2867" i="210"/>
  <c r="K2867" i="210"/>
  <c r="L2867" i="210"/>
  <c r="N2867" i="210"/>
  <c r="P2867" i="210"/>
  <c r="Q2867" i="210"/>
  <c r="D2868" i="210"/>
  <c r="K2868" i="210"/>
  <c r="L2868" i="210"/>
  <c r="N2868" i="210"/>
  <c r="P2868" i="210"/>
  <c r="Q2868" i="210"/>
  <c r="D2869" i="210"/>
  <c r="K2869" i="210"/>
  <c r="L2869" i="210"/>
  <c r="N2869" i="210"/>
  <c r="P2869" i="210"/>
  <c r="Q2869" i="210"/>
  <c r="D2870" i="210"/>
  <c r="K2870" i="210"/>
  <c r="L2870" i="210"/>
  <c r="N2870" i="210"/>
  <c r="P2870" i="210"/>
  <c r="Q2870" i="210"/>
  <c r="D2871" i="210"/>
  <c r="K2871" i="210"/>
  <c r="L2871" i="210"/>
  <c r="N2871" i="210"/>
  <c r="P2871" i="210"/>
  <c r="Q2871" i="210"/>
  <c r="D2872" i="210"/>
  <c r="K2872" i="210"/>
  <c r="L2872" i="210"/>
  <c r="N2872" i="210"/>
  <c r="P2872" i="210"/>
  <c r="Q2872" i="210"/>
  <c r="D2873" i="210"/>
  <c r="K2873" i="210"/>
  <c r="L2873" i="210"/>
  <c r="N2873" i="210"/>
  <c r="P2873" i="210"/>
  <c r="Q2873" i="210"/>
  <c r="D2874" i="210"/>
  <c r="K2874" i="210"/>
  <c r="L2874" i="210"/>
  <c r="N2874" i="210"/>
  <c r="P2874" i="210"/>
  <c r="Q2874" i="210"/>
  <c r="D2875" i="210"/>
  <c r="K2875" i="210"/>
  <c r="L2875" i="210"/>
  <c r="N2875" i="210"/>
  <c r="P2875" i="210"/>
  <c r="Q2875" i="210"/>
  <c r="D2876" i="210"/>
  <c r="K2876" i="210"/>
  <c r="L2876" i="210"/>
  <c r="N2876" i="210"/>
  <c r="P2876" i="210"/>
  <c r="Q2876" i="210"/>
  <c r="D2877" i="210"/>
  <c r="K2877" i="210"/>
  <c r="L2877" i="210"/>
  <c r="N2877" i="210"/>
  <c r="P2877" i="210"/>
  <c r="Q2877" i="210"/>
  <c r="D2878" i="210"/>
  <c r="K2878" i="210"/>
  <c r="L2878" i="210"/>
  <c r="N2878" i="210"/>
  <c r="P2878" i="210"/>
  <c r="Q2878" i="210"/>
  <c r="D2879" i="210"/>
  <c r="K2879" i="210"/>
  <c r="L2879" i="210"/>
  <c r="N2879" i="210"/>
  <c r="P2879" i="210"/>
  <c r="Q2879" i="210"/>
  <c r="D2880" i="210"/>
  <c r="K2880" i="210"/>
  <c r="L2880" i="210"/>
  <c r="N2880" i="210"/>
  <c r="P2880" i="210"/>
  <c r="Q2880" i="210"/>
  <c r="D2881" i="210"/>
  <c r="K2881" i="210"/>
  <c r="L2881" i="210"/>
  <c r="N2881" i="210"/>
  <c r="P2881" i="210"/>
  <c r="Q2881" i="210"/>
  <c r="D2882" i="210"/>
  <c r="K2882" i="210"/>
  <c r="L2882" i="210"/>
  <c r="N2882" i="210"/>
  <c r="P2882" i="210"/>
  <c r="Q2882" i="210"/>
  <c r="D2883" i="210"/>
  <c r="K2883" i="210"/>
  <c r="L2883" i="210"/>
  <c r="N2883" i="210"/>
  <c r="P2883" i="210"/>
  <c r="Q2883" i="210"/>
  <c r="D2884" i="210"/>
  <c r="K2884" i="210"/>
  <c r="L2884" i="210"/>
  <c r="N2884" i="210"/>
  <c r="P2884" i="210"/>
  <c r="Q2884" i="210"/>
  <c r="D2885" i="210"/>
  <c r="K2885" i="210"/>
  <c r="L2885" i="210"/>
  <c r="N2885" i="210"/>
  <c r="P2885" i="210"/>
  <c r="Q2885" i="210"/>
  <c r="D2886" i="210"/>
  <c r="K2886" i="210"/>
  <c r="L2886" i="210"/>
  <c r="N2886" i="210"/>
  <c r="P2886" i="210"/>
  <c r="Q2886" i="210"/>
  <c r="D2887" i="210"/>
  <c r="K2887" i="210"/>
  <c r="L2887" i="210"/>
  <c r="N2887" i="210"/>
  <c r="P2887" i="210"/>
  <c r="Q2887" i="210"/>
  <c r="D2888" i="210"/>
  <c r="K2888" i="210"/>
  <c r="L2888" i="210"/>
  <c r="N2888" i="210"/>
  <c r="P2888" i="210"/>
  <c r="Q2888" i="210"/>
  <c r="D2889" i="210"/>
  <c r="K2889" i="210"/>
  <c r="L2889" i="210"/>
  <c r="N2889" i="210"/>
  <c r="P2889" i="210"/>
  <c r="Q2889" i="210"/>
  <c r="D2890" i="210"/>
  <c r="K2890" i="210"/>
  <c r="L2890" i="210"/>
  <c r="N2890" i="210"/>
  <c r="P2890" i="210"/>
  <c r="Q2890" i="210"/>
  <c r="D2891" i="210"/>
  <c r="K2891" i="210"/>
  <c r="L2891" i="210"/>
  <c r="N2891" i="210"/>
  <c r="P2891" i="210"/>
  <c r="Q2891" i="210"/>
  <c r="D2892" i="210"/>
  <c r="K2892" i="210"/>
  <c r="L2892" i="210"/>
  <c r="N2892" i="210"/>
  <c r="P2892" i="210"/>
  <c r="Q2892" i="210"/>
  <c r="D2893" i="210"/>
  <c r="K2893" i="210"/>
  <c r="L2893" i="210"/>
  <c r="N2893" i="210"/>
  <c r="P2893" i="210"/>
  <c r="Q2893" i="210"/>
  <c r="D2894" i="210"/>
  <c r="K2894" i="210"/>
  <c r="L2894" i="210"/>
  <c r="N2894" i="210"/>
  <c r="P2894" i="210"/>
  <c r="Q2894" i="210"/>
  <c r="D2895" i="210"/>
  <c r="K2895" i="210"/>
  <c r="L2895" i="210"/>
  <c r="N2895" i="210"/>
  <c r="P2895" i="210"/>
  <c r="Q2895" i="210"/>
  <c r="D2896" i="210"/>
  <c r="K2896" i="210"/>
  <c r="L2896" i="210"/>
  <c r="N2896" i="210"/>
  <c r="P2896" i="210"/>
  <c r="Q2896" i="210"/>
  <c r="D2897" i="210"/>
  <c r="K2897" i="210"/>
  <c r="L2897" i="210"/>
  <c r="N2897" i="210"/>
  <c r="P2897" i="210"/>
  <c r="Q2897" i="210"/>
  <c r="D2898" i="210"/>
  <c r="K2898" i="210"/>
  <c r="L2898" i="210"/>
  <c r="N2898" i="210"/>
  <c r="P2898" i="210"/>
  <c r="Q2898" i="210"/>
  <c r="D2899" i="210"/>
  <c r="K2899" i="210"/>
  <c r="L2899" i="210"/>
  <c r="N2899" i="210"/>
  <c r="P2899" i="210"/>
  <c r="Q2899" i="210"/>
  <c r="D2900" i="210"/>
  <c r="K2900" i="210"/>
  <c r="L2900" i="210"/>
  <c r="N2900" i="210"/>
  <c r="P2900" i="210"/>
  <c r="Q2900" i="210"/>
  <c r="D2901" i="210"/>
  <c r="K2901" i="210"/>
  <c r="L2901" i="210"/>
  <c r="N2901" i="210"/>
  <c r="P2901" i="210"/>
  <c r="Q2901" i="210"/>
  <c r="D2902" i="210"/>
  <c r="K2902" i="210"/>
  <c r="L2902" i="210"/>
  <c r="N2902" i="210"/>
  <c r="P2902" i="210"/>
  <c r="Q2902" i="210"/>
  <c r="D2903" i="210"/>
  <c r="K2903" i="210"/>
  <c r="L2903" i="210"/>
  <c r="N2903" i="210"/>
  <c r="P2903" i="210"/>
  <c r="Q2903" i="210"/>
  <c r="D2904" i="210"/>
  <c r="K2904" i="210"/>
  <c r="L2904" i="210"/>
  <c r="N2904" i="210"/>
  <c r="P2904" i="210"/>
  <c r="Q2904" i="210"/>
  <c r="D2905" i="210"/>
  <c r="K2905" i="210"/>
  <c r="L2905" i="210"/>
  <c r="N2905" i="210"/>
  <c r="P2905" i="210"/>
  <c r="Q2905" i="210"/>
  <c r="D2906" i="210"/>
  <c r="K2906" i="210"/>
  <c r="L2906" i="210"/>
  <c r="N2906" i="210"/>
  <c r="P2906" i="210"/>
  <c r="Q2906" i="210"/>
  <c r="D2907" i="210"/>
  <c r="K2907" i="210"/>
  <c r="L2907" i="210"/>
  <c r="N2907" i="210"/>
  <c r="P2907" i="210"/>
  <c r="Q2907" i="210"/>
  <c r="D2908" i="210"/>
  <c r="K2908" i="210"/>
  <c r="L2908" i="210"/>
  <c r="N2908" i="210"/>
  <c r="P2908" i="210"/>
  <c r="Q2908" i="210"/>
  <c r="D2909" i="210"/>
  <c r="K2909" i="210"/>
  <c r="L2909" i="210"/>
  <c r="N2909" i="210"/>
  <c r="P2909" i="210"/>
  <c r="Q2909" i="210"/>
  <c r="D2910" i="210"/>
  <c r="K2910" i="210"/>
  <c r="L2910" i="210"/>
  <c r="N2910" i="210"/>
  <c r="P2910" i="210"/>
  <c r="Q2910" i="210"/>
  <c r="D2911" i="210"/>
  <c r="K2911" i="210"/>
  <c r="L2911" i="210"/>
  <c r="N2911" i="210"/>
  <c r="P2911" i="210"/>
  <c r="Q2911" i="210"/>
  <c r="D2912" i="210"/>
  <c r="K2912" i="210"/>
  <c r="L2912" i="210"/>
  <c r="N2912" i="210"/>
  <c r="P2912" i="210"/>
  <c r="Q2912" i="210"/>
  <c r="D2913" i="210"/>
  <c r="K2913" i="210"/>
  <c r="L2913" i="210"/>
  <c r="N2913" i="210"/>
  <c r="P2913" i="210"/>
  <c r="Q2913" i="210"/>
  <c r="D2914" i="210"/>
  <c r="K2914" i="210"/>
  <c r="L2914" i="210"/>
  <c r="N2914" i="210"/>
  <c r="P2914" i="210"/>
  <c r="Q2914" i="210"/>
  <c r="D2915" i="210"/>
  <c r="K2915" i="210"/>
  <c r="L2915" i="210"/>
  <c r="N2915" i="210"/>
  <c r="P2915" i="210"/>
  <c r="Q2915" i="210"/>
  <c r="D2916" i="210"/>
  <c r="K2916" i="210"/>
  <c r="L2916" i="210"/>
  <c r="N2916" i="210"/>
  <c r="P2916" i="210"/>
  <c r="Q2916" i="210"/>
  <c r="D2917" i="210"/>
  <c r="K2917" i="210"/>
  <c r="L2917" i="210"/>
  <c r="N2917" i="210"/>
  <c r="P2917" i="210"/>
  <c r="Q2917" i="210"/>
  <c r="D2918" i="210"/>
  <c r="K2918" i="210"/>
  <c r="L2918" i="210"/>
  <c r="N2918" i="210"/>
  <c r="P2918" i="210"/>
  <c r="Q2918" i="210"/>
  <c r="D2919" i="210"/>
  <c r="K2919" i="210"/>
  <c r="L2919" i="210"/>
  <c r="N2919" i="210"/>
  <c r="P2919" i="210"/>
  <c r="Q2919" i="210"/>
  <c r="D2920" i="210"/>
  <c r="K2920" i="210"/>
  <c r="L2920" i="210"/>
  <c r="N2920" i="210"/>
  <c r="P2920" i="210"/>
  <c r="Q2920" i="210"/>
  <c r="D2921" i="210"/>
  <c r="K2921" i="210"/>
  <c r="L2921" i="210"/>
  <c r="N2921" i="210"/>
  <c r="P2921" i="210"/>
  <c r="Q2921" i="210"/>
  <c r="D2922" i="210"/>
  <c r="K2922" i="210"/>
  <c r="L2922" i="210"/>
  <c r="N2922" i="210"/>
  <c r="P2922" i="210"/>
  <c r="Q2922" i="210"/>
  <c r="D2923" i="210"/>
  <c r="K2923" i="210"/>
  <c r="L2923" i="210"/>
  <c r="N2923" i="210"/>
  <c r="P2923" i="210"/>
  <c r="Q2923" i="210"/>
  <c r="D2924" i="210"/>
  <c r="K2924" i="210"/>
  <c r="L2924" i="210"/>
  <c r="N2924" i="210"/>
  <c r="P2924" i="210"/>
  <c r="Q2924" i="210"/>
  <c r="D2925" i="210"/>
  <c r="K2925" i="210"/>
  <c r="L2925" i="210"/>
  <c r="N2925" i="210"/>
  <c r="P2925" i="210"/>
  <c r="Q2925" i="210"/>
  <c r="D2926" i="210"/>
  <c r="K2926" i="210"/>
  <c r="L2926" i="210"/>
  <c r="N2926" i="210"/>
  <c r="P2926" i="210"/>
  <c r="Q2926" i="210"/>
  <c r="D2927" i="210"/>
  <c r="K2927" i="210"/>
  <c r="L2927" i="210"/>
  <c r="N2927" i="210"/>
  <c r="P2927" i="210"/>
  <c r="Q2927" i="210"/>
  <c r="C2930" i="210"/>
  <c r="C2931" i="210" s="1"/>
  <c r="C2932" i="210" s="1"/>
  <c r="E2930" i="210"/>
  <c r="E2931" i="210" s="1"/>
  <c r="E2932" i="210" s="1"/>
  <c r="E2934" i="210" s="1"/>
  <c r="E2936" i="210" s="1"/>
  <c r="E2938" i="210" s="1"/>
  <c r="E2940" i="210" s="1"/>
  <c r="E2942" i="210" s="1"/>
  <c r="E2944" i="210" s="1"/>
  <c r="E2946" i="210" s="1"/>
  <c r="E2948" i="210" s="1"/>
  <c r="E2950" i="210" s="1"/>
  <c r="E2952" i="210" s="1"/>
  <c r="E2954" i="210" s="1"/>
  <c r="E2956" i="210" s="1"/>
  <c r="E2958" i="210" s="1"/>
  <c r="E2960" i="210" s="1"/>
  <c r="E2962" i="210" s="1"/>
  <c r="E2964" i="210" s="1"/>
  <c r="E2966" i="210" s="1"/>
  <c r="E2968" i="210" s="1"/>
  <c r="E2970" i="210" s="1"/>
  <c r="E2972" i="210" s="1"/>
  <c r="E2974" i="210" s="1"/>
  <c r="E2976" i="210" s="1"/>
  <c r="H2930" i="210"/>
  <c r="I2930" i="210"/>
  <c r="J2930" i="210"/>
  <c r="I2931" i="210"/>
  <c r="I2932" i="210"/>
  <c r="D2934" i="210"/>
  <c r="K2934" i="210"/>
  <c r="L2934" i="210"/>
  <c r="N2934" i="210"/>
  <c r="P2934" i="210"/>
  <c r="Q2934" i="210"/>
  <c r="D2935" i="210"/>
  <c r="E2935" i="210"/>
  <c r="E2937" i="210" s="1"/>
  <c r="E2939" i="210" s="1"/>
  <c r="E2941" i="210" s="1"/>
  <c r="K2935" i="210"/>
  <c r="L2935" i="210"/>
  <c r="N2935" i="210"/>
  <c r="P2935" i="210"/>
  <c r="Q2935" i="210"/>
  <c r="D2936" i="210"/>
  <c r="K2936" i="210"/>
  <c r="L2936" i="210"/>
  <c r="N2936" i="210"/>
  <c r="P2936" i="210"/>
  <c r="Q2936" i="210"/>
  <c r="D2937" i="210"/>
  <c r="K2937" i="210"/>
  <c r="L2937" i="210"/>
  <c r="N2937" i="210"/>
  <c r="P2937" i="210"/>
  <c r="Q2937" i="210"/>
  <c r="D2938" i="210"/>
  <c r="K2938" i="210"/>
  <c r="L2938" i="210"/>
  <c r="N2938" i="210"/>
  <c r="P2938" i="210"/>
  <c r="Q2938" i="210"/>
  <c r="D2939" i="210"/>
  <c r="K2939" i="210"/>
  <c r="L2939" i="210"/>
  <c r="N2939" i="210"/>
  <c r="P2939" i="210"/>
  <c r="Q2939" i="210"/>
  <c r="D2940" i="210"/>
  <c r="K2940" i="210"/>
  <c r="L2940" i="210"/>
  <c r="N2940" i="210"/>
  <c r="P2940" i="210"/>
  <c r="Q2940" i="210"/>
  <c r="D2941" i="210"/>
  <c r="K2941" i="210"/>
  <c r="L2941" i="210"/>
  <c r="N2941" i="210"/>
  <c r="P2941" i="210"/>
  <c r="Q2941" i="210"/>
  <c r="D2942" i="210"/>
  <c r="K2942" i="210"/>
  <c r="L2942" i="210"/>
  <c r="N2942" i="210"/>
  <c r="P2942" i="210"/>
  <c r="Q2942" i="210"/>
  <c r="D2943" i="210"/>
  <c r="E2943" i="210"/>
  <c r="E2945" i="210" s="1"/>
  <c r="E2947" i="210" s="1"/>
  <c r="E2949" i="210" s="1"/>
  <c r="E2951" i="210" s="1"/>
  <c r="E2953" i="210" s="1"/>
  <c r="E2955" i="210" s="1"/>
  <c r="E2957" i="210" s="1"/>
  <c r="E2959" i="210" s="1"/>
  <c r="E2961" i="210" s="1"/>
  <c r="E2963" i="210" s="1"/>
  <c r="E2965" i="210" s="1"/>
  <c r="E2967" i="210" s="1"/>
  <c r="E2969" i="210" s="1"/>
  <c r="E2971" i="210" s="1"/>
  <c r="E2973" i="210" s="1"/>
  <c r="E2975" i="210" s="1"/>
  <c r="K2943" i="210"/>
  <c r="L2943" i="210"/>
  <c r="N2943" i="210"/>
  <c r="P2943" i="210"/>
  <c r="Q2943" i="210"/>
  <c r="D2944" i="210"/>
  <c r="K2944" i="210"/>
  <c r="L2944" i="210"/>
  <c r="N2944" i="210"/>
  <c r="P2944" i="210"/>
  <c r="Q2944" i="210"/>
  <c r="D2945" i="210"/>
  <c r="K2945" i="210"/>
  <c r="L2945" i="210"/>
  <c r="N2945" i="210"/>
  <c r="P2945" i="210"/>
  <c r="Q2945" i="210"/>
  <c r="D2946" i="210"/>
  <c r="K2946" i="210"/>
  <c r="L2946" i="210"/>
  <c r="N2946" i="210"/>
  <c r="P2946" i="210"/>
  <c r="Q2946" i="210"/>
  <c r="D2947" i="210"/>
  <c r="K2947" i="210"/>
  <c r="L2947" i="210"/>
  <c r="N2947" i="210"/>
  <c r="P2947" i="210"/>
  <c r="Q2947" i="210"/>
  <c r="D2948" i="210"/>
  <c r="K2948" i="210"/>
  <c r="L2948" i="210"/>
  <c r="N2948" i="210"/>
  <c r="P2948" i="210"/>
  <c r="Q2948" i="210"/>
  <c r="D2949" i="210"/>
  <c r="K2949" i="210"/>
  <c r="L2949" i="210"/>
  <c r="N2949" i="210"/>
  <c r="P2949" i="210"/>
  <c r="Q2949" i="210"/>
  <c r="D2950" i="210"/>
  <c r="K2950" i="210"/>
  <c r="L2950" i="210"/>
  <c r="N2950" i="210"/>
  <c r="P2950" i="210"/>
  <c r="Q2950" i="210"/>
  <c r="D2951" i="210"/>
  <c r="K2951" i="210"/>
  <c r="L2951" i="210"/>
  <c r="N2951" i="210"/>
  <c r="P2951" i="210"/>
  <c r="Q2951" i="210"/>
  <c r="D2952" i="210"/>
  <c r="K2952" i="210"/>
  <c r="L2952" i="210"/>
  <c r="N2952" i="210"/>
  <c r="P2952" i="210"/>
  <c r="Q2952" i="210"/>
  <c r="D2953" i="210"/>
  <c r="K2953" i="210"/>
  <c r="L2953" i="210"/>
  <c r="N2953" i="210"/>
  <c r="P2953" i="210"/>
  <c r="Q2953" i="210"/>
  <c r="D2954" i="210"/>
  <c r="K2954" i="210"/>
  <c r="L2954" i="210"/>
  <c r="N2954" i="210"/>
  <c r="P2954" i="210"/>
  <c r="Q2954" i="210"/>
  <c r="D2955" i="210"/>
  <c r="K2955" i="210"/>
  <c r="L2955" i="210"/>
  <c r="N2955" i="210"/>
  <c r="P2955" i="210"/>
  <c r="Q2955" i="210"/>
  <c r="D2956" i="210"/>
  <c r="K2956" i="210"/>
  <c r="L2956" i="210"/>
  <c r="N2956" i="210"/>
  <c r="P2956" i="210"/>
  <c r="Q2956" i="210"/>
  <c r="D2957" i="210"/>
  <c r="K2957" i="210"/>
  <c r="L2957" i="210"/>
  <c r="N2957" i="210"/>
  <c r="P2957" i="210"/>
  <c r="Q2957" i="210"/>
  <c r="D2958" i="210"/>
  <c r="K2958" i="210"/>
  <c r="L2958" i="210"/>
  <c r="N2958" i="210"/>
  <c r="P2958" i="210"/>
  <c r="Q2958" i="210"/>
  <c r="D2959" i="210"/>
  <c r="K2959" i="210"/>
  <c r="L2959" i="210"/>
  <c r="N2959" i="210"/>
  <c r="P2959" i="210"/>
  <c r="Q2959" i="210"/>
  <c r="D2960" i="210"/>
  <c r="K2960" i="210"/>
  <c r="L2960" i="210"/>
  <c r="N2960" i="210"/>
  <c r="P2960" i="210"/>
  <c r="Q2960" i="210"/>
  <c r="D2961" i="210"/>
  <c r="K2961" i="210"/>
  <c r="L2961" i="210"/>
  <c r="N2961" i="210"/>
  <c r="P2961" i="210"/>
  <c r="Q2961" i="210"/>
  <c r="D2962" i="210"/>
  <c r="K2962" i="210"/>
  <c r="L2962" i="210"/>
  <c r="N2962" i="210"/>
  <c r="P2962" i="210"/>
  <c r="Q2962" i="210"/>
  <c r="D2963" i="210"/>
  <c r="K2963" i="210"/>
  <c r="L2963" i="210"/>
  <c r="N2963" i="210"/>
  <c r="P2963" i="210"/>
  <c r="Q2963" i="210"/>
  <c r="D2964" i="210"/>
  <c r="K2964" i="210"/>
  <c r="L2964" i="210"/>
  <c r="N2964" i="210"/>
  <c r="P2964" i="210"/>
  <c r="Q2964" i="210"/>
  <c r="D2965" i="210"/>
  <c r="K2965" i="210"/>
  <c r="L2965" i="210"/>
  <c r="N2965" i="210"/>
  <c r="P2965" i="210"/>
  <c r="Q2965" i="210"/>
  <c r="D2966" i="210"/>
  <c r="K2966" i="210"/>
  <c r="L2966" i="210"/>
  <c r="N2966" i="210"/>
  <c r="P2966" i="210"/>
  <c r="Q2966" i="210"/>
  <c r="D2967" i="210"/>
  <c r="K2967" i="210"/>
  <c r="L2967" i="210"/>
  <c r="N2967" i="210"/>
  <c r="P2967" i="210"/>
  <c r="Q2967" i="210"/>
  <c r="D2968" i="210"/>
  <c r="K2968" i="210"/>
  <c r="L2968" i="210"/>
  <c r="N2968" i="210"/>
  <c r="P2968" i="210"/>
  <c r="Q2968" i="210"/>
  <c r="D2969" i="210"/>
  <c r="K2969" i="210"/>
  <c r="L2969" i="210"/>
  <c r="N2969" i="210"/>
  <c r="P2969" i="210"/>
  <c r="Q2969" i="210"/>
  <c r="D2970" i="210"/>
  <c r="K2970" i="210"/>
  <c r="L2970" i="210"/>
  <c r="N2970" i="210"/>
  <c r="P2970" i="210"/>
  <c r="Q2970" i="210"/>
  <c r="D2971" i="210"/>
  <c r="K2971" i="210"/>
  <c r="L2971" i="210"/>
  <c r="N2971" i="210"/>
  <c r="P2971" i="210"/>
  <c r="Q2971" i="210"/>
  <c r="D2972" i="210"/>
  <c r="K2972" i="210"/>
  <c r="L2972" i="210"/>
  <c r="N2972" i="210"/>
  <c r="P2972" i="210"/>
  <c r="Q2972" i="210"/>
  <c r="D2973" i="210"/>
  <c r="K2973" i="210"/>
  <c r="L2973" i="210"/>
  <c r="N2973" i="210"/>
  <c r="P2973" i="210"/>
  <c r="Q2973" i="210"/>
  <c r="D2974" i="210"/>
  <c r="K2974" i="210"/>
  <c r="L2974" i="210"/>
  <c r="N2974" i="210"/>
  <c r="P2974" i="210"/>
  <c r="Q2974" i="210"/>
  <c r="D2975" i="210"/>
  <c r="K2975" i="210"/>
  <c r="L2975" i="210"/>
  <c r="N2975" i="210"/>
  <c r="P2975" i="210"/>
  <c r="Q2975" i="210"/>
  <c r="D2976" i="210"/>
  <c r="K2976" i="210"/>
  <c r="L2976" i="210"/>
  <c r="N2976" i="210"/>
  <c r="P2976" i="210"/>
  <c r="Q2976" i="210"/>
  <c r="C2979" i="210"/>
  <c r="C2980" i="210" s="1"/>
  <c r="C2981" i="210" s="1"/>
  <c r="H2979" i="210"/>
  <c r="E2979" i="210" s="1"/>
  <c r="E2980" i="210" s="1"/>
  <c r="E2981" i="210" s="1"/>
  <c r="I2979" i="210"/>
  <c r="J2979" i="210"/>
  <c r="I2980" i="210"/>
  <c r="I2981" i="210"/>
  <c r="D2983" i="210"/>
  <c r="E2983" i="210"/>
  <c r="E2985" i="210" s="1"/>
  <c r="E2987" i="210" s="1"/>
  <c r="E2989" i="210" s="1"/>
  <c r="E2991" i="210" s="1"/>
  <c r="E2993" i="210" s="1"/>
  <c r="E2995" i="210" s="1"/>
  <c r="E2997" i="210" s="1"/>
  <c r="E2999" i="210" s="1"/>
  <c r="K2983" i="210"/>
  <c r="L2983" i="210"/>
  <c r="N2983" i="210"/>
  <c r="P2983" i="210"/>
  <c r="Q2983" i="210"/>
  <c r="D2984" i="210"/>
  <c r="E2984" i="210"/>
  <c r="E2986" i="210" s="1"/>
  <c r="E2988" i="210" s="1"/>
  <c r="E2990" i="210" s="1"/>
  <c r="E2992" i="210" s="1"/>
  <c r="E2994" i="210" s="1"/>
  <c r="E2996" i="210" s="1"/>
  <c r="E2998" i="210" s="1"/>
  <c r="K2984" i="210"/>
  <c r="L2984" i="210"/>
  <c r="N2984" i="210"/>
  <c r="P2984" i="210"/>
  <c r="Q2984" i="210"/>
  <c r="D2985" i="210"/>
  <c r="K2985" i="210"/>
  <c r="L2985" i="210"/>
  <c r="N2985" i="210"/>
  <c r="P2985" i="210"/>
  <c r="Q2985" i="210"/>
  <c r="D2986" i="210"/>
  <c r="K2986" i="210"/>
  <c r="L2986" i="210"/>
  <c r="N2986" i="210"/>
  <c r="P2986" i="210"/>
  <c r="Q2986" i="210"/>
  <c r="D2987" i="210"/>
  <c r="K2987" i="210"/>
  <c r="L2987" i="210"/>
  <c r="N2987" i="210"/>
  <c r="P2987" i="210"/>
  <c r="Q2987" i="210"/>
  <c r="D2988" i="210"/>
  <c r="K2988" i="210"/>
  <c r="L2988" i="210"/>
  <c r="N2988" i="210"/>
  <c r="P2988" i="210"/>
  <c r="Q2988" i="210"/>
  <c r="D2989" i="210"/>
  <c r="K2989" i="210"/>
  <c r="L2989" i="210"/>
  <c r="N2989" i="210"/>
  <c r="P2989" i="210"/>
  <c r="Q2989" i="210"/>
  <c r="D2990" i="210"/>
  <c r="K2990" i="210"/>
  <c r="L2990" i="210"/>
  <c r="N2990" i="210"/>
  <c r="P2990" i="210"/>
  <c r="Q2990" i="210"/>
  <c r="D2991" i="210"/>
  <c r="K2991" i="210"/>
  <c r="L2991" i="210"/>
  <c r="N2991" i="210"/>
  <c r="P2991" i="210"/>
  <c r="Q2991" i="210"/>
  <c r="D2992" i="210"/>
  <c r="K2992" i="210"/>
  <c r="L2992" i="210"/>
  <c r="N2992" i="210"/>
  <c r="P2992" i="210"/>
  <c r="Q2992" i="210"/>
  <c r="D2993" i="210"/>
  <c r="K2993" i="210"/>
  <c r="L2993" i="210"/>
  <c r="N2993" i="210"/>
  <c r="P2993" i="210"/>
  <c r="Q2993" i="210"/>
  <c r="D2994" i="210"/>
  <c r="K2994" i="210"/>
  <c r="L2994" i="210"/>
  <c r="N2994" i="210"/>
  <c r="P2994" i="210"/>
  <c r="Q2994" i="210"/>
  <c r="D2995" i="210"/>
  <c r="K2995" i="210"/>
  <c r="L2995" i="210"/>
  <c r="N2995" i="210"/>
  <c r="P2995" i="210"/>
  <c r="Q2995" i="210"/>
  <c r="D2996" i="210"/>
  <c r="K2996" i="210"/>
  <c r="L2996" i="210"/>
  <c r="N2996" i="210"/>
  <c r="P2996" i="210"/>
  <c r="Q2996" i="210"/>
  <c r="D2997" i="210"/>
  <c r="K2997" i="210"/>
  <c r="L2997" i="210"/>
  <c r="N2997" i="210"/>
  <c r="P2997" i="210"/>
  <c r="Q2997" i="210"/>
  <c r="D2998" i="210"/>
  <c r="K2998" i="210"/>
  <c r="L2998" i="210"/>
  <c r="N2998" i="210"/>
  <c r="P2998" i="210"/>
  <c r="Q2998" i="210"/>
  <c r="D2999" i="210"/>
  <c r="K2999" i="210"/>
  <c r="L2999" i="210"/>
  <c r="N2999" i="210"/>
  <c r="P2999" i="210"/>
  <c r="Q2999" i="210"/>
  <c r="C3002" i="210"/>
  <c r="C3003" i="210" s="1"/>
  <c r="C3004" i="210" s="1"/>
  <c r="H3002" i="210"/>
  <c r="E3002" i="210" s="1"/>
  <c r="E3003" i="210" s="1"/>
  <c r="E3004" i="210" s="1"/>
  <c r="E3006" i="210" s="1"/>
  <c r="E3008" i="210" s="1"/>
  <c r="E3010" i="210" s="1"/>
  <c r="E3012" i="210" s="1"/>
  <c r="E3014" i="210" s="1"/>
  <c r="E3016" i="210" s="1"/>
  <c r="I3002" i="210"/>
  <c r="J3002" i="210"/>
  <c r="I3003" i="210"/>
  <c r="I3004" i="210"/>
  <c r="D3006" i="210"/>
  <c r="K3006" i="210"/>
  <c r="L3006" i="210"/>
  <c r="N3006" i="210"/>
  <c r="P3006" i="210"/>
  <c r="Q3006" i="210"/>
  <c r="D3007" i="210"/>
  <c r="E3007" i="210"/>
  <c r="E3009" i="210" s="1"/>
  <c r="E3011" i="210" s="1"/>
  <c r="E3013" i="210" s="1"/>
  <c r="E3015" i="210" s="1"/>
  <c r="K3007" i="210"/>
  <c r="L3007" i="210"/>
  <c r="N3007" i="210"/>
  <c r="P3007" i="210"/>
  <c r="Q3007" i="210"/>
  <c r="D3008" i="210"/>
  <c r="K3008" i="210"/>
  <c r="L3008" i="210"/>
  <c r="N3008" i="210"/>
  <c r="P3008" i="210"/>
  <c r="Q3008" i="210"/>
  <c r="D3009" i="210"/>
  <c r="K3009" i="210"/>
  <c r="L3009" i="210"/>
  <c r="N3009" i="210"/>
  <c r="P3009" i="210"/>
  <c r="Q3009" i="210"/>
  <c r="D3010" i="210"/>
  <c r="K3010" i="210"/>
  <c r="L3010" i="210"/>
  <c r="N3010" i="210"/>
  <c r="P3010" i="210"/>
  <c r="Q3010" i="210"/>
  <c r="D3011" i="210"/>
  <c r="K3011" i="210"/>
  <c r="L3011" i="210"/>
  <c r="N3011" i="210"/>
  <c r="P3011" i="210"/>
  <c r="Q3011" i="210"/>
  <c r="D3012" i="210"/>
  <c r="K3012" i="210"/>
  <c r="L3012" i="210"/>
  <c r="N3012" i="210"/>
  <c r="P3012" i="210"/>
  <c r="Q3012" i="210"/>
  <c r="D3013" i="210"/>
  <c r="K3013" i="210"/>
  <c r="L3013" i="210"/>
  <c r="N3013" i="210"/>
  <c r="P3013" i="210"/>
  <c r="Q3013" i="210"/>
  <c r="D3014" i="210"/>
  <c r="K3014" i="210"/>
  <c r="L3014" i="210"/>
  <c r="N3014" i="210"/>
  <c r="P3014" i="210"/>
  <c r="Q3014" i="210"/>
  <c r="D3015" i="210"/>
  <c r="K3015" i="210"/>
  <c r="L3015" i="210"/>
  <c r="N3015" i="210"/>
  <c r="P3015" i="210"/>
  <c r="Q3015" i="210"/>
  <c r="D3016" i="210"/>
  <c r="K3016" i="210"/>
  <c r="L3016" i="210"/>
  <c r="N3016" i="210"/>
  <c r="P3016" i="210"/>
  <c r="Q3016" i="210"/>
  <c r="C3019" i="210"/>
  <c r="E3019" i="210"/>
  <c r="E3020" i="210" s="1"/>
  <c r="E3021" i="210" s="1"/>
  <c r="E3023" i="210" s="1"/>
  <c r="E3025" i="210" s="1"/>
  <c r="H3019" i="210"/>
  <c r="I3019" i="210"/>
  <c r="J3019" i="210"/>
  <c r="C3020" i="210"/>
  <c r="C3021" i="210" s="1"/>
  <c r="I3020" i="210"/>
  <c r="I3021" i="210"/>
  <c r="D3023" i="210"/>
  <c r="K3023" i="210"/>
  <c r="L3023" i="210"/>
  <c r="N3023" i="210"/>
  <c r="P3023" i="210"/>
  <c r="Q3023" i="210"/>
  <c r="D3024" i="210"/>
  <c r="E3024" i="210"/>
  <c r="E3026" i="210" s="1"/>
  <c r="E3028" i="210" s="1"/>
  <c r="E3030" i="210" s="1"/>
  <c r="E3032" i="210" s="1"/>
  <c r="E3034" i="210" s="1"/>
  <c r="E3036" i="210" s="1"/>
  <c r="E3038" i="210" s="1"/>
  <c r="E3040" i="210" s="1"/>
  <c r="E3042" i="210" s="1"/>
  <c r="E3044" i="210" s="1"/>
  <c r="E3046" i="210" s="1"/>
  <c r="E3048" i="210" s="1"/>
  <c r="E3050" i="210" s="1"/>
  <c r="E3052" i="210" s="1"/>
  <c r="E3054" i="210" s="1"/>
  <c r="E3056" i="210" s="1"/>
  <c r="E3058" i="210" s="1"/>
  <c r="E3060" i="210" s="1"/>
  <c r="E3062" i="210" s="1"/>
  <c r="E3064" i="210" s="1"/>
  <c r="E3066" i="210" s="1"/>
  <c r="E3068" i="210" s="1"/>
  <c r="E3070" i="210" s="1"/>
  <c r="E3072" i="210" s="1"/>
  <c r="E3074" i="210" s="1"/>
  <c r="E3076" i="210" s="1"/>
  <c r="E3078" i="210" s="1"/>
  <c r="K3024" i="210"/>
  <c r="L3024" i="210"/>
  <c r="N3024" i="210"/>
  <c r="P3024" i="210"/>
  <c r="Q3024" i="210"/>
  <c r="D3025" i="210"/>
  <c r="K3025" i="210"/>
  <c r="L3025" i="210"/>
  <c r="N3025" i="210"/>
  <c r="P3025" i="210"/>
  <c r="Q3025" i="210"/>
  <c r="D3026" i="210"/>
  <c r="K3026" i="210"/>
  <c r="L3026" i="210"/>
  <c r="N3026" i="210"/>
  <c r="P3026" i="210"/>
  <c r="Q3026" i="210"/>
  <c r="D3027" i="210"/>
  <c r="E3027" i="210"/>
  <c r="E3029" i="210" s="1"/>
  <c r="E3031" i="210" s="1"/>
  <c r="E3033" i="210" s="1"/>
  <c r="E3035" i="210" s="1"/>
  <c r="E3037" i="210" s="1"/>
  <c r="E3039" i="210" s="1"/>
  <c r="E3041" i="210" s="1"/>
  <c r="E3043" i="210" s="1"/>
  <c r="E3045" i="210" s="1"/>
  <c r="E3047" i="210" s="1"/>
  <c r="E3049" i="210" s="1"/>
  <c r="E3051" i="210" s="1"/>
  <c r="E3053" i="210" s="1"/>
  <c r="E3055" i="210" s="1"/>
  <c r="E3057" i="210" s="1"/>
  <c r="E3059" i="210" s="1"/>
  <c r="E3061" i="210" s="1"/>
  <c r="E3063" i="210" s="1"/>
  <c r="E3065" i="210" s="1"/>
  <c r="E3067" i="210" s="1"/>
  <c r="E3069" i="210" s="1"/>
  <c r="E3071" i="210" s="1"/>
  <c r="E3073" i="210" s="1"/>
  <c r="E3075" i="210" s="1"/>
  <c r="E3077" i="210" s="1"/>
  <c r="K3027" i="210"/>
  <c r="L3027" i="210"/>
  <c r="N3027" i="210"/>
  <c r="P3027" i="210"/>
  <c r="Q3027" i="210"/>
  <c r="D3028" i="210"/>
  <c r="K3028" i="210"/>
  <c r="L3028" i="210"/>
  <c r="N3028" i="210"/>
  <c r="P3028" i="210"/>
  <c r="Q3028" i="210"/>
  <c r="D3029" i="210"/>
  <c r="K3029" i="210"/>
  <c r="L3029" i="210"/>
  <c r="N3029" i="210"/>
  <c r="P3029" i="210"/>
  <c r="Q3029" i="210"/>
  <c r="D3030" i="210"/>
  <c r="K3030" i="210"/>
  <c r="L3030" i="210"/>
  <c r="N3030" i="210"/>
  <c r="P3030" i="210"/>
  <c r="Q3030" i="210"/>
  <c r="D3031" i="210"/>
  <c r="K3031" i="210"/>
  <c r="L3031" i="210"/>
  <c r="N3031" i="210"/>
  <c r="P3031" i="210"/>
  <c r="Q3031" i="210"/>
  <c r="D3032" i="210"/>
  <c r="K3032" i="210"/>
  <c r="L3032" i="210"/>
  <c r="N3032" i="210"/>
  <c r="P3032" i="210"/>
  <c r="Q3032" i="210"/>
  <c r="D3033" i="210"/>
  <c r="K3033" i="210"/>
  <c r="L3033" i="210"/>
  <c r="N3033" i="210"/>
  <c r="P3033" i="210"/>
  <c r="Q3033" i="210"/>
  <c r="D3034" i="210"/>
  <c r="K3034" i="210"/>
  <c r="L3034" i="210"/>
  <c r="N3034" i="210"/>
  <c r="P3034" i="210"/>
  <c r="Q3034" i="210"/>
  <c r="D3035" i="210"/>
  <c r="K3035" i="210"/>
  <c r="L3035" i="210"/>
  <c r="N3035" i="210"/>
  <c r="P3035" i="210"/>
  <c r="Q3035" i="210"/>
  <c r="D3036" i="210"/>
  <c r="K3036" i="210"/>
  <c r="L3036" i="210"/>
  <c r="N3036" i="210"/>
  <c r="P3036" i="210"/>
  <c r="Q3036" i="210"/>
  <c r="D3037" i="210"/>
  <c r="K3037" i="210"/>
  <c r="L3037" i="210"/>
  <c r="N3037" i="210"/>
  <c r="P3037" i="210"/>
  <c r="Q3037" i="210"/>
  <c r="D3038" i="210"/>
  <c r="K3038" i="210"/>
  <c r="L3038" i="210"/>
  <c r="N3038" i="210"/>
  <c r="P3038" i="210"/>
  <c r="Q3038" i="210"/>
  <c r="D3039" i="210"/>
  <c r="K3039" i="210"/>
  <c r="L3039" i="210"/>
  <c r="N3039" i="210"/>
  <c r="P3039" i="210"/>
  <c r="Q3039" i="210"/>
  <c r="D3040" i="210"/>
  <c r="K3040" i="210"/>
  <c r="L3040" i="210"/>
  <c r="N3040" i="210"/>
  <c r="P3040" i="210"/>
  <c r="Q3040" i="210"/>
  <c r="D3041" i="210"/>
  <c r="K3041" i="210"/>
  <c r="L3041" i="210"/>
  <c r="N3041" i="210"/>
  <c r="P3041" i="210"/>
  <c r="Q3041" i="210"/>
  <c r="D3042" i="210"/>
  <c r="K3042" i="210"/>
  <c r="L3042" i="210"/>
  <c r="N3042" i="210"/>
  <c r="P3042" i="210"/>
  <c r="Q3042" i="210"/>
  <c r="D3043" i="210"/>
  <c r="K3043" i="210"/>
  <c r="L3043" i="210"/>
  <c r="N3043" i="210"/>
  <c r="P3043" i="210"/>
  <c r="Q3043" i="210"/>
  <c r="D3044" i="210"/>
  <c r="K3044" i="210"/>
  <c r="L3044" i="210"/>
  <c r="N3044" i="210"/>
  <c r="P3044" i="210"/>
  <c r="Q3044" i="210"/>
  <c r="D3045" i="210"/>
  <c r="K3045" i="210"/>
  <c r="L3045" i="210"/>
  <c r="N3045" i="210"/>
  <c r="P3045" i="210"/>
  <c r="Q3045" i="210"/>
  <c r="D3046" i="210"/>
  <c r="K3046" i="210"/>
  <c r="L3046" i="210"/>
  <c r="N3046" i="210"/>
  <c r="P3046" i="210"/>
  <c r="Q3046" i="210"/>
  <c r="D3047" i="210"/>
  <c r="K3047" i="210"/>
  <c r="L3047" i="210"/>
  <c r="N3047" i="210"/>
  <c r="P3047" i="210"/>
  <c r="Q3047" i="210"/>
  <c r="D3048" i="210"/>
  <c r="K3048" i="210"/>
  <c r="L3048" i="210"/>
  <c r="N3048" i="210"/>
  <c r="P3048" i="210"/>
  <c r="Q3048" i="210"/>
  <c r="D3049" i="210"/>
  <c r="K3049" i="210"/>
  <c r="L3049" i="210"/>
  <c r="N3049" i="210"/>
  <c r="P3049" i="210"/>
  <c r="Q3049" i="210"/>
  <c r="D3050" i="210"/>
  <c r="K3050" i="210"/>
  <c r="L3050" i="210"/>
  <c r="N3050" i="210"/>
  <c r="P3050" i="210"/>
  <c r="Q3050" i="210"/>
  <c r="D3051" i="210"/>
  <c r="K3051" i="210"/>
  <c r="L3051" i="210"/>
  <c r="N3051" i="210"/>
  <c r="P3051" i="210"/>
  <c r="Q3051" i="210"/>
  <c r="D3052" i="210"/>
  <c r="K3052" i="210"/>
  <c r="L3052" i="210"/>
  <c r="N3052" i="210"/>
  <c r="P3052" i="210"/>
  <c r="Q3052" i="210"/>
  <c r="D3053" i="210"/>
  <c r="K3053" i="210"/>
  <c r="L3053" i="210"/>
  <c r="N3053" i="210"/>
  <c r="P3053" i="210"/>
  <c r="Q3053" i="210"/>
  <c r="D3054" i="210"/>
  <c r="K3054" i="210"/>
  <c r="L3054" i="210"/>
  <c r="N3054" i="210"/>
  <c r="P3054" i="210"/>
  <c r="Q3054" i="210"/>
  <c r="D3055" i="210"/>
  <c r="K3055" i="210"/>
  <c r="L3055" i="210"/>
  <c r="N3055" i="210"/>
  <c r="P3055" i="210"/>
  <c r="Q3055" i="210"/>
  <c r="D3056" i="210"/>
  <c r="K3056" i="210"/>
  <c r="L3056" i="210"/>
  <c r="N3056" i="210"/>
  <c r="P3056" i="210"/>
  <c r="Q3056" i="210"/>
  <c r="D3057" i="210"/>
  <c r="K3057" i="210"/>
  <c r="L3057" i="210"/>
  <c r="N3057" i="210"/>
  <c r="P3057" i="210"/>
  <c r="Q3057" i="210"/>
  <c r="D3058" i="210"/>
  <c r="K3058" i="210"/>
  <c r="L3058" i="210"/>
  <c r="N3058" i="210"/>
  <c r="P3058" i="210"/>
  <c r="Q3058" i="210"/>
  <c r="D3059" i="210"/>
  <c r="K3059" i="210"/>
  <c r="L3059" i="210"/>
  <c r="N3059" i="210"/>
  <c r="P3059" i="210"/>
  <c r="Q3059" i="210"/>
  <c r="D3060" i="210"/>
  <c r="K3060" i="210"/>
  <c r="L3060" i="210"/>
  <c r="N3060" i="210"/>
  <c r="P3060" i="210"/>
  <c r="Q3060" i="210"/>
  <c r="D3061" i="210"/>
  <c r="K3061" i="210"/>
  <c r="L3061" i="210"/>
  <c r="N3061" i="210"/>
  <c r="P3061" i="210"/>
  <c r="Q3061" i="210"/>
  <c r="D3062" i="210"/>
  <c r="K3062" i="210"/>
  <c r="L3062" i="210"/>
  <c r="N3062" i="210"/>
  <c r="P3062" i="210"/>
  <c r="Q3062" i="210"/>
  <c r="D3063" i="210"/>
  <c r="K3063" i="210"/>
  <c r="L3063" i="210"/>
  <c r="N3063" i="210"/>
  <c r="P3063" i="210"/>
  <c r="Q3063" i="210"/>
  <c r="D3064" i="210"/>
  <c r="K3064" i="210"/>
  <c r="L3064" i="210"/>
  <c r="N3064" i="210"/>
  <c r="P3064" i="210"/>
  <c r="Q3064" i="210"/>
  <c r="D3065" i="210"/>
  <c r="K3065" i="210"/>
  <c r="L3065" i="210"/>
  <c r="N3065" i="210"/>
  <c r="P3065" i="210"/>
  <c r="Q3065" i="210"/>
  <c r="D3066" i="210"/>
  <c r="K3066" i="210"/>
  <c r="L3066" i="210"/>
  <c r="N3066" i="210"/>
  <c r="P3066" i="210"/>
  <c r="Q3066" i="210"/>
  <c r="D3067" i="210"/>
  <c r="K3067" i="210"/>
  <c r="L3067" i="210"/>
  <c r="N3067" i="210"/>
  <c r="P3067" i="210"/>
  <c r="Q3067" i="210"/>
  <c r="D3068" i="210"/>
  <c r="K3068" i="210"/>
  <c r="L3068" i="210"/>
  <c r="N3068" i="210"/>
  <c r="P3068" i="210"/>
  <c r="Q3068" i="210"/>
  <c r="D3069" i="210"/>
  <c r="K3069" i="210"/>
  <c r="L3069" i="210"/>
  <c r="N3069" i="210"/>
  <c r="P3069" i="210"/>
  <c r="Q3069" i="210"/>
  <c r="D3070" i="210"/>
  <c r="K3070" i="210"/>
  <c r="L3070" i="210"/>
  <c r="N3070" i="210"/>
  <c r="P3070" i="210"/>
  <c r="Q3070" i="210"/>
  <c r="D3071" i="210"/>
  <c r="K3071" i="210"/>
  <c r="L3071" i="210"/>
  <c r="N3071" i="210"/>
  <c r="P3071" i="210"/>
  <c r="Q3071" i="210"/>
  <c r="D3072" i="210"/>
  <c r="K3072" i="210"/>
  <c r="L3072" i="210"/>
  <c r="N3072" i="210"/>
  <c r="P3072" i="210"/>
  <c r="Q3072" i="210"/>
  <c r="D3073" i="210"/>
  <c r="K3073" i="210"/>
  <c r="L3073" i="210"/>
  <c r="N3073" i="210"/>
  <c r="P3073" i="210"/>
  <c r="Q3073" i="210"/>
  <c r="D3074" i="210"/>
  <c r="K3074" i="210"/>
  <c r="L3074" i="210"/>
  <c r="N3074" i="210"/>
  <c r="P3074" i="210"/>
  <c r="Q3074" i="210"/>
  <c r="D3075" i="210"/>
  <c r="K3075" i="210"/>
  <c r="L3075" i="210"/>
  <c r="N3075" i="210"/>
  <c r="P3075" i="210"/>
  <c r="Q3075" i="210"/>
  <c r="D3076" i="210"/>
  <c r="K3076" i="210"/>
  <c r="L3076" i="210"/>
  <c r="N3076" i="210"/>
  <c r="P3076" i="210"/>
  <c r="Q3076" i="210"/>
  <c r="D3077" i="210"/>
  <c r="K3077" i="210"/>
  <c r="L3077" i="210"/>
  <c r="N3077" i="210"/>
  <c r="P3077" i="210"/>
  <c r="Q3077" i="210"/>
  <c r="D3078" i="210"/>
  <c r="K3078" i="210"/>
  <c r="L3078" i="210"/>
  <c r="N3078" i="210"/>
  <c r="P3078" i="210"/>
  <c r="Q3078" i="210"/>
  <c r="C3081" i="210"/>
  <c r="C3082" i="210" s="1"/>
  <c r="C3083" i="210" s="1"/>
  <c r="H3081" i="210"/>
  <c r="E3081" i="210" s="1"/>
  <c r="E3082" i="210" s="1"/>
  <c r="E3083" i="210" s="1"/>
  <c r="E3085" i="210" s="1"/>
  <c r="E3087" i="210" s="1"/>
  <c r="E3089" i="210" s="1"/>
  <c r="E3091" i="210" s="1"/>
  <c r="E3093" i="210" s="1"/>
  <c r="E3095" i="210" s="1"/>
  <c r="E3097" i="210" s="1"/>
  <c r="I3081" i="210"/>
  <c r="J3081" i="210"/>
  <c r="I3082" i="210"/>
  <c r="I3083" i="210"/>
  <c r="D3085" i="210"/>
  <c r="K3085" i="210"/>
  <c r="L3085" i="210"/>
  <c r="N3085" i="210"/>
  <c r="P3085" i="210"/>
  <c r="Q3085" i="210"/>
  <c r="D3086" i="210"/>
  <c r="E3086" i="210"/>
  <c r="E3088" i="210" s="1"/>
  <c r="E3090" i="210" s="1"/>
  <c r="E3092" i="210" s="1"/>
  <c r="E3094" i="210" s="1"/>
  <c r="E3096" i="210" s="1"/>
  <c r="E3098" i="210" s="1"/>
  <c r="E3100" i="210" s="1"/>
  <c r="E3102" i="210" s="1"/>
  <c r="E3104" i="210" s="1"/>
  <c r="E3106" i="210" s="1"/>
  <c r="E3108" i="210" s="1"/>
  <c r="E3110" i="210" s="1"/>
  <c r="E3112" i="210" s="1"/>
  <c r="E3114" i="210" s="1"/>
  <c r="E3116" i="210" s="1"/>
  <c r="E3118" i="210" s="1"/>
  <c r="E3120" i="210" s="1"/>
  <c r="E3122" i="210" s="1"/>
  <c r="K3086" i="210"/>
  <c r="L3086" i="210"/>
  <c r="N3086" i="210"/>
  <c r="P3086" i="210"/>
  <c r="Q3086" i="210"/>
  <c r="D3087" i="210"/>
  <c r="K3087" i="210"/>
  <c r="L3087" i="210"/>
  <c r="N3087" i="210"/>
  <c r="P3087" i="210"/>
  <c r="Q3087" i="210"/>
  <c r="D3088" i="210"/>
  <c r="K3088" i="210"/>
  <c r="L3088" i="210"/>
  <c r="N3088" i="210"/>
  <c r="P3088" i="210"/>
  <c r="Q3088" i="210"/>
  <c r="D3089" i="210"/>
  <c r="K3089" i="210"/>
  <c r="L3089" i="210"/>
  <c r="N3089" i="210"/>
  <c r="P3089" i="210"/>
  <c r="Q3089" i="210"/>
  <c r="D3090" i="210"/>
  <c r="K3090" i="210"/>
  <c r="L3090" i="210"/>
  <c r="N3090" i="210"/>
  <c r="P3090" i="210"/>
  <c r="Q3090" i="210"/>
  <c r="D3091" i="210"/>
  <c r="K3091" i="210"/>
  <c r="L3091" i="210"/>
  <c r="N3091" i="210"/>
  <c r="P3091" i="210"/>
  <c r="Q3091" i="210"/>
  <c r="D3092" i="210"/>
  <c r="K3092" i="210"/>
  <c r="L3092" i="210"/>
  <c r="N3092" i="210"/>
  <c r="P3092" i="210"/>
  <c r="Q3092" i="210"/>
  <c r="D3093" i="210"/>
  <c r="K3093" i="210"/>
  <c r="L3093" i="210"/>
  <c r="N3093" i="210"/>
  <c r="P3093" i="210"/>
  <c r="Q3093" i="210"/>
  <c r="D3094" i="210"/>
  <c r="K3094" i="210"/>
  <c r="L3094" i="210"/>
  <c r="N3094" i="210"/>
  <c r="P3094" i="210"/>
  <c r="Q3094" i="210"/>
  <c r="D3095" i="210"/>
  <c r="K3095" i="210"/>
  <c r="L3095" i="210"/>
  <c r="N3095" i="210"/>
  <c r="P3095" i="210"/>
  <c r="Q3095" i="210"/>
  <c r="D3096" i="210"/>
  <c r="K3096" i="210"/>
  <c r="L3096" i="210"/>
  <c r="N3096" i="210"/>
  <c r="P3096" i="210"/>
  <c r="Q3096" i="210"/>
  <c r="D3097" i="210"/>
  <c r="K3097" i="210"/>
  <c r="L3097" i="210"/>
  <c r="N3097" i="210"/>
  <c r="P3097" i="210"/>
  <c r="Q3097" i="210"/>
  <c r="D3098" i="210"/>
  <c r="K3098" i="210"/>
  <c r="L3098" i="210"/>
  <c r="N3098" i="210"/>
  <c r="P3098" i="210"/>
  <c r="Q3098" i="210"/>
  <c r="D3099" i="210"/>
  <c r="E3099" i="210"/>
  <c r="E3101" i="210" s="1"/>
  <c r="E3103" i="210" s="1"/>
  <c r="E3105" i="210" s="1"/>
  <c r="E3107" i="210" s="1"/>
  <c r="E3109" i="210" s="1"/>
  <c r="E3111" i="210" s="1"/>
  <c r="E3113" i="210" s="1"/>
  <c r="E3115" i="210" s="1"/>
  <c r="E3117" i="210" s="1"/>
  <c r="E3119" i="210" s="1"/>
  <c r="E3121" i="210" s="1"/>
  <c r="E3123" i="210" s="1"/>
  <c r="K3099" i="210"/>
  <c r="L3099" i="210"/>
  <c r="N3099" i="210"/>
  <c r="P3099" i="210"/>
  <c r="Q3099" i="210"/>
  <c r="D3100" i="210"/>
  <c r="K3100" i="210"/>
  <c r="L3100" i="210"/>
  <c r="N3100" i="210"/>
  <c r="P3100" i="210"/>
  <c r="Q3100" i="210"/>
  <c r="D3101" i="210"/>
  <c r="K3101" i="210"/>
  <c r="L3101" i="210"/>
  <c r="N3101" i="210"/>
  <c r="P3101" i="210"/>
  <c r="Q3101" i="210"/>
  <c r="D3102" i="210"/>
  <c r="K3102" i="210"/>
  <c r="L3102" i="210"/>
  <c r="N3102" i="210"/>
  <c r="P3102" i="210"/>
  <c r="Q3102" i="210"/>
  <c r="D3103" i="210"/>
  <c r="K3103" i="210"/>
  <c r="L3103" i="210"/>
  <c r="N3103" i="210"/>
  <c r="P3103" i="210"/>
  <c r="Q3103" i="210"/>
  <c r="D3104" i="210"/>
  <c r="K3104" i="210"/>
  <c r="L3104" i="210"/>
  <c r="N3104" i="210"/>
  <c r="P3104" i="210"/>
  <c r="Q3104" i="210"/>
  <c r="D3105" i="210"/>
  <c r="K3105" i="210"/>
  <c r="L3105" i="210"/>
  <c r="N3105" i="210"/>
  <c r="P3105" i="210"/>
  <c r="Q3105" i="210"/>
  <c r="D3106" i="210"/>
  <c r="K3106" i="210"/>
  <c r="L3106" i="210"/>
  <c r="N3106" i="210"/>
  <c r="P3106" i="210"/>
  <c r="Q3106" i="210"/>
  <c r="D3107" i="210"/>
  <c r="K3107" i="210"/>
  <c r="L3107" i="210"/>
  <c r="N3107" i="210"/>
  <c r="P3107" i="210"/>
  <c r="Q3107" i="210"/>
  <c r="D3108" i="210"/>
  <c r="K3108" i="210"/>
  <c r="L3108" i="210"/>
  <c r="N3108" i="210"/>
  <c r="P3108" i="210"/>
  <c r="Q3108" i="210"/>
  <c r="D3109" i="210"/>
  <c r="K3109" i="210"/>
  <c r="L3109" i="210"/>
  <c r="N3109" i="210"/>
  <c r="P3109" i="210"/>
  <c r="Q3109" i="210"/>
  <c r="D3110" i="210"/>
  <c r="K3110" i="210"/>
  <c r="L3110" i="210"/>
  <c r="N3110" i="210"/>
  <c r="P3110" i="210"/>
  <c r="Q3110" i="210"/>
  <c r="D3111" i="210"/>
  <c r="K3111" i="210"/>
  <c r="L3111" i="210"/>
  <c r="N3111" i="210"/>
  <c r="P3111" i="210"/>
  <c r="Q3111" i="210"/>
  <c r="D3112" i="210"/>
  <c r="K3112" i="210"/>
  <c r="L3112" i="210"/>
  <c r="N3112" i="210"/>
  <c r="P3112" i="210"/>
  <c r="Q3112" i="210"/>
  <c r="D3113" i="210"/>
  <c r="K3113" i="210"/>
  <c r="L3113" i="210"/>
  <c r="N3113" i="210"/>
  <c r="P3113" i="210"/>
  <c r="Q3113" i="210"/>
  <c r="D3114" i="210"/>
  <c r="K3114" i="210"/>
  <c r="L3114" i="210"/>
  <c r="N3114" i="210"/>
  <c r="P3114" i="210"/>
  <c r="Q3114" i="210"/>
  <c r="D3115" i="210"/>
  <c r="K3115" i="210"/>
  <c r="L3115" i="210"/>
  <c r="N3115" i="210"/>
  <c r="P3115" i="210"/>
  <c r="Q3115" i="210"/>
  <c r="D3116" i="210"/>
  <c r="K3116" i="210"/>
  <c r="L3116" i="210"/>
  <c r="N3116" i="210"/>
  <c r="P3116" i="210"/>
  <c r="Q3116" i="210"/>
  <c r="D3117" i="210"/>
  <c r="K3117" i="210"/>
  <c r="L3117" i="210"/>
  <c r="N3117" i="210"/>
  <c r="P3117" i="210"/>
  <c r="Q3117" i="210"/>
  <c r="D3118" i="210"/>
  <c r="K3118" i="210"/>
  <c r="L3118" i="210"/>
  <c r="N3118" i="210"/>
  <c r="P3118" i="210"/>
  <c r="Q3118" i="210"/>
  <c r="D3119" i="210"/>
  <c r="K3119" i="210"/>
  <c r="L3119" i="210"/>
  <c r="N3119" i="210"/>
  <c r="P3119" i="210"/>
  <c r="Q3119" i="210"/>
  <c r="D3120" i="210"/>
  <c r="K3120" i="210"/>
  <c r="L3120" i="210"/>
  <c r="N3120" i="210"/>
  <c r="P3120" i="210"/>
  <c r="Q3120" i="210"/>
  <c r="D3121" i="210"/>
  <c r="K3121" i="210"/>
  <c r="L3121" i="210"/>
  <c r="N3121" i="210"/>
  <c r="P3121" i="210"/>
  <c r="Q3121" i="210"/>
  <c r="D3122" i="210"/>
  <c r="K3122" i="210"/>
  <c r="L3122" i="210"/>
  <c r="N3122" i="210"/>
  <c r="P3122" i="210"/>
  <c r="Q3122" i="210"/>
  <c r="D3123" i="210"/>
  <c r="K3123" i="210"/>
  <c r="L3123" i="210"/>
  <c r="N3123" i="210"/>
  <c r="P3123" i="210"/>
  <c r="Q3123" i="210"/>
  <c r="C3126" i="210"/>
  <c r="C3127" i="210" s="1"/>
  <c r="C3128" i="210" s="1"/>
  <c r="H3126" i="210"/>
  <c r="E3126" i="210" s="1"/>
  <c r="E3127" i="210" s="1"/>
  <c r="E3128" i="210" s="1"/>
  <c r="E3130" i="210" s="1"/>
  <c r="E3132" i="210" s="1"/>
  <c r="E3134" i="210" s="1"/>
  <c r="E3136" i="210" s="1"/>
  <c r="E3138" i="210" s="1"/>
  <c r="E3140" i="210" s="1"/>
  <c r="E3142" i="210" s="1"/>
  <c r="E3144" i="210" s="1"/>
  <c r="E3146" i="210" s="1"/>
  <c r="E3148" i="210" s="1"/>
  <c r="E3150" i="210" s="1"/>
  <c r="E3152" i="210" s="1"/>
  <c r="E3154" i="210" s="1"/>
  <c r="E3156" i="210" s="1"/>
  <c r="E3158" i="210" s="1"/>
  <c r="E3160" i="210" s="1"/>
  <c r="E3162" i="210" s="1"/>
  <c r="E3164" i="210" s="1"/>
  <c r="E3166" i="210" s="1"/>
  <c r="E3168" i="210" s="1"/>
  <c r="E3170" i="210" s="1"/>
  <c r="E3172" i="210" s="1"/>
  <c r="E3174" i="210" s="1"/>
  <c r="E3176" i="210" s="1"/>
  <c r="E3178" i="210" s="1"/>
  <c r="E3180" i="210" s="1"/>
  <c r="E3182" i="210" s="1"/>
  <c r="E3184" i="210" s="1"/>
  <c r="I3126" i="210"/>
  <c r="J3126" i="210"/>
  <c r="I3127" i="210"/>
  <c r="I3128" i="210"/>
  <c r="D3130" i="210"/>
  <c r="K3130" i="210"/>
  <c r="L3130" i="210"/>
  <c r="N3130" i="210"/>
  <c r="P3130" i="210"/>
  <c r="Q3130" i="210"/>
  <c r="D3131" i="210"/>
  <c r="E3131" i="210"/>
  <c r="E3133" i="210" s="1"/>
  <c r="E3135" i="210" s="1"/>
  <c r="E3137" i="210" s="1"/>
  <c r="E3139" i="210" s="1"/>
  <c r="E3141" i="210" s="1"/>
  <c r="E3143" i="210" s="1"/>
  <c r="E3145" i="210" s="1"/>
  <c r="E3147" i="210" s="1"/>
  <c r="E3149" i="210" s="1"/>
  <c r="E3151" i="210" s="1"/>
  <c r="E3153" i="210" s="1"/>
  <c r="E3155" i="210" s="1"/>
  <c r="E3157" i="210" s="1"/>
  <c r="E3159" i="210" s="1"/>
  <c r="E3161" i="210" s="1"/>
  <c r="E3163" i="210" s="1"/>
  <c r="E3165" i="210" s="1"/>
  <c r="E3167" i="210" s="1"/>
  <c r="E3169" i="210" s="1"/>
  <c r="E3171" i="210" s="1"/>
  <c r="E3173" i="210" s="1"/>
  <c r="E3175" i="210" s="1"/>
  <c r="E3177" i="210" s="1"/>
  <c r="E3179" i="210" s="1"/>
  <c r="E3181" i="210" s="1"/>
  <c r="E3183" i="210" s="1"/>
  <c r="E3185" i="210" s="1"/>
  <c r="K3131" i="210"/>
  <c r="L3131" i="210"/>
  <c r="N3131" i="210"/>
  <c r="P3131" i="210"/>
  <c r="Q3131" i="210"/>
  <c r="D3132" i="210"/>
  <c r="K3132" i="210"/>
  <c r="L3132" i="210"/>
  <c r="N3132" i="210"/>
  <c r="P3132" i="210"/>
  <c r="Q3132" i="210"/>
  <c r="D3133" i="210"/>
  <c r="K3133" i="210"/>
  <c r="L3133" i="210"/>
  <c r="N3133" i="210"/>
  <c r="P3133" i="210"/>
  <c r="Q3133" i="210"/>
  <c r="D3134" i="210"/>
  <c r="K3134" i="210"/>
  <c r="L3134" i="210"/>
  <c r="N3134" i="210"/>
  <c r="P3134" i="210"/>
  <c r="Q3134" i="210"/>
  <c r="D3135" i="210"/>
  <c r="K3135" i="210"/>
  <c r="L3135" i="210"/>
  <c r="N3135" i="210"/>
  <c r="P3135" i="210"/>
  <c r="Q3135" i="210"/>
  <c r="D3136" i="210"/>
  <c r="K3136" i="210"/>
  <c r="L3136" i="210"/>
  <c r="N3136" i="210"/>
  <c r="P3136" i="210"/>
  <c r="Q3136" i="210"/>
  <c r="D3137" i="210"/>
  <c r="K3137" i="210"/>
  <c r="L3137" i="210"/>
  <c r="N3137" i="210"/>
  <c r="P3137" i="210"/>
  <c r="Q3137" i="210"/>
  <c r="D3138" i="210"/>
  <c r="K3138" i="210"/>
  <c r="L3138" i="210"/>
  <c r="N3138" i="210"/>
  <c r="P3138" i="210"/>
  <c r="Q3138" i="210"/>
  <c r="D3139" i="210"/>
  <c r="K3139" i="210"/>
  <c r="L3139" i="210"/>
  <c r="N3139" i="210"/>
  <c r="P3139" i="210"/>
  <c r="Q3139" i="210"/>
  <c r="D3140" i="210"/>
  <c r="K3140" i="210"/>
  <c r="L3140" i="210"/>
  <c r="N3140" i="210"/>
  <c r="P3140" i="210"/>
  <c r="Q3140" i="210"/>
  <c r="D3141" i="210"/>
  <c r="K3141" i="210"/>
  <c r="L3141" i="210"/>
  <c r="N3141" i="210"/>
  <c r="P3141" i="210"/>
  <c r="Q3141" i="210"/>
  <c r="D3142" i="210"/>
  <c r="K3142" i="210"/>
  <c r="L3142" i="210"/>
  <c r="N3142" i="210"/>
  <c r="P3142" i="210"/>
  <c r="Q3142" i="210"/>
  <c r="D3143" i="210"/>
  <c r="K3143" i="210"/>
  <c r="L3143" i="210"/>
  <c r="N3143" i="210"/>
  <c r="P3143" i="210"/>
  <c r="Q3143" i="210"/>
  <c r="D3144" i="210"/>
  <c r="K3144" i="210"/>
  <c r="L3144" i="210"/>
  <c r="N3144" i="210"/>
  <c r="P3144" i="210"/>
  <c r="Q3144" i="210"/>
  <c r="D3145" i="210"/>
  <c r="K3145" i="210"/>
  <c r="L3145" i="210"/>
  <c r="N3145" i="210"/>
  <c r="P3145" i="210"/>
  <c r="Q3145" i="210"/>
  <c r="D3146" i="210"/>
  <c r="K3146" i="210"/>
  <c r="L3146" i="210"/>
  <c r="N3146" i="210"/>
  <c r="P3146" i="210"/>
  <c r="Q3146" i="210"/>
  <c r="D3147" i="210"/>
  <c r="K3147" i="210"/>
  <c r="L3147" i="210"/>
  <c r="N3147" i="210"/>
  <c r="P3147" i="210"/>
  <c r="Q3147" i="210"/>
  <c r="D3148" i="210"/>
  <c r="K3148" i="210"/>
  <c r="L3148" i="210"/>
  <c r="N3148" i="210"/>
  <c r="P3148" i="210"/>
  <c r="Q3148" i="210"/>
  <c r="D3149" i="210"/>
  <c r="K3149" i="210"/>
  <c r="L3149" i="210"/>
  <c r="N3149" i="210"/>
  <c r="P3149" i="210"/>
  <c r="Q3149" i="210"/>
  <c r="D3150" i="210"/>
  <c r="K3150" i="210"/>
  <c r="L3150" i="210"/>
  <c r="N3150" i="210"/>
  <c r="P3150" i="210"/>
  <c r="Q3150" i="210"/>
  <c r="D3151" i="210"/>
  <c r="K3151" i="210"/>
  <c r="L3151" i="210"/>
  <c r="N3151" i="210"/>
  <c r="P3151" i="210"/>
  <c r="Q3151" i="210"/>
  <c r="D3152" i="210"/>
  <c r="K3152" i="210"/>
  <c r="L3152" i="210"/>
  <c r="N3152" i="210"/>
  <c r="P3152" i="210"/>
  <c r="Q3152" i="210"/>
  <c r="D3153" i="210"/>
  <c r="K3153" i="210"/>
  <c r="L3153" i="210"/>
  <c r="N3153" i="210"/>
  <c r="P3153" i="210"/>
  <c r="Q3153" i="210"/>
  <c r="D3154" i="210"/>
  <c r="K3154" i="210"/>
  <c r="L3154" i="210"/>
  <c r="N3154" i="210"/>
  <c r="P3154" i="210"/>
  <c r="Q3154" i="210"/>
  <c r="D3155" i="210"/>
  <c r="K3155" i="210"/>
  <c r="L3155" i="210"/>
  <c r="N3155" i="210"/>
  <c r="P3155" i="210"/>
  <c r="Q3155" i="210"/>
  <c r="D3156" i="210"/>
  <c r="K3156" i="210"/>
  <c r="L3156" i="210"/>
  <c r="N3156" i="210"/>
  <c r="P3156" i="210"/>
  <c r="Q3156" i="210"/>
  <c r="D3157" i="210"/>
  <c r="K3157" i="210"/>
  <c r="L3157" i="210"/>
  <c r="N3157" i="210"/>
  <c r="P3157" i="210"/>
  <c r="Q3157" i="210"/>
  <c r="D3158" i="210"/>
  <c r="K3158" i="210"/>
  <c r="L3158" i="210"/>
  <c r="N3158" i="210"/>
  <c r="P3158" i="210"/>
  <c r="Q3158" i="210"/>
  <c r="D3159" i="210"/>
  <c r="K3159" i="210"/>
  <c r="L3159" i="210"/>
  <c r="N3159" i="210"/>
  <c r="P3159" i="210"/>
  <c r="Q3159" i="210"/>
  <c r="D3160" i="210"/>
  <c r="K3160" i="210"/>
  <c r="L3160" i="210"/>
  <c r="N3160" i="210"/>
  <c r="P3160" i="210"/>
  <c r="Q3160" i="210"/>
  <c r="D3161" i="210"/>
  <c r="K3161" i="210"/>
  <c r="L3161" i="210"/>
  <c r="N3161" i="210"/>
  <c r="P3161" i="210"/>
  <c r="Q3161" i="210"/>
  <c r="D3162" i="210"/>
  <c r="K3162" i="210"/>
  <c r="L3162" i="210"/>
  <c r="N3162" i="210"/>
  <c r="P3162" i="210"/>
  <c r="Q3162" i="210"/>
  <c r="D3163" i="210"/>
  <c r="K3163" i="210"/>
  <c r="L3163" i="210"/>
  <c r="N3163" i="210"/>
  <c r="P3163" i="210"/>
  <c r="Q3163" i="210"/>
  <c r="D3164" i="210"/>
  <c r="K3164" i="210"/>
  <c r="L3164" i="210"/>
  <c r="N3164" i="210"/>
  <c r="P3164" i="210"/>
  <c r="Q3164" i="210"/>
  <c r="D3165" i="210"/>
  <c r="K3165" i="210"/>
  <c r="L3165" i="210"/>
  <c r="N3165" i="210"/>
  <c r="P3165" i="210"/>
  <c r="Q3165" i="210"/>
  <c r="D3166" i="210"/>
  <c r="K3166" i="210"/>
  <c r="L3166" i="210"/>
  <c r="N3166" i="210"/>
  <c r="P3166" i="210"/>
  <c r="Q3166" i="210"/>
  <c r="D3167" i="210"/>
  <c r="K3167" i="210"/>
  <c r="L3167" i="210"/>
  <c r="N3167" i="210"/>
  <c r="P3167" i="210"/>
  <c r="Q3167" i="210"/>
  <c r="D3168" i="210"/>
  <c r="K3168" i="210"/>
  <c r="L3168" i="210"/>
  <c r="N3168" i="210"/>
  <c r="P3168" i="210"/>
  <c r="Q3168" i="210"/>
  <c r="D3169" i="210"/>
  <c r="K3169" i="210"/>
  <c r="L3169" i="210"/>
  <c r="N3169" i="210"/>
  <c r="P3169" i="210"/>
  <c r="Q3169" i="210"/>
  <c r="D3170" i="210"/>
  <c r="K3170" i="210"/>
  <c r="L3170" i="210"/>
  <c r="N3170" i="210"/>
  <c r="P3170" i="210"/>
  <c r="Q3170" i="210"/>
  <c r="D3171" i="210"/>
  <c r="K3171" i="210"/>
  <c r="L3171" i="210"/>
  <c r="N3171" i="210"/>
  <c r="P3171" i="210"/>
  <c r="Q3171" i="210"/>
  <c r="D3172" i="210"/>
  <c r="K3172" i="210"/>
  <c r="L3172" i="210"/>
  <c r="N3172" i="210"/>
  <c r="P3172" i="210"/>
  <c r="Q3172" i="210"/>
  <c r="D3173" i="210"/>
  <c r="K3173" i="210"/>
  <c r="L3173" i="210"/>
  <c r="N3173" i="210"/>
  <c r="P3173" i="210"/>
  <c r="Q3173" i="210"/>
  <c r="D3174" i="210"/>
  <c r="K3174" i="210"/>
  <c r="L3174" i="210"/>
  <c r="N3174" i="210"/>
  <c r="P3174" i="210"/>
  <c r="Q3174" i="210"/>
  <c r="D3175" i="210"/>
  <c r="K3175" i="210"/>
  <c r="L3175" i="210"/>
  <c r="N3175" i="210"/>
  <c r="P3175" i="210"/>
  <c r="Q3175" i="210"/>
  <c r="D3176" i="210"/>
  <c r="K3176" i="210"/>
  <c r="L3176" i="210"/>
  <c r="N3176" i="210"/>
  <c r="P3176" i="210"/>
  <c r="Q3176" i="210"/>
  <c r="D3177" i="210"/>
  <c r="K3177" i="210"/>
  <c r="L3177" i="210"/>
  <c r="N3177" i="210"/>
  <c r="P3177" i="210"/>
  <c r="Q3177" i="210"/>
  <c r="D3178" i="210"/>
  <c r="K3178" i="210"/>
  <c r="L3178" i="210"/>
  <c r="N3178" i="210"/>
  <c r="P3178" i="210"/>
  <c r="Q3178" i="210"/>
  <c r="D3179" i="210"/>
  <c r="K3179" i="210"/>
  <c r="L3179" i="210"/>
  <c r="N3179" i="210"/>
  <c r="P3179" i="210"/>
  <c r="Q3179" i="210"/>
  <c r="D3180" i="210"/>
  <c r="K3180" i="210"/>
  <c r="L3180" i="210"/>
  <c r="N3180" i="210"/>
  <c r="P3180" i="210"/>
  <c r="Q3180" i="210"/>
  <c r="D3181" i="210"/>
  <c r="K3181" i="210"/>
  <c r="L3181" i="210"/>
  <c r="N3181" i="210"/>
  <c r="P3181" i="210"/>
  <c r="Q3181" i="210"/>
  <c r="D3182" i="210"/>
  <c r="K3182" i="210"/>
  <c r="L3182" i="210"/>
  <c r="N3182" i="210"/>
  <c r="P3182" i="210"/>
  <c r="Q3182" i="210"/>
  <c r="D3183" i="210"/>
  <c r="K3183" i="210"/>
  <c r="L3183" i="210"/>
  <c r="N3183" i="210"/>
  <c r="P3183" i="210"/>
  <c r="Q3183" i="210"/>
  <c r="D3184" i="210"/>
  <c r="K3184" i="210"/>
  <c r="L3184" i="210"/>
  <c r="N3184" i="210"/>
  <c r="P3184" i="210"/>
  <c r="Q3184" i="210"/>
  <c r="D3185" i="210"/>
  <c r="K3185" i="210"/>
  <c r="L3185" i="210"/>
  <c r="N3185" i="210"/>
  <c r="P3185" i="210"/>
  <c r="Q3185" i="210"/>
  <c r="C3188" i="210"/>
  <c r="C3189" i="210" s="1"/>
  <c r="C3190" i="210" s="1"/>
  <c r="E3188" i="210"/>
  <c r="E3189" i="210" s="1"/>
  <c r="E3190" i="210" s="1"/>
  <c r="E3192" i="210" s="1"/>
  <c r="E3194" i="210" s="1"/>
  <c r="E3196" i="210" s="1"/>
  <c r="E3198" i="210" s="1"/>
  <c r="E3200" i="210" s="1"/>
  <c r="E3202" i="210" s="1"/>
  <c r="E3204" i="210" s="1"/>
  <c r="E3206" i="210" s="1"/>
  <c r="E3208" i="210" s="1"/>
  <c r="E3210" i="210" s="1"/>
  <c r="E3212" i="210" s="1"/>
  <c r="E3214" i="210" s="1"/>
  <c r="E3216" i="210" s="1"/>
  <c r="E3218" i="210" s="1"/>
  <c r="E3220" i="210" s="1"/>
  <c r="E3222" i="210" s="1"/>
  <c r="E3224" i="210" s="1"/>
  <c r="E3226" i="210" s="1"/>
  <c r="E3228" i="210" s="1"/>
  <c r="E3230" i="210" s="1"/>
  <c r="E3232" i="210" s="1"/>
  <c r="E3234" i="210" s="1"/>
  <c r="E3236" i="210" s="1"/>
  <c r="E3238" i="210" s="1"/>
  <c r="E3240" i="210" s="1"/>
  <c r="E3242" i="210" s="1"/>
  <c r="H3188" i="210"/>
  <c r="I3188" i="210"/>
  <c r="J3188" i="210"/>
  <c r="I3189" i="210"/>
  <c r="I3190" i="210"/>
  <c r="D3192" i="210"/>
  <c r="K3192" i="210"/>
  <c r="L3192" i="210"/>
  <c r="N3192" i="210"/>
  <c r="P3192" i="210"/>
  <c r="Q3192" i="210"/>
  <c r="D3193" i="210"/>
  <c r="E3193" i="210"/>
  <c r="E3195" i="210" s="1"/>
  <c r="E3197" i="210" s="1"/>
  <c r="E3199" i="210" s="1"/>
  <c r="E3201" i="210" s="1"/>
  <c r="E3203" i="210" s="1"/>
  <c r="E3205" i="210" s="1"/>
  <c r="E3207" i="210" s="1"/>
  <c r="E3209" i="210" s="1"/>
  <c r="E3211" i="210" s="1"/>
  <c r="E3213" i="210" s="1"/>
  <c r="E3215" i="210" s="1"/>
  <c r="E3217" i="210" s="1"/>
  <c r="E3219" i="210" s="1"/>
  <c r="E3221" i="210" s="1"/>
  <c r="E3223" i="210" s="1"/>
  <c r="E3225" i="210" s="1"/>
  <c r="E3227" i="210" s="1"/>
  <c r="E3229" i="210" s="1"/>
  <c r="E3231" i="210" s="1"/>
  <c r="E3233" i="210" s="1"/>
  <c r="E3235" i="210" s="1"/>
  <c r="E3237" i="210" s="1"/>
  <c r="E3239" i="210" s="1"/>
  <c r="E3241" i="210" s="1"/>
  <c r="E3243" i="210" s="1"/>
  <c r="K3193" i="210"/>
  <c r="L3193" i="210"/>
  <c r="N3193" i="210"/>
  <c r="P3193" i="210"/>
  <c r="Q3193" i="210"/>
  <c r="D3194" i="210"/>
  <c r="K3194" i="210"/>
  <c r="L3194" i="210"/>
  <c r="N3194" i="210"/>
  <c r="P3194" i="210"/>
  <c r="Q3194" i="210"/>
  <c r="D3195" i="210"/>
  <c r="K3195" i="210"/>
  <c r="L3195" i="210"/>
  <c r="N3195" i="210"/>
  <c r="P3195" i="210"/>
  <c r="Q3195" i="210"/>
  <c r="D3196" i="210"/>
  <c r="K3196" i="210"/>
  <c r="L3196" i="210"/>
  <c r="N3196" i="210"/>
  <c r="P3196" i="210"/>
  <c r="Q3196" i="210"/>
  <c r="D3197" i="210"/>
  <c r="K3197" i="210"/>
  <c r="L3197" i="210"/>
  <c r="N3197" i="210"/>
  <c r="P3197" i="210"/>
  <c r="Q3197" i="210"/>
  <c r="D3198" i="210"/>
  <c r="K3198" i="210"/>
  <c r="L3198" i="210"/>
  <c r="N3198" i="210"/>
  <c r="P3198" i="210"/>
  <c r="Q3198" i="210"/>
  <c r="D3199" i="210"/>
  <c r="K3199" i="210"/>
  <c r="L3199" i="210"/>
  <c r="N3199" i="210"/>
  <c r="P3199" i="210"/>
  <c r="Q3199" i="210"/>
  <c r="D3200" i="210"/>
  <c r="K3200" i="210"/>
  <c r="L3200" i="210"/>
  <c r="N3200" i="210"/>
  <c r="P3200" i="210"/>
  <c r="Q3200" i="210"/>
  <c r="D3201" i="210"/>
  <c r="K3201" i="210"/>
  <c r="L3201" i="210"/>
  <c r="N3201" i="210"/>
  <c r="P3201" i="210"/>
  <c r="Q3201" i="210"/>
  <c r="D3202" i="210"/>
  <c r="K3202" i="210"/>
  <c r="L3202" i="210"/>
  <c r="N3202" i="210"/>
  <c r="P3202" i="210"/>
  <c r="Q3202" i="210"/>
  <c r="D3203" i="210"/>
  <c r="K3203" i="210"/>
  <c r="L3203" i="210"/>
  <c r="N3203" i="210"/>
  <c r="P3203" i="210"/>
  <c r="Q3203" i="210"/>
  <c r="D3204" i="210"/>
  <c r="K3204" i="210"/>
  <c r="L3204" i="210"/>
  <c r="N3204" i="210"/>
  <c r="P3204" i="210"/>
  <c r="Q3204" i="210"/>
  <c r="D3205" i="210"/>
  <c r="K3205" i="210"/>
  <c r="L3205" i="210"/>
  <c r="N3205" i="210"/>
  <c r="P3205" i="210"/>
  <c r="Q3205" i="210"/>
  <c r="D3206" i="210"/>
  <c r="K3206" i="210"/>
  <c r="L3206" i="210"/>
  <c r="N3206" i="210"/>
  <c r="P3206" i="210"/>
  <c r="Q3206" i="210"/>
  <c r="D3207" i="210"/>
  <c r="K3207" i="210"/>
  <c r="L3207" i="210"/>
  <c r="N3207" i="210"/>
  <c r="P3207" i="210"/>
  <c r="Q3207" i="210"/>
  <c r="D3208" i="210"/>
  <c r="K3208" i="210"/>
  <c r="L3208" i="210"/>
  <c r="N3208" i="210"/>
  <c r="P3208" i="210"/>
  <c r="Q3208" i="210"/>
  <c r="D3209" i="210"/>
  <c r="K3209" i="210"/>
  <c r="L3209" i="210"/>
  <c r="N3209" i="210"/>
  <c r="P3209" i="210"/>
  <c r="Q3209" i="210"/>
  <c r="D3210" i="210"/>
  <c r="K3210" i="210"/>
  <c r="L3210" i="210"/>
  <c r="N3210" i="210"/>
  <c r="P3210" i="210"/>
  <c r="Q3210" i="210"/>
  <c r="D3211" i="210"/>
  <c r="K3211" i="210"/>
  <c r="L3211" i="210"/>
  <c r="N3211" i="210"/>
  <c r="P3211" i="210"/>
  <c r="Q3211" i="210"/>
  <c r="D3212" i="210"/>
  <c r="K3212" i="210"/>
  <c r="L3212" i="210"/>
  <c r="N3212" i="210"/>
  <c r="P3212" i="210"/>
  <c r="Q3212" i="210"/>
  <c r="D3213" i="210"/>
  <c r="K3213" i="210"/>
  <c r="L3213" i="210"/>
  <c r="N3213" i="210"/>
  <c r="P3213" i="210"/>
  <c r="Q3213" i="210"/>
  <c r="D3214" i="210"/>
  <c r="K3214" i="210"/>
  <c r="L3214" i="210"/>
  <c r="N3214" i="210"/>
  <c r="P3214" i="210"/>
  <c r="Q3214" i="210"/>
  <c r="D3215" i="210"/>
  <c r="K3215" i="210"/>
  <c r="L3215" i="210"/>
  <c r="N3215" i="210"/>
  <c r="P3215" i="210"/>
  <c r="Q3215" i="210"/>
  <c r="D3216" i="210"/>
  <c r="K3216" i="210"/>
  <c r="L3216" i="210"/>
  <c r="N3216" i="210"/>
  <c r="P3216" i="210"/>
  <c r="Q3216" i="210"/>
  <c r="D3217" i="210"/>
  <c r="K3217" i="210"/>
  <c r="L3217" i="210"/>
  <c r="N3217" i="210"/>
  <c r="P3217" i="210"/>
  <c r="Q3217" i="210"/>
  <c r="D3218" i="210"/>
  <c r="K3218" i="210"/>
  <c r="L3218" i="210"/>
  <c r="N3218" i="210"/>
  <c r="P3218" i="210"/>
  <c r="Q3218" i="210"/>
  <c r="D3219" i="210"/>
  <c r="K3219" i="210"/>
  <c r="L3219" i="210"/>
  <c r="N3219" i="210"/>
  <c r="P3219" i="210"/>
  <c r="Q3219" i="210"/>
  <c r="D3220" i="210"/>
  <c r="K3220" i="210"/>
  <c r="L3220" i="210"/>
  <c r="N3220" i="210"/>
  <c r="P3220" i="210"/>
  <c r="Q3220" i="210"/>
  <c r="D3221" i="210"/>
  <c r="K3221" i="210"/>
  <c r="L3221" i="210"/>
  <c r="N3221" i="210"/>
  <c r="P3221" i="210"/>
  <c r="Q3221" i="210"/>
  <c r="D3222" i="210"/>
  <c r="K3222" i="210"/>
  <c r="L3222" i="210"/>
  <c r="N3222" i="210"/>
  <c r="P3222" i="210"/>
  <c r="Q3222" i="210"/>
  <c r="D3223" i="210"/>
  <c r="K3223" i="210"/>
  <c r="L3223" i="210"/>
  <c r="N3223" i="210"/>
  <c r="P3223" i="210"/>
  <c r="Q3223" i="210"/>
  <c r="D3224" i="210"/>
  <c r="K3224" i="210"/>
  <c r="L3224" i="210"/>
  <c r="N3224" i="210"/>
  <c r="P3224" i="210"/>
  <c r="Q3224" i="210"/>
  <c r="D3225" i="210"/>
  <c r="K3225" i="210"/>
  <c r="L3225" i="210"/>
  <c r="N3225" i="210"/>
  <c r="P3225" i="210"/>
  <c r="Q3225" i="210"/>
  <c r="D3226" i="210"/>
  <c r="K3226" i="210"/>
  <c r="L3226" i="210"/>
  <c r="N3226" i="210"/>
  <c r="P3226" i="210"/>
  <c r="Q3226" i="210"/>
  <c r="D3227" i="210"/>
  <c r="K3227" i="210"/>
  <c r="L3227" i="210"/>
  <c r="N3227" i="210"/>
  <c r="P3227" i="210"/>
  <c r="Q3227" i="210"/>
  <c r="D3228" i="210"/>
  <c r="K3228" i="210"/>
  <c r="L3228" i="210"/>
  <c r="N3228" i="210"/>
  <c r="P3228" i="210"/>
  <c r="Q3228" i="210"/>
  <c r="D3229" i="210"/>
  <c r="K3229" i="210"/>
  <c r="L3229" i="210"/>
  <c r="N3229" i="210"/>
  <c r="P3229" i="210"/>
  <c r="Q3229" i="210"/>
  <c r="D3230" i="210"/>
  <c r="K3230" i="210"/>
  <c r="L3230" i="210"/>
  <c r="N3230" i="210"/>
  <c r="P3230" i="210"/>
  <c r="Q3230" i="210"/>
  <c r="D3231" i="210"/>
  <c r="K3231" i="210"/>
  <c r="L3231" i="210"/>
  <c r="N3231" i="210"/>
  <c r="P3231" i="210"/>
  <c r="Q3231" i="210"/>
  <c r="D3232" i="210"/>
  <c r="K3232" i="210"/>
  <c r="L3232" i="210"/>
  <c r="N3232" i="210"/>
  <c r="P3232" i="210"/>
  <c r="Q3232" i="210"/>
  <c r="D3233" i="210"/>
  <c r="K3233" i="210"/>
  <c r="L3233" i="210"/>
  <c r="N3233" i="210"/>
  <c r="P3233" i="210"/>
  <c r="Q3233" i="210"/>
  <c r="D3234" i="210"/>
  <c r="K3234" i="210"/>
  <c r="L3234" i="210"/>
  <c r="N3234" i="210"/>
  <c r="P3234" i="210"/>
  <c r="Q3234" i="210"/>
  <c r="D3235" i="210"/>
  <c r="K3235" i="210"/>
  <c r="L3235" i="210"/>
  <c r="N3235" i="210"/>
  <c r="P3235" i="210"/>
  <c r="Q3235" i="210"/>
  <c r="D3236" i="210"/>
  <c r="K3236" i="210"/>
  <c r="L3236" i="210"/>
  <c r="N3236" i="210"/>
  <c r="P3236" i="210"/>
  <c r="Q3236" i="210"/>
  <c r="D3237" i="210"/>
  <c r="K3237" i="210"/>
  <c r="L3237" i="210"/>
  <c r="N3237" i="210"/>
  <c r="P3237" i="210"/>
  <c r="Q3237" i="210"/>
  <c r="D3238" i="210"/>
  <c r="K3238" i="210"/>
  <c r="L3238" i="210"/>
  <c r="N3238" i="210"/>
  <c r="P3238" i="210"/>
  <c r="Q3238" i="210"/>
  <c r="D3239" i="210"/>
  <c r="K3239" i="210"/>
  <c r="L3239" i="210"/>
  <c r="N3239" i="210"/>
  <c r="P3239" i="210"/>
  <c r="Q3239" i="210"/>
  <c r="D3240" i="210"/>
  <c r="K3240" i="210"/>
  <c r="L3240" i="210"/>
  <c r="N3240" i="210"/>
  <c r="P3240" i="210"/>
  <c r="Q3240" i="210"/>
  <c r="D3241" i="210"/>
  <c r="K3241" i="210"/>
  <c r="L3241" i="210"/>
  <c r="N3241" i="210"/>
  <c r="P3241" i="210"/>
  <c r="Q3241" i="210"/>
  <c r="D3242" i="210"/>
  <c r="K3242" i="210"/>
  <c r="L3242" i="210"/>
  <c r="N3242" i="210"/>
  <c r="P3242" i="210"/>
  <c r="Q3242" i="210"/>
  <c r="D3243" i="210"/>
  <c r="K3243" i="210"/>
  <c r="L3243" i="210"/>
  <c r="N3243" i="210"/>
  <c r="P3243" i="210"/>
  <c r="Q3243" i="210"/>
  <c r="C3246" i="210"/>
  <c r="C3247" i="210" s="1"/>
  <c r="C3248" i="210" s="1"/>
  <c r="E3246" i="210"/>
  <c r="E3247" i="210" s="1"/>
  <c r="E3248" i="210" s="1"/>
  <c r="E3250" i="210" s="1"/>
  <c r="E3252" i="210" s="1"/>
  <c r="E3254" i="210" s="1"/>
  <c r="E3256" i="210" s="1"/>
  <c r="E3258" i="210" s="1"/>
  <c r="E3260" i="210" s="1"/>
  <c r="E3262" i="210" s="1"/>
  <c r="E3264" i="210" s="1"/>
  <c r="E3266" i="210" s="1"/>
  <c r="E3268" i="210" s="1"/>
  <c r="E3270" i="210" s="1"/>
  <c r="E3272" i="210" s="1"/>
  <c r="E3274" i="210" s="1"/>
  <c r="E3276" i="210" s="1"/>
  <c r="E3278" i="210" s="1"/>
  <c r="E3280" i="210" s="1"/>
  <c r="E3282" i="210" s="1"/>
  <c r="E3284" i="210" s="1"/>
  <c r="E3286" i="210" s="1"/>
  <c r="E3288" i="210" s="1"/>
  <c r="E3290" i="210" s="1"/>
  <c r="E3292" i="210" s="1"/>
  <c r="E3294" i="210" s="1"/>
  <c r="E3296" i="210" s="1"/>
  <c r="E3298" i="210" s="1"/>
  <c r="E3300" i="210" s="1"/>
  <c r="E3302" i="210" s="1"/>
  <c r="E3304" i="210" s="1"/>
  <c r="E3306" i="210" s="1"/>
  <c r="E3308" i="210" s="1"/>
  <c r="E3310" i="210" s="1"/>
  <c r="E3312" i="210" s="1"/>
  <c r="E3314" i="210" s="1"/>
  <c r="E3316" i="210" s="1"/>
  <c r="E3318" i="210" s="1"/>
  <c r="E3320" i="210" s="1"/>
  <c r="E3322" i="210" s="1"/>
  <c r="E3324" i="210" s="1"/>
  <c r="E3326" i="210" s="1"/>
  <c r="E3328" i="210" s="1"/>
  <c r="E3330" i="210" s="1"/>
  <c r="E3332" i="210" s="1"/>
  <c r="E3334" i="210" s="1"/>
  <c r="E3336" i="210" s="1"/>
  <c r="E3338" i="210" s="1"/>
  <c r="E3340" i="210" s="1"/>
  <c r="E3342" i="210" s="1"/>
  <c r="H3246" i="210"/>
  <c r="I3246" i="210"/>
  <c r="J3246" i="210"/>
  <c r="I3247" i="210"/>
  <c r="I3248" i="210"/>
  <c r="D3250" i="210"/>
  <c r="K3250" i="210"/>
  <c r="L3250" i="210"/>
  <c r="N3250" i="210"/>
  <c r="P3250" i="210"/>
  <c r="Q3250" i="210"/>
  <c r="D3251" i="210"/>
  <c r="E3251" i="210"/>
  <c r="E3253" i="210" s="1"/>
  <c r="E3255" i="210" s="1"/>
  <c r="E3257" i="210" s="1"/>
  <c r="K3251" i="210"/>
  <c r="L3251" i="210"/>
  <c r="N3251" i="210"/>
  <c r="P3251" i="210"/>
  <c r="Q3251" i="210"/>
  <c r="D3252" i="210"/>
  <c r="K3252" i="210"/>
  <c r="L3252" i="210"/>
  <c r="N3252" i="210"/>
  <c r="P3252" i="210"/>
  <c r="Q3252" i="210"/>
  <c r="D3253" i="210"/>
  <c r="K3253" i="210"/>
  <c r="L3253" i="210"/>
  <c r="N3253" i="210"/>
  <c r="P3253" i="210"/>
  <c r="Q3253" i="210"/>
  <c r="D3254" i="210"/>
  <c r="K3254" i="210"/>
  <c r="L3254" i="210"/>
  <c r="N3254" i="210"/>
  <c r="P3254" i="210"/>
  <c r="Q3254" i="210"/>
  <c r="D3255" i="210"/>
  <c r="K3255" i="210"/>
  <c r="L3255" i="210"/>
  <c r="N3255" i="210"/>
  <c r="P3255" i="210"/>
  <c r="Q3255" i="210"/>
  <c r="D3256" i="210"/>
  <c r="K3256" i="210"/>
  <c r="L3256" i="210"/>
  <c r="N3256" i="210"/>
  <c r="P3256" i="210"/>
  <c r="Q3256" i="210"/>
  <c r="D3257" i="210"/>
  <c r="K3257" i="210"/>
  <c r="L3257" i="210"/>
  <c r="N3257" i="210"/>
  <c r="P3257" i="210"/>
  <c r="Q3257" i="210"/>
  <c r="D3258" i="210"/>
  <c r="K3258" i="210"/>
  <c r="L3258" i="210"/>
  <c r="N3258" i="210"/>
  <c r="P3258" i="210"/>
  <c r="Q3258" i="210"/>
  <c r="D3259" i="210"/>
  <c r="E3259" i="210"/>
  <c r="E3261" i="210" s="1"/>
  <c r="E3263" i="210" s="1"/>
  <c r="E3265" i="210" s="1"/>
  <c r="E3267" i="210" s="1"/>
  <c r="E3269" i="210" s="1"/>
  <c r="E3271" i="210" s="1"/>
  <c r="E3273" i="210" s="1"/>
  <c r="E3275" i="210" s="1"/>
  <c r="E3277" i="210" s="1"/>
  <c r="E3279" i="210" s="1"/>
  <c r="E3281" i="210" s="1"/>
  <c r="E3283" i="210" s="1"/>
  <c r="E3285" i="210" s="1"/>
  <c r="E3287" i="210" s="1"/>
  <c r="E3289" i="210" s="1"/>
  <c r="E3291" i="210" s="1"/>
  <c r="E3293" i="210" s="1"/>
  <c r="E3295" i="210" s="1"/>
  <c r="E3297" i="210" s="1"/>
  <c r="E3299" i="210" s="1"/>
  <c r="E3301" i="210" s="1"/>
  <c r="E3303" i="210" s="1"/>
  <c r="E3305" i="210" s="1"/>
  <c r="E3307" i="210" s="1"/>
  <c r="E3309" i="210" s="1"/>
  <c r="E3311" i="210" s="1"/>
  <c r="E3313" i="210" s="1"/>
  <c r="E3315" i="210" s="1"/>
  <c r="E3317" i="210" s="1"/>
  <c r="E3319" i="210" s="1"/>
  <c r="E3321" i="210" s="1"/>
  <c r="E3323" i="210" s="1"/>
  <c r="E3325" i="210" s="1"/>
  <c r="E3327" i="210" s="1"/>
  <c r="E3329" i="210" s="1"/>
  <c r="E3331" i="210" s="1"/>
  <c r="E3333" i="210" s="1"/>
  <c r="E3335" i="210" s="1"/>
  <c r="E3337" i="210" s="1"/>
  <c r="E3339" i="210" s="1"/>
  <c r="E3341" i="210" s="1"/>
  <c r="E3343" i="210" s="1"/>
  <c r="E3345" i="210" s="1"/>
  <c r="E3347" i="210" s="1"/>
  <c r="E3349" i="210" s="1"/>
  <c r="E3351" i="210" s="1"/>
  <c r="E3353" i="210" s="1"/>
  <c r="E3355" i="210" s="1"/>
  <c r="E3357" i="210" s="1"/>
  <c r="E3359" i="210" s="1"/>
  <c r="E3361" i="210" s="1"/>
  <c r="E3363" i="210" s="1"/>
  <c r="E3365" i="210" s="1"/>
  <c r="E3367" i="210" s="1"/>
  <c r="E3369" i="210" s="1"/>
  <c r="E3371" i="210" s="1"/>
  <c r="E3373" i="210" s="1"/>
  <c r="E3375" i="210" s="1"/>
  <c r="E3377" i="210" s="1"/>
  <c r="E3379" i="210" s="1"/>
  <c r="E3381" i="210" s="1"/>
  <c r="E3383" i="210" s="1"/>
  <c r="E3385" i="210" s="1"/>
  <c r="E3387" i="210" s="1"/>
  <c r="E3389" i="210" s="1"/>
  <c r="E3391" i="210" s="1"/>
  <c r="E3393" i="210" s="1"/>
  <c r="E3395" i="210" s="1"/>
  <c r="E3397" i="210" s="1"/>
  <c r="E3399" i="210" s="1"/>
  <c r="E3401" i="210" s="1"/>
  <c r="E3403" i="210" s="1"/>
  <c r="E3405" i="210" s="1"/>
  <c r="E3407" i="210" s="1"/>
  <c r="E3409" i="210" s="1"/>
  <c r="E3411" i="210" s="1"/>
  <c r="E3413" i="210" s="1"/>
  <c r="E3415" i="210" s="1"/>
  <c r="E3417" i="210" s="1"/>
  <c r="E3419" i="210" s="1"/>
  <c r="E3421" i="210" s="1"/>
  <c r="E3423" i="210" s="1"/>
  <c r="E3425" i="210" s="1"/>
  <c r="E3427" i="210" s="1"/>
  <c r="E3429" i="210" s="1"/>
  <c r="E3431" i="210" s="1"/>
  <c r="E3433" i="210" s="1"/>
  <c r="E3435" i="210" s="1"/>
  <c r="E3437" i="210" s="1"/>
  <c r="E3439" i="210" s="1"/>
  <c r="E3441" i="210" s="1"/>
  <c r="E3443" i="210" s="1"/>
  <c r="E3445" i="210" s="1"/>
  <c r="E3447" i="210" s="1"/>
  <c r="E3449" i="210" s="1"/>
  <c r="K3259" i="210"/>
  <c r="L3259" i="210"/>
  <c r="N3259" i="210"/>
  <c r="P3259" i="210"/>
  <c r="Q3259" i="210"/>
  <c r="D3260" i="210"/>
  <c r="K3260" i="210"/>
  <c r="L3260" i="210"/>
  <c r="N3260" i="210"/>
  <c r="P3260" i="210"/>
  <c r="Q3260" i="210"/>
  <c r="D3261" i="210"/>
  <c r="K3261" i="210"/>
  <c r="L3261" i="210"/>
  <c r="N3261" i="210"/>
  <c r="P3261" i="210"/>
  <c r="Q3261" i="210"/>
  <c r="D3262" i="210"/>
  <c r="K3262" i="210"/>
  <c r="L3262" i="210"/>
  <c r="N3262" i="210"/>
  <c r="P3262" i="210"/>
  <c r="Q3262" i="210"/>
  <c r="D3263" i="210"/>
  <c r="K3263" i="210"/>
  <c r="L3263" i="210"/>
  <c r="N3263" i="210"/>
  <c r="P3263" i="210"/>
  <c r="Q3263" i="210"/>
  <c r="D3264" i="210"/>
  <c r="K3264" i="210"/>
  <c r="L3264" i="210"/>
  <c r="N3264" i="210"/>
  <c r="P3264" i="210"/>
  <c r="Q3264" i="210"/>
  <c r="D3265" i="210"/>
  <c r="K3265" i="210"/>
  <c r="L3265" i="210"/>
  <c r="N3265" i="210"/>
  <c r="P3265" i="210"/>
  <c r="Q3265" i="210"/>
  <c r="D3266" i="210"/>
  <c r="K3266" i="210"/>
  <c r="L3266" i="210"/>
  <c r="N3266" i="210"/>
  <c r="P3266" i="210"/>
  <c r="Q3266" i="210"/>
  <c r="D3267" i="210"/>
  <c r="K3267" i="210"/>
  <c r="L3267" i="210"/>
  <c r="N3267" i="210"/>
  <c r="P3267" i="210"/>
  <c r="Q3267" i="210"/>
  <c r="D3268" i="210"/>
  <c r="K3268" i="210"/>
  <c r="L3268" i="210"/>
  <c r="N3268" i="210"/>
  <c r="P3268" i="210"/>
  <c r="Q3268" i="210"/>
  <c r="D3269" i="210"/>
  <c r="K3269" i="210"/>
  <c r="L3269" i="210"/>
  <c r="N3269" i="210"/>
  <c r="P3269" i="210"/>
  <c r="Q3269" i="210"/>
  <c r="D3270" i="210"/>
  <c r="K3270" i="210"/>
  <c r="L3270" i="210"/>
  <c r="N3270" i="210"/>
  <c r="P3270" i="210"/>
  <c r="Q3270" i="210"/>
  <c r="D3271" i="210"/>
  <c r="K3271" i="210"/>
  <c r="L3271" i="210"/>
  <c r="N3271" i="210"/>
  <c r="P3271" i="210"/>
  <c r="Q3271" i="210"/>
  <c r="D3272" i="210"/>
  <c r="K3272" i="210"/>
  <c r="L3272" i="210"/>
  <c r="N3272" i="210"/>
  <c r="P3272" i="210"/>
  <c r="Q3272" i="210"/>
  <c r="D3273" i="210"/>
  <c r="K3273" i="210"/>
  <c r="L3273" i="210"/>
  <c r="N3273" i="210"/>
  <c r="P3273" i="210"/>
  <c r="Q3273" i="210"/>
  <c r="D3274" i="210"/>
  <c r="K3274" i="210"/>
  <c r="L3274" i="210"/>
  <c r="N3274" i="210"/>
  <c r="P3274" i="210"/>
  <c r="Q3274" i="210"/>
  <c r="D3275" i="210"/>
  <c r="K3275" i="210"/>
  <c r="L3275" i="210"/>
  <c r="N3275" i="210"/>
  <c r="P3275" i="210"/>
  <c r="Q3275" i="210"/>
  <c r="D3276" i="210"/>
  <c r="K3276" i="210"/>
  <c r="L3276" i="210"/>
  <c r="N3276" i="210"/>
  <c r="P3276" i="210"/>
  <c r="Q3276" i="210"/>
  <c r="D3277" i="210"/>
  <c r="K3277" i="210"/>
  <c r="L3277" i="210"/>
  <c r="N3277" i="210"/>
  <c r="P3277" i="210"/>
  <c r="Q3277" i="210"/>
  <c r="D3278" i="210"/>
  <c r="K3278" i="210"/>
  <c r="L3278" i="210"/>
  <c r="N3278" i="210"/>
  <c r="P3278" i="210"/>
  <c r="Q3278" i="210"/>
  <c r="D3279" i="210"/>
  <c r="K3279" i="210"/>
  <c r="L3279" i="210"/>
  <c r="N3279" i="210"/>
  <c r="P3279" i="210"/>
  <c r="Q3279" i="210"/>
  <c r="D3280" i="210"/>
  <c r="K3280" i="210"/>
  <c r="L3280" i="210"/>
  <c r="N3280" i="210"/>
  <c r="P3280" i="210"/>
  <c r="Q3280" i="210"/>
  <c r="D3281" i="210"/>
  <c r="K3281" i="210"/>
  <c r="L3281" i="210"/>
  <c r="N3281" i="210"/>
  <c r="P3281" i="210"/>
  <c r="Q3281" i="210"/>
  <c r="D3282" i="210"/>
  <c r="K3282" i="210"/>
  <c r="L3282" i="210"/>
  <c r="N3282" i="210"/>
  <c r="P3282" i="210"/>
  <c r="Q3282" i="210"/>
  <c r="D3283" i="210"/>
  <c r="K3283" i="210"/>
  <c r="L3283" i="210"/>
  <c r="N3283" i="210"/>
  <c r="P3283" i="210"/>
  <c r="Q3283" i="210"/>
  <c r="D3284" i="210"/>
  <c r="K3284" i="210"/>
  <c r="L3284" i="210"/>
  <c r="N3284" i="210"/>
  <c r="P3284" i="210"/>
  <c r="Q3284" i="210"/>
  <c r="D3285" i="210"/>
  <c r="K3285" i="210"/>
  <c r="L3285" i="210"/>
  <c r="N3285" i="210"/>
  <c r="P3285" i="210"/>
  <c r="Q3285" i="210"/>
  <c r="D3286" i="210"/>
  <c r="K3286" i="210"/>
  <c r="L3286" i="210"/>
  <c r="N3286" i="210"/>
  <c r="P3286" i="210"/>
  <c r="Q3286" i="210"/>
  <c r="D3287" i="210"/>
  <c r="K3287" i="210"/>
  <c r="L3287" i="210"/>
  <c r="N3287" i="210"/>
  <c r="P3287" i="210"/>
  <c r="Q3287" i="210"/>
  <c r="D3288" i="210"/>
  <c r="K3288" i="210"/>
  <c r="L3288" i="210"/>
  <c r="N3288" i="210"/>
  <c r="P3288" i="210"/>
  <c r="Q3288" i="210"/>
  <c r="D3289" i="210"/>
  <c r="K3289" i="210"/>
  <c r="L3289" i="210"/>
  <c r="N3289" i="210"/>
  <c r="P3289" i="210"/>
  <c r="Q3289" i="210"/>
  <c r="D3290" i="210"/>
  <c r="K3290" i="210"/>
  <c r="L3290" i="210"/>
  <c r="N3290" i="210"/>
  <c r="P3290" i="210"/>
  <c r="Q3290" i="210"/>
  <c r="D3291" i="210"/>
  <c r="K3291" i="210"/>
  <c r="L3291" i="210"/>
  <c r="N3291" i="210"/>
  <c r="P3291" i="210"/>
  <c r="Q3291" i="210"/>
  <c r="D3292" i="210"/>
  <c r="K3292" i="210"/>
  <c r="L3292" i="210"/>
  <c r="N3292" i="210"/>
  <c r="P3292" i="210"/>
  <c r="Q3292" i="210"/>
  <c r="D3293" i="210"/>
  <c r="K3293" i="210"/>
  <c r="L3293" i="210"/>
  <c r="N3293" i="210"/>
  <c r="P3293" i="210"/>
  <c r="Q3293" i="210"/>
  <c r="D3294" i="210"/>
  <c r="K3294" i="210"/>
  <c r="L3294" i="210"/>
  <c r="N3294" i="210"/>
  <c r="P3294" i="210"/>
  <c r="Q3294" i="210"/>
  <c r="D3295" i="210"/>
  <c r="K3295" i="210"/>
  <c r="L3295" i="210"/>
  <c r="N3295" i="210"/>
  <c r="P3295" i="210"/>
  <c r="Q3295" i="210"/>
  <c r="D3296" i="210"/>
  <c r="K3296" i="210"/>
  <c r="L3296" i="210"/>
  <c r="N3296" i="210"/>
  <c r="P3296" i="210"/>
  <c r="Q3296" i="210"/>
  <c r="D3297" i="210"/>
  <c r="K3297" i="210"/>
  <c r="L3297" i="210"/>
  <c r="N3297" i="210"/>
  <c r="P3297" i="210"/>
  <c r="Q3297" i="210"/>
  <c r="D3298" i="210"/>
  <c r="K3298" i="210"/>
  <c r="L3298" i="210"/>
  <c r="N3298" i="210"/>
  <c r="P3298" i="210"/>
  <c r="Q3298" i="210"/>
  <c r="D3299" i="210"/>
  <c r="K3299" i="210"/>
  <c r="L3299" i="210"/>
  <c r="N3299" i="210"/>
  <c r="P3299" i="210"/>
  <c r="Q3299" i="210"/>
  <c r="D3300" i="210"/>
  <c r="K3300" i="210"/>
  <c r="L3300" i="210"/>
  <c r="N3300" i="210"/>
  <c r="P3300" i="210"/>
  <c r="Q3300" i="210"/>
  <c r="D3301" i="210"/>
  <c r="K3301" i="210"/>
  <c r="L3301" i="210"/>
  <c r="N3301" i="210"/>
  <c r="P3301" i="210"/>
  <c r="Q3301" i="210"/>
  <c r="D3302" i="210"/>
  <c r="K3302" i="210"/>
  <c r="L3302" i="210"/>
  <c r="N3302" i="210"/>
  <c r="P3302" i="210"/>
  <c r="Q3302" i="210"/>
  <c r="D3303" i="210"/>
  <c r="K3303" i="210"/>
  <c r="L3303" i="210"/>
  <c r="N3303" i="210"/>
  <c r="P3303" i="210"/>
  <c r="Q3303" i="210"/>
  <c r="D3304" i="210"/>
  <c r="K3304" i="210"/>
  <c r="L3304" i="210"/>
  <c r="N3304" i="210"/>
  <c r="P3304" i="210"/>
  <c r="Q3304" i="210"/>
  <c r="D3305" i="210"/>
  <c r="K3305" i="210"/>
  <c r="L3305" i="210"/>
  <c r="N3305" i="210"/>
  <c r="P3305" i="210"/>
  <c r="Q3305" i="210"/>
  <c r="D3306" i="210"/>
  <c r="K3306" i="210"/>
  <c r="L3306" i="210"/>
  <c r="N3306" i="210"/>
  <c r="P3306" i="210"/>
  <c r="Q3306" i="210"/>
  <c r="D3307" i="210"/>
  <c r="K3307" i="210"/>
  <c r="L3307" i="210"/>
  <c r="N3307" i="210"/>
  <c r="P3307" i="210"/>
  <c r="Q3307" i="210"/>
  <c r="D3308" i="210"/>
  <c r="K3308" i="210"/>
  <c r="L3308" i="210"/>
  <c r="N3308" i="210"/>
  <c r="P3308" i="210"/>
  <c r="Q3308" i="210"/>
  <c r="D3309" i="210"/>
  <c r="K3309" i="210"/>
  <c r="L3309" i="210"/>
  <c r="N3309" i="210"/>
  <c r="P3309" i="210"/>
  <c r="Q3309" i="210"/>
  <c r="D3310" i="210"/>
  <c r="K3310" i="210"/>
  <c r="L3310" i="210"/>
  <c r="N3310" i="210"/>
  <c r="P3310" i="210"/>
  <c r="Q3310" i="210"/>
  <c r="D3311" i="210"/>
  <c r="K3311" i="210"/>
  <c r="L3311" i="210"/>
  <c r="N3311" i="210"/>
  <c r="P3311" i="210"/>
  <c r="Q3311" i="210"/>
  <c r="D3312" i="210"/>
  <c r="K3312" i="210"/>
  <c r="L3312" i="210"/>
  <c r="N3312" i="210"/>
  <c r="P3312" i="210"/>
  <c r="Q3312" i="210"/>
  <c r="D3313" i="210"/>
  <c r="K3313" i="210"/>
  <c r="L3313" i="210"/>
  <c r="N3313" i="210"/>
  <c r="P3313" i="210"/>
  <c r="Q3313" i="210"/>
  <c r="D3314" i="210"/>
  <c r="K3314" i="210"/>
  <c r="L3314" i="210"/>
  <c r="N3314" i="210"/>
  <c r="P3314" i="210"/>
  <c r="Q3314" i="210"/>
  <c r="D3315" i="210"/>
  <c r="K3315" i="210"/>
  <c r="L3315" i="210"/>
  <c r="N3315" i="210"/>
  <c r="P3315" i="210"/>
  <c r="Q3315" i="210"/>
  <c r="D3316" i="210"/>
  <c r="K3316" i="210"/>
  <c r="L3316" i="210"/>
  <c r="N3316" i="210"/>
  <c r="P3316" i="210"/>
  <c r="Q3316" i="210"/>
  <c r="D3317" i="210"/>
  <c r="K3317" i="210"/>
  <c r="L3317" i="210"/>
  <c r="N3317" i="210"/>
  <c r="P3317" i="210"/>
  <c r="Q3317" i="210"/>
  <c r="D3318" i="210"/>
  <c r="K3318" i="210"/>
  <c r="L3318" i="210"/>
  <c r="N3318" i="210"/>
  <c r="P3318" i="210"/>
  <c r="Q3318" i="210"/>
  <c r="D3319" i="210"/>
  <c r="K3319" i="210"/>
  <c r="L3319" i="210"/>
  <c r="N3319" i="210"/>
  <c r="P3319" i="210"/>
  <c r="Q3319" i="210"/>
  <c r="D3320" i="210"/>
  <c r="K3320" i="210"/>
  <c r="L3320" i="210"/>
  <c r="N3320" i="210"/>
  <c r="P3320" i="210"/>
  <c r="Q3320" i="210"/>
  <c r="D3321" i="210"/>
  <c r="K3321" i="210"/>
  <c r="L3321" i="210"/>
  <c r="N3321" i="210"/>
  <c r="P3321" i="210"/>
  <c r="Q3321" i="210"/>
  <c r="D3322" i="210"/>
  <c r="K3322" i="210"/>
  <c r="L3322" i="210"/>
  <c r="N3322" i="210"/>
  <c r="P3322" i="210"/>
  <c r="Q3322" i="210"/>
  <c r="D3323" i="210"/>
  <c r="K3323" i="210"/>
  <c r="L3323" i="210"/>
  <c r="N3323" i="210"/>
  <c r="P3323" i="210"/>
  <c r="Q3323" i="210"/>
  <c r="D3324" i="210"/>
  <c r="K3324" i="210"/>
  <c r="L3324" i="210"/>
  <c r="N3324" i="210"/>
  <c r="P3324" i="210"/>
  <c r="Q3324" i="210"/>
  <c r="D3325" i="210"/>
  <c r="K3325" i="210"/>
  <c r="L3325" i="210"/>
  <c r="N3325" i="210"/>
  <c r="P3325" i="210"/>
  <c r="Q3325" i="210"/>
  <c r="D3326" i="210"/>
  <c r="K3326" i="210"/>
  <c r="L3326" i="210"/>
  <c r="N3326" i="210"/>
  <c r="P3326" i="210"/>
  <c r="Q3326" i="210"/>
  <c r="D3327" i="210"/>
  <c r="K3327" i="210"/>
  <c r="L3327" i="210"/>
  <c r="N3327" i="210"/>
  <c r="P3327" i="210"/>
  <c r="Q3327" i="210"/>
  <c r="D3328" i="210"/>
  <c r="K3328" i="210"/>
  <c r="L3328" i="210"/>
  <c r="N3328" i="210"/>
  <c r="P3328" i="210"/>
  <c r="Q3328" i="210"/>
  <c r="D3329" i="210"/>
  <c r="K3329" i="210"/>
  <c r="L3329" i="210"/>
  <c r="N3329" i="210"/>
  <c r="P3329" i="210"/>
  <c r="Q3329" i="210"/>
  <c r="D3330" i="210"/>
  <c r="K3330" i="210"/>
  <c r="L3330" i="210"/>
  <c r="N3330" i="210"/>
  <c r="P3330" i="210"/>
  <c r="Q3330" i="210"/>
  <c r="D3331" i="210"/>
  <c r="K3331" i="210"/>
  <c r="L3331" i="210"/>
  <c r="N3331" i="210"/>
  <c r="P3331" i="210"/>
  <c r="Q3331" i="210"/>
  <c r="D3332" i="210"/>
  <c r="K3332" i="210"/>
  <c r="L3332" i="210"/>
  <c r="N3332" i="210"/>
  <c r="P3332" i="210"/>
  <c r="Q3332" i="210"/>
  <c r="D3333" i="210"/>
  <c r="K3333" i="210"/>
  <c r="L3333" i="210"/>
  <c r="N3333" i="210"/>
  <c r="P3333" i="210"/>
  <c r="Q3333" i="210"/>
  <c r="D3334" i="210"/>
  <c r="K3334" i="210"/>
  <c r="L3334" i="210"/>
  <c r="N3334" i="210"/>
  <c r="P3334" i="210"/>
  <c r="Q3334" i="210"/>
  <c r="D3335" i="210"/>
  <c r="K3335" i="210"/>
  <c r="L3335" i="210"/>
  <c r="N3335" i="210"/>
  <c r="P3335" i="210"/>
  <c r="Q3335" i="210"/>
  <c r="D3336" i="210"/>
  <c r="K3336" i="210"/>
  <c r="L3336" i="210"/>
  <c r="N3336" i="210"/>
  <c r="P3336" i="210"/>
  <c r="Q3336" i="210"/>
  <c r="D3337" i="210"/>
  <c r="K3337" i="210"/>
  <c r="L3337" i="210"/>
  <c r="N3337" i="210"/>
  <c r="P3337" i="210"/>
  <c r="Q3337" i="210"/>
  <c r="D3338" i="210"/>
  <c r="K3338" i="210"/>
  <c r="L3338" i="210"/>
  <c r="N3338" i="210"/>
  <c r="P3338" i="210"/>
  <c r="Q3338" i="210"/>
  <c r="D3339" i="210"/>
  <c r="K3339" i="210"/>
  <c r="L3339" i="210"/>
  <c r="N3339" i="210"/>
  <c r="P3339" i="210"/>
  <c r="Q3339" i="210"/>
  <c r="D3340" i="210"/>
  <c r="K3340" i="210"/>
  <c r="L3340" i="210"/>
  <c r="N3340" i="210"/>
  <c r="P3340" i="210"/>
  <c r="Q3340" i="210"/>
  <c r="D3341" i="210"/>
  <c r="K3341" i="210"/>
  <c r="L3341" i="210"/>
  <c r="N3341" i="210"/>
  <c r="P3341" i="210"/>
  <c r="Q3341" i="210"/>
  <c r="D3342" i="210"/>
  <c r="K3342" i="210"/>
  <c r="L3342" i="210"/>
  <c r="N3342" i="210"/>
  <c r="P3342" i="210"/>
  <c r="Q3342" i="210"/>
  <c r="D3343" i="210"/>
  <c r="K3343" i="210"/>
  <c r="L3343" i="210"/>
  <c r="N3343" i="210"/>
  <c r="P3343" i="210"/>
  <c r="Q3343" i="210"/>
  <c r="D3344" i="210"/>
  <c r="E3344" i="210"/>
  <c r="E3346" i="210" s="1"/>
  <c r="E3348" i="210" s="1"/>
  <c r="E3350" i="210" s="1"/>
  <c r="E3352" i="210" s="1"/>
  <c r="E3354" i="210" s="1"/>
  <c r="E3356" i="210" s="1"/>
  <c r="E3358" i="210" s="1"/>
  <c r="E3360" i="210" s="1"/>
  <c r="E3362" i="210" s="1"/>
  <c r="E3364" i="210" s="1"/>
  <c r="E3366" i="210" s="1"/>
  <c r="E3368" i="210" s="1"/>
  <c r="E3370" i="210" s="1"/>
  <c r="E3372" i="210" s="1"/>
  <c r="E3374" i="210" s="1"/>
  <c r="E3376" i="210" s="1"/>
  <c r="E3378" i="210" s="1"/>
  <c r="E3380" i="210" s="1"/>
  <c r="E3382" i="210" s="1"/>
  <c r="E3384" i="210" s="1"/>
  <c r="E3386" i="210" s="1"/>
  <c r="E3388" i="210" s="1"/>
  <c r="E3390" i="210" s="1"/>
  <c r="E3392" i="210" s="1"/>
  <c r="E3394" i="210" s="1"/>
  <c r="E3396" i="210" s="1"/>
  <c r="E3398" i="210" s="1"/>
  <c r="E3400" i="210" s="1"/>
  <c r="E3402" i="210" s="1"/>
  <c r="E3404" i="210" s="1"/>
  <c r="E3406" i="210" s="1"/>
  <c r="E3408" i="210" s="1"/>
  <c r="E3410" i="210" s="1"/>
  <c r="E3412" i="210" s="1"/>
  <c r="E3414" i="210" s="1"/>
  <c r="E3416" i="210" s="1"/>
  <c r="E3418" i="210" s="1"/>
  <c r="E3420" i="210" s="1"/>
  <c r="E3422" i="210" s="1"/>
  <c r="E3424" i="210" s="1"/>
  <c r="E3426" i="210" s="1"/>
  <c r="E3428" i="210" s="1"/>
  <c r="E3430" i="210" s="1"/>
  <c r="E3432" i="210" s="1"/>
  <c r="E3434" i="210" s="1"/>
  <c r="E3436" i="210" s="1"/>
  <c r="E3438" i="210" s="1"/>
  <c r="E3440" i="210" s="1"/>
  <c r="E3442" i="210" s="1"/>
  <c r="E3444" i="210" s="1"/>
  <c r="E3446" i="210" s="1"/>
  <c r="E3448" i="210" s="1"/>
  <c r="K3344" i="210"/>
  <c r="L3344" i="210"/>
  <c r="N3344" i="210"/>
  <c r="P3344" i="210"/>
  <c r="Q3344" i="210"/>
  <c r="D3345" i="210"/>
  <c r="K3345" i="210"/>
  <c r="L3345" i="210"/>
  <c r="N3345" i="210"/>
  <c r="P3345" i="210"/>
  <c r="Q3345" i="210"/>
  <c r="D3346" i="210"/>
  <c r="K3346" i="210"/>
  <c r="L3346" i="210"/>
  <c r="N3346" i="210"/>
  <c r="P3346" i="210"/>
  <c r="Q3346" i="210"/>
  <c r="D3347" i="210"/>
  <c r="K3347" i="210"/>
  <c r="L3347" i="210"/>
  <c r="N3347" i="210"/>
  <c r="P3347" i="210"/>
  <c r="Q3347" i="210"/>
  <c r="D3348" i="210"/>
  <c r="K3348" i="210"/>
  <c r="L3348" i="210"/>
  <c r="N3348" i="210"/>
  <c r="P3348" i="210"/>
  <c r="Q3348" i="210"/>
  <c r="D3349" i="210"/>
  <c r="K3349" i="210"/>
  <c r="L3349" i="210"/>
  <c r="N3349" i="210"/>
  <c r="P3349" i="210"/>
  <c r="Q3349" i="210"/>
  <c r="D3350" i="210"/>
  <c r="K3350" i="210"/>
  <c r="L3350" i="210"/>
  <c r="N3350" i="210"/>
  <c r="P3350" i="210"/>
  <c r="Q3350" i="210"/>
  <c r="D3351" i="210"/>
  <c r="K3351" i="210"/>
  <c r="L3351" i="210"/>
  <c r="N3351" i="210"/>
  <c r="P3351" i="210"/>
  <c r="Q3351" i="210"/>
  <c r="D3352" i="210"/>
  <c r="K3352" i="210"/>
  <c r="L3352" i="210"/>
  <c r="N3352" i="210"/>
  <c r="P3352" i="210"/>
  <c r="Q3352" i="210"/>
  <c r="D3353" i="210"/>
  <c r="K3353" i="210"/>
  <c r="L3353" i="210"/>
  <c r="N3353" i="210"/>
  <c r="P3353" i="210"/>
  <c r="Q3353" i="210"/>
  <c r="D3354" i="210"/>
  <c r="K3354" i="210"/>
  <c r="L3354" i="210"/>
  <c r="N3354" i="210"/>
  <c r="P3354" i="210"/>
  <c r="Q3354" i="210"/>
  <c r="D3355" i="210"/>
  <c r="K3355" i="210"/>
  <c r="L3355" i="210"/>
  <c r="N3355" i="210"/>
  <c r="P3355" i="210"/>
  <c r="Q3355" i="210"/>
  <c r="D3356" i="210"/>
  <c r="K3356" i="210"/>
  <c r="L3356" i="210"/>
  <c r="N3356" i="210"/>
  <c r="P3356" i="210"/>
  <c r="Q3356" i="210"/>
  <c r="D3357" i="210"/>
  <c r="K3357" i="210"/>
  <c r="L3357" i="210"/>
  <c r="N3357" i="210"/>
  <c r="P3357" i="210"/>
  <c r="Q3357" i="210"/>
  <c r="D3358" i="210"/>
  <c r="K3358" i="210"/>
  <c r="L3358" i="210"/>
  <c r="N3358" i="210"/>
  <c r="P3358" i="210"/>
  <c r="Q3358" i="210"/>
  <c r="D3359" i="210"/>
  <c r="K3359" i="210"/>
  <c r="L3359" i="210"/>
  <c r="N3359" i="210"/>
  <c r="P3359" i="210"/>
  <c r="Q3359" i="210"/>
  <c r="D3360" i="210"/>
  <c r="K3360" i="210"/>
  <c r="L3360" i="210"/>
  <c r="N3360" i="210"/>
  <c r="P3360" i="210"/>
  <c r="Q3360" i="210"/>
  <c r="D3361" i="210"/>
  <c r="K3361" i="210"/>
  <c r="L3361" i="210"/>
  <c r="N3361" i="210"/>
  <c r="P3361" i="210"/>
  <c r="Q3361" i="210"/>
  <c r="D3362" i="210"/>
  <c r="K3362" i="210"/>
  <c r="L3362" i="210"/>
  <c r="N3362" i="210"/>
  <c r="P3362" i="210"/>
  <c r="Q3362" i="210"/>
  <c r="D3363" i="210"/>
  <c r="K3363" i="210"/>
  <c r="L3363" i="210"/>
  <c r="N3363" i="210"/>
  <c r="P3363" i="210"/>
  <c r="Q3363" i="210"/>
  <c r="D3364" i="210"/>
  <c r="K3364" i="210"/>
  <c r="L3364" i="210"/>
  <c r="N3364" i="210"/>
  <c r="P3364" i="210"/>
  <c r="Q3364" i="210"/>
  <c r="D3365" i="210"/>
  <c r="K3365" i="210"/>
  <c r="L3365" i="210"/>
  <c r="N3365" i="210"/>
  <c r="P3365" i="210"/>
  <c r="Q3365" i="210"/>
  <c r="D3366" i="210"/>
  <c r="K3366" i="210"/>
  <c r="L3366" i="210"/>
  <c r="N3366" i="210"/>
  <c r="P3366" i="210"/>
  <c r="Q3366" i="210"/>
  <c r="D3367" i="210"/>
  <c r="K3367" i="210"/>
  <c r="L3367" i="210"/>
  <c r="N3367" i="210"/>
  <c r="P3367" i="210"/>
  <c r="Q3367" i="210"/>
  <c r="D3368" i="210"/>
  <c r="K3368" i="210"/>
  <c r="L3368" i="210"/>
  <c r="N3368" i="210"/>
  <c r="P3368" i="210"/>
  <c r="Q3368" i="210"/>
  <c r="D3369" i="210"/>
  <c r="K3369" i="210"/>
  <c r="L3369" i="210"/>
  <c r="N3369" i="210"/>
  <c r="P3369" i="210"/>
  <c r="Q3369" i="210"/>
  <c r="D3370" i="210"/>
  <c r="K3370" i="210"/>
  <c r="L3370" i="210"/>
  <c r="N3370" i="210"/>
  <c r="P3370" i="210"/>
  <c r="Q3370" i="210"/>
  <c r="D3371" i="210"/>
  <c r="K3371" i="210"/>
  <c r="L3371" i="210"/>
  <c r="N3371" i="210"/>
  <c r="P3371" i="210"/>
  <c r="Q3371" i="210"/>
  <c r="D3372" i="210"/>
  <c r="K3372" i="210"/>
  <c r="L3372" i="210"/>
  <c r="N3372" i="210"/>
  <c r="P3372" i="210"/>
  <c r="Q3372" i="210"/>
  <c r="D3373" i="210"/>
  <c r="K3373" i="210"/>
  <c r="L3373" i="210"/>
  <c r="N3373" i="210"/>
  <c r="P3373" i="210"/>
  <c r="Q3373" i="210"/>
  <c r="D3374" i="210"/>
  <c r="K3374" i="210"/>
  <c r="L3374" i="210"/>
  <c r="N3374" i="210"/>
  <c r="P3374" i="210"/>
  <c r="Q3374" i="210"/>
  <c r="D3375" i="210"/>
  <c r="K3375" i="210"/>
  <c r="L3375" i="210"/>
  <c r="N3375" i="210"/>
  <c r="P3375" i="210"/>
  <c r="Q3375" i="210"/>
  <c r="D3376" i="210"/>
  <c r="K3376" i="210"/>
  <c r="L3376" i="210"/>
  <c r="N3376" i="210"/>
  <c r="P3376" i="210"/>
  <c r="Q3376" i="210"/>
  <c r="D3377" i="210"/>
  <c r="K3377" i="210"/>
  <c r="L3377" i="210"/>
  <c r="N3377" i="210"/>
  <c r="P3377" i="210"/>
  <c r="Q3377" i="210"/>
  <c r="D3378" i="210"/>
  <c r="K3378" i="210"/>
  <c r="L3378" i="210"/>
  <c r="N3378" i="210"/>
  <c r="P3378" i="210"/>
  <c r="Q3378" i="210"/>
  <c r="D3379" i="210"/>
  <c r="K3379" i="210"/>
  <c r="L3379" i="210"/>
  <c r="N3379" i="210"/>
  <c r="P3379" i="210"/>
  <c r="Q3379" i="210"/>
  <c r="D3380" i="210"/>
  <c r="K3380" i="210"/>
  <c r="L3380" i="210"/>
  <c r="N3380" i="210"/>
  <c r="P3380" i="210"/>
  <c r="Q3380" i="210"/>
  <c r="D3381" i="210"/>
  <c r="K3381" i="210"/>
  <c r="L3381" i="210"/>
  <c r="N3381" i="210"/>
  <c r="P3381" i="210"/>
  <c r="Q3381" i="210"/>
  <c r="D3382" i="210"/>
  <c r="K3382" i="210"/>
  <c r="L3382" i="210"/>
  <c r="N3382" i="210"/>
  <c r="P3382" i="210"/>
  <c r="Q3382" i="210"/>
  <c r="D3383" i="210"/>
  <c r="K3383" i="210"/>
  <c r="L3383" i="210"/>
  <c r="N3383" i="210"/>
  <c r="P3383" i="210"/>
  <c r="Q3383" i="210"/>
  <c r="D3384" i="210"/>
  <c r="K3384" i="210"/>
  <c r="L3384" i="210"/>
  <c r="N3384" i="210"/>
  <c r="P3384" i="210"/>
  <c r="Q3384" i="210"/>
  <c r="D3385" i="210"/>
  <c r="K3385" i="210"/>
  <c r="L3385" i="210"/>
  <c r="N3385" i="210"/>
  <c r="P3385" i="210"/>
  <c r="Q3385" i="210"/>
  <c r="D3386" i="210"/>
  <c r="K3386" i="210"/>
  <c r="L3386" i="210"/>
  <c r="N3386" i="210"/>
  <c r="P3386" i="210"/>
  <c r="Q3386" i="210"/>
  <c r="D3387" i="210"/>
  <c r="K3387" i="210"/>
  <c r="L3387" i="210"/>
  <c r="N3387" i="210"/>
  <c r="P3387" i="210"/>
  <c r="Q3387" i="210"/>
  <c r="D3388" i="210"/>
  <c r="K3388" i="210"/>
  <c r="L3388" i="210"/>
  <c r="N3388" i="210"/>
  <c r="P3388" i="210"/>
  <c r="Q3388" i="210"/>
  <c r="D3389" i="210"/>
  <c r="K3389" i="210"/>
  <c r="L3389" i="210"/>
  <c r="N3389" i="210"/>
  <c r="P3389" i="210"/>
  <c r="Q3389" i="210"/>
  <c r="D3390" i="210"/>
  <c r="K3390" i="210"/>
  <c r="L3390" i="210"/>
  <c r="N3390" i="210"/>
  <c r="P3390" i="210"/>
  <c r="Q3390" i="210"/>
  <c r="D3391" i="210"/>
  <c r="K3391" i="210"/>
  <c r="L3391" i="210"/>
  <c r="N3391" i="210"/>
  <c r="P3391" i="210"/>
  <c r="Q3391" i="210"/>
  <c r="D3392" i="210"/>
  <c r="K3392" i="210"/>
  <c r="L3392" i="210"/>
  <c r="N3392" i="210"/>
  <c r="P3392" i="210"/>
  <c r="Q3392" i="210"/>
  <c r="D3393" i="210"/>
  <c r="K3393" i="210"/>
  <c r="L3393" i="210"/>
  <c r="N3393" i="210"/>
  <c r="P3393" i="210"/>
  <c r="Q3393" i="210"/>
  <c r="D3394" i="210"/>
  <c r="K3394" i="210"/>
  <c r="L3394" i="210"/>
  <c r="N3394" i="210"/>
  <c r="P3394" i="210"/>
  <c r="Q3394" i="210"/>
  <c r="D3395" i="210"/>
  <c r="K3395" i="210"/>
  <c r="L3395" i="210"/>
  <c r="N3395" i="210"/>
  <c r="P3395" i="210"/>
  <c r="Q3395" i="210"/>
  <c r="D3396" i="210"/>
  <c r="K3396" i="210"/>
  <c r="L3396" i="210"/>
  <c r="N3396" i="210"/>
  <c r="P3396" i="210"/>
  <c r="Q3396" i="210"/>
  <c r="D3397" i="210"/>
  <c r="K3397" i="210"/>
  <c r="L3397" i="210"/>
  <c r="N3397" i="210"/>
  <c r="P3397" i="210"/>
  <c r="Q3397" i="210"/>
  <c r="D3398" i="210"/>
  <c r="K3398" i="210"/>
  <c r="L3398" i="210"/>
  <c r="N3398" i="210"/>
  <c r="P3398" i="210"/>
  <c r="Q3398" i="210"/>
  <c r="D3399" i="210"/>
  <c r="K3399" i="210"/>
  <c r="L3399" i="210"/>
  <c r="N3399" i="210"/>
  <c r="P3399" i="210"/>
  <c r="Q3399" i="210"/>
  <c r="D3400" i="210"/>
  <c r="K3400" i="210"/>
  <c r="L3400" i="210"/>
  <c r="N3400" i="210"/>
  <c r="P3400" i="210"/>
  <c r="Q3400" i="210"/>
  <c r="D3401" i="210"/>
  <c r="K3401" i="210"/>
  <c r="L3401" i="210"/>
  <c r="N3401" i="210"/>
  <c r="P3401" i="210"/>
  <c r="Q3401" i="210"/>
  <c r="D3402" i="210"/>
  <c r="K3402" i="210"/>
  <c r="L3402" i="210"/>
  <c r="N3402" i="210"/>
  <c r="P3402" i="210"/>
  <c r="Q3402" i="210"/>
  <c r="D3403" i="210"/>
  <c r="K3403" i="210"/>
  <c r="L3403" i="210"/>
  <c r="N3403" i="210"/>
  <c r="P3403" i="210"/>
  <c r="Q3403" i="210"/>
  <c r="D3404" i="210"/>
  <c r="K3404" i="210"/>
  <c r="L3404" i="210"/>
  <c r="N3404" i="210"/>
  <c r="P3404" i="210"/>
  <c r="Q3404" i="210"/>
  <c r="D3405" i="210"/>
  <c r="K3405" i="210"/>
  <c r="L3405" i="210"/>
  <c r="N3405" i="210"/>
  <c r="P3405" i="210"/>
  <c r="Q3405" i="210"/>
  <c r="D3406" i="210"/>
  <c r="K3406" i="210"/>
  <c r="L3406" i="210"/>
  <c r="N3406" i="210"/>
  <c r="P3406" i="210"/>
  <c r="Q3406" i="210"/>
  <c r="D3407" i="210"/>
  <c r="K3407" i="210"/>
  <c r="L3407" i="210"/>
  <c r="N3407" i="210"/>
  <c r="P3407" i="210"/>
  <c r="Q3407" i="210"/>
  <c r="D3408" i="210"/>
  <c r="K3408" i="210"/>
  <c r="L3408" i="210"/>
  <c r="N3408" i="210"/>
  <c r="P3408" i="210"/>
  <c r="Q3408" i="210"/>
  <c r="D3409" i="210"/>
  <c r="K3409" i="210"/>
  <c r="L3409" i="210"/>
  <c r="N3409" i="210"/>
  <c r="P3409" i="210"/>
  <c r="Q3409" i="210"/>
  <c r="D3410" i="210"/>
  <c r="K3410" i="210"/>
  <c r="L3410" i="210"/>
  <c r="N3410" i="210"/>
  <c r="P3410" i="210"/>
  <c r="Q3410" i="210"/>
  <c r="D3411" i="210"/>
  <c r="K3411" i="210"/>
  <c r="L3411" i="210"/>
  <c r="N3411" i="210"/>
  <c r="P3411" i="210"/>
  <c r="Q3411" i="210"/>
  <c r="D3412" i="210"/>
  <c r="K3412" i="210"/>
  <c r="L3412" i="210"/>
  <c r="N3412" i="210"/>
  <c r="P3412" i="210"/>
  <c r="Q3412" i="210"/>
  <c r="D3413" i="210"/>
  <c r="K3413" i="210"/>
  <c r="L3413" i="210"/>
  <c r="N3413" i="210"/>
  <c r="P3413" i="210"/>
  <c r="Q3413" i="210"/>
  <c r="D3414" i="210"/>
  <c r="K3414" i="210"/>
  <c r="L3414" i="210"/>
  <c r="N3414" i="210"/>
  <c r="P3414" i="210"/>
  <c r="Q3414" i="210"/>
  <c r="D3415" i="210"/>
  <c r="K3415" i="210"/>
  <c r="L3415" i="210"/>
  <c r="N3415" i="210"/>
  <c r="P3415" i="210"/>
  <c r="Q3415" i="210"/>
  <c r="D3416" i="210"/>
  <c r="K3416" i="210"/>
  <c r="L3416" i="210"/>
  <c r="N3416" i="210"/>
  <c r="P3416" i="210"/>
  <c r="Q3416" i="210"/>
  <c r="D3417" i="210"/>
  <c r="K3417" i="210"/>
  <c r="L3417" i="210"/>
  <c r="N3417" i="210"/>
  <c r="P3417" i="210"/>
  <c r="Q3417" i="210"/>
  <c r="D3418" i="210"/>
  <c r="K3418" i="210"/>
  <c r="L3418" i="210"/>
  <c r="N3418" i="210"/>
  <c r="P3418" i="210"/>
  <c r="Q3418" i="210"/>
  <c r="D3419" i="210"/>
  <c r="K3419" i="210"/>
  <c r="L3419" i="210"/>
  <c r="N3419" i="210"/>
  <c r="P3419" i="210"/>
  <c r="Q3419" i="210"/>
  <c r="D3420" i="210"/>
  <c r="K3420" i="210"/>
  <c r="L3420" i="210"/>
  <c r="N3420" i="210"/>
  <c r="P3420" i="210"/>
  <c r="Q3420" i="210"/>
  <c r="D3421" i="210"/>
  <c r="K3421" i="210"/>
  <c r="L3421" i="210"/>
  <c r="N3421" i="210"/>
  <c r="P3421" i="210"/>
  <c r="Q3421" i="210"/>
  <c r="D3422" i="210"/>
  <c r="K3422" i="210"/>
  <c r="L3422" i="210"/>
  <c r="N3422" i="210"/>
  <c r="P3422" i="210"/>
  <c r="Q3422" i="210"/>
  <c r="D3423" i="210"/>
  <c r="K3423" i="210"/>
  <c r="L3423" i="210"/>
  <c r="N3423" i="210"/>
  <c r="P3423" i="210"/>
  <c r="Q3423" i="210"/>
  <c r="D3424" i="210"/>
  <c r="K3424" i="210"/>
  <c r="L3424" i="210"/>
  <c r="N3424" i="210"/>
  <c r="P3424" i="210"/>
  <c r="Q3424" i="210"/>
  <c r="D3425" i="210"/>
  <c r="K3425" i="210"/>
  <c r="L3425" i="210"/>
  <c r="N3425" i="210"/>
  <c r="P3425" i="210"/>
  <c r="Q3425" i="210"/>
  <c r="D3426" i="210"/>
  <c r="K3426" i="210"/>
  <c r="L3426" i="210"/>
  <c r="N3426" i="210"/>
  <c r="P3426" i="210"/>
  <c r="Q3426" i="210"/>
  <c r="D3427" i="210"/>
  <c r="K3427" i="210"/>
  <c r="L3427" i="210"/>
  <c r="N3427" i="210"/>
  <c r="P3427" i="210"/>
  <c r="Q3427" i="210"/>
  <c r="D3428" i="210"/>
  <c r="K3428" i="210"/>
  <c r="L3428" i="210"/>
  <c r="N3428" i="210"/>
  <c r="P3428" i="210"/>
  <c r="Q3428" i="210"/>
  <c r="D3429" i="210"/>
  <c r="K3429" i="210"/>
  <c r="L3429" i="210"/>
  <c r="N3429" i="210"/>
  <c r="P3429" i="210"/>
  <c r="Q3429" i="210"/>
  <c r="D3430" i="210"/>
  <c r="K3430" i="210"/>
  <c r="L3430" i="210"/>
  <c r="N3430" i="210"/>
  <c r="P3430" i="210"/>
  <c r="Q3430" i="210"/>
  <c r="D3431" i="210"/>
  <c r="K3431" i="210"/>
  <c r="L3431" i="210"/>
  <c r="N3431" i="210"/>
  <c r="P3431" i="210"/>
  <c r="Q3431" i="210"/>
  <c r="D3432" i="210"/>
  <c r="K3432" i="210"/>
  <c r="L3432" i="210"/>
  <c r="N3432" i="210"/>
  <c r="P3432" i="210"/>
  <c r="Q3432" i="210"/>
  <c r="D3433" i="210"/>
  <c r="K3433" i="210"/>
  <c r="L3433" i="210"/>
  <c r="N3433" i="210"/>
  <c r="P3433" i="210"/>
  <c r="Q3433" i="210"/>
  <c r="D3434" i="210"/>
  <c r="K3434" i="210"/>
  <c r="L3434" i="210"/>
  <c r="N3434" i="210"/>
  <c r="P3434" i="210"/>
  <c r="Q3434" i="210"/>
  <c r="D3435" i="210"/>
  <c r="K3435" i="210"/>
  <c r="L3435" i="210"/>
  <c r="N3435" i="210"/>
  <c r="P3435" i="210"/>
  <c r="Q3435" i="210"/>
  <c r="D3436" i="210"/>
  <c r="K3436" i="210"/>
  <c r="L3436" i="210"/>
  <c r="N3436" i="210"/>
  <c r="P3436" i="210"/>
  <c r="Q3436" i="210"/>
  <c r="D3437" i="210"/>
  <c r="K3437" i="210"/>
  <c r="L3437" i="210"/>
  <c r="N3437" i="210"/>
  <c r="P3437" i="210"/>
  <c r="Q3437" i="210"/>
  <c r="D3438" i="210"/>
  <c r="K3438" i="210"/>
  <c r="L3438" i="210"/>
  <c r="N3438" i="210"/>
  <c r="P3438" i="210"/>
  <c r="Q3438" i="210"/>
  <c r="D3439" i="210"/>
  <c r="K3439" i="210"/>
  <c r="L3439" i="210"/>
  <c r="N3439" i="210"/>
  <c r="P3439" i="210"/>
  <c r="Q3439" i="210"/>
  <c r="D3440" i="210"/>
  <c r="K3440" i="210"/>
  <c r="L3440" i="210"/>
  <c r="N3440" i="210"/>
  <c r="P3440" i="210"/>
  <c r="Q3440" i="210"/>
  <c r="D3441" i="210"/>
  <c r="K3441" i="210"/>
  <c r="L3441" i="210"/>
  <c r="N3441" i="210"/>
  <c r="P3441" i="210"/>
  <c r="Q3441" i="210"/>
  <c r="D3442" i="210"/>
  <c r="K3442" i="210"/>
  <c r="L3442" i="210"/>
  <c r="N3442" i="210"/>
  <c r="P3442" i="210"/>
  <c r="Q3442" i="210"/>
  <c r="D3443" i="210"/>
  <c r="K3443" i="210"/>
  <c r="L3443" i="210"/>
  <c r="N3443" i="210"/>
  <c r="P3443" i="210"/>
  <c r="Q3443" i="210"/>
  <c r="D3444" i="210"/>
  <c r="K3444" i="210"/>
  <c r="L3444" i="210"/>
  <c r="N3444" i="210"/>
  <c r="P3444" i="210"/>
  <c r="Q3444" i="210"/>
  <c r="D3445" i="210"/>
  <c r="K3445" i="210"/>
  <c r="L3445" i="210"/>
  <c r="N3445" i="210"/>
  <c r="P3445" i="210"/>
  <c r="Q3445" i="210"/>
  <c r="D3446" i="210"/>
  <c r="K3446" i="210"/>
  <c r="L3446" i="210"/>
  <c r="N3446" i="210"/>
  <c r="P3446" i="210"/>
  <c r="Q3446" i="210"/>
  <c r="D3447" i="210"/>
  <c r="K3447" i="210"/>
  <c r="L3447" i="210"/>
  <c r="N3447" i="210"/>
  <c r="P3447" i="210"/>
  <c r="Q3447" i="210"/>
  <c r="D3448" i="210"/>
  <c r="K3448" i="210"/>
  <c r="L3448" i="210"/>
  <c r="N3448" i="210"/>
  <c r="P3448" i="210"/>
  <c r="Q3448" i="210"/>
  <c r="D3449" i="210"/>
  <c r="K3449" i="210"/>
  <c r="L3449" i="210"/>
  <c r="N3449" i="210"/>
  <c r="P3449" i="210"/>
  <c r="Q3449" i="210"/>
  <c r="C3452" i="210"/>
  <c r="C3453" i="210" s="1"/>
  <c r="C3454" i="210" s="1"/>
  <c r="H3452" i="210"/>
  <c r="E3452" i="210" s="1"/>
  <c r="E3453" i="210" s="1"/>
  <c r="E3454" i="210" s="1"/>
  <c r="E3456" i="210" s="1"/>
  <c r="E3458" i="210" s="1"/>
  <c r="E3460" i="210" s="1"/>
  <c r="E3462" i="210" s="1"/>
  <c r="E3464" i="210" s="1"/>
  <c r="E3466" i="210" s="1"/>
  <c r="E3468" i="210" s="1"/>
  <c r="E3470" i="210" s="1"/>
  <c r="E3472" i="210" s="1"/>
  <c r="E3474" i="210" s="1"/>
  <c r="E3476" i="210" s="1"/>
  <c r="E3478" i="210" s="1"/>
  <c r="E3480" i="210" s="1"/>
  <c r="E3482" i="210" s="1"/>
  <c r="E3484" i="210" s="1"/>
  <c r="E3486" i="210" s="1"/>
  <c r="E3488" i="210" s="1"/>
  <c r="E3490" i="210" s="1"/>
  <c r="E3492" i="210" s="1"/>
  <c r="I3452" i="210"/>
  <c r="J3452" i="210"/>
  <c r="I3453" i="210"/>
  <c r="I3454" i="210"/>
  <c r="D3456" i="210"/>
  <c r="K3456" i="210"/>
  <c r="L3456" i="210"/>
  <c r="N3456" i="210"/>
  <c r="P3456" i="210"/>
  <c r="Q3456" i="210"/>
  <c r="D3457" i="210"/>
  <c r="E3457" i="210"/>
  <c r="E3459" i="210" s="1"/>
  <c r="E3461" i="210" s="1"/>
  <c r="E3463" i="210" s="1"/>
  <c r="E3465" i="210" s="1"/>
  <c r="E3467" i="210" s="1"/>
  <c r="E3469" i="210" s="1"/>
  <c r="E3471" i="210" s="1"/>
  <c r="E3473" i="210" s="1"/>
  <c r="E3475" i="210" s="1"/>
  <c r="E3477" i="210" s="1"/>
  <c r="E3479" i="210" s="1"/>
  <c r="E3481" i="210" s="1"/>
  <c r="E3483" i="210" s="1"/>
  <c r="E3485" i="210" s="1"/>
  <c r="E3487" i="210" s="1"/>
  <c r="E3489" i="210" s="1"/>
  <c r="E3491" i="210" s="1"/>
  <c r="E3493" i="210" s="1"/>
  <c r="K3457" i="210"/>
  <c r="L3457" i="210"/>
  <c r="N3457" i="210"/>
  <c r="P3457" i="210"/>
  <c r="Q3457" i="210"/>
  <c r="D3458" i="210"/>
  <c r="K3458" i="210"/>
  <c r="L3458" i="210"/>
  <c r="N3458" i="210"/>
  <c r="P3458" i="210"/>
  <c r="Q3458" i="210"/>
  <c r="D3459" i="210"/>
  <c r="K3459" i="210"/>
  <c r="L3459" i="210"/>
  <c r="N3459" i="210"/>
  <c r="P3459" i="210"/>
  <c r="Q3459" i="210"/>
  <c r="D3460" i="210"/>
  <c r="K3460" i="210"/>
  <c r="L3460" i="210"/>
  <c r="N3460" i="210"/>
  <c r="P3460" i="210"/>
  <c r="Q3460" i="210"/>
  <c r="D3461" i="210"/>
  <c r="K3461" i="210"/>
  <c r="L3461" i="210"/>
  <c r="N3461" i="210"/>
  <c r="P3461" i="210"/>
  <c r="Q3461" i="210"/>
  <c r="D3462" i="210"/>
  <c r="K3462" i="210"/>
  <c r="L3462" i="210"/>
  <c r="N3462" i="210"/>
  <c r="P3462" i="210"/>
  <c r="Q3462" i="210"/>
  <c r="D3463" i="210"/>
  <c r="K3463" i="210"/>
  <c r="L3463" i="210"/>
  <c r="N3463" i="210"/>
  <c r="P3463" i="210"/>
  <c r="Q3463" i="210"/>
  <c r="D3464" i="210"/>
  <c r="K3464" i="210"/>
  <c r="L3464" i="210"/>
  <c r="N3464" i="210"/>
  <c r="P3464" i="210"/>
  <c r="Q3464" i="210"/>
  <c r="D3465" i="210"/>
  <c r="K3465" i="210"/>
  <c r="L3465" i="210"/>
  <c r="N3465" i="210"/>
  <c r="P3465" i="210"/>
  <c r="Q3465" i="210"/>
  <c r="D3466" i="210"/>
  <c r="K3466" i="210"/>
  <c r="L3466" i="210"/>
  <c r="N3466" i="210"/>
  <c r="P3466" i="210"/>
  <c r="Q3466" i="210"/>
  <c r="D3467" i="210"/>
  <c r="K3467" i="210"/>
  <c r="L3467" i="210"/>
  <c r="N3467" i="210"/>
  <c r="P3467" i="210"/>
  <c r="Q3467" i="210"/>
  <c r="D3468" i="210"/>
  <c r="K3468" i="210"/>
  <c r="L3468" i="210"/>
  <c r="N3468" i="210"/>
  <c r="P3468" i="210"/>
  <c r="Q3468" i="210"/>
  <c r="D3469" i="210"/>
  <c r="K3469" i="210"/>
  <c r="L3469" i="210"/>
  <c r="N3469" i="210"/>
  <c r="P3469" i="210"/>
  <c r="Q3469" i="210"/>
  <c r="D3470" i="210"/>
  <c r="K3470" i="210"/>
  <c r="L3470" i="210"/>
  <c r="N3470" i="210"/>
  <c r="P3470" i="210"/>
  <c r="Q3470" i="210"/>
  <c r="D3471" i="210"/>
  <c r="K3471" i="210"/>
  <c r="L3471" i="210"/>
  <c r="N3471" i="210"/>
  <c r="P3471" i="210"/>
  <c r="Q3471" i="210"/>
  <c r="D3472" i="210"/>
  <c r="K3472" i="210"/>
  <c r="L3472" i="210"/>
  <c r="N3472" i="210"/>
  <c r="P3472" i="210"/>
  <c r="Q3472" i="210"/>
  <c r="D3473" i="210"/>
  <c r="K3473" i="210"/>
  <c r="L3473" i="210"/>
  <c r="N3473" i="210"/>
  <c r="P3473" i="210"/>
  <c r="Q3473" i="210"/>
  <c r="D3474" i="210"/>
  <c r="K3474" i="210"/>
  <c r="L3474" i="210"/>
  <c r="N3474" i="210"/>
  <c r="P3474" i="210"/>
  <c r="Q3474" i="210"/>
  <c r="D3475" i="210"/>
  <c r="K3475" i="210"/>
  <c r="L3475" i="210"/>
  <c r="N3475" i="210"/>
  <c r="P3475" i="210"/>
  <c r="Q3475" i="210"/>
  <c r="D3476" i="210"/>
  <c r="K3476" i="210"/>
  <c r="L3476" i="210"/>
  <c r="N3476" i="210"/>
  <c r="P3476" i="210"/>
  <c r="Q3476" i="210"/>
  <c r="D3477" i="210"/>
  <c r="K3477" i="210"/>
  <c r="L3477" i="210"/>
  <c r="N3477" i="210"/>
  <c r="P3477" i="210"/>
  <c r="Q3477" i="210"/>
  <c r="D3478" i="210"/>
  <c r="K3478" i="210"/>
  <c r="L3478" i="210"/>
  <c r="N3478" i="210"/>
  <c r="P3478" i="210"/>
  <c r="Q3478" i="210"/>
  <c r="D3479" i="210"/>
  <c r="K3479" i="210"/>
  <c r="L3479" i="210"/>
  <c r="N3479" i="210"/>
  <c r="P3479" i="210"/>
  <c r="Q3479" i="210"/>
  <c r="D3480" i="210"/>
  <c r="K3480" i="210"/>
  <c r="L3480" i="210"/>
  <c r="N3480" i="210"/>
  <c r="P3480" i="210"/>
  <c r="Q3480" i="210"/>
  <c r="D3481" i="210"/>
  <c r="K3481" i="210"/>
  <c r="L3481" i="210"/>
  <c r="N3481" i="210"/>
  <c r="P3481" i="210"/>
  <c r="Q3481" i="210"/>
  <c r="D3482" i="210"/>
  <c r="K3482" i="210"/>
  <c r="L3482" i="210"/>
  <c r="N3482" i="210"/>
  <c r="P3482" i="210"/>
  <c r="Q3482" i="210"/>
  <c r="D3483" i="210"/>
  <c r="K3483" i="210"/>
  <c r="L3483" i="210"/>
  <c r="N3483" i="210"/>
  <c r="P3483" i="210"/>
  <c r="Q3483" i="210"/>
  <c r="D3484" i="210"/>
  <c r="K3484" i="210"/>
  <c r="L3484" i="210"/>
  <c r="N3484" i="210"/>
  <c r="P3484" i="210"/>
  <c r="Q3484" i="210"/>
  <c r="D3485" i="210"/>
  <c r="K3485" i="210"/>
  <c r="L3485" i="210"/>
  <c r="N3485" i="210"/>
  <c r="P3485" i="210"/>
  <c r="Q3485" i="210"/>
  <c r="D3486" i="210"/>
  <c r="K3486" i="210"/>
  <c r="L3486" i="210"/>
  <c r="N3486" i="210"/>
  <c r="P3486" i="210"/>
  <c r="Q3486" i="210"/>
  <c r="D3487" i="210"/>
  <c r="K3487" i="210"/>
  <c r="L3487" i="210"/>
  <c r="N3487" i="210"/>
  <c r="P3487" i="210"/>
  <c r="Q3487" i="210"/>
  <c r="D3488" i="210"/>
  <c r="K3488" i="210"/>
  <c r="L3488" i="210"/>
  <c r="N3488" i="210"/>
  <c r="P3488" i="210"/>
  <c r="Q3488" i="210"/>
  <c r="D3489" i="210"/>
  <c r="K3489" i="210"/>
  <c r="L3489" i="210"/>
  <c r="N3489" i="210"/>
  <c r="P3489" i="210"/>
  <c r="Q3489" i="210"/>
  <c r="D3490" i="210"/>
  <c r="K3490" i="210"/>
  <c r="L3490" i="210"/>
  <c r="N3490" i="210"/>
  <c r="P3490" i="210"/>
  <c r="Q3490" i="210"/>
  <c r="D3491" i="210"/>
  <c r="K3491" i="210"/>
  <c r="L3491" i="210"/>
  <c r="N3491" i="210"/>
  <c r="P3491" i="210"/>
  <c r="Q3491" i="210"/>
  <c r="D3492" i="210"/>
  <c r="K3492" i="210"/>
  <c r="L3492" i="210"/>
  <c r="N3492" i="210"/>
  <c r="P3492" i="210"/>
  <c r="Q3492" i="210"/>
  <c r="D3493" i="210"/>
  <c r="K3493" i="210"/>
  <c r="L3493" i="210"/>
  <c r="N3493" i="210"/>
  <c r="P3493" i="210"/>
  <c r="Q3493" i="210"/>
  <c r="C3496" i="210"/>
  <c r="C3497" i="210" s="1"/>
  <c r="C3498" i="210" s="1"/>
  <c r="H3496" i="210"/>
  <c r="E3496" i="210" s="1"/>
  <c r="E3497" i="210" s="1"/>
  <c r="E3498" i="210" s="1"/>
  <c r="E3500" i="210" s="1"/>
  <c r="E3502" i="210" s="1"/>
  <c r="E3504" i="210" s="1"/>
  <c r="E3506" i="210" s="1"/>
  <c r="E3508" i="210" s="1"/>
  <c r="E3510" i="210" s="1"/>
  <c r="E3512" i="210" s="1"/>
  <c r="E3514" i="210" s="1"/>
  <c r="E3516" i="210" s="1"/>
  <c r="E3518" i="210" s="1"/>
  <c r="E3520" i="210" s="1"/>
  <c r="E3522" i="210" s="1"/>
  <c r="E3524" i="210" s="1"/>
  <c r="E3526" i="210" s="1"/>
  <c r="E3528" i="210" s="1"/>
  <c r="E3530" i="210" s="1"/>
  <c r="E3532" i="210" s="1"/>
  <c r="E3534" i="210" s="1"/>
  <c r="E3536" i="210" s="1"/>
  <c r="I3496" i="210"/>
  <c r="J3496" i="210"/>
  <c r="I3497" i="210"/>
  <c r="I3498" i="210"/>
  <c r="D3500" i="210"/>
  <c r="K3500" i="210"/>
  <c r="L3500" i="210"/>
  <c r="N3500" i="210"/>
  <c r="P3500" i="210"/>
  <c r="Q3500" i="210"/>
  <c r="D3501" i="210"/>
  <c r="E3501" i="210"/>
  <c r="K3501" i="210"/>
  <c r="L3501" i="210"/>
  <c r="N3501" i="210"/>
  <c r="P3501" i="210"/>
  <c r="Q3501" i="210"/>
  <c r="D3502" i="210"/>
  <c r="K3502" i="210"/>
  <c r="L3502" i="210"/>
  <c r="N3502" i="210"/>
  <c r="P3502" i="210"/>
  <c r="Q3502" i="210"/>
  <c r="D3503" i="210"/>
  <c r="E3503" i="210"/>
  <c r="E3505" i="210" s="1"/>
  <c r="E3507" i="210" s="1"/>
  <c r="E3509" i="210" s="1"/>
  <c r="E3511" i="210" s="1"/>
  <c r="E3513" i="210" s="1"/>
  <c r="E3515" i="210" s="1"/>
  <c r="E3517" i="210" s="1"/>
  <c r="E3519" i="210" s="1"/>
  <c r="E3521" i="210" s="1"/>
  <c r="E3523" i="210" s="1"/>
  <c r="E3525" i="210" s="1"/>
  <c r="E3527" i="210" s="1"/>
  <c r="E3529" i="210" s="1"/>
  <c r="E3531" i="210" s="1"/>
  <c r="E3533" i="210" s="1"/>
  <c r="E3535" i="210" s="1"/>
  <c r="K3503" i="210"/>
  <c r="L3503" i="210"/>
  <c r="N3503" i="210"/>
  <c r="P3503" i="210"/>
  <c r="Q3503" i="210"/>
  <c r="D3504" i="210"/>
  <c r="K3504" i="210"/>
  <c r="L3504" i="210"/>
  <c r="N3504" i="210"/>
  <c r="P3504" i="210"/>
  <c r="Q3504" i="210"/>
  <c r="D3505" i="210"/>
  <c r="K3505" i="210"/>
  <c r="L3505" i="210"/>
  <c r="N3505" i="210"/>
  <c r="P3505" i="210"/>
  <c r="Q3505" i="210"/>
  <c r="D3506" i="210"/>
  <c r="K3506" i="210"/>
  <c r="L3506" i="210"/>
  <c r="N3506" i="210"/>
  <c r="P3506" i="210"/>
  <c r="Q3506" i="210"/>
  <c r="D3507" i="210"/>
  <c r="K3507" i="210"/>
  <c r="L3507" i="210"/>
  <c r="N3507" i="210"/>
  <c r="P3507" i="210"/>
  <c r="Q3507" i="210"/>
  <c r="D3508" i="210"/>
  <c r="K3508" i="210"/>
  <c r="L3508" i="210"/>
  <c r="N3508" i="210"/>
  <c r="P3508" i="210"/>
  <c r="Q3508" i="210"/>
  <c r="D3509" i="210"/>
  <c r="K3509" i="210"/>
  <c r="L3509" i="210"/>
  <c r="N3509" i="210"/>
  <c r="P3509" i="210"/>
  <c r="Q3509" i="210"/>
  <c r="D3510" i="210"/>
  <c r="K3510" i="210"/>
  <c r="L3510" i="210"/>
  <c r="N3510" i="210"/>
  <c r="P3510" i="210"/>
  <c r="Q3510" i="210"/>
  <c r="D3511" i="210"/>
  <c r="K3511" i="210"/>
  <c r="L3511" i="210"/>
  <c r="N3511" i="210"/>
  <c r="P3511" i="210"/>
  <c r="Q3511" i="210"/>
  <c r="D3512" i="210"/>
  <c r="K3512" i="210"/>
  <c r="L3512" i="210"/>
  <c r="N3512" i="210"/>
  <c r="P3512" i="210"/>
  <c r="Q3512" i="210"/>
  <c r="D3513" i="210"/>
  <c r="K3513" i="210"/>
  <c r="L3513" i="210"/>
  <c r="N3513" i="210"/>
  <c r="P3513" i="210"/>
  <c r="Q3513" i="210"/>
  <c r="D3514" i="210"/>
  <c r="K3514" i="210"/>
  <c r="L3514" i="210"/>
  <c r="N3514" i="210"/>
  <c r="P3514" i="210"/>
  <c r="Q3514" i="210"/>
  <c r="D3515" i="210"/>
  <c r="K3515" i="210"/>
  <c r="L3515" i="210"/>
  <c r="N3515" i="210"/>
  <c r="P3515" i="210"/>
  <c r="Q3515" i="210"/>
  <c r="D3516" i="210"/>
  <c r="K3516" i="210"/>
  <c r="L3516" i="210"/>
  <c r="N3516" i="210"/>
  <c r="P3516" i="210"/>
  <c r="Q3516" i="210"/>
  <c r="D3517" i="210"/>
  <c r="K3517" i="210"/>
  <c r="L3517" i="210"/>
  <c r="N3517" i="210"/>
  <c r="P3517" i="210"/>
  <c r="Q3517" i="210"/>
  <c r="D3518" i="210"/>
  <c r="K3518" i="210"/>
  <c r="L3518" i="210"/>
  <c r="N3518" i="210"/>
  <c r="P3518" i="210"/>
  <c r="Q3518" i="210"/>
  <c r="D3519" i="210"/>
  <c r="K3519" i="210"/>
  <c r="L3519" i="210"/>
  <c r="N3519" i="210"/>
  <c r="P3519" i="210"/>
  <c r="Q3519" i="210"/>
  <c r="D3520" i="210"/>
  <c r="K3520" i="210"/>
  <c r="L3520" i="210"/>
  <c r="N3520" i="210"/>
  <c r="P3520" i="210"/>
  <c r="Q3520" i="210"/>
  <c r="D3521" i="210"/>
  <c r="K3521" i="210"/>
  <c r="L3521" i="210"/>
  <c r="N3521" i="210"/>
  <c r="P3521" i="210"/>
  <c r="Q3521" i="210"/>
  <c r="D3522" i="210"/>
  <c r="K3522" i="210"/>
  <c r="L3522" i="210"/>
  <c r="N3522" i="210"/>
  <c r="P3522" i="210"/>
  <c r="Q3522" i="210"/>
  <c r="D3523" i="210"/>
  <c r="K3523" i="210"/>
  <c r="L3523" i="210"/>
  <c r="N3523" i="210"/>
  <c r="P3523" i="210"/>
  <c r="Q3523" i="210"/>
  <c r="D3524" i="210"/>
  <c r="K3524" i="210"/>
  <c r="L3524" i="210"/>
  <c r="N3524" i="210"/>
  <c r="P3524" i="210"/>
  <c r="Q3524" i="210"/>
  <c r="D3525" i="210"/>
  <c r="K3525" i="210"/>
  <c r="L3525" i="210"/>
  <c r="N3525" i="210"/>
  <c r="P3525" i="210"/>
  <c r="Q3525" i="210"/>
  <c r="D3526" i="210"/>
  <c r="K3526" i="210"/>
  <c r="L3526" i="210"/>
  <c r="N3526" i="210"/>
  <c r="P3526" i="210"/>
  <c r="Q3526" i="210"/>
  <c r="D3527" i="210"/>
  <c r="K3527" i="210"/>
  <c r="L3527" i="210"/>
  <c r="N3527" i="210"/>
  <c r="P3527" i="210"/>
  <c r="Q3527" i="210"/>
  <c r="D3528" i="210"/>
  <c r="K3528" i="210"/>
  <c r="L3528" i="210"/>
  <c r="N3528" i="210"/>
  <c r="P3528" i="210"/>
  <c r="Q3528" i="210"/>
  <c r="D3529" i="210"/>
  <c r="K3529" i="210"/>
  <c r="L3529" i="210"/>
  <c r="N3529" i="210"/>
  <c r="P3529" i="210"/>
  <c r="Q3529" i="210"/>
  <c r="D3530" i="210"/>
  <c r="K3530" i="210"/>
  <c r="L3530" i="210"/>
  <c r="N3530" i="210"/>
  <c r="P3530" i="210"/>
  <c r="Q3530" i="210"/>
  <c r="D3531" i="210"/>
  <c r="K3531" i="210"/>
  <c r="L3531" i="210"/>
  <c r="N3531" i="210"/>
  <c r="P3531" i="210"/>
  <c r="Q3531" i="210"/>
  <c r="D3532" i="210"/>
  <c r="K3532" i="210"/>
  <c r="L3532" i="210"/>
  <c r="N3532" i="210"/>
  <c r="P3532" i="210"/>
  <c r="Q3532" i="210"/>
  <c r="D3533" i="210"/>
  <c r="K3533" i="210"/>
  <c r="L3533" i="210"/>
  <c r="N3533" i="210"/>
  <c r="P3533" i="210"/>
  <c r="Q3533" i="210"/>
  <c r="D3534" i="210"/>
  <c r="K3534" i="210"/>
  <c r="L3534" i="210"/>
  <c r="N3534" i="210"/>
  <c r="P3534" i="210"/>
  <c r="Q3534" i="210"/>
  <c r="D3535" i="210"/>
  <c r="K3535" i="210"/>
  <c r="L3535" i="210"/>
  <c r="N3535" i="210"/>
  <c r="P3535" i="210"/>
  <c r="Q3535" i="210"/>
  <c r="D3536" i="210"/>
  <c r="K3536" i="210"/>
  <c r="L3536" i="210"/>
  <c r="N3536" i="210"/>
  <c r="P3536" i="210"/>
  <c r="Q3536" i="210"/>
  <c r="C3539" i="210"/>
  <c r="C3540" i="210" s="1"/>
  <c r="C3541" i="210" s="1"/>
  <c r="H3539" i="210"/>
  <c r="E3539" i="210" s="1"/>
  <c r="E3540" i="210" s="1"/>
  <c r="E3541" i="210" s="1"/>
  <c r="E3543" i="210" s="1"/>
  <c r="E3545" i="210" s="1"/>
  <c r="E3547" i="210" s="1"/>
  <c r="E3549" i="210" s="1"/>
  <c r="E3551" i="210" s="1"/>
  <c r="E3553" i="210" s="1"/>
  <c r="E3555" i="210" s="1"/>
  <c r="E3557" i="210" s="1"/>
  <c r="E3559" i="210" s="1"/>
  <c r="E3561" i="210" s="1"/>
  <c r="E3563" i="210" s="1"/>
  <c r="E3565" i="210" s="1"/>
  <c r="E3567" i="210" s="1"/>
  <c r="E3569" i="210" s="1"/>
  <c r="E3571" i="210" s="1"/>
  <c r="E3573" i="210" s="1"/>
  <c r="E3575" i="210" s="1"/>
  <c r="E3577" i="210" s="1"/>
  <c r="E3579" i="210" s="1"/>
  <c r="E3581" i="210" s="1"/>
  <c r="E3583" i="210" s="1"/>
  <c r="E3585" i="210" s="1"/>
  <c r="E3587" i="210" s="1"/>
  <c r="E3589" i="210" s="1"/>
  <c r="E3591" i="210" s="1"/>
  <c r="I3539" i="210"/>
  <c r="J3539" i="210"/>
  <c r="I3540" i="210"/>
  <c r="I3541" i="210"/>
  <c r="D3543" i="210"/>
  <c r="K3543" i="210"/>
  <c r="L3543" i="210"/>
  <c r="N3543" i="210"/>
  <c r="P3543" i="210"/>
  <c r="Q3543" i="210"/>
  <c r="D3544" i="210"/>
  <c r="E3544" i="210"/>
  <c r="E3546" i="210" s="1"/>
  <c r="E3548" i="210" s="1"/>
  <c r="E3550" i="210" s="1"/>
  <c r="E3552" i="210" s="1"/>
  <c r="E3554" i="210" s="1"/>
  <c r="E3556" i="210" s="1"/>
  <c r="E3558" i="210" s="1"/>
  <c r="E3560" i="210" s="1"/>
  <c r="E3562" i="210" s="1"/>
  <c r="E3564" i="210" s="1"/>
  <c r="E3566" i="210" s="1"/>
  <c r="E3568" i="210" s="1"/>
  <c r="E3570" i="210" s="1"/>
  <c r="E3572" i="210" s="1"/>
  <c r="E3574" i="210" s="1"/>
  <c r="E3576" i="210" s="1"/>
  <c r="E3578" i="210" s="1"/>
  <c r="E3580" i="210" s="1"/>
  <c r="E3582" i="210" s="1"/>
  <c r="E3584" i="210" s="1"/>
  <c r="E3586" i="210" s="1"/>
  <c r="E3588" i="210" s="1"/>
  <c r="E3590" i="210" s="1"/>
  <c r="E3592" i="210" s="1"/>
  <c r="K3544" i="210"/>
  <c r="L3544" i="210"/>
  <c r="N3544" i="210"/>
  <c r="P3544" i="210"/>
  <c r="Q3544" i="210"/>
  <c r="D3545" i="210"/>
  <c r="K3545" i="210"/>
  <c r="L3545" i="210"/>
  <c r="N3545" i="210"/>
  <c r="P3545" i="210"/>
  <c r="Q3545" i="210"/>
  <c r="D3546" i="210"/>
  <c r="K3546" i="210"/>
  <c r="L3546" i="210"/>
  <c r="N3546" i="210"/>
  <c r="P3546" i="210"/>
  <c r="Q3546" i="210"/>
  <c r="D3547" i="210"/>
  <c r="K3547" i="210"/>
  <c r="L3547" i="210"/>
  <c r="N3547" i="210"/>
  <c r="P3547" i="210"/>
  <c r="Q3547" i="210"/>
  <c r="D3548" i="210"/>
  <c r="K3548" i="210"/>
  <c r="L3548" i="210"/>
  <c r="N3548" i="210"/>
  <c r="P3548" i="210"/>
  <c r="Q3548" i="210"/>
  <c r="D3549" i="210"/>
  <c r="K3549" i="210"/>
  <c r="L3549" i="210"/>
  <c r="N3549" i="210"/>
  <c r="P3549" i="210"/>
  <c r="Q3549" i="210"/>
  <c r="D3550" i="210"/>
  <c r="K3550" i="210"/>
  <c r="L3550" i="210"/>
  <c r="N3550" i="210"/>
  <c r="P3550" i="210"/>
  <c r="Q3550" i="210"/>
  <c r="D3551" i="210"/>
  <c r="K3551" i="210"/>
  <c r="L3551" i="210"/>
  <c r="N3551" i="210"/>
  <c r="P3551" i="210"/>
  <c r="Q3551" i="210"/>
  <c r="D3552" i="210"/>
  <c r="K3552" i="210"/>
  <c r="L3552" i="210"/>
  <c r="N3552" i="210"/>
  <c r="P3552" i="210"/>
  <c r="Q3552" i="210"/>
  <c r="D3553" i="210"/>
  <c r="K3553" i="210"/>
  <c r="L3553" i="210"/>
  <c r="N3553" i="210"/>
  <c r="P3553" i="210"/>
  <c r="Q3553" i="210"/>
  <c r="D3554" i="210"/>
  <c r="K3554" i="210"/>
  <c r="L3554" i="210"/>
  <c r="N3554" i="210"/>
  <c r="P3554" i="210"/>
  <c r="Q3554" i="210"/>
  <c r="D3555" i="210"/>
  <c r="K3555" i="210"/>
  <c r="L3555" i="210"/>
  <c r="N3555" i="210"/>
  <c r="P3555" i="210"/>
  <c r="Q3555" i="210"/>
  <c r="D3556" i="210"/>
  <c r="K3556" i="210"/>
  <c r="L3556" i="210"/>
  <c r="N3556" i="210"/>
  <c r="P3556" i="210"/>
  <c r="Q3556" i="210"/>
  <c r="D3557" i="210"/>
  <c r="K3557" i="210"/>
  <c r="L3557" i="210"/>
  <c r="N3557" i="210"/>
  <c r="P3557" i="210"/>
  <c r="Q3557" i="210"/>
  <c r="D3558" i="210"/>
  <c r="K3558" i="210"/>
  <c r="L3558" i="210"/>
  <c r="N3558" i="210"/>
  <c r="P3558" i="210"/>
  <c r="Q3558" i="210"/>
  <c r="D3559" i="210"/>
  <c r="K3559" i="210"/>
  <c r="L3559" i="210"/>
  <c r="N3559" i="210"/>
  <c r="P3559" i="210"/>
  <c r="Q3559" i="210"/>
  <c r="D3560" i="210"/>
  <c r="K3560" i="210"/>
  <c r="L3560" i="210"/>
  <c r="N3560" i="210"/>
  <c r="P3560" i="210"/>
  <c r="Q3560" i="210"/>
  <c r="D3561" i="210"/>
  <c r="K3561" i="210"/>
  <c r="L3561" i="210"/>
  <c r="N3561" i="210"/>
  <c r="P3561" i="210"/>
  <c r="Q3561" i="210"/>
  <c r="D3562" i="210"/>
  <c r="K3562" i="210"/>
  <c r="L3562" i="210"/>
  <c r="N3562" i="210"/>
  <c r="P3562" i="210"/>
  <c r="Q3562" i="210"/>
  <c r="D3563" i="210"/>
  <c r="K3563" i="210"/>
  <c r="L3563" i="210"/>
  <c r="N3563" i="210"/>
  <c r="P3563" i="210"/>
  <c r="Q3563" i="210"/>
  <c r="D3564" i="210"/>
  <c r="K3564" i="210"/>
  <c r="L3564" i="210"/>
  <c r="N3564" i="210"/>
  <c r="P3564" i="210"/>
  <c r="Q3564" i="210"/>
  <c r="D3565" i="210"/>
  <c r="K3565" i="210"/>
  <c r="L3565" i="210"/>
  <c r="N3565" i="210"/>
  <c r="P3565" i="210"/>
  <c r="Q3565" i="210"/>
  <c r="D3566" i="210"/>
  <c r="K3566" i="210"/>
  <c r="L3566" i="210"/>
  <c r="N3566" i="210"/>
  <c r="P3566" i="210"/>
  <c r="Q3566" i="210"/>
  <c r="D3567" i="210"/>
  <c r="K3567" i="210"/>
  <c r="L3567" i="210"/>
  <c r="N3567" i="210"/>
  <c r="P3567" i="210"/>
  <c r="Q3567" i="210"/>
  <c r="D3568" i="210"/>
  <c r="K3568" i="210"/>
  <c r="L3568" i="210"/>
  <c r="N3568" i="210"/>
  <c r="P3568" i="210"/>
  <c r="Q3568" i="210"/>
  <c r="D3569" i="210"/>
  <c r="K3569" i="210"/>
  <c r="L3569" i="210"/>
  <c r="N3569" i="210"/>
  <c r="P3569" i="210"/>
  <c r="Q3569" i="210"/>
  <c r="D3570" i="210"/>
  <c r="K3570" i="210"/>
  <c r="L3570" i="210"/>
  <c r="N3570" i="210"/>
  <c r="P3570" i="210"/>
  <c r="Q3570" i="210"/>
  <c r="D3571" i="210"/>
  <c r="K3571" i="210"/>
  <c r="L3571" i="210"/>
  <c r="N3571" i="210"/>
  <c r="P3571" i="210"/>
  <c r="Q3571" i="210"/>
  <c r="D3572" i="210"/>
  <c r="K3572" i="210"/>
  <c r="L3572" i="210"/>
  <c r="N3572" i="210"/>
  <c r="P3572" i="210"/>
  <c r="Q3572" i="210"/>
  <c r="D3573" i="210"/>
  <c r="K3573" i="210"/>
  <c r="L3573" i="210"/>
  <c r="N3573" i="210"/>
  <c r="P3573" i="210"/>
  <c r="Q3573" i="210"/>
  <c r="D3574" i="210"/>
  <c r="K3574" i="210"/>
  <c r="L3574" i="210"/>
  <c r="N3574" i="210"/>
  <c r="P3574" i="210"/>
  <c r="Q3574" i="210"/>
  <c r="D3575" i="210"/>
  <c r="K3575" i="210"/>
  <c r="L3575" i="210"/>
  <c r="N3575" i="210"/>
  <c r="P3575" i="210"/>
  <c r="Q3575" i="210"/>
  <c r="D3576" i="210"/>
  <c r="K3576" i="210"/>
  <c r="L3576" i="210"/>
  <c r="N3576" i="210"/>
  <c r="P3576" i="210"/>
  <c r="Q3576" i="210"/>
  <c r="D3577" i="210"/>
  <c r="K3577" i="210"/>
  <c r="L3577" i="210"/>
  <c r="N3577" i="210"/>
  <c r="P3577" i="210"/>
  <c r="Q3577" i="210"/>
  <c r="D3578" i="210"/>
  <c r="K3578" i="210"/>
  <c r="L3578" i="210"/>
  <c r="N3578" i="210"/>
  <c r="P3578" i="210"/>
  <c r="Q3578" i="210"/>
  <c r="D3579" i="210"/>
  <c r="K3579" i="210"/>
  <c r="L3579" i="210"/>
  <c r="N3579" i="210"/>
  <c r="P3579" i="210"/>
  <c r="Q3579" i="210"/>
  <c r="D3580" i="210"/>
  <c r="K3580" i="210"/>
  <c r="L3580" i="210"/>
  <c r="N3580" i="210"/>
  <c r="P3580" i="210"/>
  <c r="Q3580" i="210"/>
  <c r="D3581" i="210"/>
  <c r="K3581" i="210"/>
  <c r="L3581" i="210"/>
  <c r="N3581" i="210"/>
  <c r="P3581" i="210"/>
  <c r="Q3581" i="210"/>
  <c r="D3582" i="210"/>
  <c r="K3582" i="210"/>
  <c r="L3582" i="210"/>
  <c r="N3582" i="210"/>
  <c r="P3582" i="210"/>
  <c r="Q3582" i="210"/>
  <c r="D3583" i="210"/>
  <c r="K3583" i="210"/>
  <c r="L3583" i="210"/>
  <c r="N3583" i="210"/>
  <c r="P3583" i="210"/>
  <c r="Q3583" i="210"/>
  <c r="D3584" i="210"/>
  <c r="K3584" i="210"/>
  <c r="L3584" i="210"/>
  <c r="N3584" i="210"/>
  <c r="P3584" i="210"/>
  <c r="Q3584" i="210"/>
  <c r="D3585" i="210"/>
  <c r="K3585" i="210"/>
  <c r="L3585" i="210"/>
  <c r="N3585" i="210"/>
  <c r="P3585" i="210"/>
  <c r="Q3585" i="210"/>
  <c r="D3586" i="210"/>
  <c r="K3586" i="210"/>
  <c r="L3586" i="210"/>
  <c r="N3586" i="210"/>
  <c r="P3586" i="210"/>
  <c r="Q3586" i="210"/>
  <c r="D3587" i="210"/>
  <c r="K3587" i="210"/>
  <c r="L3587" i="210"/>
  <c r="N3587" i="210"/>
  <c r="P3587" i="210"/>
  <c r="Q3587" i="210"/>
  <c r="D3588" i="210"/>
  <c r="K3588" i="210"/>
  <c r="L3588" i="210"/>
  <c r="N3588" i="210"/>
  <c r="P3588" i="210"/>
  <c r="Q3588" i="210"/>
  <c r="D3589" i="210"/>
  <c r="K3589" i="210"/>
  <c r="L3589" i="210"/>
  <c r="N3589" i="210"/>
  <c r="P3589" i="210"/>
  <c r="Q3589" i="210"/>
  <c r="D3590" i="210"/>
  <c r="K3590" i="210"/>
  <c r="L3590" i="210"/>
  <c r="N3590" i="210"/>
  <c r="P3590" i="210"/>
  <c r="Q3590" i="210"/>
  <c r="D3591" i="210"/>
  <c r="K3591" i="210"/>
  <c r="L3591" i="210"/>
  <c r="N3591" i="210"/>
  <c r="P3591" i="210"/>
  <c r="Q3591" i="210"/>
  <c r="D3592" i="210"/>
  <c r="K3592" i="210"/>
  <c r="L3592" i="210"/>
  <c r="N3592" i="210"/>
  <c r="P3592" i="210"/>
  <c r="Q3592" i="210"/>
  <c r="C3595" i="210"/>
  <c r="C3596" i="210" s="1"/>
  <c r="C3597" i="210" s="1"/>
  <c r="E3595" i="210"/>
  <c r="E3596" i="210" s="1"/>
  <c r="E3597" i="210" s="1"/>
  <c r="E3599" i="210" s="1"/>
  <c r="E3601" i="210" s="1"/>
  <c r="E3603" i="210" s="1"/>
  <c r="E3605" i="210" s="1"/>
  <c r="E3607" i="210" s="1"/>
  <c r="E3609" i="210" s="1"/>
  <c r="E3611" i="210" s="1"/>
  <c r="E3613" i="210" s="1"/>
  <c r="E3615" i="210" s="1"/>
  <c r="E3617" i="210" s="1"/>
  <c r="E3619" i="210" s="1"/>
  <c r="E3621" i="210" s="1"/>
  <c r="E3623" i="210" s="1"/>
  <c r="E3625" i="210" s="1"/>
  <c r="E3627" i="210" s="1"/>
  <c r="E3629" i="210" s="1"/>
  <c r="E3631" i="210" s="1"/>
  <c r="E3633" i="210" s="1"/>
  <c r="E3635" i="210" s="1"/>
  <c r="E3637" i="210" s="1"/>
  <c r="E3639" i="210" s="1"/>
  <c r="H3595" i="210"/>
  <c r="I3595" i="210"/>
  <c r="J3595" i="210"/>
  <c r="I3596" i="210"/>
  <c r="I3597" i="210"/>
  <c r="D3599" i="210"/>
  <c r="K3599" i="210"/>
  <c r="L3599" i="210"/>
  <c r="N3599" i="210"/>
  <c r="P3599" i="210"/>
  <c r="Q3599" i="210"/>
  <c r="D3600" i="210"/>
  <c r="E3600" i="210"/>
  <c r="E3602" i="210" s="1"/>
  <c r="E3604" i="210" s="1"/>
  <c r="E3606" i="210" s="1"/>
  <c r="E3608" i="210" s="1"/>
  <c r="E3610" i="210" s="1"/>
  <c r="E3612" i="210" s="1"/>
  <c r="E3614" i="210" s="1"/>
  <c r="E3616" i="210" s="1"/>
  <c r="E3618" i="210" s="1"/>
  <c r="E3620" i="210" s="1"/>
  <c r="E3622" i="210" s="1"/>
  <c r="E3624" i="210" s="1"/>
  <c r="E3626" i="210" s="1"/>
  <c r="E3628" i="210" s="1"/>
  <c r="E3630" i="210" s="1"/>
  <c r="E3632" i="210" s="1"/>
  <c r="E3634" i="210" s="1"/>
  <c r="E3636" i="210" s="1"/>
  <c r="E3638" i="210" s="1"/>
  <c r="E3640" i="210" s="1"/>
  <c r="K3600" i="210"/>
  <c r="L3600" i="210"/>
  <c r="N3600" i="210"/>
  <c r="P3600" i="210"/>
  <c r="Q3600" i="210"/>
  <c r="D3601" i="210"/>
  <c r="K3601" i="210"/>
  <c r="L3601" i="210"/>
  <c r="N3601" i="210"/>
  <c r="P3601" i="210"/>
  <c r="Q3601" i="210"/>
  <c r="D3602" i="210"/>
  <c r="K3602" i="210"/>
  <c r="L3602" i="210"/>
  <c r="N3602" i="210"/>
  <c r="P3602" i="210"/>
  <c r="Q3602" i="210"/>
  <c r="D3603" i="210"/>
  <c r="K3603" i="210"/>
  <c r="L3603" i="210"/>
  <c r="N3603" i="210"/>
  <c r="P3603" i="210"/>
  <c r="Q3603" i="210"/>
  <c r="D3604" i="210"/>
  <c r="K3604" i="210"/>
  <c r="L3604" i="210"/>
  <c r="N3604" i="210"/>
  <c r="P3604" i="210"/>
  <c r="Q3604" i="210"/>
  <c r="D3605" i="210"/>
  <c r="K3605" i="210"/>
  <c r="L3605" i="210"/>
  <c r="N3605" i="210"/>
  <c r="P3605" i="210"/>
  <c r="Q3605" i="210"/>
  <c r="D3606" i="210"/>
  <c r="K3606" i="210"/>
  <c r="L3606" i="210"/>
  <c r="N3606" i="210"/>
  <c r="P3606" i="210"/>
  <c r="Q3606" i="210"/>
  <c r="D3607" i="210"/>
  <c r="K3607" i="210"/>
  <c r="L3607" i="210"/>
  <c r="N3607" i="210"/>
  <c r="P3607" i="210"/>
  <c r="Q3607" i="210"/>
  <c r="D3608" i="210"/>
  <c r="K3608" i="210"/>
  <c r="L3608" i="210"/>
  <c r="N3608" i="210"/>
  <c r="P3608" i="210"/>
  <c r="Q3608" i="210"/>
  <c r="D3609" i="210"/>
  <c r="K3609" i="210"/>
  <c r="L3609" i="210"/>
  <c r="N3609" i="210"/>
  <c r="P3609" i="210"/>
  <c r="Q3609" i="210"/>
  <c r="D3610" i="210"/>
  <c r="K3610" i="210"/>
  <c r="L3610" i="210"/>
  <c r="N3610" i="210"/>
  <c r="P3610" i="210"/>
  <c r="Q3610" i="210"/>
  <c r="D3611" i="210"/>
  <c r="K3611" i="210"/>
  <c r="L3611" i="210"/>
  <c r="N3611" i="210"/>
  <c r="P3611" i="210"/>
  <c r="Q3611" i="210"/>
  <c r="D3612" i="210"/>
  <c r="K3612" i="210"/>
  <c r="L3612" i="210"/>
  <c r="N3612" i="210"/>
  <c r="P3612" i="210"/>
  <c r="Q3612" i="210"/>
  <c r="D3613" i="210"/>
  <c r="K3613" i="210"/>
  <c r="L3613" i="210"/>
  <c r="N3613" i="210"/>
  <c r="P3613" i="210"/>
  <c r="Q3613" i="210"/>
  <c r="D3614" i="210"/>
  <c r="K3614" i="210"/>
  <c r="L3614" i="210"/>
  <c r="N3614" i="210"/>
  <c r="P3614" i="210"/>
  <c r="Q3614" i="210"/>
  <c r="D3615" i="210"/>
  <c r="K3615" i="210"/>
  <c r="L3615" i="210"/>
  <c r="N3615" i="210"/>
  <c r="P3615" i="210"/>
  <c r="Q3615" i="210"/>
  <c r="D3616" i="210"/>
  <c r="K3616" i="210"/>
  <c r="L3616" i="210"/>
  <c r="N3616" i="210"/>
  <c r="P3616" i="210"/>
  <c r="Q3616" i="210"/>
  <c r="D3617" i="210"/>
  <c r="K3617" i="210"/>
  <c r="L3617" i="210"/>
  <c r="N3617" i="210"/>
  <c r="P3617" i="210"/>
  <c r="Q3617" i="210"/>
  <c r="D3618" i="210"/>
  <c r="K3618" i="210"/>
  <c r="L3618" i="210"/>
  <c r="N3618" i="210"/>
  <c r="P3618" i="210"/>
  <c r="Q3618" i="210"/>
  <c r="D3619" i="210"/>
  <c r="K3619" i="210"/>
  <c r="L3619" i="210"/>
  <c r="N3619" i="210"/>
  <c r="P3619" i="210"/>
  <c r="Q3619" i="210"/>
  <c r="D3620" i="210"/>
  <c r="K3620" i="210"/>
  <c r="L3620" i="210"/>
  <c r="N3620" i="210"/>
  <c r="P3620" i="210"/>
  <c r="Q3620" i="210"/>
  <c r="D3621" i="210"/>
  <c r="K3621" i="210"/>
  <c r="L3621" i="210"/>
  <c r="N3621" i="210"/>
  <c r="P3621" i="210"/>
  <c r="Q3621" i="210"/>
  <c r="D3622" i="210"/>
  <c r="K3622" i="210"/>
  <c r="L3622" i="210"/>
  <c r="N3622" i="210"/>
  <c r="P3622" i="210"/>
  <c r="Q3622" i="210"/>
  <c r="D3623" i="210"/>
  <c r="K3623" i="210"/>
  <c r="L3623" i="210"/>
  <c r="N3623" i="210"/>
  <c r="P3623" i="210"/>
  <c r="Q3623" i="210"/>
  <c r="D3624" i="210"/>
  <c r="K3624" i="210"/>
  <c r="L3624" i="210"/>
  <c r="N3624" i="210"/>
  <c r="P3624" i="210"/>
  <c r="Q3624" i="210"/>
  <c r="D3625" i="210"/>
  <c r="K3625" i="210"/>
  <c r="L3625" i="210"/>
  <c r="N3625" i="210"/>
  <c r="P3625" i="210"/>
  <c r="Q3625" i="210"/>
  <c r="D3626" i="210"/>
  <c r="K3626" i="210"/>
  <c r="L3626" i="210"/>
  <c r="N3626" i="210"/>
  <c r="P3626" i="210"/>
  <c r="Q3626" i="210"/>
  <c r="D3627" i="210"/>
  <c r="K3627" i="210"/>
  <c r="L3627" i="210"/>
  <c r="N3627" i="210"/>
  <c r="P3627" i="210"/>
  <c r="Q3627" i="210"/>
  <c r="D3628" i="210"/>
  <c r="K3628" i="210"/>
  <c r="L3628" i="210"/>
  <c r="N3628" i="210"/>
  <c r="P3628" i="210"/>
  <c r="Q3628" i="210"/>
  <c r="D3629" i="210"/>
  <c r="K3629" i="210"/>
  <c r="L3629" i="210"/>
  <c r="N3629" i="210"/>
  <c r="P3629" i="210"/>
  <c r="Q3629" i="210"/>
  <c r="D3630" i="210"/>
  <c r="K3630" i="210"/>
  <c r="L3630" i="210"/>
  <c r="N3630" i="210"/>
  <c r="P3630" i="210"/>
  <c r="Q3630" i="210"/>
  <c r="D3631" i="210"/>
  <c r="K3631" i="210"/>
  <c r="L3631" i="210"/>
  <c r="N3631" i="210"/>
  <c r="P3631" i="210"/>
  <c r="Q3631" i="210"/>
  <c r="D3632" i="210"/>
  <c r="K3632" i="210"/>
  <c r="L3632" i="210"/>
  <c r="N3632" i="210"/>
  <c r="P3632" i="210"/>
  <c r="Q3632" i="210"/>
  <c r="D3633" i="210"/>
  <c r="K3633" i="210"/>
  <c r="L3633" i="210"/>
  <c r="N3633" i="210"/>
  <c r="P3633" i="210"/>
  <c r="Q3633" i="210"/>
  <c r="D3634" i="210"/>
  <c r="K3634" i="210"/>
  <c r="L3634" i="210"/>
  <c r="N3634" i="210"/>
  <c r="P3634" i="210"/>
  <c r="Q3634" i="210"/>
  <c r="D3635" i="210"/>
  <c r="K3635" i="210"/>
  <c r="L3635" i="210"/>
  <c r="N3635" i="210"/>
  <c r="P3635" i="210"/>
  <c r="Q3635" i="210"/>
  <c r="D3636" i="210"/>
  <c r="K3636" i="210"/>
  <c r="L3636" i="210"/>
  <c r="N3636" i="210"/>
  <c r="P3636" i="210"/>
  <c r="Q3636" i="210"/>
  <c r="D3637" i="210"/>
  <c r="K3637" i="210"/>
  <c r="L3637" i="210"/>
  <c r="N3637" i="210"/>
  <c r="P3637" i="210"/>
  <c r="Q3637" i="210"/>
  <c r="D3638" i="210"/>
  <c r="K3638" i="210"/>
  <c r="L3638" i="210"/>
  <c r="N3638" i="210"/>
  <c r="P3638" i="210"/>
  <c r="Q3638" i="210"/>
  <c r="D3639" i="210"/>
  <c r="K3639" i="210"/>
  <c r="L3639" i="210"/>
  <c r="N3639" i="210"/>
  <c r="P3639" i="210"/>
  <c r="Q3639" i="210"/>
  <c r="D3640" i="210"/>
  <c r="K3640" i="210"/>
  <c r="L3640" i="210"/>
  <c r="N3640" i="210"/>
  <c r="P3640" i="210"/>
  <c r="Q3640" i="210"/>
  <c r="C3643" i="210"/>
  <c r="C3644" i="210" s="1"/>
  <c r="C3645" i="210" s="1"/>
  <c r="E3643" i="210"/>
  <c r="E3644" i="210" s="1"/>
  <c r="E3645" i="210" s="1"/>
  <c r="E3647" i="210" s="1"/>
  <c r="E3649" i="210" s="1"/>
  <c r="E3651" i="210" s="1"/>
  <c r="E3653" i="210" s="1"/>
  <c r="E3655" i="210" s="1"/>
  <c r="E3657" i="210" s="1"/>
  <c r="E3659" i="210" s="1"/>
  <c r="E3661" i="210" s="1"/>
  <c r="E3663" i="210" s="1"/>
  <c r="E3665" i="210" s="1"/>
  <c r="E3667" i="210" s="1"/>
  <c r="E3669" i="210" s="1"/>
  <c r="E3671" i="210" s="1"/>
  <c r="E3673" i="210" s="1"/>
  <c r="E3675" i="210" s="1"/>
  <c r="E3677" i="210" s="1"/>
  <c r="E3679" i="210" s="1"/>
  <c r="E3681" i="210" s="1"/>
  <c r="E3683" i="210" s="1"/>
  <c r="E3685" i="210" s="1"/>
  <c r="E3687" i="210" s="1"/>
  <c r="E3689" i="210" s="1"/>
  <c r="E3691" i="210" s="1"/>
  <c r="E3693" i="210" s="1"/>
  <c r="E3695" i="210" s="1"/>
  <c r="E3697" i="210" s="1"/>
  <c r="E3699" i="210" s="1"/>
  <c r="H3643" i="210"/>
  <c r="I3643" i="210"/>
  <c r="J3643" i="210"/>
  <c r="I3644" i="210"/>
  <c r="I3645" i="210"/>
  <c r="D3647" i="210"/>
  <c r="K3647" i="210"/>
  <c r="L3647" i="210"/>
  <c r="N3647" i="210"/>
  <c r="P3647" i="210"/>
  <c r="Q3647" i="210"/>
  <c r="D3648" i="210"/>
  <c r="E3648" i="210"/>
  <c r="E3650" i="210" s="1"/>
  <c r="E3652" i="210" s="1"/>
  <c r="E3654" i="210" s="1"/>
  <c r="E3656" i="210" s="1"/>
  <c r="E3658" i="210" s="1"/>
  <c r="E3660" i="210" s="1"/>
  <c r="E3662" i="210" s="1"/>
  <c r="E3664" i="210" s="1"/>
  <c r="E3666" i="210" s="1"/>
  <c r="E3668" i="210" s="1"/>
  <c r="E3670" i="210" s="1"/>
  <c r="E3672" i="210" s="1"/>
  <c r="E3674" i="210" s="1"/>
  <c r="E3676" i="210" s="1"/>
  <c r="E3678" i="210" s="1"/>
  <c r="E3680" i="210" s="1"/>
  <c r="E3682" i="210" s="1"/>
  <c r="E3684" i="210" s="1"/>
  <c r="E3686" i="210" s="1"/>
  <c r="E3688" i="210" s="1"/>
  <c r="E3690" i="210" s="1"/>
  <c r="E3692" i="210" s="1"/>
  <c r="E3694" i="210" s="1"/>
  <c r="E3696" i="210" s="1"/>
  <c r="E3698" i="210" s="1"/>
  <c r="K3648" i="210"/>
  <c r="L3648" i="210"/>
  <c r="N3648" i="210"/>
  <c r="P3648" i="210"/>
  <c r="Q3648" i="210"/>
  <c r="D3649" i="210"/>
  <c r="K3649" i="210"/>
  <c r="L3649" i="210"/>
  <c r="N3649" i="210"/>
  <c r="P3649" i="210"/>
  <c r="Q3649" i="210"/>
  <c r="D3650" i="210"/>
  <c r="K3650" i="210"/>
  <c r="L3650" i="210"/>
  <c r="N3650" i="210"/>
  <c r="P3650" i="210"/>
  <c r="Q3650" i="210"/>
  <c r="D3651" i="210"/>
  <c r="K3651" i="210"/>
  <c r="L3651" i="210"/>
  <c r="N3651" i="210"/>
  <c r="P3651" i="210"/>
  <c r="Q3651" i="210"/>
  <c r="D3652" i="210"/>
  <c r="K3652" i="210"/>
  <c r="L3652" i="210"/>
  <c r="N3652" i="210"/>
  <c r="P3652" i="210"/>
  <c r="Q3652" i="210"/>
  <c r="D3653" i="210"/>
  <c r="K3653" i="210"/>
  <c r="L3653" i="210"/>
  <c r="N3653" i="210"/>
  <c r="P3653" i="210"/>
  <c r="Q3653" i="210"/>
  <c r="D3654" i="210"/>
  <c r="K3654" i="210"/>
  <c r="L3654" i="210"/>
  <c r="N3654" i="210"/>
  <c r="P3654" i="210"/>
  <c r="Q3654" i="210"/>
  <c r="D3655" i="210"/>
  <c r="K3655" i="210"/>
  <c r="L3655" i="210"/>
  <c r="N3655" i="210"/>
  <c r="P3655" i="210"/>
  <c r="Q3655" i="210"/>
  <c r="D3656" i="210"/>
  <c r="K3656" i="210"/>
  <c r="L3656" i="210"/>
  <c r="N3656" i="210"/>
  <c r="P3656" i="210"/>
  <c r="Q3656" i="210"/>
  <c r="D3657" i="210"/>
  <c r="K3657" i="210"/>
  <c r="L3657" i="210"/>
  <c r="N3657" i="210"/>
  <c r="P3657" i="210"/>
  <c r="Q3657" i="210"/>
  <c r="D3658" i="210"/>
  <c r="K3658" i="210"/>
  <c r="L3658" i="210"/>
  <c r="N3658" i="210"/>
  <c r="P3658" i="210"/>
  <c r="Q3658" i="210"/>
  <c r="D3659" i="210"/>
  <c r="K3659" i="210"/>
  <c r="L3659" i="210"/>
  <c r="N3659" i="210"/>
  <c r="P3659" i="210"/>
  <c r="Q3659" i="210"/>
  <c r="D3660" i="210"/>
  <c r="K3660" i="210"/>
  <c r="L3660" i="210"/>
  <c r="N3660" i="210"/>
  <c r="P3660" i="210"/>
  <c r="Q3660" i="210"/>
  <c r="D3661" i="210"/>
  <c r="K3661" i="210"/>
  <c r="L3661" i="210"/>
  <c r="N3661" i="210"/>
  <c r="P3661" i="210"/>
  <c r="Q3661" i="210"/>
  <c r="D3662" i="210"/>
  <c r="K3662" i="210"/>
  <c r="L3662" i="210"/>
  <c r="N3662" i="210"/>
  <c r="P3662" i="210"/>
  <c r="Q3662" i="210"/>
  <c r="D3663" i="210"/>
  <c r="K3663" i="210"/>
  <c r="L3663" i="210"/>
  <c r="N3663" i="210"/>
  <c r="P3663" i="210"/>
  <c r="Q3663" i="210"/>
  <c r="D3664" i="210"/>
  <c r="K3664" i="210"/>
  <c r="L3664" i="210"/>
  <c r="N3664" i="210"/>
  <c r="P3664" i="210"/>
  <c r="Q3664" i="210"/>
  <c r="D3665" i="210"/>
  <c r="K3665" i="210"/>
  <c r="L3665" i="210"/>
  <c r="N3665" i="210"/>
  <c r="P3665" i="210"/>
  <c r="Q3665" i="210"/>
  <c r="D3666" i="210"/>
  <c r="K3666" i="210"/>
  <c r="L3666" i="210"/>
  <c r="N3666" i="210"/>
  <c r="P3666" i="210"/>
  <c r="Q3666" i="210"/>
  <c r="D3667" i="210"/>
  <c r="K3667" i="210"/>
  <c r="L3667" i="210"/>
  <c r="N3667" i="210"/>
  <c r="P3667" i="210"/>
  <c r="Q3667" i="210"/>
  <c r="D3668" i="210"/>
  <c r="K3668" i="210"/>
  <c r="L3668" i="210"/>
  <c r="N3668" i="210"/>
  <c r="P3668" i="210"/>
  <c r="Q3668" i="210"/>
  <c r="D3669" i="210"/>
  <c r="K3669" i="210"/>
  <c r="L3669" i="210"/>
  <c r="N3669" i="210"/>
  <c r="P3669" i="210"/>
  <c r="Q3669" i="210"/>
  <c r="D3670" i="210"/>
  <c r="K3670" i="210"/>
  <c r="L3670" i="210"/>
  <c r="N3670" i="210"/>
  <c r="P3670" i="210"/>
  <c r="Q3670" i="210"/>
  <c r="D3671" i="210"/>
  <c r="K3671" i="210"/>
  <c r="L3671" i="210"/>
  <c r="N3671" i="210"/>
  <c r="P3671" i="210"/>
  <c r="Q3671" i="210"/>
  <c r="D3672" i="210"/>
  <c r="K3672" i="210"/>
  <c r="L3672" i="210"/>
  <c r="N3672" i="210"/>
  <c r="P3672" i="210"/>
  <c r="Q3672" i="210"/>
  <c r="D3673" i="210"/>
  <c r="K3673" i="210"/>
  <c r="L3673" i="210"/>
  <c r="N3673" i="210"/>
  <c r="P3673" i="210"/>
  <c r="Q3673" i="210"/>
  <c r="D3674" i="210"/>
  <c r="K3674" i="210"/>
  <c r="L3674" i="210"/>
  <c r="N3674" i="210"/>
  <c r="P3674" i="210"/>
  <c r="Q3674" i="210"/>
  <c r="D3675" i="210"/>
  <c r="K3675" i="210"/>
  <c r="L3675" i="210"/>
  <c r="N3675" i="210"/>
  <c r="P3675" i="210"/>
  <c r="Q3675" i="210"/>
  <c r="D3676" i="210"/>
  <c r="K3676" i="210"/>
  <c r="L3676" i="210"/>
  <c r="N3676" i="210"/>
  <c r="P3676" i="210"/>
  <c r="Q3676" i="210"/>
  <c r="D3677" i="210"/>
  <c r="K3677" i="210"/>
  <c r="L3677" i="210"/>
  <c r="N3677" i="210"/>
  <c r="P3677" i="210"/>
  <c r="Q3677" i="210"/>
  <c r="D3678" i="210"/>
  <c r="K3678" i="210"/>
  <c r="L3678" i="210"/>
  <c r="N3678" i="210"/>
  <c r="P3678" i="210"/>
  <c r="Q3678" i="210"/>
  <c r="D3679" i="210"/>
  <c r="K3679" i="210"/>
  <c r="L3679" i="210"/>
  <c r="N3679" i="210"/>
  <c r="P3679" i="210"/>
  <c r="Q3679" i="210"/>
  <c r="D3680" i="210"/>
  <c r="K3680" i="210"/>
  <c r="L3680" i="210"/>
  <c r="N3680" i="210"/>
  <c r="P3680" i="210"/>
  <c r="Q3680" i="210"/>
  <c r="D3681" i="210"/>
  <c r="K3681" i="210"/>
  <c r="L3681" i="210"/>
  <c r="N3681" i="210"/>
  <c r="P3681" i="210"/>
  <c r="Q3681" i="210"/>
  <c r="D3682" i="210"/>
  <c r="K3682" i="210"/>
  <c r="L3682" i="210"/>
  <c r="N3682" i="210"/>
  <c r="P3682" i="210"/>
  <c r="Q3682" i="210"/>
  <c r="D3683" i="210"/>
  <c r="K3683" i="210"/>
  <c r="L3683" i="210"/>
  <c r="N3683" i="210"/>
  <c r="P3683" i="210"/>
  <c r="Q3683" i="210"/>
  <c r="D3684" i="210"/>
  <c r="K3684" i="210"/>
  <c r="L3684" i="210"/>
  <c r="N3684" i="210"/>
  <c r="P3684" i="210"/>
  <c r="Q3684" i="210"/>
  <c r="D3685" i="210"/>
  <c r="K3685" i="210"/>
  <c r="L3685" i="210"/>
  <c r="N3685" i="210"/>
  <c r="P3685" i="210"/>
  <c r="Q3685" i="210"/>
  <c r="D3686" i="210"/>
  <c r="K3686" i="210"/>
  <c r="L3686" i="210"/>
  <c r="N3686" i="210"/>
  <c r="P3686" i="210"/>
  <c r="Q3686" i="210"/>
  <c r="D3687" i="210"/>
  <c r="K3687" i="210"/>
  <c r="L3687" i="210"/>
  <c r="N3687" i="210"/>
  <c r="P3687" i="210"/>
  <c r="Q3687" i="210"/>
  <c r="D3688" i="210"/>
  <c r="K3688" i="210"/>
  <c r="L3688" i="210"/>
  <c r="N3688" i="210"/>
  <c r="P3688" i="210"/>
  <c r="Q3688" i="210"/>
  <c r="D3689" i="210"/>
  <c r="K3689" i="210"/>
  <c r="L3689" i="210"/>
  <c r="N3689" i="210"/>
  <c r="P3689" i="210"/>
  <c r="Q3689" i="210"/>
  <c r="D3690" i="210"/>
  <c r="K3690" i="210"/>
  <c r="L3690" i="210"/>
  <c r="N3690" i="210"/>
  <c r="P3690" i="210"/>
  <c r="Q3690" i="210"/>
  <c r="D3691" i="210"/>
  <c r="K3691" i="210"/>
  <c r="L3691" i="210"/>
  <c r="N3691" i="210"/>
  <c r="P3691" i="210"/>
  <c r="Q3691" i="210"/>
  <c r="D3692" i="210"/>
  <c r="K3692" i="210"/>
  <c r="L3692" i="210"/>
  <c r="N3692" i="210"/>
  <c r="P3692" i="210"/>
  <c r="Q3692" i="210"/>
  <c r="D3693" i="210"/>
  <c r="K3693" i="210"/>
  <c r="L3693" i="210"/>
  <c r="N3693" i="210"/>
  <c r="P3693" i="210"/>
  <c r="Q3693" i="210"/>
  <c r="D3694" i="210"/>
  <c r="K3694" i="210"/>
  <c r="L3694" i="210"/>
  <c r="N3694" i="210"/>
  <c r="P3694" i="210"/>
  <c r="Q3694" i="210"/>
  <c r="D3695" i="210"/>
  <c r="K3695" i="210"/>
  <c r="L3695" i="210"/>
  <c r="N3695" i="210"/>
  <c r="P3695" i="210"/>
  <c r="Q3695" i="210"/>
  <c r="D3696" i="210"/>
  <c r="K3696" i="210"/>
  <c r="L3696" i="210"/>
  <c r="N3696" i="210"/>
  <c r="P3696" i="210"/>
  <c r="Q3696" i="210"/>
  <c r="D3697" i="210"/>
  <c r="K3697" i="210"/>
  <c r="L3697" i="210"/>
  <c r="N3697" i="210"/>
  <c r="P3697" i="210"/>
  <c r="Q3697" i="210"/>
  <c r="D3698" i="210"/>
  <c r="K3698" i="210"/>
  <c r="L3698" i="210"/>
  <c r="N3698" i="210"/>
  <c r="P3698" i="210"/>
  <c r="Q3698" i="210"/>
  <c r="D3699" i="210"/>
  <c r="K3699" i="210"/>
  <c r="L3699" i="210"/>
  <c r="N3699" i="210"/>
  <c r="P3699" i="210"/>
  <c r="Q3699" i="210"/>
  <c r="C3702" i="210"/>
  <c r="C3703" i="210" s="1"/>
  <c r="C3704" i="210" s="1"/>
  <c r="H3702" i="210"/>
  <c r="E3702" i="210" s="1"/>
  <c r="E3703" i="210" s="1"/>
  <c r="I3702" i="210"/>
  <c r="J3702" i="210"/>
  <c r="I3703" i="210"/>
  <c r="E3704" i="210"/>
  <c r="E3706" i="210" s="1"/>
  <c r="E3708" i="210" s="1"/>
  <c r="E3710" i="210" s="1"/>
  <c r="E3712" i="210" s="1"/>
  <c r="E3714" i="210" s="1"/>
  <c r="E3716" i="210" s="1"/>
  <c r="E3718" i="210" s="1"/>
  <c r="E3720" i="210" s="1"/>
  <c r="E3722" i="210" s="1"/>
  <c r="E3724" i="210" s="1"/>
  <c r="E3726" i="210" s="1"/>
  <c r="E3728" i="210" s="1"/>
  <c r="E3730" i="210" s="1"/>
  <c r="E3732" i="210" s="1"/>
  <c r="E3734" i="210" s="1"/>
  <c r="E3736" i="210" s="1"/>
  <c r="E3738" i="210" s="1"/>
  <c r="E3740" i="210" s="1"/>
  <c r="E3742" i="210" s="1"/>
  <c r="E3744" i="210" s="1"/>
  <c r="E3746" i="210" s="1"/>
  <c r="E3748" i="210" s="1"/>
  <c r="E3750" i="210" s="1"/>
  <c r="I3704" i="210"/>
  <c r="D3706" i="210"/>
  <c r="K3706" i="210"/>
  <c r="L3706" i="210"/>
  <c r="N3706" i="210"/>
  <c r="P3706" i="210"/>
  <c r="Q3706" i="210"/>
  <c r="D3707" i="210"/>
  <c r="E3707" i="210"/>
  <c r="K3707" i="210"/>
  <c r="L3707" i="210"/>
  <c r="N3707" i="210"/>
  <c r="P3707" i="210"/>
  <c r="Q3707" i="210"/>
  <c r="D3708" i="210"/>
  <c r="K3708" i="210"/>
  <c r="L3708" i="210"/>
  <c r="N3708" i="210"/>
  <c r="P3708" i="210"/>
  <c r="Q3708" i="210"/>
  <c r="D3709" i="210"/>
  <c r="E3709" i="210"/>
  <c r="E3711" i="210" s="1"/>
  <c r="E3713" i="210" s="1"/>
  <c r="E3715" i="210" s="1"/>
  <c r="E3717" i="210" s="1"/>
  <c r="E3719" i="210" s="1"/>
  <c r="E3721" i="210" s="1"/>
  <c r="E3723" i="210" s="1"/>
  <c r="E3725" i="210" s="1"/>
  <c r="E3727" i="210" s="1"/>
  <c r="E3729" i="210" s="1"/>
  <c r="E3731" i="210" s="1"/>
  <c r="E3733" i="210" s="1"/>
  <c r="E3735" i="210" s="1"/>
  <c r="E3737" i="210" s="1"/>
  <c r="E3739" i="210" s="1"/>
  <c r="E3741" i="210" s="1"/>
  <c r="E3743" i="210" s="1"/>
  <c r="E3745" i="210" s="1"/>
  <c r="E3747" i="210" s="1"/>
  <c r="E3749" i="210" s="1"/>
  <c r="K3709" i="210"/>
  <c r="L3709" i="210"/>
  <c r="N3709" i="210"/>
  <c r="P3709" i="210"/>
  <c r="Q3709" i="210"/>
  <c r="D3710" i="210"/>
  <c r="K3710" i="210"/>
  <c r="L3710" i="210"/>
  <c r="N3710" i="210"/>
  <c r="P3710" i="210"/>
  <c r="Q3710" i="210"/>
  <c r="D3711" i="210"/>
  <c r="K3711" i="210"/>
  <c r="L3711" i="210"/>
  <c r="N3711" i="210"/>
  <c r="P3711" i="210"/>
  <c r="Q3711" i="210"/>
  <c r="D3712" i="210"/>
  <c r="K3712" i="210"/>
  <c r="L3712" i="210"/>
  <c r="N3712" i="210"/>
  <c r="P3712" i="210"/>
  <c r="Q3712" i="210"/>
  <c r="D3713" i="210"/>
  <c r="K3713" i="210"/>
  <c r="L3713" i="210"/>
  <c r="N3713" i="210"/>
  <c r="P3713" i="210"/>
  <c r="Q3713" i="210"/>
  <c r="D3714" i="210"/>
  <c r="K3714" i="210"/>
  <c r="L3714" i="210"/>
  <c r="N3714" i="210"/>
  <c r="P3714" i="210"/>
  <c r="Q3714" i="210"/>
  <c r="D3715" i="210"/>
  <c r="K3715" i="210"/>
  <c r="L3715" i="210"/>
  <c r="N3715" i="210"/>
  <c r="P3715" i="210"/>
  <c r="Q3715" i="210"/>
  <c r="D3716" i="210"/>
  <c r="K3716" i="210"/>
  <c r="L3716" i="210"/>
  <c r="N3716" i="210"/>
  <c r="P3716" i="210"/>
  <c r="Q3716" i="210"/>
  <c r="D3717" i="210"/>
  <c r="K3717" i="210"/>
  <c r="L3717" i="210"/>
  <c r="N3717" i="210"/>
  <c r="P3717" i="210"/>
  <c r="Q3717" i="210"/>
  <c r="D3718" i="210"/>
  <c r="K3718" i="210"/>
  <c r="L3718" i="210"/>
  <c r="N3718" i="210"/>
  <c r="P3718" i="210"/>
  <c r="Q3718" i="210"/>
  <c r="D3719" i="210"/>
  <c r="K3719" i="210"/>
  <c r="L3719" i="210"/>
  <c r="N3719" i="210"/>
  <c r="P3719" i="210"/>
  <c r="Q3719" i="210"/>
  <c r="D3720" i="210"/>
  <c r="K3720" i="210"/>
  <c r="L3720" i="210"/>
  <c r="N3720" i="210"/>
  <c r="P3720" i="210"/>
  <c r="Q3720" i="210"/>
  <c r="D3721" i="210"/>
  <c r="K3721" i="210"/>
  <c r="L3721" i="210"/>
  <c r="N3721" i="210"/>
  <c r="P3721" i="210"/>
  <c r="Q3721" i="210"/>
  <c r="D3722" i="210"/>
  <c r="K3722" i="210"/>
  <c r="L3722" i="210"/>
  <c r="N3722" i="210"/>
  <c r="P3722" i="210"/>
  <c r="Q3722" i="210"/>
  <c r="D3723" i="210"/>
  <c r="K3723" i="210"/>
  <c r="L3723" i="210"/>
  <c r="N3723" i="210"/>
  <c r="P3723" i="210"/>
  <c r="Q3723" i="210"/>
  <c r="D3724" i="210"/>
  <c r="K3724" i="210"/>
  <c r="L3724" i="210"/>
  <c r="N3724" i="210"/>
  <c r="P3724" i="210"/>
  <c r="Q3724" i="210"/>
  <c r="D3725" i="210"/>
  <c r="K3725" i="210"/>
  <c r="L3725" i="210"/>
  <c r="N3725" i="210"/>
  <c r="P3725" i="210"/>
  <c r="Q3725" i="210"/>
  <c r="D3726" i="210"/>
  <c r="K3726" i="210"/>
  <c r="L3726" i="210"/>
  <c r="N3726" i="210"/>
  <c r="P3726" i="210"/>
  <c r="Q3726" i="210"/>
  <c r="D3727" i="210"/>
  <c r="K3727" i="210"/>
  <c r="L3727" i="210"/>
  <c r="N3727" i="210"/>
  <c r="P3727" i="210"/>
  <c r="Q3727" i="210"/>
  <c r="D3728" i="210"/>
  <c r="K3728" i="210"/>
  <c r="L3728" i="210"/>
  <c r="N3728" i="210"/>
  <c r="P3728" i="210"/>
  <c r="Q3728" i="210"/>
  <c r="D3729" i="210"/>
  <c r="K3729" i="210"/>
  <c r="L3729" i="210"/>
  <c r="N3729" i="210"/>
  <c r="P3729" i="210"/>
  <c r="Q3729" i="210"/>
  <c r="D3730" i="210"/>
  <c r="K3730" i="210"/>
  <c r="L3730" i="210"/>
  <c r="N3730" i="210"/>
  <c r="P3730" i="210"/>
  <c r="Q3730" i="210"/>
  <c r="D3731" i="210"/>
  <c r="K3731" i="210"/>
  <c r="L3731" i="210"/>
  <c r="N3731" i="210"/>
  <c r="P3731" i="210"/>
  <c r="Q3731" i="210"/>
  <c r="D3732" i="210"/>
  <c r="K3732" i="210"/>
  <c r="L3732" i="210"/>
  <c r="N3732" i="210"/>
  <c r="P3732" i="210"/>
  <c r="Q3732" i="210"/>
  <c r="D3733" i="210"/>
  <c r="K3733" i="210"/>
  <c r="L3733" i="210"/>
  <c r="N3733" i="210"/>
  <c r="P3733" i="210"/>
  <c r="Q3733" i="210"/>
  <c r="D3734" i="210"/>
  <c r="K3734" i="210"/>
  <c r="L3734" i="210"/>
  <c r="N3734" i="210"/>
  <c r="P3734" i="210"/>
  <c r="Q3734" i="210"/>
  <c r="D3735" i="210"/>
  <c r="K3735" i="210"/>
  <c r="L3735" i="210"/>
  <c r="N3735" i="210"/>
  <c r="P3735" i="210"/>
  <c r="Q3735" i="210"/>
  <c r="D3736" i="210"/>
  <c r="K3736" i="210"/>
  <c r="L3736" i="210"/>
  <c r="N3736" i="210"/>
  <c r="P3736" i="210"/>
  <c r="Q3736" i="210"/>
  <c r="D3737" i="210"/>
  <c r="K3737" i="210"/>
  <c r="L3737" i="210"/>
  <c r="N3737" i="210"/>
  <c r="P3737" i="210"/>
  <c r="Q3737" i="210"/>
  <c r="D3738" i="210"/>
  <c r="K3738" i="210"/>
  <c r="L3738" i="210"/>
  <c r="N3738" i="210"/>
  <c r="P3738" i="210"/>
  <c r="Q3738" i="210"/>
  <c r="D3739" i="210"/>
  <c r="K3739" i="210"/>
  <c r="L3739" i="210"/>
  <c r="N3739" i="210"/>
  <c r="P3739" i="210"/>
  <c r="Q3739" i="210"/>
  <c r="D3740" i="210"/>
  <c r="K3740" i="210"/>
  <c r="L3740" i="210"/>
  <c r="N3740" i="210"/>
  <c r="P3740" i="210"/>
  <c r="Q3740" i="210"/>
  <c r="D3741" i="210"/>
  <c r="K3741" i="210"/>
  <c r="L3741" i="210"/>
  <c r="N3741" i="210"/>
  <c r="P3741" i="210"/>
  <c r="Q3741" i="210"/>
  <c r="D3742" i="210"/>
  <c r="K3742" i="210"/>
  <c r="L3742" i="210"/>
  <c r="N3742" i="210"/>
  <c r="P3742" i="210"/>
  <c r="Q3742" i="210"/>
  <c r="D3743" i="210"/>
  <c r="K3743" i="210"/>
  <c r="L3743" i="210"/>
  <c r="N3743" i="210"/>
  <c r="P3743" i="210"/>
  <c r="Q3743" i="210"/>
  <c r="D3744" i="210"/>
  <c r="K3744" i="210"/>
  <c r="L3744" i="210"/>
  <c r="N3744" i="210"/>
  <c r="P3744" i="210"/>
  <c r="Q3744" i="210"/>
  <c r="D3745" i="210"/>
  <c r="K3745" i="210"/>
  <c r="L3745" i="210"/>
  <c r="N3745" i="210"/>
  <c r="P3745" i="210"/>
  <c r="Q3745" i="210"/>
  <c r="D3746" i="210"/>
  <c r="K3746" i="210"/>
  <c r="L3746" i="210"/>
  <c r="N3746" i="210"/>
  <c r="P3746" i="210"/>
  <c r="Q3746" i="210"/>
  <c r="D3747" i="210"/>
  <c r="K3747" i="210"/>
  <c r="L3747" i="210"/>
  <c r="N3747" i="210"/>
  <c r="P3747" i="210"/>
  <c r="Q3747" i="210"/>
  <c r="D3748" i="210"/>
  <c r="K3748" i="210"/>
  <c r="L3748" i="210"/>
  <c r="N3748" i="210"/>
  <c r="P3748" i="210"/>
  <c r="Q3748" i="210"/>
  <c r="D3749" i="210"/>
  <c r="K3749" i="210"/>
  <c r="L3749" i="210"/>
  <c r="N3749" i="210"/>
  <c r="P3749" i="210"/>
  <c r="Q3749" i="210"/>
  <c r="D3750" i="210"/>
  <c r="K3750" i="210"/>
  <c r="L3750" i="210"/>
  <c r="N3750" i="210"/>
  <c r="P3750" i="210"/>
  <c r="Q3750" i="210"/>
  <c r="C3753" i="210"/>
  <c r="C3754" i="210" s="1"/>
  <c r="E3753" i="210"/>
  <c r="E3754" i="210" s="1"/>
  <c r="E3755" i="210" s="1"/>
  <c r="E3757" i="210" s="1"/>
  <c r="E3759" i="210" s="1"/>
  <c r="E3761" i="210" s="1"/>
  <c r="E3763" i="210" s="1"/>
  <c r="E3765" i="210" s="1"/>
  <c r="E3767" i="210" s="1"/>
  <c r="E3769" i="210" s="1"/>
  <c r="E3771" i="210" s="1"/>
  <c r="E3773" i="210" s="1"/>
  <c r="E3775" i="210" s="1"/>
  <c r="E3777" i="210" s="1"/>
  <c r="E3779" i="210" s="1"/>
  <c r="E3781" i="210" s="1"/>
  <c r="E3783" i="210" s="1"/>
  <c r="E3785" i="210" s="1"/>
  <c r="E3787" i="210" s="1"/>
  <c r="E3789" i="210" s="1"/>
  <c r="E3791" i="210" s="1"/>
  <c r="E3793" i="210" s="1"/>
  <c r="E3795" i="210" s="1"/>
  <c r="E3797" i="210" s="1"/>
  <c r="E3799" i="210" s="1"/>
  <c r="E3801" i="210" s="1"/>
  <c r="H3753" i="210"/>
  <c r="I3753" i="210"/>
  <c r="J3753" i="210"/>
  <c r="I3754" i="210"/>
  <c r="C3755" i="210"/>
  <c r="I3755" i="210"/>
  <c r="D3757" i="210"/>
  <c r="K3757" i="210"/>
  <c r="L3757" i="210"/>
  <c r="N3757" i="210"/>
  <c r="P3757" i="210"/>
  <c r="Q3757" i="210"/>
  <c r="D3758" i="210"/>
  <c r="E3758" i="210"/>
  <c r="E3760" i="210" s="1"/>
  <c r="E3762" i="210" s="1"/>
  <c r="E3764" i="210" s="1"/>
  <c r="E3766" i="210" s="1"/>
  <c r="E3768" i="210" s="1"/>
  <c r="E3770" i="210" s="1"/>
  <c r="E3772" i="210" s="1"/>
  <c r="E3774" i="210" s="1"/>
  <c r="E3776" i="210" s="1"/>
  <c r="E3778" i="210" s="1"/>
  <c r="E3780" i="210" s="1"/>
  <c r="E3782" i="210" s="1"/>
  <c r="E3784" i="210" s="1"/>
  <c r="E3786" i="210" s="1"/>
  <c r="E3788" i="210" s="1"/>
  <c r="E3790" i="210" s="1"/>
  <c r="E3792" i="210" s="1"/>
  <c r="E3794" i="210" s="1"/>
  <c r="E3796" i="210" s="1"/>
  <c r="E3798" i="210" s="1"/>
  <c r="E3800" i="210" s="1"/>
  <c r="E3802" i="210" s="1"/>
  <c r="K3758" i="210"/>
  <c r="L3758" i="210"/>
  <c r="N3758" i="210"/>
  <c r="P3758" i="210"/>
  <c r="Q3758" i="210"/>
  <c r="D3759" i="210"/>
  <c r="K3759" i="210"/>
  <c r="L3759" i="210"/>
  <c r="N3759" i="210"/>
  <c r="P3759" i="210"/>
  <c r="Q3759" i="210"/>
  <c r="D3760" i="210"/>
  <c r="K3760" i="210"/>
  <c r="L3760" i="210"/>
  <c r="N3760" i="210"/>
  <c r="P3760" i="210"/>
  <c r="Q3760" i="210"/>
  <c r="D3761" i="210"/>
  <c r="K3761" i="210"/>
  <c r="L3761" i="210"/>
  <c r="N3761" i="210"/>
  <c r="P3761" i="210"/>
  <c r="Q3761" i="210"/>
  <c r="D3762" i="210"/>
  <c r="K3762" i="210"/>
  <c r="L3762" i="210"/>
  <c r="N3762" i="210"/>
  <c r="P3762" i="210"/>
  <c r="Q3762" i="210"/>
  <c r="D3763" i="210"/>
  <c r="K3763" i="210"/>
  <c r="L3763" i="210"/>
  <c r="N3763" i="210"/>
  <c r="P3763" i="210"/>
  <c r="Q3763" i="210"/>
  <c r="D3764" i="210"/>
  <c r="K3764" i="210"/>
  <c r="L3764" i="210"/>
  <c r="N3764" i="210"/>
  <c r="P3764" i="210"/>
  <c r="Q3764" i="210"/>
  <c r="D3765" i="210"/>
  <c r="K3765" i="210"/>
  <c r="L3765" i="210"/>
  <c r="N3765" i="210"/>
  <c r="P3765" i="210"/>
  <c r="Q3765" i="210"/>
  <c r="D3766" i="210"/>
  <c r="K3766" i="210"/>
  <c r="L3766" i="210"/>
  <c r="N3766" i="210"/>
  <c r="P3766" i="210"/>
  <c r="Q3766" i="210"/>
  <c r="D3767" i="210"/>
  <c r="K3767" i="210"/>
  <c r="L3767" i="210"/>
  <c r="N3767" i="210"/>
  <c r="P3767" i="210"/>
  <c r="Q3767" i="210"/>
  <c r="D3768" i="210"/>
  <c r="K3768" i="210"/>
  <c r="L3768" i="210"/>
  <c r="N3768" i="210"/>
  <c r="P3768" i="210"/>
  <c r="Q3768" i="210"/>
  <c r="D3769" i="210"/>
  <c r="K3769" i="210"/>
  <c r="L3769" i="210"/>
  <c r="N3769" i="210"/>
  <c r="P3769" i="210"/>
  <c r="Q3769" i="210"/>
  <c r="D3770" i="210"/>
  <c r="K3770" i="210"/>
  <c r="L3770" i="210"/>
  <c r="N3770" i="210"/>
  <c r="P3770" i="210"/>
  <c r="Q3770" i="210"/>
  <c r="D3771" i="210"/>
  <c r="K3771" i="210"/>
  <c r="L3771" i="210"/>
  <c r="N3771" i="210"/>
  <c r="P3771" i="210"/>
  <c r="Q3771" i="210"/>
  <c r="D3772" i="210"/>
  <c r="K3772" i="210"/>
  <c r="L3772" i="210"/>
  <c r="N3772" i="210"/>
  <c r="P3772" i="210"/>
  <c r="Q3772" i="210"/>
  <c r="D3773" i="210"/>
  <c r="K3773" i="210"/>
  <c r="L3773" i="210"/>
  <c r="N3773" i="210"/>
  <c r="P3773" i="210"/>
  <c r="Q3773" i="210"/>
  <c r="D3774" i="210"/>
  <c r="K3774" i="210"/>
  <c r="L3774" i="210"/>
  <c r="N3774" i="210"/>
  <c r="P3774" i="210"/>
  <c r="Q3774" i="210"/>
  <c r="D3775" i="210"/>
  <c r="K3775" i="210"/>
  <c r="L3775" i="210"/>
  <c r="N3775" i="210"/>
  <c r="P3775" i="210"/>
  <c r="Q3775" i="210"/>
  <c r="D3776" i="210"/>
  <c r="K3776" i="210"/>
  <c r="L3776" i="210"/>
  <c r="N3776" i="210"/>
  <c r="P3776" i="210"/>
  <c r="Q3776" i="210"/>
  <c r="D3777" i="210"/>
  <c r="K3777" i="210"/>
  <c r="L3777" i="210"/>
  <c r="N3777" i="210"/>
  <c r="P3777" i="210"/>
  <c r="Q3777" i="210"/>
  <c r="D3778" i="210"/>
  <c r="K3778" i="210"/>
  <c r="L3778" i="210"/>
  <c r="N3778" i="210"/>
  <c r="P3778" i="210"/>
  <c r="Q3778" i="210"/>
  <c r="D3779" i="210"/>
  <c r="K3779" i="210"/>
  <c r="L3779" i="210"/>
  <c r="N3779" i="210"/>
  <c r="P3779" i="210"/>
  <c r="Q3779" i="210"/>
  <c r="D3780" i="210"/>
  <c r="K3780" i="210"/>
  <c r="L3780" i="210"/>
  <c r="N3780" i="210"/>
  <c r="P3780" i="210"/>
  <c r="Q3780" i="210"/>
  <c r="D3781" i="210"/>
  <c r="K3781" i="210"/>
  <c r="L3781" i="210"/>
  <c r="N3781" i="210"/>
  <c r="P3781" i="210"/>
  <c r="Q3781" i="210"/>
  <c r="D3782" i="210"/>
  <c r="K3782" i="210"/>
  <c r="L3782" i="210"/>
  <c r="N3782" i="210"/>
  <c r="P3782" i="210"/>
  <c r="Q3782" i="210"/>
  <c r="D3783" i="210"/>
  <c r="K3783" i="210"/>
  <c r="L3783" i="210"/>
  <c r="N3783" i="210"/>
  <c r="P3783" i="210"/>
  <c r="Q3783" i="210"/>
  <c r="D3784" i="210"/>
  <c r="K3784" i="210"/>
  <c r="L3784" i="210"/>
  <c r="N3784" i="210"/>
  <c r="P3784" i="210"/>
  <c r="Q3784" i="210"/>
  <c r="D3785" i="210"/>
  <c r="K3785" i="210"/>
  <c r="L3785" i="210"/>
  <c r="N3785" i="210"/>
  <c r="P3785" i="210"/>
  <c r="Q3785" i="210"/>
  <c r="D3786" i="210"/>
  <c r="K3786" i="210"/>
  <c r="L3786" i="210"/>
  <c r="N3786" i="210"/>
  <c r="P3786" i="210"/>
  <c r="Q3786" i="210"/>
  <c r="D3787" i="210"/>
  <c r="K3787" i="210"/>
  <c r="L3787" i="210"/>
  <c r="N3787" i="210"/>
  <c r="P3787" i="210"/>
  <c r="Q3787" i="210"/>
  <c r="D3788" i="210"/>
  <c r="K3788" i="210"/>
  <c r="L3788" i="210"/>
  <c r="N3788" i="210"/>
  <c r="P3788" i="210"/>
  <c r="Q3788" i="210"/>
  <c r="D3789" i="210"/>
  <c r="K3789" i="210"/>
  <c r="L3789" i="210"/>
  <c r="N3789" i="210"/>
  <c r="P3789" i="210"/>
  <c r="Q3789" i="210"/>
  <c r="D3790" i="210"/>
  <c r="K3790" i="210"/>
  <c r="L3790" i="210"/>
  <c r="N3790" i="210"/>
  <c r="P3790" i="210"/>
  <c r="Q3790" i="210"/>
  <c r="D3791" i="210"/>
  <c r="K3791" i="210"/>
  <c r="L3791" i="210"/>
  <c r="N3791" i="210"/>
  <c r="P3791" i="210"/>
  <c r="Q3791" i="210"/>
  <c r="D3792" i="210"/>
  <c r="K3792" i="210"/>
  <c r="L3792" i="210"/>
  <c r="N3792" i="210"/>
  <c r="P3792" i="210"/>
  <c r="Q3792" i="210"/>
  <c r="D3793" i="210"/>
  <c r="K3793" i="210"/>
  <c r="L3793" i="210"/>
  <c r="N3793" i="210"/>
  <c r="P3793" i="210"/>
  <c r="Q3793" i="210"/>
  <c r="D3794" i="210"/>
  <c r="K3794" i="210"/>
  <c r="L3794" i="210"/>
  <c r="N3794" i="210"/>
  <c r="P3794" i="210"/>
  <c r="Q3794" i="210"/>
  <c r="D3795" i="210"/>
  <c r="K3795" i="210"/>
  <c r="L3795" i="210"/>
  <c r="N3795" i="210"/>
  <c r="P3795" i="210"/>
  <c r="Q3795" i="210"/>
  <c r="D3796" i="210"/>
  <c r="K3796" i="210"/>
  <c r="L3796" i="210"/>
  <c r="N3796" i="210"/>
  <c r="P3796" i="210"/>
  <c r="Q3796" i="210"/>
  <c r="D3797" i="210"/>
  <c r="K3797" i="210"/>
  <c r="L3797" i="210"/>
  <c r="N3797" i="210"/>
  <c r="P3797" i="210"/>
  <c r="Q3797" i="210"/>
  <c r="D3798" i="210"/>
  <c r="K3798" i="210"/>
  <c r="L3798" i="210"/>
  <c r="N3798" i="210"/>
  <c r="P3798" i="210"/>
  <c r="Q3798" i="210"/>
  <c r="D3799" i="210"/>
  <c r="K3799" i="210"/>
  <c r="L3799" i="210"/>
  <c r="N3799" i="210"/>
  <c r="P3799" i="210"/>
  <c r="Q3799" i="210"/>
  <c r="D3800" i="210"/>
  <c r="K3800" i="210"/>
  <c r="L3800" i="210"/>
  <c r="N3800" i="210"/>
  <c r="P3800" i="210"/>
  <c r="Q3800" i="210"/>
  <c r="D3801" i="210"/>
  <c r="K3801" i="210"/>
  <c r="L3801" i="210"/>
  <c r="N3801" i="210"/>
  <c r="P3801" i="210"/>
  <c r="Q3801" i="210"/>
  <c r="D3802" i="210"/>
  <c r="K3802" i="210"/>
  <c r="L3802" i="210"/>
  <c r="N3802" i="210"/>
  <c r="P3802" i="210"/>
  <c r="Q3802" i="210"/>
  <c r="C3805" i="210"/>
  <c r="C3806" i="210" s="1"/>
  <c r="C3807" i="210" s="1"/>
  <c r="H3805" i="210"/>
  <c r="E3805" i="210" s="1"/>
  <c r="E3806" i="210" s="1"/>
  <c r="E3807" i="210" s="1"/>
  <c r="E3809" i="210" s="1"/>
  <c r="E3811" i="210" s="1"/>
  <c r="E3813" i="210" s="1"/>
  <c r="E3815" i="210" s="1"/>
  <c r="E3817" i="210" s="1"/>
  <c r="E3819" i="210" s="1"/>
  <c r="E3821" i="210" s="1"/>
  <c r="E3823" i="210" s="1"/>
  <c r="E3825" i="210" s="1"/>
  <c r="E3827" i="210" s="1"/>
  <c r="E3829" i="210" s="1"/>
  <c r="E3831" i="210" s="1"/>
  <c r="E3833" i="210" s="1"/>
  <c r="I3805" i="210"/>
  <c r="J3805" i="210"/>
  <c r="I3806" i="210"/>
  <c r="I3807" i="210"/>
  <c r="D3809" i="210"/>
  <c r="K3809" i="210"/>
  <c r="L3809" i="210"/>
  <c r="N3809" i="210"/>
  <c r="P3809" i="210"/>
  <c r="Q3809" i="210"/>
  <c r="D3810" i="210"/>
  <c r="E3810" i="210"/>
  <c r="E3812" i="210" s="1"/>
  <c r="E3814" i="210" s="1"/>
  <c r="E3816" i="210" s="1"/>
  <c r="E3818" i="210" s="1"/>
  <c r="E3820" i="210" s="1"/>
  <c r="E3822" i="210" s="1"/>
  <c r="E3824" i="210" s="1"/>
  <c r="E3826" i="210" s="1"/>
  <c r="E3828" i="210" s="1"/>
  <c r="E3830" i="210" s="1"/>
  <c r="E3832" i="210" s="1"/>
  <c r="E3834" i="210" s="1"/>
  <c r="K3810" i="210"/>
  <c r="L3810" i="210"/>
  <c r="N3810" i="210"/>
  <c r="P3810" i="210"/>
  <c r="Q3810" i="210"/>
  <c r="D3811" i="210"/>
  <c r="K3811" i="210"/>
  <c r="L3811" i="210"/>
  <c r="N3811" i="210"/>
  <c r="P3811" i="210"/>
  <c r="Q3811" i="210"/>
  <c r="D3812" i="210"/>
  <c r="K3812" i="210"/>
  <c r="L3812" i="210"/>
  <c r="N3812" i="210"/>
  <c r="P3812" i="210"/>
  <c r="Q3812" i="210"/>
  <c r="D3813" i="210"/>
  <c r="K3813" i="210"/>
  <c r="L3813" i="210"/>
  <c r="N3813" i="210"/>
  <c r="P3813" i="210"/>
  <c r="Q3813" i="210"/>
  <c r="D3814" i="210"/>
  <c r="K3814" i="210"/>
  <c r="L3814" i="210"/>
  <c r="N3814" i="210"/>
  <c r="P3814" i="210"/>
  <c r="Q3814" i="210"/>
  <c r="D3815" i="210"/>
  <c r="K3815" i="210"/>
  <c r="L3815" i="210"/>
  <c r="N3815" i="210"/>
  <c r="P3815" i="210"/>
  <c r="Q3815" i="210"/>
  <c r="D3816" i="210"/>
  <c r="K3816" i="210"/>
  <c r="L3816" i="210"/>
  <c r="N3816" i="210"/>
  <c r="P3816" i="210"/>
  <c r="Q3816" i="210"/>
  <c r="D3817" i="210"/>
  <c r="K3817" i="210"/>
  <c r="L3817" i="210"/>
  <c r="N3817" i="210"/>
  <c r="P3817" i="210"/>
  <c r="Q3817" i="210"/>
  <c r="D3818" i="210"/>
  <c r="K3818" i="210"/>
  <c r="L3818" i="210"/>
  <c r="N3818" i="210"/>
  <c r="P3818" i="210"/>
  <c r="Q3818" i="210"/>
  <c r="D3819" i="210"/>
  <c r="K3819" i="210"/>
  <c r="L3819" i="210"/>
  <c r="N3819" i="210"/>
  <c r="P3819" i="210"/>
  <c r="Q3819" i="210"/>
  <c r="D3820" i="210"/>
  <c r="K3820" i="210"/>
  <c r="L3820" i="210"/>
  <c r="N3820" i="210"/>
  <c r="P3820" i="210"/>
  <c r="Q3820" i="210"/>
  <c r="D3821" i="210"/>
  <c r="K3821" i="210"/>
  <c r="L3821" i="210"/>
  <c r="N3821" i="210"/>
  <c r="P3821" i="210"/>
  <c r="Q3821" i="210"/>
  <c r="D3822" i="210"/>
  <c r="K3822" i="210"/>
  <c r="L3822" i="210"/>
  <c r="N3822" i="210"/>
  <c r="P3822" i="210"/>
  <c r="Q3822" i="210"/>
  <c r="D3823" i="210"/>
  <c r="K3823" i="210"/>
  <c r="L3823" i="210"/>
  <c r="N3823" i="210"/>
  <c r="P3823" i="210"/>
  <c r="Q3823" i="210"/>
  <c r="D3824" i="210"/>
  <c r="K3824" i="210"/>
  <c r="L3824" i="210"/>
  <c r="N3824" i="210"/>
  <c r="P3824" i="210"/>
  <c r="Q3824" i="210"/>
  <c r="D3825" i="210"/>
  <c r="K3825" i="210"/>
  <c r="L3825" i="210"/>
  <c r="N3825" i="210"/>
  <c r="P3825" i="210"/>
  <c r="Q3825" i="210"/>
  <c r="D3826" i="210"/>
  <c r="K3826" i="210"/>
  <c r="L3826" i="210"/>
  <c r="N3826" i="210"/>
  <c r="P3826" i="210"/>
  <c r="Q3826" i="210"/>
  <c r="D3827" i="210"/>
  <c r="K3827" i="210"/>
  <c r="L3827" i="210"/>
  <c r="N3827" i="210"/>
  <c r="P3827" i="210"/>
  <c r="Q3827" i="210"/>
  <c r="D3828" i="210"/>
  <c r="K3828" i="210"/>
  <c r="L3828" i="210"/>
  <c r="N3828" i="210"/>
  <c r="P3828" i="210"/>
  <c r="Q3828" i="210"/>
  <c r="D3829" i="210"/>
  <c r="K3829" i="210"/>
  <c r="L3829" i="210"/>
  <c r="N3829" i="210"/>
  <c r="P3829" i="210"/>
  <c r="Q3829" i="210"/>
  <c r="D3830" i="210"/>
  <c r="K3830" i="210"/>
  <c r="L3830" i="210"/>
  <c r="N3830" i="210"/>
  <c r="P3830" i="210"/>
  <c r="Q3830" i="210"/>
  <c r="D3831" i="210"/>
  <c r="K3831" i="210"/>
  <c r="L3831" i="210"/>
  <c r="N3831" i="210"/>
  <c r="P3831" i="210"/>
  <c r="Q3831" i="210"/>
  <c r="D3832" i="210"/>
  <c r="K3832" i="210"/>
  <c r="L3832" i="210"/>
  <c r="N3832" i="210"/>
  <c r="P3832" i="210"/>
  <c r="Q3832" i="210"/>
  <c r="D3833" i="210"/>
  <c r="K3833" i="210"/>
  <c r="L3833" i="210"/>
  <c r="N3833" i="210"/>
  <c r="P3833" i="210"/>
  <c r="Q3833" i="210"/>
  <c r="D3834" i="210"/>
  <c r="K3834" i="210"/>
  <c r="L3834" i="210"/>
  <c r="N3834" i="210"/>
  <c r="P3834" i="210"/>
  <c r="Q3834" i="210"/>
  <c r="C3837" i="210"/>
  <c r="C3838" i="210" s="1"/>
  <c r="C3839" i="210" s="1"/>
  <c r="H3837" i="210"/>
  <c r="E3837" i="210" s="1"/>
  <c r="E3838" i="210" s="1"/>
  <c r="E3839" i="210" s="1"/>
  <c r="E3841" i="210" s="1"/>
  <c r="E3843" i="210" s="1"/>
  <c r="E3845" i="210" s="1"/>
  <c r="E3847" i="210" s="1"/>
  <c r="E3849" i="210" s="1"/>
  <c r="E3851" i="210" s="1"/>
  <c r="E3853" i="210" s="1"/>
  <c r="E3855" i="210" s="1"/>
  <c r="E3857" i="210" s="1"/>
  <c r="E3859" i="210" s="1"/>
  <c r="E3861" i="210" s="1"/>
  <c r="E3863" i="210" s="1"/>
  <c r="E3865" i="210" s="1"/>
  <c r="E3867" i="210" s="1"/>
  <c r="E3869" i="210" s="1"/>
  <c r="E3871" i="210" s="1"/>
  <c r="E3873" i="210" s="1"/>
  <c r="E3875" i="210" s="1"/>
  <c r="E3877" i="210" s="1"/>
  <c r="E3879" i="210" s="1"/>
  <c r="E3881" i="210" s="1"/>
  <c r="E3883" i="210" s="1"/>
  <c r="E3885" i="210" s="1"/>
  <c r="E3887" i="210" s="1"/>
  <c r="E3889" i="210" s="1"/>
  <c r="E3891" i="210" s="1"/>
  <c r="E3893" i="210" s="1"/>
  <c r="E3895" i="210" s="1"/>
  <c r="E3897" i="210" s="1"/>
  <c r="E3899" i="210" s="1"/>
  <c r="I3837" i="210"/>
  <c r="J3837" i="210"/>
  <c r="I3838" i="210"/>
  <c r="I3839" i="210"/>
  <c r="D3841" i="210"/>
  <c r="K3841" i="210"/>
  <c r="L3841" i="210"/>
  <c r="N3841" i="210"/>
  <c r="P3841" i="210"/>
  <c r="Q3841" i="210"/>
  <c r="D3842" i="210"/>
  <c r="E3842" i="210"/>
  <c r="E3844" i="210" s="1"/>
  <c r="E3846" i="210" s="1"/>
  <c r="E3848" i="210" s="1"/>
  <c r="E3850" i="210" s="1"/>
  <c r="E3852" i="210" s="1"/>
  <c r="E3854" i="210" s="1"/>
  <c r="E3856" i="210" s="1"/>
  <c r="E3858" i="210" s="1"/>
  <c r="E3860" i="210" s="1"/>
  <c r="E3862" i="210" s="1"/>
  <c r="E3864" i="210" s="1"/>
  <c r="E3866" i="210" s="1"/>
  <c r="E3868" i="210" s="1"/>
  <c r="E3870" i="210" s="1"/>
  <c r="E3872" i="210" s="1"/>
  <c r="E3874" i="210" s="1"/>
  <c r="E3876" i="210" s="1"/>
  <c r="E3878" i="210" s="1"/>
  <c r="E3880" i="210" s="1"/>
  <c r="E3882" i="210" s="1"/>
  <c r="E3884" i="210" s="1"/>
  <c r="E3886" i="210" s="1"/>
  <c r="E3888" i="210" s="1"/>
  <c r="E3890" i="210" s="1"/>
  <c r="E3892" i="210" s="1"/>
  <c r="E3894" i="210" s="1"/>
  <c r="E3896" i="210" s="1"/>
  <c r="E3898" i="210" s="1"/>
  <c r="K3842" i="210"/>
  <c r="L3842" i="210"/>
  <c r="N3842" i="210"/>
  <c r="P3842" i="210"/>
  <c r="Q3842" i="210"/>
  <c r="D3843" i="210"/>
  <c r="K3843" i="210"/>
  <c r="L3843" i="210"/>
  <c r="N3843" i="210"/>
  <c r="P3843" i="210"/>
  <c r="Q3843" i="210"/>
  <c r="D3844" i="210"/>
  <c r="K3844" i="210"/>
  <c r="L3844" i="210"/>
  <c r="N3844" i="210"/>
  <c r="P3844" i="210"/>
  <c r="Q3844" i="210"/>
  <c r="D3845" i="210"/>
  <c r="K3845" i="210"/>
  <c r="L3845" i="210"/>
  <c r="N3845" i="210"/>
  <c r="P3845" i="210"/>
  <c r="Q3845" i="210"/>
  <c r="D3846" i="210"/>
  <c r="K3846" i="210"/>
  <c r="L3846" i="210"/>
  <c r="N3846" i="210"/>
  <c r="P3846" i="210"/>
  <c r="Q3846" i="210"/>
  <c r="D3847" i="210"/>
  <c r="K3847" i="210"/>
  <c r="L3847" i="210"/>
  <c r="N3847" i="210"/>
  <c r="P3847" i="210"/>
  <c r="Q3847" i="210"/>
  <c r="D3848" i="210"/>
  <c r="K3848" i="210"/>
  <c r="L3848" i="210"/>
  <c r="N3848" i="210"/>
  <c r="P3848" i="210"/>
  <c r="Q3848" i="210"/>
  <c r="D3849" i="210"/>
  <c r="K3849" i="210"/>
  <c r="L3849" i="210"/>
  <c r="N3849" i="210"/>
  <c r="P3849" i="210"/>
  <c r="Q3849" i="210"/>
  <c r="D3850" i="210"/>
  <c r="K3850" i="210"/>
  <c r="L3850" i="210"/>
  <c r="N3850" i="210"/>
  <c r="P3850" i="210"/>
  <c r="Q3850" i="210"/>
  <c r="D3851" i="210"/>
  <c r="K3851" i="210"/>
  <c r="L3851" i="210"/>
  <c r="N3851" i="210"/>
  <c r="P3851" i="210"/>
  <c r="Q3851" i="210"/>
  <c r="D3852" i="210"/>
  <c r="K3852" i="210"/>
  <c r="L3852" i="210"/>
  <c r="N3852" i="210"/>
  <c r="P3852" i="210"/>
  <c r="Q3852" i="210"/>
  <c r="D3853" i="210"/>
  <c r="K3853" i="210"/>
  <c r="L3853" i="210"/>
  <c r="N3853" i="210"/>
  <c r="P3853" i="210"/>
  <c r="Q3853" i="210"/>
  <c r="D3854" i="210"/>
  <c r="K3854" i="210"/>
  <c r="L3854" i="210"/>
  <c r="N3854" i="210"/>
  <c r="P3854" i="210"/>
  <c r="Q3854" i="210"/>
  <c r="D3855" i="210"/>
  <c r="K3855" i="210"/>
  <c r="L3855" i="210"/>
  <c r="N3855" i="210"/>
  <c r="P3855" i="210"/>
  <c r="Q3855" i="210"/>
  <c r="D3856" i="210"/>
  <c r="K3856" i="210"/>
  <c r="L3856" i="210"/>
  <c r="N3856" i="210"/>
  <c r="P3856" i="210"/>
  <c r="Q3856" i="210"/>
  <c r="D3857" i="210"/>
  <c r="K3857" i="210"/>
  <c r="L3857" i="210"/>
  <c r="N3857" i="210"/>
  <c r="P3857" i="210"/>
  <c r="Q3857" i="210"/>
  <c r="D3858" i="210"/>
  <c r="K3858" i="210"/>
  <c r="L3858" i="210"/>
  <c r="N3858" i="210"/>
  <c r="P3858" i="210"/>
  <c r="Q3858" i="210"/>
  <c r="D3859" i="210"/>
  <c r="K3859" i="210"/>
  <c r="L3859" i="210"/>
  <c r="N3859" i="210"/>
  <c r="P3859" i="210"/>
  <c r="Q3859" i="210"/>
  <c r="D3860" i="210"/>
  <c r="K3860" i="210"/>
  <c r="L3860" i="210"/>
  <c r="N3860" i="210"/>
  <c r="P3860" i="210"/>
  <c r="Q3860" i="210"/>
  <c r="D3861" i="210"/>
  <c r="K3861" i="210"/>
  <c r="L3861" i="210"/>
  <c r="N3861" i="210"/>
  <c r="P3861" i="210"/>
  <c r="Q3861" i="210"/>
  <c r="D3862" i="210"/>
  <c r="K3862" i="210"/>
  <c r="L3862" i="210"/>
  <c r="N3862" i="210"/>
  <c r="P3862" i="210"/>
  <c r="Q3862" i="210"/>
  <c r="D3863" i="210"/>
  <c r="K3863" i="210"/>
  <c r="L3863" i="210"/>
  <c r="N3863" i="210"/>
  <c r="P3863" i="210"/>
  <c r="Q3863" i="210"/>
  <c r="D3864" i="210"/>
  <c r="K3864" i="210"/>
  <c r="L3864" i="210"/>
  <c r="N3864" i="210"/>
  <c r="P3864" i="210"/>
  <c r="Q3864" i="210"/>
  <c r="D3865" i="210"/>
  <c r="K3865" i="210"/>
  <c r="L3865" i="210"/>
  <c r="N3865" i="210"/>
  <c r="P3865" i="210"/>
  <c r="Q3865" i="210"/>
  <c r="D3866" i="210"/>
  <c r="K3866" i="210"/>
  <c r="L3866" i="210"/>
  <c r="N3866" i="210"/>
  <c r="P3866" i="210"/>
  <c r="Q3866" i="210"/>
  <c r="D3867" i="210"/>
  <c r="K3867" i="210"/>
  <c r="L3867" i="210"/>
  <c r="N3867" i="210"/>
  <c r="P3867" i="210"/>
  <c r="Q3867" i="210"/>
  <c r="D3868" i="210"/>
  <c r="K3868" i="210"/>
  <c r="L3868" i="210"/>
  <c r="N3868" i="210"/>
  <c r="P3868" i="210"/>
  <c r="Q3868" i="210"/>
  <c r="D3869" i="210"/>
  <c r="K3869" i="210"/>
  <c r="L3869" i="210"/>
  <c r="N3869" i="210"/>
  <c r="P3869" i="210"/>
  <c r="Q3869" i="210"/>
  <c r="D3870" i="210"/>
  <c r="K3870" i="210"/>
  <c r="L3870" i="210"/>
  <c r="N3870" i="210"/>
  <c r="P3870" i="210"/>
  <c r="Q3870" i="210"/>
  <c r="D3871" i="210"/>
  <c r="K3871" i="210"/>
  <c r="L3871" i="210"/>
  <c r="N3871" i="210"/>
  <c r="P3871" i="210"/>
  <c r="Q3871" i="210"/>
  <c r="D3872" i="210"/>
  <c r="K3872" i="210"/>
  <c r="L3872" i="210"/>
  <c r="N3872" i="210"/>
  <c r="P3872" i="210"/>
  <c r="Q3872" i="210"/>
  <c r="D3873" i="210"/>
  <c r="K3873" i="210"/>
  <c r="L3873" i="210"/>
  <c r="N3873" i="210"/>
  <c r="P3873" i="210"/>
  <c r="Q3873" i="210"/>
  <c r="D3874" i="210"/>
  <c r="K3874" i="210"/>
  <c r="L3874" i="210"/>
  <c r="N3874" i="210"/>
  <c r="P3874" i="210"/>
  <c r="Q3874" i="210"/>
  <c r="D3875" i="210"/>
  <c r="K3875" i="210"/>
  <c r="L3875" i="210"/>
  <c r="N3875" i="210"/>
  <c r="P3875" i="210"/>
  <c r="Q3875" i="210"/>
  <c r="D3876" i="210"/>
  <c r="K3876" i="210"/>
  <c r="L3876" i="210"/>
  <c r="N3876" i="210"/>
  <c r="P3876" i="210"/>
  <c r="Q3876" i="210"/>
  <c r="D3877" i="210"/>
  <c r="K3877" i="210"/>
  <c r="L3877" i="210"/>
  <c r="N3877" i="210"/>
  <c r="P3877" i="210"/>
  <c r="Q3877" i="210"/>
  <c r="D3878" i="210"/>
  <c r="K3878" i="210"/>
  <c r="L3878" i="210"/>
  <c r="N3878" i="210"/>
  <c r="P3878" i="210"/>
  <c r="Q3878" i="210"/>
  <c r="D3879" i="210"/>
  <c r="K3879" i="210"/>
  <c r="L3879" i="210"/>
  <c r="N3879" i="210"/>
  <c r="P3879" i="210"/>
  <c r="Q3879" i="210"/>
  <c r="D3880" i="210"/>
  <c r="K3880" i="210"/>
  <c r="L3880" i="210"/>
  <c r="N3880" i="210"/>
  <c r="P3880" i="210"/>
  <c r="Q3880" i="210"/>
  <c r="D3881" i="210"/>
  <c r="K3881" i="210"/>
  <c r="L3881" i="210"/>
  <c r="N3881" i="210"/>
  <c r="P3881" i="210"/>
  <c r="Q3881" i="210"/>
  <c r="D3882" i="210"/>
  <c r="K3882" i="210"/>
  <c r="L3882" i="210"/>
  <c r="N3882" i="210"/>
  <c r="P3882" i="210"/>
  <c r="Q3882" i="210"/>
  <c r="D3883" i="210"/>
  <c r="K3883" i="210"/>
  <c r="L3883" i="210"/>
  <c r="N3883" i="210"/>
  <c r="P3883" i="210"/>
  <c r="Q3883" i="210"/>
  <c r="D3884" i="210"/>
  <c r="K3884" i="210"/>
  <c r="L3884" i="210"/>
  <c r="N3884" i="210"/>
  <c r="P3884" i="210"/>
  <c r="Q3884" i="210"/>
  <c r="D3885" i="210"/>
  <c r="K3885" i="210"/>
  <c r="L3885" i="210"/>
  <c r="N3885" i="210"/>
  <c r="P3885" i="210"/>
  <c r="Q3885" i="210"/>
  <c r="D3886" i="210"/>
  <c r="K3886" i="210"/>
  <c r="L3886" i="210"/>
  <c r="N3886" i="210"/>
  <c r="P3886" i="210"/>
  <c r="Q3886" i="210"/>
  <c r="D3887" i="210"/>
  <c r="K3887" i="210"/>
  <c r="L3887" i="210"/>
  <c r="N3887" i="210"/>
  <c r="P3887" i="210"/>
  <c r="Q3887" i="210"/>
  <c r="D3888" i="210"/>
  <c r="K3888" i="210"/>
  <c r="L3888" i="210"/>
  <c r="N3888" i="210"/>
  <c r="P3888" i="210"/>
  <c r="Q3888" i="210"/>
  <c r="D3889" i="210"/>
  <c r="K3889" i="210"/>
  <c r="L3889" i="210"/>
  <c r="N3889" i="210"/>
  <c r="P3889" i="210"/>
  <c r="Q3889" i="210"/>
  <c r="D3890" i="210"/>
  <c r="K3890" i="210"/>
  <c r="L3890" i="210"/>
  <c r="N3890" i="210"/>
  <c r="P3890" i="210"/>
  <c r="Q3890" i="210"/>
  <c r="D3891" i="210"/>
  <c r="K3891" i="210"/>
  <c r="L3891" i="210"/>
  <c r="N3891" i="210"/>
  <c r="P3891" i="210"/>
  <c r="Q3891" i="210"/>
  <c r="D3892" i="210"/>
  <c r="K3892" i="210"/>
  <c r="L3892" i="210"/>
  <c r="N3892" i="210"/>
  <c r="P3892" i="210"/>
  <c r="Q3892" i="210"/>
  <c r="D3893" i="210"/>
  <c r="K3893" i="210"/>
  <c r="L3893" i="210"/>
  <c r="N3893" i="210"/>
  <c r="P3893" i="210"/>
  <c r="Q3893" i="210"/>
  <c r="D3894" i="210"/>
  <c r="K3894" i="210"/>
  <c r="L3894" i="210"/>
  <c r="N3894" i="210"/>
  <c r="P3894" i="210"/>
  <c r="Q3894" i="210"/>
  <c r="D3895" i="210"/>
  <c r="K3895" i="210"/>
  <c r="L3895" i="210"/>
  <c r="N3895" i="210"/>
  <c r="P3895" i="210"/>
  <c r="Q3895" i="210"/>
  <c r="D3896" i="210"/>
  <c r="K3896" i="210"/>
  <c r="L3896" i="210"/>
  <c r="N3896" i="210"/>
  <c r="P3896" i="210"/>
  <c r="Q3896" i="210"/>
  <c r="D3897" i="210"/>
  <c r="K3897" i="210"/>
  <c r="L3897" i="210"/>
  <c r="N3897" i="210"/>
  <c r="P3897" i="210"/>
  <c r="Q3897" i="210"/>
  <c r="D3898" i="210"/>
  <c r="K3898" i="210"/>
  <c r="L3898" i="210"/>
  <c r="N3898" i="210"/>
  <c r="P3898" i="210"/>
  <c r="Q3898" i="210"/>
  <c r="D3899" i="210"/>
  <c r="K3899" i="210"/>
  <c r="L3899" i="210"/>
  <c r="N3899" i="210"/>
  <c r="P3899" i="210"/>
  <c r="Q3899" i="210"/>
  <c r="C3902" i="210"/>
  <c r="C3903" i="210" s="1"/>
  <c r="C3904" i="210" s="1"/>
  <c r="H3902" i="210"/>
  <c r="E3902" i="210" s="1"/>
  <c r="E3903" i="210" s="1"/>
  <c r="E3904" i="210" s="1"/>
  <c r="E3906" i="210" s="1"/>
  <c r="E3908" i="210" s="1"/>
  <c r="E3910" i="210" s="1"/>
  <c r="E3912" i="210" s="1"/>
  <c r="E3914" i="210" s="1"/>
  <c r="E3916" i="210" s="1"/>
  <c r="E3918" i="210" s="1"/>
  <c r="I3902" i="210"/>
  <c r="J3902" i="210"/>
  <c r="I3903" i="210"/>
  <c r="I3904" i="210"/>
  <c r="D3906" i="210"/>
  <c r="K3906" i="210"/>
  <c r="L3906" i="210"/>
  <c r="N3906" i="210"/>
  <c r="P3906" i="210"/>
  <c r="Q3906" i="210"/>
  <c r="D3907" i="210"/>
  <c r="E3907" i="210"/>
  <c r="E3909" i="210" s="1"/>
  <c r="E3911" i="210" s="1"/>
  <c r="K3907" i="210"/>
  <c r="L3907" i="210"/>
  <c r="N3907" i="210"/>
  <c r="P3907" i="210"/>
  <c r="Q3907" i="210"/>
  <c r="D3908" i="210"/>
  <c r="K3908" i="210"/>
  <c r="L3908" i="210"/>
  <c r="N3908" i="210"/>
  <c r="P3908" i="210"/>
  <c r="Q3908" i="210"/>
  <c r="D3909" i="210"/>
  <c r="K3909" i="210"/>
  <c r="L3909" i="210"/>
  <c r="N3909" i="210"/>
  <c r="P3909" i="210"/>
  <c r="Q3909" i="210"/>
  <c r="D3910" i="210"/>
  <c r="K3910" i="210"/>
  <c r="L3910" i="210"/>
  <c r="N3910" i="210"/>
  <c r="P3910" i="210"/>
  <c r="Q3910" i="210"/>
  <c r="D3911" i="210"/>
  <c r="K3911" i="210"/>
  <c r="L3911" i="210"/>
  <c r="N3911" i="210"/>
  <c r="P3911" i="210"/>
  <c r="Q3911" i="210"/>
  <c r="D3912" i="210"/>
  <c r="K3912" i="210"/>
  <c r="L3912" i="210"/>
  <c r="N3912" i="210"/>
  <c r="P3912" i="210"/>
  <c r="Q3912" i="210"/>
  <c r="D3913" i="210"/>
  <c r="E3913" i="210"/>
  <c r="E3915" i="210" s="1"/>
  <c r="E3917" i="210" s="1"/>
  <c r="E3919" i="210" s="1"/>
  <c r="K3913" i="210"/>
  <c r="L3913" i="210"/>
  <c r="N3913" i="210"/>
  <c r="P3913" i="210"/>
  <c r="Q3913" i="210"/>
  <c r="D3914" i="210"/>
  <c r="K3914" i="210"/>
  <c r="L3914" i="210"/>
  <c r="N3914" i="210"/>
  <c r="P3914" i="210"/>
  <c r="Q3914" i="210"/>
  <c r="D3915" i="210"/>
  <c r="K3915" i="210"/>
  <c r="L3915" i="210"/>
  <c r="N3915" i="210"/>
  <c r="P3915" i="210"/>
  <c r="Q3915" i="210"/>
  <c r="D3916" i="210"/>
  <c r="K3916" i="210"/>
  <c r="L3916" i="210"/>
  <c r="N3916" i="210"/>
  <c r="P3916" i="210"/>
  <c r="Q3916" i="210"/>
  <c r="D3917" i="210"/>
  <c r="K3917" i="210"/>
  <c r="L3917" i="210"/>
  <c r="N3917" i="210"/>
  <c r="P3917" i="210"/>
  <c r="Q3917" i="210"/>
  <c r="D3918" i="210"/>
  <c r="K3918" i="210"/>
  <c r="L3918" i="210"/>
  <c r="N3918" i="210"/>
  <c r="P3918" i="210"/>
  <c r="Q3918" i="210"/>
  <c r="D3919" i="210"/>
  <c r="K3919" i="210"/>
  <c r="L3919" i="210"/>
  <c r="N3919" i="210"/>
  <c r="P3919" i="210"/>
  <c r="Q3919" i="210"/>
  <c r="C3922" i="210"/>
  <c r="H3922" i="210"/>
  <c r="E3922" i="210" s="1"/>
  <c r="E3923" i="210" s="1"/>
  <c r="E3924" i="210" s="1"/>
  <c r="E3926" i="210" s="1"/>
  <c r="E3928" i="210" s="1"/>
  <c r="E3930" i="210" s="1"/>
  <c r="E3932" i="210" s="1"/>
  <c r="E3934" i="210" s="1"/>
  <c r="E3936" i="210" s="1"/>
  <c r="E3938" i="210" s="1"/>
  <c r="E3940" i="210" s="1"/>
  <c r="E3942" i="210" s="1"/>
  <c r="E3944" i="210" s="1"/>
  <c r="E3946" i="210" s="1"/>
  <c r="E3948" i="210" s="1"/>
  <c r="E3950" i="210" s="1"/>
  <c r="E3952" i="210" s="1"/>
  <c r="E3954" i="210" s="1"/>
  <c r="E3956" i="210" s="1"/>
  <c r="E3958" i="210" s="1"/>
  <c r="E3960" i="210" s="1"/>
  <c r="E3962" i="210" s="1"/>
  <c r="E3964" i="210" s="1"/>
  <c r="E3966" i="210" s="1"/>
  <c r="E3968" i="210" s="1"/>
  <c r="E3970" i="210" s="1"/>
  <c r="E3972" i="210" s="1"/>
  <c r="E3974" i="210" s="1"/>
  <c r="E3976" i="210" s="1"/>
  <c r="E3978" i="210" s="1"/>
  <c r="E3980" i="210" s="1"/>
  <c r="E3982" i="210" s="1"/>
  <c r="E3984" i="210" s="1"/>
  <c r="E3986" i="210" s="1"/>
  <c r="E3988" i="210" s="1"/>
  <c r="E3990" i="210" s="1"/>
  <c r="E3992" i="210" s="1"/>
  <c r="I3922" i="210"/>
  <c r="J3922" i="210"/>
  <c r="C3923" i="210"/>
  <c r="C3924" i="210" s="1"/>
  <c r="I3923" i="210"/>
  <c r="I3924" i="210"/>
  <c r="D3926" i="210"/>
  <c r="K3926" i="210"/>
  <c r="L3926" i="210"/>
  <c r="N3926" i="210"/>
  <c r="P3926" i="210"/>
  <c r="Q3926" i="210"/>
  <c r="D3927" i="210"/>
  <c r="E3927" i="210"/>
  <c r="E3929" i="210" s="1"/>
  <c r="E3931" i="210" s="1"/>
  <c r="E3933" i="210" s="1"/>
  <c r="E3935" i="210" s="1"/>
  <c r="E3937" i="210" s="1"/>
  <c r="E3939" i="210" s="1"/>
  <c r="E3941" i="210" s="1"/>
  <c r="E3943" i="210" s="1"/>
  <c r="E3945" i="210" s="1"/>
  <c r="E3947" i="210" s="1"/>
  <c r="E3949" i="210" s="1"/>
  <c r="E3951" i="210" s="1"/>
  <c r="E3953" i="210" s="1"/>
  <c r="E3955" i="210" s="1"/>
  <c r="E3957" i="210" s="1"/>
  <c r="E3959" i="210" s="1"/>
  <c r="E3961" i="210" s="1"/>
  <c r="E3963" i="210" s="1"/>
  <c r="E3965" i="210" s="1"/>
  <c r="E3967" i="210" s="1"/>
  <c r="E3969" i="210" s="1"/>
  <c r="E3971" i="210" s="1"/>
  <c r="E3973" i="210" s="1"/>
  <c r="E3975" i="210" s="1"/>
  <c r="E3977" i="210" s="1"/>
  <c r="E3979" i="210" s="1"/>
  <c r="E3981" i="210" s="1"/>
  <c r="E3983" i="210" s="1"/>
  <c r="E3985" i="210" s="1"/>
  <c r="E3987" i="210" s="1"/>
  <c r="E3989" i="210" s="1"/>
  <c r="E3991" i="210" s="1"/>
  <c r="E3993" i="210" s="1"/>
  <c r="K3927" i="210"/>
  <c r="L3927" i="210"/>
  <c r="N3927" i="210"/>
  <c r="P3927" i="210"/>
  <c r="Q3927" i="210"/>
  <c r="D3928" i="210"/>
  <c r="K3928" i="210"/>
  <c r="L3928" i="210"/>
  <c r="N3928" i="210"/>
  <c r="P3928" i="210"/>
  <c r="Q3928" i="210"/>
  <c r="D3929" i="210"/>
  <c r="K3929" i="210"/>
  <c r="L3929" i="210"/>
  <c r="N3929" i="210"/>
  <c r="P3929" i="210"/>
  <c r="Q3929" i="210"/>
  <c r="D3930" i="210"/>
  <c r="K3930" i="210"/>
  <c r="L3930" i="210"/>
  <c r="N3930" i="210"/>
  <c r="P3930" i="210"/>
  <c r="Q3930" i="210"/>
  <c r="D3931" i="210"/>
  <c r="K3931" i="210"/>
  <c r="L3931" i="210"/>
  <c r="N3931" i="210"/>
  <c r="P3931" i="210"/>
  <c r="Q3931" i="210"/>
  <c r="D3932" i="210"/>
  <c r="K3932" i="210"/>
  <c r="L3932" i="210"/>
  <c r="N3932" i="210"/>
  <c r="P3932" i="210"/>
  <c r="Q3932" i="210"/>
  <c r="D3933" i="210"/>
  <c r="K3933" i="210"/>
  <c r="L3933" i="210"/>
  <c r="N3933" i="210"/>
  <c r="P3933" i="210"/>
  <c r="Q3933" i="210"/>
  <c r="D3934" i="210"/>
  <c r="K3934" i="210"/>
  <c r="L3934" i="210"/>
  <c r="N3934" i="210"/>
  <c r="P3934" i="210"/>
  <c r="Q3934" i="210"/>
  <c r="D3935" i="210"/>
  <c r="K3935" i="210"/>
  <c r="L3935" i="210"/>
  <c r="N3935" i="210"/>
  <c r="P3935" i="210"/>
  <c r="Q3935" i="210"/>
  <c r="D3936" i="210"/>
  <c r="K3936" i="210"/>
  <c r="L3936" i="210"/>
  <c r="N3936" i="210"/>
  <c r="P3936" i="210"/>
  <c r="Q3936" i="210"/>
  <c r="D3937" i="210"/>
  <c r="K3937" i="210"/>
  <c r="L3937" i="210"/>
  <c r="N3937" i="210"/>
  <c r="P3937" i="210"/>
  <c r="Q3937" i="210"/>
  <c r="D3938" i="210"/>
  <c r="K3938" i="210"/>
  <c r="L3938" i="210"/>
  <c r="N3938" i="210"/>
  <c r="P3938" i="210"/>
  <c r="Q3938" i="210"/>
  <c r="D3939" i="210"/>
  <c r="K3939" i="210"/>
  <c r="L3939" i="210"/>
  <c r="N3939" i="210"/>
  <c r="P3939" i="210"/>
  <c r="Q3939" i="210"/>
  <c r="D3940" i="210"/>
  <c r="K3940" i="210"/>
  <c r="L3940" i="210"/>
  <c r="N3940" i="210"/>
  <c r="P3940" i="210"/>
  <c r="Q3940" i="210"/>
  <c r="D3941" i="210"/>
  <c r="K3941" i="210"/>
  <c r="L3941" i="210"/>
  <c r="N3941" i="210"/>
  <c r="P3941" i="210"/>
  <c r="Q3941" i="210"/>
  <c r="D3942" i="210"/>
  <c r="K3942" i="210"/>
  <c r="L3942" i="210"/>
  <c r="N3942" i="210"/>
  <c r="P3942" i="210"/>
  <c r="Q3942" i="210"/>
  <c r="D3943" i="210"/>
  <c r="K3943" i="210"/>
  <c r="L3943" i="210"/>
  <c r="N3943" i="210"/>
  <c r="P3943" i="210"/>
  <c r="Q3943" i="210"/>
  <c r="D3944" i="210"/>
  <c r="K3944" i="210"/>
  <c r="L3944" i="210"/>
  <c r="N3944" i="210"/>
  <c r="P3944" i="210"/>
  <c r="Q3944" i="210"/>
  <c r="D3945" i="210"/>
  <c r="K3945" i="210"/>
  <c r="L3945" i="210"/>
  <c r="N3945" i="210"/>
  <c r="P3945" i="210"/>
  <c r="Q3945" i="210"/>
  <c r="D3946" i="210"/>
  <c r="K3946" i="210"/>
  <c r="L3946" i="210"/>
  <c r="N3946" i="210"/>
  <c r="P3946" i="210"/>
  <c r="Q3946" i="210"/>
  <c r="D3947" i="210"/>
  <c r="K3947" i="210"/>
  <c r="L3947" i="210"/>
  <c r="N3947" i="210"/>
  <c r="P3947" i="210"/>
  <c r="Q3947" i="210"/>
  <c r="D3948" i="210"/>
  <c r="K3948" i="210"/>
  <c r="L3948" i="210"/>
  <c r="N3948" i="210"/>
  <c r="P3948" i="210"/>
  <c r="Q3948" i="210"/>
  <c r="D3949" i="210"/>
  <c r="K3949" i="210"/>
  <c r="L3949" i="210"/>
  <c r="N3949" i="210"/>
  <c r="P3949" i="210"/>
  <c r="Q3949" i="210"/>
  <c r="D3950" i="210"/>
  <c r="K3950" i="210"/>
  <c r="L3950" i="210"/>
  <c r="N3950" i="210"/>
  <c r="P3950" i="210"/>
  <c r="Q3950" i="210"/>
  <c r="D3951" i="210"/>
  <c r="K3951" i="210"/>
  <c r="L3951" i="210"/>
  <c r="N3951" i="210"/>
  <c r="P3951" i="210"/>
  <c r="Q3951" i="210"/>
  <c r="D3952" i="210"/>
  <c r="K3952" i="210"/>
  <c r="L3952" i="210"/>
  <c r="N3952" i="210"/>
  <c r="P3952" i="210"/>
  <c r="Q3952" i="210"/>
  <c r="D3953" i="210"/>
  <c r="K3953" i="210"/>
  <c r="L3953" i="210"/>
  <c r="N3953" i="210"/>
  <c r="P3953" i="210"/>
  <c r="Q3953" i="210"/>
  <c r="D3954" i="210"/>
  <c r="K3954" i="210"/>
  <c r="L3954" i="210"/>
  <c r="N3954" i="210"/>
  <c r="P3954" i="210"/>
  <c r="Q3954" i="210"/>
  <c r="D3955" i="210"/>
  <c r="K3955" i="210"/>
  <c r="L3955" i="210"/>
  <c r="N3955" i="210"/>
  <c r="P3955" i="210"/>
  <c r="Q3955" i="210"/>
  <c r="D3956" i="210"/>
  <c r="K3956" i="210"/>
  <c r="L3956" i="210"/>
  <c r="N3956" i="210"/>
  <c r="P3956" i="210"/>
  <c r="Q3956" i="210"/>
  <c r="D3957" i="210"/>
  <c r="K3957" i="210"/>
  <c r="L3957" i="210"/>
  <c r="N3957" i="210"/>
  <c r="P3957" i="210"/>
  <c r="Q3957" i="210"/>
  <c r="D3958" i="210"/>
  <c r="K3958" i="210"/>
  <c r="L3958" i="210"/>
  <c r="N3958" i="210"/>
  <c r="P3958" i="210"/>
  <c r="Q3958" i="210"/>
  <c r="D3959" i="210"/>
  <c r="K3959" i="210"/>
  <c r="L3959" i="210"/>
  <c r="N3959" i="210"/>
  <c r="P3959" i="210"/>
  <c r="Q3959" i="210"/>
  <c r="D3960" i="210"/>
  <c r="K3960" i="210"/>
  <c r="L3960" i="210"/>
  <c r="N3960" i="210"/>
  <c r="P3960" i="210"/>
  <c r="Q3960" i="210"/>
  <c r="D3961" i="210"/>
  <c r="K3961" i="210"/>
  <c r="L3961" i="210"/>
  <c r="N3961" i="210"/>
  <c r="P3961" i="210"/>
  <c r="Q3961" i="210"/>
  <c r="D3962" i="210"/>
  <c r="K3962" i="210"/>
  <c r="L3962" i="210"/>
  <c r="N3962" i="210"/>
  <c r="P3962" i="210"/>
  <c r="Q3962" i="210"/>
  <c r="D3963" i="210"/>
  <c r="K3963" i="210"/>
  <c r="L3963" i="210"/>
  <c r="N3963" i="210"/>
  <c r="P3963" i="210"/>
  <c r="Q3963" i="210"/>
  <c r="D3964" i="210"/>
  <c r="K3964" i="210"/>
  <c r="L3964" i="210"/>
  <c r="N3964" i="210"/>
  <c r="P3964" i="210"/>
  <c r="Q3964" i="210"/>
  <c r="D3965" i="210"/>
  <c r="K3965" i="210"/>
  <c r="L3965" i="210"/>
  <c r="N3965" i="210"/>
  <c r="P3965" i="210"/>
  <c r="Q3965" i="210"/>
  <c r="D3966" i="210"/>
  <c r="K3966" i="210"/>
  <c r="L3966" i="210"/>
  <c r="N3966" i="210"/>
  <c r="P3966" i="210"/>
  <c r="Q3966" i="210"/>
  <c r="D3967" i="210"/>
  <c r="K3967" i="210"/>
  <c r="L3967" i="210"/>
  <c r="N3967" i="210"/>
  <c r="P3967" i="210"/>
  <c r="Q3967" i="210"/>
  <c r="D3968" i="210"/>
  <c r="K3968" i="210"/>
  <c r="L3968" i="210"/>
  <c r="N3968" i="210"/>
  <c r="P3968" i="210"/>
  <c r="Q3968" i="210"/>
  <c r="D3969" i="210"/>
  <c r="K3969" i="210"/>
  <c r="L3969" i="210"/>
  <c r="N3969" i="210"/>
  <c r="P3969" i="210"/>
  <c r="Q3969" i="210"/>
  <c r="D3970" i="210"/>
  <c r="K3970" i="210"/>
  <c r="L3970" i="210"/>
  <c r="N3970" i="210"/>
  <c r="P3970" i="210"/>
  <c r="Q3970" i="210"/>
  <c r="D3971" i="210"/>
  <c r="K3971" i="210"/>
  <c r="L3971" i="210"/>
  <c r="N3971" i="210"/>
  <c r="P3971" i="210"/>
  <c r="Q3971" i="210"/>
  <c r="D3972" i="210"/>
  <c r="K3972" i="210"/>
  <c r="L3972" i="210"/>
  <c r="N3972" i="210"/>
  <c r="P3972" i="210"/>
  <c r="Q3972" i="210"/>
  <c r="D3973" i="210"/>
  <c r="K3973" i="210"/>
  <c r="L3973" i="210"/>
  <c r="N3973" i="210"/>
  <c r="P3973" i="210"/>
  <c r="Q3973" i="210"/>
  <c r="D3974" i="210"/>
  <c r="K3974" i="210"/>
  <c r="L3974" i="210"/>
  <c r="N3974" i="210"/>
  <c r="P3974" i="210"/>
  <c r="Q3974" i="210"/>
  <c r="D3975" i="210"/>
  <c r="K3975" i="210"/>
  <c r="L3975" i="210"/>
  <c r="N3975" i="210"/>
  <c r="P3975" i="210"/>
  <c r="Q3975" i="210"/>
  <c r="D3976" i="210"/>
  <c r="K3976" i="210"/>
  <c r="L3976" i="210"/>
  <c r="N3976" i="210"/>
  <c r="P3976" i="210"/>
  <c r="Q3976" i="210"/>
  <c r="D3977" i="210"/>
  <c r="K3977" i="210"/>
  <c r="L3977" i="210"/>
  <c r="N3977" i="210"/>
  <c r="P3977" i="210"/>
  <c r="Q3977" i="210"/>
  <c r="D3978" i="210"/>
  <c r="K3978" i="210"/>
  <c r="L3978" i="210"/>
  <c r="N3978" i="210"/>
  <c r="P3978" i="210"/>
  <c r="Q3978" i="210"/>
  <c r="D3979" i="210"/>
  <c r="K3979" i="210"/>
  <c r="L3979" i="210"/>
  <c r="N3979" i="210"/>
  <c r="P3979" i="210"/>
  <c r="Q3979" i="210"/>
  <c r="D3980" i="210"/>
  <c r="K3980" i="210"/>
  <c r="L3980" i="210"/>
  <c r="N3980" i="210"/>
  <c r="P3980" i="210"/>
  <c r="Q3980" i="210"/>
  <c r="D3981" i="210"/>
  <c r="K3981" i="210"/>
  <c r="L3981" i="210"/>
  <c r="N3981" i="210"/>
  <c r="P3981" i="210"/>
  <c r="Q3981" i="210"/>
  <c r="D3982" i="210"/>
  <c r="K3982" i="210"/>
  <c r="L3982" i="210"/>
  <c r="N3982" i="210"/>
  <c r="P3982" i="210"/>
  <c r="Q3982" i="210"/>
  <c r="D3983" i="210"/>
  <c r="K3983" i="210"/>
  <c r="L3983" i="210"/>
  <c r="N3983" i="210"/>
  <c r="P3983" i="210"/>
  <c r="Q3983" i="210"/>
  <c r="D3984" i="210"/>
  <c r="K3984" i="210"/>
  <c r="L3984" i="210"/>
  <c r="N3984" i="210"/>
  <c r="P3984" i="210"/>
  <c r="Q3984" i="210"/>
  <c r="D3985" i="210"/>
  <c r="K3985" i="210"/>
  <c r="L3985" i="210"/>
  <c r="N3985" i="210"/>
  <c r="P3985" i="210"/>
  <c r="Q3985" i="210"/>
  <c r="D3986" i="210"/>
  <c r="K3986" i="210"/>
  <c r="L3986" i="210"/>
  <c r="N3986" i="210"/>
  <c r="P3986" i="210"/>
  <c r="Q3986" i="210"/>
  <c r="D3987" i="210"/>
  <c r="K3987" i="210"/>
  <c r="L3987" i="210"/>
  <c r="N3987" i="210"/>
  <c r="P3987" i="210"/>
  <c r="Q3987" i="210"/>
  <c r="D3988" i="210"/>
  <c r="K3988" i="210"/>
  <c r="L3988" i="210"/>
  <c r="N3988" i="210"/>
  <c r="P3988" i="210"/>
  <c r="Q3988" i="210"/>
  <c r="D3989" i="210"/>
  <c r="K3989" i="210"/>
  <c r="L3989" i="210"/>
  <c r="N3989" i="210"/>
  <c r="P3989" i="210"/>
  <c r="Q3989" i="210"/>
  <c r="D3990" i="210"/>
  <c r="K3990" i="210"/>
  <c r="L3990" i="210"/>
  <c r="N3990" i="210"/>
  <c r="P3990" i="210"/>
  <c r="Q3990" i="210"/>
  <c r="D3991" i="210"/>
  <c r="K3991" i="210"/>
  <c r="L3991" i="210"/>
  <c r="N3991" i="210"/>
  <c r="P3991" i="210"/>
  <c r="Q3991" i="210"/>
  <c r="D3992" i="210"/>
  <c r="K3992" i="210"/>
  <c r="L3992" i="210"/>
  <c r="N3992" i="210"/>
  <c r="P3992" i="210"/>
  <c r="Q3992" i="210"/>
  <c r="D3993" i="210"/>
  <c r="K3993" i="210"/>
  <c r="L3993" i="210"/>
  <c r="N3993" i="210"/>
  <c r="P3993" i="210"/>
  <c r="Q3993" i="210"/>
  <c r="C3996" i="210"/>
  <c r="C3997" i="210" s="1"/>
  <c r="C3998" i="210" s="1"/>
  <c r="H3996" i="210"/>
  <c r="E3996" i="210" s="1"/>
  <c r="E3997" i="210" s="1"/>
  <c r="I3996" i="210"/>
  <c r="J3996" i="210"/>
  <c r="I3997" i="210"/>
  <c r="E3998" i="210"/>
  <c r="E4000" i="210" s="1"/>
  <c r="E4002" i="210" s="1"/>
  <c r="E4004" i="210" s="1"/>
  <c r="E4006" i="210" s="1"/>
  <c r="E4008" i="210" s="1"/>
  <c r="E4010" i="210" s="1"/>
  <c r="E4012" i="210" s="1"/>
  <c r="E4014" i="210" s="1"/>
  <c r="E4016" i="210" s="1"/>
  <c r="E4018" i="210" s="1"/>
  <c r="E4020" i="210" s="1"/>
  <c r="E4022" i="210" s="1"/>
  <c r="E4024" i="210" s="1"/>
  <c r="E4026" i="210" s="1"/>
  <c r="E4028" i="210" s="1"/>
  <c r="I3998" i="210"/>
  <c r="D4000" i="210"/>
  <c r="K4000" i="210"/>
  <c r="L4000" i="210"/>
  <c r="N4000" i="210"/>
  <c r="P4000" i="210"/>
  <c r="Q4000" i="210"/>
  <c r="D4001" i="210"/>
  <c r="E4001" i="210"/>
  <c r="E4003" i="210" s="1"/>
  <c r="E4005" i="210" s="1"/>
  <c r="E4007" i="210" s="1"/>
  <c r="E4009" i="210" s="1"/>
  <c r="E4011" i="210" s="1"/>
  <c r="E4013" i="210" s="1"/>
  <c r="E4015" i="210" s="1"/>
  <c r="E4017" i="210" s="1"/>
  <c r="E4019" i="210" s="1"/>
  <c r="K4001" i="210"/>
  <c r="L4001" i="210"/>
  <c r="N4001" i="210"/>
  <c r="P4001" i="210"/>
  <c r="Q4001" i="210"/>
  <c r="D4002" i="210"/>
  <c r="K4002" i="210"/>
  <c r="L4002" i="210"/>
  <c r="N4002" i="210"/>
  <c r="P4002" i="210"/>
  <c r="Q4002" i="210"/>
  <c r="D4003" i="210"/>
  <c r="K4003" i="210"/>
  <c r="L4003" i="210"/>
  <c r="N4003" i="210"/>
  <c r="P4003" i="210"/>
  <c r="Q4003" i="210"/>
  <c r="D4004" i="210"/>
  <c r="K4004" i="210"/>
  <c r="L4004" i="210"/>
  <c r="N4004" i="210"/>
  <c r="P4004" i="210"/>
  <c r="Q4004" i="210"/>
  <c r="D4005" i="210"/>
  <c r="K4005" i="210"/>
  <c r="L4005" i="210"/>
  <c r="N4005" i="210"/>
  <c r="P4005" i="210"/>
  <c r="Q4005" i="210"/>
  <c r="D4006" i="210"/>
  <c r="K4006" i="210"/>
  <c r="L4006" i="210"/>
  <c r="N4006" i="210"/>
  <c r="P4006" i="210"/>
  <c r="Q4006" i="210"/>
  <c r="D4007" i="210"/>
  <c r="K4007" i="210"/>
  <c r="L4007" i="210"/>
  <c r="N4007" i="210"/>
  <c r="P4007" i="210"/>
  <c r="Q4007" i="210"/>
  <c r="D4008" i="210"/>
  <c r="K4008" i="210"/>
  <c r="L4008" i="210"/>
  <c r="N4008" i="210"/>
  <c r="P4008" i="210"/>
  <c r="Q4008" i="210"/>
  <c r="D4009" i="210"/>
  <c r="K4009" i="210"/>
  <c r="L4009" i="210"/>
  <c r="N4009" i="210"/>
  <c r="P4009" i="210"/>
  <c r="Q4009" i="210"/>
  <c r="D4010" i="210"/>
  <c r="K4010" i="210"/>
  <c r="L4010" i="210"/>
  <c r="N4010" i="210"/>
  <c r="P4010" i="210"/>
  <c r="Q4010" i="210"/>
  <c r="D4011" i="210"/>
  <c r="K4011" i="210"/>
  <c r="L4011" i="210"/>
  <c r="N4011" i="210"/>
  <c r="P4011" i="210"/>
  <c r="Q4011" i="210"/>
  <c r="D4012" i="210"/>
  <c r="K4012" i="210"/>
  <c r="L4012" i="210"/>
  <c r="N4012" i="210"/>
  <c r="P4012" i="210"/>
  <c r="Q4012" i="210"/>
  <c r="D4013" i="210"/>
  <c r="K4013" i="210"/>
  <c r="L4013" i="210"/>
  <c r="N4013" i="210"/>
  <c r="P4013" i="210"/>
  <c r="Q4013" i="210"/>
  <c r="D4014" i="210"/>
  <c r="K4014" i="210"/>
  <c r="L4014" i="210"/>
  <c r="N4014" i="210"/>
  <c r="P4014" i="210"/>
  <c r="Q4014" i="210"/>
  <c r="D4015" i="210"/>
  <c r="K4015" i="210"/>
  <c r="L4015" i="210"/>
  <c r="N4015" i="210"/>
  <c r="P4015" i="210"/>
  <c r="Q4015" i="210"/>
  <c r="D4016" i="210"/>
  <c r="K4016" i="210"/>
  <c r="L4016" i="210"/>
  <c r="N4016" i="210"/>
  <c r="P4016" i="210"/>
  <c r="Q4016" i="210"/>
  <c r="D4017" i="210"/>
  <c r="K4017" i="210"/>
  <c r="L4017" i="210"/>
  <c r="N4017" i="210"/>
  <c r="P4017" i="210"/>
  <c r="Q4017" i="210"/>
  <c r="D4018" i="210"/>
  <c r="K4018" i="210"/>
  <c r="L4018" i="210"/>
  <c r="N4018" i="210"/>
  <c r="P4018" i="210"/>
  <c r="Q4018" i="210"/>
  <c r="D4019" i="210"/>
  <c r="K4019" i="210"/>
  <c r="L4019" i="210"/>
  <c r="N4019" i="210"/>
  <c r="P4019" i="210"/>
  <c r="Q4019" i="210"/>
  <c r="D4020" i="210"/>
  <c r="K4020" i="210"/>
  <c r="L4020" i="210"/>
  <c r="N4020" i="210"/>
  <c r="P4020" i="210"/>
  <c r="Q4020" i="210"/>
  <c r="D4021" i="210"/>
  <c r="E4021" i="210"/>
  <c r="E4023" i="210" s="1"/>
  <c r="E4025" i="210" s="1"/>
  <c r="E4027" i="210" s="1"/>
  <c r="E4029" i="210" s="1"/>
  <c r="K4021" i="210"/>
  <c r="L4021" i="210"/>
  <c r="N4021" i="210"/>
  <c r="P4021" i="210"/>
  <c r="Q4021" i="210"/>
  <c r="D4022" i="210"/>
  <c r="K4022" i="210"/>
  <c r="L4022" i="210"/>
  <c r="N4022" i="210"/>
  <c r="P4022" i="210"/>
  <c r="Q4022" i="210"/>
  <c r="D4023" i="210"/>
  <c r="K4023" i="210"/>
  <c r="L4023" i="210"/>
  <c r="N4023" i="210"/>
  <c r="P4023" i="210"/>
  <c r="Q4023" i="210"/>
  <c r="D4024" i="210"/>
  <c r="K4024" i="210"/>
  <c r="L4024" i="210"/>
  <c r="N4024" i="210"/>
  <c r="P4024" i="210"/>
  <c r="Q4024" i="210"/>
  <c r="D4025" i="210"/>
  <c r="K4025" i="210"/>
  <c r="L4025" i="210"/>
  <c r="N4025" i="210"/>
  <c r="P4025" i="210"/>
  <c r="Q4025" i="210"/>
  <c r="D4026" i="210"/>
  <c r="K4026" i="210"/>
  <c r="L4026" i="210"/>
  <c r="N4026" i="210"/>
  <c r="P4026" i="210"/>
  <c r="Q4026" i="210"/>
  <c r="D4027" i="210"/>
  <c r="K4027" i="210"/>
  <c r="L4027" i="210"/>
  <c r="N4027" i="210"/>
  <c r="P4027" i="210"/>
  <c r="Q4027" i="210"/>
  <c r="D4028" i="210"/>
  <c r="K4028" i="210"/>
  <c r="L4028" i="210"/>
  <c r="N4028" i="210"/>
  <c r="P4028" i="210"/>
  <c r="Q4028" i="210"/>
  <c r="D4029" i="210"/>
  <c r="K4029" i="210"/>
  <c r="L4029" i="210"/>
  <c r="N4029" i="210"/>
  <c r="P4029" i="210"/>
  <c r="Q4029" i="210"/>
  <c r="C4032" i="210"/>
  <c r="E4032" i="210"/>
  <c r="E4033" i="210" s="1"/>
  <c r="E4034" i="210" s="1"/>
  <c r="E4036" i="210" s="1"/>
  <c r="E4038" i="210" s="1"/>
  <c r="E4040" i="210" s="1"/>
  <c r="E4042" i="210" s="1"/>
  <c r="E4044" i="210" s="1"/>
  <c r="E4046" i="210" s="1"/>
  <c r="E4048" i="210" s="1"/>
  <c r="E4050" i="210" s="1"/>
  <c r="E4052" i="210" s="1"/>
  <c r="E4054" i="210" s="1"/>
  <c r="H4032" i="210"/>
  <c r="I4032" i="210"/>
  <c r="J4032" i="210"/>
  <c r="C4033" i="210"/>
  <c r="C4034" i="210" s="1"/>
  <c r="I4033" i="210"/>
  <c r="I4034" i="210"/>
  <c r="D4036" i="210"/>
  <c r="K4036" i="210"/>
  <c r="L4036" i="210"/>
  <c r="N4036" i="210"/>
  <c r="P4036" i="210"/>
  <c r="Q4036" i="210"/>
  <c r="D4037" i="210"/>
  <c r="E4037" i="210"/>
  <c r="E4039" i="210" s="1"/>
  <c r="E4041" i="210" s="1"/>
  <c r="E4043" i="210" s="1"/>
  <c r="E4045" i="210" s="1"/>
  <c r="E4047" i="210" s="1"/>
  <c r="E4049" i="210" s="1"/>
  <c r="E4051" i="210" s="1"/>
  <c r="E4053" i="210" s="1"/>
  <c r="K4037" i="210"/>
  <c r="L4037" i="210"/>
  <c r="N4037" i="210"/>
  <c r="P4037" i="210"/>
  <c r="Q4037" i="210"/>
  <c r="D4038" i="210"/>
  <c r="K4038" i="210"/>
  <c r="L4038" i="210"/>
  <c r="N4038" i="210"/>
  <c r="P4038" i="210"/>
  <c r="Q4038" i="210"/>
  <c r="D4039" i="210"/>
  <c r="K4039" i="210"/>
  <c r="L4039" i="210"/>
  <c r="N4039" i="210"/>
  <c r="P4039" i="210"/>
  <c r="Q4039" i="210"/>
  <c r="D4040" i="210"/>
  <c r="K4040" i="210"/>
  <c r="L4040" i="210"/>
  <c r="N4040" i="210"/>
  <c r="P4040" i="210"/>
  <c r="Q4040" i="210"/>
  <c r="D4041" i="210"/>
  <c r="K4041" i="210"/>
  <c r="L4041" i="210"/>
  <c r="N4041" i="210"/>
  <c r="P4041" i="210"/>
  <c r="Q4041" i="210"/>
  <c r="D4042" i="210"/>
  <c r="K4042" i="210"/>
  <c r="L4042" i="210"/>
  <c r="N4042" i="210"/>
  <c r="P4042" i="210"/>
  <c r="Q4042" i="210"/>
  <c r="D4043" i="210"/>
  <c r="K4043" i="210"/>
  <c r="L4043" i="210"/>
  <c r="N4043" i="210"/>
  <c r="P4043" i="210"/>
  <c r="Q4043" i="210"/>
  <c r="D4044" i="210"/>
  <c r="K4044" i="210"/>
  <c r="L4044" i="210"/>
  <c r="N4044" i="210"/>
  <c r="P4044" i="210"/>
  <c r="Q4044" i="210"/>
  <c r="D4045" i="210"/>
  <c r="K4045" i="210"/>
  <c r="L4045" i="210"/>
  <c r="N4045" i="210"/>
  <c r="P4045" i="210"/>
  <c r="Q4045" i="210"/>
  <c r="D4046" i="210"/>
  <c r="K4046" i="210"/>
  <c r="L4046" i="210"/>
  <c r="N4046" i="210"/>
  <c r="P4046" i="210"/>
  <c r="Q4046" i="210"/>
  <c r="D4047" i="210"/>
  <c r="K4047" i="210"/>
  <c r="L4047" i="210"/>
  <c r="N4047" i="210"/>
  <c r="P4047" i="210"/>
  <c r="Q4047" i="210"/>
  <c r="D4048" i="210"/>
  <c r="K4048" i="210"/>
  <c r="L4048" i="210"/>
  <c r="N4048" i="210"/>
  <c r="P4048" i="210"/>
  <c r="Q4048" i="210"/>
  <c r="D4049" i="210"/>
  <c r="K4049" i="210"/>
  <c r="L4049" i="210"/>
  <c r="N4049" i="210"/>
  <c r="P4049" i="210"/>
  <c r="Q4049" i="210"/>
  <c r="D4050" i="210"/>
  <c r="K4050" i="210"/>
  <c r="L4050" i="210"/>
  <c r="N4050" i="210"/>
  <c r="P4050" i="210"/>
  <c r="Q4050" i="210"/>
  <c r="D4051" i="210"/>
  <c r="K4051" i="210"/>
  <c r="L4051" i="210"/>
  <c r="N4051" i="210"/>
  <c r="P4051" i="210"/>
  <c r="Q4051" i="210"/>
  <c r="D4052" i="210"/>
  <c r="K4052" i="210"/>
  <c r="L4052" i="210"/>
  <c r="N4052" i="210"/>
  <c r="P4052" i="210"/>
  <c r="Q4052" i="210"/>
  <c r="D4053" i="210"/>
  <c r="K4053" i="210"/>
  <c r="L4053" i="210"/>
  <c r="N4053" i="210"/>
  <c r="P4053" i="210"/>
  <c r="Q4053" i="210"/>
  <c r="D4054" i="210"/>
  <c r="K4054" i="210"/>
  <c r="L4054" i="210"/>
  <c r="N4054" i="210"/>
  <c r="P4054" i="210"/>
  <c r="Q4054" i="210"/>
  <c r="C4057" i="210"/>
  <c r="C4058" i="210" s="1"/>
  <c r="C4059" i="210" s="1"/>
  <c r="H4057" i="210"/>
  <c r="E4057" i="210" s="1"/>
  <c r="E4058" i="210" s="1"/>
  <c r="E4059" i="210" s="1"/>
  <c r="E4061" i="210" s="1"/>
  <c r="E4063" i="210" s="1"/>
  <c r="E4065" i="210" s="1"/>
  <c r="E4067" i="210" s="1"/>
  <c r="E4069" i="210" s="1"/>
  <c r="E4071" i="210" s="1"/>
  <c r="E4073" i="210" s="1"/>
  <c r="E4075" i="210" s="1"/>
  <c r="E4077" i="210" s="1"/>
  <c r="E4079" i="210" s="1"/>
  <c r="E4081" i="210" s="1"/>
  <c r="E4083" i="210" s="1"/>
  <c r="E4085" i="210" s="1"/>
  <c r="E4087" i="210" s="1"/>
  <c r="E4089" i="210" s="1"/>
  <c r="E4091" i="210" s="1"/>
  <c r="E4093" i="210" s="1"/>
  <c r="E4095" i="210" s="1"/>
  <c r="E4097" i="210" s="1"/>
  <c r="E4099" i="210" s="1"/>
  <c r="E4101" i="210" s="1"/>
  <c r="E4103" i="210" s="1"/>
  <c r="E4105" i="210" s="1"/>
  <c r="I4057" i="210"/>
  <c r="J4057" i="210"/>
  <c r="I4058" i="210"/>
  <c r="I4059" i="210"/>
  <c r="D4061" i="210"/>
  <c r="K4061" i="210"/>
  <c r="L4061" i="210"/>
  <c r="N4061" i="210"/>
  <c r="P4061" i="210"/>
  <c r="Q4061" i="210"/>
  <c r="D4062" i="210"/>
  <c r="E4062" i="210"/>
  <c r="E4064" i="210" s="1"/>
  <c r="E4066" i="210" s="1"/>
  <c r="E4068" i="210" s="1"/>
  <c r="E4070" i="210" s="1"/>
  <c r="E4072" i="210" s="1"/>
  <c r="E4074" i="210" s="1"/>
  <c r="E4076" i="210" s="1"/>
  <c r="E4078" i="210" s="1"/>
  <c r="E4080" i="210" s="1"/>
  <c r="E4082" i="210" s="1"/>
  <c r="E4084" i="210" s="1"/>
  <c r="E4086" i="210" s="1"/>
  <c r="E4088" i="210" s="1"/>
  <c r="E4090" i="210" s="1"/>
  <c r="E4092" i="210" s="1"/>
  <c r="E4094" i="210" s="1"/>
  <c r="E4096" i="210" s="1"/>
  <c r="E4098" i="210" s="1"/>
  <c r="E4100" i="210" s="1"/>
  <c r="E4102" i="210" s="1"/>
  <c r="E4104" i="210" s="1"/>
  <c r="K4062" i="210"/>
  <c r="L4062" i="210"/>
  <c r="N4062" i="210"/>
  <c r="P4062" i="210"/>
  <c r="Q4062" i="210"/>
  <c r="D4063" i="210"/>
  <c r="K4063" i="210"/>
  <c r="L4063" i="210"/>
  <c r="N4063" i="210"/>
  <c r="P4063" i="210"/>
  <c r="Q4063" i="210"/>
  <c r="D4064" i="210"/>
  <c r="K4064" i="210"/>
  <c r="L4064" i="210"/>
  <c r="N4064" i="210"/>
  <c r="P4064" i="210"/>
  <c r="Q4064" i="210"/>
  <c r="D4065" i="210"/>
  <c r="K4065" i="210"/>
  <c r="L4065" i="210"/>
  <c r="N4065" i="210"/>
  <c r="P4065" i="210"/>
  <c r="Q4065" i="210"/>
  <c r="D4066" i="210"/>
  <c r="K4066" i="210"/>
  <c r="L4066" i="210"/>
  <c r="N4066" i="210"/>
  <c r="P4066" i="210"/>
  <c r="Q4066" i="210"/>
  <c r="D4067" i="210"/>
  <c r="K4067" i="210"/>
  <c r="L4067" i="210"/>
  <c r="N4067" i="210"/>
  <c r="P4067" i="210"/>
  <c r="Q4067" i="210"/>
  <c r="D4068" i="210"/>
  <c r="K4068" i="210"/>
  <c r="L4068" i="210"/>
  <c r="N4068" i="210"/>
  <c r="P4068" i="210"/>
  <c r="Q4068" i="210"/>
  <c r="D4069" i="210"/>
  <c r="K4069" i="210"/>
  <c r="L4069" i="210"/>
  <c r="N4069" i="210"/>
  <c r="P4069" i="210"/>
  <c r="Q4069" i="210"/>
  <c r="D4070" i="210"/>
  <c r="K4070" i="210"/>
  <c r="L4070" i="210"/>
  <c r="N4070" i="210"/>
  <c r="P4070" i="210"/>
  <c r="Q4070" i="210"/>
  <c r="D4071" i="210"/>
  <c r="K4071" i="210"/>
  <c r="L4071" i="210"/>
  <c r="N4071" i="210"/>
  <c r="P4071" i="210"/>
  <c r="Q4071" i="210"/>
  <c r="D4072" i="210"/>
  <c r="K4072" i="210"/>
  <c r="L4072" i="210"/>
  <c r="N4072" i="210"/>
  <c r="P4072" i="210"/>
  <c r="Q4072" i="210"/>
  <c r="D4073" i="210"/>
  <c r="K4073" i="210"/>
  <c r="L4073" i="210"/>
  <c r="N4073" i="210"/>
  <c r="P4073" i="210"/>
  <c r="Q4073" i="210"/>
  <c r="D4074" i="210"/>
  <c r="K4074" i="210"/>
  <c r="L4074" i="210"/>
  <c r="N4074" i="210"/>
  <c r="P4074" i="210"/>
  <c r="Q4074" i="210"/>
  <c r="D4075" i="210"/>
  <c r="K4075" i="210"/>
  <c r="L4075" i="210"/>
  <c r="N4075" i="210"/>
  <c r="P4075" i="210"/>
  <c r="Q4075" i="210"/>
  <c r="D4076" i="210"/>
  <c r="K4076" i="210"/>
  <c r="L4076" i="210"/>
  <c r="N4076" i="210"/>
  <c r="P4076" i="210"/>
  <c r="Q4076" i="210"/>
  <c r="D4077" i="210"/>
  <c r="K4077" i="210"/>
  <c r="L4077" i="210"/>
  <c r="N4077" i="210"/>
  <c r="P4077" i="210"/>
  <c r="Q4077" i="210"/>
  <c r="D4078" i="210"/>
  <c r="K4078" i="210"/>
  <c r="L4078" i="210"/>
  <c r="N4078" i="210"/>
  <c r="P4078" i="210"/>
  <c r="Q4078" i="210"/>
  <c r="D4079" i="210"/>
  <c r="K4079" i="210"/>
  <c r="L4079" i="210"/>
  <c r="N4079" i="210"/>
  <c r="P4079" i="210"/>
  <c r="Q4079" i="210"/>
  <c r="D4080" i="210"/>
  <c r="K4080" i="210"/>
  <c r="L4080" i="210"/>
  <c r="N4080" i="210"/>
  <c r="P4080" i="210"/>
  <c r="Q4080" i="210"/>
  <c r="D4081" i="210"/>
  <c r="K4081" i="210"/>
  <c r="L4081" i="210"/>
  <c r="N4081" i="210"/>
  <c r="P4081" i="210"/>
  <c r="Q4081" i="210"/>
  <c r="D4082" i="210"/>
  <c r="K4082" i="210"/>
  <c r="L4082" i="210"/>
  <c r="N4082" i="210"/>
  <c r="P4082" i="210"/>
  <c r="Q4082" i="210"/>
  <c r="D4083" i="210"/>
  <c r="K4083" i="210"/>
  <c r="L4083" i="210"/>
  <c r="N4083" i="210"/>
  <c r="P4083" i="210"/>
  <c r="Q4083" i="210"/>
  <c r="D4084" i="210"/>
  <c r="K4084" i="210"/>
  <c r="L4084" i="210"/>
  <c r="N4084" i="210"/>
  <c r="P4084" i="210"/>
  <c r="Q4084" i="210"/>
  <c r="D4085" i="210"/>
  <c r="K4085" i="210"/>
  <c r="L4085" i="210"/>
  <c r="N4085" i="210"/>
  <c r="P4085" i="210"/>
  <c r="Q4085" i="210"/>
  <c r="D4086" i="210"/>
  <c r="K4086" i="210"/>
  <c r="L4086" i="210"/>
  <c r="N4086" i="210"/>
  <c r="P4086" i="210"/>
  <c r="Q4086" i="210"/>
  <c r="D4087" i="210"/>
  <c r="K4087" i="210"/>
  <c r="L4087" i="210"/>
  <c r="N4087" i="210"/>
  <c r="P4087" i="210"/>
  <c r="Q4087" i="210"/>
  <c r="D4088" i="210"/>
  <c r="K4088" i="210"/>
  <c r="L4088" i="210"/>
  <c r="N4088" i="210"/>
  <c r="P4088" i="210"/>
  <c r="Q4088" i="210"/>
  <c r="D4089" i="210"/>
  <c r="K4089" i="210"/>
  <c r="L4089" i="210"/>
  <c r="N4089" i="210"/>
  <c r="P4089" i="210"/>
  <c r="Q4089" i="210"/>
  <c r="D4090" i="210"/>
  <c r="K4090" i="210"/>
  <c r="L4090" i="210"/>
  <c r="N4090" i="210"/>
  <c r="P4090" i="210"/>
  <c r="Q4090" i="210"/>
  <c r="D4091" i="210"/>
  <c r="K4091" i="210"/>
  <c r="L4091" i="210"/>
  <c r="N4091" i="210"/>
  <c r="P4091" i="210"/>
  <c r="Q4091" i="210"/>
  <c r="D4092" i="210"/>
  <c r="K4092" i="210"/>
  <c r="L4092" i="210"/>
  <c r="N4092" i="210"/>
  <c r="P4092" i="210"/>
  <c r="Q4092" i="210"/>
  <c r="D4093" i="210"/>
  <c r="K4093" i="210"/>
  <c r="L4093" i="210"/>
  <c r="N4093" i="210"/>
  <c r="P4093" i="210"/>
  <c r="Q4093" i="210"/>
  <c r="D4094" i="210"/>
  <c r="K4094" i="210"/>
  <c r="L4094" i="210"/>
  <c r="N4094" i="210"/>
  <c r="P4094" i="210"/>
  <c r="Q4094" i="210"/>
  <c r="D4095" i="210"/>
  <c r="K4095" i="210"/>
  <c r="L4095" i="210"/>
  <c r="N4095" i="210"/>
  <c r="P4095" i="210"/>
  <c r="Q4095" i="210"/>
  <c r="D4096" i="210"/>
  <c r="K4096" i="210"/>
  <c r="L4096" i="210"/>
  <c r="N4096" i="210"/>
  <c r="P4096" i="210"/>
  <c r="Q4096" i="210"/>
  <c r="D4097" i="210"/>
  <c r="K4097" i="210"/>
  <c r="L4097" i="210"/>
  <c r="N4097" i="210"/>
  <c r="P4097" i="210"/>
  <c r="Q4097" i="210"/>
  <c r="D4098" i="210"/>
  <c r="K4098" i="210"/>
  <c r="L4098" i="210"/>
  <c r="N4098" i="210"/>
  <c r="P4098" i="210"/>
  <c r="Q4098" i="210"/>
  <c r="D4099" i="210"/>
  <c r="K4099" i="210"/>
  <c r="L4099" i="210"/>
  <c r="N4099" i="210"/>
  <c r="P4099" i="210"/>
  <c r="Q4099" i="210"/>
  <c r="D4100" i="210"/>
  <c r="K4100" i="210"/>
  <c r="L4100" i="210"/>
  <c r="N4100" i="210"/>
  <c r="P4100" i="210"/>
  <c r="Q4100" i="210"/>
  <c r="D4101" i="210"/>
  <c r="K4101" i="210"/>
  <c r="L4101" i="210"/>
  <c r="N4101" i="210"/>
  <c r="P4101" i="210"/>
  <c r="Q4101" i="210"/>
  <c r="D4102" i="210"/>
  <c r="K4102" i="210"/>
  <c r="L4102" i="210"/>
  <c r="N4102" i="210"/>
  <c r="P4102" i="210"/>
  <c r="Q4102" i="210"/>
  <c r="D4103" i="210"/>
  <c r="K4103" i="210"/>
  <c r="L4103" i="210"/>
  <c r="N4103" i="210"/>
  <c r="P4103" i="210"/>
  <c r="Q4103" i="210"/>
  <c r="D4104" i="210"/>
  <c r="K4104" i="210"/>
  <c r="L4104" i="210"/>
  <c r="N4104" i="210"/>
  <c r="P4104" i="210"/>
  <c r="Q4104" i="210"/>
  <c r="D4105" i="210"/>
  <c r="K4105" i="210"/>
  <c r="L4105" i="210"/>
  <c r="N4105" i="210"/>
  <c r="P4105" i="210"/>
  <c r="Q4105" i="210"/>
  <c r="C4108" i="210"/>
  <c r="C4109" i="210" s="1"/>
  <c r="C4110" i="210" s="1"/>
  <c r="H4108" i="210"/>
  <c r="E4108" i="210" s="1"/>
  <c r="E4109" i="210" s="1"/>
  <c r="E4110" i="210" s="1"/>
  <c r="E4112" i="210" s="1"/>
  <c r="E4114" i="210" s="1"/>
  <c r="E4116" i="210" s="1"/>
  <c r="E4118" i="210" s="1"/>
  <c r="E4120" i="210" s="1"/>
  <c r="E4122" i="210" s="1"/>
  <c r="E4124" i="210" s="1"/>
  <c r="E4126" i="210" s="1"/>
  <c r="E4128" i="210" s="1"/>
  <c r="E4130" i="210" s="1"/>
  <c r="E4132" i="210" s="1"/>
  <c r="E4134" i="210" s="1"/>
  <c r="E4136" i="210" s="1"/>
  <c r="E4138" i="210" s="1"/>
  <c r="E4140" i="210" s="1"/>
  <c r="E4142" i="210" s="1"/>
  <c r="I4108" i="210"/>
  <c r="J4108" i="210"/>
  <c r="I4109" i="210"/>
  <c r="I4110" i="210"/>
  <c r="D4112" i="210"/>
  <c r="K4112" i="210"/>
  <c r="L4112" i="210"/>
  <c r="L4108" i="210" s="1"/>
  <c r="N4112" i="210"/>
  <c r="P4112" i="210"/>
  <c r="Q4112" i="210"/>
  <c r="D4113" i="210"/>
  <c r="E4113" i="210"/>
  <c r="K4113" i="210"/>
  <c r="L4113" i="210"/>
  <c r="N4113" i="210"/>
  <c r="P4113" i="210"/>
  <c r="Q4113" i="210"/>
  <c r="D4114" i="210"/>
  <c r="K4114" i="210"/>
  <c r="L4114" i="210"/>
  <c r="N4114" i="210"/>
  <c r="P4114" i="210"/>
  <c r="Q4114" i="210"/>
  <c r="D4115" i="210"/>
  <c r="E4115" i="210"/>
  <c r="E4117" i="210" s="1"/>
  <c r="E4119" i="210" s="1"/>
  <c r="E4121" i="210" s="1"/>
  <c r="E4123" i="210" s="1"/>
  <c r="E4125" i="210" s="1"/>
  <c r="E4127" i="210" s="1"/>
  <c r="E4129" i="210" s="1"/>
  <c r="E4131" i="210" s="1"/>
  <c r="E4133" i="210" s="1"/>
  <c r="E4135" i="210" s="1"/>
  <c r="E4137" i="210" s="1"/>
  <c r="E4139" i="210" s="1"/>
  <c r="E4141" i="210" s="1"/>
  <c r="K4115" i="210"/>
  <c r="L4115" i="210"/>
  <c r="N4115" i="210"/>
  <c r="P4115" i="210"/>
  <c r="Q4115" i="210"/>
  <c r="D4116" i="210"/>
  <c r="K4116" i="210"/>
  <c r="L4116" i="210"/>
  <c r="N4116" i="210"/>
  <c r="P4116" i="210"/>
  <c r="Q4116" i="210"/>
  <c r="D4117" i="210"/>
  <c r="K4117" i="210"/>
  <c r="L4117" i="210"/>
  <c r="N4117" i="210"/>
  <c r="P4117" i="210"/>
  <c r="Q4117" i="210"/>
  <c r="D4118" i="210"/>
  <c r="K4118" i="210"/>
  <c r="L4118" i="210"/>
  <c r="N4118" i="210"/>
  <c r="P4118" i="210"/>
  <c r="Q4118" i="210"/>
  <c r="D4119" i="210"/>
  <c r="K4119" i="210"/>
  <c r="L4119" i="210"/>
  <c r="N4119" i="210"/>
  <c r="P4119" i="210"/>
  <c r="Q4119" i="210"/>
  <c r="D4120" i="210"/>
  <c r="K4120" i="210"/>
  <c r="L4120" i="210"/>
  <c r="N4120" i="210"/>
  <c r="P4120" i="210"/>
  <c r="Q4120" i="210"/>
  <c r="D4121" i="210"/>
  <c r="K4121" i="210"/>
  <c r="L4121" i="210"/>
  <c r="N4121" i="210"/>
  <c r="P4121" i="210"/>
  <c r="Q4121" i="210"/>
  <c r="D4122" i="210"/>
  <c r="K4122" i="210"/>
  <c r="L4122" i="210"/>
  <c r="N4122" i="210"/>
  <c r="P4122" i="210"/>
  <c r="Q4122" i="210"/>
  <c r="D4123" i="210"/>
  <c r="K4123" i="210"/>
  <c r="L4123" i="210"/>
  <c r="N4123" i="210"/>
  <c r="P4123" i="210"/>
  <c r="Q4123" i="210"/>
  <c r="D4124" i="210"/>
  <c r="K4124" i="210"/>
  <c r="L4124" i="210"/>
  <c r="N4124" i="210"/>
  <c r="P4124" i="210"/>
  <c r="Q4124" i="210"/>
  <c r="D4125" i="210"/>
  <c r="K4125" i="210"/>
  <c r="L4125" i="210"/>
  <c r="N4125" i="210"/>
  <c r="P4125" i="210"/>
  <c r="Q4125" i="210"/>
  <c r="D4126" i="210"/>
  <c r="K4126" i="210"/>
  <c r="L4126" i="210"/>
  <c r="N4126" i="210"/>
  <c r="P4126" i="210"/>
  <c r="Q4126" i="210"/>
  <c r="D4127" i="210"/>
  <c r="K4127" i="210"/>
  <c r="L4127" i="210"/>
  <c r="N4127" i="210"/>
  <c r="P4127" i="210"/>
  <c r="Q4127" i="210"/>
  <c r="D4128" i="210"/>
  <c r="K4128" i="210"/>
  <c r="L4128" i="210"/>
  <c r="N4128" i="210"/>
  <c r="P4128" i="210"/>
  <c r="Q4128" i="210"/>
  <c r="D4129" i="210"/>
  <c r="K4129" i="210"/>
  <c r="L4129" i="210"/>
  <c r="N4129" i="210"/>
  <c r="P4129" i="210"/>
  <c r="Q4129" i="210"/>
  <c r="D4130" i="210"/>
  <c r="K4130" i="210"/>
  <c r="L4130" i="210"/>
  <c r="N4130" i="210"/>
  <c r="P4130" i="210"/>
  <c r="Q4130" i="210"/>
  <c r="D4131" i="210"/>
  <c r="K4131" i="210"/>
  <c r="L4131" i="210"/>
  <c r="N4131" i="210"/>
  <c r="P4131" i="210"/>
  <c r="Q4131" i="210"/>
  <c r="D4132" i="210"/>
  <c r="K4132" i="210"/>
  <c r="L4132" i="210"/>
  <c r="N4132" i="210"/>
  <c r="P4132" i="210"/>
  <c r="Q4132" i="210"/>
  <c r="D4133" i="210"/>
  <c r="K4133" i="210"/>
  <c r="L4133" i="210"/>
  <c r="N4133" i="210"/>
  <c r="P4133" i="210"/>
  <c r="Q4133" i="210"/>
  <c r="D4134" i="210"/>
  <c r="K4134" i="210"/>
  <c r="L4134" i="210"/>
  <c r="N4134" i="210"/>
  <c r="P4134" i="210"/>
  <c r="Q4134" i="210"/>
  <c r="D4135" i="210"/>
  <c r="K4135" i="210"/>
  <c r="L4135" i="210"/>
  <c r="N4135" i="210"/>
  <c r="P4135" i="210"/>
  <c r="Q4135" i="210"/>
  <c r="D4136" i="210"/>
  <c r="K4136" i="210"/>
  <c r="L4136" i="210"/>
  <c r="N4136" i="210"/>
  <c r="P4136" i="210"/>
  <c r="Q4136" i="210"/>
  <c r="D4137" i="210"/>
  <c r="K4137" i="210"/>
  <c r="L4137" i="210"/>
  <c r="N4137" i="210"/>
  <c r="P4137" i="210"/>
  <c r="Q4137" i="210"/>
  <c r="D4138" i="210"/>
  <c r="K4138" i="210"/>
  <c r="L4138" i="210"/>
  <c r="N4138" i="210"/>
  <c r="P4138" i="210"/>
  <c r="Q4138" i="210"/>
  <c r="D4139" i="210"/>
  <c r="K4139" i="210"/>
  <c r="L4139" i="210"/>
  <c r="N4139" i="210"/>
  <c r="P4139" i="210"/>
  <c r="Q4139" i="210"/>
  <c r="D4140" i="210"/>
  <c r="K4140" i="210"/>
  <c r="L4140" i="210"/>
  <c r="N4140" i="210"/>
  <c r="P4140" i="210"/>
  <c r="Q4140" i="210"/>
  <c r="D4141" i="210"/>
  <c r="K4141" i="210"/>
  <c r="L4141" i="210"/>
  <c r="N4141" i="210"/>
  <c r="P4141" i="210"/>
  <c r="Q4141" i="210"/>
  <c r="D4142" i="210"/>
  <c r="K4142" i="210"/>
  <c r="L4142" i="210"/>
  <c r="N4142" i="210"/>
  <c r="P4142" i="210"/>
  <c r="Q4142" i="210"/>
  <c r="C4145" i="210"/>
  <c r="E4145" i="210"/>
  <c r="E4146" i="210" s="1"/>
  <c r="E4147" i="210" s="1"/>
  <c r="E4149" i="210" s="1"/>
  <c r="E4151" i="210" s="1"/>
  <c r="E4153" i="210" s="1"/>
  <c r="E4155" i="210" s="1"/>
  <c r="E4157" i="210" s="1"/>
  <c r="E4159" i="210" s="1"/>
  <c r="E4161" i="210" s="1"/>
  <c r="E4163" i="210" s="1"/>
  <c r="E4165" i="210" s="1"/>
  <c r="H4145" i="210"/>
  <c r="I4145" i="210"/>
  <c r="J4145" i="210"/>
  <c r="C4146" i="210"/>
  <c r="I4146" i="210"/>
  <c r="C4147" i="210"/>
  <c r="I4147" i="210"/>
  <c r="D4149" i="210"/>
  <c r="K4149" i="210"/>
  <c r="L4149" i="210"/>
  <c r="N4149" i="210"/>
  <c r="P4149" i="210"/>
  <c r="Q4149" i="210"/>
  <c r="D4150" i="210"/>
  <c r="E4150" i="210"/>
  <c r="E4152" i="210" s="1"/>
  <c r="E4154" i="210" s="1"/>
  <c r="E4156" i="210" s="1"/>
  <c r="E4158" i="210" s="1"/>
  <c r="E4160" i="210" s="1"/>
  <c r="E4162" i="210" s="1"/>
  <c r="E4164" i="210" s="1"/>
  <c r="K4150" i="210"/>
  <c r="L4150" i="210"/>
  <c r="N4150" i="210"/>
  <c r="P4150" i="210"/>
  <c r="Q4150" i="210"/>
  <c r="D4151" i="210"/>
  <c r="K4151" i="210"/>
  <c r="L4151" i="210"/>
  <c r="N4151" i="210"/>
  <c r="P4151" i="210"/>
  <c r="Q4151" i="210"/>
  <c r="D4152" i="210"/>
  <c r="K4152" i="210"/>
  <c r="L4152" i="210"/>
  <c r="N4152" i="210"/>
  <c r="P4152" i="210"/>
  <c r="Q4152" i="210"/>
  <c r="D4153" i="210"/>
  <c r="K4153" i="210"/>
  <c r="L4153" i="210"/>
  <c r="N4153" i="210"/>
  <c r="P4153" i="210"/>
  <c r="Q4153" i="210"/>
  <c r="D4154" i="210"/>
  <c r="K4154" i="210"/>
  <c r="L4154" i="210"/>
  <c r="N4154" i="210"/>
  <c r="P4154" i="210"/>
  <c r="Q4154" i="210"/>
  <c r="D4155" i="210"/>
  <c r="K4155" i="210"/>
  <c r="L4155" i="210"/>
  <c r="N4155" i="210"/>
  <c r="P4155" i="210"/>
  <c r="Q4155" i="210"/>
  <c r="D4156" i="210"/>
  <c r="K4156" i="210"/>
  <c r="L4156" i="210"/>
  <c r="N4156" i="210"/>
  <c r="P4156" i="210"/>
  <c r="Q4156" i="210"/>
  <c r="D4157" i="210"/>
  <c r="K4157" i="210"/>
  <c r="L4157" i="210"/>
  <c r="N4157" i="210"/>
  <c r="P4157" i="210"/>
  <c r="Q4157" i="210"/>
  <c r="D4158" i="210"/>
  <c r="K4158" i="210"/>
  <c r="L4158" i="210"/>
  <c r="N4158" i="210"/>
  <c r="P4158" i="210"/>
  <c r="Q4158" i="210"/>
  <c r="D4159" i="210"/>
  <c r="K4159" i="210"/>
  <c r="L4159" i="210"/>
  <c r="N4159" i="210"/>
  <c r="P4159" i="210"/>
  <c r="Q4159" i="210"/>
  <c r="D4160" i="210"/>
  <c r="K4160" i="210"/>
  <c r="L4160" i="210"/>
  <c r="N4160" i="210"/>
  <c r="P4160" i="210"/>
  <c r="Q4160" i="210"/>
  <c r="D4161" i="210"/>
  <c r="K4161" i="210"/>
  <c r="L4161" i="210"/>
  <c r="N4161" i="210"/>
  <c r="P4161" i="210"/>
  <c r="Q4161" i="210"/>
  <c r="D4162" i="210"/>
  <c r="K4162" i="210"/>
  <c r="L4162" i="210"/>
  <c r="N4162" i="210"/>
  <c r="P4162" i="210"/>
  <c r="Q4162" i="210"/>
  <c r="D4163" i="210"/>
  <c r="K4163" i="210"/>
  <c r="L4163" i="210"/>
  <c r="N4163" i="210"/>
  <c r="P4163" i="210"/>
  <c r="Q4163" i="210"/>
  <c r="D4164" i="210"/>
  <c r="K4164" i="210"/>
  <c r="L4164" i="210"/>
  <c r="N4164" i="210"/>
  <c r="P4164" i="210"/>
  <c r="Q4164" i="210"/>
  <c r="D4165" i="210"/>
  <c r="K4165" i="210"/>
  <c r="L4165" i="210"/>
  <c r="N4165" i="210"/>
  <c r="P4165" i="210"/>
  <c r="Q4165" i="210"/>
  <c r="C4168" i="210"/>
  <c r="C4169" i="210" s="1"/>
  <c r="C4170" i="210" s="1"/>
  <c r="H4168" i="210"/>
  <c r="E4168" i="210" s="1"/>
  <c r="E4169" i="210" s="1"/>
  <c r="E4170" i="210" s="1"/>
  <c r="E4172" i="210" s="1"/>
  <c r="E4174" i="210" s="1"/>
  <c r="E4176" i="210" s="1"/>
  <c r="E4178" i="210" s="1"/>
  <c r="E4180" i="210" s="1"/>
  <c r="E4182" i="210" s="1"/>
  <c r="E4184" i="210" s="1"/>
  <c r="E4186" i="210" s="1"/>
  <c r="E4188" i="210" s="1"/>
  <c r="E4190" i="210" s="1"/>
  <c r="E4192" i="210" s="1"/>
  <c r="E4194" i="210" s="1"/>
  <c r="E4196" i="210" s="1"/>
  <c r="E4198" i="210" s="1"/>
  <c r="E4200" i="210" s="1"/>
  <c r="E4202" i="210" s="1"/>
  <c r="E4204" i="210" s="1"/>
  <c r="E4206" i="210" s="1"/>
  <c r="E4208" i="210" s="1"/>
  <c r="I4168" i="210"/>
  <c r="J4168" i="210"/>
  <c r="I4169" i="210"/>
  <c r="I4170" i="210"/>
  <c r="D4172" i="210"/>
  <c r="K4172" i="210"/>
  <c r="L4172" i="210"/>
  <c r="N4172" i="210"/>
  <c r="P4172" i="210"/>
  <c r="Q4172" i="210"/>
  <c r="D4173" i="210"/>
  <c r="E4173" i="210"/>
  <c r="K4173" i="210"/>
  <c r="L4173" i="210"/>
  <c r="N4173" i="210"/>
  <c r="P4173" i="210"/>
  <c r="Q4173" i="210"/>
  <c r="D4174" i="210"/>
  <c r="K4174" i="210"/>
  <c r="L4174" i="210"/>
  <c r="N4174" i="210"/>
  <c r="P4174" i="210"/>
  <c r="Q4174" i="210"/>
  <c r="D4175" i="210"/>
  <c r="E4175" i="210"/>
  <c r="E4177" i="210" s="1"/>
  <c r="E4179" i="210" s="1"/>
  <c r="E4181" i="210" s="1"/>
  <c r="E4183" i="210" s="1"/>
  <c r="E4185" i="210" s="1"/>
  <c r="E4187" i="210" s="1"/>
  <c r="E4189" i="210" s="1"/>
  <c r="E4191" i="210" s="1"/>
  <c r="E4193" i="210" s="1"/>
  <c r="E4195" i="210" s="1"/>
  <c r="E4197" i="210" s="1"/>
  <c r="E4199" i="210" s="1"/>
  <c r="E4201" i="210" s="1"/>
  <c r="E4203" i="210" s="1"/>
  <c r="E4205" i="210" s="1"/>
  <c r="E4207" i="210" s="1"/>
  <c r="E4209" i="210" s="1"/>
  <c r="K4175" i="210"/>
  <c r="L4175" i="210"/>
  <c r="N4175" i="210"/>
  <c r="P4175" i="210"/>
  <c r="Q4175" i="210"/>
  <c r="D4176" i="210"/>
  <c r="K4176" i="210"/>
  <c r="L4176" i="210"/>
  <c r="N4176" i="210"/>
  <c r="P4176" i="210"/>
  <c r="Q4176" i="210"/>
  <c r="D4177" i="210"/>
  <c r="K4177" i="210"/>
  <c r="L4177" i="210"/>
  <c r="N4177" i="210"/>
  <c r="P4177" i="210"/>
  <c r="Q4177" i="210"/>
  <c r="D4178" i="210"/>
  <c r="K4178" i="210"/>
  <c r="L4178" i="210"/>
  <c r="N4178" i="210"/>
  <c r="P4178" i="210"/>
  <c r="Q4178" i="210"/>
  <c r="D4179" i="210"/>
  <c r="K4179" i="210"/>
  <c r="L4179" i="210"/>
  <c r="N4179" i="210"/>
  <c r="P4179" i="210"/>
  <c r="Q4179" i="210"/>
  <c r="D4180" i="210"/>
  <c r="K4180" i="210"/>
  <c r="L4180" i="210"/>
  <c r="N4180" i="210"/>
  <c r="P4180" i="210"/>
  <c r="Q4180" i="210"/>
  <c r="D4181" i="210"/>
  <c r="K4181" i="210"/>
  <c r="L4181" i="210"/>
  <c r="N4181" i="210"/>
  <c r="P4181" i="210"/>
  <c r="Q4181" i="210"/>
  <c r="D4182" i="210"/>
  <c r="K4182" i="210"/>
  <c r="L4182" i="210"/>
  <c r="N4182" i="210"/>
  <c r="P4182" i="210"/>
  <c r="Q4182" i="210"/>
  <c r="D4183" i="210"/>
  <c r="K4183" i="210"/>
  <c r="L4183" i="210"/>
  <c r="N4183" i="210"/>
  <c r="P4183" i="210"/>
  <c r="Q4183" i="210"/>
  <c r="D4184" i="210"/>
  <c r="K4184" i="210"/>
  <c r="L4184" i="210"/>
  <c r="N4184" i="210"/>
  <c r="P4184" i="210"/>
  <c r="Q4184" i="210"/>
  <c r="D4185" i="210"/>
  <c r="K4185" i="210"/>
  <c r="L4185" i="210"/>
  <c r="N4185" i="210"/>
  <c r="P4185" i="210"/>
  <c r="Q4185" i="210"/>
  <c r="D4186" i="210"/>
  <c r="K4186" i="210"/>
  <c r="L4186" i="210"/>
  <c r="N4186" i="210"/>
  <c r="P4186" i="210"/>
  <c r="Q4186" i="210"/>
  <c r="D4187" i="210"/>
  <c r="K4187" i="210"/>
  <c r="L4187" i="210"/>
  <c r="N4187" i="210"/>
  <c r="P4187" i="210"/>
  <c r="Q4187" i="210"/>
  <c r="D4188" i="210"/>
  <c r="K4188" i="210"/>
  <c r="L4188" i="210"/>
  <c r="N4188" i="210"/>
  <c r="P4188" i="210"/>
  <c r="Q4188" i="210"/>
  <c r="D4189" i="210"/>
  <c r="K4189" i="210"/>
  <c r="L4189" i="210"/>
  <c r="N4189" i="210"/>
  <c r="P4189" i="210"/>
  <c r="Q4189" i="210"/>
  <c r="D4190" i="210"/>
  <c r="K4190" i="210"/>
  <c r="L4190" i="210"/>
  <c r="N4190" i="210"/>
  <c r="P4190" i="210"/>
  <c r="Q4190" i="210"/>
  <c r="D4191" i="210"/>
  <c r="K4191" i="210"/>
  <c r="L4191" i="210"/>
  <c r="N4191" i="210"/>
  <c r="P4191" i="210"/>
  <c r="Q4191" i="210"/>
  <c r="D4192" i="210"/>
  <c r="K4192" i="210"/>
  <c r="L4192" i="210"/>
  <c r="N4192" i="210"/>
  <c r="P4192" i="210"/>
  <c r="Q4192" i="210"/>
  <c r="D4193" i="210"/>
  <c r="K4193" i="210"/>
  <c r="L4193" i="210"/>
  <c r="N4193" i="210"/>
  <c r="P4193" i="210"/>
  <c r="Q4193" i="210"/>
  <c r="D4194" i="210"/>
  <c r="K4194" i="210"/>
  <c r="L4194" i="210"/>
  <c r="N4194" i="210"/>
  <c r="P4194" i="210"/>
  <c r="Q4194" i="210"/>
  <c r="D4195" i="210"/>
  <c r="K4195" i="210"/>
  <c r="L4195" i="210"/>
  <c r="N4195" i="210"/>
  <c r="P4195" i="210"/>
  <c r="Q4195" i="210"/>
  <c r="D4196" i="210"/>
  <c r="K4196" i="210"/>
  <c r="L4196" i="210"/>
  <c r="N4196" i="210"/>
  <c r="P4196" i="210"/>
  <c r="Q4196" i="210"/>
  <c r="D4197" i="210"/>
  <c r="K4197" i="210"/>
  <c r="L4197" i="210"/>
  <c r="N4197" i="210"/>
  <c r="P4197" i="210"/>
  <c r="Q4197" i="210"/>
  <c r="D4198" i="210"/>
  <c r="K4198" i="210"/>
  <c r="L4198" i="210"/>
  <c r="N4198" i="210"/>
  <c r="P4198" i="210"/>
  <c r="Q4198" i="210"/>
  <c r="D4199" i="210"/>
  <c r="K4199" i="210"/>
  <c r="L4199" i="210"/>
  <c r="N4199" i="210"/>
  <c r="P4199" i="210"/>
  <c r="Q4199" i="210"/>
  <c r="D4200" i="210"/>
  <c r="K4200" i="210"/>
  <c r="L4200" i="210"/>
  <c r="N4200" i="210"/>
  <c r="P4200" i="210"/>
  <c r="Q4200" i="210"/>
  <c r="D4201" i="210"/>
  <c r="K4201" i="210"/>
  <c r="L4201" i="210"/>
  <c r="N4201" i="210"/>
  <c r="P4201" i="210"/>
  <c r="Q4201" i="210"/>
  <c r="D4202" i="210"/>
  <c r="K4202" i="210"/>
  <c r="L4202" i="210"/>
  <c r="N4202" i="210"/>
  <c r="P4202" i="210"/>
  <c r="Q4202" i="210"/>
  <c r="D4203" i="210"/>
  <c r="K4203" i="210"/>
  <c r="L4203" i="210"/>
  <c r="N4203" i="210"/>
  <c r="P4203" i="210"/>
  <c r="Q4203" i="210"/>
  <c r="D4204" i="210"/>
  <c r="K4204" i="210"/>
  <c r="L4204" i="210"/>
  <c r="N4204" i="210"/>
  <c r="P4204" i="210"/>
  <c r="Q4204" i="210"/>
  <c r="D4205" i="210"/>
  <c r="K4205" i="210"/>
  <c r="L4205" i="210"/>
  <c r="N4205" i="210"/>
  <c r="P4205" i="210"/>
  <c r="Q4205" i="210"/>
  <c r="D4206" i="210"/>
  <c r="K4206" i="210"/>
  <c r="L4206" i="210"/>
  <c r="N4206" i="210"/>
  <c r="P4206" i="210"/>
  <c r="Q4206" i="210"/>
  <c r="D4207" i="210"/>
  <c r="K4207" i="210"/>
  <c r="L4207" i="210"/>
  <c r="N4207" i="210"/>
  <c r="P4207" i="210"/>
  <c r="Q4207" i="210"/>
  <c r="D4208" i="210"/>
  <c r="K4208" i="210"/>
  <c r="L4208" i="210"/>
  <c r="N4208" i="210"/>
  <c r="P4208" i="210"/>
  <c r="Q4208" i="210"/>
  <c r="D4209" i="210"/>
  <c r="K4209" i="210"/>
  <c r="L4209" i="210"/>
  <c r="N4209" i="210"/>
  <c r="P4209" i="210"/>
  <c r="Q4209" i="210"/>
  <c r="C4212" i="210"/>
  <c r="C4213" i="210" s="1"/>
  <c r="C4214" i="210" s="1"/>
  <c r="H4212" i="210"/>
  <c r="E4212" i="210" s="1"/>
  <c r="E4213" i="210" s="1"/>
  <c r="E4214" i="210" s="1"/>
  <c r="E4216" i="210" s="1"/>
  <c r="E4218" i="210" s="1"/>
  <c r="E4220" i="210" s="1"/>
  <c r="E4222" i="210" s="1"/>
  <c r="E4224" i="210" s="1"/>
  <c r="E4226" i="210" s="1"/>
  <c r="E4228" i="210" s="1"/>
  <c r="E4230" i="210" s="1"/>
  <c r="E4232" i="210" s="1"/>
  <c r="E4234" i="210" s="1"/>
  <c r="E4236" i="210" s="1"/>
  <c r="E4238" i="210" s="1"/>
  <c r="E4240" i="210" s="1"/>
  <c r="E4242" i="210" s="1"/>
  <c r="E4244" i="210" s="1"/>
  <c r="E4246" i="210" s="1"/>
  <c r="E4248" i="210" s="1"/>
  <c r="E4250" i="210" s="1"/>
  <c r="E4252" i="210" s="1"/>
  <c r="E4254" i="210" s="1"/>
  <c r="E4256" i="210" s="1"/>
  <c r="E4258" i="210" s="1"/>
  <c r="E4260" i="210" s="1"/>
  <c r="E4262" i="210" s="1"/>
  <c r="I4212" i="210"/>
  <c r="J4212" i="210"/>
  <c r="I4213" i="210"/>
  <c r="I4214" i="210"/>
  <c r="D4216" i="210"/>
  <c r="K4216" i="210"/>
  <c r="L4216" i="210"/>
  <c r="N4216" i="210"/>
  <c r="P4216" i="210"/>
  <c r="Q4216" i="210"/>
  <c r="D4217" i="210"/>
  <c r="E4217" i="210"/>
  <c r="E4219" i="210" s="1"/>
  <c r="E4221" i="210" s="1"/>
  <c r="K4217" i="210"/>
  <c r="L4217" i="210"/>
  <c r="N4217" i="210"/>
  <c r="P4217" i="210"/>
  <c r="Q4217" i="210"/>
  <c r="D4218" i="210"/>
  <c r="K4218" i="210"/>
  <c r="L4218" i="210"/>
  <c r="N4218" i="210"/>
  <c r="P4218" i="210"/>
  <c r="Q4218" i="210"/>
  <c r="D4219" i="210"/>
  <c r="K4219" i="210"/>
  <c r="L4219" i="210"/>
  <c r="N4219" i="210"/>
  <c r="P4219" i="210"/>
  <c r="Q4219" i="210"/>
  <c r="D4220" i="210"/>
  <c r="K4220" i="210"/>
  <c r="L4220" i="210"/>
  <c r="N4220" i="210"/>
  <c r="P4220" i="210"/>
  <c r="Q4220" i="210"/>
  <c r="D4221" i="210"/>
  <c r="K4221" i="210"/>
  <c r="L4221" i="210"/>
  <c r="N4221" i="210"/>
  <c r="P4221" i="210"/>
  <c r="Q4221" i="210"/>
  <c r="D4222" i="210"/>
  <c r="K4222" i="210"/>
  <c r="L4222" i="210"/>
  <c r="N4222" i="210"/>
  <c r="P4222" i="210"/>
  <c r="Q4222" i="210"/>
  <c r="D4223" i="210"/>
  <c r="E4223" i="210"/>
  <c r="E4225" i="210" s="1"/>
  <c r="E4227" i="210" s="1"/>
  <c r="E4229" i="210" s="1"/>
  <c r="E4231" i="210" s="1"/>
  <c r="E4233" i="210" s="1"/>
  <c r="E4235" i="210" s="1"/>
  <c r="E4237" i="210" s="1"/>
  <c r="E4239" i="210" s="1"/>
  <c r="E4241" i="210" s="1"/>
  <c r="E4243" i="210" s="1"/>
  <c r="E4245" i="210" s="1"/>
  <c r="E4247" i="210" s="1"/>
  <c r="E4249" i="210" s="1"/>
  <c r="E4251" i="210" s="1"/>
  <c r="E4253" i="210" s="1"/>
  <c r="E4255" i="210" s="1"/>
  <c r="E4257" i="210" s="1"/>
  <c r="E4259" i="210" s="1"/>
  <c r="E4261" i="210" s="1"/>
  <c r="E4263" i="210" s="1"/>
  <c r="K4223" i="210"/>
  <c r="L4223" i="210"/>
  <c r="N4223" i="210"/>
  <c r="P4223" i="210"/>
  <c r="Q4223" i="210"/>
  <c r="D4224" i="210"/>
  <c r="K4224" i="210"/>
  <c r="L4224" i="210"/>
  <c r="N4224" i="210"/>
  <c r="P4224" i="210"/>
  <c r="Q4224" i="210"/>
  <c r="D4225" i="210"/>
  <c r="K4225" i="210"/>
  <c r="L4225" i="210"/>
  <c r="N4225" i="210"/>
  <c r="P4225" i="210"/>
  <c r="Q4225" i="210"/>
  <c r="D4226" i="210"/>
  <c r="K4226" i="210"/>
  <c r="L4226" i="210"/>
  <c r="N4226" i="210"/>
  <c r="P4226" i="210"/>
  <c r="Q4226" i="210"/>
  <c r="D4227" i="210"/>
  <c r="K4227" i="210"/>
  <c r="L4227" i="210"/>
  <c r="N4227" i="210"/>
  <c r="P4227" i="210"/>
  <c r="Q4227" i="210"/>
  <c r="D4228" i="210"/>
  <c r="K4228" i="210"/>
  <c r="L4228" i="210"/>
  <c r="N4228" i="210"/>
  <c r="P4228" i="210"/>
  <c r="Q4228" i="210"/>
  <c r="D4229" i="210"/>
  <c r="K4229" i="210"/>
  <c r="L4229" i="210"/>
  <c r="N4229" i="210"/>
  <c r="P4229" i="210"/>
  <c r="Q4229" i="210"/>
  <c r="D4230" i="210"/>
  <c r="K4230" i="210"/>
  <c r="L4230" i="210"/>
  <c r="N4230" i="210"/>
  <c r="P4230" i="210"/>
  <c r="Q4230" i="210"/>
  <c r="D4231" i="210"/>
  <c r="K4231" i="210"/>
  <c r="L4231" i="210"/>
  <c r="N4231" i="210"/>
  <c r="P4231" i="210"/>
  <c r="Q4231" i="210"/>
  <c r="D4232" i="210"/>
  <c r="K4232" i="210"/>
  <c r="L4232" i="210"/>
  <c r="N4232" i="210"/>
  <c r="P4232" i="210"/>
  <c r="Q4232" i="210"/>
  <c r="D4233" i="210"/>
  <c r="K4233" i="210"/>
  <c r="L4233" i="210"/>
  <c r="N4233" i="210"/>
  <c r="P4233" i="210"/>
  <c r="Q4233" i="210"/>
  <c r="D4234" i="210"/>
  <c r="K4234" i="210"/>
  <c r="L4234" i="210"/>
  <c r="N4234" i="210"/>
  <c r="P4234" i="210"/>
  <c r="Q4234" i="210"/>
  <c r="D4235" i="210"/>
  <c r="K4235" i="210"/>
  <c r="L4235" i="210"/>
  <c r="N4235" i="210"/>
  <c r="P4235" i="210"/>
  <c r="Q4235" i="210"/>
  <c r="D4236" i="210"/>
  <c r="K4236" i="210"/>
  <c r="L4236" i="210"/>
  <c r="N4236" i="210"/>
  <c r="P4236" i="210"/>
  <c r="Q4236" i="210"/>
  <c r="D4237" i="210"/>
  <c r="K4237" i="210"/>
  <c r="L4237" i="210"/>
  <c r="N4237" i="210"/>
  <c r="P4237" i="210"/>
  <c r="Q4237" i="210"/>
  <c r="D4238" i="210"/>
  <c r="K4238" i="210"/>
  <c r="L4238" i="210"/>
  <c r="N4238" i="210"/>
  <c r="P4238" i="210"/>
  <c r="Q4238" i="210"/>
  <c r="D4239" i="210"/>
  <c r="K4239" i="210"/>
  <c r="L4239" i="210"/>
  <c r="N4239" i="210"/>
  <c r="P4239" i="210"/>
  <c r="Q4239" i="210"/>
  <c r="D4240" i="210"/>
  <c r="K4240" i="210"/>
  <c r="L4240" i="210"/>
  <c r="N4240" i="210"/>
  <c r="P4240" i="210"/>
  <c r="Q4240" i="210"/>
  <c r="D4241" i="210"/>
  <c r="K4241" i="210"/>
  <c r="L4241" i="210"/>
  <c r="N4241" i="210"/>
  <c r="P4241" i="210"/>
  <c r="Q4241" i="210"/>
  <c r="D4242" i="210"/>
  <c r="K4242" i="210"/>
  <c r="L4242" i="210"/>
  <c r="N4242" i="210"/>
  <c r="P4242" i="210"/>
  <c r="Q4242" i="210"/>
  <c r="D4243" i="210"/>
  <c r="K4243" i="210"/>
  <c r="L4243" i="210"/>
  <c r="N4243" i="210"/>
  <c r="P4243" i="210"/>
  <c r="Q4243" i="210"/>
  <c r="D4244" i="210"/>
  <c r="K4244" i="210"/>
  <c r="L4244" i="210"/>
  <c r="N4244" i="210"/>
  <c r="P4244" i="210"/>
  <c r="Q4244" i="210"/>
  <c r="D4245" i="210"/>
  <c r="K4245" i="210"/>
  <c r="L4245" i="210"/>
  <c r="N4245" i="210"/>
  <c r="P4245" i="210"/>
  <c r="Q4245" i="210"/>
  <c r="D4246" i="210"/>
  <c r="K4246" i="210"/>
  <c r="L4246" i="210"/>
  <c r="N4246" i="210"/>
  <c r="P4246" i="210"/>
  <c r="Q4246" i="210"/>
  <c r="D4247" i="210"/>
  <c r="K4247" i="210"/>
  <c r="L4247" i="210"/>
  <c r="N4247" i="210"/>
  <c r="P4247" i="210"/>
  <c r="Q4247" i="210"/>
  <c r="D4248" i="210"/>
  <c r="K4248" i="210"/>
  <c r="L4248" i="210"/>
  <c r="N4248" i="210"/>
  <c r="P4248" i="210"/>
  <c r="Q4248" i="210"/>
  <c r="D4249" i="210"/>
  <c r="K4249" i="210"/>
  <c r="L4249" i="210"/>
  <c r="N4249" i="210"/>
  <c r="P4249" i="210"/>
  <c r="Q4249" i="210"/>
  <c r="D4250" i="210"/>
  <c r="K4250" i="210"/>
  <c r="L4250" i="210"/>
  <c r="N4250" i="210"/>
  <c r="P4250" i="210"/>
  <c r="Q4250" i="210"/>
  <c r="D4251" i="210"/>
  <c r="K4251" i="210"/>
  <c r="L4251" i="210"/>
  <c r="N4251" i="210"/>
  <c r="P4251" i="210"/>
  <c r="Q4251" i="210"/>
  <c r="D4252" i="210"/>
  <c r="K4252" i="210"/>
  <c r="L4252" i="210"/>
  <c r="N4252" i="210"/>
  <c r="P4252" i="210"/>
  <c r="Q4252" i="210"/>
  <c r="D4253" i="210"/>
  <c r="K4253" i="210"/>
  <c r="L4253" i="210"/>
  <c r="N4253" i="210"/>
  <c r="P4253" i="210"/>
  <c r="Q4253" i="210"/>
  <c r="D4254" i="210"/>
  <c r="K4254" i="210"/>
  <c r="L4254" i="210"/>
  <c r="N4254" i="210"/>
  <c r="P4254" i="210"/>
  <c r="Q4254" i="210"/>
  <c r="D4255" i="210"/>
  <c r="K4255" i="210"/>
  <c r="L4255" i="210"/>
  <c r="N4255" i="210"/>
  <c r="P4255" i="210"/>
  <c r="Q4255" i="210"/>
  <c r="D4256" i="210"/>
  <c r="K4256" i="210"/>
  <c r="L4256" i="210"/>
  <c r="N4256" i="210"/>
  <c r="P4256" i="210"/>
  <c r="Q4256" i="210"/>
  <c r="D4257" i="210"/>
  <c r="K4257" i="210"/>
  <c r="L4257" i="210"/>
  <c r="N4257" i="210"/>
  <c r="P4257" i="210"/>
  <c r="Q4257" i="210"/>
  <c r="D4258" i="210"/>
  <c r="K4258" i="210"/>
  <c r="L4258" i="210"/>
  <c r="N4258" i="210"/>
  <c r="P4258" i="210"/>
  <c r="Q4258" i="210"/>
  <c r="D4259" i="210"/>
  <c r="K4259" i="210"/>
  <c r="L4259" i="210"/>
  <c r="N4259" i="210"/>
  <c r="P4259" i="210"/>
  <c r="Q4259" i="210"/>
  <c r="D4260" i="210"/>
  <c r="K4260" i="210"/>
  <c r="L4260" i="210"/>
  <c r="N4260" i="210"/>
  <c r="P4260" i="210"/>
  <c r="Q4260" i="210"/>
  <c r="D4261" i="210"/>
  <c r="K4261" i="210"/>
  <c r="L4261" i="210"/>
  <c r="N4261" i="210"/>
  <c r="P4261" i="210"/>
  <c r="Q4261" i="210"/>
  <c r="D4262" i="210"/>
  <c r="K4262" i="210"/>
  <c r="L4262" i="210"/>
  <c r="N4262" i="210"/>
  <c r="P4262" i="210"/>
  <c r="Q4262" i="210"/>
  <c r="D4263" i="210"/>
  <c r="K4263" i="210"/>
  <c r="L4263" i="210"/>
  <c r="N4263" i="210"/>
  <c r="P4263" i="210"/>
  <c r="Q4263" i="210"/>
  <c r="C4266" i="210"/>
  <c r="H4266" i="210"/>
  <c r="E4266" i="210" s="1"/>
  <c r="E4267" i="210" s="1"/>
  <c r="E4268" i="210" s="1"/>
  <c r="E4270" i="210" s="1"/>
  <c r="E4272" i="210" s="1"/>
  <c r="E4274" i="210" s="1"/>
  <c r="E4276" i="210" s="1"/>
  <c r="E4278" i="210" s="1"/>
  <c r="E4280" i="210" s="1"/>
  <c r="E4282" i="210" s="1"/>
  <c r="E4284" i="210" s="1"/>
  <c r="E4286" i="210" s="1"/>
  <c r="E4288" i="210" s="1"/>
  <c r="E4290" i="210" s="1"/>
  <c r="E4292" i="210" s="1"/>
  <c r="E4294" i="210" s="1"/>
  <c r="E4296" i="210" s="1"/>
  <c r="E4298" i="210" s="1"/>
  <c r="E4300" i="210" s="1"/>
  <c r="E4302" i="210" s="1"/>
  <c r="E4304" i="210" s="1"/>
  <c r="E4306" i="210" s="1"/>
  <c r="E4308" i="210" s="1"/>
  <c r="E4310" i="210" s="1"/>
  <c r="E4312" i="210" s="1"/>
  <c r="E4314" i="210" s="1"/>
  <c r="E4316" i="210" s="1"/>
  <c r="E4318" i="210" s="1"/>
  <c r="E4320" i="210" s="1"/>
  <c r="E4322" i="210" s="1"/>
  <c r="E4324" i="210" s="1"/>
  <c r="E4326" i="210" s="1"/>
  <c r="E4328" i="210" s="1"/>
  <c r="I4266" i="210"/>
  <c r="J4266" i="210"/>
  <c r="C4267" i="210"/>
  <c r="C4268" i="210" s="1"/>
  <c r="I4267" i="210"/>
  <c r="I4268" i="210"/>
  <c r="D4270" i="210"/>
  <c r="K4270" i="210"/>
  <c r="L4270" i="210"/>
  <c r="N4270" i="210"/>
  <c r="P4270" i="210"/>
  <c r="Q4270" i="210"/>
  <c r="D4271" i="210"/>
  <c r="E4271" i="210"/>
  <c r="E4273" i="210" s="1"/>
  <c r="E4275" i="210" s="1"/>
  <c r="E4277" i="210" s="1"/>
  <c r="E4279" i="210" s="1"/>
  <c r="E4281" i="210" s="1"/>
  <c r="E4283" i="210" s="1"/>
  <c r="E4285" i="210" s="1"/>
  <c r="E4287" i="210" s="1"/>
  <c r="E4289" i="210" s="1"/>
  <c r="E4291" i="210" s="1"/>
  <c r="E4293" i="210" s="1"/>
  <c r="E4295" i="210" s="1"/>
  <c r="E4297" i="210" s="1"/>
  <c r="E4299" i="210" s="1"/>
  <c r="E4301" i="210" s="1"/>
  <c r="E4303" i="210" s="1"/>
  <c r="E4305" i="210" s="1"/>
  <c r="E4307" i="210" s="1"/>
  <c r="E4309" i="210" s="1"/>
  <c r="E4311" i="210" s="1"/>
  <c r="E4313" i="210" s="1"/>
  <c r="E4315" i="210" s="1"/>
  <c r="E4317" i="210" s="1"/>
  <c r="E4319" i="210" s="1"/>
  <c r="E4321" i="210" s="1"/>
  <c r="E4323" i="210" s="1"/>
  <c r="E4325" i="210" s="1"/>
  <c r="E4327" i="210" s="1"/>
  <c r="E4329" i="210" s="1"/>
  <c r="K4271" i="210"/>
  <c r="L4271" i="210"/>
  <c r="N4271" i="210"/>
  <c r="P4271" i="210"/>
  <c r="Q4271" i="210"/>
  <c r="D4272" i="210"/>
  <c r="K4272" i="210"/>
  <c r="L4272" i="210"/>
  <c r="N4272" i="210"/>
  <c r="P4272" i="210"/>
  <c r="Q4272" i="210"/>
  <c r="D4273" i="210"/>
  <c r="K4273" i="210"/>
  <c r="L4273" i="210"/>
  <c r="N4273" i="210"/>
  <c r="P4273" i="210"/>
  <c r="Q4273" i="210"/>
  <c r="D4274" i="210"/>
  <c r="K4274" i="210"/>
  <c r="L4274" i="210"/>
  <c r="N4274" i="210"/>
  <c r="P4274" i="210"/>
  <c r="Q4274" i="210"/>
  <c r="D4275" i="210"/>
  <c r="K4275" i="210"/>
  <c r="L4275" i="210"/>
  <c r="N4275" i="210"/>
  <c r="P4275" i="210"/>
  <c r="Q4275" i="210"/>
  <c r="D4276" i="210"/>
  <c r="K4276" i="210"/>
  <c r="L4276" i="210"/>
  <c r="N4276" i="210"/>
  <c r="P4276" i="210"/>
  <c r="Q4276" i="210"/>
  <c r="D4277" i="210"/>
  <c r="K4277" i="210"/>
  <c r="L4277" i="210"/>
  <c r="N4277" i="210"/>
  <c r="P4277" i="210"/>
  <c r="Q4277" i="210"/>
  <c r="D4278" i="210"/>
  <c r="K4278" i="210"/>
  <c r="L4278" i="210"/>
  <c r="N4278" i="210"/>
  <c r="P4278" i="210"/>
  <c r="Q4278" i="210"/>
  <c r="D4279" i="210"/>
  <c r="K4279" i="210"/>
  <c r="L4279" i="210"/>
  <c r="N4279" i="210"/>
  <c r="P4279" i="210"/>
  <c r="Q4279" i="210"/>
  <c r="D4280" i="210"/>
  <c r="K4280" i="210"/>
  <c r="L4280" i="210"/>
  <c r="N4280" i="210"/>
  <c r="P4280" i="210"/>
  <c r="Q4280" i="210"/>
  <c r="D4281" i="210"/>
  <c r="K4281" i="210"/>
  <c r="L4281" i="210"/>
  <c r="N4281" i="210"/>
  <c r="P4281" i="210"/>
  <c r="Q4281" i="210"/>
  <c r="D4282" i="210"/>
  <c r="K4282" i="210"/>
  <c r="L4282" i="210"/>
  <c r="N4282" i="210"/>
  <c r="P4282" i="210"/>
  <c r="Q4282" i="210"/>
  <c r="D4283" i="210"/>
  <c r="K4283" i="210"/>
  <c r="L4283" i="210"/>
  <c r="N4283" i="210"/>
  <c r="P4283" i="210"/>
  <c r="Q4283" i="210"/>
  <c r="D4284" i="210"/>
  <c r="K4284" i="210"/>
  <c r="L4284" i="210"/>
  <c r="N4284" i="210"/>
  <c r="P4284" i="210"/>
  <c r="Q4284" i="210"/>
  <c r="D4285" i="210"/>
  <c r="K4285" i="210"/>
  <c r="L4285" i="210"/>
  <c r="N4285" i="210"/>
  <c r="P4285" i="210"/>
  <c r="Q4285" i="210"/>
  <c r="D4286" i="210"/>
  <c r="K4286" i="210"/>
  <c r="L4286" i="210"/>
  <c r="N4286" i="210"/>
  <c r="P4286" i="210"/>
  <c r="Q4286" i="210"/>
  <c r="D4287" i="210"/>
  <c r="K4287" i="210"/>
  <c r="L4287" i="210"/>
  <c r="N4287" i="210"/>
  <c r="P4287" i="210"/>
  <c r="Q4287" i="210"/>
  <c r="D4288" i="210"/>
  <c r="K4288" i="210"/>
  <c r="L4288" i="210"/>
  <c r="N4288" i="210"/>
  <c r="P4288" i="210"/>
  <c r="Q4288" i="210"/>
  <c r="D4289" i="210"/>
  <c r="K4289" i="210"/>
  <c r="L4289" i="210"/>
  <c r="N4289" i="210"/>
  <c r="P4289" i="210"/>
  <c r="Q4289" i="210"/>
  <c r="D4290" i="210"/>
  <c r="K4290" i="210"/>
  <c r="L4290" i="210"/>
  <c r="N4290" i="210"/>
  <c r="P4290" i="210"/>
  <c r="Q4290" i="210"/>
  <c r="D4291" i="210"/>
  <c r="K4291" i="210"/>
  <c r="L4291" i="210"/>
  <c r="N4291" i="210"/>
  <c r="P4291" i="210"/>
  <c r="Q4291" i="210"/>
  <c r="D4292" i="210"/>
  <c r="K4292" i="210"/>
  <c r="L4292" i="210"/>
  <c r="N4292" i="210"/>
  <c r="P4292" i="210"/>
  <c r="Q4292" i="210"/>
  <c r="D4293" i="210"/>
  <c r="K4293" i="210"/>
  <c r="L4293" i="210"/>
  <c r="N4293" i="210"/>
  <c r="P4293" i="210"/>
  <c r="Q4293" i="210"/>
  <c r="D4294" i="210"/>
  <c r="K4294" i="210"/>
  <c r="L4294" i="210"/>
  <c r="N4294" i="210"/>
  <c r="P4294" i="210"/>
  <c r="Q4294" i="210"/>
  <c r="D4295" i="210"/>
  <c r="K4295" i="210"/>
  <c r="L4295" i="210"/>
  <c r="N4295" i="210"/>
  <c r="P4295" i="210"/>
  <c r="Q4295" i="210"/>
  <c r="D4296" i="210"/>
  <c r="K4296" i="210"/>
  <c r="L4296" i="210"/>
  <c r="N4296" i="210"/>
  <c r="P4296" i="210"/>
  <c r="Q4296" i="210"/>
  <c r="D4297" i="210"/>
  <c r="K4297" i="210"/>
  <c r="L4297" i="210"/>
  <c r="N4297" i="210"/>
  <c r="P4297" i="210"/>
  <c r="Q4297" i="210"/>
  <c r="D4298" i="210"/>
  <c r="K4298" i="210"/>
  <c r="L4298" i="210"/>
  <c r="N4298" i="210"/>
  <c r="P4298" i="210"/>
  <c r="Q4298" i="210"/>
  <c r="D4299" i="210"/>
  <c r="K4299" i="210"/>
  <c r="L4299" i="210"/>
  <c r="N4299" i="210"/>
  <c r="P4299" i="210"/>
  <c r="Q4299" i="210"/>
  <c r="D4300" i="210"/>
  <c r="K4300" i="210"/>
  <c r="L4300" i="210"/>
  <c r="N4300" i="210"/>
  <c r="P4300" i="210"/>
  <c r="Q4300" i="210"/>
  <c r="D4301" i="210"/>
  <c r="K4301" i="210"/>
  <c r="L4301" i="210"/>
  <c r="N4301" i="210"/>
  <c r="P4301" i="210"/>
  <c r="Q4301" i="210"/>
  <c r="D4302" i="210"/>
  <c r="K4302" i="210"/>
  <c r="L4302" i="210"/>
  <c r="N4302" i="210"/>
  <c r="P4302" i="210"/>
  <c r="Q4302" i="210"/>
  <c r="D4303" i="210"/>
  <c r="K4303" i="210"/>
  <c r="L4303" i="210"/>
  <c r="N4303" i="210"/>
  <c r="P4303" i="210"/>
  <c r="Q4303" i="210"/>
  <c r="D4304" i="210"/>
  <c r="K4304" i="210"/>
  <c r="L4304" i="210"/>
  <c r="N4304" i="210"/>
  <c r="P4304" i="210"/>
  <c r="Q4304" i="210"/>
  <c r="D4305" i="210"/>
  <c r="K4305" i="210"/>
  <c r="L4305" i="210"/>
  <c r="N4305" i="210"/>
  <c r="P4305" i="210"/>
  <c r="Q4305" i="210"/>
  <c r="D4306" i="210"/>
  <c r="K4306" i="210"/>
  <c r="L4306" i="210"/>
  <c r="N4306" i="210"/>
  <c r="P4306" i="210"/>
  <c r="Q4306" i="210"/>
  <c r="D4307" i="210"/>
  <c r="K4307" i="210"/>
  <c r="L4307" i="210"/>
  <c r="N4307" i="210"/>
  <c r="P4307" i="210"/>
  <c r="Q4307" i="210"/>
  <c r="D4308" i="210"/>
  <c r="K4308" i="210"/>
  <c r="L4308" i="210"/>
  <c r="N4308" i="210"/>
  <c r="P4308" i="210"/>
  <c r="Q4308" i="210"/>
  <c r="D4309" i="210"/>
  <c r="K4309" i="210"/>
  <c r="L4309" i="210"/>
  <c r="N4309" i="210"/>
  <c r="P4309" i="210"/>
  <c r="Q4309" i="210"/>
  <c r="D4310" i="210"/>
  <c r="K4310" i="210"/>
  <c r="L4310" i="210"/>
  <c r="N4310" i="210"/>
  <c r="P4310" i="210"/>
  <c r="Q4310" i="210"/>
  <c r="D4311" i="210"/>
  <c r="K4311" i="210"/>
  <c r="L4311" i="210"/>
  <c r="N4311" i="210"/>
  <c r="P4311" i="210"/>
  <c r="Q4311" i="210"/>
  <c r="D4312" i="210"/>
  <c r="K4312" i="210"/>
  <c r="L4312" i="210"/>
  <c r="N4312" i="210"/>
  <c r="P4312" i="210"/>
  <c r="Q4312" i="210"/>
  <c r="D4313" i="210"/>
  <c r="K4313" i="210"/>
  <c r="L4313" i="210"/>
  <c r="N4313" i="210"/>
  <c r="P4313" i="210"/>
  <c r="Q4313" i="210"/>
  <c r="D4314" i="210"/>
  <c r="K4314" i="210"/>
  <c r="L4314" i="210"/>
  <c r="N4314" i="210"/>
  <c r="P4314" i="210"/>
  <c r="Q4314" i="210"/>
  <c r="D4315" i="210"/>
  <c r="K4315" i="210"/>
  <c r="L4315" i="210"/>
  <c r="N4315" i="210"/>
  <c r="P4315" i="210"/>
  <c r="Q4315" i="210"/>
  <c r="D4316" i="210"/>
  <c r="K4316" i="210"/>
  <c r="L4316" i="210"/>
  <c r="N4316" i="210"/>
  <c r="P4316" i="210"/>
  <c r="Q4316" i="210"/>
  <c r="D4317" i="210"/>
  <c r="K4317" i="210"/>
  <c r="L4317" i="210"/>
  <c r="N4317" i="210"/>
  <c r="P4317" i="210"/>
  <c r="Q4317" i="210"/>
  <c r="D4318" i="210"/>
  <c r="K4318" i="210"/>
  <c r="L4318" i="210"/>
  <c r="N4318" i="210"/>
  <c r="P4318" i="210"/>
  <c r="Q4318" i="210"/>
  <c r="D4319" i="210"/>
  <c r="K4319" i="210"/>
  <c r="L4319" i="210"/>
  <c r="N4319" i="210"/>
  <c r="P4319" i="210"/>
  <c r="Q4319" i="210"/>
  <c r="D4320" i="210"/>
  <c r="K4320" i="210"/>
  <c r="L4320" i="210"/>
  <c r="N4320" i="210"/>
  <c r="P4320" i="210"/>
  <c r="Q4320" i="210"/>
  <c r="D4321" i="210"/>
  <c r="K4321" i="210"/>
  <c r="L4321" i="210"/>
  <c r="N4321" i="210"/>
  <c r="P4321" i="210"/>
  <c r="Q4321" i="210"/>
  <c r="D4322" i="210"/>
  <c r="K4322" i="210"/>
  <c r="L4322" i="210"/>
  <c r="N4322" i="210"/>
  <c r="P4322" i="210"/>
  <c r="Q4322" i="210"/>
  <c r="D4323" i="210"/>
  <c r="K4323" i="210"/>
  <c r="L4323" i="210"/>
  <c r="N4323" i="210"/>
  <c r="P4323" i="210"/>
  <c r="Q4323" i="210"/>
  <c r="D4324" i="210"/>
  <c r="K4324" i="210"/>
  <c r="L4324" i="210"/>
  <c r="N4324" i="210"/>
  <c r="P4324" i="210"/>
  <c r="Q4324" i="210"/>
  <c r="D4325" i="210"/>
  <c r="K4325" i="210"/>
  <c r="L4325" i="210"/>
  <c r="N4325" i="210"/>
  <c r="P4325" i="210"/>
  <c r="Q4325" i="210"/>
  <c r="D4326" i="210"/>
  <c r="K4326" i="210"/>
  <c r="L4326" i="210"/>
  <c r="N4326" i="210"/>
  <c r="P4326" i="210"/>
  <c r="Q4326" i="210"/>
  <c r="D4327" i="210"/>
  <c r="K4327" i="210"/>
  <c r="L4327" i="210"/>
  <c r="N4327" i="210"/>
  <c r="P4327" i="210"/>
  <c r="Q4327" i="210"/>
  <c r="D4328" i="210"/>
  <c r="K4328" i="210"/>
  <c r="L4328" i="210"/>
  <c r="N4328" i="210"/>
  <c r="P4328" i="210"/>
  <c r="Q4328" i="210"/>
  <c r="D4329" i="210"/>
  <c r="K4329" i="210"/>
  <c r="L4329" i="210"/>
  <c r="N4329" i="210"/>
  <c r="P4329" i="210"/>
  <c r="Q4329" i="210"/>
  <c r="C4332" i="210"/>
  <c r="C4333" i="210" s="1"/>
  <c r="C4334" i="210" s="1"/>
  <c r="E4332" i="210"/>
  <c r="E4333" i="210" s="1"/>
  <c r="E4334" i="210" s="1"/>
  <c r="E4336" i="210" s="1"/>
  <c r="E4338" i="210" s="1"/>
  <c r="E4340" i="210" s="1"/>
  <c r="E4342" i="210" s="1"/>
  <c r="E4344" i="210" s="1"/>
  <c r="E4346" i="210" s="1"/>
  <c r="E4348" i="210" s="1"/>
  <c r="E4350" i="210" s="1"/>
  <c r="H4332" i="210"/>
  <c r="I4332" i="210"/>
  <c r="J4332" i="210"/>
  <c r="I4333" i="210"/>
  <c r="I4334" i="210"/>
  <c r="D4336" i="210"/>
  <c r="K4336" i="210"/>
  <c r="L4336" i="210"/>
  <c r="N4336" i="210"/>
  <c r="P4336" i="210"/>
  <c r="Q4336" i="210"/>
  <c r="D4337" i="210"/>
  <c r="E4337" i="210"/>
  <c r="K4337" i="210"/>
  <c r="L4337" i="210"/>
  <c r="N4337" i="210"/>
  <c r="P4337" i="210"/>
  <c r="Q4337" i="210"/>
  <c r="D4338" i="210"/>
  <c r="K4338" i="210"/>
  <c r="L4338" i="210"/>
  <c r="N4338" i="210"/>
  <c r="P4338" i="210"/>
  <c r="Q4338" i="210"/>
  <c r="D4339" i="210"/>
  <c r="E4339" i="210"/>
  <c r="E4341" i="210" s="1"/>
  <c r="E4343" i="210" s="1"/>
  <c r="E4345" i="210" s="1"/>
  <c r="E4347" i="210" s="1"/>
  <c r="E4349" i="210" s="1"/>
  <c r="K4339" i="210"/>
  <c r="L4339" i="210"/>
  <c r="N4339" i="210"/>
  <c r="P4339" i="210"/>
  <c r="Q4339" i="210"/>
  <c r="D4340" i="210"/>
  <c r="K4340" i="210"/>
  <c r="L4340" i="210"/>
  <c r="N4340" i="210"/>
  <c r="P4340" i="210"/>
  <c r="Q4340" i="210"/>
  <c r="D4341" i="210"/>
  <c r="K4341" i="210"/>
  <c r="L4341" i="210"/>
  <c r="N4341" i="210"/>
  <c r="P4341" i="210"/>
  <c r="Q4341" i="210"/>
  <c r="D4342" i="210"/>
  <c r="K4342" i="210"/>
  <c r="L4342" i="210"/>
  <c r="N4342" i="210"/>
  <c r="P4342" i="210"/>
  <c r="Q4342" i="210"/>
  <c r="D4343" i="210"/>
  <c r="K4343" i="210"/>
  <c r="L4343" i="210"/>
  <c r="N4343" i="210"/>
  <c r="P4343" i="210"/>
  <c r="Q4343" i="210"/>
  <c r="D4344" i="210"/>
  <c r="K4344" i="210"/>
  <c r="L4344" i="210"/>
  <c r="N4344" i="210"/>
  <c r="P4344" i="210"/>
  <c r="Q4344" i="210"/>
  <c r="D4345" i="210"/>
  <c r="K4345" i="210"/>
  <c r="L4345" i="210"/>
  <c r="N4345" i="210"/>
  <c r="P4345" i="210"/>
  <c r="Q4345" i="210"/>
  <c r="D4346" i="210"/>
  <c r="K4346" i="210"/>
  <c r="L4346" i="210"/>
  <c r="N4346" i="210"/>
  <c r="P4346" i="210"/>
  <c r="Q4346" i="210"/>
  <c r="D4347" i="210"/>
  <c r="K4347" i="210"/>
  <c r="L4347" i="210"/>
  <c r="N4347" i="210"/>
  <c r="P4347" i="210"/>
  <c r="Q4347" i="210"/>
  <c r="D4348" i="210"/>
  <c r="K4348" i="210"/>
  <c r="L4348" i="210"/>
  <c r="N4348" i="210"/>
  <c r="P4348" i="210"/>
  <c r="Q4348" i="210"/>
  <c r="D4349" i="210"/>
  <c r="K4349" i="210"/>
  <c r="L4349" i="210"/>
  <c r="N4349" i="210"/>
  <c r="P4349" i="210"/>
  <c r="Q4349" i="210"/>
  <c r="D4350" i="210"/>
  <c r="K4350" i="210"/>
  <c r="L4350" i="210"/>
  <c r="N4350" i="210"/>
  <c r="P4350" i="210"/>
  <c r="Q4350" i="210"/>
  <c r="C4353" i="210"/>
  <c r="C4354" i="210" s="1"/>
  <c r="C4355" i="210" s="1"/>
  <c r="H4353" i="210"/>
  <c r="E4353" i="210" s="1"/>
  <c r="E4354" i="210" s="1"/>
  <c r="E4355" i="210" s="1"/>
  <c r="E4357" i="210" s="1"/>
  <c r="E4359" i="210" s="1"/>
  <c r="E4361" i="210" s="1"/>
  <c r="E4363" i="210" s="1"/>
  <c r="E4365" i="210" s="1"/>
  <c r="E4367" i="210" s="1"/>
  <c r="E4369" i="210" s="1"/>
  <c r="E4371" i="210" s="1"/>
  <c r="E4373" i="210" s="1"/>
  <c r="E4375" i="210" s="1"/>
  <c r="E4377" i="210" s="1"/>
  <c r="E4379" i="210" s="1"/>
  <c r="E4381" i="210" s="1"/>
  <c r="I4353" i="210"/>
  <c r="J4353" i="210"/>
  <c r="I4354" i="210"/>
  <c r="I4355" i="210"/>
  <c r="D4357" i="210"/>
  <c r="K4357" i="210"/>
  <c r="L4357" i="210"/>
  <c r="N4357" i="210"/>
  <c r="P4357" i="210"/>
  <c r="Q4357" i="210"/>
  <c r="D4358" i="210"/>
  <c r="E4358" i="210"/>
  <c r="E4360" i="210" s="1"/>
  <c r="E4362" i="210" s="1"/>
  <c r="E4364" i="210" s="1"/>
  <c r="E4366" i="210" s="1"/>
  <c r="E4368" i="210" s="1"/>
  <c r="E4370" i="210" s="1"/>
  <c r="E4372" i="210" s="1"/>
  <c r="E4374" i="210" s="1"/>
  <c r="E4376" i="210" s="1"/>
  <c r="E4378" i="210" s="1"/>
  <c r="E4380" i="210" s="1"/>
  <c r="K4358" i="210"/>
  <c r="L4358" i="210"/>
  <c r="N4358" i="210"/>
  <c r="P4358" i="210"/>
  <c r="Q4358" i="210"/>
  <c r="D4359" i="210"/>
  <c r="K4359" i="210"/>
  <c r="L4359" i="210"/>
  <c r="N4359" i="210"/>
  <c r="P4359" i="210"/>
  <c r="Q4359" i="210"/>
  <c r="D4360" i="210"/>
  <c r="K4360" i="210"/>
  <c r="L4360" i="210"/>
  <c r="N4360" i="210"/>
  <c r="P4360" i="210"/>
  <c r="Q4360" i="210"/>
  <c r="D4361" i="210"/>
  <c r="K4361" i="210"/>
  <c r="L4361" i="210"/>
  <c r="N4361" i="210"/>
  <c r="P4361" i="210"/>
  <c r="Q4361" i="210"/>
  <c r="D4362" i="210"/>
  <c r="K4362" i="210"/>
  <c r="L4362" i="210"/>
  <c r="N4362" i="210"/>
  <c r="P4362" i="210"/>
  <c r="Q4362" i="210"/>
  <c r="D4363" i="210"/>
  <c r="K4363" i="210"/>
  <c r="L4363" i="210"/>
  <c r="N4363" i="210"/>
  <c r="P4363" i="210"/>
  <c r="Q4363" i="210"/>
  <c r="D4364" i="210"/>
  <c r="K4364" i="210"/>
  <c r="L4364" i="210"/>
  <c r="N4364" i="210"/>
  <c r="P4364" i="210"/>
  <c r="Q4364" i="210"/>
  <c r="D4365" i="210"/>
  <c r="K4365" i="210"/>
  <c r="L4365" i="210"/>
  <c r="N4365" i="210"/>
  <c r="P4365" i="210"/>
  <c r="Q4365" i="210"/>
  <c r="D4366" i="210"/>
  <c r="K4366" i="210"/>
  <c r="L4366" i="210"/>
  <c r="N4366" i="210"/>
  <c r="P4366" i="210"/>
  <c r="Q4366" i="210"/>
  <c r="D4367" i="210"/>
  <c r="K4367" i="210"/>
  <c r="L4367" i="210"/>
  <c r="N4367" i="210"/>
  <c r="P4367" i="210"/>
  <c r="Q4367" i="210"/>
  <c r="D4368" i="210"/>
  <c r="K4368" i="210"/>
  <c r="L4368" i="210"/>
  <c r="N4368" i="210"/>
  <c r="P4368" i="210"/>
  <c r="Q4368" i="210"/>
  <c r="D4369" i="210"/>
  <c r="K4369" i="210"/>
  <c r="L4369" i="210"/>
  <c r="N4369" i="210"/>
  <c r="P4369" i="210"/>
  <c r="Q4369" i="210"/>
  <c r="D4370" i="210"/>
  <c r="K4370" i="210"/>
  <c r="L4370" i="210"/>
  <c r="N4370" i="210"/>
  <c r="P4370" i="210"/>
  <c r="Q4370" i="210"/>
  <c r="D4371" i="210"/>
  <c r="K4371" i="210"/>
  <c r="L4371" i="210"/>
  <c r="N4371" i="210"/>
  <c r="P4371" i="210"/>
  <c r="Q4371" i="210"/>
  <c r="D4372" i="210"/>
  <c r="K4372" i="210"/>
  <c r="L4372" i="210"/>
  <c r="N4372" i="210"/>
  <c r="P4372" i="210"/>
  <c r="Q4372" i="210"/>
  <c r="D4373" i="210"/>
  <c r="K4373" i="210"/>
  <c r="L4373" i="210"/>
  <c r="N4373" i="210"/>
  <c r="P4373" i="210"/>
  <c r="Q4373" i="210"/>
  <c r="D4374" i="210"/>
  <c r="K4374" i="210"/>
  <c r="L4374" i="210"/>
  <c r="N4374" i="210"/>
  <c r="P4374" i="210"/>
  <c r="Q4374" i="210"/>
  <c r="D4375" i="210"/>
  <c r="K4375" i="210"/>
  <c r="L4375" i="210"/>
  <c r="N4375" i="210"/>
  <c r="P4375" i="210"/>
  <c r="Q4375" i="210"/>
  <c r="D4376" i="210"/>
  <c r="K4376" i="210"/>
  <c r="L4376" i="210"/>
  <c r="N4376" i="210"/>
  <c r="P4376" i="210"/>
  <c r="Q4376" i="210"/>
  <c r="D4377" i="210"/>
  <c r="K4377" i="210"/>
  <c r="L4377" i="210"/>
  <c r="N4377" i="210"/>
  <c r="P4377" i="210"/>
  <c r="Q4377" i="210"/>
  <c r="D4378" i="210"/>
  <c r="K4378" i="210"/>
  <c r="L4378" i="210"/>
  <c r="N4378" i="210"/>
  <c r="P4378" i="210"/>
  <c r="Q4378" i="210"/>
  <c r="D4379" i="210"/>
  <c r="K4379" i="210"/>
  <c r="L4379" i="210"/>
  <c r="N4379" i="210"/>
  <c r="P4379" i="210"/>
  <c r="Q4379" i="210"/>
  <c r="D4380" i="210"/>
  <c r="K4380" i="210"/>
  <c r="L4380" i="210"/>
  <c r="N4380" i="210"/>
  <c r="P4380" i="210"/>
  <c r="Q4380" i="210"/>
  <c r="D4381" i="210"/>
  <c r="K4381" i="210"/>
  <c r="L4381" i="210"/>
  <c r="N4381" i="210"/>
  <c r="P4381" i="210"/>
  <c r="Q4381" i="210"/>
  <c r="C4384" i="210"/>
  <c r="C4385" i="210" s="1"/>
  <c r="C4386" i="210" s="1"/>
  <c r="H4384" i="210"/>
  <c r="E4384" i="210" s="1"/>
  <c r="E4385" i="210" s="1"/>
  <c r="E4386" i="210" s="1"/>
  <c r="E4388" i="210" s="1"/>
  <c r="E4390" i="210" s="1"/>
  <c r="E4392" i="210" s="1"/>
  <c r="E4394" i="210" s="1"/>
  <c r="E4396" i="210" s="1"/>
  <c r="E4398" i="210" s="1"/>
  <c r="E4400" i="210" s="1"/>
  <c r="I4384" i="210"/>
  <c r="J4384" i="210"/>
  <c r="I4385" i="210"/>
  <c r="I4386" i="210"/>
  <c r="D4388" i="210"/>
  <c r="K4388" i="210"/>
  <c r="L4388" i="210"/>
  <c r="N4388" i="210"/>
  <c r="P4388" i="210"/>
  <c r="Q4388" i="210"/>
  <c r="D4389" i="210"/>
  <c r="E4389" i="210"/>
  <c r="K4389" i="210"/>
  <c r="L4389" i="210"/>
  <c r="N4389" i="210"/>
  <c r="P4389" i="210"/>
  <c r="Q4389" i="210"/>
  <c r="D4390" i="210"/>
  <c r="K4390" i="210"/>
  <c r="L4390" i="210"/>
  <c r="N4390" i="210"/>
  <c r="P4390" i="210"/>
  <c r="Q4390" i="210"/>
  <c r="D4391" i="210"/>
  <c r="E4391" i="210"/>
  <c r="E4393" i="210" s="1"/>
  <c r="E4395" i="210" s="1"/>
  <c r="E4397" i="210" s="1"/>
  <c r="E4399" i="210" s="1"/>
  <c r="E4401" i="210" s="1"/>
  <c r="K4391" i="210"/>
  <c r="L4391" i="210"/>
  <c r="N4391" i="210"/>
  <c r="P4391" i="210"/>
  <c r="Q4391" i="210"/>
  <c r="D4392" i="210"/>
  <c r="K4392" i="210"/>
  <c r="L4392" i="210"/>
  <c r="N4392" i="210"/>
  <c r="P4392" i="210"/>
  <c r="Q4392" i="210"/>
  <c r="D4393" i="210"/>
  <c r="K4393" i="210"/>
  <c r="L4393" i="210"/>
  <c r="N4393" i="210"/>
  <c r="P4393" i="210"/>
  <c r="Q4393" i="210"/>
  <c r="D4394" i="210"/>
  <c r="K4394" i="210"/>
  <c r="L4394" i="210"/>
  <c r="N4394" i="210"/>
  <c r="P4394" i="210"/>
  <c r="Q4394" i="210"/>
  <c r="D4395" i="210"/>
  <c r="K4395" i="210"/>
  <c r="L4395" i="210"/>
  <c r="N4395" i="210"/>
  <c r="P4395" i="210"/>
  <c r="Q4395" i="210"/>
  <c r="D4396" i="210"/>
  <c r="K4396" i="210"/>
  <c r="L4396" i="210"/>
  <c r="N4396" i="210"/>
  <c r="P4396" i="210"/>
  <c r="Q4396" i="210"/>
  <c r="D4397" i="210"/>
  <c r="K4397" i="210"/>
  <c r="L4397" i="210"/>
  <c r="N4397" i="210"/>
  <c r="P4397" i="210"/>
  <c r="Q4397" i="210"/>
  <c r="D4398" i="210"/>
  <c r="K4398" i="210"/>
  <c r="L4398" i="210"/>
  <c r="N4398" i="210"/>
  <c r="P4398" i="210"/>
  <c r="Q4398" i="210"/>
  <c r="D4399" i="210"/>
  <c r="K4399" i="210"/>
  <c r="L4399" i="210"/>
  <c r="N4399" i="210"/>
  <c r="P4399" i="210"/>
  <c r="Q4399" i="210"/>
  <c r="D4400" i="210"/>
  <c r="K4400" i="210"/>
  <c r="L4400" i="210"/>
  <c r="N4400" i="210"/>
  <c r="P4400" i="210"/>
  <c r="Q4400" i="210"/>
  <c r="D4401" i="210"/>
  <c r="K4401" i="210"/>
  <c r="L4401" i="210"/>
  <c r="N4401" i="210"/>
  <c r="P4401" i="210"/>
  <c r="Q4401" i="210"/>
  <c r="C4404" i="210"/>
  <c r="C4405" i="210" s="1"/>
  <c r="C4406" i="210" s="1"/>
  <c r="H4404" i="210"/>
  <c r="E4404" i="210" s="1"/>
  <c r="E4405" i="210" s="1"/>
  <c r="E4406" i="210" s="1"/>
  <c r="E4408" i="210" s="1"/>
  <c r="E4410" i="210" s="1"/>
  <c r="E4412" i="210" s="1"/>
  <c r="E4414" i="210" s="1"/>
  <c r="E4416" i="210" s="1"/>
  <c r="E4418" i="210" s="1"/>
  <c r="E4420" i="210" s="1"/>
  <c r="E4422" i="210" s="1"/>
  <c r="E4424" i="210" s="1"/>
  <c r="I4404" i="210"/>
  <c r="J4404" i="210"/>
  <c r="I4405" i="210"/>
  <c r="I4406" i="210"/>
  <c r="D4408" i="210"/>
  <c r="K4408" i="210"/>
  <c r="L4408" i="210"/>
  <c r="N4408" i="210"/>
  <c r="P4408" i="210"/>
  <c r="Q4408" i="210"/>
  <c r="D4409" i="210"/>
  <c r="E4409" i="210"/>
  <c r="E4411" i="210" s="1"/>
  <c r="E4413" i="210" s="1"/>
  <c r="E4415" i="210" s="1"/>
  <c r="E4417" i="210" s="1"/>
  <c r="E4419" i="210" s="1"/>
  <c r="E4421" i="210" s="1"/>
  <c r="E4423" i="210" s="1"/>
  <c r="E4425" i="210" s="1"/>
  <c r="K4409" i="210"/>
  <c r="L4409" i="210"/>
  <c r="N4409" i="210"/>
  <c r="P4409" i="210"/>
  <c r="Q4409" i="210"/>
  <c r="D4410" i="210"/>
  <c r="K4410" i="210"/>
  <c r="L4410" i="210"/>
  <c r="N4410" i="210"/>
  <c r="P4410" i="210"/>
  <c r="Q4410" i="210"/>
  <c r="D4411" i="210"/>
  <c r="K4411" i="210"/>
  <c r="L4411" i="210"/>
  <c r="N4411" i="210"/>
  <c r="P4411" i="210"/>
  <c r="Q4411" i="210"/>
  <c r="D4412" i="210"/>
  <c r="K4412" i="210"/>
  <c r="L4412" i="210"/>
  <c r="N4412" i="210"/>
  <c r="P4412" i="210"/>
  <c r="Q4412" i="210"/>
  <c r="D4413" i="210"/>
  <c r="K4413" i="210"/>
  <c r="L4413" i="210"/>
  <c r="N4413" i="210"/>
  <c r="P4413" i="210"/>
  <c r="Q4413" i="210"/>
  <c r="D4414" i="210"/>
  <c r="K4414" i="210"/>
  <c r="L4414" i="210"/>
  <c r="N4414" i="210"/>
  <c r="P4414" i="210"/>
  <c r="Q4414" i="210"/>
  <c r="D4415" i="210"/>
  <c r="K4415" i="210"/>
  <c r="L4415" i="210"/>
  <c r="N4415" i="210"/>
  <c r="P4415" i="210"/>
  <c r="Q4415" i="210"/>
  <c r="D4416" i="210"/>
  <c r="K4416" i="210"/>
  <c r="L4416" i="210"/>
  <c r="N4416" i="210"/>
  <c r="P4416" i="210"/>
  <c r="Q4416" i="210"/>
  <c r="D4417" i="210"/>
  <c r="K4417" i="210"/>
  <c r="L4417" i="210"/>
  <c r="N4417" i="210"/>
  <c r="P4417" i="210"/>
  <c r="Q4417" i="210"/>
  <c r="D4418" i="210"/>
  <c r="K4418" i="210"/>
  <c r="L4418" i="210"/>
  <c r="N4418" i="210"/>
  <c r="P4418" i="210"/>
  <c r="Q4418" i="210"/>
  <c r="D4419" i="210"/>
  <c r="K4419" i="210"/>
  <c r="L4419" i="210"/>
  <c r="N4419" i="210"/>
  <c r="P4419" i="210"/>
  <c r="Q4419" i="210"/>
  <c r="D4420" i="210"/>
  <c r="K4420" i="210"/>
  <c r="L4420" i="210"/>
  <c r="N4420" i="210"/>
  <c r="P4420" i="210"/>
  <c r="Q4420" i="210"/>
  <c r="D4421" i="210"/>
  <c r="K4421" i="210"/>
  <c r="L4421" i="210"/>
  <c r="N4421" i="210"/>
  <c r="P4421" i="210"/>
  <c r="Q4421" i="210"/>
  <c r="D4422" i="210"/>
  <c r="K4422" i="210"/>
  <c r="L4422" i="210"/>
  <c r="N4422" i="210"/>
  <c r="P4422" i="210"/>
  <c r="Q4422" i="210"/>
  <c r="D4423" i="210"/>
  <c r="K4423" i="210"/>
  <c r="L4423" i="210"/>
  <c r="N4423" i="210"/>
  <c r="P4423" i="210"/>
  <c r="Q4423" i="210"/>
  <c r="D4424" i="210"/>
  <c r="K4424" i="210"/>
  <c r="L4424" i="210"/>
  <c r="N4424" i="210"/>
  <c r="P4424" i="210"/>
  <c r="Q4424" i="210"/>
  <c r="D4425" i="210"/>
  <c r="K4425" i="210"/>
  <c r="L4425" i="210"/>
  <c r="N4425" i="210"/>
  <c r="P4425" i="210"/>
  <c r="Q4425" i="210"/>
  <c r="C4428" i="210"/>
  <c r="C4429" i="210" s="1"/>
  <c r="C4430" i="210" s="1"/>
  <c r="H4428" i="210"/>
  <c r="E4428" i="210" s="1"/>
  <c r="E4429" i="210" s="1"/>
  <c r="E4430" i="210" s="1"/>
  <c r="E4432" i="210" s="1"/>
  <c r="E4434" i="210" s="1"/>
  <c r="E4436" i="210" s="1"/>
  <c r="E4438" i="210" s="1"/>
  <c r="E4440" i="210" s="1"/>
  <c r="E4442" i="210" s="1"/>
  <c r="E4444" i="210" s="1"/>
  <c r="E4446" i="210" s="1"/>
  <c r="E4448" i="210" s="1"/>
  <c r="E4450" i="210" s="1"/>
  <c r="E4452" i="210" s="1"/>
  <c r="E4454" i="210" s="1"/>
  <c r="E4456" i="210" s="1"/>
  <c r="E4458" i="210" s="1"/>
  <c r="E4460" i="210" s="1"/>
  <c r="E4462" i="210" s="1"/>
  <c r="E4464" i="210" s="1"/>
  <c r="E4466" i="210" s="1"/>
  <c r="E4468" i="210" s="1"/>
  <c r="E4470" i="210" s="1"/>
  <c r="I4428" i="210"/>
  <c r="J4428" i="210"/>
  <c r="I4429" i="210"/>
  <c r="I4430" i="210"/>
  <c r="D4432" i="210"/>
  <c r="K4432" i="210"/>
  <c r="L4432" i="210"/>
  <c r="N4432" i="210"/>
  <c r="P4432" i="210"/>
  <c r="Q4432" i="210"/>
  <c r="D4433" i="210"/>
  <c r="E4433" i="210"/>
  <c r="K4433" i="210"/>
  <c r="L4433" i="210"/>
  <c r="N4433" i="210"/>
  <c r="P4433" i="210"/>
  <c r="Q4433" i="210"/>
  <c r="D4434" i="210"/>
  <c r="K4434" i="210"/>
  <c r="L4434" i="210"/>
  <c r="N4434" i="210"/>
  <c r="P4434" i="210"/>
  <c r="Q4434" i="210"/>
  <c r="D4435" i="210"/>
  <c r="E4435" i="210"/>
  <c r="E4437" i="210" s="1"/>
  <c r="E4439" i="210" s="1"/>
  <c r="E4441" i="210" s="1"/>
  <c r="E4443" i="210" s="1"/>
  <c r="E4445" i="210" s="1"/>
  <c r="E4447" i="210" s="1"/>
  <c r="E4449" i="210" s="1"/>
  <c r="E4451" i="210" s="1"/>
  <c r="E4453" i="210" s="1"/>
  <c r="E4455" i="210" s="1"/>
  <c r="E4457" i="210" s="1"/>
  <c r="E4459" i="210" s="1"/>
  <c r="E4461" i="210" s="1"/>
  <c r="E4463" i="210" s="1"/>
  <c r="E4465" i="210" s="1"/>
  <c r="E4467" i="210" s="1"/>
  <c r="E4469" i="210" s="1"/>
  <c r="K4435" i="210"/>
  <c r="L4435" i="210"/>
  <c r="N4435" i="210"/>
  <c r="P4435" i="210"/>
  <c r="Q4435" i="210"/>
  <c r="D4436" i="210"/>
  <c r="K4436" i="210"/>
  <c r="L4436" i="210"/>
  <c r="N4436" i="210"/>
  <c r="P4436" i="210"/>
  <c r="Q4436" i="210"/>
  <c r="D4437" i="210"/>
  <c r="K4437" i="210"/>
  <c r="L4437" i="210"/>
  <c r="N4437" i="210"/>
  <c r="P4437" i="210"/>
  <c r="Q4437" i="210"/>
  <c r="D4438" i="210"/>
  <c r="K4438" i="210"/>
  <c r="L4438" i="210"/>
  <c r="N4438" i="210"/>
  <c r="P4438" i="210"/>
  <c r="Q4438" i="210"/>
  <c r="D4439" i="210"/>
  <c r="K4439" i="210"/>
  <c r="L4439" i="210"/>
  <c r="N4439" i="210"/>
  <c r="P4439" i="210"/>
  <c r="Q4439" i="210"/>
  <c r="D4440" i="210"/>
  <c r="K4440" i="210"/>
  <c r="L4440" i="210"/>
  <c r="N4440" i="210"/>
  <c r="P4440" i="210"/>
  <c r="Q4440" i="210"/>
  <c r="D4441" i="210"/>
  <c r="K4441" i="210"/>
  <c r="L4441" i="210"/>
  <c r="N4441" i="210"/>
  <c r="P4441" i="210"/>
  <c r="Q4441" i="210"/>
  <c r="D4442" i="210"/>
  <c r="K4442" i="210"/>
  <c r="L4442" i="210"/>
  <c r="N4442" i="210"/>
  <c r="P4442" i="210"/>
  <c r="Q4442" i="210"/>
  <c r="D4443" i="210"/>
  <c r="K4443" i="210"/>
  <c r="L4443" i="210"/>
  <c r="N4443" i="210"/>
  <c r="P4443" i="210"/>
  <c r="Q4443" i="210"/>
  <c r="D4444" i="210"/>
  <c r="K4444" i="210"/>
  <c r="L4444" i="210"/>
  <c r="N4444" i="210"/>
  <c r="P4444" i="210"/>
  <c r="Q4444" i="210"/>
  <c r="D4445" i="210"/>
  <c r="K4445" i="210"/>
  <c r="L4445" i="210"/>
  <c r="N4445" i="210"/>
  <c r="P4445" i="210"/>
  <c r="Q4445" i="210"/>
  <c r="D4446" i="210"/>
  <c r="K4446" i="210"/>
  <c r="L4446" i="210"/>
  <c r="N4446" i="210"/>
  <c r="P4446" i="210"/>
  <c r="Q4446" i="210"/>
  <c r="D4447" i="210"/>
  <c r="K4447" i="210"/>
  <c r="L4447" i="210"/>
  <c r="N4447" i="210"/>
  <c r="P4447" i="210"/>
  <c r="Q4447" i="210"/>
  <c r="D4448" i="210"/>
  <c r="K4448" i="210"/>
  <c r="L4448" i="210"/>
  <c r="N4448" i="210"/>
  <c r="P4448" i="210"/>
  <c r="Q4448" i="210"/>
  <c r="D4449" i="210"/>
  <c r="K4449" i="210"/>
  <c r="L4449" i="210"/>
  <c r="N4449" i="210"/>
  <c r="P4449" i="210"/>
  <c r="Q4449" i="210"/>
  <c r="D4450" i="210"/>
  <c r="K4450" i="210"/>
  <c r="L4450" i="210"/>
  <c r="N4450" i="210"/>
  <c r="P4450" i="210"/>
  <c r="Q4450" i="210"/>
  <c r="D4451" i="210"/>
  <c r="K4451" i="210"/>
  <c r="L4451" i="210"/>
  <c r="N4451" i="210"/>
  <c r="P4451" i="210"/>
  <c r="Q4451" i="210"/>
  <c r="D4452" i="210"/>
  <c r="K4452" i="210"/>
  <c r="L4452" i="210"/>
  <c r="N4452" i="210"/>
  <c r="P4452" i="210"/>
  <c r="Q4452" i="210"/>
  <c r="D4453" i="210"/>
  <c r="K4453" i="210"/>
  <c r="L4453" i="210"/>
  <c r="N4453" i="210"/>
  <c r="P4453" i="210"/>
  <c r="Q4453" i="210"/>
  <c r="D4454" i="210"/>
  <c r="K4454" i="210"/>
  <c r="L4454" i="210"/>
  <c r="N4454" i="210"/>
  <c r="P4454" i="210"/>
  <c r="Q4454" i="210"/>
  <c r="D4455" i="210"/>
  <c r="K4455" i="210"/>
  <c r="L4455" i="210"/>
  <c r="N4455" i="210"/>
  <c r="P4455" i="210"/>
  <c r="Q4455" i="210"/>
  <c r="D4456" i="210"/>
  <c r="K4456" i="210"/>
  <c r="L4456" i="210"/>
  <c r="N4456" i="210"/>
  <c r="P4456" i="210"/>
  <c r="Q4456" i="210"/>
  <c r="D4457" i="210"/>
  <c r="K4457" i="210"/>
  <c r="L4457" i="210"/>
  <c r="N4457" i="210"/>
  <c r="P4457" i="210"/>
  <c r="Q4457" i="210"/>
  <c r="D4458" i="210"/>
  <c r="K4458" i="210"/>
  <c r="L4458" i="210"/>
  <c r="N4458" i="210"/>
  <c r="P4458" i="210"/>
  <c r="Q4458" i="210"/>
  <c r="D4459" i="210"/>
  <c r="K4459" i="210"/>
  <c r="L4459" i="210"/>
  <c r="N4459" i="210"/>
  <c r="P4459" i="210"/>
  <c r="Q4459" i="210"/>
  <c r="D4460" i="210"/>
  <c r="K4460" i="210"/>
  <c r="L4460" i="210"/>
  <c r="N4460" i="210"/>
  <c r="P4460" i="210"/>
  <c r="Q4460" i="210"/>
  <c r="D4461" i="210"/>
  <c r="K4461" i="210"/>
  <c r="L4461" i="210"/>
  <c r="N4461" i="210"/>
  <c r="P4461" i="210"/>
  <c r="Q4461" i="210"/>
  <c r="D4462" i="210"/>
  <c r="K4462" i="210"/>
  <c r="L4462" i="210"/>
  <c r="N4462" i="210"/>
  <c r="P4462" i="210"/>
  <c r="Q4462" i="210"/>
  <c r="D4463" i="210"/>
  <c r="K4463" i="210"/>
  <c r="L4463" i="210"/>
  <c r="N4463" i="210"/>
  <c r="P4463" i="210"/>
  <c r="Q4463" i="210"/>
  <c r="D4464" i="210"/>
  <c r="K4464" i="210"/>
  <c r="L4464" i="210"/>
  <c r="N4464" i="210"/>
  <c r="P4464" i="210"/>
  <c r="Q4464" i="210"/>
  <c r="D4465" i="210"/>
  <c r="K4465" i="210"/>
  <c r="L4465" i="210"/>
  <c r="N4465" i="210"/>
  <c r="P4465" i="210"/>
  <c r="Q4465" i="210"/>
  <c r="D4466" i="210"/>
  <c r="K4466" i="210"/>
  <c r="L4466" i="210"/>
  <c r="N4466" i="210"/>
  <c r="P4466" i="210"/>
  <c r="Q4466" i="210"/>
  <c r="D4467" i="210"/>
  <c r="K4467" i="210"/>
  <c r="L4467" i="210"/>
  <c r="N4467" i="210"/>
  <c r="P4467" i="210"/>
  <c r="Q4467" i="210"/>
  <c r="D4468" i="210"/>
  <c r="K4468" i="210"/>
  <c r="L4468" i="210"/>
  <c r="N4468" i="210"/>
  <c r="P4468" i="210"/>
  <c r="Q4468" i="210"/>
  <c r="D4469" i="210"/>
  <c r="K4469" i="210"/>
  <c r="L4469" i="210"/>
  <c r="N4469" i="210"/>
  <c r="P4469" i="210"/>
  <c r="Q4469" i="210"/>
  <c r="D4470" i="210"/>
  <c r="K4470" i="210"/>
  <c r="L4470" i="210"/>
  <c r="N4470" i="210"/>
  <c r="P4470" i="210"/>
  <c r="Q4470" i="210"/>
  <c r="C4473" i="210"/>
  <c r="C4474" i="210" s="1"/>
  <c r="C4475" i="210" s="1"/>
  <c r="E4473" i="210"/>
  <c r="E4474" i="210" s="1"/>
  <c r="E4475" i="210" s="1"/>
  <c r="E4477" i="210" s="1"/>
  <c r="H4473" i="210"/>
  <c r="I4473" i="210"/>
  <c r="J4473" i="210"/>
  <c r="I4474" i="210"/>
  <c r="I4475" i="210"/>
  <c r="D4477" i="210"/>
  <c r="K4477" i="210"/>
  <c r="L4477" i="210"/>
  <c r="N4477" i="210"/>
  <c r="P4477" i="210"/>
  <c r="Q4477" i="210"/>
  <c r="D4478" i="210"/>
  <c r="E4478" i="210"/>
  <c r="E4480" i="210" s="1"/>
  <c r="E4482" i="210" s="1"/>
  <c r="E4484" i="210" s="1"/>
  <c r="K4478" i="210"/>
  <c r="L4478" i="210"/>
  <c r="N4478" i="210"/>
  <c r="P4478" i="210"/>
  <c r="Q4478" i="210"/>
  <c r="D4479" i="210"/>
  <c r="E4479" i="210"/>
  <c r="E4481" i="210" s="1"/>
  <c r="E4483" i="210" s="1"/>
  <c r="E4485" i="210" s="1"/>
  <c r="E4487" i="210" s="1"/>
  <c r="E4489" i="210" s="1"/>
  <c r="E4491" i="210" s="1"/>
  <c r="E4493" i="210" s="1"/>
  <c r="E4495" i="210" s="1"/>
  <c r="E4497" i="210" s="1"/>
  <c r="E4499" i="210" s="1"/>
  <c r="E4501" i="210" s="1"/>
  <c r="E4503" i="210" s="1"/>
  <c r="E4505" i="210" s="1"/>
  <c r="E4507" i="210" s="1"/>
  <c r="E4509" i="210" s="1"/>
  <c r="E4511" i="210" s="1"/>
  <c r="E4513" i="210" s="1"/>
  <c r="E4515" i="210" s="1"/>
  <c r="E4517" i="210" s="1"/>
  <c r="E4519" i="210" s="1"/>
  <c r="K4479" i="210"/>
  <c r="L4479" i="210"/>
  <c r="N4479" i="210"/>
  <c r="P4479" i="210"/>
  <c r="Q4479" i="210"/>
  <c r="D4480" i="210"/>
  <c r="K4480" i="210"/>
  <c r="L4480" i="210"/>
  <c r="N4480" i="210"/>
  <c r="P4480" i="210"/>
  <c r="Q4480" i="210"/>
  <c r="D4481" i="210"/>
  <c r="K4481" i="210"/>
  <c r="L4481" i="210"/>
  <c r="N4481" i="210"/>
  <c r="P4481" i="210"/>
  <c r="Q4481" i="210"/>
  <c r="D4482" i="210"/>
  <c r="K4482" i="210"/>
  <c r="L4482" i="210"/>
  <c r="N4482" i="210"/>
  <c r="P4482" i="210"/>
  <c r="Q4482" i="210"/>
  <c r="D4483" i="210"/>
  <c r="K4483" i="210"/>
  <c r="L4483" i="210"/>
  <c r="N4483" i="210"/>
  <c r="P4483" i="210"/>
  <c r="Q4483" i="210"/>
  <c r="D4484" i="210"/>
  <c r="K4484" i="210"/>
  <c r="L4484" i="210"/>
  <c r="N4484" i="210"/>
  <c r="P4484" i="210"/>
  <c r="Q4484" i="210"/>
  <c r="D4485" i="210"/>
  <c r="K4485" i="210"/>
  <c r="L4485" i="210"/>
  <c r="N4485" i="210"/>
  <c r="P4485" i="210"/>
  <c r="Q4485" i="210"/>
  <c r="D4486" i="210"/>
  <c r="E4486" i="210"/>
  <c r="E4488" i="210" s="1"/>
  <c r="E4490" i="210" s="1"/>
  <c r="E4492" i="210" s="1"/>
  <c r="E4494" i="210" s="1"/>
  <c r="E4496" i="210" s="1"/>
  <c r="E4498" i="210" s="1"/>
  <c r="E4500" i="210" s="1"/>
  <c r="E4502" i="210" s="1"/>
  <c r="E4504" i="210" s="1"/>
  <c r="E4506" i="210" s="1"/>
  <c r="E4508" i="210" s="1"/>
  <c r="E4510" i="210" s="1"/>
  <c r="E4512" i="210" s="1"/>
  <c r="E4514" i="210" s="1"/>
  <c r="E4516" i="210" s="1"/>
  <c r="E4518" i="210" s="1"/>
  <c r="K4486" i="210"/>
  <c r="L4486" i="210"/>
  <c r="N4486" i="210"/>
  <c r="P4486" i="210"/>
  <c r="Q4486" i="210"/>
  <c r="D4487" i="210"/>
  <c r="K4487" i="210"/>
  <c r="L4487" i="210"/>
  <c r="N4487" i="210"/>
  <c r="P4487" i="210"/>
  <c r="Q4487" i="210"/>
  <c r="D4488" i="210"/>
  <c r="K4488" i="210"/>
  <c r="L4488" i="210"/>
  <c r="N4488" i="210"/>
  <c r="P4488" i="210"/>
  <c r="Q4488" i="210"/>
  <c r="D4489" i="210"/>
  <c r="K4489" i="210"/>
  <c r="L4489" i="210"/>
  <c r="N4489" i="210"/>
  <c r="P4489" i="210"/>
  <c r="Q4489" i="210"/>
  <c r="D4490" i="210"/>
  <c r="K4490" i="210"/>
  <c r="L4490" i="210"/>
  <c r="N4490" i="210"/>
  <c r="P4490" i="210"/>
  <c r="Q4490" i="210"/>
  <c r="D4491" i="210"/>
  <c r="K4491" i="210"/>
  <c r="L4491" i="210"/>
  <c r="N4491" i="210"/>
  <c r="P4491" i="210"/>
  <c r="Q4491" i="210"/>
  <c r="D4492" i="210"/>
  <c r="K4492" i="210"/>
  <c r="L4492" i="210"/>
  <c r="N4492" i="210"/>
  <c r="P4492" i="210"/>
  <c r="Q4492" i="210"/>
  <c r="D4493" i="210"/>
  <c r="K4493" i="210"/>
  <c r="L4493" i="210"/>
  <c r="N4493" i="210"/>
  <c r="P4493" i="210"/>
  <c r="Q4493" i="210"/>
  <c r="D4494" i="210"/>
  <c r="K4494" i="210"/>
  <c r="L4494" i="210"/>
  <c r="N4494" i="210"/>
  <c r="P4494" i="210"/>
  <c r="Q4494" i="210"/>
  <c r="D4495" i="210"/>
  <c r="K4495" i="210"/>
  <c r="L4495" i="210"/>
  <c r="N4495" i="210"/>
  <c r="P4495" i="210"/>
  <c r="Q4495" i="210"/>
  <c r="D4496" i="210"/>
  <c r="K4496" i="210"/>
  <c r="L4496" i="210"/>
  <c r="N4496" i="210"/>
  <c r="P4496" i="210"/>
  <c r="Q4496" i="210"/>
  <c r="D4497" i="210"/>
  <c r="K4497" i="210"/>
  <c r="L4497" i="210"/>
  <c r="N4497" i="210"/>
  <c r="P4497" i="210"/>
  <c r="Q4497" i="210"/>
  <c r="D4498" i="210"/>
  <c r="K4498" i="210"/>
  <c r="L4498" i="210"/>
  <c r="N4498" i="210"/>
  <c r="P4498" i="210"/>
  <c r="Q4498" i="210"/>
  <c r="D4499" i="210"/>
  <c r="K4499" i="210"/>
  <c r="L4499" i="210"/>
  <c r="N4499" i="210"/>
  <c r="P4499" i="210"/>
  <c r="Q4499" i="210"/>
  <c r="D4500" i="210"/>
  <c r="K4500" i="210"/>
  <c r="L4500" i="210"/>
  <c r="N4500" i="210"/>
  <c r="P4500" i="210"/>
  <c r="Q4500" i="210"/>
  <c r="D4501" i="210"/>
  <c r="K4501" i="210"/>
  <c r="L4501" i="210"/>
  <c r="N4501" i="210"/>
  <c r="P4501" i="210"/>
  <c r="Q4501" i="210"/>
  <c r="D4502" i="210"/>
  <c r="K4502" i="210"/>
  <c r="L4502" i="210"/>
  <c r="N4502" i="210"/>
  <c r="P4502" i="210"/>
  <c r="Q4502" i="210"/>
  <c r="D4503" i="210"/>
  <c r="K4503" i="210"/>
  <c r="L4503" i="210"/>
  <c r="N4503" i="210"/>
  <c r="P4503" i="210"/>
  <c r="Q4503" i="210"/>
  <c r="D4504" i="210"/>
  <c r="K4504" i="210"/>
  <c r="L4504" i="210"/>
  <c r="N4504" i="210"/>
  <c r="P4504" i="210"/>
  <c r="Q4504" i="210"/>
  <c r="D4505" i="210"/>
  <c r="K4505" i="210"/>
  <c r="L4505" i="210"/>
  <c r="N4505" i="210"/>
  <c r="P4505" i="210"/>
  <c r="Q4505" i="210"/>
  <c r="D4506" i="210"/>
  <c r="K4506" i="210"/>
  <c r="L4506" i="210"/>
  <c r="N4506" i="210"/>
  <c r="P4506" i="210"/>
  <c r="Q4506" i="210"/>
  <c r="D4507" i="210"/>
  <c r="K4507" i="210"/>
  <c r="L4507" i="210"/>
  <c r="N4507" i="210"/>
  <c r="P4507" i="210"/>
  <c r="Q4507" i="210"/>
  <c r="D4508" i="210"/>
  <c r="K4508" i="210"/>
  <c r="L4508" i="210"/>
  <c r="N4508" i="210"/>
  <c r="P4508" i="210"/>
  <c r="Q4508" i="210"/>
  <c r="D4509" i="210"/>
  <c r="K4509" i="210"/>
  <c r="L4509" i="210"/>
  <c r="N4509" i="210"/>
  <c r="P4509" i="210"/>
  <c r="Q4509" i="210"/>
  <c r="D4510" i="210"/>
  <c r="K4510" i="210"/>
  <c r="L4510" i="210"/>
  <c r="N4510" i="210"/>
  <c r="P4510" i="210"/>
  <c r="Q4510" i="210"/>
  <c r="D4511" i="210"/>
  <c r="K4511" i="210"/>
  <c r="L4511" i="210"/>
  <c r="N4511" i="210"/>
  <c r="P4511" i="210"/>
  <c r="Q4511" i="210"/>
  <c r="D4512" i="210"/>
  <c r="K4512" i="210"/>
  <c r="L4512" i="210"/>
  <c r="N4512" i="210"/>
  <c r="P4512" i="210"/>
  <c r="Q4512" i="210"/>
  <c r="D4513" i="210"/>
  <c r="K4513" i="210"/>
  <c r="L4513" i="210"/>
  <c r="N4513" i="210"/>
  <c r="P4513" i="210"/>
  <c r="Q4513" i="210"/>
  <c r="D4514" i="210"/>
  <c r="K4514" i="210"/>
  <c r="L4514" i="210"/>
  <c r="N4514" i="210"/>
  <c r="P4514" i="210"/>
  <c r="Q4514" i="210"/>
  <c r="D4515" i="210"/>
  <c r="K4515" i="210"/>
  <c r="L4515" i="210"/>
  <c r="N4515" i="210"/>
  <c r="P4515" i="210"/>
  <c r="Q4515" i="210"/>
  <c r="D4516" i="210"/>
  <c r="K4516" i="210"/>
  <c r="L4516" i="210"/>
  <c r="N4516" i="210"/>
  <c r="P4516" i="210"/>
  <c r="Q4516" i="210"/>
  <c r="D4517" i="210"/>
  <c r="K4517" i="210"/>
  <c r="L4517" i="210"/>
  <c r="N4517" i="210"/>
  <c r="P4517" i="210"/>
  <c r="Q4517" i="210"/>
  <c r="D4518" i="210"/>
  <c r="K4518" i="210"/>
  <c r="L4518" i="210"/>
  <c r="N4518" i="210"/>
  <c r="P4518" i="210"/>
  <c r="Q4518" i="210"/>
  <c r="D4519" i="210"/>
  <c r="K4519" i="210"/>
  <c r="L4519" i="210"/>
  <c r="N4519" i="210"/>
  <c r="P4519" i="210"/>
  <c r="Q4519" i="210"/>
  <c r="C4522" i="210"/>
  <c r="E4522" i="210"/>
  <c r="E4523" i="210" s="1"/>
  <c r="E4524" i="210" s="1"/>
  <c r="E4526" i="210" s="1"/>
  <c r="E4528" i="210" s="1"/>
  <c r="E4530" i="210" s="1"/>
  <c r="E4532" i="210" s="1"/>
  <c r="E4534" i="210" s="1"/>
  <c r="E4536" i="210" s="1"/>
  <c r="E4538" i="210" s="1"/>
  <c r="E4540" i="210" s="1"/>
  <c r="E4542" i="210" s="1"/>
  <c r="H4522" i="210"/>
  <c r="I4522" i="210"/>
  <c r="J4522" i="210"/>
  <c r="C4523" i="210"/>
  <c r="C4524" i="210" s="1"/>
  <c r="I4523" i="210"/>
  <c r="I4524" i="210"/>
  <c r="D4526" i="210"/>
  <c r="K4526" i="210"/>
  <c r="L4526" i="210"/>
  <c r="N4526" i="210"/>
  <c r="P4526" i="210"/>
  <c r="Q4526" i="210"/>
  <c r="D4527" i="210"/>
  <c r="E4527" i="210"/>
  <c r="E4529" i="210" s="1"/>
  <c r="E4531" i="210" s="1"/>
  <c r="E4533" i="210" s="1"/>
  <c r="E4535" i="210" s="1"/>
  <c r="E4537" i="210" s="1"/>
  <c r="E4539" i="210" s="1"/>
  <c r="E4541" i="210" s="1"/>
  <c r="E4543" i="210" s="1"/>
  <c r="K4527" i="210"/>
  <c r="L4527" i="210"/>
  <c r="N4527" i="210"/>
  <c r="P4527" i="210"/>
  <c r="Q4527" i="210"/>
  <c r="D4528" i="210"/>
  <c r="K4528" i="210"/>
  <c r="L4528" i="210"/>
  <c r="N4528" i="210"/>
  <c r="P4528" i="210"/>
  <c r="Q4528" i="210"/>
  <c r="D4529" i="210"/>
  <c r="K4529" i="210"/>
  <c r="L4529" i="210"/>
  <c r="N4529" i="210"/>
  <c r="P4529" i="210"/>
  <c r="Q4529" i="210"/>
  <c r="D4530" i="210"/>
  <c r="K4530" i="210"/>
  <c r="L4530" i="210"/>
  <c r="N4530" i="210"/>
  <c r="P4530" i="210"/>
  <c r="Q4530" i="210"/>
  <c r="D4531" i="210"/>
  <c r="K4531" i="210"/>
  <c r="L4531" i="210"/>
  <c r="N4531" i="210"/>
  <c r="P4531" i="210"/>
  <c r="Q4531" i="210"/>
  <c r="D4532" i="210"/>
  <c r="K4532" i="210"/>
  <c r="L4532" i="210"/>
  <c r="N4532" i="210"/>
  <c r="P4532" i="210"/>
  <c r="Q4532" i="210"/>
  <c r="D4533" i="210"/>
  <c r="K4533" i="210"/>
  <c r="L4533" i="210"/>
  <c r="N4533" i="210"/>
  <c r="P4533" i="210"/>
  <c r="Q4533" i="210"/>
  <c r="D4534" i="210"/>
  <c r="K4534" i="210"/>
  <c r="L4534" i="210"/>
  <c r="N4534" i="210"/>
  <c r="P4534" i="210"/>
  <c r="Q4534" i="210"/>
  <c r="D4535" i="210"/>
  <c r="K4535" i="210"/>
  <c r="L4535" i="210"/>
  <c r="N4535" i="210"/>
  <c r="P4535" i="210"/>
  <c r="Q4535" i="210"/>
  <c r="D4536" i="210"/>
  <c r="K4536" i="210"/>
  <c r="L4536" i="210"/>
  <c r="N4536" i="210"/>
  <c r="P4536" i="210"/>
  <c r="Q4536" i="210"/>
  <c r="D4537" i="210"/>
  <c r="K4537" i="210"/>
  <c r="L4537" i="210"/>
  <c r="N4537" i="210"/>
  <c r="P4537" i="210"/>
  <c r="Q4537" i="210"/>
  <c r="D4538" i="210"/>
  <c r="K4538" i="210"/>
  <c r="L4538" i="210"/>
  <c r="N4538" i="210"/>
  <c r="P4538" i="210"/>
  <c r="Q4538" i="210"/>
  <c r="D4539" i="210"/>
  <c r="K4539" i="210"/>
  <c r="L4539" i="210"/>
  <c r="N4539" i="210"/>
  <c r="P4539" i="210"/>
  <c r="Q4539" i="210"/>
  <c r="D4540" i="210"/>
  <c r="K4540" i="210"/>
  <c r="L4540" i="210"/>
  <c r="N4540" i="210"/>
  <c r="P4540" i="210"/>
  <c r="Q4540" i="210"/>
  <c r="D4541" i="210"/>
  <c r="K4541" i="210"/>
  <c r="L4541" i="210"/>
  <c r="N4541" i="210"/>
  <c r="P4541" i="210"/>
  <c r="Q4541" i="210"/>
  <c r="D4542" i="210"/>
  <c r="K4542" i="210"/>
  <c r="L4542" i="210"/>
  <c r="N4542" i="210"/>
  <c r="P4542" i="210"/>
  <c r="Q4542" i="210"/>
  <c r="D4543" i="210"/>
  <c r="K4543" i="210"/>
  <c r="L4543" i="210"/>
  <c r="N4543" i="210"/>
  <c r="P4543" i="210"/>
  <c r="Q4543" i="210"/>
  <c r="C4546" i="210"/>
  <c r="C4547" i="210" s="1"/>
  <c r="C4548" i="210" s="1"/>
  <c r="H4546" i="210"/>
  <c r="E4546" i="210" s="1"/>
  <c r="E4547" i="210" s="1"/>
  <c r="E4548" i="210" s="1"/>
  <c r="E4550" i="210" s="1"/>
  <c r="E4552" i="210" s="1"/>
  <c r="E4554" i="210" s="1"/>
  <c r="E4556" i="210" s="1"/>
  <c r="E4558" i="210" s="1"/>
  <c r="E4560" i="210" s="1"/>
  <c r="E4562" i="210" s="1"/>
  <c r="E4564" i="210" s="1"/>
  <c r="E4566" i="210" s="1"/>
  <c r="E4568" i="210" s="1"/>
  <c r="E4570" i="210" s="1"/>
  <c r="E4572" i="210" s="1"/>
  <c r="E4574" i="210" s="1"/>
  <c r="E4576" i="210" s="1"/>
  <c r="E4578" i="210" s="1"/>
  <c r="E4580" i="210" s="1"/>
  <c r="E4582" i="210" s="1"/>
  <c r="E4584" i="210" s="1"/>
  <c r="E4586" i="210" s="1"/>
  <c r="E4588" i="210" s="1"/>
  <c r="E4590" i="210" s="1"/>
  <c r="I4546" i="210"/>
  <c r="J4546" i="210"/>
  <c r="I4547" i="210"/>
  <c r="I4548" i="210"/>
  <c r="D4550" i="210"/>
  <c r="K4550" i="210"/>
  <c r="L4550" i="210"/>
  <c r="N4550" i="210"/>
  <c r="P4550" i="210"/>
  <c r="Q4550" i="210"/>
  <c r="D4551" i="210"/>
  <c r="E4551" i="210"/>
  <c r="E4553" i="210" s="1"/>
  <c r="E4555" i="210" s="1"/>
  <c r="E4557" i="210" s="1"/>
  <c r="E4559" i="210" s="1"/>
  <c r="E4561" i="210" s="1"/>
  <c r="E4563" i="210" s="1"/>
  <c r="E4565" i="210" s="1"/>
  <c r="E4567" i="210" s="1"/>
  <c r="E4569" i="210" s="1"/>
  <c r="E4571" i="210" s="1"/>
  <c r="E4573" i="210" s="1"/>
  <c r="E4575" i="210" s="1"/>
  <c r="E4577" i="210" s="1"/>
  <c r="E4579" i="210" s="1"/>
  <c r="E4581" i="210" s="1"/>
  <c r="E4583" i="210" s="1"/>
  <c r="E4585" i="210" s="1"/>
  <c r="E4587" i="210" s="1"/>
  <c r="E4589" i="210" s="1"/>
  <c r="K4551" i="210"/>
  <c r="L4551" i="210"/>
  <c r="N4551" i="210"/>
  <c r="P4551" i="210"/>
  <c r="Q4551" i="210"/>
  <c r="D4552" i="210"/>
  <c r="K4552" i="210"/>
  <c r="L4552" i="210"/>
  <c r="N4552" i="210"/>
  <c r="P4552" i="210"/>
  <c r="Q4552" i="210"/>
  <c r="D4553" i="210"/>
  <c r="K4553" i="210"/>
  <c r="L4553" i="210"/>
  <c r="N4553" i="210"/>
  <c r="P4553" i="210"/>
  <c r="Q4553" i="210"/>
  <c r="D4554" i="210"/>
  <c r="K4554" i="210"/>
  <c r="L4554" i="210"/>
  <c r="N4554" i="210"/>
  <c r="P4554" i="210"/>
  <c r="Q4554" i="210"/>
  <c r="D4555" i="210"/>
  <c r="K4555" i="210"/>
  <c r="L4555" i="210"/>
  <c r="N4555" i="210"/>
  <c r="P4555" i="210"/>
  <c r="Q4555" i="210"/>
  <c r="D4556" i="210"/>
  <c r="K4556" i="210"/>
  <c r="L4556" i="210"/>
  <c r="N4556" i="210"/>
  <c r="P4556" i="210"/>
  <c r="Q4556" i="210"/>
  <c r="D4557" i="210"/>
  <c r="K4557" i="210"/>
  <c r="L4557" i="210"/>
  <c r="N4557" i="210"/>
  <c r="P4557" i="210"/>
  <c r="Q4557" i="210"/>
  <c r="D4558" i="210"/>
  <c r="K4558" i="210"/>
  <c r="L4558" i="210"/>
  <c r="N4558" i="210"/>
  <c r="P4558" i="210"/>
  <c r="Q4558" i="210"/>
  <c r="D4559" i="210"/>
  <c r="K4559" i="210"/>
  <c r="L4559" i="210"/>
  <c r="N4559" i="210"/>
  <c r="P4559" i="210"/>
  <c r="Q4559" i="210"/>
  <c r="D4560" i="210"/>
  <c r="K4560" i="210"/>
  <c r="L4560" i="210"/>
  <c r="N4560" i="210"/>
  <c r="P4560" i="210"/>
  <c r="Q4560" i="210"/>
  <c r="D4561" i="210"/>
  <c r="K4561" i="210"/>
  <c r="L4561" i="210"/>
  <c r="N4561" i="210"/>
  <c r="P4561" i="210"/>
  <c r="Q4561" i="210"/>
  <c r="D4562" i="210"/>
  <c r="K4562" i="210"/>
  <c r="L4562" i="210"/>
  <c r="N4562" i="210"/>
  <c r="P4562" i="210"/>
  <c r="Q4562" i="210"/>
  <c r="D4563" i="210"/>
  <c r="K4563" i="210"/>
  <c r="L4563" i="210"/>
  <c r="N4563" i="210"/>
  <c r="P4563" i="210"/>
  <c r="Q4563" i="210"/>
  <c r="D4564" i="210"/>
  <c r="K4564" i="210"/>
  <c r="L4564" i="210"/>
  <c r="N4564" i="210"/>
  <c r="P4564" i="210"/>
  <c r="Q4564" i="210"/>
  <c r="D4565" i="210"/>
  <c r="K4565" i="210"/>
  <c r="L4565" i="210"/>
  <c r="N4565" i="210"/>
  <c r="P4565" i="210"/>
  <c r="Q4565" i="210"/>
  <c r="D4566" i="210"/>
  <c r="K4566" i="210"/>
  <c r="L4566" i="210"/>
  <c r="N4566" i="210"/>
  <c r="P4566" i="210"/>
  <c r="Q4566" i="210"/>
  <c r="D4567" i="210"/>
  <c r="K4567" i="210"/>
  <c r="L4567" i="210"/>
  <c r="N4567" i="210"/>
  <c r="P4567" i="210"/>
  <c r="Q4567" i="210"/>
  <c r="D4568" i="210"/>
  <c r="K4568" i="210"/>
  <c r="L4568" i="210"/>
  <c r="N4568" i="210"/>
  <c r="P4568" i="210"/>
  <c r="Q4568" i="210"/>
  <c r="D4569" i="210"/>
  <c r="K4569" i="210"/>
  <c r="L4569" i="210"/>
  <c r="N4569" i="210"/>
  <c r="P4569" i="210"/>
  <c r="Q4569" i="210"/>
  <c r="D4570" i="210"/>
  <c r="K4570" i="210"/>
  <c r="L4570" i="210"/>
  <c r="N4570" i="210"/>
  <c r="P4570" i="210"/>
  <c r="Q4570" i="210"/>
  <c r="D4571" i="210"/>
  <c r="K4571" i="210"/>
  <c r="L4571" i="210"/>
  <c r="N4571" i="210"/>
  <c r="P4571" i="210"/>
  <c r="Q4571" i="210"/>
  <c r="D4572" i="210"/>
  <c r="K4572" i="210"/>
  <c r="L4572" i="210"/>
  <c r="N4572" i="210"/>
  <c r="P4572" i="210"/>
  <c r="Q4572" i="210"/>
  <c r="D4573" i="210"/>
  <c r="K4573" i="210"/>
  <c r="L4573" i="210"/>
  <c r="N4573" i="210"/>
  <c r="P4573" i="210"/>
  <c r="Q4573" i="210"/>
  <c r="D4574" i="210"/>
  <c r="K4574" i="210"/>
  <c r="L4574" i="210"/>
  <c r="N4574" i="210"/>
  <c r="P4574" i="210"/>
  <c r="Q4574" i="210"/>
  <c r="D4575" i="210"/>
  <c r="K4575" i="210"/>
  <c r="L4575" i="210"/>
  <c r="N4575" i="210"/>
  <c r="P4575" i="210"/>
  <c r="Q4575" i="210"/>
  <c r="D4576" i="210"/>
  <c r="K4576" i="210"/>
  <c r="L4576" i="210"/>
  <c r="N4576" i="210"/>
  <c r="P4576" i="210"/>
  <c r="Q4576" i="210"/>
  <c r="D4577" i="210"/>
  <c r="K4577" i="210"/>
  <c r="L4577" i="210"/>
  <c r="N4577" i="210"/>
  <c r="P4577" i="210"/>
  <c r="Q4577" i="210"/>
  <c r="D4578" i="210"/>
  <c r="K4578" i="210"/>
  <c r="L4578" i="210"/>
  <c r="N4578" i="210"/>
  <c r="P4578" i="210"/>
  <c r="Q4578" i="210"/>
  <c r="D4579" i="210"/>
  <c r="K4579" i="210"/>
  <c r="L4579" i="210"/>
  <c r="N4579" i="210"/>
  <c r="P4579" i="210"/>
  <c r="Q4579" i="210"/>
  <c r="D4580" i="210"/>
  <c r="K4580" i="210"/>
  <c r="L4580" i="210"/>
  <c r="N4580" i="210"/>
  <c r="P4580" i="210"/>
  <c r="Q4580" i="210"/>
  <c r="D4581" i="210"/>
  <c r="K4581" i="210"/>
  <c r="L4581" i="210"/>
  <c r="N4581" i="210"/>
  <c r="P4581" i="210"/>
  <c r="Q4581" i="210"/>
  <c r="D4582" i="210"/>
  <c r="K4582" i="210"/>
  <c r="L4582" i="210"/>
  <c r="N4582" i="210"/>
  <c r="P4582" i="210"/>
  <c r="Q4582" i="210"/>
  <c r="D4583" i="210"/>
  <c r="K4583" i="210"/>
  <c r="L4583" i="210"/>
  <c r="N4583" i="210"/>
  <c r="P4583" i="210"/>
  <c r="Q4583" i="210"/>
  <c r="D4584" i="210"/>
  <c r="K4584" i="210"/>
  <c r="L4584" i="210"/>
  <c r="N4584" i="210"/>
  <c r="P4584" i="210"/>
  <c r="Q4584" i="210"/>
  <c r="D4585" i="210"/>
  <c r="K4585" i="210"/>
  <c r="L4585" i="210"/>
  <c r="N4585" i="210"/>
  <c r="P4585" i="210"/>
  <c r="Q4585" i="210"/>
  <c r="D4586" i="210"/>
  <c r="K4586" i="210"/>
  <c r="L4586" i="210"/>
  <c r="N4586" i="210"/>
  <c r="P4586" i="210"/>
  <c r="Q4586" i="210"/>
  <c r="D4587" i="210"/>
  <c r="K4587" i="210"/>
  <c r="L4587" i="210"/>
  <c r="N4587" i="210"/>
  <c r="P4587" i="210"/>
  <c r="Q4587" i="210"/>
  <c r="D4588" i="210"/>
  <c r="K4588" i="210"/>
  <c r="L4588" i="210"/>
  <c r="N4588" i="210"/>
  <c r="P4588" i="210"/>
  <c r="Q4588" i="210"/>
  <c r="D4589" i="210"/>
  <c r="K4589" i="210"/>
  <c r="L4589" i="210"/>
  <c r="N4589" i="210"/>
  <c r="P4589" i="210"/>
  <c r="Q4589" i="210"/>
  <c r="D4590" i="210"/>
  <c r="K4590" i="210"/>
  <c r="L4590" i="210"/>
  <c r="N4590" i="210"/>
  <c r="P4590" i="210"/>
  <c r="Q4590" i="210"/>
  <c r="C4593" i="210"/>
  <c r="C4594" i="210" s="1"/>
  <c r="C4595" i="210" s="1"/>
  <c r="H4593" i="210"/>
  <c r="E4593" i="210" s="1"/>
  <c r="E4594" i="210" s="1"/>
  <c r="E4595" i="210" s="1"/>
  <c r="E4597" i="210" s="1"/>
  <c r="E4599" i="210" s="1"/>
  <c r="E4601" i="210" s="1"/>
  <c r="E4603" i="210" s="1"/>
  <c r="E4605" i="210" s="1"/>
  <c r="E4607" i="210" s="1"/>
  <c r="E4609" i="210" s="1"/>
  <c r="E4611" i="210" s="1"/>
  <c r="E4613" i="210" s="1"/>
  <c r="E4615" i="210" s="1"/>
  <c r="E4617" i="210" s="1"/>
  <c r="E4619" i="210" s="1"/>
  <c r="E4621" i="210" s="1"/>
  <c r="E4623" i="210" s="1"/>
  <c r="E4625" i="210" s="1"/>
  <c r="E4627" i="210" s="1"/>
  <c r="E4629" i="210" s="1"/>
  <c r="E4631" i="210" s="1"/>
  <c r="E4633" i="210" s="1"/>
  <c r="E4635" i="210" s="1"/>
  <c r="E4637" i="210" s="1"/>
  <c r="E4639" i="210" s="1"/>
  <c r="E4641" i="210" s="1"/>
  <c r="E4643" i="210" s="1"/>
  <c r="E4645" i="210" s="1"/>
  <c r="E4647" i="210" s="1"/>
  <c r="E4649" i="210" s="1"/>
  <c r="E4651" i="210" s="1"/>
  <c r="E4653" i="210" s="1"/>
  <c r="E4655" i="210" s="1"/>
  <c r="E4657" i="210" s="1"/>
  <c r="E4659" i="210" s="1"/>
  <c r="E4661" i="210" s="1"/>
  <c r="I4593" i="210"/>
  <c r="J4593" i="210"/>
  <c r="I4594" i="210"/>
  <c r="I4595" i="210"/>
  <c r="D4597" i="210"/>
  <c r="K4597" i="210"/>
  <c r="L4597" i="210"/>
  <c r="N4597" i="210"/>
  <c r="P4597" i="210"/>
  <c r="Q4597" i="210"/>
  <c r="D4598" i="210"/>
  <c r="E4598" i="210"/>
  <c r="E4600" i="210" s="1"/>
  <c r="E4602" i="210" s="1"/>
  <c r="E4604" i="210" s="1"/>
  <c r="E4606" i="210" s="1"/>
  <c r="E4608" i="210" s="1"/>
  <c r="E4610" i="210" s="1"/>
  <c r="E4612" i="210" s="1"/>
  <c r="E4614" i="210" s="1"/>
  <c r="E4616" i="210" s="1"/>
  <c r="E4618" i="210" s="1"/>
  <c r="E4620" i="210" s="1"/>
  <c r="E4622" i="210" s="1"/>
  <c r="E4624" i="210" s="1"/>
  <c r="E4626" i="210" s="1"/>
  <c r="E4628" i="210" s="1"/>
  <c r="E4630" i="210" s="1"/>
  <c r="E4632" i="210" s="1"/>
  <c r="E4634" i="210" s="1"/>
  <c r="E4636" i="210" s="1"/>
  <c r="E4638" i="210" s="1"/>
  <c r="E4640" i="210" s="1"/>
  <c r="E4642" i="210" s="1"/>
  <c r="E4644" i="210" s="1"/>
  <c r="E4646" i="210" s="1"/>
  <c r="E4648" i="210" s="1"/>
  <c r="E4650" i="210" s="1"/>
  <c r="E4652" i="210" s="1"/>
  <c r="K4598" i="210"/>
  <c r="L4598" i="210"/>
  <c r="N4598" i="210"/>
  <c r="P4598" i="210"/>
  <c r="Q4598" i="210"/>
  <c r="D4599" i="210"/>
  <c r="K4599" i="210"/>
  <c r="L4599" i="210"/>
  <c r="N4599" i="210"/>
  <c r="P4599" i="210"/>
  <c r="Q4599" i="210"/>
  <c r="D4600" i="210"/>
  <c r="K4600" i="210"/>
  <c r="L4600" i="210"/>
  <c r="N4600" i="210"/>
  <c r="P4600" i="210"/>
  <c r="Q4600" i="210"/>
  <c r="D4601" i="210"/>
  <c r="K4601" i="210"/>
  <c r="L4601" i="210"/>
  <c r="N4601" i="210"/>
  <c r="P4601" i="210"/>
  <c r="Q4601" i="210"/>
  <c r="D4602" i="210"/>
  <c r="K4602" i="210"/>
  <c r="L4602" i="210"/>
  <c r="N4602" i="210"/>
  <c r="P4602" i="210"/>
  <c r="Q4602" i="210"/>
  <c r="D4603" i="210"/>
  <c r="K4603" i="210"/>
  <c r="L4603" i="210"/>
  <c r="N4603" i="210"/>
  <c r="P4603" i="210"/>
  <c r="Q4603" i="210"/>
  <c r="D4604" i="210"/>
  <c r="K4604" i="210"/>
  <c r="L4604" i="210"/>
  <c r="N4604" i="210"/>
  <c r="P4604" i="210"/>
  <c r="Q4604" i="210"/>
  <c r="D4605" i="210"/>
  <c r="K4605" i="210"/>
  <c r="L4605" i="210"/>
  <c r="N4605" i="210"/>
  <c r="P4605" i="210"/>
  <c r="Q4605" i="210"/>
  <c r="D4606" i="210"/>
  <c r="K4606" i="210"/>
  <c r="L4606" i="210"/>
  <c r="N4606" i="210"/>
  <c r="P4606" i="210"/>
  <c r="Q4606" i="210"/>
  <c r="D4607" i="210"/>
  <c r="K4607" i="210"/>
  <c r="L4607" i="210"/>
  <c r="N4607" i="210"/>
  <c r="P4607" i="210"/>
  <c r="Q4607" i="210"/>
  <c r="D4608" i="210"/>
  <c r="K4608" i="210"/>
  <c r="L4608" i="210"/>
  <c r="N4608" i="210"/>
  <c r="P4608" i="210"/>
  <c r="Q4608" i="210"/>
  <c r="D4609" i="210"/>
  <c r="K4609" i="210"/>
  <c r="L4609" i="210"/>
  <c r="N4609" i="210"/>
  <c r="P4609" i="210"/>
  <c r="Q4609" i="210"/>
  <c r="D4610" i="210"/>
  <c r="K4610" i="210"/>
  <c r="L4610" i="210"/>
  <c r="N4610" i="210"/>
  <c r="P4610" i="210"/>
  <c r="Q4610" i="210"/>
  <c r="D4611" i="210"/>
  <c r="K4611" i="210"/>
  <c r="L4611" i="210"/>
  <c r="N4611" i="210"/>
  <c r="P4611" i="210"/>
  <c r="Q4611" i="210"/>
  <c r="D4612" i="210"/>
  <c r="K4612" i="210"/>
  <c r="L4612" i="210"/>
  <c r="N4612" i="210"/>
  <c r="P4612" i="210"/>
  <c r="Q4612" i="210"/>
  <c r="D4613" i="210"/>
  <c r="K4613" i="210"/>
  <c r="L4613" i="210"/>
  <c r="N4613" i="210"/>
  <c r="P4613" i="210"/>
  <c r="Q4613" i="210"/>
  <c r="D4614" i="210"/>
  <c r="K4614" i="210"/>
  <c r="L4614" i="210"/>
  <c r="N4614" i="210"/>
  <c r="P4614" i="210"/>
  <c r="Q4614" i="210"/>
  <c r="D4615" i="210"/>
  <c r="K4615" i="210"/>
  <c r="L4615" i="210"/>
  <c r="N4615" i="210"/>
  <c r="P4615" i="210"/>
  <c r="Q4615" i="210"/>
  <c r="D4616" i="210"/>
  <c r="K4616" i="210"/>
  <c r="L4616" i="210"/>
  <c r="N4616" i="210"/>
  <c r="P4616" i="210"/>
  <c r="Q4616" i="210"/>
  <c r="D4617" i="210"/>
  <c r="K4617" i="210"/>
  <c r="L4617" i="210"/>
  <c r="N4617" i="210"/>
  <c r="P4617" i="210"/>
  <c r="Q4617" i="210"/>
  <c r="D4618" i="210"/>
  <c r="K4618" i="210"/>
  <c r="L4618" i="210"/>
  <c r="N4618" i="210"/>
  <c r="P4618" i="210"/>
  <c r="Q4618" i="210"/>
  <c r="D4619" i="210"/>
  <c r="K4619" i="210"/>
  <c r="L4619" i="210"/>
  <c r="N4619" i="210"/>
  <c r="P4619" i="210"/>
  <c r="Q4619" i="210"/>
  <c r="D4620" i="210"/>
  <c r="K4620" i="210"/>
  <c r="L4620" i="210"/>
  <c r="N4620" i="210"/>
  <c r="P4620" i="210"/>
  <c r="Q4620" i="210"/>
  <c r="D4621" i="210"/>
  <c r="K4621" i="210"/>
  <c r="L4621" i="210"/>
  <c r="N4621" i="210"/>
  <c r="P4621" i="210"/>
  <c r="Q4621" i="210"/>
  <c r="D4622" i="210"/>
  <c r="K4622" i="210"/>
  <c r="L4622" i="210"/>
  <c r="N4622" i="210"/>
  <c r="P4622" i="210"/>
  <c r="Q4622" i="210"/>
  <c r="D4623" i="210"/>
  <c r="K4623" i="210"/>
  <c r="L4623" i="210"/>
  <c r="N4623" i="210"/>
  <c r="P4623" i="210"/>
  <c r="Q4623" i="210"/>
  <c r="D4624" i="210"/>
  <c r="K4624" i="210"/>
  <c r="L4624" i="210"/>
  <c r="N4624" i="210"/>
  <c r="P4624" i="210"/>
  <c r="Q4624" i="210"/>
  <c r="D4625" i="210"/>
  <c r="K4625" i="210"/>
  <c r="L4625" i="210"/>
  <c r="N4625" i="210"/>
  <c r="P4625" i="210"/>
  <c r="Q4625" i="210"/>
  <c r="D4626" i="210"/>
  <c r="K4626" i="210"/>
  <c r="L4626" i="210"/>
  <c r="N4626" i="210"/>
  <c r="P4626" i="210"/>
  <c r="Q4626" i="210"/>
  <c r="D4627" i="210"/>
  <c r="K4627" i="210"/>
  <c r="L4627" i="210"/>
  <c r="N4627" i="210"/>
  <c r="P4627" i="210"/>
  <c r="Q4627" i="210"/>
  <c r="D4628" i="210"/>
  <c r="K4628" i="210"/>
  <c r="L4628" i="210"/>
  <c r="N4628" i="210"/>
  <c r="P4628" i="210"/>
  <c r="Q4628" i="210"/>
  <c r="D4629" i="210"/>
  <c r="K4629" i="210"/>
  <c r="L4629" i="210"/>
  <c r="N4629" i="210"/>
  <c r="P4629" i="210"/>
  <c r="Q4629" i="210"/>
  <c r="D4630" i="210"/>
  <c r="K4630" i="210"/>
  <c r="L4630" i="210"/>
  <c r="N4630" i="210"/>
  <c r="P4630" i="210"/>
  <c r="Q4630" i="210"/>
  <c r="D4631" i="210"/>
  <c r="K4631" i="210"/>
  <c r="L4631" i="210"/>
  <c r="N4631" i="210"/>
  <c r="P4631" i="210"/>
  <c r="Q4631" i="210"/>
  <c r="D4632" i="210"/>
  <c r="K4632" i="210"/>
  <c r="L4632" i="210"/>
  <c r="N4632" i="210"/>
  <c r="P4632" i="210"/>
  <c r="Q4632" i="210"/>
  <c r="D4633" i="210"/>
  <c r="K4633" i="210"/>
  <c r="L4633" i="210"/>
  <c r="N4633" i="210"/>
  <c r="P4633" i="210"/>
  <c r="Q4633" i="210"/>
  <c r="D4634" i="210"/>
  <c r="K4634" i="210"/>
  <c r="L4634" i="210"/>
  <c r="N4634" i="210"/>
  <c r="P4634" i="210"/>
  <c r="Q4634" i="210"/>
  <c r="D4635" i="210"/>
  <c r="K4635" i="210"/>
  <c r="L4635" i="210"/>
  <c r="N4635" i="210"/>
  <c r="P4635" i="210"/>
  <c r="Q4635" i="210"/>
  <c r="D4636" i="210"/>
  <c r="K4636" i="210"/>
  <c r="L4636" i="210"/>
  <c r="N4636" i="210"/>
  <c r="P4636" i="210"/>
  <c r="Q4636" i="210"/>
  <c r="D4637" i="210"/>
  <c r="K4637" i="210"/>
  <c r="L4637" i="210"/>
  <c r="N4637" i="210"/>
  <c r="P4637" i="210"/>
  <c r="Q4637" i="210"/>
  <c r="D4638" i="210"/>
  <c r="K4638" i="210"/>
  <c r="L4638" i="210"/>
  <c r="N4638" i="210"/>
  <c r="P4638" i="210"/>
  <c r="Q4638" i="210"/>
  <c r="D4639" i="210"/>
  <c r="K4639" i="210"/>
  <c r="L4639" i="210"/>
  <c r="N4639" i="210"/>
  <c r="P4639" i="210"/>
  <c r="Q4639" i="210"/>
  <c r="D4640" i="210"/>
  <c r="K4640" i="210"/>
  <c r="L4640" i="210"/>
  <c r="N4640" i="210"/>
  <c r="P4640" i="210"/>
  <c r="Q4640" i="210"/>
  <c r="D4641" i="210"/>
  <c r="K4641" i="210"/>
  <c r="L4641" i="210"/>
  <c r="N4641" i="210"/>
  <c r="P4641" i="210"/>
  <c r="Q4641" i="210"/>
  <c r="D4642" i="210"/>
  <c r="K4642" i="210"/>
  <c r="L4642" i="210"/>
  <c r="N4642" i="210"/>
  <c r="P4642" i="210"/>
  <c r="Q4642" i="210"/>
  <c r="D4643" i="210"/>
  <c r="K4643" i="210"/>
  <c r="L4643" i="210"/>
  <c r="N4643" i="210"/>
  <c r="P4643" i="210"/>
  <c r="Q4643" i="210"/>
  <c r="D4644" i="210"/>
  <c r="K4644" i="210"/>
  <c r="L4644" i="210"/>
  <c r="N4644" i="210"/>
  <c r="P4644" i="210"/>
  <c r="Q4644" i="210"/>
  <c r="D4645" i="210"/>
  <c r="K4645" i="210"/>
  <c r="L4645" i="210"/>
  <c r="N4645" i="210"/>
  <c r="P4645" i="210"/>
  <c r="Q4645" i="210"/>
  <c r="D4646" i="210"/>
  <c r="K4646" i="210"/>
  <c r="L4646" i="210"/>
  <c r="N4646" i="210"/>
  <c r="P4646" i="210"/>
  <c r="Q4646" i="210"/>
  <c r="D4647" i="210"/>
  <c r="K4647" i="210"/>
  <c r="L4647" i="210"/>
  <c r="N4647" i="210"/>
  <c r="P4647" i="210"/>
  <c r="Q4647" i="210"/>
  <c r="D4648" i="210"/>
  <c r="K4648" i="210"/>
  <c r="L4648" i="210"/>
  <c r="N4648" i="210"/>
  <c r="P4648" i="210"/>
  <c r="Q4648" i="210"/>
  <c r="D4649" i="210"/>
  <c r="K4649" i="210"/>
  <c r="L4649" i="210"/>
  <c r="N4649" i="210"/>
  <c r="P4649" i="210"/>
  <c r="Q4649" i="210"/>
  <c r="D4650" i="210"/>
  <c r="K4650" i="210"/>
  <c r="L4650" i="210"/>
  <c r="N4650" i="210"/>
  <c r="P4650" i="210"/>
  <c r="Q4650" i="210"/>
  <c r="D4651" i="210"/>
  <c r="K4651" i="210"/>
  <c r="L4651" i="210"/>
  <c r="N4651" i="210"/>
  <c r="P4651" i="210"/>
  <c r="Q4651" i="210"/>
  <c r="D4652" i="210"/>
  <c r="K4652" i="210"/>
  <c r="L4652" i="210"/>
  <c r="N4652" i="210"/>
  <c r="P4652" i="210"/>
  <c r="Q4652" i="210"/>
  <c r="D4653" i="210"/>
  <c r="K4653" i="210"/>
  <c r="L4653" i="210"/>
  <c r="N4653" i="210"/>
  <c r="P4653" i="210"/>
  <c r="Q4653" i="210"/>
  <c r="D4654" i="210"/>
  <c r="E4654" i="210"/>
  <c r="E4656" i="210" s="1"/>
  <c r="E4658" i="210" s="1"/>
  <c r="E4660" i="210" s="1"/>
  <c r="E4662" i="210" s="1"/>
  <c r="K4654" i="210"/>
  <c r="L4654" i="210"/>
  <c r="N4654" i="210"/>
  <c r="P4654" i="210"/>
  <c r="Q4654" i="210"/>
  <c r="D4655" i="210"/>
  <c r="K4655" i="210"/>
  <c r="L4655" i="210"/>
  <c r="N4655" i="210"/>
  <c r="P4655" i="210"/>
  <c r="Q4655" i="210"/>
  <c r="D4656" i="210"/>
  <c r="K4656" i="210"/>
  <c r="L4656" i="210"/>
  <c r="N4656" i="210"/>
  <c r="P4656" i="210"/>
  <c r="Q4656" i="210"/>
  <c r="D4657" i="210"/>
  <c r="K4657" i="210"/>
  <c r="L4657" i="210"/>
  <c r="N4657" i="210"/>
  <c r="P4657" i="210"/>
  <c r="Q4657" i="210"/>
  <c r="D4658" i="210"/>
  <c r="K4658" i="210"/>
  <c r="L4658" i="210"/>
  <c r="N4658" i="210"/>
  <c r="P4658" i="210"/>
  <c r="Q4658" i="210"/>
  <c r="D4659" i="210"/>
  <c r="K4659" i="210"/>
  <c r="L4659" i="210"/>
  <c r="N4659" i="210"/>
  <c r="P4659" i="210"/>
  <c r="Q4659" i="210"/>
  <c r="D4660" i="210"/>
  <c r="K4660" i="210"/>
  <c r="L4660" i="210"/>
  <c r="N4660" i="210"/>
  <c r="P4660" i="210"/>
  <c r="Q4660" i="210"/>
  <c r="D4661" i="210"/>
  <c r="K4661" i="210"/>
  <c r="L4661" i="210"/>
  <c r="N4661" i="210"/>
  <c r="P4661" i="210"/>
  <c r="Q4661" i="210"/>
  <c r="D4662" i="210"/>
  <c r="K4662" i="210"/>
  <c r="L4662" i="210"/>
  <c r="N4662" i="210"/>
  <c r="P4662" i="210"/>
  <c r="Q4662" i="210"/>
  <c r="C4665" i="210"/>
  <c r="C4666" i="210" s="1"/>
  <c r="C4667" i="210" s="1"/>
  <c r="H4665" i="210"/>
  <c r="E4665" i="210" s="1"/>
  <c r="E4666" i="210" s="1"/>
  <c r="E4667" i="210" s="1"/>
  <c r="E4669" i="210" s="1"/>
  <c r="E4671" i="210" s="1"/>
  <c r="E4673" i="210" s="1"/>
  <c r="E4675" i="210" s="1"/>
  <c r="E4677" i="210" s="1"/>
  <c r="E4679" i="210" s="1"/>
  <c r="E4681" i="210" s="1"/>
  <c r="E4683" i="210" s="1"/>
  <c r="E4685" i="210" s="1"/>
  <c r="E4687" i="210" s="1"/>
  <c r="E4689" i="210" s="1"/>
  <c r="E4691" i="210" s="1"/>
  <c r="E4693" i="210" s="1"/>
  <c r="E4695" i="210" s="1"/>
  <c r="E4697" i="210" s="1"/>
  <c r="E4699" i="210" s="1"/>
  <c r="E4701" i="210" s="1"/>
  <c r="E4703" i="210" s="1"/>
  <c r="E4705" i="210" s="1"/>
  <c r="E4707" i="210" s="1"/>
  <c r="I4665" i="210"/>
  <c r="J4665" i="210"/>
  <c r="I4666" i="210"/>
  <c r="I4667" i="210"/>
  <c r="D4669" i="210"/>
  <c r="K4669" i="210"/>
  <c r="L4669" i="210"/>
  <c r="N4669" i="210"/>
  <c r="P4669" i="210"/>
  <c r="Q4669" i="210"/>
  <c r="D4670" i="210"/>
  <c r="E4670" i="210"/>
  <c r="E4672" i="210" s="1"/>
  <c r="E4674" i="210" s="1"/>
  <c r="E4676" i="210" s="1"/>
  <c r="E4678" i="210" s="1"/>
  <c r="E4680" i="210" s="1"/>
  <c r="E4682" i="210" s="1"/>
  <c r="E4684" i="210" s="1"/>
  <c r="E4686" i="210" s="1"/>
  <c r="E4688" i="210" s="1"/>
  <c r="E4690" i="210" s="1"/>
  <c r="E4692" i="210" s="1"/>
  <c r="E4694" i="210" s="1"/>
  <c r="E4696" i="210" s="1"/>
  <c r="E4698" i="210" s="1"/>
  <c r="E4700" i="210" s="1"/>
  <c r="E4702" i="210" s="1"/>
  <c r="E4704" i="210" s="1"/>
  <c r="E4706" i="210" s="1"/>
  <c r="K4670" i="210"/>
  <c r="L4670" i="210"/>
  <c r="N4670" i="210"/>
  <c r="P4670" i="210"/>
  <c r="Q4670" i="210"/>
  <c r="D4671" i="210"/>
  <c r="K4671" i="210"/>
  <c r="L4671" i="210"/>
  <c r="N4671" i="210"/>
  <c r="P4671" i="210"/>
  <c r="Q4671" i="210"/>
  <c r="D4672" i="210"/>
  <c r="K4672" i="210"/>
  <c r="L4672" i="210"/>
  <c r="N4672" i="210"/>
  <c r="P4672" i="210"/>
  <c r="Q4672" i="210"/>
  <c r="D4673" i="210"/>
  <c r="K4673" i="210"/>
  <c r="L4673" i="210"/>
  <c r="N4673" i="210"/>
  <c r="P4673" i="210"/>
  <c r="Q4673" i="210"/>
  <c r="D4674" i="210"/>
  <c r="K4674" i="210"/>
  <c r="L4674" i="210"/>
  <c r="N4674" i="210"/>
  <c r="P4674" i="210"/>
  <c r="Q4674" i="210"/>
  <c r="D4675" i="210"/>
  <c r="K4675" i="210"/>
  <c r="L4675" i="210"/>
  <c r="N4675" i="210"/>
  <c r="P4675" i="210"/>
  <c r="Q4675" i="210"/>
  <c r="D4676" i="210"/>
  <c r="K4676" i="210"/>
  <c r="L4676" i="210"/>
  <c r="N4676" i="210"/>
  <c r="P4676" i="210"/>
  <c r="Q4676" i="210"/>
  <c r="D4677" i="210"/>
  <c r="K4677" i="210"/>
  <c r="L4677" i="210"/>
  <c r="N4677" i="210"/>
  <c r="P4677" i="210"/>
  <c r="Q4677" i="210"/>
  <c r="D4678" i="210"/>
  <c r="K4678" i="210"/>
  <c r="L4678" i="210"/>
  <c r="N4678" i="210"/>
  <c r="P4678" i="210"/>
  <c r="Q4678" i="210"/>
  <c r="D4679" i="210"/>
  <c r="K4679" i="210"/>
  <c r="L4679" i="210"/>
  <c r="N4679" i="210"/>
  <c r="P4679" i="210"/>
  <c r="Q4679" i="210"/>
  <c r="D4680" i="210"/>
  <c r="K4680" i="210"/>
  <c r="L4680" i="210"/>
  <c r="N4680" i="210"/>
  <c r="P4680" i="210"/>
  <c r="Q4680" i="210"/>
  <c r="D4681" i="210"/>
  <c r="K4681" i="210"/>
  <c r="L4681" i="210"/>
  <c r="N4681" i="210"/>
  <c r="P4681" i="210"/>
  <c r="Q4681" i="210"/>
  <c r="D4682" i="210"/>
  <c r="K4682" i="210"/>
  <c r="L4682" i="210"/>
  <c r="N4682" i="210"/>
  <c r="P4682" i="210"/>
  <c r="Q4682" i="210"/>
  <c r="D4683" i="210"/>
  <c r="K4683" i="210"/>
  <c r="L4683" i="210"/>
  <c r="N4683" i="210"/>
  <c r="P4683" i="210"/>
  <c r="Q4683" i="210"/>
  <c r="D4684" i="210"/>
  <c r="K4684" i="210"/>
  <c r="L4684" i="210"/>
  <c r="N4684" i="210"/>
  <c r="P4684" i="210"/>
  <c r="Q4684" i="210"/>
  <c r="D4685" i="210"/>
  <c r="K4685" i="210"/>
  <c r="L4685" i="210"/>
  <c r="N4685" i="210"/>
  <c r="P4685" i="210"/>
  <c r="Q4685" i="210"/>
  <c r="D4686" i="210"/>
  <c r="K4686" i="210"/>
  <c r="L4686" i="210"/>
  <c r="N4686" i="210"/>
  <c r="P4686" i="210"/>
  <c r="Q4686" i="210"/>
  <c r="D4687" i="210"/>
  <c r="K4687" i="210"/>
  <c r="L4687" i="210"/>
  <c r="N4687" i="210"/>
  <c r="P4687" i="210"/>
  <c r="Q4687" i="210"/>
  <c r="D4688" i="210"/>
  <c r="K4688" i="210"/>
  <c r="L4688" i="210"/>
  <c r="N4688" i="210"/>
  <c r="P4688" i="210"/>
  <c r="Q4688" i="210"/>
  <c r="D4689" i="210"/>
  <c r="K4689" i="210"/>
  <c r="L4689" i="210"/>
  <c r="N4689" i="210"/>
  <c r="P4689" i="210"/>
  <c r="Q4689" i="210"/>
  <c r="D4690" i="210"/>
  <c r="K4690" i="210"/>
  <c r="L4690" i="210"/>
  <c r="N4690" i="210"/>
  <c r="P4690" i="210"/>
  <c r="Q4690" i="210"/>
  <c r="D4691" i="210"/>
  <c r="K4691" i="210"/>
  <c r="L4691" i="210"/>
  <c r="N4691" i="210"/>
  <c r="P4691" i="210"/>
  <c r="Q4691" i="210"/>
  <c r="D4692" i="210"/>
  <c r="K4692" i="210"/>
  <c r="L4692" i="210"/>
  <c r="N4692" i="210"/>
  <c r="P4692" i="210"/>
  <c r="Q4692" i="210"/>
  <c r="D4693" i="210"/>
  <c r="K4693" i="210"/>
  <c r="L4693" i="210"/>
  <c r="N4693" i="210"/>
  <c r="P4693" i="210"/>
  <c r="Q4693" i="210"/>
  <c r="D4694" i="210"/>
  <c r="K4694" i="210"/>
  <c r="L4694" i="210"/>
  <c r="N4694" i="210"/>
  <c r="P4694" i="210"/>
  <c r="Q4694" i="210"/>
  <c r="D4695" i="210"/>
  <c r="K4695" i="210"/>
  <c r="L4695" i="210"/>
  <c r="N4695" i="210"/>
  <c r="P4695" i="210"/>
  <c r="Q4695" i="210"/>
  <c r="D4696" i="210"/>
  <c r="K4696" i="210"/>
  <c r="L4696" i="210"/>
  <c r="N4696" i="210"/>
  <c r="P4696" i="210"/>
  <c r="Q4696" i="210"/>
  <c r="D4697" i="210"/>
  <c r="K4697" i="210"/>
  <c r="L4697" i="210"/>
  <c r="N4697" i="210"/>
  <c r="P4697" i="210"/>
  <c r="Q4697" i="210"/>
  <c r="D4698" i="210"/>
  <c r="K4698" i="210"/>
  <c r="L4698" i="210"/>
  <c r="N4698" i="210"/>
  <c r="P4698" i="210"/>
  <c r="Q4698" i="210"/>
  <c r="D4699" i="210"/>
  <c r="K4699" i="210"/>
  <c r="L4699" i="210"/>
  <c r="N4699" i="210"/>
  <c r="P4699" i="210"/>
  <c r="Q4699" i="210"/>
  <c r="D4700" i="210"/>
  <c r="K4700" i="210"/>
  <c r="L4700" i="210"/>
  <c r="N4700" i="210"/>
  <c r="P4700" i="210"/>
  <c r="Q4700" i="210"/>
  <c r="D4701" i="210"/>
  <c r="K4701" i="210"/>
  <c r="L4701" i="210"/>
  <c r="N4701" i="210"/>
  <c r="P4701" i="210"/>
  <c r="Q4701" i="210"/>
  <c r="D4702" i="210"/>
  <c r="K4702" i="210"/>
  <c r="L4702" i="210"/>
  <c r="N4702" i="210"/>
  <c r="P4702" i="210"/>
  <c r="Q4702" i="210"/>
  <c r="D4703" i="210"/>
  <c r="K4703" i="210"/>
  <c r="L4703" i="210"/>
  <c r="N4703" i="210"/>
  <c r="P4703" i="210"/>
  <c r="Q4703" i="210"/>
  <c r="D4704" i="210"/>
  <c r="K4704" i="210"/>
  <c r="L4704" i="210"/>
  <c r="N4704" i="210"/>
  <c r="P4704" i="210"/>
  <c r="Q4704" i="210"/>
  <c r="D4705" i="210"/>
  <c r="K4705" i="210"/>
  <c r="L4705" i="210"/>
  <c r="N4705" i="210"/>
  <c r="P4705" i="210"/>
  <c r="Q4705" i="210"/>
  <c r="D4706" i="210"/>
  <c r="K4706" i="210"/>
  <c r="L4706" i="210"/>
  <c r="N4706" i="210"/>
  <c r="P4706" i="210"/>
  <c r="Q4706" i="210"/>
  <c r="D4707" i="210"/>
  <c r="K4707" i="210"/>
  <c r="L4707" i="210"/>
  <c r="N4707" i="210"/>
  <c r="P4707" i="210"/>
  <c r="Q4707" i="210"/>
  <c r="C4710" i="210"/>
  <c r="C4711" i="210" s="1"/>
  <c r="C4712" i="210" s="1"/>
  <c r="E4710" i="210"/>
  <c r="E4711" i="210" s="1"/>
  <c r="E4712" i="210" s="1"/>
  <c r="E4714" i="210" s="1"/>
  <c r="E4716" i="210" s="1"/>
  <c r="E4718" i="210" s="1"/>
  <c r="E4720" i="210" s="1"/>
  <c r="E4722" i="210" s="1"/>
  <c r="E4724" i="210" s="1"/>
  <c r="E4726" i="210" s="1"/>
  <c r="E4728" i="210" s="1"/>
  <c r="E4730" i="210" s="1"/>
  <c r="E4732" i="210" s="1"/>
  <c r="H4710" i="210"/>
  <c r="I4710" i="210"/>
  <c r="J4710" i="210"/>
  <c r="P4710" i="210"/>
  <c r="I4711" i="210"/>
  <c r="I4712" i="210"/>
  <c r="D4714" i="210"/>
  <c r="K4714" i="210"/>
  <c r="L4714" i="210"/>
  <c r="N4714" i="210"/>
  <c r="P4714" i="210"/>
  <c r="Q4714" i="210"/>
  <c r="D4715" i="210"/>
  <c r="E4715" i="210"/>
  <c r="E4717" i="210" s="1"/>
  <c r="E4719" i="210" s="1"/>
  <c r="E4721" i="210" s="1"/>
  <c r="E4723" i="210" s="1"/>
  <c r="E4725" i="210" s="1"/>
  <c r="E4727" i="210" s="1"/>
  <c r="E4729" i="210" s="1"/>
  <c r="E4731" i="210" s="1"/>
  <c r="E4733" i="210" s="1"/>
  <c r="K4715" i="210"/>
  <c r="L4715" i="210"/>
  <c r="N4715" i="210"/>
  <c r="P4715" i="210"/>
  <c r="Q4715" i="210"/>
  <c r="D4716" i="210"/>
  <c r="K4716" i="210"/>
  <c r="L4716" i="210"/>
  <c r="N4716" i="210"/>
  <c r="P4716" i="210"/>
  <c r="Q4716" i="210"/>
  <c r="D4717" i="210"/>
  <c r="K4717" i="210"/>
  <c r="L4717" i="210"/>
  <c r="N4717" i="210"/>
  <c r="P4717" i="210"/>
  <c r="Q4717" i="210"/>
  <c r="D4718" i="210"/>
  <c r="K4718" i="210"/>
  <c r="L4718" i="210"/>
  <c r="N4718" i="210"/>
  <c r="P4718" i="210"/>
  <c r="Q4718" i="210"/>
  <c r="D4719" i="210"/>
  <c r="K4719" i="210"/>
  <c r="L4719" i="210"/>
  <c r="N4719" i="210"/>
  <c r="P4719" i="210"/>
  <c r="Q4719" i="210"/>
  <c r="D4720" i="210"/>
  <c r="K4720" i="210"/>
  <c r="L4720" i="210"/>
  <c r="N4720" i="210"/>
  <c r="P4720" i="210"/>
  <c r="Q4720" i="210"/>
  <c r="D4721" i="210"/>
  <c r="K4721" i="210"/>
  <c r="L4721" i="210"/>
  <c r="N4721" i="210"/>
  <c r="P4721" i="210"/>
  <c r="Q4721" i="210"/>
  <c r="D4722" i="210"/>
  <c r="K4722" i="210"/>
  <c r="L4722" i="210"/>
  <c r="N4722" i="210"/>
  <c r="P4722" i="210"/>
  <c r="Q4722" i="210"/>
  <c r="D4723" i="210"/>
  <c r="K4723" i="210"/>
  <c r="L4723" i="210"/>
  <c r="N4723" i="210"/>
  <c r="P4723" i="210"/>
  <c r="Q4723" i="210"/>
  <c r="D4724" i="210"/>
  <c r="K4724" i="210"/>
  <c r="L4724" i="210"/>
  <c r="N4724" i="210"/>
  <c r="P4724" i="210"/>
  <c r="Q4724" i="210"/>
  <c r="D4725" i="210"/>
  <c r="K4725" i="210"/>
  <c r="L4725" i="210"/>
  <c r="N4725" i="210"/>
  <c r="P4725" i="210"/>
  <c r="Q4725" i="210"/>
  <c r="D4726" i="210"/>
  <c r="K4726" i="210"/>
  <c r="L4726" i="210"/>
  <c r="N4726" i="210"/>
  <c r="P4726" i="210"/>
  <c r="Q4726" i="210"/>
  <c r="D4727" i="210"/>
  <c r="K4727" i="210"/>
  <c r="L4727" i="210"/>
  <c r="N4727" i="210"/>
  <c r="P4727" i="210"/>
  <c r="Q4727" i="210"/>
  <c r="D4728" i="210"/>
  <c r="K4728" i="210"/>
  <c r="L4728" i="210"/>
  <c r="N4728" i="210"/>
  <c r="P4728" i="210"/>
  <c r="Q4728" i="210"/>
  <c r="D4729" i="210"/>
  <c r="K4729" i="210"/>
  <c r="L4729" i="210"/>
  <c r="N4729" i="210"/>
  <c r="P4729" i="210"/>
  <c r="Q4729" i="210"/>
  <c r="D4730" i="210"/>
  <c r="K4730" i="210"/>
  <c r="L4730" i="210"/>
  <c r="N4730" i="210"/>
  <c r="P4730" i="210"/>
  <c r="Q4730" i="210"/>
  <c r="D4731" i="210"/>
  <c r="K4731" i="210"/>
  <c r="L4731" i="210"/>
  <c r="N4731" i="210"/>
  <c r="P4731" i="210"/>
  <c r="Q4731" i="210"/>
  <c r="D4732" i="210"/>
  <c r="K4732" i="210"/>
  <c r="L4732" i="210"/>
  <c r="N4732" i="210"/>
  <c r="P4732" i="210"/>
  <c r="Q4732" i="210"/>
  <c r="D4733" i="210"/>
  <c r="K4733" i="210"/>
  <c r="L4733" i="210"/>
  <c r="N4733" i="210"/>
  <c r="P4733" i="210"/>
  <c r="Q4733" i="210"/>
  <c r="D4734" i="210"/>
  <c r="E4734" i="210"/>
  <c r="K4734" i="210"/>
  <c r="L4734" i="210"/>
  <c r="N4734" i="210"/>
  <c r="P4734" i="210"/>
  <c r="Q4734" i="210"/>
  <c r="C4737" i="210"/>
  <c r="C4738" i="210" s="1"/>
  <c r="C4739" i="210" s="1"/>
  <c r="H4737" i="210"/>
  <c r="E4737" i="210" s="1"/>
  <c r="E4738" i="210" s="1"/>
  <c r="E4739" i="210" s="1"/>
  <c r="E4741" i="210" s="1"/>
  <c r="E4743" i="210" s="1"/>
  <c r="E4745" i="210" s="1"/>
  <c r="E4747" i="210" s="1"/>
  <c r="E4749" i="210" s="1"/>
  <c r="E4751" i="210" s="1"/>
  <c r="E4753" i="210" s="1"/>
  <c r="E4755" i="210" s="1"/>
  <c r="E4757" i="210" s="1"/>
  <c r="E4759" i="210" s="1"/>
  <c r="E4761" i="210" s="1"/>
  <c r="E4763" i="210" s="1"/>
  <c r="E4765" i="210" s="1"/>
  <c r="E4767" i="210" s="1"/>
  <c r="E4769" i="210" s="1"/>
  <c r="E4771" i="210" s="1"/>
  <c r="E4773" i="210" s="1"/>
  <c r="E4775" i="210" s="1"/>
  <c r="E4777" i="210" s="1"/>
  <c r="E4779" i="210" s="1"/>
  <c r="E4781" i="210" s="1"/>
  <c r="E4783" i="210" s="1"/>
  <c r="E4785" i="210" s="1"/>
  <c r="E4787" i="210" s="1"/>
  <c r="E4789" i="210" s="1"/>
  <c r="E4791" i="210" s="1"/>
  <c r="E4793" i="210" s="1"/>
  <c r="E4795" i="210" s="1"/>
  <c r="E4797" i="210" s="1"/>
  <c r="E4799" i="210" s="1"/>
  <c r="E4801" i="210" s="1"/>
  <c r="E4803" i="210" s="1"/>
  <c r="E4805" i="210" s="1"/>
  <c r="E4807" i="210" s="1"/>
  <c r="I4737" i="210"/>
  <c r="J4737" i="210"/>
  <c r="I4738" i="210"/>
  <c r="I4739" i="210"/>
  <c r="D4741" i="210"/>
  <c r="K4741" i="210"/>
  <c r="L4741" i="210"/>
  <c r="N4741" i="210"/>
  <c r="P4741" i="210"/>
  <c r="Q4741" i="210"/>
  <c r="D4742" i="210"/>
  <c r="E4742" i="210"/>
  <c r="E4744" i="210" s="1"/>
  <c r="E4746" i="210" s="1"/>
  <c r="E4748" i="210" s="1"/>
  <c r="E4750" i="210" s="1"/>
  <c r="E4752" i="210" s="1"/>
  <c r="E4754" i="210" s="1"/>
  <c r="E4756" i="210" s="1"/>
  <c r="E4758" i="210" s="1"/>
  <c r="E4760" i="210" s="1"/>
  <c r="E4762" i="210" s="1"/>
  <c r="E4764" i="210" s="1"/>
  <c r="E4766" i="210" s="1"/>
  <c r="E4768" i="210" s="1"/>
  <c r="E4770" i="210" s="1"/>
  <c r="E4772" i="210" s="1"/>
  <c r="E4774" i="210" s="1"/>
  <c r="E4776" i="210" s="1"/>
  <c r="E4778" i="210" s="1"/>
  <c r="E4780" i="210" s="1"/>
  <c r="E4782" i="210" s="1"/>
  <c r="E4784" i="210" s="1"/>
  <c r="E4786" i="210" s="1"/>
  <c r="E4788" i="210" s="1"/>
  <c r="E4790" i="210" s="1"/>
  <c r="E4792" i="210" s="1"/>
  <c r="E4794" i="210" s="1"/>
  <c r="E4796" i="210" s="1"/>
  <c r="K4742" i="210"/>
  <c r="L4742" i="210"/>
  <c r="N4742" i="210"/>
  <c r="P4742" i="210"/>
  <c r="Q4742" i="210"/>
  <c r="D4743" i="210"/>
  <c r="K4743" i="210"/>
  <c r="L4743" i="210"/>
  <c r="N4743" i="210"/>
  <c r="P4743" i="210"/>
  <c r="Q4743" i="210"/>
  <c r="D4744" i="210"/>
  <c r="K4744" i="210"/>
  <c r="L4744" i="210"/>
  <c r="N4744" i="210"/>
  <c r="P4744" i="210"/>
  <c r="Q4744" i="210"/>
  <c r="D4745" i="210"/>
  <c r="K4745" i="210"/>
  <c r="L4745" i="210"/>
  <c r="N4745" i="210"/>
  <c r="P4745" i="210"/>
  <c r="Q4745" i="210"/>
  <c r="D4746" i="210"/>
  <c r="K4746" i="210"/>
  <c r="L4746" i="210"/>
  <c r="N4746" i="210"/>
  <c r="P4746" i="210"/>
  <c r="Q4746" i="210"/>
  <c r="D4747" i="210"/>
  <c r="K4747" i="210"/>
  <c r="L4747" i="210"/>
  <c r="N4747" i="210"/>
  <c r="P4747" i="210"/>
  <c r="Q4747" i="210"/>
  <c r="D4748" i="210"/>
  <c r="K4748" i="210"/>
  <c r="L4748" i="210"/>
  <c r="N4748" i="210"/>
  <c r="P4748" i="210"/>
  <c r="Q4748" i="210"/>
  <c r="D4749" i="210"/>
  <c r="K4749" i="210"/>
  <c r="L4749" i="210"/>
  <c r="N4749" i="210"/>
  <c r="P4749" i="210"/>
  <c r="Q4749" i="210"/>
  <c r="D4750" i="210"/>
  <c r="K4750" i="210"/>
  <c r="L4750" i="210"/>
  <c r="N4750" i="210"/>
  <c r="P4750" i="210"/>
  <c r="Q4750" i="210"/>
  <c r="D4751" i="210"/>
  <c r="K4751" i="210"/>
  <c r="L4751" i="210"/>
  <c r="N4751" i="210"/>
  <c r="P4751" i="210"/>
  <c r="Q4751" i="210"/>
  <c r="D4752" i="210"/>
  <c r="K4752" i="210"/>
  <c r="L4752" i="210"/>
  <c r="N4752" i="210"/>
  <c r="P4752" i="210"/>
  <c r="Q4752" i="210"/>
  <c r="D4753" i="210"/>
  <c r="K4753" i="210"/>
  <c r="L4753" i="210"/>
  <c r="N4753" i="210"/>
  <c r="P4753" i="210"/>
  <c r="Q4753" i="210"/>
  <c r="D4754" i="210"/>
  <c r="K4754" i="210"/>
  <c r="L4754" i="210"/>
  <c r="N4754" i="210"/>
  <c r="P4754" i="210"/>
  <c r="Q4754" i="210"/>
  <c r="D4755" i="210"/>
  <c r="K4755" i="210"/>
  <c r="L4755" i="210"/>
  <c r="N4755" i="210"/>
  <c r="P4755" i="210"/>
  <c r="Q4755" i="210"/>
  <c r="D4756" i="210"/>
  <c r="K4756" i="210"/>
  <c r="L4756" i="210"/>
  <c r="N4756" i="210"/>
  <c r="P4756" i="210"/>
  <c r="Q4756" i="210"/>
  <c r="D4757" i="210"/>
  <c r="K4757" i="210"/>
  <c r="L4757" i="210"/>
  <c r="N4757" i="210"/>
  <c r="P4757" i="210"/>
  <c r="Q4757" i="210"/>
  <c r="D4758" i="210"/>
  <c r="K4758" i="210"/>
  <c r="L4758" i="210"/>
  <c r="N4758" i="210"/>
  <c r="P4758" i="210"/>
  <c r="Q4758" i="210"/>
  <c r="D4759" i="210"/>
  <c r="K4759" i="210"/>
  <c r="L4759" i="210"/>
  <c r="N4759" i="210"/>
  <c r="P4759" i="210"/>
  <c r="Q4759" i="210"/>
  <c r="D4760" i="210"/>
  <c r="K4760" i="210"/>
  <c r="L4760" i="210"/>
  <c r="N4760" i="210"/>
  <c r="P4760" i="210"/>
  <c r="Q4760" i="210"/>
  <c r="D4761" i="210"/>
  <c r="K4761" i="210"/>
  <c r="L4761" i="210"/>
  <c r="N4761" i="210"/>
  <c r="P4761" i="210"/>
  <c r="Q4761" i="210"/>
  <c r="D4762" i="210"/>
  <c r="K4762" i="210"/>
  <c r="L4762" i="210"/>
  <c r="N4762" i="210"/>
  <c r="P4762" i="210"/>
  <c r="Q4762" i="210"/>
  <c r="D4763" i="210"/>
  <c r="K4763" i="210"/>
  <c r="L4763" i="210"/>
  <c r="N4763" i="210"/>
  <c r="P4763" i="210"/>
  <c r="Q4763" i="210"/>
  <c r="D4764" i="210"/>
  <c r="K4764" i="210"/>
  <c r="L4764" i="210"/>
  <c r="N4764" i="210"/>
  <c r="P4764" i="210"/>
  <c r="Q4764" i="210"/>
  <c r="D4765" i="210"/>
  <c r="K4765" i="210"/>
  <c r="L4765" i="210"/>
  <c r="N4765" i="210"/>
  <c r="P4765" i="210"/>
  <c r="Q4765" i="210"/>
  <c r="D4766" i="210"/>
  <c r="K4766" i="210"/>
  <c r="L4766" i="210"/>
  <c r="N4766" i="210"/>
  <c r="P4766" i="210"/>
  <c r="Q4766" i="210"/>
  <c r="D4767" i="210"/>
  <c r="K4767" i="210"/>
  <c r="L4767" i="210"/>
  <c r="N4767" i="210"/>
  <c r="P4767" i="210"/>
  <c r="Q4767" i="210"/>
  <c r="D4768" i="210"/>
  <c r="K4768" i="210"/>
  <c r="L4768" i="210"/>
  <c r="N4768" i="210"/>
  <c r="P4768" i="210"/>
  <c r="Q4768" i="210"/>
  <c r="D4769" i="210"/>
  <c r="K4769" i="210"/>
  <c r="L4769" i="210"/>
  <c r="N4769" i="210"/>
  <c r="P4769" i="210"/>
  <c r="Q4769" i="210"/>
  <c r="D4770" i="210"/>
  <c r="K4770" i="210"/>
  <c r="L4770" i="210"/>
  <c r="N4770" i="210"/>
  <c r="P4770" i="210"/>
  <c r="Q4770" i="210"/>
  <c r="D4771" i="210"/>
  <c r="K4771" i="210"/>
  <c r="L4771" i="210"/>
  <c r="N4771" i="210"/>
  <c r="P4771" i="210"/>
  <c r="Q4771" i="210"/>
  <c r="D4772" i="210"/>
  <c r="K4772" i="210"/>
  <c r="L4772" i="210"/>
  <c r="N4772" i="210"/>
  <c r="P4772" i="210"/>
  <c r="Q4772" i="210"/>
  <c r="D4773" i="210"/>
  <c r="K4773" i="210"/>
  <c r="L4773" i="210"/>
  <c r="N4773" i="210"/>
  <c r="P4773" i="210"/>
  <c r="Q4773" i="210"/>
  <c r="D4774" i="210"/>
  <c r="K4774" i="210"/>
  <c r="L4774" i="210"/>
  <c r="N4774" i="210"/>
  <c r="P4774" i="210"/>
  <c r="Q4774" i="210"/>
  <c r="D4775" i="210"/>
  <c r="K4775" i="210"/>
  <c r="L4775" i="210"/>
  <c r="N4775" i="210"/>
  <c r="P4775" i="210"/>
  <c r="Q4775" i="210"/>
  <c r="D4776" i="210"/>
  <c r="K4776" i="210"/>
  <c r="L4776" i="210"/>
  <c r="N4776" i="210"/>
  <c r="P4776" i="210"/>
  <c r="Q4776" i="210"/>
  <c r="D4777" i="210"/>
  <c r="K4777" i="210"/>
  <c r="L4777" i="210"/>
  <c r="N4777" i="210"/>
  <c r="P4777" i="210"/>
  <c r="Q4777" i="210"/>
  <c r="D4778" i="210"/>
  <c r="K4778" i="210"/>
  <c r="L4778" i="210"/>
  <c r="N4778" i="210"/>
  <c r="P4778" i="210"/>
  <c r="Q4778" i="210"/>
  <c r="D4779" i="210"/>
  <c r="K4779" i="210"/>
  <c r="L4779" i="210"/>
  <c r="N4779" i="210"/>
  <c r="P4779" i="210"/>
  <c r="Q4779" i="210"/>
  <c r="D4780" i="210"/>
  <c r="K4780" i="210"/>
  <c r="L4780" i="210"/>
  <c r="N4780" i="210"/>
  <c r="P4780" i="210"/>
  <c r="Q4780" i="210"/>
  <c r="D4781" i="210"/>
  <c r="K4781" i="210"/>
  <c r="L4781" i="210"/>
  <c r="N4781" i="210"/>
  <c r="P4781" i="210"/>
  <c r="Q4781" i="210"/>
  <c r="D4782" i="210"/>
  <c r="K4782" i="210"/>
  <c r="L4782" i="210"/>
  <c r="N4782" i="210"/>
  <c r="P4782" i="210"/>
  <c r="Q4782" i="210"/>
  <c r="D4783" i="210"/>
  <c r="K4783" i="210"/>
  <c r="L4783" i="210"/>
  <c r="N4783" i="210"/>
  <c r="P4783" i="210"/>
  <c r="Q4783" i="210"/>
  <c r="D4784" i="210"/>
  <c r="K4784" i="210"/>
  <c r="L4784" i="210"/>
  <c r="N4784" i="210"/>
  <c r="P4784" i="210"/>
  <c r="Q4784" i="210"/>
  <c r="D4785" i="210"/>
  <c r="K4785" i="210"/>
  <c r="L4785" i="210"/>
  <c r="N4785" i="210"/>
  <c r="P4785" i="210"/>
  <c r="Q4785" i="210"/>
  <c r="D4786" i="210"/>
  <c r="K4786" i="210"/>
  <c r="L4786" i="210"/>
  <c r="N4786" i="210"/>
  <c r="P4786" i="210"/>
  <c r="Q4786" i="210"/>
  <c r="D4787" i="210"/>
  <c r="K4787" i="210"/>
  <c r="L4787" i="210"/>
  <c r="N4787" i="210"/>
  <c r="P4787" i="210"/>
  <c r="Q4787" i="210"/>
  <c r="D4788" i="210"/>
  <c r="K4788" i="210"/>
  <c r="L4788" i="210"/>
  <c r="N4788" i="210"/>
  <c r="P4788" i="210"/>
  <c r="Q4788" i="210"/>
  <c r="D4789" i="210"/>
  <c r="K4789" i="210"/>
  <c r="L4789" i="210"/>
  <c r="N4789" i="210"/>
  <c r="P4789" i="210"/>
  <c r="Q4789" i="210"/>
  <c r="D4790" i="210"/>
  <c r="K4790" i="210"/>
  <c r="L4790" i="210"/>
  <c r="N4790" i="210"/>
  <c r="P4790" i="210"/>
  <c r="Q4790" i="210"/>
  <c r="D4791" i="210"/>
  <c r="K4791" i="210"/>
  <c r="L4791" i="210"/>
  <c r="N4791" i="210"/>
  <c r="P4791" i="210"/>
  <c r="Q4791" i="210"/>
  <c r="D4792" i="210"/>
  <c r="K4792" i="210"/>
  <c r="L4792" i="210"/>
  <c r="N4792" i="210"/>
  <c r="P4792" i="210"/>
  <c r="Q4792" i="210"/>
  <c r="D4793" i="210"/>
  <c r="K4793" i="210"/>
  <c r="L4793" i="210"/>
  <c r="N4793" i="210"/>
  <c r="P4793" i="210"/>
  <c r="Q4793" i="210"/>
  <c r="D4794" i="210"/>
  <c r="K4794" i="210"/>
  <c r="L4794" i="210"/>
  <c r="N4794" i="210"/>
  <c r="P4794" i="210"/>
  <c r="Q4794" i="210"/>
  <c r="D4795" i="210"/>
  <c r="K4795" i="210"/>
  <c r="L4795" i="210"/>
  <c r="N4795" i="210"/>
  <c r="P4795" i="210"/>
  <c r="Q4795" i="210"/>
  <c r="D4796" i="210"/>
  <c r="K4796" i="210"/>
  <c r="L4796" i="210"/>
  <c r="N4796" i="210"/>
  <c r="P4796" i="210"/>
  <c r="Q4796" i="210"/>
  <c r="D4797" i="210"/>
  <c r="K4797" i="210"/>
  <c r="L4797" i="210"/>
  <c r="N4797" i="210"/>
  <c r="P4797" i="210"/>
  <c r="Q4797" i="210"/>
  <c r="D4798" i="210"/>
  <c r="E4798" i="210"/>
  <c r="E4800" i="210" s="1"/>
  <c r="E4802" i="210" s="1"/>
  <c r="E4804" i="210" s="1"/>
  <c r="E4806" i="210" s="1"/>
  <c r="K4798" i="210"/>
  <c r="L4798" i="210"/>
  <c r="N4798" i="210"/>
  <c r="P4798" i="210"/>
  <c r="Q4798" i="210"/>
  <c r="D4799" i="210"/>
  <c r="K4799" i="210"/>
  <c r="L4799" i="210"/>
  <c r="N4799" i="210"/>
  <c r="P4799" i="210"/>
  <c r="Q4799" i="210"/>
  <c r="D4800" i="210"/>
  <c r="K4800" i="210"/>
  <c r="L4800" i="210"/>
  <c r="N4800" i="210"/>
  <c r="P4800" i="210"/>
  <c r="Q4800" i="210"/>
  <c r="D4801" i="210"/>
  <c r="K4801" i="210"/>
  <c r="L4801" i="210"/>
  <c r="N4801" i="210"/>
  <c r="P4801" i="210"/>
  <c r="Q4801" i="210"/>
  <c r="D4802" i="210"/>
  <c r="K4802" i="210"/>
  <c r="L4802" i="210"/>
  <c r="N4802" i="210"/>
  <c r="P4802" i="210"/>
  <c r="Q4802" i="210"/>
  <c r="D4803" i="210"/>
  <c r="K4803" i="210"/>
  <c r="L4803" i="210"/>
  <c r="N4803" i="210"/>
  <c r="P4803" i="210"/>
  <c r="Q4803" i="210"/>
  <c r="D4804" i="210"/>
  <c r="K4804" i="210"/>
  <c r="L4804" i="210"/>
  <c r="N4804" i="210"/>
  <c r="P4804" i="210"/>
  <c r="Q4804" i="210"/>
  <c r="D4805" i="210"/>
  <c r="K4805" i="210"/>
  <c r="L4805" i="210"/>
  <c r="N4805" i="210"/>
  <c r="P4805" i="210"/>
  <c r="Q4805" i="210"/>
  <c r="D4806" i="210"/>
  <c r="K4806" i="210"/>
  <c r="L4806" i="210"/>
  <c r="N4806" i="210"/>
  <c r="P4806" i="210"/>
  <c r="Q4806" i="210"/>
  <c r="D4807" i="210"/>
  <c r="K4807" i="210"/>
  <c r="L4807" i="210"/>
  <c r="N4807" i="210"/>
  <c r="P4807" i="210"/>
  <c r="Q4807" i="210"/>
  <c r="C4810" i="210"/>
  <c r="C4811" i="210" s="1"/>
  <c r="C4812" i="210" s="1"/>
  <c r="H4810" i="210"/>
  <c r="E4810" i="210" s="1"/>
  <c r="E4811" i="210" s="1"/>
  <c r="E4812" i="210" s="1"/>
  <c r="I4810" i="210"/>
  <c r="J4810" i="210"/>
  <c r="I4811" i="210"/>
  <c r="I4812" i="210"/>
  <c r="D4814" i="210"/>
  <c r="E4814" i="210"/>
  <c r="E4816" i="210" s="1"/>
  <c r="E4818" i="210" s="1"/>
  <c r="E4820" i="210" s="1"/>
  <c r="E4822" i="210" s="1"/>
  <c r="E4824" i="210" s="1"/>
  <c r="E4826" i="210" s="1"/>
  <c r="E4828" i="210" s="1"/>
  <c r="E4830" i="210" s="1"/>
  <c r="E4832" i="210" s="1"/>
  <c r="E4834" i="210" s="1"/>
  <c r="E4836" i="210" s="1"/>
  <c r="E4838" i="210" s="1"/>
  <c r="E4840" i="210" s="1"/>
  <c r="E4842" i="210" s="1"/>
  <c r="E4844" i="210" s="1"/>
  <c r="E4846" i="210" s="1"/>
  <c r="E4848" i="210" s="1"/>
  <c r="E4850" i="210" s="1"/>
  <c r="E4852" i="210" s="1"/>
  <c r="E4854" i="210" s="1"/>
  <c r="E4856" i="210" s="1"/>
  <c r="E4858" i="210" s="1"/>
  <c r="E4860" i="210" s="1"/>
  <c r="E4862" i="210" s="1"/>
  <c r="E4864" i="210" s="1"/>
  <c r="E4866" i="210" s="1"/>
  <c r="E4868" i="210" s="1"/>
  <c r="E4870" i="210" s="1"/>
  <c r="E4872" i="210" s="1"/>
  <c r="E4874" i="210" s="1"/>
  <c r="E4876" i="210" s="1"/>
  <c r="E4878" i="210" s="1"/>
  <c r="E4880" i="210" s="1"/>
  <c r="E4882" i="210" s="1"/>
  <c r="E4884" i="210" s="1"/>
  <c r="E4886" i="210" s="1"/>
  <c r="K4814" i="210"/>
  <c r="L4814" i="210"/>
  <c r="N4814" i="210"/>
  <c r="P4814" i="210"/>
  <c r="Q4814" i="210"/>
  <c r="D4815" i="210"/>
  <c r="E4815" i="210"/>
  <c r="K4815" i="210"/>
  <c r="L4815" i="210"/>
  <c r="N4815" i="210"/>
  <c r="P4815" i="210"/>
  <c r="Q4815" i="210"/>
  <c r="D4816" i="210"/>
  <c r="K4816" i="210"/>
  <c r="L4816" i="210"/>
  <c r="N4816" i="210"/>
  <c r="P4816" i="210"/>
  <c r="Q4816" i="210"/>
  <c r="D4817" i="210"/>
  <c r="E4817" i="210"/>
  <c r="E4819" i="210" s="1"/>
  <c r="E4821" i="210" s="1"/>
  <c r="E4823" i="210" s="1"/>
  <c r="E4825" i="210" s="1"/>
  <c r="E4827" i="210" s="1"/>
  <c r="E4829" i="210" s="1"/>
  <c r="E4831" i="210" s="1"/>
  <c r="E4833" i="210" s="1"/>
  <c r="E4835" i="210" s="1"/>
  <c r="E4837" i="210" s="1"/>
  <c r="E4839" i="210" s="1"/>
  <c r="E4841" i="210" s="1"/>
  <c r="E4843" i="210" s="1"/>
  <c r="E4845" i="210" s="1"/>
  <c r="E4847" i="210" s="1"/>
  <c r="E4849" i="210" s="1"/>
  <c r="E4851" i="210" s="1"/>
  <c r="E4853" i="210" s="1"/>
  <c r="E4855" i="210" s="1"/>
  <c r="E4857" i="210" s="1"/>
  <c r="E4859" i="210" s="1"/>
  <c r="E4861" i="210" s="1"/>
  <c r="E4863" i="210" s="1"/>
  <c r="E4865" i="210" s="1"/>
  <c r="E4867" i="210" s="1"/>
  <c r="E4869" i="210" s="1"/>
  <c r="E4871" i="210" s="1"/>
  <c r="E4873" i="210" s="1"/>
  <c r="E4875" i="210" s="1"/>
  <c r="E4877" i="210" s="1"/>
  <c r="E4879" i="210" s="1"/>
  <c r="E4881" i="210" s="1"/>
  <c r="E4883" i="210" s="1"/>
  <c r="E4885" i="210" s="1"/>
  <c r="K4817" i="210"/>
  <c r="L4817" i="210"/>
  <c r="N4817" i="210"/>
  <c r="P4817" i="210"/>
  <c r="Q4817" i="210"/>
  <c r="D4818" i="210"/>
  <c r="K4818" i="210"/>
  <c r="L4818" i="210"/>
  <c r="N4818" i="210"/>
  <c r="P4818" i="210"/>
  <c r="Q4818" i="210"/>
  <c r="D4819" i="210"/>
  <c r="K4819" i="210"/>
  <c r="L4819" i="210"/>
  <c r="N4819" i="210"/>
  <c r="P4819" i="210"/>
  <c r="Q4819" i="210"/>
  <c r="D4820" i="210"/>
  <c r="K4820" i="210"/>
  <c r="L4820" i="210"/>
  <c r="N4820" i="210"/>
  <c r="P4820" i="210"/>
  <c r="Q4820" i="210"/>
  <c r="D4821" i="210"/>
  <c r="K4821" i="210"/>
  <c r="L4821" i="210"/>
  <c r="N4821" i="210"/>
  <c r="P4821" i="210"/>
  <c r="Q4821" i="210"/>
  <c r="D4822" i="210"/>
  <c r="K4822" i="210"/>
  <c r="L4822" i="210"/>
  <c r="N4822" i="210"/>
  <c r="P4822" i="210"/>
  <c r="Q4822" i="210"/>
  <c r="D4823" i="210"/>
  <c r="K4823" i="210"/>
  <c r="L4823" i="210"/>
  <c r="N4823" i="210"/>
  <c r="P4823" i="210"/>
  <c r="Q4823" i="210"/>
  <c r="D4824" i="210"/>
  <c r="K4824" i="210"/>
  <c r="L4824" i="210"/>
  <c r="N4824" i="210"/>
  <c r="P4824" i="210"/>
  <c r="Q4824" i="210"/>
  <c r="D4825" i="210"/>
  <c r="K4825" i="210"/>
  <c r="L4825" i="210"/>
  <c r="N4825" i="210"/>
  <c r="P4825" i="210"/>
  <c r="Q4825" i="210"/>
  <c r="D4826" i="210"/>
  <c r="K4826" i="210"/>
  <c r="L4826" i="210"/>
  <c r="N4826" i="210"/>
  <c r="P4826" i="210"/>
  <c r="Q4826" i="210"/>
  <c r="D4827" i="210"/>
  <c r="K4827" i="210"/>
  <c r="L4827" i="210"/>
  <c r="N4827" i="210"/>
  <c r="P4827" i="210"/>
  <c r="Q4827" i="210"/>
  <c r="D4828" i="210"/>
  <c r="K4828" i="210"/>
  <c r="L4828" i="210"/>
  <c r="N4828" i="210"/>
  <c r="P4828" i="210"/>
  <c r="Q4828" i="210"/>
  <c r="D4829" i="210"/>
  <c r="K4829" i="210"/>
  <c r="L4829" i="210"/>
  <c r="N4829" i="210"/>
  <c r="P4829" i="210"/>
  <c r="Q4829" i="210"/>
  <c r="D4830" i="210"/>
  <c r="K4830" i="210"/>
  <c r="L4830" i="210"/>
  <c r="N4830" i="210"/>
  <c r="P4830" i="210"/>
  <c r="Q4830" i="210"/>
  <c r="D4831" i="210"/>
  <c r="K4831" i="210"/>
  <c r="L4831" i="210"/>
  <c r="N4831" i="210"/>
  <c r="P4831" i="210"/>
  <c r="Q4831" i="210"/>
  <c r="D4832" i="210"/>
  <c r="K4832" i="210"/>
  <c r="L4832" i="210"/>
  <c r="N4832" i="210"/>
  <c r="P4832" i="210"/>
  <c r="Q4832" i="210"/>
  <c r="D4833" i="210"/>
  <c r="K4833" i="210"/>
  <c r="L4833" i="210"/>
  <c r="N4833" i="210"/>
  <c r="P4833" i="210"/>
  <c r="Q4833" i="210"/>
  <c r="D4834" i="210"/>
  <c r="K4834" i="210"/>
  <c r="L4834" i="210"/>
  <c r="N4834" i="210"/>
  <c r="P4834" i="210"/>
  <c r="Q4834" i="210"/>
  <c r="D4835" i="210"/>
  <c r="K4835" i="210"/>
  <c r="L4835" i="210"/>
  <c r="N4835" i="210"/>
  <c r="P4835" i="210"/>
  <c r="Q4835" i="210"/>
  <c r="D4836" i="210"/>
  <c r="K4836" i="210"/>
  <c r="L4836" i="210"/>
  <c r="N4836" i="210"/>
  <c r="P4836" i="210"/>
  <c r="Q4836" i="210"/>
  <c r="D4837" i="210"/>
  <c r="K4837" i="210"/>
  <c r="L4837" i="210"/>
  <c r="N4837" i="210"/>
  <c r="P4837" i="210"/>
  <c r="Q4837" i="210"/>
  <c r="D4838" i="210"/>
  <c r="K4838" i="210"/>
  <c r="L4838" i="210"/>
  <c r="N4838" i="210"/>
  <c r="P4838" i="210"/>
  <c r="Q4838" i="210"/>
  <c r="D4839" i="210"/>
  <c r="K4839" i="210"/>
  <c r="L4839" i="210"/>
  <c r="N4839" i="210"/>
  <c r="P4839" i="210"/>
  <c r="Q4839" i="210"/>
  <c r="D4840" i="210"/>
  <c r="K4840" i="210"/>
  <c r="L4840" i="210"/>
  <c r="N4840" i="210"/>
  <c r="P4840" i="210"/>
  <c r="Q4840" i="210"/>
  <c r="D4841" i="210"/>
  <c r="K4841" i="210"/>
  <c r="L4841" i="210"/>
  <c r="N4841" i="210"/>
  <c r="P4841" i="210"/>
  <c r="Q4841" i="210"/>
  <c r="D4842" i="210"/>
  <c r="K4842" i="210"/>
  <c r="L4842" i="210"/>
  <c r="N4842" i="210"/>
  <c r="P4842" i="210"/>
  <c r="Q4842" i="210"/>
  <c r="D4843" i="210"/>
  <c r="K4843" i="210"/>
  <c r="L4843" i="210"/>
  <c r="N4843" i="210"/>
  <c r="P4843" i="210"/>
  <c r="Q4843" i="210"/>
  <c r="D4844" i="210"/>
  <c r="K4844" i="210"/>
  <c r="L4844" i="210"/>
  <c r="N4844" i="210"/>
  <c r="P4844" i="210"/>
  <c r="Q4844" i="210"/>
  <c r="D4845" i="210"/>
  <c r="K4845" i="210"/>
  <c r="L4845" i="210"/>
  <c r="N4845" i="210"/>
  <c r="P4845" i="210"/>
  <c r="Q4845" i="210"/>
  <c r="D4846" i="210"/>
  <c r="K4846" i="210"/>
  <c r="L4846" i="210"/>
  <c r="N4846" i="210"/>
  <c r="P4846" i="210"/>
  <c r="Q4846" i="210"/>
  <c r="D4847" i="210"/>
  <c r="K4847" i="210"/>
  <c r="L4847" i="210"/>
  <c r="N4847" i="210"/>
  <c r="P4847" i="210"/>
  <c r="Q4847" i="210"/>
  <c r="D4848" i="210"/>
  <c r="K4848" i="210"/>
  <c r="L4848" i="210"/>
  <c r="N4848" i="210"/>
  <c r="P4848" i="210"/>
  <c r="Q4848" i="210"/>
  <c r="D4849" i="210"/>
  <c r="K4849" i="210"/>
  <c r="L4849" i="210"/>
  <c r="N4849" i="210"/>
  <c r="P4849" i="210"/>
  <c r="Q4849" i="210"/>
  <c r="D4850" i="210"/>
  <c r="K4850" i="210"/>
  <c r="L4850" i="210"/>
  <c r="N4850" i="210"/>
  <c r="P4850" i="210"/>
  <c r="Q4850" i="210"/>
  <c r="D4851" i="210"/>
  <c r="K4851" i="210"/>
  <c r="L4851" i="210"/>
  <c r="N4851" i="210"/>
  <c r="P4851" i="210"/>
  <c r="Q4851" i="210"/>
  <c r="D4852" i="210"/>
  <c r="K4852" i="210"/>
  <c r="L4852" i="210"/>
  <c r="N4852" i="210"/>
  <c r="P4852" i="210"/>
  <c r="Q4852" i="210"/>
  <c r="D4853" i="210"/>
  <c r="K4853" i="210"/>
  <c r="L4853" i="210"/>
  <c r="N4853" i="210"/>
  <c r="P4853" i="210"/>
  <c r="Q4853" i="210"/>
  <c r="D4854" i="210"/>
  <c r="K4854" i="210"/>
  <c r="L4854" i="210"/>
  <c r="N4854" i="210"/>
  <c r="P4854" i="210"/>
  <c r="Q4854" i="210"/>
  <c r="D4855" i="210"/>
  <c r="K4855" i="210"/>
  <c r="L4855" i="210"/>
  <c r="N4855" i="210"/>
  <c r="P4855" i="210"/>
  <c r="Q4855" i="210"/>
  <c r="D4856" i="210"/>
  <c r="K4856" i="210"/>
  <c r="L4856" i="210"/>
  <c r="N4856" i="210"/>
  <c r="P4856" i="210"/>
  <c r="Q4856" i="210"/>
  <c r="D4857" i="210"/>
  <c r="K4857" i="210"/>
  <c r="L4857" i="210"/>
  <c r="N4857" i="210"/>
  <c r="P4857" i="210"/>
  <c r="Q4857" i="210"/>
  <c r="D4858" i="210"/>
  <c r="K4858" i="210"/>
  <c r="L4858" i="210"/>
  <c r="N4858" i="210"/>
  <c r="P4858" i="210"/>
  <c r="Q4858" i="210"/>
  <c r="D4859" i="210"/>
  <c r="K4859" i="210"/>
  <c r="L4859" i="210"/>
  <c r="N4859" i="210"/>
  <c r="P4859" i="210"/>
  <c r="Q4859" i="210"/>
  <c r="D4860" i="210"/>
  <c r="K4860" i="210"/>
  <c r="L4860" i="210"/>
  <c r="N4860" i="210"/>
  <c r="P4860" i="210"/>
  <c r="Q4860" i="210"/>
  <c r="D4861" i="210"/>
  <c r="K4861" i="210"/>
  <c r="L4861" i="210"/>
  <c r="N4861" i="210"/>
  <c r="P4861" i="210"/>
  <c r="Q4861" i="210"/>
  <c r="D4862" i="210"/>
  <c r="K4862" i="210"/>
  <c r="L4862" i="210"/>
  <c r="N4862" i="210"/>
  <c r="P4862" i="210"/>
  <c r="Q4862" i="210"/>
  <c r="D4863" i="210"/>
  <c r="K4863" i="210"/>
  <c r="L4863" i="210"/>
  <c r="N4863" i="210"/>
  <c r="P4863" i="210"/>
  <c r="Q4863" i="210"/>
  <c r="D4864" i="210"/>
  <c r="K4864" i="210"/>
  <c r="L4864" i="210"/>
  <c r="N4864" i="210"/>
  <c r="P4864" i="210"/>
  <c r="Q4864" i="210"/>
  <c r="D4865" i="210"/>
  <c r="K4865" i="210"/>
  <c r="L4865" i="210"/>
  <c r="N4865" i="210"/>
  <c r="P4865" i="210"/>
  <c r="Q4865" i="210"/>
  <c r="D4866" i="210"/>
  <c r="K4866" i="210"/>
  <c r="L4866" i="210"/>
  <c r="N4866" i="210"/>
  <c r="P4866" i="210"/>
  <c r="Q4866" i="210"/>
  <c r="D4867" i="210"/>
  <c r="K4867" i="210"/>
  <c r="L4867" i="210"/>
  <c r="N4867" i="210"/>
  <c r="P4867" i="210"/>
  <c r="Q4867" i="210"/>
  <c r="D4868" i="210"/>
  <c r="K4868" i="210"/>
  <c r="L4868" i="210"/>
  <c r="N4868" i="210"/>
  <c r="P4868" i="210"/>
  <c r="Q4868" i="210"/>
  <c r="D4869" i="210"/>
  <c r="K4869" i="210"/>
  <c r="L4869" i="210"/>
  <c r="N4869" i="210"/>
  <c r="P4869" i="210"/>
  <c r="Q4869" i="210"/>
  <c r="D4870" i="210"/>
  <c r="K4870" i="210"/>
  <c r="L4870" i="210"/>
  <c r="N4870" i="210"/>
  <c r="P4870" i="210"/>
  <c r="Q4870" i="210"/>
  <c r="D4871" i="210"/>
  <c r="K4871" i="210"/>
  <c r="L4871" i="210"/>
  <c r="N4871" i="210"/>
  <c r="P4871" i="210"/>
  <c r="Q4871" i="210"/>
  <c r="D4872" i="210"/>
  <c r="K4872" i="210"/>
  <c r="L4872" i="210"/>
  <c r="N4872" i="210"/>
  <c r="P4872" i="210"/>
  <c r="Q4872" i="210"/>
  <c r="D4873" i="210"/>
  <c r="K4873" i="210"/>
  <c r="L4873" i="210"/>
  <c r="N4873" i="210"/>
  <c r="P4873" i="210"/>
  <c r="Q4873" i="210"/>
  <c r="D4874" i="210"/>
  <c r="K4874" i="210"/>
  <c r="L4874" i="210"/>
  <c r="N4874" i="210"/>
  <c r="P4874" i="210"/>
  <c r="Q4874" i="210"/>
  <c r="D4875" i="210"/>
  <c r="K4875" i="210"/>
  <c r="L4875" i="210"/>
  <c r="N4875" i="210"/>
  <c r="P4875" i="210"/>
  <c r="Q4875" i="210"/>
  <c r="D4876" i="210"/>
  <c r="K4876" i="210"/>
  <c r="L4876" i="210"/>
  <c r="N4876" i="210"/>
  <c r="P4876" i="210"/>
  <c r="Q4876" i="210"/>
  <c r="D4877" i="210"/>
  <c r="K4877" i="210"/>
  <c r="L4877" i="210"/>
  <c r="N4877" i="210"/>
  <c r="P4877" i="210"/>
  <c r="Q4877" i="210"/>
  <c r="D4878" i="210"/>
  <c r="K4878" i="210"/>
  <c r="L4878" i="210"/>
  <c r="N4878" i="210"/>
  <c r="P4878" i="210"/>
  <c r="Q4878" i="210"/>
  <c r="D4879" i="210"/>
  <c r="K4879" i="210"/>
  <c r="L4879" i="210"/>
  <c r="N4879" i="210"/>
  <c r="P4879" i="210"/>
  <c r="Q4879" i="210"/>
  <c r="D4880" i="210"/>
  <c r="K4880" i="210"/>
  <c r="L4880" i="210"/>
  <c r="N4880" i="210"/>
  <c r="P4880" i="210"/>
  <c r="Q4880" i="210"/>
  <c r="D4881" i="210"/>
  <c r="K4881" i="210"/>
  <c r="L4881" i="210"/>
  <c r="N4881" i="210"/>
  <c r="P4881" i="210"/>
  <c r="Q4881" i="210"/>
  <c r="D4882" i="210"/>
  <c r="K4882" i="210"/>
  <c r="L4882" i="210"/>
  <c r="N4882" i="210"/>
  <c r="P4882" i="210"/>
  <c r="Q4882" i="210"/>
  <c r="D4883" i="210"/>
  <c r="K4883" i="210"/>
  <c r="L4883" i="210"/>
  <c r="N4883" i="210"/>
  <c r="P4883" i="210"/>
  <c r="Q4883" i="210"/>
  <c r="D4884" i="210"/>
  <c r="K4884" i="210"/>
  <c r="L4884" i="210"/>
  <c r="N4884" i="210"/>
  <c r="P4884" i="210"/>
  <c r="Q4884" i="210"/>
  <c r="D4885" i="210"/>
  <c r="K4885" i="210"/>
  <c r="L4885" i="210"/>
  <c r="N4885" i="210"/>
  <c r="P4885" i="210"/>
  <c r="Q4885" i="210"/>
  <c r="D4886" i="210"/>
  <c r="K4886" i="210"/>
  <c r="L4886" i="210"/>
  <c r="N4886" i="210"/>
  <c r="P4886" i="210"/>
  <c r="Q4886" i="210"/>
  <c r="C4889" i="210"/>
  <c r="C4890" i="210" s="1"/>
  <c r="C4891" i="210" s="1"/>
  <c r="H4889" i="210"/>
  <c r="E4889" i="210" s="1"/>
  <c r="E4890" i="210" s="1"/>
  <c r="E4891" i="210" s="1"/>
  <c r="I4889" i="210"/>
  <c r="J4889" i="210"/>
  <c r="I4890" i="210"/>
  <c r="I4891" i="210"/>
  <c r="D4893" i="210"/>
  <c r="E4893" i="210"/>
  <c r="E4895" i="210" s="1"/>
  <c r="E4897" i="210" s="1"/>
  <c r="E4899" i="210" s="1"/>
  <c r="E4901" i="210" s="1"/>
  <c r="E4903" i="210" s="1"/>
  <c r="E4905" i="210" s="1"/>
  <c r="E4907" i="210" s="1"/>
  <c r="E4909" i="210" s="1"/>
  <c r="E4911" i="210" s="1"/>
  <c r="E4913" i="210" s="1"/>
  <c r="E4915" i="210" s="1"/>
  <c r="E4917" i="210" s="1"/>
  <c r="E4919" i="210" s="1"/>
  <c r="E4921" i="210" s="1"/>
  <c r="E4923" i="210" s="1"/>
  <c r="E4925" i="210" s="1"/>
  <c r="E4927" i="210" s="1"/>
  <c r="E4929" i="210" s="1"/>
  <c r="E4931" i="210" s="1"/>
  <c r="E4933" i="210" s="1"/>
  <c r="E4935" i="210" s="1"/>
  <c r="K4893" i="210"/>
  <c r="L4893" i="210"/>
  <c r="N4893" i="210"/>
  <c r="P4893" i="210"/>
  <c r="Q4893" i="210"/>
  <c r="D4894" i="210"/>
  <c r="E4894" i="210"/>
  <c r="E4896" i="210" s="1"/>
  <c r="E4898" i="210" s="1"/>
  <c r="E4900" i="210" s="1"/>
  <c r="K4894" i="210"/>
  <c r="L4894" i="210"/>
  <c r="N4894" i="210"/>
  <c r="P4894" i="210"/>
  <c r="Q4894" i="210"/>
  <c r="D4895" i="210"/>
  <c r="K4895" i="210"/>
  <c r="L4895" i="210"/>
  <c r="N4895" i="210"/>
  <c r="P4895" i="210"/>
  <c r="Q4895" i="210"/>
  <c r="D4896" i="210"/>
  <c r="K4896" i="210"/>
  <c r="L4896" i="210"/>
  <c r="N4896" i="210"/>
  <c r="P4896" i="210"/>
  <c r="Q4896" i="210"/>
  <c r="D4897" i="210"/>
  <c r="K4897" i="210"/>
  <c r="L4897" i="210"/>
  <c r="N4897" i="210"/>
  <c r="P4897" i="210"/>
  <c r="Q4897" i="210"/>
  <c r="D4898" i="210"/>
  <c r="K4898" i="210"/>
  <c r="L4898" i="210"/>
  <c r="N4898" i="210"/>
  <c r="P4898" i="210"/>
  <c r="Q4898" i="210"/>
  <c r="D4899" i="210"/>
  <c r="K4899" i="210"/>
  <c r="L4899" i="210"/>
  <c r="N4899" i="210"/>
  <c r="P4899" i="210"/>
  <c r="Q4899" i="210"/>
  <c r="D4900" i="210"/>
  <c r="K4900" i="210"/>
  <c r="L4900" i="210"/>
  <c r="N4900" i="210"/>
  <c r="P4900" i="210"/>
  <c r="Q4900" i="210"/>
  <c r="D4901" i="210"/>
  <c r="K4901" i="210"/>
  <c r="L4901" i="210"/>
  <c r="N4901" i="210"/>
  <c r="P4901" i="210"/>
  <c r="Q4901" i="210"/>
  <c r="D4902" i="210"/>
  <c r="E4902" i="210"/>
  <c r="E4904" i="210" s="1"/>
  <c r="E4906" i="210" s="1"/>
  <c r="E4908" i="210" s="1"/>
  <c r="E4910" i="210" s="1"/>
  <c r="E4912" i="210" s="1"/>
  <c r="E4914" i="210" s="1"/>
  <c r="E4916" i="210" s="1"/>
  <c r="E4918" i="210" s="1"/>
  <c r="E4920" i="210" s="1"/>
  <c r="E4922" i="210" s="1"/>
  <c r="E4924" i="210" s="1"/>
  <c r="E4926" i="210" s="1"/>
  <c r="E4928" i="210" s="1"/>
  <c r="E4930" i="210" s="1"/>
  <c r="E4932" i="210" s="1"/>
  <c r="K4902" i="210"/>
  <c r="L4902" i="210"/>
  <c r="N4902" i="210"/>
  <c r="P4902" i="210"/>
  <c r="Q4902" i="210"/>
  <c r="D4903" i="210"/>
  <c r="K4903" i="210"/>
  <c r="L4903" i="210"/>
  <c r="N4903" i="210"/>
  <c r="P4903" i="210"/>
  <c r="Q4903" i="210"/>
  <c r="D4904" i="210"/>
  <c r="K4904" i="210"/>
  <c r="L4904" i="210"/>
  <c r="N4904" i="210"/>
  <c r="P4904" i="210"/>
  <c r="Q4904" i="210"/>
  <c r="D4905" i="210"/>
  <c r="K4905" i="210"/>
  <c r="L4905" i="210"/>
  <c r="N4905" i="210"/>
  <c r="P4905" i="210"/>
  <c r="Q4905" i="210"/>
  <c r="D4906" i="210"/>
  <c r="K4906" i="210"/>
  <c r="L4906" i="210"/>
  <c r="N4906" i="210"/>
  <c r="P4906" i="210"/>
  <c r="Q4906" i="210"/>
  <c r="D4907" i="210"/>
  <c r="K4907" i="210"/>
  <c r="L4907" i="210"/>
  <c r="N4907" i="210"/>
  <c r="P4907" i="210"/>
  <c r="Q4907" i="210"/>
  <c r="D4908" i="210"/>
  <c r="K4908" i="210"/>
  <c r="L4908" i="210"/>
  <c r="N4908" i="210"/>
  <c r="P4908" i="210"/>
  <c r="Q4908" i="210"/>
  <c r="D4909" i="210"/>
  <c r="K4909" i="210"/>
  <c r="L4909" i="210"/>
  <c r="N4909" i="210"/>
  <c r="P4909" i="210"/>
  <c r="Q4909" i="210"/>
  <c r="D4910" i="210"/>
  <c r="K4910" i="210"/>
  <c r="L4910" i="210"/>
  <c r="N4910" i="210"/>
  <c r="P4910" i="210"/>
  <c r="Q4910" i="210"/>
  <c r="D4911" i="210"/>
  <c r="K4911" i="210"/>
  <c r="L4911" i="210"/>
  <c r="N4911" i="210"/>
  <c r="P4911" i="210"/>
  <c r="Q4911" i="210"/>
  <c r="D4912" i="210"/>
  <c r="K4912" i="210"/>
  <c r="L4912" i="210"/>
  <c r="N4912" i="210"/>
  <c r="P4912" i="210"/>
  <c r="Q4912" i="210"/>
  <c r="D4913" i="210"/>
  <c r="K4913" i="210"/>
  <c r="L4913" i="210"/>
  <c r="N4913" i="210"/>
  <c r="P4913" i="210"/>
  <c r="Q4913" i="210"/>
  <c r="D4914" i="210"/>
  <c r="K4914" i="210"/>
  <c r="L4914" i="210"/>
  <c r="N4914" i="210"/>
  <c r="P4914" i="210"/>
  <c r="Q4914" i="210"/>
  <c r="D4915" i="210"/>
  <c r="K4915" i="210"/>
  <c r="L4915" i="210"/>
  <c r="N4915" i="210"/>
  <c r="P4915" i="210"/>
  <c r="Q4915" i="210"/>
  <c r="D4916" i="210"/>
  <c r="K4916" i="210"/>
  <c r="L4916" i="210"/>
  <c r="N4916" i="210"/>
  <c r="P4916" i="210"/>
  <c r="Q4916" i="210"/>
  <c r="D4917" i="210"/>
  <c r="K4917" i="210"/>
  <c r="L4917" i="210"/>
  <c r="N4917" i="210"/>
  <c r="P4917" i="210"/>
  <c r="Q4917" i="210"/>
  <c r="D4918" i="210"/>
  <c r="K4918" i="210"/>
  <c r="L4918" i="210"/>
  <c r="N4918" i="210"/>
  <c r="P4918" i="210"/>
  <c r="Q4918" i="210"/>
  <c r="D4919" i="210"/>
  <c r="K4919" i="210"/>
  <c r="L4919" i="210"/>
  <c r="N4919" i="210"/>
  <c r="P4919" i="210"/>
  <c r="Q4919" i="210"/>
  <c r="D4920" i="210"/>
  <c r="K4920" i="210"/>
  <c r="L4920" i="210"/>
  <c r="N4920" i="210"/>
  <c r="P4920" i="210"/>
  <c r="Q4920" i="210"/>
  <c r="D4921" i="210"/>
  <c r="K4921" i="210"/>
  <c r="L4921" i="210"/>
  <c r="N4921" i="210"/>
  <c r="P4921" i="210"/>
  <c r="Q4921" i="210"/>
  <c r="D4922" i="210"/>
  <c r="K4922" i="210"/>
  <c r="L4922" i="210"/>
  <c r="N4922" i="210"/>
  <c r="P4922" i="210"/>
  <c r="Q4922" i="210"/>
  <c r="D4923" i="210"/>
  <c r="K4923" i="210"/>
  <c r="L4923" i="210"/>
  <c r="N4923" i="210"/>
  <c r="P4923" i="210"/>
  <c r="Q4923" i="210"/>
  <c r="D4924" i="210"/>
  <c r="K4924" i="210"/>
  <c r="L4924" i="210"/>
  <c r="N4924" i="210"/>
  <c r="P4924" i="210"/>
  <c r="Q4924" i="210"/>
  <c r="D4925" i="210"/>
  <c r="K4925" i="210"/>
  <c r="L4925" i="210"/>
  <c r="N4925" i="210"/>
  <c r="P4925" i="210"/>
  <c r="Q4925" i="210"/>
  <c r="D4926" i="210"/>
  <c r="K4926" i="210"/>
  <c r="L4926" i="210"/>
  <c r="N4926" i="210"/>
  <c r="P4926" i="210"/>
  <c r="Q4926" i="210"/>
  <c r="D4927" i="210"/>
  <c r="K4927" i="210"/>
  <c r="L4927" i="210"/>
  <c r="N4927" i="210"/>
  <c r="P4927" i="210"/>
  <c r="Q4927" i="210"/>
  <c r="D4928" i="210"/>
  <c r="K4928" i="210"/>
  <c r="L4928" i="210"/>
  <c r="N4928" i="210"/>
  <c r="P4928" i="210"/>
  <c r="Q4928" i="210"/>
  <c r="D4929" i="210"/>
  <c r="K4929" i="210"/>
  <c r="L4929" i="210"/>
  <c r="N4929" i="210"/>
  <c r="P4929" i="210"/>
  <c r="Q4929" i="210"/>
  <c r="D4930" i="210"/>
  <c r="K4930" i="210"/>
  <c r="L4930" i="210"/>
  <c r="N4930" i="210"/>
  <c r="P4930" i="210"/>
  <c r="Q4930" i="210"/>
  <c r="D4931" i="210"/>
  <c r="K4931" i="210"/>
  <c r="L4931" i="210"/>
  <c r="N4931" i="210"/>
  <c r="P4931" i="210"/>
  <c r="Q4931" i="210"/>
  <c r="D4932" i="210"/>
  <c r="K4932" i="210"/>
  <c r="L4932" i="210"/>
  <c r="N4932" i="210"/>
  <c r="P4932" i="210"/>
  <c r="Q4932" i="210"/>
  <c r="D4933" i="210"/>
  <c r="K4933" i="210"/>
  <c r="L4933" i="210"/>
  <c r="N4933" i="210"/>
  <c r="P4933" i="210"/>
  <c r="Q4933" i="210"/>
  <c r="D4934" i="210"/>
  <c r="E4934" i="210"/>
  <c r="K4934" i="210"/>
  <c r="L4934" i="210"/>
  <c r="N4934" i="210"/>
  <c r="P4934" i="210"/>
  <c r="Q4934" i="210"/>
  <c r="D4935" i="210"/>
  <c r="K4935" i="210"/>
  <c r="L4935" i="210"/>
  <c r="N4935" i="210"/>
  <c r="P4935" i="210"/>
  <c r="Q4935" i="210"/>
  <c r="C4938" i="210"/>
  <c r="C4939" i="210" s="1"/>
  <c r="C4940" i="210" s="1"/>
  <c r="E4938" i="210"/>
  <c r="E4939" i="210" s="1"/>
  <c r="E4940" i="210" s="1"/>
  <c r="E4942" i="210" s="1"/>
  <c r="E4944" i="210" s="1"/>
  <c r="E4946" i="210" s="1"/>
  <c r="E4948" i="210" s="1"/>
  <c r="E4950" i="210" s="1"/>
  <c r="E4952" i="210" s="1"/>
  <c r="E4954" i="210" s="1"/>
  <c r="E4956" i="210" s="1"/>
  <c r="E4958" i="210" s="1"/>
  <c r="E4960" i="210" s="1"/>
  <c r="E4962" i="210" s="1"/>
  <c r="E4964" i="210" s="1"/>
  <c r="E4966" i="210" s="1"/>
  <c r="E4968" i="210" s="1"/>
  <c r="E4970" i="210" s="1"/>
  <c r="E4972" i="210" s="1"/>
  <c r="E4974" i="210" s="1"/>
  <c r="E4976" i="210" s="1"/>
  <c r="E4978" i="210" s="1"/>
  <c r="E4980" i="210" s="1"/>
  <c r="E4982" i="210" s="1"/>
  <c r="E4984" i="210" s="1"/>
  <c r="E4986" i="210" s="1"/>
  <c r="E4988" i="210" s="1"/>
  <c r="E4990" i="210" s="1"/>
  <c r="E4992" i="210" s="1"/>
  <c r="E4994" i="210" s="1"/>
  <c r="E4996" i="210" s="1"/>
  <c r="E4998" i="210" s="1"/>
  <c r="E5000" i="210" s="1"/>
  <c r="E5002" i="210" s="1"/>
  <c r="E5004" i="210" s="1"/>
  <c r="E5006" i="210" s="1"/>
  <c r="E5008" i="210" s="1"/>
  <c r="E5010" i="210" s="1"/>
  <c r="E5012" i="210" s="1"/>
  <c r="E5014" i="210" s="1"/>
  <c r="E5016" i="210" s="1"/>
  <c r="E5018" i="210" s="1"/>
  <c r="E5020" i="210" s="1"/>
  <c r="E5022" i="210" s="1"/>
  <c r="E5024" i="210" s="1"/>
  <c r="E5026" i="210" s="1"/>
  <c r="H4938" i="210"/>
  <c r="I4938" i="210"/>
  <c r="J4938" i="210"/>
  <c r="I4939" i="210"/>
  <c r="I4940" i="210"/>
  <c r="D4942" i="210"/>
  <c r="K4942" i="210"/>
  <c r="L4942" i="210"/>
  <c r="N4942" i="210"/>
  <c r="P4942" i="210"/>
  <c r="Q4942" i="210"/>
  <c r="D4943" i="210"/>
  <c r="E4943" i="210"/>
  <c r="K4943" i="210"/>
  <c r="L4943" i="210"/>
  <c r="N4943" i="210"/>
  <c r="P4943" i="210"/>
  <c r="Q4943" i="210"/>
  <c r="D4944" i="210"/>
  <c r="K4944" i="210"/>
  <c r="L4944" i="210"/>
  <c r="N4944" i="210"/>
  <c r="P4944" i="210"/>
  <c r="Q4944" i="210"/>
  <c r="D4945" i="210"/>
  <c r="E4945" i="210"/>
  <c r="E4947" i="210" s="1"/>
  <c r="E4949" i="210" s="1"/>
  <c r="E4951" i="210" s="1"/>
  <c r="E4953" i="210" s="1"/>
  <c r="E4955" i="210" s="1"/>
  <c r="E4957" i="210" s="1"/>
  <c r="E4959" i="210" s="1"/>
  <c r="E4961" i="210" s="1"/>
  <c r="E4963" i="210" s="1"/>
  <c r="E4965" i="210" s="1"/>
  <c r="E4967" i="210" s="1"/>
  <c r="E4969" i="210" s="1"/>
  <c r="E4971" i="210" s="1"/>
  <c r="E4973" i="210" s="1"/>
  <c r="E4975" i="210" s="1"/>
  <c r="E4977" i="210" s="1"/>
  <c r="E4979" i="210" s="1"/>
  <c r="E4981" i="210" s="1"/>
  <c r="E4983" i="210" s="1"/>
  <c r="E4985" i="210" s="1"/>
  <c r="E4987" i="210" s="1"/>
  <c r="E4989" i="210" s="1"/>
  <c r="E4991" i="210" s="1"/>
  <c r="E4993" i="210" s="1"/>
  <c r="E4995" i="210" s="1"/>
  <c r="E4997" i="210" s="1"/>
  <c r="E4999" i="210" s="1"/>
  <c r="E5001" i="210" s="1"/>
  <c r="E5003" i="210" s="1"/>
  <c r="E5005" i="210" s="1"/>
  <c r="E5007" i="210" s="1"/>
  <c r="E5009" i="210" s="1"/>
  <c r="E5011" i="210" s="1"/>
  <c r="E5013" i="210" s="1"/>
  <c r="E5015" i="210" s="1"/>
  <c r="E5017" i="210" s="1"/>
  <c r="E5019" i="210" s="1"/>
  <c r="E5021" i="210" s="1"/>
  <c r="E5023" i="210" s="1"/>
  <c r="E5025" i="210" s="1"/>
  <c r="E5027" i="210" s="1"/>
  <c r="K4945" i="210"/>
  <c r="L4945" i="210"/>
  <c r="N4945" i="210"/>
  <c r="P4945" i="210"/>
  <c r="Q4945" i="210"/>
  <c r="D4946" i="210"/>
  <c r="K4946" i="210"/>
  <c r="L4946" i="210"/>
  <c r="N4946" i="210"/>
  <c r="P4946" i="210"/>
  <c r="Q4946" i="210"/>
  <c r="D4947" i="210"/>
  <c r="K4947" i="210"/>
  <c r="L4947" i="210"/>
  <c r="N4947" i="210"/>
  <c r="P4947" i="210"/>
  <c r="Q4947" i="210"/>
  <c r="D4948" i="210"/>
  <c r="K4948" i="210"/>
  <c r="L4948" i="210"/>
  <c r="N4948" i="210"/>
  <c r="P4948" i="210"/>
  <c r="Q4948" i="210"/>
  <c r="D4949" i="210"/>
  <c r="K4949" i="210"/>
  <c r="L4949" i="210"/>
  <c r="N4949" i="210"/>
  <c r="P4949" i="210"/>
  <c r="Q4949" i="210"/>
  <c r="D4950" i="210"/>
  <c r="K4950" i="210"/>
  <c r="L4950" i="210"/>
  <c r="N4950" i="210"/>
  <c r="P4950" i="210"/>
  <c r="Q4950" i="210"/>
  <c r="D4951" i="210"/>
  <c r="K4951" i="210"/>
  <c r="L4951" i="210"/>
  <c r="N4951" i="210"/>
  <c r="P4951" i="210"/>
  <c r="Q4951" i="210"/>
  <c r="D4952" i="210"/>
  <c r="K4952" i="210"/>
  <c r="L4952" i="210"/>
  <c r="N4952" i="210"/>
  <c r="P4952" i="210"/>
  <c r="Q4952" i="210"/>
  <c r="D4953" i="210"/>
  <c r="K4953" i="210"/>
  <c r="L4953" i="210"/>
  <c r="N4953" i="210"/>
  <c r="P4953" i="210"/>
  <c r="Q4953" i="210"/>
  <c r="D4954" i="210"/>
  <c r="K4954" i="210"/>
  <c r="L4954" i="210"/>
  <c r="N4954" i="210"/>
  <c r="P4954" i="210"/>
  <c r="Q4954" i="210"/>
  <c r="D4955" i="210"/>
  <c r="K4955" i="210"/>
  <c r="L4955" i="210"/>
  <c r="N4955" i="210"/>
  <c r="P4955" i="210"/>
  <c r="Q4955" i="210"/>
  <c r="D4956" i="210"/>
  <c r="K4956" i="210"/>
  <c r="L4956" i="210"/>
  <c r="N4956" i="210"/>
  <c r="P4956" i="210"/>
  <c r="Q4956" i="210"/>
  <c r="D4957" i="210"/>
  <c r="K4957" i="210"/>
  <c r="L4957" i="210"/>
  <c r="N4957" i="210"/>
  <c r="P4957" i="210"/>
  <c r="Q4957" i="210"/>
  <c r="D4958" i="210"/>
  <c r="K4958" i="210"/>
  <c r="L4958" i="210"/>
  <c r="N4958" i="210"/>
  <c r="P4958" i="210"/>
  <c r="Q4958" i="210"/>
  <c r="D4959" i="210"/>
  <c r="K4959" i="210"/>
  <c r="L4959" i="210"/>
  <c r="N4959" i="210"/>
  <c r="P4959" i="210"/>
  <c r="Q4959" i="210"/>
  <c r="D4960" i="210"/>
  <c r="K4960" i="210"/>
  <c r="L4960" i="210"/>
  <c r="N4960" i="210"/>
  <c r="P4960" i="210"/>
  <c r="Q4960" i="210"/>
  <c r="D4961" i="210"/>
  <c r="K4961" i="210"/>
  <c r="L4961" i="210"/>
  <c r="N4961" i="210"/>
  <c r="P4961" i="210"/>
  <c r="Q4961" i="210"/>
  <c r="D4962" i="210"/>
  <c r="K4962" i="210"/>
  <c r="L4962" i="210"/>
  <c r="N4962" i="210"/>
  <c r="P4962" i="210"/>
  <c r="Q4962" i="210"/>
  <c r="D4963" i="210"/>
  <c r="K4963" i="210"/>
  <c r="L4963" i="210"/>
  <c r="N4963" i="210"/>
  <c r="P4963" i="210"/>
  <c r="Q4963" i="210"/>
  <c r="D4964" i="210"/>
  <c r="K4964" i="210"/>
  <c r="L4964" i="210"/>
  <c r="N4964" i="210"/>
  <c r="P4964" i="210"/>
  <c r="Q4964" i="210"/>
  <c r="D4965" i="210"/>
  <c r="K4965" i="210"/>
  <c r="L4965" i="210"/>
  <c r="N4965" i="210"/>
  <c r="P4965" i="210"/>
  <c r="Q4965" i="210"/>
  <c r="D4966" i="210"/>
  <c r="K4966" i="210"/>
  <c r="L4966" i="210"/>
  <c r="N4966" i="210"/>
  <c r="P4966" i="210"/>
  <c r="Q4966" i="210"/>
  <c r="D4967" i="210"/>
  <c r="K4967" i="210"/>
  <c r="L4967" i="210"/>
  <c r="N4967" i="210"/>
  <c r="P4967" i="210"/>
  <c r="Q4967" i="210"/>
  <c r="D4968" i="210"/>
  <c r="K4968" i="210"/>
  <c r="L4968" i="210"/>
  <c r="N4968" i="210"/>
  <c r="P4968" i="210"/>
  <c r="Q4968" i="210"/>
  <c r="D4969" i="210"/>
  <c r="K4969" i="210"/>
  <c r="L4969" i="210"/>
  <c r="N4969" i="210"/>
  <c r="P4969" i="210"/>
  <c r="Q4969" i="210"/>
  <c r="D4970" i="210"/>
  <c r="K4970" i="210"/>
  <c r="L4970" i="210"/>
  <c r="N4970" i="210"/>
  <c r="P4970" i="210"/>
  <c r="Q4970" i="210"/>
  <c r="D4971" i="210"/>
  <c r="K4971" i="210"/>
  <c r="L4971" i="210"/>
  <c r="N4971" i="210"/>
  <c r="P4971" i="210"/>
  <c r="Q4971" i="210"/>
  <c r="D4972" i="210"/>
  <c r="K4972" i="210"/>
  <c r="L4972" i="210"/>
  <c r="N4972" i="210"/>
  <c r="P4972" i="210"/>
  <c r="Q4972" i="210"/>
  <c r="D4973" i="210"/>
  <c r="K4973" i="210"/>
  <c r="L4973" i="210"/>
  <c r="N4973" i="210"/>
  <c r="P4973" i="210"/>
  <c r="Q4973" i="210"/>
  <c r="D4974" i="210"/>
  <c r="K4974" i="210"/>
  <c r="L4974" i="210"/>
  <c r="N4974" i="210"/>
  <c r="P4974" i="210"/>
  <c r="Q4974" i="210"/>
  <c r="D4975" i="210"/>
  <c r="K4975" i="210"/>
  <c r="L4975" i="210"/>
  <c r="N4975" i="210"/>
  <c r="P4975" i="210"/>
  <c r="Q4975" i="210"/>
  <c r="D4976" i="210"/>
  <c r="K4976" i="210"/>
  <c r="L4976" i="210"/>
  <c r="N4976" i="210"/>
  <c r="P4976" i="210"/>
  <c r="Q4976" i="210"/>
  <c r="D4977" i="210"/>
  <c r="K4977" i="210"/>
  <c r="L4977" i="210"/>
  <c r="N4977" i="210"/>
  <c r="P4977" i="210"/>
  <c r="Q4977" i="210"/>
  <c r="D4978" i="210"/>
  <c r="K4978" i="210"/>
  <c r="L4978" i="210"/>
  <c r="N4978" i="210"/>
  <c r="P4978" i="210"/>
  <c r="Q4978" i="210"/>
  <c r="D4979" i="210"/>
  <c r="K4979" i="210"/>
  <c r="L4979" i="210"/>
  <c r="N4979" i="210"/>
  <c r="P4979" i="210"/>
  <c r="Q4979" i="210"/>
  <c r="D4980" i="210"/>
  <c r="K4980" i="210"/>
  <c r="L4980" i="210"/>
  <c r="N4980" i="210"/>
  <c r="P4980" i="210"/>
  <c r="Q4980" i="210"/>
  <c r="D4981" i="210"/>
  <c r="K4981" i="210"/>
  <c r="L4981" i="210"/>
  <c r="N4981" i="210"/>
  <c r="P4981" i="210"/>
  <c r="Q4981" i="210"/>
  <c r="D4982" i="210"/>
  <c r="K4982" i="210"/>
  <c r="L4982" i="210"/>
  <c r="N4982" i="210"/>
  <c r="P4982" i="210"/>
  <c r="Q4982" i="210"/>
  <c r="D4983" i="210"/>
  <c r="K4983" i="210"/>
  <c r="L4983" i="210"/>
  <c r="N4983" i="210"/>
  <c r="P4983" i="210"/>
  <c r="Q4983" i="210"/>
  <c r="D4984" i="210"/>
  <c r="K4984" i="210"/>
  <c r="L4984" i="210"/>
  <c r="N4984" i="210"/>
  <c r="P4984" i="210"/>
  <c r="Q4984" i="210"/>
  <c r="D4985" i="210"/>
  <c r="K4985" i="210"/>
  <c r="L4985" i="210"/>
  <c r="N4985" i="210"/>
  <c r="P4985" i="210"/>
  <c r="Q4985" i="210"/>
  <c r="D4986" i="210"/>
  <c r="K4986" i="210"/>
  <c r="L4986" i="210"/>
  <c r="N4986" i="210"/>
  <c r="P4986" i="210"/>
  <c r="Q4986" i="210"/>
  <c r="D4987" i="210"/>
  <c r="K4987" i="210"/>
  <c r="L4987" i="210"/>
  <c r="N4987" i="210"/>
  <c r="P4987" i="210"/>
  <c r="Q4987" i="210"/>
  <c r="D4988" i="210"/>
  <c r="K4988" i="210"/>
  <c r="L4988" i="210"/>
  <c r="N4988" i="210"/>
  <c r="P4988" i="210"/>
  <c r="Q4988" i="210"/>
  <c r="D4989" i="210"/>
  <c r="K4989" i="210"/>
  <c r="L4989" i="210"/>
  <c r="N4989" i="210"/>
  <c r="P4989" i="210"/>
  <c r="Q4989" i="210"/>
  <c r="D4990" i="210"/>
  <c r="K4990" i="210"/>
  <c r="L4990" i="210"/>
  <c r="N4990" i="210"/>
  <c r="P4990" i="210"/>
  <c r="Q4990" i="210"/>
  <c r="D4991" i="210"/>
  <c r="K4991" i="210"/>
  <c r="L4991" i="210"/>
  <c r="N4991" i="210"/>
  <c r="P4991" i="210"/>
  <c r="Q4991" i="210"/>
  <c r="D4992" i="210"/>
  <c r="K4992" i="210"/>
  <c r="L4992" i="210"/>
  <c r="N4992" i="210"/>
  <c r="P4992" i="210"/>
  <c r="Q4992" i="210"/>
  <c r="D4993" i="210"/>
  <c r="K4993" i="210"/>
  <c r="L4993" i="210"/>
  <c r="N4993" i="210"/>
  <c r="P4993" i="210"/>
  <c r="Q4993" i="210"/>
  <c r="D4994" i="210"/>
  <c r="K4994" i="210"/>
  <c r="L4994" i="210"/>
  <c r="N4994" i="210"/>
  <c r="P4994" i="210"/>
  <c r="Q4994" i="210"/>
  <c r="D4995" i="210"/>
  <c r="K4995" i="210"/>
  <c r="L4995" i="210"/>
  <c r="N4995" i="210"/>
  <c r="P4995" i="210"/>
  <c r="Q4995" i="210"/>
  <c r="D4996" i="210"/>
  <c r="K4996" i="210"/>
  <c r="L4996" i="210"/>
  <c r="N4996" i="210"/>
  <c r="P4996" i="210"/>
  <c r="Q4996" i="210"/>
  <c r="D4997" i="210"/>
  <c r="K4997" i="210"/>
  <c r="L4997" i="210"/>
  <c r="N4997" i="210"/>
  <c r="P4997" i="210"/>
  <c r="Q4997" i="210"/>
  <c r="D4998" i="210"/>
  <c r="K4998" i="210"/>
  <c r="L4998" i="210"/>
  <c r="N4998" i="210"/>
  <c r="P4998" i="210"/>
  <c r="Q4998" i="210"/>
  <c r="D4999" i="210"/>
  <c r="K4999" i="210"/>
  <c r="L4999" i="210"/>
  <c r="N4999" i="210"/>
  <c r="P4999" i="210"/>
  <c r="Q4999" i="210"/>
  <c r="D5000" i="210"/>
  <c r="K5000" i="210"/>
  <c r="L5000" i="210"/>
  <c r="N5000" i="210"/>
  <c r="P5000" i="210"/>
  <c r="Q5000" i="210"/>
  <c r="D5001" i="210"/>
  <c r="K5001" i="210"/>
  <c r="L5001" i="210"/>
  <c r="N5001" i="210"/>
  <c r="P5001" i="210"/>
  <c r="Q5001" i="210"/>
  <c r="D5002" i="210"/>
  <c r="K5002" i="210"/>
  <c r="L5002" i="210"/>
  <c r="N5002" i="210"/>
  <c r="P5002" i="210"/>
  <c r="Q5002" i="210"/>
  <c r="D5003" i="210"/>
  <c r="K5003" i="210"/>
  <c r="L5003" i="210"/>
  <c r="N5003" i="210"/>
  <c r="P5003" i="210"/>
  <c r="Q5003" i="210"/>
  <c r="D5004" i="210"/>
  <c r="K5004" i="210"/>
  <c r="L5004" i="210"/>
  <c r="N5004" i="210"/>
  <c r="P5004" i="210"/>
  <c r="Q5004" i="210"/>
  <c r="D5005" i="210"/>
  <c r="K5005" i="210"/>
  <c r="L5005" i="210"/>
  <c r="N5005" i="210"/>
  <c r="P5005" i="210"/>
  <c r="Q5005" i="210"/>
  <c r="D5006" i="210"/>
  <c r="K5006" i="210"/>
  <c r="L5006" i="210"/>
  <c r="N5006" i="210"/>
  <c r="P5006" i="210"/>
  <c r="Q5006" i="210"/>
  <c r="D5007" i="210"/>
  <c r="K5007" i="210"/>
  <c r="L5007" i="210"/>
  <c r="N5007" i="210"/>
  <c r="P5007" i="210"/>
  <c r="Q5007" i="210"/>
  <c r="D5008" i="210"/>
  <c r="K5008" i="210"/>
  <c r="L5008" i="210"/>
  <c r="N5008" i="210"/>
  <c r="P5008" i="210"/>
  <c r="Q5008" i="210"/>
  <c r="D5009" i="210"/>
  <c r="K5009" i="210"/>
  <c r="L5009" i="210"/>
  <c r="N5009" i="210"/>
  <c r="P5009" i="210"/>
  <c r="Q5009" i="210"/>
  <c r="D5010" i="210"/>
  <c r="K5010" i="210"/>
  <c r="L5010" i="210"/>
  <c r="N5010" i="210"/>
  <c r="P5010" i="210"/>
  <c r="Q5010" i="210"/>
  <c r="D5011" i="210"/>
  <c r="K5011" i="210"/>
  <c r="L5011" i="210"/>
  <c r="N5011" i="210"/>
  <c r="P5011" i="210"/>
  <c r="Q5011" i="210"/>
  <c r="D5012" i="210"/>
  <c r="K5012" i="210"/>
  <c r="L5012" i="210"/>
  <c r="N5012" i="210"/>
  <c r="P5012" i="210"/>
  <c r="Q5012" i="210"/>
  <c r="D5013" i="210"/>
  <c r="K5013" i="210"/>
  <c r="L5013" i="210"/>
  <c r="N5013" i="210"/>
  <c r="P5013" i="210"/>
  <c r="Q5013" i="210"/>
  <c r="D5014" i="210"/>
  <c r="K5014" i="210"/>
  <c r="L5014" i="210"/>
  <c r="N5014" i="210"/>
  <c r="P5014" i="210"/>
  <c r="Q5014" i="210"/>
  <c r="D5015" i="210"/>
  <c r="K5015" i="210"/>
  <c r="L5015" i="210"/>
  <c r="N5015" i="210"/>
  <c r="P5015" i="210"/>
  <c r="Q5015" i="210"/>
  <c r="D5016" i="210"/>
  <c r="K5016" i="210"/>
  <c r="L5016" i="210"/>
  <c r="N5016" i="210"/>
  <c r="P5016" i="210"/>
  <c r="Q5016" i="210"/>
  <c r="D5017" i="210"/>
  <c r="K5017" i="210"/>
  <c r="L5017" i="210"/>
  <c r="N5017" i="210"/>
  <c r="P5017" i="210"/>
  <c r="Q5017" i="210"/>
  <c r="D5018" i="210"/>
  <c r="K5018" i="210"/>
  <c r="L5018" i="210"/>
  <c r="N5018" i="210"/>
  <c r="P5018" i="210"/>
  <c r="Q5018" i="210"/>
  <c r="D5019" i="210"/>
  <c r="K5019" i="210"/>
  <c r="L5019" i="210"/>
  <c r="N5019" i="210"/>
  <c r="P5019" i="210"/>
  <c r="Q5019" i="210"/>
  <c r="D5020" i="210"/>
  <c r="K5020" i="210"/>
  <c r="L5020" i="210"/>
  <c r="N5020" i="210"/>
  <c r="P5020" i="210"/>
  <c r="Q5020" i="210"/>
  <c r="D5021" i="210"/>
  <c r="K5021" i="210"/>
  <c r="L5021" i="210"/>
  <c r="N5021" i="210"/>
  <c r="P5021" i="210"/>
  <c r="Q5021" i="210"/>
  <c r="D5022" i="210"/>
  <c r="K5022" i="210"/>
  <c r="L5022" i="210"/>
  <c r="N5022" i="210"/>
  <c r="P5022" i="210"/>
  <c r="Q5022" i="210"/>
  <c r="D5023" i="210"/>
  <c r="K5023" i="210"/>
  <c r="L5023" i="210"/>
  <c r="N5023" i="210"/>
  <c r="P5023" i="210"/>
  <c r="Q5023" i="210"/>
  <c r="D5024" i="210"/>
  <c r="K5024" i="210"/>
  <c r="L5024" i="210"/>
  <c r="N5024" i="210"/>
  <c r="P5024" i="210"/>
  <c r="Q5024" i="210"/>
  <c r="D5025" i="210"/>
  <c r="K5025" i="210"/>
  <c r="L5025" i="210"/>
  <c r="N5025" i="210"/>
  <c r="P5025" i="210"/>
  <c r="Q5025" i="210"/>
  <c r="D5026" i="210"/>
  <c r="K5026" i="210"/>
  <c r="L5026" i="210"/>
  <c r="N5026" i="210"/>
  <c r="P5026" i="210"/>
  <c r="Q5026" i="210"/>
  <c r="D5027" i="210"/>
  <c r="K5027" i="210"/>
  <c r="L5027" i="210"/>
  <c r="N5027" i="210"/>
  <c r="P5027" i="210"/>
  <c r="Q5027" i="210"/>
  <c r="C5030" i="210"/>
  <c r="E5030" i="210"/>
  <c r="E5031" i="210" s="1"/>
  <c r="E5032" i="210" s="1"/>
  <c r="E5034" i="210" s="1"/>
  <c r="E5036" i="210" s="1"/>
  <c r="E5038" i="210" s="1"/>
  <c r="E5040" i="210" s="1"/>
  <c r="E5042" i="210" s="1"/>
  <c r="E5044" i="210" s="1"/>
  <c r="E5046" i="210" s="1"/>
  <c r="E5048" i="210" s="1"/>
  <c r="E5050" i="210" s="1"/>
  <c r="E5052" i="210" s="1"/>
  <c r="E5054" i="210" s="1"/>
  <c r="E5056" i="210" s="1"/>
  <c r="E5058" i="210" s="1"/>
  <c r="E5060" i="210" s="1"/>
  <c r="E5062" i="210" s="1"/>
  <c r="E5064" i="210" s="1"/>
  <c r="E5066" i="210" s="1"/>
  <c r="E5068" i="210" s="1"/>
  <c r="H5030" i="210"/>
  <c r="I5030" i="210"/>
  <c r="J5030" i="210"/>
  <c r="C5031" i="210"/>
  <c r="I5031" i="210"/>
  <c r="C5032" i="210"/>
  <c r="I5032" i="210"/>
  <c r="D5034" i="210"/>
  <c r="K5034" i="210"/>
  <c r="L5034" i="210"/>
  <c r="N5034" i="210"/>
  <c r="P5034" i="210"/>
  <c r="Q5034" i="210"/>
  <c r="D5035" i="210"/>
  <c r="E5035" i="210"/>
  <c r="E5037" i="210" s="1"/>
  <c r="E5039" i="210" s="1"/>
  <c r="E5041" i="210" s="1"/>
  <c r="E5043" i="210" s="1"/>
  <c r="E5045" i="210" s="1"/>
  <c r="E5047" i="210" s="1"/>
  <c r="E5049" i="210" s="1"/>
  <c r="E5051" i="210" s="1"/>
  <c r="E5053" i="210" s="1"/>
  <c r="E5055" i="210" s="1"/>
  <c r="E5057" i="210" s="1"/>
  <c r="E5059" i="210" s="1"/>
  <c r="E5061" i="210" s="1"/>
  <c r="E5063" i="210" s="1"/>
  <c r="E5065" i="210" s="1"/>
  <c r="E5067" i="210" s="1"/>
  <c r="K5035" i="210"/>
  <c r="L5035" i="210"/>
  <c r="N5035" i="210"/>
  <c r="P5035" i="210"/>
  <c r="Q5035" i="210"/>
  <c r="D5036" i="210"/>
  <c r="K5036" i="210"/>
  <c r="L5036" i="210"/>
  <c r="N5036" i="210"/>
  <c r="P5036" i="210"/>
  <c r="Q5036" i="210"/>
  <c r="D5037" i="210"/>
  <c r="K5037" i="210"/>
  <c r="L5037" i="210"/>
  <c r="N5037" i="210"/>
  <c r="P5037" i="210"/>
  <c r="Q5037" i="210"/>
  <c r="D5038" i="210"/>
  <c r="K5038" i="210"/>
  <c r="L5038" i="210"/>
  <c r="N5038" i="210"/>
  <c r="P5038" i="210"/>
  <c r="Q5038" i="210"/>
  <c r="D5039" i="210"/>
  <c r="K5039" i="210"/>
  <c r="L5039" i="210"/>
  <c r="N5039" i="210"/>
  <c r="P5039" i="210"/>
  <c r="Q5039" i="210"/>
  <c r="D5040" i="210"/>
  <c r="K5040" i="210"/>
  <c r="L5040" i="210"/>
  <c r="N5040" i="210"/>
  <c r="P5040" i="210"/>
  <c r="Q5040" i="210"/>
  <c r="D5041" i="210"/>
  <c r="K5041" i="210"/>
  <c r="L5041" i="210"/>
  <c r="N5041" i="210"/>
  <c r="P5041" i="210"/>
  <c r="Q5041" i="210"/>
  <c r="D5042" i="210"/>
  <c r="K5042" i="210"/>
  <c r="L5042" i="210"/>
  <c r="N5042" i="210"/>
  <c r="P5042" i="210"/>
  <c r="Q5042" i="210"/>
  <c r="D5043" i="210"/>
  <c r="K5043" i="210"/>
  <c r="L5043" i="210"/>
  <c r="N5043" i="210"/>
  <c r="P5043" i="210"/>
  <c r="Q5043" i="210"/>
  <c r="D5044" i="210"/>
  <c r="K5044" i="210"/>
  <c r="L5044" i="210"/>
  <c r="N5044" i="210"/>
  <c r="P5044" i="210"/>
  <c r="Q5044" i="210"/>
  <c r="D5045" i="210"/>
  <c r="K5045" i="210"/>
  <c r="L5045" i="210"/>
  <c r="N5045" i="210"/>
  <c r="P5045" i="210"/>
  <c r="Q5045" i="210"/>
  <c r="D5046" i="210"/>
  <c r="K5046" i="210"/>
  <c r="L5046" i="210"/>
  <c r="N5046" i="210"/>
  <c r="P5046" i="210"/>
  <c r="Q5046" i="210"/>
  <c r="D5047" i="210"/>
  <c r="K5047" i="210"/>
  <c r="L5047" i="210"/>
  <c r="N5047" i="210"/>
  <c r="P5047" i="210"/>
  <c r="Q5047" i="210"/>
  <c r="D5048" i="210"/>
  <c r="K5048" i="210"/>
  <c r="L5048" i="210"/>
  <c r="N5048" i="210"/>
  <c r="P5048" i="210"/>
  <c r="Q5048" i="210"/>
  <c r="D5049" i="210"/>
  <c r="K5049" i="210"/>
  <c r="L5049" i="210"/>
  <c r="N5049" i="210"/>
  <c r="P5049" i="210"/>
  <c r="Q5049" i="210"/>
  <c r="D5050" i="210"/>
  <c r="K5050" i="210"/>
  <c r="L5050" i="210"/>
  <c r="N5050" i="210"/>
  <c r="P5050" i="210"/>
  <c r="Q5050" i="210"/>
  <c r="D5051" i="210"/>
  <c r="K5051" i="210"/>
  <c r="L5051" i="210"/>
  <c r="N5051" i="210"/>
  <c r="P5051" i="210"/>
  <c r="Q5051" i="210"/>
  <c r="D5052" i="210"/>
  <c r="K5052" i="210"/>
  <c r="L5052" i="210"/>
  <c r="N5052" i="210"/>
  <c r="P5052" i="210"/>
  <c r="Q5052" i="210"/>
  <c r="D5053" i="210"/>
  <c r="K5053" i="210"/>
  <c r="L5053" i="210"/>
  <c r="N5053" i="210"/>
  <c r="P5053" i="210"/>
  <c r="Q5053" i="210"/>
  <c r="D5054" i="210"/>
  <c r="K5054" i="210"/>
  <c r="L5054" i="210"/>
  <c r="N5054" i="210"/>
  <c r="P5054" i="210"/>
  <c r="Q5054" i="210"/>
  <c r="D5055" i="210"/>
  <c r="K5055" i="210"/>
  <c r="L5055" i="210"/>
  <c r="N5055" i="210"/>
  <c r="P5055" i="210"/>
  <c r="Q5055" i="210"/>
  <c r="D5056" i="210"/>
  <c r="K5056" i="210"/>
  <c r="L5056" i="210"/>
  <c r="N5056" i="210"/>
  <c r="P5056" i="210"/>
  <c r="Q5056" i="210"/>
  <c r="D5057" i="210"/>
  <c r="K5057" i="210"/>
  <c r="L5057" i="210"/>
  <c r="N5057" i="210"/>
  <c r="P5057" i="210"/>
  <c r="Q5057" i="210"/>
  <c r="D5058" i="210"/>
  <c r="K5058" i="210"/>
  <c r="L5058" i="210"/>
  <c r="N5058" i="210"/>
  <c r="P5058" i="210"/>
  <c r="Q5058" i="210"/>
  <c r="D5059" i="210"/>
  <c r="K5059" i="210"/>
  <c r="L5059" i="210"/>
  <c r="N5059" i="210"/>
  <c r="P5059" i="210"/>
  <c r="Q5059" i="210"/>
  <c r="D5060" i="210"/>
  <c r="K5060" i="210"/>
  <c r="L5060" i="210"/>
  <c r="N5060" i="210"/>
  <c r="P5060" i="210"/>
  <c r="Q5060" i="210"/>
  <c r="D5061" i="210"/>
  <c r="K5061" i="210"/>
  <c r="L5061" i="210"/>
  <c r="N5061" i="210"/>
  <c r="P5061" i="210"/>
  <c r="Q5061" i="210"/>
  <c r="D5062" i="210"/>
  <c r="K5062" i="210"/>
  <c r="L5062" i="210"/>
  <c r="N5062" i="210"/>
  <c r="P5062" i="210"/>
  <c r="Q5062" i="210"/>
  <c r="D5063" i="210"/>
  <c r="K5063" i="210"/>
  <c r="L5063" i="210"/>
  <c r="N5063" i="210"/>
  <c r="P5063" i="210"/>
  <c r="Q5063" i="210"/>
  <c r="D5064" i="210"/>
  <c r="K5064" i="210"/>
  <c r="L5064" i="210"/>
  <c r="N5064" i="210"/>
  <c r="P5064" i="210"/>
  <c r="Q5064" i="210"/>
  <c r="D5065" i="210"/>
  <c r="K5065" i="210"/>
  <c r="L5065" i="210"/>
  <c r="N5065" i="210"/>
  <c r="P5065" i="210"/>
  <c r="Q5065" i="210"/>
  <c r="D5066" i="210"/>
  <c r="K5066" i="210"/>
  <c r="L5066" i="210"/>
  <c r="N5066" i="210"/>
  <c r="P5066" i="210"/>
  <c r="Q5066" i="210"/>
  <c r="D5067" i="210"/>
  <c r="K5067" i="210"/>
  <c r="L5067" i="210"/>
  <c r="N5067" i="210"/>
  <c r="P5067" i="210"/>
  <c r="Q5067" i="210"/>
  <c r="D5068" i="210"/>
  <c r="K5068" i="210"/>
  <c r="L5068" i="210"/>
  <c r="N5068" i="210"/>
  <c r="P5068" i="210"/>
  <c r="Q5068" i="210"/>
  <c r="C5071" i="210"/>
  <c r="H5071" i="210"/>
  <c r="E5071" i="210" s="1"/>
  <c r="E5072" i="210" s="1"/>
  <c r="E5073" i="210" s="1"/>
  <c r="E5075" i="210" s="1"/>
  <c r="E5077" i="210" s="1"/>
  <c r="E5079" i="210" s="1"/>
  <c r="E5081" i="210" s="1"/>
  <c r="E5083" i="210" s="1"/>
  <c r="E5085" i="210" s="1"/>
  <c r="E5087" i="210" s="1"/>
  <c r="E5089" i="210" s="1"/>
  <c r="E5091" i="210" s="1"/>
  <c r="E5093" i="210" s="1"/>
  <c r="E5095" i="210" s="1"/>
  <c r="E5097" i="210" s="1"/>
  <c r="E5099" i="210" s="1"/>
  <c r="E5101" i="210" s="1"/>
  <c r="E5103" i="210" s="1"/>
  <c r="E5105" i="210" s="1"/>
  <c r="E5107" i="210" s="1"/>
  <c r="E5109" i="210" s="1"/>
  <c r="E5111" i="210" s="1"/>
  <c r="E5113" i="210" s="1"/>
  <c r="E5115" i="210" s="1"/>
  <c r="E5117" i="210" s="1"/>
  <c r="E5119" i="210" s="1"/>
  <c r="E5121" i="210" s="1"/>
  <c r="E5123" i="210" s="1"/>
  <c r="E5125" i="210" s="1"/>
  <c r="E5127" i="210" s="1"/>
  <c r="E5129" i="210" s="1"/>
  <c r="E5131" i="210" s="1"/>
  <c r="E5133" i="210" s="1"/>
  <c r="E5135" i="210" s="1"/>
  <c r="E5137" i="210" s="1"/>
  <c r="E5139" i="210" s="1"/>
  <c r="E5141" i="210" s="1"/>
  <c r="E5143" i="210" s="1"/>
  <c r="E5145" i="210" s="1"/>
  <c r="E5147" i="210" s="1"/>
  <c r="E5149" i="210" s="1"/>
  <c r="E5151" i="210" s="1"/>
  <c r="E5153" i="210" s="1"/>
  <c r="E5155" i="210" s="1"/>
  <c r="E5157" i="210" s="1"/>
  <c r="E5159" i="210" s="1"/>
  <c r="E5161" i="210" s="1"/>
  <c r="E5163" i="210" s="1"/>
  <c r="E5165" i="210" s="1"/>
  <c r="E5167" i="210" s="1"/>
  <c r="E5169" i="210" s="1"/>
  <c r="E5171" i="210" s="1"/>
  <c r="E5173" i="210" s="1"/>
  <c r="E5175" i="210" s="1"/>
  <c r="E5177" i="210" s="1"/>
  <c r="E5179" i="210" s="1"/>
  <c r="E5181" i="210" s="1"/>
  <c r="E5183" i="210" s="1"/>
  <c r="E5185" i="210" s="1"/>
  <c r="E5187" i="210" s="1"/>
  <c r="E5189" i="210" s="1"/>
  <c r="E5191" i="210" s="1"/>
  <c r="E5193" i="210" s="1"/>
  <c r="E5195" i="210" s="1"/>
  <c r="E5197" i="210" s="1"/>
  <c r="E5199" i="210" s="1"/>
  <c r="E5201" i="210" s="1"/>
  <c r="E5203" i="210" s="1"/>
  <c r="E5205" i="210" s="1"/>
  <c r="E5207" i="210" s="1"/>
  <c r="E5209" i="210" s="1"/>
  <c r="E5211" i="210" s="1"/>
  <c r="E5213" i="210" s="1"/>
  <c r="I5071" i="210"/>
  <c r="J5071" i="210"/>
  <c r="C5072" i="210"/>
  <c r="C5073" i="210" s="1"/>
  <c r="I5072" i="210"/>
  <c r="I5073" i="210"/>
  <c r="D5075" i="210"/>
  <c r="K5075" i="210"/>
  <c r="L5075" i="210"/>
  <c r="N5075" i="210"/>
  <c r="P5075" i="210"/>
  <c r="Q5075" i="210"/>
  <c r="D5076" i="210"/>
  <c r="E5076" i="210"/>
  <c r="E5078" i="210" s="1"/>
  <c r="E5080" i="210" s="1"/>
  <c r="E5082" i="210" s="1"/>
  <c r="K5076" i="210"/>
  <c r="L5076" i="210"/>
  <c r="N5076" i="210"/>
  <c r="P5076" i="210"/>
  <c r="Q5076" i="210"/>
  <c r="D5077" i="210"/>
  <c r="K5077" i="210"/>
  <c r="L5077" i="210"/>
  <c r="N5077" i="210"/>
  <c r="P5077" i="210"/>
  <c r="Q5077" i="210"/>
  <c r="D5078" i="210"/>
  <c r="K5078" i="210"/>
  <c r="L5078" i="210"/>
  <c r="N5078" i="210"/>
  <c r="P5078" i="210"/>
  <c r="Q5078" i="210"/>
  <c r="D5079" i="210"/>
  <c r="K5079" i="210"/>
  <c r="L5079" i="210"/>
  <c r="N5079" i="210"/>
  <c r="P5079" i="210"/>
  <c r="Q5079" i="210"/>
  <c r="D5080" i="210"/>
  <c r="K5080" i="210"/>
  <c r="L5080" i="210"/>
  <c r="N5080" i="210"/>
  <c r="P5080" i="210"/>
  <c r="Q5080" i="210"/>
  <c r="D5081" i="210"/>
  <c r="K5081" i="210"/>
  <c r="L5081" i="210"/>
  <c r="N5081" i="210"/>
  <c r="P5081" i="210"/>
  <c r="Q5081" i="210"/>
  <c r="D5082" i="210"/>
  <c r="K5082" i="210"/>
  <c r="L5082" i="210"/>
  <c r="N5082" i="210"/>
  <c r="P5082" i="210"/>
  <c r="Q5082" i="210"/>
  <c r="D5083" i="210"/>
  <c r="K5083" i="210"/>
  <c r="L5083" i="210"/>
  <c r="N5083" i="210"/>
  <c r="P5083" i="210"/>
  <c r="Q5083" i="210"/>
  <c r="D5084" i="210"/>
  <c r="E5084" i="210"/>
  <c r="E5086" i="210" s="1"/>
  <c r="E5088" i="210" s="1"/>
  <c r="E5090" i="210" s="1"/>
  <c r="E5092" i="210" s="1"/>
  <c r="E5094" i="210" s="1"/>
  <c r="E5096" i="210" s="1"/>
  <c r="E5098" i="210" s="1"/>
  <c r="E5100" i="210" s="1"/>
  <c r="E5102" i="210" s="1"/>
  <c r="E5104" i="210" s="1"/>
  <c r="E5106" i="210" s="1"/>
  <c r="E5108" i="210" s="1"/>
  <c r="E5110" i="210" s="1"/>
  <c r="E5112" i="210" s="1"/>
  <c r="E5114" i="210" s="1"/>
  <c r="E5116" i="210" s="1"/>
  <c r="E5118" i="210" s="1"/>
  <c r="E5120" i="210" s="1"/>
  <c r="E5122" i="210" s="1"/>
  <c r="E5124" i="210" s="1"/>
  <c r="E5126" i="210" s="1"/>
  <c r="E5128" i="210" s="1"/>
  <c r="E5130" i="210" s="1"/>
  <c r="K5084" i="210"/>
  <c r="L5084" i="210"/>
  <c r="N5084" i="210"/>
  <c r="P5084" i="210"/>
  <c r="Q5084" i="210"/>
  <c r="D5085" i="210"/>
  <c r="K5085" i="210"/>
  <c r="L5085" i="210"/>
  <c r="N5085" i="210"/>
  <c r="P5085" i="210"/>
  <c r="Q5085" i="210"/>
  <c r="D5086" i="210"/>
  <c r="K5086" i="210"/>
  <c r="L5086" i="210"/>
  <c r="N5086" i="210"/>
  <c r="P5086" i="210"/>
  <c r="Q5086" i="210"/>
  <c r="D5087" i="210"/>
  <c r="K5087" i="210"/>
  <c r="L5087" i="210"/>
  <c r="N5087" i="210"/>
  <c r="P5087" i="210"/>
  <c r="Q5087" i="210"/>
  <c r="D5088" i="210"/>
  <c r="K5088" i="210"/>
  <c r="L5088" i="210"/>
  <c r="N5088" i="210"/>
  <c r="P5088" i="210"/>
  <c r="Q5088" i="210"/>
  <c r="D5089" i="210"/>
  <c r="K5089" i="210"/>
  <c r="L5089" i="210"/>
  <c r="N5089" i="210"/>
  <c r="P5089" i="210"/>
  <c r="Q5089" i="210"/>
  <c r="D5090" i="210"/>
  <c r="K5090" i="210"/>
  <c r="L5090" i="210"/>
  <c r="N5090" i="210"/>
  <c r="P5090" i="210"/>
  <c r="Q5090" i="210"/>
  <c r="D5091" i="210"/>
  <c r="K5091" i="210"/>
  <c r="L5091" i="210"/>
  <c r="N5091" i="210"/>
  <c r="P5091" i="210"/>
  <c r="Q5091" i="210"/>
  <c r="D5092" i="210"/>
  <c r="K5092" i="210"/>
  <c r="L5092" i="210"/>
  <c r="N5092" i="210"/>
  <c r="P5092" i="210"/>
  <c r="Q5092" i="210"/>
  <c r="D5093" i="210"/>
  <c r="K5093" i="210"/>
  <c r="L5093" i="210"/>
  <c r="N5093" i="210"/>
  <c r="P5093" i="210"/>
  <c r="Q5093" i="210"/>
  <c r="D5094" i="210"/>
  <c r="K5094" i="210"/>
  <c r="L5094" i="210"/>
  <c r="N5094" i="210"/>
  <c r="P5094" i="210"/>
  <c r="Q5094" i="210"/>
  <c r="D5095" i="210"/>
  <c r="K5095" i="210"/>
  <c r="L5095" i="210"/>
  <c r="N5095" i="210"/>
  <c r="P5095" i="210"/>
  <c r="Q5095" i="210"/>
  <c r="D5096" i="210"/>
  <c r="K5096" i="210"/>
  <c r="L5096" i="210"/>
  <c r="N5096" i="210"/>
  <c r="P5096" i="210"/>
  <c r="Q5096" i="210"/>
  <c r="D5097" i="210"/>
  <c r="K5097" i="210"/>
  <c r="L5097" i="210"/>
  <c r="N5097" i="210"/>
  <c r="P5097" i="210"/>
  <c r="Q5097" i="210"/>
  <c r="D5098" i="210"/>
  <c r="K5098" i="210"/>
  <c r="L5098" i="210"/>
  <c r="N5098" i="210"/>
  <c r="P5098" i="210"/>
  <c r="Q5098" i="210"/>
  <c r="D5099" i="210"/>
  <c r="K5099" i="210"/>
  <c r="L5099" i="210"/>
  <c r="N5099" i="210"/>
  <c r="P5099" i="210"/>
  <c r="Q5099" i="210"/>
  <c r="D5100" i="210"/>
  <c r="K5100" i="210"/>
  <c r="L5100" i="210"/>
  <c r="N5100" i="210"/>
  <c r="P5100" i="210"/>
  <c r="Q5100" i="210"/>
  <c r="D5101" i="210"/>
  <c r="K5101" i="210"/>
  <c r="L5101" i="210"/>
  <c r="N5101" i="210"/>
  <c r="P5101" i="210"/>
  <c r="Q5101" i="210"/>
  <c r="D5102" i="210"/>
  <c r="K5102" i="210"/>
  <c r="L5102" i="210"/>
  <c r="N5102" i="210"/>
  <c r="P5102" i="210"/>
  <c r="Q5102" i="210"/>
  <c r="D5103" i="210"/>
  <c r="K5103" i="210"/>
  <c r="L5103" i="210"/>
  <c r="N5103" i="210"/>
  <c r="P5103" i="210"/>
  <c r="Q5103" i="210"/>
  <c r="D5104" i="210"/>
  <c r="K5104" i="210"/>
  <c r="L5104" i="210"/>
  <c r="N5104" i="210"/>
  <c r="P5104" i="210"/>
  <c r="Q5104" i="210"/>
  <c r="D5105" i="210"/>
  <c r="K5105" i="210"/>
  <c r="L5105" i="210"/>
  <c r="N5105" i="210"/>
  <c r="P5105" i="210"/>
  <c r="Q5105" i="210"/>
  <c r="D5106" i="210"/>
  <c r="K5106" i="210"/>
  <c r="L5106" i="210"/>
  <c r="N5106" i="210"/>
  <c r="P5106" i="210"/>
  <c r="Q5106" i="210"/>
  <c r="D5107" i="210"/>
  <c r="K5107" i="210"/>
  <c r="L5107" i="210"/>
  <c r="N5107" i="210"/>
  <c r="P5107" i="210"/>
  <c r="Q5107" i="210"/>
  <c r="D5108" i="210"/>
  <c r="K5108" i="210"/>
  <c r="L5108" i="210"/>
  <c r="N5108" i="210"/>
  <c r="P5108" i="210"/>
  <c r="Q5108" i="210"/>
  <c r="D5109" i="210"/>
  <c r="K5109" i="210"/>
  <c r="L5109" i="210"/>
  <c r="N5109" i="210"/>
  <c r="P5109" i="210"/>
  <c r="Q5109" i="210"/>
  <c r="D5110" i="210"/>
  <c r="K5110" i="210"/>
  <c r="L5110" i="210"/>
  <c r="N5110" i="210"/>
  <c r="P5110" i="210"/>
  <c r="Q5110" i="210"/>
  <c r="D5111" i="210"/>
  <c r="K5111" i="210"/>
  <c r="L5111" i="210"/>
  <c r="N5111" i="210"/>
  <c r="P5111" i="210"/>
  <c r="Q5111" i="210"/>
  <c r="D5112" i="210"/>
  <c r="K5112" i="210"/>
  <c r="L5112" i="210"/>
  <c r="N5112" i="210"/>
  <c r="P5112" i="210"/>
  <c r="Q5112" i="210"/>
  <c r="D5113" i="210"/>
  <c r="K5113" i="210"/>
  <c r="L5113" i="210"/>
  <c r="N5113" i="210"/>
  <c r="P5113" i="210"/>
  <c r="Q5113" i="210"/>
  <c r="D5114" i="210"/>
  <c r="K5114" i="210"/>
  <c r="L5114" i="210"/>
  <c r="N5114" i="210"/>
  <c r="P5114" i="210"/>
  <c r="Q5114" i="210"/>
  <c r="D5115" i="210"/>
  <c r="K5115" i="210"/>
  <c r="L5115" i="210"/>
  <c r="N5115" i="210"/>
  <c r="P5115" i="210"/>
  <c r="Q5115" i="210"/>
  <c r="D5116" i="210"/>
  <c r="K5116" i="210"/>
  <c r="L5116" i="210"/>
  <c r="N5116" i="210"/>
  <c r="P5116" i="210"/>
  <c r="Q5116" i="210"/>
  <c r="D5117" i="210"/>
  <c r="K5117" i="210"/>
  <c r="L5117" i="210"/>
  <c r="N5117" i="210"/>
  <c r="P5117" i="210"/>
  <c r="Q5117" i="210"/>
  <c r="D5118" i="210"/>
  <c r="K5118" i="210"/>
  <c r="L5118" i="210"/>
  <c r="N5118" i="210"/>
  <c r="P5118" i="210"/>
  <c r="Q5118" i="210"/>
  <c r="D5119" i="210"/>
  <c r="K5119" i="210"/>
  <c r="L5119" i="210"/>
  <c r="N5119" i="210"/>
  <c r="P5119" i="210"/>
  <c r="Q5119" i="210"/>
  <c r="D5120" i="210"/>
  <c r="K5120" i="210"/>
  <c r="L5120" i="210"/>
  <c r="N5120" i="210"/>
  <c r="P5120" i="210"/>
  <c r="Q5120" i="210"/>
  <c r="D5121" i="210"/>
  <c r="K5121" i="210"/>
  <c r="L5121" i="210"/>
  <c r="N5121" i="210"/>
  <c r="P5121" i="210"/>
  <c r="Q5121" i="210"/>
  <c r="D5122" i="210"/>
  <c r="K5122" i="210"/>
  <c r="L5122" i="210"/>
  <c r="N5122" i="210"/>
  <c r="P5122" i="210"/>
  <c r="Q5122" i="210"/>
  <c r="D5123" i="210"/>
  <c r="K5123" i="210"/>
  <c r="L5123" i="210"/>
  <c r="N5123" i="210"/>
  <c r="P5123" i="210"/>
  <c r="Q5123" i="210"/>
  <c r="D5124" i="210"/>
  <c r="K5124" i="210"/>
  <c r="L5124" i="210"/>
  <c r="N5124" i="210"/>
  <c r="P5124" i="210"/>
  <c r="Q5124" i="210"/>
  <c r="D5125" i="210"/>
  <c r="K5125" i="210"/>
  <c r="L5125" i="210"/>
  <c r="N5125" i="210"/>
  <c r="P5125" i="210"/>
  <c r="Q5125" i="210"/>
  <c r="D5126" i="210"/>
  <c r="K5126" i="210"/>
  <c r="L5126" i="210"/>
  <c r="N5126" i="210"/>
  <c r="P5126" i="210"/>
  <c r="Q5126" i="210"/>
  <c r="D5127" i="210"/>
  <c r="K5127" i="210"/>
  <c r="L5127" i="210"/>
  <c r="N5127" i="210"/>
  <c r="P5127" i="210"/>
  <c r="Q5127" i="210"/>
  <c r="D5128" i="210"/>
  <c r="K5128" i="210"/>
  <c r="L5128" i="210"/>
  <c r="N5128" i="210"/>
  <c r="P5128" i="210"/>
  <c r="Q5128" i="210"/>
  <c r="D5129" i="210"/>
  <c r="K5129" i="210"/>
  <c r="L5129" i="210"/>
  <c r="N5129" i="210"/>
  <c r="P5129" i="210"/>
  <c r="Q5129" i="210"/>
  <c r="D5130" i="210"/>
  <c r="K5130" i="210"/>
  <c r="L5130" i="210"/>
  <c r="N5130" i="210"/>
  <c r="P5130" i="210"/>
  <c r="Q5130" i="210"/>
  <c r="D5131" i="210"/>
  <c r="K5131" i="210"/>
  <c r="L5131" i="210"/>
  <c r="N5131" i="210"/>
  <c r="P5131" i="210"/>
  <c r="Q5131" i="210"/>
  <c r="D5132" i="210"/>
  <c r="E5132" i="210"/>
  <c r="E5134" i="210" s="1"/>
  <c r="E5136" i="210" s="1"/>
  <c r="E5138" i="210" s="1"/>
  <c r="E5140" i="210" s="1"/>
  <c r="E5142" i="210" s="1"/>
  <c r="E5144" i="210" s="1"/>
  <c r="E5146" i="210" s="1"/>
  <c r="E5148" i="210" s="1"/>
  <c r="E5150" i="210" s="1"/>
  <c r="E5152" i="210" s="1"/>
  <c r="E5154" i="210" s="1"/>
  <c r="E5156" i="210" s="1"/>
  <c r="E5158" i="210" s="1"/>
  <c r="E5160" i="210" s="1"/>
  <c r="E5162" i="210" s="1"/>
  <c r="E5164" i="210" s="1"/>
  <c r="E5166" i="210" s="1"/>
  <c r="E5168" i="210" s="1"/>
  <c r="E5170" i="210" s="1"/>
  <c r="E5172" i="210" s="1"/>
  <c r="E5174" i="210" s="1"/>
  <c r="E5176" i="210" s="1"/>
  <c r="E5178" i="210" s="1"/>
  <c r="E5180" i="210" s="1"/>
  <c r="E5182" i="210" s="1"/>
  <c r="E5184" i="210" s="1"/>
  <c r="E5186" i="210" s="1"/>
  <c r="E5188" i="210" s="1"/>
  <c r="E5190" i="210" s="1"/>
  <c r="E5192" i="210" s="1"/>
  <c r="E5194" i="210" s="1"/>
  <c r="E5196" i="210" s="1"/>
  <c r="E5198" i="210" s="1"/>
  <c r="E5200" i="210" s="1"/>
  <c r="E5202" i="210" s="1"/>
  <c r="E5204" i="210" s="1"/>
  <c r="E5206" i="210" s="1"/>
  <c r="E5208" i="210" s="1"/>
  <c r="E5210" i="210" s="1"/>
  <c r="E5212" i="210" s="1"/>
  <c r="E5214" i="210" s="1"/>
  <c r="K5132" i="210"/>
  <c r="L5132" i="210"/>
  <c r="N5132" i="210"/>
  <c r="P5132" i="210"/>
  <c r="Q5132" i="210"/>
  <c r="D5133" i="210"/>
  <c r="K5133" i="210"/>
  <c r="L5133" i="210"/>
  <c r="N5133" i="210"/>
  <c r="P5133" i="210"/>
  <c r="Q5133" i="210"/>
  <c r="D5134" i="210"/>
  <c r="K5134" i="210"/>
  <c r="L5134" i="210"/>
  <c r="N5134" i="210"/>
  <c r="P5134" i="210"/>
  <c r="Q5134" i="210"/>
  <c r="D5135" i="210"/>
  <c r="K5135" i="210"/>
  <c r="L5135" i="210"/>
  <c r="N5135" i="210"/>
  <c r="P5135" i="210"/>
  <c r="Q5135" i="210"/>
  <c r="D5136" i="210"/>
  <c r="K5136" i="210"/>
  <c r="L5136" i="210"/>
  <c r="N5136" i="210"/>
  <c r="P5136" i="210"/>
  <c r="Q5136" i="210"/>
  <c r="D5137" i="210"/>
  <c r="K5137" i="210"/>
  <c r="L5137" i="210"/>
  <c r="N5137" i="210"/>
  <c r="P5137" i="210"/>
  <c r="Q5137" i="210"/>
  <c r="D5138" i="210"/>
  <c r="K5138" i="210"/>
  <c r="L5138" i="210"/>
  <c r="N5138" i="210"/>
  <c r="P5138" i="210"/>
  <c r="Q5138" i="210"/>
  <c r="D5139" i="210"/>
  <c r="K5139" i="210"/>
  <c r="L5139" i="210"/>
  <c r="N5139" i="210"/>
  <c r="P5139" i="210"/>
  <c r="Q5139" i="210"/>
  <c r="D5140" i="210"/>
  <c r="K5140" i="210"/>
  <c r="L5140" i="210"/>
  <c r="N5140" i="210"/>
  <c r="P5140" i="210"/>
  <c r="Q5140" i="210"/>
  <c r="D5141" i="210"/>
  <c r="K5141" i="210"/>
  <c r="L5141" i="210"/>
  <c r="N5141" i="210"/>
  <c r="P5141" i="210"/>
  <c r="Q5141" i="210"/>
  <c r="D5142" i="210"/>
  <c r="K5142" i="210"/>
  <c r="L5142" i="210"/>
  <c r="N5142" i="210"/>
  <c r="P5142" i="210"/>
  <c r="Q5142" i="210"/>
  <c r="D5143" i="210"/>
  <c r="K5143" i="210"/>
  <c r="L5143" i="210"/>
  <c r="N5143" i="210"/>
  <c r="P5143" i="210"/>
  <c r="Q5143" i="210"/>
  <c r="D5144" i="210"/>
  <c r="K5144" i="210"/>
  <c r="L5144" i="210"/>
  <c r="N5144" i="210"/>
  <c r="P5144" i="210"/>
  <c r="Q5144" i="210"/>
  <c r="D5145" i="210"/>
  <c r="K5145" i="210"/>
  <c r="L5145" i="210"/>
  <c r="N5145" i="210"/>
  <c r="P5145" i="210"/>
  <c r="Q5145" i="210"/>
  <c r="D5146" i="210"/>
  <c r="K5146" i="210"/>
  <c r="L5146" i="210"/>
  <c r="N5146" i="210"/>
  <c r="P5146" i="210"/>
  <c r="Q5146" i="210"/>
  <c r="D5147" i="210"/>
  <c r="K5147" i="210"/>
  <c r="L5147" i="210"/>
  <c r="N5147" i="210"/>
  <c r="P5147" i="210"/>
  <c r="Q5147" i="210"/>
  <c r="D5148" i="210"/>
  <c r="K5148" i="210"/>
  <c r="L5148" i="210"/>
  <c r="N5148" i="210"/>
  <c r="P5148" i="210"/>
  <c r="Q5148" i="210"/>
  <c r="D5149" i="210"/>
  <c r="K5149" i="210"/>
  <c r="L5149" i="210"/>
  <c r="N5149" i="210"/>
  <c r="P5149" i="210"/>
  <c r="Q5149" i="210"/>
  <c r="D5150" i="210"/>
  <c r="K5150" i="210"/>
  <c r="L5150" i="210"/>
  <c r="N5150" i="210"/>
  <c r="P5150" i="210"/>
  <c r="Q5150" i="210"/>
  <c r="D5151" i="210"/>
  <c r="K5151" i="210"/>
  <c r="L5151" i="210"/>
  <c r="N5151" i="210"/>
  <c r="P5151" i="210"/>
  <c r="Q5151" i="210"/>
  <c r="D5152" i="210"/>
  <c r="K5152" i="210"/>
  <c r="L5152" i="210"/>
  <c r="N5152" i="210"/>
  <c r="P5152" i="210"/>
  <c r="Q5152" i="210"/>
  <c r="D5153" i="210"/>
  <c r="K5153" i="210"/>
  <c r="L5153" i="210"/>
  <c r="N5153" i="210"/>
  <c r="P5153" i="210"/>
  <c r="Q5153" i="210"/>
  <c r="D5154" i="210"/>
  <c r="K5154" i="210"/>
  <c r="L5154" i="210"/>
  <c r="N5154" i="210"/>
  <c r="P5154" i="210"/>
  <c r="Q5154" i="210"/>
  <c r="D5155" i="210"/>
  <c r="K5155" i="210"/>
  <c r="L5155" i="210"/>
  <c r="N5155" i="210"/>
  <c r="P5155" i="210"/>
  <c r="Q5155" i="210"/>
  <c r="D5156" i="210"/>
  <c r="K5156" i="210"/>
  <c r="L5156" i="210"/>
  <c r="N5156" i="210"/>
  <c r="P5156" i="210"/>
  <c r="Q5156" i="210"/>
  <c r="D5157" i="210"/>
  <c r="K5157" i="210"/>
  <c r="L5157" i="210"/>
  <c r="N5157" i="210"/>
  <c r="P5157" i="210"/>
  <c r="Q5157" i="210"/>
  <c r="D5158" i="210"/>
  <c r="K5158" i="210"/>
  <c r="L5158" i="210"/>
  <c r="N5158" i="210"/>
  <c r="P5158" i="210"/>
  <c r="Q5158" i="210"/>
  <c r="D5159" i="210"/>
  <c r="K5159" i="210"/>
  <c r="L5159" i="210"/>
  <c r="N5159" i="210"/>
  <c r="P5159" i="210"/>
  <c r="Q5159" i="210"/>
  <c r="D5160" i="210"/>
  <c r="K5160" i="210"/>
  <c r="L5160" i="210"/>
  <c r="N5160" i="210"/>
  <c r="P5160" i="210"/>
  <c r="Q5160" i="210"/>
  <c r="D5161" i="210"/>
  <c r="K5161" i="210"/>
  <c r="L5161" i="210"/>
  <c r="N5161" i="210"/>
  <c r="P5161" i="210"/>
  <c r="Q5161" i="210"/>
  <c r="D5162" i="210"/>
  <c r="K5162" i="210"/>
  <c r="L5162" i="210"/>
  <c r="N5162" i="210"/>
  <c r="P5162" i="210"/>
  <c r="Q5162" i="210"/>
  <c r="D5163" i="210"/>
  <c r="K5163" i="210"/>
  <c r="L5163" i="210"/>
  <c r="N5163" i="210"/>
  <c r="P5163" i="210"/>
  <c r="Q5163" i="210"/>
  <c r="D5164" i="210"/>
  <c r="K5164" i="210"/>
  <c r="L5164" i="210"/>
  <c r="N5164" i="210"/>
  <c r="P5164" i="210"/>
  <c r="Q5164" i="210"/>
  <c r="D5165" i="210"/>
  <c r="K5165" i="210"/>
  <c r="L5165" i="210"/>
  <c r="N5165" i="210"/>
  <c r="P5165" i="210"/>
  <c r="Q5165" i="210"/>
  <c r="D5166" i="210"/>
  <c r="K5166" i="210"/>
  <c r="L5166" i="210"/>
  <c r="N5166" i="210"/>
  <c r="P5166" i="210"/>
  <c r="Q5166" i="210"/>
  <c r="D5167" i="210"/>
  <c r="K5167" i="210"/>
  <c r="L5167" i="210"/>
  <c r="N5167" i="210"/>
  <c r="P5167" i="210"/>
  <c r="Q5167" i="210"/>
  <c r="D5168" i="210"/>
  <c r="K5168" i="210"/>
  <c r="L5168" i="210"/>
  <c r="N5168" i="210"/>
  <c r="P5168" i="210"/>
  <c r="Q5168" i="210"/>
  <c r="D5169" i="210"/>
  <c r="K5169" i="210"/>
  <c r="L5169" i="210"/>
  <c r="N5169" i="210"/>
  <c r="P5169" i="210"/>
  <c r="Q5169" i="210"/>
  <c r="D5170" i="210"/>
  <c r="K5170" i="210"/>
  <c r="L5170" i="210"/>
  <c r="N5170" i="210"/>
  <c r="P5170" i="210"/>
  <c r="Q5170" i="210"/>
  <c r="D5171" i="210"/>
  <c r="K5171" i="210"/>
  <c r="L5171" i="210"/>
  <c r="N5171" i="210"/>
  <c r="P5171" i="210"/>
  <c r="Q5171" i="210"/>
  <c r="D5172" i="210"/>
  <c r="K5172" i="210"/>
  <c r="L5172" i="210"/>
  <c r="N5172" i="210"/>
  <c r="P5172" i="210"/>
  <c r="Q5172" i="210"/>
  <c r="D5173" i="210"/>
  <c r="K5173" i="210"/>
  <c r="L5173" i="210"/>
  <c r="N5173" i="210"/>
  <c r="P5173" i="210"/>
  <c r="Q5173" i="210"/>
  <c r="D5174" i="210"/>
  <c r="K5174" i="210"/>
  <c r="L5174" i="210"/>
  <c r="N5174" i="210"/>
  <c r="P5174" i="210"/>
  <c r="Q5174" i="210"/>
  <c r="D5175" i="210"/>
  <c r="K5175" i="210"/>
  <c r="L5175" i="210"/>
  <c r="N5175" i="210"/>
  <c r="P5175" i="210"/>
  <c r="Q5175" i="210"/>
  <c r="D5176" i="210"/>
  <c r="K5176" i="210"/>
  <c r="L5176" i="210"/>
  <c r="N5176" i="210"/>
  <c r="P5176" i="210"/>
  <c r="Q5176" i="210"/>
  <c r="D5177" i="210"/>
  <c r="K5177" i="210"/>
  <c r="L5177" i="210"/>
  <c r="N5177" i="210"/>
  <c r="P5177" i="210"/>
  <c r="Q5177" i="210"/>
  <c r="D5178" i="210"/>
  <c r="K5178" i="210"/>
  <c r="L5178" i="210"/>
  <c r="N5178" i="210"/>
  <c r="P5178" i="210"/>
  <c r="Q5178" i="210"/>
  <c r="D5179" i="210"/>
  <c r="K5179" i="210"/>
  <c r="L5179" i="210"/>
  <c r="N5179" i="210"/>
  <c r="P5179" i="210"/>
  <c r="Q5179" i="210"/>
  <c r="D5180" i="210"/>
  <c r="K5180" i="210"/>
  <c r="L5180" i="210"/>
  <c r="N5180" i="210"/>
  <c r="P5180" i="210"/>
  <c r="Q5180" i="210"/>
  <c r="D5181" i="210"/>
  <c r="K5181" i="210"/>
  <c r="L5181" i="210"/>
  <c r="N5181" i="210"/>
  <c r="P5181" i="210"/>
  <c r="Q5181" i="210"/>
  <c r="D5182" i="210"/>
  <c r="K5182" i="210"/>
  <c r="L5182" i="210"/>
  <c r="N5182" i="210"/>
  <c r="P5182" i="210"/>
  <c r="Q5182" i="210"/>
  <c r="D5183" i="210"/>
  <c r="K5183" i="210"/>
  <c r="L5183" i="210"/>
  <c r="N5183" i="210"/>
  <c r="P5183" i="210"/>
  <c r="Q5183" i="210"/>
  <c r="D5184" i="210"/>
  <c r="K5184" i="210"/>
  <c r="L5184" i="210"/>
  <c r="N5184" i="210"/>
  <c r="P5184" i="210"/>
  <c r="Q5184" i="210"/>
  <c r="D5185" i="210"/>
  <c r="K5185" i="210"/>
  <c r="L5185" i="210"/>
  <c r="N5185" i="210"/>
  <c r="P5185" i="210"/>
  <c r="Q5185" i="210"/>
  <c r="D5186" i="210"/>
  <c r="K5186" i="210"/>
  <c r="L5186" i="210"/>
  <c r="N5186" i="210"/>
  <c r="P5186" i="210"/>
  <c r="Q5186" i="210"/>
  <c r="D5187" i="210"/>
  <c r="K5187" i="210"/>
  <c r="L5187" i="210"/>
  <c r="N5187" i="210"/>
  <c r="P5187" i="210"/>
  <c r="Q5187" i="210"/>
  <c r="D5188" i="210"/>
  <c r="K5188" i="210"/>
  <c r="L5188" i="210"/>
  <c r="N5188" i="210"/>
  <c r="P5188" i="210"/>
  <c r="Q5188" i="210"/>
  <c r="D5189" i="210"/>
  <c r="K5189" i="210"/>
  <c r="L5189" i="210"/>
  <c r="N5189" i="210"/>
  <c r="P5189" i="210"/>
  <c r="Q5189" i="210"/>
  <c r="D5190" i="210"/>
  <c r="K5190" i="210"/>
  <c r="L5190" i="210"/>
  <c r="N5190" i="210"/>
  <c r="P5190" i="210"/>
  <c r="Q5190" i="210"/>
  <c r="D5191" i="210"/>
  <c r="K5191" i="210"/>
  <c r="L5191" i="210"/>
  <c r="N5191" i="210"/>
  <c r="P5191" i="210"/>
  <c r="Q5191" i="210"/>
  <c r="D5192" i="210"/>
  <c r="K5192" i="210"/>
  <c r="L5192" i="210"/>
  <c r="N5192" i="210"/>
  <c r="P5192" i="210"/>
  <c r="Q5192" i="210"/>
  <c r="D5193" i="210"/>
  <c r="K5193" i="210"/>
  <c r="L5193" i="210"/>
  <c r="N5193" i="210"/>
  <c r="P5193" i="210"/>
  <c r="Q5193" i="210"/>
  <c r="D5194" i="210"/>
  <c r="K5194" i="210"/>
  <c r="L5194" i="210"/>
  <c r="N5194" i="210"/>
  <c r="P5194" i="210"/>
  <c r="Q5194" i="210"/>
  <c r="D5195" i="210"/>
  <c r="K5195" i="210"/>
  <c r="L5195" i="210"/>
  <c r="N5195" i="210"/>
  <c r="P5195" i="210"/>
  <c r="Q5195" i="210"/>
  <c r="D5196" i="210"/>
  <c r="K5196" i="210"/>
  <c r="L5196" i="210"/>
  <c r="N5196" i="210"/>
  <c r="P5196" i="210"/>
  <c r="Q5196" i="210"/>
  <c r="D5197" i="210"/>
  <c r="K5197" i="210"/>
  <c r="L5197" i="210"/>
  <c r="N5197" i="210"/>
  <c r="P5197" i="210"/>
  <c r="Q5197" i="210"/>
  <c r="D5198" i="210"/>
  <c r="K5198" i="210"/>
  <c r="L5198" i="210"/>
  <c r="N5198" i="210"/>
  <c r="P5198" i="210"/>
  <c r="Q5198" i="210"/>
  <c r="D5199" i="210"/>
  <c r="K5199" i="210"/>
  <c r="L5199" i="210"/>
  <c r="N5199" i="210"/>
  <c r="P5199" i="210"/>
  <c r="Q5199" i="210"/>
  <c r="D5200" i="210"/>
  <c r="K5200" i="210"/>
  <c r="L5200" i="210"/>
  <c r="N5200" i="210"/>
  <c r="P5200" i="210"/>
  <c r="Q5200" i="210"/>
  <c r="D5201" i="210"/>
  <c r="K5201" i="210"/>
  <c r="L5201" i="210"/>
  <c r="N5201" i="210"/>
  <c r="P5201" i="210"/>
  <c r="Q5201" i="210"/>
  <c r="D5202" i="210"/>
  <c r="K5202" i="210"/>
  <c r="L5202" i="210"/>
  <c r="N5202" i="210"/>
  <c r="P5202" i="210"/>
  <c r="Q5202" i="210"/>
  <c r="D5203" i="210"/>
  <c r="K5203" i="210"/>
  <c r="L5203" i="210"/>
  <c r="N5203" i="210"/>
  <c r="P5203" i="210"/>
  <c r="Q5203" i="210"/>
  <c r="D5204" i="210"/>
  <c r="K5204" i="210"/>
  <c r="L5204" i="210"/>
  <c r="N5204" i="210"/>
  <c r="P5204" i="210"/>
  <c r="Q5204" i="210"/>
  <c r="D5205" i="210"/>
  <c r="K5205" i="210"/>
  <c r="L5205" i="210"/>
  <c r="N5205" i="210"/>
  <c r="P5205" i="210"/>
  <c r="Q5205" i="210"/>
  <c r="D5206" i="210"/>
  <c r="K5206" i="210"/>
  <c r="L5206" i="210"/>
  <c r="N5206" i="210"/>
  <c r="P5206" i="210"/>
  <c r="Q5206" i="210"/>
  <c r="D5207" i="210"/>
  <c r="K5207" i="210"/>
  <c r="L5207" i="210"/>
  <c r="N5207" i="210"/>
  <c r="P5207" i="210"/>
  <c r="Q5207" i="210"/>
  <c r="D5208" i="210"/>
  <c r="K5208" i="210"/>
  <c r="L5208" i="210"/>
  <c r="N5208" i="210"/>
  <c r="P5208" i="210"/>
  <c r="Q5208" i="210"/>
  <c r="D5209" i="210"/>
  <c r="K5209" i="210"/>
  <c r="L5209" i="210"/>
  <c r="N5209" i="210"/>
  <c r="P5209" i="210"/>
  <c r="Q5209" i="210"/>
  <c r="D5210" i="210"/>
  <c r="K5210" i="210"/>
  <c r="L5210" i="210"/>
  <c r="N5210" i="210"/>
  <c r="P5210" i="210"/>
  <c r="Q5210" i="210"/>
  <c r="D5211" i="210"/>
  <c r="K5211" i="210"/>
  <c r="L5211" i="210"/>
  <c r="N5211" i="210"/>
  <c r="P5211" i="210"/>
  <c r="Q5211" i="210"/>
  <c r="D5212" i="210"/>
  <c r="K5212" i="210"/>
  <c r="L5212" i="210"/>
  <c r="N5212" i="210"/>
  <c r="P5212" i="210"/>
  <c r="Q5212" i="210"/>
  <c r="D5213" i="210"/>
  <c r="K5213" i="210"/>
  <c r="L5213" i="210"/>
  <c r="N5213" i="210"/>
  <c r="P5213" i="210"/>
  <c r="Q5213" i="210"/>
  <c r="D5214" i="210"/>
  <c r="K5214" i="210"/>
  <c r="L5214" i="210"/>
  <c r="N5214" i="210"/>
  <c r="P5214" i="210"/>
  <c r="Q5214" i="210"/>
  <c r="C5217" i="210"/>
  <c r="C5218" i="210" s="1"/>
  <c r="C5219" i="210" s="1"/>
  <c r="E5217" i="210"/>
  <c r="E5218" i="210" s="1"/>
  <c r="H5217" i="210"/>
  <c r="I5217" i="210"/>
  <c r="J5217" i="210"/>
  <c r="I5218" i="210"/>
  <c r="E5219" i="210"/>
  <c r="E5221" i="210" s="1"/>
  <c r="E5223" i="210" s="1"/>
  <c r="E5225" i="210" s="1"/>
  <c r="E5227" i="210" s="1"/>
  <c r="E5229" i="210" s="1"/>
  <c r="E5231" i="210" s="1"/>
  <c r="E5233" i="210" s="1"/>
  <c r="E5235" i="210" s="1"/>
  <c r="E5237" i="210" s="1"/>
  <c r="E5239" i="210" s="1"/>
  <c r="E5241" i="210" s="1"/>
  <c r="E5243" i="210" s="1"/>
  <c r="E5245" i="210" s="1"/>
  <c r="E5247" i="210" s="1"/>
  <c r="E5249" i="210" s="1"/>
  <c r="E5251" i="210" s="1"/>
  <c r="E5253" i="210" s="1"/>
  <c r="E5255" i="210" s="1"/>
  <c r="E5257" i="210" s="1"/>
  <c r="E5259" i="210" s="1"/>
  <c r="E5261" i="210" s="1"/>
  <c r="E5263" i="210" s="1"/>
  <c r="E5265" i="210" s="1"/>
  <c r="E5267" i="210" s="1"/>
  <c r="E5269" i="210" s="1"/>
  <c r="E5271" i="210" s="1"/>
  <c r="E5273" i="210" s="1"/>
  <c r="E5275" i="210" s="1"/>
  <c r="E5277" i="210" s="1"/>
  <c r="E5279" i="210" s="1"/>
  <c r="E5281" i="210" s="1"/>
  <c r="E5283" i="210" s="1"/>
  <c r="E5285" i="210" s="1"/>
  <c r="E5287" i="210" s="1"/>
  <c r="E5289" i="210" s="1"/>
  <c r="E5291" i="210" s="1"/>
  <c r="E5293" i="210" s="1"/>
  <c r="E5295" i="210" s="1"/>
  <c r="E5297" i="210" s="1"/>
  <c r="E5299" i="210" s="1"/>
  <c r="E5301" i="210" s="1"/>
  <c r="E5303" i="210" s="1"/>
  <c r="E5305" i="210" s="1"/>
  <c r="E5307" i="210" s="1"/>
  <c r="E5309" i="210" s="1"/>
  <c r="E5311" i="210" s="1"/>
  <c r="E5313" i="210" s="1"/>
  <c r="I5219" i="210"/>
  <c r="D5221" i="210"/>
  <c r="K5221" i="210"/>
  <c r="L5221" i="210"/>
  <c r="N5221" i="210"/>
  <c r="P5221" i="210"/>
  <c r="Q5221" i="210"/>
  <c r="D5222" i="210"/>
  <c r="E5222" i="210"/>
  <c r="K5222" i="210"/>
  <c r="L5222" i="210"/>
  <c r="N5222" i="210"/>
  <c r="P5222" i="210"/>
  <c r="Q5222" i="210"/>
  <c r="D5223" i="210"/>
  <c r="K5223" i="210"/>
  <c r="L5223" i="210"/>
  <c r="N5223" i="210"/>
  <c r="P5223" i="210"/>
  <c r="Q5223" i="210"/>
  <c r="D5224" i="210"/>
  <c r="E5224" i="210"/>
  <c r="E5226" i="210" s="1"/>
  <c r="K5224" i="210"/>
  <c r="L5224" i="210"/>
  <c r="N5224" i="210"/>
  <c r="P5224" i="210"/>
  <c r="Q5224" i="210"/>
  <c r="D5225" i="210"/>
  <c r="K5225" i="210"/>
  <c r="L5225" i="210"/>
  <c r="N5225" i="210"/>
  <c r="P5225" i="210"/>
  <c r="Q5225" i="210"/>
  <c r="D5226" i="210"/>
  <c r="K5226" i="210"/>
  <c r="L5226" i="210"/>
  <c r="N5226" i="210"/>
  <c r="P5226" i="210"/>
  <c r="Q5226" i="210"/>
  <c r="D5227" i="210"/>
  <c r="K5227" i="210"/>
  <c r="L5227" i="210"/>
  <c r="N5227" i="210"/>
  <c r="P5227" i="210"/>
  <c r="Q5227" i="210"/>
  <c r="D5228" i="210"/>
  <c r="E5228" i="210"/>
  <c r="E5230" i="210" s="1"/>
  <c r="E5232" i="210" s="1"/>
  <c r="E5234" i="210" s="1"/>
  <c r="E5236" i="210" s="1"/>
  <c r="E5238" i="210" s="1"/>
  <c r="E5240" i="210" s="1"/>
  <c r="E5242" i="210" s="1"/>
  <c r="E5244" i="210" s="1"/>
  <c r="E5246" i="210" s="1"/>
  <c r="E5248" i="210" s="1"/>
  <c r="E5250" i="210" s="1"/>
  <c r="E5252" i="210" s="1"/>
  <c r="E5254" i="210" s="1"/>
  <c r="E5256" i="210" s="1"/>
  <c r="E5258" i="210" s="1"/>
  <c r="E5260" i="210" s="1"/>
  <c r="E5262" i="210" s="1"/>
  <c r="E5264" i="210" s="1"/>
  <c r="E5266" i="210" s="1"/>
  <c r="E5268" i="210" s="1"/>
  <c r="E5270" i="210" s="1"/>
  <c r="E5272" i="210" s="1"/>
  <c r="E5274" i="210" s="1"/>
  <c r="E5276" i="210" s="1"/>
  <c r="E5278" i="210" s="1"/>
  <c r="E5280" i="210" s="1"/>
  <c r="E5282" i="210" s="1"/>
  <c r="E5284" i="210" s="1"/>
  <c r="E5286" i="210" s="1"/>
  <c r="E5288" i="210" s="1"/>
  <c r="E5290" i="210" s="1"/>
  <c r="E5292" i="210" s="1"/>
  <c r="E5294" i="210" s="1"/>
  <c r="E5296" i="210" s="1"/>
  <c r="E5298" i="210" s="1"/>
  <c r="E5300" i="210" s="1"/>
  <c r="E5302" i="210" s="1"/>
  <c r="E5304" i="210" s="1"/>
  <c r="E5306" i="210" s="1"/>
  <c r="E5308" i="210" s="1"/>
  <c r="E5310" i="210" s="1"/>
  <c r="E5312" i="210" s="1"/>
  <c r="E5314" i="210" s="1"/>
  <c r="K5228" i="210"/>
  <c r="L5228" i="210"/>
  <c r="N5228" i="210"/>
  <c r="P5228" i="210"/>
  <c r="Q5228" i="210"/>
  <c r="D5229" i="210"/>
  <c r="K5229" i="210"/>
  <c r="L5229" i="210"/>
  <c r="N5229" i="210"/>
  <c r="P5229" i="210"/>
  <c r="Q5229" i="210"/>
  <c r="D5230" i="210"/>
  <c r="K5230" i="210"/>
  <c r="L5230" i="210"/>
  <c r="N5230" i="210"/>
  <c r="P5230" i="210"/>
  <c r="Q5230" i="210"/>
  <c r="D5231" i="210"/>
  <c r="K5231" i="210"/>
  <c r="L5231" i="210"/>
  <c r="N5231" i="210"/>
  <c r="P5231" i="210"/>
  <c r="Q5231" i="210"/>
  <c r="D5232" i="210"/>
  <c r="K5232" i="210"/>
  <c r="L5232" i="210"/>
  <c r="N5232" i="210"/>
  <c r="P5232" i="210"/>
  <c r="Q5232" i="210"/>
  <c r="D5233" i="210"/>
  <c r="K5233" i="210"/>
  <c r="L5233" i="210"/>
  <c r="N5233" i="210"/>
  <c r="P5233" i="210"/>
  <c r="Q5233" i="210"/>
  <c r="D5234" i="210"/>
  <c r="K5234" i="210"/>
  <c r="L5234" i="210"/>
  <c r="N5234" i="210"/>
  <c r="P5234" i="210"/>
  <c r="Q5234" i="210"/>
  <c r="D5235" i="210"/>
  <c r="K5235" i="210"/>
  <c r="L5235" i="210"/>
  <c r="N5235" i="210"/>
  <c r="P5235" i="210"/>
  <c r="Q5235" i="210"/>
  <c r="D5236" i="210"/>
  <c r="K5236" i="210"/>
  <c r="L5236" i="210"/>
  <c r="N5236" i="210"/>
  <c r="P5236" i="210"/>
  <c r="Q5236" i="210"/>
  <c r="D5237" i="210"/>
  <c r="K5237" i="210"/>
  <c r="L5237" i="210"/>
  <c r="N5237" i="210"/>
  <c r="P5237" i="210"/>
  <c r="Q5237" i="210"/>
  <c r="D5238" i="210"/>
  <c r="K5238" i="210"/>
  <c r="L5238" i="210"/>
  <c r="N5238" i="210"/>
  <c r="P5238" i="210"/>
  <c r="Q5238" i="210"/>
  <c r="D5239" i="210"/>
  <c r="K5239" i="210"/>
  <c r="L5239" i="210"/>
  <c r="N5239" i="210"/>
  <c r="P5239" i="210"/>
  <c r="Q5239" i="210"/>
  <c r="D5240" i="210"/>
  <c r="K5240" i="210"/>
  <c r="L5240" i="210"/>
  <c r="N5240" i="210"/>
  <c r="P5240" i="210"/>
  <c r="Q5240" i="210"/>
  <c r="D5241" i="210"/>
  <c r="K5241" i="210"/>
  <c r="L5241" i="210"/>
  <c r="N5241" i="210"/>
  <c r="P5241" i="210"/>
  <c r="Q5241" i="210"/>
  <c r="D5242" i="210"/>
  <c r="K5242" i="210"/>
  <c r="L5242" i="210"/>
  <c r="N5242" i="210"/>
  <c r="P5242" i="210"/>
  <c r="Q5242" i="210"/>
  <c r="D5243" i="210"/>
  <c r="K5243" i="210"/>
  <c r="L5243" i="210"/>
  <c r="N5243" i="210"/>
  <c r="P5243" i="210"/>
  <c r="Q5243" i="210"/>
  <c r="D5244" i="210"/>
  <c r="K5244" i="210"/>
  <c r="L5244" i="210"/>
  <c r="N5244" i="210"/>
  <c r="P5244" i="210"/>
  <c r="Q5244" i="210"/>
  <c r="D5245" i="210"/>
  <c r="K5245" i="210"/>
  <c r="L5245" i="210"/>
  <c r="N5245" i="210"/>
  <c r="P5245" i="210"/>
  <c r="Q5245" i="210"/>
  <c r="D5246" i="210"/>
  <c r="K5246" i="210"/>
  <c r="L5246" i="210"/>
  <c r="N5246" i="210"/>
  <c r="P5246" i="210"/>
  <c r="Q5246" i="210"/>
  <c r="D5247" i="210"/>
  <c r="K5247" i="210"/>
  <c r="L5247" i="210"/>
  <c r="N5247" i="210"/>
  <c r="P5247" i="210"/>
  <c r="Q5247" i="210"/>
  <c r="D5248" i="210"/>
  <c r="K5248" i="210"/>
  <c r="L5248" i="210"/>
  <c r="N5248" i="210"/>
  <c r="P5248" i="210"/>
  <c r="Q5248" i="210"/>
  <c r="D5249" i="210"/>
  <c r="K5249" i="210"/>
  <c r="L5249" i="210"/>
  <c r="N5249" i="210"/>
  <c r="P5249" i="210"/>
  <c r="Q5249" i="210"/>
  <c r="D5250" i="210"/>
  <c r="K5250" i="210"/>
  <c r="L5250" i="210"/>
  <c r="N5250" i="210"/>
  <c r="P5250" i="210"/>
  <c r="Q5250" i="210"/>
  <c r="D5251" i="210"/>
  <c r="K5251" i="210"/>
  <c r="L5251" i="210"/>
  <c r="N5251" i="210"/>
  <c r="P5251" i="210"/>
  <c r="Q5251" i="210"/>
  <c r="D5252" i="210"/>
  <c r="K5252" i="210"/>
  <c r="L5252" i="210"/>
  <c r="N5252" i="210"/>
  <c r="P5252" i="210"/>
  <c r="Q5252" i="210"/>
  <c r="D5253" i="210"/>
  <c r="K5253" i="210"/>
  <c r="L5253" i="210"/>
  <c r="N5253" i="210"/>
  <c r="P5253" i="210"/>
  <c r="Q5253" i="210"/>
  <c r="D5254" i="210"/>
  <c r="K5254" i="210"/>
  <c r="L5254" i="210"/>
  <c r="N5254" i="210"/>
  <c r="P5254" i="210"/>
  <c r="Q5254" i="210"/>
  <c r="D5255" i="210"/>
  <c r="K5255" i="210"/>
  <c r="L5255" i="210"/>
  <c r="N5255" i="210"/>
  <c r="P5255" i="210"/>
  <c r="Q5255" i="210"/>
  <c r="D5256" i="210"/>
  <c r="K5256" i="210"/>
  <c r="L5256" i="210"/>
  <c r="N5256" i="210"/>
  <c r="P5256" i="210"/>
  <c r="Q5256" i="210"/>
  <c r="D5257" i="210"/>
  <c r="K5257" i="210"/>
  <c r="L5257" i="210"/>
  <c r="N5257" i="210"/>
  <c r="P5257" i="210"/>
  <c r="Q5257" i="210"/>
  <c r="D5258" i="210"/>
  <c r="K5258" i="210"/>
  <c r="L5258" i="210"/>
  <c r="N5258" i="210"/>
  <c r="P5258" i="210"/>
  <c r="Q5258" i="210"/>
  <c r="D5259" i="210"/>
  <c r="K5259" i="210"/>
  <c r="L5259" i="210"/>
  <c r="N5259" i="210"/>
  <c r="P5259" i="210"/>
  <c r="Q5259" i="210"/>
  <c r="D5260" i="210"/>
  <c r="K5260" i="210"/>
  <c r="L5260" i="210"/>
  <c r="N5260" i="210"/>
  <c r="P5260" i="210"/>
  <c r="Q5260" i="210"/>
  <c r="D5261" i="210"/>
  <c r="K5261" i="210"/>
  <c r="L5261" i="210"/>
  <c r="N5261" i="210"/>
  <c r="P5261" i="210"/>
  <c r="Q5261" i="210"/>
  <c r="D5262" i="210"/>
  <c r="K5262" i="210"/>
  <c r="L5262" i="210"/>
  <c r="N5262" i="210"/>
  <c r="P5262" i="210"/>
  <c r="Q5262" i="210"/>
  <c r="D5263" i="210"/>
  <c r="K5263" i="210"/>
  <c r="L5263" i="210"/>
  <c r="N5263" i="210"/>
  <c r="P5263" i="210"/>
  <c r="Q5263" i="210"/>
  <c r="D5264" i="210"/>
  <c r="K5264" i="210"/>
  <c r="L5264" i="210"/>
  <c r="N5264" i="210"/>
  <c r="P5264" i="210"/>
  <c r="Q5264" i="210"/>
  <c r="D5265" i="210"/>
  <c r="K5265" i="210"/>
  <c r="L5265" i="210"/>
  <c r="N5265" i="210"/>
  <c r="P5265" i="210"/>
  <c r="Q5265" i="210"/>
  <c r="D5266" i="210"/>
  <c r="K5266" i="210"/>
  <c r="L5266" i="210"/>
  <c r="N5266" i="210"/>
  <c r="P5266" i="210"/>
  <c r="Q5266" i="210"/>
  <c r="D5267" i="210"/>
  <c r="K5267" i="210"/>
  <c r="L5267" i="210"/>
  <c r="N5267" i="210"/>
  <c r="P5267" i="210"/>
  <c r="Q5267" i="210"/>
  <c r="D5268" i="210"/>
  <c r="K5268" i="210"/>
  <c r="L5268" i="210"/>
  <c r="N5268" i="210"/>
  <c r="P5268" i="210"/>
  <c r="Q5268" i="210"/>
  <c r="D5269" i="210"/>
  <c r="K5269" i="210"/>
  <c r="L5269" i="210"/>
  <c r="N5269" i="210"/>
  <c r="P5269" i="210"/>
  <c r="Q5269" i="210"/>
  <c r="D5270" i="210"/>
  <c r="K5270" i="210"/>
  <c r="L5270" i="210"/>
  <c r="N5270" i="210"/>
  <c r="P5270" i="210"/>
  <c r="Q5270" i="210"/>
  <c r="D5271" i="210"/>
  <c r="K5271" i="210"/>
  <c r="L5271" i="210"/>
  <c r="N5271" i="210"/>
  <c r="P5271" i="210"/>
  <c r="Q5271" i="210"/>
  <c r="D5272" i="210"/>
  <c r="K5272" i="210"/>
  <c r="L5272" i="210"/>
  <c r="N5272" i="210"/>
  <c r="P5272" i="210"/>
  <c r="Q5272" i="210"/>
  <c r="D5273" i="210"/>
  <c r="K5273" i="210"/>
  <c r="L5273" i="210"/>
  <c r="N5273" i="210"/>
  <c r="P5273" i="210"/>
  <c r="Q5273" i="210"/>
  <c r="D5274" i="210"/>
  <c r="K5274" i="210"/>
  <c r="L5274" i="210"/>
  <c r="N5274" i="210"/>
  <c r="P5274" i="210"/>
  <c r="Q5274" i="210"/>
  <c r="D5275" i="210"/>
  <c r="K5275" i="210"/>
  <c r="L5275" i="210"/>
  <c r="N5275" i="210"/>
  <c r="P5275" i="210"/>
  <c r="Q5275" i="210"/>
  <c r="D5276" i="210"/>
  <c r="K5276" i="210"/>
  <c r="L5276" i="210"/>
  <c r="N5276" i="210"/>
  <c r="P5276" i="210"/>
  <c r="Q5276" i="210"/>
  <c r="D5277" i="210"/>
  <c r="K5277" i="210"/>
  <c r="L5277" i="210"/>
  <c r="N5277" i="210"/>
  <c r="P5277" i="210"/>
  <c r="Q5277" i="210"/>
  <c r="D5278" i="210"/>
  <c r="K5278" i="210"/>
  <c r="L5278" i="210"/>
  <c r="N5278" i="210"/>
  <c r="P5278" i="210"/>
  <c r="Q5278" i="210"/>
  <c r="D5279" i="210"/>
  <c r="K5279" i="210"/>
  <c r="L5279" i="210"/>
  <c r="N5279" i="210"/>
  <c r="P5279" i="210"/>
  <c r="Q5279" i="210"/>
  <c r="D5280" i="210"/>
  <c r="K5280" i="210"/>
  <c r="L5280" i="210"/>
  <c r="N5280" i="210"/>
  <c r="P5280" i="210"/>
  <c r="Q5280" i="210"/>
  <c r="D5281" i="210"/>
  <c r="K5281" i="210"/>
  <c r="L5281" i="210"/>
  <c r="N5281" i="210"/>
  <c r="P5281" i="210"/>
  <c r="Q5281" i="210"/>
  <c r="D5282" i="210"/>
  <c r="K5282" i="210"/>
  <c r="L5282" i="210"/>
  <c r="N5282" i="210"/>
  <c r="P5282" i="210"/>
  <c r="Q5282" i="210"/>
  <c r="D5283" i="210"/>
  <c r="K5283" i="210"/>
  <c r="L5283" i="210"/>
  <c r="N5283" i="210"/>
  <c r="P5283" i="210"/>
  <c r="Q5283" i="210"/>
  <c r="D5284" i="210"/>
  <c r="K5284" i="210"/>
  <c r="L5284" i="210"/>
  <c r="N5284" i="210"/>
  <c r="P5284" i="210"/>
  <c r="Q5284" i="210"/>
  <c r="D5285" i="210"/>
  <c r="K5285" i="210"/>
  <c r="L5285" i="210"/>
  <c r="N5285" i="210"/>
  <c r="P5285" i="210"/>
  <c r="Q5285" i="210"/>
  <c r="D5286" i="210"/>
  <c r="K5286" i="210"/>
  <c r="L5286" i="210"/>
  <c r="N5286" i="210"/>
  <c r="P5286" i="210"/>
  <c r="Q5286" i="210"/>
  <c r="D5287" i="210"/>
  <c r="K5287" i="210"/>
  <c r="L5287" i="210"/>
  <c r="N5287" i="210"/>
  <c r="P5287" i="210"/>
  <c r="Q5287" i="210"/>
  <c r="D5288" i="210"/>
  <c r="K5288" i="210"/>
  <c r="L5288" i="210"/>
  <c r="N5288" i="210"/>
  <c r="P5288" i="210"/>
  <c r="Q5288" i="210"/>
  <c r="D5289" i="210"/>
  <c r="K5289" i="210"/>
  <c r="L5289" i="210"/>
  <c r="N5289" i="210"/>
  <c r="P5289" i="210"/>
  <c r="Q5289" i="210"/>
  <c r="D5290" i="210"/>
  <c r="K5290" i="210"/>
  <c r="L5290" i="210"/>
  <c r="N5290" i="210"/>
  <c r="P5290" i="210"/>
  <c r="Q5290" i="210"/>
  <c r="D5291" i="210"/>
  <c r="K5291" i="210"/>
  <c r="L5291" i="210"/>
  <c r="N5291" i="210"/>
  <c r="P5291" i="210"/>
  <c r="Q5291" i="210"/>
  <c r="D5292" i="210"/>
  <c r="K5292" i="210"/>
  <c r="L5292" i="210"/>
  <c r="N5292" i="210"/>
  <c r="P5292" i="210"/>
  <c r="Q5292" i="210"/>
  <c r="D5293" i="210"/>
  <c r="K5293" i="210"/>
  <c r="L5293" i="210"/>
  <c r="N5293" i="210"/>
  <c r="P5293" i="210"/>
  <c r="Q5293" i="210"/>
  <c r="D5294" i="210"/>
  <c r="K5294" i="210"/>
  <c r="L5294" i="210"/>
  <c r="N5294" i="210"/>
  <c r="P5294" i="210"/>
  <c r="Q5294" i="210"/>
  <c r="D5295" i="210"/>
  <c r="K5295" i="210"/>
  <c r="L5295" i="210"/>
  <c r="N5295" i="210"/>
  <c r="P5295" i="210"/>
  <c r="Q5295" i="210"/>
  <c r="D5296" i="210"/>
  <c r="K5296" i="210"/>
  <c r="L5296" i="210"/>
  <c r="N5296" i="210"/>
  <c r="P5296" i="210"/>
  <c r="Q5296" i="210"/>
  <c r="D5297" i="210"/>
  <c r="K5297" i="210"/>
  <c r="L5297" i="210"/>
  <c r="N5297" i="210"/>
  <c r="P5297" i="210"/>
  <c r="Q5297" i="210"/>
  <c r="D5298" i="210"/>
  <c r="K5298" i="210"/>
  <c r="L5298" i="210"/>
  <c r="N5298" i="210"/>
  <c r="P5298" i="210"/>
  <c r="Q5298" i="210"/>
  <c r="D5299" i="210"/>
  <c r="K5299" i="210"/>
  <c r="L5299" i="210"/>
  <c r="N5299" i="210"/>
  <c r="P5299" i="210"/>
  <c r="Q5299" i="210"/>
  <c r="D5300" i="210"/>
  <c r="K5300" i="210"/>
  <c r="L5300" i="210"/>
  <c r="N5300" i="210"/>
  <c r="P5300" i="210"/>
  <c r="Q5300" i="210"/>
  <c r="D5301" i="210"/>
  <c r="K5301" i="210"/>
  <c r="L5301" i="210"/>
  <c r="N5301" i="210"/>
  <c r="P5301" i="210"/>
  <c r="Q5301" i="210"/>
  <c r="D5302" i="210"/>
  <c r="K5302" i="210"/>
  <c r="L5302" i="210"/>
  <c r="N5302" i="210"/>
  <c r="P5302" i="210"/>
  <c r="Q5302" i="210"/>
  <c r="D5303" i="210"/>
  <c r="K5303" i="210"/>
  <c r="L5303" i="210"/>
  <c r="N5303" i="210"/>
  <c r="P5303" i="210"/>
  <c r="Q5303" i="210"/>
  <c r="D5304" i="210"/>
  <c r="K5304" i="210"/>
  <c r="L5304" i="210"/>
  <c r="N5304" i="210"/>
  <c r="P5304" i="210"/>
  <c r="Q5304" i="210"/>
  <c r="D5305" i="210"/>
  <c r="K5305" i="210"/>
  <c r="L5305" i="210"/>
  <c r="N5305" i="210"/>
  <c r="P5305" i="210"/>
  <c r="Q5305" i="210"/>
  <c r="D5306" i="210"/>
  <c r="K5306" i="210"/>
  <c r="L5306" i="210"/>
  <c r="N5306" i="210"/>
  <c r="P5306" i="210"/>
  <c r="Q5306" i="210"/>
  <c r="D5307" i="210"/>
  <c r="K5307" i="210"/>
  <c r="L5307" i="210"/>
  <c r="N5307" i="210"/>
  <c r="P5307" i="210"/>
  <c r="Q5307" i="210"/>
  <c r="D5308" i="210"/>
  <c r="K5308" i="210"/>
  <c r="L5308" i="210"/>
  <c r="N5308" i="210"/>
  <c r="P5308" i="210"/>
  <c r="Q5308" i="210"/>
  <c r="D5309" i="210"/>
  <c r="K5309" i="210"/>
  <c r="L5309" i="210"/>
  <c r="N5309" i="210"/>
  <c r="P5309" i="210"/>
  <c r="Q5309" i="210"/>
  <c r="D5310" i="210"/>
  <c r="K5310" i="210"/>
  <c r="L5310" i="210"/>
  <c r="N5310" i="210"/>
  <c r="P5310" i="210"/>
  <c r="Q5310" i="210"/>
  <c r="D5311" i="210"/>
  <c r="K5311" i="210"/>
  <c r="L5311" i="210"/>
  <c r="N5311" i="210"/>
  <c r="P5311" i="210"/>
  <c r="Q5311" i="210"/>
  <c r="D5312" i="210"/>
  <c r="K5312" i="210"/>
  <c r="L5312" i="210"/>
  <c r="N5312" i="210"/>
  <c r="P5312" i="210"/>
  <c r="Q5312" i="210"/>
  <c r="D5313" i="210"/>
  <c r="K5313" i="210"/>
  <c r="L5313" i="210"/>
  <c r="N5313" i="210"/>
  <c r="P5313" i="210"/>
  <c r="Q5313" i="210"/>
  <c r="D5314" i="210"/>
  <c r="K5314" i="210"/>
  <c r="L5314" i="210"/>
  <c r="N5314" i="210"/>
  <c r="P5314" i="210"/>
  <c r="Q5314" i="210"/>
  <c r="C5317" i="210"/>
  <c r="C5318" i="210" s="1"/>
  <c r="C5319" i="210" s="1"/>
  <c r="E5317" i="210"/>
  <c r="E5318" i="210" s="1"/>
  <c r="E5319" i="210" s="1"/>
  <c r="E5321" i="210" s="1"/>
  <c r="H5317" i="210"/>
  <c r="I5317" i="210"/>
  <c r="J5317" i="210"/>
  <c r="I5318" i="210"/>
  <c r="I5319" i="210"/>
  <c r="D5321" i="210"/>
  <c r="K5321" i="210"/>
  <c r="L5321" i="210"/>
  <c r="N5321" i="210"/>
  <c r="P5321" i="210"/>
  <c r="Q5321" i="210"/>
  <c r="D5322" i="210"/>
  <c r="E5322" i="210"/>
  <c r="K5322" i="210"/>
  <c r="L5322" i="210"/>
  <c r="N5322" i="210"/>
  <c r="P5322" i="210"/>
  <c r="Q5322" i="210"/>
  <c r="D5323" i="210"/>
  <c r="E5323" i="210"/>
  <c r="E5325" i="210" s="1"/>
  <c r="E5327" i="210" s="1"/>
  <c r="E5329" i="210" s="1"/>
  <c r="K5323" i="210"/>
  <c r="L5323" i="210"/>
  <c r="N5323" i="210"/>
  <c r="P5323" i="210"/>
  <c r="Q5323" i="210"/>
  <c r="D5324" i="210"/>
  <c r="E5324" i="210"/>
  <c r="E5326" i="210" s="1"/>
  <c r="E5328" i="210" s="1"/>
  <c r="E5330" i="210" s="1"/>
  <c r="K5324" i="210"/>
  <c r="L5324" i="210"/>
  <c r="N5324" i="210"/>
  <c r="P5324" i="210"/>
  <c r="Q5324" i="210"/>
  <c r="D5325" i="210"/>
  <c r="K5325" i="210"/>
  <c r="L5325" i="210"/>
  <c r="N5325" i="210"/>
  <c r="P5325" i="210"/>
  <c r="Q5325" i="210"/>
  <c r="D5326" i="210"/>
  <c r="K5326" i="210"/>
  <c r="L5326" i="210"/>
  <c r="N5326" i="210"/>
  <c r="P5326" i="210"/>
  <c r="Q5326" i="210"/>
  <c r="D5327" i="210"/>
  <c r="K5327" i="210"/>
  <c r="L5327" i="210"/>
  <c r="N5327" i="210"/>
  <c r="P5327" i="210"/>
  <c r="Q5327" i="210"/>
  <c r="D5328" i="210"/>
  <c r="K5328" i="210"/>
  <c r="L5328" i="210"/>
  <c r="N5328" i="210"/>
  <c r="P5328" i="210"/>
  <c r="Q5328" i="210"/>
  <c r="D5329" i="210"/>
  <c r="K5329" i="210"/>
  <c r="L5329" i="210"/>
  <c r="N5329" i="210"/>
  <c r="P5329" i="210"/>
  <c r="Q5329" i="210"/>
  <c r="D5330" i="210"/>
  <c r="K5330" i="210"/>
  <c r="L5330" i="210"/>
  <c r="N5330" i="210"/>
  <c r="P5330" i="210"/>
  <c r="Q5330" i="210"/>
  <c r="D5331" i="210"/>
  <c r="E5331" i="210"/>
  <c r="E5333" i="210" s="1"/>
  <c r="E5335" i="210" s="1"/>
  <c r="E5337" i="210" s="1"/>
  <c r="E5339" i="210" s="1"/>
  <c r="E5341" i="210" s="1"/>
  <c r="E5343" i="210" s="1"/>
  <c r="E5345" i="210" s="1"/>
  <c r="E5347" i="210" s="1"/>
  <c r="E5349" i="210" s="1"/>
  <c r="E5351" i="210" s="1"/>
  <c r="K5331" i="210"/>
  <c r="L5331" i="210"/>
  <c r="N5331" i="210"/>
  <c r="P5331" i="210"/>
  <c r="Q5331" i="210"/>
  <c r="D5332" i="210"/>
  <c r="E5332" i="210"/>
  <c r="E5334" i="210" s="1"/>
  <c r="E5336" i="210" s="1"/>
  <c r="E5338" i="210" s="1"/>
  <c r="E5340" i="210" s="1"/>
  <c r="E5342" i="210" s="1"/>
  <c r="E5344" i="210" s="1"/>
  <c r="E5346" i="210" s="1"/>
  <c r="E5348" i="210" s="1"/>
  <c r="E5350" i="210" s="1"/>
  <c r="E5352" i="210" s="1"/>
  <c r="K5332" i="210"/>
  <c r="L5332" i="210"/>
  <c r="N5332" i="210"/>
  <c r="P5332" i="210"/>
  <c r="Q5332" i="210"/>
  <c r="D5333" i="210"/>
  <c r="K5333" i="210"/>
  <c r="L5333" i="210"/>
  <c r="N5333" i="210"/>
  <c r="P5333" i="210"/>
  <c r="Q5333" i="210"/>
  <c r="D5334" i="210"/>
  <c r="K5334" i="210"/>
  <c r="L5334" i="210"/>
  <c r="N5334" i="210"/>
  <c r="P5334" i="210"/>
  <c r="Q5334" i="210"/>
  <c r="D5335" i="210"/>
  <c r="K5335" i="210"/>
  <c r="L5335" i="210"/>
  <c r="N5335" i="210"/>
  <c r="P5335" i="210"/>
  <c r="Q5335" i="210"/>
  <c r="D5336" i="210"/>
  <c r="K5336" i="210"/>
  <c r="L5336" i="210"/>
  <c r="N5336" i="210"/>
  <c r="P5336" i="210"/>
  <c r="Q5336" i="210"/>
  <c r="D5337" i="210"/>
  <c r="K5337" i="210"/>
  <c r="L5337" i="210"/>
  <c r="N5337" i="210"/>
  <c r="P5337" i="210"/>
  <c r="Q5337" i="210"/>
  <c r="D5338" i="210"/>
  <c r="K5338" i="210"/>
  <c r="L5338" i="210"/>
  <c r="N5338" i="210"/>
  <c r="P5338" i="210"/>
  <c r="Q5338" i="210"/>
  <c r="D5339" i="210"/>
  <c r="K5339" i="210"/>
  <c r="L5339" i="210"/>
  <c r="N5339" i="210"/>
  <c r="P5339" i="210"/>
  <c r="Q5339" i="210"/>
  <c r="D5340" i="210"/>
  <c r="K5340" i="210"/>
  <c r="L5340" i="210"/>
  <c r="N5340" i="210"/>
  <c r="P5340" i="210"/>
  <c r="Q5340" i="210"/>
  <c r="D5341" i="210"/>
  <c r="K5341" i="210"/>
  <c r="L5341" i="210"/>
  <c r="N5341" i="210"/>
  <c r="P5341" i="210"/>
  <c r="Q5341" i="210"/>
  <c r="D5342" i="210"/>
  <c r="K5342" i="210"/>
  <c r="L5342" i="210"/>
  <c r="N5342" i="210"/>
  <c r="P5342" i="210"/>
  <c r="Q5342" i="210"/>
  <c r="D5343" i="210"/>
  <c r="K5343" i="210"/>
  <c r="L5343" i="210"/>
  <c r="N5343" i="210"/>
  <c r="P5343" i="210"/>
  <c r="Q5343" i="210"/>
  <c r="D5344" i="210"/>
  <c r="K5344" i="210"/>
  <c r="L5344" i="210"/>
  <c r="N5344" i="210"/>
  <c r="P5344" i="210"/>
  <c r="Q5344" i="210"/>
  <c r="D5345" i="210"/>
  <c r="K5345" i="210"/>
  <c r="L5345" i="210"/>
  <c r="N5345" i="210"/>
  <c r="P5345" i="210"/>
  <c r="Q5345" i="210"/>
  <c r="D5346" i="210"/>
  <c r="K5346" i="210"/>
  <c r="L5346" i="210"/>
  <c r="N5346" i="210"/>
  <c r="P5346" i="210"/>
  <c r="Q5346" i="210"/>
  <c r="D5347" i="210"/>
  <c r="K5347" i="210"/>
  <c r="L5347" i="210"/>
  <c r="N5347" i="210"/>
  <c r="P5347" i="210"/>
  <c r="Q5347" i="210"/>
  <c r="D5348" i="210"/>
  <c r="K5348" i="210"/>
  <c r="L5348" i="210"/>
  <c r="N5348" i="210"/>
  <c r="P5348" i="210"/>
  <c r="Q5348" i="210"/>
  <c r="D5349" i="210"/>
  <c r="K5349" i="210"/>
  <c r="L5349" i="210"/>
  <c r="N5349" i="210"/>
  <c r="P5349" i="210"/>
  <c r="Q5349" i="210"/>
  <c r="D5350" i="210"/>
  <c r="K5350" i="210"/>
  <c r="L5350" i="210"/>
  <c r="N5350" i="210"/>
  <c r="P5350" i="210"/>
  <c r="Q5350" i="210"/>
  <c r="D5351" i="210"/>
  <c r="K5351" i="210"/>
  <c r="L5351" i="210"/>
  <c r="N5351" i="210"/>
  <c r="P5351" i="210"/>
  <c r="Q5351" i="210"/>
  <c r="D5352" i="210"/>
  <c r="K5352" i="210"/>
  <c r="L5352" i="210"/>
  <c r="N5352" i="210"/>
  <c r="P5352" i="210"/>
  <c r="Q5352" i="210"/>
  <c r="C5355" i="210"/>
  <c r="H5355" i="210"/>
  <c r="E5355" i="210" s="1"/>
  <c r="E5356" i="210" s="1"/>
  <c r="E5357" i="210" s="1"/>
  <c r="E5359" i="210" s="1"/>
  <c r="E5361" i="210" s="1"/>
  <c r="I5355" i="210"/>
  <c r="J5355" i="210"/>
  <c r="C5356" i="210"/>
  <c r="I5356" i="210"/>
  <c r="C5357" i="210"/>
  <c r="I5357" i="210"/>
  <c r="D5359" i="210"/>
  <c r="K5359" i="210"/>
  <c r="L5359" i="210"/>
  <c r="N5359" i="210"/>
  <c r="P5359" i="210"/>
  <c r="Q5359" i="210"/>
  <c r="D5360" i="210"/>
  <c r="E5360" i="210"/>
  <c r="E5362" i="210" s="1"/>
  <c r="E5364" i="210" s="1"/>
  <c r="E5366" i="210" s="1"/>
  <c r="E5368" i="210" s="1"/>
  <c r="E5370" i="210" s="1"/>
  <c r="E5372" i="210" s="1"/>
  <c r="E5374" i="210" s="1"/>
  <c r="E5376" i="210" s="1"/>
  <c r="E5378" i="210" s="1"/>
  <c r="E5380" i="210" s="1"/>
  <c r="E5382" i="210" s="1"/>
  <c r="K5360" i="210"/>
  <c r="L5360" i="210"/>
  <c r="N5360" i="210"/>
  <c r="P5360" i="210"/>
  <c r="Q5360" i="210"/>
  <c r="D5361" i="210"/>
  <c r="K5361" i="210"/>
  <c r="L5361" i="210"/>
  <c r="N5361" i="210"/>
  <c r="P5361" i="210"/>
  <c r="Q5361" i="210"/>
  <c r="D5362" i="210"/>
  <c r="K5362" i="210"/>
  <c r="L5362" i="210"/>
  <c r="N5362" i="210"/>
  <c r="P5362" i="210"/>
  <c r="Q5362" i="210"/>
  <c r="D5363" i="210"/>
  <c r="E5363" i="210"/>
  <c r="E5365" i="210" s="1"/>
  <c r="E5367" i="210" s="1"/>
  <c r="E5369" i="210" s="1"/>
  <c r="E5371" i="210" s="1"/>
  <c r="E5373" i="210" s="1"/>
  <c r="E5375" i="210" s="1"/>
  <c r="E5377" i="210" s="1"/>
  <c r="E5379" i="210" s="1"/>
  <c r="E5381" i="210" s="1"/>
  <c r="E5383" i="210" s="1"/>
  <c r="K5363" i="210"/>
  <c r="L5363" i="210"/>
  <c r="N5363" i="210"/>
  <c r="P5363" i="210"/>
  <c r="Q5363" i="210"/>
  <c r="D5364" i="210"/>
  <c r="K5364" i="210"/>
  <c r="L5364" i="210"/>
  <c r="N5364" i="210"/>
  <c r="P5364" i="210"/>
  <c r="Q5364" i="210"/>
  <c r="D5365" i="210"/>
  <c r="K5365" i="210"/>
  <c r="L5365" i="210"/>
  <c r="N5365" i="210"/>
  <c r="P5365" i="210"/>
  <c r="Q5365" i="210"/>
  <c r="D5366" i="210"/>
  <c r="K5366" i="210"/>
  <c r="L5366" i="210"/>
  <c r="N5366" i="210"/>
  <c r="P5366" i="210"/>
  <c r="Q5366" i="210"/>
  <c r="D5367" i="210"/>
  <c r="K5367" i="210"/>
  <c r="L5367" i="210"/>
  <c r="N5367" i="210"/>
  <c r="P5367" i="210"/>
  <c r="Q5367" i="210"/>
  <c r="D5368" i="210"/>
  <c r="K5368" i="210"/>
  <c r="L5368" i="210"/>
  <c r="N5368" i="210"/>
  <c r="P5368" i="210"/>
  <c r="Q5368" i="210"/>
  <c r="D5369" i="210"/>
  <c r="K5369" i="210"/>
  <c r="L5369" i="210"/>
  <c r="N5369" i="210"/>
  <c r="P5369" i="210"/>
  <c r="Q5369" i="210"/>
  <c r="D5370" i="210"/>
  <c r="K5370" i="210"/>
  <c r="L5370" i="210"/>
  <c r="N5370" i="210"/>
  <c r="P5370" i="210"/>
  <c r="Q5370" i="210"/>
  <c r="D5371" i="210"/>
  <c r="K5371" i="210"/>
  <c r="L5371" i="210"/>
  <c r="N5371" i="210"/>
  <c r="P5371" i="210"/>
  <c r="Q5371" i="210"/>
  <c r="D5372" i="210"/>
  <c r="K5372" i="210"/>
  <c r="L5372" i="210"/>
  <c r="N5372" i="210"/>
  <c r="P5372" i="210"/>
  <c r="Q5372" i="210"/>
  <c r="D5373" i="210"/>
  <c r="K5373" i="210"/>
  <c r="L5373" i="210"/>
  <c r="N5373" i="210"/>
  <c r="P5373" i="210"/>
  <c r="Q5373" i="210"/>
  <c r="D5374" i="210"/>
  <c r="K5374" i="210"/>
  <c r="L5374" i="210"/>
  <c r="N5374" i="210"/>
  <c r="P5374" i="210"/>
  <c r="Q5374" i="210"/>
  <c r="D5375" i="210"/>
  <c r="K5375" i="210"/>
  <c r="L5375" i="210"/>
  <c r="N5375" i="210"/>
  <c r="P5375" i="210"/>
  <c r="Q5375" i="210"/>
  <c r="D5376" i="210"/>
  <c r="K5376" i="210"/>
  <c r="L5376" i="210"/>
  <c r="N5376" i="210"/>
  <c r="P5376" i="210"/>
  <c r="Q5376" i="210"/>
  <c r="D5377" i="210"/>
  <c r="K5377" i="210"/>
  <c r="L5377" i="210"/>
  <c r="N5377" i="210"/>
  <c r="P5377" i="210"/>
  <c r="Q5377" i="210"/>
  <c r="D5378" i="210"/>
  <c r="K5378" i="210"/>
  <c r="L5378" i="210"/>
  <c r="N5378" i="210"/>
  <c r="P5378" i="210"/>
  <c r="Q5378" i="210"/>
  <c r="D5379" i="210"/>
  <c r="K5379" i="210"/>
  <c r="L5379" i="210"/>
  <c r="N5379" i="210"/>
  <c r="P5379" i="210"/>
  <c r="Q5379" i="210"/>
  <c r="D5380" i="210"/>
  <c r="K5380" i="210"/>
  <c r="L5380" i="210"/>
  <c r="N5380" i="210"/>
  <c r="P5380" i="210"/>
  <c r="Q5380" i="210"/>
  <c r="D5381" i="210"/>
  <c r="K5381" i="210"/>
  <c r="L5381" i="210"/>
  <c r="N5381" i="210"/>
  <c r="P5381" i="210"/>
  <c r="Q5381" i="210"/>
  <c r="D5382" i="210"/>
  <c r="K5382" i="210"/>
  <c r="L5382" i="210"/>
  <c r="N5382" i="210"/>
  <c r="P5382" i="210"/>
  <c r="Q5382" i="210"/>
  <c r="D5383" i="210"/>
  <c r="K5383" i="210"/>
  <c r="L5383" i="210"/>
  <c r="N5383" i="210"/>
  <c r="P5383" i="210"/>
  <c r="Q5383" i="210"/>
  <c r="C5386" i="210"/>
  <c r="H5386" i="210"/>
  <c r="E5386" i="210" s="1"/>
  <c r="E5387" i="210" s="1"/>
  <c r="E5388" i="210" s="1"/>
  <c r="E5390" i="210" s="1"/>
  <c r="E5392" i="210" s="1"/>
  <c r="E5394" i="210" s="1"/>
  <c r="E5396" i="210" s="1"/>
  <c r="E5398" i="210" s="1"/>
  <c r="E5400" i="210" s="1"/>
  <c r="E5402" i="210" s="1"/>
  <c r="E5404" i="210" s="1"/>
  <c r="E5406" i="210" s="1"/>
  <c r="E5408" i="210" s="1"/>
  <c r="E5410" i="210" s="1"/>
  <c r="E5412" i="210" s="1"/>
  <c r="E5414" i="210" s="1"/>
  <c r="E5416" i="210" s="1"/>
  <c r="E5418" i="210" s="1"/>
  <c r="E5420" i="210" s="1"/>
  <c r="E5422" i="210" s="1"/>
  <c r="E5424" i="210" s="1"/>
  <c r="E5426" i="210" s="1"/>
  <c r="E5428" i="210" s="1"/>
  <c r="E5430" i="210" s="1"/>
  <c r="E5432" i="210" s="1"/>
  <c r="E5434" i="210" s="1"/>
  <c r="E5436" i="210" s="1"/>
  <c r="E5438" i="210" s="1"/>
  <c r="E5440" i="210" s="1"/>
  <c r="E5442" i="210" s="1"/>
  <c r="E5444" i="210" s="1"/>
  <c r="E5446" i="210" s="1"/>
  <c r="E5448" i="210" s="1"/>
  <c r="E5450" i="210" s="1"/>
  <c r="E5452" i="210" s="1"/>
  <c r="E5454" i="210" s="1"/>
  <c r="E5456" i="210" s="1"/>
  <c r="E5458" i="210" s="1"/>
  <c r="E5460" i="210" s="1"/>
  <c r="E5462" i="210" s="1"/>
  <c r="E5464" i="210" s="1"/>
  <c r="E5466" i="210" s="1"/>
  <c r="E5468" i="210" s="1"/>
  <c r="E5470" i="210" s="1"/>
  <c r="E5472" i="210" s="1"/>
  <c r="E5474" i="210" s="1"/>
  <c r="E5476" i="210" s="1"/>
  <c r="E5478" i="210" s="1"/>
  <c r="E5480" i="210" s="1"/>
  <c r="I5386" i="210"/>
  <c r="J5386" i="210"/>
  <c r="C5387" i="210"/>
  <c r="I5387" i="210"/>
  <c r="C5388" i="210"/>
  <c r="I5388" i="210"/>
  <c r="D5390" i="210"/>
  <c r="K5390" i="210"/>
  <c r="L5390" i="210"/>
  <c r="N5390" i="210"/>
  <c r="P5390" i="210"/>
  <c r="Q5390" i="210"/>
  <c r="D5391" i="210"/>
  <c r="E5391" i="210"/>
  <c r="K5391" i="210"/>
  <c r="L5391" i="210"/>
  <c r="N5391" i="210"/>
  <c r="P5391" i="210"/>
  <c r="Q5391" i="210"/>
  <c r="D5392" i="210"/>
  <c r="K5392" i="210"/>
  <c r="L5392" i="210"/>
  <c r="N5392" i="210"/>
  <c r="P5392" i="210"/>
  <c r="Q5392" i="210"/>
  <c r="D5393" i="210"/>
  <c r="E5393" i="210"/>
  <c r="E5395" i="210" s="1"/>
  <c r="E5397" i="210" s="1"/>
  <c r="E5399" i="210" s="1"/>
  <c r="E5401" i="210" s="1"/>
  <c r="E5403" i="210" s="1"/>
  <c r="E5405" i="210" s="1"/>
  <c r="E5407" i="210" s="1"/>
  <c r="E5409" i="210" s="1"/>
  <c r="E5411" i="210" s="1"/>
  <c r="E5413" i="210" s="1"/>
  <c r="E5415" i="210" s="1"/>
  <c r="E5417" i="210" s="1"/>
  <c r="E5419" i="210" s="1"/>
  <c r="E5421" i="210" s="1"/>
  <c r="E5423" i="210" s="1"/>
  <c r="E5425" i="210" s="1"/>
  <c r="E5427" i="210" s="1"/>
  <c r="E5429" i="210" s="1"/>
  <c r="E5431" i="210" s="1"/>
  <c r="E5433" i="210" s="1"/>
  <c r="E5435" i="210" s="1"/>
  <c r="E5437" i="210" s="1"/>
  <c r="E5439" i="210" s="1"/>
  <c r="E5441" i="210" s="1"/>
  <c r="E5443" i="210" s="1"/>
  <c r="E5445" i="210" s="1"/>
  <c r="E5447" i="210" s="1"/>
  <c r="E5449" i="210" s="1"/>
  <c r="E5451" i="210" s="1"/>
  <c r="E5453" i="210" s="1"/>
  <c r="E5455" i="210" s="1"/>
  <c r="E5457" i="210" s="1"/>
  <c r="E5459" i="210" s="1"/>
  <c r="E5461" i="210" s="1"/>
  <c r="E5463" i="210" s="1"/>
  <c r="E5465" i="210" s="1"/>
  <c r="E5467" i="210" s="1"/>
  <c r="E5469" i="210" s="1"/>
  <c r="E5471" i="210" s="1"/>
  <c r="E5473" i="210" s="1"/>
  <c r="E5475" i="210" s="1"/>
  <c r="E5477" i="210" s="1"/>
  <c r="E5479" i="210" s="1"/>
  <c r="K5393" i="210"/>
  <c r="L5393" i="210"/>
  <c r="N5393" i="210"/>
  <c r="P5393" i="210"/>
  <c r="Q5393" i="210"/>
  <c r="D5394" i="210"/>
  <c r="K5394" i="210"/>
  <c r="L5394" i="210"/>
  <c r="N5394" i="210"/>
  <c r="P5394" i="210"/>
  <c r="Q5394" i="210"/>
  <c r="D5395" i="210"/>
  <c r="K5395" i="210"/>
  <c r="L5395" i="210"/>
  <c r="N5395" i="210"/>
  <c r="P5395" i="210"/>
  <c r="Q5395" i="210"/>
  <c r="D5396" i="210"/>
  <c r="K5396" i="210"/>
  <c r="L5396" i="210"/>
  <c r="N5396" i="210"/>
  <c r="P5396" i="210"/>
  <c r="Q5396" i="210"/>
  <c r="D5397" i="210"/>
  <c r="K5397" i="210"/>
  <c r="L5397" i="210"/>
  <c r="N5397" i="210"/>
  <c r="P5397" i="210"/>
  <c r="Q5397" i="210"/>
  <c r="D5398" i="210"/>
  <c r="K5398" i="210"/>
  <c r="L5398" i="210"/>
  <c r="N5398" i="210"/>
  <c r="P5398" i="210"/>
  <c r="Q5398" i="210"/>
  <c r="D5399" i="210"/>
  <c r="K5399" i="210"/>
  <c r="L5399" i="210"/>
  <c r="N5399" i="210"/>
  <c r="P5399" i="210"/>
  <c r="Q5399" i="210"/>
  <c r="D5400" i="210"/>
  <c r="K5400" i="210"/>
  <c r="L5400" i="210"/>
  <c r="N5400" i="210"/>
  <c r="P5400" i="210"/>
  <c r="Q5400" i="210"/>
  <c r="D5401" i="210"/>
  <c r="K5401" i="210"/>
  <c r="L5401" i="210"/>
  <c r="N5401" i="210"/>
  <c r="P5401" i="210"/>
  <c r="Q5401" i="210"/>
  <c r="D5402" i="210"/>
  <c r="K5402" i="210"/>
  <c r="L5402" i="210"/>
  <c r="N5402" i="210"/>
  <c r="P5402" i="210"/>
  <c r="Q5402" i="210"/>
  <c r="D5403" i="210"/>
  <c r="K5403" i="210"/>
  <c r="L5403" i="210"/>
  <c r="N5403" i="210"/>
  <c r="P5403" i="210"/>
  <c r="Q5403" i="210"/>
  <c r="D5404" i="210"/>
  <c r="K5404" i="210"/>
  <c r="L5404" i="210"/>
  <c r="N5404" i="210"/>
  <c r="P5404" i="210"/>
  <c r="Q5404" i="210"/>
  <c r="D5405" i="210"/>
  <c r="K5405" i="210"/>
  <c r="L5405" i="210"/>
  <c r="N5405" i="210"/>
  <c r="P5405" i="210"/>
  <c r="Q5405" i="210"/>
  <c r="D5406" i="210"/>
  <c r="K5406" i="210"/>
  <c r="L5406" i="210"/>
  <c r="N5406" i="210"/>
  <c r="P5406" i="210"/>
  <c r="Q5406" i="210"/>
  <c r="D5407" i="210"/>
  <c r="K5407" i="210"/>
  <c r="L5407" i="210"/>
  <c r="N5407" i="210"/>
  <c r="P5407" i="210"/>
  <c r="Q5407" i="210"/>
  <c r="D5408" i="210"/>
  <c r="K5408" i="210"/>
  <c r="L5408" i="210"/>
  <c r="N5408" i="210"/>
  <c r="P5408" i="210"/>
  <c r="Q5408" i="210"/>
  <c r="D5409" i="210"/>
  <c r="K5409" i="210"/>
  <c r="L5409" i="210"/>
  <c r="N5409" i="210"/>
  <c r="P5409" i="210"/>
  <c r="Q5409" i="210"/>
  <c r="D5410" i="210"/>
  <c r="K5410" i="210"/>
  <c r="L5410" i="210"/>
  <c r="N5410" i="210"/>
  <c r="P5410" i="210"/>
  <c r="Q5410" i="210"/>
  <c r="D5411" i="210"/>
  <c r="K5411" i="210"/>
  <c r="L5411" i="210"/>
  <c r="N5411" i="210"/>
  <c r="P5411" i="210"/>
  <c r="Q5411" i="210"/>
  <c r="D5412" i="210"/>
  <c r="K5412" i="210"/>
  <c r="L5412" i="210"/>
  <c r="N5412" i="210"/>
  <c r="P5412" i="210"/>
  <c r="Q5412" i="210"/>
  <c r="D5413" i="210"/>
  <c r="K5413" i="210"/>
  <c r="L5413" i="210"/>
  <c r="N5413" i="210"/>
  <c r="P5413" i="210"/>
  <c r="Q5413" i="210"/>
  <c r="D5414" i="210"/>
  <c r="K5414" i="210"/>
  <c r="L5414" i="210"/>
  <c r="N5414" i="210"/>
  <c r="P5414" i="210"/>
  <c r="Q5414" i="210"/>
  <c r="D5415" i="210"/>
  <c r="K5415" i="210"/>
  <c r="L5415" i="210"/>
  <c r="N5415" i="210"/>
  <c r="P5415" i="210"/>
  <c r="Q5415" i="210"/>
  <c r="D5416" i="210"/>
  <c r="K5416" i="210"/>
  <c r="L5416" i="210"/>
  <c r="N5416" i="210"/>
  <c r="P5416" i="210"/>
  <c r="Q5416" i="210"/>
  <c r="D5417" i="210"/>
  <c r="K5417" i="210"/>
  <c r="L5417" i="210"/>
  <c r="N5417" i="210"/>
  <c r="P5417" i="210"/>
  <c r="Q5417" i="210"/>
  <c r="D5418" i="210"/>
  <c r="K5418" i="210"/>
  <c r="L5418" i="210"/>
  <c r="N5418" i="210"/>
  <c r="P5418" i="210"/>
  <c r="Q5418" i="210"/>
  <c r="D5419" i="210"/>
  <c r="K5419" i="210"/>
  <c r="L5419" i="210"/>
  <c r="N5419" i="210"/>
  <c r="P5419" i="210"/>
  <c r="Q5419" i="210"/>
  <c r="D5420" i="210"/>
  <c r="K5420" i="210"/>
  <c r="L5420" i="210"/>
  <c r="N5420" i="210"/>
  <c r="P5420" i="210"/>
  <c r="Q5420" i="210"/>
  <c r="D5421" i="210"/>
  <c r="K5421" i="210"/>
  <c r="L5421" i="210"/>
  <c r="N5421" i="210"/>
  <c r="P5421" i="210"/>
  <c r="Q5421" i="210"/>
  <c r="D5422" i="210"/>
  <c r="K5422" i="210"/>
  <c r="L5422" i="210"/>
  <c r="N5422" i="210"/>
  <c r="P5422" i="210"/>
  <c r="Q5422" i="210"/>
  <c r="D5423" i="210"/>
  <c r="K5423" i="210"/>
  <c r="L5423" i="210"/>
  <c r="N5423" i="210"/>
  <c r="P5423" i="210"/>
  <c r="Q5423" i="210"/>
  <c r="D5424" i="210"/>
  <c r="K5424" i="210"/>
  <c r="L5424" i="210"/>
  <c r="N5424" i="210"/>
  <c r="P5424" i="210"/>
  <c r="Q5424" i="210"/>
  <c r="D5425" i="210"/>
  <c r="K5425" i="210"/>
  <c r="L5425" i="210"/>
  <c r="N5425" i="210"/>
  <c r="P5425" i="210"/>
  <c r="Q5425" i="210"/>
  <c r="D5426" i="210"/>
  <c r="K5426" i="210"/>
  <c r="L5426" i="210"/>
  <c r="N5426" i="210"/>
  <c r="P5426" i="210"/>
  <c r="Q5426" i="210"/>
  <c r="D5427" i="210"/>
  <c r="K5427" i="210"/>
  <c r="L5427" i="210"/>
  <c r="N5427" i="210"/>
  <c r="P5427" i="210"/>
  <c r="Q5427" i="210"/>
  <c r="D5428" i="210"/>
  <c r="K5428" i="210"/>
  <c r="L5428" i="210"/>
  <c r="N5428" i="210"/>
  <c r="P5428" i="210"/>
  <c r="Q5428" i="210"/>
  <c r="D5429" i="210"/>
  <c r="K5429" i="210"/>
  <c r="L5429" i="210"/>
  <c r="N5429" i="210"/>
  <c r="P5429" i="210"/>
  <c r="Q5429" i="210"/>
  <c r="D5430" i="210"/>
  <c r="K5430" i="210"/>
  <c r="L5430" i="210"/>
  <c r="N5430" i="210"/>
  <c r="P5430" i="210"/>
  <c r="Q5430" i="210"/>
  <c r="D5431" i="210"/>
  <c r="K5431" i="210"/>
  <c r="L5431" i="210"/>
  <c r="N5431" i="210"/>
  <c r="P5431" i="210"/>
  <c r="Q5431" i="210"/>
  <c r="D5432" i="210"/>
  <c r="K5432" i="210"/>
  <c r="L5432" i="210"/>
  <c r="N5432" i="210"/>
  <c r="P5432" i="210"/>
  <c r="Q5432" i="210"/>
  <c r="D5433" i="210"/>
  <c r="K5433" i="210"/>
  <c r="L5433" i="210"/>
  <c r="N5433" i="210"/>
  <c r="P5433" i="210"/>
  <c r="Q5433" i="210"/>
  <c r="D5434" i="210"/>
  <c r="K5434" i="210"/>
  <c r="L5434" i="210"/>
  <c r="N5434" i="210"/>
  <c r="P5434" i="210"/>
  <c r="Q5434" i="210"/>
  <c r="D5435" i="210"/>
  <c r="K5435" i="210"/>
  <c r="L5435" i="210"/>
  <c r="N5435" i="210"/>
  <c r="P5435" i="210"/>
  <c r="Q5435" i="210"/>
  <c r="D5436" i="210"/>
  <c r="K5436" i="210"/>
  <c r="L5436" i="210"/>
  <c r="N5436" i="210"/>
  <c r="P5436" i="210"/>
  <c r="Q5436" i="210"/>
  <c r="D5437" i="210"/>
  <c r="K5437" i="210"/>
  <c r="L5437" i="210"/>
  <c r="N5437" i="210"/>
  <c r="P5437" i="210"/>
  <c r="Q5437" i="210"/>
  <c r="D5438" i="210"/>
  <c r="K5438" i="210"/>
  <c r="L5438" i="210"/>
  <c r="N5438" i="210"/>
  <c r="P5438" i="210"/>
  <c r="Q5438" i="210"/>
  <c r="D5439" i="210"/>
  <c r="K5439" i="210"/>
  <c r="L5439" i="210"/>
  <c r="N5439" i="210"/>
  <c r="P5439" i="210"/>
  <c r="Q5439" i="210"/>
  <c r="D5440" i="210"/>
  <c r="K5440" i="210"/>
  <c r="L5440" i="210"/>
  <c r="N5440" i="210"/>
  <c r="P5440" i="210"/>
  <c r="Q5440" i="210"/>
  <c r="D5441" i="210"/>
  <c r="K5441" i="210"/>
  <c r="L5441" i="210"/>
  <c r="N5441" i="210"/>
  <c r="P5441" i="210"/>
  <c r="Q5441" i="210"/>
  <c r="D5442" i="210"/>
  <c r="K5442" i="210"/>
  <c r="L5442" i="210"/>
  <c r="N5442" i="210"/>
  <c r="P5442" i="210"/>
  <c r="Q5442" i="210"/>
  <c r="D5443" i="210"/>
  <c r="K5443" i="210"/>
  <c r="L5443" i="210"/>
  <c r="N5443" i="210"/>
  <c r="P5443" i="210"/>
  <c r="Q5443" i="210"/>
  <c r="D5444" i="210"/>
  <c r="K5444" i="210"/>
  <c r="L5444" i="210"/>
  <c r="N5444" i="210"/>
  <c r="P5444" i="210"/>
  <c r="Q5444" i="210"/>
  <c r="D5445" i="210"/>
  <c r="K5445" i="210"/>
  <c r="L5445" i="210"/>
  <c r="N5445" i="210"/>
  <c r="P5445" i="210"/>
  <c r="Q5445" i="210"/>
  <c r="D5446" i="210"/>
  <c r="K5446" i="210"/>
  <c r="L5446" i="210"/>
  <c r="N5446" i="210"/>
  <c r="P5446" i="210"/>
  <c r="Q5446" i="210"/>
  <c r="D5447" i="210"/>
  <c r="K5447" i="210"/>
  <c r="L5447" i="210"/>
  <c r="N5447" i="210"/>
  <c r="P5447" i="210"/>
  <c r="Q5447" i="210"/>
  <c r="D5448" i="210"/>
  <c r="K5448" i="210"/>
  <c r="L5448" i="210"/>
  <c r="N5448" i="210"/>
  <c r="P5448" i="210"/>
  <c r="Q5448" i="210"/>
  <c r="D5449" i="210"/>
  <c r="K5449" i="210"/>
  <c r="L5449" i="210"/>
  <c r="N5449" i="210"/>
  <c r="P5449" i="210"/>
  <c r="Q5449" i="210"/>
  <c r="D5450" i="210"/>
  <c r="K5450" i="210"/>
  <c r="L5450" i="210"/>
  <c r="N5450" i="210"/>
  <c r="P5450" i="210"/>
  <c r="Q5450" i="210"/>
  <c r="D5451" i="210"/>
  <c r="K5451" i="210"/>
  <c r="L5451" i="210"/>
  <c r="N5451" i="210"/>
  <c r="P5451" i="210"/>
  <c r="Q5451" i="210"/>
  <c r="D5452" i="210"/>
  <c r="K5452" i="210"/>
  <c r="L5452" i="210"/>
  <c r="N5452" i="210"/>
  <c r="P5452" i="210"/>
  <c r="Q5452" i="210"/>
  <c r="D5453" i="210"/>
  <c r="K5453" i="210"/>
  <c r="L5453" i="210"/>
  <c r="N5453" i="210"/>
  <c r="P5453" i="210"/>
  <c r="Q5453" i="210"/>
  <c r="D5454" i="210"/>
  <c r="K5454" i="210"/>
  <c r="L5454" i="210"/>
  <c r="N5454" i="210"/>
  <c r="P5454" i="210"/>
  <c r="Q5454" i="210"/>
  <c r="D5455" i="210"/>
  <c r="K5455" i="210"/>
  <c r="L5455" i="210"/>
  <c r="N5455" i="210"/>
  <c r="P5455" i="210"/>
  <c r="Q5455" i="210"/>
  <c r="D5456" i="210"/>
  <c r="K5456" i="210"/>
  <c r="L5456" i="210"/>
  <c r="N5456" i="210"/>
  <c r="P5456" i="210"/>
  <c r="Q5456" i="210"/>
  <c r="D5457" i="210"/>
  <c r="K5457" i="210"/>
  <c r="L5457" i="210"/>
  <c r="N5457" i="210"/>
  <c r="P5457" i="210"/>
  <c r="Q5457" i="210"/>
  <c r="D5458" i="210"/>
  <c r="K5458" i="210"/>
  <c r="L5458" i="210"/>
  <c r="N5458" i="210"/>
  <c r="P5458" i="210"/>
  <c r="Q5458" i="210"/>
  <c r="D5459" i="210"/>
  <c r="K5459" i="210"/>
  <c r="L5459" i="210"/>
  <c r="N5459" i="210"/>
  <c r="P5459" i="210"/>
  <c r="Q5459" i="210"/>
  <c r="D5460" i="210"/>
  <c r="K5460" i="210"/>
  <c r="L5460" i="210"/>
  <c r="N5460" i="210"/>
  <c r="P5460" i="210"/>
  <c r="Q5460" i="210"/>
  <c r="D5461" i="210"/>
  <c r="K5461" i="210"/>
  <c r="L5461" i="210"/>
  <c r="N5461" i="210"/>
  <c r="P5461" i="210"/>
  <c r="Q5461" i="210"/>
  <c r="D5462" i="210"/>
  <c r="K5462" i="210"/>
  <c r="L5462" i="210"/>
  <c r="N5462" i="210"/>
  <c r="P5462" i="210"/>
  <c r="Q5462" i="210"/>
  <c r="D5463" i="210"/>
  <c r="K5463" i="210"/>
  <c r="L5463" i="210"/>
  <c r="N5463" i="210"/>
  <c r="P5463" i="210"/>
  <c r="Q5463" i="210"/>
  <c r="D5464" i="210"/>
  <c r="K5464" i="210"/>
  <c r="L5464" i="210"/>
  <c r="N5464" i="210"/>
  <c r="P5464" i="210"/>
  <c r="Q5464" i="210"/>
  <c r="D5465" i="210"/>
  <c r="K5465" i="210"/>
  <c r="L5465" i="210"/>
  <c r="N5465" i="210"/>
  <c r="P5465" i="210"/>
  <c r="Q5465" i="210"/>
  <c r="D5466" i="210"/>
  <c r="K5466" i="210"/>
  <c r="L5466" i="210"/>
  <c r="N5466" i="210"/>
  <c r="P5466" i="210"/>
  <c r="Q5466" i="210"/>
  <c r="D5467" i="210"/>
  <c r="K5467" i="210"/>
  <c r="L5467" i="210"/>
  <c r="N5467" i="210"/>
  <c r="P5467" i="210"/>
  <c r="Q5467" i="210"/>
  <c r="D5468" i="210"/>
  <c r="K5468" i="210"/>
  <c r="L5468" i="210"/>
  <c r="N5468" i="210"/>
  <c r="P5468" i="210"/>
  <c r="Q5468" i="210"/>
  <c r="D5469" i="210"/>
  <c r="K5469" i="210"/>
  <c r="L5469" i="210"/>
  <c r="N5469" i="210"/>
  <c r="P5469" i="210"/>
  <c r="Q5469" i="210"/>
  <c r="D5470" i="210"/>
  <c r="K5470" i="210"/>
  <c r="L5470" i="210"/>
  <c r="N5470" i="210"/>
  <c r="P5470" i="210"/>
  <c r="Q5470" i="210"/>
  <c r="D5471" i="210"/>
  <c r="K5471" i="210"/>
  <c r="L5471" i="210"/>
  <c r="N5471" i="210"/>
  <c r="P5471" i="210"/>
  <c r="Q5471" i="210"/>
  <c r="D5472" i="210"/>
  <c r="K5472" i="210"/>
  <c r="L5472" i="210"/>
  <c r="N5472" i="210"/>
  <c r="P5472" i="210"/>
  <c r="Q5472" i="210"/>
  <c r="D5473" i="210"/>
  <c r="K5473" i="210"/>
  <c r="L5473" i="210"/>
  <c r="N5473" i="210"/>
  <c r="P5473" i="210"/>
  <c r="Q5473" i="210"/>
  <c r="D5474" i="210"/>
  <c r="K5474" i="210"/>
  <c r="L5474" i="210"/>
  <c r="N5474" i="210"/>
  <c r="P5474" i="210"/>
  <c r="Q5474" i="210"/>
  <c r="D5475" i="210"/>
  <c r="K5475" i="210"/>
  <c r="L5475" i="210"/>
  <c r="N5475" i="210"/>
  <c r="P5475" i="210"/>
  <c r="Q5475" i="210"/>
  <c r="D5476" i="210"/>
  <c r="K5476" i="210"/>
  <c r="L5476" i="210"/>
  <c r="N5476" i="210"/>
  <c r="P5476" i="210"/>
  <c r="Q5476" i="210"/>
  <c r="D5477" i="210"/>
  <c r="K5477" i="210"/>
  <c r="L5477" i="210"/>
  <c r="N5477" i="210"/>
  <c r="P5477" i="210"/>
  <c r="Q5477" i="210"/>
  <c r="D5478" i="210"/>
  <c r="K5478" i="210"/>
  <c r="L5478" i="210"/>
  <c r="N5478" i="210"/>
  <c r="P5478" i="210"/>
  <c r="Q5478" i="210"/>
  <c r="D5479" i="210"/>
  <c r="K5479" i="210"/>
  <c r="L5479" i="210"/>
  <c r="N5479" i="210"/>
  <c r="P5479" i="210"/>
  <c r="Q5479" i="210"/>
  <c r="D5480" i="210"/>
  <c r="K5480" i="210"/>
  <c r="L5480" i="210"/>
  <c r="N5480" i="210"/>
  <c r="P5480" i="210"/>
  <c r="Q5480" i="210"/>
  <c r="C5483" i="210"/>
  <c r="H5483" i="210"/>
  <c r="E5483" i="210" s="1"/>
  <c r="E5484" i="210" s="1"/>
  <c r="E5485" i="210" s="1"/>
  <c r="E5487" i="210" s="1"/>
  <c r="E5489" i="210" s="1"/>
  <c r="E5491" i="210" s="1"/>
  <c r="E5493" i="210" s="1"/>
  <c r="E5495" i="210" s="1"/>
  <c r="E5497" i="210" s="1"/>
  <c r="E5499" i="210" s="1"/>
  <c r="E5501" i="210" s="1"/>
  <c r="E5503" i="210" s="1"/>
  <c r="E5505" i="210" s="1"/>
  <c r="E5507" i="210" s="1"/>
  <c r="E5509" i="210" s="1"/>
  <c r="E5511" i="210" s="1"/>
  <c r="E5513" i="210" s="1"/>
  <c r="E5515" i="210" s="1"/>
  <c r="E5517" i="210" s="1"/>
  <c r="E5519" i="210" s="1"/>
  <c r="E5521" i="210" s="1"/>
  <c r="E5523" i="210" s="1"/>
  <c r="E5525" i="210" s="1"/>
  <c r="E5527" i="210" s="1"/>
  <c r="E5529" i="210" s="1"/>
  <c r="E5531" i="210" s="1"/>
  <c r="E5533" i="210" s="1"/>
  <c r="E5535" i="210" s="1"/>
  <c r="E5537" i="210" s="1"/>
  <c r="E5539" i="210" s="1"/>
  <c r="E5541" i="210" s="1"/>
  <c r="E5543" i="210" s="1"/>
  <c r="E5545" i="210" s="1"/>
  <c r="E5547" i="210" s="1"/>
  <c r="E5549" i="210" s="1"/>
  <c r="E5551" i="210" s="1"/>
  <c r="E5553" i="210" s="1"/>
  <c r="E5555" i="210" s="1"/>
  <c r="E5557" i="210" s="1"/>
  <c r="E5559" i="210" s="1"/>
  <c r="E5561" i="210" s="1"/>
  <c r="E5563" i="210" s="1"/>
  <c r="E5565" i="210" s="1"/>
  <c r="E5567" i="210" s="1"/>
  <c r="E5569" i="210" s="1"/>
  <c r="E5571" i="210" s="1"/>
  <c r="E5573" i="210" s="1"/>
  <c r="E5575" i="210" s="1"/>
  <c r="E5577" i="210" s="1"/>
  <c r="E5579" i="210" s="1"/>
  <c r="E5581" i="210" s="1"/>
  <c r="E5583" i="210" s="1"/>
  <c r="I5483" i="210"/>
  <c r="J5483" i="210"/>
  <c r="C5484" i="210"/>
  <c r="C5485" i="210" s="1"/>
  <c r="I5484" i="210"/>
  <c r="I5485" i="210"/>
  <c r="D5487" i="210"/>
  <c r="K5487" i="210"/>
  <c r="L5487" i="210"/>
  <c r="N5487" i="210"/>
  <c r="P5487" i="210"/>
  <c r="Q5487" i="210"/>
  <c r="D5488" i="210"/>
  <c r="E5488" i="210"/>
  <c r="E5490" i="210" s="1"/>
  <c r="K5488" i="210"/>
  <c r="L5488" i="210"/>
  <c r="N5488" i="210"/>
  <c r="P5488" i="210"/>
  <c r="Q5488" i="210"/>
  <c r="D5489" i="210"/>
  <c r="K5489" i="210"/>
  <c r="L5489" i="210"/>
  <c r="N5489" i="210"/>
  <c r="P5489" i="210"/>
  <c r="Q5489" i="210"/>
  <c r="D5490" i="210"/>
  <c r="K5490" i="210"/>
  <c r="L5490" i="210"/>
  <c r="N5490" i="210"/>
  <c r="P5490" i="210"/>
  <c r="Q5490" i="210"/>
  <c r="D5491" i="210"/>
  <c r="K5491" i="210"/>
  <c r="L5491" i="210"/>
  <c r="N5491" i="210"/>
  <c r="P5491" i="210"/>
  <c r="Q5491" i="210"/>
  <c r="D5492" i="210"/>
  <c r="E5492" i="210"/>
  <c r="E5494" i="210" s="1"/>
  <c r="E5496" i="210" s="1"/>
  <c r="E5498" i="210" s="1"/>
  <c r="E5500" i="210" s="1"/>
  <c r="E5502" i="210" s="1"/>
  <c r="E5504" i="210" s="1"/>
  <c r="E5506" i="210" s="1"/>
  <c r="E5508" i="210" s="1"/>
  <c r="E5510" i="210" s="1"/>
  <c r="E5512" i="210" s="1"/>
  <c r="E5514" i="210" s="1"/>
  <c r="E5516" i="210" s="1"/>
  <c r="E5518" i="210" s="1"/>
  <c r="E5520" i="210" s="1"/>
  <c r="E5522" i="210" s="1"/>
  <c r="E5524" i="210" s="1"/>
  <c r="E5526" i="210" s="1"/>
  <c r="E5528" i="210" s="1"/>
  <c r="E5530" i="210" s="1"/>
  <c r="E5532" i="210" s="1"/>
  <c r="E5534" i="210" s="1"/>
  <c r="E5536" i="210" s="1"/>
  <c r="E5538" i="210" s="1"/>
  <c r="E5540" i="210" s="1"/>
  <c r="E5542" i="210" s="1"/>
  <c r="E5544" i="210" s="1"/>
  <c r="E5546" i="210" s="1"/>
  <c r="E5548" i="210" s="1"/>
  <c r="E5550" i="210" s="1"/>
  <c r="E5552" i="210" s="1"/>
  <c r="E5554" i="210" s="1"/>
  <c r="E5556" i="210" s="1"/>
  <c r="E5558" i="210" s="1"/>
  <c r="E5560" i="210" s="1"/>
  <c r="E5562" i="210" s="1"/>
  <c r="E5564" i="210" s="1"/>
  <c r="E5566" i="210" s="1"/>
  <c r="E5568" i="210" s="1"/>
  <c r="E5570" i="210" s="1"/>
  <c r="E5572" i="210" s="1"/>
  <c r="E5574" i="210" s="1"/>
  <c r="E5576" i="210" s="1"/>
  <c r="E5578" i="210" s="1"/>
  <c r="E5580" i="210" s="1"/>
  <c r="E5582" i="210" s="1"/>
  <c r="E5584" i="210" s="1"/>
  <c r="K5492" i="210"/>
  <c r="L5492" i="210"/>
  <c r="N5492" i="210"/>
  <c r="P5492" i="210"/>
  <c r="Q5492" i="210"/>
  <c r="D5493" i="210"/>
  <c r="K5493" i="210"/>
  <c r="L5493" i="210"/>
  <c r="N5493" i="210"/>
  <c r="P5493" i="210"/>
  <c r="Q5493" i="210"/>
  <c r="D5494" i="210"/>
  <c r="K5494" i="210"/>
  <c r="L5494" i="210"/>
  <c r="N5494" i="210"/>
  <c r="P5494" i="210"/>
  <c r="Q5494" i="210"/>
  <c r="D5495" i="210"/>
  <c r="K5495" i="210"/>
  <c r="L5495" i="210"/>
  <c r="N5495" i="210"/>
  <c r="P5495" i="210"/>
  <c r="Q5495" i="210"/>
  <c r="D5496" i="210"/>
  <c r="K5496" i="210"/>
  <c r="L5496" i="210"/>
  <c r="N5496" i="210"/>
  <c r="P5496" i="210"/>
  <c r="Q5496" i="210"/>
  <c r="D5497" i="210"/>
  <c r="K5497" i="210"/>
  <c r="L5497" i="210"/>
  <c r="N5497" i="210"/>
  <c r="P5497" i="210"/>
  <c r="Q5497" i="210"/>
  <c r="D5498" i="210"/>
  <c r="K5498" i="210"/>
  <c r="L5498" i="210"/>
  <c r="N5498" i="210"/>
  <c r="P5498" i="210"/>
  <c r="Q5498" i="210"/>
  <c r="D5499" i="210"/>
  <c r="K5499" i="210"/>
  <c r="L5499" i="210"/>
  <c r="N5499" i="210"/>
  <c r="P5499" i="210"/>
  <c r="Q5499" i="210"/>
  <c r="D5500" i="210"/>
  <c r="K5500" i="210"/>
  <c r="L5500" i="210"/>
  <c r="N5500" i="210"/>
  <c r="P5500" i="210"/>
  <c r="Q5500" i="210"/>
  <c r="D5501" i="210"/>
  <c r="K5501" i="210"/>
  <c r="L5501" i="210"/>
  <c r="N5501" i="210"/>
  <c r="P5501" i="210"/>
  <c r="Q5501" i="210"/>
  <c r="D5502" i="210"/>
  <c r="K5502" i="210"/>
  <c r="L5502" i="210"/>
  <c r="N5502" i="210"/>
  <c r="P5502" i="210"/>
  <c r="Q5502" i="210"/>
  <c r="D5503" i="210"/>
  <c r="K5503" i="210"/>
  <c r="L5503" i="210"/>
  <c r="N5503" i="210"/>
  <c r="P5503" i="210"/>
  <c r="Q5503" i="210"/>
  <c r="D5504" i="210"/>
  <c r="K5504" i="210"/>
  <c r="L5504" i="210"/>
  <c r="N5504" i="210"/>
  <c r="P5504" i="210"/>
  <c r="Q5504" i="210"/>
  <c r="D5505" i="210"/>
  <c r="K5505" i="210"/>
  <c r="L5505" i="210"/>
  <c r="N5505" i="210"/>
  <c r="P5505" i="210"/>
  <c r="Q5505" i="210"/>
  <c r="D5506" i="210"/>
  <c r="K5506" i="210"/>
  <c r="L5506" i="210"/>
  <c r="N5506" i="210"/>
  <c r="P5506" i="210"/>
  <c r="Q5506" i="210"/>
  <c r="D5507" i="210"/>
  <c r="K5507" i="210"/>
  <c r="L5507" i="210"/>
  <c r="N5507" i="210"/>
  <c r="P5507" i="210"/>
  <c r="Q5507" i="210"/>
  <c r="D5508" i="210"/>
  <c r="K5508" i="210"/>
  <c r="L5508" i="210"/>
  <c r="N5508" i="210"/>
  <c r="P5508" i="210"/>
  <c r="Q5508" i="210"/>
  <c r="D5509" i="210"/>
  <c r="K5509" i="210"/>
  <c r="L5509" i="210"/>
  <c r="N5509" i="210"/>
  <c r="P5509" i="210"/>
  <c r="Q5509" i="210"/>
  <c r="D5510" i="210"/>
  <c r="K5510" i="210"/>
  <c r="L5510" i="210"/>
  <c r="N5510" i="210"/>
  <c r="P5510" i="210"/>
  <c r="Q5510" i="210"/>
  <c r="D5511" i="210"/>
  <c r="K5511" i="210"/>
  <c r="L5511" i="210"/>
  <c r="N5511" i="210"/>
  <c r="P5511" i="210"/>
  <c r="Q5511" i="210"/>
  <c r="D5512" i="210"/>
  <c r="K5512" i="210"/>
  <c r="L5512" i="210"/>
  <c r="N5512" i="210"/>
  <c r="P5512" i="210"/>
  <c r="Q5512" i="210"/>
  <c r="D5513" i="210"/>
  <c r="K5513" i="210"/>
  <c r="L5513" i="210"/>
  <c r="N5513" i="210"/>
  <c r="P5513" i="210"/>
  <c r="Q5513" i="210"/>
  <c r="D5514" i="210"/>
  <c r="K5514" i="210"/>
  <c r="L5514" i="210"/>
  <c r="N5514" i="210"/>
  <c r="P5514" i="210"/>
  <c r="Q5514" i="210"/>
  <c r="D5515" i="210"/>
  <c r="K5515" i="210"/>
  <c r="L5515" i="210"/>
  <c r="N5515" i="210"/>
  <c r="P5515" i="210"/>
  <c r="Q5515" i="210"/>
  <c r="D5516" i="210"/>
  <c r="K5516" i="210"/>
  <c r="L5516" i="210"/>
  <c r="N5516" i="210"/>
  <c r="P5516" i="210"/>
  <c r="Q5516" i="210"/>
  <c r="D5517" i="210"/>
  <c r="K5517" i="210"/>
  <c r="L5517" i="210"/>
  <c r="N5517" i="210"/>
  <c r="P5517" i="210"/>
  <c r="Q5517" i="210"/>
  <c r="D5518" i="210"/>
  <c r="K5518" i="210"/>
  <c r="L5518" i="210"/>
  <c r="N5518" i="210"/>
  <c r="P5518" i="210"/>
  <c r="Q5518" i="210"/>
  <c r="D5519" i="210"/>
  <c r="K5519" i="210"/>
  <c r="L5519" i="210"/>
  <c r="N5519" i="210"/>
  <c r="P5519" i="210"/>
  <c r="Q5519" i="210"/>
  <c r="D5520" i="210"/>
  <c r="K5520" i="210"/>
  <c r="L5520" i="210"/>
  <c r="N5520" i="210"/>
  <c r="P5520" i="210"/>
  <c r="Q5520" i="210"/>
  <c r="D5521" i="210"/>
  <c r="K5521" i="210"/>
  <c r="L5521" i="210"/>
  <c r="N5521" i="210"/>
  <c r="P5521" i="210"/>
  <c r="Q5521" i="210"/>
  <c r="D5522" i="210"/>
  <c r="K5522" i="210"/>
  <c r="L5522" i="210"/>
  <c r="N5522" i="210"/>
  <c r="P5522" i="210"/>
  <c r="Q5522" i="210"/>
  <c r="D5523" i="210"/>
  <c r="K5523" i="210"/>
  <c r="L5523" i="210"/>
  <c r="N5523" i="210"/>
  <c r="P5523" i="210"/>
  <c r="Q5523" i="210"/>
  <c r="D5524" i="210"/>
  <c r="K5524" i="210"/>
  <c r="L5524" i="210"/>
  <c r="N5524" i="210"/>
  <c r="P5524" i="210"/>
  <c r="Q5524" i="210"/>
  <c r="D5525" i="210"/>
  <c r="K5525" i="210"/>
  <c r="L5525" i="210"/>
  <c r="N5525" i="210"/>
  <c r="P5525" i="210"/>
  <c r="Q5525" i="210"/>
  <c r="D5526" i="210"/>
  <c r="K5526" i="210"/>
  <c r="L5526" i="210"/>
  <c r="N5526" i="210"/>
  <c r="P5526" i="210"/>
  <c r="Q5526" i="210"/>
  <c r="D5527" i="210"/>
  <c r="K5527" i="210"/>
  <c r="L5527" i="210"/>
  <c r="N5527" i="210"/>
  <c r="P5527" i="210"/>
  <c r="Q5527" i="210"/>
  <c r="D5528" i="210"/>
  <c r="K5528" i="210"/>
  <c r="L5528" i="210"/>
  <c r="N5528" i="210"/>
  <c r="P5528" i="210"/>
  <c r="Q5528" i="210"/>
  <c r="D5529" i="210"/>
  <c r="K5529" i="210"/>
  <c r="L5529" i="210"/>
  <c r="N5529" i="210"/>
  <c r="P5529" i="210"/>
  <c r="Q5529" i="210"/>
  <c r="D5530" i="210"/>
  <c r="K5530" i="210"/>
  <c r="L5530" i="210"/>
  <c r="N5530" i="210"/>
  <c r="P5530" i="210"/>
  <c r="Q5530" i="210"/>
  <c r="D5531" i="210"/>
  <c r="K5531" i="210"/>
  <c r="L5531" i="210"/>
  <c r="N5531" i="210"/>
  <c r="P5531" i="210"/>
  <c r="Q5531" i="210"/>
  <c r="D5532" i="210"/>
  <c r="K5532" i="210"/>
  <c r="L5532" i="210"/>
  <c r="N5532" i="210"/>
  <c r="P5532" i="210"/>
  <c r="Q5532" i="210"/>
  <c r="D5533" i="210"/>
  <c r="K5533" i="210"/>
  <c r="L5533" i="210"/>
  <c r="N5533" i="210"/>
  <c r="P5533" i="210"/>
  <c r="Q5533" i="210"/>
  <c r="D5534" i="210"/>
  <c r="K5534" i="210"/>
  <c r="L5534" i="210"/>
  <c r="N5534" i="210"/>
  <c r="P5534" i="210"/>
  <c r="Q5534" i="210"/>
  <c r="D5535" i="210"/>
  <c r="K5535" i="210"/>
  <c r="L5535" i="210"/>
  <c r="N5535" i="210"/>
  <c r="P5535" i="210"/>
  <c r="Q5535" i="210"/>
  <c r="D5536" i="210"/>
  <c r="K5536" i="210"/>
  <c r="L5536" i="210"/>
  <c r="N5536" i="210"/>
  <c r="P5536" i="210"/>
  <c r="Q5536" i="210"/>
  <c r="D5537" i="210"/>
  <c r="K5537" i="210"/>
  <c r="L5537" i="210"/>
  <c r="N5537" i="210"/>
  <c r="P5537" i="210"/>
  <c r="Q5537" i="210"/>
  <c r="D5538" i="210"/>
  <c r="K5538" i="210"/>
  <c r="L5538" i="210"/>
  <c r="N5538" i="210"/>
  <c r="P5538" i="210"/>
  <c r="Q5538" i="210"/>
  <c r="D5539" i="210"/>
  <c r="K5539" i="210"/>
  <c r="L5539" i="210"/>
  <c r="N5539" i="210"/>
  <c r="P5539" i="210"/>
  <c r="Q5539" i="210"/>
  <c r="D5540" i="210"/>
  <c r="K5540" i="210"/>
  <c r="L5540" i="210"/>
  <c r="N5540" i="210"/>
  <c r="P5540" i="210"/>
  <c r="Q5540" i="210"/>
  <c r="D5541" i="210"/>
  <c r="K5541" i="210"/>
  <c r="L5541" i="210"/>
  <c r="N5541" i="210"/>
  <c r="P5541" i="210"/>
  <c r="Q5541" i="210"/>
  <c r="D5542" i="210"/>
  <c r="K5542" i="210"/>
  <c r="L5542" i="210"/>
  <c r="N5542" i="210"/>
  <c r="P5542" i="210"/>
  <c r="Q5542" i="210"/>
  <c r="D5543" i="210"/>
  <c r="K5543" i="210"/>
  <c r="L5543" i="210"/>
  <c r="N5543" i="210"/>
  <c r="P5543" i="210"/>
  <c r="Q5543" i="210"/>
  <c r="D5544" i="210"/>
  <c r="K5544" i="210"/>
  <c r="L5544" i="210"/>
  <c r="N5544" i="210"/>
  <c r="P5544" i="210"/>
  <c r="Q5544" i="210"/>
  <c r="D5545" i="210"/>
  <c r="K5545" i="210"/>
  <c r="L5545" i="210"/>
  <c r="N5545" i="210"/>
  <c r="P5545" i="210"/>
  <c r="Q5545" i="210"/>
  <c r="D5546" i="210"/>
  <c r="K5546" i="210"/>
  <c r="L5546" i="210"/>
  <c r="N5546" i="210"/>
  <c r="P5546" i="210"/>
  <c r="Q5546" i="210"/>
  <c r="D5547" i="210"/>
  <c r="K5547" i="210"/>
  <c r="L5547" i="210"/>
  <c r="N5547" i="210"/>
  <c r="P5547" i="210"/>
  <c r="Q5547" i="210"/>
  <c r="D5548" i="210"/>
  <c r="K5548" i="210"/>
  <c r="L5548" i="210"/>
  <c r="N5548" i="210"/>
  <c r="P5548" i="210"/>
  <c r="Q5548" i="210"/>
  <c r="D5549" i="210"/>
  <c r="K5549" i="210"/>
  <c r="L5549" i="210"/>
  <c r="N5549" i="210"/>
  <c r="P5549" i="210"/>
  <c r="Q5549" i="210"/>
  <c r="D5550" i="210"/>
  <c r="K5550" i="210"/>
  <c r="L5550" i="210"/>
  <c r="N5550" i="210"/>
  <c r="P5550" i="210"/>
  <c r="Q5550" i="210"/>
  <c r="D5551" i="210"/>
  <c r="K5551" i="210"/>
  <c r="L5551" i="210"/>
  <c r="N5551" i="210"/>
  <c r="P5551" i="210"/>
  <c r="Q5551" i="210"/>
  <c r="D5552" i="210"/>
  <c r="K5552" i="210"/>
  <c r="L5552" i="210"/>
  <c r="N5552" i="210"/>
  <c r="P5552" i="210"/>
  <c r="Q5552" i="210"/>
  <c r="D5553" i="210"/>
  <c r="K5553" i="210"/>
  <c r="L5553" i="210"/>
  <c r="N5553" i="210"/>
  <c r="P5553" i="210"/>
  <c r="Q5553" i="210"/>
  <c r="D5554" i="210"/>
  <c r="K5554" i="210"/>
  <c r="L5554" i="210"/>
  <c r="N5554" i="210"/>
  <c r="P5554" i="210"/>
  <c r="Q5554" i="210"/>
  <c r="D5555" i="210"/>
  <c r="K5555" i="210"/>
  <c r="L5555" i="210"/>
  <c r="N5555" i="210"/>
  <c r="P5555" i="210"/>
  <c r="Q5555" i="210"/>
  <c r="D5556" i="210"/>
  <c r="K5556" i="210"/>
  <c r="L5556" i="210"/>
  <c r="N5556" i="210"/>
  <c r="P5556" i="210"/>
  <c r="Q5556" i="210"/>
  <c r="D5557" i="210"/>
  <c r="K5557" i="210"/>
  <c r="L5557" i="210"/>
  <c r="N5557" i="210"/>
  <c r="P5557" i="210"/>
  <c r="Q5557" i="210"/>
  <c r="D5558" i="210"/>
  <c r="K5558" i="210"/>
  <c r="L5558" i="210"/>
  <c r="N5558" i="210"/>
  <c r="P5558" i="210"/>
  <c r="Q5558" i="210"/>
  <c r="D5559" i="210"/>
  <c r="K5559" i="210"/>
  <c r="L5559" i="210"/>
  <c r="N5559" i="210"/>
  <c r="P5559" i="210"/>
  <c r="Q5559" i="210"/>
  <c r="D5560" i="210"/>
  <c r="K5560" i="210"/>
  <c r="L5560" i="210"/>
  <c r="N5560" i="210"/>
  <c r="P5560" i="210"/>
  <c r="Q5560" i="210"/>
  <c r="D5561" i="210"/>
  <c r="K5561" i="210"/>
  <c r="L5561" i="210"/>
  <c r="N5561" i="210"/>
  <c r="P5561" i="210"/>
  <c r="Q5561" i="210"/>
  <c r="D5562" i="210"/>
  <c r="K5562" i="210"/>
  <c r="L5562" i="210"/>
  <c r="N5562" i="210"/>
  <c r="P5562" i="210"/>
  <c r="Q5562" i="210"/>
  <c r="D5563" i="210"/>
  <c r="K5563" i="210"/>
  <c r="L5563" i="210"/>
  <c r="N5563" i="210"/>
  <c r="P5563" i="210"/>
  <c r="Q5563" i="210"/>
  <c r="D5564" i="210"/>
  <c r="K5564" i="210"/>
  <c r="L5564" i="210"/>
  <c r="N5564" i="210"/>
  <c r="P5564" i="210"/>
  <c r="Q5564" i="210"/>
  <c r="D5565" i="210"/>
  <c r="K5565" i="210"/>
  <c r="L5565" i="210"/>
  <c r="N5565" i="210"/>
  <c r="P5565" i="210"/>
  <c r="Q5565" i="210"/>
  <c r="D5566" i="210"/>
  <c r="K5566" i="210"/>
  <c r="L5566" i="210"/>
  <c r="N5566" i="210"/>
  <c r="P5566" i="210"/>
  <c r="Q5566" i="210"/>
  <c r="D5567" i="210"/>
  <c r="K5567" i="210"/>
  <c r="L5567" i="210"/>
  <c r="N5567" i="210"/>
  <c r="P5567" i="210"/>
  <c r="Q5567" i="210"/>
  <c r="D5568" i="210"/>
  <c r="K5568" i="210"/>
  <c r="L5568" i="210"/>
  <c r="N5568" i="210"/>
  <c r="P5568" i="210"/>
  <c r="Q5568" i="210"/>
  <c r="D5569" i="210"/>
  <c r="K5569" i="210"/>
  <c r="L5569" i="210"/>
  <c r="N5569" i="210"/>
  <c r="P5569" i="210"/>
  <c r="Q5569" i="210"/>
  <c r="D5570" i="210"/>
  <c r="K5570" i="210"/>
  <c r="L5570" i="210"/>
  <c r="N5570" i="210"/>
  <c r="P5570" i="210"/>
  <c r="Q5570" i="210"/>
  <c r="D5571" i="210"/>
  <c r="K5571" i="210"/>
  <c r="L5571" i="210"/>
  <c r="N5571" i="210"/>
  <c r="P5571" i="210"/>
  <c r="Q5571" i="210"/>
  <c r="D5572" i="210"/>
  <c r="K5572" i="210"/>
  <c r="L5572" i="210"/>
  <c r="N5572" i="210"/>
  <c r="P5572" i="210"/>
  <c r="Q5572" i="210"/>
  <c r="D5573" i="210"/>
  <c r="K5573" i="210"/>
  <c r="L5573" i="210"/>
  <c r="N5573" i="210"/>
  <c r="P5573" i="210"/>
  <c r="Q5573" i="210"/>
  <c r="D5574" i="210"/>
  <c r="K5574" i="210"/>
  <c r="L5574" i="210"/>
  <c r="N5574" i="210"/>
  <c r="P5574" i="210"/>
  <c r="Q5574" i="210"/>
  <c r="D5575" i="210"/>
  <c r="K5575" i="210"/>
  <c r="L5575" i="210"/>
  <c r="N5575" i="210"/>
  <c r="P5575" i="210"/>
  <c r="Q5575" i="210"/>
  <c r="D5576" i="210"/>
  <c r="K5576" i="210"/>
  <c r="L5576" i="210"/>
  <c r="N5576" i="210"/>
  <c r="P5576" i="210"/>
  <c r="Q5576" i="210"/>
  <c r="D5577" i="210"/>
  <c r="K5577" i="210"/>
  <c r="L5577" i="210"/>
  <c r="N5577" i="210"/>
  <c r="P5577" i="210"/>
  <c r="Q5577" i="210"/>
  <c r="D5578" i="210"/>
  <c r="K5578" i="210"/>
  <c r="L5578" i="210"/>
  <c r="N5578" i="210"/>
  <c r="P5578" i="210"/>
  <c r="Q5578" i="210"/>
  <c r="D5579" i="210"/>
  <c r="K5579" i="210"/>
  <c r="L5579" i="210"/>
  <c r="N5579" i="210"/>
  <c r="P5579" i="210"/>
  <c r="Q5579" i="210"/>
  <c r="D5580" i="210"/>
  <c r="K5580" i="210"/>
  <c r="L5580" i="210"/>
  <c r="N5580" i="210"/>
  <c r="P5580" i="210"/>
  <c r="Q5580" i="210"/>
  <c r="D5581" i="210"/>
  <c r="K5581" i="210"/>
  <c r="L5581" i="210"/>
  <c r="N5581" i="210"/>
  <c r="P5581" i="210"/>
  <c r="Q5581" i="210"/>
  <c r="D5582" i="210"/>
  <c r="K5582" i="210"/>
  <c r="L5582" i="210"/>
  <c r="N5582" i="210"/>
  <c r="P5582" i="210"/>
  <c r="Q5582" i="210"/>
  <c r="D5583" i="210"/>
  <c r="K5583" i="210"/>
  <c r="L5583" i="210"/>
  <c r="N5583" i="210"/>
  <c r="P5583" i="210"/>
  <c r="Q5583" i="210"/>
  <c r="D5584" i="210"/>
  <c r="K5584" i="210"/>
  <c r="L5584" i="210"/>
  <c r="N5584" i="210"/>
  <c r="P5584" i="210"/>
  <c r="Q5584" i="210"/>
  <c r="C5587" i="210"/>
  <c r="H5587" i="210"/>
  <c r="E5587" i="210" s="1"/>
  <c r="E5588" i="210" s="1"/>
  <c r="E5589" i="210" s="1"/>
  <c r="E5591" i="210" s="1"/>
  <c r="E5593" i="210" s="1"/>
  <c r="E5595" i="210" s="1"/>
  <c r="E5597" i="210" s="1"/>
  <c r="E5599" i="210" s="1"/>
  <c r="E5601" i="210" s="1"/>
  <c r="E5603" i="210" s="1"/>
  <c r="E5605" i="210" s="1"/>
  <c r="E5607" i="210" s="1"/>
  <c r="E5609" i="210" s="1"/>
  <c r="E5611" i="210" s="1"/>
  <c r="E5613" i="210" s="1"/>
  <c r="E5615" i="210" s="1"/>
  <c r="E5617" i="210" s="1"/>
  <c r="E5619" i="210" s="1"/>
  <c r="E5621" i="210" s="1"/>
  <c r="E5623" i="210" s="1"/>
  <c r="E5625" i="210" s="1"/>
  <c r="E5627" i="210" s="1"/>
  <c r="E5629" i="210" s="1"/>
  <c r="E5631" i="210" s="1"/>
  <c r="E5633" i="210" s="1"/>
  <c r="E5635" i="210" s="1"/>
  <c r="E5637" i="210" s="1"/>
  <c r="I5587" i="210"/>
  <c r="J5587" i="210"/>
  <c r="C5588" i="210"/>
  <c r="C5589" i="210" s="1"/>
  <c r="I5588" i="210"/>
  <c r="I5589" i="210"/>
  <c r="D5591" i="210"/>
  <c r="K5591" i="210"/>
  <c r="L5591" i="210"/>
  <c r="N5591" i="210"/>
  <c r="P5591" i="210"/>
  <c r="Q5591" i="210"/>
  <c r="D5592" i="210"/>
  <c r="E5592" i="210"/>
  <c r="E5594" i="210" s="1"/>
  <c r="E5596" i="210" s="1"/>
  <c r="E5598" i="210" s="1"/>
  <c r="E5600" i="210" s="1"/>
  <c r="E5602" i="210" s="1"/>
  <c r="E5604" i="210" s="1"/>
  <c r="E5606" i="210" s="1"/>
  <c r="E5608" i="210" s="1"/>
  <c r="E5610" i="210" s="1"/>
  <c r="E5612" i="210" s="1"/>
  <c r="E5614" i="210" s="1"/>
  <c r="E5616" i="210" s="1"/>
  <c r="E5618" i="210" s="1"/>
  <c r="E5620" i="210" s="1"/>
  <c r="E5622" i="210" s="1"/>
  <c r="E5624" i="210" s="1"/>
  <c r="E5626" i="210" s="1"/>
  <c r="E5628" i="210" s="1"/>
  <c r="E5630" i="210" s="1"/>
  <c r="E5632" i="210" s="1"/>
  <c r="E5634" i="210" s="1"/>
  <c r="E5636" i="210" s="1"/>
  <c r="E5638" i="210" s="1"/>
  <c r="K5592" i="210"/>
  <c r="L5592" i="210"/>
  <c r="N5592" i="210"/>
  <c r="P5592" i="210"/>
  <c r="Q5592" i="210"/>
  <c r="D5593" i="210"/>
  <c r="K5593" i="210"/>
  <c r="L5593" i="210"/>
  <c r="N5593" i="210"/>
  <c r="P5593" i="210"/>
  <c r="Q5593" i="210"/>
  <c r="D5594" i="210"/>
  <c r="K5594" i="210"/>
  <c r="L5594" i="210"/>
  <c r="N5594" i="210"/>
  <c r="P5594" i="210"/>
  <c r="Q5594" i="210"/>
  <c r="D5595" i="210"/>
  <c r="K5595" i="210"/>
  <c r="L5595" i="210"/>
  <c r="N5595" i="210"/>
  <c r="P5595" i="210"/>
  <c r="Q5595" i="210"/>
  <c r="D5596" i="210"/>
  <c r="K5596" i="210"/>
  <c r="L5596" i="210"/>
  <c r="N5596" i="210"/>
  <c r="P5596" i="210"/>
  <c r="Q5596" i="210"/>
  <c r="D5597" i="210"/>
  <c r="K5597" i="210"/>
  <c r="L5597" i="210"/>
  <c r="N5597" i="210"/>
  <c r="P5597" i="210"/>
  <c r="Q5597" i="210"/>
  <c r="D5598" i="210"/>
  <c r="K5598" i="210"/>
  <c r="L5598" i="210"/>
  <c r="N5598" i="210"/>
  <c r="P5598" i="210"/>
  <c r="Q5598" i="210"/>
  <c r="D5599" i="210"/>
  <c r="K5599" i="210"/>
  <c r="L5599" i="210"/>
  <c r="N5599" i="210"/>
  <c r="P5599" i="210"/>
  <c r="Q5599" i="210"/>
  <c r="D5600" i="210"/>
  <c r="K5600" i="210"/>
  <c r="L5600" i="210"/>
  <c r="N5600" i="210"/>
  <c r="P5600" i="210"/>
  <c r="Q5600" i="210"/>
  <c r="D5601" i="210"/>
  <c r="K5601" i="210"/>
  <c r="L5601" i="210"/>
  <c r="N5601" i="210"/>
  <c r="P5601" i="210"/>
  <c r="Q5601" i="210"/>
  <c r="D5602" i="210"/>
  <c r="K5602" i="210"/>
  <c r="L5602" i="210"/>
  <c r="N5602" i="210"/>
  <c r="P5602" i="210"/>
  <c r="Q5602" i="210"/>
  <c r="D5603" i="210"/>
  <c r="K5603" i="210"/>
  <c r="L5603" i="210"/>
  <c r="N5603" i="210"/>
  <c r="P5603" i="210"/>
  <c r="Q5603" i="210"/>
  <c r="D5604" i="210"/>
  <c r="K5604" i="210"/>
  <c r="L5604" i="210"/>
  <c r="N5604" i="210"/>
  <c r="P5604" i="210"/>
  <c r="Q5604" i="210"/>
  <c r="D5605" i="210"/>
  <c r="K5605" i="210"/>
  <c r="L5605" i="210"/>
  <c r="N5605" i="210"/>
  <c r="P5605" i="210"/>
  <c r="Q5605" i="210"/>
  <c r="D5606" i="210"/>
  <c r="K5606" i="210"/>
  <c r="L5606" i="210"/>
  <c r="N5606" i="210"/>
  <c r="P5606" i="210"/>
  <c r="Q5606" i="210"/>
  <c r="D5607" i="210"/>
  <c r="K5607" i="210"/>
  <c r="L5607" i="210"/>
  <c r="N5607" i="210"/>
  <c r="P5607" i="210"/>
  <c r="Q5607" i="210"/>
  <c r="D5608" i="210"/>
  <c r="K5608" i="210"/>
  <c r="L5608" i="210"/>
  <c r="N5608" i="210"/>
  <c r="P5608" i="210"/>
  <c r="Q5608" i="210"/>
  <c r="D5609" i="210"/>
  <c r="K5609" i="210"/>
  <c r="L5609" i="210"/>
  <c r="N5609" i="210"/>
  <c r="P5609" i="210"/>
  <c r="Q5609" i="210"/>
  <c r="D5610" i="210"/>
  <c r="K5610" i="210"/>
  <c r="L5610" i="210"/>
  <c r="N5610" i="210"/>
  <c r="P5610" i="210"/>
  <c r="Q5610" i="210"/>
  <c r="D5611" i="210"/>
  <c r="K5611" i="210"/>
  <c r="L5611" i="210"/>
  <c r="N5611" i="210"/>
  <c r="P5611" i="210"/>
  <c r="Q5611" i="210"/>
  <c r="D5612" i="210"/>
  <c r="K5612" i="210"/>
  <c r="L5612" i="210"/>
  <c r="N5612" i="210"/>
  <c r="P5612" i="210"/>
  <c r="Q5612" i="210"/>
  <c r="D5613" i="210"/>
  <c r="K5613" i="210"/>
  <c r="L5613" i="210"/>
  <c r="N5613" i="210"/>
  <c r="P5613" i="210"/>
  <c r="Q5613" i="210"/>
  <c r="D5614" i="210"/>
  <c r="K5614" i="210"/>
  <c r="L5614" i="210"/>
  <c r="N5614" i="210"/>
  <c r="P5614" i="210"/>
  <c r="Q5614" i="210"/>
  <c r="D5615" i="210"/>
  <c r="K5615" i="210"/>
  <c r="L5615" i="210"/>
  <c r="N5615" i="210"/>
  <c r="P5615" i="210"/>
  <c r="Q5615" i="210"/>
  <c r="D5616" i="210"/>
  <c r="K5616" i="210"/>
  <c r="L5616" i="210"/>
  <c r="N5616" i="210"/>
  <c r="P5616" i="210"/>
  <c r="Q5616" i="210"/>
  <c r="D5617" i="210"/>
  <c r="K5617" i="210"/>
  <c r="L5617" i="210"/>
  <c r="N5617" i="210"/>
  <c r="P5617" i="210"/>
  <c r="Q5617" i="210"/>
  <c r="D5618" i="210"/>
  <c r="K5618" i="210"/>
  <c r="L5618" i="210"/>
  <c r="N5618" i="210"/>
  <c r="P5618" i="210"/>
  <c r="Q5618" i="210"/>
  <c r="D5619" i="210"/>
  <c r="K5619" i="210"/>
  <c r="L5619" i="210"/>
  <c r="N5619" i="210"/>
  <c r="P5619" i="210"/>
  <c r="Q5619" i="210"/>
  <c r="D5620" i="210"/>
  <c r="K5620" i="210"/>
  <c r="L5620" i="210"/>
  <c r="N5620" i="210"/>
  <c r="P5620" i="210"/>
  <c r="Q5620" i="210"/>
  <c r="D5621" i="210"/>
  <c r="K5621" i="210"/>
  <c r="L5621" i="210"/>
  <c r="N5621" i="210"/>
  <c r="P5621" i="210"/>
  <c r="Q5621" i="210"/>
  <c r="D5622" i="210"/>
  <c r="K5622" i="210"/>
  <c r="L5622" i="210"/>
  <c r="N5622" i="210"/>
  <c r="P5622" i="210"/>
  <c r="Q5622" i="210"/>
  <c r="D5623" i="210"/>
  <c r="K5623" i="210"/>
  <c r="L5623" i="210"/>
  <c r="N5623" i="210"/>
  <c r="P5623" i="210"/>
  <c r="Q5623" i="210"/>
  <c r="D5624" i="210"/>
  <c r="K5624" i="210"/>
  <c r="L5624" i="210"/>
  <c r="N5624" i="210"/>
  <c r="P5624" i="210"/>
  <c r="Q5624" i="210"/>
  <c r="D5625" i="210"/>
  <c r="K5625" i="210"/>
  <c r="L5625" i="210"/>
  <c r="N5625" i="210"/>
  <c r="P5625" i="210"/>
  <c r="Q5625" i="210"/>
  <c r="D5626" i="210"/>
  <c r="K5626" i="210"/>
  <c r="L5626" i="210"/>
  <c r="N5626" i="210"/>
  <c r="P5626" i="210"/>
  <c r="Q5626" i="210"/>
  <c r="D5627" i="210"/>
  <c r="K5627" i="210"/>
  <c r="L5627" i="210"/>
  <c r="N5627" i="210"/>
  <c r="P5627" i="210"/>
  <c r="Q5627" i="210"/>
  <c r="D5628" i="210"/>
  <c r="K5628" i="210"/>
  <c r="L5628" i="210"/>
  <c r="N5628" i="210"/>
  <c r="P5628" i="210"/>
  <c r="Q5628" i="210"/>
  <c r="D5629" i="210"/>
  <c r="K5629" i="210"/>
  <c r="L5629" i="210"/>
  <c r="N5629" i="210"/>
  <c r="P5629" i="210"/>
  <c r="Q5629" i="210"/>
  <c r="D5630" i="210"/>
  <c r="K5630" i="210"/>
  <c r="L5630" i="210"/>
  <c r="N5630" i="210"/>
  <c r="P5630" i="210"/>
  <c r="Q5630" i="210"/>
  <c r="D5631" i="210"/>
  <c r="K5631" i="210"/>
  <c r="L5631" i="210"/>
  <c r="N5631" i="210"/>
  <c r="P5631" i="210"/>
  <c r="Q5631" i="210"/>
  <c r="D5632" i="210"/>
  <c r="K5632" i="210"/>
  <c r="L5632" i="210"/>
  <c r="N5632" i="210"/>
  <c r="P5632" i="210"/>
  <c r="Q5632" i="210"/>
  <c r="D5633" i="210"/>
  <c r="K5633" i="210"/>
  <c r="L5633" i="210"/>
  <c r="N5633" i="210"/>
  <c r="P5633" i="210"/>
  <c r="Q5633" i="210"/>
  <c r="D5634" i="210"/>
  <c r="K5634" i="210"/>
  <c r="L5634" i="210"/>
  <c r="N5634" i="210"/>
  <c r="P5634" i="210"/>
  <c r="Q5634" i="210"/>
  <c r="D5635" i="210"/>
  <c r="K5635" i="210"/>
  <c r="L5635" i="210"/>
  <c r="N5635" i="210"/>
  <c r="P5635" i="210"/>
  <c r="Q5635" i="210"/>
  <c r="D5636" i="210"/>
  <c r="K5636" i="210"/>
  <c r="L5636" i="210"/>
  <c r="N5636" i="210"/>
  <c r="P5636" i="210"/>
  <c r="Q5636" i="210"/>
  <c r="D5637" i="210"/>
  <c r="K5637" i="210"/>
  <c r="L5637" i="210"/>
  <c r="N5637" i="210"/>
  <c r="P5637" i="210"/>
  <c r="Q5637" i="210"/>
  <c r="D5638" i="210"/>
  <c r="K5638" i="210"/>
  <c r="L5638" i="210"/>
  <c r="N5638" i="210"/>
  <c r="P5638" i="210"/>
  <c r="Q5638" i="210"/>
  <c r="C5641" i="210"/>
  <c r="C5642" i="210" s="1"/>
  <c r="C5643" i="210" s="1"/>
  <c r="H5641" i="210"/>
  <c r="E5641" i="210" s="1"/>
  <c r="E5642" i="210" s="1"/>
  <c r="I5641" i="210"/>
  <c r="J5641" i="210"/>
  <c r="I5642" i="210"/>
  <c r="E5643" i="210"/>
  <c r="E5645" i="210" s="1"/>
  <c r="E5647" i="210" s="1"/>
  <c r="E5649" i="210" s="1"/>
  <c r="E5651" i="210" s="1"/>
  <c r="E5653" i="210" s="1"/>
  <c r="E5655" i="210" s="1"/>
  <c r="E5657" i="210" s="1"/>
  <c r="E5659" i="210" s="1"/>
  <c r="E5661" i="210" s="1"/>
  <c r="E5663" i="210" s="1"/>
  <c r="E5665" i="210" s="1"/>
  <c r="E5667" i="210" s="1"/>
  <c r="E5669" i="210" s="1"/>
  <c r="E5671" i="210" s="1"/>
  <c r="E5673" i="210" s="1"/>
  <c r="I5643" i="210"/>
  <c r="D5645" i="210"/>
  <c r="K5645" i="210"/>
  <c r="L5645" i="210"/>
  <c r="N5645" i="210"/>
  <c r="P5645" i="210"/>
  <c r="Q5645" i="210"/>
  <c r="D5646" i="210"/>
  <c r="E5646" i="210"/>
  <c r="E5648" i="210" s="1"/>
  <c r="E5650" i="210" s="1"/>
  <c r="K5646" i="210"/>
  <c r="L5646" i="210"/>
  <c r="N5646" i="210"/>
  <c r="P5646" i="210"/>
  <c r="Q5646" i="210"/>
  <c r="D5647" i="210"/>
  <c r="K5647" i="210"/>
  <c r="L5647" i="210"/>
  <c r="N5647" i="210"/>
  <c r="P5647" i="210"/>
  <c r="Q5647" i="210"/>
  <c r="D5648" i="210"/>
  <c r="K5648" i="210"/>
  <c r="L5648" i="210"/>
  <c r="N5648" i="210"/>
  <c r="P5648" i="210"/>
  <c r="Q5648" i="210"/>
  <c r="D5649" i="210"/>
  <c r="K5649" i="210"/>
  <c r="L5649" i="210"/>
  <c r="N5649" i="210"/>
  <c r="P5649" i="210"/>
  <c r="Q5649" i="210"/>
  <c r="D5650" i="210"/>
  <c r="K5650" i="210"/>
  <c r="L5650" i="210"/>
  <c r="N5650" i="210"/>
  <c r="P5650" i="210"/>
  <c r="Q5650" i="210"/>
  <c r="D5651" i="210"/>
  <c r="K5651" i="210"/>
  <c r="L5651" i="210"/>
  <c r="N5651" i="210"/>
  <c r="P5651" i="210"/>
  <c r="Q5651" i="210"/>
  <c r="D5652" i="210"/>
  <c r="E5652" i="210"/>
  <c r="E5654" i="210" s="1"/>
  <c r="E5656" i="210" s="1"/>
  <c r="E5658" i="210" s="1"/>
  <c r="K5652" i="210"/>
  <c r="L5652" i="210"/>
  <c r="N5652" i="210"/>
  <c r="P5652" i="210"/>
  <c r="Q5652" i="210"/>
  <c r="D5653" i="210"/>
  <c r="K5653" i="210"/>
  <c r="L5653" i="210"/>
  <c r="N5653" i="210"/>
  <c r="P5653" i="210"/>
  <c r="Q5653" i="210"/>
  <c r="D5654" i="210"/>
  <c r="K5654" i="210"/>
  <c r="L5654" i="210"/>
  <c r="N5654" i="210"/>
  <c r="P5654" i="210"/>
  <c r="Q5654" i="210"/>
  <c r="D5655" i="210"/>
  <c r="K5655" i="210"/>
  <c r="L5655" i="210"/>
  <c r="N5655" i="210"/>
  <c r="P5655" i="210"/>
  <c r="Q5655" i="210"/>
  <c r="D5656" i="210"/>
  <c r="K5656" i="210"/>
  <c r="L5656" i="210"/>
  <c r="N5656" i="210"/>
  <c r="P5656" i="210"/>
  <c r="Q5656" i="210"/>
  <c r="D5657" i="210"/>
  <c r="K5657" i="210"/>
  <c r="L5657" i="210"/>
  <c r="N5657" i="210"/>
  <c r="P5657" i="210"/>
  <c r="Q5657" i="210"/>
  <c r="D5658" i="210"/>
  <c r="K5658" i="210"/>
  <c r="L5658" i="210"/>
  <c r="N5658" i="210"/>
  <c r="P5658" i="210"/>
  <c r="Q5658" i="210"/>
  <c r="D5659" i="210"/>
  <c r="K5659" i="210"/>
  <c r="L5659" i="210"/>
  <c r="N5659" i="210"/>
  <c r="P5659" i="210"/>
  <c r="Q5659" i="210"/>
  <c r="D5660" i="210"/>
  <c r="E5660" i="210"/>
  <c r="E5662" i="210" s="1"/>
  <c r="E5664" i="210" s="1"/>
  <c r="E5666" i="210" s="1"/>
  <c r="E5668" i="210" s="1"/>
  <c r="E5670" i="210" s="1"/>
  <c r="E5672" i="210" s="1"/>
  <c r="K5660" i="210"/>
  <c r="L5660" i="210"/>
  <c r="N5660" i="210"/>
  <c r="P5660" i="210"/>
  <c r="Q5660" i="210"/>
  <c r="D5661" i="210"/>
  <c r="K5661" i="210"/>
  <c r="L5661" i="210"/>
  <c r="N5661" i="210"/>
  <c r="P5661" i="210"/>
  <c r="Q5661" i="210"/>
  <c r="D5662" i="210"/>
  <c r="K5662" i="210"/>
  <c r="L5662" i="210"/>
  <c r="N5662" i="210"/>
  <c r="P5662" i="210"/>
  <c r="Q5662" i="210"/>
  <c r="D5663" i="210"/>
  <c r="K5663" i="210"/>
  <c r="L5663" i="210"/>
  <c r="N5663" i="210"/>
  <c r="P5663" i="210"/>
  <c r="Q5663" i="210"/>
  <c r="D5664" i="210"/>
  <c r="K5664" i="210"/>
  <c r="L5664" i="210"/>
  <c r="N5664" i="210"/>
  <c r="P5664" i="210"/>
  <c r="Q5664" i="210"/>
  <c r="D5665" i="210"/>
  <c r="K5665" i="210"/>
  <c r="L5665" i="210"/>
  <c r="N5665" i="210"/>
  <c r="P5665" i="210"/>
  <c r="Q5665" i="210"/>
  <c r="D5666" i="210"/>
  <c r="K5666" i="210"/>
  <c r="L5666" i="210"/>
  <c r="N5666" i="210"/>
  <c r="P5666" i="210"/>
  <c r="Q5666" i="210"/>
  <c r="D5667" i="210"/>
  <c r="K5667" i="210"/>
  <c r="L5667" i="210"/>
  <c r="N5667" i="210"/>
  <c r="P5667" i="210"/>
  <c r="Q5667" i="210"/>
  <c r="D5668" i="210"/>
  <c r="K5668" i="210"/>
  <c r="L5668" i="210"/>
  <c r="N5668" i="210"/>
  <c r="P5668" i="210"/>
  <c r="Q5668" i="210"/>
  <c r="D5669" i="210"/>
  <c r="K5669" i="210"/>
  <c r="L5669" i="210"/>
  <c r="N5669" i="210"/>
  <c r="P5669" i="210"/>
  <c r="Q5669" i="210"/>
  <c r="D5670" i="210"/>
  <c r="K5670" i="210"/>
  <c r="L5670" i="210"/>
  <c r="N5670" i="210"/>
  <c r="P5670" i="210"/>
  <c r="Q5670" i="210"/>
  <c r="D5671" i="210"/>
  <c r="K5671" i="210"/>
  <c r="L5671" i="210"/>
  <c r="N5671" i="210"/>
  <c r="P5671" i="210"/>
  <c r="Q5671" i="210"/>
  <c r="D5672" i="210"/>
  <c r="K5672" i="210"/>
  <c r="L5672" i="210"/>
  <c r="N5672" i="210"/>
  <c r="P5672" i="210"/>
  <c r="Q5672" i="210"/>
  <c r="D5673" i="210"/>
  <c r="K5673" i="210"/>
  <c r="L5673" i="210"/>
  <c r="N5673" i="210"/>
  <c r="P5673" i="210"/>
  <c r="Q5673" i="210"/>
  <c r="C5676" i="210"/>
  <c r="E5676" i="210"/>
  <c r="E5677" i="210" s="1"/>
  <c r="E5678" i="210" s="1"/>
  <c r="E5680" i="210" s="1"/>
  <c r="E5682" i="210" s="1"/>
  <c r="E5684" i="210" s="1"/>
  <c r="E5686" i="210" s="1"/>
  <c r="E5688" i="210" s="1"/>
  <c r="E5690" i="210" s="1"/>
  <c r="E5692" i="210" s="1"/>
  <c r="E5694" i="210" s="1"/>
  <c r="E5696" i="210" s="1"/>
  <c r="E5698" i="210" s="1"/>
  <c r="E5700" i="210" s="1"/>
  <c r="E5702" i="210" s="1"/>
  <c r="E5704" i="210" s="1"/>
  <c r="E5706" i="210" s="1"/>
  <c r="E5708" i="210" s="1"/>
  <c r="E5710" i="210" s="1"/>
  <c r="E5712" i="210" s="1"/>
  <c r="E5714" i="210" s="1"/>
  <c r="E5716" i="210" s="1"/>
  <c r="E5718" i="210" s="1"/>
  <c r="H5676" i="210"/>
  <c r="I5676" i="210"/>
  <c r="J5676" i="210"/>
  <c r="C5677" i="210"/>
  <c r="I5677" i="210"/>
  <c r="C5678" i="210"/>
  <c r="I5678" i="210"/>
  <c r="D5680" i="210"/>
  <c r="K5680" i="210"/>
  <c r="L5680" i="210"/>
  <c r="N5680" i="210"/>
  <c r="P5680" i="210"/>
  <c r="Q5680" i="210"/>
  <c r="D5681" i="210"/>
  <c r="E5681" i="210"/>
  <c r="K5681" i="210"/>
  <c r="L5681" i="210"/>
  <c r="N5681" i="210"/>
  <c r="P5681" i="210"/>
  <c r="Q5681" i="210"/>
  <c r="D5682" i="210"/>
  <c r="K5682" i="210"/>
  <c r="L5682" i="210"/>
  <c r="N5682" i="210"/>
  <c r="P5682" i="210"/>
  <c r="Q5682" i="210"/>
  <c r="D5683" i="210"/>
  <c r="E5683" i="210"/>
  <c r="E5685" i="210" s="1"/>
  <c r="E5687" i="210" s="1"/>
  <c r="E5689" i="210" s="1"/>
  <c r="E5691" i="210" s="1"/>
  <c r="E5693" i="210" s="1"/>
  <c r="E5695" i="210" s="1"/>
  <c r="E5697" i="210" s="1"/>
  <c r="E5699" i="210" s="1"/>
  <c r="E5701" i="210" s="1"/>
  <c r="E5703" i="210" s="1"/>
  <c r="E5705" i="210" s="1"/>
  <c r="E5707" i="210" s="1"/>
  <c r="E5709" i="210" s="1"/>
  <c r="E5711" i="210" s="1"/>
  <c r="E5713" i="210" s="1"/>
  <c r="E5715" i="210" s="1"/>
  <c r="E5717" i="210" s="1"/>
  <c r="K5683" i="210"/>
  <c r="L5683" i="210"/>
  <c r="N5683" i="210"/>
  <c r="P5683" i="210"/>
  <c r="Q5683" i="210"/>
  <c r="D5684" i="210"/>
  <c r="K5684" i="210"/>
  <c r="L5684" i="210"/>
  <c r="N5684" i="210"/>
  <c r="P5684" i="210"/>
  <c r="Q5684" i="210"/>
  <c r="D5685" i="210"/>
  <c r="K5685" i="210"/>
  <c r="L5685" i="210"/>
  <c r="N5685" i="210"/>
  <c r="P5685" i="210"/>
  <c r="Q5685" i="210"/>
  <c r="D5686" i="210"/>
  <c r="K5686" i="210"/>
  <c r="L5686" i="210"/>
  <c r="N5686" i="210"/>
  <c r="P5686" i="210"/>
  <c r="Q5686" i="210"/>
  <c r="D5687" i="210"/>
  <c r="K5687" i="210"/>
  <c r="L5687" i="210"/>
  <c r="N5687" i="210"/>
  <c r="P5687" i="210"/>
  <c r="Q5687" i="210"/>
  <c r="D5688" i="210"/>
  <c r="K5688" i="210"/>
  <c r="L5688" i="210"/>
  <c r="N5688" i="210"/>
  <c r="P5688" i="210"/>
  <c r="Q5688" i="210"/>
  <c r="D5689" i="210"/>
  <c r="K5689" i="210"/>
  <c r="L5689" i="210"/>
  <c r="N5689" i="210"/>
  <c r="P5689" i="210"/>
  <c r="Q5689" i="210"/>
  <c r="D5690" i="210"/>
  <c r="K5690" i="210"/>
  <c r="L5690" i="210"/>
  <c r="N5690" i="210"/>
  <c r="P5690" i="210"/>
  <c r="Q5690" i="210"/>
  <c r="D5691" i="210"/>
  <c r="K5691" i="210"/>
  <c r="L5691" i="210"/>
  <c r="N5691" i="210"/>
  <c r="P5691" i="210"/>
  <c r="Q5691" i="210"/>
  <c r="D5692" i="210"/>
  <c r="K5692" i="210"/>
  <c r="L5692" i="210"/>
  <c r="N5692" i="210"/>
  <c r="P5692" i="210"/>
  <c r="Q5692" i="210"/>
  <c r="D5693" i="210"/>
  <c r="K5693" i="210"/>
  <c r="L5693" i="210"/>
  <c r="N5693" i="210"/>
  <c r="P5693" i="210"/>
  <c r="Q5693" i="210"/>
  <c r="D5694" i="210"/>
  <c r="K5694" i="210"/>
  <c r="L5694" i="210"/>
  <c r="N5694" i="210"/>
  <c r="P5694" i="210"/>
  <c r="Q5694" i="210"/>
  <c r="D5695" i="210"/>
  <c r="K5695" i="210"/>
  <c r="L5695" i="210"/>
  <c r="N5695" i="210"/>
  <c r="P5695" i="210"/>
  <c r="Q5695" i="210"/>
  <c r="D5696" i="210"/>
  <c r="K5696" i="210"/>
  <c r="L5696" i="210"/>
  <c r="N5696" i="210"/>
  <c r="P5696" i="210"/>
  <c r="Q5696" i="210"/>
  <c r="D5697" i="210"/>
  <c r="K5697" i="210"/>
  <c r="L5697" i="210"/>
  <c r="N5697" i="210"/>
  <c r="P5697" i="210"/>
  <c r="Q5697" i="210"/>
  <c r="D5698" i="210"/>
  <c r="K5698" i="210"/>
  <c r="L5698" i="210"/>
  <c r="N5698" i="210"/>
  <c r="P5698" i="210"/>
  <c r="Q5698" i="210"/>
  <c r="D5699" i="210"/>
  <c r="K5699" i="210"/>
  <c r="L5699" i="210"/>
  <c r="N5699" i="210"/>
  <c r="P5699" i="210"/>
  <c r="Q5699" i="210"/>
  <c r="D5700" i="210"/>
  <c r="K5700" i="210"/>
  <c r="L5700" i="210"/>
  <c r="N5700" i="210"/>
  <c r="P5700" i="210"/>
  <c r="Q5700" i="210"/>
  <c r="D5701" i="210"/>
  <c r="K5701" i="210"/>
  <c r="L5701" i="210"/>
  <c r="N5701" i="210"/>
  <c r="P5701" i="210"/>
  <c r="Q5701" i="210"/>
  <c r="D5702" i="210"/>
  <c r="K5702" i="210"/>
  <c r="L5702" i="210"/>
  <c r="N5702" i="210"/>
  <c r="P5702" i="210"/>
  <c r="Q5702" i="210"/>
  <c r="D5703" i="210"/>
  <c r="K5703" i="210"/>
  <c r="L5703" i="210"/>
  <c r="N5703" i="210"/>
  <c r="P5703" i="210"/>
  <c r="Q5703" i="210"/>
  <c r="D5704" i="210"/>
  <c r="K5704" i="210"/>
  <c r="L5704" i="210"/>
  <c r="N5704" i="210"/>
  <c r="P5704" i="210"/>
  <c r="Q5704" i="210"/>
  <c r="D5705" i="210"/>
  <c r="K5705" i="210"/>
  <c r="L5705" i="210"/>
  <c r="N5705" i="210"/>
  <c r="P5705" i="210"/>
  <c r="Q5705" i="210"/>
  <c r="D5706" i="210"/>
  <c r="K5706" i="210"/>
  <c r="L5706" i="210"/>
  <c r="N5706" i="210"/>
  <c r="P5706" i="210"/>
  <c r="Q5706" i="210"/>
  <c r="D5707" i="210"/>
  <c r="K5707" i="210"/>
  <c r="L5707" i="210"/>
  <c r="N5707" i="210"/>
  <c r="P5707" i="210"/>
  <c r="Q5707" i="210"/>
  <c r="D5708" i="210"/>
  <c r="K5708" i="210"/>
  <c r="L5708" i="210"/>
  <c r="N5708" i="210"/>
  <c r="P5708" i="210"/>
  <c r="Q5708" i="210"/>
  <c r="D5709" i="210"/>
  <c r="K5709" i="210"/>
  <c r="L5709" i="210"/>
  <c r="N5709" i="210"/>
  <c r="P5709" i="210"/>
  <c r="Q5709" i="210"/>
  <c r="D5710" i="210"/>
  <c r="K5710" i="210"/>
  <c r="L5710" i="210"/>
  <c r="N5710" i="210"/>
  <c r="P5710" i="210"/>
  <c r="Q5710" i="210"/>
  <c r="D5711" i="210"/>
  <c r="K5711" i="210"/>
  <c r="L5711" i="210"/>
  <c r="N5711" i="210"/>
  <c r="P5711" i="210"/>
  <c r="Q5711" i="210"/>
  <c r="D5712" i="210"/>
  <c r="K5712" i="210"/>
  <c r="L5712" i="210"/>
  <c r="N5712" i="210"/>
  <c r="P5712" i="210"/>
  <c r="Q5712" i="210"/>
  <c r="D5713" i="210"/>
  <c r="K5713" i="210"/>
  <c r="L5713" i="210"/>
  <c r="N5713" i="210"/>
  <c r="P5713" i="210"/>
  <c r="Q5713" i="210"/>
  <c r="D5714" i="210"/>
  <c r="K5714" i="210"/>
  <c r="L5714" i="210"/>
  <c r="N5714" i="210"/>
  <c r="P5714" i="210"/>
  <c r="Q5714" i="210"/>
  <c r="D5715" i="210"/>
  <c r="K5715" i="210"/>
  <c r="L5715" i="210"/>
  <c r="N5715" i="210"/>
  <c r="P5715" i="210"/>
  <c r="Q5715" i="210"/>
  <c r="D5716" i="210"/>
  <c r="K5716" i="210"/>
  <c r="L5716" i="210"/>
  <c r="N5716" i="210"/>
  <c r="P5716" i="210"/>
  <c r="Q5716" i="210"/>
  <c r="D5717" i="210"/>
  <c r="K5717" i="210"/>
  <c r="L5717" i="210"/>
  <c r="N5717" i="210"/>
  <c r="P5717" i="210"/>
  <c r="Q5717" i="210"/>
  <c r="D5718" i="210"/>
  <c r="K5718" i="210"/>
  <c r="L5718" i="210"/>
  <c r="N5718" i="210"/>
  <c r="P5718" i="210"/>
  <c r="Q5718" i="210"/>
  <c r="C5721" i="210"/>
  <c r="C5722" i="210" s="1"/>
  <c r="C5723" i="210" s="1"/>
  <c r="H5721" i="210"/>
  <c r="E5721" i="210" s="1"/>
  <c r="E5722" i="210" s="1"/>
  <c r="E5723" i="210" s="1"/>
  <c r="E5725" i="210" s="1"/>
  <c r="E5727" i="210" s="1"/>
  <c r="E5729" i="210" s="1"/>
  <c r="E5731" i="210" s="1"/>
  <c r="E5733" i="210" s="1"/>
  <c r="E5735" i="210" s="1"/>
  <c r="E5737" i="210" s="1"/>
  <c r="E5739" i="210" s="1"/>
  <c r="E5741" i="210" s="1"/>
  <c r="E5743" i="210" s="1"/>
  <c r="E5745" i="210" s="1"/>
  <c r="E5747" i="210" s="1"/>
  <c r="I5721" i="210"/>
  <c r="J5721" i="210"/>
  <c r="I5722" i="210"/>
  <c r="I5723" i="210"/>
  <c r="D5725" i="210"/>
  <c r="K5725" i="210"/>
  <c r="L5725" i="210"/>
  <c r="N5725" i="210"/>
  <c r="P5725" i="210"/>
  <c r="Q5725" i="210"/>
  <c r="D5726" i="210"/>
  <c r="E5726" i="210"/>
  <c r="E5728" i="210" s="1"/>
  <c r="E5730" i="210" s="1"/>
  <c r="E5732" i="210" s="1"/>
  <c r="E5734" i="210" s="1"/>
  <c r="E5736" i="210" s="1"/>
  <c r="E5738" i="210" s="1"/>
  <c r="E5740" i="210" s="1"/>
  <c r="E5742" i="210" s="1"/>
  <c r="E5744" i="210" s="1"/>
  <c r="E5746" i="210" s="1"/>
  <c r="E5748" i="210" s="1"/>
  <c r="K5726" i="210"/>
  <c r="L5726" i="210"/>
  <c r="N5726" i="210"/>
  <c r="P5726" i="210"/>
  <c r="Q5726" i="210"/>
  <c r="D5727" i="210"/>
  <c r="K5727" i="210"/>
  <c r="L5727" i="210"/>
  <c r="N5727" i="210"/>
  <c r="P5727" i="210"/>
  <c r="Q5727" i="210"/>
  <c r="D5728" i="210"/>
  <c r="K5728" i="210"/>
  <c r="L5728" i="210"/>
  <c r="N5728" i="210"/>
  <c r="P5728" i="210"/>
  <c r="Q5728" i="210"/>
  <c r="D5729" i="210"/>
  <c r="K5729" i="210"/>
  <c r="L5729" i="210"/>
  <c r="N5729" i="210"/>
  <c r="P5729" i="210"/>
  <c r="Q5729" i="210"/>
  <c r="D5730" i="210"/>
  <c r="K5730" i="210"/>
  <c r="L5730" i="210"/>
  <c r="N5730" i="210"/>
  <c r="P5730" i="210"/>
  <c r="Q5730" i="210"/>
  <c r="D5731" i="210"/>
  <c r="K5731" i="210"/>
  <c r="L5731" i="210"/>
  <c r="N5731" i="210"/>
  <c r="P5731" i="210"/>
  <c r="Q5731" i="210"/>
  <c r="D5732" i="210"/>
  <c r="K5732" i="210"/>
  <c r="L5732" i="210"/>
  <c r="N5732" i="210"/>
  <c r="P5732" i="210"/>
  <c r="Q5732" i="210"/>
  <c r="D5733" i="210"/>
  <c r="K5733" i="210"/>
  <c r="L5733" i="210"/>
  <c r="N5733" i="210"/>
  <c r="P5733" i="210"/>
  <c r="Q5733" i="210"/>
  <c r="D5734" i="210"/>
  <c r="K5734" i="210"/>
  <c r="L5734" i="210"/>
  <c r="N5734" i="210"/>
  <c r="P5734" i="210"/>
  <c r="Q5734" i="210"/>
  <c r="D5735" i="210"/>
  <c r="K5735" i="210"/>
  <c r="L5735" i="210"/>
  <c r="N5735" i="210"/>
  <c r="P5735" i="210"/>
  <c r="Q5735" i="210"/>
  <c r="D5736" i="210"/>
  <c r="K5736" i="210"/>
  <c r="L5736" i="210"/>
  <c r="N5736" i="210"/>
  <c r="P5736" i="210"/>
  <c r="Q5736" i="210"/>
  <c r="D5737" i="210"/>
  <c r="K5737" i="210"/>
  <c r="L5737" i="210"/>
  <c r="N5737" i="210"/>
  <c r="P5737" i="210"/>
  <c r="Q5737" i="210"/>
  <c r="D5738" i="210"/>
  <c r="K5738" i="210"/>
  <c r="L5738" i="210"/>
  <c r="N5738" i="210"/>
  <c r="P5738" i="210"/>
  <c r="Q5738" i="210"/>
  <c r="D5739" i="210"/>
  <c r="K5739" i="210"/>
  <c r="L5739" i="210"/>
  <c r="N5739" i="210"/>
  <c r="P5739" i="210"/>
  <c r="Q5739" i="210"/>
  <c r="D5740" i="210"/>
  <c r="K5740" i="210"/>
  <c r="L5740" i="210"/>
  <c r="N5740" i="210"/>
  <c r="P5740" i="210"/>
  <c r="Q5740" i="210"/>
  <c r="D5741" i="210"/>
  <c r="K5741" i="210"/>
  <c r="L5741" i="210"/>
  <c r="N5741" i="210"/>
  <c r="P5741" i="210"/>
  <c r="Q5741" i="210"/>
  <c r="D5742" i="210"/>
  <c r="K5742" i="210"/>
  <c r="L5742" i="210"/>
  <c r="N5742" i="210"/>
  <c r="P5742" i="210"/>
  <c r="Q5742" i="210"/>
  <c r="D5743" i="210"/>
  <c r="K5743" i="210"/>
  <c r="L5743" i="210"/>
  <c r="N5743" i="210"/>
  <c r="P5743" i="210"/>
  <c r="Q5743" i="210"/>
  <c r="D5744" i="210"/>
  <c r="K5744" i="210"/>
  <c r="L5744" i="210"/>
  <c r="N5744" i="210"/>
  <c r="P5744" i="210"/>
  <c r="Q5744" i="210"/>
  <c r="D5745" i="210"/>
  <c r="K5745" i="210"/>
  <c r="L5745" i="210"/>
  <c r="N5745" i="210"/>
  <c r="P5745" i="210"/>
  <c r="Q5745" i="210"/>
  <c r="D5746" i="210"/>
  <c r="K5746" i="210"/>
  <c r="L5746" i="210"/>
  <c r="N5746" i="210"/>
  <c r="P5746" i="210"/>
  <c r="Q5746" i="210"/>
  <c r="D5747" i="210"/>
  <c r="K5747" i="210"/>
  <c r="L5747" i="210"/>
  <c r="N5747" i="210"/>
  <c r="P5747" i="210"/>
  <c r="Q5747" i="210"/>
  <c r="D5748" i="210"/>
  <c r="K5748" i="210"/>
  <c r="L5748" i="210"/>
  <c r="N5748" i="210"/>
  <c r="P5748" i="210"/>
  <c r="Q5748" i="210"/>
  <c r="C5751" i="210"/>
  <c r="C5752" i="210" s="1"/>
  <c r="C5753" i="210" s="1"/>
  <c r="E5751" i="210"/>
  <c r="E5752" i="210" s="1"/>
  <c r="E5753" i="210" s="1"/>
  <c r="E5755" i="210" s="1"/>
  <c r="E5757" i="210" s="1"/>
  <c r="E5759" i="210" s="1"/>
  <c r="E5761" i="210" s="1"/>
  <c r="E5763" i="210" s="1"/>
  <c r="E5765" i="210" s="1"/>
  <c r="E5767" i="210" s="1"/>
  <c r="E5769" i="210" s="1"/>
  <c r="E5771" i="210" s="1"/>
  <c r="E5773" i="210" s="1"/>
  <c r="E5775" i="210" s="1"/>
  <c r="H5751" i="210"/>
  <c r="I5751" i="210"/>
  <c r="J5751" i="210"/>
  <c r="I5752" i="210"/>
  <c r="I5753" i="210"/>
  <c r="D5755" i="210"/>
  <c r="K5755" i="210"/>
  <c r="L5755" i="210"/>
  <c r="N5755" i="210"/>
  <c r="P5755" i="210"/>
  <c r="Q5755" i="210"/>
  <c r="D5756" i="210"/>
  <c r="E5756" i="210"/>
  <c r="E5758" i="210" s="1"/>
  <c r="E5760" i="210" s="1"/>
  <c r="E5762" i="210" s="1"/>
  <c r="E5764" i="210" s="1"/>
  <c r="E5766" i="210" s="1"/>
  <c r="E5768" i="210" s="1"/>
  <c r="E5770" i="210" s="1"/>
  <c r="E5772" i="210" s="1"/>
  <c r="E5774" i="210" s="1"/>
  <c r="K5756" i="210"/>
  <c r="L5756" i="210"/>
  <c r="N5756" i="210"/>
  <c r="P5756" i="210"/>
  <c r="Q5756" i="210"/>
  <c r="D5757" i="210"/>
  <c r="K5757" i="210"/>
  <c r="L5757" i="210"/>
  <c r="N5757" i="210"/>
  <c r="P5757" i="210"/>
  <c r="Q5757" i="210"/>
  <c r="D5758" i="210"/>
  <c r="K5758" i="210"/>
  <c r="L5758" i="210"/>
  <c r="N5758" i="210"/>
  <c r="P5758" i="210"/>
  <c r="Q5758" i="210"/>
  <c r="D5759" i="210"/>
  <c r="K5759" i="210"/>
  <c r="L5759" i="210"/>
  <c r="N5759" i="210"/>
  <c r="P5759" i="210"/>
  <c r="Q5759" i="210"/>
  <c r="D5760" i="210"/>
  <c r="K5760" i="210"/>
  <c r="L5760" i="210"/>
  <c r="N5760" i="210"/>
  <c r="P5760" i="210"/>
  <c r="Q5760" i="210"/>
  <c r="D5761" i="210"/>
  <c r="K5761" i="210"/>
  <c r="L5761" i="210"/>
  <c r="N5761" i="210"/>
  <c r="P5761" i="210"/>
  <c r="Q5761" i="210"/>
  <c r="D5762" i="210"/>
  <c r="K5762" i="210"/>
  <c r="L5762" i="210"/>
  <c r="N5762" i="210"/>
  <c r="P5762" i="210"/>
  <c r="Q5762" i="210"/>
  <c r="D5763" i="210"/>
  <c r="K5763" i="210"/>
  <c r="L5763" i="210"/>
  <c r="N5763" i="210"/>
  <c r="P5763" i="210"/>
  <c r="Q5763" i="210"/>
  <c r="D5764" i="210"/>
  <c r="K5764" i="210"/>
  <c r="L5764" i="210"/>
  <c r="N5764" i="210"/>
  <c r="P5764" i="210"/>
  <c r="Q5764" i="210"/>
  <c r="D5765" i="210"/>
  <c r="K5765" i="210"/>
  <c r="L5765" i="210"/>
  <c r="N5765" i="210"/>
  <c r="P5765" i="210"/>
  <c r="Q5765" i="210"/>
  <c r="D5766" i="210"/>
  <c r="K5766" i="210"/>
  <c r="L5766" i="210"/>
  <c r="N5766" i="210"/>
  <c r="P5766" i="210"/>
  <c r="Q5766" i="210"/>
  <c r="D5767" i="210"/>
  <c r="K5767" i="210"/>
  <c r="L5767" i="210"/>
  <c r="N5767" i="210"/>
  <c r="P5767" i="210"/>
  <c r="Q5767" i="210"/>
  <c r="D5768" i="210"/>
  <c r="K5768" i="210"/>
  <c r="L5768" i="210"/>
  <c r="N5768" i="210"/>
  <c r="P5768" i="210"/>
  <c r="Q5768" i="210"/>
  <c r="D5769" i="210"/>
  <c r="K5769" i="210"/>
  <c r="L5769" i="210"/>
  <c r="N5769" i="210"/>
  <c r="P5769" i="210"/>
  <c r="Q5769" i="210"/>
  <c r="D5770" i="210"/>
  <c r="K5770" i="210"/>
  <c r="L5770" i="210"/>
  <c r="N5770" i="210"/>
  <c r="P5770" i="210"/>
  <c r="Q5770" i="210"/>
  <c r="D5771" i="210"/>
  <c r="K5771" i="210"/>
  <c r="L5771" i="210"/>
  <c r="N5771" i="210"/>
  <c r="P5771" i="210"/>
  <c r="Q5771" i="210"/>
  <c r="D5772" i="210"/>
  <c r="K5772" i="210"/>
  <c r="L5772" i="210"/>
  <c r="N5772" i="210"/>
  <c r="P5772" i="210"/>
  <c r="Q5772" i="210"/>
  <c r="D5773" i="210"/>
  <c r="K5773" i="210"/>
  <c r="L5773" i="210"/>
  <c r="N5773" i="210"/>
  <c r="P5773" i="210"/>
  <c r="Q5773" i="210"/>
  <c r="D5774" i="210"/>
  <c r="K5774" i="210"/>
  <c r="L5774" i="210"/>
  <c r="N5774" i="210"/>
  <c r="P5774" i="210"/>
  <c r="Q5774" i="210"/>
  <c r="D5775" i="210"/>
  <c r="K5775" i="210"/>
  <c r="L5775" i="210"/>
  <c r="N5775" i="210"/>
  <c r="P5775" i="210"/>
  <c r="Q5775" i="210"/>
  <c r="C5778" i="210"/>
  <c r="C5779" i="210" s="1"/>
  <c r="C5780" i="210" s="1"/>
  <c r="H5778" i="210"/>
  <c r="E5778" i="210" s="1"/>
  <c r="I5778" i="210"/>
  <c r="J5778" i="210"/>
  <c r="E5779" i="210"/>
  <c r="E5780" i="210" s="1"/>
  <c r="E5782" i="210" s="1"/>
  <c r="E5784" i="210" s="1"/>
  <c r="E5786" i="210" s="1"/>
  <c r="E5788" i="210" s="1"/>
  <c r="E5790" i="210" s="1"/>
  <c r="E5792" i="210" s="1"/>
  <c r="E5794" i="210" s="1"/>
  <c r="E5796" i="210" s="1"/>
  <c r="E5798" i="210" s="1"/>
  <c r="E5800" i="210" s="1"/>
  <c r="E5802" i="210" s="1"/>
  <c r="E5804" i="210" s="1"/>
  <c r="E5806" i="210" s="1"/>
  <c r="E5808" i="210" s="1"/>
  <c r="I5779" i="210"/>
  <c r="I5780" i="210"/>
  <c r="D5782" i="210"/>
  <c r="K5782" i="210"/>
  <c r="L5782" i="210"/>
  <c r="N5782" i="210"/>
  <c r="P5782" i="210"/>
  <c r="Q5782" i="210"/>
  <c r="D5783" i="210"/>
  <c r="E5783" i="210"/>
  <c r="E5785" i="210" s="1"/>
  <c r="E5787" i="210" s="1"/>
  <c r="E5789" i="210" s="1"/>
  <c r="E5791" i="210" s="1"/>
  <c r="E5793" i="210" s="1"/>
  <c r="E5795" i="210" s="1"/>
  <c r="E5797" i="210" s="1"/>
  <c r="E5799" i="210" s="1"/>
  <c r="E5801" i="210" s="1"/>
  <c r="E5803" i="210" s="1"/>
  <c r="E5805" i="210" s="1"/>
  <c r="E5807" i="210" s="1"/>
  <c r="K5783" i="210"/>
  <c r="L5783" i="210"/>
  <c r="N5783" i="210"/>
  <c r="P5783" i="210"/>
  <c r="Q5783" i="210"/>
  <c r="D5784" i="210"/>
  <c r="K5784" i="210"/>
  <c r="L5784" i="210"/>
  <c r="N5784" i="210"/>
  <c r="P5784" i="210"/>
  <c r="Q5784" i="210"/>
  <c r="D5785" i="210"/>
  <c r="K5785" i="210"/>
  <c r="L5785" i="210"/>
  <c r="N5785" i="210"/>
  <c r="P5785" i="210"/>
  <c r="Q5785" i="210"/>
  <c r="D5786" i="210"/>
  <c r="K5786" i="210"/>
  <c r="L5786" i="210"/>
  <c r="N5786" i="210"/>
  <c r="P5786" i="210"/>
  <c r="Q5786" i="210"/>
  <c r="D5787" i="210"/>
  <c r="K5787" i="210"/>
  <c r="L5787" i="210"/>
  <c r="N5787" i="210"/>
  <c r="P5787" i="210"/>
  <c r="Q5787" i="210"/>
  <c r="D5788" i="210"/>
  <c r="K5788" i="210"/>
  <c r="L5788" i="210"/>
  <c r="N5788" i="210"/>
  <c r="P5788" i="210"/>
  <c r="Q5788" i="210"/>
  <c r="D5789" i="210"/>
  <c r="K5789" i="210"/>
  <c r="L5789" i="210"/>
  <c r="N5789" i="210"/>
  <c r="P5789" i="210"/>
  <c r="Q5789" i="210"/>
  <c r="D5790" i="210"/>
  <c r="K5790" i="210"/>
  <c r="L5790" i="210"/>
  <c r="N5790" i="210"/>
  <c r="P5790" i="210"/>
  <c r="Q5790" i="210"/>
  <c r="D5791" i="210"/>
  <c r="K5791" i="210"/>
  <c r="L5791" i="210"/>
  <c r="N5791" i="210"/>
  <c r="P5791" i="210"/>
  <c r="Q5791" i="210"/>
  <c r="D5792" i="210"/>
  <c r="K5792" i="210"/>
  <c r="L5792" i="210"/>
  <c r="N5792" i="210"/>
  <c r="P5792" i="210"/>
  <c r="Q5792" i="210"/>
  <c r="D5793" i="210"/>
  <c r="K5793" i="210"/>
  <c r="L5793" i="210"/>
  <c r="N5793" i="210"/>
  <c r="P5793" i="210"/>
  <c r="Q5793" i="210"/>
  <c r="D5794" i="210"/>
  <c r="K5794" i="210"/>
  <c r="L5794" i="210"/>
  <c r="N5794" i="210"/>
  <c r="P5794" i="210"/>
  <c r="Q5794" i="210"/>
  <c r="D5795" i="210"/>
  <c r="K5795" i="210"/>
  <c r="L5795" i="210"/>
  <c r="N5795" i="210"/>
  <c r="P5795" i="210"/>
  <c r="Q5795" i="210"/>
  <c r="D5796" i="210"/>
  <c r="K5796" i="210"/>
  <c r="L5796" i="210"/>
  <c r="N5796" i="210"/>
  <c r="P5796" i="210"/>
  <c r="Q5796" i="210"/>
  <c r="D5797" i="210"/>
  <c r="K5797" i="210"/>
  <c r="L5797" i="210"/>
  <c r="N5797" i="210"/>
  <c r="P5797" i="210"/>
  <c r="Q5797" i="210"/>
  <c r="D5798" i="210"/>
  <c r="K5798" i="210"/>
  <c r="L5798" i="210"/>
  <c r="N5798" i="210"/>
  <c r="P5798" i="210"/>
  <c r="Q5798" i="210"/>
  <c r="D5799" i="210"/>
  <c r="K5799" i="210"/>
  <c r="L5799" i="210"/>
  <c r="N5799" i="210"/>
  <c r="P5799" i="210"/>
  <c r="Q5799" i="210"/>
  <c r="D5800" i="210"/>
  <c r="K5800" i="210"/>
  <c r="L5800" i="210"/>
  <c r="N5800" i="210"/>
  <c r="P5800" i="210"/>
  <c r="Q5800" i="210"/>
  <c r="D5801" i="210"/>
  <c r="K5801" i="210"/>
  <c r="L5801" i="210"/>
  <c r="N5801" i="210"/>
  <c r="P5801" i="210"/>
  <c r="Q5801" i="210"/>
  <c r="D5802" i="210"/>
  <c r="K5802" i="210"/>
  <c r="L5802" i="210"/>
  <c r="N5802" i="210"/>
  <c r="P5802" i="210"/>
  <c r="Q5802" i="210"/>
  <c r="D5803" i="210"/>
  <c r="K5803" i="210"/>
  <c r="L5803" i="210"/>
  <c r="N5803" i="210"/>
  <c r="P5803" i="210"/>
  <c r="Q5803" i="210"/>
  <c r="D5804" i="210"/>
  <c r="K5804" i="210"/>
  <c r="L5804" i="210"/>
  <c r="N5804" i="210"/>
  <c r="P5804" i="210"/>
  <c r="Q5804" i="210"/>
  <c r="D5805" i="210"/>
  <c r="K5805" i="210"/>
  <c r="L5805" i="210"/>
  <c r="N5805" i="210"/>
  <c r="P5805" i="210"/>
  <c r="Q5805" i="210"/>
  <c r="D5806" i="210"/>
  <c r="K5806" i="210"/>
  <c r="L5806" i="210"/>
  <c r="N5806" i="210"/>
  <c r="P5806" i="210"/>
  <c r="Q5806" i="210"/>
  <c r="D5807" i="210"/>
  <c r="K5807" i="210"/>
  <c r="L5807" i="210"/>
  <c r="N5807" i="210"/>
  <c r="P5807" i="210"/>
  <c r="Q5807" i="210"/>
  <c r="D5808" i="210"/>
  <c r="K5808" i="210"/>
  <c r="L5808" i="210"/>
  <c r="N5808" i="210"/>
  <c r="P5808" i="210"/>
  <c r="Q5808" i="210"/>
  <c r="C5811" i="210"/>
  <c r="H5811" i="210"/>
  <c r="E5811" i="210" s="1"/>
  <c r="E5812" i="210" s="1"/>
  <c r="E5813" i="210" s="1"/>
  <c r="E5815" i="210" s="1"/>
  <c r="E5817" i="210" s="1"/>
  <c r="E5819" i="210" s="1"/>
  <c r="E5821" i="210" s="1"/>
  <c r="E5823" i="210" s="1"/>
  <c r="E5825" i="210" s="1"/>
  <c r="E5827" i="210" s="1"/>
  <c r="E5829" i="210" s="1"/>
  <c r="E5831" i="210" s="1"/>
  <c r="E5833" i="210" s="1"/>
  <c r="E5835" i="210" s="1"/>
  <c r="E5837" i="210" s="1"/>
  <c r="E5839" i="210" s="1"/>
  <c r="E5841" i="210" s="1"/>
  <c r="E5843" i="210" s="1"/>
  <c r="I5811" i="210"/>
  <c r="J5811" i="210"/>
  <c r="C5812" i="210"/>
  <c r="C5813" i="210" s="1"/>
  <c r="I5812" i="210"/>
  <c r="I5813" i="210"/>
  <c r="D5815" i="210"/>
  <c r="K5815" i="210"/>
  <c r="L5815" i="210"/>
  <c r="N5815" i="210"/>
  <c r="P5815" i="210"/>
  <c r="Q5815" i="210"/>
  <c r="D5816" i="210"/>
  <c r="E5816" i="210"/>
  <c r="E5818" i="210" s="1"/>
  <c r="E5820" i="210" s="1"/>
  <c r="E5822" i="210" s="1"/>
  <c r="E5824" i="210" s="1"/>
  <c r="E5826" i="210" s="1"/>
  <c r="E5828" i="210" s="1"/>
  <c r="E5830" i="210" s="1"/>
  <c r="E5832" i="210" s="1"/>
  <c r="E5834" i="210" s="1"/>
  <c r="E5836" i="210" s="1"/>
  <c r="E5838" i="210" s="1"/>
  <c r="E5840" i="210" s="1"/>
  <c r="E5842" i="210" s="1"/>
  <c r="K5816" i="210"/>
  <c r="L5816" i="210"/>
  <c r="N5816" i="210"/>
  <c r="P5816" i="210"/>
  <c r="Q5816" i="210"/>
  <c r="D5817" i="210"/>
  <c r="K5817" i="210"/>
  <c r="L5817" i="210"/>
  <c r="N5817" i="210"/>
  <c r="P5817" i="210"/>
  <c r="Q5817" i="210"/>
  <c r="D5818" i="210"/>
  <c r="K5818" i="210"/>
  <c r="L5818" i="210"/>
  <c r="N5818" i="210"/>
  <c r="P5818" i="210"/>
  <c r="Q5818" i="210"/>
  <c r="D5819" i="210"/>
  <c r="K5819" i="210"/>
  <c r="L5819" i="210"/>
  <c r="N5819" i="210"/>
  <c r="P5819" i="210"/>
  <c r="Q5819" i="210"/>
  <c r="D5820" i="210"/>
  <c r="K5820" i="210"/>
  <c r="L5820" i="210"/>
  <c r="N5820" i="210"/>
  <c r="P5820" i="210"/>
  <c r="Q5820" i="210"/>
  <c r="D5821" i="210"/>
  <c r="K5821" i="210"/>
  <c r="L5821" i="210"/>
  <c r="N5821" i="210"/>
  <c r="P5821" i="210"/>
  <c r="Q5821" i="210"/>
  <c r="D5822" i="210"/>
  <c r="K5822" i="210"/>
  <c r="L5822" i="210"/>
  <c r="N5822" i="210"/>
  <c r="P5822" i="210"/>
  <c r="Q5822" i="210"/>
  <c r="D5823" i="210"/>
  <c r="K5823" i="210"/>
  <c r="L5823" i="210"/>
  <c r="N5823" i="210"/>
  <c r="P5823" i="210"/>
  <c r="Q5823" i="210"/>
  <c r="D5824" i="210"/>
  <c r="K5824" i="210"/>
  <c r="L5824" i="210"/>
  <c r="N5824" i="210"/>
  <c r="P5824" i="210"/>
  <c r="Q5824" i="210"/>
  <c r="D5825" i="210"/>
  <c r="K5825" i="210"/>
  <c r="L5825" i="210"/>
  <c r="N5825" i="210"/>
  <c r="P5825" i="210"/>
  <c r="Q5825" i="210"/>
  <c r="D5826" i="210"/>
  <c r="K5826" i="210"/>
  <c r="L5826" i="210"/>
  <c r="N5826" i="210"/>
  <c r="P5826" i="210"/>
  <c r="Q5826" i="210"/>
  <c r="D5827" i="210"/>
  <c r="K5827" i="210"/>
  <c r="L5827" i="210"/>
  <c r="N5827" i="210"/>
  <c r="P5827" i="210"/>
  <c r="Q5827" i="210"/>
  <c r="D5828" i="210"/>
  <c r="K5828" i="210"/>
  <c r="L5828" i="210"/>
  <c r="N5828" i="210"/>
  <c r="P5828" i="210"/>
  <c r="Q5828" i="210"/>
  <c r="D5829" i="210"/>
  <c r="K5829" i="210"/>
  <c r="L5829" i="210"/>
  <c r="N5829" i="210"/>
  <c r="P5829" i="210"/>
  <c r="Q5829" i="210"/>
  <c r="D5830" i="210"/>
  <c r="K5830" i="210"/>
  <c r="L5830" i="210"/>
  <c r="N5830" i="210"/>
  <c r="P5830" i="210"/>
  <c r="Q5830" i="210"/>
  <c r="D5831" i="210"/>
  <c r="K5831" i="210"/>
  <c r="L5831" i="210"/>
  <c r="N5831" i="210"/>
  <c r="P5831" i="210"/>
  <c r="Q5831" i="210"/>
  <c r="D5832" i="210"/>
  <c r="K5832" i="210"/>
  <c r="L5832" i="210"/>
  <c r="N5832" i="210"/>
  <c r="P5832" i="210"/>
  <c r="Q5832" i="210"/>
  <c r="D5833" i="210"/>
  <c r="K5833" i="210"/>
  <c r="L5833" i="210"/>
  <c r="N5833" i="210"/>
  <c r="P5833" i="210"/>
  <c r="Q5833" i="210"/>
  <c r="D5834" i="210"/>
  <c r="K5834" i="210"/>
  <c r="L5834" i="210"/>
  <c r="N5834" i="210"/>
  <c r="P5834" i="210"/>
  <c r="Q5834" i="210"/>
  <c r="D5835" i="210"/>
  <c r="K5835" i="210"/>
  <c r="L5835" i="210"/>
  <c r="N5835" i="210"/>
  <c r="P5835" i="210"/>
  <c r="Q5835" i="210"/>
  <c r="D5836" i="210"/>
  <c r="K5836" i="210"/>
  <c r="L5836" i="210"/>
  <c r="N5836" i="210"/>
  <c r="P5836" i="210"/>
  <c r="Q5836" i="210"/>
  <c r="D5837" i="210"/>
  <c r="K5837" i="210"/>
  <c r="L5837" i="210"/>
  <c r="N5837" i="210"/>
  <c r="P5837" i="210"/>
  <c r="Q5837" i="210"/>
  <c r="D5838" i="210"/>
  <c r="K5838" i="210"/>
  <c r="L5838" i="210"/>
  <c r="N5838" i="210"/>
  <c r="P5838" i="210"/>
  <c r="Q5838" i="210"/>
  <c r="D5839" i="210"/>
  <c r="K5839" i="210"/>
  <c r="L5839" i="210"/>
  <c r="N5839" i="210"/>
  <c r="P5839" i="210"/>
  <c r="Q5839" i="210"/>
  <c r="D5840" i="210"/>
  <c r="K5840" i="210"/>
  <c r="L5840" i="210"/>
  <c r="N5840" i="210"/>
  <c r="P5840" i="210"/>
  <c r="Q5840" i="210"/>
  <c r="D5841" i="210"/>
  <c r="K5841" i="210"/>
  <c r="L5841" i="210"/>
  <c r="N5841" i="210"/>
  <c r="P5841" i="210"/>
  <c r="Q5841" i="210"/>
  <c r="D5842" i="210"/>
  <c r="K5842" i="210"/>
  <c r="L5842" i="210"/>
  <c r="N5842" i="210"/>
  <c r="P5842" i="210"/>
  <c r="Q5842" i="210"/>
  <c r="D5843" i="210"/>
  <c r="K5843" i="210"/>
  <c r="L5843" i="210"/>
  <c r="N5843" i="210"/>
  <c r="P5843" i="210"/>
  <c r="Q5843" i="210"/>
  <c r="C5846" i="210"/>
  <c r="C5847" i="210" s="1"/>
  <c r="C5848" i="210" s="1"/>
  <c r="H5846" i="210"/>
  <c r="E5846" i="210" s="1"/>
  <c r="E5847" i="210" s="1"/>
  <c r="E5848" i="210" s="1"/>
  <c r="E5850" i="210" s="1"/>
  <c r="E5852" i="210" s="1"/>
  <c r="E5854" i="210" s="1"/>
  <c r="E5856" i="210" s="1"/>
  <c r="E5858" i="210" s="1"/>
  <c r="E5860" i="210" s="1"/>
  <c r="E5862" i="210" s="1"/>
  <c r="E5864" i="210" s="1"/>
  <c r="E5866" i="210" s="1"/>
  <c r="E5868" i="210" s="1"/>
  <c r="E5870" i="210" s="1"/>
  <c r="E5872" i="210" s="1"/>
  <c r="E5874" i="210" s="1"/>
  <c r="E5876" i="210" s="1"/>
  <c r="I5846" i="210"/>
  <c r="J5846" i="210"/>
  <c r="I5847" i="210"/>
  <c r="I5848" i="210"/>
  <c r="D5850" i="210"/>
  <c r="K5850" i="210"/>
  <c r="L5850" i="210"/>
  <c r="N5850" i="210"/>
  <c r="P5850" i="210"/>
  <c r="Q5850" i="210"/>
  <c r="D5851" i="210"/>
  <c r="E5851" i="210"/>
  <c r="E5853" i="210" s="1"/>
  <c r="E5855" i="210" s="1"/>
  <c r="E5857" i="210" s="1"/>
  <c r="E5859" i="210" s="1"/>
  <c r="E5861" i="210" s="1"/>
  <c r="E5863" i="210" s="1"/>
  <c r="E5865" i="210" s="1"/>
  <c r="E5867" i="210" s="1"/>
  <c r="E5869" i="210" s="1"/>
  <c r="E5871" i="210" s="1"/>
  <c r="E5873" i="210" s="1"/>
  <c r="E5875" i="210" s="1"/>
  <c r="E5877" i="210" s="1"/>
  <c r="K5851" i="210"/>
  <c r="L5851" i="210"/>
  <c r="N5851" i="210"/>
  <c r="P5851" i="210"/>
  <c r="Q5851" i="210"/>
  <c r="D5852" i="210"/>
  <c r="K5852" i="210"/>
  <c r="L5852" i="210"/>
  <c r="N5852" i="210"/>
  <c r="P5852" i="210"/>
  <c r="Q5852" i="210"/>
  <c r="D5853" i="210"/>
  <c r="K5853" i="210"/>
  <c r="L5853" i="210"/>
  <c r="N5853" i="210"/>
  <c r="P5853" i="210"/>
  <c r="Q5853" i="210"/>
  <c r="D5854" i="210"/>
  <c r="K5854" i="210"/>
  <c r="L5854" i="210"/>
  <c r="N5854" i="210"/>
  <c r="P5854" i="210"/>
  <c r="Q5854" i="210"/>
  <c r="D5855" i="210"/>
  <c r="K5855" i="210"/>
  <c r="L5855" i="210"/>
  <c r="N5855" i="210"/>
  <c r="P5855" i="210"/>
  <c r="Q5855" i="210"/>
  <c r="D5856" i="210"/>
  <c r="K5856" i="210"/>
  <c r="L5856" i="210"/>
  <c r="N5856" i="210"/>
  <c r="P5856" i="210"/>
  <c r="Q5856" i="210"/>
  <c r="D5857" i="210"/>
  <c r="K5857" i="210"/>
  <c r="L5857" i="210"/>
  <c r="N5857" i="210"/>
  <c r="P5857" i="210"/>
  <c r="Q5857" i="210"/>
  <c r="D5858" i="210"/>
  <c r="K5858" i="210"/>
  <c r="L5858" i="210"/>
  <c r="N5858" i="210"/>
  <c r="P5858" i="210"/>
  <c r="Q5858" i="210"/>
  <c r="D5859" i="210"/>
  <c r="K5859" i="210"/>
  <c r="L5859" i="210"/>
  <c r="N5859" i="210"/>
  <c r="P5859" i="210"/>
  <c r="Q5859" i="210"/>
  <c r="D5860" i="210"/>
  <c r="K5860" i="210"/>
  <c r="L5860" i="210"/>
  <c r="N5860" i="210"/>
  <c r="P5860" i="210"/>
  <c r="Q5860" i="210"/>
  <c r="D5861" i="210"/>
  <c r="K5861" i="210"/>
  <c r="L5861" i="210"/>
  <c r="N5861" i="210"/>
  <c r="P5861" i="210"/>
  <c r="Q5861" i="210"/>
  <c r="D5862" i="210"/>
  <c r="K5862" i="210"/>
  <c r="L5862" i="210"/>
  <c r="N5862" i="210"/>
  <c r="P5862" i="210"/>
  <c r="Q5862" i="210"/>
  <c r="D5863" i="210"/>
  <c r="K5863" i="210"/>
  <c r="L5863" i="210"/>
  <c r="N5863" i="210"/>
  <c r="P5863" i="210"/>
  <c r="Q5863" i="210"/>
  <c r="D5864" i="210"/>
  <c r="K5864" i="210"/>
  <c r="L5864" i="210"/>
  <c r="N5864" i="210"/>
  <c r="P5864" i="210"/>
  <c r="Q5864" i="210"/>
  <c r="D5865" i="210"/>
  <c r="K5865" i="210"/>
  <c r="L5865" i="210"/>
  <c r="N5865" i="210"/>
  <c r="P5865" i="210"/>
  <c r="Q5865" i="210"/>
  <c r="D5866" i="210"/>
  <c r="K5866" i="210"/>
  <c r="L5866" i="210"/>
  <c r="N5866" i="210"/>
  <c r="P5866" i="210"/>
  <c r="Q5866" i="210"/>
  <c r="D5867" i="210"/>
  <c r="K5867" i="210"/>
  <c r="L5867" i="210"/>
  <c r="N5867" i="210"/>
  <c r="P5867" i="210"/>
  <c r="Q5867" i="210"/>
  <c r="D5868" i="210"/>
  <c r="K5868" i="210"/>
  <c r="L5868" i="210"/>
  <c r="N5868" i="210"/>
  <c r="P5868" i="210"/>
  <c r="Q5868" i="210"/>
  <c r="D5869" i="210"/>
  <c r="K5869" i="210"/>
  <c r="L5869" i="210"/>
  <c r="N5869" i="210"/>
  <c r="P5869" i="210"/>
  <c r="Q5869" i="210"/>
  <c r="D5870" i="210"/>
  <c r="K5870" i="210"/>
  <c r="L5870" i="210"/>
  <c r="N5870" i="210"/>
  <c r="P5870" i="210"/>
  <c r="Q5870" i="210"/>
  <c r="D5871" i="210"/>
  <c r="K5871" i="210"/>
  <c r="L5871" i="210"/>
  <c r="N5871" i="210"/>
  <c r="P5871" i="210"/>
  <c r="Q5871" i="210"/>
  <c r="D5872" i="210"/>
  <c r="K5872" i="210"/>
  <c r="L5872" i="210"/>
  <c r="N5872" i="210"/>
  <c r="P5872" i="210"/>
  <c r="Q5872" i="210"/>
  <c r="D5873" i="210"/>
  <c r="K5873" i="210"/>
  <c r="L5873" i="210"/>
  <c r="N5873" i="210"/>
  <c r="P5873" i="210"/>
  <c r="Q5873" i="210"/>
  <c r="D5874" i="210"/>
  <c r="K5874" i="210"/>
  <c r="L5874" i="210"/>
  <c r="N5874" i="210"/>
  <c r="P5874" i="210"/>
  <c r="Q5874" i="210"/>
  <c r="D5875" i="210"/>
  <c r="K5875" i="210"/>
  <c r="L5875" i="210"/>
  <c r="N5875" i="210"/>
  <c r="P5875" i="210"/>
  <c r="Q5875" i="210"/>
  <c r="D5876" i="210"/>
  <c r="K5876" i="210"/>
  <c r="L5876" i="210"/>
  <c r="N5876" i="210"/>
  <c r="P5876" i="210"/>
  <c r="Q5876" i="210"/>
  <c r="D5877" i="210"/>
  <c r="K5877" i="210"/>
  <c r="L5877" i="210"/>
  <c r="N5877" i="210"/>
  <c r="P5877" i="210"/>
  <c r="Q5877" i="210"/>
  <c r="C5880" i="210"/>
  <c r="E5880" i="210"/>
  <c r="E5881" i="210" s="1"/>
  <c r="E5882" i="210" s="1"/>
  <c r="E5884" i="210" s="1"/>
  <c r="E5886" i="210" s="1"/>
  <c r="E5888" i="210" s="1"/>
  <c r="E5890" i="210" s="1"/>
  <c r="E5892" i="210" s="1"/>
  <c r="E5894" i="210" s="1"/>
  <c r="E5896" i="210" s="1"/>
  <c r="E5898" i="210" s="1"/>
  <c r="E5900" i="210" s="1"/>
  <c r="E5902" i="210" s="1"/>
  <c r="E5904" i="210" s="1"/>
  <c r="E5906" i="210" s="1"/>
  <c r="E5908" i="210" s="1"/>
  <c r="E5910" i="210" s="1"/>
  <c r="H5880" i="210"/>
  <c r="I5880" i="210"/>
  <c r="J5880" i="210"/>
  <c r="C5881" i="210"/>
  <c r="C5882" i="210" s="1"/>
  <c r="I5881" i="210"/>
  <c r="I5882" i="210"/>
  <c r="D5884" i="210"/>
  <c r="K5884" i="210"/>
  <c r="L5884" i="210"/>
  <c r="N5884" i="210"/>
  <c r="P5884" i="210"/>
  <c r="Q5884" i="210"/>
  <c r="D5885" i="210"/>
  <c r="E5885" i="210"/>
  <c r="E5887" i="210" s="1"/>
  <c r="E5889" i="210" s="1"/>
  <c r="E5891" i="210" s="1"/>
  <c r="E5893" i="210" s="1"/>
  <c r="E5895" i="210" s="1"/>
  <c r="E5897" i="210" s="1"/>
  <c r="E5899" i="210" s="1"/>
  <c r="E5901" i="210" s="1"/>
  <c r="E5903" i="210" s="1"/>
  <c r="E5905" i="210" s="1"/>
  <c r="E5907" i="210" s="1"/>
  <c r="E5909" i="210" s="1"/>
  <c r="E5911" i="210" s="1"/>
  <c r="K5885" i="210"/>
  <c r="L5885" i="210"/>
  <c r="N5885" i="210"/>
  <c r="P5885" i="210"/>
  <c r="Q5885" i="210"/>
  <c r="D5886" i="210"/>
  <c r="K5886" i="210"/>
  <c r="L5886" i="210"/>
  <c r="N5886" i="210"/>
  <c r="P5886" i="210"/>
  <c r="Q5886" i="210"/>
  <c r="D5887" i="210"/>
  <c r="K5887" i="210"/>
  <c r="L5887" i="210"/>
  <c r="N5887" i="210"/>
  <c r="P5887" i="210"/>
  <c r="Q5887" i="210"/>
  <c r="D5888" i="210"/>
  <c r="K5888" i="210"/>
  <c r="L5888" i="210"/>
  <c r="N5888" i="210"/>
  <c r="P5888" i="210"/>
  <c r="Q5888" i="210"/>
  <c r="D5889" i="210"/>
  <c r="K5889" i="210"/>
  <c r="L5889" i="210"/>
  <c r="N5889" i="210"/>
  <c r="P5889" i="210"/>
  <c r="Q5889" i="210"/>
  <c r="D5890" i="210"/>
  <c r="K5890" i="210"/>
  <c r="L5890" i="210"/>
  <c r="N5890" i="210"/>
  <c r="P5890" i="210"/>
  <c r="Q5890" i="210"/>
  <c r="D5891" i="210"/>
  <c r="K5891" i="210"/>
  <c r="L5891" i="210"/>
  <c r="N5891" i="210"/>
  <c r="P5891" i="210"/>
  <c r="Q5891" i="210"/>
  <c r="D5892" i="210"/>
  <c r="K5892" i="210"/>
  <c r="L5892" i="210"/>
  <c r="N5892" i="210"/>
  <c r="P5892" i="210"/>
  <c r="Q5892" i="210"/>
  <c r="D5893" i="210"/>
  <c r="K5893" i="210"/>
  <c r="L5893" i="210"/>
  <c r="N5893" i="210"/>
  <c r="P5893" i="210"/>
  <c r="Q5893" i="210"/>
  <c r="D5894" i="210"/>
  <c r="K5894" i="210"/>
  <c r="L5894" i="210"/>
  <c r="N5894" i="210"/>
  <c r="P5894" i="210"/>
  <c r="Q5894" i="210"/>
  <c r="D5895" i="210"/>
  <c r="K5895" i="210"/>
  <c r="L5895" i="210"/>
  <c r="N5895" i="210"/>
  <c r="P5895" i="210"/>
  <c r="Q5895" i="210"/>
  <c r="D5896" i="210"/>
  <c r="K5896" i="210"/>
  <c r="L5896" i="210"/>
  <c r="N5896" i="210"/>
  <c r="P5896" i="210"/>
  <c r="Q5896" i="210"/>
  <c r="D5897" i="210"/>
  <c r="K5897" i="210"/>
  <c r="L5897" i="210"/>
  <c r="N5897" i="210"/>
  <c r="P5897" i="210"/>
  <c r="Q5897" i="210"/>
  <c r="D5898" i="210"/>
  <c r="K5898" i="210"/>
  <c r="L5898" i="210"/>
  <c r="N5898" i="210"/>
  <c r="P5898" i="210"/>
  <c r="Q5898" i="210"/>
  <c r="D5899" i="210"/>
  <c r="K5899" i="210"/>
  <c r="L5899" i="210"/>
  <c r="N5899" i="210"/>
  <c r="P5899" i="210"/>
  <c r="Q5899" i="210"/>
  <c r="D5900" i="210"/>
  <c r="K5900" i="210"/>
  <c r="L5900" i="210"/>
  <c r="N5900" i="210"/>
  <c r="P5900" i="210"/>
  <c r="Q5900" i="210"/>
  <c r="D5901" i="210"/>
  <c r="K5901" i="210"/>
  <c r="L5901" i="210"/>
  <c r="N5901" i="210"/>
  <c r="P5901" i="210"/>
  <c r="Q5901" i="210"/>
  <c r="D5902" i="210"/>
  <c r="K5902" i="210"/>
  <c r="L5902" i="210"/>
  <c r="N5902" i="210"/>
  <c r="P5902" i="210"/>
  <c r="Q5902" i="210"/>
  <c r="D5903" i="210"/>
  <c r="K5903" i="210"/>
  <c r="L5903" i="210"/>
  <c r="N5903" i="210"/>
  <c r="P5903" i="210"/>
  <c r="Q5903" i="210"/>
  <c r="D5904" i="210"/>
  <c r="K5904" i="210"/>
  <c r="L5904" i="210"/>
  <c r="N5904" i="210"/>
  <c r="P5904" i="210"/>
  <c r="Q5904" i="210"/>
  <c r="D5905" i="210"/>
  <c r="K5905" i="210"/>
  <c r="L5905" i="210"/>
  <c r="N5905" i="210"/>
  <c r="P5905" i="210"/>
  <c r="Q5905" i="210"/>
  <c r="D5906" i="210"/>
  <c r="K5906" i="210"/>
  <c r="L5906" i="210"/>
  <c r="N5906" i="210"/>
  <c r="P5906" i="210"/>
  <c r="Q5906" i="210"/>
  <c r="D5907" i="210"/>
  <c r="K5907" i="210"/>
  <c r="L5907" i="210"/>
  <c r="N5907" i="210"/>
  <c r="P5907" i="210"/>
  <c r="Q5907" i="210"/>
  <c r="D5908" i="210"/>
  <c r="K5908" i="210"/>
  <c r="L5908" i="210"/>
  <c r="N5908" i="210"/>
  <c r="P5908" i="210"/>
  <c r="Q5908" i="210"/>
  <c r="D5909" i="210"/>
  <c r="K5909" i="210"/>
  <c r="L5909" i="210"/>
  <c r="N5909" i="210"/>
  <c r="P5909" i="210"/>
  <c r="Q5909" i="210"/>
  <c r="D5910" i="210"/>
  <c r="K5910" i="210"/>
  <c r="L5910" i="210"/>
  <c r="N5910" i="210"/>
  <c r="P5910" i="210"/>
  <c r="Q5910" i="210"/>
  <c r="D5911" i="210"/>
  <c r="K5911" i="210"/>
  <c r="L5911" i="210"/>
  <c r="N5911" i="210"/>
  <c r="P5911" i="210"/>
  <c r="Q5911" i="210"/>
  <c r="C5914" i="210"/>
  <c r="C5915" i="210" s="1"/>
  <c r="C5916" i="210" s="1"/>
  <c r="H5914" i="210"/>
  <c r="E5914" i="210" s="1"/>
  <c r="E5915" i="210" s="1"/>
  <c r="E5916" i="210" s="1"/>
  <c r="E5918" i="210" s="1"/>
  <c r="E5920" i="210" s="1"/>
  <c r="E5922" i="210" s="1"/>
  <c r="E5924" i="210" s="1"/>
  <c r="E5926" i="210" s="1"/>
  <c r="E5928" i="210" s="1"/>
  <c r="E5930" i="210" s="1"/>
  <c r="E5932" i="210" s="1"/>
  <c r="E5934" i="210" s="1"/>
  <c r="E5936" i="210" s="1"/>
  <c r="E5938" i="210" s="1"/>
  <c r="I5914" i="210"/>
  <c r="J5914" i="210"/>
  <c r="I5915" i="210"/>
  <c r="I5916" i="210"/>
  <c r="D5918" i="210"/>
  <c r="K5918" i="210"/>
  <c r="L5918" i="210"/>
  <c r="N5918" i="210"/>
  <c r="P5918" i="210"/>
  <c r="Q5918" i="210"/>
  <c r="D5919" i="210"/>
  <c r="E5919" i="210"/>
  <c r="E5921" i="210" s="1"/>
  <c r="E5923" i="210" s="1"/>
  <c r="E5925" i="210" s="1"/>
  <c r="E5927" i="210" s="1"/>
  <c r="E5929" i="210" s="1"/>
  <c r="E5931" i="210" s="1"/>
  <c r="E5933" i="210" s="1"/>
  <c r="E5935" i="210" s="1"/>
  <c r="E5937" i="210" s="1"/>
  <c r="E5939" i="210" s="1"/>
  <c r="K5919" i="210"/>
  <c r="L5919" i="210"/>
  <c r="N5919" i="210"/>
  <c r="P5919" i="210"/>
  <c r="Q5919" i="210"/>
  <c r="D5920" i="210"/>
  <c r="K5920" i="210"/>
  <c r="L5920" i="210"/>
  <c r="N5920" i="210"/>
  <c r="P5920" i="210"/>
  <c r="Q5920" i="210"/>
  <c r="D5921" i="210"/>
  <c r="K5921" i="210"/>
  <c r="L5921" i="210"/>
  <c r="N5921" i="210"/>
  <c r="P5921" i="210"/>
  <c r="Q5921" i="210"/>
  <c r="D5922" i="210"/>
  <c r="K5922" i="210"/>
  <c r="L5922" i="210"/>
  <c r="N5922" i="210"/>
  <c r="P5922" i="210"/>
  <c r="Q5922" i="210"/>
  <c r="D5923" i="210"/>
  <c r="K5923" i="210"/>
  <c r="L5923" i="210"/>
  <c r="N5923" i="210"/>
  <c r="P5923" i="210"/>
  <c r="Q5923" i="210"/>
  <c r="D5924" i="210"/>
  <c r="K5924" i="210"/>
  <c r="L5924" i="210"/>
  <c r="N5924" i="210"/>
  <c r="P5924" i="210"/>
  <c r="Q5924" i="210"/>
  <c r="D5925" i="210"/>
  <c r="K5925" i="210"/>
  <c r="L5925" i="210"/>
  <c r="N5925" i="210"/>
  <c r="P5925" i="210"/>
  <c r="Q5925" i="210"/>
  <c r="D5926" i="210"/>
  <c r="K5926" i="210"/>
  <c r="L5926" i="210"/>
  <c r="N5926" i="210"/>
  <c r="P5926" i="210"/>
  <c r="Q5926" i="210"/>
  <c r="D5927" i="210"/>
  <c r="K5927" i="210"/>
  <c r="L5927" i="210"/>
  <c r="N5927" i="210"/>
  <c r="P5927" i="210"/>
  <c r="Q5927" i="210"/>
  <c r="D5928" i="210"/>
  <c r="K5928" i="210"/>
  <c r="L5928" i="210"/>
  <c r="N5928" i="210"/>
  <c r="P5928" i="210"/>
  <c r="Q5928" i="210"/>
  <c r="D5929" i="210"/>
  <c r="K5929" i="210"/>
  <c r="L5929" i="210"/>
  <c r="N5929" i="210"/>
  <c r="P5929" i="210"/>
  <c r="Q5929" i="210"/>
  <c r="D5930" i="210"/>
  <c r="K5930" i="210"/>
  <c r="L5930" i="210"/>
  <c r="N5930" i="210"/>
  <c r="P5930" i="210"/>
  <c r="Q5930" i="210"/>
  <c r="D5931" i="210"/>
  <c r="K5931" i="210"/>
  <c r="L5931" i="210"/>
  <c r="N5931" i="210"/>
  <c r="P5931" i="210"/>
  <c r="Q5931" i="210"/>
  <c r="D5932" i="210"/>
  <c r="K5932" i="210"/>
  <c r="L5932" i="210"/>
  <c r="N5932" i="210"/>
  <c r="P5932" i="210"/>
  <c r="Q5932" i="210"/>
  <c r="D5933" i="210"/>
  <c r="K5933" i="210"/>
  <c r="L5933" i="210"/>
  <c r="N5933" i="210"/>
  <c r="P5933" i="210"/>
  <c r="Q5933" i="210"/>
  <c r="D5934" i="210"/>
  <c r="K5934" i="210"/>
  <c r="L5934" i="210"/>
  <c r="N5934" i="210"/>
  <c r="P5934" i="210"/>
  <c r="Q5934" i="210"/>
  <c r="D5935" i="210"/>
  <c r="K5935" i="210"/>
  <c r="L5935" i="210"/>
  <c r="N5935" i="210"/>
  <c r="P5935" i="210"/>
  <c r="Q5935" i="210"/>
  <c r="D5936" i="210"/>
  <c r="K5936" i="210"/>
  <c r="L5936" i="210"/>
  <c r="N5936" i="210"/>
  <c r="P5936" i="210"/>
  <c r="Q5936" i="210"/>
  <c r="D5937" i="210"/>
  <c r="K5937" i="210"/>
  <c r="L5937" i="210"/>
  <c r="N5937" i="210"/>
  <c r="P5937" i="210"/>
  <c r="Q5937" i="210"/>
  <c r="D5938" i="210"/>
  <c r="K5938" i="210"/>
  <c r="L5938" i="210"/>
  <c r="N5938" i="210"/>
  <c r="P5938" i="210"/>
  <c r="Q5938" i="210"/>
  <c r="D5939" i="210"/>
  <c r="K5939" i="210"/>
  <c r="L5939" i="210"/>
  <c r="N5939" i="210"/>
  <c r="P5939" i="210"/>
  <c r="Q5939" i="210"/>
  <c r="C5942" i="210"/>
  <c r="H5942" i="210"/>
  <c r="E5942" i="210" s="1"/>
  <c r="E5943" i="210" s="1"/>
  <c r="E5944" i="210" s="1"/>
  <c r="E5946" i="210" s="1"/>
  <c r="E5948" i="210" s="1"/>
  <c r="E5950" i="210" s="1"/>
  <c r="E5952" i="210" s="1"/>
  <c r="E5954" i="210" s="1"/>
  <c r="E5956" i="210" s="1"/>
  <c r="E5958" i="210" s="1"/>
  <c r="E5960" i="210" s="1"/>
  <c r="E5962" i="210" s="1"/>
  <c r="E5964" i="210" s="1"/>
  <c r="E5966" i="210" s="1"/>
  <c r="E5968" i="210" s="1"/>
  <c r="E5970" i="210" s="1"/>
  <c r="I5942" i="210"/>
  <c r="J5942" i="210"/>
  <c r="C5943" i="210"/>
  <c r="C5944" i="210" s="1"/>
  <c r="I5943" i="210"/>
  <c r="I5944" i="210"/>
  <c r="D5946" i="210"/>
  <c r="K5946" i="210"/>
  <c r="L5946" i="210"/>
  <c r="N5946" i="210"/>
  <c r="P5946" i="210"/>
  <c r="Q5946" i="210"/>
  <c r="Q5942" i="210" s="1"/>
  <c r="D5947" i="210"/>
  <c r="E5947" i="210"/>
  <c r="E5949" i="210" s="1"/>
  <c r="E5951" i="210" s="1"/>
  <c r="E5953" i="210" s="1"/>
  <c r="E5955" i="210" s="1"/>
  <c r="E5957" i="210" s="1"/>
  <c r="E5959" i="210" s="1"/>
  <c r="E5961" i="210" s="1"/>
  <c r="E5963" i="210" s="1"/>
  <c r="E5965" i="210" s="1"/>
  <c r="E5967" i="210" s="1"/>
  <c r="E5969" i="210" s="1"/>
  <c r="K5947" i="210"/>
  <c r="L5947" i="210"/>
  <c r="N5947" i="210"/>
  <c r="P5947" i="210"/>
  <c r="Q5947" i="210"/>
  <c r="D5948" i="210"/>
  <c r="K5948" i="210"/>
  <c r="L5948" i="210"/>
  <c r="N5948" i="210"/>
  <c r="P5948" i="210"/>
  <c r="Q5948" i="210"/>
  <c r="D5949" i="210"/>
  <c r="K5949" i="210"/>
  <c r="L5949" i="210"/>
  <c r="N5949" i="210"/>
  <c r="P5949" i="210"/>
  <c r="Q5949" i="210"/>
  <c r="D5950" i="210"/>
  <c r="K5950" i="210"/>
  <c r="L5950" i="210"/>
  <c r="N5950" i="210"/>
  <c r="P5950" i="210"/>
  <c r="Q5950" i="210"/>
  <c r="D5951" i="210"/>
  <c r="K5951" i="210"/>
  <c r="L5951" i="210"/>
  <c r="N5951" i="210"/>
  <c r="P5951" i="210"/>
  <c r="Q5951" i="210"/>
  <c r="D5952" i="210"/>
  <c r="K5952" i="210"/>
  <c r="L5952" i="210"/>
  <c r="N5952" i="210"/>
  <c r="P5952" i="210"/>
  <c r="Q5952" i="210"/>
  <c r="D5953" i="210"/>
  <c r="K5953" i="210"/>
  <c r="L5953" i="210"/>
  <c r="N5953" i="210"/>
  <c r="P5953" i="210"/>
  <c r="Q5953" i="210"/>
  <c r="D5954" i="210"/>
  <c r="K5954" i="210"/>
  <c r="L5954" i="210"/>
  <c r="N5954" i="210"/>
  <c r="P5954" i="210"/>
  <c r="Q5954" i="210"/>
  <c r="D5955" i="210"/>
  <c r="K5955" i="210"/>
  <c r="L5955" i="210"/>
  <c r="N5955" i="210"/>
  <c r="P5955" i="210"/>
  <c r="Q5955" i="210"/>
  <c r="D5956" i="210"/>
  <c r="K5956" i="210"/>
  <c r="L5956" i="210"/>
  <c r="N5956" i="210"/>
  <c r="P5956" i="210"/>
  <c r="Q5956" i="210"/>
  <c r="D5957" i="210"/>
  <c r="K5957" i="210"/>
  <c r="L5957" i="210"/>
  <c r="N5957" i="210"/>
  <c r="P5957" i="210"/>
  <c r="Q5957" i="210"/>
  <c r="D5958" i="210"/>
  <c r="K5958" i="210"/>
  <c r="L5958" i="210"/>
  <c r="N5958" i="210"/>
  <c r="P5958" i="210"/>
  <c r="Q5958" i="210"/>
  <c r="D5959" i="210"/>
  <c r="K5959" i="210"/>
  <c r="L5959" i="210"/>
  <c r="N5959" i="210"/>
  <c r="P5959" i="210"/>
  <c r="Q5959" i="210"/>
  <c r="D5960" i="210"/>
  <c r="K5960" i="210"/>
  <c r="L5960" i="210"/>
  <c r="N5960" i="210"/>
  <c r="P5960" i="210"/>
  <c r="Q5960" i="210"/>
  <c r="D5961" i="210"/>
  <c r="K5961" i="210"/>
  <c r="L5961" i="210"/>
  <c r="N5961" i="210"/>
  <c r="P5961" i="210"/>
  <c r="Q5961" i="210"/>
  <c r="D5962" i="210"/>
  <c r="K5962" i="210"/>
  <c r="L5962" i="210"/>
  <c r="N5962" i="210"/>
  <c r="P5962" i="210"/>
  <c r="Q5962" i="210"/>
  <c r="D5963" i="210"/>
  <c r="K5963" i="210"/>
  <c r="L5963" i="210"/>
  <c r="N5963" i="210"/>
  <c r="P5963" i="210"/>
  <c r="Q5963" i="210"/>
  <c r="D5964" i="210"/>
  <c r="K5964" i="210"/>
  <c r="L5964" i="210"/>
  <c r="N5964" i="210"/>
  <c r="P5964" i="210"/>
  <c r="Q5964" i="210"/>
  <c r="D5965" i="210"/>
  <c r="K5965" i="210"/>
  <c r="L5965" i="210"/>
  <c r="N5965" i="210"/>
  <c r="P5965" i="210"/>
  <c r="Q5965" i="210"/>
  <c r="D5966" i="210"/>
  <c r="K5966" i="210"/>
  <c r="L5966" i="210"/>
  <c r="N5966" i="210"/>
  <c r="P5966" i="210"/>
  <c r="Q5966" i="210"/>
  <c r="D5967" i="210"/>
  <c r="K5967" i="210"/>
  <c r="L5967" i="210"/>
  <c r="N5967" i="210"/>
  <c r="P5967" i="210"/>
  <c r="Q5967" i="210"/>
  <c r="D5968" i="210"/>
  <c r="K5968" i="210"/>
  <c r="L5968" i="210"/>
  <c r="N5968" i="210"/>
  <c r="P5968" i="210"/>
  <c r="Q5968" i="210"/>
  <c r="D5969" i="210"/>
  <c r="K5969" i="210"/>
  <c r="L5969" i="210"/>
  <c r="N5969" i="210"/>
  <c r="P5969" i="210"/>
  <c r="Q5969" i="210"/>
  <c r="D5970" i="210"/>
  <c r="K5970" i="210"/>
  <c r="L5970" i="210"/>
  <c r="N5970" i="210"/>
  <c r="P5970" i="210"/>
  <c r="Q5970" i="210"/>
  <c r="C5973" i="210"/>
  <c r="C5974" i="210" s="1"/>
  <c r="C5975" i="210" s="1"/>
  <c r="H5973" i="210"/>
  <c r="E5973" i="210" s="1"/>
  <c r="E5974" i="210" s="1"/>
  <c r="E5975" i="210" s="1"/>
  <c r="E5977" i="210" s="1"/>
  <c r="E5979" i="210" s="1"/>
  <c r="E5981" i="210" s="1"/>
  <c r="E5983" i="210" s="1"/>
  <c r="E5985" i="210" s="1"/>
  <c r="E5987" i="210" s="1"/>
  <c r="E5989" i="210" s="1"/>
  <c r="E5991" i="210" s="1"/>
  <c r="E5993" i="210" s="1"/>
  <c r="E5995" i="210" s="1"/>
  <c r="E5997" i="210" s="1"/>
  <c r="E5999" i="210" s="1"/>
  <c r="E6001" i="210" s="1"/>
  <c r="E6003" i="210" s="1"/>
  <c r="E6005" i="210" s="1"/>
  <c r="I5973" i="210"/>
  <c r="J5973" i="210"/>
  <c r="I5974" i="210"/>
  <c r="I5975" i="210"/>
  <c r="D5977" i="210"/>
  <c r="K5977" i="210"/>
  <c r="L5977" i="210"/>
  <c r="N5977" i="210"/>
  <c r="P5977" i="210"/>
  <c r="Q5977" i="210"/>
  <c r="Q5973" i="210" s="1"/>
  <c r="D5978" i="210"/>
  <c r="E5978" i="210"/>
  <c r="E5980" i="210" s="1"/>
  <c r="E5982" i="210" s="1"/>
  <c r="E5984" i="210" s="1"/>
  <c r="E5986" i="210" s="1"/>
  <c r="E5988" i="210" s="1"/>
  <c r="E5990" i="210" s="1"/>
  <c r="E5992" i="210" s="1"/>
  <c r="E5994" i="210" s="1"/>
  <c r="E5996" i="210" s="1"/>
  <c r="E5998" i="210" s="1"/>
  <c r="E6000" i="210" s="1"/>
  <c r="E6002" i="210" s="1"/>
  <c r="E6004" i="210" s="1"/>
  <c r="K5978" i="210"/>
  <c r="L5978" i="210"/>
  <c r="N5978" i="210"/>
  <c r="P5978" i="210"/>
  <c r="Q5978" i="210"/>
  <c r="D5979" i="210"/>
  <c r="K5979" i="210"/>
  <c r="L5979" i="210"/>
  <c r="N5979" i="210"/>
  <c r="P5979" i="210"/>
  <c r="Q5979" i="210"/>
  <c r="D5980" i="210"/>
  <c r="K5980" i="210"/>
  <c r="L5980" i="210"/>
  <c r="N5980" i="210"/>
  <c r="P5980" i="210"/>
  <c r="Q5980" i="210"/>
  <c r="D5981" i="210"/>
  <c r="K5981" i="210"/>
  <c r="L5981" i="210"/>
  <c r="N5981" i="210"/>
  <c r="P5981" i="210"/>
  <c r="Q5981" i="210"/>
  <c r="D5982" i="210"/>
  <c r="K5982" i="210"/>
  <c r="L5982" i="210"/>
  <c r="N5982" i="210"/>
  <c r="P5982" i="210"/>
  <c r="Q5982" i="210"/>
  <c r="D5983" i="210"/>
  <c r="K5983" i="210"/>
  <c r="L5983" i="210"/>
  <c r="N5983" i="210"/>
  <c r="P5983" i="210"/>
  <c r="Q5983" i="210"/>
  <c r="D5984" i="210"/>
  <c r="K5984" i="210"/>
  <c r="L5984" i="210"/>
  <c r="N5984" i="210"/>
  <c r="P5984" i="210"/>
  <c r="Q5984" i="210"/>
  <c r="D5985" i="210"/>
  <c r="K5985" i="210"/>
  <c r="L5985" i="210"/>
  <c r="N5985" i="210"/>
  <c r="P5985" i="210"/>
  <c r="Q5985" i="210"/>
  <c r="D5986" i="210"/>
  <c r="K5986" i="210"/>
  <c r="L5986" i="210"/>
  <c r="N5986" i="210"/>
  <c r="P5986" i="210"/>
  <c r="Q5986" i="210"/>
  <c r="D5987" i="210"/>
  <c r="K5987" i="210"/>
  <c r="L5987" i="210"/>
  <c r="N5987" i="210"/>
  <c r="P5987" i="210"/>
  <c r="Q5987" i="210"/>
  <c r="D5988" i="210"/>
  <c r="K5988" i="210"/>
  <c r="L5988" i="210"/>
  <c r="N5988" i="210"/>
  <c r="P5988" i="210"/>
  <c r="Q5988" i="210"/>
  <c r="D5989" i="210"/>
  <c r="K5989" i="210"/>
  <c r="L5989" i="210"/>
  <c r="N5989" i="210"/>
  <c r="P5989" i="210"/>
  <c r="Q5989" i="210"/>
  <c r="D5990" i="210"/>
  <c r="K5990" i="210"/>
  <c r="L5990" i="210"/>
  <c r="N5990" i="210"/>
  <c r="P5990" i="210"/>
  <c r="Q5990" i="210"/>
  <c r="D5991" i="210"/>
  <c r="K5991" i="210"/>
  <c r="L5991" i="210"/>
  <c r="N5991" i="210"/>
  <c r="P5991" i="210"/>
  <c r="Q5991" i="210"/>
  <c r="D5992" i="210"/>
  <c r="K5992" i="210"/>
  <c r="L5992" i="210"/>
  <c r="N5992" i="210"/>
  <c r="P5992" i="210"/>
  <c r="Q5992" i="210"/>
  <c r="D5993" i="210"/>
  <c r="K5993" i="210"/>
  <c r="L5993" i="210"/>
  <c r="N5993" i="210"/>
  <c r="P5993" i="210"/>
  <c r="Q5993" i="210"/>
  <c r="D5994" i="210"/>
  <c r="K5994" i="210"/>
  <c r="L5994" i="210"/>
  <c r="N5994" i="210"/>
  <c r="P5994" i="210"/>
  <c r="Q5994" i="210"/>
  <c r="D5995" i="210"/>
  <c r="K5995" i="210"/>
  <c r="L5995" i="210"/>
  <c r="N5995" i="210"/>
  <c r="P5995" i="210"/>
  <c r="Q5995" i="210"/>
  <c r="D5996" i="210"/>
  <c r="K5996" i="210"/>
  <c r="L5996" i="210"/>
  <c r="N5996" i="210"/>
  <c r="P5996" i="210"/>
  <c r="Q5996" i="210"/>
  <c r="D5997" i="210"/>
  <c r="K5997" i="210"/>
  <c r="L5997" i="210"/>
  <c r="N5997" i="210"/>
  <c r="P5997" i="210"/>
  <c r="Q5997" i="210"/>
  <c r="D5998" i="210"/>
  <c r="K5998" i="210"/>
  <c r="L5998" i="210"/>
  <c r="N5998" i="210"/>
  <c r="P5998" i="210"/>
  <c r="Q5998" i="210"/>
  <c r="D5999" i="210"/>
  <c r="K5999" i="210"/>
  <c r="L5999" i="210"/>
  <c r="N5999" i="210"/>
  <c r="P5999" i="210"/>
  <c r="Q5999" i="210"/>
  <c r="D6000" i="210"/>
  <c r="K6000" i="210"/>
  <c r="L6000" i="210"/>
  <c r="N6000" i="210"/>
  <c r="P6000" i="210"/>
  <c r="Q6000" i="210"/>
  <c r="D6001" i="210"/>
  <c r="K6001" i="210"/>
  <c r="L6001" i="210"/>
  <c r="N6001" i="210"/>
  <c r="P6001" i="210"/>
  <c r="Q6001" i="210"/>
  <c r="D6002" i="210"/>
  <c r="K6002" i="210"/>
  <c r="L6002" i="210"/>
  <c r="N6002" i="210"/>
  <c r="P6002" i="210"/>
  <c r="Q6002" i="210"/>
  <c r="D6003" i="210"/>
  <c r="K6003" i="210"/>
  <c r="L6003" i="210"/>
  <c r="N6003" i="210"/>
  <c r="P6003" i="210"/>
  <c r="Q6003" i="210"/>
  <c r="D6004" i="210"/>
  <c r="K6004" i="210"/>
  <c r="L6004" i="210"/>
  <c r="N6004" i="210"/>
  <c r="P6004" i="210"/>
  <c r="Q6004" i="210"/>
  <c r="D6005" i="210"/>
  <c r="K6005" i="210"/>
  <c r="L6005" i="210"/>
  <c r="N6005" i="210"/>
  <c r="P6005" i="210"/>
  <c r="Q6005" i="210"/>
  <c r="C6008" i="210"/>
  <c r="C6009" i="210" s="1"/>
  <c r="C6010" i="210" s="1"/>
  <c r="E6008" i="210"/>
  <c r="H6008" i="210"/>
  <c r="I6008" i="210"/>
  <c r="J6008" i="210"/>
  <c r="E6009" i="210"/>
  <c r="E6010" i="210" s="1"/>
  <c r="E6012" i="210" s="1"/>
  <c r="E6014" i="210" s="1"/>
  <c r="E6016" i="210" s="1"/>
  <c r="E6018" i="210" s="1"/>
  <c r="E6020" i="210" s="1"/>
  <c r="E6022" i="210" s="1"/>
  <c r="E6024" i="210" s="1"/>
  <c r="E6026" i="210" s="1"/>
  <c r="E6028" i="210" s="1"/>
  <c r="E6030" i="210" s="1"/>
  <c r="E6032" i="210" s="1"/>
  <c r="E6034" i="210" s="1"/>
  <c r="I6009" i="210"/>
  <c r="I6010" i="210"/>
  <c r="D6012" i="210"/>
  <c r="K6012" i="210"/>
  <c r="L6012" i="210"/>
  <c r="N6012" i="210"/>
  <c r="P6012" i="210"/>
  <c r="Q6012" i="210"/>
  <c r="Q6008" i="210" s="1"/>
  <c r="D6013" i="210"/>
  <c r="E6013" i="210"/>
  <c r="E6015" i="210" s="1"/>
  <c r="E6017" i="210" s="1"/>
  <c r="E6019" i="210" s="1"/>
  <c r="E6021" i="210" s="1"/>
  <c r="E6023" i="210" s="1"/>
  <c r="E6025" i="210" s="1"/>
  <c r="E6027" i="210" s="1"/>
  <c r="E6029" i="210" s="1"/>
  <c r="E6031" i="210" s="1"/>
  <c r="E6033" i="210" s="1"/>
  <c r="E6035" i="210" s="1"/>
  <c r="K6013" i="210"/>
  <c r="L6013" i="210"/>
  <c r="N6013" i="210"/>
  <c r="P6013" i="210"/>
  <c r="Q6013" i="210"/>
  <c r="D6014" i="210"/>
  <c r="K6014" i="210"/>
  <c r="L6014" i="210"/>
  <c r="N6014" i="210"/>
  <c r="P6014" i="210"/>
  <c r="Q6014" i="210"/>
  <c r="D6015" i="210"/>
  <c r="K6015" i="210"/>
  <c r="L6015" i="210"/>
  <c r="N6015" i="210"/>
  <c r="P6015" i="210"/>
  <c r="Q6015" i="210"/>
  <c r="D6016" i="210"/>
  <c r="K6016" i="210"/>
  <c r="L6016" i="210"/>
  <c r="N6016" i="210"/>
  <c r="P6016" i="210"/>
  <c r="Q6016" i="210"/>
  <c r="D6017" i="210"/>
  <c r="K6017" i="210"/>
  <c r="L6017" i="210"/>
  <c r="N6017" i="210"/>
  <c r="P6017" i="210"/>
  <c r="Q6017" i="210"/>
  <c r="D6018" i="210"/>
  <c r="K6018" i="210"/>
  <c r="L6018" i="210"/>
  <c r="N6018" i="210"/>
  <c r="P6018" i="210"/>
  <c r="Q6018" i="210"/>
  <c r="D6019" i="210"/>
  <c r="K6019" i="210"/>
  <c r="L6019" i="210"/>
  <c r="N6019" i="210"/>
  <c r="P6019" i="210"/>
  <c r="Q6019" i="210"/>
  <c r="D6020" i="210"/>
  <c r="K6020" i="210"/>
  <c r="L6020" i="210"/>
  <c r="N6020" i="210"/>
  <c r="P6020" i="210"/>
  <c r="Q6020" i="210"/>
  <c r="D6021" i="210"/>
  <c r="K6021" i="210"/>
  <c r="L6021" i="210"/>
  <c r="N6021" i="210"/>
  <c r="P6021" i="210"/>
  <c r="Q6021" i="210"/>
  <c r="D6022" i="210"/>
  <c r="K6022" i="210"/>
  <c r="L6022" i="210"/>
  <c r="N6022" i="210"/>
  <c r="P6022" i="210"/>
  <c r="Q6022" i="210"/>
  <c r="D6023" i="210"/>
  <c r="K6023" i="210"/>
  <c r="L6023" i="210"/>
  <c r="N6023" i="210"/>
  <c r="P6023" i="210"/>
  <c r="Q6023" i="210"/>
  <c r="D6024" i="210"/>
  <c r="K6024" i="210"/>
  <c r="L6024" i="210"/>
  <c r="N6024" i="210"/>
  <c r="P6024" i="210"/>
  <c r="Q6024" i="210"/>
  <c r="D6025" i="210"/>
  <c r="K6025" i="210"/>
  <c r="L6025" i="210"/>
  <c r="N6025" i="210"/>
  <c r="P6025" i="210"/>
  <c r="Q6025" i="210"/>
  <c r="D6026" i="210"/>
  <c r="K6026" i="210"/>
  <c r="L6026" i="210"/>
  <c r="N6026" i="210"/>
  <c r="P6026" i="210"/>
  <c r="Q6026" i="210"/>
  <c r="D6027" i="210"/>
  <c r="K6027" i="210"/>
  <c r="L6027" i="210"/>
  <c r="N6027" i="210"/>
  <c r="P6027" i="210"/>
  <c r="Q6027" i="210"/>
  <c r="D6028" i="210"/>
  <c r="K6028" i="210"/>
  <c r="L6028" i="210"/>
  <c r="N6028" i="210"/>
  <c r="P6028" i="210"/>
  <c r="Q6028" i="210"/>
  <c r="D6029" i="210"/>
  <c r="K6029" i="210"/>
  <c r="L6029" i="210"/>
  <c r="N6029" i="210"/>
  <c r="P6029" i="210"/>
  <c r="Q6029" i="210"/>
  <c r="D6030" i="210"/>
  <c r="K6030" i="210"/>
  <c r="L6030" i="210"/>
  <c r="N6030" i="210"/>
  <c r="P6030" i="210"/>
  <c r="Q6030" i="210"/>
  <c r="D6031" i="210"/>
  <c r="K6031" i="210"/>
  <c r="L6031" i="210"/>
  <c r="N6031" i="210"/>
  <c r="P6031" i="210"/>
  <c r="Q6031" i="210"/>
  <c r="D6032" i="210"/>
  <c r="K6032" i="210"/>
  <c r="L6032" i="210"/>
  <c r="N6032" i="210"/>
  <c r="P6032" i="210"/>
  <c r="Q6032" i="210"/>
  <c r="D6033" i="210"/>
  <c r="K6033" i="210"/>
  <c r="L6033" i="210"/>
  <c r="N6033" i="210"/>
  <c r="P6033" i="210"/>
  <c r="Q6033" i="210"/>
  <c r="D6034" i="210"/>
  <c r="K6034" i="210"/>
  <c r="L6034" i="210"/>
  <c r="N6034" i="210"/>
  <c r="P6034" i="210"/>
  <c r="Q6034" i="210"/>
  <c r="D6035" i="210"/>
  <c r="K6035" i="210"/>
  <c r="L6035" i="210"/>
  <c r="N6035" i="210"/>
  <c r="P6035" i="210"/>
  <c r="Q6035" i="210"/>
  <c r="C6038" i="210"/>
  <c r="H6038" i="210"/>
  <c r="E6038" i="210" s="1"/>
  <c r="E6039" i="210" s="1"/>
  <c r="E6040" i="210" s="1"/>
  <c r="E6042" i="210" s="1"/>
  <c r="E6044" i="210" s="1"/>
  <c r="E6046" i="210" s="1"/>
  <c r="E6048" i="210" s="1"/>
  <c r="E6050" i="210" s="1"/>
  <c r="E6052" i="210" s="1"/>
  <c r="E6054" i="210" s="1"/>
  <c r="E6056" i="210" s="1"/>
  <c r="E6058" i="210" s="1"/>
  <c r="E6060" i="210" s="1"/>
  <c r="E6062" i="210" s="1"/>
  <c r="I6038" i="210"/>
  <c r="J6038" i="210"/>
  <c r="C6039" i="210"/>
  <c r="C6040" i="210" s="1"/>
  <c r="I6039" i="210"/>
  <c r="I6040" i="210"/>
  <c r="D6042" i="210"/>
  <c r="K6042" i="210"/>
  <c r="L6042" i="210"/>
  <c r="N6042" i="210"/>
  <c r="P6042" i="210"/>
  <c r="Q6042" i="210"/>
  <c r="D6043" i="210"/>
  <c r="E6043" i="210"/>
  <c r="E6045" i="210" s="1"/>
  <c r="E6047" i="210" s="1"/>
  <c r="E6049" i="210" s="1"/>
  <c r="E6051" i="210" s="1"/>
  <c r="E6053" i="210" s="1"/>
  <c r="E6055" i="210" s="1"/>
  <c r="E6057" i="210" s="1"/>
  <c r="E6059" i="210" s="1"/>
  <c r="E6061" i="210" s="1"/>
  <c r="E6063" i="210" s="1"/>
  <c r="K6043" i="210"/>
  <c r="L6043" i="210"/>
  <c r="N6043" i="210"/>
  <c r="P6043" i="210"/>
  <c r="P6038" i="210" s="1"/>
  <c r="Q6043" i="210"/>
  <c r="D6044" i="210"/>
  <c r="K6044" i="210"/>
  <c r="L6044" i="210"/>
  <c r="N6044" i="210"/>
  <c r="P6044" i="210"/>
  <c r="Q6044" i="210"/>
  <c r="D6045" i="210"/>
  <c r="K6045" i="210"/>
  <c r="L6045" i="210"/>
  <c r="N6045" i="210"/>
  <c r="P6045" i="210"/>
  <c r="Q6045" i="210"/>
  <c r="D6046" i="210"/>
  <c r="K6046" i="210"/>
  <c r="L6046" i="210"/>
  <c r="N6046" i="210"/>
  <c r="P6046" i="210"/>
  <c r="Q6046" i="210"/>
  <c r="D6047" i="210"/>
  <c r="K6047" i="210"/>
  <c r="L6047" i="210"/>
  <c r="N6047" i="210"/>
  <c r="P6047" i="210"/>
  <c r="Q6047" i="210"/>
  <c r="D6048" i="210"/>
  <c r="K6048" i="210"/>
  <c r="L6048" i="210"/>
  <c r="N6048" i="210"/>
  <c r="P6048" i="210"/>
  <c r="Q6048" i="210"/>
  <c r="D6049" i="210"/>
  <c r="K6049" i="210"/>
  <c r="L6049" i="210"/>
  <c r="N6049" i="210"/>
  <c r="P6049" i="210"/>
  <c r="Q6049" i="210"/>
  <c r="D6050" i="210"/>
  <c r="K6050" i="210"/>
  <c r="L6050" i="210"/>
  <c r="N6050" i="210"/>
  <c r="P6050" i="210"/>
  <c r="Q6050" i="210"/>
  <c r="D6051" i="210"/>
  <c r="K6051" i="210"/>
  <c r="L6051" i="210"/>
  <c r="N6051" i="210"/>
  <c r="P6051" i="210"/>
  <c r="Q6051" i="210"/>
  <c r="D6052" i="210"/>
  <c r="K6052" i="210"/>
  <c r="L6052" i="210"/>
  <c r="N6052" i="210"/>
  <c r="P6052" i="210"/>
  <c r="Q6052" i="210"/>
  <c r="D6053" i="210"/>
  <c r="K6053" i="210"/>
  <c r="L6053" i="210"/>
  <c r="N6053" i="210"/>
  <c r="P6053" i="210"/>
  <c r="Q6053" i="210"/>
  <c r="D6054" i="210"/>
  <c r="K6054" i="210"/>
  <c r="L6054" i="210"/>
  <c r="N6054" i="210"/>
  <c r="P6054" i="210"/>
  <c r="Q6054" i="210"/>
  <c r="D6055" i="210"/>
  <c r="K6055" i="210"/>
  <c r="L6055" i="210"/>
  <c r="N6055" i="210"/>
  <c r="P6055" i="210"/>
  <c r="Q6055" i="210"/>
  <c r="D6056" i="210"/>
  <c r="K6056" i="210"/>
  <c r="L6056" i="210"/>
  <c r="N6056" i="210"/>
  <c r="P6056" i="210"/>
  <c r="Q6056" i="210"/>
  <c r="D6057" i="210"/>
  <c r="K6057" i="210"/>
  <c r="L6057" i="210"/>
  <c r="N6057" i="210"/>
  <c r="P6057" i="210"/>
  <c r="Q6057" i="210"/>
  <c r="D6058" i="210"/>
  <c r="K6058" i="210"/>
  <c r="L6058" i="210"/>
  <c r="N6058" i="210"/>
  <c r="P6058" i="210"/>
  <c r="Q6058" i="210"/>
  <c r="D6059" i="210"/>
  <c r="K6059" i="210"/>
  <c r="L6059" i="210"/>
  <c r="N6059" i="210"/>
  <c r="P6059" i="210"/>
  <c r="Q6059" i="210"/>
  <c r="D6060" i="210"/>
  <c r="K6060" i="210"/>
  <c r="L6060" i="210"/>
  <c r="N6060" i="210"/>
  <c r="P6060" i="210"/>
  <c r="Q6060" i="210"/>
  <c r="D6061" i="210"/>
  <c r="K6061" i="210"/>
  <c r="L6061" i="210"/>
  <c r="N6061" i="210"/>
  <c r="P6061" i="210"/>
  <c r="Q6061" i="210"/>
  <c r="D6062" i="210"/>
  <c r="K6062" i="210"/>
  <c r="L6062" i="210"/>
  <c r="N6062" i="210"/>
  <c r="P6062" i="210"/>
  <c r="Q6062" i="210"/>
  <c r="D6063" i="210"/>
  <c r="K6063" i="210"/>
  <c r="L6063" i="210"/>
  <c r="N6063" i="210"/>
  <c r="P6063" i="210"/>
  <c r="Q6063" i="210"/>
  <c r="C6066" i="210"/>
  <c r="C6067" i="210" s="1"/>
  <c r="C6068" i="210" s="1"/>
  <c r="E6066" i="210"/>
  <c r="E6067" i="210" s="1"/>
  <c r="H6066" i="210"/>
  <c r="I6066" i="210"/>
  <c r="J6066" i="210"/>
  <c r="I6067" i="210"/>
  <c r="E6068" i="210"/>
  <c r="E6070" i="210" s="1"/>
  <c r="E6072" i="210" s="1"/>
  <c r="E6074" i="210" s="1"/>
  <c r="E6076" i="210" s="1"/>
  <c r="E6078" i="210" s="1"/>
  <c r="E6080" i="210" s="1"/>
  <c r="E6082" i="210" s="1"/>
  <c r="E6084" i="210" s="1"/>
  <c r="E6086" i="210" s="1"/>
  <c r="E6088" i="210" s="1"/>
  <c r="E6090" i="210" s="1"/>
  <c r="E6092" i="210" s="1"/>
  <c r="I6068" i="210"/>
  <c r="D6070" i="210"/>
  <c r="K6070" i="210"/>
  <c r="L6070" i="210"/>
  <c r="N6070" i="210"/>
  <c r="P6070" i="210"/>
  <c r="P6066" i="210" s="1"/>
  <c r="Q6070" i="210"/>
  <c r="D6071" i="210"/>
  <c r="E6071" i="210"/>
  <c r="E6073" i="210" s="1"/>
  <c r="E6075" i="210" s="1"/>
  <c r="E6077" i="210" s="1"/>
  <c r="E6079" i="210" s="1"/>
  <c r="E6081" i="210" s="1"/>
  <c r="E6083" i="210" s="1"/>
  <c r="E6085" i="210" s="1"/>
  <c r="E6087" i="210" s="1"/>
  <c r="E6089" i="210" s="1"/>
  <c r="E6091" i="210" s="1"/>
  <c r="E6093" i="210" s="1"/>
  <c r="K6071" i="210"/>
  <c r="L6071" i="210"/>
  <c r="N6071" i="210"/>
  <c r="P6071" i="210"/>
  <c r="Q6071" i="210"/>
  <c r="D6072" i="210"/>
  <c r="K6072" i="210"/>
  <c r="L6072" i="210"/>
  <c r="N6072" i="210"/>
  <c r="P6072" i="210"/>
  <c r="Q6072" i="210"/>
  <c r="D6073" i="210"/>
  <c r="K6073" i="210"/>
  <c r="L6073" i="210"/>
  <c r="N6073" i="210"/>
  <c r="P6073" i="210"/>
  <c r="Q6073" i="210"/>
  <c r="D6074" i="210"/>
  <c r="K6074" i="210"/>
  <c r="L6074" i="210"/>
  <c r="N6074" i="210"/>
  <c r="P6074" i="210"/>
  <c r="Q6074" i="210"/>
  <c r="D6075" i="210"/>
  <c r="K6075" i="210"/>
  <c r="L6075" i="210"/>
  <c r="N6075" i="210"/>
  <c r="P6075" i="210"/>
  <c r="Q6075" i="210"/>
  <c r="D6076" i="210"/>
  <c r="K6076" i="210"/>
  <c r="L6076" i="210"/>
  <c r="N6076" i="210"/>
  <c r="P6076" i="210"/>
  <c r="Q6076" i="210"/>
  <c r="D6077" i="210"/>
  <c r="K6077" i="210"/>
  <c r="L6077" i="210"/>
  <c r="N6077" i="210"/>
  <c r="P6077" i="210"/>
  <c r="Q6077" i="210"/>
  <c r="D6078" i="210"/>
  <c r="K6078" i="210"/>
  <c r="L6078" i="210"/>
  <c r="N6078" i="210"/>
  <c r="P6078" i="210"/>
  <c r="Q6078" i="210"/>
  <c r="D6079" i="210"/>
  <c r="K6079" i="210"/>
  <c r="L6079" i="210"/>
  <c r="N6079" i="210"/>
  <c r="P6079" i="210"/>
  <c r="Q6079" i="210"/>
  <c r="D6080" i="210"/>
  <c r="K6080" i="210"/>
  <c r="L6080" i="210"/>
  <c r="N6080" i="210"/>
  <c r="P6080" i="210"/>
  <c r="Q6080" i="210"/>
  <c r="D6081" i="210"/>
  <c r="K6081" i="210"/>
  <c r="L6081" i="210"/>
  <c r="N6081" i="210"/>
  <c r="P6081" i="210"/>
  <c r="Q6081" i="210"/>
  <c r="D6082" i="210"/>
  <c r="K6082" i="210"/>
  <c r="L6082" i="210"/>
  <c r="N6082" i="210"/>
  <c r="P6082" i="210"/>
  <c r="Q6082" i="210"/>
  <c r="D6083" i="210"/>
  <c r="K6083" i="210"/>
  <c r="L6083" i="210"/>
  <c r="N6083" i="210"/>
  <c r="P6083" i="210"/>
  <c r="Q6083" i="210"/>
  <c r="D6084" i="210"/>
  <c r="K6084" i="210"/>
  <c r="L6084" i="210"/>
  <c r="N6084" i="210"/>
  <c r="P6084" i="210"/>
  <c r="Q6084" i="210"/>
  <c r="D6085" i="210"/>
  <c r="K6085" i="210"/>
  <c r="L6085" i="210"/>
  <c r="N6085" i="210"/>
  <c r="P6085" i="210"/>
  <c r="Q6085" i="210"/>
  <c r="D6086" i="210"/>
  <c r="K6086" i="210"/>
  <c r="L6086" i="210"/>
  <c r="N6086" i="210"/>
  <c r="P6086" i="210"/>
  <c r="Q6086" i="210"/>
  <c r="D6087" i="210"/>
  <c r="K6087" i="210"/>
  <c r="L6087" i="210"/>
  <c r="N6087" i="210"/>
  <c r="P6087" i="210"/>
  <c r="Q6087" i="210"/>
  <c r="D6088" i="210"/>
  <c r="K6088" i="210"/>
  <c r="L6088" i="210"/>
  <c r="N6088" i="210"/>
  <c r="P6088" i="210"/>
  <c r="Q6088" i="210"/>
  <c r="D6089" i="210"/>
  <c r="K6089" i="210"/>
  <c r="L6089" i="210"/>
  <c r="N6089" i="210"/>
  <c r="P6089" i="210"/>
  <c r="Q6089" i="210"/>
  <c r="D6090" i="210"/>
  <c r="K6090" i="210"/>
  <c r="L6090" i="210"/>
  <c r="N6090" i="210"/>
  <c r="P6090" i="210"/>
  <c r="Q6090" i="210"/>
  <c r="D6091" i="210"/>
  <c r="K6091" i="210"/>
  <c r="L6091" i="210"/>
  <c r="N6091" i="210"/>
  <c r="P6091" i="210"/>
  <c r="Q6091" i="210"/>
  <c r="D6092" i="210"/>
  <c r="K6092" i="210"/>
  <c r="L6092" i="210"/>
  <c r="N6092" i="210"/>
  <c r="P6092" i="210"/>
  <c r="Q6092" i="210"/>
  <c r="D6093" i="210"/>
  <c r="K6093" i="210"/>
  <c r="L6093" i="210"/>
  <c r="N6093" i="210"/>
  <c r="P6093" i="210"/>
  <c r="Q6093" i="210"/>
  <c r="C6096" i="210"/>
  <c r="H6096" i="210"/>
  <c r="E6096" i="210" s="1"/>
  <c r="E6097" i="210" s="1"/>
  <c r="E6098" i="210" s="1"/>
  <c r="E6100" i="210" s="1"/>
  <c r="E6102" i="210" s="1"/>
  <c r="E6104" i="210" s="1"/>
  <c r="E6106" i="210" s="1"/>
  <c r="E6108" i="210" s="1"/>
  <c r="E6110" i="210" s="1"/>
  <c r="E6112" i="210" s="1"/>
  <c r="E6114" i="210" s="1"/>
  <c r="E6116" i="210" s="1"/>
  <c r="E6118" i="210" s="1"/>
  <c r="E6120" i="210" s="1"/>
  <c r="I6096" i="210"/>
  <c r="J6096" i="210"/>
  <c r="C6097" i="210"/>
  <c r="C6098" i="210" s="1"/>
  <c r="I6097" i="210"/>
  <c r="I6098" i="210"/>
  <c r="D6100" i="210"/>
  <c r="K6100" i="210"/>
  <c r="L6100" i="210"/>
  <c r="N6100" i="210"/>
  <c r="P6100" i="210"/>
  <c r="Q6100" i="210"/>
  <c r="Q6096" i="210" s="1"/>
  <c r="D6101" i="210"/>
  <c r="E6101" i="210"/>
  <c r="E6103" i="210" s="1"/>
  <c r="E6105" i="210" s="1"/>
  <c r="E6107" i="210" s="1"/>
  <c r="E6109" i="210" s="1"/>
  <c r="E6111" i="210" s="1"/>
  <c r="E6113" i="210" s="1"/>
  <c r="E6115" i="210" s="1"/>
  <c r="E6117" i="210" s="1"/>
  <c r="E6119" i="210" s="1"/>
  <c r="K6101" i="210"/>
  <c r="L6101" i="210"/>
  <c r="N6101" i="210"/>
  <c r="P6101" i="210"/>
  <c r="Q6101" i="210"/>
  <c r="D6102" i="210"/>
  <c r="K6102" i="210"/>
  <c r="L6102" i="210"/>
  <c r="N6102" i="210"/>
  <c r="P6102" i="210"/>
  <c r="Q6102" i="210"/>
  <c r="D6103" i="210"/>
  <c r="K6103" i="210"/>
  <c r="L6103" i="210"/>
  <c r="N6103" i="210"/>
  <c r="P6103" i="210"/>
  <c r="Q6103" i="210"/>
  <c r="D6104" i="210"/>
  <c r="K6104" i="210"/>
  <c r="L6104" i="210"/>
  <c r="N6104" i="210"/>
  <c r="P6104" i="210"/>
  <c r="Q6104" i="210"/>
  <c r="D6105" i="210"/>
  <c r="K6105" i="210"/>
  <c r="L6105" i="210"/>
  <c r="N6105" i="210"/>
  <c r="P6105" i="210"/>
  <c r="Q6105" i="210"/>
  <c r="D6106" i="210"/>
  <c r="K6106" i="210"/>
  <c r="L6106" i="210"/>
  <c r="N6106" i="210"/>
  <c r="P6106" i="210"/>
  <c r="Q6106" i="210"/>
  <c r="D6107" i="210"/>
  <c r="K6107" i="210"/>
  <c r="L6107" i="210"/>
  <c r="N6107" i="210"/>
  <c r="P6107" i="210"/>
  <c r="Q6107" i="210"/>
  <c r="D6108" i="210"/>
  <c r="K6108" i="210"/>
  <c r="L6108" i="210"/>
  <c r="N6108" i="210"/>
  <c r="P6108" i="210"/>
  <c r="Q6108" i="210"/>
  <c r="D6109" i="210"/>
  <c r="K6109" i="210"/>
  <c r="L6109" i="210"/>
  <c r="N6109" i="210"/>
  <c r="P6109" i="210"/>
  <c r="Q6109" i="210"/>
  <c r="D6110" i="210"/>
  <c r="K6110" i="210"/>
  <c r="L6110" i="210"/>
  <c r="N6110" i="210"/>
  <c r="P6110" i="210"/>
  <c r="Q6110" i="210"/>
  <c r="D6111" i="210"/>
  <c r="K6111" i="210"/>
  <c r="L6111" i="210"/>
  <c r="N6111" i="210"/>
  <c r="P6111" i="210"/>
  <c r="Q6111" i="210"/>
  <c r="D6112" i="210"/>
  <c r="K6112" i="210"/>
  <c r="L6112" i="210"/>
  <c r="N6112" i="210"/>
  <c r="P6112" i="210"/>
  <c r="Q6112" i="210"/>
  <c r="D6113" i="210"/>
  <c r="K6113" i="210"/>
  <c r="L6113" i="210"/>
  <c r="N6113" i="210"/>
  <c r="P6113" i="210"/>
  <c r="Q6113" i="210"/>
  <c r="D6114" i="210"/>
  <c r="K6114" i="210"/>
  <c r="L6114" i="210"/>
  <c r="N6114" i="210"/>
  <c r="P6114" i="210"/>
  <c r="Q6114" i="210"/>
  <c r="D6115" i="210"/>
  <c r="K6115" i="210"/>
  <c r="L6115" i="210"/>
  <c r="N6115" i="210"/>
  <c r="P6115" i="210"/>
  <c r="Q6115" i="210"/>
  <c r="D6116" i="210"/>
  <c r="K6116" i="210"/>
  <c r="L6116" i="210"/>
  <c r="N6116" i="210"/>
  <c r="P6116" i="210"/>
  <c r="Q6116" i="210"/>
  <c r="D6117" i="210"/>
  <c r="K6117" i="210"/>
  <c r="L6117" i="210"/>
  <c r="N6117" i="210"/>
  <c r="P6117" i="210"/>
  <c r="Q6117" i="210"/>
  <c r="D6118" i="210"/>
  <c r="K6118" i="210"/>
  <c r="L6118" i="210"/>
  <c r="N6118" i="210"/>
  <c r="P6118" i="210"/>
  <c r="Q6118" i="210"/>
  <c r="D6119" i="210"/>
  <c r="K6119" i="210"/>
  <c r="L6119" i="210"/>
  <c r="N6119" i="210"/>
  <c r="P6119" i="210"/>
  <c r="Q6119" i="210"/>
  <c r="D6120" i="210"/>
  <c r="K6120" i="210"/>
  <c r="L6120" i="210"/>
  <c r="N6120" i="210"/>
  <c r="P6120" i="210"/>
  <c r="Q6120" i="210"/>
  <c r="C6123" i="210"/>
  <c r="C6124" i="210" s="1"/>
  <c r="C6125" i="210" s="1"/>
  <c r="H6123" i="210"/>
  <c r="E6123" i="210" s="1"/>
  <c r="E6124" i="210" s="1"/>
  <c r="E6125" i="210" s="1"/>
  <c r="E6127" i="210" s="1"/>
  <c r="E6129" i="210" s="1"/>
  <c r="E6131" i="210" s="1"/>
  <c r="E6133" i="210" s="1"/>
  <c r="E6135" i="210" s="1"/>
  <c r="E6137" i="210" s="1"/>
  <c r="E6139" i="210" s="1"/>
  <c r="E6141" i="210" s="1"/>
  <c r="E6143" i="210" s="1"/>
  <c r="E6145" i="210" s="1"/>
  <c r="E6147" i="210" s="1"/>
  <c r="E6149" i="210" s="1"/>
  <c r="E6151" i="210" s="1"/>
  <c r="E6153" i="210" s="1"/>
  <c r="I6123" i="210"/>
  <c r="J6123" i="210"/>
  <c r="I6124" i="210"/>
  <c r="I6125" i="210"/>
  <c r="D6127" i="210"/>
  <c r="K6127" i="210"/>
  <c r="L6127" i="210"/>
  <c r="N6127" i="210"/>
  <c r="P6127" i="210"/>
  <c r="Q6127" i="210"/>
  <c r="D6128" i="210"/>
  <c r="E6128" i="210"/>
  <c r="K6128" i="210"/>
  <c r="L6128" i="210"/>
  <c r="N6128" i="210"/>
  <c r="P6128" i="210"/>
  <c r="Q6128" i="210"/>
  <c r="D6129" i="210"/>
  <c r="K6129" i="210"/>
  <c r="L6129" i="210"/>
  <c r="N6129" i="210"/>
  <c r="P6129" i="210"/>
  <c r="Q6129" i="210"/>
  <c r="D6130" i="210"/>
  <c r="E6130" i="210"/>
  <c r="E6132" i="210" s="1"/>
  <c r="K6130" i="210"/>
  <c r="L6130" i="210"/>
  <c r="N6130" i="210"/>
  <c r="P6130" i="210"/>
  <c r="Q6130" i="210"/>
  <c r="D6131" i="210"/>
  <c r="K6131" i="210"/>
  <c r="L6131" i="210"/>
  <c r="N6131" i="210"/>
  <c r="P6131" i="210"/>
  <c r="Q6131" i="210"/>
  <c r="D6132" i="210"/>
  <c r="K6132" i="210"/>
  <c r="L6132" i="210"/>
  <c r="N6132" i="210"/>
  <c r="P6132" i="210"/>
  <c r="Q6132" i="210"/>
  <c r="D6133" i="210"/>
  <c r="K6133" i="210"/>
  <c r="L6133" i="210"/>
  <c r="N6133" i="210"/>
  <c r="P6133" i="210"/>
  <c r="Q6133" i="210"/>
  <c r="D6134" i="210"/>
  <c r="E6134" i="210"/>
  <c r="E6136" i="210" s="1"/>
  <c r="E6138" i="210" s="1"/>
  <c r="E6140" i="210" s="1"/>
  <c r="E6142" i="210" s="1"/>
  <c r="E6144" i="210" s="1"/>
  <c r="E6146" i="210" s="1"/>
  <c r="E6148" i="210" s="1"/>
  <c r="E6150" i="210" s="1"/>
  <c r="E6152" i="210" s="1"/>
  <c r="K6134" i="210"/>
  <c r="L6134" i="210"/>
  <c r="N6134" i="210"/>
  <c r="P6134" i="210"/>
  <c r="Q6134" i="210"/>
  <c r="D6135" i="210"/>
  <c r="K6135" i="210"/>
  <c r="L6135" i="210"/>
  <c r="N6135" i="210"/>
  <c r="P6135" i="210"/>
  <c r="Q6135" i="210"/>
  <c r="D6136" i="210"/>
  <c r="K6136" i="210"/>
  <c r="L6136" i="210"/>
  <c r="N6136" i="210"/>
  <c r="P6136" i="210"/>
  <c r="Q6136" i="210"/>
  <c r="D6137" i="210"/>
  <c r="K6137" i="210"/>
  <c r="L6137" i="210"/>
  <c r="N6137" i="210"/>
  <c r="P6137" i="210"/>
  <c r="Q6137" i="210"/>
  <c r="D6138" i="210"/>
  <c r="K6138" i="210"/>
  <c r="L6138" i="210"/>
  <c r="N6138" i="210"/>
  <c r="P6138" i="210"/>
  <c r="Q6138" i="210"/>
  <c r="D6139" i="210"/>
  <c r="K6139" i="210"/>
  <c r="L6139" i="210"/>
  <c r="N6139" i="210"/>
  <c r="P6139" i="210"/>
  <c r="Q6139" i="210"/>
  <c r="D6140" i="210"/>
  <c r="K6140" i="210"/>
  <c r="L6140" i="210"/>
  <c r="N6140" i="210"/>
  <c r="P6140" i="210"/>
  <c r="Q6140" i="210"/>
  <c r="D6141" i="210"/>
  <c r="K6141" i="210"/>
  <c r="L6141" i="210"/>
  <c r="N6141" i="210"/>
  <c r="P6141" i="210"/>
  <c r="Q6141" i="210"/>
  <c r="D6142" i="210"/>
  <c r="K6142" i="210"/>
  <c r="L6142" i="210"/>
  <c r="N6142" i="210"/>
  <c r="P6142" i="210"/>
  <c r="Q6142" i="210"/>
  <c r="D6143" i="210"/>
  <c r="K6143" i="210"/>
  <c r="L6143" i="210"/>
  <c r="N6143" i="210"/>
  <c r="P6143" i="210"/>
  <c r="Q6143" i="210"/>
  <c r="D6144" i="210"/>
  <c r="K6144" i="210"/>
  <c r="L6144" i="210"/>
  <c r="N6144" i="210"/>
  <c r="P6144" i="210"/>
  <c r="Q6144" i="210"/>
  <c r="D6145" i="210"/>
  <c r="K6145" i="210"/>
  <c r="L6145" i="210"/>
  <c r="N6145" i="210"/>
  <c r="P6145" i="210"/>
  <c r="Q6145" i="210"/>
  <c r="D6146" i="210"/>
  <c r="K6146" i="210"/>
  <c r="L6146" i="210"/>
  <c r="N6146" i="210"/>
  <c r="P6146" i="210"/>
  <c r="Q6146" i="210"/>
  <c r="D6147" i="210"/>
  <c r="K6147" i="210"/>
  <c r="L6147" i="210"/>
  <c r="N6147" i="210"/>
  <c r="P6147" i="210"/>
  <c r="Q6147" i="210"/>
  <c r="D6148" i="210"/>
  <c r="K6148" i="210"/>
  <c r="L6148" i="210"/>
  <c r="N6148" i="210"/>
  <c r="P6148" i="210"/>
  <c r="Q6148" i="210"/>
  <c r="D6149" i="210"/>
  <c r="K6149" i="210"/>
  <c r="L6149" i="210"/>
  <c r="N6149" i="210"/>
  <c r="P6149" i="210"/>
  <c r="Q6149" i="210"/>
  <c r="D6150" i="210"/>
  <c r="K6150" i="210"/>
  <c r="L6150" i="210"/>
  <c r="N6150" i="210"/>
  <c r="P6150" i="210"/>
  <c r="Q6150" i="210"/>
  <c r="D6151" i="210"/>
  <c r="K6151" i="210"/>
  <c r="L6151" i="210"/>
  <c r="N6151" i="210"/>
  <c r="P6151" i="210"/>
  <c r="Q6151" i="210"/>
  <c r="D6152" i="210"/>
  <c r="K6152" i="210"/>
  <c r="L6152" i="210"/>
  <c r="N6152" i="210"/>
  <c r="P6152" i="210"/>
  <c r="Q6152" i="210"/>
  <c r="D6153" i="210"/>
  <c r="K6153" i="210"/>
  <c r="L6153" i="210"/>
  <c r="N6153" i="210"/>
  <c r="P6153" i="210"/>
  <c r="Q6153" i="210"/>
  <c r="C6156" i="210"/>
  <c r="C6157" i="210" s="1"/>
  <c r="C6158" i="210" s="1"/>
  <c r="H6156" i="210"/>
  <c r="E6156" i="210" s="1"/>
  <c r="E6157" i="210" s="1"/>
  <c r="E6158" i="210" s="1"/>
  <c r="E6160" i="210" s="1"/>
  <c r="E6162" i="210" s="1"/>
  <c r="E6164" i="210" s="1"/>
  <c r="E6166" i="210" s="1"/>
  <c r="E6168" i="210" s="1"/>
  <c r="E6170" i="210" s="1"/>
  <c r="E6172" i="210" s="1"/>
  <c r="E6174" i="210" s="1"/>
  <c r="E6176" i="210" s="1"/>
  <c r="E6178" i="210" s="1"/>
  <c r="E6180" i="210" s="1"/>
  <c r="E6182" i="210" s="1"/>
  <c r="E6184" i="210" s="1"/>
  <c r="E6186" i="210" s="1"/>
  <c r="E6188" i="210" s="1"/>
  <c r="E6190" i="210" s="1"/>
  <c r="E6192" i="210" s="1"/>
  <c r="I6156" i="210"/>
  <c r="J6156" i="210"/>
  <c r="I6157" i="210"/>
  <c r="I6158" i="210"/>
  <c r="D6160" i="210"/>
  <c r="K6160" i="210"/>
  <c r="L6160" i="210"/>
  <c r="N6160" i="210"/>
  <c r="P6160" i="210"/>
  <c r="Q6160" i="210"/>
  <c r="D6161" i="210"/>
  <c r="E6161" i="210"/>
  <c r="E6163" i="210" s="1"/>
  <c r="E6165" i="210" s="1"/>
  <c r="E6167" i="210" s="1"/>
  <c r="E6169" i="210" s="1"/>
  <c r="E6171" i="210" s="1"/>
  <c r="E6173" i="210" s="1"/>
  <c r="E6175" i="210" s="1"/>
  <c r="E6177" i="210" s="1"/>
  <c r="E6179" i="210" s="1"/>
  <c r="E6181" i="210" s="1"/>
  <c r="E6183" i="210" s="1"/>
  <c r="E6185" i="210" s="1"/>
  <c r="E6187" i="210" s="1"/>
  <c r="E6189" i="210" s="1"/>
  <c r="E6191" i="210" s="1"/>
  <c r="K6161" i="210"/>
  <c r="L6161" i="210"/>
  <c r="N6161" i="210"/>
  <c r="P6161" i="210"/>
  <c r="Q6161" i="210"/>
  <c r="D6162" i="210"/>
  <c r="K6162" i="210"/>
  <c r="L6162" i="210"/>
  <c r="N6162" i="210"/>
  <c r="P6162" i="210"/>
  <c r="Q6162" i="210"/>
  <c r="D6163" i="210"/>
  <c r="K6163" i="210"/>
  <c r="L6163" i="210"/>
  <c r="N6163" i="210"/>
  <c r="P6163" i="210"/>
  <c r="Q6163" i="210"/>
  <c r="D6164" i="210"/>
  <c r="K6164" i="210"/>
  <c r="L6164" i="210"/>
  <c r="N6164" i="210"/>
  <c r="P6164" i="210"/>
  <c r="Q6164" i="210"/>
  <c r="D6165" i="210"/>
  <c r="K6165" i="210"/>
  <c r="L6165" i="210"/>
  <c r="N6165" i="210"/>
  <c r="P6165" i="210"/>
  <c r="Q6165" i="210"/>
  <c r="D6166" i="210"/>
  <c r="K6166" i="210"/>
  <c r="L6166" i="210"/>
  <c r="N6166" i="210"/>
  <c r="P6166" i="210"/>
  <c r="Q6166" i="210"/>
  <c r="D6167" i="210"/>
  <c r="K6167" i="210"/>
  <c r="L6167" i="210"/>
  <c r="N6167" i="210"/>
  <c r="P6167" i="210"/>
  <c r="Q6167" i="210"/>
  <c r="D6168" i="210"/>
  <c r="K6168" i="210"/>
  <c r="L6168" i="210"/>
  <c r="N6168" i="210"/>
  <c r="P6168" i="210"/>
  <c r="Q6168" i="210"/>
  <c r="D6169" i="210"/>
  <c r="K6169" i="210"/>
  <c r="L6169" i="210"/>
  <c r="N6169" i="210"/>
  <c r="P6169" i="210"/>
  <c r="Q6169" i="210"/>
  <c r="D6170" i="210"/>
  <c r="K6170" i="210"/>
  <c r="L6170" i="210"/>
  <c r="N6170" i="210"/>
  <c r="P6170" i="210"/>
  <c r="Q6170" i="210"/>
  <c r="D6171" i="210"/>
  <c r="K6171" i="210"/>
  <c r="L6171" i="210"/>
  <c r="N6171" i="210"/>
  <c r="P6171" i="210"/>
  <c r="Q6171" i="210"/>
  <c r="D6172" i="210"/>
  <c r="K6172" i="210"/>
  <c r="L6172" i="210"/>
  <c r="N6172" i="210"/>
  <c r="P6172" i="210"/>
  <c r="Q6172" i="210"/>
  <c r="D6173" i="210"/>
  <c r="K6173" i="210"/>
  <c r="L6173" i="210"/>
  <c r="N6173" i="210"/>
  <c r="P6173" i="210"/>
  <c r="Q6173" i="210"/>
  <c r="D6174" i="210"/>
  <c r="K6174" i="210"/>
  <c r="L6174" i="210"/>
  <c r="N6174" i="210"/>
  <c r="P6174" i="210"/>
  <c r="Q6174" i="210"/>
  <c r="D6175" i="210"/>
  <c r="K6175" i="210"/>
  <c r="L6175" i="210"/>
  <c r="N6175" i="210"/>
  <c r="P6175" i="210"/>
  <c r="Q6175" i="210"/>
  <c r="D6176" i="210"/>
  <c r="K6176" i="210"/>
  <c r="L6176" i="210"/>
  <c r="N6176" i="210"/>
  <c r="P6176" i="210"/>
  <c r="Q6176" i="210"/>
  <c r="D6177" i="210"/>
  <c r="K6177" i="210"/>
  <c r="L6177" i="210"/>
  <c r="N6177" i="210"/>
  <c r="P6177" i="210"/>
  <c r="Q6177" i="210"/>
  <c r="D6178" i="210"/>
  <c r="K6178" i="210"/>
  <c r="L6178" i="210"/>
  <c r="N6178" i="210"/>
  <c r="P6178" i="210"/>
  <c r="Q6178" i="210"/>
  <c r="D6179" i="210"/>
  <c r="K6179" i="210"/>
  <c r="L6179" i="210"/>
  <c r="N6179" i="210"/>
  <c r="P6179" i="210"/>
  <c r="Q6179" i="210"/>
  <c r="D6180" i="210"/>
  <c r="K6180" i="210"/>
  <c r="L6180" i="210"/>
  <c r="N6180" i="210"/>
  <c r="P6180" i="210"/>
  <c r="Q6180" i="210"/>
  <c r="D6181" i="210"/>
  <c r="K6181" i="210"/>
  <c r="L6181" i="210"/>
  <c r="N6181" i="210"/>
  <c r="P6181" i="210"/>
  <c r="Q6181" i="210"/>
  <c r="D6182" i="210"/>
  <c r="K6182" i="210"/>
  <c r="L6182" i="210"/>
  <c r="N6182" i="210"/>
  <c r="P6182" i="210"/>
  <c r="Q6182" i="210"/>
  <c r="D6183" i="210"/>
  <c r="K6183" i="210"/>
  <c r="L6183" i="210"/>
  <c r="N6183" i="210"/>
  <c r="P6183" i="210"/>
  <c r="Q6183" i="210"/>
  <c r="D6184" i="210"/>
  <c r="K6184" i="210"/>
  <c r="L6184" i="210"/>
  <c r="N6184" i="210"/>
  <c r="P6184" i="210"/>
  <c r="Q6184" i="210"/>
  <c r="D6185" i="210"/>
  <c r="K6185" i="210"/>
  <c r="L6185" i="210"/>
  <c r="N6185" i="210"/>
  <c r="P6185" i="210"/>
  <c r="Q6185" i="210"/>
  <c r="D6186" i="210"/>
  <c r="K6186" i="210"/>
  <c r="L6186" i="210"/>
  <c r="N6186" i="210"/>
  <c r="P6186" i="210"/>
  <c r="Q6186" i="210"/>
  <c r="D6187" i="210"/>
  <c r="K6187" i="210"/>
  <c r="L6187" i="210"/>
  <c r="N6187" i="210"/>
  <c r="P6187" i="210"/>
  <c r="Q6187" i="210"/>
  <c r="D6188" i="210"/>
  <c r="K6188" i="210"/>
  <c r="L6188" i="210"/>
  <c r="N6188" i="210"/>
  <c r="P6188" i="210"/>
  <c r="Q6188" i="210"/>
  <c r="D6189" i="210"/>
  <c r="K6189" i="210"/>
  <c r="L6189" i="210"/>
  <c r="N6189" i="210"/>
  <c r="P6189" i="210"/>
  <c r="Q6189" i="210"/>
  <c r="D6190" i="210"/>
  <c r="K6190" i="210"/>
  <c r="L6190" i="210"/>
  <c r="N6190" i="210"/>
  <c r="P6190" i="210"/>
  <c r="Q6190" i="210"/>
  <c r="D6191" i="210"/>
  <c r="K6191" i="210"/>
  <c r="L6191" i="210"/>
  <c r="N6191" i="210"/>
  <c r="P6191" i="210"/>
  <c r="Q6191" i="210"/>
  <c r="D6192" i="210"/>
  <c r="K6192" i="210"/>
  <c r="L6192" i="210"/>
  <c r="N6192" i="210"/>
  <c r="P6192" i="210"/>
  <c r="Q6192" i="210"/>
  <c r="C6195" i="210"/>
  <c r="H6195" i="210"/>
  <c r="E6195" i="210" s="1"/>
  <c r="E6196" i="210" s="1"/>
  <c r="E6197" i="210" s="1"/>
  <c r="E6199" i="210" s="1"/>
  <c r="E6201" i="210" s="1"/>
  <c r="E6203" i="210" s="1"/>
  <c r="E6205" i="210" s="1"/>
  <c r="E6207" i="210" s="1"/>
  <c r="E6209" i="210" s="1"/>
  <c r="E6211" i="210" s="1"/>
  <c r="E6213" i="210" s="1"/>
  <c r="E6215" i="210" s="1"/>
  <c r="E6217" i="210" s="1"/>
  <c r="E6219" i="210" s="1"/>
  <c r="E6221" i="210" s="1"/>
  <c r="E6223" i="210" s="1"/>
  <c r="I6195" i="210"/>
  <c r="J6195" i="210"/>
  <c r="C6196" i="210"/>
  <c r="C6197" i="210" s="1"/>
  <c r="I6196" i="210"/>
  <c r="I6197" i="210"/>
  <c r="D6199" i="210"/>
  <c r="K6199" i="210"/>
  <c r="L6199" i="210"/>
  <c r="N6199" i="210"/>
  <c r="P6199" i="210"/>
  <c r="Q6199" i="210"/>
  <c r="D6200" i="210"/>
  <c r="E6200" i="210"/>
  <c r="K6200" i="210"/>
  <c r="L6200" i="210"/>
  <c r="N6200" i="210"/>
  <c r="P6200" i="210"/>
  <c r="Q6200" i="210"/>
  <c r="D6201" i="210"/>
  <c r="K6201" i="210"/>
  <c r="L6201" i="210"/>
  <c r="N6201" i="210"/>
  <c r="P6201" i="210"/>
  <c r="Q6201" i="210"/>
  <c r="D6202" i="210"/>
  <c r="E6202" i="210"/>
  <c r="E6204" i="210" s="1"/>
  <c r="E6206" i="210" s="1"/>
  <c r="E6208" i="210" s="1"/>
  <c r="E6210" i="210" s="1"/>
  <c r="E6212" i="210" s="1"/>
  <c r="E6214" i="210" s="1"/>
  <c r="E6216" i="210" s="1"/>
  <c r="E6218" i="210" s="1"/>
  <c r="E6220" i="210" s="1"/>
  <c r="E6222" i="210" s="1"/>
  <c r="K6202" i="210"/>
  <c r="L6202" i="210"/>
  <c r="N6202" i="210"/>
  <c r="P6202" i="210"/>
  <c r="Q6202" i="210"/>
  <c r="D6203" i="210"/>
  <c r="K6203" i="210"/>
  <c r="L6203" i="210"/>
  <c r="N6203" i="210"/>
  <c r="P6203" i="210"/>
  <c r="Q6203" i="210"/>
  <c r="D6204" i="210"/>
  <c r="K6204" i="210"/>
  <c r="L6204" i="210"/>
  <c r="N6204" i="210"/>
  <c r="P6204" i="210"/>
  <c r="Q6204" i="210"/>
  <c r="D6205" i="210"/>
  <c r="K6205" i="210"/>
  <c r="L6205" i="210"/>
  <c r="N6205" i="210"/>
  <c r="P6205" i="210"/>
  <c r="Q6205" i="210"/>
  <c r="D6206" i="210"/>
  <c r="K6206" i="210"/>
  <c r="L6206" i="210"/>
  <c r="N6206" i="210"/>
  <c r="P6206" i="210"/>
  <c r="Q6206" i="210"/>
  <c r="D6207" i="210"/>
  <c r="K6207" i="210"/>
  <c r="L6207" i="210"/>
  <c r="N6207" i="210"/>
  <c r="P6207" i="210"/>
  <c r="Q6207" i="210"/>
  <c r="D6208" i="210"/>
  <c r="K6208" i="210"/>
  <c r="L6208" i="210"/>
  <c r="N6208" i="210"/>
  <c r="P6208" i="210"/>
  <c r="Q6208" i="210"/>
  <c r="D6209" i="210"/>
  <c r="K6209" i="210"/>
  <c r="L6209" i="210"/>
  <c r="N6209" i="210"/>
  <c r="P6209" i="210"/>
  <c r="Q6209" i="210"/>
  <c r="D6210" i="210"/>
  <c r="K6210" i="210"/>
  <c r="L6210" i="210"/>
  <c r="N6210" i="210"/>
  <c r="P6210" i="210"/>
  <c r="Q6210" i="210"/>
  <c r="D6211" i="210"/>
  <c r="K6211" i="210"/>
  <c r="L6211" i="210"/>
  <c r="N6211" i="210"/>
  <c r="P6211" i="210"/>
  <c r="Q6211" i="210"/>
  <c r="D6212" i="210"/>
  <c r="K6212" i="210"/>
  <c r="L6212" i="210"/>
  <c r="N6212" i="210"/>
  <c r="P6212" i="210"/>
  <c r="Q6212" i="210"/>
  <c r="D6213" i="210"/>
  <c r="K6213" i="210"/>
  <c r="L6213" i="210"/>
  <c r="N6213" i="210"/>
  <c r="P6213" i="210"/>
  <c r="Q6213" i="210"/>
  <c r="D6214" i="210"/>
  <c r="K6214" i="210"/>
  <c r="L6214" i="210"/>
  <c r="N6214" i="210"/>
  <c r="P6214" i="210"/>
  <c r="Q6214" i="210"/>
  <c r="D6215" i="210"/>
  <c r="K6215" i="210"/>
  <c r="L6215" i="210"/>
  <c r="N6215" i="210"/>
  <c r="P6215" i="210"/>
  <c r="Q6215" i="210"/>
  <c r="D6216" i="210"/>
  <c r="K6216" i="210"/>
  <c r="L6216" i="210"/>
  <c r="N6216" i="210"/>
  <c r="P6216" i="210"/>
  <c r="Q6216" i="210"/>
  <c r="D6217" i="210"/>
  <c r="K6217" i="210"/>
  <c r="L6217" i="210"/>
  <c r="N6217" i="210"/>
  <c r="P6217" i="210"/>
  <c r="Q6217" i="210"/>
  <c r="D6218" i="210"/>
  <c r="K6218" i="210"/>
  <c r="L6218" i="210"/>
  <c r="N6218" i="210"/>
  <c r="P6218" i="210"/>
  <c r="Q6218" i="210"/>
  <c r="D6219" i="210"/>
  <c r="K6219" i="210"/>
  <c r="L6219" i="210"/>
  <c r="N6219" i="210"/>
  <c r="P6219" i="210"/>
  <c r="Q6219" i="210"/>
  <c r="D6220" i="210"/>
  <c r="K6220" i="210"/>
  <c r="L6220" i="210"/>
  <c r="N6220" i="210"/>
  <c r="P6220" i="210"/>
  <c r="Q6220" i="210"/>
  <c r="D6221" i="210"/>
  <c r="K6221" i="210"/>
  <c r="L6221" i="210"/>
  <c r="N6221" i="210"/>
  <c r="P6221" i="210"/>
  <c r="Q6221" i="210"/>
  <c r="D6222" i="210"/>
  <c r="K6222" i="210"/>
  <c r="L6222" i="210"/>
  <c r="N6222" i="210"/>
  <c r="P6222" i="210"/>
  <c r="Q6222" i="210"/>
  <c r="D6223" i="210"/>
  <c r="K6223" i="210"/>
  <c r="L6223" i="210"/>
  <c r="N6223" i="210"/>
  <c r="P6223" i="210"/>
  <c r="Q6223" i="210"/>
  <c r="C6226" i="210"/>
  <c r="C6227" i="210" s="1"/>
  <c r="C6228" i="210" s="1"/>
  <c r="H6226" i="210"/>
  <c r="E6226" i="210" s="1"/>
  <c r="E6227" i="210" s="1"/>
  <c r="E6228" i="210" s="1"/>
  <c r="E6230" i="210" s="1"/>
  <c r="E6232" i="210" s="1"/>
  <c r="E6234" i="210" s="1"/>
  <c r="E6236" i="210" s="1"/>
  <c r="E6238" i="210" s="1"/>
  <c r="E6240" i="210" s="1"/>
  <c r="E6242" i="210" s="1"/>
  <c r="E6244" i="210" s="1"/>
  <c r="E6246" i="210" s="1"/>
  <c r="E6248" i="210" s="1"/>
  <c r="E6250" i="210" s="1"/>
  <c r="E6252" i="210" s="1"/>
  <c r="E6254" i="210" s="1"/>
  <c r="E6256" i="210" s="1"/>
  <c r="E6258" i="210" s="1"/>
  <c r="E6260" i="210" s="1"/>
  <c r="I6226" i="210"/>
  <c r="J6226" i="210"/>
  <c r="I6227" i="210"/>
  <c r="I6228" i="210"/>
  <c r="D6230" i="210"/>
  <c r="K6230" i="210"/>
  <c r="L6230" i="210"/>
  <c r="N6230" i="210"/>
  <c r="P6230" i="210"/>
  <c r="Q6230" i="210"/>
  <c r="D6231" i="210"/>
  <c r="E6231" i="210"/>
  <c r="E6233" i="210" s="1"/>
  <c r="E6235" i="210" s="1"/>
  <c r="E6237" i="210" s="1"/>
  <c r="E6239" i="210" s="1"/>
  <c r="E6241" i="210" s="1"/>
  <c r="E6243" i="210" s="1"/>
  <c r="E6245" i="210" s="1"/>
  <c r="E6247" i="210" s="1"/>
  <c r="E6249" i="210" s="1"/>
  <c r="E6251" i="210" s="1"/>
  <c r="E6253" i="210" s="1"/>
  <c r="E6255" i="210" s="1"/>
  <c r="E6257" i="210" s="1"/>
  <c r="E6259" i="210" s="1"/>
  <c r="E6261" i="210" s="1"/>
  <c r="K6231" i="210"/>
  <c r="L6231" i="210"/>
  <c r="N6231" i="210"/>
  <c r="P6231" i="210"/>
  <c r="Q6231" i="210"/>
  <c r="D6232" i="210"/>
  <c r="K6232" i="210"/>
  <c r="L6232" i="210"/>
  <c r="N6232" i="210"/>
  <c r="P6232" i="210"/>
  <c r="Q6232" i="210"/>
  <c r="D6233" i="210"/>
  <c r="K6233" i="210"/>
  <c r="L6233" i="210"/>
  <c r="N6233" i="210"/>
  <c r="P6233" i="210"/>
  <c r="Q6233" i="210"/>
  <c r="D6234" i="210"/>
  <c r="K6234" i="210"/>
  <c r="L6234" i="210"/>
  <c r="N6234" i="210"/>
  <c r="P6234" i="210"/>
  <c r="Q6234" i="210"/>
  <c r="D6235" i="210"/>
  <c r="K6235" i="210"/>
  <c r="L6235" i="210"/>
  <c r="N6235" i="210"/>
  <c r="P6235" i="210"/>
  <c r="Q6235" i="210"/>
  <c r="D6236" i="210"/>
  <c r="K6236" i="210"/>
  <c r="L6236" i="210"/>
  <c r="N6236" i="210"/>
  <c r="P6236" i="210"/>
  <c r="Q6236" i="210"/>
  <c r="D6237" i="210"/>
  <c r="K6237" i="210"/>
  <c r="L6237" i="210"/>
  <c r="N6237" i="210"/>
  <c r="P6237" i="210"/>
  <c r="Q6237" i="210"/>
  <c r="D6238" i="210"/>
  <c r="K6238" i="210"/>
  <c r="L6238" i="210"/>
  <c r="N6238" i="210"/>
  <c r="P6238" i="210"/>
  <c r="Q6238" i="210"/>
  <c r="D6239" i="210"/>
  <c r="K6239" i="210"/>
  <c r="L6239" i="210"/>
  <c r="N6239" i="210"/>
  <c r="P6239" i="210"/>
  <c r="Q6239" i="210"/>
  <c r="D6240" i="210"/>
  <c r="K6240" i="210"/>
  <c r="L6240" i="210"/>
  <c r="N6240" i="210"/>
  <c r="P6240" i="210"/>
  <c r="Q6240" i="210"/>
  <c r="D6241" i="210"/>
  <c r="K6241" i="210"/>
  <c r="L6241" i="210"/>
  <c r="N6241" i="210"/>
  <c r="P6241" i="210"/>
  <c r="Q6241" i="210"/>
  <c r="D6242" i="210"/>
  <c r="K6242" i="210"/>
  <c r="L6242" i="210"/>
  <c r="N6242" i="210"/>
  <c r="P6242" i="210"/>
  <c r="Q6242" i="210"/>
  <c r="D6243" i="210"/>
  <c r="K6243" i="210"/>
  <c r="L6243" i="210"/>
  <c r="N6243" i="210"/>
  <c r="P6243" i="210"/>
  <c r="Q6243" i="210"/>
  <c r="D6244" i="210"/>
  <c r="K6244" i="210"/>
  <c r="L6244" i="210"/>
  <c r="N6244" i="210"/>
  <c r="P6244" i="210"/>
  <c r="Q6244" i="210"/>
  <c r="D6245" i="210"/>
  <c r="K6245" i="210"/>
  <c r="L6245" i="210"/>
  <c r="N6245" i="210"/>
  <c r="P6245" i="210"/>
  <c r="Q6245" i="210"/>
  <c r="D6246" i="210"/>
  <c r="K6246" i="210"/>
  <c r="L6246" i="210"/>
  <c r="N6246" i="210"/>
  <c r="P6246" i="210"/>
  <c r="Q6246" i="210"/>
  <c r="D6247" i="210"/>
  <c r="K6247" i="210"/>
  <c r="L6247" i="210"/>
  <c r="N6247" i="210"/>
  <c r="P6247" i="210"/>
  <c r="Q6247" i="210"/>
  <c r="D6248" i="210"/>
  <c r="K6248" i="210"/>
  <c r="L6248" i="210"/>
  <c r="N6248" i="210"/>
  <c r="P6248" i="210"/>
  <c r="Q6248" i="210"/>
  <c r="D6249" i="210"/>
  <c r="K6249" i="210"/>
  <c r="L6249" i="210"/>
  <c r="N6249" i="210"/>
  <c r="P6249" i="210"/>
  <c r="Q6249" i="210"/>
  <c r="D6250" i="210"/>
  <c r="K6250" i="210"/>
  <c r="L6250" i="210"/>
  <c r="N6250" i="210"/>
  <c r="P6250" i="210"/>
  <c r="Q6250" i="210"/>
  <c r="D6251" i="210"/>
  <c r="K6251" i="210"/>
  <c r="L6251" i="210"/>
  <c r="N6251" i="210"/>
  <c r="P6251" i="210"/>
  <c r="Q6251" i="210"/>
  <c r="D6252" i="210"/>
  <c r="K6252" i="210"/>
  <c r="L6252" i="210"/>
  <c r="N6252" i="210"/>
  <c r="P6252" i="210"/>
  <c r="Q6252" i="210"/>
  <c r="D6253" i="210"/>
  <c r="K6253" i="210"/>
  <c r="L6253" i="210"/>
  <c r="N6253" i="210"/>
  <c r="P6253" i="210"/>
  <c r="Q6253" i="210"/>
  <c r="D6254" i="210"/>
  <c r="K6254" i="210"/>
  <c r="L6254" i="210"/>
  <c r="N6254" i="210"/>
  <c r="P6254" i="210"/>
  <c r="Q6254" i="210"/>
  <c r="D6255" i="210"/>
  <c r="K6255" i="210"/>
  <c r="L6255" i="210"/>
  <c r="N6255" i="210"/>
  <c r="P6255" i="210"/>
  <c r="Q6255" i="210"/>
  <c r="D6256" i="210"/>
  <c r="K6256" i="210"/>
  <c r="L6256" i="210"/>
  <c r="N6256" i="210"/>
  <c r="P6256" i="210"/>
  <c r="Q6256" i="210"/>
  <c r="D6257" i="210"/>
  <c r="K6257" i="210"/>
  <c r="L6257" i="210"/>
  <c r="N6257" i="210"/>
  <c r="P6257" i="210"/>
  <c r="Q6257" i="210"/>
  <c r="D6258" i="210"/>
  <c r="K6258" i="210"/>
  <c r="L6258" i="210"/>
  <c r="N6258" i="210"/>
  <c r="P6258" i="210"/>
  <c r="Q6258" i="210"/>
  <c r="D6259" i="210"/>
  <c r="K6259" i="210"/>
  <c r="L6259" i="210"/>
  <c r="N6259" i="210"/>
  <c r="P6259" i="210"/>
  <c r="Q6259" i="210"/>
  <c r="D6260" i="210"/>
  <c r="K6260" i="210"/>
  <c r="L6260" i="210"/>
  <c r="N6260" i="210"/>
  <c r="P6260" i="210"/>
  <c r="Q6260" i="210"/>
  <c r="D6261" i="210"/>
  <c r="K6261" i="210"/>
  <c r="L6261" i="210"/>
  <c r="N6261" i="210"/>
  <c r="P6261" i="210"/>
  <c r="Q6261" i="210"/>
  <c r="C6264" i="210"/>
  <c r="H6264" i="210"/>
  <c r="E6264" i="210" s="1"/>
  <c r="E6265" i="210" s="1"/>
  <c r="E6266" i="210" s="1"/>
  <c r="E6268" i="210" s="1"/>
  <c r="E6270" i="210" s="1"/>
  <c r="E6272" i="210" s="1"/>
  <c r="E6274" i="210" s="1"/>
  <c r="E6276" i="210" s="1"/>
  <c r="E6278" i="210" s="1"/>
  <c r="E6280" i="210" s="1"/>
  <c r="E6282" i="210" s="1"/>
  <c r="E6284" i="210" s="1"/>
  <c r="E6286" i="210" s="1"/>
  <c r="E6288" i="210" s="1"/>
  <c r="E6290" i="210" s="1"/>
  <c r="E6292" i="210" s="1"/>
  <c r="E6294" i="210" s="1"/>
  <c r="E6296" i="210" s="1"/>
  <c r="I6264" i="210"/>
  <c r="J6264" i="210"/>
  <c r="C6265" i="210"/>
  <c r="C6266" i="210" s="1"/>
  <c r="I6265" i="210"/>
  <c r="I6266" i="210"/>
  <c r="D6268" i="210"/>
  <c r="K6268" i="210"/>
  <c r="L6268" i="210"/>
  <c r="L6264" i="210" s="1"/>
  <c r="N6268" i="210"/>
  <c r="P6268" i="210"/>
  <c r="Q6268" i="210"/>
  <c r="D6269" i="210"/>
  <c r="E6269" i="210"/>
  <c r="E6271" i="210" s="1"/>
  <c r="E6273" i="210" s="1"/>
  <c r="E6275" i="210" s="1"/>
  <c r="E6277" i="210" s="1"/>
  <c r="E6279" i="210" s="1"/>
  <c r="E6281" i="210" s="1"/>
  <c r="E6283" i="210" s="1"/>
  <c r="E6285" i="210" s="1"/>
  <c r="E6287" i="210" s="1"/>
  <c r="E6289" i="210" s="1"/>
  <c r="E6291" i="210" s="1"/>
  <c r="E6293" i="210" s="1"/>
  <c r="E6295" i="210" s="1"/>
  <c r="E6297" i="210" s="1"/>
  <c r="K6269" i="210"/>
  <c r="L6269" i="210"/>
  <c r="N6269" i="210"/>
  <c r="P6269" i="210"/>
  <c r="Q6269" i="210"/>
  <c r="D6270" i="210"/>
  <c r="K6270" i="210"/>
  <c r="L6270" i="210"/>
  <c r="N6270" i="210"/>
  <c r="P6270" i="210"/>
  <c r="Q6270" i="210"/>
  <c r="D6271" i="210"/>
  <c r="K6271" i="210"/>
  <c r="L6271" i="210"/>
  <c r="N6271" i="210"/>
  <c r="P6271" i="210"/>
  <c r="Q6271" i="210"/>
  <c r="D6272" i="210"/>
  <c r="K6272" i="210"/>
  <c r="L6272" i="210"/>
  <c r="N6272" i="210"/>
  <c r="P6272" i="210"/>
  <c r="Q6272" i="210"/>
  <c r="D6273" i="210"/>
  <c r="K6273" i="210"/>
  <c r="L6273" i="210"/>
  <c r="N6273" i="210"/>
  <c r="P6273" i="210"/>
  <c r="Q6273" i="210"/>
  <c r="D6274" i="210"/>
  <c r="K6274" i="210"/>
  <c r="L6274" i="210"/>
  <c r="N6274" i="210"/>
  <c r="P6274" i="210"/>
  <c r="Q6274" i="210"/>
  <c r="D6275" i="210"/>
  <c r="K6275" i="210"/>
  <c r="L6275" i="210"/>
  <c r="N6275" i="210"/>
  <c r="P6275" i="210"/>
  <c r="Q6275" i="210"/>
  <c r="D6276" i="210"/>
  <c r="K6276" i="210"/>
  <c r="L6276" i="210"/>
  <c r="N6276" i="210"/>
  <c r="P6276" i="210"/>
  <c r="Q6276" i="210"/>
  <c r="D6277" i="210"/>
  <c r="K6277" i="210"/>
  <c r="L6277" i="210"/>
  <c r="N6277" i="210"/>
  <c r="P6277" i="210"/>
  <c r="Q6277" i="210"/>
  <c r="D6278" i="210"/>
  <c r="K6278" i="210"/>
  <c r="L6278" i="210"/>
  <c r="N6278" i="210"/>
  <c r="P6278" i="210"/>
  <c r="Q6278" i="210"/>
  <c r="D6279" i="210"/>
  <c r="K6279" i="210"/>
  <c r="L6279" i="210"/>
  <c r="N6279" i="210"/>
  <c r="P6279" i="210"/>
  <c r="Q6279" i="210"/>
  <c r="D6280" i="210"/>
  <c r="K6280" i="210"/>
  <c r="L6280" i="210"/>
  <c r="N6280" i="210"/>
  <c r="P6280" i="210"/>
  <c r="Q6280" i="210"/>
  <c r="D6281" i="210"/>
  <c r="K6281" i="210"/>
  <c r="L6281" i="210"/>
  <c r="N6281" i="210"/>
  <c r="P6281" i="210"/>
  <c r="Q6281" i="210"/>
  <c r="D6282" i="210"/>
  <c r="K6282" i="210"/>
  <c r="L6282" i="210"/>
  <c r="N6282" i="210"/>
  <c r="P6282" i="210"/>
  <c r="Q6282" i="210"/>
  <c r="D6283" i="210"/>
  <c r="K6283" i="210"/>
  <c r="L6283" i="210"/>
  <c r="N6283" i="210"/>
  <c r="P6283" i="210"/>
  <c r="Q6283" i="210"/>
  <c r="D6284" i="210"/>
  <c r="K6284" i="210"/>
  <c r="L6284" i="210"/>
  <c r="N6284" i="210"/>
  <c r="P6284" i="210"/>
  <c r="Q6284" i="210"/>
  <c r="D6285" i="210"/>
  <c r="K6285" i="210"/>
  <c r="L6285" i="210"/>
  <c r="N6285" i="210"/>
  <c r="P6285" i="210"/>
  <c r="Q6285" i="210"/>
  <c r="D6286" i="210"/>
  <c r="K6286" i="210"/>
  <c r="L6286" i="210"/>
  <c r="N6286" i="210"/>
  <c r="P6286" i="210"/>
  <c r="Q6286" i="210"/>
  <c r="D6287" i="210"/>
  <c r="K6287" i="210"/>
  <c r="L6287" i="210"/>
  <c r="N6287" i="210"/>
  <c r="P6287" i="210"/>
  <c r="Q6287" i="210"/>
  <c r="D6288" i="210"/>
  <c r="K6288" i="210"/>
  <c r="L6288" i="210"/>
  <c r="N6288" i="210"/>
  <c r="P6288" i="210"/>
  <c r="Q6288" i="210"/>
  <c r="D6289" i="210"/>
  <c r="K6289" i="210"/>
  <c r="L6289" i="210"/>
  <c r="N6289" i="210"/>
  <c r="P6289" i="210"/>
  <c r="Q6289" i="210"/>
  <c r="D6290" i="210"/>
  <c r="K6290" i="210"/>
  <c r="L6290" i="210"/>
  <c r="N6290" i="210"/>
  <c r="P6290" i="210"/>
  <c r="Q6290" i="210"/>
  <c r="D6291" i="210"/>
  <c r="K6291" i="210"/>
  <c r="L6291" i="210"/>
  <c r="N6291" i="210"/>
  <c r="P6291" i="210"/>
  <c r="Q6291" i="210"/>
  <c r="D6292" i="210"/>
  <c r="K6292" i="210"/>
  <c r="L6292" i="210"/>
  <c r="N6292" i="210"/>
  <c r="P6292" i="210"/>
  <c r="Q6292" i="210"/>
  <c r="D6293" i="210"/>
  <c r="K6293" i="210"/>
  <c r="L6293" i="210"/>
  <c r="N6293" i="210"/>
  <c r="P6293" i="210"/>
  <c r="Q6293" i="210"/>
  <c r="D6294" i="210"/>
  <c r="K6294" i="210"/>
  <c r="L6294" i="210"/>
  <c r="N6294" i="210"/>
  <c r="P6294" i="210"/>
  <c r="Q6294" i="210"/>
  <c r="D6295" i="210"/>
  <c r="K6295" i="210"/>
  <c r="L6295" i="210"/>
  <c r="N6295" i="210"/>
  <c r="P6295" i="210"/>
  <c r="Q6295" i="210"/>
  <c r="D6296" i="210"/>
  <c r="K6296" i="210"/>
  <c r="L6296" i="210"/>
  <c r="N6296" i="210"/>
  <c r="P6296" i="210"/>
  <c r="Q6296" i="210"/>
  <c r="D6297" i="210"/>
  <c r="K6297" i="210"/>
  <c r="L6297" i="210"/>
  <c r="N6297" i="210"/>
  <c r="P6297" i="210"/>
  <c r="Q6297" i="210"/>
  <c r="C6300" i="210"/>
  <c r="C6301" i="210" s="1"/>
  <c r="C6302" i="210" s="1"/>
  <c r="H6300" i="210"/>
  <c r="E6300" i="210" s="1"/>
  <c r="E6301" i="210" s="1"/>
  <c r="E6302" i="210" s="1"/>
  <c r="E6304" i="210" s="1"/>
  <c r="E6306" i="210" s="1"/>
  <c r="E6308" i="210" s="1"/>
  <c r="E6310" i="210" s="1"/>
  <c r="E6312" i="210" s="1"/>
  <c r="E6314" i="210" s="1"/>
  <c r="E6316" i="210" s="1"/>
  <c r="E6318" i="210" s="1"/>
  <c r="E6320" i="210" s="1"/>
  <c r="E6322" i="210" s="1"/>
  <c r="E6324" i="210" s="1"/>
  <c r="E6326" i="210" s="1"/>
  <c r="E6328" i="210" s="1"/>
  <c r="I6300" i="210"/>
  <c r="J6300" i="210"/>
  <c r="I6301" i="210"/>
  <c r="I6302" i="210"/>
  <c r="D6304" i="210"/>
  <c r="K6304" i="210"/>
  <c r="L6304" i="210"/>
  <c r="N6304" i="210"/>
  <c r="P6304" i="210"/>
  <c r="P6300" i="210" s="1"/>
  <c r="Q6304" i="210"/>
  <c r="D6305" i="210"/>
  <c r="E6305" i="210"/>
  <c r="E6307" i="210" s="1"/>
  <c r="E6309" i="210" s="1"/>
  <c r="E6311" i="210" s="1"/>
  <c r="E6313" i="210" s="1"/>
  <c r="E6315" i="210" s="1"/>
  <c r="E6317" i="210" s="1"/>
  <c r="E6319" i="210" s="1"/>
  <c r="E6321" i="210" s="1"/>
  <c r="E6323" i="210" s="1"/>
  <c r="E6325" i="210" s="1"/>
  <c r="E6327" i="210" s="1"/>
  <c r="K6305" i="210"/>
  <c r="L6305" i="210"/>
  <c r="N6305" i="210"/>
  <c r="P6305" i="210"/>
  <c r="Q6305" i="210"/>
  <c r="D6306" i="210"/>
  <c r="K6306" i="210"/>
  <c r="L6306" i="210"/>
  <c r="N6306" i="210"/>
  <c r="P6306" i="210"/>
  <c r="Q6306" i="210"/>
  <c r="D6307" i="210"/>
  <c r="K6307" i="210"/>
  <c r="L6307" i="210"/>
  <c r="N6307" i="210"/>
  <c r="P6307" i="210"/>
  <c r="Q6307" i="210"/>
  <c r="D6308" i="210"/>
  <c r="K6308" i="210"/>
  <c r="L6308" i="210"/>
  <c r="N6308" i="210"/>
  <c r="P6308" i="210"/>
  <c r="Q6308" i="210"/>
  <c r="D6309" i="210"/>
  <c r="K6309" i="210"/>
  <c r="L6309" i="210"/>
  <c r="N6309" i="210"/>
  <c r="P6309" i="210"/>
  <c r="Q6309" i="210"/>
  <c r="D6310" i="210"/>
  <c r="K6310" i="210"/>
  <c r="L6310" i="210"/>
  <c r="N6310" i="210"/>
  <c r="P6310" i="210"/>
  <c r="Q6310" i="210"/>
  <c r="D6311" i="210"/>
  <c r="K6311" i="210"/>
  <c r="L6311" i="210"/>
  <c r="N6311" i="210"/>
  <c r="P6311" i="210"/>
  <c r="Q6311" i="210"/>
  <c r="D6312" i="210"/>
  <c r="K6312" i="210"/>
  <c r="L6312" i="210"/>
  <c r="N6312" i="210"/>
  <c r="P6312" i="210"/>
  <c r="Q6312" i="210"/>
  <c r="D6313" i="210"/>
  <c r="K6313" i="210"/>
  <c r="L6313" i="210"/>
  <c r="N6313" i="210"/>
  <c r="P6313" i="210"/>
  <c r="Q6313" i="210"/>
  <c r="D6314" i="210"/>
  <c r="K6314" i="210"/>
  <c r="L6314" i="210"/>
  <c r="N6314" i="210"/>
  <c r="P6314" i="210"/>
  <c r="Q6314" i="210"/>
  <c r="D6315" i="210"/>
  <c r="K6315" i="210"/>
  <c r="L6315" i="210"/>
  <c r="N6315" i="210"/>
  <c r="P6315" i="210"/>
  <c r="Q6315" i="210"/>
  <c r="D6316" i="210"/>
  <c r="K6316" i="210"/>
  <c r="L6316" i="210"/>
  <c r="N6316" i="210"/>
  <c r="P6316" i="210"/>
  <c r="Q6316" i="210"/>
  <c r="D6317" i="210"/>
  <c r="K6317" i="210"/>
  <c r="L6317" i="210"/>
  <c r="N6317" i="210"/>
  <c r="P6317" i="210"/>
  <c r="Q6317" i="210"/>
  <c r="D6318" i="210"/>
  <c r="K6318" i="210"/>
  <c r="L6318" i="210"/>
  <c r="N6318" i="210"/>
  <c r="P6318" i="210"/>
  <c r="Q6318" i="210"/>
  <c r="D6319" i="210"/>
  <c r="K6319" i="210"/>
  <c r="L6319" i="210"/>
  <c r="N6319" i="210"/>
  <c r="P6319" i="210"/>
  <c r="Q6319" i="210"/>
  <c r="D6320" i="210"/>
  <c r="K6320" i="210"/>
  <c r="L6320" i="210"/>
  <c r="N6320" i="210"/>
  <c r="P6320" i="210"/>
  <c r="Q6320" i="210"/>
  <c r="D6321" i="210"/>
  <c r="K6321" i="210"/>
  <c r="L6321" i="210"/>
  <c r="N6321" i="210"/>
  <c r="P6321" i="210"/>
  <c r="Q6321" i="210"/>
  <c r="D6322" i="210"/>
  <c r="K6322" i="210"/>
  <c r="L6322" i="210"/>
  <c r="N6322" i="210"/>
  <c r="P6322" i="210"/>
  <c r="Q6322" i="210"/>
  <c r="D6323" i="210"/>
  <c r="K6323" i="210"/>
  <c r="L6323" i="210"/>
  <c r="N6323" i="210"/>
  <c r="P6323" i="210"/>
  <c r="Q6323" i="210"/>
  <c r="D6324" i="210"/>
  <c r="K6324" i="210"/>
  <c r="L6324" i="210"/>
  <c r="N6324" i="210"/>
  <c r="P6324" i="210"/>
  <c r="Q6324" i="210"/>
  <c r="D6325" i="210"/>
  <c r="K6325" i="210"/>
  <c r="L6325" i="210"/>
  <c r="N6325" i="210"/>
  <c r="P6325" i="210"/>
  <c r="Q6325" i="210"/>
  <c r="D6326" i="210"/>
  <c r="K6326" i="210"/>
  <c r="L6326" i="210"/>
  <c r="N6326" i="210"/>
  <c r="P6326" i="210"/>
  <c r="Q6326" i="210"/>
  <c r="D6327" i="210"/>
  <c r="K6327" i="210"/>
  <c r="L6327" i="210"/>
  <c r="N6327" i="210"/>
  <c r="P6327" i="210"/>
  <c r="Q6327" i="210"/>
  <c r="D6328" i="210"/>
  <c r="K6328" i="210"/>
  <c r="L6328" i="210"/>
  <c r="N6328" i="210"/>
  <c r="P6328" i="210"/>
  <c r="Q6328" i="210"/>
  <c r="C6331" i="210"/>
  <c r="E6331" i="210"/>
  <c r="E6332" i="210" s="1"/>
  <c r="E6333" i="210" s="1"/>
  <c r="E6335" i="210" s="1"/>
  <c r="E6337" i="210" s="1"/>
  <c r="E6339" i="210" s="1"/>
  <c r="E6341" i="210" s="1"/>
  <c r="E6343" i="210" s="1"/>
  <c r="E6345" i="210" s="1"/>
  <c r="E6347" i="210" s="1"/>
  <c r="E6349" i="210" s="1"/>
  <c r="E6351" i="210" s="1"/>
  <c r="E6353" i="210" s="1"/>
  <c r="E6355" i="210" s="1"/>
  <c r="E6357" i="210" s="1"/>
  <c r="E6359" i="210" s="1"/>
  <c r="E6361" i="210" s="1"/>
  <c r="E6363" i="210" s="1"/>
  <c r="H6331" i="210"/>
  <c r="I6331" i="210"/>
  <c r="J6331" i="210"/>
  <c r="C6332" i="210"/>
  <c r="C6333" i="210" s="1"/>
  <c r="I6332" i="210"/>
  <c r="I6333" i="210"/>
  <c r="D6335" i="210"/>
  <c r="K6335" i="210"/>
  <c r="L6335" i="210"/>
  <c r="N6335" i="210"/>
  <c r="P6335" i="210"/>
  <c r="Q6335" i="210"/>
  <c r="D6336" i="210"/>
  <c r="E6336" i="210"/>
  <c r="K6336" i="210"/>
  <c r="L6336" i="210"/>
  <c r="N6336" i="210"/>
  <c r="P6336" i="210"/>
  <c r="Q6336" i="210"/>
  <c r="D6337" i="210"/>
  <c r="K6337" i="210"/>
  <c r="L6337" i="210"/>
  <c r="N6337" i="210"/>
  <c r="P6337" i="210"/>
  <c r="Q6337" i="210"/>
  <c r="D6338" i="210"/>
  <c r="E6338" i="210"/>
  <c r="K6338" i="210"/>
  <c r="L6338" i="210"/>
  <c r="N6338" i="210"/>
  <c r="P6338" i="210"/>
  <c r="Q6338" i="210"/>
  <c r="D6339" i="210"/>
  <c r="K6339" i="210"/>
  <c r="L6339" i="210"/>
  <c r="N6339" i="210"/>
  <c r="P6339" i="210"/>
  <c r="Q6339" i="210"/>
  <c r="D6340" i="210"/>
  <c r="E6340" i="210"/>
  <c r="K6340" i="210"/>
  <c r="L6340" i="210"/>
  <c r="N6340" i="210"/>
  <c r="P6340" i="210"/>
  <c r="Q6340" i="210"/>
  <c r="D6341" i="210"/>
  <c r="K6341" i="210"/>
  <c r="L6341" i="210"/>
  <c r="N6341" i="210"/>
  <c r="P6341" i="210"/>
  <c r="Q6341" i="210"/>
  <c r="D6342" i="210"/>
  <c r="E6342" i="210"/>
  <c r="E6344" i="210" s="1"/>
  <c r="K6342" i="210"/>
  <c r="L6342" i="210"/>
  <c r="N6342" i="210"/>
  <c r="P6342" i="210"/>
  <c r="Q6342" i="210"/>
  <c r="D6343" i="210"/>
  <c r="K6343" i="210"/>
  <c r="L6343" i="210"/>
  <c r="N6343" i="210"/>
  <c r="P6343" i="210"/>
  <c r="Q6343" i="210"/>
  <c r="D6344" i="210"/>
  <c r="K6344" i="210"/>
  <c r="L6344" i="210"/>
  <c r="N6344" i="210"/>
  <c r="P6344" i="210"/>
  <c r="Q6344" i="210"/>
  <c r="D6345" i="210"/>
  <c r="K6345" i="210"/>
  <c r="L6345" i="210"/>
  <c r="N6345" i="210"/>
  <c r="P6345" i="210"/>
  <c r="Q6345" i="210"/>
  <c r="D6346" i="210"/>
  <c r="E6346" i="210"/>
  <c r="E6348" i="210" s="1"/>
  <c r="E6350" i="210" s="1"/>
  <c r="E6352" i="210" s="1"/>
  <c r="E6354" i="210" s="1"/>
  <c r="E6356" i="210" s="1"/>
  <c r="E6358" i="210" s="1"/>
  <c r="E6360" i="210" s="1"/>
  <c r="E6362" i="210" s="1"/>
  <c r="E6364" i="210" s="1"/>
  <c r="K6346" i="210"/>
  <c r="L6346" i="210"/>
  <c r="N6346" i="210"/>
  <c r="P6346" i="210"/>
  <c r="Q6346" i="210"/>
  <c r="D6347" i="210"/>
  <c r="K6347" i="210"/>
  <c r="L6347" i="210"/>
  <c r="N6347" i="210"/>
  <c r="P6347" i="210"/>
  <c r="Q6347" i="210"/>
  <c r="D6348" i="210"/>
  <c r="K6348" i="210"/>
  <c r="L6348" i="210"/>
  <c r="N6348" i="210"/>
  <c r="P6348" i="210"/>
  <c r="Q6348" i="210"/>
  <c r="D6349" i="210"/>
  <c r="K6349" i="210"/>
  <c r="L6349" i="210"/>
  <c r="N6349" i="210"/>
  <c r="P6349" i="210"/>
  <c r="Q6349" i="210"/>
  <c r="D6350" i="210"/>
  <c r="K6350" i="210"/>
  <c r="L6350" i="210"/>
  <c r="N6350" i="210"/>
  <c r="P6350" i="210"/>
  <c r="Q6350" i="210"/>
  <c r="D6351" i="210"/>
  <c r="K6351" i="210"/>
  <c r="L6351" i="210"/>
  <c r="N6351" i="210"/>
  <c r="P6351" i="210"/>
  <c r="Q6351" i="210"/>
  <c r="D6352" i="210"/>
  <c r="K6352" i="210"/>
  <c r="L6352" i="210"/>
  <c r="N6352" i="210"/>
  <c r="P6352" i="210"/>
  <c r="Q6352" i="210"/>
  <c r="D6353" i="210"/>
  <c r="K6353" i="210"/>
  <c r="L6353" i="210"/>
  <c r="N6353" i="210"/>
  <c r="P6353" i="210"/>
  <c r="Q6353" i="210"/>
  <c r="D6354" i="210"/>
  <c r="K6354" i="210"/>
  <c r="L6354" i="210"/>
  <c r="N6354" i="210"/>
  <c r="P6354" i="210"/>
  <c r="Q6354" i="210"/>
  <c r="D6355" i="210"/>
  <c r="K6355" i="210"/>
  <c r="L6355" i="210"/>
  <c r="N6355" i="210"/>
  <c r="P6355" i="210"/>
  <c r="Q6355" i="210"/>
  <c r="D6356" i="210"/>
  <c r="K6356" i="210"/>
  <c r="L6356" i="210"/>
  <c r="N6356" i="210"/>
  <c r="P6356" i="210"/>
  <c r="Q6356" i="210"/>
  <c r="D6357" i="210"/>
  <c r="K6357" i="210"/>
  <c r="L6357" i="210"/>
  <c r="N6357" i="210"/>
  <c r="P6357" i="210"/>
  <c r="Q6357" i="210"/>
  <c r="D6358" i="210"/>
  <c r="K6358" i="210"/>
  <c r="L6358" i="210"/>
  <c r="N6358" i="210"/>
  <c r="P6358" i="210"/>
  <c r="Q6358" i="210"/>
  <c r="D6359" i="210"/>
  <c r="K6359" i="210"/>
  <c r="L6359" i="210"/>
  <c r="N6359" i="210"/>
  <c r="P6359" i="210"/>
  <c r="Q6359" i="210"/>
  <c r="D6360" i="210"/>
  <c r="K6360" i="210"/>
  <c r="L6360" i="210"/>
  <c r="N6360" i="210"/>
  <c r="P6360" i="210"/>
  <c r="Q6360" i="210"/>
  <c r="D6361" i="210"/>
  <c r="K6361" i="210"/>
  <c r="L6361" i="210"/>
  <c r="N6361" i="210"/>
  <c r="P6361" i="210"/>
  <c r="Q6361" i="210"/>
  <c r="D6362" i="210"/>
  <c r="K6362" i="210"/>
  <c r="L6362" i="210"/>
  <c r="N6362" i="210"/>
  <c r="P6362" i="210"/>
  <c r="Q6362" i="210"/>
  <c r="D6363" i="210"/>
  <c r="K6363" i="210"/>
  <c r="L6363" i="210"/>
  <c r="N6363" i="210"/>
  <c r="P6363" i="210"/>
  <c r="Q6363" i="210"/>
  <c r="D6364" i="210"/>
  <c r="K6364" i="210"/>
  <c r="L6364" i="210"/>
  <c r="N6364" i="210"/>
  <c r="P6364" i="210"/>
  <c r="Q6364" i="210"/>
  <c r="C6367" i="210"/>
  <c r="H6367" i="210"/>
  <c r="E6367" i="210" s="1"/>
  <c r="E6368" i="210" s="1"/>
  <c r="E6369" i="210" s="1"/>
  <c r="E6371" i="210" s="1"/>
  <c r="E6373" i="210" s="1"/>
  <c r="E6375" i="210" s="1"/>
  <c r="E6377" i="210" s="1"/>
  <c r="E6379" i="210" s="1"/>
  <c r="E6381" i="210" s="1"/>
  <c r="E6383" i="210" s="1"/>
  <c r="E6385" i="210" s="1"/>
  <c r="E6387" i="210" s="1"/>
  <c r="E6389" i="210" s="1"/>
  <c r="E6391" i="210" s="1"/>
  <c r="E6393" i="210" s="1"/>
  <c r="E6395" i="210" s="1"/>
  <c r="E6397" i="210" s="1"/>
  <c r="E6399" i="210" s="1"/>
  <c r="I6367" i="210"/>
  <c r="J6367" i="210"/>
  <c r="C6368" i="210"/>
  <c r="C6369" i="210" s="1"/>
  <c r="I6368" i="210"/>
  <c r="I6369" i="210"/>
  <c r="D6371" i="210"/>
  <c r="K6371" i="210"/>
  <c r="L6371" i="210"/>
  <c r="N6371" i="210"/>
  <c r="P6371" i="210"/>
  <c r="Q6371" i="210"/>
  <c r="D6372" i="210"/>
  <c r="E6372" i="210"/>
  <c r="K6372" i="210"/>
  <c r="L6372" i="210"/>
  <c r="N6372" i="210"/>
  <c r="P6372" i="210"/>
  <c r="Q6372" i="210"/>
  <c r="D6373" i="210"/>
  <c r="K6373" i="210"/>
  <c r="L6373" i="210"/>
  <c r="N6373" i="210"/>
  <c r="P6373" i="210"/>
  <c r="Q6373" i="210"/>
  <c r="D6374" i="210"/>
  <c r="E6374" i="210"/>
  <c r="K6374" i="210"/>
  <c r="L6374" i="210"/>
  <c r="N6374" i="210"/>
  <c r="P6374" i="210"/>
  <c r="Q6374" i="210"/>
  <c r="D6375" i="210"/>
  <c r="K6375" i="210"/>
  <c r="L6375" i="210"/>
  <c r="N6375" i="210"/>
  <c r="P6375" i="210"/>
  <c r="Q6375" i="210"/>
  <c r="D6376" i="210"/>
  <c r="E6376" i="210"/>
  <c r="E6378" i="210" s="1"/>
  <c r="E6380" i="210" s="1"/>
  <c r="E6382" i="210" s="1"/>
  <c r="E6384" i="210" s="1"/>
  <c r="E6386" i="210" s="1"/>
  <c r="E6388" i="210" s="1"/>
  <c r="E6390" i="210" s="1"/>
  <c r="E6392" i="210" s="1"/>
  <c r="E6394" i="210" s="1"/>
  <c r="E6396" i="210" s="1"/>
  <c r="E6398" i="210" s="1"/>
  <c r="E6400" i="210" s="1"/>
  <c r="K6376" i="210"/>
  <c r="L6376" i="210"/>
  <c r="N6376" i="210"/>
  <c r="P6376" i="210"/>
  <c r="Q6376" i="210"/>
  <c r="D6377" i="210"/>
  <c r="K6377" i="210"/>
  <c r="L6377" i="210"/>
  <c r="N6377" i="210"/>
  <c r="P6377" i="210"/>
  <c r="Q6377" i="210"/>
  <c r="D6378" i="210"/>
  <c r="K6378" i="210"/>
  <c r="L6378" i="210"/>
  <c r="N6378" i="210"/>
  <c r="P6378" i="210"/>
  <c r="Q6378" i="210"/>
  <c r="D6379" i="210"/>
  <c r="K6379" i="210"/>
  <c r="L6379" i="210"/>
  <c r="N6379" i="210"/>
  <c r="P6379" i="210"/>
  <c r="Q6379" i="210"/>
  <c r="D6380" i="210"/>
  <c r="K6380" i="210"/>
  <c r="L6380" i="210"/>
  <c r="N6380" i="210"/>
  <c r="P6380" i="210"/>
  <c r="Q6380" i="210"/>
  <c r="D6381" i="210"/>
  <c r="K6381" i="210"/>
  <c r="L6381" i="210"/>
  <c r="N6381" i="210"/>
  <c r="P6381" i="210"/>
  <c r="Q6381" i="210"/>
  <c r="D6382" i="210"/>
  <c r="K6382" i="210"/>
  <c r="L6382" i="210"/>
  <c r="N6382" i="210"/>
  <c r="P6382" i="210"/>
  <c r="Q6382" i="210"/>
  <c r="D6383" i="210"/>
  <c r="K6383" i="210"/>
  <c r="L6383" i="210"/>
  <c r="N6383" i="210"/>
  <c r="P6383" i="210"/>
  <c r="Q6383" i="210"/>
  <c r="D6384" i="210"/>
  <c r="K6384" i="210"/>
  <c r="L6384" i="210"/>
  <c r="N6384" i="210"/>
  <c r="P6384" i="210"/>
  <c r="Q6384" i="210"/>
  <c r="D6385" i="210"/>
  <c r="K6385" i="210"/>
  <c r="L6385" i="210"/>
  <c r="N6385" i="210"/>
  <c r="P6385" i="210"/>
  <c r="Q6385" i="210"/>
  <c r="D6386" i="210"/>
  <c r="K6386" i="210"/>
  <c r="L6386" i="210"/>
  <c r="N6386" i="210"/>
  <c r="P6386" i="210"/>
  <c r="Q6386" i="210"/>
  <c r="D6387" i="210"/>
  <c r="K6387" i="210"/>
  <c r="L6387" i="210"/>
  <c r="N6387" i="210"/>
  <c r="P6387" i="210"/>
  <c r="Q6387" i="210"/>
  <c r="D6388" i="210"/>
  <c r="K6388" i="210"/>
  <c r="L6388" i="210"/>
  <c r="N6388" i="210"/>
  <c r="P6388" i="210"/>
  <c r="Q6388" i="210"/>
  <c r="D6389" i="210"/>
  <c r="K6389" i="210"/>
  <c r="L6389" i="210"/>
  <c r="N6389" i="210"/>
  <c r="P6389" i="210"/>
  <c r="Q6389" i="210"/>
  <c r="D6390" i="210"/>
  <c r="K6390" i="210"/>
  <c r="L6390" i="210"/>
  <c r="N6390" i="210"/>
  <c r="P6390" i="210"/>
  <c r="Q6390" i="210"/>
  <c r="D6391" i="210"/>
  <c r="K6391" i="210"/>
  <c r="L6391" i="210"/>
  <c r="N6391" i="210"/>
  <c r="P6391" i="210"/>
  <c r="Q6391" i="210"/>
  <c r="D6392" i="210"/>
  <c r="K6392" i="210"/>
  <c r="L6392" i="210"/>
  <c r="N6392" i="210"/>
  <c r="P6392" i="210"/>
  <c r="Q6392" i="210"/>
  <c r="D6393" i="210"/>
  <c r="K6393" i="210"/>
  <c r="L6393" i="210"/>
  <c r="N6393" i="210"/>
  <c r="P6393" i="210"/>
  <c r="Q6393" i="210"/>
  <c r="D6394" i="210"/>
  <c r="K6394" i="210"/>
  <c r="L6394" i="210"/>
  <c r="N6394" i="210"/>
  <c r="P6394" i="210"/>
  <c r="Q6394" i="210"/>
  <c r="D6395" i="210"/>
  <c r="K6395" i="210"/>
  <c r="L6395" i="210"/>
  <c r="N6395" i="210"/>
  <c r="P6395" i="210"/>
  <c r="Q6395" i="210"/>
  <c r="D6396" i="210"/>
  <c r="K6396" i="210"/>
  <c r="L6396" i="210"/>
  <c r="N6396" i="210"/>
  <c r="P6396" i="210"/>
  <c r="Q6396" i="210"/>
  <c r="D6397" i="210"/>
  <c r="K6397" i="210"/>
  <c r="L6397" i="210"/>
  <c r="N6397" i="210"/>
  <c r="P6397" i="210"/>
  <c r="Q6397" i="210"/>
  <c r="D6398" i="210"/>
  <c r="K6398" i="210"/>
  <c r="L6398" i="210"/>
  <c r="N6398" i="210"/>
  <c r="P6398" i="210"/>
  <c r="Q6398" i="210"/>
  <c r="D6399" i="210"/>
  <c r="K6399" i="210"/>
  <c r="L6399" i="210"/>
  <c r="N6399" i="210"/>
  <c r="P6399" i="210"/>
  <c r="Q6399" i="210"/>
  <c r="D6400" i="210"/>
  <c r="K6400" i="210"/>
  <c r="L6400" i="210"/>
  <c r="N6400" i="210"/>
  <c r="P6400" i="210"/>
  <c r="Q6400" i="210"/>
  <c r="C6403" i="210"/>
  <c r="C6404" i="210" s="1"/>
  <c r="C6405" i="210" s="1"/>
  <c r="E6403" i="210"/>
  <c r="E6404" i="210" s="1"/>
  <c r="E6405" i="210" s="1"/>
  <c r="E6407" i="210" s="1"/>
  <c r="E6409" i="210" s="1"/>
  <c r="E6411" i="210" s="1"/>
  <c r="E6413" i="210" s="1"/>
  <c r="E6415" i="210" s="1"/>
  <c r="E6417" i="210" s="1"/>
  <c r="E6419" i="210" s="1"/>
  <c r="E6421" i="210" s="1"/>
  <c r="E6423" i="210" s="1"/>
  <c r="E6425" i="210" s="1"/>
  <c r="E6427" i="210" s="1"/>
  <c r="E6429" i="210" s="1"/>
  <c r="E6431" i="210" s="1"/>
  <c r="E6433" i="210" s="1"/>
  <c r="E6435" i="210" s="1"/>
  <c r="E6437" i="210" s="1"/>
  <c r="E6439" i="210" s="1"/>
  <c r="E6441" i="210" s="1"/>
  <c r="E6443" i="210" s="1"/>
  <c r="H6403" i="210"/>
  <c r="I6403" i="210"/>
  <c r="J6403" i="210"/>
  <c r="I6404" i="210"/>
  <c r="I6405" i="210"/>
  <c r="D6407" i="210"/>
  <c r="K6407" i="210"/>
  <c r="L6407" i="210"/>
  <c r="N6407" i="210"/>
  <c r="P6407" i="210"/>
  <c r="Q6407" i="210"/>
  <c r="D6408" i="210"/>
  <c r="E6408" i="210"/>
  <c r="K6408" i="210"/>
  <c r="L6408" i="210"/>
  <c r="N6408" i="210"/>
  <c r="P6408" i="210"/>
  <c r="Q6408" i="210"/>
  <c r="D6409" i="210"/>
  <c r="K6409" i="210"/>
  <c r="L6409" i="210"/>
  <c r="N6409" i="210"/>
  <c r="P6409" i="210"/>
  <c r="Q6409" i="210"/>
  <c r="D6410" i="210"/>
  <c r="E6410" i="210"/>
  <c r="E6412" i="210" s="1"/>
  <c r="E6414" i="210" s="1"/>
  <c r="E6416" i="210" s="1"/>
  <c r="E6418" i="210" s="1"/>
  <c r="E6420" i="210" s="1"/>
  <c r="E6422" i="210" s="1"/>
  <c r="E6424" i="210" s="1"/>
  <c r="E6426" i="210" s="1"/>
  <c r="E6428" i="210" s="1"/>
  <c r="E6430" i="210" s="1"/>
  <c r="E6432" i="210" s="1"/>
  <c r="E6434" i="210" s="1"/>
  <c r="E6436" i="210" s="1"/>
  <c r="E6438" i="210" s="1"/>
  <c r="E6440" i="210" s="1"/>
  <c r="E6442" i="210" s="1"/>
  <c r="K6410" i="210"/>
  <c r="L6410" i="210"/>
  <c r="N6410" i="210"/>
  <c r="P6410" i="210"/>
  <c r="Q6410" i="210"/>
  <c r="D6411" i="210"/>
  <c r="K6411" i="210"/>
  <c r="L6411" i="210"/>
  <c r="N6411" i="210"/>
  <c r="P6411" i="210"/>
  <c r="Q6411" i="210"/>
  <c r="D6412" i="210"/>
  <c r="K6412" i="210"/>
  <c r="L6412" i="210"/>
  <c r="N6412" i="210"/>
  <c r="P6412" i="210"/>
  <c r="Q6412" i="210"/>
  <c r="D6413" i="210"/>
  <c r="K6413" i="210"/>
  <c r="L6413" i="210"/>
  <c r="N6413" i="210"/>
  <c r="P6413" i="210"/>
  <c r="Q6413" i="210"/>
  <c r="D6414" i="210"/>
  <c r="K6414" i="210"/>
  <c r="L6414" i="210"/>
  <c r="N6414" i="210"/>
  <c r="P6414" i="210"/>
  <c r="Q6414" i="210"/>
  <c r="D6415" i="210"/>
  <c r="K6415" i="210"/>
  <c r="L6415" i="210"/>
  <c r="N6415" i="210"/>
  <c r="P6415" i="210"/>
  <c r="Q6415" i="210"/>
  <c r="D6416" i="210"/>
  <c r="K6416" i="210"/>
  <c r="L6416" i="210"/>
  <c r="N6416" i="210"/>
  <c r="P6416" i="210"/>
  <c r="Q6416" i="210"/>
  <c r="D6417" i="210"/>
  <c r="K6417" i="210"/>
  <c r="L6417" i="210"/>
  <c r="N6417" i="210"/>
  <c r="P6417" i="210"/>
  <c r="Q6417" i="210"/>
  <c r="D6418" i="210"/>
  <c r="K6418" i="210"/>
  <c r="L6418" i="210"/>
  <c r="N6418" i="210"/>
  <c r="P6418" i="210"/>
  <c r="Q6418" i="210"/>
  <c r="D6419" i="210"/>
  <c r="K6419" i="210"/>
  <c r="L6419" i="210"/>
  <c r="N6419" i="210"/>
  <c r="P6419" i="210"/>
  <c r="Q6419" i="210"/>
  <c r="D6420" i="210"/>
  <c r="K6420" i="210"/>
  <c r="L6420" i="210"/>
  <c r="N6420" i="210"/>
  <c r="P6420" i="210"/>
  <c r="Q6420" i="210"/>
  <c r="D6421" i="210"/>
  <c r="K6421" i="210"/>
  <c r="L6421" i="210"/>
  <c r="N6421" i="210"/>
  <c r="P6421" i="210"/>
  <c r="Q6421" i="210"/>
  <c r="D6422" i="210"/>
  <c r="K6422" i="210"/>
  <c r="L6422" i="210"/>
  <c r="N6422" i="210"/>
  <c r="P6422" i="210"/>
  <c r="Q6422" i="210"/>
  <c r="D6423" i="210"/>
  <c r="K6423" i="210"/>
  <c r="L6423" i="210"/>
  <c r="N6423" i="210"/>
  <c r="P6423" i="210"/>
  <c r="Q6423" i="210"/>
  <c r="D6424" i="210"/>
  <c r="K6424" i="210"/>
  <c r="L6424" i="210"/>
  <c r="N6424" i="210"/>
  <c r="P6424" i="210"/>
  <c r="Q6424" i="210"/>
  <c r="D6425" i="210"/>
  <c r="K6425" i="210"/>
  <c r="L6425" i="210"/>
  <c r="N6425" i="210"/>
  <c r="P6425" i="210"/>
  <c r="Q6425" i="210"/>
  <c r="D6426" i="210"/>
  <c r="K6426" i="210"/>
  <c r="L6426" i="210"/>
  <c r="N6426" i="210"/>
  <c r="P6426" i="210"/>
  <c r="Q6426" i="210"/>
  <c r="D6427" i="210"/>
  <c r="K6427" i="210"/>
  <c r="L6427" i="210"/>
  <c r="N6427" i="210"/>
  <c r="P6427" i="210"/>
  <c r="Q6427" i="210"/>
  <c r="D6428" i="210"/>
  <c r="K6428" i="210"/>
  <c r="L6428" i="210"/>
  <c r="N6428" i="210"/>
  <c r="P6428" i="210"/>
  <c r="Q6428" i="210"/>
  <c r="D6429" i="210"/>
  <c r="K6429" i="210"/>
  <c r="L6429" i="210"/>
  <c r="N6429" i="210"/>
  <c r="P6429" i="210"/>
  <c r="Q6429" i="210"/>
  <c r="D6430" i="210"/>
  <c r="K6430" i="210"/>
  <c r="L6430" i="210"/>
  <c r="N6430" i="210"/>
  <c r="P6430" i="210"/>
  <c r="Q6430" i="210"/>
  <c r="D6431" i="210"/>
  <c r="K6431" i="210"/>
  <c r="L6431" i="210"/>
  <c r="N6431" i="210"/>
  <c r="P6431" i="210"/>
  <c r="Q6431" i="210"/>
  <c r="D6432" i="210"/>
  <c r="K6432" i="210"/>
  <c r="L6432" i="210"/>
  <c r="N6432" i="210"/>
  <c r="P6432" i="210"/>
  <c r="Q6432" i="210"/>
  <c r="D6433" i="210"/>
  <c r="K6433" i="210"/>
  <c r="L6433" i="210"/>
  <c r="N6433" i="210"/>
  <c r="P6433" i="210"/>
  <c r="Q6433" i="210"/>
  <c r="D6434" i="210"/>
  <c r="K6434" i="210"/>
  <c r="L6434" i="210"/>
  <c r="N6434" i="210"/>
  <c r="P6434" i="210"/>
  <c r="Q6434" i="210"/>
  <c r="D6435" i="210"/>
  <c r="K6435" i="210"/>
  <c r="L6435" i="210"/>
  <c r="N6435" i="210"/>
  <c r="P6435" i="210"/>
  <c r="Q6435" i="210"/>
  <c r="D6436" i="210"/>
  <c r="K6436" i="210"/>
  <c r="L6436" i="210"/>
  <c r="N6436" i="210"/>
  <c r="P6436" i="210"/>
  <c r="Q6436" i="210"/>
  <c r="D6437" i="210"/>
  <c r="K6437" i="210"/>
  <c r="L6437" i="210"/>
  <c r="N6437" i="210"/>
  <c r="P6437" i="210"/>
  <c r="Q6437" i="210"/>
  <c r="D6438" i="210"/>
  <c r="K6438" i="210"/>
  <c r="L6438" i="210"/>
  <c r="N6438" i="210"/>
  <c r="P6438" i="210"/>
  <c r="Q6438" i="210"/>
  <c r="D6439" i="210"/>
  <c r="K6439" i="210"/>
  <c r="L6439" i="210"/>
  <c r="N6439" i="210"/>
  <c r="P6439" i="210"/>
  <c r="Q6439" i="210"/>
  <c r="D6440" i="210"/>
  <c r="K6440" i="210"/>
  <c r="L6440" i="210"/>
  <c r="N6440" i="210"/>
  <c r="P6440" i="210"/>
  <c r="Q6440" i="210"/>
  <c r="D6441" i="210"/>
  <c r="K6441" i="210"/>
  <c r="L6441" i="210"/>
  <c r="N6441" i="210"/>
  <c r="P6441" i="210"/>
  <c r="Q6441" i="210"/>
  <c r="D6442" i="210"/>
  <c r="K6442" i="210"/>
  <c r="L6442" i="210"/>
  <c r="N6442" i="210"/>
  <c r="P6442" i="210"/>
  <c r="Q6442" i="210"/>
  <c r="D6443" i="210"/>
  <c r="K6443" i="210"/>
  <c r="L6443" i="210"/>
  <c r="N6443" i="210"/>
  <c r="P6443" i="210"/>
  <c r="Q6443" i="210"/>
  <c r="C6446" i="210"/>
  <c r="H6446" i="210"/>
  <c r="E6446" i="210" s="1"/>
  <c r="E6447" i="210" s="1"/>
  <c r="E6448" i="210" s="1"/>
  <c r="E6450" i="210" s="1"/>
  <c r="E6452" i="210" s="1"/>
  <c r="E6454" i="210" s="1"/>
  <c r="E6456" i="210" s="1"/>
  <c r="E6458" i="210" s="1"/>
  <c r="E6460" i="210" s="1"/>
  <c r="E6462" i="210" s="1"/>
  <c r="E6464" i="210" s="1"/>
  <c r="E6466" i="210" s="1"/>
  <c r="E6468" i="210" s="1"/>
  <c r="E6470" i="210" s="1"/>
  <c r="E6472" i="210" s="1"/>
  <c r="E6474" i="210" s="1"/>
  <c r="I6446" i="210"/>
  <c r="J6446" i="210"/>
  <c r="C6447" i="210"/>
  <c r="C6448" i="210" s="1"/>
  <c r="I6447" i="210"/>
  <c r="I6448" i="210"/>
  <c r="D6450" i="210"/>
  <c r="K6450" i="210"/>
  <c r="L6450" i="210"/>
  <c r="N6450" i="210"/>
  <c r="P6450" i="210"/>
  <c r="Q6450" i="210"/>
  <c r="D6451" i="210"/>
  <c r="E6451" i="210"/>
  <c r="E6453" i="210" s="1"/>
  <c r="E6455" i="210" s="1"/>
  <c r="E6457" i="210" s="1"/>
  <c r="E6459" i="210" s="1"/>
  <c r="E6461" i="210" s="1"/>
  <c r="E6463" i="210" s="1"/>
  <c r="E6465" i="210" s="1"/>
  <c r="E6467" i="210" s="1"/>
  <c r="E6469" i="210" s="1"/>
  <c r="E6471" i="210" s="1"/>
  <c r="E6473" i="210" s="1"/>
  <c r="K6451" i="210"/>
  <c r="L6451" i="210"/>
  <c r="N6451" i="210"/>
  <c r="P6451" i="210"/>
  <c r="Q6451" i="210"/>
  <c r="D6452" i="210"/>
  <c r="K6452" i="210"/>
  <c r="L6452" i="210"/>
  <c r="N6452" i="210"/>
  <c r="P6452" i="210"/>
  <c r="Q6452" i="210"/>
  <c r="D6453" i="210"/>
  <c r="K6453" i="210"/>
  <c r="L6453" i="210"/>
  <c r="N6453" i="210"/>
  <c r="P6453" i="210"/>
  <c r="Q6453" i="210"/>
  <c r="D6454" i="210"/>
  <c r="K6454" i="210"/>
  <c r="L6454" i="210"/>
  <c r="N6454" i="210"/>
  <c r="P6454" i="210"/>
  <c r="Q6454" i="210"/>
  <c r="D6455" i="210"/>
  <c r="K6455" i="210"/>
  <c r="L6455" i="210"/>
  <c r="N6455" i="210"/>
  <c r="P6455" i="210"/>
  <c r="Q6455" i="210"/>
  <c r="D6456" i="210"/>
  <c r="K6456" i="210"/>
  <c r="L6456" i="210"/>
  <c r="N6456" i="210"/>
  <c r="P6456" i="210"/>
  <c r="Q6456" i="210"/>
  <c r="D6457" i="210"/>
  <c r="K6457" i="210"/>
  <c r="L6457" i="210"/>
  <c r="N6457" i="210"/>
  <c r="P6457" i="210"/>
  <c r="Q6457" i="210"/>
  <c r="D6458" i="210"/>
  <c r="K6458" i="210"/>
  <c r="L6458" i="210"/>
  <c r="N6458" i="210"/>
  <c r="P6458" i="210"/>
  <c r="Q6458" i="210"/>
  <c r="D6459" i="210"/>
  <c r="K6459" i="210"/>
  <c r="L6459" i="210"/>
  <c r="N6459" i="210"/>
  <c r="P6459" i="210"/>
  <c r="Q6459" i="210"/>
  <c r="D6460" i="210"/>
  <c r="K6460" i="210"/>
  <c r="L6460" i="210"/>
  <c r="N6460" i="210"/>
  <c r="P6460" i="210"/>
  <c r="Q6460" i="210"/>
  <c r="D6461" i="210"/>
  <c r="K6461" i="210"/>
  <c r="L6461" i="210"/>
  <c r="N6461" i="210"/>
  <c r="P6461" i="210"/>
  <c r="Q6461" i="210"/>
  <c r="D6462" i="210"/>
  <c r="K6462" i="210"/>
  <c r="L6462" i="210"/>
  <c r="N6462" i="210"/>
  <c r="P6462" i="210"/>
  <c r="Q6462" i="210"/>
  <c r="D6463" i="210"/>
  <c r="K6463" i="210"/>
  <c r="L6463" i="210"/>
  <c r="N6463" i="210"/>
  <c r="P6463" i="210"/>
  <c r="Q6463" i="210"/>
  <c r="D6464" i="210"/>
  <c r="K6464" i="210"/>
  <c r="L6464" i="210"/>
  <c r="N6464" i="210"/>
  <c r="P6464" i="210"/>
  <c r="Q6464" i="210"/>
  <c r="D6465" i="210"/>
  <c r="K6465" i="210"/>
  <c r="L6465" i="210"/>
  <c r="N6465" i="210"/>
  <c r="P6465" i="210"/>
  <c r="Q6465" i="210"/>
  <c r="D6466" i="210"/>
  <c r="K6466" i="210"/>
  <c r="L6466" i="210"/>
  <c r="N6466" i="210"/>
  <c r="P6466" i="210"/>
  <c r="Q6466" i="210"/>
  <c r="D6467" i="210"/>
  <c r="K6467" i="210"/>
  <c r="L6467" i="210"/>
  <c r="N6467" i="210"/>
  <c r="P6467" i="210"/>
  <c r="Q6467" i="210"/>
  <c r="D6468" i="210"/>
  <c r="K6468" i="210"/>
  <c r="L6468" i="210"/>
  <c r="N6468" i="210"/>
  <c r="P6468" i="210"/>
  <c r="Q6468" i="210"/>
  <c r="D6469" i="210"/>
  <c r="K6469" i="210"/>
  <c r="L6469" i="210"/>
  <c r="N6469" i="210"/>
  <c r="P6469" i="210"/>
  <c r="Q6469" i="210"/>
  <c r="D6470" i="210"/>
  <c r="K6470" i="210"/>
  <c r="L6470" i="210"/>
  <c r="N6470" i="210"/>
  <c r="P6470" i="210"/>
  <c r="Q6470" i="210"/>
  <c r="D6471" i="210"/>
  <c r="K6471" i="210"/>
  <c r="L6471" i="210"/>
  <c r="N6471" i="210"/>
  <c r="P6471" i="210"/>
  <c r="Q6471" i="210"/>
  <c r="D6472" i="210"/>
  <c r="K6472" i="210"/>
  <c r="L6472" i="210"/>
  <c r="N6472" i="210"/>
  <c r="P6472" i="210"/>
  <c r="Q6472" i="210"/>
  <c r="D6473" i="210"/>
  <c r="K6473" i="210"/>
  <c r="L6473" i="210"/>
  <c r="N6473" i="210"/>
  <c r="P6473" i="210"/>
  <c r="Q6473" i="210"/>
  <c r="D6474" i="210"/>
  <c r="K6474" i="210"/>
  <c r="L6474" i="210"/>
  <c r="N6474" i="210"/>
  <c r="P6474" i="210"/>
  <c r="Q6474" i="210"/>
  <c r="C6477" i="210"/>
  <c r="C6478" i="210" s="1"/>
  <c r="C6479" i="210" s="1"/>
  <c r="H6477" i="210"/>
  <c r="E6477" i="210" s="1"/>
  <c r="E6478" i="210" s="1"/>
  <c r="E6479" i="210" s="1"/>
  <c r="E6481" i="210" s="1"/>
  <c r="E6483" i="210" s="1"/>
  <c r="E6485" i="210" s="1"/>
  <c r="E6487" i="210" s="1"/>
  <c r="E6489" i="210" s="1"/>
  <c r="E6491" i="210" s="1"/>
  <c r="E6493" i="210" s="1"/>
  <c r="E6495" i="210" s="1"/>
  <c r="E6497" i="210" s="1"/>
  <c r="E6499" i="210" s="1"/>
  <c r="E6501" i="210" s="1"/>
  <c r="E6503" i="210" s="1"/>
  <c r="E6505" i="210" s="1"/>
  <c r="E6507" i="210" s="1"/>
  <c r="E6509" i="210" s="1"/>
  <c r="I6477" i="210"/>
  <c r="J6477" i="210"/>
  <c r="I6478" i="210"/>
  <c r="I6479" i="210"/>
  <c r="D6481" i="210"/>
  <c r="K6481" i="210"/>
  <c r="L6481" i="210"/>
  <c r="N6481" i="210"/>
  <c r="P6481" i="210"/>
  <c r="Q6481" i="210"/>
  <c r="D6482" i="210"/>
  <c r="E6482" i="210"/>
  <c r="E6484" i="210" s="1"/>
  <c r="E6486" i="210" s="1"/>
  <c r="E6488" i="210" s="1"/>
  <c r="E6490" i="210" s="1"/>
  <c r="E6492" i="210" s="1"/>
  <c r="E6494" i="210" s="1"/>
  <c r="E6496" i="210" s="1"/>
  <c r="E6498" i="210" s="1"/>
  <c r="E6500" i="210" s="1"/>
  <c r="E6502" i="210" s="1"/>
  <c r="E6504" i="210" s="1"/>
  <c r="E6506" i="210" s="1"/>
  <c r="E6508" i="210" s="1"/>
  <c r="K6482" i="210"/>
  <c r="L6482" i="210"/>
  <c r="N6482" i="210"/>
  <c r="P6482" i="210"/>
  <c r="Q6482" i="210"/>
  <c r="D6483" i="210"/>
  <c r="K6483" i="210"/>
  <c r="L6483" i="210"/>
  <c r="N6483" i="210"/>
  <c r="P6483" i="210"/>
  <c r="Q6483" i="210"/>
  <c r="D6484" i="210"/>
  <c r="K6484" i="210"/>
  <c r="L6484" i="210"/>
  <c r="N6484" i="210"/>
  <c r="P6484" i="210"/>
  <c r="Q6484" i="210"/>
  <c r="D6485" i="210"/>
  <c r="K6485" i="210"/>
  <c r="L6485" i="210"/>
  <c r="N6485" i="210"/>
  <c r="P6485" i="210"/>
  <c r="Q6485" i="210"/>
  <c r="D6486" i="210"/>
  <c r="K6486" i="210"/>
  <c r="L6486" i="210"/>
  <c r="N6486" i="210"/>
  <c r="P6486" i="210"/>
  <c r="Q6486" i="210"/>
  <c r="D6487" i="210"/>
  <c r="K6487" i="210"/>
  <c r="L6487" i="210"/>
  <c r="N6487" i="210"/>
  <c r="P6487" i="210"/>
  <c r="Q6487" i="210"/>
  <c r="D6488" i="210"/>
  <c r="K6488" i="210"/>
  <c r="L6488" i="210"/>
  <c r="N6488" i="210"/>
  <c r="P6488" i="210"/>
  <c r="Q6488" i="210"/>
  <c r="D6489" i="210"/>
  <c r="K6489" i="210"/>
  <c r="L6489" i="210"/>
  <c r="N6489" i="210"/>
  <c r="P6489" i="210"/>
  <c r="Q6489" i="210"/>
  <c r="D6490" i="210"/>
  <c r="K6490" i="210"/>
  <c r="L6490" i="210"/>
  <c r="N6490" i="210"/>
  <c r="P6490" i="210"/>
  <c r="Q6490" i="210"/>
  <c r="D6491" i="210"/>
  <c r="K6491" i="210"/>
  <c r="L6491" i="210"/>
  <c r="N6491" i="210"/>
  <c r="P6491" i="210"/>
  <c r="Q6491" i="210"/>
  <c r="D6492" i="210"/>
  <c r="K6492" i="210"/>
  <c r="L6492" i="210"/>
  <c r="N6492" i="210"/>
  <c r="P6492" i="210"/>
  <c r="Q6492" i="210"/>
  <c r="D6493" i="210"/>
  <c r="K6493" i="210"/>
  <c r="L6493" i="210"/>
  <c r="N6493" i="210"/>
  <c r="P6493" i="210"/>
  <c r="Q6493" i="210"/>
  <c r="D6494" i="210"/>
  <c r="K6494" i="210"/>
  <c r="L6494" i="210"/>
  <c r="N6494" i="210"/>
  <c r="P6494" i="210"/>
  <c r="Q6494" i="210"/>
  <c r="D6495" i="210"/>
  <c r="K6495" i="210"/>
  <c r="L6495" i="210"/>
  <c r="N6495" i="210"/>
  <c r="P6495" i="210"/>
  <c r="Q6495" i="210"/>
  <c r="D6496" i="210"/>
  <c r="K6496" i="210"/>
  <c r="L6496" i="210"/>
  <c r="N6496" i="210"/>
  <c r="P6496" i="210"/>
  <c r="Q6496" i="210"/>
  <c r="D6497" i="210"/>
  <c r="K6497" i="210"/>
  <c r="L6497" i="210"/>
  <c r="N6497" i="210"/>
  <c r="P6497" i="210"/>
  <c r="Q6497" i="210"/>
  <c r="D6498" i="210"/>
  <c r="K6498" i="210"/>
  <c r="L6498" i="210"/>
  <c r="N6498" i="210"/>
  <c r="P6498" i="210"/>
  <c r="Q6498" i="210"/>
  <c r="D6499" i="210"/>
  <c r="K6499" i="210"/>
  <c r="L6499" i="210"/>
  <c r="N6499" i="210"/>
  <c r="P6499" i="210"/>
  <c r="Q6499" i="210"/>
  <c r="D6500" i="210"/>
  <c r="K6500" i="210"/>
  <c r="L6500" i="210"/>
  <c r="N6500" i="210"/>
  <c r="P6500" i="210"/>
  <c r="Q6500" i="210"/>
  <c r="D6501" i="210"/>
  <c r="K6501" i="210"/>
  <c r="L6501" i="210"/>
  <c r="N6501" i="210"/>
  <c r="P6501" i="210"/>
  <c r="Q6501" i="210"/>
  <c r="D6502" i="210"/>
  <c r="K6502" i="210"/>
  <c r="L6502" i="210"/>
  <c r="N6502" i="210"/>
  <c r="P6502" i="210"/>
  <c r="Q6502" i="210"/>
  <c r="D6503" i="210"/>
  <c r="K6503" i="210"/>
  <c r="L6503" i="210"/>
  <c r="N6503" i="210"/>
  <c r="P6503" i="210"/>
  <c r="Q6503" i="210"/>
  <c r="D6504" i="210"/>
  <c r="K6504" i="210"/>
  <c r="L6504" i="210"/>
  <c r="N6504" i="210"/>
  <c r="P6504" i="210"/>
  <c r="Q6504" i="210"/>
  <c r="D6505" i="210"/>
  <c r="K6505" i="210"/>
  <c r="L6505" i="210"/>
  <c r="N6505" i="210"/>
  <c r="P6505" i="210"/>
  <c r="Q6505" i="210"/>
  <c r="D6506" i="210"/>
  <c r="K6506" i="210"/>
  <c r="L6506" i="210"/>
  <c r="N6506" i="210"/>
  <c r="P6506" i="210"/>
  <c r="Q6506" i="210"/>
  <c r="D6507" i="210"/>
  <c r="K6507" i="210"/>
  <c r="L6507" i="210"/>
  <c r="N6507" i="210"/>
  <c r="P6507" i="210"/>
  <c r="Q6507" i="210"/>
  <c r="D6508" i="210"/>
  <c r="K6508" i="210"/>
  <c r="L6508" i="210"/>
  <c r="N6508" i="210"/>
  <c r="P6508" i="210"/>
  <c r="Q6508" i="210"/>
  <c r="D6509" i="210"/>
  <c r="K6509" i="210"/>
  <c r="L6509" i="210"/>
  <c r="N6509" i="210"/>
  <c r="P6509" i="210"/>
  <c r="Q6509" i="210"/>
  <c r="C6512" i="210"/>
  <c r="E6512" i="210"/>
  <c r="E6513" i="210" s="1"/>
  <c r="E6514" i="210" s="1"/>
  <c r="E6516" i="210" s="1"/>
  <c r="E6518" i="210" s="1"/>
  <c r="E6520" i="210" s="1"/>
  <c r="E6522" i="210" s="1"/>
  <c r="E6524" i="210" s="1"/>
  <c r="E6526" i="210" s="1"/>
  <c r="E6528" i="210" s="1"/>
  <c r="E6530" i="210" s="1"/>
  <c r="E6532" i="210" s="1"/>
  <c r="E6534" i="210" s="1"/>
  <c r="E6536" i="210" s="1"/>
  <c r="E6538" i="210" s="1"/>
  <c r="E6540" i="210" s="1"/>
  <c r="E6542" i="210" s="1"/>
  <c r="E6544" i="210" s="1"/>
  <c r="E6546" i="210" s="1"/>
  <c r="E6548" i="210" s="1"/>
  <c r="E6550" i="210" s="1"/>
  <c r="E6552" i="210" s="1"/>
  <c r="E6554" i="210" s="1"/>
  <c r="E6556" i="210" s="1"/>
  <c r="E6558" i="210" s="1"/>
  <c r="E6560" i="210" s="1"/>
  <c r="H6512" i="210"/>
  <c r="I6512" i="210"/>
  <c r="J6512" i="210"/>
  <c r="C6513" i="210"/>
  <c r="C6514" i="210" s="1"/>
  <c r="I6513" i="210"/>
  <c r="I6514" i="210"/>
  <c r="D6516" i="210"/>
  <c r="K6516" i="210"/>
  <c r="L6516" i="210"/>
  <c r="N6516" i="210"/>
  <c r="P6516" i="210"/>
  <c r="Q6516" i="210"/>
  <c r="D6517" i="210"/>
  <c r="E6517" i="210"/>
  <c r="E6519" i="210" s="1"/>
  <c r="E6521" i="210" s="1"/>
  <c r="E6523" i="210" s="1"/>
  <c r="E6525" i="210" s="1"/>
  <c r="E6527" i="210" s="1"/>
  <c r="E6529" i="210" s="1"/>
  <c r="E6531" i="210" s="1"/>
  <c r="E6533" i="210" s="1"/>
  <c r="E6535" i="210" s="1"/>
  <c r="E6537" i="210" s="1"/>
  <c r="E6539" i="210" s="1"/>
  <c r="E6541" i="210" s="1"/>
  <c r="E6543" i="210" s="1"/>
  <c r="E6545" i="210" s="1"/>
  <c r="E6547" i="210" s="1"/>
  <c r="E6549" i="210" s="1"/>
  <c r="E6551" i="210" s="1"/>
  <c r="E6553" i="210" s="1"/>
  <c r="E6555" i="210" s="1"/>
  <c r="E6557" i="210" s="1"/>
  <c r="E6559" i="210" s="1"/>
  <c r="K6517" i="210"/>
  <c r="L6517" i="210"/>
  <c r="N6517" i="210"/>
  <c r="P6517" i="210"/>
  <c r="Q6517" i="210"/>
  <c r="D6518" i="210"/>
  <c r="K6518" i="210"/>
  <c r="L6518" i="210"/>
  <c r="N6518" i="210"/>
  <c r="P6518" i="210"/>
  <c r="Q6518" i="210"/>
  <c r="D6519" i="210"/>
  <c r="K6519" i="210"/>
  <c r="L6519" i="210"/>
  <c r="N6519" i="210"/>
  <c r="P6519" i="210"/>
  <c r="Q6519" i="210"/>
  <c r="D6520" i="210"/>
  <c r="K6520" i="210"/>
  <c r="L6520" i="210"/>
  <c r="N6520" i="210"/>
  <c r="P6520" i="210"/>
  <c r="Q6520" i="210"/>
  <c r="D6521" i="210"/>
  <c r="K6521" i="210"/>
  <c r="L6521" i="210"/>
  <c r="N6521" i="210"/>
  <c r="P6521" i="210"/>
  <c r="Q6521" i="210"/>
  <c r="D6522" i="210"/>
  <c r="K6522" i="210"/>
  <c r="L6522" i="210"/>
  <c r="N6522" i="210"/>
  <c r="P6522" i="210"/>
  <c r="Q6522" i="210"/>
  <c r="D6523" i="210"/>
  <c r="K6523" i="210"/>
  <c r="L6523" i="210"/>
  <c r="N6523" i="210"/>
  <c r="P6523" i="210"/>
  <c r="Q6523" i="210"/>
  <c r="D6524" i="210"/>
  <c r="K6524" i="210"/>
  <c r="L6524" i="210"/>
  <c r="N6524" i="210"/>
  <c r="P6524" i="210"/>
  <c r="Q6524" i="210"/>
  <c r="D6525" i="210"/>
  <c r="K6525" i="210"/>
  <c r="L6525" i="210"/>
  <c r="N6525" i="210"/>
  <c r="P6525" i="210"/>
  <c r="Q6525" i="210"/>
  <c r="D6526" i="210"/>
  <c r="K6526" i="210"/>
  <c r="L6526" i="210"/>
  <c r="N6526" i="210"/>
  <c r="P6526" i="210"/>
  <c r="Q6526" i="210"/>
  <c r="D6527" i="210"/>
  <c r="K6527" i="210"/>
  <c r="L6527" i="210"/>
  <c r="N6527" i="210"/>
  <c r="P6527" i="210"/>
  <c r="Q6527" i="210"/>
  <c r="D6528" i="210"/>
  <c r="K6528" i="210"/>
  <c r="L6528" i="210"/>
  <c r="N6528" i="210"/>
  <c r="P6528" i="210"/>
  <c r="Q6528" i="210"/>
  <c r="D6529" i="210"/>
  <c r="K6529" i="210"/>
  <c r="L6529" i="210"/>
  <c r="N6529" i="210"/>
  <c r="P6529" i="210"/>
  <c r="Q6529" i="210"/>
  <c r="D6530" i="210"/>
  <c r="K6530" i="210"/>
  <c r="L6530" i="210"/>
  <c r="N6530" i="210"/>
  <c r="P6530" i="210"/>
  <c r="Q6530" i="210"/>
  <c r="D6531" i="210"/>
  <c r="K6531" i="210"/>
  <c r="L6531" i="210"/>
  <c r="N6531" i="210"/>
  <c r="P6531" i="210"/>
  <c r="Q6531" i="210"/>
  <c r="D6532" i="210"/>
  <c r="K6532" i="210"/>
  <c r="L6532" i="210"/>
  <c r="N6532" i="210"/>
  <c r="P6532" i="210"/>
  <c r="Q6532" i="210"/>
  <c r="D6533" i="210"/>
  <c r="K6533" i="210"/>
  <c r="L6533" i="210"/>
  <c r="N6533" i="210"/>
  <c r="P6533" i="210"/>
  <c r="Q6533" i="210"/>
  <c r="D6534" i="210"/>
  <c r="K6534" i="210"/>
  <c r="L6534" i="210"/>
  <c r="N6534" i="210"/>
  <c r="P6534" i="210"/>
  <c r="Q6534" i="210"/>
  <c r="D6535" i="210"/>
  <c r="K6535" i="210"/>
  <c r="L6535" i="210"/>
  <c r="N6535" i="210"/>
  <c r="P6535" i="210"/>
  <c r="Q6535" i="210"/>
  <c r="D6536" i="210"/>
  <c r="K6536" i="210"/>
  <c r="L6536" i="210"/>
  <c r="N6536" i="210"/>
  <c r="P6536" i="210"/>
  <c r="Q6536" i="210"/>
  <c r="D6537" i="210"/>
  <c r="K6537" i="210"/>
  <c r="L6537" i="210"/>
  <c r="N6537" i="210"/>
  <c r="P6537" i="210"/>
  <c r="Q6537" i="210"/>
  <c r="D6538" i="210"/>
  <c r="K6538" i="210"/>
  <c r="L6538" i="210"/>
  <c r="N6538" i="210"/>
  <c r="P6538" i="210"/>
  <c r="Q6538" i="210"/>
  <c r="D6539" i="210"/>
  <c r="K6539" i="210"/>
  <c r="L6539" i="210"/>
  <c r="N6539" i="210"/>
  <c r="P6539" i="210"/>
  <c r="Q6539" i="210"/>
  <c r="D6540" i="210"/>
  <c r="K6540" i="210"/>
  <c r="L6540" i="210"/>
  <c r="N6540" i="210"/>
  <c r="P6540" i="210"/>
  <c r="Q6540" i="210"/>
  <c r="D6541" i="210"/>
  <c r="K6541" i="210"/>
  <c r="L6541" i="210"/>
  <c r="N6541" i="210"/>
  <c r="P6541" i="210"/>
  <c r="Q6541" i="210"/>
  <c r="D6542" i="210"/>
  <c r="K6542" i="210"/>
  <c r="L6542" i="210"/>
  <c r="N6542" i="210"/>
  <c r="P6542" i="210"/>
  <c r="Q6542" i="210"/>
  <c r="D6543" i="210"/>
  <c r="K6543" i="210"/>
  <c r="L6543" i="210"/>
  <c r="N6543" i="210"/>
  <c r="P6543" i="210"/>
  <c r="Q6543" i="210"/>
  <c r="D6544" i="210"/>
  <c r="K6544" i="210"/>
  <c r="L6544" i="210"/>
  <c r="N6544" i="210"/>
  <c r="P6544" i="210"/>
  <c r="Q6544" i="210"/>
  <c r="D6545" i="210"/>
  <c r="K6545" i="210"/>
  <c r="L6545" i="210"/>
  <c r="N6545" i="210"/>
  <c r="P6545" i="210"/>
  <c r="Q6545" i="210"/>
  <c r="D6546" i="210"/>
  <c r="K6546" i="210"/>
  <c r="L6546" i="210"/>
  <c r="N6546" i="210"/>
  <c r="P6546" i="210"/>
  <c r="Q6546" i="210"/>
  <c r="D6547" i="210"/>
  <c r="K6547" i="210"/>
  <c r="L6547" i="210"/>
  <c r="N6547" i="210"/>
  <c r="P6547" i="210"/>
  <c r="Q6547" i="210"/>
  <c r="D6548" i="210"/>
  <c r="K6548" i="210"/>
  <c r="L6548" i="210"/>
  <c r="N6548" i="210"/>
  <c r="P6548" i="210"/>
  <c r="Q6548" i="210"/>
  <c r="D6549" i="210"/>
  <c r="K6549" i="210"/>
  <c r="L6549" i="210"/>
  <c r="N6549" i="210"/>
  <c r="P6549" i="210"/>
  <c r="Q6549" i="210"/>
  <c r="D6550" i="210"/>
  <c r="K6550" i="210"/>
  <c r="L6550" i="210"/>
  <c r="N6550" i="210"/>
  <c r="P6550" i="210"/>
  <c r="Q6550" i="210"/>
  <c r="D6551" i="210"/>
  <c r="K6551" i="210"/>
  <c r="L6551" i="210"/>
  <c r="N6551" i="210"/>
  <c r="P6551" i="210"/>
  <c r="Q6551" i="210"/>
  <c r="D6552" i="210"/>
  <c r="K6552" i="210"/>
  <c r="L6552" i="210"/>
  <c r="N6552" i="210"/>
  <c r="P6552" i="210"/>
  <c r="Q6552" i="210"/>
  <c r="D6553" i="210"/>
  <c r="K6553" i="210"/>
  <c r="L6553" i="210"/>
  <c r="N6553" i="210"/>
  <c r="P6553" i="210"/>
  <c r="Q6553" i="210"/>
  <c r="D6554" i="210"/>
  <c r="K6554" i="210"/>
  <c r="L6554" i="210"/>
  <c r="N6554" i="210"/>
  <c r="P6554" i="210"/>
  <c r="Q6554" i="210"/>
  <c r="D6555" i="210"/>
  <c r="K6555" i="210"/>
  <c r="L6555" i="210"/>
  <c r="N6555" i="210"/>
  <c r="P6555" i="210"/>
  <c r="Q6555" i="210"/>
  <c r="D6556" i="210"/>
  <c r="K6556" i="210"/>
  <c r="L6556" i="210"/>
  <c r="N6556" i="210"/>
  <c r="P6556" i="210"/>
  <c r="Q6556" i="210"/>
  <c r="D6557" i="210"/>
  <c r="K6557" i="210"/>
  <c r="L6557" i="210"/>
  <c r="N6557" i="210"/>
  <c r="P6557" i="210"/>
  <c r="Q6557" i="210"/>
  <c r="D6558" i="210"/>
  <c r="K6558" i="210"/>
  <c r="L6558" i="210"/>
  <c r="N6558" i="210"/>
  <c r="P6558" i="210"/>
  <c r="Q6558" i="210"/>
  <c r="D6559" i="210"/>
  <c r="K6559" i="210"/>
  <c r="L6559" i="210"/>
  <c r="N6559" i="210"/>
  <c r="P6559" i="210"/>
  <c r="Q6559" i="210"/>
  <c r="D6560" i="210"/>
  <c r="K6560" i="210"/>
  <c r="L6560" i="210"/>
  <c r="N6560" i="210"/>
  <c r="P6560" i="210"/>
  <c r="Q6560" i="210"/>
  <c r="L6567" i="210"/>
  <c r="D8" i="2003"/>
  <c r="E11" i="2003"/>
  <c r="G11" i="2003"/>
  <c r="I11" i="2003"/>
  <c r="J11" i="2003"/>
  <c r="E12" i="2003"/>
  <c r="G12" i="2003"/>
  <c r="I12" i="2003"/>
  <c r="J12" i="2003"/>
  <c r="E13" i="2003"/>
  <c r="G13" i="2003"/>
  <c r="I13" i="2003"/>
  <c r="J13" i="2003"/>
  <c r="E14" i="2003"/>
  <c r="G14" i="2003"/>
  <c r="I14" i="2003"/>
  <c r="J14" i="2003"/>
  <c r="E15" i="2003"/>
  <c r="G15" i="2003"/>
  <c r="I15" i="2003"/>
  <c r="J15" i="2003"/>
  <c r="E16" i="2003"/>
  <c r="G16" i="2003"/>
  <c r="I16" i="2003"/>
  <c r="J16" i="2003"/>
  <c r="P5880" i="210" l="1"/>
  <c r="Q2068" i="210"/>
  <c r="Q6403" i="210"/>
  <c r="Q6331" i="210"/>
  <c r="Q6477" i="210"/>
  <c r="P359" i="210"/>
  <c r="L6512" i="210"/>
  <c r="P6195" i="210"/>
  <c r="P6446" i="210"/>
  <c r="Q6156" i="210"/>
  <c r="L6331" i="210"/>
  <c r="L4737" i="210"/>
  <c r="P6477" i="210"/>
  <c r="Q6512" i="210"/>
  <c r="L6477" i="210"/>
  <c r="L6446" i="210"/>
  <c r="L6300" i="210"/>
  <c r="Q6264" i="210"/>
  <c r="Q6446" i="210"/>
  <c r="P6512" i="210"/>
  <c r="Q6038" i="210"/>
  <c r="P1177" i="210"/>
  <c r="Q6300" i="210"/>
  <c r="P6264" i="210"/>
  <c r="P6096" i="210"/>
  <c r="P6008" i="210"/>
  <c r="L5880" i="210"/>
  <c r="P5811" i="210"/>
  <c r="L4522" i="210"/>
  <c r="L4404" i="210"/>
  <c r="P4032" i="210"/>
  <c r="P2408" i="210"/>
  <c r="Q1798" i="210"/>
  <c r="Q1772" i="210"/>
  <c r="P1288" i="210"/>
  <c r="L1217" i="210"/>
  <c r="L326" i="210"/>
  <c r="L6403" i="210"/>
  <c r="L6367" i="210"/>
  <c r="Q6226" i="210"/>
  <c r="P6226" i="210"/>
  <c r="Q6195" i="210"/>
  <c r="P6123" i="210"/>
  <c r="Q6066" i="210"/>
  <c r="Q4889" i="210"/>
  <c r="L4593" i="210"/>
  <c r="L162" i="210"/>
  <c r="F8" i="189"/>
  <c r="L6096" i="210"/>
  <c r="L6038" i="210"/>
  <c r="L6008" i="210"/>
  <c r="L5973" i="210"/>
  <c r="L5942" i="210"/>
  <c r="L5778" i="210"/>
  <c r="P5676" i="210"/>
  <c r="Q4665" i="210"/>
  <c r="P3496" i="210"/>
  <c r="L3002" i="210"/>
  <c r="L2408" i="210"/>
  <c r="L1728" i="210"/>
  <c r="L1603" i="210"/>
  <c r="Q1332" i="210"/>
  <c r="L1288" i="210"/>
  <c r="P695" i="210"/>
  <c r="P312" i="210"/>
  <c r="L234" i="210"/>
  <c r="C7" i="189"/>
  <c r="C13" i="189" s="1"/>
  <c r="P6403" i="210"/>
  <c r="P6367" i="210"/>
  <c r="P6331" i="210"/>
  <c r="L6226" i="210"/>
  <c r="L6123" i="210"/>
  <c r="L6066" i="210"/>
  <c r="L5386" i="210"/>
  <c r="L4889" i="210"/>
  <c r="Q4404" i="210"/>
  <c r="Q2700" i="210"/>
  <c r="Q2085" i="210"/>
  <c r="L1772" i="210"/>
  <c r="L1450" i="210"/>
  <c r="P774" i="210"/>
  <c r="L6195" i="210"/>
  <c r="P6156" i="210"/>
  <c r="Q6123" i="210"/>
  <c r="P5942" i="210"/>
  <c r="P5914" i="210"/>
  <c r="Q3702" i="210"/>
  <c r="Q3643" i="210"/>
  <c r="L3081" i="210"/>
  <c r="P2723" i="210"/>
  <c r="L1627" i="210"/>
  <c r="L1545" i="210"/>
  <c r="L1254" i="210"/>
  <c r="Q841" i="210"/>
  <c r="P563" i="210"/>
  <c r="Q312" i="210"/>
  <c r="L6156" i="210"/>
  <c r="L5914" i="210"/>
  <c r="P5846" i="210"/>
  <c r="P1217" i="210"/>
  <c r="Q1027" i="210"/>
  <c r="L695" i="210"/>
  <c r="P59" i="210"/>
  <c r="N35" i="210"/>
  <c r="Q4428" i="210"/>
  <c r="Q3996" i="210"/>
  <c r="Q136" i="210"/>
  <c r="P51" i="210"/>
  <c r="P41" i="210"/>
  <c r="N37" i="210"/>
  <c r="P33" i="210"/>
  <c r="P5973" i="210"/>
  <c r="Q5914" i="210"/>
  <c r="Q6367" i="210"/>
  <c r="L5071" i="210"/>
  <c r="Q5778" i="210"/>
  <c r="Q5587" i="210"/>
  <c r="L5676" i="210"/>
  <c r="L5483" i="210"/>
  <c r="L5846" i="210"/>
  <c r="L5811" i="210"/>
  <c r="P5751" i="210"/>
  <c r="P5641" i="210"/>
  <c r="Q5641" i="210"/>
  <c r="P5721" i="210"/>
  <c r="Q5721" i="210"/>
  <c r="Q5355" i="210"/>
  <c r="Q5880" i="210"/>
  <c r="Q5811" i="210"/>
  <c r="Q5751" i="210"/>
  <c r="L5751" i="210"/>
  <c r="L5641" i="210"/>
  <c r="L5587" i="210"/>
  <c r="Q5217" i="210"/>
  <c r="Q5846" i="210"/>
  <c r="L5721" i="210"/>
  <c r="Q5676" i="210"/>
  <c r="Q5483" i="210"/>
  <c r="Q5386" i="210"/>
  <c r="L5030" i="210"/>
  <c r="P5587" i="210"/>
  <c r="P5483" i="210"/>
  <c r="L5355" i="210"/>
  <c r="P5355" i="210"/>
  <c r="Q5317" i="210"/>
  <c r="P5317" i="210"/>
  <c r="P5217" i="210"/>
  <c r="P5778" i="210"/>
  <c r="P5386" i="210"/>
  <c r="Q5071" i="210"/>
  <c r="P5071" i="210"/>
  <c r="Q5030" i="210"/>
  <c r="Q4938" i="210"/>
  <c r="P4665" i="210"/>
  <c r="L5317" i="210"/>
  <c r="L5217" i="210"/>
  <c r="P4810" i="210"/>
  <c r="Q4710" i="210"/>
  <c r="L4546" i="210"/>
  <c r="Q4473" i="210"/>
  <c r="P5030" i="210"/>
  <c r="L4665" i="210"/>
  <c r="P4938" i="210"/>
  <c r="L4810" i="210"/>
  <c r="Q4546" i="210"/>
  <c r="Q4212" i="210"/>
  <c r="P4212" i="210"/>
  <c r="L4938" i="210"/>
  <c r="Q4810" i="210"/>
  <c r="L4710" i="210"/>
  <c r="Q4332" i="210"/>
  <c r="P4889" i="210"/>
  <c r="Q4737" i="210"/>
  <c r="P4737" i="210"/>
  <c r="Q4593" i="210"/>
  <c r="P4593" i="210"/>
  <c r="P4546" i="210"/>
  <c r="L4428" i="210"/>
  <c r="P4473" i="210"/>
  <c r="Q4266" i="210"/>
  <c r="P4266" i="210"/>
  <c r="Q4353" i="210"/>
  <c r="P4332" i="210"/>
  <c r="L4212" i="210"/>
  <c r="L4057" i="210"/>
  <c r="L4032" i="210"/>
  <c r="L4473" i="210"/>
  <c r="L4266" i="210"/>
  <c r="Q4168" i="210"/>
  <c r="Q4384" i="210"/>
  <c r="P4353" i="210"/>
  <c r="L4332" i="210"/>
  <c r="P4168" i="210"/>
  <c r="Q4145" i="210"/>
  <c r="Q4522" i="210"/>
  <c r="P4384" i="210"/>
  <c r="L4353" i="210"/>
  <c r="P4522" i="210"/>
  <c r="P4404" i="210"/>
  <c r="L4168" i="210"/>
  <c r="P4108" i="210"/>
  <c r="Q4108" i="210"/>
  <c r="P4428" i="210"/>
  <c r="L4384" i="210"/>
  <c r="L4145" i="210"/>
  <c r="Q4057" i="210"/>
  <c r="Q4032" i="210"/>
  <c r="Q3922" i="210"/>
  <c r="P3922" i="210"/>
  <c r="P4145" i="210"/>
  <c r="P4057" i="210"/>
  <c r="P3996" i="210"/>
  <c r="L3922" i="210"/>
  <c r="L3996" i="210"/>
  <c r="P3902" i="210"/>
  <c r="Q3902" i="210"/>
  <c r="P3019" i="210"/>
  <c r="L3902" i="210"/>
  <c r="Q3805" i="210"/>
  <c r="P3643" i="210"/>
  <c r="L3595" i="210"/>
  <c r="Q3539" i="210"/>
  <c r="Q3837" i="210"/>
  <c r="P3805" i="210"/>
  <c r="Q3753" i="210"/>
  <c r="P3702" i="210"/>
  <c r="P3539" i="210"/>
  <c r="Q3452" i="210"/>
  <c r="P3837" i="210"/>
  <c r="L3643" i="210"/>
  <c r="L3496" i="210"/>
  <c r="L3805" i="210"/>
  <c r="P3753" i="210"/>
  <c r="L3702" i="210"/>
  <c r="L3539" i="210"/>
  <c r="L3837" i="210"/>
  <c r="P3452" i="210"/>
  <c r="L3753" i="210"/>
  <c r="Q3595" i="210"/>
  <c r="P3595" i="210"/>
  <c r="L3452" i="210"/>
  <c r="P3246" i="210"/>
  <c r="L3126" i="210"/>
  <c r="L3246" i="210"/>
  <c r="Q3188" i="210"/>
  <c r="Q3496" i="210"/>
  <c r="P3188" i="210"/>
  <c r="Q3126" i="210"/>
  <c r="L3019" i="210"/>
  <c r="Q3081" i="210"/>
  <c r="Q3246" i="210"/>
  <c r="L3188" i="210"/>
  <c r="L2650" i="210"/>
  <c r="P3126" i="210"/>
  <c r="P3081" i="210"/>
  <c r="Q3019" i="210"/>
  <c r="P2930" i="210"/>
  <c r="Q2979" i="210"/>
  <c r="P2979" i="210"/>
  <c r="L2930" i="210"/>
  <c r="P3002" i="210"/>
  <c r="Q2723" i="210"/>
  <c r="L2723" i="210"/>
  <c r="L2496" i="210"/>
  <c r="L2979" i="210"/>
  <c r="Q2856" i="210"/>
  <c r="P2700" i="210"/>
  <c r="Q2650" i="210"/>
  <c r="Q3002" i="210"/>
  <c r="Q2930" i="210"/>
  <c r="P2856" i="210"/>
  <c r="L2700" i="210"/>
  <c r="L2856" i="210"/>
  <c r="P2650" i="210"/>
  <c r="P2496" i="210"/>
  <c r="P2431" i="210"/>
  <c r="Q2431" i="210"/>
  <c r="P2345" i="210"/>
  <c r="L2345" i="210"/>
  <c r="L2431" i="210"/>
  <c r="Q2408" i="210"/>
  <c r="Q2496" i="210"/>
  <c r="L2243" i="210"/>
  <c r="P2160" i="210"/>
  <c r="Q2217" i="210"/>
  <c r="Q2160" i="210"/>
  <c r="Q2122" i="210"/>
  <c r="Q2345" i="210"/>
  <c r="L2217" i="210"/>
  <c r="P2122" i="210"/>
  <c r="P2085" i="210"/>
  <c r="P2217" i="210"/>
  <c r="L2122" i="210"/>
  <c r="L2085" i="210"/>
  <c r="Q2243" i="210"/>
  <c r="L2160" i="210"/>
  <c r="P2243" i="210"/>
  <c r="P1898" i="210"/>
  <c r="Q1819" i="210"/>
  <c r="P2068" i="210"/>
  <c r="L1898" i="210"/>
  <c r="L2068" i="210"/>
  <c r="P1919" i="210"/>
  <c r="L1919" i="210"/>
  <c r="P1819" i="210"/>
  <c r="P1798" i="210"/>
  <c r="P1475" i="210"/>
  <c r="Q1919" i="210"/>
  <c r="Q1728" i="210"/>
  <c r="L1819" i="210"/>
  <c r="L1798" i="210"/>
  <c r="P1728" i="210"/>
  <c r="P1772" i="210"/>
  <c r="P1647" i="210"/>
  <c r="Q1627" i="210"/>
  <c r="Q1603" i="210"/>
  <c r="Q1475" i="210"/>
  <c r="L1647" i="210"/>
  <c r="Q1421" i="210"/>
  <c r="P1627" i="210"/>
  <c r="P1603" i="210"/>
  <c r="L1475" i="210"/>
  <c r="Q1450" i="210"/>
  <c r="P1450" i="210"/>
  <c r="L1421" i="210"/>
  <c r="Q1545" i="210"/>
  <c r="P1545" i="210"/>
  <c r="P1421" i="210"/>
  <c r="Q1647" i="210"/>
  <c r="P1369" i="210"/>
  <c r="L1369" i="210"/>
  <c r="Q1369" i="210"/>
  <c r="P1109" i="210"/>
  <c r="L1177" i="210"/>
  <c r="Q1109" i="210"/>
  <c r="L1109" i="210"/>
  <c r="Q1050" i="210"/>
  <c r="P1050" i="210"/>
  <c r="P1332" i="210"/>
  <c r="Q1217" i="210"/>
  <c r="Q1254" i="210"/>
  <c r="Q1177" i="210"/>
  <c r="L1050" i="210"/>
  <c r="L1027" i="210"/>
  <c r="P892" i="210"/>
  <c r="L892" i="210"/>
  <c r="Q920" i="210"/>
  <c r="Q892" i="210"/>
  <c r="P920" i="210"/>
  <c r="L920" i="210"/>
  <c r="Q774" i="210"/>
  <c r="Q743" i="210"/>
  <c r="P743" i="210"/>
  <c r="L743" i="210"/>
  <c r="L774" i="210"/>
  <c r="Q623" i="210"/>
  <c r="L514" i="210"/>
  <c r="P623" i="210"/>
  <c r="L623" i="210"/>
  <c r="Q563" i="210"/>
  <c r="Q695" i="210"/>
  <c r="L563" i="210"/>
  <c r="Q514" i="210"/>
  <c r="P514" i="210"/>
  <c r="L445" i="210"/>
  <c r="Q375" i="210"/>
  <c r="Q359" i="210"/>
  <c r="Q445" i="210"/>
  <c r="P445" i="210"/>
  <c r="L375" i="210"/>
  <c r="P375" i="210"/>
  <c r="L359" i="210"/>
  <c r="Q326" i="210"/>
  <c r="L263" i="210"/>
  <c r="P326" i="210"/>
  <c r="L312" i="210"/>
  <c r="P263" i="210"/>
  <c r="Q234" i="210"/>
  <c r="Q263" i="210"/>
  <c r="P187" i="210"/>
  <c r="P234" i="210"/>
  <c r="Q187" i="210"/>
  <c r="P136" i="210"/>
  <c r="L136" i="210"/>
  <c r="L187" i="210"/>
  <c r="P162" i="210"/>
  <c r="Q162" i="210"/>
  <c r="Q30" i="210"/>
  <c r="Q38" i="210"/>
  <c r="Q46" i="210"/>
  <c r="Q33" i="210"/>
  <c r="Q41" i="210"/>
  <c r="Q49" i="210"/>
  <c r="Q57" i="210"/>
  <c r="Q65" i="210"/>
  <c r="Q73" i="210"/>
  <c r="Q81" i="210"/>
  <c r="R18" i="210"/>
  <c r="Q28" i="210"/>
  <c r="Q36" i="210"/>
  <c r="Q44" i="210"/>
  <c r="Q52" i="210"/>
  <c r="Q60" i="210"/>
  <c r="Q68" i="210"/>
  <c r="Q84" i="210"/>
  <c r="Q31" i="210"/>
  <c r="Q39" i="210"/>
  <c r="Q47" i="210"/>
  <c r="Q55" i="210"/>
  <c r="Q63" i="210"/>
  <c r="Q71" i="210"/>
  <c r="Q87" i="210"/>
  <c r="Q34" i="210"/>
  <c r="Q42" i="210"/>
  <c r="Q50" i="210"/>
  <c r="Q58" i="210"/>
  <c r="Q66" i="210"/>
  <c r="Q82" i="210"/>
  <c r="Q90" i="210"/>
  <c r="Q29" i="210"/>
  <c r="Q37" i="210"/>
  <c r="Q45" i="210"/>
  <c r="Q53" i="210"/>
  <c r="Q61" i="210"/>
  <c r="Q69" i="210"/>
  <c r="Q85" i="210"/>
  <c r="Q93" i="210"/>
  <c r="Q101" i="210"/>
  <c r="Q109" i="210"/>
  <c r="Q117" i="210"/>
  <c r="Q32" i="210"/>
  <c r="Q40" i="210"/>
  <c r="Q48" i="210"/>
  <c r="Q56" i="210"/>
  <c r="Q64" i="210"/>
  <c r="Q35" i="210"/>
  <c r="Q43" i="210"/>
  <c r="Q51" i="210"/>
  <c r="Q59" i="210"/>
  <c r="Q67" i="210"/>
  <c r="Q83" i="210"/>
  <c r="Q91" i="210"/>
  <c r="Q99" i="210"/>
  <c r="Q107" i="210"/>
  <c r="Q115" i="210"/>
  <c r="C14" i="189"/>
  <c r="C15" i="189" s="1"/>
  <c r="L76" i="210"/>
  <c r="L24" i="210"/>
  <c r="P94" i="210"/>
  <c r="P86" i="210"/>
  <c r="P70" i="210"/>
  <c r="P62" i="210"/>
  <c r="N60" i="210"/>
  <c r="P54" i="210"/>
  <c r="N52" i="210"/>
  <c r="P46" i="210"/>
  <c r="N44" i="210"/>
  <c r="P38" i="210"/>
  <c r="N36" i="210"/>
  <c r="P30" i="210"/>
  <c r="N28" i="210"/>
  <c r="C8" i="189"/>
  <c r="C9" i="189" s="1"/>
  <c r="P43" i="210"/>
  <c r="P35" i="210"/>
  <c r="P96" i="210"/>
  <c r="P88" i="210"/>
  <c r="P80" i="210"/>
  <c r="P72" i="210"/>
  <c r="P64" i="210"/>
  <c r="P56" i="210"/>
  <c r="N54" i="210"/>
  <c r="P48" i="210"/>
  <c r="N46" i="210"/>
  <c r="P40" i="210"/>
  <c r="N38" i="210"/>
  <c r="P32" i="210"/>
  <c r="Q22" i="210"/>
  <c r="H12" i="189" s="1"/>
  <c r="P61" i="210"/>
  <c r="P53" i="210"/>
  <c r="P45" i="210"/>
  <c r="P37" i="210"/>
  <c r="P29" i="210"/>
  <c r="P58" i="210"/>
  <c r="P50" i="210"/>
  <c r="P42" i="210"/>
  <c r="P34" i="210"/>
  <c r="P63" i="210"/>
  <c r="P55" i="210"/>
  <c r="P47" i="210"/>
  <c r="P39" i="210"/>
  <c r="P31" i="210"/>
  <c r="P52" i="210"/>
  <c r="P44" i="210"/>
  <c r="P36" i="210"/>
  <c r="L11" i="2003"/>
  <c r="P11" i="2003" s="1"/>
  <c r="M11" i="2003"/>
  <c r="N11" i="2003"/>
  <c r="O11" i="2003"/>
  <c r="Q11" i="2003"/>
  <c r="R11" i="2003"/>
  <c r="L12" i="2003"/>
  <c r="P12" i="2003" s="1"/>
  <c r="M12" i="2003"/>
  <c r="N12" i="2003"/>
  <c r="O12" i="2003"/>
  <c r="Q12" i="2003"/>
  <c r="R12" i="2003"/>
  <c r="L13" i="2003"/>
  <c r="M13" i="2003"/>
  <c r="N13" i="2003"/>
  <c r="O13" i="2003"/>
  <c r="Q13" i="2003"/>
  <c r="R13" i="2003"/>
  <c r="L14" i="2003"/>
  <c r="M14" i="2003"/>
  <c r="N14" i="2003"/>
  <c r="O14" i="2003"/>
  <c r="Q14" i="2003"/>
  <c r="R14" i="2003"/>
  <c r="L15" i="2003"/>
  <c r="P15" i="2003" s="1"/>
  <c r="M15" i="2003"/>
  <c r="N15" i="2003"/>
  <c r="O15" i="2003"/>
  <c r="Q15" i="2003"/>
  <c r="R15" i="2003"/>
  <c r="L16" i="2003"/>
  <c r="P16" i="2003" s="1"/>
  <c r="M16" i="2003"/>
  <c r="N16" i="2003"/>
  <c r="O16" i="2003"/>
  <c r="Q16" i="2003"/>
  <c r="R16" i="2003"/>
  <c r="P13" i="2003" l="1"/>
  <c r="P14" i="2003"/>
  <c r="Q76" i="210"/>
  <c r="P24" i="210"/>
  <c r="P6564" i="210" s="1"/>
  <c r="Q24" i="210"/>
  <c r="Q6564" i="210" s="1"/>
  <c r="R16" i="210"/>
  <c r="R22" i="210" s="1"/>
  <c r="H13" i="189" s="1"/>
  <c r="P76" i="210"/>
  <c r="T10" i="2003"/>
  <c r="I11" i="189" l="1"/>
  <c r="R35" i="210"/>
  <c r="R43" i="210"/>
  <c r="R30" i="210"/>
  <c r="R38" i="210"/>
  <c r="R46" i="210"/>
  <c r="R54" i="210"/>
  <c r="R62" i="210"/>
  <c r="R70" i="210"/>
  <c r="R33" i="210"/>
  <c r="R41" i="210"/>
  <c r="R49" i="210"/>
  <c r="R57" i="210"/>
  <c r="R65" i="210"/>
  <c r="R73" i="210"/>
  <c r="R81" i="210"/>
  <c r="R89" i="210"/>
  <c r="S18" i="210"/>
  <c r="R28" i="210"/>
  <c r="R36" i="210"/>
  <c r="R44" i="210"/>
  <c r="R52" i="210"/>
  <c r="R60" i="210"/>
  <c r="R68" i="210"/>
  <c r="R84" i="210"/>
  <c r="R31" i="210"/>
  <c r="R39" i="210"/>
  <c r="R47" i="210"/>
  <c r="R55" i="210"/>
  <c r="R63" i="210"/>
  <c r="R71" i="210"/>
  <c r="R87" i="210"/>
  <c r="R34" i="210"/>
  <c r="R42" i="210"/>
  <c r="R50" i="210"/>
  <c r="R58" i="210"/>
  <c r="R66" i="210"/>
  <c r="R82" i="210"/>
  <c r="R90" i="210"/>
  <c r="R98" i="210"/>
  <c r="R106" i="210"/>
  <c r="R114" i="210"/>
  <c r="R29" i="210"/>
  <c r="R37" i="210"/>
  <c r="R45" i="210"/>
  <c r="R53" i="210"/>
  <c r="R61" i="210"/>
  <c r="R69" i="210"/>
  <c r="R32" i="210"/>
  <c r="R40" i="210"/>
  <c r="R48" i="210"/>
  <c r="R56" i="210"/>
  <c r="R64" i="210"/>
  <c r="R72" i="210"/>
  <c r="R80" i="210"/>
  <c r="R88" i="210"/>
  <c r="R96" i="210"/>
  <c r="R104" i="210"/>
  <c r="R112" i="210"/>
  <c r="R95" i="210"/>
  <c r="R107" i="210"/>
  <c r="R121" i="210"/>
  <c r="R129" i="210"/>
  <c r="R145" i="210"/>
  <c r="R153" i="210"/>
  <c r="R169" i="210"/>
  <c r="R177" i="210"/>
  <c r="R193" i="210"/>
  <c r="R201" i="210"/>
  <c r="R209" i="210"/>
  <c r="R217" i="210"/>
  <c r="R59" i="210"/>
  <c r="R102" i="210"/>
  <c r="R118" i="210"/>
  <c r="R124" i="210"/>
  <c r="R132" i="210"/>
  <c r="R140" i="210"/>
  <c r="R148" i="210"/>
  <c r="R156" i="210"/>
  <c r="R172" i="210"/>
  <c r="R180" i="210"/>
  <c r="R196" i="210"/>
  <c r="R204" i="210"/>
  <c r="R212" i="210"/>
  <c r="R220" i="210"/>
  <c r="R67" i="210"/>
  <c r="R83" i="210"/>
  <c r="R91" i="210"/>
  <c r="R97" i="210"/>
  <c r="R113" i="210"/>
  <c r="R127" i="210"/>
  <c r="R143" i="210"/>
  <c r="R151" i="210"/>
  <c r="R159" i="210"/>
  <c r="R167" i="210"/>
  <c r="R175" i="210"/>
  <c r="R183" i="210"/>
  <c r="R191" i="210"/>
  <c r="R199" i="210"/>
  <c r="R207" i="210"/>
  <c r="R215" i="210"/>
  <c r="R223" i="210"/>
  <c r="R51" i="210"/>
  <c r="R103" i="210"/>
  <c r="R108" i="210"/>
  <c r="R109" i="210"/>
  <c r="R119" i="210"/>
  <c r="R122" i="210"/>
  <c r="R130" i="210"/>
  <c r="R146" i="210"/>
  <c r="R154" i="210"/>
  <c r="R170" i="210"/>
  <c r="R178" i="210"/>
  <c r="R194" i="210"/>
  <c r="R202" i="210"/>
  <c r="R210" i="210"/>
  <c r="R218" i="210"/>
  <c r="R99" i="210"/>
  <c r="R115" i="210"/>
  <c r="R125" i="210"/>
  <c r="R133" i="210"/>
  <c r="R141" i="210"/>
  <c r="R149" i="210"/>
  <c r="R157" i="210"/>
  <c r="R173" i="210"/>
  <c r="R181" i="210"/>
  <c r="R197" i="210"/>
  <c r="R205" i="210"/>
  <c r="R213" i="210"/>
  <c r="R92" i="210"/>
  <c r="R93" i="210"/>
  <c r="R110" i="210"/>
  <c r="R120" i="210"/>
  <c r="R128" i="210"/>
  <c r="R144" i="210"/>
  <c r="R152" i="210"/>
  <c r="R168" i="210"/>
  <c r="R176" i="210"/>
  <c r="R184" i="210"/>
  <c r="R192" i="210"/>
  <c r="R200" i="210"/>
  <c r="R94" i="210"/>
  <c r="R105" i="210"/>
  <c r="R123" i="210"/>
  <c r="R131" i="210"/>
  <c r="R147" i="210"/>
  <c r="R155" i="210"/>
  <c r="R171" i="210"/>
  <c r="R179" i="210"/>
  <c r="R195" i="210"/>
  <c r="R203" i="210"/>
  <c r="R211" i="210"/>
  <c r="R219" i="210"/>
  <c r="R116" i="210"/>
  <c r="R126" i="210"/>
  <c r="R216" i="210"/>
  <c r="R222" i="210"/>
  <c r="R230" i="210"/>
  <c r="R238" i="210"/>
  <c r="R246" i="210"/>
  <c r="R254" i="210"/>
  <c r="R270" i="210"/>
  <c r="R278" i="210"/>
  <c r="R286" i="210"/>
  <c r="R294" i="210"/>
  <c r="R302" i="210"/>
  <c r="R111" i="210"/>
  <c r="R150" i="210"/>
  <c r="R174" i="210"/>
  <c r="R214" i="210"/>
  <c r="R241" i="210"/>
  <c r="R249" i="210"/>
  <c r="R257" i="210"/>
  <c r="R273" i="210"/>
  <c r="R281" i="210"/>
  <c r="R289" i="210"/>
  <c r="R297" i="210"/>
  <c r="R305" i="210"/>
  <c r="R321" i="210"/>
  <c r="R337" i="210"/>
  <c r="R225" i="210"/>
  <c r="R228" i="210"/>
  <c r="R244" i="210"/>
  <c r="R252" i="210"/>
  <c r="R260" i="210"/>
  <c r="R268" i="210"/>
  <c r="R276" i="210"/>
  <c r="R284" i="210"/>
  <c r="R292" i="210"/>
  <c r="R300" i="210"/>
  <c r="R308" i="210"/>
  <c r="R316" i="210"/>
  <c r="R332" i="210"/>
  <c r="R166" i="210"/>
  <c r="R231" i="210"/>
  <c r="R239" i="210"/>
  <c r="R247" i="210"/>
  <c r="R255" i="210"/>
  <c r="R271" i="210"/>
  <c r="R279" i="210"/>
  <c r="R287" i="210"/>
  <c r="R295" i="210"/>
  <c r="R303" i="210"/>
  <c r="R319" i="210"/>
  <c r="R335" i="210"/>
  <c r="R86" i="210"/>
  <c r="R101" i="210"/>
  <c r="R142" i="210"/>
  <c r="R226" i="210"/>
  <c r="R242" i="210"/>
  <c r="R250" i="210"/>
  <c r="R258" i="210"/>
  <c r="R274" i="210"/>
  <c r="R282" i="210"/>
  <c r="R290" i="210"/>
  <c r="R298" i="210"/>
  <c r="R306" i="210"/>
  <c r="R208" i="210"/>
  <c r="R229" i="210"/>
  <c r="R245" i="210"/>
  <c r="R253" i="210"/>
  <c r="R269" i="210"/>
  <c r="R277" i="210"/>
  <c r="R285" i="210"/>
  <c r="R293" i="210"/>
  <c r="R301" i="210"/>
  <c r="R309" i="210"/>
  <c r="R317" i="210"/>
  <c r="R85" i="210"/>
  <c r="R100" i="210"/>
  <c r="R117" i="210"/>
  <c r="R158" i="210"/>
  <c r="R182" i="210"/>
  <c r="R198" i="210"/>
  <c r="R240" i="210"/>
  <c r="R248" i="210"/>
  <c r="R256" i="210"/>
  <c r="R272" i="210"/>
  <c r="R280" i="210"/>
  <c r="R288" i="210"/>
  <c r="R296" i="210"/>
  <c r="R304" i="210"/>
  <c r="R320" i="210"/>
  <c r="R336" i="210"/>
  <c r="R330" i="210"/>
  <c r="R341" i="210"/>
  <c r="R349" i="210"/>
  <c r="R365" i="210"/>
  <c r="R381" i="210"/>
  <c r="R389" i="210"/>
  <c r="R251" i="210"/>
  <c r="R299" i="210"/>
  <c r="R318" i="210"/>
  <c r="R322" i="210"/>
  <c r="R344" i="210"/>
  <c r="R352" i="210"/>
  <c r="R368" i="210"/>
  <c r="R384" i="210"/>
  <c r="R392" i="210"/>
  <c r="R400" i="210"/>
  <c r="R408" i="210"/>
  <c r="R416" i="210"/>
  <c r="R424" i="210"/>
  <c r="R432" i="210"/>
  <c r="R440" i="210"/>
  <c r="R221" i="210"/>
  <c r="R227" i="210"/>
  <c r="R275" i="210"/>
  <c r="R331" i="210"/>
  <c r="R333" i="210"/>
  <c r="R339" i="210"/>
  <c r="R347" i="210"/>
  <c r="R355" i="210"/>
  <c r="R363" i="210"/>
  <c r="R371" i="210"/>
  <c r="R379" i="210"/>
  <c r="R387" i="210"/>
  <c r="R395" i="210"/>
  <c r="R403" i="210"/>
  <c r="R411" i="210"/>
  <c r="R419" i="210"/>
  <c r="R427" i="210"/>
  <c r="R435" i="210"/>
  <c r="R267" i="210"/>
  <c r="R323" i="210"/>
  <c r="R334" i="210"/>
  <c r="R342" i="210"/>
  <c r="R350" i="210"/>
  <c r="R366" i="210"/>
  <c r="R382" i="210"/>
  <c r="R390" i="210"/>
  <c r="R398" i="210"/>
  <c r="R406" i="210"/>
  <c r="R414" i="210"/>
  <c r="R422" i="210"/>
  <c r="R430" i="210"/>
  <c r="R438" i="210"/>
  <c r="R243" i="210"/>
  <c r="R291" i="210"/>
  <c r="R345" i="210"/>
  <c r="R353" i="210"/>
  <c r="R369" i="210"/>
  <c r="R385" i="210"/>
  <c r="R393" i="210"/>
  <c r="R401" i="210"/>
  <c r="R224" i="210"/>
  <c r="R340" i="210"/>
  <c r="R348" i="210"/>
  <c r="R356" i="210"/>
  <c r="R364" i="210"/>
  <c r="R372" i="210"/>
  <c r="R380" i="210"/>
  <c r="R388" i="210"/>
  <c r="R396" i="210"/>
  <c r="R404" i="210"/>
  <c r="R206" i="210"/>
  <c r="R259" i="210"/>
  <c r="R307" i="210"/>
  <c r="R343" i="210"/>
  <c r="R351" i="210"/>
  <c r="R367" i="210"/>
  <c r="R383" i="210"/>
  <c r="R391" i="210"/>
  <c r="R399" i="210"/>
  <c r="R407" i="210"/>
  <c r="R415" i="210"/>
  <c r="R423" i="210"/>
  <c r="R431" i="210"/>
  <c r="R439" i="210"/>
  <c r="R338" i="210"/>
  <c r="R410" i="210"/>
  <c r="R412" i="210"/>
  <c r="R426" i="210"/>
  <c r="R428" i="210"/>
  <c r="R442" i="210"/>
  <c r="R450" i="210"/>
  <c r="R458" i="210"/>
  <c r="R466" i="210"/>
  <c r="R474" i="210"/>
  <c r="R482" i="210"/>
  <c r="R490" i="210"/>
  <c r="R498" i="210"/>
  <c r="R506" i="210"/>
  <c r="R522" i="210"/>
  <c r="R413" i="210"/>
  <c r="R429" i="210"/>
  <c r="R453" i="210"/>
  <c r="R461" i="210"/>
  <c r="R469" i="210"/>
  <c r="R477" i="210"/>
  <c r="R485" i="210"/>
  <c r="R493" i="210"/>
  <c r="R501" i="210"/>
  <c r="R509" i="210"/>
  <c r="R525" i="210"/>
  <c r="R533" i="210"/>
  <c r="R541" i="210"/>
  <c r="R549" i="210"/>
  <c r="R354" i="210"/>
  <c r="R417" i="210"/>
  <c r="R433" i="210"/>
  <c r="R456" i="210"/>
  <c r="R464" i="210"/>
  <c r="R472" i="210"/>
  <c r="R480" i="210"/>
  <c r="R488" i="210"/>
  <c r="R496" i="210"/>
  <c r="R504" i="210"/>
  <c r="R520" i="210"/>
  <c r="R528" i="210"/>
  <c r="R536" i="210"/>
  <c r="R544" i="210"/>
  <c r="R552" i="210"/>
  <c r="R397" i="210"/>
  <c r="R451" i="210"/>
  <c r="R459" i="210"/>
  <c r="R467" i="210"/>
  <c r="R475" i="210"/>
  <c r="R483" i="210"/>
  <c r="R491" i="210"/>
  <c r="R499" i="210"/>
  <c r="R507" i="210"/>
  <c r="R523" i="210"/>
  <c r="R531" i="210"/>
  <c r="R539" i="210"/>
  <c r="R547" i="210"/>
  <c r="R283" i="210"/>
  <c r="R418" i="210"/>
  <c r="R420" i="210"/>
  <c r="R434" i="210"/>
  <c r="R436" i="210"/>
  <c r="R454" i="210"/>
  <c r="R462" i="210"/>
  <c r="R470" i="210"/>
  <c r="R478" i="210"/>
  <c r="R486" i="210"/>
  <c r="R494" i="210"/>
  <c r="R502" i="210"/>
  <c r="R510" i="210"/>
  <c r="R518" i="210"/>
  <c r="R526" i="210"/>
  <c r="R346" i="210"/>
  <c r="R394" i="210"/>
  <c r="R421" i="210"/>
  <c r="R437" i="210"/>
  <c r="R449" i="210"/>
  <c r="R457" i="210"/>
  <c r="R465" i="210"/>
  <c r="R473" i="210"/>
  <c r="R481" i="210"/>
  <c r="R489" i="210"/>
  <c r="R497" i="210"/>
  <c r="R505" i="210"/>
  <c r="R521" i="210"/>
  <c r="R405" i="210"/>
  <c r="R409" i="210"/>
  <c r="R425" i="210"/>
  <c r="R441" i="210"/>
  <c r="R452" i="210"/>
  <c r="R460" i="210"/>
  <c r="R468" i="210"/>
  <c r="R476" i="210"/>
  <c r="R484" i="210"/>
  <c r="R492" i="210"/>
  <c r="R500" i="210"/>
  <c r="R508" i="210"/>
  <c r="R524" i="210"/>
  <c r="R532" i="210"/>
  <c r="R540" i="210"/>
  <c r="R548" i="210"/>
  <c r="R471" i="210"/>
  <c r="R527" i="210"/>
  <c r="R529" i="210"/>
  <c r="R543" i="210"/>
  <c r="R545" i="210"/>
  <c r="R554" i="210"/>
  <c r="R570" i="210"/>
  <c r="R578" i="210"/>
  <c r="R586" i="210"/>
  <c r="R594" i="210"/>
  <c r="R602" i="210"/>
  <c r="R610" i="210"/>
  <c r="R618" i="210"/>
  <c r="R634" i="210"/>
  <c r="R642" i="210"/>
  <c r="R650" i="210"/>
  <c r="R511" i="210"/>
  <c r="R530" i="210"/>
  <c r="R546" i="210"/>
  <c r="R557" i="210"/>
  <c r="R573" i="210"/>
  <c r="R581" i="210"/>
  <c r="R589" i="210"/>
  <c r="R597" i="210"/>
  <c r="R605" i="210"/>
  <c r="R613" i="210"/>
  <c r="R629" i="210"/>
  <c r="R637" i="210"/>
  <c r="R645" i="210"/>
  <c r="R653" i="210"/>
  <c r="R661" i="210"/>
  <c r="R669" i="210"/>
  <c r="R677" i="210"/>
  <c r="R685" i="210"/>
  <c r="R487" i="210"/>
  <c r="R534" i="210"/>
  <c r="R550" i="210"/>
  <c r="R560" i="210"/>
  <c r="R568" i="210"/>
  <c r="R576" i="210"/>
  <c r="R584" i="210"/>
  <c r="R592" i="210"/>
  <c r="R600" i="210"/>
  <c r="R608" i="210"/>
  <c r="R616" i="210"/>
  <c r="R632" i="210"/>
  <c r="R640" i="210"/>
  <c r="R648" i="210"/>
  <c r="R656" i="210"/>
  <c r="R664" i="210"/>
  <c r="R672" i="210"/>
  <c r="R370" i="210"/>
  <c r="R463" i="210"/>
  <c r="R555" i="210"/>
  <c r="R571" i="210"/>
  <c r="R579" i="210"/>
  <c r="R587" i="210"/>
  <c r="R595" i="210"/>
  <c r="R603" i="210"/>
  <c r="R611" i="210"/>
  <c r="R619" i="210"/>
  <c r="R627" i="210"/>
  <c r="R635" i="210"/>
  <c r="R643" i="210"/>
  <c r="R651" i="210"/>
  <c r="R659" i="210"/>
  <c r="R667" i="210"/>
  <c r="R675" i="210"/>
  <c r="R683" i="210"/>
  <c r="R691" i="210"/>
  <c r="R503" i="210"/>
  <c r="R535" i="210"/>
  <c r="R537" i="210"/>
  <c r="R551" i="210"/>
  <c r="R558" i="210"/>
  <c r="R574" i="210"/>
  <c r="R582" i="210"/>
  <c r="R590" i="210"/>
  <c r="R598" i="210"/>
  <c r="R606" i="210"/>
  <c r="R614" i="210"/>
  <c r="R630" i="210"/>
  <c r="R638" i="210"/>
  <c r="R646" i="210"/>
  <c r="R654" i="210"/>
  <c r="R386" i="210"/>
  <c r="R479" i="210"/>
  <c r="R538" i="210"/>
  <c r="R553" i="210"/>
  <c r="R569" i="210"/>
  <c r="R577" i="210"/>
  <c r="R585" i="210"/>
  <c r="R593" i="210"/>
  <c r="R601" i="210"/>
  <c r="R609" i="210"/>
  <c r="R617" i="210"/>
  <c r="R633" i="210"/>
  <c r="R641" i="210"/>
  <c r="R649" i="210"/>
  <c r="R657" i="210"/>
  <c r="R665" i="210"/>
  <c r="R673" i="210"/>
  <c r="R455" i="210"/>
  <c r="R542" i="210"/>
  <c r="R556" i="210"/>
  <c r="R572" i="210"/>
  <c r="R580" i="210"/>
  <c r="R588" i="210"/>
  <c r="R596" i="210"/>
  <c r="R604" i="210"/>
  <c r="R612" i="210"/>
  <c r="R620" i="210"/>
  <c r="R628" i="210"/>
  <c r="R636" i="210"/>
  <c r="R644" i="210"/>
  <c r="R652" i="210"/>
  <c r="R660" i="210"/>
  <c r="R402" i="210"/>
  <c r="R519" i="210"/>
  <c r="R583" i="210"/>
  <c r="R679" i="210"/>
  <c r="R684" i="210"/>
  <c r="R704" i="210"/>
  <c r="R712" i="210"/>
  <c r="R720" i="210"/>
  <c r="R728" i="210"/>
  <c r="R655" i="210"/>
  <c r="R671" i="210"/>
  <c r="R680" i="210"/>
  <c r="R689" i="210"/>
  <c r="R699" i="210"/>
  <c r="R707" i="210"/>
  <c r="R715" i="210"/>
  <c r="R723" i="210"/>
  <c r="R731" i="210"/>
  <c r="R739" i="210"/>
  <c r="R747" i="210"/>
  <c r="R755" i="210"/>
  <c r="R763" i="210"/>
  <c r="R771" i="210"/>
  <c r="R779" i="210"/>
  <c r="R599" i="210"/>
  <c r="R631" i="210"/>
  <c r="R674" i="210"/>
  <c r="R702" i="210"/>
  <c r="R710" i="210"/>
  <c r="R718" i="210"/>
  <c r="R726" i="210"/>
  <c r="R734" i="210"/>
  <c r="R750" i="210"/>
  <c r="R758" i="210"/>
  <c r="R766" i="210"/>
  <c r="R495" i="210"/>
  <c r="R575" i="210"/>
  <c r="R676" i="210"/>
  <c r="R681" i="210"/>
  <c r="R686" i="210"/>
  <c r="R690" i="210"/>
  <c r="R705" i="210"/>
  <c r="R713" i="210"/>
  <c r="R721" i="210"/>
  <c r="R729" i="210"/>
  <c r="R567" i="210"/>
  <c r="R615" i="210"/>
  <c r="R647" i="210"/>
  <c r="R662" i="210"/>
  <c r="R700" i="210"/>
  <c r="R708" i="210"/>
  <c r="R716" i="210"/>
  <c r="R724" i="210"/>
  <c r="R732" i="210"/>
  <c r="R740" i="210"/>
  <c r="R748" i="210"/>
  <c r="R756" i="210"/>
  <c r="R764" i="210"/>
  <c r="R780" i="210"/>
  <c r="R591" i="210"/>
  <c r="R663" i="210"/>
  <c r="R678" i="210"/>
  <c r="R682" i="210"/>
  <c r="R703" i="210"/>
  <c r="R711" i="210"/>
  <c r="R719" i="210"/>
  <c r="R727" i="210"/>
  <c r="R735" i="210"/>
  <c r="R751" i="210"/>
  <c r="R759" i="210"/>
  <c r="R767" i="210"/>
  <c r="R658" i="210"/>
  <c r="R666" i="210"/>
  <c r="R687" i="210"/>
  <c r="R692" i="210"/>
  <c r="R706" i="210"/>
  <c r="R714" i="210"/>
  <c r="R722" i="210"/>
  <c r="R730" i="210"/>
  <c r="R738" i="210"/>
  <c r="R754" i="210"/>
  <c r="R762" i="210"/>
  <c r="R770" i="210"/>
  <c r="R778" i="210"/>
  <c r="R559" i="210"/>
  <c r="R607" i="210"/>
  <c r="R639" i="210"/>
  <c r="R668" i="210"/>
  <c r="R670" i="210"/>
  <c r="R688" i="210"/>
  <c r="R701" i="210"/>
  <c r="R709" i="210"/>
  <c r="R717" i="210"/>
  <c r="R725" i="210"/>
  <c r="R733" i="210"/>
  <c r="R749" i="210"/>
  <c r="R757" i="210"/>
  <c r="R765" i="210"/>
  <c r="R768" i="210"/>
  <c r="R769" i="210"/>
  <c r="R784" i="210"/>
  <c r="R792" i="210"/>
  <c r="R800" i="210"/>
  <c r="R808" i="210"/>
  <c r="R816" i="210"/>
  <c r="R824" i="210"/>
  <c r="R832" i="210"/>
  <c r="R848" i="210"/>
  <c r="R856" i="210"/>
  <c r="R864" i="210"/>
  <c r="R872" i="210"/>
  <c r="R880" i="210"/>
  <c r="R888" i="210"/>
  <c r="R896" i="210"/>
  <c r="R904" i="210"/>
  <c r="R787" i="210"/>
  <c r="R795" i="210"/>
  <c r="R803" i="210"/>
  <c r="R811" i="210"/>
  <c r="R819" i="210"/>
  <c r="R827" i="210"/>
  <c r="R835" i="210"/>
  <c r="R851" i="210"/>
  <c r="R859" i="210"/>
  <c r="R867" i="210"/>
  <c r="R875" i="210"/>
  <c r="R883" i="210"/>
  <c r="R899" i="210"/>
  <c r="R907" i="210"/>
  <c r="R915" i="210"/>
  <c r="R931" i="210"/>
  <c r="R782" i="210"/>
  <c r="R790" i="210"/>
  <c r="R798" i="210"/>
  <c r="R806" i="210"/>
  <c r="R814" i="210"/>
  <c r="R822" i="210"/>
  <c r="R830" i="210"/>
  <c r="R838" i="210"/>
  <c r="R846" i="210"/>
  <c r="R854" i="210"/>
  <c r="R862" i="210"/>
  <c r="R870" i="210"/>
  <c r="R878" i="210"/>
  <c r="R886" i="210"/>
  <c r="R902" i="210"/>
  <c r="R910" i="210"/>
  <c r="R926" i="210"/>
  <c r="R934" i="210"/>
  <c r="R736" i="210"/>
  <c r="R737" i="210"/>
  <c r="R785" i="210"/>
  <c r="R793" i="210"/>
  <c r="R801" i="210"/>
  <c r="R809" i="210"/>
  <c r="R817" i="210"/>
  <c r="R825" i="210"/>
  <c r="R833" i="210"/>
  <c r="R849" i="210"/>
  <c r="R857" i="210"/>
  <c r="R865" i="210"/>
  <c r="R873" i="210"/>
  <c r="R881" i="210"/>
  <c r="R889" i="210"/>
  <c r="R897" i="210"/>
  <c r="R905" i="210"/>
  <c r="R752" i="210"/>
  <c r="R753" i="210"/>
  <c r="R788" i="210"/>
  <c r="R796" i="210"/>
  <c r="R804" i="210"/>
  <c r="R812" i="210"/>
  <c r="R820" i="210"/>
  <c r="R828" i="210"/>
  <c r="R836" i="210"/>
  <c r="R852" i="210"/>
  <c r="R860" i="210"/>
  <c r="R868" i="210"/>
  <c r="R876" i="210"/>
  <c r="R884" i="210"/>
  <c r="R900" i="210"/>
  <c r="R908" i="210"/>
  <c r="R916" i="210"/>
  <c r="R924" i="210"/>
  <c r="R932" i="210"/>
  <c r="R783" i="210"/>
  <c r="R791" i="210"/>
  <c r="R799" i="210"/>
  <c r="R807" i="210"/>
  <c r="R815" i="210"/>
  <c r="R823" i="210"/>
  <c r="R831" i="210"/>
  <c r="R847" i="210"/>
  <c r="R855" i="210"/>
  <c r="R863" i="210"/>
  <c r="R871" i="210"/>
  <c r="R879" i="210"/>
  <c r="R887" i="210"/>
  <c r="R903" i="210"/>
  <c r="R911" i="210"/>
  <c r="R760" i="210"/>
  <c r="R761" i="210"/>
  <c r="R786" i="210"/>
  <c r="R794" i="210"/>
  <c r="R802" i="210"/>
  <c r="R810" i="210"/>
  <c r="R818" i="210"/>
  <c r="R826" i="210"/>
  <c r="R834" i="210"/>
  <c r="R850" i="210"/>
  <c r="R858" i="210"/>
  <c r="R866" i="210"/>
  <c r="R874" i="210"/>
  <c r="R882" i="210"/>
  <c r="R898" i="210"/>
  <c r="R906" i="210"/>
  <c r="R781" i="210"/>
  <c r="R789" i="210"/>
  <c r="R797" i="210"/>
  <c r="R805" i="210"/>
  <c r="R813" i="210"/>
  <c r="R821" i="210"/>
  <c r="R829" i="210"/>
  <c r="R837" i="210"/>
  <c r="R845" i="210"/>
  <c r="R853" i="210"/>
  <c r="R861" i="210"/>
  <c r="R869" i="210"/>
  <c r="R877" i="210"/>
  <c r="R885" i="210"/>
  <c r="R901" i="210"/>
  <c r="R909" i="210"/>
  <c r="R917" i="210"/>
  <c r="R925" i="210"/>
  <c r="R933" i="210"/>
  <c r="R938" i="210"/>
  <c r="R946" i="210"/>
  <c r="R954" i="210"/>
  <c r="R962" i="210"/>
  <c r="R970" i="210"/>
  <c r="R978" i="210"/>
  <c r="R986" i="210"/>
  <c r="R994" i="210"/>
  <c r="R1002" i="210"/>
  <c r="R1010" i="210"/>
  <c r="R1018" i="210"/>
  <c r="R1034" i="210"/>
  <c r="R1042" i="210"/>
  <c r="R1058" i="210"/>
  <c r="R1066" i="210"/>
  <c r="R1074" i="210"/>
  <c r="R1082" i="210"/>
  <c r="R1090" i="210"/>
  <c r="R1098" i="210"/>
  <c r="R1106" i="210"/>
  <c r="R1114" i="210"/>
  <c r="R1122" i="210"/>
  <c r="R1130" i="210"/>
  <c r="R1138" i="210"/>
  <c r="R912" i="210"/>
  <c r="R913" i="210"/>
  <c r="R914" i="210"/>
  <c r="R935" i="210"/>
  <c r="R941" i="210"/>
  <c r="R949" i="210"/>
  <c r="R957" i="210"/>
  <c r="R965" i="210"/>
  <c r="R973" i="210"/>
  <c r="R981" i="210"/>
  <c r="R989" i="210"/>
  <c r="R997" i="210"/>
  <c r="R1005" i="210"/>
  <c r="R1013" i="210"/>
  <c r="R1021" i="210"/>
  <c r="R1037" i="210"/>
  <c r="R1045" i="210"/>
  <c r="R1061" i="210"/>
  <c r="R1069" i="210"/>
  <c r="R1077" i="210"/>
  <c r="R1085" i="210"/>
  <c r="R1093" i="210"/>
  <c r="R1101" i="210"/>
  <c r="R1117" i="210"/>
  <c r="R1125" i="210"/>
  <c r="R1133" i="210"/>
  <c r="R1141" i="210"/>
  <c r="R1149" i="210"/>
  <c r="R1157" i="210"/>
  <c r="R1165" i="210"/>
  <c r="R1173" i="210"/>
  <c r="R1181" i="210"/>
  <c r="R944" i="210"/>
  <c r="R952" i="210"/>
  <c r="R960" i="210"/>
  <c r="R968" i="210"/>
  <c r="R976" i="210"/>
  <c r="R984" i="210"/>
  <c r="R992" i="210"/>
  <c r="R1000" i="210"/>
  <c r="R1008" i="210"/>
  <c r="R1016" i="210"/>
  <c r="R1024" i="210"/>
  <c r="R1032" i="210"/>
  <c r="R1040" i="210"/>
  <c r="R1056" i="210"/>
  <c r="R1064" i="210"/>
  <c r="R1072" i="210"/>
  <c r="R1080" i="210"/>
  <c r="R1088" i="210"/>
  <c r="R1096" i="210"/>
  <c r="R1104" i="210"/>
  <c r="R1120" i="210"/>
  <c r="R1128" i="210"/>
  <c r="R1136" i="210"/>
  <c r="R1144" i="210"/>
  <c r="R936" i="210"/>
  <c r="R939" i="210"/>
  <c r="R947" i="210"/>
  <c r="R955" i="210"/>
  <c r="R963" i="210"/>
  <c r="R971" i="210"/>
  <c r="R979" i="210"/>
  <c r="R987" i="210"/>
  <c r="R995" i="210"/>
  <c r="R1003" i="210"/>
  <c r="R1011" i="210"/>
  <c r="R1019" i="210"/>
  <c r="R1035" i="210"/>
  <c r="R1043" i="210"/>
  <c r="R1059" i="210"/>
  <c r="R1067" i="210"/>
  <c r="R1075" i="210"/>
  <c r="R1083" i="210"/>
  <c r="R1091" i="210"/>
  <c r="R1099" i="210"/>
  <c r="R1115" i="210"/>
  <c r="R1123" i="210"/>
  <c r="R1131" i="210"/>
  <c r="R1139" i="210"/>
  <c r="R942" i="210"/>
  <c r="R950" i="210"/>
  <c r="R958" i="210"/>
  <c r="R966" i="210"/>
  <c r="R974" i="210"/>
  <c r="R982" i="210"/>
  <c r="R990" i="210"/>
  <c r="R998" i="210"/>
  <c r="R1006" i="210"/>
  <c r="R1014" i="210"/>
  <c r="R1022" i="210"/>
  <c r="R1038" i="210"/>
  <c r="R1046" i="210"/>
  <c r="R1054" i="210"/>
  <c r="R1062" i="210"/>
  <c r="R1070" i="210"/>
  <c r="R1078" i="210"/>
  <c r="R1086" i="210"/>
  <c r="R1094" i="210"/>
  <c r="R1102" i="210"/>
  <c r="R1118" i="210"/>
  <c r="R1126" i="210"/>
  <c r="R1134" i="210"/>
  <c r="R1142" i="210"/>
  <c r="R1150" i="210"/>
  <c r="R1158" i="210"/>
  <c r="R1166" i="210"/>
  <c r="R1174" i="210"/>
  <c r="R1182" i="210"/>
  <c r="R927" i="210"/>
  <c r="R937" i="210"/>
  <c r="R945" i="210"/>
  <c r="R953" i="210"/>
  <c r="R961" i="210"/>
  <c r="R969" i="210"/>
  <c r="R977" i="210"/>
  <c r="R985" i="210"/>
  <c r="R993" i="210"/>
  <c r="R1001" i="210"/>
  <c r="R1009" i="210"/>
  <c r="R1017" i="210"/>
  <c r="R1033" i="210"/>
  <c r="R1041" i="210"/>
  <c r="R1057" i="210"/>
  <c r="R1065" i="210"/>
  <c r="R1073" i="210"/>
  <c r="R1081" i="210"/>
  <c r="R1089" i="210"/>
  <c r="R1097" i="210"/>
  <c r="R1105" i="210"/>
  <c r="R1113" i="210"/>
  <c r="R1121" i="210"/>
  <c r="R1129" i="210"/>
  <c r="R1137" i="210"/>
  <c r="R1145" i="210"/>
  <c r="R1153" i="210"/>
  <c r="R1161" i="210"/>
  <c r="R1169" i="210"/>
  <c r="R930" i="210"/>
  <c r="R943" i="210"/>
  <c r="R951" i="210"/>
  <c r="R959" i="210"/>
  <c r="R967" i="210"/>
  <c r="R975" i="210"/>
  <c r="R983" i="210"/>
  <c r="R991" i="210"/>
  <c r="R999" i="210"/>
  <c r="R1007" i="210"/>
  <c r="R1015" i="210"/>
  <c r="R1023" i="210"/>
  <c r="R1031" i="210"/>
  <c r="R1039" i="210"/>
  <c r="R1047" i="210"/>
  <c r="R1055" i="210"/>
  <c r="R1063" i="210"/>
  <c r="R1071" i="210"/>
  <c r="R1079" i="210"/>
  <c r="R1087" i="210"/>
  <c r="R1095" i="210"/>
  <c r="R1103" i="210"/>
  <c r="R1119" i="210"/>
  <c r="R1127" i="210"/>
  <c r="R1135" i="210"/>
  <c r="R1143" i="210"/>
  <c r="R1151" i="210"/>
  <c r="R1159" i="210"/>
  <c r="R1167" i="210"/>
  <c r="R1183" i="210"/>
  <c r="R988" i="210"/>
  <c r="R1076" i="210"/>
  <c r="R1147" i="210"/>
  <c r="R1148" i="210"/>
  <c r="R1163" i="210"/>
  <c r="R1164" i="210"/>
  <c r="R1190" i="210"/>
  <c r="R1198" i="210"/>
  <c r="R1206" i="210"/>
  <c r="R1214" i="210"/>
  <c r="R1222" i="210"/>
  <c r="R1230" i="210"/>
  <c r="R1238" i="210"/>
  <c r="R1246" i="210"/>
  <c r="R1262" i="210"/>
  <c r="R1270" i="210"/>
  <c r="R1278" i="210"/>
  <c r="R1294" i="210"/>
  <c r="R1302" i="210"/>
  <c r="R1310" i="210"/>
  <c r="R1318" i="210"/>
  <c r="R1326" i="210"/>
  <c r="R1342" i="210"/>
  <c r="R1350" i="210"/>
  <c r="R1358" i="210"/>
  <c r="R1366" i="210"/>
  <c r="R1374" i="210"/>
  <c r="R1382" i="210"/>
  <c r="R1390" i="210"/>
  <c r="R964" i="210"/>
  <c r="R1185" i="210"/>
  <c r="R1193" i="210"/>
  <c r="R1201" i="210"/>
  <c r="R1209" i="210"/>
  <c r="R1225" i="210"/>
  <c r="R1233" i="210"/>
  <c r="R1241" i="210"/>
  <c r="R1249" i="210"/>
  <c r="R1265" i="210"/>
  <c r="R1273" i="210"/>
  <c r="R1281" i="210"/>
  <c r="R1297" i="210"/>
  <c r="R1305" i="210"/>
  <c r="R1313" i="210"/>
  <c r="R1321" i="210"/>
  <c r="R1329" i="210"/>
  <c r="R1337" i="210"/>
  <c r="R1345" i="210"/>
  <c r="R1353" i="210"/>
  <c r="R1361" i="210"/>
  <c r="R1377" i="210"/>
  <c r="R1385" i="210"/>
  <c r="R1393" i="210"/>
  <c r="R940" i="210"/>
  <c r="R1004" i="210"/>
  <c r="R1092" i="210"/>
  <c r="R1132" i="210"/>
  <c r="R1152" i="210"/>
  <c r="R1168" i="210"/>
  <c r="R1188" i="210"/>
  <c r="R1196" i="210"/>
  <c r="R1204" i="210"/>
  <c r="R1212" i="210"/>
  <c r="R1228" i="210"/>
  <c r="R1236" i="210"/>
  <c r="R1244" i="210"/>
  <c r="R1260" i="210"/>
  <c r="R1268" i="210"/>
  <c r="R1276" i="210"/>
  <c r="R1284" i="210"/>
  <c r="R1292" i="210"/>
  <c r="R1300" i="210"/>
  <c r="R1308" i="210"/>
  <c r="R1316" i="210"/>
  <c r="R1324" i="210"/>
  <c r="R1340" i="210"/>
  <c r="R1348" i="210"/>
  <c r="R1356" i="210"/>
  <c r="R1364" i="210"/>
  <c r="R1380" i="210"/>
  <c r="R1388" i="210"/>
  <c r="R929" i="210"/>
  <c r="R980" i="210"/>
  <c r="R1044" i="210"/>
  <c r="R1068" i="210"/>
  <c r="R1154" i="210"/>
  <c r="R1170" i="210"/>
  <c r="R1191" i="210"/>
  <c r="R1199" i="210"/>
  <c r="R1207" i="210"/>
  <c r="R1223" i="210"/>
  <c r="R1231" i="210"/>
  <c r="R1239" i="210"/>
  <c r="R1247" i="210"/>
  <c r="R1263" i="210"/>
  <c r="R1271" i="210"/>
  <c r="R1279" i="210"/>
  <c r="R1295" i="210"/>
  <c r="R1303" i="210"/>
  <c r="R1311" i="210"/>
  <c r="R1319" i="210"/>
  <c r="R1327" i="210"/>
  <c r="R1343" i="210"/>
  <c r="R1351" i="210"/>
  <c r="R928" i="210"/>
  <c r="R956" i="210"/>
  <c r="R1020" i="210"/>
  <c r="R1155" i="210"/>
  <c r="R1156" i="210"/>
  <c r="R1171" i="210"/>
  <c r="R1172" i="210"/>
  <c r="R1186" i="210"/>
  <c r="R1194" i="210"/>
  <c r="R1202" i="210"/>
  <c r="R1210" i="210"/>
  <c r="R1226" i="210"/>
  <c r="R1234" i="210"/>
  <c r="R1242" i="210"/>
  <c r="R1250" i="210"/>
  <c r="R1258" i="210"/>
  <c r="R1266" i="210"/>
  <c r="R1274" i="210"/>
  <c r="R1282" i="210"/>
  <c r="R1298" i="210"/>
  <c r="R1306" i="210"/>
  <c r="R1314" i="210"/>
  <c r="R1322" i="210"/>
  <c r="R1338" i="210"/>
  <c r="R1346" i="210"/>
  <c r="R1354" i="210"/>
  <c r="R1362" i="210"/>
  <c r="R1378" i="210"/>
  <c r="R1386" i="210"/>
  <c r="R996" i="210"/>
  <c r="R1084" i="210"/>
  <c r="R1124" i="210"/>
  <c r="R1189" i="210"/>
  <c r="R1197" i="210"/>
  <c r="R1205" i="210"/>
  <c r="R1213" i="210"/>
  <c r="R1221" i="210"/>
  <c r="R1229" i="210"/>
  <c r="R1237" i="210"/>
  <c r="R1245" i="210"/>
  <c r="R1261" i="210"/>
  <c r="R1269" i="210"/>
  <c r="R1277" i="210"/>
  <c r="R1285" i="210"/>
  <c r="R1293" i="210"/>
  <c r="R1301" i="210"/>
  <c r="R1309" i="210"/>
  <c r="R1317" i="210"/>
  <c r="R1325" i="210"/>
  <c r="R1341" i="210"/>
  <c r="R1349" i="210"/>
  <c r="R1357" i="210"/>
  <c r="R1365" i="210"/>
  <c r="R1373" i="210"/>
  <c r="R1381" i="210"/>
  <c r="R1389" i="210"/>
  <c r="R972" i="210"/>
  <c r="R1036" i="210"/>
  <c r="R1060" i="210"/>
  <c r="R1116" i="210"/>
  <c r="R1160" i="210"/>
  <c r="R1184" i="210"/>
  <c r="R1192" i="210"/>
  <c r="R1200" i="210"/>
  <c r="R1208" i="210"/>
  <c r="R1224" i="210"/>
  <c r="R1232" i="210"/>
  <c r="R1240" i="210"/>
  <c r="R1248" i="210"/>
  <c r="R1264" i="210"/>
  <c r="R1272" i="210"/>
  <c r="R1280" i="210"/>
  <c r="R1296" i="210"/>
  <c r="R1304" i="210"/>
  <c r="R1312" i="210"/>
  <c r="R1320" i="210"/>
  <c r="R1328" i="210"/>
  <c r="R1336" i="210"/>
  <c r="R1344" i="210"/>
  <c r="R1352" i="210"/>
  <c r="R948" i="210"/>
  <c r="R1012" i="210"/>
  <c r="R1100" i="210"/>
  <c r="R1140" i="210"/>
  <c r="R1146" i="210"/>
  <c r="R1162" i="210"/>
  <c r="R1187" i="210"/>
  <c r="R1195" i="210"/>
  <c r="R1203" i="210"/>
  <c r="R1211" i="210"/>
  <c r="R1227" i="210"/>
  <c r="R1235" i="210"/>
  <c r="R1243" i="210"/>
  <c r="R1251" i="210"/>
  <c r="R1259" i="210"/>
  <c r="R1267" i="210"/>
  <c r="R1275" i="210"/>
  <c r="R1283" i="210"/>
  <c r="R1299" i="210"/>
  <c r="R1307" i="210"/>
  <c r="R1315" i="210"/>
  <c r="R1323" i="210"/>
  <c r="R1339" i="210"/>
  <c r="R1347" i="210"/>
  <c r="R1355" i="210"/>
  <c r="R1363" i="210"/>
  <c r="R1379" i="210"/>
  <c r="R1387" i="210"/>
  <c r="R1401" i="210"/>
  <c r="R1409" i="210"/>
  <c r="R1417" i="210"/>
  <c r="R1425" i="210"/>
  <c r="R1433" i="210"/>
  <c r="R1441" i="210"/>
  <c r="R1457" i="210"/>
  <c r="R1465" i="210"/>
  <c r="R1481" i="210"/>
  <c r="R1489" i="210"/>
  <c r="R1497" i="210"/>
  <c r="R1505" i="210"/>
  <c r="R1513" i="210"/>
  <c r="R1521" i="210"/>
  <c r="R1529" i="210"/>
  <c r="R1537" i="210"/>
  <c r="R1553" i="210"/>
  <c r="R1561" i="210"/>
  <c r="R1569" i="210"/>
  <c r="R1577" i="210"/>
  <c r="R1585" i="210"/>
  <c r="R1593" i="210"/>
  <c r="R1609" i="210"/>
  <c r="R1617" i="210"/>
  <c r="R1633" i="210"/>
  <c r="R1641" i="210"/>
  <c r="R1396" i="210"/>
  <c r="R1404" i="210"/>
  <c r="R1412" i="210"/>
  <c r="R1428" i="210"/>
  <c r="R1436" i="210"/>
  <c r="R1444" i="210"/>
  <c r="R1460" i="210"/>
  <c r="R1468" i="210"/>
  <c r="R1484" i="210"/>
  <c r="R1492" i="210"/>
  <c r="R1500" i="210"/>
  <c r="R1508" i="210"/>
  <c r="R1516" i="210"/>
  <c r="R1524" i="210"/>
  <c r="R1532" i="210"/>
  <c r="R1540" i="210"/>
  <c r="R1556" i="210"/>
  <c r="R1564" i="210"/>
  <c r="R1572" i="210"/>
  <c r="R1580" i="210"/>
  <c r="R1588" i="210"/>
  <c r="R1596" i="210"/>
  <c r="R1612" i="210"/>
  <c r="R1620" i="210"/>
  <c r="R1636" i="210"/>
  <c r="R1644" i="210"/>
  <c r="R1652" i="210"/>
  <c r="R1383" i="210"/>
  <c r="R1384" i="210"/>
  <c r="R1399" i="210"/>
  <c r="R1407" i="210"/>
  <c r="R1415" i="210"/>
  <c r="R1431" i="210"/>
  <c r="R1439" i="210"/>
  <c r="R1447" i="210"/>
  <c r="R1455" i="210"/>
  <c r="R1463" i="210"/>
  <c r="R1471" i="210"/>
  <c r="R1479" i="210"/>
  <c r="R1487" i="210"/>
  <c r="R1495" i="210"/>
  <c r="R1503" i="210"/>
  <c r="R1511" i="210"/>
  <c r="R1519" i="210"/>
  <c r="R1527" i="210"/>
  <c r="R1535" i="210"/>
  <c r="R1551" i="210"/>
  <c r="R1559" i="210"/>
  <c r="R1567" i="210"/>
  <c r="R1575" i="210"/>
  <c r="R1583" i="210"/>
  <c r="R1591" i="210"/>
  <c r="R1599" i="210"/>
  <c r="R1607" i="210"/>
  <c r="R1615" i="210"/>
  <c r="R1623" i="210"/>
  <c r="R1631" i="210"/>
  <c r="R1639" i="210"/>
  <c r="R1655" i="210"/>
  <c r="R1359" i="210"/>
  <c r="R1360" i="210"/>
  <c r="R1394" i="210"/>
  <c r="R1402" i="210"/>
  <c r="R1410" i="210"/>
  <c r="R1418" i="210"/>
  <c r="R1426" i="210"/>
  <c r="R1434" i="210"/>
  <c r="R1442" i="210"/>
  <c r="R1458" i="210"/>
  <c r="R1466" i="210"/>
  <c r="R1482" i="210"/>
  <c r="R1490" i="210"/>
  <c r="R1498" i="210"/>
  <c r="R1506" i="210"/>
  <c r="R1514" i="210"/>
  <c r="R1522" i="210"/>
  <c r="R1530" i="210"/>
  <c r="R1538" i="210"/>
  <c r="R1554" i="210"/>
  <c r="R1562" i="210"/>
  <c r="R1570" i="210"/>
  <c r="R1578" i="210"/>
  <c r="R1586" i="210"/>
  <c r="R1594" i="210"/>
  <c r="R1610" i="210"/>
  <c r="R1618" i="210"/>
  <c r="R1634" i="210"/>
  <c r="R1642" i="210"/>
  <c r="R1391" i="210"/>
  <c r="R1392" i="210"/>
  <c r="R1397" i="210"/>
  <c r="R1405" i="210"/>
  <c r="R1413" i="210"/>
  <c r="R1429" i="210"/>
  <c r="R1437" i="210"/>
  <c r="R1445" i="210"/>
  <c r="R1461" i="210"/>
  <c r="R1469" i="210"/>
  <c r="R1485" i="210"/>
  <c r="R1493" i="210"/>
  <c r="R1501" i="210"/>
  <c r="R1509" i="210"/>
  <c r="R1517" i="210"/>
  <c r="R1525" i="210"/>
  <c r="R1533" i="210"/>
  <c r="R1541" i="210"/>
  <c r="R1549" i="210"/>
  <c r="R1557" i="210"/>
  <c r="R1565" i="210"/>
  <c r="R1573" i="210"/>
  <c r="R1581" i="210"/>
  <c r="R1589" i="210"/>
  <c r="R1597" i="210"/>
  <c r="R1613" i="210"/>
  <c r="R1621" i="210"/>
  <c r="R1637" i="210"/>
  <c r="R1400" i="210"/>
  <c r="R1408" i="210"/>
  <c r="R1416" i="210"/>
  <c r="R1432" i="210"/>
  <c r="R1440" i="210"/>
  <c r="R1456" i="210"/>
  <c r="R1464" i="210"/>
  <c r="R1472" i="210"/>
  <c r="R1480" i="210"/>
  <c r="R1488" i="210"/>
  <c r="R1496" i="210"/>
  <c r="R1504" i="210"/>
  <c r="R1512" i="210"/>
  <c r="R1520" i="210"/>
  <c r="R1528" i="210"/>
  <c r="R1536" i="210"/>
  <c r="R1552" i="210"/>
  <c r="R1560" i="210"/>
  <c r="R1568" i="210"/>
  <c r="R1576" i="210"/>
  <c r="R1584" i="210"/>
  <c r="R1375" i="210"/>
  <c r="R1395" i="210"/>
  <c r="R1403" i="210"/>
  <c r="R1411" i="210"/>
  <c r="R1427" i="210"/>
  <c r="R1435" i="210"/>
  <c r="R1443" i="210"/>
  <c r="R1459" i="210"/>
  <c r="R1467" i="210"/>
  <c r="R1483" i="210"/>
  <c r="R1491" i="210"/>
  <c r="R1499" i="210"/>
  <c r="R1507" i="210"/>
  <c r="R1515" i="210"/>
  <c r="R1523" i="210"/>
  <c r="R1531" i="210"/>
  <c r="R1539" i="210"/>
  <c r="R1555" i="210"/>
  <c r="R1563" i="210"/>
  <c r="R1571" i="210"/>
  <c r="R1579" i="210"/>
  <c r="R1587" i="210"/>
  <c r="R1595" i="210"/>
  <c r="R1611" i="210"/>
  <c r="R1619" i="210"/>
  <c r="R1635" i="210"/>
  <c r="R1643" i="210"/>
  <c r="R1651" i="210"/>
  <c r="R1486" i="210"/>
  <c r="R1653" i="210"/>
  <c r="R1664" i="210"/>
  <c r="R1672" i="210"/>
  <c r="R1680" i="210"/>
  <c r="R1688" i="210"/>
  <c r="R1696" i="210"/>
  <c r="R1704" i="210"/>
  <c r="R1712" i="210"/>
  <c r="R1720" i="210"/>
  <c r="R1736" i="210"/>
  <c r="R1744" i="210"/>
  <c r="R1752" i="210"/>
  <c r="R1760" i="210"/>
  <c r="R1768" i="210"/>
  <c r="R1776" i="210"/>
  <c r="R1784" i="210"/>
  <c r="R1792" i="210"/>
  <c r="R1808" i="210"/>
  <c r="R1816" i="210"/>
  <c r="R1824" i="210"/>
  <c r="R1832" i="210"/>
  <c r="R1840" i="210"/>
  <c r="R1848" i="210"/>
  <c r="R1376" i="210"/>
  <c r="R1398" i="210"/>
  <c r="R1446" i="210"/>
  <c r="R1526" i="210"/>
  <c r="R1574" i="210"/>
  <c r="R1659" i="210"/>
  <c r="R1667" i="210"/>
  <c r="R1675" i="210"/>
  <c r="R1683" i="210"/>
  <c r="R1691" i="210"/>
  <c r="R1699" i="210"/>
  <c r="R1707" i="210"/>
  <c r="R1715" i="210"/>
  <c r="R1723" i="210"/>
  <c r="R1739" i="210"/>
  <c r="R1747" i="210"/>
  <c r="R1755" i="210"/>
  <c r="R1763" i="210"/>
  <c r="R1779" i="210"/>
  <c r="R1787" i="210"/>
  <c r="R1795" i="210"/>
  <c r="R1803" i="210"/>
  <c r="R1811" i="210"/>
  <c r="R1827" i="210"/>
  <c r="R1835" i="210"/>
  <c r="R1843" i="210"/>
  <c r="R1851" i="210"/>
  <c r="R1470" i="210"/>
  <c r="R1502" i="210"/>
  <c r="R1550" i="210"/>
  <c r="R1616" i="210"/>
  <c r="R1640" i="210"/>
  <c r="R1654" i="210"/>
  <c r="R1656" i="210"/>
  <c r="R1662" i="210"/>
  <c r="R1670" i="210"/>
  <c r="R1678" i="210"/>
  <c r="R1686" i="210"/>
  <c r="R1694" i="210"/>
  <c r="R1702" i="210"/>
  <c r="R1710" i="210"/>
  <c r="R1718" i="210"/>
  <c r="R1734" i="210"/>
  <c r="R1742" i="210"/>
  <c r="R1750" i="210"/>
  <c r="R1758" i="210"/>
  <c r="R1766" i="210"/>
  <c r="R1782" i="210"/>
  <c r="R1790" i="210"/>
  <c r="R1806" i="210"/>
  <c r="R1814" i="210"/>
  <c r="R1830" i="210"/>
  <c r="R1838" i="210"/>
  <c r="R1846" i="210"/>
  <c r="R1854" i="210"/>
  <c r="R1414" i="210"/>
  <c r="R1542" i="210"/>
  <c r="R1592" i="210"/>
  <c r="R1665" i="210"/>
  <c r="R1673" i="210"/>
  <c r="R1681" i="210"/>
  <c r="R1689" i="210"/>
  <c r="R1697" i="210"/>
  <c r="R1705" i="210"/>
  <c r="R1713" i="210"/>
  <c r="R1721" i="210"/>
  <c r="R1737" i="210"/>
  <c r="R1745" i="210"/>
  <c r="R1753" i="210"/>
  <c r="R1761" i="210"/>
  <c r="R1769" i="210"/>
  <c r="R1777" i="210"/>
  <c r="R1785" i="210"/>
  <c r="R1793" i="210"/>
  <c r="R1809" i="210"/>
  <c r="R1825" i="210"/>
  <c r="R1833" i="210"/>
  <c r="R1841" i="210"/>
  <c r="R1849" i="210"/>
  <c r="R1438" i="210"/>
  <c r="R1518" i="210"/>
  <c r="R1566" i="210"/>
  <c r="R1614" i="210"/>
  <c r="R1624" i="210"/>
  <c r="R1638" i="210"/>
  <c r="R1657" i="210"/>
  <c r="R1660" i="210"/>
  <c r="R1668" i="210"/>
  <c r="R1676" i="210"/>
  <c r="R1684" i="210"/>
  <c r="R1692" i="210"/>
  <c r="R1700" i="210"/>
  <c r="R1708" i="210"/>
  <c r="R1716" i="210"/>
  <c r="R1724" i="210"/>
  <c r="R1732" i="210"/>
  <c r="R1740" i="210"/>
  <c r="R1748" i="210"/>
  <c r="R1756" i="210"/>
  <c r="R1764" i="210"/>
  <c r="R1780" i="210"/>
  <c r="R1788" i="210"/>
  <c r="R1804" i="210"/>
  <c r="R1812" i="210"/>
  <c r="R1828" i="210"/>
  <c r="R1836" i="210"/>
  <c r="R1844" i="210"/>
  <c r="R1852" i="210"/>
  <c r="R1462" i="210"/>
  <c r="R1494" i="210"/>
  <c r="R1590" i="210"/>
  <c r="R1600" i="210"/>
  <c r="R1663" i="210"/>
  <c r="R1671" i="210"/>
  <c r="R1679" i="210"/>
  <c r="R1687" i="210"/>
  <c r="R1695" i="210"/>
  <c r="R1703" i="210"/>
  <c r="R1711" i="210"/>
  <c r="R1719" i="210"/>
  <c r="R1735" i="210"/>
  <c r="R1743" i="210"/>
  <c r="R1751" i="210"/>
  <c r="R1759" i="210"/>
  <c r="R1767" i="210"/>
  <c r="R1783" i="210"/>
  <c r="R1791" i="210"/>
  <c r="R1430" i="210"/>
  <c r="R1510" i="210"/>
  <c r="R1558" i="210"/>
  <c r="R1598" i="210"/>
  <c r="R1608" i="210"/>
  <c r="R1632" i="210"/>
  <c r="R1661" i="210"/>
  <c r="R1669" i="210"/>
  <c r="R1677" i="210"/>
  <c r="R1685" i="210"/>
  <c r="R1693" i="210"/>
  <c r="R1701" i="210"/>
  <c r="R1709" i="210"/>
  <c r="R1717" i="210"/>
  <c r="R1725" i="210"/>
  <c r="R1733" i="210"/>
  <c r="R1741" i="210"/>
  <c r="R1749" i="210"/>
  <c r="R1757" i="210"/>
  <c r="R1765" i="210"/>
  <c r="R1781" i="210"/>
  <c r="R1789" i="210"/>
  <c r="R1805" i="210"/>
  <c r="R1813" i="210"/>
  <c r="R1829" i="210"/>
  <c r="R1837" i="210"/>
  <c r="R1845" i="210"/>
  <c r="R1853" i="210"/>
  <c r="R1658" i="210"/>
  <c r="R1682" i="210"/>
  <c r="R1857" i="210"/>
  <c r="R1865" i="210"/>
  <c r="R1873" i="210"/>
  <c r="R1881" i="210"/>
  <c r="R1889" i="210"/>
  <c r="R1905" i="210"/>
  <c r="R1913" i="210"/>
  <c r="R1929" i="210"/>
  <c r="R1937" i="210"/>
  <c r="R1945" i="210"/>
  <c r="R1953" i="210"/>
  <c r="R1961" i="210"/>
  <c r="R1969" i="210"/>
  <c r="R1977" i="210"/>
  <c r="R1985" i="210"/>
  <c r="R1993" i="210"/>
  <c r="R2001" i="210"/>
  <c r="R2009" i="210"/>
  <c r="R2017" i="210"/>
  <c r="R2025" i="210"/>
  <c r="R2033" i="210"/>
  <c r="R2041" i="210"/>
  <c r="R2049" i="210"/>
  <c r="R2057" i="210"/>
  <c r="R2065" i="210"/>
  <c r="R2073" i="210"/>
  <c r="R1406" i="210"/>
  <c r="R1722" i="210"/>
  <c r="R1834" i="210"/>
  <c r="R1860" i="210"/>
  <c r="R1868" i="210"/>
  <c r="R1876" i="210"/>
  <c r="R1884" i="210"/>
  <c r="R1892" i="210"/>
  <c r="R1908" i="210"/>
  <c r="R1916" i="210"/>
  <c r="R1924" i="210"/>
  <c r="R1932" i="210"/>
  <c r="R1940" i="210"/>
  <c r="R1948" i="210"/>
  <c r="R1956" i="210"/>
  <c r="R1964" i="210"/>
  <c r="R1972" i="210"/>
  <c r="R1980" i="210"/>
  <c r="R1988" i="210"/>
  <c r="R1996" i="210"/>
  <c r="R2004" i="210"/>
  <c r="R2012" i="210"/>
  <c r="R1698" i="210"/>
  <c r="R1746" i="210"/>
  <c r="R1794" i="210"/>
  <c r="R1810" i="210"/>
  <c r="R1855" i="210"/>
  <c r="R1863" i="210"/>
  <c r="R1871" i="210"/>
  <c r="R1879" i="210"/>
  <c r="R1887" i="210"/>
  <c r="R1895" i="210"/>
  <c r="R1903" i="210"/>
  <c r="R1911" i="210"/>
  <c r="R1927" i="210"/>
  <c r="R1935" i="210"/>
  <c r="R1943" i="210"/>
  <c r="R1951" i="210"/>
  <c r="R1959" i="210"/>
  <c r="R1967" i="210"/>
  <c r="R1975" i="210"/>
  <c r="R1983" i="210"/>
  <c r="R1991" i="210"/>
  <c r="R1999" i="210"/>
  <c r="R2007" i="210"/>
  <c r="R2015" i="210"/>
  <c r="R2023" i="210"/>
  <c r="R2031" i="210"/>
  <c r="R2039" i="210"/>
  <c r="R2047" i="210"/>
  <c r="R2055" i="210"/>
  <c r="R2063" i="210"/>
  <c r="R2079" i="210"/>
  <c r="R1674" i="210"/>
  <c r="R1831" i="210"/>
  <c r="R1842" i="210"/>
  <c r="R1858" i="210"/>
  <c r="R1866" i="210"/>
  <c r="R1874" i="210"/>
  <c r="R1882" i="210"/>
  <c r="R1890" i="210"/>
  <c r="R1906" i="210"/>
  <c r="R1914" i="210"/>
  <c r="R1930" i="210"/>
  <c r="R1938" i="210"/>
  <c r="R1946" i="210"/>
  <c r="R1954" i="210"/>
  <c r="R1962" i="210"/>
  <c r="R1970" i="210"/>
  <c r="R1978" i="210"/>
  <c r="R1986" i="210"/>
  <c r="R1994" i="210"/>
  <c r="R2002" i="210"/>
  <c r="R2010" i="210"/>
  <c r="R2018" i="210"/>
  <c r="R2026" i="210"/>
  <c r="R2034" i="210"/>
  <c r="R2042" i="210"/>
  <c r="R2050" i="210"/>
  <c r="R1714" i="210"/>
  <c r="R1762" i="210"/>
  <c r="R1807" i="210"/>
  <c r="R1861" i="210"/>
  <c r="R1869" i="210"/>
  <c r="R1877" i="210"/>
  <c r="R1885" i="210"/>
  <c r="R1893" i="210"/>
  <c r="R1909" i="210"/>
  <c r="R1925" i="210"/>
  <c r="R1933" i="210"/>
  <c r="R1941" i="210"/>
  <c r="R1949" i="210"/>
  <c r="R1957" i="210"/>
  <c r="R1965" i="210"/>
  <c r="R1973" i="210"/>
  <c r="R1981" i="210"/>
  <c r="R1989" i="210"/>
  <c r="R1997" i="210"/>
  <c r="R2005" i="210"/>
  <c r="R2013" i="210"/>
  <c r="R2021" i="210"/>
  <c r="R2029" i="210"/>
  <c r="R2037" i="210"/>
  <c r="R2045" i="210"/>
  <c r="R2053" i="210"/>
  <c r="R2061" i="210"/>
  <c r="R2077" i="210"/>
  <c r="R1454" i="210"/>
  <c r="R1534" i="210"/>
  <c r="R1582" i="210"/>
  <c r="R1690" i="210"/>
  <c r="R1738" i="210"/>
  <c r="R1786" i="210"/>
  <c r="R1839" i="210"/>
  <c r="R1850" i="210"/>
  <c r="R1856" i="210"/>
  <c r="R1864" i="210"/>
  <c r="R1872" i="210"/>
  <c r="R1880" i="210"/>
  <c r="R1888" i="210"/>
  <c r="R1904" i="210"/>
  <c r="R1912" i="210"/>
  <c r="R1928" i="210"/>
  <c r="R1936" i="210"/>
  <c r="R1944" i="210"/>
  <c r="R1952" i="210"/>
  <c r="R1960" i="210"/>
  <c r="R1968" i="210"/>
  <c r="R1976" i="210"/>
  <c r="R1984" i="210"/>
  <c r="R1992" i="210"/>
  <c r="R2000" i="210"/>
  <c r="R1706" i="210"/>
  <c r="R1754" i="210"/>
  <c r="R1778" i="210"/>
  <c r="R1802" i="210"/>
  <c r="R1823" i="210"/>
  <c r="R1826" i="210"/>
  <c r="R1847" i="210"/>
  <c r="R1862" i="210"/>
  <c r="R1870" i="210"/>
  <c r="R1878" i="210"/>
  <c r="R1886" i="210"/>
  <c r="R1894" i="210"/>
  <c r="R1902" i="210"/>
  <c r="R1910" i="210"/>
  <c r="R1926" i="210"/>
  <c r="R1934" i="210"/>
  <c r="R1942" i="210"/>
  <c r="R1950" i="210"/>
  <c r="R1958" i="210"/>
  <c r="R1966" i="210"/>
  <c r="R1974" i="210"/>
  <c r="R1982" i="210"/>
  <c r="R1990" i="210"/>
  <c r="R1998" i="210"/>
  <c r="R2006" i="210"/>
  <c r="R2014" i="210"/>
  <c r="R2022" i="210"/>
  <c r="R2030" i="210"/>
  <c r="R2038" i="210"/>
  <c r="R2046" i="210"/>
  <c r="R2054" i="210"/>
  <c r="R2062" i="210"/>
  <c r="R2078" i="210"/>
  <c r="R1867" i="210"/>
  <c r="R1915" i="210"/>
  <c r="R1963" i="210"/>
  <c r="R2059" i="210"/>
  <c r="R2060" i="210"/>
  <c r="R2074" i="210"/>
  <c r="R2081" i="210"/>
  <c r="R2089" i="210"/>
  <c r="R2097" i="210"/>
  <c r="R2105" i="210"/>
  <c r="R2113" i="210"/>
  <c r="R2129" i="210"/>
  <c r="R2137" i="210"/>
  <c r="R2145" i="210"/>
  <c r="R2153" i="210"/>
  <c r="R2169" i="210"/>
  <c r="R2177" i="210"/>
  <c r="R2185" i="210"/>
  <c r="R2193" i="210"/>
  <c r="R2201" i="210"/>
  <c r="R2209" i="210"/>
  <c r="R2225" i="210"/>
  <c r="R2233" i="210"/>
  <c r="R2249" i="210"/>
  <c r="R2257" i="210"/>
  <c r="R2265" i="210"/>
  <c r="R2273" i="210"/>
  <c r="R2281" i="210"/>
  <c r="R1939" i="210"/>
  <c r="R2003" i="210"/>
  <c r="R2075" i="210"/>
  <c r="R2076" i="210"/>
  <c r="R2092" i="210"/>
  <c r="R2100" i="210"/>
  <c r="R2108" i="210"/>
  <c r="R2116" i="210"/>
  <c r="R2132" i="210"/>
  <c r="R2140" i="210"/>
  <c r="R2148" i="210"/>
  <c r="R2156" i="210"/>
  <c r="R2164" i="210"/>
  <c r="R2172" i="210"/>
  <c r="R2180" i="210"/>
  <c r="R2188" i="210"/>
  <c r="R2196" i="210"/>
  <c r="R2204" i="210"/>
  <c r="R2212" i="210"/>
  <c r="R1666" i="210"/>
  <c r="R1883" i="210"/>
  <c r="R1979" i="210"/>
  <c r="R2064" i="210"/>
  <c r="R2095" i="210"/>
  <c r="R2103" i="210"/>
  <c r="R2111" i="210"/>
  <c r="R2119" i="210"/>
  <c r="R2127" i="210"/>
  <c r="R2135" i="210"/>
  <c r="R2143" i="210"/>
  <c r="R2151" i="210"/>
  <c r="R2167" i="210"/>
  <c r="R2175" i="210"/>
  <c r="R2183" i="210"/>
  <c r="R2191" i="210"/>
  <c r="R2199" i="210"/>
  <c r="R2207" i="210"/>
  <c r="R2223" i="210"/>
  <c r="R2231" i="210"/>
  <c r="R2239" i="210"/>
  <c r="R2247" i="210"/>
  <c r="R2255" i="210"/>
  <c r="R2263" i="210"/>
  <c r="R2271" i="210"/>
  <c r="R2279" i="210"/>
  <c r="R2287" i="210"/>
  <c r="R1815" i="210"/>
  <c r="R1859" i="210"/>
  <c r="R1907" i="210"/>
  <c r="R1955" i="210"/>
  <c r="R2011" i="210"/>
  <c r="R2048" i="210"/>
  <c r="R2082" i="210"/>
  <c r="R2090" i="210"/>
  <c r="R2098" i="210"/>
  <c r="R2106" i="210"/>
  <c r="R2114" i="210"/>
  <c r="R2130" i="210"/>
  <c r="R2138" i="210"/>
  <c r="R2146" i="210"/>
  <c r="R2154" i="210"/>
  <c r="R2170" i="210"/>
  <c r="R2178" i="210"/>
  <c r="R2186" i="210"/>
  <c r="R2194" i="210"/>
  <c r="R2202" i="210"/>
  <c r="R2210" i="210"/>
  <c r="R2226" i="210"/>
  <c r="R2234" i="210"/>
  <c r="R2250" i="210"/>
  <c r="R2258" i="210"/>
  <c r="R2266" i="210"/>
  <c r="R1931" i="210"/>
  <c r="R1995" i="210"/>
  <c r="R2040" i="210"/>
  <c r="R2043" i="210"/>
  <c r="R2044" i="210"/>
  <c r="R2051" i="210"/>
  <c r="R2052" i="210"/>
  <c r="R2093" i="210"/>
  <c r="R2101" i="210"/>
  <c r="R2109" i="210"/>
  <c r="R2117" i="210"/>
  <c r="R2133" i="210"/>
  <c r="R2141" i="210"/>
  <c r="R2149" i="210"/>
  <c r="R2157" i="210"/>
  <c r="R2165" i="210"/>
  <c r="R2173" i="210"/>
  <c r="R2181" i="210"/>
  <c r="R2189" i="210"/>
  <c r="R2197" i="210"/>
  <c r="R2205" i="210"/>
  <c r="R2213" i="210"/>
  <c r="R2221" i="210"/>
  <c r="R2229" i="210"/>
  <c r="R2237" i="210"/>
  <c r="R2253" i="210"/>
  <c r="R2261" i="210"/>
  <c r="R2269" i="210"/>
  <c r="R2277" i="210"/>
  <c r="R2285" i="210"/>
  <c r="R1875" i="210"/>
  <c r="R1923" i="210"/>
  <c r="R1971" i="210"/>
  <c r="R2008" i="210"/>
  <c r="R2032" i="210"/>
  <c r="R2035" i="210"/>
  <c r="R2036" i="210"/>
  <c r="R2080" i="210"/>
  <c r="R2096" i="210"/>
  <c r="R2104" i="210"/>
  <c r="R2112" i="210"/>
  <c r="R2128" i="210"/>
  <c r="R2136" i="210"/>
  <c r="R2144" i="210"/>
  <c r="R2152" i="210"/>
  <c r="R2168" i="210"/>
  <c r="R2176" i="210"/>
  <c r="R2184" i="210"/>
  <c r="R2192" i="210"/>
  <c r="R2200" i="210"/>
  <c r="R2208" i="210"/>
  <c r="R2224" i="210"/>
  <c r="R1891" i="210"/>
  <c r="R1987" i="210"/>
  <c r="R2016" i="210"/>
  <c r="R2019" i="210"/>
  <c r="R2020" i="210"/>
  <c r="R2058" i="210"/>
  <c r="R2072" i="210"/>
  <c r="R2094" i="210"/>
  <c r="R2102" i="210"/>
  <c r="R2110" i="210"/>
  <c r="R2118" i="210"/>
  <c r="R2126" i="210"/>
  <c r="R2134" i="210"/>
  <c r="R2142" i="210"/>
  <c r="R2150" i="210"/>
  <c r="R2166" i="210"/>
  <c r="R2174" i="210"/>
  <c r="R2182" i="210"/>
  <c r="R2190" i="210"/>
  <c r="R2198" i="210"/>
  <c r="R2206" i="210"/>
  <c r="R2214" i="210"/>
  <c r="R2222" i="210"/>
  <c r="R2230" i="210"/>
  <c r="R2238" i="210"/>
  <c r="R2254" i="210"/>
  <c r="R2262" i="210"/>
  <c r="R2270" i="210"/>
  <c r="R2278" i="210"/>
  <c r="R2286" i="210"/>
  <c r="R2131" i="210"/>
  <c r="R2203" i="210"/>
  <c r="R2256" i="210"/>
  <c r="R2259" i="210"/>
  <c r="R2260" i="210"/>
  <c r="R2275" i="210"/>
  <c r="R2276" i="210"/>
  <c r="R2291" i="210"/>
  <c r="R2299" i="210"/>
  <c r="R2307" i="210"/>
  <c r="R2315" i="210"/>
  <c r="R2323" i="210"/>
  <c r="R2331" i="210"/>
  <c r="R2339" i="210"/>
  <c r="R2355" i="210"/>
  <c r="R2363" i="210"/>
  <c r="R2371" i="210"/>
  <c r="R2379" i="210"/>
  <c r="R2387" i="210"/>
  <c r="R2395" i="210"/>
  <c r="R2403" i="210"/>
  <c r="R2419" i="210"/>
  <c r="R2427" i="210"/>
  <c r="R2435" i="210"/>
  <c r="R2443" i="210"/>
  <c r="R2451" i="210"/>
  <c r="R2459" i="210"/>
  <c r="R2467" i="210"/>
  <c r="R2475" i="210"/>
  <c r="R2483" i="210"/>
  <c r="R2491" i="210"/>
  <c r="R2507" i="210"/>
  <c r="R2515" i="210"/>
  <c r="R2056" i="210"/>
  <c r="R2179" i="210"/>
  <c r="R2248" i="210"/>
  <c r="R2251" i="210"/>
  <c r="R2252" i="210"/>
  <c r="R2294" i="210"/>
  <c r="R2302" i="210"/>
  <c r="R2310" i="210"/>
  <c r="R2318" i="210"/>
  <c r="R2326" i="210"/>
  <c r="R2334" i="210"/>
  <c r="R2342" i="210"/>
  <c r="R2350" i="210"/>
  <c r="R2358" i="210"/>
  <c r="R2366" i="210"/>
  <c r="R2374" i="210"/>
  <c r="R2382" i="210"/>
  <c r="R2390" i="210"/>
  <c r="R2398" i="210"/>
  <c r="R2414" i="210"/>
  <c r="R2422" i="210"/>
  <c r="R2438" i="210"/>
  <c r="R2446" i="210"/>
  <c r="R2454" i="210"/>
  <c r="R2462" i="210"/>
  <c r="R2470" i="210"/>
  <c r="R2478" i="210"/>
  <c r="R2486" i="210"/>
  <c r="R2502" i="210"/>
  <c r="R2510" i="210"/>
  <c r="R2518" i="210"/>
  <c r="R2526" i="210"/>
  <c r="R2534" i="210"/>
  <c r="R2024" i="210"/>
  <c r="R2099" i="210"/>
  <c r="R2147" i="210"/>
  <c r="R2227" i="210"/>
  <c r="R2228" i="210"/>
  <c r="R2280" i="210"/>
  <c r="R2289" i="210"/>
  <c r="R2297" i="210"/>
  <c r="R2305" i="210"/>
  <c r="R2313" i="210"/>
  <c r="R2321" i="210"/>
  <c r="R2329" i="210"/>
  <c r="R2337" i="210"/>
  <c r="R2353" i="210"/>
  <c r="R2361" i="210"/>
  <c r="R2369" i="210"/>
  <c r="R2377" i="210"/>
  <c r="R2385" i="210"/>
  <c r="R2393" i="210"/>
  <c r="R2401" i="210"/>
  <c r="R2417" i="210"/>
  <c r="R2425" i="210"/>
  <c r="R2441" i="210"/>
  <c r="R2449" i="210"/>
  <c r="R2457" i="210"/>
  <c r="R2465" i="210"/>
  <c r="R2473" i="210"/>
  <c r="R2481" i="210"/>
  <c r="R2489" i="210"/>
  <c r="R2505" i="210"/>
  <c r="R2513" i="210"/>
  <c r="R2521" i="210"/>
  <c r="R2529" i="210"/>
  <c r="R2537" i="210"/>
  <c r="R2091" i="210"/>
  <c r="R2195" i="210"/>
  <c r="R2282" i="210"/>
  <c r="R2292" i="210"/>
  <c r="R2300" i="210"/>
  <c r="R2308" i="210"/>
  <c r="R2316" i="210"/>
  <c r="R2324" i="210"/>
  <c r="R2332" i="210"/>
  <c r="R2340" i="210"/>
  <c r="R2356" i="210"/>
  <c r="R2364" i="210"/>
  <c r="R2372" i="210"/>
  <c r="R2380" i="210"/>
  <c r="R2388" i="210"/>
  <c r="R2396" i="210"/>
  <c r="R2404" i="210"/>
  <c r="R2412" i="210"/>
  <c r="R2420" i="210"/>
  <c r="R2428" i="210"/>
  <c r="R2436" i="210"/>
  <c r="R2444" i="210"/>
  <c r="R2452" i="210"/>
  <c r="R2460" i="210"/>
  <c r="R2468" i="210"/>
  <c r="R2476" i="210"/>
  <c r="R2484" i="210"/>
  <c r="R2492" i="210"/>
  <c r="R2500" i="210"/>
  <c r="R2508" i="210"/>
  <c r="R2516" i="210"/>
  <c r="R2028" i="210"/>
  <c r="R2115" i="210"/>
  <c r="R2171" i="210"/>
  <c r="R2283" i="210"/>
  <c r="R2284" i="210"/>
  <c r="R2295" i="210"/>
  <c r="R2303" i="210"/>
  <c r="R2311" i="210"/>
  <c r="R2319" i="210"/>
  <c r="R2327" i="210"/>
  <c r="R2335" i="210"/>
  <c r="R2351" i="210"/>
  <c r="R2359" i="210"/>
  <c r="R2367" i="210"/>
  <c r="R2375" i="210"/>
  <c r="R2383" i="210"/>
  <c r="R2391" i="210"/>
  <c r="R2399" i="210"/>
  <c r="R2415" i="210"/>
  <c r="R2423" i="210"/>
  <c r="R2439" i="210"/>
  <c r="R2447" i="210"/>
  <c r="R2455" i="210"/>
  <c r="R2463" i="210"/>
  <c r="R2471" i="210"/>
  <c r="R2479" i="210"/>
  <c r="R2487" i="210"/>
  <c r="R2503" i="210"/>
  <c r="R2511" i="210"/>
  <c r="R2519" i="210"/>
  <c r="R2527" i="210"/>
  <c r="R2535" i="210"/>
  <c r="R1622" i="210"/>
  <c r="R1947" i="210"/>
  <c r="R2027" i="210"/>
  <c r="R2139" i="210"/>
  <c r="R2211" i="210"/>
  <c r="R2290" i="210"/>
  <c r="R2298" i="210"/>
  <c r="R2306" i="210"/>
  <c r="R2314" i="210"/>
  <c r="R2322" i="210"/>
  <c r="R2330" i="210"/>
  <c r="R2338" i="210"/>
  <c r="R2354" i="210"/>
  <c r="R2362" i="210"/>
  <c r="R2370" i="210"/>
  <c r="R2378" i="210"/>
  <c r="R2386" i="210"/>
  <c r="R2394" i="210"/>
  <c r="R2402" i="210"/>
  <c r="R2418" i="210"/>
  <c r="R2426" i="210"/>
  <c r="R2107" i="210"/>
  <c r="R2155" i="210"/>
  <c r="R2232" i="210"/>
  <c r="R2235" i="210"/>
  <c r="R2236" i="210"/>
  <c r="R2264" i="210"/>
  <c r="R2267" i="210"/>
  <c r="R2268" i="210"/>
  <c r="R2274" i="210"/>
  <c r="R2288" i="210"/>
  <c r="R2296" i="210"/>
  <c r="R2304" i="210"/>
  <c r="R2312" i="210"/>
  <c r="R2320" i="210"/>
  <c r="R2328" i="210"/>
  <c r="R2336" i="210"/>
  <c r="R2352" i="210"/>
  <c r="R2360" i="210"/>
  <c r="R2368" i="210"/>
  <c r="R2376" i="210"/>
  <c r="R2384" i="210"/>
  <c r="R2392" i="210"/>
  <c r="R2400" i="210"/>
  <c r="R2416" i="210"/>
  <c r="R2424" i="210"/>
  <c r="R2440" i="210"/>
  <c r="R2448" i="210"/>
  <c r="R2456" i="210"/>
  <c r="R2464" i="210"/>
  <c r="R2472" i="210"/>
  <c r="R2480" i="210"/>
  <c r="R2488" i="210"/>
  <c r="R2504" i="210"/>
  <c r="R2512" i="210"/>
  <c r="R2520" i="210"/>
  <c r="R2528" i="210"/>
  <c r="R2536" i="210"/>
  <c r="R2325" i="210"/>
  <c r="R2349" i="210"/>
  <c r="R2397" i="210"/>
  <c r="R2442" i="210"/>
  <c r="R2453" i="210"/>
  <c r="R2474" i="210"/>
  <c r="R2485" i="210"/>
  <c r="R2514" i="210"/>
  <c r="R2522" i="210"/>
  <c r="R2538" i="210"/>
  <c r="R2544" i="210"/>
  <c r="R2552" i="210"/>
  <c r="R2560" i="210"/>
  <c r="R2568" i="210"/>
  <c r="R2576" i="210"/>
  <c r="R2584" i="210"/>
  <c r="R2592" i="210"/>
  <c r="R2600" i="210"/>
  <c r="R2608" i="210"/>
  <c r="R2616" i="210"/>
  <c r="R2624" i="210"/>
  <c r="R2632" i="210"/>
  <c r="R2640" i="210"/>
  <c r="R2656" i="210"/>
  <c r="R2664" i="210"/>
  <c r="R2672" i="210"/>
  <c r="R2680" i="210"/>
  <c r="R2688" i="210"/>
  <c r="R2696" i="210"/>
  <c r="R2704" i="210"/>
  <c r="R2712" i="210"/>
  <c r="R2720" i="210"/>
  <c r="R2728" i="210"/>
  <c r="R2736" i="210"/>
  <c r="R2744" i="210"/>
  <c r="R2752" i="210"/>
  <c r="R2760" i="210"/>
  <c r="R2768" i="210"/>
  <c r="R2776" i="210"/>
  <c r="R2784" i="210"/>
  <c r="R2792" i="210"/>
  <c r="R2800" i="210"/>
  <c r="R2808" i="210"/>
  <c r="R2816" i="210"/>
  <c r="R2824" i="210"/>
  <c r="R2832" i="210"/>
  <c r="R2840" i="210"/>
  <c r="R2848" i="210"/>
  <c r="R2864" i="210"/>
  <c r="R2872" i="210"/>
  <c r="R2880" i="210"/>
  <c r="R2888" i="210"/>
  <c r="R2896" i="210"/>
  <c r="R2904" i="210"/>
  <c r="R2912" i="210"/>
  <c r="R2920" i="210"/>
  <c r="R2936" i="210"/>
  <c r="R2944" i="210"/>
  <c r="R2952" i="210"/>
  <c r="R2960" i="210"/>
  <c r="R2968" i="210"/>
  <c r="R2976" i="210"/>
  <c r="R2984" i="210"/>
  <c r="R2992" i="210"/>
  <c r="R3008" i="210"/>
  <c r="R2272" i="210"/>
  <c r="R2301" i="210"/>
  <c r="R2373" i="210"/>
  <c r="R2523" i="210"/>
  <c r="R2524" i="210"/>
  <c r="R2547" i="210"/>
  <c r="R2555" i="210"/>
  <c r="R2563" i="210"/>
  <c r="R2571" i="210"/>
  <c r="R2579" i="210"/>
  <c r="R2587" i="210"/>
  <c r="R2595" i="210"/>
  <c r="R2603" i="210"/>
  <c r="R2611" i="210"/>
  <c r="R2619" i="210"/>
  <c r="R2627" i="210"/>
  <c r="R2635" i="210"/>
  <c r="R2643" i="210"/>
  <c r="R2659" i="210"/>
  <c r="R2667" i="210"/>
  <c r="R2675" i="210"/>
  <c r="R2683" i="210"/>
  <c r="R2691" i="210"/>
  <c r="R2707" i="210"/>
  <c r="R2715" i="210"/>
  <c r="R2731" i="210"/>
  <c r="R2739" i="210"/>
  <c r="R2747" i="210"/>
  <c r="R2755" i="210"/>
  <c r="R2763" i="210"/>
  <c r="R2771" i="210"/>
  <c r="R2779" i="210"/>
  <c r="R2787" i="210"/>
  <c r="R2795" i="210"/>
  <c r="R2803" i="210"/>
  <c r="R2811" i="210"/>
  <c r="R2819" i="210"/>
  <c r="R2827" i="210"/>
  <c r="R2835" i="210"/>
  <c r="R2843" i="210"/>
  <c r="R2851" i="210"/>
  <c r="R2867" i="210"/>
  <c r="R2875" i="210"/>
  <c r="R2883" i="210"/>
  <c r="R2891" i="210"/>
  <c r="R2899" i="210"/>
  <c r="R2907" i="210"/>
  <c r="R2915" i="210"/>
  <c r="R2923" i="210"/>
  <c r="R2939" i="210"/>
  <c r="R2947" i="210"/>
  <c r="R2955" i="210"/>
  <c r="R2963" i="210"/>
  <c r="R2971" i="210"/>
  <c r="R2987" i="210"/>
  <c r="R2995" i="210"/>
  <c r="R3011" i="210"/>
  <c r="R2187" i="210"/>
  <c r="R2341" i="210"/>
  <c r="R2421" i="210"/>
  <c r="R2450" i="210"/>
  <c r="R2461" i="210"/>
  <c r="R2482" i="210"/>
  <c r="R2493" i="210"/>
  <c r="R2501" i="210"/>
  <c r="R2525" i="210"/>
  <c r="R2539" i="210"/>
  <c r="R2542" i="210"/>
  <c r="R2550" i="210"/>
  <c r="R2558" i="210"/>
  <c r="R2566" i="210"/>
  <c r="R2574" i="210"/>
  <c r="R2582" i="210"/>
  <c r="R2590" i="210"/>
  <c r="R2598" i="210"/>
  <c r="R2606" i="210"/>
  <c r="R2614" i="210"/>
  <c r="R2622" i="210"/>
  <c r="R2630" i="210"/>
  <c r="R2638" i="210"/>
  <c r="R2646" i="210"/>
  <c r="R2654" i="210"/>
  <c r="R2662" i="210"/>
  <c r="R2670" i="210"/>
  <c r="R2678" i="210"/>
  <c r="R2686" i="210"/>
  <c r="R2694" i="210"/>
  <c r="R2710" i="210"/>
  <c r="R2718" i="210"/>
  <c r="R2734" i="210"/>
  <c r="R2742" i="210"/>
  <c r="R2750" i="210"/>
  <c r="R2758" i="210"/>
  <c r="R2766" i="210"/>
  <c r="R2774" i="210"/>
  <c r="R2782" i="210"/>
  <c r="R2790" i="210"/>
  <c r="R2798" i="210"/>
  <c r="R2806" i="210"/>
  <c r="R2814" i="210"/>
  <c r="R2822" i="210"/>
  <c r="R2830" i="210"/>
  <c r="R2838" i="210"/>
  <c r="R2846" i="210"/>
  <c r="R2862" i="210"/>
  <c r="R2870" i="210"/>
  <c r="R2878" i="210"/>
  <c r="R2886" i="210"/>
  <c r="R2894" i="210"/>
  <c r="R2902" i="210"/>
  <c r="R2910" i="210"/>
  <c r="R2918" i="210"/>
  <c r="R2926" i="210"/>
  <c r="R2934" i="210"/>
  <c r="R2942" i="210"/>
  <c r="R2950" i="210"/>
  <c r="R2958" i="210"/>
  <c r="R2966" i="210"/>
  <c r="R2974" i="210"/>
  <c r="R2990" i="210"/>
  <c r="R2998" i="210"/>
  <c r="R3006" i="210"/>
  <c r="R3014" i="210"/>
  <c r="R2240" i="210"/>
  <c r="R2317" i="210"/>
  <c r="R2389" i="210"/>
  <c r="R2545" i="210"/>
  <c r="R2553" i="210"/>
  <c r="R2561" i="210"/>
  <c r="R2569" i="210"/>
  <c r="R2577" i="210"/>
  <c r="R2585" i="210"/>
  <c r="R2593" i="210"/>
  <c r="R2601" i="210"/>
  <c r="R2609" i="210"/>
  <c r="R2617" i="210"/>
  <c r="R2625" i="210"/>
  <c r="R2633" i="210"/>
  <c r="R2641" i="210"/>
  <c r="R2657" i="210"/>
  <c r="R2665" i="210"/>
  <c r="R2673" i="210"/>
  <c r="R2681" i="210"/>
  <c r="R2689" i="210"/>
  <c r="R2697" i="210"/>
  <c r="R2705" i="210"/>
  <c r="R2713" i="210"/>
  <c r="R2729" i="210"/>
  <c r="R2737" i="210"/>
  <c r="R2745" i="210"/>
  <c r="R2753" i="210"/>
  <c r="R2761" i="210"/>
  <c r="R2769" i="210"/>
  <c r="R2777" i="210"/>
  <c r="R2785" i="210"/>
  <c r="R2793" i="210"/>
  <c r="R2801" i="210"/>
  <c r="R2809" i="210"/>
  <c r="R2817" i="210"/>
  <c r="R2825" i="210"/>
  <c r="R2833" i="210"/>
  <c r="R2841" i="210"/>
  <c r="R2849" i="210"/>
  <c r="R2865" i="210"/>
  <c r="R2873" i="210"/>
  <c r="R2881" i="210"/>
  <c r="R2889" i="210"/>
  <c r="R2897" i="210"/>
  <c r="R2905" i="210"/>
  <c r="R2913" i="210"/>
  <c r="R2921" i="210"/>
  <c r="R2937" i="210"/>
  <c r="R2945" i="210"/>
  <c r="R2953" i="210"/>
  <c r="R2961" i="210"/>
  <c r="R2969" i="210"/>
  <c r="R2985" i="210"/>
  <c r="R2993" i="210"/>
  <c r="R3009" i="210"/>
  <c r="R2293" i="210"/>
  <c r="R2365" i="210"/>
  <c r="R2413" i="210"/>
  <c r="R2437" i="210"/>
  <c r="R2458" i="210"/>
  <c r="R2469" i="210"/>
  <c r="R2490" i="210"/>
  <c r="R2509" i="210"/>
  <c r="R2530" i="210"/>
  <c r="R2540" i="210"/>
  <c r="R2548" i="210"/>
  <c r="R2556" i="210"/>
  <c r="R2564" i="210"/>
  <c r="R2572" i="210"/>
  <c r="R2580" i="210"/>
  <c r="R2588" i="210"/>
  <c r="R2596" i="210"/>
  <c r="R2604" i="210"/>
  <c r="R2612" i="210"/>
  <c r="R2620" i="210"/>
  <c r="R2628" i="210"/>
  <c r="R2636" i="210"/>
  <c r="R2644" i="210"/>
  <c r="R2660" i="210"/>
  <c r="R2668" i="210"/>
  <c r="R2676" i="210"/>
  <c r="R2684" i="210"/>
  <c r="R2692" i="210"/>
  <c r="R2708" i="210"/>
  <c r="R2716" i="210"/>
  <c r="R2732" i="210"/>
  <c r="R2740" i="210"/>
  <c r="R2748" i="210"/>
  <c r="R2756" i="210"/>
  <c r="R2764" i="210"/>
  <c r="R2772" i="210"/>
  <c r="R2780" i="210"/>
  <c r="R2788" i="210"/>
  <c r="R2796" i="210"/>
  <c r="R2804" i="210"/>
  <c r="R2812" i="210"/>
  <c r="R2820" i="210"/>
  <c r="R2828" i="210"/>
  <c r="R2836" i="210"/>
  <c r="R2844" i="210"/>
  <c r="R2852" i="210"/>
  <c r="R2860" i="210"/>
  <c r="R2868" i="210"/>
  <c r="R2876" i="210"/>
  <c r="R2884" i="210"/>
  <c r="R2892" i="210"/>
  <c r="R2900" i="210"/>
  <c r="R2908" i="210"/>
  <c r="R2916" i="210"/>
  <c r="R2924" i="210"/>
  <c r="R2940" i="210"/>
  <c r="R2948" i="210"/>
  <c r="R2956" i="210"/>
  <c r="R2964" i="210"/>
  <c r="R2972" i="210"/>
  <c r="R2988" i="210"/>
  <c r="R2996" i="210"/>
  <c r="R3012" i="210"/>
  <c r="R2333" i="210"/>
  <c r="R2405" i="210"/>
  <c r="R2531" i="210"/>
  <c r="R2532" i="210"/>
  <c r="R2543" i="210"/>
  <c r="R2551" i="210"/>
  <c r="R2559" i="210"/>
  <c r="R2567" i="210"/>
  <c r="R2575" i="210"/>
  <c r="R2583" i="210"/>
  <c r="R2591" i="210"/>
  <c r="R2599" i="210"/>
  <c r="R2607" i="210"/>
  <c r="R2615" i="210"/>
  <c r="R2623" i="210"/>
  <c r="R2631" i="210"/>
  <c r="R2639" i="210"/>
  <c r="R2647" i="210"/>
  <c r="R2655" i="210"/>
  <c r="R2663" i="210"/>
  <c r="R2671" i="210"/>
  <c r="R2679" i="210"/>
  <c r="R2687" i="210"/>
  <c r="R2695" i="210"/>
  <c r="R2711" i="210"/>
  <c r="R2719" i="210"/>
  <c r="R2727" i="210"/>
  <c r="R2735" i="210"/>
  <c r="R2743" i="210"/>
  <c r="R2751" i="210"/>
  <c r="R2759" i="210"/>
  <c r="R2767" i="210"/>
  <c r="R2775" i="210"/>
  <c r="R2783" i="210"/>
  <c r="R2791" i="210"/>
  <c r="R2799" i="210"/>
  <c r="R2807" i="210"/>
  <c r="R2815" i="210"/>
  <c r="R2823" i="210"/>
  <c r="R2831" i="210"/>
  <c r="R2839" i="210"/>
  <c r="R2847" i="210"/>
  <c r="R2863" i="210"/>
  <c r="R2871" i="210"/>
  <c r="R2879" i="210"/>
  <c r="R2887" i="210"/>
  <c r="R2895" i="210"/>
  <c r="R2903" i="210"/>
  <c r="R2911" i="210"/>
  <c r="R2919" i="210"/>
  <c r="R2927" i="210"/>
  <c r="R2935" i="210"/>
  <c r="R2357" i="210"/>
  <c r="R2541" i="210"/>
  <c r="R2549" i="210"/>
  <c r="R2557" i="210"/>
  <c r="R2565" i="210"/>
  <c r="R2573" i="210"/>
  <c r="R2581" i="210"/>
  <c r="R2589" i="210"/>
  <c r="R2597" i="210"/>
  <c r="R2605" i="210"/>
  <c r="R2613" i="210"/>
  <c r="R2621" i="210"/>
  <c r="R2629" i="210"/>
  <c r="R2637" i="210"/>
  <c r="R2645" i="210"/>
  <c r="R2661" i="210"/>
  <c r="R2669" i="210"/>
  <c r="R2677" i="210"/>
  <c r="R2685" i="210"/>
  <c r="R2693" i="210"/>
  <c r="R2709" i="210"/>
  <c r="R2717" i="210"/>
  <c r="R2733" i="210"/>
  <c r="R2741" i="210"/>
  <c r="R2749" i="210"/>
  <c r="R2757" i="210"/>
  <c r="R2765" i="210"/>
  <c r="R2773" i="210"/>
  <c r="R2781" i="210"/>
  <c r="R2789" i="210"/>
  <c r="R2797" i="210"/>
  <c r="R2805" i="210"/>
  <c r="R2813" i="210"/>
  <c r="R2821" i="210"/>
  <c r="R2829" i="210"/>
  <c r="R2837" i="210"/>
  <c r="R2845" i="210"/>
  <c r="R2853" i="210"/>
  <c r="R2861" i="210"/>
  <c r="R2869" i="210"/>
  <c r="R2877" i="210"/>
  <c r="R2885" i="210"/>
  <c r="R2893" i="210"/>
  <c r="R2901" i="210"/>
  <c r="R2909" i="210"/>
  <c r="R2917" i="210"/>
  <c r="R2925" i="210"/>
  <c r="R2941" i="210"/>
  <c r="R2949" i="210"/>
  <c r="R2957" i="210"/>
  <c r="R2965" i="210"/>
  <c r="R2973" i="210"/>
  <c r="R2989" i="210"/>
  <c r="R2997" i="210"/>
  <c r="R3013" i="210"/>
  <c r="R2477" i="210"/>
  <c r="R2578" i="210"/>
  <c r="R2642" i="210"/>
  <c r="R2690" i="210"/>
  <c r="R2746" i="210"/>
  <c r="R2810" i="210"/>
  <c r="R2898" i="210"/>
  <c r="R2994" i="210"/>
  <c r="R3028" i="210"/>
  <c r="R3036" i="210"/>
  <c r="R3044" i="210"/>
  <c r="R3052" i="210"/>
  <c r="R3060" i="210"/>
  <c r="R3068" i="210"/>
  <c r="R3076" i="210"/>
  <c r="R3092" i="210"/>
  <c r="R3100" i="210"/>
  <c r="R3108" i="210"/>
  <c r="R3116" i="210"/>
  <c r="R3132" i="210"/>
  <c r="R3140" i="210"/>
  <c r="R3148" i="210"/>
  <c r="R3156" i="210"/>
  <c r="R3164" i="210"/>
  <c r="R3172" i="210"/>
  <c r="R3180" i="210"/>
  <c r="R3196" i="210"/>
  <c r="R3204" i="210"/>
  <c r="R3212" i="210"/>
  <c r="R3220" i="210"/>
  <c r="R3228" i="210"/>
  <c r="R3236" i="210"/>
  <c r="R3252" i="210"/>
  <c r="R3260" i="210"/>
  <c r="R3268" i="210"/>
  <c r="R3276" i="210"/>
  <c r="R3284" i="210"/>
  <c r="R3292" i="210"/>
  <c r="R3300" i="210"/>
  <c r="R3308" i="210"/>
  <c r="R3316" i="210"/>
  <c r="R3324" i="210"/>
  <c r="R3332" i="210"/>
  <c r="R3340" i="210"/>
  <c r="R3348" i="210"/>
  <c r="R3356" i="210"/>
  <c r="R3364" i="210"/>
  <c r="R3372" i="210"/>
  <c r="R3380" i="210"/>
  <c r="R3388" i="210"/>
  <c r="R3396" i="210"/>
  <c r="R3404" i="210"/>
  <c r="R3412" i="210"/>
  <c r="R3420" i="210"/>
  <c r="R3428" i="210"/>
  <c r="R2554" i="210"/>
  <c r="R2618" i="210"/>
  <c r="R2666" i="210"/>
  <c r="R2714" i="210"/>
  <c r="R2786" i="210"/>
  <c r="R2850" i="210"/>
  <c r="R2874" i="210"/>
  <c r="R2951" i="210"/>
  <c r="R2962" i="210"/>
  <c r="R3023" i="210"/>
  <c r="R3031" i="210"/>
  <c r="R3039" i="210"/>
  <c r="R3047" i="210"/>
  <c r="R3055" i="210"/>
  <c r="R3063" i="210"/>
  <c r="R3071" i="210"/>
  <c r="R3087" i="210"/>
  <c r="R3095" i="210"/>
  <c r="R3103" i="210"/>
  <c r="R3111" i="210"/>
  <c r="R3119" i="210"/>
  <c r="R3135" i="210"/>
  <c r="R3143" i="210"/>
  <c r="R3151" i="210"/>
  <c r="R3159" i="210"/>
  <c r="R3167" i="210"/>
  <c r="R3175" i="210"/>
  <c r="R3183" i="210"/>
  <c r="R3199" i="210"/>
  <c r="R3207" i="210"/>
  <c r="R3215" i="210"/>
  <c r="R3223" i="210"/>
  <c r="R3231" i="210"/>
  <c r="R3239" i="210"/>
  <c r="R3255" i="210"/>
  <c r="R3263" i="210"/>
  <c r="R3271" i="210"/>
  <c r="R3279" i="210"/>
  <c r="R3287" i="210"/>
  <c r="R3295" i="210"/>
  <c r="R3303" i="210"/>
  <c r="R3311" i="210"/>
  <c r="R3319" i="210"/>
  <c r="R3327" i="210"/>
  <c r="R3335" i="210"/>
  <c r="R3343" i="210"/>
  <c r="R3351" i="210"/>
  <c r="R3359" i="210"/>
  <c r="R3367" i="210"/>
  <c r="R3375" i="210"/>
  <c r="R3383" i="210"/>
  <c r="R3391" i="210"/>
  <c r="R3399" i="210"/>
  <c r="R3407" i="210"/>
  <c r="R3415" i="210"/>
  <c r="R3423" i="210"/>
  <c r="R2381" i="210"/>
  <c r="R2445" i="210"/>
  <c r="R2533" i="210"/>
  <c r="R2594" i="210"/>
  <c r="R2706" i="210"/>
  <c r="R2762" i="210"/>
  <c r="R2826" i="210"/>
  <c r="R2914" i="210"/>
  <c r="R2991" i="210"/>
  <c r="R3026" i="210"/>
  <c r="R3034" i="210"/>
  <c r="R3042" i="210"/>
  <c r="R3050" i="210"/>
  <c r="R3058" i="210"/>
  <c r="R3066" i="210"/>
  <c r="R3074" i="210"/>
  <c r="R3090" i="210"/>
  <c r="R3098" i="210"/>
  <c r="R3106" i="210"/>
  <c r="R3114" i="210"/>
  <c r="R3122" i="210"/>
  <c r="R3130" i="210"/>
  <c r="R3138" i="210"/>
  <c r="R3146" i="210"/>
  <c r="R3154" i="210"/>
  <c r="R3162" i="210"/>
  <c r="R3170" i="210"/>
  <c r="R3178" i="210"/>
  <c r="R3194" i="210"/>
  <c r="R3202" i="210"/>
  <c r="R3210" i="210"/>
  <c r="R3218" i="210"/>
  <c r="R3226" i="210"/>
  <c r="R3234" i="210"/>
  <c r="R3242" i="210"/>
  <c r="R3250" i="210"/>
  <c r="R3258" i="210"/>
  <c r="R3266" i="210"/>
  <c r="R3274" i="210"/>
  <c r="R3282" i="210"/>
  <c r="R3290" i="210"/>
  <c r="R3298" i="210"/>
  <c r="R3306" i="210"/>
  <c r="R3314" i="210"/>
  <c r="R3322" i="210"/>
  <c r="R3330" i="210"/>
  <c r="R3338" i="210"/>
  <c r="R3346" i="210"/>
  <c r="R3354" i="210"/>
  <c r="R3362" i="210"/>
  <c r="R3370" i="210"/>
  <c r="R3378" i="210"/>
  <c r="R3386" i="210"/>
  <c r="R3394" i="210"/>
  <c r="R3402" i="210"/>
  <c r="R3410" i="210"/>
  <c r="R3418" i="210"/>
  <c r="R3426" i="210"/>
  <c r="R2517" i="210"/>
  <c r="R2570" i="210"/>
  <c r="R2634" i="210"/>
  <c r="R2682" i="210"/>
  <c r="R2738" i="210"/>
  <c r="R2802" i="210"/>
  <c r="R2890" i="210"/>
  <c r="R2938" i="210"/>
  <c r="R2959" i="210"/>
  <c r="R2970" i="210"/>
  <c r="R3010" i="210"/>
  <c r="R3015" i="210"/>
  <c r="R3029" i="210"/>
  <c r="R3037" i="210"/>
  <c r="R3045" i="210"/>
  <c r="R3053" i="210"/>
  <c r="R3061" i="210"/>
  <c r="R3069" i="210"/>
  <c r="R3077" i="210"/>
  <c r="R3085" i="210"/>
  <c r="R3093" i="210"/>
  <c r="R3101" i="210"/>
  <c r="R3109" i="210"/>
  <c r="R3117" i="210"/>
  <c r="R3133" i="210"/>
  <c r="R3141" i="210"/>
  <c r="R3149" i="210"/>
  <c r="R3157" i="210"/>
  <c r="R3165" i="210"/>
  <c r="R3173" i="210"/>
  <c r="R3181" i="210"/>
  <c r="R3197" i="210"/>
  <c r="R3205" i="210"/>
  <c r="R3213" i="210"/>
  <c r="R3221" i="210"/>
  <c r="R3229" i="210"/>
  <c r="R3237" i="210"/>
  <c r="R3253" i="210"/>
  <c r="R3261" i="210"/>
  <c r="R3269" i="210"/>
  <c r="R3277" i="210"/>
  <c r="R3285" i="210"/>
  <c r="R3293" i="210"/>
  <c r="R3301" i="210"/>
  <c r="R3309" i="210"/>
  <c r="R3317" i="210"/>
  <c r="R3325" i="210"/>
  <c r="R3333" i="210"/>
  <c r="R3341" i="210"/>
  <c r="R3349" i="210"/>
  <c r="R3357" i="210"/>
  <c r="R3365" i="210"/>
  <c r="R3373" i="210"/>
  <c r="R3381" i="210"/>
  <c r="R3389" i="210"/>
  <c r="R3397" i="210"/>
  <c r="R3405" i="210"/>
  <c r="R3413" i="210"/>
  <c r="R3421" i="210"/>
  <c r="R3429" i="210"/>
  <c r="R2466" i="210"/>
  <c r="R2546" i="210"/>
  <c r="R2610" i="210"/>
  <c r="R2658" i="210"/>
  <c r="R2778" i="210"/>
  <c r="R2842" i="210"/>
  <c r="R2866" i="210"/>
  <c r="R2999" i="210"/>
  <c r="R3024" i="210"/>
  <c r="R3032" i="210"/>
  <c r="R3040" i="210"/>
  <c r="R3048" i="210"/>
  <c r="R3056" i="210"/>
  <c r="R3064" i="210"/>
  <c r="R3072" i="210"/>
  <c r="R3088" i="210"/>
  <c r="R3096" i="210"/>
  <c r="R3104" i="210"/>
  <c r="R3112" i="210"/>
  <c r="R3120" i="210"/>
  <c r="R3136" i="210"/>
  <c r="R3144" i="210"/>
  <c r="R3152" i="210"/>
  <c r="R3160" i="210"/>
  <c r="R3168" i="210"/>
  <c r="R3176" i="210"/>
  <c r="R3184" i="210"/>
  <c r="R3192" i="210"/>
  <c r="R3200" i="210"/>
  <c r="R3208" i="210"/>
  <c r="R3216" i="210"/>
  <c r="R3224" i="210"/>
  <c r="R3232" i="210"/>
  <c r="R3240" i="210"/>
  <c r="R3256" i="210"/>
  <c r="R3264" i="210"/>
  <c r="R3272" i="210"/>
  <c r="R3280" i="210"/>
  <c r="R3288" i="210"/>
  <c r="R3296" i="210"/>
  <c r="R3304" i="210"/>
  <c r="R3312" i="210"/>
  <c r="R3320" i="210"/>
  <c r="R3328" i="210"/>
  <c r="R3336" i="210"/>
  <c r="R3344" i="210"/>
  <c r="R3352" i="210"/>
  <c r="R3360" i="210"/>
  <c r="R3368" i="210"/>
  <c r="R3376" i="210"/>
  <c r="R3384" i="210"/>
  <c r="R3392" i="210"/>
  <c r="R3400" i="210"/>
  <c r="R3408" i="210"/>
  <c r="R3416" i="210"/>
  <c r="R3424" i="210"/>
  <c r="R2586" i="210"/>
  <c r="R2730" i="210"/>
  <c r="R2754" i="210"/>
  <c r="R2818" i="210"/>
  <c r="R2906" i="210"/>
  <c r="R2946" i="210"/>
  <c r="R2967" i="210"/>
  <c r="R3007" i="210"/>
  <c r="R3016" i="210"/>
  <c r="R3027" i="210"/>
  <c r="R3035" i="210"/>
  <c r="R3043" i="210"/>
  <c r="R3051" i="210"/>
  <c r="R3059" i="210"/>
  <c r="R3067" i="210"/>
  <c r="R3075" i="210"/>
  <c r="R3091" i="210"/>
  <c r="R3099" i="210"/>
  <c r="R3107" i="210"/>
  <c r="R3115" i="210"/>
  <c r="R3123" i="210"/>
  <c r="R3131" i="210"/>
  <c r="R3139" i="210"/>
  <c r="R3147" i="210"/>
  <c r="R3155" i="210"/>
  <c r="R3163" i="210"/>
  <c r="R3171" i="210"/>
  <c r="R3179" i="210"/>
  <c r="R3195" i="210"/>
  <c r="R3203" i="210"/>
  <c r="R3211" i="210"/>
  <c r="R3219" i="210"/>
  <c r="R3227" i="210"/>
  <c r="R3235" i="210"/>
  <c r="R3243" i="210"/>
  <c r="R3251" i="210"/>
  <c r="R3259" i="210"/>
  <c r="R3267" i="210"/>
  <c r="R3275" i="210"/>
  <c r="R3283" i="210"/>
  <c r="R3291" i="210"/>
  <c r="R3299" i="210"/>
  <c r="R3307" i="210"/>
  <c r="R3315" i="210"/>
  <c r="R3323" i="210"/>
  <c r="R3331" i="210"/>
  <c r="R3339" i="210"/>
  <c r="R2602" i="210"/>
  <c r="R2770" i="210"/>
  <c r="R2834" i="210"/>
  <c r="R2922" i="210"/>
  <c r="R2943" i="210"/>
  <c r="R2954" i="210"/>
  <c r="R2975" i="210"/>
  <c r="R2983" i="210"/>
  <c r="R3025" i="210"/>
  <c r="R3033" i="210"/>
  <c r="R3041" i="210"/>
  <c r="R3049" i="210"/>
  <c r="R3057" i="210"/>
  <c r="R3065" i="210"/>
  <c r="R3073" i="210"/>
  <c r="R3089" i="210"/>
  <c r="R3097" i="210"/>
  <c r="R3105" i="210"/>
  <c r="R3113" i="210"/>
  <c r="R3121" i="210"/>
  <c r="R3137" i="210"/>
  <c r="R3145" i="210"/>
  <c r="R3153" i="210"/>
  <c r="R3161" i="210"/>
  <c r="R3169" i="210"/>
  <c r="R3177" i="210"/>
  <c r="R3185" i="210"/>
  <c r="R3193" i="210"/>
  <c r="R3201" i="210"/>
  <c r="R3209" i="210"/>
  <c r="R3217" i="210"/>
  <c r="R3225" i="210"/>
  <c r="R3233" i="210"/>
  <c r="R3241" i="210"/>
  <c r="R3257" i="210"/>
  <c r="R3265" i="210"/>
  <c r="R3273" i="210"/>
  <c r="R3281" i="210"/>
  <c r="R3289" i="210"/>
  <c r="R3297" i="210"/>
  <c r="R3305" i="210"/>
  <c r="R3313" i="210"/>
  <c r="R3321" i="210"/>
  <c r="R3329" i="210"/>
  <c r="R3337" i="210"/>
  <c r="R3345" i="210"/>
  <c r="R3353" i="210"/>
  <c r="R3361" i="210"/>
  <c r="R3369" i="210"/>
  <c r="R3377" i="210"/>
  <c r="R3385" i="210"/>
  <c r="R3393" i="210"/>
  <c r="R3401" i="210"/>
  <c r="R3409" i="210"/>
  <c r="R3417" i="210"/>
  <c r="R3425" i="210"/>
  <c r="R2626" i="210"/>
  <c r="R2882" i="210"/>
  <c r="R3070" i="210"/>
  <c r="R3214" i="210"/>
  <c r="R3262" i="210"/>
  <c r="R3326" i="210"/>
  <c r="R3355" i="210"/>
  <c r="R3366" i="210"/>
  <c r="R3387" i="210"/>
  <c r="R3398" i="210"/>
  <c r="R3419" i="210"/>
  <c r="R3430" i="210"/>
  <c r="R3431" i="210"/>
  <c r="R3434" i="210"/>
  <c r="R3442" i="210"/>
  <c r="R3458" i="210"/>
  <c r="R3466" i="210"/>
  <c r="R3474" i="210"/>
  <c r="R3482" i="210"/>
  <c r="R3490" i="210"/>
  <c r="R3506" i="210"/>
  <c r="R3514" i="210"/>
  <c r="R3522" i="210"/>
  <c r="R3530" i="210"/>
  <c r="R3546" i="210"/>
  <c r="R3554" i="210"/>
  <c r="R3562" i="210"/>
  <c r="R3570" i="210"/>
  <c r="R3578" i="210"/>
  <c r="R3586" i="210"/>
  <c r="R3602" i="210"/>
  <c r="R3610" i="210"/>
  <c r="R3618" i="210"/>
  <c r="R3626" i="210"/>
  <c r="R3634" i="210"/>
  <c r="R3650" i="210"/>
  <c r="R3658" i="210"/>
  <c r="R3666" i="210"/>
  <c r="R3674" i="210"/>
  <c r="R3682" i="210"/>
  <c r="R3690" i="210"/>
  <c r="R3698" i="210"/>
  <c r="R3706" i="210"/>
  <c r="R3714" i="210"/>
  <c r="R3722" i="210"/>
  <c r="R3730" i="210"/>
  <c r="R3738" i="210"/>
  <c r="R3746" i="210"/>
  <c r="R3762" i="210"/>
  <c r="R3770" i="210"/>
  <c r="R3778" i="210"/>
  <c r="R3786" i="210"/>
  <c r="R3794" i="210"/>
  <c r="R3802" i="210"/>
  <c r="R3810" i="210"/>
  <c r="R3818" i="210"/>
  <c r="R3826" i="210"/>
  <c r="R3834" i="210"/>
  <c r="R3842" i="210"/>
  <c r="R3850" i="210"/>
  <c r="R3858" i="210"/>
  <c r="R3866" i="210"/>
  <c r="R3874" i="210"/>
  <c r="R2794" i="210"/>
  <c r="R3046" i="210"/>
  <c r="R3118" i="210"/>
  <c r="R3166" i="210"/>
  <c r="R3302" i="210"/>
  <c r="R3437" i="210"/>
  <c r="R3445" i="210"/>
  <c r="R3461" i="210"/>
  <c r="R3469" i="210"/>
  <c r="R3477" i="210"/>
  <c r="R3485" i="210"/>
  <c r="R3493" i="210"/>
  <c r="R3501" i="210"/>
  <c r="R3509" i="210"/>
  <c r="R3517" i="210"/>
  <c r="R3525" i="210"/>
  <c r="R3533" i="210"/>
  <c r="R3549" i="210"/>
  <c r="R3557" i="210"/>
  <c r="R3565" i="210"/>
  <c r="R3573" i="210"/>
  <c r="R3581" i="210"/>
  <c r="R3589" i="210"/>
  <c r="R3605" i="210"/>
  <c r="R3613" i="210"/>
  <c r="R3621" i="210"/>
  <c r="R3629" i="210"/>
  <c r="R3637" i="210"/>
  <c r="R3653" i="210"/>
  <c r="R3661" i="210"/>
  <c r="R3669" i="210"/>
  <c r="R3677" i="210"/>
  <c r="R3685" i="210"/>
  <c r="R3693" i="210"/>
  <c r="R3709" i="210"/>
  <c r="R3717" i="210"/>
  <c r="R3725" i="210"/>
  <c r="R3733" i="210"/>
  <c r="R3741" i="210"/>
  <c r="R3749" i="210"/>
  <c r="R3757" i="210"/>
  <c r="R3765" i="210"/>
  <c r="R3773" i="210"/>
  <c r="R3781" i="210"/>
  <c r="R3789" i="210"/>
  <c r="R3797" i="210"/>
  <c r="R3813" i="210"/>
  <c r="R3821" i="210"/>
  <c r="R3829" i="210"/>
  <c r="R3845" i="210"/>
  <c r="R3853" i="210"/>
  <c r="R3861" i="210"/>
  <c r="R3869" i="210"/>
  <c r="R3094" i="210"/>
  <c r="R3142" i="210"/>
  <c r="R3230" i="210"/>
  <c r="R3278" i="210"/>
  <c r="R3342" i="210"/>
  <c r="R3363" i="210"/>
  <c r="R3374" i="210"/>
  <c r="R3395" i="210"/>
  <c r="R3406" i="210"/>
  <c r="R3427" i="210"/>
  <c r="R3432" i="210"/>
  <c r="R3440" i="210"/>
  <c r="R3448" i="210"/>
  <c r="R3456" i="210"/>
  <c r="R3464" i="210"/>
  <c r="R3472" i="210"/>
  <c r="R3480" i="210"/>
  <c r="R3488" i="210"/>
  <c r="R3504" i="210"/>
  <c r="R3512" i="210"/>
  <c r="R3520" i="210"/>
  <c r="R3528" i="210"/>
  <c r="R3536" i="210"/>
  <c r="R3544" i="210"/>
  <c r="R3552" i="210"/>
  <c r="R3560" i="210"/>
  <c r="R3568" i="210"/>
  <c r="R3576" i="210"/>
  <c r="R3584" i="210"/>
  <c r="R3592" i="210"/>
  <c r="R3600" i="210"/>
  <c r="R3608" i="210"/>
  <c r="R3616" i="210"/>
  <c r="R3624" i="210"/>
  <c r="R3632" i="210"/>
  <c r="R3640" i="210"/>
  <c r="R3648" i="210"/>
  <c r="R3656" i="210"/>
  <c r="R3664" i="210"/>
  <c r="R3672" i="210"/>
  <c r="R3680" i="210"/>
  <c r="R3688" i="210"/>
  <c r="R3696" i="210"/>
  <c r="R3712" i="210"/>
  <c r="R3720" i="210"/>
  <c r="R3728" i="210"/>
  <c r="R3736" i="210"/>
  <c r="R3744" i="210"/>
  <c r="R3760" i="210"/>
  <c r="R3768" i="210"/>
  <c r="R3776" i="210"/>
  <c r="R3784" i="210"/>
  <c r="R3792" i="210"/>
  <c r="R3800" i="210"/>
  <c r="R3816" i="210"/>
  <c r="R3824" i="210"/>
  <c r="R3832" i="210"/>
  <c r="R3848" i="210"/>
  <c r="R3856" i="210"/>
  <c r="R3864" i="210"/>
  <c r="R3872" i="210"/>
  <c r="R2562" i="210"/>
  <c r="R2674" i="210"/>
  <c r="R3062" i="210"/>
  <c r="R3182" i="210"/>
  <c r="R3206" i="210"/>
  <c r="R3254" i="210"/>
  <c r="R3318" i="210"/>
  <c r="R3435" i="210"/>
  <c r="R3443" i="210"/>
  <c r="R3459" i="210"/>
  <c r="R3467" i="210"/>
  <c r="R3475" i="210"/>
  <c r="R3483" i="210"/>
  <c r="R3491" i="210"/>
  <c r="R3507" i="210"/>
  <c r="R3515" i="210"/>
  <c r="R3523" i="210"/>
  <c r="R3531" i="210"/>
  <c r="R3547" i="210"/>
  <c r="R3555" i="210"/>
  <c r="R3563" i="210"/>
  <c r="R3571" i="210"/>
  <c r="R3579" i="210"/>
  <c r="R3587" i="210"/>
  <c r="R3603" i="210"/>
  <c r="R3611" i="210"/>
  <c r="R3619" i="210"/>
  <c r="R3627" i="210"/>
  <c r="R3635" i="210"/>
  <c r="R3651" i="210"/>
  <c r="R3659" i="210"/>
  <c r="R3667" i="210"/>
  <c r="R3675" i="210"/>
  <c r="R3683" i="210"/>
  <c r="R3691" i="210"/>
  <c r="R3699" i="210"/>
  <c r="R3707" i="210"/>
  <c r="R3715" i="210"/>
  <c r="R3723" i="210"/>
  <c r="R3731" i="210"/>
  <c r="R3739" i="210"/>
  <c r="R3747" i="210"/>
  <c r="R3763" i="210"/>
  <c r="R3771" i="210"/>
  <c r="R3779" i="210"/>
  <c r="R3787" i="210"/>
  <c r="R3795" i="210"/>
  <c r="R3811" i="210"/>
  <c r="R3819" i="210"/>
  <c r="R3827" i="210"/>
  <c r="R3843" i="210"/>
  <c r="R3851" i="210"/>
  <c r="R3859" i="210"/>
  <c r="R3867" i="210"/>
  <c r="R3875" i="210"/>
  <c r="R2309" i="210"/>
  <c r="R3038" i="210"/>
  <c r="R3086" i="210"/>
  <c r="R3110" i="210"/>
  <c r="R3158" i="210"/>
  <c r="R3294" i="210"/>
  <c r="R3350" i="210"/>
  <c r="R3371" i="210"/>
  <c r="R3382" i="210"/>
  <c r="R3403" i="210"/>
  <c r="R3414" i="210"/>
  <c r="R3438" i="210"/>
  <c r="R3446" i="210"/>
  <c r="R3462" i="210"/>
  <c r="R3470" i="210"/>
  <c r="R3478" i="210"/>
  <c r="R3486" i="210"/>
  <c r="R3502" i="210"/>
  <c r="R3510" i="210"/>
  <c r="R3518" i="210"/>
  <c r="R3526" i="210"/>
  <c r="R3534" i="210"/>
  <c r="R3550" i="210"/>
  <c r="R3558" i="210"/>
  <c r="R3566" i="210"/>
  <c r="R3574" i="210"/>
  <c r="R3582" i="210"/>
  <c r="R3590" i="210"/>
  <c r="R3606" i="210"/>
  <c r="R3614" i="210"/>
  <c r="R3622" i="210"/>
  <c r="R3630" i="210"/>
  <c r="R3638" i="210"/>
  <c r="R3654" i="210"/>
  <c r="R3662" i="210"/>
  <c r="R3670" i="210"/>
  <c r="R3678" i="210"/>
  <c r="R3686" i="210"/>
  <c r="R3694" i="210"/>
  <c r="R3710" i="210"/>
  <c r="R3718" i="210"/>
  <c r="R3726" i="210"/>
  <c r="R3734" i="210"/>
  <c r="R3742" i="210"/>
  <c r="R3750" i="210"/>
  <c r="R3758" i="210"/>
  <c r="R3766" i="210"/>
  <c r="R3774" i="210"/>
  <c r="R3782" i="210"/>
  <c r="R3790" i="210"/>
  <c r="R3798" i="210"/>
  <c r="R3814" i="210"/>
  <c r="R3822" i="210"/>
  <c r="R3830" i="210"/>
  <c r="R3846" i="210"/>
  <c r="R3854" i="210"/>
  <c r="R3862" i="210"/>
  <c r="R3870" i="210"/>
  <c r="R2506" i="210"/>
  <c r="R2986" i="210"/>
  <c r="R3078" i="210"/>
  <c r="R3134" i="210"/>
  <c r="R3222" i="210"/>
  <c r="R3270" i="210"/>
  <c r="R3334" i="210"/>
  <c r="R3433" i="210"/>
  <c r="R3441" i="210"/>
  <c r="R3449" i="210"/>
  <c r="R3457" i="210"/>
  <c r="R3465" i="210"/>
  <c r="R3473" i="210"/>
  <c r="R3481" i="210"/>
  <c r="R3489" i="210"/>
  <c r="R3505" i="210"/>
  <c r="R3513" i="210"/>
  <c r="R3521" i="210"/>
  <c r="R3529" i="210"/>
  <c r="R3545" i="210"/>
  <c r="R3553" i="210"/>
  <c r="R3561" i="210"/>
  <c r="R3569" i="210"/>
  <c r="R3577" i="210"/>
  <c r="R3585" i="210"/>
  <c r="R3601" i="210"/>
  <c r="R3609" i="210"/>
  <c r="R3617" i="210"/>
  <c r="R3625" i="210"/>
  <c r="R3633" i="210"/>
  <c r="R3649" i="210"/>
  <c r="R3657" i="210"/>
  <c r="R3665" i="210"/>
  <c r="R3673" i="210"/>
  <c r="R3681" i="210"/>
  <c r="R3689" i="210"/>
  <c r="R3697" i="210"/>
  <c r="R3713" i="210"/>
  <c r="R3721" i="210"/>
  <c r="R3729" i="210"/>
  <c r="R3737" i="210"/>
  <c r="R3745" i="210"/>
  <c r="R3761" i="210"/>
  <c r="R3769" i="210"/>
  <c r="R3777" i="210"/>
  <c r="R3785" i="210"/>
  <c r="R3793" i="210"/>
  <c r="R3801" i="210"/>
  <c r="R3809" i="210"/>
  <c r="R3817" i="210"/>
  <c r="R3030" i="210"/>
  <c r="R3102" i="210"/>
  <c r="R3150" i="210"/>
  <c r="R3238" i="210"/>
  <c r="R3286" i="210"/>
  <c r="R3439" i="210"/>
  <c r="R3447" i="210"/>
  <c r="R3463" i="210"/>
  <c r="R3471" i="210"/>
  <c r="R3479" i="210"/>
  <c r="R3487" i="210"/>
  <c r="R3503" i="210"/>
  <c r="R3511" i="210"/>
  <c r="R3519" i="210"/>
  <c r="R3527" i="210"/>
  <c r="R3535" i="210"/>
  <c r="R3543" i="210"/>
  <c r="R3551" i="210"/>
  <c r="R3559" i="210"/>
  <c r="R3567" i="210"/>
  <c r="R3575" i="210"/>
  <c r="R3583" i="210"/>
  <c r="R3591" i="210"/>
  <c r="R3599" i="210"/>
  <c r="R3607" i="210"/>
  <c r="R3615" i="210"/>
  <c r="R3623" i="210"/>
  <c r="R3631" i="210"/>
  <c r="R3639" i="210"/>
  <c r="R3647" i="210"/>
  <c r="R3655" i="210"/>
  <c r="R3663" i="210"/>
  <c r="R3671" i="210"/>
  <c r="R3679" i="210"/>
  <c r="R3687" i="210"/>
  <c r="R3695" i="210"/>
  <c r="R3711" i="210"/>
  <c r="R3719" i="210"/>
  <c r="R3727" i="210"/>
  <c r="R3735" i="210"/>
  <c r="R3743" i="210"/>
  <c r="R3759" i="210"/>
  <c r="R3767" i="210"/>
  <c r="R3775" i="210"/>
  <c r="R3783" i="210"/>
  <c r="R3791" i="210"/>
  <c r="R3799" i="210"/>
  <c r="R3815" i="210"/>
  <c r="R3823" i="210"/>
  <c r="R3831" i="210"/>
  <c r="R3847" i="210"/>
  <c r="R3855" i="210"/>
  <c r="R3863" i="210"/>
  <c r="R3871" i="210"/>
  <c r="R3347" i="210"/>
  <c r="R3476" i="210"/>
  <c r="R3500" i="210"/>
  <c r="R3548" i="210"/>
  <c r="R3612" i="210"/>
  <c r="R3676" i="210"/>
  <c r="R3724" i="210"/>
  <c r="R3796" i="210"/>
  <c r="R3820" i="210"/>
  <c r="R3879" i="210"/>
  <c r="R3887" i="210"/>
  <c r="R3895" i="210"/>
  <c r="R3911" i="210"/>
  <c r="R3919" i="210"/>
  <c r="R3927" i="210"/>
  <c r="R3935" i="210"/>
  <c r="R3943" i="210"/>
  <c r="R3951" i="210"/>
  <c r="R3959" i="210"/>
  <c r="R3967" i="210"/>
  <c r="R3975" i="210"/>
  <c r="R3983" i="210"/>
  <c r="R3991" i="210"/>
  <c r="R3524" i="210"/>
  <c r="R3588" i="210"/>
  <c r="R3652" i="210"/>
  <c r="R3772" i="210"/>
  <c r="R3849" i="210"/>
  <c r="R3860" i="210"/>
  <c r="R3882" i="210"/>
  <c r="R3890" i="210"/>
  <c r="R3898" i="210"/>
  <c r="R3906" i="210"/>
  <c r="R3914" i="210"/>
  <c r="R3930" i="210"/>
  <c r="R3938" i="210"/>
  <c r="R3946" i="210"/>
  <c r="R3954" i="210"/>
  <c r="R3962" i="210"/>
  <c r="R3174" i="210"/>
  <c r="R3198" i="210"/>
  <c r="R3390" i="210"/>
  <c r="R3492" i="210"/>
  <c r="R3564" i="210"/>
  <c r="R3628" i="210"/>
  <c r="R3692" i="210"/>
  <c r="R3740" i="210"/>
  <c r="R3828" i="210"/>
  <c r="R3877" i="210"/>
  <c r="R3885" i="210"/>
  <c r="R3893" i="210"/>
  <c r="R3909" i="210"/>
  <c r="R3917" i="210"/>
  <c r="R3933" i="210"/>
  <c r="R3941" i="210"/>
  <c r="R3949" i="210"/>
  <c r="R3957" i="210"/>
  <c r="R3965" i="210"/>
  <c r="R3973" i="210"/>
  <c r="R3981" i="210"/>
  <c r="R3989" i="210"/>
  <c r="R4005" i="210"/>
  <c r="R4013" i="210"/>
  <c r="R4021" i="210"/>
  <c r="R3411" i="210"/>
  <c r="R3468" i="210"/>
  <c r="R3604" i="210"/>
  <c r="R3668" i="210"/>
  <c r="R3716" i="210"/>
  <c r="R3788" i="210"/>
  <c r="R3812" i="210"/>
  <c r="R3857" i="210"/>
  <c r="R3868" i="210"/>
  <c r="R3880" i="210"/>
  <c r="R3888" i="210"/>
  <c r="R3896" i="210"/>
  <c r="R3912" i="210"/>
  <c r="R3928" i="210"/>
  <c r="R3936" i="210"/>
  <c r="R3944" i="210"/>
  <c r="R3952" i="210"/>
  <c r="R3960" i="210"/>
  <c r="R3968" i="210"/>
  <c r="R3976" i="210"/>
  <c r="R3984" i="210"/>
  <c r="R3992" i="210"/>
  <c r="R4000" i="210"/>
  <c r="R3444" i="210"/>
  <c r="R3516" i="210"/>
  <c r="R3580" i="210"/>
  <c r="R3708" i="210"/>
  <c r="R3764" i="210"/>
  <c r="R3825" i="210"/>
  <c r="R3883" i="210"/>
  <c r="R3891" i="210"/>
  <c r="R3899" i="210"/>
  <c r="R3907" i="210"/>
  <c r="R3915" i="210"/>
  <c r="R3931" i="210"/>
  <c r="R3939" i="210"/>
  <c r="R3947" i="210"/>
  <c r="R3358" i="210"/>
  <c r="R3484" i="210"/>
  <c r="R3556" i="210"/>
  <c r="R3620" i="210"/>
  <c r="R3684" i="210"/>
  <c r="R3732" i="210"/>
  <c r="R3844" i="210"/>
  <c r="R3865" i="210"/>
  <c r="R3878" i="210"/>
  <c r="R3886" i="210"/>
  <c r="R3894" i="210"/>
  <c r="R3910" i="210"/>
  <c r="R3918" i="210"/>
  <c r="R3926" i="210"/>
  <c r="R3934" i="210"/>
  <c r="R3379" i="210"/>
  <c r="R3460" i="210"/>
  <c r="R3532" i="210"/>
  <c r="R3660" i="210"/>
  <c r="R3780" i="210"/>
  <c r="R3833" i="210"/>
  <c r="R3841" i="210"/>
  <c r="R3881" i="210"/>
  <c r="R3889" i="210"/>
  <c r="R3897" i="210"/>
  <c r="R3913" i="210"/>
  <c r="R3929" i="210"/>
  <c r="R3937" i="210"/>
  <c r="R3945" i="210"/>
  <c r="R3953" i="210"/>
  <c r="R3961" i="210"/>
  <c r="R3969" i="210"/>
  <c r="R3977" i="210"/>
  <c r="R3985" i="210"/>
  <c r="R3993" i="210"/>
  <c r="R4001" i="210"/>
  <c r="R4009" i="210"/>
  <c r="R4017" i="210"/>
  <c r="R4025" i="210"/>
  <c r="R3054" i="210"/>
  <c r="R3932" i="210"/>
  <c r="R3972" i="210"/>
  <c r="R3974" i="210"/>
  <c r="R3988" i="210"/>
  <c r="R3990" i="210"/>
  <c r="R4004" i="210"/>
  <c r="R4014" i="210"/>
  <c r="R4023" i="210"/>
  <c r="R4029" i="210"/>
  <c r="R4037" i="210"/>
  <c r="R4045" i="210"/>
  <c r="R4053" i="210"/>
  <c r="R4061" i="210"/>
  <c r="R4069" i="210"/>
  <c r="R4077" i="210"/>
  <c r="R4085" i="210"/>
  <c r="R4093" i="210"/>
  <c r="R4101" i="210"/>
  <c r="R4117" i="210"/>
  <c r="R4125" i="210"/>
  <c r="R4133" i="210"/>
  <c r="R4141" i="210"/>
  <c r="R4149" i="210"/>
  <c r="R4157" i="210"/>
  <c r="R4165" i="210"/>
  <c r="R4173" i="210"/>
  <c r="R4181" i="210"/>
  <c r="R4189" i="210"/>
  <c r="R4197" i="210"/>
  <c r="R4205" i="210"/>
  <c r="R4221" i="210"/>
  <c r="R4229" i="210"/>
  <c r="R4237" i="210"/>
  <c r="R4245" i="210"/>
  <c r="R4253" i="210"/>
  <c r="R4261" i="210"/>
  <c r="R4277" i="210"/>
  <c r="R4285" i="210"/>
  <c r="R4293" i="210"/>
  <c r="R4301" i="210"/>
  <c r="R4309" i="210"/>
  <c r="R4317" i="210"/>
  <c r="R4325" i="210"/>
  <c r="R4341" i="210"/>
  <c r="R4349" i="210"/>
  <c r="R4357" i="210"/>
  <c r="R4365" i="210"/>
  <c r="R4373" i="210"/>
  <c r="R4381" i="210"/>
  <c r="R4389" i="210"/>
  <c r="R4397" i="210"/>
  <c r="R4413" i="210"/>
  <c r="R4421" i="210"/>
  <c r="R4437" i="210"/>
  <c r="R4445" i="210"/>
  <c r="R4453" i="210"/>
  <c r="R4461" i="210"/>
  <c r="R4469" i="210"/>
  <c r="R4477" i="210"/>
  <c r="R4485" i="210"/>
  <c r="R4493" i="210"/>
  <c r="R4501" i="210"/>
  <c r="R4509" i="210"/>
  <c r="R4517" i="210"/>
  <c r="R3572" i="210"/>
  <c r="R3873" i="210"/>
  <c r="R3908" i="210"/>
  <c r="R4010" i="210"/>
  <c r="R4019" i="210"/>
  <c r="R4040" i="210"/>
  <c r="R4048" i="210"/>
  <c r="R4064" i="210"/>
  <c r="R4072" i="210"/>
  <c r="R4080" i="210"/>
  <c r="R4088" i="210"/>
  <c r="R4096" i="210"/>
  <c r="R4104" i="210"/>
  <c r="R4112" i="210"/>
  <c r="R4120" i="210"/>
  <c r="R4128" i="210"/>
  <c r="R4136" i="210"/>
  <c r="R4152" i="210"/>
  <c r="R4160" i="210"/>
  <c r="R4176" i="210"/>
  <c r="R4184" i="210"/>
  <c r="R4192" i="210"/>
  <c r="R4200" i="210"/>
  <c r="R4208" i="210"/>
  <c r="R4216" i="210"/>
  <c r="R4224" i="210"/>
  <c r="R4232" i="210"/>
  <c r="R4240" i="210"/>
  <c r="R4248" i="210"/>
  <c r="R4256" i="210"/>
  <c r="R4272" i="210"/>
  <c r="R4280" i="210"/>
  <c r="R4288" i="210"/>
  <c r="R4296" i="210"/>
  <c r="R4304" i="210"/>
  <c r="R4312" i="210"/>
  <c r="R4320" i="210"/>
  <c r="R4328" i="210"/>
  <c r="R4336" i="210"/>
  <c r="R4344" i="210"/>
  <c r="R4360" i="210"/>
  <c r="R4368" i="210"/>
  <c r="R4376" i="210"/>
  <c r="R4392" i="210"/>
  <c r="R4400" i="210"/>
  <c r="R4408" i="210"/>
  <c r="R4416" i="210"/>
  <c r="R4424" i="210"/>
  <c r="R4432" i="210"/>
  <c r="R4440" i="210"/>
  <c r="R4448" i="210"/>
  <c r="R4456" i="210"/>
  <c r="R4464" i="210"/>
  <c r="R4480" i="210"/>
  <c r="R4488" i="210"/>
  <c r="R4496" i="210"/>
  <c r="R4504" i="210"/>
  <c r="R4512" i="210"/>
  <c r="R3422" i="210"/>
  <c r="R3636" i="210"/>
  <c r="R3884" i="210"/>
  <c r="R3978" i="210"/>
  <c r="R4006" i="210"/>
  <c r="R4015" i="210"/>
  <c r="R4024" i="210"/>
  <c r="R4027" i="210"/>
  <c r="R4043" i="210"/>
  <c r="R4051" i="210"/>
  <c r="R4067" i="210"/>
  <c r="R4075" i="210"/>
  <c r="R4083" i="210"/>
  <c r="R4091" i="210"/>
  <c r="R4099" i="210"/>
  <c r="R4115" i="210"/>
  <c r="R4123" i="210"/>
  <c r="R4131" i="210"/>
  <c r="R4139" i="210"/>
  <c r="R4155" i="210"/>
  <c r="R4163" i="210"/>
  <c r="R4179" i="210"/>
  <c r="R4187" i="210"/>
  <c r="R4195" i="210"/>
  <c r="R4203" i="210"/>
  <c r="R4219" i="210"/>
  <c r="R4227" i="210"/>
  <c r="R4235" i="210"/>
  <c r="R4243" i="210"/>
  <c r="R4251" i="210"/>
  <c r="R4259" i="210"/>
  <c r="R4275" i="210"/>
  <c r="R4283" i="210"/>
  <c r="R4291" i="210"/>
  <c r="R4299" i="210"/>
  <c r="R4307" i="210"/>
  <c r="R4315" i="210"/>
  <c r="R4323" i="210"/>
  <c r="R4339" i="210"/>
  <c r="R4347" i="210"/>
  <c r="R4363" i="210"/>
  <c r="R4371" i="210"/>
  <c r="R4379" i="210"/>
  <c r="R4395" i="210"/>
  <c r="R4411" i="210"/>
  <c r="R4419" i="210"/>
  <c r="R4435" i="210"/>
  <c r="R4443" i="210"/>
  <c r="R4451" i="210"/>
  <c r="R4459" i="210"/>
  <c r="R4467" i="210"/>
  <c r="R4483" i="210"/>
  <c r="R4491" i="210"/>
  <c r="R4499" i="210"/>
  <c r="R4507" i="210"/>
  <c r="R4515" i="210"/>
  <c r="R3942" i="210"/>
  <c r="R3979" i="210"/>
  <c r="R4011" i="210"/>
  <c r="R4020" i="210"/>
  <c r="R4038" i="210"/>
  <c r="R4046" i="210"/>
  <c r="R4054" i="210"/>
  <c r="R4062" i="210"/>
  <c r="R4070" i="210"/>
  <c r="R4078" i="210"/>
  <c r="R4086" i="210"/>
  <c r="R4094" i="210"/>
  <c r="R4102" i="210"/>
  <c r="R4118" i="210"/>
  <c r="R4126" i="210"/>
  <c r="R4134" i="210"/>
  <c r="R4142" i="210"/>
  <c r="R4150" i="210"/>
  <c r="R4158" i="210"/>
  <c r="R4174" i="210"/>
  <c r="R4182" i="210"/>
  <c r="R4190" i="210"/>
  <c r="R4198" i="210"/>
  <c r="R4206" i="210"/>
  <c r="R4222" i="210"/>
  <c r="R4230" i="210"/>
  <c r="R4238" i="210"/>
  <c r="R4246" i="210"/>
  <c r="R4254" i="210"/>
  <c r="R4262" i="210"/>
  <c r="R4270" i="210"/>
  <c r="R4278" i="210"/>
  <c r="R4286" i="210"/>
  <c r="R4294" i="210"/>
  <c r="R4302" i="210"/>
  <c r="R4310" i="210"/>
  <c r="R4318" i="210"/>
  <c r="R4326" i="210"/>
  <c r="R4342" i="210"/>
  <c r="R4350" i="210"/>
  <c r="R4358" i="210"/>
  <c r="R4366" i="210"/>
  <c r="R4374" i="210"/>
  <c r="R4390" i="210"/>
  <c r="R4398" i="210"/>
  <c r="R4414" i="210"/>
  <c r="R4422" i="210"/>
  <c r="R4438" i="210"/>
  <c r="R4446" i="210"/>
  <c r="R4454" i="210"/>
  <c r="R4462" i="210"/>
  <c r="R4470" i="210"/>
  <c r="R4478" i="210"/>
  <c r="R4486" i="210"/>
  <c r="R4494" i="210"/>
  <c r="R4502" i="210"/>
  <c r="R4510" i="210"/>
  <c r="R4518" i="210"/>
  <c r="R4526" i="210"/>
  <c r="R3963" i="210"/>
  <c r="R3966" i="210"/>
  <c r="R3980" i="210"/>
  <c r="R3982" i="210"/>
  <c r="R4007" i="210"/>
  <c r="R4016" i="210"/>
  <c r="R4041" i="210"/>
  <c r="R4049" i="210"/>
  <c r="R4065" i="210"/>
  <c r="R4073" i="210"/>
  <c r="R4081" i="210"/>
  <c r="R4089" i="210"/>
  <c r="R4097" i="210"/>
  <c r="R4105" i="210"/>
  <c r="R4113" i="210"/>
  <c r="R4121" i="210"/>
  <c r="R4129" i="210"/>
  <c r="R4137" i="210"/>
  <c r="R4153" i="210"/>
  <c r="R4161" i="210"/>
  <c r="R4177" i="210"/>
  <c r="R4185" i="210"/>
  <c r="R4193" i="210"/>
  <c r="R4201" i="210"/>
  <c r="R4209" i="210"/>
  <c r="R4217" i="210"/>
  <c r="R4225" i="210"/>
  <c r="R4233" i="210"/>
  <c r="R4241" i="210"/>
  <c r="R4249" i="210"/>
  <c r="R4257" i="210"/>
  <c r="R4273" i="210"/>
  <c r="R4281" i="210"/>
  <c r="R4289" i="210"/>
  <c r="R4297" i="210"/>
  <c r="R4305" i="210"/>
  <c r="R4313" i="210"/>
  <c r="R4321" i="210"/>
  <c r="R4329" i="210"/>
  <c r="R4337" i="210"/>
  <c r="R4345" i="210"/>
  <c r="R4361" i="210"/>
  <c r="R4369" i="210"/>
  <c r="R4377" i="210"/>
  <c r="R4393" i="210"/>
  <c r="R4401" i="210"/>
  <c r="R4409" i="210"/>
  <c r="R4417" i="210"/>
  <c r="R3508" i="210"/>
  <c r="R3876" i="210"/>
  <c r="R3940" i="210"/>
  <c r="R3955" i="210"/>
  <c r="R3958" i="210"/>
  <c r="R3964" i="210"/>
  <c r="R4012" i="210"/>
  <c r="R4028" i="210"/>
  <c r="R4036" i="210"/>
  <c r="R4044" i="210"/>
  <c r="R4052" i="210"/>
  <c r="R4068" i="210"/>
  <c r="R4076" i="210"/>
  <c r="R4084" i="210"/>
  <c r="R4092" i="210"/>
  <c r="R4100" i="210"/>
  <c r="R4116" i="210"/>
  <c r="R4124" i="210"/>
  <c r="R4132" i="210"/>
  <c r="R4140" i="210"/>
  <c r="R4156" i="210"/>
  <c r="R4164" i="210"/>
  <c r="R4172" i="210"/>
  <c r="R4180" i="210"/>
  <c r="R4188" i="210"/>
  <c r="R4196" i="210"/>
  <c r="R4204" i="210"/>
  <c r="R4220" i="210"/>
  <c r="R4228" i="210"/>
  <c r="R4236" i="210"/>
  <c r="R4244" i="210"/>
  <c r="R4252" i="210"/>
  <c r="R4260" i="210"/>
  <c r="R4276" i="210"/>
  <c r="R4284" i="210"/>
  <c r="R4292" i="210"/>
  <c r="R4300" i="210"/>
  <c r="R4308" i="210"/>
  <c r="R4316" i="210"/>
  <c r="R4324" i="210"/>
  <c r="R4340" i="210"/>
  <c r="R4348" i="210"/>
  <c r="R4364" i="210"/>
  <c r="R4372" i="210"/>
  <c r="R4380" i="210"/>
  <c r="R4388" i="210"/>
  <c r="R4396" i="210"/>
  <c r="R4412" i="210"/>
  <c r="R4420" i="210"/>
  <c r="R4436" i="210"/>
  <c r="R4444" i="210"/>
  <c r="R4452" i="210"/>
  <c r="R4460" i="210"/>
  <c r="R4468" i="210"/>
  <c r="R4484" i="210"/>
  <c r="R4492" i="210"/>
  <c r="R4500" i="210"/>
  <c r="R4508" i="210"/>
  <c r="R4516" i="210"/>
  <c r="R3310" i="210"/>
  <c r="R3748" i="210"/>
  <c r="R3916" i="210"/>
  <c r="R3950" i="210"/>
  <c r="R3956" i="210"/>
  <c r="R3970" i="210"/>
  <c r="R3986" i="210"/>
  <c r="R4002" i="210"/>
  <c r="R4008" i="210"/>
  <c r="R4022" i="210"/>
  <c r="R4039" i="210"/>
  <c r="R4047" i="210"/>
  <c r="R4063" i="210"/>
  <c r="R4071" i="210"/>
  <c r="R4079" i="210"/>
  <c r="R4087" i="210"/>
  <c r="R4095" i="210"/>
  <c r="R4103" i="210"/>
  <c r="R4119" i="210"/>
  <c r="R4127" i="210"/>
  <c r="R4135" i="210"/>
  <c r="R4151" i="210"/>
  <c r="R4159" i="210"/>
  <c r="R4175" i="210"/>
  <c r="R4183" i="210"/>
  <c r="R4191" i="210"/>
  <c r="R4199" i="210"/>
  <c r="R4207" i="210"/>
  <c r="R4223" i="210"/>
  <c r="R4231" i="210"/>
  <c r="R4239" i="210"/>
  <c r="R4247" i="210"/>
  <c r="R4255" i="210"/>
  <c r="R4263" i="210"/>
  <c r="R4271" i="210"/>
  <c r="R4279" i="210"/>
  <c r="R4287" i="210"/>
  <c r="R4295" i="210"/>
  <c r="R4303" i="210"/>
  <c r="R4311" i="210"/>
  <c r="R4319" i="210"/>
  <c r="R4327" i="210"/>
  <c r="R4343" i="210"/>
  <c r="R4359" i="210"/>
  <c r="R4367" i="210"/>
  <c r="R4375" i="210"/>
  <c r="R4391" i="210"/>
  <c r="R4399" i="210"/>
  <c r="R4415" i="210"/>
  <c r="R4423" i="210"/>
  <c r="R4439" i="210"/>
  <c r="R4447" i="210"/>
  <c r="R4455" i="210"/>
  <c r="R4463" i="210"/>
  <c r="R4479" i="210"/>
  <c r="R4487" i="210"/>
  <c r="R4495" i="210"/>
  <c r="R4503" i="210"/>
  <c r="R4511" i="210"/>
  <c r="R4519" i="210"/>
  <c r="R4527" i="210"/>
  <c r="R3987" i="210"/>
  <c r="R4003" i="210"/>
  <c r="R4114" i="210"/>
  <c r="R4234" i="210"/>
  <c r="R4322" i="210"/>
  <c r="R4410" i="210"/>
  <c r="R4425" i="210"/>
  <c r="R4497" i="210"/>
  <c r="R4498" i="210"/>
  <c r="R4532" i="210"/>
  <c r="R4540" i="210"/>
  <c r="R4556" i="210"/>
  <c r="R4564" i="210"/>
  <c r="R4572" i="210"/>
  <c r="R4580" i="210"/>
  <c r="R4588" i="210"/>
  <c r="R4604" i="210"/>
  <c r="R4612" i="210"/>
  <c r="R4620" i="210"/>
  <c r="R4628" i="210"/>
  <c r="R4636" i="210"/>
  <c r="R4644" i="210"/>
  <c r="R4652" i="210"/>
  <c r="R4660" i="210"/>
  <c r="R4676" i="210"/>
  <c r="R4684" i="210"/>
  <c r="R4692" i="210"/>
  <c r="R4700" i="210"/>
  <c r="R4716" i="210"/>
  <c r="R4724" i="210"/>
  <c r="R4732" i="210"/>
  <c r="R4748" i="210"/>
  <c r="R4756" i="210"/>
  <c r="R4764" i="210"/>
  <c r="R4772" i="210"/>
  <c r="R4780" i="210"/>
  <c r="R4788" i="210"/>
  <c r="R4796" i="210"/>
  <c r="R4804" i="210"/>
  <c r="R4820" i="210"/>
  <c r="R4828" i="210"/>
  <c r="R4836" i="210"/>
  <c r="R4844" i="210"/>
  <c r="R4852" i="210"/>
  <c r="R4860" i="210"/>
  <c r="R4868" i="210"/>
  <c r="R4876" i="210"/>
  <c r="R4884" i="210"/>
  <c r="R4900" i="210"/>
  <c r="R4908" i="210"/>
  <c r="R4916" i="210"/>
  <c r="R4924" i="210"/>
  <c r="R4932" i="210"/>
  <c r="R4948" i="210"/>
  <c r="R4956" i="210"/>
  <c r="R4964" i="210"/>
  <c r="R3436" i="210"/>
  <c r="R4018" i="210"/>
  <c r="R4042" i="210"/>
  <c r="R4090" i="210"/>
  <c r="R4138" i="210"/>
  <c r="R4298" i="210"/>
  <c r="R4378" i="210"/>
  <c r="R4433" i="210"/>
  <c r="R4434" i="210"/>
  <c r="R4457" i="210"/>
  <c r="R4458" i="210"/>
  <c r="R4535" i="210"/>
  <c r="R4543" i="210"/>
  <c r="R4551" i="210"/>
  <c r="R4559" i="210"/>
  <c r="R4567" i="210"/>
  <c r="R4575" i="210"/>
  <c r="R4583" i="210"/>
  <c r="R4599" i="210"/>
  <c r="R4607" i="210"/>
  <c r="R4615" i="210"/>
  <c r="R4623" i="210"/>
  <c r="R4631" i="210"/>
  <c r="R4639" i="210"/>
  <c r="R4647" i="210"/>
  <c r="R4655" i="210"/>
  <c r="R4671" i="210"/>
  <c r="R4679" i="210"/>
  <c r="R4687" i="210"/>
  <c r="R4695" i="210"/>
  <c r="R4703" i="210"/>
  <c r="R4719" i="210"/>
  <c r="R4727" i="210"/>
  <c r="R4743" i="210"/>
  <c r="R4751" i="210"/>
  <c r="R4759" i="210"/>
  <c r="R4767" i="210"/>
  <c r="R4775" i="210"/>
  <c r="R4783" i="210"/>
  <c r="R4791" i="210"/>
  <c r="R4799" i="210"/>
  <c r="R4807" i="210"/>
  <c r="R4815" i="210"/>
  <c r="R4823" i="210"/>
  <c r="R4831" i="210"/>
  <c r="R4839" i="210"/>
  <c r="R4847" i="210"/>
  <c r="R4855" i="210"/>
  <c r="R4863" i="210"/>
  <c r="R4871" i="210"/>
  <c r="R4879" i="210"/>
  <c r="R4895" i="210"/>
  <c r="R4903" i="210"/>
  <c r="R4911" i="210"/>
  <c r="R4919" i="210"/>
  <c r="R4927" i="210"/>
  <c r="R4935" i="210"/>
  <c r="R4943" i="210"/>
  <c r="R4066" i="210"/>
  <c r="R4162" i="210"/>
  <c r="R4186" i="210"/>
  <c r="R4250" i="210"/>
  <c r="R4274" i="210"/>
  <c r="R4505" i="210"/>
  <c r="R4506" i="210"/>
  <c r="R4530" i="210"/>
  <c r="R4538" i="210"/>
  <c r="R4554" i="210"/>
  <c r="R4562" i="210"/>
  <c r="R4570" i="210"/>
  <c r="R4578" i="210"/>
  <c r="R4586" i="210"/>
  <c r="R4602" i="210"/>
  <c r="R4610" i="210"/>
  <c r="R4618" i="210"/>
  <c r="R4626" i="210"/>
  <c r="R4634" i="210"/>
  <c r="R4642" i="210"/>
  <c r="R4650" i="210"/>
  <c r="R4658" i="210"/>
  <c r="R4674" i="210"/>
  <c r="R4682" i="210"/>
  <c r="R4690" i="210"/>
  <c r="R4698" i="210"/>
  <c r="R4706" i="210"/>
  <c r="R4714" i="210"/>
  <c r="R4722" i="210"/>
  <c r="R4730" i="210"/>
  <c r="R4746" i="210"/>
  <c r="R4754" i="210"/>
  <c r="R4762" i="210"/>
  <c r="R4770" i="210"/>
  <c r="R4778" i="210"/>
  <c r="R4786" i="210"/>
  <c r="R4794" i="210"/>
  <c r="R4802" i="210"/>
  <c r="R4818" i="210"/>
  <c r="R4826" i="210"/>
  <c r="R4834" i="210"/>
  <c r="R4842" i="210"/>
  <c r="R4850" i="210"/>
  <c r="R4858" i="210"/>
  <c r="R4866" i="210"/>
  <c r="R4874" i="210"/>
  <c r="R4882" i="210"/>
  <c r="R4898" i="210"/>
  <c r="R4906" i="210"/>
  <c r="R4914" i="210"/>
  <c r="R4922" i="210"/>
  <c r="R4930" i="210"/>
  <c r="R4946" i="210"/>
  <c r="R4954" i="210"/>
  <c r="R4962" i="210"/>
  <c r="R3971" i="210"/>
  <c r="R4226" i="210"/>
  <c r="R4314" i="210"/>
  <c r="R4346" i="210"/>
  <c r="R4465" i="210"/>
  <c r="R4466" i="210"/>
  <c r="R4533" i="210"/>
  <c r="R4541" i="210"/>
  <c r="R4557" i="210"/>
  <c r="R4565" i="210"/>
  <c r="R4573" i="210"/>
  <c r="R4581" i="210"/>
  <c r="R4589" i="210"/>
  <c r="R4597" i="210"/>
  <c r="R4605" i="210"/>
  <c r="R4613" i="210"/>
  <c r="R4621" i="210"/>
  <c r="R4629" i="210"/>
  <c r="R4637" i="210"/>
  <c r="R4645" i="210"/>
  <c r="R4653" i="210"/>
  <c r="R4661" i="210"/>
  <c r="R4669" i="210"/>
  <c r="R4677" i="210"/>
  <c r="R4685" i="210"/>
  <c r="R4693" i="210"/>
  <c r="R4701" i="210"/>
  <c r="R4717" i="210"/>
  <c r="R4725" i="210"/>
  <c r="R4733" i="210"/>
  <c r="R4741" i="210"/>
  <c r="R4749" i="210"/>
  <c r="R4757" i="210"/>
  <c r="R4765" i="210"/>
  <c r="R4773" i="210"/>
  <c r="R4781" i="210"/>
  <c r="R4789" i="210"/>
  <c r="R4797" i="210"/>
  <c r="R4805" i="210"/>
  <c r="R4821" i="210"/>
  <c r="R4829" i="210"/>
  <c r="R4837" i="210"/>
  <c r="R4845" i="210"/>
  <c r="R4853" i="210"/>
  <c r="R4861" i="210"/>
  <c r="R4869" i="210"/>
  <c r="R4877" i="210"/>
  <c r="R4885" i="210"/>
  <c r="R4893" i="210"/>
  <c r="R4901" i="210"/>
  <c r="R4909" i="210"/>
  <c r="R4917" i="210"/>
  <c r="R4925" i="210"/>
  <c r="R4933" i="210"/>
  <c r="R4949" i="210"/>
  <c r="R4957" i="210"/>
  <c r="R4965" i="210"/>
  <c r="R3892" i="210"/>
  <c r="R4082" i="210"/>
  <c r="R4130" i="210"/>
  <c r="R4202" i="210"/>
  <c r="R4290" i="210"/>
  <c r="R4338" i="210"/>
  <c r="R4370" i="210"/>
  <c r="R4394" i="210"/>
  <c r="R4481" i="210"/>
  <c r="R4482" i="210"/>
  <c r="R4513" i="210"/>
  <c r="R4514" i="210"/>
  <c r="R4528" i="210"/>
  <c r="R4536" i="210"/>
  <c r="R4552" i="210"/>
  <c r="R4560" i="210"/>
  <c r="R4568" i="210"/>
  <c r="R4576" i="210"/>
  <c r="R4584" i="210"/>
  <c r="R4600" i="210"/>
  <c r="R4608" i="210"/>
  <c r="R4616" i="210"/>
  <c r="R4624" i="210"/>
  <c r="R4632" i="210"/>
  <c r="R4640" i="210"/>
  <c r="R4648" i="210"/>
  <c r="R4656" i="210"/>
  <c r="R4672" i="210"/>
  <c r="R4680" i="210"/>
  <c r="R4688" i="210"/>
  <c r="R4696" i="210"/>
  <c r="R4704" i="210"/>
  <c r="R4720" i="210"/>
  <c r="R4728" i="210"/>
  <c r="R4744" i="210"/>
  <c r="R4752" i="210"/>
  <c r="R4760" i="210"/>
  <c r="R4768" i="210"/>
  <c r="R4776" i="210"/>
  <c r="R4784" i="210"/>
  <c r="R4792" i="210"/>
  <c r="R4800" i="210"/>
  <c r="R4816" i="210"/>
  <c r="R4824" i="210"/>
  <c r="R4832" i="210"/>
  <c r="R4840" i="210"/>
  <c r="R4848" i="210"/>
  <c r="R4856" i="210"/>
  <c r="R4864" i="210"/>
  <c r="R4154" i="210"/>
  <c r="R4178" i="210"/>
  <c r="R4242" i="210"/>
  <c r="R4441" i="210"/>
  <c r="R4442" i="210"/>
  <c r="R4531" i="210"/>
  <c r="R4539" i="210"/>
  <c r="R4555" i="210"/>
  <c r="R4563" i="210"/>
  <c r="R4571" i="210"/>
  <c r="R4579" i="210"/>
  <c r="R4587" i="210"/>
  <c r="R4603" i="210"/>
  <c r="R4611" i="210"/>
  <c r="R4619" i="210"/>
  <c r="R4627" i="210"/>
  <c r="R4635" i="210"/>
  <c r="R4643" i="210"/>
  <c r="R4651" i="210"/>
  <c r="R4659" i="210"/>
  <c r="R4675" i="210"/>
  <c r="R4683" i="210"/>
  <c r="R4691" i="210"/>
  <c r="R4699" i="210"/>
  <c r="R4707" i="210"/>
  <c r="R4715" i="210"/>
  <c r="R4723" i="210"/>
  <c r="R4731" i="210"/>
  <c r="R4747" i="210"/>
  <c r="R4755" i="210"/>
  <c r="R4763" i="210"/>
  <c r="R4771" i="210"/>
  <c r="R4779" i="210"/>
  <c r="R4787" i="210"/>
  <c r="R4795" i="210"/>
  <c r="R4803" i="210"/>
  <c r="R4819" i="210"/>
  <c r="R4827" i="210"/>
  <c r="R4835" i="210"/>
  <c r="R4843" i="210"/>
  <c r="R4851" i="210"/>
  <c r="R4859" i="210"/>
  <c r="R4867" i="210"/>
  <c r="R4875" i="210"/>
  <c r="R4883" i="210"/>
  <c r="R4899" i="210"/>
  <c r="R4907" i="210"/>
  <c r="R4915" i="210"/>
  <c r="R4923" i="210"/>
  <c r="R4931" i="210"/>
  <c r="R4947" i="210"/>
  <c r="R3852" i="210"/>
  <c r="R4026" i="210"/>
  <c r="R4050" i="210"/>
  <c r="R4098" i="210"/>
  <c r="R4218" i="210"/>
  <c r="R4306" i="210"/>
  <c r="R4489" i="210"/>
  <c r="R4490" i="210"/>
  <c r="R4534" i="210"/>
  <c r="R4542" i="210"/>
  <c r="R4550" i="210"/>
  <c r="R4558" i="210"/>
  <c r="R4566" i="210"/>
  <c r="R4574" i="210"/>
  <c r="R4582" i="210"/>
  <c r="R4590" i="210"/>
  <c r="R4598" i="210"/>
  <c r="R4606" i="210"/>
  <c r="R4614" i="210"/>
  <c r="R4622" i="210"/>
  <c r="R4630" i="210"/>
  <c r="R4638" i="210"/>
  <c r="R4646" i="210"/>
  <c r="R4654" i="210"/>
  <c r="R4662" i="210"/>
  <c r="R4670" i="210"/>
  <c r="R4678" i="210"/>
  <c r="R4686" i="210"/>
  <c r="R4694" i="210"/>
  <c r="R4702" i="210"/>
  <c r="R4718" i="210"/>
  <c r="R4726" i="210"/>
  <c r="R4734" i="210"/>
  <c r="R4742" i="210"/>
  <c r="R4750" i="210"/>
  <c r="R4758" i="210"/>
  <c r="R4766" i="210"/>
  <c r="R4774" i="210"/>
  <c r="R4782" i="210"/>
  <c r="R4790" i="210"/>
  <c r="R4798" i="210"/>
  <c r="R4806" i="210"/>
  <c r="R4814" i="210"/>
  <c r="R4822" i="210"/>
  <c r="R4830" i="210"/>
  <c r="R4838" i="210"/>
  <c r="R4846" i="210"/>
  <c r="R4854" i="210"/>
  <c r="R4862" i="210"/>
  <c r="R4870" i="210"/>
  <c r="R4878" i="210"/>
  <c r="R4886" i="210"/>
  <c r="R4894" i="210"/>
  <c r="R4902" i="210"/>
  <c r="R4910" i="210"/>
  <c r="R4918" i="210"/>
  <c r="R4926" i="210"/>
  <c r="R4934" i="210"/>
  <c r="R4942" i="210"/>
  <c r="R4950" i="210"/>
  <c r="R4958" i="210"/>
  <c r="R4966" i="210"/>
  <c r="R3948" i="210"/>
  <c r="R4449" i="210"/>
  <c r="R4537" i="210"/>
  <c r="R4657" i="210"/>
  <c r="R4681" i="210"/>
  <c r="R4801" i="210"/>
  <c r="R4896" i="210"/>
  <c r="R4897" i="210"/>
  <c r="R4928" i="210"/>
  <c r="R4929" i="210"/>
  <c r="R4970" i="210"/>
  <c r="R4978" i="210"/>
  <c r="R4986" i="210"/>
  <c r="R4994" i="210"/>
  <c r="R5002" i="210"/>
  <c r="R5010" i="210"/>
  <c r="R5018" i="210"/>
  <c r="R5026" i="210"/>
  <c r="R5034" i="210"/>
  <c r="R5042" i="210"/>
  <c r="R5050" i="210"/>
  <c r="R5058" i="210"/>
  <c r="R5066" i="210"/>
  <c r="R5082" i="210"/>
  <c r="R5090" i="210"/>
  <c r="R5098" i="210"/>
  <c r="R5106" i="210"/>
  <c r="R5114" i="210"/>
  <c r="R5122" i="210"/>
  <c r="R5130" i="210"/>
  <c r="R5138" i="210"/>
  <c r="R5146" i="210"/>
  <c r="R5154" i="210"/>
  <c r="R5162" i="210"/>
  <c r="R5170" i="210"/>
  <c r="R5178" i="210"/>
  <c r="R5186" i="210"/>
  <c r="R5194" i="210"/>
  <c r="R5202" i="210"/>
  <c r="R5210" i="210"/>
  <c r="R5226" i="210"/>
  <c r="R5234" i="210"/>
  <c r="R5242" i="210"/>
  <c r="R5250" i="210"/>
  <c r="R5258" i="210"/>
  <c r="R5266" i="210"/>
  <c r="R5274" i="210"/>
  <c r="R5282" i="210"/>
  <c r="R5290" i="210"/>
  <c r="R5298" i="210"/>
  <c r="R5306" i="210"/>
  <c r="R5314" i="210"/>
  <c r="R5322" i="210"/>
  <c r="R5330" i="210"/>
  <c r="R5338" i="210"/>
  <c r="R5346" i="210"/>
  <c r="R5362" i="210"/>
  <c r="R5370" i="210"/>
  <c r="R5378" i="210"/>
  <c r="R4122" i="210"/>
  <c r="R4418" i="210"/>
  <c r="R4569" i="210"/>
  <c r="R4633" i="210"/>
  <c r="R4777" i="210"/>
  <c r="R4849" i="210"/>
  <c r="R4967" i="210"/>
  <c r="R4973" i="210"/>
  <c r="R4981" i="210"/>
  <c r="R4989" i="210"/>
  <c r="R4997" i="210"/>
  <c r="R5005" i="210"/>
  <c r="R5013" i="210"/>
  <c r="R5021" i="210"/>
  <c r="R5037" i="210"/>
  <c r="R5045" i="210"/>
  <c r="R5053" i="210"/>
  <c r="R5061" i="210"/>
  <c r="R5077" i="210"/>
  <c r="R5085" i="210"/>
  <c r="R5093" i="210"/>
  <c r="R5101" i="210"/>
  <c r="R5109" i="210"/>
  <c r="R5117" i="210"/>
  <c r="R5125" i="210"/>
  <c r="R5133" i="210"/>
  <c r="R5141" i="210"/>
  <c r="R5149" i="210"/>
  <c r="R5157" i="210"/>
  <c r="R5165" i="210"/>
  <c r="R5173" i="210"/>
  <c r="R5181" i="210"/>
  <c r="R5189" i="210"/>
  <c r="R5197" i="210"/>
  <c r="R5205" i="210"/>
  <c r="R5213" i="210"/>
  <c r="R5221" i="210"/>
  <c r="R5229" i="210"/>
  <c r="R5237" i="210"/>
  <c r="R5245" i="210"/>
  <c r="R5253" i="210"/>
  <c r="R5261" i="210"/>
  <c r="R5269" i="210"/>
  <c r="R5277" i="210"/>
  <c r="R5285" i="210"/>
  <c r="R5293" i="210"/>
  <c r="R5301" i="210"/>
  <c r="R5309" i="210"/>
  <c r="R5325" i="210"/>
  <c r="R5333" i="210"/>
  <c r="R5341" i="210"/>
  <c r="R5349" i="210"/>
  <c r="R5365" i="210"/>
  <c r="R5373" i="210"/>
  <c r="R5381" i="210"/>
  <c r="R4609" i="210"/>
  <c r="R4697" i="210"/>
  <c r="R4753" i="210"/>
  <c r="R4825" i="210"/>
  <c r="R4904" i="210"/>
  <c r="R4905" i="210"/>
  <c r="R4951" i="210"/>
  <c r="R4952" i="210"/>
  <c r="R4953" i="210"/>
  <c r="R4955" i="210"/>
  <c r="R4976" i="210"/>
  <c r="R4984" i="210"/>
  <c r="R4992" i="210"/>
  <c r="R5000" i="210"/>
  <c r="R5008" i="210"/>
  <c r="R5016" i="210"/>
  <c r="R5024" i="210"/>
  <c r="R5040" i="210"/>
  <c r="R5048" i="210"/>
  <c r="R5056" i="210"/>
  <c r="R5064" i="210"/>
  <c r="R5080" i="210"/>
  <c r="R5088" i="210"/>
  <c r="R5096" i="210"/>
  <c r="R5104" i="210"/>
  <c r="R5112" i="210"/>
  <c r="R5120" i="210"/>
  <c r="R5128" i="210"/>
  <c r="R5136" i="210"/>
  <c r="R5144" i="210"/>
  <c r="R5152" i="210"/>
  <c r="R5160" i="210"/>
  <c r="R5168" i="210"/>
  <c r="R5176" i="210"/>
  <c r="R5184" i="210"/>
  <c r="R5192" i="210"/>
  <c r="R5200" i="210"/>
  <c r="R5208" i="210"/>
  <c r="R5224" i="210"/>
  <c r="R5232" i="210"/>
  <c r="R5240" i="210"/>
  <c r="R5248" i="210"/>
  <c r="R5256" i="210"/>
  <c r="R5264" i="210"/>
  <c r="R5272" i="210"/>
  <c r="R5280" i="210"/>
  <c r="R5288" i="210"/>
  <c r="R5296" i="210"/>
  <c r="R5304" i="210"/>
  <c r="R5312" i="210"/>
  <c r="R5328" i="210"/>
  <c r="R5336" i="210"/>
  <c r="R5344" i="210"/>
  <c r="R5352" i="210"/>
  <c r="R5360" i="210"/>
  <c r="R5368" i="210"/>
  <c r="R5376" i="210"/>
  <c r="R4529" i="210"/>
  <c r="R4585" i="210"/>
  <c r="R4649" i="210"/>
  <c r="R4673" i="210"/>
  <c r="R4729" i="210"/>
  <c r="R4793" i="210"/>
  <c r="R4865" i="210"/>
  <c r="R4968" i="210"/>
  <c r="R4971" i="210"/>
  <c r="R4979" i="210"/>
  <c r="R4987" i="210"/>
  <c r="R4995" i="210"/>
  <c r="R5003" i="210"/>
  <c r="R5011" i="210"/>
  <c r="R5019" i="210"/>
  <c r="R5027" i="210"/>
  <c r="R5035" i="210"/>
  <c r="R5043" i="210"/>
  <c r="R5051" i="210"/>
  <c r="R5059" i="210"/>
  <c r="R5067" i="210"/>
  <c r="R5075" i="210"/>
  <c r="R5083" i="210"/>
  <c r="R5091" i="210"/>
  <c r="R5099" i="210"/>
  <c r="R5107" i="210"/>
  <c r="R5115" i="210"/>
  <c r="R5123" i="210"/>
  <c r="R5131" i="210"/>
  <c r="R5139" i="210"/>
  <c r="R5147" i="210"/>
  <c r="R5155" i="210"/>
  <c r="R5163" i="210"/>
  <c r="R5171" i="210"/>
  <c r="R5179" i="210"/>
  <c r="R5187" i="210"/>
  <c r="R5195" i="210"/>
  <c r="R5203" i="210"/>
  <c r="R5211" i="210"/>
  <c r="R5227" i="210"/>
  <c r="R5235" i="210"/>
  <c r="R5243" i="210"/>
  <c r="R5251" i="210"/>
  <c r="R5259" i="210"/>
  <c r="R5267" i="210"/>
  <c r="R5275" i="210"/>
  <c r="R5283" i="210"/>
  <c r="R5291" i="210"/>
  <c r="R5299" i="210"/>
  <c r="R5307" i="210"/>
  <c r="R5323" i="210"/>
  <c r="R5331" i="210"/>
  <c r="R5339" i="210"/>
  <c r="R5347" i="210"/>
  <c r="R5363" i="210"/>
  <c r="R5371" i="210"/>
  <c r="R5379" i="210"/>
  <c r="R4561" i="210"/>
  <c r="R4625" i="210"/>
  <c r="R4769" i="210"/>
  <c r="R4841" i="210"/>
  <c r="R4872" i="210"/>
  <c r="R4873" i="210"/>
  <c r="R4912" i="210"/>
  <c r="R4913" i="210"/>
  <c r="R4944" i="210"/>
  <c r="R4959" i="210"/>
  <c r="R4974" i="210"/>
  <c r="R4982" i="210"/>
  <c r="R4990" i="210"/>
  <c r="R4998" i="210"/>
  <c r="R5006" i="210"/>
  <c r="R5014" i="210"/>
  <c r="R5022" i="210"/>
  <c r="R5038" i="210"/>
  <c r="R5046" i="210"/>
  <c r="R5054" i="210"/>
  <c r="R5062" i="210"/>
  <c r="R5078" i="210"/>
  <c r="R5086" i="210"/>
  <c r="R5094" i="210"/>
  <c r="R5102" i="210"/>
  <c r="R5110" i="210"/>
  <c r="R5118" i="210"/>
  <c r="R5126" i="210"/>
  <c r="R5134" i="210"/>
  <c r="R5142" i="210"/>
  <c r="R5150" i="210"/>
  <c r="R5158" i="210"/>
  <c r="R5166" i="210"/>
  <c r="R5174" i="210"/>
  <c r="R5182" i="210"/>
  <c r="R5190" i="210"/>
  <c r="R5198" i="210"/>
  <c r="R5206" i="210"/>
  <c r="R5214" i="210"/>
  <c r="R5222" i="210"/>
  <c r="R5230" i="210"/>
  <c r="R5238" i="210"/>
  <c r="R5246" i="210"/>
  <c r="R4194" i="210"/>
  <c r="R4282" i="210"/>
  <c r="R4601" i="210"/>
  <c r="R4689" i="210"/>
  <c r="R4745" i="210"/>
  <c r="R4817" i="210"/>
  <c r="R4945" i="210"/>
  <c r="R4960" i="210"/>
  <c r="R4969" i="210"/>
  <c r="R4977" i="210"/>
  <c r="R4985" i="210"/>
  <c r="R4993" i="210"/>
  <c r="R5001" i="210"/>
  <c r="R5009" i="210"/>
  <c r="R5017" i="210"/>
  <c r="R5025" i="210"/>
  <c r="R5041" i="210"/>
  <c r="R5049" i="210"/>
  <c r="R5057" i="210"/>
  <c r="R5065" i="210"/>
  <c r="R5081" i="210"/>
  <c r="R5089" i="210"/>
  <c r="R5097" i="210"/>
  <c r="R5105" i="210"/>
  <c r="R5113" i="210"/>
  <c r="R5121" i="210"/>
  <c r="R5129" i="210"/>
  <c r="R5137" i="210"/>
  <c r="R5145" i="210"/>
  <c r="R5153" i="210"/>
  <c r="R5161" i="210"/>
  <c r="R5169" i="210"/>
  <c r="R5177" i="210"/>
  <c r="R5185" i="210"/>
  <c r="R5193" i="210"/>
  <c r="R5201" i="210"/>
  <c r="R5209" i="210"/>
  <c r="R5225" i="210"/>
  <c r="R5233" i="210"/>
  <c r="R5241" i="210"/>
  <c r="R5249" i="210"/>
  <c r="R5257" i="210"/>
  <c r="R5265" i="210"/>
  <c r="R5273" i="210"/>
  <c r="R5281" i="210"/>
  <c r="R5289" i="210"/>
  <c r="R5297" i="210"/>
  <c r="R5305" i="210"/>
  <c r="R5313" i="210"/>
  <c r="R5321" i="210"/>
  <c r="R5329" i="210"/>
  <c r="R5337" i="210"/>
  <c r="R5345" i="210"/>
  <c r="R5361" i="210"/>
  <c r="R5369" i="210"/>
  <c r="R5377" i="210"/>
  <c r="R4258" i="210"/>
  <c r="R4577" i="210"/>
  <c r="R4641" i="210"/>
  <c r="R4721" i="210"/>
  <c r="R4785" i="210"/>
  <c r="R4857" i="210"/>
  <c r="R4880" i="210"/>
  <c r="R4881" i="210"/>
  <c r="R4920" i="210"/>
  <c r="R4921" i="210"/>
  <c r="R4961" i="210"/>
  <c r="R4963" i="210"/>
  <c r="R4972" i="210"/>
  <c r="R4980" i="210"/>
  <c r="R4988" i="210"/>
  <c r="R4996" i="210"/>
  <c r="R5004" i="210"/>
  <c r="R5012" i="210"/>
  <c r="R5020" i="210"/>
  <c r="R5036" i="210"/>
  <c r="R5044" i="210"/>
  <c r="R5052" i="210"/>
  <c r="R5060" i="210"/>
  <c r="R5068" i="210"/>
  <c r="R5076" i="210"/>
  <c r="R5084" i="210"/>
  <c r="R5092" i="210"/>
  <c r="R5100" i="210"/>
  <c r="R5108" i="210"/>
  <c r="R5116" i="210"/>
  <c r="R5124" i="210"/>
  <c r="R5132" i="210"/>
  <c r="R5140" i="210"/>
  <c r="R5148" i="210"/>
  <c r="R5156" i="210"/>
  <c r="R5164" i="210"/>
  <c r="R5172" i="210"/>
  <c r="R5180" i="210"/>
  <c r="R5188" i="210"/>
  <c r="R5196" i="210"/>
  <c r="R5204" i="210"/>
  <c r="R5212" i="210"/>
  <c r="R5228" i="210"/>
  <c r="R5236" i="210"/>
  <c r="R5244" i="210"/>
  <c r="R5252" i="210"/>
  <c r="R5260" i="210"/>
  <c r="R5268" i="210"/>
  <c r="R5276" i="210"/>
  <c r="R5284" i="210"/>
  <c r="R5292" i="210"/>
  <c r="R5300" i="210"/>
  <c r="R5308" i="210"/>
  <c r="R5324" i="210"/>
  <c r="R5332" i="210"/>
  <c r="R5340" i="210"/>
  <c r="R5348" i="210"/>
  <c r="R5364" i="210"/>
  <c r="R5372" i="210"/>
  <c r="R5380" i="210"/>
  <c r="R4074" i="210"/>
  <c r="R4999" i="210"/>
  <c r="R5047" i="210"/>
  <c r="R5135" i="210"/>
  <c r="R5199" i="210"/>
  <c r="R5231" i="210"/>
  <c r="R5326" i="210"/>
  <c r="R5327" i="210"/>
  <c r="R5359" i="210"/>
  <c r="R5382" i="210"/>
  <c r="R5383" i="210"/>
  <c r="R5394" i="210"/>
  <c r="R5402" i="210"/>
  <c r="R5410" i="210"/>
  <c r="R5418" i="210"/>
  <c r="R5426" i="210"/>
  <c r="R5434" i="210"/>
  <c r="R5442" i="210"/>
  <c r="R5450" i="210"/>
  <c r="R5458" i="210"/>
  <c r="R5466" i="210"/>
  <c r="R5474" i="210"/>
  <c r="R5490" i="210"/>
  <c r="R5498" i="210"/>
  <c r="R5506" i="210"/>
  <c r="R5514" i="210"/>
  <c r="R5522" i="210"/>
  <c r="R5530" i="210"/>
  <c r="R5538" i="210"/>
  <c r="R5546" i="210"/>
  <c r="R5554" i="210"/>
  <c r="R5562" i="210"/>
  <c r="R5570" i="210"/>
  <c r="R5578" i="210"/>
  <c r="R5594" i="210"/>
  <c r="R5602" i="210"/>
  <c r="R5610" i="210"/>
  <c r="R5618" i="210"/>
  <c r="R5626" i="210"/>
  <c r="R5634" i="210"/>
  <c r="R5650" i="210"/>
  <c r="R5658" i="210"/>
  <c r="R5666" i="210"/>
  <c r="R5682" i="210"/>
  <c r="R5690" i="210"/>
  <c r="R5698" i="210"/>
  <c r="R5706" i="210"/>
  <c r="R5714" i="210"/>
  <c r="R5730" i="210"/>
  <c r="R5738" i="210"/>
  <c r="R5746" i="210"/>
  <c r="R5762" i="210"/>
  <c r="R5770" i="210"/>
  <c r="R5786" i="210"/>
  <c r="R5794" i="210"/>
  <c r="R5802" i="210"/>
  <c r="R5818" i="210"/>
  <c r="R5826" i="210"/>
  <c r="R5834" i="210"/>
  <c r="R5842" i="210"/>
  <c r="R5850" i="210"/>
  <c r="R4450" i="210"/>
  <c r="R4975" i="210"/>
  <c r="R5111" i="210"/>
  <c r="R5175" i="210"/>
  <c r="R5223" i="210"/>
  <c r="R5254" i="210"/>
  <c r="R5255" i="210"/>
  <c r="R5286" i="210"/>
  <c r="R5287" i="210"/>
  <c r="R5397" i="210"/>
  <c r="R5405" i="210"/>
  <c r="R5413" i="210"/>
  <c r="R5421" i="210"/>
  <c r="R5429" i="210"/>
  <c r="R5437" i="210"/>
  <c r="R5445" i="210"/>
  <c r="R5453" i="210"/>
  <c r="R5461" i="210"/>
  <c r="R5469" i="210"/>
  <c r="R5477" i="210"/>
  <c r="R5493" i="210"/>
  <c r="R5501" i="210"/>
  <c r="R5509" i="210"/>
  <c r="R5517" i="210"/>
  <c r="R5525" i="210"/>
  <c r="R5533" i="210"/>
  <c r="R5541" i="210"/>
  <c r="R5549" i="210"/>
  <c r="R5557" i="210"/>
  <c r="R5565" i="210"/>
  <c r="R5573" i="210"/>
  <c r="R5581" i="210"/>
  <c r="R5597" i="210"/>
  <c r="R5605" i="210"/>
  <c r="R5613" i="210"/>
  <c r="R5621" i="210"/>
  <c r="R5629" i="210"/>
  <c r="R5637" i="210"/>
  <c r="R5645" i="210"/>
  <c r="R5653" i="210"/>
  <c r="R5661" i="210"/>
  <c r="R5669" i="210"/>
  <c r="R5685" i="210"/>
  <c r="R5693" i="210"/>
  <c r="R5701" i="210"/>
  <c r="R5709" i="210"/>
  <c r="R5717" i="210"/>
  <c r="R5725" i="210"/>
  <c r="R5733" i="210"/>
  <c r="R5741" i="210"/>
  <c r="R5757" i="210"/>
  <c r="R5765" i="210"/>
  <c r="R5773" i="210"/>
  <c r="R5789" i="210"/>
  <c r="R5797" i="210"/>
  <c r="R5805" i="210"/>
  <c r="R4833" i="210"/>
  <c r="R5015" i="210"/>
  <c r="R5063" i="210"/>
  <c r="R5087" i="210"/>
  <c r="R5151" i="210"/>
  <c r="R5247" i="210"/>
  <c r="R5334" i="210"/>
  <c r="R5335" i="210"/>
  <c r="R5392" i="210"/>
  <c r="R5400" i="210"/>
  <c r="R5408" i="210"/>
  <c r="R5416" i="210"/>
  <c r="R5424" i="210"/>
  <c r="R5432" i="210"/>
  <c r="R5440" i="210"/>
  <c r="R5448" i="210"/>
  <c r="R5456" i="210"/>
  <c r="R5464" i="210"/>
  <c r="R5472" i="210"/>
  <c r="R5480" i="210"/>
  <c r="R5488" i="210"/>
  <c r="R5496" i="210"/>
  <c r="R5504" i="210"/>
  <c r="R5512" i="210"/>
  <c r="R5520" i="210"/>
  <c r="R5528" i="210"/>
  <c r="R5536" i="210"/>
  <c r="R5544" i="210"/>
  <c r="R5552" i="210"/>
  <c r="R5560" i="210"/>
  <c r="R5568" i="210"/>
  <c r="R5576" i="210"/>
  <c r="R5584" i="210"/>
  <c r="R5592" i="210"/>
  <c r="R5600" i="210"/>
  <c r="R5608" i="210"/>
  <c r="R5616" i="210"/>
  <c r="R5624" i="210"/>
  <c r="R5632" i="210"/>
  <c r="R5648" i="210"/>
  <c r="R5656" i="210"/>
  <c r="R5664" i="210"/>
  <c r="R5672" i="210"/>
  <c r="R5680" i="210"/>
  <c r="R5688" i="210"/>
  <c r="R5696" i="210"/>
  <c r="R5704" i="210"/>
  <c r="R5712" i="210"/>
  <c r="R5728" i="210"/>
  <c r="R5736" i="210"/>
  <c r="R5744" i="210"/>
  <c r="R5760" i="210"/>
  <c r="R5768" i="210"/>
  <c r="R5784" i="210"/>
  <c r="R5792" i="210"/>
  <c r="R5800" i="210"/>
  <c r="R5808" i="210"/>
  <c r="R5816" i="210"/>
  <c r="R5824" i="210"/>
  <c r="R5832" i="210"/>
  <c r="R5840" i="210"/>
  <c r="R4991" i="210"/>
  <c r="R5039" i="210"/>
  <c r="R5127" i="210"/>
  <c r="R5191" i="210"/>
  <c r="R5262" i="210"/>
  <c r="R5263" i="210"/>
  <c r="R5294" i="210"/>
  <c r="R5295" i="210"/>
  <c r="R5395" i="210"/>
  <c r="R5403" i="210"/>
  <c r="R5411" i="210"/>
  <c r="R5419" i="210"/>
  <c r="R5427" i="210"/>
  <c r="R5435" i="210"/>
  <c r="R5443" i="210"/>
  <c r="R5451" i="210"/>
  <c r="R5459" i="210"/>
  <c r="R5467" i="210"/>
  <c r="R5475" i="210"/>
  <c r="R5491" i="210"/>
  <c r="R5499" i="210"/>
  <c r="R5507" i="210"/>
  <c r="R5515" i="210"/>
  <c r="R5523" i="210"/>
  <c r="R5531" i="210"/>
  <c r="R5539" i="210"/>
  <c r="R5547" i="210"/>
  <c r="R5555" i="210"/>
  <c r="R5563" i="210"/>
  <c r="R5571" i="210"/>
  <c r="R5579" i="210"/>
  <c r="R5595" i="210"/>
  <c r="R5603" i="210"/>
  <c r="R5611" i="210"/>
  <c r="R5619" i="210"/>
  <c r="R5627" i="210"/>
  <c r="R5635" i="210"/>
  <c r="R5651" i="210"/>
  <c r="R5659" i="210"/>
  <c r="R5667" i="210"/>
  <c r="R5683" i="210"/>
  <c r="R5691" i="210"/>
  <c r="R5699" i="210"/>
  <c r="R5707" i="210"/>
  <c r="R5715" i="210"/>
  <c r="R5731" i="210"/>
  <c r="R5739" i="210"/>
  <c r="R5747" i="210"/>
  <c r="R5755" i="210"/>
  <c r="R5763" i="210"/>
  <c r="R5771" i="210"/>
  <c r="R5787" i="210"/>
  <c r="R5795" i="210"/>
  <c r="R5803" i="210"/>
  <c r="R5819" i="210"/>
  <c r="R5827" i="210"/>
  <c r="R5835" i="210"/>
  <c r="R5843" i="210"/>
  <c r="R4553" i="210"/>
  <c r="R4617" i="210"/>
  <c r="R5103" i="210"/>
  <c r="R5167" i="210"/>
  <c r="R5342" i="210"/>
  <c r="R5343" i="210"/>
  <c r="R5366" i="210"/>
  <c r="R5367" i="210"/>
  <c r="R5390" i="210"/>
  <c r="R5398" i="210"/>
  <c r="R5406" i="210"/>
  <c r="R5414" i="210"/>
  <c r="R5422" i="210"/>
  <c r="R5430" i="210"/>
  <c r="R5438" i="210"/>
  <c r="R5446" i="210"/>
  <c r="R5454" i="210"/>
  <c r="R5462" i="210"/>
  <c r="R5470" i="210"/>
  <c r="R5478" i="210"/>
  <c r="R5494" i="210"/>
  <c r="R5502" i="210"/>
  <c r="R5510" i="210"/>
  <c r="R5518" i="210"/>
  <c r="R5526" i="210"/>
  <c r="R5534" i="210"/>
  <c r="R5542" i="210"/>
  <c r="R5550" i="210"/>
  <c r="R5558" i="210"/>
  <c r="R5566" i="210"/>
  <c r="R5574" i="210"/>
  <c r="R5582" i="210"/>
  <c r="R5598" i="210"/>
  <c r="R5606" i="210"/>
  <c r="R5614" i="210"/>
  <c r="R5622" i="210"/>
  <c r="R5630" i="210"/>
  <c r="R5638" i="210"/>
  <c r="R5646" i="210"/>
  <c r="R5654" i="210"/>
  <c r="R5662" i="210"/>
  <c r="R5670" i="210"/>
  <c r="R5686" i="210"/>
  <c r="R5694" i="210"/>
  <c r="R5702" i="210"/>
  <c r="R5710" i="210"/>
  <c r="R5718" i="210"/>
  <c r="R5726" i="210"/>
  <c r="R5734" i="210"/>
  <c r="R5742" i="210"/>
  <c r="R5007" i="210"/>
  <c r="R5055" i="210"/>
  <c r="R5079" i="210"/>
  <c r="R5143" i="210"/>
  <c r="R5207" i="210"/>
  <c r="R5239" i="210"/>
  <c r="R5270" i="210"/>
  <c r="R5271" i="210"/>
  <c r="R5302" i="210"/>
  <c r="R5303" i="210"/>
  <c r="R5393" i="210"/>
  <c r="R5401" i="210"/>
  <c r="R5409" i="210"/>
  <c r="R5417" i="210"/>
  <c r="R5425" i="210"/>
  <c r="R5433" i="210"/>
  <c r="R5441" i="210"/>
  <c r="R5449" i="210"/>
  <c r="R5457" i="210"/>
  <c r="R5465" i="210"/>
  <c r="R5473" i="210"/>
  <c r="R5489" i="210"/>
  <c r="R5497" i="210"/>
  <c r="R5505" i="210"/>
  <c r="R5513" i="210"/>
  <c r="R5521" i="210"/>
  <c r="R5529" i="210"/>
  <c r="R5537" i="210"/>
  <c r="R5545" i="210"/>
  <c r="R5553" i="210"/>
  <c r="R5561" i="210"/>
  <c r="R5569" i="210"/>
  <c r="R5577" i="210"/>
  <c r="R5593" i="210"/>
  <c r="R5601" i="210"/>
  <c r="R5609" i="210"/>
  <c r="R5617" i="210"/>
  <c r="R5625" i="210"/>
  <c r="R5633" i="210"/>
  <c r="R5649" i="210"/>
  <c r="R5657" i="210"/>
  <c r="R5665" i="210"/>
  <c r="R5673" i="210"/>
  <c r="R5681" i="210"/>
  <c r="R5689" i="210"/>
  <c r="R5697" i="210"/>
  <c r="R5705" i="210"/>
  <c r="R5713" i="210"/>
  <c r="R5729" i="210"/>
  <c r="R5737" i="210"/>
  <c r="R5745" i="210"/>
  <c r="R5761" i="210"/>
  <c r="R5769" i="210"/>
  <c r="R5785" i="210"/>
  <c r="R5793" i="210"/>
  <c r="R5801" i="210"/>
  <c r="R5817" i="210"/>
  <c r="R5825" i="210"/>
  <c r="R5833" i="210"/>
  <c r="R4761" i="210"/>
  <c r="R4983" i="210"/>
  <c r="R5119" i="210"/>
  <c r="R5183" i="210"/>
  <c r="R5350" i="210"/>
  <c r="R5351" i="210"/>
  <c r="R5374" i="210"/>
  <c r="R5375" i="210"/>
  <c r="R5396" i="210"/>
  <c r="R5404" i="210"/>
  <c r="R5412" i="210"/>
  <c r="R5420" i="210"/>
  <c r="R5428" i="210"/>
  <c r="R5436" i="210"/>
  <c r="R5444" i="210"/>
  <c r="R5452" i="210"/>
  <c r="R5460" i="210"/>
  <c r="R5468" i="210"/>
  <c r="R5476" i="210"/>
  <c r="R5492" i="210"/>
  <c r="R5500" i="210"/>
  <c r="R5508" i="210"/>
  <c r="R5516" i="210"/>
  <c r="R5524" i="210"/>
  <c r="R5532" i="210"/>
  <c r="R5540" i="210"/>
  <c r="R5548" i="210"/>
  <c r="R5556" i="210"/>
  <c r="R5564" i="210"/>
  <c r="R5572" i="210"/>
  <c r="R5580" i="210"/>
  <c r="R5596" i="210"/>
  <c r="R5604" i="210"/>
  <c r="R5612" i="210"/>
  <c r="R5620" i="210"/>
  <c r="R5628" i="210"/>
  <c r="R5636" i="210"/>
  <c r="R5652" i="210"/>
  <c r="R5660" i="210"/>
  <c r="R5668" i="210"/>
  <c r="R5684" i="210"/>
  <c r="R5692" i="210"/>
  <c r="R5700" i="210"/>
  <c r="R5708" i="210"/>
  <c r="R5716" i="210"/>
  <c r="R5732" i="210"/>
  <c r="R5740" i="210"/>
  <c r="R5748" i="210"/>
  <c r="R5756" i="210"/>
  <c r="R5764" i="210"/>
  <c r="R5772" i="210"/>
  <c r="R5788" i="210"/>
  <c r="R5796" i="210"/>
  <c r="R5804" i="210"/>
  <c r="R5820" i="210"/>
  <c r="R5828" i="210"/>
  <c r="R5836" i="210"/>
  <c r="R5310" i="210"/>
  <c r="R5391" i="210"/>
  <c r="R5439" i="210"/>
  <c r="R5487" i="210"/>
  <c r="R5535" i="210"/>
  <c r="R5631" i="210"/>
  <c r="R5687" i="210"/>
  <c r="R5815" i="210"/>
  <c r="R5821" i="210"/>
  <c r="R5822" i="210"/>
  <c r="R5823" i="210"/>
  <c r="R5839" i="210"/>
  <c r="R5841" i="210"/>
  <c r="R5851" i="210"/>
  <c r="R5859" i="210"/>
  <c r="R5867" i="210"/>
  <c r="R5875" i="210"/>
  <c r="R5891" i="210"/>
  <c r="R5899" i="210"/>
  <c r="R5907" i="210"/>
  <c r="R5923" i="210"/>
  <c r="R5931" i="210"/>
  <c r="R5939" i="210"/>
  <c r="R5947" i="210"/>
  <c r="R5955" i="210"/>
  <c r="R5963" i="210"/>
  <c r="R5979" i="210"/>
  <c r="R5987" i="210"/>
  <c r="R5995" i="210"/>
  <c r="R6003" i="210"/>
  <c r="R6019" i="210"/>
  <c r="R6027" i="210"/>
  <c r="R6035" i="210"/>
  <c r="R6043" i="210"/>
  <c r="R6051" i="210"/>
  <c r="R6059" i="210"/>
  <c r="R6075" i="210"/>
  <c r="R6083" i="210"/>
  <c r="R6091" i="210"/>
  <c r="R6107" i="210"/>
  <c r="R6115" i="210"/>
  <c r="R6131" i="210"/>
  <c r="R6139" i="210"/>
  <c r="R6147" i="210"/>
  <c r="R6163" i="210"/>
  <c r="R6171" i="210"/>
  <c r="R6179" i="210"/>
  <c r="R6187" i="210"/>
  <c r="R6203" i="210"/>
  <c r="R6211" i="210"/>
  <c r="R6219" i="210"/>
  <c r="R6235" i="210"/>
  <c r="R6243" i="210"/>
  <c r="R6251" i="210"/>
  <c r="R6259" i="210"/>
  <c r="R6275" i="210"/>
  <c r="R6283" i="210"/>
  <c r="R6291" i="210"/>
  <c r="R6307" i="210"/>
  <c r="R6315" i="210"/>
  <c r="R6323" i="210"/>
  <c r="R6339" i="210"/>
  <c r="R6347" i="210"/>
  <c r="R6355" i="210"/>
  <c r="R6363" i="210"/>
  <c r="R6371" i="210"/>
  <c r="R6379" i="210"/>
  <c r="R6387" i="210"/>
  <c r="R6395" i="210"/>
  <c r="R6411" i="210"/>
  <c r="R6419" i="210"/>
  <c r="R6427" i="210"/>
  <c r="R6435" i="210"/>
  <c r="R6443" i="210"/>
  <c r="R6451" i="210"/>
  <c r="R6459" i="210"/>
  <c r="R6467" i="210"/>
  <c r="R6483" i="210"/>
  <c r="R6491" i="210"/>
  <c r="R6499" i="210"/>
  <c r="R6507" i="210"/>
  <c r="R6523" i="210"/>
  <c r="R6531" i="210"/>
  <c r="R6539" i="210"/>
  <c r="R6547" i="210"/>
  <c r="R6555" i="210"/>
  <c r="R6522" i="210"/>
  <c r="R5399" i="210"/>
  <c r="R5829" i="210"/>
  <c r="R5984" i="210"/>
  <c r="R6112" i="210"/>
  <c r="R6320" i="210"/>
  <c r="R6352" i="210"/>
  <c r="R5415" i="210"/>
  <c r="R5479" i="210"/>
  <c r="R5511" i="210"/>
  <c r="R5575" i="210"/>
  <c r="R5607" i="210"/>
  <c r="R5671" i="210"/>
  <c r="R5727" i="210"/>
  <c r="R5854" i="210"/>
  <c r="R5862" i="210"/>
  <c r="R5870" i="210"/>
  <c r="R5886" i="210"/>
  <c r="R5894" i="210"/>
  <c r="R5902" i="210"/>
  <c r="R5910" i="210"/>
  <c r="R5918" i="210"/>
  <c r="R5926" i="210"/>
  <c r="R5934" i="210"/>
  <c r="R5950" i="210"/>
  <c r="R5958" i="210"/>
  <c r="R5966" i="210"/>
  <c r="R5982" i="210"/>
  <c r="R5990" i="210"/>
  <c r="R5998" i="210"/>
  <c r="R6014" i="210"/>
  <c r="R6022" i="210"/>
  <c r="R6030" i="210"/>
  <c r="R6046" i="210"/>
  <c r="R6054" i="210"/>
  <c r="R6062" i="210"/>
  <c r="R6070" i="210"/>
  <c r="R6078" i="210"/>
  <c r="R6086" i="210"/>
  <c r="R6102" i="210"/>
  <c r="R6110" i="210"/>
  <c r="R6118" i="210"/>
  <c r="R6134" i="210"/>
  <c r="R6142" i="210"/>
  <c r="R6150" i="210"/>
  <c r="R6166" i="210"/>
  <c r="R6174" i="210"/>
  <c r="R6182" i="210"/>
  <c r="R6190" i="210"/>
  <c r="R6206" i="210"/>
  <c r="R6214" i="210"/>
  <c r="R6222" i="210"/>
  <c r="R6230" i="210"/>
  <c r="R6238" i="210"/>
  <c r="R6246" i="210"/>
  <c r="R6254" i="210"/>
  <c r="R6270" i="210"/>
  <c r="R6278" i="210"/>
  <c r="R6286" i="210"/>
  <c r="R6294" i="210"/>
  <c r="R6310" i="210"/>
  <c r="R6318" i="210"/>
  <c r="R6326" i="210"/>
  <c r="R6342" i="210"/>
  <c r="R6350" i="210"/>
  <c r="R6358" i="210"/>
  <c r="R6374" i="210"/>
  <c r="R6382" i="210"/>
  <c r="R6390" i="210"/>
  <c r="R6398" i="210"/>
  <c r="R6414" i="210"/>
  <c r="R6422" i="210"/>
  <c r="R6430" i="210"/>
  <c r="R6438" i="210"/>
  <c r="R6454" i="210"/>
  <c r="R6462" i="210"/>
  <c r="R6470" i="210"/>
  <c r="R6486" i="210"/>
  <c r="R6494" i="210"/>
  <c r="R6502" i="210"/>
  <c r="R6518" i="210"/>
  <c r="R6526" i="210"/>
  <c r="R6534" i="210"/>
  <c r="R6542" i="210"/>
  <c r="R6550" i="210"/>
  <c r="R6558" i="210"/>
  <c r="R5831" i="210"/>
  <c r="R5856" i="210"/>
  <c r="R5888" i="210"/>
  <c r="R5896" i="210"/>
  <c r="R5920" i="210"/>
  <c r="R5936" i="210"/>
  <c r="R5960" i="210"/>
  <c r="R6032" i="210"/>
  <c r="R6128" i="210"/>
  <c r="R6160" i="210"/>
  <c r="R6176" i="210"/>
  <c r="R6192" i="210"/>
  <c r="R6208" i="210"/>
  <c r="R6232" i="210"/>
  <c r="R6272" i="210"/>
  <c r="R6296" i="210"/>
  <c r="R6488" i="210"/>
  <c r="R6504" i="210"/>
  <c r="R6552" i="210"/>
  <c r="R5455" i="210"/>
  <c r="R5551" i="210"/>
  <c r="R5647" i="210"/>
  <c r="R5703" i="210"/>
  <c r="R5758" i="210"/>
  <c r="R5759" i="210"/>
  <c r="R5790" i="210"/>
  <c r="R5791" i="210"/>
  <c r="R5857" i="210"/>
  <c r="R5865" i="210"/>
  <c r="R5873" i="210"/>
  <c r="R5889" i="210"/>
  <c r="R5897" i="210"/>
  <c r="R5905" i="210"/>
  <c r="R5921" i="210"/>
  <c r="R5929" i="210"/>
  <c r="R5937" i="210"/>
  <c r="R5953" i="210"/>
  <c r="R5961" i="210"/>
  <c r="R5969" i="210"/>
  <c r="R5977" i="210"/>
  <c r="R5985" i="210"/>
  <c r="R5993" i="210"/>
  <c r="R6001" i="210"/>
  <c r="R6017" i="210"/>
  <c r="R6025" i="210"/>
  <c r="R6033" i="210"/>
  <c r="R6049" i="210"/>
  <c r="R6057" i="210"/>
  <c r="R6073" i="210"/>
  <c r="R6081" i="210"/>
  <c r="R6089" i="210"/>
  <c r="R6105" i="210"/>
  <c r="R6113" i="210"/>
  <c r="R6129" i="210"/>
  <c r="R6137" i="210"/>
  <c r="R6145" i="210"/>
  <c r="R6153" i="210"/>
  <c r="R6161" i="210"/>
  <c r="R6169" i="210"/>
  <c r="R6177" i="210"/>
  <c r="R6185" i="210"/>
  <c r="R6201" i="210"/>
  <c r="R6209" i="210"/>
  <c r="R6217" i="210"/>
  <c r="R6233" i="210"/>
  <c r="R6241" i="210"/>
  <c r="R6249" i="210"/>
  <c r="R6257" i="210"/>
  <c r="R6273" i="210"/>
  <c r="R6281" i="210"/>
  <c r="R6289" i="210"/>
  <c r="R6297" i="210"/>
  <c r="R6305" i="210"/>
  <c r="R6313" i="210"/>
  <c r="R6321" i="210"/>
  <c r="R6337" i="210"/>
  <c r="R6345" i="210"/>
  <c r="R6353" i="210"/>
  <c r="R6361" i="210"/>
  <c r="R6377" i="210"/>
  <c r="R6385" i="210"/>
  <c r="R6393" i="210"/>
  <c r="R6409" i="210"/>
  <c r="R6417" i="210"/>
  <c r="R6425" i="210"/>
  <c r="R6433" i="210"/>
  <c r="R6441" i="210"/>
  <c r="R6457" i="210"/>
  <c r="R6465" i="210"/>
  <c r="R6473" i="210"/>
  <c r="R6481" i="210"/>
  <c r="R6489" i="210"/>
  <c r="R6497" i="210"/>
  <c r="R6505" i="210"/>
  <c r="R6521" i="210"/>
  <c r="R6529" i="210"/>
  <c r="R6537" i="210"/>
  <c r="R6545" i="210"/>
  <c r="R6553" i="210"/>
  <c r="R6506" i="210"/>
  <c r="R5559" i="210"/>
  <c r="R5655" i="210"/>
  <c r="R5783" i="210"/>
  <c r="R5830" i="210"/>
  <c r="R5968" i="210"/>
  <c r="R6000" i="210"/>
  <c r="R6016" i="210"/>
  <c r="R6120" i="210"/>
  <c r="R6136" i="210"/>
  <c r="R6328" i="210"/>
  <c r="R6400" i="210"/>
  <c r="R6416" i="210"/>
  <c r="R6440" i="210"/>
  <c r="R6520" i="210"/>
  <c r="R6528" i="210"/>
  <c r="R4705" i="210"/>
  <c r="R5159" i="210"/>
  <c r="R5431" i="210"/>
  <c r="R5527" i="210"/>
  <c r="R5623" i="210"/>
  <c r="R5743" i="210"/>
  <c r="R5852" i="210"/>
  <c r="R5860" i="210"/>
  <c r="R5868" i="210"/>
  <c r="R5876" i="210"/>
  <c r="R5884" i="210"/>
  <c r="R5892" i="210"/>
  <c r="R5900" i="210"/>
  <c r="R5908" i="210"/>
  <c r="R5924" i="210"/>
  <c r="R5932" i="210"/>
  <c r="R5948" i="210"/>
  <c r="R5956" i="210"/>
  <c r="R5964" i="210"/>
  <c r="R5980" i="210"/>
  <c r="R5988" i="210"/>
  <c r="R5996" i="210"/>
  <c r="R6004" i="210"/>
  <c r="R6012" i="210"/>
  <c r="R6020" i="210"/>
  <c r="R6028" i="210"/>
  <c r="R6044" i="210"/>
  <c r="R6052" i="210"/>
  <c r="R6060" i="210"/>
  <c r="R6076" i="210"/>
  <c r="R6084" i="210"/>
  <c r="R6092" i="210"/>
  <c r="R6100" i="210"/>
  <c r="R6108" i="210"/>
  <c r="R6116" i="210"/>
  <c r="R6132" i="210"/>
  <c r="R6140" i="210"/>
  <c r="R6148" i="210"/>
  <c r="R6164" i="210"/>
  <c r="R6172" i="210"/>
  <c r="R6180" i="210"/>
  <c r="R6188" i="210"/>
  <c r="R6204" i="210"/>
  <c r="R6212" i="210"/>
  <c r="R6220" i="210"/>
  <c r="R6236" i="210"/>
  <c r="R6244" i="210"/>
  <c r="R6252" i="210"/>
  <c r="R6260" i="210"/>
  <c r="R6268" i="210"/>
  <c r="R6276" i="210"/>
  <c r="R6284" i="210"/>
  <c r="R6292" i="210"/>
  <c r="R6308" i="210"/>
  <c r="R6316" i="210"/>
  <c r="R6324" i="210"/>
  <c r="R6340" i="210"/>
  <c r="R6348" i="210"/>
  <c r="R6356" i="210"/>
  <c r="R6364" i="210"/>
  <c r="R6372" i="210"/>
  <c r="R6380" i="210"/>
  <c r="R6388" i="210"/>
  <c r="R6396" i="210"/>
  <c r="R6412" i="210"/>
  <c r="R6420" i="210"/>
  <c r="R6428" i="210"/>
  <c r="R6436" i="210"/>
  <c r="R6452" i="210"/>
  <c r="R6460" i="210"/>
  <c r="R6468" i="210"/>
  <c r="R6484" i="210"/>
  <c r="R6492" i="210"/>
  <c r="R6500" i="210"/>
  <c r="R6508" i="210"/>
  <c r="R6516" i="210"/>
  <c r="R6524" i="210"/>
  <c r="R6532" i="210"/>
  <c r="R6540" i="210"/>
  <c r="R6548" i="210"/>
  <c r="R6556" i="210"/>
  <c r="R6498" i="210"/>
  <c r="R6554" i="210"/>
  <c r="R5864" i="210"/>
  <c r="R5904" i="210"/>
  <c r="R6144" i="210"/>
  <c r="R6152" i="210"/>
  <c r="R6168" i="210"/>
  <c r="R6184" i="210"/>
  <c r="R6280" i="210"/>
  <c r="R6288" i="210"/>
  <c r="R6304" i="210"/>
  <c r="R6312" i="210"/>
  <c r="R6344" i="210"/>
  <c r="R6456" i="210"/>
  <c r="R6496" i="210"/>
  <c r="R6560" i="210"/>
  <c r="R4362" i="210"/>
  <c r="R5023" i="210"/>
  <c r="R5279" i="210"/>
  <c r="R5407" i="210"/>
  <c r="R5471" i="210"/>
  <c r="R5503" i="210"/>
  <c r="R5567" i="210"/>
  <c r="R5599" i="210"/>
  <c r="R5663" i="210"/>
  <c r="R5766" i="210"/>
  <c r="R5767" i="210"/>
  <c r="R5798" i="210"/>
  <c r="R5799" i="210"/>
  <c r="R5855" i="210"/>
  <c r="R5863" i="210"/>
  <c r="R5871" i="210"/>
  <c r="R5887" i="210"/>
  <c r="R5895" i="210"/>
  <c r="R5903" i="210"/>
  <c r="R5911" i="210"/>
  <c r="R5919" i="210"/>
  <c r="R5927" i="210"/>
  <c r="R5935" i="210"/>
  <c r="R5951" i="210"/>
  <c r="R5959" i="210"/>
  <c r="R5967" i="210"/>
  <c r="R5983" i="210"/>
  <c r="R5991" i="210"/>
  <c r="R5999" i="210"/>
  <c r="R6015" i="210"/>
  <c r="R6023" i="210"/>
  <c r="R6031" i="210"/>
  <c r="R6047" i="210"/>
  <c r="R6055" i="210"/>
  <c r="R6063" i="210"/>
  <c r="R6071" i="210"/>
  <c r="R6079" i="210"/>
  <c r="R6087" i="210"/>
  <c r="R6103" i="210"/>
  <c r="R6111" i="210"/>
  <c r="R6119" i="210"/>
  <c r="R6127" i="210"/>
  <c r="R6135" i="210"/>
  <c r="R6143" i="210"/>
  <c r="R6151" i="210"/>
  <c r="R6167" i="210"/>
  <c r="R6175" i="210"/>
  <c r="R6183" i="210"/>
  <c r="R6191" i="210"/>
  <c r="R6199" i="210"/>
  <c r="R6207" i="210"/>
  <c r="R6215" i="210"/>
  <c r="R6223" i="210"/>
  <c r="R6231" i="210"/>
  <c r="R6239" i="210"/>
  <c r="R6247" i="210"/>
  <c r="R6255" i="210"/>
  <c r="R6271" i="210"/>
  <c r="R6279" i="210"/>
  <c r="R6287" i="210"/>
  <c r="R6295" i="210"/>
  <c r="R6311" i="210"/>
  <c r="R6319" i="210"/>
  <c r="R6327" i="210"/>
  <c r="R6335" i="210"/>
  <c r="R6343" i="210"/>
  <c r="R6351" i="210"/>
  <c r="R6359" i="210"/>
  <c r="R6375" i="210"/>
  <c r="R6383" i="210"/>
  <c r="R6391" i="210"/>
  <c r="R6399" i="210"/>
  <c r="R6407" i="210"/>
  <c r="R6415" i="210"/>
  <c r="R6423" i="210"/>
  <c r="R6431" i="210"/>
  <c r="R6439" i="210"/>
  <c r="R6455" i="210"/>
  <c r="R6463" i="210"/>
  <c r="R6471" i="210"/>
  <c r="R6487" i="210"/>
  <c r="R6495" i="210"/>
  <c r="R6503" i="210"/>
  <c r="R6519" i="210"/>
  <c r="R6527" i="210"/>
  <c r="R6535" i="210"/>
  <c r="R6543" i="210"/>
  <c r="R6551" i="210"/>
  <c r="R6559" i="210"/>
  <c r="R6546" i="210"/>
  <c r="R5992" i="210"/>
  <c r="R6024" i="210"/>
  <c r="R6048" i="210"/>
  <c r="R6056" i="210"/>
  <c r="R6088" i="210"/>
  <c r="R6240" i="210"/>
  <c r="R6248" i="210"/>
  <c r="R6256" i="210"/>
  <c r="R6336" i="210"/>
  <c r="R6376" i="210"/>
  <c r="R6408" i="210"/>
  <c r="R6464" i="210"/>
  <c r="R6544" i="210"/>
  <c r="R5278" i="210"/>
  <c r="R5447" i="210"/>
  <c r="R5543" i="210"/>
  <c r="R5591" i="210"/>
  <c r="R5695" i="210"/>
  <c r="R5858" i="210"/>
  <c r="R5866" i="210"/>
  <c r="R5874" i="210"/>
  <c r="R5890" i="210"/>
  <c r="R5898" i="210"/>
  <c r="R5906" i="210"/>
  <c r="R5922" i="210"/>
  <c r="R5930" i="210"/>
  <c r="R5938" i="210"/>
  <c r="R5946" i="210"/>
  <c r="R5954" i="210"/>
  <c r="R5962" i="210"/>
  <c r="R5970" i="210"/>
  <c r="R5978" i="210"/>
  <c r="R5986" i="210"/>
  <c r="R5994" i="210"/>
  <c r="R6002" i="210"/>
  <c r="R6018" i="210"/>
  <c r="R6026" i="210"/>
  <c r="R6034" i="210"/>
  <c r="R6042" i="210"/>
  <c r="R6050" i="210"/>
  <c r="R6058" i="210"/>
  <c r="R6074" i="210"/>
  <c r="R6082" i="210"/>
  <c r="R6090" i="210"/>
  <c r="R6106" i="210"/>
  <c r="R6114" i="210"/>
  <c r="R6130" i="210"/>
  <c r="R6138" i="210"/>
  <c r="R6146" i="210"/>
  <c r="R6162" i="210"/>
  <c r="R6170" i="210"/>
  <c r="R6178" i="210"/>
  <c r="R6186" i="210"/>
  <c r="R6202" i="210"/>
  <c r="R6210" i="210"/>
  <c r="R6218" i="210"/>
  <c r="R6234" i="210"/>
  <c r="R6242" i="210"/>
  <c r="R6250" i="210"/>
  <c r="R6258" i="210"/>
  <c r="R6274" i="210"/>
  <c r="R6282" i="210"/>
  <c r="R6290" i="210"/>
  <c r="R6306" i="210"/>
  <c r="R6314" i="210"/>
  <c r="R6322" i="210"/>
  <c r="R6338" i="210"/>
  <c r="R6346" i="210"/>
  <c r="R6354" i="210"/>
  <c r="R6362" i="210"/>
  <c r="R6378" i="210"/>
  <c r="R6386" i="210"/>
  <c r="R6394" i="210"/>
  <c r="R6410" i="210"/>
  <c r="R6418" i="210"/>
  <c r="R6426" i="210"/>
  <c r="R6434" i="210"/>
  <c r="R6442" i="210"/>
  <c r="R6450" i="210"/>
  <c r="R6458" i="210"/>
  <c r="R6466" i="210"/>
  <c r="R6474" i="210"/>
  <c r="R6482" i="210"/>
  <c r="R6490" i="210"/>
  <c r="R6530" i="210"/>
  <c r="R6538" i="210"/>
  <c r="R5952" i="210"/>
  <c r="R6200" i="210"/>
  <c r="R6360" i="210"/>
  <c r="R6432" i="210"/>
  <c r="R5095" i="210"/>
  <c r="R5423" i="210"/>
  <c r="R5519" i="210"/>
  <c r="R5583" i="210"/>
  <c r="R5615" i="210"/>
  <c r="R5735" i="210"/>
  <c r="R5774" i="210"/>
  <c r="R5775" i="210"/>
  <c r="R5782" i="210"/>
  <c r="R5806" i="210"/>
  <c r="R5807" i="210"/>
  <c r="R5837" i="210"/>
  <c r="R5853" i="210"/>
  <c r="R5861" i="210"/>
  <c r="R5869" i="210"/>
  <c r="R5877" i="210"/>
  <c r="R5885" i="210"/>
  <c r="R5893" i="210"/>
  <c r="R5901" i="210"/>
  <c r="R5909" i="210"/>
  <c r="R5925" i="210"/>
  <c r="R5933" i="210"/>
  <c r="R5949" i="210"/>
  <c r="R5957" i="210"/>
  <c r="R5965" i="210"/>
  <c r="R5981" i="210"/>
  <c r="R5989" i="210"/>
  <c r="R5997" i="210"/>
  <c r="R6005" i="210"/>
  <c r="R6013" i="210"/>
  <c r="R6021" i="210"/>
  <c r="R6029" i="210"/>
  <c r="R6045" i="210"/>
  <c r="R6053" i="210"/>
  <c r="R6061" i="210"/>
  <c r="R6077" i="210"/>
  <c r="R6085" i="210"/>
  <c r="R6093" i="210"/>
  <c r="R6101" i="210"/>
  <c r="R6109" i="210"/>
  <c r="R6117" i="210"/>
  <c r="R6133" i="210"/>
  <c r="R6141" i="210"/>
  <c r="R6149" i="210"/>
  <c r="R6165" i="210"/>
  <c r="R6173" i="210"/>
  <c r="R6181" i="210"/>
  <c r="R6189" i="210"/>
  <c r="R6205" i="210"/>
  <c r="R6213" i="210"/>
  <c r="R6221" i="210"/>
  <c r="R6237" i="210"/>
  <c r="R6245" i="210"/>
  <c r="R6253" i="210"/>
  <c r="R6261" i="210"/>
  <c r="R6269" i="210"/>
  <c r="R6277" i="210"/>
  <c r="R6285" i="210"/>
  <c r="R6293" i="210"/>
  <c r="R6309" i="210"/>
  <c r="R6317" i="210"/>
  <c r="R6325" i="210"/>
  <c r="R6341" i="210"/>
  <c r="R6349" i="210"/>
  <c r="R6357" i="210"/>
  <c r="R6373" i="210"/>
  <c r="R6381" i="210"/>
  <c r="R6389" i="210"/>
  <c r="R6397" i="210"/>
  <c r="R6413" i="210"/>
  <c r="R6421" i="210"/>
  <c r="R6429" i="210"/>
  <c r="R6437" i="210"/>
  <c r="R6453" i="210"/>
  <c r="R6461" i="210"/>
  <c r="R6469" i="210"/>
  <c r="R6485" i="210"/>
  <c r="R6493" i="210"/>
  <c r="R6501" i="210"/>
  <c r="R6509" i="210"/>
  <c r="R6517" i="210"/>
  <c r="R6525" i="210"/>
  <c r="R6533" i="210"/>
  <c r="R6541" i="210"/>
  <c r="R6549" i="210"/>
  <c r="R6557" i="210"/>
  <c r="R5311" i="210"/>
  <c r="R5463" i="210"/>
  <c r="R5495" i="210"/>
  <c r="R5711" i="210"/>
  <c r="R5838" i="210"/>
  <c r="R5872" i="210"/>
  <c r="R5928" i="210"/>
  <c r="R6072" i="210"/>
  <c r="R6080" i="210"/>
  <c r="R6104" i="210"/>
  <c r="R6216" i="210"/>
  <c r="R6384" i="210"/>
  <c r="R6392" i="210"/>
  <c r="R6424" i="210"/>
  <c r="R6472" i="210"/>
  <c r="R6536" i="210"/>
  <c r="I12" i="189"/>
  <c r="B16" i="2003"/>
  <c r="B15" i="2003"/>
  <c r="B14" i="2003"/>
  <c r="B13" i="2003"/>
  <c r="B12" i="2003"/>
  <c r="B11" i="2003"/>
  <c r="R6367" i="210" l="1"/>
  <c r="D13" i="2003"/>
  <c r="C13" i="2003" s="1"/>
  <c r="F13" i="2003"/>
  <c r="H13" i="2003" s="1"/>
  <c r="R6446" i="210"/>
  <c r="R6038" i="210"/>
  <c r="R6403" i="210"/>
  <c r="R6331" i="210"/>
  <c r="R5880" i="210"/>
  <c r="R6096" i="210"/>
  <c r="R5811" i="210"/>
  <c r="D15" i="2003"/>
  <c r="C15" i="2003" s="1"/>
  <c r="F15" i="2003"/>
  <c r="H15" i="2003" s="1"/>
  <c r="R6195" i="210"/>
  <c r="D16" i="2003"/>
  <c r="C16" i="2003" s="1"/>
  <c r="F16" i="2003"/>
  <c r="H16" i="2003" s="1"/>
  <c r="R5942" i="210"/>
  <c r="R5778" i="210"/>
  <c r="R6123" i="210"/>
  <c r="R5641" i="210"/>
  <c r="D14" i="2003"/>
  <c r="C14" i="2003" s="1"/>
  <c r="F14" i="2003"/>
  <c r="H14" i="2003" s="1"/>
  <c r="D11" i="2003"/>
  <c r="C11" i="2003" s="1"/>
  <c r="F11" i="2003"/>
  <c r="H11" i="2003" s="1"/>
  <c r="L12" i="189"/>
  <c r="R5587" i="210"/>
  <c r="D12" i="2003"/>
  <c r="C12" i="2003" s="1"/>
  <c r="F12" i="2003"/>
  <c r="H12" i="2003" s="1"/>
  <c r="R3246" i="210"/>
  <c r="R2408" i="210"/>
  <c r="R2122" i="210"/>
  <c r="R1919" i="210"/>
  <c r="R1898" i="210"/>
  <c r="R1819" i="210"/>
  <c r="R1728" i="210"/>
  <c r="R4938" i="210"/>
  <c r="R4810" i="210"/>
  <c r="R4546" i="210"/>
  <c r="R4032" i="210"/>
  <c r="R4404" i="210"/>
  <c r="R4108" i="210"/>
  <c r="R4353" i="210"/>
  <c r="R3837" i="210"/>
  <c r="R3922" i="210"/>
  <c r="R3496" i="210"/>
  <c r="R3539" i="210"/>
  <c r="R3188" i="210"/>
  <c r="R3019" i="210"/>
  <c r="R1545" i="210"/>
  <c r="R774" i="210"/>
  <c r="R743" i="210"/>
  <c r="R234" i="210"/>
  <c r="R76" i="210"/>
  <c r="R6008" i="210"/>
  <c r="R6477" i="210"/>
  <c r="R5676" i="210"/>
  <c r="R5355" i="210"/>
  <c r="R4737" i="210"/>
  <c r="R4665" i="210"/>
  <c r="R4522" i="210"/>
  <c r="R4057" i="210"/>
  <c r="R3595" i="210"/>
  <c r="R2723" i="210"/>
  <c r="R2700" i="210"/>
  <c r="R2160" i="210"/>
  <c r="R1421" i="210"/>
  <c r="R1254" i="210"/>
  <c r="R1177" i="210"/>
  <c r="R445" i="210"/>
  <c r="R6156" i="210"/>
  <c r="R5030" i="210"/>
  <c r="R4593" i="210"/>
  <c r="R4168" i="210"/>
  <c r="R3902" i="210"/>
  <c r="R3805" i="210"/>
  <c r="R3702" i="210"/>
  <c r="R2085" i="210"/>
  <c r="R1627" i="210"/>
  <c r="R1288" i="210"/>
  <c r="R1027" i="210"/>
  <c r="R892" i="210"/>
  <c r="R326" i="210"/>
  <c r="R136" i="210"/>
  <c r="R4710" i="210"/>
  <c r="R4384" i="210"/>
  <c r="R4473" i="210"/>
  <c r="R3643" i="210"/>
  <c r="R3452" i="210"/>
  <c r="R2496" i="210"/>
  <c r="R2068" i="210"/>
  <c r="R1450" i="210"/>
  <c r="R1332" i="210"/>
  <c r="R1369" i="210"/>
  <c r="R1050" i="210"/>
  <c r="R841" i="210"/>
  <c r="R623" i="210"/>
  <c r="R263" i="210"/>
  <c r="R375" i="210"/>
  <c r="R5973" i="210"/>
  <c r="R5914" i="210"/>
  <c r="R5483" i="210"/>
  <c r="R5317" i="210"/>
  <c r="R5071" i="210"/>
  <c r="R3996" i="210"/>
  <c r="R3081" i="210"/>
  <c r="R3126" i="210"/>
  <c r="R2856" i="210"/>
  <c r="R3002" i="210"/>
  <c r="R2930" i="210"/>
  <c r="R2650" i="210"/>
  <c r="R2431" i="210"/>
  <c r="R1475" i="210"/>
  <c r="R1217" i="210"/>
  <c r="R920" i="210"/>
  <c r="R24" i="210"/>
  <c r="R6300" i="210"/>
  <c r="R6512" i="210"/>
  <c r="R6226" i="210"/>
  <c r="R6066" i="210"/>
  <c r="R5386" i="210"/>
  <c r="R5721" i="210"/>
  <c r="R5846" i="210"/>
  <c r="R5217" i="210"/>
  <c r="R4266" i="210"/>
  <c r="R4428" i="210"/>
  <c r="R4212" i="210"/>
  <c r="R3753" i="210"/>
  <c r="R2979" i="210"/>
  <c r="R2345" i="210"/>
  <c r="R2243" i="210"/>
  <c r="R1603" i="210"/>
  <c r="R359" i="210"/>
  <c r="R162" i="210"/>
  <c r="R187" i="210"/>
  <c r="S16" i="210"/>
  <c r="S22" i="210" s="1"/>
  <c r="H14" i="189" s="1"/>
  <c r="R1772" i="210"/>
  <c r="R1647" i="210"/>
  <c r="R1109" i="210"/>
  <c r="R563" i="210"/>
  <c r="R695" i="210"/>
  <c r="R6264" i="210"/>
  <c r="R5751" i="210"/>
  <c r="R4889" i="210"/>
  <c r="R4332" i="210"/>
  <c r="R4145" i="210"/>
  <c r="R2217" i="210"/>
  <c r="R1798" i="210"/>
  <c r="R514" i="210"/>
  <c r="R312" i="210"/>
  <c r="L11" i="189"/>
  <c r="K16" i="2003"/>
  <c r="S16" i="2003" s="1"/>
  <c r="T16" i="2003" s="1"/>
  <c r="K13" i="2003"/>
  <c r="S13" i="2003" s="1"/>
  <c r="T13" i="2003" s="1"/>
  <c r="K11" i="2003"/>
  <c r="S11" i="2003" s="1"/>
  <c r="T11" i="2003" s="1"/>
  <c r="K12" i="2003"/>
  <c r="S12" i="2003" s="1"/>
  <c r="T12" i="2003" s="1"/>
  <c r="K14" i="2003"/>
  <c r="S14" i="2003" s="1"/>
  <c r="T14" i="2003" s="1"/>
  <c r="K15" i="2003"/>
  <c r="S15" i="2003" s="1"/>
  <c r="T15" i="2003" s="1"/>
  <c r="S32" i="210" l="1"/>
  <c r="S40" i="210"/>
  <c r="S35" i="210"/>
  <c r="S43" i="210"/>
  <c r="S51" i="210"/>
  <c r="S59" i="210"/>
  <c r="S67" i="210"/>
  <c r="S30" i="210"/>
  <c r="S38" i="210"/>
  <c r="S46" i="210"/>
  <c r="S54" i="210"/>
  <c r="S62" i="210"/>
  <c r="S70" i="210"/>
  <c r="S86" i="210"/>
  <c r="S33" i="210"/>
  <c r="S41" i="210"/>
  <c r="S49" i="210"/>
  <c r="S57" i="210"/>
  <c r="S65" i="210"/>
  <c r="S73" i="210"/>
  <c r="S81" i="210"/>
  <c r="S89" i="210"/>
  <c r="T18" i="210"/>
  <c r="S28" i="210"/>
  <c r="S36" i="210"/>
  <c r="S44" i="210"/>
  <c r="S52" i="210"/>
  <c r="S60" i="210"/>
  <c r="S68" i="210"/>
  <c r="S84" i="210"/>
  <c r="S31" i="210"/>
  <c r="S39" i="210"/>
  <c r="S47" i="210"/>
  <c r="S55" i="210"/>
  <c r="S63" i="210"/>
  <c r="S71" i="210"/>
  <c r="S87" i="210"/>
  <c r="S95" i="210"/>
  <c r="S103" i="210"/>
  <c r="S111" i="210"/>
  <c r="S119" i="210"/>
  <c r="S34" i="210"/>
  <c r="S42" i="210"/>
  <c r="S50" i="210"/>
  <c r="S58" i="210"/>
  <c r="S66" i="210"/>
  <c r="S29" i="210"/>
  <c r="S37" i="210"/>
  <c r="S45" i="210"/>
  <c r="S53" i="210"/>
  <c r="S61" i="210"/>
  <c r="S69" i="210"/>
  <c r="S85" i="210"/>
  <c r="S93" i="210"/>
  <c r="S101" i="210"/>
  <c r="S109" i="210"/>
  <c r="S117" i="210"/>
  <c r="S72" i="210"/>
  <c r="S100" i="210"/>
  <c r="S116" i="210"/>
  <c r="S126" i="210"/>
  <c r="S142" i="210"/>
  <c r="S150" i="210"/>
  <c r="S158" i="210"/>
  <c r="S166" i="210"/>
  <c r="S174" i="210"/>
  <c r="S182" i="210"/>
  <c r="S198" i="210"/>
  <c r="S206" i="210"/>
  <c r="S214" i="210"/>
  <c r="S222" i="210"/>
  <c r="S96" i="210"/>
  <c r="S106" i="210"/>
  <c r="S107" i="210"/>
  <c r="S112" i="210"/>
  <c r="S121" i="210"/>
  <c r="S129" i="210"/>
  <c r="S145" i="210"/>
  <c r="S153" i="210"/>
  <c r="S169" i="210"/>
  <c r="S177" i="210"/>
  <c r="S193" i="210"/>
  <c r="S201" i="210"/>
  <c r="S209" i="210"/>
  <c r="S217" i="210"/>
  <c r="S56" i="210"/>
  <c r="S64" i="210"/>
  <c r="S102" i="210"/>
  <c r="S118" i="210"/>
  <c r="S124" i="210"/>
  <c r="S132" i="210"/>
  <c r="S140" i="210"/>
  <c r="S148" i="210"/>
  <c r="S156" i="210"/>
  <c r="S172" i="210"/>
  <c r="S180" i="210"/>
  <c r="S196" i="210"/>
  <c r="S204" i="210"/>
  <c r="S212" i="210"/>
  <c r="S220" i="210"/>
  <c r="S82" i="210"/>
  <c r="S83" i="210"/>
  <c r="S90" i="210"/>
  <c r="S91" i="210"/>
  <c r="S97" i="210"/>
  <c r="S113" i="210"/>
  <c r="S127" i="210"/>
  <c r="S143" i="210"/>
  <c r="S151" i="210"/>
  <c r="S159" i="210"/>
  <c r="S167" i="210"/>
  <c r="S175" i="210"/>
  <c r="S183" i="210"/>
  <c r="S191" i="210"/>
  <c r="S199" i="210"/>
  <c r="S207" i="210"/>
  <c r="S215" i="210"/>
  <c r="S223" i="210"/>
  <c r="S48" i="210"/>
  <c r="S108" i="210"/>
  <c r="S122" i="210"/>
  <c r="S130" i="210"/>
  <c r="S146" i="210"/>
  <c r="S154" i="210"/>
  <c r="S170" i="210"/>
  <c r="S178" i="210"/>
  <c r="S194" i="210"/>
  <c r="S202" i="210"/>
  <c r="S210" i="210"/>
  <c r="S88" i="210"/>
  <c r="S98" i="210"/>
  <c r="S99" i="210"/>
  <c r="S104" i="210"/>
  <c r="S114" i="210"/>
  <c r="S115" i="210"/>
  <c r="S125" i="210"/>
  <c r="S133" i="210"/>
  <c r="S141" i="210"/>
  <c r="S149" i="210"/>
  <c r="S157" i="210"/>
  <c r="S173" i="210"/>
  <c r="S181" i="210"/>
  <c r="S197" i="210"/>
  <c r="S80" i="210"/>
  <c r="S92" i="210"/>
  <c r="S110" i="210"/>
  <c r="S120" i="210"/>
  <c r="S128" i="210"/>
  <c r="S144" i="210"/>
  <c r="S152" i="210"/>
  <c r="S168" i="210"/>
  <c r="S176" i="210"/>
  <c r="S184" i="210"/>
  <c r="S192" i="210"/>
  <c r="S200" i="210"/>
  <c r="S208" i="210"/>
  <c r="S216" i="210"/>
  <c r="S94" i="210"/>
  <c r="S205" i="210"/>
  <c r="S218" i="210"/>
  <c r="S221" i="210"/>
  <c r="S224" i="210"/>
  <c r="S227" i="210"/>
  <c r="S243" i="210"/>
  <c r="S251" i="210"/>
  <c r="S259" i="210"/>
  <c r="S267" i="210"/>
  <c r="S275" i="210"/>
  <c r="S283" i="210"/>
  <c r="S291" i="210"/>
  <c r="S299" i="210"/>
  <c r="S307" i="210"/>
  <c r="S219" i="210"/>
  <c r="S230" i="210"/>
  <c r="S238" i="210"/>
  <c r="S246" i="210"/>
  <c r="S254" i="210"/>
  <c r="S270" i="210"/>
  <c r="S278" i="210"/>
  <c r="S286" i="210"/>
  <c r="S294" i="210"/>
  <c r="S302" i="210"/>
  <c r="S318" i="210"/>
  <c r="S334" i="210"/>
  <c r="S131" i="210"/>
  <c r="S203" i="210"/>
  <c r="S213" i="210"/>
  <c r="S241" i="210"/>
  <c r="S249" i="210"/>
  <c r="S257" i="210"/>
  <c r="S273" i="210"/>
  <c r="S281" i="210"/>
  <c r="S289" i="210"/>
  <c r="S297" i="210"/>
  <c r="S305" i="210"/>
  <c r="S321" i="210"/>
  <c r="S155" i="210"/>
  <c r="S179" i="210"/>
  <c r="S195" i="210"/>
  <c r="S225" i="210"/>
  <c r="S228" i="210"/>
  <c r="S244" i="210"/>
  <c r="S252" i="210"/>
  <c r="S260" i="210"/>
  <c r="S268" i="210"/>
  <c r="S276" i="210"/>
  <c r="S284" i="210"/>
  <c r="S292" i="210"/>
  <c r="S300" i="210"/>
  <c r="S308" i="210"/>
  <c r="S316" i="210"/>
  <c r="S332" i="210"/>
  <c r="S211" i="210"/>
  <c r="S231" i="210"/>
  <c r="S239" i="210"/>
  <c r="S247" i="210"/>
  <c r="S255" i="210"/>
  <c r="S271" i="210"/>
  <c r="S279" i="210"/>
  <c r="S287" i="210"/>
  <c r="S295" i="210"/>
  <c r="S303" i="210"/>
  <c r="S105" i="210"/>
  <c r="S123" i="210"/>
  <c r="S226" i="210"/>
  <c r="S242" i="210"/>
  <c r="S250" i="210"/>
  <c r="S258" i="210"/>
  <c r="S274" i="210"/>
  <c r="S282" i="210"/>
  <c r="S290" i="210"/>
  <c r="S298" i="210"/>
  <c r="S306" i="210"/>
  <c r="S147" i="210"/>
  <c r="S171" i="210"/>
  <c r="S229" i="210"/>
  <c r="S245" i="210"/>
  <c r="S253" i="210"/>
  <c r="S269" i="210"/>
  <c r="S277" i="210"/>
  <c r="S285" i="210"/>
  <c r="S293" i="210"/>
  <c r="S301" i="210"/>
  <c r="S309" i="210"/>
  <c r="S317" i="210"/>
  <c r="S333" i="210"/>
  <c r="S338" i="210"/>
  <c r="S346" i="210"/>
  <c r="S354" i="210"/>
  <c r="S370" i="210"/>
  <c r="S386" i="210"/>
  <c r="S240" i="210"/>
  <c r="S288" i="210"/>
  <c r="S330" i="210"/>
  <c r="S341" i="210"/>
  <c r="S349" i="210"/>
  <c r="S365" i="210"/>
  <c r="S381" i="210"/>
  <c r="S389" i="210"/>
  <c r="S397" i="210"/>
  <c r="S405" i="210"/>
  <c r="S413" i="210"/>
  <c r="S421" i="210"/>
  <c r="S429" i="210"/>
  <c r="S437" i="210"/>
  <c r="S319" i="210"/>
  <c r="S320" i="210"/>
  <c r="S322" i="210"/>
  <c r="S344" i="210"/>
  <c r="S352" i="210"/>
  <c r="S368" i="210"/>
  <c r="S384" i="210"/>
  <c r="S392" i="210"/>
  <c r="S400" i="210"/>
  <c r="S408" i="210"/>
  <c r="S416" i="210"/>
  <c r="S424" i="210"/>
  <c r="S432" i="210"/>
  <c r="S440" i="210"/>
  <c r="S256" i="210"/>
  <c r="S304" i="210"/>
  <c r="S331" i="210"/>
  <c r="S339" i="210"/>
  <c r="S347" i="210"/>
  <c r="S355" i="210"/>
  <c r="S363" i="210"/>
  <c r="S371" i="210"/>
  <c r="S379" i="210"/>
  <c r="S387" i="210"/>
  <c r="S395" i="210"/>
  <c r="S403" i="210"/>
  <c r="S411" i="210"/>
  <c r="S419" i="210"/>
  <c r="S427" i="210"/>
  <c r="S435" i="210"/>
  <c r="S280" i="210"/>
  <c r="S323" i="210"/>
  <c r="S335" i="210"/>
  <c r="S342" i="210"/>
  <c r="S350" i="210"/>
  <c r="S366" i="210"/>
  <c r="S382" i="210"/>
  <c r="S390" i="210"/>
  <c r="S398" i="210"/>
  <c r="S336" i="210"/>
  <c r="S345" i="210"/>
  <c r="S353" i="210"/>
  <c r="S369" i="210"/>
  <c r="S385" i="210"/>
  <c r="S393" i="210"/>
  <c r="S401" i="210"/>
  <c r="S248" i="210"/>
  <c r="S296" i="210"/>
  <c r="S337" i="210"/>
  <c r="S340" i="210"/>
  <c r="S348" i="210"/>
  <c r="S356" i="210"/>
  <c r="S364" i="210"/>
  <c r="S372" i="210"/>
  <c r="S380" i="210"/>
  <c r="S388" i="210"/>
  <c r="S396" i="210"/>
  <c r="S404" i="210"/>
  <c r="S412" i="210"/>
  <c r="S420" i="210"/>
  <c r="S428" i="210"/>
  <c r="S436" i="210"/>
  <c r="S402" i="210"/>
  <c r="S455" i="210"/>
  <c r="S463" i="210"/>
  <c r="S471" i="210"/>
  <c r="S479" i="210"/>
  <c r="S487" i="210"/>
  <c r="S495" i="210"/>
  <c r="S503" i="210"/>
  <c r="S511" i="210"/>
  <c r="S519" i="210"/>
  <c r="S391" i="210"/>
  <c r="S410" i="210"/>
  <c r="S426" i="210"/>
  <c r="S442" i="210"/>
  <c r="S450" i="210"/>
  <c r="S458" i="210"/>
  <c r="S466" i="210"/>
  <c r="S474" i="210"/>
  <c r="S482" i="210"/>
  <c r="S490" i="210"/>
  <c r="S498" i="210"/>
  <c r="S506" i="210"/>
  <c r="S522" i="210"/>
  <c r="S530" i="210"/>
  <c r="S538" i="210"/>
  <c r="S546" i="210"/>
  <c r="S343" i="210"/>
  <c r="S399" i="210"/>
  <c r="S414" i="210"/>
  <c r="S430" i="210"/>
  <c r="S453" i="210"/>
  <c r="S461" i="210"/>
  <c r="S469" i="210"/>
  <c r="S477" i="210"/>
  <c r="S485" i="210"/>
  <c r="S493" i="210"/>
  <c r="S501" i="210"/>
  <c r="S509" i="210"/>
  <c r="S525" i="210"/>
  <c r="S533" i="210"/>
  <c r="S541" i="210"/>
  <c r="S549" i="210"/>
  <c r="S415" i="210"/>
  <c r="S417" i="210"/>
  <c r="S431" i="210"/>
  <c r="S433" i="210"/>
  <c r="S456" i="210"/>
  <c r="S464" i="210"/>
  <c r="S472" i="210"/>
  <c r="S480" i="210"/>
  <c r="S488" i="210"/>
  <c r="S496" i="210"/>
  <c r="S504" i="210"/>
  <c r="S520" i="210"/>
  <c r="S528" i="210"/>
  <c r="S536" i="210"/>
  <c r="S544" i="210"/>
  <c r="S552" i="210"/>
  <c r="S367" i="210"/>
  <c r="S383" i="210"/>
  <c r="S451" i="210"/>
  <c r="S459" i="210"/>
  <c r="S467" i="210"/>
  <c r="S475" i="210"/>
  <c r="S483" i="210"/>
  <c r="S491" i="210"/>
  <c r="S499" i="210"/>
  <c r="S507" i="210"/>
  <c r="S523" i="210"/>
  <c r="S418" i="210"/>
  <c r="S434" i="210"/>
  <c r="S454" i="210"/>
  <c r="S462" i="210"/>
  <c r="S470" i="210"/>
  <c r="S478" i="210"/>
  <c r="S486" i="210"/>
  <c r="S494" i="210"/>
  <c r="S502" i="210"/>
  <c r="S510" i="210"/>
  <c r="S518" i="210"/>
  <c r="S394" i="210"/>
  <c r="S422" i="210"/>
  <c r="S438" i="210"/>
  <c r="S449" i="210"/>
  <c r="S457" i="210"/>
  <c r="S465" i="210"/>
  <c r="S473" i="210"/>
  <c r="S481" i="210"/>
  <c r="S489" i="210"/>
  <c r="S497" i="210"/>
  <c r="S505" i="210"/>
  <c r="S521" i="210"/>
  <c r="S529" i="210"/>
  <c r="S537" i="210"/>
  <c r="S545" i="210"/>
  <c r="S351" i="210"/>
  <c r="S407" i="210"/>
  <c r="S460" i="210"/>
  <c r="S559" i="210"/>
  <c r="S567" i="210"/>
  <c r="S575" i="210"/>
  <c r="S583" i="210"/>
  <c r="S591" i="210"/>
  <c r="S599" i="210"/>
  <c r="S607" i="210"/>
  <c r="S615" i="210"/>
  <c r="S631" i="210"/>
  <c r="S639" i="210"/>
  <c r="S647" i="210"/>
  <c r="S655" i="210"/>
  <c r="S406" i="210"/>
  <c r="S500" i="210"/>
  <c r="S524" i="210"/>
  <c r="S527" i="210"/>
  <c r="S543" i="210"/>
  <c r="S554" i="210"/>
  <c r="S570" i="210"/>
  <c r="S578" i="210"/>
  <c r="S586" i="210"/>
  <c r="S594" i="210"/>
  <c r="S602" i="210"/>
  <c r="S610" i="210"/>
  <c r="S618" i="210"/>
  <c r="S634" i="210"/>
  <c r="S642" i="210"/>
  <c r="S650" i="210"/>
  <c r="S658" i="210"/>
  <c r="S666" i="210"/>
  <c r="S674" i="210"/>
  <c r="S682" i="210"/>
  <c r="S690" i="210"/>
  <c r="S425" i="210"/>
  <c r="S439" i="210"/>
  <c r="S476" i="210"/>
  <c r="S531" i="210"/>
  <c r="S547" i="210"/>
  <c r="S557" i="210"/>
  <c r="S573" i="210"/>
  <c r="S581" i="210"/>
  <c r="S589" i="210"/>
  <c r="S597" i="210"/>
  <c r="S605" i="210"/>
  <c r="S613" i="210"/>
  <c r="S629" i="210"/>
  <c r="S637" i="210"/>
  <c r="S645" i="210"/>
  <c r="S653" i="210"/>
  <c r="S661" i="210"/>
  <c r="S669" i="210"/>
  <c r="S452" i="210"/>
  <c r="S532" i="210"/>
  <c r="S534" i="210"/>
  <c r="S548" i="210"/>
  <c r="S550" i="210"/>
  <c r="S560" i="210"/>
  <c r="S568" i="210"/>
  <c r="S576" i="210"/>
  <c r="S584" i="210"/>
  <c r="S592" i="210"/>
  <c r="S600" i="210"/>
  <c r="S608" i="210"/>
  <c r="S616" i="210"/>
  <c r="S632" i="210"/>
  <c r="S640" i="210"/>
  <c r="S648" i="210"/>
  <c r="S656" i="210"/>
  <c r="S664" i="210"/>
  <c r="S672" i="210"/>
  <c r="S680" i="210"/>
  <c r="S688" i="210"/>
  <c r="S492" i="210"/>
  <c r="S555" i="210"/>
  <c r="S571" i="210"/>
  <c r="S579" i="210"/>
  <c r="S587" i="210"/>
  <c r="S595" i="210"/>
  <c r="S603" i="210"/>
  <c r="S611" i="210"/>
  <c r="S619" i="210"/>
  <c r="S627" i="210"/>
  <c r="S635" i="210"/>
  <c r="S643" i="210"/>
  <c r="S651" i="210"/>
  <c r="S409" i="210"/>
  <c r="S423" i="210"/>
  <c r="S468" i="210"/>
  <c r="S535" i="210"/>
  <c r="S551" i="210"/>
  <c r="S558" i="210"/>
  <c r="S574" i="210"/>
  <c r="S582" i="210"/>
  <c r="S590" i="210"/>
  <c r="S598" i="210"/>
  <c r="S606" i="210"/>
  <c r="S614" i="210"/>
  <c r="S630" i="210"/>
  <c r="S638" i="210"/>
  <c r="S646" i="210"/>
  <c r="S654" i="210"/>
  <c r="S662" i="210"/>
  <c r="S670" i="210"/>
  <c r="S272" i="210"/>
  <c r="S508" i="210"/>
  <c r="S539" i="210"/>
  <c r="S553" i="210"/>
  <c r="S569" i="210"/>
  <c r="S577" i="210"/>
  <c r="S585" i="210"/>
  <c r="S593" i="210"/>
  <c r="S601" i="210"/>
  <c r="S609" i="210"/>
  <c r="S617" i="210"/>
  <c r="S633" i="210"/>
  <c r="S641" i="210"/>
  <c r="S649" i="210"/>
  <c r="S657" i="210"/>
  <c r="S572" i="210"/>
  <c r="S668" i="210"/>
  <c r="S701" i="210"/>
  <c r="S709" i="210"/>
  <c r="S717" i="210"/>
  <c r="S725" i="210"/>
  <c r="S733" i="210"/>
  <c r="S612" i="210"/>
  <c r="S644" i="210"/>
  <c r="S679" i="210"/>
  <c r="S684" i="210"/>
  <c r="S704" i="210"/>
  <c r="S712" i="210"/>
  <c r="S720" i="210"/>
  <c r="S728" i="210"/>
  <c r="S736" i="210"/>
  <c r="S752" i="210"/>
  <c r="S760" i="210"/>
  <c r="S768" i="210"/>
  <c r="S588" i="210"/>
  <c r="S671" i="210"/>
  <c r="S673" i="210"/>
  <c r="S689" i="210"/>
  <c r="S699" i="210"/>
  <c r="S707" i="210"/>
  <c r="S715" i="210"/>
  <c r="S723" i="210"/>
  <c r="S731" i="210"/>
  <c r="S739" i="210"/>
  <c r="S747" i="210"/>
  <c r="S755" i="210"/>
  <c r="S763" i="210"/>
  <c r="S771" i="210"/>
  <c r="S779" i="210"/>
  <c r="S526" i="210"/>
  <c r="S542" i="210"/>
  <c r="S675" i="210"/>
  <c r="S685" i="210"/>
  <c r="S702" i="210"/>
  <c r="S710" i="210"/>
  <c r="S718" i="210"/>
  <c r="S726" i="210"/>
  <c r="S734" i="210"/>
  <c r="S441" i="210"/>
  <c r="S556" i="210"/>
  <c r="S604" i="210"/>
  <c r="S636" i="210"/>
  <c r="S676" i="210"/>
  <c r="S681" i="210"/>
  <c r="S686" i="210"/>
  <c r="S705" i="210"/>
  <c r="S713" i="210"/>
  <c r="S721" i="210"/>
  <c r="S729" i="210"/>
  <c r="S737" i="210"/>
  <c r="S753" i="210"/>
  <c r="S761" i="210"/>
  <c r="S769" i="210"/>
  <c r="S580" i="210"/>
  <c r="S691" i="210"/>
  <c r="S700" i="210"/>
  <c r="S708" i="210"/>
  <c r="S716" i="210"/>
  <c r="S724" i="210"/>
  <c r="S732" i="210"/>
  <c r="S740" i="210"/>
  <c r="S748" i="210"/>
  <c r="S756" i="210"/>
  <c r="S764" i="210"/>
  <c r="S780" i="210"/>
  <c r="S540" i="210"/>
  <c r="S620" i="210"/>
  <c r="S652" i="210"/>
  <c r="S659" i="210"/>
  <c r="S660" i="210"/>
  <c r="S663" i="210"/>
  <c r="S665" i="210"/>
  <c r="S677" i="210"/>
  <c r="S678" i="210"/>
  <c r="S703" i="210"/>
  <c r="S711" i="210"/>
  <c r="S719" i="210"/>
  <c r="S727" i="210"/>
  <c r="S735" i="210"/>
  <c r="S751" i="210"/>
  <c r="S759" i="210"/>
  <c r="S767" i="210"/>
  <c r="S484" i="210"/>
  <c r="S596" i="210"/>
  <c r="S628" i="210"/>
  <c r="S667" i="210"/>
  <c r="S683" i="210"/>
  <c r="S687" i="210"/>
  <c r="S692" i="210"/>
  <c r="S706" i="210"/>
  <c r="S714" i="210"/>
  <c r="S722" i="210"/>
  <c r="S730" i="210"/>
  <c r="S738" i="210"/>
  <c r="S754" i="210"/>
  <c r="S762" i="210"/>
  <c r="S770" i="210"/>
  <c r="S778" i="210"/>
  <c r="S781" i="210"/>
  <c r="S789" i="210"/>
  <c r="S797" i="210"/>
  <c r="S805" i="210"/>
  <c r="S813" i="210"/>
  <c r="S821" i="210"/>
  <c r="S829" i="210"/>
  <c r="S837" i="210"/>
  <c r="S845" i="210"/>
  <c r="S853" i="210"/>
  <c r="S861" i="210"/>
  <c r="S869" i="210"/>
  <c r="S877" i="210"/>
  <c r="S885" i="210"/>
  <c r="S901" i="210"/>
  <c r="S757" i="210"/>
  <c r="S758" i="210"/>
  <c r="S784" i="210"/>
  <c r="S792" i="210"/>
  <c r="S800" i="210"/>
  <c r="S808" i="210"/>
  <c r="S816" i="210"/>
  <c r="S824" i="210"/>
  <c r="S832" i="210"/>
  <c r="S848" i="210"/>
  <c r="S856" i="210"/>
  <c r="S864" i="210"/>
  <c r="S872" i="210"/>
  <c r="S880" i="210"/>
  <c r="S888" i="210"/>
  <c r="S896" i="210"/>
  <c r="S904" i="210"/>
  <c r="S912" i="210"/>
  <c r="S928" i="210"/>
  <c r="S787" i="210"/>
  <c r="S795" i="210"/>
  <c r="S803" i="210"/>
  <c r="S811" i="210"/>
  <c r="S819" i="210"/>
  <c r="S827" i="210"/>
  <c r="S835" i="210"/>
  <c r="S851" i="210"/>
  <c r="S859" i="210"/>
  <c r="S867" i="210"/>
  <c r="S875" i="210"/>
  <c r="S883" i="210"/>
  <c r="S899" i="210"/>
  <c r="S907" i="210"/>
  <c r="S915" i="210"/>
  <c r="S931" i="210"/>
  <c r="S765" i="210"/>
  <c r="S766" i="210"/>
  <c r="S782" i="210"/>
  <c r="S790" i="210"/>
  <c r="S798" i="210"/>
  <c r="S806" i="210"/>
  <c r="S814" i="210"/>
  <c r="S822" i="210"/>
  <c r="S830" i="210"/>
  <c r="S838" i="210"/>
  <c r="S846" i="210"/>
  <c r="S854" i="210"/>
  <c r="S862" i="210"/>
  <c r="S870" i="210"/>
  <c r="S878" i="210"/>
  <c r="S886" i="210"/>
  <c r="S902" i="210"/>
  <c r="S785" i="210"/>
  <c r="S793" i="210"/>
  <c r="S801" i="210"/>
  <c r="S809" i="210"/>
  <c r="S817" i="210"/>
  <c r="S825" i="210"/>
  <c r="S833" i="210"/>
  <c r="S849" i="210"/>
  <c r="S857" i="210"/>
  <c r="S865" i="210"/>
  <c r="S873" i="210"/>
  <c r="S881" i="210"/>
  <c r="S889" i="210"/>
  <c r="S897" i="210"/>
  <c r="S905" i="210"/>
  <c r="S913" i="210"/>
  <c r="S929" i="210"/>
  <c r="S788" i="210"/>
  <c r="S796" i="210"/>
  <c r="S804" i="210"/>
  <c r="S812" i="210"/>
  <c r="S820" i="210"/>
  <c r="S828" i="210"/>
  <c r="S836" i="210"/>
  <c r="S852" i="210"/>
  <c r="S860" i="210"/>
  <c r="S868" i="210"/>
  <c r="S876" i="210"/>
  <c r="S884" i="210"/>
  <c r="S900" i="210"/>
  <c r="S908" i="210"/>
  <c r="S916" i="210"/>
  <c r="S783" i="210"/>
  <c r="S791" i="210"/>
  <c r="S799" i="210"/>
  <c r="S807" i="210"/>
  <c r="S815" i="210"/>
  <c r="S823" i="210"/>
  <c r="S831" i="210"/>
  <c r="S847" i="210"/>
  <c r="S855" i="210"/>
  <c r="S863" i="210"/>
  <c r="S871" i="210"/>
  <c r="S879" i="210"/>
  <c r="S887" i="210"/>
  <c r="S903" i="210"/>
  <c r="S749" i="210"/>
  <c r="S750" i="210"/>
  <c r="S786" i="210"/>
  <c r="S794" i="210"/>
  <c r="S802" i="210"/>
  <c r="S810" i="210"/>
  <c r="S818" i="210"/>
  <c r="S826" i="210"/>
  <c r="S834" i="210"/>
  <c r="S850" i="210"/>
  <c r="S858" i="210"/>
  <c r="S866" i="210"/>
  <c r="S874" i="210"/>
  <c r="S882" i="210"/>
  <c r="S898" i="210"/>
  <c r="S906" i="210"/>
  <c r="S914" i="210"/>
  <c r="S930" i="210"/>
  <c r="S932" i="210"/>
  <c r="S943" i="210"/>
  <c r="S951" i="210"/>
  <c r="S959" i="210"/>
  <c r="S967" i="210"/>
  <c r="S975" i="210"/>
  <c r="S983" i="210"/>
  <c r="S991" i="210"/>
  <c r="S999" i="210"/>
  <c r="S1007" i="210"/>
  <c r="S1015" i="210"/>
  <c r="S1023" i="210"/>
  <c r="S1031" i="210"/>
  <c r="S1039" i="210"/>
  <c r="S1047" i="210"/>
  <c r="S1055" i="210"/>
  <c r="S1063" i="210"/>
  <c r="S1071" i="210"/>
  <c r="S1079" i="210"/>
  <c r="S1087" i="210"/>
  <c r="S1095" i="210"/>
  <c r="S1103" i="210"/>
  <c r="S1119" i="210"/>
  <c r="S1127" i="210"/>
  <c r="S1135" i="210"/>
  <c r="S917" i="210"/>
  <c r="S933" i="210"/>
  <c r="S934" i="210"/>
  <c r="S938" i="210"/>
  <c r="S946" i="210"/>
  <c r="S954" i="210"/>
  <c r="S962" i="210"/>
  <c r="S970" i="210"/>
  <c r="S978" i="210"/>
  <c r="S986" i="210"/>
  <c r="S994" i="210"/>
  <c r="S1002" i="210"/>
  <c r="S1010" i="210"/>
  <c r="S1018" i="210"/>
  <c r="S1034" i="210"/>
  <c r="S1042" i="210"/>
  <c r="S1058" i="210"/>
  <c r="S1066" i="210"/>
  <c r="S1074" i="210"/>
  <c r="S1082" i="210"/>
  <c r="S1090" i="210"/>
  <c r="S1098" i="210"/>
  <c r="S1106" i="210"/>
  <c r="S1114" i="210"/>
  <c r="S1122" i="210"/>
  <c r="S1130" i="210"/>
  <c r="S1138" i="210"/>
  <c r="S1146" i="210"/>
  <c r="S1154" i="210"/>
  <c r="S1162" i="210"/>
  <c r="S1170" i="210"/>
  <c r="S909" i="210"/>
  <c r="S910" i="210"/>
  <c r="S911" i="210"/>
  <c r="S935" i="210"/>
  <c r="S941" i="210"/>
  <c r="S949" i="210"/>
  <c r="S957" i="210"/>
  <c r="S965" i="210"/>
  <c r="S973" i="210"/>
  <c r="S981" i="210"/>
  <c r="S989" i="210"/>
  <c r="S997" i="210"/>
  <c r="S1005" i="210"/>
  <c r="S1013" i="210"/>
  <c r="S1021" i="210"/>
  <c r="S1037" i="210"/>
  <c r="S1045" i="210"/>
  <c r="S1061" i="210"/>
  <c r="S1069" i="210"/>
  <c r="S1077" i="210"/>
  <c r="S1085" i="210"/>
  <c r="S1093" i="210"/>
  <c r="S1101" i="210"/>
  <c r="S1117" i="210"/>
  <c r="S1125" i="210"/>
  <c r="S1133" i="210"/>
  <c r="S1141" i="210"/>
  <c r="S944" i="210"/>
  <c r="S952" i="210"/>
  <c r="S960" i="210"/>
  <c r="S968" i="210"/>
  <c r="S976" i="210"/>
  <c r="S984" i="210"/>
  <c r="S992" i="210"/>
  <c r="S1000" i="210"/>
  <c r="S1008" i="210"/>
  <c r="S1016" i="210"/>
  <c r="S1024" i="210"/>
  <c r="S1032" i="210"/>
  <c r="S1040" i="210"/>
  <c r="S1056" i="210"/>
  <c r="S1064" i="210"/>
  <c r="S1072" i="210"/>
  <c r="S1080" i="210"/>
  <c r="S1088" i="210"/>
  <c r="S1096" i="210"/>
  <c r="S1104" i="210"/>
  <c r="S1120" i="210"/>
  <c r="S1128" i="210"/>
  <c r="S1136" i="210"/>
  <c r="S924" i="210"/>
  <c r="S936" i="210"/>
  <c r="S939" i="210"/>
  <c r="S947" i="210"/>
  <c r="S955" i="210"/>
  <c r="S963" i="210"/>
  <c r="S971" i="210"/>
  <c r="S979" i="210"/>
  <c r="S987" i="210"/>
  <c r="S995" i="210"/>
  <c r="S1003" i="210"/>
  <c r="S1011" i="210"/>
  <c r="S1019" i="210"/>
  <c r="S1035" i="210"/>
  <c r="S1043" i="210"/>
  <c r="S1059" i="210"/>
  <c r="S1067" i="210"/>
  <c r="S1075" i="210"/>
  <c r="S1083" i="210"/>
  <c r="S1091" i="210"/>
  <c r="S1099" i="210"/>
  <c r="S1115" i="210"/>
  <c r="S1123" i="210"/>
  <c r="S1131" i="210"/>
  <c r="S1139" i="210"/>
  <c r="S1147" i="210"/>
  <c r="S1155" i="210"/>
  <c r="S1163" i="210"/>
  <c r="S1171" i="210"/>
  <c r="S925" i="210"/>
  <c r="S926" i="210"/>
  <c r="S942" i="210"/>
  <c r="S950" i="210"/>
  <c r="S958" i="210"/>
  <c r="S966" i="210"/>
  <c r="S974" i="210"/>
  <c r="S982" i="210"/>
  <c r="S990" i="210"/>
  <c r="S998" i="210"/>
  <c r="S1006" i="210"/>
  <c r="S1014" i="210"/>
  <c r="S1022" i="210"/>
  <c r="S1038" i="210"/>
  <c r="S1046" i="210"/>
  <c r="S1054" i="210"/>
  <c r="S1062" i="210"/>
  <c r="S1070" i="210"/>
  <c r="S1078" i="210"/>
  <c r="S1086" i="210"/>
  <c r="S1094" i="210"/>
  <c r="S1102" i="210"/>
  <c r="S1118" i="210"/>
  <c r="S1126" i="210"/>
  <c r="S1134" i="210"/>
  <c r="S1142" i="210"/>
  <c r="S1150" i="210"/>
  <c r="S1158" i="210"/>
  <c r="S1166" i="210"/>
  <c r="S1174" i="210"/>
  <c r="S940" i="210"/>
  <c r="S948" i="210"/>
  <c r="S956" i="210"/>
  <c r="S964" i="210"/>
  <c r="S972" i="210"/>
  <c r="S980" i="210"/>
  <c r="S988" i="210"/>
  <c r="S996" i="210"/>
  <c r="S1004" i="210"/>
  <c r="S1012" i="210"/>
  <c r="S1020" i="210"/>
  <c r="S1036" i="210"/>
  <c r="S1044" i="210"/>
  <c r="S1060" i="210"/>
  <c r="S1068" i="210"/>
  <c r="S1076" i="210"/>
  <c r="S1084" i="210"/>
  <c r="S1092" i="210"/>
  <c r="S1100" i="210"/>
  <c r="S1116" i="210"/>
  <c r="S1124" i="210"/>
  <c r="S1132" i="210"/>
  <c r="S1140" i="210"/>
  <c r="S1148" i="210"/>
  <c r="S1156" i="210"/>
  <c r="S1164" i="210"/>
  <c r="S1172" i="210"/>
  <c r="S977" i="210"/>
  <c r="S1041" i="210"/>
  <c r="S1065" i="210"/>
  <c r="S1145" i="210"/>
  <c r="S1161" i="210"/>
  <c r="S1187" i="210"/>
  <c r="S1195" i="210"/>
  <c r="S1203" i="210"/>
  <c r="S1211" i="210"/>
  <c r="S1227" i="210"/>
  <c r="S1235" i="210"/>
  <c r="S1243" i="210"/>
  <c r="S1251" i="210"/>
  <c r="S1259" i="210"/>
  <c r="S1267" i="210"/>
  <c r="S1275" i="210"/>
  <c r="S1283" i="210"/>
  <c r="S1299" i="210"/>
  <c r="S1307" i="210"/>
  <c r="S1315" i="210"/>
  <c r="S1323" i="210"/>
  <c r="S1339" i="210"/>
  <c r="S1347" i="210"/>
  <c r="S1355" i="210"/>
  <c r="S1363" i="210"/>
  <c r="S1379" i="210"/>
  <c r="S1387" i="210"/>
  <c r="S953" i="210"/>
  <c r="S1017" i="210"/>
  <c r="S1105" i="210"/>
  <c r="S1113" i="210"/>
  <c r="S1190" i="210"/>
  <c r="S1198" i="210"/>
  <c r="S1206" i="210"/>
  <c r="S1214" i="210"/>
  <c r="S1222" i="210"/>
  <c r="S1230" i="210"/>
  <c r="S1238" i="210"/>
  <c r="S1246" i="210"/>
  <c r="S1262" i="210"/>
  <c r="S1270" i="210"/>
  <c r="S1278" i="210"/>
  <c r="S1294" i="210"/>
  <c r="S1302" i="210"/>
  <c r="S1310" i="210"/>
  <c r="S1318" i="210"/>
  <c r="S1326" i="210"/>
  <c r="S1342" i="210"/>
  <c r="S1350" i="210"/>
  <c r="S1358" i="210"/>
  <c r="S1366" i="210"/>
  <c r="S1374" i="210"/>
  <c r="S1382" i="210"/>
  <c r="S1390" i="210"/>
  <c r="S993" i="210"/>
  <c r="S1081" i="210"/>
  <c r="S1121" i="210"/>
  <c r="S1149" i="210"/>
  <c r="S1151" i="210"/>
  <c r="S1165" i="210"/>
  <c r="S1167" i="210"/>
  <c r="S1185" i="210"/>
  <c r="S1193" i="210"/>
  <c r="S1201" i="210"/>
  <c r="S1209" i="210"/>
  <c r="S1225" i="210"/>
  <c r="S1233" i="210"/>
  <c r="S1241" i="210"/>
  <c r="S1249" i="210"/>
  <c r="S1265" i="210"/>
  <c r="S1273" i="210"/>
  <c r="S1281" i="210"/>
  <c r="S1297" i="210"/>
  <c r="S1305" i="210"/>
  <c r="S1313" i="210"/>
  <c r="S1321" i="210"/>
  <c r="S1329" i="210"/>
  <c r="S1337" i="210"/>
  <c r="S1345" i="210"/>
  <c r="S1353" i="210"/>
  <c r="S1361" i="210"/>
  <c r="S1377" i="210"/>
  <c r="S1385" i="210"/>
  <c r="S1393" i="210"/>
  <c r="S969" i="210"/>
  <c r="S1033" i="210"/>
  <c r="S1057" i="210"/>
  <c r="S1152" i="210"/>
  <c r="S1168" i="210"/>
  <c r="S1181" i="210"/>
  <c r="S1188" i="210"/>
  <c r="S1196" i="210"/>
  <c r="S1204" i="210"/>
  <c r="S1212" i="210"/>
  <c r="S1228" i="210"/>
  <c r="S1236" i="210"/>
  <c r="S1244" i="210"/>
  <c r="S1260" i="210"/>
  <c r="S1268" i="210"/>
  <c r="S1276" i="210"/>
  <c r="S1284" i="210"/>
  <c r="S1292" i="210"/>
  <c r="S1300" i="210"/>
  <c r="S1308" i="210"/>
  <c r="S1316" i="210"/>
  <c r="S1324" i="210"/>
  <c r="S1340" i="210"/>
  <c r="S1348" i="210"/>
  <c r="S1356" i="210"/>
  <c r="S945" i="210"/>
  <c r="S1009" i="210"/>
  <c r="S1097" i="210"/>
  <c r="S1137" i="210"/>
  <c r="S1153" i="210"/>
  <c r="S1169" i="210"/>
  <c r="S1182" i="210"/>
  <c r="S1191" i="210"/>
  <c r="S1199" i="210"/>
  <c r="S1207" i="210"/>
  <c r="S1223" i="210"/>
  <c r="S1231" i="210"/>
  <c r="S1239" i="210"/>
  <c r="S1247" i="210"/>
  <c r="S1263" i="210"/>
  <c r="S1271" i="210"/>
  <c r="S1279" i="210"/>
  <c r="S1295" i="210"/>
  <c r="S1303" i="210"/>
  <c r="S1311" i="210"/>
  <c r="S1319" i="210"/>
  <c r="S1327" i="210"/>
  <c r="S1343" i="210"/>
  <c r="S1351" i="210"/>
  <c r="S1359" i="210"/>
  <c r="S1375" i="210"/>
  <c r="S1383" i="210"/>
  <c r="S1391" i="210"/>
  <c r="S927" i="210"/>
  <c r="S985" i="210"/>
  <c r="S1073" i="210"/>
  <c r="S1186" i="210"/>
  <c r="S1194" i="210"/>
  <c r="S1202" i="210"/>
  <c r="S1210" i="210"/>
  <c r="S1226" i="210"/>
  <c r="S1234" i="210"/>
  <c r="S1242" i="210"/>
  <c r="S1250" i="210"/>
  <c r="S1258" i="210"/>
  <c r="S1266" i="210"/>
  <c r="S1274" i="210"/>
  <c r="S1282" i="210"/>
  <c r="S1298" i="210"/>
  <c r="S1306" i="210"/>
  <c r="S1314" i="210"/>
  <c r="S1322" i="210"/>
  <c r="S1338" i="210"/>
  <c r="S1346" i="210"/>
  <c r="S1354" i="210"/>
  <c r="S1362" i="210"/>
  <c r="S1378" i="210"/>
  <c r="S1386" i="210"/>
  <c r="S961" i="210"/>
  <c r="S1157" i="210"/>
  <c r="S1159" i="210"/>
  <c r="S1173" i="210"/>
  <c r="S1183" i="210"/>
  <c r="S1189" i="210"/>
  <c r="S1197" i="210"/>
  <c r="S1205" i="210"/>
  <c r="S1213" i="210"/>
  <c r="S1221" i="210"/>
  <c r="S1229" i="210"/>
  <c r="S1237" i="210"/>
  <c r="S1245" i="210"/>
  <c r="S1261" i="210"/>
  <c r="S1269" i="210"/>
  <c r="S1277" i="210"/>
  <c r="S1285" i="210"/>
  <c r="S1293" i="210"/>
  <c r="S1301" i="210"/>
  <c r="S1309" i="210"/>
  <c r="S1317" i="210"/>
  <c r="S1325" i="210"/>
  <c r="S1341" i="210"/>
  <c r="S1349" i="210"/>
  <c r="S1357" i="210"/>
  <c r="S937" i="210"/>
  <c r="S1001" i="210"/>
  <c r="S1089" i="210"/>
  <c r="S1129" i="210"/>
  <c r="S1143" i="210"/>
  <c r="S1144" i="210"/>
  <c r="S1160" i="210"/>
  <c r="S1184" i="210"/>
  <c r="S1192" i="210"/>
  <c r="S1200" i="210"/>
  <c r="S1208" i="210"/>
  <c r="S1224" i="210"/>
  <c r="S1232" i="210"/>
  <c r="S1240" i="210"/>
  <c r="S1248" i="210"/>
  <c r="S1264" i="210"/>
  <c r="S1272" i="210"/>
  <c r="S1280" i="210"/>
  <c r="S1296" i="210"/>
  <c r="S1304" i="210"/>
  <c r="S1312" i="210"/>
  <c r="S1320" i="210"/>
  <c r="S1328" i="210"/>
  <c r="S1336" i="210"/>
  <c r="S1344" i="210"/>
  <c r="S1352" i="210"/>
  <c r="S1360" i="210"/>
  <c r="S1376" i="210"/>
  <c r="S1384" i="210"/>
  <c r="S1392" i="210"/>
  <c r="S1364" i="210"/>
  <c r="S1365" i="210"/>
  <c r="S1373" i="210"/>
  <c r="S1398" i="210"/>
  <c r="S1406" i="210"/>
  <c r="S1414" i="210"/>
  <c r="S1430" i="210"/>
  <c r="S1438" i="210"/>
  <c r="S1446" i="210"/>
  <c r="S1454" i="210"/>
  <c r="S1462" i="210"/>
  <c r="S1470" i="210"/>
  <c r="S1486" i="210"/>
  <c r="S1494" i="210"/>
  <c r="S1502" i="210"/>
  <c r="S1510" i="210"/>
  <c r="S1518" i="210"/>
  <c r="S1526" i="210"/>
  <c r="S1534" i="210"/>
  <c r="S1542" i="210"/>
  <c r="S1550" i="210"/>
  <c r="S1558" i="210"/>
  <c r="S1566" i="210"/>
  <c r="S1574" i="210"/>
  <c r="S1582" i="210"/>
  <c r="S1590" i="210"/>
  <c r="S1598" i="210"/>
  <c r="S1614" i="210"/>
  <c r="S1622" i="210"/>
  <c r="S1638" i="210"/>
  <c r="S1401" i="210"/>
  <c r="S1409" i="210"/>
  <c r="S1417" i="210"/>
  <c r="S1425" i="210"/>
  <c r="S1433" i="210"/>
  <c r="S1441" i="210"/>
  <c r="S1457" i="210"/>
  <c r="S1465" i="210"/>
  <c r="S1481" i="210"/>
  <c r="S1489" i="210"/>
  <c r="S1497" i="210"/>
  <c r="S1505" i="210"/>
  <c r="S1513" i="210"/>
  <c r="S1521" i="210"/>
  <c r="S1529" i="210"/>
  <c r="S1537" i="210"/>
  <c r="S1553" i="210"/>
  <c r="S1561" i="210"/>
  <c r="S1569" i="210"/>
  <c r="S1577" i="210"/>
  <c r="S1585" i="210"/>
  <c r="S1593" i="210"/>
  <c r="S1609" i="210"/>
  <c r="S1617" i="210"/>
  <c r="S1633" i="210"/>
  <c r="S1641" i="210"/>
  <c r="S1396" i="210"/>
  <c r="S1404" i="210"/>
  <c r="S1412" i="210"/>
  <c r="S1428" i="210"/>
  <c r="S1436" i="210"/>
  <c r="S1444" i="210"/>
  <c r="S1460" i="210"/>
  <c r="S1468" i="210"/>
  <c r="S1484" i="210"/>
  <c r="S1492" i="210"/>
  <c r="S1500" i="210"/>
  <c r="S1508" i="210"/>
  <c r="S1516" i="210"/>
  <c r="S1524" i="210"/>
  <c r="S1532" i="210"/>
  <c r="S1540" i="210"/>
  <c r="S1556" i="210"/>
  <c r="S1564" i="210"/>
  <c r="S1572" i="210"/>
  <c r="S1580" i="210"/>
  <c r="S1588" i="210"/>
  <c r="S1596" i="210"/>
  <c r="S1612" i="210"/>
  <c r="S1620" i="210"/>
  <c r="S1636" i="210"/>
  <c r="S1644" i="210"/>
  <c r="S1652" i="210"/>
  <c r="S1399" i="210"/>
  <c r="S1407" i="210"/>
  <c r="S1415" i="210"/>
  <c r="S1431" i="210"/>
  <c r="S1439" i="210"/>
  <c r="S1447" i="210"/>
  <c r="S1455" i="210"/>
  <c r="S1463" i="210"/>
  <c r="S1471" i="210"/>
  <c r="S1479" i="210"/>
  <c r="S1487" i="210"/>
  <c r="S1495" i="210"/>
  <c r="S1503" i="210"/>
  <c r="S1511" i="210"/>
  <c r="S1519" i="210"/>
  <c r="S1527" i="210"/>
  <c r="S1535" i="210"/>
  <c r="S1551" i="210"/>
  <c r="S1559" i="210"/>
  <c r="S1567" i="210"/>
  <c r="S1575" i="210"/>
  <c r="S1583" i="210"/>
  <c r="S1591" i="210"/>
  <c r="S1599" i="210"/>
  <c r="S1607" i="210"/>
  <c r="S1615" i="210"/>
  <c r="S1623" i="210"/>
  <c r="S1631" i="210"/>
  <c r="S1639" i="210"/>
  <c r="S1655" i="210"/>
  <c r="S1394" i="210"/>
  <c r="S1402" i="210"/>
  <c r="S1410" i="210"/>
  <c r="S1418" i="210"/>
  <c r="S1426" i="210"/>
  <c r="S1434" i="210"/>
  <c r="S1442" i="210"/>
  <c r="S1458" i="210"/>
  <c r="S1466" i="210"/>
  <c r="S1482" i="210"/>
  <c r="S1490" i="210"/>
  <c r="S1498" i="210"/>
  <c r="S1506" i="210"/>
  <c r="S1514" i="210"/>
  <c r="S1522" i="210"/>
  <c r="S1530" i="210"/>
  <c r="S1538" i="210"/>
  <c r="S1554" i="210"/>
  <c r="S1562" i="210"/>
  <c r="S1570" i="210"/>
  <c r="S1578" i="210"/>
  <c r="S1586" i="210"/>
  <c r="S1594" i="210"/>
  <c r="S1610" i="210"/>
  <c r="S1618" i="210"/>
  <c r="S1634" i="210"/>
  <c r="S1642" i="210"/>
  <c r="S1380" i="210"/>
  <c r="S1381" i="210"/>
  <c r="S1397" i="210"/>
  <c r="S1405" i="210"/>
  <c r="S1413" i="210"/>
  <c r="S1429" i="210"/>
  <c r="S1437" i="210"/>
  <c r="S1445" i="210"/>
  <c r="S1461" i="210"/>
  <c r="S1469" i="210"/>
  <c r="S1485" i="210"/>
  <c r="S1493" i="210"/>
  <c r="S1501" i="210"/>
  <c r="S1509" i="210"/>
  <c r="S1517" i="210"/>
  <c r="S1525" i="210"/>
  <c r="S1533" i="210"/>
  <c r="S1541" i="210"/>
  <c r="S1549" i="210"/>
  <c r="S1557" i="210"/>
  <c r="S1565" i="210"/>
  <c r="S1573" i="210"/>
  <c r="S1581" i="210"/>
  <c r="S1400" i="210"/>
  <c r="S1408" i="210"/>
  <c r="S1416" i="210"/>
  <c r="S1432" i="210"/>
  <c r="S1440" i="210"/>
  <c r="S1456" i="210"/>
  <c r="S1464" i="210"/>
  <c r="S1472" i="210"/>
  <c r="S1480" i="210"/>
  <c r="S1488" i="210"/>
  <c r="S1496" i="210"/>
  <c r="S1504" i="210"/>
  <c r="S1512" i="210"/>
  <c r="S1520" i="210"/>
  <c r="S1528" i="210"/>
  <c r="S1536" i="210"/>
  <c r="S1552" i="210"/>
  <c r="S1560" i="210"/>
  <c r="S1568" i="210"/>
  <c r="S1576" i="210"/>
  <c r="S1584" i="210"/>
  <c r="S1592" i="210"/>
  <c r="S1600" i="210"/>
  <c r="S1608" i="210"/>
  <c r="S1616" i="210"/>
  <c r="S1624" i="210"/>
  <c r="S1632" i="210"/>
  <c r="S1640" i="210"/>
  <c r="S1656" i="210"/>
  <c r="S1389" i="210"/>
  <c r="S1411" i="210"/>
  <c r="S1539" i="210"/>
  <c r="S1587" i="210"/>
  <c r="S1597" i="210"/>
  <c r="S1661" i="210"/>
  <c r="S1669" i="210"/>
  <c r="S1677" i="210"/>
  <c r="S1685" i="210"/>
  <c r="S1693" i="210"/>
  <c r="S1701" i="210"/>
  <c r="S1709" i="210"/>
  <c r="S1717" i="210"/>
  <c r="S1725" i="210"/>
  <c r="S1733" i="210"/>
  <c r="S1741" i="210"/>
  <c r="S1749" i="210"/>
  <c r="S1757" i="210"/>
  <c r="S1765" i="210"/>
  <c r="S1781" i="210"/>
  <c r="S1789" i="210"/>
  <c r="S1805" i="210"/>
  <c r="S1813" i="210"/>
  <c r="S1829" i="210"/>
  <c r="S1837" i="210"/>
  <c r="S1845" i="210"/>
  <c r="S1853" i="210"/>
  <c r="S1388" i="210"/>
  <c r="S1435" i="210"/>
  <c r="S1515" i="210"/>
  <c r="S1563" i="210"/>
  <c r="S1619" i="210"/>
  <c r="S1643" i="210"/>
  <c r="S1651" i="210"/>
  <c r="S1653" i="210"/>
  <c r="S1664" i="210"/>
  <c r="S1672" i="210"/>
  <c r="S1680" i="210"/>
  <c r="S1688" i="210"/>
  <c r="S1696" i="210"/>
  <c r="S1704" i="210"/>
  <c r="S1712" i="210"/>
  <c r="S1720" i="210"/>
  <c r="S1736" i="210"/>
  <c r="S1744" i="210"/>
  <c r="S1752" i="210"/>
  <c r="S1760" i="210"/>
  <c r="S1768" i="210"/>
  <c r="S1776" i="210"/>
  <c r="S1784" i="210"/>
  <c r="S1792" i="210"/>
  <c r="S1808" i="210"/>
  <c r="S1816" i="210"/>
  <c r="S1824" i="210"/>
  <c r="S1832" i="210"/>
  <c r="S1840" i="210"/>
  <c r="S1848" i="210"/>
  <c r="S1459" i="210"/>
  <c r="S1491" i="210"/>
  <c r="S1595" i="210"/>
  <c r="S1659" i="210"/>
  <c r="S1667" i="210"/>
  <c r="S1675" i="210"/>
  <c r="S1683" i="210"/>
  <c r="S1691" i="210"/>
  <c r="S1699" i="210"/>
  <c r="S1707" i="210"/>
  <c r="S1715" i="210"/>
  <c r="S1723" i="210"/>
  <c r="S1739" i="210"/>
  <c r="S1747" i="210"/>
  <c r="S1755" i="210"/>
  <c r="S1763" i="210"/>
  <c r="S1779" i="210"/>
  <c r="S1787" i="210"/>
  <c r="S1795" i="210"/>
  <c r="S1803" i="210"/>
  <c r="S1811" i="210"/>
  <c r="S1827" i="210"/>
  <c r="S1835" i="210"/>
  <c r="S1843" i="210"/>
  <c r="S1851" i="210"/>
  <c r="S1403" i="210"/>
  <c r="S1531" i="210"/>
  <c r="S1579" i="210"/>
  <c r="S1654" i="210"/>
  <c r="S1662" i="210"/>
  <c r="S1670" i="210"/>
  <c r="S1678" i="210"/>
  <c r="S1686" i="210"/>
  <c r="S1694" i="210"/>
  <c r="S1702" i="210"/>
  <c r="S1710" i="210"/>
  <c r="S1718" i="210"/>
  <c r="S1734" i="210"/>
  <c r="S1742" i="210"/>
  <c r="S1750" i="210"/>
  <c r="S1758" i="210"/>
  <c r="S1766" i="210"/>
  <c r="S1782" i="210"/>
  <c r="S1790" i="210"/>
  <c r="S1806" i="210"/>
  <c r="S1814" i="210"/>
  <c r="S1830" i="210"/>
  <c r="S1838" i="210"/>
  <c r="S1846" i="210"/>
  <c r="S1854" i="210"/>
  <c r="S1427" i="210"/>
  <c r="S1507" i="210"/>
  <c r="S1555" i="210"/>
  <c r="S1665" i="210"/>
  <c r="S1673" i="210"/>
  <c r="S1681" i="210"/>
  <c r="S1689" i="210"/>
  <c r="S1697" i="210"/>
  <c r="S1705" i="210"/>
  <c r="S1713" i="210"/>
  <c r="S1721" i="210"/>
  <c r="S1737" i="210"/>
  <c r="S1745" i="210"/>
  <c r="S1753" i="210"/>
  <c r="S1761" i="210"/>
  <c r="S1769" i="210"/>
  <c r="S1777" i="210"/>
  <c r="S1785" i="210"/>
  <c r="S1793" i="210"/>
  <c r="S1809" i="210"/>
  <c r="S1825" i="210"/>
  <c r="S1833" i="210"/>
  <c r="S1841" i="210"/>
  <c r="S1849" i="210"/>
  <c r="S1483" i="210"/>
  <c r="S1613" i="210"/>
  <c r="S1637" i="210"/>
  <c r="S1657" i="210"/>
  <c r="S1660" i="210"/>
  <c r="S1668" i="210"/>
  <c r="S1676" i="210"/>
  <c r="S1684" i="210"/>
  <c r="S1692" i="210"/>
  <c r="S1700" i="210"/>
  <c r="S1708" i="210"/>
  <c r="S1716" i="210"/>
  <c r="S1724" i="210"/>
  <c r="S1732" i="210"/>
  <c r="S1740" i="210"/>
  <c r="S1748" i="210"/>
  <c r="S1756" i="210"/>
  <c r="S1764" i="210"/>
  <c r="S1780" i="210"/>
  <c r="S1788" i="210"/>
  <c r="S1467" i="210"/>
  <c r="S1499" i="210"/>
  <c r="S1611" i="210"/>
  <c r="S1621" i="210"/>
  <c r="S1635" i="210"/>
  <c r="S1658" i="210"/>
  <c r="S1666" i="210"/>
  <c r="S1674" i="210"/>
  <c r="S1682" i="210"/>
  <c r="S1690" i="210"/>
  <c r="S1698" i="210"/>
  <c r="S1706" i="210"/>
  <c r="S1714" i="210"/>
  <c r="S1722" i="210"/>
  <c r="S1738" i="210"/>
  <c r="S1746" i="210"/>
  <c r="S1754" i="210"/>
  <c r="S1762" i="210"/>
  <c r="S1778" i="210"/>
  <c r="S1786" i="210"/>
  <c r="S1794" i="210"/>
  <c r="S1802" i="210"/>
  <c r="S1810" i="210"/>
  <c r="S1826" i="210"/>
  <c r="S1834" i="210"/>
  <c r="S1842" i="210"/>
  <c r="S1850" i="210"/>
  <c r="S1589" i="210"/>
  <c r="S1671" i="210"/>
  <c r="S1823" i="210"/>
  <c r="S1836" i="210"/>
  <c r="S1847" i="210"/>
  <c r="S1862" i="210"/>
  <c r="S1870" i="210"/>
  <c r="S1878" i="210"/>
  <c r="S1886" i="210"/>
  <c r="S1894" i="210"/>
  <c r="S1902" i="210"/>
  <c r="S1910" i="210"/>
  <c r="S1926" i="210"/>
  <c r="S1934" i="210"/>
  <c r="S1942" i="210"/>
  <c r="S1950" i="210"/>
  <c r="S1958" i="210"/>
  <c r="S1966" i="210"/>
  <c r="S1974" i="210"/>
  <c r="S1982" i="210"/>
  <c r="S1990" i="210"/>
  <c r="S1998" i="210"/>
  <c r="S2006" i="210"/>
  <c r="S2014" i="210"/>
  <c r="S2022" i="210"/>
  <c r="S2030" i="210"/>
  <c r="S2038" i="210"/>
  <c r="S2046" i="210"/>
  <c r="S2054" i="210"/>
  <c r="S2062" i="210"/>
  <c r="S1523" i="210"/>
  <c r="S1571" i="210"/>
  <c r="S1711" i="210"/>
  <c r="S1759" i="210"/>
  <c r="S1812" i="210"/>
  <c r="S1857" i="210"/>
  <c r="S1865" i="210"/>
  <c r="S1873" i="210"/>
  <c r="S1881" i="210"/>
  <c r="S1889" i="210"/>
  <c r="S1905" i="210"/>
  <c r="S1913" i="210"/>
  <c r="S1929" i="210"/>
  <c r="S1937" i="210"/>
  <c r="S1945" i="210"/>
  <c r="S1953" i="210"/>
  <c r="S1961" i="210"/>
  <c r="S1969" i="210"/>
  <c r="S1977" i="210"/>
  <c r="S1985" i="210"/>
  <c r="S1993" i="210"/>
  <c r="S2001" i="210"/>
  <c r="S2009" i="210"/>
  <c r="S1687" i="210"/>
  <c r="S1735" i="210"/>
  <c r="S1783" i="210"/>
  <c r="S1844" i="210"/>
  <c r="S1860" i="210"/>
  <c r="S1868" i="210"/>
  <c r="S1876" i="210"/>
  <c r="S1884" i="210"/>
  <c r="S1892" i="210"/>
  <c r="S1908" i="210"/>
  <c r="S1916" i="210"/>
  <c r="S1924" i="210"/>
  <c r="S1932" i="210"/>
  <c r="S1940" i="210"/>
  <c r="S1948" i="210"/>
  <c r="S1956" i="210"/>
  <c r="S1964" i="210"/>
  <c r="S1972" i="210"/>
  <c r="S1980" i="210"/>
  <c r="S1988" i="210"/>
  <c r="S1996" i="210"/>
  <c r="S2004" i="210"/>
  <c r="S2012" i="210"/>
  <c r="S2020" i="210"/>
  <c r="S2028" i="210"/>
  <c r="S2036" i="210"/>
  <c r="S2044" i="210"/>
  <c r="S2052" i="210"/>
  <c r="S2060" i="210"/>
  <c r="S2076" i="210"/>
  <c r="S1663" i="210"/>
  <c r="S1855" i="210"/>
  <c r="S1863" i="210"/>
  <c r="S1871" i="210"/>
  <c r="S1879" i="210"/>
  <c r="S1887" i="210"/>
  <c r="S1895" i="210"/>
  <c r="S1903" i="210"/>
  <c r="S1911" i="210"/>
  <c r="S1927" i="210"/>
  <c r="S1935" i="210"/>
  <c r="S1943" i="210"/>
  <c r="S1951" i="210"/>
  <c r="S1959" i="210"/>
  <c r="S1967" i="210"/>
  <c r="S1975" i="210"/>
  <c r="S1983" i="210"/>
  <c r="S1991" i="210"/>
  <c r="S1999" i="210"/>
  <c r="S2007" i="210"/>
  <c r="S2015" i="210"/>
  <c r="S2023" i="210"/>
  <c r="S2031" i="210"/>
  <c r="S2039" i="210"/>
  <c r="S2047" i="210"/>
  <c r="S1703" i="210"/>
  <c r="S1751" i="210"/>
  <c r="S1831" i="210"/>
  <c r="S1852" i="210"/>
  <c r="S1858" i="210"/>
  <c r="S1866" i="210"/>
  <c r="S1874" i="210"/>
  <c r="S1882" i="210"/>
  <c r="S1890" i="210"/>
  <c r="S1906" i="210"/>
  <c r="S1914" i="210"/>
  <c r="S1930" i="210"/>
  <c r="S1938" i="210"/>
  <c r="S1946" i="210"/>
  <c r="S1954" i="210"/>
  <c r="S1962" i="210"/>
  <c r="S1970" i="210"/>
  <c r="S1978" i="210"/>
  <c r="S1986" i="210"/>
  <c r="S1994" i="210"/>
  <c r="S2002" i="210"/>
  <c r="S2010" i="210"/>
  <c r="S2018" i="210"/>
  <c r="S2026" i="210"/>
  <c r="S2034" i="210"/>
  <c r="S2042" i="210"/>
  <c r="S2050" i="210"/>
  <c r="S2058" i="210"/>
  <c r="S2074" i="210"/>
  <c r="S1395" i="210"/>
  <c r="S1679" i="210"/>
  <c r="S1807" i="210"/>
  <c r="S1861" i="210"/>
  <c r="S1869" i="210"/>
  <c r="S1877" i="210"/>
  <c r="S1885" i="210"/>
  <c r="S1893" i="210"/>
  <c r="S1909" i="210"/>
  <c r="S1925" i="210"/>
  <c r="S1933" i="210"/>
  <c r="S1941" i="210"/>
  <c r="S1949" i="210"/>
  <c r="S1957" i="210"/>
  <c r="S1965" i="210"/>
  <c r="S1973" i="210"/>
  <c r="S1981" i="210"/>
  <c r="S1989" i="210"/>
  <c r="S1997" i="210"/>
  <c r="S1443" i="210"/>
  <c r="S1695" i="210"/>
  <c r="S1743" i="210"/>
  <c r="S1791" i="210"/>
  <c r="S1804" i="210"/>
  <c r="S1815" i="210"/>
  <c r="S1859" i="210"/>
  <c r="S1867" i="210"/>
  <c r="S1875" i="210"/>
  <c r="S1883" i="210"/>
  <c r="S1891" i="210"/>
  <c r="S1907" i="210"/>
  <c r="S1915" i="210"/>
  <c r="S1923" i="210"/>
  <c r="S1931" i="210"/>
  <c r="S1939" i="210"/>
  <c r="S1947" i="210"/>
  <c r="S1955" i="210"/>
  <c r="S1963" i="210"/>
  <c r="S1971" i="210"/>
  <c r="S1979" i="210"/>
  <c r="S1987" i="210"/>
  <c r="S1995" i="210"/>
  <c r="S2003" i="210"/>
  <c r="S2011" i="210"/>
  <c r="S2019" i="210"/>
  <c r="S2027" i="210"/>
  <c r="S2035" i="210"/>
  <c r="S2043" i="210"/>
  <c r="S2051" i="210"/>
  <c r="S2059" i="210"/>
  <c r="S2075" i="210"/>
  <c r="S1856" i="210"/>
  <c r="S1952" i="210"/>
  <c r="S2005" i="210"/>
  <c r="S2016" i="210"/>
  <c r="S2021" i="210"/>
  <c r="S2025" i="210"/>
  <c r="S2057" i="210"/>
  <c r="S2072" i="210"/>
  <c r="S2094" i="210"/>
  <c r="S2102" i="210"/>
  <c r="S2110" i="210"/>
  <c r="S2118" i="210"/>
  <c r="S2126" i="210"/>
  <c r="S2134" i="210"/>
  <c r="S2142" i="210"/>
  <c r="S2150" i="210"/>
  <c r="S2166" i="210"/>
  <c r="S2174" i="210"/>
  <c r="S2182" i="210"/>
  <c r="S2190" i="210"/>
  <c r="S2198" i="210"/>
  <c r="S2206" i="210"/>
  <c r="S2214" i="210"/>
  <c r="S2222" i="210"/>
  <c r="S2230" i="210"/>
  <c r="S2238" i="210"/>
  <c r="S2254" i="210"/>
  <c r="S2262" i="210"/>
  <c r="S2270" i="210"/>
  <c r="S2278" i="210"/>
  <c r="S1928" i="210"/>
  <c r="S1992" i="210"/>
  <c r="S2017" i="210"/>
  <c r="S2073" i="210"/>
  <c r="S2081" i="210"/>
  <c r="S2089" i="210"/>
  <c r="S2097" i="210"/>
  <c r="S2105" i="210"/>
  <c r="S2113" i="210"/>
  <c r="S2129" i="210"/>
  <c r="S2137" i="210"/>
  <c r="S2145" i="210"/>
  <c r="S2153" i="210"/>
  <c r="S2169" i="210"/>
  <c r="S2177" i="210"/>
  <c r="S2185" i="210"/>
  <c r="S2193" i="210"/>
  <c r="S2201" i="210"/>
  <c r="S2209" i="210"/>
  <c r="S1828" i="210"/>
  <c r="S1872" i="210"/>
  <c r="S1968" i="210"/>
  <c r="S2013" i="210"/>
  <c r="S2061" i="210"/>
  <c r="S2063" i="210"/>
  <c r="S2092" i="210"/>
  <c r="S2100" i="210"/>
  <c r="S2108" i="210"/>
  <c r="S2116" i="210"/>
  <c r="S2132" i="210"/>
  <c r="S2140" i="210"/>
  <c r="S2148" i="210"/>
  <c r="S2156" i="210"/>
  <c r="S2164" i="210"/>
  <c r="S2172" i="210"/>
  <c r="S2180" i="210"/>
  <c r="S2188" i="210"/>
  <c r="S2196" i="210"/>
  <c r="S2204" i="210"/>
  <c r="S2212" i="210"/>
  <c r="S2228" i="210"/>
  <c r="S2236" i="210"/>
  <c r="S2252" i="210"/>
  <c r="S2260" i="210"/>
  <c r="S2268" i="210"/>
  <c r="S2276" i="210"/>
  <c r="S2284" i="210"/>
  <c r="S1719" i="210"/>
  <c r="S1944" i="210"/>
  <c r="S2064" i="210"/>
  <c r="S2077" i="210"/>
  <c r="S2078" i="210"/>
  <c r="S2095" i="210"/>
  <c r="S2103" i="210"/>
  <c r="S2111" i="210"/>
  <c r="S2119" i="210"/>
  <c r="S2127" i="210"/>
  <c r="S2135" i="210"/>
  <c r="S2143" i="210"/>
  <c r="S2151" i="210"/>
  <c r="S2167" i="210"/>
  <c r="S2175" i="210"/>
  <c r="S2183" i="210"/>
  <c r="S2191" i="210"/>
  <c r="S2199" i="210"/>
  <c r="S2207" i="210"/>
  <c r="S2223" i="210"/>
  <c r="S2231" i="210"/>
  <c r="S2239" i="210"/>
  <c r="S2247" i="210"/>
  <c r="S2255" i="210"/>
  <c r="S2263" i="210"/>
  <c r="S2271" i="210"/>
  <c r="S1888" i="210"/>
  <c r="S1984" i="210"/>
  <c r="S2048" i="210"/>
  <c r="S2065" i="210"/>
  <c r="S2079" i="210"/>
  <c r="S2082" i="210"/>
  <c r="S2090" i="210"/>
  <c r="S2098" i="210"/>
  <c r="S2106" i="210"/>
  <c r="S2114" i="210"/>
  <c r="S2130" i="210"/>
  <c r="S2138" i="210"/>
  <c r="S2146" i="210"/>
  <c r="S2154" i="210"/>
  <c r="S2170" i="210"/>
  <c r="S2178" i="210"/>
  <c r="S2186" i="210"/>
  <c r="S2194" i="210"/>
  <c r="S2202" i="210"/>
  <c r="S2210" i="210"/>
  <c r="S2226" i="210"/>
  <c r="S2234" i="210"/>
  <c r="S2250" i="210"/>
  <c r="S2258" i="210"/>
  <c r="S2266" i="210"/>
  <c r="S2274" i="210"/>
  <c r="S2282" i="210"/>
  <c r="S1864" i="210"/>
  <c r="S1912" i="210"/>
  <c r="S1960" i="210"/>
  <c r="S2040" i="210"/>
  <c r="S2045" i="210"/>
  <c r="S2049" i="210"/>
  <c r="S2093" i="210"/>
  <c r="S2101" i="210"/>
  <c r="S2109" i="210"/>
  <c r="S2117" i="210"/>
  <c r="S2133" i="210"/>
  <c r="S2141" i="210"/>
  <c r="S2149" i="210"/>
  <c r="S2157" i="210"/>
  <c r="S2165" i="210"/>
  <c r="S2173" i="210"/>
  <c r="S2181" i="210"/>
  <c r="S2189" i="210"/>
  <c r="S2197" i="210"/>
  <c r="S2205" i="210"/>
  <c r="S2213" i="210"/>
  <c r="S2221" i="210"/>
  <c r="S2229" i="210"/>
  <c r="S1880" i="210"/>
  <c r="S1904" i="210"/>
  <c r="S1976" i="210"/>
  <c r="S2024" i="210"/>
  <c r="S2029" i="210"/>
  <c r="S2033" i="210"/>
  <c r="S2056" i="210"/>
  <c r="S2091" i="210"/>
  <c r="S2099" i="210"/>
  <c r="S2107" i="210"/>
  <c r="S2115" i="210"/>
  <c r="S2131" i="210"/>
  <c r="S2139" i="210"/>
  <c r="S2147" i="210"/>
  <c r="S2155" i="210"/>
  <c r="S2171" i="210"/>
  <c r="S2179" i="210"/>
  <c r="S2187" i="210"/>
  <c r="S2195" i="210"/>
  <c r="S2203" i="210"/>
  <c r="S2211" i="210"/>
  <c r="S2227" i="210"/>
  <c r="S2235" i="210"/>
  <c r="S2251" i="210"/>
  <c r="S2259" i="210"/>
  <c r="S2267" i="210"/>
  <c r="S2275" i="210"/>
  <c r="S2283" i="210"/>
  <c r="S2008" i="210"/>
  <c r="S2041" i="210"/>
  <c r="S2192" i="210"/>
  <c r="S2232" i="210"/>
  <c r="S2237" i="210"/>
  <c r="S2264" i="210"/>
  <c r="S2269" i="210"/>
  <c r="S2273" i="210"/>
  <c r="S2288" i="210"/>
  <c r="S2296" i="210"/>
  <c r="S2304" i="210"/>
  <c r="S2312" i="210"/>
  <c r="S2320" i="210"/>
  <c r="S2328" i="210"/>
  <c r="S2336" i="210"/>
  <c r="S2352" i="210"/>
  <c r="S2360" i="210"/>
  <c r="S2368" i="210"/>
  <c r="S2376" i="210"/>
  <c r="S2384" i="210"/>
  <c r="S2392" i="210"/>
  <c r="S2400" i="210"/>
  <c r="S2416" i="210"/>
  <c r="S2424" i="210"/>
  <c r="S2440" i="210"/>
  <c r="S2448" i="210"/>
  <c r="S2456" i="210"/>
  <c r="S2464" i="210"/>
  <c r="S2472" i="210"/>
  <c r="S2480" i="210"/>
  <c r="S2488" i="210"/>
  <c r="S2504" i="210"/>
  <c r="S2512" i="210"/>
  <c r="S1767" i="210"/>
  <c r="S1936" i="210"/>
  <c r="S2112" i="210"/>
  <c r="S2168" i="210"/>
  <c r="S2233" i="210"/>
  <c r="S2256" i="210"/>
  <c r="S2261" i="210"/>
  <c r="S2265" i="210"/>
  <c r="S2291" i="210"/>
  <c r="S2299" i="210"/>
  <c r="S2307" i="210"/>
  <c r="S2315" i="210"/>
  <c r="S2323" i="210"/>
  <c r="S2331" i="210"/>
  <c r="S2339" i="210"/>
  <c r="S2355" i="210"/>
  <c r="S2363" i="210"/>
  <c r="S2371" i="210"/>
  <c r="S2379" i="210"/>
  <c r="S2387" i="210"/>
  <c r="S2395" i="210"/>
  <c r="S2403" i="210"/>
  <c r="S2419" i="210"/>
  <c r="S2427" i="210"/>
  <c r="S2435" i="210"/>
  <c r="S2443" i="210"/>
  <c r="S2451" i="210"/>
  <c r="S2459" i="210"/>
  <c r="S2467" i="210"/>
  <c r="S2475" i="210"/>
  <c r="S2483" i="210"/>
  <c r="S2491" i="210"/>
  <c r="S2507" i="210"/>
  <c r="S2515" i="210"/>
  <c r="S2523" i="210"/>
  <c r="S2531" i="210"/>
  <c r="S2055" i="210"/>
  <c r="S2136" i="210"/>
  <c r="S2208" i="210"/>
  <c r="S2248" i="210"/>
  <c r="S2253" i="210"/>
  <c r="S2257" i="210"/>
  <c r="S2277" i="210"/>
  <c r="S2279" i="210"/>
  <c r="S2294" i="210"/>
  <c r="S2302" i="210"/>
  <c r="S2310" i="210"/>
  <c r="S2318" i="210"/>
  <c r="S2326" i="210"/>
  <c r="S2334" i="210"/>
  <c r="S2342" i="210"/>
  <c r="S2350" i="210"/>
  <c r="S2358" i="210"/>
  <c r="S2366" i="210"/>
  <c r="S2374" i="210"/>
  <c r="S2382" i="210"/>
  <c r="S2390" i="210"/>
  <c r="S2398" i="210"/>
  <c r="S2414" i="210"/>
  <c r="S2422" i="210"/>
  <c r="S2438" i="210"/>
  <c r="S2446" i="210"/>
  <c r="S2454" i="210"/>
  <c r="S2462" i="210"/>
  <c r="S2470" i="210"/>
  <c r="S2478" i="210"/>
  <c r="S2486" i="210"/>
  <c r="S2502" i="210"/>
  <c r="S2510" i="210"/>
  <c r="S2518" i="210"/>
  <c r="S2526" i="210"/>
  <c r="S2534" i="210"/>
  <c r="S1839" i="210"/>
  <c r="S2080" i="210"/>
  <c r="S2184" i="210"/>
  <c r="S2249" i="210"/>
  <c r="S2280" i="210"/>
  <c r="S2289" i="210"/>
  <c r="S2297" i="210"/>
  <c r="S2305" i="210"/>
  <c r="S2313" i="210"/>
  <c r="S2321" i="210"/>
  <c r="S2329" i="210"/>
  <c r="S2337" i="210"/>
  <c r="S2353" i="210"/>
  <c r="S2361" i="210"/>
  <c r="S2369" i="210"/>
  <c r="S2377" i="210"/>
  <c r="S2385" i="210"/>
  <c r="S2393" i="210"/>
  <c r="S2401" i="210"/>
  <c r="S2417" i="210"/>
  <c r="S2425" i="210"/>
  <c r="S2441" i="210"/>
  <c r="S2449" i="210"/>
  <c r="S2457" i="210"/>
  <c r="S2465" i="210"/>
  <c r="S2473" i="210"/>
  <c r="S2481" i="210"/>
  <c r="S2489" i="210"/>
  <c r="S2505" i="210"/>
  <c r="S2513" i="210"/>
  <c r="S2053" i="210"/>
  <c r="S2104" i="210"/>
  <c r="S2128" i="210"/>
  <c r="S2152" i="210"/>
  <c r="S2281" i="210"/>
  <c r="S2292" i="210"/>
  <c r="S2300" i="210"/>
  <c r="S2308" i="210"/>
  <c r="S2316" i="210"/>
  <c r="S2324" i="210"/>
  <c r="S2332" i="210"/>
  <c r="S2340" i="210"/>
  <c r="S2356" i="210"/>
  <c r="S2364" i="210"/>
  <c r="S2372" i="210"/>
  <c r="S2380" i="210"/>
  <c r="S2388" i="210"/>
  <c r="S2396" i="210"/>
  <c r="S2404" i="210"/>
  <c r="S2412" i="210"/>
  <c r="S2420" i="210"/>
  <c r="S2428" i="210"/>
  <c r="S2436" i="210"/>
  <c r="S2444" i="210"/>
  <c r="S2452" i="210"/>
  <c r="S2460" i="210"/>
  <c r="S2468" i="210"/>
  <c r="S2476" i="210"/>
  <c r="S2484" i="210"/>
  <c r="S2492" i="210"/>
  <c r="S2500" i="210"/>
  <c r="S2508" i="210"/>
  <c r="S2516" i="210"/>
  <c r="S2524" i="210"/>
  <c r="S2532" i="210"/>
  <c r="S2032" i="210"/>
  <c r="S2037" i="210"/>
  <c r="S2200" i="210"/>
  <c r="S2224" i="210"/>
  <c r="S2225" i="210"/>
  <c r="S2295" i="210"/>
  <c r="S2303" i="210"/>
  <c r="S2311" i="210"/>
  <c r="S2319" i="210"/>
  <c r="S2327" i="210"/>
  <c r="S2335" i="210"/>
  <c r="S2351" i="210"/>
  <c r="S2359" i="210"/>
  <c r="S2367" i="210"/>
  <c r="S2375" i="210"/>
  <c r="S2383" i="210"/>
  <c r="S2391" i="210"/>
  <c r="S2399" i="210"/>
  <c r="S2415" i="210"/>
  <c r="S2423" i="210"/>
  <c r="S2439" i="210"/>
  <c r="S2096" i="210"/>
  <c r="S2144" i="210"/>
  <c r="S2240" i="210"/>
  <c r="S2272" i="210"/>
  <c r="S2287" i="210"/>
  <c r="S2293" i="210"/>
  <c r="S2301" i="210"/>
  <c r="S2309" i="210"/>
  <c r="S2317" i="210"/>
  <c r="S2325" i="210"/>
  <c r="S2333" i="210"/>
  <c r="S2341" i="210"/>
  <c r="S2349" i="210"/>
  <c r="S2357" i="210"/>
  <c r="S2365" i="210"/>
  <c r="S2373" i="210"/>
  <c r="S2381" i="210"/>
  <c r="S2389" i="210"/>
  <c r="S2397" i="210"/>
  <c r="S2405" i="210"/>
  <c r="S2413" i="210"/>
  <c r="S2421" i="210"/>
  <c r="S2437" i="210"/>
  <c r="S2445" i="210"/>
  <c r="S2453" i="210"/>
  <c r="S2461" i="210"/>
  <c r="S2469" i="210"/>
  <c r="S2477" i="210"/>
  <c r="S2485" i="210"/>
  <c r="S2493" i="210"/>
  <c r="S2501" i="210"/>
  <c r="S2509" i="210"/>
  <c r="S2517" i="210"/>
  <c r="S2525" i="210"/>
  <c r="S2533" i="210"/>
  <c r="S2285" i="210"/>
  <c r="S2314" i="210"/>
  <c r="S2386" i="210"/>
  <c r="S2520" i="210"/>
  <c r="S2521" i="210"/>
  <c r="S2536" i="210"/>
  <c r="S2537" i="210"/>
  <c r="S2541" i="210"/>
  <c r="S2549" i="210"/>
  <c r="S2557" i="210"/>
  <c r="S2565" i="210"/>
  <c r="S2573" i="210"/>
  <c r="S2581" i="210"/>
  <c r="S2589" i="210"/>
  <c r="S2597" i="210"/>
  <c r="S2605" i="210"/>
  <c r="S2613" i="210"/>
  <c r="S2621" i="210"/>
  <c r="S2629" i="210"/>
  <c r="S2637" i="210"/>
  <c r="S2645" i="210"/>
  <c r="S2661" i="210"/>
  <c r="S2669" i="210"/>
  <c r="S2677" i="210"/>
  <c r="S2685" i="210"/>
  <c r="S2693" i="210"/>
  <c r="S2709" i="210"/>
  <c r="S2717" i="210"/>
  <c r="S2733" i="210"/>
  <c r="S2741" i="210"/>
  <c r="S2749" i="210"/>
  <c r="S2757" i="210"/>
  <c r="S2765" i="210"/>
  <c r="S2773" i="210"/>
  <c r="S2781" i="210"/>
  <c r="S2789" i="210"/>
  <c r="S2797" i="210"/>
  <c r="S2805" i="210"/>
  <c r="S2813" i="210"/>
  <c r="S2821" i="210"/>
  <c r="S2829" i="210"/>
  <c r="S2837" i="210"/>
  <c r="S2845" i="210"/>
  <c r="S2853" i="210"/>
  <c r="S2861" i="210"/>
  <c r="S2869" i="210"/>
  <c r="S2877" i="210"/>
  <c r="S2885" i="210"/>
  <c r="S2893" i="210"/>
  <c r="S2901" i="210"/>
  <c r="S2909" i="210"/>
  <c r="S2917" i="210"/>
  <c r="S2925" i="210"/>
  <c r="S2941" i="210"/>
  <c r="S2949" i="210"/>
  <c r="S2957" i="210"/>
  <c r="S2965" i="210"/>
  <c r="S2973" i="210"/>
  <c r="S2989" i="210"/>
  <c r="S2997" i="210"/>
  <c r="S2290" i="210"/>
  <c r="S2362" i="210"/>
  <c r="S2442" i="210"/>
  <c r="S2463" i="210"/>
  <c r="S2474" i="210"/>
  <c r="S2503" i="210"/>
  <c r="S2514" i="210"/>
  <c r="S2522" i="210"/>
  <c r="S2538" i="210"/>
  <c r="S2544" i="210"/>
  <c r="S2552" i="210"/>
  <c r="S2560" i="210"/>
  <c r="S2568" i="210"/>
  <c r="S2576" i="210"/>
  <c r="S2584" i="210"/>
  <c r="S2592" i="210"/>
  <c r="S2600" i="210"/>
  <c r="S2608" i="210"/>
  <c r="S2616" i="210"/>
  <c r="S2624" i="210"/>
  <c r="S2632" i="210"/>
  <c r="S2640" i="210"/>
  <c r="S2656" i="210"/>
  <c r="S2664" i="210"/>
  <c r="S2672" i="210"/>
  <c r="S2680" i="210"/>
  <c r="S2688" i="210"/>
  <c r="S2696" i="210"/>
  <c r="S2704" i="210"/>
  <c r="S2712" i="210"/>
  <c r="S2720" i="210"/>
  <c r="S2728" i="210"/>
  <c r="S2736" i="210"/>
  <c r="S2744" i="210"/>
  <c r="S2752" i="210"/>
  <c r="S2760" i="210"/>
  <c r="S2768" i="210"/>
  <c r="S2776" i="210"/>
  <c r="S2784" i="210"/>
  <c r="S2792" i="210"/>
  <c r="S2800" i="210"/>
  <c r="S2808" i="210"/>
  <c r="S2816" i="210"/>
  <c r="S2824" i="210"/>
  <c r="S2832" i="210"/>
  <c r="S2840" i="210"/>
  <c r="S2848" i="210"/>
  <c r="S2864" i="210"/>
  <c r="S2872" i="210"/>
  <c r="S2880" i="210"/>
  <c r="S2888" i="210"/>
  <c r="S2896" i="210"/>
  <c r="S2904" i="210"/>
  <c r="S2912" i="210"/>
  <c r="S2920" i="210"/>
  <c r="S2936" i="210"/>
  <c r="S2944" i="210"/>
  <c r="S2952" i="210"/>
  <c r="S2960" i="210"/>
  <c r="S2968" i="210"/>
  <c r="S2976" i="210"/>
  <c r="S2984" i="210"/>
  <c r="S2992" i="210"/>
  <c r="S3008" i="210"/>
  <c r="S2330" i="210"/>
  <c r="S2402" i="210"/>
  <c r="S2547" i="210"/>
  <c r="S2555" i="210"/>
  <c r="S2563" i="210"/>
  <c r="S2571" i="210"/>
  <c r="S2579" i="210"/>
  <c r="S2587" i="210"/>
  <c r="S2595" i="210"/>
  <c r="S2603" i="210"/>
  <c r="S2611" i="210"/>
  <c r="S2619" i="210"/>
  <c r="S2627" i="210"/>
  <c r="S2635" i="210"/>
  <c r="S2643" i="210"/>
  <c r="S2659" i="210"/>
  <c r="S2667" i="210"/>
  <c r="S2675" i="210"/>
  <c r="S2683" i="210"/>
  <c r="S2691" i="210"/>
  <c r="S2707" i="210"/>
  <c r="S2715" i="210"/>
  <c r="S2731" i="210"/>
  <c r="S2739" i="210"/>
  <c r="S2747" i="210"/>
  <c r="S2755" i="210"/>
  <c r="S2763" i="210"/>
  <c r="S2771" i="210"/>
  <c r="S2779" i="210"/>
  <c r="S2787" i="210"/>
  <c r="S2795" i="210"/>
  <c r="S2803" i="210"/>
  <c r="S2811" i="210"/>
  <c r="S2819" i="210"/>
  <c r="S2827" i="210"/>
  <c r="S2835" i="210"/>
  <c r="S2843" i="210"/>
  <c r="S2851" i="210"/>
  <c r="S2867" i="210"/>
  <c r="S2875" i="210"/>
  <c r="S2883" i="210"/>
  <c r="S2891" i="210"/>
  <c r="S2899" i="210"/>
  <c r="S2907" i="210"/>
  <c r="S2915" i="210"/>
  <c r="S2923" i="210"/>
  <c r="S2939" i="210"/>
  <c r="S2947" i="210"/>
  <c r="S2955" i="210"/>
  <c r="S2963" i="210"/>
  <c r="S2971" i="210"/>
  <c r="S2987" i="210"/>
  <c r="S2995" i="210"/>
  <c r="S3011" i="210"/>
  <c r="S2306" i="210"/>
  <c r="S2378" i="210"/>
  <c r="S2450" i="210"/>
  <c r="S2471" i="210"/>
  <c r="S2482" i="210"/>
  <c r="S2511" i="210"/>
  <c r="S2527" i="210"/>
  <c r="S2539" i="210"/>
  <c r="S2542" i="210"/>
  <c r="S2550" i="210"/>
  <c r="S2558" i="210"/>
  <c r="S2566" i="210"/>
  <c r="S2574" i="210"/>
  <c r="S2582" i="210"/>
  <c r="S2590" i="210"/>
  <c r="S2598" i="210"/>
  <c r="S2606" i="210"/>
  <c r="S2614" i="210"/>
  <c r="S2622" i="210"/>
  <c r="S2630" i="210"/>
  <c r="S2638" i="210"/>
  <c r="S2646" i="210"/>
  <c r="S2654" i="210"/>
  <c r="S2662" i="210"/>
  <c r="S2670" i="210"/>
  <c r="S2678" i="210"/>
  <c r="S2686" i="210"/>
  <c r="S2694" i="210"/>
  <c r="S2710" i="210"/>
  <c r="S2718" i="210"/>
  <c r="S2734" i="210"/>
  <c r="S2742" i="210"/>
  <c r="S2750" i="210"/>
  <c r="S2758" i="210"/>
  <c r="S2766" i="210"/>
  <c r="S2774" i="210"/>
  <c r="S2782" i="210"/>
  <c r="S2790" i="210"/>
  <c r="S2798" i="210"/>
  <c r="S2806" i="210"/>
  <c r="S2814" i="210"/>
  <c r="S2822" i="210"/>
  <c r="S2830" i="210"/>
  <c r="S2838" i="210"/>
  <c r="S2846" i="210"/>
  <c r="S2862" i="210"/>
  <c r="S2870" i="210"/>
  <c r="S2878" i="210"/>
  <c r="S2886" i="210"/>
  <c r="S2894" i="210"/>
  <c r="S2902" i="210"/>
  <c r="S2910" i="210"/>
  <c r="S2918" i="210"/>
  <c r="S2926" i="210"/>
  <c r="S2934" i="210"/>
  <c r="S2942" i="210"/>
  <c r="S2950" i="210"/>
  <c r="S2958" i="210"/>
  <c r="S2966" i="210"/>
  <c r="S2974" i="210"/>
  <c r="S2990" i="210"/>
  <c r="S2998" i="210"/>
  <c r="S3006" i="210"/>
  <c r="S2000" i="210"/>
  <c r="S2354" i="210"/>
  <c r="S2426" i="210"/>
  <c r="S2528" i="210"/>
  <c r="S2529" i="210"/>
  <c r="S2545" i="210"/>
  <c r="S2553" i="210"/>
  <c r="S2561" i="210"/>
  <c r="S2569" i="210"/>
  <c r="S2577" i="210"/>
  <c r="S2585" i="210"/>
  <c r="S2593" i="210"/>
  <c r="S2601" i="210"/>
  <c r="S2609" i="210"/>
  <c r="S2617" i="210"/>
  <c r="S2625" i="210"/>
  <c r="S2633" i="210"/>
  <c r="S2641" i="210"/>
  <c r="S2657" i="210"/>
  <c r="S2665" i="210"/>
  <c r="S2673" i="210"/>
  <c r="S2681" i="210"/>
  <c r="S2689" i="210"/>
  <c r="S2697" i="210"/>
  <c r="S2705" i="210"/>
  <c r="S2713" i="210"/>
  <c r="S2729" i="210"/>
  <c r="S2737" i="210"/>
  <c r="S2745" i="210"/>
  <c r="S2753" i="210"/>
  <c r="S2761" i="210"/>
  <c r="S2769" i="210"/>
  <c r="S2777" i="210"/>
  <c r="S2785" i="210"/>
  <c r="S2793" i="210"/>
  <c r="S2801" i="210"/>
  <c r="S2809" i="210"/>
  <c r="S2817" i="210"/>
  <c r="S2825" i="210"/>
  <c r="S2833" i="210"/>
  <c r="S2841" i="210"/>
  <c r="S2849" i="210"/>
  <c r="S2865" i="210"/>
  <c r="S2873" i="210"/>
  <c r="S2881" i="210"/>
  <c r="S2889" i="210"/>
  <c r="S2897" i="210"/>
  <c r="S2905" i="210"/>
  <c r="S2913" i="210"/>
  <c r="S2921" i="210"/>
  <c r="S2937" i="210"/>
  <c r="S2945" i="210"/>
  <c r="S2953" i="210"/>
  <c r="S2961" i="210"/>
  <c r="S2969" i="210"/>
  <c r="S2985" i="210"/>
  <c r="S2993" i="210"/>
  <c r="S3009" i="210"/>
  <c r="S2176" i="210"/>
  <c r="S2322" i="210"/>
  <c r="S2394" i="210"/>
  <c r="S2447" i="210"/>
  <c r="S2458" i="210"/>
  <c r="S2479" i="210"/>
  <c r="S2490" i="210"/>
  <c r="S2530" i="210"/>
  <c r="S2540" i="210"/>
  <c r="S2548" i="210"/>
  <c r="S2556" i="210"/>
  <c r="S2564" i="210"/>
  <c r="S2572" i="210"/>
  <c r="S2580" i="210"/>
  <c r="S2588" i="210"/>
  <c r="S2596" i="210"/>
  <c r="S2604" i="210"/>
  <c r="S2612" i="210"/>
  <c r="S2620" i="210"/>
  <c r="S2628" i="210"/>
  <c r="S2636" i="210"/>
  <c r="S2644" i="210"/>
  <c r="S2660" i="210"/>
  <c r="S2668" i="210"/>
  <c r="S2676" i="210"/>
  <c r="S2684" i="210"/>
  <c r="S2692" i="210"/>
  <c r="S2708" i="210"/>
  <c r="S2716" i="210"/>
  <c r="S2732" i="210"/>
  <c r="S2740" i="210"/>
  <c r="S2748" i="210"/>
  <c r="S2756" i="210"/>
  <c r="S2764" i="210"/>
  <c r="S2772" i="210"/>
  <c r="S2780" i="210"/>
  <c r="S2788" i="210"/>
  <c r="S2796" i="210"/>
  <c r="S2804" i="210"/>
  <c r="S2812" i="210"/>
  <c r="S2820" i="210"/>
  <c r="S2828" i="210"/>
  <c r="S2836" i="210"/>
  <c r="S2844" i="210"/>
  <c r="S2852" i="210"/>
  <c r="S2860" i="210"/>
  <c r="S2868" i="210"/>
  <c r="S2876" i="210"/>
  <c r="S2884" i="210"/>
  <c r="S2892" i="210"/>
  <c r="S2900" i="210"/>
  <c r="S2908" i="210"/>
  <c r="S2916" i="210"/>
  <c r="S2924" i="210"/>
  <c r="S2286" i="210"/>
  <c r="S2338" i="210"/>
  <c r="S2418" i="210"/>
  <c r="S2455" i="210"/>
  <c r="S2466" i="210"/>
  <c r="S2487" i="210"/>
  <c r="S2506" i="210"/>
  <c r="S2519" i="210"/>
  <c r="S2535" i="210"/>
  <c r="S2546" i="210"/>
  <c r="S2554" i="210"/>
  <c r="S2562" i="210"/>
  <c r="S2570" i="210"/>
  <c r="S2578" i="210"/>
  <c r="S2586" i="210"/>
  <c r="S2594" i="210"/>
  <c r="S2602" i="210"/>
  <c r="S2610" i="210"/>
  <c r="S2618" i="210"/>
  <c r="S2626" i="210"/>
  <c r="S2634" i="210"/>
  <c r="S2642" i="210"/>
  <c r="S2658" i="210"/>
  <c r="S2666" i="210"/>
  <c r="S2674" i="210"/>
  <c r="S2682" i="210"/>
  <c r="S2690" i="210"/>
  <c r="S2706" i="210"/>
  <c r="S2714" i="210"/>
  <c r="S2730" i="210"/>
  <c r="S2738" i="210"/>
  <c r="S2746" i="210"/>
  <c r="S2754" i="210"/>
  <c r="S2762" i="210"/>
  <c r="S2770" i="210"/>
  <c r="S2778" i="210"/>
  <c r="S2786" i="210"/>
  <c r="S2794" i="210"/>
  <c r="S2802" i="210"/>
  <c r="S2810" i="210"/>
  <c r="S2818" i="210"/>
  <c r="S2826" i="210"/>
  <c r="S2834" i="210"/>
  <c r="S2842" i="210"/>
  <c r="S2850" i="210"/>
  <c r="S2866" i="210"/>
  <c r="S2874" i="210"/>
  <c r="S2882" i="210"/>
  <c r="S2890" i="210"/>
  <c r="S2898" i="210"/>
  <c r="S2906" i="210"/>
  <c r="S2914" i="210"/>
  <c r="S2922" i="210"/>
  <c r="S2938" i="210"/>
  <c r="S2946" i="210"/>
  <c r="S2954" i="210"/>
  <c r="S2962" i="210"/>
  <c r="S2970" i="210"/>
  <c r="S2986" i="210"/>
  <c r="S2994" i="210"/>
  <c r="S3010" i="210"/>
  <c r="S2567" i="210"/>
  <c r="S2631" i="210"/>
  <c r="S2679" i="210"/>
  <c r="S2727" i="210"/>
  <c r="S2735" i="210"/>
  <c r="S2799" i="210"/>
  <c r="S2887" i="210"/>
  <c r="S2935" i="210"/>
  <c r="S2943" i="210"/>
  <c r="S2964" i="210"/>
  <c r="S2975" i="210"/>
  <c r="S2983" i="210"/>
  <c r="S3025" i="210"/>
  <c r="S3033" i="210"/>
  <c r="S3041" i="210"/>
  <c r="S3049" i="210"/>
  <c r="S3057" i="210"/>
  <c r="S3065" i="210"/>
  <c r="S3073" i="210"/>
  <c r="S3089" i="210"/>
  <c r="S3097" i="210"/>
  <c r="S3105" i="210"/>
  <c r="S3113" i="210"/>
  <c r="S3121" i="210"/>
  <c r="S3137" i="210"/>
  <c r="S3145" i="210"/>
  <c r="S3153" i="210"/>
  <c r="S3161" i="210"/>
  <c r="S3169" i="210"/>
  <c r="S3177" i="210"/>
  <c r="S3185" i="210"/>
  <c r="S3193" i="210"/>
  <c r="S3201" i="210"/>
  <c r="S3209" i="210"/>
  <c r="S3217" i="210"/>
  <c r="S3225" i="210"/>
  <c r="S3233" i="210"/>
  <c r="S3241" i="210"/>
  <c r="S3257" i="210"/>
  <c r="S3265" i="210"/>
  <c r="S3273" i="210"/>
  <c r="S3281" i="210"/>
  <c r="S3289" i="210"/>
  <c r="S3297" i="210"/>
  <c r="S3305" i="210"/>
  <c r="S3313" i="210"/>
  <c r="S3321" i="210"/>
  <c r="S3329" i="210"/>
  <c r="S3337" i="210"/>
  <c r="S3345" i="210"/>
  <c r="S3353" i="210"/>
  <c r="S3361" i="210"/>
  <c r="S3369" i="210"/>
  <c r="S3377" i="210"/>
  <c r="S3385" i="210"/>
  <c r="S3393" i="210"/>
  <c r="S3401" i="210"/>
  <c r="S3409" i="210"/>
  <c r="S3417" i="210"/>
  <c r="S3425" i="210"/>
  <c r="S2298" i="210"/>
  <c r="S2543" i="210"/>
  <c r="S2607" i="210"/>
  <c r="S2655" i="210"/>
  <c r="S2775" i="210"/>
  <c r="S2839" i="210"/>
  <c r="S2863" i="210"/>
  <c r="S2927" i="210"/>
  <c r="S3028" i="210"/>
  <c r="S3036" i="210"/>
  <c r="S3044" i="210"/>
  <c r="S3052" i="210"/>
  <c r="S3060" i="210"/>
  <c r="S3068" i="210"/>
  <c r="S3076" i="210"/>
  <c r="S3092" i="210"/>
  <c r="S3100" i="210"/>
  <c r="S3108" i="210"/>
  <c r="S3116" i="210"/>
  <c r="S3132" i="210"/>
  <c r="S3140" i="210"/>
  <c r="S3148" i="210"/>
  <c r="S3156" i="210"/>
  <c r="S3164" i="210"/>
  <c r="S3172" i="210"/>
  <c r="S3180" i="210"/>
  <c r="S3196" i="210"/>
  <c r="S3204" i="210"/>
  <c r="S3212" i="210"/>
  <c r="S3220" i="210"/>
  <c r="S3228" i="210"/>
  <c r="S3236" i="210"/>
  <c r="S3252" i="210"/>
  <c r="S3260" i="210"/>
  <c r="S3268" i="210"/>
  <c r="S3276" i="210"/>
  <c r="S3284" i="210"/>
  <c r="S3292" i="210"/>
  <c r="S3300" i="210"/>
  <c r="S3308" i="210"/>
  <c r="S3316" i="210"/>
  <c r="S3324" i="210"/>
  <c r="S3332" i="210"/>
  <c r="S3340" i="210"/>
  <c r="S3348" i="210"/>
  <c r="S3356" i="210"/>
  <c r="S3364" i="210"/>
  <c r="S3372" i="210"/>
  <c r="S3380" i="210"/>
  <c r="S3388" i="210"/>
  <c r="S3396" i="210"/>
  <c r="S3404" i="210"/>
  <c r="S3412" i="210"/>
  <c r="S3420" i="210"/>
  <c r="S3428" i="210"/>
  <c r="S2583" i="210"/>
  <c r="S2647" i="210"/>
  <c r="S2695" i="210"/>
  <c r="S2751" i="210"/>
  <c r="S2815" i="210"/>
  <c r="S2903" i="210"/>
  <c r="S2940" i="210"/>
  <c r="S2951" i="210"/>
  <c r="S2972" i="210"/>
  <c r="S3012" i="210"/>
  <c r="S3023" i="210"/>
  <c r="S3031" i="210"/>
  <c r="S3039" i="210"/>
  <c r="S3047" i="210"/>
  <c r="S3055" i="210"/>
  <c r="S3063" i="210"/>
  <c r="S3071" i="210"/>
  <c r="S3087" i="210"/>
  <c r="S3095" i="210"/>
  <c r="S3103" i="210"/>
  <c r="S3111" i="210"/>
  <c r="S3119" i="210"/>
  <c r="S3135" i="210"/>
  <c r="S3143" i="210"/>
  <c r="S3151" i="210"/>
  <c r="S3159" i="210"/>
  <c r="S3167" i="210"/>
  <c r="S3175" i="210"/>
  <c r="S3183" i="210"/>
  <c r="S3199" i="210"/>
  <c r="S3207" i="210"/>
  <c r="S3215" i="210"/>
  <c r="S3223" i="210"/>
  <c r="S3231" i="210"/>
  <c r="S3239" i="210"/>
  <c r="S3255" i="210"/>
  <c r="S3263" i="210"/>
  <c r="S3271" i="210"/>
  <c r="S3279" i="210"/>
  <c r="S3287" i="210"/>
  <c r="S3295" i="210"/>
  <c r="S3303" i="210"/>
  <c r="S3311" i="210"/>
  <c r="S3319" i="210"/>
  <c r="S3327" i="210"/>
  <c r="S3335" i="210"/>
  <c r="S3343" i="210"/>
  <c r="S3351" i="210"/>
  <c r="S3359" i="210"/>
  <c r="S3367" i="210"/>
  <c r="S3375" i="210"/>
  <c r="S3383" i="210"/>
  <c r="S3391" i="210"/>
  <c r="S3399" i="210"/>
  <c r="S3407" i="210"/>
  <c r="S3415" i="210"/>
  <c r="S3423" i="210"/>
  <c r="S2559" i="210"/>
  <c r="S2623" i="210"/>
  <c r="S2671" i="210"/>
  <c r="S2719" i="210"/>
  <c r="S2791" i="210"/>
  <c r="S2879" i="210"/>
  <c r="S2991" i="210"/>
  <c r="S3013" i="210"/>
  <c r="S3014" i="210"/>
  <c r="S3026" i="210"/>
  <c r="S3034" i="210"/>
  <c r="S3042" i="210"/>
  <c r="S3050" i="210"/>
  <c r="S3058" i="210"/>
  <c r="S3066" i="210"/>
  <c r="S3074" i="210"/>
  <c r="S3090" i="210"/>
  <c r="S3098" i="210"/>
  <c r="S3106" i="210"/>
  <c r="S3114" i="210"/>
  <c r="S3122" i="210"/>
  <c r="S3130" i="210"/>
  <c r="S3138" i="210"/>
  <c r="S3146" i="210"/>
  <c r="S3154" i="210"/>
  <c r="S3162" i="210"/>
  <c r="S3170" i="210"/>
  <c r="S3178" i="210"/>
  <c r="S3194" i="210"/>
  <c r="S3202" i="210"/>
  <c r="S3210" i="210"/>
  <c r="S3218" i="210"/>
  <c r="S3226" i="210"/>
  <c r="S3234" i="210"/>
  <c r="S3242" i="210"/>
  <c r="S3250" i="210"/>
  <c r="S3258" i="210"/>
  <c r="S3266" i="210"/>
  <c r="S3274" i="210"/>
  <c r="S3282" i="210"/>
  <c r="S3290" i="210"/>
  <c r="S3298" i="210"/>
  <c r="S3306" i="210"/>
  <c r="S3314" i="210"/>
  <c r="S3322" i="210"/>
  <c r="S3330" i="210"/>
  <c r="S3338" i="210"/>
  <c r="S3346" i="210"/>
  <c r="S3354" i="210"/>
  <c r="S3362" i="210"/>
  <c r="S3370" i="210"/>
  <c r="S3378" i="210"/>
  <c r="S3386" i="210"/>
  <c r="S3394" i="210"/>
  <c r="S3402" i="210"/>
  <c r="S3410" i="210"/>
  <c r="S3418" i="210"/>
  <c r="S3426" i="210"/>
  <c r="S2599" i="210"/>
  <c r="S2767" i="210"/>
  <c r="S2831" i="210"/>
  <c r="S2919" i="210"/>
  <c r="S2948" i="210"/>
  <c r="S2959" i="210"/>
  <c r="S3015" i="210"/>
  <c r="S3029" i="210"/>
  <c r="S3037" i="210"/>
  <c r="S3045" i="210"/>
  <c r="S3053" i="210"/>
  <c r="S3061" i="210"/>
  <c r="S3069" i="210"/>
  <c r="S3077" i="210"/>
  <c r="S3085" i="210"/>
  <c r="S3093" i="210"/>
  <c r="S3101" i="210"/>
  <c r="S3109" i="210"/>
  <c r="S3117" i="210"/>
  <c r="S3133" i="210"/>
  <c r="S3141" i="210"/>
  <c r="S3149" i="210"/>
  <c r="S3157" i="210"/>
  <c r="S3165" i="210"/>
  <c r="S3173" i="210"/>
  <c r="S3181" i="210"/>
  <c r="S3197" i="210"/>
  <c r="S3205" i="210"/>
  <c r="S3213" i="210"/>
  <c r="S3221" i="210"/>
  <c r="S3229" i="210"/>
  <c r="S3237" i="210"/>
  <c r="S3253" i="210"/>
  <c r="S3261" i="210"/>
  <c r="S3269" i="210"/>
  <c r="S3277" i="210"/>
  <c r="S3285" i="210"/>
  <c r="S3293" i="210"/>
  <c r="S3301" i="210"/>
  <c r="S3309" i="210"/>
  <c r="S3317" i="210"/>
  <c r="S3325" i="210"/>
  <c r="S3333" i="210"/>
  <c r="S3341" i="210"/>
  <c r="S3349" i="210"/>
  <c r="S3357" i="210"/>
  <c r="S3365" i="210"/>
  <c r="S3373" i="210"/>
  <c r="S3381" i="210"/>
  <c r="S3389" i="210"/>
  <c r="S3397" i="210"/>
  <c r="S3405" i="210"/>
  <c r="S3413" i="210"/>
  <c r="S3421" i="210"/>
  <c r="S3429" i="210"/>
  <c r="S2575" i="210"/>
  <c r="S2639" i="210"/>
  <c r="S2687" i="210"/>
  <c r="S2743" i="210"/>
  <c r="S2807" i="210"/>
  <c r="S2895" i="210"/>
  <c r="S2988" i="210"/>
  <c r="S2999" i="210"/>
  <c r="S3024" i="210"/>
  <c r="S3032" i="210"/>
  <c r="S3040" i="210"/>
  <c r="S3048" i="210"/>
  <c r="S3056" i="210"/>
  <c r="S3064" i="210"/>
  <c r="S3072" i="210"/>
  <c r="S3088" i="210"/>
  <c r="S3096" i="210"/>
  <c r="S3104" i="210"/>
  <c r="S3112" i="210"/>
  <c r="S3120" i="210"/>
  <c r="S3136" i="210"/>
  <c r="S3144" i="210"/>
  <c r="S3152" i="210"/>
  <c r="S3160" i="210"/>
  <c r="S3168" i="210"/>
  <c r="S3176" i="210"/>
  <c r="S3184" i="210"/>
  <c r="S3192" i="210"/>
  <c r="S3200" i="210"/>
  <c r="S3208" i="210"/>
  <c r="S3216" i="210"/>
  <c r="S3224" i="210"/>
  <c r="S3232" i="210"/>
  <c r="S3240" i="210"/>
  <c r="S3256" i="210"/>
  <c r="S3264" i="210"/>
  <c r="S3272" i="210"/>
  <c r="S3280" i="210"/>
  <c r="S3288" i="210"/>
  <c r="S3296" i="210"/>
  <c r="S3304" i="210"/>
  <c r="S3312" i="210"/>
  <c r="S3320" i="210"/>
  <c r="S3328" i="210"/>
  <c r="S3336" i="210"/>
  <c r="S2591" i="210"/>
  <c r="S2759" i="210"/>
  <c r="S2823" i="210"/>
  <c r="S2911" i="210"/>
  <c r="S2996" i="210"/>
  <c r="S3030" i="210"/>
  <c r="S3038" i="210"/>
  <c r="S3046" i="210"/>
  <c r="S3054" i="210"/>
  <c r="S3062" i="210"/>
  <c r="S3070" i="210"/>
  <c r="S3078" i="210"/>
  <c r="S3086" i="210"/>
  <c r="S3094" i="210"/>
  <c r="S3102" i="210"/>
  <c r="S3110" i="210"/>
  <c r="S3118" i="210"/>
  <c r="S3134" i="210"/>
  <c r="S3142" i="210"/>
  <c r="S3150" i="210"/>
  <c r="S3158" i="210"/>
  <c r="S3166" i="210"/>
  <c r="S3174" i="210"/>
  <c r="S3182" i="210"/>
  <c r="S3198" i="210"/>
  <c r="S3206" i="210"/>
  <c r="S3214" i="210"/>
  <c r="S3222" i="210"/>
  <c r="S3230" i="210"/>
  <c r="S3238" i="210"/>
  <c r="S3254" i="210"/>
  <c r="S3262" i="210"/>
  <c r="S3270" i="210"/>
  <c r="S3278" i="210"/>
  <c r="S3286" i="210"/>
  <c r="S3294" i="210"/>
  <c r="S3302" i="210"/>
  <c r="S3310" i="210"/>
  <c r="S3318" i="210"/>
  <c r="S3326" i="210"/>
  <c r="S3334" i="210"/>
  <c r="S3342" i="210"/>
  <c r="S3350" i="210"/>
  <c r="S3358" i="210"/>
  <c r="S3366" i="210"/>
  <c r="S3374" i="210"/>
  <c r="S3382" i="210"/>
  <c r="S3390" i="210"/>
  <c r="S3398" i="210"/>
  <c r="S3406" i="210"/>
  <c r="S3414" i="210"/>
  <c r="S3422" i="210"/>
  <c r="S3430" i="210"/>
  <c r="S2956" i="210"/>
  <c r="S3059" i="210"/>
  <c r="S3179" i="210"/>
  <c r="S3203" i="210"/>
  <c r="S3251" i="210"/>
  <c r="S3315" i="210"/>
  <c r="S3439" i="210"/>
  <c r="S3447" i="210"/>
  <c r="S3463" i="210"/>
  <c r="S3471" i="210"/>
  <c r="S3479" i="210"/>
  <c r="S3487" i="210"/>
  <c r="S3503" i="210"/>
  <c r="S3511" i="210"/>
  <c r="S3519" i="210"/>
  <c r="S3527" i="210"/>
  <c r="S3535" i="210"/>
  <c r="S3543" i="210"/>
  <c r="S3551" i="210"/>
  <c r="S3559" i="210"/>
  <c r="S3567" i="210"/>
  <c r="S3575" i="210"/>
  <c r="S3583" i="210"/>
  <c r="S3591" i="210"/>
  <c r="S3599" i="210"/>
  <c r="S3607" i="210"/>
  <c r="S3615" i="210"/>
  <c r="S3623" i="210"/>
  <c r="S3631" i="210"/>
  <c r="S3639" i="210"/>
  <c r="S3647" i="210"/>
  <c r="S3655" i="210"/>
  <c r="S3663" i="210"/>
  <c r="S3671" i="210"/>
  <c r="S3679" i="210"/>
  <c r="S3687" i="210"/>
  <c r="S3695" i="210"/>
  <c r="S3711" i="210"/>
  <c r="S3719" i="210"/>
  <c r="S3727" i="210"/>
  <c r="S3735" i="210"/>
  <c r="S3743" i="210"/>
  <c r="S3759" i="210"/>
  <c r="S3767" i="210"/>
  <c r="S3775" i="210"/>
  <c r="S3783" i="210"/>
  <c r="S3791" i="210"/>
  <c r="S3799" i="210"/>
  <c r="S3815" i="210"/>
  <c r="S3823" i="210"/>
  <c r="S3831" i="210"/>
  <c r="S3847" i="210"/>
  <c r="S3855" i="210"/>
  <c r="S3863" i="210"/>
  <c r="S3871" i="210"/>
  <c r="S2370" i="210"/>
  <c r="S3035" i="210"/>
  <c r="S3107" i="210"/>
  <c r="S3155" i="210"/>
  <c r="S3243" i="210"/>
  <c r="S3291" i="210"/>
  <c r="S3344" i="210"/>
  <c r="S3355" i="210"/>
  <c r="S3376" i="210"/>
  <c r="S3387" i="210"/>
  <c r="S3408" i="210"/>
  <c r="S3419" i="210"/>
  <c r="S3431" i="210"/>
  <c r="S3434" i="210"/>
  <c r="S3442" i="210"/>
  <c r="S3458" i="210"/>
  <c r="S3466" i="210"/>
  <c r="S3474" i="210"/>
  <c r="S3482" i="210"/>
  <c r="S3490" i="210"/>
  <c r="S3506" i="210"/>
  <c r="S3514" i="210"/>
  <c r="S3522" i="210"/>
  <c r="S3530" i="210"/>
  <c r="S3546" i="210"/>
  <c r="S3554" i="210"/>
  <c r="S3562" i="210"/>
  <c r="S3570" i="210"/>
  <c r="S3578" i="210"/>
  <c r="S3586" i="210"/>
  <c r="S3602" i="210"/>
  <c r="S3610" i="210"/>
  <c r="S3618" i="210"/>
  <c r="S3626" i="210"/>
  <c r="S3634" i="210"/>
  <c r="S3650" i="210"/>
  <c r="S3658" i="210"/>
  <c r="S3666" i="210"/>
  <c r="S3674" i="210"/>
  <c r="S3682" i="210"/>
  <c r="S3690" i="210"/>
  <c r="S3698" i="210"/>
  <c r="S3706" i="210"/>
  <c r="S3714" i="210"/>
  <c r="S3722" i="210"/>
  <c r="S3730" i="210"/>
  <c r="S3738" i="210"/>
  <c r="S3746" i="210"/>
  <c r="S3762" i="210"/>
  <c r="S3770" i="210"/>
  <c r="S3778" i="210"/>
  <c r="S3786" i="210"/>
  <c r="S3794" i="210"/>
  <c r="S3802" i="210"/>
  <c r="S3810" i="210"/>
  <c r="S3818" i="210"/>
  <c r="S3826" i="210"/>
  <c r="S3834" i="210"/>
  <c r="S3842" i="210"/>
  <c r="S3850" i="210"/>
  <c r="S3858" i="210"/>
  <c r="S3866" i="210"/>
  <c r="S3874" i="210"/>
  <c r="S2711" i="210"/>
  <c r="S2847" i="210"/>
  <c r="S3075" i="210"/>
  <c r="S3131" i="210"/>
  <c r="S3219" i="210"/>
  <c r="S3267" i="210"/>
  <c r="S3331" i="210"/>
  <c r="S3437" i="210"/>
  <c r="S3445" i="210"/>
  <c r="S3461" i="210"/>
  <c r="S3469" i="210"/>
  <c r="S3477" i="210"/>
  <c r="S3485" i="210"/>
  <c r="S3493" i="210"/>
  <c r="S3501" i="210"/>
  <c r="S3509" i="210"/>
  <c r="S3517" i="210"/>
  <c r="S3525" i="210"/>
  <c r="S3533" i="210"/>
  <c r="S3549" i="210"/>
  <c r="S3557" i="210"/>
  <c r="S3565" i="210"/>
  <c r="S3573" i="210"/>
  <c r="S3581" i="210"/>
  <c r="S3589" i="210"/>
  <c r="S3605" i="210"/>
  <c r="S3613" i="210"/>
  <c r="S3621" i="210"/>
  <c r="S3629" i="210"/>
  <c r="S3637" i="210"/>
  <c r="S3653" i="210"/>
  <c r="S3661" i="210"/>
  <c r="S3669" i="210"/>
  <c r="S3677" i="210"/>
  <c r="S3685" i="210"/>
  <c r="S3693" i="210"/>
  <c r="S3709" i="210"/>
  <c r="S3717" i="210"/>
  <c r="S3725" i="210"/>
  <c r="S3733" i="210"/>
  <c r="S3741" i="210"/>
  <c r="S3749" i="210"/>
  <c r="S3757" i="210"/>
  <c r="S3765" i="210"/>
  <c r="S3773" i="210"/>
  <c r="S3781" i="210"/>
  <c r="S3789" i="210"/>
  <c r="S3797" i="210"/>
  <c r="S3813" i="210"/>
  <c r="S3821" i="210"/>
  <c r="S3829" i="210"/>
  <c r="S3845" i="210"/>
  <c r="S3853" i="210"/>
  <c r="S3861" i="210"/>
  <c r="S3869" i="210"/>
  <c r="S2871" i="210"/>
  <c r="S3051" i="210"/>
  <c r="S3123" i="210"/>
  <c r="S3171" i="210"/>
  <c r="S3195" i="210"/>
  <c r="S3307" i="210"/>
  <c r="S3352" i="210"/>
  <c r="S3363" i="210"/>
  <c r="S3384" i="210"/>
  <c r="S3395" i="210"/>
  <c r="S3416" i="210"/>
  <c r="S3427" i="210"/>
  <c r="S3432" i="210"/>
  <c r="S3440" i="210"/>
  <c r="S3448" i="210"/>
  <c r="S3456" i="210"/>
  <c r="S3464" i="210"/>
  <c r="S3472" i="210"/>
  <c r="S3480" i="210"/>
  <c r="S3488" i="210"/>
  <c r="S3504" i="210"/>
  <c r="S3512" i="210"/>
  <c r="S3520" i="210"/>
  <c r="S3528" i="210"/>
  <c r="S3536" i="210"/>
  <c r="S3544" i="210"/>
  <c r="S3552" i="210"/>
  <c r="S3560" i="210"/>
  <c r="S3568" i="210"/>
  <c r="S3576" i="210"/>
  <c r="S3584" i="210"/>
  <c r="S3592" i="210"/>
  <c r="S3600" i="210"/>
  <c r="S3608" i="210"/>
  <c r="S3616" i="210"/>
  <c r="S3624" i="210"/>
  <c r="S3632" i="210"/>
  <c r="S3640" i="210"/>
  <c r="S3648" i="210"/>
  <c r="S3656" i="210"/>
  <c r="S3664" i="210"/>
  <c r="S3672" i="210"/>
  <c r="S3680" i="210"/>
  <c r="S3688" i="210"/>
  <c r="S3696" i="210"/>
  <c r="S3712" i="210"/>
  <c r="S3720" i="210"/>
  <c r="S3728" i="210"/>
  <c r="S3736" i="210"/>
  <c r="S3744" i="210"/>
  <c r="S3760" i="210"/>
  <c r="S3768" i="210"/>
  <c r="S3776" i="210"/>
  <c r="S3784" i="210"/>
  <c r="S3792" i="210"/>
  <c r="S3800" i="210"/>
  <c r="S3816" i="210"/>
  <c r="S3824" i="210"/>
  <c r="S3832" i="210"/>
  <c r="S3848" i="210"/>
  <c r="S3856" i="210"/>
  <c r="S3864" i="210"/>
  <c r="S3872" i="210"/>
  <c r="S2615" i="210"/>
  <c r="S3027" i="210"/>
  <c r="S3099" i="210"/>
  <c r="S3147" i="210"/>
  <c r="S3235" i="210"/>
  <c r="S3283" i="210"/>
  <c r="S3435" i="210"/>
  <c r="S3443" i="210"/>
  <c r="S3459" i="210"/>
  <c r="S3467" i="210"/>
  <c r="S3475" i="210"/>
  <c r="S3483" i="210"/>
  <c r="S3491" i="210"/>
  <c r="S3507" i="210"/>
  <c r="S3515" i="210"/>
  <c r="S3523" i="210"/>
  <c r="S3531" i="210"/>
  <c r="S3547" i="210"/>
  <c r="S3555" i="210"/>
  <c r="S3563" i="210"/>
  <c r="S3571" i="210"/>
  <c r="S3579" i="210"/>
  <c r="S3587" i="210"/>
  <c r="S3603" i="210"/>
  <c r="S3611" i="210"/>
  <c r="S3619" i="210"/>
  <c r="S3627" i="210"/>
  <c r="S3635" i="210"/>
  <c r="S3651" i="210"/>
  <c r="S3659" i="210"/>
  <c r="S3667" i="210"/>
  <c r="S3675" i="210"/>
  <c r="S3683" i="210"/>
  <c r="S3691" i="210"/>
  <c r="S3699" i="210"/>
  <c r="S3707" i="210"/>
  <c r="S3715" i="210"/>
  <c r="S3723" i="210"/>
  <c r="S3731" i="210"/>
  <c r="S3739" i="210"/>
  <c r="S3747" i="210"/>
  <c r="S3763" i="210"/>
  <c r="S3771" i="210"/>
  <c r="S3779" i="210"/>
  <c r="S3787" i="210"/>
  <c r="S3795" i="210"/>
  <c r="S3811" i="210"/>
  <c r="S3819" i="210"/>
  <c r="S3827" i="210"/>
  <c r="S3843" i="210"/>
  <c r="S3851" i="210"/>
  <c r="S3859" i="210"/>
  <c r="S3867" i="210"/>
  <c r="S2783" i="210"/>
  <c r="S2967" i="210"/>
  <c r="S3007" i="210"/>
  <c r="S3067" i="210"/>
  <c r="S3211" i="210"/>
  <c r="S3259" i="210"/>
  <c r="S3323" i="210"/>
  <c r="S3360" i="210"/>
  <c r="S3371" i="210"/>
  <c r="S3392" i="210"/>
  <c r="S3403" i="210"/>
  <c r="S3424" i="210"/>
  <c r="S3438" i="210"/>
  <c r="S3446" i="210"/>
  <c r="S3462" i="210"/>
  <c r="S3470" i="210"/>
  <c r="S3478" i="210"/>
  <c r="S3486" i="210"/>
  <c r="S3502" i="210"/>
  <c r="S3510" i="210"/>
  <c r="S3518" i="210"/>
  <c r="S3526" i="210"/>
  <c r="S3534" i="210"/>
  <c r="S3550" i="210"/>
  <c r="S3558" i="210"/>
  <c r="S3566" i="210"/>
  <c r="S3574" i="210"/>
  <c r="S3582" i="210"/>
  <c r="S3590" i="210"/>
  <c r="S3606" i="210"/>
  <c r="S3614" i="210"/>
  <c r="S3622" i="210"/>
  <c r="S3630" i="210"/>
  <c r="S3638" i="210"/>
  <c r="S3654" i="210"/>
  <c r="S3662" i="210"/>
  <c r="S3670" i="210"/>
  <c r="S3678" i="210"/>
  <c r="S3686" i="210"/>
  <c r="S3694" i="210"/>
  <c r="S3710" i="210"/>
  <c r="S3718" i="210"/>
  <c r="S3726" i="210"/>
  <c r="S3734" i="210"/>
  <c r="S3742" i="210"/>
  <c r="S3750" i="210"/>
  <c r="S3758" i="210"/>
  <c r="S3766" i="210"/>
  <c r="S3774" i="210"/>
  <c r="S3782" i="210"/>
  <c r="S3790" i="210"/>
  <c r="S3798" i="210"/>
  <c r="S3814" i="210"/>
  <c r="S2551" i="210"/>
  <c r="S3016" i="210"/>
  <c r="S3091" i="210"/>
  <c r="S3139" i="210"/>
  <c r="S3227" i="210"/>
  <c r="S3275" i="210"/>
  <c r="S3339" i="210"/>
  <c r="S3347" i="210"/>
  <c r="S3368" i="210"/>
  <c r="S3379" i="210"/>
  <c r="S3400" i="210"/>
  <c r="S3411" i="210"/>
  <c r="S3436" i="210"/>
  <c r="S3444" i="210"/>
  <c r="S3460" i="210"/>
  <c r="S3468" i="210"/>
  <c r="S3476" i="210"/>
  <c r="S3484" i="210"/>
  <c r="S3492" i="210"/>
  <c r="S3500" i="210"/>
  <c r="S3508" i="210"/>
  <c r="S3516" i="210"/>
  <c r="S3524" i="210"/>
  <c r="S3532" i="210"/>
  <c r="S3548" i="210"/>
  <c r="S3556" i="210"/>
  <c r="S3564" i="210"/>
  <c r="S3572" i="210"/>
  <c r="S3580" i="210"/>
  <c r="S3588" i="210"/>
  <c r="S3604" i="210"/>
  <c r="S3612" i="210"/>
  <c r="S3620" i="210"/>
  <c r="S3628" i="210"/>
  <c r="S3636" i="210"/>
  <c r="S3652" i="210"/>
  <c r="S3660" i="210"/>
  <c r="S3668" i="210"/>
  <c r="S3676" i="210"/>
  <c r="S3684" i="210"/>
  <c r="S3692" i="210"/>
  <c r="S3708" i="210"/>
  <c r="S3716" i="210"/>
  <c r="S3724" i="210"/>
  <c r="S3732" i="210"/>
  <c r="S3740" i="210"/>
  <c r="S3748" i="210"/>
  <c r="S3764" i="210"/>
  <c r="S3772" i="210"/>
  <c r="S3780" i="210"/>
  <c r="S3788" i="210"/>
  <c r="S3796" i="210"/>
  <c r="S3812" i="210"/>
  <c r="S3820" i="210"/>
  <c r="S3828" i="210"/>
  <c r="S3844" i="210"/>
  <c r="S3852" i="210"/>
  <c r="S3860" i="210"/>
  <c r="S3868" i="210"/>
  <c r="S3465" i="210"/>
  <c r="S3601" i="210"/>
  <c r="S3665" i="210"/>
  <c r="S3713" i="210"/>
  <c r="S3785" i="210"/>
  <c r="S3862" i="210"/>
  <c r="S3873" i="210"/>
  <c r="S3876" i="210"/>
  <c r="S3884" i="210"/>
  <c r="S3892" i="210"/>
  <c r="S3908" i="210"/>
  <c r="S3916" i="210"/>
  <c r="S3932" i="210"/>
  <c r="S3940" i="210"/>
  <c r="S3948" i="210"/>
  <c r="S3956" i="210"/>
  <c r="S3964" i="210"/>
  <c r="S3972" i="210"/>
  <c r="S3980" i="210"/>
  <c r="S3988" i="210"/>
  <c r="S4004" i="210"/>
  <c r="S3441" i="210"/>
  <c r="S3513" i="210"/>
  <c r="S3577" i="210"/>
  <c r="S3761" i="210"/>
  <c r="S3830" i="210"/>
  <c r="S3879" i="210"/>
  <c r="S3887" i="210"/>
  <c r="S3895" i="210"/>
  <c r="S3911" i="210"/>
  <c r="S3919" i="210"/>
  <c r="S3927" i="210"/>
  <c r="S3935" i="210"/>
  <c r="S3943" i="210"/>
  <c r="S3951" i="210"/>
  <c r="S3959" i="210"/>
  <c r="S3481" i="210"/>
  <c r="S3553" i="210"/>
  <c r="S3617" i="210"/>
  <c r="S3681" i="210"/>
  <c r="S3729" i="210"/>
  <c r="S3801" i="210"/>
  <c r="S3849" i="210"/>
  <c r="S3870" i="210"/>
  <c r="S3882" i="210"/>
  <c r="S3890" i="210"/>
  <c r="S3898" i="210"/>
  <c r="S3906" i="210"/>
  <c r="S3914" i="210"/>
  <c r="S3930" i="210"/>
  <c r="S3938" i="210"/>
  <c r="S3946" i="210"/>
  <c r="S3954" i="210"/>
  <c r="S3962" i="210"/>
  <c r="S3970" i="210"/>
  <c r="S3978" i="210"/>
  <c r="S3986" i="210"/>
  <c r="S4002" i="210"/>
  <c r="S4010" i="210"/>
  <c r="S4018" i="210"/>
  <c r="S2663" i="210"/>
  <c r="S3043" i="210"/>
  <c r="S3299" i="210"/>
  <c r="S3457" i="210"/>
  <c r="S3529" i="210"/>
  <c r="S3657" i="210"/>
  <c r="S3777" i="210"/>
  <c r="S3877" i="210"/>
  <c r="S3885" i="210"/>
  <c r="S3893" i="210"/>
  <c r="S3909" i="210"/>
  <c r="S3917" i="210"/>
  <c r="S3933" i="210"/>
  <c r="S3941" i="210"/>
  <c r="S3949" i="210"/>
  <c r="S3957" i="210"/>
  <c r="S3965" i="210"/>
  <c r="S3973" i="210"/>
  <c r="S3981" i="210"/>
  <c r="S3989" i="210"/>
  <c r="S3433" i="210"/>
  <c r="S3505" i="210"/>
  <c r="S3569" i="210"/>
  <c r="S3633" i="210"/>
  <c r="S3697" i="210"/>
  <c r="S3745" i="210"/>
  <c r="S3846" i="210"/>
  <c r="S3857" i="210"/>
  <c r="S3880" i="210"/>
  <c r="S3888" i="210"/>
  <c r="S3896" i="210"/>
  <c r="S3912" i="210"/>
  <c r="S3928" i="210"/>
  <c r="S3936" i="210"/>
  <c r="S3944" i="210"/>
  <c r="S3115" i="210"/>
  <c r="S3473" i="210"/>
  <c r="S3545" i="210"/>
  <c r="S3609" i="210"/>
  <c r="S3673" i="210"/>
  <c r="S3721" i="210"/>
  <c r="S3793" i="210"/>
  <c r="S3817" i="210"/>
  <c r="S3825" i="210"/>
  <c r="S3883" i="210"/>
  <c r="S3891" i="210"/>
  <c r="S3899" i="210"/>
  <c r="S3907" i="210"/>
  <c r="S3915" i="210"/>
  <c r="S3931" i="210"/>
  <c r="S3939" i="210"/>
  <c r="S3163" i="210"/>
  <c r="S3449" i="210"/>
  <c r="S3521" i="210"/>
  <c r="S3585" i="210"/>
  <c r="S3649" i="210"/>
  <c r="S3769" i="210"/>
  <c r="S3854" i="210"/>
  <c r="S3865" i="210"/>
  <c r="S3875" i="210"/>
  <c r="S3878" i="210"/>
  <c r="S3886" i="210"/>
  <c r="S3894" i="210"/>
  <c r="S3910" i="210"/>
  <c r="S3918" i="210"/>
  <c r="S3926" i="210"/>
  <c r="S3934" i="210"/>
  <c r="S3942" i="210"/>
  <c r="S3950" i="210"/>
  <c r="S3958" i="210"/>
  <c r="S3966" i="210"/>
  <c r="S3974" i="210"/>
  <c r="S3982" i="210"/>
  <c r="S3990" i="210"/>
  <c r="S4006" i="210"/>
  <c r="S4014" i="210"/>
  <c r="S4022" i="210"/>
  <c r="S3689" i="210"/>
  <c r="S3947" i="210"/>
  <c r="S3971" i="210"/>
  <c r="S3987" i="210"/>
  <c r="S4003" i="210"/>
  <c r="S4013" i="210"/>
  <c r="S4026" i="210"/>
  <c r="S4042" i="210"/>
  <c r="S4050" i="210"/>
  <c r="S4066" i="210"/>
  <c r="S4074" i="210"/>
  <c r="S4082" i="210"/>
  <c r="S4090" i="210"/>
  <c r="S4098" i="210"/>
  <c r="S4114" i="210"/>
  <c r="S4122" i="210"/>
  <c r="S4130" i="210"/>
  <c r="S4138" i="210"/>
  <c r="S4154" i="210"/>
  <c r="S4162" i="210"/>
  <c r="S4178" i="210"/>
  <c r="S4186" i="210"/>
  <c r="S4194" i="210"/>
  <c r="S4202" i="210"/>
  <c r="S4218" i="210"/>
  <c r="S4226" i="210"/>
  <c r="S4234" i="210"/>
  <c r="S4242" i="210"/>
  <c r="S4250" i="210"/>
  <c r="S4258" i="210"/>
  <c r="S4274" i="210"/>
  <c r="S4282" i="210"/>
  <c r="S4290" i="210"/>
  <c r="S4298" i="210"/>
  <c r="S4306" i="210"/>
  <c r="S4314" i="210"/>
  <c r="S4322" i="210"/>
  <c r="S4338" i="210"/>
  <c r="S4346" i="210"/>
  <c r="S4362" i="210"/>
  <c r="S4370" i="210"/>
  <c r="S4378" i="210"/>
  <c r="S4394" i="210"/>
  <c r="S4410" i="210"/>
  <c r="S4418" i="210"/>
  <c r="S4434" i="210"/>
  <c r="S4442" i="210"/>
  <c r="S4450" i="210"/>
  <c r="S4458" i="210"/>
  <c r="S4466" i="210"/>
  <c r="S4482" i="210"/>
  <c r="S4490" i="210"/>
  <c r="S4498" i="210"/>
  <c r="S4506" i="210"/>
  <c r="S4514" i="210"/>
  <c r="S3822" i="210"/>
  <c r="S3841" i="210"/>
  <c r="S3897" i="210"/>
  <c r="S4009" i="210"/>
  <c r="S4023" i="210"/>
  <c r="S4029" i="210"/>
  <c r="S4037" i="210"/>
  <c r="S4045" i="210"/>
  <c r="S4053" i="210"/>
  <c r="S4061" i="210"/>
  <c r="S4069" i="210"/>
  <c r="S4077" i="210"/>
  <c r="S4085" i="210"/>
  <c r="S4093" i="210"/>
  <c r="S4101" i="210"/>
  <c r="S4117" i="210"/>
  <c r="S4125" i="210"/>
  <c r="S4133" i="210"/>
  <c r="S4141" i="210"/>
  <c r="S4149" i="210"/>
  <c r="S4157" i="210"/>
  <c r="S4165" i="210"/>
  <c r="S4173" i="210"/>
  <c r="S4181" i="210"/>
  <c r="S4189" i="210"/>
  <c r="S4197" i="210"/>
  <c r="S4205" i="210"/>
  <c r="S4221" i="210"/>
  <c r="S4229" i="210"/>
  <c r="S4237" i="210"/>
  <c r="S4245" i="210"/>
  <c r="S4253" i="210"/>
  <c r="S4261" i="210"/>
  <c r="S4277" i="210"/>
  <c r="S4285" i="210"/>
  <c r="S4293" i="210"/>
  <c r="S4301" i="210"/>
  <c r="S4309" i="210"/>
  <c r="S4317" i="210"/>
  <c r="S4325" i="210"/>
  <c r="S4341" i="210"/>
  <c r="S4349" i="210"/>
  <c r="S4357" i="210"/>
  <c r="S4365" i="210"/>
  <c r="S4373" i="210"/>
  <c r="S4381" i="210"/>
  <c r="S4389" i="210"/>
  <c r="S4397" i="210"/>
  <c r="S4413" i="210"/>
  <c r="S4421" i="210"/>
  <c r="S4437" i="210"/>
  <c r="S4445" i="210"/>
  <c r="S4453" i="210"/>
  <c r="S4461" i="210"/>
  <c r="S4469" i="210"/>
  <c r="S4477" i="210"/>
  <c r="S4485" i="210"/>
  <c r="S4493" i="210"/>
  <c r="S4501" i="210"/>
  <c r="S4509" i="210"/>
  <c r="S4517" i="210"/>
  <c r="S3489" i="210"/>
  <c r="S3737" i="210"/>
  <c r="S3937" i="210"/>
  <c r="S3945" i="210"/>
  <c r="S3975" i="210"/>
  <c r="S3976" i="210"/>
  <c r="S3991" i="210"/>
  <c r="S3992" i="210"/>
  <c r="S4005" i="210"/>
  <c r="S4019" i="210"/>
  <c r="S4040" i="210"/>
  <c r="S4048" i="210"/>
  <c r="S4064" i="210"/>
  <c r="S4072" i="210"/>
  <c r="S4080" i="210"/>
  <c r="S4088" i="210"/>
  <c r="S4096" i="210"/>
  <c r="S4104" i="210"/>
  <c r="S4112" i="210"/>
  <c r="S4120" i="210"/>
  <c r="S4128" i="210"/>
  <c r="S4136" i="210"/>
  <c r="S4152" i="210"/>
  <c r="S4160" i="210"/>
  <c r="S4176" i="210"/>
  <c r="S4184" i="210"/>
  <c r="S4192" i="210"/>
  <c r="S4200" i="210"/>
  <c r="S4208" i="210"/>
  <c r="S4216" i="210"/>
  <c r="S4224" i="210"/>
  <c r="S4232" i="210"/>
  <c r="S4240" i="210"/>
  <c r="S4248" i="210"/>
  <c r="S4256" i="210"/>
  <c r="S4272" i="210"/>
  <c r="S4280" i="210"/>
  <c r="S4288" i="210"/>
  <c r="S4296" i="210"/>
  <c r="S4304" i="210"/>
  <c r="S4312" i="210"/>
  <c r="S4320" i="210"/>
  <c r="S4328" i="210"/>
  <c r="S4336" i="210"/>
  <c r="S4344" i="210"/>
  <c r="S4360" i="210"/>
  <c r="S4368" i="210"/>
  <c r="S4376" i="210"/>
  <c r="S4392" i="210"/>
  <c r="S4400" i="210"/>
  <c r="S4408" i="210"/>
  <c r="S4416" i="210"/>
  <c r="S4424" i="210"/>
  <c r="S4432" i="210"/>
  <c r="S4440" i="210"/>
  <c r="S4448" i="210"/>
  <c r="S4456" i="210"/>
  <c r="S4464" i="210"/>
  <c r="S4480" i="210"/>
  <c r="S4488" i="210"/>
  <c r="S4496" i="210"/>
  <c r="S4504" i="210"/>
  <c r="S4512" i="210"/>
  <c r="S3913" i="210"/>
  <c r="S3977" i="210"/>
  <c r="S3993" i="210"/>
  <c r="S4015" i="210"/>
  <c r="S4024" i="210"/>
  <c r="S4027" i="210"/>
  <c r="S4043" i="210"/>
  <c r="S4051" i="210"/>
  <c r="S4067" i="210"/>
  <c r="S4075" i="210"/>
  <c r="S4083" i="210"/>
  <c r="S4091" i="210"/>
  <c r="S4099" i="210"/>
  <c r="S4115" i="210"/>
  <c r="S4123" i="210"/>
  <c r="S4131" i="210"/>
  <c r="S4139" i="210"/>
  <c r="S4155" i="210"/>
  <c r="S4163" i="210"/>
  <c r="S4179" i="210"/>
  <c r="S4187" i="210"/>
  <c r="S4195" i="210"/>
  <c r="S4203" i="210"/>
  <c r="S4219" i="210"/>
  <c r="S4227" i="210"/>
  <c r="S4235" i="210"/>
  <c r="S4243" i="210"/>
  <c r="S4251" i="210"/>
  <c r="S4259" i="210"/>
  <c r="S4275" i="210"/>
  <c r="S4283" i="210"/>
  <c r="S4291" i="210"/>
  <c r="S4299" i="210"/>
  <c r="S4307" i="210"/>
  <c r="S4315" i="210"/>
  <c r="S4323" i="210"/>
  <c r="S4339" i="210"/>
  <c r="S4347" i="210"/>
  <c r="S4363" i="210"/>
  <c r="S4371" i="210"/>
  <c r="S4379" i="210"/>
  <c r="S4395" i="210"/>
  <c r="S4411" i="210"/>
  <c r="S4419" i="210"/>
  <c r="S4435" i="210"/>
  <c r="S4443" i="210"/>
  <c r="S4451" i="210"/>
  <c r="S4459" i="210"/>
  <c r="S4467" i="210"/>
  <c r="S4483" i="210"/>
  <c r="S4491" i="210"/>
  <c r="S4499" i="210"/>
  <c r="S4507" i="210"/>
  <c r="S4515" i="210"/>
  <c r="S3889" i="210"/>
  <c r="S3979" i="210"/>
  <c r="S4011" i="210"/>
  <c r="S4020" i="210"/>
  <c r="S4038" i="210"/>
  <c r="S4046" i="210"/>
  <c r="S4054" i="210"/>
  <c r="S4062" i="210"/>
  <c r="S4070" i="210"/>
  <c r="S4078" i="210"/>
  <c r="S4086" i="210"/>
  <c r="S4094" i="210"/>
  <c r="S4102" i="210"/>
  <c r="S4118" i="210"/>
  <c r="S4126" i="210"/>
  <c r="S4134" i="210"/>
  <c r="S4142" i="210"/>
  <c r="S4150" i="210"/>
  <c r="S4158" i="210"/>
  <c r="S4174" i="210"/>
  <c r="S4182" i="210"/>
  <c r="S4190" i="210"/>
  <c r="S4198" i="210"/>
  <c r="S4206" i="210"/>
  <c r="S4222" i="210"/>
  <c r="S4230" i="210"/>
  <c r="S4238" i="210"/>
  <c r="S4246" i="210"/>
  <c r="S4254" i="210"/>
  <c r="S4262" i="210"/>
  <c r="S4270" i="210"/>
  <c r="S4278" i="210"/>
  <c r="S4286" i="210"/>
  <c r="S4294" i="210"/>
  <c r="S4302" i="210"/>
  <c r="S4310" i="210"/>
  <c r="S4318" i="210"/>
  <c r="S4326" i="210"/>
  <c r="S4342" i="210"/>
  <c r="S4350" i="210"/>
  <c r="S4358" i="210"/>
  <c r="S4366" i="210"/>
  <c r="S4374" i="210"/>
  <c r="S4390" i="210"/>
  <c r="S4398" i="210"/>
  <c r="S4414" i="210"/>
  <c r="S3561" i="210"/>
  <c r="S3833" i="210"/>
  <c r="S3929" i="210"/>
  <c r="S3960" i="210"/>
  <c r="S3963" i="210"/>
  <c r="S4007" i="210"/>
  <c r="S4016" i="210"/>
  <c r="S4025" i="210"/>
  <c r="S4041" i="210"/>
  <c r="S4049" i="210"/>
  <c r="S4065" i="210"/>
  <c r="S4073" i="210"/>
  <c r="S4081" i="210"/>
  <c r="S4089" i="210"/>
  <c r="S4097" i="210"/>
  <c r="S4105" i="210"/>
  <c r="S4113" i="210"/>
  <c r="S4121" i="210"/>
  <c r="S4129" i="210"/>
  <c r="S4137" i="210"/>
  <c r="S4153" i="210"/>
  <c r="S4161" i="210"/>
  <c r="S4177" i="210"/>
  <c r="S4185" i="210"/>
  <c r="S4193" i="210"/>
  <c r="S4201" i="210"/>
  <c r="S4209" i="210"/>
  <c r="S4217" i="210"/>
  <c r="S4225" i="210"/>
  <c r="S4233" i="210"/>
  <c r="S4241" i="210"/>
  <c r="S4249" i="210"/>
  <c r="S4257" i="210"/>
  <c r="S4273" i="210"/>
  <c r="S4281" i="210"/>
  <c r="S4289" i="210"/>
  <c r="S4297" i="210"/>
  <c r="S4305" i="210"/>
  <c r="S4313" i="210"/>
  <c r="S4321" i="210"/>
  <c r="S4329" i="210"/>
  <c r="S4337" i="210"/>
  <c r="S4345" i="210"/>
  <c r="S4361" i="210"/>
  <c r="S4369" i="210"/>
  <c r="S4377" i="210"/>
  <c r="S4393" i="210"/>
  <c r="S4401" i="210"/>
  <c r="S4409" i="210"/>
  <c r="S4417" i="210"/>
  <c r="S4425" i="210"/>
  <c r="S4433" i="210"/>
  <c r="S4441" i="210"/>
  <c r="S4449" i="210"/>
  <c r="S4457" i="210"/>
  <c r="S4465" i="210"/>
  <c r="S4481" i="210"/>
  <c r="S4489" i="210"/>
  <c r="S4497" i="210"/>
  <c r="S4505" i="210"/>
  <c r="S4513" i="210"/>
  <c r="S3625" i="210"/>
  <c r="S3952" i="210"/>
  <c r="S3955" i="210"/>
  <c r="S3961" i="210"/>
  <c r="S3967" i="210"/>
  <c r="S3968" i="210"/>
  <c r="S3983" i="210"/>
  <c r="S3984" i="210"/>
  <c r="S4000" i="210"/>
  <c r="S4012" i="210"/>
  <c r="S4021" i="210"/>
  <c r="S4028" i="210"/>
  <c r="S4036" i="210"/>
  <c r="S4044" i="210"/>
  <c r="S4052" i="210"/>
  <c r="S4068" i="210"/>
  <c r="S4076" i="210"/>
  <c r="S4084" i="210"/>
  <c r="S4092" i="210"/>
  <c r="S4100" i="210"/>
  <c r="S4116" i="210"/>
  <c r="S4124" i="210"/>
  <c r="S4132" i="210"/>
  <c r="S4140" i="210"/>
  <c r="S4156" i="210"/>
  <c r="S4164" i="210"/>
  <c r="S4172" i="210"/>
  <c r="S4180" i="210"/>
  <c r="S4188" i="210"/>
  <c r="S4196" i="210"/>
  <c r="S4204" i="210"/>
  <c r="S4220" i="210"/>
  <c r="S4228" i="210"/>
  <c r="S4236" i="210"/>
  <c r="S4244" i="210"/>
  <c r="S4252" i="210"/>
  <c r="S4260" i="210"/>
  <c r="S4276" i="210"/>
  <c r="S4284" i="210"/>
  <c r="S4292" i="210"/>
  <c r="S4300" i="210"/>
  <c r="S4308" i="210"/>
  <c r="S4316" i="210"/>
  <c r="S4324" i="210"/>
  <c r="S4340" i="210"/>
  <c r="S4348" i="210"/>
  <c r="S4364" i="210"/>
  <c r="S4372" i="210"/>
  <c r="S4380" i="210"/>
  <c r="S4388" i="210"/>
  <c r="S4396" i="210"/>
  <c r="S4412" i="210"/>
  <c r="S4420" i="210"/>
  <c r="S4436" i="210"/>
  <c r="S4444" i="210"/>
  <c r="S4452" i="210"/>
  <c r="S4460" i="210"/>
  <c r="S4468" i="210"/>
  <c r="S4484" i="210"/>
  <c r="S4492" i="210"/>
  <c r="S4500" i="210"/>
  <c r="S4508" i="210"/>
  <c r="S4516" i="210"/>
  <c r="S3881" i="210"/>
  <c r="S4103" i="210"/>
  <c r="S4223" i="210"/>
  <c r="S4311" i="210"/>
  <c r="S4343" i="210"/>
  <c r="S4438" i="210"/>
  <c r="S4439" i="210"/>
  <c r="S4470" i="210"/>
  <c r="S4529" i="210"/>
  <c r="S4537" i="210"/>
  <c r="S4553" i="210"/>
  <c r="S4561" i="210"/>
  <c r="S4569" i="210"/>
  <c r="S4577" i="210"/>
  <c r="S4585" i="210"/>
  <c r="S4601" i="210"/>
  <c r="S4609" i="210"/>
  <c r="S4617" i="210"/>
  <c r="S4625" i="210"/>
  <c r="S4633" i="210"/>
  <c r="S4641" i="210"/>
  <c r="S4649" i="210"/>
  <c r="S4657" i="210"/>
  <c r="S4673" i="210"/>
  <c r="S4681" i="210"/>
  <c r="S4689" i="210"/>
  <c r="S4697" i="210"/>
  <c r="S4705" i="210"/>
  <c r="S4721" i="210"/>
  <c r="S4729" i="210"/>
  <c r="S4745" i="210"/>
  <c r="S4753" i="210"/>
  <c r="S4761" i="210"/>
  <c r="S4769" i="210"/>
  <c r="S4777" i="210"/>
  <c r="S4785" i="210"/>
  <c r="S4793" i="210"/>
  <c r="S4801" i="210"/>
  <c r="S4817" i="210"/>
  <c r="S4825" i="210"/>
  <c r="S4833" i="210"/>
  <c r="S4841" i="210"/>
  <c r="S4849" i="210"/>
  <c r="S4857" i="210"/>
  <c r="S4865" i="210"/>
  <c r="S4873" i="210"/>
  <c r="S4881" i="210"/>
  <c r="S4897" i="210"/>
  <c r="S4905" i="210"/>
  <c r="S4913" i="210"/>
  <c r="S4921" i="210"/>
  <c r="S4929" i="210"/>
  <c r="S4945" i="210"/>
  <c r="S4953" i="210"/>
  <c r="S4961" i="210"/>
  <c r="S3953" i="210"/>
  <c r="S4008" i="210"/>
  <c r="S4079" i="210"/>
  <c r="S4127" i="210"/>
  <c r="S4199" i="210"/>
  <c r="S4263" i="210"/>
  <c r="S4287" i="210"/>
  <c r="S4367" i="210"/>
  <c r="S4391" i="210"/>
  <c r="S4486" i="210"/>
  <c r="S4487" i="210"/>
  <c r="S4518" i="210"/>
  <c r="S4519" i="210"/>
  <c r="S4532" i="210"/>
  <c r="S4540" i="210"/>
  <c r="S4556" i="210"/>
  <c r="S4564" i="210"/>
  <c r="S4572" i="210"/>
  <c r="S4580" i="210"/>
  <c r="S4588" i="210"/>
  <c r="S4604" i="210"/>
  <c r="S4612" i="210"/>
  <c r="S4620" i="210"/>
  <c r="S4628" i="210"/>
  <c r="S4636" i="210"/>
  <c r="S4644" i="210"/>
  <c r="S4652" i="210"/>
  <c r="S4660" i="210"/>
  <c r="S4676" i="210"/>
  <c r="S4684" i="210"/>
  <c r="S4692" i="210"/>
  <c r="S4700" i="210"/>
  <c r="S4716" i="210"/>
  <c r="S4724" i="210"/>
  <c r="S4732" i="210"/>
  <c r="S4748" i="210"/>
  <c r="S4756" i="210"/>
  <c r="S4764" i="210"/>
  <c r="S4772" i="210"/>
  <c r="S4780" i="210"/>
  <c r="S4788" i="210"/>
  <c r="S4796" i="210"/>
  <c r="S4804" i="210"/>
  <c r="S4820" i="210"/>
  <c r="S4828" i="210"/>
  <c r="S4836" i="210"/>
  <c r="S4844" i="210"/>
  <c r="S4852" i="210"/>
  <c r="S4860" i="210"/>
  <c r="S4868" i="210"/>
  <c r="S4876" i="210"/>
  <c r="S4884" i="210"/>
  <c r="S4900" i="210"/>
  <c r="S4908" i="210"/>
  <c r="S4916" i="210"/>
  <c r="S4924" i="210"/>
  <c r="S4932" i="210"/>
  <c r="S4017" i="210"/>
  <c r="S4151" i="210"/>
  <c r="S4175" i="210"/>
  <c r="S4239" i="210"/>
  <c r="S4327" i="210"/>
  <c r="S4446" i="210"/>
  <c r="S4447" i="210"/>
  <c r="S4535" i="210"/>
  <c r="S4543" i="210"/>
  <c r="S4551" i="210"/>
  <c r="S4559" i="210"/>
  <c r="S4567" i="210"/>
  <c r="S4575" i="210"/>
  <c r="S4583" i="210"/>
  <c r="S4599" i="210"/>
  <c r="S4607" i="210"/>
  <c r="S4615" i="210"/>
  <c r="S4623" i="210"/>
  <c r="S4631" i="210"/>
  <c r="S4639" i="210"/>
  <c r="S4647" i="210"/>
  <c r="S4655" i="210"/>
  <c r="S4671" i="210"/>
  <c r="S4679" i="210"/>
  <c r="S4687" i="210"/>
  <c r="S4695" i="210"/>
  <c r="S4703" i="210"/>
  <c r="S4719" i="210"/>
  <c r="S4727" i="210"/>
  <c r="S4743" i="210"/>
  <c r="S4751" i="210"/>
  <c r="S4759" i="210"/>
  <c r="S4767" i="210"/>
  <c r="S4775" i="210"/>
  <c r="S4783" i="210"/>
  <c r="S4791" i="210"/>
  <c r="S4799" i="210"/>
  <c r="S4807" i="210"/>
  <c r="S4815" i="210"/>
  <c r="S4823" i="210"/>
  <c r="S4831" i="210"/>
  <c r="S4839" i="210"/>
  <c r="S4847" i="210"/>
  <c r="S4855" i="210"/>
  <c r="S4863" i="210"/>
  <c r="S4871" i="210"/>
  <c r="S4879" i="210"/>
  <c r="S4895" i="210"/>
  <c r="S4903" i="210"/>
  <c r="S4911" i="210"/>
  <c r="S4919" i="210"/>
  <c r="S4927" i="210"/>
  <c r="S4935" i="210"/>
  <c r="S4943" i="210"/>
  <c r="S4951" i="210"/>
  <c r="S4959" i="210"/>
  <c r="S4967" i="210"/>
  <c r="S3809" i="210"/>
  <c r="S3985" i="210"/>
  <c r="S4001" i="210"/>
  <c r="S4047" i="210"/>
  <c r="S4095" i="210"/>
  <c r="S4303" i="210"/>
  <c r="S4422" i="210"/>
  <c r="S4423" i="210"/>
  <c r="S4494" i="210"/>
  <c r="S4495" i="210"/>
  <c r="S4526" i="210"/>
  <c r="S4527" i="210"/>
  <c r="S4530" i="210"/>
  <c r="S4538" i="210"/>
  <c r="S4554" i="210"/>
  <c r="S4562" i="210"/>
  <c r="S4570" i="210"/>
  <c r="S4578" i="210"/>
  <c r="S4586" i="210"/>
  <c r="S4602" i="210"/>
  <c r="S4610" i="210"/>
  <c r="S4618" i="210"/>
  <c r="S4626" i="210"/>
  <c r="S4634" i="210"/>
  <c r="S4642" i="210"/>
  <c r="S4650" i="210"/>
  <c r="S4658" i="210"/>
  <c r="S4674" i="210"/>
  <c r="S4682" i="210"/>
  <c r="S4690" i="210"/>
  <c r="S4698" i="210"/>
  <c r="S4706" i="210"/>
  <c r="S4714" i="210"/>
  <c r="S4722" i="210"/>
  <c r="S4730" i="210"/>
  <c r="S4746" i="210"/>
  <c r="S4754" i="210"/>
  <c r="S4762" i="210"/>
  <c r="S4770" i="210"/>
  <c r="S4778" i="210"/>
  <c r="S4786" i="210"/>
  <c r="S4794" i="210"/>
  <c r="S4802" i="210"/>
  <c r="S4818" i="210"/>
  <c r="S4826" i="210"/>
  <c r="S4834" i="210"/>
  <c r="S4842" i="210"/>
  <c r="S4850" i="210"/>
  <c r="S4858" i="210"/>
  <c r="S4866" i="210"/>
  <c r="S4874" i="210"/>
  <c r="S4882" i="210"/>
  <c r="S4898" i="210"/>
  <c r="S4906" i="210"/>
  <c r="S4914" i="210"/>
  <c r="S4922" i="210"/>
  <c r="S4930" i="210"/>
  <c r="S4946" i="210"/>
  <c r="S4954" i="210"/>
  <c r="S4962" i="210"/>
  <c r="S4071" i="210"/>
  <c r="S4119" i="210"/>
  <c r="S4191" i="210"/>
  <c r="S4255" i="210"/>
  <c r="S4279" i="210"/>
  <c r="S4359" i="210"/>
  <c r="S4415" i="210"/>
  <c r="S4454" i="210"/>
  <c r="S4455" i="210"/>
  <c r="S4533" i="210"/>
  <c r="S4541" i="210"/>
  <c r="S4557" i="210"/>
  <c r="S4565" i="210"/>
  <c r="S4573" i="210"/>
  <c r="S4581" i="210"/>
  <c r="S4589" i="210"/>
  <c r="S4597" i="210"/>
  <c r="S4605" i="210"/>
  <c r="S4613" i="210"/>
  <c r="S4621" i="210"/>
  <c r="S4629" i="210"/>
  <c r="S4637" i="210"/>
  <c r="S4645" i="210"/>
  <c r="S4653" i="210"/>
  <c r="S4661" i="210"/>
  <c r="S4669" i="210"/>
  <c r="S4677" i="210"/>
  <c r="S4685" i="210"/>
  <c r="S4693" i="210"/>
  <c r="S4701" i="210"/>
  <c r="S4717" i="210"/>
  <c r="S4725" i="210"/>
  <c r="S4733" i="210"/>
  <c r="S4741" i="210"/>
  <c r="S4749" i="210"/>
  <c r="S4757" i="210"/>
  <c r="S4765" i="210"/>
  <c r="S4773" i="210"/>
  <c r="S4781" i="210"/>
  <c r="S4789" i="210"/>
  <c r="S4797" i="210"/>
  <c r="S4805" i="210"/>
  <c r="S4821" i="210"/>
  <c r="S4829" i="210"/>
  <c r="S4837" i="210"/>
  <c r="S4845" i="210"/>
  <c r="S4853" i="210"/>
  <c r="S4861" i="210"/>
  <c r="S4231" i="210"/>
  <c r="S4319" i="210"/>
  <c r="S4502" i="210"/>
  <c r="S4503" i="210"/>
  <c r="S4528" i="210"/>
  <c r="S4536" i="210"/>
  <c r="S4552" i="210"/>
  <c r="S4560" i="210"/>
  <c r="S4568" i="210"/>
  <c r="S4576" i="210"/>
  <c r="S4584" i="210"/>
  <c r="S4600" i="210"/>
  <c r="S4608" i="210"/>
  <c r="S4616" i="210"/>
  <c r="S4624" i="210"/>
  <c r="S4632" i="210"/>
  <c r="S4640" i="210"/>
  <c r="S4648" i="210"/>
  <c r="S4656" i="210"/>
  <c r="S4672" i="210"/>
  <c r="S4680" i="210"/>
  <c r="S4688" i="210"/>
  <c r="S4696" i="210"/>
  <c r="S4704" i="210"/>
  <c r="S4720" i="210"/>
  <c r="S4728" i="210"/>
  <c r="S4744" i="210"/>
  <c r="S4752" i="210"/>
  <c r="S4760" i="210"/>
  <c r="S4768" i="210"/>
  <c r="S4776" i="210"/>
  <c r="S4784" i="210"/>
  <c r="S4792" i="210"/>
  <c r="S4800" i="210"/>
  <c r="S4816" i="210"/>
  <c r="S4824" i="210"/>
  <c r="S4832" i="210"/>
  <c r="S4840" i="210"/>
  <c r="S4848" i="210"/>
  <c r="S4856" i="210"/>
  <c r="S4864" i="210"/>
  <c r="S4872" i="210"/>
  <c r="S4880" i="210"/>
  <c r="S4896" i="210"/>
  <c r="S4904" i="210"/>
  <c r="S4912" i="210"/>
  <c r="S4920" i="210"/>
  <c r="S4928" i="210"/>
  <c r="S4944" i="210"/>
  <c r="S4952" i="210"/>
  <c r="S3969" i="210"/>
  <c r="S4039" i="210"/>
  <c r="S4087" i="210"/>
  <c r="S4135" i="210"/>
  <c r="S4207" i="210"/>
  <c r="S4295" i="210"/>
  <c r="S4375" i="210"/>
  <c r="S4399" i="210"/>
  <c r="S4462" i="210"/>
  <c r="S4463" i="210"/>
  <c r="S4531" i="210"/>
  <c r="S4539" i="210"/>
  <c r="S4555" i="210"/>
  <c r="S4563" i="210"/>
  <c r="S4571" i="210"/>
  <c r="S4579" i="210"/>
  <c r="S4587" i="210"/>
  <c r="S4603" i="210"/>
  <c r="S4611" i="210"/>
  <c r="S4619" i="210"/>
  <c r="S4627" i="210"/>
  <c r="S4635" i="210"/>
  <c r="S4643" i="210"/>
  <c r="S4651" i="210"/>
  <c r="S4659" i="210"/>
  <c r="S4675" i="210"/>
  <c r="S4683" i="210"/>
  <c r="S4691" i="210"/>
  <c r="S4699" i="210"/>
  <c r="S4707" i="210"/>
  <c r="S4715" i="210"/>
  <c r="S4723" i="210"/>
  <c r="S4731" i="210"/>
  <c r="S4747" i="210"/>
  <c r="S4755" i="210"/>
  <c r="S4763" i="210"/>
  <c r="S4771" i="210"/>
  <c r="S4779" i="210"/>
  <c r="S4787" i="210"/>
  <c r="S4795" i="210"/>
  <c r="S4803" i="210"/>
  <c r="S4819" i="210"/>
  <c r="S4827" i="210"/>
  <c r="S4835" i="210"/>
  <c r="S4843" i="210"/>
  <c r="S4851" i="210"/>
  <c r="S4859" i="210"/>
  <c r="S4867" i="210"/>
  <c r="S4875" i="210"/>
  <c r="S4883" i="210"/>
  <c r="S4899" i="210"/>
  <c r="S4907" i="210"/>
  <c r="S4915" i="210"/>
  <c r="S4923" i="210"/>
  <c r="S4931" i="210"/>
  <c r="S4947" i="210"/>
  <c r="S4955" i="210"/>
  <c r="S4963" i="210"/>
  <c r="S4511" i="210"/>
  <c r="S4582" i="210"/>
  <c r="S4646" i="210"/>
  <c r="S4670" i="210"/>
  <c r="S4726" i="210"/>
  <c r="S4790" i="210"/>
  <c r="S4814" i="210"/>
  <c r="S4862" i="210"/>
  <c r="S4964" i="210"/>
  <c r="S4965" i="210"/>
  <c r="S4975" i="210"/>
  <c r="S4983" i="210"/>
  <c r="S4991" i="210"/>
  <c r="S4999" i="210"/>
  <c r="S5007" i="210"/>
  <c r="S5015" i="210"/>
  <c r="S5023" i="210"/>
  <c r="S5039" i="210"/>
  <c r="S5047" i="210"/>
  <c r="S5055" i="210"/>
  <c r="S5063" i="210"/>
  <c r="S5079" i="210"/>
  <c r="S5087" i="210"/>
  <c r="S5095" i="210"/>
  <c r="S5103" i="210"/>
  <c r="S5111" i="210"/>
  <c r="S5119" i="210"/>
  <c r="S5127" i="210"/>
  <c r="S5135" i="210"/>
  <c r="S5143" i="210"/>
  <c r="S5151" i="210"/>
  <c r="S5159" i="210"/>
  <c r="S5167" i="210"/>
  <c r="S5175" i="210"/>
  <c r="S5183" i="210"/>
  <c r="S5191" i="210"/>
  <c r="S5199" i="210"/>
  <c r="S5207" i="210"/>
  <c r="S5223" i="210"/>
  <c r="S5231" i="210"/>
  <c r="S5239" i="210"/>
  <c r="S5247" i="210"/>
  <c r="S5255" i="210"/>
  <c r="S5263" i="210"/>
  <c r="S5271" i="210"/>
  <c r="S5279" i="210"/>
  <c r="S5287" i="210"/>
  <c r="S5295" i="210"/>
  <c r="S5303" i="210"/>
  <c r="S5311" i="210"/>
  <c r="S5327" i="210"/>
  <c r="S5335" i="210"/>
  <c r="S5343" i="210"/>
  <c r="S5351" i="210"/>
  <c r="S5359" i="210"/>
  <c r="S5367" i="210"/>
  <c r="S5375" i="210"/>
  <c r="S4159" i="210"/>
  <c r="S4183" i="210"/>
  <c r="S4271" i="210"/>
  <c r="S4510" i="210"/>
  <c r="S4558" i="210"/>
  <c r="S4622" i="210"/>
  <c r="S4766" i="210"/>
  <c r="S4838" i="210"/>
  <c r="S4877" i="210"/>
  <c r="S4878" i="210"/>
  <c r="S4917" i="210"/>
  <c r="S4918" i="210"/>
  <c r="S4966" i="210"/>
  <c r="S4970" i="210"/>
  <c r="S4978" i="210"/>
  <c r="S4986" i="210"/>
  <c r="S4994" i="210"/>
  <c r="S5002" i="210"/>
  <c r="S5010" i="210"/>
  <c r="S5018" i="210"/>
  <c r="S5026" i="210"/>
  <c r="S5034" i="210"/>
  <c r="S5042" i="210"/>
  <c r="S5050" i="210"/>
  <c r="S5058" i="210"/>
  <c r="S5066" i="210"/>
  <c r="S5082" i="210"/>
  <c r="S5090" i="210"/>
  <c r="S5098" i="210"/>
  <c r="S5106" i="210"/>
  <c r="S5114" i="210"/>
  <c r="S5122" i="210"/>
  <c r="S5130" i="210"/>
  <c r="S5138" i="210"/>
  <c r="S5146" i="210"/>
  <c r="S5154" i="210"/>
  <c r="S5162" i="210"/>
  <c r="S5170" i="210"/>
  <c r="S5178" i="210"/>
  <c r="S5186" i="210"/>
  <c r="S5194" i="210"/>
  <c r="S5202" i="210"/>
  <c r="S5210" i="210"/>
  <c r="S5226" i="210"/>
  <c r="S5234" i="210"/>
  <c r="S5242" i="210"/>
  <c r="S5250" i="210"/>
  <c r="S5258" i="210"/>
  <c r="S5266" i="210"/>
  <c r="S5274" i="210"/>
  <c r="S5282" i="210"/>
  <c r="S5290" i="210"/>
  <c r="S5298" i="210"/>
  <c r="S5306" i="210"/>
  <c r="S5314" i="210"/>
  <c r="S5322" i="210"/>
  <c r="S5330" i="210"/>
  <c r="S5338" i="210"/>
  <c r="S5346" i="210"/>
  <c r="S5362" i="210"/>
  <c r="S5370" i="210"/>
  <c r="S5378" i="210"/>
  <c r="S4247" i="210"/>
  <c r="S4542" i="210"/>
  <c r="S4550" i="210"/>
  <c r="S4598" i="210"/>
  <c r="S4662" i="210"/>
  <c r="S4686" i="210"/>
  <c r="S4742" i="210"/>
  <c r="S4806" i="210"/>
  <c r="S4973" i="210"/>
  <c r="S4981" i="210"/>
  <c r="S4989" i="210"/>
  <c r="S4997" i="210"/>
  <c r="S5005" i="210"/>
  <c r="S5013" i="210"/>
  <c r="S5021" i="210"/>
  <c r="S5037" i="210"/>
  <c r="S5045" i="210"/>
  <c r="S5053" i="210"/>
  <c r="S5061" i="210"/>
  <c r="S5077" i="210"/>
  <c r="S5085" i="210"/>
  <c r="S5093" i="210"/>
  <c r="S5101" i="210"/>
  <c r="S5109" i="210"/>
  <c r="S5117" i="210"/>
  <c r="S5125" i="210"/>
  <c r="S5133" i="210"/>
  <c r="S5141" i="210"/>
  <c r="S5149" i="210"/>
  <c r="S5157" i="210"/>
  <c r="S5165" i="210"/>
  <c r="S5173" i="210"/>
  <c r="S5181" i="210"/>
  <c r="S5189" i="210"/>
  <c r="S5197" i="210"/>
  <c r="S5205" i="210"/>
  <c r="S5213" i="210"/>
  <c r="S5221" i="210"/>
  <c r="S5229" i="210"/>
  <c r="S5237" i="210"/>
  <c r="S5245" i="210"/>
  <c r="S5253" i="210"/>
  <c r="S5261" i="210"/>
  <c r="S5269" i="210"/>
  <c r="S5277" i="210"/>
  <c r="S5285" i="210"/>
  <c r="S5293" i="210"/>
  <c r="S5301" i="210"/>
  <c r="S5309" i="210"/>
  <c r="S5325" i="210"/>
  <c r="S5333" i="210"/>
  <c r="S5341" i="210"/>
  <c r="S5349" i="210"/>
  <c r="S5365" i="210"/>
  <c r="S5373" i="210"/>
  <c r="S5381" i="210"/>
  <c r="S4063" i="210"/>
  <c r="S4574" i="210"/>
  <c r="S4638" i="210"/>
  <c r="S4718" i="210"/>
  <c r="S4782" i="210"/>
  <c r="S4854" i="210"/>
  <c r="S4885" i="210"/>
  <c r="S4886" i="210"/>
  <c r="S4893" i="210"/>
  <c r="S4894" i="210"/>
  <c r="S4925" i="210"/>
  <c r="S4926" i="210"/>
  <c r="S4948" i="210"/>
  <c r="S4949" i="210"/>
  <c r="S4950" i="210"/>
  <c r="S4976" i="210"/>
  <c r="S4984" i="210"/>
  <c r="S4992" i="210"/>
  <c r="S5000" i="210"/>
  <c r="S5008" i="210"/>
  <c r="S5016" i="210"/>
  <c r="S5024" i="210"/>
  <c r="S5040" i="210"/>
  <c r="S5048" i="210"/>
  <c r="S5056" i="210"/>
  <c r="S5064" i="210"/>
  <c r="S5080" i="210"/>
  <c r="S5088" i="210"/>
  <c r="S5096" i="210"/>
  <c r="S5104" i="210"/>
  <c r="S5112" i="210"/>
  <c r="S5120" i="210"/>
  <c r="S5128" i="210"/>
  <c r="S5136" i="210"/>
  <c r="S5144" i="210"/>
  <c r="S5152" i="210"/>
  <c r="S5160" i="210"/>
  <c r="S5168" i="210"/>
  <c r="S5176" i="210"/>
  <c r="S5184" i="210"/>
  <c r="S5192" i="210"/>
  <c r="S5200" i="210"/>
  <c r="S5208" i="210"/>
  <c r="S5224" i="210"/>
  <c r="S5232" i="210"/>
  <c r="S5240" i="210"/>
  <c r="S5248" i="210"/>
  <c r="S5256" i="210"/>
  <c r="S5264" i="210"/>
  <c r="S5272" i="210"/>
  <c r="S5280" i="210"/>
  <c r="S5288" i="210"/>
  <c r="S5296" i="210"/>
  <c r="S5304" i="210"/>
  <c r="S5312" i="210"/>
  <c r="S5328" i="210"/>
  <c r="S5336" i="210"/>
  <c r="S5344" i="210"/>
  <c r="S5352" i="210"/>
  <c r="S5360" i="210"/>
  <c r="S5368" i="210"/>
  <c r="S5376" i="210"/>
  <c r="S4614" i="210"/>
  <c r="S4702" i="210"/>
  <c r="S4758" i="210"/>
  <c r="S4830" i="210"/>
  <c r="S4956" i="210"/>
  <c r="S4957" i="210"/>
  <c r="S4968" i="210"/>
  <c r="S4971" i="210"/>
  <c r="S4979" i="210"/>
  <c r="S4987" i="210"/>
  <c r="S4995" i="210"/>
  <c r="S5003" i="210"/>
  <c r="S5011" i="210"/>
  <c r="S5019" i="210"/>
  <c r="S5027" i="210"/>
  <c r="S5035" i="210"/>
  <c r="S5043" i="210"/>
  <c r="S5051" i="210"/>
  <c r="S5059" i="210"/>
  <c r="S5067" i="210"/>
  <c r="S5075" i="210"/>
  <c r="S5083" i="210"/>
  <c r="S5091" i="210"/>
  <c r="S5099" i="210"/>
  <c r="S5107" i="210"/>
  <c r="S5115" i="210"/>
  <c r="S5123" i="210"/>
  <c r="S5131" i="210"/>
  <c r="S5139" i="210"/>
  <c r="S5147" i="210"/>
  <c r="S5155" i="210"/>
  <c r="S5163" i="210"/>
  <c r="S5171" i="210"/>
  <c r="S5179" i="210"/>
  <c r="S5187" i="210"/>
  <c r="S5195" i="210"/>
  <c r="S5203" i="210"/>
  <c r="S5211" i="210"/>
  <c r="S5227" i="210"/>
  <c r="S5235" i="210"/>
  <c r="S5243" i="210"/>
  <c r="S5251" i="210"/>
  <c r="S4534" i="210"/>
  <c r="S4590" i="210"/>
  <c r="S4654" i="210"/>
  <c r="S4678" i="210"/>
  <c r="S4734" i="210"/>
  <c r="S4798" i="210"/>
  <c r="S4901" i="210"/>
  <c r="S4902" i="210"/>
  <c r="S4933" i="210"/>
  <c r="S4934" i="210"/>
  <c r="S4958" i="210"/>
  <c r="S4974" i="210"/>
  <c r="S4982" i="210"/>
  <c r="S4990" i="210"/>
  <c r="S4998" i="210"/>
  <c r="S5006" i="210"/>
  <c r="S5014" i="210"/>
  <c r="S5022" i="210"/>
  <c r="S5038" i="210"/>
  <c r="S5046" i="210"/>
  <c r="S5054" i="210"/>
  <c r="S5062" i="210"/>
  <c r="S5078" i="210"/>
  <c r="S5086" i="210"/>
  <c r="S5094" i="210"/>
  <c r="S5102" i="210"/>
  <c r="S5110" i="210"/>
  <c r="S5118" i="210"/>
  <c r="S5126" i="210"/>
  <c r="S5134" i="210"/>
  <c r="S5142" i="210"/>
  <c r="S5150" i="210"/>
  <c r="S5158" i="210"/>
  <c r="S5166" i="210"/>
  <c r="S5174" i="210"/>
  <c r="S5182" i="210"/>
  <c r="S5190" i="210"/>
  <c r="S5198" i="210"/>
  <c r="S5206" i="210"/>
  <c r="S5214" i="210"/>
  <c r="S5222" i="210"/>
  <c r="S5230" i="210"/>
  <c r="S5238" i="210"/>
  <c r="S5246" i="210"/>
  <c r="S5254" i="210"/>
  <c r="S5262" i="210"/>
  <c r="S5270" i="210"/>
  <c r="S5278" i="210"/>
  <c r="S5286" i="210"/>
  <c r="S5294" i="210"/>
  <c r="S5302" i="210"/>
  <c r="S5310" i="210"/>
  <c r="S5326" i="210"/>
  <c r="S5334" i="210"/>
  <c r="S5342" i="210"/>
  <c r="S5350" i="210"/>
  <c r="S5366" i="210"/>
  <c r="S5374" i="210"/>
  <c r="S5382" i="210"/>
  <c r="S4478" i="210"/>
  <c r="S4479" i="210"/>
  <c r="S4566" i="210"/>
  <c r="S4630" i="210"/>
  <c r="S4774" i="210"/>
  <c r="S4846" i="210"/>
  <c r="S4942" i="210"/>
  <c r="S4960" i="210"/>
  <c r="S4969" i="210"/>
  <c r="S4977" i="210"/>
  <c r="S4985" i="210"/>
  <c r="S4993" i="210"/>
  <c r="S5001" i="210"/>
  <c r="S5009" i="210"/>
  <c r="S5017" i="210"/>
  <c r="S5025" i="210"/>
  <c r="S5041" i="210"/>
  <c r="S5049" i="210"/>
  <c r="S5057" i="210"/>
  <c r="S5065" i="210"/>
  <c r="S5081" i="210"/>
  <c r="S5089" i="210"/>
  <c r="S5097" i="210"/>
  <c r="S5105" i="210"/>
  <c r="S5113" i="210"/>
  <c r="S5121" i="210"/>
  <c r="S5129" i="210"/>
  <c r="S5137" i="210"/>
  <c r="S5145" i="210"/>
  <c r="S5153" i="210"/>
  <c r="S5161" i="210"/>
  <c r="S5169" i="210"/>
  <c r="S5177" i="210"/>
  <c r="S5185" i="210"/>
  <c r="S5193" i="210"/>
  <c r="S5201" i="210"/>
  <c r="S5209" i="210"/>
  <c r="S5225" i="210"/>
  <c r="S5233" i="210"/>
  <c r="S5241" i="210"/>
  <c r="S5249" i="210"/>
  <c r="S5257" i="210"/>
  <c r="S5265" i="210"/>
  <c r="S5273" i="210"/>
  <c r="S5281" i="210"/>
  <c r="S5289" i="210"/>
  <c r="S5297" i="210"/>
  <c r="S5305" i="210"/>
  <c r="S5313" i="210"/>
  <c r="S5321" i="210"/>
  <c r="S5329" i="210"/>
  <c r="S5337" i="210"/>
  <c r="S5345" i="210"/>
  <c r="S5361" i="210"/>
  <c r="S5369" i="210"/>
  <c r="S5377" i="210"/>
  <c r="S4606" i="210"/>
  <c r="S4988" i="210"/>
  <c r="S5036" i="210"/>
  <c r="S5124" i="210"/>
  <c r="S5188" i="210"/>
  <c r="S5267" i="210"/>
  <c r="S5268" i="210"/>
  <c r="S5299" i="210"/>
  <c r="S5300" i="210"/>
  <c r="S5391" i="210"/>
  <c r="S5399" i="210"/>
  <c r="S5407" i="210"/>
  <c r="S5415" i="210"/>
  <c r="S5423" i="210"/>
  <c r="S5431" i="210"/>
  <c r="S5439" i="210"/>
  <c r="S5447" i="210"/>
  <c r="S5455" i="210"/>
  <c r="S5463" i="210"/>
  <c r="S5471" i="210"/>
  <c r="S5479" i="210"/>
  <c r="S5487" i="210"/>
  <c r="S5495" i="210"/>
  <c r="S5503" i="210"/>
  <c r="S5511" i="210"/>
  <c r="S5519" i="210"/>
  <c r="S5527" i="210"/>
  <c r="S5535" i="210"/>
  <c r="S5543" i="210"/>
  <c r="S5551" i="210"/>
  <c r="S5559" i="210"/>
  <c r="S5567" i="210"/>
  <c r="S5575" i="210"/>
  <c r="S5583" i="210"/>
  <c r="S5591" i="210"/>
  <c r="S5599" i="210"/>
  <c r="S5607" i="210"/>
  <c r="S5615" i="210"/>
  <c r="S5623" i="210"/>
  <c r="S5631" i="210"/>
  <c r="S5647" i="210"/>
  <c r="S5655" i="210"/>
  <c r="S5663" i="210"/>
  <c r="S5671" i="210"/>
  <c r="S5687" i="210"/>
  <c r="S5695" i="210"/>
  <c r="S5703" i="210"/>
  <c r="S5711" i="210"/>
  <c r="S5727" i="210"/>
  <c r="S5735" i="210"/>
  <c r="S5743" i="210"/>
  <c r="S5759" i="210"/>
  <c r="S5767" i="210"/>
  <c r="S5775" i="210"/>
  <c r="S5783" i="210"/>
  <c r="S5791" i="210"/>
  <c r="S5799" i="210"/>
  <c r="S5807" i="210"/>
  <c r="S5815" i="210"/>
  <c r="S5823" i="210"/>
  <c r="S5831" i="210"/>
  <c r="S5839" i="210"/>
  <c r="S5100" i="210"/>
  <c r="S5164" i="210"/>
  <c r="S5347" i="210"/>
  <c r="S5348" i="210"/>
  <c r="S5371" i="210"/>
  <c r="S5372" i="210"/>
  <c r="S5383" i="210"/>
  <c r="S5394" i="210"/>
  <c r="S5402" i="210"/>
  <c r="S5410" i="210"/>
  <c r="S5418" i="210"/>
  <c r="S5426" i="210"/>
  <c r="S5434" i="210"/>
  <c r="S5442" i="210"/>
  <c r="S5450" i="210"/>
  <c r="S5458" i="210"/>
  <c r="S5466" i="210"/>
  <c r="S5474" i="210"/>
  <c r="S5490" i="210"/>
  <c r="S5498" i="210"/>
  <c r="S5506" i="210"/>
  <c r="S5514" i="210"/>
  <c r="S5522" i="210"/>
  <c r="S5530" i="210"/>
  <c r="S5538" i="210"/>
  <c r="S5546" i="210"/>
  <c r="S5554" i="210"/>
  <c r="S5562" i="210"/>
  <c r="S5570" i="210"/>
  <c r="S5578" i="210"/>
  <c r="S5594" i="210"/>
  <c r="S5602" i="210"/>
  <c r="S5610" i="210"/>
  <c r="S5618" i="210"/>
  <c r="S5626" i="210"/>
  <c r="S5634" i="210"/>
  <c r="S5650" i="210"/>
  <c r="S5658" i="210"/>
  <c r="S5666" i="210"/>
  <c r="S5682" i="210"/>
  <c r="S5690" i="210"/>
  <c r="S5698" i="210"/>
  <c r="S5706" i="210"/>
  <c r="S5714" i="210"/>
  <c r="S5730" i="210"/>
  <c r="S5738" i="210"/>
  <c r="S5746" i="210"/>
  <c r="S5762" i="210"/>
  <c r="S5770" i="210"/>
  <c r="S5786" i="210"/>
  <c r="S5794" i="210"/>
  <c r="S5802" i="210"/>
  <c r="S4750" i="210"/>
  <c r="S5004" i="210"/>
  <c r="S5052" i="210"/>
  <c r="S5076" i="210"/>
  <c r="S5140" i="210"/>
  <c r="S5204" i="210"/>
  <c r="S5236" i="210"/>
  <c r="S5275" i="210"/>
  <c r="S5276" i="210"/>
  <c r="S5307" i="210"/>
  <c r="S5308" i="210"/>
  <c r="S5397" i="210"/>
  <c r="S5405" i="210"/>
  <c r="S5413" i="210"/>
  <c r="S5421" i="210"/>
  <c r="S5429" i="210"/>
  <c r="S5437" i="210"/>
  <c r="S5445" i="210"/>
  <c r="S5453" i="210"/>
  <c r="S5461" i="210"/>
  <c r="S5469" i="210"/>
  <c r="S5477" i="210"/>
  <c r="S5493" i="210"/>
  <c r="S5501" i="210"/>
  <c r="S5509" i="210"/>
  <c r="S5517" i="210"/>
  <c r="S5525" i="210"/>
  <c r="S5533" i="210"/>
  <c r="S5541" i="210"/>
  <c r="S5549" i="210"/>
  <c r="S5557" i="210"/>
  <c r="S5565" i="210"/>
  <c r="S5573" i="210"/>
  <c r="S5581" i="210"/>
  <c r="S5597" i="210"/>
  <c r="S5605" i="210"/>
  <c r="S5613" i="210"/>
  <c r="S5621" i="210"/>
  <c r="S5629" i="210"/>
  <c r="S5637" i="210"/>
  <c r="S5645" i="210"/>
  <c r="S5653" i="210"/>
  <c r="S5661" i="210"/>
  <c r="S5669" i="210"/>
  <c r="S5685" i="210"/>
  <c r="S5693" i="210"/>
  <c r="S5701" i="210"/>
  <c r="S5709" i="210"/>
  <c r="S5717" i="210"/>
  <c r="S5725" i="210"/>
  <c r="S5733" i="210"/>
  <c r="S5741" i="210"/>
  <c r="S5757" i="210"/>
  <c r="S5765" i="210"/>
  <c r="S5773" i="210"/>
  <c r="S5789" i="210"/>
  <c r="S5797" i="210"/>
  <c r="S5805" i="210"/>
  <c r="S5821" i="210"/>
  <c r="S5829" i="210"/>
  <c r="S5837" i="210"/>
  <c r="S4694" i="210"/>
  <c r="S4870" i="210"/>
  <c r="S4980" i="210"/>
  <c r="S5116" i="210"/>
  <c r="S5180" i="210"/>
  <c r="S5323" i="210"/>
  <c r="S5324" i="210"/>
  <c r="S5379" i="210"/>
  <c r="S5380" i="210"/>
  <c r="S5392" i="210"/>
  <c r="S5400" i="210"/>
  <c r="S5408" i="210"/>
  <c r="S5416" i="210"/>
  <c r="S5424" i="210"/>
  <c r="S5432" i="210"/>
  <c r="S5440" i="210"/>
  <c r="S5448" i="210"/>
  <c r="S5456" i="210"/>
  <c r="S5464" i="210"/>
  <c r="S5472" i="210"/>
  <c r="S5480" i="210"/>
  <c r="S5488" i="210"/>
  <c r="S5496" i="210"/>
  <c r="S5504" i="210"/>
  <c r="S5512" i="210"/>
  <c r="S5520" i="210"/>
  <c r="S5528" i="210"/>
  <c r="S5536" i="210"/>
  <c r="S5544" i="210"/>
  <c r="S5552" i="210"/>
  <c r="S5560" i="210"/>
  <c r="S5568" i="210"/>
  <c r="S5576" i="210"/>
  <c r="S5584" i="210"/>
  <c r="S5592" i="210"/>
  <c r="S5600" i="210"/>
  <c r="S5608" i="210"/>
  <c r="S5616" i="210"/>
  <c r="S5624" i="210"/>
  <c r="S5632" i="210"/>
  <c r="S5648" i="210"/>
  <c r="S5656" i="210"/>
  <c r="S5664" i="210"/>
  <c r="S5672" i="210"/>
  <c r="S5680" i="210"/>
  <c r="S5688" i="210"/>
  <c r="S5696" i="210"/>
  <c r="S5704" i="210"/>
  <c r="S5712" i="210"/>
  <c r="S5728" i="210"/>
  <c r="S5736" i="210"/>
  <c r="S5744" i="210"/>
  <c r="S5760" i="210"/>
  <c r="S5768" i="210"/>
  <c r="S5784" i="210"/>
  <c r="S5792" i="210"/>
  <c r="S5800" i="210"/>
  <c r="S5808" i="210"/>
  <c r="S5816" i="210"/>
  <c r="S5824" i="210"/>
  <c r="S5832" i="210"/>
  <c r="S5840" i="210"/>
  <c r="S4869" i="210"/>
  <c r="S5020" i="210"/>
  <c r="S5068" i="210"/>
  <c r="S5092" i="210"/>
  <c r="S5156" i="210"/>
  <c r="S5252" i="210"/>
  <c r="S5283" i="210"/>
  <c r="S5284" i="210"/>
  <c r="S5395" i="210"/>
  <c r="S5403" i="210"/>
  <c r="S5411" i="210"/>
  <c r="S5419" i="210"/>
  <c r="S5427" i="210"/>
  <c r="S5435" i="210"/>
  <c r="S5443" i="210"/>
  <c r="S5451" i="210"/>
  <c r="S5459" i="210"/>
  <c r="S5467" i="210"/>
  <c r="S5475" i="210"/>
  <c r="S5491" i="210"/>
  <c r="S5499" i="210"/>
  <c r="S5507" i="210"/>
  <c r="S5515" i="210"/>
  <c r="S5523" i="210"/>
  <c r="S5531" i="210"/>
  <c r="S5539" i="210"/>
  <c r="S5547" i="210"/>
  <c r="S5555" i="210"/>
  <c r="S5563" i="210"/>
  <c r="S5571" i="210"/>
  <c r="S5579" i="210"/>
  <c r="S5595" i="210"/>
  <c r="S5603" i="210"/>
  <c r="S5611" i="210"/>
  <c r="S5619" i="210"/>
  <c r="S5627" i="210"/>
  <c r="S5635" i="210"/>
  <c r="S5651" i="210"/>
  <c r="S5659" i="210"/>
  <c r="S5667" i="210"/>
  <c r="S5683" i="210"/>
  <c r="S5691" i="210"/>
  <c r="S5699" i="210"/>
  <c r="S5707" i="210"/>
  <c r="S5715" i="210"/>
  <c r="S5731" i="210"/>
  <c r="S5739" i="210"/>
  <c r="S5747" i="210"/>
  <c r="S4996" i="210"/>
  <c r="S5044" i="210"/>
  <c r="S5132" i="210"/>
  <c r="S5196" i="210"/>
  <c r="S5228" i="210"/>
  <c r="S5331" i="210"/>
  <c r="S5332" i="210"/>
  <c r="S5390" i="210"/>
  <c r="S5398" i="210"/>
  <c r="S5406" i="210"/>
  <c r="S5414" i="210"/>
  <c r="S5422" i="210"/>
  <c r="S5430" i="210"/>
  <c r="S5438" i="210"/>
  <c r="S5446" i="210"/>
  <c r="S5454" i="210"/>
  <c r="S5462" i="210"/>
  <c r="S5470" i="210"/>
  <c r="S5478" i="210"/>
  <c r="S5494" i="210"/>
  <c r="S5502" i="210"/>
  <c r="S5510" i="210"/>
  <c r="S5518" i="210"/>
  <c r="S5526" i="210"/>
  <c r="S5534" i="210"/>
  <c r="S5542" i="210"/>
  <c r="S5550" i="210"/>
  <c r="S5558" i="210"/>
  <c r="S5566" i="210"/>
  <c r="S5574" i="210"/>
  <c r="S5582" i="210"/>
  <c r="S5598" i="210"/>
  <c r="S5606" i="210"/>
  <c r="S5614" i="210"/>
  <c r="S5622" i="210"/>
  <c r="S5630" i="210"/>
  <c r="S5638" i="210"/>
  <c r="S5646" i="210"/>
  <c r="S5654" i="210"/>
  <c r="S5662" i="210"/>
  <c r="S5670" i="210"/>
  <c r="S5686" i="210"/>
  <c r="S5694" i="210"/>
  <c r="S5702" i="210"/>
  <c r="S5710" i="210"/>
  <c r="S5718" i="210"/>
  <c r="S5726" i="210"/>
  <c r="S5734" i="210"/>
  <c r="S5742" i="210"/>
  <c r="S5758" i="210"/>
  <c r="S5766" i="210"/>
  <c r="S5774" i="210"/>
  <c r="S5782" i="210"/>
  <c r="S5790" i="210"/>
  <c r="S5798" i="210"/>
  <c r="S5806" i="210"/>
  <c r="S5822" i="210"/>
  <c r="S5830" i="210"/>
  <c r="S4822" i="210"/>
  <c r="S4910" i="210"/>
  <c r="S4972" i="210"/>
  <c r="S5108" i="210"/>
  <c r="S5172" i="210"/>
  <c r="S5259" i="210"/>
  <c r="S5260" i="210"/>
  <c r="S5291" i="210"/>
  <c r="S5292" i="210"/>
  <c r="S5393" i="210"/>
  <c r="S5401" i="210"/>
  <c r="S5409" i="210"/>
  <c r="S5417" i="210"/>
  <c r="S5425" i="210"/>
  <c r="S5433" i="210"/>
  <c r="S5441" i="210"/>
  <c r="S5449" i="210"/>
  <c r="S5457" i="210"/>
  <c r="S5465" i="210"/>
  <c r="S5473" i="210"/>
  <c r="S5489" i="210"/>
  <c r="S5497" i="210"/>
  <c r="S5505" i="210"/>
  <c r="S5513" i="210"/>
  <c r="S5521" i="210"/>
  <c r="S5529" i="210"/>
  <c r="S5537" i="210"/>
  <c r="S5545" i="210"/>
  <c r="S5553" i="210"/>
  <c r="S5561" i="210"/>
  <c r="S5569" i="210"/>
  <c r="S5577" i="210"/>
  <c r="S5593" i="210"/>
  <c r="S5601" i="210"/>
  <c r="S5609" i="210"/>
  <c r="S5617" i="210"/>
  <c r="S5625" i="210"/>
  <c r="S5633" i="210"/>
  <c r="S5649" i="210"/>
  <c r="S5657" i="210"/>
  <c r="S5665" i="210"/>
  <c r="S5673" i="210"/>
  <c r="S5681" i="210"/>
  <c r="S5689" i="210"/>
  <c r="S5697" i="210"/>
  <c r="S5705" i="210"/>
  <c r="S5713" i="210"/>
  <c r="S5729" i="210"/>
  <c r="S5737" i="210"/>
  <c r="S5745" i="210"/>
  <c r="S5761" i="210"/>
  <c r="S5769" i="210"/>
  <c r="S5785" i="210"/>
  <c r="S5793" i="210"/>
  <c r="S5801" i="210"/>
  <c r="S5817" i="210"/>
  <c r="S5825" i="210"/>
  <c r="S5833" i="210"/>
  <c r="S5841" i="210"/>
  <c r="S5012" i="210"/>
  <c r="S5428" i="210"/>
  <c r="S5524" i="210"/>
  <c r="S5620" i="210"/>
  <c r="S5740" i="210"/>
  <c r="S5826" i="210"/>
  <c r="S5827" i="210"/>
  <c r="S5828" i="210"/>
  <c r="S5838" i="210"/>
  <c r="S5850" i="210"/>
  <c r="S5856" i="210"/>
  <c r="S5864" i="210"/>
  <c r="S5872" i="210"/>
  <c r="S5888" i="210"/>
  <c r="S5896" i="210"/>
  <c r="S5904" i="210"/>
  <c r="S5920" i="210"/>
  <c r="S5928" i="210"/>
  <c r="S5936" i="210"/>
  <c r="S5952" i="210"/>
  <c r="S5960" i="210"/>
  <c r="S5968" i="210"/>
  <c r="S5984" i="210"/>
  <c r="S5992" i="210"/>
  <c r="S6000" i="210"/>
  <c r="S6016" i="210"/>
  <c r="S6024" i="210"/>
  <c r="S6032" i="210"/>
  <c r="S6048" i="210"/>
  <c r="S6056" i="210"/>
  <c r="S6072" i="210"/>
  <c r="S6080" i="210"/>
  <c r="S6088" i="210"/>
  <c r="S6104" i="210"/>
  <c r="S6112" i="210"/>
  <c r="S6120" i="210"/>
  <c r="S6128" i="210"/>
  <c r="S6136" i="210"/>
  <c r="S6144" i="210"/>
  <c r="S6152" i="210"/>
  <c r="S6160" i="210"/>
  <c r="S6168" i="210"/>
  <c r="S6176" i="210"/>
  <c r="S6184" i="210"/>
  <c r="S6192" i="210"/>
  <c r="S6200" i="210"/>
  <c r="S6208" i="210"/>
  <c r="S6216" i="210"/>
  <c r="S6232" i="210"/>
  <c r="S6240" i="210"/>
  <c r="S6248" i="210"/>
  <c r="S6256" i="210"/>
  <c r="S6272" i="210"/>
  <c r="S6280" i="210"/>
  <c r="S6288" i="210"/>
  <c r="S6296" i="210"/>
  <c r="S6304" i="210"/>
  <c r="S6312" i="210"/>
  <c r="S6320" i="210"/>
  <c r="S6328" i="210"/>
  <c r="S6336" i="210"/>
  <c r="S6344" i="210"/>
  <c r="S6352" i="210"/>
  <c r="S6360" i="210"/>
  <c r="S6376" i="210"/>
  <c r="S6384" i="210"/>
  <c r="S6392" i="210"/>
  <c r="S6400" i="210"/>
  <c r="S6408" i="210"/>
  <c r="S6416" i="210"/>
  <c r="S6424" i="210"/>
  <c r="S6432" i="210"/>
  <c r="S6440" i="210"/>
  <c r="S6456" i="210"/>
  <c r="S6464" i="210"/>
  <c r="S6472" i="210"/>
  <c r="S6488" i="210"/>
  <c r="S6496" i="210"/>
  <c r="S6504" i="210"/>
  <c r="S6520" i="210"/>
  <c r="S6528" i="210"/>
  <c r="S6536" i="210"/>
  <c r="S6544" i="210"/>
  <c r="S6552" i="210"/>
  <c r="S6560" i="210"/>
  <c r="S6495" i="210"/>
  <c r="S5244" i="210"/>
  <c r="S5452" i="210"/>
  <c r="S5763" i="210"/>
  <c r="S5877" i="210"/>
  <c r="S5925" i="210"/>
  <c r="S5933" i="210"/>
  <c r="S5981" i="210"/>
  <c r="S6061" i="210"/>
  <c r="S6077" i="210"/>
  <c r="S6109" i="210"/>
  <c r="S6117" i="210"/>
  <c r="S6221" i="210"/>
  <c r="S6293" i="210"/>
  <c r="S6309" i="210"/>
  <c r="S6317" i="210"/>
  <c r="S6349" i="210"/>
  <c r="S6461" i="210"/>
  <c r="S5404" i="210"/>
  <c r="S5468" i="210"/>
  <c r="S5500" i="210"/>
  <c r="S5564" i="210"/>
  <c r="S5596" i="210"/>
  <c r="S5660" i="210"/>
  <c r="S5716" i="210"/>
  <c r="S5771" i="210"/>
  <c r="S5772" i="210"/>
  <c r="S5803" i="210"/>
  <c r="S5804" i="210"/>
  <c r="S5818" i="210"/>
  <c r="S5819" i="210"/>
  <c r="S5820" i="210"/>
  <c r="S5851" i="210"/>
  <c r="S5859" i="210"/>
  <c r="S5867" i="210"/>
  <c r="S5875" i="210"/>
  <c r="S5891" i="210"/>
  <c r="S5899" i="210"/>
  <c r="S5907" i="210"/>
  <c r="S5923" i="210"/>
  <c r="S5931" i="210"/>
  <c r="S5939" i="210"/>
  <c r="S5947" i="210"/>
  <c r="S5955" i="210"/>
  <c r="S5963" i="210"/>
  <c r="S5979" i="210"/>
  <c r="S5987" i="210"/>
  <c r="S5995" i="210"/>
  <c r="S6003" i="210"/>
  <c r="S6019" i="210"/>
  <c r="S6027" i="210"/>
  <c r="S6035" i="210"/>
  <c r="S6043" i="210"/>
  <c r="S6051" i="210"/>
  <c r="S6059" i="210"/>
  <c r="S6075" i="210"/>
  <c r="S6083" i="210"/>
  <c r="S6091" i="210"/>
  <c r="S6107" i="210"/>
  <c r="S6115" i="210"/>
  <c r="S6131" i="210"/>
  <c r="S6139" i="210"/>
  <c r="S6147" i="210"/>
  <c r="S6163" i="210"/>
  <c r="S6171" i="210"/>
  <c r="S6179" i="210"/>
  <c r="S6187" i="210"/>
  <c r="S6203" i="210"/>
  <c r="S6211" i="210"/>
  <c r="S6219" i="210"/>
  <c r="S6235" i="210"/>
  <c r="S6243" i="210"/>
  <c r="S6251" i="210"/>
  <c r="S6259" i="210"/>
  <c r="S6275" i="210"/>
  <c r="S6283" i="210"/>
  <c r="S6291" i="210"/>
  <c r="S6307" i="210"/>
  <c r="S6315" i="210"/>
  <c r="S6323" i="210"/>
  <c r="S6339" i="210"/>
  <c r="S6347" i="210"/>
  <c r="S6355" i="210"/>
  <c r="S6363" i="210"/>
  <c r="S6371" i="210"/>
  <c r="S6379" i="210"/>
  <c r="S6387" i="210"/>
  <c r="S6395" i="210"/>
  <c r="S6411" i="210"/>
  <c r="S6419" i="210"/>
  <c r="S6427" i="210"/>
  <c r="S6435" i="210"/>
  <c r="S6443" i="210"/>
  <c r="S6451" i="210"/>
  <c r="S6459" i="210"/>
  <c r="S6467" i="210"/>
  <c r="S6483" i="210"/>
  <c r="S6491" i="210"/>
  <c r="S6499" i="210"/>
  <c r="S6507" i="210"/>
  <c r="S6523" i="210"/>
  <c r="S6531" i="210"/>
  <c r="S6539" i="210"/>
  <c r="S6547" i="210"/>
  <c r="S6555" i="210"/>
  <c r="S6519" i="210"/>
  <c r="S6559" i="210"/>
  <c r="S5834" i="210"/>
  <c r="S5861" i="210"/>
  <c r="S5949" i="210"/>
  <c r="S5965" i="210"/>
  <c r="S5997" i="210"/>
  <c r="S6029" i="210"/>
  <c r="S6149" i="210"/>
  <c r="S6165" i="210"/>
  <c r="S6205" i="210"/>
  <c r="S6261" i="210"/>
  <c r="S6277" i="210"/>
  <c r="S6397" i="210"/>
  <c r="S6421" i="210"/>
  <c r="S6501" i="210"/>
  <c r="S6509" i="210"/>
  <c r="S5084" i="210"/>
  <c r="S5444" i="210"/>
  <c r="S5540" i="210"/>
  <c r="S5636" i="210"/>
  <c r="S5692" i="210"/>
  <c r="S5842" i="210"/>
  <c r="S5843" i="210"/>
  <c r="S5854" i="210"/>
  <c r="S5862" i="210"/>
  <c r="S5870" i="210"/>
  <c r="S5886" i="210"/>
  <c r="S5894" i="210"/>
  <c r="S5902" i="210"/>
  <c r="S5910" i="210"/>
  <c r="S5918" i="210"/>
  <c r="S5926" i="210"/>
  <c r="S5934" i="210"/>
  <c r="S5950" i="210"/>
  <c r="S5958" i="210"/>
  <c r="S5966" i="210"/>
  <c r="S5982" i="210"/>
  <c r="S5990" i="210"/>
  <c r="S5998" i="210"/>
  <c r="S6014" i="210"/>
  <c r="S6022" i="210"/>
  <c r="S6030" i="210"/>
  <c r="S6046" i="210"/>
  <c r="S6054" i="210"/>
  <c r="S6062" i="210"/>
  <c r="S6070" i="210"/>
  <c r="S6078" i="210"/>
  <c r="S6086" i="210"/>
  <c r="S6102" i="210"/>
  <c r="S6110" i="210"/>
  <c r="S6118" i="210"/>
  <c r="S6134" i="210"/>
  <c r="S6142" i="210"/>
  <c r="S6150" i="210"/>
  <c r="S6166" i="210"/>
  <c r="S6174" i="210"/>
  <c r="S6182" i="210"/>
  <c r="S6190" i="210"/>
  <c r="S6206" i="210"/>
  <c r="S6214" i="210"/>
  <c r="S6222" i="210"/>
  <c r="S6230" i="210"/>
  <c r="S6238" i="210"/>
  <c r="S6246" i="210"/>
  <c r="S6254" i="210"/>
  <c r="S6270" i="210"/>
  <c r="S6278" i="210"/>
  <c r="S6286" i="210"/>
  <c r="S6294" i="210"/>
  <c r="S6310" i="210"/>
  <c r="S6318" i="210"/>
  <c r="S6326" i="210"/>
  <c r="S6342" i="210"/>
  <c r="S6350" i="210"/>
  <c r="S6358" i="210"/>
  <c r="S6374" i="210"/>
  <c r="S6382" i="210"/>
  <c r="S6390" i="210"/>
  <c r="S6398" i="210"/>
  <c r="S6414" i="210"/>
  <c r="S6422" i="210"/>
  <c r="S6430" i="210"/>
  <c r="S6438" i="210"/>
  <c r="S6454" i="210"/>
  <c r="S6462" i="210"/>
  <c r="S6470" i="210"/>
  <c r="S6486" i="210"/>
  <c r="S6494" i="210"/>
  <c r="S6502" i="210"/>
  <c r="S6518" i="210"/>
  <c r="S6526" i="210"/>
  <c r="S6534" i="210"/>
  <c r="S6542" i="210"/>
  <c r="S6550" i="210"/>
  <c r="S6558" i="210"/>
  <c r="S6487" i="210"/>
  <c r="S6503" i="210"/>
  <c r="S6543" i="210"/>
  <c r="S5835" i="210"/>
  <c r="S5893" i="210"/>
  <c r="S5989" i="210"/>
  <c r="S6093" i="210"/>
  <c r="S6133" i="210"/>
  <c r="S6141" i="210"/>
  <c r="S6517" i="210"/>
  <c r="S5060" i="210"/>
  <c r="S5420" i="210"/>
  <c r="S5516" i="210"/>
  <c r="S5580" i="210"/>
  <c r="S5612" i="210"/>
  <c r="S5732" i="210"/>
  <c r="S5857" i="210"/>
  <c r="S5865" i="210"/>
  <c r="S5873" i="210"/>
  <c r="S5889" i="210"/>
  <c r="S5897" i="210"/>
  <c r="S5905" i="210"/>
  <c r="S5921" i="210"/>
  <c r="S5929" i="210"/>
  <c r="S5937" i="210"/>
  <c r="S5953" i="210"/>
  <c r="S5961" i="210"/>
  <c r="S5969" i="210"/>
  <c r="S5977" i="210"/>
  <c r="S5985" i="210"/>
  <c r="S5993" i="210"/>
  <c r="S6001" i="210"/>
  <c r="S6017" i="210"/>
  <c r="S6025" i="210"/>
  <c r="S6033" i="210"/>
  <c r="S6049" i="210"/>
  <c r="S6057" i="210"/>
  <c r="S6073" i="210"/>
  <c r="S6081" i="210"/>
  <c r="S6089" i="210"/>
  <c r="S6105" i="210"/>
  <c r="S6113" i="210"/>
  <c r="S6129" i="210"/>
  <c r="S6137" i="210"/>
  <c r="S6145" i="210"/>
  <c r="S6153" i="210"/>
  <c r="S6161" i="210"/>
  <c r="S6169" i="210"/>
  <c r="S6177" i="210"/>
  <c r="S6185" i="210"/>
  <c r="S6201" i="210"/>
  <c r="S6209" i="210"/>
  <c r="S6217" i="210"/>
  <c r="S6233" i="210"/>
  <c r="S6241" i="210"/>
  <c r="S6249" i="210"/>
  <c r="S6257" i="210"/>
  <c r="S6273" i="210"/>
  <c r="S6281" i="210"/>
  <c r="S6289" i="210"/>
  <c r="S6297" i="210"/>
  <c r="S6305" i="210"/>
  <c r="S6313" i="210"/>
  <c r="S6321" i="210"/>
  <c r="S6337" i="210"/>
  <c r="S6345" i="210"/>
  <c r="S6353" i="210"/>
  <c r="S6361" i="210"/>
  <c r="S6377" i="210"/>
  <c r="S6385" i="210"/>
  <c r="S6393" i="210"/>
  <c r="S6409" i="210"/>
  <c r="S6417" i="210"/>
  <c r="S6425" i="210"/>
  <c r="S6433" i="210"/>
  <c r="S6441" i="210"/>
  <c r="S6457" i="210"/>
  <c r="S6465" i="210"/>
  <c r="S6473" i="210"/>
  <c r="S6481" i="210"/>
  <c r="S6489" i="210"/>
  <c r="S6497" i="210"/>
  <c r="S6505" i="210"/>
  <c r="S6521" i="210"/>
  <c r="S6529" i="210"/>
  <c r="S6537" i="210"/>
  <c r="S6545" i="210"/>
  <c r="S6553" i="210"/>
  <c r="S6527" i="210"/>
  <c r="S6551" i="210"/>
  <c r="S4909" i="210"/>
  <c r="S5148" i="210"/>
  <c r="S5548" i="210"/>
  <c r="S5796" i="210"/>
  <c r="S5836" i="210"/>
  <c r="S5885" i="210"/>
  <c r="S5901" i="210"/>
  <c r="S6005" i="210"/>
  <c r="S6173" i="210"/>
  <c r="S6285" i="210"/>
  <c r="S6325" i="210"/>
  <c r="S6341" i="210"/>
  <c r="S6357" i="210"/>
  <c r="S6381" i="210"/>
  <c r="S6389" i="210"/>
  <c r="S6413" i="210"/>
  <c r="S6437" i="210"/>
  <c r="S6453" i="210"/>
  <c r="S6525" i="210"/>
  <c r="S5212" i="210"/>
  <c r="S5340" i="210"/>
  <c r="S5396" i="210"/>
  <c r="S5460" i="210"/>
  <c r="S5492" i="210"/>
  <c r="S5556" i="210"/>
  <c r="S5652" i="210"/>
  <c r="S5708" i="210"/>
  <c r="S5852" i="210"/>
  <c r="S5860" i="210"/>
  <c r="S5868" i="210"/>
  <c r="S5876" i="210"/>
  <c r="S5884" i="210"/>
  <c r="S5892" i="210"/>
  <c r="S5900" i="210"/>
  <c r="S5908" i="210"/>
  <c r="S5924" i="210"/>
  <c r="S5932" i="210"/>
  <c r="S5948" i="210"/>
  <c r="S5956" i="210"/>
  <c r="S5964" i="210"/>
  <c r="S5980" i="210"/>
  <c r="S5988" i="210"/>
  <c r="S5996" i="210"/>
  <c r="S6004" i="210"/>
  <c r="S6012" i="210"/>
  <c r="S6020" i="210"/>
  <c r="S6028" i="210"/>
  <c r="S6044" i="210"/>
  <c r="S6052" i="210"/>
  <c r="S6060" i="210"/>
  <c r="S6076" i="210"/>
  <c r="S6084" i="210"/>
  <c r="S6092" i="210"/>
  <c r="S6100" i="210"/>
  <c r="S6108" i="210"/>
  <c r="S6116" i="210"/>
  <c r="S6132" i="210"/>
  <c r="S6140" i="210"/>
  <c r="S6148" i="210"/>
  <c r="S6164" i="210"/>
  <c r="S6172" i="210"/>
  <c r="S6180" i="210"/>
  <c r="S6188" i="210"/>
  <c r="S6204" i="210"/>
  <c r="S6212" i="210"/>
  <c r="S6220" i="210"/>
  <c r="S6236" i="210"/>
  <c r="S6244" i="210"/>
  <c r="S6252" i="210"/>
  <c r="S6260" i="210"/>
  <c r="S6268" i="210"/>
  <c r="S6276" i="210"/>
  <c r="S6284" i="210"/>
  <c r="S6292" i="210"/>
  <c r="S6308" i="210"/>
  <c r="S6316" i="210"/>
  <c r="S6324" i="210"/>
  <c r="S6340" i="210"/>
  <c r="S6348" i="210"/>
  <c r="S6356" i="210"/>
  <c r="S6364" i="210"/>
  <c r="S6372" i="210"/>
  <c r="S6380" i="210"/>
  <c r="S6388" i="210"/>
  <c r="S6396" i="210"/>
  <c r="S6412" i="210"/>
  <c r="S6420" i="210"/>
  <c r="S6428" i="210"/>
  <c r="S6436" i="210"/>
  <c r="S6452" i="210"/>
  <c r="S6460" i="210"/>
  <c r="S6468" i="210"/>
  <c r="S6484" i="210"/>
  <c r="S6492" i="210"/>
  <c r="S6500" i="210"/>
  <c r="S6508" i="210"/>
  <c r="S6516" i="210"/>
  <c r="S6524" i="210"/>
  <c r="S6532" i="210"/>
  <c r="S6540" i="210"/>
  <c r="S6548" i="210"/>
  <c r="S6556" i="210"/>
  <c r="S6535" i="210"/>
  <c r="S5700" i="210"/>
  <c r="S5764" i="210"/>
  <c r="S5795" i="210"/>
  <c r="S6045" i="210"/>
  <c r="S6085" i="210"/>
  <c r="S6181" i="210"/>
  <c r="S6189" i="210"/>
  <c r="S6237" i="210"/>
  <c r="S6245" i="210"/>
  <c r="S6429" i="210"/>
  <c r="S6469" i="210"/>
  <c r="S6485" i="210"/>
  <c r="S6541" i="210"/>
  <c r="S5339" i="210"/>
  <c r="S5436" i="210"/>
  <c r="S5532" i="210"/>
  <c r="S5628" i="210"/>
  <c r="S5684" i="210"/>
  <c r="S5748" i="210"/>
  <c r="S5755" i="210"/>
  <c r="S5756" i="210"/>
  <c r="S5787" i="210"/>
  <c r="S5788" i="210"/>
  <c r="S5855" i="210"/>
  <c r="S5863" i="210"/>
  <c r="S5871" i="210"/>
  <c r="S5887" i="210"/>
  <c r="S5895" i="210"/>
  <c r="S5903" i="210"/>
  <c r="S5911" i="210"/>
  <c r="S5919" i="210"/>
  <c r="S5927" i="210"/>
  <c r="S5935" i="210"/>
  <c r="S5951" i="210"/>
  <c r="S5959" i="210"/>
  <c r="S5967" i="210"/>
  <c r="S5983" i="210"/>
  <c r="S5991" i="210"/>
  <c r="S5999" i="210"/>
  <c r="S6015" i="210"/>
  <c r="S6023" i="210"/>
  <c r="S6031" i="210"/>
  <c r="S6047" i="210"/>
  <c r="S6055" i="210"/>
  <c r="S6063" i="210"/>
  <c r="S6071" i="210"/>
  <c r="S6079" i="210"/>
  <c r="S6087" i="210"/>
  <c r="S6103" i="210"/>
  <c r="S6111" i="210"/>
  <c r="S6119" i="210"/>
  <c r="S6127" i="210"/>
  <c r="S6135" i="210"/>
  <c r="S6143" i="210"/>
  <c r="S6151" i="210"/>
  <c r="S6167" i="210"/>
  <c r="S6175" i="210"/>
  <c r="S6183" i="210"/>
  <c r="S6191" i="210"/>
  <c r="S6199" i="210"/>
  <c r="S6207" i="210"/>
  <c r="S6215" i="210"/>
  <c r="S6223" i="210"/>
  <c r="S6231" i="210"/>
  <c r="S6239" i="210"/>
  <c r="S6247" i="210"/>
  <c r="S6255" i="210"/>
  <c r="S6271" i="210"/>
  <c r="S6279" i="210"/>
  <c r="S6287" i="210"/>
  <c r="S6295" i="210"/>
  <c r="S6311" i="210"/>
  <c r="S6319" i="210"/>
  <c r="S6327" i="210"/>
  <c r="S6335" i="210"/>
  <c r="S6343" i="210"/>
  <c r="S6351" i="210"/>
  <c r="S6359" i="210"/>
  <c r="S6375" i="210"/>
  <c r="S6383" i="210"/>
  <c r="S6391" i="210"/>
  <c r="S6399" i="210"/>
  <c r="S6407" i="210"/>
  <c r="S6415" i="210"/>
  <c r="S6423" i="210"/>
  <c r="S6431" i="210"/>
  <c r="S6439" i="210"/>
  <c r="S6455" i="210"/>
  <c r="S6463" i="210"/>
  <c r="S6471" i="210"/>
  <c r="S6253" i="210"/>
  <c r="S6269" i="210"/>
  <c r="S6373" i="210"/>
  <c r="S6493" i="210"/>
  <c r="S6549" i="210"/>
  <c r="S6557" i="210"/>
  <c r="S5363" i="210"/>
  <c r="S5364" i="210"/>
  <c r="S5412" i="210"/>
  <c r="S5476" i="210"/>
  <c r="S5508" i="210"/>
  <c r="S5572" i="210"/>
  <c r="S5604" i="210"/>
  <c r="S5668" i="210"/>
  <c r="S5858" i="210"/>
  <c r="S5866" i="210"/>
  <c r="S5874" i="210"/>
  <c r="S5890" i="210"/>
  <c r="S5898" i="210"/>
  <c r="S5906" i="210"/>
  <c r="S5922" i="210"/>
  <c r="S5930" i="210"/>
  <c r="S5938" i="210"/>
  <c r="S5946" i="210"/>
  <c r="S5954" i="210"/>
  <c r="S5962" i="210"/>
  <c r="S5970" i="210"/>
  <c r="S5978" i="210"/>
  <c r="S5986" i="210"/>
  <c r="S5994" i="210"/>
  <c r="S6002" i="210"/>
  <c r="S6018" i="210"/>
  <c r="S6026" i="210"/>
  <c r="S6034" i="210"/>
  <c r="S6042" i="210"/>
  <c r="S6050" i="210"/>
  <c r="S6058" i="210"/>
  <c r="S6074" i="210"/>
  <c r="S6082" i="210"/>
  <c r="S6090" i="210"/>
  <c r="S6106" i="210"/>
  <c r="S6114" i="210"/>
  <c r="S6130" i="210"/>
  <c r="S6138" i="210"/>
  <c r="S6146" i="210"/>
  <c r="S6162" i="210"/>
  <c r="S6170" i="210"/>
  <c r="S6178" i="210"/>
  <c r="S6186" i="210"/>
  <c r="S6202" i="210"/>
  <c r="S6210" i="210"/>
  <c r="S6218" i="210"/>
  <c r="S6234" i="210"/>
  <c r="S6242" i="210"/>
  <c r="S6250" i="210"/>
  <c r="S6258" i="210"/>
  <c r="S6274" i="210"/>
  <c r="S6282" i="210"/>
  <c r="S6290" i="210"/>
  <c r="S6306" i="210"/>
  <c r="S6314" i="210"/>
  <c r="S6322" i="210"/>
  <c r="S6338" i="210"/>
  <c r="S6346" i="210"/>
  <c r="S6354" i="210"/>
  <c r="S6362" i="210"/>
  <c r="S6378" i="210"/>
  <c r="S6386" i="210"/>
  <c r="S6394" i="210"/>
  <c r="S6410" i="210"/>
  <c r="S6418" i="210"/>
  <c r="S6426" i="210"/>
  <c r="S6434" i="210"/>
  <c r="S6442" i="210"/>
  <c r="S6450" i="210"/>
  <c r="S6458" i="210"/>
  <c r="S6466" i="210"/>
  <c r="S6474" i="210"/>
  <c r="S6482" i="210"/>
  <c r="S6490" i="210"/>
  <c r="S6498" i="210"/>
  <c r="S6506" i="210"/>
  <c r="S6522" i="210"/>
  <c r="S6530" i="210"/>
  <c r="S6538" i="210"/>
  <c r="S6546" i="210"/>
  <c r="S6554" i="210"/>
  <c r="S5853" i="210"/>
  <c r="S5869" i="210"/>
  <c r="S5909" i="210"/>
  <c r="S5957" i="210"/>
  <c r="S6013" i="210"/>
  <c r="S6021" i="210"/>
  <c r="S6053" i="210"/>
  <c r="S6101" i="210"/>
  <c r="S6213" i="210"/>
  <c r="S6533" i="210"/>
  <c r="R6564" i="210"/>
  <c r="C7" i="1"/>
  <c r="S6038" i="210" l="1"/>
  <c r="S6195" i="210"/>
  <c r="S6123" i="210"/>
  <c r="S6403" i="210"/>
  <c r="S6331" i="210"/>
  <c r="S5942" i="210"/>
  <c r="S6512" i="210"/>
  <c r="S6264" i="210"/>
  <c r="S6008" i="210"/>
  <c r="I13" i="189"/>
  <c r="S6446" i="210"/>
  <c r="S5751" i="210"/>
  <c r="S6367" i="210"/>
  <c r="S5846" i="210"/>
  <c r="S5676" i="210"/>
  <c r="S5721" i="210"/>
  <c r="S4737" i="210"/>
  <c r="S4665" i="210"/>
  <c r="S4428" i="210"/>
  <c r="S4212" i="210"/>
  <c r="S4353" i="210"/>
  <c r="S2856" i="210"/>
  <c r="S3002" i="210"/>
  <c r="S2930" i="210"/>
  <c r="S2650" i="210"/>
  <c r="S2700" i="210"/>
  <c r="S2408" i="210"/>
  <c r="S2217" i="210"/>
  <c r="S2160" i="210"/>
  <c r="S2068" i="210"/>
  <c r="S1109" i="210"/>
  <c r="S1050" i="210"/>
  <c r="S375" i="210"/>
  <c r="S76" i="210"/>
  <c r="S24" i="210"/>
  <c r="S6300" i="210"/>
  <c r="S6156" i="210"/>
  <c r="S5641" i="210"/>
  <c r="S5811" i="210"/>
  <c r="S5587" i="210"/>
  <c r="S5217" i="210"/>
  <c r="S4593" i="210"/>
  <c r="S4032" i="210"/>
  <c r="S4057" i="210"/>
  <c r="S3837" i="210"/>
  <c r="S3126" i="210"/>
  <c r="S2431" i="210"/>
  <c r="S1898" i="210"/>
  <c r="S1819" i="210"/>
  <c r="S1798" i="210"/>
  <c r="S1475" i="210"/>
  <c r="S1288" i="210"/>
  <c r="S841" i="210"/>
  <c r="S695" i="210"/>
  <c r="S514" i="210"/>
  <c r="O421" i="210"/>
  <c r="S234" i="210"/>
  <c r="S263" i="210"/>
  <c r="T22" i="210"/>
  <c r="H15" i="189" s="1"/>
  <c r="T29" i="210"/>
  <c r="O29" i="210" s="1"/>
  <c r="T37" i="210"/>
  <c r="O37" i="210" s="1"/>
  <c r="T45" i="210"/>
  <c r="T32" i="210"/>
  <c r="T40" i="210"/>
  <c r="T48" i="210"/>
  <c r="O48" i="210" s="1"/>
  <c r="T56" i="210"/>
  <c r="T64" i="210"/>
  <c r="O64" i="210" s="1"/>
  <c r="T72" i="210"/>
  <c r="T80" i="210"/>
  <c r="O80" i="210" s="1"/>
  <c r="T35" i="210"/>
  <c r="T43" i="210"/>
  <c r="T51" i="210"/>
  <c r="T59" i="210"/>
  <c r="T67" i="210"/>
  <c r="O67" i="210" s="1"/>
  <c r="T83" i="210"/>
  <c r="T30" i="210"/>
  <c r="O30" i="210" s="1"/>
  <c r="T38" i="210"/>
  <c r="T46" i="210"/>
  <c r="T54" i="210"/>
  <c r="T62" i="210"/>
  <c r="T70" i="210"/>
  <c r="T86" i="210"/>
  <c r="T33" i="210"/>
  <c r="T41" i="210"/>
  <c r="O41" i="210" s="1"/>
  <c r="T49" i="210"/>
  <c r="T57" i="210"/>
  <c r="O57" i="210" s="1"/>
  <c r="T65" i="210"/>
  <c r="O65" i="210" s="1"/>
  <c r="T73" i="210"/>
  <c r="T81" i="210"/>
  <c r="T89" i="210"/>
  <c r="T28" i="210"/>
  <c r="O28" i="210" s="1"/>
  <c r="T36" i="210"/>
  <c r="T44" i="210"/>
  <c r="T52" i="210"/>
  <c r="T60" i="210"/>
  <c r="T68" i="210"/>
  <c r="T84" i="210"/>
  <c r="T92" i="210"/>
  <c r="T100" i="210"/>
  <c r="T108" i="210"/>
  <c r="O108" i="210" s="1"/>
  <c r="T116" i="210"/>
  <c r="T31" i="210"/>
  <c r="O31" i="210" s="1"/>
  <c r="T39" i="210"/>
  <c r="O39" i="210" s="1"/>
  <c r="T47" i="210"/>
  <c r="T55" i="210"/>
  <c r="T63" i="210"/>
  <c r="T34" i="210"/>
  <c r="T42" i="210"/>
  <c r="T50" i="210"/>
  <c r="T58" i="210"/>
  <c r="T66" i="210"/>
  <c r="T82" i="210"/>
  <c r="T90" i="210"/>
  <c r="O90" i="210" s="1"/>
  <c r="T98" i="210"/>
  <c r="T106" i="210"/>
  <c r="T114" i="210"/>
  <c r="T85" i="210"/>
  <c r="T94" i="210"/>
  <c r="T101" i="210"/>
  <c r="O101" i="210" s="1"/>
  <c r="T105" i="210"/>
  <c r="O105" i="210" s="1"/>
  <c r="T111" i="210"/>
  <c r="O111" i="210" s="1"/>
  <c r="T117" i="210"/>
  <c r="T123" i="210"/>
  <c r="O123" i="210" s="1"/>
  <c r="T131" i="210"/>
  <c r="T147" i="210"/>
  <c r="T155" i="210"/>
  <c r="T171" i="210"/>
  <c r="T179" i="210"/>
  <c r="T195" i="210"/>
  <c r="O195" i="210" s="1"/>
  <c r="T203" i="210"/>
  <c r="T211" i="210"/>
  <c r="T219" i="210"/>
  <c r="T71" i="210"/>
  <c r="T95" i="210"/>
  <c r="T126" i="210"/>
  <c r="T142" i="210"/>
  <c r="T150" i="210"/>
  <c r="O150" i="210" s="1"/>
  <c r="T158" i="210"/>
  <c r="O158" i="210" s="1"/>
  <c r="T166" i="210"/>
  <c r="T174" i="210"/>
  <c r="T182" i="210"/>
  <c r="T198" i="210"/>
  <c r="T206" i="210"/>
  <c r="T214" i="210"/>
  <c r="T222" i="210"/>
  <c r="O222" i="210" s="1"/>
  <c r="T96" i="210"/>
  <c r="O96" i="210" s="1"/>
  <c r="T107" i="210"/>
  <c r="O107" i="210" s="1"/>
  <c r="T112" i="210"/>
  <c r="T121" i="210"/>
  <c r="T129" i="210"/>
  <c r="T145" i="210"/>
  <c r="T153" i="210"/>
  <c r="O153" i="210" s="1"/>
  <c r="T169" i="210"/>
  <c r="O169" i="210" s="1"/>
  <c r="T177" i="210"/>
  <c r="T193" i="210"/>
  <c r="T201" i="210"/>
  <c r="T209" i="210"/>
  <c r="T217" i="210"/>
  <c r="T225" i="210"/>
  <c r="O225" i="210" s="1"/>
  <c r="T61" i="210"/>
  <c r="T102" i="210"/>
  <c r="O102" i="210" s="1"/>
  <c r="T118" i="210"/>
  <c r="T124" i="210"/>
  <c r="T132" i="210"/>
  <c r="T140" i="210"/>
  <c r="T148" i="210"/>
  <c r="T156" i="210"/>
  <c r="T172" i="210"/>
  <c r="O172" i="210" s="1"/>
  <c r="T180" i="210"/>
  <c r="O180" i="210" s="1"/>
  <c r="T196" i="210"/>
  <c r="T204" i="210"/>
  <c r="T212" i="210"/>
  <c r="T220" i="210"/>
  <c r="T53" i="210"/>
  <c r="T91" i="210"/>
  <c r="O91" i="210" s="1"/>
  <c r="T97" i="210"/>
  <c r="T103" i="210"/>
  <c r="O103" i="210" s="1"/>
  <c r="T109" i="210"/>
  <c r="O109" i="210" s="1"/>
  <c r="T113" i="210"/>
  <c r="T119" i="210"/>
  <c r="T127" i="210"/>
  <c r="T143" i="210"/>
  <c r="T151" i="210"/>
  <c r="T159" i="210"/>
  <c r="T167" i="210"/>
  <c r="O167" i="210" s="1"/>
  <c r="T175" i="210"/>
  <c r="O175" i="210" s="1"/>
  <c r="T183" i="210"/>
  <c r="T191" i="210"/>
  <c r="T199" i="210"/>
  <c r="T207" i="210"/>
  <c r="T122" i="210"/>
  <c r="T130" i="210"/>
  <c r="T146" i="210"/>
  <c r="T154" i="210"/>
  <c r="T170" i="210"/>
  <c r="T178" i="210"/>
  <c r="T194" i="210"/>
  <c r="O194" i="210" s="1"/>
  <c r="T69" i="210"/>
  <c r="T87" i="210"/>
  <c r="T88" i="210"/>
  <c r="T93" i="210"/>
  <c r="O93" i="210" s="1"/>
  <c r="T99" i="210"/>
  <c r="O99" i="210" s="1"/>
  <c r="T104" i="210"/>
  <c r="T115" i="210"/>
  <c r="O115" i="210" s="1"/>
  <c r="T125" i="210"/>
  <c r="O125" i="210" s="1"/>
  <c r="T133" i="210"/>
  <c r="T141" i="210"/>
  <c r="T149" i="210"/>
  <c r="T157" i="210"/>
  <c r="T173" i="210"/>
  <c r="T181" i="210"/>
  <c r="O181" i="210" s="1"/>
  <c r="T197" i="210"/>
  <c r="O197" i="210" s="1"/>
  <c r="T205" i="210"/>
  <c r="O205" i="210" s="1"/>
  <c r="T213" i="210"/>
  <c r="T221" i="210"/>
  <c r="T223" i="210"/>
  <c r="T240" i="210"/>
  <c r="T248" i="210"/>
  <c r="O248" i="210" s="1"/>
  <c r="T256" i="210"/>
  <c r="O256" i="210" s="1"/>
  <c r="T272" i="210"/>
  <c r="T280" i="210"/>
  <c r="O280" i="210" s="1"/>
  <c r="T288" i="210"/>
  <c r="T296" i="210"/>
  <c r="T304" i="210"/>
  <c r="T120" i="210"/>
  <c r="T215" i="210"/>
  <c r="T216" i="210"/>
  <c r="O216" i="210" s="1"/>
  <c r="T218" i="210"/>
  <c r="O218" i="210" s="1"/>
  <c r="T224" i="210"/>
  <c r="T227" i="210"/>
  <c r="T243" i="210"/>
  <c r="T251" i="210"/>
  <c r="T259" i="210"/>
  <c r="T267" i="210"/>
  <c r="O267" i="210" s="1"/>
  <c r="T275" i="210"/>
  <c r="O275" i="210" s="1"/>
  <c r="T283" i="210"/>
  <c r="T291" i="210"/>
  <c r="T299" i="210"/>
  <c r="T307" i="210"/>
  <c r="T323" i="210"/>
  <c r="T331" i="210"/>
  <c r="T110" i="210"/>
  <c r="T144" i="210"/>
  <c r="T168" i="210"/>
  <c r="O168" i="210" s="1"/>
  <c r="T202" i="210"/>
  <c r="O202" i="210" s="1"/>
  <c r="T230" i="210"/>
  <c r="T238" i="210"/>
  <c r="O238" i="210" s="1"/>
  <c r="T246" i="210"/>
  <c r="O246" i="210" s="1"/>
  <c r="T254" i="210"/>
  <c r="T270" i="210"/>
  <c r="T278" i="210"/>
  <c r="T286" i="210"/>
  <c r="T294" i="210"/>
  <c r="T302" i="210"/>
  <c r="T318" i="210"/>
  <c r="O318" i="210" s="1"/>
  <c r="T334" i="210"/>
  <c r="O334" i="210" s="1"/>
  <c r="T241" i="210"/>
  <c r="T249" i="210"/>
  <c r="T257" i="210"/>
  <c r="T273" i="210"/>
  <c r="O273" i="210" s="1"/>
  <c r="T281" i="210"/>
  <c r="O281" i="210" s="1"/>
  <c r="T289" i="210"/>
  <c r="T297" i="210"/>
  <c r="T305" i="210"/>
  <c r="T321" i="210"/>
  <c r="T337" i="210"/>
  <c r="T184" i="210"/>
  <c r="T200" i="210"/>
  <c r="T210" i="210"/>
  <c r="T228" i="210"/>
  <c r="T244" i="210"/>
  <c r="T252" i="210"/>
  <c r="T260" i="210"/>
  <c r="T268" i="210"/>
  <c r="T276" i="210"/>
  <c r="O276" i="210" s="1"/>
  <c r="T284" i="210"/>
  <c r="O284" i="210" s="1"/>
  <c r="T292" i="210"/>
  <c r="O292" i="210" s="1"/>
  <c r="T300" i="210"/>
  <c r="T231" i="210"/>
  <c r="T239" i="210"/>
  <c r="O239" i="210" s="1"/>
  <c r="T247" i="210"/>
  <c r="O247" i="210" s="1"/>
  <c r="T255" i="210"/>
  <c r="T271" i="210"/>
  <c r="T279" i="210"/>
  <c r="T287" i="210"/>
  <c r="T295" i="210"/>
  <c r="T303" i="210"/>
  <c r="T319" i="210"/>
  <c r="T128" i="210"/>
  <c r="T192" i="210"/>
  <c r="T208" i="210"/>
  <c r="O208" i="210" s="1"/>
  <c r="T226" i="210"/>
  <c r="T242" i="210"/>
  <c r="T250" i="210"/>
  <c r="T258" i="210"/>
  <c r="T274" i="210"/>
  <c r="T282" i="210"/>
  <c r="T290" i="210"/>
  <c r="O290" i="210" s="1"/>
  <c r="T298" i="210"/>
  <c r="O298" i="210" s="1"/>
  <c r="T306" i="210"/>
  <c r="T322" i="210"/>
  <c r="T330" i="210"/>
  <c r="T229" i="210"/>
  <c r="T277" i="210"/>
  <c r="O277" i="210" s="1"/>
  <c r="T343" i="210"/>
  <c r="T351" i="210"/>
  <c r="O351" i="210" s="1"/>
  <c r="T367" i="210"/>
  <c r="T383" i="210"/>
  <c r="T391" i="210"/>
  <c r="T176" i="210"/>
  <c r="O176" i="210" s="1"/>
  <c r="T338" i="210"/>
  <c r="O338" i="210" s="1"/>
  <c r="T346" i="210"/>
  <c r="O346" i="210" s="1"/>
  <c r="T354" i="210"/>
  <c r="T370" i="210"/>
  <c r="T386" i="210"/>
  <c r="T394" i="210"/>
  <c r="O394" i="210" s="1"/>
  <c r="T402" i="210"/>
  <c r="O402" i="210" s="1"/>
  <c r="T410" i="210"/>
  <c r="T418" i="210"/>
  <c r="T426" i="210"/>
  <c r="T434" i="210"/>
  <c r="T442" i="210"/>
  <c r="T245" i="210"/>
  <c r="T269" i="210"/>
  <c r="O269" i="210" s="1"/>
  <c r="T293" i="210"/>
  <c r="T316" i="210"/>
  <c r="T317" i="210"/>
  <c r="T341" i="210"/>
  <c r="O341" i="210" s="1"/>
  <c r="T349" i="210"/>
  <c r="O349" i="210" s="1"/>
  <c r="T365" i="210"/>
  <c r="T381" i="210"/>
  <c r="T389" i="210"/>
  <c r="T397" i="210"/>
  <c r="T405" i="210"/>
  <c r="T413" i="210"/>
  <c r="T421" i="210"/>
  <c r="T429" i="210"/>
  <c r="O429" i="210" s="1"/>
  <c r="T437" i="210"/>
  <c r="T320" i="210"/>
  <c r="T332" i="210"/>
  <c r="T333" i="210"/>
  <c r="T344" i="210"/>
  <c r="T352" i="210"/>
  <c r="T368" i="210"/>
  <c r="O368" i="210" s="1"/>
  <c r="T384" i="210"/>
  <c r="O384" i="210" s="1"/>
  <c r="T392" i="210"/>
  <c r="T400" i="210"/>
  <c r="T408" i="210"/>
  <c r="T416" i="210"/>
  <c r="T424" i="210"/>
  <c r="T432" i="210"/>
  <c r="T440" i="210"/>
  <c r="O440" i="210" s="1"/>
  <c r="T152" i="210"/>
  <c r="T339" i="210"/>
  <c r="T347" i="210"/>
  <c r="O347" i="210" s="1"/>
  <c r="T355" i="210"/>
  <c r="T363" i="210"/>
  <c r="T371" i="210"/>
  <c r="O371" i="210" s="1"/>
  <c r="T379" i="210"/>
  <c r="T387" i="210"/>
  <c r="T395" i="210"/>
  <c r="T285" i="210"/>
  <c r="T309" i="210"/>
  <c r="O309" i="210" s="1"/>
  <c r="T335" i="210"/>
  <c r="T342" i="210"/>
  <c r="T350" i="210"/>
  <c r="T366" i="210"/>
  <c r="T382" i="210"/>
  <c r="T390" i="210"/>
  <c r="O390" i="210" s="1"/>
  <c r="T398" i="210"/>
  <c r="O398" i="210" s="1"/>
  <c r="T406" i="210"/>
  <c r="O406" i="210" s="1"/>
  <c r="T308" i="210"/>
  <c r="T336" i="210"/>
  <c r="T345" i="210"/>
  <c r="T353" i="210"/>
  <c r="T369" i="210"/>
  <c r="T385" i="210"/>
  <c r="T393" i="210"/>
  <c r="T401" i="210"/>
  <c r="O401" i="210" s="1"/>
  <c r="T409" i="210"/>
  <c r="O409" i="210" s="1"/>
  <c r="T417" i="210"/>
  <c r="T425" i="210"/>
  <c r="T433" i="210"/>
  <c r="T441" i="210"/>
  <c r="T356" i="210"/>
  <c r="T403" i="210"/>
  <c r="T407" i="210"/>
  <c r="O407" i="210" s="1"/>
  <c r="T423" i="210"/>
  <c r="O423" i="210" s="1"/>
  <c r="T439" i="210"/>
  <c r="T452" i="210"/>
  <c r="T460" i="210"/>
  <c r="T468" i="210"/>
  <c r="T476" i="210"/>
  <c r="T484" i="210"/>
  <c r="O484" i="210" s="1"/>
  <c r="T492" i="210"/>
  <c r="T500" i="210"/>
  <c r="O500" i="210" s="1"/>
  <c r="T508" i="210"/>
  <c r="T524" i="210"/>
  <c r="O524" i="210" s="1"/>
  <c r="T411" i="210"/>
  <c r="T412" i="210"/>
  <c r="T427" i="210"/>
  <c r="T428" i="210"/>
  <c r="T455" i="210"/>
  <c r="T463" i="210"/>
  <c r="T471" i="210"/>
  <c r="T479" i="210"/>
  <c r="T487" i="210"/>
  <c r="T495" i="210"/>
  <c r="T503" i="210"/>
  <c r="O503" i="210" s="1"/>
  <c r="T511" i="210"/>
  <c r="O511" i="210" s="1"/>
  <c r="T519" i="210"/>
  <c r="T527" i="210"/>
  <c r="T535" i="210"/>
  <c r="T543" i="210"/>
  <c r="T551" i="210"/>
  <c r="T450" i="210"/>
  <c r="T458" i="210"/>
  <c r="O458" i="210" s="1"/>
  <c r="T466" i="210"/>
  <c r="O466" i="210" s="1"/>
  <c r="T474" i="210"/>
  <c r="T482" i="210"/>
  <c r="T490" i="210"/>
  <c r="T498" i="210"/>
  <c r="T506" i="210"/>
  <c r="T522" i="210"/>
  <c r="T530" i="210"/>
  <c r="O530" i="210" s="1"/>
  <c r="T538" i="210"/>
  <c r="O538" i="210" s="1"/>
  <c r="T546" i="210"/>
  <c r="T301" i="210"/>
  <c r="T348" i="210"/>
  <c r="T399" i="210"/>
  <c r="T414" i="210"/>
  <c r="T430" i="210"/>
  <c r="T453" i="210"/>
  <c r="T461" i="210"/>
  <c r="O461" i="210" s="1"/>
  <c r="T469" i="210"/>
  <c r="O469" i="210" s="1"/>
  <c r="T477" i="210"/>
  <c r="T485" i="210"/>
  <c r="T493" i="210"/>
  <c r="T501" i="210"/>
  <c r="T509" i="210"/>
  <c r="T525" i="210"/>
  <c r="T533" i="210"/>
  <c r="O533" i="210" s="1"/>
  <c r="T541" i="210"/>
  <c r="O541" i="210" s="1"/>
  <c r="T549" i="210"/>
  <c r="T396" i="210"/>
  <c r="T415" i="210"/>
  <c r="T431" i="210"/>
  <c r="T456" i="210"/>
  <c r="T464" i="210"/>
  <c r="O464" i="210" s="1"/>
  <c r="T472" i="210"/>
  <c r="O472" i="210" s="1"/>
  <c r="T480" i="210"/>
  <c r="T488" i="210"/>
  <c r="T496" i="210"/>
  <c r="T504" i="210"/>
  <c r="T520" i="210"/>
  <c r="T372" i="210"/>
  <c r="O372" i="210" s="1"/>
  <c r="T388" i="210"/>
  <c r="T419" i="210"/>
  <c r="T420" i="210"/>
  <c r="T435" i="210"/>
  <c r="O435" i="210" s="1"/>
  <c r="T436" i="210"/>
  <c r="O436" i="210" s="1"/>
  <c r="T451" i="210"/>
  <c r="T459" i="210"/>
  <c r="T467" i="210"/>
  <c r="T475" i="210"/>
  <c r="O475" i="210" s="1"/>
  <c r="T483" i="210"/>
  <c r="O483" i="210" s="1"/>
  <c r="T491" i="210"/>
  <c r="T499" i="210"/>
  <c r="T507" i="210"/>
  <c r="T523" i="210"/>
  <c r="T340" i="210"/>
  <c r="T454" i="210"/>
  <c r="O454" i="210" s="1"/>
  <c r="T462" i="210"/>
  <c r="O462" i="210" s="1"/>
  <c r="T470" i="210"/>
  <c r="T478" i="210"/>
  <c r="T486" i="210"/>
  <c r="T494" i="210"/>
  <c r="T502" i="210"/>
  <c r="T510" i="210"/>
  <c r="T518" i="210"/>
  <c r="T526" i="210"/>
  <c r="T534" i="210"/>
  <c r="O534" i="210" s="1"/>
  <c r="T542" i="210"/>
  <c r="T550" i="210"/>
  <c r="T489" i="210"/>
  <c r="O489" i="210" s="1"/>
  <c r="T540" i="210"/>
  <c r="T556" i="210"/>
  <c r="T572" i="210"/>
  <c r="O572" i="210" s="1"/>
  <c r="T580" i="210"/>
  <c r="T588" i="210"/>
  <c r="T596" i="210"/>
  <c r="O596" i="210" s="1"/>
  <c r="T604" i="210"/>
  <c r="T612" i="210"/>
  <c r="O612" i="210" s="1"/>
  <c r="T620" i="210"/>
  <c r="O620" i="210" s="1"/>
  <c r="T628" i="210"/>
  <c r="T636" i="210"/>
  <c r="T644" i="210"/>
  <c r="O644" i="210" s="1"/>
  <c r="T652" i="210"/>
  <c r="O652" i="210" s="1"/>
  <c r="T465" i="210"/>
  <c r="O465" i="210" s="1"/>
  <c r="T528" i="210"/>
  <c r="T529" i="210"/>
  <c r="T544" i="210"/>
  <c r="O544" i="210" s="1"/>
  <c r="T545" i="210"/>
  <c r="T559" i="210"/>
  <c r="T567" i="210"/>
  <c r="T575" i="210"/>
  <c r="T583" i="210"/>
  <c r="T591" i="210"/>
  <c r="T599" i="210"/>
  <c r="O599" i="210" s="1"/>
  <c r="T607" i="210"/>
  <c r="O607" i="210" s="1"/>
  <c r="T615" i="210"/>
  <c r="T631" i="210"/>
  <c r="T639" i="210"/>
  <c r="T647" i="210"/>
  <c r="T655" i="210"/>
  <c r="O655" i="210" s="1"/>
  <c r="T663" i="210"/>
  <c r="T671" i="210"/>
  <c r="T679" i="210"/>
  <c r="T687" i="210"/>
  <c r="T505" i="210"/>
  <c r="T554" i="210"/>
  <c r="T570" i="210"/>
  <c r="T578" i="210"/>
  <c r="T586" i="210"/>
  <c r="T594" i="210"/>
  <c r="O594" i="210" s="1"/>
  <c r="T602" i="210"/>
  <c r="O602" i="210" s="1"/>
  <c r="T610" i="210"/>
  <c r="T618" i="210"/>
  <c r="T634" i="210"/>
  <c r="T642" i="210"/>
  <c r="T650" i="210"/>
  <c r="T658" i="210"/>
  <c r="T666" i="210"/>
  <c r="O666" i="210" s="1"/>
  <c r="T674" i="210"/>
  <c r="O674" i="210" s="1"/>
  <c r="T438" i="210"/>
  <c r="T481" i="210"/>
  <c r="O481" i="210" s="1"/>
  <c r="T531" i="210"/>
  <c r="T547" i="210"/>
  <c r="O547" i="210" s="1"/>
  <c r="T557" i="210"/>
  <c r="O557" i="210" s="1"/>
  <c r="T573" i="210"/>
  <c r="T581" i="210"/>
  <c r="T589" i="210"/>
  <c r="T597" i="210"/>
  <c r="T605" i="210"/>
  <c r="T613" i="210"/>
  <c r="T629" i="210"/>
  <c r="O629" i="210" s="1"/>
  <c r="T637" i="210"/>
  <c r="O637" i="210" s="1"/>
  <c r="T645" i="210"/>
  <c r="T653" i="210"/>
  <c r="T661" i="210"/>
  <c r="T669" i="210"/>
  <c r="T677" i="210"/>
  <c r="T685" i="210"/>
  <c r="T404" i="210"/>
  <c r="T457" i="210"/>
  <c r="O457" i="210" s="1"/>
  <c r="T532" i="210"/>
  <c r="T548" i="210"/>
  <c r="O548" i="210" s="1"/>
  <c r="T560" i="210"/>
  <c r="T568" i="210"/>
  <c r="T576" i="210"/>
  <c r="T584" i="210"/>
  <c r="T592" i="210"/>
  <c r="T600" i="210"/>
  <c r="O600" i="210" s="1"/>
  <c r="T608" i="210"/>
  <c r="O608" i="210" s="1"/>
  <c r="T616" i="210"/>
  <c r="T632" i="210"/>
  <c r="T640" i="210"/>
  <c r="T648" i="210"/>
  <c r="T656" i="210"/>
  <c r="T364" i="210"/>
  <c r="T497" i="210"/>
  <c r="T521" i="210"/>
  <c r="T536" i="210"/>
  <c r="O536" i="210" s="1"/>
  <c r="T537" i="210"/>
  <c r="T552" i="210"/>
  <c r="T555" i="210"/>
  <c r="T571" i="210"/>
  <c r="T579" i="210"/>
  <c r="T587" i="210"/>
  <c r="O587" i="210" s="1"/>
  <c r="T595" i="210"/>
  <c r="O595" i="210" s="1"/>
  <c r="T603" i="210"/>
  <c r="O603" i="210" s="1"/>
  <c r="T611" i="210"/>
  <c r="T619" i="210"/>
  <c r="T627" i="210"/>
  <c r="T635" i="210"/>
  <c r="T643" i="210"/>
  <c r="T651" i="210"/>
  <c r="O651" i="210" s="1"/>
  <c r="T659" i="210"/>
  <c r="T667" i="210"/>
  <c r="T675" i="210"/>
  <c r="T253" i="210"/>
  <c r="T422" i="210"/>
  <c r="T449" i="210"/>
  <c r="T473" i="210"/>
  <c r="T558" i="210"/>
  <c r="O558" i="210" s="1"/>
  <c r="T574" i="210"/>
  <c r="T582" i="210"/>
  <c r="T590" i="210"/>
  <c r="O590" i="210" s="1"/>
  <c r="T598" i="210"/>
  <c r="O598" i="210" s="1"/>
  <c r="T606" i="210"/>
  <c r="T614" i="210"/>
  <c r="T630" i="210"/>
  <c r="T638" i="210"/>
  <c r="O638" i="210" s="1"/>
  <c r="T646" i="210"/>
  <c r="T654" i="210"/>
  <c r="T662" i="210"/>
  <c r="O662" i="210" s="1"/>
  <c r="T553" i="210"/>
  <c r="T601" i="210"/>
  <c r="T633" i="210"/>
  <c r="T670" i="210"/>
  <c r="O670" i="210" s="1"/>
  <c r="T683" i="210"/>
  <c r="T688" i="210"/>
  <c r="T692" i="210"/>
  <c r="T706" i="210"/>
  <c r="T714" i="210"/>
  <c r="O714" i="210" s="1"/>
  <c r="T722" i="210"/>
  <c r="O722" i="210" s="1"/>
  <c r="T730" i="210"/>
  <c r="T577" i="210"/>
  <c r="T668" i="210"/>
  <c r="T701" i="210"/>
  <c r="T709" i="210"/>
  <c r="T717" i="210"/>
  <c r="T725" i="210"/>
  <c r="T733" i="210"/>
  <c r="T749" i="210"/>
  <c r="O749" i="210" s="1"/>
  <c r="T757" i="210"/>
  <c r="T765" i="210"/>
  <c r="T380" i="210"/>
  <c r="O380" i="210" s="1"/>
  <c r="T617" i="210"/>
  <c r="T649" i="210"/>
  <c r="T672" i="210"/>
  <c r="O672" i="210" s="1"/>
  <c r="T680" i="210"/>
  <c r="O680" i="210" s="1"/>
  <c r="T684" i="210"/>
  <c r="T704" i="210"/>
  <c r="T712" i="210"/>
  <c r="T720" i="210"/>
  <c r="T728" i="210"/>
  <c r="T736" i="210"/>
  <c r="O736" i="210" s="1"/>
  <c r="T752" i="210"/>
  <c r="O752" i="210" s="1"/>
  <c r="T760" i="210"/>
  <c r="T768" i="210"/>
  <c r="T569" i="210"/>
  <c r="T593" i="210"/>
  <c r="O593" i="210" s="1"/>
  <c r="T673" i="210"/>
  <c r="T689" i="210"/>
  <c r="T699" i="210"/>
  <c r="T707" i="210"/>
  <c r="O707" i="210" s="1"/>
  <c r="T715" i="210"/>
  <c r="T723" i="210"/>
  <c r="T731" i="210"/>
  <c r="T690" i="210"/>
  <c r="T702" i="210"/>
  <c r="T710" i="210"/>
  <c r="O710" i="210" s="1"/>
  <c r="T718" i="210"/>
  <c r="O718" i="210" s="1"/>
  <c r="T726" i="210"/>
  <c r="T734" i="210"/>
  <c r="T750" i="210"/>
  <c r="T758" i="210"/>
  <c r="O758" i="210" s="1"/>
  <c r="T766" i="210"/>
  <c r="T609" i="210"/>
  <c r="T641" i="210"/>
  <c r="T676" i="210"/>
  <c r="O676" i="210" s="1"/>
  <c r="T681" i="210"/>
  <c r="O681" i="210" s="1"/>
  <c r="T686" i="210"/>
  <c r="T705" i="210"/>
  <c r="T713" i="210"/>
  <c r="T721" i="210"/>
  <c r="T729" i="210"/>
  <c r="T737" i="210"/>
  <c r="T753" i="210"/>
  <c r="O753" i="210" s="1"/>
  <c r="T761" i="210"/>
  <c r="O761" i="210" s="1"/>
  <c r="T769" i="210"/>
  <c r="T585" i="210"/>
  <c r="O585" i="210" s="1"/>
  <c r="T664" i="210"/>
  <c r="T682" i="210"/>
  <c r="T691" i="210"/>
  <c r="T700" i="210"/>
  <c r="T708" i="210"/>
  <c r="T716" i="210"/>
  <c r="T724" i="210"/>
  <c r="O724" i="210" s="1"/>
  <c r="T732" i="210"/>
  <c r="O732" i="210" s="1"/>
  <c r="T740" i="210"/>
  <c r="T748" i="210"/>
  <c r="T756" i="210"/>
  <c r="T764" i="210"/>
  <c r="T780" i="210"/>
  <c r="T539" i="210"/>
  <c r="T657" i="210"/>
  <c r="O657" i="210" s="1"/>
  <c r="T660" i="210"/>
  <c r="T665" i="210"/>
  <c r="T678" i="210"/>
  <c r="T703" i="210"/>
  <c r="O703" i="210" s="1"/>
  <c r="T711" i="210"/>
  <c r="O711" i="210" s="1"/>
  <c r="T719" i="210"/>
  <c r="T727" i="210"/>
  <c r="T735" i="210"/>
  <c r="T751" i="210"/>
  <c r="T759" i="210"/>
  <c r="T767" i="210"/>
  <c r="O767" i="210" s="1"/>
  <c r="T747" i="210"/>
  <c r="T770" i="210"/>
  <c r="T786" i="210"/>
  <c r="T794" i="210"/>
  <c r="T802" i="210"/>
  <c r="T810" i="210"/>
  <c r="T818" i="210"/>
  <c r="T826" i="210"/>
  <c r="O826" i="210" s="1"/>
  <c r="T834" i="210"/>
  <c r="O834" i="210" s="1"/>
  <c r="T850" i="210"/>
  <c r="T858" i="210"/>
  <c r="T866" i="210"/>
  <c r="T874" i="210"/>
  <c r="T882" i="210"/>
  <c r="T898" i="210"/>
  <c r="T906" i="210"/>
  <c r="O906" i="210" s="1"/>
  <c r="T778" i="210"/>
  <c r="T779" i="210"/>
  <c r="T781" i="210"/>
  <c r="O781" i="210" s="1"/>
  <c r="T789" i="210"/>
  <c r="O789" i="210" s="1"/>
  <c r="T797" i="210"/>
  <c r="T805" i="210"/>
  <c r="T813" i="210"/>
  <c r="T821" i="210"/>
  <c r="O821" i="210" s="1"/>
  <c r="T829" i="210"/>
  <c r="T837" i="210"/>
  <c r="T845" i="210"/>
  <c r="O845" i="210" s="1"/>
  <c r="T853" i="210"/>
  <c r="O853" i="210" s="1"/>
  <c r="T861" i="210"/>
  <c r="T869" i="210"/>
  <c r="T877" i="210"/>
  <c r="T885" i="210"/>
  <c r="T901" i="210"/>
  <c r="T909" i="210"/>
  <c r="T917" i="210"/>
  <c r="T925" i="210"/>
  <c r="T933" i="210"/>
  <c r="T739" i="210"/>
  <c r="T784" i="210"/>
  <c r="O784" i="210" s="1"/>
  <c r="T792" i="210"/>
  <c r="T800" i="210"/>
  <c r="T808" i="210"/>
  <c r="T816" i="210"/>
  <c r="T824" i="210"/>
  <c r="T832" i="210"/>
  <c r="T848" i="210"/>
  <c r="O848" i="210" s="1"/>
  <c r="T856" i="210"/>
  <c r="O856" i="210" s="1"/>
  <c r="T864" i="210"/>
  <c r="T872" i="210"/>
  <c r="T880" i="210"/>
  <c r="T888" i="210"/>
  <c r="T896" i="210"/>
  <c r="T904" i="210"/>
  <c r="T912" i="210"/>
  <c r="O912" i="210" s="1"/>
  <c r="T928" i="210"/>
  <c r="O928" i="210" s="1"/>
  <c r="T936" i="210"/>
  <c r="T738" i="210"/>
  <c r="T755" i="210"/>
  <c r="T787" i="210"/>
  <c r="T795" i="210"/>
  <c r="T803" i="210"/>
  <c r="T811" i="210"/>
  <c r="T819" i="210"/>
  <c r="T827" i="210"/>
  <c r="O827" i="210" s="1"/>
  <c r="T835" i="210"/>
  <c r="O835" i="210" s="1"/>
  <c r="T851" i="210"/>
  <c r="O851" i="210" s="1"/>
  <c r="T859" i="210"/>
  <c r="T867" i="210"/>
  <c r="T875" i="210"/>
  <c r="T883" i="210"/>
  <c r="T899" i="210"/>
  <c r="T754" i="210"/>
  <c r="T782" i="210"/>
  <c r="T790" i="210"/>
  <c r="T798" i="210"/>
  <c r="T806" i="210"/>
  <c r="T814" i="210"/>
  <c r="O814" i="210" s="1"/>
  <c r="T822" i="210"/>
  <c r="O822" i="210" s="1"/>
  <c r="T830" i="210"/>
  <c r="T838" i="210"/>
  <c r="T846" i="210"/>
  <c r="T854" i="210"/>
  <c r="T862" i="210"/>
  <c r="T870" i="210"/>
  <c r="T878" i="210"/>
  <c r="O878" i="210" s="1"/>
  <c r="T886" i="210"/>
  <c r="O886" i="210" s="1"/>
  <c r="T902" i="210"/>
  <c r="T910" i="210"/>
  <c r="T926" i="210"/>
  <c r="T934" i="210"/>
  <c r="T763" i="210"/>
  <c r="O763" i="210" s="1"/>
  <c r="T785" i="210"/>
  <c r="T793" i="210"/>
  <c r="T801" i="210"/>
  <c r="T809" i="210"/>
  <c r="T817" i="210"/>
  <c r="T825" i="210"/>
  <c r="O825" i="210" s="1"/>
  <c r="T833" i="210"/>
  <c r="O833" i="210" s="1"/>
  <c r="T849" i="210"/>
  <c r="T857" i="210"/>
  <c r="T865" i="210"/>
  <c r="T873" i="210"/>
  <c r="T881" i="210"/>
  <c r="T889" i="210"/>
  <c r="O889" i="210" s="1"/>
  <c r="T897" i="210"/>
  <c r="O897" i="210" s="1"/>
  <c r="T905" i="210"/>
  <c r="O905" i="210" s="1"/>
  <c r="T913" i="210"/>
  <c r="T762" i="210"/>
  <c r="T788" i="210"/>
  <c r="T796" i="210"/>
  <c r="T804" i="210"/>
  <c r="T812" i="210"/>
  <c r="O812" i="210" s="1"/>
  <c r="T820" i="210"/>
  <c r="O820" i="210" s="1"/>
  <c r="T828" i="210"/>
  <c r="O828" i="210" s="1"/>
  <c r="T836" i="210"/>
  <c r="T852" i="210"/>
  <c r="T860" i="210"/>
  <c r="T868" i="210"/>
  <c r="T876" i="210"/>
  <c r="T884" i="210"/>
  <c r="T900" i="210"/>
  <c r="O900" i="210" s="1"/>
  <c r="T908" i="210"/>
  <c r="O908" i="210" s="1"/>
  <c r="T771" i="210"/>
  <c r="O771" i="210" s="1"/>
  <c r="T783" i="210"/>
  <c r="T791" i="210"/>
  <c r="T799" i="210"/>
  <c r="T807" i="210"/>
  <c r="T815" i="210"/>
  <c r="O815" i="210" s="1"/>
  <c r="T823" i="210"/>
  <c r="O823" i="210" s="1"/>
  <c r="T831" i="210"/>
  <c r="O831" i="210" s="1"/>
  <c r="T847" i="210"/>
  <c r="T855" i="210"/>
  <c r="T863" i="210"/>
  <c r="T871" i="210"/>
  <c r="T879" i="210"/>
  <c r="T887" i="210"/>
  <c r="O887" i="210" s="1"/>
  <c r="T903" i="210"/>
  <c r="O903" i="210" s="1"/>
  <c r="T911" i="210"/>
  <c r="T927" i="210"/>
  <c r="T935" i="210"/>
  <c r="T930" i="210"/>
  <c r="T931" i="210"/>
  <c r="O931" i="210" s="1"/>
  <c r="T940" i="210"/>
  <c r="O940" i="210" s="1"/>
  <c r="T948" i="210"/>
  <c r="O948" i="210" s="1"/>
  <c r="T956" i="210"/>
  <c r="T964" i="210"/>
  <c r="T972" i="210"/>
  <c r="T980" i="210"/>
  <c r="T988" i="210"/>
  <c r="T996" i="210"/>
  <c r="T1004" i="210"/>
  <c r="O1004" i="210" s="1"/>
  <c r="T1012" i="210"/>
  <c r="O1012" i="210" s="1"/>
  <c r="T1020" i="210"/>
  <c r="T1036" i="210"/>
  <c r="T1044" i="210"/>
  <c r="T1060" i="210"/>
  <c r="T1068" i="210"/>
  <c r="T1076" i="210"/>
  <c r="T1084" i="210"/>
  <c r="O1084" i="210" s="1"/>
  <c r="T1092" i="210"/>
  <c r="O1092" i="210" s="1"/>
  <c r="T1100" i="210"/>
  <c r="T1116" i="210"/>
  <c r="T1124" i="210"/>
  <c r="T1132" i="210"/>
  <c r="T916" i="210"/>
  <c r="T932" i="210"/>
  <c r="T943" i="210"/>
  <c r="T951" i="210"/>
  <c r="O951" i="210" s="1"/>
  <c r="T959" i="210"/>
  <c r="T967" i="210"/>
  <c r="T975" i="210"/>
  <c r="O975" i="210" s="1"/>
  <c r="T983" i="210"/>
  <c r="O983" i="210" s="1"/>
  <c r="T991" i="210"/>
  <c r="T999" i="210"/>
  <c r="T1007" i="210"/>
  <c r="T1015" i="210"/>
  <c r="T1023" i="210"/>
  <c r="T1031" i="210"/>
  <c r="T1039" i="210"/>
  <c r="O1039" i="210" s="1"/>
  <c r="T1047" i="210"/>
  <c r="O1047" i="210" s="1"/>
  <c r="T1055" i="210"/>
  <c r="T1063" i="210"/>
  <c r="T1071" i="210"/>
  <c r="T1079" i="210"/>
  <c r="O1079" i="210" s="1"/>
  <c r="T1087" i="210"/>
  <c r="T1095" i="210"/>
  <c r="T1103" i="210"/>
  <c r="O1103" i="210" s="1"/>
  <c r="T1119" i="210"/>
  <c r="O1119" i="210" s="1"/>
  <c r="T1127" i="210"/>
  <c r="T1135" i="210"/>
  <c r="T1143" i="210"/>
  <c r="T1151" i="210"/>
  <c r="O1151" i="210" s="1"/>
  <c r="T1159" i="210"/>
  <c r="T1167" i="210"/>
  <c r="T1183" i="210"/>
  <c r="O1183" i="210" s="1"/>
  <c r="T914" i="210"/>
  <c r="O914" i="210" s="1"/>
  <c r="T915" i="210"/>
  <c r="O915" i="210" s="1"/>
  <c r="T938" i="210"/>
  <c r="T946" i="210"/>
  <c r="O946" i="210" s="1"/>
  <c r="T954" i="210"/>
  <c r="O954" i="210" s="1"/>
  <c r="T962" i="210"/>
  <c r="T970" i="210"/>
  <c r="T978" i="210"/>
  <c r="T986" i="210"/>
  <c r="T994" i="210"/>
  <c r="T1002" i="210"/>
  <c r="T1010" i="210"/>
  <c r="O1010" i="210" s="1"/>
  <c r="T1018" i="210"/>
  <c r="O1018" i="210" s="1"/>
  <c r="T1034" i="210"/>
  <c r="T1042" i="210"/>
  <c r="T1058" i="210"/>
  <c r="T1066" i="210"/>
  <c r="T1074" i="210"/>
  <c r="T1082" i="210"/>
  <c r="T1090" i="210"/>
  <c r="O1090" i="210" s="1"/>
  <c r="T1098" i="210"/>
  <c r="O1098" i="210" s="1"/>
  <c r="T1106" i="210"/>
  <c r="T1114" i="210"/>
  <c r="T1122" i="210"/>
  <c r="T1130" i="210"/>
  <c r="T1138" i="210"/>
  <c r="T941" i="210"/>
  <c r="T949" i="210"/>
  <c r="O949" i="210" s="1"/>
  <c r="T957" i="210"/>
  <c r="O957" i="210" s="1"/>
  <c r="T965" i="210"/>
  <c r="T973" i="210"/>
  <c r="T981" i="210"/>
  <c r="T989" i="210"/>
  <c r="T997" i="210"/>
  <c r="T1005" i="210"/>
  <c r="T1013" i="210"/>
  <c r="O1013" i="210" s="1"/>
  <c r="T1021" i="210"/>
  <c r="O1021" i="210" s="1"/>
  <c r="T1037" i="210"/>
  <c r="T1045" i="210"/>
  <c r="T1061" i="210"/>
  <c r="T1069" i="210"/>
  <c r="T1077" i="210"/>
  <c r="T1085" i="210"/>
  <c r="T1093" i="210"/>
  <c r="O1093" i="210" s="1"/>
  <c r="T1101" i="210"/>
  <c r="O1101" i="210" s="1"/>
  <c r="T1117" i="210"/>
  <c r="T1125" i="210"/>
  <c r="T1133" i="210"/>
  <c r="T907" i="210"/>
  <c r="T944" i="210"/>
  <c r="T952" i="210"/>
  <c r="T960" i="210"/>
  <c r="O960" i="210" s="1"/>
  <c r="T968" i="210"/>
  <c r="O968" i="210" s="1"/>
  <c r="T976" i="210"/>
  <c r="T984" i="210"/>
  <c r="T992" i="210"/>
  <c r="T1000" i="210"/>
  <c r="T1008" i="210"/>
  <c r="T1016" i="210"/>
  <c r="T1024" i="210"/>
  <c r="O1024" i="210" s="1"/>
  <c r="T1032" i="210"/>
  <c r="O1032" i="210" s="1"/>
  <c r="T1040" i="210"/>
  <c r="T1056" i="210"/>
  <c r="T1064" i="210"/>
  <c r="T1072" i="210"/>
  <c r="T1080" i="210"/>
  <c r="T1088" i="210"/>
  <c r="T1096" i="210"/>
  <c r="O1096" i="210" s="1"/>
  <c r="T1104" i="210"/>
  <c r="O1104" i="210" s="1"/>
  <c r="T1120" i="210"/>
  <c r="T1128" i="210"/>
  <c r="T1136" i="210"/>
  <c r="T1144" i="210"/>
  <c r="T1152" i="210"/>
  <c r="T1160" i="210"/>
  <c r="T1168" i="210"/>
  <c r="T924" i="210"/>
  <c r="O924" i="210" s="1"/>
  <c r="T939" i="210"/>
  <c r="T947" i="210"/>
  <c r="O947" i="210" s="1"/>
  <c r="T955" i="210"/>
  <c r="O955" i="210" s="1"/>
  <c r="T963" i="210"/>
  <c r="T971" i="210"/>
  <c r="T979" i="210"/>
  <c r="T987" i="210"/>
  <c r="T995" i="210"/>
  <c r="O995" i="210" s="1"/>
  <c r="T1003" i="210"/>
  <c r="T1011" i="210"/>
  <c r="O1011" i="210" s="1"/>
  <c r="T1019" i="210"/>
  <c r="O1019" i="210" s="1"/>
  <c r="T1035" i="210"/>
  <c r="T1043" i="210"/>
  <c r="T1059" i="210"/>
  <c r="T1067" i="210"/>
  <c r="T1075" i="210"/>
  <c r="T1083" i="210"/>
  <c r="T1091" i="210"/>
  <c r="O1091" i="210" s="1"/>
  <c r="T1099" i="210"/>
  <c r="O1099" i="210" s="1"/>
  <c r="T1115" i="210"/>
  <c r="T1123" i="210"/>
  <c r="T1131" i="210"/>
  <c r="T1139" i="210"/>
  <c r="T1147" i="210"/>
  <c r="O1147" i="210" s="1"/>
  <c r="T1155" i="210"/>
  <c r="T1163" i="210"/>
  <c r="O1163" i="210" s="1"/>
  <c r="T1171" i="210"/>
  <c r="O1171" i="210" s="1"/>
  <c r="T929" i="210"/>
  <c r="T937" i="210"/>
  <c r="T945" i="210"/>
  <c r="O945" i="210" s="1"/>
  <c r="T953" i="210"/>
  <c r="T961" i="210"/>
  <c r="O961" i="210" s="1"/>
  <c r="T969" i="210"/>
  <c r="T977" i="210"/>
  <c r="T985" i="210"/>
  <c r="T993" i="210"/>
  <c r="O993" i="210" s="1"/>
  <c r="T1001" i="210"/>
  <c r="T1009" i="210"/>
  <c r="O1009" i="210" s="1"/>
  <c r="T1017" i="210"/>
  <c r="T1033" i="210"/>
  <c r="O1033" i="210" s="1"/>
  <c r="T1041" i="210"/>
  <c r="T1057" i="210"/>
  <c r="O1057" i="210" s="1"/>
  <c r="T1065" i="210"/>
  <c r="T1073" i="210"/>
  <c r="T1081" i="210"/>
  <c r="T1089" i="210"/>
  <c r="O1089" i="210" s="1"/>
  <c r="T1097" i="210"/>
  <c r="T1105" i="210"/>
  <c r="O1105" i="210" s="1"/>
  <c r="T1113" i="210"/>
  <c r="T1121" i="210"/>
  <c r="T1129" i="210"/>
  <c r="O1129" i="210" s="1"/>
  <c r="T1137" i="210"/>
  <c r="T1145" i="210"/>
  <c r="T1153" i="210"/>
  <c r="T1161" i="210"/>
  <c r="T1169" i="210"/>
  <c r="O1169" i="210" s="1"/>
  <c r="T942" i="210"/>
  <c r="T1006" i="210"/>
  <c r="T1094" i="210"/>
  <c r="T1134" i="210"/>
  <c r="T1140" i="210"/>
  <c r="T1141" i="210"/>
  <c r="T1146" i="210"/>
  <c r="T1162" i="210"/>
  <c r="O1162" i="210" s="1"/>
  <c r="T1184" i="210"/>
  <c r="T1192" i="210"/>
  <c r="T1200" i="210"/>
  <c r="T1208" i="210"/>
  <c r="O1208" i="210" s="1"/>
  <c r="T1224" i="210"/>
  <c r="O1224" i="210" s="1"/>
  <c r="T1232" i="210"/>
  <c r="T1240" i="210"/>
  <c r="T1248" i="210"/>
  <c r="T1264" i="210"/>
  <c r="T1272" i="210"/>
  <c r="T1280" i="210"/>
  <c r="T1296" i="210"/>
  <c r="O1296" i="210" s="1"/>
  <c r="T1304" i="210"/>
  <c r="O1304" i="210" s="1"/>
  <c r="T1312" i="210"/>
  <c r="T1320" i="210"/>
  <c r="T1328" i="210"/>
  <c r="O1328" i="210" s="1"/>
  <c r="T1336" i="210"/>
  <c r="T1344" i="210"/>
  <c r="T1352" i="210"/>
  <c r="T1360" i="210"/>
  <c r="O1360" i="210" s="1"/>
  <c r="T1376" i="210"/>
  <c r="O1376" i="210" s="1"/>
  <c r="T1384" i="210"/>
  <c r="T1392" i="210"/>
  <c r="T982" i="210"/>
  <c r="O982" i="210" s="1"/>
  <c r="T1046" i="210"/>
  <c r="O1046" i="210" s="1"/>
  <c r="T1070" i="210"/>
  <c r="T1148" i="210"/>
  <c r="T1164" i="210"/>
  <c r="O1164" i="210" s="1"/>
  <c r="T1187" i="210"/>
  <c r="O1187" i="210" s="1"/>
  <c r="T1195" i="210"/>
  <c r="O1195" i="210" s="1"/>
  <c r="T1203" i="210"/>
  <c r="T1211" i="210"/>
  <c r="T1227" i="210"/>
  <c r="T1235" i="210"/>
  <c r="T1243" i="210"/>
  <c r="T1251" i="210"/>
  <c r="T1259" i="210"/>
  <c r="O1259" i="210" s="1"/>
  <c r="T1267" i="210"/>
  <c r="O1267" i="210" s="1"/>
  <c r="T1275" i="210"/>
  <c r="T1283" i="210"/>
  <c r="T1299" i="210"/>
  <c r="T1307" i="210"/>
  <c r="T1315" i="210"/>
  <c r="T1323" i="210"/>
  <c r="T1339" i="210"/>
  <c r="O1339" i="210" s="1"/>
  <c r="T1347" i="210"/>
  <c r="O1347" i="210" s="1"/>
  <c r="T1355" i="210"/>
  <c r="T1363" i="210"/>
  <c r="T1379" i="210"/>
  <c r="T1387" i="210"/>
  <c r="T958" i="210"/>
  <c r="T1022" i="210"/>
  <c r="T1150" i="210"/>
  <c r="T1166" i="210"/>
  <c r="T1190" i="210"/>
  <c r="T1198" i="210"/>
  <c r="T1206" i="210"/>
  <c r="T1214" i="210"/>
  <c r="T1222" i="210"/>
  <c r="T1230" i="210"/>
  <c r="T1238" i="210"/>
  <c r="O1238" i="210" s="1"/>
  <c r="T1246" i="210"/>
  <c r="O1246" i="210" s="1"/>
  <c r="T1262" i="210"/>
  <c r="T1270" i="210"/>
  <c r="T1278" i="210"/>
  <c r="T1294" i="210"/>
  <c r="T1302" i="210"/>
  <c r="T1310" i="210"/>
  <c r="T1318" i="210"/>
  <c r="O1318" i="210" s="1"/>
  <c r="T1326" i="210"/>
  <c r="O1326" i="210" s="1"/>
  <c r="T1342" i="210"/>
  <c r="T1350" i="210"/>
  <c r="T1358" i="210"/>
  <c r="T1366" i="210"/>
  <c r="T1374" i="210"/>
  <c r="T1382" i="210"/>
  <c r="T1390" i="210"/>
  <c r="O1390" i="210" s="1"/>
  <c r="T998" i="210"/>
  <c r="T1086" i="210"/>
  <c r="T1126" i="210"/>
  <c r="O1126" i="210" s="1"/>
  <c r="T1149" i="210"/>
  <c r="T1165" i="210"/>
  <c r="T1185" i="210"/>
  <c r="O1185" i="210" s="1"/>
  <c r="T1193" i="210"/>
  <c r="O1193" i="210" s="1"/>
  <c r="T1201" i="210"/>
  <c r="T1209" i="210"/>
  <c r="T1225" i="210"/>
  <c r="T1233" i="210"/>
  <c r="T1241" i="210"/>
  <c r="T1249" i="210"/>
  <c r="T1265" i="210"/>
  <c r="O1265" i="210" s="1"/>
  <c r="T1273" i="210"/>
  <c r="O1273" i="210" s="1"/>
  <c r="T1281" i="210"/>
  <c r="T1297" i="210"/>
  <c r="T1305" i="210"/>
  <c r="T1313" i="210"/>
  <c r="O1313" i="210" s="1"/>
  <c r="T1321" i="210"/>
  <c r="T1329" i="210"/>
  <c r="T1337" i="210"/>
  <c r="O1337" i="210" s="1"/>
  <c r="T1345" i="210"/>
  <c r="O1345" i="210" s="1"/>
  <c r="T1353" i="210"/>
  <c r="T974" i="210"/>
  <c r="O974" i="210" s="1"/>
  <c r="T1038" i="210"/>
  <c r="T1062" i="210"/>
  <c r="T1154" i="210"/>
  <c r="O1154" i="210" s="1"/>
  <c r="T1170" i="210"/>
  <c r="T1181" i="210"/>
  <c r="T1188" i="210"/>
  <c r="T1196" i="210"/>
  <c r="T1204" i="210"/>
  <c r="T1212" i="210"/>
  <c r="O1212" i="210" s="1"/>
  <c r="T1228" i="210"/>
  <c r="O1228" i="210" s="1"/>
  <c r="T1236" i="210"/>
  <c r="T1244" i="210"/>
  <c r="T1260" i="210"/>
  <c r="T1268" i="210"/>
  <c r="T1276" i="210"/>
  <c r="T1284" i="210"/>
  <c r="T1292" i="210"/>
  <c r="T1300" i="210"/>
  <c r="O1300" i="210" s="1"/>
  <c r="T1308" i="210"/>
  <c r="T1316" i="210"/>
  <c r="T1324" i="210"/>
  <c r="T1340" i="210"/>
  <c r="T1348" i="210"/>
  <c r="T1356" i="210"/>
  <c r="T1364" i="210"/>
  <c r="T1380" i="210"/>
  <c r="O1380" i="210" s="1"/>
  <c r="T1388" i="210"/>
  <c r="T950" i="210"/>
  <c r="T1014" i="210"/>
  <c r="T1102" i="210"/>
  <c r="T1118" i="210"/>
  <c r="O1118" i="210" s="1"/>
  <c r="T1156" i="210"/>
  <c r="O1156" i="210" s="1"/>
  <c r="T1172" i="210"/>
  <c r="T1182" i="210"/>
  <c r="O1182" i="210" s="1"/>
  <c r="T1191" i="210"/>
  <c r="T1199" i="210"/>
  <c r="O1199" i="210" s="1"/>
  <c r="T1207" i="210"/>
  <c r="O1207" i="210" s="1"/>
  <c r="T1223" i="210"/>
  <c r="T1231" i="210"/>
  <c r="T1239" i="210"/>
  <c r="T1247" i="210"/>
  <c r="T1263" i="210"/>
  <c r="T1271" i="210"/>
  <c r="T1279" i="210"/>
  <c r="O1279" i="210" s="1"/>
  <c r="T1295" i="210"/>
  <c r="O1295" i="210" s="1"/>
  <c r="T1303" i="210"/>
  <c r="T1311" i="210"/>
  <c r="T1319" i="210"/>
  <c r="T1327" i="210"/>
  <c r="T1343" i="210"/>
  <c r="O1343" i="210" s="1"/>
  <c r="T1351" i="210"/>
  <c r="T1359" i="210"/>
  <c r="O1359" i="210" s="1"/>
  <c r="T1375" i="210"/>
  <c r="O1375" i="210" s="1"/>
  <c r="T1383" i="210"/>
  <c r="T1391" i="210"/>
  <c r="T990" i="210"/>
  <c r="T1054" i="210"/>
  <c r="T1078" i="210"/>
  <c r="T1158" i="210"/>
  <c r="T1174" i="210"/>
  <c r="T1186" i="210"/>
  <c r="T1194" i="210"/>
  <c r="O1194" i="210" s="1"/>
  <c r="T1202" i="210"/>
  <c r="O1202" i="210" s="1"/>
  <c r="T1210" i="210"/>
  <c r="T1226" i="210"/>
  <c r="T1234" i="210"/>
  <c r="T1242" i="210"/>
  <c r="T1250" i="210"/>
  <c r="T1258" i="210"/>
  <c r="T1266" i="210"/>
  <c r="O1266" i="210" s="1"/>
  <c r="T1274" i="210"/>
  <c r="O1274" i="210" s="1"/>
  <c r="T1282" i="210"/>
  <c r="T1298" i="210"/>
  <c r="T1306" i="210"/>
  <c r="T1314" i="210"/>
  <c r="T1322" i="210"/>
  <c r="T1338" i="210"/>
  <c r="T1346" i="210"/>
  <c r="O1346" i="210" s="1"/>
  <c r="T1354" i="210"/>
  <c r="O1354" i="210" s="1"/>
  <c r="T966" i="210"/>
  <c r="T1142" i="210"/>
  <c r="T1157" i="210"/>
  <c r="T1173" i="210"/>
  <c r="O1173" i="210" s="1"/>
  <c r="T1189" i="210"/>
  <c r="T1197" i="210"/>
  <c r="T1205" i="210"/>
  <c r="T1213" i="210"/>
  <c r="T1221" i="210"/>
  <c r="T1229" i="210"/>
  <c r="T1237" i="210"/>
  <c r="O1237" i="210" s="1"/>
  <c r="T1245" i="210"/>
  <c r="O1245" i="210" s="1"/>
  <c r="T1261" i="210"/>
  <c r="T1269" i="210"/>
  <c r="T1277" i="210"/>
  <c r="T1285" i="210"/>
  <c r="T1293" i="210"/>
  <c r="T1301" i="210"/>
  <c r="T1309" i="210"/>
  <c r="O1309" i="210" s="1"/>
  <c r="T1317" i="210"/>
  <c r="O1317" i="210" s="1"/>
  <c r="T1325" i="210"/>
  <c r="T1341" i="210"/>
  <c r="T1349" i="210"/>
  <c r="T1357" i="210"/>
  <c r="T1365" i="210"/>
  <c r="T1373" i="210"/>
  <c r="T1381" i="210"/>
  <c r="O1381" i="210" s="1"/>
  <c r="T1389" i="210"/>
  <c r="T1395" i="210"/>
  <c r="T1403" i="210"/>
  <c r="T1411" i="210"/>
  <c r="T1427" i="210"/>
  <c r="T1435" i="210"/>
  <c r="O1435" i="210" s="1"/>
  <c r="T1443" i="210"/>
  <c r="T1459" i="210"/>
  <c r="O1459" i="210" s="1"/>
  <c r="T1467" i="210"/>
  <c r="T1483" i="210"/>
  <c r="T1491" i="210"/>
  <c r="T1499" i="210"/>
  <c r="T1507" i="210"/>
  <c r="O1507" i="210" s="1"/>
  <c r="T1515" i="210"/>
  <c r="O1515" i="210" s="1"/>
  <c r="T1523" i="210"/>
  <c r="T1531" i="210"/>
  <c r="T1539" i="210"/>
  <c r="T1555" i="210"/>
  <c r="O1555" i="210" s="1"/>
  <c r="T1563" i="210"/>
  <c r="T1571" i="210"/>
  <c r="T1579" i="210"/>
  <c r="O1579" i="210" s="1"/>
  <c r="T1587" i="210"/>
  <c r="T1595" i="210"/>
  <c r="T1611" i="210"/>
  <c r="T1619" i="210"/>
  <c r="T1635" i="210"/>
  <c r="T1643" i="210"/>
  <c r="T1651" i="210"/>
  <c r="T1386" i="210"/>
  <c r="T1398" i="210"/>
  <c r="T1406" i="210"/>
  <c r="O1406" i="210" s="1"/>
  <c r="T1414" i="210"/>
  <c r="O1414" i="210" s="1"/>
  <c r="T1430" i="210"/>
  <c r="T1438" i="210"/>
  <c r="T1446" i="210"/>
  <c r="T1454" i="210"/>
  <c r="T1462" i="210"/>
  <c r="T1470" i="210"/>
  <c r="T1486" i="210"/>
  <c r="O1486" i="210" s="1"/>
  <c r="T1494" i="210"/>
  <c r="O1494" i="210" s="1"/>
  <c r="T1502" i="210"/>
  <c r="T1510" i="210"/>
  <c r="T1518" i="210"/>
  <c r="T1526" i="210"/>
  <c r="T1534" i="210"/>
  <c r="T1542" i="210"/>
  <c r="T1550" i="210"/>
  <c r="O1550" i="210" s="1"/>
  <c r="T1558" i="210"/>
  <c r="O1558" i="210" s="1"/>
  <c r="T1566" i="210"/>
  <c r="T1574" i="210"/>
  <c r="T1582" i="210"/>
  <c r="T1590" i="210"/>
  <c r="T1598" i="210"/>
  <c r="T1614" i="210"/>
  <c r="T1622" i="210"/>
  <c r="O1622" i="210" s="1"/>
  <c r="T1638" i="210"/>
  <c r="O1638" i="210" s="1"/>
  <c r="T1654" i="210"/>
  <c r="O1654" i="210" s="1"/>
  <c r="T1362" i="210"/>
  <c r="T1385" i="210"/>
  <c r="T1401" i="210"/>
  <c r="T1409" i="210"/>
  <c r="T1417" i="210"/>
  <c r="T1425" i="210"/>
  <c r="T1433" i="210"/>
  <c r="O1433" i="210" s="1"/>
  <c r="T1441" i="210"/>
  <c r="T1457" i="210"/>
  <c r="O1457" i="210" s="1"/>
  <c r="T1465" i="210"/>
  <c r="O1465" i="210" s="1"/>
  <c r="T1481" i="210"/>
  <c r="T1489" i="210"/>
  <c r="T1497" i="210"/>
  <c r="T1505" i="210"/>
  <c r="T1513" i="210"/>
  <c r="T1521" i="210"/>
  <c r="T1529" i="210"/>
  <c r="O1529" i="210" s="1"/>
  <c r="T1537" i="210"/>
  <c r="O1537" i="210" s="1"/>
  <c r="T1553" i="210"/>
  <c r="T1561" i="210"/>
  <c r="T1569" i="210"/>
  <c r="T1577" i="210"/>
  <c r="T1585" i="210"/>
  <c r="O1585" i="210" s="1"/>
  <c r="T1593" i="210"/>
  <c r="T1609" i="210"/>
  <c r="O1609" i="210" s="1"/>
  <c r="T1617" i="210"/>
  <c r="O1617" i="210" s="1"/>
  <c r="T1633" i="210"/>
  <c r="T1641" i="210"/>
  <c r="T1657" i="210"/>
  <c r="T1361" i="210"/>
  <c r="T1396" i="210"/>
  <c r="O1396" i="210" s="1"/>
  <c r="T1404" i="210"/>
  <c r="T1412" i="210"/>
  <c r="T1428" i="210"/>
  <c r="T1436" i="210"/>
  <c r="O1436" i="210" s="1"/>
  <c r="T1444" i="210"/>
  <c r="O1444" i="210" s="1"/>
  <c r="T1460" i="210"/>
  <c r="T1468" i="210"/>
  <c r="T1484" i="210"/>
  <c r="T1492" i="210"/>
  <c r="T1500" i="210"/>
  <c r="T1508" i="210"/>
  <c r="T1516" i="210"/>
  <c r="O1516" i="210" s="1"/>
  <c r="T1524" i="210"/>
  <c r="O1524" i="210" s="1"/>
  <c r="T1532" i="210"/>
  <c r="T1540" i="210"/>
  <c r="T1556" i="210"/>
  <c r="T1564" i="210"/>
  <c r="T1572" i="210"/>
  <c r="T1580" i="210"/>
  <c r="T1588" i="210"/>
  <c r="O1588" i="210" s="1"/>
  <c r="T1596" i="210"/>
  <c r="O1596" i="210" s="1"/>
  <c r="T1612" i="210"/>
  <c r="T1620" i="210"/>
  <c r="T1636" i="210"/>
  <c r="T1644" i="210"/>
  <c r="T1652" i="210"/>
  <c r="T1393" i="210"/>
  <c r="T1399" i="210"/>
  <c r="T1407" i="210"/>
  <c r="O1407" i="210" s="1"/>
  <c r="T1415" i="210"/>
  <c r="O1415" i="210" s="1"/>
  <c r="T1431" i="210"/>
  <c r="T1439" i="210"/>
  <c r="T1447" i="210"/>
  <c r="T1455" i="210"/>
  <c r="T1463" i="210"/>
  <c r="T1471" i="210"/>
  <c r="T1479" i="210"/>
  <c r="O1479" i="210" s="1"/>
  <c r="T1487" i="210"/>
  <c r="O1487" i="210" s="1"/>
  <c r="T1495" i="210"/>
  <c r="T1503" i="210"/>
  <c r="T1511" i="210"/>
  <c r="T1519" i="210"/>
  <c r="T1527" i="210"/>
  <c r="T1535" i="210"/>
  <c r="T1551" i="210"/>
  <c r="O1551" i="210" s="1"/>
  <c r="T1559" i="210"/>
  <c r="O1559" i="210" s="1"/>
  <c r="T1567" i="210"/>
  <c r="T1575" i="210"/>
  <c r="T1583" i="210"/>
  <c r="T1591" i="210"/>
  <c r="T1599" i="210"/>
  <c r="T1607" i="210"/>
  <c r="T1615" i="210"/>
  <c r="O1615" i="210" s="1"/>
  <c r="T1623" i="210"/>
  <c r="O1623" i="210" s="1"/>
  <c r="T1631" i="210"/>
  <c r="T1639" i="210"/>
  <c r="T1394" i="210"/>
  <c r="T1402" i="210"/>
  <c r="T1410" i="210"/>
  <c r="T1418" i="210"/>
  <c r="O1418" i="210" s="1"/>
  <c r="T1426" i="210"/>
  <c r="O1426" i="210" s="1"/>
  <c r="T1434" i="210"/>
  <c r="T1442" i="210"/>
  <c r="T1458" i="210"/>
  <c r="O1458" i="210" s="1"/>
  <c r="T1466" i="210"/>
  <c r="T1482" i="210"/>
  <c r="T1490" i="210"/>
  <c r="T1498" i="210"/>
  <c r="O1498" i="210" s="1"/>
  <c r="T1506" i="210"/>
  <c r="O1506" i="210" s="1"/>
  <c r="T1514" i="210"/>
  <c r="T1522" i="210"/>
  <c r="T1530" i="210"/>
  <c r="T1538" i="210"/>
  <c r="T1554" i="210"/>
  <c r="T1562" i="210"/>
  <c r="T1570" i="210"/>
  <c r="O1570" i="210" s="1"/>
  <c r="T1578" i="210"/>
  <c r="O1578" i="210" s="1"/>
  <c r="T1586" i="210"/>
  <c r="T1397" i="210"/>
  <c r="T1405" i="210"/>
  <c r="T1413" i="210"/>
  <c r="T1429" i="210"/>
  <c r="T1437" i="210"/>
  <c r="T1445" i="210"/>
  <c r="T1461" i="210"/>
  <c r="O1461" i="210" s="1"/>
  <c r="T1469" i="210"/>
  <c r="O1469" i="210" s="1"/>
  <c r="T1485" i="210"/>
  <c r="T1493" i="210"/>
  <c r="T1501" i="210"/>
  <c r="T1509" i="210"/>
  <c r="T1517" i="210"/>
  <c r="T1525" i="210"/>
  <c r="T1533" i="210"/>
  <c r="O1533" i="210" s="1"/>
  <c r="T1541" i="210"/>
  <c r="O1541" i="210" s="1"/>
  <c r="T1549" i="210"/>
  <c r="T1557" i="210"/>
  <c r="T1565" i="210"/>
  <c r="T1573" i="210"/>
  <c r="T1581" i="210"/>
  <c r="T1589" i="210"/>
  <c r="T1597" i="210"/>
  <c r="O1597" i="210" s="1"/>
  <c r="T1613" i="210"/>
  <c r="O1613" i="210" s="1"/>
  <c r="T1621" i="210"/>
  <c r="T1637" i="210"/>
  <c r="O1637" i="210" s="1"/>
  <c r="T1653" i="210"/>
  <c r="T1377" i="210"/>
  <c r="T1378" i="210"/>
  <c r="T1472" i="210"/>
  <c r="T1480" i="210"/>
  <c r="T1504" i="210"/>
  <c r="T1552" i="210"/>
  <c r="T1608" i="210"/>
  <c r="T1632" i="210"/>
  <c r="O1632" i="210" s="1"/>
  <c r="T1658" i="210"/>
  <c r="O1658" i="210" s="1"/>
  <c r="T1666" i="210"/>
  <c r="O1666" i="210" s="1"/>
  <c r="T1674" i="210"/>
  <c r="T1682" i="210"/>
  <c r="T1690" i="210"/>
  <c r="T1698" i="210"/>
  <c r="T1706" i="210"/>
  <c r="O1706" i="210" s="1"/>
  <c r="T1714" i="210"/>
  <c r="T1722" i="210"/>
  <c r="O1722" i="210" s="1"/>
  <c r="T1738" i="210"/>
  <c r="O1738" i="210" s="1"/>
  <c r="T1746" i="210"/>
  <c r="T1754" i="210"/>
  <c r="T1762" i="210"/>
  <c r="T1778" i="210"/>
  <c r="T1786" i="210"/>
  <c r="T1794" i="210"/>
  <c r="T1802" i="210"/>
  <c r="O1802" i="210" s="1"/>
  <c r="T1810" i="210"/>
  <c r="O1810" i="210" s="1"/>
  <c r="T1826" i="210"/>
  <c r="T1834" i="210"/>
  <c r="T1842" i="210"/>
  <c r="T1850" i="210"/>
  <c r="T1416" i="210"/>
  <c r="O1416" i="210" s="1"/>
  <c r="T1618" i="210"/>
  <c r="T1642" i="210"/>
  <c r="T1661" i="210"/>
  <c r="O1661" i="210" s="1"/>
  <c r="T1669" i="210"/>
  <c r="T1677" i="210"/>
  <c r="T1685" i="210"/>
  <c r="T1693" i="210"/>
  <c r="T1701" i="210"/>
  <c r="O1701" i="210" s="1"/>
  <c r="T1709" i="210"/>
  <c r="T1717" i="210"/>
  <c r="O1717" i="210" s="1"/>
  <c r="T1725" i="210"/>
  <c r="O1725" i="210" s="1"/>
  <c r="T1733" i="210"/>
  <c r="T1741" i="210"/>
  <c r="T1749" i="210"/>
  <c r="T1757" i="210"/>
  <c r="T1765" i="210"/>
  <c r="T1781" i="210"/>
  <c r="T1789" i="210"/>
  <c r="O1789" i="210" s="1"/>
  <c r="T1805" i="210"/>
  <c r="O1805" i="210" s="1"/>
  <c r="T1813" i="210"/>
  <c r="T1829" i="210"/>
  <c r="T1837" i="210"/>
  <c r="T1845" i="210"/>
  <c r="T1853" i="210"/>
  <c r="O1853" i="210" s="1"/>
  <c r="T1440" i="210"/>
  <c r="T1520" i="210"/>
  <c r="T1568" i="210"/>
  <c r="O1568" i="210" s="1"/>
  <c r="T1594" i="210"/>
  <c r="T1664" i="210"/>
  <c r="T1672" i="210"/>
  <c r="O1672" i="210" s="1"/>
  <c r="T1680" i="210"/>
  <c r="O1680" i="210" s="1"/>
  <c r="T1688" i="210"/>
  <c r="T1696" i="210"/>
  <c r="T1704" i="210"/>
  <c r="T1712" i="210"/>
  <c r="T1720" i="210"/>
  <c r="T1736" i="210"/>
  <c r="T1744" i="210"/>
  <c r="O1744" i="210" s="1"/>
  <c r="T1752" i="210"/>
  <c r="O1752" i="210" s="1"/>
  <c r="T1760" i="210"/>
  <c r="T1768" i="210"/>
  <c r="T1776" i="210"/>
  <c r="T1784" i="210"/>
  <c r="T1792" i="210"/>
  <c r="T1808" i="210"/>
  <c r="T1816" i="210"/>
  <c r="O1816" i="210" s="1"/>
  <c r="T1824" i="210"/>
  <c r="O1824" i="210" s="1"/>
  <c r="T1832" i="210"/>
  <c r="T1840" i="210"/>
  <c r="T1848" i="210"/>
  <c r="T1464" i="210"/>
  <c r="T1496" i="210"/>
  <c r="O1496" i="210" s="1"/>
  <c r="T1616" i="210"/>
  <c r="T1640" i="210"/>
  <c r="T1655" i="210"/>
  <c r="T1656" i="210"/>
  <c r="T1659" i="210"/>
  <c r="O1659" i="210" s="1"/>
  <c r="T1667" i="210"/>
  <c r="O1667" i="210" s="1"/>
  <c r="T1675" i="210"/>
  <c r="T1683" i="210"/>
  <c r="T1691" i="210"/>
  <c r="T1699" i="210"/>
  <c r="T1707" i="210"/>
  <c r="T1715" i="210"/>
  <c r="O1715" i="210" s="1"/>
  <c r="T1723" i="210"/>
  <c r="O1723" i="210" s="1"/>
  <c r="T1739" i="210"/>
  <c r="O1739" i="210" s="1"/>
  <c r="T1747" i="210"/>
  <c r="T1755" i="210"/>
  <c r="T1763" i="210"/>
  <c r="T1779" i="210"/>
  <c r="T1787" i="210"/>
  <c r="T1795" i="210"/>
  <c r="O1795" i="210" s="1"/>
  <c r="T1803" i="210"/>
  <c r="O1803" i="210" s="1"/>
  <c r="T1811" i="210"/>
  <c r="O1811" i="210" s="1"/>
  <c r="T1827" i="210"/>
  <c r="T1835" i="210"/>
  <c r="T1843" i="210"/>
  <c r="T1851" i="210"/>
  <c r="T1408" i="210"/>
  <c r="O1408" i="210" s="1"/>
  <c r="T1536" i="210"/>
  <c r="O1536" i="210" s="1"/>
  <c r="T1584" i="210"/>
  <c r="T1592" i="210"/>
  <c r="T1662" i="210"/>
  <c r="T1670" i="210"/>
  <c r="T1678" i="210"/>
  <c r="T1686" i="210"/>
  <c r="T1694" i="210"/>
  <c r="T1702" i="210"/>
  <c r="O1702" i="210" s="1"/>
  <c r="T1710" i="210"/>
  <c r="O1710" i="210" s="1"/>
  <c r="T1718" i="210"/>
  <c r="O1718" i="210" s="1"/>
  <c r="T1734" i="210"/>
  <c r="T1742" i="210"/>
  <c r="T1750" i="210"/>
  <c r="T1758" i="210"/>
  <c r="T1766" i="210"/>
  <c r="T1782" i="210"/>
  <c r="O1782" i="210" s="1"/>
  <c r="T1790" i="210"/>
  <c r="O1790" i="210" s="1"/>
  <c r="T1806" i="210"/>
  <c r="O1806" i="210" s="1"/>
  <c r="T1814" i="210"/>
  <c r="T1830" i="210"/>
  <c r="T1838" i="210"/>
  <c r="T1846" i="210"/>
  <c r="T1854" i="210"/>
  <c r="T1432" i="210"/>
  <c r="T1456" i="210"/>
  <c r="T1512" i="210"/>
  <c r="T1560" i="210"/>
  <c r="O1560" i="210" s="1"/>
  <c r="T1624" i="210"/>
  <c r="O1624" i="210" s="1"/>
  <c r="T1665" i="210"/>
  <c r="T1673" i="210"/>
  <c r="T1681" i="210"/>
  <c r="T1689" i="210"/>
  <c r="T1697" i="210"/>
  <c r="T1705" i="210"/>
  <c r="T1713" i="210"/>
  <c r="O1713" i="210" s="1"/>
  <c r="T1721" i="210"/>
  <c r="O1721" i="210" s="1"/>
  <c r="T1737" i="210"/>
  <c r="T1745" i="210"/>
  <c r="T1753" i="210"/>
  <c r="T1761" i="210"/>
  <c r="O1761" i="210" s="1"/>
  <c r="T1769" i="210"/>
  <c r="T1777" i="210"/>
  <c r="T1785" i="210"/>
  <c r="O1785" i="210" s="1"/>
  <c r="T1793" i="210"/>
  <c r="O1793" i="210" s="1"/>
  <c r="T1400" i="210"/>
  <c r="T1528" i="210"/>
  <c r="T1576" i="210"/>
  <c r="T1610" i="210"/>
  <c r="T1634" i="210"/>
  <c r="T1663" i="210"/>
  <c r="O1663" i="210" s="1"/>
  <c r="T1671" i="210"/>
  <c r="T1679" i="210"/>
  <c r="O1679" i="210" s="1"/>
  <c r="T1687" i="210"/>
  <c r="T1695" i="210"/>
  <c r="T1703" i="210"/>
  <c r="T1711" i="210"/>
  <c r="T1719" i="210"/>
  <c r="T1735" i="210"/>
  <c r="T1743" i="210"/>
  <c r="T1751" i="210"/>
  <c r="T1759" i="210"/>
  <c r="T1767" i="210"/>
  <c r="O1767" i="210" s="1"/>
  <c r="T1783" i="210"/>
  <c r="T1791" i="210"/>
  <c r="O1791" i="210" s="1"/>
  <c r="T1807" i="210"/>
  <c r="O1807" i="210" s="1"/>
  <c r="T1815" i="210"/>
  <c r="T1823" i="210"/>
  <c r="T1831" i="210"/>
  <c r="T1839" i="210"/>
  <c r="O1839" i="210" s="1"/>
  <c r="T1847" i="210"/>
  <c r="T1700" i="210"/>
  <c r="O1700" i="210" s="1"/>
  <c r="T1748" i="210"/>
  <c r="T1804" i="210"/>
  <c r="T1859" i="210"/>
  <c r="O1859" i="210" s="1"/>
  <c r="T1867" i="210"/>
  <c r="O1867" i="210" s="1"/>
  <c r="T1875" i="210"/>
  <c r="T1883" i="210"/>
  <c r="T1891" i="210"/>
  <c r="T1907" i="210"/>
  <c r="T1915" i="210"/>
  <c r="O1915" i="210" s="1"/>
  <c r="T1923" i="210"/>
  <c r="T1931" i="210"/>
  <c r="O1931" i="210" s="1"/>
  <c r="T1939" i="210"/>
  <c r="O1939" i="210" s="1"/>
  <c r="T1947" i="210"/>
  <c r="T1955" i="210"/>
  <c r="T1963" i="210"/>
  <c r="T1971" i="210"/>
  <c r="T1979" i="210"/>
  <c r="O1979" i="210" s="1"/>
  <c r="T1987" i="210"/>
  <c r="T1995" i="210"/>
  <c r="O1995" i="210" s="1"/>
  <c r="T2003" i="210"/>
  <c r="O2003" i="210" s="1"/>
  <c r="T2011" i="210"/>
  <c r="T2019" i="210"/>
  <c r="T2027" i="210"/>
  <c r="T2035" i="210"/>
  <c r="T2043" i="210"/>
  <c r="T2051" i="210"/>
  <c r="T2059" i="210"/>
  <c r="O2059" i="210" s="1"/>
  <c r="T2075" i="210"/>
  <c r="O2075" i="210" s="1"/>
  <c r="T1676" i="210"/>
  <c r="T1836" i="210"/>
  <c r="O1836" i="210" s="1"/>
  <c r="T1862" i="210"/>
  <c r="T1870" i="210"/>
  <c r="T1878" i="210"/>
  <c r="O1878" i="210" s="1"/>
  <c r="T1886" i="210"/>
  <c r="T1894" i="210"/>
  <c r="T1902" i="210"/>
  <c r="T1910" i="210"/>
  <c r="O1910" i="210" s="1"/>
  <c r="T1926" i="210"/>
  <c r="T1934" i="210"/>
  <c r="T1942" i="210"/>
  <c r="T1950" i="210"/>
  <c r="O1950" i="210" s="1"/>
  <c r="T1958" i="210"/>
  <c r="T1966" i="210"/>
  <c r="T1974" i="210"/>
  <c r="O1974" i="210" s="1"/>
  <c r="T1982" i="210"/>
  <c r="O1982" i="210" s="1"/>
  <c r="T1990" i="210"/>
  <c r="T1998" i="210"/>
  <c r="T2006" i="210"/>
  <c r="T2014" i="210"/>
  <c r="T1716" i="210"/>
  <c r="T1764" i="210"/>
  <c r="O1764" i="210" s="1"/>
  <c r="T1812" i="210"/>
  <c r="O1812" i="210" s="1"/>
  <c r="T1833" i="210"/>
  <c r="T1857" i="210"/>
  <c r="O1857" i="210" s="1"/>
  <c r="T1865" i="210"/>
  <c r="T1873" i="210"/>
  <c r="T1881" i="210"/>
  <c r="T1889" i="210"/>
  <c r="T1905" i="210"/>
  <c r="T1913" i="210"/>
  <c r="T1929" i="210"/>
  <c r="O1929" i="210" s="1"/>
  <c r="T1937" i="210"/>
  <c r="O1937" i="210" s="1"/>
  <c r="T1945" i="210"/>
  <c r="T1953" i="210"/>
  <c r="T1961" i="210"/>
  <c r="T1969" i="210"/>
  <c r="T1977" i="210"/>
  <c r="T1985" i="210"/>
  <c r="T1993" i="210"/>
  <c r="O1993" i="210" s="1"/>
  <c r="T2001" i="210"/>
  <c r="O2001" i="210" s="1"/>
  <c r="T2009" i="210"/>
  <c r="T2017" i="210"/>
  <c r="T2025" i="210"/>
  <c r="O2025" i="210" s="1"/>
  <c r="T2033" i="210"/>
  <c r="O2033" i="210" s="1"/>
  <c r="T2041" i="210"/>
  <c r="O2041" i="210" s="1"/>
  <c r="T2049" i="210"/>
  <c r="O2049" i="210" s="1"/>
  <c r="T2057" i="210"/>
  <c r="O2057" i="210" s="1"/>
  <c r="T2065" i="210"/>
  <c r="T2073" i="210"/>
  <c r="T1600" i="210"/>
  <c r="T1692" i="210"/>
  <c r="O1692" i="210" s="1"/>
  <c r="T1740" i="210"/>
  <c r="T1788" i="210"/>
  <c r="T1809" i="210"/>
  <c r="T1844" i="210"/>
  <c r="T1860" i="210"/>
  <c r="T1868" i="210"/>
  <c r="O1868" i="210" s="1"/>
  <c r="T1876" i="210"/>
  <c r="O1876" i="210" s="1"/>
  <c r="T1884" i="210"/>
  <c r="T1892" i="210"/>
  <c r="T1908" i="210"/>
  <c r="T1916" i="210"/>
  <c r="T1924" i="210"/>
  <c r="T1932" i="210"/>
  <c r="T1940" i="210"/>
  <c r="O1940" i="210" s="1"/>
  <c r="T1948" i="210"/>
  <c r="O1948" i="210" s="1"/>
  <c r="T1956" i="210"/>
  <c r="T1964" i="210"/>
  <c r="T1972" i="210"/>
  <c r="T1980" i="210"/>
  <c r="T1988" i="210"/>
  <c r="T1996" i="210"/>
  <c r="O1996" i="210" s="1"/>
  <c r="T2004" i="210"/>
  <c r="O2004" i="210" s="1"/>
  <c r="T2012" i="210"/>
  <c r="O2012" i="210" s="1"/>
  <c r="T2020" i="210"/>
  <c r="T2028" i="210"/>
  <c r="T2036" i="210"/>
  <c r="T2044" i="210"/>
  <c r="T1668" i="210"/>
  <c r="T1841" i="210"/>
  <c r="T1855" i="210"/>
  <c r="T1863" i="210"/>
  <c r="T1871" i="210"/>
  <c r="T1879" i="210"/>
  <c r="T1887" i="210"/>
  <c r="T1895" i="210"/>
  <c r="T1903" i="210"/>
  <c r="O1903" i="210" s="1"/>
  <c r="T1911" i="210"/>
  <c r="O1911" i="210" s="1"/>
  <c r="T1927" i="210"/>
  <c r="T1935" i="210"/>
  <c r="T1943" i="210"/>
  <c r="T1951" i="210"/>
  <c r="T1959" i="210"/>
  <c r="T1967" i="210"/>
  <c r="T1975" i="210"/>
  <c r="O1975" i="210" s="1"/>
  <c r="T1983" i="210"/>
  <c r="O1983" i="210" s="1"/>
  <c r="T1991" i="210"/>
  <c r="T1999" i="210"/>
  <c r="T2007" i="210"/>
  <c r="T2015" i="210"/>
  <c r="T2023" i="210"/>
  <c r="T2031" i="210"/>
  <c r="T2039" i="210"/>
  <c r="O2039" i="210" s="1"/>
  <c r="T2047" i="210"/>
  <c r="O2047" i="210" s="1"/>
  <c r="T2055" i="210"/>
  <c r="T2063" i="210"/>
  <c r="O2063" i="210" s="1"/>
  <c r="T1488" i="210"/>
  <c r="O1488" i="210" s="1"/>
  <c r="T1708" i="210"/>
  <c r="O1708" i="210" s="1"/>
  <c r="T1732" i="210"/>
  <c r="T1756" i="210"/>
  <c r="T1852" i="210"/>
  <c r="T1858" i="210"/>
  <c r="T1866" i="210"/>
  <c r="T1874" i="210"/>
  <c r="O1874" i="210" s="1"/>
  <c r="T1882" i="210"/>
  <c r="O1882" i="210" s="1"/>
  <c r="T1890" i="210"/>
  <c r="T1906" i="210"/>
  <c r="T1914" i="210"/>
  <c r="T1930" i="210"/>
  <c r="T1938" i="210"/>
  <c r="T1946" i="210"/>
  <c r="T1954" i="210"/>
  <c r="O1954" i="210" s="1"/>
  <c r="T1962" i="210"/>
  <c r="O1962" i="210" s="1"/>
  <c r="T1970" i="210"/>
  <c r="T1978" i="210"/>
  <c r="T1986" i="210"/>
  <c r="T1994" i="210"/>
  <c r="T2002" i="210"/>
  <c r="T1660" i="210"/>
  <c r="T1724" i="210"/>
  <c r="T1825" i="210"/>
  <c r="T1828" i="210"/>
  <c r="T1856" i="210"/>
  <c r="T1864" i="210"/>
  <c r="T1872" i="210"/>
  <c r="T1880" i="210"/>
  <c r="T1888" i="210"/>
  <c r="O1888" i="210" s="1"/>
  <c r="T1904" i="210"/>
  <c r="T1912" i="210"/>
  <c r="O1912" i="210" s="1"/>
  <c r="T1928" i="210"/>
  <c r="O1928" i="210" s="1"/>
  <c r="T1936" i="210"/>
  <c r="O1936" i="210" s="1"/>
  <c r="T1944" i="210"/>
  <c r="O1944" i="210" s="1"/>
  <c r="T1952" i="210"/>
  <c r="T1960" i="210"/>
  <c r="T1968" i="210"/>
  <c r="T1976" i="210"/>
  <c r="T1984" i="210"/>
  <c r="T1992" i="210"/>
  <c r="O1992" i="210" s="1"/>
  <c r="T2000" i="210"/>
  <c r="T2008" i="210"/>
  <c r="T2016" i="210"/>
  <c r="T2024" i="210"/>
  <c r="T2032" i="210"/>
  <c r="O2032" i="210" s="1"/>
  <c r="T2040" i="210"/>
  <c r="T2048" i="210"/>
  <c r="T2056" i="210"/>
  <c r="O2056" i="210" s="1"/>
  <c r="T2064" i="210"/>
  <c r="O2064" i="210" s="1"/>
  <c r="T2072" i="210"/>
  <c r="T1885" i="210"/>
  <c r="T1981" i="210"/>
  <c r="T2018" i="210"/>
  <c r="O2018" i="210" s="1"/>
  <c r="T2022" i="210"/>
  <c r="T2029" i="210"/>
  <c r="T2058" i="210"/>
  <c r="T2091" i="210"/>
  <c r="T2099" i="210"/>
  <c r="T2107" i="210"/>
  <c r="T2115" i="210"/>
  <c r="T2131" i="210"/>
  <c r="T2139" i="210"/>
  <c r="T2147" i="210"/>
  <c r="O2147" i="210" s="1"/>
  <c r="T2155" i="210"/>
  <c r="O2155" i="210" s="1"/>
  <c r="T2171" i="210"/>
  <c r="T2179" i="210"/>
  <c r="T2187" i="210"/>
  <c r="T2195" i="210"/>
  <c r="T2203" i="210"/>
  <c r="T2211" i="210"/>
  <c r="T2227" i="210"/>
  <c r="O2227" i="210" s="1"/>
  <c r="T2235" i="210"/>
  <c r="O2235" i="210" s="1"/>
  <c r="T2251" i="210"/>
  <c r="T2259" i="210"/>
  <c r="T2267" i="210"/>
  <c r="T2275" i="210"/>
  <c r="T2283" i="210"/>
  <c r="T1861" i="210"/>
  <c r="T1909" i="210"/>
  <c r="O1909" i="210" s="1"/>
  <c r="T1957" i="210"/>
  <c r="T2005" i="210"/>
  <c r="T2021" i="210"/>
  <c r="T2060" i="210"/>
  <c r="T2074" i="210"/>
  <c r="T2094" i="210"/>
  <c r="T2102" i="210"/>
  <c r="T2110" i="210"/>
  <c r="T2118" i="210"/>
  <c r="T2126" i="210"/>
  <c r="T2134" i="210"/>
  <c r="T2142" i="210"/>
  <c r="O2142" i="210" s="1"/>
  <c r="T2150" i="210"/>
  <c r="O2150" i="210" s="1"/>
  <c r="T2166" i="210"/>
  <c r="T2174" i="210"/>
  <c r="T2182" i="210"/>
  <c r="T2190" i="210"/>
  <c r="T2198" i="210"/>
  <c r="T2206" i="210"/>
  <c r="T2214" i="210"/>
  <c r="O2214" i="210" s="1"/>
  <c r="T2222" i="210"/>
  <c r="O2222" i="210" s="1"/>
  <c r="T1780" i="210"/>
  <c r="O1780" i="210" s="1"/>
  <c r="T1933" i="210"/>
  <c r="O1933" i="210" s="1"/>
  <c r="T1997" i="210"/>
  <c r="O1997" i="210" s="1"/>
  <c r="T2062" i="210"/>
  <c r="T2076" i="210"/>
  <c r="O2076" i="210" s="1"/>
  <c r="T2081" i="210"/>
  <c r="T2089" i="210"/>
  <c r="T2097" i="210"/>
  <c r="T2105" i="210"/>
  <c r="T2113" i="210"/>
  <c r="O2113" i="210" s="1"/>
  <c r="T2129" i="210"/>
  <c r="O2129" i="210" s="1"/>
  <c r="T2137" i="210"/>
  <c r="T2145" i="210"/>
  <c r="T2153" i="210"/>
  <c r="T2169" i="210"/>
  <c r="T2177" i="210"/>
  <c r="T2185" i="210"/>
  <c r="T2193" i="210"/>
  <c r="O2193" i="210" s="1"/>
  <c r="T2201" i="210"/>
  <c r="O2201" i="210" s="1"/>
  <c r="T2209" i="210"/>
  <c r="T2225" i="210"/>
  <c r="T2233" i="210"/>
  <c r="T2249" i="210"/>
  <c r="T2257" i="210"/>
  <c r="O2257" i="210" s="1"/>
  <c r="T2265" i="210"/>
  <c r="T2273" i="210"/>
  <c r="T2281" i="210"/>
  <c r="T1849" i="210"/>
  <c r="T1877" i="210"/>
  <c r="T1973" i="210"/>
  <c r="T2013" i="210"/>
  <c r="T2061" i="210"/>
  <c r="T2092" i="210"/>
  <c r="O2092" i="210" s="1"/>
  <c r="T2100" i="210"/>
  <c r="T2108" i="210"/>
  <c r="T2116" i="210"/>
  <c r="T2132" i="210"/>
  <c r="T2140" i="210"/>
  <c r="T2148" i="210"/>
  <c r="T2156" i="210"/>
  <c r="O2156" i="210" s="1"/>
  <c r="T2164" i="210"/>
  <c r="T2172" i="210"/>
  <c r="T2180" i="210"/>
  <c r="T2188" i="210"/>
  <c r="T2196" i="210"/>
  <c r="T2204" i="210"/>
  <c r="T2212" i="210"/>
  <c r="T2228" i="210"/>
  <c r="O2228" i="210" s="1"/>
  <c r="T2236" i="210"/>
  <c r="O2236" i="210" s="1"/>
  <c r="T2252" i="210"/>
  <c r="T2260" i="210"/>
  <c r="T2268" i="210"/>
  <c r="T1925" i="210"/>
  <c r="O1925" i="210" s="1"/>
  <c r="T1949" i="210"/>
  <c r="T2010" i="210"/>
  <c r="T2050" i="210"/>
  <c r="T2077" i="210"/>
  <c r="T2078" i="210"/>
  <c r="T2095" i="210"/>
  <c r="T2103" i="210"/>
  <c r="T2111" i="210"/>
  <c r="T2119" i="210"/>
  <c r="T2127" i="210"/>
  <c r="O2127" i="210" s="1"/>
  <c r="T2135" i="210"/>
  <c r="O2135" i="210" s="1"/>
  <c r="T2143" i="210"/>
  <c r="T2151" i="210"/>
  <c r="T2167" i="210"/>
  <c r="T2175" i="210"/>
  <c r="T2183" i="210"/>
  <c r="T2191" i="210"/>
  <c r="T2199" i="210"/>
  <c r="O2199" i="210" s="1"/>
  <c r="T2207" i="210"/>
  <c r="O2207" i="210" s="1"/>
  <c r="T2223" i="210"/>
  <c r="T2231" i="210"/>
  <c r="T2239" i="210"/>
  <c r="T2247" i="210"/>
  <c r="T2255" i="210"/>
  <c r="T2263" i="210"/>
  <c r="T2271" i="210"/>
  <c r="O2271" i="210" s="1"/>
  <c r="T2279" i="210"/>
  <c r="T2287" i="210"/>
  <c r="T1893" i="210"/>
  <c r="T1989" i="210"/>
  <c r="O1989" i="210" s="1"/>
  <c r="T2042" i="210"/>
  <c r="T2046" i="210"/>
  <c r="O2046" i="210" s="1"/>
  <c r="T2052" i="210"/>
  <c r="T2079" i="210"/>
  <c r="T2082" i="210"/>
  <c r="T2090" i="210"/>
  <c r="T2098" i="210"/>
  <c r="O2098" i="210" s="1"/>
  <c r="T2106" i="210"/>
  <c r="O2106" i="210" s="1"/>
  <c r="T2114" i="210"/>
  <c r="T2130" i="210"/>
  <c r="T2138" i="210"/>
  <c r="T2146" i="210"/>
  <c r="T2154" i="210"/>
  <c r="T2170" i="210"/>
  <c r="T2178" i="210"/>
  <c r="O2178" i="210" s="1"/>
  <c r="T2186" i="210"/>
  <c r="O2186" i="210" s="1"/>
  <c r="T2194" i="210"/>
  <c r="T2202" i="210"/>
  <c r="T2210" i="210"/>
  <c r="T2226" i="210"/>
  <c r="T1684" i="210"/>
  <c r="T1941" i="210"/>
  <c r="T2026" i="210"/>
  <c r="O2026" i="210" s="1"/>
  <c r="T2030" i="210"/>
  <c r="O2030" i="210" s="1"/>
  <c r="T2037" i="210"/>
  <c r="T2053" i="210"/>
  <c r="T2080" i="210"/>
  <c r="O2080" i="210" s="1"/>
  <c r="T2096" i="210"/>
  <c r="T2104" i="210"/>
  <c r="T2112" i="210"/>
  <c r="T2128" i="210"/>
  <c r="O2128" i="210" s="1"/>
  <c r="T2136" i="210"/>
  <c r="O2136" i="210" s="1"/>
  <c r="T2144" i="210"/>
  <c r="T2152" i="210"/>
  <c r="O2152" i="210" s="1"/>
  <c r="T2168" i="210"/>
  <c r="T2176" i="210"/>
  <c r="T2184" i="210"/>
  <c r="T2192" i="210"/>
  <c r="O2192" i="210" s="1"/>
  <c r="T2200" i="210"/>
  <c r="T2208" i="210"/>
  <c r="O2208" i="210" s="1"/>
  <c r="T2224" i="210"/>
  <c r="T2232" i="210"/>
  <c r="T2240" i="210"/>
  <c r="O2240" i="210" s="1"/>
  <c r="T2248" i="210"/>
  <c r="T2256" i="210"/>
  <c r="T2264" i="210"/>
  <c r="T2272" i="210"/>
  <c r="O2272" i="210" s="1"/>
  <c r="T2280" i="210"/>
  <c r="T2101" i="210"/>
  <c r="T2149" i="210"/>
  <c r="O2149" i="210" s="1"/>
  <c r="T2221" i="210"/>
  <c r="O2221" i="210" s="1"/>
  <c r="T2234" i="210"/>
  <c r="T2238" i="210"/>
  <c r="T2266" i="210"/>
  <c r="O2266" i="210" s="1"/>
  <c r="T2270" i="210"/>
  <c r="T2274" i="210"/>
  <c r="T2293" i="210"/>
  <c r="T2301" i="210"/>
  <c r="T2309" i="210"/>
  <c r="T2317" i="210"/>
  <c r="T2325" i="210"/>
  <c r="T2333" i="210"/>
  <c r="O2333" i="210" s="1"/>
  <c r="T2341" i="210"/>
  <c r="O2341" i="210" s="1"/>
  <c r="T2349" i="210"/>
  <c r="T2357" i="210"/>
  <c r="T2365" i="210"/>
  <c r="T2373" i="210"/>
  <c r="T2381" i="210"/>
  <c r="T2389" i="210"/>
  <c r="O2389" i="210" s="1"/>
  <c r="T2397" i="210"/>
  <c r="O2397" i="210" s="1"/>
  <c r="T2405" i="210"/>
  <c r="O2405" i="210" s="1"/>
  <c r="T2413" i="210"/>
  <c r="T2421" i="210"/>
  <c r="T2437" i="210"/>
  <c r="T2445" i="210"/>
  <c r="T2453" i="210"/>
  <c r="T2461" i="210"/>
  <c r="T2469" i="210"/>
  <c r="O2469" i="210" s="1"/>
  <c r="T2477" i="210"/>
  <c r="O2477" i="210" s="1"/>
  <c r="T2485" i="210"/>
  <c r="T2493" i="210"/>
  <c r="T2501" i="210"/>
  <c r="T2509" i="210"/>
  <c r="T1869" i="210"/>
  <c r="T2197" i="210"/>
  <c r="T2230" i="210"/>
  <c r="T2237" i="210"/>
  <c r="T2258" i="210"/>
  <c r="O2258" i="210" s="1"/>
  <c r="T2262" i="210"/>
  <c r="T2269" i="210"/>
  <c r="T2276" i="210"/>
  <c r="T2288" i="210"/>
  <c r="T2296" i="210"/>
  <c r="O2296" i="210" s="1"/>
  <c r="T2304" i="210"/>
  <c r="O2304" i="210" s="1"/>
  <c r="T2312" i="210"/>
  <c r="T2320" i="210"/>
  <c r="T2328" i="210"/>
  <c r="T2336" i="210"/>
  <c r="T2352" i="210"/>
  <c r="T2360" i="210"/>
  <c r="T2368" i="210"/>
  <c r="O2368" i="210" s="1"/>
  <c r="T2376" i="210"/>
  <c r="O2376" i="210" s="1"/>
  <c r="T2384" i="210"/>
  <c r="T2392" i="210"/>
  <c r="T2400" i="210"/>
  <c r="T2416" i="210"/>
  <c r="T2424" i="210"/>
  <c r="T2440" i="210"/>
  <c r="T2448" i="210"/>
  <c r="O2448" i="210" s="1"/>
  <c r="T2456" i="210"/>
  <c r="O2456" i="210" s="1"/>
  <c r="T2464" i="210"/>
  <c r="T2472" i="210"/>
  <c r="T2480" i="210"/>
  <c r="T2488" i="210"/>
  <c r="T2504" i="210"/>
  <c r="T2512" i="210"/>
  <c r="T2520" i="210"/>
  <c r="T2528" i="210"/>
  <c r="T2536" i="210"/>
  <c r="T1965" i="210"/>
  <c r="T2034" i="210"/>
  <c r="T2045" i="210"/>
  <c r="O2045" i="210" s="1"/>
  <c r="T2093" i="210"/>
  <c r="T2117" i="210"/>
  <c r="T2173" i="210"/>
  <c r="T2229" i="210"/>
  <c r="T2250" i="210"/>
  <c r="T2254" i="210"/>
  <c r="T2261" i="210"/>
  <c r="T2278" i="210"/>
  <c r="T2291" i="210"/>
  <c r="O2291" i="210" s="1"/>
  <c r="T2299" i="210"/>
  <c r="O2299" i="210" s="1"/>
  <c r="T2307" i="210"/>
  <c r="T2315" i="210"/>
  <c r="T2323" i="210"/>
  <c r="T2331" i="210"/>
  <c r="T2339" i="210"/>
  <c r="T2355" i="210"/>
  <c r="T2363" i="210"/>
  <c r="O2363" i="210" s="1"/>
  <c r="T2371" i="210"/>
  <c r="O2371" i="210" s="1"/>
  <c r="T2379" i="210"/>
  <c r="T2387" i="210"/>
  <c r="T2395" i="210"/>
  <c r="T2403" i="210"/>
  <c r="O2403" i="210" s="1"/>
  <c r="T2419" i="210"/>
  <c r="T2427" i="210"/>
  <c r="T2435" i="210"/>
  <c r="T2443" i="210"/>
  <c r="O2443" i="210" s="1"/>
  <c r="T2451" i="210"/>
  <c r="T2459" i="210"/>
  <c r="T2467" i="210"/>
  <c r="T2475" i="210"/>
  <c r="T2483" i="210"/>
  <c r="T2491" i="210"/>
  <c r="T2507" i="210"/>
  <c r="O2507" i="210" s="1"/>
  <c r="T2515" i="210"/>
  <c r="O2515" i="210" s="1"/>
  <c r="T2523" i="210"/>
  <c r="T2531" i="210"/>
  <c r="T2539" i="210"/>
  <c r="T2054" i="210"/>
  <c r="T2141" i="210"/>
  <c r="T2213" i="210"/>
  <c r="O2213" i="210" s="1"/>
  <c r="T2253" i="210"/>
  <c r="O2253" i="210" s="1"/>
  <c r="T2277" i="210"/>
  <c r="T2294" i="210"/>
  <c r="T2302" i="210"/>
  <c r="T2310" i="210"/>
  <c r="T2318" i="210"/>
  <c r="O2318" i="210" s="1"/>
  <c r="T2326" i="210"/>
  <c r="O2326" i="210" s="1"/>
  <c r="T2334" i="210"/>
  <c r="O2334" i="210" s="1"/>
  <c r="T2342" i="210"/>
  <c r="T2350" i="210"/>
  <c r="T2358" i="210"/>
  <c r="T2366" i="210"/>
  <c r="T2374" i="210"/>
  <c r="T2382" i="210"/>
  <c r="O2382" i="210" s="1"/>
  <c r="T2390" i="210"/>
  <c r="O2390" i="210" s="1"/>
  <c r="T2398" i="210"/>
  <c r="O2398" i="210" s="1"/>
  <c r="T2414" i="210"/>
  <c r="T2422" i="210"/>
  <c r="T2438" i="210"/>
  <c r="T2446" i="210"/>
  <c r="T2454" i="210"/>
  <c r="T2462" i="210"/>
  <c r="O2462" i="210" s="1"/>
  <c r="T2470" i="210"/>
  <c r="O2470" i="210" s="1"/>
  <c r="T2478" i="210"/>
  <c r="O2478" i="210" s="1"/>
  <c r="T2486" i="210"/>
  <c r="T2502" i="210"/>
  <c r="T2510" i="210"/>
  <c r="T2038" i="210"/>
  <c r="O2038" i="210" s="1"/>
  <c r="T2189" i="210"/>
  <c r="T2282" i="210"/>
  <c r="T2289" i="210"/>
  <c r="T2297" i="210"/>
  <c r="T2305" i="210"/>
  <c r="T2313" i="210"/>
  <c r="O2313" i="210" s="1"/>
  <c r="T2321" i="210"/>
  <c r="O2321" i="210" s="1"/>
  <c r="T2329" i="210"/>
  <c r="T2337" i="210"/>
  <c r="T2353" i="210"/>
  <c r="T2361" i="210"/>
  <c r="T2369" i="210"/>
  <c r="T2377" i="210"/>
  <c r="T2385" i="210"/>
  <c r="O2385" i="210" s="1"/>
  <c r="T2393" i="210"/>
  <c r="O2393" i="210" s="1"/>
  <c r="T2401" i="210"/>
  <c r="T2417" i="210"/>
  <c r="T2425" i="210"/>
  <c r="T2441" i="210"/>
  <c r="T2449" i="210"/>
  <c r="T2457" i="210"/>
  <c r="T2465" i="210"/>
  <c r="O2465" i="210" s="1"/>
  <c r="T2473" i="210"/>
  <c r="O2473" i="210" s="1"/>
  <c r="T2481" i="210"/>
  <c r="T2489" i="210"/>
  <c r="T2505" i="210"/>
  <c r="O2505" i="210" s="1"/>
  <c r="T2513" i="210"/>
  <c r="T2521" i="210"/>
  <c r="T2529" i="210"/>
  <c r="T2537" i="210"/>
  <c r="T2109" i="210"/>
  <c r="T2157" i="210"/>
  <c r="O2157" i="210" s="1"/>
  <c r="T2165" i="210"/>
  <c r="T2284" i="210"/>
  <c r="O2284" i="210" s="1"/>
  <c r="T2292" i="210"/>
  <c r="T2300" i="210"/>
  <c r="T2308" i="210"/>
  <c r="T2316" i="210"/>
  <c r="T2324" i="210"/>
  <c r="O2324" i="210" s="1"/>
  <c r="T2332" i="210"/>
  <c r="O2332" i="210" s="1"/>
  <c r="T2340" i="210"/>
  <c r="O2340" i="210" s="1"/>
  <c r="T2356" i="210"/>
  <c r="T2364" i="210"/>
  <c r="T2372" i="210"/>
  <c r="T2380" i="210"/>
  <c r="T2388" i="210"/>
  <c r="T2396" i="210"/>
  <c r="T2404" i="210"/>
  <c r="O2404" i="210" s="1"/>
  <c r="T2412" i="210"/>
  <c r="T2420" i="210"/>
  <c r="T2428" i="210"/>
  <c r="T2436" i="210"/>
  <c r="T2181" i="210"/>
  <c r="T2285" i="210"/>
  <c r="O2285" i="210" s="1"/>
  <c r="T2286" i="210"/>
  <c r="T2290" i="210"/>
  <c r="T2298" i="210"/>
  <c r="T2306" i="210"/>
  <c r="T2314" i="210"/>
  <c r="T2322" i="210"/>
  <c r="T2330" i="210"/>
  <c r="T2338" i="210"/>
  <c r="T2354" i="210"/>
  <c r="T2362" i="210"/>
  <c r="T2370" i="210"/>
  <c r="T2378" i="210"/>
  <c r="T2386" i="210"/>
  <c r="T2394" i="210"/>
  <c r="T2402" i="210"/>
  <c r="T2418" i="210"/>
  <c r="T2426" i="210"/>
  <c r="T2442" i="210"/>
  <c r="T2450" i="210"/>
  <c r="T2458" i="210"/>
  <c r="O2458" i="210" s="1"/>
  <c r="T2466" i="210"/>
  <c r="T2474" i="210"/>
  <c r="O2474" i="210" s="1"/>
  <c r="T2482" i="210"/>
  <c r="T2490" i="210"/>
  <c r="T2506" i="210"/>
  <c r="O2506" i="210" s="1"/>
  <c r="T2514" i="210"/>
  <c r="T2522" i="210"/>
  <c r="T2530" i="210"/>
  <c r="T2538" i="210"/>
  <c r="T2423" i="210"/>
  <c r="T2455" i="210"/>
  <c r="T2487" i="210"/>
  <c r="T2519" i="210"/>
  <c r="O2519" i="210" s="1"/>
  <c r="T2535" i="210"/>
  <c r="T2546" i="210"/>
  <c r="T2554" i="210"/>
  <c r="O2554" i="210" s="1"/>
  <c r="T2562" i="210"/>
  <c r="T2570" i="210"/>
  <c r="T2578" i="210"/>
  <c r="T2586" i="210"/>
  <c r="O2586" i="210" s="1"/>
  <c r="T2594" i="210"/>
  <c r="O2594" i="210" s="1"/>
  <c r="T2602" i="210"/>
  <c r="T2610" i="210"/>
  <c r="T2618" i="210"/>
  <c r="T2626" i="210"/>
  <c r="T2634" i="210"/>
  <c r="T2642" i="210"/>
  <c r="T2658" i="210"/>
  <c r="O2658" i="210" s="1"/>
  <c r="T2666" i="210"/>
  <c r="O2666" i="210" s="1"/>
  <c r="T2674" i="210"/>
  <c r="T2682" i="210"/>
  <c r="T2690" i="210"/>
  <c r="T2706" i="210"/>
  <c r="T2714" i="210"/>
  <c r="T2730" i="210"/>
  <c r="T2738" i="210"/>
  <c r="O2738" i="210" s="1"/>
  <c r="T2746" i="210"/>
  <c r="O2746" i="210" s="1"/>
  <c r="T2754" i="210"/>
  <c r="T2762" i="210"/>
  <c r="T2770" i="210"/>
  <c r="O2770" i="210" s="1"/>
  <c r="T2778" i="210"/>
  <c r="T2786" i="210"/>
  <c r="T2794" i="210"/>
  <c r="T2802" i="210"/>
  <c r="O2802" i="210" s="1"/>
  <c r="T2810" i="210"/>
  <c r="O2810" i="210" s="1"/>
  <c r="T2818" i="210"/>
  <c r="T2826" i="210"/>
  <c r="T2834" i="210"/>
  <c r="T2842" i="210"/>
  <c r="T2850" i="210"/>
  <c r="T2866" i="210"/>
  <c r="T2874" i="210"/>
  <c r="O2874" i="210" s="1"/>
  <c r="T2882" i="210"/>
  <c r="O2882" i="210" s="1"/>
  <c r="T2890" i="210"/>
  <c r="T2898" i="210"/>
  <c r="T2906" i="210"/>
  <c r="O2906" i="210" s="1"/>
  <c r="T2914" i="210"/>
  <c r="T2922" i="210"/>
  <c r="T2938" i="210"/>
  <c r="T2946" i="210"/>
  <c r="O2946" i="210" s="1"/>
  <c r="T2954" i="210"/>
  <c r="O2954" i="210" s="1"/>
  <c r="T2962" i="210"/>
  <c r="T2970" i="210"/>
  <c r="T2986" i="210"/>
  <c r="O2986" i="210" s="1"/>
  <c r="T2994" i="210"/>
  <c r="T3010" i="210"/>
  <c r="T2319" i="210"/>
  <c r="O2319" i="210" s="1"/>
  <c r="T2391" i="210"/>
  <c r="O2391" i="210" s="1"/>
  <c r="T2452" i="210"/>
  <c r="T2484" i="210"/>
  <c r="T2541" i="210"/>
  <c r="O2541" i="210" s="1"/>
  <c r="T2549" i="210"/>
  <c r="O2549" i="210" s="1"/>
  <c r="T2557" i="210"/>
  <c r="T2565" i="210"/>
  <c r="T2573" i="210"/>
  <c r="T2581" i="210"/>
  <c r="T2589" i="210"/>
  <c r="T2597" i="210"/>
  <c r="T2605" i="210"/>
  <c r="O2605" i="210" s="1"/>
  <c r="T2613" i="210"/>
  <c r="O2613" i="210" s="1"/>
  <c r="T2621" i="210"/>
  <c r="T2629" i="210"/>
  <c r="T2637" i="210"/>
  <c r="T2645" i="210"/>
  <c r="T2661" i="210"/>
  <c r="T2669" i="210"/>
  <c r="T2677" i="210"/>
  <c r="O2677" i="210" s="1"/>
  <c r="T2685" i="210"/>
  <c r="O2685" i="210" s="1"/>
  <c r="T2693" i="210"/>
  <c r="T2709" i="210"/>
  <c r="T2717" i="210"/>
  <c r="T2733" i="210"/>
  <c r="T2741" i="210"/>
  <c r="T2749" i="210"/>
  <c r="T2757" i="210"/>
  <c r="O2757" i="210" s="1"/>
  <c r="T2765" i="210"/>
  <c r="O2765" i="210" s="1"/>
  <c r="T2773" i="210"/>
  <c r="T2781" i="210"/>
  <c r="T2789" i="210"/>
  <c r="T2797" i="210"/>
  <c r="T2805" i="210"/>
  <c r="T2813" i="210"/>
  <c r="T2821" i="210"/>
  <c r="O2821" i="210" s="1"/>
  <c r="T2829" i="210"/>
  <c r="O2829" i="210" s="1"/>
  <c r="T2837" i="210"/>
  <c r="T2845" i="210"/>
  <c r="T2853" i="210"/>
  <c r="T2861" i="210"/>
  <c r="T2869" i="210"/>
  <c r="T2877" i="210"/>
  <c r="T2885" i="210"/>
  <c r="O2885" i="210" s="1"/>
  <c r="T2893" i="210"/>
  <c r="O2893" i="210" s="1"/>
  <c r="T2901" i="210"/>
  <c r="T2909" i="210"/>
  <c r="T2917" i="210"/>
  <c r="T2925" i="210"/>
  <c r="T2941" i="210"/>
  <c r="T2949" i="210"/>
  <c r="T2957" i="210"/>
  <c r="O2957" i="210" s="1"/>
  <c r="T2965" i="210"/>
  <c r="O2965" i="210" s="1"/>
  <c r="T2973" i="210"/>
  <c r="T2989" i="210"/>
  <c r="T2997" i="210"/>
  <c r="T3013" i="210"/>
  <c r="T2133" i="210"/>
  <c r="T2295" i="210"/>
  <c r="T2367" i="210"/>
  <c r="T2463" i="210"/>
  <c r="O2463" i="210" s="1"/>
  <c r="T2500" i="210"/>
  <c r="T2503" i="210"/>
  <c r="T2524" i="210"/>
  <c r="T2544" i="210"/>
  <c r="T2552" i="210"/>
  <c r="T2560" i="210"/>
  <c r="O2560" i="210" s="1"/>
  <c r="T2568" i="210"/>
  <c r="O2568" i="210" s="1"/>
  <c r="T2576" i="210"/>
  <c r="T2584" i="210"/>
  <c r="T2592" i="210"/>
  <c r="T2600" i="210"/>
  <c r="T2608" i="210"/>
  <c r="T2616" i="210"/>
  <c r="T2624" i="210"/>
  <c r="O2624" i="210" s="1"/>
  <c r="T2632" i="210"/>
  <c r="O2632" i="210" s="1"/>
  <c r="T2640" i="210"/>
  <c r="T2656" i="210"/>
  <c r="T2664" i="210"/>
  <c r="T2672" i="210"/>
  <c r="T2680" i="210"/>
  <c r="T2688" i="210"/>
  <c r="O2688" i="210" s="1"/>
  <c r="T2696" i="210"/>
  <c r="O2696" i="210" s="1"/>
  <c r="T2704" i="210"/>
  <c r="T2712" i="210"/>
  <c r="T2720" i="210"/>
  <c r="T2728" i="210"/>
  <c r="T2736" i="210"/>
  <c r="T2744" i="210"/>
  <c r="T2752" i="210"/>
  <c r="T2760" i="210"/>
  <c r="O2760" i="210" s="1"/>
  <c r="T2768" i="210"/>
  <c r="O2768" i="210" s="1"/>
  <c r="T2776" i="210"/>
  <c r="T2784" i="210"/>
  <c r="T2792" i="210"/>
  <c r="T2800" i="210"/>
  <c r="T2808" i="210"/>
  <c r="T2816" i="210"/>
  <c r="O2816" i="210" s="1"/>
  <c r="T2824" i="210"/>
  <c r="O2824" i="210" s="1"/>
  <c r="T2832" i="210"/>
  <c r="O2832" i="210" s="1"/>
  <c r="T2840" i="210"/>
  <c r="T2848" i="210"/>
  <c r="T2864" i="210"/>
  <c r="T2872" i="210"/>
  <c r="T2880" i="210"/>
  <c r="T2888" i="210"/>
  <c r="O2888" i="210" s="1"/>
  <c r="T2896" i="210"/>
  <c r="O2896" i="210" s="1"/>
  <c r="T2904" i="210"/>
  <c r="O2904" i="210" s="1"/>
  <c r="T2912" i="210"/>
  <c r="T2920" i="210"/>
  <c r="T2936" i="210"/>
  <c r="T2944" i="210"/>
  <c r="T2952" i="210"/>
  <c r="T2960" i="210"/>
  <c r="O2960" i="210" s="1"/>
  <c r="T2968" i="210"/>
  <c r="O2968" i="210" s="1"/>
  <c r="T2976" i="210"/>
  <c r="O2976" i="210" s="1"/>
  <c r="T2984" i="210"/>
  <c r="T2992" i="210"/>
  <c r="T3008" i="210"/>
  <c r="T3016" i="210"/>
  <c r="T2335" i="210"/>
  <c r="T2415" i="210"/>
  <c r="T2439" i="210"/>
  <c r="T2460" i="210"/>
  <c r="T2492" i="210"/>
  <c r="T2525" i="210"/>
  <c r="T2526" i="210"/>
  <c r="T2547" i="210"/>
  <c r="T2555" i="210"/>
  <c r="O2555" i="210" s="1"/>
  <c r="T2563" i="210"/>
  <c r="O2563" i="210" s="1"/>
  <c r="T2571" i="210"/>
  <c r="T2579" i="210"/>
  <c r="T2587" i="210"/>
  <c r="O2587" i="210" s="1"/>
  <c r="T2595" i="210"/>
  <c r="T2603" i="210"/>
  <c r="T2611" i="210"/>
  <c r="T2619" i="210"/>
  <c r="O2619" i="210" s="1"/>
  <c r="T2627" i="210"/>
  <c r="O2627" i="210" s="1"/>
  <c r="T2635" i="210"/>
  <c r="T2643" i="210"/>
  <c r="T2659" i="210"/>
  <c r="T2667" i="210"/>
  <c r="T2675" i="210"/>
  <c r="T2683" i="210"/>
  <c r="T2691" i="210"/>
  <c r="O2691" i="210" s="1"/>
  <c r="T2707" i="210"/>
  <c r="O2707" i="210" s="1"/>
  <c r="T2715" i="210"/>
  <c r="T2731" i="210"/>
  <c r="T2739" i="210"/>
  <c r="O2739" i="210" s="1"/>
  <c r="T2747" i="210"/>
  <c r="T2755" i="210"/>
  <c r="T2763" i="210"/>
  <c r="T2771" i="210"/>
  <c r="O2771" i="210" s="1"/>
  <c r="T2779" i="210"/>
  <c r="O2779" i="210" s="1"/>
  <c r="T2787" i="210"/>
  <c r="T2795" i="210"/>
  <c r="T2803" i="210"/>
  <c r="O2803" i="210" s="1"/>
  <c r="T2811" i="210"/>
  <c r="T2819" i="210"/>
  <c r="T2827" i="210"/>
  <c r="T2835" i="210"/>
  <c r="O2835" i="210" s="1"/>
  <c r="T2843" i="210"/>
  <c r="O2843" i="210" s="1"/>
  <c r="T2851" i="210"/>
  <c r="T2867" i="210"/>
  <c r="T2875" i="210"/>
  <c r="T2883" i="210"/>
  <c r="T2891" i="210"/>
  <c r="T2899" i="210"/>
  <c r="T2907" i="210"/>
  <c r="O2907" i="210" s="1"/>
  <c r="T2915" i="210"/>
  <c r="O2915" i="210" s="1"/>
  <c r="T2923" i="210"/>
  <c r="T2939" i="210"/>
  <c r="T2947" i="210"/>
  <c r="O2947" i="210" s="1"/>
  <c r="T2955" i="210"/>
  <c r="T2963" i="210"/>
  <c r="T2971" i="210"/>
  <c r="T2987" i="210"/>
  <c r="O2987" i="210" s="1"/>
  <c r="T2995" i="210"/>
  <c r="O2995" i="210" s="1"/>
  <c r="T3011" i="210"/>
  <c r="T2311" i="210"/>
  <c r="O2311" i="210" s="1"/>
  <c r="T2383" i="210"/>
  <c r="O2383" i="210" s="1"/>
  <c r="T2471" i="210"/>
  <c r="T2511" i="210"/>
  <c r="O2511" i="210" s="1"/>
  <c r="T2527" i="210"/>
  <c r="O2527" i="210" s="1"/>
  <c r="T2542" i="210"/>
  <c r="T2550" i="210"/>
  <c r="T2558" i="210"/>
  <c r="T2566" i="210"/>
  <c r="T2574" i="210"/>
  <c r="O2574" i="210" s="1"/>
  <c r="T2582" i="210"/>
  <c r="O2582" i="210" s="1"/>
  <c r="T2590" i="210"/>
  <c r="O2590" i="210" s="1"/>
  <c r="T2598" i="210"/>
  <c r="T2606" i="210"/>
  <c r="T2614" i="210"/>
  <c r="T2622" i="210"/>
  <c r="T2630" i="210"/>
  <c r="T2638" i="210"/>
  <c r="T2646" i="210"/>
  <c r="O2646" i="210" s="1"/>
  <c r="T2654" i="210"/>
  <c r="T2662" i="210"/>
  <c r="T2670" i="210"/>
  <c r="T2678" i="210"/>
  <c r="T2686" i="210"/>
  <c r="T2694" i="210"/>
  <c r="T2710" i="210"/>
  <c r="O2710" i="210" s="1"/>
  <c r="T2718" i="210"/>
  <c r="O2718" i="210" s="1"/>
  <c r="T2734" i="210"/>
  <c r="O2734" i="210" s="1"/>
  <c r="T2742" i="210"/>
  <c r="T2750" i="210"/>
  <c r="T2758" i="210"/>
  <c r="T2766" i="210"/>
  <c r="T2774" i="210"/>
  <c r="T2782" i="210"/>
  <c r="O2782" i="210" s="1"/>
  <c r="T2790" i="210"/>
  <c r="O2790" i="210" s="1"/>
  <c r="T2798" i="210"/>
  <c r="O2798" i="210" s="1"/>
  <c r="T2806" i="210"/>
  <c r="T2814" i="210"/>
  <c r="T2822" i="210"/>
  <c r="T2830" i="210"/>
  <c r="T2838" i="210"/>
  <c r="T2846" i="210"/>
  <c r="O2846" i="210" s="1"/>
  <c r="T2862" i="210"/>
  <c r="O2862" i="210" s="1"/>
  <c r="T2870" i="210"/>
  <c r="O2870" i="210" s="1"/>
  <c r="T2878" i="210"/>
  <c r="T2886" i="210"/>
  <c r="T2894" i="210"/>
  <c r="T2902" i="210"/>
  <c r="T2910" i="210"/>
  <c r="T2918" i="210"/>
  <c r="O2918" i="210" s="1"/>
  <c r="T2926" i="210"/>
  <c r="O2926" i="210" s="1"/>
  <c r="T2934" i="210"/>
  <c r="O2934" i="210" s="1"/>
  <c r="T2942" i="210"/>
  <c r="T2950" i="210"/>
  <c r="T2958" i="210"/>
  <c r="T2966" i="210"/>
  <c r="T2974" i="210"/>
  <c r="T2990" i="210"/>
  <c r="O2990" i="210" s="1"/>
  <c r="T2998" i="210"/>
  <c r="O2998" i="210" s="1"/>
  <c r="T3006" i="210"/>
  <c r="O3006" i="210" s="1"/>
  <c r="T3014" i="210"/>
  <c r="T2359" i="210"/>
  <c r="T2468" i="210"/>
  <c r="O2468" i="210" s="1"/>
  <c r="T2508" i="210"/>
  <c r="T2545" i="210"/>
  <c r="T2553" i="210"/>
  <c r="O2553" i="210" s="1"/>
  <c r="T2561" i="210"/>
  <c r="O2561" i="210" s="1"/>
  <c r="T2569" i="210"/>
  <c r="T2577" i="210"/>
  <c r="T2585" i="210"/>
  <c r="T2593" i="210"/>
  <c r="T2601" i="210"/>
  <c r="T2609" i="210"/>
  <c r="T2617" i="210"/>
  <c r="O2617" i="210" s="1"/>
  <c r="T2625" i="210"/>
  <c r="O2625" i="210" s="1"/>
  <c r="T2633" i="210"/>
  <c r="T2641" i="210"/>
  <c r="T2657" i="210"/>
  <c r="T2665" i="210"/>
  <c r="T2673" i="210"/>
  <c r="T2681" i="210"/>
  <c r="T2689" i="210"/>
  <c r="O2689" i="210" s="1"/>
  <c r="T2697" i="210"/>
  <c r="O2697" i="210" s="1"/>
  <c r="T2705" i="210"/>
  <c r="T2713" i="210"/>
  <c r="T2729" i="210"/>
  <c r="T2737" i="210"/>
  <c r="T2745" i="210"/>
  <c r="T2753" i="210"/>
  <c r="T2761" i="210"/>
  <c r="O2761" i="210" s="1"/>
  <c r="T2769" i="210"/>
  <c r="O2769" i="210" s="1"/>
  <c r="T2777" i="210"/>
  <c r="T2785" i="210"/>
  <c r="T2793" i="210"/>
  <c r="T2801" i="210"/>
  <c r="T2809" i="210"/>
  <c r="T2817" i="210"/>
  <c r="T2825" i="210"/>
  <c r="O2825" i="210" s="1"/>
  <c r="T2833" i="210"/>
  <c r="O2833" i="210" s="1"/>
  <c r="T2841" i="210"/>
  <c r="T2849" i="210"/>
  <c r="T2865" i="210"/>
  <c r="T2873" i="210"/>
  <c r="T2881" i="210"/>
  <c r="T2889" i="210"/>
  <c r="T2897" i="210"/>
  <c r="O2897" i="210" s="1"/>
  <c r="T2905" i="210"/>
  <c r="O2905" i="210" s="1"/>
  <c r="T2913" i="210"/>
  <c r="T2921" i="210"/>
  <c r="T2937" i="210"/>
  <c r="T2205" i="210"/>
  <c r="O2205" i="210" s="1"/>
  <c r="T2303" i="210"/>
  <c r="T2351" i="210"/>
  <c r="T2375" i="210"/>
  <c r="O2375" i="210" s="1"/>
  <c r="T2444" i="210"/>
  <c r="T2476" i="210"/>
  <c r="O2476" i="210" s="1"/>
  <c r="T2516" i="210"/>
  <c r="T2517" i="210"/>
  <c r="T2518" i="210"/>
  <c r="T2533" i="210"/>
  <c r="O2533" i="210" s="1"/>
  <c r="T2534" i="210"/>
  <c r="T2543" i="210"/>
  <c r="O2543" i="210" s="1"/>
  <c r="T2551" i="210"/>
  <c r="T2559" i="210"/>
  <c r="T2567" i="210"/>
  <c r="T2575" i="210"/>
  <c r="T2583" i="210"/>
  <c r="T2591" i="210"/>
  <c r="O2591" i="210" s="1"/>
  <c r="T2599" i="210"/>
  <c r="T2607" i="210"/>
  <c r="O2607" i="210" s="1"/>
  <c r="T2615" i="210"/>
  <c r="T2623" i="210"/>
  <c r="T2631" i="210"/>
  <c r="O2631" i="210" s="1"/>
  <c r="T2639" i="210"/>
  <c r="T2647" i="210"/>
  <c r="T2655" i="210"/>
  <c r="T2663" i="210"/>
  <c r="T2671" i="210"/>
  <c r="T2679" i="210"/>
  <c r="O2679" i="210" s="1"/>
  <c r="T2687" i="210"/>
  <c r="T2695" i="210"/>
  <c r="T2711" i="210"/>
  <c r="T2719" i="210"/>
  <c r="T2727" i="210"/>
  <c r="T2735" i="210"/>
  <c r="T2743" i="210"/>
  <c r="O2743" i="210" s="1"/>
  <c r="T2751" i="210"/>
  <c r="T2759" i="210"/>
  <c r="T2767" i="210"/>
  <c r="T2775" i="210"/>
  <c r="T2783" i="210"/>
  <c r="O2783" i="210" s="1"/>
  <c r="T2791" i="210"/>
  <c r="T2799" i="210"/>
  <c r="T2807" i="210"/>
  <c r="O2807" i="210" s="1"/>
  <c r="T2815" i="210"/>
  <c r="T2823" i="210"/>
  <c r="T2831" i="210"/>
  <c r="T2839" i="210"/>
  <c r="O2839" i="210" s="1"/>
  <c r="T2847" i="210"/>
  <c r="T2863" i="210"/>
  <c r="O2863" i="210" s="1"/>
  <c r="T2871" i="210"/>
  <c r="T2879" i="210"/>
  <c r="O2879" i="210" s="1"/>
  <c r="T2887" i="210"/>
  <c r="T2895" i="210"/>
  <c r="O2895" i="210" s="1"/>
  <c r="T2903" i="210"/>
  <c r="T2911" i="210"/>
  <c r="T2919" i="210"/>
  <c r="O2919" i="210" s="1"/>
  <c r="T2927" i="210"/>
  <c r="T2935" i="210"/>
  <c r="T2943" i="210"/>
  <c r="O2943" i="210" s="1"/>
  <c r="T2951" i="210"/>
  <c r="O2951" i="210" s="1"/>
  <c r="T2959" i="210"/>
  <c r="T2967" i="210"/>
  <c r="O2967" i="210" s="1"/>
  <c r="T2975" i="210"/>
  <c r="O2975" i="210" s="1"/>
  <c r="T2983" i="210"/>
  <c r="T2991" i="210"/>
  <c r="O2991" i="210" s="1"/>
  <c r="T2999" i="210"/>
  <c r="T3007" i="210"/>
  <c r="O3007" i="210" s="1"/>
  <c r="T3015" i="210"/>
  <c r="T2447" i="210"/>
  <c r="T2596" i="210"/>
  <c r="T2764" i="210"/>
  <c r="T2828" i="210"/>
  <c r="T2916" i="210"/>
  <c r="O2916" i="210" s="1"/>
  <c r="T2953" i="210"/>
  <c r="T2996" i="210"/>
  <c r="O2996" i="210" s="1"/>
  <c r="T3030" i="210"/>
  <c r="T3038" i="210"/>
  <c r="T3046" i="210"/>
  <c r="O3046" i="210" s="1"/>
  <c r="T3054" i="210"/>
  <c r="O3054" i="210" s="1"/>
  <c r="T3062" i="210"/>
  <c r="T3070" i="210"/>
  <c r="T3078" i="210"/>
  <c r="T3086" i="210"/>
  <c r="T3094" i="210"/>
  <c r="T3102" i="210"/>
  <c r="T3110" i="210"/>
  <c r="O3110" i="210" s="1"/>
  <c r="T3118" i="210"/>
  <c r="O3118" i="210" s="1"/>
  <c r="T3134" i="210"/>
  <c r="T3142" i="210"/>
  <c r="T3150" i="210"/>
  <c r="T3158" i="210"/>
  <c r="O3158" i="210" s="1"/>
  <c r="T3166" i="210"/>
  <c r="T3174" i="210"/>
  <c r="T3182" i="210"/>
  <c r="O3182" i="210" s="1"/>
  <c r="T3198" i="210"/>
  <c r="O3198" i="210" s="1"/>
  <c r="T3206" i="210"/>
  <c r="T3214" i="210"/>
  <c r="T3222" i="210"/>
  <c r="T3230" i="210"/>
  <c r="O3230" i="210" s="1"/>
  <c r="T3238" i="210"/>
  <c r="T3254" i="210"/>
  <c r="T3262" i="210"/>
  <c r="O3262" i="210" s="1"/>
  <c r="T3270" i="210"/>
  <c r="O3270" i="210" s="1"/>
  <c r="T3278" i="210"/>
  <c r="T3286" i="210"/>
  <c r="T3294" i="210"/>
  <c r="T3302" i="210"/>
  <c r="O3302" i="210" s="1"/>
  <c r="T3310" i="210"/>
  <c r="T3318" i="210"/>
  <c r="T3326" i="210"/>
  <c r="O3326" i="210" s="1"/>
  <c r="T3334" i="210"/>
  <c r="O3334" i="210" s="1"/>
  <c r="T3342" i="210"/>
  <c r="T3350" i="210"/>
  <c r="T3358" i="210"/>
  <c r="T3366" i="210"/>
  <c r="O3366" i="210" s="1"/>
  <c r="T3374" i="210"/>
  <c r="T3382" i="210"/>
  <c r="T3390" i="210"/>
  <c r="O3390" i="210" s="1"/>
  <c r="T3398" i="210"/>
  <c r="O3398" i="210" s="1"/>
  <c r="T3406" i="210"/>
  <c r="T3414" i="210"/>
  <c r="T3422" i="210"/>
  <c r="T3430" i="210"/>
  <c r="T2572" i="210"/>
  <c r="O2572" i="210" s="1"/>
  <c r="T2636" i="210"/>
  <c r="O2636" i="210" s="1"/>
  <c r="T2684" i="210"/>
  <c r="T2708" i="210"/>
  <c r="T2740" i="210"/>
  <c r="T2804" i="210"/>
  <c r="T2892" i="210"/>
  <c r="T2964" i="210"/>
  <c r="O2964" i="210" s="1"/>
  <c r="T2993" i="210"/>
  <c r="T3025" i="210"/>
  <c r="T3033" i="210"/>
  <c r="T3041" i="210"/>
  <c r="T3049" i="210"/>
  <c r="T3057" i="210"/>
  <c r="T3065" i="210"/>
  <c r="O3065" i="210" s="1"/>
  <c r="T3073" i="210"/>
  <c r="O3073" i="210" s="1"/>
  <c r="T3089" i="210"/>
  <c r="T3097" i="210"/>
  <c r="T3105" i="210"/>
  <c r="T3113" i="210"/>
  <c r="T3121" i="210"/>
  <c r="T3137" i="210"/>
  <c r="T3145" i="210"/>
  <c r="O3145" i="210" s="1"/>
  <c r="T3153" i="210"/>
  <c r="O3153" i="210" s="1"/>
  <c r="T3161" i="210"/>
  <c r="T3169" i="210"/>
  <c r="T3177" i="210"/>
  <c r="T3185" i="210"/>
  <c r="T3193" i="210"/>
  <c r="O3193" i="210" s="1"/>
  <c r="T3201" i="210"/>
  <c r="T3209" i="210"/>
  <c r="O3209" i="210" s="1"/>
  <c r="T3217" i="210"/>
  <c r="O3217" i="210" s="1"/>
  <c r="T3225" i="210"/>
  <c r="T3233" i="210"/>
  <c r="T3241" i="210"/>
  <c r="T3257" i="210"/>
  <c r="T3265" i="210"/>
  <c r="T3273" i="210"/>
  <c r="T3281" i="210"/>
  <c r="O3281" i="210" s="1"/>
  <c r="T3289" i="210"/>
  <c r="O3289" i="210" s="1"/>
  <c r="T3297" i="210"/>
  <c r="T3305" i="210"/>
  <c r="T3313" i="210"/>
  <c r="T3321" i="210"/>
  <c r="T3329" i="210"/>
  <c r="T3337" i="210"/>
  <c r="T3345" i="210"/>
  <c r="O3345" i="210" s="1"/>
  <c r="T3353" i="210"/>
  <c r="O3353" i="210" s="1"/>
  <c r="T3361" i="210"/>
  <c r="T3369" i="210"/>
  <c r="T3377" i="210"/>
  <c r="T3385" i="210"/>
  <c r="T3393" i="210"/>
  <c r="O3393" i="210" s="1"/>
  <c r="T3401" i="210"/>
  <c r="T3409" i="210"/>
  <c r="O3409" i="210" s="1"/>
  <c r="T3417" i="210"/>
  <c r="O3417" i="210" s="1"/>
  <c r="T3425" i="210"/>
  <c r="T2548" i="210"/>
  <c r="T2612" i="210"/>
  <c r="T2660" i="210"/>
  <c r="T2780" i="210"/>
  <c r="T2844" i="210"/>
  <c r="T2868" i="210"/>
  <c r="T2961" i="210"/>
  <c r="O2961" i="210" s="1"/>
  <c r="T3028" i="210"/>
  <c r="T3036" i="210"/>
  <c r="T3044" i="210"/>
  <c r="T3052" i="210"/>
  <c r="T3060" i="210"/>
  <c r="O3060" i="210" s="1"/>
  <c r="T3068" i="210"/>
  <c r="O3068" i="210" s="1"/>
  <c r="T3076" i="210"/>
  <c r="O3076" i="210" s="1"/>
  <c r="T3092" i="210"/>
  <c r="T3100" i="210"/>
  <c r="T3108" i="210"/>
  <c r="T3116" i="210"/>
  <c r="T3132" i="210"/>
  <c r="T3140" i="210"/>
  <c r="O3140" i="210" s="1"/>
  <c r="T3148" i="210"/>
  <c r="O3148" i="210" s="1"/>
  <c r="T3156" i="210"/>
  <c r="O3156" i="210" s="1"/>
  <c r="T3164" i="210"/>
  <c r="T3172" i="210"/>
  <c r="T3180" i="210"/>
  <c r="T3196" i="210"/>
  <c r="T3204" i="210"/>
  <c r="T3212" i="210"/>
  <c r="O3212" i="210" s="1"/>
  <c r="T3220" i="210"/>
  <c r="O3220" i="210" s="1"/>
  <c r="T3228" i="210"/>
  <c r="O3228" i="210" s="1"/>
  <c r="T3236" i="210"/>
  <c r="T3252" i="210"/>
  <c r="T3260" i="210"/>
  <c r="T3268" i="210"/>
  <c r="T3276" i="210"/>
  <c r="T3284" i="210"/>
  <c r="O3284" i="210" s="1"/>
  <c r="T3292" i="210"/>
  <c r="O3292" i="210" s="1"/>
  <c r="T3300" i="210"/>
  <c r="O3300" i="210" s="1"/>
  <c r="T3308" i="210"/>
  <c r="T3316" i="210"/>
  <c r="T3324" i="210"/>
  <c r="T3332" i="210"/>
  <c r="T3340" i="210"/>
  <c r="T3348" i="210"/>
  <c r="T3356" i="210"/>
  <c r="O3356" i="210" s="1"/>
  <c r="T3364" i="210"/>
  <c r="O3364" i="210" s="1"/>
  <c r="T3372" i="210"/>
  <c r="T3380" i="210"/>
  <c r="T3388" i="210"/>
  <c r="T3396" i="210"/>
  <c r="T3404" i="210"/>
  <c r="T3412" i="210"/>
  <c r="T3420" i="210"/>
  <c r="O3420" i="210" s="1"/>
  <c r="T3428" i="210"/>
  <c r="O3428" i="210" s="1"/>
  <c r="T2327" i="210"/>
  <c r="T2532" i="210"/>
  <c r="O2532" i="210" s="1"/>
  <c r="T2588" i="210"/>
  <c r="T2756" i="210"/>
  <c r="T2820" i="210"/>
  <c r="T2908" i="210"/>
  <c r="T2940" i="210"/>
  <c r="O2940" i="210" s="1"/>
  <c r="T2972" i="210"/>
  <c r="T3012" i="210"/>
  <c r="T3023" i="210"/>
  <c r="T3031" i="210"/>
  <c r="T3039" i="210"/>
  <c r="T3047" i="210"/>
  <c r="T3055" i="210"/>
  <c r="O3055" i="210" s="1"/>
  <c r="T3063" i="210"/>
  <c r="O3063" i="210" s="1"/>
  <c r="T3071" i="210"/>
  <c r="T3087" i="210"/>
  <c r="T3095" i="210"/>
  <c r="T3103" i="210"/>
  <c r="T3111" i="210"/>
  <c r="T3119" i="210"/>
  <c r="T3135" i="210"/>
  <c r="O3135" i="210" s="1"/>
  <c r="T3143" i="210"/>
  <c r="O3143" i="210" s="1"/>
  <c r="T3151" i="210"/>
  <c r="T3159" i="210"/>
  <c r="T3167" i="210"/>
  <c r="T3175" i="210"/>
  <c r="T3183" i="210"/>
  <c r="T3199" i="210"/>
  <c r="T3207" i="210"/>
  <c r="O3207" i="210" s="1"/>
  <c r="T3215" i="210"/>
  <c r="O3215" i="210" s="1"/>
  <c r="T3223" i="210"/>
  <c r="T3231" i="210"/>
  <c r="T3239" i="210"/>
  <c r="T3255" i="210"/>
  <c r="T3263" i="210"/>
  <c r="T3271" i="210"/>
  <c r="T3279" i="210"/>
  <c r="O3279" i="210" s="1"/>
  <c r="T3287" i="210"/>
  <c r="O3287" i="210" s="1"/>
  <c r="T3295" i="210"/>
  <c r="T3303" i="210"/>
  <c r="T3311" i="210"/>
  <c r="T3319" i="210"/>
  <c r="T3327" i="210"/>
  <c r="T3335" i="210"/>
  <c r="T3343" i="210"/>
  <c r="O3343" i="210" s="1"/>
  <c r="T3351" i="210"/>
  <c r="O3351" i="210" s="1"/>
  <c r="T3359" i="210"/>
  <c r="T3367" i="210"/>
  <c r="T3375" i="210"/>
  <c r="T3383" i="210"/>
  <c r="T3391" i="210"/>
  <c r="T3399" i="210"/>
  <c r="T3407" i="210"/>
  <c r="O3407" i="210" s="1"/>
  <c r="T3415" i="210"/>
  <c r="O3415" i="210" s="1"/>
  <c r="T3423" i="210"/>
  <c r="T3431" i="210"/>
  <c r="O3431" i="210" s="1"/>
  <c r="T2564" i="210"/>
  <c r="T2628" i="210"/>
  <c r="T2676" i="210"/>
  <c r="T2732" i="210"/>
  <c r="O2732" i="210" s="1"/>
  <c r="T2796" i="210"/>
  <c r="O2796" i="210" s="1"/>
  <c r="T2860" i="210"/>
  <c r="T2884" i="210"/>
  <c r="T2969" i="210"/>
  <c r="O2969" i="210" s="1"/>
  <c r="T3009" i="210"/>
  <c r="T3026" i="210"/>
  <c r="T3034" i="210"/>
  <c r="T3042" i="210"/>
  <c r="T3050" i="210"/>
  <c r="O3050" i="210" s="1"/>
  <c r="T3058" i="210"/>
  <c r="O3058" i="210" s="1"/>
  <c r="T3066" i="210"/>
  <c r="O3066" i="210" s="1"/>
  <c r="T3074" i="210"/>
  <c r="T3090" i="210"/>
  <c r="T3098" i="210"/>
  <c r="T3106" i="210"/>
  <c r="T3114" i="210"/>
  <c r="T3122" i="210"/>
  <c r="T3130" i="210"/>
  <c r="T3138" i="210"/>
  <c r="O3138" i="210" s="1"/>
  <c r="T3146" i="210"/>
  <c r="T3154" i="210"/>
  <c r="T3162" i="210"/>
  <c r="T3170" i="210"/>
  <c r="T3178" i="210"/>
  <c r="T3194" i="210"/>
  <c r="O3194" i="210" s="1"/>
  <c r="T3202" i="210"/>
  <c r="O3202" i="210" s="1"/>
  <c r="T3210" i="210"/>
  <c r="O3210" i="210" s="1"/>
  <c r="T3218" i="210"/>
  <c r="T3226" i="210"/>
  <c r="T3234" i="210"/>
  <c r="T3242" i="210"/>
  <c r="T3250" i="210"/>
  <c r="T3258" i="210"/>
  <c r="O3258" i="210" s="1"/>
  <c r="T3266" i="210"/>
  <c r="O3266" i="210" s="1"/>
  <c r="T3274" i="210"/>
  <c r="O3274" i="210" s="1"/>
  <c r="T3282" i="210"/>
  <c r="T3290" i="210"/>
  <c r="T3298" i="210"/>
  <c r="T3306" i="210"/>
  <c r="T3314" i="210"/>
  <c r="T3322" i="210"/>
  <c r="O3322" i="210" s="1"/>
  <c r="T3330" i="210"/>
  <c r="O3330" i="210" s="1"/>
  <c r="T3338" i="210"/>
  <c r="O3338" i="210" s="1"/>
  <c r="T3346" i="210"/>
  <c r="T3354" i="210"/>
  <c r="T3362" i="210"/>
  <c r="T3370" i="210"/>
  <c r="T3378" i="210"/>
  <c r="T3386" i="210"/>
  <c r="O3386" i="210" s="1"/>
  <c r="T3394" i="210"/>
  <c r="O3394" i="210" s="1"/>
  <c r="T3402" i="210"/>
  <c r="O3402" i="210" s="1"/>
  <c r="T3410" i="210"/>
  <c r="T3418" i="210"/>
  <c r="T3426" i="210"/>
  <c r="T2479" i="210"/>
  <c r="O2479" i="210" s="1"/>
  <c r="T2540" i="210"/>
  <c r="T2604" i="210"/>
  <c r="T2772" i="210"/>
  <c r="T2836" i="210"/>
  <c r="T2924" i="210"/>
  <c r="O2924" i="210" s="1"/>
  <c r="T2948" i="210"/>
  <c r="O2948" i="210" s="1"/>
  <c r="T3029" i="210"/>
  <c r="T3037" i="210"/>
  <c r="T3045" i="210"/>
  <c r="T3053" i="210"/>
  <c r="T3061" i="210"/>
  <c r="O3061" i="210" s="1"/>
  <c r="T3069" i="210"/>
  <c r="O3069" i="210" s="1"/>
  <c r="T3077" i="210"/>
  <c r="T3085" i="210"/>
  <c r="T3093" i="210"/>
  <c r="T3101" i="210"/>
  <c r="T3109" i="210"/>
  <c r="T3117" i="210"/>
  <c r="O3117" i="210" s="1"/>
  <c r="T3133" i="210"/>
  <c r="O3133" i="210" s="1"/>
  <c r="T3141" i="210"/>
  <c r="O3141" i="210" s="1"/>
  <c r="T3149" i="210"/>
  <c r="T3157" i="210"/>
  <c r="T3165" i="210"/>
  <c r="T3173" i="210"/>
  <c r="T3181" i="210"/>
  <c r="T3197" i="210"/>
  <c r="T3205" i="210"/>
  <c r="O3205" i="210" s="1"/>
  <c r="T3213" i="210"/>
  <c r="O3213" i="210" s="1"/>
  <c r="T3221" i="210"/>
  <c r="T3229" i="210"/>
  <c r="T3237" i="210"/>
  <c r="T3253" i="210"/>
  <c r="T3261" i="210"/>
  <c r="T3269" i="210"/>
  <c r="O3269" i="210" s="1"/>
  <c r="T3277" i="210"/>
  <c r="O3277" i="210" s="1"/>
  <c r="T3285" i="210"/>
  <c r="O3285" i="210" s="1"/>
  <c r="T3293" i="210"/>
  <c r="T3301" i="210"/>
  <c r="T3309" i="210"/>
  <c r="T3317" i="210"/>
  <c r="T3325" i="210"/>
  <c r="T3333" i="210"/>
  <c r="O3333" i="210" s="1"/>
  <c r="T3341" i="210"/>
  <c r="O3341" i="210" s="1"/>
  <c r="T2399" i="210"/>
  <c r="T2556" i="210"/>
  <c r="O2556" i="210" s="1"/>
  <c r="T2620" i="210"/>
  <c r="T2668" i="210"/>
  <c r="T2716" i="210"/>
  <c r="O2716" i="210" s="1"/>
  <c r="T2788" i="210"/>
  <c r="O2788" i="210" s="1"/>
  <c r="T2852" i="210"/>
  <c r="O2852" i="210" s="1"/>
  <c r="T2876" i="210"/>
  <c r="T2956" i="210"/>
  <c r="T2985" i="210"/>
  <c r="O2985" i="210" s="1"/>
  <c r="T3027" i="210"/>
  <c r="T3035" i="210"/>
  <c r="T3043" i="210"/>
  <c r="T3051" i="210"/>
  <c r="T3059" i="210"/>
  <c r="O3059" i="210" s="1"/>
  <c r="T3067" i="210"/>
  <c r="T3075" i="210"/>
  <c r="T3091" i="210"/>
  <c r="O3091" i="210" s="1"/>
  <c r="T3099" i="210"/>
  <c r="T3107" i="210"/>
  <c r="T3115" i="210"/>
  <c r="T3123" i="210"/>
  <c r="T3131" i="210"/>
  <c r="O3131" i="210" s="1"/>
  <c r="T3139" i="210"/>
  <c r="T3147" i="210"/>
  <c r="T3155" i="210"/>
  <c r="O3155" i="210" s="1"/>
  <c r="T3163" i="210"/>
  <c r="T3171" i="210"/>
  <c r="T3179" i="210"/>
  <c r="O3179" i="210" s="1"/>
  <c r="T3195" i="210"/>
  <c r="T3203" i="210"/>
  <c r="O3203" i="210" s="1"/>
  <c r="T3211" i="210"/>
  <c r="T3219" i="210"/>
  <c r="O3219" i="210" s="1"/>
  <c r="T3227" i="210"/>
  <c r="O3227" i="210" s="1"/>
  <c r="T3235" i="210"/>
  <c r="T3243" i="210"/>
  <c r="O3243" i="210" s="1"/>
  <c r="T3251" i="210"/>
  <c r="T3259" i="210"/>
  <c r="T3267" i="210"/>
  <c r="O3267" i="210" s="1"/>
  <c r="T3275" i="210"/>
  <c r="O3275" i="210" s="1"/>
  <c r="T3283" i="210"/>
  <c r="T3291" i="210"/>
  <c r="T3299" i="210"/>
  <c r="T3307" i="210"/>
  <c r="O3307" i="210" s="1"/>
  <c r="T3315" i="210"/>
  <c r="T3323" i="210"/>
  <c r="T3331" i="210"/>
  <c r="T3339" i="210"/>
  <c r="T3347" i="210"/>
  <c r="T3355" i="210"/>
  <c r="O3355" i="210" s="1"/>
  <c r="T3363" i="210"/>
  <c r="T3371" i="210"/>
  <c r="T3379" i="210"/>
  <c r="T3387" i="210"/>
  <c r="T3395" i="210"/>
  <c r="T3403" i="210"/>
  <c r="O3403" i="210" s="1"/>
  <c r="T3411" i="210"/>
  <c r="T3419" i="210"/>
  <c r="O3419" i="210" s="1"/>
  <c r="T3427" i="210"/>
  <c r="T2580" i="210"/>
  <c r="O2580" i="210" s="1"/>
  <c r="T2692" i="210"/>
  <c r="T3024" i="210"/>
  <c r="T3096" i="210"/>
  <c r="T3144" i="210"/>
  <c r="O3144" i="210" s="1"/>
  <c r="T3232" i="210"/>
  <c r="T3280" i="210"/>
  <c r="O3280" i="210" s="1"/>
  <c r="T3368" i="210"/>
  <c r="T3400" i="210"/>
  <c r="T3436" i="210"/>
  <c r="O3436" i="210" s="1"/>
  <c r="T3444" i="210"/>
  <c r="O3444" i="210" s="1"/>
  <c r="T3460" i="210"/>
  <c r="T3468" i="210"/>
  <c r="T3476" i="210"/>
  <c r="T3484" i="210"/>
  <c r="O3484" i="210" s="1"/>
  <c r="T3492" i="210"/>
  <c r="T3500" i="210"/>
  <c r="T3508" i="210"/>
  <c r="O3508" i="210" s="1"/>
  <c r="T3516" i="210"/>
  <c r="O3516" i="210" s="1"/>
  <c r="T3524" i="210"/>
  <c r="T3532" i="210"/>
  <c r="T3548" i="210"/>
  <c r="T3556" i="210"/>
  <c r="O3556" i="210" s="1"/>
  <c r="T3564" i="210"/>
  <c r="T3572" i="210"/>
  <c r="T3580" i="210"/>
  <c r="O3580" i="210" s="1"/>
  <c r="T3588" i="210"/>
  <c r="O3588" i="210" s="1"/>
  <c r="T3604" i="210"/>
  <c r="T3612" i="210"/>
  <c r="T3620" i="210"/>
  <c r="T3628" i="210"/>
  <c r="O3628" i="210" s="1"/>
  <c r="T3636" i="210"/>
  <c r="T3652" i="210"/>
  <c r="T3660" i="210"/>
  <c r="O3660" i="210" s="1"/>
  <c r="T3668" i="210"/>
  <c r="O3668" i="210" s="1"/>
  <c r="T3676" i="210"/>
  <c r="T3684" i="210"/>
  <c r="T3692" i="210"/>
  <c r="T3708" i="210"/>
  <c r="T3716" i="210"/>
  <c r="T3724" i="210"/>
  <c r="T3732" i="210"/>
  <c r="O3732" i="210" s="1"/>
  <c r="T3740" i="210"/>
  <c r="O3740" i="210" s="1"/>
  <c r="T3748" i="210"/>
  <c r="T3764" i="210"/>
  <c r="T3772" i="210"/>
  <c r="T3780" i="210"/>
  <c r="O3780" i="210" s="1"/>
  <c r="T3788" i="210"/>
  <c r="T3796" i="210"/>
  <c r="T3812" i="210"/>
  <c r="O3812" i="210" s="1"/>
  <c r="T3820" i="210"/>
  <c r="O3820" i="210" s="1"/>
  <c r="T3828" i="210"/>
  <c r="T3844" i="210"/>
  <c r="T3852" i="210"/>
  <c r="T3860" i="210"/>
  <c r="O3860" i="210" s="1"/>
  <c r="T3868" i="210"/>
  <c r="T2748" i="210"/>
  <c r="T3064" i="210"/>
  <c r="O3064" i="210" s="1"/>
  <c r="T3184" i="210"/>
  <c r="T3208" i="210"/>
  <c r="O3208" i="210" s="1"/>
  <c r="T3256" i="210"/>
  <c r="T3320" i="210"/>
  <c r="T3365" i="210"/>
  <c r="T3397" i="210"/>
  <c r="T3429" i="210"/>
  <c r="T3439" i="210"/>
  <c r="T3447" i="210"/>
  <c r="T3463" i="210"/>
  <c r="T3471" i="210"/>
  <c r="T3479" i="210"/>
  <c r="O3479" i="210" s="1"/>
  <c r="T3487" i="210"/>
  <c r="O3487" i="210" s="1"/>
  <c r="T3503" i="210"/>
  <c r="T3511" i="210"/>
  <c r="T3519" i="210"/>
  <c r="T3527" i="210"/>
  <c r="T3535" i="210"/>
  <c r="T3543" i="210"/>
  <c r="T3551" i="210"/>
  <c r="O3551" i="210" s="1"/>
  <c r="T3559" i="210"/>
  <c r="O3559" i="210" s="1"/>
  <c r="T3567" i="210"/>
  <c r="T3575" i="210"/>
  <c r="T3583" i="210"/>
  <c r="T3591" i="210"/>
  <c r="T3599" i="210"/>
  <c r="O3599" i="210" s="1"/>
  <c r="T3607" i="210"/>
  <c r="T3615" i="210"/>
  <c r="O3615" i="210" s="1"/>
  <c r="T3623" i="210"/>
  <c r="O3623" i="210" s="1"/>
  <c r="T3631" i="210"/>
  <c r="T3639" i="210"/>
  <c r="T3647" i="210"/>
  <c r="T3655" i="210"/>
  <c r="T3663" i="210"/>
  <c r="O3663" i="210" s="1"/>
  <c r="T3671" i="210"/>
  <c r="T3679" i="210"/>
  <c r="O3679" i="210" s="1"/>
  <c r="T3687" i="210"/>
  <c r="O3687" i="210" s="1"/>
  <c r="T3695" i="210"/>
  <c r="T3711" i="210"/>
  <c r="T3719" i="210"/>
  <c r="T3727" i="210"/>
  <c r="T3735" i="210"/>
  <c r="O3735" i="210" s="1"/>
  <c r="T3743" i="210"/>
  <c r="T3759" i="210"/>
  <c r="O3759" i="210" s="1"/>
  <c r="T3767" i="210"/>
  <c r="O3767" i="210" s="1"/>
  <c r="T3775" i="210"/>
  <c r="T3783" i="210"/>
  <c r="T3791" i="210"/>
  <c r="T3799" i="210"/>
  <c r="T3815" i="210"/>
  <c r="O3815" i="210" s="1"/>
  <c r="T3823" i="210"/>
  <c r="T3831" i="210"/>
  <c r="O3831" i="210" s="1"/>
  <c r="T3847" i="210"/>
  <c r="O3847" i="210" s="1"/>
  <c r="T3855" i="210"/>
  <c r="T3863" i="210"/>
  <c r="T3871" i="210"/>
  <c r="T3040" i="210"/>
  <c r="T3112" i="210"/>
  <c r="O3112" i="210" s="1"/>
  <c r="T3160" i="210"/>
  <c r="T3296" i="210"/>
  <c r="T3344" i="210"/>
  <c r="T3376" i="210"/>
  <c r="T3408" i="210"/>
  <c r="T3434" i="210"/>
  <c r="T3442" i="210"/>
  <c r="T3458" i="210"/>
  <c r="T3466" i="210"/>
  <c r="T3474" i="210"/>
  <c r="T3482" i="210"/>
  <c r="O3482" i="210" s="1"/>
  <c r="T3490" i="210"/>
  <c r="O3490" i="210" s="1"/>
  <c r="T3506" i="210"/>
  <c r="O3506" i="210" s="1"/>
  <c r="T3514" i="210"/>
  <c r="T3522" i="210"/>
  <c r="T3530" i="210"/>
  <c r="T3546" i="210"/>
  <c r="T3554" i="210"/>
  <c r="T3562" i="210"/>
  <c r="O3562" i="210" s="1"/>
  <c r="T3570" i="210"/>
  <c r="O3570" i="210" s="1"/>
  <c r="T3578" i="210"/>
  <c r="O3578" i="210" s="1"/>
  <c r="T3586" i="210"/>
  <c r="T3602" i="210"/>
  <c r="T3610" i="210"/>
  <c r="T3618" i="210"/>
  <c r="T3626" i="210"/>
  <c r="T3634" i="210"/>
  <c r="O3634" i="210" s="1"/>
  <c r="T3650" i="210"/>
  <c r="O3650" i="210" s="1"/>
  <c r="T3658" i="210"/>
  <c r="O3658" i="210" s="1"/>
  <c r="T3666" i="210"/>
  <c r="T3674" i="210"/>
  <c r="T3682" i="210"/>
  <c r="T3690" i="210"/>
  <c r="T3698" i="210"/>
  <c r="T3706" i="210"/>
  <c r="O3706" i="210" s="1"/>
  <c r="T3714" i="210"/>
  <c r="O3714" i="210" s="1"/>
  <c r="T3722" i="210"/>
  <c r="O3722" i="210" s="1"/>
  <c r="T3730" i="210"/>
  <c r="T3738" i="210"/>
  <c r="T3746" i="210"/>
  <c r="T3762" i="210"/>
  <c r="T3770" i="210"/>
  <c r="T3778" i="210"/>
  <c r="T3786" i="210"/>
  <c r="O3786" i="210" s="1"/>
  <c r="T3794" i="210"/>
  <c r="O3794" i="210" s="1"/>
  <c r="T3802" i="210"/>
  <c r="T3810" i="210"/>
  <c r="T3818" i="210"/>
  <c r="T3826" i="210"/>
  <c r="T3834" i="210"/>
  <c r="T3842" i="210"/>
  <c r="O3842" i="210" s="1"/>
  <c r="T3850" i="210"/>
  <c r="O3850" i="210" s="1"/>
  <c r="T3858" i="210"/>
  <c r="O3858" i="210" s="1"/>
  <c r="T3866" i="210"/>
  <c r="T3874" i="210"/>
  <c r="T2945" i="210"/>
  <c r="T2988" i="210"/>
  <c r="T3088" i="210"/>
  <c r="T3136" i="210"/>
  <c r="O3136" i="210" s="1"/>
  <c r="T3224" i="210"/>
  <c r="T3272" i="210"/>
  <c r="O3272" i="210" s="1"/>
  <c r="T3336" i="210"/>
  <c r="O3336" i="210" s="1"/>
  <c r="T3373" i="210"/>
  <c r="T3405" i="210"/>
  <c r="O3405" i="210" s="1"/>
  <c r="T3437" i="210"/>
  <c r="T3445" i="210"/>
  <c r="T3461" i="210"/>
  <c r="T3469" i="210"/>
  <c r="T3477" i="210"/>
  <c r="T3485" i="210"/>
  <c r="O3485" i="210" s="1"/>
  <c r="T3493" i="210"/>
  <c r="O3493" i="210" s="1"/>
  <c r="T3501" i="210"/>
  <c r="T3509" i="210"/>
  <c r="T3517" i="210"/>
  <c r="T3525" i="210"/>
  <c r="O3525" i="210" s="1"/>
  <c r="T3533" i="210"/>
  <c r="T3549" i="210"/>
  <c r="T3557" i="210"/>
  <c r="O3557" i="210" s="1"/>
  <c r="T3565" i="210"/>
  <c r="O3565" i="210" s="1"/>
  <c r="T3573" i="210"/>
  <c r="T3581" i="210"/>
  <c r="T3589" i="210"/>
  <c r="T3605" i="210"/>
  <c r="O3605" i="210" s="1"/>
  <c r="T3613" i="210"/>
  <c r="T3621" i="210"/>
  <c r="T3629" i="210"/>
  <c r="O3629" i="210" s="1"/>
  <c r="T3637" i="210"/>
  <c r="O3637" i="210" s="1"/>
  <c r="T3653" i="210"/>
  <c r="T3661" i="210"/>
  <c r="T3669" i="210"/>
  <c r="T3677" i="210"/>
  <c r="O3677" i="210" s="1"/>
  <c r="T3685" i="210"/>
  <c r="T3693" i="210"/>
  <c r="T3709" i="210"/>
  <c r="O3709" i="210" s="1"/>
  <c r="T3717" i="210"/>
  <c r="O3717" i="210" s="1"/>
  <c r="T3725" i="210"/>
  <c r="T3733" i="210"/>
  <c r="T3741" i="210"/>
  <c r="T3749" i="210"/>
  <c r="O3749" i="210" s="1"/>
  <c r="T3757" i="210"/>
  <c r="T3765" i="210"/>
  <c r="T3773" i="210"/>
  <c r="O3773" i="210" s="1"/>
  <c r="T3781" i="210"/>
  <c r="O3781" i="210" s="1"/>
  <c r="T3789" i="210"/>
  <c r="T3797" i="210"/>
  <c r="T3813" i="210"/>
  <c r="T3821" i="210"/>
  <c r="O3821" i="210" s="1"/>
  <c r="T3829" i="210"/>
  <c r="T3845" i="210"/>
  <c r="T3853" i="210"/>
  <c r="O3853" i="210" s="1"/>
  <c r="T3861" i="210"/>
  <c r="O3861" i="210" s="1"/>
  <c r="T3869" i="210"/>
  <c r="T3056" i="210"/>
  <c r="O3056" i="210" s="1"/>
  <c r="T3176" i="210"/>
  <c r="T3200" i="210"/>
  <c r="O3200" i="210" s="1"/>
  <c r="T3312" i="210"/>
  <c r="T3352" i="210"/>
  <c r="O3352" i="210" s="1"/>
  <c r="T3384" i="210"/>
  <c r="T3416" i="210"/>
  <c r="T3432" i="210"/>
  <c r="O3432" i="210" s="1"/>
  <c r="T3440" i="210"/>
  <c r="O3440" i="210" s="1"/>
  <c r="T3448" i="210"/>
  <c r="O3448" i="210" s="1"/>
  <c r="T3456" i="210"/>
  <c r="T3464" i="210"/>
  <c r="T3472" i="210"/>
  <c r="T3480" i="210"/>
  <c r="T3488" i="210"/>
  <c r="T3504" i="210"/>
  <c r="O3504" i="210" s="1"/>
  <c r="T3512" i="210"/>
  <c r="O3512" i="210" s="1"/>
  <c r="T3520" i="210"/>
  <c r="O3520" i="210" s="1"/>
  <c r="T3528" i="210"/>
  <c r="T3536" i="210"/>
  <c r="T3544" i="210"/>
  <c r="T3552" i="210"/>
  <c r="T3560" i="210"/>
  <c r="T3568" i="210"/>
  <c r="O3568" i="210" s="1"/>
  <c r="T3576" i="210"/>
  <c r="O3576" i="210" s="1"/>
  <c r="T3584" i="210"/>
  <c r="O3584" i="210" s="1"/>
  <c r="T3592" i="210"/>
  <c r="T3600" i="210"/>
  <c r="T3608" i="210"/>
  <c r="T3616" i="210"/>
  <c r="T3624" i="210"/>
  <c r="T3632" i="210"/>
  <c r="T3640" i="210"/>
  <c r="O3640" i="210" s="1"/>
  <c r="T3648" i="210"/>
  <c r="O3648" i="210" s="1"/>
  <c r="T3656" i="210"/>
  <c r="T3664" i="210"/>
  <c r="T3672" i="210"/>
  <c r="T3680" i="210"/>
  <c r="T3688" i="210"/>
  <c r="T3696" i="210"/>
  <c r="O3696" i="210" s="1"/>
  <c r="T3712" i="210"/>
  <c r="O3712" i="210" s="1"/>
  <c r="T3720" i="210"/>
  <c r="O3720" i="210" s="1"/>
  <c r="T3728" i="210"/>
  <c r="T3736" i="210"/>
  <c r="T3744" i="210"/>
  <c r="T3760" i="210"/>
  <c r="T3768" i="210"/>
  <c r="T3776" i="210"/>
  <c r="O3776" i="210" s="1"/>
  <c r="T3784" i="210"/>
  <c r="O3784" i="210" s="1"/>
  <c r="T3792" i="210"/>
  <c r="O3792" i="210" s="1"/>
  <c r="T3800" i="210"/>
  <c r="T3816" i="210"/>
  <c r="T3824" i="210"/>
  <c r="T3832" i="210"/>
  <c r="T3848" i="210"/>
  <c r="T3856" i="210"/>
  <c r="T3864" i="210"/>
  <c r="O3864" i="210" s="1"/>
  <c r="T3872" i="210"/>
  <c r="O3872" i="210" s="1"/>
  <c r="T2644" i="210"/>
  <c r="O2644" i="210" s="1"/>
  <c r="T2900" i="210"/>
  <c r="T3032" i="210"/>
  <c r="T3104" i="210"/>
  <c r="T3152" i="210"/>
  <c r="T3240" i="210"/>
  <c r="T3288" i="210"/>
  <c r="T3349" i="210"/>
  <c r="O3349" i="210" s="1"/>
  <c r="T3381" i="210"/>
  <c r="O3381" i="210" s="1"/>
  <c r="T3413" i="210"/>
  <c r="O3413" i="210" s="1"/>
  <c r="T3435" i="210"/>
  <c r="O3435" i="210" s="1"/>
  <c r="T3443" i="210"/>
  <c r="O3443" i="210" s="1"/>
  <c r="T3459" i="210"/>
  <c r="T3467" i="210"/>
  <c r="T3475" i="210"/>
  <c r="T3483" i="210"/>
  <c r="T3491" i="210"/>
  <c r="O3491" i="210" s="1"/>
  <c r="T3507" i="210"/>
  <c r="T3515" i="210"/>
  <c r="O3515" i="210" s="1"/>
  <c r="T3523" i="210"/>
  <c r="O3523" i="210" s="1"/>
  <c r="T3531" i="210"/>
  <c r="T3547" i="210"/>
  <c r="T3555" i="210"/>
  <c r="T3563" i="210"/>
  <c r="T3571" i="210"/>
  <c r="O3571" i="210" s="1"/>
  <c r="T3579" i="210"/>
  <c r="T3587" i="210"/>
  <c r="O3587" i="210" s="1"/>
  <c r="T3603" i="210"/>
  <c r="O3603" i="210" s="1"/>
  <c r="T3611" i="210"/>
  <c r="T3619" i="210"/>
  <c r="T3627" i="210"/>
  <c r="T3635" i="210"/>
  <c r="T3651" i="210"/>
  <c r="O3651" i="210" s="1"/>
  <c r="T3659" i="210"/>
  <c r="T3667" i="210"/>
  <c r="O3667" i="210" s="1"/>
  <c r="T3675" i="210"/>
  <c r="O3675" i="210" s="1"/>
  <c r="T3683" i="210"/>
  <c r="T3691" i="210"/>
  <c r="T3699" i="210"/>
  <c r="T3707" i="210"/>
  <c r="T3715" i="210"/>
  <c r="O3715" i="210" s="1"/>
  <c r="T3723" i="210"/>
  <c r="T3731" i="210"/>
  <c r="O3731" i="210" s="1"/>
  <c r="T3739" i="210"/>
  <c r="O3739" i="210" s="1"/>
  <c r="T3747" i="210"/>
  <c r="T3763" i="210"/>
  <c r="T3771" i="210"/>
  <c r="T3779" i="210"/>
  <c r="T3787" i="210"/>
  <c r="O3787" i="210" s="1"/>
  <c r="T3795" i="210"/>
  <c r="T3811" i="210"/>
  <c r="O3811" i="210" s="1"/>
  <c r="T3819" i="210"/>
  <c r="O3819" i="210" s="1"/>
  <c r="T3048" i="210"/>
  <c r="T3120" i="210"/>
  <c r="O3120" i="210" s="1"/>
  <c r="T3168" i="210"/>
  <c r="T3304" i="210"/>
  <c r="T3357" i="210"/>
  <c r="T3389" i="210"/>
  <c r="T3421" i="210"/>
  <c r="T3433" i="210"/>
  <c r="T3441" i="210"/>
  <c r="T3449" i="210"/>
  <c r="O3449" i="210" s="1"/>
  <c r="T3457" i="210"/>
  <c r="T3465" i="210"/>
  <c r="T3473" i="210"/>
  <c r="O3473" i="210" s="1"/>
  <c r="T3481" i="210"/>
  <c r="T3489" i="210"/>
  <c r="T3505" i="210"/>
  <c r="O3505" i="210" s="1"/>
  <c r="T3513" i="210"/>
  <c r="T3521" i="210"/>
  <c r="O3521" i="210" s="1"/>
  <c r="T3529" i="210"/>
  <c r="T3545" i="210"/>
  <c r="O3545" i="210" s="1"/>
  <c r="T3553" i="210"/>
  <c r="O3553" i="210" s="1"/>
  <c r="T3561" i="210"/>
  <c r="T3569" i="210"/>
  <c r="O3569" i="210" s="1"/>
  <c r="T3577" i="210"/>
  <c r="T3585" i="210"/>
  <c r="O3585" i="210" s="1"/>
  <c r="T3601" i="210"/>
  <c r="O3601" i="210" s="1"/>
  <c r="T3609" i="210"/>
  <c r="O3609" i="210" s="1"/>
  <c r="T3617" i="210"/>
  <c r="T3625" i="210"/>
  <c r="O3625" i="210" s="1"/>
  <c r="T3633" i="210"/>
  <c r="T3649" i="210"/>
  <c r="T3657" i="210"/>
  <c r="O3657" i="210" s="1"/>
  <c r="T3665" i="210"/>
  <c r="O3665" i="210" s="1"/>
  <c r="T3673" i="210"/>
  <c r="T3681" i="210"/>
  <c r="T3689" i="210"/>
  <c r="O3689" i="210" s="1"/>
  <c r="T3697" i="210"/>
  <c r="T3713" i="210"/>
  <c r="T3721" i="210"/>
  <c r="T3729" i="210"/>
  <c r="T3737" i="210"/>
  <c r="T3745" i="210"/>
  <c r="T3761" i="210"/>
  <c r="T3769" i="210"/>
  <c r="T3777" i="210"/>
  <c r="O3777" i="210" s="1"/>
  <c r="T3785" i="210"/>
  <c r="T3793" i="210"/>
  <c r="T3801" i="210"/>
  <c r="O3801" i="210" s="1"/>
  <c r="T3809" i="210"/>
  <c r="T3817" i="210"/>
  <c r="O3817" i="210" s="1"/>
  <c r="T3825" i="210"/>
  <c r="T3833" i="210"/>
  <c r="O3833" i="210" s="1"/>
  <c r="T3841" i="210"/>
  <c r="O3841" i="210" s="1"/>
  <c r="T3849" i="210"/>
  <c r="O3849" i="210" s="1"/>
  <c r="T3857" i="210"/>
  <c r="T3865" i="210"/>
  <c r="T3873" i="210"/>
  <c r="T3566" i="210"/>
  <c r="O3566" i="210" s="1"/>
  <c r="T3630" i="210"/>
  <c r="T3694" i="210"/>
  <c r="T3742" i="210"/>
  <c r="O3742" i="210" s="1"/>
  <c r="T3822" i="210"/>
  <c r="T3851" i="210"/>
  <c r="T3881" i="210"/>
  <c r="T3889" i="210"/>
  <c r="O3889" i="210" s="1"/>
  <c r="T3897" i="210"/>
  <c r="O3897" i="210" s="1"/>
  <c r="T3913" i="210"/>
  <c r="T3929" i="210"/>
  <c r="O3929" i="210" s="1"/>
  <c r="T3937" i="210"/>
  <c r="O3937" i="210" s="1"/>
  <c r="T3945" i="210"/>
  <c r="T3953" i="210"/>
  <c r="T3961" i="210"/>
  <c r="T3969" i="210"/>
  <c r="T3977" i="210"/>
  <c r="T3985" i="210"/>
  <c r="T3993" i="210"/>
  <c r="T4001" i="210"/>
  <c r="O4001" i="210" s="1"/>
  <c r="T2812" i="210"/>
  <c r="T3470" i="210"/>
  <c r="T3606" i="210"/>
  <c r="T3670" i="210"/>
  <c r="T3718" i="210"/>
  <c r="O3718" i="210" s="1"/>
  <c r="T3790" i="210"/>
  <c r="O3790" i="210" s="1"/>
  <c r="T3814" i="210"/>
  <c r="T3862" i="210"/>
  <c r="O3862" i="210" s="1"/>
  <c r="T3876" i="210"/>
  <c r="T3884" i="210"/>
  <c r="T3892" i="210"/>
  <c r="O3892" i="210" s="1"/>
  <c r="T3908" i="210"/>
  <c r="O3908" i="210" s="1"/>
  <c r="T3916" i="210"/>
  <c r="T3932" i="210"/>
  <c r="T3940" i="210"/>
  <c r="T3948" i="210"/>
  <c r="O3948" i="210" s="1"/>
  <c r="T3956" i="210"/>
  <c r="T3964" i="210"/>
  <c r="T3360" i="210"/>
  <c r="T3446" i="210"/>
  <c r="T3518" i="210"/>
  <c r="T3582" i="210"/>
  <c r="T3766" i="210"/>
  <c r="T3830" i="210"/>
  <c r="O3830" i="210" s="1"/>
  <c r="T3859" i="210"/>
  <c r="T3879" i="210"/>
  <c r="O3879" i="210" s="1"/>
  <c r="T3887" i="210"/>
  <c r="T3895" i="210"/>
  <c r="T3911" i="210"/>
  <c r="T3919" i="210"/>
  <c r="T3927" i="210"/>
  <c r="T3935" i="210"/>
  <c r="O3935" i="210" s="1"/>
  <c r="T3943" i="210"/>
  <c r="O3943" i="210" s="1"/>
  <c r="T3951" i="210"/>
  <c r="O3951" i="210" s="1"/>
  <c r="T3959" i="210"/>
  <c r="T3967" i="210"/>
  <c r="O3967" i="210" s="1"/>
  <c r="T3975" i="210"/>
  <c r="O3975" i="210" s="1"/>
  <c r="T3983" i="210"/>
  <c r="T3991" i="210"/>
  <c r="T4007" i="210"/>
  <c r="O4007" i="210" s="1"/>
  <c r="T4015" i="210"/>
  <c r="T4023" i="210"/>
  <c r="T3192" i="210"/>
  <c r="T3486" i="210"/>
  <c r="O3486" i="210" s="1"/>
  <c r="T3558" i="210"/>
  <c r="O3558" i="210" s="1"/>
  <c r="T3622" i="210"/>
  <c r="T3686" i="210"/>
  <c r="T3710" i="210"/>
  <c r="O3710" i="210" s="1"/>
  <c r="T3734" i="210"/>
  <c r="T3827" i="210"/>
  <c r="T3870" i="210"/>
  <c r="T3882" i="210"/>
  <c r="T3890" i="210"/>
  <c r="T3898" i="210"/>
  <c r="T3906" i="210"/>
  <c r="T3914" i="210"/>
  <c r="O3914" i="210" s="1"/>
  <c r="T3930" i="210"/>
  <c r="O3930" i="210" s="1"/>
  <c r="T3938" i="210"/>
  <c r="O3938" i="210" s="1"/>
  <c r="T3946" i="210"/>
  <c r="T3954" i="210"/>
  <c r="T3962" i="210"/>
  <c r="T3970" i="210"/>
  <c r="T3978" i="210"/>
  <c r="T3986" i="210"/>
  <c r="O3986" i="210" s="1"/>
  <c r="T4002" i="210"/>
  <c r="O4002" i="210" s="1"/>
  <c r="T3072" i="210"/>
  <c r="T3328" i="210"/>
  <c r="T3424" i="210"/>
  <c r="T3462" i="210"/>
  <c r="T3534" i="210"/>
  <c r="T3662" i="210"/>
  <c r="T3782" i="210"/>
  <c r="O3782" i="210" s="1"/>
  <c r="T3867" i="210"/>
  <c r="T3877" i="210"/>
  <c r="T3885" i="210"/>
  <c r="T3893" i="210"/>
  <c r="T3909" i="210"/>
  <c r="T3917" i="210"/>
  <c r="T3933" i="210"/>
  <c r="T3941" i="210"/>
  <c r="O3941" i="210" s="1"/>
  <c r="T3438" i="210"/>
  <c r="T3510" i="210"/>
  <c r="T3574" i="210"/>
  <c r="O3574" i="210" s="1"/>
  <c r="T3638" i="210"/>
  <c r="O3638" i="210" s="1"/>
  <c r="T3750" i="210"/>
  <c r="T3758" i="210"/>
  <c r="T3846" i="210"/>
  <c r="T3880" i="210"/>
  <c r="O3880" i="210" s="1"/>
  <c r="T3888" i="210"/>
  <c r="O3888" i="210" s="1"/>
  <c r="T3896" i="210"/>
  <c r="O3896" i="210" s="1"/>
  <c r="T3912" i="210"/>
  <c r="T3928" i="210"/>
  <c r="T3936" i="210"/>
  <c r="T3478" i="210"/>
  <c r="T3550" i="210"/>
  <c r="T3614" i="210"/>
  <c r="T3678" i="210"/>
  <c r="T3726" i="210"/>
  <c r="O3726" i="210" s="1"/>
  <c r="T3798" i="210"/>
  <c r="T3843" i="210"/>
  <c r="T3883" i="210"/>
  <c r="O3883" i="210" s="1"/>
  <c r="T3891" i="210"/>
  <c r="O3891" i="210" s="1"/>
  <c r="T3899" i="210"/>
  <c r="O3899" i="210" s="1"/>
  <c r="T3907" i="210"/>
  <c r="T3915" i="210"/>
  <c r="T3931" i="210"/>
  <c r="T3939" i="210"/>
  <c r="T3947" i="210"/>
  <c r="O3947" i="210" s="1"/>
  <c r="T3955" i="210"/>
  <c r="T3963" i="210"/>
  <c r="T3971" i="210"/>
  <c r="T3979" i="210"/>
  <c r="T3987" i="210"/>
  <c r="T4003" i="210"/>
  <c r="T4011" i="210"/>
  <c r="T4019" i="210"/>
  <c r="T3216" i="210"/>
  <c r="T3264" i="210"/>
  <c r="T3774" i="210"/>
  <c r="T3886" i="210"/>
  <c r="O3886" i="210" s="1"/>
  <c r="T3926" i="210"/>
  <c r="T4008" i="210"/>
  <c r="T4017" i="210"/>
  <c r="T4018" i="210"/>
  <c r="T4039" i="210"/>
  <c r="T4047" i="210"/>
  <c r="T4063" i="210"/>
  <c r="T4071" i="210"/>
  <c r="O4071" i="210" s="1"/>
  <c r="T4079" i="210"/>
  <c r="T4087" i="210"/>
  <c r="T4095" i="210"/>
  <c r="O4095" i="210" s="1"/>
  <c r="T4103" i="210"/>
  <c r="T4119" i="210"/>
  <c r="O4119" i="210" s="1"/>
  <c r="T4127" i="210"/>
  <c r="T4135" i="210"/>
  <c r="T4151" i="210"/>
  <c r="O4151" i="210" s="1"/>
  <c r="T4159" i="210"/>
  <c r="T4175" i="210"/>
  <c r="T4183" i="210"/>
  <c r="T4191" i="210"/>
  <c r="T4199" i="210"/>
  <c r="T4207" i="210"/>
  <c r="T4223" i="210"/>
  <c r="T4231" i="210"/>
  <c r="O4231" i="210" s="1"/>
  <c r="T4239" i="210"/>
  <c r="T4247" i="210"/>
  <c r="T4255" i="210"/>
  <c r="T4263" i="210"/>
  <c r="T4271" i="210"/>
  <c r="O4271" i="210" s="1"/>
  <c r="T4279" i="210"/>
  <c r="T4287" i="210"/>
  <c r="O4287" i="210" s="1"/>
  <c r="T4295" i="210"/>
  <c r="T4303" i="210"/>
  <c r="O4303" i="210" s="1"/>
  <c r="T4311" i="210"/>
  <c r="T4319" i="210"/>
  <c r="O4319" i="210" s="1"/>
  <c r="T4327" i="210"/>
  <c r="T4343" i="210"/>
  <c r="O4343" i="210" s="1"/>
  <c r="T4359" i="210"/>
  <c r="T4367" i="210"/>
  <c r="O4367" i="210" s="1"/>
  <c r="T4375" i="210"/>
  <c r="O4375" i="210" s="1"/>
  <c r="T4391" i="210"/>
  <c r="T4399" i="210"/>
  <c r="O4399" i="210" s="1"/>
  <c r="T4415" i="210"/>
  <c r="T4423" i="210"/>
  <c r="T4439" i="210"/>
  <c r="O4439" i="210" s="1"/>
  <c r="T4447" i="210"/>
  <c r="O4447" i="210" s="1"/>
  <c r="T4455" i="210"/>
  <c r="O4455" i="210" s="1"/>
  <c r="T4463" i="210"/>
  <c r="T4479" i="210"/>
  <c r="T4487" i="210"/>
  <c r="T4495" i="210"/>
  <c r="T4503" i="210"/>
  <c r="T4511" i="210"/>
  <c r="T4519" i="210"/>
  <c r="T4527" i="210"/>
  <c r="T3972" i="210"/>
  <c r="O3972" i="210" s="1"/>
  <c r="T3973" i="210"/>
  <c r="T3974" i="210"/>
  <c r="T3988" i="210"/>
  <c r="T3989" i="210"/>
  <c r="T3990" i="210"/>
  <c r="T4004" i="210"/>
  <c r="T4013" i="210"/>
  <c r="T4014" i="210"/>
  <c r="O4014" i="210" s="1"/>
  <c r="T4026" i="210"/>
  <c r="T4042" i="210"/>
  <c r="T4050" i="210"/>
  <c r="O4050" i="210" s="1"/>
  <c r="T4066" i="210"/>
  <c r="O4066" i="210" s="1"/>
  <c r="T4074" i="210"/>
  <c r="T4082" i="210"/>
  <c r="T4090" i="210"/>
  <c r="T4098" i="210"/>
  <c r="T4114" i="210"/>
  <c r="T4122" i="210"/>
  <c r="T4130" i="210"/>
  <c r="O4130" i="210" s="1"/>
  <c r="T4138" i="210"/>
  <c r="O4138" i="210" s="1"/>
  <c r="T4154" i="210"/>
  <c r="T4162" i="210"/>
  <c r="T4178" i="210"/>
  <c r="T4186" i="210"/>
  <c r="O4186" i="210" s="1"/>
  <c r="T4194" i="210"/>
  <c r="T4202" i="210"/>
  <c r="T4218" i="210"/>
  <c r="O4218" i="210" s="1"/>
  <c r="T4226" i="210"/>
  <c r="O4226" i="210" s="1"/>
  <c r="T4234" i="210"/>
  <c r="T4242" i="210"/>
  <c r="T4250" i="210"/>
  <c r="T4258" i="210"/>
  <c r="O4258" i="210" s="1"/>
  <c r="T4274" i="210"/>
  <c r="T4282" i="210"/>
  <c r="T4290" i="210"/>
  <c r="O4290" i="210" s="1"/>
  <c r="T4298" i="210"/>
  <c r="O4298" i="210" s="1"/>
  <c r="T4306" i="210"/>
  <c r="T4314" i="210"/>
  <c r="T4322" i="210"/>
  <c r="T4338" i="210"/>
  <c r="O4338" i="210" s="1"/>
  <c r="T4346" i="210"/>
  <c r="T4362" i="210"/>
  <c r="T4370" i="210"/>
  <c r="O4370" i="210" s="1"/>
  <c r="T4378" i="210"/>
  <c r="O4378" i="210" s="1"/>
  <c r="T4394" i="210"/>
  <c r="T4410" i="210"/>
  <c r="T4418" i="210"/>
  <c r="T4434" i="210"/>
  <c r="O4434" i="210" s="1"/>
  <c r="T4442" i="210"/>
  <c r="T4450" i="210"/>
  <c r="T4458" i="210"/>
  <c r="O4458" i="210" s="1"/>
  <c r="T4466" i="210"/>
  <c r="O4466" i="210" s="1"/>
  <c r="T4482" i="210"/>
  <c r="T4490" i="210"/>
  <c r="T4498" i="210"/>
  <c r="T4506" i="210"/>
  <c r="O4506" i="210" s="1"/>
  <c r="T4514" i="210"/>
  <c r="T3944" i="210"/>
  <c r="T4009" i="210"/>
  <c r="T4010" i="210"/>
  <c r="O4010" i="210" s="1"/>
  <c r="T4029" i="210"/>
  <c r="T4037" i="210"/>
  <c r="T4045" i="210"/>
  <c r="T4053" i="210"/>
  <c r="O4053" i="210" s="1"/>
  <c r="T4061" i="210"/>
  <c r="O4061" i="210" s="1"/>
  <c r="T4069" i="210"/>
  <c r="O4069" i="210" s="1"/>
  <c r="T4077" i="210"/>
  <c r="T4085" i="210"/>
  <c r="T4093" i="210"/>
  <c r="T4101" i="210"/>
  <c r="T4117" i="210"/>
  <c r="T4125" i="210"/>
  <c r="O4125" i="210" s="1"/>
  <c r="T4133" i="210"/>
  <c r="O4133" i="210" s="1"/>
  <c r="T4141" i="210"/>
  <c r="O4141" i="210" s="1"/>
  <c r="T4149" i="210"/>
  <c r="T4157" i="210"/>
  <c r="T4165" i="210"/>
  <c r="T4173" i="210"/>
  <c r="T4181" i="210"/>
  <c r="T4189" i="210"/>
  <c r="O4189" i="210" s="1"/>
  <c r="T4197" i="210"/>
  <c r="O4197" i="210" s="1"/>
  <c r="T4205" i="210"/>
  <c r="O4205" i="210" s="1"/>
  <c r="T4221" i="210"/>
  <c r="T4229" i="210"/>
  <c r="T4237" i="210"/>
  <c r="T4245" i="210"/>
  <c r="T4253" i="210"/>
  <c r="T4261" i="210"/>
  <c r="O4261" i="210" s="1"/>
  <c r="T4277" i="210"/>
  <c r="O4277" i="210" s="1"/>
  <c r="T4285" i="210"/>
  <c r="O4285" i="210" s="1"/>
  <c r="T4293" i="210"/>
  <c r="T4301" i="210"/>
  <c r="T4309" i="210"/>
  <c r="T4317" i="210"/>
  <c r="T4325" i="210"/>
  <c r="T4341" i="210"/>
  <c r="O4341" i="210" s="1"/>
  <c r="T4349" i="210"/>
  <c r="O4349" i="210" s="1"/>
  <c r="T4357" i="210"/>
  <c r="O4357" i="210" s="1"/>
  <c r="T4365" i="210"/>
  <c r="T4373" i="210"/>
  <c r="T4381" i="210"/>
  <c r="T4389" i="210"/>
  <c r="T4397" i="210"/>
  <c r="T4413" i="210"/>
  <c r="O4413" i="210" s="1"/>
  <c r="T4421" i="210"/>
  <c r="O4421" i="210" s="1"/>
  <c r="T4437" i="210"/>
  <c r="O4437" i="210" s="1"/>
  <c r="T4445" i="210"/>
  <c r="T4453" i="210"/>
  <c r="T4461" i="210"/>
  <c r="T4469" i="210"/>
  <c r="T4477" i="210"/>
  <c r="T4485" i="210"/>
  <c r="T4493" i="210"/>
  <c r="O4493" i="210" s="1"/>
  <c r="T4501" i="210"/>
  <c r="O4501" i="210" s="1"/>
  <c r="T4509" i="210"/>
  <c r="T4517" i="210"/>
  <c r="T3878" i="210"/>
  <c r="T3976" i="210"/>
  <c r="O3976" i="210" s="1"/>
  <c r="T3992" i="210"/>
  <c r="T4005" i="210"/>
  <c r="O4005" i="210" s="1"/>
  <c r="T4006" i="210"/>
  <c r="T4040" i="210"/>
  <c r="T4048" i="210"/>
  <c r="T4064" i="210"/>
  <c r="O4064" i="210" s="1"/>
  <c r="T4072" i="210"/>
  <c r="O4072" i="210" s="1"/>
  <c r="T4080" i="210"/>
  <c r="T4088" i="210"/>
  <c r="T4096" i="210"/>
  <c r="O4096" i="210" s="1"/>
  <c r="T4104" i="210"/>
  <c r="T4112" i="210"/>
  <c r="T4120" i="210"/>
  <c r="T4128" i="210"/>
  <c r="O4128" i="210" s="1"/>
  <c r="T4136" i="210"/>
  <c r="O4136" i="210" s="1"/>
  <c r="T4152" i="210"/>
  <c r="T4160" i="210"/>
  <c r="T4176" i="210"/>
  <c r="O4176" i="210" s="1"/>
  <c r="T4184" i="210"/>
  <c r="T4192" i="210"/>
  <c r="T4200" i="210"/>
  <c r="T4208" i="210"/>
  <c r="O4208" i="210" s="1"/>
  <c r="T4216" i="210"/>
  <c r="T4224" i="210"/>
  <c r="T4232" i="210"/>
  <c r="T4240" i="210"/>
  <c r="T4248" i="210"/>
  <c r="T4256" i="210"/>
  <c r="T4272" i="210"/>
  <c r="T4280" i="210"/>
  <c r="O4280" i="210" s="1"/>
  <c r="T4288" i="210"/>
  <c r="O4288" i="210" s="1"/>
  <c r="T4296" i="210"/>
  <c r="T4304" i="210"/>
  <c r="T4312" i="210"/>
  <c r="O4312" i="210" s="1"/>
  <c r="T4320" i="210"/>
  <c r="T4328" i="210"/>
  <c r="T4336" i="210"/>
  <c r="T4344" i="210"/>
  <c r="O4344" i="210" s="1"/>
  <c r="T4360" i="210"/>
  <c r="O4360" i="210" s="1"/>
  <c r="T4368" i="210"/>
  <c r="T4376" i="210"/>
  <c r="T4392" i="210"/>
  <c r="T4400" i="210"/>
  <c r="T4408" i="210"/>
  <c r="T4416" i="210"/>
  <c r="T4424" i="210"/>
  <c r="O4424" i="210" s="1"/>
  <c r="T4432" i="210"/>
  <c r="T4440" i="210"/>
  <c r="T4448" i="210"/>
  <c r="T4456" i="210"/>
  <c r="O4456" i="210" s="1"/>
  <c r="T4464" i="210"/>
  <c r="T4480" i="210"/>
  <c r="T4488" i="210"/>
  <c r="T4496" i="210"/>
  <c r="O4496" i="210" s="1"/>
  <c r="T4504" i="210"/>
  <c r="O4504" i="210" s="1"/>
  <c r="T4512" i="210"/>
  <c r="T3526" i="210"/>
  <c r="T3654" i="210"/>
  <c r="O3654" i="210" s="1"/>
  <c r="T3854" i="210"/>
  <c r="T3918" i="210"/>
  <c r="T3942" i="210"/>
  <c r="T4024" i="210"/>
  <c r="T4027" i="210"/>
  <c r="O4027" i="210" s="1"/>
  <c r="T4043" i="210"/>
  <c r="O4043" i="210" s="1"/>
  <c r="T4051" i="210"/>
  <c r="T4067" i="210"/>
  <c r="T4075" i="210"/>
  <c r="T4083" i="210"/>
  <c r="T4091" i="210"/>
  <c r="T4099" i="210"/>
  <c r="T4115" i="210"/>
  <c r="O4115" i="210" s="1"/>
  <c r="T4123" i="210"/>
  <c r="O4123" i="210" s="1"/>
  <c r="T4131" i="210"/>
  <c r="T4139" i="210"/>
  <c r="T4155" i="210"/>
  <c r="T4163" i="210"/>
  <c r="T4179" i="210"/>
  <c r="T4187" i="210"/>
  <c r="T4195" i="210"/>
  <c r="O4195" i="210" s="1"/>
  <c r="T4203" i="210"/>
  <c r="O4203" i="210" s="1"/>
  <c r="T4219" i="210"/>
  <c r="T4227" i="210"/>
  <c r="O4227" i="210" s="1"/>
  <c r="T4235" i="210"/>
  <c r="T4243" i="210"/>
  <c r="T4251" i="210"/>
  <c r="T4259" i="210"/>
  <c r="T4275" i="210"/>
  <c r="O4275" i="210" s="1"/>
  <c r="T4283" i="210"/>
  <c r="O4283" i="210" s="1"/>
  <c r="T4291" i="210"/>
  <c r="T4299" i="210"/>
  <c r="O4299" i="210" s="1"/>
  <c r="T4307" i="210"/>
  <c r="T4315" i="210"/>
  <c r="T4323" i="210"/>
  <c r="T4339" i="210"/>
  <c r="T4347" i="210"/>
  <c r="O4347" i="210" s="1"/>
  <c r="T4363" i="210"/>
  <c r="O4363" i="210" s="1"/>
  <c r="T4371" i="210"/>
  <c r="T4379" i="210"/>
  <c r="T4395" i="210"/>
  <c r="T4411" i="210"/>
  <c r="T4419" i="210"/>
  <c r="T3392" i="210"/>
  <c r="O3392" i="210" s="1"/>
  <c r="T3894" i="210"/>
  <c r="O3894" i="210" s="1"/>
  <c r="T3965" i="210"/>
  <c r="T3966" i="210"/>
  <c r="O3966" i="210" s="1"/>
  <c r="T3980" i="210"/>
  <c r="O3980" i="210" s="1"/>
  <c r="T3981" i="210"/>
  <c r="T3982" i="210"/>
  <c r="T4020" i="210"/>
  <c r="T4038" i="210"/>
  <c r="T4046" i="210"/>
  <c r="O4046" i="210" s="1"/>
  <c r="T4054" i="210"/>
  <c r="T4062" i="210"/>
  <c r="O4062" i="210" s="1"/>
  <c r="T4070" i="210"/>
  <c r="O4070" i="210" s="1"/>
  <c r="T4078" i="210"/>
  <c r="T4086" i="210"/>
  <c r="T4094" i="210"/>
  <c r="T4102" i="210"/>
  <c r="T4118" i="210"/>
  <c r="O4118" i="210" s="1"/>
  <c r="T4126" i="210"/>
  <c r="T4134" i="210"/>
  <c r="O4134" i="210" s="1"/>
  <c r="T4142" i="210"/>
  <c r="O4142" i="210" s="1"/>
  <c r="T4150" i="210"/>
  <c r="T4158" i="210"/>
  <c r="T4174" i="210"/>
  <c r="T4182" i="210"/>
  <c r="T4190" i="210"/>
  <c r="T4198" i="210"/>
  <c r="T4206" i="210"/>
  <c r="O4206" i="210" s="1"/>
  <c r="T4222" i="210"/>
  <c r="O4222" i="210" s="1"/>
  <c r="T4230" i="210"/>
  <c r="T4238" i="210"/>
  <c r="T4246" i="210"/>
  <c r="T4254" i="210"/>
  <c r="T4262" i="210"/>
  <c r="O4262" i="210" s="1"/>
  <c r="T4270" i="210"/>
  <c r="T4278" i="210"/>
  <c r="O4278" i="210" s="1"/>
  <c r="T4286" i="210"/>
  <c r="O4286" i="210" s="1"/>
  <c r="T4294" i="210"/>
  <c r="T4302" i="210"/>
  <c r="T4310" i="210"/>
  <c r="T4318" i="210"/>
  <c r="T4326" i="210"/>
  <c r="O4326" i="210" s="1"/>
  <c r="T4342" i="210"/>
  <c r="T4350" i="210"/>
  <c r="O4350" i="210" s="1"/>
  <c r="T4358" i="210"/>
  <c r="O4358" i="210" s="1"/>
  <c r="T4366" i="210"/>
  <c r="T4374" i="210"/>
  <c r="T4390" i="210"/>
  <c r="T4398" i="210"/>
  <c r="T4414" i="210"/>
  <c r="T4422" i="210"/>
  <c r="T4438" i="210"/>
  <c r="O4438" i="210" s="1"/>
  <c r="T4446" i="210"/>
  <c r="O4446" i="210" s="1"/>
  <c r="T4454" i="210"/>
  <c r="T4462" i="210"/>
  <c r="T4470" i="210"/>
  <c r="T4478" i="210"/>
  <c r="T4486" i="210"/>
  <c r="T4494" i="210"/>
  <c r="T4502" i="210"/>
  <c r="T4510" i="210"/>
  <c r="O4510" i="210" s="1"/>
  <c r="T4518" i="210"/>
  <c r="T4526" i="210"/>
  <c r="T3502" i="210"/>
  <c r="O3502" i="210" s="1"/>
  <c r="T3590" i="210"/>
  <c r="T3875" i="210"/>
  <c r="T3934" i="210"/>
  <c r="T3957" i="210"/>
  <c r="T3958" i="210"/>
  <c r="O3958" i="210" s="1"/>
  <c r="T3960" i="210"/>
  <c r="T4016" i="210"/>
  <c r="T4025" i="210"/>
  <c r="T4041" i="210"/>
  <c r="T4049" i="210"/>
  <c r="O4049" i="210" s="1"/>
  <c r="T4065" i="210"/>
  <c r="O4065" i="210" s="1"/>
  <c r="T4073" i="210"/>
  <c r="T4081" i="210"/>
  <c r="T4089" i="210"/>
  <c r="T4097" i="210"/>
  <c r="T4105" i="210"/>
  <c r="T4113" i="210"/>
  <c r="T4121" i="210"/>
  <c r="O4121" i="210" s="1"/>
  <c r="T4129" i="210"/>
  <c r="O4129" i="210" s="1"/>
  <c r="T4137" i="210"/>
  <c r="T4153" i="210"/>
  <c r="O4153" i="210" s="1"/>
  <c r="T4161" i="210"/>
  <c r="T4177" i="210"/>
  <c r="T4185" i="210"/>
  <c r="T4193" i="210"/>
  <c r="T4201" i="210"/>
  <c r="O4201" i="210" s="1"/>
  <c r="T4209" i="210"/>
  <c r="O4209" i="210" s="1"/>
  <c r="T4217" i="210"/>
  <c r="T4225" i="210"/>
  <c r="O4225" i="210" s="1"/>
  <c r="T4233" i="210"/>
  <c r="T4241" i="210"/>
  <c r="T4249" i="210"/>
  <c r="T4257" i="210"/>
  <c r="T4273" i="210"/>
  <c r="O4273" i="210" s="1"/>
  <c r="T4281" i="210"/>
  <c r="O4281" i="210" s="1"/>
  <c r="T4289" i="210"/>
  <c r="T4297" i="210"/>
  <c r="T4305" i="210"/>
  <c r="T4313" i="210"/>
  <c r="T4321" i="210"/>
  <c r="T4329" i="210"/>
  <c r="T4337" i="210"/>
  <c r="O4337" i="210" s="1"/>
  <c r="T4345" i="210"/>
  <c r="O4345" i="210" s="1"/>
  <c r="T4361" i="210"/>
  <c r="T4369" i="210"/>
  <c r="O4369" i="210" s="1"/>
  <c r="T4377" i="210"/>
  <c r="T4393" i="210"/>
  <c r="T4401" i="210"/>
  <c r="T4409" i="210"/>
  <c r="T4417" i="210"/>
  <c r="O4417" i="210" s="1"/>
  <c r="T4425" i="210"/>
  <c r="O4425" i="210" s="1"/>
  <c r="T4433" i="210"/>
  <c r="T4441" i="210"/>
  <c r="O4441" i="210" s="1"/>
  <c r="T4449" i="210"/>
  <c r="T4457" i="210"/>
  <c r="T4465" i="210"/>
  <c r="T4481" i="210"/>
  <c r="T4489" i="210"/>
  <c r="O4489" i="210" s="1"/>
  <c r="T4497" i="210"/>
  <c r="O4497" i="210" s="1"/>
  <c r="T4505" i="210"/>
  <c r="T4513" i="210"/>
  <c r="O4513" i="210" s="1"/>
  <c r="T4068" i="210"/>
  <c r="T4164" i="210"/>
  <c r="T4188" i="210"/>
  <c r="O4188" i="210" s="1"/>
  <c r="T4252" i="210"/>
  <c r="T4276" i="210"/>
  <c r="O4276" i="210" s="1"/>
  <c r="T4460" i="210"/>
  <c r="T4499" i="210"/>
  <c r="T4534" i="210"/>
  <c r="O4534" i="210" s="1"/>
  <c r="T4542" i="210"/>
  <c r="T4550" i="210"/>
  <c r="T4558" i="210"/>
  <c r="O4558" i="210" s="1"/>
  <c r="T4566" i="210"/>
  <c r="O4566" i="210" s="1"/>
  <c r="T4574" i="210"/>
  <c r="T4582" i="210"/>
  <c r="T4590" i="210"/>
  <c r="T4598" i="210"/>
  <c r="O4598" i="210" s="1"/>
  <c r="T4606" i="210"/>
  <c r="T4614" i="210"/>
  <c r="O4614" i="210" s="1"/>
  <c r="T4622" i="210"/>
  <c r="T4630" i="210"/>
  <c r="O4630" i="210" s="1"/>
  <c r="T4638" i="210"/>
  <c r="T4646" i="210"/>
  <c r="T4654" i="210"/>
  <c r="T4662" i="210"/>
  <c r="O4662" i="210" s="1"/>
  <c r="T4670" i="210"/>
  <c r="T4678" i="210"/>
  <c r="T4686" i="210"/>
  <c r="O4686" i="210" s="1"/>
  <c r="T4694" i="210"/>
  <c r="T4702" i="210"/>
  <c r="T4718" i="210"/>
  <c r="T4726" i="210"/>
  <c r="O4726" i="210" s="1"/>
  <c r="T4734" i="210"/>
  <c r="O4734" i="210" s="1"/>
  <c r="T4742" i="210"/>
  <c r="O4742" i="210" s="1"/>
  <c r="T4750" i="210"/>
  <c r="O4750" i="210" s="1"/>
  <c r="T4758" i="210"/>
  <c r="T4766" i="210"/>
  <c r="T4774" i="210"/>
  <c r="T4782" i="210"/>
  <c r="T4790" i="210"/>
  <c r="O4790" i="210" s="1"/>
  <c r="T4798" i="210"/>
  <c r="O4798" i="210" s="1"/>
  <c r="T4806" i="210"/>
  <c r="T4814" i="210"/>
  <c r="T4822" i="210"/>
  <c r="T4830" i="210"/>
  <c r="T4838" i="210"/>
  <c r="T4846" i="210"/>
  <c r="T4854" i="210"/>
  <c r="O4854" i="210" s="1"/>
  <c r="T4862" i="210"/>
  <c r="T4870" i="210"/>
  <c r="T4878" i="210"/>
  <c r="T4886" i="210"/>
  <c r="T4894" i="210"/>
  <c r="T4902" i="210"/>
  <c r="T4910" i="210"/>
  <c r="T4918" i="210"/>
  <c r="O4918" i="210" s="1"/>
  <c r="T4926" i="210"/>
  <c r="O4926" i="210" s="1"/>
  <c r="T4934" i="210"/>
  <c r="T4942" i="210"/>
  <c r="T4950" i="210"/>
  <c r="O4950" i="210" s="1"/>
  <c r="T4958" i="210"/>
  <c r="T4036" i="210"/>
  <c r="O4036" i="210" s="1"/>
  <c r="T4228" i="210"/>
  <c r="T4316" i="210"/>
  <c r="T4348" i="210"/>
  <c r="O4348" i="210" s="1"/>
  <c r="T4436" i="210"/>
  <c r="O4436" i="210" s="1"/>
  <c r="T4459" i="210"/>
  <c r="T4508" i="210"/>
  <c r="O4508" i="210" s="1"/>
  <c r="T4529" i="210"/>
  <c r="T4537" i="210"/>
  <c r="T4553" i="210"/>
  <c r="T4561" i="210"/>
  <c r="T4569" i="210"/>
  <c r="T4577" i="210"/>
  <c r="O4577" i="210" s="1"/>
  <c r="T4585" i="210"/>
  <c r="O4585" i="210" s="1"/>
  <c r="T4601" i="210"/>
  <c r="T4609" i="210"/>
  <c r="T4617" i="210"/>
  <c r="T4625" i="210"/>
  <c r="T4633" i="210"/>
  <c r="T4641" i="210"/>
  <c r="O4641" i="210" s="1"/>
  <c r="T4649" i="210"/>
  <c r="O4649" i="210" s="1"/>
  <c r="T4657" i="210"/>
  <c r="O4657" i="210" s="1"/>
  <c r="T4673" i="210"/>
  <c r="T4681" i="210"/>
  <c r="T4689" i="210"/>
  <c r="O4689" i="210" s="1"/>
  <c r="T4697" i="210"/>
  <c r="T4705" i="210"/>
  <c r="T4721" i="210"/>
  <c r="O4721" i="210" s="1"/>
  <c r="T4729" i="210"/>
  <c r="O4729" i="210" s="1"/>
  <c r="T4745" i="210"/>
  <c r="O4745" i="210" s="1"/>
  <c r="T4753" i="210"/>
  <c r="T4761" i="210"/>
  <c r="T4769" i="210"/>
  <c r="T4777" i="210"/>
  <c r="T4785" i="210"/>
  <c r="T4793" i="210"/>
  <c r="O4793" i="210" s="1"/>
  <c r="T4801" i="210"/>
  <c r="O4801" i="210" s="1"/>
  <c r="T4817" i="210"/>
  <c r="O4817" i="210" s="1"/>
  <c r="T4825" i="210"/>
  <c r="T4833" i="210"/>
  <c r="T4841" i="210"/>
  <c r="T4849" i="210"/>
  <c r="T4857" i="210"/>
  <c r="T4865" i="210"/>
  <c r="O4865" i="210" s="1"/>
  <c r="T4873" i="210"/>
  <c r="O4873" i="210" s="1"/>
  <c r="T4881" i="210"/>
  <c r="O4881" i="210" s="1"/>
  <c r="T4897" i="210"/>
  <c r="T4905" i="210"/>
  <c r="T4913" i="210"/>
  <c r="O4913" i="210" s="1"/>
  <c r="T4921" i="210"/>
  <c r="T4929" i="210"/>
  <c r="T4945" i="210"/>
  <c r="O4945" i="210" s="1"/>
  <c r="T3952" i="210"/>
  <c r="T4012" i="210"/>
  <c r="T4084" i="210"/>
  <c r="T4132" i="210"/>
  <c r="T4204" i="210"/>
  <c r="T4292" i="210"/>
  <c r="T4372" i="210"/>
  <c r="T4396" i="210"/>
  <c r="O4396" i="210" s="1"/>
  <c r="T4435" i="210"/>
  <c r="T4468" i="210"/>
  <c r="T4507" i="210"/>
  <c r="T4532" i="210"/>
  <c r="T4540" i="210"/>
  <c r="O4540" i="210" s="1"/>
  <c r="T4556" i="210"/>
  <c r="O4556" i="210" s="1"/>
  <c r="T4564" i="210"/>
  <c r="T4572" i="210"/>
  <c r="T4580" i="210"/>
  <c r="T4588" i="210"/>
  <c r="T4604" i="210"/>
  <c r="T4612" i="210"/>
  <c r="T4620" i="210"/>
  <c r="O4620" i="210" s="1"/>
  <c r="T4628" i="210"/>
  <c r="O4628" i="210" s="1"/>
  <c r="T4636" i="210"/>
  <c r="T4644" i="210"/>
  <c r="T4652" i="210"/>
  <c r="T4660" i="210"/>
  <c r="T4676" i="210"/>
  <c r="T4684" i="210"/>
  <c r="T4692" i="210"/>
  <c r="O4692" i="210" s="1"/>
  <c r="T4700" i="210"/>
  <c r="O4700" i="210" s="1"/>
  <c r="T4716" i="210"/>
  <c r="T4724" i="210"/>
  <c r="O4724" i="210" s="1"/>
  <c r="T4732" i="210"/>
  <c r="T4748" i="210"/>
  <c r="T4756" i="210"/>
  <c r="T4764" i="210"/>
  <c r="T4772" i="210"/>
  <c r="O4772" i="210" s="1"/>
  <c r="T4780" i="210"/>
  <c r="O4780" i="210" s="1"/>
  <c r="T4788" i="210"/>
  <c r="T4796" i="210"/>
  <c r="O4796" i="210" s="1"/>
  <c r="T4804" i="210"/>
  <c r="T4820" i="210"/>
  <c r="T4828" i="210"/>
  <c r="T4836" i="210"/>
  <c r="T4844" i="210"/>
  <c r="O4844" i="210" s="1"/>
  <c r="T4852" i="210"/>
  <c r="O4852" i="210" s="1"/>
  <c r="T4860" i="210"/>
  <c r="T4868" i="210"/>
  <c r="T4876" i="210"/>
  <c r="T4884" i="210"/>
  <c r="T4900" i="210"/>
  <c r="T4908" i="210"/>
  <c r="T4916" i="210"/>
  <c r="O4916" i="210" s="1"/>
  <c r="T4924" i="210"/>
  <c r="O4924" i="210" s="1"/>
  <c r="T4932" i="210"/>
  <c r="T4948" i="210"/>
  <c r="O4948" i="210" s="1"/>
  <c r="T4956" i="210"/>
  <c r="T4964" i="210"/>
  <c r="T4000" i="210"/>
  <c r="T4156" i="210"/>
  <c r="T4180" i="210"/>
  <c r="O4180" i="210" s="1"/>
  <c r="T4244" i="210"/>
  <c r="T4340" i="210"/>
  <c r="O4340" i="210" s="1"/>
  <c r="T4467" i="210"/>
  <c r="T4484" i="210"/>
  <c r="T4516" i="210"/>
  <c r="T4535" i="210"/>
  <c r="T4543" i="210"/>
  <c r="T4551" i="210"/>
  <c r="T4559" i="210"/>
  <c r="T4567" i="210"/>
  <c r="T4575" i="210"/>
  <c r="O4575" i="210" s="1"/>
  <c r="T4583" i="210"/>
  <c r="O4583" i="210" s="1"/>
  <c r="T4599" i="210"/>
  <c r="O4599" i="210" s="1"/>
  <c r="T4607" i="210"/>
  <c r="T4615" i="210"/>
  <c r="T4623" i="210"/>
  <c r="O4623" i="210" s="1"/>
  <c r="T4631" i="210"/>
  <c r="T4639" i="210"/>
  <c r="T4647" i="210"/>
  <c r="O4647" i="210" s="1"/>
  <c r="T4655" i="210"/>
  <c r="O4655" i="210" s="1"/>
  <c r="T4671" i="210"/>
  <c r="O4671" i="210" s="1"/>
  <c r="T4679" i="210"/>
  <c r="T4687" i="210"/>
  <c r="T4695" i="210"/>
  <c r="T4703" i="210"/>
  <c r="T4719" i="210"/>
  <c r="T4727" i="210"/>
  <c r="O4727" i="210" s="1"/>
  <c r="T4743" i="210"/>
  <c r="O4743" i="210" s="1"/>
  <c r="T4751" i="210"/>
  <c r="O4751" i="210" s="1"/>
  <c r="T4759" i="210"/>
  <c r="T4767" i="210"/>
  <c r="T4775" i="210"/>
  <c r="T4783" i="210"/>
  <c r="T4791" i="210"/>
  <c r="T4799" i="210"/>
  <c r="O4799" i="210" s="1"/>
  <c r="T4807" i="210"/>
  <c r="O4807" i="210" s="1"/>
  <c r="T4815" i="210"/>
  <c r="O4815" i="210" s="1"/>
  <c r="T4823" i="210"/>
  <c r="T4831" i="210"/>
  <c r="T4839" i="210"/>
  <c r="O4839" i="210" s="1"/>
  <c r="T4847" i="210"/>
  <c r="T4855" i="210"/>
  <c r="T4863" i="210"/>
  <c r="O4863" i="210" s="1"/>
  <c r="T4871" i="210"/>
  <c r="O4871" i="210" s="1"/>
  <c r="T4879" i="210"/>
  <c r="O4879" i="210" s="1"/>
  <c r="T4895" i="210"/>
  <c r="T4903" i="210"/>
  <c r="T4911" i="210"/>
  <c r="T4919" i="210"/>
  <c r="T4927" i="210"/>
  <c r="T4935" i="210"/>
  <c r="T4943" i="210"/>
  <c r="O4943" i="210" s="1"/>
  <c r="T4951" i="210"/>
  <c r="O4951" i="210" s="1"/>
  <c r="T4959" i="210"/>
  <c r="T3910" i="210"/>
  <c r="T3984" i="210"/>
  <c r="T4022" i="210"/>
  <c r="T4028" i="210"/>
  <c r="T4052" i="210"/>
  <c r="T4100" i="210"/>
  <c r="T4220" i="210"/>
  <c r="T4308" i="210"/>
  <c r="T4388" i="210"/>
  <c r="T4444" i="210"/>
  <c r="T4483" i="210"/>
  <c r="T4515" i="210"/>
  <c r="O4515" i="210" s="1"/>
  <c r="T4530" i="210"/>
  <c r="O4530" i="210" s="1"/>
  <c r="T4538" i="210"/>
  <c r="O4538" i="210" s="1"/>
  <c r="T4554" i="210"/>
  <c r="T4562" i="210"/>
  <c r="T4570" i="210"/>
  <c r="T4578" i="210"/>
  <c r="T4586" i="210"/>
  <c r="T4602" i="210"/>
  <c r="T4610" i="210"/>
  <c r="O4610" i="210" s="1"/>
  <c r="T4618" i="210"/>
  <c r="O4618" i="210" s="1"/>
  <c r="T4626" i="210"/>
  <c r="T4634" i="210"/>
  <c r="T4642" i="210"/>
  <c r="T4650" i="210"/>
  <c r="O4650" i="210" s="1"/>
  <c r="T4658" i="210"/>
  <c r="T4674" i="210"/>
  <c r="T4682" i="210"/>
  <c r="O4682" i="210" s="1"/>
  <c r="T4690" i="210"/>
  <c r="O4690" i="210" s="1"/>
  <c r="T4698" i="210"/>
  <c r="T4706" i="210"/>
  <c r="T4714" i="210"/>
  <c r="T4722" i="210"/>
  <c r="T4730" i="210"/>
  <c r="T4746" i="210"/>
  <c r="T4754" i="210"/>
  <c r="O4754" i="210" s="1"/>
  <c r="T4762" i="210"/>
  <c r="O4762" i="210" s="1"/>
  <c r="T4770" i="210"/>
  <c r="T4778" i="210"/>
  <c r="T4786" i="210"/>
  <c r="T4794" i="210"/>
  <c r="O4794" i="210" s="1"/>
  <c r="T4802" i="210"/>
  <c r="T4818" i="210"/>
  <c r="T4826" i="210"/>
  <c r="O4826" i="210" s="1"/>
  <c r="T4834" i="210"/>
  <c r="O4834" i="210" s="1"/>
  <c r="T4842" i="210"/>
  <c r="T4850" i="210"/>
  <c r="T4858" i="210"/>
  <c r="T4866" i="210"/>
  <c r="O4866" i="210" s="1"/>
  <c r="T3950" i="210"/>
  <c r="T4021" i="210"/>
  <c r="T4076" i="210"/>
  <c r="T4124" i="210"/>
  <c r="O4124" i="210" s="1"/>
  <c r="T4172" i="210"/>
  <c r="T4196" i="210"/>
  <c r="O4196" i="210" s="1"/>
  <c r="T4260" i="210"/>
  <c r="O4260" i="210" s="1"/>
  <c r="T4284" i="210"/>
  <c r="T4364" i="210"/>
  <c r="T4420" i="210"/>
  <c r="O4420" i="210" s="1"/>
  <c r="T4443" i="210"/>
  <c r="O4443" i="210" s="1"/>
  <c r="T4492" i="210"/>
  <c r="T4533" i="210"/>
  <c r="O4533" i="210" s="1"/>
  <c r="T4541" i="210"/>
  <c r="T4557" i="210"/>
  <c r="T4565" i="210"/>
  <c r="O4565" i="210" s="1"/>
  <c r="T4573" i="210"/>
  <c r="T4581" i="210"/>
  <c r="T4589" i="210"/>
  <c r="O4589" i="210" s="1"/>
  <c r="T4597" i="210"/>
  <c r="T4605" i="210"/>
  <c r="O4605" i="210" s="1"/>
  <c r="T4613" i="210"/>
  <c r="T4621" i="210"/>
  <c r="T4629" i="210"/>
  <c r="T4637" i="210"/>
  <c r="T4645" i="210"/>
  <c r="T4653" i="210"/>
  <c r="O4653" i="210" s="1"/>
  <c r="T4661" i="210"/>
  <c r="O4661" i="210" s="1"/>
  <c r="T4669" i="210"/>
  <c r="O4669" i="210" s="1"/>
  <c r="T4677" i="210"/>
  <c r="T4685" i="210"/>
  <c r="T4693" i="210"/>
  <c r="T4701" i="210"/>
  <c r="T4717" i="210"/>
  <c r="T4725" i="210"/>
  <c r="O4725" i="210" s="1"/>
  <c r="T4733" i="210"/>
  <c r="O4733" i="210" s="1"/>
  <c r="T4741" i="210"/>
  <c r="T4749" i="210"/>
  <c r="T4757" i="210"/>
  <c r="T4765" i="210"/>
  <c r="O4765" i="210" s="1"/>
  <c r="T4773" i="210"/>
  <c r="T4781" i="210"/>
  <c r="T4789" i="210"/>
  <c r="O4789" i="210" s="1"/>
  <c r="T4797" i="210"/>
  <c r="O4797" i="210" s="1"/>
  <c r="T4805" i="210"/>
  <c r="O4805" i="210" s="1"/>
  <c r="T4821" i="210"/>
  <c r="T4829" i="210"/>
  <c r="T4837" i="210"/>
  <c r="T4845" i="210"/>
  <c r="T4853" i="210"/>
  <c r="T4861" i="210"/>
  <c r="O4861" i="210" s="1"/>
  <c r="T4869" i="210"/>
  <c r="T4877" i="210"/>
  <c r="T4885" i="210"/>
  <c r="O4885" i="210" s="1"/>
  <c r="T4893" i="210"/>
  <c r="T4901" i="210"/>
  <c r="O4901" i="210" s="1"/>
  <c r="T4909" i="210"/>
  <c r="O4909" i="210" s="1"/>
  <c r="T4917" i="210"/>
  <c r="T4925" i="210"/>
  <c r="O4925" i="210" s="1"/>
  <c r="T4933" i="210"/>
  <c r="T4949" i="210"/>
  <c r="O4949" i="210" s="1"/>
  <c r="T3949" i="210"/>
  <c r="O3949" i="210" s="1"/>
  <c r="T4236" i="210"/>
  <c r="T4324" i="210"/>
  <c r="O4324" i="210" s="1"/>
  <c r="T4452" i="210"/>
  <c r="T4491" i="210"/>
  <c r="T4528" i="210"/>
  <c r="O4528" i="210" s="1"/>
  <c r="T4536" i="210"/>
  <c r="T4552" i="210"/>
  <c r="T4560" i="210"/>
  <c r="T4568" i="210"/>
  <c r="O4568" i="210" s="1"/>
  <c r="T4576" i="210"/>
  <c r="O4576" i="210" s="1"/>
  <c r="T4584" i="210"/>
  <c r="T4600" i="210"/>
  <c r="T4608" i="210"/>
  <c r="O4608" i="210" s="1"/>
  <c r="T4616" i="210"/>
  <c r="T4624" i="210"/>
  <c r="T4632" i="210"/>
  <c r="T4640" i="210"/>
  <c r="O4640" i="210" s="1"/>
  <c r="T4648" i="210"/>
  <c r="O4648" i="210" s="1"/>
  <c r="T4656" i="210"/>
  <c r="T4672" i="210"/>
  <c r="T4680" i="210"/>
  <c r="O4680" i="210" s="1"/>
  <c r="T4688" i="210"/>
  <c r="T4696" i="210"/>
  <c r="T4704" i="210"/>
  <c r="T4720" i="210"/>
  <c r="O4720" i="210" s="1"/>
  <c r="T4728" i="210"/>
  <c r="O4728" i="210" s="1"/>
  <c r="T4744" i="210"/>
  <c r="T4752" i="210"/>
  <c r="T4760" i="210"/>
  <c r="O4760" i="210" s="1"/>
  <c r="T4768" i="210"/>
  <c r="T4776" i="210"/>
  <c r="T4784" i="210"/>
  <c r="T4792" i="210"/>
  <c r="O4792" i="210" s="1"/>
  <c r="T4800" i="210"/>
  <c r="O4800" i="210" s="1"/>
  <c r="T4816" i="210"/>
  <c r="T4824" i="210"/>
  <c r="T4832" i="210"/>
  <c r="O4832" i="210" s="1"/>
  <c r="T4840" i="210"/>
  <c r="T4848" i="210"/>
  <c r="T4856" i="210"/>
  <c r="T4864" i="210"/>
  <c r="O4864" i="210" s="1"/>
  <c r="T4872" i="210"/>
  <c r="O4872" i="210" s="1"/>
  <c r="T4880" i="210"/>
  <c r="T4896" i="210"/>
  <c r="T4904" i="210"/>
  <c r="O4904" i="210" s="1"/>
  <c r="T4912" i="210"/>
  <c r="T4920" i="210"/>
  <c r="T4928" i="210"/>
  <c r="T4944" i="210"/>
  <c r="O4944" i="210" s="1"/>
  <c r="T4952" i="210"/>
  <c r="O4952" i="210" s="1"/>
  <c r="T4960" i="210"/>
  <c r="T4968" i="210"/>
  <c r="T4044" i="210"/>
  <c r="O4044" i="210" s="1"/>
  <c r="T4500" i="210"/>
  <c r="O4500" i="210" s="1"/>
  <c r="T4611" i="210"/>
  <c r="T4699" i="210"/>
  <c r="T4755" i="210"/>
  <c r="T4827" i="210"/>
  <c r="O4827" i="210" s="1"/>
  <c r="T4898" i="210"/>
  <c r="O4898" i="210" s="1"/>
  <c r="T4930" i="210"/>
  <c r="T4972" i="210"/>
  <c r="O4972" i="210" s="1"/>
  <c r="T4980" i="210"/>
  <c r="T4988" i="210"/>
  <c r="T4996" i="210"/>
  <c r="T5004" i="210"/>
  <c r="O5004" i="210" s="1"/>
  <c r="T5012" i="210"/>
  <c r="O5012" i="210" s="1"/>
  <c r="T5020" i="210"/>
  <c r="T5036" i="210"/>
  <c r="O5036" i="210" s="1"/>
  <c r="T5044" i="210"/>
  <c r="O5044" i="210" s="1"/>
  <c r="T5052" i="210"/>
  <c r="T5060" i="210"/>
  <c r="O5060" i="210" s="1"/>
  <c r="T5068" i="210"/>
  <c r="T5076" i="210"/>
  <c r="T5084" i="210"/>
  <c r="O5084" i="210" s="1"/>
  <c r="T5092" i="210"/>
  <c r="T5100" i="210"/>
  <c r="T5108" i="210"/>
  <c r="O5108" i="210" s="1"/>
  <c r="T5116" i="210"/>
  <c r="O5116" i="210" s="1"/>
  <c r="T5124" i="210"/>
  <c r="O5124" i="210" s="1"/>
  <c r="T5132" i="210"/>
  <c r="T5140" i="210"/>
  <c r="T5148" i="210"/>
  <c r="O5148" i="210" s="1"/>
  <c r="T5156" i="210"/>
  <c r="T5164" i="210"/>
  <c r="T5172" i="210"/>
  <c r="O5172" i="210" s="1"/>
  <c r="T5180" i="210"/>
  <c r="O5180" i="210" s="1"/>
  <c r="T5188" i="210"/>
  <c r="T5196" i="210"/>
  <c r="T5204" i="210"/>
  <c r="T5212" i="210"/>
  <c r="O5212" i="210" s="1"/>
  <c r="T5228" i="210"/>
  <c r="T5236" i="210"/>
  <c r="T5244" i="210"/>
  <c r="T5252" i="210"/>
  <c r="O5252" i="210" s="1"/>
  <c r="T5260" i="210"/>
  <c r="T5268" i="210"/>
  <c r="T5276" i="210"/>
  <c r="O5276" i="210" s="1"/>
  <c r="T5284" i="210"/>
  <c r="O5284" i="210" s="1"/>
  <c r="T5292" i="210"/>
  <c r="T5300" i="210"/>
  <c r="T5308" i="210"/>
  <c r="T5324" i="210"/>
  <c r="T5332" i="210"/>
  <c r="O5332" i="210" s="1"/>
  <c r="T5340" i="210"/>
  <c r="T5348" i="210"/>
  <c r="T5364" i="210"/>
  <c r="O5364" i="210" s="1"/>
  <c r="T5372" i="210"/>
  <c r="O5372" i="210" s="1"/>
  <c r="T5380" i="210"/>
  <c r="T3968" i="210"/>
  <c r="O3968" i="210" s="1"/>
  <c r="T4531" i="210"/>
  <c r="T4587" i="210"/>
  <c r="T4651" i="210"/>
  <c r="O4651" i="210" s="1"/>
  <c r="T4675" i="210"/>
  <c r="T4731" i="210"/>
  <c r="O4731" i="210" s="1"/>
  <c r="T4795" i="210"/>
  <c r="O4795" i="210" s="1"/>
  <c r="T4867" i="210"/>
  <c r="O4867" i="210" s="1"/>
  <c r="T4907" i="210"/>
  <c r="T4965" i="210"/>
  <c r="T4975" i="210"/>
  <c r="T4983" i="210"/>
  <c r="T4991" i="210"/>
  <c r="O4991" i="210" s="1"/>
  <c r="T4999" i="210"/>
  <c r="O4999" i="210" s="1"/>
  <c r="T5007" i="210"/>
  <c r="T5015" i="210"/>
  <c r="T5023" i="210"/>
  <c r="O5023" i="210" s="1"/>
  <c r="T5039" i="210"/>
  <c r="T5047" i="210"/>
  <c r="T5055" i="210"/>
  <c r="T5063" i="210"/>
  <c r="O5063" i="210" s="1"/>
  <c r="T5079" i="210"/>
  <c r="O5079" i="210" s="1"/>
  <c r="T5087" i="210"/>
  <c r="T5095" i="210"/>
  <c r="T5103" i="210"/>
  <c r="O5103" i="210" s="1"/>
  <c r="T5111" i="210"/>
  <c r="T5119" i="210"/>
  <c r="T5127" i="210"/>
  <c r="T5135" i="210"/>
  <c r="O5135" i="210" s="1"/>
  <c r="T5143" i="210"/>
  <c r="O5143" i="210" s="1"/>
  <c r="T5151" i="210"/>
  <c r="T5159" i="210"/>
  <c r="T5167" i="210"/>
  <c r="O5167" i="210" s="1"/>
  <c r="T5175" i="210"/>
  <c r="T5183" i="210"/>
  <c r="T5191" i="210"/>
  <c r="T5199" i="210"/>
  <c r="O5199" i="210" s="1"/>
  <c r="T5207" i="210"/>
  <c r="O5207" i="210" s="1"/>
  <c r="T5223" i="210"/>
  <c r="T5231" i="210"/>
  <c r="T5239" i="210"/>
  <c r="T5247" i="210"/>
  <c r="T5255" i="210"/>
  <c r="T5263" i="210"/>
  <c r="T5271" i="210"/>
  <c r="O5271" i="210" s="1"/>
  <c r="T5279" i="210"/>
  <c r="O5279" i="210" s="1"/>
  <c r="T5287" i="210"/>
  <c r="T5295" i="210"/>
  <c r="T5303" i="210"/>
  <c r="O5303" i="210" s="1"/>
  <c r="T5311" i="210"/>
  <c r="T5327" i="210"/>
  <c r="T5335" i="210"/>
  <c r="T5343" i="210"/>
  <c r="O5343" i="210" s="1"/>
  <c r="T5351" i="210"/>
  <c r="O5351" i="210" s="1"/>
  <c r="T5359" i="210"/>
  <c r="T5367" i="210"/>
  <c r="T5375" i="210"/>
  <c r="T5383" i="210"/>
  <c r="T4116" i="210"/>
  <c r="O4116" i="210" s="1"/>
  <c r="T4300" i="210"/>
  <c r="T4412" i="210"/>
  <c r="T4563" i="210"/>
  <c r="O4563" i="210" s="1"/>
  <c r="T4627" i="210"/>
  <c r="T4771" i="210"/>
  <c r="T4843" i="210"/>
  <c r="T4906" i="210"/>
  <c r="O4906" i="210" s="1"/>
  <c r="T4966" i="210"/>
  <c r="O4966" i="210" s="1"/>
  <c r="T4967" i="210"/>
  <c r="T4970" i="210"/>
  <c r="T4978" i="210"/>
  <c r="T4986" i="210"/>
  <c r="T4994" i="210"/>
  <c r="T5002" i="210"/>
  <c r="O5002" i="210" s="1"/>
  <c r="T5010" i="210"/>
  <c r="T5018" i="210"/>
  <c r="O5018" i="210" s="1"/>
  <c r="T5026" i="210"/>
  <c r="O5026" i="210" s="1"/>
  <c r="T5034" i="210"/>
  <c r="T5042" i="210"/>
  <c r="O5042" i="210" s="1"/>
  <c r="T5050" i="210"/>
  <c r="T5058" i="210"/>
  <c r="T5066" i="210"/>
  <c r="O5066" i="210" s="1"/>
  <c r="T5082" i="210"/>
  <c r="T5090" i="210"/>
  <c r="O5090" i="210" s="1"/>
  <c r="T5098" i="210"/>
  <c r="O5098" i="210" s="1"/>
  <c r="T5106" i="210"/>
  <c r="T5114" i="210"/>
  <c r="O5114" i="210" s="1"/>
  <c r="T5122" i="210"/>
  <c r="T5130" i="210"/>
  <c r="T5138" i="210"/>
  <c r="O5138" i="210" s="1"/>
  <c r="T5146" i="210"/>
  <c r="T5154" i="210"/>
  <c r="O5154" i="210" s="1"/>
  <c r="T5162" i="210"/>
  <c r="O5162" i="210" s="1"/>
  <c r="T5170" i="210"/>
  <c r="T5178" i="210"/>
  <c r="O5178" i="210" s="1"/>
  <c r="T5186" i="210"/>
  <c r="T5194" i="210"/>
  <c r="T5202" i="210"/>
  <c r="O5202" i="210" s="1"/>
  <c r="T5210" i="210"/>
  <c r="T5226" i="210"/>
  <c r="O5226" i="210" s="1"/>
  <c r="T5234" i="210"/>
  <c r="O5234" i="210" s="1"/>
  <c r="T5242" i="210"/>
  <c r="T5250" i="210"/>
  <c r="T5258" i="210"/>
  <c r="T5266" i="210"/>
  <c r="T5274" i="210"/>
  <c r="O5274" i="210" s="1"/>
  <c r="T5282" i="210"/>
  <c r="T5290" i="210"/>
  <c r="O5290" i="210" s="1"/>
  <c r="T5298" i="210"/>
  <c r="O5298" i="210" s="1"/>
  <c r="T5306" i="210"/>
  <c r="T5314" i="210"/>
  <c r="O5314" i="210" s="1"/>
  <c r="T5322" i="210"/>
  <c r="T5330" i="210"/>
  <c r="T5338" i="210"/>
  <c r="T5346" i="210"/>
  <c r="T5362" i="210"/>
  <c r="O5362" i="210" s="1"/>
  <c r="T5370" i="210"/>
  <c r="O5370" i="210" s="1"/>
  <c r="T5378" i="210"/>
  <c r="T4603" i="210"/>
  <c r="O4603" i="210" s="1"/>
  <c r="T4691" i="210"/>
  <c r="T4747" i="210"/>
  <c r="T4819" i="210"/>
  <c r="O4819" i="210" s="1"/>
  <c r="T4875" i="210"/>
  <c r="T4915" i="210"/>
  <c r="T4953" i="210"/>
  <c r="O4953" i="210" s="1"/>
  <c r="T4954" i="210"/>
  <c r="T4955" i="210"/>
  <c r="T4973" i="210"/>
  <c r="T4981" i="210"/>
  <c r="T4989" i="210"/>
  <c r="O4989" i="210" s="1"/>
  <c r="T4997" i="210"/>
  <c r="T5005" i="210"/>
  <c r="T5013" i="210"/>
  <c r="O5013" i="210" s="1"/>
  <c r="T5021" i="210"/>
  <c r="O5021" i="210" s="1"/>
  <c r="T5037" i="210"/>
  <c r="T5045" i="210"/>
  <c r="T5053" i="210"/>
  <c r="T5061" i="210"/>
  <c r="O5061" i="210" s="1"/>
  <c r="T5077" i="210"/>
  <c r="T5085" i="210"/>
  <c r="T5093" i="210"/>
  <c r="O5093" i="210" s="1"/>
  <c r="T5101" i="210"/>
  <c r="O5101" i="210" s="1"/>
  <c r="T5109" i="210"/>
  <c r="O5109" i="210" s="1"/>
  <c r="T5117" i="210"/>
  <c r="T5125" i="210"/>
  <c r="T5133" i="210"/>
  <c r="O5133" i="210" s="1"/>
  <c r="T5141" i="210"/>
  <c r="T5149" i="210"/>
  <c r="T5157" i="210"/>
  <c r="O5157" i="210" s="1"/>
  <c r="T5165" i="210"/>
  <c r="O5165" i="210" s="1"/>
  <c r="T5173" i="210"/>
  <c r="O5173" i="210" s="1"/>
  <c r="T5181" i="210"/>
  <c r="T5189" i="210"/>
  <c r="T5197" i="210"/>
  <c r="O5197" i="210" s="1"/>
  <c r="T5205" i="210"/>
  <c r="T5213" i="210"/>
  <c r="T5221" i="210"/>
  <c r="T5229" i="210"/>
  <c r="O5229" i="210" s="1"/>
  <c r="T5237" i="210"/>
  <c r="O5237" i="210" s="1"/>
  <c r="T5245" i="210"/>
  <c r="T5253" i="210"/>
  <c r="T5261" i="210"/>
  <c r="O5261" i="210" s="1"/>
  <c r="T5269" i="210"/>
  <c r="T5277" i="210"/>
  <c r="T5285" i="210"/>
  <c r="O5285" i="210" s="1"/>
  <c r="T5293" i="210"/>
  <c r="O5293" i="210" s="1"/>
  <c r="T5301" i="210"/>
  <c r="T5309" i="210"/>
  <c r="T5325" i="210"/>
  <c r="T5333" i="210"/>
  <c r="T5341" i="210"/>
  <c r="T5349" i="210"/>
  <c r="T5365" i="210"/>
  <c r="O5365" i="210" s="1"/>
  <c r="T5373" i="210"/>
  <c r="O5373" i="210" s="1"/>
  <c r="T5381" i="210"/>
  <c r="O5381" i="210" s="1"/>
  <c r="T4092" i="210"/>
  <c r="T4380" i="210"/>
  <c r="T4579" i="210"/>
  <c r="O4579" i="210" s="1"/>
  <c r="T4643" i="210"/>
  <c r="O4643" i="210" s="1"/>
  <c r="T4723" i="210"/>
  <c r="O4723" i="210" s="1"/>
  <c r="T4787" i="210"/>
  <c r="O4787" i="210" s="1"/>
  <c r="T4859" i="210"/>
  <c r="O4859" i="210" s="1"/>
  <c r="T4874" i="210"/>
  <c r="O4874" i="210" s="1"/>
  <c r="T4914" i="210"/>
  <c r="T4947" i="210"/>
  <c r="O4947" i="210" s="1"/>
  <c r="T4976" i="210"/>
  <c r="O4976" i="210" s="1"/>
  <c r="T4984" i="210"/>
  <c r="T4992" i="210"/>
  <c r="T5000" i="210"/>
  <c r="T5008" i="210"/>
  <c r="T5016" i="210"/>
  <c r="O5016" i="210" s="1"/>
  <c r="T5024" i="210"/>
  <c r="O5024" i="210" s="1"/>
  <c r="T5040" i="210"/>
  <c r="O5040" i="210" s="1"/>
  <c r="T5048" i="210"/>
  <c r="T5056" i="210"/>
  <c r="T5064" i="210"/>
  <c r="T5080" i="210"/>
  <c r="T5088" i="210"/>
  <c r="T5096" i="210"/>
  <c r="O5096" i="210" s="1"/>
  <c r="T5104" i="210"/>
  <c r="O5104" i="210" s="1"/>
  <c r="T5112" i="210"/>
  <c r="O5112" i="210" s="1"/>
  <c r="T5120" i="210"/>
  <c r="T5128" i="210"/>
  <c r="T5136" i="210"/>
  <c r="T5144" i="210"/>
  <c r="T5152" i="210"/>
  <c r="T5160" i="210"/>
  <c r="O5160" i="210" s="1"/>
  <c r="T5168" i="210"/>
  <c r="O5168" i="210" s="1"/>
  <c r="T5176" i="210"/>
  <c r="O5176" i="210" s="1"/>
  <c r="T5184" i="210"/>
  <c r="O5184" i="210" s="1"/>
  <c r="T5192" i="210"/>
  <c r="T5200" i="210"/>
  <c r="T5208" i="210"/>
  <c r="T5224" i="210"/>
  <c r="T5232" i="210"/>
  <c r="O5232" i="210" s="1"/>
  <c r="T5240" i="210"/>
  <c r="O5240" i="210" s="1"/>
  <c r="T5248" i="210"/>
  <c r="O5248" i="210" s="1"/>
  <c r="T4555" i="210"/>
  <c r="O4555" i="210" s="1"/>
  <c r="T4619" i="210"/>
  <c r="T4707" i="210"/>
  <c r="T4763" i="210"/>
  <c r="T4835" i="210"/>
  <c r="T4883" i="210"/>
  <c r="O4883" i="210" s="1"/>
  <c r="T4923" i="210"/>
  <c r="T4946" i="210"/>
  <c r="T4957" i="210"/>
  <c r="O4957" i="210" s="1"/>
  <c r="T4971" i="210"/>
  <c r="O4971" i="210" s="1"/>
  <c r="T4979" i="210"/>
  <c r="O4979" i="210" s="1"/>
  <c r="T4987" i="210"/>
  <c r="T4995" i="210"/>
  <c r="T5003" i="210"/>
  <c r="O5003" i="210" s="1"/>
  <c r="T5011" i="210"/>
  <c r="T5019" i="210"/>
  <c r="T5027" i="210"/>
  <c r="O5027" i="210" s="1"/>
  <c r="T5035" i="210"/>
  <c r="O5035" i="210" s="1"/>
  <c r="T5043" i="210"/>
  <c r="O5043" i="210" s="1"/>
  <c r="T5051" i="210"/>
  <c r="T5059" i="210"/>
  <c r="T5067" i="210"/>
  <c r="O5067" i="210" s="1"/>
  <c r="T5075" i="210"/>
  <c r="T5083" i="210"/>
  <c r="T5091" i="210"/>
  <c r="O5091" i="210" s="1"/>
  <c r="T5099" i="210"/>
  <c r="O5099" i="210" s="1"/>
  <c r="T5107" i="210"/>
  <c r="O5107" i="210" s="1"/>
  <c r="T5115" i="210"/>
  <c r="T5123" i="210"/>
  <c r="T5131" i="210"/>
  <c r="O5131" i="210" s="1"/>
  <c r="T5139" i="210"/>
  <c r="T5147" i="210"/>
  <c r="T5155" i="210"/>
  <c r="O5155" i="210" s="1"/>
  <c r="T5163" i="210"/>
  <c r="O5163" i="210" s="1"/>
  <c r="T5171" i="210"/>
  <c r="O5171" i="210" s="1"/>
  <c r="T5179" i="210"/>
  <c r="T5187" i="210"/>
  <c r="T5195" i="210"/>
  <c r="O5195" i="210" s="1"/>
  <c r="T5203" i="210"/>
  <c r="T5211" i="210"/>
  <c r="T5227" i="210"/>
  <c r="T5235" i="210"/>
  <c r="O5235" i="210" s="1"/>
  <c r="T5243" i="210"/>
  <c r="O5243" i="210" s="1"/>
  <c r="T5251" i="210"/>
  <c r="T5259" i="210"/>
  <c r="T5267" i="210"/>
  <c r="O5267" i="210" s="1"/>
  <c r="T5275" i="210"/>
  <c r="T5283" i="210"/>
  <c r="O5283" i="210" s="1"/>
  <c r="T5291" i="210"/>
  <c r="O5291" i="210" s="1"/>
  <c r="T5299" i="210"/>
  <c r="T5307" i="210"/>
  <c r="O5307" i="210" s="1"/>
  <c r="T5323" i="210"/>
  <c r="T5331" i="210"/>
  <c r="O5331" i="210" s="1"/>
  <c r="T5339" i="210"/>
  <c r="O5339" i="210" s="1"/>
  <c r="T5347" i="210"/>
  <c r="T5363" i="210"/>
  <c r="O5363" i="210" s="1"/>
  <c r="T5371" i="210"/>
  <c r="O5371" i="210" s="1"/>
  <c r="T5379" i="210"/>
  <c r="T4451" i="210"/>
  <c r="O4451" i="210" s="1"/>
  <c r="T4539" i="210"/>
  <c r="T4659" i="210"/>
  <c r="T4683" i="210"/>
  <c r="O4683" i="210" s="1"/>
  <c r="T4715" i="210"/>
  <c r="O4715" i="210" s="1"/>
  <c r="T4803" i="210"/>
  <c r="T4882" i="210"/>
  <c r="O4882" i="210" s="1"/>
  <c r="T4922" i="210"/>
  <c r="T4974" i="210"/>
  <c r="T4982" i="210"/>
  <c r="T4990" i="210"/>
  <c r="O4990" i="210" s="1"/>
  <c r="T4998" i="210"/>
  <c r="O4998" i="210" s="1"/>
  <c r="T5006" i="210"/>
  <c r="T5014" i="210"/>
  <c r="T5022" i="210"/>
  <c r="O5022" i="210" s="1"/>
  <c r="T5038" i="210"/>
  <c r="T5046" i="210"/>
  <c r="T5054" i="210"/>
  <c r="T5062" i="210"/>
  <c r="O5062" i="210" s="1"/>
  <c r="T5078" i="210"/>
  <c r="O5078" i="210" s="1"/>
  <c r="T5086" i="210"/>
  <c r="T5094" i="210"/>
  <c r="T5102" i="210"/>
  <c r="O5102" i="210" s="1"/>
  <c r="T5110" i="210"/>
  <c r="T5118" i="210"/>
  <c r="T5126" i="210"/>
  <c r="T5134" i="210"/>
  <c r="O5134" i="210" s="1"/>
  <c r="T5142" i="210"/>
  <c r="O5142" i="210" s="1"/>
  <c r="T5150" i="210"/>
  <c r="T5158" i="210"/>
  <c r="T5166" i="210"/>
  <c r="O5166" i="210" s="1"/>
  <c r="T5174" i="210"/>
  <c r="T5182" i="210"/>
  <c r="T5190" i="210"/>
  <c r="T5198" i="210"/>
  <c r="O5198" i="210" s="1"/>
  <c r="T5206" i="210"/>
  <c r="O5206" i="210" s="1"/>
  <c r="T5214" i="210"/>
  <c r="T5222" i="210"/>
  <c r="T5230" i="210"/>
  <c r="T5238" i="210"/>
  <c r="T5246" i="210"/>
  <c r="T5254" i="210"/>
  <c r="T5262" i="210"/>
  <c r="O5262" i="210" s="1"/>
  <c r="T5270" i="210"/>
  <c r="O5270" i="210" s="1"/>
  <c r="T5278" i="210"/>
  <c r="T5286" i="210"/>
  <c r="T5294" i="210"/>
  <c r="O5294" i="210" s="1"/>
  <c r="T5302" i="210"/>
  <c r="T5310" i="210"/>
  <c r="T5326" i="210"/>
  <c r="T5334" i="210"/>
  <c r="O5334" i="210" s="1"/>
  <c r="T5342" i="210"/>
  <c r="O5342" i="210" s="1"/>
  <c r="T5350" i="210"/>
  <c r="T5366" i="210"/>
  <c r="T5374" i="210"/>
  <c r="T5382" i="210"/>
  <c r="T5017" i="210"/>
  <c r="T5065" i="210"/>
  <c r="O5065" i="210" s="1"/>
  <c r="T5089" i="210"/>
  <c r="T5153" i="210"/>
  <c r="O5153" i="210" s="1"/>
  <c r="T5225" i="210"/>
  <c r="T5249" i="210"/>
  <c r="T5257" i="210"/>
  <c r="O5257" i="210" s="1"/>
  <c r="T5289" i="210"/>
  <c r="T5328" i="210"/>
  <c r="T5361" i="210"/>
  <c r="T5396" i="210"/>
  <c r="T5404" i="210"/>
  <c r="O5404" i="210" s="1"/>
  <c r="T5412" i="210"/>
  <c r="O5412" i="210" s="1"/>
  <c r="T5420" i="210"/>
  <c r="O5420" i="210" s="1"/>
  <c r="T5428" i="210"/>
  <c r="O5428" i="210" s="1"/>
  <c r="T5436" i="210"/>
  <c r="O5436" i="210" s="1"/>
  <c r="T5444" i="210"/>
  <c r="O5444" i="210" s="1"/>
  <c r="T5452" i="210"/>
  <c r="T5460" i="210"/>
  <c r="T5468" i="210"/>
  <c r="O5468" i="210" s="1"/>
  <c r="T5476" i="210"/>
  <c r="O5476" i="210" s="1"/>
  <c r="T5492" i="210"/>
  <c r="T5500" i="210"/>
  <c r="O5500" i="210" s="1"/>
  <c r="T5508" i="210"/>
  <c r="O5508" i="210" s="1"/>
  <c r="T5516" i="210"/>
  <c r="T5524" i="210"/>
  <c r="T5532" i="210"/>
  <c r="O5532" i="210" s="1"/>
  <c r="T5540" i="210"/>
  <c r="O5540" i="210" s="1"/>
  <c r="T5548" i="210"/>
  <c r="T5556" i="210"/>
  <c r="O5556" i="210" s="1"/>
  <c r="T5564" i="210"/>
  <c r="T5572" i="210"/>
  <c r="O5572" i="210" s="1"/>
  <c r="T5580" i="210"/>
  <c r="T5596" i="210"/>
  <c r="T5604" i="210"/>
  <c r="O5604" i="210" s="1"/>
  <c r="T5612" i="210"/>
  <c r="O5612" i="210" s="1"/>
  <c r="T5620" i="210"/>
  <c r="T5628" i="210"/>
  <c r="O5628" i="210" s="1"/>
  <c r="T5636" i="210"/>
  <c r="O5636" i="210" s="1"/>
  <c r="T5652" i="210"/>
  <c r="O5652" i="210" s="1"/>
  <c r="T5660" i="210"/>
  <c r="T5668" i="210"/>
  <c r="O5668" i="210" s="1"/>
  <c r="T5684" i="210"/>
  <c r="O5684" i="210" s="1"/>
  <c r="T5692" i="210"/>
  <c r="O5692" i="210" s="1"/>
  <c r="T5700" i="210"/>
  <c r="T5708" i="210"/>
  <c r="T5716" i="210"/>
  <c r="O5716" i="210" s="1"/>
  <c r="T5732" i="210"/>
  <c r="T5740" i="210"/>
  <c r="T5748" i="210"/>
  <c r="O5748" i="210" s="1"/>
  <c r="T5756" i="210"/>
  <c r="O5756" i="210" s="1"/>
  <c r="T5764" i="210"/>
  <c r="O5764" i="210" s="1"/>
  <c r="T5772" i="210"/>
  <c r="T5788" i="210"/>
  <c r="O5788" i="210" s="1"/>
  <c r="T5796" i="210"/>
  <c r="T5804" i="210"/>
  <c r="O5804" i="210" s="1"/>
  <c r="T5820" i="210"/>
  <c r="T5828" i="210"/>
  <c r="T5836" i="210"/>
  <c r="T4571" i="210"/>
  <c r="O4571" i="210" s="1"/>
  <c r="T4635" i="210"/>
  <c r="T4993" i="210"/>
  <c r="O4993" i="210" s="1"/>
  <c r="T5041" i="210"/>
  <c r="O5041" i="210" s="1"/>
  <c r="T5129" i="210"/>
  <c r="O5129" i="210" s="1"/>
  <c r="T5193" i="210"/>
  <c r="O5193" i="210" s="1"/>
  <c r="T5256" i="210"/>
  <c r="T5288" i="210"/>
  <c r="T5337" i="210"/>
  <c r="O5337" i="210" s="1"/>
  <c r="T5360" i="210"/>
  <c r="T5391" i="210"/>
  <c r="T5399" i="210"/>
  <c r="O5399" i="210" s="1"/>
  <c r="T5407" i="210"/>
  <c r="O5407" i="210" s="1"/>
  <c r="T5415" i="210"/>
  <c r="T5423" i="210"/>
  <c r="T5431" i="210"/>
  <c r="T5439" i="210"/>
  <c r="O5439" i="210" s="1"/>
  <c r="T5447" i="210"/>
  <c r="T5455" i="210"/>
  <c r="O5455" i="210" s="1"/>
  <c r="T5463" i="210"/>
  <c r="O5463" i="210" s="1"/>
  <c r="T5471" i="210"/>
  <c r="O5471" i="210" s="1"/>
  <c r="T5479" i="210"/>
  <c r="T5487" i="210"/>
  <c r="T5495" i="210"/>
  <c r="T5503" i="210"/>
  <c r="T5511" i="210"/>
  <c r="T5519" i="210"/>
  <c r="T5527" i="210"/>
  <c r="O5527" i="210" s="1"/>
  <c r="T5535" i="210"/>
  <c r="O5535" i="210" s="1"/>
  <c r="T5543" i="210"/>
  <c r="T5551" i="210"/>
  <c r="T5559" i="210"/>
  <c r="T5567" i="210"/>
  <c r="O5567" i="210" s="1"/>
  <c r="T5575" i="210"/>
  <c r="T5583" i="210"/>
  <c r="O5583" i="210" s="1"/>
  <c r="T5591" i="210"/>
  <c r="T5599" i="210"/>
  <c r="O5599" i="210" s="1"/>
  <c r="T5607" i="210"/>
  <c r="T5615" i="210"/>
  <c r="T5623" i="210"/>
  <c r="T5631" i="210"/>
  <c r="O5631" i="210" s="1"/>
  <c r="T5647" i="210"/>
  <c r="T5655" i="210"/>
  <c r="O5655" i="210" s="1"/>
  <c r="T5663" i="210"/>
  <c r="O5663" i="210" s="1"/>
  <c r="T5671" i="210"/>
  <c r="O5671" i="210" s="1"/>
  <c r="T5687" i="210"/>
  <c r="T5695" i="210"/>
  <c r="T5703" i="210"/>
  <c r="T5711" i="210"/>
  <c r="O5711" i="210" s="1"/>
  <c r="T5727" i="210"/>
  <c r="T5735" i="210"/>
  <c r="T5743" i="210"/>
  <c r="O5743" i="210" s="1"/>
  <c r="T5759" i="210"/>
  <c r="O5759" i="210" s="1"/>
  <c r="T5767" i="210"/>
  <c r="T5775" i="210"/>
  <c r="T5783" i="210"/>
  <c r="T5791" i="210"/>
  <c r="O5791" i="210" s="1"/>
  <c r="T5799" i="210"/>
  <c r="T5807" i="210"/>
  <c r="O5807" i="210" s="1"/>
  <c r="T4969" i="210"/>
  <c r="O4969" i="210" s="1"/>
  <c r="T5105" i="210"/>
  <c r="T5169" i="210"/>
  <c r="T5265" i="210"/>
  <c r="O5265" i="210" s="1"/>
  <c r="T5297" i="210"/>
  <c r="T5336" i="210"/>
  <c r="O5336" i="210" s="1"/>
  <c r="T5394" i="210"/>
  <c r="T5402" i="210"/>
  <c r="T5410" i="210"/>
  <c r="T5418" i="210"/>
  <c r="T5426" i="210"/>
  <c r="T5434" i="210"/>
  <c r="O5434" i="210" s="1"/>
  <c r="T5442" i="210"/>
  <c r="O5442" i="210" s="1"/>
  <c r="T5450" i="210"/>
  <c r="O5450" i="210" s="1"/>
  <c r="T5458" i="210"/>
  <c r="T5466" i="210"/>
  <c r="T5474" i="210"/>
  <c r="O5474" i="210" s="1"/>
  <c r="T5490" i="210"/>
  <c r="T5498" i="210"/>
  <c r="T5506" i="210"/>
  <c r="O5506" i="210" s="1"/>
  <c r="T5514" i="210"/>
  <c r="O5514" i="210" s="1"/>
  <c r="T5522" i="210"/>
  <c r="O5522" i="210" s="1"/>
  <c r="T5530" i="210"/>
  <c r="T5538" i="210"/>
  <c r="T5546" i="210"/>
  <c r="T5554" i="210"/>
  <c r="T5562" i="210"/>
  <c r="T5570" i="210"/>
  <c r="O5570" i="210" s="1"/>
  <c r="T5578" i="210"/>
  <c r="O5578" i="210" s="1"/>
  <c r="T5594" i="210"/>
  <c r="T5602" i="210"/>
  <c r="T5610" i="210"/>
  <c r="T5618" i="210"/>
  <c r="O5618" i="210" s="1"/>
  <c r="T5626" i="210"/>
  <c r="T5634" i="210"/>
  <c r="T5650" i="210"/>
  <c r="O5650" i="210" s="1"/>
  <c r="T5658" i="210"/>
  <c r="O5658" i="210" s="1"/>
  <c r="T5666" i="210"/>
  <c r="O5666" i="210" s="1"/>
  <c r="T5682" i="210"/>
  <c r="T5690" i="210"/>
  <c r="T5698" i="210"/>
  <c r="O5698" i="210" s="1"/>
  <c r="T5706" i="210"/>
  <c r="T5714" i="210"/>
  <c r="T5730" i="210"/>
  <c r="O5730" i="210" s="1"/>
  <c r="T5738" i="210"/>
  <c r="O5738" i="210" s="1"/>
  <c r="T5746" i="210"/>
  <c r="O5746" i="210" s="1"/>
  <c r="T5762" i="210"/>
  <c r="T5770" i="210"/>
  <c r="T5786" i="210"/>
  <c r="O5786" i="210" s="1"/>
  <c r="T5794" i="210"/>
  <c r="T5802" i="210"/>
  <c r="T5818" i="210"/>
  <c r="T5826" i="210"/>
  <c r="T5834" i="210"/>
  <c r="O5834" i="210" s="1"/>
  <c r="T5842" i="210"/>
  <c r="T5850" i="210"/>
  <c r="T4779" i="210"/>
  <c r="O4779" i="210" s="1"/>
  <c r="T5009" i="210"/>
  <c r="T5057" i="210"/>
  <c r="O5057" i="210" s="1"/>
  <c r="T5081" i="210"/>
  <c r="T5145" i="210"/>
  <c r="T5209" i="210"/>
  <c r="O5209" i="210" s="1"/>
  <c r="T5241" i="210"/>
  <c r="T5264" i="210"/>
  <c r="T5296" i="210"/>
  <c r="O5296" i="210" s="1"/>
  <c r="T5345" i="210"/>
  <c r="T5369" i="210"/>
  <c r="T5397" i="210"/>
  <c r="T5405" i="210"/>
  <c r="T5413" i="210"/>
  <c r="O5413" i="210" s="1"/>
  <c r="T5421" i="210"/>
  <c r="T5429" i="210"/>
  <c r="T5437" i="210"/>
  <c r="O5437" i="210" s="1"/>
  <c r="T5445" i="210"/>
  <c r="O5445" i="210" s="1"/>
  <c r="T5453" i="210"/>
  <c r="T5461" i="210"/>
  <c r="T5469" i="210"/>
  <c r="T5477" i="210"/>
  <c r="O5477" i="210" s="1"/>
  <c r="T5493" i="210"/>
  <c r="T5501" i="210"/>
  <c r="T5509" i="210"/>
  <c r="O5509" i="210" s="1"/>
  <c r="T5517" i="210"/>
  <c r="O5517" i="210" s="1"/>
  <c r="T5525" i="210"/>
  <c r="T5533" i="210"/>
  <c r="T5541" i="210"/>
  <c r="T5549" i="210"/>
  <c r="O5549" i="210" s="1"/>
  <c r="T5557" i="210"/>
  <c r="T5565" i="210"/>
  <c r="O5565" i="210" s="1"/>
  <c r="T5573" i="210"/>
  <c r="O5573" i="210" s="1"/>
  <c r="T5581" i="210"/>
  <c r="O5581" i="210" s="1"/>
  <c r="T5597" i="210"/>
  <c r="T5605" i="210"/>
  <c r="T5613" i="210"/>
  <c r="T5621" i="210"/>
  <c r="O5621" i="210" s="1"/>
  <c r="T5629" i="210"/>
  <c r="T5637" i="210"/>
  <c r="T5645" i="210"/>
  <c r="O5645" i="210" s="1"/>
  <c r="T5653" i="210"/>
  <c r="O5653" i="210" s="1"/>
  <c r="T5661" i="210"/>
  <c r="T5669" i="210"/>
  <c r="T5685" i="210"/>
  <c r="T5693" i="210"/>
  <c r="O5693" i="210" s="1"/>
  <c r="T5701" i="210"/>
  <c r="T5709" i="210"/>
  <c r="O5709" i="210" s="1"/>
  <c r="T5717" i="210"/>
  <c r="O5717" i="210" s="1"/>
  <c r="T5725" i="210"/>
  <c r="O5725" i="210" s="1"/>
  <c r="T5733" i="210"/>
  <c r="T5741" i="210"/>
  <c r="T5757" i="210"/>
  <c r="T5765" i="210"/>
  <c r="O5765" i="210" s="1"/>
  <c r="T5773" i="210"/>
  <c r="T5789" i="210"/>
  <c r="O5789" i="210" s="1"/>
  <c r="T5797" i="210"/>
  <c r="O5797" i="210" s="1"/>
  <c r="T5805" i="210"/>
  <c r="O5805" i="210" s="1"/>
  <c r="T5821" i="210"/>
  <c r="T5829" i="210"/>
  <c r="T5837" i="210"/>
  <c r="T4985" i="210"/>
  <c r="O4985" i="210" s="1"/>
  <c r="T5121" i="210"/>
  <c r="T5185" i="210"/>
  <c r="O5185" i="210" s="1"/>
  <c r="T5273" i="210"/>
  <c r="O5273" i="210" s="1"/>
  <c r="T5305" i="210"/>
  <c r="T5321" i="210"/>
  <c r="T5344" i="210"/>
  <c r="T5368" i="210"/>
  <c r="T5392" i="210"/>
  <c r="O5392" i="210" s="1"/>
  <c r="T5400" i="210"/>
  <c r="T5408" i="210"/>
  <c r="O5408" i="210" s="1"/>
  <c r="T5416" i="210"/>
  <c r="O5416" i="210" s="1"/>
  <c r="T5424" i="210"/>
  <c r="T5432" i="210"/>
  <c r="T5440" i="210"/>
  <c r="T5448" i="210"/>
  <c r="T5456" i="210"/>
  <c r="O5456" i="210" s="1"/>
  <c r="T5464" i="210"/>
  <c r="T5472" i="210"/>
  <c r="O5472" i="210" s="1"/>
  <c r="T5480" i="210"/>
  <c r="O5480" i="210" s="1"/>
  <c r="T5488" i="210"/>
  <c r="T5496" i="210"/>
  <c r="T5504" i="210"/>
  <c r="T5512" i="210"/>
  <c r="T5520" i="210"/>
  <c r="O5520" i="210" s="1"/>
  <c r="T5528" i="210"/>
  <c r="T5536" i="210"/>
  <c r="O5536" i="210" s="1"/>
  <c r="T5544" i="210"/>
  <c r="O5544" i="210" s="1"/>
  <c r="T5552" i="210"/>
  <c r="T5560" i="210"/>
  <c r="T5568" i="210"/>
  <c r="T5576" i="210"/>
  <c r="T5584" i="210"/>
  <c r="O5584" i="210" s="1"/>
  <c r="T5592" i="210"/>
  <c r="T5600" i="210"/>
  <c r="O5600" i="210" s="1"/>
  <c r="T5608" i="210"/>
  <c r="O5608" i="210" s="1"/>
  <c r="T5616" i="210"/>
  <c r="T5624" i="210"/>
  <c r="T5632" i="210"/>
  <c r="T5648" i="210"/>
  <c r="T5656" i="210"/>
  <c r="O5656" i="210" s="1"/>
  <c r="T5664" i="210"/>
  <c r="T5672" i="210"/>
  <c r="O5672" i="210" s="1"/>
  <c r="T5680" i="210"/>
  <c r="O5680" i="210" s="1"/>
  <c r="T5688" i="210"/>
  <c r="T5696" i="210"/>
  <c r="T5704" i="210"/>
  <c r="T5712" i="210"/>
  <c r="T5728" i="210"/>
  <c r="O5728" i="210" s="1"/>
  <c r="T5736" i="210"/>
  <c r="T5744" i="210"/>
  <c r="O5744" i="210" s="1"/>
  <c r="T4140" i="210"/>
  <c r="O4140" i="210" s="1"/>
  <c r="T4931" i="210"/>
  <c r="O4931" i="210" s="1"/>
  <c r="T4963" i="210"/>
  <c r="T5025" i="210"/>
  <c r="T5097" i="210"/>
  <c r="T5161" i="210"/>
  <c r="O5161" i="210" s="1"/>
  <c r="T5272" i="210"/>
  <c r="T5304" i="210"/>
  <c r="O5304" i="210" s="1"/>
  <c r="T5377" i="210"/>
  <c r="O5377" i="210" s="1"/>
  <c r="T5395" i="210"/>
  <c r="T5403" i="210"/>
  <c r="T5411" i="210"/>
  <c r="T5419" i="210"/>
  <c r="T5427" i="210"/>
  <c r="O5427" i="210" s="1"/>
  <c r="T5435" i="210"/>
  <c r="O5435" i="210" s="1"/>
  <c r="T5443" i="210"/>
  <c r="O5443" i="210" s="1"/>
  <c r="T5451" i="210"/>
  <c r="T5459" i="210"/>
  <c r="T5467" i="210"/>
  <c r="T5475" i="210"/>
  <c r="T5491" i="210"/>
  <c r="T5499" i="210"/>
  <c r="O5499" i="210" s="1"/>
  <c r="T5507" i="210"/>
  <c r="O5507" i="210" s="1"/>
  <c r="T5515" i="210"/>
  <c r="O5515" i="210" s="1"/>
  <c r="T5523" i="210"/>
  <c r="T5531" i="210"/>
  <c r="T5539" i="210"/>
  <c r="T5547" i="210"/>
  <c r="T5555" i="210"/>
  <c r="T5563" i="210"/>
  <c r="O5563" i="210" s="1"/>
  <c r="T5571" i="210"/>
  <c r="O5571" i="210" s="1"/>
  <c r="T5579" i="210"/>
  <c r="O5579" i="210" s="1"/>
  <c r="T5595" i="210"/>
  <c r="O5595" i="210" s="1"/>
  <c r="T5603" i="210"/>
  <c r="T5611" i="210"/>
  <c r="T5619" i="210"/>
  <c r="T5627" i="210"/>
  <c r="T5635" i="210"/>
  <c r="O5635" i="210" s="1"/>
  <c r="T5651" i="210"/>
  <c r="O5651" i="210" s="1"/>
  <c r="T5659" i="210"/>
  <c r="O5659" i="210" s="1"/>
  <c r="T5667" i="210"/>
  <c r="O5667" i="210" s="1"/>
  <c r="T5683" i="210"/>
  <c r="T5691" i="210"/>
  <c r="T5699" i="210"/>
  <c r="T5707" i="210"/>
  <c r="T5715" i="210"/>
  <c r="O5715" i="210" s="1"/>
  <c r="T5731" i="210"/>
  <c r="O5731" i="210" s="1"/>
  <c r="T5739" i="210"/>
  <c r="O5739" i="210" s="1"/>
  <c r="T5747" i="210"/>
  <c r="T5755" i="210"/>
  <c r="O5755" i="210" s="1"/>
  <c r="T5763" i="210"/>
  <c r="O5763" i="210" s="1"/>
  <c r="T5771" i="210"/>
  <c r="T5787" i="210"/>
  <c r="O5787" i="210" s="1"/>
  <c r="T5795" i="210"/>
  <c r="O5795" i="210" s="1"/>
  <c r="T5803" i="210"/>
  <c r="O5803" i="210" s="1"/>
  <c r="T5819" i="210"/>
  <c r="T5827" i="210"/>
  <c r="O5827" i="210" s="1"/>
  <c r="T5835" i="210"/>
  <c r="O5835" i="210" s="1"/>
  <c r="T4899" i="210"/>
  <c r="T4962" i="210"/>
  <c r="T5001" i="210"/>
  <c r="T5049" i="210"/>
  <c r="O5049" i="210" s="1"/>
  <c r="T5137" i="210"/>
  <c r="O5137" i="210" s="1"/>
  <c r="T5201" i="210"/>
  <c r="O5201" i="210" s="1"/>
  <c r="T5233" i="210"/>
  <c r="O5233" i="210" s="1"/>
  <c r="T5281" i="210"/>
  <c r="T5313" i="210"/>
  <c r="T5352" i="210"/>
  <c r="T5376" i="210"/>
  <c r="O5376" i="210" s="1"/>
  <c r="T5390" i="210"/>
  <c r="O5390" i="210" s="1"/>
  <c r="T5398" i="210"/>
  <c r="T5406" i="210"/>
  <c r="T5414" i="210"/>
  <c r="O5414" i="210" s="1"/>
  <c r="T5422" i="210"/>
  <c r="T5430" i="210"/>
  <c r="T5438" i="210"/>
  <c r="O5438" i="210" s="1"/>
  <c r="T5446" i="210"/>
  <c r="O5446" i="210" s="1"/>
  <c r="T5454" i="210"/>
  <c r="O5454" i="210" s="1"/>
  <c r="T5462" i="210"/>
  <c r="T5470" i="210"/>
  <c r="T5478" i="210"/>
  <c r="O5478" i="210" s="1"/>
  <c r="T5494" i="210"/>
  <c r="T5502" i="210"/>
  <c r="T5510" i="210"/>
  <c r="O5510" i="210" s="1"/>
  <c r="T5518" i="210"/>
  <c r="O5518" i="210" s="1"/>
  <c r="T5526" i="210"/>
  <c r="T5534" i="210"/>
  <c r="T5542" i="210"/>
  <c r="T5550" i="210"/>
  <c r="O5550" i="210" s="1"/>
  <c r="T5558" i="210"/>
  <c r="T5566" i="210"/>
  <c r="T5574" i="210"/>
  <c r="O5574" i="210" s="1"/>
  <c r="T5582" i="210"/>
  <c r="O5582" i="210" s="1"/>
  <c r="T5598" i="210"/>
  <c r="O5598" i="210" s="1"/>
  <c r="T5606" i="210"/>
  <c r="T5614" i="210"/>
  <c r="T5622" i="210"/>
  <c r="O5622" i="210" s="1"/>
  <c r="T5630" i="210"/>
  <c r="T5638" i="210"/>
  <c r="T5646" i="210"/>
  <c r="O5646" i="210" s="1"/>
  <c r="T5654" i="210"/>
  <c r="O5654" i="210" s="1"/>
  <c r="T5662" i="210"/>
  <c r="O5662" i="210" s="1"/>
  <c r="T5670" i="210"/>
  <c r="T5686" i="210"/>
  <c r="T5694" i="210"/>
  <c r="O5694" i="210" s="1"/>
  <c r="T5702" i="210"/>
  <c r="T5710" i="210"/>
  <c r="T5718" i="210"/>
  <c r="O5718" i="210" s="1"/>
  <c r="T5726" i="210"/>
  <c r="O5726" i="210" s="1"/>
  <c r="T5734" i="210"/>
  <c r="O5734" i="210" s="1"/>
  <c r="T5742" i="210"/>
  <c r="T5758" i="210"/>
  <c r="T5766" i="210"/>
  <c r="O5766" i="210" s="1"/>
  <c r="T5774" i="210"/>
  <c r="T5782" i="210"/>
  <c r="O5782" i="210" s="1"/>
  <c r="T5790" i="210"/>
  <c r="O5790" i="210" s="1"/>
  <c r="T5798" i="210"/>
  <c r="O5798" i="210" s="1"/>
  <c r="T5806" i="210"/>
  <c r="T5822" i="210"/>
  <c r="T5830" i="210"/>
  <c r="T5838" i="210"/>
  <c r="O5838" i="210" s="1"/>
  <c r="T5177" i="210"/>
  <c r="T5457" i="210"/>
  <c r="T5553" i="210"/>
  <c r="O5553" i="210" s="1"/>
  <c r="T5649" i="210"/>
  <c r="T5681" i="210"/>
  <c r="O5681" i="210" s="1"/>
  <c r="T5705" i="210"/>
  <c r="T5825" i="210"/>
  <c r="T5831" i="210"/>
  <c r="T5832" i="210"/>
  <c r="O5832" i="210" s="1"/>
  <c r="T5853" i="210"/>
  <c r="O5853" i="210" s="1"/>
  <c r="T5861" i="210"/>
  <c r="O5861" i="210" s="1"/>
  <c r="T5869" i="210"/>
  <c r="O5869" i="210" s="1"/>
  <c r="T5877" i="210"/>
  <c r="O5877" i="210" s="1"/>
  <c r="T5885" i="210"/>
  <c r="T5893" i="210"/>
  <c r="T5901" i="210"/>
  <c r="T5909" i="210"/>
  <c r="O5909" i="210" s="1"/>
  <c r="T5925" i="210"/>
  <c r="T5933" i="210"/>
  <c r="T5949" i="210"/>
  <c r="T5957" i="210"/>
  <c r="O5957" i="210" s="1"/>
  <c r="T5965" i="210"/>
  <c r="T5981" i="210"/>
  <c r="T5989" i="210"/>
  <c r="T5997" i="210"/>
  <c r="T6005" i="210"/>
  <c r="T6013" i="210"/>
  <c r="O6013" i="210" s="1"/>
  <c r="T6021" i="210"/>
  <c r="O6021" i="210" s="1"/>
  <c r="T6029" i="210"/>
  <c r="T6045" i="210"/>
  <c r="O6045" i="210" s="1"/>
  <c r="T6053" i="210"/>
  <c r="O6053" i="210" s="1"/>
  <c r="T6061" i="210"/>
  <c r="T6077" i="210"/>
  <c r="T6085" i="210"/>
  <c r="O6085" i="210" s="1"/>
  <c r="T6093" i="210"/>
  <c r="T6101" i="210"/>
  <c r="O6101" i="210" s="1"/>
  <c r="T6109" i="210"/>
  <c r="O6109" i="210" s="1"/>
  <c r="T6117" i="210"/>
  <c r="O6117" i="210" s="1"/>
  <c r="T6133" i="210"/>
  <c r="T6141" i="210"/>
  <c r="O6141" i="210" s="1"/>
  <c r="T6149" i="210"/>
  <c r="T6165" i="210"/>
  <c r="O6165" i="210" s="1"/>
  <c r="T6173" i="210"/>
  <c r="O6173" i="210" s="1"/>
  <c r="T6181" i="210"/>
  <c r="O6181" i="210" s="1"/>
  <c r="T6189" i="210"/>
  <c r="O6189" i="210" s="1"/>
  <c r="T6205" i="210"/>
  <c r="O6205" i="210" s="1"/>
  <c r="T6213" i="210"/>
  <c r="O6213" i="210" s="1"/>
  <c r="T6221" i="210"/>
  <c r="O6221" i="210" s="1"/>
  <c r="T6237" i="210"/>
  <c r="O6237" i="210" s="1"/>
  <c r="T6245" i="210"/>
  <c r="O6245" i="210" s="1"/>
  <c r="T6253" i="210"/>
  <c r="O6253" i="210" s="1"/>
  <c r="T6261" i="210"/>
  <c r="O6261" i="210" s="1"/>
  <c r="T6269" i="210"/>
  <c r="O6269" i="210" s="1"/>
  <c r="T6277" i="210"/>
  <c r="T6285" i="210"/>
  <c r="O6285" i="210" s="1"/>
  <c r="T6293" i="210"/>
  <c r="T6309" i="210"/>
  <c r="T6317" i="210"/>
  <c r="T6325" i="210"/>
  <c r="T6341" i="210"/>
  <c r="T6349" i="210"/>
  <c r="O6349" i="210" s="1"/>
  <c r="T6357" i="210"/>
  <c r="T6373" i="210"/>
  <c r="O6373" i="210" s="1"/>
  <c r="T6381" i="210"/>
  <c r="O6381" i="210" s="1"/>
  <c r="T6389" i="210"/>
  <c r="T6397" i="210"/>
  <c r="T6413" i="210"/>
  <c r="T6421" i="210"/>
  <c r="T6429" i="210"/>
  <c r="O6429" i="210" s="1"/>
  <c r="T6437" i="210"/>
  <c r="O6437" i="210" s="1"/>
  <c r="T6453" i="210"/>
  <c r="O6453" i="210" s="1"/>
  <c r="T6461" i="210"/>
  <c r="O6461" i="210" s="1"/>
  <c r="T6469" i="210"/>
  <c r="O6469" i="210" s="1"/>
  <c r="T6485" i="210"/>
  <c r="O6485" i="210" s="1"/>
  <c r="T6493" i="210"/>
  <c r="O6493" i="210" s="1"/>
  <c r="T6501" i="210"/>
  <c r="T6509" i="210"/>
  <c r="O6509" i="210" s="1"/>
  <c r="T6517" i="210"/>
  <c r="T6525" i="210"/>
  <c r="T6533" i="210"/>
  <c r="O6533" i="210" s="1"/>
  <c r="T6541" i="210"/>
  <c r="O6541" i="210" s="1"/>
  <c r="T6549" i="210"/>
  <c r="O6549" i="210" s="1"/>
  <c r="T6557" i="210"/>
  <c r="O6557" i="210" s="1"/>
  <c r="T6508" i="210"/>
  <c r="T6516" i="210"/>
  <c r="O6516" i="210" s="1"/>
  <c r="T5577" i="210"/>
  <c r="T5609" i="210"/>
  <c r="T5906" i="210"/>
  <c r="O5906" i="210" s="1"/>
  <c r="T5922" i="210"/>
  <c r="O5922" i="210" s="1"/>
  <c r="T5986" i="210"/>
  <c r="O5986" i="210" s="1"/>
  <c r="T6050" i="210"/>
  <c r="O6050" i="210" s="1"/>
  <c r="T6114" i="210"/>
  <c r="O6114" i="210" s="1"/>
  <c r="T6218" i="210"/>
  <c r="O6218" i="210" s="1"/>
  <c r="T6314" i="210"/>
  <c r="O6314" i="210" s="1"/>
  <c r="T6322" i="210"/>
  <c r="O6322" i="210" s="1"/>
  <c r="T6378" i="210"/>
  <c r="O6378" i="210" s="1"/>
  <c r="T6474" i="210"/>
  <c r="O6474" i="210" s="1"/>
  <c r="T5433" i="210"/>
  <c r="T5529" i="210"/>
  <c r="T5625" i="210"/>
  <c r="O5625" i="210" s="1"/>
  <c r="T5745" i="210"/>
  <c r="O5745" i="210" s="1"/>
  <c r="T5761" i="210"/>
  <c r="O5761" i="210" s="1"/>
  <c r="T5793" i="210"/>
  <c r="T5815" i="210"/>
  <c r="O5815" i="210" s="1"/>
  <c r="T5817" i="210"/>
  <c r="T5823" i="210"/>
  <c r="O5823" i="210" s="1"/>
  <c r="T5824" i="210"/>
  <c r="O5824" i="210" s="1"/>
  <c r="T5839" i="210"/>
  <c r="T5840" i="210"/>
  <c r="O5840" i="210" s="1"/>
  <c r="T5841" i="210"/>
  <c r="T5856" i="210"/>
  <c r="T5864" i="210"/>
  <c r="O5864" i="210" s="1"/>
  <c r="T5872" i="210"/>
  <c r="T5888" i="210"/>
  <c r="T5896" i="210"/>
  <c r="T5904" i="210"/>
  <c r="T5920" i="210"/>
  <c r="O5920" i="210" s="1"/>
  <c r="T5928" i="210"/>
  <c r="O5928" i="210" s="1"/>
  <c r="T5936" i="210"/>
  <c r="T5952" i="210"/>
  <c r="O5952" i="210" s="1"/>
  <c r="T5960" i="210"/>
  <c r="T5968" i="210"/>
  <c r="T5984" i="210"/>
  <c r="T5992" i="210"/>
  <c r="T6000" i="210"/>
  <c r="O6000" i="210" s="1"/>
  <c r="T6016" i="210"/>
  <c r="O6016" i="210" s="1"/>
  <c r="T6024" i="210"/>
  <c r="T6032" i="210"/>
  <c r="T6048" i="210"/>
  <c r="T6056" i="210"/>
  <c r="T6072" i="210"/>
  <c r="T6080" i="210"/>
  <c r="T6088" i="210"/>
  <c r="O6088" i="210" s="1"/>
  <c r="T6104" i="210"/>
  <c r="O6104" i="210" s="1"/>
  <c r="T6112" i="210"/>
  <c r="T6120" i="210"/>
  <c r="T6128" i="210"/>
  <c r="T6136" i="210"/>
  <c r="T6144" i="210"/>
  <c r="T6152" i="210"/>
  <c r="T6160" i="210"/>
  <c r="T6168" i="210"/>
  <c r="O6168" i="210" s="1"/>
  <c r="T6176" i="210"/>
  <c r="T6184" i="210"/>
  <c r="O6184" i="210" s="1"/>
  <c r="T6192" i="210"/>
  <c r="T6200" i="210"/>
  <c r="T6208" i="210"/>
  <c r="T6216" i="210"/>
  <c r="T6232" i="210"/>
  <c r="O6232" i="210" s="1"/>
  <c r="T6240" i="210"/>
  <c r="O6240" i="210" s="1"/>
  <c r="T6248" i="210"/>
  <c r="T6256" i="210"/>
  <c r="O6256" i="210" s="1"/>
  <c r="T6272" i="210"/>
  <c r="T6280" i="210"/>
  <c r="T6288" i="210"/>
  <c r="T6296" i="210"/>
  <c r="O6296" i="210" s="1"/>
  <c r="T6304" i="210"/>
  <c r="O6304" i="210" s="1"/>
  <c r="T6312" i="210"/>
  <c r="O6312" i="210" s="1"/>
  <c r="T6320" i="210"/>
  <c r="T6328" i="210"/>
  <c r="T6336" i="210"/>
  <c r="T6344" i="210"/>
  <c r="T6352" i="210"/>
  <c r="T6360" i="210"/>
  <c r="T6376" i="210"/>
  <c r="O6376" i="210" s="1"/>
  <c r="T6384" i="210"/>
  <c r="O6384" i="210" s="1"/>
  <c r="T6392" i="210"/>
  <c r="T6400" i="210"/>
  <c r="O6400" i="210" s="1"/>
  <c r="T6408" i="210"/>
  <c r="T6416" i="210"/>
  <c r="T6424" i="210"/>
  <c r="T6432" i="210"/>
  <c r="O6432" i="210" s="1"/>
  <c r="T6440" i="210"/>
  <c r="O6440" i="210" s="1"/>
  <c r="T6456" i="210"/>
  <c r="O6456" i="210" s="1"/>
  <c r="T6464" i="210"/>
  <c r="T6472" i="210"/>
  <c r="O6472" i="210" s="1"/>
  <c r="T6488" i="210"/>
  <c r="T6496" i="210"/>
  <c r="T6504" i="210"/>
  <c r="T6520" i="210"/>
  <c r="T6528" i="210"/>
  <c r="O6528" i="210" s="1"/>
  <c r="T6536" i="210"/>
  <c r="O6536" i="210" s="1"/>
  <c r="T6544" i="210"/>
  <c r="T6552" i="210"/>
  <c r="O6552" i="210" s="1"/>
  <c r="T6560" i="210"/>
  <c r="T6524" i="210"/>
  <c r="O6524" i="210" s="1"/>
  <c r="T6556" i="210"/>
  <c r="O6556" i="210" s="1"/>
  <c r="T5393" i="210"/>
  <c r="T5489" i="210"/>
  <c r="O5489" i="210" s="1"/>
  <c r="T5784" i="210"/>
  <c r="T5930" i="210"/>
  <c r="O5930" i="210" s="1"/>
  <c r="T5946" i="210"/>
  <c r="O5946" i="210" s="1"/>
  <c r="T5954" i="210"/>
  <c r="O5954" i="210" s="1"/>
  <c r="T5962" i="210"/>
  <c r="O5962" i="210" s="1"/>
  <c r="T6082" i="210"/>
  <c r="O6082" i="210" s="1"/>
  <c r="T6146" i="210"/>
  <c r="O6146" i="210" s="1"/>
  <c r="T6162" i="210"/>
  <c r="O6162" i="210" s="1"/>
  <c r="T6178" i="210"/>
  <c r="O6178" i="210" s="1"/>
  <c r="T6210" i="210"/>
  <c r="O6210" i="210" s="1"/>
  <c r="T6250" i="210"/>
  <c r="O6250" i="210" s="1"/>
  <c r="T6274" i="210"/>
  <c r="O6274" i="210" s="1"/>
  <c r="T6282" i="210"/>
  <c r="O6282" i="210" s="1"/>
  <c r="T6386" i="210"/>
  <c r="O6386" i="210" s="1"/>
  <c r="T6394" i="210"/>
  <c r="O6394" i="210" s="1"/>
  <c r="T6450" i="210"/>
  <c r="T6498" i="210"/>
  <c r="O6498" i="210" s="1"/>
  <c r="T6506" i="210"/>
  <c r="O6506" i="210" s="1"/>
  <c r="T5409" i="210"/>
  <c r="O5409" i="210" s="1"/>
  <c r="T5473" i="210"/>
  <c r="O5473" i="210" s="1"/>
  <c r="T5505" i="210"/>
  <c r="T5569" i="210"/>
  <c r="T5601" i="210"/>
  <c r="T5665" i="210"/>
  <c r="O5665" i="210" s="1"/>
  <c r="T5760" i="210"/>
  <c r="O5760" i="210" s="1"/>
  <c r="T5792" i="210"/>
  <c r="T5816" i="210"/>
  <c r="O5816" i="210" s="1"/>
  <c r="T5851" i="210"/>
  <c r="T5859" i="210"/>
  <c r="T5867" i="210"/>
  <c r="T5875" i="210"/>
  <c r="O5875" i="210" s="1"/>
  <c r="T5891" i="210"/>
  <c r="O5891" i="210" s="1"/>
  <c r="T5899" i="210"/>
  <c r="T5907" i="210"/>
  <c r="T5923" i="210"/>
  <c r="O5923" i="210" s="1"/>
  <c r="T5931" i="210"/>
  <c r="T5939" i="210"/>
  <c r="T5947" i="210"/>
  <c r="T5955" i="210"/>
  <c r="O5955" i="210" s="1"/>
  <c r="T5963" i="210"/>
  <c r="O5963" i="210" s="1"/>
  <c r="T5979" i="210"/>
  <c r="T5987" i="210"/>
  <c r="T5995" i="210"/>
  <c r="T6003" i="210"/>
  <c r="T6019" i="210"/>
  <c r="T6027" i="210"/>
  <c r="T6035" i="210"/>
  <c r="O6035" i="210" s="1"/>
  <c r="T6043" i="210"/>
  <c r="O6043" i="210" s="1"/>
  <c r="T6051" i="210"/>
  <c r="T6059" i="210"/>
  <c r="T6075" i="210"/>
  <c r="O6075" i="210" s="1"/>
  <c r="T6083" i="210"/>
  <c r="T6091" i="210"/>
  <c r="T6107" i="210"/>
  <c r="T6115" i="210"/>
  <c r="O6115" i="210" s="1"/>
  <c r="T6131" i="210"/>
  <c r="O6131" i="210" s="1"/>
  <c r="T6139" i="210"/>
  <c r="T6147" i="210"/>
  <c r="T6163" i="210"/>
  <c r="T6171" i="210"/>
  <c r="T6179" i="210"/>
  <c r="T6187" i="210"/>
  <c r="T6203" i="210"/>
  <c r="O6203" i="210" s="1"/>
  <c r="T6211" i="210"/>
  <c r="O6211" i="210" s="1"/>
  <c r="T6219" i="210"/>
  <c r="T6235" i="210"/>
  <c r="T6243" i="210"/>
  <c r="O6243" i="210" s="1"/>
  <c r="T6251" i="210"/>
  <c r="T6259" i="210"/>
  <c r="T6275" i="210"/>
  <c r="T6283" i="210"/>
  <c r="O6283" i="210" s="1"/>
  <c r="T6291" i="210"/>
  <c r="O6291" i="210" s="1"/>
  <c r="T6307" i="210"/>
  <c r="T6315" i="210"/>
  <c r="T6323" i="210"/>
  <c r="O6323" i="210" s="1"/>
  <c r="T6339" i="210"/>
  <c r="T6347" i="210"/>
  <c r="T6355" i="210"/>
  <c r="T6363" i="210"/>
  <c r="O6363" i="210" s="1"/>
  <c r="T6371" i="210"/>
  <c r="T6379" i="210"/>
  <c r="T6387" i="210"/>
  <c r="T6395" i="210"/>
  <c r="O6395" i="210" s="1"/>
  <c r="T6411" i="210"/>
  <c r="T6419" i="210"/>
  <c r="T6427" i="210"/>
  <c r="T6435" i="210"/>
  <c r="O6435" i="210" s="1"/>
  <c r="T6443" i="210"/>
  <c r="O6443" i="210" s="1"/>
  <c r="T6451" i="210"/>
  <c r="T6459" i="210"/>
  <c r="T6467" i="210"/>
  <c r="O6467" i="210" s="1"/>
  <c r="T6483" i="210"/>
  <c r="T6491" i="210"/>
  <c r="T6499" i="210"/>
  <c r="T6507" i="210"/>
  <c r="O6507" i="210" s="1"/>
  <c r="T6523" i="210"/>
  <c r="O6523" i="210" s="1"/>
  <c r="T6531" i="210"/>
  <c r="T6539" i="210"/>
  <c r="T6547" i="210"/>
  <c r="O6547" i="210" s="1"/>
  <c r="T6555" i="210"/>
  <c r="T6532" i="210"/>
  <c r="O6532" i="210" s="1"/>
  <c r="T6540" i="210"/>
  <c r="O6540" i="210" s="1"/>
  <c r="T5890" i="210"/>
  <c r="O5890" i="210" s="1"/>
  <c r="T5898" i="210"/>
  <c r="O5898" i="210" s="1"/>
  <c r="T5970" i="210"/>
  <c r="O5970" i="210" s="1"/>
  <c r="T6026" i="210"/>
  <c r="O6026" i="210" s="1"/>
  <c r="T6034" i="210"/>
  <c r="O6034" i="210" s="1"/>
  <c r="T6058" i="210"/>
  <c r="O6058" i="210" s="1"/>
  <c r="T6338" i="210"/>
  <c r="O6338" i="210" s="1"/>
  <c r="T6490" i="210"/>
  <c r="O6490" i="210" s="1"/>
  <c r="T6522" i="210"/>
  <c r="O6522" i="210" s="1"/>
  <c r="T6530" i="210"/>
  <c r="O6530" i="210" s="1"/>
  <c r="T4961" i="210"/>
  <c r="O4961" i="210" s="1"/>
  <c r="T5113" i="210"/>
  <c r="O5113" i="210" s="1"/>
  <c r="T5280" i="210"/>
  <c r="O5280" i="210" s="1"/>
  <c r="T5449" i="210"/>
  <c r="T5545" i="210"/>
  <c r="O5545" i="210" s="1"/>
  <c r="T5697" i="210"/>
  <c r="O5697" i="210" s="1"/>
  <c r="T5769" i="210"/>
  <c r="O5769" i="210" s="1"/>
  <c r="T5801" i="210"/>
  <c r="T5843" i="210"/>
  <c r="T5854" i="210"/>
  <c r="T5862" i="210"/>
  <c r="O5862" i="210" s="1"/>
  <c r="T5870" i="210"/>
  <c r="O5870" i="210" s="1"/>
  <c r="T5886" i="210"/>
  <c r="O5886" i="210" s="1"/>
  <c r="T5894" i="210"/>
  <c r="T5902" i="210"/>
  <c r="T5910" i="210"/>
  <c r="O5910" i="210" s="1"/>
  <c r="T5918" i="210"/>
  <c r="T5926" i="210"/>
  <c r="O5926" i="210" s="1"/>
  <c r="T5934" i="210"/>
  <c r="O5934" i="210" s="1"/>
  <c r="T5950" i="210"/>
  <c r="O5950" i="210" s="1"/>
  <c r="T5958" i="210"/>
  <c r="O5958" i="210" s="1"/>
  <c r="T5966" i="210"/>
  <c r="T5982" i="210"/>
  <c r="T5990" i="210"/>
  <c r="O5990" i="210" s="1"/>
  <c r="T5998" i="210"/>
  <c r="T6014" i="210"/>
  <c r="O6014" i="210" s="1"/>
  <c r="T6022" i="210"/>
  <c r="O6022" i="210" s="1"/>
  <c r="T6030" i="210"/>
  <c r="O6030" i="210" s="1"/>
  <c r="T6046" i="210"/>
  <c r="O6046" i="210" s="1"/>
  <c r="T6054" i="210"/>
  <c r="T6062" i="210"/>
  <c r="T6070" i="210"/>
  <c r="T6078" i="210"/>
  <c r="T6086" i="210"/>
  <c r="O6086" i="210" s="1"/>
  <c r="T6102" i="210"/>
  <c r="O6102" i="210" s="1"/>
  <c r="T6110" i="210"/>
  <c r="O6110" i="210" s="1"/>
  <c r="T6118" i="210"/>
  <c r="O6118" i="210" s="1"/>
  <c r="T6134" i="210"/>
  <c r="T6142" i="210"/>
  <c r="T6150" i="210"/>
  <c r="O6150" i="210" s="1"/>
  <c r="T6166" i="210"/>
  <c r="T6174" i="210"/>
  <c r="O6174" i="210" s="1"/>
  <c r="T6182" i="210"/>
  <c r="O6182" i="210" s="1"/>
  <c r="T6190" i="210"/>
  <c r="O6190" i="210" s="1"/>
  <c r="T6206" i="210"/>
  <c r="O6206" i="210" s="1"/>
  <c r="T6214" i="210"/>
  <c r="T6222" i="210"/>
  <c r="T6230" i="210"/>
  <c r="O6230" i="210" s="1"/>
  <c r="T6238" i="210"/>
  <c r="T6246" i="210"/>
  <c r="T6254" i="210"/>
  <c r="O6254" i="210" s="1"/>
  <c r="T6270" i="210"/>
  <c r="O6270" i="210" s="1"/>
  <c r="T6278" i="210"/>
  <c r="O6278" i="210" s="1"/>
  <c r="T6286" i="210"/>
  <c r="T6294" i="210"/>
  <c r="T6310" i="210"/>
  <c r="T6318" i="210"/>
  <c r="T6326" i="210"/>
  <c r="T6342" i="210"/>
  <c r="O6342" i="210" s="1"/>
  <c r="T6350" i="210"/>
  <c r="O6350" i="210" s="1"/>
  <c r="T6358" i="210"/>
  <c r="O6358" i="210" s="1"/>
  <c r="T6374" i="210"/>
  <c r="T6382" i="210"/>
  <c r="T6390" i="210"/>
  <c r="O6390" i="210" s="1"/>
  <c r="T6398" i="210"/>
  <c r="T6414" i="210"/>
  <c r="O6414" i="210" s="1"/>
  <c r="T6422" i="210"/>
  <c r="O6422" i="210" s="1"/>
  <c r="T6430" i="210"/>
  <c r="O6430" i="210" s="1"/>
  <c r="T6438" i="210"/>
  <c r="O6438" i="210" s="1"/>
  <c r="T6454" i="210"/>
  <c r="T6462" i="210"/>
  <c r="T6470" i="210"/>
  <c r="O6470" i="210" s="1"/>
  <c r="T6486" i="210"/>
  <c r="T6494" i="210"/>
  <c r="T6502" i="210"/>
  <c r="O6502" i="210" s="1"/>
  <c r="T6518" i="210"/>
  <c r="O6518" i="210" s="1"/>
  <c r="T6526" i="210"/>
  <c r="O6526" i="210" s="1"/>
  <c r="T6534" i="210"/>
  <c r="T6542" i="210"/>
  <c r="T6550" i="210"/>
  <c r="O6550" i="210" s="1"/>
  <c r="T6558" i="210"/>
  <c r="T6500" i="210"/>
  <c r="O6500" i="210" s="1"/>
  <c r="T5513" i="210"/>
  <c r="O5513" i="210" s="1"/>
  <c r="T5785" i="210"/>
  <c r="O5785" i="210" s="1"/>
  <c r="T5833" i="210"/>
  <c r="T5858" i="210"/>
  <c r="O5858" i="210" s="1"/>
  <c r="T5866" i="210"/>
  <c r="O5866" i="210" s="1"/>
  <c r="T6074" i="210"/>
  <c r="O6074" i="210" s="1"/>
  <c r="T6290" i="210"/>
  <c r="O6290" i="210" s="1"/>
  <c r="T6306" i="210"/>
  <c r="O6306" i="210" s="1"/>
  <c r="T6346" i="210"/>
  <c r="O6346" i="210" s="1"/>
  <c r="T6354" i="210"/>
  <c r="O6354" i="210" s="1"/>
  <c r="T6426" i="210"/>
  <c r="O6426" i="210" s="1"/>
  <c r="T6458" i="210"/>
  <c r="O6458" i="210" s="1"/>
  <c r="T4851" i="210"/>
  <c r="O4851" i="210" s="1"/>
  <c r="T4977" i="210"/>
  <c r="O4977" i="210" s="1"/>
  <c r="T5329" i="210"/>
  <c r="O5329" i="210" s="1"/>
  <c r="T5425" i="210"/>
  <c r="T5521" i="210"/>
  <c r="O5521" i="210" s="1"/>
  <c r="T5593" i="210"/>
  <c r="T5617" i="210"/>
  <c r="O5617" i="210" s="1"/>
  <c r="T5737" i="210"/>
  <c r="T5768" i="210"/>
  <c r="T5800" i="210"/>
  <c r="O5800" i="210" s="1"/>
  <c r="T5857" i="210"/>
  <c r="T5865" i="210"/>
  <c r="O5865" i="210" s="1"/>
  <c r="T5873" i="210"/>
  <c r="O5873" i="210" s="1"/>
  <c r="T5889" i="210"/>
  <c r="O5889" i="210" s="1"/>
  <c r="T5897" i="210"/>
  <c r="T5905" i="210"/>
  <c r="T5921" i="210"/>
  <c r="T5929" i="210"/>
  <c r="O5929" i="210" s="1"/>
  <c r="T5937" i="210"/>
  <c r="T5953" i="210"/>
  <c r="O5953" i="210" s="1"/>
  <c r="T5961" i="210"/>
  <c r="O5961" i="210" s="1"/>
  <c r="T5969" i="210"/>
  <c r="O5969" i="210" s="1"/>
  <c r="T5977" i="210"/>
  <c r="T5985" i="210"/>
  <c r="T5993" i="210"/>
  <c r="T6001" i="210"/>
  <c r="O6001" i="210" s="1"/>
  <c r="T6017" i="210"/>
  <c r="T6025" i="210"/>
  <c r="O6025" i="210" s="1"/>
  <c r="T6033" i="210"/>
  <c r="O6033" i="210" s="1"/>
  <c r="T6049" i="210"/>
  <c r="O6049" i="210" s="1"/>
  <c r="T6057" i="210"/>
  <c r="T6073" i="210"/>
  <c r="T6081" i="210"/>
  <c r="T6089" i="210"/>
  <c r="T6105" i="210"/>
  <c r="T6113" i="210"/>
  <c r="T6129" i="210"/>
  <c r="O6129" i="210" s="1"/>
  <c r="T6137" i="210"/>
  <c r="O6137" i="210" s="1"/>
  <c r="T6145" i="210"/>
  <c r="T6153" i="210"/>
  <c r="T6161" i="210"/>
  <c r="T6169" i="210"/>
  <c r="O6169" i="210" s="1"/>
  <c r="T6177" i="210"/>
  <c r="T6185" i="210"/>
  <c r="T6201" i="210"/>
  <c r="O6201" i="210" s="1"/>
  <c r="T6209" i="210"/>
  <c r="O6209" i="210" s="1"/>
  <c r="T6217" i="210"/>
  <c r="T6233" i="210"/>
  <c r="T6241" i="210"/>
  <c r="T6249" i="210"/>
  <c r="O6249" i="210" s="1"/>
  <c r="T6257" i="210"/>
  <c r="T6273" i="210"/>
  <c r="O6273" i="210" s="1"/>
  <c r="T6281" i="210"/>
  <c r="O6281" i="210" s="1"/>
  <c r="T6289" i="210"/>
  <c r="O6289" i="210" s="1"/>
  <c r="T6297" i="210"/>
  <c r="T6305" i="210"/>
  <c r="T6313" i="210"/>
  <c r="T6321" i="210"/>
  <c r="O6321" i="210" s="1"/>
  <c r="T6337" i="210"/>
  <c r="T6345" i="210"/>
  <c r="T6353" i="210"/>
  <c r="O6353" i="210" s="1"/>
  <c r="T6361" i="210"/>
  <c r="O6361" i="210" s="1"/>
  <c r="T6377" i="210"/>
  <c r="T6385" i="210"/>
  <c r="T6393" i="210"/>
  <c r="T6409" i="210"/>
  <c r="O6409" i="210" s="1"/>
  <c r="T6417" i="210"/>
  <c r="T6425" i="210"/>
  <c r="O6425" i="210" s="1"/>
  <c r="T6433" i="210"/>
  <c r="O6433" i="210" s="1"/>
  <c r="T6441" i="210"/>
  <c r="O6441" i="210" s="1"/>
  <c r="T6457" i="210"/>
  <c r="T6465" i="210"/>
  <c r="T6473" i="210"/>
  <c r="T6481" i="210"/>
  <c r="O6481" i="210" s="1"/>
  <c r="T6489" i="210"/>
  <c r="T6497" i="210"/>
  <c r="O6497" i="210" s="1"/>
  <c r="T6505" i="210"/>
  <c r="O6505" i="210" s="1"/>
  <c r="T6521" i="210"/>
  <c r="O6521" i="210" s="1"/>
  <c r="T6529" i="210"/>
  <c r="T6537" i="210"/>
  <c r="T6545" i="210"/>
  <c r="T6553" i="210"/>
  <c r="T6548" i="210"/>
  <c r="O6548" i="210" s="1"/>
  <c r="T5673" i="210"/>
  <c r="O5673" i="210" s="1"/>
  <c r="T5978" i="210"/>
  <c r="O5978" i="210" s="1"/>
  <c r="T6042" i="210"/>
  <c r="T6090" i="210"/>
  <c r="O6090" i="210" s="1"/>
  <c r="T6170" i="210"/>
  <c r="O6170" i="210" s="1"/>
  <c r="T6186" i="210"/>
  <c r="O6186" i="210" s="1"/>
  <c r="T6234" i="210"/>
  <c r="O6234" i="210" s="1"/>
  <c r="T6258" i="210"/>
  <c r="O6258" i="210" s="1"/>
  <c r="T6434" i="210"/>
  <c r="O6434" i="210" s="1"/>
  <c r="T6442" i="210"/>
  <c r="O6442" i="210" s="1"/>
  <c r="T6482" i="210"/>
  <c r="O6482" i="210" s="1"/>
  <c r="T5401" i="210"/>
  <c r="O5401" i="210" s="1"/>
  <c r="T5465" i="210"/>
  <c r="T5497" i="210"/>
  <c r="T5561" i="210"/>
  <c r="T5657" i="210"/>
  <c r="T5713" i="210"/>
  <c r="T5852" i="210"/>
  <c r="O5852" i="210" s="1"/>
  <c r="T5860" i="210"/>
  <c r="T5868" i="210"/>
  <c r="T5876" i="210"/>
  <c r="T5884" i="210"/>
  <c r="T5892" i="210"/>
  <c r="O5892" i="210" s="1"/>
  <c r="T5900" i="210"/>
  <c r="O5900" i="210" s="1"/>
  <c r="T5908" i="210"/>
  <c r="T5924" i="210"/>
  <c r="T5932" i="210"/>
  <c r="T5948" i="210"/>
  <c r="T5956" i="210"/>
  <c r="T5964" i="210"/>
  <c r="T5980" i="210"/>
  <c r="O5980" i="210" s="1"/>
  <c r="T5988" i="210"/>
  <c r="O5988" i="210" s="1"/>
  <c r="T5996" i="210"/>
  <c r="O5996" i="210" s="1"/>
  <c r="T6004" i="210"/>
  <c r="O6004" i="210" s="1"/>
  <c r="T6012" i="210"/>
  <c r="T6020" i="210"/>
  <c r="T6028" i="210"/>
  <c r="O6028" i="210" s="1"/>
  <c r="T6044" i="210"/>
  <c r="O6044" i="210" s="1"/>
  <c r="T6052" i="210"/>
  <c r="O6052" i="210" s="1"/>
  <c r="T6060" i="210"/>
  <c r="O6060" i="210" s="1"/>
  <c r="T6076" i="210"/>
  <c r="O6076" i="210" s="1"/>
  <c r="T6084" i="210"/>
  <c r="O6084" i="210" s="1"/>
  <c r="T6092" i="210"/>
  <c r="O6092" i="210" s="1"/>
  <c r="T6100" i="210"/>
  <c r="T6108" i="210"/>
  <c r="O6108" i="210" s="1"/>
  <c r="T6116" i="210"/>
  <c r="O6116" i="210" s="1"/>
  <c r="T6132" i="210"/>
  <c r="O6132" i="210" s="1"/>
  <c r="T6140" i="210"/>
  <c r="O6140" i="210" s="1"/>
  <c r="T6148" i="210"/>
  <c r="O6148" i="210" s="1"/>
  <c r="T6164" i="210"/>
  <c r="O6164" i="210" s="1"/>
  <c r="T6172" i="210"/>
  <c r="O6172" i="210" s="1"/>
  <c r="T6180" i="210"/>
  <c r="O6180" i="210" s="1"/>
  <c r="T6188" i="210"/>
  <c r="O6188" i="210" s="1"/>
  <c r="T6204" i="210"/>
  <c r="T6212" i="210"/>
  <c r="O6212" i="210" s="1"/>
  <c r="T6220" i="210"/>
  <c r="O6220" i="210" s="1"/>
  <c r="T6236" i="210"/>
  <c r="O6236" i="210" s="1"/>
  <c r="T6244" i="210"/>
  <c r="O6244" i="210" s="1"/>
  <c r="T6252" i="210"/>
  <c r="O6252" i="210" s="1"/>
  <c r="T6260" i="210"/>
  <c r="O6260" i="210" s="1"/>
  <c r="T6268" i="210"/>
  <c r="O6268" i="210" s="1"/>
  <c r="T6276" i="210"/>
  <c r="O6276" i="210" s="1"/>
  <c r="T6284" i="210"/>
  <c r="O6284" i="210" s="1"/>
  <c r="T6292" i="210"/>
  <c r="O6292" i="210" s="1"/>
  <c r="T6308" i="210"/>
  <c r="O6308" i="210" s="1"/>
  <c r="T6316" i="210"/>
  <c r="O6316" i="210" s="1"/>
  <c r="T6324" i="210"/>
  <c r="O6324" i="210" s="1"/>
  <c r="T6340" i="210"/>
  <c r="O6340" i="210" s="1"/>
  <c r="T6348" i="210"/>
  <c r="O6348" i="210" s="1"/>
  <c r="T6356" i="210"/>
  <c r="O6356" i="210" s="1"/>
  <c r="T6364" i="210"/>
  <c r="O6364" i="210" s="1"/>
  <c r="T6372" i="210"/>
  <c r="O6372" i="210" s="1"/>
  <c r="T6380" i="210"/>
  <c r="O6380" i="210" s="1"/>
  <c r="T6388" i="210"/>
  <c r="O6388" i="210" s="1"/>
  <c r="T6396" i="210"/>
  <c r="O6396" i="210" s="1"/>
  <c r="T6412" i="210"/>
  <c r="O6412" i="210" s="1"/>
  <c r="T6420" i="210"/>
  <c r="O6420" i="210" s="1"/>
  <c r="T6428" i="210"/>
  <c r="O6428" i="210" s="1"/>
  <c r="T6436" i="210"/>
  <c r="O6436" i="210" s="1"/>
  <c r="T6452" i="210"/>
  <c r="O6452" i="210" s="1"/>
  <c r="T6460" i="210"/>
  <c r="O6460" i="210" s="1"/>
  <c r="T6468" i="210"/>
  <c r="O6468" i="210" s="1"/>
  <c r="T6484" i="210"/>
  <c r="O6484" i="210" s="1"/>
  <c r="T6492" i="210"/>
  <c r="O6492" i="210" s="1"/>
  <c r="T6418" i="210"/>
  <c r="O6418" i="210" s="1"/>
  <c r="T6466" i="210"/>
  <c r="O6466" i="210" s="1"/>
  <c r="T5312" i="210"/>
  <c r="O5312" i="210" s="1"/>
  <c r="T5441" i="210"/>
  <c r="T5537" i="210"/>
  <c r="O5537" i="210" s="1"/>
  <c r="T5633" i="210"/>
  <c r="T5689" i="210"/>
  <c r="O5689" i="210" s="1"/>
  <c r="T5808" i="210"/>
  <c r="T5855" i="210"/>
  <c r="O5855" i="210" s="1"/>
  <c r="T5863" i="210"/>
  <c r="O5863" i="210" s="1"/>
  <c r="T5871" i="210"/>
  <c r="O5871" i="210" s="1"/>
  <c r="T5887" i="210"/>
  <c r="O5887" i="210" s="1"/>
  <c r="T5895" i="210"/>
  <c r="O5895" i="210" s="1"/>
  <c r="T5903" i="210"/>
  <c r="O5903" i="210" s="1"/>
  <c r="T5911" i="210"/>
  <c r="O5911" i="210" s="1"/>
  <c r="T5919" i="210"/>
  <c r="O5919" i="210" s="1"/>
  <c r="T5927" i="210"/>
  <c r="O5927" i="210" s="1"/>
  <c r="T5935" i="210"/>
  <c r="O5935" i="210" s="1"/>
  <c r="T5951" i="210"/>
  <c r="O5951" i="210" s="1"/>
  <c r="T5959" i="210"/>
  <c r="O5959" i="210" s="1"/>
  <c r="T5967" i="210"/>
  <c r="O5967" i="210" s="1"/>
  <c r="T5983" i="210"/>
  <c r="O5983" i="210" s="1"/>
  <c r="T5991" i="210"/>
  <c r="O5991" i="210" s="1"/>
  <c r="T5999" i="210"/>
  <c r="O5999" i="210" s="1"/>
  <c r="T6015" i="210"/>
  <c r="O6015" i="210" s="1"/>
  <c r="T6023" i="210"/>
  <c r="O6023" i="210" s="1"/>
  <c r="T6031" i="210"/>
  <c r="O6031" i="210" s="1"/>
  <c r="T6047" i="210"/>
  <c r="O6047" i="210" s="1"/>
  <c r="T6055" i="210"/>
  <c r="O6055" i="210" s="1"/>
  <c r="T6063" i="210"/>
  <c r="O6063" i="210" s="1"/>
  <c r="T6071" i="210"/>
  <c r="O6071" i="210" s="1"/>
  <c r="T6079" i="210"/>
  <c r="O6079" i="210" s="1"/>
  <c r="T6087" i="210"/>
  <c r="O6087" i="210" s="1"/>
  <c r="T6103" i="210"/>
  <c r="O6103" i="210" s="1"/>
  <c r="T6111" i="210"/>
  <c r="O6111" i="210" s="1"/>
  <c r="T6119" i="210"/>
  <c r="O6119" i="210" s="1"/>
  <c r="T6127" i="210"/>
  <c r="T6135" i="210"/>
  <c r="O6135" i="210" s="1"/>
  <c r="T6143" i="210"/>
  <c r="O6143" i="210" s="1"/>
  <c r="T6151" i="210"/>
  <c r="O6151" i="210" s="1"/>
  <c r="T6167" i="210"/>
  <c r="O6167" i="210" s="1"/>
  <c r="T6175" i="210"/>
  <c r="O6175" i="210" s="1"/>
  <c r="T6183" i="210"/>
  <c r="O6183" i="210" s="1"/>
  <c r="T6191" i="210"/>
  <c r="O6191" i="210" s="1"/>
  <c r="T6199" i="210"/>
  <c r="T6207" i="210"/>
  <c r="O6207" i="210" s="1"/>
  <c r="T6215" i="210"/>
  <c r="O6215" i="210" s="1"/>
  <c r="T6223" i="210"/>
  <c r="O6223" i="210" s="1"/>
  <c r="T6231" i="210"/>
  <c r="O6231" i="210" s="1"/>
  <c r="T6239" i="210"/>
  <c r="O6239" i="210" s="1"/>
  <c r="T6247" i="210"/>
  <c r="O6247" i="210" s="1"/>
  <c r="T6255" i="210"/>
  <c r="O6255" i="210" s="1"/>
  <c r="T6271" i="210"/>
  <c r="O6271" i="210" s="1"/>
  <c r="T6279" i="210"/>
  <c r="O6279" i="210" s="1"/>
  <c r="T6287" i="210"/>
  <c r="O6287" i="210" s="1"/>
  <c r="T6295" i="210"/>
  <c r="O6295" i="210" s="1"/>
  <c r="T6311" i="210"/>
  <c r="O6311" i="210" s="1"/>
  <c r="T6319" i="210"/>
  <c r="O6319" i="210" s="1"/>
  <c r="T6327" i="210"/>
  <c r="O6327" i="210" s="1"/>
  <c r="T6335" i="210"/>
  <c r="T6343" i="210"/>
  <c r="O6343" i="210" s="1"/>
  <c r="T6351" i="210"/>
  <c r="O6351" i="210" s="1"/>
  <c r="T6359" i="210"/>
  <c r="O6359" i="210" s="1"/>
  <c r="T6375" i="210"/>
  <c r="O6375" i="210" s="1"/>
  <c r="T6383" i="210"/>
  <c r="O6383" i="210" s="1"/>
  <c r="T6391" i="210"/>
  <c r="O6391" i="210" s="1"/>
  <c r="T6399" i="210"/>
  <c r="O6399" i="210" s="1"/>
  <c r="T6407" i="210"/>
  <c r="T6415" i="210"/>
  <c r="O6415" i="210" s="1"/>
  <c r="T6423" i="210"/>
  <c r="O6423" i="210" s="1"/>
  <c r="T6431" i="210"/>
  <c r="O6431" i="210" s="1"/>
  <c r="T6439" i="210"/>
  <c r="O6439" i="210" s="1"/>
  <c r="T6455" i="210"/>
  <c r="O6455" i="210" s="1"/>
  <c r="T6463" i="210"/>
  <c r="O6463" i="210" s="1"/>
  <c r="T6471" i="210"/>
  <c r="O6471" i="210" s="1"/>
  <c r="T6487" i="210"/>
  <c r="T6495" i="210"/>
  <c r="O6495" i="210" s="1"/>
  <c r="T6503" i="210"/>
  <c r="T6519" i="210"/>
  <c r="T6527" i="210"/>
  <c r="T6535" i="210"/>
  <c r="O6535" i="210" s="1"/>
  <c r="T6543" i="210"/>
  <c r="O6543" i="210" s="1"/>
  <c r="T6551" i="210"/>
  <c r="O6551" i="210" s="1"/>
  <c r="T6559" i="210"/>
  <c r="T5417" i="210"/>
  <c r="O5417" i="210" s="1"/>
  <c r="T5729" i="210"/>
  <c r="O5729" i="210" s="1"/>
  <c r="T5874" i="210"/>
  <c r="O5874" i="210" s="1"/>
  <c r="T5938" i="210"/>
  <c r="O5938" i="210" s="1"/>
  <c r="T5994" i="210"/>
  <c r="O5994" i="210" s="1"/>
  <c r="T6002" i="210"/>
  <c r="O6002" i="210" s="1"/>
  <c r="T6018" i="210"/>
  <c r="O6018" i="210" s="1"/>
  <c r="T6106" i="210"/>
  <c r="O6106" i="210" s="1"/>
  <c r="T6130" i="210"/>
  <c r="O6130" i="210" s="1"/>
  <c r="T6138" i="210"/>
  <c r="O6138" i="210" s="1"/>
  <c r="T6202" i="210"/>
  <c r="O6202" i="210" s="1"/>
  <c r="T6242" i="210"/>
  <c r="O6242" i="210" s="1"/>
  <c r="T6362" i="210"/>
  <c r="O6362" i="210" s="1"/>
  <c r="T6410" i="210"/>
  <c r="O6410" i="210" s="1"/>
  <c r="T6538" i="210"/>
  <c r="O6538" i="210" s="1"/>
  <c r="T6546" i="210"/>
  <c r="O6546" i="210" s="1"/>
  <c r="T6554" i="210"/>
  <c r="O6554" i="210" s="1"/>
  <c r="O33" i="210"/>
  <c r="O5700" i="210"/>
  <c r="O6508" i="210"/>
  <c r="O6204" i="210"/>
  <c r="O5964" i="210"/>
  <c r="S5880" i="210"/>
  <c r="O5492" i="210"/>
  <c r="O6413" i="210"/>
  <c r="O6005" i="210"/>
  <c r="O6345" i="210"/>
  <c r="O6185" i="210"/>
  <c r="O6113" i="210"/>
  <c r="O6517" i="210"/>
  <c r="O6503" i="210"/>
  <c r="O6559" i="210"/>
  <c r="O6499" i="210"/>
  <c r="O6427" i="210"/>
  <c r="O6355" i="210"/>
  <c r="O6275" i="210"/>
  <c r="O6187" i="210"/>
  <c r="O6107" i="210"/>
  <c r="O6027" i="210"/>
  <c r="O5947" i="210"/>
  <c r="O5867" i="210"/>
  <c r="O5772" i="210"/>
  <c r="O5452" i="210"/>
  <c r="O6520" i="210"/>
  <c r="O6360" i="210"/>
  <c r="O6216" i="210"/>
  <c r="O6152" i="210"/>
  <c r="O6080" i="210"/>
  <c r="O5992" i="210"/>
  <c r="O5904" i="210"/>
  <c r="O5828" i="210"/>
  <c r="O5841" i="210"/>
  <c r="O5609" i="210"/>
  <c r="O5465" i="210"/>
  <c r="S5778" i="210"/>
  <c r="O5710" i="210"/>
  <c r="O5638" i="210"/>
  <c r="O5566" i="210"/>
  <c r="O5502" i="210"/>
  <c r="O5430" i="210"/>
  <c r="O5228" i="210"/>
  <c r="O5156" i="210"/>
  <c r="O5736" i="210"/>
  <c r="O5664" i="210"/>
  <c r="O5592" i="210"/>
  <c r="O5528" i="210"/>
  <c r="O5464" i="210"/>
  <c r="O5400" i="210"/>
  <c r="O4980" i="210"/>
  <c r="O5637" i="210"/>
  <c r="O5501" i="210"/>
  <c r="O5429" i="210"/>
  <c r="O5275" i="210"/>
  <c r="O5802" i="210"/>
  <c r="O5714" i="210"/>
  <c r="O5634" i="210"/>
  <c r="O5562" i="210"/>
  <c r="O5498" i="210"/>
  <c r="O5426" i="210"/>
  <c r="O5348" i="210"/>
  <c r="O5735" i="210"/>
  <c r="O5519" i="210"/>
  <c r="O5391" i="210"/>
  <c r="O4988" i="210"/>
  <c r="S5317" i="210"/>
  <c r="O5321" i="210"/>
  <c r="O5121" i="210"/>
  <c r="O4479" i="210"/>
  <c r="O5326" i="210"/>
  <c r="O5254" i="210"/>
  <c r="O5190" i="210"/>
  <c r="O5126" i="210"/>
  <c r="O5054" i="210"/>
  <c r="O4982" i="210"/>
  <c r="O5227" i="210"/>
  <c r="O4968" i="210"/>
  <c r="O5368" i="210"/>
  <c r="O4782" i="210"/>
  <c r="O5349" i="210"/>
  <c r="O5277" i="210"/>
  <c r="O5213" i="210"/>
  <c r="O5149" i="210"/>
  <c r="O5085" i="210"/>
  <c r="O5005" i="210"/>
  <c r="O5346" i="210"/>
  <c r="O5282" i="210"/>
  <c r="O5210" i="210"/>
  <c r="O5146" i="210"/>
  <c r="O5082" i="210"/>
  <c r="O5010" i="210"/>
  <c r="O4917" i="210"/>
  <c r="O5335" i="210"/>
  <c r="O5263" i="210"/>
  <c r="O5191" i="210"/>
  <c r="O5127" i="210"/>
  <c r="O5055" i="210"/>
  <c r="O4983" i="210"/>
  <c r="O4670" i="210"/>
  <c r="O4923" i="210"/>
  <c r="O4707" i="210"/>
  <c r="O4635" i="210"/>
  <c r="O4295" i="210"/>
  <c r="O4928" i="210"/>
  <c r="O4856" i="210"/>
  <c r="O4784" i="210"/>
  <c r="O4704" i="210"/>
  <c r="O4632" i="210"/>
  <c r="O4560" i="210"/>
  <c r="O4454" i="210"/>
  <c r="O4962" i="210"/>
  <c r="O4818" i="210"/>
  <c r="O4746" i="210"/>
  <c r="O4674" i="210"/>
  <c r="O4602" i="210"/>
  <c r="O4527" i="210"/>
  <c r="O4047" i="210"/>
  <c r="O4935" i="210"/>
  <c r="O4327" i="210"/>
  <c r="O4908" i="210"/>
  <c r="O4836" i="210"/>
  <c r="O4764" i="210"/>
  <c r="O4684" i="210"/>
  <c r="O4612" i="210"/>
  <c r="O4532" i="210"/>
  <c r="O4263" i="210"/>
  <c r="O4569" i="210"/>
  <c r="O4492" i="210"/>
  <c r="O4412" i="210"/>
  <c r="O4252" i="210"/>
  <c r="O4100" i="210"/>
  <c r="O4028" i="210"/>
  <c r="O3961" i="210"/>
  <c r="O4481" i="210"/>
  <c r="O4409" i="210"/>
  <c r="O4329" i="210"/>
  <c r="O4257" i="210"/>
  <c r="O4193" i="210"/>
  <c r="O4113" i="210"/>
  <c r="O4041" i="210"/>
  <c r="O3561" i="210"/>
  <c r="O4342" i="210"/>
  <c r="S4266" i="210"/>
  <c r="O4270" i="210"/>
  <c r="O4198" i="210"/>
  <c r="O4126" i="210"/>
  <c r="O4054" i="210"/>
  <c r="O4507" i="210"/>
  <c r="O4435" i="210"/>
  <c r="O4339" i="210"/>
  <c r="O4259" i="210"/>
  <c r="O4187" i="210"/>
  <c r="O4099" i="210"/>
  <c r="O4024" i="210"/>
  <c r="O4488" i="210"/>
  <c r="O4416" i="210"/>
  <c r="S4332" i="210"/>
  <c r="O4336" i="210"/>
  <c r="O4272" i="210"/>
  <c r="O4200" i="210"/>
  <c r="O4120" i="210"/>
  <c r="O4048" i="210"/>
  <c r="O3945" i="210"/>
  <c r="O4485" i="210"/>
  <c r="O3822" i="210"/>
  <c r="O4450" i="210"/>
  <c r="O4362" i="210"/>
  <c r="O4282" i="210"/>
  <c r="O4202" i="210"/>
  <c r="O4122" i="210"/>
  <c r="O4042" i="210"/>
  <c r="O4022" i="210"/>
  <c r="O3950" i="210"/>
  <c r="O3878" i="210"/>
  <c r="O3433" i="210"/>
  <c r="O3933" i="210"/>
  <c r="O3529" i="210"/>
  <c r="O3729" i="210"/>
  <c r="O3761" i="210"/>
  <c r="O3964" i="210"/>
  <c r="O3884" i="210"/>
  <c r="O3465" i="210"/>
  <c r="O3796" i="210"/>
  <c r="O3724" i="210"/>
  <c r="O3652" i="210"/>
  <c r="O3572" i="210"/>
  <c r="S3496" i="210"/>
  <c r="O3500" i="210"/>
  <c r="O3411" i="210"/>
  <c r="O3139" i="210"/>
  <c r="O3774" i="210"/>
  <c r="O3630" i="210"/>
  <c r="O3478" i="210"/>
  <c r="O3371" i="210"/>
  <c r="O3795" i="210"/>
  <c r="O3723" i="210"/>
  <c r="O3659" i="210"/>
  <c r="O3579" i="210"/>
  <c r="O3507" i="210"/>
  <c r="O3283" i="210"/>
  <c r="O3856" i="210"/>
  <c r="O3632" i="210"/>
  <c r="O3195" i="210"/>
  <c r="O3845" i="210"/>
  <c r="O3765" i="210"/>
  <c r="O3693" i="210"/>
  <c r="O3621" i="210"/>
  <c r="O3549" i="210"/>
  <c r="O3477" i="210"/>
  <c r="O3778" i="210"/>
  <c r="S3702" i="210"/>
  <c r="O3408" i="210"/>
  <c r="O3107" i="210"/>
  <c r="O3823" i="210"/>
  <c r="O3743" i="210"/>
  <c r="O3671" i="210"/>
  <c r="O3607" i="210"/>
  <c r="S3539" i="210"/>
  <c r="O3543" i="210"/>
  <c r="O3471" i="210"/>
  <c r="O3382" i="210"/>
  <c r="O3318" i="210"/>
  <c r="O3254" i="210"/>
  <c r="O3174" i="210"/>
  <c r="O3102" i="210"/>
  <c r="O3038" i="210"/>
  <c r="O3328" i="210"/>
  <c r="O3264" i="210"/>
  <c r="S3188" i="210"/>
  <c r="O3192" i="210"/>
  <c r="O3048" i="210"/>
  <c r="O3397" i="210"/>
  <c r="O3197" i="210"/>
  <c r="O3053" i="210"/>
  <c r="O2831" i="210"/>
  <c r="O3122" i="210"/>
  <c r="O2791" i="210"/>
  <c r="O3399" i="210"/>
  <c r="O3335" i="210"/>
  <c r="O3271" i="210"/>
  <c r="O3199" i="210"/>
  <c r="O3119" i="210"/>
  <c r="O3047" i="210"/>
  <c r="O2903" i="210"/>
  <c r="O3412" i="210"/>
  <c r="O3348" i="210"/>
  <c r="O2775" i="210"/>
  <c r="O3401" i="210"/>
  <c r="O3337" i="210"/>
  <c r="O3273" i="210"/>
  <c r="O3201" i="210"/>
  <c r="O3137" i="210"/>
  <c r="O3057" i="210"/>
  <c r="O2567" i="210"/>
  <c r="O2938" i="210"/>
  <c r="O2866" i="210"/>
  <c r="O2794" i="210"/>
  <c r="O2730" i="210"/>
  <c r="O2642" i="210"/>
  <c r="O2578" i="210"/>
  <c r="O2487" i="210"/>
  <c r="O2908" i="210"/>
  <c r="O2844" i="210"/>
  <c r="O2780" i="210"/>
  <c r="O2708" i="210"/>
  <c r="O2628" i="210"/>
  <c r="O2564" i="210"/>
  <c r="O2447" i="210"/>
  <c r="O2889" i="210"/>
  <c r="O2817" i="210"/>
  <c r="O2753" i="210"/>
  <c r="O2681" i="210"/>
  <c r="O2609" i="210"/>
  <c r="O2545" i="210"/>
  <c r="O2638" i="210"/>
  <c r="O2482" i="210"/>
  <c r="O2971" i="210"/>
  <c r="O2899" i="210"/>
  <c r="O2827" i="210"/>
  <c r="O2763" i="210"/>
  <c r="O2683" i="210"/>
  <c r="O2611" i="210"/>
  <c r="O2547" i="210"/>
  <c r="O2752" i="210"/>
  <c r="O2616" i="210"/>
  <c r="O2552" i="210"/>
  <c r="O2442" i="210"/>
  <c r="O2949" i="210"/>
  <c r="O2877" i="210"/>
  <c r="O2813" i="210"/>
  <c r="O2749" i="210"/>
  <c r="O2669" i="210"/>
  <c r="O2597" i="210"/>
  <c r="O2537" i="210"/>
  <c r="O2525" i="210"/>
  <c r="O2461" i="210"/>
  <c r="O2325" i="210"/>
  <c r="O2144" i="210"/>
  <c r="O2303" i="210"/>
  <c r="O2524" i="210"/>
  <c r="O2460" i="210"/>
  <c r="O2396" i="210"/>
  <c r="O2104" i="210"/>
  <c r="O2457" i="210"/>
  <c r="O2377" i="210"/>
  <c r="O2305" i="210"/>
  <c r="O2534" i="210"/>
  <c r="O2248" i="210"/>
  <c r="O2491" i="210"/>
  <c r="O2427" i="210"/>
  <c r="O2355" i="210"/>
  <c r="O2265" i="210"/>
  <c r="O2512" i="210"/>
  <c r="O2440" i="210"/>
  <c r="O2360" i="210"/>
  <c r="O2288" i="210"/>
  <c r="O2008" i="210"/>
  <c r="O2211" i="210"/>
  <c r="O2139" i="210"/>
  <c r="O2029" i="210"/>
  <c r="O2141" i="210"/>
  <c r="O2040" i="210"/>
  <c r="O2250" i="210"/>
  <c r="O2170" i="210"/>
  <c r="O2090" i="210"/>
  <c r="O2263" i="210"/>
  <c r="O2191" i="210"/>
  <c r="O2119" i="210"/>
  <c r="O1719" i="210"/>
  <c r="O2212" i="210"/>
  <c r="O2148" i="210"/>
  <c r="O2061" i="210"/>
  <c r="O2185" i="210"/>
  <c r="O2105" i="210"/>
  <c r="O2278" i="210"/>
  <c r="O2206" i="210"/>
  <c r="O2134" i="210"/>
  <c r="O2051" i="210"/>
  <c r="O1987" i="210"/>
  <c r="S1919" i="210"/>
  <c r="O1923" i="210"/>
  <c r="O1815" i="210"/>
  <c r="O1981" i="210"/>
  <c r="O1395" i="210"/>
  <c r="O2010" i="210"/>
  <c r="O1946" i="210"/>
  <c r="O1866" i="210"/>
  <c r="O2031" i="210"/>
  <c r="O1967" i="210"/>
  <c r="O1895" i="210"/>
  <c r="O2060" i="210"/>
  <c r="O1932" i="210"/>
  <c r="O1860" i="210"/>
  <c r="O1985" i="210"/>
  <c r="O1913" i="210"/>
  <c r="O1759" i="210"/>
  <c r="O1966" i="210"/>
  <c r="O1894" i="210"/>
  <c r="O1671" i="210"/>
  <c r="O1794" i="210"/>
  <c r="O1714" i="210"/>
  <c r="O1635" i="210"/>
  <c r="O1756" i="210"/>
  <c r="O1483" i="210"/>
  <c r="O1777" i="210"/>
  <c r="O1705" i="210"/>
  <c r="O1427" i="210"/>
  <c r="O1531" i="210"/>
  <c r="O1595" i="210"/>
  <c r="O1808" i="210"/>
  <c r="O1736" i="210"/>
  <c r="O1664" i="210"/>
  <c r="O1388" i="210"/>
  <c r="O1781" i="210"/>
  <c r="O1709" i="210"/>
  <c r="O1587" i="210"/>
  <c r="O1616" i="210"/>
  <c r="O1552" i="210"/>
  <c r="O1480" i="210"/>
  <c r="O1400" i="210"/>
  <c r="O1525" i="210"/>
  <c r="O1445" i="210"/>
  <c r="O1642" i="210"/>
  <c r="O1562" i="210"/>
  <c r="O1490" i="210"/>
  <c r="O1410" i="210"/>
  <c r="S1603" i="210"/>
  <c r="O1607" i="210"/>
  <c r="O1535" i="210"/>
  <c r="O1471" i="210"/>
  <c r="O1399" i="210"/>
  <c r="O1580" i="210"/>
  <c r="O1508" i="210"/>
  <c r="O1428" i="210"/>
  <c r="O1593" i="210"/>
  <c r="O1521" i="210"/>
  <c r="O1441" i="210"/>
  <c r="O1614" i="210"/>
  <c r="O1542" i="210"/>
  <c r="O1470" i="210"/>
  <c r="O1398" i="210"/>
  <c r="O1352" i="210"/>
  <c r="O1280" i="210"/>
  <c r="O1200" i="210"/>
  <c r="O1001" i="210"/>
  <c r="O1301" i="210"/>
  <c r="O1229" i="210"/>
  <c r="O1159" i="210"/>
  <c r="O1338" i="210"/>
  <c r="S1254" i="210"/>
  <c r="O1258" i="210"/>
  <c r="O1186" i="210"/>
  <c r="O1351" i="210"/>
  <c r="O1271" i="210"/>
  <c r="O1191" i="210"/>
  <c r="O1356" i="210"/>
  <c r="O1284" i="210"/>
  <c r="O1204" i="210"/>
  <c r="O969" i="210"/>
  <c r="O1329" i="210"/>
  <c r="O1249" i="210"/>
  <c r="O1167" i="210"/>
  <c r="O1382" i="210"/>
  <c r="O1310" i="210"/>
  <c r="O1230" i="210"/>
  <c r="O1017" i="210"/>
  <c r="O1323" i="210"/>
  <c r="O1251" i="210"/>
  <c r="O1161" i="210"/>
  <c r="O1148" i="210"/>
  <c r="O1076" i="210"/>
  <c r="O996" i="210"/>
  <c r="O1174" i="210"/>
  <c r="O1102" i="210"/>
  <c r="O1038" i="210"/>
  <c r="O966" i="210"/>
  <c r="O1155" i="210"/>
  <c r="O1083" i="210"/>
  <c r="O1003" i="210"/>
  <c r="O939" i="210"/>
  <c r="O1088" i="210"/>
  <c r="O1016" i="210"/>
  <c r="O952" i="210"/>
  <c r="O1085" i="210"/>
  <c r="O1005" i="210"/>
  <c r="O941" i="210"/>
  <c r="O1146" i="210"/>
  <c r="O1082" i="210"/>
  <c r="O1002" i="210"/>
  <c r="O938" i="210"/>
  <c r="O1095" i="210"/>
  <c r="S1027" i="210"/>
  <c r="O1031" i="210"/>
  <c r="O967" i="210"/>
  <c r="O898" i="210"/>
  <c r="O818" i="210"/>
  <c r="O884" i="210"/>
  <c r="O817" i="210"/>
  <c r="O870" i="210"/>
  <c r="O806" i="210"/>
  <c r="O907" i="210"/>
  <c r="O904" i="210"/>
  <c r="O832" i="210"/>
  <c r="O757" i="210"/>
  <c r="O837" i="210"/>
  <c r="S774" i="210"/>
  <c r="O778" i="210"/>
  <c r="O706" i="210"/>
  <c r="O678" i="210"/>
  <c r="O540" i="210"/>
  <c r="O716" i="210"/>
  <c r="O737" i="210"/>
  <c r="O636" i="210"/>
  <c r="O702" i="210"/>
  <c r="O755" i="210"/>
  <c r="O689" i="210"/>
  <c r="O728" i="210"/>
  <c r="O733" i="210"/>
  <c r="O649" i="210"/>
  <c r="O577" i="210"/>
  <c r="O654" i="210"/>
  <c r="O582" i="210"/>
  <c r="O664" i="210"/>
  <c r="O592" i="210"/>
  <c r="O532" i="210"/>
  <c r="O613" i="210"/>
  <c r="O531" i="210"/>
  <c r="O658" i="210"/>
  <c r="O586" i="210"/>
  <c r="O591" i="210"/>
  <c r="O545" i="210"/>
  <c r="O473" i="210"/>
  <c r="O510" i="210"/>
  <c r="O434" i="210"/>
  <c r="O467" i="210"/>
  <c r="O528" i="210"/>
  <c r="O456" i="210"/>
  <c r="O525" i="210"/>
  <c r="O453" i="210"/>
  <c r="O522" i="210"/>
  <c r="O450" i="210"/>
  <c r="O495" i="210"/>
  <c r="O428" i="210"/>
  <c r="O364" i="210"/>
  <c r="O393" i="210"/>
  <c r="O382" i="210"/>
  <c r="O427" i="210"/>
  <c r="S359" i="210"/>
  <c r="O363" i="210"/>
  <c r="O432" i="210"/>
  <c r="O352" i="210"/>
  <c r="O413" i="210"/>
  <c r="S326" i="210"/>
  <c r="O330" i="210"/>
  <c r="O333" i="210"/>
  <c r="O253" i="210"/>
  <c r="O282" i="210"/>
  <c r="O303" i="210"/>
  <c r="O231" i="210"/>
  <c r="O179" i="210"/>
  <c r="O257" i="210"/>
  <c r="O302" i="210"/>
  <c r="O230" i="210"/>
  <c r="O259" i="210"/>
  <c r="O94" i="210"/>
  <c r="O152" i="210"/>
  <c r="O114" i="210"/>
  <c r="O178" i="210"/>
  <c r="O223" i="210"/>
  <c r="O159" i="210"/>
  <c r="O83" i="210"/>
  <c r="O156" i="210"/>
  <c r="O56" i="210"/>
  <c r="O145" i="210"/>
  <c r="O214" i="210"/>
  <c r="O142" i="210"/>
  <c r="O66" i="210"/>
  <c r="O95" i="210"/>
  <c r="O84" i="210"/>
  <c r="O89" i="210"/>
  <c r="O86" i="210"/>
  <c r="O59" i="210"/>
  <c r="O5956" i="210"/>
  <c r="O5876" i="210"/>
  <c r="O5460" i="210"/>
  <c r="O6389" i="210"/>
  <c r="O5901" i="210"/>
  <c r="O6527" i="210"/>
  <c r="O6489" i="210"/>
  <c r="O6417" i="210"/>
  <c r="O6337" i="210"/>
  <c r="O6257" i="210"/>
  <c r="O6177" i="210"/>
  <c r="O6105" i="210"/>
  <c r="O6017" i="210"/>
  <c r="O5937" i="210"/>
  <c r="O5857" i="210"/>
  <c r="O6487" i="210"/>
  <c r="O6494" i="210"/>
  <c r="O6326" i="210"/>
  <c r="O6246" i="210"/>
  <c r="O5854" i="210"/>
  <c r="O6149" i="210"/>
  <c r="O6519" i="210"/>
  <c r="O6491" i="210"/>
  <c r="O6419" i="210"/>
  <c r="O6347" i="210"/>
  <c r="O6259" i="210"/>
  <c r="O6179" i="210"/>
  <c r="O6091" i="210"/>
  <c r="O6019" i="210"/>
  <c r="O5939" i="210"/>
  <c r="O5859" i="210"/>
  <c r="O5771" i="210"/>
  <c r="O6077" i="210"/>
  <c r="O5244" i="210"/>
  <c r="O6504" i="210"/>
  <c r="O6424" i="210"/>
  <c r="O6352" i="210"/>
  <c r="O6288" i="210"/>
  <c r="O6208" i="210"/>
  <c r="O6144" i="210"/>
  <c r="O6072" i="210"/>
  <c r="O5984" i="210"/>
  <c r="O5896" i="210"/>
  <c r="O5833" i="210"/>
  <c r="O5601" i="210"/>
  <c r="O5529" i="210"/>
  <c r="O5457" i="210"/>
  <c r="O5393" i="210"/>
  <c r="O4910" i="210"/>
  <c r="O5774" i="210"/>
  <c r="O5702" i="210"/>
  <c r="O5630" i="210"/>
  <c r="O5558" i="210"/>
  <c r="O5494" i="210"/>
  <c r="O5422" i="210"/>
  <c r="O5196" i="210"/>
  <c r="O5707" i="210"/>
  <c r="O5627" i="210"/>
  <c r="O5555" i="210"/>
  <c r="O5491" i="210"/>
  <c r="O5419" i="210"/>
  <c r="O5092" i="210"/>
  <c r="O5808" i="210"/>
  <c r="O4870" i="210"/>
  <c r="O5773" i="210"/>
  <c r="O5701" i="210"/>
  <c r="O5629" i="210"/>
  <c r="O5557" i="210"/>
  <c r="O5493" i="210"/>
  <c r="O5421" i="210"/>
  <c r="O5236" i="210"/>
  <c r="O5794" i="210"/>
  <c r="O5706" i="210"/>
  <c r="O5626" i="210"/>
  <c r="O5554" i="210"/>
  <c r="O5490" i="210"/>
  <c r="O5418" i="210"/>
  <c r="O5347" i="210"/>
  <c r="O5799" i="210"/>
  <c r="O5727" i="210"/>
  <c r="O5647" i="210"/>
  <c r="O5575" i="210"/>
  <c r="O5511" i="210"/>
  <c r="O5447" i="210"/>
  <c r="O5300" i="210"/>
  <c r="O4606" i="210"/>
  <c r="O5313" i="210"/>
  <c r="O5249" i="210"/>
  <c r="O5177" i="210"/>
  <c r="O4478" i="210"/>
  <c r="O5310" i="210"/>
  <c r="O5246" i="210"/>
  <c r="O5182" i="210"/>
  <c r="O5118" i="210"/>
  <c r="O5046" i="210"/>
  <c r="O4974" i="210"/>
  <c r="O4678" i="210"/>
  <c r="O5211" i="210"/>
  <c r="O5147" i="210"/>
  <c r="O5083" i="210"/>
  <c r="O5019" i="210"/>
  <c r="O5360" i="210"/>
  <c r="O5288" i="210"/>
  <c r="O5224" i="210"/>
  <c r="O5152" i="210"/>
  <c r="O5088" i="210"/>
  <c r="O5008" i="210"/>
  <c r="O4718" i="210"/>
  <c r="O5341" i="210"/>
  <c r="O5269" i="210"/>
  <c r="O5205" i="210"/>
  <c r="O5141" i="210"/>
  <c r="O5077" i="210"/>
  <c r="O4997" i="210"/>
  <c r="O5338" i="210"/>
  <c r="O4878" i="210"/>
  <c r="O4183" i="210"/>
  <c r="O5327" i="210"/>
  <c r="O5255" i="210"/>
  <c r="O5183" i="210"/>
  <c r="O5119" i="210"/>
  <c r="O5047" i="210"/>
  <c r="O4975" i="210"/>
  <c r="O4646" i="210"/>
  <c r="O4915" i="210"/>
  <c r="O4843" i="210"/>
  <c r="O4771" i="210"/>
  <c r="O4699" i="210"/>
  <c r="O4627" i="210"/>
  <c r="O4207" i="210"/>
  <c r="O4920" i="210"/>
  <c r="O4848" i="210"/>
  <c r="O4776" i="210"/>
  <c r="O4696" i="210"/>
  <c r="O4624" i="210"/>
  <c r="O4552" i="210"/>
  <c r="O4853" i="210"/>
  <c r="O4781" i="210"/>
  <c r="O4717" i="210"/>
  <c r="O4645" i="210"/>
  <c r="O4581" i="210"/>
  <c r="O4415" i="210"/>
  <c r="O4954" i="210"/>
  <c r="O4802" i="210"/>
  <c r="O4730" i="210"/>
  <c r="O4658" i="210"/>
  <c r="O4586" i="210"/>
  <c r="S4522" i="210"/>
  <c r="O4526" i="210"/>
  <c r="O4927" i="210"/>
  <c r="O4855" i="210"/>
  <c r="O4791" i="210"/>
  <c r="O4719" i="210"/>
  <c r="O4639" i="210"/>
  <c r="O4567" i="210"/>
  <c r="O4239" i="210"/>
  <c r="O4900" i="210"/>
  <c r="O4828" i="210"/>
  <c r="O4756" i="210"/>
  <c r="O4676" i="210"/>
  <c r="O4604" i="210"/>
  <c r="O4519" i="210"/>
  <c r="O4199" i="210"/>
  <c r="O4929" i="210"/>
  <c r="O4857" i="210"/>
  <c r="O4785" i="210"/>
  <c r="O4705" i="210"/>
  <c r="O4633" i="210"/>
  <c r="O4561" i="210"/>
  <c r="O4311" i="210"/>
  <c r="O4484" i="210"/>
  <c r="O4316" i="210"/>
  <c r="O4244" i="210"/>
  <c r="S4168" i="210"/>
  <c r="O4172" i="210"/>
  <c r="O4092" i="210"/>
  <c r="O4021" i="210"/>
  <c r="O3955" i="210"/>
  <c r="O4465" i="210"/>
  <c r="O4401" i="210"/>
  <c r="O4321" i="210"/>
  <c r="O4249" i="210"/>
  <c r="O4185" i="210"/>
  <c r="O4105" i="210"/>
  <c r="O4025" i="210"/>
  <c r="O4414" i="210"/>
  <c r="O4190" i="210"/>
  <c r="O4499" i="210"/>
  <c r="O4419" i="210"/>
  <c r="O4323" i="210"/>
  <c r="O4251" i="210"/>
  <c r="O4179" i="210"/>
  <c r="O4091" i="210"/>
  <c r="O4015" i="210"/>
  <c r="O4480" i="210"/>
  <c r="S4404" i="210"/>
  <c r="O4408" i="210"/>
  <c r="O4328" i="210"/>
  <c r="O4256" i="210"/>
  <c r="O4192" i="210"/>
  <c r="S4108" i="210"/>
  <c r="O4112" i="210"/>
  <c r="O4040" i="210"/>
  <c r="S4473" i="210"/>
  <c r="O4477" i="210"/>
  <c r="O4397" i="210"/>
  <c r="O4325" i="210"/>
  <c r="O4253" i="210"/>
  <c r="O4181" i="210"/>
  <c r="O4117" i="210"/>
  <c r="O4045" i="210"/>
  <c r="O4514" i="210"/>
  <c r="O4442" i="210"/>
  <c r="O4346" i="210"/>
  <c r="O4274" i="210"/>
  <c r="O4194" i="210"/>
  <c r="O4114" i="210"/>
  <c r="O4026" i="210"/>
  <c r="O3942" i="210"/>
  <c r="O3875" i="210"/>
  <c r="O3163" i="210"/>
  <c r="O3825" i="210"/>
  <c r="O3115" i="210"/>
  <c r="O3857" i="210"/>
  <c r="O3989" i="210"/>
  <c r="O3917" i="210"/>
  <c r="O3457" i="210"/>
  <c r="O3978" i="210"/>
  <c r="S3902" i="210"/>
  <c r="O3906" i="210"/>
  <c r="O3681" i="210"/>
  <c r="O3927" i="210"/>
  <c r="O3577" i="210"/>
  <c r="O3956" i="210"/>
  <c r="O3876" i="210"/>
  <c r="O3868" i="210"/>
  <c r="O3788" i="210"/>
  <c r="O3716" i="210"/>
  <c r="O3636" i="210"/>
  <c r="O3564" i="210"/>
  <c r="O3492" i="210"/>
  <c r="O3400" i="210"/>
  <c r="O3766" i="210"/>
  <c r="O3694" i="210"/>
  <c r="O3622" i="210"/>
  <c r="O3550" i="210"/>
  <c r="O3470" i="210"/>
  <c r="O3360" i="210"/>
  <c r="O3867" i="210"/>
  <c r="O3235" i="210"/>
  <c r="O3848" i="210"/>
  <c r="O3768" i="210"/>
  <c r="O3688" i="210"/>
  <c r="O3624" i="210"/>
  <c r="O3560" i="210"/>
  <c r="O3488" i="210"/>
  <c r="O3427" i="210"/>
  <c r="O3171" i="210"/>
  <c r="O3829" i="210"/>
  <c r="S3753" i="210"/>
  <c r="O3757" i="210"/>
  <c r="O3685" i="210"/>
  <c r="O3613" i="210"/>
  <c r="O3533" i="210"/>
  <c r="O3469" i="210"/>
  <c r="O3075" i="210"/>
  <c r="O3834" i="210"/>
  <c r="O3770" i="210"/>
  <c r="O3698" i="210"/>
  <c r="O3626" i="210"/>
  <c r="O3554" i="210"/>
  <c r="O3474" i="210"/>
  <c r="O3387" i="210"/>
  <c r="O3035" i="210"/>
  <c r="S3595" i="210"/>
  <c r="O3535" i="210"/>
  <c r="O3463" i="210"/>
  <c r="O2956" i="210"/>
  <c r="O3374" i="210"/>
  <c r="O3310" i="210"/>
  <c r="O3238" i="210"/>
  <c r="O3166" i="210"/>
  <c r="O3094" i="210"/>
  <c r="O3030" i="210"/>
  <c r="O3320" i="210"/>
  <c r="O3256" i="210"/>
  <c r="O3184" i="210"/>
  <c r="O3040" i="210"/>
  <c r="O2687" i="210"/>
  <c r="O3389" i="210"/>
  <c r="O3325" i="210"/>
  <c r="O3261" i="210"/>
  <c r="O3181" i="210"/>
  <c r="O3109" i="210"/>
  <c r="O3045" i="210"/>
  <c r="O2767" i="210"/>
  <c r="O3378" i="210"/>
  <c r="O3314" i="210"/>
  <c r="S3246" i="210"/>
  <c r="O3250" i="210"/>
  <c r="O3178" i="210"/>
  <c r="O3114" i="210"/>
  <c r="O3042" i="210"/>
  <c r="O2719" i="210"/>
  <c r="O3391" i="210"/>
  <c r="O3327" i="210"/>
  <c r="O3263" i="210"/>
  <c r="O3183" i="210"/>
  <c r="O3111" i="210"/>
  <c r="O3039" i="210"/>
  <c r="O2815" i="210"/>
  <c r="O3404" i="210"/>
  <c r="O3340" i="210"/>
  <c r="O3276" i="210"/>
  <c r="O3204" i="210"/>
  <c r="O3132" i="210"/>
  <c r="O3052" i="210"/>
  <c r="O2655" i="210"/>
  <c r="O3329" i="210"/>
  <c r="O3265" i="210"/>
  <c r="O3121" i="210"/>
  <c r="O3049" i="210"/>
  <c r="O2935" i="210"/>
  <c r="O3010" i="210"/>
  <c r="O2922" i="210"/>
  <c r="O2850" i="210"/>
  <c r="O2786" i="210"/>
  <c r="O2714" i="210"/>
  <c r="O2634" i="210"/>
  <c r="O2570" i="210"/>
  <c r="O2466" i="210"/>
  <c r="O2900" i="210"/>
  <c r="O2836" i="210"/>
  <c r="O2772" i="210"/>
  <c r="O2692" i="210"/>
  <c r="O2620" i="210"/>
  <c r="O2394" i="210"/>
  <c r="O2953" i="210"/>
  <c r="O2881" i="210"/>
  <c r="O2809" i="210"/>
  <c r="O2745" i="210"/>
  <c r="O2673" i="210"/>
  <c r="O2601" i="210"/>
  <c r="O2529" i="210"/>
  <c r="O2974" i="210"/>
  <c r="O2910" i="210"/>
  <c r="O2838" i="210"/>
  <c r="O2774" i="210"/>
  <c r="O2694" i="210"/>
  <c r="O2630" i="210"/>
  <c r="O2566" i="210"/>
  <c r="O2471" i="210"/>
  <c r="O2963" i="210"/>
  <c r="O2891" i="210"/>
  <c r="O2819" i="210"/>
  <c r="O2755" i="210"/>
  <c r="O2675" i="210"/>
  <c r="O2603" i="210"/>
  <c r="O2402" i="210"/>
  <c r="O2952" i="210"/>
  <c r="O2880" i="210"/>
  <c r="O2808" i="210"/>
  <c r="O2744" i="210"/>
  <c r="O2680" i="210"/>
  <c r="O2608" i="210"/>
  <c r="O2544" i="210"/>
  <c r="O2362" i="210"/>
  <c r="O2941" i="210"/>
  <c r="O2869" i="210"/>
  <c r="O2805" i="210"/>
  <c r="O2741" i="210"/>
  <c r="O2661" i="210"/>
  <c r="O2589" i="210"/>
  <c r="O2536" i="210"/>
  <c r="O2517" i="210"/>
  <c r="O2453" i="210"/>
  <c r="O2381" i="210"/>
  <c r="O2317" i="210"/>
  <c r="O2096" i="210"/>
  <c r="O2367" i="210"/>
  <c r="O2295" i="210"/>
  <c r="O2516" i="210"/>
  <c r="O2452" i="210"/>
  <c r="O2388" i="210"/>
  <c r="O2316" i="210"/>
  <c r="O2053" i="210"/>
  <c r="O2449" i="210"/>
  <c r="O2369" i="210"/>
  <c r="O2297" i="210"/>
  <c r="O2526" i="210"/>
  <c r="O2454" i="210"/>
  <c r="O2374" i="210"/>
  <c r="O2310" i="210"/>
  <c r="O2483" i="210"/>
  <c r="O2419" i="210"/>
  <c r="O2339" i="210"/>
  <c r="O2261" i="210"/>
  <c r="O2504" i="210"/>
  <c r="O2424" i="210"/>
  <c r="O2352" i="210"/>
  <c r="O2273" i="210"/>
  <c r="O2283" i="210"/>
  <c r="O2203" i="210"/>
  <c r="O2131" i="210"/>
  <c r="O2024" i="210"/>
  <c r="O2197" i="210"/>
  <c r="O2133" i="210"/>
  <c r="O1960" i="210"/>
  <c r="O2234" i="210"/>
  <c r="O2154" i="210"/>
  <c r="O2082" i="210"/>
  <c r="O2255" i="210"/>
  <c r="O2183" i="210"/>
  <c r="O2111" i="210"/>
  <c r="O2204" i="210"/>
  <c r="O2140" i="210"/>
  <c r="O2013" i="210"/>
  <c r="O2177" i="210"/>
  <c r="O2097" i="210"/>
  <c r="O2270" i="210"/>
  <c r="O2198" i="210"/>
  <c r="S2122" i="210"/>
  <c r="O2126" i="210"/>
  <c r="O2021" i="210"/>
  <c r="O2043" i="210"/>
  <c r="O1804" i="210"/>
  <c r="O1973" i="210"/>
  <c r="O1893" i="210"/>
  <c r="O2074" i="210"/>
  <c r="O2002" i="210"/>
  <c r="O1938" i="210"/>
  <c r="O1858" i="210"/>
  <c r="O2023" i="210"/>
  <c r="O1959" i="210"/>
  <c r="O1887" i="210"/>
  <c r="O2052" i="210"/>
  <c r="O1988" i="210"/>
  <c r="O1924" i="210"/>
  <c r="O1844" i="210"/>
  <c r="O1977" i="210"/>
  <c r="O1905" i="210"/>
  <c r="O1711" i="210"/>
  <c r="O2022" i="210"/>
  <c r="O1958" i="210"/>
  <c r="O1886" i="210"/>
  <c r="O1589" i="210"/>
  <c r="O1786" i="210"/>
  <c r="O1621" i="210"/>
  <c r="O1748" i="210"/>
  <c r="O1684" i="210"/>
  <c r="O1849" i="210"/>
  <c r="O1769" i="210"/>
  <c r="O1697" i="210"/>
  <c r="O1854" i="210"/>
  <c r="O1766" i="210"/>
  <c r="O1694" i="210"/>
  <c r="O1403" i="210"/>
  <c r="O1787" i="210"/>
  <c r="O1707" i="210"/>
  <c r="O1491" i="210"/>
  <c r="O1792" i="210"/>
  <c r="O1720" i="210"/>
  <c r="O1653" i="210"/>
  <c r="O1765" i="210"/>
  <c r="O1539" i="210"/>
  <c r="O1608" i="210"/>
  <c r="O1472" i="210"/>
  <c r="O1581" i="210"/>
  <c r="O1517" i="210"/>
  <c r="O1437" i="210"/>
  <c r="O1634" i="210"/>
  <c r="O1554" i="210"/>
  <c r="O1482" i="210"/>
  <c r="O1402" i="210"/>
  <c r="O1599" i="210"/>
  <c r="O1527" i="210"/>
  <c r="O1463" i="210"/>
  <c r="O1652" i="210"/>
  <c r="O1572" i="210"/>
  <c r="O1500" i="210"/>
  <c r="O1412" i="210"/>
  <c r="O1513" i="210"/>
  <c r="O1598" i="210"/>
  <c r="O1534" i="210"/>
  <c r="O1462" i="210"/>
  <c r="S1369" i="210"/>
  <c r="O1373" i="210"/>
  <c r="O1344" i="210"/>
  <c r="O1272" i="210"/>
  <c r="O1192" i="210"/>
  <c r="O937" i="210"/>
  <c r="O1293" i="210"/>
  <c r="S1217" i="210"/>
  <c r="O1221" i="210"/>
  <c r="O1157" i="210"/>
  <c r="O1322" i="210"/>
  <c r="O1250" i="210"/>
  <c r="O1073" i="210"/>
  <c r="O1263" i="210"/>
  <c r="O1348" i="210"/>
  <c r="O1276" i="210"/>
  <c r="O1196" i="210"/>
  <c r="O1393" i="210"/>
  <c r="O1321" i="210"/>
  <c r="O1241" i="210"/>
  <c r="O1165" i="210"/>
  <c r="O1374" i="210"/>
  <c r="O1302" i="210"/>
  <c r="O1222" i="210"/>
  <c r="O953" i="210"/>
  <c r="O1315" i="210"/>
  <c r="O1243" i="210"/>
  <c r="O1145" i="210"/>
  <c r="O1140" i="210"/>
  <c r="O1068" i="210"/>
  <c r="O988" i="210"/>
  <c r="O1166" i="210"/>
  <c r="O1094" i="210"/>
  <c r="O1022" i="210"/>
  <c r="O958" i="210"/>
  <c r="O1075" i="210"/>
  <c r="O936" i="210"/>
  <c r="O1080" i="210"/>
  <c r="O1008" i="210"/>
  <c r="O944" i="210"/>
  <c r="O1077" i="210"/>
  <c r="O997" i="210"/>
  <c r="O935" i="210"/>
  <c r="O1138" i="210"/>
  <c r="O1074" i="210"/>
  <c r="O994" i="210"/>
  <c r="O934" i="210"/>
  <c r="O1087" i="210"/>
  <c r="O1023" i="210"/>
  <c r="O959" i="210"/>
  <c r="O882" i="210"/>
  <c r="O810" i="210"/>
  <c r="O879" i="210"/>
  <c r="O807" i="210"/>
  <c r="O876" i="210"/>
  <c r="O804" i="210"/>
  <c r="O881" i="210"/>
  <c r="O809" i="210"/>
  <c r="O862" i="210"/>
  <c r="O798" i="210"/>
  <c r="O899" i="210"/>
  <c r="O819" i="210"/>
  <c r="S892" i="210"/>
  <c r="O896" i="210"/>
  <c r="O824" i="210"/>
  <c r="O901" i="210"/>
  <c r="O829" i="210"/>
  <c r="O770" i="210"/>
  <c r="O692" i="210"/>
  <c r="O759" i="210"/>
  <c r="O677" i="210"/>
  <c r="O780" i="210"/>
  <c r="O708" i="210"/>
  <c r="O729" i="210"/>
  <c r="O604" i="210"/>
  <c r="O685" i="210"/>
  <c r="S743" i="210"/>
  <c r="O747" i="210"/>
  <c r="O673" i="210"/>
  <c r="O720" i="210"/>
  <c r="O725" i="210"/>
  <c r="O641" i="210"/>
  <c r="O569" i="210"/>
  <c r="O646" i="210"/>
  <c r="O574" i="210"/>
  <c r="O643" i="210"/>
  <c r="O579" i="210"/>
  <c r="O656" i="210"/>
  <c r="O584" i="210"/>
  <c r="O452" i="210"/>
  <c r="O605" i="210"/>
  <c r="O476" i="210"/>
  <c r="O650" i="210"/>
  <c r="O578" i="210"/>
  <c r="O583" i="210"/>
  <c r="O537" i="210"/>
  <c r="O502" i="210"/>
  <c r="O418" i="210"/>
  <c r="O459" i="210"/>
  <c r="O520" i="210"/>
  <c r="O433" i="210"/>
  <c r="O509" i="210"/>
  <c r="O430" i="210"/>
  <c r="O506" i="210"/>
  <c r="O442" i="210"/>
  <c r="O487" i="210"/>
  <c r="O420" i="210"/>
  <c r="O356" i="210"/>
  <c r="O385" i="210"/>
  <c r="O366" i="210"/>
  <c r="O419" i="210"/>
  <c r="O355" i="210"/>
  <c r="O424" i="210"/>
  <c r="O344" i="210"/>
  <c r="O405" i="210"/>
  <c r="O288" i="210"/>
  <c r="O317" i="210"/>
  <c r="O245" i="210"/>
  <c r="O274" i="210"/>
  <c r="O295" i="210"/>
  <c r="O211" i="210"/>
  <c r="O268" i="210"/>
  <c r="O155" i="210"/>
  <c r="O249" i="210"/>
  <c r="O294" i="210"/>
  <c r="O219" i="210"/>
  <c r="O251" i="210"/>
  <c r="O144" i="210"/>
  <c r="O173" i="210"/>
  <c r="O104" i="210"/>
  <c r="O170" i="210"/>
  <c r="O215" i="210"/>
  <c r="O151" i="210"/>
  <c r="O82" i="210"/>
  <c r="O148" i="210"/>
  <c r="O217" i="210"/>
  <c r="O129" i="210"/>
  <c r="O206" i="210"/>
  <c r="O126" i="210"/>
  <c r="O85" i="210"/>
  <c r="O58" i="210"/>
  <c r="O87" i="210"/>
  <c r="O68" i="210"/>
  <c r="O81" i="210"/>
  <c r="O70" i="210"/>
  <c r="O51" i="210"/>
  <c r="S6096" i="210"/>
  <c r="O6100" i="210"/>
  <c r="O6020" i="210"/>
  <c r="O5948" i="210"/>
  <c r="O5868" i="210"/>
  <c r="O5396" i="210"/>
  <c r="O5885" i="210"/>
  <c r="O6553" i="210"/>
  <c r="S6477" i="210"/>
  <c r="O6089" i="210"/>
  <c r="O5732" i="210"/>
  <c r="O6133" i="210"/>
  <c r="O6558" i="210"/>
  <c r="O6486" i="210"/>
  <c r="O6398" i="210"/>
  <c r="O6318" i="210"/>
  <c r="O6238" i="210"/>
  <c r="O6166" i="210"/>
  <c r="O6078" i="210"/>
  <c r="O5998" i="210"/>
  <c r="S5914" i="210"/>
  <c r="O5918" i="210"/>
  <c r="O5843" i="210"/>
  <c r="O6501" i="210"/>
  <c r="O6029" i="210"/>
  <c r="O6555" i="210"/>
  <c r="O6483" i="210"/>
  <c r="O6411" i="210"/>
  <c r="O6339" i="210"/>
  <c r="O6251" i="210"/>
  <c r="O6171" i="210"/>
  <c r="O6083" i="210"/>
  <c r="O6003" i="210"/>
  <c r="O5931" i="210"/>
  <c r="O5851" i="210"/>
  <c r="O6061" i="210"/>
  <c r="O6496" i="210"/>
  <c r="O6416" i="210"/>
  <c r="O6344" i="210"/>
  <c r="O6280" i="210"/>
  <c r="O6200" i="210"/>
  <c r="O6136" i="210"/>
  <c r="O6056" i="210"/>
  <c r="O5968" i="210"/>
  <c r="O5888" i="210"/>
  <c r="O5826" i="210"/>
  <c r="O5825" i="210"/>
  <c r="O5737" i="210"/>
  <c r="O5593" i="210"/>
  <c r="O5449" i="210"/>
  <c r="O5292" i="210"/>
  <c r="O4822" i="210"/>
  <c r="O5132" i="210"/>
  <c r="O5699" i="210"/>
  <c r="O5619" i="210"/>
  <c r="O5547" i="210"/>
  <c r="O5475" i="210"/>
  <c r="O5411" i="210"/>
  <c r="O5068" i="210"/>
  <c r="O5712" i="210"/>
  <c r="O5648" i="210"/>
  <c r="O5576" i="210"/>
  <c r="O5512" i="210"/>
  <c r="O5448" i="210"/>
  <c r="O5380" i="210"/>
  <c r="O4694" i="210"/>
  <c r="O5204" i="210"/>
  <c r="O5546" i="210"/>
  <c r="O5410" i="210"/>
  <c r="O5164" i="210"/>
  <c r="O5503" i="210"/>
  <c r="O5299" i="210"/>
  <c r="O5305" i="210"/>
  <c r="O5241" i="210"/>
  <c r="O5169" i="210"/>
  <c r="O5105" i="210"/>
  <c r="O5025" i="210"/>
  <c r="O4960" i="210"/>
  <c r="O5382" i="210"/>
  <c r="O5302" i="210"/>
  <c r="O5238" i="210"/>
  <c r="O5174" i="210"/>
  <c r="O5110" i="210"/>
  <c r="O5038" i="210"/>
  <c r="O4958" i="210"/>
  <c r="O4654" i="210"/>
  <c r="O5203" i="210"/>
  <c r="O5139" i="210"/>
  <c r="S5071" i="210"/>
  <c r="O5075" i="210"/>
  <c r="O5011" i="210"/>
  <c r="O4956" i="210"/>
  <c r="O5352" i="210"/>
  <c r="O5208" i="210"/>
  <c r="O5144" i="210"/>
  <c r="O5080" i="210"/>
  <c r="O5000" i="210"/>
  <c r="O4638" i="210"/>
  <c r="O5333" i="210"/>
  <c r="S4546" i="210"/>
  <c r="O4550" i="210"/>
  <c r="O5330" i="210"/>
  <c r="O5266" i="210"/>
  <c r="O5194" i="210"/>
  <c r="O5130" i="210"/>
  <c r="O5058" i="210"/>
  <c r="O4994" i="210"/>
  <c r="O4877" i="210"/>
  <c r="O4159" i="210"/>
  <c r="O5311" i="210"/>
  <c r="O5247" i="210"/>
  <c r="O5175" i="210"/>
  <c r="O5111" i="210"/>
  <c r="O5039" i="210"/>
  <c r="O4965" i="210"/>
  <c r="O4582" i="210"/>
  <c r="O4907" i="210"/>
  <c r="O4835" i="210"/>
  <c r="O4763" i="210"/>
  <c r="O4691" i="210"/>
  <c r="O4619" i="210"/>
  <c r="O4539" i="210"/>
  <c r="O4135" i="210"/>
  <c r="O4912" i="210"/>
  <c r="O4840" i="210"/>
  <c r="O4768" i="210"/>
  <c r="O4688" i="210"/>
  <c r="O4616" i="210"/>
  <c r="O4536" i="210"/>
  <c r="O4845" i="210"/>
  <c r="O4773" i="210"/>
  <c r="O4701" i="210"/>
  <c r="O4637" i="210"/>
  <c r="O4573" i="210"/>
  <c r="O4359" i="210"/>
  <c r="O4946" i="210"/>
  <c r="O4722" i="210"/>
  <c r="O4578" i="210"/>
  <c r="O4495" i="210"/>
  <c r="O3985" i="210"/>
  <c r="O4919" i="210"/>
  <c r="O4847" i="210"/>
  <c r="O4783" i="210"/>
  <c r="O4703" i="210"/>
  <c r="O4631" i="210"/>
  <c r="O4559" i="210"/>
  <c r="O4175" i="210"/>
  <c r="O4884" i="210"/>
  <c r="O4820" i="210"/>
  <c r="O4748" i="210"/>
  <c r="O4660" i="210"/>
  <c r="O4588" i="210"/>
  <c r="O4518" i="210"/>
  <c r="O4127" i="210"/>
  <c r="O4921" i="210"/>
  <c r="O4849" i="210"/>
  <c r="O4777" i="210"/>
  <c r="O4697" i="210"/>
  <c r="O4625" i="210"/>
  <c r="O4553" i="210"/>
  <c r="O4223" i="210"/>
  <c r="O4468" i="210"/>
  <c r="S4384" i="210"/>
  <c r="O4388" i="210"/>
  <c r="O4308" i="210"/>
  <c r="O4236" i="210"/>
  <c r="O4164" i="210"/>
  <c r="O4084" i="210"/>
  <c r="O4012" i="210"/>
  <c r="O3952" i="210"/>
  <c r="O4457" i="210"/>
  <c r="O4393" i="210"/>
  <c r="O4313" i="210"/>
  <c r="O4241" i="210"/>
  <c r="O4177" i="210"/>
  <c r="O4097" i="210"/>
  <c r="O4016" i="210"/>
  <c r="O4398" i="210"/>
  <c r="O4318" i="210"/>
  <c r="O4254" i="210"/>
  <c r="O4182" i="210"/>
  <c r="O4102" i="210"/>
  <c r="O4038" i="210"/>
  <c r="O4491" i="210"/>
  <c r="O4411" i="210"/>
  <c r="O4315" i="210"/>
  <c r="O4243" i="210"/>
  <c r="O4163" i="210"/>
  <c r="O4083" i="210"/>
  <c r="O3993" i="210"/>
  <c r="O4464" i="210"/>
  <c r="O4400" i="210"/>
  <c r="O4320" i="210"/>
  <c r="O4248" i="210"/>
  <c r="O4184" i="210"/>
  <c r="O4104" i="210"/>
  <c r="O4019" i="210"/>
  <c r="O3737" i="210"/>
  <c r="O4469" i="210"/>
  <c r="O4389" i="210"/>
  <c r="O4317" i="210"/>
  <c r="O4245" i="210"/>
  <c r="O4173" i="210"/>
  <c r="O4101" i="210"/>
  <c r="O4037" i="210"/>
  <c r="O4098" i="210"/>
  <c r="O4013" i="210"/>
  <c r="O4006" i="210"/>
  <c r="O3934" i="210"/>
  <c r="O3865" i="210"/>
  <c r="O3939" i="210"/>
  <c r="O3944" i="210"/>
  <c r="O3846" i="210"/>
  <c r="O3981" i="210"/>
  <c r="O3909" i="210"/>
  <c r="O3299" i="210"/>
  <c r="O3970" i="210"/>
  <c r="O3898" i="210"/>
  <c r="O3617" i="210"/>
  <c r="O3919" i="210"/>
  <c r="O3513" i="210"/>
  <c r="O3873" i="210"/>
  <c r="O3708" i="210"/>
  <c r="O3379" i="210"/>
  <c r="O3016" i="210"/>
  <c r="O3758" i="210"/>
  <c r="O3686" i="210"/>
  <c r="O3614" i="210"/>
  <c r="O3534" i="210"/>
  <c r="O3462" i="210"/>
  <c r="O3323" i="210"/>
  <c r="O3859" i="210"/>
  <c r="O3779" i="210"/>
  <c r="O3707" i="210"/>
  <c r="O3635" i="210"/>
  <c r="O3563" i="210"/>
  <c r="O3483" i="210"/>
  <c r="O3147" i="210"/>
  <c r="O3832" i="210"/>
  <c r="O3760" i="210"/>
  <c r="O3680" i="210"/>
  <c r="O3616" i="210"/>
  <c r="O3552" i="210"/>
  <c r="O3480" i="210"/>
  <c r="O3416" i="210"/>
  <c r="O3123" i="210"/>
  <c r="O3461" i="210"/>
  <c r="O2847" i="210"/>
  <c r="O3826" i="210"/>
  <c r="O3762" i="210"/>
  <c r="O3690" i="210"/>
  <c r="O3618" i="210"/>
  <c r="O3546" i="210"/>
  <c r="O3466" i="210"/>
  <c r="O3376" i="210"/>
  <c r="O2370" i="210"/>
  <c r="O3799" i="210"/>
  <c r="O3727" i="210"/>
  <c r="O3655" i="210"/>
  <c r="O3591" i="210"/>
  <c r="O3527" i="210"/>
  <c r="O3447" i="210"/>
  <c r="O3430" i="210"/>
  <c r="O3086" i="210"/>
  <c r="O3312" i="210"/>
  <c r="O3240" i="210"/>
  <c r="O3176" i="210"/>
  <c r="O3104" i="210"/>
  <c r="O3032" i="210"/>
  <c r="O2639" i="210"/>
  <c r="O3317" i="210"/>
  <c r="O3253" i="210"/>
  <c r="O3173" i="210"/>
  <c r="O3101" i="210"/>
  <c r="O3037" i="210"/>
  <c r="O2599" i="210"/>
  <c r="O3370" i="210"/>
  <c r="O3306" i="210"/>
  <c r="O3242" i="210"/>
  <c r="O3170" i="210"/>
  <c r="O3106" i="210"/>
  <c r="O3034" i="210"/>
  <c r="O2671" i="210"/>
  <c r="O3383" i="210"/>
  <c r="O3319" i="210"/>
  <c r="O3255" i="210"/>
  <c r="O3175" i="210"/>
  <c r="O3103" i="210"/>
  <c r="O3031" i="210"/>
  <c r="O2751" i="210"/>
  <c r="O3396" i="210"/>
  <c r="O3332" i="210"/>
  <c r="O3268" i="210"/>
  <c r="O3196" i="210"/>
  <c r="O3116" i="210"/>
  <c r="O3044" i="210"/>
  <c r="O3385" i="210"/>
  <c r="O3321" i="210"/>
  <c r="O3257" i="210"/>
  <c r="O3185" i="210"/>
  <c r="O3113" i="210"/>
  <c r="O3041" i="210"/>
  <c r="O2887" i="210"/>
  <c r="O2994" i="210"/>
  <c r="O2914" i="210"/>
  <c r="O2842" i="210"/>
  <c r="O2778" i="210"/>
  <c r="O2706" i="210"/>
  <c r="O2626" i="210"/>
  <c r="O2562" i="210"/>
  <c r="O2455" i="210"/>
  <c r="O2892" i="210"/>
  <c r="O2828" i="210"/>
  <c r="O2764" i="210"/>
  <c r="O2684" i="210"/>
  <c r="O2612" i="210"/>
  <c r="O2548" i="210"/>
  <c r="O2322" i="210"/>
  <c r="O2945" i="210"/>
  <c r="O2873" i="210"/>
  <c r="O2801" i="210"/>
  <c r="O2737" i="210"/>
  <c r="O2665" i="210"/>
  <c r="O2593" i="210"/>
  <c r="O2528" i="210"/>
  <c r="O2966" i="210"/>
  <c r="O2902" i="210"/>
  <c r="O2830" i="210"/>
  <c r="O2766" i="210"/>
  <c r="O2686" i="210"/>
  <c r="O2622" i="210"/>
  <c r="O2558" i="210"/>
  <c r="O2450" i="210"/>
  <c r="O2955" i="210"/>
  <c r="O2883" i="210"/>
  <c r="O2811" i="210"/>
  <c r="O2747" i="210"/>
  <c r="O2667" i="210"/>
  <c r="O2595" i="210"/>
  <c r="O2330" i="210"/>
  <c r="O2944" i="210"/>
  <c r="O2872" i="210"/>
  <c r="O2800" i="210"/>
  <c r="O2736" i="210"/>
  <c r="O2672" i="210"/>
  <c r="O2600" i="210"/>
  <c r="O2538" i="210"/>
  <c r="O2290" i="210"/>
  <c r="O2925" i="210"/>
  <c r="O2861" i="210"/>
  <c r="O2797" i="210"/>
  <c r="O2733" i="210"/>
  <c r="O2645" i="210"/>
  <c r="O2581" i="210"/>
  <c r="O2521" i="210"/>
  <c r="O2509" i="210"/>
  <c r="O2445" i="210"/>
  <c r="O2373" i="210"/>
  <c r="O2309" i="210"/>
  <c r="O2439" i="210"/>
  <c r="O2359" i="210"/>
  <c r="O2225" i="210"/>
  <c r="O2508" i="210"/>
  <c r="O2444" i="210"/>
  <c r="O2380" i="210"/>
  <c r="O2308" i="210"/>
  <c r="O2513" i="210"/>
  <c r="O2441" i="210"/>
  <c r="O2361" i="210"/>
  <c r="O2289" i="210"/>
  <c r="O2518" i="210"/>
  <c r="O2446" i="210"/>
  <c r="O2366" i="210"/>
  <c r="O2302" i="210"/>
  <c r="O2475" i="210"/>
  <c r="O2331" i="210"/>
  <c r="O2256" i="210"/>
  <c r="O2488" i="210"/>
  <c r="O2416" i="210"/>
  <c r="O2336" i="210"/>
  <c r="O2269" i="210"/>
  <c r="O2275" i="210"/>
  <c r="O2195" i="210"/>
  <c r="O2115" i="210"/>
  <c r="O1976" i="210"/>
  <c r="O2189" i="210"/>
  <c r="O2117" i="210"/>
  <c r="O2226" i="210"/>
  <c r="O2146" i="210"/>
  <c r="O2079" i="210"/>
  <c r="S2243" i="210"/>
  <c r="O2247" i="210"/>
  <c r="O2175" i="210"/>
  <c r="O2103" i="210"/>
  <c r="O2276" i="210"/>
  <c r="O2196" i="210"/>
  <c r="O2132" i="210"/>
  <c r="O1968" i="210"/>
  <c r="O2169" i="210"/>
  <c r="S2085" i="210"/>
  <c r="O2089" i="210"/>
  <c r="O2262" i="210"/>
  <c r="O2190" i="210"/>
  <c r="O2118" i="210"/>
  <c r="O2016" i="210"/>
  <c r="O2035" i="210"/>
  <c r="O1971" i="210"/>
  <c r="O1907" i="210"/>
  <c r="O1965" i="210"/>
  <c r="O1885" i="210"/>
  <c r="O2058" i="210"/>
  <c r="O1994" i="210"/>
  <c r="O1930" i="210"/>
  <c r="O1852" i="210"/>
  <c r="O2015" i="210"/>
  <c r="O1951" i="210"/>
  <c r="O1879" i="210"/>
  <c r="O2044" i="210"/>
  <c r="O1980" i="210"/>
  <c r="O1916" i="210"/>
  <c r="O1783" i="210"/>
  <c r="O1969" i="210"/>
  <c r="O1889" i="210"/>
  <c r="O1571" i="210"/>
  <c r="O2014" i="210"/>
  <c r="O1850" i="210"/>
  <c r="O1778" i="210"/>
  <c r="O1698" i="210"/>
  <c r="O1611" i="210"/>
  <c r="O1740" i="210"/>
  <c r="O1676" i="210"/>
  <c r="O1841" i="210"/>
  <c r="O1689" i="210"/>
  <c r="O1846" i="210"/>
  <c r="O1758" i="210"/>
  <c r="O1686" i="210"/>
  <c r="O1851" i="210"/>
  <c r="O1779" i="210"/>
  <c r="O1699" i="210"/>
  <c r="O1784" i="210"/>
  <c r="O1712" i="210"/>
  <c r="S1647" i="210"/>
  <c r="O1651" i="210"/>
  <c r="O1845" i="210"/>
  <c r="O1757" i="210"/>
  <c r="O1693" i="210"/>
  <c r="O1411" i="210"/>
  <c r="O1600" i="210"/>
  <c r="O1528" i="210"/>
  <c r="O1464" i="210"/>
  <c r="O1573" i="210"/>
  <c r="O1509" i="210"/>
  <c r="O1429" i="210"/>
  <c r="O1618" i="210"/>
  <c r="O1538" i="210"/>
  <c r="O1466" i="210"/>
  <c r="O1394" i="210"/>
  <c r="O1591" i="210"/>
  <c r="O1519" i="210"/>
  <c r="O1455" i="210"/>
  <c r="O1644" i="210"/>
  <c r="O1564" i="210"/>
  <c r="O1492" i="210"/>
  <c r="O1404" i="210"/>
  <c r="O1577" i="210"/>
  <c r="O1505" i="210"/>
  <c r="S1421" i="210"/>
  <c r="O1425" i="210"/>
  <c r="O1590" i="210"/>
  <c r="O1526" i="210"/>
  <c r="S1450" i="210"/>
  <c r="O1454" i="210"/>
  <c r="O1365" i="210"/>
  <c r="S1332" i="210"/>
  <c r="O1336" i="210"/>
  <c r="O1264" i="210"/>
  <c r="O1184" i="210"/>
  <c r="O1357" i="210"/>
  <c r="O1285" i="210"/>
  <c r="O1213" i="210"/>
  <c r="O1314" i="210"/>
  <c r="O1242" i="210"/>
  <c r="O985" i="210"/>
  <c r="O1327" i="210"/>
  <c r="O1247" i="210"/>
  <c r="O1340" i="210"/>
  <c r="O1268" i="210"/>
  <c r="O1188" i="210"/>
  <c r="O1385" i="210"/>
  <c r="O1233" i="210"/>
  <c r="O1366" i="210"/>
  <c r="O1294" i="210"/>
  <c r="O1214" i="210"/>
  <c r="O1387" i="210"/>
  <c r="O1307" i="210"/>
  <c r="O1235" i="210"/>
  <c r="O1065" i="210"/>
  <c r="O1132" i="210"/>
  <c r="O1060" i="210"/>
  <c r="O980" i="210"/>
  <c r="O1158" i="210"/>
  <c r="O1086" i="210"/>
  <c r="O1014" i="210"/>
  <c r="O950" i="210"/>
  <c r="O1139" i="210"/>
  <c r="O1067" i="210"/>
  <c r="O987" i="210"/>
  <c r="S920" i="210"/>
  <c r="O1072" i="210"/>
  <c r="O1000" i="210"/>
  <c r="O1141" i="210"/>
  <c r="O1069" i="210"/>
  <c r="O989" i="210"/>
  <c r="O911" i="210"/>
  <c r="O1130" i="210"/>
  <c r="O1066" i="210"/>
  <c r="O986" i="210"/>
  <c r="O933" i="210"/>
  <c r="O1015" i="210"/>
  <c r="O874" i="210"/>
  <c r="O802" i="210"/>
  <c r="O871" i="210"/>
  <c r="O799" i="210"/>
  <c r="O868" i="210"/>
  <c r="O796" i="210"/>
  <c r="O873" i="210"/>
  <c r="O801" i="210"/>
  <c r="O854" i="210"/>
  <c r="O790" i="210"/>
  <c r="O883" i="210"/>
  <c r="O811" i="210"/>
  <c r="O888" i="210"/>
  <c r="O816" i="210"/>
  <c r="O885" i="210"/>
  <c r="O762" i="210"/>
  <c r="O687" i="210"/>
  <c r="O751" i="210"/>
  <c r="O665" i="210"/>
  <c r="O764" i="210"/>
  <c r="O700" i="210"/>
  <c r="O721" i="210"/>
  <c r="O556" i="210"/>
  <c r="O675" i="210"/>
  <c r="O739" i="210"/>
  <c r="O671" i="210"/>
  <c r="O712" i="210"/>
  <c r="O717" i="210"/>
  <c r="O633" i="210"/>
  <c r="O553" i="210"/>
  <c r="O635" i="210"/>
  <c r="O571" i="210"/>
  <c r="O648" i="210"/>
  <c r="O576" i="210"/>
  <c r="O669" i="210"/>
  <c r="O597" i="210"/>
  <c r="O439" i="210"/>
  <c r="O642" i="210"/>
  <c r="O570" i="210"/>
  <c r="O647" i="210"/>
  <c r="O575" i="210"/>
  <c r="O529" i="210"/>
  <c r="O494" i="210"/>
  <c r="O523" i="210"/>
  <c r="O451" i="210"/>
  <c r="O504" i="210"/>
  <c r="O431" i="210"/>
  <c r="O501" i="210"/>
  <c r="O414" i="210"/>
  <c r="O498" i="210"/>
  <c r="O426" i="210"/>
  <c r="O479" i="210"/>
  <c r="O412" i="210"/>
  <c r="O348" i="210"/>
  <c r="O369" i="210"/>
  <c r="O350" i="210"/>
  <c r="O411" i="210"/>
  <c r="O416" i="210"/>
  <c r="O322" i="210"/>
  <c r="O397" i="210"/>
  <c r="O240" i="210"/>
  <c r="O229" i="210"/>
  <c r="O258" i="210"/>
  <c r="O287" i="210"/>
  <c r="O332" i="210"/>
  <c r="O260" i="210"/>
  <c r="O321" i="210"/>
  <c r="O241" i="210"/>
  <c r="O286" i="210"/>
  <c r="O307" i="210"/>
  <c r="O243" i="210"/>
  <c r="O128" i="210"/>
  <c r="O157" i="210"/>
  <c r="O154" i="210"/>
  <c r="O207" i="210"/>
  <c r="O143" i="210"/>
  <c r="O220" i="210"/>
  <c r="S136" i="210"/>
  <c r="O140" i="210"/>
  <c r="O209" i="210"/>
  <c r="O121" i="210"/>
  <c r="O198" i="210"/>
  <c r="O116" i="210"/>
  <c r="O69" i="210"/>
  <c r="O50" i="210"/>
  <c r="O71" i="210"/>
  <c r="O60" i="210"/>
  <c r="O73" i="210"/>
  <c r="O62" i="210"/>
  <c r="O43" i="210"/>
  <c r="O5932" i="210"/>
  <c r="O5860" i="210"/>
  <c r="O5340" i="210"/>
  <c r="O6357" i="210"/>
  <c r="O5836" i="210"/>
  <c r="O6545" i="210"/>
  <c r="O6473" i="210"/>
  <c r="O6393" i="210"/>
  <c r="O6313" i="210"/>
  <c r="O6241" i="210"/>
  <c r="O6161" i="210"/>
  <c r="O6081" i="210"/>
  <c r="O5993" i="210"/>
  <c r="O5921" i="210"/>
  <c r="O6093" i="210"/>
  <c r="O6310" i="210"/>
  <c r="S6226" i="210"/>
  <c r="S6066" i="210"/>
  <c r="O6070" i="210"/>
  <c r="O5842" i="210"/>
  <c r="O6421" i="210"/>
  <c r="O5997" i="210"/>
  <c r="O6163" i="210"/>
  <c r="O5995" i="210"/>
  <c r="O5820" i="210"/>
  <c r="O5660" i="210"/>
  <c r="O6317" i="210"/>
  <c r="O5981" i="210"/>
  <c r="O6560" i="210"/>
  <c r="O6488" i="210"/>
  <c r="O6408" i="210"/>
  <c r="O6336" i="210"/>
  <c r="O6272" i="210"/>
  <c r="O6192" i="210"/>
  <c r="O6128" i="210"/>
  <c r="O6048" i="210"/>
  <c r="O5960" i="210"/>
  <c r="O5872" i="210"/>
  <c r="O5740" i="210"/>
  <c r="O5817" i="210"/>
  <c r="O5657" i="210"/>
  <c r="O5577" i="210"/>
  <c r="O5441" i="210"/>
  <c r="O5830" i="210"/>
  <c r="O5758" i="210"/>
  <c r="O5686" i="210"/>
  <c r="O5614" i="210"/>
  <c r="O5542" i="210"/>
  <c r="O5470" i="210"/>
  <c r="O5406" i="210"/>
  <c r="O5691" i="210"/>
  <c r="O5611" i="210"/>
  <c r="O5539" i="210"/>
  <c r="O5467" i="210"/>
  <c r="O5403" i="210"/>
  <c r="O5020" i="210"/>
  <c r="O5792" i="210"/>
  <c r="O5704" i="210"/>
  <c r="O5632" i="210"/>
  <c r="O5568" i="210"/>
  <c r="O5504" i="210"/>
  <c r="O5440" i="210"/>
  <c r="O5379" i="210"/>
  <c r="O5837" i="210"/>
  <c r="O5757" i="210"/>
  <c r="O5685" i="210"/>
  <c r="O5613" i="210"/>
  <c r="O5541" i="210"/>
  <c r="O5469" i="210"/>
  <c r="O5405" i="210"/>
  <c r="O5140" i="210"/>
  <c r="O5770" i="210"/>
  <c r="O5690" i="210"/>
  <c r="O5610" i="210"/>
  <c r="O5538" i="210"/>
  <c r="O5466" i="210"/>
  <c r="O5402" i="210"/>
  <c r="O5100" i="210"/>
  <c r="O5783" i="210"/>
  <c r="O5703" i="210"/>
  <c r="O5623" i="210"/>
  <c r="O5559" i="210"/>
  <c r="O5495" i="210"/>
  <c r="O5431" i="210"/>
  <c r="O5268" i="210"/>
  <c r="O5369" i="210"/>
  <c r="O5297" i="210"/>
  <c r="O5097" i="210"/>
  <c r="O5017" i="210"/>
  <c r="S4938" i="210"/>
  <c r="O4942" i="210"/>
  <c r="O5374" i="210"/>
  <c r="O5230" i="210"/>
  <c r="O4934" i="210"/>
  <c r="O4590" i="210"/>
  <c r="O4830" i="210"/>
  <c r="O5344" i="210"/>
  <c r="O5272" i="210"/>
  <c r="O5200" i="210"/>
  <c r="O5136" i="210"/>
  <c r="O5064" i="210"/>
  <c r="O4992" i="210"/>
  <c r="O4894" i="210"/>
  <c r="O4574" i="210"/>
  <c r="O5325" i="210"/>
  <c r="O5253" i="210"/>
  <c r="O5189" i="210"/>
  <c r="O5125" i="210"/>
  <c r="O5053" i="210"/>
  <c r="O4981" i="210"/>
  <c r="O4542" i="210"/>
  <c r="O5322" i="210"/>
  <c r="O5258" i="210"/>
  <c r="O5186" i="210"/>
  <c r="O5122" i="210"/>
  <c r="O5050" i="210"/>
  <c r="O4986" i="210"/>
  <c r="O4838" i="210"/>
  <c r="O5375" i="210"/>
  <c r="O5239" i="210"/>
  <c r="O4964" i="210"/>
  <c r="O4511" i="210"/>
  <c r="O4899" i="210"/>
  <c r="O4755" i="210"/>
  <c r="O4611" i="210"/>
  <c r="O4531" i="210"/>
  <c r="O4087" i="210"/>
  <c r="O4837" i="210"/>
  <c r="O4693" i="210"/>
  <c r="O4629" i="210"/>
  <c r="O4279" i="210"/>
  <c r="O4930" i="210"/>
  <c r="O4858" i="210"/>
  <c r="O4786" i="210"/>
  <c r="S4710" i="210"/>
  <c r="O4714" i="210"/>
  <c r="O4642" i="210"/>
  <c r="O4570" i="210"/>
  <c r="O4494" i="210"/>
  <c r="S3805" i="210"/>
  <c r="O3809" i="210"/>
  <c r="O4911" i="210"/>
  <c r="O4775" i="210"/>
  <c r="O4695" i="210"/>
  <c r="O4551" i="210"/>
  <c r="O4876" i="210"/>
  <c r="O4804" i="210"/>
  <c r="O4732" i="210"/>
  <c r="O4652" i="210"/>
  <c r="O4580" i="210"/>
  <c r="O4487" i="210"/>
  <c r="O4079" i="210"/>
  <c r="O4841" i="210"/>
  <c r="O4769" i="210"/>
  <c r="O4617" i="210"/>
  <c r="O4537" i="210"/>
  <c r="O4103" i="210"/>
  <c r="O4460" i="210"/>
  <c r="O4380" i="210"/>
  <c r="O4300" i="210"/>
  <c r="O4228" i="210"/>
  <c r="O4156" i="210"/>
  <c r="O4076" i="210"/>
  <c r="S3996" i="210"/>
  <c r="O4000" i="210"/>
  <c r="O4449" i="210"/>
  <c r="O4377" i="210"/>
  <c r="O4305" i="210"/>
  <c r="O4233" i="210"/>
  <c r="O4161" i="210"/>
  <c r="O4089" i="210"/>
  <c r="O4390" i="210"/>
  <c r="O4310" i="210"/>
  <c r="O4246" i="210"/>
  <c r="O4174" i="210"/>
  <c r="O4094" i="210"/>
  <c r="O4020" i="210"/>
  <c r="O4483" i="210"/>
  <c r="O4395" i="210"/>
  <c r="O4307" i="210"/>
  <c r="O4235" i="210"/>
  <c r="O4155" i="210"/>
  <c r="O4075" i="210"/>
  <c r="O3977" i="210"/>
  <c r="O4392" i="210"/>
  <c r="O4240" i="210"/>
  <c r="O3489" i="210"/>
  <c r="O4461" i="210"/>
  <c r="O4381" i="210"/>
  <c r="O4309" i="210"/>
  <c r="O4237" i="210"/>
  <c r="O4165" i="210"/>
  <c r="O4093" i="210"/>
  <c r="O4029" i="210"/>
  <c r="O4498" i="210"/>
  <c r="O4418" i="210"/>
  <c r="O4322" i="210"/>
  <c r="O4250" i="210"/>
  <c r="O4178" i="210"/>
  <c r="O4090" i="210"/>
  <c r="O4003" i="210"/>
  <c r="O3990" i="210"/>
  <c r="S3922" i="210"/>
  <c r="O3926" i="210"/>
  <c r="O3854" i="210"/>
  <c r="O3931" i="210"/>
  <c r="O3793" i="210"/>
  <c r="O3936" i="210"/>
  <c r="O3745" i="210"/>
  <c r="O3973" i="210"/>
  <c r="O3893" i="210"/>
  <c r="O3043" i="210"/>
  <c r="O3962" i="210"/>
  <c r="O3890" i="210"/>
  <c r="O3911" i="210"/>
  <c r="O3441" i="210"/>
  <c r="O3940" i="210"/>
  <c r="O3852" i="210"/>
  <c r="O3772" i="210"/>
  <c r="O3692" i="210"/>
  <c r="O3620" i="210"/>
  <c r="O3548" i="210"/>
  <c r="O3476" i="210"/>
  <c r="O3368" i="210"/>
  <c r="O2551" i="210"/>
  <c r="O3750" i="210"/>
  <c r="O3678" i="210"/>
  <c r="O3606" i="210"/>
  <c r="O3526" i="210"/>
  <c r="O3446" i="210"/>
  <c r="O3259" i="210"/>
  <c r="O3851" i="210"/>
  <c r="O3771" i="210"/>
  <c r="O3699" i="210"/>
  <c r="O3627" i="210"/>
  <c r="O3555" i="210"/>
  <c r="O3475" i="210"/>
  <c r="O3099" i="210"/>
  <c r="O3824" i="210"/>
  <c r="O3744" i="210"/>
  <c r="O3672" i="210"/>
  <c r="O3608" i="210"/>
  <c r="O3544" i="210"/>
  <c r="O3472" i="210"/>
  <c r="O3395" i="210"/>
  <c r="O3051" i="210"/>
  <c r="O3813" i="210"/>
  <c r="O3741" i="210"/>
  <c r="O3669" i="210"/>
  <c r="O3589" i="210"/>
  <c r="O3517" i="210"/>
  <c r="O3445" i="210"/>
  <c r="O2711" i="210"/>
  <c r="O3818" i="210"/>
  <c r="O3746" i="210"/>
  <c r="O3682" i="210"/>
  <c r="O3610" i="210"/>
  <c r="O3530" i="210"/>
  <c r="O3458" i="210"/>
  <c r="O3871" i="210"/>
  <c r="O3791" i="210"/>
  <c r="O3719" i="210"/>
  <c r="S3643" i="210"/>
  <c r="O3647" i="210"/>
  <c r="O3583" i="210"/>
  <c r="O3519" i="210"/>
  <c r="O3439" i="210"/>
  <c r="O3422" i="210"/>
  <c r="O3358" i="210"/>
  <c r="O3294" i="210"/>
  <c r="O3222" i="210"/>
  <c r="O3150" i="210"/>
  <c r="O3078" i="210"/>
  <c r="O2911" i="210"/>
  <c r="O3304" i="210"/>
  <c r="O3232" i="210"/>
  <c r="O3168" i="210"/>
  <c r="O3096" i="210"/>
  <c r="O3024" i="210"/>
  <c r="O2575" i="210"/>
  <c r="O3373" i="210"/>
  <c r="O3309" i="210"/>
  <c r="O3237" i="210"/>
  <c r="O3165" i="210"/>
  <c r="O3093" i="210"/>
  <c r="O3029" i="210"/>
  <c r="O3426" i="210"/>
  <c r="O3362" i="210"/>
  <c r="O3298" i="210"/>
  <c r="O3234" i="210"/>
  <c r="O3162" i="210"/>
  <c r="O3098" i="210"/>
  <c r="O3026" i="210"/>
  <c r="O2623" i="210"/>
  <c r="O3375" i="210"/>
  <c r="O3311" i="210"/>
  <c r="O3239" i="210"/>
  <c r="O3167" i="210"/>
  <c r="O3095" i="210"/>
  <c r="S3019" i="210"/>
  <c r="O3023" i="210"/>
  <c r="O2695" i="210"/>
  <c r="O3388" i="210"/>
  <c r="O3324" i="210"/>
  <c r="O3260" i="210"/>
  <c r="O3180" i="210"/>
  <c r="O3108" i="210"/>
  <c r="O3036" i="210"/>
  <c r="O3377" i="210"/>
  <c r="O3313" i="210"/>
  <c r="O3241" i="210"/>
  <c r="O3177" i="210"/>
  <c r="O3105" i="210"/>
  <c r="O3033" i="210"/>
  <c r="O2799" i="210"/>
  <c r="O2834" i="210"/>
  <c r="O2690" i="210"/>
  <c r="O2618" i="210"/>
  <c r="O2418" i="210"/>
  <c r="O2884" i="210"/>
  <c r="O2820" i="210"/>
  <c r="O2756" i="210"/>
  <c r="O2676" i="210"/>
  <c r="O2604" i="210"/>
  <c r="O2540" i="210"/>
  <c r="O2176" i="210"/>
  <c r="O2937" i="210"/>
  <c r="O2865" i="210"/>
  <c r="O2793" i="210"/>
  <c r="O2729" i="210"/>
  <c r="O2657" i="210"/>
  <c r="O2585" i="210"/>
  <c r="O2426" i="210"/>
  <c r="O2958" i="210"/>
  <c r="O2894" i="210"/>
  <c r="O2822" i="210"/>
  <c r="O2758" i="210"/>
  <c r="O2678" i="210"/>
  <c r="O2614" i="210"/>
  <c r="O2550" i="210"/>
  <c r="O2378" i="210"/>
  <c r="O2875" i="210"/>
  <c r="O2659" i="210"/>
  <c r="O3008" i="210"/>
  <c r="O2936" i="210"/>
  <c r="O2864" i="210"/>
  <c r="O2792" i="210"/>
  <c r="O2728" i="210"/>
  <c r="O2664" i="210"/>
  <c r="O2592" i="210"/>
  <c r="O2522" i="210"/>
  <c r="O2997" i="210"/>
  <c r="O2917" i="210"/>
  <c r="O2853" i="210"/>
  <c r="O2789" i="210"/>
  <c r="O2717" i="210"/>
  <c r="O2637" i="210"/>
  <c r="O2573" i="210"/>
  <c r="O2520" i="210"/>
  <c r="O2501" i="210"/>
  <c r="O2437" i="210"/>
  <c r="O2365" i="210"/>
  <c r="O2301" i="210"/>
  <c r="O2423" i="210"/>
  <c r="O2351" i="210"/>
  <c r="O2224" i="210"/>
  <c r="S2496" i="210"/>
  <c r="O2500" i="210"/>
  <c r="O2436" i="210"/>
  <c r="O2372" i="210"/>
  <c r="O2300" i="210"/>
  <c r="O2425" i="210"/>
  <c r="O2353" i="210"/>
  <c r="O2280" i="210"/>
  <c r="O2510" i="210"/>
  <c r="O2438" i="210"/>
  <c r="O2358" i="210"/>
  <c r="O2294" i="210"/>
  <c r="O2055" i="210"/>
  <c r="O2467" i="210"/>
  <c r="O2395" i="210"/>
  <c r="O2323" i="210"/>
  <c r="O2233" i="210"/>
  <c r="O2480" i="210"/>
  <c r="O2400" i="210"/>
  <c r="O2328" i="210"/>
  <c r="O2264" i="210"/>
  <c r="O2267" i="210"/>
  <c r="O2187" i="210"/>
  <c r="O2107" i="210"/>
  <c r="O1904" i="210"/>
  <c r="O2181" i="210"/>
  <c r="O2109" i="210"/>
  <c r="O1864" i="210"/>
  <c r="O2210" i="210"/>
  <c r="O2138" i="210"/>
  <c r="O2065" i="210"/>
  <c r="O2239" i="210"/>
  <c r="O2167" i="210"/>
  <c r="O2095" i="210"/>
  <c r="O2268" i="210"/>
  <c r="O2188" i="210"/>
  <c r="O2116" i="210"/>
  <c r="O1872" i="210"/>
  <c r="O2153" i="210"/>
  <c r="O2081" i="210"/>
  <c r="O2254" i="210"/>
  <c r="O2182" i="210"/>
  <c r="O2110" i="210"/>
  <c r="O2005" i="210"/>
  <c r="O2027" i="210"/>
  <c r="O1963" i="210"/>
  <c r="O1891" i="210"/>
  <c r="O1743" i="210"/>
  <c r="O1957" i="210"/>
  <c r="O1877" i="210"/>
  <c r="O2050" i="210"/>
  <c r="O1986" i="210"/>
  <c r="O1914" i="210"/>
  <c r="O1831" i="210"/>
  <c r="O2007" i="210"/>
  <c r="O1943" i="210"/>
  <c r="O1871" i="210"/>
  <c r="O2036" i="210"/>
  <c r="O1972" i="210"/>
  <c r="O1908" i="210"/>
  <c r="O1735" i="210"/>
  <c r="O1961" i="210"/>
  <c r="O1881" i="210"/>
  <c r="O1523" i="210"/>
  <c r="O2006" i="210"/>
  <c r="O1942" i="210"/>
  <c r="O1870" i="210"/>
  <c r="O1842" i="210"/>
  <c r="O1762" i="210"/>
  <c r="O1690" i="210"/>
  <c r="O1499" i="210"/>
  <c r="S1728" i="210"/>
  <c r="O1732" i="210"/>
  <c r="O1668" i="210"/>
  <c r="O1833" i="210"/>
  <c r="O1753" i="210"/>
  <c r="O1681" i="210"/>
  <c r="O1838" i="210"/>
  <c r="O1750" i="210"/>
  <c r="O1678" i="210"/>
  <c r="O1843" i="210"/>
  <c r="O1763" i="210"/>
  <c r="O1691" i="210"/>
  <c r="O1848" i="210"/>
  <c r="S1772" i="210"/>
  <c r="O1776" i="210"/>
  <c r="O1704" i="210"/>
  <c r="O1643" i="210"/>
  <c r="O1837" i="210"/>
  <c r="O1749" i="210"/>
  <c r="O1685" i="210"/>
  <c r="O1389" i="210"/>
  <c r="O1592" i="210"/>
  <c r="O1520" i="210"/>
  <c r="O1456" i="210"/>
  <c r="O1565" i="210"/>
  <c r="O1501" i="210"/>
  <c r="O1413" i="210"/>
  <c r="O1610" i="210"/>
  <c r="O1530" i="210"/>
  <c r="O1655" i="210"/>
  <c r="O1583" i="210"/>
  <c r="O1511" i="210"/>
  <c r="O1447" i="210"/>
  <c r="O1636" i="210"/>
  <c r="O1556" i="210"/>
  <c r="O1484" i="210"/>
  <c r="O1569" i="210"/>
  <c r="O1497" i="210"/>
  <c r="O1417" i="210"/>
  <c r="O1582" i="210"/>
  <c r="O1518" i="210"/>
  <c r="O1446" i="210"/>
  <c r="O1364" i="210"/>
  <c r="O1248" i="210"/>
  <c r="O1160" i="210"/>
  <c r="O1349" i="210"/>
  <c r="O1277" i="210"/>
  <c r="O1205" i="210"/>
  <c r="O1386" i="210"/>
  <c r="O1306" i="210"/>
  <c r="O1234" i="210"/>
  <c r="O927" i="210"/>
  <c r="O1319" i="210"/>
  <c r="O1239" i="210"/>
  <c r="O1153" i="210"/>
  <c r="O1324" i="210"/>
  <c r="O1260" i="210"/>
  <c r="S1177" i="210"/>
  <c r="O1181" i="210"/>
  <c r="O1377" i="210"/>
  <c r="O1305" i="210"/>
  <c r="O1225" i="210"/>
  <c r="O1149" i="210"/>
  <c r="O1358" i="210"/>
  <c r="O1278" i="210"/>
  <c r="O1206" i="210"/>
  <c r="O1379" i="210"/>
  <c r="O1299" i="210"/>
  <c r="O1227" i="210"/>
  <c r="O1041" i="210"/>
  <c r="O1124" i="210"/>
  <c r="O1044" i="210"/>
  <c r="O972" i="210"/>
  <c r="O1150" i="210"/>
  <c r="O1078" i="210"/>
  <c r="O1006" i="210"/>
  <c r="O942" i="210"/>
  <c r="O1131" i="210"/>
  <c r="O1059" i="210"/>
  <c r="O979" i="210"/>
  <c r="O1136" i="210"/>
  <c r="O1064" i="210"/>
  <c r="O992" i="210"/>
  <c r="O1133" i="210"/>
  <c r="O1061" i="210"/>
  <c r="O981" i="210"/>
  <c r="O910" i="210"/>
  <c r="O1122" i="210"/>
  <c r="O1058" i="210"/>
  <c r="O978" i="210"/>
  <c r="O917" i="210"/>
  <c r="O1071" i="210"/>
  <c r="O1007" i="210"/>
  <c r="O943" i="210"/>
  <c r="O866" i="210"/>
  <c r="O794" i="210"/>
  <c r="O863" i="210"/>
  <c r="O791" i="210"/>
  <c r="O860" i="210"/>
  <c r="O788" i="210"/>
  <c r="O865" i="210"/>
  <c r="O793" i="210"/>
  <c r="O846" i="210"/>
  <c r="O782" i="210"/>
  <c r="O875" i="210"/>
  <c r="O803" i="210"/>
  <c r="O880" i="210"/>
  <c r="O808" i="210"/>
  <c r="O877" i="210"/>
  <c r="O813" i="210"/>
  <c r="O754" i="210"/>
  <c r="O683" i="210"/>
  <c r="O735" i="210"/>
  <c r="O663" i="210"/>
  <c r="O756" i="210"/>
  <c r="O691" i="210"/>
  <c r="O713" i="210"/>
  <c r="O441" i="210"/>
  <c r="O542" i="210"/>
  <c r="O731" i="210"/>
  <c r="O588" i="210"/>
  <c r="O704" i="210"/>
  <c r="O709" i="210"/>
  <c r="O617" i="210"/>
  <c r="O539" i="210"/>
  <c r="O630" i="210"/>
  <c r="O551" i="210"/>
  <c r="S623" i="210"/>
  <c r="O627" i="210"/>
  <c r="O555" i="210"/>
  <c r="O640" i="210"/>
  <c r="O568" i="210"/>
  <c r="O661" i="210"/>
  <c r="O589" i="210"/>
  <c r="O425" i="210"/>
  <c r="O634" i="210"/>
  <c r="O554" i="210"/>
  <c r="O639" i="210"/>
  <c r="S563" i="210"/>
  <c r="O567" i="210"/>
  <c r="O521" i="210"/>
  <c r="S445" i="210"/>
  <c r="O449" i="210"/>
  <c r="O486" i="210"/>
  <c r="O507" i="210"/>
  <c r="O383" i="210"/>
  <c r="O496" i="210"/>
  <c r="O417" i="210"/>
  <c r="O493" i="210"/>
  <c r="O399" i="210"/>
  <c r="O490" i="210"/>
  <c r="O410" i="210"/>
  <c r="O471" i="210"/>
  <c r="O404" i="210"/>
  <c r="O340" i="210"/>
  <c r="O353" i="210"/>
  <c r="O342" i="210"/>
  <c r="O403" i="210"/>
  <c r="O339" i="210"/>
  <c r="O408" i="210"/>
  <c r="O320" i="210"/>
  <c r="O389" i="210"/>
  <c r="O386" i="210"/>
  <c r="O301" i="210"/>
  <c r="O171" i="210"/>
  <c r="O250" i="210"/>
  <c r="O279" i="210"/>
  <c r="S312" i="210"/>
  <c r="O316" i="210"/>
  <c r="O252" i="210"/>
  <c r="O305" i="210"/>
  <c r="O213" i="210"/>
  <c r="O278" i="210"/>
  <c r="O299" i="210"/>
  <c r="O227" i="210"/>
  <c r="O200" i="210"/>
  <c r="O120" i="210"/>
  <c r="O149" i="210"/>
  <c r="O98" i="210"/>
  <c r="O146" i="210"/>
  <c r="O199" i="210"/>
  <c r="O127" i="210"/>
  <c r="O212" i="210"/>
  <c r="O132" i="210"/>
  <c r="O201" i="210"/>
  <c r="O112" i="210"/>
  <c r="O182" i="210"/>
  <c r="O100" i="210"/>
  <c r="O61" i="210"/>
  <c r="O42" i="210"/>
  <c r="O63" i="210"/>
  <c r="O52" i="210"/>
  <c r="O54" i="210"/>
  <c r="O35" i="210"/>
  <c r="O5924" i="210"/>
  <c r="O6341" i="210"/>
  <c r="O5796" i="210"/>
  <c r="O6537" i="210"/>
  <c r="O6465" i="210"/>
  <c r="O6385" i="210"/>
  <c r="O6305" i="210"/>
  <c r="O6233" i="210"/>
  <c r="O6153" i="210"/>
  <c r="O6073" i="210"/>
  <c r="O5985" i="210"/>
  <c r="O5905" i="210"/>
  <c r="O5580" i="210"/>
  <c r="O5989" i="210"/>
  <c r="O6542" i="210"/>
  <c r="O6462" i="210"/>
  <c r="O6382" i="210"/>
  <c r="O6294" i="210"/>
  <c r="O6222" i="210"/>
  <c r="O6142" i="210"/>
  <c r="O6062" i="210"/>
  <c r="O5982" i="210"/>
  <c r="O5902" i="210"/>
  <c r="O6397" i="210"/>
  <c r="O5965" i="210"/>
  <c r="O6539" i="210"/>
  <c r="O6459" i="210"/>
  <c r="O6387" i="210"/>
  <c r="O6315" i="210"/>
  <c r="O6235" i="210"/>
  <c r="O6147" i="210"/>
  <c r="O6059" i="210"/>
  <c r="O5987" i="210"/>
  <c r="O5907" i="210"/>
  <c r="O5819" i="210"/>
  <c r="O5596" i="210"/>
  <c r="O6309" i="210"/>
  <c r="O5933" i="210"/>
  <c r="O6328" i="210"/>
  <c r="O6120" i="210"/>
  <c r="O6032" i="210"/>
  <c r="O5620" i="210"/>
  <c r="O5801" i="210"/>
  <c r="O5713" i="210"/>
  <c r="O5649" i="210"/>
  <c r="O5569" i="210"/>
  <c r="O5505" i="210"/>
  <c r="O5433" i="210"/>
  <c r="O5260" i="210"/>
  <c r="O5822" i="210"/>
  <c r="O5742" i="210"/>
  <c r="O5670" i="210"/>
  <c r="O5606" i="210"/>
  <c r="O5534" i="210"/>
  <c r="O5462" i="210"/>
  <c r="O5398" i="210"/>
  <c r="O4996" i="210"/>
  <c r="O5683" i="210"/>
  <c r="O5603" i="210"/>
  <c r="O5531" i="210"/>
  <c r="O5459" i="210"/>
  <c r="O5395" i="210"/>
  <c r="O4869" i="210"/>
  <c r="O5784" i="210"/>
  <c r="O5696" i="210"/>
  <c r="O5624" i="210"/>
  <c r="O5560" i="210"/>
  <c r="O5496" i="210"/>
  <c r="O5432" i="210"/>
  <c r="O5324" i="210"/>
  <c r="O5829" i="210"/>
  <c r="O5741" i="210"/>
  <c r="O5669" i="210"/>
  <c r="O5605" i="210"/>
  <c r="O5533" i="210"/>
  <c r="O5461" i="210"/>
  <c r="O5397" i="210"/>
  <c r="O5076" i="210"/>
  <c r="O5762" i="210"/>
  <c r="O5682" i="210"/>
  <c r="O5602" i="210"/>
  <c r="O5530" i="210"/>
  <c r="O5458" i="210"/>
  <c r="O5394" i="210"/>
  <c r="O5839" i="210"/>
  <c r="O5775" i="210"/>
  <c r="O5695" i="210"/>
  <c r="O5615" i="210"/>
  <c r="O5551" i="210"/>
  <c r="S5483" i="210"/>
  <c r="O5487" i="210"/>
  <c r="O5423" i="210"/>
  <c r="O5361" i="210"/>
  <c r="O5289" i="210"/>
  <c r="O5225" i="210"/>
  <c r="O5089" i="210"/>
  <c r="O5009" i="210"/>
  <c r="O4846" i="210"/>
  <c r="O5366" i="210"/>
  <c r="O5286" i="210"/>
  <c r="O5222" i="210"/>
  <c r="O5158" i="210"/>
  <c r="O5094" i="210"/>
  <c r="O5014" i="210"/>
  <c r="O4933" i="210"/>
  <c r="O5187" i="210"/>
  <c r="O5123" i="210"/>
  <c r="O5059" i="210"/>
  <c r="O4995" i="210"/>
  <c r="O4758" i="210"/>
  <c r="O5264" i="210"/>
  <c r="O5192" i="210"/>
  <c r="O5128" i="210"/>
  <c r="O5056" i="210"/>
  <c r="O4984" i="210"/>
  <c r="S4889" i="210"/>
  <c r="O4893" i="210"/>
  <c r="O4063" i="210"/>
  <c r="O5309" i="210"/>
  <c r="O5245" i="210"/>
  <c r="O5181" i="210"/>
  <c r="O5117" i="210"/>
  <c r="O5045" i="210"/>
  <c r="O4973" i="210"/>
  <c r="O4247" i="210"/>
  <c r="O5250" i="210"/>
  <c r="O4978" i="210"/>
  <c r="O4766" i="210"/>
  <c r="O5367" i="210"/>
  <c r="O5295" i="210"/>
  <c r="O5231" i="210"/>
  <c r="O5159" i="210"/>
  <c r="O5095" i="210"/>
  <c r="O5015" i="210"/>
  <c r="O4862" i="210"/>
  <c r="O4963" i="210"/>
  <c r="O4747" i="210"/>
  <c r="O4675" i="210"/>
  <c r="O4463" i="210"/>
  <c r="O4039" i="210"/>
  <c r="O4896" i="210"/>
  <c r="O4824" i="210"/>
  <c r="O4752" i="210"/>
  <c r="O4672" i="210"/>
  <c r="O4600" i="210"/>
  <c r="O4503" i="210"/>
  <c r="O4829" i="210"/>
  <c r="O4757" i="210"/>
  <c r="O4685" i="210"/>
  <c r="O4621" i="210"/>
  <c r="O4557" i="210"/>
  <c r="O4255" i="210"/>
  <c r="O4922" i="210"/>
  <c r="O4850" i="210"/>
  <c r="O4778" i="210"/>
  <c r="O4706" i="210"/>
  <c r="O4634" i="210"/>
  <c r="O4562" i="210"/>
  <c r="O4423" i="210"/>
  <c r="O4967" i="210"/>
  <c r="O4903" i="210"/>
  <c r="O4831" i="210"/>
  <c r="O4767" i="210"/>
  <c r="O4687" i="210"/>
  <c r="O4615" i="210"/>
  <c r="O4543" i="210"/>
  <c r="O4017" i="210"/>
  <c r="O4868" i="210"/>
  <c r="O4644" i="210"/>
  <c r="O4572" i="210"/>
  <c r="O4486" i="210"/>
  <c r="O4008" i="210"/>
  <c r="O4905" i="210"/>
  <c r="O4833" i="210"/>
  <c r="O4761" i="210"/>
  <c r="O4681" i="210"/>
  <c r="O4609" i="210"/>
  <c r="O4529" i="210"/>
  <c r="O3881" i="210"/>
  <c r="O4452" i="210"/>
  <c r="O4372" i="210"/>
  <c r="O4292" i="210"/>
  <c r="O4220" i="210"/>
  <c r="O4068" i="210"/>
  <c r="O3984" i="210"/>
  <c r="O4297" i="210"/>
  <c r="O4081" i="210"/>
  <c r="O3963" i="210"/>
  <c r="O4374" i="210"/>
  <c r="O4302" i="210"/>
  <c r="O4238" i="210"/>
  <c r="O4158" i="210"/>
  <c r="O4086" i="210"/>
  <c r="O4011" i="210"/>
  <c r="O4467" i="210"/>
  <c r="O4379" i="210"/>
  <c r="O4139" i="210"/>
  <c r="O4067" i="210"/>
  <c r="O3913" i="210"/>
  <c r="O4448" i="210"/>
  <c r="O4376" i="210"/>
  <c r="O4304" i="210"/>
  <c r="O4232" i="210"/>
  <c r="O4160" i="210"/>
  <c r="O4088" i="210"/>
  <c r="O3992" i="210"/>
  <c r="O4517" i="210"/>
  <c r="O4453" i="210"/>
  <c r="O4373" i="210"/>
  <c r="O4301" i="210"/>
  <c r="O4229" i="210"/>
  <c r="O4157" i="210"/>
  <c r="O4085" i="210"/>
  <c r="O4023" i="210"/>
  <c r="O4490" i="210"/>
  <c r="O4410" i="210"/>
  <c r="O4314" i="210"/>
  <c r="O4242" i="210"/>
  <c r="O4162" i="210"/>
  <c r="O4082" i="210"/>
  <c r="O3987" i="210"/>
  <c r="O3982" i="210"/>
  <c r="O3918" i="210"/>
  <c r="O3769" i="210"/>
  <c r="O3915" i="210"/>
  <c r="O3721" i="210"/>
  <c r="O3928" i="210"/>
  <c r="O3697" i="210"/>
  <c r="O3965" i="210"/>
  <c r="O3885" i="210"/>
  <c r="O2663" i="210"/>
  <c r="O3954" i="210"/>
  <c r="O3882" i="210"/>
  <c r="O3481" i="210"/>
  <c r="O3895" i="210"/>
  <c r="O4004" i="210"/>
  <c r="O3932" i="210"/>
  <c r="O3785" i="210"/>
  <c r="O3844" i="210"/>
  <c r="O3764" i="210"/>
  <c r="O3684" i="210"/>
  <c r="O3612" i="210"/>
  <c r="O3532" i="210"/>
  <c r="O3468" i="210"/>
  <c r="O3347" i="210"/>
  <c r="O3814" i="210"/>
  <c r="O3670" i="210"/>
  <c r="O3590" i="210"/>
  <c r="O3518" i="210"/>
  <c r="O3438" i="210"/>
  <c r="O3211" i="210"/>
  <c r="O3843" i="210"/>
  <c r="O3763" i="210"/>
  <c r="O3691" i="210"/>
  <c r="O3619" i="210"/>
  <c r="O3547" i="210"/>
  <c r="O3467" i="210"/>
  <c r="O3027" i="210"/>
  <c r="O3816" i="210"/>
  <c r="O3736" i="210"/>
  <c r="O3664" i="210"/>
  <c r="O3600" i="210"/>
  <c r="O3536" i="210"/>
  <c r="O3464" i="210"/>
  <c r="O3384" i="210"/>
  <c r="O2871" i="210"/>
  <c r="O3797" i="210"/>
  <c r="O3733" i="210"/>
  <c r="O3661" i="210"/>
  <c r="O3581" i="210"/>
  <c r="O3509" i="210"/>
  <c r="O3437" i="210"/>
  <c r="O3874" i="210"/>
  <c r="O3810" i="210"/>
  <c r="O3738" i="210"/>
  <c r="O3674" i="210"/>
  <c r="O3602" i="210"/>
  <c r="O3522" i="210"/>
  <c r="O3442" i="210"/>
  <c r="O3344" i="210"/>
  <c r="O3863" i="210"/>
  <c r="O3783" i="210"/>
  <c r="O3711" i="210"/>
  <c r="O3639" i="210"/>
  <c r="O3575" i="210"/>
  <c r="O3511" i="210"/>
  <c r="O3315" i="210"/>
  <c r="O3414" i="210"/>
  <c r="O3350" i="210"/>
  <c r="O3286" i="210"/>
  <c r="O3214" i="210"/>
  <c r="O3142" i="210"/>
  <c r="O3070" i="210"/>
  <c r="O2823" i="210"/>
  <c r="O3296" i="210"/>
  <c r="O3224" i="210"/>
  <c r="O3160" i="210"/>
  <c r="O3088" i="210"/>
  <c r="O2999" i="210"/>
  <c r="O3429" i="210"/>
  <c r="O3365" i="210"/>
  <c r="O3301" i="210"/>
  <c r="O3229" i="210"/>
  <c r="O3157" i="210"/>
  <c r="S3081" i="210"/>
  <c r="O3085" i="210"/>
  <c r="O3015" i="210"/>
  <c r="O3418" i="210"/>
  <c r="O3354" i="210"/>
  <c r="O3290" i="210"/>
  <c r="O3226" i="210"/>
  <c r="O3154" i="210"/>
  <c r="O3090" i="210"/>
  <c r="O3014" i="210"/>
  <c r="O2559" i="210"/>
  <c r="O3367" i="210"/>
  <c r="O3303" i="210"/>
  <c r="O3231" i="210"/>
  <c r="O3159" i="210"/>
  <c r="O3087" i="210"/>
  <c r="O3012" i="210"/>
  <c r="O2647" i="210"/>
  <c r="O3380" i="210"/>
  <c r="O3316" i="210"/>
  <c r="O3252" i="210"/>
  <c r="O3172" i="210"/>
  <c r="O3100" i="210"/>
  <c r="O3028" i="210"/>
  <c r="O2298" i="210"/>
  <c r="O3369" i="210"/>
  <c r="O3305" i="210"/>
  <c r="O3233" i="210"/>
  <c r="O3169" i="210"/>
  <c r="O3097" i="210"/>
  <c r="O3025" i="210"/>
  <c r="O2735" i="210"/>
  <c r="O2970" i="210"/>
  <c r="O2898" i="210"/>
  <c r="O2826" i="210"/>
  <c r="O2762" i="210"/>
  <c r="O2682" i="210"/>
  <c r="O2610" i="210"/>
  <c r="O2546" i="210"/>
  <c r="O2338" i="210"/>
  <c r="O2876" i="210"/>
  <c r="O2812" i="210"/>
  <c r="O2748" i="210"/>
  <c r="O2668" i="210"/>
  <c r="O2596" i="210"/>
  <c r="O2530" i="210"/>
  <c r="O3009" i="210"/>
  <c r="O2921" i="210"/>
  <c r="O2849" i="210"/>
  <c r="O2785" i="210"/>
  <c r="O2713" i="210"/>
  <c r="O2641" i="210"/>
  <c r="O2577" i="210"/>
  <c r="O2354" i="210"/>
  <c r="O2950" i="210"/>
  <c r="O2886" i="210"/>
  <c r="O2814" i="210"/>
  <c r="O2750" i="210"/>
  <c r="O2670" i="210"/>
  <c r="O2606" i="210"/>
  <c r="O2542" i="210"/>
  <c r="O2306" i="210"/>
  <c r="O2939" i="210"/>
  <c r="O2867" i="210"/>
  <c r="O2795" i="210"/>
  <c r="O2731" i="210"/>
  <c r="O2643" i="210"/>
  <c r="O2579" i="210"/>
  <c r="O2992" i="210"/>
  <c r="O2920" i="210"/>
  <c r="O2848" i="210"/>
  <c r="O2784" i="210"/>
  <c r="O2720" i="210"/>
  <c r="O2656" i="210"/>
  <c r="O2584" i="210"/>
  <c r="O2514" i="210"/>
  <c r="O2989" i="210"/>
  <c r="O2909" i="210"/>
  <c r="O2845" i="210"/>
  <c r="O2781" i="210"/>
  <c r="O2709" i="210"/>
  <c r="O2629" i="210"/>
  <c r="O2565" i="210"/>
  <c r="O2386" i="210"/>
  <c r="O2493" i="210"/>
  <c r="O2421" i="210"/>
  <c r="O2357" i="210"/>
  <c r="O2293" i="210"/>
  <c r="O2415" i="210"/>
  <c r="O2335" i="210"/>
  <c r="O2200" i="210"/>
  <c r="O2492" i="210"/>
  <c r="O2428" i="210"/>
  <c r="O2364" i="210"/>
  <c r="O2292" i="210"/>
  <c r="O2489" i="210"/>
  <c r="O2417" i="210"/>
  <c r="O2337" i="210"/>
  <c r="O2249" i="210"/>
  <c r="O2502" i="210"/>
  <c r="O2422" i="210"/>
  <c r="O2350" i="210"/>
  <c r="O2279" i="210"/>
  <c r="O2531" i="210"/>
  <c r="O2459" i="210"/>
  <c r="O2387" i="210"/>
  <c r="O2315" i="210"/>
  <c r="O2168" i="210"/>
  <c r="O2472" i="210"/>
  <c r="O2392" i="210"/>
  <c r="O2320" i="210"/>
  <c r="O2237" i="210"/>
  <c r="O2259" i="210"/>
  <c r="O2179" i="210"/>
  <c r="O2099" i="210"/>
  <c r="O1880" i="210"/>
  <c r="O2173" i="210"/>
  <c r="O2101" i="210"/>
  <c r="O2282" i="210"/>
  <c r="O2202" i="210"/>
  <c r="O2130" i="210"/>
  <c r="O2048" i="210"/>
  <c r="O2231" i="210"/>
  <c r="O2151" i="210"/>
  <c r="O2078" i="210"/>
  <c r="O2260" i="210"/>
  <c r="O2180" i="210"/>
  <c r="O2108" i="210"/>
  <c r="O1828" i="210"/>
  <c r="O2145" i="210"/>
  <c r="O2073" i="210"/>
  <c r="O2238" i="210"/>
  <c r="O2174" i="210"/>
  <c r="O2102" i="210"/>
  <c r="O1952" i="210"/>
  <c r="O2019" i="210"/>
  <c r="O1955" i="210"/>
  <c r="O1883" i="210"/>
  <c r="O1695" i="210"/>
  <c r="O1949" i="210"/>
  <c r="O1869" i="210"/>
  <c r="O2042" i="210"/>
  <c r="O1978" i="210"/>
  <c r="O1906" i="210"/>
  <c r="O1751" i="210"/>
  <c r="O1999" i="210"/>
  <c r="O1935" i="210"/>
  <c r="O1863" i="210"/>
  <c r="O2028" i="210"/>
  <c r="O1964" i="210"/>
  <c r="O1892" i="210"/>
  <c r="O1687" i="210"/>
  <c r="O1953" i="210"/>
  <c r="O1873" i="210"/>
  <c r="O2062" i="210"/>
  <c r="O1998" i="210"/>
  <c r="O1934" i="210"/>
  <c r="O1862" i="210"/>
  <c r="O1834" i="210"/>
  <c r="O1754" i="210"/>
  <c r="O1682" i="210"/>
  <c r="O1467" i="210"/>
  <c r="O1724" i="210"/>
  <c r="O1660" i="210"/>
  <c r="O1825" i="210"/>
  <c r="O1745" i="210"/>
  <c r="O1673" i="210"/>
  <c r="O1830" i="210"/>
  <c r="O1742" i="210"/>
  <c r="O1670" i="210"/>
  <c r="O1835" i="210"/>
  <c r="O1755" i="210"/>
  <c r="O1683" i="210"/>
  <c r="O1840" i="210"/>
  <c r="O1768" i="210"/>
  <c r="O1696" i="210"/>
  <c r="O1619" i="210"/>
  <c r="O1829" i="210"/>
  <c r="O1741" i="210"/>
  <c r="O1677" i="210"/>
  <c r="O1656" i="210"/>
  <c r="O1584" i="210"/>
  <c r="O1512" i="210"/>
  <c r="O1440" i="210"/>
  <c r="O1557" i="210"/>
  <c r="O1493" i="210"/>
  <c r="O1405" i="210"/>
  <c r="O1594" i="210"/>
  <c r="O1522" i="210"/>
  <c r="O1442" i="210"/>
  <c r="O1639" i="210"/>
  <c r="O1575" i="210"/>
  <c r="O1503" i="210"/>
  <c r="O1439" i="210"/>
  <c r="O1620" i="210"/>
  <c r="O1540" i="210"/>
  <c r="O1468" i="210"/>
  <c r="O1641" i="210"/>
  <c r="O1561" i="210"/>
  <c r="O1489" i="210"/>
  <c r="O1409" i="210"/>
  <c r="O1574" i="210"/>
  <c r="O1510" i="210"/>
  <c r="O1438" i="210"/>
  <c r="O1392" i="210"/>
  <c r="O1320" i="210"/>
  <c r="O1240" i="210"/>
  <c r="O1144" i="210"/>
  <c r="O1341" i="210"/>
  <c r="O1269" i="210"/>
  <c r="O1197" i="210"/>
  <c r="O1378" i="210"/>
  <c r="O1298" i="210"/>
  <c r="O1226" i="210"/>
  <c r="O1391" i="210"/>
  <c r="O1311" i="210"/>
  <c r="O1231" i="210"/>
  <c r="O1137" i="210"/>
  <c r="O1316" i="210"/>
  <c r="O1244" i="210"/>
  <c r="O1168" i="210"/>
  <c r="O1361" i="210"/>
  <c r="O1297" i="210"/>
  <c r="O1209" i="210"/>
  <c r="O1121" i="210"/>
  <c r="O1350" i="210"/>
  <c r="O1270" i="210"/>
  <c r="O1198" i="210"/>
  <c r="O1363" i="210"/>
  <c r="O1283" i="210"/>
  <c r="O1211" i="210"/>
  <c r="O977" i="210"/>
  <c r="O1116" i="210"/>
  <c r="O1036" i="210"/>
  <c r="O964" i="210"/>
  <c r="O1142" i="210"/>
  <c r="O1070" i="210"/>
  <c r="O998" i="210"/>
  <c r="O926" i="210"/>
  <c r="O1123" i="210"/>
  <c r="O1043" i="210"/>
  <c r="O971" i="210"/>
  <c r="O1128" i="210"/>
  <c r="O1056" i="210"/>
  <c r="O984" i="210"/>
  <c r="O1125" i="210"/>
  <c r="O1045" i="210"/>
  <c r="O973" i="210"/>
  <c r="O909" i="210"/>
  <c r="O1114" i="210"/>
  <c r="O1042" i="210"/>
  <c r="O970" i="210"/>
  <c r="O1135" i="210"/>
  <c r="O1063" i="210"/>
  <c r="O999" i="210"/>
  <c r="O932" i="210"/>
  <c r="O858" i="210"/>
  <c r="O786" i="210"/>
  <c r="O855" i="210"/>
  <c r="O783" i="210"/>
  <c r="O852" i="210"/>
  <c r="O929" i="210"/>
  <c r="O857" i="210"/>
  <c r="O785" i="210"/>
  <c r="O838" i="210"/>
  <c r="O766" i="210"/>
  <c r="O867" i="210"/>
  <c r="O795" i="210"/>
  <c r="O872" i="210"/>
  <c r="O800" i="210"/>
  <c r="O869" i="210"/>
  <c r="O805" i="210"/>
  <c r="O738" i="210"/>
  <c r="O667" i="210"/>
  <c r="O727" i="210"/>
  <c r="O660" i="210"/>
  <c r="O748" i="210"/>
  <c r="O580" i="210"/>
  <c r="O705" i="210"/>
  <c r="O734" i="210"/>
  <c r="O526" i="210"/>
  <c r="O723" i="210"/>
  <c r="O768" i="210"/>
  <c r="O684" i="210"/>
  <c r="O701" i="210"/>
  <c r="O609" i="210"/>
  <c r="O508" i="210"/>
  <c r="O614" i="210"/>
  <c r="O535" i="210"/>
  <c r="O619" i="210"/>
  <c r="O492" i="210"/>
  <c r="O632" i="210"/>
  <c r="O560" i="210"/>
  <c r="O653" i="210"/>
  <c r="O581" i="210"/>
  <c r="O690" i="210"/>
  <c r="O618" i="210"/>
  <c r="O543" i="210"/>
  <c r="O631" i="210"/>
  <c r="O559" i="210"/>
  <c r="O505" i="210"/>
  <c r="O438" i="210"/>
  <c r="O478" i="210"/>
  <c r="O499" i="210"/>
  <c r="O367" i="210"/>
  <c r="O488" i="210"/>
  <c r="O415" i="210"/>
  <c r="O485" i="210"/>
  <c r="O343" i="210"/>
  <c r="O482" i="210"/>
  <c r="O391" i="210"/>
  <c r="O463" i="210"/>
  <c r="O396" i="210"/>
  <c r="O337" i="210"/>
  <c r="O345" i="210"/>
  <c r="O335" i="210"/>
  <c r="O395" i="210"/>
  <c r="O331" i="210"/>
  <c r="O400" i="210"/>
  <c r="O319" i="210"/>
  <c r="O381" i="210"/>
  <c r="O370" i="210"/>
  <c r="O293" i="210"/>
  <c r="O147" i="210"/>
  <c r="O242" i="210"/>
  <c r="O271" i="210"/>
  <c r="O308" i="210"/>
  <c r="O244" i="210"/>
  <c r="O297" i="210"/>
  <c r="O203" i="210"/>
  <c r="O270" i="210"/>
  <c r="O291" i="210"/>
  <c r="O224" i="210"/>
  <c r="O192" i="210"/>
  <c r="O110" i="210"/>
  <c r="O141" i="210"/>
  <c r="O88" i="210"/>
  <c r="O130" i="210"/>
  <c r="S187" i="210"/>
  <c r="O191" i="210"/>
  <c r="O113" i="210"/>
  <c r="O204" i="210"/>
  <c r="O124" i="210"/>
  <c r="O193" i="210"/>
  <c r="O174" i="210"/>
  <c r="O72" i="210"/>
  <c r="O53" i="210"/>
  <c r="O34" i="210"/>
  <c r="O55" i="210"/>
  <c r="O44" i="210"/>
  <c r="O46" i="210"/>
  <c r="O40" i="210"/>
  <c r="O5908" i="210"/>
  <c r="O5708" i="210"/>
  <c r="O6525" i="210"/>
  <c r="O6325" i="210"/>
  <c r="O5548" i="210"/>
  <c r="O6529" i="210"/>
  <c r="O6457" i="210"/>
  <c r="O6377" i="210"/>
  <c r="O6297" i="210"/>
  <c r="O6217" i="210"/>
  <c r="O6145" i="210"/>
  <c r="O6057" i="210"/>
  <c r="S5973" i="210"/>
  <c r="O5977" i="210"/>
  <c r="O5897" i="210"/>
  <c r="O5516" i="210"/>
  <c r="O5893" i="210"/>
  <c r="O6534" i="210"/>
  <c r="O6454" i="210"/>
  <c r="O6374" i="210"/>
  <c r="O6286" i="210"/>
  <c r="O6214" i="210"/>
  <c r="O6134" i="210"/>
  <c r="O6054" i="210"/>
  <c r="O5966" i="210"/>
  <c r="O5894" i="210"/>
  <c r="O6277" i="210"/>
  <c r="O5949" i="210"/>
  <c r="O6531" i="210"/>
  <c r="O6451" i="210"/>
  <c r="O6379" i="210"/>
  <c r="O6307" i="210"/>
  <c r="O6219" i="210"/>
  <c r="O6139" i="210"/>
  <c r="O6051" i="210"/>
  <c r="O5979" i="210"/>
  <c r="O5899" i="210"/>
  <c r="O5818" i="210"/>
  <c r="O5564" i="210"/>
  <c r="O6293" i="210"/>
  <c r="O5925" i="210"/>
  <c r="O6544" i="210"/>
  <c r="O6464" i="210"/>
  <c r="O6392" i="210"/>
  <c r="O6320" i="210"/>
  <c r="O6248" i="210"/>
  <c r="O6176" i="210"/>
  <c r="O6112" i="210"/>
  <c r="O6024" i="210"/>
  <c r="O5936" i="210"/>
  <c r="O5856" i="210"/>
  <c r="O5524" i="210"/>
  <c r="O5793" i="210"/>
  <c r="O5705" i="210"/>
  <c r="O5633" i="210"/>
  <c r="O5561" i="210"/>
  <c r="O5497" i="210"/>
  <c r="O5425" i="210"/>
  <c r="O5259" i="210"/>
  <c r="O5806" i="210"/>
  <c r="O5526" i="210"/>
  <c r="S5386" i="210"/>
  <c r="O5747" i="210"/>
  <c r="O5523" i="210"/>
  <c r="O5451" i="210"/>
  <c r="O5768" i="210"/>
  <c r="O5688" i="210"/>
  <c r="O5616" i="210"/>
  <c r="O5552" i="210"/>
  <c r="O5488" i="210"/>
  <c r="O5424" i="210"/>
  <c r="O5323" i="210"/>
  <c r="O5821" i="210"/>
  <c r="O5733" i="210"/>
  <c r="O5661" i="210"/>
  <c r="O5597" i="210"/>
  <c r="O5525" i="210"/>
  <c r="O5453" i="210"/>
  <c r="O5308" i="210"/>
  <c r="O5052" i="210"/>
  <c r="O5594" i="210"/>
  <c r="O5383" i="210"/>
  <c r="O5831" i="210"/>
  <c r="O5767" i="210"/>
  <c r="O5687" i="210"/>
  <c r="O5607" i="210"/>
  <c r="O5543" i="210"/>
  <c r="O5479" i="210"/>
  <c r="O5415" i="210"/>
  <c r="O5188" i="210"/>
  <c r="O5345" i="210"/>
  <c r="O5281" i="210"/>
  <c r="O5145" i="210"/>
  <c r="O5081" i="210"/>
  <c r="O5001" i="210"/>
  <c r="O4774" i="210"/>
  <c r="O5350" i="210"/>
  <c r="O5278" i="210"/>
  <c r="O5214" i="210"/>
  <c r="O5150" i="210"/>
  <c r="O5086" i="210"/>
  <c r="O5006" i="210"/>
  <c r="O4902" i="210"/>
  <c r="O5251" i="210"/>
  <c r="O5179" i="210"/>
  <c r="O5115" i="210"/>
  <c r="O5051" i="210"/>
  <c r="O4987" i="210"/>
  <c r="O4702" i="210"/>
  <c r="O5328" i="210"/>
  <c r="O5256" i="210"/>
  <c r="O5120" i="210"/>
  <c r="O5048" i="210"/>
  <c r="O4886" i="210"/>
  <c r="O5301" i="210"/>
  <c r="O5037" i="210"/>
  <c r="O4806" i="210"/>
  <c r="O5378" i="210"/>
  <c r="O5306" i="210"/>
  <c r="O5242" i="210"/>
  <c r="O5170" i="210"/>
  <c r="O5106" i="210"/>
  <c r="S5030" i="210"/>
  <c r="O5034" i="210"/>
  <c r="O4970" i="210"/>
  <c r="O4622" i="210"/>
  <c r="S5355" i="210"/>
  <c r="O5359" i="210"/>
  <c r="O5287" i="210"/>
  <c r="O5223" i="210"/>
  <c r="O5151" i="210"/>
  <c r="O5087" i="210"/>
  <c r="O5007" i="210"/>
  <c r="S4810" i="210"/>
  <c r="O4814" i="210"/>
  <c r="O4955" i="210"/>
  <c r="O4875" i="210"/>
  <c r="O4803" i="210"/>
  <c r="O4659" i="210"/>
  <c r="O4587" i="210"/>
  <c r="O4462" i="210"/>
  <c r="O3969" i="210"/>
  <c r="O4880" i="210"/>
  <c r="O4816" i="210"/>
  <c r="O4744" i="210"/>
  <c r="O4656" i="210"/>
  <c r="O4584" i="210"/>
  <c r="O4502" i="210"/>
  <c r="O4821" i="210"/>
  <c r="O4749" i="210"/>
  <c r="O4677" i="210"/>
  <c r="O4613" i="210"/>
  <c r="O4541" i="210"/>
  <c r="O4191" i="210"/>
  <c r="O4914" i="210"/>
  <c r="O4842" i="210"/>
  <c r="O4770" i="210"/>
  <c r="O4698" i="210"/>
  <c r="O4626" i="210"/>
  <c r="O4554" i="210"/>
  <c r="O4422" i="210"/>
  <c r="O4959" i="210"/>
  <c r="O4895" i="210"/>
  <c r="O4823" i="210"/>
  <c r="O4759" i="210"/>
  <c r="O4679" i="210"/>
  <c r="O4607" i="210"/>
  <c r="O4535" i="210"/>
  <c r="O4932" i="210"/>
  <c r="O4860" i="210"/>
  <c r="O4788" i="210"/>
  <c r="O4716" i="210"/>
  <c r="O4636" i="210"/>
  <c r="O4564" i="210"/>
  <c r="O4391" i="210"/>
  <c r="O3953" i="210"/>
  <c r="O4897" i="210"/>
  <c r="O4825" i="210"/>
  <c r="O4753" i="210"/>
  <c r="O4673" i="210"/>
  <c r="O4601" i="210"/>
  <c r="O4470" i="210"/>
  <c r="O4516" i="210"/>
  <c r="O4444" i="210"/>
  <c r="O4364" i="210"/>
  <c r="O4284" i="210"/>
  <c r="O4204" i="210"/>
  <c r="O4132" i="210"/>
  <c r="O4052" i="210"/>
  <c r="O3983" i="210"/>
  <c r="O4505" i="210"/>
  <c r="O4433" i="210"/>
  <c r="O4361" i="210"/>
  <c r="O4289" i="210"/>
  <c r="O4217" i="210"/>
  <c r="O4137" i="210"/>
  <c r="O4073" i="210"/>
  <c r="O3960" i="210"/>
  <c r="O4366" i="210"/>
  <c r="O4294" i="210"/>
  <c r="O4230" i="210"/>
  <c r="O4150" i="210"/>
  <c r="O4078" i="210"/>
  <c r="O3979" i="210"/>
  <c r="O4459" i="210"/>
  <c r="O4371" i="210"/>
  <c r="O4291" i="210"/>
  <c r="O4219" i="210"/>
  <c r="O4131" i="210"/>
  <c r="O4051" i="210"/>
  <c r="O4512" i="210"/>
  <c r="O4440" i="210"/>
  <c r="O4368" i="210"/>
  <c r="O4296" i="210"/>
  <c r="O4224" i="210"/>
  <c r="O4152" i="210"/>
  <c r="O4080" i="210"/>
  <c r="O3991" i="210"/>
  <c r="O4509" i="210"/>
  <c r="O4445" i="210"/>
  <c r="O4365" i="210"/>
  <c r="O4293" i="210"/>
  <c r="O4221" i="210"/>
  <c r="S4145" i="210"/>
  <c r="O4149" i="210"/>
  <c r="O4077" i="210"/>
  <c r="O4009" i="210"/>
  <c r="O4482" i="210"/>
  <c r="O4394" i="210"/>
  <c r="O4306" i="210"/>
  <c r="O4234" i="210"/>
  <c r="O4154" i="210"/>
  <c r="O4074" i="210"/>
  <c r="O3971" i="210"/>
  <c r="O3974" i="210"/>
  <c r="O3910" i="210"/>
  <c r="O3649" i="210"/>
  <c r="O3907" i="210"/>
  <c r="O3673" i="210"/>
  <c r="O3912" i="210"/>
  <c r="O3633" i="210"/>
  <c r="O3957" i="210"/>
  <c r="O3877" i="210"/>
  <c r="O4018" i="210"/>
  <c r="O3946" i="210"/>
  <c r="O3870" i="210"/>
  <c r="O3959" i="210"/>
  <c r="O3887" i="210"/>
  <c r="O3988" i="210"/>
  <c r="O3916" i="210"/>
  <c r="O3713" i="210"/>
  <c r="O3828" i="210"/>
  <c r="O3748" i="210"/>
  <c r="O3676" i="210"/>
  <c r="O3604" i="210"/>
  <c r="O3524" i="210"/>
  <c r="O3460" i="210"/>
  <c r="O3339" i="210"/>
  <c r="O3798" i="210"/>
  <c r="O3734" i="210"/>
  <c r="O3662" i="210"/>
  <c r="O3582" i="210"/>
  <c r="O3510" i="210"/>
  <c r="O3424" i="210"/>
  <c r="O3067" i="210"/>
  <c r="O3827" i="210"/>
  <c r="O3747" i="210"/>
  <c r="O3683" i="210"/>
  <c r="O3611" i="210"/>
  <c r="O3531" i="210"/>
  <c r="O3459" i="210"/>
  <c r="O2615" i="210"/>
  <c r="O3800" i="210"/>
  <c r="O3728" i="210"/>
  <c r="O3656" i="210"/>
  <c r="O3592" i="210"/>
  <c r="O3528" i="210"/>
  <c r="S3452" i="210"/>
  <c r="O3456" i="210"/>
  <c r="O3363" i="210"/>
  <c r="O3869" i="210"/>
  <c r="O3789" i="210"/>
  <c r="O3725" i="210"/>
  <c r="O3653" i="210"/>
  <c r="O3573" i="210"/>
  <c r="O3501" i="210"/>
  <c r="O3331" i="210"/>
  <c r="O3866" i="210"/>
  <c r="O3802" i="210"/>
  <c r="O3730" i="210"/>
  <c r="O3666" i="210"/>
  <c r="O3586" i="210"/>
  <c r="O3514" i="210"/>
  <c r="O3434" i="210"/>
  <c r="O3291" i="210"/>
  <c r="O3855" i="210"/>
  <c r="O3775" i="210"/>
  <c r="O3695" i="210"/>
  <c r="O3631" i="210"/>
  <c r="O3567" i="210"/>
  <c r="O3503" i="210"/>
  <c r="O3251" i="210"/>
  <c r="O3406" i="210"/>
  <c r="O3342" i="210"/>
  <c r="O3278" i="210"/>
  <c r="O3206" i="210"/>
  <c r="O3134" i="210"/>
  <c r="O3062" i="210"/>
  <c r="O2759" i="210"/>
  <c r="O3288" i="210"/>
  <c r="O3216" i="210"/>
  <c r="O3152" i="210"/>
  <c r="O3072" i="210"/>
  <c r="O2988" i="210"/>
  <c r="O3421" i="210"/>
  <c r="O3357" i="210"/>
  <c r="O3293" i="210"/>
  <c r="O3221" i="210"/>
  <c r="O3149" i="210"/>
  <c r="O3077" i="210"/>
  <c r="O2959" i="210"/>
  <c r="O3410" i="210"/>
  <c r="O3346" i="210"/>
  <c r="O3282" i="210"/>
  <c r="O3218" i="210"/>
  <c r="O3146" i="210"/>
  <c r="O3074" i="210"/>
  <c r="O3013" i="210"/>
  <c r="O3423" i="210"/>
  <c r="O3359" i="210"/>
  <c r="O3295" i="210"/>
  <c r="O3223" i="210"/>
  <c r="O3151" i="210"/>
  <c r="O3071" i="210"/>
  <c r="O2972" i="210"/>
  <c r="O2583" i="210"/>
  <c r="O3372" i="210"/>
  <c r="O3308" i="210"/>
  <c r="O3236" i="210"/>
  <c r="O3164" i="210"/>
  <c r="O3092" i="210"/>
  <c r="O2927" i="210"/>
  <c r="O3425" i="210"/>
  <c r="O3361" i="210"/>
  <c r="O3297" i="210"/>
  <c r="O3225" i="210"/>
  <c r="O3161" i="210"/>
  <c r="O3089" i="210"/>
  <c r="S2979" i="210"/>
  <c r="O2983" i="210"/>
  <c r="S2723" i="210"/>
  <c r="O2727" i="210"/>
  <c r="O2962" i="210"/>
  <c r="O2890" i="210"/>
  <c r="O2818" i="210"/>
  <c r="O2754" i="210"/>
  <c r="O2674" i="210"/>
  <c r="O2602" i="210"/>
  <c r="O2535" i="210"/>
  <c r="O2286" i="210"/>
  <c r="O2868" i="210"/>
  <c r="O2804" i="210"/>
  <c r="O2740" i="210"/>
  <c r="O2660" i="210"/>
  <c r="O2588" i="210"/>
  <c r="O2490" i="210"/>
  <c r="O2993" i="210"/>
  <c r="O2913" i="210"/>
  <c r="O2841" i="210"/>
  <c r="O2777" i="210"/>
  <c r="O2705" i="210"/>
  <c r="O2633" i="210"/>
  <c r="O2569" i="210"/>
  <c r="O2000" i="210"/>
  <c r="O2942" i="210"/>
  <c r="O2878" i="210"/>
  <c r="O2806" i="210"/>
  <c r="O2742" i="210"/>
  <c r="O2662" i="210"/>
  <c r="O2598" i="210"/>
  <c r="O2539" i="210"/>
  <c r="O3011" i="210"/>
  <c r="O2923" i="210"/>
  <c r="O2851" i="210"/>
  <c r="O2787" i="210"/>
  <c r="O2715" i="210"/>
  <c r="O2635" i="210"/>
  <c r="O2571" i="210"/>
  <c r="O2984" i="210"/>
  <c r="O2912" i="210"/>
  <c r="O2840" i="210"/>
  <c r="O2776" i="210"/>
  <c r="O2712" i="210"/>
  <c r="O2640" i="210"/>
  <c r="O2576" i="210"/>
  <c r="O2503" i="210"/>
  <c r="O2973" i="210"/>
  <c r="O2901" i="210"/>
  <c r="O2837" i="210"/>
  <c r="O2773" i="210"/>
  <c r="O2693" i="210"/>
  <c r="O2621" i="210"/>
  <c r="O2557" i="210"/>
  <c r="O2314" i="210"/>
  <c r="O2485" i="210"/>
  <c r="O2413" i="210"/>
  <c r="S2345" i="210"/>
  <c r="O2349" i="210"/>
  <c r="O2287" i="210"/>
  <c r="O2399" i="210"/>
  <c r="O2327" i="210"/>
  <c r="O2037" i="210"/>
  <c r="O2484" i="210"/>
  <c r="O2420" i="210"/>
  <c r="O2356" i="210"/>
  <c r="O2281" i="210"/>
  <c r="O2481" i="210"/>
  <c r="O2401" i="210"/>
  <c r="O2329" i="210"/>
  <c r="O2184" i="210"/>
  <c r="O2486" i="210"/>
  <c r="O2414" i="210"/>
  <c r="O2342" i="210"/>
  <c r="O2277" i="210"/>
  <c r="O2523" i="210"/>
  <c r="O2451" i="210"/>
  <c r="O2379" i="210"/>
  <c r="O2307" i="210"/>
  <c r="O2112" i="210"/>
  <c r="O2464" i="210"/>
  <c r="O2384" i="210"/>
  <c r="O2312" i="210"/>
  <c r="O2232" i="210"/>
  <c r="O2251" i="210"/>
  <c r="O2171" i="210"/>
  <c r="O2091" i="210"/>
  <c r="O2229" i="210"/>
  <c r="O2165" i="210"/>
  <c r="O2093" i="210"/>
  <c r="O2274" i="210"/>
  <c r="O2194" i="210"/>
  <c r="O2114" i="210"/>
  <c r="O1984" i="210"/>
  <c r="O2223" i="210"/>
  <c r="O2143" i="210"/>
  <c r="O2077" i="210"/>
  <c r="O2252" i="210"/>
  <c r="O2172" i="210"/>
  <c r="O2100" i="210"/>
  <c r="O2209" i="210"/>
  <c r="O2137" i="210"/>
  <c r="O2017" i="210"/>
  <c r="O2230" i="210"/>
  <c r="O2166" i="210"/>
  <c r="O2094" i="210"/>
  <c r="O1856" i="210"/>
  <c r="O2011" i="210"/>
  <c r="O1947" i="210"/>
  <c r="O1875" i="210"/>
  <c r="O1443" i="210"/>
  <c r="O1941" i="210"/>
  <c r="O1861" i="210"/>
  <c r="O2034" i="210"/>
  <c r="O1970" i="210"/>
  <c r="O1890" i="210"/>
  <c r="O1703" i="210"/>
  <c r="O1991" i="210"/>
  <c r="O1927" i="210"/>
  <c r="O1855" i="210"/>
  <c r="O2020" i="210"/>
  <c r="O1956" i="210"/>
  <c r="O1884" i="210"/>
  <c r="O2009" i="210"/>
  <c r="O1945" i="210"/>
  <c r="O1865" i="210"/>
  <c r="O2054" i="210"/>
  <c r="O1990" i="210"/>
  <c r="O1926" i="210"/>
  <c r="O1847" i="210"/>
  <c r="O1826" i="210"/>
  <c r="O1746" i="210"/>
  <c r="O1674" i="210"/>
  <c r="O1788" i="210"/>
  <c r="O1716" i="210"/>
  <c r="O1657" i="210"/>
  <c r="O1809" i="210"/>
  <c r="O1737" i="210"/>
  <c r="O1665" i="210"/>
  <c r="O1814" i="210"/>
  <c r="O1734" i="210"/>
  <c r="O1662" i="210"/>
  <c r="O1827" i="210"/>
  <c r="O1747" i="210"/>
  <c r="O1675" i="210"/>
  <c r="O1832" i="210"/>
  <c r="O1760" i="210"/>
  <c r="O1688" i="210"/>
  <c r="O1563" i="210"/>
  <c r="O1813" i="210"/>
  <c r="O1733" i="210"/>
  <c r="O1669" i="210"/>
  <c r="O1640" i="210"/>
  <c r="O1576" i="210"/>
  <c r="O1504" i="210"/>
  <c r="O1432" i="210"/>
  <c r="S1545" i="210"/>
  <c r="O1549" i="210"/>
  <c r="O1485" i="210"/>
  <c r="O1397" i="210"/>
  <c r="O1586" i="210"/>
  <c r="O1514" i="210"/>
  <c r="O1434" i="210"/>
  <c r="S1627" i="210"/>
  <c r="O1631" i="210"/>
  <c r="O1567" i="210"/>
  <c r="O1495" i="210"/>
  <c r="O1431" i="210"/>
  <c r="O1612" i="210"/>
  <c r="O1532" i="210"/>
  <c r="O1460" i="210"/>
  <c r="O1633" i="210"/>
  <c r="O1553" i="210"/>
  <c r="O1481" i="210"/>
  <c r="O1401" i="210"/>
  <c r="O1566" i="210"/>
  <c r="O1502" i="210"/>
  <c r="O1430" i="210"/>
  <c r="O1384" i="210"/>
  <c r="O1312" i="210"/>
  <c r="O1232" i="210"/>
  <c r="O1143" i="210"/>
  <c r="O1325" i="210"/>
  <c r="O1261" i="210"/>
  <c r="O1189" i="210"/>
  <c r="O1362" i="210"/>
  <c r="O1282" i="210"/>
  <c r="O1210" i="210"/>
  <c r="O1383" i="210"/>
  <c r="O1303" i="210"/>
  <c r="O1223" i="210"/>
  <c r="O1097" i="210"/>
  <c r="O1308" i="210"/>
  <c r="O1236" i="210"/>
  <c r="O1152" i="210"/>
  <c r="O1353" i="210"/>
  <c r="O1281" i="210"/>
  <c r="O1201" i="210"/>
  <c r="O1081" i="210"/>
  <c r="O1342" i="210"/>
  <c r="O1262" i="210"/>
  <c r="O1190" i="210"/>
  <c r="O1355" i="210"/>
  <c r="O1275" i="210"/>
  <c r="O1203" i="210"/>
  <c r="O1172" i="210"/>
  <c r="O1100" i="210"/>
  <c r="O1020" i="210"/>
  <c r="O956" i="210"/>
  <c r="O1134" i="210"/>
  <c r="O1062" i="210"/>
  <c r="O990" i="210"/>
  <c r="O925" i="210"/>
  <c r="O1115" i="210"/>
  <c r="O1035" i="210"/>
  <c r="O963" i="210"/>
  <c r="O1120" i="210"/>
  <c r="O1040" i="210"/>
  <c r="O976" i="210"/>
  <c r="O1117" i="210"/>
  <c r="O1037" i="210"/>
  <c r="O965" i="210"/>
  <c r="O1170" i="210"/>
  <c r="O1106" i="210"/>
  <c r="O1034" i="210"/>
  <c r="O962" i="210"/>
  <c r="O1127" i="210"/>
  <c r="O1055" i="210"/>
  <c r="O991" i="210"/>
  <c r="O930" i="210"/>
  <c r="O850" i="210"/>
  <c r="O750" i="210"/>
  <c r="O847" i="210"/>
  <c r="O916" i="210"/>
  <c r="O836" i="210"/>
  <c r="O913" i="210"/>
  <c r="O849" i="210"/>
  <c r="O902" i="210"/>
  <c r="O830" i="210"/>
  <c r="O765" i="210"/>
  <c r="O859" i="210"/>
  <c r="O787" i="210"/>
  <c r="O864" i="210"/>
  <c r="O792" i="210"/>
  <c r="O861" i="210"/>
  <c r="O797" i="210"/>
  <c r="O730" i="210"/>
  <c r="O628" i="210"/>
  <c r="O719" i="210"/>
  <c r="O659" i="210"/>
  <c r="O740" i="210"/>
  <c r="O769" i="210"/>
  <c r="O686" i="210"/>
  <c r="O726" i="210"/>
  <c r="O779" i="210"/>
  <c r="O715" i="210"/>
  <c r="O760" i="210"/>
  <c r="O679" i="210"/>
  <c r="O668" i="210"/>
  <c r="O601" i="210"/>
  <c r="O272" i="210"/>
  <c r="O606" i="210"/>
  <c r="O468" i="210"/>
  <c r="O611" i="210"/>
  <c r="O688" i="210"/>
  <c r="O616" i="210"/>
  <c r="O550" i="210"/>
  <c r="O645" i="210"/>
  <c r="O573" i="210"/>
  <c r="O682" i="210"/>
  <c r="O610" i="210"/>
  <c r="O527" i="210"/>
  <c r="O615" i="210"/>
  <c r="O460" i="210"/>
  <c r="O497" i="210"/>
  <c r="O422" i="210"/>
  <c r="O470" i="210"/>
  <c r="O491" i="210"/>
  <c r="O552" i="210"/>
  <c r="O480" i="210"/>
  <c r="O549" i="210"/>
  <c r="O477" i="210"/>
  <c r="O546" i="210"/>
  <c r="O474" i="210"/>
  <c r="O519" i="210"/>
  <c r="O455" i="210"/>
  <c r="O388" i="210"/>
  <c r="O296" i="210"/>
  <c r="O336" i="210"/>
  <c r="O323" i="210"/>
  <c r="O387" i="210"/>
  <c r="O304" i="210"/>
  <c r="O392" i="210"/>
  <c r="O437" i="210"/>
  <c r="O365" i="210"/>
  <c r="O354" i="210"/>
  <c r="O285" i="210"/>
  <c r="O306" i="210"/>
  <c r="O226" i="210"/>
  <c r="O255" i="210"/>
  <c r="O300" i="210"/>
  <c r="O228" i="210"/>
  <c r="O289" i="210"/>
  <c r="O131" i="210"/>
  <c r="O254" i="210"/>
  <c r="O283" i="210"/>
  <c r="O221" i="210"/>
  <c r="O184" i="210"/>
  <c r="O92" i="210"/>
  <c r="O133" i="210"/>
  <c r="O210" i="210"/>
  <c r="O122" i="210"/>
  <c r="O183" i="210"/>
  <c r="O97" i="210"/>
  <c r="O196" i="210"/>
  <c r="O118" i="210"/>
  <c r="O177" i="210"/>
  <c r="O106" i="210"/>
  <c r="S162" i="210"/>
  <c r="O166" i="210"/>
  <c r="O117" i="210"/>
  <c r="O45" i="210"/>
  <c r="O119" i="210"/>
  <c r="O47" i="210"/>
  <c r="O36" i="210"/>
  <c r="O49" i="210"/>
  <c r="O38" i="210"/>
  <c r="O32" i="210"/>
  <c r="T6403" i="210" l="1"/>
  <c r="T6331" i="210"/>
  <c r="T1217" i="210"/>
  <c r="T445" i="210"/>
  <c r="O4032" i="210"/>
  <c r="T4384" i="210"/>
  <c r="T4168" i="210"/>
  <c r="O3002" i="210"/>
  <c r="T1728" i="210"/>
  <c r="T359" i="210"/>
  <c r="T6008" i="210"/>
  <c r="O5751" i="210"/>
  <c r="O5721" i="210"/>
  <c r="O4057" i="210"/>
  <c r="O6300" i="210"/>
  <c r="O6512" i="210"/>
  <c r="O1475" i="210"/>
  <c r="O6264" i="210"/>
  <c r="O2217" i="210"/>
  <c r="O841" i="210"/>
  <c r="O4665" i="210"/>
  <c r="O4353" i="210"/>
  <c r="O2930" i="210"/>
  <c r="O1798" i="210"/>
  <c r="O76" i="210"/>
  <c r="O5942" i="210"/>
  <c r="O5811" i="210"/>
  <c r="O5676" i="210"/>
  <c r="O5641" i="210"/>
  <c r="O3837" i="210"/>
  <c r="O24" i="210"/>
  <c r="O162" i="210"/>
  <c r="O4889" i="210"/>
  <c r="O6066" i="210"/>
  <c r="O1450" i="210"/>
  <c r="O5071" i="210"/>
  <c r="O5914" i="210"/>
  <c r="O4473" i="210"/>
  <c r="O326" i="210"/>
  <c r="O1254" i="210"/>
  <c r="O3496" i="210"/>
  <c r="O5778" i="210"/>
  <c r="T6195" i="210"/>
  <c r="T6123" i="210"/>
  <c r="T5846" i="210"/>
  <c r="T4473" i="210"/>
  <c r="T3902" i="210"/>
  <c r="T2700" i="210"/>
  <c r="T2408" i="210"/>
  <c r="T1545" i="210"/>
  <c r="T1627" i="210"/>
  <c r="T1421" i="210"/>
  <c r="T1369" i="210"/>
  <c r="T1050" i="210"/>
  <c r="T1288" i="210"/>
  <c r="T263" i="210"/>
  <c r="O6335" i="210"/>
  <c r="O6331" i="210" s="1"/>
  <c r="O6127" i="210"/>
  <c r="O6123" i="210" s="1"/>
  <c r="O3081" i="210"/>
  <c r="O563" i="210"/>
  <c r="O1772" i="210"/>
  <c r="O3805" i="210"/>
  <c r="O4938" i="210"/>
  <c r="O3753" i="210"/>
  <c r="O4404" i="210"/>
  <c r="O4266" i="210"/>
  <c r="T5914" i="210"/>
  <c r="T5071" i="210"/>
  <c r="T5355" i="210"/>
  <c r="T4266" i="210"/>
  <c r="T3539" i="210"/>
  <c r="T3126" i="210"/>
  <c r="T2856" i="210"/>
  <c r="T2723" i="210"/>
  <c r="T2160" i="210"/>
  <c r="T563" i="210"/>
  <c r="O234" i="210"/>
  <c r="S6564" i="210"/>
  <c r="O2412" i="210"/>
  <c r="O2408" i="210" s="1"/>
  <c r="O5030" i="210"/>
  <c r="O1177" i="210"/>
  <c r="O3019" i="210"/>
  <c r="T6477" i="210"/>
  <c r="T6226" i="210"/>
  <c r="T6066" i="210"/>
  <c r="T6367" i="210"/>
  <c r="T6446" i="210"/>
  <c r="T6300" i="210"/>
  <c r="T6156" i="210"/>
  <c r="T6512" i="210"/>
  <c r="T5386" i="210"/>
  <c r="T4032" i="210"/>
  <c r="T4428" i="210"/>
  <c r="T4212" i="210"/>
  <c r="T3595" i="210"/>
  <c r="T2979" i="210"/>
  <c r="T1475" i="210"/>
  <c r="T623" i="210"/>
  <c r="T514" i="210"/>
  <c r="O2860" i="210"/>
  <c r="O2856" i="210" s="1"/>
  <c r="O4216" i="210"/>
  <c r="O4212" i="210" s="1"/>
  <c r="O6371" i="210"/>
  <c r="O6367" i="210" s="1"/>
  <c r="L13" i="189"/>
  <c r="O6407" i="210"/>
  <c r="O6403" i="210" s="1"/>
  <c r="O6199" i="210"/>
  <c r="O6195" i="210" s="1"/>
  <c r="O6226" i="210"/>
  <c r="O6477" i="210"/>
  <c r="O892" i="210"/>
  <c r="O4168" i="210"/>
  <c r="O774" i="210"/>
  <c r="O3539" i="210"/>
  <c r="O4332" i="210"/>
  <c r="T5880" i="210"/>
  <c r="T5030" i="210"/>
  <c r="T4889" i="210"/>
  <c r="T4710" i="210"/>
  <c r="T3805" i="210"/>
  <c r="T3246" i="210"/>
  <c r="T2085" i="210"/>
  <c r="T1603" i="210"/>
  <c r="T1450" i="210"/>
  <c r="T1647" i="210"/>
  <c r="T892" i="210"/>
  <c r="T375" i="210"/>
  <c r="T234" i="210"/>
  <c r="O379" i="210"/>
  <c r="O375" i="210" s="1"/>
  <c r="O6012" i="210"/>
  <c r="O6008" i="210" s="1"/>
  <c r="O1545" i="210"/>
  <c r="O1627" i="210"/>
  <c r="O4145" i="210"/>
  <c r="O312" i="210"/>
  <c r="O623" i="210"/>
  <c r="O3996" i="210"/>
  <c r="O136" i="210"/>
  <c r="O1421" i="210"/>
  <c r="O2085" i="210"/>
  <c r="O4384" i="210"/>
  <c r="O6096" i="210"/>
  <c r="O4108" i="210"/>
  <c r="O5317" i="210"/>
  <c r="O5884" i="210"/>
  <c r="O5880" i="210" s="1"/>
  <c r="T6264" i="210"/>
  <c r="T5483" i="210"/>
  <c r="T5217" i="210"/>
  <c r="T3996" i="210"/>
  <c r="T4332" i="210"/>
  <c r="T4145" i="210"/>
  <c r="T3188" i="210"/>
  <c r="T3643" i="210"/>
  <c r="T2431" i="210"/>
  <c r="T2217" i="210"/>
  <c r="T2068" i="210"/>
  <c r="T1898" i="210"/>
  <c r="T1819" i="210"/>
  <c r="T1254" i="210"/>
  <c r="T1177" i="210"/>
  <c r="T841" i="210"/>
  <c r="T695" i="210"/>
  <c r="T312" i="210"/>
  <c r="T326" i="210"/>
  <c r="O699" i="210"/>
  <c r="O695" i="210" s="1"/>
  <c r="O2435" i="210"/>
  <c r="O2431" i="210" s="1"/>
  <c r="O5221" i="210"/>
  <c r="O5217" i="210" s="1"/>
  <c r="O1054" i="210"/>
  <c r="O1050" i="210" s="1"/>
  <c r="O2345" i="210"/>
  <c r="O2723" i="210"/>
  <c r="O5973" i="210"/>
  <c r="O1332" i="210"/>
  <c r="O1647" i="210"/>
  <c r="O2243" i="210"/>
  <c r="O743" i="210"/>
  <c r="O1369" i="210"/>
  <c r="O2122" i="210"/>
  <c r="O3246" i="210"/>
  <c r="O359" i="210"/>
  <c r="T6096" i="210"/>
  <c r="T5973" i="210"/>
  <c r="T5778" i="210"/>
  <c r="T5317" i="210"/>
  <c r="T4737" i="210"/>
  <c r="T4665" i="210"/>
  <c r="T4938" i="210"/>
  <c r="T4810" i="210"/>
  <c r="T4546" i="210"/>
  <c r="T4522" i="210"/>
  <c r="T4404" i="210"/>
  <c r="T4108" i="210"/>
  <c r="T4353" i="210"/>
  <c r="T3496" i="210"/>
  <c r="T3002" i="210"/>
  <c r="T2930" i="210"/>
  <c r="T2650" i="210"/>
  <c r="T2122" i="210"/>
  <c r="T1772" i="210"/>
  <c r="T1798" i="210"/>
  <c r="T1027" i="210"/>
  <c r="T136" i="210"/>
  <c r="T76" i="210"/>
  <c r="O1292" i="210"/>
  <c r="O1288" i="210" s="1"/>
  <c r="O1823" i="210"/>
  <c r="O1819" i="210" s="1"/>
  <c r="O6160" i="210"/>
  <c r="O6156" i="210" s="1"/>
  <c r="O2072" i="210"/>
  <c r="O2068" i="210" s="1"/>
  <c r="O2164" i="210"/>
  <c r="O2160" i="210" s="1"/>
  <c r="O2654" i="210"/>
  <c r="O2650" i="210" s="1"/>
  <c r="O5850" i="210"/>
  <c r="O5846" i="210" s="1"/>
  <c r="O3452" i="210"/>
  <c r="O5355" i="210"/>
  <c r="O5483" i="210"/>
  <c r="O445" i="210"/>
  <c r="O1728" i="210"/>
  <c r="O2496" i="210"/>
  <c r="O3922" i="210"/>
  <c r="O4710" i="210"/>
  <c r="O4546" i="210"/>
  <c r="O1217" i="210"/>
  <c r="O3902" i="210"/>
  <c r="O1027" i="210"/>
  <c r="O1919" i="210"/>
  <c r="O3702" i="210"/>
  <c r="T6038" i="210"/>
  <c r="T5751" i="210"/>
  <c r="T5721" i="210"/>
  <c r="T4593" i="210"/>
  <c r="T4057" i="210"/>
  <c r="T3922" i="210"/>
  <c r="T3753" i="210"/>
  <c r="T3081" i="210"/>
  <c r="T3019" i="210"/>
  <c r="T2496" i="210"/>
  <c r="T2243" i="210"/>
  <c r="T1919" i="210"/>
  <c r="T1332" i="210"/>
  <c r="T1109" i="210"/>
  <c r="T774" i="210"/>
  <c r="T743" i="210"/>
  <c r="T187" i="210"/>
  <c r="O3130" i="210"/>
  <c r="O3126" i="210" s="1"/>
  <c r="O4597" i="210"/>
  <c r="O4593" i="210" s="1"/>
  <c r="O1113" i="210"/>
  <c r="O1109" i="210" s="1"/>
  <c r="O2704" i="210"/>
  <c r="O2700" i="210" s="1"/>
  <c r="O4432" i="210"/>
  <c r="O4428" i="210" s="1"/>
  <c r="O4741" i="210"/>
  <c r="O4737" i="210" s="1"/>
  <c r="O6450" i="210"/>
  <c r="O6446" i="210" s="1"/>
  <c r="O2979" i="210"/>
  <c r="O4810" i="210"/>
  <c r="O5386" i="210"/>
  <c r="O187" i="210"/>
  <c r="O3643" i="210"/>
  <c r="O920" i="210"/>
  <c r="O3595" i="210"/>
  <c r="O4522" i="210"/>
  <c r="O1603" i="210"/>
  <c r="O3188" i="210"/>
  <c r="T5942" i="210"/>
  <c r="T5811" i="210"/>
  <c r="T5676" i="210"/>
  <c r="T5641" i="210"/>
  <c r="T5587" i="210"/>
  <c r="T3837" i="210"/>
  <c r="T3452" i="210"/>
  <c r="T3702" i="210"/>
  <c r="T2345" i="210"/>
  <c r="T920" i="210"/>
  <c r="T162" i="210"/>
  <c r="T24" i="210"/>
  <c r="O263" i="210"/>
  <c r="O518" i="210"/>
  <c r="O514" i="210" s="1"/>
  <c r="O1902" i="210"/>
  <c r="O1898" i="210" s="1"/>
  <c r="O5591" i="210"/>
  <c r="O5587" i="210" s="1"/>
  <c r="O6042" i="210"/>
  <c r="O6038" i="210" s="1"/>
  <c r="L44" i="189"/>
  <c r="I14" i="189" l="1"/>
  <c r="S6566" i="210"/>
  <c r="T6564" i="210"/>
  <c r="O6564" i="210"/>
  <c r="I18" i="189" l="1"/>
  <c r="J14" i="189" s="1"/>
  <c r="P6565" i="210"/>
  <c r="Q6565" i="210"/>
  <c r="R6565" i="210"/>
  <c r="S6565" i="210"/>
  <c r="L14" i="189"/>
  <c r="I15" i="189"/>
  <c r="T6565" i="210"/>
  <c r="J15" i="189" l="1"/>
  <c r="L15" i="189"/>
  <c r="L17" i="189" s="1"/>
  <c r="L32" i="189"/>
  <c r="J12" i="189"/>
  <c r="J11" i="189"/>
  <c r="J13" i="189"/>
  <c r="L45" i="189"/>
  <c r="I17" i="189"/>
  <c r="J17" i="189" s="1"/>
  <c r="L18" i="1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Amy Homan</author>
  </authors>
  <commentList>
    <comment ref="D15" authorId="0" shapeId="0" xr:uid="{00000000-0006-0000-0400-000001000000}">
      <text>
        <r>
          <rPr>
            <b/>
            <sz val="14"/>
            <color indexed="81"/>
            <rFont val="Tahoma"/>
            <family val="2"/>
          </rPr>
          <t>Jet Reports:</t>
        </r>
        <r>
          <rPr>
            <sz val="14"/>
            <color indexed="81"/>
            <rFont val="Tahoma"/>
            <family val="2"/>
          </rPr>
          <t xml:space="preserve">
This date should be today's date in a live situation, but for demo purposes should be applicable to the demonstration data.  For live situations, change this cell to reference cell $D$4 (i.e. =$D$4)</t>
        </r>
      </text>
    </comment>
  </commentList>
</comments>
</file>

<file path=xl/sharedStrings.xml><?xml version="1.0" encoding="utf-8"?>
<sst xmlns="http://schemas.openxmlformats.org/spreadsheetml/2006/main" count="91520" uniqueCount="77412">
  <si>
    <t>Filters:</t>
  </si>
  <si>
    <t>Hide</t>
  </si>
  <si>
    <t>Due Date</t>
  </si>
  <si>
    <t>Title</t>
  </si>
  <si>
    <t>Value</t>
  </si>
  <si>
    <t>Lookup</t>
  </si>
  <si>
    <t>Option</t>
  </si>
  <si>
    <t>Customer No.</t>
  </si>
  <si>
    <t>Days</t>
  </si>
  <si>
    <t>Hide+?</t>
  </si>
  <si>
    <t>Fit</t>
  </si>
  <si>
    <t>Customer No.:</t>
  </si>
  <si>
    <t xml:space="preserve">Run Date: </t>
  </si>
  <si>
    <t>StartDate</t>
  </si>
  <si>
    <t>EndDate</t>
  </si>
  <si>
    <t>EndDateFilter</t>
  </si>
  <si>
    <t>Balance Due</t>
  </si>
  <si>
    <t>Current</t>
  </si>
  <si>
    <t>Remaining Amount</t>
  </si>
  <si>
    <t>REPORT TOTAL</t>
  </si>
  <si>
    <t>Today</t>
  </si>
  <si>
    <t>Aging Period Length (in Days):</t>
  </si>
  <si>
    <t>Aged Days</t>
  </si>
  <si>
    <t>Revenue Period</t>
  </si>
  <si>
    <t>Month</t>
  </si>
  <si>
    <t>A/R</t>
  </si>
  <si>
    <t>Start Date</t>
  </si>
  <si>
    <t>End Date</t>
  </si>
  <si>
    <t>Customer Account Balances (in LCY)</t>
  </si>
  <si>
    <t>Accounts Receivables KPIs</t>
  </si>
  <si>
    <t>No.</t>
  </si>
  <si>
    <t>Name</t>
  </si>
  <si>
    <t>Posting Date</t>
  </si>
  <si>
    <t>TOTAL:</t>
  </si>
  <si>
    <t>Total Past Due</t>
  </si>
  <si>
    <t>A/R Date Filter</t>
  </si>
  <si>
    <t>Revenue</t>
  </si>
  <si>
    <t>Revenue/Day</t>
  </si>
  <si>
    <t>AR Period</t>
  </si>
  <si>
    <t>DSO - Last Calendar Month</t>
  </si>
  <si>
    <t>DSO Last Calendar Qtr</t>
  </si>
  <si>
    <t>IF($C$5&lt;4,1,IF($C$5&lt;7,4,IF($C$5&lt;10,6,10)))</t>
  </si>
  <si>
    <t>A/R Aging Period Length</t>
  </si>
  <si>
    <t>PERCENT OF TOTAL A/R:</t>
  </si>
  <si>
    <t>Avg</t>
  </si>
  <si>
    <t>Amt</t>
  </si>
  <si>
    <t>Count</t>
  </si>
  <si>
    <t>AR</t>
  </si>
  <si>
    <t>Document Count</t>
  </si>
  <si>
    <t>Collection Performance</t>
  </si>
  <si>
    <t>A/R Date
Filter</t>
  </si>
  <si>
    <t>Current
Date</t>
  </si>
  <si>
    <t>Closed at Date Filter</t>
  </si>
  <si>
    <t>Beginning
Balance</t>
  </si>
  <si>
    <t>Average
Monthly Sale</t>
  </si>
  <si>
    <t>Total
Ending
Balance</t>
  </si>
  <si>
    <t>Total
Ending
Curr. Bal.</t>
  </si>
  <si>
    <t>Collection
Performance
Index</t>
  </si>
  <si>
    <t>Company Confidential</t>
  </si>
  <si>
    <t>DSO CALCULATION</t>
  </si>
  <si>
    <t>fit</t>
  </si>
  <si>
    <t>Aged Accounts Receivable</t>
  </si>
  <si>
    <t>Aging Date</t>
  </si>
  <si>
    <t>Aging Month</t>
  </si>
  <si>
    <t>Document</t>
  </si>
  <si>
    <t>Total A/R</t>
  </si>
  <si>
    <t>% of Total</t>
  </si>
  <si>
    <t>Bal. Due</t>
  </si>
  <si>
    <t>% Credit</t>
  </si>
  <si>
    <t>Percent of total A/R</t>
  </si>
  <si>
    <t>Doc. Type</t>
  </si>
  <si>
    <t>Doc. No.</t>
  </si>
  <si>
    <t>8 Largest Past Due Invoices</t>
  </si>
  <si>
    <t>hide</t>
  </si>
  <si>
    <t>8 Oldest Past Due Invoices</t>
  </si>
  <si>
    <t>Tooltip</t>
  </si>
  <si>
    <t>Enter a date using the date format used in your NAV instance</t>
  </si>
  <si>
    <t>anchor</t>
  </si>
  <si>
    <t>�</t>
  </si>
  <si>
    <t>=NL("Caption","21 Cust. Ledger Entry","3 Customer No.")</t>
  </si>
  <si>
    <t>=NL("LOOKUP","18 Customer",{"1 No.","2 Name","29 Salesperson Code","27 Payment Terms Code"},"Headers=",{"Cust. No.","Customer Name","Sales Rep","Payment Terms"})</t>
  </si>
  <si>
    <t>30</t>
  </si>
  <si>
    <t>=NP("Eval","=AgingDate")</t>
  </si>
  <si>
    <t>=MONTH($C$4)</t>
  </si>
  <si>
    <t>=DATE(YEAR($C$4),MONTH($C$4)-1,1)</t>
  </si>
  <si>
    <t>=DATE(YEAR($C$7),MONTH($C$7)+1,1-1)</t>
  </si>
  <si>
    <t>="As of "&amp;TEXT($C$4,"DD-MMM-YY")</t>
  </si>
  <si>
    <t>=NETWORKDAYS($C$7,$C$8)</t>
  </si>
  <si>
    <t>=NP("DateFilter",,$C$8)</t>
  </si>
  <si>
    <t>=NP("DateFilter",$C$7,$C$8)</t>
  </si>
  <si>
    <t>='AR Aging'!P22</t>
  </si>
  <si>
    <t>='AR Aging'!P32</t>
  </si>
  <si>
    <t>=I11/$I$18</t>
  </si>
  <si>
    <t>='AR Aging'!P35</t>
  </si>
  <si>
    <t>=IF(ISERROR(I11/K11),0,(I11/K11))</t>
  </si>
  <si>
    <t>='AR Aging'!Q22</t>
  </si>
  <si>
    <t>='AR Aging'!Q32</t>
  </si>
  <si>
    <t>=I12/$I$18</t>
  </si>
  <si>
    <t>='AR Aging'!Q35</t>
  </si>
  <si>
    <t>=IF(ISERROR(I12/K12),0,(I12/K12))</t>
  </si>
  <si>
    <t>=DATE(YEAR($C$7),MONTH($C$7)-3,1)</t>
  </si>
  <si>
    <t>='AR Aging'!R22</t>
  </si>
  <si>
    <t>='AR Aging'!R32</t>
  </si>
  <si>
    <t>=I13/$I$18</t>
  </si>
  <si>
    <t>='AR Aging'!R35</t>
  </si>
  <si>
    <t>=IF(ISERROR(I13/K13),0,(I13/K13))</t>
  </si>
  <si>
    <t>=DATE(YEAR($C$13),MONTH($C$13)+3,1-1)</t>
  </si>
  <si>
    <t>='AR Aging'!S22</t>
  </si>
  <si>
    <t>='AR Aging'!S32</t>
  </si>
  <si>
    <t>=I14/$I$18</t>
  </si>
  <si>
    <t>='AR Aging'!S35</t>
  </si>
  <si>
    <t>=IF(ISERROR(I14/K14),0,(I14/K14))</t>
  </si>
  <si>
    <t>=NETWORKDAYS($C$13,$C$14)</t>
  </si>
  <si>
    <t>='AR Aging'!T22</t>
  </si>
  <si>
    <t>='AR Aging'!T32</t>
  </si>
  <si>
    <t>=I15/$I$18</t>
  </si>
  <si>
    <t>='AR Aging'!T35</t>
  </si>
  <si>
    <t>=IF(ISERROR(I15/K15),0,(I15/K15))</t>
  </si>
  <si>
    <t>=NP("DateFilter",,$C$14)</t>
  </si>
  <si>
    <t>=NP("DateFilter",C13,C14)</t>
  </si>
  <si>
    <t>=SUM(I12:I16)</t>
  </si>
  <si>
    <t>=I17/$I$18</t>
  </si>
  <si>
    <t>=SUM(K12:K16)</t>
  </si>
  <si>
    <t>=SUM(L12:L16)</t>
  </si>
  <si>
    <t>='AR Aging'!O32</t>
  </si>
  <si>
    <t>=SUM(K11:K16)</t>
  </si>
  <si>
    <t>=SUM(L15:L17)</t>
  </si>
  <si>
    <t>=NF($B22,"3 Customer No.")</t>
  </si>
  <si>
    <t>=NF($B22,"6 Document No.")</t>
  </si>
  <si>
    <t>=NF($B22,"4 Posting Date")</t>
  </si>
  <si>
    <t>=NF($B22,"37 Due Date")</t>
  </si>
  <si>
    <t>=NF($B22,"Remaining Amt. (LCY)","Date Filter",AR_Period)</t>
  </si>
  <si>
    <t>0</t>
  </si>
  <si>
    <t>=SUM(L22:L23)</t>
  </si>
  <si>
    <t>=L24/$I$18</t>
  </si>
  <si>
    <t>=NF($B28,"3 Customer No.")</t>
  </si>
  <si>
    <t>=NF($B28,"6 Document No.")</t>
  </si>
  <si>
    <t>=NF($B28,"4 Posting Date")</t>
  </si>
  <si>
    <t>=NF($B28,"37 Due Date")</t>
  </si>
  <si>
    <t>=NF($B28,"Remaining Amt. (LCY)","Date Filter",AR_Period)</t>
  </si>
  <si>
    <t>=SUM(L28:L29)</t>
  </si>
  <si>
    <t>=L30/$I$18</t>
  </si>
  <si>
    <t>=NP("Eval","=AgingDate") - NP("Eval","=AgingPeriod") - 1</t>
  </si>
  <si>
    <t>=YEAR($C$2)</t>
  </si>
  <si>
    <t>=$D$7&amp;" DSO"</t>
  </si>
  <si>
    <t>=MONTH($C$2)-5</t>
  </si>
  <si>
    <t>=D11</t>
  </si>
  <si>
    <t>=DATE(D$8,$B11,1)</t>
  </si>
  <si>
    <t>=NP("DateFilter",,D11)</t>
  </si>
  <si>
    <t>=DATE(D$8,$B11+1,1-1)</t>
  </si>
  <si>
    <t>=NP("DateFilter",,F11)</t>
  </si>
  <si>
    <t>=+F11-29</t>
  </si>
  <si>
    <t>=NP("DateFilter",$H11,$F11)</t>
  </si>
  <si>
    <t>=NP("DateFilter",$D11,$F11)</t>
  </si>
  <si>
    <t>=NETWORKDAYS(D11,F11)</t>
  </si>
  <si>
    <t>=IFERROR((L11+M11-N11)/(L11+M11-O11)*100,"")</t>
  </si>
  <si>
    <t>=IF(ISERROR(R11/K11),"",R11/K11)</t>
  </si>
  <si>
    <t>=IF(ISERROR(Q11/S11),0,Q11/S11)</t>
  </si>
  <si>
    <t>=MONTH($C$2)-4</t>
  </si>
  <si>
    <t>=D12</t>
  </si>
  <si>
    <t>=DATE(D$8,$B12,1)</t>
  </si>
  <si>
    <t>=NP("DateFilter",,D12)</t>
  </si>
  <si>
    <t>=DATE(D$8,$B12+1,1-1)</t>
  </si>
  <si>
    <t>=NP("DateFilter",,F12)</t>
  </si>
  <si>
    <t>=+F12-29</t>
  </si>
  <si>
    <t>=NP("DateFilter",$H12,$F12)</t>
  </si>
  <si>
    <t>=NP("DateFilter",$D12,$F12)</t>
  </si>
  <si>
    <t>=NETWORKDAYS(D12,F12)</t>
  </si>
  <si>
    <t>=IFERROR((L12+M12-N12)/(L12+M12-O12)*100,"")</t>
  </si>
  <si>
    <t>=IF(ISERROR(R12/K12),"",R12/K12)</t>
  </si>
  <si>
    <t>=IF(ISERROR(Q12/S12),0,Q12/S12)</t>
  </si>
  <si>
    <t>=MONTH($C$2)-3</t>
  </si>
  <si>
    <t>=D13</t>
  </si>
  <si>
    <t>=DATE(D$8,$B13,1)</t>
  </si>
  <si>
    <t>=NP("DateFilter",,D13)</t>
  </si>
  <si>
    <t>=DATE(D$8,$B13+1,1-1)</t>
  </si>
  <si>
    <t>=NP("DateFilter",,F13)</t>
  </si>
  <si>
    <t>=+F13-29</t>
  </si>
  <si>
    <t>=NP("DateFilter",$H13,$F13)</t>
  </si>
  <si>
    <t>=NP("DateFilter",$D13,$F13)</t>
  </si>
  <si>
    <t>=NETWORKDAYS(D13,F13)</t>
  </si>
  <si>
    <t>=(L13+M13-N13)/(L13+M13-O13)*100</t>
  </si>
  <si>
    <t>=IF(ISERROR(R13/K13),"",R13/K13)</t>
  </si>
  <si>
    <t>=IF(ISERROR(Q13/S13),0,Q13/S13)</t>
  </si>
  <si>
    <t>=MONTH($C$2)-2</t>
  </si>
  <si>
    <t>=D14</t>
  </si>
  <si>
    <t>=DATE(D$8,$B14,1)</t>
  </si>
  <si>
    <t>=NP("DateFilter",,D14)</t>
  </si>
  <si>
    <t>=DATE(D$8,$B14+1,1-1)</t>
  </si>
  <si>
    <t>=NP("DateFilter",,F14)</t>
  </si>
  <si>
    <t>=+F14-29</t>
  </si>
  <si>
    <t>=NP("DateFilter",$H14,$F14)</t>
  </si>
  <si>
    <t>=NP("DateFilter",$D14,$F14)</t>
  </si>
  <si>
    <t>=NETWORKDAYS(D14,F14)</t>
  </si>
  <si>
    <t>=(L14+M14-N14)/(L14+M14-O14)*100</t>
  </si>
  <si>
    <t>=IF(ISERROR(R14/K14),"",R14/K14)</t>
  </si>
  <si>
    <t>=IF(ISERROR(Q14/S14),0,Q14/S14)</t>
  </si>
  <si>
    <t>=MONTH($C$2)-1</t>
  </si>
  <si>
    <t>=D15</t>
  </si>
  <si>
    <t>=DATE(D$8,$B15,1)</t>
  </si>
  <si>
    <t>=NP("DateFilter",,D15)</t>
  </si>
  <si>
    <t>=DATE(D$8,$B15+1,1-1)</t>
  </si>
  <si>
    <t>=NP("DateFilter",,F15)</t>
  </si>
  <si>
    <t>=+F15-29</t>
  </si>
  <si>
    <t>=NP("DateFilter",$H15,$F15)</t>
  </si>
  <si>
    <t>=NP("DateFilter",$D15,$F15)</t>
  </si>
  <si>
    <t>=NETWORKDAYS(D15,F15)</t>
  </si>
  <si>
    <t>=(L15+M15-N15)/(L15+M15-O15)*100</t>
  </si>
  <si>
    <t>=IF(ISERROR(R15/K15),"",R15/K15)</t>
  </si>
  <si>
    <t>=IF(ISERROR(Q15/S15),0,Q15/S15)</t>
  </si>
  <si>
    <t>=MONTH($C$2)</t>
  </si>
  <si>
    <t>=D16</t>
  </si>
  <si>
    <t>=DATE(D$8,$B16,1)</t>
  </si>
  <si>
    <t>=NP("DateFilter",,D16)</t>
  </si>
  <si>
    <t>=DATE(D$8,$B16+1,1-1)</t>
  </si>
  <si>
    <t>=NP("DateFilter",,F16)</t>
  </si>
  <si>
    <t>=+F16-29</t>
  </si>
  <si>
    <t>=NP("DateFilter",$H16,$F16)</t>
  </si>
  <si>
    <t>=NP("DateFilter",$D16,$F16)</t>
  </si>
  <si>
    <t>=NETWORKDAYS(D16,F16)</t>
  </si>
  <si>
    <t>=(L16+M16-N16)/(L16+M16-O16)*100</t>
  </si>
  <si>
    <t>=IF(ISERROR(R16/K16),"",R16/K16)</t>
  </si>
  <si>
    <t>=IF(ISERROR(Q16/S16),0,Q16/S16)</t>
  </si>
  <si>
    <t>=NP("EVAL","=Today()")</t>
  </si>
  <si>
    <t>=NP("Eval","=IF(CustomerNo="""",""*"",CustomerNo)")</t>
  </si>
  <si>
    <t>=NP("Eval","=IF(AgingPeriod="""",""30"",AgingPeriod)")</t>
  </si>
  <si>
    <t>=NP("Eval","=now()")</t>
  </si>
  <si>
    <t>=Q18-$J$10+1</t>
  </si>
  <si>
    <t>=R18-$J$10+1</t>
  </si>
  <si>
    <t>=S18-$J$10+1</t>
  </si>
  <si>
    <t>=NP("DateFilter",,EndDate)</t>
  </si>
  <si>
    <t>=J8+1</t>
  </si>
  <si>
    <t>=EndDate+0</t>
  </si>
  <si>
    <t>=Q16-1</t>
  </si>
  <si>
    <t>=R16-1</t>
  </si>
  <si>
    <t>=S16-1</t>
  </si>
  <si>
    <t>=NP("DateFilter",,J8)</t>
  </si>
  <si>
    <t>=NP("DateFilter",P18,)</t>
  </si>
  <si>
    <t>=NP("DateFilter",Q16,Q18)</t>
  </si>
  <si>
    <t>=NP("DateFilter",R16,R18)</t>
  </si>
  <si>
    <t>=NP("DateFilter",S16,S18)</t>
  </si>
  <si>
    <t>=NP("DateFilter",T16,T18)</t>
  </si>
  <si>
    <t>=NL("Caption","18 Customer","1 No.")&amp;"  -  "&amp;NL("Caption","18 Customer","2 Name")</t>
  </si>
  <si>
    <t>=NL("Caption","21 Cust. Ledger Entry","37 Due Date")</t>
  </si>
  <si>
    <t>=TEXT($Q$18-Q18+1,0)&amp;"-"&amp;TEXT($Q$18-Q16+1,0)</t>
  </si>
  <si>
    <t>=TEXT($Q$18-R18+1,0)&amp;"-"&amp;TEXT($Q$18-R16+1,0)</t>
  </si>
  <si>
    <t>=TEXT($Q$18-S18+1,0)&amp;"-"&amp;TEXT($Q$18-S16+1,0)</t>
  </si>
  <si>
    <t>="Over "&amp;TEXT(Q$18-T18,0)</t>
  </si>
  <si>
    <t>=NL("Rows=7","18 Customer",,"1 No.",$J$9,"59 Balance (LCY)","&gt;0")</t>
  </si>
  <si>
    <t>=H24</t>
  </si>
  <si>
    <t>=NF($C24,"1 No.")</t>
  </si>
  <si>
    <t>=NF($C24,"1 No.")&amp;"  -  "&amp;NF($C24,"2 Name")</t>
  </si>
  <si>
    <t>=IFERROR(O24/NF(C24,"Credit Limit (LCY)"),"")</t>
  </si>
  <si>
    <t>=SUBTOTAL(3,L25:L29)</t>
  </si>
  <si>
    <t>=SUBTOTAL(9,O25:O29)</t>
  </si>
  <si>
    <t>=SUBTOTAL(9,P25:P29)</t>
  </si>
  <si>
    <t>=SUBTOTAL(9,Q25:Q29)</t>
  </si>
  <si>
    <t>=SUBTOTAL(9,R25:R29)</t>
  </si>
  <si>
    <t>=SUBTOTAL(9,S25:S29)</t>
  </si>
  <si>
    <t>=SUBTOTAL(9,T25:T29)</t>
  </si>
  <si>
    <t>=C24</t>
  </si>
  <si>
    <t>=E24</t>
  </si>
  <si>
    <t>="Contact: "&amp;NF($C25,"8 Contact")</t>
  </si>
  <si>
    <t>=C25</t>
  </si>
  <si>
    <t>=E25</t>
  </si>
  <si>
    <t>=NF($C26,"102 E-Mail")</t>
  </si>
  <si>
    <t>=NL("Rows","21 Cust. Ledger Entry",,"3 Customer No.","@@"&amp;$E28,"16 Remaining Amt. (LCY)","&lt;&gt;0")</t>
  </si>
  <si>
    <t>=E26</t>
  </si>
  <si>
    <t>=NF($D28,"5 Document Type")</t>
  </si>
  <si>
    <t>=NF($D28,"6 Document No.")</t>
  </si>
  <si>
    <t>=NF($D28,"37 Due Date")</t>
  </si>
  <si>
    <t>=StartDate-$M28+1</t>
  </si>
  <si>
    <t>=SUM(P28:T28)</t>
  </si>
  <si>
    <t>=IF($M28&gt;=$P$18,U28,0)</t>
  </si>
  <si>
    <t>=IF(AND($M28&gt;=$Q$16,$M28&lt;=$Q$18),U28,0)</t>
  </si>
  <si>
    <t>=IF(AND($M28&gt;=$R$16,$M28&lt;=$R$18),U28,0)</t>
  </si>
  <si>
    <t>=IF(AND($M28&gt;=$S$16,$M28&lt;=$S$18),U28,0)</t>
  </si>
  <si>
    <t>=IF($M28&lt;=$T$18,U28,0)</t>
  </si>
  <si>
    <t>=NF($D28,"16 Remaining Amt. (LCY)")</t>
  </si>
  <si>
    <t>=SUBTOTAL(9,O23:O31)</t>
  </si>
  <si>
    <t>=SUBTOTAL(9,P23:P31)</t>
  </si>
  <si>
    <t>=SUBTOTAL(9,Q23:Q31)</t>
  </si>
  <si>
    <t>=SUBTOTAL(9,R23:R31)</t>
  </si>
  <si>
    <t>=SUBTOTAL(9,S23:S31)</t>
  </si>
  <si>
    <t>=SUBTOTAL(9,T23:T31)</t>
  </si>
  <si>
    <t>=P32/TotalAR</t>
  </si>
  <si>
    <t>=Q32/TotalAR</t>
  </si>
  <si>
    <t>=R32/TotalAR</t>
  </si>
  <si>
    <t>=S32/TotalAR</t>
  </si>
  <si>
    <t>=T32/TotalAR</t>
  </si>
  <si>
    <t>=SUM(Q32:S32)</t>
  </si>
  <si>
    <t>=NL(,"2000000007 Date","2 Period Start","2 Period Start",$J$8,"1 Period Type","Date")</t>
  </si>
  <si>
    <t>=NL(-1,"2000000007 Date","2 Period Start","2 Period Start",$J$8,"1 Period Type","Date")</t>
  </si>
  <si>
    <t>=NL("Sum","379 Detailed Cust. Ledg. Entry","8 Amount (LCY)","4 Posting Date",E11)</t>
  </si>
  <si>
    <t>=NL("Sum","21 Cust. Ledger Entry","17 Amount (LCY)","5 Document Type","Invoice|Credit Memo","4 Posting Date",$J11)</t>
  </si>
  <si>
    <t>=NL("Sum","379 Detailed Cust. Ledg. Entry","8 Amount (LCY)","4 Posting Date",$G11)</t>
  </si>
  <si>
    <t>=NL("Sum","21 Cust. Ledger Entry","16 Remaining Amt. (LCY)","76 Date Filter",G11,"14 Remaining Amount","&lt;&gt;0","Posting Date",I11)</t>
  </si>
  <si>
    <t>=NL("Sum","21 Cust. Ledger Entry","16 Remaining Amt. (LCY)","76 Date Filter",$G11)</t>
  </si>
  <si>
    <t>=NL("Sum","379 Detailed Cust. Ledg. Entry","8 Amount (LCY)","4 Posting Date",E12)</t>
  </si>
  <si>
    <t>=NL("Sum","21 Cust. Ledger Entry","17 Amount (LCY)","5 Document Type","Invoice|Credit Memo","4 Posting Date",$J12)</t>
  </si>
  <si>
    <t>=NL("Sum","379 Detailed Cust. Ledg. Entry","8 Amount (LCY)","4 Posting Date",$G12)</t>
  </si>
  <si>
    <t>=NL("Sum","21 Cust. Ledger Entry","16 Remaining Amt. (LCY)","76 Date Filter",G12,"14 Remaining Amount","&lt;&gt;0","Posting Date",I12)</t>
  </si>
  <si>
    <t>=NL("Sum","21 Cust. Ledger Entry","16 Remaining Amt. (LCY)","76 Date Filter",$G12)</t>
  </si>
  <si>
    <t>=NL("Sum","379 Detailed Cust. Ledg. Entry","8 Amount (LCY)","4 Posting Date",E13)</t>
  </si>
  <si>
    <t>=NL("Sum","21 Cust. Ledger Entry","17 Amount (LCY)","5 Document Type","Invoice|Credit Memo","4 Posting Date",$J13)</t>
  </si>
  <si>
    <t>=NL("Sum","379 Detailed Cust. Ledg. Entry","8 Amount (LCY)","4 Posting Date",$G13)</t>
  </si>
  <si>
    <t>=NL("Sum","21 Cust. Ledger Entry","16 Remaining Amt. (LCY)","76 Date Filter",G13,"14 Remaining Amount","&lt;&gt;0","Posting Date",I13)</t>
  </si>
  <si>
    <t>=NL("Sum","21 Cust. Ledger Entry","16 Remaining Amt. (LCY)","76 Date Filter",$G13)</t>
  </si>
  <si>
    <t>=NL("Sum","379 Detailed Cust. Ledg. Entry","8 Amount (LCY)","4 Posting Date",E14)</t>
  </si>
  <si>
    <t>=NL("Sum","21 Cust. Ledger Entry","17 Amount (LCY)","5 Document Type","Invoice|Credit Memo","4 Posting Date",$J14)</t>
  </si>
  <si>
    <t>=NL("Sum","379 Detailed Cust. Ledg. Entry","8 Amount (LCY)","4 Posting Date",$G14)</t>
  </si>
  <si>
    <t>=NL("Sum","21 Cust. Ledger Entry","16 Remaining Amt. (LCY)","76 Date Filter",G14,"14 Remaining Amount","&lt;&gt;0","Posting Date",I14)</t>
  </si>
  <si>
    <t>=NL("Sum","21 Cust. Ledger Entry","16 Remaining Amt. (LCY)","76 Date Filter",$G14)</t>
  </si>
  <si>
    <t>=NL("Sum","379 Detailed Cust. Ledg. Entry","8 Amount (LCY)","4 Posting Date",E15)</t>
  </si>
  <si>
    <t>=NL("Sum","21 Cust. Ledger Entry","17 Amount (LCY)","5 Document Type","Invoice|Credit Memo","4 Posting Date",$J15)</t>
  </si>
  <si>
    <t>=NL("Sum","379 Detailed Cust. Ledg. Entry","8 Amount (LCY)","4 Posting Date",$G15)</t>
  </si>
  <si>
    <t>=NL("Sum","21 Cust. Ledger Entry","16 Remaining Amt. (LCY)","76 Date Filter",G15,"14 Remaining Amount","&lt;&gt;0","Posting Date",I15)</t>
  </si>
  <si>
    <t>=NL("Sum","21 Cust. Ledger Entry","16 Remaining Amt. (LCY)","76 Date Filter",$G15)</t>
  </si>
  <si>
    <t>=NL("Sum","379 Detailed Cust. Ledg. Entry","8 Amount (LCY)","4 Posting Date",E16)</t>
  </si>
  <si>
    <t>=NL("Sum","21 Cust. Ledger Entry","17 Amount (LCY)","5 Document Type","Invoice|Credit Memo","4 Posting Date",$J16)</t>
  </si>
  <si>
    <t>=NL("Sum","379 Detailed Cust. Ledg. Entry","8 Amount (LCY)","4 Posting Date",$G16)</t>
  </si>
  <si>
    <t>=NL("Sum","21 Cust. Ledger Entry","16 Remaining Amt. (LCY)","76 Date Filter",G16,"14 Remaining Amount","&lt;&gt;0","Posting Date",I16)</t>
  </si>
  <si>
    <t>=NL("Sum","21 Cust. Ledger Entry","16 Remaining Amt. (LCY)","76 Date Filter",$G16)</t>
  </si>
  <si>
    <t>=NL("Sum","21 Cust. Ledger Entry","16 Remaining Amt. (LCY)","76 Date Filter",$C$10,"5 Document Type","2|3")</t>
  </si>
  <si>
    <t>=NL("Sum","21 Cust. Ledger Entry","17 Amount (LCY)","4 Posting Date",$C$11,"5 Document Type","2|3")</t>
  </si>
  <si>
    <t>=NL("Sum","21 Cust. Ledger Entry","16 Remaining Amt. (LCY)","76 Date Filter",$C$16,"5 Document Type","2|3")</t>
  </si>
  <si>
    <t>=NL("Sum","21 Cust. Ledger Entry","17 Amount (LCY)","4 Posting Date",$C$17,"5 Document Type","2|3")</t>
  </si>
  <si>
    <t>Auto</t>
  </si>
  <si>
    <t>Hide+Auto</t>
  </si>
  <si>
    <t>='AR Aging'!P6564</t>
  </si>
  <si>
    <t>='AR Aging'!P6567</t>
  </si>
  <si>
    <t>='AR Aging'!Q6564</t>
  </si>
  <si>
    <t>='AR Aging'!Q6567</t>
  </si>
  <si>
    <t>='AR Aging'!R6564</t>
  </si>
  <si>
    <t>='AR Aging'!R6567</t>
  </si>
  <si>
    <t>='AR Aging'!S6564</t>
  </si>
  <si>
    <t>='AR Aging'!S6567</t>
  </si>
  <si>
    <t>='AR Aging'!T6564</t>
  </si>
  <si>
    <t>='AR Aging'!T6567</t>
  </si>
  <si>
    <t>='AR Aging'!O6564</t>
  </si>
  <si>
    <t>="""NAV Direct"",""CRONUS JetCorp USA"",""21"",""1"",""375234"""</t>
  </si>
  <si>
    <t>="""NAV Direct"",""CRONUS JetCorp USA"",""21"",""1"",""379234"""</t>
  </si>
  <si>
    <t>="""NAV Direct"",""CRONUS JetCorp USA"",""21"",""1"",""376648"""</t>
  </si>
  <si>
    <t>="""NAV Direct"",""CRONUS JetCorp USA"",""21"",""1"",""376603"""</t>
  </si>
  <si>
    <t>="""NAV Direct"",""CRONUS JetCorp USA"",""21"",""1"",""357449"""</t>
  </si>
  <si>
    <t>="""NAV Direct"",""CRONUS JetCorp USA"",""21"",""1"",""376558"""</t>
  </si>
  <si>
    <t>="""NAV Direct"",""CRONUS JetCorp USA"",""21"",""1"",""357291"""</t>
  </si>
  <si>
    <t>=SUM(L22:L30)</t>
  </si>
  <si>
    <t>=L31/$I$18</t>
  </si>
  <si>
    <t>="""NAV Direct"",""CRONUS JetCorp USA"",""21"",""1"",""383864"""</t>
  </si>
  <si>
    <t>="""NAV Direct"",""CRONUS JetCorp USA"",""21"",""1"",""313484"""</t>
  </si>
  <si>
    <t>="""NAV Direct"",""CRONUS JetCorp USA"",""21"",""1"",""313538"""</t>
  </si>
  <si>
    <t>="""NAV Direct"",""CRONUS JetCorp USA"",""21"",""1"",""371098"""</t>
  </si>
  <si>
    <t>="""NAV Direct"",""CRONUS JetCorp USA"",""21"",""1"",""383732"""</t>
  </si>
  <si>
    <t>="""NAV Direct"",""CRONUS JetCorp USA"",""21"",""1"",""313467"""</t>
  </si>
  <si>
    <t>="""NAV Direct"",""CRONUS JetCorp USA"",""21"",""1"",""334902"""</t>
  </si>
  <si>
    <t>=SUM(L35:L43)</t>
  </si>
  <si>
    <t>=L44/$I$18</t>
  </si>
  <si>
    <t>=NF($B23,"3 Customer No.")</t>
  </si>
  <si>
    <t>=NF($B24,"3 Customer No.")</t>
  </si>
  <si>
    <t>=NF($B25,"3 Customer No.")</t>
  </si>
  <si>
    <t>=NF($B26,"3 Customer No.")</t>
  </si>
  <si>
    <t>=NF($B27,"3 Customer No.")</t>
  </si>
  <si>
    <t>=NF($B29,"3 Customer No.")</t>
  </si>
  <si>
    <t>=NF($B23,"6 Document No.")</t>
  </si>
  <si>
    <t>=NF($B24,"6 Document No.")</t>
  </si>
  <si>
    <t>=NF($B25,"6 Document No.")</t>
  </si>
  <si>
    <t>=NF($B26,"6 Document No.")</t>
  </si>
  <si>
    <t>=NF($B27,"6 Document No.")</t>
  </si>
  <si>
    <t>=NF($B29,"6 Document No.")</t>
  </si>
  <si>
    <t>=NF($B23,"4 Posting Date")</t>
  </si>
  <si>
    <t>=NF($B24,"4 Posting Date")</t>
  </si>
  <si>
    <t>=NF($B25,"4 Posting Date")</t>
  </si>
  <si>
    <t>=NF($B26,"4 Posting Date")</t>
  </si>
  <si>
    <t>=NF($B27,"4 Posting Date")</t>
  </si>
  <si>
    <t>=NF($B29,"4 Posting Date")</t>
  </si>
  <si>
    <t>=NF($B23,"37 Due Date")</t>
  </si>
  <si>
    <t>=NF($B24,"37 Due Date")</t>
  </si>
  <si>
    <t>=NF($B25,"37 Due Date")</t>
  </si>
  <si>
    <t>=NF($B26,"37 Due Date")</t>
  </si>
  <si>
    <t>=NF($B27,"37 Due Date")</t>
  </si>
  <si>
    <t>=NF($B29,"37 Due Date")</t>
  </si>
  <si>
    <t>=NF($B23,"Remaining Amt. (LCY)","Date Filter",AR_Period)</t>
  </si>
  <si>
    <t>=NF($B24,"Remaining Amt. (LCY)","Date Filter",AR_Period)</t>
  </si>
  <si>
    <t>=NF($B25,"Remaining Amt. (LCY)","Date Filter",AR_Period)</t>
  </si>
  <si>
    <t>=NF($B26,"Remaining Amt. (LCY)","Date Filter",AR_Period)</t>
  </si>
  <si>
    <t>=NF($B27,"Remaining Amt. (LCY)","Date Filter",AR_Period)</t>
  </si>
  <si>
    <t>=NF($B29,"Remaining Amt. (LCY)","Date Filter",AR_Period)</t>
  </si>
  <si>
    <t>=NF($B35,"3 Customer No.")</t>
  </si>
  <si>
    <t>=NF($B36,"3 Customer No.")</t>
  </si>
  <si>
    <t>=NF($B37,"3 Customer No.")</t>
  </si>
  <si>
    <t>=NF($B38,"3 Customer No.")</t>
  </si>
  <si>
    <t>=NF($B39,"3 Customer No.")</t>
  </si>
  <si>
    <t>=NF($B40,"3 Customer No.")</t>
  </si>
  <si>
    <t>=NF($B41,"3 Customer No.")</t>
  </si>
  <si>
    <t>=NF($B42,"3 Customer No.")</t>
  </si>
  <si>
    <t>=NF($B35,"6 Document No.")</t>
  </si>
  <si>
    <t>=NF($B36,"6 Document No.")</t>
  </si>
  <si>
    <t>=NF($B37,"6 Document No.")</t>
  </si>
  <si>
    <t>=NF($B38,"6 Document No.")</t>
  </si>
  <si>
    <t>=NF($B39,"6 Document No.")</t>
  </si>
  <si>
    <t>=NF($B40,"6 Document No.")</t>
  </si>
  <si>
    <t>=NF($B41,"6 Document No.")</t>
  </si>
  <si>
    <t>=NF($B42,"6 Document No.")</t>
  </si>
  <si>
    <t>=NF($B35,"4 Posting Date")</t>
  </si>
  <si>
    <t>=NF($B36,"4 Posting Date")</t>
  </si>
  <si>
    <t>=NF($B37,"4 Posting Date")</t>
  </si>
  <si>
    <t>=NF($B38,"4 Posting Date")</t>
  </si>
  <si>
    <t>=NF($B39,"4 Posting Date")</t>
  </si>
  <si>
    <t>=NF($B40,"4 Posting Date")</t>
  </si>
  <si>
    <t>=NF($B41,"4 Posting Date")</t>
  </si>
  <si>
    <t>=NF($B42,"4 Posting Date")</t>
  </si>
  <si>
    <t>=NF($B35,"37 Due Date")</t>
  </si>
  <si>
    <t>=NF($B36,"37 Due Date")</t>
  </si>
  <si>
    <t>=NF($B37,"37 Due Date")</t>
  </si>
  <si>
    <t>=NF($B38,"37 Due Date")</t>
  </si>
  <si>
    <t>=NF($B39,"37 Due Date")</t>
  </si>
  <si>
    <t>=NF($B40,"37 Due Date")</t>
  </si>
  <si>
    <t>=NF($B41,"37 Due Date")</t>
  </si>
  <si>
    <t>=NF($B42,"37 Due Date")</t>
  </si>
  <si>
    <t>=NF($B35,"Remaining Amt. (LCY)","Date Filter",AR_Period)</t>
  </si>
  <si>
    <t>=NF($B36,"Remaining Amt. (LCY)","Date Filter",AR_Period)</t>
  </si>
  <si>
    <t>=NF($B37,"Remaining Amt. (LCY)","Date Filter",AR_Period)</t>
  </si>
  <si>
    <t>=NF($B38,"Remaining Amt. (LCY)","Date Filter",AR_Period)</t>
  </si>
  <si>
    <t>=NF($B39,"Remaining Amt. (LCY)","Date Filter",AR_Period)</t>
  </si>
  <si>
    <t>=NF($B40,"Remaining Amt. (LCY)","Date Filter",AR_Period)</t>
  </si>
  <si>
    <t>=NF($B41,"Remaining Amt. (LCY)","Date Filter",AR_Period)</t>
  </si>
  <si>
    <t>=NF($B42,"Remaining Amt. (LCY)","Date Filter",AR_Period)</t>
  </si>
  <si>
    <t>=SUBTOTAL(3,L25:L74)</t>
  </si>
  <si>
    <t>=SUBTOTAL(9,O25:O74)</t>
  </si>
  <si>
    <t>=SUBTOTAL(9,P25:P74)</t>
  </si>
  <si>
    <t>=SUBTOTAL(9,Q25:Q74)</t>
  </si>
  <si>
    <t>=SUBTOTAL(9,R25:R74)</t>
  </si>
  <si>
    <t>=SUBTOTAL(9,S25:S74)</t>
  </si>
  <si>
    <t>=SUBTOTAL(9,T25:T74)</t>
  </si>
  <si>
    <t>="""NAV Direct"",""CRONUS JetCorp USA"",""21"",""1"",""371184"""</t>
  </si>
  <si>
    <t>=E27</t>
  </si>
  <si>
    <t>=StartDate-$M29+1</t>
  </si>
  <si>
    <t>=SUM(P29:T29)</t>
  </si>
  <si>
    <t>=IF($M29&gt;=$P$18,U29,0)</t>
  </si>
  <si>
    <t>=IF(AND($M29&gt;=$Q$16,$M29&lt;=$Q$18),U29,0)</t>
  </si>
  <si>
    <t>=IF(AND($M29&gt;=$R$16,$M29&lt;=$R$18),U29,0)</t>
  </si>
  <si>
    <t>=IF(AND($M29&gt;=$S$16,$M29&lt;=$S$18),U29,0)</t>
  </si>
  <si>
    <t>=IF($M29&lt;=$T$18,U29,0)</t>
  </si>
  <si>
    <t>="""NAV Direct"",""CRONUS JetCorp USA"",""21"",""1"",""371221"""</t>
  </si>
  <si>
    <t>=E28</t>
  </si>
  <si>
    <t>=StartDate-$M30+1</t>
  </si>
  <si>
    <t>=SUM(P30:T30)</t>
  </si>
  <si>
    <t>=IF($M30&gt;=$P$18,U30,0)</t>
  </si>
  <si>
    <t>=IF(AND($M30&gt;=$Q$16,$M30&lt;=$Q$18),U30,0)</t>
  </si>
  <si>
    <t>=IF(AND($M30&gt;=$R$16,$M30&lt;=$R$18),U30,0)</t>
  </si>
  <si>
    <t>=IF(AND($M30&gt;=$S$16,$M30&lt;=$S$18),U30,0)</t>
  </si>
  <si>
    <t>=IF($M30&lt;=$T$18,U30,0)</t>
  </si>
  <si>
    <t>="""NAV Direct"",""CRONUS JetCorp USA"",""21"",""1"",""371832"""</t>
  </si>
  <si>
    <t>=E29</t>
  </si>
  <si>
    <t>=StartDate-$M31+1</t>
  </si>
  <si>
    <t>=SUM(P31:T31)</t>
  </si>
  <si>
    <t>=IF($M31&gt;=$P$18,U31,0)</t>
  </si>
  <si>
    <t>=IF(AND($M31&gt;=$Q$16,$M31&lt;=$Q$18),U31,0)</t>
  </si>
  <si>
    <t>=IF(AND($M31&gt;=$R$16,$M31&lt;=$R$18),U31,0)</t>
  </si>
  <si>
    <t>=IF(AND($M31&gt;=$S$16,$M31&lt;=$S$18),U31,0)</t>
  </si>
  <si>
    <t>=IF($M31&lt;=$T$18,U31,0)</t>
  </si>
  <si>
    <t>="""NAV Direct"",""CRONUS JetCorp USA"",""21"",""1"",""372144"""</t>
  </si>
  <si>
    <t>=E30</t>
  </si>
  <si>
    <t>=StartDate-$M32+1</t>
  </si>
  <si>
    <t>=SUM(P32:T32)</t>
  </si>
  <si>
    <t>=IF($M32&gt;=$P$18,U32,0)</t>
  </si>
  <si>
    <t>=IF(AND($M32&gt;=$Q$16,$M32&lt;=$Q$18),U32,0)</t>
  </si>
  <si>
    <t>=IF(AND($M32&gt;=$R$16,$M32&lt;=$R$18),U32,0)</t>
  </si>
  <si>
    <t>=IF(AND($M32&gt;=$S$16,$M32&lt;=$S$18),U32,0)</t>
  </si>
  <si>
    <t>=IF($M32&lt;=$T$18,U32,0)</t>
  </si>
  <si>
    <t>="""NAV Direct"",""CRONUS JetCorp USA"",""21"",""1"",""372177"""</t>
  </si>
  <si>
    <t>=E31</t>
  </si>
  <si>
    <t>=StartDate-$M33+1</t>
  </si>
  <si>
    <t>=SUM(P33:T33)</t>
  </si>
  <si>
    <t>=IF($M33&gt;=$P$18,U33,0)</t>
  </si>
  <si>
    <t>=IF(AND($M33&gt;=$Q$16,$M33&lt;=$Q$18),U33,0)</t>
  </si>
  <si>
    <t>=IF(AND($M33&gt;=$R$16,$M33&lt;=$R$18),U33,0)</t>
  </si>
  <si>
    <t>=IF(AND($M33&gt;=$S$16,$M33&lt;=$S$18),U33,0)</t>
  </si>
  <si>
    <t>=IF($M33&lt;=$T$18,U33,0)</t>
  </si>
  <si>
    <t>="""NAV Direct"",""CRONUS JetCorp USA"",""21"",""1"",""372212"""</t>
  </si>
  <si>
    <t>=E32</t>
  </si>
  <si>
    <t>=StartDate-$M34+1</t>
  </si>
  <si>
    <t>=SUM(P34:T34)</t>
  </si>
  <si>
    <t>=IF($M34&gt;=$P$18,U34,0)</t>
  </si>
  <si>
    <t>=IF(AND($M34&gt;=$Q$16,$M34&lt;=$Q$18),U34,0)</t>
  </si>
  <si>
    <t>=IF(AND($M34&gt;=$R$16,$M34&lt;=$R$18),U34,0)</t>
  </si>
  <si>
    <t>=IF(AND($M34&gt;=$S$16,$M34&lt;=$S$18),U34,0)</t>
  </si>
  <si>
    <t>=IF($M34&lt;=$T$18,U34,0)</t>
  </si>
  <si>
    <t>="""NAV Direct"",""CRONUS JetCorp USA"",""21"",""1"",""372455"""</t>
  </si>
  <si>
    <t>=E33</t>
  </si>
  <si>
    <t>=StartDate-$M35+1</t>
  </si>
  <si>
    <t>=SUM(P35:T35)</t>
  </si>
  <si>
    <t>=IF($M35&gt;=$P$18,U35,0)</t>
  </si>
  <si>
    <t>=IF(AND($M35&gt;=$Q$16,$M35&lt;=$Q$18),U35,0)</t>
  </si>
  <si>
    <t>=IF(AND($M35&gt;=$R$16,$M35&lt;=$R$18),U35,0)</t>
  </si>
  <si>
    <t>=IF(AND($M35&gt;=$S$16,$M35&lt;=$S$18),U35,0)</t>
  </si>
  <si>
    <t>=IF($M35&lt;=$T$18,U35,0)</t>
  </si>
  <si>
    <t>="""NAV Direct"",""CRONUS JetCorp USA"",""21"",""1"",""372554"""</t>
  </si>
  <si>
    <t>=E34</t>
  </si>
  <si>
    <t>=StartDate-$M36+1</t>
  </si>
  <si>
    <t>=SUM(P36:T36)</t>
  </si>
  <si>
    <t>=IF($M36&gt;=$P$18,U36,0)</t>
  </si>
  <si>
    <t>=IF(AND($M36&gt;=$Q$16,$M36&lt;=$Q$18),U36,0)</t>
  </si>
  <si>
    <t>=IF(AND($M36&gt;=$R$16,$M36&lt;=$R$18),U36,0)</t>
  </si>
  <si>
    <t>=IF(AND($M36&gt;=$S$16,$M36&lt;=$S$18),U36,0)</t>
  </si>
  <si>
    <t>=IF($M36&lt;=$T$18,U36,0)</t>
  </si>
  <si>
    <t>="""NAV Direct"",""CRONUS JetCorp USA"",""21"",""1"",""372632"""</t>
  </si>
  <si>
    <t>=E35</t>
  </si>
  <si>
    <t>=StartDate-$M37+1</t>
  </si>
  <si>
    <t>=SUM(P37:T37)</t>
  </si>
  <si>
    <t>=IF($M37&gt;=$P$18,U37,0)</t>
  </si>
  <si>
    <t>=IF(AND($M37&gt;=$Q$16,$M37&lt;=$Q$18),U37,0)</t>
  </si>
  <si>
    <t>=IF(AND($M37&gt;=$R$16,$M37&lt;=$R$18),U37,0)</t>
  </si>
  <si>
    <t>=IF(AND($M37&gt;=$S$16,$M37&lt;=$S$18),U37,0)</t>
  </si>
  <si>
    <t>=IF($M37&lt;=$T$18,U37,0)</t>
  </si>
  <si>
    <t>="""NAV Direct"",""CRONUS JetCorp USA"",""21"",""1"",""372667"""</t>
  </si>
  <si>
    <t>=E36</t>
  </si>
  <si>
    <t>=StartDate-$M38+1</t>
  </si>
  <si>
    <t>=SUM(P38:T38)</t>
  </si>
  <si>
    <t>=IF($M38&gt;=$P$18,U38,0)</t>
  </si>
  <si>
    <t>=IF(AND($M38&gt;=$Q$16,$M38&lt;=$Q$18),U38,0)</t>
  </si>
  <si>
    <t>=IF(AND($M38&gt;=$R$16,$M38&lt;=$R$18),U38,0)</t>
  </si>
  <si>
    <t>=IF(AND($M38&gt;=$S$16,$M38&lt;=$S$18),U38,0)</t>
  </si>
  <si>
    <t>=IF($M38&lt;=$T$18,U38,0)</t>
  </si>
  <si>
    <t>="""NAV Direct"",""CRONUS JetCorp USA"",""21"",""1"",""372809"""</t>
  </si>
  <si>
    <t>=E37</t>
  </si>
  <si>
    <t>=StartDate-$M39+1</t>
  </si>
  <si>
    <t>=SUM(P39:T39)</t>
  </si>
  <si>
    <t>=IF($M39&gt;=$P$18,U39,0)</t>
  </si>
  <si>
    <t>=IF(AND($M39&gt;=$Q$16,$M39&lt;=$Q$18),U39,0)</t>
  </si>
  <si>
    <t>=IF(AND($M39&gt;=$R$16,$M39&lt;=$R$18),U39,0)</t>
  </si>
  <si>
    <t>=IF(AND($M39&gt;=$S$16,$M39&lt;=$S$18),U39,0)</t>
  </si>
  <si>
    <t>=IF($M39&lt;=$T$18,U39,0)</t>
  </si>
  <si>
    <t>="""NAV Direct"",""CRONUS JetCorp USA"",""21"",""1"",""372887"""</t>
  </si>
  <si>
    <t>=E38</t>
  </si>
  <si>
    <t>=StartDate-$M40+1</t>
  </si>
  <si>
    <t>=SUM(P40:T40)</t>
  </si>
  <si>
    <t>=IF($M40&gt;=$P$18,U40,0)</t>
  </si>
  <si>
    <t>=IF(AND($M40&gt;=$Q$16,$M40&lt;=$Q$18),U40,0)</t>
  </si>
  <si>
    <t>=IF(AND($M40&gt;=$R$16,$M40&lt;=$R$18),U40,0)</t>
  </si>
  <si>
    <t>=IF(AND($M40&gt;=$S$16,$M40&lt;=$S$18),U40,0)</t>
  </si>
  <si>
    <t>=IF($M40&lt;=$T$18,U40,0)</t>
  </si>
  <si>
    <t>="""NAV Direct"",""CRONUS JetCorp USA"",""21"",""1"",""373033"""</t>
  </si>
  <si>
    <t>=E39</t>
  </si>
  <si>
    <t>=StartDate-$M41+1</t>
  </si>
  <si>
    <t>=SUM(P41:T41)</t>
  </si>
  <si>
    <t>=IF($M41&gt;=$P$18,U41,0)</t>
  </si>
  <si>
    <t>=IF(AND($M41&gt;=$Q$16,$M41&lt;=$Q$18),U41,0)</t>
  </si>
  <si>
    <t>=IF(AND($M41&gt;=$R$16,$M41&lt;=$R$18),U41,0)</t>
  </si>
  <si>
    <t>=IF(AND($M41&gt;=$S$16,$M41&lt;=$S$18),U41,0)</t>
  </si>
  <si>
    <t>=IF($M41&lt;=$T$18,U41,0)</t>
  </si>
  <si>
    <t>="""NAV Direct"",""CRONUS JetCorp USA"",""21"",""1"",""373335"""</t>
  </si>
  <si>
    <t>=E40</t>
  </si>
  <si>
    <t>=StartDate-$M42+1</t>
  </si>
  <si>
    <t>=SUM(P42:T42)</t>
  </si>
  <si>
    <t>=IF($M42&gt;=$P$18,U42,0)</t>
  </si>
  <si>
    <t>=IF(AND($M42&gt;=$Q$16,$M42&lt;=$Q$18),U42,0)</t>
  </si>
  <si>
    <t>=IF(AND($M42&gt;=$R$16,$M42&lt;=$R$18),U42,0)</t>
  </si>
  <si>
    <t>=IF(AND($M42&gt;=$S$16,$M42&lt;=$S$18),U42,0)</t>
  </si>
  <si>
    <t>=IF($M42&lt;=$T$18,U42,0)</t>
  </si>
  <si>
    <t>="""NAV Direct"",""CRONUS JetCorp USA"",""21"",""1"",""373514"""</t>
  </si>
  <si>
    <t>=E41</t>
  </si>
  <si>
    <t>=StartDate-$M43+1</t>
  </si>
  <si>
    <t>=SUM(P43:T43)</t>
  </si>
  <si>
    <t>=IF($M43&gt;=$P$18,U43,0)</t>
  </si>
  <si>
    <t>=IF(AND($M43&gt;=$Q$16,$M43&lt;=$Q$18),U43,0)</t>
  </si>
  <si>
    <t>=IF(AND($M43&gt;=$R$16,$M43&lt;=$R$18),U43,0)</t>
  </si>
  <si>
    <t>=IF(AND($M43&gt;=$S$16,$M43&lt;=$S$18),U43,0)</t>
  </si>
  <si>
    <t>=IF($M43&lt;=$T$18,U43,0)</t>
  </si>
  <si>
    <t>="""NAV Direct"",""CRONUS JetCorp USA"",""21"",""1"",""373594"""</t>
  </si>
  <si>
    <t>=E42</t>
  </si>
  <si>
    <t>=StartDate-$M44+1</t>
  </si>
  <si>
    <t>=SUM(P44:T44)</t>
  </si>
  <si>
    <t>=IF($M44&gt;=$P$18,U44,0)</t>
  </si>
  <si>
    <t>=IF(AND($M44&gt;=$Q$16,$M44&lt;=$Q$18),U44,0)</t>
  </si>
  <si>
    <t>=IF(AND($M44&gt;=$R$16,$M44&lt;=$R$18),U44,0)</t>
  </si>
  <si>
    <t>=IF(AND($M44&gt;=$S$16,$M44&lt;=$S$18),U44,0)</t>
  </si>
  <si>
    <t>=IF($M44&lt;=$T$18,U44,0)</t>
  </si>
  <si>
    <t>="""NAV Direct"",""CRONUS JetCorp USA"",""21"",""1"",""373713"""</t>
  </si>
  <si>
    <t>=E43</t>
  </si>
  <si>
    <t>=StartDate-$M45+1</t>
  </si>
  <si>
    <t>=SUM(P45:T45)</t>
  </si>
  <si>
    <t>=IF($M45&gt;=$P$18,U45,0)</t>
  </si>
  <si>
    <t>=IF(AND($M45&gt;=$Q$16,$M45&lt;=$Q$18),U45,0)</t>
  </si>
  <si>
    <t>=IF(AND($M45&gt;=$R$16,$M45&lt;=$R$18),U45,0)</t>
  </si>
  <si>
    <t>=IF(AND($M45&gt;=$S$16,$M45&lt;=$S$18),U45,0)</t>
  </si>
  <si>
    <t>=IF($M45&lt;=$T$18,U45,0)</t>
  </si>
  <si>
    <t>="""NAV Direct"",""CRONUS JetCorp USA"",""21"",""1"",""373876"""</t>
  </si>
  <si>
    <t>=E44</t>
  </si>
  <si>
    <t>=StartDate-$M46+1</t>
  </si>
  <si>
    <t>=SUM(P46:T46)</t>
  </si>
  <si>
    <t>=IF($M46&gt;=$P$18,U46,0)</t>
  </si>
  <si>
    <t>=IF(AND($M46&gt;=$Q$16,$M46&lt;=$Q$18),U46,0)</t>
  </si>
  <si>
    <t>=IF(AND($M46&gt;=$R$16,$M46&lt;=$R$18),U46,0)</t>
  </si>
  <si>
    <t>=IF(AND($M46&gt;=$S$16,$M46&lt;=$S$18),U46,0)</t>
  </si>
  <si>
    <t>=IF($M46&lt;=$T$18,U46,0)</t>
  </si>
  <si>
    <t>="""NAV Direct"",""CRONUS JetCorp USA"",""21"",""1"",""373913"""</t>
  </si>
  <si>
    <t>=E45</t>
  </si>
  <si>
    <t>=StartDate-$M47+1</t>
  </si>
  <si>
    <t>=SUM(P47:T47)</t>
  </si>
  <si>
    <t>=IF($M47&gt;=$P$18,U47,0)</t>
  </si>
  <si>
    <t>=IF(AND($M47&gt;=$Q$16,$M47&lt;=$Q$18),U47,0)</t>
  </si>
  <si>
    <t>=IF(AND($M47&gt;=$R$16,$M47&lt;=$R$18),U47,0)</t>
  </si>
  <si>
    <t>=IF(AND($M47&gt;=$S$16,$M47&lt;=$S$18),U47,0)</t>
  </si>
  <si>
    <t>=IF($M47&lt;=$T$18,U47,0)</t>
  </si>
  <si>
    <t>="""NAV Direct"",""CRONUS JetCorp USA"",""21"",""1"",""373964"""</t>
  </si>
  <si>
    <t>=E46</t>
  </si>
  <si>
    <t>=StartDate-$M48+1</t>
  </si>
  <si>
    <t>=SUM(P48:T48)</t>
  </si>
  <si>
    <t>=IF($M48&gt;=$P$18,U48,0)</t>
  </si>
  <si>
    <t>=IF(AND($M48&gt;=$Q$16,$M48&lt;=$Q$18),U48,0)</t>
  </si>
  <si>
    <t>=IF(AND($M48&gt;=$R$16,$M48&lt;=$R$18),U48,0)</t>
  </si>
  <si>
    <t>=IF(AND($M48&gt;=$S$16,$M48&lt;=$S$18),U48,0)</t>
  </si>
  <si>
    <t>=IF($M48&lt;=$T$18,U48,0)</t>
  </si>
  <si>
    <t>="""NAV Direct"",""CRONUS JetCorp USA"",""21"",""1"",""374052"""</t>
  </si>
  <si>
    <t>=E47</t>
  </si>
  <si>
    <t>=StartDate-$M49+1</t>
  </si>
  <si>
    <t>=SUM(P49:T49)</t>
  </si>
  <si>
    <t>=IF($M49&gt;=$P$18,U49,0)</t>
  </si>
  <si>
    <t>=IF(AND($M49&gt;=$Q$16,$M49&lt;=$Q$18),U49,0)</t>
  </si>
  <si>
    <t>=IF(AND($M49&gt;=$R$16,$M49&lt;=$R$18),U49,0)</t>
  </si>
  <si>
    <t>=IF(AND($M49&gt;=$S$16,$M49&lt;=$S$18),U49,0)</t>
  </si>
  <si>
    <t>=IF($M49&lt;=$T$18,U49,0)</t>
  </si>
  <si>
    <t>="""NAV Direct"",""CRONUS JetCorp USA"",""21"",""1"",""374087"""</t>
  </si>
  <si>
    <t>=E48</t>
  </si>
  <si>
    <t>=StartDate-$M50+1</t>
  </si>
  <si>
    <t>=SUM(P50:T50)</t>
  </si>
  <si>
    <t>=IF($M50&gt;=$P$18,U50,0)</t>
  </si>
  <si>
    <t>=IF(AND($M50&gt;=$Q$16,$M50&lt;=$Q$18),U50,0)</t>
  </si>
  <si>
    <t>=IF(AND($M50&gt;=$R$16,$M50&lt;=$R$18),U50,0)</t>
  </si>
  <si>
    <t>=IF(AND($M50&gt;=$S$16,$M50&lt;=$S$18),U50,0)</t>
  </si>
  <si>
    <t>=IF($M50&lt;=$T$18,U50,0)</t>
  </si>
  <si>
    <t>="""NAV Direct"",""CRONUS JetCorp USA"",""21"",""1"",""374295"""</t>
  </si>
  <si>
    <t>=E49</t>
  </si>
  <si>
    <t>=StartDate-$M51+1</t>
  </si>
  <si>
    <t>=SUM(P51:T51)</t>
  </si>
  <si>
    <t>=IF($M51&gt;=$P$18,U51,0)</t>
  </si>
  <si>
    <t>=IF(AND($M51&gt;=$Q$16,$M51&lt;=$Q$18),U51,0)</t>
  </si>
  <si>
    <t>=IF(AND($M51&gt;=$R$16,$M51&lt;=$R$18),U51,0)</t>
  </si>
  <si>
    <t>=IF(AND($M51&gt;=$S$16,$M51&lt;=$S$18),U51,0)</t>
  </si>
  <si>
    <t>=IF($M51&lt;=$T$18,U51,0)</t>
  </si>
  <si>
    <t>="""NAV Direct"",""CRONUS JetCorp USA"",""21"",""1"",""374508"""</t>
  </si>
  <si>
    <t>=E50</t>
  </si>
  <si>
    <t>=StartDate-$M52+1</t>
  </si>
  <si>
    <t>=SUM(P52:T52)</t>
  </si>
  <si>
    <t>=IF($M52&gt;=$P$18,U52,0)</t>
  </si>
  <si>
    <t>=IF(AND($M52&gt;=$Q$16,$M52&lt;=$Q$18),U52,0)</t>
  </si>
  <si>
    <t>=IF(AND($M52&gt;=$R$16,$M52&lt;=$R$18),U52,0)</t>
  </si>
  <si>
    <t>=IF(AND($M52&gt;=$S$16,$M52&lt;=$S$18),U52,0)</t>
  </si>
  <si>
    <t>=IF($M52&lt;=$T$18,U52,0)</t>
  </si>
  <si>
    <t>="""NAV Direct"",""CRONUS JetCorp USA"",""21"",""1"",""374617"""</t>
  </si>
  <si>
    <t>=E51</t>
  </si>
  <si>
    <t>=StartDate-$M53+1</t>
  </si>
  <si>
    <t>=SUM(P53:T53)</t>
  </si>
  <si>
    <t>=IF($M53&gt;=$P$18,U53,0)</t>
  </si>
  <si>
    <t>=IF(AND($M53&gt;=$Q$16,$M53&lt;=$Q$18),U53,0)</t>
  </si>
  <si>
    <t>=IF(AND($M53&gt;=$R$16,$M53&lt;=$R$18),U53,0)</t>
  </si>
  <si>
    <t>=IF(AND($M53&gt;=$S$16,$M53&lt;=$S$18),U53,0)</t>
  </si>
  <si>
    <t>=IF($M53&lt;=$T$18,U53,0)</t>
  </si>
  <si>
    <t>="""NAV Direct"",""CRONUS JetCorp USA"",""21"",""1"",""374696"""</t>
  </si>
  <si>
    <t>=E52</t>
  </si>
  <si>
    <t>=StartDate-$M54+1</t>
  </si>
  <si>
    <t>=SUM(P54:T54)</t>
  </si>
  <si>
    <t>=IF($M54&gt;=$P$18,U54,0)</t>
  </si>
  <si>
    <t>=IF(AND($M54&gt;=$Q$16,$M54&lt;=$Q$18),U54,0)</t>
  </si>
  <si>
    <t>=IF(AND($M54&gt;=$R$16,$M54&lt;=$R$18),U54,0)</t>
  </si>
  <si>
    <t>=IF(AND($M54&gt;=$S$16,$M54&lt;=$S$18),U54,0)</t>
  </si>
  <si>
    <t>=IF($M54&lt;=$T$18,U54,0)</t>
  </si>
  <si>
    <t>="""NAV Direct"",""CRONUS JetCorp USA"",""21"",""1"",""374758"""</t>
  </si>
  <si>
    <t>=E53</t>
  </si>
  <si>
    <t>=StartDate-$M55+1</t>
  </si>
  <si>
    <t>=SUM(P55:T55)</t>
  </si>
  <si>
    <t>=IF($M55&gt;=$P$18,U55,0)</t>
  </si>
  <si>
    <t>=IF(AND($M55&gt;=$Q$16,$M55&lt;=$Q$18),U55,0)</t>
  </si>
  <si>
    <t>=IF(AND($M55&gt;=$R$16,$M55&lt;=$R$18),U55,0)</t>
  </si>
  <si>
    <t>=IF(AND($M55&gt;=$S$16,$M55&lt;=$S$18),U55,0)</t>
  </si>
  <si>
    <t>=IF($M55&lt;=$T$18,U55,0)</t>
  </si>
  <si>
    <t>="""NAV Direct"",""CRONUS JetCorp USA"",""21"",""1"",""375001"""</t>
  </si>
  <si>
    <t>=E54</t>
  </si>
  <si>
    <t>=StartDate-$M56+1</t>
  </si>
  <si>
    <t>=SUM(P56:T56)</t>
  </si>
  <si>
    <t>=IF($M56&gt;=$P$18,U56,0)</t>
  </si>
  <si>
    <t>=IF(AND($M56&gt;=$Q$16,$M56&lt;=$Q$18),U56,0)</t>
  </si>
  <si>
    <t>=IF(AND($M56&gt;=$R$16,$M56&lt;=$R$18),U56,0)</t>
  </si>
  <si>
    <t>=IF(AND($M56&gt;=$S$16,$M56&lt;=$S$18),U56,0)</t>
  </si>
  <si>
    <t>=IF($M56&lt;=$T$18,U56,0)</t>
  </si>
  <si>
    <t>="""NAV Direct"",""CRONUS JetCorp USA"",""21"",""1"",""375484"""</t>
  </si>
  <si>
    <t>=E55</t>
  </si>
  <si>
    <t>=StartDate-$M57+1</t>
  </si>
  <si>
    <t>=SUM(P57:T57)</t>
  </si>
  <si>
    <t>=IF($M57&gt;=$P$18,U57,0)</t>
  </si>
  <si>
    <t>=IF(AND($M57&gt;=$Q$16,$M57&lt;=$Q$18),U57,0)</t>
  </si>
  <si>
    <t>=IF(AND($M57&gt;=$R$16,$M57&lt;=$R$18),U57,0)</t>
  </si>
  <si>
    <t>=IF(AND($M57&gt;=$S$16,$M57&lt;=$S$18),U57,0)</t>
  </si>
  <si>
    <t>=IF($M57&lt;=$T$18,U57,0)</t>
  </si>
  <si>
    <t>="""NAV Direct"",""CRONUS JetCorp USA"",""21"",""1"",""375568"""</t>
  </si>
  <si>
    <t>=E56</t>
  </si>
  <si>
    <t>=StartDate-$M58+1</t>
  </si>
  <si>
    <t>=SUM(P58:T58)</t>
  </si>
  <si>
    <t>=IF($M58&gt;=$P$18,U58,0)</t>
  </si>
  <si>
    <t>=IF(AND($M58&gt;=$Q$16,$M58&lt;=$Q$18),U58,0)</t>
  </si>
  <si>
    <t>=IF(AND($M58&gt;=$R$16,$M58&lt;=$R$18),U58,0)</t>
  </si>
  <si>
    <t>=IF(AND($M58&gt;=$S$16,$M58&lt;=$S$18),U58,0)</t>
  </si>
  <si>
    <t>=IF($M58&lt;=$T$18,U58,0)</t>
  </si>
  <si>
    <t>="""NAV Direct"",""CRONUS JetCorp USA"",""21"",""1"",""375650"""</t>
  </si>
  <si>
    <t>=E57</t>
  </si>
  <si>
    <t>=StartDate-$M59+1</t>
  </si>
  <si>
    <t>=SUM(P59:T59)</t>
  </si>
  <si>
    <t>=IF($M59&gt;=$P$18,U59,0)</t>
  </si>
  <si>
    <t>=IF(AND($M59&gt;=$Q$16,$M59&lt;=$Q$18),U59,0)</t>
  </si>
  <si>
    <t>=IF(AND($M59&gt;=$R$16,$M59&lt;=$R$18),U59,0)</t>
  </si>
  <si>
    <t>=IF(AND($M59&gt;=$S$16,$M59&lt;=$S$18),U59,0)</t>
  </si>
  <si>
    <t>=IF($M59&lt;=$T$18,U59,0)</t>
  </si>
  <si>
    <t>="""NAV Direct"",""CRONUS JetCorp USA"",""21"",""1"",""375681"""</t>
  </si>
  <si>
    <t>=E58</t>
  </si>
  <si>
    <t>=StartDate-$M60+1</t>
  </si>
  <si>
    <t>=SUM(P60:T60)</t>
  </si>
  <si>
    <t>=IF($M60&gt;=$P$18,U60,0)</t>
  </si>
  <si>
    <t>=IF(AND($M60&gt;=$Q$16,$M60&lt;=$Q$18),U60,0)</t>
  </si>
  <si>
    <t>=IF(AND($M60&gt;=$R$16,$M60&lt;=$R$18),U60,0)</t>
  </si>
  <si>
    <t>=IF(AND($M60&gt;=$S$16,$M60&lt;=$S$18),U60,0)</t>
  </si>
  <si>
    <t>=IF($M60&lt;=$T$18,U60,0)</t>
  </si>
  <si>
    <t>="""NAV Direct"",""CRONUS JetCorp USA"",""21"",""1"",""375873"""</t>
  </si>
  <si>
    <t>=E59</t>
  </si>
  <si>
    <t>=StartDate-$M61+1</t>
  </si>
  <si>
    <t>=SUM(P61:T61)</t>
  </si>
  <si>
    <t>=IF($M61&gt;=$P$18,U61,0)</t>
  </si>
  <si>
    <t>=IF(AND($M61&gt;=$Q$16,$M61&lt;=$Q$18),U61,0)</t>
  </si>
  <si>
    <t>=IF(AND($M61&gt;=$R$16,$M61&lt;=$R$18),U61,0)</t>
  </si>
  <si>
    <t>=IF(AND($M61&gt;=$S$16,$M61&lt;=$S$18),U61,0)</t>
  </si>
  <si>
    <t>=IF($M61&lt;=$T$18,U61,0)</t>
  </si>
  <si>
    <t>="""NAV Direct"",""CRONUS JetCorp USA"",""21"",""1"",""376058"""</t>
  </si>
  <si>
    <t>=E60</t>
  </si>
  <si>
    <t>=StartDate-$M62+1</t>
  </si>
  <si>
    <t>=SUM(P62:T62)</t>
  </si>
  <si>
    <t>=IF($M62&gt;=$P$18,U62,0)</t>
  </si>
  <si>
    <t>=IF(AND($M62&gt;=$Q$16,$M62&lt;=$Q$18),U62,0)</t>
  </si>
  <si>
    <t>=IF(AND($M62&gt;=$R$16,$M62&lt;=$R$18),U62,0)</t>
  </si>
  <si>
    <t>=IF(AND($M62&gt;=$S$16,$M62&lt;=$S$18),U62,0)</t>
  </si>
  <si>
    <t>=IF($M62&lt;=$T$18,U62,0)</t>
  </si>
  <si>
    <t>=E61</t>
  </si>
  <si>
    <t>=StartDate-$M63+1</t>
  </si>
  <si>
    <t>=SUM(P63:T63)</t>
  </si>
  <si>
    <t>=IF($M63&gt;=$P$18,U63,0)</t>
  </si>
  <si>
    <t>=IF(AND($M63&gt;=$Q$16,$M63&lt;=$Q$18),U63,0)</t>
  </si>
  <si>
    <t>=IF(AND($M63&gt;=$R$16,$M63&lt;=$R$18),U63,0)</t>
  </si>
  <si>
    <t>=IF(AND($M63&gt;=$S$16,$M63&lt;=$S$18),U63,0)</t>
  </si>
  <si>
    <t>=IF($M63&lt;=$T$18,U63,0)</t>
  </si>
  <si>
    <t>="""NAV Direct"",""CRONUS JetCorp USA"",""21"",""1"",""377020"""</t>
  </si>
  <si>
    <t>=E62</t>
  </si>
  <si>
    <t>=StartDate-$M64+1</t>
  </si>
  <si>
    <t>=SUM(P64:T64)</t>
  </si>
  <si>
    <t>=IF($M64&gt;=$P$18,U64,0)</t>
  </si>
  <si>
    <t>=IF(AND($M64&gt;=$Q$16,$M64&lt;=$Q$18),U64,0)</t>
  </si>
  <si>
    <t>=IF(AND($M64&gt;=$R$16,$M64&lt;=$R$18),U64,0)</t>
  </si>
  <si>
    <t>=IF(AND($M64&gt;=$S$16,$M64&lt;=$S$18),U64,0)</t>
  </si>
  <si>
    <t>=IF($M64&lt;=$T$18,U64,0)</t>
  </si>
  <si>
    <t>="""NAV Direct"",""CRONUS JetCorp USA"",""21"",""1"",""377215"""</t>
  </si>
  <si>
    <t>=E63</t>
  </si>
  <si>
    <t>=StartDate-$M65+1</t>
  </si>
  <si>
    <t>=SUM(P65:T65)</t>
  </si>
  <si>
    <t>=IF($M65&gt;=$P$18,U65,0)</t>
  </si>
  <si>
    <t>=IF(AND($M65&gt;=$Q$16,$M65&lt;=$Q$18),U65,0)</t>
  </si>
  <si>
    <t>=IF(AND($M65&gt;=$R$16,$M65&lt;=$R$18),U65,0)</t>
  </si>
  <si>
    <t>=IF(AND($M65&gt;=$S$16,$M65&lt;=$S$18),U65,0)</t>
  </si>
  <si>
    <t>=IF($M65&lt;=$T$18,U65,0)</t>
  </si>
  <si>
    <t>="""NAV Direct"",""CRONUS JetCorp USA"",""21"",""1"",""437321"""</t>
  </si>
  <si>
    <t>=E64</t>
  </si>
  <si>
    <t>=StartDate-$M66+1</t>
  </si>
  <si>
    <t>=SUM(P66:T66)</t>
  </si>
  <si>
    <t>=IF($M66&gt;=$P$18,U66,0)</t>
  </si>
  <si>
    <t>=IF(AND($M66&gt;=$Q$16,$M66&lt;=$Q$18),U66,0)</t>
  </si>
  <si>
    <t>=IF(AND($M66&gt;=$R$16,$M66&lt;=$R$18),U66,0)</t>
  </si>
  <si>
    <t>=IF(AND($M66&gt;=$S$16,$M66&lt;=$S$18),U66,0)</t>
  </si>
  <si>
    <t>=IF($M66&lt;=$T$18,U66,0)</t>
  </si>
  <si>
    <t>="""NAV Direct"",""CRONUS JetCorp USA"",""21"",""1"",""437532"""</t>
  </si>
  <si>
    <t>=E65</t>
  </si>
  <si>
    <t>=StartDate-$M67+1</t>
  </si>
  <si>
    <t>=SUM(P67:T67)</t>
  </si>
  <si>
    <t>=IF($M67&gt;=$P$18,U67,0)</t>
  </si>
  <si>
    <t>=IF(AND($M67&gt;=$Q$16,$M67&lt;=$Q$18),U67,0)</t>
  </si>
  <si>
    <t>=IF(AND($M67&gt;=$R$16,$M67&lt;=$R$18),U67,0)</t>
  </si>
  <si>
    <t>=IF(AND($M67&gt;=$S$16,$M67&lt;=$S$18),U67,0)</t>
  </si>
  <si>
    <t>=IF($M67&lt;=$T$18,U67,0)</t>
  </si>
  <si>
    <t>="""NAV Direct"",""CRONUS JetCorp USA"",""21"",""1"",""437582"""</t>
  </si>
  <si>
    <t>=E66</t>
  </si>
  <si>
    <t>=StartDate-$M68+1</t>
  </si>
  <si>
    <t>=SUM(P68:T68)</t>
  </si>
  <si>
    <t>=IF($M68&gt;=$P$18,U68,0)</t>
  </si>
  <si>
    <t>=IF(AND($M68&gt;=$Q$16,$M68&lt;=$Q$18),U68,0)</t>
  </si>
  <si>
    <t>=IF(AND($M68&gt;=$R$16,$M68&lt;=$R$18),U68,0)</t>
  </si>
  <si>
    <t>=IF(AND($M68&gt;=$S$16,$M68&lt;=$S$18),U68,0)</t>
  </si>
  <si>
    <t>=IF($M68&lt;=$T$18,U68,0)</t>
  </si>
  <si>
    <t>="""NAV Direct"",""CRONUS JetCorp USA"",""21"",""1"",""437627"""</t>
  </si>
  <si>
    <t>=E67</t>
  </si>
  <si>
    <t>=StartDate-$M69+1</t>
  </si>
  <si>
    <t>=SUM(P69:T69)</t>
  </si>
  <si>
    <t>=IF($M69&gt;=$P$18,U69,0)</t>
  </si>
  <si>
    <t>=IF(AND($M69&gt;=$Q$16,$M69&lt;=$Q$18),U69,0)</t>
  </si>
  <si>
    <t>=IF(AND($M69&gt;=$R$16,$M69&lt;=$R$18),U69,0)</t>
  </si>
  <si>
    <t>=IF(AND($M69&gt;=$S$16,$M69&lt;=$S$18),U69,0)</t>
  </si>
  <si>
    <t>=IF($M69&lt;=$T$18,U69,0)</t>
  </si>
  <si>
    <t>="""NAV Direct"",""CRONUS JetCorp USA"",""21"",""1"",""437659"""</t>
  </si>
  <si>
    <t>=E68</t>
  </si>
  <si>
    <t>=StartDate-$M70+1</t>
  </si>
  <si>
    <t>=SUM(P70:T70)</t>
  </si>
  <si>
    <t>=IF($M70&gt;=$P$18,U70,0)</t>
  </si>
  <si>
    <t>=IF(AND($M70&gt;=$Q$16,$M70&lt;=$Q$18),U70,0)</t>
  </si>
  <si>
    <t>=IF(AND($M70&gt;=$R$16,$M70&lt;=$R$18),U70,0)</t>
  </si>
  <si>
    <t>=IF(AND($M70&gt;=$S$16,$M70&lt;=$S$18),U70,0)</t>
  </si>
  <si>
    <t>=IF($M70&lt;=$T$18,U70,0)</t>
  </si>
  <si>
    <t>="""NAV Direct"",""CRONUS JetCorp USA"",""21"",""1"",""437786"""</t>
  </si>
  <si>
    <t>=E69</t>
  </si>
  <si>
    <t>=StartDate-$M71+1</t>
  </si>
  <si>
    <t>=SUM(P71:T71)</t>
  </si>
  <si>
    <t>=IF($M71&gt;=$P$18,U71,0)</t>
  </si>
  <si>
    <t>=IF(AND($M71&gt;=$Q$16,$M71&lt;=$Q$18),U71,0)</t>
  </si>
  <si>
    <t>=IF(AND($M71&gt;=$R$16,$M71&lt;=$R$18),U71,0)</t>
  </si>
  <si>
    <t>=IF(AND($M71&gt;=$S$16,$M71&lt;=$S$18),U71,0)</t>
  </si>
  <si>
    <t>=IF($M71&lt;=$T$18,U71,0)</t>
  </si>
  <si>
    <t>="""NAV Direct"",""CRONUS JetCorp USA"",""21"",""1"",""437797"""</t>
  </si>
  <si>
    <t>=E70</t>
  </si>
  <si>
    <t>=StartDate-$M72+1</t>
  </si>
  <si>
    <t>=SUM(P72:T72)</t>
  </si>
  <si>
    <t>=IF($M72&gt;=$P$18,U72,0)</t>
  </si>
  <si>
    <t>=IF(AND($M72&gt;=$Q$16,$M72&lt;=$Q$18),U72,0)</t>
  </si>
  <si>
    <t>=IF(AND($M72&gt;=$R$16,$M72&lt;=$R$18),U72,0)</t>
  </si>
  <si>
    <t>=IF(AND($M72&gt;=$S$16,$M72&lt;=$S$18),U72,0)</t>
  </si>
  <si>
    <t>=IF($M72&lt;=$T$18,U72,0)</t>
  </si>
  <si>
    <t>="""NAV Direct"",""CRONUS JetCorp USA"",""21"",""1"",""437846"""</t>
  </si>
  <si>
    <t>=E71</t>
  </si>
  <si>
    <t>=StartDate-$M73+1</t>
  </si>
  <si>
    <t>=SUM(P73:T73)</t>
  </si>
  <si>
    <t>=IF($M73&gt;=$P$18,U73,0)</t>
  </si>
  <si>
    <t>=IF(AND($M73&gt;=$Q$16,$M73&lt;=$Q$18),U73,0)</t>
  </si>
  <si>
    <t>=IF(AND($M73&gt;=$R$16,$M73&lt;=$R$18),U73,0)</t>
  </si>
  <si>
    <t>=IF(AND($M73&gt;=$S$16,$M73&lt;=$S$18),U73,0)</t>
  </si>
  <si>
    <t>=IF($M73&lt;=$T$18,U73,0)</t>
  </si>
  <si>
    <t>="""NAV Direct"",""CRONUS JetCorp USA"",""18"",""1"",""C100012"""</t>
  </si>
  <si>
    <t>=H76</t>
  </si>
  <si>
    <t>=NF($C76,"1 No.")</t>
  </si>
  <si>
    <t>=NF($C76,"1 No.")&amp;"  -  "&amp;NF($C76,"2 Name")</t>
  </si>
  <si>
    <t>=IFERROR(O76/NF(C76,"Credit Limit (LCY)"),"")</t>
  </si>
  <si>
    <t>=SUBTOTAL(3,L77:L134)</t>
  </si>
  <si>
    <t>=SUBTOTAL(9,O77:O134)</t>
  </si>
  <si>
    <t>=SUBTOTAL(9,P77:P134)</t>
  </si>
  <si>
    <t>=SUBTOTAL(9,Q77:Q134)</t>
  </si>
  <si>
    <t>=SUBTOTAL(9,R77:R134)</t>
  </si>
  <si>
    <t>=SUBTOTAL(9,S77:S134)</t>
  </si>
  <si>
    <t>=SUBTOTAL(9,T77:T134)</t>
  </si>
  <si>
    <t>=C76</t>
  </si>
  <si>
    <t>=E76</t>
  </si>
  <si>
    <t>="Contact: "&amp;NF($C77,"8 Contact")</t>
  </si>
  <si>
    <t>=C77</t>
  </si>
  <si>
    <t>=E77</t>
  </si>
  <si>
    <t>=NF($C78,"102 E-Mail")</t>
  </si>
  <si>
    <t>=NL("Rows","21 Cust. Ledger Entry",,"3 Customer No.","@@"&amp;$E80,"16 Remaining Amt. (LCY)","&lt;&gt;0")</t>
  </si>
  <si>
    <t>=E78</t>
  </si>
  <si>
    <t>=StartDate-$M80+1</t>
  </si>
  <si>
    <t>=SUM(P80:T80)</t>
  </si>
  <si>
    <t>=IF($M80&gt;=$P$18,U80,0)</t>
  </si>
  <si>
    <t>=IF(AND($M80&gt;=$Q$16,$M80&lt;=$Q$18),U80,0)</t>
  </si>
  <si>
    <t>=IF(AND($M80&gt;=$R$16,$M80&lt;=$R$18),U80,0)</t>
  </si>
  <si>
    <t>=IF(AND($M80&gt;=$S$16,$M80&lt;=$S$18),U80,0)</t>
  </si>
  <si>
    <t>=IF($M80&lt;=$T$18,U80,0)</t>
  </si>
  <si>
    <t>="""NAV Direct"",""CRONUS JetCorp USA"",""21"",""1"",""360905"""</t>
  </si>
  <si>
    <t>=E79</t>
  </si>
  <si>
    <t>=StartDate-$M81+1</t>
  </si>
  <si>
    <t>=SUM(P81:T81)</t>
  </si>
  <si>
    <t>=IF($M81&gt;=$P$18,U81,0)</t>
  </si>
  <si>
    <t>=IF(AND($M81&gt;=$Q$16,$M81&lt;=$Q$18),U81,0)</t>
  </si>
  <si>
    <t>=IF(AND($M81&gt;=$R$16,$M81&lt;=$R$18),U81,0)</t>
  </si>
  <si>
    <t>=IF(AND($M81&gt;=$S$16,$M81&lt;=$S$18),U81,0)</t>
  </si>
  <si>
    <t>=IF($M81&lt;=$T$18,U81,0)</t>
  </si>
  <si>
    <t>="""NAV Direct"",""CRONUS JetCorp USA"",""21"",""1"",""361050"""</t>
  </si>
  <si>
    <t>=E80</t>
  </si>
  <si>
    <t>=StartDate-$M82+1</t>
  </si>
  <si>
    <t>=SUM(P82:T82)</t>
  </si>
  <si>
    <t>=IF($M82&gt;=$P$18,U82,0)</t>
  </si>
  <si>
    <t>=IF(AND($M82&gt;=$Q$16,$M82&lt;=$Q$18),U82,0)</t>
  </si>
  <si>
    <t>=IF(AND($M82&gt;=$R$16,$M82&lt;=$R$18),U82,0)</t>
  </si>
  <si>
    <t>=IF(AND($M82&gt;=$S$16,$M82&lt;=$S$18),U82,0)</t>
  </si>
  <si>
    <t>=IF($M82&lt;=$T$18,U82,0)</t>
  </si>
  <si>
    <t>="""NAV Direct"",""CRONUS JetCorp USA"",""21"",""1"",""361143"""</t>
  </si>
  <si>
    <t>=E81</t>
  </si>
  <si>
    <t>=StartDate-$M83+1</t>
  </si>
  <si>
    <t>=SUM(P83:T83)</t>
  </si>
  <si>
    <t>=IF($M83&gt;=$P$18,U83,0)</t>
  </si>
  <si>
    <t>=IF(AND($M83&gt;=$Q$16,$M83&lt;=$Q$18),U83,0)</t>
  </si>
  <si>
    <t>=IF(AND($M83&gt;=$R$16,$M83&lt;=$R$18),U83,0)</t>
  </si>
  <si>
    <t>=IF(AND($M83&gt;=$S$16,$M83&lt;=$S$18),U83,0)</t>
  </si>
  <si>
    <t>=IF($M83&lt;=$T$18,U83,0)</t>
  </si>
  <si>
    <t>="""NAV Direct"",""CRONUS JetCorp USA"",""21"",""1"",""361437"""</t>
  </si>
  <si>
    <t>=E82</t>
  </si>
  <si>
    <t>=StartDate-$M84+1</t>
  </si>
  <si>
    <t>=SUM(P84:T84)</t>
  </si>
  <si>
    <t>=IF($M84&gt;=$P$18,U84,0)</t>
  </si>
  <si>
    <t>=IF(AND($M84&gt;=$Q$16,$M84&lt;=$Q$18),U84,0)</t>
  </si>
  <si>
    <t>=IF(AND($M84&gt;=$R$16,$M84&lt;=$R$18),U84,0)</t>
  </si>
  <si>
    <t>=IF(AND($M84&gt;=$S$16,$M84&lt;=$S$18),U84,0)</t>
  </si>
  <si>
    <t>=IF($M84&lt;=$T$18,U84,0)</t>
  </si>
  <si>
    <t>="""NAV Direct"",""CRONUS JetCorp USA"",""21"",""1"",""361464"""</t>
  </si>
  <si>
    <t>=E83</t>
  </si>
  <si>
    <t>=StartDate-$M85+1</t>
  </si>
  <si>
    <t>=SUM(P85:T85)</t>
  </si>
  <si>
    <t>=IF($M85&gt;=$P$18,U85,0)</t>
  </si>
  <si>
    <t>=IF(AND($M85&gt;=$Q$16,$M85&lt;=$Q$18),U85,0)</t>
  </si>
  <si>
    <t>=IF(AND($M85&gt;=$R$16,$M85&lt;=$R$18),U85,0)</t>
  </si>
  <si>
    <t>=IF(AND($M85&gt;=$S$16,$M85&lt;=$S$18),U85,0)</t>
  </si>
  <si>
    <t>=IF($M85&lt;=$T$18,U85,0)</t>
  </si>
  <si>
    <t>="""NAV Direct"",""CRONUS JetCorp USA"",""21"",""1"",""361497"""</t>
  </si>
  <si>
    <t>=E84</t>
  </si>
  <si>
    <t>=StartDate-$M86+1</t>
  </si>
  <si>
    <t>=SUM(P86:T86)</t>
  </si>
  <si>
    <t>=IF($M86&gt;=$P$18,U86,0)</t>
  </si>
  <si>
    <t>=IF(AND($M86&gt;=$Q$16,$M86&lt;=$Q$18),U86,0)</t>
  </si>
  <si>
    <t>=IF(AND($M86&gt;=$R$16,$M86&lt;=$R$18),U86,0)</t>
  </si>
  <si>
    <t>=IF(AND($M86&gt;=$S$16,$M86&lt;=$S$18),U86,0)</t>
  </si>
  <si>
    <t>=IF($M86&lt;=$T$18,U86,0)</t>
  </si>
  <si>
    <t>="""NAV Direct"",""CRONUS JetCorp USA"",""21"",""1"",""362159"""</t>
  </si>
  <si>
    <t>=E85</t>
  </si>
  <si>
    <t>=StartDate-$M87+1</t>
  </si>
  <si>
    <t>=SUM(P87:T87)</t>
  </si>
  <si>
    <t>=IF($M87&gt;=$P$18,U87,0)</t>
  </si>
  <si>
    <t>=IF(AND($M87&gt;=$Q$16,$M87&lt;=$Q$18),U87,0)</t>
  </si>
  <si>
    <t>=IF(AND($M87&gt;=$R$16,$M87&lt;=$R$18),U87,0)</t>
  </si>
  <si>
    <t>=IF(AND($M87&gt;=$S$16,$M87&lt;=$S$18),U87,0)</t>
  </si>
  <si>
    <t>=IF($M87&lt;=$T$18,U87,0)</t>
  </si>
  <si>
    <t>="""NAV Direct"",""CRONUS JetCorp USA"",""21"",""1"",""362264"""</t>
  </si>
  <si>
    <t>=E86</t>
  </si>
  <si>
    <t>=StartDate-$M88+1</t>
  </si>
  <si>
    <t>=SUM(P88:T88)</t>
  </si>
  <si>
    <t>=IF($M88&gt;=$P$18,U88,0)</t>
  </si>
  <si>
    <t>=IF(AND($M88&gt;=$Q$16,$M88&lt;=$Q$18),U88,0)</t>
  </si>
  <si>
    <t>=IF(AND($M88&gt;=$R$16,$M88&lt;=$R$18),U88,0)</t>
  </si>
  <si>
    <t>=IF(AND($M88&gt;=$S$16,$M88&lt;=$S$18),U88,0)</t>
  </si>
  <si>
    <t>=IF($M88&lt;=$T$18,U88,0)</t>
  </si>
  <si>
    <t>="""NAV Direct"",""CRONUS JetCorp USA"",""21"",""1"",""362328"""</t>
  </si>
  <si>
    <t>=E87</t>
  </si>
  <si>
    <t>=StartDate-$M89+1</t>
  </si>
  <si>
    <t>=SUM(P89:T89)</t>
  </si>
  <si>
    <t>=IF($M89&gt;=$P$18,U89,0)</t>
  </si>
  <si>
    <t>=IF(AND($M89&gt;=$Q$16,$M89&lt;=$Q$18),U89,0)</t>
  </si>
  <si>
    <t>=IF(AND($M89&gt;=$R$16,$M89&lt;=$R$18),U89,0)</t>
  </si>
  <si>
    <t>=IF(AND($M89&gt;=$S$16,$M89&lt;=$S$18),U89,0)</t>
  </si>
  <si>
    <t>=IF($M89&lt;=$T$18,U89,0)</t>
  </si>
  <si>
    <t>="""NAV Direct"",""CRONUS JetCorp USA"",""21"",""1"",""362349"""</t>
  </si>
  <si>
    <t>=E88</t>
  </si>
  <si>
    <t>=StartDate-$M90+1</t>
  </si>
  <si>
    <t>=SUM(P90:T90)</t>
  </si>
  <si>
    <t>=IF($M90&gt;=$P$18,U90,0)</t>
  </si>
  <si>
    <t>=IF(AND($M90&gt;=$Q$16,$M90&lt;=$Q$18),U90,0)</t>
  </si>
  <si>
    <t>=IF(AND($M90&gt;=$R$16,$M90&lt;=$R$18),U90,0)</t>
  </si>
  <si>
    <t>=IF(AND($M90&gt;=$S$16,$M90&lt;=$S$18),U90,0)</t>
  </si>
  <si>
    <t>=IF($M90&lt;=$T$18,U90,0)</t>
  </si>
  <si>
    <t>="""NAV Direct"",""CRONUS JetCorp USA"",""21"",""1"",""362780"""</t>
  </si>
  <si>
    <t>=E89</t>
  </si>
  <si>
    <t>=StartDate-$M91+1</t>
  </si>
  <si>
    <t>=SUM(P91:T91)</t>
  </si>
  <si>
    <t>=IF($M91&gt;=$P$18,U91,0)</t>
  </si>
  <si>
    <t>=IF(AND($M91&gt;=$Q$16,$M91&lt;=$Q$18),U91,0)</t>
  </si>
  <si>
    <t>=IF(AND($M91&gt;=$R$16,$M91&lt;=$R$18),U91,0)</t>
  </si>
  <si>
    <t>=IF(AND($M91&gt;=$S$16,$M91&lt;=$S$18),U91,0)</t>
  </si>
  <si>
    <t>=IF($M91&lt;=$T$18,U91,0)</t>
  </si>
  <si>
    <t>="""NAV Direct"",""CRONUS JetCorp USA"",""21"",""1"",""362817"""</t>
  </si>
  <si>
    <t>=E90</t>
  </si>
  <si>
    <t>=StartDate-$M92+1</t>
  </si>
  <si>
    <t>=SUM(P92:T92)</t>
  </si>
  <si>
    <t>=IF($M92&gt;=$P$18,U92,0)</t>
  </si>
  <si>
    <t>=IF(AND($M92&gt;=$Q$16,$M92&lt;=$Q$18),U92,0)</t>
  </si>
  <si>
    <t>=IF(AND($M92&gt;=$R$16,$M92&lt;=$R$18),U92,0)</t>
  </si>
  <si>
    <t>=IF(AND($M92&gt;=$S$16,$M92&lt;=$S$18),U92,0)</t>
  </si>
  <si>
    <t>=IF($M92&lt;=$T$18,U92,0)</t>
  </si>
  <si>
    <t>="""NAV Direct"",""CRONUS JetCorp USA"",""21"",""1"",""362854"""</t>
  </si>
  <si>
    <t>=E91</t>
  </si>
  <si>
    <t>=StartDate-$M93+1</t>
  </si>
  <si>
    <t>=SUM(P93:T93)</t>
  </si>
  <si>
    <t>=IF($M93&gt;=$P$18,U93,0)</t>
  </si>
  <si>
    <t>=IF(AND($M93&gt;=$Q$16,$M93&lt;=$Q$18),U93,0)</t>
  </si>
  <si>
    <t>=IF(AND($M93&gt;=$R$16,$M93&lt;=$R$18),U93,0)</t>
  </si>
  <si>
    <t>=IF(AND($M93&gt;=$S$16,$M93&lt;=$S$18),U93,0)</t>
  </si>
  <si>
    <t>=IF($M93&lt;=$T$18,U93,0)</t>
  </si>
  <si>
    <t>="""NAV Direct"",""CRONUS JetCorp USA"",""21"",""1"",""363458"""</t>
  </si>
  <si>
    <t>=E92</t>
  </si>
  <si>
    <t>=StartDate-$M94+1</t>
  </si>
  <si>
    <t>=SUM(P94:T94)</t>
  </si>
  <si>
    <t>=IF($M94&gt;=$P$18,U94,0)</t>
  </si>
  <si>
    <t>=IF(AND($M94&gt;=$Q$16,$M94&lt;=$Q$18),U94,0)</t>
  </si>
  <si>
    <t>=IF(AND($M94&gt;=$R$16,$M94&lt;=$R$18),U94,0)</t>
  </si>
  <si>
    <t>=IF(AND($M94&gt;=$S$16,$M94&lt;=$S$18),U94,0)</t>
  </si>
  <si>
    <t>=IF($M94&lt;=$T$18,U94,0)</t>
  </si>
  <si>
    <t>="""NAV Direct"",""CRONUS JetCorp USA"",""21"",""1"",""363538"""</t>
  </si>
  <si>
    <t>=E93</t>
  </si>
  <si>
    <t>=StartDate-$M95+1</t>
  </si>
  <si>
    <t>=SUM(P95:T95)</t>
  </si>
  <si>
    <t>=IF($M95&gt;=$P$18,U95,0)</t>
  </si>
  <si>
    <t>=IF(AND($M95&gt;=$Q$16,$M95&lt;=$Q$18),U95,0)</t>
  </si>
  <si>
    <t>=IF(AND($M95&gt;=$R$16,$M95&lt;=$R$18),U95,0)</t>
  </si>
  <si>
    <t>=IF(AND($M95&gt;=$S$16,$M95&lt;=$S$18),U95,0)</t>
  </si>
  <si>
    <t>=IF($M95&lt;=$T$18,U95,0)</t>
  </si>
  <si>
    <t>="""NAV Direct"",""CRONUS JetCorp USA"",""21"",""1"",""363667"""</t>
  </si>
  <si>
    <t>=E94</t>
  </si>
  <si>
    <t>=StartDate-$M96+1</t>
  </si>
  <si>
    <t>=SUM(P96:T96)</t>
  </si>
  <si>
    <t>=IF($M96&gt;=$P$18,U96,0)</t>
  </si>
  <si>
    <t>=IF(AND($M96&gt;=$Q$16,$M96&lt;=$Q$18),U96,0)</t>
  </si>
  <si>
    <t>=IF(AND($M96&gt;=$R$16,$M96&lt;=$R$18),U96,0)</t>
  </si>
  <si>
    <t>=IF(AND($M96&gt;=$S$16,$M96&lt;=$S$18),U96,0)</t>
  </si>
  <si>
    <t>=IF($M96&lt;=$T$18,U96,0)</t>
  </si>
  <si>
    <t>="""NAV Direct"",""CRONUS JetCorp USA"",""21"",""1"",""363913"""</t>
  </si>
  <si>
    <t>=E95</t>
  </si>
  <si>
    <t>=StartDate-$M97+1</t>
  </si>
  <si>
    <t>=SUM(P97:T97)</t>
  </si>
  <si>
    <t>=IF($M97&gt;=$P$18,U97,0)</t>
  </si>
  <si>
    <t>=IF(AND($M97&gt;=$Q$16,$M97&lt;=$Q$18),U97,0)</t>
  </si>
  <si>
    <t>=IF(AND($M97&gt;=$R$16,$M97&lt;=$R$18),U97,0)</t>
  </si>
  <si>
    <t>=IF(AND($M97&gt;=$S$16,$M97&lt;=$S$18),U97,0)</t>
  </si>
  <si>
    <t>=IF($M97&lt;=$T$18,U97,0)</t>
  </si>
  <si>
    <t>="""NAV Direct"",""CRONUS JetCorp USA"",""21"",""1"",""364000"""</t>
  </si>
  <si>
    <t>=E96</t>
  </si>
  <si>
    <t>=StartDate-$M98+1</t>
  </si>
  <si>
    <t>=SUM(P98:T98)</t>
  </si>
  <si>
    <t>=IF($M98&gt;=$P$18,U98,0)</t>
  </si>
  <si>
    <t>=IF(AND($M98&gt;=$Q$16,$M98&lt;=$Q$18),U98,0)</t>
  </si>
  <si>
    <t>=IF(AND($M98&gt;=$R$16,$M98&lt;=$R$18),U98,0)</t>
  </si>
  <si>
    <t>=IF(AND($M98&gt;=$S$16,$M98&lt;=$S$18),U98,0)</t>
  </si>
  <si>
    <t>=IF($M98&lt;=$T$18,U98,0)</t>
  </si>
  <si>
    <t>="""NAV Direct"",""CRONUS JetCorp USA"",""21"",""1"",""364115"""</t>
  </si>
  <si>
    <t>=E97</t>
  </si>
  <si>
    <t>=StartDate-$M99+1</t>
  </si>
  <si>
    <t>=SUM(P99:T99)</t>
  </si>
  <si>
    <t>=IF($M99&gt;=$P$18,U99,0)</t>
  </si>
  <si>
    <t>=IF(AND($M99&gt;=$Q$16,$M99&lt;=$Q$18),U99,0)</t>
  </si>
  <si>
    <t>=IF(AND($M99&gt;=$R$16,$M99&lt;=$R$18),U99,0)</t>
  </si>
  <si>
    <t>=IF(AND($M99&gt;=$S$16,$M99&lt;=$S$18),U99,0)</t>
  </si>
  <si>
    <t>=IF($M99&lt;=$T$18,U99,0)</t>
  </si>
  <si>
    <t>="""NAV Direct"",""CRONUS JetCorp USA"",""21"",""1"",""364269"""</t>
  </si>
  <si>
    <t>=E98</t>
  </si>
  <si>
    <t>=StartDate-$M100+1</t>
  </si>
  <si>
    <t>=SUM(P100:T100)</t>
  </si>
  <si>
    <t>=IF($M100&gt;=$P$18,U100,0)</t>
  </si>
  <si>
    <t>=IF(AND($M100&gt;=$Q$16,$M100&lt;=$Q$18),U100,0)</t>
  </si>
  <si>
    <t>=IF(AND($M100&gt;=$R$16,$M100&lt;=$R$18),U100,0)</t>
  </si>
  <si>
    <t>=IF(AND($M100&gt;=$S$16,$M100&lt;=$S$18),U100,0)</t>
  </si>
  <si>
    <t>=IF($M100&lt;=$T$18,U100,0)</t>
  </si>
  <si>
    <t>="""NAV Direct"",""CRONUS JetCorp USA"",""21"",""1"",""364623"""</t>
  </si>
  <si>
    <t>=E99</t>
  </si>
  <si>
    <t>=StartDate-$M101+1</t>
  </si>
  <si>
    <t>=SUM(P101:T101)</t>
  </si>
  <si>
    <t>=IF($M101&gt;=$P$18,U101,0)</t>
  </si>
  <si>
    <t>=IF(AND($M101&gt;=$Q$16,$M101&lt;=$Q$18),U101,0)</t>
  </si>
  <si>
    <t>=IF(AND($M101&gt;=$R$16,$M101&lt;=$R$18),U101,0)</t>
  </si>
  <si>
    <t>=IF(AND($M101&gt;=$S$16,$M101&lt;=$S$18),U101,0)</t>
  </si>
  <si>
    <t>=IF($M101&lt;=$T$18,U101,0)</t>
  </si>
  <si>
    <t>="""NAV Direct"",""CRONUS JetCorp USA"",""21"",""1"",""364734"""</t>
  </si>
  <si>
    <t>=E100</t>
  </si>
  <si>
    <t>=StartDate-$M102+1</t>
  </si>
  <si>
    <t>=SUM(P102:T102)</t>
  </si>
  <si>
    <t>=IF($M102&gt;=$P$18,U102,0)</t>
  </si>
  <si>
    <t>=IF(AND($M102&gt;=$Q$16,$M102&lt;=$Q$18),U102,0)</t>
  </si>
  <si>
    <t>=IF(AND($M102&gt;=$R$16,$M102&lt;=$R$18),U102,0)</t>
  </si>
  <si>
    <t>=IF(AND($M102&gt;=$S$16,$M102&lt;=$S$18),U102,0)</t>
  </si>
  <si>
    <t>=IF($M102&lt;=$T$18,U102,0)</t>
  </si>
  <si>
    <t>="""NAV Direct"",""CRONUS JetCorp USA"",""21"",""1"",""364779"""</t>
  </si>
  <si>
    <t>=E101</t>
  </si>
  <si>
    <t>=StartDate-$M103+1</t>
  </si>
  <si>
    <t>=SUM(P103:T103)</t>
  </si>
  <si>
    <t>=IF($M103&gt;=$P$18,U103,0)</t>
  </si>
  <si>
    <t>=IF(AND($M103&gt;=$Q$16,$M103&lt;=$Q$18),U103,0)</t>
  </si>
  <si>
    <t>=IF(AND($M103&gt;=$R$16,$M103&lt;=$R$18),U103,0)</t>
  </si>
  <si>
    <t>=IF(AND($M103&gt;=$S$16,$M103&lt;=$S$18),U103,0)</t>
  </si>
  <si>
    <t>=IF($M103&lt;=$T$18,U103,0)</t>
  </si>
  <si>
    <t>="""NAV Direct"",""CRONUS JetCorp USA"",""21"",""1"",""364865"""</t>
  </si>
  <si>
    <t>=E102</t>
  </si>
  <si>
    <t>=StartDate-$M104+1</t>
  </si>
  <si>
    <t>=SUM(P104:T104)</t>
  </si>
  <si>
    <t>=IF($M104&gt;=$P$18,U104,0)</t>
  </si>
  <si>
    <t>=IF(AND($M104&gt;=$Q$16,$M104&lt;=$Q$18),U104,0)</t>
  </si>
  <si>
    <t>=IF(AND($M104&gt;=$R$16,$M104&lt;=$R$18),U104,0)</t>
  </si>
  <si>
    <t>=IF(AND($M104&gt;=$S$16,$M104&lt;=$S$18),U104,0)</t>
  </si>
  <si>
    <t>=IF($M104&lt;=$T$18,U104,0)</t>
  </si>
  <si>
    <t>="""NAV Direct"",""CRONUS JetCorp USA"",""21"",""1"",""365378"""</t>
  </si>
  <si>
    <t>=E103</t>
  </si>
  <si>
    <t>=StartDate-$M105+1</t>
  </si>
  <si>
    <t>=SUM(P105:T105)</t>
  </si>
  <si>
    <t>=IF($M105&gt;=$P$18,U105,0)</t>
  </si>
  <si>
    <t>=IF(AND($M105&gt;=$Q$16,$M105&lt;=$Q$18),U105,0)</t>
  </si>
  <si>
    <t>=IF(AND($M105&gt;=$R$16,$M105&lt;=$R$18),U105,0)</t>
  </si>
  <si>
    <t>=IF(AND($M105&gt;=$S$16,$M105&lt;=$S$18),U105,0)</t>
  </si>
  <si>
    <t>=IF($M105&lt;=$T$18,U105,0)</t>
  </si>
  <si>
    <t>="""NAV Direct"",""CRONUS JetCorp USA"",""21"",""1"",""365602"""</t>
  </si>
  <si>
    <t>=E104</t>
  </si>
  <si>
    <t>=StartDate-$M106+1</t>
  </si>
  <si>
    <t>=SUM(P106:T106)</t>
  </si>
  <si>
    <t>=IF($M106&gt;=$P$18,U106,0)</t>
  </si>
  <si>
    <t>=IF(AND($M106&gt;=$Q$16,$M106&lt;=$Q$18),U106,0)</t>
  </si>
  <si>
    <t>=IF(AND($M106&gt;=$R$16,$M106&lt;=$R$18),U106,0)</t>
  </si>
  <si>
    <t>=IF(AND($M106&gt;=$S$16,$M106&lt;=$S$18),U106,0)</t>
  </si>
  <si>
    <t>=IF($M106&lt;=$T$18,U106,0)</t>
  </si>
  <si>
    <t>="""NAV Direct"",""CRONUS JetCorp USA"",""21"",""1"",""366339"""</t>
  </si>
  <si>
    <t>=E105</t>
  </si>
  <si>
    <t>=StartDate-$M107+1</t>
  </si>
  <si>
    <t>=SUM(P107:T107)</t>
  </si>
  <si>
    <t>=IF($M107&gt;=$P$18,U107,0)</t>
  </si>
  <si>
    <t>=IF(AND($M107&gt;=$Q$16,$M107&lt;=$Q$18),U107,0)</t>
  </si>
  <si>
    <t>=IF(AND($M107&gt;=$R$16,$M107&lt;=$R$18),U107,0)</t>
  </si>
  <si>
    <t>=IF(AND($M107&gt;=$S$16,$M107&lt;=$S$18),U107,0)</t>
  </si>
  <si>
    <t>=IF($M107&lt;=$T$18,U107,0)</t>
  </si>
  <si>
    <t>="""NAV Direct"",""CRONUS JetCorp USA"",""21"",""1"",""367272"""</t>
  </si>
  <si>
    <t>=E106</t>
  </si>
  <si>
    <t>=StartDate-$M108+1</t>
  </si>
  <si>
    <t>=SUM(P108:T108)</t>
  </si>
  <si>
    <t>=IF($M108&gt;=$P$18,U108,0)</t>
  </si>
  <si>
    <t>=IF(AND($M108&gt;=$Q$16,$M108&lt;=$Q$18),U108,0)</t>
  </si>
  <si>
    <t>=IF(AND($M108&gt;=$R$16,$M108&lt;=$R$18),U108,0)</t>
  </si>
  <si>
    <t>=IF(AND($M108&gt;=$S$16,$M108&lt;=$S$18),U108,0)</t>
  </si>
  <si>
    <t>=IF($M108&lt;=$T$18,U108,0)</t>
  </si>
  <si>
    <t>="""NAV Direct"",""CRONUS JetCorp USA"",""21"",""1"",""367451"""</t>
  </si>
  <si>
    <t>=E107</t>
  </si>
  <si>
    <t>=StartDate-$M109+1</t>
  </si>
  <si>
    <t>=SUM(P109:T109)</t>
  </si>
  <si>
    <t>=IF($M109&gt;=$P$18,U109,0)</t>
  </si>
  <si>
    <t>=IF(AND($M109&gt;=$Q$16,$M109&lt;=$Q$18),U109,0)</t>
  </si>
  <si>
    <t>=IF(AND($M109&gt;=$R$16,$M109&lt;=$R$18),U109,0)</t>
  </si>
  <si>
    <t>=IF(AND($M109&gt;=$S$16,$M109&lt;=$S$18),U109,0)</t>
  </si>
  <si>
    <t>=IF($M109&lt;=$T$18,U109,0)</t>
  </si>
  <si>
    <t>="""NAV Direct"",""CRONUS JetCorp USA"",""21"",""1"",""367591"""</t>
  </si>
  <si>
    <t>=E108</t>
  </si>
  <si>
    <t>=StartDate-$M110+1</t>
  </si>
  <si>
    <t>=SUM(P110:T110)</t>
  </si>
  <si>
    <t>=IF($M110&gt;=$P$18,U110,0)</t>
  </si>
  <si>
    <t>=IF(AND($M110&gt;=$Q$16,$M110&lt;=$Q$18),U110,0)</t>
  </si>
  <si>
    <t>=IF(AND($M110&gt;=$R$16,$M110&lt;=$R$18),U110,0)</t>
  </si>
  <si>
    <t>=IF(AND($M110&gt;=$S$16,$M110&lt;=$S$18),U110,0)</t>
  </si>
  <si>
    <t>=IF($M110&lt;=$T$18,U110,0)</t>
  </si>
  <si>
    <t>="""NAV Direct"",""CRONUS JetCorp USA"",""21"",""1"",""367626"""</t>
  </si>
  <si>
    <t>=E109</t>
  </si>
  <si>
    <t>=StartDate-$M111+1</t>
  </si>
  <si>
    <t>=SUM(P111:T111)</t>
  </si>
  <si>
    <t>=IF($M111&gt;=$P$18,U111,0)</t>
  </si>
  <si>
    <t>=IF(AND($M111&gt;=$Q$16,$M111&lt;=$Q$18),U111,0)</t>
  </si>
  <si>
    <t>=IF(AND($M111&gt;=$R$16,$M111&lt;=$R$18),U111,0)</t>
  </si>
  <si>
    <t>=IF(AND($M111&gt;=$S$16,$M111&lt;=$S$18),U111,0)</t>
  </si>
  <si>
    <t>=IF($M111&lt;=$T$18,U111,0)</t>
  </si>
  <si>
    <t>="""NAV Direct"",""CRONUS JetCorp USA"",""21"",""1"",""367842"""</t>
  </si>
  <si>
    <t>=E110</t>
  </si>
  <si>
    <t>=StartDate-$M112+1</t>
  </si>
  <si>
    <t>=SUM(P112:T112)</t>
  </si>
  <si>
    <t>=IF($M112&gt;=$P$18,U112,0)</t>
  </si>
  <si>
    <t>=IF(AND($M112&gt;=$Q$16,$M112&lt;=$Q$18),U112,0)</t>
  </si>
  <si>
    <t>=IF(AND($M112&gt;=$R$16,$M112&lt;=$R$18),U112,0)</t>
  </si>
  <si>
    <t>=IF(AND($M112&gt;=$S$16,$M112&lt;=$S$18),U112,0)</t>
  </si>
  <si>
    <t>=IF($M112&lt;=$T$18,U112,0)</t>
  </si>
  <si>
    <t>="""NAV Direct"",""CRONUS JetCorp USA"",""21"",""1"",""367986"""</t>
  </si>
  <si>
    <t>=E111</t>
  </si>
  <si>
    <t>=StartDate-$M113+1</t>
  </si>
  <si>
    <t>=SUM(P113:T113)</t>
  </si>
  <si>
    <t>=IF($M113&gt;=$P$18,U113,0)</t>
  </si>
  <si>
    <t>=IF(AND($M113&gt;=$Q$16,$M113&lt;=$Q$18),U113,0)</t>
  </si>
  <si>
    <t>=IF(AND($M113&gt;=$R$16,$M113&lt;=$R$18),U113,0)</t>
  </si>
  <si>
    <t>=IF(AND($M113&gt;=$S$16,$M113&lt;=$S$18),U113,0)</t>
  </si>
  <si>
    <t>=IF($M113&lt;=$T$18,U113,0)</t>
  </si>
  <si>
    <t>="""NAV Direct"",""CRONUS JetCorp USA"",""21"",""1"",""368180"""</t>
  </si>
  <si>
    <t>=E112</t>
  </si>
  <si>
    <t>=StartDate-$M114+1</t>
  </si>
  <si>
    <t>=SUM(P114:T114)</t>
  </si>
  <si>
    <t>=IF($M114&gt;=$P$18,U114,0)</t>
  </si>
  <si>
    <t>=IF(AND($M114&gt;=$Q$16,$M114&lt;=$Q$18),U114,0)</t>
  </si>
  <si>
    <t>=IF(AND($M114&gt;=$R$16,$M114&lt;=$R$18),U114,0)</t>
  </si>
  <si>
    <t>=IF(AND($M114&gt;=$S$16,$M114&lt;=$S$18),U114,0)</t>
  </si>
  <si>
    <t>=IF($M114&lt;=$T$18,U114,0)</t>
  </si>
  <si>
    <t>="""NAV Direct"",""CRONUS JetCorp USA"",""21"",""1"",""368238"""</t>
  </si>
  <si>
    <t>=E113</t>
  </si>
  <si>
    <t>=StartDate-$M115+1</t>
  </si>
  <si>
    <t>=SUM(P115:T115)</t>
  </si>
  <si>
    <t>=IF($M115&gt;=$P$18,U115,0)</t>
  </si>
  <si>
    <t>=IF(AND($M115&gt;=$Q$16,$M115&lt;=$Q$18),U115,0)</t>
  </si>
  <si>
    <t>=IF(AND($M115&gt;=$R$16,$M115&lt;=$R$18),U115,0)</t>
  </si>
  <si>
    <t>=IF(AND($M115&gt;=$S$16,$M115&lt;=$S$18),U115,0)</t>
  </si>
  <si>
    <t>=IF($M115&lt;=$T$18,U115,0)</t>
  </si>
  <si>
    <t>="""NAV Direct"",""CRONUS JetCorp USA"",""21"",""1"",""368657"""</t>
  </si>
  <si>
    <t>=E114</t>
  </si>
  <si>
    <t>=StartDate-$M116+1</t>
  </si>
  <si>
    <t>=SUM(P116:T116)</t>
  </si>
  <si>
    <t>=IF($M116&gt;=$P$18,U116,0)</t>
  </si>
  <si>
    <t>=IF(AND($M116&gt;=$Q$16,$M116&lt;=$Q$18),U116,0)</t>
  </si>
  <si>
    <t>=IF(AND($M116&gt;=$R$16,$M116&lt;=$R$18),U116,0)</t>
  </si>
  <si>
    <t>=IF(AND($M116&gt;=$S$16,$M116&lt;=$S$18),U116,0)</t>
  </si>
  <si>
    <t>=IF($M116&lt;=$T$18,U116,0)</t>
  </si>
  <si>
    <t>="""NAV Direct"",""CRONUS JetCorp USA"",""21"",""1"",""368879"""</t>
  </si>
  <si>
    <t>=E115</t>
  </si>
  <si>
    <t>=StartDate-$M117+1</t>
  </si>
  <si>
    <t>=SUM(P117:T117)</t>
  </si>
  <si>
    <t>=IF($M117&gt;=$P$18,U117,0)</t>
  </si>
  <si>
    <t>=IF(AND($M117&gt;=$Q$16,$M117&lt;=$Q$18),U117,0)</t>
  </si>
  <si>
    <t>=IF(AND($M117&gt;=$R$16,$M117&lt;=$R$18),U117,0)</t>
  </si>
  <si>
    <t>=IF(AND($M117&gt;=$S$16,$M117&lt;=$S$18),U117,0)</t>
  </si>
  <si>
    <t>=IF($M117&lt;=$T$18,U117,0)</t>
  </si>
  <si>
    <t>="""NAV Direct"",""CRONUS JetCorp USA"",""21"",""1"",""369254"""</t>
  </si>
  <si>
    <t>=E116</t>
  </si>
  <si>
    <t>=StartDate-$M118+1</t>
  </si>
  <si>
    <t>=SUM(P118:T118)</t>
  </si>
  <si>
    <t>=IF($M118&gt;=$P$18,U118,0)</t>
  </si>
  <si>
    <t>=IF(AND($M118&gt;=$Q$16,$M118&lt;=$Q$18),U118,0)</t>
  </si>
  <si>
    <t>=IF(AND($M118&gt;=$R$16,$M118&lt;=$R$18),U118,0)</t>
  </si>
  <si>
    <t>=IF(AND($M118&gt;=$S$16,$M118&lt;=$S$18),U118,0)</t>
  </si>
  <si>
    <t>=IF($M118&lt;=$T$18,U118,0)</t>
  </si>
  <si>
    <t>="""NAV Direct"",""CRONUS JetCorp USA"",""21"",""1"",""369511"""</t>
  </si>
  <si>
    <t>=E117</t>
  </si>
  <si>
    <t>=StartDate-$M119+1</t>
  </si>
  <si>
    <t>=SUM(P119:T119)</t>
  </si>
  <si>
    <t>=IF($M119&gt;=$P$18,U119,0)</t>
  </si>
  <si>
    <t>=IF(AND($M119&gt;=$Q$16,$M119&lt;=$Q$18),U119,0)</t>
  </si>
  <si>
    <t>=IF(AND($M119&gt;=$R$16,$M119&lt;=$R$18),U119,0)</t>
  </si>
  <si>
    <t>=IF(AND($M119&gt;=$S$16,$M119&lt;=$S$18),U119,0)</t>
  </si>
  <si>
    <t>=IF($M119&lt;=$T$18,U119,0)</t>
  </si>
  <si>
    <t>="""NAV Direct"",""CRONUS JetCorp USA"",""21"",""1"",""369894"""</t>
  </si>
  <si>
    <t>=E118</t>
  </si>
  <si>
    <t>=StartDate-$M120+1</t>
  </si>
  <si>
    <t>=SUM(P120:T120)</t>
  </si>
  <si>
    <t>=IF($M120&gt;=$P$18,U120,0)</t>
  </si>
  <si>
    <t>=IF(AND($M120&gt;=$Q$16,$M120&lt;=$Q$18),U120,0)</t>
  </si>
  <si>
    <t>=IF(AND($M120&gt;=$R$16,$M120&lt;=$R$18),U120,0)</t>
  </si>
  <si>
    <t>=IF(AND($M120&gt;=$S$16,$M120&lt;=$S$18),U120,0)</t>
  </si>
  <si>
    <t>=IF($M120&lt;=$T$18,U120,0)</t>
  </si>
  <si>
    <t>="""NAV Direct"",""CRONUS JetCorp USA"",""21"",""1"",""369958"""</t>
  </si>
  <si>
    <t>=E119</t>
  </si>
  <si>
    <t>=StartDate-$M121+1</t>
  </si>
  <si>
    <t>=SUM(P121:T121)</t>
  </si>
  <si>
    <t>=IF($M121&gt;=$P$18,U121,0)</t>
  </si>
  <si>
    <t>=IF(AND($M121&gt;=$Q$16,$M121&lt;=$Q$18),U121,0)</t>
  </si>
  <si>
    <t>=IF(AND($M121&gt;=$R$16,$M121&lt;=$R$18),U121,0)</t>
  </si>
  <si>
    <t>=IF(AND($M121&gt;=$S$16,$M121&lt;=$S$18),U121,0)</t>
  </si>
  <si>
    <t>=IF($M121&lt;=$T$18,U121,0)</t>
  </si>
  <si>
    <t>="""NAV Direct"",""CRONUS JetCorp USA"",""21"",""1"",""370452"""</t>
  </si>
  <si>
    <t>=E120</t>
  </si>
  <si>
    <t>=StartDate-$M122+1</t>
  </si>
  <si>
    <t>=SUM(P122:T122)</t>
  </si>
  <si>
    <t>=IF($M122&gt;=$P$18,U122,0)</t>
  </si>
  <si>
    <t>=IF(AND($M122&gt;=$Q$16,$M122&lt;=$Q$18),U122,0)</t>
  </si>
  <si>
    <t>=IF(AND($M122&gt;=$R$16,$M122&lt;=$R$18),U122,0)</t>
  </si>
  <si>
    <t>=IF(AND($M122&gt;=$S$16,$M122&lt;=$S$18),U122,0)</t>
  </si>
  <si>
    <t>=IF($M122&lt;=$T$18,U122,0)</t>
  </si>
  <si>
    <t>="""NAV Direct"",""CRONUS JetCorp USA"",""21"",""1"",""370485"""</t>
  </si>
  <si>
    <t>=E121</t>
  </si>
  <si>
    <t>=StartDate-$M123+1</t>
  </si>
  <si>
    <t>=SUM(P123:T123)</t>
  </si>
  <si>
    <t>=IF($M123&gt;=$P$18,U123,0)</t>
  </si>
  <si>
    <t>=IF(AND($M123&gt;=$Q$16,$M123&lt;=$Q$18),U123,0)</t>
  </si>
  <si>
    <t>=IF(AND($M123&gt;=$R$16,$M123&lt;=$R$18),U123,0)</t>
  </si>
  <si>
    <t>=IF(AND($M123&gt;=$S$16,$M123&lt;=$S$18),U123,0)</t>
  </si>
  <si>
    <t>=IF($M123&lt;=$T$18,U123,0)</t>
  </si>
  <si>
    <t>="""NAV Direct"",""CRONUS JetCorp USA"",""21"",""1"",""370710"""</t>
  </si>
  <si>
    <t>=E122</t>
  </si>
  <si>
    <t>=StartDate-$M124+1</t>
  </si>
  <si>
    <t>=SUM(P124:T124)</t>
  </si>
  <si>
    <t>=IF($M124&gt;=$P$18,U124,0)</t>
  </si>
  <si>
    <t>=IF(AND($M124&gt;=$Q$16,$M124&lt;=$Q$18),U124,0)</t>
  </si>
  <si>
    <t>=IF(AND($M124&gt;=$R$16,$M124&lt;=$R$18),U124,0)</t>
  </si>
  <si>
    <t>=IF(AND($M124&gt;=$S$16,$M124&lt;=$S$18),U124,0)</t>
  </si>
  <si>
    <t>=IF($M124&lt;=$T$18,U124,0)</t>
  </si>
  <si>
    <t>="""NAV Direct"",""CRONUS JetCorp USA"",""21"",""1"",""371022"""</t>
  </si>
  <si>
    <t>=E123</t>
  </si>
  <si>
    <t>=StartDate-$M125+1</t>
  </si>
  <si>
    <t>=SUM(P125:T125)</t>
  </si>
  <si>
    <t>=IF($M125&gt;=$P$18,U125,0)</t>
  </si>
  <si>
    <t>=IF(AND($M125&gt;=$Q$16,$M125&lt;=$Q$18),U125,0)</t>
  </si>
  <si>
    <t>=IF(AND($M125&gt;=$R$16,$M125&lt;=$R$18),U125,0)</t>
  </si>
  <si>
    <t>=IF(AND($M125&gt;=$S$16,$M125&lt;=$S$18),U125,0)</t>
  </si>
  <si>
    <t>=IF($M125&lt;=$T$18,U125,0)</t>
  </si>
  <si>
    <t>="""NAV Direct"",""CRONUS JetCorp USA"",""21"",""1"",""435928"""</t>
  </si>
  <si>
    <t>=E124</t>
  </si>
  <si>
    <t>=StartDate-$M126+1</t>
  </si>
  <si>
    <t>=SUM(P126:T126)</t>
  </si>
  <si>
    <t>=IF($M126&gt;=$P$18,U126,0)</t>
  </si>
  <si>
    <t>=IF(AND($M126&gt;=$Q$16,$M126&lt;=$Q$18),U126,0)</t>
  </si>
  <si>
    <t>=IF(AND($M126&gt;=$R$16,$M126&lt;=$R$18),U126,0)</t>
  </si>
  <si>
    <t>=IF(AND($M126&gt;=$S$16,$M126&lt;=$S$18),U126,0)</t>
  </si>
  <si>
    <t>=IF($M126&lt;=$T$18,U126,0)</t>
  </si>
  <si>
    <t>="""NAV Direct"",""CRONUS JetCorp USA"",""21"",""1"",""436245"""</t>
  </si>
  <si>
    <t>=E125</t>
  </si>
  <si>
    <t>=StartDate-$M127+1</t>
  </si>
  <si>
    <t>=SUM(P127:T127)</t>
  </si>
  <si>
    <t>=IF($M127&gt;=$P$18,U127,0)</t>
  </si>
  <si>
    <t>=IF(AND($M127&gt;=$Q$16,$M127&lt;=$Q$18),U127,0)</t>
  </si>
  <si>
    <t>=IF(AND($M127&gt;=$R$16,$M127&lt;=$R$18),U127,0)</t>
  </si>
  <si>
    <t>=IF(AND($M127&gt;=$S$16,$M127&lt;=$S$18),U127,0)</t>
  </si>
  <si>
    <t>=IF($M127&lt;=$T$18,U127,0)</t>
  </si>
  <si>
    <t>="""NAV Direct"",""CRONUS JetCorp USA"",""21"",""1"",""436324"""</t>
  </si>
  <si>
    <t>=E126</t>
  </si>
  <si>
    <t>=StartDate-$M128+1</t>
  </si>
  <si>
    <t>=SUM(P128:T128)</t>
  </si>
  <si>
    <t>=IF($M128&gt;=$P$18,U128,0)</t>
  </si>
  <si>
    <t>=IF(AND($M128&gt;=$Q$16,$M128&lt;=$Q$18),U128,0)</t>
  </si>
  <si>
    <t>=IF(AND($M128&gt;=$R$16,$M128&lt;=$R$18),U128,0)</t>
  </si>
  <si>
    <t>=IF(AND($M128&gt;=$S$16,$M128&lt;=$S$18),U128,0)</t>
  </si>
  <si>
    <t>=IF($M128&lt;=$T$18,U128,0)</t>
  </si>
  <si>
    <t>="""NAV Direct"",""CRONUS JetCorp USA"",""21"",""1"",""436741"""</t>
  </si>
  <si>
    <t>=E127</t>
  </si>
  <si>
    <t>=StartDate-$M129+1</t>
  </si>
  <si>
    <t>=SUM(P129:T129)</t>
  </si>
  <si>
    <t>=IF($M129&gt;=$P$18,U129,0)</t>
  </si>
  <si>
    <t>=IF(AND($M129&gt;=$Q$16,$M129&lt;=$Q$18),U129,0)</t>
  </si>
  <si>
    <t>=IF(AND($M129&gt;=$R$16,$M129&lt;=$R$18),U129,0)</t>
  </si>
  <si>
    <t>=IF(AND($M129&gt;=$S$16,$M129&lt;=$S$18),U129,0)</t>
  </si>
  <si>
    <t>=IF($M129&lt;=$T$18,U129,0)</t>
  </si>
  <si>
    <t>="""NAV Direct"",""CRONUS JetCorp USA"",""21"",""1"",""436792"""</t>
  </si>
  <si>
    <t>=E128</t>
  </si>
  <si>
    <t>=StartDate-$M130+1</t>
  </si>
  <si>
    <t>=SUM(P130:T130)</t>
  </si>
  <si>
    <t>=IF($M130&gt;=$P$18,U130,0)</t>
  </si>
  <si>
    <t>=IF(AND($M130&gt;=$Q$16,$M130&lt;=$Q$18),U130,0)</t>
  </si>
  <si>
    <t>=IF(AND($M130&gt;=$R$16,$M130&lt;=$R$18),U130,0)</t>
  </si>
  <si>
    <t>=IF(AND($M130&gt;=$S$16,$M130&lt;=$S$18),U130,0)</t>
  </si>
  <si>
    <t>=IF($M130&lt;=$T$18,U130,0)</t>
  </si>
  <si>
    <t>="""NAV Direct"",""CRONUS JetCorp USA"",""21"",""1"",""436832"""</t>
  </si>
  <si>
    <t>=E129</t>
  </si>
  <si>
    <t>=StartDate-$M131+1</t>
  </si>
  <si>
    <t>=SUM(P131:T131)</t>
  </si>
  <si>
    <t>=IF($M131&gt;=$P$18,U131,0)</t>
  </si>
  <si>
    <t>=IF(AND($M131&gt;=$Q$16,$M131&lt;=$Q$18),U131,0)</t>
  </si>
  <si>
    <t>=IF(AND($M131&gt;=$R$16,$M131&lt;=$R$18),U131,0)</t>
  </si>
  <si>
    <t>=IF(AND($M131&gt;=$S$16,$M131&lt;=$S$18),U131,0)</t>
  </si>
  <si>
    <t>=IF($M131&lt;=$T$18,U131,0)</t>
  </si>
  <si>
    <t>="""NAV Direct"",""CRONUS JetCorp USA"",""21"",""1"",""437007"""</t>
  </si>
  <si>
    <t>=E130</t>
  </si>
  <si>
    <t>=StartDate-$M132+1</t>
  </si>
  <si>
    <t>=SUM(P132:T132)</t>
  </si>
  <si>
    <t>=IF($M132&gt;=$P$18,U132,0)</t>
  </si>
  <si>
    <t>=IF(AND($M132&gt;=$Q$16,$M132&lt;=$Q$18),U132,0)</t>
  </si>
  <si>
    <t>=IF(AND($M132&gt;=$R$16,$M132&lt;=$R$18),U132,0)</t>
  </si>
  <si>
    <t>=IF(AND($M132&gt;=$S$16,$M132&lt;=$S$18),U132,0)</t>
  </si>
  <si>
    <t>=IF($M132&lt;=$T$18,U132,0)</t>
  </si>
  <si>
    <t>="""NAV Direct"",""CRONUS JetCorp USA"",""21"",""1"",""437286"""</t>
  </si>
  <si>
    <t>=E131</t>
  </si>
  <si>
    <t>=StartDate-$M133+1</t>
  </si>
  <si>
    <t>=SUM(P133:T133)</t>
  </si>
  <si>
    <t>=IF($M133&gt;=$P$18,U133,0)</t>
  </si>
  <si>
    <t>=IF(AND($M133&gt;=$Q$16,$M133&lt;=$Q$18),U133,0)</t>
  </si>
  <si>
    <t>=IF(AND($M133&gt;=$R$16,$M133&lt;=$R$18),U133,0)</t>
  </si>
  <si>
    <t>=IF(AND($M133&gt;=$S$16,$M133&lt;=$S$18),U133,0)</t>
  </si>
  <si>
    <t>=IF($M133&lt;=$T$18,U133,0)</t>
  </si>
  <si>
    <t>="""NAV Direct"",""CRONUS JetCorp USA"",""18"",""1"",""C100013"""</t>
  </si>
  <si>
    <t>=H136</t>
  </si>
  <si>
    <t>=NF($C136,"1 No.")</t>
  </si>
  <si>
    <t>=NF($C136,"1 No.")&amp;"  -  "&amp;NF($C136,"2 Name")</t>
  </si>
  <si>
    <t>=IFERROR(O136/NF(C136,"Credit Limit (LCY)"),"")</t>
  </si>
  <si>
    <t>=SUBTOTAL(3,L137:L160)</t>
  </si>
  <si>
    <t>=SUBTOTAL(9,O137:O160)</t>
  </si>
  <si>
    <t>=SUBTOTAL(9,P137:P160)</t>
  </si>
  <si>
    <t>=SUBTOTAL(9,Q137:Q160)</t>
  </si>
  <si>
    <t>=SUBTOTAL(9,R137:R160)</t>
  </si>
  <si>
    <t>=SUBTOTAL(9,S137:S160)</t>
  </si>
  <si>
    <t>=SUBTOTAL(9,T137:T160)</t>
  </si>
  <si>
    <t>=C136</t>
  </si>
  <si>
    <t>=E136</t>
  </si>
  <si>
    <t>="Contact: "&amp;NF($C137,"8 Contact")</t>
  </si>
  <si>
    <t>=C137</t>
  </si>
  <si>
    <t>=E137</t>
  </si>
  <si>
    <t>=NF($C138,"102 E-Mail")</t>
  </si>
  <si>
    <t>=NL("Rows","21 Cust. Ledger Entry",,"3 Customer No.","@@"&amp;$E140,"16 Remaining Amt. (LCY)","&lt;&gt;0")</t>
  </si>
  <si>
    <t>=E138</t>
  </si>
  <si>
    <t>=StartDate-$M140+1</t>
  </si>
  <si>
    <t>=SUM(P140:T140)</t>
  </si>
  <si>
    <t>=IF($M140&gt;=$P$18,U140,0)</t>
  </si>
  <si>
    <t>=IF(AND($M140&gt;=$Q$16,$M140&lt;=$Q$18),U140,0)</t>
  </si>
  <si>
    <t>=IF(AND($M140&gt;=$R$16,$M140&lt;=$R$18),U140,0)</t>
  </si>
  <si>
    <t>=IF(AND($M140&gt;=$S$16,$M140&lt;=$S$18),U140,0)</t>
  </si>
  <si>
    <t>=IF($M140&lt;=$T$18,U140,0)</t>
  </si>
  <si>
    <t>="""NAV Direct"",""CRONUS JetCorp USA"",""21"",""1"",""102003"""</t>
  </si>
  <si>
    <t>=E139</t>
  </si>
  <si>
    <t>=StartDate-$M141+1</t>
  </si>
  <si>
    <t>=SUM(P141:T141)</t>
  </si>
  <si>
    <t>=IF($M141&gt;=$P$18,U141,0)</t>
  </si>
  <si>
    <t>=IF(AND($M141&gt;=$Q$16,$M141&lt;=$Q$18),U141,0)</t>
  </si>
  <si>
    <t>=IF(AND($M141&gt;=$R$16,$M141&lt;=$R$18),U141,0)</t>
  </si>
  <si>
    <t>=IF(AND($M141&gt;=$S$16,$M141&lt;=$S$18),U141,0)</t>
  </si>
  <si>
    <t>=IF($M141&lt;=$T$18,U141,0)</t>
  </si>
  <si>
    <t>="""NAV Direct"",""CRONUS JetCorp USA"",""21"",""1"",""380872"""</t>
  </si>
  <si>
    <t>=E140</t>
  </si>
  <si>
    <t>=StartDate-$M142+1</t>
  </si>
  <si>
    <t>=SUM(P142:T142)</t>
  </si>
  <si>
    <t>=IF($M142&gt;=$P$18,U142,0)</t>
  </si>
  <si>
    <t>=IF(AND($M142&gt;=$Q$16,$M142&lt;=$Q$18),U142,0)</t>
  </si>
  <si>
    <t>=IF(AND($M142&gt;=$R$16,$M142&lt;=$R$18),U142,0)</t>
  </si>
  <si>
    <t>=IF(AND($M142&gt;=$S$16,$M142&lt;=$S$18),U142,0)</t>
  </si>
  <si>
    <t>=IF($M142&lt;=$T$18,U142,0)</t>
  </si>
  <si>
    <t>="""NAV Direct"",""CRONUS JetCorp USA"",""21"",""1"",""381696"""</t>
  </si>
  <si>
    <t>=E141</t>
  </si>
  <si>
    <t>=StartDate-$M143+1</t>
  </si>
  <si>
    <t>=SUM(P143:T143)</t>
  </si>
  <si>
    <t>=IF($M143&gt;=$P$18,U143,0)</t>
  </si>
  <si>
    <t>=IF(AND($M143&gt;=$Q$16,$M143&lt;=$Q$18),U143,0)</t>
  </si>
  <si>
    <t>=IF(AND($M143&gt;=$R$16,$M143&lt;=$R$18),U143,0)</t>
  </si>
  <si>
    <t>=IF(AND($M143&gt;=$S$16,$M143&lt;=$S$18),U143,0)</t>
  </si>
  <si>
    <t>=IF($M143&lt;=$T$18,U143,0)</t>
  </si>
  <si>
    <t>="""NAV Direct"",""CRONUS JetCorp USA"",""21"",""1"",""381748"""</t>
  </si>
  <si>
    <t>=E142</t>
  </si>
  <si>
    <t>=StartDate-$M144+1</t>
  </si>
  <si>
    <t>=SUM(P144:T144)</t>
  </si>
  <si>
    <t>=IF($M144&gt;=$P$18,U144,0)</t>
  </si>
  <si>
    <t>=IF(AND($M144&gt;=$Q$16,$M144&lt;=$Q$18),U144,0)</t>
  </si>
  <si>
    <t>=IF(AND($M144&gt;=$R$16,$M144&lt;=$R$18),U144,0)</t>
  </si>
  <si>
    <t>=IF(AND($M144&gt;=$S$16,$M144&lt;=$S$18),U144,0)</t>
  </si>
  <si>
    <t>=IF($M144&lt;=$T$18,U144,0)</t>
  </si>
  <si>
    <t>="""NAV Direct"",""CRONUS JetCorp USA"",""21"",""1"",""381845"""</t>
  </si>
  <si>
    <t>=E143</t>
  </si>
  <si>
    <t>=StartDate-$M145+1</t>
  </si>
  <si>
    <t>=SUM(P145:T145)</t>
  </si>
  <si>
    <t>=IF($M145&gt;=$P$18,U145,0)</t>
  </si>
  <si>
    <t>=IF(AND($M145&gt;=$Q$16,$M145&lt;=$Q$18),U145,0)</t>
  </si>
  <si>
    <t>=IF(AND($M145&gt;=$R$16,$M145&lt;=$R$18),U145,0)</t>
  </si>
  <si>
    <t>=IF(AND($M145&gt;=$S$16,$M145&lt;=$S$18),U145,0)</t>
  </si>
  <si>
    <t>=IF($M145&lt;=$T$18,U145,0)</t>
  </si>
  <si>
    <t>="""NAV Direct"",""CRONUS JetCorp USA"",""21"",""1"",""382227"""</t>
  </si>
  <si>
    <t>=E144</t>
  </si>
  <si>
    <t>=StartDate-$M146+1</t>
  </si>
  <si>
    <t>=SUM(P146:T146)</t>
  </si>
  <si>
    <t>=IF($M146&gt;=$P$18,U146,0)</t>
  </si>
  <si>
    <t>=IF(AND($M146&gt;=$Q$16,$M146&lt;=$Q$18),U146,0)</t>
  </si>
  <si>
    <t>=IF(AND($M146&gt;=$R$16,$M146&lt;=$R$18),U146,0)</t>
  </si>
  <si>
    <t>=IF(AND($M146&gt;=$S$16,$M146&lt;=$S$18),U146,0)</t>
  </si>
  <si>
    <t>=IF($M146&lt;=$T$18,U146,0)</t>
  </si>
  <si>
    <t>="""NAV Direct"",""CRONUS JetCorp USA"",""21"",""1"",""382274"""</t>
  </si>
  <si>
    <t>=E145</t>
  </si>
  <si>
    <t>=StartDate-$M147+1</t>
  </si>
  <si>
    <t>=SUM(P147:T147)</t>
  </si>
  <si>
    <t>=IF($M147&gt;=$P$18,U147,0)</t>
  </si>
  <si>
    <t>=IF(AND($M147&gt;=$Q$16,$M147&lt;=$Q$18),U147,0)</t>
  </si>
  <si>
    <t>=IF(AND($M147&gt;=$R$16,$M147&lt;=$R$18),U147,0)</t>
  </si>
  <si>
    <t>=IF(AND($M147&gt;=$S$16,$M147&lt;=$S$18),U147,0)</t>
  </si>
  <si>
    <t>=IF($M147&lt;=$T$18,U147,0)</t>
  </si>
  <si>
    <t>="""NAV Direct"",""CRONUS JetCorp USA"",""21"",""1"",""382383"""</t>
  </si>
  <si>
    <t>=E146</t>
  </si>
  <si>
    <t>=StartDate-$M148+1</t>
  </si>
  <si>
    <t>=SUM(P148:T148)</t>
  </si>
  <si>
    <t>=IF($M148&gt;=$P$18,U148,0)</t>
  </si>
  <si>
    <t>=IF(AND($M148&gt;=$Q$16,$M148&lt;=$Q$18),U148,0)</t>
  </si>
  <si>
    <t>=IF(AND($M148&gt;=$R$16,$M148&lt;=$R$18),U148,0)</t>
  </si>
  <si>
    <t>=IF(AND($M148&gt;=$S$16,$M148&lt;=$S$18),U148,0)</t>
  </si>
  <si>
    <t>=IF($M148&lt;=$T$18,U148,0)</t>
  </si>
  <si>
    <t>="""NAV Direct"",""CRONUS JetCorp USA"",""21"",""1"",""382557"""</t>
  </si>
  <si>
    <t>=E147</t>
  </si>
  <si>
    <t>=StartDate-$M149+1</t>
  </si>
  <si>
    <t>=SUM(P149:T149)</t>
  </si>
  <si>
    <t>=IF($M149&gt;=$P$18,U149,0)</t>
  </si>
  <si>
    <t>=IF(AND($M149&gt;=$Q$16,$M149&lt;=$Q$18),U149,0)</t>
  </si>
  <si>
    <t>=IF(AND($M149&gt;=$R$16,$M149&lt;=$R$18),U149,0)</t>
  </si>
  <si>
    <t>=IF(AND($M149&gt;=$S$16,$M149&lt;=$S$18),U149,0)</t>
  </si>
  <si>
    <t>=IF($M149&lt;=$T$18,U149,0)</t>
  </si>
  <si>
    <t>="""NAV Direct"",""CRONUS JetCorp USA"",""21"",""1"",""382796"""</t>
  </si>
  <si>
    <t>=E148</t>
  </si>
  <si>
    <t>=StartDate-$M150+1</t>
  </si>
  <si>
    <t>=SUM(P150:T150)</t>
  </si>
  <si>
    <t>=IF($M150&gt;=$P$18,U150,0)</t>
  </si>
  <si>
    <t>=IF(AND($M150&gt;=$Q$16,$M150&lt;=$Q$18),U150,0)</t>
  </si>
  <si>
    <t>=IF(AND($M150&gt;=$R$16,$M150&lt;=$R$18),U150,0)</t>
  </si>
  <si>
    <t>=IF(AND($M150&gt;=$S$16,$M150&lt;=$S$18),U150,0)</t>
  </si>
  <si>
    <t>=IF($M150&lt;=$T$18,U150,0)</t>
  </si>
  <si>
    <t>="""NAV Direct"",""CRONUS JetCorp USA"",""21"",""1"",""382868"""</t>
  </si>
  <si>
    <t>=E149</t>
  </si>
  <si>
    <t>=StartDate-$M151+1</t>
  </si>
  <si>
    <t>=SUM(P151:T151)</t>
  </si>
  <si>
    <t>=IF($M151&gt;=$P$18,U151,0)</t>
  </si>
  <si>
    <t>=IF(AND($M151&gt;=$Q$16,$M151&lt;=$Q$18),U151,0)</t>
  </si>
  <si>
    <t>=IF(AND($M151&gt;=$R$16,$M151&lt;=$R$18),U151,0)</t>
  </si>
  <si>
    <t>=IF(AND($M151&gt;=$S$16,$M151&lt;=$S$18),U151,0)</t>
  </si>
  <si>
    <t>=IF($M151&lt;=$T$18,U151,0)</t>
  </si>
  <si>
    <t>="""NAV Direct"",""CRONUS JetCorp USA"",""21"",""1"",""383051"""</t>
  </si>
  <si>
    <t>=E150</t>
  </si>
  <si>
    <t>=StartDate-$M152+1</t>
  </si>
  <si>
    <t>=SUM(P152:T152)</t>
  </si>
  <si>
    <t>=IF($M152&gt;=$P$18,U152,0)</t>
  </si>
  <si>
    <t>=IF(AND($M152&gt;=$Q$16,$M152&lt;=$Q$18),U152,0)</t>
  </si>
  <si>
    <t>=IF(AND($M152&gt;=$R$16,$M152&lt;=$R$18),U152,0)</t>
  </si>
  <si>
    <t>=IF(AND($M152&gt;=$S$16,$M152&lt;=$S$18),U152,0)</t>
  </si>
  <si>
    <t>=IF($M152&lt;=$T$18,U152,0)</t>
  </si>
  <si>
    <t>="""NAV Direct"",""CRONUS JetCorp USA"",""21"",""1"",""383212"""</t>
  </si>
  <si>
    <t>=E151</t>
  </si>
  <si>
    <t>=StartDate-$M153+1</t>
  </si>
  <si>
    <t>=SUM(P153:T153)</t>
  </si>
  <si>
    <t>=IF($M153&gt;=$P$18,U153,0)</t>
  </si>
  <si>
    <t>=IF(AND($M153&gt;=$Q$16,$M153&lt;=$Q$18),U153,0)</t>
  </si>
  <si>
    <t>=IF(AND($M153&gt;=$R$16,$M153&lt;=$R$18),U153,0)</t>
  </si>
  <si>
    <t>=IF(AND($M153&gt;=$S$16,$M153&lt;=$S$18),U153,0)</t>
  </si>
  <si>
    <t>=IF($M153&lt;=$T$18,U153,0)</t>
  </si>
  <si>
    <t>="""NAV Direct"",""CRONUS JetCorp USA"",""21"",""1"",""383370"""</t>
  </si>
  <si>
    <t>=E152</t>
  </si>
  <si>
    <t>=StartDate-$M154+1</t>
  </si>
  <si>
    <t>=SUM(P154:T154)</t>
  </si>
  <si>
    <t>=IF($M154&gt;=$P$18,U154,0)</t>
  </si>
  <si>
    <t>=IF(AND($M154&gt;=$Q$16,$M154&lt;=$Q$18),U154,0)</t>
  </si>
  <si>
    <t>=IF(AND($M154&gt;=$R$16,$M154&lt;=$R$18),U154,0)</t>
  </si>
  <si>
    <t>=IF(AND($M154&gt;=$S$16,$M154&lt;=$S$18),U154,0)</t>
  </si>
  <si>
    <t>=IF($M154&lt;=$T$18,U154,0)</t>
  </si>
  <si>
    <t>="""NAV Direct"",""CRONUS JetCorp USA"",""21"",""1"",""438390"""</t>
  </si>
  <si>
    <t>=E153</t>
  </si>
  <si>
    <t>=StartDate-$M155+1</t>
  </si>
  <si>
    <t>=SUM(P155:T155)</t>
  </si>
  <si>
    <t>=IF($M155&gt;=$P$18,U155,0)</t>
  </si>
  <si>
    <t>=IF(AND($M155&gt;=$Q$16,$M155&lt;=$Q$18),U155,0)</t>
  </si>
  <si>
    <t>=IF(AND($M155&gt;=$R$16,$M155&lt;=$R$18),U155,0)</t>
  </si>
  <si>
    <t>=IF(AND($M155&gt;=$S$16,$M155&lt;=$S$18),U155,0)</t>
  </si>
  <si>
    <t>=IF($M155&lt;=$T$18,U155,0)</t>
  </si>
  <si>
    <t>="""NAV Direct"",""CRONUS JetCorp USA"",""21"",""1"",""438446"""</t>
  </si>
  <si>
    <t>=E154</t>
  </si>
  <si>
    <t>=StartDate-$M156+1</t>
  </si>
  <si>
    <t>=SUM(P156:T156)</t>
  </si>
  <si>
    <t>=IF($M156&gt;=$P$18,U156,0)</t>
  </si>
  <si>
    <t>=IF(AND($M156&gt;=$Q$16,$M156&lt;=$Q$18),U156,0)</t>
  </si>
  <si>
    <t>=IF(AND($M156&gt;=$R$16,$M156&lt;=$R$18),U156,0)</t>
  </si>
  <si>
    <t>=IF(AND($M156&gt;=$S$16,$M156&lt;=$S$18),U156,0)</t>
  </si>
  <si>
    <t>=IF($M156&lt;=$T$18,U156,0)</t>
  </si>
  <si>
    <t>="""NAV Direct"",""CRONUS JetCorp USA"",""21"",""1"",""438517"""</t>
  </si>
  <si>
    <t>=E155</t>
  </si>
  <si>
    <t>=StartDate-$M157+1</t>
  </si>
  <si>
    <t>=SUM(P157:T157)</t>
  </si>
  <si>
    <t>=IF($M157&gt;=$P$18,U157,0)</t>
  </si>
  <si>
    <t>=IF(AND($M157&gt;=$Q$16,$M157&lt;=$Q$18),U157,0)</t>
  </si>
  <si>
    <t>=IF(AND($M157&gt;=$R$16,$M157&lt;=$R$18),U157,0)</t>
  </si>
  <si>
    <t>=IF(AND($M157&gt;=$S$16,$M157&lt;=$S$18),U157,0)</t>
  </si>
  <si>
    <t>=IF($M157&lt;=$T$18,U157,0)</t>
  </si>
  <si>
    <t>="""NAV Direct"",""CRONUS JetCorp USA"",""21"",""1"",""438549"""</t>
  </si>
  <si>
    <t>=E156</t>
  </si>
  <si>
    <t>=StartDate-$M158+1</t>
  </si>
  <si>
    <t>=SUM(P158:T158)</t>
  </si>
  <si>
    <t>=IF($M158&gt;=$P$18,U158,0)</t>
  </si>
  <si>
    <t>=IF(AND($M158&gt;=$Q$16,$M158&lt;=$Q$18),U158,0)</t>
  </si>
  <si>
    <t>=IF(AND($M158&gt;=$R$16,$M158&lt;=$R$18),U158,0)</t>
  </si>
  <si>
    <t>=IF(AND($M158&gt;=$S$16,$M158&lt;=$S$18),U158,0)</t>
  </si>
  <si>
    <t>=IF($M158&lt;=$T$18,U158,0)</t>
  </si>
  <si>
    <t>="""NAV Direct"",""CRONUS JetCorp USA"",""21"",""1"",""438585"""</t>
  </si>
  <si>
    <t>=E157</t>
  </si>
  <si>
    <t>=StartDate-$M159+1</t>
  </si>
  <si>
    <t>=SUM(P159:T159)</t>
  </si>
  <si>
    <t>=IF($M159&gt;=$P$18,U159,0)</t>
  </si>
  <si>
    <t>=IF(AND($M159&gt;=$Q$16,$M159&lt;=$Q$18),U159,0)</t>
  </si>
  <si>
    <t>=IF(AND($M159&gt;=$R$16,$M159&lt;=$R$18),U159,0)</t>
  </si>
  <si>
    <t>=IF(AND($M159&gt;=$S$16,$M159&lt;=$S$18),U159,0)</t>
  </si>
  <si>
    <t>=IF($M159&lt;=$T$18,U159,0)</t>
  </si>
  <si>
    <t>="""NAV Direct"",""CRONUS JetCorp USA"",""18"",""1"",""C100014"""</t>
  </si>
  <si>
    <t>=H162</t>
  </si>
  <si>
    <t>=NF($C162,"1 No.")</t>
  </si>
  <si>
    <t>=NF($C162,"1 No.")&amp;"  -  "&amp;NF($C162,"2 Name")</t>
  </si>
  <si>
    <t>=IFERROR(O162/NF(C162,"Credit Limit (LCY)"),"")</t>
  </si>
  <si>
    <t>=SUBTOTAL(3,L163:L185)</t>
  </si>
  <si>
    <t>=SUBTOTAL(9,O163:O185)</t>
  </si>
  <si>
    <t>=SUBTOTAL(9,P163:P185)</t>
  </si>
  <si>
    <t>=SUBTOTAL(9,Q163:Q185)</t>
  </si>
  <si>
    <t>=SUBTOTAL(9,R163:R185)</t>
  </si>
  <si>
    <t>=SUBTOTAL(9,S163:S185)</t>
  </si>
  <si>
    <t>=SUBTOTAL(9,T163:T185)</t>
  </si>
  <si>
    <t>=C162</t>
  </si>
  <si>
    <t>=E162</t>
  </si>
  <si>
    <t>="Contact: "&amp;NF($C163,"8 Contact")</t>
  </si>
  <si>
    <t>=C163</t>
  </si>
  <si>
    <t>=E163</t>
  </si>
  <si>
    <t>=NF($C164,"102 E-Mail")</t>
  </si>
  <si>
    <t>=NL("Rows","21 Cust. Ledger Entry",,"3 Customer No.","@@"&amp;$E166,"16 Remaining Amt. (LCY)","&lt;&gt;0")</t>
  </si>
  <si>
    <t>=E164</t>
  </si>
  <si>
    <t>=StartDate-$M166+1</t>
  </si>
  <si>
    <t>=SUM(P166:T166)</t>
  </si>
  <si>
    <t>=IF($M166&gt;=$P$18,U166,0)</t>
  </si>
  <si>
    <t>=IF(AND($M166&gt;=$Q$16,$M166&lt;=$Q$18),U166,0)</t>
  </si>
  <si>
    <t>=IF(AND($M166&gt;=$R$16,$M166&lt;=$R$18),U166,0)</t>
  </si>
  <si>
    <t>=IF(AND($M166&gt;=$S$16,$M166&lt;=$S$18),U166,0)</t>
  </si>
  <si>
    <t>=IF($M166&lt;=$T$18,U166,0)</t>
  </si>
  <si>
    <t>="""NAV Direct"",""CRONUS JetCorp USA"",""21"",""1"",""97852"""</t>
  </si>
  <si>
    <t>=E165</t>
  </si>
  <si>
    <t>=StartDate-$M167+1</t>
  </si>
  <si>
    <t>=SUM(P167:T167)</t>
  </si>
  <si>
    <t>=IF($M167&gt;=$P$18,U167,0)</t>
  </si>
  <si>
    <t>=IF(AND($M167&gt;=$Q$16,$M167&lt;=$Q$18),U167,0)</t>
  </si>
  <si>
    <t>=IF(AND($M167&gt;=$R$16,$M167&lt;=$R$18),U167,0)</t>
  </si>
  <si>
    <t>=IF(AND($M167&gt;=$S$16,$M167&lt;=$S$18),U167,0)</t>
  </si>
  <si>
    <t>=IF($M167&lt;=$T$18,U167,0)</t>
  </si>
  <si>
    <t>="""NAV Direct"",""CRONUS JetCorp USA"",""21"",""1"",""97893"""</t>
  </si>
  <si>
    <t>=E166</t>
  </si>
  <si>
    <t>=StartDate-$M168+1</t>
  </si>
  <si>
    <t>=SUM(P168:T168)</t>
  </si>
  <si>
    <t>=IF($M168&gt;=$P$18,U168,0)</t>
  </si>
  <si>
    <t>=IF(AND($M168&gt;=$Q$16,$M168&lt;=$Q$18),U168,0)</t>
  </si>
  <si>
    <t>=IF(AND($M168&gt;=$R$16,$M168&lt;=$R$18),U168,0)</t>
  </si>
  <si>
    <t>=IF(AND($M168&gt;=$S$16,$M168&lt;=$S$18),U168,0)</t>
  </si>
  <si>
    <t>=IF($M168&lt;=$T$18,U168,0)</t>
  </si>
  <si>
    <t>="""NAV Direct"",""CRONUS JetCorp USA"",""21"",""1"",""98185"""</t>
  </si>
  <si>
    <t>=E167</t>
  </si>
  <si>
    <t>=StartDate-$M169+1</t>
  </si>
  <si>
    <t>=SUM(P169:T169)</t>
  </si>
  <si>
    <t>=IF($M169&gt;=$P$18,U169,0)</t>
  </si>
  <si>
    <t>=IF(AND($M169&gt;=$Q$16,$M169&lt;=$Q$18),U169,0)</t>
  </si>
  <si>
    <t>=IF(AND($M169&gt;=$R$16,$M169&lt;=$R$18),U169,0)</t>
  </si>
  <si>
    <t>=IF(AND($M169&gt;=$S$16,$M169&lt;=$S$18),U169,0)</t>
  </si>
  <si>
    <t>=IF($M169&lt;=$T$18,U169,0)</t>
  </si>
  <si>
    <t>="""NAV Direct"",""CRONUS JetCorp USA"",""21"",""1"",""377318"""</t>
  </si>
  <si>
    <t>=E168</t>
  </si>
  <si>
    <t>=StartDate-$M170+1</t>
  </si>
  <si>
    <t>=SUM(P170:T170)</t>
  </si>
  <si>
    <t>=IF($M170&gt;=$P$18,U170,0)</t>
  </si>
  <si>
    <t>=IF(AND($M170&gt;=$Q$16,$M170&lt;=$Q$18),U170,0)</t>
  </si>
  <si>
    <t>=IF(AND($M170&gt;=$R$16,$M170&lt;=$R$18),U170,0)</t>
  </si>
  <si>
    <t>=IF(AND($M170&gt;=$S$16,$M170&lt;=$S$18),U170,0)</t>
  </si>
  <si>
    <t>=IF($M170&lt;=$T$18,U170,0)</t>
  </si>
  <si>
    <t>="""NAV Direct"",""CRONUS JetCorp USA"",""21"",""1"",""377563"""</t>
  </si>
  <si>
    <t>=E169</t>
  </si>
  <si>
    <t>=StartDate-$M171+1</t>
  </si>
  <si>
    <t>=SUM(P171:T171)</t>
  </si>
  <si>
    <t>=IF($M171&gt;=$P$18,U171,0)</t>
  </si>
  <si>
    <t>=IF(AND($M171&gt;=$Q$16,$M171&lt;=$Q$18),U171,0)</t>
  </si>
  <si>
    <t>=IF(AND($M171&gt;=$R$16,$M171&lt;=$R$18),U171,0)</t>
  </si>
  <si>
    <t>=IF(AND($M171&gt;=$S$16,$M171&lt;=$S$18),U171,0)</t>
  </si>
  <si>
    <t>=IF($M171&lt;=$T$18,U171,0)</t>
  </si>
  <si>
    <t>="""NAV Direct"",""CRONUS JetCorp USA"",""21"",""1"",""377588"""</t>
  </si>
  <si>
    <t>=E170</t>
  </si>
  <si>
    <t>=StartDate-$M172+1</t>
  </si>
  <si>
    <t>=SUM(P172:T172)</t>
  </si>
  <si>
    <t>=IF($M172&gt;=$P$18,U172,0)</t>
  </si>
  <si>
    <t>=IF(AND($M172&gt;=$Q$16,$M172&lt;=$Q$18),U172,0)</t>
  </si>
  <si>
    <t>=IF(AND($M172&gt;=$R$16,$M172&lt;=$R$18),U172,0)</t>
  </si>
  <si>
    <t>=IF(AND($M172&gt;=$S$16,$M172&lt;=$S$18),U172,0)</t>
  </si>
  <si>
    <t>=IF($M172&lt;=$T$18,U172,0)</t>
  </si>
  <si>
    <t>="""NAV Direct"",""CRONUS JetCorp USA"",""21"",""1"",""377607"""</t>
  </si>
  <si>
    <t>=E171</t>
  </si>
  <si>
    <t>=StartDate-$M173+1</t>
  </si>
  <si>
    <t>=SUM(P173:T173)</t>
  </si>
  <si>
    <t>=IF($M173&gt;=$P$18,U173,0)</t>
  </si>
  <si>
    <t>=IF(AND($M173&gt;=$Q$16,$M173&lt;=$Q$18),U173,0)</t>
  </si>
  <si>
    <t>=IF(AND($M173&gt;=$R$16,$M173&lt;=$R$18),U173,0)</t>
  </si>
  <si>
    <t>=IF(AND($M173&gt;=$S$16,$M173&lt;=$S$18),U173,0)</t>
  </si>
  <si>
    <t>=IF($M173&lt;=$T$18,U173,0)</t>
  </si>
  <si>
    <t>="""NAV Direct"",""CRONUS JetCorp USA"",""21"",""1"",""377871"""</t>
  </si>
  <si>
    <t>=E172</t>
  </si>
  <si>
    <t>=StartDate-$M174+1</t>
  </si>
  <si>
    <t>=SUM(P174:T174)</t>
  </si>
  <si>
    <t>=IF($M174&gt;=$P$18,U174,0)</t>
  </si>
  <si>
    <t>=IF(AND($M174&gt;=$Q$16,$M174&lt;=$Q$18),U174,0)</t>
  </si>
  <si>
    <t>=IF(AND($M174&gt;=$R$16,$M174&lt;=$R$18),U174,0)</t>
  </si>
  <si>
    <t>=IF(AND($M174&gt;=$S$16,$M174&lt;=$S$18),U174,0)</t>
  </si>
  <si>
    <t>=IF($M174&lt;=$T$18,U174,0)</t>
  </si>
  <si>
    <t>="""NAV Direct"",""CRONUS JetCorp USA"",""21"",""1"",""377941"""</t>
  </si>
  <si>
    <t>=E173</t>
  </si>
  <si>
    <t>=StartDate-$M175+1</t>
  </si>
  <si>
    <t>=SUM(P175:T175)</t>
  </si>
  <si>
    <t>=IF($M175&gt;=$P$18,U175,0)</t>
  </si>
  <si>
    <t>=IF(AND($M175&gt;=$Q$16,$M175&lt;=$Q$18),U175,0)</t>
  </si>
  <si>
    <t>=IF(AND($M175&gt;=$R$16,$M175&lt;=$R$18),U175,0)</t>
  </si>
  <si>
    <t>=IF(AND($M175&gt;=$S$16,$M175&lt;=$S$18),U175,0)</t>
  </si>
  <si>
    <t>=IF($M175&lt;=$T$18,U175,0)</t>
  </si>
  <si>
    <t>="""NAV Direct"",""CRONUS JetCorp USA"",""21"",""1"",""378129"""</t>
  </si>
  <si>
    <t>=E174</t>
  </si>
  <si>
    <t>=StartDate-$M176+1</t>
  </si>
  <si>
    <t>=SUM(P176:T176)</t>
  </si>
  <si>
    <t>=IF($M176&gt;=$P$18,U176,0)</t>
  </si>
  <si>
    <t>=IF(AND($M176&gt;=$Q$16,$M176&lt;=$Q$18),U176,0)</t>
  </si>
  <si>
    <t>=IF(AND($M176&gt;=$R$16,$M176&lt;=$R$18),U176,0)</t>
  </si>
  <si>
    <t>=IF(AND($M176&gt;=$S$16,$M176&lt;=$S$18),U176,0)</t>
  </si>
  <si>
    <t>=IF($M176&lt;=$T$18,U176,0)</t>
  </si>
  <si>
    <t>="""NAV Direct"",""CRONUS JetCorp USA"",""21"",""1"",""378844"""</t>
  </si>
  <si>
    <t>=E175</t>
  </si>
  <si>
    <t>=StartDate-$M177+1</t>
  </si>
  <si>
    <t>=SUM(P177:T177)</t>
  </si>
  <si>
    <t>=IF($M177&gt;=$P$18,U177,0)</t>
  </si>
  <si>
    <t>=IF(AND($M177&gt;=$Q$16,$M177&lt;=$Q$18),U177,0)</t>
  </si>
  <si>
    <t>=IF(AND($M177&gt;=$R$16,$M177&lt;=$R$18),U177,0)</t>
  </si>
  <si>
    <t>=IF(AND($M177&gt;=$S$16,$M177&lt;=$S$18),U177,0)</t>
  </si>
  <si>
    <t>=IF($M177&lt;=$T$18,U177,0)</t>
  </si>
  <si>
    <t>=E176</t>
  </si>
  <si>
    <t>=StartDate-$M178+1</t>
  </si>
  <si>
    <t>=SUM(P178:T178)</t>
  </si>
  <si>
    <t>=IF($M178&gt;=$P$18,U178,0)</t>
  </si>
  <si>
    <t>=IF(AND($M178&gt;=$Q$16,$M178&lt;=$Q$18),U178,0)</t>
  </si>
  <si>
    <t>=IF(AND($M178&gt;=$R$16,$M178&lt;=$R$18),U178,0)</t>
  </si>
  <si>
    <t>=IF(AND($M178&gt;=$S$16,$M178&lt;=$S$18),U178,0)</t>
  </si>
  <si>
    <t>=IF($M178&lt;=$T$18,U178,0)</t>
  </si>
  <si>
    <t>="""NAV Direct"",""CRONUS JetCorp USA"",""21"",""1"",""379589"""</t>
  </si>
  <si>
    <t>=E177</t>
  </si>
  <si>
    <t>=StartDate-$M179+1</t>
  </si>
  <si>
    <t>=SUM(P179:T179)</t>
  </si>
  <si>
    <t>=IF($M179&gt;=$P$18,U179,0)</t>
  </si>
  <si>
    <t>=IF(AND($M179&gt;=$Q$16,$M179&lt;=$Q$18),U179,0)</t>
  </si>
  <si>
    <t>=IF(AND($M179&gt;=$R$16,$M179&lt;=$R$18),U179,0)</t>
  </si>
  <si>
    <t>=IF(AND($M179&gt;=$S$16,$M179&lt;=$S$18),U179,0)</t>
  </si>
  <si>
    <t>=IF($M179&lt;=$T$18,U179,0)</t>
  </si>
  <si>
    <t>="""NAV Direct"",""CRONUS JetCorp USA"",""21"",""1"",""380232"""</t>
  </si>
  <si>
    <t>=E178</t>
  </si>
  <si>
    <t>=StartDate-$M180+1</t>
  </si>
  <si>
    <t>=SUM(P180:T180)</t>
  </si>
  <si>
    <t>=IF($M180&gt;=$P$18,U180,0)</t>
  </si>
  <si>
    <t>=IF(AND($M180&gt;=$Q$16,$M180&lt;=$Q$18),U180,0)</t>
  </si>
  <si>
    <t>=IF(AND($M180&gt;=$R$16,$M180&lt;=$R$18),U180,0)</t>
  </si>
  <si>
    <t>=IF(AND($M180&gt;=$S$16,$M180&lt;=$S$18),U180,0)</t>
  </si>
  <si>
    <t>=IF($M180&lt;=$T$18,U180,0)</t>
  </si>
  <si>
    <t>="""NAV Direct"",""CRONUS JetCorp USA"",""21"",""1"",""380433"""</t>
  </si>
  <si>
    <t>=E179</t>
  </si>
  <si>
    <t>=StartDate-$M181+1</t>
  </si>
  <si>
    <t>=SUM(P181:T181)</t>
  </si>
  <si>
    <t>=IF($M181&gt;=$P$18,U181,0)</t>
  </si>
  <si>
    <t>=IF(AND($M181&gt;=$Q$16,$M181&lt;=$Q$18),U181,0)</t>
  </si>
  <si>
    <t>=IF(AND($M181&gt;=$R$16,$M181&lt;=$R$18),U181,0)</t>
  </si>
  <si>
    <t>=IF(AND($M181&gt;=$S$16,$M181&lt;=$S$18),U181,0)</t>
  </si>
  <si>
    <t>=IF($M181&lt;=$T$18,U181,0)</t>
  </si>
  <si>
    <t>="""NAV Direct"",""CRONUS JetCorp USA"",""21"",""1"",""437958"""</t>
  </si>
  <si>
    <t>=E180</t>
  </si>
  <si>
    <t>=StartDate-$M182+1</t>
  </si>
  <si>
    <t>=SUM(P182:T182)</t>
  </si>
  <si>
    <t>=IF($M182&gt;=$P$18,U182,0)</t>
  </si>
  <si>
    <t>=IF(AND($M182&gt;=$Q$16,$M182&lt;=$Q$18),U182,0)</t>
  </si>
  <si>
    <t>=IF(AND($M182&gt;=$R$16,$M182&lt;=$R$18),U182,0)</t>
  </si>
  <si>
    <t>=IF(AND($M182&gt;=$S$16,$M182&lt;=$S$18),U182,0)</t>
  </si>
  <si>
    <t>=IF($M182&lt;=$T$18,U182,0)</t>
  </si>
  <si>
    <t>="""NAV Direct"",""CRONUS JetCorp USA"",""21"",""1"",""437971"""</t>
  </si>
  <si>
    <t>=E181</t>
  </si>
  <si>
    <t>=StartDate-$M183+1</t>
  </si>
  <si>
    <t>=SUM(P183:T183)</t>
  </si>
  <si>
    <t>=IF($M183&gt;=$P$18,U183,0)</t>
  </si>
  <si>
    <t>=IF(AND($M183&gt;=$Q$16,$M183&lt;=$Q$18),U183,0)</t>
  </si>
  <si>
    <t>=IF(AND($M183&gt;=$R$16,$M183&lt;=$R$18),U183,0)</t>
  </si>
  <si>
    <t>=IF(AND($M183&gt;=$S$16,$M183&lt;=$S$18),U183,0)</t>
  </si>
  <si>
    <t>=IF($M183&lt;=$T$18,U183,0)</t>
  </si>
  <si>
    <t>="""NAV Direct"",""CRONUS JetCorp USA"",""21"",""1"",""438162"""</t>
  </si>
  <si>
    <t>=E182</t>
  </si>
  <si>
    <t>=StartDate-$M184+1</t>
  </si>
  <si>
    <t>=SUM(P184:T184)</t>
  </si>
  <si>
    <t>=IF($M184&gt;=$P$18,U184,0)</t>
  </si>
  <si>
    <t>=IF(AND($M184&gt;=$Q$16,$M184&lt;=$Q$18),U184,0)</t>
  </si>
  <si>
    <t>=IF(AND($M184&gt;=$R$16,$M184&lt;=$R$18),U184,0)</t>
  </si>
  <si>
    <t>=IF(AND($M184&gt;=$S$16,$M184&lt;=$S$18),U184,0)</t>
  </si>
  <si>
    <t>=IF($M184&lt;=$T$18,U184,0)</t>
  </si>
  <si>
    <t>="""NAV Direct"",""CRONUS JetCorp USA"",""18"",""1"",""C100015"""</t>
  </si>
  <si>
    <t>=H187</t>
  </si>
  <si>
    <t>=NF($C187,"1 No.")</t>
  </si>
  <si>
    <t>=NF($C187,"1 No.")&amp;"  -  "&amp;NF($C187,"2 Name")</t>
  </si>
  <si>
    <t>=IFERROR(O187/NF(C187,"Credit Limit (LCY)"),"")</t>
  </si>
  <si>
    <t>=SUBTOTAL(3,L188:L232)</t>
  </si>
  <si>
    <t>=SUBTOTAL(9,O188:O232)</t>
  </si>
  <si>
    <t>=SUBTOTAL(9,P188:P232)</t>
  </si>
  <si>
    <t>=SUBTOTAL(9,Q188:Q232)</t>
  </si>
  <si>
    <t>=SUBTOTAL(9,R188:R232)</t>
  </si>
  <si>
    <t>=SUBTOTAL(9,S188:S232)</t>
  </si>
  <si>
    <t>=SUBTOTAL(9,T188:T232)</t>
  </si>
  <si>
    <t>=C187</t>
  </si>
  <si>
    <t>=E187</t>
  </si>
  <si>
    <t>="Contact: "&amp;NF($C188,"8 Contact")</t>
  </si>
  <si>
    <t>=C188</t>
  </si>
  <si>
    <t>=E188</t>
  </si>
  <si>
    <t>=NF($C189,"102 E-Mail")</t>
  </si>
  <si>
    <t>=NL("Rows","21 Cust. Ledger Entry",,"3 Customer No.","@@"&amp;$E191,"16 Remaining Amt. (LCY)","&lt;&gt;0")</t>
  </si>
  <si>
    <t>=E189</t>
  </si>
  <si>
    <t>=StartDate-$M191+1</t>
  </si>
  <si>
    <t>=SUM(P191:T191)</t>
  </si>
  <si>
    <t>=IF($M191&gt;=$P$18,U191,0)</t>
  </si>
  <si>
    <t>=IF(AND($M191&gt;=$Q$16,$M191&lt;=$Q$18),U191,0)</t>
  </si>
  <si>
    <t>=IF(AND($M191&gt;=$R$16,$M191&lt;=$R$18),U191,0)</t>
  </si>
  <si>
    <t>=IF(AND($M191&gt;=$S$16,$M191&lt;=$S$18),U191,0)</t>
  </si>
  <si>
    <t>=IF($M191&lt;=$T$18,U191,0)</t>
  </si>
  <si>
    <t>="""NAV Direct"",""CRONUS JetCorp USA"",""21"",""1"",""35707"""</t>
  </si>
  <si>
    <t>=E190</t>
  </si>
  <si>
    <t>=StartDate-$M192+1</t>
  </si>
  <si>
    <t>=SUM(P192:T192)</t>
  </si>
  <si>
    <t>=IF($M192&gt;=$P$18,U192,0)</t>
  </si>
  <si>
    <t>=IF(AND($M192&gt;=$Q$16,$M192&lt;=$Q$18),U192,0)</t>
  </si>
  <si>
    <t>=IF(AND($M192&gt;=$R$16,$M192&lt;=$R$18),U192,0)</t>
  </si>
  <si>
    <t>=IF(AND($M192&gt;=$S$16,$M192&lt;=$S$18),U192,0)</t>
  </si>
  <si>
    <t>=IF($M192&lt;=$T$18,U192,0)</t>
  </si>
  <si>
    <t>="""NAV Direct"",""CRONUS JetCorp USA"",""21"",""1"",""35732"""</t>
  </si>
  <si>
    <t>=E191</t>
  </si>
  <si>
    <t>=StartDate-$M193+1</t>
  </si>
  <si>
    <t>=SUM(P193:T193)</t>
  </si>
  <si>
    <t>=IF($M193&gt;=$P$18,U193,0)</t>
  </si>
  <si>
    <t>=IF(AND($M193&gt;=$Q$16,$M193&lt;=$Q$18),U193,0)</t>
  </si>
  <si>
    <t>=IF(AND($M193&gt;=$R$16,$M193&lt;=$R$18),U193,0)</t>
  </si>
  <si>
    <t>=IF(AND($M193&gt;=$S$16,$M193&lt;=$S$18),U193,0)</t>
  </si>
  <si>
    <t>=IF($M193&lt;=$T$18,U193,0)</t>
  </si>
  <si>
    <t>="""NAV Direct"",""CRONUS JetCorp USA"",""21"",""1"",""35755"""</t>
  </si>
  <si>
    <t>=E192</t>
  </si>
  <si>
    <t>=StartDate-$M194+1</t>
  </si>
  <si>
    <t>=SUM(P194:T194)</t>
  </si>
  <si>
    <t>=IF($M194&gt;=$P$18,U194,0)</t>
  </si>
  <si>
    <t>=IF(AND($M194&gt;=$Q$16,$M194&lt;=$Q$18),U194,0)</t>
  </si>
  <si>
    <t>=IF(AND($M194&gt;=$R$16,$M194&lt;=$R$18),U194,0)</t>
  </si>
  <si>
    <t>=IF(AND($M194&gt;=$S$16,$M194&lt;=$S$18),U194,0)</t>
  </si>
  <si>
    <t>=IF($M194&lt;=$T$18,U194,0)</t>
  </si>
  <si>
    <t>="""NAV Direct"",""CRONUS JetCorp USA"",""21"",""1"",""325612"""</t>
  </si>
  <si>
    <t>=E193</t>
  </si>
  <si>
    <t>=StartDate-$M195+1</t>
  </si>
  <si>
    <t>=SUM(P195:T195)</t>
  </si>
  <si>
    <t>=IF($M195&gt;=$P$18,U195,0)</t>
  </si>
  <si>
    <t>=IF(AND($M195&gt;=$Q$16,$M195&lt;=$Q$18),U195,0)</t>
  </si>
  <si>
    <t>=IF(AND($M195&gt;=$R$16,$M195&lt;=$R$18),U195,0)</t>
  </si>
  <si>
    <t>=IF(AND($M195&gt;=$S$16,$M195&lt;=$S$18),U195,0)</t>
  </si>
  <si>
    <t>=IF($M195&lt;=$T$18,U195,0)</t>
  </si>
  <si>
    <t>="""NAV Direct"",""CRONUS JetCorp USA"",""21"",""1"",""325755"""</t>
  </si>
  <si>
    <t>=E194</t>
  </si>
  <si>
    <t>=StartDate-$M196+1</t>
  </si>
  <si>
    <t>=SUM(P196:T196)</t>
  </si>
  <si>
    <t>=IF($M196&gt;=$P$18,U196,0)</t>
  </si>
  <si>
    <t>=IF(AND($M196&gt;=$Q$16,$M196&lt;=$Q$18),U196,0)</t>
  </si>
  <si>
    <t>=IF(AND($M196&gt;=$R$16,$M196&lt;=$R$18),U196,0)</t>
  </si>
  <si>
    <t>=IF(AND($M196&gt;=$S$16,$M196&lt;=$S$18),U196,0)</t>
  </si>
  <si>
    <t>=IF($M196&lt;=$T$18,U196,0)</t>
  </si>
  <si>
    <t>="""NAV Direct"",""CRONUS JetCorp USA"",""21"",""1"",""325782"""</t>
  </si>
  <si>
    <t>=E195</t>
  </si>
  <si>
    <t>=StartDate-$M197+1</t>
  </si>
  <si>
    <t>=SUM(P197:T197)</t>
  </si>
  <si>
    <t>=IF($M197&gt;=$P$18,U197,0)</t>
  </si>
  <si>
    <t>=IF(AND($M197&gt;=$Q$16,$M197&lt;=$Q$18),U197,0)</t>
  </si>
  <si>
    <t>=IF(AND($M197&gt;=$R$16,$M197&lt;=$R$18),U197,0)</t>
  </si>
  <si>
    <t>=IF(AND($M197&gt;=$S$16,$M197&lt;=$S$18),U197,0)</t>
  </si>
  <si>
    <t>=IF($M197&lt;=$T$18,U197,0)</t>
  </si>
  <si>
    <t>="""NAV Direct"",""CRONUS JetCorp USA"",""21"",""1"",""326002"""</t>
  </si>
  <si>
    <t>=E196</t>
  </si>
  <si>
    <t>=StartDate-$M198+1</t>
  </si>
  <si>
    <t>=SUM(P198:T198)</t>
  </si>
  <si>
    <t>=IF($M198&gt;=$P$18,U198,0)</t>
  </si>
  <si>
    <t>=IF(AND($M198&gt;=$Q$16,$M198&lt;=$Q$18),U198,0)</t>
  </si>
  <si>
    <t>=IF(AND($M198&gt;=$R$16,$M198&lt;=$R$18),U198,0)</t>
  </si>
  <si>
    <t>=IF(AND($M198&gt;=$S$16,$M198&lt;=$S$18),U198,0)</t>
  </si>
  <si>
    <t>=IF($M198&lt;=$T$18,U198,0)</t>
  </si>
  <si>
    <t>="""NAV Direct"",""CRONUS JetCorp USA"",""21"",""1"",""326342"""</t>
  </si>
  <si>
    <t>=E197</t>
  </si>
  <si>
    <t>=StartDate-$M199+1</t>
  </si>
  <si>
    <t>=SUM(P199:T199)</t>
  </si>
  <si>
    <t>=IF($M199&gt;=$P$18,U199,0)</t>
  </si>
  <si>
    <t>=IF(AND($M199&gt;=$Q$16,$M199&lt;=$Q$18),U199,0)</t>
  </si>
  <si>
    <t>=IF(AND($M199&gt;=$R$16,$M199&lt;=$R$18),U199,0)</t>
  </si>
  <si>
    <t>=IF(AND($M199&gt;=$S$16,$M199&lt;=$S$18),U199,0)</t>
  </si>
  <si>
    <t>=IF($M199&lt;=$T$18,U199,0)</t>
  </si>
  <si>
    <t>="""NAV Direct"",""CRONUS JetCorp USA"",""21"",""1"",""326452"""</t>
  </si>
  <si>
    <t>=E198</t>
  </si>
  <si>
    <t>=StartDate-$M200+1</t>
  </si>
  <si>
    <t>=SUM(P200:T200)</t>
  </si>
  <si>
    <t>=IF($M200&gt;=$P$18,U200,0)</t>
  </si>
  <si>
    <t>=IF(AND($M200&gt;=$Q$16,$M200&lt;=$Q$18),U200,0)</t>
  </si>
  <si>
    <t>=IF(AND($M200&gt;=$R$16,$M200&lt;=$R$18),U200,0)</t>
  </si>
  <si>
    <t>=IF(AND($M200&gt;=$S$16,$M200&lt;=$S$18),U200,0)</t>
  </si>
  <si>
    <t>=IF($M200&lt;=$T$18,U200,0)</t>
  </si>
  <si>
    <t>="""NAV Direct"",""CRONUS JetCorp USA"",""21"",""1"",""327082"""</t>
  </si>
  <si>
    <t>=E199</t>
  </si>
  <si>
    <t>=StartDate-$M201+1</t>
  </si>
  <si>
    <t>=SUM(P201:T201)</t>
  </si>
  <si>
    <t>=IF($M201&gt;=$P$18,U201,0)</t>
  </si>
  <si>
    <t>=IF(AND($M201&gt;=$Q$16,$M201&lt;=$Q$18),U201,0)</t>
  </si>
  <si>
    <t>=IF(AND($M201&gt;=$R$16,$M201&lt;=$R$18),U201,0)</t>
  </si>
  <si>
    <t>=IF(AND($M201&gt;=$S$16,$M201&lt;=$S$18),U201,0)</t>
  </si>
  <si>
    <t>=IF($M201&lt;=$T$18,U201,0)</t>
  </si>
  <si>
    <t>="""NAV Direct"",""CRONUS JetCorp USA"",""21"",""1"",""327338"""</t>
  </si>
  <si>
    <t>=E200</t>
  </si>
  <si>
    <t>=StartDate-$M202+1</t>
  </si>
  <si>
    <t>=SUM(P202:T202)</t>
  </si>
  <si>
    <t>=IF($M202&gt;=$P$18,U202,0)</t>
  </si>
  <si>
    <t>=IF(AND($M202&gt;=$Q$16,$M202&lt;=$Q$18),U202,0)</t>
  </si>
  <si>
    <t>=IF(AND($M202&gt;=$R$16,$M202&lt;=$R$18),U202,0)</t>
  </si>
  <si>
    <t>=IF(AND($M202&gt;=$S$16,$M202&lt;=$S$18),U202,0)</t>
  </si>
  <si>
    <t>=IF($M202&lt;=$T$18,U202,0)</t>
  </si>
  <si>
    <t>="""NAV Direct"",""CRONUS JetCorp USA"",""21"",""1"",""327492"""</t>
  </si>
  <si>
    <t>=E201</t>
  </si>
  <si>
    <t>=StartDate-$M203+1</t>
  </si>
  <si>
    <t>=SUM(P203:T203)</t>
  </si>
  <si>
    <t>=IF($M203&gt;=$P$18,U203,0)</t>
  </si>
  <si>
    <t>=IF(AND($M203&gt;=$Q$16,$M203&lt;=$Q$18),U203,0)</t>
  </si>
  <si>
    <t>=IF(AND($M203&gt;=$R$16,$M203&lt;=$R$18),U203,0)</t>
  </si>
  <si>
    <t>=IF(AND($M203&gt;=$S$16,$M203&lt;=$S$18),U203,0)</t>
  </si>
  <si>
    <t>=IF($M203&lt;=$T$18,U203,0)</t>
  </si>
  <si>
    <t>="""NAV Direct"",""CRONUS JetCorp USA"",""21"",""1"",""327636"""</t>
  </si>
  <si>
    <t>=E202</t>
  </si>
  <si>
    <t>=StartDate-$M204+1</t>
  </si>
  <si>
    <t>=SUM(P204:T204)</t>
  </si>
  <si>
    <t>=IF($M204&gt;=$P$18,U204,0)</t>
  </si>
  <si>
    <t>=IF(AND($M204&gt;=$Q$16,$M204&lt;=$Q$18),U204,0)</t>
  </si>
  <si>
    <t>=IF(AND($M204&gt;=$R$16,$M204&lt;=$R$18),U204,0)</t>
  </si>
  <si>
    <t>=IF(AND($M204&gt;=$S$16,$M204&lt;=$S$18),U204,0)</t>
  </si>
  <si>
    <t>=IF($M204&lt;=$T$18,U204,0)</t>
  </si>
  <si>
    <t>="""NAV Direct"",""CRONUS JetCorp USA"",""21"",""1"",""327688"""</t>
  </si>
  <si>
    <t>=E203</t>
  </si>
  <si>
    <t>=StartDate-$M205+1</t>
  </si>
  <si>
    <t>=SUM(P205:T205)</t>
  </si>
  <si>
    <t>=IF($M205&gt;=$P$18,U205,0)</t>
  </si>
  <si>
    <t>=IF(AND($M205&gt;=$Q$16,$M205&lt;=$Q$18),U205,0)</t>
  </si>
  <si>
    <t>=IF(AND($M205&gt;=$R$16,$M205&lt;=$R$18),U205,0)</t>
  </si>
  <si>
    <t>=IF(AND($M205&gt;=$S$16,$M205&lt;=$S$18),U205,0)</t>
  </si>
  <si>
    <t>=IF($M205&lt;=$T$18,U205,0)</t>
  </si>
  <si>
    <t>="""NAV Direct"",""CRONUS JetCorp USA"",""21"",""1"",""327711"""</t>
  </si>
  <si>
    <t>=E204</t>
  </si>
  <si>
    <t>=StartDate-$M206+1</t>
  </si>
  <si>
    <t>=SUM(P206:T206)</t>
  </si>
  <si>
    <t>=IF($M206&gt;=$P$18,U206,0)</t>
  </si>
  <si>
    <t>=IF(AND($M206&gt;=$Q$16,$M206&lt;=$Q$18),U206,0)</t>
  </si>
  <si>
    <t>=IF(AND($M206&gt;=$R$16,$M206&lt;=$R$18),U206,0)</t>
  </si>
  <si>
    <t>=IF(AND($M206&gt;=$S$16,$M206&lt;=$S$18),U206,0)</t>
  </si>
  <si>
    <t>=IF($M206&lt;=$T$18,U206,0)</t>
  </si>
  <si>
    <t>="""NAV Direct"",""CRONUS JetCorp USA"",""21"",""1"",""327963"""</t>
  </si>
  <si>
    <t>=E205</t>
  </si>
  <si>
    <t>=StartDate-$M207+1</t>
  </si>
  <si>
    <t>=SUM(P207:T207)</t>
  </si>
  <si>
    <t>=IF($M207&gt;=$P$18,U207,0)</t>
  </si>
  <si>
    <t>=IF(AND($M207&gt;=$Q$16,$M207&lt;=$Q$18),U207,0)</t>
  </si>
  <si>
    <t>=IF(AND($M207&gt;=$R$16,$M207&lt;=$R$18),U207,0)</t>
  </si>
  <si>
    <t>=IF(AND($M207&gt;=$S$16,$M207&lt;=$S$18),U207,0)</t>
  </si>
  <si>
    <t>=IF($M207&lt;=$T$18,U207,0)</t>
  </si>
  <si>
    <t>="""NAV Direct"",""CRONUS JetCorp USA"",""21"",""1"",""328013"""</t>
  </si>
  <si>
    <t>=E206</t>
  </si>
  <si>
    <t>=StartDate-$M208+1</t>
  </si>
  <si>
    <t>=SUM(P208:T208)</t>
  </si>
  <si>
    <t>=IF($M208&gt;=$P$18,U208,0)</t>
  </si>
  <si>
    <t>=IF(AND($M208&gt;=$Q$16,$M208&lt;=$Q$18),U208,0)</t>
  </si>
  <si>
    <t>=IF(AND($M208&gt;=$R$16,$M208&lt;=$R$18),U208,0)</t>
  </si>
  <si>
    <t>=IF(AND($M208&gt;=$S$16,$M208&lt;=$S$18),U208,0)</t>
  </si>
  <si>
    <t>=IF($M208&lt;=$T$18,U208,0)</t>
  </si>
  <si>
    <t>="""NAV Direct"",""CRONUS JetCorp USA"",""21"",""1"",""328088"""</t>
  </si>
  <si>
    <t>=E207</t>
  </si>
  <si>
    <t>=StartDate-$M209+1</t>
  </si>
  <si>
    <t>=SUM(P209:T209)</t>
  </si>
  <si>
    <t>=IF($M209&gt;=$P$18,U209,0)</t>
  </si>
  <si>
    <t>=IF(AND($M209&gt;=$Q$16,$M209&lt;=$Q$18),U209,0)</t>
  </si>
  <si>
    <t>=IF(AND($M209&gt;=$R$16,$M209&lt;=$R$18),U209,0)</t>
  </si>
  <si>
    <t>=IF(AND($M209&gt;=$S$16,$M209&lt;=$S$18),U209,0)</t>
  </si>
  <si>
    <t>=IF($M209&lt;=$T$18,U209,0)</t>
  </si>
  <si>
    <t>="""NAV Direct"",""CRONUS JetCorp USA"",""21"",""1"",""328128"""</t>
  </si>
  <si>
    <t>=E208</t>
  </si>
  <si>
    <t>=StartDate-$M210+1</t>
  </si>
  <si>
    <t>=SUM(P210:T210)</t>
  </si>
  <si>
    <t>=IF($M210&gt;=$P$18,U210,0)</t>
  </si>
  <si>
    <t>=IF(AND($M210&gt;=$Q$16,$M210&lt;=$Q$18),U210,0)</t>
  </si>
  <si>
    <t>=IF(AND($M210&gt;=$R$16,$M210&lt;=$R$18),U210,0)</t>
  </si>
  <si>
    <t>=IF(AND($M210&gt;=$S$16,$M210&lt;=$S$18),U210,0)</t>
  </si>
  <si>
    <t>=IF($M210&lt;=$T$18,U210,0)</t>
  </si>
  <si>
    <t>="""NAV Direct"",""CRONUS JetCorp USA"",""21"",""1"",""328180"""</t>
  </si>
  <si>
    <t>=E209</t>
  </si>
  <si>
    <t>=StartDate-$M211+1</t>
  </si>
  <si>
    <t>=SUM(P211:T211)</t>
  </si>
  <si>
    <t>=IF($M211&gt;=$P$18,U211,0)</t>
  </si>
  <si>
    <t>=IF(AND($M211&gt;=$Q$16,$M211&lt;=$Q$18),U211,0)</t>
  </si>
  <si>
    <t>=IF(AND($M211&gt;=$R$16,$M211&lt;=$R$18),U211,0)</t>
  </si>
  <si>
    <t>=IF(AND($M211&gt;=$S$16,$M211&lt;=$S$18),U211,0)</t>
  </si>
  <si>
    <t>=IF($M211&lt;=$T$18,U211,0)</t>
  </si>
  <si>
    <t>="""NAV Direct"",""CRONUS JetCorp USA"",""21"",""1"",""328332"""</t>
  </si>
  <si>
    <t>=E210</t>
  </si>
  <si>
    <t>=StartDate-$M212+1</t>
  </si>
  <si>
    <t>=SUM(P212:T212)</t>
  </si>
  <si>
    <t>=IF($M212&gt;=$P$18,U212,0)</t>
  </si>
  <si>
    <t>=IF(AND($M212&gt;=$Q$16,$M212&lt;=$Q$18),U212,0)</t>
  </si>
  <si>
    <t>=IF(AND($M212&gt;=$R$16,$M212&lt;=$R$18),U212,0)</t>
  </si>
  <si>
    <t>=IF(AND($M212&gt;=$S$16,$M212&lt;=$S$18),U212,0)</t>
  </si>
  <si>
    <t>=IF($M212&lt;=$T$18,U212,0)</t>
  </si>
  <si>
    <t>="""NAV Direct"",""CRONUS JetCorp USA"",""21"",""1"",""328613"""</t>
  </si>
  <si>
    <t>=E211</t>
  </si>
  <si>
    <t>=StartDate-$M213+1</t>
  </si>
  <si>
    <t>=SUM(P213:T213)</t>
  </si>
  <si>
    <t>=IF($M213&gt;=$P$18,U213,0)</t>
  </si>
  <si>
    <t>=IF(AND($M213&gt;=$Q$16,$M213&lt;=$Q$18),U213,0)</t>
  </si>
  <si>
    <t>=IF(AND($M213&gt;=$R$16,$M213&lt;=$R$18),U213,0)</t>
  </si>
  <si>
    <t>=IF(AND($M213&gt;=$S$16,$M213&lt;=$S$18),U213,0)</t>
  </si>
  <si>
    <t>=IF($M213&lt;=$T$18,U213,0)</t>
  </si>
  <si>
    <t>="""NAV Direct"",""CRONUS JetCorp USA"",""21"",""1"",""328669"""</t>
  </si>
  <si>
    <t>=E212</t>
  </si>
  <si>
    <t>=StartDate-$M214+1</t>
  </si>
  <si>
    <t>=SUM(P214:T214)</t>
  </si>
  <si>
    <t>=IF($M214&gt;=$P$18,U214,0)</t>
  </si>
  <si>
    <t>=IF(AND($M214&gt;=$Q$16,$M214&lt;=$Q$18),U214,0)</t>
  </si>
  <si>
    <t>=IF(AND($M214&gt;=$R$16,$M214&lt;=$R$18),U214,0)</t>
  </si>
  <si>
    <t>=IF(AND($M214&gt;=$S$16,$M214&lt;=$S$18),U214,0)</t>
  </si>
  <si>
    <t>=IF($M214&lt;=$T$18,U214,0)</t>
  </si>
  <si>
    <t>="""NAV Direct"",""CRONUS JetCorp USA"",""21"",""1"",""328756"""</t>
  </si>
  <si>
    <t>=E213</t>
  </si>
  <si>
    <t>=StartDate-$M215+1</t>
  </si>
  <si>
    <t>=SUM(P215:T215)</t>
  </si>
  <si>
    <t>=IF($M215&gt;=$P$18,U215,0)</t>
  </si>
  <si>
    <t>=IF(AND($M215&gt;=$Q$16,$M215&lt;=$Q$18),U215,0)</t>
  </si>
  <si>
    <t>=IF(AND($M215&gt;=$R$16,$M215&lt;=$R$18),U215,0)</t>
  </si>
  <si>
    <t>=IF(AND($M215&gt;=$S$16,$M215&lt;=$S$18),U215,0)</t>
  </si>
  <si>
    <t>=IF($M215&lt;=$T$18,U215,0)</t>
  </si>
  <si>
    <t>="""NAV Direct"",""CRONUS JetCorp USA"",""21"",""1"",""328785"""</t>
  </si>
  <si>
    <t>=E214</t>
  </si>
  <si>
    <t>=StartDate-$M216+1</t>
  </si>
  <si>
    <t>=SUM(P216:T216)</t>
  </si>
  <si>
    <t>=IF($M216&gt;=$P$18,U216,0)</t>
  </si>
  <si>
    <t>=IF(AND($M216&gt;=$Q$16,$M216&lt;=$Q$18),U216,0)</t>
  </si>
  <si>
    <t>=IF(AND($M216&gt;=$R$16,$M216&lt;=$R$18),U216,0)</t>
  </si>
  <si>
    <t>=IF(AND($M216&gt;=$S$16,$M216&lt;=$S$18),U216,0)</t>
  </si>
  <si>
    <t>=IF($M216&lt;=$T$18,U216,0)</t>
  </si>
  <si>
    <t>="""NAV Direct"",""CRONUS JetCorp USA"",""21"",""1"",""329011"""</t>
  </si>
  <si>
    <t>=E215</t>
  </si>
  <si>
    <t>=StartDate-$M217+1</t>
  </si>
  <si>
    <t>=SUM(P217:T217)</t>
  </si>
  <si>
    <t>=IF($M217&gt;=$P$18,U217,0)</t>
  </si>
  <si>
    <t>=IF(AND($M217&gt;=$Q$16,$M217&lt;=$Q$18),U217,0)</t>
  </si>
  <si>
    <t>=IF(AND($M217&gt;=$R$16,$M217&lt;=$R$18),U217,0)</t>
  </si>
  <si>
    <t>=IF(AND($M217&gt;=$S$16,$M217&lt;=$S$18),U217,0)</t>
  </si>
  <si>
    <t>=IF($M217&lt;=$T$18,U217,0)</t>
  </si>
  <si>
    <t>="""NAV Direct"",""CRONUS JetCorp USA"",""21"",""1"",""329071"""</t>
  </si>
  <si>
    <t>=E216</t>
  </si>
  <si>
    <t>=StartDate-$M218+1</t>
  </si>
  <si>
    <t>=SUM(P218:T218)</t>
  </si>
  <si>
    <t>=IF($M218&gt;=$P$18,U218,0)</t>
  </si>
  <si>
    <t>=IF(AND($M218&gt;=$Q$16,$M218&lt;=$Q$18),U218,0)</t>
  </si>
  <si>
    <t>=IF(AND($M218&gt;=$R$16,$M218&lt;=$R$18),U218,0)</t>
  </si>
  <si>
    <t>=IF(AND($M218&gt;=$S$16,$M218&lt;=$S$18),U218,0)</t>
  </si>
  <si>
    <t>=IF($M218&lt;=$T$18,U218,0)</t>
  </si>
  <si>
    <t>="""NAV Direct"",""CRONUS JetCorp USA"",""21"",""1"",""329281"""</t>
  </si>
  <si>
    <t>=E217</t>
  </si>
  <si>
    <t>=StartDate-$M219+1</t>
  </si>
  <si>
    <t>=SUM(P219:T219)</t>
  </si>
  <si>
    <t>=IF($M219&gt;=$P$18,U219,0)</t>
  </si>
  <si>
    <t>=IF(AND($M219&gt;=$Q$16,$M219&lt;=$Q$18),U219,0)</t>
  </si>
  <si>
    <t>=IF(AND($M219&gt;=$R$16,$M219&lt;=$R$18),U219,0)</t>
  </si>
  <si>
    <t>=IF(AND($M219&gt;=$S$16,$M219&lt;=$S$18),U219,0)</t>
  </si>
  <si>
    <t>=IF($M219&lt;=$T$18,U219,0)</t>
  </si>
  <si>
    <t>="""NAV Direct"",""CRONUS JetCorp USA"",""21"",""1"",""329459"""</t>
  </si>
  <si>
    <t>=E218</t>
  </si>
  <si>
    <t>=StartDate-$M220+1</t>
  </si>
  <si>
    <t>=SUM(P220:T220)</t>
  </si>
  <si>
    <t>=IF($M220&gt;=$P$18,U220,0)</t>
  </si>
  <si>
    <t>=IF(AND($M220&gt;=$Q$16,$M220&lt;=$Q$18),U220,0)</t>
  </si>
  <si>
    <t>=IF(AND($M220&gt;=$R$16,$M220&lt;=$R$18),U220,0)</t>
  </si>
  <si>
    <t>=IF(AND($M220&gt;=$S$16,$M220&lt;=$S$18),U220,0)</t>
  </si>
  <si>
    <t>=IF($M220&lt;=$T$18,U220,0)</t>
  </si>
  <si>
    <t>="""NAV Direct"",""CRONUS JetCorp USA"",""21"",""1"",""329594"""</t>
  </si>
  <si>
    <t>=E219</t>
  </si>
  <si>
    <t>=StartDate-$M221+1</t>
  </si>
  <si>
    <t>=SUM(P221:T221)</t>
  </si>
  <si>
    <t>=IF($M221&gt;=$P$18,U221,0)</t>
  </si>
  <si>
    <t>=IF(AND($M221&gt;=$Q$16,$M221&lt;=$Q$18),U221,0)</t>
  </si>
  <si>
    <t>=IF(AND($M221&gt;=$R$16,$M221&lt;=$R$18),U221,0)</t>
  </si>
  <si>
    <t>=IF(AND($M221&gt;=$S$16,$M221&lt;=$S$18),U221,0)</t>
  </si>
  <si>
    <t>=IF($M221&lt;=$T$18,U221,0)</t>
  </si>
  <si>
    <t>="""NAV Direct"",""CRONUS JetCorp USA"",""21"",""1"",""329696"""</t>
  </si>
  <si>
    <t>=E220</t>
  </si>
  <si>
    <t>=StartDate-$M222+1</t>
  </si>
  <si>
    <t>=SUM(P222:T222)</t>
  </si>
  <si>
    <t>=IF($M222&gt;=$P$18,U222,0)</t>
  </si>
  <si>
    <t>=IF(AND($M222&gt;=$Q$16,$M222&lt;=$Q$18),U222,0)</t>
  </si>
  <si>
    <t>=IF(AND($M222&gt;=$R$16,$M222&lt;=$R$18),U222,0)</t>
  </si>
  <si>
    <t>=IF(AND($M222&gt;=$S$16,$M222&lt;=$S$18),U222,0)</t>
  </si>
  <si>
    <t>=IF($M222&lt;=$T$18,U222,0)</t>
  </si>
  <si>
    <t>="""NAV Direct"",""CRONUS JetCorp USA"",""21"",""1"",""329916"""</t>
  </si>
  <si>
    <t>=E221</t>
  </si>
  <si>
    <t>=StartDate-$M223+1</t>
  </si>
  <si>
    <t>=SUM(P223:T223)</t>
  </si>
  <si>
    <t>=IF($M223&gt;=$P$18,U223,0)</t>
  </si>
  <si>
    <t>=IF(AND($M223&gt;=$Q$16,$M223&lt;=$Q$18),U223,0)</t>
  </si>
  <si>
    <t>=IF(AND($M223&gt;=$R$16,$M223&lt;=$R$18),U223,0)</t>
  </si>
  <si>
    <t>=IF(AND($M223&gt;=$S$16,$M223&lt;=$S$18),U223,0)</t>
  </si>
  <si>
    <t>=IF($M223&lt;=$T$18,U223,0)</t>
  </si>
  <si>
    <t>="""NAV Direct"",""CRONUS JetCorp USA"",""21"",""1"",""432024"""</t>
  </si>
  <si>
    <t>=E222</t>
  </si>
  <si>
    <t>=StartDate-$M224+1</t>
  </si>
  <si>
    <t>=SUM(P224:T224)</t>
  </si>
  <si>
    <t>=IF($M224&gt;=$P$18,U224,0)</t>
  </si>
  <si>
    <t>=IF(AND($M224&gt;=$Q$16,$M224&lt;=$Q$18),U224,0)</t>
  </si>
  <si>
    <t>=IF(AND($M224&gt;=$R$16,$M224&lt;=$R$18),U224,0)</t>
  </si>
  <si>
    <t>=IF(AND($M224&gt;=$S$16,$M224&lt;=$S$18),U224,0)</t>
  </si>
  <si>
    <t>=IF($M224&lt;=$T$18,U224,0)</t>
  </si>
  <si>
    <t>="""NAV Direct"",""CRONUS JetCorp USA"",""21"",""1"",""432041"""</t>
  </si>
  <si>
    <t>=E223</t>
  </si>
  <si>
    <t>=StartDate-$M225+1</t>
  </si>
  <si>
    <t>=SUM(P225:T225)</t>
  </si>
  <si>
    <t>=IF($M225&gt;=$P$18,U225,0)</t>
  </si>
  <si>
    <t>=IF(AND($M225&gt;=$Q$16,$M225&lt;=$Q$18),U225,0)</t>
  </si>
  <si>
    <t>=IF(AND($M225&gt;=$R$16,$M225&lt;=$R$18),U225,0)</t>
  </si>
  <si>
    <t>=IF(AND($M225&gt;=$S$16,$M225&lt;=$S$18),U225,0)</t>
  </si>
  <si>
    <t>=IF($M225&lt;=$T$18,U225,0)</t>
  </si>
  <si>
    <t>="""NAV Direct"",""CRONUS JetCorp USA"",""21"",""1"",""432073"""</t>
  </si>
  <si>
    <t>=E224</t>
  </si>
  <si>
    <t>=StartDate-$M226+1</t>
  </si>
  <si>
    <t>=SUM(P226:T226)</t>
  </si>
  <si>
    <t>=IF($M226&gt;=$P$18,U226,0)</t>
  </si>
  <si>
    <t>=IF(AND($M226&gt;=$Q$16,$M226&lt;=$Q$18),U226,0)</t>
  </si>
  <si>
    <t>=IF(AND($M226&gt;=$R$16,$M226&lt;=$R$18),U226,0)</t>
  </si>
  <si>
    <t>=IF(AND($M226&gt;=$S$16,$M226&lt;=$S$18),U226,0)</t>
  </si>
  <si>
    <t>=IF($M226&lt;=$T$18,U226,0)</t>
  </si>
  <si>
    <t>="""NAV Direct"",""CRONUS JetCorp USA"",""21"",""1"",""432152"""</t>
  </si>
  <si>
    <t>=E225</t>
  </si>
  <si>
    <t>=StartDate-$M227+1</t>
  </si>
  <si>
    <t>=SUM(P227:T227)</t>
  </si>
  <si>
    <t>=IF($M227&gt;=$P$18,U227,0)</t>
  </si>
  <si>
    <t>=IF(AND($M227&gt;=$Q$16,$M227&lt;=$Q$18),U227,0)</t>
  </si>
  <si>
    <t>=IF(AND($M227&gt;=$R$16,$M227&lt;=$R$18),U227,0)</t>
  </si>
  <si>
    <t>=IF(AND($M227&gt;=$S$16,$M227&lt;=$S$18),U227,0)</t>
  </si>
  <si>
    <t>=IF($M227&lt;=$T$18,U227,0)</t>
  </si>
  <si>
    <t>="""NAV Direct"",""CRONUS JetCorp USA"",""21"",""1"",""432200"""</t>
  </si>
  <si>
    <t>=E226</t>
  </si>
  <si>
    <t>=StartDate-$M228+1</t>
  </si>
  <si>
    <t>=SUM(P228:T228)</t>
  </si>
  <si>
    <t>=IF($M228&gt;=$P$18,U228,0)</t>
  </si>
  <si>
    <t>=IF(AND($M228&gt;=$Q$16,$M228&lt;=$Q$18),U228,0)</t>
  </si>
  <si>
    <t>=IF(AND($M228&gt;=$R$16,$M228&lt;=$R$18),U228,0)</t>
  </si>
  <si>
    <t>=IF(AND($M228&gt;=$S$16,$M228&lt;=$S$18),U228,0)</t>
  </si>
  <si>
    <t>=IF($M228&lt;=$T$18,U228,0)</t>
  </si>
  <si>
    <t>="""NAV Direct"",""CRONUS JetCorp USA"",""21"",""1"",""432238"""</t>
  </si>
  <si>
    <t>=E227</t>
  </si>
  <si>
    <t>=StartDate-$M229+1</t>
  </si>
  <si>
    <t>=SUM(P229:T229)</t>
  </si>
  <si>
    <t>=IF($M229&gt;=$P$18,U229,0)</t>
  </si>
  <si>
    <t>=IF(AND($M229&gt;=$Q$16,$M229&lt;=$Q$18),U229,0)</t>
  </si>
  <si>
    <t>=IF(AND($M229&gt;=$R$16,$M229&lt;=$R$18),U229,0)</t>
  </si>
  <si>
    <t>=IF(AND($M229&gt;=$S$16,$M229&lt;=$S$18),U229,0)</t>
  </si>
  <si>
    <t>=IF($M229&lt;=$T$18,U229,0)</t>
  </si>
  <si>
    <t>="""NAV Direct"",""CRONUS JetCorp USA"",""21"",""1"",""432338"""</t>
  </si>
  <si>
    <t>=E228</t>
  </si>
  <si>
    <t>=StartDate-$M230+1</t>
  </si>
  <si>
    <t>=SUM(P230:T230)</t>
  </si>
  <si>
    <t>=IF($M230&gt;=$P$18,U230,0)</t>
  </si>
  <si>
    <t>=IF(AND($M230&gt;=$Q$16,$M230&lt;=$Q$18),U230,0)</t>
  </si>
  <si>
    <t>=IF(AND($M230&gt;=$R$16,$M230&lt;=$R$18),U230,0)</t>
  </si>
  <si>
    <t>=IF(AND($M230&gt;=$S$16,$M230&lt;=$S$18),U230,0)</t>
  </si>
  <si>
    <t>=IF($M230&lt;=$T$18,U230,0)</t>
  </si>
  <si>
    <t>="""NAV Direct"",""CRONUS JetCorp USA"",""21"",""1"",""432383"""</t>
  </si>
  <si>
    <t>=E229</t>
  </si>
  <si>
    <t>=StartDate-$M231+1</t>
  </si>
  <si>
    <t>=SUM(P231:T231)</t>
  </si>
  <si>
    <t>=IF($M231&gt;=$P$18,U231,0)</t>
  </si>
  <si>
    <t>=IF(AND($M231&gt;=$Q$16,$M231&lt;=$Q$18),U231,0)</t>
  </si>
  <si>
    <t>=IF(AND($M231&gt;=$R$16,$M231&lt;=$R$18),U231,0)</t>
  </si>
  <si>
    <t>=IF(AND($M231&gt;=$S$16,$M231&lt;=$S$18),U231,0)</t>
  </si>
  <si>
    <t>=IF($M231&lt;=$T$18,U231,0)</t>
  </si>
  <si>
    <t>="""NAV Direct"",""CRONUS JetCorp USA"",""18"",""1"",""C100017"""</t>
  </si>
  <si>
    <t>=H234</t>
  </si>
  <si>
    <t>=NF($C234,"1 No.")</t>
  </si>
  <si>
    <t>=NF($C234,"1 No.")&amp;"  -  "&amp;NF($C234,"2 Name")</t>
  </si>
  <si>
    <t>=IFERROR(O234/NF(C234,"Credit Limit (LCY)"),"")</t>
  </si>
  <si>
    <t>=SUBTOTAL(3,L235:L261)</t>
  </si>
  <si>
    <t>=SUBTOTAL(9,O235:O261)</t>
  </si>
  <si>
    <t>=SUBTOTAL(9,P235:P261)</t>
  </si>
  <si>
    <t>=SUBTOTAL(9,Q235:Q261)</t>
  </si>
  <si>
    <t>=SUBTOTAL(9,R235:R261)</t>
  </si>
  <si>
    <t>=SUBTOTAL(9,S235:S261)</t>
  </si>
  <si>
    <t>=SUBTOTAL(9,T235:T261)</t>
  </si>
  <si>
    <t>=C234</t>
  </si>
  <si>
    <t>=E234</t>
  </si>
  <si>
    <t>="Contact: "&amp;NF($C235,"8 Contact")</t>
  </si>
  <si>
    <t>=C235</t>
  </si>
  <si>
    <t>=E235</t>
  </si>
  <si>
    <t>=NF($C236,"102 E-Mail")</t>
  </si>
  <si>
    <t>=NL("Rows","21 Cust. Ledger Entry",,"3 Customer No.","@@"&amp;$E238,"16 Remaining Amt. (LCY)","&lt;&gt;0")</t>
  </si>
  <si>
    <t>=E236</t>
  </si>
  <si>
    <t>=StartDate-$M238+1</t>
  </si>
  <si>
    <t>=SUM(P238:T238)</t>
  </si>
  <si>
    <t>=IF($M238&gt;=$P$18,U238,0)</t>
  </si>
  <si>
    <t>=IF(AND($M238&gt;=$Q$16,$M238&lt;=$Q$18),U238,0)</t>
  </si>
  <si>
    <t>=IF(AND($M238&gt;=$R$16,$M238&lt;=$R$18),U238,0)</t>
  </si>
  <si>
    <t>=IF(AND($M238&gt;=$S$16,$M238&lt;=$S$18),U238,0)</t>
  </si>
  <si>
    <t>=IF($M238&lt;=$T$18,U238,0)</t>
  </si>
  <si>
    <t>="""NAV Direct"",""CRONUS JetCorp USA"",""21"",""1"",""38792"""</t>
  </si>
  <si>
    <t>=E237</t>
  </si>
  <si>
    <t>=StartDate-$M239+1</t>
  </si>
  <si>
    <t>=SUM(P239:T239)</t>
  </si>
  <si>
    <t>=IF($M239&gt;=$P$18,U239,0)</t>
  </si>
  <si>
    <t>=IF(AND($M239&gt;=$Q$16,$M239&lt;=$Q$18),U239,0)</t>
  </si>
  <si>
    <t>=IF(AND($M239&gt;=$R$16,$M239&lt;=$R$18),U239,0)</t>
  </si>
  <si>
    <t>=IF(AND($M239&gt;=$S$16,$M239&lt;=$S$18),U239,0)</t>
  </si>
  <si>
    <t>=IF($M239&lt;=$T$18,U239,0)</t>
  </si>
  <si>
    <t>="""NAV Direct"",""CRONUS JetCorp USA"",""21"",""1"",""329942"""</t>
  </si>
  <si>
    <t>=E238</t>
  </si>
  <si>
    <t>=StartDate-$M240+1</t>
  </si>
  <si>
    <t>=SUM(P240:T240)</t>
  </si>
  <si>
    <t>=IF($M240&gt;=$P$18,U240,0)</t>
  </si>
  <si>
    <t>=IF(AND($M240&gt;=$Q$16,$M240&lt;=$Q$18),U240,0)</t>
  </si>
  <si>
    <t>=IF(AND($M240&gt;=$R$16,$M240&lt;=$R$18),U240,0)</t>
  </si>
  <si>
    <t>=IF(AND($M240&gt;=$S$16,$M240&lt;=$S$18),U240,0)</t>
  </si>
  <si>
    <t>=IF($M240&lt;=$T$18,U240,0)</t>
  </si>
  <si>
    <t>="""NAV Direct"",""CRONUS JetCorp USA"",""21"",""1"",""329998"""</t>
  </si>
  <si>
    <t>=E239</t>
  </si>
  <si>
    <t>=StartDate-$M241+1</t>
  </si>
  <si>
    <t>=SUM(P241:T241)</t>
  </si>
  <si>
    <t>=IF($M241&gt;=$P$18,U241,0)</t>
  </si>
  <si>
    <t>=IF(AND($M241&gt;=$Q$16,$M241&lt;=$Q$18),U241,0)</t>
  </si>
  <si>
    <t>=IF(AND($M241&gt;=$R$16,$M241&lt;=$R$18),U241,0)</t>
  </si>
  <si>
    <t>=IF(AND($M241&gt;=$S$16,$M241&lt;=$S$18),U241,0)</t>
  </si>
  <si>
    <t>=IF($M241&lt;=$T$18,U241,0)</t>
  </si>
  <si>
    <t>="""NAV Direct"",""CRONUS JetCorp USA"",""21"",""1"",""330091"""</t>
  </si>
  <si>
    <t>=E240</t>
  </si>
  <si>
    <t>=StartDate-$M242+1</t>
  </si>
  <si>
    <t>=SUM(P242:T242)</t>
  </si>
  <si>
    <t>=IF($M242&gt;=$P$18,U242,0)</t>
  </si>
  <si>
    <t>=IF(AND($M242&gt;=$Q$16,$M242&lt;=$Q$18),U242,0)</t>
  </si>
  <si>
    <t>=IF(AND($M242&gt;=$R$16,$M242&lt;=$R$18),U242,0)</t>
  </si>
  <si>
    <t>=IF(AND($M242&gt;=$S$16,$M242&lt;=$S$18),U242,0)</t>
  </si>
  <si>
    <t>=IF($M242&lt;=$T$18,U242,0)</t>
  </si>
  <si>
    <t>="""NAV Direct"",""CRONUS JetCorp USA"",""21"",""1"",""330143"""</t>
  </si>
  <si>
    <t>=E241</t>
  </si>
  <si>
    <t>=StartDate-$M243+1</t>
  </si>
  <si>
    <t>=SUM(P243:T243)</t>
  </si>
  <si>
    <t>=IF($M243&gt;=$P$18,U243,0)</t>
  </si>
  <si>
    <t>=IF(AND($M243&gt;=$Q$16,$M243&lt;=$Q$18),U243,0)</t>
  </si>
  <si>
    <t>=IF(AND($M243&gt;=$R$16,$M243&lt;=$R$18),U243,0)</t>
  </si>
  <si>
    <t>=IF(AND($M243&gt;=$S$16,$M243&lt;=$S$18),U243,0)</t>
  </si>
  <si>
    <t>=IF($M243&lt;=$T$18,U243,0)</t>
  </si>
  <si>
    <t>="""NAV Direct"",""CRONUS JetCorp USA"",""21"",""1"",""330195"""</t>
  </si>
  <si>
    <t>=E242</t>
  </si>
  <si>
    <t>=StartDate-$M244+1</t>
  </si>
  <si>
    <t>=SUM(P244:T244)</t>
  </si>
  <si>
    <t>=IF($M244&gt;=$P$18,U244,0)</t>
  </si>
  <si>
    <t>=IF(AND($M244&gt;=$Q$16,$M244&lt;=$Q$18),U244,0)</t>
  </si>
  <si>
    <t>=IF(AND($M244&gt;=$R$16,$M244&lt;=$R$18),U244,0)</t>
  </si>
  <si>
    <t>=IF(AND($M244&gt;=$S$16,$M244&lt;=$S$18),U244,0)</t>
  </si>
  <si>
    <t>=IF($M244&lt;=$T$18,U244,0)</t>
  </si>
  <si>
    <t>="""NAV Direct"",""CRONUS JetCorp USA"",""21"",""1"",""330594"""</t>
  </si>
  <si>
    <t>=E243</t>
  </si>
  <si>
    <t>=StartDate-$M245+1</t>
  </si>
  <si>
    <t>=SUM(P245:T245)</t>
  </si>
  <si>
    <t>=IF($M245&gt;=$P$18,U245,0)</t>
  </si>
  <si>
    <t>=IF(AND($M245&gt;=$Q$16,$M245&lt;=$Q$18),U245,0)</t>
  </si>
  <si>
    <t>=IF(AND($M245&gt;=$R$16,$M245&lt;=$R$18),U245,0)</t>
  </si>
  <si>
    <t>=IF(AND($M245&gt;=$S$16,$M245&lt;=$S$18),U245,0)</t>
  </si>
  <si>
    <t>=IF($M245&lt;=$T$18,U245,0)</t>
  </si>
  <si>
    <t>="""NAV Direct"",""CRONUS JetCorp USA"",""21"",""1"",""330910"""</t>
  </si>
  <si>
    <t>=E244</t>
  </si>
  <si>
    <t>=StartDate-$M246+1</t>
  </si>
  <si>
    <t>=SUM(P246:T246)</t>
  </si>
  <si>
    <t>=IF($M246&gt;=$P$18,U246,0)</t>
  </si>
  <si>
    <t>=IF(AND($M246&gt;=$Q$16,$M246&lt;=$Q$18),U246,0)</t>
  </si>
  <si>
    <t>=IF(AND($M246&gt;=$R$16,$M246&lt;=$R$18),U246,0)</t>
  </si>
  <si>
    <t>=IF(AND($M246&gt;=$S$16,$M246&lt;=$S$18),U246,0)</t>
  </si>
  <si>
    <t>=IF($M246&lt;=$T$18,U246,0)</t>
  </si>
  <si>
    <t>="""NAV Direct"",""CRONUS JetCorp USA"",""21"",""1"",""330962"""</t>
  </si>
  <si>
    <t>=E245</t>
  </si>
  <si>
    <t>=StartDate-$M247+1</t>
  </si>
  <si>
    <t>=SUM(P247:T247)</t>
  </si>
  <si>
    <t>=IF($M247&gt;=$P$18,U247,0)</t>
  </si>
  <si>
    <t>=IF(AND($M247&gt;=$Q$16,$M247&lt;=$Q$18),U247,0)</t>
  </si>
  <si>
    <t>=IF(AND($M247&gt;=$R$16,$M247&lt;=$R$18),U247,0)</t>
  </si>
  <si>
    <t>=IF(AND($M247&gt;=$S$16,$M247&lt;=$S$18),U247,0)</t>
  </si>
  <si>
    <t>=IF($M247&lt;=$T$18,U247,0)</t>
  </si>
  <si>
    <t>="""NAV Direct"",""CRONUS JetCorp USA"",""21"",""1"",""331312"""</t>
  </si>
  <si>
    <t>=E246</t>
  </si>
  <si>
    <t>=StartDate-$M248+1</t>
  </si>
  <si>
    <t>=SUM(P248:T248)</t>
  </si>
  <si>
    <t>=IF($M248&gt;=$P$18,U248,0)</t>
  </si>
  <si>
    <t>=IF(AND($M248&gt;=$Q$16,$M248&lt;=$Q$18),U248,0)</t>
  </si>
  <si>
    <t>=IF(AND($M248&gt;=$R$16,$M248&lt;=$R$18),U248,0)</t>
  </si>
  <si>
    <t>=IF(AND($M248&gt;=$S$16,$M248&lt;=$S$18),U248,0)</t>
  </si>
  <si>
    <t>=IF($M248&lt;=$T$18,U248,0)</t>
  </si>
  <si>
    <t>="""NAV Direct"",""CRONUS JetCorp USA"",""21"",""1"",""331479"""</t>
  </si>
  <si>
    <t>=E247</t>
  </si>
  <si>
    <t>=StartDate-$M249+1</t>
  </si>
  <si>
    <t>=SUM(P249:T249)</t>
  </si>
  <si>
    <t>=IF($M249&gt;=$P$18,U249,0)</t>
  </si>
  <si>
    <t>=IF(AND($M249&gt;=$Q$16,$M249&lt;=$Q$18),U249,0)</t>
  </si>
  <si>
    <t>=IF(AND($M249&gt;=$R$16,$M249&lt;=$R$18),U249,0)</t>
  </si>
  <si>
    <t>=IF(AND($M249&gt;=$S$16,$M249&lt;=$S$18),U249,0)</t>
  </si>
  <si>
    <t>=IF($M249&lt;=$T$18,U249,0)</t>
  </si>
  <si>
    <t>="""NAV Direct"",""CRONUS JetCorp USA"",""21"",""1"",""331679"""</t>
  </si>
  <si>
    <t>=E248</t>
  </si>
  <si>
    <t>=StartDate-$M250+1</t>
  </si>
  <si>
    <t>=SUM(P250:T250)</t>
  </si>
  <si>
    <t>=IF($M250&gt;=$P$18,U250,0)</t>
  </si>
  <si>
    <t>=IF(AND($M250&gt;=$Q$16,$M250&lt;=$Q$18),U250,0)</t>
  </si>
  <si>
    <t>=IF(AND($M250&gt;=$R$16,$M250&lt;=$R$18),U250,0)</t>
  </si>
  <si>
    <t>=IF(AND($M250&gt;=$S$16,$M250&lt;=$S$18),U250,0)</t>
  </si>
  <si>
    <t>=IF($M250&lt;=$T$18,U250,0)</t>
  </si>
  <si>
    <t>="""NAV Direct"",""CRONUS JetCorp USA"",""21"",""1"",""331975"""</t>
  </si>
  <si>
    <t>=E249</t>
  </si>
  <si>
    <t>=StartDate-$M251+1</t>
  </si>
  <si>
    <t>=SUM(P251:T251)</t>
  </si>
  <si>
    <t>=IF($M251&gt;=$P$18,U251,0)</t>
  </si>
  <si>
    <t>=IF(AND($M251&gt;=$Q$16,$M251&lt;=$Q$18),U251,0)</t>
  </si>
  <si>
    <t>=IF(AND($M251&gt;=$R$16,$M251&lt;=$R$18),U251,0)</t>
  </si>
  <si>
    <t>=IF(AND($M251&gt;=$S$16,$M251&lt;=$S$18),U251,0)</t>
  </si>
  <si>
    <t>=IF($M251&lt;=$T$18,U251,0)</t>
  </si>
  <si>
    <t>="""NAV Direct"",""CRONUS JetCorp USA"",""21"",""1"",""332161"""</t>
  </si>
  <si>
    <t>=E250</t>
  </si>
  <si>
    <t>=StartDate-$M252+1</t>
  </si>
  <si>
    <t>=SUM(P252:T252)</t>
  </si>
  <si>
    <t>=IF($M252&gt;=$P$18,U252,0)</t>
  </si>
  <si>
    <t>=IF(AND($M252&gt;=$Q$16,$M252&lt;=$Q$18),U252,0)</t>
  </si>
  <si>
    <t>=IF(AND($M252&gt;=$R$16,$M252&lt;=$R$18),U252,0)</t>
  </si>
  <si>
    <t>=IF(AND($M252&gt;=$S$16,$M252&lt;=$S$18),U252,0)</t>
  </si>
  <si>
    <t>=IF($M252&lt;=$T$18,U252,0)</t>
  </si>
  <si>
    <t>="""NAV Direct"",""CRONUS JetCorp USA"",""21"",""1"",""332268"""</t>
  </si>
  <si>
    <t>=E251</t>
  </si>
  <si>
    <t>=StartDate-$M253+1</t>
  </si>
  <si>
    <t>=SUM(P253:T253)</t>
  </si>
  <si>
    <t>=IF($M253&gt;=$P$18,U253,0)</t>
  </si>
  <si>
    <t>=IF(AND($M253&gt;=$Q$16,$M253&lt;=$Q$18),U253,0)</t>
  </si>
  <si>
    <t>=IF(AND($M253&gt;=$R$16,$M253&lt;=$R$18),U253,0)</t>
  </si>
  <si>
    <t>=IF(AND($M253&gt;=$S$16,$M253&lt;=$S$18),U253,0)</t>
  </si>
  <si>
    <t>=IF($M253&lt;=$T$18,U253,0)</t>
  </si>
  <si>
    <t>="""NAV Direct"",""CRONUS JetCorp USA"",""21"",""1"",""432820"""</t>
  </si>
  <si>
    <t>=E252</t>
  </si>
  <si>
    <t>=StartDate-$M254+1</t>
  </si>
  <si>
    <t>=SUM(P254:T254)</t>
  </si>
  <si>
    <t>=IF($M254&gt;=$P$18,U254,0)</t>
  </si>
  <si>
    <t>=IF(AND($M254&gt;=$Q$16,$M254&lt;=$Q$18),U254,0)</t>
  </si>
  <si>
    <t>=IF(AND($M254&gt;=$R$16,$M254&lt;=$R$18),U254,0)</t>
  </si>
  <si>
    <t>=IF(AND($M254&gt;=$S$16,$M254&lt;=$S$18),U254,0)</t>
  </si>
  <si>
    <t>=IF($M254&lt;=$T$18,U254,0)</t>
  </si>
  <si>
    <t>="""NAV Direct"",""CRONUS JetCorp USA"",""21"",""1"",""432861"""</t>
  </si>
  <si>
    <t>=E253</t>
  </si>
  <si>
    <t>=StartDate-$M255+1</t>
  </si>
  <si>
    <t>=SUM(P255:T255)</t>
  </si>
  <si>
    <t>=IF($M255&gt;=$P$18,U255,0)</t>
  </si>
  <si>
    <t>=IF(AND($M255&gt;=$Q$16,$M255&lt;=$Q$18),U255,0)</t>
  </si>
  <si>
    <t>=IF(AND($M255&gt;=$R$16,$M255&lt;=$R$18),U255,0)</t>
  </si>
  <si>
    <t>=IF(AND($M255&gt;=$S$16,$M255&lt;=$S$18),U255,0)</t>
  </si>
  <si>
    <t>=IF($M255&lt;=$T$18,U255,0)</t>
  </si>
  <si>
    <t>="""NAV Direct"",""CRONUS JetCorp USA"",""21"",""1"",""432874"""</t>
  </si>
  <si>
    <t>=E254</t>
  </si>
  <si>
    <t>=StartDate-$M256+1</t>
  </si>
  <si>
    <t>=SUM(P256:T256)</t>
  </si>
  <si>
    <t>=IF($M256&gt;=$P$18,U256,0)</t>
  </si>
  <si>
    <t>=IF(AND($M256&gt;=$Q$16,$M256&lt;=$Q$18),U256,0)</t>
  </si>
  <si>
    <t>=IF(AND($M256&gt;=$R$16,$M256&lt;=$R$18),U256,0)</t>
  </si>
  <si>
    <t>=IF(AND($M256&gt;=$S$16,$M256&lt;=$S$18),U256,0)</t>
  </si>
  <si>
    <t>=IF($M256&lt;=$T$18,U256,0)</t>
  </si>
  <si>
    <t>="""NAV Direct"",""CRONUS JetCorp USA"",""21"",""1"",""432891"""</t>
  </si>
  <si>
    <t>=E255</t>
  </si>
  <si>
    <t>=StartDate-$M257+1</t>
  </si>
  <si>
    <t>=SUM(P257:T257)</t>
  </si>
  <si>
    <t>=IF($M257&gt;=$P$18,U257,0)</t>
  </si>
  <si>
    <t>=IF(AND($M257&gt;=$Q$16,$M257&lt;=$Q$18),U257,0)</t>
  </si>
  <si>
    <t>=IF(AND($M257&gt;=$R$16,$M257&lt;=$R$18),U257,0)</t>
  </si>
  <si>
    <t>=IF(AND($M257&gt;=$S$16,$M257&lt;=$S$18),U257,0)</t>
  </si>
  <si>
    <t>=IF($M257&lt;=$T$18,U257,0)</t>
  </si>
  <si>
    <t>="""NAV Direct"",""CRONUS JetCorp USA"",""21"",""1"",""432978"""</t>
  </si>
  <si>
    <t>=E256</t>
  </si>
  <si>
    <t>=StartDate-$M258+1</t>
  </si>
  <si>
    <t>=SUM(P258:T258)</t>
  </si>
  <si>
    <t>=IF($M258&gt;=$P$18,U258,0)</t>
  </si>
  <si>
    <t>=IF(AND($M258&gt;=$Q$16,$M258&lt;=$Q$18),U258,0)</t>
  </si>
  <si>
    <t>=IF(AND($M258&gt;=$R$16,$M258&lt;=$R$18),U258,0)</t>
  </si>
  <si>
    <t>=IF(AND($M258&gt;=$S$16,$M258&lt;=$S$18),U258,0)</t>
  </si>
  <si>
    <t>=IF($M258&lt;=$T$18,U258,0)</t>
  </si>
  <si>
    <t>="""NAV Direct"",""CRONUS JetCorp USA"",""21"",""1"",""433115"""</t>
  </si>
  <si>
    <t>=E257</t>
  </si>
  <si>
    <t>=StartDate-$M259+1</t>
  </si>
  <si>
    <t>=SUM(P259:T259)</t>
  </si>
  <si>
    <t>=IF($M259&gt;=$P$18,U259,0)</t>
  </si>
  <si>
    <t>=IF(AND($M259&gt;=$Q$16,$M259&lt;=$Q$18),U259,0)</t>
  </si>
  <si>
    <t>=IF(AND($M259&gt;=$R$16,$M259&lt;=$R$18),U259,0)</t>
  </si>
  <si>
    <t>=IF(AND($M259&gt;=$S$16,$M259&lt;=$S$18),U259,0)</t>
  </si>
  <si>
    <t>=IF($M259&lt;=$T$18,U259,0)</t>
  </si>
  <si>
    <t>="""NAV Direct"",""CRONUS JetCorp USA"",""21"",""1"",""433141"""</t>
  </si>
  <si>
    <t>=E258</t>
  </si>
  <si>
    <t>=StartDate-$M260+1</t>
  </si>
  <si>
    <t>=SUM(P260:T260)</t>
  </si>
  <si>
    <t>=IF($M260&gt;=$P$18,U260,0)</t>
  </si>
  <si>
    <t>=IF(AND($M260&gt;=$Q$16,$M260&lt;=$Q$18),U260,0)</t>
  </si>
  <si>
    <t>=IF(AND($M260&gt;=$R$16,$M260&lt;=$R$18),U260,0)</t>
  </si>
  <si>
    <t>=IF(AND($M260&gt;=$S$16,$M260&lt;=$S$18),U260,0)</t>
  </si>
  <si>
    <t>=IF($M260&lt;=$T$18,U260,0)</t>
  </si>
  <si>
    <t>="""NAV Direct"",""CRONUS JetCorp USA"",""18"",""1"",""C100018"""</t>
  </si>
  <si>
    <t>=H263</t>
  </si>
  <si>
    <t>=NF($C263,"1 No.")</t>
  </si>
  <si>
    <t>=NF($C263,"1 No.")&amp;"  -  "&amp;NF($C263,"2 Name")</t>
  </si>
  <si>
    <t>=IFERROR(O263/NF(C263,"Credit Limit (LCY)"),"")</t>
  </si>
  <si>
    <t>=SUBTOTAL(3,L264:L310)</t>
  </si>
  <si>
    <t>=SUBTOTAL(9,O264:O310)</t>
  </si>
  <si>
    <t>=SUBTOTAL(9,P264:P310)</t>
  </si>
  <si>
    <t>=SUBTOTAL(9,Q264:Q310)</t>
  </si>
  <si>
    <t>=SUBTOTAL(9,R264:R310)</t>
  </si>
  <si>
    <t>=SUBTOTAL(9,S264:S310)</t>
  </si>
  <si>
    <t>=SUBTOTAL(9,T264:T310)</t>
  </si>
  <si>
    <t>=C263</t>
  </si>
  <si>
    <t>=E263</t>
  </si>
  <si>
    <t>="Contact: "&amp;NF($C264,"8 Contact")</t>
  </si>
  <si>
    <t>=C264</t>
  </si>
  <si>
    <t>=E264</t>
  </si>
  <si>
    <t>=NF($C265,"102 E-Mail")</t>
  </si>
  <si>
    <t>=NL("Rows","21 Cust. Ledger Entry",,"3 Customer No.","@@"&amp;$E267,"16 Remaining Amt. (LCY)","&lt;&gt;0")</t>
  </si>
  <si>
    <t>=E265</t>
  </si>
  <si>
    <t>=StartDate-$M267+1</t>
  </si>
  <si>
    <t>=SUM(P267:T267)</t>
  </si>
  <si>
    <t>=IF($M267&gt;=$P$18,U267,0)</t>
  </si>
  <si>
    <t>=IF(AND($M267&gt;=$Q$16,$M267&lt;=$Q$18),U267,0)</t>
  </si>
  <si>
    <t>=IF(AND($M267&gt;=$R$16,$M267&lt;=$R$18),U267,0)</t>
  </si>
  <si>
    <t>=IF(AND($M267&gt;=$S$16,$M267&lt;=$S$18),U267,0)</t>
  </si>
  <si>
    <t>=IF($M267&lt;=$T$18,U267,0)</t>
  </si>
  <si>
    <t>="""NAV Direct"",""CRONUS JetCorp USA"",""21"",""1"",""336557"""</t>
  </si>
  <si>
    <t>=E266</t>
  </si>
  <si>
    <t>=StartDate-$M268+1</t>
  </si>
  <si>
    <t>=SUM(P268:T268)</t>
  </si>
  <si>
    <t>=IF($M268&gt;=$P$18,U268,0)</t>
  </si>
  <si>
    <t>=IF(AND($M268&gt;=$Q$16,$M268&lt;=$Q$18),U268,0)</t>
  </si>
  <si>
    <t>=IF(AND($M268&gt;=$R$16,$M268&lt;=$R$18),U268,0)</t>
  </si>
  <si>
    <t>=IF(AND($M268&gt;=$S$16,$M268&lt;=$S$18),U268,0)</t>
  </si>
  <si>
    <t>=IF($M268&lt;=$T$18,U268,0)</t>
  </si>
  <si>
    <t>="""NAV Direct"",""CRONUS JetCorp USA"",""21"",""1"",""336598"""</t>
  </si>
  <si>
    <t>=E267</t>
  </si>
  <si>
    <t>=StartDate-$M269+1</t>
  </si>
  <si>
    <t>=SUM(P269:T269)</t>
  </si>
  <si>
    <t>=IF($M269&gt;=$P$18,U269,0)</t>
  </si>
  <si>
    <t>=IF(AND($M269&gt;=$Q$16,$M269&lt;=$Q$18),U269,0)</t>
  </si>
  <si>
    <t>=IF(AND($M269&gt;=$R$16,$M269&lt;=$R$18),U269,0)</t>
  </si>
  <si>
    <t>=IF(AND($M269&gt;=$S$16,$M269&lt;=$S$18),U269,0)</t>
  </si>
  <si>
    <t>=IF($M269&lt;=$T$18,U269,0)</t>
  </si>
  <si>
    <t>="""NAV Direct"",""CRONUS JetCorp USA"",""21"",""1"",""337071"""</t>
  </si>
  <si>
    <t>=E268</t>
  </si>
  <si>
    <t>=StartDate-$M270+1</t>
  </si>
  <si>
    <t>=SUM(P270:T270)</t>
  </si>
  <si>
    <t>=IF($M270&gt;=$P$18,U270,0)</t>
  </si>
  <si>
    <t>=IF(AND($M270&gt;=$Q$16,$M270&lt;=$Q$18),U270,0)</t>
  </si>
  <si>
    <t>=IF(AND($M270&gt;=$R$16,$M270&lt;=$R$18),U270,0)</t>
  </si>
  <si>
    <t>=IF(AND($M270&gt;=$S$16,$M270&lt;=$S$18),U270,0)</t>
  </si>
  <si>
    <t>=IF($M270&lt;=$T$18,U270,0)</t>
  </si>
  <si>
    <t>="""NAV Direct"",""CRONUS JetCorp USA"",""21"",""1"",""337285"""</t>
  </si>
  <si>
    <t>=E269</t>
  </si>
  <si>
    <t>=StartDate-$M271+1</t>
  </si>
  <si>
    <t>=SUM(P271:T271)</t>
  </si>
  <si>
    <t>=IF($M271&gt;=$P$18,U271,0)</t>
  </si>
  <si>
    <t>=IF(AND($M271&gt;=$Q$16,$M271&lt;=$Q$18),U271,0)</t>
  </si>
  <si>
    <t>=IF(AND($M271&gt;=$R$16,$M271&lt;=$R$18),U271,0)</t>
  </si>
  <si>
    <t>=IF(AND($M271&gt;=$S$16,$M271&lt;=$S$18),U271,0)</t>
  </si>
  <si>
    <t>=IF($M271&lt;=$T$18,U271,0)</t>
  </si>
  <si>
    <t>="""NAV Direct"",""CRONUS JetCorp USA"",""21"",""1"",""337999"""</t>
  </si>
  <si>
    <t>=E270</t>
  </si>
  <si>
    <t>=StartDate-$M272+1</t>
  </si>
  <si>
    <t>=SUM(P272:T272)</t>
  </si>
  <si>
    <t>=IF($M272&gt;=$P$18,U272,0)</t>
  </si>
  <si>
    <t>=IF(AND($M272&gt;=$Q$16,$M272&lt;=$Q$18),U272,0)</t>
  </si>
  <si>
    <t>=IF(AND($M272&gt;=$R$16,$M272&lt;=$R$18),U272,0)</t>
  </si>
  <si>
    <t>=IF(AND($M272&gt;=$S$16,$M272&lt;=$S$18),U272,0)</t>
  </si>
  <si>
    <t>=IF($M272&lt;=$T$18,U272,0)</t>
  </si>
  <si>
    <t>="""NAV Direct"",""CRONUS JetCorp USA"",""21"",""1"",""338623"""</t>
  </si>
  <si>
    <t>=E271</t>
  </si>
  <si>
    <t>=StartDate-$M273+1</t>
  </si>
  <si>
    <t>=SUM(P273:T273)</t>
  </si>
  <si>
    <t>=IF($M273&gt;=$P$18,U273,0)</t>
  </si>
  <si>
    <t>=IF(AND($M273&gt;=$Q$16,$M273&lt;=$Q$18),U273,0)</t>
  </si>
  <si>
    <t>=IF(AND($M273&gt;=$R$16,$M273&lt;=$R$18),U273,0)</t>
  </si>
  <si>
    <t>=IF(AND($M273&gt;=$S$16,$M273&lt;=$S$18),U273,0)</t>
  </si>
  <si>
    <t>=IF($M273&lt;=$T$18,U273,0)</t>
  </si>
  <si>
    <t>="""NAV Direct"",""CRONUS JetCorp USA"",""21"",""1"",""339823"""</t>
  </si>
  <si>
    <t>=E272</t>
  </si>
  <si>
    <t>=StartDate-$M274+1</t>
  </si>
  <si>
    <t>=SUM(P274:T274)</t>
  </si>
  <si>
    <t>=IF($M274&gt;=$P$18,U274,0)</t>
  </si>
  <si>
    <t>=IF(AND($M274&gt;=$Q$16,$M274&lt;=$Q$18),U274,0)</t>
  </si>
  <si>
    <t>=IF(AND($M274&gt;=$R$16,$M274&lt;=$R$18),U274,0)</t>
  </si>
  <si>
    <t>=IF(AND($M274&gt;=$S$16,$M274&lt;=$S$18),U274,0)</t>
  </si>
  <si>
    <t>=IF($M274&lt;=$T$18,U274,0)</t>
  </si>
  <si>
    <t>="""NAV Direct"",""CRONUS JetCorp USA"",""21"",""1"",""339944"""</t>
  </si>
  <si>
    <t>=E273</t>
  </si>
  <si>
    <t>=StartDate-$M275+1</t>
  </si>
  <si>
    <t>=SUM(P275:T275)</t>
  </si>
  <si>
    <t>=IF($M275&gt;=$P$18,U275,0)</t>
  </si>
  <si>
    <t>=IF(AND($M275&gt;=$Q$16,$M275&lt;=$Q$18),U275,0)</t>
  </si>
  <si>
    <t>=IF(AND($M275&gt;=$R$16,$M275&lt;=$R$18),U275,0)</t>
  </si>
  <si>
    <t>=IF(AND($M275&gt;=$S$16,$M275&lt;=$S$18),U275,0)</t>
  </si>
  <si>
    <t>=IF($M275&lt;=$T$18,U275,0)</t>
  </si>
  <si>
    <t>="""NAV Direct"",""CRONUS JetCorp USA"",""21"",""1"",""341522"""</t>
  </si>
  <si>
    <t>=E274</t>
  </si>
  <si>
    <t>=StartDate-$M276+1</t>
  </si>
  <si>
    <t>=SUM(P276:T276)</t>
  </si>
  <si>
    <t>=IF($M276&gt;=$P$18,U276,0)</t>
  </si>
  <si>
    <t>=IF(AND($M276&gt;=$Q$16,$M276&lt;=$Q$18),U276,0)</t>
  </si>
  <si>
    <t>=IF(AND($M276&gt;=$R$16,$M276&lt;=$R$18),U276,0)</t>
  </si>
  <si>
    <t>=IF(AND($M276&gt;=$S$16,$M276&lt;=$S$18),U276,0)</t>
  </si>
  <si>
    <t>=IF($M276&lt;=$T$18,U276,0)</t>
  </si>
  <si>
    <t>="""NAV Direct"",""CRONUS JetCorp USA"",""21"",""1"",""342068"""</t>
  </si>
  <si>
    <t>=E275</t>
  </si>
  <si>
    <t>=StartDate-$M277+1</t>
  </si>
  <si>
    <t>=SUM(P277:T277)</t>
  </si>
  <si>
    <t>=IF($M277&gt;=$P$18,U277,0)</t>
  </si>
  <si>
    <t>=IF(AND($M277&gt;=$Q$16,$M277&lt;=$Q$18),U277,0)</t>
  </si>
  <si>
    <t>=IF(AND($M277&gt;=$R$16,$M277&lt;=$R$18),U277,0)</t>
  </si>
  <si>
    <t>=IF(AND($M277&gt;=$S$16,$M277&lt;=$S$18),U277,0)</t>
  </si>
  <si>
    <t>=IF($M277&lt;=$T$18,U277,0)</t>
  </si>
  <si>
    <t>="""NAV Direct"",""CRONUS JetCorp USA"",""21"",""1"",""342413"""</t>
  </si>
  <si>
    <t>=E276</t>
  </si>
  <si>
    <t>=StartDate-$M278+1</t>
  </si>
  <si>
    <t>=SUM(P278:T278)</t>
  </si>
  <si>
    <t>=IF($M278&gt;=$P$18,U278,0)</t>
  </si>
  <si>
    <t>=IF(AND($M278&gt;=$Q$16,$M278&lt;=$Q$18),U278,0)</t>
  </si>
  <si>
    <t>=IF(AND($M278&gt;=$R$16,$M278&lt;=$R$18),U278,0)</t>
  </si>
  <si>
    <t>=IF(AND($M278&gt;=$S$16,$M278&lt;=$S$18),U278,0)</t>
  </si>
  <si>
    <t>=IF($M278&lt;=$T$18,U278,0)</t>
  </si>
  <si>
    <t>="""NAV Direct"",""CRONUS JetCorp USA"",""21"",""1"",""342725"""</t>
  </si>
  <si>
    <t>=E277</t>
  </si>
  <si>
    <t>=StartDate-$M279+1</t>
  </si>
  <si>
    <t>=SUM(P279:T279)</t>
  </si>
  <si>
    <t>=IF($M279&gt;=$P$18,U279,0)</t>
  </si>
  <si>
    <t>=IF(AND($M279&gt;=$Q$16,$M279&lt;=$Q$18),U279,0)</t>
  </si>
  <si>
    <t>=IF(AND($M279&gt;=$R$16,$M279&lt;=$R$18),U279,0)</t>
  </si>
  <si>
    <t>=IF(AND($M279&gt;=$S$16,$M279&lt;=$S$18),U279,0)</t>
  </si>
  <si>
    <t>=IF($M279&lt;=$T$18,U279,0)</t>
  </si>
  <si>
    <t>="""NAV Direct"",""CRONUS JetCorp USA"",""21"",""1"",""342828"""</t>
  </si>
  <si>
    <t>=E278</t>
  </si>
  <si>
    <t>=StartDate-$M280+1</t>
  </si>
  <si>
    <t>=SUM(P280:T280)</t>
  </si>
  <si>
    <t>=IF($M280&gt;=$P$18,U280,0)</t>
  </si>
  <si>
    <t>=IF(AND($M280&gt;=$Q$16,$M280&lt;=$Q$18),U280,0)</t>
  </si>
  <si>
    <t>=IF(AND($M280&gt;=$R$16,$M280&lt;=$R$18),U280,0)</t>
  </si>
  <si>
    <t>=IF(AND($M280&gt;=$S$16,$M280&lt;=$S$18),U280,0)</t>
  </si>
  <si>
    <t>=IF($M280&lt;=$T$18,U280,0)</t>
  </si>
  <si>
    <t>="""NAV Direct"",""CRONUS JetCorp USA"",""21"",""1"",""344099"""</t>
  </si>
  <si>
    <t>=E279</t>
  </si>
  <si>
    <t>=StartDate-$M281+1</t>
  </si>
  <si>
    <t>=SUM(P281:T281)</t>
  </si>
  <si>
    <t>=IF($M281&gt;=$P$18,U281,0)</t>
  </si>
  <si>
    <t>=IF(AND($M281&gt;=$Q$16,$M281&lt;=$Q$18),U281,0)</t>
  </si>
  <si>
    <t>=IF(AND($M281&gt;=$R$16,$M281&lt;=$R$18),U281,0)</t>
  </si>
  <si>
    <t>=IF(AND($M281&gt;=$S$16,$M281&lt;=$S$18),U281,0)</t>
  </si>
  <si>
    <t>=IF($M281&lt;=$T$18,U281,0)</t>
  </si>
  <si>
    <t>="""NAV Direct"",""CRONUS JetCorp USA"",""21"",""1"",""345286"""</t>
  </si>
  <si>
    <t>=E280</t>
  </si>
  <si>
    <t>=StartDate-$M282+1</t>
  </si>
  <si>
    <t>=SUM(P282:T282)</t>
  </si>
  <si>
    <t>=IF($M282&gt;=$P$18,U282,0)</t>
  </si>
  <si>
    <t>=IF(AND($M282&gt;=$Q$16,$M282&lt;=$Q$18),U282,0)</t>
  </si>
  <si>
    <t>=IF(AND($M282&gt;=$R$16,$M282&lt;=$R$18),U282,0)</t>
  </si>
  <si>
    <t>=IF(AND($M282&gt;=$S$16,$M282&lt;=$S$18),U282,0)</t>
  </si>
  <si>
    <t>=IF($M282&lt;=$T$18,U282,0)</t>
  </si>
  <si>
    <t>="""NAV Direct"",""CRONUS JetCorp USA"",""21"",""1"",""346094"""</t>
  </si>
  <si>
    <t>=E281</t>
  </si>
  <si>
    <t>=StartDate-$M283+1</t>
  </si>
  <si>
    <t>=SUM(P283:T283)</t>
  </si>
  <si>
    <t>=IF($M283&gt;=$P$18,U283,0)</t>
  </si>
  <si>
    <t>=IF(AND($M283&gt;=$Q$16,$M283&lt;=$Q$18),U283,0)</t>
  </si>
  <si>
    <t>=IF(AND($M283&gt;=$R$16,$M283&lt;=$R$18),U283,0)</t>
  </si>
  <si>
    <t>=IF(AND($M283&gt;=$S$16,$M283&lt;=$S$18),U283,0)</t>
  </si>
  <si>
    <t>=IF($M283&lt;=$T$18,U283,0)</t>
  </si>
  <si>
    <t>="""NAV Direct"",""CRONUS JetCorp USA"",""21"",""1"",""346778"""</t>
  </si>
  <si>
    <t>=E282</t>
  </si>
  <si>
    <t>=StartDate-$M284+1</t>
  </si>
  <si>
    <t>=SUM(P284:T284)</t>
  </si>
  <si>
    <t>=IF($M284&gt;=$P$18,U284,0)</t>
  </si>
  <si>
    <t>=IF(AND($M284&gt;=$Q$16,$M284&lt;=$Q$18),U284,0)</t>
  </si>
  <si>
    <t>=IF(AND($M284&gt;=$R$16,$M284&lt;=$R$18),U284,0)</t>
  </si>
  <si>
    <t>=IF(AND($M284&gt;=$S$16,$M284&lt;=$S$18),U284,0)</t>
  </si>
  <si>
    <t>=IF($M284&lt;=$T$18,U284,0)</t>
  </si>
  <si>
    <t>="""NAV Direct"",""CRONUS JetCorp USA"",""21"",""1"",""346887"""</t>
  </si>
  <si>
    <t>=E283</t>
  </si>
  <si>
    <t>=StartDate-$M285+1</t>
  </si>
  <si>
    <t>=SUM(P285:T285)</t>
  </si>
  <si>
    <t>=IF($M285&gt;=$P$18,U285,0)</t>
  </si>
  <si>
    <t>=IF(AND($M285&gt;=$Q$16,$M285&lt;=$Q$18),U285,0)</t>
  </si>
  <si>
    <t>=IF(AND($M285&gt;=$R$16,$M285&lt;=$R$18),U285,0)</t>
  </si>
  <si>
    <t>=IF(AND($M285&gt;=$S$16,$M285&lt;=$S$18),U285,0)</t>
  </si>
  <si>
    <t>=IF($M285&lt;=$T$18,U285,0)</t>
  </si>
  <si>
    <t>="""NAV Direct"",""CRONUS JetCorp USA"",""21"",""1"",""347608"""</t>
  </si>
  <si>
    <t>=E284</t>
  </si>
  <si>
    <t>=StartDate-$M286+1</t>
  </si>
  <si>
    <t>=SUM(P286:T286)</t>
  </si>
  <si>
    <t>=IF($M286&gt;=$P$18,U286,0)</t>
  </si>
  <si>
    <t>=IF(AND($M286&gt;=$Q$16,$M286&lt;=$Q$18),U286,0)</t>
  </si>
  <si>
    <t>=IF(AND($M286&gt;=$R$16,$M286&lt;=$R$18),U286,0)</t>
  </si>
  <si>
    <t>=IF(AND($M286&gt;=$S$16,$M286&lt;=$S$18),U286,0)</t>
  </si>
  <si>
    <t>=IF($M286&lt;=$T$18,U286,0)</t>
  </si>
  <si>
    <t>="""NAV Direct"",""CRONUS JetCorp USA"",""21"",""1"",""348067"""</t>
  </si>
  <si>
    <t>=E285</t>
  </si>
  <si>
    <t>=StartDate-$M287+1</t>
  </si>
  <si>
    <t>=SUM(P287:T287)</t>
  </si>
  <si>
    <t>=IF($M287&gt;=$P$18,U287,0)</t>
  </si>
  <si>
    <t>=IF(AND($M287&gt;=$Q$16,$M287&lt;=$Q$18),U287,0)</t>
  </si>
  <si>
    <t>=IF(AND($M287&gt;=$R$16,$M287&lt;=$R$18),U287,0)</t>
  </si>
  <si>
    <t>=IF(AND($M287&gt;=$S$16,$M287&lt;=$S$18),U287,0)</t>
  </si>
  <si>
    <t>=IF($M287&lt;=$T$18,U287,0)</t>
  </si>
  <si>
    <t>="""NAV Direct"",""CRONUS JetCorp USA"",""21"",""1"",""348774"""</t>
  </si>
  <si>
    <t>=E286</t>
  </si>
  <si>
    <t>=StartDate-$M288+1</t>
  </si>
  <si>
    <t>=SUM(P288:T288)</t>
  </si>
  <si>
    <t>=IF($M288&gt;=$P$18,U288,0)</t>
  </si>
  <si>
    <t>=IF(AND($M288&gt;=$Q$16,$M288&lt;=$Q$18),U288,0)</t>
  </si>
  <si>
    <t>=IF(AND($M288&gt;=$R$16,$M288&lt;=$R$18),U288,0)</t>
  </si>
  <si>
    <t>=IF(AND($M288&gt;=$S$16,$M288&lt;=$S$18),U288,0)</t>
  </si>
  <si>
    <t>=IF($M288&lt;=$T$18,U288,0)</t>
  </si>
  <si>
    <t>="""NAV Direct"",""CRONUS JetCorp USA"",""21"",""1"",""349224"""</t>
  </si>
  <si>
    <t>=E287</t>
  </si>
  <si>
    <t>=StartDate-$M289+1</t>
  </si>
  <si>
    <t>=SUM(P289:T289)</t>
  </si>
  <si>
    <t>=IF($M289&gt;=$P$18,U289,0)</t>
  </si>
  <si>
    <t>=IF(AND($M289&gt;=$Q$16,$M289&lt;=$Q$18),U289,0)</t>
  </si>
  <si>
    <t>=IF(AND($M289&gt;=$R$16,$M289&lt;=$R$18),U289,0)</t>
  </si>
  <si>
    <t>=IF(AND($M289&gt;=$S$16,$M289&lt;=$S$18),U289,0)</t>
  </si>
  <si>
    <t>=IF($M289&lt;=$T$18,U289,0)</t>
  </si>
  <si>
    <t>="""NAV Direct"",""CRONUS JetCorp USA"",""21"",""1"",""349347"""</t>
  </si>
  <si>
    <t>=E288</t>
  </si>
  <si>
    <t>=StartDate-$M290+1</t>
  </si>
  <si>
    <t>=SUM(P290:T290)</t>
  </si>
  <si>
    <t>=IF($M290&gt;=$P$18,U290,0)</t>
  </si>
  <si>
    <t>=IF(AND($M290&gt;=$Q$16,$M290&lt;=$Q$18),U290,0)</t>
  </si>
  <si>
    <t>=IF(AND($M290&gt;=$R$16,$M290&lt;=$R$18),U290,0)</t>
  </si>
  <si>
    <t>=IF(AND($M290&gt;=$S$16,$M290&lt;=$S$18),U290,0)</t>
  </si>
  <si>
    <t>=IF($M290&lt;=$T$18,U290,0)</t>
  </si>
  <si>
    <t>="""NAV Direct"",""CRONUS JetCorp USA"",""21"",""1"",""349431"""</t>
  </si>
  <si>
    <t>=E289</t>
  </si>
  <si>
    <t>=StartDate-$M291+1</t>
  </si>
  <si>
    <t>=SUM(P291:T291)</t>
  </si>
  <si>
    <t>=IF($M291&gt;=$P$18,U291,0)</t>
  </si>
  <si>
    <t>=IF(AND($M291&gt;=$Q$16,$M291&lt;=$Q$18),U291,0)</t>
  </si>
  <si>
    <t>=IF(AND($M291&gt;=$R$16,$M291&lt;=$R$18),U291,0)</t>
  </si>
  <si>
    <t>=IF(AND($M291&gt;=$S$16,$M291&lt;=$S$18),U291,0)</t>
  </si>
  <si>
    <t>=IF($M291&lt;=$T$18,U291,0)</t>
  </si>
  <si>
    <t>="""NAV Direct"",""CRONUS JetCorp USA"",""21"",""1"",""349476"""</t>
  </si>
  <si>
    <t>=E290</t>
  </si>
  <si>
    <t>=StartDate-$M292+1</t>
  </si>
  <si>
    <t>=SUM(P292:T292)</t>
  </si>
  <si>
    <t>=IF($M292&gt;=$P$18,U292,0)</t>
  </si>
  <si>
    <t>=IF(AND($M292&gt;=$Q$16,$M292&lt;=$Q$18),U292,0)</t>
  </si>
  <si>
    <t>=IF(AND($M292&gt;=$R$16,$M292&lt;=$R$18),U292,0)</t>
  </si>
  <si>
    <t>=IF(AND($M292&gt;=$S$16,$M292&lt;=$S$18),U292,0)</t>
  </si>
  <si>
    <t>=IF($M292&lt;=$T$18,U292,0)</t>
  </si>
  <si>
    <t>="""NAV Direct"",""CRONUS JetCorp USA"",""21"",""1"",""349554"""</t>
  </si>
  <si>
    <t>=E291</t>
  </si>
  <si>
    <t>=StartDate-$M293+1</t>
  </si>
  <si>
    <t>=SUM(P293:T293)</t>
  </si>
  <si>
    <t>=IF($M293&gt;=$P$18,U293,0)</t>
  </si>
  <si>
    <t>=IF(AND($M293&gt;=$Q$16,$M293&lt;=$Q$18),U293,0)</t>
  </si>
  <si>
    <t>=IF(AND($M293&gt;=$R$16,$M293&lt;=$R$18),U293,0)</t>
  </si>
  <si>
    <t>=IF(AND($M293&gt;=$S$16,$M293&lt;=$S$18),U293,0)</t>
  </si>
  <si>
    <t>=IF($M293&lt;=$T$18,U293,0)</t>
  </si>
  <si>
    <t>="""NAV Direct"",""CRONUS JetCorp USA"",""21"",""1"",""350891"""</t>
  </si>
  <si>
    <t>=E292</t>
  </si>
  <si>
    <t>=StartDate-$M294+1</t>
  </si>
  <si>
    <t>=SUM(P294:T294)</t>
  </si>
  <si>
    <t>=IF($M294&gt;=$P$18,U294,0)</t>
  </si>
  <si>
    <t>=IF(AND($M294&gt;=$Q$16,$M294&lt;=$Q$18),U294,0)</t>
  </si>
  <si>
    <t>=IF(AND($M294&gt;=$R$16,$M294&lt;=$R$18),U294,0)</t>
  </si>
  <si>
    <t>=IF(AND($M294&gt;=$S$16,$M294&lt;=$S$18),U294,0)</t>
  </si>
  <si>
    <t>=IF($M294&lt;=$T$18,U294,0)</t>
  </si>
  <si>
    <t>="""NAV Direct"",""CRONUS JetCorp USA"",""21"",""1"",""351103"""</t>
  </si>
  <si>
    <t>=E293</t>
  </si>
  <si>
    <t>=StartDate-$M295+1</t>
  </si>
  <si>
    <t>=SUM(P295:T295)</t>
  </si>
  <si>
    <t>=IF($M295&gt;=$P$18,U295,0)</t>
  </si>
  <si>
    <t>=IF(AND($M295&gt;=$Q$16,$M295&lt;=$Q$18),U295,0)</t>
  </si>
  <si>
    <t>=IF(AND($M295&gt;=$R$16,$M295&lt;=$R$18),U295,0)</t>
  </si>
  <si>
    <t>=IF(AND($M295&gt;=$S$16,$M295&lt;=$S$18),U295,0)</t>
  </si>
  <si>
    <t>=IF($M295&lt;=$T$18,U295,0)</t>
  </si>
  <si>
    <t>="""NAV Direct"",""CRONUS JetCorp USA"",""21"",""1"",""351535"""</t>
  </si>
  <si>
    <t>=E294</t>
  </si>
  <si>
    <t>=StartDate-$M296+1</t>
  </si>
  <si>
    <t>=SUM(P296:T296)</t>
  </si>
  <si>
    <t>=IF($M296&gt;=$P$18,U296,0)</t>
  </si>
  <si>
    <t>=IF(AND($M296&gt;=$Q$16,$M296&lt;=$Q$18),U296,0)</t>
  </si>
  <si>
    <t>=IF(AND($M296&gt;=$R$16,$M296&lt;=$R$18),U296,0)</t>
  </si>
  <si>
    <t>=IF(AND($M296&gt;=$S$16,$M296&lt;=$S$18),U296,0)</t>
  </si>
  <si>
    <t>=IF($M296&lt;=$T$18,U296,0)</t>
  </si>
  <si>
    <t>="""NAV Direct"",""CRONUS JetCorp USA"",""21"",""1"",""352080"""</t>
  </si>
  <si>
    <t>=E295</t>
  </si>
  <si>
    <t>=StartDate-$M297+1</t>
  </si>
  <si>
    <t>=SUM(P297:T297)</t>
  </si>
  <si>
    <t>=IF($M297&gt;=$P$18,U297,0)</t>
  </si>
  <si>
    <t>=IF(AND($M297&gt;=$Q$16,$M297&lt;=$Q$18),U297,0)</t>
  </si>
  <si>
    <t>=IF(AND($M297&gt;=$R$16,$M297&lt;=$R$18),U297,0)</t>
  </si>
  <si>
    <t>=IF(AND($M297&gt;=$S$16,$M297&lt;=$S$18),U297,0)</t>
  </si>
  <si>
    <t>=IF($M297&lt;=$T$18,U297,0)</t>
  </si>
  <si>
    <t>="""NAV Direct"",""CRONUS JetCorp USA"",""21"",""1"",""433617"""</t>
  </si>
  <si>
    <t>=E296</t>
  </si>
  <si>
    <t>=StartDate-$M298+1</t>
  </si>
  <si>
    <t>=SUM(P298:T298)</t>
  </si>
  <si>
    <t>=IF($M298&gt;=$P$18,U298,0)</t>
  </si>
  <si>
    <t>=IF(AND($M298&gt;=$Q$16,$M298&lt;=$Q$18),U298,0)</t>
  </si>
  <si>
    <t>=IF(AND($M298&gt;=$R$16,$M298&lt;=$R$18),U298,0)</t>
  </si>
  <si>
    <t>=IF(AND($M298&gt;=$S$16,$M298&lt;=$S$18),U298,0)</t>
  </si>
  <si>
    <t>=IF($M298&lt;=$T$18,U298,0)</t>
  </si>
  <si>
    <t>="""NAV Direct"",""CRONUS JetCorp USA"",""21"",""1"",""433767"""</t>
  </si>
  <si>
    <t>=E297</t>
  </si>
  <si>
    <t>=StartDate-$M299+1</t>
  </si>
  <si>
    <t>=SUM(P299:T299)</t>
  </si>
  <si>
    <t>=IF($M299&gt;=$P$18,U299,0)</t>
  </si>
  <si>
    <t>=IF(AND($M299&gt;=$Q$16,$M299&lt;=$Q$18),U299,0)</t>
  </si>
  <si>
    <t>=IF(AND($M299&gt;=$R$16,$M299&lt;=$R$18),U299,0)</t>
  </si>
  <si>
    <t>=IF(AND($M299&gt;=$S$16,$M299&lt;=$S$18),U299,0)</t>
  </si>
  <si>
    <t>=IF($M299&lt;=$T$18,U299,0)</t>
  </si>
  <si>
    <t>="""NAV Direct"",""CRONUS JetCorp USA"",""21"",""1"",""433825"""</t>
  </si>
  <si>
    <t>=E298</t>
  </si>
  <si>
    <t>=StartDate-$M300+1</t>
  </si>
  <si>
    <t>=SUM(P300:T300)</t>
  </si>
  <si>
    <t>=IF($M300&gt;=$P$18,U300,0)</t>
  </si>
  <si>
    <t>=IF(AND($M300&gt;=$Q$16,$M300&lt;=$Q$18),U300,0)</t>
  </si>
  <si>
    <t>=IF(AND($M300&gt;=$R$16,$M300&lt;=$R$18),U300,0)</t>
  </si>
  <si>
    <t>=IF(AND($M300&gt;=$S$16,$M300&lt;=$S$18),U300,0)</t>
  </si>
  <si>
    <t>=IF($M300&lt;=$T$18,U300,0)</t>
  </si>
  <si>
    <t>="""NAV Direct"",""CRONUS JetCorp USA"",""21"",""1"",""433898"""</t>
  </si>
  <si>
    <t>=E299</t>
  </si>
  <si>
    <t>=StartDate-$M301+1</t>
  </si>
  <si>
    <t>=SUM(P301:T301)</t>
  </si>
  <si>
    <t>=IF($M301&gt;=$P$18,U301,0)</t>
  </si>
  <si>
    <t>=IF(AND($M301&gt;=$Q$16,$M301&lt;=$Q$18),U301,0)</t>
  </si>
  <si>
    <t>=IF(AND($M301&gt;=$R$16,$M301&lt;=$R$18),U301,0)</t>
  </si>
  <si>
    <t>=IF(AND($M301&gt;=$S$16,$M301&lt;=$S$18),U301,0)</t>
  </si>
  <si>
    <t>=IF($M301&lt;=$T$18,U301,0)</t>
  </si>
  <si>
    <t>="""NAV Direct"",""CRONUS JetCorp USA"",""21"",""1"",""434126"""</t>
  </si>
  <si>
    <t>=E300</t>
  </si>
  <si>
    <t>=StartDate-$M302+1</t>
  </si>
  <si>
    <t>=SUM(P302:T302)</t>
  </si>
  <si>
    <t>=IF($M302&gt;=$P$18,U302,0)</t>
  </si>
  <si>
    <t>=IF(AND($M302&gt;=$Q$16,$M302&lt;=$Q$18),U302,0)</t>
  </si>
  <si>
    <t>=IF(AND($M302&gt;=$R$16,$M302&lt;=$R$18),U302,0)</t>
  </si>
  <si>
    <t>=IF(AND($M302&gt;=$S$16,$M302&lt;=$S$18),U302,0)</t>
  </si>
  <si>
    <t>=IF($M302&lt;=$T$18,U302,0)</t>
  </si>
  <si>
    <t>="""NAV Direct"",""CRONUS JetCorp USA"",""21"",""1"",""434228"""</t>
  </si>
  <si>
    <t>=E301</t>
  </si>
  <si>
    <t>=StartDate-$M303+1</t>
  </si>
  <si>
    <t>=SUM(P303:T303)</t>
  </si>
  <si>
    <t>=IF($M303&gt;=$P$18,U303,0)</t>
  </si>
  <si>
    <t>=IF(AND($M303&gt;=$Q$16,$M303&lt;=$Q$18),U303,0)</t>
  </si>
  <si>
    <t>=IF(AND($M303&gt;=$R$16,$M303&lt;=$R$18),U303,0)</t>
  </si>
  <si>
    <t>=IF(AND($M303&gt;=$S$16,$M303&lt;=$S$18),U303,0)</t>
  </si>
  <si>
    <t>=IF($M303&lt;=$T$18,U303,0)</t>
  </si>
  <si>
    <t>="""NAV Direct"",""CRONUS JetCorp USA"",""21"",""1"",""434305"""</t>
  </si>
  <si>
    <t>=E302</t>
  </si>
  <si>
    <t>=StartDate-$M304+1</t>
  </si>
  <si>
    <t>=SUM(P304:T304)</t>
  </si>
  <si>
    <t>=IF($M304&gt;=$P$18,U304,0)</t>
  </si>
  <si>
    <t>=IF(AND($M304&gt;=$Q$16,$M304&lt;=$Q$18),U304,0)</t>
  </si>
  <si>
    <t>=IF(AND($M304&gt;=$R$16,$M304&lt;=$R$18),U304,0)</t>
  </si>
  <si>
    <t>=IF(AND($M304&gt;=$S$16,$M304&lt;=$S$18),U304,0)</t>
  </si>
  <si>
    <t>=IF($M304&lt;=$T$18,U304,0)</t>
  </si>
  <si>
    <t>="""NAV Direct"",""CRONUS JetCorp USA"",""21"",""1"",""434346"""</t>
  </si>
  <si>
    <t>=E303</t>
  </si>
  <si>
    <t>=StartDate-$M305+1</t>
  </si>
  <si>
    <t>=SUM(P305:T305)</t>
  </si>
  <si>
    <t>=IF($M305&gt;=$P$18,U305,0)</t>
  </si>
  <si>
    <t>=IF(AND($M305&gt;=$Q$16,$M305&lt;=$Q$18),U305,0)</t>
  </si>
  <si>
    <t>=IF(AND($M305&gt;=$R$16,$M305&lt;=$R$18),U305,0)</t>
  </si>
  <si>
    <t>=IF(AND($M305&gt;=$S$16,$M305&lt;=$S$18),U305,0)</t>
  </si>
  <si>
    <t>=IF($M305&lt;=$T$18,U305,0)</t>
  </si>
  <si>
    <t>="""NAV Direct"",""CRONUS JetCorp USA"",""21"",""1"",""434393"""</t>
  </si>
  <si>
    <t>=E304</t>
  </si>
  <si>
    <t>=StartDate-$M306+1</t>
  </si>
  <si>
    <t>=SUM(P306:T306)</t>
  </si>
  <si>
    <t>=IF($M306&gt;=$P$18,U306,0)</t>
  </si>
  <si>
    <t>=IF(AND($M306&gt;=$Q$16,$M306&lt;=$Q$18),U306,0)</t>
  </si>
  <si>
    <t>=IF(AND($M306&gt;=$R$16,$M306&lt;=$R$18),U306,0)</t>
  </si>
  <si>
    <t>=IF(AND($M306&gt;=$S$16,$M306&lt;=$S$18),U306,0)</t>
  </si>
  <si>
    <t>=IF($M306&lt;=$T$18,U306,0)</t>
  </si>
  <si>
    <t>="""NAV Direct"",""CRONUS JetCorp USA"",""21"",""1"",""434466"""</t>
  </si>
  <si>
    <t>=E305</t>
  </si>
  <si>
    <t>=StartDate-$M307+1</t>
  </si>
  <si>
    <t>=SUM(P307:T307)</t>
  </si>
  <si>
    <t>=IF($M307&gt;=$P$18,U307,0)</t>
  </si>
  <si>
    <t>=IF(AND($M307&gt;=$Q$16,$M307&lt;=$Q$18),U307,0)</t>
  </si>
  <si>
    <t>=IF(AND($M307&gt;=$R$16,$M307&lt;=$R$18),U307,0)</t>
  </si>
  <si>
    <t>=IF(AND($M307&gt;=$S$16,$M307&lt;=$S$18),U307,0)</t>
  </si>
  <si>
    <t>=IF($M307&lt;=$T$18,U307,0)</t>
  </si>
  <si>
    <t>="""NAV Direct"",""CRONUS JetCorp USA"",""21"",""1"",""434504"""</t>
  </si>
  <si>
    <t>=E306</t>
  </si>
  <si>
    <t>=StartDate-$M308+1</t>
  </si>
  <si>
    <t>=SUM(P308:T308)</t>
  </si>
  <si>
    <t>=IF($M308&gt;=$P$18,U308,0)</t>
  </si>
  <si>
    <t>=IF(AND($M308&gt;=$Q$16,$M308&lt;=$Q$18),U308,0)</t>
  </si>
  <si>
    <t>=IF(AND($M308&gt;=$R$16,$M308&lt;=$R$18),U308,0)</t>
  </si>
  <si>
    <t>=IF(AND($M308&gt;=$S$16,$M308&lt;=$S$18),U308,0)</t>
  </si>
  <si>
    <t>=IF($M308&lt;=$T$18,U308,0)</t>
  </si>
  <si>
    <t>="""NAV Direct"",""CRONUS JetCorp USA"",""21"",""1"",""434614"""</t>
  </si>
  <si>
    <t>=E307</t>
  </si>
  <si>
    <t>=StartDate-$M309+1</t>
  </si>
  <si>
    <t>=SUM(P309:T309)</t>
  </si>
  <si>
    <t>=IF($M309&gt;=$P$18,U309,0)</t>
  </si>
  <si>
    <t>=IF(AND($M309&gt;=$Q$16,$M309&lt;=$Q$18),U309,0)</t>
  </si>
  <si>
    <t>=IF(AND($M309&gt;=$R$16,$M309&lt;=$R$18),U309,0)</t>
  </si>
  <si>
    <t>=IF(AND($M309&gt;=$S$16,$M309&lt;=$S$18),U309,0)</t>
  </si>
  <si>
    <t>=IF($M309&lt;=$T$18,U309,0)</t>
  </si>
  <si>
    <t>="""NAV Direct"",""CRONUS JetCorp USA"",""18"",""1"",""C100019"""</t>
  </si>
  <si>
    <t>=H312</t>
  </si>
  <si>
    <t>=NF($C312,"1 No.")</t>
  </si>
  <si>
    <t>=NF($C312,"1 No.")&amp;"  -  "&amp;NF($C312,"2 Name")</t>
  </si>
  <si>
    <t>=IFERROR(O312/NF(C312,"Credit Limit (LCY)"),"")</t>
  </si>
  <si>
    <t>=SUBTOTAL(3,L313:L324)</t>
  </si>
  <si>
    <t>=SUBTOTAL(9,O313:O324)</t>
  </si>
  <si>
    <t>=SUBTOTAL(9,P313:P324)</t>
  </si>
  <si>
    <t>=SUBTOTAL(9,Q313:Q324)</t>
  </si>
  <si>
    <t>=SUBTOTAL(9,R313:R324)</t>
  </si>
  <si>
    <t>=SUBTOTAL(9,S313:S324)</t>
  </si>
  <si>
    <t>=SUBTOTAL(9,T313:T324)</t>
  </si>
  <si>
    <t>=C312</t>
  </si>
  <si>
    <t>=E312</t>
  </si>
  <si>
    <t>="Contact: "&amp;NF($C313,"8 Contact")</t>
  </si>
  <si>
    <t>=C313</t>
  </si>
  <si>
    <t>=E313</t>
  </si>
  <si>
    <t>=NF($C314,"102 E-Mail")</t>
  </si>
  <si>
    <t>=NL("Rows","21 Cust. Ledger Entry",,"3 Customer No.","@@"&amp;$E316,"16 Remaining Amt. (LCY)","&lt;&gt;0")</t>
  </si>
  <si>
    <t>=E314</t>
  </si>
  <si>
    <t>=StartDate-$M316+1</t>
  </si>
  <si>
    <t>=SUM(P316:T316)</t>
  </si>
  <si>
    <t>=IF($M316&gt;=$P$18,U316,0)</t>
  </si>
  <si>
    <t>=IF(AND($M316&gt;=$Q$16,$M316&lt;=$Q$18),U316,0)</t>
  </si>
  <si>
    <t>=IF(AND($M316&gt;=$R$16,$M316&lt;=$R$18),U316,0)</t>
  </si>
  <si>
    <t>=IF(AND($M316&gt;=$S$16,$M316&lt;=$S$18),U316,0)</t>
  </si>
  <si>
    <t>=IF($M316&lt;=$T$18,U316,0)</t>
  </si>
  <si>
    <t>="""NAV Direct"",""CRONUS JetCorp USA"",""21"",""1"",""380558"""</t>
  </si>
  <si>
    <t>=E315</t>
  </si>
  <si>
    <t>=StartDate-$M317+1</t>
  </si>
  <si>
    <t>=SUM(P317:T317)</t>
  </si>
  <si>
    <t>=IF($M317&gt;=$P$18,U317,0)</t>
  </si>
  <si>
    <t>=IF(AND($M317&gt;=$Q$16,$M317&lt;=$Q$18),U317,0)</t>
  </si>
  <si>
    <t>=IF(AND($M317&gt;=$R$16,$M317&lt;=$R$18),U317,0)</t>
  </si>
  <si>
    <t>=IF(AND($M317&gt;=$S$16,$M317&lt;=$S$18),U317,0)</t>
  </si>
  <si>
    <t>=IF($M317&lt;=$T$18,U317,0)</t>
  </si>
  <si>
    <t>="""NAV Direct"",""CRONUS JetCorp USA"",""21"",""1"",""380932"""</t>
  </si>
  <si>
    <t>=E316</t>
  </si>
  <si>
    <t>=StartDate-$M318+1</t>
  </si>
  <si>
    <t>=SUM(P318:T318)</t>
  </si>
  <si>
    <t>=IF($M318&gt;=$P$18,U318,0)</t>
  </si>
  <si>
    <t>=IF(AND($M318&gt;=$Q$16,$M318&lt;=$Q$18),U318,0)</t>
  </si>
  <si>
    <t>=IF(AND($M318&gt;=$R$16,$M318&lt;=$R$18),U318,0)</t>
  </si>
  <si>
    <t>=IF(AND($M318&gt;=$S$16,$M318&lt;=$S$18),U318,0)</t>
  </si>
  <si>
    <t>=IF($M318&lt;=$T$18,U318,0)</t>
  </si>
  <si>
    <t>="""NAV Direct"",""CRONUS JetCorp USA"",""21"",""1"",""381165"""</t>
  </si>
  <si>
    <t>=E317</t>
  </si>
  <si>
    <t>=StartDate-$M319+1</t>
  </si>
  <si>
    <t>=SUM(P319:T319)</t>
  </si>
  <si>
    <t>=IF($M319&gt;=$P$18,U319,0)</t>
  </si>
  <si>
    <t>=IF(AND($M319&gt;=$Q$16,$M319&lt;=$Q$18),U319,0)</t>
  </si>
  <si>
    <t>=IF(AND($M319&gt;=$R$16,$M319&lt;=$R$18),U319,0)</t>
  </si>
  <si>
    <t>=IF(AND($M319&gt;=$S$16,$M319&lt;=$S$18),U319,0)</t>
  </si>
  <si>
    <t>=IF($M319&lt;=$T$18,U319,0)</t>
  </si>
  <si>
    <t>="""NAV Direct"",""CRONUS JetCorp USA"",""21"",""1"",""381490"""</t>
  </si>
  <si>
    <t>=E318</t>
  </si>
  <si>
    <t>=StartDate-$M320+1</t>
  </si>
  <si>
    <t>=SUM(P320:T320)</t>
  </si>
  <si>
    <t>=IF($M320&gt;=$P$18,U320,0)</t>
  </si>
  <si>
    <t>=IF(AND($M320&gt;=$Q$16,$M320&lt;=$Q$18),U320,0)</t>
  </si>
  <si>
    <t>=IF(AND($M320&gt;=$R$16,$M320&lt;=$R$18),U320,0)</t>
  </si>
  <si>
    <t>=IF(AND($M320&gt;=$S$16,$M320&lt;=$S$18),U320,0)</t>
  </si>
  <si>
    <t>=IF($M320&lt;=$T$18,U320,0)</t>
  </si>
  <si>
    <t>="""NAV Direct"",""CRONUS JetCorp USA"",""21"",""1"",""382014"""</t>
  </si>
  <si>
    <t>=E319</t>
  </si>
  <si>
    <t>=StartDate-$M321+1</t>
  </si>
  <si>
    <t>=SUM(P321:T321)</t>
  </si>
  <si>
    <t>=IF($M321&gt;=$P$18,U321,0)</t>
  </si>
  <si>
    <t>=IF(AND($M321&gt;=$Q$16,$M321&lt;=$Q$18),U321,0)</t>
  </si>
  <si>
    <t>=IF(AND($M321&gt;=$R$16,$M321&lt;=$R$18),U321,0)</t>
  </si>
  <si>
    <t>=IF(AND($M321&gt;=$S$16,$M321&lt;=$S$18),U321,0)</t>
  </si>
  <si>
    <t>=IF($M321&lt;=$T$18,U321,0)</t>
  </si>
  <si>
    <t>="""NAV Direct"",""CRONUS JetCorp USA"",""21"",""1"",""383144"""</t>
  </si>
  <si>
    <t>=E320</t>
  </si>
  <si>
    <t>=StartDate-$M322+1</t>
  </si>
  <si>
    <t>=SUM(P322:T322)</t>
  </si>
  <si>
    <t>=IF($M322&gt;=$P$18,U322,0)</t>
  </si>
  <si>
    <t>=IF(AND($M322&gt;=$Q$16,$M322&lt;=$Q$18),U322,0)</t>
  </si>
  <si>
    <t>=IF(AND($M322&gt;=$R$16,$M322&lt;=$R$18),U322,0)</t>
  </si>
  <si>
    <t>=IF(AND($M322&gt;=$S$16,$M322&lt;=$S$18),U322,0)</t>
  </si>
  <si>
    <t>=IF($M322&lt;=$T$18,U322,0)</t>
  </si>
  <si>
    <t>="""NAV Direct"",""CRONUS JetCorp USA"",""21"",""1"",""438317"""</t>
  </si>
  <si>
    <t>=E321</t>
  </si>
  <si>
    <t>=StartDate-$M323+1</t>
  </si>
  <si>
    <t>=SUM(P323:T323)</t>
  </si>
  <si>
    <t>=IF($M323&gt;=$P$18,U323,0)</t>
  </si>
  <si>
    <t>=IF(AND($M323&gt;=$Q$16,$M323&lt;=$Q$18),U323,0)</t>
  </si>
  <si>
    <t>=IF(AND($M323&gt;=$R$16,$M323&lt;=$R$18),U323,0)</t>
  </si>
  <si>
    <t>=IF(AND($M323&gt;=$S$16,$M323&lt;=$S$18),U323,0)</t>
  </si>
  <si>
    <t>=IF($M323&lt;=$T$18,U323,0)</t>
  </si>
  <si>
    <t>="""NAV Direct"",""CRONUS JetCorp USA"",""18"",""1"",""C100020"""</t>
  </si>
  <si>
    <t>=H326</t>
  </si>
  <si>
    <t>=NF($C326,"1 No.")</t>
  </si>
  <si>
    <t>=NF($C326,"1 No.")&amp;"  -  "&amp;NF($C326,"2 Name")</t>
  </si>
  <si>
    <t>=IFERROR(O326/NF(C326,"Credit Limit (LCY)"),"")</t>
  </si>
  <si>
    <t>=SUBTOTAL(3,L327:L357)</t>
  </si>
  <si>
    <t>=SUBTOTAL(9,O327:O357)</t>
  </si>
  <si>
    <t>=SUBTOTAL(9,P327:P357)</t>
  </si>
  <si>
    <t>=SUBTOTAL(9,Q327:Q357)</t>
  </si>
  <si>
    <t>=SUBTOTAL(9,R327:R357)</t>
  </si>
  <si>
    <t>=SUBTOTAL(9,S327:S357)</t>
  </si>
  <si>
    <t>=SUBTOTAL(9,T327:T357)</t>
  </si>
  <si>
    <t>=C326</t>
  </si>
  <si>
    <t>=E326</t>
  </si>
  <si>
    <t>="Contact: "&amp;NF($C327,"8 Contact")</t>
  </si>
  <si>
    <t>=C327</t>
  </si>
  <si>
    <t>=E327</t>
  </si>
  <si>
    <t>=NF($C328,"102 E-Mail")</t>
  </si>
  <si>
    <t>=NL("Rows","21 Cust. Ledger Entry",,"3 Customer No.","@@"&amp;$E330,"16 Remaining Amt. (LCY)","&lt;&gt;0")</t>
  </si>
  <si>
    <t>=E328</t>
  </si>
  <si>
    <t>=StartDate-$M330+1</t>
  </si>
  <si>
    <t>=SUM(P330:T330)</t>
  </si>
  <si>
    <t>=IF($M330&gt;=$P$18,U330,0)</t>
  </si>
  <si>
    <t>=IF(AND($M330&gt;=$Q$16,$M330&lt;=$Q$18),U330,0)</t>
  </si>
  <si>
    <t>=IF(AND($M330&gt;=$R$16,$M330&lt;=$R$18),U330,0)</t>
  </si>
  <si>
    <t>=IF(AND($M330&gt;=$S$16,$M330&lt;=$S$18),U330,0)</t>
  </si>
  <si>
    <t>=IF($M330&lt;=$T$18,U330,0)</t>
  </si>
  <si>
    <t>="""NAV Direct"",""CRONUS JetCorp USA"",""21"",""1"",""41633"""</t>
  </si>
  <si>
    <t>=E329</t>
  </si>
  <si>
    <t>=StartDate-$M331+1</t>
  </si>
  <si>
    <t>=SUM(P331:T331)</t>
  </si>
  <si>
    <t>=IF($M331&gt;=$P$18,U331,0)</t>
  </si>
  <si>
    <t>=IF(AND($M331&gt;=$Q$16,$M331&lt;=$Q$18),U331,0)</t>
  </si>
  <si>
    <t>=IF(AND($M331&gt;=$R$16,$M331&lt;=$R$18),U331,0)</t>
  </si>
  <si>
    <t>=IF(AND($M331&gt;=$S$16,$M331&lt;=$S$18),U331,0)</t>
  </si>
  <si>
    <t>=IF($M331&lt;=$T$18,U331,0)</t>
  </si>
  <si>
    <t>="""NAV Direct"",""CRONUS JetCorp USA"",""21"",""1"",""41824"""</t>
  </si>
  <si>
    <t>=E330</t>
  </si>
  <si>
    <t>=StartDate-$M332+1</t>
  </si>
  <si>
    <t>=SUM(P332:T332)</t>
  </si>
  <si>
    <t>=IF($M332&gt;=$P$18,U332,0)</t>
  </si>
  <si>
    <t>=IF(AND($M332&gt;=$Q$16,$M332&lt;=$Q$18),U332,0)</t>
  </si>
  <si>
    <t>=IF(AND($M332&gt;=$R$16,$M332&lt;=$R$18),U332,0)</t>
  </si>
  <si>
    <t>=IF(AND($M332&gt;=$S$16,$M332&lt;=$S$18),U332,0)</t>
  </si>
  <si>
    <t>=IF($M332&lt;=$T$18,U332,0)</t>
  </si>
  <si>
    <t>="""NAV Direct"",""CRONUS JetCorp USA"",""21"",""1"",""41847"""</t>
  </si>
  <si>
    <t>=E331</t>
  </si>
  <si>
    <t>=StartDate-$M333+1</t>
  </si>
  <si>
    <t>=SUM(P333:T333)</t>
  </si>
  <si>
    <t>=IF($M333&gt;=$P$18,U333,0)</t>
  </si>
  <si>
    <t>=IF(AND($M333&gt;=$Q$16,$M333&lt;=$Q$18),U333,0)</t>
  </si>
  <si>
    <t>=IF(AND($M333&gt;=$R$16,$M333&lt;=$R$18),U333,0)</t>
  </si>
  <si>
    <t>=IF(AND($M333&gt;=$S$16,$M333&lt;=$S$18),U333,0)</t>
  </si>
  <si>
    <t>=IF($M333&lt;=$T$18,U333,0)</t>
  </si>
  <si>
    <t>="""NAV Direct"",""CRONUS JetCorp USA"",""21"",""1"",""332412"""</t>
  </si>
  <si>
    <t>=E332</t>
  </si>
  <si>
    <t>=StartDate-$M334+1</t>
  </si>
  <si>
    <t>=SUM(P334:T334)</t>
  </si>
  <si>
    <t>=IF($M334&gt;=$P$18,U334,0)</t>
  </si>
  <si>
    <t>=IF(AND($M334&gt;=$Q$16,$M334&lt;=$Q$18),U334,0)</t>
  </si>
  <si>
    <t>=IF(AND($M334&gt;=$R$16,$M334&lt;=$R$18),U334,0)</t>
  </si>
  <si>
    <t>=IF(AND($M334&gt;=$S$16,$M334&lt;=$S$18),U334,0)</t>
  </si>
  <si>
    <t>=IF($M334&lt;=$T$18,U334,0)</t>
  </si>
  <si>
    <t>="""NAV Direct"",""CRONUS JetCorp USA"",""21"",""1"",""332563"""</t>
  </si>
  <si>
    <t>=E333</t>
  </si>
  <si>
    <t>=StartDate-$M335+1</t>
  </si>
  <si>
    <t>=SUM(P335:T335)</t>
  </si>
  <si>
    <t>=IF($M335&gt;=$P$18,U335,0)</t>
  </si>
  <si>
    <t>=IF(AND($M335&gt;=$Q$16,$M335&lt;=$Q$18),U335,0)</t>
  </si>
  <si>
    <t>=IF(AND($M335&gt;=$R$16,$M335&lt;=$R$18),U335,0)</t>
  </si>
  <si>
    <t>=IF(AND($M335&gt;=$S$16,$M335&lt;=$S$18),U335,0)</t>
  </si>
  <si>
    <t>=IF($M335&lt;=$T$18,U335,0)</t>
  </si>
  <si>
    <t>="""NAV Direct"",""CRONUS JetCorp USA"",""21"",""1"",""332699"""</t>
  </si>
  <si>
    <t>=E334</t>
  </si>
  <si>
    <t>=StartDate-$M336+1</t>
  </si>
  <si>
    <t>=SUM(P336:T336)</t>
  </si>
  <si>
    <t>=IF($M336&gt;=$P$18,U336,0)</t>
  </si>
  <si>
    <t>=IF(AND($M336&gt;=$Q$16,$M336&lt;=$Q$18),U336,0)</t>
  </si>
  <si>
    <t>=IF(AND($M336&gt;=$R$16,$M336&lt;=$R$18),U336,0)</t>
  </si>
  <si>
    <t>=IF(AND($M336&gt;=$S$16,$M336&lt;=$S$18),U336,0)</t>
  </si>
  <si>
    <t>=IF($M336&lt;=$T$18,U336,0)</t>
  </si>
  <si>
    <t>="""NAV Direct"",""CRONUS JetCorp USA"",""21"",""1"",""332810"""</t>
  </si>
  <si>
    <t>=E335</t>
  </si>
  <si>
    <t>=StartDate-$M337+1</t>
  </si>
  <si>
    <t>=SUM(P337:T337)</t>
  </si>
  <si>
    <t>=IF($M337&gt;=$P$18,U337,0)</t>
  </si>
  <si>
    <t>=IF(AND($M337&gt;=$Q$16,$M337&lt;=$Q$18),U337,0)</t>
  </si>
  <si>
    <t>=IF(AND($M337&gt;=$R$16,$M337&lt;=$R$18),U337,0)</t>
  </si>
  <si>
    <t>=IF(AND($M337&gt;=$S$16,$M337&lt;=$S$18),U337,0)</t>
  </si>
  <si>
    <t>=IF($M337&lt;=$T$18,U337,0)</t>
  </si>
  <si>
    <t>="""NAV Direct"",""CRONUS JetCorp USA"",""21"",""1"",""333002"""</t>
  </si>
  <si>
    <t>=E336</t>
  </si>
  <si>
    <t>=StartDate-$M338+1</t>
  </si>
  <si>
    <t>=SUM(P338:T338)</t>
  </si>
  <si>
    <t>=IF($M338&gt;=$P$18,U338,0)</t>
  </si>
  <si>
    <t>=IF(AND($M338&gt;=$Q$16,$M338&lt;=$Q$18),U338,0)</t>
  </si>
  <si>
    <t>=IF(AND($M338&gt;=$R$16,$M338&lt;=$R$18),U338,0)</t>
  </si>
  <si>
    <t>=IF(AND($M338&gt;=$S$16,$M338&lt;=$S$18),U338,0)</t>
  </si>
  <si>
    <t>=IF($M338&lt;=$T$18,U338,0)</t>
  </si>
  <si>
    <t>="""NAV Direct"",""CRONUS JetCorp USA"",""21"",""1"",""333054"""</t>
  </si>
  <si>
    <t>=E337</t>
  </si>
  <si>
    <t>=StartDate-$M339+1</t>
  </si>
  <si>
    <t>=SUM(P339:T339)</t>
  </si>
  <si>
    <t>=IF($M339&gt;=$P$18,U339,0)</t>
  </si>
  <si>
    <t>=IF(AND($M339&gt;=$Q$16,$M339&lt;=$Q$18),U339,0)</t>
  </si>
  <si>
    <t>=IF(AND($M339&gt;=$R$16,$M339&lt;=$R$18),U339,0)</t>
  </si>
  <si>
    <t>=IF(AND($M339&gt;=$S$16,$M339&lt;=$S$18),U339,0)</t>
  </si>
  <si>
    <t>=IF($M339&lt;=$T$18,U339,0)</t>
  </si>
  <si>
    <t>="""NAV Direct"",""CRONUS JetCorp USA"",""21"",""1"",""333125"""</t>
  </si>
  <si>
    <t>=E338</t>
  </si>
  <si>
    <t>=StartDate-$M340+1</t>
  </si>
  <si>
    <t>=SUM(P340:T340)</t>
  </si>
  <si>
    <t>=IF($M340&gt;=$P$18,U340,0)</t>
  </si>
  <si>
    <t>=IF(AND($M340&gt;=$Q$16,$M340&lt;=$Q$18),U340,0)</t>
  </si>
  <si>
    <t>=IF(AND($M340&gt;=$R$16,$M340&lt;=$R$18),U340,0)</t>
  </si>
  <si>
    <t>=IF(AND($M340&gt;=$S$16,$M340&lt;=$S$18),U340,0)</t>
  </si>
  <si>
    <t>=IF($M340&lt;=$T$18,U340,0)</t>
  </si>
  <si>
    <t>="""NAV Direct"",""CRONUS JetCorp USA"",""21"",""1"",""333545"""</t>
  </si>
  <si>
    <t>=E339</t>
  </si>
  <si>
    <t>=StartDate-$M341+1</t>
  </si>
  <si>
    <t>=SUM(P341:T341)</t>
  </si>
  <si>
    <t>=IF($M341&gt;=$P$18,U341,0)</t>
  </si>
  <si>
    <t>=IF(AND($M341&gt;=$Q$16,$M341&lt;=$Q$18),U341,0)</t>
  </si>
  <si>
    <t>=IF(AND($M341&gt;=$R$16,$M341&lt;=$R$18),U341,0)</t>
  </si>
  <si>
    <t>=IF(AND($M341&gt;=$S$16,$M341&lt;=$S$18),U341,0)</t>
  </si>
  <si>
    <t>=IF($M341&lt;=$T$18,U341,0)</t>
  </si>
  <si>
    <t>="""NAV Direct"",""CRONUS JetCorp USA"",""21"",""1"",""333610"""</t>
  </si>
  <si>
    <t>=E340</t>
  </si>
  <si>
    <t>=StartDate-$M342+1</t>
  </si>
  <si>
    <t>=SUM(P342:T342)</t>
  </si>
  <si>
    <t>=IF($M342&gt;=$P$18,U342,0)</t>
  </si>
  <si>
    <t>=IF(AND($M342&gt;=$Q$16,$M342&lt;=$Q$18),U342,0)</t>
  </si>
  <si>
    <t>=IF(AND($M342&gt;=$R$16,$M342&lt;=$R$18),U342,0)</t>
  </si>
  <si>
    <t>=IF(AND($M342&gt;=$S$16,$M342&lt;=$S$18),U342,0)</t>
  </si>
  <si>
    <t>=IF($M342&lt;=$T$18,U342,0)</t>
  </si>
  <si>
    <t>="""NAV Direct"",""CRONUS JetCorp USA"",""21"",""1"",""333719"""</t>
  </si>
  <si>
    <t>=E341</t>
  </si>
  <si>
    <t>=StartDate-$M343+1</t>
  </si>
  <si>
    <t>=SUM(P343:T343)</t>
  </si>
  <si>
    <t>=IF($M343&gt;=$P$18,U343,0)</t>
  </si>
  <si>
    <t>=IF(AND($M343&gt;=$Q$16,$M343&lt;=$Q$18),U343,0)</t>
  </si>
  <si>
    <t>=IF(AND($M343&gt;=$R$16,$M343&lt;=$R$18),U343,0)</t>
  </si>
  <si>
    <t>=IF(AND($M343&gt;=$S$16,$M343&lt;=$S$18),U343,0)</t>
  </si>
  <si>
    <t>=IF($M343&lt;=$T$18,U343,0)</t>
  </si>
  <si>
    <t>="""NAV Direct"",""CRONUS JetCorp USA"",""21"",""1"",""333845"""</t>
  </si>
  <si>
    <t>=E342</t>
  </si>
  <si>
    <t>=StartDate-$M344+1</t>
  </si>
  <si>
    <t>=SUM(P344:T344)</t>
  </si>
  <si>
    <t>=IF($M344&gt;=$P$18,U344,0)</t>
  </si>
  <si>
    <t>=IF(AND($M344&gt;=$Q$16,$M344&lt;=$Q$18),U344,0)</t>
  </si>
  <si>
    <t>=IF(AND($M344&gt;=$R$16,$M344&lt;=$R$18),U344,0)</t>
  </si>
  <si>
    <t>=IF(AND($M344&gt;=$S$16,$M344&lt;=$S$18),U344,0)</t>
  </si>
  <si>
    <t>=IF($M344&lt;=$T$18,U344,0)</t>
  </si>
  <si>
    <t>="""NAV Direct"",""CRONUS JetCorp USA"",""21"",""1"",""333889"""</t>
  </si>
  <si>
    <t>=E343</t>
  </si>
  <si>
    <t>=StartDate-$M345+1</t>
  </si>
  <si>
    <t>=SUM(P345:T345)</t>
  </si>
  <si>
    <t>=IF($M345&gt;=$P$18,U345,0)</t>
  </si>
  <si>
    <t>=IF(AND($M345&gt;=$Q$16,$M345&lt;=$Q$18),U345,0)</t>
  </si>
  <si>
    <t>=IF(AND($M345&gt;=$R$16,$M345&lt;=$R$18),U345,0)</t>
  </si>
  <si>
    <t>=IF(AND($M345&gt;=$S$16,$M345&lt;=$S$18),U345,0)</t>
  </si>
  <si>
    <t>=IF($M345&lt;=$T$18,U345,0)</t>
  </si>
  <si>
    <t>="""NAV Direct"",""CRONUS JetCorp USA"",""21"",""1"",""333927"""</t>
  </si>
  <si>
    <t>=E344</t>
  </si>
  <si>
    <t>=StartDate-$M346+1</t>
  </si>
  <si>
    <t>=SUM(P346:T346)</t>
  </si>
  <si>
    <t>=IF($M346&gt;=$P$18,U346,0)</t>
  </si>
  <si>
    <t>=IF(AND($M346&gt;=$Q$16,$M346&lt;=$Q$18),U346,0)</t>
  </si>
  <si>
    <t>=IF(AND($M346&gt;=$R$16,$M346&lt;=$R$18),U346,0)</t>
  </si>
  <si>
    <t>=IF(AND($M346&gt;=$S$16,$M346&lt;=$S$18),U346,0)</t>
  </si>
  <si>
    <t>=IF($M346&lt;=$T$18,U346,0)</t>
  </si>
  <si>
    <t>="""NAV Direct"",""CRONUS JetCorp USA"",""21"",""1"",""333944"""</t>
  </si>
  <si>
    <t>=E345</t>
  </si>
  <si>
    <t>=StartDate-$M347+1</t>
  </si>
  <si>
    <t>=SUM(P347:T347)</t>
  </si>
  <si>
    <t>=IF($M347&gt;=$P$18,U347,0)</t>
  </si>
  <si>
    <t>=IF(AND($M347&gt;=$Q$16,$M347&lt;=$Q$18),U347,0)</t>
  </si>
  <si>
    <t>=IF(AND($M347&gt;=$R$16,$M347&lt;=$R$18),U347,0)</t>
  </si>
  <si>
    <t>=IF(AND($M347&gt;=$S$16,$M347&lt;=$S$18),U347,0)</t>
  </si>
  <si>
    <t>=IF($M347&lt;=$T$18,U347,0)</t>
  </si>
  <si>
    <t>="""NAV Direct"",""CRONUS JetCorp USA"",""21"",""1"",""334158"""</t>
  </si>
  <si>
    <t>=E346</t>
  </si>
  <si>
    <t>=StartDate-$M348+1</t>
  </si>
  <si>
    <t>=SUM(P348:T348)</t>
  </si>
  <si>
    <t>=IF($M348&gt;=$P$18,U348,0)</t>
  </si>
  <si>
    <t>=IF(AND($M348&gt;=$Q$16,$M348&lt;=$Q$18),U348,0)</t>
  </si>
  <si>
    <t>=IF(AND($M348&gt;=$R$16,$M348&lt;=$R$18),U348,0)</t>
  </si>
  <si>
    <t>=IF(AND($M348&gt;=$S$16,$M348&lt;=$S$18),U348,0)</t>
  </si>
  <si>
    <t>=IF($M348&lt;=$T$18,U348,0)</t>
  </si>
  <si>
    <t>="""NAV Direct"",""CRONUS JetCorp USA"",""21"",""1"",""334257"""</t>
  </si>
  <si>
    <t>=E347</t>
  </si>
  <si>
    <t>=StartDate-$M349+1</t>
  </si>
  <si>
    <t>=SUM(P349:T349)</t>
  </si>
  <si>
    <t>=IF($M349&gt;=$P$18,U349,0)</t>
  </si>
  <si>
    <t>=IF(AND($M349&gt;=$Q$16,$M349&lt;=$Q$18),U349,0)</t>
  </si>
  <si>
    <t>=IF(AND($M349&gt;=$R$16,$M349&lt;=$R$18),U349,0)</t>
  </si>
  <si>
    <t>=IF(AND($M349&gt;=$S$16,$M349&lt;=$S$18),U349,0)</t>
  </si>
  <si>
    <t>=IF($M349&lt;=$T$18,U349,0)</t>
  </si>
  <si>
    <t>="""NAV Direct"",""CRONUS JetCorp USA"",""21"",""1"",""334324"""</t>
  </si>
  <si>
    <t>=E348</t>
  </si>
  <si>
    <t>=StartDate-$M350+1</t>
  </si>
  <si>
    <t>=SUM(P350:T350)</t>
  </si>
  <si>
    <t>=IF($M350&gt;=$P$18,U350,0)</t>
  </si>
  <si>
    <t>=IF(AND($M350&gt;=$Q$16,$M350&lt;=$Q$18),U350,0)</t>
  </si>
  <si>
    <t>=IF(AND($M350&gt;=$R$16,$M350&lt;=$R$18),U350,0)</t>
  </si>
  <si>
    <t>=IF(AND($M350&gt;=$S$16,$M350&lt;=$S$18),U350,0)</t>
  </si>
  <si>
    <t>=IF($M350&lt;=$T$18,U350,0)</t>
  </si>
  <si>
    <t>="""NAV Direct"",""CRONUS JetCorp USA"",""21"",""1"",""334435"""</t>
  </si>
  <si>
    <t>=E349</t>
  </si>
  <si>
    <t>=StartDate-$M351+1</t>
  </si>
  <si>
    <t>=SUM(P351:T351)</t>
  </si>
  <si>
    <t>=IF($M351&gt;=$P$18,U351,0)</t>
  </si>
  <si>
    <t>=IF(AND($M351&gt;=$Q$16,$M351&lt;=$Q$18),U351,0)</t>
  </si>
  <si>
    <t>=IF(AND($M351&gt;=$R$16,$M351&lt;=$R$18),U351,0)</t>
  </si>
  <si>
    <t>=IF(AND($M351&gt;=$S$16,$M351&lt;=$S$18),U351,0)</t>
  </si>
  <si>
    <t>=IF($M351&lt;=$T$18,U351,0)</t>
  </si>
  <si>
    <t>="""NAV Direct"",""CRONUS JetCorp USA"",""21"",""1"",""334652"""</t>
  </si>
  <si>
    <t>=E350</t>
  </si>
  <si>
    <t>=StartDate-$M352+1</t>
  </si>
  <si>
    <t>=SUM(P352:T352)</t>
  </si>
  <si>
    <t>=IF($M352&gt;=$P$18,U352,0)</t>
  </si>
  <si>
    <t>=IF(AND($M352&gt;=$Q$16,$M352&lt;=$Q$18),U352,0)</t>
  </si>
  <si>
    <t>=IF(AND($M352&gt;=$R$16,$M352&lt;=$R$18),U352,0)</t>
  </si>
  <si>
    <t>=IF(AND($M352&gt;=$S$16,$M352&lt;=$S$18),U352,0)</t>
  </si>
  <si>
    <t>=IF($M352&lt;=$T$18,U352,0)</t>
  </si>
  <si>
    <t>="""NAV Direct"",""CRONUS JetCorp USA"",""21"",""1"",""334725"""</t>
  </si>
  <si>
    <t>=E351</t>
  </si>
  <si>
    <t>=StartDate-$M353+1</t>
  </si>
  <si>
    <t>=SUM(P353:T353)</t>
  </si>
  <si>
    <t>=IF($M353&gt;=$P$18,U353,0)</t>
  </si>
  <si>
    <t>=IF(AND($M353&gt;=$Q$16,$M353&lt;=$Q$18),U353,0)</t>
  </si>
  <si>
    <t>=IF(AND($M353&gt;=$R$16,$M353&lt;=$R$18),U353,0)</t>
  </si>
  <si>
    <t>=IF(AND($M353&gt;=$S$16,$M353&lt;=$S$18),U353,0)</t>
  </si>
  <si>
    <t>=IF($M353&lt;=$T$18,U353,0)</t>
  </si>
  <si>
    <t>="""NAV Direct"",""CRONUS JetCorp USA"",""21"",""1"",""334848"""</t>
  </si>
  <si>
    <t>=E352</t>
  </si>
  <si>
    <t>=StartDate-$M354+1</t>
  </si>
  <si>
    <t>=SUM(P354:T354)</t>
  </si>
  <si>
    <t>=IF($M354&gt;=$P$18,U354,0)</t>
  </si>
  <si>
    <t>=IF(AND($M354&gt;=$Q$16,$M354&lt;=$Q$18),U354,0)</t>
  </si>
  <si>
    <t>=IF(AND($M354&gt;=$R$16,$M354&lt;=$R$18),U354,0)</t>
  </si>
  <si>
    <t>=IF(AND($M354&gt;=$S$16,$M354&lt;=$S$18),U354,0)</t>
  </si>
  <si>
    <t>=IF($M354&lt;=$T$18,U354,0)</t>
  </si>
  <si>
    <t>="""NAV Direct"",""CRONUS JetCorp USA"",""21"",""1"",""433369"""</t>
  </si>
  <si>
    <t>=E353</t>
  </si>
  <si>
    <t>=StartDate-$M355+1</t>
  </si>
  <si>
    <t>=SUM(P355:T355)</t>
  </si>
  <si>
    <t>=IF($M355&gt;=$P$18,U355,0)</t>
  </si>
  <si>
    <t>=IF(AND($M355&gt;=$Q$16,$M355&lt;=$Q$18),U355,0)</t>
  </si>
  <si>
    <t>=IF(AND($M355&gt;=$R$16,$M355&lt;=$R$18),U355,0)</t>
  </si>
  <si>
    <t>=IF(AND($M355&gt;=$S$16,$M355&lt;=$S$18),U355,0)</t>
  </si>
  <si>
    <t>=IF($M355&lt;=$T$18,U355,0)</t>
  </si>
  <si>
    <t>="""NAV Direct"",""CRONUS JetCorp USA"",""21"",""1"",""433412"""</t>
  </si>
  <si>
    <t>=E354</t>
  </si>
  <si>
    <t>=StartDate-$M356+1</t>
  </si>
  <si>
    <t>=SUM(P356:T356)</t>
  </si>
  <si>
    <t>=IF($M356&gt;=$P$18,U356,0)</t>
  </si>
  <si>
    <t>=IF(AND($M356&gt;=$Q$16,$M356&lt;=$Q$18),U356,0)</t>
  </si>
  <si>
    <t>=IF(AND($M356&gt;=$R$16,$M356&lt;=$R$18),U356,0)</t>
  </si>
  <si>
    <t>=IF(AND($M356&gt;=$S$16,$M356&lt;=$S$18),U356,0)</t>
  </si>
  <si>
    <t>=IF($M356&lt;=$T$18,U356,0)</t>
  </si>
  <si>
    <t>="""NAV Direct"",""CRONUS JetCorp USA"",""18"",""1"",""C100021"""</t>
  </si>
  <si>
    <t>=H359</t>
  </si>
  <si>
    <t>=NF($C359,"1 No.")</t>
  </si>
  <si>
    <t>=NF($C359,"1 No.")&amp;"  -  "&amp;NF($C359,"2 Name")</t>
  </si>
  <si>
    <t>=IFERROR(O359/NF(C359,"Credit Limit (LCY)"),"")</t>
  </si>
  <si>
    <t>=SUBTOTAL(3,L360:L373)</t>
  </si>
  <si>
    <t>=SUBTOTAL(9,O360:O373)</t>
  </si>
  <si>
    <t>=SUBTOTAL(9,P360:P373)</t>
  </si>
  <si>
    <t>=SUBTOTAL(9,Q360:Q373)</t>
  </si>
  <si>
    <t>=SUBTOTAL(9,R360:R373)</t>
  </si>
  <si>
    <t>=SUBTOTAL(9,S360:S373)</t>
  </si>
  <si>
    <t>=SUBTOTAL(9,T360:T373)</t>
  </si>
  <si>
    <t>=C359</t>
  </si>
  <si>
    <t>=E359</t>
  </si>
  <si>
    <t>="Contact: "&amp;NF($C360,"8 Contact")</t>
  </si>
  <si>
    <t>=C360</t>
  </si>
  <si>
    <t>=E360</t>
  </si>
  <si>
    <t>=NF($C361,"102 E-Mail")</t>
  </si>
  <si>
    <t>=NL("Rows","21 Cust. Ledger Entry",,"3 Customer No.","@@"&amp;$E363,"16 Remaining Amt. (LCY)","&lt;&gt;0")</t>
  </si>
  <si>
    <t>=E361</t>
  </si>
  <si>
    <t>=StartDate-$M363+1</t>
  </si>
  <si>
    <t>=SUM(P363:T363)</t>
  </si>
  <si>
    <t>=IF($M363&gt;=$P$18,U363,0)</t>
  </si>
  <si>
    <t>=IF(AND($M363&gt;=$Q$16,$M363&lt;=$Q$18),U363,0)</t>
  </si>
  <si>
    <t>=IF(AND($M363&gt;=$R$16,$M363&lt;=$R$18),U363,0)</t>
  </si>
  <si>
    <t>=IF(AND($M363&gt;=$S$16,$M363&lt;=$S$18),U363,0)</t>
  </si>
  <si>
    <t>=IF($M363&lt;=$T$18,U363,0)</t>
  </si>
  <si>
    <t>="""NAV Direct"",""CRONUS JetCorp USA"",""21"",""1"",""101933"""</t>
  </si>
  <si>
    <t>=E362</t>
  </si>
  <si>
    <t>=StartDate-$M364+1</t>
  </si>
  <si>
    <t>=SUM(P364:T364)</t>
  </si>
  <si>
    <t>=IF($M364&gt;=$P$18,U364,0)</t>
  </si>
  <si>
    <t>=IF(AND($M364&gt;=$Q$16,$M364&lt;=$Q$18),U364,0)</t>
  </si>
  <si>
    <t>=IF(AND($M364&gt;=$R$16,$M364&lt;=$R$18),U364,0)</t>
  </si>
  <si>
    <t>=IF(AND($M364&gt;=$S$16,$M364&lt;=$S$18),U364,0)</t>
  </si>
  <si>
    <t>=IF($M364&lt;=$T$18,U364,0)</t>
  </si>
  <si>
    <t>="""NAV Direct"",""CRONUS JetCorp USA"",""21"",""1"",""380843"""</t>
  </si>
  <si>
    <t>=E363</t>
  </si>
  <si>
    <t>=StartDate-$M365+1</t>
  </si>
  <si>
    <t>=SUM(P365:T365)</t>
  </si>
  <si>
    <t>=IF($M365&gt;=$P$18,U365,0)</t>
  </si>
  <si>
    <t>=IF(AND($M365&gt;=$Q$16,$M365&lt;=$Q$18),U365,0)</t>
  </si>
  <si>
    <t>=IF(AND($M365&gt;=$R$16,$M365&lt;=$R$18),U365,0)</t>
  </si>
  <si>
    <t>=IF(AND($M365&gt;=$S$16,$M365&lt;=$S$18),U365,0)</t>
  </si>
  <si>
    <t>=IF($M365&lt;=$T$18,U365,0)</t>
  </si>
  <si>
    <t>="""NAV Direct"",""CRONUS JetCorp USA"",""21"",""1"",""380899"""</t>
  </si>
  <si>
    <t>=E364</t>
  </si>
  <si>
    <t>=StartDate-$M366+1</t>
  </si>
  <si>
    <t>=SUM(P366:T366)</t>
  </si>
  <si>
    <t>=IF($M366&gt;=$P$18,U366,0)</t>
  </si>
  <si>
    <t>=IF(AND($M366&gt;=$Q$16,$M366&lt;=$Q$18),U366,0)</t>
  </si>
  <si>
    <t>=IF(AND($M366&gt;=$R$16,$M366&lt;=$R$18),U366,0)</t>
  </si>
  <si>
    <t>=IF(AND($M366&gt;=$S$16,$M366&lt;=$S$18),U366,0)</t>
  </si>
  <si>
    <t>=IF($M366&lt;=$T$18,U366,0)</t>
  </si>
  <si>
    <t>="""NAV Direct"",""CRONUS JetCorp USA"",""21"",""1"",""381308"""</t>
  </si>
  <si>
    <t>=E365</t>
  </si>
  <si>
    <t>=StartDate-$M367+1</t>
  </si>
  <si>
    <t>=SUM(P367:T367)</t>
  </si>
  <si>
    <t>=IF($M367&gt;=$P$18,U367,0)</t>
  </si>
  <si>
    <t>=IF(AND($M367&gt;=$Q$16,$M367&lt;=$Q$18),U367,0)</t>
  </si>
  <si>
    <t>=IF(AND($M367&gt;=$R$16,$M367&lt;=$R$18),U367,0)</t>
  </si>
  <si>
    <t>=IF(AND($M367&gt;=$S$16,$M367&lt;=$S$18),U367,0)</t>
  </si>
  <si>
    <t>=IF($M367&lt;=$T$18,U367,0)</t>
  </si>
  <si>
    <t>="""NAV Direct"",""CRONUS JetCorp USA"",""21"",""1"",""381341"""</t>
  </si>
  <si>
    <t>=E366</t>
  </si>
  <si>
    <t>=StartDate-$M368+1</t>
  </si>
  <si>
    <t>=SUM(P368:T368)</t>
  </si>
  <si>
    <t>=IF($M368&gt;=$P$18,U368,0)</t>
  </si>
  <si>
    <t>=IF(AND($M368&gt;=$Q$16,$M368&lt;=$Q$18),U368,0)</t>
  </si>
  <si>
    <t>=IF(AND($M368&gt;=$R$16,$M368&lt;=$R$18),U368,0)</t>
  </si>
  <si>
    <t>=IF(AND($M368&gt;=$S$16,$M368&lt;=$S$18),U368,0)</t>
  </si>
  <si>
    <t>=IF($M368&lt;=$T$18,U368,0)</t>
  </si>
  <si>
    <t>="""NAV Direct"",""CRONUS JetCorp USA"",""21"",""1"",""381987"""</t>
  </si>
  <si>
    <t>=E367</t>
  </si>
  <si>
    <t>=StartDate-$M369+1</t>
  </si>
  <si>
    <t>=SUM(P369:T369)</t>
  </si>
  <si>
    <t>=IF($M369&gt;=$P$18,U369,0)</t>
  </si>
  <si>
    <t>=IF(AND($M369&gt;=$Q$16,$M369&lt;=$Q$18),U369,0)</t>
  </si>
  <si>
    <t>=IF(AND($M369&gt;=$R$16,$M369&lt;=$R$18),U369,0)</t>
  </si>
  <si>
    <t>=IF(AND($M369&gt;=$S$16,$M369&lt;=$S$18),U369,0)</t>
  </si>
  <si>
    <t>=IF($M369&lt;=$T$18,U369,0)</t>
  </si>
  <si>
    <t>="""NAV Direct"",""CRONUS JetCorp USA"",""21"",""1"",""382356"""</t>
  </si>
  <si>
    <t>=E368</t>
  </si>
  <si>
    <t>=StartDate-$M370+1</t>
  </si>
  <si>
    <t>=SUM(P370:T370)</t>
  </si>
  <si>
    <t>=IF($M370&gt;=$P$18,U370,0)</t>
  </si>
  <si>
    <t>=IF(AND($M370&gt;=$Q$16,$M370&lt;=$Q$18),U370,0)</t>
  </si>
  <si>
    <t>=IF(AND($M370&gt;=$R$16,$M370&lt;=$R$18),U370,0)</t>
  </si>
  <si>
    <t>=IF(AND($M370&gt;=$S$16,$M370&lt;=$S$18),U370,0)</t>
  </si>
  <si>
    <t>=IF($M370&lt;=$T$18,U370,0)</t>
  </si>
  <si>
    <t>="""NAV Direct"",""CRONUS JetCorp USA"",""21"",""1"",""382495"""</t>
  </si>
  <si>
    <t>=E369</t>
  </si>
  <si>
    <t>=StartDate-$M371+1</t>
  </si>
  <si>
    <t>=SUM(P371:T371)</t>
  </si>
  <si>
    <t>=IF($M371&gt;=$P$18,U371,0)</t>
  </si>
  <si>
    <t>=IF(AND($M371&gt;=$Q$16,$M371&lt;=$Q$18),U371,0)</t>
  </si>
  <si>
    <t>=IF(AND($M371&gt;=$R$16,$M371&lt;=$R$18),U371,0)</t>
  </si>
  <si>
    <t>=IF(AND($M371&gt;=$S$16,$M371&lt;=$S$18),U371,0)</t>
  </si>
  <si>
    <t>=IF($M371&lt;=$T$18,U371,0)</t>
  </si>
  <si>
    <t>="""NAV Direct"",""CRONUS JetCorp USA"",""21"",""1"",""383646"""</t>
  </si>
  <si>
    <t>=E370</t>
  </si>
  <si>
    <t>=StartDate-$M372+1</t>
  </si>
  <si>
    <t>=SUM(P372:T372)</t>
  </si>
  <si>
    <t>=IF($M372&gt;=$P$18,U372,0)</t>
  </si>
  <si>
    <t>=IF(AND($M372&gt;=$Q$16,$M372&lt;=$Q$18),U372,0)</t>
  </si>
  <si>
    <t>=IF(AND($M372&gt;=$R$16,$M372&lt;=$R$18),U372,0)</t>
  </si>
  <si>
    <t>=IF(AND($M372&gt;=$S$16,$M372&lt;=$S$18),U372,0)</t>
  </si>
  <si>
    <t>=IF($M372&lt;=$T$18,U372,0)</t>
  </si>
  <si>
    <t>="""NAV Direct"",""CRONUS JetCorp USA"",""18"",""1"",""C100023"""</t>
  </si>
  <si>
    <t>=H375</t>
  </si>
  <si>
    <t>=NF($C375,"1 No.")</t>
  </si>
  <si>
    <t>=NF($C375,"1 No.")&amp;"  -  "&amp;NF($C375,"2 Name")</t>
  </si>
  <si>
    <t>=IFERROR(O375/NF(C375,"Credit Limit (LCY)"),"")</t>
  </si>
  <si>
    <t>=SUBTOTAL(3,L376:L443)</t>
  </si>
  <si>
    <t>=SUBTOTAL(9,O376:O443)</t>
  </si>
  <si>
    <t>=SUBTOTAL(9,P376:P443)</t>
  </si>
  <si>
    <t>=SUBTOTAL(9,Q376:Q443)</t>
  </si>
  <si>
    <t>=SUBTOTAL(9,R376:R443)</t>
  </si>
  <si>
    <t>=SUBTOTAL(9,S376:S443)</t>
  </si>
  <si>
    <t>=SUBTOTAL(9,T376:T443)</t>
  </si>
  <si>
    <t>=C375</t>
  </si>
  <si>
    <t>=E375</t>
  </si>
  <si>
    <t>="Contact: "&amp;NF($C376,"8 Contact")</t>
  </si>
  <si>
    <t>=C376</t>
  </si>
  <si>
    <t>=E376</t>
  </si>
  <si>
    <t>=NF($C377,"102 E-Mail")</t>
  </si>
  <si>
    <t>=NL("Rows","21 Cust. Ledger Entry",,"3 Customer No.","@@"&amp;$E379,"16 Remaining Amt. (LCY)","&lt;&gt;0")</t>
  </si>
  <si>
    <t>=E377</t>
  </si>
  <si>
    <t>=StartDate-$M379+1</t>
  </si>
  <si>
    <t>=SUM(P379:T379)</t>
  </si>
  <si>
    <t>=IF($M379&gt;=$P$18,U379,0)</t>
  </si>
  <si>
    <t>=IF(AND($M379&gt;=$Q$16,$M379&lt;=$Q$18),U379,0)</t>
  </si>
  <si>
    <t>=IF(AND($M379&gt;=$R$16,$M379&lt;=$R$18),U379,0)</t>
  </si>
  <si>
    <t>=IF(AND($M379&gt;=$S$16,$M379&lt;=$S$18),U379,0)</t>
  </si>
  <si>
    <t>=IF($M379&lt;=$T$18,U379,0)</t>
  </si>
  <si>
    <t>="""NAV Direct"",""CRONUS JetCorp USA"",""21"",""1"",""29469"""</t>
  </si>
  <si>
    <t>=E378</t>
  </si>
  <si>
    <t>=StartDate-$M380+1</t>
  </si>
  <si>
    <t>=SUM(P380:T380)</t>
  </si>
  <si>
    <t>=IF($M380&gt;=$P$18,U380,0)</t>
  </si>
  <si>
    <t>=IF(AND($M380&gt;=$Q$16,$M380&lt;=$Q$18),U380,0)</t>
  </si>
  <si>
    <t>=IF(AND($M380&gt;=$R$16,$M380&lt;=$R$18),U380,0)</t>
  </si>
  <si>
    <t>=IF(AND($M380&gt;=$S$16,$M380&lt;=$S$18),U380,0)</t>
  </si>
  <si>
    <t>=IF($M380&lt;=$T$18,U380,0)</t>
  </si>
  <si>
    <t>="""NAV Direct"",""CRONUS JetCorp USA"",""21"",""1"",""29805"""</t>
  </si>
  <si>
    <t>=E379</t>
  </si>
  <si>
    <t>=StartDate-$M381+1</t>
  </si>
  <si>
    <t>=SUM(P381:T381)</t>
  </si>
  <si>
    <t>=IF($M381&gt;=$P$18,U381,0)</t>
  </si>
  <si>
    <t>=IF(AND($M381&gt;=$Q$16,$M381&lt;=$Q$18),U381,0)</t>
  </si>
  <si>
    <t>=IF(AND($M381&gt;=$R$16,$M381&lt;=$R$18),U381,0)</t>
  </si>
  <si>
    <t>=IF(AND($M381&gt;=$S$16,$M381&lt;=$S$18),U381,0)</t>
  </si>
  <si>
    <t>=IF($M381&lt;=$T$18,U381,0)</t>
  </si>
  <si>
    <t>="""NAV Direct"",""CRONUS JetCorp USA"",""21"",""1"",""320082"""</t>
  </si>
  <si>
    <t>=E380</t>
  </si>
  <si>
    <t>=StartDate-$M382+1</t>
  </si>
  <si>
    <t>=SUM(P382:T382)</t>
  </si>
  <si>
    <t>=IF($M382&gt;=$P$18,U382,0)</t>
  </si>
  <si>
    <t>=IF(AND($M382&gt;=$Q$16,$M382&lt;=$Q$18),U382,0)</t>
  </si>
  <si>
    <t>=IF(AND($M382&gt;=$R$16,$M382&lt;=$R$18),U382,0)</t>
  </si>
  <si>
    <t>=IF(AND($M382&gt;=$S$16,$M382&lt;=$S$18),U382,0)</t>
  </si>
  <si>
    <t>=IF($M382&lt;=$T$18,U382,0)</t>
  </si>
  <si>
    <t>="""NAV Direct"",""CRONUS JetCorp USA"",""21"",""1"",""320182"""</t>
  </si>
  <si>
    <t>=E381</t>
  </si>
  <si>
    <t>=StartDate-$M383+1</t>
  </si>
  <si>
    <t>=SUM(P383:T383)</t>
  </si>
  <si>
    <t>=IF($M383&gt;=$P$18,U383,0)</t>
  </si>
  <si>
    <t>=IF(AND($M383&gt;=$Q$16,$M383&lt;=$Q$18),U383,0)</t>
  </si>
  <si>
    <t>=IF(AND($M383&gt;=$R$16,$M383&lt;=$R$18),U383,0)</t>
  </si>
  <si>
    <t>=IF(AND($M383&gt;=$S$16,$M383&lt;=$S$18),U383,0)</t>
  </si>
  <si>
    <t>=IF($M383&lt;=$T$18,U383,0)</t>
  </si>
  <si>
    <t>="""NAV Direct"",""CRONUS JetCorp USA"",""21"",""1"",""320245"""</t>
  </si>
  <si>
    <t>=E382</t>
  </si>
  <si>
    <t>=StartDate-$M384+1</t>
  </si>
  <si>
    <t>=SUM(P384:T384)</t>
  </si>
  <si>
    <t>=IF($M384&gt;=$P$18,U384,0)</t>
  </si>
  <si>
    <t>=IF(AND($M384&gt;=$Q$16,$M384&lt;=$Q$18),U384,0)</t>
  </si>
  <si>
    <t>=IF(AND($M384&gt;=$R$16,$M384&lt;=$R$18),U384,0)</t>
  </si>
  <si>
    <t>=IF(AND($M384&gt;=$S$16,$M384&lt;=$S$18),U384,0)</t>
  </si>
  <si>
    <t>=IF($M384&lt;=$T$18,U384,0)</t>
  </si>
  <si>
    <t>="""NAV Direct"",""CRONUS JetCorp USA"",""21"",""1"",""320538"""</t>
  </si>
  <si>
    <t>=E383</t>
  </si>
  <si>
    <t>=StartDate-$M385+1</t>
  </si>
  <si>
    <t>=SUM(P385:T385)</t>
  </si>
  <si>
    <t>=IF($M385&gt;=$P$18,U385,0)</t>
  </si>
  <si>
    <t>=IF(AND($M385&gt;=$Q$16,$M385&lt;=$Q$18),U385,0)</t>
  </si>
  <si>
    <t>=IF(AND($M385&gt;=$R$16,$M385&lt;=$R$18),U385,0)</t>
  </si>
  <si>
    <t>=IF(AND($M385&gt;=$S$16,$M385&lt;=$S$18),U385,0)</t>
  </si>
  <si>
    <t>=IF($M385&lt;=$T$18,U385,0)</t>
  </si>
  <si>
    <t>="""NAV Direct"",""CRONUS JetCorp USA"",""21"",""1"",""320557"""</t>
  </si>
  <si>
    <t>=E384</t>
  </si>
  <si>
    <t>=StartDate-$M386+1</t>
  </si>
  <si>
    <t>=SUM(P386:T386)</t>
  </si>
  <si>
    <t>=IF($M386&gt;=$P$18,U386,0)</t>
  </si>
  <si>
    <t>=IF(AND($M386&gt;=$Q$16,$M386&lt;=$Q$18),U386,0)</t>
  </si>
  <si>
    <t>=IF(AND($M386&gt;=$R$16,$M386&lt;=$R$18),U386,0)</t>
  </si>
  <si>
    <t>=IF(AND($M386&gt;=$S$16,$M386&lt;=$S$18),U386,0)</t>
  </si>
  <si>
    <t>=IF($M386&lt;=$T$18,U386,0)</t>
  </si>
  <si>
    <t>="""NAV Direct"",""CRONUS JetCorp USA"",""21"",""1"",""320808"""</t>
  </si>
  <si>
    <t>=E385</t>
  </si>
  <si>
    <t>=StartDate-$M387+1</t>
  </si>
  <si>
    <t>=SUM(P387:T387)</t>
  </si>
  <si>
    <t>=IF($M387&gt;=$P$18,U387,0)</t>
  </si>
  <si>
    <t>=IF(AND($M387&gt;=$Q$16,$M387&lt;=$Q$18),U387,0)</t>
  </si>
  <si>
    <t>=IF(AND($M387&gt;=$R$16,$M387&lt;=$R$18),U387,0)</t>
  </si>
  <si>
    <t>=IF(AND($M387&gt;=$S$16,$M387&lt;=$S$18),U387,0)</t>
  </si>
  <si>
    <t>=IF($M387&lt;=$T$18,U387,0)</t>
  </si>
  <si>
    <t>="""NAV Direct"",""CRONUS JetCorp USA"",""21"",""1"",""320825"""</t>
  </si>
  <si>
    <t>=E386</t>
  </si>
  <si>
    <t>=StartDate-$M388+1</t>
  </si>
  <si>
    <t>=SUM(P388:T388)</t>
  </si>
  <si>
    <t>=IF($M388&gt;=$P$18,U388,0)</t>
  </si>
  <si>
    <t>=IF(AND($M388&gt;=$Q$16,$M388&lt;=$Q$18),U388,0)</t>
  </si>
  <si>
    <t>=IF(AND($M388&gt;=$R$16,$M388&lt;=$R$18),U388,0)</t>
  </si>
  <si>
    <t>=IF(AND($M388&gt;=$S$16,$M388&lt;=$S$18),U388,0)</t>
  </si>
  <si>
    <t>=IF($M388&lt;=$T$18,U388,0)</t>
  </si>
  <si>
    <t>="""NAV Direct"",""CRONUS JetCorp USA"",""21"",""1"",""320890"""</t>
  </si>
  <si>
    <t>=E387</t>
  </si>
  <si>
    <t>=StartDate-$M389+1</t>
  </si>
  <si>
    <t>=SUM(P389:T389)</t>
  </si>
  <si>
    <t>=IF($M389&gt;=$P$18,U389,0)</t>
  </si>
  <si>
    <t>=IF(AND($M389&gt;=$Q$16,$M389&lt;=$Q$18),U389,0)</t>
  </si>
  <si>
    <t>=IF(AND($M389&gt;=$R$16,$M389&lt;=$R$18),U389,0)</t>
  </si>
  <si>
    <t>=IF(AND($M389&gt;=$S$16,$M389&lt;=$S$18),U389,0)</t>
  </si>
  <si>
    <t>=IF($M389&lt;=$T$18,U389,0)</t>
  </si>
  <si>
    <t>="""NAV Direct"",""CRONUS JetCorp USA"",""21"",""1"",""320913"""</t>
  </si>
  <si>
    <t>=E388</t>
  </si>
  <si>
    <t>=StartDate-$M390+1</t>
  </si>
  <si>
    <t>=SUM(P390:T390)</t>
  </si>
  <si>
    <t>=IF($M390&gt;=$P$18,U390,0)</t>
  </si>
  <si>
    <t>=IF(AND($M390&gt;=$Q$16,$M390&lt;=$Q$18),U390,0)</t>
  </si>
  <si>
    <t>=IF(AND($M390&gt;=$R$16,$M390&lt;=$R$18),U390,0)</t>
  </si>
  <si>
    <t>=IF(AND($M390&gt;=$S$16,$M390&lt;=$S$18),U390,0)</t>
  </si>
  <si>
    <t>=IF($M390&lt;=$T$18,U390,0)</t>
  </si>
  <si>
    <t>="""NAV Direct"",""CRONUS JetCorp USA"",""21"",""1"",""320967"""</t>
  </si>
  <si>
    <t>=E389</t>
  </si>
  <si>
    <t>=StartDate-$M391+1</t>
  </si>
  <si>
    <t>=SUM(P391:T391)</t>
  </si>
  <si>
    <t>=IF($M391&gt;=$P$18,U391,0)</t>
  </si>
  <si>
    <t>=IF(AND($M391&gt;=$Q$16,$M391&lt;=$Q$18),U391,0)</t>
  </si>
  <si>
    <t>=IF(AND($M391&gt;=$R$16,$M391&lt;=$R$18),U391,0)</t>
  </si>
  <si>
    <t>=IF(AND($M391&gt;=$S$16,$M391&lt;=$S$18),U391,0)</t>
  </si>
  <si>
    <t>=IF($M391&lt;=$T$18,U391,0)</t>
  </si>
  <si>
    <t>="""NAV Direct"",""CRONUS JetCorp USA"",""21"",""1"",""321015"""</t>
  </si>
  <si>
    <t>=E390</t>
  </si>
  <si>
    <t>=StartDate-$M392+1</t>
  </si>
  <si>
    <t>=SUM(P392:T392)</t>
  </si>
  <si>
    <t>=IF($M392&gt;=$P$18,U392,0)</t>
  </si>
  <si>
    <t>=IF(AND($M392&gt;=$Q$16,$M392&lt;=$Q$18),U392,0)</t>
  </si>
  <si>
    <t>=IF(AND($M392&gt;=$R$16,$M392&lt;=$R$18),U392,0)</t>
  </si>
  <si>
    <t>=IF(AND($M392&gt;=$S$16,$M392&lt;=$S$18),U392,0)</t>
  </si>
  <si>
    <t>=IF($M392&lt;=$T$18,U392,0)</t>
  </si>
  <si>
    <t>="""NAV Direct"",""CRONUS JetCorp USA"",""21"",""1"",""321220"""</t>
  </si>
  <si>
    <t>=E391</t>
  </si>
  <si>
    <t>=StartDate-$M393+1</t>
  </si>
  <si>
    <t>=SUM(P393:T393)</t>
  </si>
  <si>
    <t>=IF($M393&gt;=$P$18,U393,0)</t>
  </si>
  <si>
    <t>=IF(AND($M393&gt;=$Q$16,$M393&lt;=$Q$18),U393,0)</t>
  </si>
  <si>
    <t>=IF(AND($M393&gt;=$R$16,$M393&lt;=$R$18),U393,0)</t>
  </si>
  <si>
    <t>=IF(AND($M393&gt;=$S$16,$M393&lt;=$S$18),U393,0)</t>
  </si>
  <si>
    <t>=IF($M393&lt;=$T$18,U393,0)</t>
  </si>
  <si>
    <t>="""NAV Direct"",""CRONUS JetCorp USA"",""21"",""1"",""321422"""</t>
  </si>
  <si>
    <t>=E392</t>
  </si>
  <si>
    <t>=StartDate-$M394+1</t>
  </si>
  <si>
    <t>=SUM(P394:T394)</t>
  </si>
  <si>
    <t>=IF($M394&gt;=$P$18,U394,0)</t>
  </si>
  <si>
    <t>=IF(AND($M394&gt;=$Q$16,$M394&lt;=$Q$18),U394,0)</t>
  </si>
  <si>
    <t>=IF(AND($M394&gt;=$R$16,$M394&lt;=$R$18),U394,0)</t>
  </si>
  <si>
    <t>=IF(AND($M394&gt;=$S$16,$M394&lt;=$S$18),U394,0)</t>
  </si>
  <si>
    <t>=IF($M394&lt;=$T$18,U394,0)</t>
  </si>
  <si>
    <t>="""NAV Direct"",""CRONUS JetCorp USA"",""21"",""1"",""321460"""</t>
  </si>
  <si>
    <t>=E393</t>
  </si>
  <si>
    <t>=StartDate-$M395+1</t>
  </si>
  <si>
    <t>=SUM(P395:T395)</t>
  </si>
  <si>
    <t>=IF($M395&gt;=$P$18,U395,0)</t>
  </si>
  <si>
    <t>=IF(AND($M395&gt;=$Q$16,$M395&lt;=$Q$18),U395,0)</t>
  </si>
  <si>
    <t>=IF(AND($M395&gt;=$R$16,$M395&lt;=$R$18),U395,0)</t>
  </si>
  <si>
    <t>=IF(AND($M395&gt;=$S$16,$M395&lt;=$S$18),U395,0)</t>
  </si>
  <si>
    <t>=IF($M395&lt;=$T$18,U395,0)</t>
  </si>
  <si>
    <t>="""NAV Direct"",""CRONUS JetCorp USA"",""21"",""1"",""321542"""</t>
  </si>
  <si>
    <t>=E394</t>
  </si>
  <si>
    <t>=StartDate-$M396+1</t>
  </si>
  <si>
    <t>=SUM(P396:T396)</t>
  </si>
  <si>
    <t>=IF($M396&gt;=$P$18,U396,0)</t>
  </si>
  <si>
    <t>=IF(AND($M396&gt;=$Q$16,$M396&lt;=$Q$18),U396,0)</t>
  </si>
  <si>
    <t>=IF(AND($M396&gt;=$R$16,$M396&lt;=$R$18),U396,0)</t>
  </si>
  <si>
    <t>=IF(AND($M396&gt;=$S$16,$M396&lt;=$S$18),U396,0)</t>
  </si>
  <si>
    <t>=IF($M396&lt;=$T$18,U396,0)</t>
  </si>
  <si>
    <t>="""NAV Direct"",""CRONUS JetCorp USA"",""21"",""1"",""321676"""</t>
  </si>
  <si>
    <t>=E395</t>
  </si>
  <si>
    <t>=StartDate-$M397+1</t>
  </si>
  <si>
    <t>=SUM(P397:T397)</t>
  </si>
  <si>
    <t>=IF($M397&gt;=$P$18,U397,0)</t>
  </si>
  <si>
    <t>=IF(AND($M397&gt;=$Q$16,$M397&lt;=$Q$18),U397,0)</t>
  </si>
  <si>
    <t>=IF(AND($M397&gt;=$R$16,$M397&lt;=$R$18),U397,0)</t>
  </si>
  <si>
    <t>=IF(AND($M397&gt;=$S$16,$M397&lt;=$S$18),U397,0)</t>
  </si>
  <si>
    <t>=IF($M397&lt;=$T$18,U397,0)</t>
  </si>
  <si>
    <t>="""NAV Direct"",""CRONUS JetCorp USA"",""21"",""1"",""321722"""</t>
  </si>
  <si>
    <t>=E396</t>
  </si>
  <si>
    <t>=StartDate-$M398+1</t>
  </si>
  <si>
    <t>=SUM(P398:T398)</t>
  </si>
  <si>
    <t>=IF($M398&gt;=$P$18,U398,0)</t>
  </si>
  <si>
    <t>=IF(AND($M398&gt;=$Q$16,$M398&lt;=$Q$18),U398,0)</t>
  </si>
  <si>
    <t>=IF(AND($M398&gt;=$R$16,$M398&lt;=$R$18),U398,0)</t>
  </si>
  <si>
    <t>=IF(AND($M398&gt;=$S$16,$M398&lt;=$S$18),U398,0)</t>
  </si>
  <si>
    <t>=IF($M398&lt;=$T$18,U398,0)</t>
  </si>
  <si>
    <t>="""NAV Direct"",""CRONUS JetCorp USA"",""21"",""1"",""321866"""</t>
  </si>
  <si>
    <t>=E397</t>
  </si>
  <si>
    <t>=StartDate-$M399+1</t>
  </si>
  <si>
    <t>=SUM(P399:T399)</t>
  </si>
  <si>
    <t>=IF($M399&gt;=$P$18,U399,0)</t>
  </si>
  <si>
    <t>=IF(AND($M399&gt;=$Q$16,$M399&lt;=$Q$18),U399,0)</t>
  </si>
  <si>
    <t>=IF(AND($M399&gt;=$R$16,$M399&lt;=$R$18),U399,0)</t>
  </si>
  <si>
    <t>=IF(AND($M399&gt;=$S$16,$M399&lt;=$S$18),U399,0)</t>
  </si>
  <si>
    <t>=IF($M399&lt;=$T$18,U399,0)</t>
  </si>
  <si>
    <t>="""NAV Direct"",""CRONUS JetCorp USA"",""21"",""1"",""321958"""</t>
  </si>
  <si>
    <t>=E398</t>
  </si>
  <si>
    <t>=StartDate-$M400+1</t>
  </si>
  <si>
    <t>=SUM(P400:T400)</t>
  </si>
  <si>
    <t>=IF($M400&gt;=$P$18,U400,0)</t>
  </si>
  <si>
    <t>=IF(AND($M400&gt;=$Q$16,$M400&lt;=$Q$18),U400,0)</t>
  </si>
  <si>
    <t>=IF(AND($M400&gt;=$R$16,$M400&lt;=$R$18),U400,0)</t>
  </si>
  <si>
    <t>=IF(AND($M400&gt;=$S$16,$M400&lt;=$S$18),U400,0)</t>
  </si>
  <si>
    <t>=IF($M400&lt;=$T$18,U400,0)</t>
  </si>
  <si>
    <t>="""NAV Direct"",""CRONUS JetCorp USA"",""21"",""1"",""322137"""</t>
  </si>
  <si>
    <t>=E399</t>
  </si>
  <si>
    <t>=StartDate-$M401+1</t>
  </si>
  <si>
    <t>=SUM(P401:T401)</t>
  </si>
  <si>
    <t>=IF($M401&gt;=$P$18,U401,0)</t>
  </si>
  <si>
    <t>=IF(AND($M401&gt;=$Q$16,$M401&lt;=$Q$18),U401,0)</t>
  </si>
  <si>
    <t>=IF(AND($M401&gt;=$R$16,$M401&lt;=$R$18),U401,0)</t>
  </si>
  <si>
    <t>=IF(AND($M401&gt;=$S$16,$M401&lt;=$S$18),U401,0)</t>
  </si>
  <si>
    <t>=IF($M401&lt;=$T$18,U401,0)</t>
  </si>
  <si>
    <t>="""NAV Direct"",""CRONUS JetCorp USA"",""21"",""1"",""322227"""</t>
  </si>
  <si>
    <t>=E400</t>
  </si>
  <si>
    <t>=StartDate-$M402+1</t>
  </si>
  <si>
    <t>=SUM(P402:T402)</t>
  </si>
  <si>
    <t>=IF($M402&gt;=$P$18,U402,0)</t>
  </si>
  <si>
    <t>=IF(AND($M402&gt;=$Q$16,$M402&lt;=$Q$18),U402,0)</t>
  </si>
  <si>
    <t>=IF(AND($M402&gt;=$R$16,$M402&lt;=$R$18),U402,0)</t>
  </si>
  <si>
    <t>=IF(AND($M402&gt;=$S$16,$M402&lt;=$S$18),U402,0)</t>
  </si>
  <si>
    <t>=IF($M402&lt;=$T$18,U402,0)</t>
  </si>
  <si>
    <t>="""NAV Direct"",""CRONUS JetCorp USA"",""21"",""1"",""322342"""</t>
  </si>
  <si>
    <t>=E401</t>
  </si>
  <si>
    <t>=StartDate-$M403+1</t>
  </si>
  <si>
    <t>=SUM(P403:T403)</t>
  </si>
  <si>
    <t>=IF($M403&gt;=$P$18,U403,0)</t>
  </si>
  <si>
    <t>=IF(AND($M403&gt;=$Q$16,$M403&lt;=$Q$18),U403,0)</t>
  </si>
  <si>
    <t>=IF(AND($M403&gt;=$R$16,$M403&lt;=$R$18),U403,0)</t>
  </si>
  <si>
    <t>=IF(AND($M403&gt;=$S$16,$M403&lt;=$S$18),U403,0)</t>
  </si>
  <si>
    <t>=IF($M403&lt;=$T$18,U403,0)</t>
  </si>
  <si>
    <t>="""NAV Direct"",""CRONUS JetCorp USA"",""21"",""1"",""322367"""</t>
  </si>
  <si>
    <t>=E402</t>
  </si>
  <si>
    <t>=StartDate-$M404+1</t>
  </si>
  <si>
    <t>=SUM(P404:T404)</t>
  </si>
  <si>
    <t>=IF($M404&gt;=$P$18,U404,0)</t>
  </si>
  <si>
    <t>=IF(AND($M404&gt;=$Q$16,$M404&lt;=$Q$18),U404,0)</t>
  </si>
  <si>
    <t>=IF(AND($M404&gt;=$R$16,$M404&lt;=$R$18),U404,0)</t>
  </si>
  <si>
    <t>=IF(AND($M404&gt;=$S$16,$M404&lt;=$S$18),U404,0)</t>
  </si>
  <si>
    <t>=IF($M404&lt;=$T$18,U404,0)</t>
  </si>
  <si>
    <t>="""NAV Direct"",""CRONUS JetCorp USA"",""21"",""1"",""322522"""</t>
  </si>
  <si>
    <t>=E403</t>
  </si>
  <si>
    <t>=StartDate-$M405+1</t>
  </si>
  <si>
    <t>=SUM(P405:T405)</t>
  </si>
  <si>
    <t>=IF($M405&gt;=$P$18,U405,0)</t>
  </si>
  <si>
    <t>=IF(AND($M405&gt;=$Q$16,$M405&lt;=$Q$18),U405,0)</t>
  </si>
  <si>
    <t>=IF(AND($M405&gt;=$R$16,$M405&lt;=$R$18),U405,0)</t>
  </si>
  <si>
    <t>=IF(AND($M405&gt;=$S$16,$M405&lt;=$S$18),U405,0)</t>
  </si>
  <si>
    <t>=IF($M405&lt;=$T$18,U405,0)</t>
  </si>
  <si>
    <t>="""NAV Direct"",""CRONUS JetCorp USA"",""21"",""1"",""322555"""</t>
  </si>
  <si>
    <t>=E404</t>
  </si>
  <si>
    <t>=StartDate-$M406+1</t>
  </si>
  <si>
    <t>=SUM(P406:T406)</t>
  </si>
  <si>
    <t>=IF($M406&gt;=$P$18,U406,0)</t>
  </si>
  <si>
    <t>=IF(AND($M406&gt;=$Q$16,$M406&lt;=$Q$18),U406,0)</t>
  </si>
  <si>
    <t>=IF(AND($M406&gt;=$R$16,$M406&lt;=$R$18),U406,0)</t>
  </si>
  <si>
    <t>=IF(AND($M406&gt;=$S$16,$M406&lt;=$S$18),U406,0)</t>
  </si>
  <si>
    <t>=IF($M406&lt;=$T$18,U406,0)</t>
  </si>
  <si>
    <t>="""NAV Direct"",""CRONUS JetCorp USA"",""21"",""1"",""322572"""</t>
  </si>
  <si>
    <t>=E405</t>
  </si>
  <si>
    <t>=StartDate-$M407+1</t>
  </si>
  <si>
    <t>=SUM(P407:T407)</t>
  </si>
  <si>
    <t>=IF($M407&gt;=$P$18,U407,0)</t>
  </si>
  <si>
    <t>=IF(AND($M407&gt;=$Q$16,$M407&lt;=$Q$18),U407,0)</t>
  </si>
  <si>
    <t>=IF(AND($M407&gt;=$R$16,$M407&lt;=$R$18),U407,0)</t>
  </si>
  <si>
    <t>=IF(AND($M407&gt;=$S$16,$M407&lt;=$S$18),U407,0)</t>
  </si>
  <si>
    <t>=IF($M407&lt;=$T$18,U407,0)</t>
  </si>
  <si>
    <t>="""NAV Direct"",""CRONUS JetCorp USA"",""21"",""1"",""322877"""</t>
  </si>
  <si>
    <t>=E406</t>
  </si>
  <si>
    <t>=StartDate-$M408+1</t>
  </si>
  <si>
    <t>=SUM(P408:T408)</t>
  </si>
  <si>
    <t>=IF($M408&gt;=$P$18,U408,0)</t>
  </si>
  <si>
    <t>=IF(AND($M408&gt;=$Q$16,$M408&lt;=$Q$18),U408,0)</t>
  </si>
  <si>
    <t>=IF(AND($M408&gt;=$R$16,$M408&lt;=$R$18),U408,0)</t>
  </si>
  <si>
    <t>=IF(AND($M408&gt;=$S$16,$M408&lt;=$S$18),U408,0)</t>
  </si>
  <si>
    <t>=IF($M408&lt;=$T$18,U408,0)</t>
  </si>
  <si>
    <t>="""NAV Direct"",""CRONUS JetCorp USA"",""21"",""1"",""322973"""</t>
  </si>
  <si>
    <t>=E407</t>
  </si>
  <si>
    <t>=StartDate-$M409+1</t>
  </si>
  <si>
    <t>=SUM(P409:T409)</t>
  </si>
  <si>
    <t>=IF($M409&gt;=$P$18,U409,0)</t>
  </si>
  <si>
    <t>=IF(AND($M409&gt;=$Q$16,$M409&lt;=$Q$18),U409,0)</t>
  </si>
  <si>
    <t>=IF(AND($M409&gt;=$R$16,$M409&lt;=$R$18),U409,0)</t>
  </si>
  <si>
    <t>=IF(AND($M409&gt;=$S$16,$M409&lt;=$S$18),U409,0)</t>
  </si>
  <si>
    <t>=IF($M409&lt;=$T$18,U409,0)</t>
  </si>
  <si>
    <t>="""NAV Direct"",""CRONUS JetCorp USA"",""21"",""1"",""323101"""</t>
  </si>
  <si>
    <t>=E408</t>
  </si>
  <si>
    <t>=StartDate-$M410+1</t>
  </si>
  <si>
    <t>=SUM(P410:T410)</t>
  </si>
  <si>
    <t>=IF($M410&gt;=$P$18,U410,0)</t>
  </si>
  <si>
    <t>=IF(AND($M410&gt;=$Q$16,$M410&lt;=$Q$18),U410,0)</t>
  </si>
  <si>
    <t>=IF(AND($M410&gt;=$R$16,$M410&lt;=$R$18),U410,0)</t>
  </si>
  <si>
    <t>=IF(AND($M410&gt;=$S$16,$M410&lt;=$S$18),U410,0)</t>
  </si>
  <si>
    <t>=IF($M410&lt;=$T$18,U410,0)</t>
  </si>
  <si>
    <t>="""NAV Direct"",""CRONUS JetCorp USA"",""21"",""1"",""323168"""</t>
  </si>
  <si>
    <t>=E409</t>
  </si>
  <si>
    <t>=StartDate-$M411+1</t>
  </si>
  <si>
    <t>=SUM(P411:T411)</t>
  </si>
  <si>
    <t>=IF($M411&gt;=$P$18,U411,0)</t>
  </si>
  <si>
    <t>=IF(AND($M411&gt;=$Q$16,$M411&lt;=$Q$18),U411,0)</t>
  </si>
  <si>
    <t>=IF(AND($M411&gt;=$R$16,$M411&lt;=$R$18),U411,0)</t>
  </si>
  <si>
    <t>=IF(AND($M411&gt;=$S$16,$M411&lt;=$S$18),U411,0)</t>
  </si>
  <si>
    <t>=IF($M411&lt;=$T$18,U411,0)</t>
  </si>
  <si>
    <t>="""NAV Direct"",""CRONUS JetCorp USA"",""21"",""1"",""323258"""</t>
  </si>
  <si>
    <t>=E410</t>
  </si>
  <si>
    <t>=StartDate-$M412+1</t>
  </si>
  <si>
    <t>=SUM(P412:T412)</t>
  </si>
  <si>
    <t>=IF($M412&gt;=$P$18,U412,0)</t>
  </si>
  <si>
    <t>=IF(AND($M412&gt;=$Q$16,$M412&lt;=$Q$18),U412,0)</t>
  </si>
  <si>
    <t>=IF(AND($M412&gt;=$R$16,$M412&lt;=$R$18),U412,0)</t>
  </si>
  <si>
    <t>=IF(AND($M412&gt;=$S$16,$M412&lt;=$S$18),U412,0)</t>
  </si>
  <si>
    <t>=IF($M412&lt;=$T$18,U412,0)</t>
  </si>
  <si>
    <t>="""NAV Direct"",""CRONUS JetCorp USA"",""21"",""1"",""323319"""</t>
  </si>
  <si>
    <t>=E411</t>
  </si>
  <si>
    <t>=StartDate-$M413+1</t>
  </si>
  <si>
    <t>=SUM(P413:T413)</t>
  </si>
  <si>
    <t>=IF($M413&gt;=$P$18,U413,0)</t>
  </si>
  <si>
    <t>=IF(AND($M413&gt;=$Q$16,$M413&lt;=$Q$18),U413,0)</t>
  </si>
  <si>
    <t>=IF(AND($M413&gt;=$R$16,$M413&lt;=$R$18),U413,0)</t>
  </si>
  <si>
    <t>=IF(AND($M413&gt;=$S$16,$M413&lt;=$S$18),U413,0)</t>
  </si>
  <si>
    <t>=IF($M413&lt;=$T$18,U413,0)</t>
  </si>
  <si>
    <t>="""NAV Direct"",""CRONUS JetCorp USA"",""21"",""1"",""323394"""</t>
  </si>
  <si>
    <t>=E412</t>
  </si>
  <si>
    <t>=StartDate-$M414+1</t>
  </si>
  <si>
    <t>=SUM(P414:T414)</t>
  </si>
  <si>
    <t>=IF($M414&gt;=$P$18,U414,0)</t>
  </si>
  <si>
    <t>=IF(AND($M414&gt;=$Q$16,$M414&lt;=$Q$18),U414,0)</t>
  </si>
  <si>
    <t>=IF(AND($M414&gt;=$R$16,$M414&lt;=$R$18),U414,0)</t>
  </si>
  <si>
    <t>=IF(AND($M414&gt;=$S$16,$M414&lt;=$S$18),U414,0)</t>
  </si>
  <si>
    <t>=IF($M414&lt;=$T$18,U414,0)</t>
  </si>
  <si>
    <t>="""NAV Direct"",""CRONUS JetCorp USA"",""21"",""1"",""323501"""</t>
  </si>
  <si>
    <t>=E413</t>
  </si>
  <si>
    <t>=StartDate-$M415+1</t>
  </si>
  <si>
    <t>=SUM(P415:T415)</t>
  </si>
  <si>
    <t>=IF($M415&gt;=$P$18,U415,0)</t>
  </si>
  <si>
    <t>=IF(AND($M415&gt;=$Q$16,$M415&lt;=$Q$18),U415,0)</t>
  </si>
  <si>
    <t>=IF(AND($M415&gt;=$R$16,$M415&lt;=$R$18),U415,0)</t>
  </si>
  <si>
    <t>=IF(AND($M415&gt;=$S$16,$M415&lt;=$S$18),U415,0)</t>
  </si>
  <si>
    <t>=IF($M415&lt;=$T$18,U415,0)</t>
  </si>
  <si>
    <t>="""NAV Direct"",""CRONUS JetCorp USA"",""21"",""1"",""323612"""</t>
  </si>
  <si>
    <t>=E414</t>
  </si>
  <si>
    <t>=StartDate-$M416+1</t>
  </si>
  <si>
    <t>=SUM(P416:T416)</t>
  </si>
  <si>
    <t>=IF($M416&gt;=$P$18,U416,0)</t>
  </si>
  <si>
    <t>=IF(AND($M416&gt;=$Q$16,$M416&lt;=$Q$18),U416,0)</t>
  </si>
  <si>
    <t>=IF(AND($M416&gt;=$R$16,$M416&lt;=$R$18),U416,0)</t>
  </si>
  <si>
    <t>=IF(AND($M416&gt;=$S$16,$M416&lt;=$S$18),U416,0)</t>
  </si>
  <si>
    <t>=IF($M416&lt;=$T$18,U416,0)</t>
  </si>
  <si>
    <t>="""NAV Direct"",""CRONUS JetCorp USA"",""21"",""1"",""323993"""</t>
  </si>
  <si>
    <t>=E415</t>
  </si>
  <si>
    <t>=StartDate-$M417+1</t>
  </si>
  <si>
    <t>=SUM(P417:T417)</t>
  </si>
  <si>
    <t>=IF($M417&gt;=$P$18,U417,0)</t>
  </si>
  <si>
    <t>=IF(AND($M417&gt;=$Q$16,$M417&lt;=$Q$18),U417,0)</t>
  </si>
  <si>
    <t>=IF(AND($M417&gt;=$R$16,$M417&lt;=$R$18),U417,0)</t>
  </si>
  <si>
    <t>=IF(AND($M417&gt;=$S$16,$M417&lt;=$S$18),U417,0)</t>
  </si>
  <si>
    <t>=IF($M417&lt;=$T$18,U417,0)</t>
  </si>
  <si>
    <t>="""NAV Direct"",""CRONUS JetCorp USA"",""21"",""1"",""324058"""</t>
  </si>
  <si>
    <t>=E416</t>
  </si>
  <si>
    <t>=StartDate-$M418+1</t>
  </si>
  <si>
    <t>=SUM(P418:T418)</t>
  </si>
  <si>
    <t>=IF($M418&gt;=$P$18,U418,0)</t>
  </si>
  <si>
    <t>=IF(AND($M418&gt;=$Q$16,$M418&lt;=$Q$18),U418,0)</t>
  </si>
  <si>
    <t>=IF(AND($M418&gt;=$R$16,$M418&lt;=$R$18),U418,0)</t>
  </si>
  <si>
    <t>=IF(AND($M418&gt;=$S$16,$M418&lt;=$S$18),U418,0)</t>
  </si>
  <si>
    <t>=IF($M418&lt;=$T$18,U418,0)</t>
  </si>
  <si>
    <t>="""NAV Direct"",""CRONUS JetCorp USA"",""21"",""1"",""324081"""</t>
  </si>
  <si>
    <t>=E417</t>
  </si>
  <si>
    <t>=StartDate-$M419+1</t>
  </si>
  <si>
    <t>=SUM(P419:T419)</t>
  </si>
  <si>
    <t>=IF($M419&gt;=$P$18,U419,0)</t>
  </si>
  <si>
    <t>=IF(AND($M419&gt;=$Q$16,$M419&lt;=$Q$18),U419,0)</t>
  </si>
  <si>
    <t>=IF(AND($M419&gt;=$R$16,$M419&lt;=$R$18),U419,0)</t>
  </si>
  <si>
    <t>=IF(AND($M419&gt;=$S$16,$M419&lt;=$S$18),U419,0)</t>
  </si>
  <si>
    <t>=IF($M419&lt;=$T$18,U419,0)</t>
  </si>
  <si>
    <t>="""NAV Direct"",""CRONUS JetCorp USA"",""21"",""1"",""324200"""</t>
  </si>
  <si>
    <t>=E418</t>
  </si>
  <si>
    <t>=StartDate-$M420+1</t>
  </si>
  <si>
    <t>=SUM(P420:T420)</t>
  </si>
  <si>
    <t>=IF($M420&gt;=$P$18,U420,0)</t>
  </si>
  <si>
    <t>=IF(AND($M420&gt;=$Q$16,$M420&lt;=$Q$18),U420,0)</t>
  </si>
  <si>
    <t>=IF(AND($M420&gt;=$R$16,$M420&lt;=$R$18),U420,0)</t>
  </si>
  <si>
    <t>=IF(AND($M420&gt;=$S$16,$M420&lt;=$S$18),U420,0)</t>
  </si>
  <si>
    <t>=IF($M420&lt;=$T$18,U420,0)</t>
  </si>
  <si>
    <t>="""NAV Direct"",""CRONUS JetCorp USA"",""21"",""1"",""324284"""</t>
  </si>
  <si>
    <t>=E419</t>
  </si>
  <si>
    <t>=StartDate-$M421+1</t>
  </si>
  <si>
    <t>=SUM(P421:T421)</t>
  </si>
  <si>
    <t>=IF($M421&gt;=$P$18,U421,0)</t>
  </si>
  <si>
    <t>=IF(AND($M421&gt;=$Q$16,$M421&lt;=$Q$18),U421,0)</t>
  </si>
  <si>
    <t>=IF(AND($M421&gt;=$R$16,$M421&lt;=$R$18),U421,0)</t>
  </si>
  <si>
    <t>=IF(AND($M421&gt;=$S$16,$M421&lt;=$S$18),U421,0)</t>
  </si>
  <si>
    <t>=IF($M421&lt;=$T$18,U421,0)</t>
  </si>
  <si>
    <t>="""NAV Direct"",""CRONUS JetCorp USA"",""21"",""1"",""324336"""</t>
  </si>
  <si>
    <t>=E420</t>
  </si>
  <si>
    <t>=StartDate-$M422+1</t>
  </si>
  <si>
    <t>=SUM(P422:T422)</t>
  </si>
  <si>
    <t>=IF($M422&gt;=$P$18,U422,0)</t>
  </si>
  <si>
    <t>=IF(AND($M422&gt;=$Q$16,$M422&lt;=$Q$18),U422,0)</t>
  </si>
  <si>
    <t>=IF(AND($M422&gt;=$R$16,$M422&lt;=$R$18),U422,0)</t>
  </si>
  <si>
    <t>=IF(AND($M422&gt;=$S$16,$M422&lt;=$S$18),U422,0)</t>
  </si>
  <si>
    <t>=IF($M422&lt;=$T$18,U422,0)</t>
  </si>
  <si>
    <t>="""NAV Direct"",""CRONUS JetCorp USA"",""21"",""1"",""324395"""</t>
  </si>
  <si>
    <t>=E421</t>
  </si>
  <si>
    <t>=StartDate-$M423+1</t>
  </si>
  <si>
    <t>=SUM(P423:T423)</t>
  </si>
  <si>
    <t>=IF($M423&gt;=$P$18,U423,0)</t>
  </si>
  <si>
    <t>=IF(AND($M423&gt;=$Q$16,$M423&lt;=$Q$18),U423,0)</t>
  </si>
  <si>
    <t>=IF(AND($M423&gt;=$R$16,$M423&lt;=$R$18),U423,0)</t>
  </si>
  <si>
    <t>=IF(AND($M423&gt;=$S$16,$M423&lt;=$S$18),U423,0)</t>
  </si>
  <si>
    <t>=IF($M423&lt;=$T$18,U423,0)</t>
  </si>
  <si>
    <t>="""NAV Direct"",""CRONUS JetCorp USA"",""21"",""1"",""324433"""</t>
  </si>
  <si>
    <t>=E422</t>
  </si>
  <si>
    <t>=StartDate-$M424+1</t>
  </si>
  <si>
    <t>=SUM(P424:T424)</t>
  </si>
  <si>
    <t>=IF($M424&gt;=$P$18,U424,0)</t>
  </si>
  <si>
    <t>=IF(AND($M424&gt;=$Q$16,$M424&lt;=$Q$18),U424,0)</t>
  </si>
  <si>
    <t>=IF(AND($M424&gt;=$R$16,$M424&lt;=$R$18),U424,0)</t>
  </si>
  <si>
    <t>=IF(AND($M424&gt;=$S$16,$M424&lt;=$S$18),U424,0)</t>
  </si>
  <si>
    <t>=IF($M424&lt;=$T$18,U424,0)</t>
  </si>
  <si>
    <t>="""NAV Direct"",""CRONUS JetCorp USA"",""21"",""1"",""324567"""</t>
  </si>
  <si>
    <t>=E423</t>
  </si>
  <si>
    <t>=StartDate-$M425+1</t>
  </si>
  <si>
    <t>=SUM(P425:T425)</t>
  </si>
  <si>
    <t>=IF($M425&gt;=$P$18,U425,0)</t>
  </si>
  <si>
    <t>=IF(AND($M425&gt;=$Q$16,$M425&lt;=$Q$18),U425,0)</t>
  </si>
  <si>
    <t>=IF(AND($M425&gt;=$R$16,$M425&lt;=$R$18),U425,0)</t>
  </si>
  <si>
    <t>=IF(AND($M425&gt;=$S$16,$M425&lt;=$S$18),U425,0)</t>
  </si>
  <si>
    <t>=IF($M425&lt;=$T$18,U425,0)</t>
  </si>
  <si>
    <t>="""NAV Direct"",""CRONUS JetCorp USA"",""21"",""1"",""324825"""</t>
  </si>
  <si>
    <t>=E424</t>
  </si>
  <si>
    <t>=StartDate-$M426+1</t>
  </si>
  <si>
    <t>=SUM(P426:T426)</t>
  </si>
  <si>
    <t>=IF($M426&gt;=$P$18,U426,0)</t>
  </si>
  <si>
    <t>=IF(AND($M426&gt;=$Q$16,$M426&lt;=$Q$18),U426,0)</t>
  </si>
  <si>
    <t>=IF(AND($M426&gt;=$R$16,$M426&lt;=$R$18),U426,0)</t>
  </si>
  <si>
    <t>=IF(AND($M426&gt;=$S$16,$M426&lt;=$S$18),U426,0)</t>
  </si>
  <si>
    <t>=IF($M426&lt;=$T$18,U426,0)</t>
  </si>
  <si>
    <t>="""NAV Direct"",""CRONUS JetCorp USA"",""21"",""1"",""324938"""</t>
  </si>
  <si>
    <t>=E425</t>
  </si>
  <si>
    <t>=StartDate-$M427+1</t>
  </si>
  <si>
    <t>=SUM(P427:T427)</t>
  </si>
  <si>
    <t>=IF($M427&gt;=$P$18,U427,0)</t>
  </si>
  <si>
    <t>=IF(AND($M427&gt;=$Q$16,$M427&lt;=$Q$18),U427,0)</t>
  </si>
  <si>
    <t>=IF(AND($M427&gt;=$R$16,$M427&lt;=$R$18),U427,0)</t>
  </si>
  <si>
    <t>=IF(AND($M427&gt;=$S$16,$M427&lt;=$S$18),U427,0)</t>
  </si>
  <si>
    <t>=IF($M427&lt;=$T$18,U427,0)</t>
  </si>
  <si>
    <t>="""NAV Direct"",""CRONUS JetCorp USA"",""21"",""1"",""325056"""</t>
  </si>
  <si>
    <t>=E426</t>
  </si>
  <si>
    <t>=StartDate-$M428+1</t>
  </si>
  <si>
    <t>=SUM(P428:T428)</t>
  </si>
  <si>
    <t>=IF($M428&gt;=$P$18,U428,0)</t>
  </si>
  <si>
    <t>=IF(AND($M428&gt;=$Q$16,$M428&lt;=$Q$18),U428,0)</t>
  </si>
  <si>
    <t>=IF(AND($M428&gt;=$R$16,$M428&lt;=$R$18),U428,0)</t>
  </si>
  <si>
    <t>=IF(AND($M428&gt;=$S$16,$M428&lt;=$S$18),U428,0)</t>
  </si>
  <si>
    <t>=IF($M428&lt;=$T$18,U428,0)</t>
  </si>
  <si>
    <t>="""NAV Direct"",""CRONUS JetCorp USA"",""21"",""1"",""325127"""</t>
  </si>
  <si>
    <t>=E427</t>
  </si>
  <si>
    <t>=StartDate-$M429+1</t>
  </si>
  <si>
    <t>=SUM(P429:T429)</t>
  </si>
  <si>
    <t>=IF($M429&gt;=$P$18,U429,0)</t>
  </si>
  <si>
    <t>=IF(AND($M429&gt;=$Q$16,$M429&lt;=$Q$18),U429,0)</t>
  </si>
  <si>
    <t>=IF(AND($M429&gt;=$R$16,$M429&lt;=$R$18),U429,0)</t>
  </si>
  <si>
    <t>=IF(AND($M429&gt;=$S$16,$M429&lt;=$S$18),U429,0)</t>
  </si>
  <si>
    <t>=IF($M429&lt;=$T$18,U429,0)</t>
  </si>
  <si>
    <t>="""NAV Direct"",""CRONUS JetCorp USA"",""21"",""1"",""325148"""</t>
  </si>
  <si>
    <t>=E428</t>
  </si>
  <si>
    <t>=StartDate-$M430+1</t>
  </si>
  <si>
    <t>=SUM(P430:T430)</t>
  </si>
  <si>
    <t>=IF($M430&gt;=$P$18,U430,0)</t>
  </si>
  <si>
    <t>=IF(AND($M430&gt;=$Q$16,$M430&lt;=$Q$18),U430,0)</t>
  </si>
  <si>
    <t>=IF(AND($M430&gt;=$R$16,$M430&lt;=$R$18),U430,0)</t>
  </si>
  <si>
    <t>=IF(AND($M430&gt;=$S$16,$M430&lt;=$S$18),U430,0)</t>
  </si>
  <si>
    <t>=IF($M430&lt;=$T$18,U430,0)</t>
  </si>
  <si>
    <t>="""NAV Direct"",""CRONUS JetCorp USA"",""21"",""1"",""325169"""</t>
  </si>
  <si>
    <t>=E429</t>
  </si>
  <si>
    <t>=StartDate-$M431+1</t>
  </si>
  <si>
    <t>=SUM(P431:T431)</t>
  </si>
  <si>
    <t>=IF($M431&gt;=$P$18,U431,0)</t>
  </si>
  <si>
    <t>=IF(AND($M431&gt;=$Q$16,$M431&lt;=$Q$18),U431,0)</t>
  </si>
  <si>
    <t>=IF(AND($M431&gt;=$R$16,$M431&lt;=$R$18),U431,0)</t>
  </si>
  <si>
    <t>=IF(AND($M431&gt;=$S$16,$M431&lt;=$S$18),U431,0)</t>
  </si>
  <si>
    <t>=IF($M431&lt;=$T$18,U431,0)</t>
  </si>
  <si>
    <t>="""NAV Direct"",""CRONUS JetCorp USA"",""21"",""1"",""325259"""</t>
  </si>
  <si>
    <t>=E430</t>
  </si>
  <si>
    <t>=StartDate-$M432+1</t>
  </si>
  <si>
    <t>=SUM(P432:T432)</t>
  </si>
  <si>
    <t>=IF($M432&gt;=$P$18,U432,0)</t>
  </si>
  <si>
    <t>=IF(AND($M432&gt;=$Q$16,$M432&lt;=$Q$18),U432,0)</t>
  </si>
  <si>
    <t>=IF(AND($M432&gt;=$R$16,$M432&lt;=$R$18),U432,0)</t>
  </si>
  <si>
    <t>=IF(AND($M432&gt;=$S$16,$M432&lt;=$S$18),U432,0)</t>
  </si>
  <si>
    <t>=IF($M432&lt;=$T$18,U432,0)</t>
  </si>
  <si>
    <t>="""NAV Direct"",""CRONUS JetCorp USA"",""21"",""1"",""431222"""</t>
  </si>
  <si>
    <t>=E431</t>
  </si>
  <si>
    <t>=StartDate-$M433+1</t>
  </si>
  <si>
    <t>=SUM(P433:T433)</t>
  </si>
  <si>
    <t>=IF($M433&gt;=$P$18,U433,0)</t>
  </si>
  <si>
    <t>=IF(AND($M433&gt;=$Q$16,$M433&lt;=$Q$18),U433,0)</t>
  </si>
  <si>
    <t>=IF(AND($M433&gt;=$R$16,$M433&lt;=$R$18),U433,0)</t>
  </si>
  <si>
    <t>=IF(AND($M433&gt;=$S$16,$M433&lt;=$S$18),U433,0)</t>
  </si>
  <si>
    <t>=IF($M433&lt;=$T$18,U433,0)</t>
  </si>
  <si>
    <t>="""NAV Direct"",""CRONUS JetCorp USA"",""21"",""1"",""431293"""</t>
  </si>
  <si>
    <t>=E432</t>
  </si>
  <si>
    <t>=StartDate-$M434+1</t>
  </si>
  <si>
    <t>=SUM(P434:T434)</t>
  </si>
  <si>
    <t>=IF($M434&gt;=$P$18,U434,0)</t>
  </si>
  <si>
    <t>=IF(AND($M434&gt;=$Q$16,$M434&lt;=$Q$18),U434,0)</t>
  </si>
  <si>
    <t>=IF(AND($M434&gt;=$R$16,$M434&lt;=$R$18),U434,0)</t>
  </si>
  <si>
    <t>=IF(AND($M434&gt;=$S$16,$M434&lt;=$S$18),U434,0)</t>
  </si>
  <si>
    <t>=IF($M434&lt;=$T$18,U434,0)</t>
  </si>
  <si>
    <t>="""NAV Direct"",""CRONUS JetCorp USA"",""21"",""1"",""431345"""</t>
  </si>
  <si>
    <t>=E433</t>
  </si>
  <si>
    <t>=StartDate-$M435+1</t>
  </si>
  <si>
    <t>=SUM(P435:T435)</t>
  </si>
  <si>
    <t>=IF($M435&gt;=$P$18,U435,0)</t>
  </si>
  <si>
    <t>=IF(AND($M435&gt;=$Q$16,$M435&lt;=$Q$18),U435,0)</t>
  </si>
  <si>
    <t>=IF(AND($M435&gt;=$R$16,$M435&lt;=$R$18),U435,0)</t>
  </si>
  <si>
    <t>=IF(AND($M435&gt;=$S$16,$M435&lt;=$S$18),U435,0)</t>
  </si>
  <si>
    <t>=IF($M435&lt;=$T$18,U435,0)</t>
  </si>
  <si>
    <t>="""NAV Direct"",""CRONUS JetCorp USA"",""21"",""1"",""431364"""</t>
  </si>
  <si>
    <t>=E434</t>
  </si>
  <si>
    <t>=StartDate-$M436+1</t>
  </si>
  <si>
    <t>=SUM(P436:T436)</t>
  </si>
  <si>
    <t>=IF($M436&gt;=$P$18,U436,0)</t>
  </si>
  <si>
    <t>=IF(AND($M436&gt;=$Q$16,$M436&lt;=$Q$18),U436,0)</t>
  </si>
  <si>
    <t>=IF(AND($M436&gt;=$R$16,$M436&lt;=$R$18),U436,0)</t>
  </si>
  <si>
    <t>=IF(AND($M436&gt;=$S$16,$M436&lt;=$S$18),U436,0)</t>
  </si>
  <si>
    <t>=IF($M436&lt;=$T$18,U436,0)</t>
  </si>
  <si>
    <t>="""NAV Direct"",""CRONUS JetCorp USA"",""21"",""1"",""431472"""</t>
  </si>
  <si>
    <t>=E435</t>
  </si>
  <si>
    <t>=StartDate-$M437+1</t>
  </si>
  <si>
    <t>=SUM(P437:T437)</t>
  </si>
  <si>
    <t>=IF($M437&gt;=$P$18,U437,0)</t>
  </si>
  <si>
    <t>=IF(AND($M437&gt;=$Q$16,$M437&lt;=$Q$18),U437,0)</t>
  </si>
  <si>
    <t>=IF(AND($M437&gt;=$R$16,$M437&lt;=$R$18),U437,0)</t>
  </si>
  <si>
    <t>=IF(AND($M437&gt;=$S$16,$M437&lt;=$S$18),U437,0)</t>
  </si>
  <si>
    <t>=IF($M437&lt;=$T$18,U437,0)</t>
  </si>
  <si>
    <t>="""NAV Direct"",""CRONUS JetCorp USA"",""21"",""1"",""431507"""</t>
  </si>
  <si>
    <t>=E436</t>
  </si>
  <si>
    <t>=StartDate-$M438+1</t>
  </si>
  <si>
    <t>=SUM(P438:T438)</t>
  </si>
  <si>
    <t>=IF($M438&gt;=$P$18,U438,0)</t>
  </si>
  <si>
    <t>=IF(AND($M438&gt;=$Q$16,$M438&lt;=$Q$18),U438,0)</t>
  </si>
  <si>
    <t>=IF(AND($M438&gt;=$R$16,$M438&lt;=$R$18),U438,0)</t>
  </si>
  <si>
    <t>=IF(AND($M438&gt;=$S$16,$M438&lt;=$S$18),U438,0)</t>
  </si>
  <si>
    <t>=IF($M438&lt;=$T$18,U438,0)</t>
  </si>
  <si>
    <t>="""NAV Direct"",""CRONUS JetCorp USA"",""21"",""1"",""431590"""</t>
  </si>
  <si>
    <t>=E437</t>
  </si>
  <si>
    <t>=StartDate-$M439+1</t>
  </si>
  <si>
    <t>=SUM(P439:T439)</t>
  </si>
  <si>
    <t>=IF($M439&gt;=$P$18,U439,0)</t>
  </si>
  <si>
    <t>=IF(AND($M439&gt;=$Q$16,$M439&lt;=$Q$18),U439,0)</t>
  </si>
  <si>
    <t>=IF(AND($M439&gt;=$R$16,$M439&lt;=$R$18),U439,0)</t>
  </si>
  <si>
    <t>=IF(AND($M439&gt;=$S$16,$M439&lt;=$S$18),U439,0)</t>
  </si>
  <si>
    <t>=IF($M439&lt;=$T$18,U439,0)</t>
  </si>
  <si>
    <t>="""NAV Direct"",""CRONUS JetCorp USA"",""21"",""1"",""431625"""</t>
  </si>
  <si>
    <t>=E438</t>
  </si>
  <si>
    <t>=StartDate-$M440+1</t>
  </si>
  <si>
    <t>=SUM(P440:T440)</t>
  </si>
  <si>
    <t>=IF($M440&gt;=$P$18,U440,0)</t>
  </si>
  <si>
    <t>=IF(AND($M440&gt;=$Q$16,$M440&lt;=$Q$18),U440,0)</t>
  </si>
  <si>
    <t>=IF(AND($M440&gt;=$R$16,$M440&lt;=$R$18),U440,0)</t>
  </si>
  <si>
    <t>=IF(AND($M440&gt;=$S$16,$M440&lt;=$S$18),U440,0)</t>
  </si>
  <si>
    <t>=IF($M440&lt;=$T$18,U440,0)</t>
  </si>
  <si>
    <t>="""NAV Direct"",""CRONUS JetCorp USA"",""21"",""1"",""431735"""</t>
  </si>
  <si>
    <t>=E439</t>
  </si>
  <si>
    <t>=StartDate-$M441+1</t>
  </si>
  <si>
    <t>=SUM(P441:T441)</t>
  </si>
  <si>
    <t>=IF($M441&gt;=$P$18,U441,0)</t>
  </si>
  <si>
    <t>=IF(AND($M441&gt;=$Q$16,$M441&lt;=$Q$18),U441,0)</t>
  </si>
  <si>
    <t>=IF(AND($M441&gt;=$R$16,$M441&lt;=$R$18),U441,0)</t>
  </si>
  <si>
    <t>=IF(AND($M441&gt;=$S$16,$M441&lt;=$S$18),U441,0)</t>
  </si>
  <si>
    <t>=IF($M441&lt;=$T$18,U441,0)</t>
  </si>
  <si>
    <t>="""NAV Direct"",""CRONUS JetCorp USA"",""21"",""1"",""431792"""</t>
  </si>
  <si>
    <t>=E440</t>
  </si>
  <si>
    <t>=StartDate-$M442+1</t>
  </si>
  <si>
    <t>=SUM(P442:T442)</t>
  </si>
  <si>
    <t>=IF($M442&gt;=$P$18,U442,0)</t>
  </si>
  <si>
    <t>=IF(AND($M442&gt;=$Q$16,$M442&lt;=$Q$18),U442,0)</t>
  </si>
  <si>
    <t>=IF(AND($M442&gt;=$R$16,$M442&lt;=$R$18),U442,0)</t>
  </si>
  <si>
    <t>=IF(AND($M442&gt;=$S$16,$M442&lt;=$S$18),U442,0)</t>
  </si>
  <si>
    <t>=IF($M442&lt;=$T$18,U442,0)</t>
  </si>
  <si>
    <t>="""NAV Direct"",""CRONUS JetCorp USA"",""18"",""1"",""C100025"""</t>
  </si>
  <si>
    <t>=H445</t>
  </si>
  <si>
    <t>=NF($C445,"1 No.")</t>
  </si>
  <si>
    <t>=NF($C445,"1 No.")&amp;"  -  "&amp;NF($C445,"2 Name")</t>
  </si>
  <si>
    <t>=IFERROR(O445/NF(C445,"Credit Limit (LCY)"),"")</t>
  </si>
  <si>
    <t>=SUBTOTAL(3,L446:L512)</t>
  </si>
  <si>
    <t>=SUBTOTAL(9,O446:O512)</t>
  </si>
  <si>
    <t>=SUBTOTAL(9,P446:P512)</t>
  </si>
  <si>
    <t>=SUBTOTAL(9,Q446:Q512)</t>
  </si>
  <si>
    <t>=SUBTOTAL(9,R446:R512)</t>
  </si>
  <si>
    <t>=SUBTOTAL(9,S446:S512)</t>
  </si>
  <si>
    <t>=SUBTOTAL(9,T446:T512)</t>
  </si>
  <si>
    <t>=C445</t>
  </si>
  <si>
    <t>=E445</t>
  </si>
  <si>
    <t>="Contact: "&amp;NF($C446,"8 Contact")</t>
  </si>
  <si>
    <t>=C446</t>
  </si>
  <si>
    <t>=E446</t>
  </si>
  <si>
    <t>=NF($C447,"102 E-Mail")</t>
  </si>
  <si>
    <t>=NL("Rows","21 Cust. Ledger Entry",,"3 Customer No.","@@"&amp;$E449,"16 Remaining Amt. (LCY)","&lt;&gt;0")</t>
  </si>
  <si>
    <t>=E447</t>
  </si>
  <si>
    <t>=StartDate-$M449+1</t>
  </si>
  <si>
    <t>=SUM(P449:T449)</t>
  </si>
  <si>
    <t>=IF($M449&gt;=$P$18,U449,0)</t>
  </si>
  <si>
    <t>=IF(AND($M449&gt;=$Q$16,$M449&lt;=$Q$18),U449,0)</t>
  </si>
  <si>
    <t>=IF(AND($M449&gt;=$R$16,$M449&lt;=$R$18),U449,0)</t>
  </si>
  <si>
    <t>=IF(AND($M449&gt;=$S$16,$M449&lt;=$S$18),U449,0)</t>
  </si>
  <si>
    <t>=IF($M449&lt;=$T$18,U449,0)</t>
  </si>
  <si>
    <t>="""NAV Direct"",""CRONUS JetCorp USA"",""21"",""1"",""335367"""</t>
  </si>
  <si>
    <t>=E448</t>
  </si>
  <si>
    <t>=StartDate-$M450+1</t>
  </si>
  <si>
    <t>=SUM(P450:T450)</t>
  </si>
  <si>
    <t>=IF($M450&gt;=$P$18,U450,0)</t>
  </si>
  <si>
    <t>=IF(AND($M450&gt;=$Q$16,$M450&lt;=$Q$18),U450,0)</t>
  </si>
  <si>
    <t>=IF(AND($M450&gt;=$R$16,$M450&lt;=$R$18),U450,0)</t>
  </si>
  <si>
    <t>=IF(AND($M450&gt;=$S$16,$M450&lt;=$S$18),U450,0)</t>
  </si>
  <si>
    <t>=IF($M450&lt;=$T$18,U450,0)</t>
  </si>
  <si>
    <t>="""NAV Direct"",""CRONUS JetCorp USA"",""21"",""1"",""335474"""</t>
  </si>
  <si>
    <t>=E449</t>
  </si>
  <si>
    <t>=StartDate-$M451+1</t>
  </si>
  <si>
    <t>=SUM(P451:T451)</t>
  </si>
  <si>
    <t>=IF($M451&gt;=$P$18,U451,0)</t>
  </si>
  <si>
    <t>=IF(AND($M451&gt;=$Q$16,$M451&lt;=$Q$18),U451,0)</t>
  </si>
  <si>
    <t>=IF(AND($M451&gt;=$R$16,$M451&lt;=$R$18),U451,0)</t>
  </si>
  <si>
    <t>=IF(AND($M451&gt;=$S$16,$M451&lt;=$S$18),U451,0)</t>
  </si>
  <si>
    <t>=IF($M451&lt;=$T$18,U451,0)</t>
  </si>
  <si>
    <t>="""NAV Direct"",""CRONUS JetCorp USA"",""21"",""1"",""336092"""</t>
  </si>
  <si>
    <t>=E450</t>
  </si>
  <si>
    <t>=StartDate-$M452+1</t>
  </si>
  <si>
    <t>=SUM(P452:T452)</t>
  </si>
  <si>
    <t>=IF($M452&gt;=$P$18,U452,0)</t>
  </si>
  <si>
    <t>=IF(AND($M452&gt;=$Q$16,$M452&lt;=$Q$18),U452,0)</t>
  </si>
  <si>
    <t>=IF(AND($M452&gt;=$R$16,$M452&lt;=$R$18),U452,0)</t>
  </si>
  <si>
    <t>=IF(AND($M452&gt;=$S$16,$M452&lt;=$S$18),U452,0)</t>
  </si>
  <si>
    <t>=IF($M452&lt;=$T$18,U452,0)</t>
  </si>
  <si>
    <t>="""NAV Direct"",""CRONUS JetCorp USA"",""21"",""1"",""336351"""</t>
  </si>
  <si>
    <t>=E451</t>
  </si>
  <si>
    <t>=StartDate-$M453+1</t>
  </si>
  <si>
    <t>=SUM(P453:T453)</t>
  </si>
  <si>
    <t>=IF($M453&gt;=$P$18,U453,0)</t>
  </si>
  <si>
    <t>=IF(AND($M453&gt;=$Q$16,$M453&lt;=$Q$18),U453,0)</t>
  </si>
  <si>
    <t>=IF(AND($M453&gt;=$R$16,$M453&lt;=$R$18),U453,0)</t>
  </si>
  <si>
    <t>=IF(AND($M453&gt;=$S$16,$M453&lt;=$S$18),U453,0)</t>
  </si>
  <si>
    <t>=IF($M453&lt;=$T$18,U453,0)</t>
  </si>
  <si>
    <t>="""NAV Direct"",""CRONUS JetCorp USA"",""21"",""1"",""336701"""</t>
  </si>
  <si>
    <t>=E452</t>
  </si>
  <si>
    <t>=StartDate-$M454+1</t>
  </si>
  <si>
    <t>=SUM(P454:T454)</t>
  </si>
  <si>
    <t>=IF($M454&gt;=$P$18,U454,0)</t>
  </si>
  <si>
    <t>=IF(AND($M454&gt;=$Q$16,$M454&lt;=$Q$18),U454,0)</t>
  </si>
  <si>
    <t>=IF(AND($M454&gt;=$R$16,$M454&lt;=$R$18),U454,0)</t>
  </si>
  <si>
    <t>=IF(AND($M454&gt;=$S$16,$M454&lt;=$S$18),U454,0)</t>
  </si>
  <si>
    <t>=IF($M454&lt;=$T$18,U454,0)</t>
  </si>
  <si>
    <t>="""NAV Direct"",""CRONUS JetCorp USA"",""21"",""1"",""337151"""</t>
  </si>
  <si>
    <t>=E453</t>
  </si>
  <si>
    <t>=StartDate-$M455+1</t>
  </si>
  <si>
    <t>=SUM(P455:T455)</t>
  </si>
  <si>
    <t>=IF($M455&gt;=$P$18,U455,0)</t>
  </si>
  <si>
    <t>=IF(AND($M455&gt;=$Q$16,$M455&lt;=$Q$18),U455,0)</t>
  </si>
  <si>
    <t>=IF(AND($M455&gt;=$R$16,$M455&lt;=$R$18),U455,0)</t>
  </si>
  <si>
    <t>=IF(AND($M455&gt;=$S$16,$M455&lt;=$S$18),U455,0)</t>
  </si>
  <si>
    <t>=IF($M455&lt;=$T$18,U455,0)</t>
  </si>
  <si>
    <t>="""NAV Direct"",""CRONUS JetCorp USA"",""21"",""1"",""337357"""</t>
  </si>
  <si>
    <t>=E454</t>
  </si>
  <si>
    <t>=StartDate-$M456+1</t>
  </si>
  <si>
    <t>=SUM(P456:T456)</t>
  </si>
  <si>
    <t>=IF($M456&gt;=$P$18,U456,0)</t>
  </si>
  <si>
    <t>=IF(AND($M456&gt;=$Q$16,$M456&lt;=$Q$18),U456,0)</t>
  </si>
  <si>
    <t>=IF(AND($M456&gt;=$R$16,$M456&lt;=$R$18),U456,0)</t>
  </si>
  <si>
    <t>=IF(AND($M456&gt;=$S$16,$M456&lt;=$S$18),U456,0)</t>
  </si>
  <si>
    <t>=IF($M456&lt;=$T$18,U456,0)</t>
  </si>
  <si>
    <t>="""NAV Direct"",""CRONUS JetCorp USA"",""21"",""1"",""337929"""</t>
  </si>
  <si>
    <t>=E455</t>
  </si>
  <si>
    <t>=StartDate-$M457+1</t>
  </si>
  <si>
    <t>=SUM(P457:T457)</t>
  </si>
  <si>
    <t>=IF($M457&gt;=$P$18,U457,0)</t>
  </si>
  <si>
    <t>=IF(AND($M457&gt;=$Q$16,$M457&lt;=$Q$18),U457,0)</t>
  </si>
  <si>
    <t>=IF(AND($M457&gt;=$R$16,$M457&lt;=$R$18),U457,0)</t>
  </si>
  <si>
    <t>=IF(AND($M457&gt;=$S$16,$M457&lt;=$S$18),U457,0)</t>
  </si>
  <si>
    <t>=IF($M457&lt;=$T$18,U457,0)</t>
  </si>
  <si>
    <t>="""NAV Direct"",""CRONUS JetCorp USA"",""21"",""1"",""337960"""</t>
  </si>
  <si>
    <t>=E456</t>
  </si>
  <si>
    <t>=StartDate-$M458+1</t>
  </si>
  <si>
    <t>=SUM(P458:T458)</t>
  </si>
  <si>
    <t>=IF($M458&gt;=$P$18,U458,0)</t>
  </si>
  <si>
    <t>=IF(AND($M458&gt;=$Q$16,$M458&lt;=$Q$18),U458,0)</t>
  </si>
  <si>
    <t>=IF(AND($M458&gt;=$R$16,$M458&lt;=$R$18),U458,0)</t>
  </si>
  <si>
    <t>=IF(AND($M458&gt;=$S$16,$M458&lt;=$S$18),U458,0)</t>
  </si>
  <si>
    <t>=IF($M458&lt;=$T$18,U458,0)</t>
  </si>
  <si>
    <t>="""NAV Direct"",""CRONUS JetCorp USA"",""21"",""1"",""338139"""</t>
  </si>
  <si>
    <t>=E457</t>
  </si>
  <si>
    <t>=StartDate-$M459+1</t>
  </si>
  <si>
    <t>=SUM(P459:T459)</t>
  </si>
  <si>
    <t>=IF($M459&gt;=$P$18,U459,0)</t>
  </si>
  <si>
    <t>=IF(AND($M459&gt;=$Q$16,$M459&lt;=$Q$18),U459,0)</t>
  </si>
  <si>
    <t>=IF(AND($M459&gt;=$R$16,$M459&lt;=$R$18),U459,0)</t>
  </si>
  <si>
    <t>=IF(AND($M459&gt;=$S$16,$M459&lt;=$S$18),U459,0)</t>
  </si>
  <si>
    <t>=IF($M459&lt;=$T$18,U459,0)</t>
  </si>
  <si>
    <t>="""NAV Direct"",""CRONUS JetCorp USA"",""21"",""1"",""338748"""</t>
  </si>
  <si>
    <t>=E458</t>
  </si>
  <si>
    <t>=StartDate-$M460+1</t>
  </si>
  <si>
    <t>=SUM(P460:T460)</t>
  </si>
  <si>
    <t>=IF($M460&gt;=$P$18,U460,0)</t>
  </si>
  <si>
    <t>=IF(AND($M460&gt;=$Q$16,$M460&lt;=$Q$18),U460,0)</t>
  </si>
  <si>
    <t>=IF(AND($M460&gt;=$R$16,$M460&lt;=$R$18),U460,0)</t>
  </si>
  <si>
    <t>=IF(AND($M460&gt;=$S$16,$M460&lt;=$S$18),U460,0)</t>
  </si>
  <si>
    <t>=IF($M460&lt;=$T$18,U460,0)</t>
  </si>
  <si>
    <t>="""NAV Direct"",""CRONUS JetCorp USA"",""21"",""1"",""338826"""</t>
  </si>
  <si>
    <t>=E459</t>
  </si>
  <si>
    <t>=StartDate-$M461+1</t>
  </si>
  <si>
    <t>=SUM(P461:T461)</t>
  </si>
  <si>
    <t>=IF($M461&gt;=$P$18,U461,0)</t>
  </si>
  <si>
    <t>=IF(AND($M461&gt;=$Q$16,$M461&lt;=$Q$18),U461,0)</t>
  </si>
  <si>
    <t>=IF(AND($M461&gt;=$R$16,$M461&lt;=$R$18),U461,0)</t>
  </si>
  <si>
    <t>=IF(AND($M461&gt;=$S$16,$M461&lt;=$S$18),U461,0)</t>
  </si>
  <si>
    <t>=IF($M461&lt;=$T$18,U461,0)</t>
  </si>
  <si>
    <t>="""NAV Direct"",""CRONUS JetCorp USA"",""21"",""1"",""338869"""</t>
  </si>
  <si>
    <t>=E460</t>
  </si>
  <si>
    <t>=StartDate-$M462+1</t>
  </si>
  <si>
    <t>=SUM(P462:T462)</t>
  </si>
  <si>
    <t>=IF($M462&gt;=$P$18,U462,0)</t>
  </si>
  <si>
    <t>=IF(AND($M462&gt;=$Q$16,$M462&lt;=$Q$18),U462,0)</t>
  </si>
  <si>
    <t>=IF(AND($M462&gt;=$R$16,$M462&lt;=$R$18),U462,0)</t>
  </si>
  <si>
    <t>=IF(AND($M462&gt;=$S$16,$M462&lt;=$S$18),U462,0)</t>
  </si>
  <si>
    <t>=IF($M462&lt;=$T$18,U462,0)</t>
  </si>
  <si>
    <t>="""NAV Direct"",""CRONUS JetCorp USA"",""21"",""1"",""339029"""</t>
  </si>
  <si>
    <t>=E461</t>
  </si>
  <si>
    <t>=StartDate-$M463+1</t>
  </si>
  <si>
    <t>=SUM(P463:T463)</t>
  </si>
  <si>
    <t>=IF($M463&gt;=$P$18,U463,0)</t>
  </si>
  <si>
    <t>=IF(AND($M463&gt;=$Q$16,$M463&lt;=$Q$18),U463,0)</t>
  </si>
  <si>
    <t>=IF(AND($M463&gt;=$R$16,$M463&lt;=$R$18),U463,0)</t>
  </si>
  <si>
    <t>=IF(AND($M463&gt;=$S$16,$M463&lt;=$S$18),U463,0)</t>
  </si>
  <si>
    <t>=IF($M463&lt;=$T$18,U463,0)</t>
  </si>
  <si>
    <t>="""NAV Direct"",""CRONUS JetCorp USA"",""21"",""1"",""339195"""</t>
  </si>
  <si>
    <t>=E462</t>
  </si>
  <si>
    <t>=StartDate-$M464+1</t>
  </si>
  <si>
    <t>=SUM(P464:T464)</t>
  </si>
  <si>
    <t>=IF($M464&gt;=$P$18,U464,0)</t>
  </si>
  <si>
    <t>=IF(AND($M464&gt;=$Q$16,$M464&lt;=$Q$18),U464,0)</t>
  </si>
  <si>
    <t>=IF(AND($M464&gt;=$R$16,$M464&lt;=$R$18),U464,0)</t>
  </si>
  <si>
    <t>=IF(AND($M464&gt;=$S$16,$M464&lt;=$S$18),U464,0)</t>
  </si>
  <si>
    <t>=IF($M464&lt;=$T$18,U464,0)</t>
  </si>
  <si>
    <t>="""NAV Direct"",""CRONUS JetCorp USA"",""21"",""1"",""339404"""</t>
  </si>
  <si>
    <t>=E463</t>
  </si>
  <si>
    <t>=StartDate-$M465+1</t>
  </si>
  <si>
    <t>=SUM(P465:T465)</t>
  </si>
  <si>
    <t>=IF($M465&gt;=$P$18,U465,0)</t>
  </si>
  <si>
    <t>=IF(AND($M465&gt;=$Q$16,$M465&lt;=$Q$18),U465,0)</t>
  </si>
  <si>
    <t>=IF(AND($M465&gt;=$R$16,$M465&lt;=$R$18),U465,0)</t>
  </si>
  <si>
    <t>=IF(AND($M465&gt;=$S$16,$M465&lt;=$S$18),U465,0)</t>
  </si>
  <si>
    <t>=IF($M465&lt;=$T$18,U465,0)</t>
  </si>
  <si>
    <t>="""NAV Direct"",""CRONUS JetCorp USA"",""21"",""1"",""339903"""</t>
  </si>
  <si>
    <t>=E464</t>
  </si>
  <si>
    <t>=StartDate-$M466+1</t>
  </si>
  <si>
    <t>=SUM(P466:T466)</t>
  </si>
  <si>
    <t>=IF($M466&gt;=$P$18,U466,0)</t>
  </si>
  <si>
    <t>=IF(AND($M466&gt;=$Q$16,$M466&lt;=$Q$18),U466,0)</t>
  </si>
  <si>
    <t>=IF(AND($M466&gt;=$R$16,$M466&lt;=$R$18),U466,0)</t>
  </si>
  <si>
    <t>=IF(AND($M466&gt;=$S$16,$M466&lt;=$S$18),U466,0)</t>
  </si>
  <si>
    <t>=IF($M466&lt;=$T$18,U466,0)</t>
  </si>
  <si>
    <t>="""NAV Direct"",""CRONUS JetCorp USA"",""21"",""1"",""339998"""</t>
  </si>
  <si>
    <t>=E465</t>
  </si>
  <si>
    <t>=StartDate-$M467+1</t>
  </si>
  <si>
    <t>=SUM(P467:T467)</t>
  </si>
  <si>
    <t>=IF($M467&gt;=$P$18,U467,0)</t>
  </si>
  <si>
    <t>=IF(AND($M467&gt;=$Q$16,$M467&lt;=$Q$18),U467,0)</t>
  </si>
  <si>
    <t>=IF(AND($M467&gt;=$R$16,$M467&lt;=$R$18),U467,0)</t>
  </si>
  <si>
    <t>=IF(AND($M467&gt;=$S$16,$M467&lt;=$S$18),U467,0)</t>
  </si>
  <si>
    <t>=IF($M467&lt;=$T$18,U467,0)</t>
  </si>
  <si>
    <t>="""NAV Direct"",""CRONUS JetCorp USA"",""21"",""1"",""340043"""</t>
  </si>
  <si>
    <t>=E466</t>
  </si>
  <si>
    <t>=StartDate-$M468+1</t>
  </si>
  <si>
    <t>=SUM(P468:T468)</t>
  </si>
  <si>
    <t>=IF($M468&gt;=$P$18,U468,0)</t>
  </si>
  <si>
    <t>=IF(AND($M468&gt;=$Q$16,$M468&lt;=$Q$18),U468,0)</t>
  </si>
  <si>
    <t>=IF(AND($M468&gt;=$R$16,$M468&lt;=$R$18),U468,0)</t>
  </si>
  <si>
    <t>=IF(AND($M468&gt;=$S$16,$M468&lt;=$S$18),U468,0)</t>
  </si>
  <si>
    <t>=IF($M468&lt;=$T$18,U468,0)</t>
  </si>
  <si>
    <t>="""NAV Direct"",""CRONUS JetCorp USA"",""21"",""1"",""340390"""</t>
  </si>
  <si>
    <t>=E467</t>
  </si>
  <si>
    <t>=StartDate-$M469+1</t>
  </si>
  <si>
    <t>=SUM(P469:T469)</t>
  </si>
  <si>
    <t>=IF($M469&gt;=$P$18,U469,0)</t>
  </si>
  <si>
    <t>=IF(AND($M469&gt;=$Q$16,$M469&lt;=$Q$18),U469,0)</t>
  </si>
  <si>
    <t>=IF(AND($M469&gt;=$R$16,$M469&lt;=$R$18),U469,0)</t>
  </si>
  <si>
    <t>=IF(AND($M469&gt;=$S$16,$M469&lt;=$S$18),U469,0)</t>
  </si>
  <si>
    <t>=IF($M469&lt;=$T$18,U469,0)</t>
  </si>
  <si>
    <t>="""NAV Direct"",""CRONUS JetCorp USA"",""21"",""1"",""340484"""</t>
  </si>
  <si>
    <t>=E468</t>
  </si>
  <si>
    <t>=StartDate-$M470+1</t>
  </si>
  <si>
    <t>=SUM(P470:T470)</t>
  </si>
  <si>
    <t>=IF($M470&gt;=$P$18,U470,0)</t>
  </si>
  <si>
    <t>=IF(AND($M470&gt;=$Q$16,$M470&lt;=$Q$18),U470,0)</t>
  </si>
  <si>
    <t>=IF(AND($M470&gt;=$R$16,$M470&lt;=$R$18),U470,0)</t>
  </si>
  <si>
    <t>=IF(AND($M470&gt;=$S$16,$M470&lt;=$S$18),U470,0)</t>
  </si>
  <si>
    <t>=IF($M470&lt;=$T$18,U470,0)</t>
  </si>
  <si>
    <t>="""NAV Direct"",""CRONUS JetCorp USA"",""21"",""1"",""340723"""</t>
  </si>
  <si>
    <t>=E469</t>
  </si>
  <si>
    <t>=StartDate-$M471+1</t>
  </si>
  <si>
    <t>=SUM(P471:T471)</t>
  </si>
  <si>
    <t>=IF($M471&gt;=$P$18,U471,0)</t>
  </si>
  <si>
    <t>=IF(AND($M471&gt;=$Q$16,$M471&lt;=$Q$18),U471,0)</t>
  </si>
  <si>
    <t>=IF(AND($M471&gt;=$R$16,$M471&lt;=$R$18),U471,0)</t>
  </si>
  <si>
    <t>=IF(AND($M471&gt;=$S$16,$M471&lt;=$S$18),U471,0)</t>
  </si>
  <si>
    <t>=IF($M471&lt;=$T$18,U471,0)</t>
  </si>
  <si>
    <t>="""NAV Direct"",""CRONUS JetCorp USA"",""21"",""1"",""340809"""</t>
  </si>
  <si>
    <t>=E470</t>
  </si>
  <si>
    <t>=StartDate-$M472+1</t>
  </si>
  <si>
    <t>=SUM(P472:T472)</t>
  </si>
  <si>
    <t>=IF($M472&gt;=$P$18,U472,0)</t>
  </si>
  <si>
    <t>=IF(AND($M472&gt;=$Q$16,$M472&lt;=$Q$18),U472,0)</t>
  </si>
  <si>
    <t>=IF(AND($M472&gt;=$R$16,$M472&lt;=$R$18),U472,0)</t>
  </si>
  <si>
    <t>=IF(AND($M472&gt;=$S$16,$M472&lt;=$S$18),U472,0)</t>
  </si>
  <si>
    <t>=IF($M472&lt;=$T$18,U472,0)</t>
  </si>
  <si>
    <t>="""NAV Direct"",""CRONUS JetCorp USA"",""21"",""1"",""340977"""</t>
  </si>
  <si>
    <t>=E471</t>
  </si>
  <si>
    <t>=StartDate-$M473+1</t>
  </si>
  <si>
    <t>=SUM(P473:T473)</t>
  </si>
  <si>
    <t>=IF($M473&gt;=$P$18,U473,0)</t>
  </si>
  <si>
    <t>=IF(AND($M473&gt;=$Q$16,$M473&lt;=$Q$18),U473,0)</t>
  </si>
  <si>
    <t>=IF(AND($M473&gt;=$R$16,$M473&lt;=$R$18),U473,0)</t>
  </si>
  <si>
    <t>=IF(AND($M473&gt;=$S$16,$M473&lt;=$S$18),U473,0)</t>
  </si>
  <si>
    <t>=IF($M473&lt;=$T$18,U473,0)</t>
  </si>
  <si>
    <t>="""NAV Direct"",""CRONUS JetCorp USA"",""21"",""1"",""341836"""</t>
  </si>
  <si>
    <t>=E472</t>
  </si>
  <si>
    <t>=StartDate-$M474+1</t>
  </si>
  <si>
    <t>=SUM(P474:T474)</t>
  </si>
  <si>
    <t>=IF($M474&gt;=$P$18,U474,0)</t>
  </si>
  <si>
    <t>=IF(AND($M474&gt;=$Q$16,$M474&lt;=$Q$18),U474,0)</t>
  </si>
  <si>
    <t>=IF(AND($M474&gt;=$R$16,$M474&lt;=$R$18),U474,0)</t>
  </si>
  <si>
    <t>=IF(AND($M474&gt;=$S$16,$M474&lt;=$S$18),U474,0)</t>
  </si>
  <si>
    <t>=IF($M474&lt;=$T$18,U474,0)</t>
  </si>
  <si>
    <t>="""NAV Direct"",""CRONUS JetCorp USA"",""21"",""1"",""341887"""</t>
  </si>
  <si>
    <t>=E473</t>
  </si>
  <si>
    <t>=StartDate-$M475+1</t>
  </si>
  <si>
    <t>=SUM(P475:T475)</t>
  </si>
  <si>
    <t>=IF($M475&gt;=$P$18,U475,0)</t>
  </si>
  <si>
    <t>=IF(AND($M475&gt;=$Q$16,$M475&lt;=$Q$18),U475,0)</t>
  </si>
  <si>
    <t>=IF(AND($M475&gt;=$R$16,$M475&lt;=$R$18),U475,0)</t>
  </si>
  <si>
    <t>=IF(AND($M475&gt;=$S$16,$M475&lt;=$S$18),U475,0)</t>
  </si>
  <si>
    <t>=IF($M475&lt;=$T$18,U475,0)</t>
  </si>
  <si>
    <t>="""NAV Direct"",""CRONUS JetCorp USA"",""21"",""1"",""341916"""</t>
  </si>
  <si>
    <t>=E474</t>
  </si>
  <si>
    <t>=StartDate-$M476+1</t>
  </si>
  <si>
    <t>=SUM(P476:T476)</t>
  </si>
  <si>
    <t>=IF($M476&gt;=$P$18,U476,0)</t>
  </si>
  <si>
    <t>=IF(AND($M476&gt;=$Q$16,$M476&lt;=$Q$18),U476,0)</t>
  </si>
  <si>
    <t>=IF(AND($M476&gt;=$R$16,$M476&lt;=$R$18),U476,0)</t>
  </si>
  <si>
    <t>=IF(AND($M476&gt;=$S$16,$M476&lt;=$S$18),U476,0)</t>
  </si>
  <si>
    <t>=IF($M476&lt;=$T$18,U476,0)</t>
  </si>
  <si>
    <t>="""NAV Direct"",""CRONUS JetCorp USA"",""21"",""1"",""342454"""</t>
  </si>
  <si>
    <t>=E475</t>
  </si>
  <si>
    <t>=StartDate-$M477+1</t>
  </si>
  <si>
    <t>=SUM(P477:T477)</t>
  </si>
  <si>
    <t>=IF($M477&gt;=$P$18,U477,0)</t>
  </si>
  <si>
    <t>=IF(AND($M477&gt;=$Q$16,$M477&lt;=$Q$18),U477,0)</t>
  </si>
  <si>
    <t>=IF(AND($M477&gt;=$R$16,$M477&lt;=$R$18),U477,0)</t>
  </si>
  <si>
    <t>=IF(AND($M477&gt;=$S$16,$M477&lt;=$S$18),U477,0)</t>
  </si>
  <si>
    <t>=IF($M477&lt;=$T$18,U477,0)</t>
  </si>
  <si>
    <t>="""NAV Direct"",""CRONUS JetCorp USA"",""21"",""1"",""342604"""</t>
  </si>
  <si>
    <t>=E476</t>
  </si>
  <si>
    <t>=StartDate-$M478+1</t>
  </si>
  <si>
    <t>=SUM(P478:T478)</t>
  </si>
  <si>
    <t>=IF($M478&gt;=$P$18,U478,0)</t>
  </si>
  <si>
    <t>=IF(AND($M478&gt;=$Q$16,$M478&lt;=$Q$18),U478,0)</t>
  </si>
  <si>
    <t>=IF(AND($M478&gt;=$R$16,$M478&lt;=$R$18),U478,0)</t>
  </si>
  <si>
    <t>=IF(AND($M478&gt;=$S$16,$M478&lt;=$S$18),U478,0)</t>
  </si>
  <si>
    <t>=IF($M478&lt;=$T$18,U478,0)</t>
  </si>
  <si>
    <t>="""NAV Direct"",""CRONUS JetCorp USA"",""21"",""1"",""342871"""</t>
  </si>
  <si>
    <t>=E477</t>
  </si>
  <si>
    <t>=StartDate-$M479+1</t>
  </si>
  <si>
    <t>=SUM(P479:T479)</t>
  </si>
  <si>
    <t>=IF($M479&gt;=$P$18,U479,0)</t>
  </si>
  <si>
    <t>=IF(AND($M479&gt;=$Q$16,$M479&lt;=$Q$18),U479,0)</t>
  </si>
  <si>
    <t>=IF(AND($M479&gt;=$R$16,$M479&lt;=$R$18),U479,0)</t>
  </si>
  <si>
    <t>=IF(AND($M479&gt;=$S$16,$M479&lt;=$S$18),U479,0)</t>
  </si>
  <si>
    <t>=IF($M479&lt;=$T$18,U479,0)</t>
  </si>
  <si>
    <t>="""NAV Direct"",""CRONUS JetCorp USA"",""21"",""1"",""343314"""</t>
  </si>
  <si>
    <t>=E478</t>
  </si>
  <si>
    <t>=StartDate-$M480+1</t>
  </si>
  <si>
    <t>=SUM(P480:T480)</t>
  </si>
  <si>
    <t>=IF($M480&gt;=$P$18,U480,0)</t>
  </si>
  <si>
    <t>=IF(AND($M480&gt;=$Q$16,$M480&lt;=$Q$18),U480,0)</t>
  </si>
  <si>
    <t>=IF(AND($M480&gt;=$R$16,$M480&lt;=$R$18),U480,0)</t>
  </si>
  <si>
    <t>=IF(AND($M480&gt;=$S$16,$M480&lt;=$S$18),U480,0)</t>
  </si>
  <si>
    <t>=IF($M480&lt;=$T$18,U480,0)</t>
  </si>
  <si>
    <t>="""NAV Direct"",""CRONUS JetCorp USA"",""21"",""1"",""344435"""</t>
  </si>
  <si>
    <t>=E479</t>
  </si>
  <si>
    <t>=StartDate-$M481+1</t>
  </si>
  <si>
    <t>=SUM(P481:T481)</t>
  </si>
  <si>
    <t>=IF($M481&gt;=$P$18,U481,0)</t>
  </si>
  <si>
    <t>=IF(AND($M481&gt;=$Q$16,$M481&lt;=$Q$18),U481,0)</t>
  </si>
  <si>
    <t>=IF(AND($M481&gt;=$R$16,$M481&lt;=$R$18),U481,0)</t>
  </si>
  <si>
    <t>=IF(AND($M481&gt;=$S$16,$M481&lt;=$S$18),U481,0)</t>
  </si>
  <si>
    <t>=IF($M481&lt;=$T$18,U481,0)</t>
  </si>
  <si>
    <t>="""NAV Direct"",""CRONUS JetCorp USA"",""21"",""1"",""344773"""</t>
  </si>
  <si>
    <t>=E480</t>
  </si>
  <si>
    <t>=StartDate-$M482+1</t>
  </si>
  <si>
    <t>=SUM(P482:T482)</t>
  </si>
  <si>
    <t>=IF($M482&gt;=$P$18,U482,0)</t>
  </si>
  <si>
    <t>=IF(AND($M482&gt;=$Q$16,$M482&lt;=$Q$18),U482,0)</t>
  </si>
  <si>
    <t>=IF(AND($M482&gt;=$R$16,$M482&lt;=$R$18),U482,0)</t>
  </si>
  <si>
    <t>=IF(AND($M482&gt;=$S$16,$M482&lt;=$S$18),U482,0)</t>
  </si>
  <si>
    <t>=IF($M482&lt;=$T$18,U482,0)</t>
  </si>
  <si>
    <t>="""NAV Direct"",""CRONUS JetCorp USA"",""21"",""1"",""345005"""</t>
  </si>
  <si>
    <t>=E481</t>
  </si>
  <si>
    <t>=StartDate-$M483+1</t>
  </si>
  <si>
    <t>=SUM(P483:T483)</t>
  </si>
  <si>
    <t>=IF($M483&gt;=$P$18,U483,0)</t>
  </si>
  <si>
    <t>=IF(AND($M483&gt;=$Q$16,$M483&lt;=$Q$18),U483,0)</t>
  </si>
  <si>
    <t>=IF(AND($M483&gt;=$R$16,$M483&lt;=$R$18),U483,0)</t>
  </si>
  <si>
    <t>=IF(AND($M483&gt;=$S$16,$M483&lt;=$S$18),U483,0)</t>
  </si>
  <si>
    <t>=IF($M483&lt;=$T$18,U483,0)</t>
  </si>
  <si>
    <t>="""NAV Direct"",""CRONUS JetCorp USA"",""21"",""1"",""346307"""</t>
  </si>
  <si>
    <t>=E482</t>
  </si>
  <si>
    <t>=StartDate-$M484+1</t>
  </si>
  <si>
    <t>=SUM(P484:T484)</t>
  </si>
  <si>
    <t>=IF($M484&gt;=$P$18,U484,0)</t>
  </si>
  <si>
    <t>=IF(AND($M484&gt;=$Q$16,$M484&lt;=$Q$18),U484,0)</t>
  </si>
  <si>
    <t>=IF(AND($M484&gt;=$R$16,$M484&lt;=$R$18),U484,0)</t>
  </si>
  <si>
    <t>=IF(AND($M484&gt;=$S$16,$M484&lt;=$S$18),U484,0)</t>
  </si>
  <si>
    <t>=IF($M484&lt;=$T$18,U484,0)</t>
  </si>
  <si>
    <t>="""NAV Direct"",""CRONUS JetCorp USA"",""21"",""1"",""347055"""</t>
  </si>
  <si>
    <t>=E483</t>
  </si>
  <si>
    <t>=StartDate-$M485+1</t>
  </si>
  <si>
    <t>=SUM(P485:T485)</t>
  </si>
  <si>
    <t>=IF($M485&gt;=$P$18,U485,0)</t>
  </si>
  <si>
    <t>=IF(AND($M485&gt;=$Q$16,$M485&lt;=$Q$18),U485,0)</t>
  </si>
  <si>
    <t>=IF(AND($M485&gt;=$R$16,$M485&lt;=$R$18),U485,0)</t>
  </si>
  <si>
    <t>=IF(AND($M485&gt;=$S$16,$M485&lt;=$S$18),U485,0)</t>
  </si>
  <si>
    <t>=IF($M485&lt;=$T$18,U485,0)</t>
  </si>
  <si>
    <t>="""NAV Direct"",""CRONUS JetCorp USA"",""21"",""1"",""347439"""</t>
  </si>
  <si>
    <t>=E484</t>
  </si>
  <si>
    <t>=StartDate-$M486+1</t>
  </si>
  <si>
    <t>=SUM(P486:T486)</t>
  </si>
  <si>
    <t>=IF($M486&gt;=$P$18,U486,0)</t>
  </si>
  <si>
    <t>=IF(AND($M486&gt;=$Q$16,$M486&lt;=$Q$18),U486,0)</t>
  </si>
  <si>
    <t>=IF(AND($M486&gt;=$R$16,$M486&lt;=$R$18),U486,0)</t>
  </si>
  <si>
    <t>=IF(AND($M486&gt;=$S$16,$M486&lt;=$S$18),U486,0)</t>
  </si>
  <si>
    <t>=IF($M486&lt;=$T$18,U486,0)</t>
  </si>
  <si>
    <t>="""NAV Direct"",""CRONUS JetCorp USA"",""21"",""1"",""347569"""</t>
  </si>
  <si>
    <t>=E485</t>
  </si>
  <si>
    <t>=StartDate-$M487+1</t>
  </si>
  <si>
    <t>=SUM(P487:T487)</t>
  </si>
  <si>
    <t>=IF($M487&gt;=$P$18,U487,0)</t>
  </si>
  <si>
    <t>=IF(AND($M487&gt;=$Q$16,$M487&lt;=$Q$18),U487,0)</t>
  </si>
  <si>
    <t>=IF(AND($M487&gt;=$R$16,$M487&lt;=$R$18),U487,0)</t>
  </si>
  <si>
    <t>=IF(AND($M487&gt;=$S$16,$M487&lt;=$S$18),U487,0)</t>
  </si>
  <si>
    <t>=IF($M487&lt;=$T$18,U487,0)</t>
  </si>
  <si>
    <t>="""NAV Direct"",""CRONUS JetCorp USA"",""21"",""1"",""347688"""</t>
  </si>
  <si>
    <t>=E486</t>
  </si>
  <si>
    <t>=StartDate-$M488+1</t>
  </si>
  <si>
    <t>=SUM(P488:T488)</t>
  </si>
  <si>
    <t>=IF($M488&gt;=$P$18,U488,0)</t>
  </si>
  <si>
    <t>=IF(AND($M488&gt;=$Q$16,$M488&lt;=$Q$18),U488,0)</t>
  </si>
  <si>
    <t>=IF(AND($M488&gt;=$R$16,$M488&lt;=$R$18),U488,0)</t>
  </si>
  <si>
    <t>=IF(AND($M488&gt;=$S$16,$M488&lt;=$S$18),U488,0)</t>
  </si>
  <si>
    <t>=IF($M488&lt;=$T$18,U488,0)</t>
  </si>
  <si>
    <t>="""NAV Direct"",""CRONUS JetCorp USA"",""21"",""1"",""347899"""</t>
  </si>
  <si>
    <t>=E487</t>
  </si>
  <si>
    <t>=StartDate-$M489+1</t>
  </si>
  <si>
    <t>=SUM(P489:T489)</t>
  </si>
  <si>
    <t>=IF($M489&gt;=$P$18,U489,0)</t>
  </si>
  <si>
    <t>=IF(AND($M489&gt;=$Q$16,$M489&lt;=$Q$18),U489,0)</t>
  </si>
  <si>
    <t>=IF(AND($M489&gt;=$R$16,$M489&lt;=$R$18),U489,0)</t>
  </si>
  <si>
    <t>=IF(AND($M489&gt;=$S$16,$M489&lt;=$S$18),U489,0)</t>
  </si>
  <si>
    <t>=IF($M489&lt;=$T$18,U489,0)</t>
  </si>
  <si>
    <t>="""NAV Direct"",""CRONUS JetCorp USA"",""21"",""1"",""348276"""</t>
  </si>
  <si>
    <t>=E488</t>
  </si>
  <si>
    <t>=StartDate-$M490+1</t>
  </si>
  <si>
    <t>=SUM(P490:T490)</t>
  </si>
  <si>
    <t>=IF($M490&gt;=$P$18,U490,0)</t>
  </si>
  <si>
    <t>=IF(AND($M490&gt;=$Q$16,$M490&lt;=$Q$18),U490,0)</t>
  </si>
  <si>
    <t>=IF(AND($M490&gt;=$R$16,$M490&lt;=$R$18),U490,0)</t>
  </si>
  <si>
    <t>=IF(AND($M490&gt;=$S$16,$M490&lt;=$S$18),U490,0)</t>
  </si>
  <si>
    <t>=IF($M490&lt;=$T$18,U490,0)</t>
  </si>
  <si>
    <t>="""NAV Direct"",""CRONUS JetCorp USA"",""21"",""1"",""348571"""</t>
  </si>
  <si>
    <t>=E489</t>
  </si>
  <si>
    <t>=StartDate-$M491+1</t>
  </si>
  <si>
    <t>=SUM(P491:T491)</t>
  </si>
  <si>
    <t>=IF($M491&gt;=$P$18,U491,0)</t>
  </si>
  <si>
    <t>=IF(AND($M491&gt;=$Q$16,$M491&lt;=$Q$18),U491,0)</t>
  </si>
  <si>
    <t>=IF(AND($M491&gt;=$R$16,$M491&lt;=$R$18),U491,0)</t>
  </si>
  <si>
    <t>=IF(AND($M491&gt;=$S$16,$M491&lt;=$S$18),U491,0)</t>
  </si>
  <si>
    <t>=IF($M491&lt;=$T$18,U491,0)</t>
  </si>
  <si>
    <t>="""NAV Direct"",""CRONUS JetCorp USA"",""21"",""1"",""348614"""</t>
  </si>
  <si>
    <t>=E490</t>
  </si>
  <si>
    <t>=StartDate-$M492+1</t>
  </si>
  <si>
    <t>=SUM(P492:T492)</t>
  </si>
  <si>
    <t>=IF($M492&gt;=$P$18,U492,0)</t>
  </si>
  <si>
    <t>=IF(AND($M492&gt;=$Q$16,$M492&lt;=$Q$18),U492,0)</t>
  </si>
  <si>
    <t>=IF(AND($M492&gt;=$R$16,$M492&lt;=$R$18),U492,0)</t>
  </si>
  <si>
    <t>=IF(AND($M492&gt;=$S$16,$M492&lt;=$S$18),U492,0)</t>
  </si>
  <si>
    <t>=IF($M492&lt;=$T$18,U492,0)</t>
  </si>
  <si>
    <t>="""NAV Direct"",""CRONUS JetCorp USA"",""21"",""1"",""348811"""</t>
  </si>
  <si>
    <t>=E491</t>
  </si>
  <si>
    <t>=StartDate-$M493+1</t>
  </si>
  <si>
    <t>=SUM(P493:T493)</t>
  </si>
  <si>
    <t>=IF($M493&gt;=$P$18,U493,0)</t>
  </si>
  <si>
    <t>=IF(AND($M493&gt;=$Q$16,$M493&lt;=$Q$18),U493,0)</t>
  </si>
  <si>
    <t>=IF(AND($M493&gt;=$R$16,$M493&lt;=$R$18),U493,0)</t>
  </si>
  <si>
    <t>=IF(AND($M493&gt;=$S$16,$M493&lt;=$S$18),U493,0)</t>
  </si>
  <si>
    <t>=IF($M493&lt;=$T$18,U493,0)</t>
  </si>
  <si>
    <t>="""NAV Direct"",""CRONUS JetCorp USA"",""21"",""1"",""349082"""</t>
  </si>
  <si>
    <t>=E492</t>
  </si>
  <si>
    <t>=StartDate-$M494+1</t>
  </si>
  <si>
    <t>=SUM(P494:T494)</t>
  </si>
  <si>
    <t>=IF($M494&gt;=$P$18,U494,0)</t>
  </si>
  <si>
    <t>=IF(AND($M494&gt;=$Q$16,$M494&lt;=$Q$18),U494,0)</t>
  </si>
  <si>
    <t>=IF(AND($M494&gt;=$R$16,$M494&lt;=$R$18),U494,0)</t>
  </si>
  <si>
    <t>=IF(AND($M494&gt;=$S$16,$M494&lt;=$S$18),U494,0)</t>
  </si>
  <si>
    <t>=IF($M494&lt;=$T$18,U494,0)</t>
  </si>
  <si>
    <t>="""NAV Direct"",""CRONUS JetCorp USA"",""21"",""1"",""349712"""</t>
  </si>
  <si>
    <t>=E493</t>
  </si>
  <si>
    <t>=StartDate-$M495+1</t>
  </si>
  <si>
    <t>=SUM(P495:T495)</t>
  </si>
  <si>
    <t>=IF($M495&gt;=$P$18,U495,0)</t>
  </si>
  <si>
    <t>=IF(AND($M495&gt;=$Q$16,$M495&lt;=$Q$18),U495,0)</t>
  </si>
  <si>
    <t>=IF(AND($M495&gt;=$R$16,$M495&lt;=$R$18),U495,0)</t>
  </si>
  <si>
    <t>=IF(AND($M495&gt;=$S$16,$M495&lt;=$S$18),U495,0)</t>
  </si>
  <si>
    <t>=IF($M495&lt;=$T$18,U495,0)</t>
  </si>
  <si>
    <t>="""NAV Direct"",""CRONUS JetCorp USA"",""21"",""1"",""349804"""</t>
  </si>
  <si>
    <t>=E494</t>
  </si>
  <si>
    <t>=StartDate-$M496+1</t>
  </si>
  <si>
    <t>=SUM(P496:T496)</t>
  </si>
  <si>
    <t>=IF($M496&gt;=$P$18,U496,0)</t>
  </si>
  <si>
    <t>=IF(AND($M496&gt;=$Q$16,$M496&lt;=$Q$18),U496,0)</t>
  </si>
  <si>
    <t>=IF(AND($M496&gt;=$R$16,$M496&lt;=$R$18),U496,0)</t>
  </si>
  <si>
    <t>=IF(AND($M496&gt;=$S$16,$M496&lt;=$S$18),U496,0)</t>
  </si>
  <si>
    <t>=IF($M496&lt;=$T$18,U496,0)</t>
  </si>
  <si>
    <t>="""NAV Direct"",""CRONUS JetCorp USA"",""21"",""1"",""349968"""</t>
  </si>
  <si>
    <t>=E495</t>
  </si>
  <si>
    <t>=StartDate-$M497+1</t>
  </si>
  <si>
    <t>=SUM(P497:T497)</t>
  </si>
  <si>
    <t>=IF($M497&gt;=$P$18,U497,0)</t>
  </si>
  <si>
    <t>=IF(AND($M497&gt;=$Q$16,$M497&lt;=$Q$18),U497,0)</t>
  </si>
  <si>
    <t>=IF(AND($M497&gt;=$R$16,$M497&lt;=$R$18),U497,0)</t>
  </si>
  <si>
    <t>=IF(AND($M497&gt;=$S$16,$M497&lt;=$S$18),U497,0)</t>
  </si>
  <si>
    <t>=IF($M497&lt;=$T$18,U497,0)</t>
  </si>
  <si>
    <t>="""NAV Direct"",""CRONUS JetCorp USA"",""21"",""1"",""350542"""</t>
  </si>
  <si>
    <t>=E496</t>
  </si>
  <si>
    <t>=StartDate-$M498+1</t>
  </si>
  <si>
    <t>=SUM(P498:T498)</t>
  </si>
  <si>
    <t>=IF($M498&gt;=$P$18,U498,0)</t>
  </si>
  <si>
    <t>=IF(AND($M498&gt;=$Q$16,$M498&lt;=$Q$18),U498,0)</t>
  </si>
  <si>
    <t>=IF(AND($M498&gt;=$R$16,$M498&lt;=$R$18),U498,0)</t>
  </si>
  <si>
    <t>=IF(AND($M498&gt;=$S$16,$M498&lt;=$S$18),U498,0)</t>
  </si>
  <si>
    <t>=IF($M498&lt;=$T$18,U498,0)</t>
  </si>
  <si>
    <t>="""NAV Direct"",""CRONUS JetCorp USA"",""21"",""1"",""350700"""</t>
  </si>
  <si>
    <t>=E497</t>
  </si>
  <si>
    <t>=StartDate-$M499+1</t>
  </si>
  <si>
    <t>=SUM(P499:T499)</t>
  </si>
  <si>
    <t>=IF($M499&gt;=$P$18,U499,0)</t>
  </si>
  <si>
    <t>=IF(AND($M499&gt;=$Q$16,$M499&lt;=$Q$18),U499,0)</t>
  </si>
  <si>
    <t>=IF(AND($M499&gt;=$R$16,$M499&lt;=$R$18),U499,0)</t>
  </si>
  <si>
    <t>=IF(AND($M499&gt;=$S$16,$M499&lt;=$S$18),U499,0)</t>
  </si>
  <si>
    <t>=IF($M499&lt;=$T$18,U499,0)</t>
  </si>
  <si>
    <t>="""NAV Direct"",""CRONUS JetCorp USA"",""21"",""1"",""351150"""</t>
  </si>
  <si>
    <t>=E498</t>
  </si>
  <si>
    <t>=StartDate-$M500+1</t>
  </si>
  <si>
    <t>=SUM(P500:T500)</t>
  </si>
  <si>
    <t>=IF($M500&gt;=$P$18,U500,0)</t>
  </si>
  <si>
    <t>=IF(AND($M500&gt;=$Q$16,$M500&lt;=$Q$18),U500,0)</t>
  </si>
  <si>
    <t>=IF(AND($M500&gt;=$R$16,$M500&lt;=$R$18),U500,0)</t>
  </si>
  <si>
    <t>=IF(AND($M500&gt;=$S$16,$M500&lt;=$S$18),U500,0)</t>
  </si>
  <si>
    <t>=IF($M500&lt;=$T$18,U500,0)</t>
  </si>
  <si>
    <t>="""NAV Direct"",""CRONUS JetCorp USA"",""21"",""1"",""351373"""</t>
  </si>
  <si>
    <t>=E499</t>
  </si>
  <si>
    <t>=StartDate-$M501+1</t>
  </si>
  <si>
    <t>=SUM(P501:T501)</t>
  </si>
  <si>
    <t>=IF($M501&gt;=$P$18,U501,0)</t>
  </si>
  <si>
    <t>=IF(AND($M501&gt;=$Q$16,$M501&lt;=$Q$18),U501,0)</t>
  </si>
  <si>
    <t>=IF(AND($M501&gt;=$R$16,$M501&lt;=$R$18),U501,0)</t>
  </si>
  <si>
    <t>=IF(AND($M501&gt;=$S$16,$M501&lt;=$S$18),U501,0)</t>
  </si>
  <si>
    <t>=IF($M501&lt;=$T$18,U501,0)</t>
  </si>
  <si>
    <t>="""NAV Direct"",""CRONUS JetCorp USA"",""21"",""1"",""351416"""</t>
  </si>
  <si>
    <t>=E500</t>
  </si>
  <si>
    <t>=StartDate-$M502+1</t>
  </si>
  <si>
    <t>=SUM(P502:T502)</t>
  </si>
  <si>
    <t>=IF($M502&gt;=$P$18,U502,0)</t>
  </si>
  <si>
    <t>=IF(AND($M502&gt;=$Q$16,$M502&lt;=$Q$18),U502,0)</t>
  </si>
  <si>
    <t>=IF(AND($M502&gt;=$R$16,$M502&lt;=$R$18),U502,0)</t>
  </si>
  <si>
    <t>=IF(AND($M502&gt;=$S$16,$M502&lt;=$S$18),U502,0)</t>
  </si>
  <si>
    <t>=IF($M502&lt;=$T$18,U502,0)</t>
  </si>
  <si>
    <t>="""NAV Direct"",""CRONUS JetCorp USA"",""21"",""1"",""351705"""</t>
  </si>
  <si>
    <t>=E501</t>
  </si>
  <si>
    <t>=StartDate-$M503+1</t>
  </si>
  <si>
    <t>=SUM(P503:T503)</t>
  </si>
  <si>
    <t>=IF($M503&gt;=$P$18,U503,0)</t>
  </si>
  <si>
    <t>=IF(AND($M503&gt;=$Q$16,$M503&lt;=$Q$18),U503,0)</t>
  </si>
  <si>
    <t>=IF(AND($M503&gt;=$R$16,$M503&lt;=$R$18),U503,0)</t>
  </si>
  <si>
    <t>=IF(AND($M503&gt;=$S$16,$M503&lt;=$S$18),U503,0)</t>
  </si>
  <si>
    <t>=IF($M503&lt;=$T$18,U503,0)</t>
  </si>
  <si>
    <t>="""NAV Direct"",""CRONUS JetCorp USA"",""21"",""1"",""433600"""</t>
  </si>
  <si>
    <t>=E502</t>
  </si>
  <si>
    <t>=StartDate-$M504+1</t>
  </si>
  <si>
    <t>=SUM(P504:T504)</t>
  </si>
  <si>
    <t>=IF($M504&gt;=$P$18,U504,0)</t>
  </si>
  <si>
    <t>=IF(AND($M504&gt;=$Q$16,$M504&lt;=$Q$18),U504,0)</t>
  </si>
  <si>
    <t>=IF(AND($M504&gt;=$R$16,$M504&lt;=$R$18),U504,0)</t>
  </si>
  <si>
    <t>=IF(AND($M504&gt;=$S$16,$M504&lt;=$S$18),U504,0)</t>
  </si>
  <si>
    <t>=IF($M504&lt;=$T$18,U504,0)</t>
  </si>
  <si>
    <t>="""NAV Direct"",""CRONUS JetCorp USA"",""21"",""1"",""433679"""</t>
  </si>
  <si>
    <t>=E503</t>
  </si>
  <si>
    <t>=StartDate-$M505+1</t>
  </si>
  <si>
    <t>=SUM(P505:T505)</t>
  </si>
  <si>
    <t>=IF($M505&gt;=$P$18,U505,0)</t>
  </si>
  <si>
    <t>=IF(AND($M505&gt;=$Q$16,$M505&lt;=$Q$18),U505,0)</t>
  </si>
  <si>
    <t>=IF(AND($M505&gt;=$R$16,$M505&lt;=$R$18),U505,0)</t>
  </si>
  <si>
    <t>=IF(AND($M505&gt;=$S$16,$M505&lt;=$S$18),U505,0)</t>
  </si>
  <si>
    <t>=IF($M505&lt;=$T$18,U505,0)</t>
  </si>
  <si>
    <t>="""NAV Direct"",""CRONUS JetCorp USA"",""21"",""1"",""433801"""</t>
  </si>
  <si>
    <t>=E504</t>
  </si>
  <si>
    <t>=StartDate-$M506+1</t>
  </si>
  <si>
    <t>=SUM(P506:T506)</t>
  </si>
  <si>
    <t>=IF($M506&gt;=$P$18,U506,0)</t>
  </si>
  <si>
    <t>=IF(AND($M506&gt;=$Q$16,$M506&lt;=$Q$18),U506,0)</t>
  </si>
  <si>
    <t>=IF(AND($M506&gt;=$R$16,$M506&lt;=$R$18),U506,0)</t>
  </si>
  <si>
    <t>=IF(AND($M506&gt;=$S$16,$M506&lt;=$S$18),U506,0)</t>
  </si>
  <si>
    <t>=IF($M506&lt;=$T$18,U506,0)</t>
  </si>
  <si>
    <t>="""NAV Direct"",""CRONUS JetCorp USA"",""21"",""1"",""433959"""</t>
  </si>
  <si>
    <t>=E505</t>
  </si>
  <si>
    <t>=StartDate-$M507+1</t>
  </si>
  <si>
    <t>=SUM(P507:T507)</t>
  </si>
  <si>
    <t>=IF($M507&gt;=$P$18,U507,0)</t>
  </si>
  <si>
    <t>=IF(AND($M507&gt;=$Q$16,$M507&lt;=$Q$18),U507,0)</t>
  </si>
  <si>
    <t>=IF(AND($M507&gt;=$R$16,$M507&lt;=$R$18),U507,0)</t>
  </si>
  <si>
    <t>=IF(AND($M507&gt;=$S$16,$M507&lt;=$S$18),U507,0)</t>
  </si>
  <si>
    <t>=IF($M507&lt;=$T$18,U507,0)</t>
  </si>
  <si>
    <t>="""NAV Direct"",""CRONUS JetCorp USA"",""21"",""1"",""434094"""</t>
  </si>
  <si>
    <t>=E506</t>
  </si>
  <si>
    <t>=StartDate-$M508+1</t>
  </si>
  <si>
    <t>=SUM(P508:T508)</t>
  </si>
  <si>
    <t>=IF($M508&gt;=$P$18,U508,0)</t>
  </si>
  <si>
    <t>=IF(AND($M508&gt;=$Q$16,$M508&lt;=$Q$18),U508,0)</t>
  </si>
  <si>
    <t>=IF(AND($M508&gt;=$R$16,$M508&lt;=$R$18),U508,0)</t>
  </si>
  <si>
    <t>=IF(AND($M508&gt;=$S$16,$M508&lt;=$S$18),U508,0)</t>
  </si>
  <si>
    <t>=IF($M508&lt;=$T$18,U508,0)</t>
  </si>
  <si>
    <t>="""NAV Direct"",""CRONUS JetCorp USA"",""21"",""1"",""434162"""</t>
  </si>
  <si>
    <t>=E507</t>
  </si>
  <si>
    <t>=StartDate-$M509+1</t>
  </si>
  <si>
    <t>=SUM(P509:T509)</t>
  </si>
  <si>
    <t>=IF($M509&gt;=$P$18,U509,0)</t>
  </si>
  <si>
    <t>=IF(AND($M509&gt;=$Q$16,$M509&lt;=$Q$18),U509,0)</t>
  </si>
  <si>
    <t>=IF(AND($M509&gt;=$R$16,$M509&lt;=$R$18),U509,0)</t>
  </si>
  <si>
    <t>=IF(AND($M509&gt;=$S$16,$M509&lt;=$S$18),U509,0)</t>
  </si>
  <si>
    <t>=IF($M509&lt;=$T$18,U509,0)</t>
  </si>
  <si>
    <t>="""NAV Direct"",""CRONUS JetCorp USA"",""21"",""1"",""434183"""</t>
  </si>
  <si>
    <t>=E508</t>
  </si>
  <si>
    <t>=StartDate-$M510+1</t>
  </si>
  <si>
    <t>=SUM(P510:T510)</t>
  </si>
  <si>
    <t>=IF($M510&gt;=$P$18,U510,0)</t>
  </si>
  <si>
    <t>=IF(AND($M510&gt;=$Q$16,$M510&lt;=$Q$18),U510,0)</t>
  </si>
  <si>
    <t>=IF(AND($M510&gt;=$R$16,$M510&lt;=$R$18),U510,0)</t>
  </si>
  <si>
    <t>=IF(AND($M510&gt;=$S$16,$M510&lt;=$S$18),U510,0)</t>
  </si>
  <si>
    <t>=IF($M510&lt;=$T$18,U510,0)</t>
  </si>
  <si>
    <t>="""NAV Direct"",""CRONUS JetCorp USA"",""21"",""1"",""434269"""</t>
  </si>
  <si>
    <t>=E509</t>
  </si>
  <si>
    <t>=StartDate-$M511+1</t>
  </si>
  <si>
    <t>=SUM(P511:T511)</t>
  </si>
  <si>
    <t>=IF($M511&gt;=$P$18,U511,0)</t>
  </si>
  <si>
    <t>=IF(AND($M511&gt;=$Q$16,$M511&lt;=$Q$18),U511,0)</t>
  </si>
  <si>
    <t>=IF(AND($M511&gt;=$R$16,$M511&lt;=$R$18),U511,0)</t>
  </si>
  <si>
    <t>=IF(AND($M511&gt;=$S$16,$M511&lt;=$S$18),U511,0)</t>
  </si>
  <si>
    <t>=IF($M511&lt;=$T$18,U511,0)</t>
  </si>
  <si>
    <t>="""NAV Direct"",""CRONUS JetCorp USA"",""18"",""1"",""C100026"""</t>
  </si>
  <si>
    <t>=H514</t>
  </si>
  <si>
    <t>=NF($C514,"1 No.")</t>
  </si>
  <si>
    <t>=NF($C514,"1 No.")&amp;"  -  "&amp;NF($C514,"2 Name")</t>
  </si>
  <si>
    <t>=IFERROR(O514/NF(C514,"Credit Limit (LCY)"),"")</t>
  </si>
  <si>
    <t>=SUBTOTAL(3,L515:L561)</t>
  </si>
  <si>
    <t>=SUBTOTAL(9,O515:O561)</t>
  </si>
  <si>
    <t>=SUBTOTAL(9,P515:P561)</t>
  </si>
  <si>
    <t>=SUBTOTAL(9,Q515:Q561)</t>
  </si>
  <si>
    <t>=SUBTOTAL(9,R515:R561)</t>
  </si>
  <si>
    <t>=SUBTOTAL(9,S515:S561)</t>
  </si>
  <si>
    <t>=SUBTOTAL(9,T515:T561)</t>
  </si>
  <si>
    <t>=C514</t>
  </si>
  <si>
    <t>=E514</t>
  </si>
  <si>
    <t>="Contact: "&amp;NF($C515,"8 Contact")</t>
  </si>
  <si>
    <t>=C515</t>
  </si>
  <si>
    <t>=E515</t>
  </si>
  <si>
    <t>=NF($C516,"102 E-Mail")</t>
  </si>
  <si>
    <t>=NL("Rows","21 Cust. Ledger Entry",,"3 Customer No.","@@"&amp;$E518,"16 Remaining Amt. (LCY)","&lt;&gt;0")</t>
  </si>
  <si>
    <t>=E516</t>
  </si>
  <si>
    <t>=StartDate-$M518+1</t>
  </si>
  <si>
    <t>=SUM(P518:T518)</t>
  </si>
  <si>
    <t>=IF($M518&gt;=$P$18,U518,0)</t>
  </si>
  <si>
    <t>=IF(AND($M518&gt;=$Q$16,$M518&lt;=$Q$18),U518,0)</t>
  </si>
  <si>
    <t>=IF(AND($M518&gt;=$R$16,$M518&lt;=$R$18),U518,0)</t>
  </si>
  <si>
    <t>=IF(AND($M518&gt;=$S$16,$M518&lt;=$S$18),U518,0)</t>
  </si>
  <si>
    <t>=IF($M518&lt;=$T$18,U518,0)</t>
  </si>
  <si>
    <t>="""NAV Direct"",""CRONUS JetCorp USA"",""21"",""1"",""93916"""</t>
  </si>
  <si>
    <t>=E517</t>
  </si>
  <si>
    <t>=StartDate-$M519+1</t>
  </si>
  <si>
    <t>=SUM(P519:T519)</t>
  </si>
  <si>
    <t>=IF($M519&gt;=$P$18,U519,0)</t>
  </si>
  <si>
    <t>=IF(AND($M519&gt;=$Q$16,$M519&lt;=$Q$18),U519,0)</t>
  </si>
  <si>
    <t>=IF(AND($M519&gt;=$R$16,$M519&lt;=$R$18),U519,0)</t>
  </si>
  <si>
    <t>=IF(AND($M519&gt;=$S$16,$M519&lt;=$S$18),U519,0)</t>
  </si>
  <si>
    <t>=IF($M519&lt;=$T$18,U519,0)</t>
  </si>
  <si>
    <t>=E518</t>
  </si>
  <si>
    <t>=StartDate-$M520+1</t>
  </si>
  <si>
    <t>=SUM(P520:T520)</t>
  </si>
  <si>
    <t>=IF($M520&gt;=$P$18,U520,0)</t>
  </si>
  <si>
    <t>=IF(AND($M520&gt;=$Q$16,$M520&lt;=$Q$18),U520,0)</t>
  </si>
  <si>
    <t>=IF(AND($M520&gt;=$R$16,$M520&lt;=$R$18),U520,0)</t>
  </si>
  <si>
    <t>=IF(AND($M520&gt;=$S$16,$M520&lt;=$S$18),U520,0)</t>
  </si>
  <si>
    <t>=IF($M520&lt;=$T$18,U520,0)</t>
  </si>
  <si>
    <t>="""NAV Direct"",""CRONUS JetCorp USA"",""21"",""1"",""371258"""</t>
  </si>
  <si>
    <t>=E519</t>
  </si>
  <si>
    <t>=StartDate-$M521+1</t>
  </si>
  <si>
    <t>=SUM(P521:T521)</t>
  </si>
  <si>
    <t>=IF($M521&gt;=$P$18,U521,0)</t>
  </si>
  <si>
    <t>=IF(AND($M521&gt;=$Q$16,$M521&lt;=$Q$18),U521,0)</t>
  </si>
  <si>
    <t>=IF(AND($M521&gt;=$R$16,$M521&lt;=$R$18),U521,0)</t>
  </si>
  <si>
    <t>=IF(AND($M521&gt;=$S$16,$M521&lt;=$S$18),U521,0)</t>
  </si>
  <si>
    <t>=IF($M521&lt;=$T$18,U521,0)</t>
  </si>
  <si>
    <t>="""NAV Direct"",""CRONUS JetCorp USA"",""21"",""1"",""371448"""</t>
  </si>
  <si>
    <t>=E520</t>
  </si>
  <si>
    <t>=StartDate-$M522+1</t>
  </si>
  <si>
    <t>=SUM(P522:T522)</t>
  </si>
  <si>
    <t>=IF($M522&gt;=$P$18,U522,0)</t>
  </si>
  <si>
    <t>=IF(AND($M522&gt;=$Q$16,$M522&lt;=$Q$18),U522,0)</t>
  </si>
  <si>
    <t>=IF(AND($M522&gt;=$R$16,$M522&lt;=$R$18),U522,0)</t>
  </si>
  <si>
    <t>=IF(AND($M522&gt;=$S$16,$M522&lt;=$S$18),U522,0)</t>
  </si>
  <si>
    <t>=IF($M522&lt;=$T$18,U522,0)</t>
  </si>
  <si>
    <t>="""NAV Direct"",""CRONUS JetCorp USA"",""21"",""1"",""371604"""</t>
  </si>
  <si>
    <t>=E521</t>
  </si>
  <si>
    <t>=StartDate-$M523+1</t>
  </si>
  <si>
    <t>=SUM(P523:T523)</t>
  </si>
  <si>
    <t>=IF($M523&gt;=$P$18,U523,0)</t>
  </si>
  <si>
    <t>=IF(AND($M523&gt;=$Q$16,$M523&lt;=$Q$18),U523,0)</t>
  </si>
  <si>
    <t>=IF(AND($M523&gt;=$R$16,$M523&lt;=$R$18),U523,0)</t>
  </si>
  <si>
    <t>=IF(AND($M523&gt;=$S$16,$M523&lt;=$S$18),U523,0)</t>
  </si>
  <si>
    <t>=IF($M523&lt;=$T$18,U523,0)</t>
  </si>
  <si>
    <t>="""NAV Direct"",""CRONUS JetCorp USA"",""21"",""1"",""371789"""</t>
  </si>
  <si>
    <t>=E522</t>
  </si>
  <si>
    <t>=StartDate-$M524+1</t>
  </si>
  <si>
    <t>=SUM(P524:T524)</t>
  </si>
  <si>
    <t>=IF($M524&gt;=$P$18,U524,0)</t>
  </si>
  <si>
    <t>=IF(AND($M524&gt;=$Q$16,$M524&lt;=$Q$18),U524,0)</t>
  </si>
  <si>
    <t>=IF(AND($M524&gt;=$R$16,$M524&lt;=$R$18),U524,0)</t>
  </si>
  <si>
    <t>=IF(AND($M524&gt;=$S$16,$M524&lt;=$S$18),U524,0)</t>
  </si>
  <si>
    <t>=IF($M524&lt;=$T$18,U524,0)</t>
  </si>
  <si>
    <t>="""NAV Direct"",""CRONUS JetCorp USA"",""21"",""1"",""371916"""</t>
  </si>
  <si>
    <t>=E523</t>
  </si>
  <si>
    <t>=StartDate-$M525+1</t>
  </si>
  <si>
    <t>=SUM(P525:T525)</t>
  </si>
  <si>
    <t>=IF($M525&gt;=$P$18,U525,0)</t>
  </si>
  <si>
    <t>=IF(AND($M525&gt;=$Q$16,$M525&lt;=$Q$18),U525,0)</t>
  </si>
  <si>
    <t>=IF(AND($M525&gt;=$R$16,$M525&lt;=$R$18),U525,0)</t>
  </si>
  <si>
    <t>=IF(AND($M525&gt;=$S$16,$M525&lt;=$S$18),U525,0)</t>
  </si>
  <si>
    <t>=IF($M525&lt;=$T$18,U525,0)</t>
  </si>
  <si>
    <t>="""NAV Direct"",""CRONUS JetCorp USA"",""21"",""1"",""372288"""</t>
  </si>
  <si>
    <t>=E524</t>
  </si>
  <si>
    <t>=StartDate-$M526+1</t>
  </si>
  <si>
    <t>=SUM(P526:T526)</t>
  </si>
  <si>
    <t>=IF($M526&gt;=$P$18,U526,0)</t>
  </si>
  <si>
    <t>=IF(AND($M526&gt;=$Q$16,$M526&lt;=$Q$18),U526,0)</t>
  </si>
  <si>
    <t>=IF(AND($M526&gt;=$R$16,$M526&lt;=$R$18),U526,0)</t>
  </si>
  <si>
    <t>=IF(AND($M526&gt;=$S$16,$M526&lt;=$S$18),U526,0)</t>
  </si>
  <si>
    <t>=IF($M526&lt;=$T$18,U526,0)</t>
  </si>
  <si>
    <t>="""NAV Direct"",""CRONUS JetCorp USA"",""21"",""1"",""372704"""</t>
  </si>
  <si>
    <t>=E525</t>
  </si>
  <si>
    <t>=StartDate-$M527+1</t>
  </si>
  <si>
    <t>=SUM(P527:T527)</t>
  </si>
  <si>
    <t>=IF($M527&gt;=$P$18,U527,0)</t>
  </si>
  <si>
    <t>=IF(AND($M527&gt;=$Q$16,$M527&lt;=$Q$18),U527,0)</t>
  </si>
  <si>
    <t>=IF(AND($M527&gt;=$R$16,$M527&lt;=$R$18),U527,0)</t>
  </si>
  <si>
    <t>=IF(AND($M527&gt;=$S$16,$M527&lt;=$S$18),U527,0)</t>
  </si>
  <si>
    <t>=IF($M527&lt;=$T$18,U527,0)</t>
  </si>
  <si>
    <t>="""NAV Direct"",""CRONUS JetCorp USA"",""21"",""1"",""372914"""</t>
  </si>
  <si>
    <t>=E526</t>
  </si>
  <si>
    <t>=StartDate-$M528+1</t>
  </si>
  <si>
    <t>=SUM(P528:T528)</t>
  </si>
  <si>
    <t>=IF($M528&gt;=$P$18,U528,0)</t>
  </si>
  <si>
    <t>=IF(AND($M528&gt;=$Q$16,$M528&lt;=$Q$18),U528,0)</t>
  </si>
  <si>
    <t>=IF(AND($M528&gt;=$R$16,$M528&lt;=$R$18),U528,0)</t>
  </si>
  <si>
    <t>=IF(AND($M528&gt;=$S$16,$M528&lt;=$S$18),U528,0)</t>
  </si>
  <si>
    <t>=IF($M528&lt;=$T$18,U528,0)</t>
  </si>
  <si>
    <t>="""NAV Direct"",""CRONUS JetCorp USA"",""21"",""1"",""373183"""</t>
  </si>
  <si>
    <t>=E527</t>
  </si>
  <si>
    <t>=StartDate-$M529+1</t>
  </si>
  <si>
    <t>=SUM(P529:T529)</t>
  </si>
  <si>
    <t>=IF($M529&gt;=$P$18,U529,0)</t>
  </si>
  <si>
    <t>=IF(AND($M529&gt;=$Q$16,$M529&lt;=$Q$18),U529,0)</t>
  </si>
  <si>
    <t>=IF(AND($M529&gt;=$R$16,$M529&lt;=$R$18),U529,0)</t>
  </si>
  <si>
    <t>=IF(AND($M529&gt;=$S$16,$M529&lt;=$S$18),U529,0)</t>
  </si>
  <si>
    <t>=IF($M529&lt;=$T$18,U529,0)</t>
  </si>
  <si>
    <t>="""NAV Direct"",""CRONUS JetCorp USA"",""21"",""1"",""373224"""</t>
  </si>
  <si>
    <t>=E528</t>
  </si>
  <si>
    <t>=StartDate-$M530+1</t>
  </si>
  <si>
    <t>=SUM(P530:T530)</t>
  </si>
  <si>
    <t>=IF($M530&gt;=$P$18,U530,0)</t>
  </si>
  <si>
    <t>=IF(AND($M530&gt;=$Q$16,$M530&lt;=$Q$18),U530,0)</t>
  </si>
  <si>
    <t>=IF(AND($M530&gt;=$R$16,$M530&lt;=$R$18),U530,0)</t>
  </si>
  <si>
    <t>=IF(AND($M530&gt;=$S$16,$M530&lt;=$S$18),U530,0)</t>
  </si>
  <si>
    <t>=IF($M530&lt;=$T$18,U530,0)</t>
  </si>
  <si>
    <t>="""NAV Direct"",""CRONUS JetCorp USA"",""21"",""1"",""373549"""</t>
  </si>
  <si>
    <t>=E529</t>
  </si>
  <si>
    <t>=StartDate-$M531+1</t>
  </si>
  <si>
    <t>=SUM(P531:T531)</t>
  </si>
  <si>
    <t>=IF($M531&gt;=$P$18,U531,0)</t>
  </si>
  <si>
    <t>=IF(AND($M531&gt;=$Q$16,$M531&lt;=$Q$18),U531,0)</t>
  </si>
  <si>
    <t>=IF(AND($M531&gt;=$R$16,$M531&lt;=$R$18),U531,0)</t>
  </si>
  <si>
    <t>=IF(AND($M531&gt;=$S$16,$M531&lt;=$S$18),U531,0)</t>
  </si>
  <si>
    <t>=IF($M531&lt;=$T$18,U531,0)</t>
  </si>
  <si>
    <t>="""NAV Direct"",""CRONUS JetCorp USA"",""21"",""1"",""373627"""</t>
  </si>
  <si>
    <t>=E530</t>
  </si>
  <si>
    <t>=StartDate-$M532+1</t>
  </si>
  <si>
    <t>=SUM(P532:T532)</t>
  </si>
  <si>
    <t>=IF($M532&gt;=$P$18,U532,0)</t>
  </si>
  <si>
    <t>=IF(AND($M532&gt;=$Q$16,$M532&lt;=$Q$18),U532,0)</t>
  </si>
  <si>
    <t>=IF(AND($M532&gt;=$R$16,$M532&lt;=$R$18),U532,0)</t>
  </si>
  <si>
    <t>=IF(AND($M532&gt;=$S$16,$M532&lt;=$S$18),U532,0)</t>
  </si>
  <si>
    <t>=IF($M532&lt;=$T$18,U532,0)</t>
  </si>
  <si>
    <t>="""NAV Direct"",""CRONUS JetCorp USA"",""21"",""1"",""373678"""</t>
  </si>
  <si>
    <t>=E531</t>
  </si>
  <si>
    <t>=StartDate-$M533+1</t>
  </si>
  <si>
    <t>=SUM(P533:T533)</t>
  </si>
  <si>
    <t>=IF($M533&gt;=$P$18,U533,0)</t>
  </si>
  <si>
    <t>=IF(AND($M533&gt;=$Q$16,$M533&lt;=$Q$18),U533,0)</t>
  </si>
  <si>
    <t>=IF(AND($M533&gt;=$R$16,$M533&lt;=$R$18),U533,0)</t>
  </si>
  <si>
    <t>=IF(AND($M533&gt;=$S$16,$M533&lt;=$S$18),U533,0)</t>
  </si>
  <si>
    <t>=IF($M533&lt;=$T$18,U533,0)</t>
  </si>
  <si>
    <t>="""NAV Direct"",""CRONUS JetCorp USA"",""21"",""1"",""373752"""</t>
  </si>
  <si>
    <t>=E532</t>
  </si>
  <si>
    <t>=StartDate-$M534+1</t>
  </si>
  <si>
    <t>=SUM(P534:T534)</t>
  </si>
  <si>
    <t>=IF($M534&gt;=$P$18,U534,0)</t>
  </si>
  <si>
    <t>=IF(AND($M534&gt;=$Q$16,$M534&lt;=$Q$18),U534,0)</t>
  </si>
  <si>
    <t>=IF(AND($M534&gt;=$R$16,$M534&lt;=$R$18),U534,0)</t>
  </si>
  <si>
    <t>=IF(AND($M534&gt;=$S$16,$M534&lt;=$S$18),U534,0)</t>
  </si>
  <si>
    <t>=IF($M534&lt;=$T$18,U534,0)</t>
  </si>
  <si>
    <t>="""NAV Direct"",""CRONUS JetCorp USA"",""21"",""1"",""374186"""</t>
  </si>
  <si>
    <t>=E533</t>
  </si>
  <si>
    <t>=StartDate-$M535+1</t>
  </si>
  <si>
    <t>=SUM(P535:T535)</t>
  </si>
  <si>
    <t>=IF($M535&gt;=$P$18,U535,0)</t>
  </si>
  <si>
    <t>=IF(AND($M535&gt;=$Q$16,$M535&lt;=$Q$18),U535,0)</t>
  </si>
  <si>
    <t>=IF(AND($M535&gt;=$R$16,$M535&lt;=$R$18),U535,0)</t>
  </si>
  <si>
    <t>=IF(AND($M535&gt;=$S$16,$M535&lt;=$S$18),U535,0)</t>
  </si>
  <si>
    <t>=IF($M535&lt;=$T$18,U535,0)</t>
  </si>
  <si>
    <t>="""NAV Direct"",""CRONUS JetCorp USA"",""21"",""1"",""374385"""</t>
  </si>
  <si>
    <t>=E534</t>
  </si>
  <si>
    <t>=StartDate-$M536+1</t>
  </si>
  <si>
    <t>=SUM(P536:T536)</t>
  </si>
  <si>
    <t>=IF($M536&gt;=$P$18,U536,0)</t>
  </si>
  <si>
    <t>=IF(AND($M536&gt;=$Q$16,$M536&lt;=$Q$18),U536,0)</t>
  </si>
  <si>
    <t>=IF(AND($M536&gt;=$R$16,$M536&lt;=$R$18),U536,0)</t>
  </si>
  <si>
    <t>=IF(AND($M536&gt;=$S$16,$M536&lt;=$S$18),U536,0)</t>
  </si>
  <si>
    <t>=IF($M536&lt;=$T$18,U536,0)</t>
  </si>
  <si>
    <t>="""NAV Direct"",""CRONUS JetCorp USA"",""21"",""1"",""374570"""</t>
  </si>
  <si>
    <t>=E535</t>
  </si>
  <si>
    <t>=StartDate-$M537+1</t>
  </si>
  <si>
    <t>=SUM(P537:T537)</t>
  </si>
  <si>
    <t>=IF($M537&gt;=$P$18,U537,0)</t>
  </si>
  <si>
    <t>=IF(AND($M537&gt;=$Q$16,$M537&lt;=$Q$18),U537,0)</t>
  </si>
  <si>
    <t>=IF(AND($M537&gt;=$R$16,$M537&lt;=$R$18),U537,0)</t>
  </si>
  <si>
    <t>=IF(AND($M537&gt;=$S$16,$M537&lt;=$S$18),U537,0)</t>
  </si>
  <si>
    <t>=IF($M537&lt;=$T$18,U537,0)</t>
  </si>
  <si>
    <t>="""NAV Direct"",""CRONUS JetCorp USA"",""21"",""1"",""374642"""</t>
  </si>
  <si>
    <t>=E536</t>
  </si>
  <si>
    <t>=StartDate-$M538+1</t>
  </si>
  <si>
    <t>=SUM(P538:T538)</t>
  </si>
  <si>
    <t>=IF($M538&gt;=$P$18,U538,0)</t>
  </si>
  <si>
    <t>=IF(AND($M538&gt;=$Q$16,$M538&lt;=$Q$18),U538,0)</t>
  </si>
  <si>
    <t>=IF(AND($M538&gt;=$R$16,$M538&lt;=$R$18),U538,0)</t>
  </si>
  <si>
    <t>=IF(AND($M538&gt;=$S$16,$M538&lt;=$S$18),U538,0)</t>
  </si>
  <si>
    <t>=IF($M538&lt;=$T$18,U538,0)</t>
  </si>
  <si>
    <t>="""NAV Direct"",""CRONUS JetCorp USA"",""21"",""1"",""374824"""</t>
  </si>
  <si>
    <t>=E537</t>
  </si>
  <si>
    <t>=StartDate-$M539+1</t>
  </si>
  <si>
    <t>=SUM(P539:T539)</t>
  </si>
  <si>
    <t>=IF($M539&gt;=$P$18,U539,0)</t>
  </si>
  <si>
    <t>=IF(AND($M539&gt;=$Q$16,$M539&lt;=$Q$18),U539,0)</t>
  </si>
  <si>
    <t>=IF(AND($M539&gt;=$R$16,$M539&lt;=$R$18),U539,0)</t>
  </si>
  <si>
    <t>=IF(AND($M539&gt;=$S$16,$M539&lt;=$S$18),U539,0)</t>
  </si>
  <si>
    <t>=IF($M539&lt;=$T$18,U539,0)</t>
  </si>
  <si>
    <t>="""NAV Direct"",""CRONUS JetCorp USA"",""21"",""1"",""374966"""</t>
  </si>
  <si>
    <t>=E538</t>
  </si>
  <si>
    <t>=StartDate-$M540+1</t>
  </si>
  <si>
    <t>=SUM(P540:T540)</t>
  </si>
  <si>
    <t>=IF($M540&gt;=$P$18,U540,0)</t>
  </si>
  <si>
    <t>=IF(AND($M540&gt;=$Q$16,$M540&lt;=$Q$18),U540,0)</t>
  </si>
  <si>
    <t>=IF(AND($M540&gt;=$R$16,$M540&lt;=$R$18),U540,0)</t>
  </si>
  <si>
    <t>=IF(AND($M540&gt;=$S$16,$M540&lt;=$S$18),U540,0)</t>
  </si>
  <si>
    <t>=IF($M540&lt;=$T$18,U540,0)</t>
  </si>
  <si>
    <t>="""NAV Direct"",""CRONUS JetCorp USA"",""21"",""1"",""375183"""</t>
  </si>
  <si>
    <t>=E539</t>
  </si>
  <si>
    <t>=StartDate-$M541+1</t>
  </si>
  <si>
    <t>=SUM(P541:T541)</t>
  </si>
  <si>
    <t>=IF($M541&gt;=$P$18,U541,0)</t>
  </si>
  <si>
    <t>=IF(AND($M541&gt;=$Q$16,$M541&lt;=$Q$18),U541,0)</t>
  </si>
  <si>
    <t>=IF(AND($M541&gt;=$R$16,$M541&lt;=$R$18),U541,0)</t>
  </si>
  <si>
    <t>=IF(AND($M541&gt;=$S$16,$M541&lt;=$S$18),U541,0)</t>
  </si>
  <si>
    <t>=IF($M541&lt;=$T$18,U541,0)</t>
  </si>
  <si>
    <t>=E540</t>
  </si>
  <si>
    <t>=StartDate-$M542+1</t>
  </si>
  <si>
    <t>=SUM(P542:T542)</t>
  </si>
  <si>
    <t>=IF($M542&gt;=$P$18,U542,0)</t>
  </si>
  <si>
    <t>=IF(AND($M542&gt;=$Q$16,$M542&lt;=$Q$18),U542,0)</t>
  </si>
  <si>
    <t>=IF(AND($M542&gt;=$R$16,$M542&lt;=$R$18),U542,0)</t>
  </si>
  <si>
    <t>=IF(AND($M542&gt;=$S$16,$M542&lt;=$S$18),U542,0)</t>
  </si>
  <si>
    <t>=IF($M542&lt;=$T$18,U542,0)</t>
  </si>
  <si>
    <t>="""NAV Direct"",""CRONUS JetCorp USA"",""21"",""1"",""375314"""</t>
  </si>
  <si>
    <t>=E541</t>
  </si>
  <si>
    <t>=StartDate-$M543+1</t>
  </si>
  <si>
    <t>=SUM(P543:T543)</t>
  </si>
  <si>
    <t>=IF($M543&gt;=$P$18,U543,0)</t>
  </si>
  <si>
    <t>=IF(AND($M543&gt;=$Q$16,$M543&lt;=$Q$18),U543,0)</t>
  </si>
  <si>
    <t>=IF(AND($M543&gt;=$R$16,$M543&lt;=$R$18),U543,0)</t>
  </si>
  <si>
    <t>=IF(AND($M543&gt;=$S$16,$M543&lt;=$S$18),U543,0)</t>
  </si>
  <si>
    <t>=IF($M543&lt;=$T$18,U543,0)</t>
  </si>
  <si>
    <t>="""NAV Direct"",""CRONUS JetCorp USA"",""21"",""1"",""375400"""</t>
  </si>
  <si>
    <t>=E542</t>
  </si>
  <si>
    <t>=StartDate-$M544+1</t>
  </si>
  <si>
    <t>=SUM(P544:T544)</t>
  </si>
  <si>
    <t>=IF($M544&gt;=$P$18,U544,0)</t>
  </si>
  <si>
    <t>=IF(AND($M544&gt;=$Q$16,$M544&lt;=$Q$18),U544,0)</t>
  </si>
  <si>
    <t>=IF(AND($M544&gt;=$R$16,$M544&lt;=$R$18),U544,0)</t>
  </si>
  <si>
    <t>=IF(AND($M544&gt;=$S$16,$M544&lt;=$S$18),U544,0)</t>
  </si>
  <si>
    <t>=IF($M544&lt;=$T$18,U544,0)</t>
  </si>
  <si>
    <t>="""NAV Direct"",""CRONUS JetCorp USA"",""21"",""1"",""375613"""</t>
  </si>
  <si>
    <t>=E543</t>
  </si>
  <si>
    <t>=StartDate-$M545+1</t>
  </si>
  <si>
    <t>=SUM(P545:T545)</t>
  </si>
  <si>
    <t>=IF($M545&gt;=$P$18,U545,0)</t>
  </si>
  <si>
    <t>=IF(AND($M545&gt;=$Q$16,$M545&lt;=$Q$18),U545,0)</t>
  </si>
  <si>
    <t>=IF(AND($M545&gt;=$R$16,$M545&lt;=$R$18),U545,0)</t>
  </si>
  <si>
    <t>=IF(AND($M545&gt;=$S$16,$M545&lt;=$S$18),U545,0)</t>
  </si>
  <si>
    <t>=IF($M545&lt;=$T$18,U545,0)</t>
  </si>
  <si>
    <t>="""NAV Direct"",""CRONUS JetCorp USA"",""21"",""1"",""375730"""</t>
  </si>
  <si>
    <t>=E544</t>
  </si>
  <si>
    <t>=StartDate-$M546+1</t>
  </si>
  <si>
    <t>=SUM(P546:T546)</t>
  </si>
  <si>
    <t>=IF($M546&gt;=$P$18,U546,0)</t>
  </si>
  <si>
    <t>=IF(AND($M546&gt;=$Q$16,$M546&lt;=$Q$18),U546,0)</t>
  </si>
  <si>
    <t>=IF(AND($M546&gt;=$R$16,$M546&lt;=$R$18),U546,0)</t>
  </si>
  <si>
    <t>=IF(AND($M546&gt;=$S$16,$M546&lt;=$S$18),U546,0)</t>
  </si>
  <si>
    <t>=IF($M546&lt;=$T$18,U546,0)</t>
  </si>
  <si>
    <t>="""NAV Direct"",""CRONUS JetCorp USA"",""21"",""1"",""375771"""</t>
  </si>
  <si>
    <t>=E545</t>
  </si>
  <si>
    <t>=StartDate-$M547+1</t>
  </si>
  <si>
    <t>=SUM(P547:T547)</t>
  </si>
  <si>
    <t>=IF($M547&gt;=$P$18,U547,0)</t>
  </si>
  <si>
    <t>=IF(AND($M547&gt;=$Q$16,$M547&lt;=$Q$18),U547,0)</t>
  </si>
  <si>
    <t>=IF(AND($M547&gt;=$R$16,$M547&lt;=$R$18),U547,0)</t>
  </si>
  <si>
    <t>=IF(AND($M547&gt;=$S$16,$M547&lt;=$S$18),U547,0)</t>
  </si>
  <si>
    <t>=IF($M547&lt;=$T$18,U547,0)</t>
  </si>
  <si>
    <t>="""NAV Direct"",""CRONUS JetCorp USA"",""21"",""1"",""375818"""</t>
  </si>
  <si>
    <t>=E546</t>
  </si>
  <si>
    <t>=StartDate-$M548+1</t>
  </si>
  <si>
    <t>=SUM(P548:T548)</t>
  </si>
  <si>
    <t>=IF($M548&gt;=$P$18,U548,0)</t>
  </si>
  <si>
    <t>=IF(AND($M548&gt;=$Q$16,$M548&lt;=$Q$18),U548,0)</t>
  </si>
  <si>
    <t>=IF(AND($M548&gt;=$R$16,$M548&lt;=$R$18),U548,0)</t>
  </si>
  <si>
    <t>=IF(AND($M548&gt;=$S$16,$M548&lt;=$S$18),U548,0)</t>
  </si>
  <si>
    <t>=IF($M548&lt;=$T$18,U548,0)</t>
  </si>
  <si>
    <t>="""NAV Direct"",""CRONUS JetCorp USA"",""21"",""1"",""375988"""</t>
  </si>
  <si>
    <t>=E547</t>
  </si>
  <si>
    <t>=StartDate-$M549+1</t>
  </si>
  <si>
    <t>=SUM(P549:T549)</t>
  </si>
  <si>
    <t>=IF($M549&gt;=$P$18,U549,0)</t>
  </si>
  <si>
    <t>=IF(AND($M549&gt;=$Q$16,$M549&lt;=$Q$18),U549,0)</t>
  </si>
  <si>
    <t>=IF(AND($M549&gt;=$R$16,$M549&lt;=$R$18),U549,0)</t>
  </si>
  <si>
    <t>=IF(AND($M549&gt;=$S$16,$M549&lt;=$S$18),U549,0)</t>
  </si>
  <si>
    <t>=IF($M549&lt;=$T$18,U549,0)</t>
  </si>
  <si>
    <t>="""NAV Direct"",""CRONUS JetCorp USA"",""21"",""1"",""376087"""</t>
  </si>
  <si>
    <t>=E548</t>
  </si>
  <si>
    <t>=StartDate-$M550+1</t>
  </si>
  <si>
    <t>=SUM(P550:T550)</t>
  </si>
  <si>
    <t>=IF($M550&gt;=$P$18,U550,0)</t>
  </si>
  <si>
    <t>=IF(AND($M550&gt;=$Q$16,$M550&lt;=$Q$18),U550,0)</t>
  </si>
  <si>
    <t>=IF(AND($M550&gt;=$R$16,$M550&lt;=$R$18),U550,0)</t>
  </si>
  <si>
    <t>=IF(AND($M550&gt;=$S$16,$M550&lt;=$S$18),U550,0)</t>
  </si>
  <si>
    <t>=IF($M550&lt;=$T$18,U550,0)</t>
  </si>
  <si>
    <t>="""NAV Direct"",""CRONUS JetCorp USA"",""21"",""1"",""376276"""</t>
  </si>
  <si>
    <t>=E549</t>
  </si>
  <si>
    <t>=StartDate-$M551+1</t>
  </si>
  <si>
    <t>=SUM(P551:T551)</t>
  </si>
  <si>
    <t>=IF($M551&gt;=$P$18,U551,0)</t>
  </si>
  <si>
    <t>=IF(AND($M551&gt;=$Q$16,$M551&lt;=$Q$18),U551,0)</t>
  </si>
  <si>
    <t>=IF(AND($M551&gt;=$R$16,$M551&lt;=$R$18),U551,0)</t>
  </si>
  <si>
    <t>=IF(AND($M551&gt;=$S$16,$M551&lt;=$S$18),U551,0)</t>
  </si>
  <si>
    <t>=IF($M551&lt;=$T$18,U551,0)</t>
  </si>
  <si>
    <t>="""NAV Direct"",""CRONUS JetCorp USA"",""21"",""1"",""376417"""</t>
  </si>
  <si>
    <t>=E550</t>
  </si>
  <si>
    <t>=StartDate-$M552+1</t>
  </si>
  <si>
    <t>=SUM(P552:T552)</t>
  </si>
  <si>
    <t>=IF($M552&gt;=$P$18,U552,0)</t>
  </si>
  <si>
    <t>=IF(AND($M552&gt;=$Q$16,$M552&lt;=$Q$18),U552,0)</t>
  </si>
  <si>
    <t>=IF(AND($M552&gt;=$R$16,$M552&lt;=$R$18),U552,0)</t>
  </si>
  <si>
    <t>=IF(AND($M552&gt;=$S$16,$M552&lt;=$S$18),U552,0)</t>
  </si>
  <si>
    <t>=IF($M552&lt;=$T$18,U552,0)</t>
  </si>
  <si>
    <t>="""NAV Direct"",""CRONUS JetCorp USA"",""21"",""1"",""376948"""</t>
  </si>
  <si>
    <t>=E551</t>
  </si>
  <si>
    <t>=StartDate-$M553+1</t>
  </si>
  <si>
    <t>=SUM(P553:T553)</t>
  </si>
  <si>
    <t>=IF($M553&gt;=$P$18,U553,0)</t>
  </si>
  <si>
    <t>=IF(AND($M553&gt;=$Q$16,$M553&lt;=$Q$18),U553,0)</t>
  </si>
  <si>
    <t>=IF(AND($M553&gt;=$R$16,$M553&lt;=$R$18),U553,0)</t>
  </si>
  <si>
    <t>=IF(AND($M553&gt;=$S$16,$M553&lt;=$S$18),U553,0)</t>
  </si>
  <si>
    <t>=IF($M553&lt;=$T$18,U553,0)</t>
  </si>
  <si>
    <t>="""NAV Direct"",""CRONUS JetCorp USA"",""21"",""1"",""377061"""</t>
  </si>
  <si>
    <t>=E552</t>
  </si>
  <si>
    <t>=StartDate-$M554+1</t>
  </si>
  <si>
    <t>=SUM(P554:T554)</t>
  </si>
  <si>
    <t>=IF($M554&gt;=$P$18,U554,0)</t>
  </si>
  <si>
    <t>=IF(AND($M554&gt;=$Q$16,$M554&lt;=$Q$18),U554,0)</t>
  </si>
  <si>
    <t>=IF(AND($M554&gt;=$R$16,$M554&lt;=$R$18),U554,0)</t>
  </si>
  <si>
    <t>=IF(AND($M554&gt;=$S$16,$M554&lt;=$S$18),U554,0)</t>
  </si>
  <si>
    <t>=IF($M554&lt;=$T$18,U554,0)</t>
  </si>
  <si>
    <t>="""NAV Direct"",""CRONUS JetCorp USA"",""21"",""1"",""437443"""</t>
  </si>
  <si>
    <t>=E553</t>
  </si>
  <si>
    <t>=StartDate-$M555+1</t>
  </si>
  <si>
    <t>=SUM(P555:T555)</t>
  </si>
  <si>
    <t>=IF($M555&gt;=$P$18,U555,0)</t>
  </si>
  <si>
    <t>=IF(AND($M555&gt;=$Q$16,$M555&lt;=$Q$18),U555,0)</t>
  </si>
  <si>
    <t>=IF(AND($M555&gt;=$R$16,$M555&lt;=$R$18),U555,0)</t>
  </si>
  <si>
    <t>=IF(AND($M555&gt;=$S$16,$M555&lt;=$S$18),U555,0)</t>
  </si>
  <si>
    <t>=IF($M555&lt;=$T$18,U555,0)</t>
  </si>
  <si>
    <t>="""NAV Direct"",""CRONUS JetCorp USA"",""21"",""1"",""437464"""</t>
  </si>
  <si>
    <t>=E554</t>
  </si>
  <si>
    <t>=StartDate-$M556+1</t>
  </si>
  <si>
    <t>=SUM(P556:T556)</t>
  </si>
  <si>
    <t>=IF($M556&gt;=$P$18,U556,0)</t>
  </si>
  <si>
    <t>=IF(AND($M556&gt;=$Q$16,$M556&lt;=$Q$18),U556,0)</t>
  </si>
  <si>
    <t>=IF(AND($M556&gt;=$R$16,$M556&lt;=$R$18),U556,0)</t>
  </si>
  <si>
    <t>=IF(AND($M556&gt;=$S$16,$M556&lt;=$S$18),U556,0)</t>
  </si>
  <si>
    <t>=IF($M556&lt;=$T$18,U556,0)</t>
  </si>
  <si>
    <t>="""NAV Direct"",""CRONUS JetCorp USA"",""21"",""1"",""437500"""</t>
  </si>
  <si>
    <t>=E555</t>
  </si>
  <si>
    <t>=StartDate-$M557+1</t>
  </si>
  <si>
    <t>=SUM(P557:T557)</t>
  </si>
  <si>
    <t>=IF($M557&gt;=$P$18,U557,0)</t>
  </si>
  <si>
    <t>=IF(AND($M557&gt;=$Q$16,$M557&lt;=$Q$18),U557,0)</t>
  </si>
  <si>
    <t>=IF(AND($M557&gt;=$R$16,$M557&lt;=$R$18),U557,0)</t>
  </si>
  <si>
    <t>=IF(AND($M557&gt;=$S$16,$M557&lt;=$S$18),U557,0)</t>
  </si>
  <si>
    <t>=IF($M557&lt;=$T$18,U557,0)</t>
  </si>
  <si>
    <t>="""NAV Direct"",""CRONUS JetCorp USA"",""21"",""1"",""437676"""</t>
  </si>
  <si>
    <t>=E556</t>
  </si>
  <si>
    <t>=StartDate-$M558+1</t>
  </si>
  <si>
    <t>=SUM(P558:T558)</t>
  </si>
  <si>
    <t>=IF($M558&gt;=$P$18,U558,0)</t>
  </si>
  <si>
    <t>=IF(AND($M558&gt;=$Q$16,$M558&lt;=$Q$18),U558,0)</t>
  </si>
  <si>
    <t>=IF(AND($M558&gt;=$R$16,$M558&lt;=$R$18),U558,0)</t>
  </si>
  <si>
    <t>=IF(AND($M558&gt;=$S$16,$M558&lt;=$S$18),U558,0)</t>
  </si>
  <si>
    <t>=IF($M558&lt;=$T$18,U558,0)</t>
  </si>
  <si>
    <t>="""NAV Direct"",""CRONUS JetCorp USA"",""21"",""1"",""437730"""</t>
  </si>
  <si>
    <t>=E557</t>
  </si>
  <si>
    <t>=StartDate-$M559+1</t>
  </si>
  <si>
    <t>=SUM(P559:T559)</t>
  </si>
  <si>
    <t>=IF($M559&gt;=$P$18,U559,0)</t>
  </si>
  <si>
    <t>=IF(AND($M559&gt;=$Q$16,$M559&lt;=$Q$18),U559,0)</t>
  </si>
  <si>
    <t>=IF(AND($M559&gt;=$R$16,$M559&lt;=$R$18),U559,0)</t>
  </si>
  <si>
    <t>=IF(AND($M559&gt;=$S$16,$M559&lt;=$S$18),U559,0)</t>
  </si>
  <si>
    <t>=IF($M559&lt;=$T$18,U559,0)</t>
  </si>
  <si>
    <t>="""NAV Direct"",""CRONUS JetCorp USA"",""21"",""1"",""437777"""</t>
  </si>
  <si>
    <t>=E558</t>
  </si>
  <si>
    <t>=StartDate-$M560+1</t>
  </si>
  <si>
    <t>=SUM(P560:T560)</t>
  </si>
  <si>
    <t>=IF($M560&gt;=$P$18,U560,0)</t>
  </si>
  <si>
    <t>=IF(AND($M560&gt;=$Q$16,$M560&lt;=$Q$18),U560,0)</t>
  </si>
  <si>
    <t>=IF(AND($M560&gt;=$R$16,$M560&lt;=$R$18),U560,0)</t>
  </si>
  <si>
    <t>=IF(AND($M560&gt;=$S$16,$M560&lt;=$S$18),U560,0)</t>
  </si>
  <si>
    <t>=IF($M560&lt;=$T$18,U560,0)</t>
  </si>
  <si>
    <t>="""NAV Direct"",""CRONUS JetCorp USA"",""18"",""1"",""C100029"""</t>
  </si>
  <si>
    <t>=H563</t>
  </si>
  <si>
    <t>=NF($C563,"1 No.")</t>
  </si>
  <si>
    <t>=NF($C563,"1 No.")&amp;"  -  "&amp;NF($C563,"2 Name")</t>
  </si>
  <si>
    <t>=IFERROR(O563/NF(C563,"Credit Limit (LCY)"),"")</t>
  </si>
  <si>
    <t>=SUBTOTAL(3,L564:L621)</t>
  </si>
  <si>
    <t>=SUBTOTAL(9,O564:O621)</t>
  </si>
  <si>
    <t>=SUBTOTAL(9,P564:P621)</t>
  </si>
  <si>
    <t>=SUBTOTAL(9,Q564:Q621)</t>
  </si>
  <si>
    <t>=SUBTOTAL(9,R564:R621)</t>
  </si>
  <si>
    <t>=SUBTOTAL(9,S564:S621)</t>
  </si>
  <si>
    <t>=SUBTOTAL(9,T564:T621)</t>
  </si>
  <si>
    <t>=C563</t>
  </si>
  <si>
    <t>=E563</t>
  </si>
  <si>
    <t>="Contact: "&amp;NF($C564,"8 Contact")</t>
  </si>
  <si>
    <t>=C564</t>
  </si>
  <si>
    <t>=E564</t>
  </si>
  <si>
    <t>=NF($C565,"102 E-Mail")</t>
  </si>
  <si>
    <t>=NL("Rows","21 Cust. Ledger Entry",,"3 Customer No.","@@"&amp;$E567,"16 Remaining Amt. (LCY)","&lt;&gt;0")</t>
  </si>
  <si>
    <t>=E565</t>
  </si>
  <si>
    <t>=StartDate-$M567+1</t>
  </si>
  <si>
    <t>=SUM(P567:T567)</t>
  </si>
  <si>
    <t>=IF($M567&gt;=$P$18,U567,0)</t>
  </si>
  <si>
    <t>=IF(AND($M567&gt;=$Q$16,$M567&lt;=$Q$18),U567,0)</t>
  </si>
  <si>
    <t>=IF(AND($M567&gt;=$R$16,$M567&lt;=$R$18),U567,0)</t>
  </si>
  <si>
    <t>=IF(AND($M567&gt;=$S$16,$M567&lt;=$S$18),U567,0)</t>
  </si>
  <si>
    <t>=IF($M567&lt;=$T$18,U567,0)</t>
  </si>
  <si>
    <t>="""NAV Direct"",""CRONUS JetCorp USA"",""21"",""1"",""86426"""</t>
  </si>
  <si>
    <t>=E566</t>
  </si>
  <si>
    <t>=StartDate-$M568+1</t>
  </si>
  <si>
    <t>=SUM(P568:T568)</t>
  </si>
  <si>
    <t>=IF($M568&gt;=$P$18,U568,0)</t>
  </si>
  <si>
    <t>=IF(AND($M568&gt;=$Q$16,$M568&lt;=$Q$18),U568,0)</t>
  </si>
  <si>
    <t>=IF(AND($M568&gt;=$R$16,$M568&lt;=$R$18),U568,0)</t>
  </si>
  <si>
    <t>=IF(AND($M568&gt;=$S$16,$M568&lt;=$S$18),U568,0)</t>
  </si>
  <si>
    <t>=IF($M568&lt;=$T$18,U568,0)</t>
  </si>
  <si>
    <t>="""NAV Direct"",""CRONUS JetCorp USA"",""21"",""1"",""360742"""</t>
  </si>
  <si>
    <t>=E567</t>
  </si>
  <si>
    <t>=StartDate-$M569+1</t>
  </si>
  <si>
    <t>=SUM(P569:T569)</t>
  </si>
  <si>
    <t>=IF($M569&gt;=$P$18,U569,0)</t>
  </si>
  <si>
    <t>=IF(AND($M569&gt;=$Q$16,$M569&lt;=$Q$18),U569,0)</t>
  </si>
  <si>
    <t>=IF(AND($M569&gt;=$R$16,$M569&lt;=$R$18),U569,0)</t>
  </si>
  <si>
    <t>=IF(AND($M569&gt;=$S$16,$M569&lt;=$S$18),U569,0)</t>
  </si>
  <si>
    <t>=IF($M569&lt;=$T$18,U569,0)</t>
  </si>
  <si>
    <t>="""NAV Direct"",""CRONUS JetCorp USA"",""21"",""1"",""361292"""</t>
  </si>
  <si>
    <t>=E568</t>
  </si>
  <si>
    <t>=StartDate-$M570+1</t>
  </si>
  <si>
    <t>=SUM(P570:T570)</t>
  </si>
  <si>
    <t>=IF($M570&gt;=$P$18,U570,0)</t>
  </si>
  <si>
    <t>=IF(AND($M570&gt;=$Q$16,$M570&lt;=$Q$18),U570,0)</t>
  </si>
  <si>
    <t>=IF(AND($M570&gt;=$R$16,$M570&lt;=$R$18),U570,0)</t>
  </si>
  <si>
    <t>=IF(AND($M570&gt;=$S$16,$M570&lt;=$S$18),U570,0)</t>
  </si>
  <si>
    <t>=IF($M570&lt;=$T$18,U570,0)</t>
  </si>
  <si>
    <t>="""NAV Direct"",""CRONUS JetCorp USA"",""21"",""1"",""361408"""</t>
  </si>
  <si>
    <t>=E569</t>
  </si>
  <si>
    <t>=StartDate-$M571+1</t>
  </si>
  <si>
    <t>=SUM(P571:T571)</t>
  </si>
  <si>
    <t>=IF($M571&gt;=$P$18,U571,0)</t>
  </si>
  <si>
    <t>=IF(AND($M571&gt;=$Q$16,$M571&lt;=$Q$18),U571,0)</t>
  </si>
  <si>
    <t>=IF(AND($M571&gt;=$R$16,$M571&lt;=$R$18),U571,0)</t>
  </si>
  <si>
    <t>=IF(AND($M571&gt;=$S$16,$M571&lt;=$S$18),U571,0)</t>
  </si>
  <si>
    <t>=IF($M571&lt;=$T$18,U571,0)</t>
  </si>
  <si>
    <t>="""NAV Direct"",""CRONUS JetCorp USA"",""21"",""1"",""361594"""</t>
  </si>
  <si>
    <t>=E570</t>
  </si>
  <si>
    <t>=StartDate-$M572+1</t>
  </si>
  <si>
    <t>=SUM(P572:T572)</t>
  </si>
  <si>
    <t>=IF($M572&gt;=$P$18,U572,0)</t>
  </si>
  <si>
    <t>=IF(AND($M572&gt;=$Q$16,$M572&lt;=$Q$18),U572,0)</t>
  </si>
  <si>
    <t>=IF(AND($M572&gt;=$R$16,$M572&lt;=$R$18),U572,0)</t>
  </si>
  <si>
    <t>=IF(AND($M572&gt;=$S$16,$M572&lt;=$S$18),U572,0)</t>
  </si>
  <si>
    <t>=IF($M572&lt;=$T$18,U572,0)</t>
  </si>
  <si>
    <t>="""NAV Direct"",""CRONUS JetCorp USA"",""21"",""1"",""361756"""</t>
  </si>
  <si>
    <t>=E571</t>
  </si>
  <si>
    <t>=StartDate-$M573+1</t>
  </si>
  <si>
    <t>=SUM(P573:T573)</t>
  </si>
  <si>
    <t>=IF($M573&gt;=$P$18,U573,0)</t>
  </si>
  <si>
    <t>=IF(AND($M573&gt;=$Q$16,$M573&lt;=$Q$18),U573,0)</t>
  </si>
  <si>
    <t>=IF(AND($M573&gt;=$R$16,$M573&lt;=$R$18),U573,0)</t>
  </si>
  <si>
    <t>=IF(AND($M573&gt;=$S$16,$M573&lt;=$S$18),U573,0)</t>
  </si>
  <si>
    <t>=IF($M573&lt;=$T$18,U573,0)</t>
  </si>
  <si>
    <t>="""NAV Direct"",""CRONUS JetCorp USA"",""21"",""1"",""362079"""</t>
  </si>
  <si>
    <t>=E572</t>
  </si>
  <si>
    <t>=StartDate-$M574+1</t>
  </si>
  <si>
    <t>=SUM(P574:T574)</t>
  </si>
  <si>
    <t>=IF($M574&gt;=$P$18,U574,0)</t>
  </si>
  <si>
    <t>=IF(AND($M574&gt;=$Q$16,$M574&lt;=$Q$18),U574,0)</t>
  </si>
  <si>
    <t>=IF(AND($M574&gt;=$R$16,$M574&lt;=$R$18),U574,0)</t>
  </si>
  <si>
    <t>=IF(AND($M574&gt;=$S$16,$M574&lt;=$S$18),U574,0)</t>
  </si>
  <si>
    <t>=IF($M574&lt;=$T$18,U574,0)</t>
  </si>
  <si>
    <t>="""NAV Direct"",""CRONUS JetCorp USA"",""21"",""1"",""362120"""</t>
  </si>
  <si>
    <t>=E573</t>
  </si>
  <si>
    <t>=StartDate-$M575+1</t>
  </si>
  <si>
    <t>=SUM(P575:T575)</t>
  </si>
  <si>
    <t>=IF($M575&gt;=$P$18,U575,0)</t>
  </si>
  <si>
    <t>=IF(AND($M575&gt;=$Q$16,$M575&lt;=$Q$18),U575,0)</t>
  </si>
  <si>
    <t>=IF(AND($M575&gt;=$R$16,$M575&lt;=$R$18),U575,0)</t>
  </si>
  <si>
    <t>=IF(AND($M575&gt;=$S$16,$M575&lt;=$S$18),U575,0)</t>
  </si>
  <si>
    <t>=IF($M575&lt;=$T$18,U575,0)</t>
  </si>
  <si>
    <t>="""NAV Direct"",""CRONUS JetCorp USA"",""21"",""1"",""362399"""</t>
  </si>
  <si>
    <t>=E574</t>
  </si>
  <si>
    <t>=StartDate-$M576+1</t>
  </si>
  <si>
    <t>=SUM(P576:T576)</t>
  </si>
  <si>
    <t>=IF($M576&gt;=$P$18,U576,0)</t>
  </si>
  <si>
    <t>=IF(AND($M576&gt;=$Q$16,$M576&lt;=$Q$18),U576,0)</t>
  </si>
  <si>
    <t>=IF(AND($M576&gt;=$R$16,$M576&lt;=$R$18),U576,0)</t>
  </si>
  <si>
    <t>=IF(AND($M576&gt;=$S$16,$M576&lt;=$S$18),U576,0)</t>
  </si>
  <si>
    <t>=IF($M576&lt;=$T$18,U576,0)</t>
  </si>
  <si>
    <t>="""NAV Direct"",""CRONUS JetCorp USA"",""21"",""1"",""362436"""</t>
  </si>
  <si>
    <t>=E575</t>
  </si>
  <si>
    <t>=StartDate-$M577+1</t>
  </si>
  <si>
    <t>=SUM(P577:T577)</t>
  </si>
  <si>
    <t>=IF($M577&gt;=$P$18,U577,0)</t>
  </si>
  <si>
    <t>=IF(AND($M577&gt;=$Q$16,$M577&lt;=$Q$18),U577,0)</t>
  </si>
  <si>
    <t>=IF(AND($M577&gt;=$R$16,$M577&lt;=$R$18),U577,0)</t>
  </si>
  <si>
    <t>=IF(AND($M577&gt;=$S$16,$M577&lt;=$S$18),U577,0)</t>
  </si>
  <si>
    <t>=IF($M577&lt;=$T$18,U577,0)</t>
  </si>
  <si>
    <t>="""NAV Direct"",""CRONUS JetCorp USA"",""21"",""1"",""362611"""</t>
  </si>
  <si>
    <t>=E576</t>
  </si>
  <si>
    <t>=StartDate-$M578+1</t>
  </si>
  <si>
    <t>=SUM(P578:T578)</t>
  </si>
  <si>
    <t>=IF($M578&gt;=$P$18,U578,0)</t>
  </si>
  <si>
    <t>=IF(AND($M578&gt;=$Q$16,$M578&lt;=$Q$18),U578,0)</t>
  </si>
  <si>
    <t>=IF(AND($M578&gt;=$R$16,$M578&lt;=$R$18),U578,0)</t>
  </si>
  <si>
    <t>=IF(AND($M578&gt;=$S$16,$M578&lt;=$S$18),U578,0)</t>
  </si>
  <si>
    <t>=IF($M578&lt;=$T$18,U578,0)</t>
  </si>
  <si>
    <t>="""NAV Direct"",""CRONUS JetCorp USA"",""21"",""1"",""363186"""</t>
  </si>
  <si>
    <t>=E577</t>
  </si>
  <si>
    <t>=StartDate-$M579+1</t>
  </si>
  <si>
    <t>=SUM(P579:T579)</t>
  </si>
  <si>
    <t>=IF($M579&gt;=$P$18,U579,0)</t>
  </si>
  <si>
    <t>=IF(AND($M579&gt;=$Q$16,$M579&lt;=$Q$18),U579,0)</t>
  </si>
  <si>
    <t>=IF(AND($M579&gt;=$R$16,$M579&lt;=$R$18),U579,0)</t>
  </si>
  <si>
    <t>=IF(AND($M579&gt;=$S$16,$M579&lt;=$S$18),U579,0)</t>
  </si>
  <si>
    <t>=IF($M579&lt;=$T$18,U579,0)</t>
  </si>
  <si>
    <t>="""NAV Direct"",""CRONUS JetCorp USA"",""21"",""1"",""363238"""</t>
  </si>
  <si>
    <t>=E578</t>
  </si>
  <si>
    <t>=StartDate-$M580+1</t>
  </si>
  <si>
    <t>=SUM(P580:T580)</t>
  </si>
  <si>
    <t>=IF($M580&gt;=$P$18,U580,0)</t>
  </si>
  <si>
    <t>=IF(AND($M580&gt;=$Q$16,$M580&lt;=$Q$18),U580,0)</t>
  </si>
  <si>
    <t>=IF(AND($M580&gt;=$R$16,$M580&lt;=$R$18),U580,0)</t>
  </si>
  <si>
    <t>=IF(AND($M580&gt;=$S$16,$M580&lt;=$S$18),U580,0)</t>
  </si>
  <si>
    <t>=IF($M580&lt;=$T$18,U580,0)</t>
  </si>
  <si>
    <t>="""NAV Direct"",""CRONUS JetCorp USA"",""21"",""1"",""363267"""</t>
  </si>
  <si>
    <t>=E579</t>
  </si>
  <si>
    <t>=StartDate-$M581+1</t>
  </si>
  <si>
    <t>=SUM(P581:T581)</t>
  </si>
  <si>
    <t>=IF($M581&gt;=$P$18,U581,0)</t>
  </si>
  <si>
    <t>=IF(AND($M581&gt;=$Q$16,$M581&lt;=$Q$18),U581,0)</t>
  </si>
  <si>
    <t>=IF(AND($M581&gt;=$R$16,$M581&lt;=$R$18),U581,0)</t>
  </si>
  <si>
    <t>=IF(AND($M581&gt;=$S$16,$M581&lt;=$S$18),U581,0)</t>
  </si>
  <si>
    <t>=IF($M581&lt;=$T$18,U581,0)</t>
  </si>
  <si>
    <t>="""NAV Direct"",""CRONUS JetCorp USA"",""21"",""1"",""363425"""</t>
  </si>
  <si>
    <t>=E580</t>
  </si>
  <si>
    <t>=StartDate-$M582+1</t>
  </si>
  <si>
    <t>=SUM(P582:T582)</t>
  </si>
  <si>
    <t>=IF($M582&gt;=$P$18,U582,0)</t>
  </si>
  <si>
    <t>=IF(AND($M582&gt;=$Q$16,$M582&lt;=$Q$18),U582,0)</t>
  </si>
  <si>
    <t>=IF(AND($M582&gt;=$R$16,$M582&lt;=$R$18),U582,0)</t>
  </si>
  <si>
    <t>=IF(AND($M582&gt;=$S$16,$M582&lt;=$S$18),U582,0)</t>
  </si>
  <si>
    <t>=IF($M582&lt;=$T$18,U582,0)</t>
  </si>
  <si>
    <t>="""NAV Direct"",""CRONUS JetCorp USA"",""21"",""1"",""363493"""</t>
  </si>
  <si>
    <t>=E581</t>
  </si>
  <si>
    <t>=StartDate-$M583+1</t>
  </si>
  <si>
    <t>=SUM(P583:T583)</t>
  </si>
  <si>
    <t>=IF($M583&gt;=$P$18,U583,0)</t>
  </si>
  <si>
    <t>=IF(AND($M583&gt;=$Q$16,$M583&lt;=$Q$18),U583,0)</t>
  </si>
  <si>
    <t>=IF(AND($M583&gt;=$R$16,$M583&lt;=$R$18),U583,0)</t>
  </si>
  <si>
    <t>=IF(AND($M583&gt;=$S$16,$M583&lt;=$S$18),U583,0)</t>
  </si>
  <si>
    <t>=IF($M583&lt;=$T$18,U583,0)</t>
  </si>
  <si>
    <t>="""NAV Direct"",""CRONUS JetCorp USA"",""21"",""1"",""363973"""</t>
  </si>
  <si>
    <t>=E582</t>
  </si>
  <si>
    <t>=StartDate-$M584+1</t>
  </si>
  <si>
    <t>=SUM(P584:T584)</t>
  </si>
  <si>
    <t>=IF($M584&gt;=$P$18,U584,0)</t>
  </si>
  <si>
    <t>=IF(AND($M584&gt;=$Q$16,$M584&lt;=$Q$18),U584,0)</t>
  </si>
  <si>
    <t>=IF(AND($M584&gt;=$R$16,$M584&lt;=$R$18),U584,0)</t>
  </si>
  <si>
    <t>=IF(AND($M584&gt;=$S$16,$M584&lt;=$S$18),U584,0)</t>
  </si>
  <si>
    <t>=IF($M584&lt;=$T$18,U584,0)</t>
  </si>
  <si>
    <t>="""NAV Direct"",""CRONUS JetCorp USA"",""21"",""1"",""364078"""</t>
  </si>
  <si>
    <t>=E583</t>
  </si>
  <si>
    <t>=StartDate-$M585+1</t>
  </si>
  <si>
    <t>=SUM(P585:T585)</t>
  </si>
  <si>
    <t>=IF($M585&gt;=$P$18,U585,0)</t>
  </si>
  <si>
    <t>=IF(AND($M585&gt;=$Q$16,$M585&lt;=$Q$18),U585,0)</t>
  </si>
  <si>
    <t>=IF(AND($M585&gt;=$R$16,$M585&lt;=$R$18),U585,0)</t>
  </si>
  <si>
    <t>=IF(AND($M585&gt;=$S$16,$M585&lt;=$S$18),U585,0)</t>
  </si>
  <si>
    <t>=IF($M585&lt;=$T$18,U585,0)</t>
  </si>
  <si>
    <t>="""NAV Direct"",""CRONUS JetCorp USA"",""21"",""1"",""364144"""</t>
  </si>
  <si>
    <t>=E584</t>
  </si>
  <si>
    <t>=StartDate-$M586+1</t>
  </si>
  <si>
    <t>=SUM(P586:T586)</t>
  </si>
  <si>
    <t>=IF($M586&gt;=$P$18,U586,0)</t>
  </si>
  <si>
    <t>=IF(AND($M586&gt;=$Q$16,$M586&lt;=$Q$18),U586,0)</t>
  </si>
  <si>
    <t>=IF(AND($M586&gt;=$R$16,$M586&lt;=$R$18),U586,0)</t>
  </si>
  <si>
    <t>=IF(AND($M586&gt;=$S$16,$M586&lt;=$S$18),U586,0)</t>
  </si>
  <si>
    <t>=IF($M586&lt;=$T$18,U586,0)</t>
  </si>
  <si>
    <t>="""NAV Direct"",""CRONUS JetCorp USA"",""21"",""1"",""364452"""</t>
  </si>
  <si>
    <t>=E585</t>
  </si>
  <si>
    <t>=StartDate-$M587+1</t>
  </si>
  <si>
    <t>=SUM(P587:T587)</t>
  </si>
  <si>
    <t>=IF($M587&gt;=$P$18,U587,0)</t>
  </si>
  <si>
    <t>=IF(AND($M587&gt;=$Q$16,$M587&lt;=$Q$18),U587,0)</t>
  </si>
  <si>
    <t>=IF(AND($M587&gt;=$R$16,$M587&lt;=$R$18),U587,0)</t>
  </si>
  <si>
    <t>=IF(AND($M587&gt;=$S$16,$M587&lt;=$S$18),U587,0)</t>
  </si>
  <si>
    <t>=IF($M587&lt;=$T$18,U587,0)</t>
  </si>
  <si>
    <t>="""NAV Direct"",""CRONUS JetCorp USA"",""21"",""1"",""364697"""</t>
  </si>
  <si>
    <t>=E586</t>
  </si>
  <si>
    <t>=StartDate-$M588+1</t>
  </si>
  <si>
    <t>=SUM(P588:T588)</t>
  </si>
  <si>
    <t>=IF($M588&gt;=$P$18,U588,0)</t>
  </si>
  <si>
    <t>=IF(AND($M588&gt;=$Q$16,$M588&lt;=$Q$18),U588,0)</t>
  </si>
  <si>
    <t>=IF(AND($M588&gt;=$R$16,$M588&lt;=$R$18),U588,0)</t>
  </si>
  <si>
    <t>=IF(AND($M588&gt;=$S$16,$M588&lt;=$S$18),U588,0)</t>
  </si>
  <si>
    <t>=IF($M588&lt;=$T$18,U588,0)</t>
  </si>
  <si>
    <t>="""NAV Direct"",""CRONUS JetCorp USA"",""21"",""1"",""364826"""</t>
  </si>
  <si>
    <t>=E587</t>
  </si>
  <si>
    <t>=StartDate-$M589+1</t>
  </si>
  <si>
    <t>=SUM(P589:T589)</t>
  </si>
  <si>
    <t>=IF($M589&gt;=$P$18,U589,0)</t>
  </si>
  <si>
    <t>=IF(AND($M589&gt;=$Q$16,$M589&lt;=$Q$18),U589,0)</t>
  </si>
  <si>
    <t>=IF(AND($M589&gt;=$R$16,$M589&lt;=$R$18),U589,0)</t>
  </si>
  <si>
    <t>=IF(AND($M589&gt;=$S$16,$M589&lt;=$S$18),U589,0)</t>
  </si>
  <si>
    <t>=IF($M589&lt;=$T$18,U589,0)</t>
  </si>
  <si>
    <t>="""NAV Direct"",""CRONUS JetCorp USA"",""21"",""1"",""364900"""</t>
  </si>
  <si>
    <t>=E588</t>
  </si>
  <si>
    <t>=StartDate-$M590+1</t>
  </si>
  <si>
    <t>=SUM(P590:T590)</t>
  </si>
  <si>
    <t>=IF($M590&gt;=$P$18,U590,0)</t>
  </si>
  <si>
    <t>=IF(AND($M590&gt;=$Q$16,$M590&lt;=$Q$18),U590,0)</t>
  </si>
  <si>
    <t>=IF(AND($M590&gt;=$R$16,$M590&lt;=$R$18),U590,0)</t>
  </si>
  <si>
    <t>=IF(AND($M590&gt;=$S$16,$M590&lt;=$S$18),U590,0)</t>
  </si>
  <si>
    <t>=IF($M590&lt;=$T$18,U590,0)</t>
  </si>
  <si>
    <t>="""NAV Direct"",""CRONUS JetCorp USA"",""21"",""1"",""364995"""</t>
  </si>
  <si>
    <t>=E589</t>
  </si>
  <si>
    <t>=StartDate-$M591+1</t>
  </si>
  <si>
    <t>=SUM(P591:T591)</t>
  </si>
  <si>
    <t>=IF($M591&gt;=$P$18,U591,0)</t>
  </si>
  <si>
    <t>=IF(AND($M591&gt;=$Q$16,$M591&lt;=$Q$18),U591,0)</t>
  </si>
  <si>
    <t>=IF(AND($M591&gt;=$R$16,$M591&lt;=$R$18),U591,0)</t>
  </si>
  <si>
    <t>=IF(AND($M591&gt;=$S$16,$M591&lt;=$S$18),U591,0)</t>
  </si>
  <si>
    <t>=IF($M591&lt;=$T$18,U591,0)</t>
  </si>
  <si>
    <t>="""NAV Direct"",""CRONUS JetCorp USA"",""21"",""1"",""365497"""</t>
  </si>
  <si>
    <t>=E590</t>
  </si>
  <si>
    <t>=StartDate-$M592+1</t>
  </si>
  <si>
    <t>=SUM(P592:T592)</t>
  </si>
  <si>
    <t>=IF($M592&gt;=$P$18,U592,0)</t>
  </si>
  <si>
    <t>=IF(AND($M592&gt;=$Q$16,$M592&lt;=$Q$18),U592,0)</t>
  </si>
  <si>
    <t>=IF(AND($M592&gt;=$R$16,$M592&lt;=$R$18),U592,0)</t>
  </si>
  <si>
    <t>=IF(AND($M592&gt;=$S$16,$M592&lt;=$S$18),U592,0)</t>
  </si>
  <si>
    <t>=IF($M592&lt;=$T$18,U592,0)</t>
  </si>
  <si>
    <t>="""NAV Direct"",""CRONUS JetCorp USA"",""21"",""1"",""365699"""</t>
  </si>
  <si>
    <t>=E591</t>
  </si>
  <si>
    <t>=StartDate-$M593+1</t>
  </si>
  <si>
    <t>=SUM(P593:T593)</t>
  </si>
  <si>
    <t>=IF($M593&gt;=$P$18,U593,0)</t>
  </si>
  <si>
    <t>=IF(AND($M593&gt;=$Q$16,$M593&lt;=$Q$18),U593,0)</t>
  </si>
  <si>
    <t>=IF(AND($M593&gt;=$R$16,$M593&lt;=$R$18),U593,0)</t>
  </si>
  <si>
    <t>=IF(AND($M593&gt;=$S$16,$M593&lt;=$S$18),U593,0)</t>
  </si>
  <si>
    <t>=IF($M593&lt;=$T$18,U593,0)</t>
  </si>
  <si>
    <t>="""NAV Direct"",""CRONUS JetCorp USA"",""21"",""1"",""365742"""</t>
  </si>
  <si>
    <t>=E592</t>
  </si>
  <si>
    <t>=StartDate-$M594+1</t>
  </si>
  <si>
    <t>=SUM(P594:T594)</t>
  </si>
  <si>
    <t>=IF($M594&gt;=$P$18,U594,0)</t>
  </si>
  <si>
    <t>=IF(AND($M594&gt;=$Q$16,$M594&lt;=$Q$18),U594,0)</t>
  </si>
  <si>
    <t>=IF(AND($M594&gt;=$R$16,$M594&lt;=$R$18),U594,0)</t>
  </si>
  <si>
    <t>=IF(AND($M594&gt;=$S$16,$M594&lt;=$S$18),U594,0)</t>
  </si>
  <si>
    <t>=IF($M594&lt;=$T$18,U594,0)</t>
  </si>
  <si>
    <t>="""NAV Direct"",""CRONUS JetCorp USA"",""21"",""1"",""365837"""</t>
  </si>
  <si>
    <t>=E593</t>
  </si>
  <si>
    <t>=StartDate-$M595+1</t>
  </si>
  <si>
    <t>=SUM(P595:T595)</t>
  </si>
  <si>
    <t>=IF($M595&gt;=$P$18,U595,0)</t>
  </si>
  <si>
    <t>=IF(AND($M595&gt;=$Q$16,$M595&lt;=$Q$18),U595,0)</t>
  </si>
  <si>
    <t>=IF(AND($M595&gt;=$R$16,$M595&lt;=$R$18),U595,0)</t>
  </si>
  <si>
    <t>=IF(AND($M595&gt;=$S$16,$M595&lt;=$S$18),U595,0)</t>
  </si>
  <si>
    <t>=IF($M595&lt;=$T$18,U595,0)</t>
  </si>
  <si>
    <t>="""NAV Direct"",""CRONUS JetCorp USA"",""21"",""1"",""365983"""</t>
  </si>
  <si>
    <t>=E594</t>
  </si>
  <si>
    <t>=StartDate-$M596+1</t>
  </si>
  <si>
    <t>=SUM(P596:T596)</t>
  </si>
  <si>
    <t>=IF($M596&gt;=$P$18,U596,0)</t>
  </si>
  <si>
    <t>=IF(AND($M596&gt;=$Q$16,$M596&lt;=$Q$18),U596,0)</t>
  </si>
  <si>
    <t>=IF(AND($M596&gt;=$R$16,$M596&lt;=$R$18),U596,0)</t>
  </si>
  <si>
    <t>=IF(AND($M596&gt;=$S$16,$M596&lt;=$S$18),U596,0)</t>
  </si>
  <si>
    <t>=IF($M596&lt;=$T$18,U596,0)</t>
  </si>
  <si>
    <t>="""NAV Direct"",""CRONUS JetCorp USA"",""21"",""1"",""366234"""</t>
  </si>
  <si>
    <t>=E595</t>
  </si>
  <si>
    <t>=StartDate-$M597+1</t>
  </si>
  <si>
    <t>=SUM(P597:T597)</t>
  </si>
  <si>
    <t>=IF($M597&gt;=$P$18,U597,0)</t>
  </si>
  <si>
    <t>=IF(AND($M597&gt;=$Q$16,$M597&lt;=$Q$18),U597,0)</t>
  </si>
  <si>
    <t>=IF(AND($M597&gt;=$R$16,$M597&lt;=$R$18),U597,0)</t>
  </si>
  <si>
    <t>=IF(AND($M597&gt;=$S$16,$M597&lt;=$S$18),U597,0)</t>
  </si>
  <si>
    <t>=IF($M597&lt;=$T$18,U597,0)</t>
  </si>
  <si>
    <t>="""NAV Direct"",""CRONUS JetCorp USA"",""21"",""1"",""366610"""</t>
  </si>
  <si>
    <t>=E596</t>
  </si>
  <si>
    <t>=StartDate-$M598+1</t>
  </si>
  <si>
    <t>=SUM(P598:T598)</t>
  </si>
  <si>
    <t>=IF($M598&gt;=$P$18,U598,0)</t>
  </si>
  <si>
    <t>=IF(AND($M598&gt;=$Q$16,$M598&lt;=$Q$18),U598,0)</t>
  </si>
  <si>
    <t>=IF(AND($M598&gt;=$R$16,$M598&lt;=$R$18),U598,0)</t>
  </si>
  <si>
    <t>=IF(AND($M598&gt;=$S$16,$M598&lt;=$S$18),U598,0)</t>
  </si>
  <si>
    <t>=IF($M598&lt;=$T$18,U598,0)</t>
  </si>
  <si>
    <t>="""NAV Direct"",""CRONUS JetCorp USA"",""21"",""1"",""366667"""</t>
  </si>
  <si>
    <t>=E597</t>
  </si>
  <si>
    <t>=StartDate-$M599+1</t>
  </si>
  <si>
    <t>=SUM(P599:T599)</t>
  </si>
  <si>
    <t>=IF($M599&gt;=$P$18,U599,0)</t>
  </si>
  <si>
    <t>=IF(AND($M599&gt;=$Q$16,$M599&lt;=$Q$18),U599,0)</t>
  </si>
  <si>
    <t>=IF(AND($M599&gt;=$R$16,$M599&lt;=$R$18),U599,0)</t>
  </si>
  <si>
    <t>=IF(AND($M599&gt;=$S$16,$M599&lt;=$S$18),U599,0)</t>
  </si>
  <si>
    <t>=IF($M599&lt;=$T$18,U599,0)</t>
  </si>
  <si>
    <t>="""NAV Direct"",""CRONUS JetCorp USA"",""21"",""1"",""367766"""</t>
  </si>
  <si>
    <t>=E598</t>
  </si>
  <si>
    <t>=StartDate-$M600+1</t>
  </si>
  <si>
    <t>=SUM(P600:T600)</t>
  </si>
  <si>
    <t>=IF($M600&gt;=$P$18,U600,0)</t>
  </si>
  <si>
    <t>=IF(AND($M600&gt;=$Q$16,$M600&lt;=$Q$18),U600,0)</t>
  </si>
  <si>
    <t>=IF(AND($M600&gt;=$R$16,$M600&lt;=$R$18),U600,0)</t>
  </si>
  <si>
    <t>=IF(AND($M600&gt;=$S$16,$M600&lt;=$S$18),U600,0)</t>
  </si>
  <si>
    <t>=IF($M600&lt;=$T$18,U600,0)</t>
  </si>
  <si>
    <t>="""NAV Direct"",""CRONUS JetCorp USA"",""21"",""1"",""367918"""</t>
  </si>
  <si>
    <t>=E599</t>
  </si>
  <si>
    <t>=StartDate-$M601+1</t>
  </si>
  <si>
    <t>=SUM(P601:T601)</t>
  </si>
  <si>
    <t>=IF($M601&gt;=$P$18,U601,0)</t>
  </si>
  <si>
    <t>=IF(AND($M601&gt;=$Q$16,$M601&lt;=$Q$18),U601,0)</t>
  </si>
  <si>
    <t>=IF(AND($M601&gt;=$R$16,$M601&lt;=$R$18),U601,0)</t>
  </si>
  <si>
    <t>=IF(AND($M601&gt;=$S$16,$M601&lt;=$S$18),U601,0)</t>
  </si>
  <si>
    <t>=IF($M601&lt;=$T$18,U601,0)</t>
  </si>
  <si>
    <t>="""NAV Direct"",""CRONUS JetCorp USA"",""21"",""1"",""367957"""</t>
  </si>
  <si>
    <t>=E600</t>
  </si>
  <si>
    <t>=StartDate-$M602+1</t>
  </si>
  <si>
    <t>=SUM(P602:T602)</t>
  </si>
  <si>
    <t>=IF($M602&gt;=$P$18,U602,0)</t>
  </si>
  <si>
    <t>=IF(AND($M602&gt;=$Q$16,$M602&lt;=$Q$18),U602,0)</t>
  </si>
  <si>
    <t>=IF(AND($M602&gt;=$R$16,$M602&lt;=$R$18),U602,0)</t>
  </si>
  <si>
    <t>=IF(AND($M602&gt;=$S$16,$M602&lt;=$S$18),U602,0)</t>
  </si>
  <si>
    <t>=IF($M602&lt;=$T$18,U602,0)</t>
  </si>
  <si>
    <t>="""NAV Direct"",""CRONUS JetCorp USA"",""21"",""1"",""368694"""</t>
  </si>
  <si>
    <t>=E601</t>
  </si>
  <si>
    <t>=StartDate-$M603+1</t>
  </si>
  <si>
    <t>=SUM(P603:T603)</t>
  </si>
  <si>
    <t>=IF($M603&gt;=$P$18,U603,0)</t>
  </si>
  <si>
    <t>=IF(AND($M603&gt;=$Q$16,$M603&lt;=$Q$18),U603,0)</t>
  </si>
  <si>
    <t>=IF(AND($M603&gt;=$R$16,$M603&lt;=$R$18),U603,0)</t>
  </si>
  <si>
    <t>=IF(AND($M603&gt;=$S$16,$M603&lt;=$S$18),U603,0)</t>
  </si>
  <si>
    <t>=IF($M603&lt;=$T$18,U603,0)</t>
  </si>
  <si>
    <t>="""NAV Direct"",""CRONUS JetCorp USA"",""21"",""1"",""368912"""</t>
  </si>
  <si>
    <t>=E602</t>
  </si>
  <si>
    <t>=StartDate-$M604+1</t>
  </si>
  <si>
    <t>=SUM(P604:T604)</t>
  </si>
  <si>
    <t>=IF($M604&gt;=$P$18,U604,0)</t>
  </si>
  <si>
    <t>=IF(AND($M604&gt;=$Q$16,$M604&lt;=$Q$18),U604,0)</t>
  </si>
  <si>
    <t>=IF(AND($M604&gt;=$R$16,$M604&lt;=$R$18),U604,0)</t>
  </si>
  <si>
    <t>=IF(AND($M604&gt;=$S$16,$M604&lt;=$S$18),U604,0)</t>
  </si>
  <si>
    <t>=IF($M604&lt;=$T$18,U604,0)</t>
  </si>
  <si>
    <t>="""NAV Direct"",""CRONUS JetCorp USA"",""21"",""1"",""369112"""</t>
  </si>
  <si>
    <t>=E603</t>
  </si>
  <si>
    <t>=StartDate-$M605+1</t>
  </si>
  <si>
    <t>=SUM(P605:T605)</t>
  </si>
  <si>
    <t>=IF($M605&gt;=$P$18,U605,0)</t>
  </si>
  <si>
    <t>=IF(AND($M605&gt;=$Q$16,$M605&lt;=$Q$18),U605,0)</t>
  </si>
  <si>
    <t>=IF(AND($M605&gt;=$R$16,$M605&lt;=$R$18),U605,0)</t>
  </si>
  <si>
    <t>=IF(AND($M605&gt;=$S$16,$M605&lt;=$S$18),U605,0)</t>
  </si>
  <si>
    <t>=IF($M605&lt;=$T$18,U605,0)</t>
  </si>
  <si>
    <t>="""NAV Direct"",""CRONUS JetCorp USA"",""21"",""1"",""369470"""</t>
  </si>
  <si>
    <t>=E604</t>
  </si>
  <si>
    <t>=StartDate-$M606+1</t>
  </si>
  <si>
    <t>=SUM(P606:T606)</t>
  </si>
  <si>
    <t>=IF($M606&gt;=$P$18,U606,0)</t>
  </si>
  <si>
    <t>=IF(AND($M606&gt;=$Q$16,$M606&lt;=$Q$18),U606,0)</t>
  </si>
  <si>
    <t>=IF(AND($M606&gt;=$R$16,$M606&lt;=$R$18),U606,0)</t>
  </si>
  <si>
    <t>=IF(AND($M606&gt;=$S$16,$M606&lt;=$S$18),U606,0)</t>
  </si>
  <si>
    <t>=IF($M606&lt;=$T$18,U606,0)</t>
  </si>
  <si>
    <t>="""NAV Direct"",""CRONUS JetCorp USA"",""21"",""1"",""369717"""</t>
  </si>
  <si>
    <t>=E605</t>
  </si>
  <si>
    <t>=StartDate-$M607+1</t>
  </si>
  <si>
    <t>=SUM(P607:T607)</t>
  </si>
  <si>
    <t>=IF($M607&gt;=$P$18,U607,0)</t>
  </si>
  <si>
    <t>=IF(AND($M607&gt;=$Q$16,$M607&lt;=$Q$18),U607,0)</t>
  </si>
  <si>
    <t>=IF(AND($M607&gt;=$R$16,$M607&lt;=$R$18),U607,0)</t>
  </si>
  <si>
    <t>=IF(AND($M607&gt;=$S$16,$M607&lt;=$S$18),U607,0)</t>
  </si>
  <si>
    <t>=IF($M607&lt;=$T$18,U607,0)</t>
  </si>
  <si>
    <t>="""NAV Direct"",""CRONUS JetCorp USA"",""21"",""1"",""370118"""</t>
  </si>
  <si>
    <t>=E606</t>
  </si>
  <si>
    <t>=StartDate-$M608+1</t>
  </si>
  <si>
    <t>=SUM(P608:T608)</t>
  </si>
  <si>
    <t>=IF($M608&gt;=$P$18,U608,0)</t>
  </si>
  <si>
    <t>=IF(AND($M608&gt;=$Q$16,$M608&lt;=$Q$18),U608,0)</t>
  </si>
  <si>
    <t>=IF(AND($M608&gt;=$R$16,$M608&lt;=$R$18),U608,0)</t>
  </si>
  <si>
    <t>=IF(AND($M608&gt;=$S$16,$M608&lt;=$S$18),U608,0)</t>
  </si>
  <si>
    <t>=IF($M608&lt;=$T$18,U608,0)</t>
  </si>
  <si>
    <t>="""NAV Direct"",""CRONUS JetCorp USA"",""21"",""1"",""370155"""</t>
  </si>
  <si>
    <t>=E607</t>
  </si>
  <si>
    <t>=StartDate-$M609+1</t>
  </si>
  <si>
    <t>=SUM(P609:T609)</t>
  </si>
  <si>
    <t>=IF($M609&gt;=$P$18,U609,0)</t>
  </si>
  <si>
    <t>=IF(AND($M609&gt;=$Q$16,$M609&lt;=$Q$18),U609,0)</t>
  </si>
  <si>
    <t>=IF(AND($M609&gt;=$R$16,$M609&lt;=$R$18),U609,0)</t>
  </si>
  <si>
    <t>=IF(AND($M609&gt;=$S$16,$M609&lt;=$S$18),U609,0)</t>
  </si>
  <si>
    <t>=IF($M609&lt;=$T$18,U609,0)</t>
  </si>
  <si>
    <t>="""NAV Direct"",""CRONUS JetCorp USA"",""21"",""1"",""435808"""</t>
  </si>
  <si>
    <t>=E608</t>
  </si>
  <si>
    <t>=StartDate-$M610+1</t>
  </si>
  <si>
    <t>=SUM(P610:T610)</t>
  </si>
  <si>
    <t>=IF($M610&gt;=$P$18,U610,0)</t>
  </si>
  <si>
    <t>=IF(AND($M610&gt;=$Q$16,$M610&lt;=$Q$18),U610,0)</t>
  </si>
  <si>
    <t>=IF(AND($M610&gt;=$R$16,$M610&lt;=$R$18),U610,0)</t>
  </si>
  <si>
    <t>=IF(AND($M610&gt;=$S$16,$M610&lt;=$S$18),U610,0)</t>
  </si>
  <si>
    <t>=IF($M610&lt;=$T$18,U610,0)</t>
  </si>
  <si>
    <t>="""NAV Direct"",""CRONUS JetCorp USA"",""21"",""1"",""435885"""</t>
  </si>
  <si>
    <t>=E609</t>
  </si>
  <si>
    <t>=StartDate-$M611+1</t>
  </si>
  <si>
    <t>=SUM(P611:T611)</t>
  </si>
  <si>
    <t>=IF($M611&gt;=$P$18,U611,0)</t>
  </si>
  <si>
    <t>=IF(AND($M611&gt;=$Q$16,$M611&lt;=$Q$18),U611,0)</t>
  </si>
  <si>
    <t>=IF(AND($M611&gt;=$R$16,$M611&lt;=$R$18),U611,0)</t>
  </si>
  <si>
    <t>=IF(AND($M611&gt;=$S$16,$M611&lt;=$S$18),U611,0)</t>
  </si>
  <si>
    <t>=IF($M611&lt;=$T$18,U611,0)</t>
  </si>
  <si>
    <t>="""NAV Direct"",""CRONUS JetCorp USA"",""21"",""1"",""435981"""</t>
  </si>
  <si>
    <t>=E610</t>
  </si>
  <si>
    <t>=StartDate-$M612+1</t>
  </si>
  <si>
    <t>=SUM(P612:T612)</t>
  </si>
  <si>
    <t>=IF($M612&gt;=$P$18,U612,0)</t>
  </si>
  <si>
    <t>=IF(AND($M612&gt;=$Q$16,$M612&lt;=$Q$18),U612,0)</t>
  </si>
  <si>
    <t>=IF(AND($M612&gt;=$R$16,$M612&lt;=$R$18),U612,0)</t>
  </si>
  <si>
    <t>=IF(AND($M612&gt;=$S$16,$M612&lt;=$S$18),U612,0)</t>
  </si>
  <si>
    <t>=IF($M612&lt;=$T$18,U612,0)</t>
  </si>
  <si>
    <t>="""NAV Direct"",""CRONUS JetCorp USA"",""21"",""1"",""436075"""</t>
  </si>
  <si>
    <t>=E611</t>
  </si>
  <si>
    <t>=StartDate-$M613+1</t>
  </si>
  <si>
    <t>=SUM(P613:T613)</t>
  </si>
  <si>
    <t>=IF($M613&gt;=$P$18,U613,0)</t>
  </si>
  <si>
    <t>=IF(AND($M613&gt;=$Q$16,$M613&lt;=$Q$18),U613,0)</t>
  </si>
  <si>
    <t>=IF(AND($M613&gt;=$R$16,$M613&lt;=$R$18),U613,0)</t>
  </si>
  <si>
    <t>=IF(AND($M613&gt;=$S$16,$M613&lt;=$S$18),U613,0)</t>
  </si>
  <si>
    <t>=IF($M613&lt;=$T$18,U613,0)</t>
  </si>
  <si>
    <t>="""NAV Direct"",""CRONUS JetCorp USA"",""21"",""1"",""436224"""</t>
  </si>
  <si>
    <t>=E612</t>
  </si>
  <si>
    <t>=StartDate-$M614+1</t>
  </si>
  <si>
    <t>=SUM(P614:T614)</t>
  </si>
  <si>
    <t>=IF($M614&gt;=$P$18,U614,0)</t>
  </si>
  <si>
    <t>=IF(AND($M614&gt;=$Q$16,$M614&lt;=$Q$18),U614,0)</t>
  </si>
  <si>
    <t>=IF(AND($M614&gt;=$R$16,$M614&lt;=$R$18),U614,0)</t>
  </si>
  <si>
    <t>=IF(AND($M614&gt;=$S$16,$M614&lt;=$S$18),U614,0)</t>
  </si>
  <si>
    <t>=IF($M614&lt;=$T$18,U614,0)</t>
  </si>
  <si>
    <t>="""NAV Direct"",""CRONUS JetCorp USA"",""21"",""1"",""436363"""</t>
  </si>
  <si>
    <t>=E613</t>
  </si>
  <si>
    <t>=StartDate-$M615+1</t>
  </si>
  <si>
    <t>=SUM(P615:T615)</t>
  </si>
  <si>
    <t>=IF($M615&gt;=$P$18,U615,0)</t>
  </si>
  <si>
    <t>=IF(AND($M615&gt;=$Q$16,$M615&lt;=$Q$18),U615,0)</t>
  </si>
  <si>
    <t>=IF(AND($M615&gt;=$R$16,$M615&lt;=$R$18),U615,0)</t>
  </si>
  <si>
    <t>=IF(AND($M615&gt;=$S$16,$M615&lt;=$S$18),U615,0)</t>
  </si>
  <si>
    <t>=IF($M615&lt;=$T$18,U615,0)</t>
  </si>
  <si>
    <t>="""NAV Direct"",""CRONUS JetCorp USA"",""21"",""1"",""436434"""</t>
  </si>
  <si>
    <t>=E614</t>
  </si>
  <si>
    <t>=StartDate-$M616+1</t>
  </si>
  <si>
    <t>=SUM(P616:T616)</t>
  </si>
  <si>
    <t>=IF($M616&gt;=$P$18,U616,0)</t>
  </si>
  <si>
    <t>=IF(AND($M616&gt;=$Q$16,$M616&lt;=$Q$18),U616,0)</t>
  </si>
  <si>
    <t>=IF(AND($M616&gt;=$R$16,$M616&lt;=$R$18),U616,0)</t>
  </si>
  <si>
    <t>=IF(AND($M616&gt;=$S$16,$M616&lt;=$S$18),U616,0)</t>
  </si>
  <si>
    <t>=IF($M616&lt;=$T$18,U616,0)</t>
  </si>
  <si>
    <t>="""NAV Direct"",""CRONUS JetCorp USA"",""21"",""1"",""436460"""</t>
  </si>
  <si>
    <t>=E615</t>
  </si>
  <si>
    <t>=StartDate-$M617+1</t>
  </si>
  <si>
    <t>=SUM(P617:T617)</t>
  </si>
  <si>
    <t>=IF($M617&gt;=$P$18,U617,0)</t>
  </si>
  <si>
    <t>=IF(AND($M617&gt;=$Q$16,$M617&lt;=$Q$18),U617,0)</t>
  </si>
  <si>
    <t>=IF(AND($M617&gt;=$R$16,$M617&lt;=$R$18),U617,0)</t>
  </si>
  <si>
    <t>=IF(AND($M617&gt;=$S$16,$M617&lt;=$S$18),U617,0)</t>
  </si>
  <si>
    <t>=IF($M617&lt;=$T$18,U617,0)</t>
  </si>
  <si>
    <t>="""NAV Direct"",""CRONUS JetCorp USA"",""21"",""1"",""436547"""</t>
  </si>
  <si>
    <t>=E616</t>
  </si>
  <si>
    <t>=StartDate-$M618+1</t>
  </si>
  <si>
    <t>=SUM(P618:T618)</t>
  </si>
  <si>
    <t>=IF($M618&gt;=$P$18,U618,0)</t>
  </si>
  <si>
    <t>=IF(AND($M618&gt;=$Q$16,$M618&lt;=$Q$18),U618,0)</t>
  </si>
  <si>
    <t>=IF(AND($M618&gt;=$R$16,$M618&lt;=$R$18),U618,0)</t>
  </si>
  <si>
    <t>=IF(AND($M618&gt;=$S$16,$M618&lt;=$S$18),U618,0)</t>
  </si>
  <si>
    <t>=IF($M618&lt;=$T$18,U618,0)</t>
  </si>
  <si>
    <t>="""NAV Direct"",""CRONUS JetCorp USA"",""21"",""1"",""436701"""</t>
  </si>
  <si>
    <t>=E617</t>
  </si>
  <si>
    <t>=StartDate-$M619+1</t>
  </si>
  <si>
    <t>=SUM(P619:T619)</t>
  </si>
  <si>
    <t>=IF($M619&gt;=$P$18,U619,0)</t>
  </si>
  <si>
    <t>=IF(AND($M619&gt;=$Q$16,$M619&lt;=$Q$18),U619,0)</t>
  </si>
  <si>
    <t>=IF(AND($M619&gt;=$R$16,$M619&lt;=$R$18),U619,0)</t>
  </si>
  <si>
    <t>=IF(AND($M619&gt;=$S$16,$M619&lt;=$S$18),U619,0)</t>
  </si>
  <si>
    <t>=IF($M619&lt;=$T$18,U619,0)</t>
  </si>
  <si>
    <t>="""NAV Direct"",""CRONUS JetCorp USA"",""21"",""1"",""436947"""</t>
  </si>
  <si>
    <t>=E618</t>
  </si>
  <si>
    <t>=StartDate-$M620+1</t>
  </si>
  <si>
    <t>=SUM(P620:T620)</t>
  </si>
  <si>
    <t>=IF($M620&gt;=$P$18,U620,0)</t>
  </si>
  <si>
    <t>=IF(AND($M620&gt;=$Q$16,$M620&lt;=$Q$18),U620,0)</t>
  </si>
  <si>
    <t>=IF(AND($M620&gt;=$R$16,$M620&lt;=$R$18),U620,0)</t>
  </si>
  <si>
    <t>=IF(AND($M620&gt;=$S$16,$M620&lt;=$S$18),U620,0)</t>
  </si>
  <si>
    <t>=IF($M620&lt;=$T$18,U620,0)</t>
  </si>
  <si>
    <t>="""NAV Direct"",""CRONUS JetCorp USA"",""18"",""1"",""C100030"""</t>
  </si>
  <si>
    <t>=H623</t>
  </si>
  <si>
    <t>=NF($C623,"1 No.")</t>
  </si>
  <si>
    <t>=NF($C623,"1 No.")&amp;"  -  "&amp;NF($C623,"2 Name")</t>
  </si>
  <si>
    <t>=IFERROR(O623/NF(C623,"Credit Limit (LCY)"),"")</t>
  </si>
  <si>
    <t>=SUBTOTAL(3,L624:L693)</t>
  </si>
  <si>
    <t>=SUBTOTAL(9,O624:O693)</t>
  </si>
  <si>
    <t>=SUBTOTAL(9,P624:P693)</t>
  </si>
  <si>
    <t>=SUBTOTAL(9,Q624:Q693)</t>
  </si>
  <si>
    <t>=SUBTOTAL(9,R624:R693)</t>
  </si>
  <si>
    <t>=SUBTOTAL(9,S624:S693)</t>
  </si>
  <si>
    <t>=SUBTOTAL(9,T624:T693)</t>
  </si>
  <si>
    <t>=C623</t>
  </si>
  <si>
    <t>=E623</t>
  </si>
  <si>
    <t>="Contact: "&amp;NF($C624,"8 Contact")</t>
  </si>
  <si>
    <t>=C624</t>
  </si>
  <si>
    <t>=E624</t>
  </si>
  <si>
    <t>=NF($C625,"102 E-Mail")</t>
  </si>
  <si>
    <t>=NL("Rows","21 Cust. Ledger Entry",,"3 Customer No.","@@"&amp;$E627,"16 Remaining Amt. (LCY)","&lt;&gt;0")</t>
  </si>
  <si>
    <t>=E625</t>
  </si>
  <si>
    <t>=StartDate-$M627+1</t>
  </si>
  <si>
    <t>=SUM(P627:T627)</t>
  </si>
  <si>
    <t>=IF($M627&gt;=$P$18,U627,0)</t>
  </si>
  <si>
    <t>=IF(AND($M627&gt;=$Q$16,$M627&lt;=$Q$18),U627,0)</t>
  </si>
  <si>
    <t>=IF(AND($M627&gt;=$R$16,$M627&lt;=$R$18),U627,0)</t>
  </si>
  <si>
    <t>=IF(AND($M627&gt;=$S$16,$M627&lt;=$S$18),U627,0)</t>
  </si>
  <si>
    <t>=IF($M627&lt;=$T$18,U627,0)</t>
  </si>
  <si>
    <t>="""NAV Direct"",""CRONUS JetCorp USA"",""21"",""1"",""22750"""</t>
  </si>
  <si>
    <t>=E626</t>
  </si>
  <si>
    <t>=StartDate-$M628+1</t>
  </si>
  <si>
    <t>=SUM(P628:T628)</t>
  </si>
  <si>
    <t>=IF($M628&gt;=$P$18,U628,0)</t>
  </si>
  <si>
    <t>=IF(AND($M628&gt;=$Q$16,$M628&lt;=$Q$18),U628,0)</t>
  </si>
  <si>
    <t>=IF(AND($M628&gt;=$R$16,$M628&lt;=$R$18),U628,0)</t>
  </si>
  <si>
    <t>=IF(AND($M628&gt;=$S$16,$M628&lt;=$S$18),U628,0)</t>
  </si>
  <si>
    <t>=IF($M628&lt;=$T$18,U628,0)</t>
  </si>
  <si>
    <t>="""NAV Direct"",""CRONUS JetCorp USA"",""21"",""1"",""23049"""</t>
  </si>
  <si>
    <t>=E627</t>
  </si>
  <si>
    <t>=StartDate-$M629+1</t>
  </si>
  <si>
    <t>=SUM(P629:T629)</t>
  </si>
  <si>
    <t>=IF($M629&gt;=$P$18,U629,0)</t>
  </si>
  <si>
    <t>=IF(AND($M629&gt;=$Q$16,$M629&lt;=$Q$18),U629,0)</t>
  </si>
  <si>
    <t>=IF(AND($M629&gt;=$R$16,$M629&lt;=$R$18),U629,0)</t>
  </si>
  <si>
    <t>=IF(AND($M629&gt;=$S$16,$M629&lt;=$S$18),U629,0)</t>
  </si>
  <si>
    <t>=IF($M629&lt;=$T$18,U629,0)</t>
  </si>
  <si>
    <t>="""NAV Direct"",""CRONUS JetCorp USA"",""21"",""1"",""313582"""</t>
  </si>
  <si>
    <t>=E628</t>
  </si>
  <si>
    <t>=StartDate-$M630+1</t>
  </si>
  <si>
    <t>=SUM(P630:T630)</t>
  </si>
  <si>
    <t>=IF($M630&gt;=$P$18,U630,0)</t>
  </si>
  <si>
    <t>=IF(AND($M630&gt;=$Q$16,$M630&lt;=$Q$18),U630,0)</t>
  </si>
  <si>
    <t>=IF(AND($M630&gt;=$R$16,$M630&lt;=$R$18),U630,0)</t>
  </si>
  <si>
    <t>=IF(AND($M630&gt;=$S$16,$M630&lt;=$S$18),U630,0)</t>
  </si>
  <si>
    <t>=IF($M630&lt;=$T$18,U630,0)</t>
  </si>
  <si>
    <t>="""NAV Direct"",""CRONUS JetCorp USA"",""21"",""1"",""313657"""</t>
  </si>
  <si>
    <t>=E629</t>
  </si>
  <si>
    <t>=StartDate-$M631+1</t>
  </si>
  <si>
    <t>=SUM(P631:T631)</t>
  </si>
  <si>
    <t>=IF($M631&gt;=$P$18,U631,0)</t>
  </si>
  <si>
    <t>=IF(AND($M631&gt;=$Q$16,$M631&lt;=$Q$18),U631,0)</t>
  </si>
  <si>
    <t>=IF(AND($M631&gt;=$R$16,$M631&lt;=$R$18),U631,0)</t>
  </si>
  <si>
    <t>=IF(AND($M631&gt;=$S$16,$M631&lt;=$S$18),U631,0)</t>
  </si>
  <si>
    <t>=IF($M631&lt;=$T$18,U631,0)</t>
  </si>
  <si>
    <t>="""NAV Direct"",""CRONUS JetCorp USA"",""21"",""1"",""313682"""</t>
  </si>
  <si>
    <t>=E630</t>
  </si>
  <si>
    <t>=StartDate-$M632+1</t>
  </si>
  <si>
    <t>=SUM(P632:T632)</t>
  </si>
  <si>
    <t>=IF($M632&gt;=$P$18,U632,0)</t>
  </si>
  <si>
    <t>=IF(AND($M632&gt;=$Q$16,$M632&lt;=$Q$18),U632,0)</t>
  </si>
  <si>
    <t>=IF(AND($M632&gt;=$R$16,$M632&lt;=$R$18),U632,0)</t>
  </si>
  <si>
    <t>=IF(AND($M632&gt;=$S$16,$M632&lt;=$S$18),U632,0)</t>
  </si>
  <si>
    <t>=IF($M632&lt;=$T$18,U632,0)</t>
  </si>
  <si>
    <t>="""NAV Direct"",""CRONUS JetCorp USA"",""21"",""1"",""313884"""</t>
  </si>
  <si>
    <t>=E631</t>
  </si>
  <si>
    <t>=StartDate-$M633+1</t>
  </si>
  <si>
    <t>=SUM(P633:T633)</t>
  </si>
  <si>
    <t>=IF($M633&gt;=$P$18,U633,0)</t>
  </si>
  <si>
    <t>=IF(AND($M633&gt;=$Q$16,$M633&lt;=$Q$18),U633,0)</t>
  </si>
  <si>
    <t>=IF(AND($M633&gt;=$R$16,$M633&lt;=$R$18),U633,0)</t>
  </si>
  <si>
    <t>=IF(AND($M633&gt;=$S$16,$M633&lt;=$S$18),U633,0)</t>
  </si>
  <si>
    <t>=IF($M633&lt;=$T$18,U633,0)</t>
  </si>
  <si>
    <t>="""NAV Direct"",""CRONUS JetCorp USA"",""21"",""1"",""314070"""</t>
  </si>
  <si>
    <t>=E632</t>
  </si>
  <si>
    <t>=StartDate-$M634+1</t>
  </si>
  <si>
    <t>=SUM(P634:T634)</t>
  </si>
  <si>
    <t>=IF($M634&gt;=$P$18,U634,0)</t>
  </si>
  <si>
    <t>=IF(AND($M634&gt;=$Q$16,$M634&lt;=$Q$18),U634,0)</t>
  </si>
  <si>
    <t>=IF(AND($M634&gt;=$R$16,$M634&lt;=$R$18),U634,0)</t>
  </si>
  <si>
    <t>=IF(AND($M634&gt;=$S$16,$M634&lt;=$S$18),U634,0)</t>
  </si>
  <si>
    <t>=IF($M634&lt;=$T$18,U634,0)</t>
  </si>
  <si>
    <t>="""NAV Direct"",""CRONUS JetCorp USA"",""21"",""1"",""314141"""</t>
  </si>
  <si>
    <t>=E633</t>
  </si>
  <si>
    <t>=StartDate-$M635+1</t>
  </si>
  <si>
    <t>=SUM(P635:T635)</t>
  </si>
  <si>
    <t>=IF($M635&gt;=$P$18,U635,0)</t>
  </si>
  <si>
    <t>=IF(AND($M635&gt;=$Q$16,$M635&lt;=$Q$18),U635,0)</t>
  </si>
  <si>
    <t>=IF(AND($M635&gt;=$R$16,$M635&lt;=$R$18),U635,0)</t>
  </si>
  <si>
    <t>=IF(AND($M635&gt;=$S$16,$M635&lt;=$S$18),U635,0)</t>
  </si>
  <si>
    <t>=IF($M635&lt;=$T$18,U635,0)</t>
  </si>
  <si>
    <t>="""NAV Direct"",""CRONUS JetCorp USA"",""21"",""1"",""314164"""</t>
  </si>
  <si>
    <t>=E634</t>
  </si>
  <si>
    <t>=StartDate-$M636+1</t>
  </si>
  <si>
    <t>=SUM(P636:T636)</t>
  </si>
  <si>
    <t>=IF($M636&gt;=$P$18,U636,0)</t>
  </si>
  <si>
    <t>=IF(AND($M636&gt;=$Q$16,$M636&lt;=$Q$18),U636,0)</t>
  </si>
  <si>
    <t>=IF(AND($M636&gt;=$R$16,$M636&lt;=$R$18),U636,0)</t>
  </si>
  <si>
    <t>=IF(AND($M636&gt;=$S$16,$M636&lt;=$S$18),U636,0)</t>
  </si>
  <si>
    <t>=IF($M636&lt;=$T$18,U636,0)</t>
  </si>
  <si>
    <t>="""NAV Direct"",""CRONUS JetCorp USA"",""21"",""1"",""314208"""</t>
  </si>
  <si>
    <t>=E635</t>
  </si>
  <si>
    <t>=StartDate-$M637+1</t>
  </si>
  <si>
    <t>=SUM(P637:T637)</t>
  </si>
  <si>
    <t>=IF($M637&gt;=$P$18,U637,0)</t>
  </si>
  <si>
    <t>=IF(AND($M637&gt;=$Q$16,$M637&lt;=$Q$18),U637,0)</t>
  </si>
  <si>
    <t>=IF(AND($M637&gt;=$R$16,$M637&lt;=$R$18),U637,0)</t>
  </si>
  <si>
    <t>=IF(AND($M637&gt;=$S$16,$M637&lt;=$S$18),U637,0)</t>
  </si>
  <si>
    <t>=IF($M637&lt;=$T$18,U637,0)</t>
  </si>
  <si>
    <t>="""NAV Direct"",""CRONUS JetCorp USA"",""21"",""1"",""314235"""</t>
  </si>
  <si>
    <t>=E636</t>
  </si>
  <si>
    <t>=StartDate-$M638+1</t>
  </si>
  <si>
    <t>=SUM(P638:T638)</t>
  </si>
  <si>
    <t>=IF($M638&gt;=$P$18,U638,0)</t>
  </si>
  <si>
    <t>=IF(AND($M638&gt;=$Q$16,$M638&lt;=$Q$18),U638,0)</t>
  </si>
  <si>
    <t>=IF(AND($M638&gt;=$R$16,$M638&lt;=$R$18),U638,0)</t>
  </si>
  <si>
    <t>=IF(AND($M638&gt;=$S$16,$M638&lt;=$S$18),U638,0)</t>
  </si>
  <si>
    <t>=IF($M638&lt;=$T$18,U638,0)</t>
  </si>
  <si>
    <t>="""NAV Direct"",""CRONUS JetCorp USA"",""21"",""1"",""314439"""</t>
  </si>
  <si>
    <t>=E637</t>
  </si>
  <si>
    <t>=StartDate-$M639+1</t>
  </si>
  <si>
    <t>=SUM(P639:T639)</t>
  </si>
  <si>
    <t>=IF($M639&gt;=$P$18,U639,0)</t>
  </si>
  <si>
    <t>=IF(AND($M639&gt;=$Q$16,$M639&lt;=$Q$18),U639,0)</t>
  </si>
  <si>
    <t>=IF(AND($M639&gt;=$R$16,$M639&lt;=$R$18),U639,0)</t>
  </si>
  <si>
    <t>=IF(AND($M639&gt;=$S$16,$M639&lt;=$S$18),U639,0)</t>
  </si>
  <si>
    <t>=IF($M639&lt;=$T$18,U639,0)</t>
  </si>
  <si>
    <t>="""NAV Direct"",""CRONUS JetCorp USA"",""21"",""1"",""314622"""</t>
  </si>
  <si>
    <t>=E638</t>
  </si>
  <si>
    <t>=StartDate-$M640+1</t>
  </si>
  <si>
    <t>=SUM(P640:T640)</t>
  </si>
  <si>
    <t>=IF($M640&gt;=$P$18,U640,0)</t>
  </si>
  <si>
    <t>=IF(AND($M640&gt;=$Q$16,$M640&lt;=$Q$18),U640,0)</t>
  </si>
  <si>
    <t>=IF(AND($M640&gt;=$R$16,$M640&lt;=$R$18),U640,0)</t>
  </si>
  <si>
    <t>=IF(AND($M640&gt;=$S$16,$M640&lt;=$S$18),U640,0)</t>
  </si>
  <si>
    <t>=IF($M640&lt;=$T$18,U640,0)</t>
  </si>
  <si>
    <t>="""NAV Direct"",""CRONUS JetCorp USA"",""21"",""1"",""314791"""</t>
  </si>
  <si>
    <t>=E639</t>
  </si>
  <si>
    <t>=StartDate-$M641+1</t>
  </si>
  <si>
    <t>=SUM(P641:T641)</t>
  </si>
  <si>
    <t>=IF($M641&gt;=$P$18,U641,0)</t>
  </si>
  <si>
    <t>=IF(AND($M641&gt;=$Q$16,$M641&lt;=$Q$18),U641,0)</t>
  </si>
  <si>
    <t>=IF(AND($M641&gt;=$R$16,$M641&lt;=$R$18),U641,0)</t>
  </si>
  <si>
    <t>=IF(AND($M641&gt;=$S$16,$M641&lt;=$S$18),U641,0)</t>
  </si>
  <si>
    <t>=IF($M641&lt;=$T$18,U641,0)</t>
  </si>
  <si>
    <t>="""NAV Direct"",""CRONUS JetCorp USA"",""21"",""1"",""314904"""</t>
  </si>
  <si>
    <t>=E640</t>
  </si>
  <si>
    <t>=StartDate-$M642+1</t>
  </si>
  <si>
    <t>=SUM(P642:T642)</t>
  </si>
  <si>
    <t>=IF($M642&gt;=$P$18,U642,0)</t>
  </si>
  <si>
    <t>=IF(AND($M642&gt;=$Q$16,$M642&lt;=$Q$18),U642,0)</t>
  </si>
  <si>
    <t>=IF(AND($M642&gt;=$R$16,$M642&lt;=$R$18),U642,0)</t>
  </si>
  <si>
    <t>=IF(AND($M642&gt;=$S$16,$M642&lt;=$S$18),U642,0)</t>
  </si>
  <si>
    <t>=IF($M642&lt;=$T$18,U642,0)</t>
  </si>
  <si>
    <t>="""NAV Direct"",""CRONUS JetCorp USA"",""21"",""1"",""314956"""</t>
  </si>
  <si>
    <t>=E641</t>
  </si>
  <si>
    <t>=StartDate-$M643+1</t>
  </si>
  <si>
    <t>=SUM(P643:T643)</t>
  </si>
  <si>
    <t>=IF($M643&gt;=$P$18,U643,0)</t>
  </si>
  <si>
    <t>=IF(AND($M643&gt;=$Q$16,$M643&lt;=$Q$18),U643,0)</t>
  </si>
  <si>
    <t>=IF(AND($M643&gt;=$R$16,$M643&lt;=$R$18),U643,0)</t>
  </si>
  <si>
    <t>=IF(AND($M643&gt;=$S$16,$M643&lt;=$S$18),U643,0)</t>
  </si>
  <si>
    <t>=IF($M643&lt;=$T$18,U643,0)</t>
  </si>
  <si>
    <t>="""NAV Direct"",""CRONUS JetCorp USA"",""21"",""1"",""315051"""</t>
  </si>
  <si>
    <t>=E642</t>
  </si>
  <si>
    <t>=StartDate-$M644+1</t>
  </si>
  <si>
    <t>=SUM(P644:T644)</t>
  </si>
  <si>
    <t>=IF($M644&gt;=$P$18,U644,0)</t>
  </si>
  <si>
    <t>=IF(AND($M644&gt;=$Q$16,$M644&lt;=$Q$18),U644,0)</t>
  </si>
  <si>
    <t>=IF(AND($M644&gt;=$R$16,$M644&lt;=$R$18),U644,0)</t>
  </si>
  <si>
    <t>=IF(AND($M644&gt;=$S$16,$M644&lt;=$S$18),U644,0)</t>
  </si>
  <si>
    <t>=IF($M644&lt;=$T$18,U644,0)</t>
  </si>
  <si>
    <t>="""NAV Direct"",""CRONUS JetCorp USA"",""21"",""1"",""315076"""</t>
  </si>
  <si>
    <t>=E643</t>
  </si>
  <si>
    <t>=StartDate-$M645+1</t>
  </si>
  <si>
    <t>=SUM(P645:T645)</t>
  </si>
  <si>
    <t>=IF($M645&gt;=$P$18,U645,0)</t>
  </si>
  <si>
    <t>=IF(AND($M645&gt;=$Q$16,$M645&lt;=$Q$18),U645,0)</t>
  </si>
  <si>
    <t>=IF(AND($M645&gt;=$R$16,$M645&lt;=$R$18),U645,0)</t>
  </si>
  <si>
    <t>=IF(AND($M645&gt;=$S$16,$M645&lt;=$S$18),U645,0)</t>
  </si>
  <si>
    <t>=IF($M645&lt;=$T$18,U645,0)</t>
  </si>
  <si>
    <t>="""NAV Direct"",""CRONUS JetCorp USA"",""21"",""1"",""315386"""</t>
  </si>
  <si>
    <t>=E644</t>
  </si>
  <si>
    <t>=StartDate-$M646+1</t>
  </si>
  <si>
    <t>=SUM(P646:T646)</t>
  </si>
  <si>
    <t>=IF($M646&gt;=$P$18,U646,0)</t>
  </si>
  <si>
    <t>=IF(AND($M646&gt;=$Q$16,$M646&lt;=$Q$18),U646,0)</t>
  </si>
  <si>
    <t>=IF(AND($M646&gt;=$R$16,$M646&lt;=$R$18),U646,0)</t>
  </si>
  <si>
    <t>=IF(AND($M646&gt;=$S$16,$M646&lt;=$S$18),U646,0)</t>
  </si>
  <si>
    <t>=IF($M646&lt;=$T$18,U646,0)</t>
  </si>
  <si>
    <t>="""NAV Direct"",""CRONUS JetCorp USA"",""21"",""1"",""315471"""</t>
  </si>
  <si>
    <t>=E645</t>
  </si>
  <si>
    <t>=StartDate-$M647+1</t>
  </si>
  <si>
    <t>=SUM(P647:T647)</t>
  </si>
  <si>
    <t>=IF($M647&gt;=$P$18,U647,0)</t>
  </si>
  <si>
    <t>=IF(AND($M647&gt;=$Q$16,$M647&lt;=$Q$18),U647,0)</t>
  </si>
  <si>
    <t>=IF(AND($M647&gt;=$R$16,$M647&lt;=$R$18),U647,0)</t>
  </si>
  <si>
    <t>=IF(AND($M647&gt;=$S$16,$M647&lt;=$S$18),U647,0)</t>
  </si>
  <si>
    <t>=IF($M647&lt;=$T$18,U647,0)</t>
  </si>
  <si>
    <t>="""NAV Direct"",""CRONUS JetCorp USA"",""21"",""1"",""315705"""</t>
  </si>
  <si>
    <t>=E646</t>
  </si>
  <si>
    <t>=StartDate-$M648+1</t>
  </si>
  <si>
    <t>=SUM(P648:T648)</t>
  </si>
  <si>
    <t>=IF($M648&gt;=$P$18,U648,0)</t>
  </si>
  <si>
    <t>=IF(AND($M648&gt;=$Q$16,$M648&lt;=$Q$18),U648,0)</t>
  </si>
  <si>
    <t>=IF(AND($M648&gt;=$R$16,$M648&lt;=$R$18),U648,0)</t>
  </si>
  <si>
    <t>=IF(AND($M648&gt;=$S$16,$M648&lt;=$S$18),U648,0)</t>
  </si>
  <si>
    <t>=IF($M648&lt;=$T$18,U648,0)</t>
  </si>
  <si>
    <t>="""NAV Direct"",""CRONUS JetCorp USA"",""21"",""1"",""315997"""</t>
  </si>
  <si>
    <t>=E647</t>
  </si>
  <si>
    <t>=StartDate-$M649+1</t>
  </si>
  <si>
    <t>=SUM(P649:T649)</t>
  </si>
  <si>
    <t>=IF($M649&gt;=$P$18,U649,0)</t>
  </si>
  <si>
    <t>=IF(AND($M649&gt;=$Q$16,$M649&lt;=$Q$18),U649,0)</t>
  </si>
  <si>
    <t>=IF(AND($M649&gt;=$R$16,$M649&lt;=$R$18),U649,0)</t>
  </si>
  <si>
    <t>=IF(AND($M649&gt;=$S$16,$M649&lt;=$S$18),U649,0)</t>
  </si>
  <si>
    <t>=IF($M649&lt;=$T$18,U649,0)</t>
  </si>
  <si>
    <t>="""NAV Direct"",""CRONUS JetCorp USA"",""21"",""1"",""316024"""</t>
  </si>
  <si>
    <t>=E648</t>
  </si>
  <si>
    <t>=StartDate-$M650+1</t>
  </si>
  <si>
    <t>=SUM(P650:T650)</t>
  </si>
  <si>
    <t>=IF($M650&gt;=$P$18,U650,0)</t>
  </si>
  <si>
    <t>=IF(AND($M650&gt;=$Q$16,$M650&lt;=$Q$18),U650,0)</t>
  </si>
  <si>
    <t>=IF(AND($M650&gt;=$R$16,$M650&lt;=$R$18),U650,0)</t>
  </si>
  <si>
    <t>=IF(AND($M650&gt;=$S$16,$M650&lt;=$S$18),U650,0)</t>
  </si>
  <si>
    <t>=IF($M650&lt;=$T$18,U650,0)</t>
  </si>
  <si>
    <t>="""NAV Direct"",""CRONUS JetCorp USA"",""21"",""1"",""316074"""</t>
  </si>
  <si>
    <t>=E649</t>
  </si>
  <si>
    <t>=StartDate-$M651+1</t>
  </si>
  <si>
    <t>=SUM(P651:T651)</t>
  </si>
  <si>
    <t>=IF($M651&gt;=$P$18,U651,0)</t>
  </si>
  <si>
    <t>=IF(AND($M651&gt;=$Q$16,$M651&lt;=$Q$18),U651,0)</t>
  </si>
  <si>
    <t>=IF(AND($M651&gt;=$R$16,$M651&lt;=$R$18),U651,0)</t>
  </si>
  <si>
    <t>=IF(AND($M651&gt;=$S$16,$M651&lt;=$S$18),U651,0)</t>
  </si>
  <si>
    <t>=IF($M651&lt;=$T$18,U651,0)</t>
  </si>
  <si>
    <t>="""NAV Direct"",""CRONUS JetCorp USA"",""21"",""1"",""316114"""</t>
  </si>
  <si>
    <t>=E650</t>
  </si>
  <si>
    <t>=StartDate-$M652+1</t>
  </si>
  <si>
    <t>=SUM(P652:T652)</t>
  </si>
  <si>
    <t>=IF($M652&gt;=$P$18,U652,0)</t>
  </si>
  <si>
    <t>=IF(AND($M652&gt;=$Q$16,$M652&lt;=$Q$18),U652,0)</t>
  </si>
  <si>
    <t>=IF(AND($M652&gt;=$R$16,$M652&lt;=$R$18),U652,0)</t>
  </si>
  <si>
    <t>=IF(AND($M652&gt;=$S$16,$M652&lt;=$S$18),U652,0)</t>
  </si>
  <si>
    <t>=IF($M652&lt;=$T$18,U652,0)</t>
  </si>
  <si>
    <t>="""NAV Direct"",""CRONUS JetCorp USA"",""21"",""1"",""316226"""</t>
  </si>
  <si>
    <t>=E651</t>
  </si>
  <si>
    <t>=StartDate-$M653+1</t>
  </si>
  <si>
    <t>=SUM(P653:T653)</t>
  </si>
  <si>
    <t>=IF($M653&gt;=$P$18,U653,0)</t>
  </si>
  <si>
    <t>=IF(AND($M653&gt;=$Q$16,$M653&lt;=$Q$18),U653,0)</t>
  </si>
  <si>
    <t>=IF(AND($M653&gt;=$R$16,$M653&lt;=$R$18),U653,0)</t>
  </si>
  <si>
    <t>=IF(AND($M653&gt;=$S$16,$M653&lt;=$S$18),U653,0)</t>
  </si>
  <si>
    <t>=IF($M653&lt;=$T$18,U653,0)</t>
  </si>
  <si>
    <t>="""NAV Direct"",""CRONUS JetCorp USA"",""21"",""1"",""316368"""</t>
  </si>
  <si>
    <t>=E652</t>
  </si>
  <si>
    <t>=StartDate-$M654+1</t>
  </si>
  <si>
    <t>=SUM(P654:T654)</t>
  </si>
  <si>
    <t>=IF($M654&gt;=$P$18,U654,0)</t>
  </si>
  <si>
    <t>=IF(AND($M654&gt;=$Q$16,$M654&lt;=$Q$18),U654,0)</t>
  </si>
  <si>
    <t>=IF(AND($M654&gt;=$R$16,$M654&lt;=$R$18),U654,0)</t>
  </si>
  <si>
    <t>=IF(AND($M654&gt;=$S$16,$M654&lt;=$S$18),U654,0)</t>
  </si>
  <si>
    <t>=IF($M654&lt;=$T$18,U654,0)</t>
  </si>
  <si>
    <t>="""NAV Direct"",""CRONUS JetCorp USA"",""21"",""1"",""316447"""</t>
  </si>
  <si>
    <t>=E653</t>
  </si>
  <si>
    <t>=StartDate-$M655+1</t>
  </si>
  <si>
    <t>=SUM(P655:T655)</t>
  </si>
  <si>
    <t>=IF($M655&gt;=$P$18,U655,0)</t>
  </si>
  <si>
    <t>=IF(AND($M655&gt;=$Q$16,$M655&lt;=$Q$18),U655,0)</t>
  </si>
  <si>
    <t>=IF(AND($M655&gt;=$R$16,$M655&lt;=$R$18),U655,0)</t>
  </si>
  <si>
    <t>=IF(AND($M655&gt;=$S$16,$M655&lt;=$S$18),U655,0)</t>
  </si>
  <si>
    <t>=IF($M655&lt;=$T$18,U655,0)</t>
  </si>
  <si>
    <t>="""NAV Direct"",""CRONUS JetCorp USA"",""21"",""1"",""316468"""</t>
  </si>
  <si>
    <t>=E654</t>
  </si>
  <si>
    <t>=StartDate-$M656+1</t>
  </si>
  <si>
    <t>=SUM(P656:T656)</t>
  </si>
  <si>
    <t>=IF($M656&gt;=$P$18,U656,0)</t>
  </si>
  <si>
    <t>=IF(AND($M656&gt;=$Q$16,$M656&lt;=$Q$18),U656,0)</t>
  </si>
  <si>
    <t>=IF(AND($M656&gt;=$R$16,$M656&lt;=$R$18),U656,0)</t>
  </si>
  <si>
    <t>=IF(AND($M656&gt;=$S$16,$M656&lt;=$S$18),U656,0)</t>
  </si>
  <si>
    <t>=IF($M656&lt;=$T$18,U656,0)</t>
  </si>
  <si>
    <t>="""NAV Direct"",""CRONUS JetCorp USA"",""21"",""1"",""316526"""</t>
  </si>
  <si>
    <t>=E655</t>
  </si>
  <si>
    <t>=StartDate-$M657+1</t>
  </si>
  <si>
    <t>=SUM(P657:T657)</t>
  </si>
  <si>
    <t>=IF($M657&gt;=$P$18,U657,0)</t>
  </si>
  <si>
    <t>=IF(AND($M657&gt;=$Q$16,$M657&lt;=$Q$18),U657,0)</t>
  </si>
  <si>
    <t>=IF(AND($M657&gt;=$R$16,$M657&lt;=$R$18),U657,0)</t>
  </si>
  <si>
    <t>=IF(AND($M657&gt;=$S$16,$M657&lt;=$S$18),U657,0)</t>
  </si>
  <si>
    <t>=IF($M657&lt;=$T$18,U657,0)</t>
  </si>
  <si>
    <t>="""NAV Direct"",""CRONUS JetCorp USA"",""21"",""1"",""316660"""</t>
  </si>
  <si>
    <t>=E656</t>
  </si>
  <si>
    <t>=StartDate-$M658+1</t>
  </si>
  <si>
    <t>=SUM(P658:T658)</t>
  </si>
  <si>
    <t>=IF($M658&gt;=$P$18,U658,0)</t>
  </si>
  <si>
    <t>=IF(AND($M658&gt;=$Q$16,$M658&lt;=$Q$18),U658,0)</t>
  </si>
  <si>
    <t>=IF(AND($M658&gt;=$R$16,$M658&lt;=$R$18),U658,0)</t>
  </si>
  <si>
    <t>=IF(AND($M658&gt;=$S$16,$M658&lt;=$S$18),U658,0)</t>
  </si>
  <si>
    <t>=IF($M658&lt;=$T$18,U658,0)</t>
  </si>
  <si>
    <t>="""NAV Direct"",""CRONUS JetCorp USA"",""21"",""1"",""316685"""</t>
  </si>
  <si>
    <t>=E657</t>
  </si>
  <si>
    <t>=StartDate-$M659+1</t>
  </si>
  <si>
    <t>=SUM(P659:T659)</t>
  </si>
  <si>
    <t>=IF($M659&gt;=$P$18,U659,0)</t>
  </si>
  <si>
    <t>=IF(AND($M659&gt;=$Q$16,$M659&lt;=$Q$18),U659,0)</t>
  </si>
  <si>
    <t>=IF(AND($M659&gt;=$R$16,$M659&lt;=$R$18),U659,0)</t>
  </si>
  <si>
    <t>=IF(AND($M659&gt;=$S$16,$M659&lt;=$S$18),U659,0)</t>
  </si>
  <si>
    <t>=IF($M659&lt;=$T$18,U659,0)</t>
  </si>
  <si>
    <t>="""NAV Direct"",""CRONUS JetCorp USA"",""21"",""1"",""316712"""</t>
  </si>
  <si>
    <t>=E658</t>
  </si>
  <si>
    <t>=StartDate-$M660+1</t>
  </si>
  <si>
    <t>=SUM(P660:T660)</t>
  </si>
  <si>
    <t>=IF($M660&gt;=$P$18,U660,0)</t>
  </si>
  <si>
    <t>=IF(AND($M660&gt;=$Q$16,$M660&lt;=$Q$18),U660,0)</t>
  </si>
  <si>
    <t>=IF(AND($M660&gt;=$R$16,$M660&lt;=$R$18),U660,0)</t>
  </si>
  <si>
    <t>=IF(AND($M660&gt;=$S$16,$M660&lt;=$S$18),U660,0)</t>
  </si>
  <si>
    <t>=IF($M660&lt;=$T$18,U660,0)</t>
  </si>
  <si>
    <t>="""NAV Direct"",""CRONUS JetCorp USA"",""21"",""1"",""317192"""</t>
  </si>
  <si>
    <t>=E659</t>
  </si>
  <si>
    <t>=StartDate-$M661+1</t>
  </si>
  <si>
    <t>=SUM(P661:T661)</t>
  </si>
  <si>
    <t>=IF($M661&gt;=$P$18,U661,0)</t>
  </si>
  <si>
    <t>=IF(AND($M661&gt;=$Q$16,$M661&lt;=$Q$18),U661,0)</t>
  </si>
  <si>
    <t>=IF(AND($M661&gt;=$R$16,$M661&lt;=$R$18),U661,0)</t>
  </si>
  <si>
    <t>=IF(AND($M661&gt;=$S$16,$M661&lt;=$S$18),U661,0)</t>
  </si>
  <si>
    <t>=IF($M661&lt;=$T$18,U661,0)</t>
  </si>
  <si>
    <t>="""NAV Direct"",""CRONUS JetCorp USA"",""21"",""1"",""317240"""</t>
  </si>
  <si>
    <t>=E660</t>
  </si>
  <si>
    <t>=StartDate-$M662+1</t>
  </si>
  <si>
    <t>=SUM(P662:T662)</t>
  </si>
  <si>
    <t>=IF($M662&gt;=$P$18,U662,0)</t>
  </si>
  <si>
    <t>=IF(AND($M662&gt;=$Q$16,$M662&lt;=$Q$18),U662,0)</t>
  </si>
  <si>
    <t>=IF(AND($M662&gt;=$R$16,$M662&lt;=$R$18),U662,0)</t>
  </si>
  <si>
    <t>=IF(AND($M662&gt;=$S$16,$M662&lt;=$S$18),U662,0)</t>
  </si>
  <si>
    <t>=IF($M662&lt;=$T$18,U662,0)</t>
  </si>
  <si>
    <t>="""NAV Direct"",""CRONUS JetCorp USA"",""21"",""1"",""317269"""</t>
  </si>
  <si>
    <t>=E661</t>
  </si>
  <si>
    <t>=StartDate-$M663+1</t>
  </si>
  <si>
    <t>=SUM(P663:T663)</t>
  </si>
  <si>
    <t>=IF($M663&gt;=$P$18,U663,0)</t>
  </si>
  <si>
    <t>=IF(AND($M663&gt;=$Q$16,$M663&lt;=$Q$18),U663,0)</t>
  </si>
  <si>
    <t>=IF(AND($M663&gt;=$R$16,$M663&lt;=$R$18),U663,0)</t>
  </si>
  <si>
    <t>=IF(AND($M663&gt;=$S$16,$M663&lt;=$S$18),U663,0)</t>
  </si>
  <si>
    <t>=IF($M663&lt;=$T$18,U663,0)</t>
  </si>
  <si>
    <t>="""NAV Direct"",""CRONUS JetCorp USA"",""21"",""1"",""317359"""</t>
  </si>
  <si>
    <t>=E662</t>
  </si>
  <si>
    <t>=StartDate-$M664+1</t>
  </si>
  <si>
    <t>=SUM(P664:T664)</t>
  </si>
  <si>
    <t>=IF($M664&gt;=$P$18,U664,0)</t>
  </si>
  <si>
    <t>=IF(AND($M664&gt;=$Q$16,$M664&lt;=$Q$18),U664,0)</t>
  </si>
  <si>
    <t>=IF(AND($M664&gt;=$R$16,$M664&lt;=$R$18),U664,0)</t>
  </si>
  <si>
    <t>=IF(AND($M664&gt;=$S$16,$M664&lt;=$S$18),U664,0)</t>
  </si>
  <si>
    <t>=IF($M664&lt;=$T$18,U664,0)</t>
  </si>
  <si>
    <t>="""NAV Direct"",""CRONUS JetCorp USA"",""21"",""1"",""317411"""</t>
  </si>
  <si>
    <t>=E663</t>
  </si>
  <si>
    <t>=StartDate-$M665+1</t>
  </si>
  <si>
    <t>=SUM(P665:T665)</t>
  </si>
  <si>
    <t>=IF($M665&gt;=$P$18,U665,0)</t>
  </si>
  <si>
    <t>=IF(AND($M665&gt;=$Q$16,$M665&lt;=$Q$18),U665,0)</t>
  </si>
  <si>
    <t>=IF(AND($M665&gt;=$R$16,$M665&lt;=$R$18),U665,0)</t>
  </si>
  <si>
    <t>=IF(AND($M665&gt;=$S$16,$M665&lt;=$S$18),U665,0)</t>
  </si>
  <si>
    <t>=IF($M665&lt;=$T$18,U665,0)</t>
  </si>
  <si>
    <t>="""NAV Direct"",""CRONUS JetCorp USA"",""21"",""1"",""317463"""</t>
  </si>
  <si>
    <t>=E664</t>
  </si>
  <si>
    <t>=StartDate-$M666+1</t>
  </si>
  <si>
    <t>=SUM(P666:T666)</t>
  </si>
  <si>
    <t>=IF($M666&gt;=$P$18,U666,0)</t>
  </si>
  <si>
    <t>=IF(AND($M666&gt;=$Q$16,$M666&lt;=$Q$18),U666,0)</t>
  </si>
  <si>
    <t>=IF(AND($M666&gt;=$R$16,$M666&lt;=$R$18),U666,0)</t>
  </si>
  <si>
    <t>=IF(AND($M666&gt;=$S$16,$M666&lt;=$S$18),U666,0)</t>
  </si>
  <si>
    <t>=IF($M666&lt;=$T$18,U666,0)</t>
  </si>
  <si>
    <t>="""NAV Direct"",""CRONUS JetCorp USA"",""21"",""1"",""317517"""</t>
  </si>
  <si>
    <t>=E665</t>
  </si>
  <si>
    <t>=StartDate-$M667+1</t>
  </si>
  <si>
    <t>=SUM(P667:T667)</t>
  </si>
  <si>
    <t>=IF($M667&gt;=$P$18,U667,0)</t>
  </si>
  <si>
    <t>=IF(AND($M667&gt;=$Q$16,$M667&lt;=$Q$18),U667,0)</t>
  </si>
  <si>
    <t>=IF(AND($M667&gt;=$R$16,$M667&lt;=$R$18),U667,0)</t>
  </si>
  <si>
    <t>=IF(AND($M667&gt;=$S$16,$M667&lt;=$S$18),U667,0)</t>
  </si>
  <si>
    <t>=IF($M667&lt;=$T$18,U667,0)</t>
  </si>
  <si>
    <t>="""NAV Direct"",""CRONUS JetCorp USA"",""21"",""1"",""317654"""</t>
  </si>
  <si>
    <t>=E666</t>
  </si>
  <si>
    <t>=StartDate-$M668+1</t>
  </si>
  <si>
    <t>=SUM(P668:T668)</t>
  </si>
  <si>
    <t>=IF($M668&gt;=$P$18,U668,0)</t>
  </si>
  <si>
    <t>=IF(AND($M668&gt;=$Q$16,$M668&lt;=$Q$18),U668,0)</t>
  </si>
  <si>
    <t>=IF(AND($M668&gt;=$R$16,$M668&lt;=$R$18),U668,0)</t>
  </si>
  <si>
    <t>=IF(AND($M668&gt;=$S$16,$M668&lt;=$S$18),U668,0)</t>
  </si>
  <si>
    <t>=IF($M668&lt;=$T$18,U668,0)</t>
  </si>
  <si>
    <t>="""NAV Direct"",""CRONUS JetCorp USA"",""21"",""1"",""317862"""</t>
  </si>
  <si>
    <t>=E667</t>
  </si>
  <si>
    <t>=StartDate-$M669+1</t>
  </si>
  <si>
    <t>=SUM(P669:T669)</t>
  </si>
  <si>
    <t>=IF($M669&gt;=$P$18,U669,0)</t>
  </si>
  <si>
    <t>=IF(AND($M669&gt;=$Q$16,$M669&lt;=$Q$18),U669,0)</t>
  </si>
  <si>
    <t>=IF(AND($M669&gt;=$R$16,$M669&lt;=$R$18),U669,0)</t>
  </si>
  <si>
    <t>=IF(AND($M669&gt;=$S$16,$M669&lt;=$S$18),U669,0)</t>
  </si>
  <si>
    <t>=IF($M669&lt;=$T$18,U669,0)</t>
  </si>
  <si>
    <t>="""NAV Direct"",""CRONUS JetCorp USA"",""21"",""1"",""318022"""</t>
  </si>
  <si>
    <t>=E668</t>
  </si>
  <si>
    <t>=StartDate-$M670+1</t>
  </si>
  <si>
    <t>=SUM(P670:T670)</t>
  </si>
  <si>
    <t>=IF($M670&gt;=$P$18,U670,0)</t>
  </si>
  <si>
    <t>=IF(AND($M670&gt;=$Q$16,$M670&lt;=$Q$18),U670,0)</t>
  </si>
  <si>
    <t>=IF(AND($M670&gt;=$R$16,$M670&lt;=$R$18),U670,0)</t>
  </si>
  <si>
    <t>=IF(AND($M670&gt;=$S$16,$M670&lt;=$S$18),U670,0)</t>
  </si>
  <si>
    <t>=IF($M670&lt;=$T$18,U670,0)</t>
  </si>
  <si>
    <t>="""NAV Direct"",""CRONUS JetCorp USA"",""21"",""1"",""318070"""</t>
  </si>
  <si>
    <t>=E669</t>
  </si>
  <si>
    <t>=StartDate-$M671+1</t>
  </si>
  <si>
    <t>=SUM(P671:T671)</t>
  </si>
  <si>
    <t>=IF($M671&gt;=$P$18,U671,0)</t>
  </si>
  <si>
    <t>=IF(AND($M671&gt;=$Q$16,$M671&lt;=$Q$18),U671,0)</t>
  </si>
  <si>
    <t>=IF(AND($M671&gt;=$R$16,$M671&lt;=$R$18),U671,0)</t>
  </si>
  <si>
    <t>=IF(AND($M671&gt;=$S$16,$M671&lt;=$S$18),U671,0)</t>
  </si>
  <si>
    <t>=IF($M671&lt;=$T$18,U671,0)</t>
  </si>
  <si>
    <t>="""NAV Direct"",""CRONUS JetCorp USA"",""21"",""1"",""318141"""</t>
  </si>
  <si>
    <t>=E670</t>
  </si>
  <si>
    <t>=StartDate-$M672+1</t>
  </si>
  <si>
    <t>=SUM(P672:T672)</t>
  </si>
  <si>
    <t>=IF($M672&gt;=$P$18,U672,0)</t>
  </si>
  <si>
    <t>=IF(AND($M672&gt;=$Q$16,$M672&lt;=$Q$18),U672,0)</t>
  </si>
  <si>
    <t>=IF(AND($M672&gt;=$R$16,$M672&lt;=$R$18),U672,0)</t>
  </si>
  <si>
    <t>=IF(AND($M672&gt;=$S$16,$M672&lt;=$S$18),U672,0)</t>
  </si>
  <si>
    <t>=IF($M672&lt;=$T$18,U672,0)</t>
  </si>
  <si>
    <t>="""NAV Direct"",""CRONUS JetCorp USA"",""21"",""1"",""318174"""</t>
  </si>
  <si>
    <t>=E671</t>
  </si>
  <si>
    <t>=StartDate-$M673+1</t>
  </si>
  <si>
    <t>=SUM(P673:T673)</t>
  </si>
  <si>
    <t>=IF($M673&gt;=$P$18,U673,0)</t>
  </si>
  <si>
    <t>=IF(AND($M673&gt;=$Q$16,$M673&lt;=$Q$18),U673,0)</t>
  </si>
  <si>
    <t>=IF(AND($M673&gt;=$R$16,$M673&lt;=$R$18),U673,0)</t>
  </si>
  <si>
    <t>=IF(AND($M673&gt;=$S$16,$M673&lt;=$S$18),U673,0)</t>
  </si>
  <si>
    <t>=IF($M673&lt;=$T$18,U673,0)</t>
  </si>
  <si>
    <t>="""NAV Direct"",""CRONUS JetCorp USA"",""21"",""1"",""318261"""</t>
  </si>
  <si>
    <t>=E672</t>
  </si>
  <si>
    <t>=StartDate-$M674+1</t>
  </si>
  <si>
    <t>=SUM(P674:T674)</t>
  </si>
  <si>
    <t>=IF($M674&gt;=$P$18,U674,0)</t>
  </si>
  <si>
    <t>=IF(AND($M674&gt;=$Q$16,$M674&lt;=$Q$18),U674,0)</t>
  </si>
  <si>
    <t>=IF(AND($M674&gt;=$R$16,$M674&lt;=$R$18),U674,0)</t>
  </si>
  <si>
    <t>=IF(AND($M674&gt;=$S$16,$M674&lt;=$S$18),U674,0)</t>
  </si>
  <si>
    <t>=IF($M674&lt;=$T$18,U674,0)</t>
  </si>
  <si>
    <t>="""NAV Direct"",""CRONUS JetCorp USA"",""21"",""1"",""318645"""</t>
  </si>
  <si>
    <t>=E673</t>
  </si>
  <si>
    <t>=StartDate-$M675+1</t>
  </si>
  <si>
    <t>=SUM(P675:T675)</t>
  </si>
  <si>
    <t>=IF($M675&gt;=$P$18,U675,0)</t>
  </si>
  <si>
    <t>=IF(AND($M675&gt;=$Q$16,$M675&lt;=$Q$18),U675,0)</t>
  </si>
  <si>
    <t>=IF(AND($M675&gt;=$R$16,$M675&lt;=$R$18),U675,0)</t>
  </si>
  <si>
    <t>=IF(AND($M675&gt;=$S$16,$M675&lt;=$S$18),U675,0)</t>
  </si>
  <si>
    <t>=IF($M675&lt;=$T$18,U675,0)</t>
  </si>
  <si>
    <t>="""NAV Direct"",""CRONUS JetCorp USA"",""21"",""1"",""318822"""</t>
  </si>
  <si>
    <t>=E674</t>
  </si>
  <si>
    <t>=StartDate-$M676+1</t>
  </si>
  <si>
    <t>=SUM(P676:T676)</t>
  </si>
  <si>
    <t>=IF($M676&gt;=$P$18,U676,0)</t>
  </si>
  <si>
    <t>=IF(AND($M676&gt;=$Q$16,$M676&lt;=$Q$18),U676,0)</t>
  </si>
  <si>
    <t>=IF(AND($M676&gt;=$R$16,$M676&lt;=$R$18),U676,0)</t>
  </si>
  <si>
    <t>=IF(AND($M676&gt;=$S$16,$M676&lt;=$S$18),U676,0)</t>
  </si>
  <si>
    <t>=IF($M676&lt;=$T$18,U676,0)</t>
  </si>
  <si>
    <t>="""NAV Direct"",""CRONUS JetCorp USA"",""21"",""1"",""318874"""</t>
  </si>
  <si>
    <t>=E675</t>
  </si>
  <si>
    <t>=StartDate-$M677+1</t>
  </si>
  <si>
    <t>=SUM(P677:T677)</t>
  </si>
  <si>
    <t>=IF($M677&gt;=$P$18,U677,0)</t>
  </si>
  <si>
    <t>=IF(AND($M677&gt;=$Q$16,$M677&lt;=$Q$18),U677,0)</t>
  </si>
  <si>
    <t>=IF(AND($M677&gt;=$R$16,$M677&lt;=$R$18),U677,0)</t>
  </si>
  <si>
    <t>=IF(AND($M677&gt;=$S$16,$M677&lt;=$S$18),U677,0)</t>
  </si>
  <si>
    <t>=IF($M677&lt;=$T$18,U677,0)</t>
  </si>
  <si>
    <t>="""NAV Direct"",""CRONUS JetCorp USA"",""21"",""1"",""319048"""</t>
  </si>
  <si>
    <t>=E676</t>
  </si>
  <si>
    <t>=StartDate-$M678+1</t>
  </si>
  <si>
    <t>=SUM(P678:T678)</t>
  </si>
  <si>
    <t>=IF($M678&gt;=$P$18,U678,0)</t>
  </si>
  <si>
    <t>=IF(AND($M678&gt;=$Q$16,$M678&lt;=$Q$18),U678,0)</t>
  </si>
  <si>
    <t>=IF(AND($M678&gt;=$R$16,$M678&lt;=$R$18),U678,0)</t>
  </si>
  <si>
    <t>=IF(AND($M678&gt;=$S$16,$M678&lt;=$S$18),U678,0)</t>
  </si>
  <si>
    <t>=IF($M678&lt;=$T$18,U678,0)</t>
  </si>
  <si>
    <t>="""NAV Direct"",""CRONUS JetCorp USA"",""21"",""1"",""319523"""</t>
  </si>
  <si>
    <t>=E677</t>
  </si>
  <si>
    <t>=StartDate-$M679+1</t>
  </si>
  <si>
    <t>=SUM(P679:T679)</t>
  </si>
  <si>
    <t>=IF($M679&gt;=$P$18,U679,0)</t>
  </si>
  <si>
    <t>=IF(AND($M679&gt;=$Q$16,$M679&lt;=$Q$18),U679,0)</t>
  </si>
  <si>
    <t>=IF(AND($M679&gt;=$R$16,$M679&lt;=$R$18),U679,0)</t>
  </si>
  <si>
    <t>=IF(AND($M679&gt;=$S$16,$M679&lt;=$S$18),U679,0)</t>
  </si>
  <si>
    <t>=IF($M679&lt;=$T$18,U679,0)</t>
  </si>
  <si>
    <t>="""NAV Direct"",""CRONUS JetCorp USA"",""21"",""1"",""319716"""</t>
  </si>
  <si>
    <t>=E678</t>
  </si>
  <si>
    <t>=StartDate-$M680+1</t>
  </si>
  <si>
    <t>=SUM(P680:T680)</t>
  </si>
  <si>
    <t>=IF($M680&gt;=$P$18,U680,0)</t>
  </si>
  <si>
    <t>=IF(AND($M680&gt;=$Q$16,$M680&lt;=$Q$18),U680,0)</t>
  </si>
  <si>
    <t>=IF(AND($M680&gt;=$R$16,$M680&lt;=$R$18),U680,0)</t>
  </si>
  <si>
    <t>=IF(AND($M680&gt;=$S$16,$M680&lt;=$S$18),U680,0)</t>
  </si>
  <si>
    <t>=IF($M680&lt;=$T$18,U680,0)</t>
  </si>
  <si>
    <t>="""NAV Direct"",""CRONUS JetCorp USA"",""21"",""1"",""319814"""</t>
  </si>
  <si>
    <t>=E679</t>
  </si>
  <si>
    <t>=StartDate-$M681+1</t>
  </si>
  <si>
    <t>=SUM(P681:T681)</t>
  </si>
  <si>
    <t>=IF($M681&gt;=$P$18,U681,0)</t>
  </si>
  <si>
    <t>=IF(AND($M681&gt;=$Q$16,$M681&lt;=$Q$18),U681,0)</t>
  </si>
  <si>
    <t>=IF(AND($M681&gt;=$R$16,$M681&lt;=$R$18),U681,0)</t>
  </si>
  <si>
    <t>=IF(AND($M681&gt;=$S$16,$M681&lt;=$S$18),U681,0)</t>
  </si>
  <si>
    <t>=IF($M681&lt;=$T$18,U681,0)</t>
  </si>
  <si>
    <t>="""NAV Direct"",""CRONUS JetCorp USA"",""21"",""1"",""319974"""</t>
  </si>
  <si>
    <t>=E680</t>
  </si>
  <si>
    <t>=StartDate-$M682+1</t>
  </si>
  <si>
    <t>=SUM(P682:T682)</t>
  </si>
  <si>
    <t>=IF($M682&gt;=$P$18,U682,0)</t>
  </si>
  <si>
    <t>=IF(AND($M682&gt;=$Q$16,$M682&lt;=$Q$18),U682,0)</t>
  </si>
  <si>
    <t>=IF(AND($M682&gt;=$R$16,$M682&lt;=$R$18),U682,0)</t>
  </si>
  <si>
    <t>=IF(AND($M682&gt;=$S$16,$M682&lt;=$S$18),U682,0)</t>
  </si>
  <si>
    <t>=IF($M682&lt;=$T$18,U682,0)</t>
  </si>
  <si>
    <t>="""NAV Direct"",""CRONUS JetCorp USA"",""21"",""1"",""320059"""</t>
  </si>
  <si>
    <t>=E681</t>
  </si>
  <si>
    <t>=StartDate-$M683+1</t>
  </si>
  <si>
    <t>=SUM(P683:T683)</t>
  </si>
  <si>
    <t>=IF($M683&gt;=$P$18,U683,0)</t>
  </si>
  <si>
    <t>=IF(AND($M683&gt;=$Q$16,$M683&lt;=$Q$18),U683,0)</t>
  </si>
  <si>
    <t>=IF(AND($M683&gt;=$R$16,$M683&lt;=$R$18),U683,0)</t>
  </si>
  <si>
    <t>=IF(AND($M683&gt;=$S$16,$M683&lt;=$S$18),U683,0)</t>
  </si>
  <si>
    <t>=IF($M683&lt;=$T$18,U683,0)</t>
  </si>
  <si>
    <t>="""NAV Direct"",""CRONUS JetCorp USA"",""21"",""1"",""430367"""</t>
  </si>
  <si>
    <t>=E682</t>
  </si>
  <si>
    <t>=StartDate-$M684+1</t>
  </si>
  <si>
    <t>=SUM(P684:T684)</t>
  </si>
  <si>
    <t>=IF($M684&gt;=$P$18,U684,0)</t>
  </si>
  <si>
    <t>=IF(AND($M684&gt;=$Q$16,$M684&lt;=$Q$18),U684,0)</t>
  </si>
  <si>
    <t>=IF(AND($M684&gt;=$R$16,$M684&lt;=$R$18),U684,0)</t>
  </si>
  <si>
    <t>=IF(AND($M684&gt;=$S$16,$M684&lt;=$S$18),U684,0)</t>
  </si>
  <si>
    <t>=IF($M684&lt;=$T$18,U684,0)</t>
  </si>
  <si>
    <t>="""NAV Direct"",""CRONUS JetCorp USA"",""21"",""1"",""430460"""</t>
  </si>
  <si>
    <t>=E683</t>
  </si>
  <si>
    <t>=StartDate-$M685+1</t>
  </si>
  <si>
    <t>=SUM(P685:T685)</t>
  </si>
  <si>
    <t>=IF($M685&gt;=$P$18,U685,0)</t>
  </si>
  <si>
    <t>=IF(AND($M685&gt;=$Q$16,$M685&lt;=$Q$18),U685,0)</t>
  </si>
  <si>
    <t>=IF(AND($M685&gt;=$R$16,$M685&lt;=$R$18),U685,0)</t>
  </si>
  <si>
    <t>=IF(AND($M685&gt;=$S$16,$M685&lt;=$S$18),U685,0)</t>
  </si>
  <si>
    <t>=IF($M685&lt;=$T$18,U685,0)</t>
  </si>
  <si>
    <t>="""NAV Direct"",""CRONUS JetCorp USA"",""21"",""1"",""430478"""</t>
  </si>
  <si>
    <t>=E684</t>
  </si>
  <si>
    <t>=StartDate-$M686+1</t>
  </si>
  <si>
    <t>=SUM(P686:T686)</t>
  </si>
  <si>
    <t>=IF($M686&gt;=$P$18,U686,0)</t>
  </si>
  <si>
    <t>=IF(AND($M686&gt;=$Q$16,$M686&lt;=$Q$18),U686,0)</t>
  </si>
  <si>
    <t>=IF(AND($M686&gt;=$R$16,$M686&lt;=$R$18),U686,0)</t>
  </si>
  <si>
    <t>=IF(AND($M686&gt;=$S$16,$M686&lt;=$S$18),U686,0)</t>
  </si>
  <si>
    <t>=IF($M686&lt;=$T$18,U686,0)</t>
  </si>
  <si>
    <t>="""NAV Direct"",""CRONUS JetCorp USA"",""21"",""1"",""430514"""</t>
  </si>
  <si>
    <t>=E685</t>
  </si>
  <si>
    <t>=StartDate-$M687+1</t>
  </si>
  <si>
    <t>=SUM(P687:T687)</t>
  </si>
  <si>
    <t>=IF($M687&gt;=$P$18,U687,0)</t>
  </si>
  <si>
    <t>=IF(AND($M687&gt;=$Q$16,$M687&lt;=$Q$18),U687,0)</t>
  </si>
  <si>
    <t>=IF(AND($M687&gt;=$R$16,$M687&lt;=$R$18),U687,0)</t>
  </si>
  <si>
    <t>=IF(AND($M687&gt;=$S$16,$M687&lt;=$S$18),U687,0)</t>
  </si>
  <si>
    <t>=IF($M687&lt;=$T$18,U687,0)</t>
  </si>
  <si>
    <t>="""NAV Direct"",""CRONUS JetCorp USA"",""21"",""1"",""430588"""</t>
  </si>
  <si>
    <t>=E686</t>
  </si>
  <si>
    <t>=StartDate-$M688+1</t>
  </si>
  <si>
    <t>=SUM(P688:T688)</t>
  </si>
  <si>
    <t>=IF($M688&gt;=$P$18,U688,0)</t>
  </si>
  <si>
    <t>=IF(AND($M688&gt;=$Q$16,$M688&lt;=$Q$18),U688,0)</t>
  </si>
  <si>
    <t>=IF(AND($M688&gt;=$R$16,$M688&lt;=$R$18),U688,0)</t>
  </si>
  <si>
    <t>=IF(AND($M688&gt;=$S$16,$M688&lt;=$S$18),U688,0)</t>
  </si>
  <si>
    <t>=IF($M688&lt;=$T$18,U688,0)</t>
  </si>
  <si>
    <t>="""NAV Direct"",""CRONUS JetCorp USA"",""21"",""1"",""430865"""</t>
  </si>
  <si>
    <t>=E687</t>
  </si>
  <si>
    <t>=StartDate-$M689+1</t>
  </si>
  <si>
    <t>=SUM(P689:T689)</t>
  </si>
  <si>
    <t>=IF($M689&gt;=$P$18,U689,0)</t>
  </si>
  <si>
    <t>=IF(AND($M689&gt;=$Q$16,$M689&lt;=$Q$18),U689,0)</t>
  </si>
  <si>
    <t>=IF(AND($M689&gt;=$R$16,$M689&lt;=$R$18),U689,0)</t>
  </si>
  <si>
    <t>=IF(AND($M689&gt;=$S$16,$M689&lt;=$S$18),U689,0)</t>
  </si>
  <si>
    <t>=IF($M689&lt;=$T$18,U689,0)</t>
  </si>
  <si>
    <t>="""NAV Direct"",""CRONUS JetCorp USA"",""21"",""1"",""430991"""</t>
  </si>
  <si>
    <t>=E688</t>
  </si>
  <si>
    <t>=StartDate-$M690+1</t>
  </si>
  <si>
    <t>=SUM(P690:T690)</t>
  </si>
  <si>
    <t>=IF($M690&gt;=$P$18,U690,0)</t>
  </si>
  <si>
    <t>=IF(AND($M690&gt;=$Q$16,$M690&lt;=$Q$18),U690,0)</t>
  </si>
  <si>
    <t>=IF(AND($M690&gt;=$R$16,$M690&lt;=$R$18),U690,0)</t>
  </si>
  <si>
    <t>=IF(AND($M690&gt;=$S$16,$M690&lt;=$S$18),U690,0)</t>
  </si>
  <si>
    <t>=IF($M690&lt;=$T$18,U690,0)</t>
  </si>
  <si>
    <t>="""NAV Direct"",""CRONUS JetCorp USA"",""21"",""1"",""431055"""</t>
  </si>
  <si>
    <t>=E689</t>
  </si>
  <si>
    <t>=StartDate-$M691+1</t>
  </si>
  <si>
    <t>=SUM(P691:T691)</t>
  </si>
  <si>
    <t>=IF($M691&gt;=$P$18,U691,0)</t>
  </si>
  <si>
    <t>=IF(AND($M691&gt;=$Q$16,$M691&lt;=$Q$18),U691,0)</t>
  </si>
  <si>
    <t>=IF(AND($M691&gt;=$R$16,$M691&lt;=$R$18),U691,0)</t>
  </si>
  <si>
    <t>=IF(AND($M691&gt;=$S$16,$M691&lt;=$S$18),U691,0)</t>
  </si>
  <si>
    <t>=IF($M691&lt;=$T$18,U691,0)</t>
  </si>
  <si>
    <t>="""NAV Direct"",""CRONUS JetCorp USA"",""21"",""1"",""431122"""</t>
  </si>
  <si>
    <t>=E690</t>
  </si>
  <si>
    <t>=StartDate-$M692+1</t>
  </si>
  <si>
    <t>=SUM(P692:T692)</t>
  </si>
  <si>
    <t>=IF($M692&gt;=$P$18,U692,0)</t>
  </si>
  <si>
    <t>=IF(AND($M692&gt;=$Q$16,$M692&lt;=$Q$18),U692,0)</t>
  </si>
  <si>
    <t>=IF(AND($M692&gt;=$R$16,$M692&lt;=$R$18),U692,0)</t>
  </si>
  <si>
    <t>=IF(AND($M692&gt;=$S$16,$M692&lt;=$S$18),U692,0)</t>
  </si>
  <si>
    <t>=IF($M692&lt;=$T$18,U692,0)</t>
  </si>
  <si>
    <t>="""NAV Direct"",""CRONUS JetCorp USA"",""18"",""1"",""C100031"""</t>
  </si>
  <si>
    <t>=H695</t>
  </si>
  <si>
    <t>=NF($C695,"1 No.")</t>
  </si>
  <si>
    <t>=NF($C695,"1 No.")&amp;"  -  "&amp;NF($C695,"2 Name")</t>
  </si>
  <si>
    <t>=IFERROR(O695/NF(C695,"Credit Limit (LCY)"),"")</t>
  </si>
  <si>
    <t>=SUBTOTAL(3,L696:L741)</t>
  </si>
  <si>
    <t>=SUBTOTAL(9,O696:O741)</t>
  </si>
  <si>
    <t>=SUBTOTAL(9,P696:P741)</t>
  </si>
  <si>
    <t>=SUBTOTAL(9,Q696:Q741)</t>
  </si>
  <si>
    <t>=SUBTOTAL(9,R696:R741)</t>
  </si>
  <si>
    <t>=SUBTOTAL(9,S696:S741)</t>
  </si>
  <si>
    <t>=SUBTOTAL(9,T696:T741)</t>
  </si>
  <si>
    <t>=C695</t>
  </si>
  <si>
    <t>=E695</t>
  </si>
  <si>
    <t>="Contact: "&amp;NF($C696,"8 Contact")</t>
  </si>
  <si>
    <t>=C696</t>
  </si>
  <si>
    <t>=E696</t>
  </si>
  <si>
    <t>=NF($C697,"102 E-Mail")</t>
  </si>
  <si>
    <t>=NL("Rows","21 Cust. Ledger Entry",,"3 Customer No.","@@"&amp;$E699,"16 Remaining Amt. (LCY)","&lt;&gt;0")</t>
  </si>
  <si>
    <t>=E697</t>
  </si>
  <si>
    <t>=StartDate-$M699+1</t>
  </si>
  <si>
    <t>=SUM(P699:T699)</t>
  </si>
  <si>
    <t>=IF($M699&gt;=$P$18,U699,0)</t>
  </si>
  <si>
    <t>=IF(AND($M699&gt;=$Q$16,$M699&lt;=$Q$18),U699,0)</t>
  </si>
  <si>
    <t>=IF(AND($M699&gt;=$R$16,$M699&lt;=$R$18),U699,0)</t>
  </si>
  <si>
    <t>=IF(AND($M699&gt;=$S$16,$M699&lt;=$S$18),U699,0)</t>
  </si>
  <si>
    <t>=IF($M699&lt;=$T$18,U699,0)</t>
  </si>
  <si>
    <t>="""NAV Direct"",""CRONUS JetCorp USA"",""21"",""1"",""35431"""</t>
  </si>
  <si>
    <t>=E698</t>
  </si>
  <si>
    <t>=StartDate-$M700+1</t>
  </si>
  <si>
    <t>=SUM(P700:T700)</t>
  </si>
  <si>
    <t>=IF($M700&gt;=$P$18,U700,0)</t>
  </si>
  <si>
    <t>=IF(AND($M700&gt;=$Q$16,$M700&lt;=$Q$18),U700,0)</t>
  </si>
  <si>
    <t>=IF(AND($M700&gt;=$R$16,$M700&lt;=$R$18),U700,0)</t>
  </si>
  <si>
    <t>=IF(AND($M700&gt;=$S$16,$M700&lt;=$S$18),U700,0)</t>
  </si>
  <si>
    <t>=IF($M700&lt;=$T$18,U700,0)</t>
  </si>
  <si>
    <t>="""NAV Direct"",""CRONUS JetCorp USA"",""21"",""1"",""325633"""</t>
  </si>
  <si>
    <t>=E699</t>
  </si>
  <si>
    <t>=StartDate-$M701+1</t>
  </si>
  <si>
    <t>=SUM(P701:T701)</t>
  </si>
  <si>
    <t>=IF($M701&gt;=$P$18,U701,0)</t>
  </si>
  <si>
    <t>=IF(AND($M701&gt;=$Q$16,$M701&lt;=$Q$18),U701,0)</t>
  </si>
  <si>
    <t>=IF(AND($M701&gt;=$R$16,$M701&lt;=$R$18),U701,0)</t>
  </si>
  <si>
    <t>=IF(AND($M701&gt;=$S$16,$M701&lt;=$S$18),U701,0)</t>
  </si>
  <si>
    <t>=IF($M701&lt;=$T$18,U701,0)</t>
  </si>
  <si>
    <t>="""NAV Direct"",""CRONUS JetCorp USA"",""21"",""1"",""325662"""</t>
  </si>
  <si>
    <t>=E700</t>
  </si>
  <si>
    <t>=StartDate-$M702+1</t>
  </si>
  <si>
    <t>=SUM(P702:T702)</t>
  </si>
  <si>
    <t>=IF($M702&gt;=$P$18,U702,0)</t>
  </si>
  <si>
    <t>=IF(AND($M702&gt;=$Q$16,$M702&lt;=$Q$18),U702,0)</t>
  </si>
  <si>
    <t>=IF(AND($M702&gt;=$R$16,$M702&lt;=$R$18),U702,0)</t>
  </si>
  <si>
    <t>=IF(AND($M702&gt;=$S$16,$M702&lt;=$S$18),U702,0)</t>
  </si>
  <si>
    <t>=IF($M702&lt;=$T$18,U702,0)</t>
  </si>
  <si>
    <t>="""NAV Direct"",""CRONUS JetCorp USA"",""21"",""1"",""325691"""</t>
  </si>
  <si>
    <t>=E701</t>
  </si>
  <si>
    <t>=StartDate-$M703+1</t>
  </si>
  <si>
    <t>=SUM(P703:T703)</t>
  </si>
  <si>
    <t>=IF($M703&gt;=$P$18,U703,0)</t>
  </si>
  <si>
    <t>=IF(AND($M703&gt;=$Q$16,$M703&lt;=$Q$18),U703,0)</t>
  </si>
  <si>
    <t>=IF(AND($M703&gt;=$R$16,$M703&lt;=$R$18),U703,0)</t>
  </si>
  <si>
    <t>=IF(AND($M703&gt;=$S$16,$M703&lt;=$S$18),U703,0)</t>
  </si>
  <si>
    <t>=IF($M703&lt;=$T$18,U703,0)</t>
  </si>
  <si>
    <t>="""NAV Direct"",""CRONUS JetCorp USA"",""21"",""1"",""326029"""</t>
  </si>
  <si>
    <t>=E702</t>
  </si>
  <si>
    <t>=StartDate-$M704+1</t>
  </si>
  <si>
    <t>=SUM(P704:T704)</t>
  </si>
  <si>
    <t>=IF($M704&gt;=$P$18,U704,0)</t>
  </si>
  <si>
    <t>=IF(AND($M704&gt;=$Q$16,$M704&lt;=$Q$18),U704,0)</t>
  </si>
  <si>
    <t>=IF(AND($M704&gt;=$R$16,$M704&lt;=$R$18),U704,0)</t>
  </si>
  <si>
    <t>=IF(AND($M704&gt;=$S$16,$M704&lt;=$S$18),U704,0)</t>
  </si>
  <si>
    <t>=IF($M704&lt;=$T$18,U704,0)</t>
  </si>
  <si>
    <t>="""NAV Direct"",""CRONUS JetCorp USA"",""21"",""1"",""326110"""</t>
  </si>
  <si>
    <t>=E703</t>
  </si>
  <si>
    <t>=StartDate-$M705+1</t>
  </si>
  <si>
    <t>=SUM(P705:T705)</t>
  </si>
  <si>
    <t>=IF($M705&gt;=$P$18,U705,0)</t>
  </si>
  <si>
    <t>=IF(AND($M705&gt;=$Q$16,$M705&lt;=$Q$18),U705,0)</t>
  </si>
  <si>
    <t>=IF(AND($M705&gt;=$R$16,$M705&lt;=$R$18),U705,0)</t>
  </si>
  <si>
    <t>=IF(AND($M705&gt;=$S$16,$M705&lt;=$S$18),U705,0)</t>
  </si>
  <si>
    <t>=IF($M705&lt;=$T$18,U705,0)</t>
  </si>
  <si>
    <t>="""NAV Direct"",""CRONUS JetCorp USA"",""21"",""1"",""326251"""</t>
  </si>
  <si>
    <t>=E704</t>
  </si>
  <si>
    <t>=StartDate-$M706+1</t>
  </si>
  <si>
    <t>=SUM(P706:T706)</t>
  </si>
  <si>
    <t>=IF($M706&gt;=$P$18,U706,0)</t>
  </si>
  <si>
    <t>=IF(AND($M706&gt;=$Q$16,$M706&lt;=$Q$18),U706,0)</t>
  </si>
  <si>
    <t>=IF(AND($M706&gt;=$R$16,$M706&lt;=$R$18),U706,0)</t>
  </si>
  <si>
    <t>=IF(AND($M706&gt;=$S$16,$M706&lt;=$S$18),U706,0)</t>
  </si>
  <si>
    <t>=IF($M706&lt;=$T$18,U706,0)</t>
  </si>
  <si>
    <t>="""NAV Direct"",""CRONUS JetCorp USA"",""21"",""1"",""326282"""</t>
  </si>
  <si>
    <t>=E705</t>
  </si>
  <si>
    <t>=StartDate-$M707+1</t>
  </si>
  <si>
    <t>=SUM(P707:T707)</t>
  </si>
  <si>
    <t>=IF($M707&gt;=$P$18,U707,0)</t>
  </si>
  <si>
    <t>=IF(AND($M707&gt;=$Q$16,$M707&lt;=$Q$18),U707,0)</t>
  </si>
  <si>
    <t>=IF(AND($M707&gt;=$R$16,$M707&lt;=$R$18),U707,0)</t>
  </si>
  <si>
    <t>=IF(AND($M707&gt;=$S$16,$M707&lt;=$S$18),U707,0)</t>
  </si>
  <si>
    <t>=IF($M707&lt;=$T$18,U707,0)</t>
  </si>
  <si>
    <t>="""NAV Direct"",""CRONUS JetCorp USA"",""21"",""1"",""326311"""</t>
  </si>
  <si>
    <t>=E706</t>
  </si>
  <si>
    <t>=StartDate-$M708+1</t>
  </si>
  <si>
    <t>=SUM(P708:T708)</t>
  </si>
  <si>
    <t>=IF($M708&gt;=$P$18,U708,0)</t>
  </si>
  <si>
    <t>=IF(AND($M708&gt;=$Q$16,$M708&lt;=$Q$18),U708,0)</t>
  </si>
  <si>
    <t>=IF(AND($M708&gt;=$R$16,$M708&lt;=$R$18),U708,0)</t>
  </si>
  <si>
    <t>=IF(AND($M708&gt;=$S$16,$M708&lt;=$S$18),U708,0)</t>
  </si>
  <si>
    <t>=IF($M708&lt;=$T$18,U708,0)</t>
  </si>
  <si>
    <t>="""NAV Direct"",""CRONUS JetCorp USA"",""21"",""1"",""326508"""</t>
  </si>
  <si>
    <t>=E707</t>
  </si>
  <si>
    <t>=StartDate-$M709+1</t>
  </si>
  <si>
    <t>=SUM(P709:T709)</t>
  </si>
  <si>
    <t>=IF($M709&gt;=$P$18,U709,0)</t>
  </si>
  <si>
    <t>=IF(AND($M709&gt;=$Q$16,$M709&lt;=$Q$18),U709,0)</t>
  </si>
  <si>
    <t>=IF(AND($M709&gt;=$R$16,$M709&lt;=$R$18),U709,0)</t>
  </si>
  <si>
    <t>=IF(AND($M709&gt;=$S$16,$M709&lt;=$S$18),U709,0)</t>
  </si>
  <si>
    <t>=IF($M709&lt;=$T$18,U709,0)</t>
  </si>
  <si>
    <t>="""NAV Direct"",""CRONUS JetCorp USA"",""21"",""1"",""326537"""</t>
  </si>
  <si>
    <t>=E708</t>
  </si>
  <si>
    <t>=StartDate-$M710+1</t>
  </si>
  <si>
    <t>=SUM(P710:T710)</t>
  </si>
  <si>
    <t>=IF($M710&gt;=$P$18,U710,0)</t>
  </si>
  <si>
    <t>=IF(AND($M710&gt;=$Q$16,$M710&lt;=$Q$18),U710,0)</t>
  </si>
  <si>
    <t>=IF(AND($M710&gt;=$R$16,$M710&lt;=$R$18),U710,0)</t>
  </si>
  <si>
    <t>=IF(AND($M710&gt;=$S$16,$M710&lt;=$S$18),U710,0)</t>
  </si>
  <si>
    <t>=IF($M710&lt;=$T$18,U710,0)</t>
  </si>
  <si>
    <t>="""NAV Direct"",""CRONUS JetCorp USA"",""21"",""1"",""326572"""</t>
  </si>
  <si>
    <t>=E709</t>
  </si>
  <si>
    <t>=StartDate-$M711+1</t>
  </si>
  <si>
    <t>=SUM(P711:T711)</t>
  </si>
  <si>
    <t>=IF($M711&gt;=$P$18,U711,0)</t>
  </si>
  <si>
    <t>=IF(AND($M711&gt;=$Q$16,$M711&lt;=$Q$18),U711,0)</t>
  </si>
  <si>
    <t>=IF(AND($M711&gt;=$R$16,$M711&lt;=$R$18),U711,0)</t>
  </si>
  <si>
    <t>=IF(AND($M711&gt;=$S$16,$M711&lt;=$S$18),U711,0)</t>
  </si>
  <si>
    <t>=IF($M711&lt;=$T$18,U711,0)</t>
  </si>
  <si>
    <t>="""NAV Direct"",""CRONUS JetCorp USA"",""21"",""1"",""326605"""</t>
  </si>
  <si>
    <t>=E710</t>
  </si>
  <si>
    <t>=StartDate-$M712+1</t>
  </si>
  <si>
    <t>=SUM(P712:T712)</t>
  </si>
  <si>
    <t>=IF($M712&gt;=$P$18,U712,0)</t>
  </si>
  <si>
    <t>=IF(AND($M712&gt;=$Q$16,$M712&lt;=$Q$18),U712,0)</t>
  </si>
  <si>
    <t>=IF(AND($M712&gt;=$R$16,$M712&lt;=$R$18),U712,0)</t>
  </si>
  <si>
    <t>=IF(AND($M712&gt;=$S$16,$M712&lt;=$S$18),U712,0)</t>
  </si>
  <si>
    <t>=IF($M712&lt;=$T$18,U712,0)</t>
  </si>
  <si>
    <t>="""NAV Direct"",""CRONUS JetCorp USA"",""21"",""1"",""326849"""</t>
  </si>
  <si>
    <t>=E711</t>
  </si>
  <si>
    <t>=StartDate-$M713+1</t>
  </si>
  <si>
    <t>=SUM(P713:T713)</t>
  </si>
  <si>
    <t>=IF($M713&gt;=$P$18,U713,0)</t>
  </si>
  <si>
    <t>=IF(AND($M713&gt;=$Q$16,$M713&lt;=$Q$18),U713,0)</t>
  </si>
  <si>
    <t>=IF(AND($M713&gt;=$R$16,$M713&lt;=$R$18),U713,0)</t>
  </si>
  <si>
    <t>=IF(AND($M713&gt;=$S$16,$M713&lt;=$S$18),U713,0)</t>
  </si>
  <si>
    <t>=IF($M713&lt;=$T$18,U713,0)</t>
  </si>
  <si>
    <t>="""NAV Direct"",""CRONUS JetCorp USA"",""21"",""1"",""326872"""</t>
  </si>
  <si>
    <t>=E712</t>
  </si>
  <si>
    <t>=StartDate-$M714+1</t>
  </si>
  <si>
    <t>=SUM(P714:T714)</t>
  </si>
  <si>
    <t>=IF($M714&gt;=$P$18,U714,0)</t>
  </si>
  <si>
    <t>=IF(AND($M714&gt;=$Q$16,$M714&lt;=$Q$18),U714,0)</t>
  </si>
  <si>
    <t>=IF(AND($M714&gt;=$R$16,$M714&lt;=$R$18),U714,0)</t>
  </si>
  <si>
    <t>=IF(AND($M714&gt;=$S$16,$M714&lt;=$S$18),U714,0)</t>
  </si>
  <si>
    <t>=IF($M714&lt;=$T$18,U714,0)</t>
  </si>
  <si>
    <t>="""NAV Direct"",""CRONUS JetCorp USA"",""21"",""1"",""326897"""</t>
  </si>
  <si>
    <t>=E713</t>
  </si>
  <si>
    <t>=StartDate-$M715+1</t>
  </si>
  <si>
    <t>=SUM(P715:T715)</t>
  </si>
  <si>
    <t>=IF($M715&gt;=$P$18,U715,0)</t>
  </si>
  <si>
    <t>=IF(AND($M715&gt;=$Q$16,$M715&lt;=$Q$18),U715,0)</t>
  </si>
  <si>
    <t>=IF(AND($M715&gt;=$R$16,$M715&lt;=$R$18),U715,0)</t>
  </si>
  <si>
    <t>=IF(AND($M715&gt;=$S$16,$M715&lt;=$S$18),U715,0)</t>
  </si>
  <si>
    <t>=IF($M715&lt;=$T$18,U715,0)</t>
  </si>
  <si>
    <t>="""NAV Direct"",""CRONUS JetCorp USA"",""21"",""1"",""326947"""</t>
  </si>
  <si>
    <t>=E714</t>
  </si>
  <si>
    <t>=StartDate-$M716+1</t>
  </si>
  <si>
    <t>=SUM(P716:T716)</t>
  </si>
  <si>
    <t>=IF($M716&gt;=$P$18,U716,0)</t>
  </si>
  <si>
    <t>=IF(AND($M716&gt;=$Q$16,$M716&lt;=$Q$18),U716,0)</t>
  </si>
  <si>
    <t>=IF(AND($M716&gt;=$R$16,$M716&lt;=$R$18),U716,0)</t>
  </si>
  <si>
    <t>=IF(AND($M716&gt;=$S$16,$M716&lt;=$S$18),U716,0)</t>
  </si>
  <si>
    <t>=IF($M716&lt;=$T$18,U716,0)</t>
  </si>
  <si>
    <t>="""NAV Direct"",""CRONUS JetCorp USA"",""21"",""1"",""327003"""</t>
  </si>
  <si>
    <t>=E715</t>
  </si>
  <si>
    <t>=StartDate-$M717+1</t>
  </si>
  <si>
    <t>=SUM(P717:T717)</t>
  </si>
  <si>
    <t>=IF($M717&gt;=$P$18,U717,0)</t>
  </si>
  <si>
    <t>=IF(AND($M717&gt;=$Q$16,$M717&lt;=$Q$18),U717,0)</t>
  </si>
  <si>
    <t>=IF(AND($M717&gt;=$R$16,$M717&lt;=$R$18),U717,0)</t>
  </si>
  <si>
    <t>=IF(AND($M717&gt;=$S$16,$M717&lt;=$S$18),U717,0)</t>
  </si>
  <si>
    <t>=IF($M717&lt;=$T$18,U717,0)</t>
  </si>
  <si>
    <t>="""NAV Direct"",""CRONUS JetCorp USA"",""21"",""1"",""327034"""</t>
  </si>
  <si>
    <t>=E716</t>
  </si>
  <si>
    <t>=StartDate-$M718+1</t>
  </si>
  <si>
    <t>=SUM(P718:T718)</t>
  </si>
  <si>
    <t>=IF($M718&gt;=$P$18,U718,0)</t>
  </si>
  <si>
    <t>=IF(AND($M718&gt;=$Q$16,$M718&lt;=$Q$18),U718,0)</t>
  </si>
  <si>
    <t>=IF(AND($M718&gt;=$R$16,$M718&lt;=$R$18),U718,0)</t>
  </si>
  <si>
    <t>=IF(AND($M718&gt;=$S$16,$M718&lt;=$S$18),U718,0)</t>
  </si>
  <si>
    <t>=IF($M718&lt;=$T$18,U718,0)</t>
  </si>
  <si>
    <t>="""NAV Direct"",""CRONUS JetCorp USA"",""21"",""1"",""327186"""</t>
  </si>
  <si>
    <t>=E717</t>
  </si>
  <si>
    <t>=StartDate-$M719+1</t>
  </si>
  <si>
    <t>=SUM(P719:T719)</t>
  </si>
  <si>
    <t>=IF($M719&gt;=$P$18,U719,0)</t>
  </si>
  <si>
    <t>=IF(AND($M719&gt;=$Q$16,$M719&lt;=$Q$18),U719,0)</t>
  </si>
  <si>
    <t>=IF(AND($M719&gt;=$R$16,$M719&lt;=$R$18),U719,0)</t>
  </si>
  <si>
    <t>=IF(AND($M719&gt;=$S$16,$M719&lt;=$S$18),U719,0)</t>
  </si>
  <si>
    <t>=IF($M719&lt;=$T$18,U719,0)</t>
  </si>
  <si>
    <t>="""NAV Direct"",""CRONUS JetCorp USA"",""21"",""1"",""327388"""</t>
  </si>
  <si>
    <t>=E718</t>
  </si>
  <si>
    <t>=StartDate-$M720+1</t>
  </si>
  <si>
    <t>=SUM(P720:T720)</t>
  </si>
  <si>
    <t>=IF($M720&gt;=$P$18,U720,0)</t>
  </si>
  <si>
    <t>=IF(AND($M720&gt;=$Q$16,$M720&lt;=$Q$18),U720,0)</t>
  </si>
  <si>
    <t>=IF(AND($M720&gt;=$R$16,$M720&lt;=$R$18),U720,0)</t>
  </si>
  <si>
    <t>=IF(AND($M720&gt;=$S$16,$M720&lt;=$S$18),U720,0)</t>
  </si>
  <si>
    <t>=IF($M720&lt;=$T$18,U720,0)</t>
  </si>
  <si>
    <t>="""NAV Direct"",""CRONUS JetCorp USA"",""21"",""1"",""327913"""</t>
  </si>
  <si>
    <t>=E719</t>
  </si>
  <si>
    <t>=StartDate-$M721+1</t>
  </si>
  <si>
    <t>=SUM(P721:T721)</t>
  </si>
  <si>
    <t>=IF($M721&gt;=$P$18,U721,0)</t>
  </si>
  <si>
    <t>=IF(AND($M721&gt;=$Q$16,$M721&lt;=$Q$18),U721,0)</t>
  </si>
  <si>
    <t>=IF(AND($M721&gt;=$R$16,$M721&lt;=$R$18),U721,0)</t>
  </si>
  <si>
    <t>=IF(AND($M721&gt;=$S$16,$M721&lt;=$S$18),U721,0)</t>
  </si>
  <si>
    <t>=IF($M721&lt;=$T$18,U721,0)</t>
  </si>
  <si>
    <t>="""NAV Direct"",""CRONUS JetCorp USA"",""21"",""1"",""328153"""</t>
  </si>
  <si>
    <t>=E720</t>
  </si>
  <si>
    <t>=StartDate-$M722+1</t>
  </si>
  <si>
    <t>=SUM(P722:T722)</t>
  </si>
  <si>
    <t>=IF($M722&gt;=$P$18,U722,0)</t>
  </si>
  <si>
    <t>=IF(AND($M722&gt;=$Q$16,$M722&lt;=$Q$18),U722,0)</t>
  </si>
  <si>
    <t>=IF(AND($M722&gt;=$R$16,$M722&lt;=$R$18),U722,0)</t>
  </si>
  <si>
    <t>=IF(AND($M722&gt;=$S$16,$M722&lt;=$S$18),U722,0)</t>
  </si>
  <si>
    <t>=IF($M722&lt;=$T$18,U722,0)</t>
  </si>
  <si>
    <t>="""NAV Direct"",""CRONUS JetCorp USA"",""21"",""1"",""328205"""</t>
  </si>
  <si>
    <t>=E721</t>
  </si>
  <si>
    <t>=StartDate-$M723+1</t>
  </si>
  <si>
    <t>=SUM(P723:T723)</t>
  </si>
  <si>
    <t>=IF($M723&gt;=$P$18,U723,0)</t>
  </si>
  <si>
    <t>=IF(AND($M723&gt;=$Q$16,$M723&lt;=$Q$18),U723,0)</t>
  </si>
  <si>
    <t>=IF(AND($M723&gt;=$R$16,$M723&lt;=$R$18),U723,0)</t>
  </si>
  <si>
    <t>=IF(AND($M723&gt;=$S$16,$M723&lt;=$S$18),U723,0)</t>
  </si>
  <si>
    <t>=IF($M723&lt;=$T$18,U723,0)</t>
  </si>
  <si>
    <t>="""NAV Direct"",""CRONUS JetCorp USA"",""21"",""1"",""328731"""</t>
  </si>
  <si>
    <t>=E722</t>
  </si>
  <si>
    <t>=StartDate-$M724+1</t>
  </si>
  <si>
    <t>=SUM(P724:T724)</t>
  </si>
  <si>
    <t>=IF($M724&gt;=$P$18,U724,0)</t>
  </si>
  <si>
    <t>=IF(AND($M724&gt;=$Q$16,$M724&lt;=$Q$18),U724,0)</t>
  </si>
  <si>
    <t>=IF(AND($M724&gt;=$R$16,$M724&lt;=$R$18),U724,0)</t>
  </si>
  <si>
    <t>=IF(AND($M724&gt;=$S$16,$M724&lt;=$S$18),U724,0)</t>
  </si>
  <si>
    <t>=IF($M724&lt;=$T$18,U724,0)</t>
  </si>
  <si>
    <t>="""NAV Direct"",""CRONUS JetCorp USA"",""21"",""1"",""329044"""</t>
  </si>
  <si>
    <t>=E723</t>
  </si>
  <si>
    <t>=StartDate-$M725+1</t>
  </si>
  <si>
    <t>=SUM(P725:T725)</t>
  </si>
  <si>
    <t>=IF($M725&gt;=$P$18,U725,0)</t>
  </si>
  <si>
    <t>=IF(AND($M725&gt;=$Q$16,$M725&lt;=$Q$18),U725,0)</t>
  </si>
  <si>
    <t>=IF(AND($M725&gt;=$R$16,$M725&lt;=$R$18),U725,0)</t>
  </si>
  <si>
    <t>=IF(AND($M725&gt;=$S$16,$M725&lt;=$S$18),U725,0)</t>
  </si>
  <si>
    <t>=IF($M725&lt;=$T$18,U725,0)</t>
  </si>
  <si>
    <t>="""NAV Direct"",""CRONUS JetCorp USA"",""21"",""1"",""329100"""</t>
  </si>
  <si>
    <t>=E724</t>
  </si>
  <si>
    <t>=StartDate-$M726+1</t>
  </si>
  <si>
    <t>=SUM(P726:T726)</t>
  </si>
  <si>
    <t>=IF($M726&gt;=$P$18,U726,0)</t>
  </si>
  <si>
    <t>=IF(AND($M726&gt;=$Q$16,$M726&lt;=$Q$18),U726,0)</t>
  </si>
  <si>
    <t>=IF(AND($M726&gt;=$R$16,$M726&lt;=$R$18),U726,0)</t>
  </si>
  <si>
    <t>=IF(AND($M726&gt;=$S$16,$M726&lt;=$S$18),U726,0)</t>
  </si>
  <si>
    <t>=IF($M726&lt;=$T$18,U726,0)</t>
  </si>
  <si>
    <t>="""NAV Direct"",""CRONUS JetCorp USA"",""21"",""1"",""329343"""</t>
  </si>
  <si>
    <t>=E725</t>
  </si>
  <si>
    <t>=StartDate-$M727+1</t>
  </si>
  <si>
    <t>=SUM(P727:T727)</t>
  </si>
  <si>
    <t>=IF($M727&gt;=$P$18,U727,0)</t>
  </si>
  <si>
    <t>=IF(AND($M727&gt;=$Q$16,$M727&lt;=$Q$18),U727,0)</t>
  </si>
  <si>
    <t>=IF(AND($M727&gt;=$R$16,$M727&lt;=$R$18),U727,0)</t>
  </si>
  <si>
    <t>=IF(AND($M727&gt;=$S$16,$M727&lt;=$S$18),U727,0)</t>
  </si>
  <si>
    <t>=IF($M727&lt;=$T$18,U727,0)</t>
  </si>
  <si>
    <t>="""NAV Direct"",""CRONUS JetCorp USA"",""21"",""1"",""329546"""</t>
  </si>
  <si>
    <t>=E726</t>
  </si>
  <si>
    <t>=StartDate-$M728+1</t>
  </si>
  <si>
    <t>=SUM(P728:T728)</t>
  </si>
  <si>
    <t>=IF($M728&gt;=$P$18,U728,0)</t>
  </si>
  <si>
    <t>=IF(AND($M728&gt;=$Q$16,$M728&lt;=$Q$18),U728,0)</t>
  </si>
  <si>
    <t>=IF(AND($M728&gt;=$R$16,$M728&lt;=$R$18),U728,0)</t>
  </si>
  <si>
    <t>=IF(AND($M728&gt;=$S$16,$M728&lt;=$S$18),U728,0)</t>
  </si>
  <si>
    <t>=IF($M728&lt;=$T$18,U728,0)</t>
  </si>
  <si>
    <t>="""NAV Direct"",""CRONUS JetCorp USA"",""21"",""1"",""329663"""</t>
  </si>
  <si>
    <t>=E727</t>
  </si>
  <si>
    <t>=StartDate-$M729+1</t>
  </si>
  <si>
    <t>=SUM(P729:T729)</t>
  </si>
  <si>
    <t>=IF($M729&gt;=$P$18,U729,0)</t>
  </si>
  <si>
    <t>=IF(AND($M729&gt;=$Q$16,$M729&lt;=$Q$18),U729,0)</t>
  </si>
  <si>
    <t>=IF(AND($M729&gt;=$R$16,$M729&lt;=$R$18),U729,0)</t>
  </si>
  <si>
    <t>=IF(AND($M729&gt;=$S$16,$M729&lt;=$S$18),U729,0)</t>
  </si>
  <si>
    <t>=IF($M729&lt;=$T$18,U729,0)</t>
  </si>
  <si>
    <t>="""NAV Direct"",""CRONUS JetCorp USA"",""21"",""1"",""329781"""</t>
  </si>
  <si>
    <t>=E728</t>
  </si>
  <si>
    <t>=StartDate-$M730+1</t>
  </si>
  <si>
    <t>=SUM(P730:T730)</t>
  </si>
  <si>
    <t>=IF($M730&gt;=$P$18,U730,0)</t>
  </si>
  <si>
    <t>=IF(AND($M730&gt;=$Q$16,$M730&lt;=$Q$18),U730,0)</t>
  </si>
  <si>
    <t>=IF(AND($M730&gt;=$R$16,$M730&lt;=$R$18),U730,0)</t>
  </si>
  <si>
    <t>=IF(AND($M730&gt;=$S$16,$M730&lt;=$S$18),U730,0)</t>
  </si>
  <si>
    <t>=IF($M730&lt;=$T$18,U730,0)</t>
  </si>
  <si>
    <t>="""NAV Direct"",""CRONUS JetCorp USA"",""21"",""1"",""432101"""</t>
  </si>
  <si>
    <t>=E729</t>
  </si>
  <si>
    <t>=StartDate-$M731+1</t>
  </si>
  <si>
    <t>=SUM(P731:T731)</t>
  </si>
  <si>
    <t>=IF($M731&gt;=$P$18,U731,0)</t>
  </si>
  <si>
    <t>=IF(AND($M731&gt;=$Q$16,$M731&lt;=$Q$18),U731,0)</t>
  </si>
  <si>
    <t>=IF(AND($M731&gt;=$R$16,$M731&lt;=$R$18),U731,0)</t>
  </si>
  <si>
    <t>=IF(AND($M731&gt;=$S$16,$M731&lt;=$S$18),U731,0)</t>
  </si>
  <si>
    <t>=IF($M731&lt;=$T$18,U731,0)</t>
  </si>
  <si>
    <t>="""NAV Direct"",""CRONUS JetCorp USA"",""21"",""1"",""432114"""</t>
  </si>
  <si>
    <t>=E730</t>
  </si>
  <si>
    <t>=StartDate-$M732+1</t>
  </si>
  <si>
    <t>=SUM(P732:T732)</t>
  </si>
  <si>
    <t>=IF($M732&gt;=$P$18,U732,0)</t>
  </si>
  <si>
    <t>=IF(AND($M732&gt;=$Q$16,$M732&lt;=$Q$18),U732,0)</t>
  </si>
  <si>
    <t>=IF(AND($M732&gt;=$R$16,$M732&lt;=$R$18),U732,0)</t>
  </si>
  <si>
    <t>=IF(AND($M732&gt;=$S$16,$M732&lt;=$S$18),U732,0)</t>
  </si>
  <si>
    <t>=IF($M732&lt;=$T$18,U732,0)</t>
  </si>
  <si>
    <t>="""NAV Direct"",""CRONUS JetCorp USA"",""21"",""1"",""432178"""</t>
  </si>
  <si>
    <t>=E731</t>
  </si>
  <si>
    <t>=StartDate-$M733+1</t>
  </si>
  <si>
    <t>=SUM(P733:T733)</t>
  </si>
  <si>
    <t>=IF($M733&gt;=$P$18,U733,0)</t>
  </si>
  <si>
    <t>=IF(AND($M733&gt;=$Q$16,$M733&lt;=$Q$18),U733,0)</t>
  </si>
  <si>
    <t>=IF(AND($M733&gt;=$R$16,$M733&lt;=$R$18),U733,0)</t>
  </si>
  <si>
    <t>=IF(AND($M733&gt;=$S$16,$M733&lt;=$S$18),U733,0)</t>
  </si>
  <si>
    <t>=IF($M733&lt;=$T$18,U733,0)</t>
  </si>
  <si>
    <t>="""NAV Direct"",""CRONUS JetCorp USA"",""21"",""1"",""432217"""</t>
  </si>
  <si>
    <t>=E732</t>
  </si>
  <si>
    <t>=StartDate-$M734+1</t>
  </si>
  <si>
    <t>=SUM(P734:T734)</t>
  </si>
  <si>
    <t>=IF($M734&gt;=$P$18,U734,0)</t>
  </si>
  <si>
    <t>=IF(AND($M734&gt;=$Q$16,$M734&lt;=$Q$18),U734,0)</t>
  </si>
  <si>
    <t>=IF(AND($M734&gt;=$R$16,$M734&lt;=$R$18),U734,0)</t>
  </si>
  <si>
    <t>=IF(AND($M734&gt;=$S$16,$M734&lt;=$S$18),U734,0)</t>
  </si>
  <si>
    <t>=IF($M734&lt;=$T$18,U734,0)</t>
  </si>
  <si>
    <t>="""NAV Direct"",""CRONUS JetCorp USA"",""21"",""1"",""432304"""</t>
  </si>
  <si>
    <t>=E733</t>
  </si>
  <si>
    <t>=StartDate-$M735+1</t>
  </si>
  <si>
    <t>=SUM(P735:T735)</t>
  </si>
  <si>
    <t>=IF($M735&gt;=$P$18,U735,0)</t>
  </si>
  <si>
    <t>=IF(AND($M735&gt;=$Q$16,$M735&lt;=$Q$18),U735,0)</t>
  </si>
  <si>
    <t>=IF(AND($M735&gt;=$R$16,$M735&lt;=$R$18),U735,0)</t>
  </si>
  <si>
    <t>=IF(AND($M735&gt;=$S$16,$M735&lt;=$S$18),U735,0)</t>
  </si>
  <si>
    <t>=IF($M735&lt;=$T$18,U735,0)</t>
  </si>
  <si>
    <t>="""NAV Direct"",""CRONUS JetCorp USA"",""21"",""1"",""432518"""</t>
  </si>
  <si>
    <t>=E734</t>
  </si>
  <si>
    <t>=StartDate-$M736+1</t>
  </si>
  <si>
    <t>=SUM(P736:T736)</t>
  </si>
  <si>
    <t>=IF($M736&gt;=$P$18,U736,0)</t>
  </si>
  <si>
    <t>=IF(AND($M736&gt;=$Q$16,$M736&lt;=$Q$18),U736,0)</t>
  </si>
  <si>
    <t>=IF(AND($M736&gt;=$R$16,$M736&lt;=$R$18),U736,0)</t>
  </si>
  <si>
    <t>=IF(AND($M736&gt;=$S$16,$M736&lt;=$S$18),U736,0)</t>
  </si>
  <si>
    <t>=IF($M736&lt;=$T$18,U736,0)</t>
  </si>
  <si>
    <t>="""NAV Direct"",""CRONUS JetCorp USA"",""21"",""1"",""432584"""</t>
  </si>
  <si>
    <t>=E735</t>
  </si>
  <si>
    <t>=StartDate-$M737+1</t>
  </si>
  <si>
    <t>=SUM(P737:T737)</t>
  </si>
  <si>
    <t>=IF($M737&gt;=$P$18,U737,0)</t>
  </si>
  <si>
    <t>=IF(AND($M737&gt;=$Q$16,$M737&lt;=$Q$18),U737,0)</t>
  </si>
  <si>
    <t>=IF(AND($M737&gt;=$R$16,$M737&lt;=$R$18),U737,0)</t>
  </si>
  <si>
    <t>=IF(AND($M737&gt;=$S$16,$M737&lt;=$S$18),U737,0)</t>
  </si>
  <si>
    <t>=IF($M737&lt;=$T$18,U737,0)</t>
  </si>
  <si>
    <t>="""NAV Direct"",""CRONUS JetCorp USA"",""21"",""1"",""432663"""</t>
  </si>
  <si>
    <t>=E736</t>
  </si>
  <si>
    <t>=StartDate-$M738+1</t>
  </si>
  <si>
    <t>=SUM(P738:T738)</t>
  </si>
  <si>
    <t>=IF($M738&gt;=$P$18,U738,0)</t>
  </si>
  <si>
    <t>=IF(AND($M738&gt;=$Q$16,$M738&lt;=$Q$18),U738,0)</t>
  </si>
  <si>
    <t>=IF(AND($M738&gt;=$R$16,$M738&lt;=$R$18),U738,0)</t>
  </si>
  <si>
    <t>=IF(AND($M738&gt;=$S$16,$M738&lt;=$S$18),U738,0)</t>
  </si>
  <si>
    <t>=IF($M738&lt;=$T$18,U738,0)</t>
  </si>
  <si>
    <t>="""NAV Direct"",""CRONUS JetCorp USA"",""21"",""1"",""432678"""</t>
  </si>
  <si>
    <t>=E737</t>
  </si>
  <si>
    <t>=StartDate-$M739+1</t>
  </si>
  <si>
    <t>=SUM(P739:T739)</t>
  </si>
  <si>
    <t>=IF($M739&gt;=$P$18,U739,0)</t>
  </si>
  <si>
    <t>=IF(AND($M739&gt;=$Q$16,$M739&lt;=$Q$18),U739,0)</t>
  </si>
  <si>
    <t>=IF(AND($M739&gt;=$R$16,$M739&lt;=$R$18),U739,0)</t>
  </si>
  <si>
    <t>=IF(AND($M739&gt;=$S$16,$M739&lt;=$S$18),U739,0)</t>
  </si>
  <si>
    <t>=IF($M739&lt;=$T$18,U739,0)</t>
  </si>
  <si>
    <t>="""NAV Direct"",""CRONUS JetCorp USA"",""21"",""1"",""432708"""</t>
  </si>
  <si>
    <t>=E738</t>
  </si>
  <si>
    <t>=StartDate-$M740+1</t>
  </si>
  <si>
    <t>=SUM(P740:T740)</t>
  </si>
  <si>
    <t>=IF($M740&gt;=$P$18,U740,0)</t>
  </si>
  <si>
    <t>=IF(AND($M740&gt;=$Q$16,$M740&lt;=$Q$18),U740,0)</t>
  </si>
  <si>
    <t>=IF(AND($M740&gt;=$R$16,$M740&lt;=$R$18),U740,0)</t>
  </si>
  <si>
    <t>=IF(AND($M740&gt;=$S$16,$M740&lt;=$S$18),U740,0)</t>
  </si>
  <si>
    <t>=IF($M740&lt;=$T$18,U740,0)</t>
  </si>
  <si>
    <t>="""NAV Direct"",""CRONUS JetCorp USA"",""18"",""1"",""C100032"""</t>
  </si>
  <si>
    <t>=H743</t>
  </si>
  <si>
    <t>=NF($C743,"1 No.")</t>
  </si>
  <si>
    <t>=NF($C743,"1 No.")&amp;"  -  "&amp;NF($C743,"2 Name")</t>
  </si>
  <si>
    <t>=IFERROR(O743/NF(C743,"Credit Limit (LCY)"),"")</t>
  </si>
  <si>
    <t>=SUBTOTAL(3,L744:L772)</t>
  </si>
  <si>
    <t>=SUBTOTAL(9,O744:O772)</t>
  </si>
  <si>
    <t>=SUBTOTAL(9,P744:P772)</t>
  </si>
  <si>
    <t>=SUBTOTAL(9,Q744:Q772)</t>
  </si>
  <si>
    <t>=SUBTOTAL(9,R744:R772)</t>
  </si>
  <si>
    <t>=SUBTOTAL(9,S744:S772)</t>
  </si>
  <si>
    <t>=SUBTOTAL(9,T744:T772)</t>
  </si>
  <si>
    <t>=C743</t>
  </si>
  <si>
    <t>=E743</t>
  </si>
  <si>
    <t>="Contact: "&amp;NF($C744,"8 Contact")</t>
  </si>
  <si>
    <t>=C744</t>
  </si>
  <si>
    <t>=E744</t>
  </si>
  <si>
    <t>=NF($C745,"102 E-Mail")</t>
  </si>
  <si>
    <t>=NL("Rows","21 Cust. Ledger Entry",,"3 Customer No.","@@"&amp;$E747,"16 Remaining Amt. (LCY)","&lt;&gt;0")</t>
  </si>
  <si>
    <t>=E745</t>
  </si>
  <si>
    <t>=StartDate-$M747+1</t>
  </si>
  <si>
    <t>=SUM(P747:T747)</t>
  </si>
  <si>
    <t>=IF($M747&gt;=$P$18,U747,0)</t>
  </si>
  <si>
    <t>=IF(AND($M747&gt;=$Q$16,$M747&lt;=$Q$18),U747,0)</t>
  </si>
  <si>
    <t>=IF(AND($M747&gt;=$R$16,$M747&lt;=$R$18),U747,0)</t>
  </si>
  <si>
    <t>=IF(AND($M747&gt;=$S$16,$M747&lt;=$S$18),U747,0)</t>
  </si>
  <si>
    <t>=IF($M747&lt;=$T$18,U747,0)</t>
  </si>
  <si>
    <t>="""NAV Direct"",""CRONUS JetCorp USA"",""21"",""1"",""38359"""</t>
  </si>
  <si>
    <t>=E746</t>
  </si>
  <si>
    <t>=StartDate-$M748+1</t>
  </si>
  <si>
    <t>=SUM(P748:T748)</t>
  </si>
  <si>
    <t>=IF($M748&gt;=$P$18,U748,0)</t>
  </si>
  <si>
    <t>=IF(AND($M748&gt;=$Q$16,$M748&lt;=$Q$18),U748,0)</t>
  </si>
  <si>
    <t>=IF(AND($M748&gt;=$R$16,$M748&lt;=$R$18),U748,0)</t>
  </si>
  <si>
    <t>=IF(AND($M748&gt;=$S$16,$M748&lt;=$S$18),U748,0)</t>
  </si>
  <si>
    <t>=IF($M748&lt;=$T$18,U748,0)</t>
  </si>
  <si>
    <t>="""NAV Direct"",""CRONUS JetCorp USA"",""21"",""1"",""38430"""</t>
  </si>
  <si>
    <t>=E747</t>
  </si>
  <si>
    <t>=StartDate-$M749+1</t>
  </si>
  <si>
    <t>=SUM(P749:T749)</t>
  </si>
  <si>
    <t>=IF($M749&gt;=$P$18,U749,0)</t>
  </si>
  <si>
    <t>=IF(AND($M749&gt;=$Q$16,$M749&lt;=$Q$18),U749,0)</t>
  </si>
  <si>
    <t>=IF(AND($M749&gt;=$R$16,$M749&lt;=$R$18),U749,0)</t>
  </si>
  <si>
    <t>=IF(AND($M749&gt;=$S$16,$M749&lt;=$S$18),U749,0)</t>
  </si>
  <si>
    <t>=IF($M749&lt;=$T$18,U749,0)</t>
  </si>
  <si>
    <t>="""NAV Direct"",""CRONUS JetCorp USA"",""21"",""1"",""38685"""</t>
  </si>
  <si>
    <t>=E748</t>
  </si>
  <si>
    <t>=StartDate-$M750+1</t>
  </si>
  <si>
    <t>=SUM(P750:T750)</t>
  </si>
  <si>
    <t>=IF($M750&gt;=$P$18,U750,0)</t>
  </si>
  <si>
    <t>=IF(AND($M750&gt;=$Q$16,$M750&lt;=$Q$18),U750,0)</t>
  </si>
  <si>
    <t>=IF(AND($M750&gt;=$R$16,$M750&lt;=$R$18),U750,0)</t>
  </si>
  <si>
    <t>=IF(AND($M750&gt;=$S$16,$M750&lt;=$S$18),U750,0)</t>
  </si>
  <si>
    <t>=IF($M750&lt;=$T$18,U750,0)</t>
  </si>
  <si>
    <t>="""NAV Direct"",""CRONUS JetCorp USA"",""21"",""1"",""38702"""</t>
  </si>
  <si>
    <t>=E749</t>
  </si>
  <si>
    <t>=StartDate-$M751+1</t>
  </si>
  <si>
    <t>=SUM(P751:T751)</t>
  </si>
  <si>
    <t>=IF($M751&gt;=$P$18,U751,0)</t>
  </si>
  <si>
    <t>=IF(AND($M751&gt;=$Q$16,$M751&lt;=$Q$18),U751,0)</t>
  </si>
  <si>
    <t>=IF(AND($M751&gt;=$R$16,$M751&lt;=$R$18),U751,0)</t>
  </si>
  <si>
    <t>=IF(AND($M751&gt;=$S$16,$M751&lt;=$S$18),U751,0)</t>
  </si>
  <si>
    <t>=IF($M751&lt;=$T$18,U751,0)</t>
  </si>
  <si>
    <t>="""NAV Direct"",""CRONUS JetCorp USA"",""21"",""1"",""330017"""</t>
  </si>
  <si>
    <t>=E750</t>
  </si>
  <si>
    <t>=StartDate-$M752+1</t>
  </si>
  <si>
    <t>=SUM(P752:T752)</t>
  </si>
  <si>
    <t>=IF($M752&gt;=$P$18,U752,0)</t>
  </si>
  <si>
    <t>=IF(AND($M752&gt;=$Q$16,$M752&lt;=$Q$18),U752,0)</t>
  </si>
  <si>
    <t>=IF(AND($M752&gt;=$R$16,$M752&lt;=$R$18),U752,0)</t>
  </si>
  <si>
    <t>=IF(AND($M752&gt;=$S$16,$M752&lt;=$S$18),U752,0)</t>
  </si>
  <si>
    <t>=IF($M752&lt;=$T$18,U752,0)</t>
  </si>
  <si>
    <t>="""NAV Direct"",""CRONUS JetCorp USA"",""21"",""1"",""330038"""</t>
  </si>
  <si>
    <t>=E751</t>
  </si>
  <si>
    <t>=StartDate-$M753+1</t>
  </si>
  <si>
    <t>=SUM(P753:T753)</t>
  </si>
  <si>
    <t>=IF($M753&gt;=$P$18,U753,0)</t>
  </si>
  <si>
    <t>=IF(AND($M753&gt;=$Q$16,$M753&lt;=$Q$18),U753,0)</t>
  </si>
  <si>
    <t>=IF(AND($M753&gt;=$R$16,$M753&lt;=$R$18),U753,0)</t>
  </si>
  <si>
    <t>=IF(AND($M753&gt;=$S$16,$M753&lt;=$S$18),U753,0)</t>
  </si>
  <si>
    <t>=IF($M753&lt;=$T$18,U753,0)</t>
  </si>
  <si>
    <t>="""NAV Direct"",""CRONUS JetCorp USA"",""21"",""1"",""330258"""</t>
  </si>
  <si>
    <t>=E752</t>
  </si>
  <si>
    <t>=StartDate-$M754+1</t>
  </si>
  <si>
    <t>=SUM(P754:T754)</t>
  </si>
  <si>
    <t>=IF($M754&gt;=$P$18,U754,0)</t>
  </si>
  <si>
    <t>=IF(AND($M754&gt;=$Q$16,$M754&lt;=$Q$18),U754,0)</t>
  </si>
  <si>
    <t>=IF(AND($M754&gt;=$R$16,$M754&lt;=$R$18),U754,0)</t>
  </si>
  <si>
    <t>=IF(AND($M754&gt;=$S$16,$M754&lt;=$S$18),U754,0)</t>
  </si>
  <si>
    <t>=IF($M754&lt;=$T$18,U754,0)</t>
  </si>
  <si>
    <t>="""NAV Direct"",""CRONUS JetCorp USA"",""21"",""1"",""330308"""</t>
  </si>
  <si>
    <t>=E753</t>
  </si>
  <si>
    <t>=StartDate-$M755+1</t>
  </si>
  <si>
    <t>=SUM(P755:T755)</t>
  </si>
  <si>
    <t>=IF($M755&gt;=$P$18,U755,0)</t>
  </si>
  <si>
    <t>=IF(AND($M755&gt;=$Q$16,$M755&lt;=$Q$18),U755,0)</t>
  </si>
  <si>
    <t>=IF(AND($M755&gt;=$R$16,$M755&lt;=$R$18),U755,0)</t>
  </si>
  <si>
    <t>=IF(AND($M755&gt;=$S$16,$M755&lt;=$S$18),U755,0)</t>
  </si>
  <si>
    <t>=IF($M755&lt;=$T$18,U755,0)</t>
  </si>
  <si>
    <t>="""NAV Direct"",""CRONUS JetCorp USA"",""21"",""1"",""330503"""</t>
  </si>
  <si>
    <t>=E754</t>
  </si>
  <si>
    <t>=StartDate-$M756+1</t>
  </si>
  <si>
    <t>=SUM(P756:T756)</t>
  </si>
  <si>
    <t>=IF($M756&gt;=$P$18,U756,0)</t>
  </si>
  <si>
    <t>=IF(AND($M756&gt;=$Q$16,$M756&lt;=$Q$18),U756,0)</t>
  </si>
  <si>
    <t>=IF(AND($M756&gt;=$R$16,$M756&lt;=$R$18),U756,0)</t>
  </si>
  <si>
    <t>=IF(AND($M756&gt;=$S$16,$M756&lt;=$S$18),U756,0)</t>
  </si>
  <si>
    <t>=IF($M756&lt;=$T$18,U756,0)</t>
  </si>
  <si>
    <t>="""NAV Direct"",""CRONUS JetCorp USA"",""21"",""1"",""330621"""</t>
  </si>
  <si>
    <t>=E755</t>
  </si>
  <si>
    <t>=StartDate-$M757+1</t>
  </si>
  <si>
    <t>=SUM(P757:T757)</t>
  </si>
  <si>
    <t>=IF($M757&gt;=$P$18,U757,0)</t>
  </si>
  <si>
    <t>=IF(AND($M757&gt;=$Q$16,$M757&lt;=$Q$18),U757,0)</t>
  </si>
  <si>
    <t>=IF(AND($M757&gt;=$R$16,$M757&lt;=$R$18),U757,0)</t>
  </si>
  <si>
    <t>=IF(AND($M757&gt;=$S$16,$M757&lt;=$S$18),U757,0)</t>
  </si>
  <si>
    <t>=IF($M757&lt;=$T$18,U757,0)</t>
  </si>
  <si>
    <t>="""NAV Direct"",""CRONUS JetCorp USA"",""21"",""1"",""330658"""</t>
  </si>
  <si>
    <t>=E756</t>
  </si>
  <si>
    <t>=StartDate-$M758+1</t>
  </si>
  <si>
    <t>=SUM(P758:T758)</t>
  </si>
  <si>
    <t>=IF($M758&gt;=$P$18,U758,0)</t>
  </si>
  <si>
    <t>=IF(AND($M758&gt;=$Q$16,$M758&lt;=$Q$18),U758,0)</t>
  </si>
  <si>
    <t>=IF(AND($M758&gt;=$R$16,$M758&lt;=$R$18),U758,0)</t>
  </si>
  <si>
    <t>=IF(AND($M758&gt;=$S$16,$M758&lt;=$S$18),U758,0)</t>
  </si>
  <si>
    <t>=IF($M758&lt;=$T$18,U758,0)</t>
  </si>
  <si>
    <t>="""NAV Direct"",""CRONUS JetCorp USA"",""21"",""1"",""330835"""</t>
  </si>
  <si>
    <t>=E757</t>
  </si>
  <si>
    <t>=StartDate-$M759+1</t>
  </si>
  <si>
    <t>=SUM(P759:T759)</t>
  </si>
  <si>
    <t>=IF($M759&gt;=$P$18,U759,0)</t>
  </si>
  <si>
    <t>=IF(AND($M759&gt;=$Q$16,$M759&lt;=$Q$18),U759,0)</t>
  </si>
  <si>
    <t>=IF(AND($M759&gt;=$R$16,$M759&lt;=$R$18),U759,0)</t>
  </si>
  <si>
    <t>=IF(AND($M759&gt;=$S$16,$M759&lt;=$S$18),U759,0)</t>
  </si>
  <si>
    <t>=IF($M759&lt;=$T$18,U759,0)</t>
  </si>
  <si>
    <t>="""NAV Direct"",""CRONUS JetCorp USA"",""21"",""1"",""330939"""</t>
  </si>
  <si>
    <t>=E758</t>
  </si>
  <si>
    <t>=StartDate-$M760+1</t>
  </si>
  <si>
    <t>=SUM(P760:T760)</t>
  </si>
  <si>
    <t>=IF($M760&gt;=$P$18,U760,0)</t>
  </si>
  <si>
    <t>=IF(AND($M760&gt;=$Q$16,$M760&lt;=$Q$18),U760,0)</t>
  </si>
  <si>
    <t>=IF(AND($M760&gt;=$R$16,$M760&lt;=$R$18),U760,0)</t>
  </si>
  <si>
    <t>=IF(AND($M760&gt;=$S$16,$M760&lt;=$S$18),U760,0)</t>
  </si>
  <si>
    <t>=IF($M760&lt;=$T$18,U760,0)</t>
  </si>
  <si>
    <t>="""NAV Direct"",""CRONUS JetCorp USA"",""21"",""1"",""330989"""</t>
  </si>
  <si>
    <t>=E759</t>
  </si>
  <si>
    <t>=StartDate-$M761+1</t>
  </si>
  <si>
    <t>=SUM(P761:T761)</t>
  </si>
  <si>
    <t>=IF($M761&gt;=$P$18,U761,0)</t>
  </si>
  <si>
    <t>=IF(AND($M761&gt;=$Q$16,$M761&lt;=$Q$18),U761,0)</t>
  </si>
  <si>
    <t>=IF(AND($M761&gt;=$R$16,$M761&lt;=$R$18),U761,0)</t>
  </si>
  <si>
    <t>=IF(AND($M761&gt;=$S$16,$M761&lt;=$S$18),U761,0)</t>
  </si>
  <si>
    <t>=IF($M761&lt;=$T$18,U761,0)</t>
  </si>
  <si>
    <t>="""NAV Direct"",""CRONUS JetCorp USA"",""21"",""1"",""331025"""</t>
  </si>
  <si>
    <t>=E760</t>
  </si>
  <si>
    <t>=StartDate-$M762+1</t>
  </si>
  <si>
    <t>=SUM(P762:T762)</t>
  </si>
  <si>
    <t>=IF($M762&gt;=$P$18,U762,0)</t>
  </si>
  <si>
    <t>=IF(AND($M762&gt;=$Q$16,$M762&lt;=$Q$18),U762,0)</t>
  </si>
  <si>
    <t>=IF(AND($M762&gt;=$R$16,$M762&lt;=$R$18),U762,0)</t>
  </si>
  <si>
    <t>=IF(AND($M762&gt;=$S$16,$M762&lt;=$S$18),U762,0)</t>
  </si>
  <si>
    <t>=IF($M762&lt;=$T$18,U762,0)</t>
  </si>
  <si>
    <t>="""NAV Direct"",""CRONUS JetCorp USA"",""21"",""1"",""331274"""</t>
  </si>
  <si>
    <t>=E761</t>
  </si>
  <si>
    <t>=StartDate-$M763+1</t>
  </si>
  <si>
    <t>=SUM(P763:T763)</t>
  </si>
  <si>
    <t>=IF($M763&gt;=$P$18,U763,0)</t>
  </si>
  <si>
    <t>=IF(AND($M763&gt;=$Q$16,$M763&lt;=$Q$18),U763,0)</t>
  </si>
  <si>
    <t>=IF(AND($M763&gt;=$R$16,$M763&lt;=$R$18),U763,0)</t>
  </si>
  <si>
    <t>=IF(AND($M763&gt;=$S$16,$M763&lt;=$S$18),U763,0)</t>
  </si>
  <si>
    <t>=IF($M763&lt;=$T$18,U763,0)</t>
  </si>
  <si>
    <t>="""NAV Direct"",""CRONUS JetCorp USA"",""21"",""1"",""331389"""</t>
  </si>
  <si>
    <t>=E762</t>
  </si>
  <si>
    <t>=StartDate-$M764+1</t>
  </si>
  <si>
    <t>=SUM(P764:T764)</t>
  </si>
  <si>
    <t>=IF($M764&gt;=$P$18,U764,0)</t>
  </si>
  <si>
    <t>=IF(AND($M764&gt;=$Q$16,$M764&lt;=$Q$18),U764,0)</t>
  </si>
  <si>
    <t>=IF(AND($M764&gt;=$R$16,$M764&lt;=$R$18),U764,0)</t>
  </si>
  <si>
    <t>=IF(AND($M764&gt;=$S$16,$M764&lt;=$S$18),U764,0)</t>
  </si>
  <si>
    <t>=IF($M764&lt;=$T$18,U764,0)</t>
  </si>
  <si>
    <t>="""NAV Direct"",""CRONUS JetCorp USA"",""21"",""1"",""331435"""</t>
  </si>
  <si>
    <t>=E763</t>
  </si>
  <si>
    <t>=StartDate-$M765+1</t>
  </si>
  <si>
    <t>=SUM(P765:T765)</t>
  </si>
  <si>
    <t>=IF($M765&gt;=$P$18,U765,0)</t>
  </si>
  <si>
    <t>=IF(AND($M765&gt;=$Q$16,$M765&lt;=$Q$18),U765,0)</t>
  </si>
  <si>
    <t>=IF(AND($M765&gt;=$R$16,$M765&lt;=$R$18),U765,0)</t>
  </si>
  <si>
    <t>=IF(AND($M765&gt;=$S$16,$M765&lt;=$S$18),U765,0)</t>
  </si>
  <si>
    <t>=IF($M765&lt;=$T$18,U765,0)</t>
  </si>
  <si>
    <t>="""NAV Direct"",""CRONUS JetCorp USA"",""21"",""1"",""331656"""</t>
  </si>
  <si>
    <t>=E764</t>
  </si>
  <si>
    <t>=StartDate-$M766+1</t>
  </si>
  <si>
    <t>=SUM(P766:T766)</t>
  </si>
  <si>
    <t>=IF($M766&gt;=$P$18,U766,0)</t>
  </si>
  <si>
    <t>=IF(AND($M766&gt;=$Q$16,$M766&lt;=$Q$18),U766,0)</t>
  </si>
  <si>
    <t>=IF(AND($M766&gt;=$R$16,$M766&lt;=$R$18),U766,0)</t>
  </si>
  <si>
    <t>=IF(AND($M766&gt;=$S$16,$M766&lt;=$S$18),U766,0)</t>
  </si>
  <si>
    <t>=IF($M766&lt;=$T$18,U766,0)</t>
  </si>
  <si>
    <t>="""NAV Direct"",""CRONUS JetCorp USA"",""21"",""1"",""331727"""</t>
  </si>
  <si>
    <t>=E765</t>
  </si>
  <si>
    <t>=StartDate-$M767+1</t>
  </si>
  <si>
    <t>=SUM(P767:T767)</t>
  </si>
  <si>
    <t>=IF($M767&gt;=$P$18,U767,0)</t>
  </si>
  <si>
    <t>=IF(AND($M767&gt;=$Q$16,$M767&lt;=$Q$18),U767,0)</t>
  </si>
  <si>
    <t>=IF(AND($M767&gt;=$R$16,$M767&lt;=$R$18),U767,0)</t>
  </si>
  <si>
    <t>=IF(AND($M767&gt;=$S$16,$M767&lt;=$S$18),U767,0)</t>
  </si>
  <si>
    <t>=IF($M767&lt;=$T$18,U767,0)</t>
  </si>
  <si>
    <t>="""NAV Direct"",""CRONUS JetCorp USA"",""21"",""1"",""332011"""</t>
  </si>
  <si>
    <t>=E766</t>
  </si>
  <si>
    <t>=StartDate-$M768+1</t>
  </si>
  <si>
    <t>=SUM(P768:T768)</t>
  </si>
  <si>
    <t>=IF($M768&gt;=$P$18,U768,0)</t>
  </si>
  <si>
    <t>=IF(AND($M768&gt;=$Q$16,$M768&lt;=$Q$18),U768,0)</t>
  </si>
  <si>
    <t>=IF(AND($M768&gt;=$R$16,$M768&lt;=$R$18),U768,0)</t>
  </si>
  <si>
    <t>=IF(AND($M768&gt;=$S$16,$M768&lt;=$S$18),U768,0)</t>
  </si>
  <si>
    <t>=IF($M768&lt;=$T$18,U768,0)</t>
  </si>
  <si>
    <t>="""NAV Direct"",""CRONUS JetCorp USA"",""21"",""1"",""332345"""</t>
  </si>
  <si>
    <t>=E767</t>
  </si>
  <si>
    <t>=StartDate-$M769+1</t>
  </si>
  <si>
    <t>=SUM(P769:T769)</t>
  </si>
  <si>
    <t>=IF($M769&gt;=$P$18,U769,0)</t>
  </si>
  <si>
    <t>=IF(AND($M769&gt;=$Q$16,$M769&lt;=$Q$18),U769,0)</t>
  </si>
  <si>
    <t>=IF(AND($M769&gt;=$R$16,$M769&lt;=$R$18),U769,0)</t>
  </si>
  <si>
    <t>=IF(AND($M769&gt;=$S$16,$M769&lt;=$S$18),U769,0)</t>
  </si>
  <si>
    <t>=IF($M769&lt;=$T$18,U769,0)</t>
  </si>
  <si>
    <t>="""NAV Direct"",""CRONUS JetCorp USA"",""21"",""1"",""432967"""</t>
  </si>
  <si>
    <t>=E768</t>
  </si>
  <si>
    <t>=StartDate-$M770+1</t>
  </si>
  <si>
    <t>=SUM(P770:T770)</t>
  </si>
  <si>
    <t>=IF($M770&gt;=$P$18,U770,0)</t>
  </si>
  <si>
    <t>=IF(AND($M770&gt;=$Q$16,$M770&lt;=$Q$18),U770,0)</t>
  </si>
  <si>
    <t>=IF(AND($M770&gt;=$R$16,$M770&lt;=$R$18),U770,0)</t>
  </si>
  <si>
    <t>=IF(AND($M770&gt;=$S$16,$M770&lt;=$S$18),U770,0)</t>
  </si>
  <si>
    <t>=IF($M770&lt;=$T$18,U770,0)</t>
  </si>
  <si>
    <t>="""NAV Direct"",""CRONUS JetCorp USA"",""21"",""1"",""433034"""</t>
  </si>
  <si>
    <t>=E769</t>
  </si>
  <si>
    <t>=StartDate-$M771+1</t>
  </si>
  <si>
    <t>=SUM(P771:T771)</t>
  </si>
  <si>
    <t>=IF($M771&gt;=$P$18,U771,0)</t>
  </si>
  <si>
    <t>=IF(AND($M771&gt;=$Q$16,$M771&lt;=$Q$18),U771,0)</t>
  </si>
  <si>
    <t>=IF(AND($M771&gt;=$R$16,$M771&lt;=$R$18),U771,0)</t>
  </si>
  <si>
    <t>=IF(AND($M771&gt;=$S$16,$M771&lt;=$S$18),U771,0)</t>
  </si>
  <si>
    <t>=IF($M771&lt;=$T$18,U771,0)</t>
  </si>
  <si>
    <t>="""NAV Direct"",""CRONUS JetCorp USA"",""18"",""1"",""C100033"""</t>
  </si>
  <si>
    <t>=H774</t>
  </si>
  <si>
    <t>=NF($C774,"1 No.")</t>
  </si>
  <si>
    <t>=NF($C774,"1 No.")&amp;"  -  "&amp;NF($C774,"2 Name")</t>
  </si>
  <si>
    <t>=IFERROR(O774/NF(C774,"Credit Limit (LCY)"),"")</t>
  </si>
  <si>
    <t>=SUBTOTAL(3,L775:L839)</t>
  </si>
  <si>
    <t>=SUBTOTAL(9,O775:O839)</t>
  </si>
  <si>
    <t>=SUBTOTAL(9,P775:P839)</t>
  </si>
  <si>
    <t>=SUBTOTAL(9,Q775:Q839)</t>
  </si>
  <si>
    <t>=SUBTOTAL(9,R775:R839)</t>
  </si>
  <si>
    <t>=SUBTOTAL(9,S775:S839)</t>
  </si>
  <si>
    <t>=SUBTOTAL(9,T775:T839)</t>
  </si>
  <si>
    <t>=C774</t>
  </si>
  <si>
    <t>=E774</t>
  </si>
  <si>
    <t>="Contact: "&amp;NF($C775,"8 Contact")</t>
  </si>
  <si>
    <t>=C775</t>
  </si>
  <si>
    <t>=E775</t>
  </si>
  <si>
    <t>=NF($C776,"102 E-Mail")</t>
  </si>
  <si>
    <t>=NL("Rows","21 Cust. Ledger Entry",,"3 Customer No.","@@"&amp;$E778,"16 Remaining Amt. (LCY)","&lt;&gt;0")</t>
  </si>
  <si>
    <t>=E776</t>
  </si>
  <si>
    <t>=StartDate-$M778+1</t>
  </si>
  <si>
    <t>=SUM(P778:T778)</t>
  </si>
  <si>
    <t>=IF($M778&gt;=$P$18,U778,0)</t>
  </si>
  <si>
    <t>=IF(AND($M778&gt;=$Q$16,$M778&lt;=$Q$18),U778,0)</t>
  </si>
  <si>
    <t>=IF(AND($M778&gt;=$R$16,$M778&lt;=$R$18),U778,0)</t>
  </si>
  <si>
    <t>=IF(AND($M778&gt;=$S$16,$M778&lt;=$S$18),U778,0)</t>
  </si>
  <si>
    <t>=IF($M778&lt;=$T$18,U778,0)</t>
  </si>
  <si>
    <t>="""NAV Direct"",""CRONUS JetCorp USA"",""21"",""1"",""29521"""</t>
  </si>
  <si>
    <t>=E777</t>
  </si>
  <si>
    <t>=StartDate-$M779+1</t>
  </si>
  <si>
    <t>=SUM(P779:T779)</t>
  </si>
  <si>
    <t>=IF($M779&gt;=$P$18,U779,0)</t>
  </si>
  <si>
    <t>=IF(AND($M779&gt;=$Q$16,$M779&lt;=$Q$18),U779,0)</t>
  </si>
  <si>
    <t>=IF(AND($M779&gt;=$R$16,$M779&lt;=$R$18),U779,0)</t>
  </si>
  <si>
    <t>=IF(AND($M779&gt;=$S$16,$M779&lt;=$S$18),U779,0)</t>
  </si>
  <si>
    <t>=IF($M779&lt;=$T$18,U779,0)</t>
  </si>
  <si>
    <t>="""NAV Direct"",""CRONUS JetCorp USA"",""21"",""1"",""29546"""</t>
  </si>
  <si>
    <t>=E778</t>
  </si>
  <si>
    <t>=StartDate-$M780+1</t>
  </si>
  <si>
    <t>=SUM(P780:T780)</t>
  </si>
  <si>
    <t>=IF($M780&gt;=$P$18,U780,0)</t>
  </si>
  <si>
    <t>=IF(AND($M780&gt;=$Q$16,$M780&lt;=$Q$18),U780,0)</t>
  </si>
  <si>
    <t>=IF(AND($M780&gt;=$R$16,$M780&lt;=$R$18),U780,0)</t>
  </si>
  <si>
    <t>=IF(AND($M780&gt;=$S$16,$M780&lt;=$S$18),U780,0)</t>
  </si>
  <si>
    <t>=IF($M780&lt;=$T$18,U780,0)</t>
  </si>
  <si>
    <t>="""NAV Direct"",""CRONUS JetCorp USA"",""21"",""1"",""29692"""</t>
  </si>
  <si>
    <t>=E779</t>
  </si>
  <si>
    <t>=StartDate-$M781+1</t>
  </si>
  <si>
    <t>=SUM(P781:T781)</t>
  </si>
  <si>
    <t>=IF($M781&gt;=$P$18,U781,0)</t>
  </si>
  <si>
    <t>=IF(AND($M781&gt;=$Q$16,$M781&lt;=$Q$18),U781,0)</t>
  </si>
  <si>
    <t>=IF(AND($M781&gt;=$R$16,$M781&lt;=$R$18),U781,0)</t>
  </si>
  <si>
    <t>=IF(AND($M781&gt;=$S$16,$M781&lt;=$S$18),U781,0)</t>
  </si>
  <si>
    <t>=IF($M781&lt;=$T$18,U781,0)</t>
  </si>
  <si>
    <t>="""NAV Direct"",""CRONUS JetCorp USA"",""21"",""1"",""29717"""</t>
  </si>
  <si>
    <t>=E780</t>
  </si>
  <si>
    <t>=StartDate-$M782+1</t>
  </si>
  <si>
    <t>=SUM(P782:T782)</t>
  </si>
  <si>
    <t>=IF($M782&gt;=$P$18,U782,0)</t>
  </si>
  <si>
    <t>=IF(AND($M782&gt;=$Q$16,$M782&lt;=$Q$18),U782,0)</t>
  </si>
  <si>
    <t>=IF(AND($M782&gt;=$R$16,$M782&lt;=$R$18),U782,0)</t>
  </si>
  <si>
    <t>=IF(AND($M782&gt;=$S$16,$M782&lt;=$S$18),U782,0)</t>
  </si>
  <si>
    <t>=IF($M782&lt;=$T$18,U782,0)</t>
  </si>
  <si>
    <t>="""NAV Direct"",""CRONUS JetCorp USA"",""21"",""1"",""29738"""</t>
  </si>
  <si>
    <t>=E781</t>
  </si>
  <si>
    <t>=StartDate-$M783+1</t>
  </si>
  <si>
    <t>=SUM(P783:T783)</t>
  </si>
  <si>
    <t>=IF($M783&gt;=$P$18,U783,0)</t>
  </si>
  <si>
    <t>=IF(AND($M783&gt;=$Q$16,$M783&lt;=$Q$18),U783,0)</t>
  </si>
  <si>
    <t>=IF(AND($M783&gt;=$R$16,$M783&lt;=$R$18),U783,0)</t>
  </si>
  <si>
    <t>=IF(AND($M783&gt;=$S$16,$M783&lt;=$S$18),U783,0)</t>
  </si>
  <si>
    <t>=IF($M783&lt;=$T$18,U783,0)</t>
  </si>
  <si>
    <t>="""NAV Direct"",""CRONUS JetCorp USA"",""21"",""1"",""320620"""</t>
  </si>
  <si>
    <t>=E782</t>
  </si>
  <si>
    <t>=StartDate-$M784+1</t>
  </si>
  <si>
    <t>=SUM(P784:T784)</t>
  </si>
  <si>
    <t>=IF($M784&gt;=$P$18,U784,0)</t>
  </si>
  <si>
    <t>=IF(AND($M784&gt;=$Q$16,$M784&lt;=$Q$18),U784,0)</t>
  </si>
  <si>
    <t>=IF(AND($M784&gt;=$R$16,$M784&lt;=$R$18),U784,0)</t>
  </si>
  <si>
    <t>=IF(AND($M784&gt;=$S$16,$M784&lt;=$S$18),U784,0)</t>
  </si>
  <si>
    <t>=IF($M784&lt;=$T$18,U784,0)</t>
  </si>
  <si>
    <t>="""NAV Direct"",""CRONUS JetCorp USA"",""21"",""1"",""320695"""</t>
  </si>
  <si>
    <t>=E783</t>
  </si>
  <si>
    <t>=StartDate-$M785+1</t>
  </si>
  <si>
    <t>=SUM(P785:T785)</t>
  </si>
  <si>
    <t>=IF($M785&gt;=$P$18,U785,0)</t>
  </si>
  <si>
    <t>=IF(AND($M785&gt;=$Q$16,$M785&lt;=$Q$18),U785,0)</t>
  </si>
  <si>
    <t>=IF(AND($M785&gt;=$R$16,$M785&lt;=$R$18),U785,0)</t>
  </si>
  <si>
    <t>=IF(AND($M785&gt;=$S$16,$M785&lt;=$S$18),U785,0)</t>
  </si>
  <si>
    <t>=IF($M785&lt;=$T$18,U785,0)</t>
  </si>
  <si>
    <t>="""NAV Direct"",""CRONUS JetCorp USA"",""21"",""1"",""320718"""</t>
  </si>
  <si>
    <t>=E784</t>
  </si>
  <si>
    <t>=StartDate-$M786+1</t>
  </si>
  <si>
    <t>=SUM(P786:T786)</t>
  </si>
  <si>
    <t>=IF($M786&gt;=$P$18,U786,0)</t>
  </si>
  <si>
    <t>=IF(AND($M786&gt;=$Q$16,$M786&lt;=$Q$18),U786,0)</t>
  </si>
  <si>
    <t>=IF(AND($M786&gt;=$R$16,$M786&lt;=$R$18),U786,0)</t>
  </si>
  <si>
    <t>=IF(AND($M786&gt;=$S$16,$M786&lt;=$S$18),U786,0)</t>
  </si>
  <si>
    <t>=IF($M786&lt;=$T$18,U786,0)</t>
  </si>
  <si>
    <t>="""NAV Direct"",""CRONUS JetCorp USA"",""21"",""1"",""320785"""</t>
  </si>
  <si>
    <t>=E785</t>
  </si>
  <si>
    <t>=StartDate-$M787+1</t>
  </si>
  <si>
    <t>=SUM(P787:T787)</t>
  </si>
  <si>
    <t>=IF($M787&gt;=$P$18,U787,0)</t>
  </si>
  <si>
    <t>=IF(AND($M787&gt;=$Q$16,$M787&lt;=$Q$18),U787,0)</t>
  </si>
  <si>
    <t>=IF(AND($M787&gt;=$R$16,$M787&lt;=$R$18),U787,0)</t>
  </si>
  <si>
    <t>=IF(AND($M787&gt;=$S$16,$M787&lt;=$S$18),U787,0)</t>
  </si>
  <si>
    <t>=IF($M787&lt;=$T$18,U787,0)</t>
  </si>
  <si>
    <t>="""NAV Direct"",""CRONUS JetCorp USA"",""21"",""1"",""320867"""</t>
  </si>
  <si>
    <t>=E786</t>
  </si>
  <si>
    <t>=StartDate-$M788+1</t>
  </si>
  <si>
    <t>=SUM(P788:T788)</t>
  </si>
  <si>
    <t>=IF($M788&gt;=$P$18,U788,0)</t>
  </si>
  <si>
    <t>=IF(AND($M788&gt;=$Q$16,$M788&lt;=$Q$18),U788,0)</t>
  </si>
  <si>
    <t>=IF(AND($M788&gt;=$R$16,$M788&lt;=$R$18),U788,0)</t>
  </si>
  <si>
    <t>=IF(AND($M788&gt;=$S$16,$M788&lt;=$S$18),U788,0)</t>
  </si>
  <si>
    <t>=IF($M788&lt;=$T$18,U788,0)</t>
  </si>
  <si>
    <t>="""NAV Direct"",""CRONUS JetCorp USA"",""21"",""1"",""321038"""</t>
  </si>
  <si>
    <t>=E787</t>
  </si>
  <si>
    <t>=StartDate-$M789+1</t>
  </si>
  <si>
    <t>=SUM(P789:T789)</t>
  </si>
  <si>
    <t>=IF($M789&gt;=$P$18,U789,0)</t>
  </si>
  <si>
    <t>=IF(AND($M789&gt;=$Q$16,$M789&lt;=$Q$18),U789,0)</t>
  </si>
  <si>
    <t>=IF(AND($M789&gt;=$R$16,$M789&lt;=$R$18),U789,0)</t>
  </si>
  <si>
    <t>=IF(AND($M789&gt;=$S$16,$M789&lt;=$S$18),U789,0)</t>
  </si>
  <si>
    <t>=IF($M789&lt;=$T$18,U789,0)</t>
  </si>
  <si>
    <t>="""NAV Direct"",""CRONUS JetCorp USA"",""21"",""1"",""321061"""</t>
  </si>
  <si>
    <t>=E788</t>
  </si>
  <si>
    <t>=StartDate-$M790+1</t>
  </si>
  <si>
    <t>=SUM(P790:T790)</t>
  </si>
  <si>
    <t>=IF($M790&gt;=$P$18,U790,0)</t>
  </si>
  <si>
    <t>=IF(AND($M790&gt;=$Q$16,$M790&lt;=$Q$18),U790,0)</t>
  </si>
  <si>
    <t>=IF(AND($M790&gt;=$R$16,$M790&lt;=$R$18),U790,0)</t>
  </si>
  <si>
    <t>=IF(AND($M790&gt;=$S$16,$M790&lt;=$S$18),U790,0)</t>
  </si>
  <si>
    <t>=IF($M790&lt;=$T$18,U790,0)</t>
  </si>
  <si>
    <t>="""NAV Direct"",""CRONUS JetCorp USA"",""21"",""1"",""321120"""</t>
  </si>
  <si>
    <t>=E789</t>
  </si>
  <si>
    <t>=StartDate-$M791+1</t>
  </si>
  <si>
    <t>=SUM(P791:T791)</t>
  </si>
  <si>
    <t>=IF($M791&gt;=$P$18,U791,0)</t>
  </si>
  <si>
    <t>=IF(AND($M791&gt;=$Q$16,$M791&lt;=$Q$18),U791,0)</t>
  </si>
  <si>
    <t>=IF(AND($M791&gt;=$R$16,$M791&lt;=$R$18),U791,0)</t>
  </si>
  <si>
    <t>=IF(AND($M791&gt;=$S$16,$M791&lt;=$S$18),U791,0)</t>
  </si>
  <si>
    <t>=IF($M791&lt;=$T$18,U791,0)</t>
  </si>
  <si>
    <t>="""NAV Direct"",""CRONUS JetCorp USA"",""21"",""1"",""321399"""</t>
  </si>
  <si>
    <t>=E790</t>
  </si>
  <si>
    <t>=StartDate-$M792+1</t>
  </si>
  <si>
    <t>=SUM(P792:T792)</t>
  </si>
  <si>
    <t>=IF($M792&gt;=$P$18,U792,0)</t>
  </si>
  <si>
    <t>=IF(AND($M792&gt;=$Q$16,$M792&lt;=$Q$18),U792,0)</t>
  </si>
  <si>
    <t>=IF(AND($M792&gt;=$R$16,$M792&lt;=$R$18),U792,0)</t>
  </si>
  <si>
    <t>=IF(AND($M792&gt;=$S$16,$M792&lt;=$S$18),U792,0)</t>
  </si>
  <si>
    <t>=IF($M792&lt;=$T$18,U792,0)</t>
  </si>
  <si>
    <t>="""NAV Direct"",""CRONUS JetCorp USA"",""21"",""1"",""321632"""</t>
  </si>
  <si>
    <t>=E791</t>
  </si>
  <si>
    <t>=StartDate-$M793+1</t>
  </si>
  <si>
    <t>=SUM(P793:T793)</t>
  </si>
  <si>
    <t>=IF($M793&gt;=$P$18,U793,0)</t>
  </si>
  <si>
    <t>=IF(AND($M793&gt;=$Q$16,$M793&lt;=$Q$18),U793,0)</t>
  </si>
  <si>
    <t>=IF(AND($M793&gt;=$R$16,$M793&lt;=$R$18),U793,0)</t>
  </si>
  <si>
    <t>=IF(AND($M793&gt;=$S$16,$M793&lt;=$S$18),U793,0)</t>
  </si>
  <si>
    <t>=IF($M793&lt;=$T$18,U793,0)</t>
  </si>
  <si>
    <t>="""NAV Direct"",""CRONUS JetCorp USA"",""21"",""1"",""321749"""</t>
  </si>
  <si>
    <t>=E792</t>
  </si>
  <si>
    <t>=StartDate-$M794+1</t>
  </si>
  <si>
    <t>=SUM(P794:T794)</t>
  </si>
  <si>
    <t>=IF($M794&gt;=$P$18,U794,0)</t>
  </si>
  <si>
    <t>=IF(AND($M794&gt;=$Q$16,$M794&lt;=$Q$18),U794,0)</t>
  </si>
  <si>
    <t>=IF(AND($M794&gt;=$R$16,$M794&lt;=$R$18),U794,0)</t>
  </si>
  <si>
    <t>=IF(AND($M794&gt;=$S$16,$M794&lt;=$S$18),U794,0)</t>
  </si>
  <si>
    <t>=IF($M794&lt;=$T$18,U794,0)</t>
  </si>
  <si>
    <t>="""NAV Direct"",""CRONUS JetCorp USA"",""21"",""1"",""321801"""</t>
  </si>
  <si>
    <t>=E793</t>
  </si>
  <si>
    <t>=StartDate-$M795+1</t>
  </si>
  <si>
    <t>=SUM(P795:T795)</t>
  </si>
  <si>
    <t>=IF($M795&gt;=$P$18,U795,0)</t>
  </si>
  <si>
    <t>=IF(AND($M795&gt;=$Q$16,$M795&lt;=$Q$18),U795,0)</t>
  </si>
  <si>
    <t>=IF(AND($M795&gt;=$R$16,$M795&lt;=$R$18),U795,0)</t>
  </si>
  <si>
    <t>=IF(AND($M795&gt;=$S$16,$M795&lt;=$S$18),U795,0)</t>
  </si>
  <si>
    <t>=IF($M795&lt;=$T$18,U795,0)</t>
  </si>
  <si>
    <t>="""NAV Direct"",""CRONUS JetCorp USA"",""21"",""1"",""321818"""</t>
  </si>
  <si>
    <t>=E794</t>
  </si>
  <si>
    <t>=StartDate-$M796+1</t>
  </si>
  <si>
    <t>=SUM(P796:T796)</t>
  </si>
  <si>
    <t>=IF($M796&gt;=$P$18,U796,0)</t>
  </si>
  <si>
    <t>=IF(AND($M796&gt;=$Q$16,$M796&lt;=$Q$18),U796,0)</t>
  </si>
  <si>
    <t>=IF(AND($M796&gt;=$R$16,$M796&lt;=$R$18),U796,0)</t>
  </si>
  <si>
    <t>=IF(AND($M796&gt;=$S$16,$M796&lt;=$S$18),U796,0)</t>
  </si>
  <si>
    <t>=IF($M796&lt;=$T$18,U796,0)</t>
  </si>
  <si>
    <t>="""NAV Direct"",""CRONUS JetCorp USA"",""21"",""1"",""321885"""</t>
  </si>
  <si>
    <t>=E795</t>
  </si>
  <si>
    <t>=StartDate-$M797+1</t>
  </si>
  <si>
    <t>=SUM(P797:T797)</t>
  </si>
  <si>
    <t>=IF($M797&gt;=$P$18,U797,0)</t>
  </si>
  <si>
    <t>=IF(AND($M797&gt;=$Q$16,$M797&lt;=$Q$18),U797,0)</t>
  </si>
  <si>
    <t>=IF(AND($M797&gt;=$R$16,$M797&lt;=$R$18),U797,0)</t>
  </si>
  <si>
    <t>=IF(AND($M797&gt;=$S$16,$M797&lt;=$S$18),U797,0)</t>
  </si>
  <si>
    <t>=IF($M797&lt;=$T$18,U797,0)</t>
  </si>
  <si>
    <t>="""NAV Direct"",""CRONUS JetCorp USA"",""21"",""1"",""322158"""</t>
  </si>
  <si>
    <t>=E796</t>
  </si>
  <si>
    <t>=StartDate-$M798+1</t>
  </si>
  <si>
    <t>=SUM(P798:T798)</t>
  </si>
  <si>
    <t>=IF($M798&gt;=$P$18,U798,0)</t>
  </si>
  <si>
    <t>=IF(AND($M798&gt;=$Q$16,$M798&lt;=$Q$18),U798,0)</t>
  </si>
  <si>
    <t>=IF(AND($M798&gt;=$R$16,$M798&lt;=$R$18),U798,0)</t>
  </si>
  <si>
    <t>=IF(AND($M798&gt;=$S$16,$M798&lt;=$S$18),U798,0)</t>
  </si>
  <si>
    <t>=IF($M798&lt;=$T$18,U798,0)</t>
  </si>
  <si>
    <t>="""NAV Direct"",""CRONUS JetCorp USA"",""21"",""1"",""322204"""</t>
  </si>
  <si>
    <t>=E797</t>
  </si>
  <si>
    <t>=StartDate-$M799+1</t>
  </si>
  <si>
    <t>=SUM(P799:T799)</t>
  </si>
  <si>
    <t>=IF($M799&gt;=$P$18,U799,0)</t>
  </si>
  <si>
    <t>=IF(AND($M799&gt;=$Q$16,$M799&lt;=$Q$18),U799,0)</t>
  </si>
  <si>
    <t>=IF(AND($M799&gt;=$R$16,$M799&lt;=$R$18),U799,0)</t>
  </si>
  <si>
    <t>=IF(AND($M799&gt;=$S$16,$M799&lt;=$S$18),U799,0)</t>
  </si>
  <si>
    <t>=IF($M799&lt;=$T$18,U799,0)</t>
  </si>
  <si>
    <t>="""NAV Direct"",""CRONUS JetCorp USA"",""21"",""1"",""322476"""</t>
  </si>
  <si>
    <t>=E798</t>
  </si>
  <si>
    <t>=StartDate-$M800+1</t>
  </si>
  <si>
    <t>=SUM(P800:T800)</t>
  </si>
  <si>
    <t>=IF($M800&gt;=$P$18,U800,0)</t>
  </si>
  <si>
    <t>=IF(AND($M800&gt;=$Q$16,$M800&lt;=$Q$18),U800,0)</t>
  </si>
  <si>
    <t>=IF(AND($M800&gt;=$R$16,$M800&lt;=$R$18),U800,0)</t>
  </si>
  <si>
    <t>=IF(AND($M800&gt;=$S$16,$M800&lt;=$S$18),U800,0)</t>
  </si>
  <si>
    <t>=IF($M800&lt;=$T$18,U800,0)</t>
  </si>
  <si>
    <t>="""NAV Direct"",""CRONUS JetCorp USA"",""21"",""1"",""322674"""</t>
  </si>
  <si>
    <t>=E799</t>
  </si>
  <si>
    <t>=StartDate-$M801+1</t>
  </si>
  <si>
    <t>=SUM(P801:T801)</t>
  </si>
  <si>
    <t>=IF($M801&gt;=$P$18,U801,0)</t>
  </si>
  <si>
    <t>=IF(AND($M801&gt;=$Q$16,$M801&lt;=$Q$18),U801,0)</t>
  </si>
  <si>
    <t>=IF(AND($M801&gt;=$R$16,$M801&lt;=$R$18),U801,0)</t>
  </si>
  <si>
    <t>=IF(AND($M801&gt;=$S$16,$M801&lt;=$S$18),U801,0)</t>
  </si>
  <si>
    <t>=IF($M801&lt;=$T$18,U801,0)</t>
  </si>
  <si>
    <t>="""NAV Direct"",""CRONUS JetCorp USA"",""21"",""1"",""322695"""</t>
  </si>
  <si>
    <t>=E800</t>
  </si>
  <si>
    <t>=StartDate-$M802+1</t>
  </si>
  <si>
    <t>=SUM(P802:T802)</t>
  </si>
  <si>
    <t>=IF($M802&gt;=$P$18,U802,0)</t>
  </si>
  <si>
    <t>=IF(AND($M802&gt;=$Q$16,$M802&lt;=$Q$18),U802,0)</t>
  </si>
  <si>
    <t>=IF(AND($M802&gt;=$R$16,$M802&lt;=$R$18),U802,0)</t>
  </si>
  <si>
    <t>=IF(AND($M802&gt;=$S$16,$M802&lt;=$S$18),U802,0)</t>
  </si>
  <si>
    <t>=IF($M802&lt;=$T$18,U802,0)</t>
  </si>
  <si>
    <t>="""NAV Direct"",""CRONUS JetCorp USA"",""21"",""1"",""322718"""</t>
  </si>
  <si>
    <t>=E801</t>
  </si>
  <si>
    <t>=StartDate-$M803+1</t>
  </si>
  <si>
    <t>=SUM(P803:T803)</t>
  </si>
  <si>
    <t>=IF($M803&gt;=$P$18,U803,0)</t>
  </si>
  <si>
    <t>=IF(AND($M803&gt;=$Q$16,$M803&lt;=$Q$18),U803,0)</t>
  </si>
  <si>
    <t>=IF(AND($M803&gt;=$R$16,$M803&lt;=$R$18),U803,0)</t>
  </si>
  <si>
    <t>=IF(AND($M803&gt;=$S$16,$M803&lt;=$S$18),U803,0)</t>
  </si>
  <si>
    <t>=IF($M803&lt;=$T$18,U803,0)</t>
  </si>
  <si>
    <t>="""NAV Direct"",""CRONUS JetCorp USA"",""21"",""1"",""322741"""</t>
  </si>
  <si>
    <t>=E802</t>
  </si>
  <si>
    <t>=StartDate-$M804+1</t>
  </si>
  <si>
    <t>=SUM(P804:T804)</t>
  </si>
  <si>
    <t>=IF($M804&gt;=$P$18,U804,0)</t>
  </si>
  <si>
    <t>=IF(AND($M804&gt;=$Q$16,$M804&lt;=$Q$18),U804,0)</t>
  </si>
  <si>
    <t>=IF(AND($M804&gt;=$R$16,$M804&lt;=$R$18),U804,0)</t>
  </si>
  <si>
    <t>=IF(AND($M804&gt;=$S$16,$M804&lt;=$S$18),U804,0)</t>
  </si>
  <si>
    <t>=IF($M804&lt;=$T$18,U804,0)</t>
  </si>
  <si>
    <t>="""NAV Direct"",""CRONUS JetCorp USA"",""21"",""1"",""322787"""</t>
  </si>
  <si>
    <t>=E803</t>
  </si>
  <si>
    <t>=StartDate-$M805+1</t>
  </si>
  <si>
    <t>=SUM(P805:T805)</t>
  </si>
  <si>
    <t>=IF($M805&gt;=$P$18,U805,0)</t>
  </si>
  <si>
    <t>=IF(AND($M805&gt;=$Q$16,$M805&lt;=$Q$18),U805,0)</t>
  </si>
  <si>
    <t>=IF(AND($M805&gt;=$R$16,$M805&lt;=$R$18),U805,0)</t>
  </si>
  <si>
    <t>=IF(AND($M805&gt;=$S$16,$M805&lt;=$S$18),U805,0)</t>
  </si>
  <si>
    <t>=IF($M805&lt;=$T$18,U805,0)</t>
  </si>
  <si>
    <t>="""NAV Direct"",""CRONUS JetCorp USA"",""21"",""1"",""322940"""</t>
  </si>
  <si>
    <t>=E804</t>
  </si>
  <si>
    <t>=StartDate-$M806+1</t>
  </si>
  <si>
    <t>=SUM(P806:T806)</t>
  </si>
  <si>
    <t>=IF($M806&gt;=$P$18,U806,0)</t>
  </si>
  <si>
    <t>=IF(AND($M806&gt;=$Q$16,$M806&lt;=$Q$18),U806,0)</t>
  </si>
  <si>
    <t>=IF(AND($M806&gt;=$R$16,$M806&lt;=$R$18),U806,0)</t>
  </si>
  <si>
    <t>=IF(AND($M806&gt;=$S$16,$M806&lt;=$S$18),U806,0)</t>
  </si>
  <si>
    <t>=IF($M806&lt;=$T$18,U806,0)</t>
  </si>
  <si>
    <t>="""NAV Direct"",""CRONUS JetCorp USA"",""21"",""1"",""323061"""</t>
  </si>
  <si>
    <t>=E805</t>
  </si>
  <si>
    <t>=StartDate-$M807+1</t>
  </si>
  <si>
    <t>=SUM(P807:T807)</t>
  </si>
  <si>
    <t>=IF($M807&gt;=$P$18,U807,0)</t>
  </si>
  <si>
    <t>=IF(AND($M807&gt;=$Q$16,$M807&lt;=$Q$18),U807,0)</t>
  </si>
  <si>
    <t>=IF(AND($M807&gt;=$R$16,$M807&lt;=$R$18),U807,0)</t>
  </si>
  <si>
    <t>=IF(AND($M807&gt;=$S$16,$M807&lt;=$S$18),U807,0)</t>
  </si>
  <si>
    <t>=IF($M807&lt;=$T$18,U807,0)</t>
  </si>
  <si>
    <t>="""NAV Direct"",""CRONUS JetCorp USA"",""21"",""1"",""323080"""</t>
  </si>
  <si>
    <t>=E806</t>
  </si>
  <si>
    <t>=StartDate-$M808+1</t>
  </si>
  <si>
    <t>=SUM(P808:T808)</t>
  </si>
  <si>
    <t>=IF($M808&gt;=$P$18,U808,0)</t>
  </si>
  <si>
    <t>=IF(AND($M808&gt;=$Q$16,$M808&lt;=$Q$18),U808,0)</t>
  </si>
  <si>
    <t>=IF(AND($M808&gt;=$R$16,$M808&lt;=$R$18),U808,0)</t>
  </si>
  <si>
    <t>=IF(AND($M808&gt;=$S$16,$M808&lt;=$S$18),U808,0)</t>
  </si>
  <si>
    <t>=IF($M808&lt;=$T$18,U808,0)</t>
  </si>
  <si>
    <t>="""NAV Direct"",""CRONUS JetCorp USA"",""21"",""1"",""323298"""</t>
  </si>
  <si>
    <t>=E807</t>
  </si>
  <si>
    <t>=StartDate-$M809+1</t>
  </si>
  <si>
    <t>=SUM(P809:T809)</t>
  </si>
  <si>
    <t>=IF($M809&gt;=$P$18,U809,0)</t>
  </si>
  <si>
    <t>=IF(AND($M809&gt;=$Q$16,$M809&lt;=$Q$18),U809,0)</t>
  </si>
  <si>
    <t>=IF(AND($M809&gt;=$R$16,$M809&lt;=$R$18),U809,0)</t>
  </si>
  <si>
    <t>=IF(AND($M809&gt;=$S$16,$M809&lt;=$S$18),U809,0)</t>
  </si>
  <si>
    <t>=IF($M809&lt;=$T$18,U809,0)</t>
  </si>
  <si>
    <t>="""NAV Direct"",""CRONUS JetCorp USA"",""21"",""1"",""323480"""</t>
  </si>
  <si>
    <t>=E808</t>
  </si>
  <si>
    <t>=StartDate-$M810+1</t>
  </si>
  <si>
    <t>=SUM(P810:T810)</t>
  </si>
  <si>
    <t>=IF($M810&gt;=$P$18,U810,0)</t>
  </si>
  <si>
    <t>=IF(AND($M810&gt;=$Q$16,$M810&lt;=$Q$18),U810,0)</t>
  </si>
  <si>
    <t>=IF(AND($M810&gt;=$R$16,$M810&lt;=$R$18),U810,0)</t>
  </si>
  <si>
    <t>=IF(AND($M810&gt;=$S$16,$M810&lt;=$S$18),U810,0)</t>
  </si>
  <si>
    <t>=IF($M810&lt;=$T$18,U810,0)</t>
  </si>
  <si>
    <t>="""NAV Direct"",""CRONUS JetCorp USA"",""21"",""1"",""323734"""</t>
  </si>
  <si>
    <t>=E809</t>
  </si>
  <si>
    <t>=StartDate-$M811+1</t>
  </si>
  <si>
    <t>=SUM(P811:T811)</t>
  </si>
  <si>
    <t>=IF($M811&gt;=$P$18,U811,0)</t>
  </si>
  <si>
    <t>=IF(AND($M811&gt;=$Q$16,$M811&lt;=$Q$18),U811,0)</t>
  </si>
  <si>
    <t>=IF(AND($M811&gt;=$R$16,$M811&lt;=$R$18),U811,0)</t>
  </si>
  <si>
    <t>=IF(AND($M811&gt;=$S$16,$M811&lt;=$S$18),U811,0)</t>
  </si>
  <si>
    <t>=IF($M811&lt;=$T$18,U811,0)</t>
  </si>
  <si>
    <t>="""NAV Direct"",""CRONUS JetCorp USA"",""21"",""1"",""323853"""</t>
  </si>
  <si>
    <t>=E810</t>
  </si>
  <si>
    <t>=StartDate-$M812+1</t>
  </si>
  <si>
    <t>=SUM(P812:T812)</t>
  </si>
  <si>
    <t>=IF($M812&gt;=$P$18,U812,0)</t>
  </si>
  <si>
    <t>=IF(AND($M812&gt;=$Q$16,$M812&lt;=$Q$18),U812,0)</t>
  </si>
  <si>
    <t>=IF(AND($M812&gt;=$R$16,$M812&lt;=$R$18),U812,0)</t>
  </si>
  <si>
    <t>=IF(AND($M812&gt;=$S$16,$M812&lt;=$S$18),U812,0)</t>
  </si>
  <si>
    <t>=IF($M812&lt;=$T$18,U812,0)</t>
  </si>
  <si>
    <t>="""NAV Direct"",""CRONUS JetCorp USA"",""21"",""1"",""324039"""</t>
  </si>
  <si>
    <t>=E811</t>
  </si>
  <si>
    <t>=StartDate-$M813+1</t>
  </si>
  <si>
    <t>=SUM(P813:T813)</t>
  </si>
  <si>
    <t>=IF($M813&gt;=$P$18,U813,0)</t>
  </si>
  <si>
    <t>=IF(AND($M813&gt;=$Q$16,$M813&lt;=$Q$18),U813,0)</t>
  </si>
  <si>
    <t>=IF(AND($M813&gt;=$R$16,$M813&lt;=$R$18),U813,0)</t>
  </si>
  <si>
    <t>=IF(AND($M813&gt;=$S$16,$M813&lt;=$S$18),U813,0)</t>
  </si>
  <si>
    <t>=IF($M813&lt;=$T$18,U813,0)</t>
  </si>
  <si>
    <t>="""NAV Direct"",""CRONUS JetCorp USA"",""21"",""1"",""324106"""</t>
  </si>
  <si>
    <t>=E812</t>
  </si>
  <si>
    <t>=StartDate-$M814+1</t>
  </si>
  <si>
    <t>=SUM(P814:T814)</t>
  </si>
  <si>
    <t>=IF($M814&gt;=$P$18,U814,0)</t>
  </si>
  <si>
    <t>=IF(AND($M814&gt;=$Q$16,$M814&lt;=$Q$18),U814,0)</t>
  </si>
  <si>
    <t>=IF(AND($M814&gt;=$R$16,$M814&lt;=$R$18),U814,0)</t>
  </si>
  <si>
    <t>=IF(AND($M814&gt;=$S$16,$M814&lt;=$S$18),U814,0)</t>
  </si>
  <si>
    <t>=IF($M814&lt;=$T$18,U814,0)</t>
  </si>
  <si>
    <t>="""NAV Direct"",""CRONUS JetCorp USA"",""21"",""1"",""324179"""</t>
  </si>
  <si>
    <t>=E813</t>
  </si>
  <si>
    <t>=StartDate-$M815+1</t>
  </si>
  <si>
    <t>=SUM(P815:T815)</t>
  </si>
  <si>
    <t>=IF($M815&gt;=$P$18,U815,0)</t>
  </si>
  <si>
    <t>=IF(AND($M815&gt;=$Q$16,$M815&lt;=$Q$18),U815,0)</t>
  </si>
  <si>
    <t>=IF(AND($M815&gt;=$R$16,$M815&lt;=$R$18),U815,0)</t>
  </si>
  <si>
    <t>=IF(AND($M815&gt;=$S$16,$M815&lt;=$S$18),U815,0)</t>
  </si>
  <si>
    <t>=IF($M815&lt;=$T$18,U815,0)</t>
  </si>
  <si>
    <t>="""NAV Direct"",""CRONUS JetCorp USA"",""21"",""1"",""324410"""</t>
  </si>
  <si>
    <t>=E814</t>
  </si>
  <si>
    <t>=StartDate-$M816+1</t>
  </si>
  <si>
    <t>=SUM(P816:T816)</t>
  </si>
  <si>
    <t>=IF($M816&gt;=$P$18,U816,0)</t>
  </si>
  <si>
    <t>=IF(AND($M816&gt;=$Q$16,$M816&lt;=$Q$18),U816,0)</t>
  </si>
  <si>
    <t>=IF(AND($M816&gt;=$R$16,$M816&lt;=$R$18),U816,0)</t>
  </si>
  <si>
    <t>=IF(AND($M816&gt;=$S$16,$M816&lt;=$S$18),U816,0)</t>
  </si>
  <si>
    <t>=IF($M816&lt;=$T$18,U816,0)</t>
  </si>
  <si>
    <t>="""NAV Direct"",""CRONUS JetCorp USA"",""21"",""1"",""324628"""</t>
  </si>
  <si>
    <t>=E815</t>
  </si>
  <si>
    <t>=StartDate-$M817+1</t>
  </si>
  <si>
    <t>=SUM(P817:T817)</t>
  </si>
  <si>
    <t>=IF($M817&gt;=$P$18,U817,0)</t>
  </si>
  <si>
    <t>=IF(AND($M817&gt;=$Q$16,$M817&lt;=$Q$18),U817,0)</t>
  </si>
  <si>
    <t>=IF(AND($M817&gt;=$R$16,$M817&lt;=$R$18),U817,0)</t>
  </si>
  <si>
    <t>=IF(AND($M817&gt;=$S$16,$M817&lt;=$S$18),U817,0)</t>
  </si>
  <si>
    <t>=IF($M817&lt;=$T$18,U817,0)</t>
  </si>
  <si>
    <t>="""NAV Direct"",""CRONUS JetCorp USA"",""21"",""1"",""324674"""</t>
  </si>
  <si>
    <t>=E816</t>
  </si>
  <si>
    <t>=StartDate-$M818+1</t>
  </si>
  <si>
    <t>=SUM(P818:T818)</t>
  </si>
  <si>
    <t>=IF($M818&gt;=$P$18,U818,0)</t>
  </si>
  <si>
    <t>=IF(AND($M818&gt;=$Q$16,$M818&lt;=$Q$18),U818,0)</t>
  </si>
  <si>
    <t>=IF(AND($M818&gt;=$R$16,$M818&lt;=$R$18),U818,0)</t>
  </si>
  <si>
    <t>=IF(AND($M818&gt;=$S$16,$M818&lt;=$S$18),U818,0)</t>
  </si>
  <si>
    <t>=IF($M818&lt;=$T$18,U818,0)</t>
  </si>
  <si>
    <t>="""NAV Direct"",""CRONUS JetCorp USA"",""21"",""1"",""324777"""</t>
  </si>
  <si>
    <t>=E817</t>
  </si>
  <si>
    <t>=StartDate-$M819+1</t>
  </si>
  <si>
    <t>=SUM(P819:T819)</t>
  </si>
  <si>
    <t>=IF($M819&gt;=$P$18,U819,0)</t>
  </si>
  <si>
    <t>=IF(AND($M819&gt;=$Q$16,$M819&lt;=$Q$18),U819,0)</t>
  </si>
  <si>
    <t>=IF(AND($M819&gt;=$R$16,$M819&lt;=$R$18),U819,0)</t>
  </si>
  <si>
    <t>=IF(AND($M819&gt;=$S$16,$M819&lt;=$S$18),U819,0)</t>
  </si>
  <si>
    <t>=IF($M819&lt;=$T$18,U819,0)</t>
  </si>
  <si>
    <t>="""NAV Direct"",""CRONUS JetCorp USA"",""21"",""1"",""325213"""</t>
  </si>
  <si>
    <t>=E818</t>
  </si>
  <si>
    <t>=StartDate-$M820+1</t>
  </si>
  <si>
    <t>=SUM(P820:T820)</t>
  </si>
  <si>
    <t>=IF($M820&gt;=$P$18,U820,0)</t>
  </si>
  <si>
    <t>=IF(AND($M820&gt;=$Q$16,$M820&lt;=$Q$18),U820,0)</t>
  </si>
  <si>
    <t>=IF(AND($M820&gt;=$R$16,$M820&lt;=$R$18),U820,0)</t>
  </si>
  <si>
    <t>=IF(AND($M820&gt;=$S$16,$M820&lt;=$S$18),U820,0)</t>
  </si>
  <si>
    <t>=IF($M820&lt;=$T$18,U820,0)</t>
  </si>
  <si>
    <t>="""NAV Direct"",""CRONUS JetCorp USA"",""21"",""1"",""431166"""</t>
  </si>
  <si>
    <t>=E819</t>
  </si>
  <si>
    <t>=StartDate-$M821+1</t>
  </si>
  <si>
    <t>=SUM(P821:T821)</t>
  </si>
  <si>
    <t>=IF($M821&gt;=$P$18,U821,0)</t>
  </si>
  <si>
    <t>=IF(AND($M821&gt;=$Q$16,$M821&lt;=$Q$18),U821,0)</t>
  </si>
  <si>
    <t>=IF(AND($M821&gt;=$R$16,$M821&lt;=$R$18),U821,0)</t>
  </si>
  <si>
    <t>=IF(AND($M821&gt;=$S$16,$M821&lt;=$S$18),U821,0)</t>
  </si>
  <si>
    <t>=IF($M821&lt;=$T$18,U821,0)</t>
  </si>
  <si>
    <t>="""NAV Direct"",""CRONUS JetCorp USA"",""21"",""1"",""431211"""</t>
  </si>
  <si>
    <t>=E820</t>
  </si>
  <si>
    <t>=StartDate-$M822+1</t>
  </si>
  <si>
    <t>=SUM(P822:T822)</t>
  </si>
  <si>
    <t>=IF($M822&gt;=$P$18,U822,0)</t>
  </si>
  <si>
    <t>=IF(AND($M822&gt;=$Q$16,$M822&lt;=$Q$18),U822,0)</t>
  </si>
  <si>
    <t>=IF(AND($M822&gt;=$R$16,$M822&lt;=$R$18),U822,0)</t>
  </si>
  <si>
    <t>=IF(AND($M822&gt;=$S$16,$M822&lt;=$S$18),U822,0)</t>
  </si>
  <si>
    <t>=IF($M822&lt;=$T$18,U822,0)</t>
  </si>
  <si>
    <t>="""NAV Direct"",""CRONUS JetCorp USA"",""21"",""1"",""431278"""</t>
  </si>
  <si>
    <t>=E821</t>
  </si>
  <si>
    <t>=StartDate-$M823+1</t>
  </si>
  <si>
    <t>=SUM(P823:T823)</t>
  </si>
  <si>
    <t>=IF($M823&gt;=$P$18,U823,0)</t>
  </si>
  <si>
    <t>=IF(AND($M823&gt;=$Q$16,$M823&lt;=$Q$18),U823,0)</t>
  </si>
  <si>
    <t>=IF(AND($M823&gt;=$R$16,$M823&lt;=$R$18),U823,0)</t>
  </si>
  <si>
    <t>=IF(AND($M823&gt;=$S$16,$M823&lt;=$S$18),U823,0)</t>
  </si>
  <si>
    <t>=IF($M823&lt;=$T$18,U823,0)</t>
  </si>
  <si>
    <t>="""NAV Direct"",""CRONUS JetCorp USA"",""21"",""1"",""431416"""</t>
  </si>
  <si>
    <t>=E822</t>
  </si>
  <si>
    <t>=StartDate-$M824+1</t>
  </si>
  <si>
    <t>=SUM(P824:T824)</t>
  </si>
  <si>
    <t>=IF($M824&gt;=$P$18,U824,0)</t>
  </si>
  <si>
    <t>=IF(AND($M824&gt;=$Q$16,$M824&lt;=$Q$18),U824,0)</t>
  </si>
  <si>
    <t>=IF(AND($M824&gt;=$R$16,$M824&lt;=$R$18),U824,0)</t>
  </si>
  <si>
    <t>=IF(AND($M824&gt;=$S$16,$M824&lt;=$S$18),U824,0)</t>
  </si>
  <si>
    <t>=IF($M824&lt;=$T$18,U824,0)</t>
  </si>
  <si>
    <t>="""NAV Direct"",""CRONUS JetCorp USA"",""21"",""1"",""431494"""</t>
  </si>
  <si>
    <t>=E823</t>
  </si>
  <si>
    <t>=StartDate-$M825+1</t>
  </si>
  <si>
    <t>=SUM(P825:T825)</t>
  </si>
  <si>
    <t>=IF($M825&gt;=$P$18,U825,0)</t>
  </si>
  <si>
    <t>=IF(AND($M825&gt;=$Q$16,$M825&lt;=$Q$18),U825,0)</t>
  </si>
  <si>
    <t>=IF(AND($M825&gt;=$R$16,$M825&lt;=$R$18),U825,0)</t>
  </si>
  <si>
    <t>=IF(AND($M825&gt;=$S$16,$M825&lt;=$S$18),U825,0)</t>
  </si>
  <si>
    <t>=IF($M825&lt;=$T$18,U825,0)</t>
  </si>
  <si>
    <t>="""NAV Direct"",""CRONUS JetCorp USA"",""21"",""1"",""431537"""</t>
  </si>
  <si>
    <t>=E824</t>
  </si>
  <si>
    <t>=StartDate-$M826+1</t>
  </si>
  <si>
    <t>=SUM(P826:T826)</t>
  </si>
  <si>
    <t>=IF($M826&gt;=$P$18,U826,0)</t>
  </si>
  <si>
    <t>=IF(AND($M826&gt;=$Q$16,$M826&lt;=$Q$18),U826,0)</t>
  </si>
  <si>
    <t>=IF(AND($M826&gt;=$R$16,$M826&lt;=$R$18),U826,0)</t>
  </si>
  <si>
    <t>=IF(AND($M826&gt;=$S$16,$M826&lt;=$S$18),U826,0)</t>
  </si>
  <si>
    <t>=IF($M826&lt;=$T$18,U826,0)</t>
  </si>
  <si>
    <t>="""NAV Direct"",""CRONUS JetCorp USA"",""21"",""1"",""431548"""</t>
  </si>
  <si>
    <t>=E825</t>
  </si>
  <si>
    <t>=StartDate-$M827+1</t>
  </si>
  <si>
    <t>=SUM(P827:T827)</t>
  </si>
  <si>
    <t>=IF($M827&gt;=$P$18,U827,0)</t>
  </si>
  <si>
    <t>=IF(AND($M827&gt;=$Q$16,$M827&lt;=$Q$18),U827,0)</t>
  </si>
  <si>
    <t>=IF(AND($M827&gt;=$R$16,$M827&lt;=$R$18),U827,0)</t>
  </si>
  <si>
    <t>=IF(AND($M827&gt;=$S$16,$M827&lt;=$S$18),U827,0)</t>
  </si>
  <si>
    <t>=IF($M827&lt;=$T$18,U827,0)</t>
  </si>
  <si>
    <t>="""NAV Direct"",""CRONUS JetCorp USA"",""21"",""1"",""431581"""</t>
  </si>
  <si>
    <t>=E826</t>
  </si>
  <si>
    <t>=StartDate-$M828+1</t>
  </si>
  <si>
    <t>=SUM(P828:T828)</t>
  </si>
  <si>
    <t>=IF($M828&gt;=$P$18,U828,0)</t>
  </si>
  <si>
    <t>=IF(AND($M828&gt;=$Q$16,$M828&lt;=$Q$18),U828,0)</t>
  </si>
  <si>
    <t>=IF(AND($M828&gt;=$R$16,$M828&lt;=$R$18),U828,0)</t>
  </si>
  <si>
    <t>=IF(AND($M828&gt;=$S$16,$M828&lt;=$S$18),U828,0)</t>
  </si>
  <si>
    <t>=IF($M828&lt;=$T$18,U828,0)</t>
  </si>
  <si>
    <t>="""NAV Direct"",""CRONUS JetCorp USA"",""21"",""1"",""431597"""</t>
  </si>
  <si>
    <t>=E827</t>
  </si>
  <si>
    <t>=StartDate-$M829+1</t>
  </si>
  <si>
    <t>=SUM(P829:T829)</t>
  </si>
  <si>
    <t>=IF($M829&gt;=$P$18,U829,0)</t>
  </si>
  <si>
    <t>=IF(AND($M829&gt;=$Q$16,$M829&lt;=$Q$18),U829,0)</t>
  </si>
  <si>
    <t>=IF(AND($M829&gt;=$R$16,$M829&lt;=$R$18),U829,0)</t>
  </si>
  <si>
    <t>=IF(AND($M829&gt;=$S$16,$M829&lt;=$S$18),U829,0)</t>
  </si>
  <si>
    <t>=IF($M829&lt;=$T$18,U829,0)</t>
  </si>
  <si>
    <t>="""NAV Direct"",""CRONUS JetCorp USA"",""21"",""1"",""431636"""</t>
  </si>
  <si>
    <t>=E828</t>
  </si>
  <si>
    <t>=StartDate-$M830+1</t>
  </si>
  <si>
    <t>=SUM(P830:T830)</t>
  </si>
  <si>
    <t>=IF($M830&gt;=$P$18,U830,0)</t>
  </si>
  <si>
    <t>=IF(AND($M830&gt;=$Q$16,$M830&lt;=$Q$18),U830,0)</t>
  </si>
  <si>
    <t>=IF(AND($M830&gt;=$R$16,$M830&lt;=$R$18),U830,0)</t>
  </si>
  <si>
    <t>=IF(AND($M830&gt;=$S$16,$M830&lt;=$S$18),U830,0)</t>
  </si>
  <si>
    <t>=IF($M830&lt;=$T$18,U830,0)</t>
  </si>
  <si>
    <t>="""NAV Direct"",""CRONUS JetCorp USA"",""21"",""1"",""431641"""</t>
  </si>
  <si>
    <t>=E829</t>
  </si>
  <si>
    <t>=StartDate-$M831+1</t>
  </si>
  <si>
    <t>=SUM(P831:T831)</t>
  </si>
  <si>
    <t>=IF($M831&gt;=$P$18,U831,0)</t>
  </si>
  <si>
    <t>=IF(AND($M831&gt;=$Q$16,$M831&lt;=$Q$18),U831,0)</t>
  </si>
  <si>
    <t>=IF(AND($M831&gt;=$R$16,$M831&lt;=$R$18),U831,0)</t>
  </si>
  <si>
    <t>=IF(AND($M831&gt;=$S$16,$M831&lt;=$S$18),U831,0)</t>
  </si>
  <si>
    <t>=IF($M831&lt;=$T$18,U831,0)</t>
  </si>
  <si>
    <t>="""NAV Direct"",""CRONUS JetCorp USA"",""21"",""1"",""431696"""</t>
  </si>
  <si>
    <t>=E830</t>
  </si>
  <si>
    <t>=StartDate-$M832+1</t>
  </si>
  <si>
    <t>=SUM(P832:T832)</t>
  </si>
  <si>
    <t>=IF($M832&gt;=$P$18,U832,0)</t>
  </si>
  <si>
    <t>=IF(AND($M832&gt;=$Q$16,$M832&lt;=$Q$18),U832,0)</t>
  </si>
  <si>
    <t>=IF(AND($M832&gt;=$R$16,$M832&lt;=$R$18),U832,0)</t>
  </si>
  <si>
    <t>=IF(AND($M832&gt;=$S$16,$M832&lt;=$S$18),U832,0)</t>
  </si>
  <si>
    <t>=IF($M832&lt;=$T$18,U832,0)</t>
  </si>
  <si>
    <t>="""NAV Direct"",""CRONUS JetCorp USA"",""21"",""1"",""431713"""</t>
  </si>
  <si>
    <t>=E831</t>
  </si>
  <si>
    <t>=StartDate-$M833+1</t>
  </si>
  <si>
    <t>=SUM(P833:T833)</t>
  </si>
  <si>
    <t>=IF($M833&gt;=$P$18,U833,0)</t>
  </si>
  <si>
    <t>=IF(AND($M833&gt;=$Q$16,$M833&lt;=$Q$18),U833,0)</t>
  </si>
  <si>
    <t>=IF(AND($M833&gt;=$R$16,$M833&lt;=$R$18),U833,0)</t>
  </si>
  <si>
    <t>=IF(AND($M833&gt;=$S$16,$M833&lt;=$S$18),U833,0)</t>
  </si>
  <si>
    <t>=IF($M833&lt;=$T$18,U833,0)</t>
  </si>
  <si>
    <t>="""NAV Direct"",""CRONUS JetCorp USA"",""21"",""1"",""431748"""</t>
  </si>
  <si>
    <t>=E832</t>
  </si>
  <si>
    <t>=StartDate-$M834+1</t>
  </si>
  <si>
    <t>=SUM(P834:T834)</t>
  </si>
  <si>
    <t>=IF($M834&gt;=$P$18,U834,0)</t>
  </si>
  <si>
    <t>=IF(AND($M834&gt;=$Q$16,$M834&lt;=$Q$18),U834,0)</t>
  </si>
  <si>
    <t>=IF(AND($M834&gt;=$R$16,$M834&lt;=$R$18),U834,0)</t>
  </si>
  <si>
    <t>=IF(AND($M834&gt;=$S$16,$M834&lt;=$S$18),U834,0)</t>
  </si>
  <si>
    <t>=IF($M834&lt;=$T$18,U834,0)</t>
  </si>
  <si>
    <t>="""NAV Direct"",""CRONUS JetCorp USA"",""21"",""1"",""431825"""</t>
  </si>
  <si>
    <t>=E833</t>
  </si>
  <si>
    <t>=StartDate-$M835+1</t>
  </si>
  <si>
    <t>=SUM(P835:T835)</t>
  </si>
  <si>
    <t>=IF($M835&gt;=$P$18,U835,0)</t>
  </si>
  <si>
    <t>=IF(AND($M835&gt;=$Q$16,$M835&lt;=$Q$18),U835,0)</t>
  </si>
  <si>
    <t>=IF(AND($M835&gt;=$R$16,$M835&lt;=$R$18),U835,0)</t>
  </si>
  <si>
    <t>=IF(AND($M835&gt;=$S$16,$M835&lt;=$S$18),U835,0)</t>
  </si>
  <si>
    <t>=IF($M835&lt;=$T$18,U835,0)</t>
  </si>
  <si>
    <t>="""NAV Direct"",""CRONUS JetCorp USA"",""21"",""1"",""431887"""</t>
  </si>
  <si>
    <t>=E834</t>
  </si>
  <si>
    <t>=StartDate-$M836+1</t>
  </si>
  <si>
    <t>=SUM(P836:T836)</t>
  </si>
  <si>
    <t>=IF($M836&gt;=$P$18,U836,0)</t>
  </si>
  <si>
    <t>=IF(AND($M836&gt;=$Q$16,$M836&lt;=$Q$18),U836,0)</t>
  </si>
  <si>
    <t>=IF(AND($M836&gt;=$R$16,$M836&lt;=$R$18),U836,0)</t>
  </si>
  <si>
    <t>=IF(AND($M836&gt;=$S$16,$M836&lt;=$S$18),U836,0)</t>
  </si>
  <si>
    <t>=IF($M836&lt;=$T$18,U836,0)</t>
  </si>
  <si>
    <t>="""NAV Direct"",""CRONUS JetCorp USA"",""21"",""1"",""431900"""</t>
  </si>
  <si>
    <t>=E835</t>
  </si>
  <si>
    <t>=StartDate-$M837+1</t>
  </si>
  <si>
    <t>=SUM(P837:T837)</t>
  </si>
  <si>
    <t>=IF($M837&gt;=$P$18,U837,0)</t>
  </si>
  <si>
    <t>=IF(AND($M837&gt;=$Q$16,$M837&lt;=$Q$18),U837,0)</t>
  </si>
  <si>
    <t>=IF(AND($M837&gt;=$R$16,$M837&lt;=$R$18),U837,0)</t>
  </si>
  <si>
    <t>=IF(AND($M837&gt;=$S$16,$M837&lt;=$S$18),U837,0)</t>
  </si>
  <si>
    <t>=IF($M837&lt;=$T$18,U837,0)</t>
  </si>
  <si>
    <t>="""NAV Direct"",""CRONUS JetCorp USA"",""21"",""1"",""431958"""</t>
  </si>
  <si>
    <t>=E836</t>
  </si>
  <si>
    <t>=StartDate-$M838+1</t>
  </si>
  <si>
    <t>=SUM(P838:T838)</t>
  </si>
  <si>
    <t>=IF($M838&gt;=$P$18,U838,0)</t>
  </si>
  <si>
    <t>=IF(AND($M838&gt;=$Q$16,$M838&lt;=$Q$18),U838,0)</t>
  </si>
  <si>
    <t>=IF(AND($M838&gt;=$R$16,$M838&lt;=$R$18),U838,0)</t>
  </si>
  <si>
    <t>=IF(AND($M838&gt;=$S$16,$M838&lt;=$S$18),U838,0)</t>
  </si>
  <si>
    <t>=IF($M838&lt;=$T$18,U838,0)</t>
  </si>
  <si>
    <t>="""NAV Direct"",""CRONUS JetCorp USA"",""18"",""1"",""C100035"""</t>
  </si>
  <si>
    <t>=H841</t>
  </si>
  <si>
    <t>=NF($C841,"1 No.")</t>
  </si>
  <si>
    <t>=NF($C841,"1 No.")&amp;"  -  "&amp;NF($C841,"2 Name")</t>
  </si>
  <si>
    <t>=IFERROR(O841/NF(C841,"Credit Limit (LCY)"),"")</t>
  </si>
  <si>
    <t>=SUBTOTAL(3,L842:L890)</t>
  </si>
  <si>
    <t>=SUBTOTAL(9,O842:O890)</t>
  </si>
  <si>
    <t>=SUBTOTAL(9,P842:P890)</t>
  </si>
  <si>
    <t>=SUBTOTAL(9,Q842:Q890)</t>
  </si>
  <si>
    <t>=SUBTOTAL(9,R842:R890)</t>
  </si>
  <si>
    <t>=SUBTOTAL(9,S842:S890)</t>
  </si>
  <si>
    <t>=SUBTOTAL(9,T842:T890)</t>
  </si>
  <si>
    <t>=C841</t>
  </si>
  <si>
    <t>=E841</t>
  </si>
  <si>
    <t>="Contact: "&amp;NF($C842,"8 Contact")</t>
  </si>
  <si>
    <t>=C842</t>
  </si>
  <si>
    <t>=E842</t>
  </si>
  <si>
    <t>=NF($C843,"102 E-Mail")</t>
  </si>
  <si>
    <t>=NL("Rows","21 Cust. Ledger Entry",,"3 Customer No.","@@"&amp;$E845,"16 Remaining Amt. (LCY)","&lt;&gt;0")</t>
  </si>
  <si>
    <t>=E843</t>
  </si>
  <si>
    <t>=StartDate-$M845+1</t>
  </si>
  <si>
    <t>=SUM(P845:T845)</t>
  </si>
  <si>
    <t>=IF($M845&gt;=$P$18,U845,0)</t>
  </si>
  <si>
    <t>=IF(AND($M845&gt;=$Q$16,$M845&lt;=$Q$18),U845,0)</t>
  </si>
  <si>
    <t>=IF(AND($M845&gt;=$R$16,$M845&lt;=$R$18),U845,0)</t>
  </si>
  <si>
    <t>=IF(AND($M845&gt;=$S$16,$M845&lt;=$S$18),U845,0)</t>
  </si>
  <si>
    <t>=IF($M845&lt;=$T$18,U845,0)</t>
  </si>
  <si>
    <t>="""NAV Direct"",""CRONUS JetCorp USA"",""21"",""1"",""335338"""</t>
  </si>
  <si>
    <t>=E844</t>
  </si>
  <si>
    <t>=StartDate-$M846+1</t>
  </si>
  <si>
    <t>=SUM(P846:T846)</t>
  </si>
  <si>
    <t>=IF($M846&gt;=$P$18,U846,0)</t>
  </si>
  <si>
    <t>=IF(AND($M846&gt;=$Q$16,$M846&lt;=$Q$18),U846,0)</t>
  </si>
  <si>
    <t>=IF(AND($M846&gt;=$R$16,$M846&lt;=$R$18),U846,0)</t>
  </si>
  <si>
    <t>=IF(AND($M846&gt;=$S$16,$M846&lt;=$S$18),U846,0)</t>
  </si>
  <si>
    <t>=IF($M846&lt;=$T$18,U846,0)</t>
  </si>
  <si>
    <t>="""NAV Direct"",""CRONUS JetCorp USA"",""21"",""1"",""335408"""</t>
  </si>
  <si>
    <t>=E845</t>
  </si>
  <si>
    <t>=StartDate-$M847+1</t>
  </si>
  <si>
    <t>=SUM(P847:T847)</t>
  </si>
  <si>
    <t>=IF($M847&gt;=$P$18,U847,0)</t>
  </si>
  <si>
    <t>=IF(AND($M847&gt;=$Q$16,$M847&lt;=$Q$18),U847,0)</t>
  </si>
  <si>
    <t>=IF(AND($M847&gt;=$R$16,$M847&lt;=$R$18),U847,0)</t>
  </si>
  <si>
    <t>=IF(AND($M847&gt;=$S$16,$M847&lt;=$S$18),U847,0)</t>
  </si>
  <si>
    <t>=IF($M847&lt;=$T$18,U847,0)</t>
  </si>
  <si>
    <t>="""NAV Direct"",""CRONUS JetCorp USA"",""21"",""1"",""336248"""</t>
  </si>
  <si>
    <t>=E846</t>
  </si>
  <si>
    <t>=StartDate-$M848+1</t>
  </si>
  <si>
    <t>=SUM(P848:T848)</t>
  </si>
  <si>
    <t>=IF($M848&gt;=$P$18,U848,0)</t>
  </si>
  <si>
    <t>=IF(AND($M848&gt;=$Q$16,$M848&lt;=$Q$18),U848,0)</t>
  </si>
  <si>
    <t>=IF(AND($M848&gt;=$R$16,$M848&lt;=$R$18),U848,0)</t>
  </si>
  <si>
    <t>=IF(AND($M848&gt;=$S$16,$M848&lt;=$S$18),U848,0)</t>
  </si>
  <si>
    <t>=IF($M848&lt;=$T$18,U848,0)</t>
  </si>
  <si>
    <t>="""NAV Direct"",""CRONUS JetCorp USA"",""21"",""1"",""336824"""</t>
  </si>
  <si>
    <t>=E847</t>
  </si>
  <si>
    <t>=StartDate-$M849+1</t>
  </si>
  <si>
    <t>=SUM(P849:T849)</t>
  </si>
  <si>
    <t>=IF($M849&gt;=$P$18,U849,0)</t>
  </si>
  <si>
    <t>=IF(AND($M849&gt;=$Q$16,$M849&lt;=$Q$18),U849,0)</t>
  </si>
  <si>
    <t>=IF(AND($M849&gt;=$R$16,$M849&lt;=$R$18),U849,0)</t>
  </si>
  <si>
    <t>=IF(AND($M849&gt;=$S$16,$M849&lt;=$S$18),U849,0)</t>
  </si>
  <si>
    <t>=IF($M849&lt;=$T$18,U849,0)</t>
  </si>
  <si>
    <t>="""NAV Direct"",""CRONUS JetCorp USA"",""21"",""1"",""337478"""</t>
  </si>
  <si>
    <t>=E848</t>
  </si>
  <si>
    <t>=StartDate-$M850+1</t>
  </si>
  <si>
    <t>=SUM(P850:T850)</t>
  </si>
  <si>
    <t>=IF($M850&gt;=$P$18,U850,0)</t>
  </si>
  <si>
    <t>=IF(AND($M850&gt;=$Q$16,$M850&lt;=$Q$18),U850,0)</t>
  </si>
  <si>
    <t>=IF(AND($M850&gt;=$R$16,$M850&lt;=$R$18),U850,0)</t>
  </si>
  <si>
    <t>=IF(AND($M850&gt;=$S$16,$M850&lt;=$S$18),U850,0)</t>
  </si>
  <si>
    <t>=IF($M850&lt;=$T$18,U850,0)</t>
  </si>
  <si>
    <t>="""NAV Direct"",""CRONUS JetCorp USA"",""21"",""1"",""337670"""</t>
  </si>
  <si>
    <t>=E849</t>
  </si>
  <si>
    <t>=StartDate-$M851+1</t>
  </si>
  <si>
    <t>=SUM(P851:T851)</t>
  </si>
  <si>
    <t>=IF($M851&gt;=$P$18,U851,0)</t>
  </si>
  <si>
    <t>=IF(AND($M851&gt;=$Q$16,$M851&lt;=$Q$18),U851,0)</t>
  </si>
  <si>
    <t>=IF(AND($M851&gt;=$R$16,$M851&lt;=$R$18),U851,0)</t>
  </si>
  <si>
    <t>=IF(AND($M851&gt;=$S$16,$M851&lt;=$S$18),U851,0)</t>
  </si>
  <si>
    <t>=IF($M851&lt;=$T$18,U851,0)</t>
  </si>
  <si>
    <t>="""NAV Direct"",""CRONUS JetCorp USA"",""21"",""1"",""338032"""</t>
  </si>
  <si>
    <t>=E850</t>
  </si>
  <si>
    <t>=StartDate-$M852+1</t>
  </si>
  <si>
    <t>=SUM(P852:T852)</t>
  </si>
  <si>
    <t>=IF($M852&gt;=$P$18,U852,0)</t>
  </si>
  <si>
    <t>=IF(AND($M852&gt;=$Q$16,$M852&lt;=$Q$18),U852,0)</t>
  </si>
  <si>
    <t>=IF(AND($M852&gt;=$R$16,$M852&lt;=$R$18),U852,0)</t>
  </si>
  <si>
    <t>=IF(AND($M852&gt;=$S$16,$M852&lt;=$S$18),U852,0)</t>
  </si>
  <si>
    <t>=IF($M852&lt;=$T$18,U852,0)</t>
  </si>
  <si>
    <t>="""NAV Direct"",""CRONUS JetCorp USA"",""21"",""1"",""338500"""</t>
  </si>
  <si>
    <t>=E851</t>
  </si>
  <si>
    <t>=StartDate-$M853+1</t>
  </si>
  <si>
    <t>=SUM(P853:T853)</t>
  </si>
  <si>
    <t>=IF($M853&gt;=$P$18,U853,0)</t>
  </si>
  <si>
    <t>=IF(AND($M853&gt;=$Q$16,$M853&lt;=$Q$18),U853,0)</t>
  </si>
  <si>
    <t>=IF(AND($M853&gt;=$R$16,$M853&lt;=$R$18),U853,0)</t>
  </si>
  <si>
    <t>=IF(AND($M853&gt;=$S$16,$M853&lt;=$S$18),U853,0)</t>
  </si>
  <si>
    <t>=IF($M853&lt;=$T$18,U853,0)</t>
  </si>
  <si>
    <t>="""NAV Direct"",""CRONUS JetCorp USA"",""21"",""1"",""338947"""</t>
  </si>
  <si>
    <t>=E852</t>
  </si>
  <si>
    <t>=StartDate-$M854+1</t>
  </si>
  <si>
    <t>=SUM(P854:T854)</t>
  </si>
  <si>
    <t>=IF($M854&gt;=$P$18,U854,0)</t>
  </si>
  <si>
    <t>=IF(AND($M854&gt;=$Q$16,$M854&lt;=$Q$18),U854,0)</t>
  </si>
  <si>
    <t>=IF(AND($M854&gt;=$R$16,$M854&lt;=$R$18),U854,0)</t>
  </si>
  <si>
    <t>=IF(AND($M854&gt;=$S$16,$M854&lt;=$S$18),U854,0)</t>
  </si>
  <si>
    <t>=IF($M854&lt;=$T$18,U854,0)</t>
  </si>
  <si>
    <t>="""NAV Direct"",""CRONUS JetCorp USA"",""21"",""1"",""339072"""</t>
  </si>
  <si>
    <t>=E853</t>
  </si>
  <si>
    <t>=StartDate-$M855+1</t>
  </si>
  <si>
    <t>=SUM(P855:T855)</t>
  </si>
  <si>
    <t>=IF($M855&gt;=$P$18,U855,0)</t>
  </si>
  <si>
    <t>=IF(AND($M855&gt;=$Q$16,$M855&lt;=$Q$18),U855,0)</t>
  </si>
  <si>
    <t>=IF(AND($M855&gt;=$R$16,$M855&lt;=$R$18),U855,0)</t>
  </si>
  <si>
    <t>=IF(AND($M855&gt;=$S$16,$M855&lt;=$S$18),U855,0)</t>
  </si>
  <si>
    <t>=IF($M855&lt;=$T$18,U855,0)</t>
  </si>
  <si>
    <t>="""NAV Direct"",""CRONUS JetCorp USA"",""21"",""1"",""339322"""</t>
  </si>
  <si>
    <t>=E854</t>
  </si>
  <si>
    <t>=StartDate-$M856+1</t>
  </si>
  <si>
    <t>=SUM(P856:T856)</t>
  </si>
  <si>
    <t>=IF($M856&gt;=$P$18,U856,0)</t>
  </si>
  <si>
    <t>=IF(AND($M856&gt;=$Q$16,$M856&lt;=$Q$18),U856,0)</t>
  </si>
  <si>
    <t>=IF(AND($M856&gt;=$R$16,$M856&lt;=$R$18),U856,0)</t>
  </si>
  <si>
    <t>=IF(AND($M856&gt;=$S$16,$M856&lt;=$S$18),U856,0)</t>
  </si>
  <si>
    <t>=IF($M856&lt;=$T$18,U856,0)</t>
  </si>
  <si>
    <t>="""NAV Direct"",""CRONUS JetCorp USA"",""21"",""1"",""339480"""</t>
  </si>
  <si>
    <t>=E855</t>
  </si>
  <si>
    <t>=StartDate-$M857+1</t>
  </si>
  <si>
    <t>=SUM(P857:T857)</t>
  </si>
  <si>
    <t>=IF($M857&gt;=$P$18,U857,0)</t>
  </si>
  <si>
    <t>=IF(AND($M857&gt;=$Q$16,$M857&lt;=$Q$18),U857,0)</t>
  </si>
  <si>
    <t>=IF(AND($M857&gt;=$R$16,$M857&lt;=$R$18),U857,0)</t>
  </si>
  <si>
    <t>=IF(AND($M857&gt;=$S$16,$M857&lt;=$S$18),U857,0)</t>
  </si>
  <si>
    <t>=IF($M857&lt;=$T$18,U857,0)</t>
  </si>
  <si>
    <t>="""NAV Direct"",""CRONUS JetCorp USA"",""21"",""1"",""339657"""</t>
  </si>
  <si>
    <t>=E856</t>
  </si>
  <si>
    <t>=StartDate-$M858+1</t>
  </si>
  <si>
    <t>=SUM(P858:T858)</t>
  </si>
  <si>
    <t>=IF($M858&gt;=$P$18,U858,0)</t>
  </si>
  <si>
    <t>=IF(AND($M858&gt;=$Q$16,$M858&lt;=$Q$18),U858,0)</t>
  </si>
  <si>
    <t>=IF(AND($M858&gt;=$R$16,$M858&lt;=$R$18),U858,0)</t>
  </si>
  <si>
    <t>=IF(AND($M858&gt;=$S$16,$M858&lt;=$S$18),U858,0)</t>
  </si>
  <si>
    <t>=IF($M858&lt;=$T$18,U858,0)</t>
  </si>
  <si>
    <t>="""NAV Direct"",""CRONUS JetCorp USA"",""21"",""1"",""340135"""</t>
  </si>
  <si>
    <t>=E857</t>
  </si>
  <si>
    <t>=StartDate-$M859+1</t>
  </si>
  <si>
    <t>=SUM(P859:T859)</t>
  </si>
  <si>
    <t>=IF($M859&gt;=$P$18,U859,0)</t>
  </si>
  <si>
    <t>=IF(AND($M859&gt;=$Q$16,$M859&lt;=$Q$18),U859,0)</t>
  </si>
  <si>
    <t>=IF(AND($M859&gt;=$R$16,$M859&lt;=$R$18),U859,0)</t>
  </si>
  <si>
    <t>=IF(AND($M859&gt;=$S$16,$M859&lt;=$S$18),U859,0)</t>
  </si>
  <si>
    <t>=IF($M859&lt;=$T$18,U859,0)</t>
  </si>
  <si>
    <t>="""NAV Direct"",""CRONUS JetCorp USA"",""21"",""1"",""340275"""</t>
  </si>
  <si>
    <t>=E858</t>
  </si>
  <si>
    <t>=StartDate-$M860+1</t>
  </si>
  <si>
    <t>=SUM(P860:T860)</t>
  </si>
  <si>
    <t>=IF($M860&gt;=$P$18,U860,0)</t>
  </si>
  <si>
    <t>=IF(AND($M860&gt;=$Q$16,$M860&lt;=$Q$18),U860,0)</t>
  </si>
  <si>
    <t>=IF(AND($M860&gt;=$R$16,$M860&lt;=$R$18),U860,0)</t>
  </si>
  <si>
    <t>=IF(AND($M860&gt;=$S$16,$M860&lt;=$S$18),U860,0)</t>
  </si>
  <si>
    <t>=IF($M860&lt;=$T$18,U860,0)</t>
  </si>
  <si>
    <t>="""NAV Direct"",""CRONUS JetCorp USA"",""21"",""1"",""341108"""</t>
  </si>
  <si>
    <t>=E859</t>
  </si>
  <si>
    <t>=StartDate-$M861+1</t>
  </si>
  <si>
    <t>=SUM(P861:T861)</t>
  </si>
  <si>
    <t>=IF($M861&gt;=$P$18,U861,0)</t>
  </si>
  <si>
    <t>=IF(AND($M861&gt;=$Q$16,$M861&lt;=$Q$18),U861,0)</t>
  </si>
  <si>
    <t>=IF(AND($M861&gt;=$R$16,$M861&lt;=$R$18),U861,0)</t>
  </si>
  <si>
    <t>=IF(AND($M861&gt;=$S$16,$M861&lt;=$S$18),U861,0)</t>
  </si>
  <si>
    <t>=IF($M861&lt;=$T$18,U861,0)</t>
  </si>
  <si>
    <t>="""NAV Direct"",""CRONUS JetCorp USA"",""21"",""1"",""341678"""</t>
  </si>
  <si>
    <t>=E860</t>
  </si>
  <si>
    <t>=StartDate-$M862+1</t>
  </si>
  <si>
    <t>=SUM(P862:T862)</t>
  </si>
  <si>
    <t>=IF($M862&gt;=$P$18,U862,0)</t>
  </si>
  <si>
    <t>=IF(AND($M862&gt;=$Q$16,$M862&lt;=$Q$18),U862,0)</t>
  </si>
  <si>
    <t>=IF(AND($M862&gt;=$R$16,$M862&lt;=$R$18),U862,0)</t>
  </si>
  <si>
    <t>=IF(AND($M862&gt;=$S$16,$M862&lt;=$S$18),U862,0)</t>
  </si>
  <si>
    <t>=IF($M862&lt;=$T$18,U862,0)</t>
  </si>
  <si>
    <t>="""NAV Direct"",""CRONUS JetCorp USA"",""21"",""1"",""341947"""</t>
  </si>
  <si>
    <t>=E861</t>
  </si>
  <si>
    <t>=StartDate-$M863+1</t>
  </si>
  <si>
    <t>=SUM(P863:T863)</t>
  </si>
  <si>
    <t>=IF($M863&gt;=$P$18,U863,0)</t>
  </si>
  <si>
    <t>=IF(AND($M863&gt;=$Q$16,$M863&lt;=$Q$18),U863,0)</t>
  </si>
  <si>
    <t>=IF(AND($M863&gt;=$R$16,$M863&lt;=$R$18),U863,0)</t>
  </si>
  <si>
    <t>=IF(AND($M863&gt;=$S$16,$M863&lt;=$S$18),U863,0)</t>
  </si>
  <si>
    <t>=IF($M863&lt;=$T$18,U863,0)</t>
  </si>
  <si>
    <t>="""NAV Direct"",""CRONUS JetCorp USA"",""21"",""1"",""341994"""</t>
  </si>
  <si>
    <t>=E862</t>
  </si>
  <si>
    <t>=StartDate-$M864+1</t>
  </si>
  <si>
    <t>=SUM(P864:T864)</t>
  </si>
  <si>
    <t>=IF($M864&gt;=$P$18,U864,0)</t>
  </si>
  <si>
    <t>=IF(AND($M864&gt;=$Q$16,$M864&lt;=$Q$18),U864,0)</t>
  </si>
  <si>
    <t>=IF(AND($M864&gt;=$R$16,$M864&lt;=$R$18),U864,0)</t>
  </si>
  <si>
    <t>=IF(AND($M864&gt;=$S$16,$M864&lt;=$S$18),U864,0)</t>
  </si>
  <si>
    <t>=IF($M864&lt;=$T$18,U864,0)</t>
  </si>
  <si>
    <t>="""NAV Direct"",""CRONUS JetCorp USA"",""21"",""1"",""342031"""</t>
  </si>
  <si>
    <t>=E863</t>
  </si>
  <si>
    <t>=StartDate-$M865+1</t>
  </si>
  <si>
    <t>=SUM(P865:T865)</t>
  </si>
  <si>
    <t>=IF($M865&gt;=$P$18,U865,0)</t>
  </si>
  <si>
    <t>=IF(AND($M865&gt;=$Q$16,$M865&lt;=$Q$18),U865,0)</t>
  </si>
  <si>
    <t>=IF(AND($M865&gt;=$R$16,$M865&lt;=$R$18),U865,0)</t>
  </si>
  <si>
    <t>=IF(AND($M865&gt;=$S$16,$M865&lt;=$S$18),U865,0)</t>
  </si>
  <si>
    <t>=IF($M865&lt;=$T$18,U865,0)</t>
  </si>
  <si>
    <t>="""NAV Direct"",""CRONUS JetCorp USA"",""21"",""1"",""342659"""</t>
  </si>
  <si>
    <t>=E864</t>
  </si>
  <si>
    <t>=StartDate-$M866+1</t>
  </si>
  <si>
    <t>=SUM(P866:T866)</t>
  </si>
  <si>
    <t>=IF($M866&gt;=$P$18,U866,0)</t>
  </si>
  <si>
    <t>=IF(AND($M866&gt;=$Q$16,$M866&lt;=$Q$18),U866,0)</t>
  </si>
  <si>
    <t>=IF(AND($M866&gt;=$R$16,$M866&lt;=$R$18),U866,0)</t>
  </si>
  <si>
    <t>=IF(AND($M866&gt;=$S$16,$M866&lt;=$S$18),U866,0)</t>
  </si>
  <si>
    <t>=IF($M866&lt;=$T$18,U866,0)</t>
  </si>
  <si>
    <t>="""NAV Direct"",""CRONUS JetCorp USA"",""21"",""1"",""342692"""</t>
  </si>
  <si>
    <t>=E865</t>
  </si>
  <si>
    <t>=StartDate-$M867+1</t>
  </si>
  <si>
    <t>=SUM(P867:T867)</t>
  </si>
  <si>
    <t>=IF($M867&gt;=$P$18,U867,0)</t>
  </si>
  <si>
    <t>=IF(AND($M867&gt;=$Q$16,$M867&lt;=$Q$18),U867,0)</t>
  </si>
  <si>
    <t>=IF(AND($M867&gt;=$R$16,$M867&lt;=$R$18),U867,0)</t>
  </si>
  <si>
    <t>=IF(AND($M867&gt;=$S$16,$M867&lt;=$S$18),U867,0)</t>
  </si>
  <si>
    <t>=IF($M867&lt;=$T$18,U867,0)</t>
  </si>
  <si>
    <t>="""NAV Direct"",""CRONUS JetCorp USA"",""21"",""1"",""343068"""</t>
  </si>
  <si>
    <t>=E866</t>
  </si>
  <si>
    <t>=StartDate-$M868+1</t>
  </si>
  <si>
    <t>=SUM(P868:T868)</t>
  </si>
  <si>
    <t>=IF($M868&gt;=$P$18,U868,0)</t>
  </si>
  <si>
    <t>=IF(AND($M868&gt;=$Q$16,$M868&lt;=$Q$18),U868,0)</t>
  </si>
  <si>
    <t>=IF(AND($M868&gt;=$R$16,$M868&lt;=$R$18),U868,0)</t>
  </si>
  <si>
    <t>=IF(AND($M868&gt;=$S$16,$M868&lt;=$S$18),U868,0)</t>
  </si>
  <si>
    <t>=IF($M868&lt;=$T$18,U868,0)</t>
  </si>
  <si>
    <t>="""NAV Direct"",""CRONUS JetCorp USA"",""21"",""1"",""343427"""</t>
  </si>
  <si>
    <t>=E867</t>
  </si>
  <si>
    <t>=StartDate-$M869+1</t>
  </si>
  <si>
    <t>=SUM(P869:T869)</t>
  </si>
  <si>
    <t>=IF($M869&gt;=$P$18,U869,0)</t>
  </si>
  <si>
    <t>=IF(AND($M869&gt;=$Q$16,$M869&lt;=$Q$18),U869,0)</t>
  </si>
  <si>
    <t>=IF(AND($M869&gt;=$R$16,$M869&lt;=$R$18),U869,0)</t>
  </si>
  <si>
    <t>=IF(AND($M869&gt;=$S$16,$M869&lt;=$S$18),U869,0)</t>
  </si>
  <si>
    <t>=IF($M869&lt;=$T$18,U869,0)</t>
  </si>
  <si>
    <t>="""NAV Direct"",""CRONUS JetCorp USA"",""21"",""1"",""343758"""</t>
  </si>
  <si>
    <t>=E868</t>
  </si>
  <si>
    <t>=StartDate-$M870+1</t>
  </si>
  <si>
    <t>=SUM(P870:T870)</t>
  </si>
  <si>
    <t>=IF($M870&gt;=$P$18,U870,0)</t>
  </si>
  <si>
    <t>=IF(AND($M870&gt;=$Q$16,$M870&lt;=$Q$18),U870,0)</t>
  </si>
  <si>
    <t>=IF(AND($M870&gt;=$R$16,$M870&lt;=$R$18),U870,0)</t>
  </si>
  <si>
    <t>=IF(AND($M870&gt;=$S$16,$M870&lt;=$S$18),U870,0)</t>
  </si>
  <si>
    <t>=IF($M870&lt;=$T$18,U870,0)</t>
  </si>
  <si>
    <t>="""NAV Direct"",""CRONUS JetCorp USA"",""21"",""1"",""343797"""</t>
  </si>
  <si>
    <t>=E869</t>
  </si>
  <si>
    <t>=StartDate-$M871+1</t>
  </si>
  <si>
    <t>=SUM(P871:T871)</t>
  </si>
  <si>
    <t>=IF($M871&gt;=$P$18,U871,0)</t>
  </si>
  <si>
    <t>=IF(AND($M871&gt;=$Q$16,$M871&lt;=$Q$18),U871,0)</t>
  </si>
  <si>
    <t>=IF(AND($M871&gt;=$R$16,$M871&lt;=$R$18),U871,0)</t>
  </si>
  <si>
    <t>=IF(AND($M871&gt;=$S$16,$M871&lt;=$S$18),U871,0)</t>
  </si>
  <si>
    <t>=IF($M871&lt;=$T$18,U871,0)</t>
  </si>
  <si>
    <t>="""NAV Direct"",""CRONUS JetCorp USA"",""21"",""1"",""343846"""</t>
  </si>
  <si>
    <t>=E870</t>
  </si>
  <si>
    <t>=StartDate-$M872+1</t>
  </si>
  <si>
    <t>=SUM(P872:T872)</t>
  </si>
  <si>
    <t>=IF($M872&gt;=$P$18,U872,0)</t>
  </si>
  <si>
    <t>=IF(AND($M872&gt;=$Q$16,$M872&lt;=$Q$18),U872,0)</t>
  </si>
  <si>
    <t>=IF(AND($M872&gt;=$R$16,$M872&lt;=$R$18),U872,0)</t>
  </si>
  <si>
    <t>=IF(AND($M872&gt;=$S$16,$M872&lt;=$S$18),U872,0)</t>
  </si>
  <si>
    <t>=IF($M872&lt;=$T$18,U872,0)</t>
  </si>
  <si>
    <t>="""NAV Direct"",""CRONUS JetCorp USA"",""21"",""1"",""344308"""</t>
  </si>
  <si>
    <t>=E871</t>
  </si>
  <si>
    <t>=StartDate-$M873+1</t>
  </si>
  <si>
    <t>=SUM(P873:T873)</t>
  </si>
  <si>
    <t>=IF($M873&gt;=$P$18,U873,0)</t>
  </si>
  <si>
    <t>=IF(AND($M873&gt;=$Q$16,$M873&lt;=$Q$18),U873,0)</t>
  </si>
  <si>
    <t>=IF(AND($M873&gt;=$R$16,$M873&lt;=$R$18),U873,0)</t>
  </si>
  <si>
    <t>=IF(AND($M873&gt;=$S$16,$M873&lt;=$S$18),U873,0)</t>
  </si>
  <si>
    <t>=IF($M873&lt;=$T$18,U873,0)</t>
  </si>
  <si>
    <t>="""NAV Direct"",""CRONUS JetCorp USA"",""21"",""1"",""345097"""</t>
  </si>
  <si>
    <t>=E872</t>
  </si>
  <si>
    <t>=StartDate-$M874+1</t>
  </si>
  <si>
    <t>=SUM(P874:T874)</t>
  </si>
  <si>
    <t>=IF($M874&gt;=$P$18,U874,0)</t>
  </si>
  <si>
    <t>=IF(AND($M874&gt;=$Q$16,$M874&lt;=$Q$18),U874,0)</t>
  </si>
  <si>
    <t>=IF(AND($M874&gt;=$R$16,$M874&lt;=$R$18),U874,0)</t>
  </si>
  <si>
    <t>=IF(AND($M874&gt;=$S$16,$M874&lt;=$S$18),U874,0)</t>
  </si>
  <si>
    <t>=IF($M874&lt;=$T$18,U874,0)</t>
  </si>
  <si>
    <t>="""NAV Direct"",""CRONUS JetCorp USA"",""21"",""1"",""345124"""</t>
  </si>
  <si>
    <t>=E873</t>
  </si>
  <si>
    <t>=StartDate-$M875+1</t>
  </si>
  <si>
    <t>=SUM(P875:T875)</t>
  </si>
  <si>
    <t>=IF($M875&gt;=$P$18,U875,0)</t>
  </si>
  <si>
    <t>=IF(AND($M875&gt;=$Q$16,$M875&lt;=$Q$18),U875,0)</t>
  </si>
  <si>
    <t>=IF(AND($M875&gt;=$R$16,$M875&lt;=$R$18),U875,0)</t>
  </si>
  <si>
    <t>=IF(AND($M875&gt;=$S$16,$M875&lt;=$S$18),U875,0)</t>
  </si>
  <si>
    <t>=IF($M875&lt;=$T$18,U875,0)</t>
  </si>
  <si>
    <t>="""NAV Direct"",""CRONUS JetCorp USA"",""21"",""1"",""345202"""</t>
  </si>
  <si>
    <t>=E874</t>
  </si>
  <si>
    <t>=StartDate-$M876+1</t>
  </si>
  <si>
    <t>=SUM(P876:T876)</t>
  </si>
  <si>
    <t>=IF($M876&gt;=$P$18,U876,0)</t>
  </si>
  <si>
    <t>=IF(AND($M876&gt;=$Q$16,$M876&lt;=$Q$18),U876,0)</t>
  </si>
  <si>
    <t>=IF(AND($M876&gt;=$R$16,$M876&lt;=$R$18),U876,0)</t>
  </si>
  <si>
    <t>=IF(AND($M876&gt;=$S$16,$M876&lt;=$S$18),U876,0)</t>
  </si>
  <si>
    <t>=IF($M876&lt;=$T$18,U876,0)</t>
  </si>
  <si>
    <t>="""NAV Direct"",""CRONUS JetCorp USA"",""21"",""1"",""346850"""</t>
  </si>
  <si>
    <t>=E875</t>
  </si>
  <si>
    <t>=StartDate-$M877+1</t>
  </si>
  <si>
    <t>=SUM(P877:T877)</t>
  </si>
  <si>
    <t>=IF($M877&gt;=$P$18,U877,0)</t>
  </si>
  <si>
    <t>=IF(AND($M877&gt;=$Q$16,$M877&lt;=$Q$18),U877,0)</t>
  </si>
  <si>
    <t>=IF(AND($M877&gt;=$R$16,$M877&lt;=$R$18),U877,0)</t>
  </si>
  <si>
    <t>=IF(AND($M877&gt;=$S$16,$M877&lt;=$S$18),U877,0)</t>
  </si>
  <si>
    <t>=IF($M877&lt;=$T$18,U877,0)</t>
  </si>
  <si>
    <t>="""NAV Direct"",""CRONUS JetCorp USA"",""21"",""1"",""346928"""</t>
  </si>
  <si>
    <t>=E876</t>
  </si>
  <si>
    <t>=StartDate-$M878+1</t>
  </si>
  <si>
    <t>=SUM(P878:T878)</t>
  </si>
  <si>
    <t>=IF($M878&gt;=$P$18,U878,0)</t>
  </si>
  <si>
    <t>=IF(AND($M878&gt;=$Q$16,$M878&lt;=$Q$18),U878,0)</t>
  </si>
  <si>
    <t>=IF(AND($M878&gt;=$R$16,$M878&lt;=$R$18),U878,0)</t>
  </si>
  <si>
    <t>=IF(AND($M878&gt;=$S$16,$M878&lt;=$S$18),U878,0)</t>
  </si>
  <si>
    <t>=IF($M878&lt;=$T$18,U878,0)</t>
  </si>
  <si>
    <t>="""NAV Direct"",""CRONUS JetCorp USA"",""21"",""1"",""347281"""</t>
  </si>
  <si>
    <t>=E877</t>
  </si>
  <si>
    <t>=StartDate-$M879+1</t>
  </si>
  <si>
    <t>=SUM(P879:T879)</t>
  </si>
  <si>
    <t>=IF($M879&gt;=$P$18,U879,0)</t>
  </si>
  <si>
    <t>=IF(AND($M879&gt;=$Q$16,$M879&lt;=$Q$18),U879,0)</t>
  </si>
  <si>
    <t>=IF(AND($M879&gt;=$R$16,$M879&lt;=$R$18),U879,0)</t>
  </si>
  <si>
    <t>=IF(AND($M879&gt;=$S$16,$M879&lt;=$S$18),U879,0)</t>
  </si>
  <si>
    <t>=IF($M879&lt;=$T$18,U879,0)</t>
  </si>
  <si>
    <t>="""NAV Direct"",""CRONUS JetCorp USA"",""21"",""1"",""347534"""</t>
  </si>
  <si>
    <t>=E878</t>
  </si>
  <si>
    <t>=StartDate-$M880+1</t>
  </si>
  <si>
    <t>=SUM(P880:T880)</t>
  </si>
  <si>
    <t>=IF($M880&gt;=$P$18,U880,0)</t>
  </si>
  <si>
    <t>=IF(AND($M880&gt;=$Q$16,$M880&lt;=$Q$18),U880,0)</t>
  </si>
  <si>
    <t>=IF(AND($M880&gt;=$R$16,$M880&lt;=$R$18),U880,0)</t>
  </si>
  <si>
    <t>=IF(AND($M880&gt;=$S$16,$M880&lt;=$S$18),U880,0)</t>
  </si>
  <si>
    <t>=IF($M880&lt;=$T$18,U880,0)</t>
  </si>
  <si>
    <t>="""NAV Direct"",""CRONUS JetCorp USA"",""21"",""1"",""348159"""</t>
  </si>
  <si>
    <t>=E879</t>
  </si>
  <si>
    <t>=StartDate-$M881+1</t>
  </si>
  <si>
    <t>=SUM(P881:T881)</t>
  </si>
  <si>
    <t>=IF($M881&gt;=$P$18,U881,0)</t>
  </si>
  <si>
    <t>=IF(AND($M881&gt;=$Q$16,$M881&lt;=$Q$18),U881,0)</t>
  </si>
  <si>
    <t>=IF(AND($M881&gt;=$R$16,$M881&lt;=$R$18),U881,0)</t>
  </si>
  <si>
    <t>=IF(AND($M881&gt;=$S$16,$M881&lt;=$S$18),U881,0)</t>
  </si>
  <si>
    <t>=IF($M881&lt;=$T$18,U881,0)</t>
  </si>
  <si>
    <t>="""NAV Direct"",""CRONUS JetCorp USA"",""21"",""1"",""348200"""</t>
  </si>
  <si>
    <t>=E880</t>
  </si>
  <si>
    <t>=StartDate-$M882+1</t>
  </si>
  <si>
    <t>=SUM(P882:T882)</t>
  </si>
  <si>
    <t>=IF($M882&gt;=$P$18,U882,0)</t>
  </si>
  <si>
    <t>=IF(AND($M882&gt;=$Q$16,$M882&lt;=$Q$18),U882,0)</t>
  </si>
  <si>
    <t>=IF(AND($M882&gt;=$R$16,$M882&lt;=$R$18),U882,0)</t>
  </si>
  <si>
    <t>=IF(AND($M882&gt;=$S$16,$M882&lt;=$S$18),U882,0)</t>
  </si>
  <si>
    <t>=IF($M882&lt;=$T$18,U882,0)</t>
  </si>
  <si>
    <t>="""NAV Direct"",""CRONUS JetCorp USA"",""21"",""1"",""349004"""</t>
  </si>
  <si>
    <t>=E881</t>
  </si>
  <si>
    <t>=StartDate-$M883+1</t>
  </si>
  <si>
    <t>=SUM(P883:T883)</t>
  </si>
  <si>
    <t>=IF($M883&gt;=$P$18,U883,0)</t>
  </si>
  <si>
    <t>=IF(AND($M883&gt;=$Q$16,$M883&lt;=$Q$18),U883,0)</t>
  </si>
  <si>
    <t>=IF(AND($M883&gt;=$R$16,$M883&lt;=$R$18),U883,0)</t>
  </si>
  <si>
    <t>=IF(AND($M883&gt;=$S$16,$M883&lt;=$S$18),U883,0)</t>
  </si>
  <si>
    <t>=IF($M883&lt;=$T$18,U883,0)</t>
  </si>
  <si>
    <t>="""NAV Direct"",""CRONUS JetCorp USA"",""21"",""1"",""349390"""</t>
  </si>
  <si>
    <t>=E882</t>
  </si>
  <si>
    <t>=StartDate-$M884+1</t>
  </si>
  <si>
    <t>=SUM(P884:T884)</t>
  </si>
  <si>
    <t>=IF($M884&gt;=$P$18,U884,0)</t>
  </si>
  <si>
    <t>=IF(AND($M884&gt;=$Q$16,$M884&lt;=$Q$18),U884,0)</t>
  </si>
  <si>
    <t>=IF(AND($M884&gt;=$R$16,$M884&lt;=$R$18),U884,0)</t>
  </si>
  <si>
    <t>=IF(AND($M884&gt;=$S$16,$M884&lt;=$S$18),U884,0)</t>
  </si>
  <si>
    <t>=IF($M884&lt;=$T$18,U884,0)</t>
  </si>
  <si>
    <t>="""NAV Direct"",""CRONUS JetCorp USA"",""21"",""1"",""349763"""</t>
  </si>
  <si>
    <t>=E883</t>
  </si>
  <si>
    <t>=StartDate-$M885+1</t>
  </si>
  <si>
    <t>=SUM(P885:T885)</t>
  </si>
  <si>
    <t>=IF($M885&gt;=$P$18,U885,0)</t>
  </si>
  <si>
    <t>=IF(AND($M885&gt;=$Q$16,$M885&lt;=$Q$18),U885,0)</t>
  </si>
  <si>
    <t>=IF(AND($M885&gt;=$R$16,$M885&lt;=$R$18),U885,0)</t>
  </si>
  <si>
    <t>=IF(AND($M885&gt;=$S$16,$M885&lt;=$S$18),U885,0)</t>
  </si>
  <si>
    <t>=IF($M885&lt;=$T$18,U885,0)</t>
  </si>
  <si>
    <t>="""NAV Direct"",""CRONUS JetCorp USA"",""21"",""1"",""349935"""</t>
  </si>
  <si>
    <t>=E884</t>
  </si>
  <si>
    <t>=StartDate-$M886+1</t>
  </si>
  <si>
    <t>=SUM(P886:T886)</t>
  </si>
  <si>
    <t>=IF($M886&gt;=$P$18,U886,0)</t>
  </si>
  <si>
    <t>=IF(AND($M886&gt;=$Q$16,$M886&lt;=$Q$18),U886,0)</t>
  </si>
  <si>
    <t>=IF(AND($M886&gt;=$R$16,$M886&lt;=$R$18),U886,0)</t>
  </si>
  <si>
    <t>=IF(AND($M886&gt;=$S$16,$M886&lt;=$S$18),U886,0)</t>
  </si>
  <si>
    <t>=IF($M886&lt;=$T$18,U886,0)</t>
  </si>
  <si>
    <t>="""NAV Direct"",""CRONUS JetCorp USA"",""21"",""1"",""350230"""</t>
  </si>
  <si>
    <t>=E885</t>
  </si>
  <si>
    <t>=StartDate-$M887+1</t>
  </si>
  <si>
    <t>=SUM(P887:T887)</t>
  </si>
  <si>
    <t>=IF($M887&gt;=$P$18,U887,0)</t>
  </si>
  <si>
    <t>=IF(AND($M887&gt;=$Q$16,$M887&lt;=$Q$18),U887,0)</t>
  </si>
  <si>
    <t>=IF(AND($M887&gt;=$R$16,$M887&lt;=$R$18),U887,0)</t>
  </si>
  <si>
    <t>=IF(AND($M887&gt;=$S$16,$M887&lt;=$S$18),U887,0)</t>
  </si>
  <si>
    <t>=IF($M887&lt;=$T$18,U887,0)</t>
  </si>
  <si>
    <t>="""NAV Direct"",""CRONUS JetCorp USA"",""21"",""1"",""350920"""</t>
  </si>
  <si>
    <t>=E886</t>
  </si>
  <si>
    <t>=StartDate-$M888+1</t>
  </si>
  <si>
    <t>=SUM(P888:T888)</t>
  </si>
  <si>
    <t>=IF($M888&gt;=$P$18,U888,0)</t>
  </si>
  <si>
    <t>=IF(AND($M888&gt;=$Q$16,$M888&lt;=$Q$18),U888,0)</t>
  </si>
  <si>
    <t>=IF(AND($M888&gt;=$R$16,$M888&lt;=$R$18),U888,0)</t>
  </si>
  <si>
    <t>=IF(AND($M888&gt;=$S$16,$M888&lt;=$S$18),U888,0)</t>
  </si>
  <si>
    <t>=IF($M888&lt;=$T$18,U888,0)</t>
  </si>
  <si>
    <t>="""NAV Direct"",""CRONUS JetCorp USA"",""21"",""1"",""352006"""</t>
  </si>
  <si>
    <t>=E887</t>
  </si>
  <si>
    <t>=StartDate-$M889+1</t>
  </si>
  <si>
    <t>=SUM(P889:T889)</t>
  </si>
  <si>
    <t>=IF($M889&gt;=$P$18,U889,0)</t>
  </si>
  <si>
    <t>=IF(AND($M889&gt;=$Q$16,$M889&lt;=$Q$18),U889,0)</t>
  </si>
  <si>
    <t>=IF(AND($M889&gt;=$R$16,$M889&lt;=$R$18),U889,0)</t>
  </si>
  <si>
    <t>=IF(AND($M889&gt;=$S$16,$M889&lt;=$S$18),U889,0)</t>
  </si>
  <si>
    <t>=IF($M889&lt;=$T$18,U889,0)</t>
  </si>
  <si>
    <t>="""NAV Direct"",""CRONUS JetCorp USA"",""18"",""1"",""C100036"""</t>
  </si>
  <si>
    <t>=H892</t>
  </si>
  <si>
    <t>=NF($C892,"1 No.")</t>
  </si>
  <si>
    <t>=NF($C892,"1 No.")&amp;"  -  "&amp;NF($C892,"2 Name")</t>
  </si>
  <si>
    <t>=IFERROR(O892/NF(C892,"Credit Limit (LCY)"),"")</t>
  </si>
  <si>
    <t>=SUBTOTAL(3,L893:L918)</t>
  </si>
  <si>
    <t>=SUBTOTAL(9,O893:O918)</t>
  </si>
  <si>
    <t>=SUBTOTAL(9,P893:P918)</t>
  </si>
  <si>
    <t>=SUBTOTAL(9,Q893:Q918)</t>
  </si>
  <si>
    <t>=SUBTOTAL(9,R893:R918)</t>
  </si>
  <si>
    <t>=SUBTOTAL(9,S893:S918)</t>
  </si>
  <si>
    <t>=SUBTOTAL(9,T893:T918)</t>
  </si>
  <si>
    <t>=C892</t>
  </si>
  <si>
    <t>=E892</t>
  </si>
  <si>
    <t>="Contact: "&amp;NF($C893,"8 Contact")</t>
  </si>
  <si>
    <t>=C893</t>
  </si>
  <si>
    <t>=E893</t>
  </si>
  <si>
    <t>=NF($C894,"102 E-Mail")</t>
  </si>
  <si>
    <t>=NL("Rows","21 Cust. Ledger Entry",,"3 Customer No.","@@"&amp;$E896,"16 Remaining Amt. (LCY)","&lt;&gt;0")</t>
  </si>
  <si>
    <t>=E894</t>
  </si>
  <si>
    <t>=StartDate-$M896+1</t>
  </si>
  <si>
    <t>=SUM(P896:T896)</t>
  </si>
  <si>
    <t>=IF($M896&gt;=$P$18,U896,0)</t>
  </si>
  <si>
    <t>=IF(AND($M896&gt;=$Q$16,$M896&lt;=$Q$18),U896,0)</t>
  </si>
  <si>
    <t>=IF(AND($M896&gt;=$R$16,$M896&lt;=$R$18),U896,0)</t>
  </si>
  <si>
    <t>=IF(AND($M896&gt;=$S$16,$M896&lt;=$S$18),U896,0)</t>
  </si>
  <si>
    <t>=IF($M896&lt;=$T$18,U896,0)</t>
  </si>
  <si>
    <t>="""NAV Direct"",""CRONUS JetCorp USA"",""21"",""1"",""98224"""</t>
  </si>
  <si>
    <t>=E895</t>
  </si>
  <si>
    <t>=StartDate-$M897+1</t>
  </si>
  <si>
    <t>=SUM(P897:T897)</t>
  </si>
  <si>
    <t>=IF($M897&gt;=$P$18,U897,0)</t>
  </si>
  <si>
    <t>=IF(AND($M897&gt;=$Q$16,$M897&lt;=$Q$18),U897,0)</t>
  </si>
  <si>
    <t>=IF(AND($M897&gt;=$R$16,$M897&lt;=$R$18),U897,0)</t>
  </si>
  <si>
    <t>=IF(AND($M897&gt;=$S$16,$M897&lt;=$S$18),U897,0)</t>
  </si>
  <si>
    <t>=IF($M897&lt;=$T$18,U897,0)</t>
  </si>
  <si>
    <t>="""NAV Direct"",""CRONUS JetCorp USA"",""21"",""1"",""98429"""</t>
  </si>
  <si>
    <t>=E896</t>
  </si>
  <si>
    <t>=StartDate-$M898+1</t>
  </si>
  <si>
    <t>=SUM(P898:T898)</t>
  </si>
  <si>
    <t>=IF($M898&gt;=$P$18,U898,0)</t>
  </si>
  <si>
    <t>=IF(AND($M898&gt;=$Q$16,$M898&lt;=$Q$18),U898,0)</t>
  </si>
  <si>
    <t>=IF(AND($M898&gt;=$R$16,$M898&lt;=$R$18),U898,0)</t>
  </si>
  <si>
    <t>=IF(AND($M898&gt;=$S$16,$M898&lt;=$S$18),U898,0)</t>
  </si>
  <si>
    <t>=IF($M898&lt;=$T$18,U898,0)</t>
  </si>
  <si>
    <t>="""NAV Direct"",""CRONUS JetCorp USA"",""21"",""1"",""377281"""</t>
  </si>
  <si>
    <t>=E897</t>
  </si>
  <si>
    <t>=StartDate-$M899+1</t>
  </si>
  <si>
    <t>=SUM(P899:T899)</t>
  </si>
  <si>
    <t>=IF($M899&gt;=$P$18,U899,0)</t>
  </si>
  <si>
    <t>=IF(AND($M899&gt;=$Q$16,$M899&lt;=$Q$18),U899,0)</t>
  </si>
  <si>
    <t>=IF(AND($M899&gt;=$R$16,$M899&lt;=$R$18),U899,0)</t>
  </si>
  <si>
    <t>=IF(AND($M899&gt;=$S$16,$M899&lt;=$S$18),U899,0)</t>
  </si>
  <si>
    <t>=IF($M899&lt;=$T$18,U899,0)</t>
  </si>
  <si>
    <t>="""NAV Direct"",""CRONUS JetCorp USA"",""21"",""1"",""377341"""</t>
  </si>
  <si>
    <t>=E898</t>
  </si>
  <si>
    <t>=StartDate-$M900+1</t>
  </si>
  <si>
    <t>=SUM(P900:T900)</t>
  </si>
  <si>
    <t>=IF($M900&gt;=$P$18,U900,0)</t>
  </si>
  <si>
    <t>=IF(AND($M900&gt;=$Q$16,$M900&lt;=$Q$18),U900,0)</t>
  </si>
  <si>
    <t>=IF(AND($M900&gt;=$R$16,$M900&lt;=$R$18),U900,0)</t>
  </si>
  <si>
    <t>=IF(AND($M900&gt;=$S$16,$M900&lt;=$S$18),U900,0)</t>
  </si>
  <si>
    <t>=IF($M900&lt;=$T$18,U900,0)</t>
  </si>
  <si>
    <t>="""NAV Direct"",""CRONUS JetCorp USA"",""21"",""1"",""378244"""</t>
  </si>
  <si>
    <t>=E899</t>
  </si>
  <si>
    <t>=StartDate-$M901+1</t>
  </si>
  <si>
    <t>=SUM(P901:T901)</t>
  </si>
  <si>
    <t>=IF($M901&gt;=$P$18,U901,0)</t>
  </si>
  <si>
    <t>=IF(AND($M901&gt;=$Q$16,$M901&lt;=$Q$18),U901,0)</t>
  </si>
  <si>
    <t>=IF(AND($M901&gt;=$R$16,$M901&lt;=$R$18),U901,0)</t>
  </si>
  <si>
    <t>=IF(AND($M901&gt;=$S$16,$M901&lt;=$S$18),U901,0)</t>
  </si>
  <si>
    <t>=IF($M901&lt;=$T$18,U901,0)</t>
  </si>
  <si>
    <t>="""NAV Direct"",""CRONUS JetCorp USA"",""21"",""1"",""378446"""</t>
  </si>
  <si>
    <t>=E900</t>
  </si>
  <si>
    <t>=StartDate-$M902+1</t>
  </si>
  <si>
    <t>=SUM(P902:T902)</t>
  </si>
  <si>
    <t>=IF($M902&gt;=$P$18,U902,0)</t>
  </si>
  <si>
    <t>=IF(AND($M902&gt;=$Q$16,$M902&lt;=$Q$18),U902,0)</t>
  </si>
  <si>
    <t>=IF(AND($M902&gt;=$R$16,$M902&lt;=$R$18),U902,0)</t>
  </si>
  <si>
    <t>=IF(AND($M902&gt;=$S$16,$M902&lt;=$S$18),U902,0)</t>
  </si>
  <si>
    <t>=IF($M902&lt;=$T$18,U902,0)</t>
  </si>
  <si>
    <t>="""NAV Direct"",""CRONUS JetCorp USA"",""21"",""1"",""378547"""</t>
  </si>
  <si>
    <t>=E901</t>
  </si>
  <si>
    <t>=StartDate-$M903+1</t>
  </si>
  <si>
    <t>=SUM(P903:T903)</t>
  </si>
  <si>
    <t>=IF($M903&gt;=$P$18,U903,0)</t>
  </si>
  <si>
    <t>=IF(AND($M903&gt;=$Q$16,$M903&lt;=$Q$18),U903,0)</t>
  </si>
  <si>
    <t>=IF(AND($M903&gt;=$R$16,$M903&lt;=$R$18),U903,0)</t>
  </si>
  <si>
    <t>=IF(AND($M903&gt;=$S$16,$M903&lt;=$S$18),U903,0)</t>
  </si>
  <si>
    <t>=IF($M903&lt;=$T$18,U903,0)</t>
  </si>
  <si>
    <t>="""NAV Direct"",""CRONUS JetCorp USA"",""21"",""1"",""378648"""</t>
  </si>
  <si>
    <t>=E902</t>
  </si>
  <si>
    <t>=StartDate-$M904+1</t>
  </si>
  <si>
    <t>=SUM(P904:T904)</t>
  </si>
  <si>
    <t>=IF($M904&gt;=$P$18,U904,0)</t>
  </si>
  <si>
    <t>=IF(AND($M904&gt;=$Q$16,$M904&lt;=$Q$18),U904,0)</t>
  </si>
  <si>
    <t>=IF(AND($M904&gt;=$R$16,$M904&lt;=$R$18),U904,0)</t>
  </si>
  <si>
    <t>=IF(AND($M904&gt;=$S$16,$M904&lt;=$S$18),U904,0)</t>
  </si>
  <si>
    <t>=IF($M904&lt;=$T$18,U904,0)</t>
  </si>
  <si>
    <t>="""NAV Direct"",""CRONUS JetCorp USA"",""21"",""1"",""378811"""</t>
  </si>
  <si>
    <t>=E903</t>
  </si>
  <si>
    <t>=StartDate-$M905+1</t>
  </si>
  <si>
    <t>=SUM(P905:T905)</t>
  </si>
  <si>
    <t>=IF($M905&gt;=$P$18,U905,0)</t>
  </si>
  <si>
    <t>=IF(AND($M905&gt;=$Q$16,$M905&lt;=$Q$18),U905,0)</t>
  </si>
  <si>
    <t>=IF(AND($M905&gt;=$R$16,$M905&lt;=$R$18),U905,0)</t>
  </si>
  <si>
    <t>=IF(AND($M905&gt;=$S$16,$M905&lt;=$S$18),U905,0)</t>
  </si>
  <si>
    <t>=IF($M905&lt;=$T$18,U905,0)</t>
  </si>
  <si>
    <t>="""NAV Direct"",""CRONUS JetCorp USA"",""21"",""1"",""379154"""</t>
  </si>
  <si>
    <t>=E904</t>
  </si>
  <si>
    <t>=StartDate-$M906+1</t>
  </si>
  <si>
    <t>=SUM(P906:T906)</t>
  </si>
  <si>
    <t>=IF($M906&gt;=$P$18,U906,0)</t>
  </si>
  <si>
    <t>=IF(AND($M906&gt;=$Q$16,$M906&lt;=$Q$18),U906,0)</t>
  </si>
  <si>
    <t>=IF(AND($M906&gt;=$R$16,$M906&lt;=$R$18),U906,0)</t>
  </si>
  <si>
    <t>=IF(AND($M906&gt;=$S$16,$M906&lt;=$S$18),U906,0)</t>
  </si>
  <si>
    <t>=IF($M906&lt;=$T$18,U906,0)</t>
  </si>
  <si>
    <t>="""NAV Direct"",""CRONUS JetCorp USA"",""21"",""1"",""379515"""</t>
  </si>
  <si>
    <t>=E905</t>
  </si>
  <si>
    <t>=StartDate-$M907+1</t>
  </si>
  <si>
    <t>=SUM(P907:T907)</t>
  </si>
  <si>
    <t>=IF($M907&gt;=$P$18,U907,0)</t>
  </si>
  <si>
    <t>=IF(AND($M907&gt;=$Q$16,$M907&lt;=$Q$18),U907,0)</t>
  </si>
  <si>
    <t>=IF(AND($M907&gt;=$R$16,$M907&lt;=$R$18),U907,0)</t>
  </si>
  <si>
    <t>=IF(AND($M907&gt;=$S$16,$M907&lt;=$S$18),U907,0)</t>
  </si>
  <si>
    <t>=IF($M907&lt;=$T$18,U907,0)</t>
  </si>
  <si>
    <t>="""NAV Direct"",""CRONUS JetCorp USA"",""21"",""1"",""379548"""</t>
  </si>
  <si>
    <t>=E906</t>
  </si>
  <si>
    <t>=StartDate-$M908+1</t>
  </si>
  <si>
    <t>=SUM(P908:T908)</t>
  </si>
  <si>
    <t>=IF($M908&gt;=$P$18,U908,0)</t>
  </si>
  <si>
    <t>=IF(AND($M908&gt;=$Q$16,$M908&lt;=$Q$18),U908,0)</t>
  </si>
  <si>
    <t>=IF(AND($M908&gt;=$R$16,$M908&lt;=$R$18),U908,0)</t>
  </si>
  <si>
    <t>=IF(AND($M908&gt;=$S$16,$M908&lt;=$S$18),U908,0)</t>
  </si>
  <si>
    <t>=IF($M908&lt;=$T$18,U908,0)</t>
  </si>
  <si>
    <t>="""NAV Direct"",""CRONUS JetCorp USA"",""21"",""1"",""379616"""</t>
  </si>
  <si>
    <t>=E907</t>
  </si>
  <si>
    <t>=StartDate-$M909+1</t>
  </si>
  <si>
    <t>=SUM(P909:T909)</t>
  </si>
  <si>
    <t>=IF($M909&gt;=$P$18,U909,0)</t>
  </si>
  <si>
    <t>=IF(AND($M909&gt;=$Q$16,$M909&lt;=$Q$18),U909,0)</t>
  </si>
  <si>
    <t>=IF(AND($M909&gt;=$R$16,$M909&lt;=$R$18),U909,0)</t>
  </si>
  <si>
    <t>=IF(AND($M909&gt;=$S$16,$M909&lt;=$S$18),U909,0)</t>
  </si>
  <si>
    <t>=IF($M909&lt;=$T$18,U909,0)</t>
  </si>
  <si>
    <t>="""NAV Direct"",""CRONUS JetCorp USA"",""21"",""1"",""379739"""</t>
  </si>
  <si>
    <t>=E908</t>
  </si>
  <si>
    <t>=StartDate-$M910+1</t>
  </si>
  <si>
    <t>=SUM(P910:T910)</t>
  </si>
  <si>
    <t>=IF($M910&gt;=$P$18,U910,0)</t>
  </si>
  <si>
    <t>=IF(AND($M910&gt;=$Q$16,$M910&lt;=$Q$18),U910,0)</t>
  </si>
  <si>
    <t>=IF(AND($M910&gt;=$R$16,$M910&lt;=$R$18),U910,0)</t>
  </si>
  <si>
    <t>=IF(AND($M910&gt;=$S$16,$M910&lt;=$S$18),U910,0)</t>
  </si>
  <si>
    <t>=IF($M910&lt;=$T$18,U910,0)</t>
  </si>
  <si>
    <t>="""NAV Direct"",""CRONUS JetCorp USA"",""21"",""1"",""380164"""</t>
  </si>
  <si>
    <t>=E909</t>
  </si>
  <si>
    <t>=StartDate-$M911+1</t>
  </si>
  <si>
    <t>=SUM(P911:T911)</t>
  </si>
  <si>
    <t>=IF($M911&gt;=$P$18,U911,0)</t>
  </si>
  <si>
    <t>=IF(AND($M911&gt;=$Q$16,$M911&lt;=$Q$18),U911,0)</t>
  </si>
  <si>
    <t>=IF(AND($M911&gt;=$R$16,$M911&lt;=$R$18),U911,0)</t>
  </si>
  <si>
    <t>=IF(AND($M911&gt;=$S$16,$M911&lt;=$S$18),U911,0)</t>
  </si>
  <si>
    <t>=IF($M911&lt;=$T$18,U911,0)</t>
  </si>
  <si>
    <t>="""NAV Direct"",""CRONUS JetCorp USA"",""21"",""1"",""380197"""</t>
  </si>
  <si>
    <t>=E910</t>
  </si>
  <si>
    <t>=StartDate-$M912+1</t>
  </si>
  <si>
    <t>=SUM(P912:T912)</t>
  </si>
  <si>
    <t>=IF($M912&gt;=$P$18,U912,0)</t>
  </si>
  <si>
    <t>=IF(AND($M912&gt;=$Q$16,$M912&lt;=$Q$18),U912,0)</t>
  </si>
  <si>
    <t>=IF(AND($M912&gt;=$R$16,$M912&lt;=$R$18),U912,0)</t>
  </si>
  <si>
    <t>=IF(AND($M912&gt;=$S$16,$M912&lt;=$S$18),U912,0)</t>
  </si>
  <si>
    <t>=IF($M912&lt;=$T$18,U912,0)</t>
  </si>
  <si>
    <t>="""NAV Direct"",""CRONUS JetCorp USA"",""21"",""1"",""437898"""</t>
  </si>
  <si>
    <t>=E911</t>
  </si>
  <si>
    <t>=StartDate-$M913+1</t>
  </si>
  <si>
    <t>=SUM(P913:T913)</t>
  </si>
  <si>
    <t>=IF($M913&gt;=$P$18,U913,0)</t>
  </si>
  <si>
    <t>=IF(AND($M913&gt;=$Q$16,$M913&lt;=$Q$18),U913,0)</t>
  </si>
  <si>
    <t>=IF(AND($M913&gt;=$R$16,$M913&lt;=$R$18),U913,0)</t>
  </si>
  <si>
    <t>=IF(AND($M913&gt;=$S$16,$M913&lt;=$S$18),U913,0)</t>
  </si>
  <si>
    <t>=IF($M913&lt;=$T$18,U913,0)</t>
  </si>
  <si>
    <t>="""NAV Direct"",""CRONUS JetCorp USA"",""21"",""1"",""437930"""</t>
  </si>
  <si>
    <t>=E912</t>
  </si>
  <si>
    <t>=StartDate-$M914+1</t>
  </si>
  <si>
    <t>=SUM(P914:T914)</t>
  </si>
  <si>
    <t>=IF($M914&gt;=$P$18,U914,0)</t>
  </si>
  <si>
    <t>=IF(AND($M914&gt;=$Q$16,$M914&lt;=$Q$18),U914,0)</t>
  </si>
  <si>
    <t>=IF(AND($M914&gt;=$R$16,$M914&lt;=$R$18),U914,0)</t>
  </si>
  <si>
    <t>=IF(AND($M914&gt;=$S$16,$M914&lt;=$S$18),U914,0)</t>
  </si>
  <si>
    <t>=IF($M914&lt;=$T$18,U914,0)</t>
  </si>
  <si>
    <t>="""NAV Direct"",""CRONUS JetCorp USA"",""21"",""1"",""438027"""</t>
  </si>
  <si>
    <t>=E913</t>
  </si>
  <si>
    <t>=StartDate-$M915+1</t>
  </si>
  <si>
    <t>=SUM(P915:T915)</t>
  </si>
  <si>
    <t>=IF($M915&gt;=$P$18,U915,0)</t>
  </si>
  <si>
    <t>=IF(AND($M915&gt;=$Q$16,$M915&lt;=$Q$18),U915,0)</t>
  </si>
  <si>
    <t>=IF(AND($M915&gt;=$R$16,$M915&lt;=$R$18),U915,0)</t>
  </si>
  <si>
    <t>=IF(AND($M915&gt;=$S$16,$M915&lt;=$S$18),U915,0)</t>
  </si>
  <si>
    <t>=IF($M915&lt;=$T$18,U915,0)</t>
  </si>
  <si>
    <t>="""NAV Direct"",""CRONUS JetCorp USA"",""21"",""1"",""438046"""</t>
  </si>
  <si>
    <t>=E914</t>
  </si>
  <si>
    <t>=StartDate-$M916+1</t>
  </si>
  <si>
    <t>=SUM(P916:T916)</t>
  </si>
  <si>
    <t>=IF($M916&gt;=$P$18,U916,0)</t>
  </si>
  <si>
    <t>=IF(AND($M916&gt;=$Q$16,$M916&lt;=$Q$18),U916,0)</t>
  </si>
  <si>
    <t>=IF(AND($M916&gt;=$R$16,$M916&lt;=$R$18),U916,0)</t>
  </si>
  <si>
    <t>=IF(AND($M916&gt;=$S$16,$M916&lt;=$S$18),U916,0)</t>
  </si>
  <si>
    <t>=IF($M916&lt;=$T$18,U916,0)</t>
  </si>
  <si>
    <t>="""NAV Direct"",""CRONUS JetCorp USA"",""21"",""1"",""438145"""</t>
  </si>
  <si>
    <t>=E915</t>
  </si>
  <si>
    <t>=StartDate-$M917+1</t>
  </si>
  <si>
    <t>=SUM(P917:T917)</t>
  </si>
  <si>
    <t>=IF($M917&gt;=$P$18,U917,0)</t>
  </si>
  <si>
    <t>=IF(AND($M917&gt;=$Q$16,$M917&lt;=$Q$18),U917,0)</t>
  </si>
  <si>
    <t>=IF(AND($M917&gt;=$R$16,$M917&lt;=$R$18),U917,0)</t>
  </si>
  <si>
    <t>=IF(AND($M917&gt;=$S$16,$M917&lt;=$S$18),U917,0)</t>
  </si>
  <si>
    <t>=IF($M917&lt;=$T$18,U917,0)</t>
  </si>
  <si>
    <t>="""NAV Direct"",""CRONUS JetCorp USA"",""18"",""1"",""C100037"""</t>
  </si>
  <si>
    <t>=H920</t>
  </si>
  <si>
    <t>=NF($C920,"1 No.")</t>
  </si>
  <si>
    <t>=NF($C920,"1 No.")&amp;"  -  "&amp;NF($C920,"2 Name")</t>
  </si>
  <si>
    <t>=IFERROR(O920/NF(C920,"Credit Limit (LCY)"),"")</t>
  </si>
  <si>
    <t>=SUBTOTAL(3,L921:L1025)</t>
  </si>
  <si>
    <t>=SUBTOTAL(9,O921:O1025)</t>
  </si>
  <si>
    <t>=SUBTOTAL(9,P921:P1025)</t>
  </si>
  <si>
    <t>=SUBTOTAL(9,Q921:Q1025)</t>
  </si>
  <si>
    <t>=SUBTOTAL(9,R921:R1025)</t>
  </si>
  <si>
    <t>=SUBTOTAL(9,S921:S1025)</t>
  </si>
  <si>
    <t>=SUBTOTAL(9,T921:T1025)</t>
  </si>
  <si>
    <t>=C920</t>
  </si>
  <si>
    <t>=E920</t>
  </si>
  <si>
    <t>="Contact: "&amp;NF($C921,"8 Contact")</t>
  </si>
  <si>
    <t>=C921</t>
  </si>
  <si>
    <t>=E921</t>
  </si>
  <si>
    <t>=NF($C922,"102 E-Mail")</t>
  </si>
  <si>
    <t>=NL("Rows","21 Cust. Ledger Entry",,"3 Customer No.","@@"&amp;$E924,"16 Remaining Amt. (LCY)","&lt;&gt;0")</t>
  </si>
  <si>
    <t>=E922</t>
  </si>
  <si>
    <t>=StartDate-$M924+1</t>
  </si>
  <si>
    <t>=SUM(P924:T924)</t>
  </si>
  <si>
    <t>=IF($M924&gt;=$P$18,U924,0)</t>
  </si>
  <si>
    <t>=IF(AND($M924&gt;=$Q$16,$M924&lt;=$Q$18),U924,0)</t>
  </si>
  <si>
    <t>=IF(AND($M924&gt;=$R$16,$M924&lt;=$R$18),U924,0)</t>
  </si>
  <si>
    <t>=IF(AND($M924&gt;=$S$16,$M924&lt;=$S$18),U924,0)</t>
  </si>
  <si>
    <t>=IF($M924&lt;=$T$18,U924,0)</t>
  </si>
  <si>
    <t>="""NAV Direct"",""CRONUS JetCorp USA"",""21"",""1"",""14461"""</t>
  </si>
  <si>
    <t>=E923</t>
  </si>
  <si>
    <t>=StartDate-$M925+1</t>
  </si>
  <si>
    <t>=SUM(P925:T925)</t>
  </si>
  <si>
    <t>=IF($M925&gt;=$P$18,U925,0)</t>
  </si>
  <si>
    <t>=IF(AND($M925&gt;=$Q$16,$M925&lt;=$Q$18),U925,0)</t>
  </si>
  <si>
    <t>=IF(AND($M925&gt;=$R$16,$M925&lt;=$R$18),U925,0)</t>
  </si>
  <si>
    <t>=IF(AND($M925&gt;=$S$16,$M925&lt;=$S$18),U925,0)</t>
  </si>
  <si>
    <t>=IF($M925&lt;=$T$18,U925,0)</t>
  </si>
  <si>
    <t>="""NAV Direct"",""CRONUS JetCorp USA"",""21"",""1"",""14558"""</t>
  </si>
  <si>
    <t>=E924</t>
  </si>
  <si>
    <t>=StartDate-$M926+1</t>
  </si>
  <si>
    <t>=SUM(P926:T926)</t>
  </si>
  <si>
    <t>=IF($M926&gt;=$P$18,U926,0)</t>
  </si>
  <si>
    <t>=IF(AND($M926&gt;=$Q$16,$M926&lt;=$Q$18),U926,0)</t>
  </si>
  <si>
    <t>=IF(AND($M926&gt;=$R$16,$M926&lt;=$R$18),U926,0)</t>
  </si>
  <si>
    <t>=IF(AND($M926&gt;=$S$16,$M926&lt;=$S$18),U926,0)</t>
  </si>
  <si>
    <t>=IF($M926&lt;=$T$18,U926,0)</t>
  </si>
  <si>
    <t>="""NAV Direct"",""CRONUS JetCorp USA"",""21"",""1"",""14670"""</t>
  </si>
  <si>
    <t>=E925</t>
  </si>
  <si>
    <t>=StartDate-$M927+1</t>
  </si>
  <si>
    <t>=SUM(P927:T927)</t>
  </si>
  <si>
    <t>=IF($M927&gt;=$P$18,U927,0)</t>
  </si>
  <si>
    <t>=IF(AND($M927&gt;=$Q$16,$M927&lt;=$Q$18),U927,0)</t>
  </si>
  <si>
    <t>=IF(AND($M927&gt;=$R$16,$M927&lt;=$R$18),U927,0)</t>
  </si>
  <si>
    <t>=IF(AND($M927&gt;=$S$16,$M927&lt;=$S$18),U927,0)</t>
  </si>
  <si>
    <t>=IF($M927&lt;=$T$18,U927,0)</t>
  </si>
  <si>
    <t>="""NAV Direct"",""CRONUS JetCorp USA"",""21"",""1"",""14769"""</t>
  </si>
  <si>
    <t>=E926</t>
  </si>
  <si>
    <t>=StartDate-$M928+1</t>
  </si>
  <si>
    <t>=SUM(P928:T928)</t>
  </si>
  <si>
    <t>=IF($M928&gt;=$P$18,U928,0)</t>
  </si>
  <si>
    <t>=IF(AND($M928&gt;=$Q$16,$M928&lt;=$Q$18),U928,0)</t>
  </si>
  <si>
    <t>=IF(AND($M928&gt;=$R$16,$M928&lt;=$R$18),U928,0)</t>
  </si>
  <si>
    <t>=IF(AND($M928&gt;=$S$16,$M928&lt;=$S$18),U928,0)</t>
  </si>
  <si>
    <t>=IF($M928&lt;=$T$18,U928,0)</t>
  </si>
  <si>
    <t>="""NAV Direct"",""CRONUS JetCorp USA"",""21"",""1"",""214116"""</t>
  </si>
  <si>
    <t>=E927</t>
  </si>
  <si>
    <t>=StartDate-$M929+1</t>
  </si>
  <si>
    <t>=SUM(P929:T929)</t>
  </si>
  <si>
    <t>=IF($M929&gt;=$P$18,U929,0)</t>
  </si>
  <si>
    <t>=IF(AND($M929&gt;=$Q$16,$M929&lt;=$Q$18),U929,0)</t>
  </si>
  <si>
    <t>=IF(AND($M929&gt;=$R$16,$M929&lt;=$R$18),U929,0)</t>
  </si>
  <si>
    <t>=IF(AND($M929&gt;=$S$16,$M929&lt;=$S$18),U929,0)</t>
  </si>
  <si>
    <t>=IF($M929&lt;=$T$18,U929,0)</t>
  </si>
  <si>
    <t>="""NAV Direct"",""CRONUS JetCorp USA"",""21"",""1"",""214157"""</t>
  </si>
  <si>
    <t>=E928</t>
  </si>
  <si>
    <t>=StartDate-$M930+1</t>
  </si>
  <si>
    <t>=SUM(P930:T930)</t>
  </si>
  <si>
    <t>=IF($M930&gt;=$P$18,U930,0)</t>
  </si>
  <si>
    <t>=IF(AND($M930&gt;=$Q$16,$M930&lt;=$Q$18),U930,0)</t>
  </si>
  <si>
    <t>=IF(AND($M930&gt;=$R$16,$M930&lt;=$R$18),U930,0)</t>
  </si>
  <si>
    <t>=IF(AND($M930&gt;=$S$16,$M930&lt;=$S$18),U930,0)</t>
  </si>
  <si>
    <t>=IF($M930&lt;=$T$18,U930,0)</t>
  </si>
  <si>
    <t>="""NAV Direct"",""CRONUS JetCorp USA"",""21"",""1"",""303894"""</t>
  </si>
  <si>
    <t>=E929</t>
  </si>
  <si>
    <t>=StartDate-$M931+1</t>
  </si>
  <si>
    <t>=SUM(P931:T931)</t>
  </si>
  <si>
    <t>=IF($M931&gt;=$P$18,U931,0)</t>
  </si>
  <si>
    <t>=IF(AND($M931&gt;=$Q$16,$M931&lt;=$Q$18),U931,0)</t>
  </si>
  <si>
    <t>=IF(AND($M931&gt;=$R$16,$M931&lt;=$R$18),U931,0)</t>
  </si>
  <si>
    <t>=IF(AND($M931&gt;=$S$16,$M931&lt;=$S$18),U931,0)</t>
  </si>
  <si>
    <t>=IF($M931&lt;=$T$18,U931,0)</t>
  </si>
  <si>
    <t>="""NAV Direct"",""CRONUS JetCorp USA"",""21"",""1"",""304271"""</t>
  </si>
  <si>
    <t>=E930</t>
  </si>
  <si>
    <t>=StartDate-$M932+1</t>
  </si>
  <si>
    <t>=SUM(P932:T932)</t>
  </si>
  <si>
    <t>=IF($M932&gt;=$P$18,U932,0)</t>
  </si>
  <si>
    <t>=IF(AND($M932&gt;=$Q$16,$M932&lt;=$Q$18),U932,0)</t>
  </si>
  <si>
    <t>=IF(AND($M932&gt;=$R$16,$M932&lt;=$R$18),U932,0)</t>
  </si>
  <si>
    <t>=IF(AND($M932&gt;=$S$16,$M932&lt;=$S$18),U932,0)</t>
  </si>
  <si>
    <t>=IF($M932&lt;=$T$18,U932,0)</t>
  </si>
  <si>
    <t>="""NAV Direct"",""CRONUS JetCorp USA"",""21"",""1"",""304464"""</t>
  </si>
  <si>
    <t>=E931</t>
  </si>
  <si>
    <t>=StartDate-$M933+1</t>
  </si>
  <si>
    <t>=SUM(P933:T933)</t>
  </si>
  <si>
    <t>=IF($M933&gt;=$P$18,U933,0)</t>
  </si>
  <si>
    <t>=IF(AND($M933&gt;=$Q$16,$M933&lt;=$Q$18),U933,0)</t>
  </si>
  <si>
    <t>=IF(AND($M933&gt;=$R$16,$M933&lt;=$R$18),U933,0)</t>
  </si>
  <si>
    <t>=IF(AND($M933&gt;=$S$16,$M933&lt;=$S$18),U933,0)</t>
  </si>
  <si>
    <t>=IF($M933&lt;=$T$18,U933,0)</t>
  </si>
  <si>
    <t>="""NAV Direct"",""CRONUS JetCorp USA"",""21"",""1"",""304516"""</t>
  </si>
  <si>
    <t>=E932</t>
  </si>
  <si>
    <t>=StartDate-$M934+1</t>
  </si>
  <si>
    <t>=SUM(P934:T934)</t>
  </si>
  <si>
    <t>=IF($M934&gt;=$P$18,U934,0)</t>
  </si>
  <si>
    <t>=IF(AND($M934&gt;=$Q$16,$M934&lt;=$Q$18),U934,0)</t>
  </si>
  <si>
    <t>=IF(AND($M934&gt;=$R$16,$M934&lt;=$R$18),U934,0)</t>
  </si>
  <si>
    <t>=IF(AND($M934&gt;=$S$16,$M934&lt;=$S$18),U934,0)</t>
  </si>
  <si>
    <t>=IF($M934&lt;=$T$18,U934,0)</t>
  </si>
  <si>
    <t>="""NAV Direct"",""CRONUS JetCorp USA"",""21"",""1"",""304666"""</t>
  </si>
  <si>
    <t>=E933</t>
  </si>
  <si>
    <t>=StartDate-$M935+1</t>
  </si>
  <si>
    <t>=SUM(P935:T935)</t>
  </si>
  <si>
    <t>=IF($M935&gt;=$P$18,U935,0)</t>
  </si>
  <si>
    <t>=IF(AND($M935&gt;=$Q$16,$M935&lt;=$Q$18),U935,0)</t>
  </si>
  <si>
    <t>=IF(AND($M935&gt;=$R$16,$M935&lt;=$R$18),U935,0)</t>
  </si>
  <si>
    <t>=IF(AND($M935&gt;=$S$16,$M935&lt;=$S$18),U935,0)</t>
  </si>
  <si>
    <t>=IF($M935&lt;=$T$18,U935,0)</t>
  </si>
  <si>
    <t>="""NAV Direct"",""CRONUS JetCorp USA"",""21"",""1"",""304689"""</t>
  </si>
  <si>
    <t>=E934</t>
  </si>
  <si>
    <t>=StartDate-$M936+1</t>
  </si>
  <si>
    <t>=SUM(P936:T936)</t>
  </si>
  <si>
    <t>=IF($M936&gt;=$P$18,U936,0)</t>
  </si>
  <si>
    <t>=IF(AND($M936&gt;=$Q$16,$M936&lt;=$Q$18),U936,0)</t>
  </si>
  <si>
    <t>=IF(AND($M936&gt;=$R$16,$M936&lt;=$R$18),U936,0)</t>
  </si>
  <si>
    <t>=IF(AND($M936&gt;=$S$16,$M936&lt;=$S$18),U936,0)</t>
  </si>
  <si>
    <t>=IF($M936&lt;=$T$18,U936,0)</t>
  </si>
  <si>
    <t>="""NAV Direct"",""CRONUS JetCorp USA"",""21"",""1"",""304770"""</t>
  </si>
  <si>
    <t>=E935</t>
  </si>
  <si>
    <t>=StartDate-$M937+1</t>
  </si>
  <si>
    <t>=SUM(P937:T937)</t>
  </si>
  <si>
    <t>=IF($M937&gt;=$P$18,U937,0)</t>
  </si>
  <si>
    <t>=IF(AND($M937&gt;=$Q$16,$M937&lt;=$Q$18),U937,0)</t>
  </si>
  <si>
    <t>=IF(AND($M937&gt;=$R$16,$M937&lt;=$R$18),U937,0)</t>
  </si>
  <si>
    <t>=IF(AND($M937&gt;=$S$16,$M937&lt;=$S$18),U937,0)</t>
  </si>
  <si>
    <t>=IF($M937&lt;=$T$18,U937,0)</t>
  </si>
  <si>
    <t>="""NAV Direct"",""CRONUS JetCorp USA"",""21"",""1"",""304799"""</t>
  </si>
  <si>
    <t>=E936</t>
  </si>
  <si>
    <t>=StartDate-$M938+1</t>
  </si>
  <si>
    <t>=SUM(P938:T938)</t>
  </si>
  <si>
    <t>=IF($M938&gt;=$P$18,U938,0)</t>
  </si>
  <si>
    <t>=IF(AND($M938&gt;=$Q$16,$M938&lt;=$Q$18),U938,0)</t>
  </si>
  <si>
    <t>=IF(AND($M938&gt;=$R$16,$M938&lt;=$R$18),U938,0)</t>
  </si>
  <si>
    <t>=IF(AND($M938&gt;=$S$16,$M938&lt;=$S$18),U938,0)</t>
  </si>
  <si>
    <t>=IF($M938&lt;=$T$18,U938,0)</t>
  </si>
  <si>
    <t>="""NAV Direct"",""CRONUS JetCorp USA"",""21"",""1"",""304851"""</t>
  </si>
  <si>
    <t>=E937</t>
  </si>
  <si>
    <t>=StartDate-$M939+1</t>
  </si>
  <si>
    <t>=SUM(P939:T939)</t>
  </si>
  <si>
    <t>=IF($M939&gt;=$P$18,U939,0)</t>
  </si>
  <si>
    <t>=IF(AND($M939&gt;=$Q$16,$M939&lt;=$Q$18),U939,0)</t>
  </si>
  <si>
    <t>=IF(AND($M939&gt;=$R$16,$M939&lt;=$R$18),U939,0)</t>
  </si>
  <si>
    <t>=IF(AND($M939&gt;=$S$16,$M939&lt;=$S$18),U939,0)</t>
  </si>
  <si>
    <t>=IF($M939&lt;=$T$18,U939,0)</t>
  </si>
  <si>
    <t>="""NAV Direct"",""CRONUS JetCorp USA"",""21"",""1"",""305272"""</t>
  </si>
  <si>
    <t>=E938</t>
  </si>
  <si>
    <t>=StartDate-$M940+1</t>
  </si>
  <si>
    <t>=SUM(P940:T940)</t>
  </si>
  <si>
    <t>=IF($M940&gt;=$P$18,U940,0)</t>
  </si>
  <si>
    <t>=IF(AND($M940&gt;=$Q$16,$M940&lt;=$Q$18),U940,0)</t>
  </si>
  <si>
    <t>=IF(AND($M940&gt;=$R$16,$M940&lt;=$R$18),U940,0)</t>
  </si>
  <si>
    <t>=IF(AND($M940&gt;=$S$16,$M940&lt;=$S$18),U940,0)</t>
  </si>
  <si>
    <t>=IF($M940&lt;=$T$18,U940,0)</t>
  </si>
  <si>
    <t>="""NAV Direct"",""CRONUS JetCorp USA"",""21"",""1"",""305586"""</t>
  </si>
  <si>
    <t>=E939</t>
  </si>
  <si>
    <t>=StartDate-$M941+1</t>
  </si>
  <si>
    <t>=SUM(P941:T941)</t>
  </si>
  <si>
    <t>=IF($M941&gt;=$P$18,U941,0)</t>
  </si>
  <si>
    <t>=IF(AND($M941&gt;=$Q$16,$M941&lt;=$Q$18),U941,0)</t>
  </si>
  <si>
    <t>=IF(AND($M941&gt;=$R$16,$M941&lt;=$R$18),U941,0)</t>
  </si>
  <si>
    <t>=IF(AND($M941&gt;=$S$16,$M941&lt;=$S$18),U941,0)</t>
  </si>
  <si>
    <t>=IF($M941&lt;=$T$18,U941,0)</t>
  </si>
  <si>
    <t>="""NAV Direct"",""CRONUS JetCorp USA"",""21"",""1"",""305681"""</t>
  </si>
  <si>
    <t>=E940</t>
  </si>
  <si>
    <t>=StartDate-$M942+1</t>
  </si>
  <si>
    <t>=SUM(P942:T942)</t>
  </si>
  <si>
    <t>=IF($M942&gt;=$P$18,U942,0)</t>
  </si>
  <si>
    <t>=IF(AND($M942&gt;=$Q$16,$M942&lt;=$Q$18),U942,0)</t>
  </si>
  <si>
    <t>=IF(AND($M942&gt;=$R$16,$M942&lt;=$R$18),U942,0)</t>
  </si>
  <si>
    <t>=IF(AND($M942&gt;=$S$16,$M942&lt;=$S$18),U942,0)</t>
  </si>
  <si>
    <t>=IF($M942&lt;=$T$18,U942,0)</t>
  </si>
  <si>
    <t>="""NAV Direct"",""CRONUS JetCorp USA"",""21"",""1"",""305729"""</t>
  </si>
  <si>
    <t>=E941</t>
  </si>
  <si>
    <t>=StartDate-$M943+1</t>
  </si>
  <si>
    <t>=SUM(P943:T943)</t>
  </si>
  <si>
    <t>=IF($M943&gt;=$P$18,U943,0)</t>
  </si>
  <si>
    <t>=IF(AND($M943&gt;=$Q$16,$M943&lt;=$Q$18),U943,0)</t>
  </si>
  <si>
    <t>=IF(AND($M943&gt;=$R$16,$M943&lt;=$R$18),U943,0)</t>
  </si>
  <si>
    <t>=IF(AND($M943&gt;=$S$16,$M943&lt;=$S$18),U943,0)</t>
  </si>
  <si>
    <t>=IF($M943&lt;=$T$18,U943,0)</t>
  </si>
  <si>
    <t>="""NAV Direct"",""CRONUS JetCorp USA"",""21"",""1"",""305785"""</t>
  </si>
  <si>
    <t>=E942</t>
  </si>
  <si>
    <t>=StartDate-$M944+1</t>
  </si>
  <si>
    <t>=SUM(P944:T944)</t>
  </si>
  <si>
    <t>=IF($M944&gt;=$P$18,U944,0)</t>
  </si>
  <si>
    <t>=IF(AND($M944&gt;=$Q$16,$M944&lt;=$Q$18),U944,0)</t>
  </si>
  <si>
    <t>=IF(AND($M944&gt;=$R$16,$M944&lt;=$R$18),U944,0)</t>
  </si>
  <si>
    <t>=IF(AND($M944&gt;=$S$16,$M944&lt;=$S$18),U944,0)</t>
  </si>
  <si>
    <t>=IF($M944&lt;=$T$18,U944,0)</t>
  </si>
  <si>
    <t>="""NAV Direct"",""CRONUS JetCorp USA"",""21"",""1"",""305802"""</t>
  </si>
  <si>
    <t>=E943</t>
  </si>
  <si>
    <t>=StartDate-$M945+1</t>
  </si>
  <si>
    <t>=SUM(P945:T945)</t>
  </si>
  <si>
    <t>=IF($M945&gt;=$P$18,U945,0)</t>
  </si>
  <si>
    <t>=IF(AND($M945&gt;=$Q$16,$M945&lt;=$Q$18),U945,0)</t>
  </si>
  <si>
    <t>=IF(AND($M945&gt;=$R$16,$M945&lt;=$R$18),U945,0)</t>
  </si>
  <si>
    <t>=IF(AND($M945&gt;=$S$16,$M945&lt;=$S$18),U945,0)</t>
  </si>
  <si>
    <t>=IF($M945&lt;=$T$18,U945,0)</t>
  </si>
  <si>
    <t>="""NAV Direct"",""CRONUS JetCorp USA"",""21"",""1"",""305935"""</t>
  </si>
  <si>
    <t>=E944</t>
  </si>
  <si>
    <t>=StartDate-$M946+1</t>
  </si>
  <si>
    <t>=SUM(P946:T946)</t>
  </si>
  <si>
    <t>=IF($M946&gt;=$P$18,U946,0)</t>
  </si>
  <si>
    <t>=IF(AND($M946&gt;=$Q$16,$M946&lt;=$Q$18),U946,0)</t>
  </si>
  <si>
    <t>=IF(AND($M946&gt;=$R$16,$M946&lt;=$R$18),U946,0)</t>
  </si>
  <si>
    <t>=IF(AND($M946&gt;=$S$16,$M946&lt;=$S$18),U946,0)</t>
  </si>
  <si>
    <t>=IF($M946&lt;=$T$18,U946,0)</t>
  </si>
  <si>
    <t>="""NAV Direct"",""CRONUS JetCorp USA"",""21"",""1"",""306043"""</t>
  </si>
  <si>
    <t>=E945</t>
  </si>
  <si>
    <t>=StartDate-$M947+1</t>
  </si>
  <si>
    <t>=SUM(P947:T947)</t>
  </si>
  <si>
    <t>=IF($M947&gt;=$P$18,U947,0)</t>
  </si>
  <si>
    <t>=IF(AND($M947&gt;=$Q$16,$M947&lt;=$Q$18),U947,0)</t>
  </si>
  <si>
    <t>=IF(AND($M947&gt;=$R$16,$M947&lt;=$R$18),U947,0)</t>
  </si>
  <si>
    <t>=IF(AND($M947&gt;=$S$16,$M947&lt;=$S$18),U947,0)</t>
  </si>
  <si>
    <t>=IF($M947&lt;=$T$18,U947,0)</t>
  </si>
  <si>
    <t>="""NAV Direct"",""CRONUS JetCorp USA"",""21"",""1"",""306285"""</t>
  </si>
  <si>
    <t>=E946</t>
  </si>
  <si>
    <t>=StartDate-$M948+1</t>
  </si>
  <si>
    <t>=SUM(P948:T948)</t>
  </si>
  <si>
    <t>=IF($M948&gt;=$P$18,U948,0)</t>
  </si>
  <si>
    <t>=IF(AND($M948&gt;=$Q$16,$M948&lt;=$Q$18),U948,0)</t>
  </si>
  <si>
    <t>=IF(AND($M948&gt;=$R$16,$M948&lt;=$R$18),U948,0)</t>
  </si>
  <si>
    <t>=IF(AND($M948&gt;=$S$16,$M948&lt;=$S$18),U948,0)</t>
  </si>
  <si>
    <t>=IF($M948&lt;=$T$18,U948,0)</t>
  </si>
  <si>
    <t>="""NAV Direct"",""CRONUS JetCorp USA"",""21"",""1"",""306412"""</t>
  </si>
  <si>
    <t>=E947</t>
  </si>
  <si>
    <t>=StartDate-$M949+1</t>
  </si>
  <si>
    <t>=SUM(P949:T949)</t>
  </si>
  <si>
    <t>=IF($M949&gt;=$P$18,U949,0)</t>
  </si>
  <si>
    <t>=IF(AND($M949&gt;=$Q$16,$M949&lt;=$Q$18),U949,0)</t>
  </si>
  <si>
    <t>=IF(AND($M949&gt;=$R$16,$M949&lt;=$R$18),U949,0)</t>
  </si>
  <si>
    <t>=IF(AND($M949&gt;=$S$16,$M949&lt;=$S$18),U949,0)</t>
  </si>
  <si>
    <t>=IF($M949&lt;=$T$18,U949,0)</t>
  </si>
  <si>
    <t>="""NAV Direct"",""CRONUS JetCorp USA"",""21"",""1"",""306695"""</t>
  </si>
  <si>
    <t>=E948</t>
  </si>
  <si>
    <t>=StartDate-$M950+1</t>
  </si>
  <si>
    <t>=SUM(P950:T950)</t>
  </si>
  <si>
    <t>=IF($M950&gt;=$P$18,U950,0)</t>
  </si>
  <si>
    <t>=IF(AND($M950&gt;=$Q$16,$M950&lt;=$Q$18),U950,0)</t>
  </si>
  <si>
    <t>=IF(AND($M950&gt;=$R$16,$M950&lt;=$R$18),U950,0)</t>
  </si>
  <si>
    <t>=IF(AND($M950&gt;=$S$16,$M950&lt;=$S$18),U950,0)</t>
  </si>
  <si>
    <t>=IF($M950&lt;=$T$18,U950,0)</t>
  </si>
  <si>
    <t>="""NAV Direct"",""CRONUS JetCorp USA"",""21"",""1"",""306820"""</t>
  </si>
  <si>
    <t>=E949</t>
  </si>
  <si>
    <t>=StartDate-$M951+1</t>
  </si>
  <si>
    <t>=SUM(P951:T951)</t>
  </si>
  <si>
    <t>=IF($M951&gt;=$P$18,U951,0)</t>
  </si>
  <si>
    <t>=IF(AND($M951&gt;=$Q$16,$M951&lt;=$Q$18),U951,0)</t>
  </si>
  <si>
    <t>=IF(AND($M951&gt;=$R$16,$M951&lt;=$R$18),U951,0)</t>
  </si>
  <si>
    <t>=IF(AND($M951&gt;=$S$16,$M951&lt;=$S$18),U951,0)</t>
  </si>
  <si>
    <t>=IF($M951&lt;=$T$18,U951,0)</t>
  </si>
  <si>
    <t>="""NAV Direct"",""CRONUS JetCorp USA"",""21"",""1"",""306930"""</t>
  </si>
  <si>
    <t>=E950</t>
  </si>
  <si>
    <t>=StartDate-$M952+1</t>
  </si>
  <si>
    <t>=SUM(P952:T952)</t>
  </si>
  <si>
    <t>=IF($M952&gt;=$P$18,U952,0)</t>
  </si>
  <si>
    <t>=IF(AND($M952&gt;=$Q$16,$M952&lt;=$Q$18),U952,0)</t>
  </si>
  <si>
    <t>=IF(AND($M952&gt;=$R$16,$M952&lt;=$R$18),U952,0)</t>
  </si>
  <si>
    <t>=IF(AND($M952&gt;=$S$16,$M952&lt;=$S$18),U952,0)</t>
  </si>
  <si>
    <t>=IF($M952&lt;=$T$18,U952,0)</t>
  </si>
  <si>
    <t>="""NAV Direct"",""CRONUS JetCorp USA"",""21"",""1"",""306982"""</t>
  </si>
  <si>
    <t>=E951</t>
  </si>
  <si>
    <t>=StartDate-$M953+1</t>
  </si>
  <si>
    <t>=SUM(P953:T953)</t>
  </si>
  <si>
    <t>=IF($M953&gt;=$P$18,U953,0)</t>
  </si>
  <si>
    <t>=IF(AND($M953&gt;=$Q$16,$M953&lt;=$Q$18),U953,0)</t>
  </si>
  <si>
    <t>=IF(AND($M953&gt;=$R$16,$M953&lt;=$R$18),U953,0)</t>
  </si>
  <si>
    <t>=IF(AND($M953&gt;=$S$16,$M953&lt;=$S$18),U953,0)</t>
  </si>
  <si>
    <t>=IF($M953&lt;=$T$18,U953,0)</t>
  </si>
  <si>
    <t>="""NAV Direct"",""CRONUS JetCorp USA"",""21"",""1"",""307560"""</t>
  </si>
  <si>
    <t>=E952</t>
  </si>
  <si>
    <t>=StartDate-$M954+1</t>
  </si>
  <si>
    <t>=SUM(P954:T954)</t>
  </si>
  <si>
    <t>=IF($M954&gt;=$P$18,U954,0)</t>
  </si>
  <si>
    <t>=IF(AND($M954&gt;=$Q$16,$M954&lt;=$Q$18),U954,0)</t>
  </si>
  <si>
    <t>=IF(AND($M954&gt;=$R$16,$M954&lt;=$R$18),U954,0)</t>
  </si>
  <si>
    <t>=IF(AND($M954&gt;=$S$16,$M954&lt;=$S$18),U954,0)</t>
  </si>
  <si>
    <t>=IF($M954&lt;=$T$18,U954,0)</t>
  </si>
  <si>
    <t>="""NAV Direct"",""CRONUS JetCorp USA"",""21"",""1"",""307666"""</t>
  </si>
  <si>
    <t>=E953</t>
  </si>
  <si>
    <t>=StartDate-$M955+1</t>
  </si>
  <si>
    <t>=SUM(P955:T955)</t>
  </si>
  <si>
    <t>=IF($M955&gt;=$P$18,U955,0)</t>
  </si>
  <si>
    <t>=IF(AND($M955&gt;=$Q$16,$M955&lt;=$Q$18),U955,0)</t>
  </si>
  <si>
    <t>=IF(AND($M955&gt;=$R$16,$M955&lt;=$R$18),U955,0)</t>
  </si>
  <si>
    <t>=IF(AND($M955&gt;=$S$16,$M955&lt;=$S$18),U955,0)</t>
  </si>
  <si>
    <t>=IF($M955&lt;=$T$18,U955,0)</t>
  </si>
  <si>
    <t>="""NAV Direct"",""CRONUS JetCorp USA"",""21"",""1"",""307724"""</t>
  </si>
  <si>
    <t>=E954</t>
  </si>
  <si>
    <t>=StartDate-$M956+1</t>
  </si>
  <si>
    <t>=SUM(P956:T956)</t>
  </si>
  <si>
    <t>=IF($M956&gt;=$P$18,U956,0)</t>
  </si>
  <si>
    <t>=IF(AND($M956&gt;=$Q$16,$M956&lt;=$Q$18),U956,0)</t>
  </si>
  <si>
    <t>=IF(AND($M956&gt;=$R$16,$M956&lt;=$R$18),U956,0)</t>
  </si>
  <si>
    <t>=IF(AND($M956&gt;=$S$16,$M956&lt;=$S$18),U956,0)</t>
  </si>
  <si>
    <t>=IF($M956&lt;=$T$18,U956,0)</t>
  </si>
  <si>
    <t>="""NAV Direct"",""CRONUS JetCorp USA"",""21"",""1"",""307776"""</t>
  </si>
  <si>
    <t>=E955</t>
  </si>
  <si>
    <t>=StartDate-$M957+1</t>
  </si>
  <si>
    <t>=SUM(P957:T957)</t>
  </si>
  <si>
    <t>=IF($M957&gt;=$P$18,U957,0)</t>
  </si>
  <si>
    <t>=IF(AND($M957&gt;=$Q$16,$M957&lt;=$Q$18),U957,0)</t>
  </si>
  <si>
    <t>=IF(AND($M957&gt;=$R$16,$M957&lt;=$R$18),U957,0)</t>
  </si>
  <si>
    <t>=IF(AND($M957&gt;=$S$16,$M957&lt;=$S$18),U957,0)</t>
  </si>
  <si>
    <t>=IF($M957&lt;=$T$18,U957,0)</t>
  </si>
  <si>
    <t>="""NAV Direct"",""CRONUS JetCorp USA"",""21"",""1"",""307797"""</t>
  </si>
  <si>
    <t>=E956</t>
  </si>
  <si>
    <t>=StartDate-$M958+1</t>
  </si>
  <si>
    <t>=SUM(P958:T958)</t>
  </si>
  <si>
    <t>=IF($M958&gt;=$P$18,U958,0)</t>
  </si>
  <si>
    <t>=IF(AND($M958&gt;=$Q$16,$M958&lt;=$Q$18),U958,0)</t>
  </si>
  <si>
    <t>=IF(AND($M958&gt;=$R$16,$M958&lt;=$R$18),U958,0)</t>
  </si>
  <si>
    <t>=IF(AND($M958&gt;=$S$16,$M958&lt;=$S$18),U958,0)</t>
  </si>
  <si>
    <t>=IF($M958&lt;=$T$18,U958,0)</t>
  </si>
  <si>
    <t>="""NAV Direct"",""CRONUS JetCorp USA"",""21"",""1"",""307980"""</t>
  </si>
  <si>
    <t>=E957</t>
  </si>
  <si>
    <t>=StartDate-$M959+1</t>
  </si>
  <si>
    <t>=SUM(P959:T959)</t>
  </si>
  <si>
    <t>=IF($M959&gt;=$P$18,U959,0)</t>
  </si>
  <si>
    <t>=IF(AND($M959&gt;=$Q$16,$M959&lt;=$Q$18),U959,0)</t>
  </si>
  <si>
    <t>=IF(AND($M959&gt;=$R$16,$M959&lt;=$R$18),U959,0)</t>
  </si>
  <si>
    <t>=IF(AND($M959&gt;=$S$16,$M959&lt;=$S$18),U959,0)</t>
  </si>
  <si>
    <t>=IF($M959&lt;=$T$18,U959,0)</t>
  </si>
  <si>
    <t>="""NAV Direct"",""CRONUS JetCorp USA"",""21"",""1"",""308047"""</t>
  </si>
  <si>
    <t>=E958</t>
  </si>
  <si>
    <t>=StartDate-$M960+1</t>
  </si>
  <si>
    <t>=SUM(P960:T960)</t>
  </si>
  <si>
    <t>=IF($M960&gt;=$P$18,U960,0)</t>
  </si>
  <si>
    <t>=IF(AND($M960&gt;=$Q$16,$M960&lt;=$Q$18),U960,0)</t>
  </si>
  <si>
    <t>=IF(AND($M960&gt;=$R$16,$M960&lt;=$R$18),U960,0)</t>
  </si>
  <si>
    <t>=IF(AND($M960&gt;=$S$16,$M960&lt;=$S$18),U960,0)</t>
  </si>
  <si>
    <t>=IF($M960&lt;=$T$18,U960,0)</t>
  </si>
  <si>
    <t>="""NAV Direct"",""CRONUS JetCorp USA"",""21"",""1"",""308068"""</t>
  </si>
  <si>
    <t>=E959</t>
  </si>
  <si>
    <t>=StartDate-$M961+1</t>
  </si>
  <si>
    <t>=SUM(P961:T961)</t>
  </si>
  <si>
    <t>=IF($M961&gt;=$P$18,U961,0)</t>
  </si>
  <si>
    <t>=IF(AND($M961&gt;=$Q$16,$M961&lt;=$Q$18),U961,0)</t>
  </si>
  <si>
    <t>=IF(AND($M961&gt;=$R$16,$M961&lt;=$R$18),U961,0)</t>
  </si>
  <si>
    <t>=IF(AND($M961&gt;=$S$16,$M961&lt;=$S$18),U961,0)</t>
  </si>
  <si>
    <t>=IF($M961&lt;=$T$18,U961,0)</t>
  </si>
  <si>
    <t>="""NAV Direct"",""CRONUS JetCorp USA"",""21"",""1"",""308089"""</t>
  </si>
  <si>
    <t>=E960</t>
  </si>
  <si>
    <t>=StartDate-$M962+1</t>
  </si>
  <si>
    <t>=SUM(P962:T962)</t>
  </si>
  <si>
    <t>=IF($M962&gt;=$P$18,U962,0)</t>
  </si>
  <si>
    <t>=IF(AND($M962&gt;=$Q$16,$M962&lt;=$Q$18),U962,0)</t>
  </si>
  <si>
    <t>=IF(AND($M962&gt;=$R$16,$M962&lt;=$R$18),U962,0)</t>
  </si>
  <si>
    <t>=IF(AND($M962&gt;=$S$16,$M962&lt;=$S$18),U962,0)</t>
  </si>
  <si>
    <t>=IF($M962&lt;=$T$18,U962,0)</t>
  </si>
  <si>
    <t>="""NAV Direct"",""CRONUS JetCorp USA"",""21"",""1"",""308141"""</t>
  </si>
  <si>
    <t>=E961</t>
  </si>
  <si>
    <t>=StartDate-$M963+1</t>
  </si>
  <si>
    <t>=SUM(P963:T963)</t>
  </si>
  <si>
    <t>=IF($M963&gt;=$P$18,U963,0)</t>
  </si>
  <si>
    <t>=IF(AND($M963&gt;=$Q$16,$M963&lt;=$Q$18),U963,0)</t>
  </si>
  <si>
    <t>=IF(AND($M963&gt;=$R$16,$M963&lt;=$R$18),U963,0)</t>
  </si>
  <si>
    <t>=IF(AND($M963&gt;=$S$16,$M963&lt;=$S$18),U963,0)</t>
  </si>
  <si>
    <t>=IF($M963&lt;=$T$18,U963,0)</t>
  </si>
  <si>
    <t>="""NAV Direct"",""CRONUS JetCorp USA"",""21"",""1"",""308255"""</t>
  </si>
  <si>
    <t>=E962</t>
  </si>
  <si>
    <t>=StartDate-$M964+1</t>
  </si>
  <si>
    <t>=SUM(P964:T964)</t>
  </si>
  <si>
    <t>=IF($M964&gt;=$P$18,U964,0)</t>
  </si>
  <si>
    <t>=IF(AND($M964&gt;=$Q$16,$M964&lt;=$Q$18),U964,0)</t>
  </si>
  <si>
    <t>=IF(AND($M964&gt;=$R$16,$M964&lt;=$R$18),U964,0)</t>
  </si>
  <si>
    <t>=IF(AND($M964&gt;=$S$16,$M964&lt;=$S$18),U964,0)</t>
  </si>
  <si>
    <t>=IF($M964&lt;=$T$18,U964,0)</t>
  </si>
  <si>
    <t>="""NAV Direct"",""CRONUS JetCorp USA"",""21"",""1"",""308376"""</t>
  </si>
  <si>
    <t>=E963</t>
  </si>
  <si>
    <t>=StartDate-$M965+1</t>
  </si>
  <si>
    <t>=SUM(P965:T965)</t>
  </si>
  <si>
    <t>=IF($M965&gt;=$P$18,U965,0)</t>
  </si>
  <si>
    <t>=IF(AND($M965&gt;=$Q$16,$M965&lt;=$Q$18),U965,0)</t>
  </si>
  <si>
    <t>=IF(AND($M965&gt;=$R$16,$M965&lt;=$R$18),U965,0)</t>
  </si>
  <si>
    <t>=IF(AND($M965&gt;=$S$16,$M965&lt;=$S$18),U965,0)</t>
  </si>
  <si>
    <t>=IF($M965&lt;=$T$18,U965,0)</t>
  </si>
  <si>
    <t>="""NAV Direct"",""CRONUS JetCorp USA"",""21"",""1"",""308538"""</t>
  </si>
  <si>
    <t>=E964</t>
  </si>
  <si>
    <t>=StartDate-$M966+1</t>
  </si>
  <si>
    <t>=SUM(P966:T966)</t>
  </si>
  <si>
    <t>=IF($M966&gt;=$P$18,U966,0)</t>
  </si>
  <si>
    <t>=IF(AND($M966&gt;=$Q$16,$M966&lt;=$Q$18),U966,0)</t>
  </si>
  <si>
    <t>=IF(AND($M966&gt;=$R$16,$M966&lt;=$R$18),U966,0)</t>
  </si>
  <si>
    <t>=IF(AND($M966&gt;=$S$16,$M966&lt;=$S$18),U966,0)</t>
  </si>
  <si>
    <t>=IF($M966&lt;=$T$18,U966,0)</t>
  </si>
  <si>
    <t>="""NAV Direct"",""CRONUS JetCorp USA"",""21"",""1"",""308565"""</t>
  </si>
  <si>
    <t>=E965</t>
  </si>
  <si>
    <t>=StartDate-$M967+1</t>
  </si>
  <si>
    <t>=SUM(P967:T967)</t>
  </si>
  <si>
    <t>=IF($M967&gt;=$P$18,U967,0)</t>
  </si>
  <si>
    <t>=IF(AND($M967&gt;=$Q$16,$M967&lt;=$Q$18),U967,0)</t>
  </si>
  <si>
    <t>=IF(AND($M967&gt;=$R$16,$M967&lt;=$R$18),U967,0)</t>
  </si>
  <si>
    <t>=IF(AND($M967&gt;=$S$16,$M967&lt;=$S$18),U967,0)</t>
  </si>
  <si>
    <t>=IF($M967&lt;=$T$18,U967,0)</t>
  </si>
  <si>
    <t>="""NAV Direct"",""CRONUS JetCorp USA"",""21"",""1"",""308613"""</t>
  </si>
  <si>
    <t>=E966</t>
  </si>
  <si>
    <t>=StartDate-$M968+1</t>
  </si>
  <si>
    <t>=SUM(P968:T968)</t>
  </si>
  <si>
    <t>=IF($M968&gt;=$P$18,U968,0)</t>
  </si>
  <si>
    <t>=IF(AND($M968&gt;=$Q$16,$M968&lt;=$Q$18),U968,0)</t>
  </si>
  <si>
    <t>=IF(AND($M968&gt;=$R$16,$M968&lt;=$R$18),U968,0)</t>
  </si>
  <si>
    <t>=IF(AND($M968&gt;=$S$16,$M968&lt;=$S$18),U968,0)</t>
  </si>
  <si>
    <t>=IF($M968&lt;=$T$18,U968,0)</t>
  </si>
  <si>
    <t>="""NAV Direct"",""CRONUS JetCorp USA"",""21"",""1"",""308779"""</t>
  </si>
  <si>
    <t>=E967</t>
  </si>
  <si>
    <t>=StartDate-$M969+1</t>
  </si>
  <si>
    <t>=SUM(P969:T969)</t>
  </si>
  <si>
    <t>=IF($M969&gt;=$P$18,U969,0)</t>
  </si>
  <si>
    <t>=IF(AND($M969&gt;=$Q$16,$M969&lt;=$Q$18),U969,0)</t>
  </si>
  <si>
    <t>=IF(AND($M969&gt;=$R$16,$M969&lt;=$R$18),U969,0)</t>
  </si>
  <si>
    <t>=IF(AND($M969&gt;=$S$16,$M969&lt;=$S$18),U969,0)</t>
  </si>
  <si>
    <t>=IF($M969&lt;=$T$18,U969,0)</t>
  </si>
  <si>
    <t>="""NAV Direct"",""CRONUS JetCorp USA"",""21"",""1"",""308864"""</t>
  </si>
  <si>
    <t>=E968</t>
  </si>
  <si>
    <t>=StartDate-$M970+1</t>
  </si>
  <si>
    <t>=SUM(P970:T970)</t>
  </si>
  <si>
    <t>=IF($M970&gt;=$P$18,U970,0)</t>
  </si>
  <si>
    <t>=IF(AND($M970&gt;=$Q$16,$M970&lt;=$Q$18),U970,0)</t>
  </si>
  <si>
    <t>=IF(AND($M970&gt;=$R$16,$M970&lt;=$R$18),U970,0)</t>
  </si>
  <si>
    <t>=IF(AND($M970&gt;=$S$16,$M970&lt;=$S$18),U970,0)</t>
  </si>
  <si>
    <t>=IF($M970&lt;=$T$18,U970,0)</t>
  </si>
  <si>
    <t>="""NAV Direct"",""CRONUS JetCorp USA"",""21"",""1"",""309072"""</t>
  </si>
  <si>
    <t>=E969</t>
  </si>
  <si>
    <t>=StartDate-$M971+1</t>
  </si>
  <si>
    <t>=SUM(P971:T971)</t>
  </si>
  <si>
    <t>=IF($M971&gt;=$P$18,U971,0)</t>
  </si>
  <si>
    <t>=IF(AND($M971&gt;=$Q$16,$M971&lt;=$Q$18),U971,0)</t>
  </si>
  <si>
    <t>=IF(AND($M971&gt;=$R$16,$M971&lt;=$R$18),U971,0)</t>
  </si>
  <si>
    <t>=IF(AND($M971&gt;=$S$16,$M971&lt;=$S$18),U971,0)</t>
  </si>
  <si>
    <t>=IF($M971&lt;=$T$18,U971,0)</t>
  </si>
  <si>
    <t>="""NAV Direct"",""CRONUS JetCorp USA"",""21"",""1"",""309099"""</t>
  </si>
  <si>
    <t>=E970</t>
  </si>
  <si>
    <t>=StartDate-$M972+1</t>
  </si>
  <si>
    <t>=SUM(P972:T972)</t>
  </si>
  <si>
    <t>=IF($M972&gt;=$P$18,U972,0)</t>
  </si>
  <si>
    <t>=IF(AND($M972&gt;=$Q$16,$M972&lt;=$Q$18),U972,0)</t>
  </si>
  <si>
    <t>=IF(AND($M972&gt;=$R$16,$M972&lt;=$R$18),U972,0)</t>
  </si>
  <si>
    <t>=IF(AND($M972&gt;=$S$16,$M972&lt;=$S$18),U972,0)</t>
  </si>
  <si>
    <t>=IF($M972&lt;=$T$18,U972,0)</t>
  </si>
  <si>
    <t>="""NAV Direct"",""CRONUS JetCorp USA"",""21"",""1"",""309211"""</t>
  </si>
  <si>
    <t>=E971</t>
  </si>
  <si>
    <t>=StartDate-$M973+1</t>
  </si>
  <si>
    <t>=SUM(P973:T973)</t>
  </si>
  <si>
    <t>=IF($M973&gt;=$P$18,U973,0)</t>
  </si>
  <si>
    <t>=IF(AND($M973&gt;=$Q$16,$M973&lt;=$Q$18),U973,0)</t>
  </si>
  <si>
    <t>=IF(AND($M973&gt;=$R$16,$M973&lt;=$R$18),U973,0)</t>
  </si>
  <si>
    <t>=IF(AND($M973&gt;=$S$16,$M973&lt;=$S$18),U973,0)</t>
  </si>
  <si>
    <t>=IF($M973&lt;=$T$18,U973,0)</t>
  </si>
  <si>
    <t>="""NAV Direct"",""CRONUS JetCorp USA"",""21"",""1"",""309284"""</t>
  </si>
  <si>
    <t>=E972</t>
  </si>
  <si>
    <t>=StartDate-$M974+1</t>
  </si>
  <si>
    <t>=SUM(P974:T974)</t>
  </si>
  <si>
    <t>=IF($M974&gt;=$P$18,U974,0)</t>
  </si>
  <si>
    <t>=IF(AND($M974&gt;=$Q$16,$M974&lt;=$Q$18),U974,0)</t>
  </si>
  <si>
    <t>=IF(AND($M974&gt;=$R$16,$M974&lt;=$R$18),U974,0)</t>
  </si>
  <si>
    <t>=IF(AND($M974&gt;=$S$16,$M974&lt;=$S$18),U974,0)</t>
  </si>
  <si>
    <t>=IF($M974&lt;=$T$18,U974,0)</t>
  </si>
  <si>
    <t>="""NAV Direct"",""CRONUS JetCorp USA"",""21"",""1"",""309419"""</t>
  </si>
  <si>
    <t>=E973</t>
  </si>
  <si>
    <t>=StartDate-$M975+1</t>
  </si>
  <si>
    <t>=SUM(P975:T975)</t>
  </si>
  <si>
    <t>=IF($M975&gt;=$P$18,U975,0)</t>
  </si>
  <si>
    <t>=IF(AND($M975&gt;=$Q$16,$M975&lt;=$Q$18),U975,0)</t>
  </si>
  <si>
    <t>=IF(AND($M975&gt;=$R$16,$M975&lt;=$R$18),U975,0)</t>
  </si>
  <si>
    <t>=IF(AND($M975&gt;=$S$16,$M975&lt;=$S$18),U975,0)</t>
  </si>
  <si>
    <t>=IF($M975&lt;=$T$18,U975,0)</t>
  </si>
  <si>
    <t>="""NAV Direct"",""CRONUS JetCorp USA"",""21"",""1"",""309502"""</t>
  </si>
  <si>
    <t>=E974</t>
  </si>
  <si>
    <t>=StartDate-$M976+1</t>
  </si>
  <si>
    <t>=SUM(P976:T976)</t>
  </si>
  <si>
    <t>=IF($M976&gt;=$P$18,U976,0)</t>
  </si>
  <si>
    <t>=IF(AND($M976&gt;=$Q$16,$M976&lt;=$Q$18),U976,0)</t>
  </si>
  <si>
    <t>=IF(AND($M976&gt;=$R$16,$M976&lt;=$R$18),U976,0)</t>
  </si>
  <si>
    <t>=IF(AND($M976&gt;=$S$16,$M976&lt;=$S$18),U976,0)</t>
  </si>
  <si>
    <t>=IF($M976&lt;=$T$18,U976,0)</t>
  </si>
  <si>
    <t>="""NAV Direct"",""CRONUS JetCorp USA"",""21"",""1"",""309922"""</t>
  </si>
  <si>
    <t>=E975</t>
  </si>
  <si>
    <t>=StartDate-$M977+1</t>
  </si>
  <si>
    <t>=SUM(P977:T977)</t>
  </si>
  <si>
    <t>=IF($M977&gt;=$P$18,U977,0)</t>
  </si>
  <si>
    <t>=IF(AND($M977&gt;=$Q$16,$M977&lt;=$Q$18),U977,0)</t>
  </si>
  <si>
    <t>=IF(AND($M977&gt;=$R$16,$M977&lt;=$R$18),U977,0)</t>
  </si>
  <si>
    <t>=IF(AND($M977&gt;=$S$16,$M977&lt;=$S$18),U977,0)</t>
  </si>
  <si>
    <t>=IF($M977&lt;=$T$18,U977,0)</t>
  </si>
  <si>
    <t>="""NAV Direct"",""CRONUS JetCorp USA"",""21"",""1"",""309991"""</t>
  </si>
  <si>
    <t>=E976</t>
  </si>
  <si>
    <t>=StartDate-$M978+1</t>
  </si>
  <si>
    <t>=SUM(P978:T978)</t>
  </si>
  <si>
    <t>=IF($M978&gt;=$P$18,U978,0)</t>
  </si>
  <si>
    <t>=IF(AND($M978&gt;=$Q$16,$M978&lt;=$Q$18),U978,0)</t>
  </si>
  <si>
    <t>=IF(AND($M978&gt;=$R$16,$M978&lt;=$R$18),U978,0)</t>
  </si>
  <si>
    <t>=IF(AND($M978&gt;=$S$16,$M978&lt;=$S$18),U978,0)</t>
  </si>
  <si>
    <t>=IF($M978&lt;=$T$18,U978,0)</t>
  </si>
  <si>
    <t>="""NAV Direct"",""CRONUS JetCorp USA"",""21"",""1"",""310016"""</t>
  </si>
  <si>
    <t>=E977</t>
  </si>
  <si>
    <t>=StartDate-$M979+1</t>
  </si>
  <si>
    <t>=SUM(P979:T979)</t>
  </si>
  <si>
    <t>=IF($M979&gt;=$P$18,U979,0)</t>
  </si>
  <si>
    <t>=IF(AND($M979&gt;=$Q$16,$M979&lt;=$Q$18),U979,0)</t>
  </si>
  <si>
    <t>=IF(AND($M979&gt;=$R$16,$M979&lt;=$R$18),U979,0)</t>
  </si>
  <si>
    <t>=IF(AND($M979&gt;=$S$16,$M979&lt;=$S$18),U979,0)</t>
  </si>
  <si>
    <t>=IF($M979&lt;=$T$18,U979,0)</t>
  </si>
  <si>
    <t>="""NAV Direct"",""CRONUS JetCorp USA"",""21"",""1"",""310043"""</t>
  </si>
  <si>
    <t>=E978</t>
  </si>
  <si>
    <t>=StartDate-$M980+1</t>
  </si>
  <si>
    <t>=SUM(P980:T980)</t>
  </si>
  <si>
    <t>=IF($M980&gt;=$P$18,U980,0)</t>
  </si>
  <si>
    <t>=IF(AND($M980&gt;=$Q$16,$M980&lt;=$Q$18),U980,0)</t>
  </si>
  <si>
    <t>=IF(AND($M980&gt;=$R$16,$M980&lt;=$R$18),U980,0)</t>
  </si>
  <si>
    <t>=IF(AND($M980&gt;=$S$16,$M980&lt;=$S$18),U980,0)</t>
  </si>
  <si>
    <t>=IF($M980&lt;=$T$18,U980,0)</t>
  </si>
  <si>
    <t>="""NAV Direct"",""CRONUS JetCorp USA"",""21"",""1"",""310311"""</t>
  </si>
  <si>
    <t>=E979</t>
  </si>
  <si>
    <t>=StartDate-$M981+1</t>
  </si>
  <si>
    <t>=SUM(P981:T981)</t>
  </si>
  <si>
    <t>=IF($M981&gt;=$P$18,U981,0)</t>
  </si>
  <si>
    <t>=IF(AND($M981&gt;=$Q$16,$M981&lt;=$Q$18),U981,0)</t>
  </si>
  <si>
    <t>=IF(AND($M981&gt;=$R$16,$M981&lt;=$R$18),U981,0)</t>
  </si>
  <si>
    <t>=IF(AND($M981&gt;=$S$16,$M981&lt;=$S$18),U981,0)</t>
  </si>
  <si>
    <t>=IF($M981&lt;=$T$18,U981,0)</t>
  </si>
  <si>
    <t>="""NAV Direct"",""CRONUS JetCorp USA"",""21"",""1"",""310355"""</t>
  </si>
  <si>
    <t>=E980</t>
  </si>
  <si>
    <t>=StartDate-$M982+1</t>
  </si>
  <si>
    <t>=SUM(P982:T982)</t>
  </si>
  <si>
    <t>=IF($M982&gt;=$P$18,U982,0)</t>
  </si>
  <si>
    <t>=IF(AND($M982&gt;=$Q$16,$M982&lt;=$Q$18),U982,0)</t>
  </si>
  <si>
    <t>=IF(AND($M982&gt;=$R$16,$M982&lt;=$R$18),U982,0)</t>
  </si>
  <si>
    <t>=IF(AND($M982&gt;=$S$16,$M982&lt;=$S$18),U982,0)</t>
  </si>
  <si>
    <t>=IF($M982&lt;=$T$18,U982,0)</t>
  </si>
  <si>
    <t>="""NAV Direct"",""CRONUS JetCorp USA"",""21"",""1"",""310407"""</t>
  </si>
  <si>
    <t>=E981</t>
  </si>
  <si>
    <t>=StartDate-$M983+1</t>
  </si>
  <si>
    <t>=SUM(P983:T983)</t>
  </si>
  <si>
    <t>=IF($M983&gt;=$P$18,U983,0)</t>
  </si>
  <si>
    <t>=IF(AND($M983&gt;=$Q$16,$M983&lt;=$Q$18),U983,0)</t>
  </si>
  <si>
    <t>=IF(AND($M983&gt;=$R$16,$M983&lt;=$R$18),U983,0)</t>
  </si>
  <si>
    <t>=IF(AND($M983&gt;=$S$16,$M983&lt;=$S$18),U983,0)</t>
  </si>
  <si>
    <t>=IF($M983&lt;=$T$18,U983,0)</t>
  </si>
  <si>
    <t>="""NAV Direct"",""CRONUS JetCorp USA"",""21"",""1"",""310490"""</t>
  </si>
  <si>
    <t>=E982</t>
  </si>
  <si>
    <t>=StartDate-$M984+1</t>
  </si>
  <si>
    <t>=SUM(P984:T984)</t>
  </si>
  <si>
    <t>=IF($M984&gt;=$P$18,U984,0)</t>
  </si>
  <si>
    <t>=IF(AND($M984&gt;=$Q$16,$M984&lt;=$Q$18),U984,0)</t>
  </si>
  <si>
    <t>=IF(AND($M984&gt;=$R$16,$M984&lt;=$R$18),U984,0)</t>
  </si>
  <si>
    <t>=IF(AND($M984&gt;=$S$16,$M984&lt;=$S$18),U984,0)</t>
  </si>
  <si>
    <t>=IF($M984&lt;=$T$18,U984,0)</t>
  </si>
  <si>
    <t>="""NAV Direct"",""CRONUS JetCorp USA"",""21"",""1"",""310521"""</t>
  </si>
  <si>
    <t>=E983</t>
  </si>
  <si>
    <t>=StartDate-$M985+1</t>
  </si>
  <si>
    <t>=SUM(P985:T985)</t>
  </si>
  <si>
    <t>=IF($M985&gt;=$P$18,U985,0)</t>
  </si>
  <si>
    <t>=IF(AND($M985&gt;=$Q$16,$M985&lt;=$Q$18),U985,0)</t>
  </si>
  <si>
    <t>=IF(AND($M985&gt;=$R$16,$M985&lt;=$R$18),U985,0)</t>
  </si>
  <si>
    <t>=IF(AND($M985&gt;=$S$16,$M985&lt;=$S$18),U985,0)</t>
  </si>
  <si>
    <t>=IF($M985&lt;=$T$18,U985,0)</t>
  </si>
  <si>
    <t>="""NAV Direct"",""CRONUS JetCorp USA"",""21"",""1"",""310598"""</t>
  </si>
  <si>
    <t>=E984</t>
  </si>
  <si>
    <t>=StartDate-$M986+1</t>
  </si>
  <si>
    <t>=SUM(P986:T986)</t>
  </si>
  <si>
    <t>=IF($M986&gt;=$P$18,U986,0)</t>
  </si>
  <si>
    <t>=IF(AND($M986&gt;=$Q$16,$M986&lt;=$Q$18),U986,0)</t>
  </si>
  <si>
    <t>=IF(AND($M986&gt;=$R$16,$M986&lt;=$R$18),U986,0)</t>
  </si>
  <si>
    <t>=IF(AND($M986&gt;=$S$16,$M986&lt;=$S$18),U986,0)</t>
  </si>
  <si>
    <t>=IF($M986&lt;=$T$18,U986,0)</t>
  </si>
  <si>
    <t>="""NAV Direct"",""CRONUS JetCorp USA"",""21"",""1"",""310710"""</t>
  </si>
  <si>
    <t>=E985</t>
  </si>
  <si>
    <t>=StartDate-$M987+1</t>
  </si>
  <si>
    <t>=SUM(P987:T987)</t>
  </si>
  <si>
    <t>=IF($M987&gt;=$P$18,U987,0)</t>
  </si>
  <si>
    <t>=IF(AND($M987&gt;=$Q$16,$M987&lt;=$Q$18),U987,0)</t>
  </si>
  <si>
    <t>=IF(AND($M987&gt;=$R$16,$M987&lt;=$R$18),U987,0)</t>
  </si>
  <si>
    <t>=IF(AND($M987&gt;=$S$16,$M987&lt;=$S$18),U987,0)</t>
  </si>
  <si>
    <t>=IF($M987&lt;=$T$18,U987,0)</t>
  </si>
  <si>
    <t>="""NAV Direct"",""CRONUS JetCorp USA"",""21"",""1"",""310764"""</t>
  </si>
  <si>
    <t>=E986</t>
  </si>
  <si>
    <t>=StartDate-$M988+1</t>
  </si>
  <si>
    <t>=SUM(P988:T988)</t>
  </si>
  <si>
    <t>=IF($M988&gt;=$P$18,U988,0)</t>
  </si>
  <si>
    <t>=IF(AND($M988&gt;=$Q$16,$M988&lt;=$Q$18),U988,0)</t>
  </si>
  <si>
    <t>=IF(AND($M988&gt;=$R$16,$M988&lt;=$R$18),U988,0)</t>
  </si>
  <si>
    <t>=IF(AND($M988&gt;=$S$16,$M988&lt;=$S$18),U988,0)</t>
  </si>
  <si>
    <t>=IF($M988&lt;=$T$18,U988,0)</t>
  </si>
  <si>
    <t>="""NAV Direct"",""CRONUS JetCorp USA"",""21"",""1"",""310791"""</t>
  </si>
  <si>
    <t>=E987</t>
  </si>
  <si>
    <t>=StartDate-$M989+1</t>
  </si>
  <si>
    <t>=SUM(P989:T989)</t>
  </si>
  <si>
    <t>=IF($M989&gt;=$P$18,U989,0)</t>
  </si>
  <si>
    <t>=IF(AND($M989&gt;=$Q$16,$M989&lt;=$Q$18),U989,0)</t>
  </si>
  <si>
    <t>=IF(AND($M989&gt;=$R$16,$M989&lt;=$R$18),U989,0)</t>
  </si>
  <si>
    <t>=IF(AND($M989&gt;=$S$16,$M989&lt;=$S$18),U989,0)</t>
  </si>
  <si>
    <t>=IF($M989&lt;=$T$18,U989,0)</t>
  </si>
  <si>
    <t>="""NAV Direct"",""CRONUS JetCorp USA"",""21"",""1"",""310822"""</t>
  </si>
  <si>
    <t>=E988</t>
  </si>
  <si>
    <t>=StartDate-$M990+1</t>
  </si>
  <si>
    <t>=SUM(P990:T990)</t>
  </si>
  <si>
    <t>=IF($M990&gt;=$P$18,U990,0)</t>
  </si>
  <si>
    <t>=IF(AND($M990&gt;=$Q$16,$M990&lt;=$Q$18),U990,0)</t>
  </si>
  <si>
    <t>=IF(AND($M990&gt;=$R$16,$M990&lt;=$R$18),U990,0)</t>
  </si>
  <si>
    <t>=IF(AND($M990&gt;=$S$16,$M990&lt;=$S$18),U990,0)</t>
  </si>
  <si>
    <t>=IF($M990&lt;=$T$18,U990,0)</t>
  </si>
  <si>
    <t>="""NAV Direct"",""CRONUS JetCorp USA"",""21"",""1"",""311017"""</t>
  </si>
  <si>
    <t>=E989</t>
  </si>
  <si>
    <t>=StartDate-$M991+1</t>
  </si>
  <si>
    <t>=SUM(P991:T991)</t>
  </si>
  <si>
    <t>=IF($M991&gt;=$P$18,U991,0)</t>
  </si>
  <si>
    <t>=IF(AND($M991&gt;=$Q$16,$M991&lt;=$Q$18),U991,0)</t>
  </si>
  <si>
    <t>=IF(AND($M991&gt;=$R$16,$M991&lt;=$R$18),U991,0)</t>
  </si>
  <si>
    <t>=IF(AND($M991&gt;=$S$16,$M991&lt;=$S$18),U991,0)</t>
  </si>
  <si>
    <t>=IF($M991&lt;=$T$18,U991,0)</t>
  </si>
  <si>
    <t>="""NAV Direct"",""CRONUS JetCorp USA"",""21"",""1"",""311538"""</t>
  </si>
  <si>
    <t>=E990</t>
  </si>
  <si>
    <t>=StartDate-$M992+1</t>
  </si>
  <si>
    <t>=SUM(P992:T992)</t>
  </si>
  <si>
    <t>=IF($M992&gt;=$P$18,U992,0)</t>
  </si>
  <si>
    <t>=IF(AND($M992&gt;=$Q$16,$M992&lt;=$Q$18),U992,0)</t>
  </si>
  <si>
    <t>=IF(AND($M992&gt;=$R$16,$M992&lt;=$R$18),U992,0)</t>
  </si>
  <si>
    <t>=IF(AND($M992&gt;=$S$16,$M992&lt;=$S$18),U992,0)</t>
  </si>
  <si>
    <t>=IF($M992&lt;=$T$18,U992,0)</t>
  </si>
  <si>
    <t>="""NAV Direct"",""CRONUS JetCorp USA"",""21"",""1"",""311658"""</t>
  </si>
  <si>
    <t>=E991</t>
  </si>
  <si>
    <t>=StartDate-$M993+1</t>
  </si>
  <si>
    <t>=SUM(P993:T993)</t>
  </si>
  <si>
    <t>=IF($M993&gt;=$P$18,U993,0)</t>
  </si>
  <si>
    <t>=IF(AND($M993&gt;=$Q$16,$M993&lt;=$Q$18),U993,0)</t>
  </si>
  <si>
    <t>=IF(AND($M993&gt;=$R$16,$M993&lt;=$R$18),U993,0)</t>
  </si>
  <si>
    <t>=IF(AND($M993&gt;=$S$16,$M993&lt;=$S$18),U993,0)</t>
  </si>
  <si>
    <t>=IF($M993&lt;=$T$18,U993,0)</t>
  </si>
  <si>
    <t>="""NAV Direct"",""CRONUS JetCorp USA"",""21"",""1"",""311801"""</t>
  </si>
  <si>
    <t>=E992</t>
  </si>
  <si>
    <t>=StartDate-$M994+1</t>
  </si>
  <si>
    <t>=SUM(P994:T994)</t>
  </si>
  <si>
    <t>=IF($M994&gt;=$P$18,U994,0)</t>
  </si>
  <si>
    <t>=IF(AND($M994&gt;=$Q$16,$M994&lt;=$Q$18),U994,0)</t>
  </si>
  <si>
    <t>=IF(AND($M994&gt;=$R$16,$M994&lt;=$R$18),U994,0)</t>
  </si>
  <si>
    <t>=IF(AND($M994&gt;=$S$16,$M994&lt;=$S$18),U994,0)</t>
  </si>
  <si>
    <t>=IF($M994&lt;=$T$18,U994,0)</t>
  </si>
  <si>
    <t>="""NAV Direct"",""CRONUS JetCorp USA"",""21"",""1"",""311928"""</t>
  </si>
  <si>
    <t>=E993</t>
  </si>
  <si>
    <t>=StartDate-$M995+1</t>
  </si>
  <si>
    <t>=SUM(P995:T995)</t>
  </si>
  <si>
    <t>=IF($M995&gt;=$P$18,U995,0)</t>
  </si>
  <si>
    <t>=IF(AND($M995&gt;=$Q$16,$M995&lt;=$Q$18),U995,0)</t>
  </si>
  <si>
    <t>=IF(AND($M995&gt;=$R$16,$M995&lt;=$R$18),U995,0)</t>
  </si>
  <si>
    <t>=IF(AND($M995&gt;=$S$16,$M995&lt;=$S$18),U995,0)</t>
  </si>
  <si>
    <t>=IF($M995&lt;=$T$18,U995,0)</t>
  </si>
  <si>
    <t>="""NAV Direct"",""CRONUS JetCorp USA"",""21"",""1"",""311974"""</t>
  </si>
  <si>
    <t>=E994</t>
  </si>
  <si>
    <t>=StartDate-$M996+1</t>
  </si>
  <si>
    <t>=SUM(P996:T996)</t>
  </si>
  <si>
    <t>=IF($M996&gt;=$P$18,U996,0)</t>
  </si>
  <si>
    <t>=IF(AND($M996&gt;=$Q$16,$M996&lt;=$Q$18),U996,0)</t>
  </si>
  <si>
    <t>=IF(AND($M996&gt;=$R$16,$M996&lt;=$R$18),U996,0)</t>
  </si>
  <si>
    <t>=IF(AND($M996&gt;=$S$16,$M996&lt;=$S$18),U996,0)</t>
  </si>
  <si>
    <t>=IF($M996&lt;=$T$18,U996,0)</t>
  </si>
  <si>
    <t>="""NAV Direct"",""CRONUS JetCorp USA"",""21"",""1"",""312032"""</t>
  </si>
  <si>
    <t>=E995</t>
  </si>
  <si>
    <t>=StartDate-$M997+1</t>
  </si>
  <si>
    <t>=SUM(P997:T997)</t>
  </si>
  <si>
    <t>=IF($M997&gt;=$P$18,U997,0)</t>
  </si>
  <si>
    <t>=IF(AND($M997&gt;=$Q$16,$M997&lt;=$Q$18),U997,0)</t>
  </si>
  <si>
    <t>=IF(AND($M997&gt;=$R$16,$M997&lt;=$R$18),U997,0)</t>
  </si>
  <si>
    <t>=IF(AND($M997&gt;=$S$16,$M997&lt;=$S$18),U997,0)</t>
  </si>
  <si>
    <t>=IF($M997&lt;=$T$18,U997,0)</t>
  </si>
  <si>
    <t>="""NAV Direct"",""CRONUS JetCorp USA"",""21"",""1"",""312078"""</t>
  </si>
  <si>
    <t>=E996</t>
  </si>
  <si>
    <t>=StartDate-$M998+1</t>
  </si>
  <si>
    <t>=SUM(P998:T998)</t>
  </si>
  <si>
    <t>=IF($M998&gt;=$P$18,U998,0)</t>
  </si>
  <si>
    <t>=IF(AND($M998&gt;=$Q$16,$M998&lt;=$Q$18),U998,0)</t>
  </si>
  <si>
    <t>=IF(AND($M998&gt;=$R$16,$M998&lt;=$R$18),U998,0)</t>
  </si>
  <si>
    <t>=IF(AND($M998&gt;=$S$16,$M998&lt;=$S$18),U998,0)</t>
  </si>
  <si>
    <t>=IF($M998&lt;=$T$18,U998,0)</t>
  </si>
  <si>
    <t>="""NAV Direct"",""CRONUS JetCorp USA"",""21"",""1"",""312240"""</t>
  </si>
  <si>
    <t>=E997</t>
  </si>
  <si>
    <t>=StartDate-$M999+1</t>
  </si>
  <si>
    <t>=SUM(P999:T999)</t>
  </si>
  <si>
    <t>=IF($M999&gt;=$P$18,U999,0)</t>
  </si>
  <si>
    <t>=IF(AND($M999&gt;=$Q$16,$M999&lt;=$Q$18),U999,0)</t>
  </si>
  <si>
    <t>=IF(AND($M999&gt;=$R$16,$M999&lt;=$R$18),U999,0)</t>
  </si>
  <si>
    <t>=IF(AND($M999&gt;=$S$16,$M999&lt;=$S$18),U999,0)</t>
  </si>
  <si>
    <t>=IF($M999&lt;=$T$18,U999,0)</t>
  </si>
  <si>
    <t>="""NAV Direct"",""CRONUS JetCorp USA"",""21"",""1"",""312302"""</t>
  </si>
  <si>
    <t>=E998</t>
  </si>
  <si>
    <t>=StartDate-$M1000+1</t>
  </si>
  <si>
    <t>=SUM(P1000:T1000)</t>
  </si>
  <si>
    <t>=IF($M1000&gt;=$P$18,U1000,0)</t>
  </si>
  <si>
    <t>=IF(AND($M1000&gt;=$Q$16,$M1000&lt;=$Q$18),U1000,0)</t>
  </si>
  <si>
    <t>=IF(AND($M1000&gt;=$R$16,$M1000&lt;=$R$18),U1000,0)</t>
  </si>
  <si>
    <t>=IF(AND($M1000&gt;=$S$16,$M1000&lt;=$S$18),U1000,0)</t>
  </si>
  <si>
    <t>=IF($M1000&lt;=$T$18,U1000,0)</t>
  </si>
  <si>
    <t>="""NAV Direct"",""CRONUS JetCorp USA"",""21"",""1"",""312370"""</t>
  </si>
  <si>
    <t>=E999</t>
  </si>
  <si>
    <t>=StartDate-$M1001+1</t>
  </si>
  <si>
    <t>=SUM(P1001:T1001)</t>
  </si>
  <si>
    <t>=IF($M1001&gt;=$P$18,U1001,0)</t>
  </si>
  <si>
    <t>=IF(AND($M1001&gt;=$Q$16,$M1001&lt;=$Q$18),U1001,0)</t>
  </si>
  <si>
    <t>=IF(AND($M1001&gt;=$R$16,$M1001&lt;=$R$18),U1001,0)</t>
  </si>
  <si>
    <t>=IF(AND($M1001&gt;=$S$16,$M1001&lt;=$S$18),U1001,0)</t>
  </si>
  <si>
    <t>=IF($M1001&lt;=$T$18,U1001,0)</t>
  </si>
  <si>
    <t>="""NAV Direct"",""CRONUS JetCorp USA"",""21"",""1"",""312523"""</t>
  </si>
  <si>
    <t>=E1000</t>
  </si>
  <si>
    <t>=StartDate-$M1002+1</t>
  </si>
  <si>
    <t>=SUM(P1002:T1002)</t>
  </si>
  <si>
    <t>=IF($M1002&gt;=$P$18,U1002,0)</t>
  </si>
  <si>
    <t>=IF(AND($M1002&gt;=$Q$16,$M1002&lt;=$Q$18),U1002,0)</t>
  </si>
  <si>
    <t>=IF(AND($M1002&gt;=$R$16,$M1002&lt;=$R$18),U1002,0)</t>
  </si>
  <si>
    <t>=IF(AND($M1002&gt;=$S$16,$M1002&lt;=$S$18),U1002,0)</t>
  </si>
  <si>
    <t>=IF($M1002&lt;=$T$18,U1002,0)</t>
  </si>
  <si>
    <t>="""NAV Direct"",""CRONUS JetCorp USA"",""21"",""1"",""312604"""</t>
  </si>
  <si>
    <t>=E1001</t>
  </si>
  <si>
    <t>=StartDate-$M1003+1</t>
  </si>
  <si>
    <t>=SUM(P1003:T1003)</t>
  </si>
  <si>
    <t>=IF($M1003&gt;=$P$18,U1003,0)</t>
  </si>
  <si>
    <t>=IF(AND($M1003&gt;=$Q$16,$M1003&lt;=$Q$18),U1003,0)</t>
  </si>
  <si>
    <t>=IF(AND($M1003&gt;=$R$16,$M1003&lt;=$R$18),U1003,0)</t>
  </si>
  <si>
    <t>=IF(AND($M1003&gt;=$S$16,$M1003&lt;=$S$18),U1003,0)</t>
  </si>
  <si>
    <t>=IF($M1003&lt;=$T$18,U1003,0)</t>
  </si>
  <si>
    <t>="""NAV Direct"",""CRONUS JetCorp USA"",""21"",""1"",""312739"""</t>
  </si>
  <si>
    <t>=E1002</t>
  </si>
  <si>
    <t>=StartDate-$M1004+1</t>
  </si>
  <si>
    <t>=SUM(P1004:T1004)</t>
  </si>
  <si>
    <t>=IF($M1004&gt;=$P$18,U1004,0)</t>
  </si>
  <si>
    <t>=IF(AND($M1004&gt;=$Q$16,$M1004&lt;=$Q$18),U1004,0)</t>
  </si>
  <si>
    <t>=IF(AND($M1004&gt;=$R$16,$M1004&lt;=$R$18),U1004,0)</t>
  </si>
  <si>
    <t>=IF(AND($M1004&gt;=$S$16,$M1004&lt;=$S$18),U1004,0)</t>
  </si>
  <si>
    <t>=IF($M1004&lt;=$T$18,U1004,0)</t>
  </si>
  <si>
    <t>="""NAV Direct"",""CRONUS JetCorp USA"",""21"",""1"",""312843"""</t>
  </si>
  <si>
    <t>=E1003</t>
  </si>
  <si>
    <t>=StartDate-$M1005+1</t>
  </si>
  <si>
    <t>=SUM(P1005:T1005)</t>
  </si>
  <si>
    <t>=IF($M1005&gt;=$P$18,U1005,0)</t>
  </si>
  <si>
    <t>=IF(AND($M1005&gt;=$Q$16,$M1005&lt;=$Q$18),U1005,0)</t>
  </si>
  <si>
    <t>=IF(AND($M1005&gt;=$R$16,$M1005&lt;=$R$18),U1005,0)</t>
  </si>
  <si>
    <t>=IF(AND($M1005&gt;=$S$16,$M1005&lt;=$S$18),U1005,0)</t>
  </si>
  <si>
    <t>=IF($M1005&lt;=$T$18,U1005,0)</t>
  </si>
  <si>
    <t>="""NAV Direct"",""CRONUS JetCorp USA"",""21"",""1"",""312986"""</t>
  </si>
  <si>
    <t>=E1004</t>
  </si>
  <si>
    <t>=StartDate-$M1006+1</t>
  </si>
  <si>
    <t>=SUM(P1006:T1006)</t>
  </si>
  <si>
    <t>=IF($M1006&gt;=$P$18,U1006,0)</t>
  </si>
  <si>
    <t>=IF(AND($M1006&gt;=$Q$16,$M1006&lt;=$Q$18),U1006,0)</t>
  </si>
  <si>
    <t>=IF(AND($M1006&gt;=$R$16,$M1006&lt;=$R$18),U1006,0)</t>
  </si>
  <si>
    <t>=IF(AND($M1006&gt;=$S$16,$M1006&lt;=$S$18),U1006,0)</t>
  </si>
  <si>
    <t>=IF($M1006&lt;=$T$18,U1006,0)</t>
  </si>
  <si>
    <t>="""NAV Direct"",""CRONUS JetCorp USA"",""21"",""1"",""313088"""</t>
  </si>
  <si>
    <t>=E1005</t>
  </si>
  <si>
    <t>=StartDate-$M1007+1</t>
  </si>
  <si>
    <t>=SUM(P1007:T1007)</t>
  </si>
  <si>
    <t>=IF($M1007&gt;=$P$18,U1007,0)</t>
  </si>
  <si>
    <t>=IF(AND($M1007&gt;=$Q$16,$M1007&lt;=$Q$18),U1007,0)</t>
  </si>
  <si>
    <t>=IF(AND($M1007&gt;=$R$16,$M1007&lt;=$R$18),U1007,0)</t>
  </si>
  <si>
    <t>=IF(AND($M1007&gt;=$S$16,$M1007&lt;=$S$18),U1007,0)</t>
  </si>
  <si>
    <t>=IF($M1007&lt;=$T$18,U1007,0)</t>
  </si>
  <si>
    <t>="""NAV Direct"",""CRONUS JetCorp USA"",""21"",""1"",""313213"""</t>
  </si>
  <si>
    <t>=E1006</t>
  </si>
  <si>
    <t>=StartDate-$M1008+1</t>
  </si>
  <si>
    <t>=SUM(P1008:T1008)</t>
  </si>
  <si>
    <t>=IF($M1008&gt;=$P$18,U1008,0)</t>
  </si>
  <si>
    <t>=IF(AND($M1008&gt;=$Q$16,$M1008&lt;=$Q$18),U1008,0)</t>
  </si>
  <si>
    <t>=IF(AND($M1008&gt;=$R$16,$M1008&lt;=$R$18),U1008,0)</t>
  </si>
  <si>
    <t>=IF(AND($M1008&gt;=$S$16,$M1008&lt;=$S$18),U1008,0)</t>
  </si>
  <si>
    <t>=IF($M1008&lt;=$T$18,U1008,0)</t>
  </si>
  <si>
    <t>="""NAV Direct"",""CRONUS JetCorp USA"",""21"",""1"",""313394"""</t>
  </si>
  <si>
    <t>=E1007</t>
  </si>
  <si>
    <t>=StartDate-$M1009+1</t>
  </si>
  <si>
    <t>=SUM(P1009:T1009)</t>
  </si>
  <si>
    <t>=IF($M1009&gt;=$P$18,U1009,0)</t>
  </si>
  <si>
    <t>=IF(AND($M1009&gt;=$Q$16,$M1009&lt;=$Q$18),U1009,0)</t>
  </si>
  <si>
    <t>=IF(AND($M1009&gt;=$R$16,$M1009&lt;=$R$18),U1009,0)</t>
  </si>
  <si>
    <t>=IF(AND($M1009&gt;=$S$16,$M1009&lt;=$S$18),U1009,0)</t>
  </si>
  <si>
    <t>=IF($M1009&lt;=$T$18,U1009,0)</t>
  </si>
  <si>
    <t>="""NAV Direct"",""CRONUS JetCorp USA"",""21"",""1"",""429254"""</t>
  </si>
  <si>
    <t>=E1008</t>
  </si>
  <si>
    <t>=StartDate-$M1010+1</t>
  </si>
  <si>
    <t>=SUM(P1010:T1010)</t>
  </si>
  <si>
    <t>=IF($M1010&gt;=$P$18,U1010,0)</t>
  </si>
  <si>
    <t>=IF(AND($M1010&gt;=$Q$16,$M1010&lt;=$Q$18),U1010,0)</t>
  </si>
  <si>
    <t>=IF(AND($M1010&gt;=$R$16,$M1010&lt;=$R$18),U1010,0)</t>
  </si>
  <si>
    <t>=IF(AND($M1010&gt;=$S$16,$M1010&lt;=$S$18),U1010,0)</t>
  </si>
  <si>
    <t>=IF($M1010&lt;=$T$18,U1010,0)</t>
  </si>
  <si>
    <t>="""NAV Direct"",""CRONUS JetCorp USA"",""21"",""1"",""429290"""</t>
  </si>
  <si>
    <t>=E1009</t>
  </si>
  <si>
    <t>=StartDate-$M1011+1</t>
  </si>
  <si>
    <t>=SUM(P1011:T1011)</t>
  </si>
  <si>
    <t>=IF($M1011&gt;=$P$18,U1011,0)</t>
  </si>
  <si>
    <t>=IF(AND($M1011&gt;=$Q$16,$M1011&lt;=$Q$18),U1011,0)</t>
  </si>
  <si>
    <t>=IF(AND($M1011&gt;=$R$16,$M1011&lt;=$R$18),U1011,0)</t>
  </si>
  <si>
    <t>=IF(AND($M1011&gt;=$S$16,$M1011&lt;=$S$18),U1011,0)</t>
  </si>
  <si>
    <t>=IF($M1011&lt;=$T$18,U1011,0)</t>
  </si>
  <si>
    <t>="""NAV Direct"",""CRONUS JetCorp USA"",""21"",""1"",""429307"""</t>
  </si>
  <si>
    <t>=E1010</t>
  </si>
  <si>
    <t>=StartDate-$M1012+1</t>
  </si>
  <si>
    <t>=SUM(P1012:T1012)</t>
  </si>
  <si>
    <t>=IF($M1012&gt;=$P$18,U1012,0)</t>
  </si>
  <si>
    <t>=IF(AND($M1012&gt;=$Q$16,$M1012&lt;=$Q$18),U1012,0)</t>
  </si>
  <si>
    <t>=IF(AND($M1012&gt;=$R$16,$M1012&lt;=$R$18),U1012,0)</t>
  </si>
  <si>
    <t>=IF(AND($M1012&gt;=$S$16,$M1012&lt;=$S$18),U1012,0)</t>
  </si>
  <si>
    <t>=IF($M1012&lt;=$T$18,U1012,0)</t>
  </si>
  <si>
    <t>="""NAV Direct"",""CRONUS JetCorp USA"",""21"",""1"",""429377"""</t>
  </si>
  <si>
    <t>=E1011</t>
  </si>
  <si>
    <t>=StartDate-$M1013+1</t>
  </si>
  <si>
    <t>=SUM(P1013:T1013)</t>
  </si>
  <si>
    <t>=IF($M1013&gt;=$P$18,U1013,0)</t>
  </si>
  <si>
    <t>=IF(AND($M1013&gt;=$Q$16,$M1013&lt;=$Q$18),U1013,0)</t>
  </si>
  <si>
    <t>=IF(AND($M1013&gt;=$R$16,$M1013&lt;=$R$18),U1013,0)</t>
  </si>
  <si>
    <t>=IF(AND($M1013&gt;=$S$16,$M1013&lt;=$S$18),U1013,0)</t>
  </si>
  <si>
    <t>=IF($M1013&lt;=$T$18,U1013,0)</t>
  </si>
  <si>
    <t>="""NAV Direct"",""CRONUS JetCorp USA"",""21"",""1"",""429458"""</t>
  </si>
  <si>
    <t>=E1012</t>
  </si>
  <si>
    <t>=StartDate-$M1014+1</t>
  </si>
  <si>
    <t>=SUM(P1014:T1014)</t>
  </si>
  <si>
    <t>=IF($M1014&gt;=$P$18,U1014,0)</t>
  </si>
  <si>
    <t>=IF(AND($M1014&gt;=$Q$16,$M1014&lt;=$Q$18),U1014,0)</t>
  </si>
  <si>
    <t>=IF(AND($M1014&gt;=$R$16,$M1014&lt;=$R$18),U1014,0)</t>
  </si>
  <si>
    <t>=IF(AND($M1014&gt;=$S$16,$M1014&lt;=$S$18),U1014,0)</t>
  </si>
  <si>
    <t>=IF($M1014&lt;=$T$18,U1014,0)</t>
  </si>
  <si>
    <t>="""NAV Direct"",""CRONUS JetCorp USA"",""21"",""1"",""429612"""</t>
  </si>
  <si>
    <t>=E1013</t>
  </si>
  <si>
    <t>=StartDate-$M1015+1</t>
  </si>
  <si>
    <t>=SUM(P1015:T1015)</t>
  </si>
  <si>
    <t>=IF($M1015&gt;=$P$18,U1015,0)</t>
  </si>
  <si>
    <t>=IF(AND($M1015&gt;=$Q$16,$M1015&lt;=$Q$18),U1015,0)</t>
  </si>
  <si>
    <t>=IF(AND($M1015&gt;=$R$16,$M1015&lt;=$R$18),U1015,0)</t>
  </si>
  <si>
    <t>=IF(AND($M1015&gt;=$S$16,$M1015&lt;=$S$18),U1015,0)</t>
  </si>
  <si>
    <t>=IF($M1015&lt;=$T$18,U1015,0)</t>
  </si>
  <si>
    <t>="""NAV Direct"",""CRONUS JetCorp USA"",""21"",""1"",""429668"""</t>
  </si>
  <si>
    <t>=E1014</t>
  </si>
  <si>
    <t>=StartDate-$M1016+1</t>
  </si>
  <si>
    <t>=SUM(P1016:T1016)</t>
  </si>
  <si>
    <t>=IF($M1016&gt;=$P$18,U1016,0)</t>
  </si>
  <si>
    <t>=IF(AND($M1016&gt;=$Q$16,$M1016&lt;=$Q$18),U1016,0)</t>
  </si>
  <si>
    <t>=IF(AND($M1016&gt;=$R$16,$M1016&lt;=$R$18),U1016,0)</t>
  </si>
  <si>
    <t>=IF(AND($M1016&gt;=$S$16,$M1016&lt;=$S$18),U1016,0)</t>
  </si>
  <si>
    <t>=IF($M1016&lt;=$T$18,U1016,0)</t>
  </si>
  <si>
    <t>="""NAV Direct"",""CRONUS JetCorp USA"",""21"",""1"",""429681"""</t>
  </si>
  <si>
    <t>=E1015</t>
  </si>
  <si>
    <t>=StartDate-$M1017+1</t>
  </si>
  <si>
    <t>=SUM(P1017:T1017)</t>
  </si>
  <si>
    <t>=IF($M1017&gt;=$P$18,U1017,0)</t>
  </si>
  <si>
    <t>=IF(AND($M1017&gt;=$Q$16,$M1017&lt;=$Q$18),U1017,0)</t>
  </si>
  <si>
    <t>=IF(AND($M1017&gt;=$R$16,$M1017&lt;=$R$18),U1017,0)</t>
  </si>
  <si>
    <t>=IF(AND($M1017&gt;=$S$16,$M1017&lt;=$S$18),U1017,0)</t>
  </si>
  <si>
    <t>=IF($M1017&lt;=$T$18,U1017,0)</t>
  </si>
  <si>
    <t>="""NAV Direct"",""CRONUS JetCorp USA"",""21"",""1"",""429803"""</t>
  </si>
  <si>
    <t>=E1016</t>
  </si>
  <si>
    <t>=StartDate-$M1018+1</t>
  </si>
  <si>
    <t>=SUM(P1018:T1018)</t>
  </si>
  <si>
    <t>=IF($M1018&gt;=$P$18,U1018,0)</t>
  </si>
  <si>
    <t>=IF(AND($M1018&gt;=$Q$16,$M1018&lt;=$Q$18),U1018,0)</t>
  </si>
  <si>
    <t>=IF(AND($M1018&gt;=$R$16,$M1018&lt;=$R$18),U1018,0)</t>
  </si>
  <si>
    <t>=IF(AND($M1018&gt;=$S$16,$M1018&lt;=$S$18),U1018,0)</t>
  </si>
  <si>
    <t>=IF($M1018&lt;=$T$18,U1018,0)</t>
  </si>
  <si>
    <t>="""NAV Direct"",""CRONUS JetCorp USA"",""21"",""1"",""429900"""</t>
  </si>
  <si>
    <t>=E1017</t>
  </si>
  <si>
    <t>=StartDate-$M1019+1</t>
  </si>
  <si>
    <t>=SUM(P1019:T1019)</t>
  </si>
  <si>
    <t>=IF($M1019&gt;=$P$18,U1019,0)</t>
  </si>
  <si>
    <t>=IF(AND($M1019&gt;=$Q$16,$M1019&lt;=$Q$18),U1019,0)</t>
  </si>
  <si>
    <t>=IF(AND($M1019&gt;=$R$16,$M1019&lt;=$R$18),U1019,0)</t>
  </si>
  <si>
    <t>=IF(AND($M1019&gt;=$S$16,$M1019&lt;=$S$18),U1019,0)</t>
  </si>
  <si>
    <t>=IF($M1019&lt;=$T$18,U1019,0)</t>
  </si>
  <si>
    <t>="""NAV Direct"",""CRONUS JetCorp USA"",""21"",""1"",""429939"""</t>
  </si>
  <si>
    <t>=E1018</t>
  </si>
  <si>
    <t>=StartDate-$M1020+1</t>
  </si>
  <si>
    <t>=SUM(P1020:T1020)</t>
  </si>
  <si>
    <t>=IF($M1020&gt;=$P$18,U1020,0)</t>
  </si>
  <si>
    <t>=IF(AND($M1020&gt;=$Q$16,$M1020&lt;=$Q$18),U1020,0)</t>
  </si>
  <si>
    <t>=IF(AND($M1020&gt;=$R$16,$M1020&lt;=$R$18),U1020,0)</t>
  </si>
  <si>
    <t>=IF(AND($M1020&gt;=$S$16,$M1020&lt;=$S$18),U1020,0)</t>
  </si>
  <si>
    <t>=IF($M1020&lt;=$T$18,U1020,0)</t>
  </si>
  <si>
    <t>="""NAV Direct"",""CRONUS JetCorp USA"",""21"",""1"",""429958"""</t>
  </si>
  <si>
    <t>=E1019</t>
  </si>
  <si>
    <t>=StartDate-$M1021+1</t>
  </si>
  <si>
    <t>=SUM(P1021:T1021)</t>
  </si>
  <si>
    <t>=IF($M1021&gt;=$P$18,U1021,0)</t>
  </si>
  <si>
    <t>=IF(AND($M1021&gt;=$Q$16,$M1021&lt;=$Q$18),U1021,0)</t>
  </si>
  <si>
    <t>=IF(AND($M1021&gt;=$R$16,$M1021&lt;=$R$18),U1021,0)</t>
  </si>
  <si>
    <t>=IF(AND($M1021&gt;=$S$16,$M1021&lt;=$S$18),U1021,0)</t>
  </si>
  <si>
    <t>=IF($M1021&lt;=$T$18,U1021,0)</t>
  </si>
  <si>
    <t>="""NAV Direct"",""CRONUS JetCorp USA"",""21"",""1"",""430120"""</t>
  </si>
  <si>
    <t>=E1020</t>
  </si>
  <si>
    <t>=StartDate-$M1022+1</t>
  </si>
  <si>
    <t>=SUM(P1022:T1022)</t>
  </si>
  <si>
    <t>=IF($M1022&gt;=$P$18,U1022,0)</t>
  </si>
  <si>
    <t>=IF(AND($M1022&gt;=$Q$16,$M1022&lt;=$Q$18),U1022,0)</t>
  </si>
  <si>
    <t>=IF(AND($M1022&gt;=$R$16,$M1022&lt;=$R$18),U1022,0)</t>
  </si>
  <si>
    <t>=IF(AND($M1022&gt;=$S$16,$M1022&lt;=$S$18),U1022,0)</t>
  </si>
  <si>
    <t>=IF($M1022&lt;=$T$18,U1022,0)</t>
  </si>
  <si>
    <t>="""NAV Direct"",""CRONUS JetCorp USA"",""21"",""1"",""430242"""</t>
  </si>
  <si>
    <t>=E1021</t>
  </si>
  <si>
    <t>=StartDate-$M1023+1</t>
  </si>
  <si>
    <t>=SUM(P1023:T1023)</t>
  </si>
  <si>
    <t>=IF($M1023&gt;=$P$18,U1023,0)</t>
  </si>
  <si>
    <t>=IF(AND($M1023&gt;=$Q$16,$M1023&lt;=$Q$18),U1023,0)</t>
  </si>
  <si>
    <t>=IF(AND($M1023&gt;=$R$16,$M1023&lt;=$R$18),U1023,0)</t>
  </si>
  <si>
    <t>=IF(AND($M1023&gt;=$S$16,$M1023&lt;=$S$18),U1023,0)</t>
  </si>
  <si>
    <t>=IF($M1023&lt;=$T$18,U1023,0)</t>
  </si>
  <si>
    <t>="""NAV Direct"",""CRONUS JetCorp USA"",""21"",""1"",""430255"""</t>
  </si>
  <si>
    <t>=E1022</t>
  </si>
  <si>
    <t>=StartDate-$M1024+1</t>
  </si>
  <si>
    <t>=SUM(P1024:T1024)</t>
  </si>
  <si>
    <t>=IF($M1024&gt;=$P$18,U1024,0)</t>
  </si>
  <si>
    <t>=IF(AND($M1024&gt;=$Q$16,$M1024&lt;=$Q$18),U1024,0)</t>
  </si>
  <si>
    <t>=IF(AND($M1024&gt;=$R$16,$M1024&lt;=$R$18),U1024,0)</t>
  </si>
  <si>
    <t>=IF(AND($M1024&gt;=$S$16,$M1024&lt;=$S$18),U1024,0)</t>
  </si>
  <si>
    <t>=IF($M1024&lt;=$T$18,U1024,0)</t>
  </si>
  <si>
    <t>="""NAV Direct"",""CRONUS JetCorp USA"",""18"",""1"",""C100038"""</t>
  </si>
  <si>
    <t>=H1027</t>
  </si>
  <si>
    <t>=NF($C1027,"1 No.")</t>
  </si>
  <si>
    <t>=NF($C1027,"1 No.")&amp;"  -  "&amp;NF($C1027,"2 Name")</t>
  </si>
  <si>
    <t>=IFERROR(O1027/NF(C1027,"Credit Limit (LCY)"),"")</t>
  </si>
  <si>
    <t>=SUBTOTAL(3,L1028:L1048)</t>
  </si>
  <si>
    <t>=SUBTOTAL(9,O1028:O1048)</t>
  </si>
  <si>
    <t>=SUBTOTAL(9,P1028:P1048)</t>
  </si>
  <si>
    <t>=SUBTOTAL(9,Q1028:Q1048)</t>
  </si>
  <si>
    <t>=SUBTOTAL(9,R1028:R1048)</t>
  </si>
  <si>
    <t>=SUBTOTAL(9,S1028:S1048)</t>
  </si>
  <si>
    <t>=SUBTOTAL(9,T1028:T1048)</t>
  </si>
  <si>
    <t>=C1027</t>
  </si>
  <si>
    <t>=E1027</t>
  </si>
  <si>
    <t>="Contact: "&amp;NF($C1028,"8 Contact")</t>
  </si>
  <si>
    <t>=C1028</t>
  </si>
  <si>
    <t>=E1028</t>
  </si>
  <si>
    <t>=NF($C1029,"102 E-Mail")</t>
  </si>
  <si>
    <t>=NL("Rows","21 Cust. Ledger Entry",,"3 Customer No.","@@"&amp;$E1031,"16 Remaining Amt. (LCY)","&lt;&gt;0")</t>
  </si>
  <si>
    <t>=E1029</t>
  </si>
  <si>
    <t>=StartDate-$M1031+1</t>
  </si>
  <si>
    <t>=SUM(P1031:T1031)</t>
  </si>
  <si>
    <t>=IF($M1031&gt;=$P$18,U1031,0)</t>
  </si>
  <si>
    <t>=IF(AND($M1031&gt;=$Q$16,$M1031&lt;=$Q$18),U1031,0)</t>
  </si>
  <si>
    <t>=IF(AND($M1031&gt;=$R$16,$M1031&lt;=$R$18),U1031,0)</t>
  </si>
  <si>
    <t>=IF(AND($M1031&gt;=$S$16,$M1031&lt;=$S$18),U1031,0)</t>
  </si>
  <si>
    <t>=IF($M1031&lt;=$T$18,U1031,0)</t>
  </si>
  <si>
    <t>="""NAV Direct"",""CRONUS JetCorp USA"",""21"",""1"",""102202"""</t>
  </si>
  <si>
    <t>=E1030</t>
  </si>
  <si>
    <t>=StartDate-$M1032+1</t>
  </si>
  <si>
    <t>=SUM(P1032:T1032)</t>
  </si>
  <si>
    <t>=IF($M1032&gt;=$P$18,U1032,0)</t>
  </si>
  <si>
    <t>=IF(AND($M1032&gt;=$Q$16,$M1032&lt;=$Q$18),U1032,0)</t>
  </si>
  <si>
    <t>=IF(AND($M1032&gt;=$R$16,$M1032&lt;=$R$18),U1032,0)</t>
  </si>
  <si>
    <t>=IF(AND($M1032&gt;=$S$16,$M1032&lt;=$S$18),U1032,0)</t>
  </si>
  <si>
    <t>=IF($M1032&lt;=$T$18,U1032,0)</t>
  </si>
  <si>
    <t>="""NAV Direct"",""CRONUS JetCorp USA"",""21"",""1"",""102336"""</t>
  </si>
  <si>
    <t>=E1031</t>
  </si>
  <si>
    <t>=StartDate-$M1033+1</t>
  </si>
  <si>
    <t>=SUM(P1033:T1033)</t>
  </si>
  <si>
    <t>=IF($M1033&gt;=$P$18,U1033,0)</t>
  </si>
  <si>
    <t>=IF(AND($M1033&gt;=$Q$16,$M1033&lt;=$Q$18),U1033,0)</t>
  </si>
  <si>
    <t>=IF(AND($M1033&gt;=$R$16,$M1033&lt;=$R$18),U1033,0)</t>
  </si>
  <si>
    <t>=IF(AND($M1033&gt;=$S$16,$M1033&lt;=$S$18),U1033,0)</t>
  </si>
  <si>
    <t>=IF($M1033&lt;=$T$18,U1033,0)</t>
  </si>
  <si>
    <t>="""NAV Direct"",""CRONUS JetCorp USA"",""21"",""1"",""380715"""</t>
  </si>
  <si>
    <t>=E1032</t>
  </si>
  <si>
    <t>=StartDate-$M1034+1</t>
  </si>
  <si>
    <t>=SUM(P1034:T1034)</t>
  </si>
  <si>
    <t>=IF($M1034&gt;=$P$18,U1034,0)</t>
  </si>
  <si>
    <t>=IF(AND($M1034&gt;=$Q$16,$M1034&lt;=$Q$18),U1034,0)</t>
  </si>
  <si>
    <t>=IF(AND($M1034&gt;=$R$16,$M1034&lt;=$R$18),U1034,0)</t>
  </si>
  <si>
    <t>=IF(AND($M1034&gt;=$S$16,$M1034&lt;=$S$18),U1034,0)</t>
  </si>
  <si>
    <t>=IF($M1034&lt;=$T$18,U1034,0)</t>
  </si>
  <si>
    <t>="""NAV Direct"",""CRONUS JetCorp USA"",""21"",""1"",""380789"""</t>
  </si>
  <si>
    <t>=E1033</t>
  </si>
  <si>
    <t>=StartDate-$M1035+1</t>
  </si>
  <si>
    <t>=SUM(P1035:T1035)</t>
  </si>
  <si>
    <t>=IF($M1035&gt;=$P$18,U1035,0)</t>
  </si>
  <si>
    <t>=IF(AND($M1035&gt;=$Q$16,$M1035&lt;=$Q$18),U1035,0)</t>
  </si>
  <si>
    <t>=IF(AND($M1035&gt;=$R$16,$M1035&lt;=$R$18),U1035,0)</t>
  </si>
  <si>
    <t>=IF(AND($M1035&gt;=$S$16,$M1035&lt;=$S$18),U1035,0)</t>
  </si>
  <si>
    <t>=IF($M1035&lt;=$T$18,U1035,0)</t>
  </si>
  <si>
    <t>="""NAV Direct"",""CRONUS JetCorp USA"",""21"",""1"",""381037"""</t>
  </si>
  <si>
    <t>=E1034</t>
  </si>
  <si>
    <t>=StartDate-$M1036+1</t>
  </si>
  <si>
    <t>=SUM(P1036:T1036)</t>
  </si>
  <si>
    <t>=IF($M1036&gt;=$P$18,U1036,0)</t>
  </si>
  <si>
    <t>=IF(AND($M1036&gt;=$Q$16,$M1036&lt;=$Q$18),U1036,0)</t>
  </si>
  <si>
    <t>=IF(AND($M1036&gt;=$R$16,$M1036&lt;=$R$18),U1036,0)</t>
  </si>
  <si>
    <t>=IF(AND($M1036&gt;=$S$16,$M1036&lt;=$S$18),U1036,0)</t>
  </si>
  <si>
    <t>=IF($M1036&lt;=$T$18,U1036,0)</t>
  </si>
  <si>
    <t>="""NAV Direct"",""CRONUS JetCorp USA"",""21"",""1"",""381232"""</t>
  </si>
  <si>
    <t>=E1035</t>
  </si>
  <si>
    <t>=StartDate-$M1037+1</t>
  </si>
  <si>
    <t>=SUM(P1037:T1037)</t>
  </si>
  <si>
    <t>=IF($M1037&gt;=$P$18,U1037,0)</t>
  </si>
  <si>
    <t>=IF(AND($M1037&gt;=$Q$16,$M1037&lt;=$Q$18),U1037,0)</t>
  </si>
  <si>
    <t>=IF(AND($M1037&gt;=$R$16,$M1037&lt;=$R$18),U1037,0)</t>
  </si>
  <si>
    <t>=IF(AND($M1037&gt;=$S$16,$M1037&lt;=$S$18),U1037,0)</t>
  </si>
  <si>
    <t>=IF($M1037&lt;=$T$18,U1037,0)</t>
  </si>
  <si>
    <t>="""NAV Direct"",""CRONUS JetCorp USA"",""21"",""1"",""381616"""</t>
  </si>
  <si>
    <t>=E1036</t>
  </si>
  <si>
    <t>=StartDate-$M1038+1</t>
  </si>
  <si>
    <t>=SUM(P1038:T1038)</t>
  </si>
  <si>
    <t>=IF($M1038&gt;=$P$18,U1038,0)</t>
  </si>
  <si>
    <t>=IF(AND($M1038&gt;=$Q$16,$M1038&lt;=$Q$18),U1038,0)</t>
  </si>
  <si>
    <t>=IF(AND($M1038&gt;=$R$16,$M1038&lt;=$R$18),U1038,0)</t>
  </si>
  <si>
    <t>=IF(AND($M1038&gt;=$S$16,$M1038&lt;=$S$18),U1038,0)</t>
  </si>
  <si>
    <t>=IF($M1038&lt;=$T$18,U1038,0)</t>
  </si>
  <si>
    <t>="""NAV Direct"",""CRONUS JetCorp USA"",""21"",""1"",""381779"""</t>
  </si>
  <si>
    <t>=E1037</t>
  </si>
  <si>
    <t>=StartDate-$M1039+1</t>
  </si>
  <si>
    <t>=SUM(P1039:T1039)</t>
  </si>
  <si>
    <t>=IF($M1039&gt;=$P$18,U1039,0)</t>
  </si>
  <si>
    <t>=IF(AND($M1039&gt;=$Q$16,$M1039&lt;=$Q$18),U1039,0)</t>
  </si>
  <si>
    <t>=IF(AND($M1039&gt;=$R$16,$M1039&lt;=$R$18),U1039,0)</t>
  </si>
  <si>
    <t>=IF(AND($M1039&gt;=$S$16,$M1039&lt;=$S$18),U1039,0)</t>
  </si>
  <si>
    <t>=IF($M1039&lt;=$T$18,U1039,0)</t>
  </si>
  <si>
    <t>="""NAV Direct"",""CRONUS JetCorp USA"",""21"",""1"",""382406"""</t>
  </si>
  <si>
    <t>=E1038</t>
  </si>
  <si>
    <t>=StartDate-$M1040+1</t>
  </si>
  <si>
    <t>=SUM(P1040:T1040)</t>
  </si>
  <si>
    <t>=IF($M1040&gt;=$P$18,U1040,0)</t>
  </si>
  <si>
    <t>=IF(AND($M1040&gt;=$Q$16,$M1040&lt;=$Q$18),U1040,0)</t>
  </si>
  <si>
    <t>=IF(AND($M1040&gt;=$R$16,$M1040&lt;=$R$18),U1040,0)</t>
  </si>
  <si>
    <t>=IF(AND($M1040&gt;=$S$16,$M1040&lt;=$S$18),U1040,0)</t>
  </si>
  <si>
    <t>=IF($M1040&lt;=$T$18,U1040,0)</t>
  </si>
  <si>
    <t>="""NAV Direct"",""CRONUS JetCorp USA"",""21"",""1"",""382703"""</t>
  </si>
  <si>
    <t>=E1039</t>
  </si>
  <si>
    <t>=StartDate-$M1041+1</t>
  </si>
  <si>
    <t>=SUM(P1041:T1041)</t>
  </si>
  <si>
    <t>=IF($M1041&gt;=$P$18,U1041,0)</t>
  </si>
  <si>
    <t>=IF(AND($M1041&gt;=$Q$16,$M1041&lt;=$Q$18),U1041,0)</t>
  </si>
  <si>
    <t>=IF(AND($M1041&gt;=$R$16,$M1041&lt;=$R$18),U1041,0)</t>
  </si>
  <si>
    <t>=IF(AND($M1041&gt;=$S$16,$M1041&lt;=$S$18),U1041,0)</t>
  </si>
  <si>
    <t>=IF($M1041&lt;=$T$18,U1041,0)</t>
  </si>
  <si>
    <t>="""NAV Direct"",""CRONUS JetCorp USA"",""21"",""1"",""382823"""</t>
  </si>
  <si>
    <t>=E1040</t>
  </si>
  <si>
    <t>=StartDate-$M1042+1</t>
  </si>
  <si>
    <t>=SUM(P1042:T1042)</t>
  </si>
  <si>
    <t>=IF($M1042&gt;=$P$18,U1042,0)</t>
  </si>
  <si>
    <t>=IF(AND($M1042&gt;=$Q$16,$M1042&lt;=$Q$18),U1042,0)</t>
  </si>
  <si>
    <t>=IF(AND($M1042&gt;=$R$16,$M1042&lt;=$R$18),U1042,0)</t>
  </si>
  <si>
    <t>=IF(AND($M1042&gt;=$S$16,$M1042&lt;=$S$18),U1042,0)</t>
  </si>
  <si>
    <t>=IF($M1042&lt;=$T$18,U1042,0)</t>
  </si>
  <si>
    <t>="""NAV Direct"",""CRONUS JetCorp USA"",""21"",""1"",""382899"""</t>
  </si>
  <si>
    <t>=E1041</t>
  </si>
  <si>
    <t>=StartDate-$M1043+1</t>
  </si>
  <si>
    <t>=SUM(P1043:T1043)</t>
  </si>
  <si>
    <t>=IF($M1043&gt;=$P$18,U1043,0)</t>
  </si>
  <si>
    <t>=IF(AND($M1043&gt;=$Q$16,$M1043&lt;=$Q$18),U1043,0)</t>
  </si>
  <si>
    <t>=IF(AND($M1043&gt;=$R$16,$M1043&lt;=$R$18),U1043,0)</t>
  </si>
  <si>
    <t>=IF(AND($M1043&gt;=$S$16,$M1043&lt;=$S$18),U1043,0)</t>
  </si>
  <si>
    <t>=IF($M1043&lt;=$T$18,U1043,0)</t>
  </si>
  <si>
    <t>="""NAV Direct"",""CRONUS JetCorp USA"",""21"",""1"",""383580"""</t>
  </si>
  <si>
    <t>=E1042</t>
  </si>
  <si>
    <t>=StartDate-$M1044+1</t>
  </si>
  <si>
    <t>=SUM(P1044:T1044)</t>
  </si>
  <si>
    <t>=IF($M1044&gt;=$P$18,U1044,0)</t>
  </si>
  <si>
    <t>=IF(AND($M1044&gt;=$Q$16,$M1044&lt;=$Q$18),U1044,0)</t>
  </si>
  <si>
    <t>=IF(AND($M1044&gt;=$R$16,$M1044&lt;=$R$18),U1044,0)</t>
  </si>
  <si>
    <t>=IF(AND($M1044&gt;=$S$16,$M1044&lt;=$S$18),U1044,0)</t>
  </si>
  <si>
    <t>=IF($M1044&lt;=$T$18,U1044,0)</t>
  </si>
  <si>
    <t>="""NAV Direct"",""CRONUS JetCorp USA"",""21"",""1"",""438366"""</t>
  </si>
  <si>
    <t>=E1043</t>
  </si>
  <si>
    <t>=StartDate-$M1045+1</t>
  </si>
  <si>
    <t>=SUM(P1045:T1045)</t>
  </si>
  <si>
    <t>=IF($M1045&gt;=$P$18,U1045,0)</t>
  </si>
  <si>
    <t>=IF(AND($M1045&gt;=$Q$16,$M1045&lt;=$Q$18),U1045,0)</t>
  </si>
  <si>
    <t>=IF(AND($M1045&gt;=$R$16,$M1045&lt;=$R$18),U1045,0)</t>
  </si>
  <si>
    <t>=IF(AND($M1045&gt;=$S$16,$M1045&lt;=$S$18),U1045,0)</t>
  </si>
  <si>
    <t>=IF($M1045&lt;=$T$18,U1045,0)</t>
  </si>
  <si>
    <t>="""NAV Direct"",""CRONUS JetCorp USA"",""21"",""1"",""438459"""</t>
  </si>
  <si>
    <t>=E1044</t>
  </si>
  <si>
    <t>=StartDate-$M1046+1</t>
  </si>
  <si>
    <t>=SUM(P1046:T1046)</t>
  </si>
  <si>
    <t>=IF($M1046&gt;=$P$18,U1046,0)</t>
  </si>
  <si>
    <t>=IF(AND($M1046&gt;=$Q$16,$M1046&lt;=$Q$18),U1046,0)</t>
  </si>
  <si>
    <t>=IF(AND($M1046&gt;=$R$16,$M1046&lt;=$R$18),U1046,0)</t>
  </si>
  <si>
    <t>=IF(AND($M1046&gt;=$S$16,$M1046&lt;=$S$18),U1046,0)</t>
  </si>
  <si>
    <t>=IF($M1046&lt;=$T$18,U1046,0)</t>
  </si>
  <si>
    <t>="""NAV Direct"",""CRONUS JetCorp USA"",""21"",""1"",""438534"""</t>
  </si>
  <si>
    <t>=E1045</t>
  </si>
  <si>
    <t>=StartDate-$M1047+1</t>
  </si>
  <si>
    <t>=SUM(P1047:T1047)</t>
  </si>
  <si>
    <t>=IF($M1047&gt;=$P$18,U1047,0)</t>
  </si>
  <si>
    <t>=IF(AND($M1047&gt;=$Q$16,$M1047&lt;=$Q$18),U1047,0)</t>
  </si>
  <si>
    <t>=IF(AND($M1047&gt;=$R$16,$M1047&lt;=$R$18),U1047,0)</t>
  </si>
  <si>
    <t>=IF(AND($M1047&gt;=$S$16,$M1047&lt;=$S$18),U1047,0)</t>
  </si>
  <si>
    <t>=IF($M1047&lt;=$T$18,U1047,0)</t>
  </si>
  <si>
    <t>="""NAV Direct"",""CRONUS JetCorp USA"",""18"",""1"",""C100039"""</t>
  </si>
  <si>
    <t>=H1050</t>
  </si>
  <si>
    <t>=NF($C1050,"1 No.")</t>
  </si>
  <si>
    <t>=NF($C1050,"1 No.")&amp;"  -  "&amp;NF($C1050,"2 Name")</t>
  </si>
  <si>
    <t>=IFERROR(O1050/NF(C1050,"Credit Limit (LCY)"),"")</t>
  </si>
  <si>
    <t>=SUBTOTAL(3,L1051:L1107)</t>
  </si>
  <si>
    <t>=SUBTOTAL(9,O1051:O1107)</t>
  </si>
  <si>
    <t>=SUBTOTAL(9,P1051:P1107)</t>
  </si>
  <si>
    <t>=SUBTOTAL(9,Q1051:Q1107)</t>
  </si>
  <si>
    <t>=SUBTOTAL(9,R1051:R1107)</t>
  </si>
  <si>
    <t>=SUBTOTAL(9,S1051:S1107)</t>
  </si>
  <si>
    <t>=SUBTOTAL(9,T1051:T1107)</t>
  </si>
  <si>
    <t>=C1050</t>
  </si>
  <si>
    <t>=E1050</t>
  </si>
  <si>
    <t>="Contact: "&amp;NF($C1051,"8 Contact")</t>
  </si>
  <si>
    <t>=C1051</t>
  </si>
  <si>
    <t>=E1051</t>
  </si>
  <si>
    <t>=NF($C1052,"102 E-Mail")</t>
  </si>
  <si>
    <t>=NL("Rows","21 Cust. Ledger Entry",,"3 Customer No.","@@"&amp;$E1054,"16 Remaining Amt. (LCY)","&lt;&gt;0")</t>
  </si>
  <si>
    <t>=E1052</t>
  </si>
  <si>
    <t>=StartDate-$M1054+1</t>
  </si>
  <si>
    <t>=SUM(P1054:T1054)</t>
  </si>
  <si>
    <t>=IF($M1054&gt;=$P$18,U1054,0)</t>
  </si>
  <si>
    <t>=IF(AND($M1054&gt;=$Q$16,$M1054&lt;=$Q$18),U1054,0)</t>
  </si>
  <si>
    <t>=IF(AND($M1054&gt;=$R$16,$M1054&lt;=$R$18),U1054,0)</t>
  </si>
  <si>
    <t>=IF(AND($M1054&gt;=$S$16,$M1054&lt;=$S$18),U1054,0)</t>
  </si>
  <si>
    <t>=IF($M1054&lt;=$T$18,U1054,0)</t>
  </si>
  <si>
    <t>="""NAV Direct"",""CRONUS JetCorp USA"",""21"",""1"",""335250"""</t>
  </si>
  <si>
    <t>=E1053</t>
  </si>
  <si>
    <t>=StartDate-$M1055+1</t>
  </si>
  <si>
    <t>=SUM(P1055:T1055)</t>
  </si>
  <si>
    <t>=IF($M1055&gt;=$P$18,U1055,0)</t>
  </si>
  <si>
    <t>=IF(AND($M1055&gt;=$Q$16,$M1055&lt;=$Q$18),U1055,0)</t>
  </si>
  <si>
    <t>=IF(AND($M1055&gt;=$R$16,$M1055&lt;=$R$18),U1055,0)</t>
  </si>
  <si>
    <t>=IF(AND($M1055&gt;=$S$16,$M1055&lt;=$S$18),U1055,0)</t>
  </si>
  <si>
    <t>=IF($M1055&lt;=$T$18,U1055,0)</t>
  </si>
  <si>
    <t>="""NAV Direct"",""CRONUS JetCorp USA"",""21"",""1"",""335651"""</t>
  </si>
  <si>
    <t>=E1054</t>
  </si>
  <si>
    <t>=StartDate-$M1056+1</t>
  </si>
  <si>
    <t>=SUM(P1056:T1056)</t>
  </si>
  <si>
    <t>=IF($M1056&gt;=$P$18,U1056,0)</t>
  </si>
  <si>
    <t>=IF(AND($M1056&gt;=$Q$16,$M1056&lt;=$Q$18),U1056,0)</t>
  </si>
  <si>
    <t>=IF(AND($M1056&gt;=$R$16,$M1056&lt;=$R$18),U1056,0)</t>
  </si>
  <si>
    <t>=IF(AND($M1056&gt;=$S$16,$M1056&lt;=$S$18),U1056,0)</t>
  </si>
  <si>
    <t>=IF($M1056&lt;=$T$18,U1056,0)</t>
  </si>
  <si>
    <t>="""NAV Direct"",""CRONUS JetCorp USA"",""21"",""1"",""335686"""</t>
  </si>
  <si>
    <t>=E1055</t>
  </si>
  <si>
    <t>=StartDate-$M1057+1</t>
  </si>
  <si>
    <t>=SUM(P1057:T1057)</t>
  </si>
  <si>
    <t>=IF($M1057&gt;=$P$18,U1057,0)</t>
  </si>
  <si>
    <t>=IF(AND($M1057&gt;=$Q$16,$M1057&lt;=$Q$18),U1057,0)</t>
  </si>
  <si>
    <t>=IF(AND($M1057&gt;=$R$16,$M1057&lt;=$R$18),U1057,0)</t>
  </si>
  <si>
    <t>=IF(AND($M1057&gt;=$S$16,$M1057&lt;=$S$18),U1057,0)</t>
  </si>
  <si>
    <t>=IF($M1057&lt;=$T$18,U1057,0)</t>
  </si>
  <si>
    <t>="""NAV Direct"",""CRONUS JetCorp USA"",""21"",""1"",""335832"""</t>
  </si>
  <si>
    <t>=E1056</t>
  </si>
  <si>
    <t>=StartDate-$M1058+1</t>
  </si>
  <si>
    <t>=SUM(P1058:T1058)</t>
  </si>
  <si>
    <t>=IF($M1058&gt;=$P$18,U1058,0)</t>
  </si>
  <si>
    <t>=IF(AND($M1058&gt;=$Q$16,$M1058&lt;=$Q$18),U1058,0)</t>
  </si>
  <si>
    <t>=IF(AND($M1058&gt;=$R$16,$M1058&lt;=$R$18),U1058,0)</t>
  </si>
  <si>
    <t>=IF(AND($M1058&gt;=$S$16,$M1058&lt;=$S$18),U1058,0)</t>
  </si>
  <si>
    <t>=IF($M1058&lt;=$T$18,U1058,0)</t>
  </si>
  <si>
    <t>="""NAV Direct"",""CRONUS JetCorp USA"",""21"",""1"",""336045"""</t>
  </si>
  <si>
    <t>=E1057</t>
  </si>
  <si>
    <t>=StartDate-$M1059+1</t>
  </si>
  <si>
    <t>=SUM(P1059:T1059)</t>
  </si>
  <si>
    <t>=IF($M1059&gt;=$P$18,U1059,0)</t>
  </si>
  <si>
    <t>=IF(AND($M1059&gt;=$Q$16,$M1059&lt;=$Q$18),U1059,0)</t>
  </si>
  <si>
    <t>=IF(AND($M1059&gt;=$R$16,$M1059&lt;=$R$18),U1059,0)</t>
  </si>
  <si>
    <t>=IF(AND($M1059&gt;=$S$16,$M1059&lt;=$S$18),U1059,0)</t>
  </si>
  <si>
    <t>=IF($M1059&lt;=$T$18,U1059,0)</t>
  </si>
  <si>
    <t>="""NAV Direct"",""CRONUS JetCorp USA"",""21"",""1"",""336633"""</t>
  </si>
  <si>
    <t>=E1058</t>
  </si>
  <si>
    <t>=StartDate-$M1060+1</t>
  </si>
  <si>
    <t>=SUM(P1060:T1060)</t>
  </si>
  <si>
    <t>=IF($M1060&gt;=$P$18,U1060,0)</t>
  </si>
  <si>
    <t>=IF(AND($M1060&gt;=$Q$16,$M1060&lt;=$Q$18),U1060,0)</t>
  </si>
  <si>
    <t>=IF(AND($M1060&gt;=$R$16,$M1060&lt;=$R$18),U1060,0)</t>
  </si>
  <si>
    <t>=IF(AND($M1060&gt;=$S$16,$M1060&lt;=$S$18),U1060,0)</t>
  </si>
  <si>
    <t>=IF($M1060&lt;=$T$18,U1060,0)</t>
  </si>
  <si>
    <t>="""NAV Direct"",""CRONUS JetCorp USA"",""21"",""1"",""337180"""</t>
  </si>
  <si>
    <t>=E1059</t>
  </si>
  <si>
    <t>=StartDate-$M1061+1</t>
  </si>
  <si>
    <t>=SUM(P1061:T1061)</t>
  </si>
  <si>
    <t>=IF($M1061&gt;=$P$18,U1061,0)</t>
  </si>
  <si>
    <t>=IF(AND($M1061&gt;=$Q$16,$M1061&lt;=$Q$18),U1061,0)</t>
  </si>
  <si>
    <t>=IF(AND($M1061&gt;=$R$16,$M1061&lt;=$R$18),U1061,0)</t>
  </si>
  <si>
    <t>=IF(AND($M1061&gt;=$S$16,$M1061&lt;=$S$18),U1061,0)</t>
  </si>
  <si>
    <t>=IF($M1061&lt;=$T$18,U1061,0)</t>
  </si>
  <si>
    <t>="""NAV Direct"",""CRONUS JetCorp USA"",""21"",""1"",""337400"""</t>
  </si>
  <si>
    <t>=E1060</t>
  </si>
  <si>
    <t>=StartDate-$M1062+1</t>
  </si>
  <si>
    <t>=SUM(P1062:T1062)</t>
  </si>
  <si>
    <t>=IF($M1062&gt;=$P$18,U1062,0)</t>
  </si>
  <si>
    <t>=IF(AND($M1062&gt;=$Q$16,$M1062&lt;=$Q$18),U1062,0)</t>
  </si>
  <si>
    <t>=IF(AND($M1062&gt;=$R$16,$M1062&lt;=$R$18),U1062,0)</t>
  </si>
  <si>
    <t>=IF(AND($M1062&gt;=$S$16,$M1062&lt;=$S$18),U1062,0)</t>
  </si>
  <si>
    <t>=IF($M1062&lt;=$T$18,U1062,0)</t>
  </si>
  <si>
    <t>="""NAV Direct"",""CRONUS JetCorp USA"",""21"",""1"",""337604"""</t>
  </si>
  <si>
    <t>=E1061</t>
  </si>
  <si>
    <t>=StartDate-$M1063+1</t>
  </si>
  <si>
    <t>=SUM(P1063:T1063)</t>
  </si>
  <si>
    <t>=IF($M1063&gt;=$P$18,U1063,0)</t>
  </si>
  <si>
    <t>=IF(AND($M1063&gt;=$Q$16,$M1063&lt;=$Q$18),U1063,0)</t>
  </si>
  <si>
    <t>=IF(AND($M1063&gt;=$R$16,$M1063&lt;=$R$18),U1063,0)</t>
  </si>
  <si>
    <t>=IF(AND($M1063&gt;=$S$16,$M1063&lt;=$S$18),U1063,0)</t>
  </si>
  <si>
    <t>=IF($M1063&lt;=$T$18,U1063,0)</t>
  </si>
  <si>
    <t>="""NAV Direct"",""CRONUS JetCorp USA"",""21"",""1"",""337639"""</t>
  </si>
  <si>
    <t>=E1062</t>
  </si>
  <si>
    <t>=StartDate-$M1064+1</t>
  </si>
  <si>
    <t>=SUM(P1064:T1064)</t>
  </si>
  <si>
    <t>=IF($M1064&gt;=$P$18,U1064,0)</t>
  </si>
  <si>
    <t>=IF(AND($M1064&gt;=$Q$16,$M1064&lt;=$Q$18),U1064,0)</t>
  </si>
  <si>
    <t>=IF(AND($M1064&gt;=$R$16,$M1064&lt;=$R$18),U1064,0)</t>
  </si>
  <si>
    <t>=IF(AND($M1064&gt;=$S$16,$M1064&lt;=$S$18),U1064,0)</t>
  </si>
  <si>
    <t>=IF($M1064&lt;=$T$18,U1064,0)</t>
  </si>
  <si>
    <t>="""NAV Direct"",""CRONUS JetCorp USA"",""21"",""1"",""338102"""</t>
  </si>
  <si>
    <t>=E1063</t>
  </si>
  <si>
    <t>=StartDate-$M1065+1</t>
  </si>
  <si>
    <t>=SUM(P1065:T1065)</t>
  </si>
  <si>
    <t>=IF($M1065&gt;=$P$18,U1065,0)</t>
  </si>
  <si>
    <t>=IF(AND($M1065&gt;=$Q$16,$M1065&lt;=$Q$18),U1065,0)</t>
  </si>
  <si>
    <t>=IF(AND($M1065&gt;=$R$16,$M1065&lt;=$R$18),U1065,0)</t>
  </si>
  <si>
    <t>=IF(AND($M1065&gt;=$S$16,$M1065&lt;=$S$18),U1065,0)</t>
  </si>
  <si>
    <t>=IF($M1065&lt;=$T$18,U1065,0)</t>
  </si>
  <si>
    <t>="""NAV Direct"",""CRONUS JetCorp USA"",""21"",""1"",""338984"""</t>
  </si>
  <si>
    <t>=E1064</t>
  </si>
  <si>
    <t>=StartDate-$M1066+1</t>
  </si>
  <si>
    <t>=SUM(P1066:T1066)</t>
  </si>
  <si>
    <t>=IF($M1066&gt;=$P$18,U1066,0)</t>
  </si>
  <si>
    <t>=IF(AND($M1066&gt;=$Q$16,$M1066&lt;=$Q$18),U1066,0)</t>
  </si>
  <si>
    <t>=IF(AND($M1066&gt;=$R$16,$M1066&lt;=$R$18),U1066,0)</t>
  </si>
  <si>
    <t>=IF(AND($M1066&gt;=$S$16,$M1066&lt;=$S$18),U1066,0)</t>
  </si>
  <si>
    <t>=IF($M1066&lt;=$T$18,U1066,0)</t>
  </si>
  <si>
    <t>="""NAV Direct"",""CRONUS JetCorp USA"",""21"",""1"",""339447"""</t>
  </si>
  <si>
    <t>=E1065</t>
  </si>
  <si>
    <t>=StartDate-$M1067+1</t>
  </si>
  <si>
    <t>=SUM(P1067:T1067)</t>
  </si>
  <si>
    <t>=IF($M1067&gt;=$P$18,U1067,0)</t>
  </si>
  <si>
    <t>=IF(AND($M1067&gt;=$Q$16,$M1067&lt;=$Q$18),U1067,0)</t>
  </si>
  <si>
    <t>=IF(AND($M1067&gt;=$R$16,$M1067&lt;=$R$18),U1067,0)</t>
  </si>
  <si>
    <t>=IF(AND($M1067&gt;=$S$16,$M1067&lt;=$S$18),U1067,0)</t>
  </si>
  <si>
    <t>=IF($M1067&lt;=$T$18,U1067,0)</t>
  </si>
  <si>
    <t>="""NAV Direct"",""CRONUS JetCorp USA"",""21"",""1"",""340164"""</t>
  </si>
  <si>
    <t>=E1066</t>
  </si>
  <si>
    <t>=StartDate-$M1068+1</t>
  </si>
  <si>
    <t>=SUM(P1068:T1068)</t>
  </si>
  <si>
    <t>=IF($M1068&gt;=$P$18,U1068,0)</t>
  </si>
  <si>
    <t>=IF(AND($M1068&gt;=$Q$16,$M1068&lt;=$Q$18),U1068,0)</t>
  </si>
  <si>
    <t>=IF(AND($M1068&gt;=$R$16,$M1068&lt;=$R$18),U1068,0)</t>
  </si>
  <si>
    <t>=IF(AND($M1068&gt;=$S$16,$M1068&lt;=$S$18),U1068,0)</t>
  </si>
  <si>
    <t>=IF($M1068&lt;=$T$18,U1068,0)</t>
  </si>
  <si>
    <t>="""NAV Direct"",""CRONUS JetCorp USA"",""21"",""1"",""340585"""</t>
  </si>
  <si>
    <t>=E1067</t>
  </si>
  <si>
    <t>=StartDate-$M1069+1</t>
  </si>
  <si>
    <t>=SUM(P1069:T1069)</t>
  </si>
  <si>
    <t>=IF($M1069&gt;=$P$18,U1069,0)</t>
  </si>
  <si>
    <t>=IF(AND($M1069&gt;=$Q$16,$M1069&lt;=$Q$18),U1069,0)</t>
  </si>
  <si>
    <t>=IF(AND($M1069&gt;=$R$16,$M1069&lt;=$R$18),U1069,0)</t>
  </si>
  <si>
    <t>=IF(AND($M1069&gt;=$S$16,$M1069&lt;=$S$18),U1069,0)</t>
  </si>
  <si>
    <t>=IF($M1069&lt;=$T$18,U1069,0)</t>
  </si>
  <si>
    <t>="""NAV Direct"",""CRONUS JetCorp USA"",""21"",""1"",""340844"""</t>
  </si>
  <si>
    <t>=E1068</t>
  </si>
  <si>
    <t>=StartDate-$M1070+1</t>
  </si>
  <si>
    <t>=SUM(P1070:T1070)</t>
  </si>
  <si>
    <t>=IF($M1070&gt;=$P$18,U1070,0)</t>
  </si>
  <si>
    <t>=IF(AND($M1070&gt;=$Q$16,$M1070&lt;=$Q$18),U1070,0)</t>
  </si>
  <si>
    <t>=IF(AND($M1070&gt;=$R$16,$M1070&lt;=$R$18),U1070,0)</t>
  </si>
  <si>
    <t>=IF(AND($M1070&gt;=$S$16,$M1070&lt;=$S$18),U1070,0)</t>
  </si>
  <si>
    <t>=IF($M1070&lt;=$T$18,U1070,0)</t>
  </si>
  <si>
    <t>="""NAV Direct"",""CRONUS JetCorp USA"",""21"",""1"",""341407"""</t>
  </si>
  <si>
    <t>=E1069</t>
  </si>
  <si>
    <t>=StartDate-$M1071+1</t>
  </si>
  <si>
    <t>=SUM(P1071:T1071)</t>
  </si>
  <si>
    <t>=IF($M1071&gt;=$P$18,U1071,0)</t>
  </si>
  <si>
    <t>=IF(AND($M1071&gt;=$Q$16,$M1071&lt;=$Q$18),U1071,0)</t>
  </si>
  <si>
    <t>=IF(AND($M1071&gt;=$R$16,$M1071&lt;=$R$18),U1071,0)</t>
  </si>
  <si>
    <t>=IF(AND($M1071&gt;=$S$16,$M1071&lt;=$S$18),U1071,0)</t>
  </si>
  <si>
    <t>=IF($M1071&lt;=$T$18,U1071,0)</t>
  </si>
  <si>
    <t>="""NAV Direct"",""CRONUS JetCorp USA"",""21"",""1"",""342501"""</t>
  </si>
  <si>
    <t>=E1070</t>
  </si>
  <si>
    <t>=StartDate-$M1072+1</t>
  </si>
  <si>
    <t>=SUM(P1072:T1072)</t>
  </si>
  <si>
    <t>=IF($M1072&gt;=$P$18,U1072,0)</t>
  </si>
  <si>
    <t>=IF(AND($M1072&gt;=$Q$16,$M1072&lt;=$Q$18),U1072,0)</t>
  </si>
  <si>
    <t>=IF(AND($M1072&gt;=$R$16,$M1072&lt;=$R$18),U1072,0)</t>
  </si>
  <si>
    <t>=IF(AND($M1072&gt;=$S$16,$M1072&lt;=$S$18),U1072,0)</t>
  </si>
  <si>
    <t>=IF($M1072&lt;=$T$18,U1072,0)</t>
  </si>
  <si>
    <t>="""NAV Direct"",""CRONUS JetCorp USA"",""21"",""1"",""342575"""</t>
  </si>
  <si>
    <t>=E1071</t>
  </si>
  <si>
    <t>=StartDate-$M1073+1</t>
  </si>
  <si>
    <t>=SUM(P1073:T1073)</t>
  </si>
  <si>
    <t>=IF($M1073&gt;=$P$18,U1073,0)</t>
  </si>
  <si>
    <t>=IF(AND($M1073&gt;=$Q$16,$M1073&lt;=$Q$18),U1073,0)</t>
  </si>
  <si>
    <t>=IF(AND($M1073&gt;=$R$16,$M1073&lt;=$R$18),U1073,0)</t>
  </si>
  <si>
    <t>=IF(AND($M1073&gt;=$S$16,$M1073&lt;=$S$18),U1073,0)</t>
  </si>
  <si>
    <t>=IF($M1073&lt;=$T$18,U1073,0)</t>
  </si>
  <si>
    <t>="""NAV Direct"",""CRONUS JetCorp USA"",""21"",""1"",""342768"""</t>
  </si>
  <si>
    <t>=E1072</t>
  </si>
  <si>
    <t>=StartDate-$M1074+1</t>
  </si>
  <si>
    <t>=SUM(P1074:T1074)</t>
  </si>
  <si>
    <t>=IF($M1074&gt;=$P$18,U1074,0)</t>
  </si>
  <si>
    <t>=IF(AND($M1074&gt;=$Q$16,$M1074&lt;=$Q$18),U1074,0)</t>
  </si>
  <si>
    <t>=IF(AND($M1074&gt;=$R$16,$M1074&lt;=$R$18),U1074,0)</t>
  </si>
  <si>
    <t>=IF(AND($M1074&gt;=$S$16,$M1074&lt;=$S$18),U1074,0)</t>
  </si>
  <si>
    <t>=IF($M1074&lt;=$T$18,U1074,0)</t>
  </si>
  <si>
    <t>="""NAV Direct"",""CRONUS JetCorp USA"",""21"",""1"",""343152"""</t>
  </si>
  <si>
    <t>=E1073</t>
  </si>
  <si>
    <t>=StartDate-$M1075+1</t>
  </si>
  <si>
    <t>=SUM(P1075:T1075)</t>
  </si>
  <si>
    <t>=IF($M1075&gt;=$P$18,U1075,0)</t>
  </si>
  <si>
    <t>=IF(AND($M1075&gt;=$Q$16,$M1075&lt;=$Q$18),U1075,0)</t>
  </si>
  <si>
    <t>=IF(AND($M1075&gt;=$R$16,$M1075&lt;=$R$18),U1075,0)</t>
  </si>
  <si>
    <t>=IF(AND($M1075&gt;=$S$16,$M1075&lt;=$S$18),U1075,0)</t>
  </si>
  <si>
    <t>=IF($M1075&lt;=$T$18,U1075,0)</t>
  </si>
  <si>
    <t>="""NAV Direct"",""CRONUS JetCorp USA"",""21"",""1"",""343571"""</t>
  </si>
  <si>
    <t>=E1074</t>
  </si>
  <si>
    <t>=StartDate-$M1076+1</t>
  </si>
  <si>
    <t>=SUM(P1076:T1076)</t>
  </si>
  <si>
    <t>=IF($M1076&gt;=$P$18,U1076,0)</t>
  </si>
  <si>
    <t>=IF(AND($M1076&gt;=$Q$16,$M1076&lt;=$Q$18),U1076,0)</t>
  </si>
  <si>
    <t>=IF(AND($M1076&gt;=$R$16,$M1076&lt;=$R$18),U1076,0)</t>
  </si>
  <si>
    <t>=IF(AND($M1076&gt;=$S$16,$M1076&lt;=$S$18),U1076,0)</t>
  </si>
  <si>
    <t>=IF($M1076&lt;=$T$18,U1076,0)</t>
  </si>
  <si>
    <t>="""NAV Direct"",""CRONUS JetCorp USA"",""21"",""1"",""344076"""</t>
  </si>
  <si>
    <t>=E1075</t>
  </si>
  <si>
    <t>=StartDate-$M1077+1</t>
  </si>
  <si>
    <t>=SUM(P1077:T1077)</t>
  </si>
  <si>
    <t>=IF($M1077&gt;=$P$18,U1077,0)</t>
  </si>
  <si>
    <t>=IF(AND($M1077&gt;=$Q$16,$M1077&lt;=$Q$18),U1077,0)</t>
  </si>
  <si>
    <t>=IF(AND($M1077&gt;=$R$16,$M1077&lt;=$R$18),U1077,0)</t>
  </si>
  <si>
    <t>=IF(AND($M1077&gt;=$S$16,$M1077&lt;=$S$18),U1077,0)</t>
  </si>
  <si>
    <t>=IF($M1077&lt;=$T$18,U1077,0)</t>
  </si>
  <si>
    <t>="""NAV Direct"",""CRONUS JetCorp USA"",""21"",""1"",""344238"""</t>
  </si>
  <si>
    <t>=E1076</t>
  </si>
  <si>
    <t>=StartDate-$M1078+1</t>
  </si>
  <si>
    <t>=SUM(P1078:T1078)</t>
  </si>
  <si>
    <t>=IF($M1078&gt;=$P$18,U1078,0)</t>
  </si>
  <si>
    <t>=IF(AND($M1078&gt;=$Q$16,$M1078&lt;=$Q$18),U1078,0)</t>
  </si>
  <si>
    <t>=IF(AND($M1078&gt;=$R$16,$M1078&lt;=$R$18),U1078,0)</t>
  </si>
  <si>
    <t>=IF(AND($M1078&gt;=$S$16,$M1078&lt;=$S$18),U1078,0)</t>
  </si>
  <si>
    <t>=IF($M1078&lt;=$T$18,U1078,0)</t>
  </si>
  <si>
    <t>="""NAV Direct"",""CRONUS JetCorp USA"",""21"",""1"",""345483"""</t>
  </si>
  <si>
    <t>=E1077</t>
  </si>
  <si>
    <t>=StartDate-$M1079+1</t>
  </si>
  <si>
    <t>=SUM(P1079:T1079)</t>
  </si>
  <si>
    <t>=IF($M1079&gt;=$P$18,U1079,0)</t>
  </si>
  <si>
    <t>=IF(AND($M1079&gt;=$Q$16,$M1079&lt;=$Q$18),U1079,0)</t>
  </si>
  <si>
    <t>=IF(AND($M1079&gt;=$R$16,$M1079&lt;=$R$18),U1079,0)</t>
  </si>
  <si>
    <t>=IF(AND($M1079&gt;=$S$16,$M1079&lt;=$S$18),U1079,0)</t>
  </si>
  <si>
    <t>=IF($M1079&lt;=$T$18,U1079,0)</t>
  </si>
  <si>
    <t>="""NAV Direct"",""CRONUS JetCorp USA"",""21"",""1"",""345659"""</t>
  </si>
  <si>
    <t>=E1078</t>
  </si>
  <si>
    <t>=StartDate-$M1080+1</t>
  </si>
  <si>
    <t>=SUM(P1080:T1080)</t>
  </si>
  <si>
    <t>=IF($M1080&gt;=$P$18,U1080,0)</t>
  </si>
  <si>
    <t>=IF(AND($M1080&gt;=$Q$16,$M1080&lt;=$Q$18),U1080,0)</t>
  </si>
  <si>
    <t>=IF(AND($M1080&gt;=$R$16,$M1080&lt;=$R$18),U1080,0)</t>
  </si>
  <si>
    <t>=IF(AND($M1080&gt;=$S$16,$M1080&lt;=$S$18),U1080,0)</t>
  </si>
  <si>
    <t>=IF($M1080&lt;=$T$18,U1080,0)</t>
  </si>
  <si>
    <t>="""NAV Direct"",""CRONUS JetCorp USA"",""21"",""1"",""345696"""</t>
  </si>
  <si>
    <t>=E1079</t>
  </si>
  <si>
    <t>=StartDate-$M1081+1</t>
  </si>
  <si>
    <t>=SUM(P1081:T1081)</t>
  </si>
  <si>
    <t>=IF($M1081&gt;=$P$18,U1081,0)</t>
  </si>
  <si>
    <t>=IF(AND($M1081&gt;=$Q$16,$M1081&lt;=$Q$18),U1081,0)</t>
  </si>
  <si>
    <t>=IF(AND($M1081&gt;=$R$16,$M1081&lt;=$R$18),U1081,0)</t>
  </si>
  <si>
    <t>=IF(AND($M1081&gt;=$S$16,$M1081&lt;=$S$18),U1081,0)</t>
  </si>
  <si>
    <t>=IF($M1081&lt;=$T$18,U1081,0)</t>
  </si>
  <si>
    <t>="""NAV Direct"",""CRONUS JetCorp USA"",""21"",""1"",""346563"""</t>
  </si>
  <si>
    <t>=E1080</t>
  </si>
  <si>
    <t>=StartDate-$M1082+1</t>
  </si>
  <si>
    <t>=SUM(P1082:T1082)</t>
  </si>
  <si>
    <t>=IF($M1082&gt;=$P$18,U1082,0)</t>
  </si>
  <si>
    <t>=IF(AND($M1082&gt;=$Q$16,$M1082&lt;=$Q$18),U1082,0)</t>
  </si>
  <si>
    <t>=IF(AND($M1082&gt;=$R$16,$M1082&lt;=$R$18),U1082,0)</t>
  </si>
  <si>
    <t>=IF(AND($M1082&gt;=$S$16,$M1082&lt;=$S$18),U1082,0)</t>
  </si>
  <si>
    <t>=IF($M1082&lt;=$T$18,U1082,0)</t>
  </si>
  <si>
    <t>="""NAV Direct"",""CRONUS JetCorp USA"",""21"",""1"",""347727"""</t>
  </si>
  <si>
    <t>=E1081</t>
  </si>
  <si>
    <t>=StartDate-$M1083+1</t>
  </si>
  <si>
    <t>=SUM(P1083:T1083)</t>
  </si>
  <si>
    <t>=IF($M1083&gt;=$P$18,U1083,0)</t>
  </si>
  <si>
    <t>=IF(AND($M1083&gt;=$Q$16,$M1083&lt;=$Q$18),U1083,0)</t>
  </si>
  <si>
    <t>=IF(AND($M1083&gt;=$R$16,$M1083&lt;=$R$18),U1083,0)</t>
  </si>
  <si>
    <t>=IF(AND($M1083&gt;=$S$16,$M1083&lt;=$S$18),U1083,0)</t>
  </si>
  <si>
    <t>=IF($M1083&lt;=$T$18,U1083,0)</t>
  </si>
  <si>
    <t>="""NAV Direct"",""CRONUS JetCorp USA"",""21"",""1"",""348372"""</t>
  </si>
  <si>
    <t>=E1082</t>
  </si>
  <si>
    <t>=StartDate-$M1084+1</t>
  </si>
  <si>
    <t>=SUM(P1084:T1084)</t>
  </si>
  <si>
    <t>=IF($M1084&gt;=$P$18,U1084,0)</t>
  </si>
  <si>
    <t>=IF(AND($M1084&gt;=$Q$16,$M1084&lt;=$Q$18),U1084,0)</t>
  </si>
  <si>
    <t>=IF(AND($M1084&gt;=$R$16,$M1084&lt;=$R$18),U1084,0)</t>
  </si>
  <si>
    <t>=IF(AND($M1084&gt;=$S$16,$M1084&lt;=$S$18),U1084,0)</t>
  </si>
  <si>
    <t>=IF($M1084&lt;=$T$18,U1084,0)</t>
  </si>
  <si>
    <t>="""NAV Direct"",""CRONUS JetCorp USA"",""21"",""1"",""348532"""</t>
  </si>
  <si>
    <t>=E1083</t>
  </si>
  <si>
    <t>=StartDate-$M1085+1</t>
  </si>
  <si>
    <t>=SUM(P1085:T1085)</t>
  </si>
  <si>
    <t>=IF($M1085&gt;=$P$18,U1085,0)</t>
  </si>
  <si>
    <t>=IF(AND($M1085&gt;=$Q$16,$M1085&lt;=$Q$18),U1085,0)</t>
  </si>
  <si>
    <t>=IF(AND($M1085&gt;=$R$16,$M1085&lt;=$R$18),U1085,0)</t>
  </si>
  <si>
    <t>=IF(AND($M1085&gt;=$S$16,$M1085&lt;=$S$18),U1085,0)</t>
  </si>
  <si>
    <t>=IF($M1085&lt;=$T$18,U1085,0)</t>
  </si>
  <si>
    <t>="""NAV Direct"",""CRONUS JetCorp USA"",""21"",""1"",""348893"""</t>
  </si>
  <si>
    <t>=E1084</t>
  </si>
  <si>
    <t>=StartDate-$M1086+1</t>
  </si>
  <si>
    <t>=SUM(P1086:T1086)</t>
  </si>
  <si>
    <t>=IF($M1086&gt;=$P$18,U1086,0)</t>
  </si>
  <si>
    <t>=IF(AND($M1086&gt;=$Q$16,$M1086&lt;=$Q$18),U1086,0)</t>
  </si>
  <si>
    <t>=IF(AND($M1086&gt;=$R$16,$M1086&lt;=$R$18),U1086,0)</t>
  </si>
  <si>
    <t>=IF(AND($M1086&gt;=$S$16,$M1086&lt;=$S$18),U1086,0)</t>
  </si>
  <si>
    <t>=IF($M1086&lt;=$T$18,U1086,0)</t>
  </si>
  <si>
    <t>="""NAV Direct"",""CRONUS JetCorp USA"",""21"",""1"",""350257"""</t>
  </si>
  <si>
    <t>=E1085</t>
  </si>
  <si>
    <t>=StartDate-$M1087+1</t>
  </si>
  <si>
    <t>=SUM(P1087:T1087)</t>
  </si>
  <si>
    <t>=IF($M1087&gt;=$P$18,U1087,0)</t>
  </si>
  <si>
    <t>=IF(AND($M1087&gt;=$Q$16,$M1087&lt;=$Q$18),U1087,0)</t>
  </si>
  <si>
    <t>=IF(AND($M1087&gt;=$R$16,$M1087&lt;=$R$18),U1087,0)</t>
  </si>
  <si>
    <t>=IF(AND($M1087&gt;=$S$16,$M1087&lt;=$S$18),U1087,0)</t>
  </si>
  <si>
    <t>=IF($M1087&lt;=$T$18,U1087,0)</t>
  </si>
  <si>
    <t>="""NAV Direct"",""CRONUS JetCorp USA"",""21"",""1"",""350745"""</t>
  </si>
  <si>
    <t>=E1086</t>
  </si>
  <si>
    <t>=StartDate-$M1088+1</t>
  </si>
  <si>
    <t>=SUM(P1088:T1088)</t>
  </si>
  <si>
    <t>=IF($M1088&gt;=$P$18,U1088,0)</t>
  </si>
  <si>
    <t>=IF(AND($M1088&gt;=$Q$16,$M1088&lt;=$Q$18),U1088,0)</t>
  </si>
  <si>
    <t>=IF(AND($M1088&gt;=$R$16,$M1088&lt;=$R$18),U1088,0)</t>
  </si>
  <si>
    <t>=IF(AND($M1088&gt;=$S$16,$M1088&lt;=$S$18),U1088,0)</t>
  </si>
  <si>
    <t>=IF($M1088&lt;=$T$18,U1088,0)</t>
  </si>
  <si>
    <t>="""NAV Direct"",""CRONUS JetCorp USA"",""21"",""1"",""350784"""</t>
  </si>
  <si>
    <t>=E1087</t>
  </si>
  <si>
    <t>=StartDate-$M1089+1</t>
  </si>
  <si>
    <t>=SUM(P1089:T1089)</t>
  </si>
  <si>
    <t>=IF($M1089&gt;=$P$18,U1089,0)</t>
  </si>
  <si>
    <t>=IF(AND($M1089&gt;=$Q$16,$M1089&lt;=$Q$18),U1089,0)</t>
  </si>
  <si>
    <t>=IF(AND($M1089&gt;=$R$16,$M1089&lt;=$R$18),U1089,0)</t>
  </si>
  <si>
    <t>=IF(AND($M1089&gt;=$S$16,$M1089&lt;=$S$18),U1089,0)</t>
  </si>
  <si>
    <t>=IF($M1089&lt;=$T$18,U1089,0)</t>
  </si>
  <si>
    <t>="""NAV Direct"",""CRONUS JetCorp USA"",""21"",""1"",""350825"""</t>
  </si>
  <si>
    <t>=E1088</t>
  </si>
  <si>
    <t>=StartDate-$M1090+1</t>
  </si>
  <si>
    <t>=SUM(P1090:T1090)</t>
  </si>
  <si>
    <t>=IF($M1090&gt;=$P$18,U1090,0)</t>
  </si>
  <si>
    <t>=IF(AND($M1090&gt;=$Q$16,$M1090&lt;=$Q$18),U1090,0)</t>
  </si>
  <si>
    <t>=IF(AND($M1090&gt;=$R$16,$M1090&lt;=$R$18),U1090,0)</t>
  </si>
  <si>
    <t>=IF(AND($M1090&gt;=$S$16,$M1090&lt;=$S$18),U1090,0)</t>
  </si>
  <si>
    <t>=IF($M1090&lt;=$T$18,U1090,0)</t>
  </si>
  <si>
    <t>="""NAV Direct"",""CRONUS JetCorp USA"",""21"",""1"",""350992"""</t>
  </si>
  <si>
    <t>=E1089</t>
  </si>
  <si>
    <t>=StartDate-$M1091+1</t>
  </si>
  <si>
    <t>=SUM(P1091:T1091)</t>
  </si>
  <si>
    <t>=IF($M1091&gt;=$P$18,U1091,0)</t>
  </si>
  <si>
    <t>=IF(AND($M1091&gt;=$Q$16,$M1091&lt;=$Q$18),U1091,0)</t>
  </si>
  <si>
    <t>=IF(AND($M1091&gt;=$R$16,$M1091&lt;=$R$18),U1091,0)</t>
  </si>
  <si>
    <t>=IF(AND($M1091&gt;=$S$16,$M1091&lt;=$S$18),U1091,0)</t>
  </si>
  <si>
    <t>=IF($M1091&lt;=$T$18,U1091,0)</t>
  </si>
  <si>
    <t>="""NAV Direct"",""CRONUS JetCorp USA"",""21"",""1"",""351074"""</t>
  </si>
  <si>
    <t>=E1090</t>
  </si>
  <si>
    <t>=StartDate-$M1092+1</t>
  </si>
  <si>
    <t>=SUM(P1092:T1092)</t>
  </si>
  <si>
    <t>=IF($M1092&gt;=$P$18,U1092,0)</t>
  </si>
  <si>
    <t>=IF(AND($M1092&gt;=$Q$16,$M1092&lt;=$Q$18),U1092,0)</t>
  </si>
  <si>
    <t>=IF(AND($M1092&gt;=$R$16,$M1092&lt;=$R$18),U1092,0)</t>
  </si>
  <si>
    <t>=IF(AND($M1092&gt;=$S$16,$M1092&lt;=$S$18),U1092,0)</t>
  </si>
  <si>
    <t>=IF($M1092&lt;=$T$18,U1092,0)</t>
  </si>
  <si>
    <t>="""NAV Direct"",""CRONUS JetCorp USA"",""21"",""1"",""351183"""</t>
  </si>
  <si>
    <t>=E1091</t>
  </si>
  <si>
    <t>=StartDate-$M1093+1</t>
  </si>
  <si>
    <t>=SUM(P1093:T1093)</t>
  </si>
  <si>
    <t>=IF($M1093&gt;=$P$18,U1093,0)</t>
  </si>
  <si>
    <t>=IF(AND($M1093&gt;=$Q$16,$M1093&lt;=$Q$18),U1093,0)</t>
  </si>
  <si>
    <t>=IF(AND($M1093&gt;=$R$16,$M1093&lt;=$R$18),U1093,0)</t>
  </si>
  <si>
    <t>=IF(AND($M1093&gt;=$S$16,$M1093&lt;=$S$18),U1093,0)</t>
  </si>
  <si>
    <t>=IF($M1093&lt;=$T$18,U1093,0)</t>
  </si>
  <si>
    <t>="""NAV Direct"",""CRONUS JetCorp USA"",""21"",""1"",""351226"""</t>
  </si>
  <si>
    <t>=E1092</t>
  </si>
  <si>
    <t>=StartDate-$M1094+1</t>
  </si>
  <si>
    <t>=SUM(P1094:T1094)</t>
  </si>
  <si>
    <t>=IF($M1094&gt;=$P$18,U1094,0)</t>
  </si>
  <si>
    <t>=IF(AND($M1094&gt;=$Q$16,$M1094&lt;=$Q$18),U1094,0)</t>
  </si>
  <si>
    <t>=IF(AND($M1094&gt;=$R$16,$M1094&lt;=$R$18),U1094,0)</t>
  </si>
  <si>
    <t>=IF(AND($M1094&gt;=$S$16,$M1094&lt;=$S$18),U1094,0)</t>
  </si>
  <si>
    <t>=IF($M1094&lt;=$T$18,U1094,0)</t>
  </si>
  <si>
    <t>="""NAV Direct"",""CRONUS JetCorp USA"",""21"",""1"",""351281"""</t>
  </si>
  <si>
    <t>=E1093</t>
  </si>
  <si>
    <t>=StartDate-$M1095+1</t>
  </si>
  <si>
    <t>=SUM(P1095:T1095)</t>
  </si>
  <si>
    <t>=IF($M1095&gt;=$P$18,U1095,0)</t>
  </si>
  <si>
    <t>=IF(AND($M1095&gt;=$Q$16,$M1095&lt;=$Q$18),U1095,0)</t>
  </si>
  <si>
    <t>=IF(AND($M1095&gt;=$R$16,$M1095&lt;=$R$18),U1095,0)</t>
  </si>
  <si>
    <t>=IF(AND($M1095&gt;=$S$16,$M1095&lt;=$S$18),U1095,0)</t>
  </si>
  <si>
    <t>=IF($M1095&lt;=$T$18,U1095,0)</t>
  </si>
  <si>
    <t>="""NAV Direct"",""CRONUS JetCorp USA"",""21"",""1"",""433572"""</t>
  </si>
  <si>
    <t>=E1094</t>
  </si>
  <si>
    <t>=StartDate-$M1096+1</t>
  </si>
  <si>
    <t>=SUM(P1096:T1096)</t>
  </si>
  <si>
    <t>=IF($M1096&gt;=$P$18,U1096,0)</t>
  </si>
  <si>
    <t>=IF(AND($M1096&gt;=$Q$16,$M1096&lt;=$Q$18),U1096,0)</t>
  </si>
  <si>
    <t>=IF(AND($M1096&gt;=$R$16,$M1096&lt;=$R$18),U1096,0)</t>
  </si>
  <si>
    <t>=IF(AND($M1096&gt;=$S$16,$M1096&lt;=$S$18),U1096,0)</t>
  </si>
  <si>
    <t>=IF($M1096&lt;=$T$18,U1096,0)</t>
  </si>
  <si>
    <t>="""NAV Direct"",""CRONUS JetCorp USA"",""21"",""1"",""433666"""</t>
  </si>
  <si>
    <t>=E1095</t>
  </si>
  <si>
    <t>=StartDate-$M1097+1</t>
  </si>
  <si>
    <t>=SUM(P1097:T1097)</t>
  </si>
  <si>
    <t>=IF($M1097&gt;=$P$18,U1097,0)</t>
  </si>
  <si>
    <t>=IF(AND($M1097&gt;=$Q$16,$M1097&lt;=$Q$18),U1097,0)</t>
  </si>
  <si>
    <t>=IF(AND($M1097&gt;=$R$16,$M1097&lt;=$R$18),U1097,0)</t>
  </si>
  <si>
    <t>=IF(AND($M1097&gt;=$S$16,$M1097&lt;=$S$18),U1097,0)</t>
  </si>
  <si>
    <t>=IF($M1097&lt;=$T$18,U1097,0)</t>
  </si>
  <si>
    <t>="""NAV Direct"",""CRONUS JetCorp USA"",""21"",""1"",""433722"""</t>
  </si>
  <si>
    <t>=E1096</t>
  </si>
  <si>
    <t>=StartDate-$M1098+1</t>
  </si>
  <si>
    <t>=SUM(P1098:T1098)</t>
  </si>
  <si>
    <t>=IF($M1098&gt;=$P$18,U1098,0)</t>
  </si>
  <si>
    <t>=IF(AND($M1098&gt;=$Q$16,$M1098&lt;=$Q$18),U1098,0)</t>
  </si>
  <si>
    <t>=IF(AND($M1098&gt;=$R$16,$M1098&lt;=$R$18),U1098,0)</t>
  </si>
  <si>
    <t>=IF(AND($M1098&gt;=$S$16,$M1098&lt;=$S$18),U1098,0)</t>
  </si>
  <si>
    <t>=IF($M1098&lt;=$T$18,U1098,0)</t>
  </si>
  <si>
    <t>="""NAV Direct"",""CRONUS JetCorp USA"",""21"",""1"",""433733"""</t>
  </si>
  <si>
    <t>=E1097</t>
  </si>
  <si>
    <t>=StartDate-$M1099+1</t>
  </si>
  <si>
    <t>=SUM(P1099:T1099)</t>
  </si>
  <si>
    <t>=IF($M1099&gt;=$P$18,U1099,0)</t>
  </si>
  <si>
    <t>=IF(AND($M1099&gt;=$Q$16,$M1099&lt;=$Q$18),U1099,0)</t>
  </si>
  <si>
    <t>=IF(AND($M1099&gt;=$R$16,$M1099&lt;=$R$18),U1099,0)</t>
  </si>
  <si>
    <t>=IF(AND($M1099&gt;=$S$16,$M1099&lt;=$S$18),U1099,0)</t>
  </si>
  <si>
    <t>=IF($M1099&lt;=$T$18,U1099,0)</t>
  </si>
  <si>
    <t>="""NAV Direct"",""CRONUS JetCorp USA"",""21"",""1"",""433752"""</t>
  </si>
  <si>
    <t>=E1098</t>
  </si>
  <si>
    <t>=StartDate-$M1100+1</t>
  </si>
  <si>
    <t>=SUM(P1100:T1100)</t>
  </si>
  <si>
    <t>=IF($M1100&gt;=$P$18,U1100,0)</t>
  </si>
  <si>
    <t>=IF(AND($M1100&gt;=$Q$16,$M1100&lt;=$Q$18),U1100,0)</t>
  </si>
  <si>
    <t>=IF(AND($M1100&gt;=$R$16,$M1100&lt;=$R$18),U1100,0)</t>
  </si>
  <si>
    <t>=IF(AND($M1100&gt;=$S$16,$M1100&lt;=$S$18),U1100,0)</t>
  </si>
  <si>
    <t>=IF($M1100&lt;=$T$18,U1100,0)</t>
  </si>
  <si>
    <t>="""NAV Direct"",""CRONUS JetCorp USA"",""21"",""1"",""433840"""</t>
  </si>
  <si>
    <t>=E1099</t>
  </si>
  <si>
    <t>=StartDate-$M1101+1</t>
  </si>
  <si>
    <t>=SUM(P1101:T1101)</t>
  </si>
  <si>
    <t>=IF($M1101&gt;=$P$18,U1101,0)</t>
  </si>
  <si>
    <t>=IF(AND($M1101&gt;=$Q$16,$M1101&lt;=$Q$18),U1101,0)</t>
  </si>
  <si>
    <t>=IF(AND($M1101&gt;=$R$16,$M1101&lt;=$R$18),U1101,0)</t>
  </si>
  <si>
    <t>=IF(AND($M1101&gt;=$S$16,$M1101&lt;=$S$18),U1101,0)</t>
  </si>
  <si>
    <t>=IF($M1101&lt;=$T$18,U1101,0)</t>
  </si>
  <si>
    <t>="""NAV Direct"",""CRONUS JetCorp USA"",""21"",""1"",""434044"""</t>
  </si>
  <si>
    <t>=E1100</t>
  </si>
  <si>
    <t>=StartDate-$M1102+1</t>
  </si>
  <si>
    <t>=SUM(P1102:T1102)</t>
  </si>
  <si>
    <t>=IF($M1102&gt;=$P$18,U1102,0)</t>
  </si>
  <si>
    <t>=IF(AND($M1102&gt;=$Q$16,$M1102&lt;=$Q$18),U1102,0)</t>
  </si>
  <si>
    <t>=IF(AND($M1102&gt;=$R$16,$M1102&lt;=$R$18),U1102,0)</t>
  </si>
  <si>
    <t>=IF(AND($M1102&gt;=$S$16,$M1102&lt;=$S$18),U1102,0)</t>
  </si>
  <si>
    <t>=IF($M1102&lt;=$T$18,U1102,0)</t>
  </si>
  <si>
    <t>="""NAV Direct"",""CRONUS JetCorp USA"",""21"",""1"",""434215"""</t>
  </si>
  <si>
    <t>=E1101</t>
  </si>
  <si>
    <t>=StartDate-$M1103+1</t>
  </si>
  <si>
    <t>=SUM(P1103:T1103)</t>
  </si>
  <si>
    <t>=IF($M1103&gt;=$P$18,U1103,0)</t>
  </si>
  <si>
    <t>=IF(AND($M1103&gt;=$Q$16,$M1103&lt;=$Q$18),U1103,0)</t>
  </si>
  <si>
    <t>=IF(AND($M1103&gt;=$R$16,$M1103&lt;=$R$18),U1103,0)</t>
  </si>
  <si>
    <t>=IF(AND($M1103&gt;=$S$16,$M1103&lt;=$S$18),U1103,0)</t>
  </si>
  <si>
    <t>=IF($M1103&lt;=$T$18,U1103,0)</t>
  </si>
  <si>
    <t>="""NAV Direct"",""CRONUS JetCorp USA"",""21"",""1"",""434335"""</t>
  </si>
  <si>
    <t>=E1102</t>
  </si>
  <si>
    <t>=StartDate-$M1104+1</t>
  </si>
  <si>
    <t>=SUM(P1104:T1104)</t>
  </si>
  <si>
    <t>=IF($M1104&gt;=$P$18,U1104,0)</t>
  </si>
  <si>
    <t>=IF(AND($M1104&gt;=$Q$16,$M1104&lt;=$Q$18),U1104,0)</t>
  </si>
  <si>
    <t>=IF(AND($M1104&gt;=$R$16,$M1104&lt;=$R$18),U1104,0)</t>
  </si>
  <si>
    <t>=IF(AND($M1104&gt;=$S$16,$M1104&lt;=$S$18),U1104,0)</t>
  </si>
  <si>
    <t>=IF($M1104&lt;=$T$18,U1104,0)</t>
  </si>
  <si>
    <t>="""NAV Direct"",""CRONUS JetCorp USA"",""21"",""1"",""434574"""</t>
  </si>
  <si>
    <t>=E1103</t>
  </si>
  <si>
    <t>=StartDate-$M1105+1</t>
  </si>
  <si>
    <t>=SUM(P1105:T1105)</t>
  </si>
  <si>
    <t>=IF($M1105&gt;=$P$18,U1105,0)</t>
  </si>
  <si>
    <t>=IF(AND($M1105&gt;=$Q$16,$M1105&lt;=$Q$18),U1105,0)</t>
  </si>
  <si>
    <t>=IF(AND($M1105&gt;=$R$16,$M1105&lt;=$R$18),U1105,0)</t>
  </si>
  <si>
    <t>=IF(AND($M1105&gt;=$S$16,$M1105&lt;=$S$18),U1105,0)</t>
  </si>
  <si>
    <t>=IF($M1105&lt;=$T$18,U1105,0)</t>
  </si>
  <si>
    <t>="""NAV Direct"",""CRONUS JetCorp USA"",""21"",""1"",""434695"""</t>
  </si>
  <si>
    <t>=E1104</t>
  </si>
  <si>
    <t>=StartDate-$M1106+1</t>
  </si>
  <si>
    <t>=SUM(P1106:T1106)</t>
  </si>
  <si>
    <t>=IF($M1106&gt;=$P$18,U1106,0)</t>
  </si>
  <si>
    <t>=IF(AND($M1106&gt;=$Q$16,$M1106&lt;=$Q$18),U1106,0)</t>
  </si>
  <si>
    <t>=IF(AND($M1106&gt;=$R$16,$M1106&lt;=$R$18),U1106,0)</t>
  </si>
  <si>
    <t>=IF(AND($M1106&gt;=$S$16,$M1106&lt;=$S$18),U1106,0)</t>
  </si>
  <si>
    <t>=IF($M1106&lt;=$T$18,U1106,0)</t>
  </si>
  <si>
    <t>="""NAV Direct"",""CRONUS JetCorp USA"",""18"",""1"",""C100040"""</t>
  </si>
  <si>
    <t>=H1109</t>
  </si>
  <si>
    <t>=NF($C1109,"1 No.")</t>
  </si>
  <si>
    <t>=NF($C1109,"1 No.")&amp;"  -  "&amp;NF($C1109,"2 Name")</t>
  </si>
  <si>
    <t>=IFERROR(O1109/NF(C1109,"Credit Limit (LCY)"),"")</t>
  </si>
  <si>
    <t>=SUBTOTAL(3,L1110:L1175)</t>
  </si>
  <si>
    <t>=SUBTOTAL(9,O1110:O1175)</t>
  </si>
  <si>
    <t>=SUBTOTAL(9,P1110:P1175)</t>
  </si>
  <si>
    <t>=SUBTOTAL(9,Q1110:Q1175)</t>
  </si>
  <si>
    <t>=SUBTOTAL(9,R1110:R1175)</t>
  </si>
  <si>
    <t>=SUBTOTAL(9,S1110:S1175)</t>
  </si>
  <si>
    <t>=SUBTOTAL(9,T1110:T1175)</t>
  </si>
  <si>
    <t>=C1109</t>
  </si>
  <si>
    <t>=E1109</t>
  </si>
  <si>
    <t>="Contact: "&amp;NF($C1110,"8 Contact")</t>
  </si>
  <si>
    <t>=C1110</t>
  </si>
  <si>
    <t>=E1110</t>
  </si>
  <si>
    <t>=NF($C1111,"102 E-Mail")</t>
  </si>
  <si>
    <t>=NL("Rows","21 Cust. Ledger Entry",,"3 Customer No.","@@"&amp;$E1113,"16 Remaining Amt. (LCY)","&lt;&gt;0")</t>
  </si>
  <si>
    <t>=E1111</t>
  </si>
  <si>
    <t>=StartDate-$M1113+1</t>
  </si>
  <si>
    <t>=SUM(P1113:T1113)</t>
  </si>
  <si>
    <t>=IF($M1113&gt;=$P$18,U1113,0)</t>
  </si>
  <si>
    <t>=IF(AND($M1113&gt;=$Q$16,$M1113&lt;=$Q$18),U1113,0)</t>
  </si>
  <si>
    <t>=IF(AND($M1113&gt;=$R$16,$M1113&lt;=$R$18),U1113,0)</t>
  </si>
  <si>
    <t>=IF(AND($M1113&gt;=$S$16,$M1113&lt;=$S$18),U1113,0)</t>
  </si>
  <si>
    <t>=IF($M1113&lt;=$T$18,U1113,0)</t>
  </si>
  <si>
    <t>="""NAV Direct"",""CRONUS JetCorp USA"",""21"",""1"",""86021"""</t>
  </si>
  <si>
    <t>=E1112</t>
  </si>
  <si>
    <t>=StartDate-$M1114+1</t>
  </si>
  <si>
    <t>=SUM(P1114:T1114)</t>
  </si>
  <si>
    <t>=IF($M1114&gt;=$P$18,U1114,0)</t>
  </si>
  <si>
    <t>=IF(AND($M1114&gt;=$Q$16,$M1114&lt;=$Q$18),U1114,0)</t>
  </si>
  <si>
    <t>=IF(AND($M1114&gt;=$R$16,$M1114&lt;=$R$18),U1114,0)</t>
  </si>
  <si>
    <t>=IF(AND($M1114&gt;=$S$16,$M1114&lt;=$S$18),U1114,0)</t>
  </si>
  <si>
    <t>=IF($M1114&lt;=$T$18,U1114,0)</t>
  </si>
  <si>
    <t>="""NAV Direct"",""CRONUS JetCorp USA"",""21"",""1"",""86282"""</t>
  </si>
  <si>
    <t>=E1113</t>
  </si>
  <si>
    <t>=StartDate-$M1115+1</t>
  </si>
  <si>
    <t>=SUM(P1115:T1115)</t>
  </si>
  <si>
    <t>=IF($M1115&gt;=$P$18,U1115,0)</t>
  </si>
  <si>
    <t>=IF(AND($M1115&gt;=$Q$16,$M1115&lt;=$Q$18),U1115,0)</t>
  </si>
  <si>
    <t>=IF(AND($M1115&gt;=$R$16,$M1115&lt;=$R$18),U1115,0)</t>
  </si>
  <si>
    <t>=IF(AND($M1115&gt;=$S$16,$M1115&lt;=$S$18),U1115,0)</t>
  </si>
  <si>
    <t>=IF($M1115&lt;=$T$18,U1115,0)</t>
  </si>
  <si>
    <t>="""NAV Direct"",""CRONUS JetCorp USA"",""21"",""1"",""86352"""</t>
  </si>
  <si>
    <t>=E1114</t>
  </si>
  <si>
    <t>=StartDate-$M1116+1</t>
  </si>
  <si>
    <t>=SUM(P1116:T1116)</t>
  </si>
  <si>
    <t>=IF($M1116&gt;=$P$18,U1116,0)</t>
  </si>
  <si>
    <t>=IF(AND($M1116&gt;=$Q$16,$M1116&lt;=$Q$18),U1116,0)</t>
  </si>
  <si>
    <t>=IF(AND($M1116&gt;=$R$16,$M1116&lt;=$R$18),U1116,0)</t>
  </si>
  <si>
    <t>=IF(AND($M1116&gt;=$S$16,$M1116&lt;=$S$18),U1116,0)</t>
  </si>
  <si>
    <t>=IF($M1116&lt;=$T$18,U1116,0)</t>
  </si>
  <si>
    <t>="""NAV Direct"",""CRONUS JetCorp USA"",""21"",""1"",""86381"""</t>
  </si>
  <si>
    <t>=E1115</t>
  </si>
  <si>
    <t>=StartDate-$M1117+1</t>
  </si>
  <si>
    <t>=SUM(P1117:T1117)</t>
  </si>
  <si>
    <t>=IF($M1117&gt;=$P$18,U1117,0)</t>
  </si>
  <si>
    <t>=IF(AND($M1117&gt;=$Q$16,$M1117&lt;=$Q$18),U1117,0)</t>
  </si>
  <si>
    <t>=IF(AND($M1117&gt;=$R$16,$M1117&lt;=$R$18),U1117,0)</t>
  </si>
  <si>
    <t>=IF(AND($M1117&gt;=$S$16,$M1117&lt;=$S$18),U1117,0)</t>
  </si>
  <si>
    <t>=IF($M1117&lt;=$T$18,U1117,0)</t>
  </si>
  <si>
    <t>="""NAV Direct"",""CRONUS JetCorp USA"",""21"",""1"",""86465"""</t>
  </si>
  <si>
    <t>=E1116</t>
  </si>
  <si>
    <t>=StartDate-$M1118+1</t>
  </si>
  <si>
    <t>=SUM(P1118:T1118)</t>
  </si>
  <si>
    <t>=IF($M1118&gt;=$P$18,U1118,0)</t>
  </si>
  <si>
    <t>=IF(AND($M1118&gt;=$Q$16,$M1118&lt;=$Q$18),U1118,0)</t>
  </si>
  <si>
    <t>=IF(AND($M1118&gt;=$R$16,$M1118&lt;=$R$18),U1118,0)</t>
  </si>
  <si>
    <t>=IF(AND($M1118&gt;=$S$16,$M1118&lt;=$S$18),U1118,0)</t>
  </si>
  <si>
    <t>=IF($M1118&lt;=$T$18,U1118,0)</t>
  </si>
  <si>
    <t>="""NAV Direct"",""CRONUS JetCorp USA"",""21"",""1"",""360932"""</t>
  </si>
  <si>
    <t>=E1117</t>
  </si>
  <si>
    <t>=StartDate-$M1119+1</t>
  </si>
  <si>
    <t>=SUM(P1119:T1119)</t>
  </si>
  <si>
    <t>=IF($M1119&gt;=$P$18,U1119,0)</t>
  </si>
  <si>
    <t>=IF(AND($M1119&gt;=$Q$16,$M1119&lt;=$Q$18),U1119,0)</t>
  </si>
  <si>
    <t>=IF(AND($M1119&gt;=$R$16,$M1119&lt;=$R$18),U1119,0)</t>
  </si>
  <si>
    <t>=IF(AND($M1119&gt;=$S$16,$M1119&lt;=$S$18),U1119,0)</t>
  </si>
  <si>
    <t>=IF($M1119&lt;=$T$18,U1119,0)</t>
  </si>
  <si>
    <t>="""NAV Direct"",""CRONUS JetCorp USA"",""21"",""1"",""361110"""</t>
  </si>
  <si>
    <t>=E1118</t>
  </si>
  <si>
    <t>=StartDate-$M1120+1</t>
  </si>
  <si>
    <t>=SUM(P1120:T1120)</t>
  </si>
  <si>
    <t>=IF($M1120&gt;=$P$18,U1120,0)</t>
  </si>
  <si>
    <t>=IF(AND($M1120&gt;=$Q$16,$M1120&lt;=$Q$18),U1120,0)</t>
  </si>
  <si>
    <t>=IF(AND($M1120&gt;=$R$16,$M1120&lt;=$R$18),U1120,0)</t>
  </si>
  <si>
    <t>=IF(AND($M1120&gt;=$S$16,$M1120&lt;=$S$18),U1120,0)</t>
  </si>
  <si>
    <t>=IF($M1120&lt;=$T$18,U1120,0)</t>
  </si>
  <si>
    <t>="""NAV Direct"",""CRONUS JetCorp USA"",""21"",""1"",""361635"""</t>
  </si>
  <si>
    <t>=E1119</t>
  </si>
  <si>
    <t>=StartDate-$M1121+1</t>
  </si>
  <si>
    <t>=SUM(P1121:T1121)</t>
  </si>
  <si>
    <t>=IF($M1121&gt;=$P$18,U1121,0)</t>
  </si>
  <si>
    <t>=IF(AND($M1121&gt;=$Q$16,$M1121&lt;=$Q$18),U1121,0)</t>
  </si>
  <si>
    <t>=IF(AND($M1121&gt;=$R$16,$M1121&lt;=$R$18),U1121,0)</t>
  </si>
  <si>
    <t>=IF(AND($M1121&gt;=$S$16,$M1121&lt;=$S$18),U1121,0)</t>
  </si>
  <si>
    <t>=IF($M1121&lt;=$T$18,U1121,0)</t>
  </si>
  <si>
    <t>="""NAV Direct"",""CRONUS JetCorp USA"",""21"",""1"",""362539"""</t>
  </si>
  <si>
    <t>=E1120</t>
  </si>
  <si>
    <t>=StartDate-$M1122+1</t>
  </si>
  <si>
    <t>=SUM(P1122:T1122)</t>
  </si>
  <si>
    <t>=IF($M1122&gt;=$P$18,U1122,0)</t>
  </si>
  <si>
    <t>=IF(AND($M1122&gt;=$Q$16,$M1122&lt;=$Q$18),U1122,0)</t>
  </si>
  <si>
    <t>=IF(AND($M1122&gt;=$R$16,$M1122&lt;=$R$18),U1122,0)</t>
  </si>
  <si>
    <t>=IF(AND($M1122&gt;=$S$16,$M1122&lt;=$S$18),U1122,0)</t>
  </si>
  <si>
    <t>=IF($M1122&lt;=$T$18,U1122,0)</t>
  </si>
  <si>
    <t>="""NAV Direct"",""CRONUS JetCorp USA"",""21"",""1"",""362687"""</t>
  </si>
  <si>
    <t>=E1121</t>
  </si>
  <si>
    <t>=StartDate-$M1123+1</t>
  </si>
  <si>
    <t>=SUM(P1123:T1123)</t>
  </si>
  <si>
    <t>=IF($M1123&gt;=$P$18,U1123,0)</t>
  </si>
  <si>
    <t>=IF(AND($M1123&gt;=$Q$16,$M1123&lt;=$Q$18),U1123,0)</t>
  </si>
  <si>
    <t>=IF(AND($M1123&gt;=$R$16,$M1123&lt;=$R$18),U1123,0)</t>
  </si>
  <si>
    <t>=IF(AND($M1123&gt;=$S$16,$M1123&lt;=$S$18),U1123,0)</t>
  </si>
  <si>
    <t>=IF($M1123&lt;=$T$18,U1123,0)</t>
  </si>
  <si>
    <t>="""NAV Direct"",""CRONUS JetCorp USA"",""21"",""1"",""362885"""</t>
  </si>
  <si>
    <t>=E1122</t>
  </si>
  <si>
    <t>=StartDate-$M1124+1</t>
  </si>
  <si>
    <t>=SUM(P1124:T1124)</t>
  </si>
  <si>
    <t>=IF($M1124&gt;=$P$18,U1124,0)</t>
  </si>
  <si>
    <t>=IF(AND($M1124&gt;=$Q$16,$M1124&lt;=$Q$18),U1124,0)</t>
  </si>
  <si>
    <t>=IF(AND($M1124&gt;=$R$16,$M1124&lt;=$R$18),U1124,0)</t>
  </si>
  <si>
    <t>=IF(AND($M1124&gt;=$S$16,$M1124&lt;=$S$18),U1124,0)</t>
  </si>
  <si>
    <t>=IF($M1124&lt;=$T$18,U1124,0)</t>
  </si>
  <si>
    <t>="""NAV Direct"",""CRONUS JetCorp USA"",""21"",""1"",""362963"""</t>
  </si>
  <si>
    <t>=E1123</t>
  </si>
  <si>
    <t>=StartDate-$M1125+1</t>
  </si>
  <si>
    <t>=SUM(P1125:T1125)</t>
  </si>
  <si>
    <t>=IF($M1125&gt;=$P$18,U1125,0)</t>
  </si>
  <si>
    <t>=IF(AND($M1125&gt;=$Q$16,$M1125&lt;=$Q$18),U1125,0)</t>
  </si>
  <si>
    <t>=IF(AND($M1125&gt;=$R$16,$M1125&lt;=$R$18),U1125,0)</t>
  </si>
  <si>
    <t>=IF(AND($M1125&gt;=$S$16,$M1125&lt;=$S$18),U1125,0)</t>
  </si>
  <si>
    <t>=IF($M1125&lt;=$T$18,U1125,0)</t>
  </si>
  <si>
    <t>="""NAV Direct"",""CRONUS JetCorp USA"",""21"",""1"",""363058"""</t>
  </si>
  <si>
    <t>=E1124</t>
  </si>
  <si>
    <t>=StartDate-$M1126+1</t>
  </si>
  <si>
    <t>=SUM(P1126:T1126)</t>
  </si>
  <si>
    <t>=IF($M1126&gt;=$P$18,U1126,0)</t>
  </si>
  <si>
    <t>=IF(AND($M1126&gt;=$Q$16,$M1126&lt;=$Q$18),U1126,0)</t>
  </si>
  <si>
    <t>=IF(AND($M1126&gt;=$R$16,$M1126&lt;=$R$18),U1126,0)</t>
  </si>
  <si>
    <t>=IF(AND($M1126&gt;=$S$16,$M1126&lt;=$S$18),U1126,0)</t>
  </si>
  <si>
    <t>=IF($M1126&lt;=$T$18,U1126,0)</t>
  </si>
  <si>
    <t>="""NAV Direct"",""CRONUS JetCorp USA"",""21"",""1"",""363351"""</t>
  </si>
  <si>
    <t>=E1125</t>
  </si>
  <si>
    <t>=StartDate-$M1127+1</t>
  </si>
  <si>
    <t>=SUM(P1127:T1127)</t>
  </si>
  <si>
    <t>=IF($M1127&gt;=$P$18,U1127,0)</t>
  </si>
  <si>
    <t>=IF(AND($M1127&gt;=$Q$16,$M1127&lt;=$Q$18),U1127,0)</t>
  </si>
  <si>
    <t>=IF(AND($M1127&gt;=$R$16,$M1127&lt;=$R$18),U1127,0)</t>
  </si>
  <si>
    <t>=IF(AND($M1127&gt;=$S$16,$M1127&lt;=$S$18),U1127,0)</t>
  </si>
  <si>
    <t>=IF($M1127&lt;=$T$18,U1127,0)</t>
  </si>
  <si>
    <t>="""NAV Direct"",""CRONUS JetCorp USA"",""21"",""1"",""363944"""</t>
  </si>
  <si>
    <t>=E1126</t>
  </si>
  <si>
    <t>=StartDate-$M1128+1</t>
  </si>
  <si>
    <t>=SUM(P1128:T1128)</t>
  </si>
  <si>
    <t>=IF($M1128&gt;=$P$18,U1128,0)</t>
  </si>
  <si>
    <t>=IF(AND($M1128&gt;=$Q$16,$M1128&lt;=$Q$18),U1128,0)</t>
  </si>
  <si>
    <t>=IF(AND($M1128&gt;=$R$16,$M1128&lt;=$R$18),U1128,0)</t>
  </si>
  <si>
    <t>=IF(AND($M1128&gt;=$S$16,$M1128&lt;=$S$18),U1128,0)</t>
  </si>
  <si>
    <t>=IF($M1128&lt;=$T$18,U1128,0)</t>
  </si>
  <si>
    <t>="""NAV Direct"",""CRONUS JetCorp USA"",""21"",""1"",""364530"""</t>
  </si>
  <si>
    <t>=E1127</t>
  </si>
  <si>
    <t>=StartDate-$M1129+1</t>
  </si>
  <si>
    <t>=SUM(P1129:T1129)</t>
  </si>
  <si>
    <t>=IF($M1129&gt;=$P$18,U1129,0)</t>
  </si>
  <si>
    <t>=IF(AND($M1129&gt;=$Q$16,$M1129&lt;=$Q$18),U1129,0)</t>
  </si>
  <si>
    <t>=IF(AND($M1129&gt;=$R$16,$M1129&lt;=$R$18),U1129,0)</t>
  </si>
  <si>
    <t>=IF(AND($M1129&gt;=$S$16,$M1129&lt;=$S$18),U1129,0)</t>
  </si>
  <si>
    <t>=IF($M1129&lt;=$T$18,U1129,0)</t>
  </si>
  <si>
    <t>="""NAV Direct"",""CRONUS JetCorp USA"",""21"",""1"",""365065"""</t>
  </si>
  <si>
    <t>=E1128</t>
  </si>
  <si>
    <t>=StartDate-$M1130+1</t>
  </si>
  <si>
    <t>=SUM(P1130:T1130)</t>
  </si>
  <si>
    <t>=IF($M1130&gt;=$P$18,U1130,0)</t>
  </si>
  <si>
    <t>=IF(AND($M1130&gt;=$Q$16,$M1130&lt;=$Q$18),U1130,0)</t>
  </si>
  <si>
    <t>=IF(AND($M1130&gt;=$R$16,$M1130&lt;=$R$18),U1130,0)</t>
  </si>
  <si>
    <t>=IF(AND($M1130&gt;=$S$16,$M1130&lt;=$S$18),U1130,0)</t>
  </si>
  <si>
    <t>=IF($M1130&lt;=$T$18,U1130,0)</t>
  </si>
  <si>
    <t>="""NAV Direct"",""CRONUS JetCorp USA"",""21"",""1"",""365534"""</t>
  </si>
  <si>
    <t>=E1129</t>
  </si>
  <si>
    <t>=StartDate-$M1131+1</t>
  </si>
  <si>
    <t>=SUM(P1131:T1131)</t>
  </si>
  <si>
    <t>=IF($M1131&gt;=$P$18,U1131,0)</t>
  </si>
  <si>
    <t>=IF(AND($M1131&gt;=$Q$16,$M1131&lt;=$Q$18),U1131,0)</t>
  </si>
  <si>
    <t>=IF(AND($M1131&gt;=$R$16,$M1131&lt;=$R$18),U1131,0)</t>
  </si>
  <si>
    <t>=IF(AND($M1131&gt;=$S$16,$M1131&lt;=$S$18),U1131,0)</t>
  </si>
  <si>
    <t>=IF($M1131&lt;=$T$18,U1131,0)</t>
  </si>
  <si>
    <t>="""NAV Direct"",""CRONUS JetCorp USA"",""21"",""1"",""365956"""</t>
  </si>
  <si>
    <t>=E1130</t>
  </si>
  <si>
    <t>=StartDate-$M1132+1</t>
  </si>
  <si>
    <t>=SUM(P1132:T1132)</t>
  </si>
  <si>
    <t>=IF($M1132&gt;=$P$18,U1132,0)</t>
  </si>
  <si>
    <t>=IF(AND($M1132&gt;=$Q$16,$M1132&lt;=$Q$18),U1132,0)</t>
  </si>
  <si>
    <t>=IF(AND($M1132&gt;=$R$16,$M1132&lt;=$R$18),U1132,0)</t>
  </si>
  <si>
    <t>=IF(AND($M1132&gt;=$S$16,$M1132&lt;=$S$18),U1132,0)</t>
  </si>
  <si>
    <t>=IF($M1132&lt;=$T$18,U1132,0)</t>
  </si>
  <si>
    <t>="""NAV Direct"",""CRONUS JetCorp USA"",""21"",""1"",""366310"""</t>
  </si>
  <si>
    <t>=E1131</t>
  </si>
  <si>
    <t>=StartDate-$M1133+1</t>
  </si>
  <si>
    <t>=SUM(P1133:T1133)</t>
  </si>
  <si>
    <t>=IF($M1133&gt;=$P$18,U1133,0)</t>
  </si>
  <si>
    <t>=IF(AND($M1133&gt;=$Q$16,$M1133&lt;=$Q$18),U1133,0)</t>
  </si>
  <si>
    <t>=IF(AND($M1133&gt;=$R$16,$M1133&lt;=$R$18),U1133,0)</t>
  </si>
  <si>
    <t>=IF(AND($M1133&gt;=$S$16,$M1133&lt;=$S$18),U1133,0)</t>
  </si>
  <si>
    <t>=IF($M1133&lt;=$T$18,U1133,0)</t>
  </si>
  <si>
    <t>="""NAV Direct"",""CRONUS JetCorp USA"",""21"",""1"",""366741"""</t>
  </si>
  <si>
    <t>=E1132</t>
  </si>
  <si>
    <t>=StartDate-$M1134+1</t>
  </si>
  <si>
    <t>=SUM(P1134:T1134)</t>
  </si>
  <si>
    <t>=IF($M1134&gt;=$P$18,U1134,0)</t>
  </si>
  <si>
    <t>=IF(AND($M1134&gt;=$Q$16,$M1134&lt;=$Q$18),U1134,0)</t>
  </si>
  <si>
    <t>=IF(AND($M1134&gt;=$R$16,$M1134&lt;=$R$18),U1134,0)</t>
  </si>
  <si>
    <t>=IF(AND($M1134&gt;=$S$16,$M1134&lt;=$S$18),U1134,0)</t>
  </si>
  <si>
    <t>=IF($M1134&lt;=$T$18,U1134,0)</t>
  </si>
  <si>
    <t>="""NAV Direct"",""CRONUS JetCorp USA"",""21"",""1"",""366907"""</t>
  </si>
  <si>
    <t>=E1133</t>
  </si>
  <si>
    <t>=StartDate-$M1135+1</t>
  </si>
  <si>
    <t>=SUM(P1135:T1135)</t>
  </si>
  <si>
    <t>=IF($M1135&gt;=$P$18,U1135,0)</t>
  </si>
  <si>
    <t>=IF(AND($M1135&gt;=$Q$16,$M1135&lt;=$Q$18),U1135,0)</t>
  </si>
  <si>
    <t>=IF(AND($M1135&gt;=$R$16,$M1135&lt;=$R$18),U1135,0)</t>
  </si>
  <si>
    <t>=IF(AND($M1135&gt;=$S$16,$M1135&lt;=$S$18),U1135,0)</t>
  </si>
  <si>
    <t>=IF($M1135&lt;=$T$18,U1135,0)</t>
  </si>
  <si>
    <t>="""NAV Direct"",""CRONUS JetCorp USA"",""21"",""1"",""367124"""</t>
  </si>
  <si>
    <t>=E1134</t>
  </si>
  <si>
    <t>=StartDate-$M1136+1</t>
  </si>
  <si>
    <t>=SUM(P1136:T1136)</t>
  </si>
  <si>
    <t>=IF($M1136&gt;=$P$18,U1136,0)</t>
  </si>
  <si>
    <t>=IF(AND($M1136&gt;=$Q$16,$M1136&lt;=$Q$18),U1136,0)</t>
  </si>
  <si>
    <t>=IF(AND($M1136&gt;=$R$16,$M1136&lt;=$R$18),U1136,0)</t>
  </si>
  <si>
    <t>=IF(AND($M1136&gt;=$S$16,$M1136&lt;=$S$18),U1136,0)</t>
  </si>
  <si>
    <t>=IF($M1136&lt;=$T$18,U1136,0)</t>
  </si>
  <si>
    <t>="""NAV Direct"",""CRONUS JetCorp USA"",""21"",""1"",""367367"""</t>
  </si>
  <si>
    <t>=E1135</t>
  </si>
  <si>
    <t>=StartDate-$M1137+1</t>
  </si>
  <si>
    <t>=SUM(P1137:T1137)</t>
  </si>
  <si>
    <t>=IF($M1137&gt;=$P$18,U1137,0)</t>
  </si>
  <si>
    <t>=IF(AND($M1137&gt;=$Q$16,$M1137&lt;=$Q$18),U1137,0)</t>
  </si>
  <si>
    <t>=IF(AND($M1137&gt;=$R$16,$M1137&lt;=$R$18),U1137,0)</t>
  </si>
  <si>
    <t>=IF(AND($M1137&gt;=$S$16,$M1137&lt;=$S$18),U1137,0)</t>
  </si>
  <si>
    <t>=IF($M1137&lt;=$T$18,U1137,0)</t>
  </si>
  <si>
    <t>="""NAV Direct"",""CRONUS JetCorp USA"",""21"",""1"",""367519"""</t>
  </si>
  <si>
    <t>=E1136</t>
  </si>
  <si>
    <t>=StartDate-$M1138+1</t>
  </si>
  <si>
    <t>=SUM(P1138:T1138)</t>
  </si>
  <si>
    <t>=IF($M1138&gt;=$P$18,U1138,0)</t>
  </si>
  <si>
    <t>=IF(AND($M1138&gt;=$Q$16,$M1138&lt;=$Q$18),U1138,0)</t>
  </si>
  <si>
    <t>=IF(AND($M1138&gt;=$R$16,$M1138&lt;=$R$18),U1138,0)</t>
  </si>
  <si>
    <t>=IF(AND($M1138&gt;=$S$16,$M1138&lt;=$S$18),U1138,0)</t>
  </si>
  <si>
    <t>=IF($M1138&lt;=$T$18,U1138,0)</t>
  </si>
  <si>
    <t>="""NAV Direct"",""CRONUS JetCorp USA"",""21"",""1"",""367875"""</t>
  </si>
  <si>
    <t>=E1137</t>
  </si>
  <si>
    <t>=StartDate-$M1139+1</t>
  </si>
  <si>
    <t>=SUM(P1139:T1139)</t>
  </si>
  <si>
    <t>=IF($M1139&gt;=$P$18,U1139,0)</t>
  </si>
  <si>
    <t>=IF(AND($M1139&gt;=$Q$16,$M1139&lt;=$Q$18),U1139,0)</t>
  </si>
  <si>
    <t>=IF(AND($M1139&gt;=$R$16,$M1139&lt;=$R$18),U1139,0)</t>
  </si>
  <si>
    <t>=IF(AND($M1139&gt;=$S$16,$M1139&lt;=$S$18),U1139,0)</t>
  </si>
  <si>
    <t>=IF($M1139&lt;=$T$18,U1139,0)</t>
  </si>
  <si>
    <t>="""NAV Direct"",""CRONUS JetCorp USA"",""21"",""1"",""368025"""</t>
  </si>
  <si>
    <t>=E1138</t>
  </si>
  <si>
    <t>=StartDate-$M1140+1</t>
  </si>
  <si>
    <t>=SUM(P1140:T1140)</t>
  </si>
  <si>
    <t>=IF($M1140&gt;=$P$18,U1140,0)</t>
  </si>
  <si>
    <t>=IF(AND($M1140&gt;=$Q$16,$M1140&lt;=$Q$18),U1140,0)</t>
  </si>
  <si>
    <t>=IF(AND($M1140&gt;=$R$16,$M1140&lt;=$R$18),U1140,0)</t>
  </si>
  <si>
    <t>=IF(AND($M1140&gt;=$S$16,$M1140&lt;=$S$18),U1140,0)</t>
  </si>
  <si>
    <t>=IF($M1140&lt;=$T$18,U1140,0)</t>
  </si>
  <si>
    <t>="""NAV Direct"",""CRONUS JetCorp USA"",""21"",""1"",""368062"""</t>
  </si>
  <si>
    <t>=E1139</t>
  </si>
  <si>
    <t>=StartDate-$M1141+1</t>
  </si>
  <si>
    <t>=SUM(P1141:T1141)</t>
  </si>
  <si>
    <t>=IF($M1141&gt;=$P$18,U1141,0)</t>
  </si>
  <si>
    <t>=IF(AND($M1141&gt;=$Q$16,$M1141&lt;=$Q$18),U1141,0)</t>
  </si>
  <si>
    <t>=IF(AND($M1141&gt;=$R$16,$M1141&lt;=$R$18),U1141,0)</t>
  </si>
  <si>
    <t>=IF(AND($M1141&gt;=$S$16,$M1141&lt;=$S$18),U1141,0)</t>
  </si>
  <si>
    <t>=IF($M1141&lt;=$T$18,U1141,0)</t>
  </si>
  <si>
    <t>="""NAV Direct"",""CRONUS JetCorp USA"",""21"",""1"",""368145"""</t>
  </si>
  <si>
    <t>=E1140</t>
  </si>
  <si>
    <t>=StartDate-$M1142+1</t>
  </si>
  <si>
    <t>=SUM(P1142:T1142)</t>
  </si>
  <si>
    <t>=IF($M1142&gt;=$P$18,U1142,0)</t>
  </si>
  <si>
    <t>=IF(AND($M1142&gt;=$Q$16,$M1142&lt;=$Q$18),U1142,0)</t>
  </si>
  <si>
    <t>=IF(AND($M1142&gt;=$R$16,$M1142&lt;=$R$18),U1142,0)</t>
  </si>
  <si>
    <t>=IF(AND($M1142&gt;=$S$16,$M1142&lt;=$S$18),U1142,0)</t>
  </si>
  <si>
    <t>=IF($M1142&lt;=$T$18,U1142,0)</t>
  </si>
  <si>
    <t>="""NAV Direct"",""CRONUS JetCorp USA"",""21"",""1"",""368267"""</t>
  </si>
  <si>
    <t>=E1141</t>
  </si>
  <si>
    <t>=StartDate-$M1143+1</t>
  </si>
  <si>
    <t>=SUM(P1143:T1143)</t>
  </si>
  <si>
    <t>=IF($M1143&gt;=$P$18,U1143,0)</t>
  </si>
  <si>
    <t>=IF(AND($M1143&gt;=$Q$16,$M1143&lt;=$Q$18),U1143,0)</t>
  </si>
  <si>
    <t>=IF(AND($M1143&gt;=$R$16,$M1143&lt;=$R$18),U1143,0)</t>
  </si>
  <si>
    <t>=IF(AND($M1143&gt;=$S$16,$M1143&lt;=$S$18),U1143,0)</t>
  </si>
  <si>
    <t>=IF($M1143&lt;=$T$18,U1143,0)</t>
  </si>
  <si>
    <t>="""NAV Direct"",""CRONUS JetCorp USA"",""21"",""1"",""369225"""</t>
  </si>
  <si>
    <t>=E1142</t>
  </si>
  <si>
    <t>=StartDate-$M1144+1</t>
  </si>
  <si>
    <t>=SUM(P1144:T1144)</t>
  </si>
  <si>
    <t>=IF($M1144&gt;=$P$18,U1144,0)</t>
  </si>
  <si>
    <t>=IF(AND($M1144&gt;=$Q$16,$M1144&lt;=$Q$18),U1144,0)</t>
  </si>
  <si>
    <t>=IF(AND($M1144&gt;=$R$16,$M1144&lt;=$R$18),U1144,0)</t>
  </si>
  <si>
    <t>=IF(AND($M1144&gt;=$S$16,$M1144&lt;=$S$18),U1144,0)</t>
  </si>
  <si>
    <t>=IF($M1144&lt;=$T$18,U1144,0)</t>
  </si>
  <si>
    <t>="""NAV Direct"",""CRONUS JetCorp USA"",""21"",""1"",""369306"""</t>
  </si>
  <si>
    <t>=E1143</t>
  </si>
  <si>
    <t>=StartDate-$M1145+1</t>
  </si>
  <si>
    <t>=SUM(P1145:T1145)</t>
  </si>
  <si>
    <t>=IF($M1145&gt;=$P$18,U1145,0)</t>
  </si>
  <si>
    <t>=IF(AND($M1145&gt;=$Q$16,$M1145&lt;=$Q$18),U1145,0)</t>
  </si>
  <si>
    <t>=IF(AND($M1145&gt;=$R$16,$M1145&lt;=$R$18),U1145,0)</t>
  </si>
  <si>
    <t>=IF(AND($M1145&gt;=$S$16,$M1145&lt;=$S$18),U1145,0)</t>
  </si>
  <si>
    <t>=IF($M1145&lt;=$T$18,U1145,0)</t>
  </si>
  <si>
    <t>="""NAV Direct"",""CRONUS JetCorp USA"",""21"",""1"",""369431"""</t>
  </si>
  <si>
    <t>=E1144</t>
  </si>
  <si>
    <t>=StartDate-$M1146+1</t>
  </si>
  <si>
    <t>=SUM(P1146:T1146)</t>
  </si>
  <si>
    <t>=IF($M1146&gt;=$P$18,U1146,0)</t>
  </si>
  <si>
    <t>=IF(AND($M1146&gt;=$Q$16,$M1146&lt;=$Q$18),U1146,0)</t>
  </si>
  <si>
    <t>=IF(AND($M1146&gt;=$R$16,$M1146&lt;=$R$18),U1146,0)</t>
  </si>
  <si>
    <t>=IF(AND($M1146&gt;=$S$16,$M1146&lt;=$S$18),U1146,0)</t>
  </si>
  <si>
    <t>=IF($M1146&lt;=$T$18,U1146,0)</t>
  </si>
  <si>
    <t>="""NAV Direct"",""CRONUS JetCorp USA"",""21"",""1"",""369540"""</t>
  </si>
  <si>
    <t>=E1145</t>
  </si>
  <si>
    <t>=StartDate-$M1147+1</t>
  </si>
  <si>
    <t>=SUM(P1147:T1147)</t>
  </si>
  <si>
    <t>=IF($M1147&gt;=$P$18,U1147,0)</t>
  </si>
  <si>
    <t>=IF(AND($M1147&gt;=$Q$16,$M1147&lt;=$Q$18),U1147,0)</t>
  </si>
  <si>
    <t>=IF(AND($M1147&gt;=$R$16,$M1147&lt;=$R$18),U1147,0)</t>
  </si>
  <si>
    <t>=IF(AND($M1147&gt;=$S$16,$M1147&lt;=$S$18),U1147,0)</t>
  </si>
  <si>
    <t>=IF($M1147&lt;=$T$18,U1147,0)</t>
  </si>
  <si>
    <t>="""NAV Direct"",""CRONUS JetCorp USA"",""21"",""1"",""369748"""</t>
  </si>
  <si>
    <t>=E1146</t>
  </si>
  <si>
    <t>=StartDate-$M1148+1</t>
  </si>
  <si>
    <t>=SUM(P1148:T1148)</t>
  </si>
  <si>
    <t>=IF($M1148&gt;=$P$18,U1148,0)</t>
  </si>
  <si>
    <t>=IF(AND($M1148&gt;=$Q$16,$M1148&lt;=$Q$18),U1148,0)</t>
  </si>
  <si>
    <t>=IF(AND($M1148&gt;=$R$16,$M1148&lt;=$R$18),U1148,0)</t>
  </si>
  <si>
    <t>=IF(AND($M1148&gt;=$S$16,$M1148&lt;=$S$18),U1148,0)</t>
  </si>
  <si>
    <t>=IF($M1148&lt;=$T$18,U1148,0)</t>
  </si>
  <si>
    <t>="""NAV Direct"",""CRONUS JetCorp USA"",""21"",""1"",""370077"""</t>
  </si>
  <si>
    <t>=E1147</t>
  </si>
  <si>
    <t>=StartDate-$M1149+1</t>
  </si>
  <si>
    <t>=SUM(P1149:T1149)</t>
  </si>
  <si>
    <t>=IF($M1149&gt;=$P$18,U1149,0)</t>
  </si>
  <si>
    <t>=IF(AND($M1149&gt;=$Q$16,$M1149&lt;=$Q$18),U1149,0)</t>
  </si>
  <si>
    <t>=IF(AND($M1149&gt;=$R$16,$M1149&lt;=$R$18),U1149,0)</t>
  </si>
  <si>
    <t>=IF(AND($M1149&gt;=$S$16,$M1149&lt;=$S$18),U1149,0)</t>
  </si>
  <si>
    <t>=IF($M1149&lt;=$T$18,U1149,0)</t>
  </si>
  <si>
    <t>="""NAV Direct"",""CRONUS JetCorp USA"",""21"",""1"",""370244"""</t>
  </si>
  <si>
    <t>=E1148</t>
  </si>
  <si>
    <t>=StartDate-$M1150+1</t>
  </si>
  <si>
    <t>=SUM(P1150:T1150)</t>
  </si>
  <si>
    <t>=IF($M1150&gt;=$P$18,U1150,0)</t>
  </si>
  <si>
    <t>=IF(AND($M1150&gt;=$Q$16,$M1150&lt;=$Q$18),U1150,0)</t>
  </si>
  <si>
    <t>=IF(AND($M1150&gt;=$R$16,$M1150&lt;=$R$18),U1150,0)</t>
  </si>
  <si>
    <t>=IF(AND($M1150&gt;=$S$16,$M1150&lt;=$S$18),U1150,0)</t>
  </si>
  <si>
    <t>=IF($M1150&lt;=$T$18,U1150,0)</t>
  </si>
  <si>
    <t>="""NAV Direct"",""CRONUS JetCorp USA"",""21"",""1"",""370339"""</t>
  </si>
  <si>
    <t>=E1149</t>
  </si>
  <si>
    <t>=StartDate-$M1151+1</t>
  </si>
  <si>
    <t>=SUM(P1151:T1151)</t>
  </si>
  <si>
    <t>=IF($M1151&gt;=$P$18,U1151,0)</t>
  </si>
  <si>
    <t>=IF(AND($M1151&gt;=$Q$16,$M1151&lt;=$Q$18),U1151,0)</t>
  </si>
  <si>
    <t>=IF(AND($M1151&gt;=$R$16,$M1151&lt;=$R$18),U1151,0)</t>
  </si>
  <si>
    <t>=IF(AND($M1151&gt;=$S$16,$M1151&lt;=$S$18),U1151,0)</t>
  </si>
  <si>
    <t>=IF($M1151&lt;=$T$18,U1151,0)</t>
  </si>
  <si>
    <t>="""NAV Direct"",""CRONUS JetCorp USA"",""21"",""1"",""370578"""</t>
  </si>
  <si>
    <t>=E1150</t>
  </si>
  <si>
    <t>=StartDate-$M1152+1</t>
  </si>
  <si>
    <t>=SUM(P1152:T1152)</t>
  </si>
  <si>
    <t>=IF($M1152&gt;=$P$18,U1152,0)</t>
  </si>
  <si>
    <t>=IF(AND($M1152&gt;=$Q$16,$M1152&lt;=$Q$18),U1152,0)</t>
  </si>
  <si>
    <t>=IF(AND($M1152&gt;=$R$16,$M1152&lt;=$R$18),U1152,0)</t>
  </si>
  <si>
    <t>=IF(AND($M1152&gt;=$S$16,$M1152&lt;=$S$18),U1152,0)</t>
  </si>
  <si>
    <t>=IF($M1152&lt;=$T$18,U1152,0)</t>
  </si>
  <si>
    <t>="""NAV Direct"",""CRONUS JetCorp USA"",""21"",""1"",""370927"""</t>
  </si>
  <si>
    <t>=E1151</t>
  </si>
  <si>
    <t>=StartDate-$M1153+1</t>
  </si>
  <si>
    <t>=SUM(P1153:T1153)</t>
  </si>
  <si>
    <t>=IF($M1153&gt;=$P$18,U1153,0)</t>
  </si>
  <si>
    <t>=IF(AND($M1153&gt;=$Q$16,$M1153&lt;=$Q$18),U1153,0)</t>
  </si>
  <si>
    <t>=IF(AND($M1153&gt;=$R$16,$M1153&lt;=$R$18),U1153,0)</t>
  </si>
  <si>
    <t>=IF(AND($M1153&gt;=$S$16,$M1153&lt;=$S$18),U1153,0)</t>
  </si>
  <si>
    <t>=IF($M1153&lt;=$T$18,U1153,0)</t>
  </si>
  <si>
    <t>="""NAV Direct"",""CRONUS JetCorp USA"",""21"",""1"",""370987"""</t>
  </si>
  <si>
    <t>=E1152</t>
  </si>
  <si>
    <t>=StartDate-$M1154+1</t>
  </si>
  <si>
    <t>=SUM(P1154:T1154)</t>
  </si>
  <si>
    <t>=IF($M1154&gt;=$P$18,U1154,0)</t>
  </si>
  <si>
    <t>=IF(AND($M1154&gt;=$Q$16,$M1154&lt;=$Q$18),U1154,0)</t>
  </si>
  <si>
    <t>=IF(AND($M1154&gt;=$R$16,$M1154&lt;=$R$18),U1154,0)</t>
  </si>
  <si>
    <t>=IF(AND($M1154&gt;=$S$16,$M1154&lt;=$S$18),U1154,0)</t>
  </si>
  <si>
    <t>=IF($M1154&lt;=$T$18,U1154,0)</t>
  </si>
  <si>
    <t>="""NAV Direct"",""CRONUS JetCorp USA"",""21"",""1"",""371067"""</t>
  </si>
  <si>
    <t>=E1153</t>
  </si>
  <si>
    <t>=StartDate-$M1155+1</t>
  </si>
  <si>
    <t>=SUM(P1155:T1155)</t>
  </si>
  <si>
    <t>=IF($M1155&gt;=$P$18,U1155,0)</t>
  </si>
  <si>
    <t>=IF(AND($M1155&gt;=$Q$16,$M1155&lt;=$Q$18),U1155,0)</t>
  </si>
  <si>
    <t>=IF(AND($M1155&gt;=$R$16,$M1155&lt;=$R$18),U1155,0)</t>
  </si>
  <si>
    <t>=IF(AND($M1155&gt;=$S$16,$M1155&lt;=$S$18),U1155,0)</t>
  </si>
  <si>
    <t>=IF($M1155&lt;=$T$18,U1155,0)</t>
  </si>
  <si>
    <t>="""NAV Direct"",""CRONUS JetCorp USA"",""21"",""1"",""435966"""</t>
  </si>
  <si>
    <t>=E1154</t>
  </si>
  <si>
    <t>=StartDate-$M1156+1</t>
  </si>
  <si>
    <t>=SUM(P1156:T1156)</t>
  </si>
  <si>
    <t>=IF($M1156&gt;=$P$18,U1156,0)</t>
  </si>
  <si>
    <t>=IF(AND($M1156&gt;=$Q$16,$M1156&lt;=$Q$18),U1156,0)</t>
  </si>
  <si>
    <t>=IF(AND($M1156&gt;=$R$16,$M1156&lt;=$R$18),U1156,0)</t>
  </si>
  <si>
    <t>=IF(AND($M1156&gt;=$S$16,$M1156&lt;=$S$18),U1156,0)</t>
  </si>
  <si>
    <t>=IF($M1156&lt;=$T$18,U1156,0)</t>
  </si>
  <si>
    <t>="""NAV Direct"",""CRONUS JetCorp USA"",""21"",""1"",""436022"""</t>
  </si>
  <si>
    <t>=E1155</t>
  </si>
  <si>
    <t>=StartDate-$M1157+1</t>
  </si>
  <si>
    <t>=SUM(P1157:T1157)</t>
  </si>
  <si>
    <t>=IF($M1157&gt;=$P$18,U1157,0)</t>
  </si>
  <si>
    <t>=IF(AND($M1157&gt;=$Q$16,$M1157&lt;=$Q$18),U1157,0)</t>
  </si>
  <si>
    <t>=IF(AND($M1157&gt;=$R$16,$M1157&lt;=$R$18),U1157,0)</t>
  </si>
  <si>
    <t>=IF(AND($M1157&gt;=$S$16,$M1157&lt;=$S$18),U1157,0)</t>
  </si>
  <si>
    <t>=IF($M1157&lt;=$T$18,U1157,0)</t>
  </si>
  <si>
    <t>="""NAV Direct"",""CRONUS JetCorp USA"",""21"",""1"",""436058"""</t>
  </si>
  <si>
    <t>=E1156</t>
  </si>
  <si>
    <t>=StartDate-$M1158+1</t>
  </si>
  <si>
    <t>=SUM(P1158:T1158)</t>
  </si>
  <si>
    <t>=IF($M1158&gt;=$P$18,U1158,0)</t>
  </si>
  <si>
    <t>=IF(AND($M1158&gt;=$Q$16,$M1158&lt;=$Q$18),U1158,0)</t>
  </si>
  <si>
    <t>=IF(AND($M1158&gt;=$R$16,$M1158&lt;=$R$18),U1158,0)</t>
  </si>
  <si>
    <t>=IF(AND($M1158&gt;=$S$16,$M1158&lt;=$S$18),U1158,0)</t>
  </si>
  <si>
    <t>=IF($M1158&lt;=$T$18,U1158,0)</t>
  </si>
  <si>
    <t>="""NAV Direct"",""CRONUS JetCorp USA"",""21"",""1"",""436113"""</t>
  </si>
  <si>
    <t>=E1157</t>
  </si>
  <si>
    <t>=StartDate-$M1159+1</t>
  </si>
  <si>
    <t>=SUM(P1159:T1159)</t>
  </si>
  <si>
    <t>=IF($M1159&gt;=$P$18,U1159,0)</t>
  </si>
  <si>
    <t>=IF(AND($M1159&gt;=$Q$16,$M1159&lt;=$Q$18),U1159,0)</t>
  </si>
  <si>
    <t>=IF(AND($M1159&gt;=$R$16,$M1159&lt;=$R$18),U1159,0)</t>
  </si>
  <si>
    <t>=IF(AND($M1159&gt;=$S$16,$M1159&lt;=$S$18),U1159,0)</t>
  </si>
  <si>
    <t>=IF($M1159&lt;=$T$18,U1159,0)</t>
  </si>
  <si>
    <t>="""NAV Direct"",""CRONUS JetCorp USA"",""21"",""1"",""436137"""</t>
  </si>
  <si>
    <t>=E1158</t>
  </si>
  <si>
    <t>=StartDate-$M1160+1</t>
  </si>
  <si>
    <t>=SUM(P1160:T1160)</t>
  </si>
  <si>
    <t>=IF($M1160&gt;=$P$18,U1160,0)</t>
  </si>
  <si>
    <t>=IF(AND($M1160&gt;=$Q$16,$M1160&lt;=$Q$18),U1160,0)</t>
  </si>
  <si>
    <t>=IF(AND($M1160&gt;=$R$16,$M1160&lt;=$R$18),U1160,0)</t>
  </si>
  <si>
    <t>=IF(AND($M1160&gt;=$S$16,$M1160&lt;=$S$18),U1160,0)</t>
  </si>
  <si>
    <t>=IF($M1160&lt;=$T$18,U1160,0)</t>
  </si>
  <si>
    <t>="""NAV Direct"",""CRONUS JetCorp USA"",""21"",""1"",""436382"""</t>
  </si>
  <si>
    <t>=E1159</t>
  </si>
  <si>
    <t>=StartDate-$M1161+1</t>
  </si>
  <si>
    <t>=SUM(P1161:T1161)</t>
  </si>
  <si>
    <t>=IF($M1161&gt;=$P$18,U1161,0)</t>
  </si>
  <si>
    <t>=IF(AND($M1161&gt;=$Q$16,$M1161&lt;=$Q$18),U1161,0)</t>
  </si>
  <si>
    <t>=IF(AND($M1161&gt;=$R$16,$M1161&lt;=$R$18),U1161,0)</t>
  </si>
  <si>
    <t>=IF(AND($M1161&gt;=$S$16,$M1161&lt;=$S$18),U1161,0)</t>
  </si>
  <si>
    <t>=IF($M1161&lt;=$T$18,U1161,0)</t>
  </si>
  <si>
    <t>="""NAV Direct"",""CRONUS JetCorp USA"",""21"",""1"",""436393"""</t>
  </si>
  <si>
    <t>=E1160</t>
  </si>
  <si>
    <t>=StartDate-$M1162+1</t>
  </si>
  <si>
    <t>=SUM(P1162:T1162)</t>
  </si>
  <si>
    <t>=IF($M1162&gt;=$P$18,U1162,0)</t>
  </si>
  <si>
    <t>=IF(AND($M1162&gt;=$Q$16,$M1162&lt;=$Q$18),U1162,0)</t>
  </si>
  <si>
    <t>=IF(AND($M1162&gt;=$R$16,$M1162&lt;=$R$18),U1162,0)</t>
  </si>
  <si>
    <t>=IF(AND($M1162&gt;=$S$16,$M1162&lt;=$S$18),U1162,0)</t>
  </si>
  <si>
    <t>=IF($M1162&lt;=$T$18,U1162,0)</t>
  </si>
  <si>
    <t>="""NAV Direct"",""CRONUS JetCorp USA"",""21"",""1"",""436406"""</t>
  </si>
  <si>
    <t>=E1161</t>
  </si>
  <si>
    <t>=StartDate-$M1163+1</t>
  </si>
  <si>
    <t>=SUM(P1163:T1163)</t>
  </si>
  <si>
    <t>=IF($M1163&gt;=$P$18,U1163,0)</t>
  </si>
  <si>
    <t>=IF(AND($M1163&gt;=$Q$16,$M1163&lt;=$Q$18),U1163,0)</t>
  </si>
  <si>
    <t>=IF(AND($M1163&gt;=$R$16,$M1163&lt;=$R$18),U1163,0)</t>
  </si>
  <si>
    <t>=IF(AND($M1163&gt;=$S$16,$M1163&lt;=$S$18),U1163,0)</t>
  </si>
  <si>
    <t>=IF($M1163&lt;=$T$18,U1163,0)</t>
  </si>
  <si>
    <t>="""NAV Direct"",""CRONUS JetCorp USA"",""21"",""1"",""436449"""</t>
  </si>
  <si>
    <t>=E1162</t>
  </si>
  <si>
    <t>=StartDate-$M1164+1</t>
  </si>
  <si>
    <t>=SUM(P1164:T1164)</t>
  </si>
  <si>
    <t>=IF($M1164&gt;=$P$18,U1164,0)</t>
  </si>
  <si>
    <t>=IF(AND($M1164&gt;=$Q$16,$M1164&lt;=$Q$18),U1164,0)</t>
  </si>
  <si>
    <t>=IF(AND($M1164&gt;=$R$16,$M1164&lt;=$R$18),U1164,0)</t>
  </si>
  <si>
    <t>=IF(AND($M1164&gt;=$S$16,$M1164&lt;=$S$18),U1164,0)</t>
  </si>
  <si>
    <t>=IF($M1164&lt;=$T$18,U1164,0)</t>
  </si>
  <si>
    <t>="""NAV Direct"",""CRONUS JetCorp USA"",""21"",""1"",""436564"""</t>
  </si>
  <si>
    <t>=E1163</t>
  </si>
  <si>
    <t>=StartDate-$M1165+1</t>
  </si>
  <si>
    <t>=SUM(P1165:T1165)</t>
  </si>
  <si>
    <t>=IF($M1165&gt;=$P$18,U1165,0)</t>
  </si>
  <si>
    <t>=IF(AND($M1165&gt;=$Q$16,$M1165&lt;=$Q$18),U1165,0)</t>
  </si>
  <si>
    <t>=IF(AND($M1165&gt;=$R$16,$M1165&lt;=$R$18),U1165,0)</t>
  </si>
  <si>
    <t>=IF(AND($M1165&gt;=$S$16,$M1165&lt;=$S$18),U1165,0)</t>
  </si>
  <si>
    <t>=IF($M1165&lt;=$T$18,U1165,0)</t>
  </si>
  <si>
    <t>="""NAV Direct"",""CRONUS JetCorp USA"",""21"",""1"",""436620"""</t>
  </si>
  <si>
    <t>=E1164</t>
  </si>
  <si>
    <t>=StartDate-$M1166+1</t>
  </si>
  <si>
    <t>=SUM(P1166:T1166)</t>
  </si>
  <si>
    <t>=IF($M1166&gt;=$P$18,U1166,0)</t>
  </si>
  <si>
    <t>=IF(AND($M1166&gt;=$Q$16,$M1166&lt;=$Q$18),U1166,0)</t>
  </si>
  <si>
    <t>=IF(AND($M1166&gt;=$R$16,$M1166&lt;=$R$18),U1166,0)</t>
  </si>
  <si>
    <t>=IF(AND($M1166&gt;=$S$16,$M1166&lt;=$S$18),U1166,0)</t>
  </si>
  <si>
    <t>=IF($M1166&lt;=$T$18,U1166,0)</t>
  </si>
  <si>
    <t>="""NAV Direct"",""CRONUS JetCorp USA"",""21"",""1"",""436650"""</t>
  </si>
  <si>
    <t>=E1165</t>
  </si>
  <si>
    <t>=StartDate-$M1167+1</t>
  </si>
  <si>
    <t>=SUM(P1167:T1167)</t>
  </si>
  <si>
    <t>=IF($M1167&gt;=$P$18,U1167,0)</t>
  </si>
  <si>
    <t>=IF(AND($M1167&gt;=$Q$16,$M1167&lt;=$Q$18),U1167,0)</t>
  </si>
  <si>
    <t>=IF(AND($M1167&gt;=$R$16,$M1167&lt;=$R$18),U1167,0)</t>
  </si>
  <si>
    <t>=IF(AND($M1167&gt;=$S$16,$M1167&lt;=$S$18),U1167,0)</t>
  </si>
  <si>
    <t>=IF($M1167&lt;=$T$18,U1167,0)</t>
  </si>
  <si>
    <t>="""NAV Direct"",""CRONUS JetCorp USA"",""21"",""1"",""436851"""</t>
  </si>
  <si>
    <t>=E1166</t>
  </si>
  <si>
    <t>=StartDate-$M1168+1</t>
  </si>
  <si>
    <t>=SUM(P1168:T1168)</t>
  </si>
  <si>
    <t>=IF($M1168&gt;=$P$18,U1168,0)</t>
  </si>
  <si>
    <t>=IF(AND($M1168&gt;=$Q$16,$M1168&lt;=$Q$18),U1168,0)</t>
  </si>
  <si>
    <t>=IF(AND($M1168&gt;=$R$16,$M1168&lt;=$R$18),U1168,0)</t>
  </si>
  <si>
    <t>=IF(AND($M1168&gt;=$S$16,$M1168&lt;=$S$18),U1168,0)</t>
  </si>
  <si>
    <t>=IF($M1168&lt;=$T$18,U1168,0)</t>
  </si>
  <si>
    <t>="""NAV Direct"",""CRONUS JetCorp USA"",""21"",""1"",""436932"""</t>
  </si>
  <si>
    <t>=E1167</t>
  </si>
  <si>
    <t>=StartDate-$M1169+1</t>
  </si>
  <si>
    <t>=SUM(P1169:T1169)</t>
  </si>
  <si>
    <t>=IF($M1169&gt;=$P$18,U1169,0)</t>
  </si>
  <si>
    <t>=IF(AND($M1169&gt;=$Q$16,$M1169&lt;=$Q$18),U1169,0)</t>
  </si>
  <si>
    <t>=IF(AND($M1169&gt;=$R$16,$M1169&lt;=$R$18),U1169,0)</t>
  </si>
  <si>
    <t>=IF(AND($M1169&gt;=$S$16,$M1169&lt;=$S$18),U1169,0)</t>
  </si>
  <si>
    <t>=IF($M1169&lt;=$T$18,U1169,0)</t>
  </si>
  <si>
    <t>="""NAV Direct"",""CRONUS JetCorp USA"",""21"",""1"",""437071"""</t>
  </si>
  <si>
    <t>=E1168</t>
  </si>
  <si>
    <t>=StartDate-$M1170+1</t>
  </si>
  <si>
    <t>=SUM(P1170:T1170)</t>
  </si>
  <si>
    <t>=IF($M1170&gt;=$P$18,U1170,0)</t>
  </si>
  <si>
    <t>=IF(AND($M1170&gt;=$Q$16,$M1170&lt;=$Q$18),U1170,0)</t>
  </si>
  <si>
    <t>=IF(AND($M1170&gt;=$R$16,$M1170&lt;=$R$18),U1170,0)</t>
  </si>
  <si>
    <t>=IF(AND($M1170&gt;=$S$16,$M1170&lt;=$S$18),U1170,0)</t>
  </si>
  <si>
    <t>=IF($M1170&lt;=$T$18,U1170,0)</t>
  </si>
  <si>
    <t>="""NAV Direct"",""CRONUS JetCorp USA"",""21"",""1"",""437103"""</t>
  </si>
  <si>
    <t>=E1169</t>
  </si>
  <si>
    <t>=StartDate-$M1171+1</t>
  </si>
  <si>
    <t>=SUM(P1171:T1171)</t>
  </si>
  <si>
    <t>=IF($M1171&gt;=$P$18,U1171,0)</t>
  </si>
  <si>
    <t>=IF(AND($M1171&gt;=$Q$16,$M1171&lt;=$Q$18),U1171,0)</t>
  </si>
  <si>
    <t>=IF(AND($M1171&gt;=$R$16,$M1171&lt;=$R$18),U1171,0)</t>
  </si>
  <si>
    <t>=IF(AND($M1171&gt;=$S$16,$M1171&lt;=$S$18),U1171,0)</t>
  </si>
  <si>
    <t>=IF($M1171&lt;=$T$18,U1171,0)</t>
  </si>
  <si>
    <t>="""NAV Direct"",""CRONUS JetCorp USA"",""21"",""1"",""437130"""</t>
  </si>
  <si>
    <t>=E1170</t>
  </si>
  <si>
    <t>=StartDate-$M1172+1</t>
  </si>
  <si>
    <t>=SUM(P1172:T1172)</t>
  </si>
  <si>
    <t>=IF($M1172&gt;=$P$18,U1172,0)</t>
  </si>
  <si>
    <t>=IF(AND($M1172&gt;=$Q$16,$M1172&lt;=$Q$18),U1172,0)</t>
  </si>
  <si>
    <t>=IF(AND($M1172&gt;=$R$16,$M1172&lt;=$R$18),U1172,0)</t>
  </si>
  <si>
    <t>=IF(AND($M1172&gt;=$S$16,$M1172&lt;=$S$18),U1172,0)</t>
  </si>
  <si>
    <t>=IF($M1172&lt;=$T$18,U1172,0)</t>
  </si>
  <si>
    <t>="""NAV Direct"",""CRONUS JetCorp USA"",""21"",""1"",""437184"""</t>
  </si>
  <si>
    <t>=E1171</t>
  </si>
  <si>
    <t>=StartDate-$M1173+1</t>
  </si>
  <si>
    <t>=SUM(P1173:T1173)</t>
  </si>
  <si>
    <t>=IF($M1173&gt;=$P$18,U1173,0)</t>
  </si>
  <si>
    <t>=IF(AND($M1173&gt;=$Q$16,$M1173&lt;=$Q$18),U1173,0)</t>
  </si>
  <si>
    <t>=IF(AND($M1173&gt;=$R$16,$M1173&lt;=$R$18),U1173,0)</t>
  </si>
  <si>
    <t>=IF(AND($M1173&gt;=$S$16,$M1173&lt;=$S$18),U1173,0)</t>
  </si>
  <si>
    <t>=IF($M1173&lt;=$T$18,U1173,0)</t>
  </si>
  <si>
    <t>="""NAV Direct"",""CRONUS JetCorp USA"",""21"",""1"",""437297"""</t>
  </si>
  <si>
    <t>=E1172</t>
  </si>
  <si>
    <t>=StartDate-$M1174+1</t>
  </si>
  <si>
    <t>=SUM(P1174:T1174)</t>
  </si>
  <si>
    <t>=IF($M1174&gt;=$P$18,U1174,0)</t>
  </si>
  <si>
    <t>=IF(AND($M1174&gt;=$Q$16,$M1174&lt;=$Q$18),U1174,0)</t>
  </si>
  <si>
    <t>=IF(AND($M1174&gt;=$R$16,$M1174&lt;=$R$18),U1174,0)</t>
  </si>
  <si>
    <t>=IF(AND($M1174&gt;=$S$16,$M1174&lt;=$S$18),U1174,0)</t>
  </si>
  <si>
    <t>=IF($M1174&lt;=$T$18,U1174,0)</t>
  </si>
  <si>
    <t>="""NAV Direct"",""CRONUS JetCorp USA"",""18"",""1"",""C100041"""</t>
  </si>
  <si>
    <t>=H1177</t>
  </si>
  <si>
    <t>=NF($C1177,"1 No.")</t>
  </si>
  <si>
    <t>=NF($C1177,"1 No.")&amp;"  -  "&amp;NF($C1177,"2 Name")</t>
  </si>
  <si>
    <t>=IFERROR(O1177/NF(C1177,"Credit Limit (LCY)"),"")</t>
  </si>
  <si>
    <t>=SUBTOTAL(3,L1178:L1215)</t>
  </si>
  <si>
    <t>=SUBTOTAL(9,O1178:O1215)</t>
  </si>
  <si>
    <t>=SUBTOTAL(9,P1178:P1215)</t>
  </si>
  <si>
    <t>=SUBTOTAL(9,Q1178:Q1215)</t>
  </si>
  <si>
    <t>=SUBTOTAL(9,R1178:R1215)</t>
  </si>
  <si>
    <t>=SUBTOTAL(9,S1178:S1215)</t>
  </si>
  <si>
    <t>=SUBTOTAL(9,T1178:T1215)</t>
  </si>
  <si>
    <t>=C1177</t>
  </si>
  <si>
    <t>=E1177</t>
  </si>
  <si>
    <t>="Contact: "&amp;NF($C1178,"8 Contact")</t>
  </si>
  <si>
    <t>=C1178</t>
  </si>
  <si>
    <t>=E1178</t>
  </si>
  <si>
    <t>=NF($C1179,"102 E-Mail")</t>
  </si>
  <si>
    <t>=NL("Rows","21 Cust. Ledger Entry",,"3 Customer No.","@@"&amp;$E1181,"16 Remaining Amt. (LCY)","&lt;&gt;0")</t>
  </si>
  <si>
    <t>=E1179</t>
  </si>
  <si>
    <t>=StartDate-$M1181+1</t>
  </si>
  <si>
    <t>=SUM(P1181:T1181)</t>
  </si>
  <si>
    <t>=IF($M1181&gt;=$P$18,U1181,0)</t>
  </si>
  <si>
    <t>=IF(AND($M1181&gt;=$Q$16,$M1181&lt;=$Q$18),U1181,0)</t>
  </si>
  <si>
    <t>=IF(AND($M1181&gt;=$R$16,$M1181&lt;=$R$18),U1181,0)</t>
  </si>
  <si>
    <t>=IF(AND($M1181&gt;=$S$16,$M1181&lt;=$S$18),U1181,0)</t>
  </si>
  <si>
    <t>=IF($M1181&lt;=$T$18,U1181,0)</t>
  </si>
  <si>
    <t>="""NAV Direct"",""CRONUS JetCorp USA"",""21"",""1"",""325502"""</t>
  </si>
  <si>
    <t>=E1180</t>
  </si>
  <si>
    <t>=StartDate-$M1182+1</t>
  </si>
  <si>
    <t>=SUM(P1182:T1182)</t>
  </si>
  <si>
    <t>=IF($M1182&gt;=$P$18,U1182,0)</t>
  </si>
  <si>
    <t>=IF(AND($M1182&gt;=$Q$16,$M1182&lt;=$Q$18),U1182,0)</t>
  </si>
  <si>
    <t>=IF(AND($M1182&gt;=$R$16,$M1182&lt;=$R$18),U1182,0)</t>
  </si>
  <si>
    <t>=IF(AND($M1182&gt;=$S$16,$M1182&lt;=$S$18),U1182,0)</t>
  </si>
  <si>
    <t>=IF($M1182&lt;=$T$18,U1182,0)</t>
  </si>
  <si>
    <t>="""NAV Direct"",""CRONUS JetCorp USA"",""21"",""1"",""325720"""</t>
  </si>
  <si>
    <t>=E1181</t>
  </si>
  <si>
    <t>=StartDate-$M1183+1</t>
  </si>
  <si>
    <t>=SUM(P1183:T1183)</t>
  </si>
  <si>
    <t>=IF($M1183&gt;=$P$18,U1183,0)</t>
  </si>
  <si>
    <t>=IF(AND($M1183&gt;=$Q$16,$M1183&lt;=$Q$18),U1183,0)</t>
  </si>
  <si>
    <t>=IF(AND($M1183&gt;=$R$16,$M1183&lt;=$R$18),U1183,0)</t>
  </si>
  <si>
    <t>=IF(AND($M1183&gt;=$S$16,$M1183&lt;=$S$18),U1183,0)</t>
  </si>
  <si>
    <t>=IF($M1183&lt;=$T$18,U1183,0)</t>
  </si>
  <si>
    <t>="""NAV Direct"",""CRONUS JetCorp USA"",""21"",""1"",""325840"""</t>
  </si>
  <si>
    <t>=E1182</t>
  </si>
  <si>
    <t>=StartDate-$M1184+1</t>
  </si>
  <si>
    <t>=SUM(P1184:T1184)</t>
  </si>
  <si>
    <t>=IF($M1184&gt;=$P$18,U1184,0)</t>
  </si>
  <si>
    <t>=IF(AND($M1184&gt;=$Q$16,$M1184&lt;=$Q$18),U1184,0)</t>
  </si>
  <si>
    <t>=IF(AND($M1184&gt;=$R$16,$M1184&lt;=$R$18),U1184,0)</t>
  </si>
  <si>
    <t>=IF(AND($M1184&gt;=$S$16,$M1184&lt;=$S$18),U1184,0)</t>
  </si>
  <si>
    <t>=IF($M1184&lt;=$T$18,U1184,0)</t>
  </si>
  <si>
    <t>="""NAV Direct"",""CRONUS JetCorp USA"",""21"",""1"",""325861"""</t>
  </si>
  <si>
    <t>=E1183</t>
  </si>
  <si>
    <t>=StartDate-$M1185+1</t>
  </si>
  <si>
    <t>=SUM(P1185:T1185)</t>
  </si>
  <si>
    <t>=IF($M1185&gt;=$P$18,U1185,0)</t>
  </si>
  <si>
    <t>=IF(AND($M1185&gt;=$Q$16,$M1185&lt;=$Q$18),U1185,0)</t>
  </si>
  <si>
    <t>=IF(AND($M1185&gt;=$R$16,$M1185&lt;=$R$18),U1185,0)</t>
  </si>
  <si>
    <t>=IF(AND($M1185&gt;=$S$16,$M1185&lt;=$S$18),U1185,0)</t>
  </si>
  <si>
    <t>=IF($M1185&lt;=$T$18,U1185,0)</t>
  </si>
  <si>
    <t>="""NAV Direct"",""CRONUS JetCorp USA"",""21"",""1"",""325944"""</t>
  </si>
  <si>
    <t>=E1184</t>
  </si>
  <si>
    <t>=StartDate-$M1186+1</t>
  </si>
  <si>
    <t>=SUM(P1186:T1186)</t>
  </si>
  <si>
    <t>=IF($M1186&gt;=$P$18,U1186,0)</t>
  </si>
  <si>
    <t>=IF(AND($M1186&gt;=$Q$16,$M1186&lt;=$Q$18),U1186,0)</t>
  </si>
  <si>
    <t>=IF(AND($M1186&gt;=$R$16,$M1186&lt;=$R$18),U1186,0)</t>
  </si>
  <si>
    <t>=IF(AND($M1186&gt;=$S$16,$M1186&lt;=$S$18),U1186,0)</t>
  </si>
  <si>
    <t>=IF($M1186&lt;=$T$18,U1186,0)</t>
  </si>
  <si>
    <t>="""NAV Direct"",""CRONUS JetCorp USA"",""21"",""1"",""326083"""</t>
  </si>
  <si>
    <t>=E1185</t>
  </si>
  <si>
    <t>=StartDate-$M1187+1</t>
  </si>
  <si>
    <t>=SUM(P1187:T1187)</t>
  </si>
  <si>
    <t>=IF($M1187&gt;=$P$18,U1187,0)</t>
  </si>
  <si>
    <t>=IF(AND($M1187&gt;=$Q$16,$M1187&lt;=$Q$18),U1187,0)</t>
  </si>
  <si>
    <t>=IF(AND($M1187&gt;=$R$16,$M1187&lt;=$R$18),U1187,0)</t>
  </si>
  <si>
    <t>=IF(AND($M1187&gt;=$S$16,$M1187&lt;=$S$18),U1187,0)</t>
  </si>
  <si>
    <t>=IF($M1187&lt;=$T$18,U1187,0)</t>
  </si>
  <si>
    <t>="""NAV Direct"",""CRONUS JetCorp USA"",""21"",""1"",""326363"""</t>
  </si>
  <si>
    <t>=E1186</t>
  </si>
  <si>
    <t>=StartDate-$M1188+1</t>
  </si>
  <si>
    <t>=SUM(P1188:T1188)</t>
  </si>
  <si>
    <t>=IF($M1188&gt;=$P$18,U1188,0)</t>
  </si>
  <si>
    <t>=IF(AND($M1188&gt;=$Q$16,$M1188&lt;=$Q$18),U1188,0)</t>
  </si>
  <si>
    <t>=IF(AND($M1188&gt;=$R$16,$M1188&lt;=$R$18),U1188,0)</t>
  </si>
  <si>
    <t>=IF(AND($M1188&gt;=$S$16,$M1188&lt;=$S$18),U1188,0)</t>
  </si>
  <si>
    <t>=IF($M1188&lt;=$T$18,U1188,0)</t>
  </si>
  <si>
    <t>="""NAV Direct"",""CRONUS JetCorp USA"",""21"",""1"",""326721"""</t>
  </si>
  <si>
    <t>=E1187</t>
  </si>
  <si>
    <t>=StartDate-$M1189+1</t>
  </si>
  <si>
    <t>=SUM(P1189:T1189)</t>
  </si>
  <si>
    <t>=IF($M1189&gt;=$P$18,U1189,0)</t>
  </si>
  <si>
    <t>=IF(AND($M1189&gt;=$Q$16,$M1189&lt;=$Q$18),U1189,0)</t>
  </si>
  <si>
    <t>=IF(AND($M1189&gt;=$R$16,$M1189&lt;=$R$18),U1189,0)</t>
  </si>
  <si>
    <t>=IF(AND($M1189&gt;=$S$16,$M1189&lt;=$S$18),U1189,0)</t>
  </si>
  <si>
    <t>=IF($M1189&lt;=$T$18,U1189,0)</t>
  </si>
  <si>
    <t>="""NAV Direct"",""CRONUS JetCorp USA"",""21"",""1"",""326783"""</t>
  </si>
  <si>
    <t>=E1188</t>
  </si>
  <si>
    <t>=StartDate-$M1190+1</t>
  </si>
  <si>
    <t>=SUM(P1190:T1190)</t>
  </si>
  <si>
    <t>=IF($M1190&gt;=$P$18,U1190,0)</t>
  </si>
  <si>
    <t>=IF(AND($M1190&gt;=$Q$16,$M1190&lt;=$Q$18),U1190,0)</t>
  </si>
  <si>
    <t>=IF(AND($M1190&gt;=$R$16,$M1190&lt;=$R$18),U1190,0)</t>
  </si>
  <si>
    <t>=IF(AND($M1190&gt;=$S$16,$M1190&lt;=$S$18),U1190,0)</t>
  </si>
  <si>
    <t>=IF($M1190&lt;=$T$18,U1190,0)</t>
  </si>
  <si>
    <t>="""NAV Direct"",""CRONUS JetCorp USA"",""21"",""1"",""326978"""</t>
  </si>
  <si>
    <t>=E1189</t>
  </si>
  <si>
    <t>=StartDate-$M1191+1</t>
  </si>
  <si>
    <t>=SUM(P1191:T1191)</t>
  </si>
  <si>
    <t>=IF($M1191&gt;=$P$18,U1191,0)</t>
  </si>
  <si>
    <t>=IF(AND($M1191&gt;=$Q$16,$M1191&lt;=$Q$18),U1191,0)</t>
  </si>
  <si>
    <t>=IF(AND($M1191&gt;=$R$16,$M1191&lt;=$R$18),U1191,0)</t>
  </si>
  <si>
    <t>=IF(AND($M1191&gt;=$S$16,$M1191&lt;=$S$18),U1191,0)</t>
  </si>
  <si>
    <t>=IF($M1191&lt;=$T$18,U1191,0)</t>
  </si>
  <si>
    <t>="""NAV Direct"",""CRONUS JetCorp USA"",""21"",""1"",""327546"""</t>
  </si>
  <si>
    <t>=E1190</t>
  </si>
  <si>
    <t>=StartDate-$M1192+1</t>
  </si>
  <si>
    <t>=SUM(P1192:T1192)</t>
  </si>
  <si>
    <t>=IF($M1192&gt;=$P$18,U1192,0)</t>
  </si>
  <si>
    <t>=IF(AND($M1192&gt;=$Q$16,$M1192&lt;=$Q$18),U1192,0)</t>
  </si>
  <si>
    <t>=IF(AND($M1192&gt;=$R$16,$M1192&lt;=$R$18),U1192,0)</t>
  </si>
  <si>
    <t>=IF(AND($M1192&gt;=$S$16,$M1192&lt;=$S$18),U1192,0)</t>
  </si>
  <si>
    <t>=IF($M1192&lt;=$T$18,U1192,0)</t>
  </si>
  <si>
    <t>="""NAV Direct"",""CRONUS JetCorp USA"",""21"",""1"",""327611"""</t>
  </si>
  <si>
    <t>=E1191</t>
  </si>
  <si>
    <t>=StartDate-$M1193+1</t>
  </si>
  <si>
    <t>=SUM(P1193:T1193)</t>
  </si>
  <si>
    <t>=IF($M1193&gt;=$P$18,U1193,0)</t>
  </si>
  <si>
    <t>=IF(AND($M1193&gt;=$Q$16,$M1193&lt;=$Q$18),U1193,0)</t>
  </si>
  <si>
    <t>=IF(AND($M1193&gt;=$R$16,$M1193&lt;=$R$18),U1193,0)</t>
  </si>
  <si>
    <t>=IF(AND($M1193&gt;=$S$16,$M1193&lt;=$S$18),U1193,0)</t>
  </si>
  <si>
    <t>=IF($M1193&lt;=$T$18,U1193,0)</t>
  </si>
  <si>
    <t>="""NAV Direct"",""CRONUS JetCorp USA"",""21"",""1"",""327755"""</t>
  </si>
  <si>
    <t>=E1192</t>
  </si>
  <si>
    <t>=StartDate-$M1194+1</t>
  </si>
  <si>
    <t>=SUM(P1194:T1194)</t>
  </si>
  <si>
    <t>=IF($M1194&gt;=$P$18,U1194,0)</t>
  </si>
  <si>
    <t>=IF(AND($M1194&gt;=$Q$16,$M1194&lt;=$Q$18),U1194,0)</t>
  </si>
  <si>
    <t>=IF(AND($M1194&gt;=$R$16,$M1194&lt;=$R$18),U1194,0)</t>
  </si>
  <si>
    <t>=IF(AND($M1194&gt;=$S$16,$M1194&lt;=$S$18),U1194,0)</t>
  </si>
  <si>
    <t>=IF($M1194&lt;=$T$18,U1194,0)</t>
  </si>
  <si>
    <t>="""NAV Direct"",""CRONUS JetCorp USA"",""21"",""1"",""327894"""</t>
  </si>
  <si>
    <t>=E1193</t>
  </si>
  <si>
    <t>=StartDate-$M1195+1</t>
  </si>
  <si>
    <t>=SUM(P1195:T1195)</t>
  </si>
  <si>
    <t>=IF($M1195&gt;=$P$18,U1195,0)</t>
  </si>
  <si>
    <t>=IF(AND($M1195&gt;=$Q$16,$M1195&lt;=$Q$18),U1195,0)</t>
  </si>
  <si>
    <t>=IF(AND($M1195&gt;=$R$16,$M1195&lt;=$R$18),U1195,0)</t>
  </si>
  <si>
    <t>=IF(AND($M1195&gt;=$S$16,$M1195&lt;=$S$18),U1195,0)</t>
  </si>
  <si>
    <t>=IF($M1195&lt;=$T$18,U1195,0)</t>
  </si>
  <si>
    <t>="""NAV Direct"",""CRONUS JetCorp USA"",""21"",""1"",""327940"""</t>
  </si>
  <si>
    <t>=E1194</t>
  </si>
  <si>
    <t>=StartDate-$M1196+1</t>
  </si>
  <si>
    <t>=SUM(P1196:T1196)</t>
  </si>
  <si>
    <t>=IF($M1196&gt;=$P$18,U1196,0)</t>
  </si>
  <si>
    <t>=IF(AND($M1196&gt;=$Q$16,$M1196&lt;=$Q$18),U1196,0)</t>
  </si>
  <si>
    <t>=IF(AND($M1196&gt;=$R$16,$M1196&lt;=$R$18),U1196,0)</t>
  </si>
  <si>
    <t>=IF(AND($M1196&gt;=$S$16,$M1196&lt;=$S$18),U1196,0)</t>
  </si>
  <si>
    <t>=IF($M1196&lt;=$T$18,U1196,0)</t>
  </si>
  <si>
    <t>="""NAV Direct"",""CRONUS JetCorp USA"",""21"",""1"",""328228"""</t>
  </si>
  <si>
    <t>=E1195</t>
  </si>
  <si>
    <t>=StartDate-$M1197+1</t>
  </si>
  <si>
    <t>=SUM(P1197:T1197)</t>
  </si>
  <si>
    <t>=IF($M1197&gt;=$P$18,U1197,0)</t>
  </si>
  <si>
    <t>=IF(AND($M1197&gt;=$Q$16,$M1197&lt;=$Q$18),U1197,0)</t>
  </si>
  <si>
    <t>=IF(AND($M1197&gt;=$R$16,$M1197&lt;=$R$18),U1197,0)</t>
  </si>
  <si>
    <t>=IF(AND($M1197&gt;=$S$16,$M1197&lt;=$S$18),U1197,0)</t>
  </si>
  <si>
    <t>=IF($M1197&lt;=$T$18,U1197,0)</t>
  </si>
  <si>
    <t>="""NAV Direct"",""CRONUS JetCorp USA"",""21"",""1"",""328307"""</t>
  </si>
  <si>
    <t>=E1196</t>
  </si>
  <si>
    <t>=StartDate-$M1198+1</t>
  </si>
  <si>
    <t>=SUM(P1198:T1198)</t>
  </si>
  <si>
    <t>=IF($M1198&gt;=$P$18,U1198,0)</t>
  </si>
  <si>
    <t>=IF(AND($M1198&gt;=$Q$16,$M1198&lt;=$Q$18),U1198,0)</t>
  </si>
  <si>
    <t>=IF(AND($M1198&gt;=$R$16,$M1198&lt;=$R$18),U1198,0)</t>
  </si>
  <si>
    <t>=IF(AND($M1198&gt;=$S$16,$M1198&lt;=$S$18),U1198,0)</t>
  </si>
  <si>
    <t>=IF($M1198&lt;=$T$18,U1198,0)</t>
  </si>
  <si>
    <t>="""NAV Direct"",""CRONUS JetCorp USA"",""21"",""1"",""328505"""</t>
  </si>
  <si>
    <t>=E1197</t>
  </si>
  <si>
    <t>=StartDate-$M1199+1</t>
  </si>
  <si>
    <t>=SUM(P1199:T1199)</t>
  </si>
  <si>
    <t>=IF($M1199&gt;=$P$18,U1199,0)</t>
  </si>
  <si>
    <t>=IF(AND($M1199&gt;=$Q$16,$M1199&lt;=$Q$18),U1199,0)</t>
  </si>
  <si>
    <t>=IF(AND($M1199&gt;=$R$16,$M1199&lt;=$R$18),U1199,0)</t>
  </si>
  <si>
    <t>=IF(AND($M1199&gt;=$S$16,$M1199&lt;=$S$18),U1199,0)</t>
  </si>
  <si>
    <t>=IF($M1199&lt;=$T$18,U1199,0)</t>
  </si>
  <si>
    <t>="""NAV Direct"",""CRONUS JetCorp USA"",""21"",""1"",""328702"""</t>
  </si>
  <si>
    <t>=E1198</t>
  </si>
  <si>
    <t>=StartDate-$M1200+1</t>
  </si>
  <si>
    <t>=SUM(P1200:T1200)</t>
  </si>
  <si>
    <t>=IF($M1200&gt;=$P$18,U1200,0)</t>
  </si>
  <si>
    <t>=IF(AND($M1200&gt;=$Q$16,$M1200&lt;=$Q$18),U1200,0)</t>
  </si>
  <si>
    <t>=IF(AND($M1200&gt;=$R$16,$M1200&lt;=$R$18),U1200,0)</t>
  </si>
  <si>
    <t>=IF(AND($M1200&gt;=$S$16,$M1200&lt;=$S$18),U1200,0)</t>
  </si>
  <si>
    <t>=IF($M1200&lt;=$T$18,U1200,0)</t>
  </si>
  <si>
    <t>="""NAV Direct"",""CRONUS JetCorp USA"",""21"",""1"",""328808"""</t>
  </si>
  <si>
    <t>=E1199</t>
  </si>
  <si>
    <t>=StartDate-$M1201+1</t>
  </si>
  <si>
    <t>=SUM(P1201:T1201)</t>
  </si>
  <si>
    <t>=IF($M1201&gt;=$P$18,U1201,0)</t>
  </si>
  <si>
    <t>=IF(AND($M1201&gt;=$Q$16,$M1201&lt;=$Q$18),U1201,0)</t>
  </si>
  <si>
    <t>=IF(AND($M1201&gt;=$R$16,$M1201&lt;=$R$18),U1201,0)</t>
  </si>
  <si>
    <t>=IF(AND($M1201&gt;=$S$16,$M1201&lt;=$S$18),U1201,0)</t>
  </si>
  <si>
    <t>=IF($M1201&lt;=$T$18,U1201,0)</t>
  </si>
  <si>
    <t>="""NAV Direct"",""CRONUS JetCorp USA"",""21"",""1"",""328939"""</t>
  </si>
  <si>
    <t>=E1200</t>
  </si>
  <si>
    <t>=StartDate-$M1202+1</t>
  </si>
  <si>
    <t>=SUM(P1202:T1202)</t>
  </si>
  <si>
    <t>=IF($M1202&gt;=$P$18,U1202,0)</t>
  </si>
  <si>
    <t>=IF(AND($M1202&gt;=$Q$16,$M1202&lt;=$Q$18),U1202,0)</t>
  </si>
  <si>
    <t>=IF(AND($M1202&gt;=$R$16,$M1202&lt;=$R$18),U1202,0)</t>
  </si>
  <si>
    <t>=IF(AND($M1202&gt;=$S$16,$M1202&lt;=$S$18),U1202,0)</t>
  </si>
  <si>
    <t>=IF($M1202&lt;=$T$18,U1202,0)</t>
  </si>
  <si>
    <t>="""NAV Direct"",""CRONUS JetCorp USA"",""21"",""1"",""329225"""</t>
  </si>
  <si>
    <t>=E1201</t>
  </si>
  <si>
    <t>=StartDate-$M1203+1</t>
  </si>
  <si>
    <t>=SUM(P1203:T1203)</t>
  </si>
  <si>
    <t>=IF($M1203&gt;=$P$18,U1203,0)</t>
  </si>
  <si>
    <t>=IF(AND($M1203&gt;=$Q$16,$M1203&lt;=$Q$18),U1203,0)</t>
  </si>
  <si>
    <t>=IF(AND($M1203&gt;=$R$16,$M1203&lt;=$R$18),U1203,0)</t>
  </si>
  <si>
    <t>=IF(AND($M1203&gt;=$S$16,$M1203&lt;=$S$18),U1203,0)</t>
  </si>
  <si>
    <t>=IF($M1203&lt;=$T$18,U1203,0)</t>
  </si>
  <si>
    <t>="""NAV Direct"",""CRONUS JetCorp USA"",""21"",""1"",""329401"""</t>
  </si>
  <si>
    <t>=E1202</t>
  </si>
  <si>
    <t>=StartDate-$M1204+1</t>
  </si>
  <si>
    <t>=SUM(P1204:T1204)</t>
  </si>
  <si>
    <t>=IF($M1204&gt;=$P$18,U1204,0)</t>
  </si>
  <si>
    <t>=IF(AND($M1204&gt;=$Q$16,$M1204&lt;=$Q$18),U1204,0)</t>
  </si>
  <si>
    <t>=IF(AND($M1204&gt;=$R$16,$M1204&lt;=$R$18),U1204,0)</t>
  </si>
  <si>
    <t>=IF(AND($M1204&gt;=$S$16,$M1204&lt;=$S$18),U1204,0)</t>
  </si>
  <si>
    <t>=IF($M1204&lt;=$T$18,U1204,0)</t>
  </si>
  <si>
    <t>="""NAV Direct"",""CRONUS JetCorp USA"",""21"",""1"",""329565"""</t>
  </si>
  <si>
    <t>=E1203</t>
  </si>
  <si>
    <t>=StartDate-$M1205+1</t>
  </si>
  <si>
    <t>=SUM(P1205:T1205)</t>
  </si>
  <si>
    <t>=IF($M1205&gt;=$P$18,U1205,0)</t>
  </si>
  <si>
    <t>=IF(AND($M1205&gt;=$Q$16,$M1205&lt;=$Q$18),U1205,0)</t>
  </si>
  <si>
    <t>=IF(AND($M1205&gt;=$R$16,$M1205&lt;=$R$18),U1205,0)</t>
  </si>
  <si>
    <t>=IF(AND($M1205&gt;=$S$16,$M1205&lt;=$S$18),U1205,0)</t>
  </si>
  <si>
    <t>=IF($M1205&lt;=$T$18,U1205,0)</t>
  </si>
  <si>
    <t>="""NAV Direct"",""CRONUS JetCorp USA"",""21"",""1"",""329816"""</t>
  </si>
  <si>
    <t>=E1204</t>
  </si>
  <si>
    <t>=StartDate-$M1206+1</t>
  </si>
  <si>
    <t>=SUM(P1206:T1206)</t>
  </si>
  <si>
    <t>=IF($M1206&gt;=$P$18,U1206,0)</t>
  </si>
  <si>
    <t>=IF(AND($M1206&gt;=$Q$16,$M1206&lt;=$Q$18),U1206,0)</t>
  </si>
  <si>
    <t>=IF(AND($M1206&gt;=$R$16,$M1206&lt;=$R$18),U1206,0)</t>
  </si>
  <si>
    <t>=IF(AND($M1206&gt;=$S$16,$M1206&lt;=$S$18),U1206,0)</t>
  </si>
  <si>
    <t>=IF($M1206&lt;=$T$18,U1206,0)</t>
  </si>
  <si>
    <t>="""NAV Direct"",""CRONUS JetCorp USA"",""21"",""1"",""432131"""</t>
  </si>
  <si>
    <t>=E1205</t>
  </si>
  <si>
    <t>=StartDate-$M1207+1</t>
  </si>
  <si>
    <t>=SUM(P1207:T1207)</t>
  </si>
  <si>
    <t>=IF($M1207&gt;=$P$18,U1207,0)</t>
  </si>
  <si>
    <t>=IF(AND($M1207&gt;=$Q$16,$M1207&lt;=$Q$18),U1207,0)</t>
  </si>
  <si>
    <t>=IF(AND($M1207&gt;=$R$16,$M1207&lt;=$R$18),U1207,0)</t>
  </si>
  <si>
    <t>=IF(AND($M1207&gt;=$S$16,$M1207&lt;=$S$18),U1207,0)</t>
  </si>
  <si>
    <t>=IF($M1207&lt;=$T$18,U1207,0)</t>
  </si>
  <si>
    <t>="""NAV Direct"",""CRONUS JetCorp USA"",""21"",""1"",""432191"""</t>
  </si>
  <si>
    <t>=E1206</t>
  </si>
  <si>
    <t>=StartDate-$M1208+1</t>
  </si>
  <si>
    <t>=SUM(P1208:T1208)</t>
  </si>
  <si>
    <t>=IF($M1208&gt;=$P$18,U1208,0)</t>
  </si>
  <si>
    <t>=IF(AND($M1208&gt;=$Q$16,$M1208&lt;=$Q$18),U1208,0)</t>
  </si>
  <si>
    <t>=IF(AND($M1208&gt;=$R$16,$M1208&lt;=$R$18),U1208,0)</t>
  </si>
  <si>
    <t>=IF(AND($M1208&gt;=$S$16,$M1208&lt;=$S$18),U1208,0)</t>
  </si>
  <si>
    <t>=IF($M1208&lt;=$T$18,U1208,0)</t>
  </si>
  <si>
    <t>="""NAV Direct"",""CRONUS JetCorp USA"",""21"",""1"",""432357"""</t>
  </si>
  <si>
    <t>=E1207</t>
  </si>
  <si>
    <t>=StartDate-$M1209+1</t>
  </si>
  <si>
    <t>=SUM(P1209:T1209)</t>
  </si>
  <si>
    <t>=IF($M1209&gt;=$P$18,U1209,0)</t>
  </si>
  <si>
    <t>=IF(AND($M1209&gt;=$Q$16,$M1209&lt;=$Q$18),U1209,0)</t>
  </si>
  <si>
    <t>=IF(AND($M1209&gt;=$R$16,$M1209&lt;=$R$18),U1209,0)</t>
  </si>
  <si>
    <t>=IF(AND($M1209&gt;=$S$16,$M1209&lt;=$S$18),U1209,0)</t>
  </si>
  <si>
    <t>=IF($M1209&lt;=$T$18,U1209,0)</t>
  </si>
  <si>
    <t>="""NAV Direct"",""CRONUS JetCorp USA"",""21"",""1"",""432467"""</t>
  </si>
  <si>
    <t>=E1208</t>
  </si>
  <si>
    <t>=StartDate-$M1210+1</t>
  </si>
  <si>
    <t>=SUM(P1210:T1210)</t>
  </si>
  <si>
    <t>=IF($M1210&gt;=$P$18,U1210,0)</t>
  </si>
  <si>
    <t>=IF(AND($M1210&gt;=$Q$16,$M1210&lt;=$Q$18),U1210,0)</t>
  </si>
  <si>
    <t>=IF(AND($M1210&gt;=$R$16,$M1210&lt;=$R$18),U1210,0)</t>
  </si>
  <si>
    <t>=IF(AND($M1210&gt;=$S$16,$M1210&lt;=$S$18),U1210,0)</t>
  </si>
  <si>
    <t>=IF($M1210&lt;=$T$18,U1210,0)</t>
  </si>
  <si>
    <t>="""NAV Direct"",""CRONUS JetCorp USA"",""21"",""1"",""432541"""</t>
  </si>
  <si>
    <t>=E1209</t>
  </si>
  <si>
    <t>=StartDate-$M1211+1</t>
  </si>
  <si>
    <t>=SUM(P1211:T1211)</t>
  </si>
  <si>
    <t>=IF($M1211&gt;=$P$18,U1211,0)</t>
  </si>
  <si>
    <t>=IF(AND($M1211&gt;=$Q$16,$M1211&lt;=$Q$18),U1211,0)</t>
  </si>
  <si>
    <t>=IF(AND($M1211&gt;=$R$16,$M1211&lt;=$R$18),U1211,0)</t>
  </si>
  <si>
    <t>=IF(AND($M1211&gt;=$S$16,$M1211&lt;=$S$18),U1211,0)</t>
  </si>
  <si>
    <t>=IF($M1211&lt;=$T$18,U1211,0)</t>
  </si>
  <si>
    <t>="""NAV Direct"",""CRONUS JetCorp USA"",""21"",""1"",""432652"""</t>
  </si>
  <si>
    <t>=E1210</t>
  </si>
  <si>
    <t>=StartDate-$M1212+1</t>
  </si>
  <si>
    <t>=SUM(P1212:T1212)</t>
  </si>
  <si>
    <t>=IF($M1212&gt;=$P$18,U1212,0)</t>
  </si>
  <si>
    <t>=IF(AND($M1212&gt;=$Q$16,$M1212&lt;=$Q$18),U1212,0)</t>
  </si>
  <si>
    <t>=IF(AND($M1212&gt;=$R$16,$M1212&lt;=$R$18),U1212,0)</t>
  </si>
  <si>
    <t>=IF(AND($M1212&gt;=$S$16,$M1212&lt;=$S$18),U1212,0)</t>
  </si>
  <si>
    <t>=IF($M1212&lt;=$T$18,U1212,0)</t>
  </si>
  <si>
    <t>="""NAV Direct"",""CRONUS JetCorp USA"",""21"",""1"",""432727"""</t>
  </si>
  <si>
    <t>=E1211</t>
  </si>
  <si>
    <t>=StartDate-$M1213+1</t>
  </si>
  <si>
    <t>=SUM(P1213:T1213)</t>
  </si>
  <si>
    <t>=IF($M1213&gt;=$P$18,U1213,0)</t>
  </si>
  <si>
    <t>=IF(AND($M1213&gt;=$Q$16,$M1213&lt;=$Q$18),U1213,0)</t>
  </si>
  <si>
    <t>=IF(AND($M1213&gt;=$R$16,$M1213&lt;=$R$18),U1213,0)</t>
  </si>
  <si>
    <t>=IF(AND($M1213&gt;=$S$16,$M1213&lt;=$S$18),U1213,0)</t>
  </si>
  <si>
    <t>=IF($M1213&lt;=$T$18,U1213,0)</t>
  </si>
  <si>
    <t>="""NAV Direct"",""CRONUS JetCorp USA"",""21"",""1"",""432747"""</t>
  </si>
  <si>
    <t>=E1212</t>
  </si>
  <si>
    <t>=StartDate-$M1214+1</t>
  </si>
  <si>
    <t>=SUM(P1214:T1214)</t>
  </si>
  <si>
    <t>=IF($M1214&gt;=$P$18,U1214,0)</t>
  </si>
  <si>
    <t>=IF(AND($M1214&gt;=$Q$16,$M1214&lt;=$Q$18),U1214,0)</t>
  </si>
  <si>
    <t>=IF(AND($M1214&gt;=$R$16,$M1214&lt;=$R$18),U1214,0)</t>
  </si>
  <si>
    <t>=IF(AND($M1214&gt;=$S$16,$M1214&lt;=$S$18),U1214,0)</t>
  </si>
  <si>
    <t>=IF($M1214&lt;=$T$18,U1214,0)</t>
  </si>
  <si>
    <t>="""NAV Direct"",""CRONUS JetCorp USA"",""18"",""1"",""C100042"""</t>
  </si>
  <si>
    <t>=H1217</t>
  </si>
  <si>
    <t>=NF($C1217,"1 No.")</t>
  </si>
  <si>
    <t>=NF($C1217,"1 No.")&amp;"  -  "&amp;NF($C1217,"2 Name")</t>
  </si>
  <si>
    <t>=IFERROR(O1217/NF(C1217,"Credit Limit (LCY)"),"")</t>
  </si>
  <si>
    <t>=SUBTOTAL(3,L1218:L1252)</t>
  </si>
  <si>
    <t>=SUBTOTAL(9,O1218:O1252)</t>
  </si>
  <si>
    <t>=SUBTOTAL(9,P1218:P1252)</t>
  </si>
  <si>
    <t>=SUBTOTAL(9,Q1218:Q1252)</t>
  </si>
  <si>
    <t>=SUBTOTAL(9,R1218:R1252)</t>
  </si>
  <si>
    <t>=SUBTOTAL(9,S1218:S1252)</t>
  </si>
  <si>
    <t>=SUBTOTAL(9,T1218:T1252)</t>
  </si>
  <si>
    <t>=C1217</t>
  </si>
  <si>
    <t>=E1217</t>
  </si>
  <si>
    <t>="Contact: "&amp;NF($C1218,"8 Contact")</t>
  </si>
  <si>
    <t>=C1218</t>
  </si>
  <si>
    <t>=E1218</t>
  </si>
  <si>
    <t>=NF($C1219,"102 E-Mail")</t>
  </si>
  <si>
    <t>=NL("Rows","21 Cust. Ledger Entry",,"3 Customer No.","@@"&amp;$E1221,"16 Remaining Amt. (LCY)","&lt;&gt;0")</t>
  </si>
  <si>
    <t>=E1219</t>
  </si>
  <si>
    <t>=StartDate-$M1221+1</t>
  </si>
  <si>
    <t>=SUM(P1221:T1221)</t>
  </si>
  <si>
    <t>=IF($M1221&gt;=$P$18,U1221,0)</t>
  </si>
  <si>
    <t>=IF(AND($M1221&gt;=$Q$16,$M1221&lt;=$Q$18),U1221,0)</t>
  </si>
  <si>
    <t>=IF(AND($M1221&gt;=$R$16,$M1221&lt;=$R$18),U1221,0)</t>
  </si>
  <si>
    <t>=IF(AND($M1221&gt;=$S$16,$M1221&lt;=$S$18),U1221,0)</t>
  </si>
  <si>
    <t>=IF($M1221&lt;=$T$18,U1221,0)</t>
  </si>
  <si>
    <t>="""NAV Direct"",""CRONUS JetCorp USA"",""21"",""1"",""41315"""</t>
  </si>
  <si>
    <t>=E1220</t>
  </si>
  <si>
    <t>=StartDate-$M1222+1</t>
  </si>
  <si>
    <t>=SUM(P1222:T1222)</t>
  </si>
  <si>
    <t>=IF($M1222&gt;=$P$18,U1222,0)</t>
  </si>
  <si>
    <t>=IF(AND($M1222&gt;=$Q$16,$M1222&lt;=$Q$18),U1222,0)</t>
  </si>
  <si>
    <t>=IF(AND($M1222&gt;=$R$16,$M1222&lt;=$R$18),U1222,0)</t>
  </si>
  <si>
    <t>=IF(AND($M1222&gt;=$S$16,$M1222&lt;=$S$18),U1222,0)</t>
  </si>
  <si>
    <t>=IF($M1222&lt;=$T$18,U1222,0)</t>
  </si>
  <si>
    <t>="""NAV Direct"",""CRONUS JetCorp USA"",""21"",""1"",""41705"""</t>
  </si>
  <si>
    <t>=E1221</t>
  </si>
  <si>
    <t>=StartDate-$M1223+1</t>
  </si>
  <si>
    <t>=SUM(P1223:T1223)</t>
  </si>
  <si>
    <t>=IF($M1223&gt;=$P$18,U1223,0)</t>
  </si>
  <si>
    <t>=IF(AND($M1223&gt;=$Q$16,$M1223&lt;=$Q$18),U1223,0)</t>
  </si>
  <si>
    <t>=IF(AND($M1223&gt;=$R$16,$M1223&lt;=$R$18),U1223,0)</t>
  </si>
  <si>
    <t>=IF(AND($M1223&gt;=$S$16,$M1223&lt;=$S$18),U1223,0)</t>
  </si>
  <si>
    <t>=IF($M1223&lt;=$T$18,U1223,0)</t>
  </si>
  <si>
    <t>="""NAV Direct"",""CRONUS JetCorp USA"",""21"",""1"",""41916"""</t>
  </si>
  <si>
    <t>=E1222</t>
  </si>
  <si>
    <t>=StartDate-$M1224+1</t>
  </si>
  <si>
    <t>=SUM(P1224:T1224)</t>
  </si>
  <si>
    <t>=IF($M1224&gt;=$P$18,U1224,0)</t>
  </si>
  <si>
    <t>=IF(AND($M1224&gt;=$Q$16,$M1224&lt;=$Q$18),U1224,0)</t>
  </si>
  <si>
    <t>=IF(AND($M1224&gt;=$R$16,$M1224&lt;=$R$18),U1224,0)</t>
  </si>
  <si>
    <t>=IF(AND($M1224&gt;=$S$16,$M1224&lt;=$S$18),U1224,0)</t>
  </si>
  <si>
    <t>=IF($M1224&lt;=$T$18,U1224,0)</t>
  </si>
  <si>
    <t>="""NAV Direct"",""CRONUS JetCorp USA"",""21"",""1"",""332475"""</t>
  </si>
  <si>
    <t>=E1223</t>
  </si>
  <si>
    <t>=StartDate-$M1225+1</t>
  </si>
  <si>
    <t>=SUM(P1225:T1225)</t>
  </si>
  <si>
    <t>=IF($M1225&gt;=$P$18,U1225,0)</t>
  </si>
  <si>
    <t>=IF(AND($M1225&gt;=$Q$16,$M1225&lt;=$Q$18),U1225,0)</t>
  </si>
  <si>
    <t>=IF(AND($M1225&gt;=$R$16,$M1225&lt;=$R$18),U1225,0)</t>
  </si>
  <si>
    <t>=IF(AND($M1225&gt;=$S$16,$M1225&lt;=$S$18),U1225,0)</t>
  </si>
  <si>
    <t>=IF($M1225&lt;=$T$18,U1225,0)</t>
  </si>
  <si>
    <t>="""NAV Direct"",""CRONUS JetCorp USA"",""21"",""1"",""332517"""</t>
  </si>
  <si>
    <t>=E1224</t>
  </si>
  <si>
    <t>=StartDate-$M1226+1</t>
  </si>
  <si>
    <t>=SUM(P1226:T1226)</t>
  </si>
  <si>
    <t>=IF($M1226&gt;=$P$18,U1226,0)</t>
  </si>
  <si>
    <t>=IF(AND($M1226&gt;=$Q$16,$M1226&lt;=$Q$18),U1226,0)</t>
  </si>
  <si>
    <t>=IF(AND($M1226&gt;=$R$16,$M1226&lt;=$R$18),U1226,0)</t>
  </si>
  <si>
    <t>=IF(AND($M1226&gt;=$S$16,$M1226&lt;=$S$18),U1226,0)</t>
  </si>
  <si>
    <t>=IF($M1226&lt;=$T$18,U1226,0)</t>
  </si>
  <si>
    <t>="""NAV Direct"",""CRONUS JetCorp USA"",""21"",""1"",""332538"""</t>
  </si>
  <si>
    <t>=E1225</t>
  </si>
  <si>
    <t>=StartDate-$M1227+1</t>
  </si>
  <si>
    <t>=SUM(P1227:T1227)</t>
  </si>
  <si>
    <t>=IF($M1227&gt;=$P$18,U1227,0)</t>
  </si>
  <si>
    <t>=IF(AND($M1227&gt;=$Q$16,$M1227&lt;=$Q$18),U1227,0)</t>
  </si>
  <si>
    <t>=IF(AND($M1227&gt;=$R$16,$M1227&lt;=$R$18),U1227,0)</t>
  </si>
  <si>
    <t>=IF(AND($M1227&gt;=$S$16,$M1227&lt;=$S$18),U1227,0)</t>
  </si>
  <si>
    <t>=IF($M1227&lt;=$T$18,U1227,0)</t>
  </si>
  <si>
    <t>="""NAV Direct"",""CRONUS JetCorp USA"",""21"",""1"",""332586"""</t>
  </si>
  <si>
    <t>=E1226</t>
  </si>
  <si>
    <t>=StartDate-$M1228+1</t>
  </si>
  <si>
    <t>=SUM(P1228:T1228)</t>
  </si>
  <si>
    <t>=IF($M1228&gt;=$P$18,U1228,0)</t>
  </si>
  <si>
    <t>=IF(AND($M1228&gt;=$Q$16,$M1228&lt;=$Q$18),U1228,0)</t>
  </si>
  <si>
    <t>=IF(AND($M1228&gt;=$R$16,$M1228&lt;=$R$18),U1228,0)</t>
  </si>
  <si>
    <t>=IF(AND($M1228&gt;=$S$16,$M1228&lt;=$S$18),U1228,0)</t>
  </si>
  <si>
    <t>=IF($M1228&lt;=$T$18,U1228,0)</t>
  </si>
  <si>
    <t>="""NAV Direct"",""CRONUS JetCorp USA"",""21"",""1"",""332741"""</t>
  </si>
  <si>
    <t>=E1227</t>
  </si>
  <si>
    <t>=StartDate-$M1229+1</t>
  </si>
  <si>
    <t>=SUM(P1229:T1229)</t>
  </si>
  <si>
    <t>=IF($M1229&gt;=$P$18,U1229,0)</t>
  </si>
  <si>
    <t>=IF(AND($M1229&gt;=$Q$16,$M1229&lt;=$Q$18),U1229,0)</t>
  </si>
  <si>
    <t>=IF(AND($M1229&gt;=$R$16,$M1229&lt;=$R$18),U1229,0)</t>
  </si>
  <si>
    <t>=IF(AND($M1229&gt;=$S$16,$M1229&lt;=$S$18),U1229,0)</t>
  </si>
  <si>
    <t>=IF($M1229&lt;=$T$18,U1229,0)</t>
  </si>
  <si>
    <t>="""NAV Direct"",""CRONUS JetCorp USA"",""21"",""1"",""332835"""</t>
  </si>
  <si>
    <t>=E1228</t>
  </si>
  <si>
    <t>=StartDate-$M1230+1</t>
  </si>
  <si>
    <t>=SUM(P1230:T1230)</t>
  </si>
  <si>
    <t>=IF($M1230&gt;=$P$18,U1230,0)</t>
  </si>
  <si>
    <t>=IF(AND($M1230&gt;=$Q$16,$M1230&lt;=$Q$18),U1230,0)</t>
  </si>
  <si>
    <t>=IF(AND($M1230&gt;=$R$16,$M1230&lt;=$R$18),U1230,0)</t>
  </si>
  <si>
    <t>=IF(AND($M1230&gt;=$S$16,$M1230&lt;=$S$18),U1230,0)</t>
  </si>
  <si>
    <t>=IF($M1230&lt;=$T$18,U1230,0)</t>
  </si>
  <si>
    <t>="""NAV Direct"",""CRONUS JetCorp USA"",""21"",""1"",""333021"""</t>
  </si>
  <si>
    <t>=E1229</t>
  </si>
  <si>
    <t>=StartDate-$M1231+1</t>
  </si>
  <si>
    <t>=SUM(P1231:T1231)</t>
  </si>
  <si>
    <t>=IF($M1231&gt;=$P$18,U1231,0)</t>
  </si>
  <si>
    <t>=IF(AND($M1231&gt;=$Q$16,$M1231&lt;=$Q$18),U1231,0)</t>
  </si>
  <si>
    <t>=IF(AND($M1231&gt;=$R$16,$M1231&lt;=$R$18),U1231,0)</t>
  </si>
  <si>
    <t>=IF(AND($M1231&gt;=$S$16,$M1231&lt;=$S$18),U1231,0)</t>
  </si>
  <si>
    <t>=IF($M1231&lt;=$T$18,U1231,0)</t>
  </si>
  <si>
    <t>="""NAV Direct"",""CRONUS JetCorp USA"",""21"",""1"",""333234"""</t>
  </si>
  <si>
    <t>=E1230</t>
  </si>
  <si>
    <t>=StartDate-$M1232+1</t>
  </si>
  <si>
    <t>=SUM(P1232:T1232)</t>
  </si>
  <si>
    <t>=IF($M1232&gt;=$P$18,U1232,0)</t>
  </si>
  <si>
    <t>=IF(AND($M1232&gt;=$Q$16,$M1232&lt;=$Q$18),U1232,0)</t>
  </si>
  <si>
    <t>=IF(AND($M1232&gt;=$R$16,$M1232&lt;=$R$18),U1232,0)</t>
  </si>
  <si>
    <t>=IF(AND($M1232&gt;=$S$16,$M1232&lt;=$S$18),U1232,0)</t>
  </si>
  <si>
    <t>=IF($M1232&lt;=$T$18,U1232,0)</t>
  </si>
  <si>
    <t>="""NAV Direct"",""CRONUS JetCorp USA"",""21"",""1"",""333337"""</t>
  </si>
  <si>
    <t>=E1231</t>
  </si>
  <si>
    <t>=StartDate-$M1233+1</t>
  </si>
  <si>
    <t>=SUM(P1233:T1233)</t>
  </si>
  <si>
    <t>=IF($M1233&gt;=$P$18,U1233,0)</t>
  </si>
  <si>
    <t>=IF(AND($M1233&gt;=$Q$16,$M1233&lt;=$Q$18),U1233,0)</t>
  </si>
  <si>
    <t>=IF(AND($M1233&gt;=$R$16,$M1233&lt;=$R$18),U1233,0)</t>
  </si>
  <si>
    <t>=IF(AND($M1233&gt;=$S$16,$M1233&lt;=$S$18),U1233,0)</t>
  </si>
  <si>
    <t>=IF($M1233&lt;=$T$18,U1233,0)</t>
  </si>
  <si>
    <t>="""NAV Direct"",""CRONUS JetCorp USA"",""21"",""1"",""333373"""</t>
  </si>
  <si>
    <t>=E1232</t>
  </si>
  <si>
    <t>=StartDate-$M1234+1</t>
  </si>
  <si>
    <t>=SUM(P1234:T1234)</t>
  </si>
  <si>
    <t>=IF($M1234&gt;=$P$18,U1234,0)</t>
  </si>
  <si>
    <t>=IF(AND($M1234&gt;=$Q$16,$M1234&lt;=$Q$18),U1234,0)</t>
  </si>
  <si>
    <t>=IF(AND($M1234&gt;=$R$16,$M1234&lt;=$R$18),U1234,0)</t>
  </si>
  <si>
    <t>=IF(AND($M1234&gt;=$S$16,$M1234&lt;=$S$18),U1234,0)</t>
  </si>
  <si>
    <t>=IF($M1234&lt;=$T$18,U1234,0)</t>
  </si>
  <si>
    <t>="""NAV Direct"",""CRONUS JetCorp USA"",""21"",""1"",""333522"""</t>
  </si>
  <si>
    <t>=E1233</t>
  </si>
  <si>
    <t>=StartDate-$M1235+1</t>
  </si>
  <si>
    <t>=SUM(P1235:T1235)</t>
  </si>
  <si>
    <t>=IF($M1235&gt;=$P$18,U1235,0)</t>
  </si>
  <si>
    <t>=IF(AND($M1235&gt;=$Q$16,$M1235&lt;=$Q$18),U1235,0)</t>
  </si>
  <si>
    <t>=IF(AND($M1235&gt;=$R$16,$M1235&lt;=$R$18),U1235,0)</t>
  </si>
  <si>
    <t>=IF(AND($M1235&gt;=$S$16,$M1235&lt;=$S$18),U1235,0)</t>
  </si>
  <si>
    <t>=IF($M1235&lt;=$T$18,U1235,0)</t>
  </si>
  <si>
    <t>="""NAV Direct"",""CRONUS JetCorp USA"",""21"",""1"",""333635"""</t>
  </si>
  <si>
    <t>=E1234</t>
  </si>
  <si>
    <t>=StartDate-$M1236+1</t>
  </si>
  <si>
    <t>=SUM(P1236:T1236)</t>
  </si>
  <si>
    <t>=IF($M1236&gt;=$P$18,U1236,0)</t>
  </si>
  <si>
    <t>=IF(AND($M1236&gt;=$Q$16,$M1236&lt;=$Q$18),U1236,0)</t>
  </si>
  <si>
    <t>=IF(AND($M1236&gt;=$R$16,$M1236&lt;=$R$18),U1236,0)</t>
  </si>
  <si>
    <t>=IF(AND($M1236&gt;=$S$16,$M1236&lt;=$S$18),U1236,0)</t>
  </si>
  <si>
    <t>=IF($M1236&lt;=$T$18,U1236,0)</t>
  </si>
  <si>
    <t>="""NAV Direct"",""CRONUS JetCorp USA"",""21"",""1"",""333805"""</t>
  </si>
  <si>
    <t>=E1235</t>
  </si>
  <si>
    <t>=StartDate-$M1237+1</t>
  </si>
  <si>
    <t>=SUM(P1237:T1237)</t>
  </si>
  <si>
    <t>=IF($M1237&gt;=$P$18,U1237,0)</t>
  </si>
  <si>
    <t>=IF(AND($M1237&gt;=$Q$16,$M1237&lt;=$Q$18),U1237,0)</t>
  </si>
  <si>
    <t>=IF(AND($M1237&gt;=$R$16,$M1237&lt;=$R$18),U1237,0)</t>
  </si>
  <si>
    <t>=IF(AND($M1237&gt;=$S$16,$M1237&lt;=$S$18),U1237,0)</t>
  </si>
  <si>
    <t>=IF($M1237&lt;=$T$18,U1237,0)</t>
  </si>
  <si>
    <t>="""NAV Direct"",""CRONUS JetCorp USA"",""21"",""1"",""333965"""</t>
  </si>
  <si>
    <t>=E1236</t>
  </si>
  <si>
    <t>=StartDate-$M1238+1</t>
  </si>
  <si>
    <t>=SUM(P1238:T1238)</t>
  </si>
  <si>
    <t>=IF($M1238&gt;=$P$18,U1238,0)</t>
  </si>
  <si>
    <t>=IF(AND($M1238&gt;=$Q$16,$M1238&lt;=$Q$18),U1238,0)</t>
  </si>
  <si>
    <t>=IF(AND($M1238&gt;=$R$16,$M1238&lt;=$R$18),U1238,0)</t>
  </si>
  <si>
    <t>=IF(AND($M1238&gt;=$S$16,$M1238&lt;=$S$18),U1238,0)</t>
  </si>
  <si>
    <t>=IF($M1238&lt;=$T$18,U1238,0)</t>
  </si>
  <si>
    <t>="""NAV Direct"",""CRONUS JetCorp USA"",""21"",""1"",""334175"""</t>
  </si>
  <si>
    <t>=E1237</t>
  </si>
  <si>
    <t>=StartDate-$M1239+1</t>
  </si>
  <si>
    <t>=SUM(P1239:T1239)</t>
  </si>
  <si>
    <t>=IF($M1239&gt;=$P$18,U1239,0)</t>
  </si>
  <si>
    <t>=IF(AND($M1239&gt;=$Q$16,$M1239&lt;=$Q$18),U1239,0)</t>
  </si>
  <si>
    <t>=IF(AND($M1239&gt;=$R$16,$M1239&lt;=$R$18),U1239,0)</t>
  </si>
  <si>
    <t>=IF(AND($M1239&gt;=$S$16,$M1239&lt;=$S$18),U1239,0)</t>
  </si>
  <si>
    <t>=IF($M1239&lt;=$T$18,U1239,0)</t>
  </si>
  <si>
    <t>="""NAV Direct"",""CRONUS JetCorp USA"",""21"",""1"",""334198"""</t>
  </si>
  <si>
    <t>=E1238</t>
  </si>
  <si>
    <t>=StartDate-$M1240+1</t>
  </si>
  <si>
    <t>=SUM(P1240:T1240)</t>
  </si>
  <si>
    <t>=IF($M1240&gt;=$P$18,U1240,0)</t>
  </si>
  <si>
    <t>=IF(AND($M1240&gt;=$Q$16,$M1240&lt;=$Q$18),U1240,0)</t>
  </si>
  <si>
    <t>=IF(AND($M1240&gt;=$R$16,$M1240&lt;=$R$18),U1240,0)</t>
  </si>
  <si>
    <t>=IF(AND($M1240&gt;=$S$16,$M1240&lt;=$S$18),U1240,0)</t>
  </si>
  <si>
    <t>=IF($M1240&lt;=$T$18,U1240,0)</t>
  </si>
  <si>
    <t>="""NAV Direct"",""CRONUS JetCorp USA"",""21"",""1"",""334240"""</t>
  </si>
  <si>
    <t>=E1239</t>
  </si>
  <si>
    <t>=StartDate-$M1241+1</t>
  </si>
  <si>
    <t>=SUM(P1241:T1241)</t>
  </si>
  <si>
    <t>=IF($M1241&gt;=$P$18,U1241,0)</t>
  </si>
  <si>
    <t>=IF(AND($M1241&gt;=$Q$16,$M1241&lt;=$Q$18),U1241,0)</t>
  </si>
  <si>
    <t>=IF(AND($M1241&gt;=$R$16,$M1241&lt;=$R$18),U1241,0)</t>
  </si>
  <si>
    <t>=IF(AND($M1241&gt;=$S$16,$M1241&lt;=$S$18),U1241,0)</t>
  </si>
  <si>
    <t>=IF($M1241&lt;=$T$18,U1241,0)</t>
  </si>
  <si>
    <t>="""NAV Direct"",""CRONUS JetCorp USA"",""21"",""1"",""334608"""</t>
  </si>
  <si>
    <t>=E1240</t>
  </si>
  <si>
    <t>=StartDate-$M1242+1</t>
  </si>
  <si>
    <t>=SUM(P1242:T1242)</t>
  </si>
  <si>
    <t>=IF($M1242&gt;=$P$18,U1242,0)</t>
  </si>
  <si>
    <t>=IF(AND($M1242&gt;=$Q$16,$M1242&lt;=$Q$18),U1242,0)</t>
  </si>
  <si>
    <t>=IF(AND($M1242&gt;=$R$16,$M1242&lt;=$R$18),U1242,0)</t>
  </si>
  <si>
    <t>=IF(AND($M1242&gt;=$S$16,$M1242&lt;=$S$18),U1242,0)</t>
  </si>
  <si>
    <t>=IF($M1242&lt;=$T$18,U1242,0)</t>
  </si>
  <si>
    <t>="""NAV Direct"",""CRONUS JetCorp USA"",""21"",""1"",""334696"""</t>
  </si>
  <si>
    <t>=E1241</t>
  </si>
  <si>
    <t>=StartDate-$M1243+1</t>
  </si>
  <si>
    <t>=SUM(P1243:T1243)</t>
  </si>
  <si>
    <t>=IF($M1243&gt;=$P$18,U1243,0)</t>
  </si>
  <si>
    <t>=IF(AND($M1243&gt;=$Q$16,$M1243&lt;=$Q$18),U1243,0)</t>
  </si>
  <si>
    <t>=IF(AND($M1243&gt;=$R$16,$M1243&lt;=$R$18),U1243,0)</t>
  </si>
  <si>
    <t>=IF(AND($M1243&gt;=$S$16,$M1243&lt;=$S$18),U1243,0)</t>
  </si>
  <si>
    <t>=IF($M1243&lt;=$T$18,U1243,0)</t>
  </si>
  <si>
    <t>="""NAV Direct"",""CRONUS JetCorp USA"",""21"",""1"",""334792"""</t>
  </si>
  <si>
    <t>=E1242</t>
  </si>
  <si>
    <t>=StartDate-$M1244+1</t>
  </si>
  <si>
    <t>=SUM(P1244:T1244)</t>
  </si>
  <si>
    <t>=IF($M1244&gt;=$P$18,U1244,0)</t>
  </si>
  <si>
    <t>=IF(AND($M1244&gt;=$Q$16,$M1244&lt;=$Q$18),U1244,0)</t>
  </si>
  <si>
    <t>=IF(AND($M1244&gt;=$R$16,$M1244&lt;=$R$18),U1244,0)</t>
  </si>
  <si>
    <t>=IF(AND($M1244&gt;=$S$16,$M1244&lt;=$S$18),U1244,0)</t>
  </si>
  <si>
    <t>=IF($M1244&lt;=$T$18,U1244,0)</t>
  </si>
  <si>
    <t>="""NAV Direct"",""CRONUS JetCorp USA"",""21"",""1"",""433272"""</t>
  </si>
  <si>
    <t>=E1243</t>
  </si>
  <si>
    <t>=StartDate-$M1245+1</t>
  </si>
  <si>
    <t>=SUM(P1245:T1245)</t>
  </si>
  <si>
    <t>=IF($M1245&gt;=$P$18,U1245,0)</t>
  </si>
  <si>
    <t>=IF(AND($M1245&gt;=$Q$16,$M1245&lt;=$Q$18),U1245,0)</t>
  </si>
  <si>
    <t>=IF(AND($M1245&gt;=$R$16,$M1245&lt;=$R$18),U1245,0)</t>
  </si>
  <si>
    <t>=IF(AND($M1245&gt;=$S$16,$M1245&lt;=$S$18),U1245,0)</t>
  </si>
  <si>
    <t>=IF($M1245&lt;=$T$18,U1245,0)</t>
  </si>
  <si>
    <t>="""NAV Direct"",""CRONUS JetCorp USA"",""21"",""1"",""433287"""</t>
  </si>
  <si>
    <t>=E1244</t>
  </si>
  <si>
    <t>=StartDate-$M1246+1</t>
  </si>
  <si>
    <t>=SUM(P1246:T1246)</t>
  </si>
  <si>
    <t>=IF($M1246&gt;=$P$18,U1246,0)</t>
  </si>
  <si>
    <t>=IF(AND($M1246&gt;=$Q$16,$M1246&lt;=$Q$18),U1246,0)</t>
  </si>
  <si>
    <t>=IF(AND($M1246&gt;=$R$16,$M1246&lt;=$R$18),U1246,0)</t>
  </si>
  <si>
    <t>=IF(AND($M1246&gt;=$S$16,$M1246&lt;=$S$18),U1246,0)</t>
  </si>
  <si>
    <t>=IF($M1246&lt;=$T$18,U1246,0)</t>
  </si>
  <si>
    <t>="""NAV Direct"",""CRONUS JetCorp USA"",""21"",""1"",""433425"""</t>
  </si>
  <si>
    <t>=E1245</t>
  </si>
  <si>
    <t>=StartDate-$M1247+1</t>
  </si>
  <si>
    <t>=SUM(P1247:T1247)</t>
  </si>
  <si>
    <t>=IF($M1247&gt;=$P$18,U1247,0)</t>
  </si>
  <si>
    <t>=IF(AND($M1247&gt;=$Q$16,$M1247&lt;=$Q$18),U1247,0)</t>
  </si>
  <si>
    <t>=IF(AND($M1247&gt;=$R$16,$M1247&lt;=$R$18),U1247,0)</t>
  </si>
  <si>
    <t>=IF(AND($M1247&gt;=$S$16,$M1247&lt;=$S$18),U1247,0)</t>
  </si>
  <si>
    <t>=IF($M1247&lt;=$T$18,U1247,0)</t>
  </si>
  <si>
    <t>="""NAV Direct"",""CRONUS JetCorp USA"",""21"",""1"",""433455"""</t>
  </si>
  <si>
    <t>=E1246</t>
  </si>
  <si>
    <t>=StartDate-$M1248+1</t>
  </si>
  <si>
    <t>=SUM(P1248:T1248)</t>
  </si>
  <si>
    <t>=IF($M1248&gt;=$P$18,U1248,0)</t>
  </si>
  <si>
    <t>=IF(AND($M1248&gt;=$Q$16,$M1248&lt;=$Q$18),U1248,0)</t>
  </si>
  <si>
    <t>=IF(AND($M1248&gt;=$R$16,$M1248&lt;=$R$18),U1248,0)</t>
  </si>
  <si>
    <t>=IF(AND($M1248&gt;=$S$16,$M1248&lt;=$S$18),U1248,0)</t>
  </si>
  <si>
    <t>=IF($M1248&lt;=$T$18,U1248,0)</t>
  </si>
  <si>
    <t>="""NAV Direct"",""CRONUS JetCorp USA"",""21"",""1"",""433472"""</t>
  </si>
  <si>
    <t>=E1247</t>
  </si>
  <si>
    <t>=StartDate-$M1249+1</t>
  </si>
  <si>
    <t>=SUM(P1249:T1249)</t>
  </si>
  <si>
    <t>=IF($M1249&gt;=$P$18,U1249,0)</t>
  </si>
  <si>
    <t>=IF(AND($M1249&gt;=$Q$16,$M1249&lt;=$Q$18),U1249,0)</t>
  </si>
  <si>
    <t>=IF(AND($M1249&gt;=$R$16,$M1249&lt;=$R$18),U1249,0)</t>
  </si>
  <si>
    <t>=IF(AND($M1249&gt;=$S$16,$M1249&lt;=$S$18),U1249,0)</t>
  </si>
  <si>
    <t>=IF($M1249&lt;=$T$18,U1249,0)</t>
  </si>
  <si>
    <t>="""NAV Direct"",""CRONUS JetCorp USA"",""21"",""1"",""433505"""</t>
  </si>
  <si>
    <t>=E1248</t>
  </si>
  <si>
    <t>=StartDate-$M1250+1</t>
  </si>
  <si>
    <t>=SUM(P1250:T1250)</t>
  </si>
  <si>
    <t>=IF($M1250&gt;=$P$18,U1250,0)</t>
  </si>
  <si>
    <t>=IF(AND($M1250&gt;=$Q$16,$M1250&lt;=$Q$18),U1250,0)</t>
  </si>
  <si>
    <t>=IF(AND($M1250&gt;=$R$16,$M1250&lt;=$R$18),U1250,0)</t>
  </si>
  <si>
    <t>=IF(AND($M1250&gt;=$S$16,$M1250&lt;=$S$18),U1250,0)</t>
  </si>
  <si>
    <t>=IF($M1250&lt;=$T$18,U1250,0)</t>
  </si>
  <si>
    <t>="""NAV Direct"",""CRONUS JetCorp USA"",""21"",""1"",""433533"""</t>
  </si>
  <si>
    <t>=E1249</t>
  </si>
  <si>
    <t>=StartDate-$M1251+1</t>
  </si>
  <si>
    <t>=SUM(P1251:T1251)</t>
  </si>
  <si>
    <t>=IF($M1251&gt;=$P$18,U1251,0)</t>
  </si>
  <si>
    <t>=IF(AND($M1251&gt;=$Q$16,$M1251&lt;=$Q$18),U1251,0)</t>
  </si>
  <si>
    <t>=IF(AND($M1251&gt;=$R$16,$M1251&lt;=$R$18),U1251,0)</t>
  </si>
  <si>
    <t>=IF(AND($M1251&gt;=$S$16,$M1251&lt;=$S$18),U1251,0)</t>
  </si>
  <si>
    <t>=IF($M1251&lt;=$T$18,U1251,0)</t>
  </si>
  <si>
    <t>="""NAV Direct"",""CRONUS JetCorp USA"",""18"",""1"",""C100044"""</t>
  </si>
  <si>
    <t>=H1254</t>
  </si>
  <si>
    <t>=NF($C1254,"1 No.")</t>
  </si>
  <si>
    <t>=NF($C1254,"1 No.")&amp;"  -  "&amp;NF($C1254,"2 Name")</t>
  </si>
  <si>
    <t>=IFERROR(O1254/NF(C1254,"Credit Limit (LCY)"),"")</t>
  </si>
  <si>
    <t>=SUBTOTAL(3,L1255:L1286)</t>
  </si>
  <si>
    <t>=SUBTOTAL(9,O1255:O1286)</t>
  </si>
  <si>
    <t>=SUBTOTAL(9,P1255:P1286)</t>
  </si>
  <si>
    <t>=SUBTOTAL(9,Q1255:Q1286)</t>
  </si>
  <si>
    <t>=SUBTOTAL(9,R1255:R1286)</t>
  </si>
  <si>
    <t>=SUBTOTAL(9,S1255:S1286)</t>
  </si>
  <si>
    <t>=SUBTOTAL(9,T1255:T1286)</t>
  </si>
  <si>
    <t>=C1254</t>
  </si>
  <si>
    <t>=E1254</t>
  </si>
  <si>
    <t>="Contact: "&amp;NF($C1255,"8 Contact")</t>
  </si>
  <si>
    <t>=C1255</t>
  </si>
  <si>
    <t>=E1255</t>
  </si>
  <si>
    <t>=NF($C1256,"102 E-Mail")</t>
  </si>
  <si>
    <t>=NL("Rows","21 Cust. Ledger Entry",,"3 Customer No.","@@"&amp;$E1258,"16 Remaining Amt. (LCY)","&lt;&gt;0")</t>
  </si>
  <si>
    <t>=E1256</t>
  </si>
  <si>
    <t>=StartDate-$M1258+1</t>
  </si>
  <si>
    <t>=SUM(P1258:T1258)</t>
  </si>
  <si>
    <t>=IF($M1258&gt;=$P$18,U1258,0)</t>
  </si>
  <si>
    <t>=IF(AND($M1258&gt;=$Q$16,$M1258&lt;=$Q$18),U1258,0)</t>
  </si>
  <si>
    <t>=IF(AND($M1258&gt;=$R$16,$M1258&lt;=$R$18),U1258,0)</t>
  </si>
  <si>
    <t>=IF(AND($M1258&gt;=$S$16,$M1258&lt;=$S$18),U1258,0)</t>
  </si>
  <si>
    <t>=IF($M1258&lt;=$T$18,U1258,0)</t>
  </si>
  <si>
    <t>="""NAV Direct"",""CRONUS JetCorp USA"",""21"",""1"",""38330"""</t>
  </si>
  <si>
    <t>=E1257</t>
  </si>
  <si>
    <t>=StartDate-$M1259+1</t>
  </si>
  <si>
    <t>=SUM(P1259:T1259)</t>
  </si>
  <si>
    <t>=IF($M1259&gt;=$P$18,U1259,0)</t>
  </si>
  <si>
    <t>=IF(AND($M1259&gt;=$Q$16,$M1259&lt;=$Q$18),U1259,0)</t>
  </si>
  <si>
    <t>=IF(AND($M1259&gt;=$R$16,$M1259&lt;=$R$18),U1259,0)</t>
  </si>
  <si>
    <t>=IF(AND($M1259&gt;=$S$16,$M1259&lt;=$S$18),U1259,0)</t>
  </si>
  <si>
    <t>=IF($M1259&lt;=$T$18,U1259,0)</t>
  </si>
  <si>
    <t>="""NAV Direct"",""CRONUS JetCorp USA"",""21"",""1"",""38497"""</t>
  </si>
  <si>
    <t>=E1258</t>
  </si>
  <si>
    <t>=StartDate-$M1260+1</t>
  </si>
  <si>
    <t>=SUM(P1260:T1260)</t>
  </si>
  <si>
    <t>=IF($M1260&gt;=$P$18,U1260,0)</t>
  </si>
  <si>
    <t>=IF(AND($M1260&gt;=$Q$16,$M1260&lt;=$Q$18),U1260,0)</t>
  </si>
  <si>
    <t>=IF(AND($M1260&gt;=$R$16,$M1260&lt;=$R$18),U1260,0)</t>
  </si>
  <si>
    <t>=IF(AND($M1260&gt;=$S$16,$M1260&lt;=$S$18),U1260,0)</t>
  </si>
  <si>
    <t>=IF($M1260&lt;=$T$18,U1260,0)</t>
  </si>
  <si>
    <t>="""NAV Direct"",""CRONUS JetCorp USA"",""21"",""1"",""38608"""</t>
  </si>
  <si>
    <t>=E1259</t>
  </si>
  <si>
    <t>=StartDate-$M1261+1</t>
  </si>
  <si>
    <t>=SUM(P1261:T1261)</t>
  </si>
  <si>
    <t>=IF($M1261&gt;=$P$18,U1261,0)</t>
  </si>
  <si>
    <t>=IF(AND($M1261&gt;=$Q$16,$M1261&lt;=$Q$18),U1261,0)</t>
  </si>
  <si>
    <t>=IF(AND($M1261&gt;=$R$16,$M1261&lt;=$R$18),U1261,0)</t>
  </si>
  <si>
    <t>=IF(AND($M1261&gt;=$S$16,$M1261&lt;=$S$18),U1261,0)</t>
  </si>
  <si>
    <t>=IF($M1261&lt;=$T$18,U1261,0)</t>
  </si>
  <si>
    <t>="""NAV Direct"",""CRONUS JetCorp USA"",""21"",""1"",""38660"""</t>
  </si>
  <si>
    <t>=E1260</t>
  </si>
  <si>
    <t>=StartDate-$M1262+1</t>
  </si>
  <si>
    <t>=SUM(P1262:T1262)</t>
  </si>
  <si>
    <t>=IF($M1262&gt;=$P$18,U1262,0)</t>
  </si>
  <si>
    <t>=IF(AND($M1262&gt;=$Q$16,$M1262&lt;=$Q$18),U1262,0)</t>
  </si>
  <si>
    <t>=IF(AND($M1262&gt;=$R$16,$M1262&lt;=$R$18),U1262,0)</t>
  </si>
  <si>
    <t>=IF(AND($M1262&gt;=$S$16,$M1262&lt;=$S$18),U1262,0)</t>
  </si>
  <si>
    <t>=IF($M1262&lt;=$T$18,U1262,0)</t>
  </si>
  <si>
    <t>="""NAV Direct"",""CRONUS JetCorp USA"",""21"",""1"",""38813"""</t>
  </si>
  <si>
    <t>=E1261</t>
  </si>
  <si>
    <t>=StartDate-$M1263+1</t>
  </si>
  <si>
    <t>=SUM(P1263:T1263)</t>
  </si>
  <si>
    <t>=IF($M1263&gt;=$P$18,U1263,0)</t>
  </si>
  <si>
    <t>=IF(AND($M1263&gt;=$Q$16,$M1263&lt;=$Q$18),U1263,0)</t>
  </si>
  <si>
    <t>=IF(AND($M1263&gt;=$R$16,$M1263&lt;=$R$18),U1263,0)</t>
  </si>
  <si>
    <t>=IF(AND($M1263&gt;=$S$16,$M1263&lt;=$S$18),U1263,0)</t>
  </si>
  <si>
    <t>=IF($M1263&lt;=$T$18,U1263,0)</t>
  </si>
  <si>
    <t>="""NAV Direct"",""CRONUS JetCorp USA"",""21"",""1"",""329967"""</t>
  </si>
  <si>
    <t>=E1262</t>
  </si>
  <si>
    <t>=StartDate-$M1264+1</t>
  </si>
  <si>
    <t>=SUM(P1264:T1264)</t>
  </si>
  <si>
    <t>=IF($M1264&gt;=$P$18,U1264,0)</t>
  </si>
  <si>
    <t>=IF(AND($M1264&gt;=$Q$16,$M1264&lt;=$Q$18),U1264,0)</t>
  </si>
  <si>
    <t>=IF(AND($M1264&gt;=$R$16,$M1264&lt;=$R$18),U1264,0)</t>
  </si>
  <si>
    <t>=IF(AND($M1264&gt;=$S$16,$M1264&lt;=$S$18),U1264,0)</t>
  </si>
  <si>
    <t>=IF($M1264&lt;=$T$18,U1264,0)</t>
  </si>
  <si>
    <t>="""NAV Direct"",""CRONUS JetCorp USA"",""21"",""1"",""330226"""</t>
  </si>
  <si>
    <t>=E1263</t>
  </si>
  <si>
    <t>=StartDate-$M1265+1</t>
  </si>
  <si>
    <t>=SUM(P1265:T1265)</t>
  </si>
  <si>
    <t>=IF($M1265&gt;=$P$18,U1265,0)</t>
  </si>
  <si>
    <t>=IF(AND($M1265&gt;=$Q$16,$M1265&lt;=$Q$18),U1265,0)</t>
  </si>
  <si>
    <t>=IF(AND($M1265&gt;=$R$16,$M1265&lt;=$R$18),U1265,0)</t>
  </si>
  <si>
    <t>=IF(AND($M1265&gt;=$S$16,$M1265&lt;=$S$18),U1265,0)</t>
  </si>
  <si>
    <t>=IF($M1265&lt;=$T$18,U1265,0)</t>
  </si>
  <si>
    <t>="""NAV Direct"",""CRONUS JetCorp USA"",""21"",""1"",""330567"""</t>
  </si>
  <si>
    <t>=E1264</t>
  </si>
  <si>
    <t>=StartDate-$M1266+1</t>
  </si>
  <si>
    <t>=SUM(P1266:T1266)</t>
  </si>
  <si>
    <t>=IF($M1266&gt;=$P$18,U1266,0)</t>
  </si>
  <si>
    <t>=IF(AND($M1266&gt;=$Q$16,$M1266&lt;=$Q$18),U1266,0)</t>
  </si>
  <si>
    <t>=IF(AND($M1266&gt;=$R$16,$M1266&lt;=$R$18),U1266,0)</t>
  </si>
  <si>
    <t>=IF(AND($M1266&gt;=$S$16,$M1266&lt;=$S$18),U1266,0)</t>
  </si>
  <si>
    <t>=IF($M1266&lt;=$T$18,U1266,0)</t>
  </si>
  <si>
    <t>="""NAV Direct"",""CRONUS JetCorp USA"",""21"",""1"",""330675"""</t>
  </si>
  <si>
    <t>=E1265</t>
  </si>
  <si>
    <t>=StartDate-$M1267+1</t>
  </si>
  <si>
    <t>=SUM(P1267:T1267)</t>
  </si>
  <si>
    <t>=IF($M1267&gt;=$P$18,U1267,0)</t>
  </si>
  <si>
    <t>=IF(AND($M1267&gt;=$Q$16,$M1267&lt;=$Q$18),U1267,0)</t>
  </si>
  <si>
    <t>=IF(AND($M1267&gt;=$R$16,$M1267&lt;=$R$18),U1267,0)</t>
  </si>
  <si>
    <t>=IF(AND($M1267&gt;=$S$16,$M1267&lt;=$S$18),U1267,0)</t>
  </si>
  <si>
    <t>=IF($M1267&lt;=$T$18,U1267,0)</t>
  </si>
  <si>
    <t>="""NAV Direct"",""CRONUS JetCorp USA"",""21"",""1"",""331209"""</t>
  </si>
  <si>
    <t>=E1266</t>
  </si>
  <si>
    <t>=StartDate-$M1268+1</t>
  </si>
  <si>
    <t>=SUM(P1268:T1268)</t>
  </si>
  <si>
    <t>=IF($M1268&gt;=$P$18,U1268,0)</t>
  </si>
  <si>
    <t>=IF(AND($M1268&gt;=$Q$16,$M1268&lt;=$Q$18),U1268,0)</t>
  </si>
  <si>
    <t>=IF(AND($M1268&gt;=$R$16,$M1268&lt;=$R$18),U1268,0)</t>
  </si>
  <si>
    <t>=IF(AND($M1268&gt;=$S$16,$M1268&lt;=$S$18),U1268,0)</t>
  </si>
  <si>
    <t>=IF($M1268&lt;=$T$18,U1268,0)</t>
  </si>
  <si>
    <t>="""NAV Direct"",""CRONUS JetCorp USA"",""21"",""1"",""331293"""</t>
  </si>
  <si>
    <t>=E1267</t>
  </si>
  <si>
    <t>=StartDate-$M1269+1</t>
  </si>
  <si>
    <t>=SUM(P1269:T1269)</t>
  </si>
  <si>
    <t>=IF($M1269&gt;=$P$18,U1269,0)</t>
  </si>
  <si>
    <t>=IF(AND($M1269&gt;=$Q$16,$M1269&lt;=$Q$18),U1269,0)</t>
  </si>
  <si>
    <t>=IF(AND($M1269&gt;=$R$16,$M1269&lt;=$R$18),U1269,0)</t>
  </si>
  <si>
    <t>=IF(AND($M1269&gt;=$S$16,$M1269&lt;=$S$18),U1269,0)</t>
  </si>
  <si>
    <t>=IF($M1269&lt;=$T$18,U1269,0)</t>
  </si>
  <si>
    <t>="""NAV Direct"",""CRONUS JetCorp USA"",""21"",""1"",""331412"""</t>
  </si>
  <si>
    <t>=E1268</t>
  </si>
  <si>
    <t>=StartDate-$M1270+1</t>
  </si>
  <si>
    <t>=SUM(P1270:T1270)</t>
  </si>
  <si>
    <t>=IF($M1270&gt;=$P$18,U1270,0)</t>
  </si>
  <si>
    <t>=IF(AND($M1270&gt;=$Q$16,$M1270&lt;=$Q$18),U1270,0)</t>
  </si>
  <si>
    <t>=IF(AND($M1270&gt;=$R$16,$M1270&lt;=$R$18),U1270,0)</t>
  </si>
  <si>
    <t>=IF(AND($M1270&gt;=$S$16,$M1270&lt;=$S$18),U1270,0)</t>
  </si>
  <si>
    <t>=IF($M1270&lt;=$T$18,U1270,0)</t>
  </si>
  <si>
    <t>="""NAV Direct"",""CRONUS JetCorp USA"",""21"",""1"",""331788"""</t>
  </si>
  <si>
    <t>=E1269</t>
  </si>
  <si>
    <t>=StartDate-$M1271+1</t>
  </si>
  <si>
    <t>=SUM(P1271:T1271)</t>
  </si>
  <si>
    <t>=IF($M1271&gt;=$P$18,U1271,0)</t>
  </si>
  <si>
    <t>=IF(AND($M1271&gt;=$Q$16,$M1271&lt;=$Q$18),U1271,0)</t>
  </si>
  <si>
    <t>=IF(AND($M1271&gt;=$R$16,$M1271&lt;=$R$18),U1271,0)</t>
  </si>
  <si>
    <t>=IF(AND($M1271&gt;=$S$16,$M1271&lt;=$S$18),U1271,0)</t>
  </si>
  <si>
    <t>=IF($M1271&lt;=$T$18,U1271,0)</t>
  </si>
  <si>
    <t>="""NAV Direct"",""CRONUS JetCorp USA"",""21"",""1"",""331836"""</t>
  </si>
  <si>
    <t>=E1270</t>
  </si>
  <si>
    <t>=StartDate-$M1272+1</t>
  </si>
  <si>
    <t>=SUM(P1272:T1272)</t>
  </si>
  <si>
    <t>=IF($M1272&gt;=$P$18,U1272,0)</t>
  </si>
  <si>
    <t>=IF(AND($M1272&gt;=$Q$16,$M1272&lt;=$Q$18),U1272,0)</t>
  </si>
  <si>
    <t>=IF(AND($M1272&gt;=$R$16,$M1272&lt;=$R$18),U1272,0)</t>
  </si>
  <si>
    <t>=IF(AND($M1272&gt;=$S$16,$M1272&lt;=$S$18),U1272,0)</t>
  </si>
  <si>
    <t>=IF($M1272&lt;=$T$18,U1272,0)</t>
  </si>
  <si>
    <t>="""NAV Direct"",""CRONUS JetCorp USA"",""21"",""1"",""331865"""</t>
  </si>
  <si>
    <t>=E1271</t>
  </si>
  <si>
    <t>=StartDate-$M1273+1</t>
  </si>
  <si>
    <t>=SUM(P1273:T1273)</t>
  </si>
  <si>
    <t>=IF($M1273&gt;=$P$18,U1273,0)</t>
  </si>
  <si>
    <t>=IF(AND($M1273&gt;=$Q$16,$M1273&lt;=$Q$18),U1273,0)</t>
  </si>
  <si>
    <t>=IF(AND($M1273&gt;=$R$16,$M1273&lt;=$R$18),U1273,0)</t>
  </si>
  <si>
    <t>=IF(AND($M1273&gt;=$S$16,$M1273&lt;=$S$18),U1273,0)</t>
  </si>
  <si>
    <t>=IF($M1273&lt;=$T$18,U1273,0)</t>
  </si>
  <si>
    <t>="""NAV Direct"",""CRONUS JetCorp USA"",""21"",""1"",""331898"""</t>
  </si>
  <si>
    <t>=E1272</t>
  </si>
  <si>
    <t>=StartDate-$M1274+1</t>
  </si>
  <si>
    <t>=SUM(P1274:T1274)</t>
  </si>
  <si>
    <t>=IF($M1274&gt;=$P$18,U1274,0)</t>
  </si>
  <si>
    <t>=IF(AND($M1274&gt;=$Q$16,$M1274&lt;=$Q$18),U1274,0)</t>
  </si>
  <si>
    <t>=IF(AND($M1274&gt;=$R$16,$M1274&lt;=$R$18),U1274,0)</t>
  </si>
  <si>
    <t>=IF(AND($M1274&gt;=$S$16,$M1274&lt;=$S$18),U1274,0)</t>
  </si>
  <si>
    <t>=IF($M1274&lt;=$T$18,U1274,0)</t>
  </si>
  <si>
    <t>="""NAV Direct"",""CRONUS JetCorp USA"",""21"",""1"",""331921"""</t>
  </si>
  <si>
    <t>=E1273</t>
  </si>
  <si>
    <t>=StartDate-$M1275+1</t>
  </si>
  <si>
    <t>=SUM(P1275:T1275)</t>
  </si>
  <si>
    <t>=IF($M1275&gt;=$P$18,U1275,0)</t>
  </si>
  <si>
    <t>=IF(AND($M1275&gt;=$Q$16,$M1275&lt;=$Q$18),U1275,0)</t>
  </si>
  <si>
    <t>=IF(AND($M1275&gt;=$R$16,$M1275&lt;=$R$18),U1275,0)</t>
  </si>
  <si>
    <t>=IF(AND($M1275&gt;=$S$16,$M1275&lt;=$S$18),U1275,0)</t>
  </si>
  <si>
    <t>=IF($M1275&lt;=$T$18,U1275,0)</t>
  </si>
  <si>
    <t>="""NAV Direct"",""CRONUS JetCorp USA"",""21"",""1"",""331946"""</t>
  </si>
  <si>
    <t>=E1274</t>
  </si>
  <si>
    <t>=StartDate-$M1276+1</t>
  </si>
  <si>
    <t>=SUM(P1276:T1276)</t>
  </si>
  <si>
    <t>=IF($M1276&gt;=$P$18,U1276,0)</t>
  </si>
  <si>
    <t>=IF(AND($M1276&gt;=$Q$16,$M1276&lt;=$Q$18),U1276,0)</t>
  </si>
  <si>
    <t>=IF(AND($M1276&gt;=$R$16,$M1276&lt;=$R$18),U1276,0)</t>
  </si>
  <si>
    <t>=IF(AND($M1276&gt;=$S$16,$M1276&lt;=$S$18),U1276,0)</t>
  </si>
  <si>
    <t>=IF($M1276&lt;=$T$18,U1276,0)</t>
  </si>
  <si>
    <t>="""NAV Direct"",""CRONUS JetCorp USA"",""21"",""1"",""332218"""</t>
  </si>
  <si>
    <t>=E1275</t>
  </si>
  <si>
    <t>=StartDate-$M1277+1</t>
  </si>
  <si>
    <t>=SUM(P1277:T1277)</t>
  </si>
  <si>
    <t>=IF($M1277&gt;=$P$18,U1277,0)</t>
  </si>
  <si>
    <t>=IF(AND($M1277&gt;=$Q$16,$M1277&lt;=$Q$18),U1277,0)</t>
  </si>
  <si>
    <t>=IF(AND($M1277&gt;=$R$16,$M1277&lt;=$R$18),U1277,0)</t>
  </si>
  <si>
    <t>=IF(AND($M1277&gt;=$S$16,$M1277&lt;=$S$18),U1277,0)</t>
  </si>
  <si>
    <t>=IF($M1277&lt;=$T$18,U1277,0)</t>
  </si>
  <si>
    <t>="""NAV Direct"",""CRONUS JetCorp USA"",""21"",""1"",""332241"""</t>
  </si>
  <si>
    <t>=E1276</t>
  </si>
  <si>
    <t>=StartDate-$M1278+1</t>
  </si>
  <si>
    <t>=SUM(P1278:T1278)</t>
  </si>
  <si>
    <t>=IF($M1278&gt;=$P$18,U1278,0)</t>
  </si>
  <si>
    <t>=IF(AND($M1278&gt;=$Q$16,$M1278&lt;=$Q$18),U1278,0)</t>
  </si>
  <si>
    <t>=IF(AND($M1278&gt;=$R$16,$M1278&lt;=$R$18),U1278,0)</t>
  </si>
  <si>
    <t>=IF(AND($M1278&gt;=$S$16,$M1278&lt;=$S$18),U1278,0)</t>
  </si>
  <si>
    <t>=IF($M1278&lt;=$T$18,U1278,0)</t>
  </si>
  <si>
    <t>="""NAV Direct"",""CRONUS JetCorp USA"",""21"",""1"",""432805"""</t>
  </si>
  <si>
    <t>=E1277</t>
  </si>
  <si>
    <t>=StartDate-$M1279+1</t>
  </si>
  <si>
    <t>=SUM(P1279:T1279)</t>
  </si>
  <si>
    <t>=IF($M1279&gt;=$P$18,U1279,0)</t>
  </si>
  <si>
    <t>=IF(AND($M1279&gt;=$Q$16,$M1279&lt;=$Q$18),U1279,0)</t>
  </si>
  <si>
    <t>=IF(AND($M1279&gt;=$R$16,$M1279&lt;=$R$18),U1279,0)</t>
  </si>
  <si>
    <t>=IF(AND($M1279&gt;=$S$16,$M1279&lt;=$S$18),U1279,0)</t>
  </si>
  <si>
    <t>=IF($M1279&lt;=$T$18,U1279,0)</t>
  </si>
  <si>
    <t>="""NAV Direct"",""CRONUS JetCorp USA"",""21"",""1"",""432846"""</t>
  </si>
  <si>
    <t>=E1278</t>
  </si>
  <si>
    <t>=StartDate-$M1280+1</t>
  </si>
  <si>
    <t>=SUM(P1280:T1280)</t>
  </si>
  <si>
    <t>=IF($M1280&gt;=$P$18,U1280,0)</t>
  </si>
  <si>
    <t>=IF(AND($M1280&gt;=$Q$16,$M1280&lt;=$Q$18),U1280,0)</t>
  </si>
  <si>
    <t>=IF(AND($M1280&gt;=$R$16,$M1280&lt;=$R$18),U1280,0)</t>
  </si>
  <si>
    <t>=IF(AND($M1280&gt;=$S$16,$M1280&lt;=$S$18),U1280,0)</t>
  </si>
  <si>
    <t>=IF($M1280&lt;=$T$18,U1280,0)</t>
  </si>
  <si>
    <t>="""NAV Direct"",""CRONUS JetCorp USA"",""21"",""1"",""432926"""</t>
  </si>
  <si>
    <t>=E1279</t>
  </si>
  <si>
    <t>=StartDate-$M1281+1</t>
  </si>
  <si>
    <t>=SUM(P1281:T1281)</t>
  </si>
  <si>
    <t>=IF($M1281&gt;=$P$18,U1281,0)</t>
  </si>
  <si>
    <t>=IF(AND($M1281&gt;=$Q$16,$M1281&lt;=$Q$18),U1281,0)</t>
  </si>
  <si>
    <t>=IF(AND($M1281&gt;=$R$16,$M1281&lt;=$R$18),U1281,0)</t>
  </si>
  <si>
    <t>=IF(AND($M1281&gt;=$S$16,$M1281&lt;=$S$18),U1281,0)</t>
  </si>
  <si>
    <t>=IF($M1281&lt;=$T$18,U1281,0)</t>
  </si>
  <si>
    <t>="""NAV Direct"",""CRONUS JetCorp USA"",""21"",""1"",""433002"""</t>
  </si>
  <si>
    <t>=E1280</t>
  </si>
  <si>
    <t>=StartDate-$M1282+1</t>
  </si>
  <si>
    <t>=SUM(P1282:T1282)</t>
  </si>
  <si>
    <t>=IF($M1282&gt;=$P$18,U1282,0)</t>
  </si>
  <si>
    <t>=IF(AND($M1282&gt;=$Q$16,$M1282&lt;=$Q$18),U1282,0)</t>
  </si>
  <si>
    <t>=IF(AND($M1282&gt;=$R$16,$M1282&lt;=$R$18),U1282,0)</t>
  </si>
  <si>
    <t>=IF(AND($M1282&gt;=$S$16,$M1282&lt;=$S$18),U1282,0)</t>
  </si>
  <si>
    <t>=IF($M1282&lt;=$T$18,U1282,0)</t>
  </si>
  <si>
    <t>="""NAV Direct"",""CRONUS JetCorp USA"",""21"",""1"",""433049"""</t>
  </si>
  <si>
    <t>=E1281</t>
  </si>
  <si>
    <t>=StartDate-$M1283+1</t>
  </si>
  <si>
    <t>=SUM(P1283:T1283)</t>
  </si>
  <si>
    <t>=IF($M1283&gt;=$P$18,U1283,0)</t>
  </si>
  <si>
    <t>=IF(AND($M1283&gt;=$Q$16,$M1283&lt;=$Q$18),U1283,0)</t>
  </si>
  <si>
    <t>=IF(AND($M1283&gt;=$R$16,$M1283&lt;=$R$18),U1283,0)</t>
  </si>
  <si>
    <t>=IF(AND($M1283&gt;=$S$16,$M1283&lt;=$S$18),U1283,0)</t>
  </si>
  <si>
    <t>=IF($M1283&lt;=$T$18,U1283,0)</t>
  </si>
  <si>
    <t>="""NAV Direct"",""CRONUS JetCorp USA"",""21"",""1"",""433060"""</t>
  </si>
  <si>
    <t>=E1282</t>
  </si>
  <si>
    <t>=StartDate-$M1284+1</t>
  </si>
  <si>
    <t>=SUM(P1284:T1284)</t>
  </si>
  <si>
    <t>=IF($M1284&gt;=$P$18,U1284,0)</t>
  </si>
  <si>
    <t>=IF(AND($M1284&gt;=$Q$16,$M1284&lt;=$Q$18),U1284,0)</t>
  </si>
  <si>
    <t>=IF(AND($M1284&gt;=$R$16,$M1284&lt;=$R$18),U1284,0)</t>
  </si>
  <si>
    <t>=IF(AND($M1284&gt;=$S$16,$M1284&lt;=$S$18),U1284,0)</t>
  </si>
  <si>
    <t>=IF($M1284&lt;=$T$18,U1284,0)</t>
  </si>
  <si>
    <t>="""NAV Direct"",""CRONUS JetCorp USA"",""21"",""1"",""433096"""</t>
  </si>
  <si>
    <t>=E1283</t>
  </si>
  <si>
    <t>=StartDate-$M1285+1</t>
  </si>
  <si>
    <t>=SUM(P1285:T1285)</t>
  </si>
  <si>
    <t>=IF($M1285&gt;=$P$18,U1285,0)</t>
  </si>
  <si>
    <t>=IF(AND($M1285&gt;=$Q$16,$M1285&lt;=$Q$18),U1285,0)</t>
  </si>
  <si>
    <t>=IF(AND($M1285&gt;=$R$16,$M1285&lt;=$R$18),U1285,0)</t>
  </si>
  <si>
    <t>=IF(AND($M1285&gt;=$S$16,$M1285&lt;=$S$18),U1285,0)</t>
  </si>
  <si>
    <t>=IF($M1285&lt;=$T$18,U1285,0)</t>
  </si>
  <si>
    <t>="""NAV Direct"",""CRONUS JetCorp USA"",""18"",""1"",""C100046"""</t>
  </si>
  <si>
    <t>=H1288</t>
  </si>
  <si>
    <t>=NF($C1288,"1 No.")</t>
  </si>
  <si>
    <t>=NF($C1288,"1 No.")&amp;"  -  "&amp;NF($C1288,"2 Name")</t>
  </si>
  <si>
    <t>=IFERROR(O1288/NF(C1288,"Credit Limit (LCY)"),"")</t>
  </si>
  <si>
    <t>=SUBTOTAL(3,L1289:L1330)</t>
  </si>
  <si>
    <t>=SUBTOTAL(9,O1289:O1330)</t>
  </si>
  <si>
    <t>=SUBTOTAL(9,P1289:P1330)</t>
  </si>
  <si>
    <t>=SUBTOTAL(9,Q1289:Q1330)</t>
  </si>
  <si>
    <t>=SUBTOTAL(9,R1289:R1330)</t>
  </si>
  <si>
    <t>=SUBTOTAL(9,S1289:S1330)</t>
  </si>
  <si>
    <t>=SUBTOTAL(9,T1289:T1330)</t>
  </si>
  <si>
    <t>=C1288</t>
  </si>
  <si>
    <t>=E1288</t>
  </si>
  <si>
    <t>="Contact: "&amp;NF($C1289,"8 Contact")</t>
  </si>
  <si>
    <t>=C1289</t>
  </si>
  <si>
    <t>=E1289</t>
  </si>
  <si>
    <t>=NF($C1290,"102 E-Mail")</t>
  </si>
  <si>
    <t>=NL("Rows","21 Cust. Ledger Entry",,"3 Customer No.","@@"&amp;$E1292,"16 Remaining Amt. (LCY)","&lt;&gt;0")</t>
  </si>
  <si>
    <t>=E1290</t>
  </si>
  <si>
    <t>=StartDate-$M1292+1</t>
  </si>
  <si>
    <t>=SUM(P1292:T1292)</t>
  </si>
  <si>
    <t>=IF($M1292&gt;=$P$18,U1292,0)</t>
  </si>
  <si>
    <t>=IF(AND($M1292&gt;=$Q$16,$M1292&lt;=$Q$18),U1292,0)</t>
  </si>
  <si>
    <t>=IF(AND($M1292&gt;=$R$16,$M1292&lt;=$R$18),U1292,0)</t>
  </si>
  <si>
    <t>=IF(AND($M1292&gt;=$S$16,$M1292&lt;=$S$18),U1292,0)</t>
  </si>
  <si>
    <t>=IF($M1292&lt;=$T$18,U1292,0)</t>
  </si>
  <si>
    <t>="""NAV Direct"",""CRONUS JetCorp USA"",""21"",""1"",""131240"""</t>
  </si>
  <si>
    <t>=E1291</t>
  </si>
  <si>
    <t>=StartDate-$M1293+1</t>
  </si>
  <si>
    <t>=SUM(P1293:T1293)</t>
  </si>
  <si>
    <t>=IF($M1293&gt;=$P$18,U1293,0)</t>
  </si>
  <si>
    <t>=IF(AND($M1293&gt;=$Q$16,$M1293&lt;=$Q$18),U1293,0)</t>
  </si>
  <si>
    <t>=IF(AND($M1293&gt;=$R$16,$M1293&lt;=$R$18),U1293,0)</t>
  </si>
  <si>
    <t>=IF(AND($M1293&gt;=$S$16,$M1293&lt;=$S$18),U1293,0)</t>
  </si>
  <si>
    <t>=IF($M1293&lt;=$T$18,U1293,0)</t>
  </si>
  <si>
    <t>="""NAV Direct"",""CRONUS JetCorp USA"",""21"",""1"",""384812"""</t>
  </si>
  <si>
    <t>=E1292</t>
  </si>
  <si>
    <t>=StartDate-$M1294+1</t>
  </si>
  <si>
    <t>=SUM(P1294:T1294)</t>
  </si>
  <si>
    <t>=IF($M1294&gt;=$P$18,U1294,0)</t>
  </si>
  <si>
    <t>=IF(AND($M1294&gt;=$Q$16,$M1294&lt;=$Q$18),U1294,0)</t>
  </si>
  <si>
    <t>=IF(AND($M1294&gt;=$R$16,$M1294&lt;=$R$18),U1294,0)</t>
  </si>
  <si>
    <t>=IF(AND($M1294&gt;=$S$16,$M1294&lt;=$S$18),U1294,0)</t>
  </si>
  <si>
    <t>=IF($M1294&lt;=$T$18,U1294,0)</t>
  </si>
  <si>
    <t>="""NAV Direct"",""CRONUS JetCorp USA"",""21"",""1"",""385238"""</t>
  </si>
  <si>
    <t>=E1293</t>
  </si>
  <si>
    <t>=StartDate-$M1295+1</t>
  </si>
  <si>
    <t>=SUM(P1295:T1295)</t>
  </si>
  <si>
    <t>=IF($M1295&gt;=$P$18,U1295,0)</t>
  </si>
  <si>
    <t>=IF(AND($M1295&gt;=$Q$16,$M1295&lt;=$Q$18),U1295,0)</t>
  </si>
  <si>
    <t>=IF(AND($M1295&gt;=$R$16,$M1295&lt;=$R$18),U1295,0)</t>
  </si>
  <si>
    <t>=IF(AND($M1295&gt;=$S$16,$M1295&lt;=$S$18),U1295,0)</t>
  </si>
  <si>
    <t>=IF($M1295&lt;=$T$18,U1295,0)</t>
  </si>
  <si>
    <t>="""NAV Direct"",""CRONUS JetCorp USA"",""21"",""1"",""385632"""</t>
  </si>
  <si>
    <t>=E1294</t>
  </si>
  <si>
    <t>=StartDate-$M1296+1</t>
  </si>
  <si>
    <t>=SUM(P1296:T1296)</t>
  </si>
  <si>
    <t>=IF($M1296&gt;=$P$18,U1296,0)</t>
  </si>
  <si>
    <t>=IF(AND($M1296&gt;=$Q$16,$M1296&lt;=$Q$18),U1296,0)</t>
  </si>
  <si>
    <t>=IF(AND($M1296&gt;=$R$16,$M1296&lt;=$R$18),U1296,0)</t>
  </si>
  <si>
    <t>=IF(AND($M1296&gt;=$S$16,$M1296&lt;=$S$18),U1296,0)</t>
  </si>
  <si>
    <t>=IF($M1296&lt;=$T$18,U1296,0)</t>
  </si>
  <si>
    <t>="""NAV Direct"",""CRONUS JetCorp USA"",""21"",""1"",""385942"""</t>
  </si>
  <si>
    <t>=E1295</t>
  </si>
  <si>
    <t>=StartDate-$M1297+1</t>
  </si>
  <si>
    <t>=SUM(P1297:T1297)</t>
  </si>
  <si>
    <t>=IF($M1297&gt;=$P$18,U1297,0)</t>
  </si>
  <si>
    <t>=IF(AND($M1297&gt;=$Q$16,$M1297&lt;=$Q$18),U1297,0)</t>
  </si>
  <si>
    <t>=IF(AND($M1297&gt;=$R$16,$M1297&lt;=$R$18),U1297,0)</t>
  </si>
  <si>
    <t>=IF(AND($M1297&gt;=$S$16,$M1297&lt;=$S$18),U1297,0)</t>
  </si>
  <si>
    <t>=IF($M1297&lt;=$T$18,U1297,0)</t>
  </si>
  <si>
    <t>="""NAV Direct"",""CRONUS JetCorp USA"",""21"",""1"",""386224"""</t>
  </si>
  <si>
    <t>=E1296</t>
  </si>
  <si>
    <t>=StartDate-$M1298+1</t>
  </si>
  <si>
    <t>=SUM(P1298:T1298)</t>
  </si>
  <si>
    <t>=IF($M1298&gt;=$P$18,U1298,0)</t>
  </si>
  <si>
    <t>=IF(AND($M1298&gt;=$Q$16,$M1298&lt;=$Q$18),U1298,0)</t>
  </si>
  <si>
    <t>=IF(AND($M1298&gt;=$R$16,$M1298&lt;=$R$18),U1298,0)</t>
  </si>
  <si>
    <t>=IF(AND($M1298&gt;=$S$16,$M1298&lt;=$S$18),U1298,0)</t>
  </si>
  <si>
    <t>=IF($M1298&lt;=$T$18,U1298,0)</t>
  </si>
  <si>
    <t>="""NAV Direct"",""CRONUS JetCorp USA"",""21"",""1"",""386977"""</t>
  </si>
  <si>
    <t>=E1297</t>
  </si>
  <si>
    <t>=StartDate-$M1299+1</t>
  </si>
  <si>
    <t>=SUM(P1299:T1299)</t>
  </si>
  <si>
    <t>=IF($M1299&gt;=$P$18,U1299,0)</t>
  </si>
  <si>
    <t>=IF(AND($M1299&gt;=$Q$16,$M1299&lt;=$Q$18),U1299,0)</t>
  </si>
  <si>
    <t>=IF(AND($M1299&gt;=$R$16,$M1299&lt;=$R$18),U1299,0)</t>
  </si>
  <si>
    <t>=IF(AND($M1299&gt;=$S$16,$M1299&lt;=$S$18),U1299,0)</t>
  </si>
  <si>
    <t>=IF($M1299&lt;=$T$18,U1299,0)</t>
  </si>
  <si>
    <t>="""NAV Direct"",""CRONUS JetCorp USA"",""21"",""1"",""387469"""</t>
  </si>
  <si>
    <t>=E1298</t>
  </si>
  <si>
    <t>=StartDate-$M1300+1</t>
  </si>
  <si>
    <t>=SUM(P1300:T1300)</t>
  </si>
  <si>
    <t>=IF($M1300&gt;=$P$18,U1300,0)</t>
  </si>
  <si>
    <t>=IF(AND($M1300&gt;=$Q$16,$M1300&lt;=$Q$18),U1300,0)</t>
  </si>
  <si>
    <t>=IF(AND($M1300&gt;=$R$16,$M1300&lt;=$R$18),U1300,0)</t>
  </si>
  <si>
    <t>=IF(AND($M1300&gt;=$S$16,$M1300&lt;=$S$18),U1300,0)</t>
  </si>
  <si>
    <t>=IF($M1300&lt;=$T$18,U1300,0)</t>
  </si>
  <si>
    <t>="""NAV Direct"",""CRONUS JetCorp USA"",""21"",""1"",""387732"""</t>
  </si>
  <si>
    <t>=E1299</t>
  </si>
  <si>
    <t>=StartDate-$M1301+1</t>
  </si>
  <si>
    <t>=SUM(P1301:T1301)</t>
  </si>
  <si>
    <t>=IF($M1301&gt;=$P$18,U1301,0)</t>
  </si>
  <si>
    <t>=IF(AND($M1301&gt;=$Q$16,$M1301&lt;=$Q$18),U1301,0)</t>
  </si>
  <si>
    <t>=IF(AND($M1301&gt;=$R$16,$M1301&lt;=$R$18),U1301,0)</t>
  </si>
  <si>
    <t>=IF(AND($M1301&gt;=$S$16,$M1301&lt;=$S$18),U1301,0)</t>
  </si>
  <si>
    <t>=IF($M1301&lt;=$T$18,U1301,0)</t>
  </si>
  <si>
    <t>="""NAV Direct"",""CRONUS JetCorp USA"",""21"",""1"",""387887"""</t>
  </si>
  <si>
    <t>=E1300</t>
  </si>
  <si>
    <t>=StartDate-$M1302+1</t>
  </si>
  <si>
    <t>=SUM(P1302:T1302)</t>
  </si>
  <si>
    <t>=IF($M1302&gt;=$P$18,U1302,0)</t>
  </si>
  <si>
    <t>=IF(AND($M1302&gt;=$Q$16,$M1302&lt;=$Q$18),U1302,0)</t>
  </si>
  <si>
    <t>=IF(AND($M1302&gt;=$R$16,$M1302&lt;=$R$18),U1302,0)</t>
  </si>
  <si>
    <t>=IF(AND($M1302&gt;=$S$16,$M1302&lt;=$S$18),U1302,0)</t>
  </si>
  <si>
    <t>=IF($M1302&lt;=$T$18,U1302,0)</t>
  </si>
  <si>
    <t>="""NAV Direct"",""CRONUS JetCorp USA"",""21"",""1"",""388048"""</t>
  </si>
  <si>
    <t>=E1301</t>
  </si>
  <si>
    <t>=StartDate-$M1303+1</t>
  </si>
  <si>
    <t>=SUM(P1303:T1303)</t>
  </si>
  <si>
    <t>=IF($M1303&gt;=$P$18,U1303,0)</t>
  </si>
  <si>
    <t>=IF(AND($M1303&gt;=$Q$16,$M1303&lt;=$Q$18),U1303,0)</t>
  </si>
  <si>
    <t>=IF(AND($M1303&gt;=$R$16,$M1303&lt;=$R$18),U1303,0)</t>
  </si>
  <si>
    <t>=IF(AND($M1303&gt;=$S$16,$M1303&lt;=$S$18),U1303,0)</t>
  </si>
  <si>
    <t>=IF($M1303&lt;=$T$18,U1303,0)</t>
  </si>
  <si>
    <t>="""NAV Direct"",""CRONUS JetCorp USA"",""21"",""1"",""388538"""</t>
  </si>
  <si>
    <t>=E1302</t>
  </si>
  <si>
    <t>=StartDate-$M1304+1</t>
  </si>
  <si>
    <t>=SUM(P1304:T1304)</t>
  </si>
  <si>
    <t>=IF($M1304&gt;=$P$18,U1304,0)</t>
  </si>
  <si>
    <t>=IF(AND($M1304&gt;=$Q$16,$M1304&lt;=$Q$18),U1304,0)</t>
  </si>
  <si>
    <t>=IF(AND($M1304&gt;=$R$16,$M1304&lt;=$R$18),U1304,0)</t>
  </si>
  <si>
    <t>=IF(AND($M1304&gt;=$S$16,$M1304&lt;=$S$18),U1304,0)</t>
  </si>
  <si>
    <t>=IF($M1304&lt;=$T$18,U1304,0)</t>
  </si>
  <si>
    <t>="""NAV Direct"",""CRONUS JetCorp USA"",""21"",""1"",""388951"""</t>
  </si>
  <si>
    <t>=E1303</t>
  </si>
  <si>
    <t>=StartDate-$M1305+1</t>
  </si>
  <si>
    <t>=SUM(P1305:T1305)</t>
  </si>
  <si>
    <t>=IF($M1305&gt;=$P$18,U1305,0)</t>
  </si>
  <si>
    <t>=IF(AND($M1305&gt;=$Q$16,$M1305&lt;=$Q$18),U1305,0)</t>
  </si>
  <si>
    <t>=IF(AND($M1305&gt;=$R$16,$M1305&lt;=$R$18),U1305,0)</t>
  </si>
  <si>
    <t>=IF(AND($M1305&gt;=$S$16,$M1305&lt;=$S$18),U1305,0)</t>
  </si>
  <si>
    <t>=IF($M1305&lt;=$T$18,U1305,0)</t>
  </si>
  <si>
    <t>="""NAV Direct"",""CRONUS JetCorp USA"",""21"",""1"",""390496"""</t>
  </si>
  <si>
    <t>=E1304</t>
  </si>
  <si>
    <t>=StartDate-$M1306+1</t>
  </si>
  <si>
    <t>=SUM(P1306:T1306)</t>
  </si>
  <si>
    <t>=IF($M1306&gt;=$P$18,U1306,0)</t>
  </si>
  <si>
    <t>=IF(AND($M1306&gt;=$Q$16,$M1306&lt;=$Q$18),U1306,0)</t>
  </si>
  <si>
    <t>=IF(AND($M1306&gt;=$R$16,$M1306&lt;=$R$18),U1306,0)</t>
  </si>
  <si>
    <t>=IF(AND($M1306&gt;=$S$16,$M1306&lt;=$S$18),U1306,0)</t>
  </si>
  <si>
    <t>=IF($M1306&lt;=$T$18,U1306,0)</t>
  </si>
  <si>
    <t>="""NAV Direct"",""CRONUS JetCorp USA"",""21"",""1"",""390771"""</t>
  </si>
  <si>
    <t>=E1305</t>
  </si>
  <si>
    <t>=StartDate-$M1307+1</t>
  </si>
  <si>
    <t>=SUM(P1307:T1307)</t>
  </si>
  <si>
    <t>=IF($M1307&gt;=$P$18,U1307,0)</t>
  </si>
  <si>
    <t>=IF(AND($M1307&gt;=$Q$16,$M1307&lt;=$Q$18),U1307,0)</t>
  </si>
  <si>
    <t>=IF(AND($M1307&gt;=$R$16,$M1307&lt;=$R$18),U1307,0)</t>
  </si>
  <si>
    <t>=IF(AND($M1307&gt;=$S$16,$M1307&lt;=$S$18),U1307,0)</t>
  </si>
  <si>
    <t>=IF($M1307&lt;=$T$18,U1307,0)</t>
  </si>
  <si>
    <t>="""NAV Direct"",""CRONUS JetCorp USA"",""21"",""1"",""392120"""</t>
  </si>
  <si>
    <t>=E1306</t>
  </si>
  <si>
    <t>=StartDate-$M1308+1</t>
  </si>
  <si>
    <t>=SUM(P1308:T1308)</t>
  </si>
  <si>
    <t>=IF($M1308&gt;=$P$18,U1308,0)</t>
  </si>
  <si>
    <t>=IF(AND($M1308&gt;=$Q$16,$M1308&lt;=$Q$18),U1308,0)</t>
  </si>
  <si>
    <t>=IF(AND($M1308&gt;=$R$16,$M1308&lt;=$R$18),U1308,0)</t>
  </si>
  <si>
    <t>=IF(AND($M1308&gt;=$S$16,$M1308&lt;=$S$18),U1308,0)</t>
  </si>
  <si>
    <t>=IF($M1308&lt;=$T$18,U1308,0)</t>
  </si>
  <si>
    <t>="""NAV Direct"",""CRONUS JetCorp USA"",""21"",""1"",""392976"""</t>
  </si>
  <si>
    <t>=E1307</t>
  </si>
  <si>
    <t>=StartDate-$M1309+1</t>
  </si>
  <si>
    <t>=SUM(P1309:T1309)</t>
  </si>
  <si>
    <t>=IF($M1309&gt;=$P$18,U1309,0)</t>
  </si>
  <si>
    <t>=IF(AND($M1309&gt;=$Q$16,$M1309&lt;=$Q$18),U1309,0)</t>
  </si>
  <si>
    <t>=IF(AND($M1309&gt;=$R$16,$M1309&lt;=$R$18),U1309,0)</t>
  </si>
  <si>
    <t>=IF(AND($M1309&gt;=$S$16,$M1309&lt;=$S$18),U1309,0)</t>
  </si>
  <si>
    <t>=IF($M1309&lt;=$T$18,U1309,0)</t>
  </si>
  <si>
    <t>="""NAV Direct"",""CRONUS JetCorp USA"",""21"",""1"",""394004"""</t>
  </si>
  <si>
    <t>=E1308</t>
  </si>
  <si>
    <t>=StartDate-$M1310+1</t>
  </si>
  <si>
    <t>=SUM(P1310:T1310)</t>
  </si>
  <si>
    <t>=IF($M1310&gt;=$P$18,U1310,0)</t>
  </si>
  <si>
    <t>=IF(AND($M1310&gt;=$Q$16,$M1310&lt;=$Q$18),U1310,0)</t>
  </si>
  <si>
    <t>=IF(AND($M1310&gt;=$R$16,$M1310&lt;=$R$18),U1310,0)</t>
  </si>
  <si>
    <t>=IF(AND($M1310&gt;=$S$16,$M1310&lt;=$S$18),U1310,0)</t>
  </si>
  <si>
    <t>=IF($M1310&lt;=$T$18,U1310,0)</t>
  </si>
  <si>
    <t>="""NAV Direct"",""CRONUS JetCorp USA"",""21"",""1"",""394534"""</t>
  </si>
  <si>
    <t>=E1309</t>
  </si>
  <si>
    <t>=StartDate-$M1311+1</t>
  </si>
  <si>
    <t>=SUM(P1311:T1311)</t>
  </si>
  <si>
    <t>=IF($M1311&gt;=$P$18,U1311,0)</t>
  </si>
  <si>
    <t>=IF(AND($M1311&gt;=$Q$16,$M1311&lt;=$Q$18),U1311,0)</t>
  </si>
  <si>
    <t>=IF(AND($M1311&gt;=$R$16,$M1311&lt;=$R$18),U1311,0)</t>
  </si>
  <si>
    <t>=IF(AND($M1311&gt;=$S$16,$M1311&lt;=$S$18),U1311,0)</t>
  </si>
  <si>
    <t>=IF($M1311&lt;=$T$18,U1311,0)</t>
  </si>
  <si>
    <t>="""NAV Direct"",""CRONUS JetCorp USA"",""21"",""1"",""394601"""</t>
  </si>
  <si>
    <t>=E1310</t>
  </si>
  <si>
    <t>=StartDate-$M1312+1</t>
  </si>
  <si>
    <t>=SUM(P1312:T1312)</t>
  </si>
  <si>
    <t>=IF($M1312&gt;=$P$18,U1312,0)</t>
  </si>
  <si>
    <t>=IF(AND($M1312&gt;=$Q$16,$M1312&lt;=$Q$18),U1312,0)</t>
  </si>
  <si>
    <t>=IF(AND($M1312&gt;=$R$16,$M1312&lt;=$R$18),U1312,0)</t>
  </si>
  <si>
    <t>=IF(AND($M1312&gt;=$S$16,$M1312&lt;=$S$18),U1312,0)</t>
  </si>
  <si>
    <t>=IF($M1312&lt;=$T$18,U1312,0)</t>
  </si>
  <si>
    <t>="""NAV Direct"",""CRONUS JetCorp USA"",""21"",""1"",""396670"""</t>
  </si>
  <si>
    <t>=E1311</t>
  </si>
  <si>
    <t>=StartDate-$M1313+1</t>
  </si>
  <si>
    <t>=SUM(P1313:T1313)</t>
  </si>
  <si>
    <t>=IF($M1313&gt;=$P$18,U1313,0)</t>
  </si>
  <si>
    <t>=IF(AND($M1313&gt;=$Q$16,$M1313&lt;=$Q$18),U1313,0)</t>
  </si>
  <si>
    <t>=IF(AND($M1313&gt;=$R$16,$M1313&lt;=$R$18),U1313,0)</t>
  </si>
  <si>
    <t>=IF(AND($M1313&gt;=$S$16,$M1313&lt;=$S$18),U1313,0)</t>
  </si>
  <si>
    <t>=IF($M1313&lt;=$T$18,U1313,0)</t>
  </si>
  <si>
    <t>="""NAV Direct"",""CRONUS JetCorp USA"",""21"",""1"",""397017"""</t>
  </si>
  <si>
    <t>=E1312</t>
  </si>
  <si>
    <t>=StartDate-$M1314+1</t>
  </si>
  <si>
    <t>=SUM(P1314:T1314)</t>
  </si>
  <si>
    <t>=IF($M1314&gt;=$P$18,U1314,0)</t>
  </si>
  <si>
    <t>=IF(AND($M1314&gt;=$Q$16,$M1314&lt;=$Q$18),U1314,0)</t>
  </si>
  <si>
    <t>=IF(AND($M1314&gt;=$R$16,$M1314&lt;=$R$18),U1314,0)</t>
  </si>
  <si>
    <t>=IF(AND($M1314&gt;=$S$16,$M1314&lt;=$S$18),U1314,0)</t>
  </si>
  <si>
    <t>=IF($M1314&lt;=$T$18,U1314,0)</t>
  </si>
  <si>
    <t>="""NAV Direct"",""CRONUS JetCorp USA"",""21"",""1"",""397382"""</t>
  </si>
  <si>
    <t>=E1313</t>
  </si>
  <si>
    <t>=StartDate-$M1315+1</t>
  </si>
  <si>
    <t>=SUM(P1315:T1315)</t>
  </si>
  <si>
    <t>=IF($M1315&gt;=$P$18,U1315,0)</t>
  </si>
  <si>
    <t>=IF(AND($M1315&gt;=$Q$16,$M1315&lt;=$Q$18),U1315,0)</t>
  </si>
  <si>
    <t>=IF(AND($M1315&gt;=$R$16,$M1315&lt;=$R$18),U1315,0)</t>
  </si>
  <si>
    <t>=IF(AND($M1315&gt;=$S$16,$M1315&lt;=$S$18),U1315,0)</t>
  </si>
  <si>
    <t>=IF($M1315&lt;=$T$18,U1315,0)</t>
  </si>
  <si>
    <t>="""NAV Direct"",""CRONUS JetCorp USA"",""21"",""1"",""397841"""</t>
  </si>
  <si>
    <t>=E1314</t>
  </si>
  <si>
    <t>=StartDate-$M1316+1</t>
  </si>
  <si>
    <t>=SUM(P1316:T1316)</t>
  </si>
  <si>
    <t>=IF($M1316&gt;=$P$18,U1316,0)</t>
  </si>
  <si>
    <t>=IF(AND($M1316&gt;=$Q$16,$M1316&lt;=$Q$18),U1316,0)</t>
  </si>
  <si>
    <t>=IF(AND($M1316&gt;=$R$16,$M1316&lt;=$R$18),U1316,0)</t>
  </si>
  <si>
    <t>=IF(AND($M1316&gt;=$S$16,$M1316&lt;=$S$18),U1316,0)</t>
  </si>
  <si>
    <t>=IF($M1316&lt;=$T$18,U1316,0)</t>
  </si>
  <si>
    <t>="""NAV Direct"",""CRONUS JetCorp USA"",""21"",""1"",""398440"""</t>
  </si>
  <si>
    <t>=E1315</t>
  </si>
  <si>
    <t>=StartDate-$M1317+1</t>
  </si>
  <si>
    <t>=SUM(P1317:T1317)</t>
  </si>
  <si>
    <t>=IF($M1317&gt;=$P$18,U1317,0)</t>
  </si>
  <si>
    <t>=IF(AND($M1317&gt;=$Q$16,$M1317&lt;=$Q$18),U1317,0)</t>
  </si>
  <si>
    <t>=IF(AND($M1317&gt;=$R$16,$M1317&lt;=$R$18),U1317,0)</t>
  </si>
  <si>
    <t>=IF(AND($M1317&gt;=$S$16,$M1317&lt;=$S$18),U1317,0)</t>
  </si>
  <si>
    <t>=IF($M1317&lt;=$T$18,U1317,0)</t>
  </si>
  <si>
    <t>="""NAV Direct"",""CRONUS JetCorp USA"",""21"",""1"",""399306"""</t>
  </si>
  <si>
    <t>=E1316</t>
  </si>
  <si>
    <t>=StartDate-$M1318+1</t>
  </si>
  <si>
    <t>=SUM(P1318:T1318)</t>
  </si>
  <si>
    <t>=IF($M1318&gt;=$P$18,U1318,0)</t>
  </si>
  <si>
    <t>=IF(AND($M1318&gt;=$Q$16,$M1318&lt;=$Q$18),U1318,0)</t>
  </si>
  <si>
    <t>=IF(AND($M1318&gt;=$R$16,$M1318&lt;=$R$18),U1318,0)</t>
  </si>
  <si>
    <t>=IF(AND($M1318&gt;=$S$16,$M1318&lt;=$S$18),U1318,0)</t>
  </si>
  <si>
    <t>=IF($M1318&lt;=$T$18,U1318,0)</t>
  </si>
  <si>
    <t>="""NAV Direct"",""CRONUS JetCorp USA"",""21"",""1"",""399672"""</t>
  </si>
  <si>
    <t>=E1317</t>
  </si>
  <si>
    <t>=StartDate-$M1319+1</t>
  </si>
  <si>
    <t>=SUM(P1319:T1319)</t>
  </si>
  <si>
    <t>=IF($M1319&gt;=$P$18,U1319,0)</t>
  </si>
  <si>
    <t>=IF(AND($M1319&gt;=$Q$16,$M1319&lt;=$Q$18),U1319,0)</t>
  </si>
  <si>
    <t>=IF(AND($M1319&gt;=$R$16,$M1319&lt;=$R$18),U1319,0)</t>
  </si>
  <si>
    <t>=IF(AND($M1319&gt;=$S$16,$M1319&lt;=$S$18),U1319,0)</t>
  </si>
  <si>
    <t>=IF($M1319&lt;=$T$18,U1319,0)</t>
  </si>
  <si>
    <t>="""NAV Direct"",""CRONUS JetCorp USA"",""21"",""1"",""400325"""</t>
  </si>
  <si>
    <t>=E1318</t>
  </si>
  <si>
    <t>=StartDate-$M1320+1</t>
  </si>
  <si>
    <t>=SUM(P1320:T1320)</t>
  </si>
  <si>
    <t>=IF($M1320&gt;=$P$18,U1320,0)</t>
  </si>
  <si>
    <t>=IF(AND($M1320&gt;=$Q$16,$M1320&lt;=$Q$18),U1320,0)</t>
  </si>
  <si>
    <t>=IF(AND($M1320&gt;=$R$16,$M1320&lt;=$R$18),U1320,0)</t>
  </si>
  <si>
    <t>=IF(AND($M1320&gt;=$S$16,$M1320&lt;=$S$18),U1320,0)</t>
  </si>
  <si>
    <t>=IF($M1320&lt;=$T$18,U1320,0)</t>
  </si>
  <si>
    <t>="""NAV Direct"",""CRONUS JetCorp USA"",""21"",""1"",""400441"""</t>
  </si>
  <si>
    <t>=E1319</t>
  </si>
  <si>
    <t>=StartDate-$M1321+1</t>
  </si>
  <si>
    <t>=SUM(P1321:T1321)</t>
  </si>
  <si>
    <t>=IF($M1321&gt;=$P$18,U1321,0)</t>
  </si>
  <si>
    <t>=IF(AND($M1321&gt;=$Q$16,$M1321&lt;=$Q$18),U1321,0)</t>
  </si>
  <si>
    <t>=IF(AND($M1321&gt;=$R$16,$M1321&lt;=$R$18),U1321,0)</t>
  </si>
  <si>
    <t>=IF(AND($M1321&gt;=$S$16,$M1321&lt;=$S$18),U1321,0)</t>
  </si>
  <si>
    <t>=IF($M1321&lt;=$T$18,U1321,0)</t>
  </si>
  <si>
    <t>="""NAV Direct"",""CRONUS JetCorp USA"",""21"",""1"",""401277"""</t>
  </si>
  <si>
    <t>=E1320</t>
  </si>
  <si>
    <t>=StartDate-$M1322+1</t>
  </si>
  <si>
    <t>=SUM(P1322:T1322)</t>
  </si>
  <si>
    <t>=IF($M1322&gt;=$P$18,U1322,0)</t>
  </si>
  <si>
    <t>=IF(AND($M1322&gt;=$Q$16,$M1322&lt;=$Q$18),U1322,0)</t>
  </si>
  <si>
    <t>=IF(AND($M1322&gt;=$R$16,$M1322&lt;=$R$18),U1322,0)</t>
  </si>
  <si>
    <t>=IF(AND($M1322&gt;=$S$16,$M1322&lt;=$S$18),U1322,0)</t>
  </si>
  <si>
    <t>=IF($M1322&lt;=$T$18,U1322,0)</t>
  </si>
  <si>
    <t>="""NAV Direct"",""CRONUS JetCorp USA"",""21"",""1"",""438707"""</t>
  </si>
  <si>
    <t>=E1321</t>
  </si>
  <si>
    <t>=StartDate-$M1323+1</t>
  </si>
  <si>
    <t>=SUM(P1323:T1323)</t>
  </si>
  <si>
    <t>=IF($M1323&gt;=$P$18,U1323,0)</t>
  </si>
  <si>
    <t>=IF(AND($M1323&gt;=$Q$16,$M1323&lt;=$Q$18),U1323,0)</t>
  </si>
  <si>
    <t>=IF(AND($M1323&gt;=$R$16,$M1323&lt;=$R$18),U1323,0)</t>
  </si>
  <si>
    <t>=IF(AND($M1323&gt;=$S$16,$M1323&lt;=$S$18),U1323,0)</t>
  </si>
  <si>
    <t>=IF($M1323&lt;=$T$18,U1323,0)</t>
  </si>
  <si>
    <t>="""NAV Direct"",""CRONUS JetCorp USA"",""21"",""1"",""439142"""</t>
  </si>
  <si>
    <t>=E1322</t>
  </si>
  <si>
    <t>=StartDate-$M1324+1</t>
  </si>
  <si>
    <t>=SUM(P1324:T1324)</t>
  </si>
  <si>
    <t>=IF($M1324&gt;=$P$18,U1324,0)</t>
  </si>
  <si>
    <t>=IF(AND($M1324&gt;=$Q$16,$M1324&lt;=$Q$18),U1324,0)</t>
  </si>
  <si>
    <t>=IF(AND($M1324&gt;=$R$16,$M1324&lt;=$R$18),U1324,0)</t>
  </si>
  <si>
    <t>=IF(AND($M1324&gt;=$S$16,$M1324&lt;=$S$18),U1324,0)</t>
  </si>
  <si>
    <t>=IF($M1324&lt;=$T$18,U1324,0)</t>
  </si>
  <si>
    <t>="""NAV Direct"",""CRONUS JetCorp USA"",""21"",""1"",""439394"""</t>
  </si>
  <si>
    <t>=E1323</t>
  </si>
  <si>
    <t>=StartDate-$M1325+1</t>
  </si>
  <si>
    <t>=SUM(P1325:T1325)</t>
  </si>
  <si>
    <t>=IF($M1325&gt;=$P$18,U1325,0)</t>
  </si>
  <si>
    <t>=IF(AND($M1325&gt;=$Q$16,$M1325&lt;=$Q$18),U1325,0)</t>
  </si>
  <si>
    <t>=IF(AND($M1325&gt;=$R$16,$M1325&lt;=$R$18),U1325,0)</t>
  </si>
  <si>
    <t>=IF(AND($M1325&gt;=$S$16,$M1325&lt;=$S$18),U1325,0)</t>
  </si>
  <si>
    <t>=IF($M1325&lt;=$T$18,U1325,0)</t>
  </si>
  <si>
    <t>="""NAV Direct"",""CRONUS JetCorp USA"",""21"",""1"",""439483"""</t>
  </si>
  <si>
    <t>=E1324</t>
  </si>
  <si>
    <t>=StartDate-$M1326+1</t>
  </si>
  <si>
    <t>=SUM(P1326:T1326)</t>
  </si>
  <si>
    <t>=IF($M1326&gt;=$P$18,U1326,0)</t>
  </si>
  <si>
    <t>=IF(AND($M1326&gt;=$Q$16,$M1326&lt;=$Q$18),U1326,0)</t>
  </si>
  <si>
    <t>=IF(AND($M1326&gt;=$R$16,$M1326&lt;=$R$18),U1326,0)</t>
  </si>
  <si>
    <t>=IF(AND($M1326&gt;=$S$16,$M1326&lt;=$S$18),U1326,0)</t>
  </si>
  <si>
    <t>=IF($M1326&lt;=$T$18,U1326,0)</t>
  </si>
  <si>
    <t>="""NAV Direct"",""CRONUS JetCorp USA"",""21"",""1"",""439496"""</t>
  </si>
  <si>
    <t>=E1325</t>
  </si>
  <si>
    <t>=StartDate-$M1327+1</t>
  </si>
  <si>
    <t>=SUM(P1327:T1327)</t>
  </si>
  <si>
    <t>=IF($M1327&gt;=$P$18,U1327,0)</t>
  </si>
  <si>
    <t>=IF(AND($M1327&gt;=$Q$16,$M1327&lt;=$Q$18),U1327,0)</t>
  </si>
  <si>
    <t>=IF(AND($M1327&gt;=$R$16,$M1327&lt;=$R$18),U1327,0)</t>
  </si>
  <si>
    <t>=IF(AND($M1327&gt;=$S$16,$M1327&lt;=$S$18),U1327,0)</t>
  </si>
  <si>
    <t>=IF($M1327&lt;=$T$18,U1327,0)</t>
  </si>
  <si>
    <t>="""NAV Direct"",""CRONUS JetCorp USA"",""21"",""1"",""439617"""</t>
  </si>
  <si>
    <t>=E1326</t>
  </si>
  <si>
    <t>=StartDate-$M1328+1</t>
  </si>
  <si>
    <t>=SUM(P1328:T1328)</t>
  </si>
  <si>
    <t>=IF($M1328&gt;=$P$18,U1328,0)</t>
  </si>
  <si>
    <t>=IF(AND($M1328&gt;=$Q$16,$M1328&lt;=$Q$18),U1328,0)</t>
  </si>
  <si>
    <t>=IF(AND($M1328&gt;=$R$16,$M1328&lt;=$R$18),U1328,0)</t>
  </si>
  <si>
    <t>=IF(AND($M1328&gt;=$S$16,$M1328&lt;=$S$18),U1328,0)</t>
  </si>
  <si>
    <t>=IF($M1328&lt;=$T$18,U1328,0)</t>
  </si>
  <si>
    <t>="""NAV Direct"",""CRONUS JetCorp USA"",""21"",""1"",""440170"""</t>
  </si>
  <si>
    <t>=E1327</t>
  </si>
  <si>
    <t>=StartDate-$M1329+1</t>
  </si>
  <si>
    <t>=SUM(P1329:T1329)</t>
  </si>
  <si>
    <t>=IF($M1329&gt;=$P$18,U1329,0)</t>
  </si>
  <si>
    <t>=IF(AND($M1329&gt;=$Q$16,$M1329&lt;=$Q$18),U1329,0)</t>
  </si>
  <si>
    <t>=IF(AND($M1329&gt;=$R$16,$M1329&lt;=$R$18),U1329,0)</t>
  </si>
  <si>
    <t>=IF(AND($M1329&gt;=$S$16,$M1329&lt;=$S$18),U1329,0)</t>
  </si>
  <si>
    <t>=IF($M1329&lt;=$T$18,U1329,0)</t>
  </si>
  <si>
    <t>="""NAV Direct"",""CRONUS JetCorp USA"",""18"",""1"",""C100049"""</t>
  </si>
  <si>
    <t>=H1332</t>
  </si>
  <si>
    <t>=NF($C1332,"1 No.")</t>
  </si>
  <si>
    <t>=NF($C1332,"1 No.")&amp;"  -  "&amp;NF($C1332,"2 Name")</t>
  </si>
  <si>
    <t>=IFERROR(O1332/NF(C1332,"Credit Limit (LCY)"),"")</t>
  </si>
  <si>
    <t>=SUBTOTAL(3,L1333:L1367)</t>
  </si>
  <si>
    <t>=SUBTOTAL(9,O1333:O1367)</t>
  </si>
  <si>
    <t>=SUBTOTAL(9,P1333:P1367)</t>
  </si>
  <si>
    <t>=SUBTOTAL(9,Q1333:Q1367)</t>
  </si>
  <si>
    <t>=SUBTOTAL(9,R1333:R1367)</t>
  </si>
  <si>
    <t>=SUBTOTAL(9,S1333:S1367)</t>
  </si>
  <si>
    <t>=SUBTOTAL(9,T1333:T1367)</t>
  </si>
  <si>
    <t>=C1332</t>
  </si>
  <si>
    <t>=E1332</t>
  </si>
  <si>
    <t>="Contact: "&amp;NF($C1333,"8 Contact")</t>
  </si>
  <si>
    <t>=C1333</t>
  </si>
  <si>
    <t>=E1333</t>
  </si>
  <si>
    <t>=NF($C1334,"102 E-Mail")</t>
  </si>
  <si>
    <t>=NL("Rows","21 Cust. Ledger Entry",,"3 Customer No.","@@"&amp;$E1336,"16 Remaining Amt. (LCY)","&lt;&gt;0")</t>
  </si>
  <si>
    <t>=E1334</t>
  </si>
  <si>
    <t>=StartDate-$M1336+1</t>
  </si>
  <si>
    <t>=SUM(P1336:T1336)</t>
  </si>
  <si>
    <t>=IF($M1336&gt;=$P$18,U1336,0)</t>
  </si>
  <si>
    <t>=IF(AND($M1336&gt;=$Q$16,$M1336&lt;=$Q$18),U1336,0)</t>
  </si>
  <si>
    <t>=IF(AND($M1336&gt;=$R$16,$M1336&lt;=$R$18),U1336,0)</t>
  </si>
  <si>
    <t>=IF(AND($M1336&gt;=$S$16,$M1336&lt;=$S$18),U1336,0)</t>
  </si>
  <si>
    <t>=IF($M1336&lt;=$T$18,U1336,0)</t>
  </si>
  <si>
    <t>="""NAV Direct"",""CRONUS JetCorp USA"",""21"",""1"",""41380"""</t>
  </si>
  <si>
    <t>=E1335</t>
  </si>
  <si>
    <t>=StartDate-$M1337+1</t>
  </si>
  <si>
    <t>=SUM(P1337:T1337)</t>
  </si>
  <si>
    <t>=IF($M1337&gt;=$P$18,U1337,0)</t>
  </si>
  <si>
    <t>=IF(AND($M1337&gt;=$Q$16,$M1337&lt;=$Q$18),U1337,0)</t>
  </si>
  <si>
    <t>=IF(AND($M1337&gt;=$R$16,$M1337&lt;=$R$18),U1337,0)</t>
  </si>
  <si>
    <t>=IF(AND($M1337&gt;=$S$16,$M1337&lt;=$S$18),U1337,0)</t>
  </si>
  <si>
    <t>=IF($M1337&lt;=$T$18,U1337,0)</t>
  </si>
  <si>
    <t>="""NAV Direct"",""CRONUS JetCorp USA"",""21"",""1"",""41405"""</t>
  </si>
  <si>
    <t>=E1336</t>
  </si>
  <si>
    <t>=StartDate-$M1338+1</t>
  </si>
  <si>
    <t>=SUM(P1338:T1338)</t>
  </si>
  <si>
    <t>=IF($M1338&gt;=$P$18,U1338,0)</t>
  </si>
  <si>
    <t>=IF(AND($M1338&gt;=$Q$16,$M1338&lt;=$Q$18),U1338,0)</t>
  </si>
  <si>
    <t>=IF(AND($M1338&gt;=$R$16,$M1338&lt;=$R$18),U1338,0)</t>
  </si>
  <si>
    <t>=IF(AND($M1338&gt;=$S$16,$M1338&lt;=$S$18),U1338,0)</t>
  </si>
  <si>
    <t>=IF($M1338&lt;=$T$18,U1338,0)</t>
  </si>
  <si>
    <t>="""NAV Direct"",""CRONUS JetCorp USA"",""21"",""1"",""41535"""</t>
  </si>
  <si>
    <t>=E1337</t>
  </si>
  <si>
    <t>=StartDate-$M1339+1</t>
  </si>
  <si>
    <t>=SUM(P1339:T1339)</t>
  </si>
  <si>
    <t>=IF($M1339&gt;=$P$18,U1339,0)</t>
  </si>
  <si>
    <t>=IF(AND($M1339&gt;=$Q$16,$M1339&lt;=$Q$18),U1339,0)</t>
  </si>
  <si>
    <t>=IF(AND($M1339&gt;=$R$16,$M1339&lt;=$R$18),U1339,0)</t>
  </si>
  <si>
    <t>=IF(AND($M1339&gt;=$S$16,$M1339&lt;=$S$18),U1339,0)</t>
  </si>
  <si>
    <t>=IF($M1339&lt;=$T$18,U1339,0)</t>
  </si>
  <si>
    <t>="""NAV Direct"",""CRONUS JetCorp USA"",""21"",""1"",""41648"""</t>
  </si>
  <si>
    <t>=E1338</t>
  </si>
  <si>
    <t>=StartDate-$M1340+1</t>
  </si>
  <si>
    <t>=SUM(P1340:T1340)</t>
  </si>
  <si>
    <t>=IF($M1340&gt;=$P$18,U1340,0)</t>
  </si>
  <si>
    <t>=IF(AND($M1340&gt;=$Q$16,$M1340&lt;=$Q$18),U1340,0)</t>
  </si>
  <si>
    <t>=IF(AND($M1340&gt;=$R$16,$M1340&lt;=$R$18),U1340,0)</t>
  </si>
  <si>
    <t>=IF(AND($M1340&gt;=$S$16,$M1340&lt;=$S$18),U1340,0)</t>
  </si>
  <si>
    <t>=IF($M1340&lt;=$T$18,U1340,0)</t>
  </si>
  <si>
    <t>="""NAV Direct"",""CRONUS JetCorp USA"",""21"",""1"",""41724"""</t>
  </si>
  <si>
    <t>=E1339</t>
  </si>
  <si>
    <t>=StartDate-$M1341+1</t>
  </si>
  <si>
    <t>=SUM(P1341:T1341)</t>
  </si>
  <si>
    <t>=IF($M1341&gt;=$P$18,U1341,0)</t>
  </si>
  <si>
    <t>=IF(AND($M1341&gt;=$Q$16,$M1341&lt;=$Q$18),U1341,0)</t>
  </si>
  <si>
    <t>=IF(AND($M1341&gt;=$R$16,$M1341&lt;=$R$18),U1341,0)</t>
  </si>
  <si>
    <t>=IF(AND($M1341&gt;=$S$16,$M1341&lt;=$S$18),U1341,0)</t>
  </si>
  <si>
    <t>=IF($M1341&lt;=$T$18,U1341,0)</t>
  </si>
  <si>
    <t>="""NAV Direct"",""CRONUS JetCorp USA"",""21"",""1"",""41801"""</t>
  </si>
  <si>
    <t>=E1340</t>
  </si>
  <si>
    <t>=StartDate-$M1342+1</t>
  </si>
  <si>
    <t>=SUM(P1342:T1342)</t>
  </si>
  <si>
    <t>=IF($M1342&gt;=$P$18,U1342,0)</t>
  </si>
  <si>
    <t>=IF(AND($M1342&gt;=$Q$16,$M1342&lt;=$Q$18),U1342,0)</t>
  </si>
  <si>
    <t>=IF(AND($M1342&gt;=$R$16,$M1342&lt;=$R$18),U1342,0)</t>
  </si>
  <si>
    <t>=IF(AND($M1342&gt;=$S$16,$M1342&lt;=$S$18),U1342,0)</t>
  </si>
  <si>
    <t>=IF($M1342&lt;=$T$18,U1342,0)</t>
  </si>
  <si>
    <t>="""NAV Direct"",""CRONUS JetCorp USA"",""21"",""1"",""41937"""</t>
  </si>
  <si>
    <t>=E1341</t>
  </si>
  <si>
    <t>=StartDate-$M1343+1</t>
  </si>
  <si>
    <t>=SUM(P1343:T1343)</t>
  </si>
  <si>
    <t>=IF($M1343&gt;=$P$18,U1343,0)</t>
  </si>
  <si>
    <t>=IF(AND($M1343&gt;=$Q$16,$M1343&lt;=$Q$18),U1343,0)</t>
  </si>
  <si>
    <t>=IF(AND($M1343&gt;=$R$16,$M1343&lt;=$R$18),U1343,0)</t>
  </si>
  <si>
    <t>=IF(AND($M1343&gt;=$S$16,$M1343&lt;=$S$18),U1343,0)</t>
  </si>
  <si>
    <t>=IF($M1343&lt;=$T$18,U1343,0)</t>
  </si>
  <si>
    <t>="""NAV Direct"",""CRONUS JetCorp USA"",""21"",""1"",""42008"""</t>
  </si>
  <si>
    <t>=E1342</t>
  </si>
  <si>
    <t>=StartDate-$M1344+1</t>
  </si>
  <si>
    <t>=SUM(P1344:T1344)</t>
  </si>
  <si>
    <t>=IF($M1344&gt;=$P$18,U1344,0)</t>
  </si>
  <si>
    <t>=IF(AND($M1344&gt;=$Q$16,$M1344&lt;=$Q$18),U1344,0)</t>
  </si>
  <si>
    <t>=IF(AND($M1344&gt;=$R$16,$M1344&lt;=$R$18),U1344,0)</t>
  </si>
  <si>
    <t>=IF(AND($M1344&gt;=$S$16,$M1344&lt;=$S$18),U1344,0)</t>
  </si>
  <si>
    <t>=IF($M1344&lt;=$T$18,U1344,0)</t>
  </si>
  <si>
    <t>="""NAV Direct"",""CRONUS JetCorp USA"",""21"",""1"",""332657"""</t>
  </si>
  <si>
    <t>=E1343</t>
  </si>
  <si>
    <t>=StartDate-$M1345+1</t>
  </si>
  <si>
    <t>=SUM(P1345:T1345)</t>
  </si>
  <si>
    <t>=IF($M1345&gt;=$P$18,U1345,0)</t>
  </si>
  <si>
    <t>=IF(AND($M1345&gt;=$Q$16,$M1345&lt;=$Q$18),U1345,0)</t>
  </si>
  <si>
    <t>=IF(AND($M1345&gt;=$R$16,$M1345&lt;=$R$18),U1345,0)</t>
  </si>
  <si>
    <t>=IF(AND($M1345&gt;=$S$16,$M1345&lt;=$S$18),U1345,0)</t>
  </si>
  <si>
    <t>=IF($M1345&lt;=$T$18,U1345,0)</t>
  </si>
  <si>
    <t>="""NAV Direct"",""CRONUS JetCorp USA"",""21"",""1"",""332762"""</t>
  </si>
  <si>
    <t>=E1344</t>
  </si>
  <si>
    <t>=StartDate-$M1346+1</t>
  </si>
  <si>
    <t>=SUM(P1346:T1346)</t>
  </si>
  <si>
    <t>=IF($M1346&gt;=$P$18,U1346,0)</t>
  </si>
  <si>
    <t>=IF(AND($M1346&gt;=$Q$16,$M1346&lt;=$Q$18),U1346,0)</t>
  </si>
  <si>
    <t>=IF(AND($M1346&gt;=$R$16,$M1346&lt;=$R$18),U1346,0)</t>
  </si>
  <si>
    <t>=IF(AND($M1346&gt;=$S$16,$M1346&lt;=$S$18),U1346,0)</t>
  </si>
  <si>
    <t>=IF($M1346&lt;=$T$18,U1346,0)</t>
  </si>
  <si>
    <t>="""NAV Direct"",""CRONUS JetCorp USA"",""21"",""1"",""333079"""</t>
  </si>
  <si>
    <t>=E1345</t>
  </si>
  <si>
    <t>=StartDate-$M1347+1</t>
  </si>
  <si>
    <t>=SUM(P1347:T1347)</t>
  </si>
  <si>
    <t>=IF($M1347&gt;=$P$18,U1347,0)</t>
  </si>
  <si>
    <t>=IF(AND($M1347&gt;=$Q$16,$M1347&lt;=$Q$18),U1347,0)</t>
  </si>
  <si>
    <t>=IF(AND($M1347&gt;=$R$16,$M1347&lt;=$R$18),U1347,0)</t>
  </si>
  <si>
    <t>=IF(AND($M1347&gt;=$S$16,$M1347&lt;=$S$18),U1347,0)</t>
  </si>
  <si>
    <t>=IF($M1347&lt;=$T$18,U1347,0)</t>
  </si>
  <si>
    <t>="""NAV Direct"",""CRONUS JetCorp USA"",""21"",""1"",""333200"""</t>
  </si>
  <si>
    <t>=E1346</t>
  </si>
  <si>
    <t>=StartDate-$M1348+1</t>
  </si>
  <si>
    <t>=SUM(P1348:T1348)</t>
  </si>
  <si>
    <t>=IF($M1348&gt;=$P$18,U1348,0)</t>
  </si>
  <si>
    <t>=IF(AND($M1348&gt;=$Q$16,$M1348&lt;=$Q$18),U1348,0)</t>
  </si>
  <si>
    <t>=IF(AND($M1348&gt;=$R$16,$M1348&lt;=$R$18),U1348,0)</t>
  </si>
  <si>
    <t>=IF(AND($M1348&gt;=$S$16,$M1348&lt;=$S$18),U1348,0)</t>
  </si>
  <si>
    <t>=IF($M1348&lt;=$T$18,U1348,0)</t>
  </si>
  <si>
    <t>="""NAV Direct"",""CRONUS JetCorp USA"",""21"",""1"",""333289"""</t>
  </si>
  <si>
    <t>=E1347</t>
  </si>
  <si>
    <t>=StartDate-$M1349+1</t>
  </si>
  <si>
    <t>=SUM(P1349:T1349)</t>
  </si>
  <si>
    <t>=IF($M1349&gt;=$P$18,U1349,0)</t>
  </si>
  <si>
    <t>=IF(AND($M1349&gt;=$Q$16,$M1349&lt;=$Q$18),U1349,0)</t>
  </si>
  <si>
    <t>=IF(AND($M1349&gt;=$R$16,$M1349&lt;=$R$18),U1349,0)</t>
  </si>
  <si>
    <t>=IF(AND($M1349&gt;=$S$16,$M1349&lt;=$S$18),U1349,0)</t>
  </si>
  <si>
    <t>=IF($M1349&lt;=$T$18,U1349,0)</t>
  </si>
  <si>
    <t>="""NAV Direct"",""CRONUS JetCorp USA"",""21"",""1"",""333480"""</t>
  </si>
  <si>
    <t>=E1348</t>
  </si>
  <si>
    <t>=StartDate-$M1350+1</t>
  </si>
  <si>
    <t>=SUM(P1350:T1350)</t>
  </si>
  <si>
    <t>=IF($M1350&gt;=$P$18,U1350,0)</t>
  </si>
  <si>
    <t>=IF(AND($M1350&gt;=$Q$16,$M1350&lt;=$Q$18),U1350,0)</t>
  </si>
  <si>
    <t>=IF(AND($M1350&gt;=$R$16,$M1350&lt;=$R$18),U1350,0)</t>
  </si>
  <si>
    <t>=IF(AND($M1350&gt;=$S$16,$M1350&lt;=$S$18),U1350,0)</t>
  </si>
  <si>
    <t>=IF($M1350&lt;=$T$18,U1350,0)</t>
  </si>
  <si>
    <t>="""NAV Direct"",""CRONUS JetCorp USA"",""21"",""1"",""333677"""</t>
  </si>
  <si>
    <t>=E1349</t>
  </si>
  <si>
    <t>=StartDate-$M1351+1</t>
  </si>
  <si>
    <t>=SUM(P1351:T1351)</t>
  </si>
  <si>
    <t>=IF($M1351&gt;=$P$18,U1351,0)</t>
  </si>
  <si>
    <t>=IF(AND($M1351&gt;=$Q$16,$M1351&lt;=$Q$18),U1351,0)</t>
  </si>
  <si>
    <t>=IF(AND($M1351&gt;=$R$16,$M1351&lt;=$R$18),U1351,0)</t>
  </si>
  <si>
    <t>=IF(AND($M1351&gt;=$S$16,$M1351&lt;=$S$18),U1351,0)</t>
  </si>
  <si>
    <t>=IF($M1351&lt;=$T$18,U1351,0)</t>
  </si>
  <si>
    <t>="""NAV Direct"",""CRONUS JetCorp USA"",""21"",""1"",""333696"""</t>
  </si>
  <si>
    <t>=E1350</t>
  </si>
  <si>
    <t>=StartDate-$M1352+1</t>
  </si>
  <si>
    <t>=SUM(P1352:T1352)</t>
  </si>
  <si>
    <t>=IF($M1352&gt;=$P$18,U1352,0)</t>
  </si>
  <si>
    <t>=IF(AND($M1352&gt;=$Q$16,$M1352&lt;=$Q$18),U1352,0)</t>
  </si>
  <si>
    <t>=IF(AND($M1352&gt;=$R$16,$M1352&lt;=$R$18),U1352,0)</t>
  </si>
  <si>
    <t>=IF(AND($M1352&gt;=$S$16,$M1352&lt;=$S$18),U1352,0)</t>
  </si>
  <si>
    <t>=IF($M1352&lt;=$T$18,U1352,0)</t>
  </si>
  <si>
    <t>="""NAV Direct"",""CRONUS JetCorp USA"",""21"",""1"",""333765"""</t>
  </si>
  <si>
    <t>=E1351</t>
  </si>
  <si>
    <t>=StartDate-$M1353+1</t>
  </si>
  <si>
    <t>=SUM(P1353:T1353)</t>
  </si>
  <si>
    <t>=IF($M1353&gt;=$P$18,U1353,0)</t>
  </si>
  <si>
    <t>=IF(AND($M1353&gt;=$Q$16,$M1353&lt;=$Q$18),U1353,0)</t>
  </si>
  <si>
    <t>=IF(AND($M1353&gt;=$R$16,$M1353&lt;=$R$18),U1353,0)</t>
  </si>
  <si>
    <t>=IF(AND($M1353&gt;=$S$16,$M1353&lt;=$S$18),U1353,0)</t>
  </si>
  <si>
    <t>=IF($M1353&lt;=$T$18,U1353,0)</t>
  </si>
  <si>
    <t>="""NAV Direct"",""CRONUS JetCorp USA"",""21"",""1"",""333906"""</t>
  </si>
  <si>
    <t>=E1352</t>
  </si>
  <si>
    <t>=StartDate-$M1354+1</t>
  </si>
  <si>
    <t>=SUM(P1354:T1354)</t>
  </si>
  <si>
    <t>=IF($M1354&gt;=$P$18,U1354,0)</t>
  </si>
  <si>
    <t>=IF(AND($M1354&gt;=$Q$16,$M1354&lt;=$Q$18),U1354,0)</t>
  </si>
  <si>
    <t>=IF(AND($M1354&gt;=$R$16,$M1354&lt;=$R$18),U1354,0)</t>
  </si>
  <si>
    <t>=IF(AND($M1354&gt;=$S$16,$M1354&lt;=$S$18),U1354,0)</t>
  </si>
  <si>
    <t>=IF($M1354&lt;=$T$18,U1354,0)</t>
  </si>
  <si>
    <t>="""NAV Direct"",""CRONUS JetCorp USA"",""21"",""1"",""334215"""</t>
  </si>
  <si>
    <t>=E1353</t>
  </si>
  <si>
    <t>=StartDate-$M1355+1</t>
  </si>
  <si>
    <t>=SUM(P1355:T1355)</t>
  </si>
  <si>
    <t>=IF($M1355&gt;=$P$18,U1355,0)</t>
  </si>
  <si>
    <t>=IF(AND($M1355&gt;=$Q$16,$M1355&lt;=$Q$18),U1355,0)</t>
  </si>
  <si>
    <t>=IF(AND($M1355&gt;=$R$16,$M1355&lt;=$R$18),U1355,0)</t>
  </si>
  <si>
    <t>=IF(AND($M1355&gt;=$S$16,$M1355&lt;=$S$18),U1355,0)</t>
  </si>
  <si>
    <t>=IF($M1355&lt;=$T$18,U1355,0)</t>
  </si>
  <si>
    <t>="""NAV Direct"",""CRONUS JetCorp USA"",""21"",""1"",""334274"""</t>
  </si>
  <si>
    <t>=E1354</t>
  </si>
  <si>
    <t>=StartDate-$M1356+1</t>
  </si>
  <si>
    <t>=SUM(P1356:T1356)</t>
  </si>
  <si>
    <t>=IF($M1356&gt;=$P$18,U1356,0)</t>
  </si>
  <si>
    <t>=IF(AND($M1356&gt;=$Q$16,$M1356&lt;=$Q$18),U1356,0)</t>
  </si>
  <si>
    <t>=IF(AND($M1356&gt;=$R$16,$M1356&lt;=$R$18),U1356,0)</t>
  </si>
  <si>
    <t>=IF(AND($M1356&gt;=$S$16,$M1356&lt;=$S$18),U1356,0)</t>
  </si>
  <si>
    <t>=IF($M1356&lt;=$T$18,U1356,0)</t>
  </si>
  <si>
    <t>="""NAV Direct"",""CRONUS JetCorp USA"",""21"",""1"",""334305"""</t>
  </si>
  <si>
    <t>=E1355</t>
  </si>
  <si>
    <t>=StartDate-$M1357+1</t>
  </si>
  <si>
    <t>=SUM(P1357:T1357)</t>
  </si>
  <si>
    <t>=IF($M1357&gt;=$P$18,U1357,0)</t>
  </si>
  <si>
    <t>=IF(AND($M1357&gt;=$Q$16,$M1357&lt;=$Q$18),U1357,0)</t>
  </si>
  <si>
    <t>=IF(AND($M1357&gt;=$R$16,$M1357&lt;=$R$18),U1357,0)</t>
  </si>
  <si>
    <t>=IF(AND($M1357&gt;=$S$16,$M1357&lt;=$S$18),U1357,0)</t>
  </si>
  <si>
    <t>=IF($M1357&lt;=$T$18,U1357,0)</t>
  </si>
  <si>
    <t>="""NAV Direct"",""CRONUS JetCorp USA"",""21"",""1"",""334539"""</t>
  </si>
  <si>
    <t>=E1356</t>
  </si>
  <si>
    <t>=StartDate-$M1358+1</t>
  </si>
  <si>
    <t>=SUM(P1358:T1358)</t>
  </si>
  <si>
    <t>=IF($M1358&gt;=$P$18,U1358,0)</t>
  </si>
  <si>
    <t>=IF(AND($M1358&gt;=$Q$16,$M1358&lt;=$Q$18),U1358,0)</t>
  </si>
  <si>
    <t>=IF(AND($M1358&gt;=$R$16,$M1358&lt;=$R$18),U1358,0)</t>
  </si>
  <si>
    <t>=IF(AND($M1358&gt;=$S$16,$M1358&lt;=$S$18),U1358,0)</t>
  </si>
  <si>
    <t>=IF($M1358&lt;=$T$18,U1358,0)</t>
  </si>
  <si>
    <t>="""NAV Direct"",""CRONUS JetCorp USA"",""21"",""1"",""334742"""</t>
  </si>
  <si>
    <t>=E1357</t>
  </si>
  <si>
    <t>=StartDate-$M1359+1</t>
  </si>
  <si>
    <t>=SUM(P1359:T1359)</t>
  </si>
  <si>
    <t>=IF($M1359&gt;=$P$18,U1359,0)</t>
  </si>
  <si>
    <t>=IF(AND($M1359&gt;=$Q$16,$M1359&lt;=$Q$18),U1359,0)</t>
  </si>
  <si>
    <t>=IF(AND($M1359&gt;=$R$16,$M1359&lt;=$R$18),U1359,0)</t>
  </si>
  <si>
    <t>=IF(AND($M1359&gt;=$S$16,$M1359&lt;=$S$18),U1359,0)</t>
  </si>
  <si>
    <t>=IF($M1359&lt;=$T$18,U1359,0)</t>
  </si>
  <si>
    <t>="""NAV Direct"",""CRONUS JetCorp USA"",""21"",""1"",""334767"""</t>
  </si>
  <si>
    <t>=E1358</t>
  </si>
  <si>
    <t>=StartDate-$M1360+1</t>
  </si>
  <si>
    <t>=SUM(P1360:T1360)</t>
  </si>
  <si>
    <t>=IF($M1360&gt;=$P$18,U1360,0)</t>
  </si>
  <si>
    <t>=IF(AND($M1360&gt;=$Q$16,$M1360&lt;=$Q$18),U1360,0)</t>
  </si>
  <si>
    <t>=IF(AND($M1360&gt;=$R$16,$M1360&lt;=$R$18),U1360,0)</t>
  </si>
  <si>
    <t>=IF(AND($M1360&gt;=$S$16,$M1360&lt;=$S$18),U1360,0)</t>
  </si>
  <si>
    <t>=IF($M1360&lt;=$T$18,U1360,0)</t>
  </si>
  <si>
    <t>="""NAV Direct"",""CRONUS JetCorp USA"",""21"",""1"",""433152"""</t>
  </si>
  <si>
    <t>=E1359</t>
  </si>
  <si>
    <t>=StartDate-$M1361+1</t>
  </si>
  <si>
    <t>=SUM(P1361:T1361)</t>
  </si>
  <si>
    <t>=IF($M1361&gt;=$P$18,U1361,0)</t>
  </si>
  <si>
    <t>=IF(AND($M1361&gt;=$Q$16,$M1361&lt;=$Q$18),U1361,0)</t>
  </si>
  <si>
    <t>=IF(AND($M1361&gt;=$R$16,$M1361&lt;=$R$18),U1361,0)</t>
  </si>
  <si>
    <t>=IF(AND($M1361&gt;=$S$16,$M1361&lt;=$S$18),U1361,0)</t>
  </si>
  <si>
    <t>=IF($M1361&lt;=$T$18,U1361,0)</t>
  </si>
  <si>
    <t>="""NAV Direct"",""CRONUS JetCorp USA"",""21"",""1"",""433163"""</t>
  </si>
  <si>
    <t>=E1360</t>
  </si>
  <si>
    <t>=StartDate-$M1362+1</t>
  </si>
  <si>
    <t>=SUM(P1362:T1362)</t>
  </si>
  <si>
    <t>=IF($M1362&gt;=$P$18,U1362,0)</t>
  </si>
  <si>
    <t>=IF(AND($M1362&gt;=$Q$16,$M1362&lt;=$Q$18),U1362,0)</t>
  </si>
  <si>
    <t>=IF(AND($M1362&gt;=$R$16,$M1362&lt;=$R$18),U1362,0)</t>
  </si>
  <si>
    <t>=IF(AND($M1362&gt;=$S$16,$M1362&lt;=$S$18),U1362,0)</t>
  </si>
  <si>
    <t>=IF($M1362&lt;=$T$18,U1362,0)</t>
  </si>
  <si>
    <t>="""NAV Direct"",""CRONUS JetCorp USA"",""21"",""1"",""433324"""</t>
  </si>
  <si>
    <t>=E1361</t>
  </si>
  <si>
    <t>=StartDate-$M1363+1</t>
  </si>
  <si>
    <t>=SUM(P1363:T1363)</t>
  </si>
  <si>
    <t>=IF($M1363&gt;=$P$18,U1363,0)</t>
  </si>
  <si>
    <t>=IF(AND($M1363&gt;=$Q$16,$M1363&lt;=$Q$18),U1363,0)</t>
  </si>
  <si>
    <t>=IF(AND($M1363&gt;=$R$16,$M1363&lt;=$R$18),U1363,0)</t>
  </si>
  <si>
    <t>=IF(AND($M1363&gt;=$S$16,$M1363&lt;=$S$18),U1363,0)</t>
  </si>
  <si>
    <t>=IF($M1363&lt;=$T$18,U1363,0)</t>
  </si>
  <si>
    <t>="""NAV Direct"",""CRONUS JetCorp USA"",""21"",""1"",""433395"""</t>
  </si>
  <si>
    <t>=E1362</t>
  </si>
  <si>
    <t>=StartDate-$M1364+1</t>
  </si>
  <si>
    <t>=SUM(P1364:T1364)</t>
  </si>
  <si>
    <t>=IF($M1364&gt;=$P$18,U1364,0)</t>
  </si>
  <si>
    <t>=IF(AND($M1364&gt;=$Q$16,$M1364&lt;=$Q$18),U1364,0)</t>
  </si>
  <si>
    <t>=IF(AND($M1364&gt;=$R$16,$M1364&lt;=$R$18),U1364,0)</t>
  </si>
  <si>
    <t>=IF(AND($M1364&gt;=$S$16,$M1364&lt;=$S$18),U1364,0)</t>
  </si>
  <si>
    <t>=IF($M1364&lt;=$T$18,U1364,0)</t>
  </si>
  <si>
    <t>="""NAV Direct"",""CRONUS JetCorp USA"",""21"",""1"",""433485"""</t>
  </si>
  <si>
    <t>=E1363</t>
  </si>
  <si>
    <t>=StartDate-$M1365+1</t>
  </si>
  <si>
    <t>=SUM(P1365:T1365)</t>
  </si>
  <si>
    <t>=IF($M1365&gt;=$P$18,U1365,0)</t>
  </si>
  <si>
    <t>=IF(AND($M1365&gt;=$Q$16,$M1365&lt;=$Q$18),U1365,0)</t>
  </si>
  <si>
    <t>=IF(AND($M1365&gt;=$R$16,$M1365&lt;=$R$18),U1365,0)</t>
  </si>
  <si>
    <t>=IF(AND($M1365&gt;=$S$16,$M1365&lt;=$S$18),U1365,0)</t>
  </si>
  <si>
    <t>=IF($M1365&lt;=$T$18,U1365,0)</t>
  </si>
  <si>
    <t>="""NAV Direct"",""CRONUS JetCorp USA"",""21"",""1"",""433557"""</t>
  </si>
  <si>
    <t>=E1364</t>
  </si>
  <si>
    <t>=StartDate-$M1366+1</t>
  </si>
  <si>
    <t>=SUM(P1366:T1366)</t>
  </si>
  <si>
    <t>=IF($M1366&gt;=$P$18,U1366,0)</t>
  </si>
  <si>
    <t>=IF(AND($M1366&gt;=$Q$16,$M1366&lt;=$Q$18),U1366,0)</t>
  </si>
  <si>
    <t>=IF(AND($M1366&gt;=$R$16,$M1366&lt;=$R$18),U1366,0)</t>
  </si>
  <si>
    <t>=IF(AND($M1366&gt;=$S$16,$M1366&lt;=$S$18),U1366,0)</t>
  </si>
  <si>
    <t>=IF($M1366&lt;=$T$18,U1366,0)</t>
  </si>
  <si>
    <t>="""NAV Direct"",""CRONUS JetCorp USA"",""18"",""1"",""C100050"""</t>
  </si>
  <si>
    <t>=H1369</t>
  </si>
  <si>
    <t>=NF($C1369,"1 No.")</t>
  </si>
  <si>
    <t>=NF($C1369,"1 No.")&amp;"  -  "&amp;NF($C1369,"2 Name")</t>
  </si>
  <si>
    <t>=IFERROR(O1369/NF(C1369,"Credit Limit (LCY)"),"")</t>
  </si>
  <si>
    <t>=SUBTOTAL(3,L1370:L1419)</t>
  </si>
  <si>
    <t>=SUBTOTAL(9,O1370:O1419)</t>
  </si>
  <si>
    <t>=SUBTOTAL(9,P1370:P1419)</t>
  </si>
  <si>
    <t>=SUBTOTAL(9,Q1370:Q1419)</t>
  </si>
  <si>
    <t>=SUBTOTAL(9,R1370:R1419)</t>
  </si>
  <si>
    <t>=SUBTOTAL(9,S1370:S1419)</t>
  </si>
  <si>
    <t>=SUBTOTAL(9,T1370:T1419)</t>
  </si>
  <si>
    <t>=C1369</t>
  </si>
  <si>
    <t>=E1369</t>
  </si>
  <si>
    <t>="Contact: "&amp;NF($C1370,"8 Contact")</t>
  </si>
  <si>
    <t>=C1370</t>
  </si>
  <si>
    <t>=E1370</t>
  </si>
  <si>
    <t>=NF($C1371,"102 E-Mail")</t>
  </si>
  <si>
    <t>=NL("Rows","21 Cust. Ledger Entry",,"3 Customer No.","@@"&amp;$E1373,"16 Remaining Amt. (LCY)","&lt;&gt;0")</t>
  </si>
  <si>
    <t>=E1371</t>
  </si>
  <si>
    <t>=StartDate-$M1373+1</t>
  </si>
  <si>
    <t>=SUM(P1373:T1373)</t>
  </si>
  <si>
    <t>=IF($M1373&gt;=$P$18,U1373,0)</t>
  </si>
  <si>
    <t>=IF(AND($M1373&gt;=$Q$16,$M1373&lt;=$Q$18),U1373,0)</t>
  </si>
  <si>
    <t>=IF(AND($M1373&gt;=$R$16,$M1373&lt;=$R$18),U1373,0)</t>
  </si>
  <si>
    <t>=IF(AND($M1373&gt;=$S$16,$M1373&lt;=$S$18),U1373,0)</t>
  </si>
  <si>
    <t>=IF($M1373&lt;=$T$18,U1373,0)</t>
  </si>
  <si>
    <t>="""NAV Direct"",""CRONUS JetCorp USA"",""21"",""1"",""93809"""</t>
  </si>
  <si>
    <t>=E1372</t>
  </si>
  <si>
    <t>=StartDate-$M1374+1</t>
  </si>
  <si>
    <t>=SUM(P1374:T1374)</t>
  </si>
  <si>
    <t>=IF($M1374&gt;=$P$18,U1374,0)</t>
  </si>
  <si>
    <t>=IF(AND($M1374&gt;=$Q$16,$M1374&lt;=$Q$18),U1374,0)</t>
  </si>
  <si>
    <t>=IF(AND($M1374&gt;=$R$16,$M1374&lt;=$R$18),U1374,0)</t>
  </si>
  <si>
    <t>=IF(AND($M1374&gt;=$S$16,$M1374&lt;=$S$18),U1374,0)</t>
  </si>
  <si>
    <t>=IF($M1374&lt;=$T$18,U1374,0)</t>
  </si>
  <si>
    <t>="""NAV Direct"",""CRONUS JetCorp USA"",""21"",""1"",""93972"""</t>
  </si>
  <si>
    <t>=E1373</t>
  </si>
  <si>
    <t>=StartDate-$M1375+1</t>
  </si>
  <si>
    <t>=SUM(P1375:T1375)</t>
  </si>
  <si>
    <t>=IF($M1375&gt;=$P$18,U1375,0)</t>
  </si>
  <si>
    <t>=IF(AND($M1375&gt;=$Q$16,$M1375&lt;=$Q$18),U1375,0)</t>
  </si>
  <si>
    <t>=IF(AND($M1375&gt;=$R$16,$M1375&lt;=$R$18),U1375,0)</t>
  </si>
  <si>
    <t>=IF(AND($M1375&gt;=$S$16,$M1375&lt;=$S$18),U1375,0)</t>
  </si>
  <si>
    <t>=IF($M1375&lt;=$T$18,U1375,0)</t>
  </si>
  <si>
    <t>="""NAV Direct"",""CRONUS JetCorp USA"",""21"",""1"",""94048"""</t>
  </si>
  <si>
    <t>=E1374</t>
  </si>
  <si>
    <t>=StartDate-$M1376+1</t>
  </si>
  <si>
    <t>=SUM(P1376:T1376)</t>
  </si>
  <si>
    <t>=IF($M1376&gt;=$P$18,U1376,0)</t>
  </si>
  <si>
    <t>=IF(AND($M1376&gt;=$Q$16,$M1376&lt;=$Q$18),U1376,0)</t>
  </si>
  <si>
    <t>=IF(AND($M1376&gt;=$R$16,$M1376&lt;=$R$18),U1376,0)</t>
  </si>
  <si>
    <t>=IF(AND($M1376&gt;=$S$16,$M1376&lt;=$S$18),U1376,0)</t>
  </si>
  <si>
    <t>=IF($M1376&lt;=$T$18,U1376,0)</t>
  </si>
  <si>
    <t>="""NAV Direct"",""CRONUS JetCorp USA"",""21"",""1"",""371291"""</t>
  </si>
  <si>
    <t>=E1375</t>
  </si>
  <si>
    <t>=StartDate-$M1377+1</t>
  </si>
  <si>
    <t>=SUM(P1377:T1377)</t>
  </si>
  <si>
    <t>=IF($M1377&gt;=$P$18,U1377,0)</t>
  </si>
  <si>
    <t>=IF(AND($M1377&gt;=$Q$16,$M1377&lt;=$Q$18),U1377,0)</t>
  </si>
  <si>
    <t>=IF(AND($M1377&gt;=$R$16,$M1377&lt;=$R$18),U1377,0)</t>
  </si>
  <si>
    <t>=IF(AND($M1377&gt;=$S$16,$M1377&lt;=$S$18),U1377,0)</t>
  </si>
  <si>
    <t>=IF($M1377&lt;=$T$18,U1377,0)</t>
  </si>
  <si>
    <t>="""NAV Direct"",""CRONUS JetCorp USA"",""21"",""1"",""371382"""</t>
  </si>
  <si>
    <t>=E1376</t>
  </si>
  <si>
    <t>=StartDate-$M1378+1</t>
  </si>
  <si>
    <t>=SUM(P1378:T1378)</t>
  </si>
  <si>
    <t>=IF($M1378&gt;=$P$18,U1378,0)</t>
  </si>
  <si>
    <t>=IF(AND($M1378&gt;=$Q$16,$M1378&lt;=$Q$18),U1378,0)</t>
  </si>
  <si>
    <t>=IF(AND($M1378&gt;=$R$16,$M1378&lt;=$R$18),U1378,0)</t>
  </si>
  <si>
    <t>=IF(AND($M1378&gt;=$S$16,$M1378&lt;=$S$18),U1378,0)</t>
  </si>
  <si>
    <t>=IF($M1378&lt;=$T$18,U1378,0)</t>
  </si>
  <si>
    <t>="""NAV Direct"",""CRONUS JetCorp USA"",""21"",""1"",""371561"""</t>
  </si>
  <si>
    <t>=E1377</t>
  </si>
  <si>
    <t>=StartDate-$M1379+1</t>
  </si>
  <si>
    <t>=SUM(P1379:T1379)</t>
  </si>
  <si>
    <t>=IF($M1379&gt;=$P$18,U1379,0)</t>
  </si>
  <si>
    <t>=IF(AND($M1379&gt;=$Q$16,$M1379&lt;=$Q$18),U1379,0)</t>
  </si>
  <si>
    <t>=IF(AND($M1379&gt;=$R$16,$M1379&lt;=$R$18),U1379,0)</t>
  </si>
  <si>
    <t>=IF(AND($M1379&gt;=$S$16,$M1379&lt;=$S$18),U1379,0)</t>
  </si>
  <si>
    <t>=IF($M1379&lt;=$T$18,U1379,0)</t>
  </si>
  <si>
    <t>="""NAV Direct"",""CRONUS JetCorp USA"",""21"",""1"",""371678"""</t>
  </si>
  <si>
    <t>=E1378</t>
  </si>
  <si>
    <t>=StartDate-$M1380+1</t>
  </si>
  <si>
    <t>=SUM(P1380:T1380)</t>
  </si>
  <si>
    <t>=IF($M1380&gt;=$P$18,U1380,0)</t>
  </si>
  <si>
    <t>=IF(AND($M1380&gt;=$Q$16,$M1380&lt;=$Q$18),U1380,0)</t>
  </si>
  <si>
    <t>=IF(AND($M1380&gt;=$R$16,$M1380&lt;=$R$18),U1380,0)</t>
  </si>
  <si>
    <t>=IF(AND($M1380&gt;=$S$16,$M1380&lt;=$S$18),U1380,0)</t>
  </si>
  <si>
    <t>=IF($M1380&lt;=$T$18,U1380,0)</t>
  </si>
  <si>
    <t>="""NAV Direct"",""CRONUS JetCorp USA"",""21"",""1"",""371746"""</t>
  </si>
  <si>
    <t>=E1379</t>
  </si>
  <si>
    <t>=StartDate-$M1381+1</t>
  </si>
  <si>
    <t>=SUM(P1381:T1381)</t>
  </si>
  <si>
    <t>=IF($M1381&gt;=$P$18,U1381,0)</t>
  </si>
  <si>
    <t>=IF(AND($M1381&gt;=$Q$16,$M1381&lt;=$Q$18),U1381,0)</t>
  </si>
  <si>
    <t>=IF(AND($M1381&gt;=$R$16,$M1381&lt;=$R$18),U1381,0)</t>
  </si>
  <si>
    <t>=IF(AND($M1381&gt;=$S$16,$M1381&lt;=$S$18),U1381,0)</t>
  </si>
  <si>
    <t>=IF($M1381&lt;=$T$18,U1381,0)</t>
  </si>
  <si>
    <t>="""NAV Direct"",""CRONUS JetCorp USA"",""21"",""1"",""371957"""</t>
  </si>
  <si>
    <t>=E1380</t>
  </si>
  <si>
    <t>=StartDate-$M1382+1</t>
  </si>
  <si>
    <t>=SUM(P1382:T1382)</t>
  </si>
  <si>
    <t>=IF($M1382&gt;=$P$18,U1382,0)</t>
  </si>
  <si>
    <t>=IF(AND($M1382&gt;=$Q$16,$M1382&lt;=$Q$18),U1382,0)</t>
  </si>
  <si>
    <t>=IF(AND($M1382&gt;=$R$16,$M1382&lt;=$R$18),U1382,0)</t>
  </si>
  <si>
    <t>=IF(AND($M1382&gt;=$S$16,$M1382&lt;=$S$18),U1382,0)</t>
  </si>
  <si>
    <t>=IF($M1382&lt;=$T$18,U1382,0)</t>
  </si>
  <si>
    <t>="""NAV Direct"",""CRONUS JetCorp USA"",""21"",""1"",""372029"""</t>
  </si>
  <si>
    <t>=E1381</t>
  </si>
  <si>
    <t>=StartDate-$M1383+1</t>
  </si>
  <si>
    <t>=SUM(P1383:T1383)</t>
  </si>
  <si>
    <t>=IF($M1383&gt;=$P$18,U1383,0)</t>
  </si>
  <si>
    <t>=IF(AND($M1383&gt;=$Q$16,$M1383&lt;=$Q$18),U1383,0)</t>
  </si>
  <si>
    <t>=IF(AND($M1383&gt;=$R$16,$M1383&lt;=$R$18),U1383,0)</t>
  </si>
  <si>
    <t>=IF(AND($M1383&gt;=$S$16,$M1383&lt;=$S$18),U1383,0)</t>
  </si>
  <si>
    <t>=IF($M1383&lt;=$T$18,U1383,0)</t>
  </si>
  <si>
    <t>="""NAV Direct"",""CRONUS JetCorp USA"",""21"",""1"",""372060"""</t>
  </si>
  <si>
    <t>=E1382</t>
  </si>
  <si>
    <t>=StartDate-$M1384+1</t>
  </si>
  <si>
    <t>=SUM(P1384:T1384)</t>
  </si>
  <si>
    <t>=IF($M1384&gt;=$P$18,U1384,0)</t>
  </si>
  <si>
    <t>=IF(AND($M1384&gt;=$Q$16,$M1384&lt;=$Q$18),U1384,0)</t>
  </si>
  <si>
    <t>=IF(AND($M1384&gt;=$R$16,$M1384&lt;=$R$18),U1384,0)</t>
  </si>
  <si>
    <t>=IF(AND($M1384&gt;=$S$16,$M1384&lt;=$S$18),U1384,0)</t>
  </si>
  <si>
    <t>=IF($M1384&lt;=$T$18,U1384,0)</t>
  </si>
  <si>
    <t>="""NAV Direct"",""CRONUS JetCorp USA"",""21"",""1"",""372366"""</t>
  </si>
  <si>
    <t>=E1383</t>
  </si>
  <si>
    <t>=StartDate-$M1385+1</t>
  </si>
  <si>
    <t>=SUM(P1385:T1385)</t>
  </si>
  <si>
    <t>=IF($M1385&gt;=$P$18,U1385,0)</t>
  </si>
  <si>
    <t>=IF(AND($M1385&gt;=$Q$16,$M1385&lt;=$Q$18),U1385,0)</t>
  </si>
  <si>
    <t>=IF(AND($M1385&gt;=$R$16,$M1385&lt;=$R$18),U1385,0)</t>
  </si>
  <si>
    <t>=IF(AND($M1385&gt;=$S$16,$M1385&lt;=$S$18),U1385,0)</t>
  </si>
  <si>
    <t>=IF($M1385&lt;=$T$18,U1385,0)</t>
  </si>
  <si>
    <t>="""NAV Direct"",""CRONUS JetCorp USA"",""21"",""1"",""372745"""</t>
  </si>
  <si>
    <t>=E1384</t>
  </si>
  <si>
    <t>=StartDate-$M1386+1</t>
  </si>
  <si>
    <t>=SUM(P1386:T1386)</t>
  </si>
  <si>
    <t>=IF($M1386&gt;=$P$18,U1386,0)</t>
  </si>
  <si>
    <t>=IF(AND($M1386&gt;=$Q$16,$M1386&lt;=$Q$18),U1386,0)</t>
  </si>
  <si>
    <t>=IF(AND($M1386&gt;=$R$16,$M1386&lt;=$R$18),U1386,0)</t>
  </si>
  <si>
    <t>=IF(AND($M1386&gt;=$S$16,$M1386&lt;=$S$18),U1386,0)</t>
  </si>
  <si>
    <t>=IF($M1386&lt;=$T$18,U1386,0)</t>
  </si>
  <si>
    <t>="""NAV Direct"",""CRONUS JetCorp USA"",""21"",""1"",""373004"""</t>
  </si>
  <si>
    <t>=E1385</t>
  </si>
  <si>
    <t>=StartDate-$M1387+1</t>
  </si>
  <si>
    <t>=SUM(P1387:T1387)</t>
  </si>
  <si>
    <t>=IF($M1387&gt;=$P$18,U1387,0)</t>
  </si>
  <si>
    <t>=IF(AND($M1387&gt;=$Q$16,$M1387&lt;=$Q$18),U1387,0)</t>
  </si>
  <si>
    <t>=IF(AND($M1387&gt;=$R$16,$M1387&lt;=$R$18),U1387,0)</t>
  </si>
  <si>
    <t>=IF(AND($M1387&gt;=$S$16,$M1387&lt;=$S$18),U1387,0)</t>
  </si>
  <si>
    <t>=IF($M1387&lt;=$T$18,U1387,0)</t>
  </si>
  <si>
    <t>="""NAV Direct"",""CRONUS JetCorp USA"",""21"",""1"",""373062"""</t>
  </si>
  <si>
    <t>=E1386</t>
  </si>
  <si>
    <t>=StartDate-$M1388+1</t>
  </si>
  <si>
    <t>=SUM(P1388:T1388)</t>
  </si>
  <si>
    <t>=IF($M1388&gt;=$P$18,U1388,0)</t>
  </si>
  <si>
    <t>=IF(AND($M1388&gt;=$Q$16,$M1388&lt;=$Q$18),U1388,0)</t>
  </si>
  <si>
    <t>=IF(AND($M1388&gt;=$R$16,$M1388&lt;=$R$18),U1388,0)</t>
  </si>
  <si>
    <t>=IF(AND($M1388&gt;=$S$16,$M1388&lt;=$S$18),U1388,0)</t>
  </si>
  <si>
    <t>=IF($M1388&lt;=$T$18,U1388,0)</t>
  </si>
  <si>
    <t>="""NAV Direct"",""CRONUS JetCorp USA"",""21"",""1"",""373107"""</t>
  </si>
  <si>
    <t>=E1387</t>
  </si>
  <si>
    <t>=StartDate-$M1389+1</t>
  </si>
  <si>
    <t>=SUM(P1389:T1389)</t>
  </si>
  <si>
    <t>=IF($M1389&gt;=$P$18,U1389,0)</t>
  </si>
  <si>
    <t>=IF(AND($M1389&gt;=$Q$16,$M1389&lt;=$Q$18),U1389,0)</t>
  </si>
  <si>
    <t>=IF(AND($M1389&gt;=$R$16,$M1389&lt;=$R$18),U1389,0)</t>
  </si>
  <si>
    <t>=IF(AND($M1389&gt;=$S$16,$M1389&lt;=$S$18),U1389,0)</t>
  </si>
  <si>
    <t>=IF($M1389&lt;=$T$18,U1389,0)</t>
  </si>
  <si>
    <t>="""NAV Direct"",""CRONUS JetCorp USA"",""21"",""1"",""373146"""</t>
  </si>
  <si>
    <t>=E1388</t>
  </si>
  <si>
    <t>=StartDate-$M1390+1</t>
  </si>
  <si>
    <t>=SUM(P1390:T1390)</t>
  </si>
  <si>
    <t>=IF($M1390&gt;=$P$18,U1390,0)</t>
  </si>
  <si>
    <t>=IF(AND($M1390&gt;=$Q$16,$M1390&lt;=$Q$18),U1390,0)</t>
  </si>
  <si>
    <t>=IF(AND($M1390&gt;=$R$16,$M1390&lt;=$R$18),U1390,0)</t>
  </si>
  <si>
    <t>=IF(AND($M1390&gt;=$S$16,$M1390&lt;=$S$18),U1390,0)</t>
  </si>
  <si>
    <t>=IF($M1390&lt;=$T$18,U1390,0)</t>
  </si>
  <si>
    <t>="""NAV Direct"",""CRONUS JetCorp USA"",""21"",""1"",""373261"""</t>
  </si>
  <si>
    <t>=E1389</t>
  </si>
  <si>
    <t>=StartDate-$M1391+1</t>
  </si>
  <si>
    <t>=SUM(P1391:T1391)</t>
  </si>
  <si>
    <t>=IF($M1391&gt;=$P$18,U1391,0)</t>
  </si>
  <si>
    <t>=IF(AND($M1391&gt;=$Q$16,$M1391&lt;=$Q$18),U1391,0)</t>
  </si>
  <si>
    <t>=IF(AND($M1391&gt;=$R$16,$M1391&lt;=$R$18),U1391,0)</t>
  </si>
  <si>
    <t>=IF(AND($M1391&gt;=$S$16,$M1391&lt;=$S$18),U1391,0)</t>
  </si>
  <si>
    <t>=IF($M1391&lt;=$T$18,U1391,0)</t>
  </si>
  <si>
    <t>="""NAV Direct"",""CRONUS JetCorp USA"",""21"",""1"",""373372"""</t>
  </si>
  <si>
    <t>=E1390</t>
  </si>
  <si>
    <t>=StartDate-$M1392+1</t>
  </si>
  <si>
    <t>=SUM(P1392:T1392)</t>
  </si>
  <si>
    <t>=IF($M1392&gt;=$P$18,U1392,0)</t>
  </si>
  <si>
    <t>=IF(AND($M1392&gt;=$Q$16,$M1392&lt;=$Q$18),U1392,0)</t>
  </si>
  <si>
    <t>=IF(AND($M1392&gt;=$R$16,$M1392&lt;=$R$18),U1392,0)</t>
  </si>
  <si>
    <t>=IF(AND($M1392&gt;=$S$16,$M1392&lt;=$S$18),U1392,0)</t>
  </si>
  <si>
    <t>=IF($M1392&lt;=$T$18,U1392,0)</t>
  </si>
  <si>
    <t>="""NAV Direct"",""CRONUS JetCorp USA"",""21"",""1"",""373450"""</t>
  </si>
  <si>
    <t>=E1391</t>
  </si>
  <si>
    <t>=StartDate-$M1393+1</t>
  </si>
  <si>
    <t>=SUM(P1393:T1393)</t>
  </si>
  <si>
    <t>=IF($M1393&gt;=$P$18,U1393,0)</t>
  </si>
  <si>
    <t>=IF(AND($M1393&gt;=$Q$16,$M1393&lt;=$Q$18),U1393,0)</t>
  </si>
  <si>
    <t>=IF(AND($M1393&gt;=$R$16,$M1393&lt;=$R$18),U1393,0)</t>
  </si>
  <si>
    <t>=IF(AND($M1393&gt;=$S$16,$M1393&lt;=$S$18),U1393,0)</t>
  </si>
  <si>
    <t>=IF($M1393&lt;=$T$18,U1393,0)</t>
  </si>
  <si>
    <t>="""NAV Direct"",""CRONUS JetCorp USA"",""21"",""1"",""374003"""</t>
  </si>
  <si>
    <t>=E1392</t>
  </si>
  <si>
    <t>=StartDate-$M1394+1</t>
  </si>
  <si>
    <t>=SUM(P1394:T1394)</t>
  </si>
  <si>
    <t>=IF($M1394&gt;=$P$18,U1394,0)</t>
  </si>
  <si>
    <t>=IF(AND($M1394&gt;=$Q$16,$M1394&lt;=$Q$18),U1394,0)</t>
  </si>
  <si>
    <t>=IF(AND($M1394&gt;=$R$16,$M1394&lt;=$R$18),U1394,0)</t>
  </si>
  <si>
    <t>=IF(AND($M1394&gt;=$S$16,$M1394&lt;=$S$18),U1394,0)</t>
  </si>
  <si>
    <t>=IF($M1394&lt;=$T$18,U1394,0)</t>
  </si>
  <si>
    <t>="""NAV Direct"",""CRONUS JetCorp USA"",""21"",""1"",""374118"""</t>
  </si>
  <si>
    <t>=E1393</t>
  </si>
  <si>
    <t>=StartDate-$M1395+1</t>
  </si>
  <si>
    <t>=SUM(P1395:T1395)</t>
  </si>
  <si>
    <t>=IF($M1395&gt;=$P$18,U1395,0)</t>
  </si>
  <si>
    <t>=IF(AND($M1395&gt;=$Q$16,$M1395&lt;=$Q$18),U1395,0)</t>
  </si>
  <si>
    <t>=IF(AND($M1395&gt;=$R$16,$M1395&lt;=$R$18),U1395,0)</t>
  </si>
  <si>
    <t>=IF(AND($M1395&gt;=$S$16,$M1395&lt;=$S$18),U1395,0)</t>
  </si>
  <si>
    <t>=IF($M1395&lt;=$T$18,U1395,0)</t>
  </si>
  <si>
    <t>="""NAV Direct"",""CRONUS JetCorp USA"",""21"",""1"",""374147"""</t>
  </si>
  <si>
    <t>=E1394</t>
  </si>
  <si>
    <t>=StartDate-$M1396+1</t>
  </si>
  <si>
    <t>=SUM(P1396:T1396)</t>
  </si>
  <si>
    <t>=IF($M1396&gt;=$P$18,U1396,0)</t>
  </si>
  <si>
    <t>=IF(AND($M1396&gt;=$Q$16,$M1396&lt;=$Q$18),U1396,0)</t>
  </si>
  <si>
    <t>=IF(AND($M1396&gt;=$R$16,$M1396&lt;=$R$18),U1396,0)</t>
  </si>
  <si>
    <t>=IF(AND($M1396&gt;=$S$16,$M1396&lt;=$S$18),U1396,0)</t>
  </si>
  <si>
    <t>=IF($M1396&lt;=$T$18,U1396,0)</t>
  </si>
  <si>
    <t>="""NAV Direct"",""CRONUS JetCorp USA"",""21"",""1"",""374229"""</t>
  </si>
  <si>
    <t>=E1395</t>
  </si>
  <si>
    <t>=StartDate-$M1397+1</t>
  </si>
  <si>
    <t>=SUM(P1397:T1397)</t>
  </si>
  <si>
    <t>=IF($M1397&gt;=$P$18,U1397,0)</t>
  </si>
  <si>
    <t>=IF(AND($M1397&gt;=$Q$16,$M1397&lt;=$Q$18),U1397,0)</t>
  </si>
  <si>
    <t>=IF(AND($M1397&gt;=$R$16,$M1397&lt;=$R$18),U1397,0)</t>
  </si>
  <si>
    <t>=IF(AND($M1397&gt;=$S$16,$M1397&lt;=$S$18),U1397,0)</t>
  </si>
  <si>
    <t>=IF($M1397&lt;=$T$18,U1397,0)</t>
  </si>
  <si>
    <t>="""NAV Direct"",""CRONUS JetCorp USA"",""21"",""1"",""374549"""</t>
  </si>
  <si>
    <t>=E1396</t>
  </si>
  <si>
    <t>=StartDate-$M1398+1</t>
  </si>
  <si>
    <t>=SUM(P1398:T1398)</t>
  </si>
  <si>
    <t>=IF($M1398&gt;=$P$18,U1398,0)</t>
  </si>
  <si>
    <t>=IF(AND($M1398&gt;=$Q$16,$M1398&lt;=$Q$18),U1398,0)</t>
  </si>
  <si>
    <t>=IF(AND($M1398&gt;=$R$16,$M1398&lt;=$R$18),U1398,0)</t>
  </si>
  <si>
    <t>=IF(AND($M1398&gt;=$S$16,$M1398&lt;=$S$18),U1398,0)</t>
  </si>
  <si>
    <t>=IF($M1398&lt;=$T$18,U1398,0)</t>
  </si>
  <si>
    <t>="""NAV Direct"",""CRONUS JetCorp USA"",""21"",""1"",""374671"""</t>
  </si>
  <si>
    <t>=E1397</t>
  </si>
  <si>
    <t>=StartDate-$M1399+1</t>
  </si>
  <si>
    <t>=SUM(P1399:T1399)</t>
  </si>
  <si>
    <t>=IF($M1399&gt;=$P$18,U1399,0)</t>
  </si>
  <si>
    <t>=IF(AND($M1399&gt;=$Q$16,$M1399&lt;=$Q$18),U1399,0)</t>
  </si>
  <si>
    <t>=IF(AND($M1399&gt;=$R$16,$M1399&lt;=$R$18),U1399,0)</t>
  </si>
  <si>
    <t>=IF(AND($M1399&gt;=$S$16,$M1399&lt;=$S$18),U1399,0)</t>
  </si>
  <si>
    <t>=IF($M1399&lt;=$T$18,U1399,0)</t>
  </si>
  <si>
    <t>="""NAV Direct"",""CRONUS JetCorp USA"",""21"",""1"",""374793"""</t>
  </si>
  <si>
    <t>=E1398</t>
  </si>
  <si>
    <t>=StartDate-$M1400+1</t>
  </si>
  <si>
    <t>=SUM(P1400:T1400)</t>
  </si>
  <si>
    <t>=IF($M1400&gt;=$P$18,U1400,0)</t>
  </si>
  <si>
    <t>=IF(AND($M1400&gt;=$Q$16,$M1400&lt;=$Q$18),U1400,0)</t>
  </si>
  <si>
    <t>=IF(AND($M1400&gt;=$R$16,$M1400&lt;=$R$18),U1400,0)</t>
  </si>
  <si>
    <t>=IF(AND($M1400&gt;=$S$16,$M1400&lt;=$S$18),U1400,0)</t>
  </si>
  <si>
    <t>=IF($M1400&lt;=$T$18,U1400,0)</t>
  </si>
  <si>
    <t>="""NAV Direct"",""CRONUS JetCorp USA"",""21"",""1"",""374937"""</t>
  </si>
  <si>
    <t>=E1399</t>
  </si>
  <si>
    <t>=StartDate-$M1401+1</t>
  </si>
  <si>
    <t>=SUM(P1401:T1401)</t>
  </si>
  <si>
    <t>=IF($M1401&gt;=$P$18,U1401,0)</t>
  </si>
  <si>
    <t>=IF(AND($M1401&gt;=$Q$16,$M1401&lt;=$Q$18),U1401,0)</t>
  </si>
  <si>
    <t>=IF(AND($M1401&gt;=$R$16,$M1401&lt;=$R$18),U1401,0)</t>
  </si>
  <si>
    <t>=IF(AND($M1401&gt;=$S$16,$M1401&lt;=$S$18),U1401,0)</t>
  </si>
  <si>
    <t>=IF($M1401&lt;=$T$18,U1401,0)</t>
  </si>
  <si>
    <t>="""NAV Direct"",""CRONUS JetCorp USA"",""21"",""1"",""375044"""</t>
  </si>
  <si>
    <t>=E1400</t>
  </si>
  <si>
    <t>=StartDate-$M1402+1</t>
  </si>
  <si>
    <t>=SUM(P1402:T1402)</t>
  </si>
  <si>
    <t>=IF($M1402&gt;=$P$18,U1402,0)</t>
  </si>
  <si>
    <t>=IF(AND($M1402&gt;=$Q$16,$M1402&lt;=$Q$18),U1402,0)</t>
  </si>
  <si>
    <t>=IF(AND($M1402&gt;=$R$16,$M1402&lt;=$R$18),U1402,0)</t>
  </si>
  <si>
    <t>=IF(AND($M1402&gt;=$S$16,$M1402&lt;=$S$18),U1402,0)</t>
  </si>
  <si>
    <t>=IF($M1402&lt;=$T$18,U1402,0)</t>
  </si>
  <si>
    <t>="""NAV Direct"",""CRONUS JetCorp USA"",""21"",""1"",""375103"""</t>
  </si>
  <si>
    <t>=E1401</t>
  </si>
  <si>
    <t>=StartDate-$M1403+1</t>
  </si>
  <si>
    <t>=SUM(P1403:T1403)</t>
  </si>
  <si>
    <t>=IF($M1403&gt;=$P$18,U1403,0)</t>
  </si>
  <si>
    <t>=IF(AND($M1403&gt;=$Q$16,$M1403&lt;=$Q$18),U1403,0)</t>
  </si>
  <si>
    <t>=IF(AND($M1403&gt;=$R$16,$M1403&lt;=$R$18),U1403,0)</t>
  </si>
  <si>
    <t>=IF(AND($M1403&gt;=$S$16,$M1403&lt;=$S$18),U1403,0)</t>
  </si>
  <si>
    <t>=IF($M1403&lt;=$T$18,U1403,0)</t>
  </si>
  <si>
    <t>="""NAV Direct"",""CRONUS JetCorp USA"",""21"",""1"",""375535"""</t>
  </si>
  <si>
    <t>=E1402</t>
  </si>
  <si>
    <t>=StartDate-$M1404+1</t>
  </si>
  <si>
    <t>=SUM(P1404:T1404)</t>
  </si>
  <si>
    <t>=IF($M1404&gt;=$P$18,U1404,0)</t>
  </si>
  <si>
    <t>=IF(AND($M1404&gt;=$Q$16,$M1404&lt;=$Q$18),U1404,0)</t>
  </si>
  <si>
    <t>=IF(AND($M1404&gt;=$R$16,$M1404&lt;=$R$18),U1404,0)</t>
  </si>
  <si>
    <t>=IF(AND($M1404&gt;=$S$16,$M1404&lt;=$S$18),U1404,0)</t>
  </si>
  <si>
    <t>=IF($M1404&lt;=$T$18,U1404,0)</t>
  </si>
  <si>
    <t>="""NAV Direct"",""CRONUS JetCorp USA"",""21"",""1"",""376165"""</t>
  </si>
  <si>
    <t>=E1403</t>
  </si>
  <si>
    <t>=StartDate-$M1405+1</t>
  </si>
  <si>
    <t>=SUM(P1405:T1405)</t>
  </si>
  <si>
    <t>=IF($M1405&gt;=$P$18,U1405,0)</t>
  </si>
  <si>
    <t>=IF(AND($M1405&gt;=$Q$16,$M1405&lt;=$Q$18),U1405,0)</t>
  </si>
  <si>
    <t>=IF(AND($M1405&gt;=$R$16,$M1405&lt;=$R$18),U1405,0)</t>
  </si>
  <si>
    <t>=IF(AND($M1405&gt;=$S$16,$M1405&lt;=$S$18),U1405,0)</t>
  </si>
  <si>
    <t>=IF($M1405&lt;=$T$18,U1405,0)</t>
  </si>
  <si>
    <t>="""NAV Direct"",""CRONUS JetCorp USA"",""21"",""1"",""376237"""</t>
  </si>
  <si>
    <t>=E1404</t>
  </si>
  <si>
    <t>=StartDate-$M1406+1</t>
  </si>
  <si>
    <t>=SUM(P1406:T1406)</t>
  </si>
  <si>
    <t>=IF($M1406&gt;=$P$18,U1406,0)</t>
  </si>
  <si>
    <t>=IF(AND($M1406&gt;=$Q$16,$M1406&lt;=$Q$18),U1406,0)</t>
  </si>
  <si>
    <t>=IF(AND($M1406&gt;=$R$16,$M1406&lt;=$R$18),U1406,0)</t>
  </si>
  <si>
    <t>=IF(AND($M1406&gt;=$S$16,$M1406&lt;=$S$18),U1406,0)</t>
  </si>
  <si>
    <t>=IF($M1406&lt;=$T$18,U1406,0)</t>
  </si>
  <si>
    <t>=E1405</t>
  </si>
  <si>
    <t>=StartDate-$M1407+1</t>
  </si>
  <si>
    <t>=SUM(P1407:T1407)</t>
  </si>
  <si>
    <t>=IF($M1407&gt;=$P$18,U1407,0)</t>
  </si>
  <si>
    <t>=IF(AND($M1407&gt;=$Q$16,$M1407&lt;=$Q$18),U1407,0)</t>
  </si>
  <si>
    <t>=IF(AND($M1407&gt;=$R$16,$M1407&lt;=$R$18),U1407,0)</t>
  </si>
  <si>
    <t>=IF(AND($M1407&gt;=$S$16,$M1407&lt;=$S$18),U1407,0)</t>
  </si>
  <si>
    <t>=IF($M1407&lt;=$T$18,U1407,0)</t>
  </si>
  <si>
    <t>="""NAV Direct"",""CRONUS JetCorp USA"",""21"",""1"",""376732"""</t>
  </si>
  <si>
    <t>=E1406</t>
  </si>
  <si>
    <t>=StartDate-$M1408+1</t>
  </si>
  <si>
    <t>=SUM(P1408:T1408)</t>
  </si>
  <si>
    <t>=IF($M1408&gt;=$P$18,U1408,0)</t>
  </si>
  <si>
    <t>=IF(AND($M1408&gt;=$Q$16,$M1408&lt;=$Q$18),U1408,0)</t>
  </si>
  <si>
    <t>=IF(AND($M1408&gt;=$R$16,$M1408&lt;=$R$18),U1408,0)</t>
  </si>
  <si>
    <t>=IF(AND($M1408&gt;=$S$16,$M1408&lt;=$S$18),U1408,0)</t>
  </si>
  <si>
    <t>=IF($M1408&lt;=$T$18,U1408,0)</t>
  </si>
  <si>
    <t>="""NAV Direct"",""CRONUS JetCorp USA"",""21"",""1"",""376839"""</t>
  </si>
  <si>
    <t>=E1407</t>
  </si>
  <si>
    <t>=StartDate-$M1409+1</t>
  </si>
  <si>
    <t>=SUM(P1409:T1409)</t>
  </si>
  <si>
    <t>=IF($M1409&gt;=$P$18,U1409,0)</t>
  </si>
  <si>
    <t>=IF(AND($M1409&gt;=$Q$16,$M1409&lt;=$Q$18),U1409,0)</t>
  </si>
  <si>
    <t>=IF(AND($M1409&gt;=$R$16,$M1409&lt;=$R$18),U1409,0)</t>
  </si>
  <si>
    <t>=IF(AND($M1409&gt;=$S$16,$M1409&lt;=$S$18),U1409,0)</t>
  </si>
  <si>
    <t>=IF($M1409&lt;=$T$18,U1409,0)</t>
  </si>
  <si>
    <t>="""NAV Direct"",""CRONUS JetCorp USA"",""21"",""1"",""376876"""</t>
  </si>
  <si>
    <t>=E1408</t>
  </si>
  <si>
    <t>=StartDate-$M1410+1</t>
  </si>
  <si>
    <t>=SUM(P1410:T1410)</t>
  </si>
  <si>
    <t>=IF($M1410&gt;=$P$18,U1410,0)</t>
  </si>
  <si>
    <t>=IF(AND($M1410&gt;=$Q$16,$M1410&lt;=$Q$18),U1410,0)</t>
  </si>
  <si>
    <t>=IF(AND($M1410&gt;=$R$16,$M1410&lt;=$R$18),U1410,0)</t>
  </si>
  <si>
    <t>=IF(AND($M1410&gt;=$S$16,$M1410&lt;=$S$18),U1410,0)</t>
  </si>
  <si>
    <t>=IF($M1410&lt;=$T$18,U1410,0)</t>
  </si>
  <si>
    <t>="""NAV Direct"",""CRONUS JetCorp USA"",""21"",""1"",""377100"""</t>
  </si>
  <si>
    <t>=E1409</t>
  </si>
  <si>
    <t>=StartDate-$M1411+1</t>
  </si>
  <si>
    <t>=SUM(P1411:T1411)</t>
  </si>
  <si>
    <t>=IF($M1411&gt;=$P$18,U1411,0)</t>
  </si>
  <si>
    <t>=IF(AND($M1411&gt;=$Q$16,$M1411&lt;=$Q$18),U1411,0)</t>
  </si>
  <si>
    <t>=IF(AND($M1411&gt;=$R$16,$M1411&lt;=$R$18),U1411,0)</t>
  </si>
  <si>
    <t>=IF(AND($M1411&gt;=$S$16,$M1411&lt;=$S$18),U1411,0)</t>
  </si>
  <si>
    <t>=IF($M1411&lt;=$T$18,U1411,0)</t>
  </si>
  <si>
    <t>="""NAV Direct"",""CRONUS JetCorp USA"",""21"",""1"",""437426"""</t>
  </si>
  <si>
    <t>=E1410</t>
  </si>
  <si>
    <t>=StartDate-$M1412+1</t>
  </si>
  <si>
    <t>=SUM(P1412:T1412)</t>
  </si>
  <si>
    <t>=IF($M1412&gt;=$P$18,U1412,0)</t>
  </si>
  <si>
    <t>=IF(AND($M1412&gt;=$Q$16,$M1412&lt;=$Q$18),U1412,0)</t>
  </si>
  <si>
    <t>=IF(AND($M1412&gt;=$R$16,$M1412&lt;=$R$18),U1412,0)</t>
  </si>
  <si>
    <t>=IF(AND($M1412&gt;=$S$16,$M1412&lt;=$S$18),U1412,0)</t>
  </si>
  <si>
    <t>=IF($M1412&lt;=$T$18,U1412,0)</t>
  </si>
  <si>
    <t>="""NAV Direct"",""CRONUS JetCorp USA"",""21"",""1"",""437483"""</t>
  </si>
  <si>
    <t>=E1411</t>
  </si>
  <si>
    <t>=StartDate-$M1413+1</t>
  </si>
  <si>
    <t>=SUM(P1413:T1413)</t>
  </si>
  <si>
    <t>=IF($M1413&gt;=$P$18,U1413,0)</t>
  </si>
  <si>
    <t>=IF(AND($M1413&gt;=$Q$16,$M1413&lt;=$Q$18),U1413,0)</t>
  </si>
  <si>
    <t>=IF(AND($M1413&gt;=$R$16,$M1413&lt;=$R$18),U1413,0)</t>
  </si>
  <si>
    <t>=IF(AND($M1413&gt;=$S$16,$M1413&lt;=$S$18),U1413,0)</t>
  </si>
  <si>
    <t>=IF($M1413&lt;=$T$18,U1413,0)</t>
  </si>
  <si>
    <t>="""NAV Direct"",""CRONUS JetCorp USA"",""21"",""1"",""437610"""</t>
  </si>
  <si>
    <t>=E1412</t>
  </si>
  <si>
    <t>=StartDate-$M1414+1</t>
  </si>
  <si>
    <t>=SUM(P1414:T1414)</t>
  </si>
  <si>
    <t>=IF($M1414&gt;=$P$18,U1414,0)</t>
  </si>
  <si>
    <t>=IF(AND($M1414&gt;=$Q$16,$M1414&lt;=$Q$18),U1414,0)</t>
  </si>
  <si>
    <t>=IF(AND($M1414&gt;=$R$16,$M1414&lt;=$R$18),U1414,0)</t>
  </si>
  <si>
    <t>=IF(AND($M1414&gt;=$S$16,$M1414&lt;=$S$18),U1414,0)</t>
  </si>
  <si>
    <t>=IF($M1414&lt;=$T$18,U1414,0)</t>
  </si>
  <si>
    <t>="""NAV Direct"",""CRONUS JetCorp USA"",""21"",""1"",""437704"""</t>
  </si>
  <si>
    <t>=E1413</t>
  </si>
  <si>
    <t>=StartDate-$M1415+1</t>
  </si>
  <si>
    <t>=SUM(P1415:T1415)</t>
  </si>
  <si>
    <t>=IF($M1415&gt;=$P$18,U1415,0)</t>
  </si>
  <si>
    <t>=IF(AND($M1415&gt;=$Q$16,$M1415&lt;=$Q$18),U1415,0)</t>
  </si>
  <si>
    <t>=IF(AND($M1415&gt;=$R$16,$M1415&lt;=$R$18),U1415,0)</t>
  </si>
  <si>
    <t>=IF(AND($M1415&gt;=$S$16,$M1415&lt;=$S$18),U1415,0)</t>
  </si>
  <si>
    <t>=IF($M1415&lt;=$T$18,U1415,0)</t>
  </si>
  <si>
    <t>="""NAV Direct"",""CRONUS JetCorp USA"",""21"",""1"",""437766"""</t>
  </si>
  <si>
    <t>=E1414</t>
  </si>
  <si>
    <t>=StartDate-$M1416+1</t>
  </si>
  <si>
    <t>=SUM(P1416:T1416)</t>
  </si>
  <si>
    <t>=IF($M1416&gt;=$P$18,U1416,0)</t>
  </si>
  <si>
    <t>=IF(AND($M1416&gt;=$Q$16,$M1416&lt;=$Q$18),U1416,0)</t>
  </si>
  <si>
    <t>=IF(AND($M1416&gt;=$R$16,$M1416&lt;=$R$18),U1416,0)</t>
  </si>
  <si>
    <t>=IF(AND($M1416&gt;=$S$16,$M1416&lt;=$S$18),U1416,0)</t>
  </si>
  <si>
    <t>=IF($M1416&lt;=$T$18,U1416,0)</t>
  </si>
  <si>
    <t>="""NAV Direct"",""CRONUS JetCorp USA"",""21"",""1"",""437831"""</t>
  </si>
  <si>
    <t>=E1415</t>
  </si>
  <si>
    <t>=StartDate-$M1417+1</t>
  </si>
  <si>
    <t>=SUM(P1417:T1417)</t>
  </si>
  <si>
    <t>=IF($M1417&gt;=$P$18,U1417,0)</t>
  </si>
  <si>
    <t>=IF(AND($M1417&gt;=$Q$16,$M1417&lt;=$Q$18),U1417,0)</t>
  </si>
  <si>
    <t>=IF(AND($M1417&gt;=$R$16,$M1417&lt;=$R$18),U1417,0)</t>
  </si>
  <si>
    <t>=IF(AND($M1417&gt;=$S$16,$M1417&lt;=$S$18),U1417,0)</t>
  </si>
  <si>
    <t>=IF($M1417&lt;=$T$18,U1417,0)</t>
  </si>
  <si>
    <t>="""NAV Direct"",""CRONUS JetCorp USA"",""21"",""1"",""437861"""</t>
  </si>
  <si>
    <t>=E1416</t>
  </si>
  <si>
    <t>=StartDate-$M1418+1</t>
  </si>
  <si>
    <t>=SUM(P1418:T1418)</t>
  </si>
  <si>
    <t>=IF($M1418&gt;=$P$18,U1418,0)</t>
  </si>
  <si>
    <t>=IF(AND($M1418&gt;=$Q$16,$M1418&lt;=$Q$18),U1418,0)</t>
  </si>
  <si>
    <t>=IF(AND($M1418&gt;=$R$16,$M1418&lt;=$R$18),U1418,0)</t>
  </si>
  <si>
    <t>=IF(AND($M1418&gt;=$S$16,$M1418&lt;=$S$18),U1418,0)</t>
  </si>
  <si>
    <t>=IF($M1418&lt;=$T$18,U1418,0)</t>
  </si>
  <si>
    <t>="""NAV Direct"",""CRONUS JetCorp USA"",""18"",""1"",""C100051"""</t>
  </si>
  <si>
    <t>=H1421</t>
  </si>
  <si>
    <t>=NF($C1421,"1 No.")</t>
  </si>
  <si>
    <t>=NF($C1421,"1 No.")&amp;"  -  "&amp;NF($C1421,"2 Name")</t>
  </si>
  <si>
    <t>=IFERROR(O1421/NF(C1421,"Credit Limit (LCY)"),"")</t>
  </si>
  <si>
    <t>=SUBTOTAL(3,L1422:L1448)</t>
  </si>
  <si>
    <t>=SUBTOTAL(9,O1422:O1448)</t>
  </si>
  <si>
    <t>=SUBTOTAL(9,P1422:P1448)</t>
  </si>
  <si>
    <t>=SUBTOTAL(9,Q1422:Q1448)</t>
  </si>
  <si>
    <t>=SUBTOTAL(9,R1422:R1448)</t>
  </si>
  <si>
    <t>=SUBTOTAL(9,S1422:S1448)</t>
  </si>
  <si>
    <t>=SUBTOTAL(9,T1422:T1448)</t>
  </si>
  <si>
    <t>=C1421</t>
  </si>
  <si>
    <t>=E1421</t>
  </si>
  <si>
    <t>="Contact: "&amp;NF($C1422,"8 Contact")</t>
  </si>
  <si>
    <t>=C1422</t>
  </si>
  <si>
    <t>=E1422</t>
  </si>
  <si>
    <t>=NF($C1423,"102 E-Mail")</t>
  </si>
  <si>
    <t>=NL("Rows","21 Cust. Ledger Entry",,"3 Customer No.","@@"&amp;$E1425,"16 Remaining Amt. (LCY)","&lt;&gt;0")</t>
  </si>
  <si>
    <t>=E1423</t>
  </si>
  <si>
    <t>=StartDate-$M1425+1</t>
  </si>
  <si>
    <t>=SUM(P1425:T1425)</t>
  </si>
  <si>
    <t>=IF($M1425&gt;=$P$18,U1425,0)</t>
  </si>
  <si>
    <t>=IF(AND($M1425&gt;=$Q$16,$M1425&lt;=$Q$18),U1425,0)</t>
  </si>
  <si>
    <t>=IF(AND($M1425&gt;=$R$16,$M1425&lt;=$R$18),U1425,0)</t>
  </si>
  <si>
    <t>=IF(AND($M1425&gt;=$S$16,$M1425&lt;=$S$18),U1425,0)</t>
  </si>
  <si>
    <t>=IF($M1425&lt;=$T$18,U1425,0)</t>
  </si>
  <si>
    <t>="""NAV Direct"",""CRONUS JetCorp USA"",""21"",""1"",""41560"""</t>
  </si>
  <si>
    <t>=E1424</t>
  </si>
  <si>
    <t>=StartDate-$M1426+1</t>
  </si>
  <si>
    <t>=SUM(P1426:T1426)</t>
  </si>
  <si>
    <t>=IF($M1426&gt;=$P$18,U1426,0)</t>
  </si>
  <si>
    <t>=IF(AND($M1426&gt;=$Q$16,$M1426&lt;=$Q$18),U1426,0)</t>
  </si>
  <si>
    <t>=IF(AND($M1426&gt;=$R$16,$M1426&lt;=$R$18),U1426,0)</t>
  </si>
  <si>
    <t>=IF(AND($M1426&gt;=$S$16,$M1426&lt;=$S$18),U1426,0)</t>
  </si>
  <si>
    <t>=IF($M1426&lt;=$T$18,U1426,0)</t>
  </si>
  <si>
    <t>="""NAV Direct"",""CRONUS JetCorp USA"",""21"",""1"",""41589"""</t>
  </si>
  <si>
    <t>=E1425</t>
  </si>
  <si>
    <t>=StartDate-$M1427+1</t>
  </si>
  <si>
    <t>=SUM(P1427:T1427)</t>
  </si>
  <si>
    <t>=IF($M1427&gt;=$P$18,U1427,0)</t>
  </si>
  <si>
    <t>=IF(AND($M1427&gt;=$Q$16,$M1427&lt;=$Q$18),U1427,0)</t>
  </si>
  <si>
    <t>=IF(AND($M1427&gt;=$R$16,$M1427&lt;=$R$18),U1427,0)</t>
  </si>
  <si>
    <t>=IF(AND($M1427&gt;=$S$16,$M1427&lt;=$S$18),U1427,0)</t>
  </si>
  <si>
    <t>=IF($M1427&lt;=$T$18,U1427,0)</t>
  </si>
  <si>
    <t>="""NAV Direct"",""CRONUS JetCorp USA"",""21"",""1"",""41989"""</t>
  </si>
  <si>
    <t>=E1426</t>
  </si>
  <si>
    <t>=StartDate-$M1428+1</t>
  </si>
  <si>
    <t>=SUM(P1428:T1428)</t>
  </si>
  <si>
    <t>=IF($M1428&gt;=$P$18,U1428,0)</t>
  </si>
  <si>
    <t>=IF(AND($M1428&gt;=$Q$16,$M1428&lt;=$Q$18),U1428,0)</t>
  </si>
  <si>
    <t>=IF(AND($M1428&gt;=$R$16,$M1428&lt;=$R$18),U1428,0)</t>
  </si>
  <si>
    <t>=IF(AND($M1428&gt;=$S$16,$M1428&lt;=$S$18),U1428,0)</t>
  </si>
  <si>
    <t>=IF($M1428&lt;=$T$18,U1428,0)</t>
  </si>
  <si>
    <t>="""NAV Direct"",""CRONUS JetCorp USA"",""21"",""1"",""332435"""</t>
  </si>
  <si>
    <t>=E1427</t>
  </si>
  <si>
    <t>=StartDate-$M1429+1</t>
  </si>
  <si>
    <t>=SUM(P1429:T1429)</t>
  </si>
  <si>
    <t>=IF($M1429&gt;=$P$18,U1429,0)</t>
  </si>
  <si>
    <t>=IF(AND($M1429&gt;=$Q$16,$M1429&lt;=$Q$18),U1429,0)</t>
  </si>
  <si>
    <t>=IF(AND($M1429&gt;=$R$16,$M1429&lt;=$R$18),U1429,0)</t>
  </si>
  <si>
    <t>=IF(AND($M1429&gt;=$S$16,$M1429&lt;=$S$18),U1429,0)</t>
  </si>
  <si>
    <t>=IF($M1429&lt;=$T$18,U1429,0)</t>
  </si>
  <si>
    <t>="""NAV Direct"",""CRONUS JetCorp USA"",""21"",""1"",""332678"""</t>
  </si>
  <si>
    <t>=E1428</t>
  </si>
  <si>
    <t>=StartDate-$M1430+1</t>
  </si>
  <si>
    <t>=SUM(P1430:T1430)</t>
  </si>
  <si>
    <t>=IF($M1430&gt;=$P$18,U1430,0)</t>
  </si>
  <si>
    <t>=IF(AND($M1430&gt;=$Q$16,$M1430&lt;=$Q$18),U1430,0)</t>
  </si>
  <si>
    <t>=IF(AND($M1430&gt;=$R$16,$M1430&lt;=$R$18),U1430,0)</t>
  </si>
  <si>
    <t>=IF(AND($M1430&gt;=$S$16,$M1430&lt;=$S$18),U1430,0)</t>
  </si>
  <si>
    <t>=IF($M1430&lt;=$T$18,U1430,0)</t>
  </si>
  <si>
    <t>="""NAV Direct"",""CRONUS JetCorp USA"",""21"",""1"",""332720"""</t>
  </si>
  <si>
    <t>=E1429</t>
  </si>
  <si>
    <t>=StartDate-$M1431+1</t>
  </si>
  <si>
    <t>=SUM(P1431:T1431)</t>
  </si>
  <si>
    <t>=IF($M1431&gt;=$P$18,U1431,0)</t>
  </si>
  <si>
    <t>=IF(AND($M1431&gt;=$Q$16,$M1431&lt;=$Q$18),U1431,0)</t>
  </si>
  <si>
    <t>=IF(AND($M1431&gt;=$R$16,$M1431&lt;=$R$18),U1431,0)</t>
  </si>
  <si>
    <t>=IF(AND($M1431&gt;=$S$16,$M1431&lt;=$S$18),U1431,0)</t>
  </si>
  <si>
    <t>=IF($M1431&lt;=$T$18,U1431,0)</t>
  </si>
  <si>
    <t>="""NAV Direct"",""CRONUS JetCorp USA"",""21"",""1"",""332862"""</t>
  </si>
  <si>
    <t>=E1430</t>
  </si>
  <si>
    <t>=StartDate-$M1432+1</t>
  </si>
  <si>
    <t>=SUM(P1432:T1432)</t>
  </si>
  <si>
    <t>=IF($M1432&gt;=$P$18,U1432,0)</t>
  </si>
  <si>
    <t>=IF(AND($M1432&gt;=$Q$16,$M1432&lt;=$Q$18),U1432,0)</t>
  </si>
  <si>
    <t>=IF(AND($M1432&gt;=$R$16,$M1432&lt;=$R$18),U1432,0)</t>
  </si>
  <si>
    <t>=IF(AND($M1432&gt;=$S$16,$M1432&lt;=$S$18),U1432,0)</t>
  </si>
  <si>
    <t>=IF($M1432&lt;=$T$18,U1432,0)</t>
  </si>
  <si>
    <t>="""NAV Direct"",""CRONUS JetCorp USA"",""21"",""1"",""332883"""</t>
  </si>
  <si>
    <t>=E1431</t>
  </si>
  <si>
    <t>=StartDate-$M1433+1</t>
  </si>
  <si>
    <t>=SUM(P1433:T1433)</t>
  </si>
  <si>
    <t>=IF($M1433&gt;=$P$18,U1433,0)</t>
  </si>
  <si>
    <t>=IF(AND($M1433&gt;=$Q$16,$M1433&lt;=$Q$18),U1433,0)</t>
  </si>
  <si>
    <t>=IF(AND($M1433&gt;=$R$16,$M1433&lt;=$R$18),U1433,0)</t>
  </si>
  <si>
    <t>=IF(AND($M1433&gt;=$S$16,$M1433&lt;=$S$18),U1433,0)</t>
  </si>
  <si>
    <t>=IF($M1433&lt;=$T$18,U1433,0)</t>
  </si>
  <si>
    <t>="""NAV Direct"",""CRONUS JetCorp USA"",""21"",""1"",""333219"""</t>
  </si>
  <si>
    <t>=E1432</t>
  </si>
  <si>
    <t>=StartDate-$M1434+1</t>
  </si>
  <si>
    <t>=SUM(P1434:T1434)</t>
  </si>
  <si>
    <t>=IF($M1434&gt;=$P$18,U1434,0)</t>
  </si>
  <si>
    <t>=IF(AND($M1434&gt;=$Q$16,$M1434&lt;=$Q$18),U1434,0)</t>
  </si>
  <si>
    <t>=IF(AND($M1434&gt;=$R$16,$M1434&lt;=$R$18),U1434,0)</t>
  </si>
  <si>
    <t>=IF(AND($M1434&gt;=$S$16,$M1434&lt;=$S$18),U1434,0)</t>
  </si>
  <si>
    <t>=IF($M1434&lt;=$T$18,U1434,0)</t>
  </si>
  <si>
    <t>="""NAV Direct"",""CRONUS JetCorp USA"",""21"",""1"",""333314"""</t>
  </si>
  <si>
    <t>=E1433</t>
  </si>
  <si>
    <t>=StartDate-$M1435+1</t>
  </si>
  <si>
    <t>=SUM(P1435:T1435)</t>
  </si>
  <si>
    <t>=IF($M1435&gt;=$P$18,U1435,0)</t>
  </si>
  <si>
    <t>=IF(AND($M1435&gt;=$Q$16,$M1435&lt;=$Q$18),U1435,0)</t>
  </si>
  <si>
    <t>=IF(AND($M1435&gt;=$R$16,$M1435&lt;=$R$18),U1435,0)</t>
  </si>
  <si>
    <t>=IF(AND($M1435&gt;=$S$16,$M1435&lt;=$S$18),U1435,0)</t>
  </si>
  <si>
    <t>=IF($M1435&lt;=$T$18,U1435,0)</t>
  </si>
  <si>
    <t>="""NAV Direct"",""CRONUS JetCorp USA"",""21"",""1"",""333394"""</t>
  </si>
  <si>
    <t>=E1434</t>
  </si>
  <si>
    <t>=StartDate-$M1436+1</t>
  </si>
  <si>
    <t>=SUM(P1436:T1436)</t>
  </si>
  <si>
    <t>=IF($M1436&gt;=$P$18,U1436,0)</t>
  </si>
  <si>
    <t>=IF(AND($M1436&gt;=$Q$16,$M1436&lt;=$Q$18),U1436,0)</t>
  </si>
  <si>
    <t>=IF(AND($M1436&gt;=$R$16,$M1436&lt;=$R$18),U1436,0)</t>
  </si>
  <si>
    <t>=IF(AND($M1436&gt;=$S$16,$M1436&lt;=$S$18),U1436,0)</t>
  </si>
  <si>
    <t>=IF($M1436&lt;=$T$18,U1436,0)</t>
  </si>
  <si>
    <t>="""NAV Direct"",""CRONUS JetCorp USA"",""21"",""1"",""333434"""</t>
  </si>
  <si>
    <t>=E1435</t>
  </si>
  <si>
    <t>=StartDate-$M1437+1</t>
  </si>
  <si>
    <t>=SUM(P1437:T1437)</t>
  </si>
  <si>
    <t>=IF($M1437&gt;=$P$18,U1437,0)</t>
  </si>
  <si>
    <t>=IF(AND($M1437&gt;=$Q$16,$M1437&lt;=$Q$18),U1437,0)</t>
  </si>
  <si>
    <t>=IF(AND($M1437&gt;=$R$16,$M1437&lt;=$R$18),U1437,0)</t>
  </si>
  <si>
    <t>=IF(AND($M1437&gt;=$S$16,$M1437&lt;=$S$18),U1437,0)</t>
  </si>
  <si>
    <t>=IF($M1437&lt;=$T$18,U1437,0)</t>
  </si>
  <si>
    <t>="""NAV Direct"",""CRONUS JetCorp USA"",""21"",""1"",""334007"""</t>
  </si>
  <si>
    <t>=E1436</t>
  </si>
  <si>
    <t>=StartDate-$M1438+1</t>
  </si>
  <si>
    <t>=SUM(P1438:T1438)</t>
  </si>
  <si>
    <t>=IF($M1438&gt;=$P$18,U1438,0)</t>
  </si>
  <si>
    <t>=IF(AND($M1438&gt;=$Q$16,$M1438&lt;=$Q$18),U1438,0)</t>
  </si>
  <si>
    <t>=IF(AND($M1438&gt;=$R$16,$M1438&lt;=$R$18),U1438,0)</t>
  </si>
  <si>
    <t>=IF(AND($M1438&gt;=$S$16,$M1438&lt;=$S$18),U1438,0)</t>
  </si>
  <si>
    <t>=IF($M1438&lt;=$T$18,U1438,0)</t>
  </si>
  <si>
    <t>="""NAV Direct"",""CRONUS JetCorp USA"",""21"",""1"",""334070"""</t>
  </si>
  <si>
    <t>=E1437</t>
  </si>
  <si>
    <t>=StartDate-$M1439+1</t>
  </si>
  <si>
    <t>=SUM(P1439:T1439)</t>
  </si>
  <si>
    <t>=IF($M1439&gt;=$P$18,U1439,0)</t>
  </si>
  <si>
    <t>=IF(AND($M1439&gt;=$Q$16,$M1439&lt;=$Q$18),U1439,0)</t>
  </si>
  <si>
    <t>=IF(AND($M1439&gt;=$R$16,$M1439&lt;=$R$18),U1439,0)</t>
  </si>
  <si>
    <t>=IF(AND($M1439&gt;=$S$16,$M1439&lt;=$S$18),U1439,0)</t>
  </si>
  <si>
    <t>=IF($M1439&lt;=$T$18,U1439,0)</t>
  </si>
  <si>
    <t>="""NAV Direct"",""CRONUS JetCorp USA"",""21"",""1"",""334347"""</t>
  </si>
  <si>
    <t>=E1438</t>
  </si>
  <si>
    <t>=StartDate-$M1440+1</t>
  </si>
  <si>
    <t>=SUM(P1440:T1440)</t>
  </si>
  <si>
    <t>=IF($M1440&gt;=$P$18,U1440,0)</t>
  </si>
  <si>
    <t>=IF(AND($M1440&gt;=$Q$16,$M1440&lt;=$Q$18),U1440,0)</t>
  </si>
  <si>
    <t>=IF(AND($M1440&gt;=$R$16,$M1440&lt;=$R$18),U1440,0)</t>
  </si>
  <si>
    <t>=IF(AND($M1440&gt;=$S$16,$M1440&lt;=$S$18),U1440,0)</t>
  </si>
  <si>
    <t>=IF($M1440&lt;=$T$18,U1440,0)</t>
  </si>
  <si>
    <t>="""NAV Direct"",""CRONUS JetCorp USA"",""21"",""1"",""334512"""</t>
  </si>
  <si>
    <t>=E1439</t>
  </si>
  <si>
    <t>=StartDate-$M1441+1</t>
  </si>
  <si>
    <t>=SUM(P1441:T1441)</t>
  </si>
  <si>
    <t>=IF($M1441&gt;=$P$18,U1441,0)</t>
  </si>
  <si>
    <t>=IF(AND($M1441&gt;=$Q$16,$M1441&lt;=$Q$18),U1441,0)</t>
  </si>
  <si>
    <t>=IF(AND($M1441&gt;=$R$16,$M1441&lt;=$R$18),U1441,0)</t>
  </si>
  <si>
    <t>=IF(AND($M1441&gt;=$S$16,$M1441&lt;=$S$18),U1441,0)</t>
  </si>
  <si>
    <t>=IF($M1441&lt;=$T$18,U1441,0)</t>
  </si>
  <si>
    <t>="""NAV Direct"",""CRONUS JetCorp USA"",""21"",""1"",""334673"""</t>
  </si>
  <si>
    <t>=E1440</t>
  </si>
  <si>
    <t>=StartDate-$M1442+1</t>
  </si>
  <si>
    <t>=SUM(P1442:T1442)</t>
  </si>
  <si>
    <t>=IF($M1442&gt;=$P$18,U1442,0)</t>
  </si>
  <si>
    <t>=IF(AND($M1442&gt;=$Q$16,$M1442&lt;=$Q$18),U1442,0)</t>
  </si>
  <si>
    <t>=IF(AND($M1442&gt;=$R$16,$M1442&lt;=$R$18),U1442,0)</t>
  </si>
  <si>
    <t>=IF(AND($M1442&gt;=$S$16,$M1442&lt;=$S$18),U1442,0)</t>
  </si>
  <si>
    <t>=IF($M1442&lt;=$T$18,U1442,0)</t>
  </si>
  <si>
    <t>="""NAV Direct"",""CRONUS JetCorp USA"",""21"",""1"",""433216"""</t>
  </si>
  <si>
    <t>=E1441</t>
  </si>
  <si>
    <t>=StartDate-$M1443+1</t>
  </si>
  <si>
    <t>=SUM(P1443:T1443)</t>
  </si>
  <si>
    <t>=IF($M1443&gt;=$P$18,U1443,0)</t>
  </si>
  <si>
    <t>=IF(AND($M1443&gt;=$Q$16,$M1443&lt;=$Q$18),U1443,0)</t>
  </si>
  <si>
    <t>=IF(AND($M1443&gt;=$R$16,$M1443&lt;=$R$18),U1443,0)</t>
  </si>
  <si>
    <t>=IF(AND($M1443&gt;=$S$16,$M1443&lt;=$S$18),U1443,0)</t>
  </si>
  <si>
    <t>=IF($M1443&lt;=$T$18,U1443,0)</t>
  </si>
  <si>
    <t>="""NAV Direct"",""CRONUS JetCorp USA"",""21"",""1"",""433257"""</t>
  </si>
  <si>
    <t>=E1442</t>
  </si>
  <si>
    <t>=StartDate-$M1444+1</t>
  </si>
  <si>
    <t>=SUM(P1444:T1444)</t>
  </si>
  <si>
    <t>=IF($M1444&gt;=$P$18,U1444,0)</t>
  </si>
  <si>
    <t>=IF(AND($M1444&gt;=$Q$16,$M1444&lt;=$Q$18),U1444,0)</t>
  </si>
  <si>
    <t>=IF(AND($M1444&gt;=$R$16,$M1444&lt;=$R$18),U1444,0)</t>
  </si>
  <si>
    <t>=IF(AND($M1444&gt;=$S$16,$M1444&lt;=$S$18),U1444,0)</t>
  </si>
  <si>
    <t>=IF($M1444&lt;=$T$18,U1444,0)</t>
  </si>
  <si>
    <t>="""NAV Direct"",""CRONUS JetCorp USA"",""21"",""1"",""433298"""</t>
  </si>
  <si>
    <t>=E1443</t>
  </si>
  <si>
    <t>=StartDate-$M1445+1</t>
  </si>
  <si>
    <t>=SUM(P1445:T1445)</t>
  </si>
  <si>
    <t>=IF($M1445&gt;=$P$18,U1445,0)</t>
  </si>
  <si>
    <t>=IF(AND($M1445&gt;=$Q$16,$M1445&lt;=$Q$18),U1445,0)</t>
  </si>
  <si>
    <t>=IF(AND($M1445&gt;=$R$16,$M1445&lt;=$R$18),U1445,0)</t>
  </si>
  <si>
    <t>=IF(AND($M1445&gt;=$S$16,$M1445&lt;=$S$18),U1445,0)</t>
  </si>
  <si>
    <t>=IF($M1445&lt;=$T$18,U1445,0)</t>
  </si>
  <si>
    <t>="""NAV Direct"",""CRONUS JetCorp USA"",""21"",""1"",""433335"""</t>
  </si>
  <si>
    <t>=E1444</t>
  </si>
  <si>
    <t>=StartDate-$M1446+1</t>
  </si>
  <si>
    <t>=SUM(P1446:T1446)</t>
  </si>
  <si>
    <t>=IF($M1446&gt;=$P$18,U1446,0)</t>
  </si>
  <si>
    <t>=IF(AND($M1446&gt;=$Q$16,$M1446&lt;=$Q$18),U1446,0)</t>
  </si>
  <si>
    <t>=IF(AND($M1446&gt;=$R$16,$M1446&lt;=$R$18),U1446,0)</t>
  </si>
  <si>
    <t>=IF(AND($M1446&gt;=$S$16,$M1446&lt;=$S$18),U1446,0)</t>
  </si>
  <si>
    <t>=IF($M1446&lt;=$T$18,U1446,0)</t>
  </si>
  <si>
    <t>="""NAV Direct"",""CRONUS JetCorp USA"",""21"",""1"",""433442"""</t>
  </si>
  <si>
    <t>=E1445</t>
  </si>
  <si>
    <t>=StartDate-$M1447+1</t>
  </si>
  <si>
    <t>=SUM(P1447:T1447)</t>
  </si>
  <si>
    <t>=IF($M1447&gt;=$P$18,U1447,0)</t>
  </si>
  <si>
    <t>=IF(AND($M1447&gt;=$Q$16,$M1447&lt;=$Q$18),U1447,0)</t>
  </si>
  <si>
    <t>=IF(AND($M1447&gt;=$R$16,$M1447&lt;=$R$18),U1447,0)</t>
  </si>
  <si>
    <t>=IF(AND($M1447&gt;=$S$16,$M1447&lt;=$S$18),U1447,0)</t>
  </si>
  <si>
    <t>=IF($M1447&lt;=$T$18,U1447,0)</t>
  </si>
  <si>
    <t>="""NAV Direct"",""CRONUS JetCorp USA"",""18"",""1"",""C100052"""</t>
  </si>
  <si>
    <t>=H1450</t>
  </si>
  <si>
    <t>=NF($C1450,"1 No.")</t>
  </si>
  <si>
    <t>=NF($C1450,"1 No.")&amp;"  -  "&amp;NF($C1450,"2 Name")</t>
  </si>
  <si>
    <t>=IFERROR(O1450/NF(C1450,"Credit Limit (LCY)"),"")</t>
  </si>
  <si>
    <t>=SUBTOTAL(3,L1451:L1473)</t>
  </si>
  <si>
    <t>=SUBTOTAL(9,O1451:O1473)</t>
  </si>
  <si>
    <t>=SUBTOTAL(9,P1451:P1473)</t>
  </si>
  <si>
    <t>=SUBTOTAL(9,Q1451:Q1473)</t>
  </si>
  <si>
    <t>=SUBTOTAL(9,R1451:R1473)</t>
  </si>
  <si>
    <t>=SUBTOTAL(9,S1451:S1473)</t>
  </si>
  <si>
    <t>=SUBTOTAL(9,T1451:T1473)</t>
  </si>
  <si>
    <t>=C1450</t>
  </si>
  <si>
    <t>=E1450</t>
  </si>
  <si>
    <t>="Contact: "&amp;NF($C1451,"8 Contact")</t>
  </si>
  <si>
    <t>=C1451</t>
  </si>
  <si>
    <t>=E1451</t>
  </si>
  <si>
    <t>=NF($C1452,"102 E-Mail")</t>
  </si>
  <si>
    <t>=NL("Rows","21 Cust. Ledger Entry",,"3 Customer No.","@@"&amp;$E1454,"16 Remaining Amt. (LCY)","&lt;&gt;0")</t>
  </si>
  <si>
    <t>=E1452</t>
  </si>
  <si>
    <t>=StartDate-$M1454+1</t>
  </si>
  <si>
    <t>=SUM(P1454:T1454)</t>
  </si>
  <si>
    <t>=IF($M1454&gt;=$P$18,U1454,0)</t>
  </si>
  <si>
    <t>=IF(AND($M1454&gt;=$Q$16,$M1454&lt;=$Q$18),U1454,0)</t>
  </si>
  <si>
    <t>=IF(AND($M1454&gt;=$R$16,$M1454&lt;=$R$18),U1454,0)</t>
  </si>
  <si>
    <t>=IF(AND($M1454&gt;=$S$16,$M1454&lt;=$S$18),U1454,0)</t>
  </si>
  <si>
    <t>=IF($M1454&lt;=$T$18,U1454,0)</t>
  </si>
  <si>
    <t>="""NAV Direct"",""CRONUS JetCorp USA"",""21"",""1"",""102055"""</t>
  </si>
  <si>
    <t>=E1453</t>
  </si>
  <si>
    <t>=StartDate-$M1455+1</t>
  </si>
  <si>
    <t>=SUM(P1455:T1455)</t>
  </si>
  <si>
    <t>=IF($M1455&gt;=$P$18,U1455,0)</t>
  </si>
  <si>
    <t>=IF(AND($M1455&gt;=$Q$16,$M1455&lt;=$Q$18),U1455,0)</t>
  </si>
  <si>
    <t>=IF(AND($M1455&gt;=$R$16,$M1455&lt;=$R$18),U1455,0)</t>
  </si>
  <si>
    <t>=IF(AND($M1455&gt;=$S$16,$M1455&lt;=$S$18),U1455,0)</t>
  </si>
  <si>
    <t>=IF($M1455&lt;=$T$18,U1455,0)</t>
  </si>
  <si>
    <t>="""NAV Direct"",""CRONUS JetCorp USA"",""21"",""1"",""102136"""</t>
  </si>
  <si>
    <t>=E1454</t>
  </si>
  <si>
    <t>=StartDate-$M1456+1</t>
  </si>
  <si>
    <t>=SUM(P1456:T1456)</t>
  </si>
  <si>
    <t>=IF($M1456&gt;=$P$18,U1456,0)</t>
  </si>
  <si>
    <t>=IF(AND($M1456&gt;=$Q$16,$M1456&lt;=$Q$18),U1456,0)</t>
  </si>
  <si>
    <t>=IF(AND($M1456&gt;=$R$16,$M1456&lt;=$R$18),U1456,0)</t>
  </si>
  <si>
    <t>=IF(AND($M1456&gt;=$S$16,$M1456&lt;=$S$18),U1456,0)</t>
  </si>
  <si>
    <t>=IF($M1456&lt;=$T$18,U1456,0)</t>
  </si>
  <si>
    <t>="""NAV Direct"",""CRONUS JetCorp USA"",""21"",""1"",""102171"""</t>
  </si>
  <si>
    <t>=E1455</t>
  </si>
  <si>
    <t>=StartDate-$M1457+1</t>
  </si>
  <si>
    <t>=SUM(P1457:T1457)</t>
  </si>
  <si>
    <t>=IF($M1457&gt;=$P$18,U1457,0)</t>
  </si>
  <si>
    <t>=IF(AND($M1457&gt;=$Q$16,$M1457&lt;=$Q$18),U1457,0)</t>
  </si>
  <si>
    <t>=IF(AND($M1457&gt;=$R$16,$M1457&lt;=$R$18),U1457,0)</t>
  </si>
  <si>
    <t>=IF(AND($M1457&gt;=$S$16,$M1457&lt;=$S$18),U1457,0)</t>
  </si>
  <si>
    <t>=IF($M1457&lt;=$T$18,U1457,0)</t>
  </si>
  <si>
    <t>="""NAV Direct"",""CRONUS JetCorp USA"",""21"",""1"",""102367"""</t>
  </si>
  <si>
    <t>=E1456</t>
  </si>
  <si>
    <t>=StartDate-$M1458+1</t>
  </si>
  <si>
    <t>=SUM(P1458:T1458)</t>
  </si>
  <si>
    <t>=IF($M1458&gt;=$P$18,U1458,0)</t>
  </si>
  <si>
    <t>=IF(AND($M1458&gt;=$Q$16,$M1458&lt;=$Q$18),U1458,0)</t>
  </si>
  <si>
    <t>=IF(AND($M1458&gt;=$R$16,$M1458&lt;=$R$18),U1458,0)</t>
  </si>
  <si>
    <t>=IF(AND($M1458&gt;=$S$16,$M1458&lt;=$S$18),U1458,0)</t>
  </si>
  <si>
    <t>=IF($M1458&lt;=$T$18,U1458,0)</t>
  </si>
  <si>
    <t>="""NAV Direct"",""CRONUS JetCorp USA"",""21"",""1"",""381120"""</t>
  </si>
  <si>
    <t>=E1457</t>
  </si>
  <si>
    <t>=StartDate-$M1459+1</t>
  </si>
  <si>
    <t>=SUM(P1459:T1459)</t>
  </si>
  <si>
    <t>=IF($M1459&gt;=$P$18,U1459,0)</t>
  </si>
  <si>
    <t>=IF(AND($M1459&gt;=$Q$16,$M1459&lt;=$Q$18),U1459,0)</t>
  </si>
  <si>
    <t>=IF(AND($M1459&gt;=$R$16,$M1459&lt;=$R$18),U1459,0)</t>
  </si>
  <si>
    <t>=IF(AND($M1459&gt;=$S$16,$M1459&lt;=$S$18),U1459,0)</t>
  </si>
  <si>
    <t>=IF($M1459&lt;=$T$18,U1459,0)</t>
  </si>
  <si>
    <t>="""NAV Direct"",""CRONUS JetCorp USA"",""21"",""1"",""381186"""</t>
  </si>
  <si>
    <t>=E1458</t>
  </si>
  <si>
    <t>=StartDate-$M1460+1</t>
  </si>
  <si>
    <t>=SUM(P1460:T1460)</t>
  </si>
  <si>
    <t>=IF($M1460&gt;=$P$18,U1460,0)</t>
  </si>
  <si>
    <t>=IF(AND($M1460&gt;=$Q$16,$M1460&lt;=$Q$18),U1460,0)</t>
  </si>
  <si>
    <t>=IF(AND($M1460&gt;=$R$16,$M1460&lt;=$R$18),U1460,0)</t>
  </si>
  <si>
    <t>=IF(AND($M1460&gt;=$S$16,$M1460&lt;=$S$18),U1460,0)</t>
  </si>
  <si>
    <t>=IF($M1460&lt;=$T$18,U1460,0)</t>
  </si>
  <si>
    <t>="""NAV Direct"",""CRONUS JetCorp USA"",""21"",""1"",""381267"""</t>
  </si>
  <si>
    <t>=E1459</t>
  </si>
  <si>
    <t>=StartDate-$M1461+1</t>
  </si>
  <si>
    <t>=SUM(P1461:T1461)</t>
  </si>
  <si>
    <t>=IF($M1461&gt;=$P$18,U1461,0)</t>
  </si>
  <si>
    <t>=IF(AND($M1461&gt;=$Q$16,$M1461&lt;=$Q$18),U1461,0)</t>
  </si>
  <si>
    <t>=IF(AND($M1461&gt;=$R$16,$M1461&lt;=$R$18),U1461,0)</t>
  </si>
  <si>
    <t>=IF(AND($M1461&gt;=$S$16,$M1461&lt;=$S$18),U1461,0)</t>
  </si>
  <si>
    <t>=IF($M1461&lt;=$T$18,U1461,0)</t>
  </si>
  <si>
    <t>="""NAV Direct"",""CRONUS JetCorp USA"",""21"",""1"",""381661"""</t>
  </si>
  <si>
    <t>=E1460</t>
  </si>
  <si>
    <t>=StartDate-$M1462+1</t>
  </si>
  <si>
    <t>=SUM(P1462:T1462)</t>
  </si>
  <si>
    <t>=IF($M1462&gt;=$P$18,U1462,0)</t>
  </si>
  <si>
    <t>=IF(AND($M1462&gt;=$Q$16,$M1462&lt;=$Q$18),U1462,0)</t>
  </si>
  <si>
    <t>=IF(AND($M1462&gt;=$R$16,$M1462&lt;=$R$18),U1462,0)</t>
  </si>
  <si>
    <t>=IF(AND($M1462&gt;=$S$16,$M1462&lt;=$S$18),U1462,0)</t>
  </si>
  <si>
    <t>=IF($M1462&lt;=$T$18,U1462,0)</t>
  </si>
  <si>
    <t>="""NAV Direct"",""CRONUS JetCorp USA"",""21"",""1"",""381919"""</t>
  </si>
  <si>
    <t>=E1461</t>
  </si>
  <si>
    <t>=StartDate-$M1463+1</t>
  </si>
  <si>
    <t>=SUM(P1463:T1463)</t>
  </si>
  <si>
    <t>=IF($M1463&gt;=$P$18,U1463,0)</t>
  </si>
  <si>
    <t>=IF(AND($M1463&gt;=$Q$16,$M1463&lt;=$Q$18),U1463,0)</t>
  </si>
  <si>
    <t>=IF(AND($M1463&gt;=$R$16,$M1463&lt;=$R$18),U1463,0)</t>
  </si>
  <si>
    <t>=IF(AND($M1463&gt;=$S$16,$M1463&lt;=$S$18),U1463,0)</t>
  </si>
  <si>
    <t>=IF($M1463&lt;=$T$18,U1463,0)</t>
  </si>
  <si>
    <t>="""NAV Direct"",""CRONUS JetCorp USA"",""21"",""1"",""382049"""</t>
  </si>
  <si>
    <t>=E1462</t>
  </si>
  <si>
    <t>=StartDate-$M1464+1</t>
  </si>
  <si>
    <t>=SUM(P1464:T1464)</t>
  </si>
  <si>
    <t>=IF($M1464&gt;=$P$18,U1464,0)</t>
  </si>
  <si>
    <t>=IF(AND($M1464&gt;=$Q$16,$M1464&lt;=$Q$18),U1464,0)</t>
  </si>
  <si>
    <t>=IF(AND($M1464&gt;=$R$16,$M1464&lt;=$R$18),U1464,0)</t>
  </si>
  <si>
    <t>=IF(AND($M1464&gt;=$S$16,$M1464&lt;=$S$18),U1464,0)</t>
  </si>
  <si>
    <t>=IF($M1464&lt;=$T$18,U1464,0)</t>
  </si>
  <si>
    <t>="""NAV Direct"",""CRONUS JetCorp USA"",""21"",""1"",""382148"""</t>
  </si>
  <si>
    <t>=E1463</t>
  </si>
  <si>
    <t>=StartDate-$M1465+1</t>
  </si>
  <si>
    <t>=SUM(P1465:T1465)</t>
  </si>
  <si>
    <t>=IF($M1465&gt;=$P$18,U1465,0)</t>
  </si>
  <si>
    <t>=IF(AND($M1465&gt;=$Q$16,$M1465&lt;=$Q$18),U1465,0)</t>
  </si>
  <si>
    <t>=IF(AND($M1465&gt;=$R$16,$M1465&lt;=$R$18),U1465,0)</t>
  </si>
  <si>
    <t>=IF(AND($M1465&gt;=$S$16,$M1465&lt;=$S$18),U1465,0)</t>
  </si>
  <si>
    <t>=IF($M1465&lt;=$T$18,U1465,0)</t>
  </si>
  <si>
    <t>="""NAV Direct"",""CRONUS JetCorp USA"",""21"",""1"",""382678"""</t>
  </si>
  <si>
    <t>=E1464</t>
  </si>
  <si>
    <t>=StartDate-$M1466+1</t>
  </si>
  <si>
    <t>=SUM(P1466:T1466)</t>
  </si>
  <si>
    <t>=IF($M1466&gt;=$P$18,U1466,0)</t>
  </si>
  <si>
    <t>=IF(AND($M1466&gt;=$Q$16,$M1466&lt;=$Q$18),U1466,0)</t>
  </si>
  <si>
    <t>=IF(AND($M1466&gt;=$R$16,$M1466&lt;=$R$18),U1466,0)</t>
  </si>
  <si>
    <t>=IF(AND($M1466&gt;=$S$16,$M1466&lt;=$S$18),U1466,0)</t>
  </si>
  <si>
    <t>=IF($M1466&lt;=$T$18,U1466,0)</t>
  </si>
  <si>
    <t>="""NAV Direct"",""CRONUS JetCorp USA"",""21"",""1"",""438254"""</t>
  </si>
  <si>
    <t>=E1465</t>
  </si>
  <si>
    <t>=StartDate-$M1467+1</t>
  </si>
  <si>
    <t>=SUM(P1467:T1467)</t>
  </si>
  <si>
    <t>=IF($M1467&gt;=$P$18,U1467,0)</t>
  </si>
  <si>
    <t>=IF(AND($M1467&gt;=$Q$16,$M1467&lt;=$Q$18),U1467,0)</t>
  </si>
  <si>
    <t>=IF(AND($M1467&gt;=$R$16,$M1467&lt;=$R$18),U1467,0)</t>
  </si>
  <si>
    <t>=IF(AND($M1467&gt;=$S$16,$M1467&lt;=$S$18),U1467,0)</t>
  </si>
  <si>
    <t>=IF($M1467&lt;=$T$18,U1467,0)</t>
  </si>
  <si>
    <t>="""NAV Direct"",""CRONUS JetCorp USA"",""21"",""1"",""438267"""</t>
  </si>
  <si>
    <t>=E1466</t>
  </si>
  <si>
    <t>=StartDate-$M1468+1</t>
  </si>
  <si>
    <t>=SUM(P1468:T1468)</t>
  </si>
  <si>
    <t>=IF($M1468&gt;=$P$18,U1468,0)</t>
  </si>
  <si>
    <t>=IF(AND($M1468&gt;=$Q$16,$M1468&lt;=$Q$18),U1468,0)</t>
  </si>
  <si>
    <t>=IF(AND($M1468&gt;=$R$16,$M1468&lt;=$R$18),U1468,0)</t>
  </si>
  <si>
    <t>=IF(AND($M1468&gt;=$S$16,$M1468&lt;=$S$18),U1468,0)</t>
  </si>
  <si>
    <t>=IF($M1468&lt;=$T$18,U1468,0)</t>
  </si>
  <si>
    <t>="""NAV Direct"",""CRONUS JetCorp USA"",""21"",""1"",""438310"""</t>
  </si>
  <si>
    <t>=E1467</t>
  </si>
  <si>
    <t>=StartDate-$M1469+1</t>
  </si>
  <si>
    <t>=SUM(P1469:T1469)</t>
  </si>
  <si>
    <t>=IF($M1469&gt;=$P$18,U1469,0)</t>
  </si>
  <si>
    <t>=IF(AND($M1469&gt;=$Q$16,$M1469&lt;=$Q$18),U1469,0)</t>
  </si>
  <si>
    <t>=IF(AND($M1469&gt;=$R$16,$M1469&lt;=$R$18),U1469,0)</t>
  </si>
  <si>
    <t>=IF(AND($M1469&gt;=$S$16,$M1469&lt;=$S$18),U1469,0)</t>
  </si>
  <si>
    <t>=IF($M1469&lt;=$T$18,U1469,0)</t>
  </si>
  <si>
    <t>="""NAV Direct"",""CRONUS JetCorp USA"",""21"",""1"",""438330"""</t>
  </si>
  <si>
    <t>=E1468</t>
  </si>
  <si>
    <t>=StartDate-$M1470+1</t>
  </si>
  <si>
    <t>=SUM(P1470:T1470)</t>
  </si>
  <si>
    <t>=IF($M1470&gt;=$P$18,U1470,0)</t>
  </si>
  <si>
    <t>=IF(AND($M1470&gt;=$Q$16,$M1470&lt;=$Q$18),U1470,0)</t>
  </si>
  <si>
    <t>=IF(AND($M1470&gt;=$R$16,$M1470&lt;=$R$18),U1470,0)</t>
  </si>
  <si>
    <t>=IF(AND($M1470&gt;=$S$16,$M1470&lt;=$S$18),U1470,0)</t>
  </si>
  <si>
    <t>=IF($M1470&lt;=$T$18,U1470,0)</t>
  </si>
  <si>
    <t>="""NAV Direct"",""CRONUS JetCorp USA"",""21"",""1"",""438412"""</t>
  </si>
  <si>
    <t>=E1469</t>
  </si>
  <si>
    <t>=StartDate-$M1471+1</t>
  </si>
  <si>
    <t>=SUM(P1471:T1471)</t>
  </si>
  <si>
    <t>=IF($M1471&gt;=$P$18,U1471,0)</t>
  </si>
  <si>
    <t>=IF(AND($M1471&gt;=$Q$16,$M1471&lt;=$Q$18),U1471,0)</t>
  </si>
  <si>
    <t>=IF(AND($M1471&gt;=$R$16,$M1471&lt;=$R$18),U1471,0)</t>
  </si>
  <si>
    <t>=IF(AND($M1471&gt;=$S$16,$M1471&lt;=$S$18),U1471,0)</t>
  </si>
  <si>
    <t>=IF($M1471&lt;=$T$18,U1471,0)</t>
  </si>
  <si>
    <t>="""NAV Direct"",""CRONUS JetCorp USA"",""21"",""1"",""438476"""</t>
  </si>
  <si>
    <t>=E1470</t>
  </si>
  <si>
    <t>=StartDate-$M1472+1</t>
  </si>
  <si>
    <t>=SUM(P1472:T1472)</t>
  </si>
  <si>
    <t>=IF($M1472&gt;=$P$18,U1472,0)</t>
  </si>
  <si>
    <t>=IF(AND($M1472&gt;=$Q$16,$M1472&lt;=$Q$18),U1472,0)</t>
  </si>
  <si>
    <t>=IF(AND($M1472&gt;=$R$16,$M1472&lt;=$R$18),U1472,0)</t>
  </si>
  <si>
    <t>=IF(AND($M1472&gt;=$S$16,$M1472&lt;=$S$18),U1472,0)</t>
  </si>
  <si>
    <t>=IF($M1472&lt;=$T$18,U1472,0)</t>
  </si>
  <si>
    <t>="""NAV Direct"",""CRONUS JetCorp USA"",""18"",""1"",""C100053"""</t>
  </si>
  <si>
    <t>=H1475</t>
  </si>
  <si>
    <t>=NF($C1475,"1 No.")</t>
  </si>
  <si>
    <t>=NF($C1475,"1 No.")&amp;"  -  "&amp;NF($C1475,"2 Name")</t>
  </si>
  <si>
    <t>=IFERROR(O1475/NF(C1475,"Credit Limit (LCY)"),"")</t>
  </si>
  <si>
    <t>=SUBTOTAL(3,L1476:L1543)</t>
  </si>
  <si>
    <t>=SUBTOTAL(9,O1476:O1543)</t>
  </si>
  <si>
    <t>=SUBTOTAL(9,P1476:P1543)</t>
  </si>
  <si>
    <t>=SUBTOTAL(9,Q1476:Q1543)</t>
  </si>
  <si>
    <t>=SUBTOTAL(9,R1476:R1543)</t>
  </si>
  <si>
    <t>=SUBTOTAL(9,S1476:S1543)</t>
  </si>
  <si>
    <t>=SUBTOTAL(9,T1476:T1543)</t>
  </si>
  <si>
    <t>=C1475</t>
  </si>
  <si>
    <t>=E1475</t>
  </si>
  <si>
    <t>="Contact: "&amp;NF($C1476,"8 Contact")</t>
  </si>
  <si>
    <t>=C1476</t>
  </si>
  <si>
    <t>=E1476</t>
  </si>
  <si>
    <t>=NF($C1477,"102 E-Mail")</t>
  </si>
  <si>
    <t>=NL("Rows","21 Cust. Ledger Entry",,"3 Customer No.","@@"&amp;$E1479,"16 Remaining Amt. (LCY)","&lt;&gt;0")</t>
  </si>
  <si>
    <t>=E1477</t>
  </si>
  <si>
    <t>=StartDate-$M1479+1</t>
  </si>
  <si>
    <t>=SUM(P1479:T1479)</t>
  </si>
  <si>
    <t>=IF($M1479&gt;=$P$18,U1479,0)</t>
  </si>
  <si>
    <t>=IF(AND($M1479&gt;=$Q$16,$M1479&lt;=$Q$18),U1479,0)</t>
  </si>
  <si>
    <t>=IF(AND($M1479&gt;=$R$16,$M1479&lt;=$R$18),U1479,0)</t>
  </si>
  <si>
    <t>=IF(AND($M1479&gt;=$S$16,$M1479&lt;=$S$18),U1479,0)</t>
  </si>
  <si>
    <t>=IF($M1479&lt;=$T$18,U1479,0)</t>
  </si>
  <si>
    <t>="""NAV Direct"",""CRONUS JetCorp USA"",""21"",""1"",""22897"""</t>
  </si>
  <si>
    <t>=E1478</t>
  </si>
  <si>
    <t>=StartDate-$M1480+1</t>
  </si>
  <si>
    <t>=SUM(P1480:T1480)</t>
  </si>
  <si>
    <t>=IF($M1480&gt;=$P$18,U1480,0)</t>
  </si>
  <si>
    <t>=IF(AND($M1480&gt;=$Q$16,$M1480&lt;=$Q$18),U1480,0)</t>
  </si>
  <si>
    <t>=IF(AND($M1480&gt;=$R$16,$M1480&lt;=$R$18),U1480,0)</t>
  </si>
  <si>
    <t>=IF(AND($M1480&gt;=$S$16,$M1480&lt;=$S$18),U1480,0)</t>
  </si>
  <si>
    <t>=IF($M1480&lt;=$T$18,U1480,0)</t>
  </si>
  <si>
    <t>="""NAV Direct"",""CRONUS JetCorp USA"",""21"",""1"",""22955"""</t>
  </si>
  <si>
    <t>=E1479</t>
  </si>
  <si>
    <t>=StartDate-$M1481+1</t>
  </si>
  <si>
    <t>=SUM(P1481:T1481)</t>
  </si>
  <si>
    <t>=IF($M1481&gt;=$P$18,U1481,0)</t>
  </si>
  <si>
    <t>=IF(AND($M1481&gt;=$Q$16,$M1481&lt;=$Q$18),U1481,0)</t>
  </si>
  <si>
    <t>=IF(AND($M1481&gt;=$R$16,$M1481&lt;=$R$18),U1481,0)</t>
  </si>
  <si>
    <t>=IF(AND($M1481&gt;=$S$16,$M1481&lt;=$S$18),U1481,0)</t>
  </si>
  <si>
    <t>=IF($M1481&lt;=$T$18,U1481,0)</t>
  </si>
  <si>
    <t>="""NAV Direct"",""CRONUS JetCorp USA"",""21"",""1"",""23016"""</t>
  </si>
  <si>
    <t>=E1480</t>
  </si>
  <si>
    <t>=StartDate-$M1482+1</t>
  </si>
  <si>
    <t>=SUM(P1482:T1482)</t>
  </si>
  <si>
    <t>=IF($M1482&gt;=$P$18,U1482,0)</t>
  </si>
  <si>
    <t>=IF(AND($M1482&gt;=$Q$16,$M1482&lt;=$Q$18),U1482,0)</t>
  </si>
  <si>
    <t>=IF(AND($M1482&gt;=$R$16,$M1482&lt;=$R$18),U1482,0)</t>
  </si>
  <si>
    <t>=IF(AND($M1482&gt;=$S$16,$M1482&lt;=$S$18),U1482,0)</t>
  </si>
  <si>
    <t>=IF($M1482&lt;=$T$18,U1482,0)</t>
  </si>
  <si>
    <t>=E1481</t>
  </si>
  <si>
    <t>=StartDate-$M1483+1</t>
  </si>
  <si>
    <t>=SUM(P1483:T1483)</t>
  </si>
  <si>
    <t>=IF($M1483&gt;=$P$18,U1483,0)</t>
  </si>
  <si>
    <t>=IF(AND($M1483&gt;=$Q$16,$M1483&lt;=$Q$18),U1483,0)</t>
  </si>
  <si>
    <t>=IF(AND($M1483&gt;=$R$16,$M1483&lt;=$R$18),U1483,0)</t>
  </si>
  <si>
    <t>=IF(AND($M1483&gt;=$S$16,$M1483&lt;=$S$18),U1483,0)</t>
  </si>
  <si>
    <t>=IF($M1483&lt;=$T$18,U1483,0)</t>
  </si>
  <si>
    <t>="""NAV Direct"",""CRONUS JetCorp USA"",""21"",""1"",""313509"""</t>
  </si>
  <si>
    <t>=E1482</t>
  </si>
  <si>
    <t>=StartDate-$M1484+1</t>
  </si>
  <si>
    <t>=SUM(P1484:T1484)</t>
  </si>
  <si>
    <t>=IF($M1484&gt;=$P$18,U1484,0)</t>
  </si>
  <si>
    <t>=IF(AND($M1484&gt;=$Q$16,$M1484&lt;=$Q$18),U1484,0)</t>
  </si>
  <si>
    <t>=IF(AND($M1484&gt;=$R$16,$M1484&lt;=$R$18),U1484,0)</t>
  </si>
  <si>
    <t>=IF(AND($M1484&gt;=$S$16,$M1484&lt;=$S$18),U1484,0)</t>
  </si>
  <si>
    <t>=IF($M1484&lt;=$T$18,U1484,0)</t>
  </si>
  <si>
    <t>="""NAV Direct"",""CRONUS JetCorp USA"",""21"",""1"",""313603"""</t>
  </si>
  <si>
    <t>=E1483</t>
  </si>
  <si>
    <t>=StartDate-$M1485+1</t>
  </si>
  <si>
    <t>=SUM(P1485:T1485)</t>
  </si>
  <si>
    <t>=IF($M1485&gt;=$P$18,U1485,0)</t>
  </si>
  <si>
    <t>=IF(AND($M1485&gt;=$Q$16,$M1485&lt;=$Q$18),U1485,0)</t>
  </si>
  <si>
    <t>=IF(AND($M1485&gt;=$R$16,$M1485&lt;=$R$18),U1485,0)</t>
  </si>
  <si>
    <t>=IF(AND($M1485&gt;=$S$16,$M1485&lt;=$S$18),U1485,0)</t>
  </si>
  <si>
    <t>=IF($M1485&lt;=$T$18,U1485,0)</t>
  </si>
  <si>
    <t>="""NAV Direct"",""CRONUS JetCorp USA"",""21"",""1"",""313632"""</t>
  </si>
  <si>
    <t>=E1484</t>
  </si>
  <si>
    <t>=StartDate-$M1486+1</t>
  </si>
  <si>
    <t>=SUM(P1486:T1486)</t>
  </si>
  <si>
    <t>=IF($M1486&gt;=$P$18,U1486,0)</t>
  </si>
  <si>
    <t>=IF(AND($M1486&gt;=$Q$16,$M1486&lt;=$Q$18),U1486,0)</t>
  </si>
  <si>
    <t>=IF(AND($M1486&gt;=$R$16,$M1486&lt;=$R$18),U1486,0)</t>
  </si>
  <si>
    <t>=IF(AND($M1486&gt;=$S$16,$M1486&lt;=$S$18),U1486,0)</t>
  </si>
  <si>
    <t>=IF($M1486&lt;=$T$18,U1486,0)</t>
  </si>
  <si>
    <t>="""NAV Direct"",""CRONUS JetCorp USA"",""21"",""1"",""313740"""</t>
  </si>
  <si>
    <t>=E1485</t>
  </si>
  <si>
    <t>=StartDate-$M1487+1</t>
  </si>
  <si>
    <t>=SUM(P1487:T1487)</t>
  </si>
  <si>
    <t>=IF($M1487&gt;=$P$18,U1487,0)</t>
  </si>
  <si>
    <t>=IF(AND($M1487&gt;=$Q$16,$M1487&lt;=$Q$18),U1487,0)</t>
  </si>
  <si>
    <t>=IF(AND($M1487&gt;=$R$16,$M1487&lt;=$R$18),U1487,0)</t>
  </si>
  <si>
    <t>=IF(AND($M1487&gt;=$S$16,$M1487&lt;=$S$18),U1487,0)</t>
  </si>
  <si>
    <t>=IF($M1487&lt;=$T$18,U1487,0)</t>
  </si>
  <si>
    <t>="""NAV Direct"",""CRONUS JetCorp USA"",""21"",""1"",""313780"""</t>
  </si>
  <si>
    <t>=E1486</t>
  </si>
  <si>
    <t>=StartDate-$M1488+1</t>
  </si>
  <si>
    <t>=SUM(P1488:T1488)</t>
  </si>
  <si>
    <t>=IF($M1488&gt;=$P$18,U1488,0)</t>
  </si>
  <si>
    <t>=IF(AND($M1488&gt;=$Q$16,$M1488&lt;=$Q$18),U1488,0)</t>
  </si>
  <si>
    <t>=IF(AND($M1488&gt;=$R$16,$M1488&lt;=$R$18),U1488,0)</t>
  </si>
  <si>
    <t>=IF(AND($M1488&gt;=$S$16,$M1488&lt;=$S$18),U1488,0)</t>
  </si>
  <si>
    <t>=IF($M1488&lt;=$T$18,U1488,0)</t>
  </si>
  <si>
    <t>="""NAV Direct"",""CRONUS JetCorp USA"",""21"",""1"",""313803"""</t>
  </si>
  <si>
    <t>=E1487</t>
  </si>
  <si>
    <t>=StartDate-$M1489+1</t>
  </si>
  <si>
    <t>=SUM(P1489:T1489)</t>
  </si>
  <si>
    <t>=IF($M1489&gt;=$P$18,U1489,0)</t>
  </si>
  <si>
    <t>=IF(AND($M1489&gt;=$Q$16,$M1489&lt;=$Q$18),U1489,0)</t>
  </si>
  <si>
    <t>=IF(AND($M1489&gt;=$R$16,$M1489&lt;=$R$18),U1489,0)</t>
  </si>
  <si>
    <t>=IF(AND($M1489&gt;=$S$16,$M1489&lt;=$S$18),U1489,0)</t>
  </si>
  <si>
    <t>=IF($M1489&lt;=$T$18,U1489,0)</t>
  </si>
  <si>
    <t>="""NAV Direct"",""CRONUS JetCorp USA"",""21"",""1"",""313903"""</t>
  </si>
  <si>
    <t>=E1488</t>
  </si>
  <si>
    <t>=StartDate-$M1490+1</t>
  </si>
  <si>
    <t>=SUM(P1490:T1490)</t>
  </si>
  <si>
    <t>=IF($M1490&gt;=$P$18,U1490,0)</t>
  </si>
  <si>
    <t>=IF(AND($M1490&gt;=$Q$16,$M1490&lt;=$Q$18),U1490,0)</t>
  </si>
  <si>
    <t>=IF(AND($M1490&gt;=$R$16,$M1490&lt;=$R$18),U1490,0)</t>
  </si>
  <si>
    <t>=IF(AND($M1490&gt;=$S$16,$M1490&lt;=$S$18),U1490,0)</t>
  </si>
  <si>
    <t>=IF($M1490&lt;=$T$18,U1490,0)</t>
  </si>
  <si>
    <t>="""NAV Direct"",""CRONUS JetCorp USA"",""21"",""1"",""314254"""</t>
  </si>
  <si>
    <t>=E1489</t>
  </si>
  <si>
    <t>=StartDate-$M1491+1</t>
  </si>
  <si>
    <t>=SUM(P1491:T1491)</t>
  </si>
  <si>
    <t>=IF($M1491&gt;=$P$18,U1491,0)</t>
  </si>
  <si>
    <t>=IF(AND($M1491&gt;=$Q$16,$M1491&lt;=$Q$18),U1491,0)</t>
  </si>
  <si>
    <t>=IF(AND($M1491&gt;=$R$16,$M1491&lt;=$R$18),U1491,0)</t>
  </si>
  <si>
    <t>=IF(AND($M1491&gt;=$S$16,$M1491&lt;=$S$18),U1491,0)</t>
  </si>
  <si>
    <t>=IF($M1491&lt;=$T$18,U1491,0)</t>
  </si>
  <si>
    <t>="""NAV Direct"",""CRONUS JetCorp USA"",""21"",""1"",""314329"""</t>
  </si>
  <si>
    <t>=E1490</t>
  </si>
  <si>
    <t>=StartDate-$M1492+1</t>
  </si>
  <si>
    <t>=SUM(P1492:T1492)</t>
  </si>
  <si>
    <t>=IF($M1492&gt;=$P$18,U1492,0)</t>
  </si>
  <si>
    <t>=IF(AND($M1492&gt;=$Q$16,$M1492&lt;=$Q$18),U1492,0)</t>
  </si>
  <si>
    <t>=IF(AND($M1492&gt;=$R$16,$M1492&lt;=$R$18),U1492,0)</t>
  </si>
  <si>
    <t>=IF(AND($M1492&gt;=$S$16,$M1492&lt;=$S$18),U1492,0)</t>
  </si>
  <si>
    <t>=IF($M1492&lt;=$T$18,U1492,0)</t>
  </si>
  <si>
    <t>="""NAV Direct"",""CRONUS JetCorp USA"",""21"",""1"",""314358"""</t>
  </si>
  <si>
    <t>=E1491</t>
  </si>
  <si>
    <t>=StartDate-$M1493+1</t>
  </si>
  <si>
    <t>=SUM(P1493:T1493)</t>
  </si>
  <si>
    <t>=IF($M1493&gt;=$P$18,U1493,0)</t>
  </si>
  <si>
    <t>=IF(AND($M1493&gt;=$Q$16,$M1493&lt;=$Q$18),U1493,0)</t>
  </si>
  <si>
    <t>=IF(AND($M1493&gt;=$R$16,$M1493&lt;=$R$18),U1493,0)</t>
  </si>
  <si>
    <t>=IF(AND($M1493&gt;=$S$16,$M1493&lt;=$S$18),U1493,0)</t>
  </si>
  <si>
    <t>=IF($M1493&lt;=$T$18,U1493,0)</t>
  </si>
  <si>
    <t>="""NAV Direct"",""CRONUS JetCorp USA"",""21"",""1"",""314812"""</t>
  </si>
  <si>
    <t>=E1492</t>
  </si>
  <si>
    <t>=StartDate-$M1494+1</t>
  </si>
  <si>
    <t>=SUM(P1494:T1494)</t>
  </si>
  <si>
    <t>=IF($M1494&gt;=$P$18,U1494,0)</t>
  </si>
  <si>
    <t>=IF(AND($M1494&gt;=$Q$16,$M1494&lt;=$Q$18),U1494,0)</t>
  </si>
  <si>
    <t>=IF(AND($M1494&gt;=$R$16,$M1494&lt;=$R$18),U1494,0)</t>
  </si>
  <si>
    <t>=IF(AND($M1494&gt;=$S$16,$M1494&lt;=$S$18),U1494,0)</t>
  </si>
  <si>
    <t>=IF($M1494&lt;=$T$18,U1494,0)</t>
  </si>
  <si>
    <t>="""NAV Direct"",""CRONUS JetCorp USA"",""21"",""1"",""314835"""</t>
  </si>
  <si>
    <t>=E1493</t>
  </si>
  <si>
    <t>=StartDate-$M1495+1</t>
  </si>
  <si>
    <t>=SUM(P1495:T1495)</t>
  </si>
  <si>
    <t>=IF($M1495&gt;=$P$18,U1495,0)</t>
  </si>
  <si>
    <t>=IF(AND($M1495&gt;=$Q$16,$M1495&lt;=$Q$18),U1495,0)</t>
  </si>
  <si>
    <t>=IF(AND($M1495&gt;=$R$16,$M1495&lt;=$R$18),U1495,0)</t>
  </si>
  <si>
    <t>=IF(AND($M1495&gt;=$S$16,$M1495&lt;=$S$18),U1495,0)</t>
  </si>
  <si>
    <t>=IF($M1495&lt;=$T$18,U1495,0)</t>
  </si>
  <si>
    <t>="""NAV Direct"",""CRONUS JetCorp USA"",""21"",""1"",""314925"""</t>
  </si>
  <si>
    <t>=E1494</t>
  </si>
  <si>
    <t>=StartDate-$M1496+1</t>
  </si>
  <si>
    <t>=SUM(P1496:T1496)</t>
  </si>
  <si>
    <t>=IF($M1496&gt;=$P$18,U1496,0)</t>
  </si>
  <si>
    <t>=IF(AND($M1496&gt;=$Q$16,$M1496&lt;=$Q$18),U1496,0)</t>
  </si>
  <si>
    <t>=IF(AND($M1496&gt;=$R$16,$M1496&lt;=$R$18),U1496,0)</t>
  </si>
  <si>
    <t>=IF(AND($M1496&gt;=$S$16,$M1496&lt;=$S$18),U1496,0)</t>
  </si>
  <si>
    <t>=IF($M1496&lt;=$T$18,U1496,0)</t>
  </si>
  <si>
    <t>="""NAV Direct"",""CRONUS JetCorp USA"",""21"",""1"",""315555"""</t>
  </si>
  <si>
    <t>=E1495</t>
  </si>
  <si>
    <t>=StartDate-$M1497+1</t>
  </si>
  <si>
    <t>=SUM(P1497:T1497)</t>
  </si>
  <si>
    <t>=IF($M1497&gt;=$P$18,U1497,0)</t>
  </si>
  <si>
    <t>=IF(AND($M1497&gt;=$Q$16,$M1497&lt;=$Q$18),U1497,0)</t>
  </si>
  <si>
    <t>=IF(AND($M1497&gt;=$R$16,$M1497&lt;=$R$18),U1497,0)</t>
  </si>
  <si>
    <t>=IF(AND($M1497&gt;=$S$16,$M1497&lt;=$S$18),U1497,0)</t>
  </si>
  <si>
    <t>=IF($M1497&lt;=$T$18,U1497,0)</t>
  </si>
  <si>
    <t>="""NAV Direct"",""CRONUS JetCorp USA"",""21"",""1"",""315636"""</t>
  </si>
  <si>
    <t>=E1496</t>
  </si>
  <si>
    <t>=StartDate-$M1498+1</t>
  </si>
  <si>
    <t>=SUM(P1498:T1498)</t>
  </si>
  <si>
    <t>=IF($M1498&gt;=$P$18,U1498,0)</t>
  </si>
  <si>
    <t>=IF(AND($M1498&gt;=$Q$16,$M1498&lt;=$Q$18),U1498,0)</t>
  </si>
  <si>
    <t>=IF(AND($M1498&gt;=$R$16,$M1498&lt;=$R$18),U1498,0)</t>
  </si>
  <si>
    <t>=IF(AND($M1498&gt;=$S$16,$M1498&lt;=$S$18),U1498,0)</t>
  </si>
  <si>
    <t>=IF($M1498&lt;=$T$18,U1498,0)</t>
  </si>
  <si>
    <t>="""NAV Direct"",""CRONUS JetCorp USA"",""21"",""1"",""315663"""</t>
  </si>
  <si>
    <t>=E1497</t>
  </si>
  <si>
    <t>=StartDate-$M1499+1</t>
  </si>
  <si>
    <t>=SUM(P1499:T1499)</t>
  </si>
  <si>
    <t>=IF($M1499&gt;=$P$18,U1499,0)</t>
  </si>
  <si>
    <t>=IF(AND($M1499&gt;=$Q$16,$M1499&lt;=$Q$18),U1499,0)</t>
  </si>
  <si>
    <t>=IF(AND($M1499&gt;=$R$16,$M1499&lt;=$R$18),U1499,0)</t>
  </si>
  <si>
    <t>=IF(AND($M1499&gt;=$S$16,$M1499&lt;=$S$18),U1499,0)</t>
  </si>
  <si>
    <t>=IF($M1499&lt;=$T$18,U1499,0)</t>
  </si>
  <si>
    <t>="""NAV Direct"",""CRONUS JetCorp USA"",""21"",""1"",""315682"""</t>
  </si>
  <si>
    <t>=E1498</t>
  </si>
  <si>
    <t>=StartDate-$M1500+1</t>
  </si>
  <si>
    <t>=SUM(P1500:T1500)</t>
  </si>
  <si>
    <t>=IF($M1500&gt;=$P$18,U1500,0)</t>
  </si>
  <si>
    <t>=IF(AND($M1500&gt;=$Q$16,$M1500&lt;=$Q$18),U1500,0)</t>
  </si>
  <si>
    <t>=IF(AND($M1500&gt;=$R$16,$M1500&lt;=$R$18),U1500,0)</t>
  </si>
  <si>
    <t>=IF(AND($M1500&gt;=$S$16,$M1500&lt;=$S$18),U1500,0)</t>
  </si>
  <si>
    <t>=IF($M1500&lt;=$T$18,U1500,0)</t>
  </si>
  <si>
    <t>="""NAV Direct"",""CRONUS JetCorp USA"",""21"",""1"",""315728"""</t>
  </si>
  <si>
    <t>=E1499</t>
  </si>
  <si>
    <t>=StartDate-$M1501+1</t>
  </si>
  <si>
    <t>=SUM(P1501:T1501)</t>
  </si>
  <si>
    <t>=IF($M1501&gt;=$P$18,U1501,0)</t>
  </si>
  <si>
    <t>=IF(AND($M1501&gt;=$Q$16,$M1501&lt;=$Q$18),U1501,0)</t>
  </si>
  <si>
    <t>=IF(AND($M1501&gt;=$R$16,$M1501&lt;=$R$18),U1501,0)</t>
  </si>
  <si>
    <t>=IF(AND($M1501&gt;=$S$16,$M1501&lt;=$S$18),U1501,0)</t>
  </si>
  <si>
    <t>=IF($M1501&lt;=$T$18,U1501,0)</t>
  </si>
  <si>
    <t>="""NAV Direct"",""CRONUS JetCorp USA"",""21"",""1"",""315865"""</t>
  </si>
  <si>
    <t>=E1500</t>
  </si>
  <si>
    <t>=StartDate-$M1502+1</t>
  </si>
  <si>
    <t>=SUM(P1502:T1502)</t>
  </si>
  <si>
    <t>=IF($M1502&gt;=$P$18,U1502,0)</t>
  </si>
  <si>
    <t>=IF(AND($M1502&gt;=$Q$16,$M1502&lt;=$Q$18),U1502,0)</t>
  </si>
  <si>
    <t>=IF(AND($M1502&gt;=$R$16,$M1502&lt;=$R$18),U1502,0)</t>
  </si>
  <si>
    <t>=IF(AND($M1502&gt;=$S$16,$M1502&lt;=$S$18),U1502,0)</t>
  </si>
  <si>
    <t>=IF($M1502&lt;=$T$18,U1502,0)</t>
  </si>
  <si>
    <t>="""NAV Direct"",""CRONUS JetCorp USA"",""21"",""1"",""315892"""</t>
  </si>
  <si>
    <t>=E1501</t>
  </si>
  <si>
    <t>=StartDate-$M1503+1</t>
  </si>
  <si>
    <t>=SUM(P1503:T1503)</t>
  </si>
  <si>
    <t>=IF($M1503&gt;=$P$18,U1503,0)</t>
  </si>
  <si>
    <t>=IF(AND($M1503&gt;=$Q$16,$M1503&lt;=$Q$18),U1503,0)</t>
  </si>
  <si>
    <t>=IF(AND($M1503&gt;=$R$16,$M1503&lt;=$R$18),U1503,0)</t>
  </si>
  <si>
    <t>=IF(AND($M1503&gt;=$S$16,$M1503&lt;=$S$18),U1503,0)</t>
  </si>
  <si>
    <t>=IF($M1503&lt;=$T$18,U1503,0)</t>
  </si>
  <si>
    <t>="""NAV Direct"",""CRONUS JetCorp USA"",""21"",""1"",""315913"""</t>
  </si>
  <si>
    <t>=E1502</t>
  </si>
  <si>
    <t>=StartDate-$M1504+1</t>
  </si>
  <si>
    <t>=SUM(P1504:T1504)</t>
  </si>
  <si>
    <t>=IF($M1504&gt;=$P$18,U1504,0)</t>
  </si>
  <si>
    <t>=IF(AND($M1504&gt;=$Q$16,$M1504&lt;=$Q$18),U1504,0)</t>
  </si>
  <si>
    <t>=IF(AND($M1504&gt;=$R$16,$M1504&lt;=$R$18),U1504,0)</t>
  </si>
  <si>
    <t>=IF(AND($M1504&gt;=$S$16,$M1504&lt;=$S$18),U1504,0)</t>
  </si>
  <si>
    <t>=IF($M1504&lt;=$T$18,U1504,0)</t>
  </si>
  <si>
    <t>="""NAV Direct"",""CRONUS JetCorp USA"",""21"",""1"",""315957"""</t>
  </si>
  <si>
    <t>=E1503</t>
  </si>
  <si>
    <t>=StartDate-$M1505+1</t>
  </si>
  <si>
    <t>=SUM(P1505:T1505)</t>
  </si>
  <si>
    <t>=IF($M1505&gt;=$P$18,U1505,0)</t>
  </si>
  <si>
    <t>=IF(AND($M1505&gt;=$Q$16,$M1505&lt;=$Q$18),U1505,0)</t>
  </si>
  <si>
    <t>=IF(AND($M1505&gt;=$R$16,$M1505&lt;=$R$18),U1505,0)</t>
  </si>
  <si>
    <t>=IF(AND($M1505&gt;=$S$16,$M1505&lt;=$S$18),U1505,0)</t>
  </si>
  <si>
    <t>=IF($M1505&lt;=$T$18,U1505,0)</t>
  </si>
  <si>
    <t>="""NAV Direct"",""CRONUS JetCorp USA"",""21"",""1"",""316091"""</t>
  </si>
  <si>
    <t>=E1504</t>
  </si>
  <si>
    <t>=StartDate-$M1506+1</t>
  </si>
  <si>
    <t>=SUM(P1506:T1506)</t>
  </si>
  <si>
    <t>=IF($M1506&gt;=$P$18,U1506,0)</t>
  </si>
  <si>
    <t>=IF(AND($M1506&gt;=$Q$16,$M1506&lt;=$Q$18),U1506,0)</t>
  </si>
  <si>
    <t>=IF(AND($M1506&gt;=$R$16,$M1506&lt;=$R$18),U1506,0)</t>
  </si>
  <si>
    <t>=IF(AND($M1506&gt;=$S$16,$M1506&lt;=$S$18),U1506,0)</t>
  </si>
  <si>
    <t>=IF($M1506&lt;=$T$18,U1506,0)</t>
  </si>
  <si>
    <t>="""NAV Direct"",""CRONUS JetCorp USA"",""21"",""1"",""316143"""</t>
  </si>
  <si>
    <t>=E1505</t>
  </si>
  <si>
    <t>=StartDate-$M1507+1</t>
  </si>
  <si>
    <t>=SUM(P1507:T1507)</t>
  </si>
  <si>
    <t>=IF($M1507&gt;=$P$18,U1507,0)</t>
  </si>
  <si>
    <t>=IF(AND($M1507&gt;=$Q$16,$M1507&lt;=$Q$18),U1507,0)</t>
  </si>
  <si>
    <t>=IF(AND($M1507&gt;=$R$16,$M1507&lt;=$R$18),U1507,0)</t>
  </si>
  <si>
    <t>=IF(AND($M1507&gt;=$S$16,$M1507&lt;=$S$18),U1507,0)</t>
  </si>
  <si>
    <t>=IF($M1507&lt;=$T$18,U1507,0)</t>
  </si>
  <si>
    <t>="""NAV Direct"",""CRONUS JetCorp USA"",""21"",""1"",""316322"""</t>
  </si>
  <si>
    <t>=E1506</t>
  </si>
  <si>
    <t>=StartDate-$M1508+1</t>
  </si>
  <si>
    <t>=SUM(P1508:T1508)</t>
  </si>
  <si>
    <t>=IF($M1508&gt;=$P$18,U1508,0)</t>
  </si>
  <si>
    <t>=IF(AND($M1508&gt;=$Q$16,$M1508&lt;=$Q$18),U1508,0)</t>
  </si>
  <si>
    <t>=IF(AND($M1508&gt;=$R$16,$M1508&lt;=$R$18),U1508,0)</t>
  </si>
  <si>
    <t>=IF(AND($M1508&gt;=$S$16,$M1508&lt;=$S$18),U1508,0)</t>
  </si>
  <si>
    <t>=IF($M1508&lt;=$T$18,U1508,0)</t>
  </si>
  <si>
    <t>="""NAV Direct"",""CRONUS JetCorp USA"",""21"",""1"",""316391"""</t>
  </si>
  <si>
    <t>=E1507</t>
  </si>
  <si>
    <t>=StartDate-$M1509+1</t>
  </si>
  <si>
    <t>=SUM(P1509:T1509)</t>
  </si>
  <si>
    <t>=IF($M1509&gt;=$P$18,U1509,0)</t>
  </si>
  <si>
    <t>=IF(AND($M1509&gt;=$Q$16,$M1509&lt;=$Q$18),U1509,0)</t>
  </si>
  <si>
    <t>=IF(AND($M1509&gt;=$R$16,$M1509&lt;=$R$18),U1509,0)</t>
  </si>
  <si>
    <t>=IF(AND($M1509&gt;=$S$16,$M1509&lt;=$S$18),U1509,0)</t>
  </si>
  <si>
    <t>=IF($M1509&lt;=$T$18,U1509,0)</t>
  </si>
  <si>
    <t>="""NAV Direct"",""CRONUS JetCorp USA"",""21"",""1"",""316553"""</t>
  </si>
  <si>
    <t>=E1508</t>
  </si>
  <si>
    <t>=StartDate-$M1510+1</t>
  </si>
  <si>
    <t>=SUM(P1510:T1510)</t>
  </si>
  <si>
    <t>=IF($M1510&gt;=$P$18,U1510,0)</t>
  </si>
  <si>
    <t>=IF(AND($M1510&gt;=$Q$16,$M1510&lt;=$Q$18),U1510,0)</t>
  </si>
  <si>
    <t>=IF(AND($M1510&gt;=$R$16,$M1510&lt;=$R$18),U1510,0)</t>
  </si>
  <si>
    <t>=IF(AND($M1510&gt;=$S$16,$M1510&lt;=$S$18),U1510,0)</t>
  </si>
  <si>
    <t>=IF($M1510&lt;=$T$18,U1510,0)</t>
  </si>
  <si>
    <t>="""NAV Direct"",""CRONUS JetCorp USA"",""21"",""1"",""316572"""</t>
  </si>
  <si>
    <t>=E1509</t>
  </si>
  <si>
    <t>=StartDate-$M1511+1</t>
  </si>
  <si>
    <t>=SUM(P1511:T1511)</t>
  </si>
  <si>
    <t>=IF($M1511&gt;=$P$18,U1511,0)</t>
  </si>
  <si>
    <t>=IF(AND($M1511&gt;=$Q$16,$M1511&lt;=$Q$18),U1511,0)</t>
  </si>
  <si>
    <t>=IF(AND($M1511&gt;=$R$16,$M1511&lt;=$R$18),U1511,0)</t>
  </si>
  <si>
    <t>=IF(AND($M1511&gt;=$S$16,$M1511&lt;=$S$18),U1511,0)</t>
  </si>
  <si>
    <t>=IF($M1511&lt;=$T$18,U1511,0)</t>
  </si>
  <si>
    <t>="""NAV Direct"",""CRONUS JetCorp USA"",""21"",""1"",""316635"""</t>
  </si>
  <si>
    <t>=E1510</t>
  </si>
  <si>
    <t>=StartDate-$M1512+1</t>
  </si>
  <si>
    <t>=SUM(P1512:T1512)</t>
  </si>
  <si>
    <t>=IF($M1512&gt;=$P$18,U1512,0)</t>
  </si>
  <si>
    <t>=IF(AND($M1512&gt;=$Q$16,$M1512&lt;=$Q$18),U1512,0)</t>
  </si>
  <si>
    <t>=IF(AND($M1512&gt;=$R$16,$M1512&lt;=$R$18),U1512,0)</t>
  </si>
  <si>
    <t>=IF(AND($M1512&gt;=$S$16,$M1512&lt;=$S$18),U1512,0)</t>
  </si>
  <si>
    <t>=IF($M1512&lt;=$T$18,U1512,0)</t>
  </si>
  <si>
    <t>="""NAV Direct"",""CRONUS JetCorp USA"",""21"",""1"",""316946"""</t>
  </si>
  <si>
    <t>=E1511</t>
  </si>
  <si>
    <t>=StartDate-$M1513+1</t>
  </si>
  <si>
    <t>=SUM(P1513:T1513)</t>
  </si>
  <si>
    <t>=IF($M1513&gt;=$P$18,U1513,0)</t>
  </si>
  <si>
    <t>=IF(AND($M1513&gt;=$Q$16,$M1513&lt;=$Q$18),U1513,0)</t>
  </si>
  <si>
    <t>=IF(AND($M1513&gt;=$R$16,$M1513&lt;=$R$18),U1513,0)</t>
  </si>
  <si>
    <t>=IF(AND($M1513&gt;=$S$16,$M1513&lt;=$S$18),U1513,0)</t>
  </si>
  <si>
    <t>=IF($M1513&lt;=$T$18,U1513,0)</t>
  </si>
  <si>
    <t>="""NAV Direct"",""CRONUS JetCorp USA"",""21"",""1"",""317069"""</t>
  </si>
  <si>
    <t>=E1512</t>
  </si>
  <si>
    <t>=StartDate-$M1514+1</t>
  </si>
  <si>
    <t>=SUM(P1514:T1514)</t>
  </si>
  <si>
    <t>=IF($M1514&gt;=$P$18,U1514,0)</t>
  </si>
  <si>
    <t>=IF(AND($M1514&gt;=$Q$16,$M1514&lt;=$Q$18),U1514,0)</t>
  </si>
  <si>
    <t>=IF(AND($M1514&gt;=$R$16,$M1514&lt;=$R$18),U1514,0)</t>
  </si>
  <si>
    <t>=IF(AND($M1514&gt;=$S$16,$M1514&lt;=$S$18),U1514,0)</t>
  </si>
  <si>
    <t>=IF($M1514&lt;=$T$18,U1514,0)</t>
  </si>
  <si>
    <t>="""NAV Direct"",""CRONUS JetCorp USA"",""21"",""1"",""317573"""</t>
  </si>
  <si>
    <t>=E1513</t>
  </si>
  <si>
    <t>=StartDate-$M1515+1</t>
  </si>
  <si>
    <t>=SUM(P1515:T1515)</t>
  </si>
  <si>
    <t>=IF($M1515&gt;=$P$18,U1515,0)</t>
  </si>
  <si>
    <t>=IF(AND($M1515&gt;=$Q$16,$M1515&lt;=$Q$18),U1515,0)</t>
  </si>
  <si>
    <t>=IF(AND($M1515&gt;=$R$16,$M1515&lt;=$R$18),U1515,0)</t>
  </si>
  <si>
    <t>=IF(AND($M1515&gt;=$S$16,$M1515&lt;=$S$18),U1515,0)</t>
  </si>
  <si>
    <t>=IF($M1515&lt;=$T$18,U1515,0)</t>
  </si>
  <si>
    <t>="""NAV Direct"",""CRONUS JetCorp USA"",""21"",""1"",""317914"""</t>
  </si>
  <si>
    <t>=E1514</t>
  </si>
  <si>
    <t>=StartDate-$M1516+1</t>
  </si>
  <si>
    <t>=SUM(P1516:T1516)</t>
  </si>
  <si>
    <t>=IF($M1516&gt;=$P$18,U1516,0)</t>
  </si>
  <si>
    <t>=IF(AND($M1516&gt;=$Q$16,$M1516&lt;=$Q$18),U1516,0)</t>
  </si>
  <si>
    <t>=IF(AND($M1516&gt;=$R$16,$M1516&lt;=$R$18),U1516,0)</t>
  </si>
  <si>
    <t>=IF(AND($M1516&gt;=$S$16,$M1516&lt;=$S$18),U1516,0)</t>
  </si>
  <si>
    <t>=IF($M1516&lt;=$T$18,U1516,0)</t>
  </si>
  <si>
    <t>="""NAV Direct"",""CRONUS JetCorp USA"",""21"",""1"",""318087"""</t>
  </si>
  <si>
    <t>=E1515</t>
  </si>
  <si>
    <t>=StartDate-$M1517+1</t>
  </si>
  <si>
    <t>=SUM(P1517:T1517)</t>
  </si>
  <si>
    <t>=IF($M1517&gt;=$P$18,U1517,0)</t>
  </si>
  <si>
    <t>=IF(AND($M1517&gt;=$Q$16,$M1517&lt;=$Q$18),U1517,0)</t>
  </si>
  <si>
    <t>=IF(AND($M1517&gt;=$R$16,$M1517&lt;=$R$18),U1517,0)</t>
  </si>
  <si>
    <t>=IF(AND($M1517&gt;=$S$16,$M1517&lt;=$S$18),U1517,0)</t>
  </si>
  <si>
    <t>=IF($M1517&lt;=$T$18,U1517,0)</t>
  </si>
  <si>
    <t>="""NAV Direct"",""CRONUS JetCorp USA"",""21"",""1"",""318114"""</t>
  </si>
  <si>
    <t>=E1516</t>
  </si>
  <si>
    <t>=StartDate-$M1518+1</t>
  </si>
  <si>
    <t>=SUM(P1518:T1518)</t>
  </si>
  <si>
    <t>=IF($M1518&gt;=$P$18,U1518,0)</t>
  </si>
  <si>
    <t>=IF(AND($M1518&gt;=$Q$16,$M1518&lt;=$Q$18),U1518,0)</t>
  </si>
  <si>
    <t>=IF(AND($M1518&gt;=$R$16,$M1518&lt;=$R$18),U1518,0)</t>
  </si>
  <si>
    <t>=IF(AND($M1518&gt;=$S$16,$M1518&lt;=$S$18),U1518,0)</t>
  </si>
  <si>
    <t>=IF($M1518&lt;=$T$18,U1518,0)</t>
  </si>
  <si>
    <t>="""NAV Direct"",""CRONUS JetCorp USA"",""21"",""1"",""318201"""</t>
  </si>
  <si>
    <t>=E1517</t>
  </si>
  <si>
    <t>=StartDate-$M1519+1</t>
  </si>
  <si>
    <t>=SUM(P1519:T1519)</t>
  </si>
  <si>
    <t>=IF($M1519&gt;=$P$18,U1519,0)</t>
  </si>
  <si>
    <t>=IF(AND($M1519&gt;=$Q$16,$M1519&lt;=$Q$18),U1519,0)</t>
  </si>
  <si>
    <t>=IF(AND($M1519&gt;=$R$16,$M1519&lt;=$R$18),U1519,0)</t>
  </si>
  <si>
    <t>=IF(AND($M1519&gt;=$S$16,$M1519&lt;=$S$18),U1519,0)</t>
  </si>
  <si>
    <t>=IF($M1519&lt;=$T$18,U1519,0)</t>
  </si>
  <si>
    <t>="""NAV Direct"",""CRONUS JetCorp USA"",""21"",""1"",""318342"""</t>
  </si>
  <si>
    <t>=E1518</t>
  </si>
  <si>
    <t>=StartDate-$M1520+1</t>
  </si>
  <si>
    <t>=SUM(P1520:T1520)</t>
  </si>
  <si>
    <t>=IF($M1520&gt;=$P$18,U1520,0)</t>
  </si>
  <si>
    <t>=IF(AND($M1520&gt;=$Q$16,$M1520&lt;=$Q$18),U1520,0)</t>
  </si>
  <si>
    <t>=IF(AND($M1520&gt;=$R$16,$M1520&lt;=$R$18),U1520,0)</t>
  </si>
  <si>
    <t>=IF(AND($M1520&gt;=$S$16,$M1520&lt;=$S$18),U1520,0)</t>
  </si>
  <si>
    <t>=IF($M1520&lt;=$T$18,U1520,0)</t>
  </si>
  <si>
    <t>="""NAV Direct"",""CRONUS JetCorp USA"",""21"",""1"",""318363"""</t>
  </si>
  <si>
    <t>=E1519</t>
  </si>
  <si>
    <t>=StartDate-$M1521+1</t>
  </si>
  <si>
    <t>=SUM(P1521:T1521)</t>
  </si>
  <si>
    <t>=IF($M1521&gt;=$P$18,U1521,0)</t>
  </si>
  <si>
    <t>=IF(AND($M1521&gt;=$Q$16,$M1521&lt;=$Q$18),U1521,0)</t>
  </si>
  <si>
    <t>=IF(AND($M1521&gt;=$R$16,$M1521&lt;=$R$18),U1521,0)</t>
  </si>
  <si>
    <t>=IF(AND($M1521&gt;=$S$16,$M1521&lt;=$S$18),U1521,0)</t>
  </si>
  <si>
    <t>=IF($M1521&lt;=$T$18,U1521,0)</t>
  </si>
  <si>
    <t>="""NAV Direct"",""CRONUS JetCorp USA"",""21"",""1"",""318578"""</t>
  </si>
  <si>
    <t>=E1520</t>
  </si>
  <si>
    <t>=StartDate-$M1522+1</t>
  </si>
  <si>
    <t>=SUM(P1522:T1522)</t>
  </si>
  <si>
    <t>=IF($M1522&gt;=$P$18,U1522,0)</t>
  </si>
  <si>
    <t>=IF(AND($M1522&gt;=$Q$16,$M1522&lt;=$Q$18),U1522,0)</t>
  </si>
  <si>
    <t>=IF(AND($M1522&gt;=$R$16,$M1522&lt;=$R$18),U1522,0)</t>
  </si>
  <si>
    <t>=IF(AND($M1522&gt;=$S$16,$M1522&lt;=$S$18),U1522,0)</t>
  </si>
  <si>
    <t>=IF($M1522&lt;=$T$18,U1522,0)</t>
  </si>
  <si>
    <t>="""NAV Direct"",""CRONUS JetCorp USA"",""21"",""1"",""318666"""</t>
  </si>
  <si>
    <t>=E1521</t>
  </si>
  <si>
    <t>=StartDate-$M1523+1</t>
  </si>
  <si>
    <t>=SUM(P1523:T1523)</t>
  </si>
  <si>
    <t>=IF($M1523&gt;=$P$18,U1523,0)</t>
  </si>
  <si>
    <t>=IF(AND($M1523&gt;=$Q$16,$M1523&lt;=$Q$18),U1523,0)</t>
  </si>
  <si>
    <t>=IF(AND($M1523&gt;=$R$16,$M1523&lt;=$R$18),U1523,0)</t>
  </si>
  <si>
    <t>=IF(AND($M1523&gt;=$S$16,$M1523&lt;=$S$18),U1523,0)</t>
  </si>
  <si>
    <t>=IF($M1523&lt;=$T$18,U1523,0)</t>
  </si>
  <si>
    <t>="""NAV Direct"",""CRONUS JetCorp USA"",""21"",""1"",""318768"""</t>
  </si>
  <si>
    <t>=E1522</t>
  </si>
  <si>
    <t>=StartDate-$M1524+1</t>
  </si>
  <si>
    <t>=SUM(P1524:T1524)</t>
  </si>
  <si>
    <t>=IF($M1524&gt;=$P$18,U1524,0)</t>
  </si>
  <si>
    <t>=IF(AND($M1524&gt;=$Q$16,$M1524&lt;=$Q$18),U1524,0)</t>
  </si>
  <si>
    <t>=IF(AND($M1524&gt;=$R$16,$M1524&lt;=$R$18),U1524,0)</t>
  </si>
  <si>
    <t>=IF(AND($M1524&gt;=$S$16,$M1524&lt;=$S$18),U1524,0)</t>
  </si>
  <si>
    <t>=IF($M1524&lt;=$T$18,U1524,0)</t>
  </si>
  <si>
    <t>="""NAV Direct"",""CRONUS JetCorp USA"",""21"",""1"",""318847"""</t>
  </si>
  <si>
    <t>=E1523</t>
  </si>
  <si>
    <t>=StartDate-$M1525+1</t>
  </si>
  <si>
    <t>=SUM(P1525:T1525)</t>
  </si>
  <si>
    <t>=IF($M1525&gt;=$P$18,U1525,0)</t>
  </si>
  <si>
    <t>=IF(AND($M1525&gt;=$Q$16,$M1525&lt;=$Q$18),U1525,0)</t>
  </si>
  <si>
    <t>=IF(AND($M1525&gt;=$R$16,$M1525&lt;=$R$18),U1525,0)</t>
  </si>
  <si>
    <t>=IF(AND($M1525&gt;=$S$16,$M1525&lt;=$S$18),U1525,0)</t>
  </si>
  <si>
    <t>=IF($M1525&lt;=$T$18,U1525,0)</t>
  </si>
  <si>
    <t>="""NAV Direct"",""CRONUS JetCorp USA"",""21"",""1"",""319384"""</t>
  </si>
  <si>
    <t>=E1524</t>
  </si>
  <si>
    <t>=StartDate-$M1526+1</t>
  </si>
  <si>
    <t>=SUM(P1526:T1526)</t>
  </si>
  <si>
    <t>=IF($M1526&gt;=$P$18,U1526,0)</t>
  </si>
  <si>
    <t>=IF(AND($M1526&gt;=$Q$16,$M1526&lt;=$Q$18),U1526,0)</t>
  </si>
  <si>
    <t>=IF(AND($M1526&gt;=$R$16,$M1526&lt;=$R$18),U1526,0)</t>
  </si>
  <si>
    <t>=IF(AND($M1526&gt;=$S$16,$M1526&lt;=$S$18),U1526,0)</t>
  </si>
  <si>
    <t>=IF($M1526&lt;=$T$18,U1526,0)</t>
  </si>
  <si>
    <t>="""NAV Direct"",""CRONUS JetCorp USA"",""21"",""1"",""319448"""</t>
  </si>
  <si>
    <t>=E1525</t>
  </si>
  <si>
    <t>=StartDate-$M1527+1</t>
  </si>
  <si>
    <t>=SUM(P1527:T1527)</t>
  </si>
  <si>
    <t>=IF($M1527&gt;=$P$18,U1527,0)</t>
  </si>
  <si>
    <t>=IF(AND($M1527&gt;=$Q$16,$M1527&lt;=$Q$18),U1527,0)</t>
  </si>
  <si>
    <t>=IF(AND($M1527&gt;=$R$16,$M1527&lt;=$R$18),U1527,0)</t>
  </si>
  <si>
    <t>=IF(AND($M1527&gt;=$S$16,$M1527&lt;=$S$18),U1527,0)</t>
  </si>
  <si>
    <t>=IF($M1527&lt;=$T$18,U1527,0)</t>
  </si>
  <si>
    <t>="""NAV Direct"",""CRONUS JetCorp USA"",""21"",""1"",""319475"""</t>
  </si>
  <si>
    <t>=E1526</t>
  </si>
  <si>
    <t>=StartDate-$M1528+1</t>
  </si>
  <si>
    <t>=SUM(P1528:T1528)</t>
  </si>
  <si>
    <t>=IF($M1528&gt;=$P$18,U1528,0)</t>
  </si>
  <si>
    <t>=IF(AND($M1528&gt;=$Q$16,$M1528&lt;=$Q$18),U1528,0)</t>
  </si>
  <si>
    <t>=IF(AND($M1528&gt;=$R$16,$M1528&lt;=$R$18),U1528,0)</t>
  </si>
  <si>
    <t>=IF(AND($M1528&gt;=$S$16,$M1528&lt;=$S$18),U1528,0)</t>
  </si>
  <si>
    <t>=IF($M1528&lt;=$T$18,U1528,0)</t>
  </si>
  <si>
    <t>="""NAV Direct"",""CRONUS JetCorp USA"",""21"",""1"",""319772"""</t>
  </si>
  <si>
    <t>=E1527</t>
  </si>
  <si>
    <t>=StartDate-$M1529+1</t>
  </si>
  <si>
    <t>=SUM(P1529:T1529)</t>
  </si>
  <si>
    <t>=IF($M1529&gt;=$P$18,U1529,0)</t>
  </si>
  <si>
    <t>=IF(AND($M1529&gt;=$Q$16,$M1529&lt;=$Q$18),U1529,0)</t>
  </si>
  <si>
    <t>=IF(AND($M1529&gt;=$R$16,$M1529&lt;=$R$18),U1529,0)</t>
  </si>
  <si>
    <t>=IF(AND($M1529&gt;=$S$16,$M1529&lt;=$S$18),U1529,0)</t>
  </si>
  <si>
    <t>=IF($M1529&lt;=$T$18,U1529,0)</t>
  </si>
  <si>
    <t>="""NAV Direct"",""CRONUS JetCorp USA"",""21"",""1"",""319895"""</t>
  </si>
  <si>
    <t>=E1528</t>
  </si>
  <si>
    <t>=StartDate-$M1530+1</t>
  </si>
  <si>
    <t>=SUM(P1530:T1530)</t>
  </si>
  <si>
    <t>=IF($M1530&gt;=$P$18,U1530,0)</t>
  </si>
  <si>
    <t>=IF(AND($M1530&gt;=$Q$16,$M1530&lt;=$Q$18),U1530,0)</t>
  </si>
  <si>
    <t>=IF(AND($M1530&gt;=$R$16,$M1530&lt;=$R$18),U1530,0)</t>
  </si>
  <si>
    <t>=IF(AND($M1530&gt;=$S$16,$M1530&lt;=$S$18),U1530,0)</t>
  </si>
  <si>
    <t>=IF($M1530&lt;=$T$18,U1530,0)</t>
  </si>
  <si>
    <t>="""NAV Direct"",""CRONUS JetCorp USA"",""21"",""1"",""319922"""</t>
  </si>
  <si>
    <t>=E1529</t>
  </si>
  <si>
    <t>=StartDate-$M1531+1</t>
  </si>
  <si>
    <t>=SUM(P1531:T1531)</t>
  </si>
  <si>
    <t>=IF($M1531&gt;=$P$18,U1531,0)</t>
  </si>
  <si>
    <t>=IF(AND($M1531&gt;=$Q$16,$M1531&lt;=$Q$18),U1531,0)</t>
  </si>
  <si>
    <t>=IF(AND($M1531&gt;=$R$16,$M1531&lt;=$R$18),U1531,0)</t>
  </si>
  <si>
    <t>=IF(AND($M1531&gt;=$S$16,$M1531&lt;=$S$18),U1531,0)</t>
  </si>
  <si>
    <t>=IF($M1531&lt;=$T$18,U1531,0)</t>
  </si>
  <si>
    <t>="""NAV Direct"",""CRONUS JetCorp USA"",""21"",""1"",""320003"""</t>
  </si>
  <si>
    <t>=E1530</t>
  </si>
  <si>
    <t>=StartDate-$M1532+1</t>
  </si>
  <si>
    <t>=SUM(P1532:T1532)</t>
  </si>
  <si>
    <t>=IF($M1532&gt;=$P$18,U1532,0)</t>
  </si>
  <si>
    <t>=IF(AND($M1532&gt;=$Q$16,$M1532&lt;=$Q$18),U1532,0)</t>
  </si>
  <si>
    <t>=IF(AND($M1532&gt;=$R$16,$M1532&lt;=$R$18),U1532,0)</t>
  </si>
  <si>
    <t>=IF(AND($M1532&gt;=$S$16,$M1532&lt;=$S$18),U1532,0)</t>
  </si>
  <si>
    <t>=IF($M1532&lt;=$T$18,U1532,0)</t>
  </si>
  <si>
    <t>="""NAV Direct"",""CRONUS JetCorp USA"",""21"",""1"",""430423"""</t>
  </si>
  <si>
    <t>=E1531</t>
  </si>
  <si>
    <t>=StartDate-$M1533+1</t>
  </si>
  <si>
    <t>=SUM(P1533:T1533)</t>
  </si>
  <si>
    <t>=IF($M1533&gt;=$P$18,U1533,0)</t>
  </si>
  <si>
    <t>=IF(AND($M1533&gt;=$Q$16,$M1533&lt;=$Q$18),U1533,0)</t>
  </si>
  <si>
    <t>=IF(AND($M1533&gt;=$R$16,$M1533&lt;=$R$18),U1533,0)</t>
  </si>
  <si>
    <t>=IF(AND($M1533&gt;=$S$16,$M1533&lt;=$S$18),U1533,0)</t>
  </si>
  <si>
    <t>=IF($M1533&lt;=$T$18,U1533,0)</t>
  </si>
  <si>
    <t>="""NAV Direct"",""CRONUS JetCorp USA"",""21"",""1"",""430451"""</t>
  </si>
  <si>
    <t>=E1532</t>
  </si>
  <si>
    <t>=StartDate-$M1534+1</t>
  </si>
  <si>
    <t>=SUM(P1534:T1534)</t>
  </si>
  <si>
    <t>=IF($M1534&gt;=$P$18,U1534,0)</t>
  </si>
  <si>
    <t>=IF(AND($M1534&gt;=$Q$16,$M1534&lt;=$Q$18),U1534,0)</t>
  </si>
  <si>
    <t>=IF(AND($M1534&gt;=$R$16,$M1534&lt;=$R$18),U1534,0)</t>
  </si>
  <si>
    <t>=IF(AND($M1534&gt;=$S$16,$M1534&lt;=$S$18),U1534,0)</t>
  </si>
  <si>
    <t>=IF($M1534&lt;=$T$18,U1534,0)</t>
  </si>
  <si>
    <t>="""NAV Direct"",""CRONUS JetCorp USA"",""21"",""1"",""430525"""</t>
  </si>
  <si>
    <t>=E1533</t>
  </si>
  <si>
    <t>=StartDate-$M1535+1</t>
  </si>
  <si>
    <t>=SUM(P1535:T1535)</t>
  </si>
  <si>
    <t>=IF($M1535&gt;=$P$18,U1535,0)</t>
  </si>
  <si>
    <t>=IF(AND($M1535&gt;=$Q$16,$M1535&lt;=$Q$18),U1535,0)</t>
  </si>
  <si>
    <t>=IF(AND($M1535&gt;=$R$16,$M1535&lt;=$R$18),U1535,0)</t>
  </si>
  <si>
    <t>=IF(AND($M1535&gt;=$S$16,$M1535&lt;=$S$18),U1535,0)</t>
  </si>
  <si>
    <t>=IF($M1535&lt;=$T$18,U1535,0)</t>
  </si>
  <si>
    <t>="""NAV Direct"",""CRONUS JetCorp USA"",""21"",""1"",""430540"""</t>
  </si>
  <si>
    <t>=E1534</t>
  </si>
  <si>
    <t>=StartDate-$M1536+1</t>
  </si>
  <si>
    <t>=SUM(P1536:T1536)</t>
  </si>
  <si>
    <t>=IF($M1536&gt;=$P$18,U1536,0)</t>
  </si>
  <si>
    <t>=IF(AND($M1536&gt;=$Q$16,$M1536&lt;=$Q$18),U1536,0)</t>
  </si>
  <si>
    <t>=IF(AND($M1536&gt;=$R$16,$M1536&lt;=$R$18),U1536,0)</t>
  </si>
  <si>
    <t>=IF(AND($M1536&gt;=$S$16,$M1536&lt;=$S$18),U1536,0)</t>
  </si>
  <si>
    <t>=IF($M1536&lt;=$T$18,U1536,0)</t>
  </si>
  <si>
    <t>="""NAV Direct"",""CRONUS JetCorp USA"",""21"",""1"",""430573"""</t>
  </si>
  <si>
    <t>=E1535</t>
  </si>
  <si>
    <t>=StartDate-$M1537+1</t>
  </si>
  <si>
    <t>=SUM(P1537:T1537)</t>
  </si>
  <si>
    <t>=IF($M1537&gt;=$P$18,U1537,0)</t>
  </si>
  <si>
    <t>=IF(AND($M1537&gt;=$Q$16,$M1537&lt;=$Q$18),U1537,0)</t>
  </si>
  <si>
    <t>=IF(AND($M1537&gt;=$R$16,$M1537&lt;=$R$18),U1537,0)</t>
  </si>
  <si>
    <t>=IF(AND($M1537&gt;=$S$16,$M1537&lt;=$S$18),U1537,0)</t>
  </si>
  <si>
    <t>=IF($M1537&lt;=$T$18,U1537,0)</t>
  </si>
  <si>
    <t>="""NAV Direct"",""CRONUS JetCorp USA"",""21"",""1"",""430721"""</t>
  </si>
  <si>
    <t>=E1536</t>
  </si>
  <si>
    <t>=StartDate-$M1538+1</t>
  </si>
  <si>
    <t>=SUM(P1538:T1538)</t>
  </si>
  <si>
    <t>=IF($M1538&gt;=$P$18,U1538,0)</t>
  </si>
  <si>
    <t>=IF(AND($M1538&gt;=$Q$16,$M1538&lt;=$Q$18),U1538,0)</t>
  </si>
  <si>
    <t>=IF(AND($M1538&gt;=$R$16,$M1538&lt;=$R$18),U1538,0)</t>
  </si>
  <si>
    <t>=IF(AND($M1538&gt;=$S$16,$M1538&lt;=$S$18),U1538,0)</t>
  </si>
  <si>
    <t>=IF($M1538&lt;=$T$18,U1538,0)</t>
  </si>
  <si>
    <t>="""NAV Direct"",""CRONUS JetCorp USA"",""21"",""1"",""430792"""</t>
  </si>
  <si>
    <t>=E1537</t>
  </si>
  <si>
    <t>=StartDate-$M1539+1</t>
  </si>
  <si>
    <t>=SUM(P1539:T1539)</t>
  </si>
  <si>
    <t>=IF($M1539&gt;=$P$18,U1539,0)</t>
  </si>
  <si>
    <t>=IF(AND($M1539&gt;=$Q$16,$M1539&lt;=$Q$18),U1539,0)</t>
  </si>
  <si>
    <t>=IF(AND($M1539&gt;=$R$16,$M1539&lt;=$R$18),U1539,0)</t>
  </si>
  <si>
    <t>=IF(AND($M1539&gt;=$S$16,$M1539&lt;=$S$18),U1539,0)</t>
  </si>
  <si>
    <t>=IF($M1539&lt;=$T$18,U1539,0)</t>
  </si>
  <si>
    <t>="""NAV Direct"",""CRONUS JetCorp USA"",""21"",""1"",""431006"""</t>
  </si>
  <si>
    <t>=E1538</t>
  </si>
  <si>
    <t>=StartDate-$M1540+1</t>
  </si>
  <si>
    <t>=SUM(P1540:T1540)</t>
  </si>
  <si>
    <t>=IF($M1540&gt;=$P$18,U1540,0)</t>
  </si>
  <si>
    <t>=IF(AND($M1540&gt;=$Q$16,$M1540&lt;=$Q$18),U1540,0)</t>
  </si>
  <si>
    <t>=IF(AND($M1540&gt;=$R$16,$M1540&lt;=$R$18),U1540,0)</t>
  </si>
  <si>
    <t>=IF(AND($M1540&gt;=$S$16,$M1540&lt;=$S$18),U1540,0)</t>
  </si>
  <si>
    <t>=IF($M1540&lt;=$T$18,U1540,0)</t>
  </si>
  <si>
    <t>="""NAV Direct"",""CRONUS JetCorp USA"",""21"",""1"",""431074"""</t>
  </si>
  <si>
    <t>=E1539</t>
  </si>
  <si>
    <t>=StartDate-$M1541+1</t>
  </si>
  <si>
    <t>=SUM(P1541:T1541)</t>
  </si>
  <si>
    <t>=IF($M1541&gt;=$P$18,U1541,0)</t>
  </si>
  <si>
    <t>=IF(AND($M1541&gt;=$Q$16,$M1541&lt;=$Q$18),U1541,0)</t>
  </si>
  <si>
    <t>=IF(AND($M1541&gt;=$R$16,$M1541&lt;=$R$18),U1541,0)</t>
  </si>
  <si>
    <t>=IF(AND($M1541&gt;=$S$16,$M1541&lt;=$S$18),U1541,0)</t>
  </si>
  <si>
    <t>=IF($M1541&lt;=$T$18,U1541,0)</t>
  </si>
  <si>
    <t>="""NAV Direct"",""CRONUS JetCorp USA"",""21"",""1"",""431157"""</t>
  </si>
  <si>
    <t>=E1540</t>
  </si>
  <si>
    <t>=StartDate-$M1542+1</t>
  </si>
  <si>
    <t>=SUM(P1542:T1542)</t>
  </si>
  <si>
    <t>=IF($M1542&gt;=$P$18,U1542,0)</t>
  </si>
  <si>
    <t>=IF(AND($M1542&gt;=$Q$16,$M1542&lt;=$Q$18),U1542,0)</t>
  </si>
  <si>
    <t>=IF(AND($M1542&gt;=$R$16,$M1542&lt;=$R$18),U1542,0)</t>
  </si>
  <si>
    <t>=IF(AND($M1542&gt;=$S$16,$M1542&lt;=$S$18),U1542,0)</t>
  </si>
  <si>
    <t>=IF($M1542&lt;=$T$18,U1542,0)</t>
  </si>
  <si>
    <t>="""NAV Direct"",""CRONUS JetCorp USA"",""18"",""1"",""C100054"""</t>
  </si>
  <si>
    <t>=H1545</t>
  </si>
  <si>
    <t>=NF($C1545,"1 No.")</t>
  </si>
  <si>
    <t>=NF($C1545,"1 No.")&amp;"  -  "&amp;NF($C1545,"2 Name")</t>
  </si>
  <si>
    <t>=IFERROR(O1545/NF(C1545,"Credit Limit (LCY)"),"")</t>
  </si>
  <si>
    <t>=SUBTOTAL(3,L1546:L1601)</t>
  </si>
  <si>
    <t>=SUBTOTAL(9,O1546:O1601)</t>
  </si>
  <si>
    <t>=SUBTOTAL(9,P1546:P1601)</t>
  </si>
  <si>
    <t>=SUBTOTAL(9,Q1546:Q1601)</t>
  </si>
  <si>
    <t>=SUBTOTAL(9,R1546:R1601)</t>
  </si>
  <si>
    <t>=SUBTOTAL(9,S1546:S1601)</t>
  </si>
  <si>
    <t>=SUBTOTAL(9,T1546:T1601)</t>
  </si>
  <si>
    <t>=C1545</t>
  </si>
  <si>
    <t>=E1545</t>
  </si>
  <si>
    <t>="Contact: "&amp;NF($C1546,"8 Contact")</t>
  </si>
  <si>
    <t>=C1546</t>
  </si>
  <si>
    <t>=E1546</t>
  </si>
  <si>
    <t>=NF($C1547,"102 E-Mail")</t>
  </si>
  <si>
    <t>=NL("Rows","21 Cust. Ledger Entry",,"3 Customer No.","@@"&amp;$E1549,"16 Remaining Amt. (LCY)","&lt;&gt;0")</t>
  </si>
  <si>
    <t>=E1547</t>
  </si>
  <si>
    <t>=StartDate-$M1549+1</t>
  </si>
  <si>
    <t>=SUM(P1549:T1549)</t>
  </si>
  <si>
    <t>=IF($M1549&gt;=$P$18,U1549,0)</t>
  </si>
  <si>
    <t>=IF(AND($M1549&gt;=$Q$16,$M1549&lt;=$Q$18),U1549,0)</t>
  </si>
  <si>
    <t>=IF(AND($M1549&gt;=$R$16,$M1549&lt;=$R$18),U1549,0)</t>
  </si>
  <si>
    <t>=IF(AND($M1549&gt;=$S$16,$M1549&lt;=$S$18),U1549,0)</t>
  </si>
  <si>
    <t>=IF($M1549&lt;=$T$18,U1549,0)</t>
  </si>
  <si>
    <t>="""NAV Direct"",""CRONUS JetCorp USA"",""21"",""1"",""320266"""</t>
  </si>
  <si>
    <t>=E1548</t>
  </si>
  <si>
    <t>=StartDate-$M1550+1</t>
  </si>
  <si>
    <t>=SUM(P1550:T1550)</t>
  </si>
  <si>
    <t>=IF($M1550&gt;=$P$18,U1550,0)</t>
  </si>
  <si>
    <t>=IF(AND($M1550&gt;=$Q$16,$M1550&lt;=$Q$18),U1550,0)</t>
  </si>
  <si>
    <t>=IF(AND($M1550&gt;=$R$16,$M1550&lt;=$R$18),U1550,0)</t>
  </si>
  <si>
    <t>=IF(AND($M1550&gt;=$S$16,$M1550&lt;=$S$18),U1550,0)</t>
  </si>
  <si>
    <t>=IF($M1550&lt;=$T$18,U1550,0)</t>
  </si>
  <si>
    <t>="""NAV Direct"",""CRONUS JetCorp USA"",""21"",""1"",""320289"""</t>
  </si>
  <si>
    <t>=E1549</t>
  </si>
  <si>
    <t>=StartDate-$M1551+1</t>
  </si>
  <si>
    <t>=SUM(P1551:T1551)</t>
  </si>
  <si>
    <t>=IF($M1551&gt;=$P$18,U1551,0)</t>
  </si>
  <si>
    <t>=IF(AND($M1551&gt;=$Q$16,$M1551&lt;=$Q$18),U1551,0)</t>
  </si>
  <si>
    <t>=IF(AND($M1551&gt;=$R$16,$M1551&lt;=$R$18),U1551,0)</t>
  </si>
  <si>
    <t>=IF(AND($M1551&gt;=$S$16,$M1551&lt;=$S$18),U1551,0)</t>
  </si>
  <si>
    <t>=IF($M1551&lt;=$T$18,U1551,0)</t>
  </si>
  <si>
    <t>="""NAV Direct"",""CRONUS JetCorp USA"",""21"",""1"",""320666"""</t>
  </si>
  <si>
    <t>=E1550</t>
  </si>
  <si>
    <t>=StartDate-$M1552+1</t>
  </si>
  <si>
    <t>=SUM(P1552:T1552)</t>
  </si>
  <si>
    <t>=IF($M1552&gt;=$P$18,U1552,0)</t>
  </si>
  <si>
    <t>=IF(AND($M1552&gt;=$Q$16,$M1552&lt;=$Q$18),U1552,0)</t>
  </si>
  <si>
    <t>=IF(AND($M1552&gt;=$R$16,$M1552&lt;=$R$18),U1552,0)</t>
  </si>
  <si>
    <t>=IF(AND($M1552&gt;=$S$16,$M1552&lt;=$S$18),U1552,0)</t>
  </si>
  <si>
    <t>=IF($M1552&lt;=$T$18,U1552,0)</t>
  </si>
  <si>
    <t>="""NAV Direct"",""CRONUS JetCorp USA"",""21"",""1"",""320741"""</t>
  </si>
  <si>
    <t>=E1551</t>
  </si>
  <si>
    <t>=StartDate-$M1553+1</t>
  </si>
  <si>
    <t>=SUM(P1553:T1553)</t>
  </si>
  <si>
    <t>=IF($M1553&gt;=$P$18,U1553,0)</t>
  </si>
  <si>
    <t>=IF(AND($M1553&gt;=$Q$16,$M1553&lt;=$Q$18),U1553,0)</t>
  </si>
  <si>
    <t>=IF(AND($M1553&gt;=$R$16,$M1553&lt;=$R$18),U1553,0)</t>
  </si>
  <si>
    <t>=IF(AND($M1553&gt;=$S$16,$M1553&lt;=$S$18),U1553,0)</t>
  </si>
  <si>
    <t>=IF($M1553&lt;=$T$18,U1553,0)</t>
  </si>
  <si>
    <t>="""NAV Direct"",""CRONUS JetCorp USA"",""21"",""1"",""320766"""</t>
  </si>
  <si>
    <t>=E1552</t>
  </si>
  <si>
    <t>=StartDate-$M1554+1</t>
  </si>
  <si>
    <t>=SUM(P1554:T1554)</t>
  </si>
  <si>
    <t>=IF($M1554&gt;=$P$18,U1554,0)</t>
  </si>
  <si>
    <t>=IF(AND($M1554&gt;=$Q$16,$M1554&lt;=$Q$18),U1554,0)</t>
  </si>
  <si>
    <t>=IF(AND($M1554&gt;=$R$16,$M1554&lt;=$R$18),U1554,0)</t>
  </si>
  <si>
    <t>=IF(AND($M1554&gt;=$S$16,$M1554&lt;=$S$18),U1554,0)</t>
  </si>
  <si>
    <t>=IF($M1554&lt;=$T$18,U1554,0)</t>
  </si>
  <si>
    <t>="""NAV Direct"",""CRONUS JetCorp USA"",""21"",""1"",""320992"""</t>
  </si>
  <si>
    <t>=E1553</t>
  </si>
  <si>
    <t>=StartDate-$M1555+1</t>
  </si>
  <si>
    <t>=SUM(P1555:T1555)</t>
  </si>
  <si>
    <t>=IF($M1555&gt;=$P$18,U1555,0)</t>
  </si>
  <si>
    <t>=IF(AND($M1555&gt;=$Q$16,$M1555&lt;=$Q$18),U1555,0)</t>
  </si>
  <si>
    <t>=IF(AND($M1555&gt;=$R$16,$M1555&lt;=$R$18),U1555,0)</t>
  </si>
  <si>
    <t>=IF(AND($M1555&gt;=$S$16,$M1555&lt;=$S$18),U1555,0)</t>
  </si>
  <si>
    <t>=IF($M1555&lt;=$T$18,U1555,0)</t>
  </si>
  <si>
    <t>="""NAV Direct"",""CRONUS JetCorp USA"",""21"",""1"",""321086"""</t>
  </si>
  <si>
    <t>=E1554</t>
  </si>
  <si>
    <t>=StartDate-$M1556+1</t>
  </si>
  <si>
    <t>=SUM(P1556:T1556)</t>
  </si>
  <si>
    <t>=IF($M1556&gt;=$P$18,U1556,0)</t>
  </si>
  <si>
    <t>=IF(AND($M1556&gt;=$Q$16,$M1556&lt;=$Q$18),U1556,0)</t>
  </si>
  <si>
    <t>=IF(AND($M1556&gt;=$R$16,$M1556&lt;=$R$18),U1556,0)</t>
  </si>
  <si>
    <t>=IF(AND($M1556&gt;=$S$16,$M1556&lt;=$S$18),U1556,0)</t>
  </si>
  <si>
    <t>=IF($M1556&lt;=$T$18,U1556,0)</t>
  </si>
  <si>
    <t>="""NAV Direct"",""CRONUS JetCorp USA"",""21"",""1"",""321270"""</t>
  </si>
  <si>
    <t>=E1555</t>
  </si>
  <si>
    <t>=StartDate-$M1557+1</t>
  </si>
  <si>
    <t>=SUM(P1557:T1557)</t>
  </si>
  <si>
    <t>=IF($M1557&gt;=$P$18,U1557,0)</t>
  </si>
  <si>
    <t>=IF(AND($M1557&gt;=$Q$16,$M1557&lt;=$Q$18),U1557,0)</t>
  </si>
  <si>
    <t>=IF(AND($M1557&gt;=$R$16,$M1557&lt;=$R$18),U1557,0)</t>
  </si>
  <si>
    <t>=IF(AND($M1557&gt;=$S$16,$M1557&lt;=$S$18),U1557,0)</t>
  </si>
  <si>
    <t>=IF($M1557&lt;=$T$18,U1557,0)</t>
  </si>
  <si>
    <t>="""NAV Direct"",""CRONUS JetCorp USA"",""21"",""1"",""321441"""</t>
  </si>
  <si>
    <t>=E1556</t>
  </si>
  <si>
    <t>=StartDate-$M1558+1</t>
  </si>
  <si>
    <t>=SUM(P1558:T1558)</t>
  </si>
  <si>
    <t>=IF($M1558&gt;=$P$18,U1558,0)</t>
  </si>
  <si>
    <t>=IF(AND($M1558&gt;=$Q$16,$M1558&lt;=$Q$18),U1558,0)</t>
  </si>
  <si>
    <t>=IF(AND($M1558&gt;=$R$16,$M1558&lt;=$R$18),U1558,0)</t>
  </si>
  <si>
    <t>=IF(AND($M1558&gt;=$S$16,$M1558&lt;=$S$18),U1558,0)</t>
  </si>
  <si>
    <t>=IF($M1558&lt;=$T$18,U1558,0)</t>
  </si>
  <si>
    <t>="""NAV Direct"",""CRONUS JetCorp USA"",""21"",""1"",""321567"""</t>
  </si>
  <si>
    <t>=E1557</t>
  </si>
  <si>
    <t>=StartDate-$M1559+1</t>
  </si>
  <si>
    <t>=SUM(P1559:T1559)</t>
  </si>
  <si>
    <t>=IF($M1559&gt;=$P$18,U1559,0)</t>
  </si>
  <si>
    <t>=IF(AND($M1559&gt;=$Q$16,$M1559&lt;=$Q$18),U1559,0)</t>
  </si>
  <si>
    <t>=IF(AND($M1559&gt;=$R$16,$M1559&lt;=$R$18),U1559,0)</t>
  </si>
  <si>
    <t>=IF(AND($M1559&gt;=$S$16,$M1559&lt;=$S$18),U1559,0)</t>
  </si>
  <si>
    <t>=IF($M1559&lt;=$T$18,U1559,0)</t>
  </si>
  <si>
    <t>="""NAV Direct"",""CRONUS JetCorp USA"",""21"",""1"",""321655"""</t>
  </si>
  <si>
    <t>=E1558</t>
  </si>
  <si>
    <t>=StartDate-$M1560+1</t>
  </si>
  <si>
    <t>=SUM(P1560:T1560)</t>
  </si>
  <si>
    <t>=IF($M1560&gt;=$P$18,U1560,0)</t>
  </si>
  <si>
    <t>=IF(AND($M1560&gt;=$Q$16,$M1560&lt;=$Q$18),U1560,0)</t>
  </si>
  <si>
    <t>=IF(AND($M1560&gt;=$R$16,$M1560&lt;=$R$18),U1560,0)</t>
  </si>
  <si>
    <t>=IF(AND($M1560&gt;=$S$16,$M1560&lt;=$S$18),U1560,0)</t>
  </si>
  <si>
    <t>=IF($M1560&lt;=$T$18,U1560,0)</t>
  </si>
  <si>
    <t>="""NAV Direct"",""CRONUS JetCorp USA"",""21"",""1"",""321697"""</t>
  </si>
  <si>
    <t>=E1559</t>
  </si>
  <si>
    <t>=StartDate-$M1561+1</t>
  </si>
  <si>
    <t>=SUM(P1561:T1561)</t>
  </si>
  <si>
    <t>=IF($M1561&gt;=$P$18,U1561,0)</t>
  </si>
  <si>
    <t>=IF(AND($M1561&gt;=$Q$16,$M1561&lt;=$Q$18),U1561,0)</t>
  </si>
  <si>
    <t>=IF(AND($M1561&gt;=$R$16,$M1561&lt;=$R$18),U1561,0)</t>
  </si>
  <si>
    <t>=IF(AND($M1561&gt;=$S$16,$M1561&lt;=$S$18),U1561,0)</t>
  </si>
  <si>
    <t>=IF($M1561&lt;=$T$18,U1561,0)</t>
  </si>
  <si>
    <t>="""NAV Direct"",""CRONUS JetCorp USA"",""21"",""1"",""321935"""</t>
  </si>
  <si>
    <t>=E1560</t>
  </si>
  <si>
    <t>=StartDate-$M1562+1</t>
  </si>
  <si>
    <t>=SUM(P1562:T1562)</t>
  </si>
  <si>
    <t>=IF($M1562&gt;=$P$18,U1562,0)</t>
  </si>
  <si>
    <t>=IF(AND($M1562&gt;=$Q$16,$M1562&lt;=$Q$18),U1562,0)</t>
  </si>
  <si>
    <t>=IF(AND($M1562&gt;=$R$16,$M1562&lt;=$R$18),U1562,0)</t>
  </si>
  <si>
    <t>=IF(AND($M1562&gt;=$S$16,$M1562&lt;=$S$18),U1562,0)</t>
  </si>
  <si>
    <t>=IF($M1562&lt;=$T$18,U1562,0)</t>
  </si>
  <si>
    <t>="""NAV Direct"",""CRONUS JetCorp USA"",""21"",""1"",""322068"""</t>
  </si>
  <si>
    <t>=E1561</t>
  </si>
  <si>
    <t>=StartDate-$M1563+1</t>
  </si>
  <si>
    <t>=SUM(P1563:T1563)</t>
  </si>
  <si>
    <t>=IF($M1563&gt;=$P$18,U1563,0)</t>
  </si>
  <si>
    <t>=IF(AND($M1563&gt;=$Q$16,$M1563&lt;=$Q$18),U1563,0)</t>
  </si>
  <si>
    <t>=IF(AND($M1563&gt;=$R$16,$M1563&lt;=$R$18),U1563,0)</t>
  </si>
  <si>
    <t>=IF(AND($M1563&gt;=$S$16,$M1563&lt;=$S$18),U1563,0)</t>
  </si>
  <si>
    <t>=IF($M1563&lt;=$T$18,U1563,0)</t>
  </si>
  <si>
    <t>="""NAV Direct"",""CRONUS JetCorp USA"",""21"",""1"",""322275"""</t>
  </si>
  <si>
    <t>=E1562</t>
  </si>
  <si>
    <t>=StartDate-$M1564+1</t>
  </si>
  <si>
    <t>=SUM(P1564:T1564)</t>
  </si>
  <si>
    <t>=IF($M1564&gt;=$P$18,U1564,0)</t>
  </si>
  <si>
    <t>=IF(AND($M1564&gt;=$Q$16,$M1564&lt;=$Q$18),U1564,0)</t>
  </si>
  <si>
    <t>=IF(AND($M1564&gt;=$R$16,$M1564&lt;=$R$18),U1564,0)</t>
  </si>
  <si>
    <t>=IF(AND($M1564&gt;=$S$16,$M1564&lt;=$S$18),U1564,0)</t>
  </si>
  <si>
    <t>=IF($M1564&lt;=$T$18,U1564,0)</t>
  </si>
  <si>
    <t>="""NAV Direct"",""CRONUS JetCorp USA"",""21"",""1"",""322319"""</t>
  </si>
  <si>
    <t>=E1563</t>
  </si>
  <si>
    <t>=StartDate-$M1565+1</t>
  </si>
  <si>
    <t>=SUM(P1565:T1565)</t>
  </si>
  <si>
    <t>=IF($M1565&gt;=$P$18,U1565,0)</t>
  </si>
  <si>
    <t>=IF(AND($M1565&gt;=$Q$16,$M1565&lt;=$Q$18),U1565,0)</t>
  </si>
  <si>
    <t>=IF(AND($M1565&gt;=$R$16,$M1565&lt;=$R$18),U1565,0)</t>
  </si>
  <si>
    <t>=IF(AND($M1565&gt;=$S$16,$M1565&lt;=$S$18),U1565,0)</t>
  </si>
  <si>
    <t>=IF($M1565&lt;=$T$18,U1565,0)</t>
  </si>
  <si>
    <t>="""NAV Direct"",""CRONUS JetCorp USA"",""21"",""1"",""322451"""</t>
  </si>
  <si>
    <t>=E1564</t>
  </si>
  <si>
    <t>=StartDate-$M1566+1</t>
  </si>
  <si>
    <t>=SUM(P1566:T1566)</t>
  </si>
  <si>
    <t>=IF($M1566&gt;=$P$18,U1566,0)</t>
  </si>
  <si>
    <t>=IF(AND($M1566&gt;=$Q$16,$M1566&lt;=$Q$18),U1566,0)</t>
  </si>
  <si>
    <t>=IF(AND($M1566&gt;=$R$16,$M1566&lt;=$R$18),U1566,0)</t>
  </si>
  <si>
    <t>=IF(AND($M1566&gt;=$S$16,$M1566&lt;=$S$18),U1566,0)</t>
  </si>
  <si>
    <t>=IF($M1566&lt;=$T$18,U1566,0)</t>
  </si>
  <si>
    <t>="""NAV Direct"",""CRONUS JetCorp USA"",""21"",""1"",""322804"""</t>
  </si>
  <si>
    <t>=E1565</t>
  </si>
  <si>
    <t>=StartDate-$M1567+1</t>
  </si>
  <si>
    <t>=SUM(P1567:T1567)</t>
  </si>
  <si>
    <t>=IF($M1567&gt;=$P$18,U1567,0)</t>
  </si>
  <si>
    <t>=IF(AND($M1567&gt;=$Q$16,$M1567&lt;=$Q$18),U1567,0)</t>
  </si>
  <si>
    <t>=IF(AND($M1567&gt;=$R$16,$M1567&lt;=$R$18),U1567,0)</t>
  </si>
  <si>
    <t>=IF(AND($M1567&gt;=$S$16,$M1567&lt;=$S$18),U1567,0)</t>
  </si>
  <si>
    <t>=IF($M1567&lt;=$T$18,U1567,0)</t>
  </si>
  <si>
    <t>="""NAV Direct"",""CRONUS JetCorp USA"",""21"",""1"",""322827"""</t>
  </si>
  <si>
    <t>=E1566</t>
  </si>
  <si>
    <t>=StartDate-$M1568+1</t>
  </si>
  <si>
    <t>=SUM(P1568:T1568)</t>
  </si>
  <si>
    <t>=IF($M1568&gt;=$P$18,U1568,0)</t>
  </si>
  <si>
    <t>=IF(AND($M1568&gt;=$Q$16,$M1568&lt;=$Q$18),U1568,0)</t>
  </si>
  <si>
    <t>=IF(AND($M1568&gt;=$R$16,$M1568&lt;=$R$18),U1568,0)</t>
  </si>
  <si>
    <t>=IF(AND($M1568&gt;=$S$16,$M1568&lt;=$S$18),U1568,0)</t>
  </si>
  <si>
    <t>=IF($M1568&lt;=$T$18,U1568,0)</t>
  </si>
  <si>
    <t>="""NAV Direct"",""CRONUS JetCorp USA"",""21"",""1"",""322850"""</t>
  </si>
  <si>
    <t>=E1567</t>
  </si>
  <si>
    <t>=StartDate-$M1569+1</t>
  </si>
  <si>
    <t>=SUM(P1569:T1569)</t>
  </si>
  <si>
    <t>=IF($M1569&gt;=$P$18,U1569,0)</t>
  </si>
  <si>
    <t>=IF(AND($M1569&gt;=$Q$16,$M1569&lt;=$Q$18),U1569,0)</t>
  </si>
  <si>
    <t>=IF(AND($M1569&gt;=$R$16,$M1569&lt;=$R$18),U1569,0)</t>
  </si>
  <si>
    <t>=IF(AND($M1569&gt;=$S$16,$M1569&lt;=$S$18),U1569,0)</t>
  </si>
  <si>
    <t>=IF($M1569&lt;=$T$18,U1569,0)</t>
  </si>
  <si>
    <t>="""NAV Direct"",""CRONUS JetCorp USA"",""21"",""1"",""322900"""</t>
  </si>
  <si>
    <t>=E1568</t>
  </si>
  <si>
    <t>=StartDate-$M1570+1</t>
  </si>
  <si>
    <t>=SUM(P1570:T1570)</t>
  </si>
  <si>
    <t>=IF($M1570&gt;=$P$18,U1570,0)</t>
  </si>
  <si>
    <t>=IF(AND($M1570&gt;=$Q$16,$M1570&lt;=$Q$18),U1570,0)</t>
  </si>
  <si>
    <t>=IF(AND($M1570&gt;=$R$16,$M1570&lt;=$R$18),U1570,0)</t>
  </si>
  <si>
    <t>=IF(AND($M1570&gt;=$S$16,$M1570&lt;=$S$18),U1570,0)</t>
  </si>
  <si>
    <t>=IF($M1570&lt;=$T$18,U1570,0)</t>
  </si>
  <si>
    <t>="""NAV Direct"",""CRONUS JetCorp USA"",""21"",""1"",""323015"""</t>
  </si>
  <si>
    <t>=E1569</t>
  </si>
  <si>
    <t>=StartDate-$M1571+1</t>
  </si>
  <si>
    <t>=SUM(P1571:T1571)</t>
  </si>
  <si>
    <t>=IF($M1571&gt;=$P$18,U1571,0)</t>
  </si>
  <si>
    <t>=IF(AND($M1571&gt;=$Q$16,$M1571&lt;=$Q$18),U1571,0)</t>
  </si>
  <si>
    <t>=IF(AND($M1571&gt;=$R$16,$M1571&lt;=$R$18),U1571,0)</t>
  </si>
  <si>
    <t>=IF(AND($M1571&gt;=$S$16,$M1571&lt;=$S$18),U1571,0)</t>
  </si>
  <si>
    <t>=IF($M1571&lt;=$T$18,U1571,0)</t>
  </si>
  <si>
    <t>="""NAV Direct"",""CRONUS JetCorp USA"",""21"",""1"",""323122"""</t>
  </si>
  <si>
    <t>=E1570</t>
  </si>
  <si>
    <t>=StartDate-$M1572+1</t>
  </si>
  <si>
    <t>=SUM(P1572:T1572)</t>
  </si>
  <si>
    <t>=IF($M1572&gt;=$P$18,U1572,0)</t>
  </si>
  <si>
    <t>=IF(AND($M1572&gt;=$Q$16,$M1572&lt;=$Q$18),U1572,0)</t>
  </si>
  <si>
    <t>=IF(AND($M1572&gt;=$R$16,$M1572&lt;=$R$18),U1572,0)</t>
  </si>
  <si>
    <t>=IF(AND($M1572&gt;=$S$16,$M1572&lt;=$S$18),U1572,0)</t>
  </si>
  <si>
    <t>=IF($M1572&lt;=$T$18,U1572,0)</t>
  </si>
  <si>
    <t>="""NAV Direct"",""CRONUS JetCorp USA"",""21"",""1"",""323206"""</t>
  </si>
  <si>
    <t>=E1571</t>
  </si>
  <si>
    <t>=StartDate-$M1573+1</t>
  </si>
  <si>
    <t>=SUM(P1573:T1573)</t>
  </si>
  <si>
    <t>=IF($M1573&gt;=$P$18,U1573,0)</t>
  </si>
  <si>
    <t>=IF(AND($M1573&gt;=$Q$16,$M1573&lt;=$Q$18),U1573,0)</t>
  </si>
  <si>
    <t>=IF(AND($M1573&gt;=$R$16,$M1573&lt;=$R$18),U1573,0)</t>
  </si>
  <si>
    <t>=IF(AND($M1573&gt;=$S$16,$M1573&lt;=$S$18),U1573,0)</t>
  </si>
  <si>
    <t>=IF($M1573&lt;=$T$18,U1573,0)</t>
  </si>
  <si>
    <t>="""NAV Direct"",""CRONUS JetCorp USA"",""21"",""1"",""323229"""</t>
  </si>
  <si>
    <t>=E1572</t>
  </si>
  <si>
    <t>=StartDate-$M1574+1</t>
  </si>
  <si>
    <t>=SUM(P1574:T1574)</t>
  </si>
  <si>
    <t>=IF($M1574&gt;=$P$18,U1574,0)</t>
  </si>
  <si>
    <t>=IF(AND($M1574&gt;=$Q$16,$M1574&lt;=$Q$18),U1574,0)</t>
  </si>
  <si>
    <t>=IF(AND($M1574&gt;=$R$16,$M1574&lt;=$R$18),U1574,0)</t>
  </si>
  <si>
    <t>=IF(AND($M1574&gt;=$S$16,$M1574&lt;=$S$18),U1574,0)</t>
  </si>
  <si>
    <t>=IF($M1574&lt;=$T$18,U1574,0)</t>
  </si>
  <si>
    <t>="""NAV Direct"",""CRONUS JetCorp USA"",""21"",""1"",""323277"""</t>
  </si>
  <si>
    <t>=E1573</t>
  </si>
  <si>
    <t>=StartDate-$M1575+1</t>
  </si>
  <si>
    <t>=SUM(P1575:T1575)</t>
  </si>
  <si>
    <t>=IF($M1575&gt;=$P$18,U1575,0)</t>
  </si>
  <si>
    <t>=IF(AND($M1575&gt;=$Q$16,$M1575&lt;=$Q$18),U1575,0)</t>
  </si>
  <si>
    <t>=IF(AND($M1575&gt;=$R$16,$M1575&lt;=$R$18),U1575,0)</t>
  </si>
  <si>
    <t>=IF(AND($M1575&gt;=$S$16,$M1575&lt;=$S$18),U1575,0)</t>
  </si>
  <si>
    <t>=IF($M1575&lt;=$T$18,U1575,0)</t>
  </si>
  <si>
    <t>="""NAV Direct"",""CRONUS JetCorp USA"",""21"",""1"",""323346"""</t>
  </si>
  <si>
    <t>=E1574</t>
  </si>
  <si>
    <t>=StartDate-$M1576+1</t>
  </si>
  <si>
    <t>=SUM(P1576:T1576)</t>
  </si>
  <si>
    <t>=IF($M1576&gt;=$P$18,U1576,0)</t>
  </si>
  <si>
    <t>=IF(AND($M1576&gt;=$Q$16,$M1576&lt;=$Q$18),U1576,0)</t>
  </si>
  <si>
    <t>=IF(AND($M1576&gt;=$R$16,$M1576&lt;=$R$18),U1576,0)</t>
  </si>
  <si>
    <t>=IF(AND($M1576&gt;=$S$16,$M1576&lt;=$S$18),U1576,0)</t>
  </si>
  <si>
    <t>=IF($M1576&lt;=$T$18,U1576,0)</t>
  </si>
  <si>
    <t>="""NAV Direct"",""CRONUS JetCorp USA"",""21"",""1"",""323673"""</t>
  </si>
  <si>
    <t>=E1575</t>
  </si>
  <si>
    <t>=StartDate-$M1577+1</t>
  </si>
  <si>
    <t>=SUM(P1577:T1577)</t>
  </si>
  <si>
    <t>=IF($M1577&gt;=$P$18,U1577,0)</t>
  </si>
  <si>
    <t>=IF(AND($M1577&gt;=$Q$16,$M1577&lt;=$Q$18),U1577,0)</t>
  </si>
  <si>
    <t>=IF(AND($M1577&gt;=$R$16,$M1577&lt;=$R$18),U1577,0)</t>
  </si>
  <si>
    <t>=IF(AND($M1577&gt;=$S$16,$M1577&lt;=$S$18),U1577,0)</t>
  </si>
  <si>
    <t>=IF($M1577&lt;=$T$18,U1577,0)</t>
  </si>
  <si>
    <t>="""NAV Direct"",""CRONUS JetCorp USA"",""21"",""1"",""323709"""</t>
  </si>
  <si>
    <t>=E1576</t>
  </si>
  <si>
    <t>=StartDate-$M1578+1</t>
  </si>
  <si>
    <t>=SUM(P1578:T1578)</t>
  </si>
  <si>
    <t>=IF($M1578&gt;=$P$18,U1578,0)</t>
  </si>
  <si>
    <t>=IF(AND($M1578&gt;=$Q$16,$M1578&lt;=$Q$18),U1578,0)</t>
  </si>
  <si>
    <t>=IF(AND($M1578&gt;=$R$16,$M1578&lt;=$R$18),U1578,0)</t>
  </si>
  <si>
    <t>=IF(AND($M1578&gt;=$S$16,$M1578&lt;=$S$18),U1578,0)</t>
  </si>
  <si>
    <t>=IF($M1578&lt;=$T$18,U1578,0)</t>
  </si>
  <si>
    <t>="""NAV Direct"",""CRONUS JetCorp USA"",""21"",""1"",""323943"""</t>
  </si>
  <si>
    <t>=E1577</t>
  </si>
  <si>
    <t>=StartDate-$M1579+1</t>
  </si>
  <si>
    <t>=SUM(P1579:T1579)</t>
  </si>
  <si>
    <t>=IF($M1579&gt;=$P$18,U1579,0)</t>
  </si>
  <si>
    <t>=IF(AND($M1579&gt;=$Q$16,$M1579&lt;=$Q$18),U1579,0)</t>
  </si>
  <si>
    <t>=IF(AND($M1579&gt;=$R$16,$M1579&lt;=$R$18),U1579,0)</t>
  </si>
  <si>
    <t>=IF(AND($M1579&gt;=$S$16,$M1579&lt;=$S$18),U1579,0)</t>
  </si>
  <si>
    <t>=IF($M1579&lt;=$T$18,U1579,0)</t>
  </si>
  <si>
    <t>="""NAV Direct"",""CRONUS JetCorp USA"",""21"",""1"",""324500"""</t>
  </si>
  <si>
    <t>=E1578</t>
  </si>
  <si>
    <t>=StartDate-$M1580+1</t>
  </si>
  <si>
    <t>=SUM(P1580:T1580)</t>
  </si>
  <si>
    <t>=IF($M1580&gt;=$P$18,U1580,0)</t>
  </si>
  <si>
    <t>=IF(AND($M1580&gt;=$Q$16,$M1580&lt;=$Q$18),U1580,0)</t>
  </si>
  <si>
    <t>=IF(AND($M1580&gt;=$R$16,$M1580&lt;=$R$18),U1580,0)</t>
  </si>
  <si>
    <t>=IF(AND($M1580&gt;=$S$16,$M1580&lt;=$S$18),U1580,0)</t>
  </si>
  <si>
    <t>=IF($M1580&lt;=$T$18,U1580,0)</t>
  </si>
  <si>
    <t>="""NAV Direct"",""CRONUS JetCorp USA"",""21"",""1"",""324519"""</t>
  </si>
  <si>
    <t>=E1579</t>
  </si>
  <si>
    <t>=StartDate-$M1581+1</t>
  </si>
  <si>
    <t>=SUM(P1581:T1581)</t>
  </si>
  <si>
    <t>=IF($M1581&gt;=$P$18,U1581,0)</t>
  </si>
  <si>
    <t>=IF(AND($M1581&gt;=$Q$16,$M1581&lt;=$Q$18),U1581,0)</t>
  </si>
  <si>
    <t>=IF(AND($M1581&gt;=$R$16,$M1581&lt;=$R$18),U1581,0)</t>
  </si>
  <si>
    <t>=IF(AND($M1581&gt;=$S$16,$M1581&lt;=$S$18),U1581,0)</t>
  </si>
  <si>
    <t>=IF($M1581&lt;=$T$18,U1581,0)</t>
  </si>
  <si>
    <t>="""NAV Direct"",""CRONUS JetCorp USA"",""21"",""1"",""324710"""</t>
  </si>
  <si>
    <t>=E1580</t>
  </si>
  <si>
    <t>=StartDate-$M1582+1</t>
  </si>
  <si>
    <t>=SUM(P1582:T1582)</t>
  </si>
  <si>
    <t>=IF($M1582&gt;=$P$18,U1582,0)</t>
  </si>
  <si>
    <t>=IF(AND($M1582&gt;=$Q$16,$M1582&lt;=$Q$18),U1582,0)</t>
  </si>
  <si>
    <t>=IF(AND($M1582&gt;=$R$16,$M1582&lt;=$R$18),U1582,0)</t>
  </si>
  <si>
    <t>=IF(AND($M1582&gt;=$S$16,$M1582&lt;=$S$18),U1582,0)</t>
  </si>
  <si>
    <t>=IF($M1582&lt;=$T$18,U1582,0)</t>
  </si>
  <si>
    <t>="""NAV Direct"",""CRONUS JetCorp USA"",""21"",""1"",""324802"""</t>
  </si>
  <si>
    <t>=E1581</t>
  </si>
  <si>
    <t>=StartDate-$M1583+1</t>
  </si>
  <si>
    <t>=SUM(P1583:T1583)</t>
  </si>
  <si>
    <t>=IF($M1583&gt;=$P$18,U1583,0)</t>
  </si>
  <si>
    <t>=IF(AND($M1583&gt;=$Q$16,$M1583&lt;=$Q$18),U1583,0)</t>
  </si>
  <si>
    <t>=IF(AND($M1583&gt;=$R$16,$M1583&lt;=$R$18),U1583,0)</t>
  </si>
  <si>
    <t>=IF(AND($M1583&gt;=$S$16,$M1583&lt;=$S$18),U1583,0)</t>
  </si>
  <si>
    <t>=IF($M1583&lt;=$T$18,U1583,0)</t>
  </si>
  <si>
    <t>="""NAV Direct"",""CRONUS JetCorp USA"",""21"",""1"",""324871"""</t>
  </si>
  <si>
    <t>=E1582</t>
  </si>
  <si>
    <t>=StartDate-$M1584+1</t>
  </si>
  <si>
    <t>=SUM(P1584:T1584)</t>
  </si>
  <si>
    <t>=IF($M1584&gt;=$P$18,U1584,0)</t>
  </si>
  <si>
    <t>=IF(AND($M1584&gt;=$Q$16,$M1584&lt;=$Q$18),U1584,0)</t>
  </si>
  <si>
    <t>=IF(AND($M1584&gt;=$R$16,$M1584&lt;=$R$18),U1584,0)</t>
  </si>
  <si>
    <t>=IF(AND($M1584&gt;=$S$16,$M1584&lt;=$S$18),U1584,0)</t>
  </si>
  <si>
    <t>=IF($M1584&lt;=$T$18,U1584,0)</t>
  </si>
  <si>
    <t>="""NAV Direct"",""CRONUS JetCorp USA"",""21"",""1"",""325018"""</t>
  </si>
  <si>
    <t>=E1583</t>
  </si>
  <si>
    <t>=StartDate-$M1585+1</t>
  </si>
  <si>
    <t>=SUM(P1585:T1585)</t>
  </si>
  <si>
    <t>=IF($M1585&gt;=$P$18,U1585,0)</t>
  </si>
  <si>
    <t>=IF(AND($M1585&gt;=$Q$16,$M1585&lt;=$Q$18),U1585,0)</t>
  </si>
  <si>
    <t>=IF(AND($M1585&gt;=$R$16,$M1585&lt;=$R$18),U1585,0)</t>
  </si>
  <si>
    <t>=IF(AND($M1585&gt;=$S$16,$M1585&lt;=$S$18),U1585,0)</t>
  </si>
  <si>
    <t>=IF($M1585&lt;=$T$18,U1585,0)</t>
  </si>
  <si>
    <t>="""NAV Direct"",""CRONUS JetCorp USA"",""21"",""1"",""325098"""</t>
  </si>
  <si>
    <t>=E1584</t>
  </si>
  <si>
    <t>=StartDate-$M1586+1</t>
  </si>
  <si>
    <t>=SUM(P1586:T1586)</t>
  </si>
  <si>
    <t>=IF($M1586&gt;=$P$18,U1586,0)</t>
  </si>
  <si>
    <t>=IF(AND($M1586&gt;=$Q$16,$M1586&lt;=$Q$18),U1586,0)</t>
  </si>
  <si>
    <t>=IF(AND($M1586&gt;=$R$16,$M1586&lt;=$R$18),U1586,0)</t>
  </si>
  <si>
    <t>=IF(AND($M1586&gt;=$S$16,$M1586&lt;=$S$18),U1586,0)</t>
  </si>
  <si>
    <t>=IF($M1586&lt;=$T$18,U1586,0)</t>
  </si>
  <si>
    <t>="""NAV Direct"",""CRONUS JetCorp USA"",""21"",""1"",""325431"""</t>
  </si>
  <si>
    <t>=E1585</t>
  </si>
  <si>
    <t>=StartDate-$M1587+1</t>
  </si>
  <si>
    <t>=SUM(P1587:T1587)</t>
  </si>
  <si>
    <t>=IF($M1587&gt;=$P$18,U1587,0)</t>
  </si>
  <si>
    <t>=IF(AND($M1587&gt;=$Q$16,$M1587&lt;=$Q$18),U1587,0)</t>
  </si>
  <si>
    <t>=IF(AND($M1587&gt;=$R$16,$M1587&lt;=$R$18),U1587,0)</t>
  </si>
  <si>
    <t>=IF(AND($M1587&gt;=$S$16,$M1587&lt;=$S$18),U1587,0)</t>
  </si>
  <si>
    <t>=IF($M1587&lt;=$T$18,U1587,0)</t>
  </si>
  <si>
    <t>="""NAV Direct"",""CRONUS JetCorp USA"",""21"",""1"",""325452"""</t>
  </si>
  <si>
    <t>=E1586</t>
  </si>
  <si>
    <t>=StartDate-$M1588+1</t>
  </si>
  <si>
    <t>=SUM(P1588:T1588)</t>
  </si>
  <si>
    <t>=IF($M1588&gt;=$P$18,U1588,0)</t>
  </si>
  <si>
    <t>=IF(AND($M1588&gt;=$Q$16,$M1588&lt;=$Q$18),U1588,0)</t>
  </si>
  <si>
    <t>=IF(AND($M1588&gt;=$R$16,$M1588&lt;=$R$18),U1588,0)</t>
  </si>
  <si>
    <t>=IF(AND($M1588&gt;=$S$16,$M1588&lt;=$S$18),U1588,0)</t>
  </si>
  <si>
    <t>=IF($M1588&lt;=$T$18,U1588,0)</t>
  </si>
  <si>
    <t>="""NAV Direct"",""CRONUS JetCorp USA"",""21"",""1"",""431200"""</t>
  </si>
  <si>
    <t>=E1587</t>
  </si>
  <si>
    <t>=StartDate-$M1589+1</t>
  </si>
  <si>
    <t>=SUM(P1589:T1589)</t>
  </si>
  <si>
    <t>=IF($M1589&gt;=$P$18,U1589,0)</t>
  </si>
  <si>
    <t>=IF(AND($M1589&gt;=$Q$16,$M1589&lt;=$Q$18),U1589,0)</t>
  </si>
  <si>
    <t>=IF(AND($M1589&gt;=$R$16,$M1589&lt;=$R$18),U1589,0)</t>
  </si>
  <si>
    <t>=IF(AND($M1589&gt;=$S$16,$M1589&lt;=$S$18),U1589,0)</t>
  </si>
  <si>
    <t>=IF($M1589&lt;=$T$18,U1589,0)</t>
  </si>
  <si>
    <t>="""NAV Direct"",""CRONUS JetCorp USA"",""21"",""1"",""431375"""</t>
  </si>
  <si>
    <t>=E1588</t>
  </si>
  <si>
    <t>=StartDate-$M1590+1</t>
  </si>
  <si>
    <t>=SUM(P1590:T1590)</t>
  </si>
  <si>
    <t>=IF($M1590&gt;=$P$18,U1590,0)</t>
  </si>
  <si>
    <t>=IF(AND($M1590&gt;=$Q$16,$M1590&lt;=$Q$18),U1590,0)</t>
  </si>
  <si>
    <t>=IF(AND($M1590&gt;=$R$16,$M1590&lt;=$R$18),U1590,0)</t>
  </si>
  <si>
    <t>=IF(AND($M1590&gt;=$S$16,$M1590&lt;=$S$18),U1590,0)</t>
  </si>
  <si>
    <t>=IF($M1590&lt;=$T$18,U1590,0)</t>
  </si>
  <si>
    <t>="""NAV Direct"",""CRONUS JetCorp USA"",""21"",""1"",""431401"""</t>
  </si>
  <si>
    <t>=E1589</t>
  </si>
  <si>
    <t>=StartDate-$M1591+1</t>
  </si>
  <si>
    <t>=SUM(P1591:T1591)</t>
  </si>
  <si>
    <t>=IF($M1591&gt;=$P$18,U1591,0)</t>
  </si>
  <si>
    <t>=IF(AND($M1591&gt;=$Q$16,$M1591&lt;=$Q$18),U1591,0)</t>
  </si>
  <si>
    <t>=IF(AND($M1591&gt;=$R$16,$M1591&lt;=$R$18),U1591,0)</t>
  </si>
  <si>
    <t>=IF(AND($M1591&gt;=$S$16,$M1591&lt;=$S$18),U1591,0)</t>
  </si>
  <si>
    <t>=IF($M1591&lt;=$T$18,U1591,0)</t>
  </si>
  <si>
    <t>="""NAV Direct"",""CRONUS JetCorp USA"",""21"",""1"",""431463"""</t>
  </si>
  <si>
    <t>=E1590</t>
  </si>
  <si>
    <t>=StartDate-$M1592+1</t>
  </si>
  <si>
    <t>=SUM(P1592:T1592)</t>
  </si>
  <si>
    <t>=IF($M1592&gt;=$P$18,U1592,0)</t>
  </si>
  <si>
    <t>=IF(AND($M1592&gt;=$Q$16,$M1592&lt;=$Q$18),U1592,0)</t>
  </si>
  <si>
    <t>=IF(AND($M1592&gt;=$R$16,$M1592&lt;=$R$18),U1592,0)</t>
  </si>
  <si>
    <t>=IF(AND($M1592&gt;=$S$16,$M1592&lt;=$S$18),U1592,0)</t>
  </si>
  <si>
    <t>=IF($M1592&lt;=$T$18,U1592,0)</t>
  </si>
  <si>
    <t>="""NAV Direct"",""CRONUS JetCorp USA"",""21"",""1"",""431660"""</t>
  </si>
  <si>
    <t>=E1591</t>
  </si>
  <si>
    <t>=StartDate-$M1593+1</t>
  </si>
  <si>
    <t>=SUM(P1593:T1593)</t>
  </si>
  <si>
    <t>=IF($M1593&gt;=$P$18,U1593,0)</t>
  </si>
  <si>
    <t>=IF(AND($M1593&gt;=$Q$16,$M1593&lt;=$Q$18),U1593,0)</t>
  </si>
  <si>
    <t>=IF(AND($M1593&gt;=$R$16,$M1593&lt;=$R$18),U1593,0)</t>
  </si>
  <si>
    <t>=IF(AND($M1593&gt;=$S$16,$M1593&lt;=$S$18),U1593,0)</t>
  </si>
  <si>
    <t>=IF($M1593&lt;=$T$18,U1593,0)</t>
  </si>
  <si>
    <t>="""NAV Direct"",""CRONUS JetCorp USA"",""21"",""1"",""431678"""</t>
  </si>
  <si>
    <t>=E1592</t>
  </si>
  <si>
    <t>=StartDate-$M1594+1</t>
  </si>
  <si>
    <t>=SUM(P1594:T1594)</t>
  </si>
  <si>
    <t>=IF($M1594&gt;=$P$18,U1594,0)</t>
  </si>
  <si>
    <t>=IF(AND($M1594&gt;=$Q$16,$M1594&lt;=$Q$18),U1594,0)</t>
  </si>
  <si>
    <t>=IF(AND($M1594&gt;=$R$16,$M1594&lt;=$R$18),U1594,0)</t>
  </si>
  <si>
    <t>=IF(AND($M1594&gt;=$S$16,$M1594&lt;=$S$18),U1594,0)</t>
  </si>
  <si>
    <t>=IF($M1594&lt;=$T$18,U1594,0)</t>
  </si>
  <si>
    <t>="""NAV Direct"",""CRONUS JetCorp USA"",""21"",""1"",""431728"""</t>
  </si>
  <si>
    <t>=E1593</t>
  </si>
  <si>
    <t>=StartDate-$M1595+1</t>
  </si>
  <si>
    <t>=SUM(P1595:T1595)</t>
  </si>
  <si>
    <t>=IF($M1595&gt;=$P$18,U1595,0)</t>
  </si>
  <si>
    <t>=IF(AND($M1595&gt;=$Q$16,$M1595&lt;=$Q$18),U1595,0)</t>
  </si>
  <si>
    <t>=IF(AND($M1595&gt;=$R$16,$M1595&lt;=$R$18),U1595,0)</t>
  </si>
  <si>
    <t>=IF(AND($M1595&gt;=$S$16,$M1595&lt;=$S$18),U1595,0)</t>
  </si>
  <si>
    <t>=IF($M1595&lt;=$T$18,U1595,0)</t>
  </si>
  <si>
    <t>="""NAV Direct"",""CRONUS JetCorp USA"",""21"",""1"",""431781"""</t>
  </si>
  <si>
    <t>=E1594</t>
  </si>
  <si>
    <t>=StartDate-$M1596+1</t>
  </si>
  <si>
    <t>=SUM(P1596:T1596)</t>
  </si>
  <si>
    <t>=IF($M1596&gt;=$P$18,U1596,0)</t>
  </si>
  <si>
    <t>=IF(AND($M1596&gt;=$Q$16,$M1596&lt;=$Q$18),U1596,0)</t>
  </si>
  <si>
    <t>=IF(AND($M1596&gt;=$R$16,$M1596&lt;=$R$18),U1596,0)</t>
  </si>
  <si>
    <t>=IF(AND($M1596&gt;=$S$16,$M1596&lt;=$S$18),U1596,0)</t>
  </si>
  <si>
    <t>=IF($M1596&lt;=$T$18,U1596,0)</t>
  </si>
  <si>
    <t>="""NAV Direct"",""CRONUS JetCorp USA"",""21"",""1"",""431814"""</t>
  </si>
  <si>
    <t>=E1595</t>
  </si>
  <si>
    <t>=StartDate-$M1597+1</t>
  </si>
  <si>
    <t>=SUM(P1597:T1597)</t>
  </si>
  <si>
    <t>=IF($M1597&gt;=$P$18,U1597,0)</t>
  </si>
  <si>
    <t>=IF(AND($M1597&gt;=$Q$16,$M1597&lt;=$Q$18),U1597,0)</t>
  </si>
  <si>
    <t>=IF(AND($M1597&gt;=$R$16,$M1597&lt;=$R$18),U1597,0)</t>
  </si>
  <si>
    <t>=IF(AND($M1597&gt;=$S$16,$M1597&lt;=$S$18),U1597,0)</t>
  </si>
  <si>
    <t>=IF($M1597&lt;=$T$18,U1597,0)</t>
  </si>
  <si>
    <t>="""NAV Direct"",""CRONUS JetCorp USA"",""21"",""1"",""431842"""</t>
  </si>
  <si>
    <t>=E1596</t>
  </si>
  <si>
    <t>=StartDate-$M1598+1</t>
  </si>
  <si>
    <t>=SUM(P1598:T1598)</t>
  </si>
  <si>
    <t>=IF($M1598&gt;=$P$18,U1598,0)</t>
  </si>
  <si>
    <t>=IF(AND($M1598&gt;=$Q$16,$M1598&lt;=$Q$18),U1598,0)</t>
  </si>
  <si>
    <t>=IF(AND($M1598&gt;=$R$16,$M1598&lt;=$R$18),U1598,0)</t>
  </si>
  <si>
    <t>=IF(AND($M1598&gt;=$S$16,$M1598&lt;=$S$18),U1598,0)</t>
  </si>
  <si>
    <t>=IF($M1598&lt;=$T$18,U1598,0)</t>
  </si>
  <si>
    <t>="""NAV Direct"",""CRONUS JetCorp USA"",""21"",""1"",""431870"""</t>
  </si>
  <si>
    <t>=E1597</t>
  </si>
  <si>
    <t>=StartDate-$M1599+1</t>
  </si>
  <si>
    <t>=SUM(P1599:T1599)</t>
  </si>
  <si>
    <t>=IF($M1599&gt;=$P$18,U1599,0)</t>
  </si>
  <si>
    <t>=IF(AND($M1599&gt;=$Q$16,$M1599&lt;=$Q$18),U1599,0)</t>
  </si>
  <si>
    <t>=IF(AND($M1599&gt;=$R$16,$M1599&lt;=$R$18),U1599,0)</t>
  </si>
  <si>
    <t>=IF(AND($M1599&gt;=$S$16,$M1599&lt;=$S$18),U1599,0)</t>
  </si>
  <si>
    <t>=IF($M1599&lt;=$T$18,U1599,0)</t>
  </si>
  <si>
    <t>="""NAV Direct"",""CRONUS JetCorp USA"",""21"",""1"",""431945"""</t>
  </si>
  <si>
    <t>=E1598</t>
  </si>
  <si>
    <t>=StartDate-$M1600+1</t>
  </si>
  <si>
    <t>=SUM(P1600:T1600)</t>
  </si>
  <si>
    <t>=IF($M1600&gt;=$P$18,U1600,0)</t>
  </si>
  <si>
    <t>=IF(AND($M1600&gt;=$Q$16,$M1600&lt;=$Q$18),U1600,0)</t>
  </si>
  <si>
    <t>=IF(AND($M1600&gt;=$R$16,$M1600&lt;=$R$18),U1600,0)</t>
  </si>
  <si>
    <t>=IF(AND($M1600&gt;=$S$16,$M1600&lt;=$S$18),U1600,0)</t>
  </si>
  <si>
    <t>=IF($M1600&lt;=$T$18,U1600,0)</t>
  </si>
  <si>
    <t>="""NAV Direct"",""CRONUS JetCorp USA"",""18"",""1"",""C100056"""</t>
  </si>
  <si>
    <t>=H1603</t>
  </si>
  <si>
    <t>=NF($C1603,"1 No.")</t>
  </si>
  <si>
    <t>=NF($C1603,"1 No.")&amp;"  -  "&amp;NF($C1603,"2 Name")</t>
  </si>
  <si>
    <t>=IFERROR(O1603/NF(C1603,"Credit Limit (LCY)"),"")</t>
  </si>
  <si>
    <t>=SUBTOTAL(3,L1604:L1625)</t>
  </si>
  <si>
    <t>=SUBTOTAL(9,O1604:O1625)</t>
  </si>
  <si>
    <t>=SUBTOTAL(9,P1604:P1625)</t>
  </si>
  <si>
    <t>=SUBTOTAL(9,Q1604:Q1625)</t>
  </si>
  <si>
    <t>=SUBTOTAL(9,R1604:R1625)</t>
  </si>
  <si>
    <t>=SUBTOTAL(9,S1604:S1625)</t>
  </si>
  <si>
    <t>=SUBTOTAL(9,T1604:T1625)</t>
  </si>
  <si>
    <t>=C1603</t>
  </si>
  <si>
    <t>=E1603</t>
  </si>
  <si>
    <t>="Contact: "&amp;NF($C1604,"8 Contact")</t>
  </si>
  <si>
    <t>=C1604</t>
  </si>
  <si>
    <t>=E1604</t>
  </si>
  <si>
    <t>=NF($C1605,"102 E-Mail")</t>
  </si>
  <si>
    <t>=NL("Rows","21 Cust. Ledger Entry",,"3 Customer No.","@@"&amp;$E1607,"16 Remaining Amt. (LCY)","&lt;&gt;0")</t>
  </si>
  <si>
    <t>=E1605</t>
  </si>
  <si>
    <t>=StartDate-$M1607+1</t>
  </si>
  <si>
    <t>=SUM(P1607:T1607)</t>
  </si>
  <si>
    <t>=IF($M1607&gt;=$P$18,U1607,0)</t>
  </si>
  <si>
    <t>=IF(AND($M1607&gt;=$Q$16,$M1607&lt;=$Q$18),U1607,0)</t>
  </si>
  <si>
    <t>=IF(AND($M1607&gt;=$R$16,$M1607&lt;=$R$18),U1607,0)</t>
  </si>
  <si>
    <t>=IF(AND($M1607&gt;=$S$16,$M1607&lt;=$S$18),U1607,0)</t>
  </si>
  <si>
    <t>=IF($M1607&lt;=$T$18,U1607,0)</t>
  </si>
  <si>
    <t>="""NAV Direct"",""CRONUS JetCorp USA"",""21"",""1"",""98263"""</t>
  </si>
  <si>
    <t>=E1606</t>
  </si>
  <si>
    <t>=StartDate-$M1608+1</t>
  </si>
  <si>
    <t>=SUM(P1608:T1608)</t>
  </si>
  <si>
    <t>=IF($M1608&gt;=$P$18,U1608,0)</t>
  </si>
  <si>
    <t>=IF(AND($M1608&gt;=$Q$16,$M1608&lt;=$Q$18),U1608,0)</t>
  </si>
  <si>
    <t>=IF(AND($M1608&gt;=$R$16,$M1608&lt;=$R$18),U1608,0)</t>
  </si>
  <si>
    <t>=IF(AND($M1608&gt;=$S$16,$M1608&lt;=$S$18),U1608,0)</t>
  </si>
  <si>
    <t>=IF($M1608&lt;=$T$18,U1608,0)</t>
  </si>
  <si>
    <t>="""NAV Direct"",""CRONUS JetCorp USA"",""21"",""1"",""377415"""</t>
  </si>
  <si>
    <t>=E1607</t>
  </si>
  <si>
    <t>=StartDate-$M1609+1</t>
  </si>
  <si>
    <t>=SUM(P1609:T1609)</t>
  </si>
  <si>
    <t>=IF($M1609&gt;=$P$18,U1609,0)</t>
  </si>
  <si>
    <t>=IF(AND($M1609&gt;=$Q$16,$M1609&lt;=$Q$18),U1609,0)</t>
  </si>
  <si>
    <t>=IF(AND($M1609&gt;=$R$16,$M1609&lt;=$R$18),U1609,0)</t>
  </si>
  <si>
    <t>=IF(AND($M1609&gt;=$S$16,$M1609&lt;=$S$18),U1609,0)</t>
  </si>
  <si>
    <t>=IF($M1609&lt;=$T$18,U1609,0)</t>
  </si>
  <si>
    <t>="""NAV Direct"",""CRONUS JetCorp USA"",""21"",""1"",""377495"""</t>
  </si>
  <si>
    <t>=E1608</t>
  </si>
  <si>
    <t>=StartDate-$M1610+1</t>
  </si>
  <si>
    <t>=SUM(P1610:T1610)</t>
  </si>
  <si>
    <t>=IF($M1610&gt;=$P$18,U1610,0)</t>
  </si>
  <si>
    <t>=IF(AND($M1610&gt;=$Q$16,$M1610&lt;=$Q$18),U1610,0)</t>
  </si>
  <si>
    <t>=IF(AND($M1610&gt;=$R$16,$M1610&lt;=$R$18),U1610,0)</t>
  </si>
  <si>
    <t>=IF(AND($M1610&gt;=$S$16,$M1610&lt;=$S$18),U1610,0)</t>
  </si>
  <si>
    <t>=IF($M1610&lt;=$T$18,U1610,0)</t>
  </si>
  <si>
    <t>="""NAV Direct"",""CRONUS JetCorp USA"",""21"",""1"",""377727"""</t>
  </si>
  <si>
    <t>=E1609</t>
  </si>
  <si>
    <t>=StartDate-$M1611+1</t>
  </si>
  <si>
    <t>=SUM(P1611:T1611)</t>
  </si>
  <si>
    <t>=IF($M1611&gt;=$P$18,U1611,0)</t>
  </si>
  <si>
    <t>=IF(AND($M1611&gt;=$Q$16,$M1611&lt;=$Q$18),U1611,0)</t>
  </si>
  <si>
    <t>=IF(AND($M1611&gt;=$R$16,$M1611&lt;=$R$18),U1611,0)</t>
  </si>
  <si>
    <t>=IF(AND($M1611&gt;=$S$16,$M1611&lt;=$S$18),U1611,0)</t>
  </si>
  <si>
    <t>=IF($M1611&lt;=$T$18,U1611,0)</t>
  </si>
  <si>
    <t>="""NAV Direct"",""CRONUS JetCorp USA"",""21"",""1"",""377815"""</t>
  </si>
  <si>
    <t>=E1610</t>
  </si>
  <si>
    <t>=StartDate-$M1612+1</t>
  </si>
  <si>
    <t>=SUM(P1612:T1612)</t>
  </si>
  <si>
    <t>=IF($M1612&gt;=$P$18,U1612,0)</t>
  </si>
  <si>
    <t>=IF(AND($M1612&gt;=$Q$16,$M1612&lt;=$Q$18),U1612,0)</t>
  </si>
  <si>
    <t>=IF(AND($M1612&gt;=$R$16,$M1612&lt;=$R$18),U1612,0)</t>
  </si>
  <si>
    <t>=IF(AND($M1612&gt;=$S$16,$M1612&lt;=$S$18),U1612,0)</t>
  </si>
  <si>
    <t>=IF($M1612&lt;=$T$18,U1612,0)</t>
  </si>
  <si>
    <t>="""NAV Direct"",""CRONUS JetCorp USA"",""21"",""1"",""378067"""</t>
  </si>
  <si>
    <t>=E1611</t>
  </si>
  <si>
    <t>=StartDate-$M1613+1</t>
  </si>
  <si>
    <t>=SUM(P1613:T1613)</t>
  </si>
  <si>
    <t>=IF($M1613&gt;=$P$18,U1613,0)</t>
  </si>
  <si>
    <t>=IF(AND($M1613&gt;=$Q$16,$M1613&lt;=$Q$18),U1613,0)</t>
  </si>
  <si>
    <t>=IF(AND($M1613&gt;=$R$16,$M1613&lt;=$R$18),U1613,0)</t>
  </si>
  <si>
    <t>=IF(AND($M1613&gt;=$S$16,$M1613&lt;=$S$18),U1613,0)</t>
  </si>
  <si>
    <t>=IF($M1613&lt;=$T$18,U1613,0)</t>
  </si>
  <si>
    <t>="""NAV Direct"",""CRONUS JetCorp USA"",""21"",""1"",""378104"""</t>
  </si>
  <si>
    <t>=E1612</t>
  </si>
  <si>
    <t>=StartDate-$M1614+1</t>
  </si>
  <si>
    <t>=SUM(P1614:T1614)</t>
  </si>
  <si>
    <t>=IF($M1614&gt;=$P$18,U1614,0)</t>
  </si>
  <si>
    <t>=IF(AND($M1614&gt;=$Q$16,$M1614&lt;=$Q$18),U1614,0)</t>
  </si>
  <si>
    <t>=IF(AND($M1614&gt;=$R$16,$M1614&lt;=$R$18),U1614,0)</t>
  </si>
  <si>
    <t>=IF(AND($M1614&gt;=$S$16,$M1614&lt;=$S$18),U1614,0)</t>
  </si>
  <si>
    <t>=IF($M1614&lt;=$T$18,U1614,0)</t>
  </si>
  <si>
    <t>="""NAV Direct"",""CRONUS JetCorp USA"",""21"",""1"",""378518"""</t>
  </si>
  <si>
    <t>=E1613</t>
  </si>
  <si>
    <t>=StartDate-$M1615+1</t>
  </si>
  <si>
    <t>=SUM(P1615:T1615)</t>
  </si>
  <si>
    <t>=IF($M1615&gt;=$P$18,U1615,0)</t>
  </si>
  <si>
    <t>=IF(AND($M1615&gt;=$Q$16,$M1615&lt;=$Q$18),U1615,0)</t>
  </si>
  <si>
    <t>=IF(AND($M1615&gt;=$R$16,$M1615&lt;=$R$18),U1615,0)</t>
  </si>
  <si>
    <t>=IF(AND($M1615&gt;=$S$16,$M1615&lt;=$S$18),U1615,0)</t>
  </si>
  <si>
    <t>=IF($M1615&lt;=$T$18,U1615,0)</t>
  </si>
  <si>
    <t>="""NAV Direct"",""CRONUS JetCorp USA"",""21"",""1"",""378588"""</t>
  </si>
  <si>
    <t>=E1614</t>
  </si>
  <si>
    <t>=StartDate-$M1616+1</t>
  </si>
  <si>
    <t>=SUM(P1616:T1616)</t>
  </si>
  <si>
    <t>=IF($M1616&gt;=$P$18,U1616,0)</t>
  </si>
  <si>
    <t>=IF(AND($M1616&gt;=$Q$16,$M1616&lt;=$Q$18),U1616,0)</t>
  </si>
  <si>
    <t>=IF(AND($M1616&gt;=$R$16,$M1616&lt;=$R$18),U1616,0)</t>
  </si>
  <si>
    <t>=IF(AND($M1616&gt;=$S$16,$M1616&lt;=$S$18),U1616,0)</t>
  </si>
  <si>
    <t>=IF($M1616&lt;=$T$18,U1616,0)</t>
  </si>
  <si>
    <t>="""NAV Direct"",""CRONUS JetCorp USA"",""21"",""1"",""378737"""</t>
  </si>
  <si>
    <t>=E1615</t>
  </si>
  <si>
    <t>=StartDate-$M1617+1</t>
  </si>
  <si>
    <t>=SUM(P1617:T1617)</t>
  </si>
  <si>
    <t>=IF($M1617&gt;=$P$18,U1617,0)</t>
  </si>
  <si>
    <t>=IF(AND($M1617&gt;=$Q$16,$M1617&lt;=$Q$18),U1617,0)</t>
  </si>
  <si>
    <t>=IF(AND($M1617&gt;=$R$16,$M1617&lt;=$R$18),U1617,0)</t>
  </si>
  <si>
    <t>=IF(AND($M1617&gt;=$S$16,$M1617&lt;=$S$18),U1617,0)</t>
  </si>
  <si>
    <t>=IF($M1617&lt;=$T$18,U1617,0)</t>
  </si>
  <si>
    <t>="""NAV Direct"",""CRONUS JetCorp USA"",""21"",""1"",""379355"""</t>
  </si>
  <si>
    <t>=E1616</t>
  </si>
  <si>
    <t>=StartDate-$M1618+1</t>
  </si>
  <si>
    <t>=SUM(P1618:T1618)</t>
  </si>
  <si>
    <t>=IF($M1618&gt;=$P$18,U1618,0)</t>
  </si>
  <si>
    <t>=IF(AND($M1618&gt;=$Q$16,$M1618&lt;=$Q$18),U1618,0)</t>
  </si>
  <si>
    <t>=IF(AND($M1618&gt;=$R$16,$M1618&lt;=$R$18),U1618,0)</t>
  </si>
  <si>
    <t>=IF(AND($M1618&gt;=$S$16,$M1618&lt;=$S$18),U1618,0)</t>
  </si>
  <si>
    <t>=IF($M1618&lt;=$T$18,U1618,0)</t>
  </si>
  <si>
    <t>="""NAV Direct"",""CRONUS JetCorp USA"",""21"",""1"",""379390"""</t>
  </si>
  <si>
    <t>=E1617</t>
  </si>
  <si>
    <t>=StartDate-$M1619+1</t>
  </si>
  <si>
    <t>=SUM(P1619:T1619)</t>
  </si>
  <si>
    <t>=IF($M1619&gt;=$P$18,U1619,0)</t>
  </si>
  <si>
    <t>=IF(AND($M1619&gt;=$Q$16,$M1619&lt;=$Q$18),U1619,0)</t>
  </si>
  <si>
    <t>=IF(AND($M1619&gt;=$R$16,$M1619&lt;=$R$18),U1619,0)</t>
  </si>
  <si>
    <t>=IF(AND($M1619&gt;=$S$16,$M1619&lt;=$S$18),U1619,0)</t>
  </si>
  <si>
    <t>=IF($M1619&lt;=$T$18,U1619,0)</t>
  </si>
  <si>
    <t>="""NAV Direct"",""CRONUS JetCorp USA"",""21"",""1"",""379811"""</t>
  </si>
  <si>
    <t>=E1618</t>
  </si>
  <si>
    <t>=StartDate-$M1620+1</t>
  </si>
  <si>
    <t>=SUM(P1620:T1620)</t>
  </si>
  <si>
    <t>=IF($M1620&gt;=$P$18,U1620,0)</t>
  </si>
  <si>
    <t>=IF(AND($M1620&gt;=$Q$16,$M1620&lt;=$Q$18),U1620,0)</t>
  </si>
  <si>
    <t>=IF(AND($M1620&gt;=$R$16,$M1620&lt;=$R$18),U1620,0)</t>
  </si>
  <si>
    <t>=IF(AND($M1620&gt;=$S$16,$M1620&lt;=$S$18),U1620,0)</t>
  </si>
  <si>
    <t>=IF($M1620&lt;=$T$18,U1620,0)</t>
  </si>
  <si>
    <t>="""NAV Direct"",""CRONUS JetCorp USA"",""21"",""1"",""379914"""</t>
  </si>
  <si>
    <t>=E1619</t>
  </si>
  <si>
    <t>=StartDate-$M1621+1</t>
  </si>
  <si>
    <t>=SUM(P1621:T1621)</t>
  </si>
  <si>
    <t>=IF($M1621&gt;=$P$18,U1621,0)</t>
  </si>
  <si>
    <t>=IF(AND($M1621&gt;=$Q$16,$M1621&lt;=$Q$18),U1621,0)</t>
  </si>
  <si>
    <t>=IF(AND($M1621&gt;=$R$16,$M1621&lt;=$R$18),U1621,0)</t>
  </si>
  <si>
    <t>=IF(AND($M1621&gt;=$S$16,$M1621&lt;=$S$18),U1621,0)</t>
  </si>
  <si>
    <t>=IF($M1621&lt;=$T$18,U1621,0)</t>
  </si>
  <si>
    <t>="""NAV Direct"",""CRONUS JetCorp USA"",""21"",""1"",""380031"""</t>
  </si>
  <si>
    <t>=E1620</t>
  </si>
  <si>
    <t>=StartDate-$M1622+1</t>
  </si>
  <si>
    <t>=SUM(P1622:T1622)</t>
  </si>
  <si>
    <t>=IF($M1622&gt;=$P$18,U1622,0)</t>
  </si>
  <si>
    <t>=IF(AND($M1622&gt;=$Q$16,$M1622&lt;=$Q$18),U1622,0)</t>
  </si>
  <si>
    <t>=IF(AND($M1622&gt;=$R$16,$M1622&lt;=$R$18),U1622,0)</t>
  </si>
  <si>
    <t>=IF(AND($M1622&gt;=$S$16,$M1622&lt;=$S$18),U1622,0)</t>
  </si>
  <si>
    <t>=IF($M1622&lt;=$T$18,U1622,0)</t>
  </si>
  <si>
    <t>="""NAV Direct"",""CRONUS JetCorp USA"",""21"",""1"",""380072"""</t>
  </si>
  <si>
    <t>=E1621</t>
  </si>
  <si>
    <t>=StartDate-$M1623+1</t>
  </si>
  <si>
    <t>=SUM(P1623:T1623)</t>
  </si>
  <si>
    <t>=IF($M1623&gt;=$P$18,U1623,0)</t>
  </si>
  <si>
    <t>=IF(AND($M1623&gt;=$Q$16,$M1623&lt;=$Q$18),U1623,0)</t>
  </si>
  <si>
    <t>=IF(AND($M1623&gt;=$R$16,$M1623&lt;=$R$18),U1623,0)</t>
  </si>
  <si>
    <t>=IF(AND($M1623&gt;=$S$16,$M1623&lt;=$S$18),U1623,0)</t>
  </si>
  <si>
    <t>=IF($M1623&lt;=$T$18,U1623,0)</t>
  </si>
  <si>
    <t>="""NAV Direct"",""CRONUS JetCorp USA"",""21"",""1"",""437943"""</t>
  </si>
  <si>
    <t>=E1622</t>
  </si>
  <si>
    <t>=StartDate-$M1624+1</t>
  </si>
  <si>
    <t>=SUM(P1624:T1624)</t>
  </si>
  <si>
    <t>=IF($M1624&gt;=$P$18,U1624,0)</t>
  </si>
  <si>
    <t>=IF(AND($M1624&gt;=$Q$16,$M1624&lt;=$Q$18),U1624,0)</t>
  </si>
  <si>
    <t>=IF(AND($M1624&gt;=$R$16,$M1624&lt;=$R$18),U1624,0)</t>
  </si>
  <si>
    <t>=IF(AND($M1624&gt;=$S$16,$M1624&lt;=$S$18),U1624,0)</t>
  </si>
  <si>
    <t>=IF($M1624&lt;=$T$18,U1624,0)</t>
  </si>
  <si>
    <t>="""NAV Direct"",""CRONUS JetCorp USA"",""18"",""1"",""C100058"""</t>
  </si>
  <si>
    <t>=H1627</t>
  </si>
  <si>
    <t>=NF($C1627,"1 No.")</t>
  </si>
  <si>
    <t>=NF($C1627,"1 No.")&amp;"  -  "&amp;NF($C1627,"2 Name")</t>
  </si>
  <si>
    <t>=IFERROR(O1627/NF(C1627,"Credit Limit (LCY)"),"")</t>
  </si>
  <si>
    <t>=SUBTOTAL(3,L1628:L1645)</t>
  </si>
  <si>
    <t>=SUBTOTAL(9,O1628:O1645)</t>
  </si>
  <si>
    <t>=SUBTOTAL(9,P1628:P1645)</t>
  </si>
  <si>
    <t>=SUBTOTAL(9,Q1628:Q1645)</t>
  </si>
  <si>
    <t>=SUBTOTAL(9,R1628:R1645)</t>
  </si>
  <si>
    <t>=SUBTOTAL(9,S1628:S1645)</t>
  </si>
  <si>
    <t>=SUBTOTAL(9,T1628:T1645)</t>
  </si>
  <si>
    <t>=C1627</t>
  </si>
  <si>
    <t>=E1627</t>
  </si>
  <si>
    <t>="Contact: "&amp;NF($C1628,"8 Contact")</t>
  </si>
  <si>
    <t>=C1628</t>
  </si>
  <si>
    <t>=E1628</t>
  </si>
  <si>
    <t>=NF($C1629,"102 E-Mail")</t>
  </si>
  <si>
    <t>=NL("Rows","21 Cust. Ledger Entry",,"3 Customer No.","@@"&amp;$E1631,"16 Remaining Amt. (LCY)","&lt;&gt;0")</t>
  </si>
  <si>
    <t>=E1629</t>
  </si>
  <si>
    <t>=StartDate-$M1631+1</t>
  </si>
  <si>
    <t>=SUM(P1631:T1631)</t>
  </si>
  <si>
    <t>=IF($M1631&gt;=$P$18,U1631,0)</t>
  </si>
  <si>
    <t>=IF(AND($M1631&gt;=$Q$16,$M1631&lt;=$Q$18),U1631,0)</t>
  </si>
  <si>
    <t>=IF(AND($M1631&gt;=$R$16,$M1631&lt;=$R$18),U1631,0)</t>
  </si>
  <si>
    <t>=IF(AND($M1631&gt;=$S$16,$M1631&lt;=$S$18),U1631,0)</t>
  </si>
  <si>
    <t>=IF($M1631&lt;=$T$18,U1631,0)</t>
  </si>
  <si>
    <t>="""NAV Direct"",""CRONUS JetCorp USA"",""21"",""1"",""191133"""</t>
  </si>
  <si>
    <t>=E1630</t>
  </si>
  <si>
    <t>=StartDate-$M1632+1</t>
  </si>
  <si>
    <t>=SUM(P1632:T1632)</t>
  </si>
  <si>
    <t>=IF($M1632&gt;=$P$18,U1632,0)</t>
  </si>
  <si>
    <t>=IF(AND($M1632&gt;=$Q$16,$M1632&lt;=$Q$18),U1632,0)</t>
  </si>
  <si>
    <t>=IF(AND($M1632&gt;=$R$16,$M1632&lt;=$R$18),U1632,0)</t>
  </si>
  <si>
    <t>=IF(AND($M1632&gt;=$S$16,$M1632&lt;=$S$18),U1632,0)</t>
  </si>
  <si>
    <t>=IF($M1632&lt;=$T$18,U1632,0)</t>
  </si>
  <si>
    <t>="""NAV Direct"",""CRONUS JetCorp USA"",""21"",""1"",""191300"""</t>
  </si>
  <si>
    <t>=E1631</t>
  </si>
  <si>
    <t>=StartDate-$M1633+1</t>
  </si>
  <si>
    <t>=SUM(P1633:T1633)</t>
  </si>
  <si>
    <t>=IF($M1633&gt;=$P$18,U1633,0)</t>
  </si>
  <si>
    <t>=IF(AND($M1633&gt;=$Q$16,$M1633&lt;=$Q$18),U1633,0)</t>
  </si>
  <si>
    <t>=IF(AND($M1633&gt;=$R$16,$M1633&lt;=$R$18),U1633,0)</t>
  </si>
  <si>
    <t>=IF(AND($M1633&gt;=$S$16,$M1633&lt;=$S$18),U1633,0)</t>
  </si>
  <si>
    <t>=IF($M1633&lt;=$T$18,U1633,0)</t>
  </si>
  <si>
    <t>="""NAV Direct"",""CRONUS JetCorp USA"",""21"",""1"",""191481"""</t>
  </si>
  <si>
    <t>=E1632</t>
  </si>
  <si>
    <t>=StartDate-$M1634+1</t>
  </si>
  <si>
    <t>=SUM(P1634:T1634)</t>
  </si>
  <si>
    <t>=IF($M1634&gt;=$P$18,U1634,0)</t>
  </si>
  <si>
    <t>=IF(AND($M1634&gt;=$Q$16,$M1634&lt;=$Q$18),U1634,0)</t>
  </si>
  <si>
    <t>=IF(AND($M1634&gt;=$R$16,$M1634&lt;=$R$18),U1634,0)</t>
  </si>
  <si>
    <t>=IF(AND($M1634&gt;=$S$16,$M1634&lt;=$S$18),U1634,0)</t>
  </si>
  <si>
    <t>=IF($M1634&lt;=$T$18,U1634,0)</t>
  </si>
  <si>
    <t>="""NAV Direct"",""CRONUS JetCorp USA"",""21"",""1"",""191894"""</t>
  </si>
  <si>
    <t>=E1633</t>
  </si>
  <si>
    <t>=StartDate-$M1635+1</t>
  </si>
  <si>
    <t>=SUM(P1635:T1635)</t>
  </si>
  <si>
    <t>=IF($M1635&gt;=$P$18,U1635,0)</t>
  </si>
  <si>
    <t>=IF(AND($M1635&gt;=$Q$16,$M1635&lt;=$Q$18),U1635,0)</t>
  </si>
  <si>
    <t>=IF(AND($M1635&gt;=$R$16,$M1635&lt;=$R$18),U1635,0)</t>
  </si>
  <si>
    <t>=IF(AND($M1635&gt;=$S$16,$M1635&lt;=$S$18),U1635,0)</t>
  </si>
  <si>
    <t>=IF($M1635&lt;=$T$18,U1635,0)</t>
  </si>
  <si>
    <t>="""NAV Direct"",""CRONUS JetCorp USA"",""21"",""1"",""191961"""</t>
  </si>
  <si>
    <t>=E1634</t>
  </si>
  <si>
    <t>=StartDate-$M1636+1</t>
  </si>
  <si>
    <t>=SUM(P1636:T1636)</t>
  </si>
  <si>
    <t>=IF($M1636&gt;=$P$18,U1636,0)</t>
  </si>
  <si>
    <t>=IF(AND($M1636&gt;=$Q$16,$M1636&lt;=$Q$18),U1636,0)</t>
  </si>
  <si>
    <t>=IF(AND($M1636&gt;=$R$16,$M1636&lt;=$R$18),U1636,0)</t>
  </si>
  <si>
    <t>=IF(AND($M1636&gt;=$S$16,$M1636&lt;=$S$18),U1636,0)</t>
  </si>
  <si>
    <t>=IF($M1636&lt;=$T$18,U1636,0)</t>
  </si>
  <si>
    <t>="""NAV Direct"",""CRONUS JetCorp USA"",""21"",""1"",""192337"""</t>
  </si>
  <si>
    <t>=E1635</t>
  </si>
  <si>
    <t>=StartDate-$M1637+1</t>
  </si>
  <si>
    <t>=SUM(P1637:T1637)</t>
  </si>
  <si>
    <t>=IF($M1637&gt;=$P$18,U1637,0)</t>
  </si>
  <si>
    <t>=IF(AND($M1637&gt;=$Q$16,$M1637&lt;=$Q$18),U1637,0)</t>
  </si>
  <si>
    <t>=IF(AND($M1637&gt;=$R$16,$M1637&lt;=$R$18),U1637,0)</t>
  </si>
  <si>
    <t>=IF(AND($M1637&gt;=$S$16,$M1637&lt;=$S$18),U1637,0)</t>
  </si>
  <si>
    <t>=IF($M1637&lt;=$T$18,U1637,0)</t>
  </si>
  <si>
    <t>="""NAV Direct"",""CRONUS JetCorp USA"",""21"",""1"",""192937"""</t>
  </si>
  <si>
    <t>=E1636</t>
  </si>
  <si>
    <t>=StartDate-$M1638+1</t>
  </si>
  <si>
    <t>=SUM(P1638:T1638)</t>
  </si>
  <si>
    <t>=IF($M1638&gt;=$P$18,U1638,0)</t>
  </si>
  <si>
    <t>=IF(AND($M1638&gt;=$Q$16,$M1638&lt;=$Q$18),U1638,0)</t>
  </si>
  <si>
    <t>=IF(AND($M1638&gt;=$R$16,$M1638&lt;=$R$18),U1638,0)</t>
  </si>
  <si>
    <t>=IF(AND($M1638&gt;=$S$16,$M1638&lt;=$S$18),U1638,0)</t>
  </si>
  <si>
    <t>=IF($M1638&lt;=$T$18,U1638,0)</t>
  </si>
  <si>
    <t>="""NAV Direct"",""CRONUS JetCorp USA"",""21"",""1"",""193053"""</t>
  </si>
  <si>
    <t>=E1637</t>
  </si>
  <si>
    <t>=StartDate-$M1639+1</t>
  </si>
  <si>
    <t>=SUM(P1639:T1639)</t>
  </si>
  <si>
    <t>=IF($M1639&gt;=$P$18,U1639,0)</t>
  </si>
  <si>
    <t>=IF(AND($M1639&gt;=$Q$16,$M1639&lt;=$Q$18),U1639,0)</t>
  </si>
  <si>
    <t>=IF(AND($M1639&gt;=$R$16,$M1639&lt;=$R$18),U1639,0)</t>
  </si>
  <si>
    <t>=IF(AND($M1639&gt;=$S$16,$M1639&lt;=$S$18),U1639,0)</t>
  </si>
  <si>
    <t>=IF($M1639&lt;=$T$18,U1639,0)</t>
  </si>
  <si>
    <t>="""NAV Direct"",""CRONUS JetCorp USA"",""21"",""1"",""193173"""</t>
  </si>
  <si>
    <t>=E1638</t>
  </si>
  <si>
    <t>=StartDate-$M1640+1</t>
  </si>
  <si>
    <t>=SUM(P1640:T1640)</t>
  </si>
  <si>
    <t>=IF($M1640&gt;=$P$18,U1640,0)</t>
  </si>
  <si>
    <t>=IF(AND($M1640&gt;=$Q$16,$M1640&lt;=$Q$18),U1640,0)</t>
  </si>
  <si>
    <t>=IF(AND($M1640&gt;=$R$16,$M1640&lt;=$R$18),U1640,0)</t>
  </si>
  <si>
    <t>=IF(AND($M1640&gt;=$S$16,$M1640&lt;=$S$18),U1640,0)</t>
  </si>
  <si>
    <t>=IF($M1640&lt;=$T$18,U1640,0)</t>
  </si>
  <si>
    <t>="""NAV Direct"",""CRONUS JetCorp USA"",""21"",""1"",""443836"""</t>
  </si>
  <si>
    <t>=E1639</t>
  </si>
  <si>
    <t>=StartDate-$M1641+1</t>
  </si>
  <si>
    <t>=SUM(P1641:T1641)</t>
  </si>
  <si>
    <t>=IF($M1641&gt;=$P$18,U1641,0)</t>
  </si>
  <si>
    <t>=IF(AND($M1641&gt;=$Q$16,$M1641&lt;=$Q$18),U1641,0)</t>
  </si>
  <si>
    <t>=IF(AND($M1641&gt;=$R$16,$M1641&lt;=$R$18),U1641,0)</t>
  </si>
  <si>
    <t>=IF(AND($M1641&gt;=$S$16,$M1641&lt;=$S$18),U1641,0)</t>
  </si>
  <si>
    <t>=IF($M1641&lt;=$T$18,U1641,0)</t>
  </si>
  <si>
    <t>="""NAV Direct"",""CRONUS JetCorp USA"",""21"",""1"",""443861"""</t>
  </si>
  <si>
    <t>=E1640</t>
  </si>
  <si>
    <t>=StartDate-$M1642+1</t>
  </si>
  <si>
    <t>=SUM(P1642:T1642)</t>
  </si>
  <si>
    <t>=IF($M1642&gt;=$P$18,U1642,0)</t>
  </si>
  <si>
    <t>=IF(AND($M1642&gt;=$Q$16,$M1642&lt;=$Q$18),U1642,0)</t>
  </si>
  <si>
    <t>=IF(AND($M1642&gt;=$R$16,$M1642&lt;=$R$18),U1642,0)</t>
  </si>
  <si>
    <t>=IF(AND($M1642&gt;=$S$16,$M1642&lt;=$S$18),U1642,0)</t>
  </si>
  <si>
    <t>=IF($M1642&lt;=$T$18,U1642,0)</t>
  </si>
  <si>
    <t>="""NAV Direct"",""CRONUS JetCorp USA"",""21"",""1"",""443897"""</t>
  </si>
  <si>
    <t>=E1641</t>
  </si>
  <si>
    <t>=StartDate-$M1643+1</t>
  </si>
  <si>
    <t>=SUM(P1643:T1643)</t>
  </si>
  <si>
    <t>=IF($M1643&gt;=$P$18,U1643,0)</t>
  </si>
  <si>
    <t>=IF(AND($M1643&gt;=$Q$16,$M1643&lt;=$Q$18),U1643,0)</t>
  </si>
  <si>
    <t>=IF(AND($M1643&gt;=$R$16,$M1643&lt;=$R$18),U1643,0)</t>
  </si>
  <si>
    <t>=IF(AND($M1643&gt;=$S$16,$M1643&lt;=$S$18),U1643,0)</t>
  </si>
  <si>
    <t>=IF($M1643&lt;=$T$18,U1643,0)</t>
  </si>
  <si>
    <t>="""NAV Direct"",""CRONUS JetCorp USA"",""21"",""1"",""444009"""</t>
  </si>
  <si>
    <t>=E1642</t>
  </si>
  <si>
    <t>=StartDate-$M1644+1</t>
  </si>
  <si>
    <t>=SUM(P1644:T1644)</t>
  </si>
  <si>
    <t>=IF($M1644&gt;=$P$18,U1644,0)</t>
  </si>
  <si>
    <t>=IF(AND($M1644&gt;=$Q$16,$M1644&lt;=$Q$18),U1644,0)</t>
  </si>
  <si>
    <t>=IF(AND($M1644&gt;=$R$16,$M1644&lt;=$R$18),U1644,0)</t>
  </si>
  <si>
    <t>=IF(AND($M1644&gt;=$S$16,$M1644&lt;=$S$18),U1644,0)</t>
  </si>
  <si>
    <t>=IF($M1644&lt;=$T$18,U1644,0)</t>
  </si>
  <si>
    <t>="""NAV Direct"",""CRONUS JetCorp USA"",""18"",""1"",""C100059"""</t>
  </si>
  <si>
    <t>=H1647</t>
  </si>
  <si>
    <t>=NF($C1647,"1 No.")</t>
  </si>
  <si>
    <t>=NF($C1647,"1 No.")&amp;"  -  "&amp;NF($C1647,"2 Name")</t>
  </si>
  <si>
    <t>=IFERROR(O1647/NF(C1647,"Credit Limit (LCY)"),"")</t>
  </si>
  <si>
    <t>=SUBTOTAL(3,L1648:L1726)</t>
  </si>
  <si>
    <t>=SUBTOTAL(9,O1648:O1726)</t>
  </si>
  <si>
    <t>=SUBTOTAL(9,P1648:P1726)</t>
  </si>
  <si>
    <t>=SUBTOTAL(9,Q1648:Q1726)</t>
  </si>
  <si>
    <t>=SUBTOTAL(9,R1648:R1726)</t>
  </si>
  <si>
    <t>=SUBTOTAL(9,S1648:S1726)</t>
  </si>
  <si>
    <t>=SUBTOTAL(9,T1648:T1726)</t>
  </si>
  <si>
    <t>=C1647</t>
  </si>
  <si>
    <t>=E1647</t>
  </si>
  <si>
    <t>="Contact: "&amp;NF($C1648,"8 Contact")</t>
  </si>
  <si>
    <t>=C1648</t>
  </si>
  <si>
    <t>=E1648</t>
  </si>
  <si>
    <t>=NF($C1649,"102 E-Mail")</t>
  </si>
  <si>
    <t>=NL("Rows","21 Cust. Ledger Entry",,"3 Customer No.","@@"&amp;$E1651,"16 Remaining Amt. (LCY)","&lt;&gt;0")</t>
  </si>
  <si>
    <t>=E1649</t>
  </si>
  <si>
    <t>=StartDate-$M1651+1</t>
  </si>
  <si>
    <t>=SUM(P1651:T1651)</t>
  </si>
  <si>
    <t>=IF($M1651&gt;=$P$18,U1651,0)</t>
  </si>
  <si>
    <t>=IF(AND($M1651&gt;=$Q$16,$M1651&lt;=$Q$18),U1651,0)</t>
  </si>
  <si>
    <t>=IF(AND($M1651&gt;=$R$16,$M1651&lt;=$R$18),U1651,0)</t>
  </si>
  <si>
    <t>=IF(AND($M1651&gt;=$S$16,$M1651&lt;=$S$18),U1651,0)</t>
  </si>
  <si>
    <t>=IF($M1651&lt;=$T$18,U1651,0)</t>
  </si>
  <si>
    <t>="""NAV Direct"",""CRONUS JetCorp USA"",""21"",""1"",""93927"""</t>
  </si>
  <si>
    <t>=E1650</t>
  </si>
  <si>
    <t>=StartDate-$M1652+1</t>
  </si>
  <si>
    <t>=SUM(P1652:T1652)</t>
  </si>
  <si>
    <t>=IF($M1652&gt;=$P$18,U1652,0)</t>
  </si>
  <si>
    <t>=IF(AND($M1652&gt;=$Q$16,$M1652&lt;=$Q$18),U1652,0)</t>
  </si>
  <si>
    <t>=IF(AND($M1652&gt;=$R$16,$M1652&lt;=$R$18),U1652,0)</t>
  </si>
  <si>
    <t>=IF(AND($M1652&gt;=$S$16,$M1652&lt;=$S$18),U1652,0)</t>
  </si>
  <si>
    <t>=IF($M1652&lt;=$T$18,U1652,0)</t>
  </si>
  <si>
    <t>="""NAV Direct"",""CRONUS JetCorp USA"",""21"",""1"",""94087"""</t>
  </si>
  <si>
    <t>=E1651</t>
  </si>
  <si>
    <t>=StartDate-$M1653+1</t>
  </si>
  <si>
    <t>=SUM(P1653:T1653)</t>
  </si>
  <si>
    <t>=IF($M1653&gt;=$P$18,U1653,0)</t>
  </si>
  <si>
    <t>=IF(AND($M1653&gt;=$Q$16,$M1653&lt;=$Q$18),U1653,0)</t>
  </si>
  <si>
    <t>=IF(AND($M1653&gt;=$R$16,$M1653&lt;=$R$18),U1653,0)</t>
  </si>
  <si>
    <t>=IF(AND($M1653&gt;=$S$16,$M1653&lt;=$S$18),U1653,0)</t>
  </si>
  <si>
    <t>=IF($M1653&lt;=$T$18,U1653,0)</t>
  </si>
  <si>
    <t>="""NAV Direct"",""CRONUS JetCorp USA"",""21"",""1"",""371139"""</t>
  </si>
  <si>
    <t>=E1652</t>
  </si>
  <si>
    <t>=StartDate-$M1654+1</t>
  </si>
  <si>
    <t>=SUM(P1654:T1654)</t>
  </si>
  <si>
    <t>=IF($M1654&gt;=$P$18,U1654,0)</t>
  </si>
  <si>
    <t>=IF(AND($M1654&gt;=$Q$16,$M1654&lt;=$Q$18),U1654,0)</t>
  </si>
  <si>
    <t>=IF(AND($M1654&gt;=$R$16,$M1654&lt;=$R$18),U1654,0)</t>
  </si>
  <si>
    <t>=IF(AND($M1654&gt;=$S$16,$M1654&lt;=$S$18),U1654,0)</t>
  </si>
  <si>
    <t>=IF($M1654&lt;=$T$18,U1654,0)</t>
  </si>
  <si>
    <t>="""NAV Direct"",""CRONUS JetCorp USA"",""21"",""1"",""371326"""</t>
  </si>
  <si>
    <t>=E1653</t>
  </si>
  <si>
    <t>=StartDate-$M1655+1</t>
  </si>
  <si>
    <t>=SUM(P1655:T1655)</t>
  </si>
  <si>
    <t>=IF($M1655&gt;=$P$18,U1655,0)</t>
  </si>
  <si>
    <t>=IF(AND($M1655&gt;=$Q$16,$M1655&lt;=$Q$18),U1655,0)</t>
  </si>
  <si>
    <t>=IF(AND($M1655&gt;=$R$16,$M1655&lt;=$R$18),U1655,0)</t>
  </si>
  <si>
    <t>=IF(AND($M1655&gt;=$S$16,$M1655&lt;=$S$18),U1655,0)</t>
  </si>
  <si>
    <t>=IF($M1655&lt;=$T$18,U1655,0)</t>
  </si>
  <si>
    <t>="""NAV Direct"",""CRONUS JetCorp USA"",""21"",""1"",""371355"""</t>
  </si>
  <si>
    <t>=E1654</t>
  </si>
  <si>
    <t>=StartDate-$M1656+1</t>
  </si>
  <si>
    <t>=SUM(P1656:T1656)</t>
  </si>
  <si>
    <t>=IF($M1656&gt;=$P$18,U1656,0)</t>
  </si>
  <si>
    <t>=IF(AND($M1656&gt;=$Q$16,$M1656&lt;=$Q$18),U1656,0)</t>
  </si>
  <si>
    <t>=IF(AND($M1656&gt;=$R$16,$M1656&lt;=$R$18),U1656,0)</t>
  </si>
  <si>
    <t>=IF(AND($M1656&gt;=$S$16,$M1656&lt;=$S$18),U1656,0)</t>
  </si>
  <si>
    <t>=IF($M1656&lt;=$T$18,U1656,0)</t>
  </si>
  <si>
    <t>="""NAV Direct"",""CRONUS JetCorp USA"",""21"",""1"",""371407"""</t>
  </si>
  <si>
    <t>=E1655</t>
  </si>
  <si>
    <t>=StartDate-$M1657+1</t>
  </si>
  <si>
    <t>=SUM(P1657:T1657)</t>
  </si>
  <si>
    <t>=IF($M1657&gt;=$P$18,U1657,0)</t>
  </si>
  <si>
    <t>=IF(AND($M1657&gt;=$Q$16,$M1657&lt;=$Q$18),U1657,0)</t>
  </si>
  <si>
    <t>=IF(AND($M1657&gt;=$R$16,$M1657&lt;=$R$18),U1657,0)</t>
  </si>
  <si>
    <t>=IF(AND($M1657&gt;=$S$16,$M1657&lt;=$S$18),U1657,0)</t>
  </si>
  <si>
    <t>=IF($M1657&lt;=$T$18,U1657,0)</t>
  </si>
  <si>
    <t>="""NAV Direct"",""CRONUS JetCorp USA"",""21"",""1"",""371491"""</t>
  </si>
  <si>
    <t>=E1656</t>
  </si>
  <si>
    <t>=StartDate-$M1658+1</t>
  </si>
  <si>
    <t>=SUM(P1658:T1658)</t>
  </si>
  <si>
    <t>=IF($M1658&gt;=$P$18,U1658,0)</t>
  </si>
  <si>
    <t>=IF(AND($M1658&gt;=$Q$16,$M1658&lt;=$Q$18),U1658,0)</t>
  </si>
  <si>
    <t>=IF(AND($M1658&gt;=$R$16,$M1658&lt;=$R$18),U1658,0)</t>
  </si>
  <si>
    <t>=IF(AND($M1658&gt;=$S$16,$M1658&lt;=$S$18),U1658,0)</t>
  </si>
  <si>
    <t>=IF($M1658&lt;=$T$18,U1658,0)</t>
  </si>
  <si>
    <t>="""NAV Direct"",""CRONUS JetCorp USA"",""21"",""1"",""371520"""</t>
  </si>
  <si>
    <t>=E1657</t>
  </si>
  <si>
    <t>=StartDate-$M1659+1</t>
  </si>
  <si>
    <t>=SUM(P1659:T1659)</t>
  </si>
  <si>
    <t>=IF($M1659&gt;=$P$18,U1659,0)</t>
  </si>
  <si>
    <t>=IF(AND($M1659&gt;=$Q$16,$M1659&lt;=$Q$18),U1659,0)</t>
  </si>
  <si>
    <t>=IF(AND($M1659&gt;=$R$16,$M1659&lt;=$R$18),U1659,0)</t>
  </si>
  <si>
    <t>=IF(AND($M1659&gt;=$S$16,$M1659&lt;=$S$18),U1659,0)</t>
  </si>
  <si>
    <t>=IF($M1659&lt;=$T$18,U1659,0)</t>
  </si>
  <si>
    <t>="""NAV Direct"",""CRONUS JetCorp USA"",""21"",""1"",""371639"""</t>
  </si>
  <si>
    <t>=E1658</t>
  </si>
  <si>
    <t>=StartDate-$M1660+1</t>
  </si>
  <si>
    <t>=SUM(P1660:T1660)</t>
  </si>
  <si>
    <t>=IF($M1660&gt;=$P$18,U1660,0)</t>
  </si>
  <si>
    <t>=IF(AND($M1660&gt;=$Q$16,$M1660&lt;=$Q$18),U1660,0)</t>
  </si>
  <si>
    <t>=IF(AND($M1660&gt;=$R$16,$M1660&lt;=$R$18),U1660,0)</t>
  </si>
  <si>
    <t>=IF(AND($M1660&gt;=$S$16,$M1660&lt;=$S$18),U1660,0)</t>
  </si>
  <si>
    <t>=IF($M1660&lt;=$T$18,U1660,0)</t>
  </si>
  <si>
    <t>="""NAV Direct"",""CRONUS JetCorp USA"",""21"",""1"",""371719"""</t>
  </si>
  <si>
    <t>=E1659</t>
  </si>
  <si>
    <t>=StartDate-$M1661+1</t>
  </si>
  <si>
    <t>=SUM(P1661:T1661)</t>
  </si>
  <si>
    <t>=IF($M1661&gt;=$P$18,U1661,0)</t>
  </si>
  <si>
    <t>=IF(AND($M1661&gt;=$Q$16,$M1661&lt;=$Q$18),U1661,0)</t>
  </si>
  <si>
    <t>=IF(AND($M1661&gt;=$R$16,$M1661&lt;=$R$18),U1661,0)</t>
  </si>
  <si>
    <t>=IF(AND($M1661&gt;=$S$16,$M1661&lt;=$S$18),U1661,0)</t>
  </si>
  <si>
    <t>=IF($M1661&lt;=$T$18,U1661,0)</t>
  </si>
  <si>
    <t>="""NAV Direct"",""CRONUS JetCorp USA"",""21"",""1"",""371881"""</t>
  </si>
  <si>
    <t>=E1660</t>
  </si>
  <si>
    <t>=StartDate-$M1662+1</t>
  </si>
  <si>
    <t>=SUM(P1662:T1662)</t>
  </si>
  <si>
    <t>=IF($M1662&gt;=$P$18,U1662,0)</t>
  </si>
  <si>
    <t>=IF(AND($M1662&gt;=$Q$16,$M1662&lt;=$Q$18),U1662,0)</t>
  </si>
  <si>
    <t>=IF(AND($M1662&gt;=$R$16,$M1662&lt;=$R$18),U1662,0)</t>
  </si>
  <si>
    <t>=IF(AND($M1662&gt;=$S$16,$M1662&lt;=$S$18),U1662,0)</t>
  </si>
  <si>
    <t>=IF($M1662&lt;=$T$18,U1662,0)</t>
  </si>
  <si>
    <t>="""NAV Direct"",""CRONUS JetCorp USA"",""21"",""1"",""371984"""</t>
  </si>
  <si>
    <t>=E1661</t>
  </si>
  <si>
    <t>=StartDate-$M1663+1</t>
  </si>
  <si>
    <t>=SUM(P1663:T1663)</t>
  </si>
  <si>
    <t>=IF($M1663&gt;=$P$18,U1663,0)</t>
  </si>
  <si>
    <t>=IF(AND($M1663&gt;=$Q$16,$M1663&lt;=$Q$18),U1663,0)</t>
  </si>
  <si>
    <t>=IF(AND($M1663&gt;=$R$16,$M1663&lt;=$R$18),U1663,0)</t>
  </si>
  <si>
    <t>=IF(AND($M1663&gt;=$S$16,$M1663&lt;=$S$18),U1663,0)</t>
  </si>
  <si>
    <t>=IF($M1663&lt;=$T$18,U1663,0)</t>
  </si>
  <si>
    <t>="""NAV Direct"",""CRONUS JetCorp USA"",""21"",""1"",""372099"""</t>
  </si>
  <si>
    <t>=E1662</t>
  </si>
  <si>
    <t>=StartDate-$M1664+1</t>
  </si>
  <si>
    <t>=SUM(P1664:T1664)</t>
  </si>
  <si>
    <t>=IF($M1664&gt;=$P$18,U1664,0)</t>
  </si>
  <si>
    <t>=IF(AND($M1664&gt;=$Q$16,$M1664&lt;=$Q$18),U1664,0)</t>
  </si>
  <si>
    <t>=IF(AND($M1664&gt;=$R$16,$M1664&lt;=$R$18),U1664,0)</t>
  </si>
  <si>
    <t>=IF(AND($M1664&gt;=$S$16,$M1664&lt;=$S$18),U1664,0)</t>
  </si>
  <si>
    <t>=IF($M1664&lt;=$T$18,U1664,0)</t>
  </si>
  <si>
    <t>="""NAV Direct"",""CRONUS JetCorp USA"",""21"",""1"",""372249"""</t>
  </si>
  <si>
    <t>=E1663</t>
  </si>
  <si>
    <t>=StartDate-$M1665+1</t>
  </si>
  <si>
    <t>=SUM(P1665:T1665)</t>
  </si>
  <si>
    <t>=IF($M1665&gt;=$P$18,U1665,0)</t>
  </si>
  <si>
    <t>=IF(AND($M1665&gt;=$Q$16,$M1665&lt;=$Q$18),U1665,0)</t>
  </si>
  <si>
    <t>=IF(AND($M1665&gt;=$R$16,$M1665&lt;=$R$18),U1665,0)</t>
  </si>
  <si>
    <t>=IF(AND($M1665&gt;=$S$16,$M1665&lt;=$S$18),U1665,0)</t>
  </si>
  <si>
    <t>=IF($M1665&lt;=$T$18,U1665,0)</t>
  </si>
  <si>
    <t>="""NAV Direct"",""CRONUS JetCorp USA"",""21"",""1"",""372331"""</t>
  </si>
  <si>
    <t>=E1664</t>
  </si>
  <si>
    <t>=StartDate-$M1666+1</t>
  </si>
  <si>
    <t>=SUM(P1666:T1666)</t>
  </si>
  <si>
    <t>=IF($M1666&gt;=$P$18,U1666,0)</t>
  </si>
  <si>
    <t>=IF(AND($M1666&gt;=$Q$16,$M1666&lt;=$Q$18),U1666,0)</t>
  </si>
  <si>
    <t>=IF(AND($M1666&gt;=$R$16,$M1666&lt;=$R$18),U1666,0)</t>
  </si>
  <si>
    <t>=IF(AND($M1666&gt;=$S$16,$M1666&lt;=$S$18),U1666,0)</t>
  </si>
  <si>
    <t>=IF($M1666&lt;=$T$18,U1666,0)</t>
  </si>
  <si>
    <t>="""NAV Direct"",""CRONUS JetCorp USA"",""21"",""1"",""372405"""</t>
  </si>
  <si>
    <t>=E1665</t>
  </si>
  <si>
    <t>=StartDate-$M1667+1</t>
  </si>
  <si>
    <t>=SUM(P1667:T1667)</t>
  </si>
  <si>
    <t>=IF($M1667&gt;=$P$18,U1667,0)</t>
  </si>
  <si>
    <t>=IF(AND($M1667&gt;=$Q$16,$M1667&lt;=$Q$18),U1667,0)</t>
  </si>
  <si>
    <t>=IF(AND($M1667&gt;=$R$16,$M1667&lt;=$R$18),U1667,0)</t>
  </si>
  <si>
    <t>=IF(AND($M1667&gt;=$S$16,$M1667&lt;=$S$18),U1667,0)</t>
  </si>
  <si>
    <t>=IF($M1667&lt;=$T$18,U1667,0)</t>
  </si>
  <si>
    <t>="""NAV Direct"",""CRONUS JetCorp USA"",""21"",""1"",""372422"""</t>
  </si>
  <si>
    <t>=E1666</t>
  </si>
  <si>
    <t>=StartDate-$M1668+1</t>
  </si>
  <si>
    <t>=SUM(P1668:T1668)</t>
  </si>
  <si>
    <t>=IF($M1668&gt;=$P$18,U1668,0)</t>
  </si>
  <si>
    <t>=IF(AND($M1668&gt;=$Q$16,$M1668&lt;=$Q$18),U1668,0)</t>
  </si>
  <si>
    <t>=IF(AND($M1668&gt;=$R$16,$M1668&lt;=$R$18),U1668,0)</t>
  </si>
  <si>
    <t>=IF(AND($M1668&gt;=$S$16,$M1668&lt;=$S$18),U1668,0)</t>
  </si>
  <si>
    <t>=IF($M1668&lt;=$T$18,U1668,0)</t>
  </si>
  <si>
    <t>="""NAV Direct"",""CRONUS JetCorp USA"",""21"",""1"",""372494"""</t>
  </si>
  <si>
    <t>=E1667</t>
  </si>
  <si>
    <t>=StartDate-$M1669+1</t>
  </si>
  <si>
    <t>=SUM(P1669:T1669)</t>
  </si>
  <si>
    <t>=IF($M1669&gt;=$P$18,U1669,0)</t>
  </si>
  <si>
    <t>=IF(AND($M1669&gt;=$Q$16,$M1669&lt;=$Q$18),U1669,0)</t>
  </si>
  <si>
    <t>=IF(AND($M1669&gt;=$R$16,$M1669&lt;=$R$18),U1669,0)</t>
  </si>
  <si>
    <t>=IF(AND($M1669&gt;=$S$16,$M1669&lt;=$S$18),U1669,0)</t>
  </si>
  <si>
    <t>=IF($M1669&lt;=$T$18,U1669,0)</t>
  </si>
  <si>
    <t>="""NAV Direct"",""CRONUS JetCorp USA"",""21"",""1"",""372523"""</t>
  </si>
  <si>
    <t>=E1668</t>
  </si>
  <si>
    <t>=StartDate-$M1670+1</t>
  </si>
  <si>
    <t>=SUM(P1670:T1670)</t>
  </si>
  <si>
    <t>=IF($M1670&gt;=$P$18,U1670,0)</t>
  </si>
  <si>
    <t>=IF(AND($M1670&gt;=$Q$16,$M1670&lt;=$Q$18),U1670,0)</t>
  </si>
  <si>
    <t>=IF(AND($M1670&gt;=$R$16,$M1670&lt;=$R$18),U1670,0)</t>
  </si>
  <si>
    <t>=IF(AND($M1670&gt;=$S$16,$M1670&lt;=$S$18),U1670,0)</t>
  </si>
  <si>
    <t>=IF($M1670&lt;=$T$18,U1670,0)</t>
  </si>
  <si>
    <t>="""NAV Direct"",""CRONUS JetCorp USA"",""21"",""1"",""372599"""</t>
  </si>
  <si>
    <t>=E1669</t>
  </si>
  <si>
    <t>=StartDate-$M1671+1</t>
  </si>
  <si>
    <t>=SUM(P1671:T1671)</t>
  </si>
  <si>
    <t>=IF($M1671&gt;=$P$18,U1671,0)</t>
  </si>
  <si>
    <t>=IF(AND($M1671&gt;=$Q$16,$M1671&lt;=$Q$18),U1671,0)</t>
  </si>
  <si>
    <t>=IF(AND($M1671&gt;=$R$16,$M1671&lt;=$R$18),U1671,0)</t>
  </si>
  <si>
    <t>=IF(AND($M1671&gt;=$S$16,$M1671&lt;=$S$18),U1671,0)</t>
  </si>
  <si>
    <t>=IF($M1671&lt;=$T$18,U1671,0)</t>
  </si>
  <si>
    <t>="""NAV Direct"",""CRONUS JetCorp USA"",""21"",""1"",""372778"""</t>
  </si>
  <si>
    <t>=E1670</t>
  </si>
  <si>
    <t>=StartDate-$M1672+1</t>
  </si>
  <si>
    <t>=SUM(P1672:T1672)</t>
  </si>
  <si>
    <t>=IF($M1672&gt;=$P$18,U1672,0)</t>
  </si>
  <si>
    <t>=IF(AND($M1672&gt;=$Q$16,$M1672&lt;=$Q$18),U1672,0)</t>
  </si>
  <si>
    <t>=IF(AND($M1672&gt;=$R$16,$M1672&lt;=$R$18),U1672,0)</t>
  </si>
  <si>
    <t>=IF(AND($M1672&gt;=$S$16,$M1672&lt;=$S$18),U1672,0)</t>
  </si>
  <si>
    <t>=IF($M1672&lt;=$T$18,U1672,0)</t>
  </si>
  <si>
    <t>="""NAV Direct"",""CRONUS JetCorp USA"",""21"",""1"",""372848"""</t>
  </si>
  <si>
    <t>=E1671</t>
  </si>
  <si>
    <t>=StartDate-$M1673+1</t>
  </si>
  <si>
    <t>=SUM(P1673:T1673)</t>
  </si>
  <si>
    <t>=IF($M1673&gt;=$P$18,U1673,0)</t>
  </si>
  <si>
    <t>=IF(AND($M1673&gt;=$Q$16,$M1673&lt;=$Q$18),U1673,0)</t>
  </si>
  <si>
    <t>=IF(AND($M1673&gt;=$R$16,$M1673&lt;=$R$18),U1673,0)</t>
  </si>
  <si>
    <t>=IF(AND($M1673&gt;=$S$16,$M1673&lt;=$S$18),U1673,0)</t>
  </si>
  <si>
    <t>=IF($M1673&lt;=$T$18,U1673,0)</t>
  </si>
  <si>
    <t>="""NAV Direct"",""CRONUS JetCorp USA"",""21"",""1"",""372959"""</t>
  </si>
  <si>
    <t>=E1672</t>
  </si>
  <si>
    <t>=StartDate-$M1674+1</t>
  </si>
  <si>
    <t>=SUM(P1674:T1674)</t>
  </si>
  <si>
    <t>=IF($M1674&gt;=$P$18,U1674,0)</t>
  </si>
  <si>
    <t>=IF(AND($M1674&gt;=$Q$16,$M1674&lt;=$Q$18),U1674,0)</t>
  </si>
  <si>
    <t>=IF(AND($M1674&gt;=$R$16,$M1674&lt;=$R$18),U1674,0)</t>
  </si>
  <si>
    <t>=IF(AND($M1674&gt;=$S$16,$M1674&lt;=$S$18),U1674,0)</t>
  </si>
  <si>
    <t>=IF($M1674&lt;=$T$18,U1674,0)</t>
  </si>
  <si>
    <t>="""NAV Direct"",""CRONUS JetCorp USA"",""21"",""1"",""373286"""</t>
  </si>
  <si>
    <t>=E1673</t>
  </si>
  <si>
    <t>=StartDate-$M1675+1</t>
  </si>
  <si>
    <t>=SUM(P1675:T1675)</t>
  </si>
  <si>
    <t>=IF($M1675&gt;=$P$18,U1675,0)</t>
  </si>
  <si>
    <t>=IF(AND($M1675&gt;=$Q$16,$M1675&lt;=$Q$18),U1675,0)</t>
  </si>
  <si>
    <t>=IF(AND($M1675&gt;=$R$16,$M1675&lt;=$R$18),U1675,0)</t>
  </si>
  <si>
    <t>=IF(AND($M1675&gt;=$S$16,$M1675&lt;=$S$18),U1675,0)</t>
  </si>
  <si>
    <t>=IF($M1675&lt;=$T$18,U1675,0)</t>
  </si>
  <si>
    <t>="""NAV Direct"",""CRONUS JetCorp USA"",""21"",""1"",""373413"""</t>
  </si>
  <si>
    <t>=E1674</t>
  </si>
  <si>
    <t>=StartDate-$M1676+1</t>
  </si>
  <si>
    <t>=SUM(P1676:T1676)</t>
  </si>
  <si>
    <t>=IF($M1676&gt;=$P$18,U1676,0)</t>
  </si>
  <si>
    <t>=IF(AND($M1676&gt;=$Q$16,$M1676&lt;=$Q$18),U1676,0)</t>
  </si>
  <si>
    <t>=IF(AND($M1676&gt;=$R$16,$M1676&lt;=$R$18),U1676,0)</t>
  </si>
  <si>
    <t>=IF(AND($M1676&gt;=$S$16,$M1676&lt;=$S$18),U1676,0)</t>
  </si>
  <si>
    <t>=IF($M1676&lt;=$T$18,U1676,0)</t>
  </si>
  <si>
    <t>="""NAV Direct"",""CRONUS JetCorp USA"",""21"",""1"",""373481"""</t>
  </si>
  <si>
    <t>=E1675</t>
  </si>
  <si>
    <t>=StartDate-$M1677+1</t>
  </si>
  <si>
    <t>=SUM(P1677:T1677)</t>
  </si>
  <si>
    <t>=IF($M1677&gt;=$P$18,U1677,0)</t>
  </si>
  <si>
    <t>=IF(AND($M1677&gt;=$Q$16,$M1677&lt;=$Q$18),U1677,0)</t>
  </si>
  <si>
    <t>=IF(AND($M1677&gt;=$R$16,$M1677&lt;=$R$18),U1677,0)</t>
  </si>
  <si>
    <t>=IF(AND($M1677&gt;=$S$16,$M1677&lt;=$S$18),U1677,0)</t>
  </si>
  <si>
    <t>=IF($M1677&lt;=$T$18,U1677,0)</t>
  </si>
  <si>
    <t>="""NAV Direct"",""CRONUS JetCorp USA"",""21"",""1"",""373781"""</t>
  </si>
  <si>
    <t>=E1676</t>
  </si>
  <si>
    <t>=StartDate-$M1678+1</t>
  </si>
  <si>
    <t>=SUM(P1678:T1678)</t>
  </si>
  <si>
    <t>=IF($M1678&gt;=$P$18,U1678,0)</t>
  </si>
  <si>
    <t>=IF(AND($M1678&gt;=$Q$16,$M1678&lt;=$Q$18),U1678,0)</t>
  </si>
  <si>
    <t>=IF(AND($M1678&gt;=$R$16,$M1678&lt;=$R$18),U1678,0)</t>
  </si>
  <si>
    <t>=IF(AND($M1678&gt;=$S$16,$M1678&lt;=$S$18),U1678,0)</t>
  </si>
  <si>
    <t>=IF($M1678&lt;=$T$18,U1678,0)</t>
  </si>
  <si>
    <t>="""NAV Direct"",""CRONUS JetCorp USA"",""21"",""1"",""373816"""</t>
  </si>
  <si>
    <t>=E1677</t>
  </si>
  <si>
    <t>=StartDate-$M1679+1</t>
  </si>
  <si>
    <t>=SUM(P1679:T1679)</t>
  </si>
  <si>
    <t>=IF($M1679&gt;=$P$18,U1679,0)</t>
  </si>
  <si>
    <t>=IF(AND($M1679&gt;=$Q$16,$M1679&lt;=$Q$18),U1679,0)</t>
  </si>
  <si>
    <t>=IF(AND($M1679&gt;=$R$16,$M1679&lt;=$R$18),U1679,0)</t>
  </si>
  <si>
    <t>=IF(AND($M1679&gt;=$S$16,$M1679&lt;=$S$18),U1679,0)</t>
  </si>
  <si>
    <t>=IF($M1679&lt;=$T$18,U1679,0)</t>
  </si>
  <si>
    <t>="""NAV Direct"",""CRONUS JetCorp USA"",""21"",""1"",""373839"""</t>
  </si>
  <si>
    <t>=E1678</t>
  </si>
  <si>
    <t>=StartDate-$M1680+1</t>
  </si>
  <si>
    <t>=SUM(P1680:T1680)</t>
  </si>
  <si>
    <t>=IF($M1680&gt;=$P$18,U1680,0)</t>
  </si>
  <si>
    <t>=IF(AND($M1680&gt;=$Q$16,$M1680&lt;=$Q$18),U1680,0)</t>
  </si>
  <si>
    <t>=IF(AND($M1680&gt;=$R$16,$M1680&lt;=$R$18),U1680,0)</t>
  </si>
  <si>
    <t>=IF(AND($M1680&gt;=$S$16,$M1680&lt;=$S$18),U1680,0)</t>
  </si>
  <si>
    <t>=IF($M1680&lt;=$T$18,U1680,0)</t>
  </si>
  <si>
    <t>="""NAV Direct"",""CRONUS JetCorp USA"",""21"",""1"",""374256"""</t>
  </si>
  <si>
    <t>=E1679</t>
  </si>
  <si>
    <t>=StartDate-$M1681+1</t>
  </si>
  <si>
    <t>=SUM(P1681:T1681)</t>
  </si>
  <si>
    <t>=IF($M1681&gt;=$P$18,U1681,0)</t>
  </si>
  <si>
    <t>=IF(AND($M1681&gt;=$Q$16,$M1681&lt;=$Q$18),U1681,0)</t>
  </si>
  <si>
    <t>=IF(AND($M1681&gt;=$R$16,$M1681&lt;=$R$18),U1681,0)</t>
  </si>
  <si>
    <t>=IF(AND($M1681&gt;=$S$16,$M1681&lt;=$S$18),U1681,0)</t>
  </si>
  <si>
    <t>=IF($M1681&lt;=$T$18,U1681,0)</t>
  </si>
  <si>
    <t>="""NAV Direct"",""CRONUS JetCorp USA"",""21"",""1"",""374336"""</t>
  </si>
  <si>
    <t>=E1680</t>
  </si>
  <si>
    <t>=StartDate-$M1682+1</t>
  </si>
  <si>
    <t>=SUM(P1682:T1682)</t>
  </si>
  <si>
    <t>=IF($M1682&gt;=$P$18,U1682,0)</t>
  </si>
  <si>
    <t>=IF(AND($M1682&gt;=$Q$16,$M1682&lt;=$Q$18),U1682,0)</t>
  </si>
  <si>
    <t>=IF(AND($M1682&gt;=$R$16,$M1682&lt;=$R$18),U1682,0)</t>
  </si>
  <si>
    <t>=IF(AND($M1682&gt;=$S$16,$M1682&lt;=$S$18),U1682,0)</t>
  </si>
  <si>
    <t>=IF($M1682&lt;=$T$18,U1682,0)</t>
  </si>
  <si>
    <t>="""NAV Direct"",""CRONUS JetCorp USA"",""21"",""1"",""374428"""</t>
  </si>
  <si>
    <t>=E1681</t>
  </si>
  <si>
    <t>=StartDate-$M1683+1</t>
  </si>
  <si>
    <t>=SUM(P1683:T1683)</t>
  </si>
  <si>
    <t>=IF($M1683&gt;=$P$18,U1683,0)</t>
  </si>
  <si>
    <t>=IF(AND($M1683&gt;=$Q$16,$M1683&lt;=$Q$18),U1683,0)</t>
  </si>
  <si>
    <t>=IF(AND($M1683&gt;=$R$16,$M1683&lt;=$R$18),U1683,0)</t>
  </si>
  <si>
    <t>=IF(AND($M1683&gt;=$S$16,$M1683&lt;=$S$18),U1683,0)</t>
  </si>
  <si>
    <t>=IF($M1683&lt;=$T$18,U1683,0)</t>
  </si>
  <si>
    <t>="""NAV Direct"",""CRONUS JetCorp USA"",""21"",""1"",""374473"""</t>
  </si>
  <si>
    <t>=E1682</t>
  </si>
  <si>
    <t>=StartDate-$M1684+1</t>
  </si>
  <si>
    <t>=SUM(P1684:T1684)</t>
  </si>
  <si>
    <t>=IF($M1684&gt;=$P$18,U1684,0)</t>
  </si>
  <si>
    <t>=IF(AND($M1684&gt;=$Q$16,$M1684&lt;=$Q$18),U1684,0)</t>
  </si>
  <si>
    <t>=IF(AND($M1684&gt;=$R$16,$M1684&lt;=$R$18),U1684,0)</t>
  </si>
  <si>
    <t>=IF(AND($M1684&gt;=$S$16,$M1684&lt;=$S$18),U1684,0)</t>
  </si>
  <si>
    <t>=IF($M1684&lt;=$T$18,U1684,0)</t>
  </si>
  <si>
    <t>="""NAV Direct"",""CRONUS JetCorp USA"",""21"",""1"",""374727"""</t>
  </si>
  <si>
    <t>=E1683</t>
  </si>
  <si>
    <t>=StartDate-$M1685+1</t>
  </si>
  <si>
    <t>=SUM(P1685:T1685)</t>
  </si>
  <si>
    <t>=IF($M1685&gt;=$P$18,U1685,0)</t>
  </si>
  <si>
    <t>=IF(AND($M1685&gt;=$Q$16,$M1685&lt;=$Q$18),U1685,0)</t>
  </si>
  <si>
    <t>=IF(AND($M1685&gt;=$R$16,$M1685&lt;=$R$18),U1685,0)</t>
  </si>
  <si>
    <t>=IF(AND($M1685&gt;=$S$16,$M1685&lt;=$S$18),U1685,0)</t>
  </si>
  <si>
    <t>=IF($M1685&lt;=$T$18,U1685,0)</t>
  </si>
  <si>
    <t>="""NAV Direct"",""CRONUS JetCorp USA"",""21"",""1"",""374849"""</t>
  </si>
  <si>
    <t>=E1684</t>
  </si>
  <si>
    <t>=StartDate-$M1686+1</t>
  </si>
  <si>
    <t>=SUM(P1686:T1686)</t>
  </si>
  <si>
    <t>=IF($M1686&gt;=$P$18,U1686,0)</t>
  </si>
  <si>
    <t>=IF(AND($M1686&gt;=$Q$16,$M1686&lt;=$Q$18),U1686,0)</t>
  </si>
  <si>
    <t>=IF(AND($M1686&gt;=$R$16,$M1686&lt;=$R$18),U1686,0)</t>
  </si>
  <si>
    <t>=IF(AND($M1686&gt;=$S$16,$M1686&lt;=$S$18),U1686,0)</t>
  </si>
  <si>
    <t>=IF($M1686&lt;=$T$18,U1686,0)</t>
  </si>
  <si>
    <t>="""NAV Direct"",""CRONUS JetCorp USA"",""21"",""1"",""374886"""</t>
  </si>
  <si>
    <t>=E1685</t>
  </si>
  <si>
    <t>=StartDate-$M1687+1</t>
  </si>
  <si>
    <t>=SUM(P1687:T1687)</t>
  </si>
  <si>
    <t>=IF($M1687&gt;=$P$18,U1687,0)</t>
  </si>
  <si>
    <t>=IF(AND($M1687&gt;=$Q$16,$M1687&lt;=$Q$18),U1687,0)</t>
  </si>
  <si>
    <t>=IF(AND($M1687&gt;=$R$16,$M1687&lt;=$R$18),U1687,0)</t>
  </si>
  <si>
    <t>=IF(AND($M1687&gt;=$S$16,$M1687&lt;=$S$18),U1687,0)</t>
  </si>
  <si>
    <t>=IF($M1687&lt;=$T$18,U1687,0)</t>
  </si>
  <si>
    <t>="""NAV Direct"",""CRONUS JetCorp USA"",""21"",""1"",""375150"""</t>
  </si>
  <si>
    <t>=E1686</t>
  </si>
  <si>
    <t>=StartDate-$M1688+1</t>
  </si>
  <si>
    <t>=SUM(P1688:T1688)</t>
  </si>
  <si>
    <t>=IF($M1688&gt;=$P$18,U1688,0)</t>
  </si>
  <si>
    <t>=IF(AND($M1688&gt;=$Q$16,$M1688&lt;=$Q$18),U1688,0)</t>
  </si>
  <si>
    <t>=IF(AND($M1688&gt;=$R$16,$M1688&lt;=$R$18),U1688,0)</t>
  </si>
  <si>
    <t>=IF(AND($M1688&gt;=$S$16,$M1688&lt;=$S$18),U1688,0)</t>
  </si>
  <si>
    <t>=IF($M1688&lt;=$T$18,U1688,0)</t>
  </si>
  <si>
    <t>="""NAV Direct"",""CRONUS JetCorp USA"",""21"",""1"",""375269"""</t>
  </si>
  <si>
    <t>=E1687</t>
  </si>
  <si>
    <t>=StartDate-$M1689+1</t>
  </si>
  <si>
    <t>=SUM(P1689:T1689)</t>
  </si>
  <si>
    <t>=IF($M1689&gt;=$P$18,U1689,0)</t>
  </si>
  <si>
    <t>=IF(AND($M1689&gt;=$Q$16,$M1689&lt;=$Q$18),U1689,0)</t>
  </si>
  <si>
    <t>=IF(AND($M1689&gt;=$R$16,$M1689&lt;=$R$18),U1689,0)</t>
  </si>
  <si>
    <t>=IF(AND($M1689&gt;=$S$16,$M1689&lt;=$S$18),U1689,0)</t>
  </si>
  <si>
    <t>=IF($M1689&lt;=$T$18,U1689,0)</t>
  </si>
  <si>
    <t>="""NAV Direct"",""CRONUS JetCorp USA"",""21"",""1"",""375363"""</t>
  </si>
  <si>
    <t>=E1688</t>
  </si>
  <si>
    <t>=StartDate-$M1690+1</t>
  </si>
  <si>
    <t>=SUM(P1690:T1690)</t>
  </si>
  <si>
    <t>=IF($M1690&gt;=$P$18,U1690,0)</t>
  </si>
  <si>
    <t>=IF(AND($M1690&gt;=$Q$16,$M1690&lt;=$Q$18),U1690,0)</t>
  </si>
  <si>
    <t>=IF(AND($M1690&gt;=$R$16,$M1690&lt;=$R$18),U1690,0)</t>
  </si>
  <si>
    <t>=IF(AND($M1690&gt;=$S$16,$M1690&lt;=$S$18),U1690,0)</t>
  </si>
  <si>
    <t>=IF($M1690&lt;=$T$18,U1690,0)</t>
  </si>
  <si>
    <t>="""NAV Direct"",""CRONUS JetCorp USA"",""21"",""1"",""375445"""</t>
  </si>
  <si>
    <t>=E1689</t>
  </si>
  <si>
    <t>=StartDate-$M1691+1</t>
  </si>
  <si>
    <t>=SUM(P1691:T1691)</t>
  </si>
  <si>
    <t>=IF($M1691&gt;=$P$18,U1691,0)</t>
  </si>
  <si>
    <t>=IF(AND($M1691&gt;=$Q$16,$M1691&lt;=$Q$18),U1691,0)</t>
  </si>
  <si>
    <t>=IF(AND($M1691&gt;=$R$16,$M1691&lt;=$R$18),U1691,0)</t>
  </si>
  <si>
    <t>=IF(AND($M1691&gt;=$S$16,$M1691&lt;=$S$18),U1691,0)</t>
  </si>
  <si>
    <t>=IF($M1691&lt;=$T$18,U1691,0)</t>
  </si>
  <si>
    <t>="""NAV Direct"",""CRONUS JetCorp USA"",""21"",""1"",""375908"""</t>
  </si>
  <si>
    <t>=E1690</t>
  </si>
  <si>
    <t>=StartDate-$M1692+1</t>
  </si>
  <si>
    <t>=SUM(P1692:T1692)</t>
  </si>
  <si>
    <t>=IF($M1692&gt;=$P$18,U1692,0)</t>
  </si>
  <si>
    <t>=IF(AND($M1692&gt;=$Q$16,$M1692&lt;=$Q$18),U1692,0)</t>
  </si>
  <si>
    <t>=IF(AND($M1692&gt;=$R$16,$M1692&lt;=$R$18),U1692,0)</t>
  </si>
  <si>
    <t>=IF(AND($M1692&gt;=$S$16,$M1692&lt;=$S$18),U1692,0)</t>
  </si>
  <si>
    <t>=IF($M1692&lt;=$T$18,U1692,0)</t>
  </si>
  <si>
    <t>="""NAV Direct"",""CRONUS JetCorp USA"",""21"",""1"",""375949"""</t>
  </si>
  <si>
    <t>=E1691</t>
  </si>
  <si>
    <t>=StartDate-$M1693+1</t>
  </si>
  <si>
    <t>=SUM(P1693:T1693)</t>
  </si>
  <si>
    <t>=IF($M1693&gt;=$P$18,U1693,0)</t>
  </si>
  <si>
    <t>=IF(AND($M1693&gt;=$Q$16,$M1693&lt;=$Q$18),U1693,0)</t>
  </si>
  <si>
    <t>=IF(AND($M1693&gt;=$R$16,$M1693&lt;=$R$18),U1693,0)</t>
  </si>
  <si>
    <t>=IF(AND($M1693&gt;=$S$16,$M1693&lt;=$S$18),U1693,0)</t>
  </si>
  <si>
    <t>=IF($M1693&lt;=$T$18,U1693,0)</t>
  </si>
  <si>
    <t>="""NAV Direct"",""CRONUS JetCorp USA"",""21"",""1"",""376025"""</t>
  </si>
  <si>
    <t>=E1692</t>
  </si>
  <si>
    <t>=StartDate-$M1694+1</t>
  </si>
  <si>
    <t>=SUM(P1694:T1694)</t>
  </si>
  <si>
    <t>=IF($M1694&gt;=$P$18,U1694,0)</t>
  </si>
  <si>
    <t>=IF(AND($M1694&gt;=$Q$16,$M1694&lt;=$Q$18),U1694,0)</t>
  </si>
  <si>
    <t>=IF(AND($M1694&gt;=$R$16,$M1694&lt;=$R$18),U1694,0)</t>
  </si>
  <si>
    <t>=IF(AND($M1694&gt;=$S$16,$M1694&lt;=$S$18),U1694,0)</t>
  </si>
  <si>
    <t>=IF($M1694&lt;=$T$18,U1694,0)</t>
  </si>
  <si>
    <t>="""NAV Direct"",""CRONUS JetCorp USA"",""21"",""1"",""376130"""</t>
  </si>
  <si>
    <t>=E1693</t>
  </si>
  <si>
    <t>=StartDate-$M1695+1</t>
  </si>
  <si>
    <t>=SUM(P1695:T1695)</t>
  </si>
  <si>
    <t>=IF($M1695&gt;=$P$18,U1695,0)</t>
  </si>
  <si>
    <t>=IF(AND($M1695&gt;=$Q$16,$M1695&lt;=$Q$18),U1695,0)</t>
  </si>
  <si>
    <t>=IF(AND($M1695&gt;=$R$16,$M1695&lt;=$R$18),U1695,0)</t>
  </si>
  <si>
    <t>=IF(AND($M1695&gt;=$S$16,$M1695&lt;=$S$18),U1695,0)</t>
  </si>
  <si>
    <t>=IF($M1695&lt;=$T$18,U1695,0)</t>
  </si>
  <si>
    <t>="""NAV Direct"",""CRONUS JetCorp USA"",""21"",""1"",""376202"""</t>
  </si>
  <si>
    <t>=E1694</t>
  </si>
  <si>
    <t>=StartDate-$M1696+1</t>
  </si>
  <si>
    <t>=SUM(P1696:T1696)</t>
  </si>
  <si>
    <t>=IF($M1696&gt;=$P$18,U1696,0)</t>
  </si>
  <si>
    <t>=IF(AND($M1696&gt;=$Q$16,$M1696&lt;=$Q$18),U1696,0)</t>
  </si>
  <si>
    <t>=IF(AND($M1696&gt;=$R$16,$M1696&lt;=$R$18),U1696,0)</t>
  </si>
  <si>
    <t>=IF(AND($M1696&gt;=$S$16,$M1696&lt;=$S$18),U1696,0)</t>
  </si>
  <si>
    <t>=IF($M1696&lt;=$T$18,U1696,0)</t>
  </si>
  <si>
    <t>="""NAV Direct"",""CRONUS JetCorp USA"",""21"",""1"",""376313"""</t>
  </si>
  <si>
    <t>=E1695</t>
  </si>
  <si>
    <t>=StartDate-$M1697+1</t>
  </si>
  <si>
    <t>=SUM(P1697:T1697)</t>
  </si>
  <si>
    <t>=IF($M1697&gt;=$P$18,U1697,0)</t>
  </si>
  <si>
    <t>=IF(AND($M1697&gt;=$Q$16,$M1697&lt;=$Q$18),U1697,0)</t>
  </si>
  <si>
    <t>=IF(AND($M1697&gt;=$R$16,$M1697&lt;=$R$18),U1697,0)</t>
  </si>
  <si>
    <t>=IF(AND($M1697&gt;=$S$16,$M1697&lt;=$S$18),U1697,0)</t>
  </si>
  <si>
    <t>=IF($M1697&lt;=$T$18,U1697,0)</t>
  </si>
  <si>
    <t>="""NAV Direct"",""CRONUS JetCorp USA"",""21"",""1"",""376360"""</t>
  </si>
  <si>
    <t>=E1696</t>
  </si>
  <si>
    <t>=StartDate-$M1698+1</t>
  </si>
  <si>
    <t>=SUM(P1698:T1698)</t>
  </si>
  <si>
    <t>=IF($M1698&gt;=$P$18,U1698,0)</t>
  </si>
  <si>
    <t>=IF(AND($M1698&gt;=$Q$16,$M1698&lt;=$Q$18),U1698,0)</t>
  </si>
  <si>
    <t>=IF(AND($M1698&gt;=$R$16,$M1698&lt;=$R$18),U1698,0)</t>
  </si>
  <si>
    <t>=IF(AND($M1698&gt;=$S$16,$M1698&lt;=$S$18),U1698,0)</t>
  </si>
  <si>
    <t>=IF($M1698&lt;=$T$18,U1698,0)</t>
  </si>
  <si>
    <t>="""NAV Direct"",""CRONUS JetCorp USA"",""21"",""1"",""376464"""</t>
  </si>
  <si>
    <t>=E1697</t>
  </si>
  <si>
    <t>=StartDate-$M1699+1</t>
  </si>
  <si>
    <t>=SUM(P1699:T1699)</t>
  </si>
  <si>
    <t>=IF($M1699&gt;=$P$18,U1699,0)</t>
  </si>
  <si>
    <t>=IF(AND($M1699&gt;=$Q$16,$M1699&lt;=$Q$18),U1699,0)</t>
  </si>
  <si>
    <t>=IF(AND($M1699&gt;=$R$16,$M1699&lt;=$R$18),U1699,0)</t>
  </si>
  <si>
    <t>=IF(AND($M1699&gt;=$S$16,$M1699&lt;=$S$18),U1699,0)</t>
  </si>
  <si>
    <t>=IF($M1699&lt;=$T$18,U1699,0)</t>
  </si>
  <si>
    <t>="""NAV Direct"",""CRONUS JetCorp USA"",""21"",""1"",""376503"""</t>
  </si>
  <si>
    <t>=E1698</t>
  </si>
  <si>
    <t>=StartDate-$M1700+1</t>
  </si>
  <si>
    <t>=SUM(P1700:T1700)</t>
  </si>
  <si>
    <t>=IF($M1700&gt;=$P$18,U1700,0)</t>
  </si>
  <si>
    <t>=IF(AND($M1700&gt;=$Q$16,$M1700&lt;=$Q$18),U1700,0)</t>
  </si>
  <si>
    <t>=IF(AND($M1700&gt;=$R$16,$M1700&lt;=$R$18),U1700,0)</t>
  </si>
  <si>
    <t>=IF(AND($M1700&gt;=$S$16,$M1700&lt;=$S$18),U1700,0)</t>
  </si>
  <si>
    <t>=IF($M1700&lt;=$T$18,U1700,0)</t>
  </si>
  <si>
    <t>=E1699</t>
  </si>
  <si>
    <t>=StartDate-$M1701+1</t>
  </si>
  <si>
    <t>=SUM(P1701:T1701)</t>
  </si>
  <si>
    <t>=IF($M1701&gt;=$P$18,U1701,0)</t>
  </si>
  <si>
    <t>=IF(AND($M1701&gt;=$Q$16,$M1701&lt;=$Q$18),U1701,0)</t>
  </si>
  <si>
    <t>=IF(AND($M1701&gt;=$R$16,$M1701&lt;=$R$18),U1701,0)</t>
  </si>
  <si>
    <t>=IF(AND($M1701&gt;=$S$16,$M1701&lt;=$S$18),U1701,0)</t>
  </si>
  <si>
    <t>=IF($M1701&lt;=$T$18,U1701,0)</t>
  </si>
  <si>
    <t>="""NAV Direct"",""CRONUS JetCorp USA"",""21"",""1"",""376695"""</t>
  </si>
  <si>
    <t>=E1700</t>
  </si>
  <si>
    <t>=StartDate-$M1702+1</t>
  </si>
  <si>
    <t>=SUM(P1702:T1702)</t>
  </si>
  <si>
    <t>=IF($M1702&gt;=$P$18,U1702,0)</t>
  </si>
  <si>
    <t>=IF(AND($M1702&gt;=$Q$16,$M1702&lt;=$Q$18),U1702,0)</t>
  </si>
  <si>
    <t>=IF(AND($M1702&gt;=$R$16,$M1702&lt;=$R$18),U1702,0)</t>
  </si>
  <si>
    <t>=IF(AND($M1702&gt;=$S$16,$M1702&lt;=$S$18),U1702,0)</t>
  </si>
  <si>
    <t>=IF($M1702&lt;=$T$18,U1702,0)</t>
  </si>
  <si>
    <t>="""NAV Direct"",""CRONUS JetCorp USA"",""21"",""1"",""376769"""</t>
  </si>
  <si>
    <t>=E1701</t>
  </si>
  <si>
    <t>=StartDate-$M1703+1</t>
  </si>
  <si>
    <t>=SUM(P1703:T1703)</t>
  </si>
  <si>
    <t>=IF($M1703&gt;=$P$18,U1703,0)</t>
  </si>
  <si>
    <t>=IF(AND($M1703&gt;=$Q$16,$M1703&lt;=$Q$18),U1703,0)</t>
  </si>
  <si>
    <t>=IF(AND($M1703&gt;=$R$16,$M1703&lt;=$R$18),U1703,0)</t>
  </si>
  <si>
    <t>=IF(AND($M1703&gt;=$S$16,$M1703&lt;=$S$18),U1703,0)</t>
  </si>
  <si>
    <t>=IF($M1703&lt;=$T$18,U1703,0)</t>
  </si>
  <si>
    <t>="""NAV Direct"",""CRONUS JetCorp USA"",""21"",""1"",""376808"""</t>
  </si>
  <si>
    <t>=E1702</t>
  </si>
  <si>
    <t>=StartDate-$M1704+1</t>
  </si>
  <si>
    <t>=SUM(P1704:T1704)</t>
  </si>
  <si>
    <t>=IF($M1704&gt;=$P$18,U1704,0)</t>
  </si>
  <si>
    <t>=IF(AND($M1704&gt;=$Q$16,$M1704&lt;=$Q$18),U1704,0)</t>
  </si>
  <si>
    <t>=IF(AND($M1704&gt;=$R$16,$M1704&lt;=$R$18),U1704,0)</t>
  </si>
  <si>
    <t>=IF(AND($M1704&gt;=$S$16,$M1704&lt;=$S$18),U1704,0)</t>
  </si>
  <si>
    <t>=IF($M1704&lt;=$T$18,U1704,0)</t>
  </si>
  <si>
    <t>="""NAV Direct"",""CRONUS JetCorp USA"",""21"",""1"",""376911"""</t>
  </si>
  <si>
    <t>=E1703</t>
  </si>
  <si>
    <t>=StartDate-$M1705+1</t>
  </si>
  <si>
    <t>=SUM(P1705:T1705)</t>
  </si>
  <si>
    <t>=IF($M1705&gt;=$P$18,U1705,0)</t>
  </si>
  <si>
    <t>=IF(AND($M1705&gt;=$Q$16,$M1705&lt;=$Q$18),U1705,0)</t>
  </si>
  <si>
    <t>=IF(AND($M1705&gt;=$R$16,$M1705&lt;=$R$18),U1705,0)</t>
  </si>
  <si>
    <t>=IF(AND($M1705&gt;=$S$16,$M1705&lt;=$S$18),U1705,0)</t>
  </si>
  <si>
    <t>=IF($M1705&lt;=$T$18,U1705,0)</t>
  </si>
  <si>
    <t>="""NAV Direct"",""CRONUS JetCorp USA"",""21"",""1"",""376991"""</t>
  </si>
  <si>
    <t>=E1704</t>
  </si>
  <si>
    <t>=StartDate-$M1706+1</t>
  </si>
  <si>
    <t>=SUM(P1706:T1706)</t>
  </si>
  <si>
    <t>=IF($M1706&gt;=$P$18,U1706,0)</t>
  </si>
  <si>
    <t>=IF(AND($M1706&gt;=$Q$16,$M1706&lt;=$Q$18),U1706,0)</t>
  </si>
  <si>
    <t>=IF(AND($M1706&gt;=$R$16,$M1706&lt;=$R$18),U1706,0)</t>
  </si>
  <si>
    <t>=IF(AND($M1706&gt;=$S$16,$M1706&lt;=$S$18),U1706,0)</t>
  </si>
  <si>
    <t>=IF($M1706&lt;=$T$18,U1706,0)</t>
  </si>
  <si>
    <t>="""NAV Direct"",""CRONUS JetCorp USA"",""21"",""1"",""377139"""</t>
  </si>
  <si>
    <t>=E1705</t>
  </si>
  <si>
    <t>=StartDate-$M1707+1</t>
  </si>
  <si>
    <t>=SUM(P1707:T1707)</t>
  </si>
  <si>
    <t>=IF($M1707&gt;=$P$18,U1707,0)</t>
  </si>
  <si>
    <t>=IF(AND($M1707&gt;=$Q$16,$M1707&lt;=$Q$18),U1707,0)</t>
  </si>
  <si>
    <t>=IF(AND($M1707&gt;=$R$16,$M1707&lt;=$R$18),U1707,0)</t>
  </si>
  <si>
    <t>=IF(AND($M1707&gt;=$S$16,$M1707&lt;=$S$18),U1707,0)</t>
  </si>
  <si>
    <t>=IF($M1707&lt;=$T$18,U1707,0)</t>
  </si>
  <si>
    <t>="""NAV Direct"",""CRONUS JetCorp USA"",""21"",""1"",""377176"""</t>
  </si>
  <si>
    <t>=E1706</t>
  </si>
  <si>
    <t>=StartDate-$M1708+1</t>
  </si>
  <si>
    <t>=SUM(P1708:T1708)</t>
  </si>
  <si>
    <t>=IF($M1708&gt;=$P$18,U1708,0)</t>
  </si>
  <si>
    <t>=IF(AND($M1708&gt;=$Q$16,$M1708&lt;=$Q$18),U1708,0)</t>
  </si>
  <si>
    <t>=IF(AND($M1708&gt;=$R$16,$M1708&lt;=$R$18),U1708,0)</t>
  </si>
  <si>
    <t>=IF(AND($M1708&gt;=$S$16,$M1708&lt;=$S$18),U1708,0)</t>
  </si>
  <si>
    <t>=IF($M1708&lt;=$T$18,U1708,0)</t>
  </si>
  <si>
    <t>="""NAV Direct"",""CRONUS JetCorp USA"",""21"",""1"",""437302"""</t>
  </si>
  <si>
    <t>=E1707</t>
  </si>
  <si>
    <t>=StartDate-$M1709+1</t>
  </si>
  <si>
    <t>=SUM(P1709:T1709)</t>
  </si>
  <si>
    <t>=IF($M1709&gt;=$P$18,U1709,0)</t>
  </si>
  <si>
    <t>=IF(AND($M1709&gt;=$Q$16,$M1709&lt;=$Q$18),U1709,0)</t>
  </si>
  <si>
    <t>=IF(AND($M1709&gt;=$R$16,$M1709&lt;=$R$18),U1709,0)</t>
  </si>
  <si>
    <t>=IF(AND($M1709&gt;=$S$16,$M1709&lt;=$S$18),U1709,0)</t>
  </si>
  <si>
    <t>=IF($M1709&lt;=$T$18,U1709,0)</t>
  </si>
  <si>
    <t>="""NAV Direct"",""CRONUS JetCorp USA"",""21"",""1"",""437336"""</t>
  </si>
  <si>
    <t>=E1708</t>
  </si>
  <si>
    <t>=StartDate-$M1710+1</t>
  </si>
  <si>
    <t>=SUM(P1710:T1710)</t>
  </si>
  <si>
    <t>=IF($M1710&gt;=$P$18,U1710,0)</t>
  </si>
  <si>
    <t>=IF(AND($M1710&gt;=$Q$16,$M1710&lt;=$Q$18),U1710,0)</t>
  </si>
  <si>
    <t>=IF(AND($M1710&gt;=$R$16,$M1710&lt;=$R$18),U1710,0)</t>
  </si>
  <si>
    <t>=IF(AND($M1710&gt;=$S$16,$M1710&lt;=$S$18),U1710,0)</t>
  </si>
  <si>
    <t>=IF($M1710&lt;=$T$18,U1710,0)</t>
  </si>
  <si>
    <t>="""NAV Direct"",""CRONUS JetCorp USA"",""21"",""1"",""437351"""</t>
  </si>
  <si>
    <t>=E1709</t>
  </si>
  <si>
    <t>=StartDate-$M1711+1</t>
  </si>
  <si>
    <t>=SUM(P1711:T1711)</t>
  </si>
  <si>
    <t>=IF($M1711&gt;=$P$18,U1711,0)</t>
  </si>
  <si>
    <t>=IF(AND($M1711&gt;=$Q$16,$M1711&lt;=$Q$18),U1711,0)</t>
  </si>
  <si>
    <t>=IF(AND($M1711&gt;=$R$16,$M1711&lt;=$R$18),U1711,0)</t>
  </si>
  <si>
    <t>=IF(AND($M1711&gt;=$S$16,$M1711&lt;=$S$18),U1711,0)</t>
  </si>
  <si>
    <t>=IF($M1711&lt;=$T$18,U1711,0)</t>
  </si>
  <si>
    <t>="""NAV Direct"",""CRONUS JetCorp USA"",""21"",""1"",""437368"""</t>
  </si>
  <si>
    <t>=E1710</t>
  </si>
  <si>
    <t>=StartDate-$M1712+1</t>
  </si>
  <si>
    <t>=SUM(P1712:T1712)</t>
  </si>
  <si>
    <t>=IF($M1712&gt;=$P$18,U1712,0)</t>
  </si>
  <si>
    <t>=IF(AND($M1712&gt;=$Q$16,$M1712&lt;=$Q$18),U1712,0)</t>
  </si>
  <si>
    <t>=IF(AND($M1712&gt;=$R$16,$M1712&lt;=$R$18),U1712,0)</t>
  </si>
  <si>
    <t>=IF(AND($M1712&gt;=$S$16,$M1712&lt;=$S$18),U1712,0)</t>
  </si>
  <si>
    <t>=IF($M1712&lt;=$T$18,U1712,0)</t>
  </si>
  <si>
    <t>="""NAV Direct"",""CRONUS JetCorp USA"",""21"",""1"",""437377"""</t>
  </si>
  <si>
    <t>=E1711</t>
  </si>
  <si>
    <t>=StartDate-$M1713+1</t>
  </si>
  <si>
    <t>=SUM(P1713:T1713)</t>
  </si>
  <si>
    <t>=IF($M1713&gt;=$P$18,U1713,0)</t>
  </si>
  <si>
    <t>=IF(AND($M1713&gt;=$Q$16,$M1713&lt;=$Q$18),U1713,0)</t>
  </si>
  <si>
    <t>=IF(AND($M1713&gt;=$R$16,$M1713&lt;=$R$18),U1713,0)</t>
  </si>
  <si>
    <t>=IF(AND($M1713&gt;=$S$16,$M1713&lt;=$S$18),U1713,0)</t>
  </si>
  <si>
    <t>=IF($M1713&lt;=$T$18,U1713,0)</t>
  </si>
  <si>
    <t>="""NAV Direct"",""CRONUS JetCorp USA"",""21"",""1"",""437388"""</t>
  </si>
  <si>
    <t>=E1712</t>
  </si>
  <si>
    <t>=StartDate-$M1714+1</t>
  </si>
  <si>
    <t>=SUM(P1714:T1714)</t>
  </si>
  <si>
    <t>=IF($M1714&gt;=$P$18,U1714,0)</t>
  </si>
  <si>
    <t>=IF(AND($M1714&gt;=$Q$16,$M1714&lt;=$Q$18),U1714,0)</t>
  </si>
  <si>
    <t>=IF(AND($M1714&gt;=$R$16,$M1714&lt;=$R$18),U1714,0)</t>
  </si>
  <si>
    <t>=IF(AND($M1714&gt;=$S$16,$M1714&lt;=$S$18),U1714,0)</t>
  </si>
  <si>
    <t>=IF($M1714&lt;=$T$18,U1714,0)</t>
  </si>
  <si>
    <t>="""NAV Direct"",""CRONUS JetCorp USA"",""21"",""1"",""437411"""</t>
  </si>
  <si>
    <t>=E1713</t>
  </si>
  <si>
    <t>=StartDate-$M1715+1</t>
  </si>
  <si>
    <t>=SUM(P1715:T1715)</t>
  </si>
  <si>
    <t>=IF($M1715&gt;=$P$18,U1715,0)</t>
  </si>
  <si>
    <t>=IF(AND($M1715&gt;=$Q$16,$M1715&lt;=$Q$18),U1715,0)</t>
  </si>
  <si>
    <t>=IF(AND($M1715&gt;=$R$16,$M1715&lt;=$R$18),U1715,0)</t>
  </si>
  <si>
    <t>=IF(AND($M1715&gt;=$S$16,$M1715&lt;=$S$18),U1715,0)</t>
  </si>
  <si>
    <t>=IF($M1715&lt;=$T$18,U1715,0)</t>
  </si>
  <si>
    <t>="""NAV Direct"",""CRONUS JetCorp USA"",""21"",""1"",""437521"""</t>
  </si>
  <si>
    <t>=E1714</t>
  </si>
  <si>
    <t>=StartDate-$M1716+1</t>
  </si>
  <si>
    <t>=SUM(P1716:T1716)</t>
  </si>
  <si>
    <t>=IF($M1716&gt;=$P$18,U1716,0)</t>
  </si>
  <si>
    <t>=IF(AND($M1716&gt;=$Q$16,$M1716&lt;=$Q$18),U1716,0)</t>
  </si>
  <si>
    <t>=IF(AND($M1716&gt;=$R$16,$M1716&lt;=$R$18),U1716,0)</t>
  </si>
  <si>
    <t>=IF(AND($M1716&gt;=$S$16,$M1716&lt;=$S$18),U1716,0)</t>
  </si>
  <si>
    <t>=IF($M1716&lt;=$T$18,U1716,0)</t>
  </si>
  <si>
    <t>="""NAV Direct"",""CRONUS JetCorp USA"",""21"",""1"",""437547"""</t>
  </si>
  <si>
    <t>=E1715</t>
  </si>
  <si>
    <t>=StartDate-$M1717+1</t>
  </si>
  <si>
    <t>=SUM(P1717:T1717)</t>
  </si>
  <si>
    <t>=IF($M1717&gt;=$P$18,U1717,0)</t>
  </si>
  <si>
    <t>=IF(AND($M1717&gt;=$Q$16,$M1717&lt;=$Q$18),U1717,0)</t>
  </si>
  <si>
    <t>=IF(AND($M1717&gt;=$R$16,$M1717&lt;=$R$18),U1717,0)</t>
  </si>
  <si>
    <t>=IF(AND($M1717&gt;=$S$16,$M1717&lt;=$S$18),U1717,0)</t>
  </si>
  <si>
    <t>=IF($M1717&lt;=$T$18,U1717,0)</t>
  </si>
  <si>
    <t>="""NAV Direct"",""CRONUS JetCorp USA"",""21"",""1"",""437566"""</t>
  </si>
  <si>
    <t>=E1716</t>
  </si>
  <si>
    <t>=StartDate-$M1718+1</t>
  </si>
  <si>
    <t>=SUM(P1718:T1718)</t>
  </si>
  <si>
    <t>=IF($M1718&gt;=$P$18,U1718,0)</t>
  </si>
  <si>
    <t>=IF(AND($M1718&gt;=$Q$16,$M1718&lt;=$Q$18),U1718,0)</t>
  </si>
  <si>
    <t>=IF(AND($M1718&gt;=$R$16,$M1718&lt;=$R$18),U1718,0)</t>
  </si>
  <si>
    <t>=IF(AND($M1718&gt;=$S$16,$M1718&lt;=$S$18),U1718,0)</t>
  </si>
  <si>
    <t>=IF($M1718&lt;=$T$18,U1718,0)</t>
  </si>
  <si>
    <t>="""NAV Direct"",""CRONUS JetCorp USA"",""21"",""1"",""437575"""</t>
  </si>
  <si>
    <t>=E1717</t>
  </si>
  <si>
    <t>=StartDate-$M1719+1</t>
  </si>
  <si>
    <t>=SUM(P1719:T1719)</t>
  </si>
  <si>
    <t>=IF($M1719&gt;=$P$18,U1719,0)</t>
  </si>
  <si>
    <t>=IF(AND($M1719&gt;=$Q$16,$M1719&lt;=$Q$18),U1719,0)</t>
  </si>
  <si>
    <t>=IF(AND($M1719&gt;=$R$16,$M1719&lt;=$R$18),U1719,0)</t>
  </si>
  <si>
    <t>=IF(AND($M1719&gt;=$S$16,$M1719&lt;=$S$18),U1719,0)</t>
  </si>
  <si>
    <t>=IF($M1719&lt;=$T$18,U1719,0)</t>
  </si>
  <si>
    <t>="""NAV Direct"",""CRONUS JetCorp USA"",""21"",""1"",""437593"""</t>
  </si>
  <si>
    <t>=E1718</t>
  </si>
  <si>
    <t>=StartDate-$M1720+1</t>
  </si>
  <si>
    <t>=SUM(P1720:T1720)</t>
  </si>
  <si>
    <t>=IF($M1720&gt;=$P$18,U1720,0)</t>
  </si>
  <si>
    <t>=IF(AND($M1720&gt;=$Q$16,$M1720&lt;=$Q$18),U1720,0)</t>
  </si>
  <si>
    <t>=IF(AND($M1720&gt;=$R$16,$M1720&lt;=$R$18),U1720,0)</t>
  </si>
  <si>
    <t>=IF(AND($M1720&gt;=$S$16,$M1720&lt;=$S$18),U1720,0)</t>
  </si>
  <si>
    <t>=IF($M1720&lt;=$T$18,U1720,0)</t>
  </si>
  <si>
    <t>="""NAV Direct"",""CRONUS JetCorp USA"",""21"",""1"",""437644"""</t>
  </si>
  <si>
    <t>=E1719</t>
  </si>
  <si>
    <t>=StartDate-$M1721+1</t>
  </si>
  <si>
    <t>=SUM(P1721:T1721)</t>
  </si>
  <si>
    <t>=IF($M1721&gt;=$P$18,U1721,0)</t>
  </si>
  <si>
    <t>=IF(AND($M1721&gt;=$Q$16,$M1721&lt;=$Q$18),U1721,0)</t>
  </si>
  <si>
    <t>=IF(AND($M1721&gt;=$R$16,$M1721&lt;=$R$18),U1721,0)</t>
  </si>
  <si>
    <t>=IF(AND($M1721&gt;=$S$16,$M1721&lt;=$S$18),U1721,0)</t>
  </si>
  <si>
    <t>=IF($M1721&lt;=$T$18,U1721,0)</t>
  </si>
  <si>
    <t>="""NAV Direct"",""CRONUS JetCorp USA"",""21"",""1"",""437685"""</t>
  </si>
  <si>
    <t>=E1720</t>
  </si>
  <si>
    <t>=StartDate-$M1722+1</t>
  </si>
  <si>
    <t>=SUM(P1722:T1722)</t>
  </si>
  <si>
    <t>=IF($M1722&gt;=$P$18,U1722,0)</t>
  </si>
  <si>
    <t>=IF(AND($M1722&gt;=$Q$16,$M1722&lt;=$Q$18),U1722,0)</t>
  </si>
  <si>
    <t>=IF(AND($M1722&gt;=$R$16,$M1722&lt;=$R$18),U1722,0)</t>
  </si>
  <si>
    <t>=IF(AND($M1722&gt;=$S$16,$M1722&lt;=$S$18),U1722,0)</t>
  </si>
  <si>
    <t>=IF($M1722&lt;=$T$18,U1722,0)</t>
  </si>
  <si>
    <t>="""NAV Direct"",""CRONUS JetCorp USA"",""21"",""1"",""437717"""</t>
  </si>
  <si>
    <t>=E1721</t>
  </si>
  <si>
    <t>=StartDate-$M1723+1</t>
  </si>
  <si>
    <t>=SUM(P1723:T1723)</t>
  </si>
  <si>
    <t>=IF($M1723&gt;=$P$18,U1723,0)</t>
  </si>
  <si>
    <t>=IF(AND($M1723&gt;=$Q$16,$M1723&lt;=$Q$18),U1723,0)</t>
  </si>
  <si>
    <t>=IF(AND($M1723&gt;=$R$16,$M1723&lt;=$R$18),U1723,0)</t>
  </si>
  <si>
    <t>=IF(AND($M1723&gt;=$S$16,$M1723&lt;=$S$18),U1723,0)</t>
  </si>
  <si>
    <t>=IF($M1723&lt;=$T$18,U1723,0)</t>
  </si>
  <si>
    <t>="""NAV Direct"",""CRONUS JetCorp USA"",""21"",""1"",""437745"""</t>
  </si>
  <si>
    <t>=E1722</t>
  </si>
  <si>
    <t>=StartDate-$M1724+1</t>
  </si>
  <si>
    <t>=SUM(P1724:T1724)</t>
  </si>
  <si>
    <t>=IF($M1724&gt;=$P$18,U1724,0)</t>
  </si>
  <si>
    <t>=IF(AND($M1724&gt;=$Q$16,$M1724&lt;=$Q$18),U1724,0)</t>
  </si>
  <si>
    <t>=IF(AND($M1724&gt;=$R$16,$M1724&lt;=$R$18),U1724,0)</t>
  </si>
  <si>
    <t>=IF(AND($M1724&gt;=$S$16,$M1724&lt;=$S$18),U1724,0)</t>
  </si>
  <si>
    <t>=IF($M1724&lt;=$T$18,U1724,0)</t>
  </si>
  <si>
    <t>="""NAV Direct"",""CRONUS JetCorp USA"",""21"",""1"",""437818"""</t>
  </si>
  <si>
    <t>=E1723</t>
  </si>
  <si>
    <t>=StartDate-$M1725+1</t>
  </si>
  <si>
    <t>=SUM(P1725:T1725)</t>
  </si>
  <si>
    <t>=IF($M1725&gt;=$P$18,U1725,0)</t>
  </si>
  <si>
    <t>=IF(AND($M1725&gt;=$Q$16,$M1725&lt;=$Q$18),U1725,0)</t>
  </si>
  <si>
    <t>=IF(AND($M1725&gt;=$R$16,$M1725&lt;=$R$18),U1725,0)</t>
  </si>
  <si>
    <t>=IF(AND($M1725&gt;=$S$16,$M1725&lt;=$S$18),U1725,0)</t>
  </si>
  <si>
    <t>=IF($M1725&lt;=$T$18,U1725,0)</t>
  </si>
  <si>
    <t>="""NAV Direct"",""CRONUS JetCorp USA"",""18"",""1"",""C100060"""</t>
  </si>
  <si>
    <t>=H1728</t>
  </si>
  <si>
    <t>=NF($C1728,"1 No.")</t>
  </si>
  <si>
    <t>=NF($C1728,"1 No.")&amp;"  -  "&amp;NF($C1728,"2 Name")</t>
  </si>
  <si>
    <t>=IFERROR(O1728/NF(C1728,"Credit Limit (LCY)"),"")</t>
  </si>
  <si>
    <t>=SUBTOTAL(3,L1729:L1770)</t>
  </si>
  <si>
    <t>=SUBTOTAL(9,O1729:O1770)</t>
  </si>
  <si>
    <t>=SUBTOTAL(9,P1729:P1770)</t>
  </si>
  <si>
    <t>=SUBTOTAL(9,Q1729:Q1770)</t>
  </si>
  <si>
    <t>=SUBTOTAL(9,R1729:R1770)</t>
  </si>
  <si>
    <t>=SUBTOTAL(9,S1729:S1770)</t>
  </si>
  <si>
    <t>=SUBTOTAL(9,T1729:T1770)</t>
  </si>
  <si>
    <t>=C1728</t>
  </si>
  <si>
    <t>=E1728</t>
  </si>
  <si>
    <t>="Contact: "&amp;NF($C1729,"8 Contact")</t>
  </si>
  <si>
    <t>=C1729</t>
  </si>
  <si>
    <t>=E1729</t>
  </si>
  <si>
    <t>=NF($C1730,"102 E-Mail")</t>
  </si>
  <si>
    <t>=NL("Rows","21 Cust. Ledger Entry",,"3 Customer No.","@@"&amp;$E1732,"16 Remaining Amt. (LCY)","&lt;&gt;0")</t>
  </si>
  <si>
    <t>=E1730</t>
  </si>
  <si>
    <t>=StartDate-$M1732+1</t>
  </si>
  <si>
    <t>=SUM(P1732:T1732)</t>
  </si>
  <si>
    <t>=IF($M1732&gt;=$P$18,U1732,0)</t>
  </si>
  <si>
    <t>=IF(AND($M1732&gt;=$Q$16,$M1732&lt;=$Q$18),U1732,0)</t>
  </si>
  <si>
    <t>=IF(AND($M1732&gt;=$R$16,$M1732&lt;=$R$18),U1732,0)</t>
  </si>
  <si>
    <t>=IF(AND($M1732&gt;=$S$16,$M1732&lt;=$S$18),U1732,0)</t>
  </si>
  <si>
    <t>=IF($M1732&lt;=$T$18,U1732,0)</t>
  </si>
  <si>
    <t>="""NAV Direct"",""CRONUS JetCorp USA"",""21"",""1"",""35541"""</t>
  </si>
  <si>
    <t>=E1731</t>
  </si>
  <si>
    <t>=StartDate-$M1733+1</t>
  </si>
  <si>
    <t>=SUM(P1733:T1733)</t>
  </si>
  <si>
    <t>=IF($M1733&gt;=$P$18,U1733,0)</t>
  </si>
  <si>
    <t>=IF(AND($M1733&gt;=$Q$16,$M1733&lt;=$Q$18),U1733,0)</t>
  </si>
  <si>
    <t>=IF(AND($M1733&gt;=$R$16,$M1733&lt;=$R$18),U1733,0)</t>
  </si>
  <si>
    <t>=IF(AND($M1733&gt;=$S$16,$M1733&lt;=$S$18),U1733,0)</t>
  </si>
  <si>
    <t>=IF($M1733&lt;=$T$18,U1733,0)</t>
  </si>
  <si>
    <t>="""NAV Direct"",""CRONUS JetCorp USA"",""21"",""1"",""325593"""</t>
  </si>
  <si>
    <t>=E1732</t>
  </si>
  <si>
    <t>=StartDate-$M1734+1</t>
  </si>
  <si>
    <t>=SUM(P1734:T1734)</t>
  </si>
  <si>
    <t>=IF($M1734&gt;=$P$18,U1734,0)</t>
  </si>
  <si>
    <t>=IF(AND($M1734&gt;=$Q$16,$M1734&lt;=$Q$18),U1734,0)</t>
  </si>
  <si>
    <t>=IF(AND($M1734&gt;=$R$16,$M1734&lt;=$R$18),U1734,0)</t>
  </si>
  <si>
    <t>=IF(AND($M1734&gt;=$S$16,$M1734&lt;=$S$18),U1734,0)</t>
  </si>
  <si>
    <t>=IF($M1734&lt;=$T$18,U1734,0)</t>
  </si>
  <si>
    <t>="""NAV Direct"",""CRONUS JetCorp USA"",""21"",""1"",""326056"""</t>
  </si>
  <si>
    <t>=E1733</t>
  </si>
  <si>
    <t>=StartDate-$M1735+1</t>
  </si>
  <si>
    <t>=SUM(P1735:T1735)</t>
  </si>
  <si>
    <t>=IF($M1735&gt;=$P$18,U1735,0)</t>
  </si>
  <si>
    <t>=IF(AND($M1735&gt;=$Q$16,$M1735&lt;=$Q$18),U1735,0)</t>
  </si>
  <si>
    <t>=IF(AND($M1735&gt;=$R$16,$M1735&lt;=$R$18),U1735,0)</t>
  </si>
  <si>
    <t>=IF(AND($M1735&gt;=$S$16,$M1735&lt;=$S$18),U1735,0)</t>
  </si>
  <si>
    <t>=IF($M1735&lt;=$T$18,U1735,0)</t>
  </si>
  <si>
    <t>="""NAV Direct"",""CRONUS JetCorp USA"",""21"",""1"",""326214"""</t>
  </si>
  <si>
    <t>=E1734</t>
  </si>
  <si>
    <t>=StartDate-$M1736+1</t>
  </si>
  <si>
    <t>=SUM(P1736:T1736)</t>
  </si>
  <si>
    <t>=IF($M1736&gt;=$P$18,U1736,0)</t>
  </si>
  <si>
    <t>=IF(AND($M1736&gt;=$Q$16,$M1736&lt;=$Q$18),U1736,0)</t>
  </si>
  <si>
    <t>=IF(AND($M1736&gt;=$R$16,$M1736&lt;=$R$18),U1736,0)</t>
  </si>
  <si>
    <t>=IF(AND($M1736&gt;=$S$16,$M1736&lt;=$S$18),U1736,0)</t>
  </si>
  <si>
    <t>=IF($M1736&lt;=$T$18,U1736,0)</t>
  </si>
  <si>
    <t>="""NAV Direct"",""CRONUS JetCorp USA"",""21"",""1"",""326669"""</t>
  </si>
  <si>
    <t>=E1735</t>
  </si>
  <si>
    <t>=StartDate-$M1737+1</t>
  </si>
  <si>
    <t>=SUM(P1737:T1737)</t>
  </si>
  <si>
    <t>=IF($M1737&gt;=$P$18,U1737,0)</t>
  </si>
  <si>
    <t>=IF(AND($M1737&gt;=$Q$16,$M1737&lt;=$Q$18),U1737,0)</t>
  </si>
  <si>
    <t>=IF(AND($M1737&gt;=$R$16,$M1737&lt;=$R$18),U1737,0)</t>
  </si>
  <si>
    <t>=IF(AND($M1737&gt;=$S$16,$M1737&lt;=$S$18),U1737,0)</t>
  </si>
  <si>
    <t>=IF($M1737&lt;=$T$18,U1737,0)</t>
  </si>
  <si>
    <t>="""NAV Direct"",""CRONUS JetCorp USA"",""21"",""1"",""326814"""</t>
  </si>
  <si>
    <t>=E1736</t>
  </si>
  <si>
    <t>=StartDate-$M1738+1</t>
  </si>
  <si>
    <t>=SUM(P1738:T1738)</t>
  </si>
  <si>
    <t>=IF($M1738&gt;=$P$18,U1738,0)</t>
  </si>
  <si>
    <t>=IF(AND($M1738&gt;=$Q$16,$M1738&lt;=$Q$18),U1738,0)</t>
  </si>
  <si>
    <t>=IF(AND($M1738&gt;=$R$16,$M1738&lt;=$R$18),U1738,0)</t>
  </si>
  <si>
    <t>=IF(AND($M1738&gt;=$S$16,$M1738&lt;=$S$18),U1738,0)</t>
  </si>
  <si>
    <t>=IF($M1738&lt;=$T$18,U1738,0)</t>
  </si>
  <si>
    <t>="""NAV Direct"",""CRONUS JetCorp USA"",""21"",""1"",""326922"""</t>
  </si>
  <si>
    <t>=E1737</t>
  </si>
  <si>
    <t>=StartDate-$M1739+1</t>
  </si>
  <si>
    <t>=SUM(P1739:T1739)</t>
  </si>
  <si>
    <t>=IF($M1739&gt;=$P$18,U1739,0)</t>
  </si>
  <si>
    <t>=IF(AND($M1739&gt;=$Q$16,$M1739&lt;=$Q$18),U1739,0)</t>
  </si>
  <si>
    <t>=IF(AND($M1739&gt;=$R$16,$M1739&lt;=$R$18),U1739,0)</t>
  </si>
  <si>
    <t>=IF(AND($M1739&gt;=$S$16,$M1739&lt;=$S$18),U1739,0)</t>
  </si>
  <si>
    <t>=IF($M1739&lt;=$T$18,U1739,0)</t>
  </si>
  <si>
    <t>="""NAV Direct"",""CRONUS JetCorp USA"",""21"",""1"",""327103"""</t>
  </si>
  <si>
    <t>=E1738</t>
  </si>
  <si>
    <t>=StartDate-$M1740+1</t>
  </si>
  <si>
    <t>=SUM(P1740:T1740)</t>
  </si>
  <si>
    <t>=IF($M1740&gt;=$P$18,U1740,0)</t>
  </si>
  <si>
    <t>=IF(AND($M1740&gt;=$Q$16,$M1740&lt;=$Q$18),U1740,0)</t>
  </si>
  <si>
    <t>=IF(AND($M1740&gt;=$R$16,$M1740&lt;=$R$18),U1740,0)</t>
  </si>
  <si>
    <t>=IF(AND($M1740&gt;=$S$16,$M1740&lt;=$S$18),U1740,0)</t>
  </si>
  <si>
    <t>=IF($M1740&lt;=$T$18,U1740,0)</t>
  </si>
  <si>
    <t>="""NAV Direct"",""CRONUS JetCorp USA"",""21"",""1"",""327120"""</t>
  </si>
  <si>
    <t>=E1739</t>
  </si>
  <si>
    <t>=StartDate-$M1741+1</t>
  </si>
  <si>
    <t>=SUM(P1741:T1741)</t>
  </si>
  <si>
    <t>=IF($M1741&gt;=$P$18,U1741,0)</t>
  </si>
  <si>
    <t>=IF(AND($M1741&gt;=$Q$16,$M1741&lt;=$Q$18),U1741,0)</t>
  </si>
  <si>
    <t>=IF(AND($M1741&gt;=$R$16,$M1741&lt;=$R$18),U1741,0)</t>
  </si>
  <si>
    <t>=IF(AND($M1741&gt;=$S$16,$M1741&lt;=$S$18),U1741,0)</t>
  </si>
  <si>
    <t>=IF($M1741&lt;=$T$18,U1741,0)</t>
  </si>
  <si>
    <t>="""NAV Direct"",""CRONUS JetCorp USA"",""21"",""1"",""327215"""</t>
  </si>
  <si>
    <t>=E1740</t>
  </si>
  <si>
    <t>=StartDate-$M1742+1</t>
  </si>
  <si>
    <t>=SUM(P1742:T1742)</t>
  </si>
  <si>
    <t>=IF($M1742&gt;=$P$18,U1742,0)</t>
  </si>
  <si>
    <t>=IF(AND($M1742&gt;=$Q$16,$M1742&lt;=$Q$18),U1742,0)</t>
  </si>
  <si>
    <t>=IF(AND($M1742&gt;=$R$16,$M1742&lt;=$R$18),U1742,0)</t>
  </si>
  <si>
    <t>=IF(AND($M1742&gt;=$S$16,$M1742&lt;=$S$18),U1742,0)</t>
  </si>
  <si>
    <t>=IF($M1742&lt;=$T$18,U1742,0)</t>
  </si>
  <si>
    <t>="""NAV Direct"",""CRONUS JetCorp USA"",""21"",""1"",""327307"""</t>
  </si>
  <si>
    <t>=E1741</t>
  </si>
  <si>
    <t>=StartDate-$M1743+1</t>
  </si>
  <si>
    <t>=SUM(P1743:T1743)</t>
  </si>
  <si>
    <t>=IF($M1743&gt;=$P$18,U1743,0)</t>
  </si>
  <si>
    <t>=IF(AND($M1743&gt;=$Q$16,$M1743&lt;=$Q$18),U1743,0)</t>
  </si>
  <si>
    <t>=IF(AND($M1743&gt;=$R$16,$M1743&lt;=$R$18),U1743,0)</t>
  </si>
  <si>
    <t>=IF(AND($M1743&gt;=$S$16,$M1743&lt;=$S$18),U1743,0)</t>
  </si>
  <si>
    <t>=IF($M1743&lt;=$T$18,U1743,0)</t>
  </si>
  <si>
    <t>="""NAV Direct"",""CRONUS JetCorp USA"",""21"",""1"",""327361"""</t>
  </si>
  <si>
    <t>=E1742</t>
  </si>
  <si>
    <t>=StartDate-$M1744+1</t>
  </si>
  <si>
    <t>=SUM(P1744:T1744)</t>
  </si>
  <si>
    <t>=IF($M1744&gt;=$P$18,U1744,0)</t>
  </si>
  <si>
    <t>=IF(AND($M1744&gt;=$Q$16,$M1744&lt;=$Q$18),U1744,0)</t>
  </si>
  <si>
    <t>=IF(AND($M1744&gt;=$R$16,$M1744&lt;=$R$18),U1744,0)</t>
  </si>
  <si>
    <t>=IF(AND($M1744&gt;=$S$16,$M1744&lt;=$S$18),U1744,0)</t>
  </si>
  <si>
    <t>=IF($M1744&lt;=$T$18,U1744,0)</t>
  </si>
  <si>
    <t>="""NAV Direct"",""CRONUS JetCorp USA"",""21"",""1"",""327438"""</t>
  </si>
  <si>
    <t>=E1743</t>
  </si>
  <si>
    <t>=StartDate-$M1745+1</t>
  </si>
  <si>
    <t>=SUM(P1745:T1745)</t>
  </si>
  <si>
    <t>=IF($M1745&gt;=$P$18,U1745,0)</t>
  </si>
  <si>
    <t>=IF(AND($M1745&gt;=$Q$16,$M1745&lt;=$Q$18),U1745,0)</t>
  </si>
  <si>
    <t>=IF(AND($M1745&gt;=$R$16,$M1745&lt;=$R$18),U1745,0)</t>
  </si>
  <si>
    <t>=IF(AND($M1745&gt;=$S$16,$M1745&lt;=$S$18),U1745,0)</t>
  </si>
  <si>
    <t>=IF($M1745&lt;=$T$18,U1745,0)</t>
  </si>
  <si>
    <t>="""NAV Direct"",""CRONUS JetCorp USA"",""21"",""1"",""327567"""</t>
  </si>
  <si>
    <t>=E1744</t>
  </si>
  <si>
    <t>=StartDate-$M1746+1</t>
  </si>
  <si>
    <t>=SUM(P1746:T1746)</t>
  </si>
  <si>
    <t>=IF($M1746&gt;=$P$18,U1746,0)</t>
  </si>
  <si>
    <t>=IF(AND($M1746&gt;=$Q$16,$M1746&lt;=$Q$18),U1746,0)</t>
  </si>
  <si>
    <t>=IF(AND($M1746&gt;=$R$16,$M1746&lt;=$R$18),U1746,0)</t>
  </si>
  <si>
    <t>=IF(AND($M1746&gt;=$S$16,$M1746&lt;=$S$18),U1746,0)</t>
  </si>
  <si>
    <t>=IF($M1746&lt;=$T$18,U1746,0)</t>
  </si>
  <si>
    <t>="""NAV Direct"",""CRONUS JetCorp USA"",""21"",""1"",""327661"""</t>
  </si>
  <si>
    <t>=E1745</t>
  </si>
  <si>
    <t>=StartDate-$M1747+1</t>
  </si>
  <si>
    <t>=SUM(P1747:T1747)</t>
  </si>
  <si>
    <t>=IF($M1747&gt;=$P$18,U1747,0)</t>
  </si>
  <si>
    <t>=IF(AND($M1747&gt;=$Q$16,$M1747&lt;=$Q$18),U1747,0)</t>
  </si>
  <si>
    <t>=IF(AND($M1747&gt;=$R$16,$M1747&lt;=$R$18),U1747,0)</t>
  </si>
  <si>
    <t>=IF(AND($M1747&gt;=$S$16,$M1747&lt;=$S$18),U1747,0)</t>
  </si>
  <si>
    <t>=IF($M1747&lt;=$T$18,U1747,0)</t>
  </si>
  <si>
    <t>="""NAV Direct"",""CRONUS JetCorp USA"",""21"",""1"",""327844"""</t>
  </si>
  <si>
    <t>=E1746</t>
  </si>
  <si>
    <t>=StartDate-$M1748+1</t>
  </si>
  <si>
    <t>=SUM(P1748:T1748)</t>
  </si>
  <si>
    <t>=IF($M1748&gt;=$P$18,U1748,0)</t>
  </si>
  <si>
    <t>=IF(AND($M1748&gt;=$Q$16,$M1748&lt;=$Q$18),U1748,0)</t>
  </si>
  <si>
    <t>=IF(AND($M1748&gt;=$R$16,$M1748&lt;=$R$18),U1748,0)</t>
  </si>
  <si>
    <t>=IF(AND($M1748&gt;=$S$16,$M1748&lt;=$S$18),U1748,0)</t>
  </si>
  <si>
    <t>=IF($M1748&lt;=$T$18,U1748,0)</t>
  </si>
  <si>
    <t>="""NAV Direct"",""CRONUS JetCorp USA"",""21"",""1"",""327869"""</t>
  </si>
  <si>
    <t>=E1747</t>
  </si>
  <si>
    <t>=StartDate-$M1749+1</t>
  </si>
  <si>
    <t>=SUM(P1749:T1749)</t>
  </si>
  <si>
    <t>=IF($M1749&gt;=$P$18,U1749,0)</t>
  </si>
  <si>
    <t>=IF(AND($M1749&gt;=$Q$16,$M1749&lt;=$Q$18),U1749,0)</t>
  </si>
  <si>
    <t>=IF(AND($M1749&gt;=$R$16,$M1749&lt;=$R$18),U1749,0)</t>
  </si>
  <si>
    <t>=IF(AND($M1749&gt;=$S$16,$M1749&lt;=$S$18),U1749,0)</t>
  </si>
  <si>
    <t>=IF($M1749&lt;=$T$18,U1749,0)</t>
  </si>
  <si>
    <t>="""NAV Direct"",""CRONUS JetCorp USA"",""21"",""1"",""328042"""</t>
  </si>
  <si>
    <t>=E1748</t>
  </si>
  <si>
    <t>=StartDate-$M1750+1</t>
  </si>
  <si>
    <t>=SUM(P1750:T1750)</t>
  </si>
  <si>
    <t>=IF($M1750&gt;=$P$18,U1750,0)</t>
  </si>
  <si>
    <t>=IF(AND($M1750&gt;=$Q$16,$M1750&lt;=$Q$18),U1750,0)</t>
  </si>
  <si>
    <t>=IF(AND($M1750&gt;=$R$16,$M1750&lt;=$R$18),U1750,0)</t>
  </si>
  <si>
    <t>=IF(AND($M1750&gt;=$S$16,$M1750&lt;=$S$18),U1750,0)</t>
  </si>
  <si>
    <t>=IF($M1750&lt;=$T$18,U1750,0)</t>
  </si>
  <si>
    <t>="""NAV Direct"",""CRONUS JetCorp USA"",""21"",""1"",""328253"""</t>
  </si>
  <si>
    <t>=E1749</t>
  </si>
  <si>
    <t>=StartDate-$M1751+1</t>
  </si>
  <si>
    <t>=SUM(P1751:T1751)</t>
  </si>
  <si>
    <t>=IF($M1751&gt;=$P$18,U1751,0)</t>
  </si>
  <si>
    <t>=IF(AND($M1751&gt;=$Q$16,$M1751&lt;=$Q$18),U1751,0)</t>
  </si>
  <si>
    <t>=IF(AND($M1751&gt;=$R$16,$M1751&lt;=$R$18),U1751,0)</t>
  </si>
  <si>
    <t>=IF(AND($M1751&gt;=$S$16,$M1751&lt;=$S$18),U1751,0)</t>
  </si>
  <si>
    <t>=IF($M1751&lt;=$T$18,U1751,0)</t>
  </si>
  <si>
    <t>="""NAV Direct"",""CRONUS JetCorp USA"",""21"",""1"",""328280"""</t>
  </si>
  <si>
    <t>=E1750</t>
  </si>
  <si>
    <t>=StartDate-$M1752+1</t>
  </si>
  <si>
    <t>=SUM(P1752:T1752)</t>
  </si>
  <si>
    <t>=IF($M1752&gt;=$P$18,U1752,0)</t>
  </si>
  <si>
    <t>=IF(AND($M1752&gt;=$Q$16,$M1752&lt;=$Q$18),U1752,0)</t>
  </si>
  <si>
    <t>=IF(AND($M1752&gt;=$R$16,$M1752&lt;=$R$18),U1752,0)</t>
  </si>
  <si>
    <t>=IF(AND($M1752&gt;=$S$16,$M1752&lt;=$S$18),U1752,0)</t>
  </si>
  <si>
    <t>=IF($M1752&lt;=$T$18,U1752,0)</t>
  </si>
  <si>
    <t>="""NAV Direct"",""CRONUS JetCorp USA"",""21"",""1"",""328384"""</t>
  </si>
  <si>
    <t>=E1751</t>
  </si>
  <si>
    <t>=StartDate-$M1753+1</t>
  </si>
  <si>
    <t>=SUM(P1753:T1753)</t>
  </si>
  <si>
    <t>=IF($M1753&gt;=$P$18,U1753,0)</t>
  </si>
  <si>
    <t>=IF(AND($M1753&gt;=$Q$16,$M1753&lt;=$Q$18),U1753,0)</t>
  </si>
  <si>
    <t>=IF(AND($M1753&gt;=$R$16,$M1753&lt;=$R$18),U1753,0)</t>
  </si>
  <si>
    <t>=IF(AND($M1753&gt;=$S$16,$M1753&lt;=$S$18),U1753,0)</t>
  </si>
  <si>
    <t>=IF($M1753&lt;=$T$18,U1753,0)</t>
  </si>
  <si>
    <t>="""NAV Direct"",""CRONUS JetCorp USA"",""21"",""1"",""328916"""</t>
  </si>
  <si>
    <t>=E1752</t>
  </si>
  <si>
    <t>=StartDate-$M1754+1</t>
  </si>
  <si>
    <t>=SUM(P1754:T1754)</t>
  </si>
  <si>
    <t>=IF($M1754&gt;=$P$18,U1754,0)</t>
  </si>
  <si>
    <t>=IF(AND($M1754&gt;=$Q$16,$M1754&lt;=$Q$18),U1754,0)</t>
  </si>
  <si>
    <t>=IF(AND($M1754&gt;=$R$16,$M1754&lt;=$R$18),U1754,0)</t>
  </si>
  <si>
    <t>=IF(AND($M1754&gt;=$S$16,$M1754&lt;=$S$18),U1754,0)</t>
  </si>
  <si>
    <t>=IF($M1754&lt;=$T$18,U1754,0)</t>
  </si>
  <si>
    <t>="""NAV Direct"",""CRONUS JetCorp USA"",""21"",""1"",""329150"""</t>
  </si>
  <si>
    <t>=E1753</t>
  </si>
  <si>
    <t>=StartDate-$M1755+1</t>
  </si>
  <si>
    <t>=SUM(P1755:T1755)</t>
  </si>
  <si>
    <t>=IF($M1755&gt;=$P$18,U1755,0)</t>
  </si>
  <si>
    <t>=IF(AND($M1755&gt;=$Q$16,$M1755&lt;=$Q$18),U1755,0)</t>
  </si>
  <si>
    <t>=IF(AND($M1755&gt;=$R$16,$M1755&lt;=$R$18),U1755,0)</t>
  </si>
  <si>
    <t>=IF(AND($M1755&gt;=$S$16,$M1755&lt;=$S$18),U1755,0)</t>
  </si>
  <si>
    <t>=IF($M1755&lt;=$T$18,U1755,0)</t>
  </si>
  <si>
    <t>="""NAV Direct"",""CRONUS JetCorp USA"",""21"",""1"",""329196"""</t>
  </si>
  <si>
    <t>=E1754</t>
  </si>
  <si>
    <t>=StartDate-$M1756+1</t>
  </si>
  <si>
    <t>=SUM(P1756:T1756)</t>
  </si>
  <si>
    <t>=IF($M1756&gt;=$P$18,U1756,0)</t>
  </si>
  <si>
    <t>=IF(AND($M1756&gt;=$Q$16,$M1756&lt;=$Q$18),U1756,0)</t>
  </si>
  <si>
    <t>=IF(AND($M1756&gt;=$R$16,$M1756&lt;=$R$18),U1756,0)</t>
  </si>
  <si>
    <t>=IF(AND($M1756&gt;=$S$16,$M1756&lt;=$S$18),U1756,0)</t>
  </si>
  <si>
    <t>=IF($M1756&lt;=$T$18,U1756,0)</t>
  </si>
  <si>
    <t>="""NAV Direct"",""CRONUS JetCorp USA"",""21"",""1"",""329256"""</t>
  </si>
  <si>
    <t>=E1755</t>
  </si>
  <si>
    <t>=StartDate-$M1757+1</t>
  </si>
  <si>
    <t>=SUM(P1757:T1757)</t>
  </si>
  <si>
    <t>=IF($M1757&gt;=$P$18,U1757,0)</t>
  </si>
  <si>
    <t>=IF(AND($M1757&gt;=$Q$16,$M1757&lt;=$Q$18),U1757,0)</t>
  </si>
  <si>
    <t>=IF(AND($M1757&gt;=$R$16,$M1757&lt;=$R$18),U1757,0)</t>
  </si>
  <si>
    <t>=IF(AND($M1757&gt;=$S$16,$M1757&lt;=$S$18),U1757,0)</t>
  </si>
  <si>
    <t>=IF($M1757&lt;=$T$18,U1757,0)</t>
  </si>
  <si>
    <t>="""NAV Direct"",""CRONUS JetCorp USA"",""21"",""1"",""329374"""</t>
  </si>
  <si>
    <t>=E1756</t>
  </si>
  <si>
    <t>=StartDate-$M1758+1</t>
  </si>
  <si>
    <t>=SUM(P1758:T1758)</t>
  </si>
  <si>
    <t>=IF($M1758&gt;=$P$18,U1758,0)</t>
  </si>
  <si>
    <t>=IF(AND($M1758&gt;=$Q$16,$M1758&lt;=$Q$18),U1758,0)</t>
  </si>
  <si>
    <t>=IF(AND($M1758&gt;=$R$16,$M1758&lt;=$R$18),U1758,0)</t>
  </si>
  <si>
    <t>=IF(AND($M1758&gt;=$S$16,$M1758&lt;=$S$18),U1758,0)</t>
  </si>
  <si>
    <t>=IF($M1758&lt;=$T$18,U1758,0)</t>
  </si>
  <si>
    <t>="""NAV Direct"",""CRONUS JetCorp USA"",""21"",""1"",""329432"""</t>
  </si>
  <si>
    <t>=E1757</t>
  </si>
  <si>
    <t>=StartDate-$M1759+1</t>
  </si>
  <si>
    <t>=SUM(P1759:T1759)</t>
  </si>
  <si>
    <t>=IF($M1759&gt;=$P$18,U1759,0)</t>
  </si>
  <si>
    <t>=IF(AND($M1759&gt;=$Q$16,$M1759&lt;=$Q$18),U1759,0)</t>
  </si>
  <si>
    <t>=IF(AND($M1759&gt;=$R$16,$M1759&lt;=$R$18),U1759,0)</t>
  </si>
  <si>
    <t>=IF(AND($M1759&gt;=$S$16,$M1759&lt;=$S$18),U1759,0)</t>
  </si>
  <si>
    <t>=IF($M1759&lt;=$T$18,U1759,0)</t>
  </si>
  <si>
    <t>="""NAV Direct"",""CRONUS JetCorp USA"",""21"",""1"",""329517"""</t>
  </si>
  <si>
    <t>=E1758</t>
  </si>
  <si>
    <t>=StartDate-$M1760+1</t>
  </si>
  <si>
    <t>=SUM(P1760:T1760)</t>
  </si>
  <si>
    <t>=IF($M1760&gt;=$P$18,U1760,0)</t>
  </si>
  <si>
    <t>=IF(AND($M1760&gt;=$Q$16,$M1760&lt;=$Q$18),U1760,0)</t>
  </si>
  <si>
    <t>=IF(AND($M1760&gt;=$R$16,$M1760&lt;=$R$18),U1760,0)</t>
  </si>
  <si>
    <t>=IF(AND($M1760&gt;=$S$16,$M1760&lt;=$S$18),U1760,0)</t>
  </si>
  <si>
    <t>=IF($M1760&lt;=$T$18,U1760,0)</t>
  </si>
  <si>
    <t>="""NAV Direct"",""CRONUS JetCorp USA"",""21"",""1"",""329626"""</t>
  </si>
  <si>
    <t>=E1759</t>
  </si>
  <si>
    <t>=StartDate-$M1761+1</t>
  </si>
  <si>
    <t>=SUM(P1761:T1761)</t>
  </si>
  <si>
    <t>=IF($M1761&gt;=$P$18,U1761,0)</t>
  </si>
  <si>
    <t>=IF(AND($M1761&gt;=$Q$16,$M1761&lt;=$Q$18),U1761,0)</t>
  </si>
  <si>
    <t>=IF(AND($M1761&gt;=$R$16,$M1761&lt;=$R$18),U1761,0)</t>
  </si>
  <si>
    <t>=IF(AND($M1761&gt;=$S$16,$M1761&lt;=$S$18),U1761,0)</t>
  </si>
  <si>
    <t>=IF($M1761&lt;=$T$18,U1761,0)</t>
  </si>
  <si>
    <t>="""NAV Direct"",""CRONUS JetCorp USA"",""21"",""1"",""329893"""</t>
  </si>
  <si>
    <t>=E1760</t>
  </si>
  <si>
    <t>=StartDate-$M1762+1</t>
  </si>
  <si>
    <t>=SUM(P1762:T1762)</t>
  </si>
  <si>
    <t>=IF($M1762&gt;=$P$18,U1762,0)</t>
  </si>
  <si>
    <t>=IF(AND($M1762&gt;=$Q$16,$M1762&lt;=$Q$18),U1762,0)</t>
  </si>
  <si>
    <t>=IF(AND($M1762&gt;=$R$16,$M1762&lt;=$R$18),U1762,0)</t>
  </si>
  <si>
    <t>=IF(AND($M1762&gt;=$S$16,$M1762&lt;=$S$18),U1762,0)</t>
  </si>
  <si>
    <t>=IF($M1762&lt;=$T$18,U1762,0)</t>
  </si>
  <si>
    <t>="""NAV Direct"",""CRONUS JetCorp USA"",""21"",""1"",""431990"""</t>
  </si>
  <si>
    <t>=E1761</t>
  </si>
  <si>
    <t>=StartDate-$M1763+1</t>
  </si>
  <si>
    <t>=SUM(P1763:T1763)</t>
  </si>
  <si>
    <t>=IF($M1763&gt;=$P$18,U1763,0)</t>
  </si>
  <si>
    <t>=IF(AND($M1763&gt;=$Q$16,$M1763&lt;=$Q$18),U1763,0)</t>
  </si>
  <si>
    <t>=IF(AND($M1763&gt;=$R$16,$M1763&lt;=$R$18),U1763,0)</t>
  </si>
  <si>
    <t>=IF(AND($M1763&gt;=$S$16,$M1763&lt;=$S$18),U1763,0)</t>
  </si>
  <si>
    <t>=IF($M1763&lt;=$T$18,U1763,0)</t>
  </si>
  <si>
    <t>="""NAV Direct"",""CRONUS JetCorp USA"",""21"",""1"",""432167"""</t>
  </si>
  <si>
    <t>=E1762</t>
  </si>
  <si>
    <t>=StartDate-$M1764+1</t>
  </si>
  <si>
    <t>=SUM(P1764:T1764)</t>
  </si>
  <si>
    <t>=IF($M1764&gt;=$P$18,U1764,0)</t>
  </si>
  <si>
    <t>=IF(AND($M1764&gt;=$Q$16,$M1764&lt;=$Q$18),U1764,0)</t>
  </si>
  <si>
    <t>=IF(AND($M1764&gt;=$R$16,$M1764&lt;=$R$18),U1764,0)</t>
  </si>
  <si>
    <t>=IF(AND($M1764&gt;=$S$16,$M1764&lt;=$S$18),U1764,0)</t>
  </si>
  <si>
    <t>=IF($M1764&lt;=$T$18,U1764,0)</t>
  </si>
  <si>
    <t>="""NAV Direct"",""CRONUS JetCorp USA"",""21"",""1"",""432264"""</t>
  </si>
  <si>
    <t>=E1763</t>
  </si>
  <si>
    <t>=StartDate-$M1765+1</t>
  </si>
  <si>
    <t>=SUM(P1765:T1765)</t>
  </si>
  <si>
    <t>=IF($M1765&gt;=$P$18,U1765,0)</t>
  </si>
  <si>
    <t>=IF(AND($M1765&gt;=$Q$16,$M1765&lt;=$Q$18),U1765,0)</t>
  </si>
  <si>
    <t>=IF(AND($M1765&gt;=$R$16,$M1765&lt;=$R$18),U1765,0)</t>
  </si>
  <si>
    <t>=IF(AND($M1765&gt;=$S$16,$M1765&lt;=$S$18),U1765,0)</t>
  </si>
  <si>
    <t>=IF($M1765&lt;=$T$18,U1765,0)</t>
  </si>
  <si>
    <t>="""NAV Direct"",""CRONUS JetCorp USA"",""21"",""1"",""432321"""</t>
  </si>
  <si>
    <t>=E1764</t>
  </si>
  <si>
    <t>=StartDate-$M1766+1</t>
  </si>
  <si>
    <t>=SUM(P1766:T1766)</t>
  </si>
  <si>
    <t>=IF($M1766&gt;=$P$18,U1766,0)</t>
  </si>
  <si>
    <t>=IF(AND($M1766&gt;=$Q$16,$M1766&lt;=$Q$18),U1766,0)</t>
  </si>
  <si>
    <t>=IF(AND($M1766&gt;=$R$16,$M1766&lt;=$R$18),U1766,0)</t>
  </si>
  <si>
    <t>=IF(AND($M1766&gt;=$S$16,$M1766&lt;=$S$18),U1766,0)</t>
  </si>
  <si>
    <t>=IF($M1766&lt;=$T$18,U1766,0)</t>
  </si>
  <si>
    <t>="""NAV Direct"",""CRONUS JetCorp USA"",""21"",""1"",""432429"""</t>
  </si>
  <si>
    <t>=E1765</t>
  </si>
  <si>
    <t>=StartDate-$M1767+1</t>
  </si>
  <si>
    <t>=SUM(P1767:T1767)</t>
  </si>
  <si>
    <t>=IF($M1767&gt;=$P$18,U1767,0)</t>
  </si>
  <si>
    <t>=IF(AND($M1767&gt;=$Q$16,$M1767&lt;=$Q$18),U1767,0)</t>
  </si>
  <si>
    <t>=IF(AND($M1767&gt;=$R$16,$M1767&lt;=$R$18),U1767,0)</t>
  </si>
  <si>
    <t>=IF(AND($M1767&gt;=$S$16,$M1767&lt;=$S$18),U1767,0)</t>
  </si>
  <si>
    <t>=IF($M1767&lt;=$T$18,U1767,0)</t>
  </si>
  <si>
    <t>="""NAV Direct"",""CRONUS JetCorp USA"",""21"",""1"",""432486"""</t>
  </si>
  <si>
    <t>=E1766</t>
  </si>
  <si>
    <t>=StartDate-$M1768+1</t>
  </si>
  <si>
    <t>=SUM(P1768:T1768)</t>
  </si>
  <si>
    <t>=IF($M1768&gt;=$P$18,U1768,0)</t>
  </si>
  <si>
    <t>=IF(AND($M1768&gt;=$Q$16,$M1768&lt;=$Q$18),U1768,0)</t>
  </si>
  <si>
    <t>=IF(AND($M1768&gt;=$R$16,$M1768&lt;=$R$18),U1768,0)</t>
  </si>
  <si>
    <t>=IF(AND($M1768&gt;=$S$16,$M1768&lt;=$S$18),U1768,0)</t>
  </si>
  <si>
    <t>=IF($M1768&lt;=$T$18,U1768,0)</t>
  </si>
  <si>
    <t>="""NAV Direct"",""CRONUS JetCorp USA"",""21"",""1"",""432603"""</t>
  </si>
  <si>
    <t>=E1767</t>
  </si>
  <si>
    <t>=StartDate-$M1769+1</t>
  </si>
  <si>
    <t>=SUM(P1769:T1769)</t>
  </si>
  <si>
    <t>=IF($M1769&gt;=$P$18,U1769,0)</t>
  </si>
  <si>
    <t>=IF(AND($M1769&gt;=$Q$16,$M1769&lt;=$Q$18),U1769,0)</t>
  </si>
  <si>
    <t>=IF(AND($M1769&gt;=$R$16,$M1769&lt;=$R$18),U1769,0)</t>
  </si>
  <si>
    <t>=IF(AND($M1769&gt;=$S$16,$M1769&lt;=$S$18),U1769,0)</t>
  </si>
  <si>
    <t>=IF($M1769&lt;=$T$18,U1769,0)</t>
  </si>
  <si>
    <t>="""NAV Direct"",""CRONUS JetCorp USA"",""18"",""1"",""C100062"""</t>
  </si>
  <si>
    <t>=H1772</t>
  </si>
  <si>
    <t>=NF($C1772,"1 No.")</t>
  </si>
  <si>
    <t>=NF($C1772,"1 No.")&amp;"  -  "&amp;NF($C1772,"2 Name")</t>
  </si>
  <si>
    <t>=IFERROR(O1772/NF(C1772,"Credit Limit (LCY)"),"")</t>
  </si>
  <si>
    <t>=SUBTOTAL(3,L1773:L1796)</t>
  </si>
  <si>
    <t>=SUBTOTAL(9,O1773:O1796)</t>
  </si>
  <si>
    <t>=SUBTOTAL(9,P1773:P1796)</t>
  </si>
  <si>
    <t>=SUBTOTAL(9,Q1773:Q1796)</t>
  </si>
  <si>
    <t>=SUBTOTAL(9,R1773:R1796)</t>
  </si>
  <si>
    <t>=SUBTOTAL(9,S1773:S1796)</t>
  </si>
  <si>
    <t>=SUBTOTAL(9,T1773:T1796)</t>
  </si>
  <si>
    <t>=C1772</t>
  </si>
  <si>
    <t>=E1772</t>
  </si>
  <si>
    <t>="Contact: "&amp;NF($C1773,"8 Contact")</t>
  </si>
  <si>
    <t>=C1773</t>
  </si>
  <si>
    <t>=E1773</t>
  </si>
  <si>
    <t>=NF($C1774,"102 E-Mail")</t>
  </si>
  <si>
    <t>=NL("Rows","21 Cust. Ledger Entry",,"3 Customer No.","@@"&amp;$E1776,"16 Remaining Amt. (LCY)","&lt;&gt;0")</t>
  </si>
  <si>
    <t>=E1774</t>
  </si>
  <si>
    <t>=StartDate-$M1776+1</t>
  </si>
  <si>
    <t>=SUM(P1776:T1776)</t>
  </si>
  <si>
    <t>=IF($M1776&gt;=$P$18,U1776,0)</t>
  </si>
  <si>
    <t>=IF(AND($M1776&gt;=$Q$16,$M1776&lt;=$Q$18),U1776,0)</t>
  </si>
  <si>
    <t>=IF(AND($M1776&gt;=$R$16,$M1776&lt;=$R$18),U1776,0)</t>
  </si>
  <si>
    <t>=IF(AND($M1776&gt;=$S$16,$M1776&lt;=$S$18),U1776,0)</t>
  </si>
  <si>
    <t>=IF($M1776&lt;=$T$18,U1776,0)</t>
  </si>
  <si>
    <t>="""NAV Direct"",""CRONUS JetCorp USA"",""21"",""1"",""38283"""</t>
  </si>
  <si>
    <t>=E1775</t>
  </si>
  <si>
    <t>=StartDate-$M1777+1</t>
  </si>
  <si>
    <t>=SUM(P1777:T1777)</t>
  </si>
  <si>
    <t>=IF($M1777&gt;=$P$18,U1777,0)</t>
  </si>
  <si>
    <t>=IF(AND($M1777&gt;=$Q$16,$M1777&lt;=$Q$18),U1777,0)</t>
  </si>
  <si>
    <t>=IF(AND($M1777&gt;=$R$16,$M1777&lt;=$R$18),U1777,0)</t>
  </si>
  <si>
    <t>=IF(AND($M1777&gt;=$S$16,$M1777&lt;=$S$18),U1777,0)</t>
  </si>
  <si>
    <t>=IF($M1777&lt;=$T$18,U1777,0)</t>
  </si>
  <si>
    <t>="""NAV Direct"",""CRONUS JetCorp USA"",""21"",""1"",""38455"""</t>
  </si>
  <si>
    <t>=E1776</t>
  </si>
  <si>
    <t>=StartDate-$M1778+1</t>
  </si>
  <si>
    <t>=SUM(P1778:T1778)</t>
  </si>
  <si>
    <t>=IF($M1778&gt;=$P$18,U1778,0)</t>
  </si>
  <si>
    <t>=IF(AND($M1778&gt;=$Q$16,$M1778&lt;=$Q$18),U1778,0)</t>
  </si>
  <si>
    <t>=IF(AND($M1778&gt;=$R$16,$M1778&lt;=$R$18),U1778,0)</t>
  </si>
  <si>
    <t>=IF(AND($M1778&gt;=$S$16,$M1778&lt;=$S$18),U1778,0)</t>
  </si>
  <si>
    <t>=IF($M1778&lt;=$T$18,U1778,0)</t>
  </si>
  <si>
    <t>="""NAV Direct"",""CRONUS JetCorp USA"",""21"",""1"",""38480"""</t>
  </si>
  <si>
    <t>=E1777</t>
  </si>
  <si>
    <t>=StartDate-$M1779+1</t>
  </si>
  <si>
    <t>=SUM(P1779:T1779)</t>
  </si>
  <si>
    <t>=IF($M1779&gt;=$P$18,U1779,0)</t>
  </si>
  <si>
    <t>=IF(AND($M1779&gt;=$Q$16,$M1779&lt;=$Q$18),U1779,0)</t>
  </si>
  <si>
    <t>=IF(AND($M1779&gt;=$R$16,$M1779&lt;=$R$18),U1779,0)</t>
  </si>
  <si>
    <t>=IF(AND($M1779&gt;=$S$16,$M1779&lt;=$S$18),U1779,0)</t>
  </si>
  <si>
    <t>=IF($M1779&lt;=$T$18,U1779,0)</t>
  </si>
  <si>
    <t>="""NAV Direct"",""CRONUS JetCorp USA"",""21"",""1"",""38635"""</t>
  </si>
  <si>
    <t>=E1778</t>
  </si>
  <si>
    <t>=StartDate-$M1780+1</t>
  </si>
  <si>
    <t>=SUM(P1780:T1780)</t>
  </si>
  <si>
    <t>=IF($M1780&gt;=$P$18,U1780,0)</t>
  </si>
  <si>
    <t>=IF(AND($M1780&gt;=$Q$16,$M1780&lt;=$Q$18),U1780,0)</t>
  </si>
  <si>
    <t>=IF(AND($M1780&gt;=$R$16,$M1780&lt;=$R$18),U1780,0)</t>
  </si>
  <si>
    <t>=IF(AND($M1780&gt;=$S$16,$M1780&lt;=$S$18),U1780,0)</t>
  </si>
  <si>
    <t>=IF($M1780&lt;=$T$18,U1780,0)</t>
  </si>
  <si>
    <t>="""NAV Direct"",""CRONUS JetCorp USA"",""21"",""1"",""38863"""</t>
  </si>
  <si>
    <t>=E1779</t>
  </si>
  <si>
    <t>=StartDate-$M1781+1</t>
  </si>
  <si>
    <t>=SUM(P1781:T1781)</t>
  </si>
  <si>
    <t>=IF($M1781&gt;=$P$18,U1781,0)</t>
  </si>
  <si>
    <t>=IF(AND($M1781&gt;=$Q$16,$M1781&lt;=$Q$18),U1781,0)</t>
  </si>
  <si>
    <t>=IF(AND($M1781&gt;=$R$16,$M1781&lt;=$R$18),U1781,0)</t>
  </si>
  <si>
    <t>=IF(AND($M1781&gt;=$S$16,$M1781&lt;=$S$18),U1781,0)</t>
  </si>
  <si>
    <t>=IF($M1781&lt;=$T$18,U1781,0)</t>
  </si>
  <si>
    <t>="""NAV Direct"",""CRONUS JetCorp USA"",""21"",""1"",""330168"""</t>
  </si>
  <si>
    <t>=E1780</t>
  </si>
  <si>
    <t>=StartDate-$M1782+1</t>
  </si>
  <si>
    <t>=SUM(P1782:T1782)</t>
  </si>
  <si>
    <t>=IF($M1782&gt;=$P$18,U1782,0)</t>
  </si>
  <si>
    <t>=IF(AND($M1782&gt;=$Q$16,$M1782&lt;=$Q$18),U1782,0)</t>
  </si>
  <si>
    <t>=IF(AND($M1782&gt;=$R$16,$M1782&lt;=$R$18),U1782,0)</t>
  </si>
  <si>
    <t>=IF(AND($M1782&gt;=$S$16,$M1782&lt;=$S$18),U1782,0)</t>
  </si>
  <si>
    <t>=IF($M1782&lt;=$T$18,U1782,0)</t>
  </si>
  <si>
    <t>="""NAV Direct"",""CRONUS JetCorp USA"",""21"",""1"",""330329"""</t>
  </si>
  <si>
    <t>=E1781</t>
  </si>
  <si>
    <t>=StartDate-$M1783+1</t>
  </si>
  <si>
    <t>=SUM(P1783:T1783)</t>
  </si>
  <si>
    <t>=IF($M1783&gt;=$P$18,U1783,0)</t>
  </si>
  <si>
    <t>=IF(AND($M1783&gt;=$Q$16,$M1783&lt;=$Q$18),U1783,0)</t>
  </si>
  <si>
    <t>=IF(AND($M1783&gt;=$R$16,$M1783&lt;=$R$18),U1783,0)</t>
  </si>
  <si>
    <t>=IF(AND($M1783&gt;=$S$16,$M1783&lt;=$S$18),U1783,0)</t>
  </si>
  <si>
    <t>=IF($M1783&lt;=$T$18,U1783,0)</t>
  </si>
  <si>
    <t>="""NAV Direct"",""CRONUS JetCorp USA"",""21"",""1"",""330385"""</t>
  </si>
  <si>
    <t>=E1782</t>
  </si>
  <si>
    <t>=StartDate-$M1784+1</t>
  </si>
  <si>
    <t>=SUM(P1784:T1784)</t>
  </si>
  <si>
    <t>=IF($M1784&gt;=$P$18,U1784,0)</t>
  </si>
  <si>
    <t>=IF(AND($M1784&gt;=$Q$16,$M1784&lt;=$Q$18),U1784,0)</t>
  </si>
  <si>
    <t>=IF(AND($M1784&gt;=$R$16,$M1784&lt;=$R$18),U1784,0)</t>
  </si>
  <si>
    <t>=IF(AND($M1784&gt;=$S$16,$M1784&lt;=$S$18),U1784,0)</t>
  </si>
  <si>
    <t>=IF($M1784&lt;=$T$18,U1784,0)</t>
  </si>
  <si>
    <t>="""NAV Direct"",""CRONUS JetCorp USA"",""21"",""1"",""330443"""</t>
  </si>
  <si>
    <t>=E1783</t>
  </si>
  <si>
    <t>=StartDate-$M1785+1</t>
  </si>
  <si>
    <t>=SUM(P1785:T1785)</t>
  </si>
  <si>
    <t>=IF($M1785&gt;=$P$18,U1785,0)</t>
  </si>
  <si>
    <t>=IF(AND($M1785&gt;=$Q$16,$M1785&lt;=$Q$18),U1785,0)</t>
  </si>
  <si>
    <t>=IF(AND($M1785&gt;=$R$16,$M1785&lt;=$R$18),U1785,0)</t>
  </si>
  <si>
    <t>=IF(AND($M1785&gt;=$S$16,$M1785&lt;=$S$18),U1785,0)</t>
  </si>
  <si>
    <t>=IF($M1785&lt;=$T$18,U1785,0)</t>
  </si>
  <si>
    <t>="""NAV Direct"",""CRONUS JetCorp USA"",""21"",""1"",""330708"""</t>
  </si>
  <si>
    <t>=E1784</t>
  </si>
  <si>
    <t>=StartDate-$M1786+1</t>
  </si>
  <si>
    <t>=SUM(P1786:T1786)</t>
  </si>
  <si>
    <t>=IF($M1786&gt;=$P$18,U1786,0)</t>
  </si>
  <si>
    <t>=IF(AND($M1786&gt;=$Q$16,$M1786&lt;=$Q$18),U1786,0)</t>
  </si>
  <si>
    <t>=IF(AND($M1786&gt;=$R$16,$M1786&lt;=$R$18),U1786,0)</t>
  </si>
  <si>
    <t>=IF(AND($M1786&gt;=$S$16,$M1786&lt;=$S$18),U1786,0)</t>
  </si>
  <si>
    <t>=IF($M1786&lt;=$T$18,U1786,0)</t>
  </si>
  <si>
    <t>="""NAV Direct"",""CRONUS JetCorp USA"",""21"",""1"",""330862"""</t>
  </si>
  <si>
    <t>=E1785</t>
  </si>
  <si>
    <t>=StartDate-$M1787+1</t>
  </si>
  <si>
    <t>=SUM(P1787:T1787)</t>
  </si>
  <si>
    <t>=IF($M1787&gt;=$P$18,U1787,0)</t>
  </si>
  <si>
    <t>=IF(AND($M1787&gt;=$Q$16,$M1787&lt;=$Q$18),U1787,0)</t>
  </si>
  <si>
    <t>=IF(AND($M1787&gt;=$R$16,$M1787&lt;=$R$18),U1787,0)</t>
  </si>
  <si>
    <t>=IF(AND($M1787&gt;=$S$16,$M1787&lt;=$S$18),U1787,0)</t>
  </si>
  <si>
    <t>=IF($M1787&lt;=$T$18,U1787,0)</t>
  </si>
  <si>
    <t>="""NAV Direct"",""CRONUS JetCorp USA"",""21"",""1"",""331006"""</t>
  </si>
  <si>
    <t>=E1786</t>
  </si>
  <si>
    <t>=StartDate-$M1788+1</t>
  </si>
  <si>
    <t>=SUM(P1788:T1788)</t>
  </si>
  <si>
    <t>=IF($M1788&gt;=$P$18,U1788,0)</t>
  </si>
  <si>
    <t>=IF(AND($M1788&gt;=$Q$16,$M1788&lt;=$Q$18),U1788,0)</t>
  </si>
  <si>
    <t>=IF(AND($M1788&gt;=$R$16,$M1788&lt;=$R$18),U1788,0)</t>
  </si>
  <si>
    <t>=IF(AND($M1788&gt;=$S$16,$M1788&lt;=$S$18),U1788,0)</t>
  </si>
  <si>
    <t>=IF($M1788&lt;=$T$18,U1788,0)</t>
  </si>
  <si>
    <t>="""NAV Direct"",""CRONUS JetCorp USA"",""21"",""1"",""331113"""</t>
  </si>
  <si>
    <t>=E1787</t>
  </si>
  <si>
    <t>=StartDate-$M1789+1</t>
  </si>
  <si>
    <t>=SUM(P1789:T1789)</t>
  </si>
  <si>
    <t>=IF($M1789&gt;=$P$18,U1789,0)</t>
  </si>
  <si>
    <t>=IF(AND($M1789&gt;=$Q$16,$M1789&lt;=$Q$18),U1789,0)</t>
  </si>
  <si>
    <t>=IF(AND($M1789&gt;=$R$16,$M1789&lt;=$R$18),U1789,0)</t>
  </si>
  <si>
    <t>=IF(AND($M1789&gt;=$S$16,$M1789&lt;=$S$18),U1789,0)</t>
  </si>
  <si>
    <t>=IF($M1789&lt;=$T$18,U1789,0)</t>
  </si>
  <si>
    <t>="""NAV Direct"",""CRONUS JetCorp USA"",""21"",""1"",""331226"""</t>
  </si>
  <si>
    <t>=E1788</t>
  </si>
  <si>
    <t>=StartDate-$M1790+1</t>
  </si>
  <si>
    <t>=SUM(P1790:T1790)</t>
  </si>
  <si>
    <t>=IF($M1790&gt;=$P$18,U1790,0)</t>
  </si>
  <si>
    <t>=IF(AND($M1790&gt;=$Q$16,$M1790&lt;=$Q$18),U1790,0)</t>
  </si>
  <si>
    <t>=IF(AND($M1790&gt;=$R$16,$M1790&lt;=$R$18),U1790,0)</t>
  </si>
  <si>
    <t>=IF(AND($M1790&gt;=$S$16,$M1790&lt;=$S$18),U1790,0)</t>
  </si>
  <si>
    <t>=IF($M1790&lt;=$T$18,U1790,0)</t>
  </si>
  <si>
    <t>="""NAV Direct"",""CRONUS JetCorp USA"",""21"",""1"",""331249"""</t>
  </si>
  <si>
    <t>=E1789</t>
  </si>
  <si>
    <t>=StartDate-$M1791+1</t>
  </si>
  <si>
    <t>=SUM(P1791:T1791)</t>
  </si>
  <si>
    <t>=IF($M1791&gt;=$P$18,U1791,0)</t>
  </si>
  <si>
    <t>=IF(AND($M1791&gt;=$Q$16,$M1791&lt;=$Q$18),U1791,0)</t>
  </si>
  <si>
    <t>=IF(AND($M1791&gt;=$R$16,$M1791&lt;=$R$18),U1791,0)</t>
  </si>
  <si>
    <t>=IF(AND($M1791&gt;=$S$16,$M1791&lt;=$S$18),U1791,0)</t>
  </si>
  <si>
    <t>=IF($M1791&lt;=$T$18,U1791,0)</t>
  </si>
  <si>
    <t>="""NAV Direct"",""CRONUS JetCorp USA"",""21"",""1"",""331990"""</t>
  </si>
  <si>
    <t>=E1790</t>
  </si>
  <si>
    <t>=StartDate-$M1792+1</t>
  </si>
  <si>
    <t>=SUM(P1792:T1792)</t>
  </si>
  <si>
    <t>=IF($M1792&gt;=$P$18,U1792,0)</t>
  </si>
  <si>
    <t>=IF(AND($M1792&gt;=$Q$16,$M1792&lt;=$Q$18),U1792,0)</t>
  </si>
  <si>
    <t>=IF(AND($M1792&gt;=$R$16,$M1792&lt;=$R$18),U1792,0)</t>
  </si>
  <si>
    <t>=IF(AND($M1792&gt;=$S$16,$M1792&lt;=$S$18),U1792,0)</t>
  </si>
  <si>
    <t>=IF($M1792&lt;=$T$18,U1792,0)</t>
  </si>
  <si>
    <t>="""NAV Direct"",""CRONUS JetCorp USA"",""21"",""1"",""432773"""</t>
  </si>
  <si>
    <t>=E1791</t>
  </si>
  <si>
    <t>=StartDate-$M1793+1</t>
  </si>
  <si>
    <t>=SUM(P1793:T1793)</t>
  </si>
  <si>
    <t>=IF($M1793&gt;=$P$18,U1793,0)</t>
  </si>
  <si>
    <t>=IF(AND($M1793&gt;=$Q$16,$M1793&lt;=$Q$18),U1793,0)</t>
  </si>
  <si>
    <t>=IF(AND($M1793&gt;=$R$16,$M1793&lt;=$R$18),U1793,0)</t>
  </si>
  <si>
    <t>=IF(AND($M1793&gt;=$S$16,$M1793&lt;=$S$18),U1793,0)</t>
  </si>
  <si>
    <t>=IF($M1793&lt;=$T$18,U1793,0)</t>
  </si>
  <si>
    <t>="""NAV Direct"",""CRONUS JetCorp USA"",""21"",""1"",""432790"""</t>
  </si>
  <si>
    <t>=E1792</t>
  </si>
  <si>
    <t>=StartDate-$M1794+1</t>
  </si>
  <si>
    <t>=SUM(P1794:T1794)</t>
  </si>
  <si>
    <t>=IF($M1794&gt;=$P$18,U1794,0)</t>
  </si>
  <si>
    <t>=IF(AND($M1794&gt;=$Q$16,$M1794&lt;=$Q$18),U1794,0)</t>
  </si>
  <si>
    <t>=IF(AND($M1794&gt;=$R$16,$M1794&lt;=$R$18),U1794,0)</t>
  </si>
  <si>
    <t>=IF(AND($M1794&gt;=$S$16,$M1794&lt;=$S$18),U1794,0)</t>
  </si>
  <si>
    <t>=IF($M1794&lt;=$T$18,U1794,0)</t>
  </si>
  <si>
    <t>="""NAV Direct"",""CRONUS JetCorp USA"",""21"",""1"",""433079"""</t>
  </si>
  <si>
    <t>=E1793</t>
  </si>
  <si>
    <t>=StartDate-$M1795+1</t>
  </si>
  <si>
    <t>=SUM(P1795:T1795)</t>
  </si>
  <si>
    <t>=IF($M1795&gt;=$P$18,U1795,0)</t>
  </si>
  <si>
    <t>=IF(AND($M1795&gt;=$Q$16,$M1795&lt;=$Q$18),U1795,0)</t>
  </si>
  <si>
    <t>=IF(AND($M1795&gt;=$R$16,$M1795&lt;=$R$18),U1795,0)</t>
  </si>
  <si>
    <t>=IF(AND($M1795&gt;=$S$16,$M1795&lt;=$S$18),U1795,0)</t>
  </si>
  <si>
    <t>=IF($M1795&lt;=$T$18,U1795,0)</t>
  </si>
  <si>
    <t>="""NAV Direct"",""CRONUS JetCorp USA"",""18"",""1"",""C100063"""</t>
  </si>
  <si>
    <t>=H1798</t>
  </si>
  <si>
    <t>=NF($C1798,"1 No.")</t>
  </si>
  <si>
    <t>=NF($C1798,"1 No.")&amp;"  -  "&amp;NF($C1798,"2 Name")</t>
  </si>
  <si>
    <t>=IFERROR(O1798/NF(C1798,"Credit Limit (LCY)"),"")</t>
  </si>
  <si>
    <t>=SUBTOTAL(3,L1799:L1817)</t>
  </si>
  <si>
    <t>=SUBTOTAL(9,O1799:O1817)</t>
  </si>
  <si>
    <t>=SUBTOTAL(9,P1799:P1817)</t>
  </si>
  <si>
    <t>=SUBTOTAL(9,Q1799:Q1817)</t>
  </si>
  <si>
    <t>=SUBTOTAL(9,R1799:R1817)</t>
  </si>
  <si>
    <t>=SUBTOTAL(9,S1799:S1817)</t>
  </si>
  <si>
    <t>=SUBTOTAL(9,T1799:T1817)</t>
  </si>
  <si>
    <t>=C1798</t>
  </si>
  <si>
    <t>=E1798</t>
  </si>
  <si>
    <t>="Contact: "&amp;NF($C1799,"8 Contact")</t>
  </si>
  <si>
    <t>=C1799</t>
  </si>
  <si>
    <t>=E1799</t>
  </si>
  <si>
    <t>=NF($C1800,"102 E-Mail")</t>
  </si>
  <si>
    <t>=NL("Rows","21 Cust. Ledger Entry",,"3 Customer No.","@@"&amp;$E1802,"16 Remaining Amt. (LCY)","&lt;&gt;0")</t>
  </si>
  <si>
    <t>=E1800</t>
  </si>
  <si>
    <t>=StartDate-$M1802+1</t>
  </si>
  <si>
    <t>=SUM(P1802:T1802)</t>
  </si>
  <si>
    <t>=IF($M1802&gt;=$P$18,U1802,0)</t>
  </si>
  <si>
    <t>=IF(AND($M1802&gt;=$Q$16,$M1802&lt;=$Q$18),U1802,0)</t>
  </si>
  <si>
    <t>=IF(AND($M1802&gt;=$R$16,$M1802&lt;=$R$18),U1802,0)</t>
  </si>
  <si>
    <t>=IF(AND($M1802&gt;=$S$16,$M1802&lt;=$S$18),U1802,0)</t>
  </si>
  <si>
    <t>=IF($M1802&lt;=$T$18,U1802,0)</t>
  </si>
  <si>
    <t>="""NAV Direct"",""CRONUS JetCorp USA"",""21"",""1"",""378209"""</t>
  </si>
  <si>
    <t>=E1801</t>
  </si>
  <si>
    <t>=StartDate-$M1803+1</t>
  </si>
  <si>
    <t>=SUM(P1803:T1803)</t>
  </si>
  <si>
    <t>=IF($M1803&gt;=$P$18,U1803,0)</t>
  </si>
  <si>
    <t>=IF(AND($M1803&gt;=$Q$16,$M1803&lt;=$Q$18),U1803,0)</t>
  </si>
  <si>
    <t>=IF(AND($M1803&gt;=$R$16,$M1803&lt;=$R$18),U1803,0)</t>
  </si>
  <si>
    <t>=IF(AND($M1803&gt;=$S$16,$M1803&lt;=$S$18),U1803,0)</t>
  </si>
  <si>
    <t>=IF($M1803&lt;=$T$18,U1803,0)</t>
  </si>
  <si>
    <t>="""NAV Direct"",""CRONUS JetCorp USA"",""21"",""1"",""378696"""</t>
  </si>
  <si>
    <t>=E1802</t>
  </si>
  <si>
    <t>=StartDate-$M1804+1</t>
  </si>
  <si>
    <t>=SUM(P1804:T1804)</t>
  </si>
  <si>
    <t>=IF($M1804&gt;=$P$18,U1804,0)</t>
  </si>
  <si>
    <t>=IF(AND($M1804&gt;=$Q$16,$M1804&lt;=$Q$18),U1804,0)</t>
  </si>
  <si>
    <t>=IF(AND($M1804&gt;=$R$16,$M1804&lt;=$R$18),U1804,0)</t>
  </si>
  <si>
    <t>=IF(AND($M1804&gt;=$S$16,$M1804&lt;=$S$18),U1804,0)</t>
  </si>
  <si>
    <t>=IF($M1804&lt;=$T$18,U1804,0)</t>
  </si>
  <si>
    <t>="""NAV Direct"",""CRONUS JetCorp USA"",""21"",""1"",""378967"""</t>
  </si>
  <si>
    <t>=E1803</t>
  </si>
  <si>
    <t>=StartDate-$M1805+1</t>
  </si>
  <si>
    <t>=SUM(P1805:T1805)</t>
  </si>
  <si>
    <t>=IF($M1805&gt;=$P$18,U1805,0)</t>
  </si>
  <si>
    <t>=IF(AND($M1805&gt;=$Q$16,$M1805&lt;=$Q$18),U1805,0)</t>
  </si>
  <si>
    <t>=IF(AND($M1805&gt;=$R$16,$M1805&lt;=$R$18),U1805,0)</t>
  </si>
  <si>
    <t>=IF(AND($M1805&gt;=$S$16,$M1805&lt;=$S$18),U1805,0)</t>
  </si>
  <si>
    <t>=IF($M1805&lt;=$T$18,U1805,0)</t>
  </si>
  <si>
    <t>="""NAV Direct"",""CRONUS JetCorp USA"",""21"",""1"",""378998"""</t>
  </si>
  <si>
    <t>=E1804</t>
  </si>
  <si>
    <t>=StartDate-$M1806+1</t>
  </si>
  <si>
    <t>=SUM(P1806:T1806)</t>
  </si>
  <si>
    <t>=IF($M1806&gt;=$P$18,U1806,0)</t>
  </si>
  <si>
    <t>=IF(AND($M1806&gt;=$Q$16,$M1806&lt;=$Q$18),U1806,0)</t>
  </si>
  <si>
    <t>=IF(AND($M1806&gt;=$R$16,$M1806&lt;=$R$18),U1806,0)</t>
  </si>
  <si>
    <t>=IF(AND($M1806&gt;=$S$16,$M1806&lt;=$S$18),U1806,0)</t>
  </si>
  <si>
    <t>=IF($M1806&lt;=$T$18,U1806,0)</t>
  </si>
  <si>
    <t>="""NAV Direct"",""CRONUS JetCorp USA"",""21"",""1"",""379125"""</t>
  </si>
  <si>
    <t>=E1805</t>
  </si>
  <si>
    <t>=StartDate-$M1807+1</t>
  </si>
  <si>
    <t>=SUM(P1807:T1807)</t>
  </si>
  <si>
    <t>=IF($M1807&gt;=$P$18,U1807,0)</t>
  </si>
  <si>
    <t>=IF(AND($M1807&gt;=$Q$16,$M1807&lt;=$Q$18),U1807,0)</t>
  </si>
  <si>
    <t>=IF(AND($M1807&gt;=$R$16,$M1807&lt;=$R$18),U1807,0)</t>
  </si>
  <si>
    <t>=IF(AND($M1807&gt;=$S$16,$M1807&lt;=$S$18),U1807,0)</t>
  </si>
  <si>
    <t>=IF($M1807&lt;=$T$18,U1807,0)</t>
  </si>
  <si>
    <t>="""NAV Direct"",""CRONUS JetCorp USA"",""21"",""1"",""379696"""</t>
  </si>
  <si>
    <t>=E1806</t>
  </si>
  <si>
    <t>=StartDate-$M1808+1</t>
  </si>
  <si>
    <t>=SUM(P1808:T1808)</t>
  </si>
  <si>
    <t>=IF($M1808&gt;=$P$18,U1808,0)</t>
  </si>
  <si>
    <t>=IF(AND($M1808&gt;=$Q$16,$M1808&lt;=$Q$18),U1808,0)</t>
  </si>
  <si>
    <t>=IF(AND($M1808&gt;=$R$16,$M1808&lt;=$R$18),U1808,0)</t>
  </si>
  <si>
    <t>=IF(AND($M1808&gt;=$S$16,$M1808&lt;=$S$18),U1808,0)</t>
  </si>
  <si>
    <t>=IF($M1808&lt;=$T$18,U1808,0)</t>
  </si>
  <si>
    <t>="""NAV Direct"",""CRONUS JetCorp USA"",""21"",""1"",""379838"""</t>
  </si>
  <si>
    <t>=E1807</t>
  </si>
  <si>
    <t>=StartDate-$M1809+1</t>
  </si>
  <si>
    <t>=SUM(P1809:T1809)</t>
  </si>
  <si>
    <t>=IF($M1809&gt;=$P$18,U1809,0)</t>
  </si>
  <si>
    <t>=IF(AND($M1809&gt;=$Q$16,$M1809&lt;=$Q$18),U1809,0)</t>
  </si>
  <si>
    <t>=IF(AND($M1809&gt;=$R$16,$M1809&lt;=$R$18),U1809,0)</t>
  </si>
  <si>
    <t>=IF(AND($M1809&gt;=$S$16,$M1809&lt;=$S$18),U1809,0)</t>
  </si>
  <si>
    <t>=IF($M1809&lt;=$T$18,U1809,0)</t>
  </si>
  <si>
    <t>="""NAV Direct"",""CRONUS JetCorp USA"",""21"",""1"",""380117"""</t>
  </si>
  <si>
    <t>=E1808</t>
  </si>
  <si>
    <t>=StartDate-$M1810+1</t>
  </si>
  <si>
    <t>=SUM(P1810:T1810)</t>
  </si>
  <si>
    <t>=IF($M1810&gt;=$P$18,U1810,0)</t>
  </si>
  <si>
    <t>=IF(AND($M1810&gt;=$Q$16,$M1810&lt;=$Q$18),U1810,0)</t>
  </si>
  <si>
    <t>=IF(AND($M1810&gt;=$R$16,$M1810&lt;=$R$18),U1810,0)</t>
  </si>
  <si>
    <t>=IF(AND($M1810&gt;=$S$16,$M1810&lt;=$S$18),U1810,0)</t>
  </si>
  <si>
    <t>=IF($M1810&lt;=$T$18,U1810,0)</t>
  </si>
  <si>
    <t>="""NAV Direct"",""CRONUS JetCorp USA"",""21"",""1"",""437999"""</t>
  </si>
  <si>
    <t>=E1809</t>
  </si>
  <si>
    <t>=StartDate-$M1811+1</t>
  </si>
  <si>
    <t>=SUM(P1811:T1811)</t>
  </si>
  <si>
    <t>=IF($M1811&gt;=$P$18,U1811,0)</t>
  </si>
  <si>
    <t>=IF(AND($M1811&gt;=$Q$16,$M1811&lt;=$Q$18),U1811,0)</t>
  </si>
  <si>
    <t>=IF(AND($M1811&gt;=$R$16,$M1811&lt;=$R$18),U1811,0)</t>
  </si>
  <si>
    <t>=IF(AND($M1811&gt;=$S$16,$M1811&lt;=$S$18),U1811,0)</t>
  </si>
  <si>
    <t>=IF($M1811&lt;=$T$18,U1811,0)</t>
  </si>
  <si>
    <t>="""NAV Direct"",""CRONUS JetCorp USA"",""21"",""1"",""438102"""</t>
  </si>
  <si>
    <t>=E1810</t>
  </si>
  <si>
    <t>=StartDate-$M1812+1</t>
  </si>
  <si>
    <t>=SUM(P1812:T1812)</t>
  </si>
  <si>
    <t>=IF($M1812&gt;=$P$18,U1812,0)</t>
  </si>
  <si>
    <t>=IF(AND($M1812&gt;=$Q$16,$M1812&lt;=$Q$18),U1812,0)</t>
  </si>
  <si>
    <t>=IF(AND($M1812&gt;=$R$16,$M1812&lt;=$R$18),U1812,0)</t>
  </si>
  <si>
    <t>=IF(AND($M1812&gt;=$S$16,$M1812&lt;=$S$18),U1812,0)</t>
  </si>
  <si>
    <t>=IF($M1812&lt;=$T$18,U1812,0)</t>
  </si>
  <si>
    <t>="""NAV Direct"",""CRONUS JetCorp USA"",""21"",""1"",""438179"""</t>
  </si>
  <si>
    <t>=E1811</t>
  </si>
  <si>
    <t>=StartDate-$M1813+1</t>
  </si>
  <si>
    <t>=SUM(P1813:T1813)</t>
  </si>
  <si>
    <t>=IF($M1813&gt;=$P$18,U1813,0)</t>
  </si>
  <si>
    <t>=IF(AND($M1813&gt;=$Q$16,$M1813&lt;=$Q$18),U1813,0)</t>
  </si>
  <si>
    <t>=IF(AND($M1813&gt;=$R$16,$M1813&lt;=$R$18),U1813,0)</t>
  </si>
  <si>
    <t>=IF(AND($M1813&gt;=$S$16,$M1813&lt;=$S$18),U1813,0)</t>
  </si>
  <si>
    <t>=IF($M1813&lt;=$T$18,U1813,0)</t>
  </si>
  <si>
    <t>="""NAV Direct"",""CRONUS JetCorp USA"",""21"",""1"",""438196"""</t>
  </si>
  <si>
    <t>=E1812</t>
  </si>
  <si>
    <t>=StartDate-$M1814+1</t>
  </si>
  <si>
    <t>=SUM(P1814:T1814)</t>
  </si>
  <si>
    <t>=IF($M1814&gt;=$P$18,U1814,0)</t>
  </si>
  <si>
    <t>=IF(AND($M1814&gt;=$Q$16,$M1814&lt;=$Q$18),U1814,0)</t>
  </si>
  <si>
    <t>=IF(AND($M1814&gt;=$R$16,$M1814&lt;=$R$18),U1814,0)</t>
  </si>
  <si>
    <t>=IF(AND($M1814&gt;=$S$16,$M1814&lt;=$S$18),U1814,0)</t>
  </si>
  <si>
    <t>=IF($M1814&lt;=$T$18,U1814,0)</t>
  </si>
  <si>
    <t>="""NAV Direct"",""CRONUS JetCorp USA"",""21"",""1"",""438226"""</t>
  </si>
  <si>
    <t>=E1813</t>
  </si>
  <si>
    <t>=StartDate-$M1815+1</t>
  </si>
  <si>
    <t>=SUM(P1815:T1815)</t>
  </si>
  <si>
    <t>=IF($M1815&gt;=$P$18,U1815,0)</t>
  </si>
  <si>
    <t>=IF(AND($M1815&gt;=$Q$16,$M1815&lt;=$Q$18),U1815,0)</t>
  </si>
  <si>
    <t>=IF(AND($M1815&gt;=$R$16,$M1815&lt;=$R$18),U1815,0)</t>
  </si>
  <si>
    <t>=IF(AND($M1815&gt;=$S$16,$M1815&lt;=$S$18),U1815,0)</t>
  </si>
  <si>
    <t>=IF($M1815&lt;=$T$18,U1815,0)</t>
  </si>
  <si>
    <t>="""NAV Direct"",""CRONUS JetCorp USA"",""21"",""1"",""438239"""</t>
  </si>
  <si>
    <t>=E1814</t>
  </si>
  <si>
    <t>=StartDate-$M1816+1</t>
  </si>
  <si>
    <t>=SUM(P1816:T1816)</t>
  </si>
  <si>
    <t>=IF($M1816&gt;=$P$18,U1816,0)</t>
  </si>
  <si>
    <t>=IF(AND($M1816&gt;=$Q$16,$M1816&lt;=$Q$18),U1816,0)</t>
  </si>
  <si>
    <t>=IF(AND($M1816&gt;=$R$16,$M1816&lt;=$R$18),U1816,0)</t>
  </si>
  <si>
    <t>=IF(AND($M1816&gt;=$S$16,$M1816&lt;=$S$18),U1816,0)</t>
  </si>
  <si>
    <t>=IF($M1816&lt;=$T$18,U1816,0)</t>
  </si>
  <si>
    <t>="""NAV Direct"",""CRONUS JetCorp USA"",""18"",""1"",""C100064"""</t>
  </si>
  <si>
    <t>=H1819</t>
  </si>
  <si>
    <t>=NF($C1819,"1 No.")</t>
  </si>
  <si>
    <t>=NF($C1819,"1 No.")&amp;"  -  "&amp;NF($C1819,"2 Name")</t>
  </si>
  <si>
    <t>=IFERROR(O1819/NF(C1819,"Credit Limit (LCY)"),"")</t>
  </si>
  <si>
    <t>=SUBTOTAL(3,L1820:L1896)</t>
  </si>
  <si>
    <t>=SUBTOTAL(9,O1820:O1896)</t>
  </si>
  <si>
    <t>=SUBTOTAL(9,P1820:P1896)</t>
  </si>
  <si>
    <t>=SUBTOTAL(9,Q1820:Q1896)</t>
  </si>
  <si>
    <t>=SUBTOTAL(9,R1820:R1896)</t>
  </si>
  <si>
    <t>=SUBTOTAL(9,S1820:S1896)</t>
  </si>
  <si>
    <t>=SUBTOTAL(9,T1820:T1896)</t>
  </si>
  <si>
    <t>=C1819</t>
  </si>
  <si>
    <t>=E1819</t>
  </si>
  <si>
    <t>="Contact: "&amp;NF($C1820,"8 Contact")</t>
  </si>
  <si>
    <t>=C1820</t>
  </si>
  <si>
    <t>=E1820</t>
  </si>
  <si>
    <t>=NF($C1821,"102 E-Mail")</t>
  </si>
  <si>
    <t>=NL("Rows","21 Cust. Ledger Entry",,"3 Customer No.","@@"&amp;$E1823,"16 Remaining Amt. (LCY)","&lt;&gt;0")</t>
  </si>
  <si>
    <t>=E1821</t>
  </si>
  <si>
    <t>=StartDate-$M1823+1</t>
  </si>
  <si>
    <t>=SUM(P1823:T1823)</t>
  </si>
  <si>
    <t>=IF($M1823&gt;=$P$18,U1823,0)</t>
  </si>
  <si>
    <t>=IF(AND($M1823&gt;=$Q$16,$M1823&lt;=$Q$18),U1823,0)</t>
  </si>
  <si>
    <t>=IF(AND($M1823&gt;=$R$16,$M1823&lt;=$R$18),U1823,0)</t>
  </si>
  <si>
    <t>=IF(AND($M1823&gt;=$S$16,$M1823&lt;=$S$18),U1823,0)</t>
  </si>
  <si>
    <t>=IF($M1823&lt;=$T$18,U1823,0)</t>
  </si>
  <si>
    <t>="""NAV Direct"",""CRONUS JetCorp USA"",""21"",""1"",""35570"""</t>
  </si>
  <si>
    <t>=E1822</t>
  </si>
  <si>
    <t>=StartDate-$M1824+1</t>
  </si>
  <si>
    <t>=SUM(P1824:T1824)</t>
  </si>
  <si>
    <t>=IF($M1824&gt;=$P$18,U1824,0)</t>
  </si>
  <si>
    <t>=IF(AND($M1824&gt;=$Q$16,$M1824&lt;=$Q$18),U1824,0)</t>
  </si>
  <si>
    <t>=IF(AND($M1824&gt;=$R$16,$M1824&lt;=$R$18),U1824,0)</t>
  </si>
  <si>
    <t>=IF(AND($M1824&gt;=$S$16,$M1824&lt;=$S$18),U1824,0)</t>
  </si>
  <si>
    <t>=IF($M1824&lt;=$T$18,U1824,0)</t>
  </si>
  <si>
    <t>="""NAV Direct"",""CRONUS JetCorp USA"",""21"",""1"",""35593"""</t>
  </si>
  <si>
    <t>=E1823</t>
  </si>
  <si>
    <t>=StartDate-$M1825+1</t>
  </si>
  <si>
    <t>=SUM(P1825:T1825)</t>
  </si>
  <si>
    <t>=IF($M1825&gt;=$P$18,U1825,0)</t>
  </si>
  <si>
    <t>=IF(AND($M1825&gt;=$Q$16,$M1825&lt;=$Q$18),U1825,0)</t>
  </si>
  <si>
    <t>=IF(AND($M1825&gt;=$R$16,$M1825&lt;=$R$18),U1825,0)</t>
  </si>
  <si>
    <t>=IF(AND($M1825&gt;=$S$16,$M1825&lt;=$S$18),U1825,0)</t>
  </si>
  <si>
    <t>=IF($M1825&lt;=$T$18,U1825,0)</t>
  </si>
  <si>
    <t>="""NAV Direct"",""CRONUS JetCorp USA"",""21"",""1"",""35616"""</t>
  </si>
  <si>
    <t>=E1824</t>
  </si>
  <si>
    <t>=StartDate-$M1826+1</t>
  </si>
  <si>
    <t>=SUM(P1826:T1826)</t>
  </si>
  <si>
    <t>=IF($M1826&gt;=$P$18,U1826,0)</t>
  </si>
  <si>
    <t>=IF(AND($M1826&gt;=$Q$16,$M1826&lt;=$Q$18),U1826,0)</t>
  </si>
  <si>
    <t>=IF(AND($M1826&gt;=$R$16,$M1826&lt;=$R$18),U1826,0)</t>
  </si>
  <si>
    <t>=IF(AND($M1826&gt;=$S$16,$M1826&lt;=$S$18),U1826,0)</t>
  </si>
  <si>
    <t>=IF($M1826&lt;=$T$18,U1826,0)</t>
  </si>
  <si>
    <t>="""NAV Direct"",""CRONUS JetCorp USA"",""21"",""1"",""35674"""</t>
  </si>
  <si>
    <t>=E1825</t>
  </si>
  <si>
    <t>=StartDate-$M1827+1</t>
  </si>
  <si>
    <t>=SUM(P1827:T1827)</t>
  </si>
  <si>
    <t>=IF($M1827&gt;=$P$18,U1827,0)</t>
  </si>
  <si>
    <t>=IF(AND($M1827&gt;=$Q$16,$M1827&lt;=$Q$18),U1827,0)</t>
  </si>
  <si>
    <t>=IF(AND($M1827&gt;=$R$16,$M1827&lt;=$R$18),U1827,0)</t>
  </si>
  <si>
    <t>=IF(AND($M1827&gt;=$S$16,$M1827&lt;=$S$18),U1827,0)</t>
  </si>
  <si>
    <t>=IF($M1827&lt;=$T$18,U1827,0)</t>
  </si>
  <si>
    <t>="""NAV Direct"",""CRONUS JetCorp USA"",""21"",""1"",""325535"""</t>
  </si>
  <si>
    <t>=E1826</t>
  </si>
  <si>
    <t>=StartDate-$M1828+1</t>
  </si>
  <si>
    <t>=SUM(P1828:T1828)</t>
  </si>
  <si>
    <t>=IF($M1828&gt;=$P$18,U1828,0)</t>
  </si>
  <si>
    <t>=IF(AND($M1828&gt;=$Q$16,$M1828&lt;=$Q$18),U1828,0)</t>
  </si>
  <si>
    <t>=IF(AND($M1828&gt;=$R$16,$M1828&lt;=$R$18),U1828,0)</t>
  </si>
  <si>
    <t>=IF(AND($M1828&gt;=$S$16,$M1828&lt;=$S$18),U1828,0)</t>
  </si>
  <si>
    <t>=IF($M1828&lt;=$T$18,U1828,0)</t>
  </si>
  <si>
    <t>="""NAV Direct"",""CRONUS JetCorp USA"",""21"",""1"",""325558"""</t>
  </si>
  <si>
    <t>=E1827</t>
  </si>
  <si>
    <t>=StartDate-$M1829+1</t>
  </si>
  <si>
    <t>=SUM(P1829:T1829)</t>
  </si>
  <si>
    <t>=IF($M1829&gt;=$P$18,U1829,0)</t>
  </si>
  <si>
    <t>=IF(AND($M1829&gt;=$Q$16,$M1829&lt;=$Q$18),U1829,0)</t>
  </si>
  <si>
    <t>=IF(AND($M1829&gt;=$R$16,$M1829&lt;=$R$18),U1829,0)</t>
  </si>
  <si>
    <t>=IF(AND($M1829&gt;=$S$16,$M1829&lt;=$S$18),U1829,0)</t>
  </si>
  <si>
    <t>=IF($M1829&lt;=$T$18,U1829,0)</t>
  </si>
  <si>
    <t>="""NAV Direct"",""CRONUS JetCorp USA"",""21"",""1"",""325811"""</t>
  </si>
  <si>
    <t>=E1828</t>
  </si>
  <si>
    <t>=StartDate-$M1830+1</t>
  </si>
  <si>
    <t>=SUM(P1830:T1830)</t>
  </si>
  <si>
    <t>=IF($M1830&gt;=$P$18,U1830,0)</t>
  </si>
  <si>
    <t>=IF(AND($M1830&gt;=$Q$16,$M1830&lt;=$Q$18),U1830,0)</t>
  </si>
  <si>
    <t>=IF(AND($M1830&gt;=$R$16,$M1830&lt;=$R$18),U1830,0)</t>
  </si>
  <si>
    <t>=IF(AND($M1830&gt;=$S$16,$M1830&lt;=$S$18),U1830,0)</t>
  </si>
  <si>
    <t>=IF($M1830&lt;=$T$18,U1830,0)</t>
  </si>
  <si>
    <t>="""NAV Direct"",""CRONUS JetCorp USA"",""21"",""1"",""325884"""</t>
  </si>
  <si>
    <t>=E1829</t>
  </si>
  <si>
    <t>=StartDate-$M1831+1</t>
  </si>
  <si>
    <t>=SUM(P1831:T1831)</t>
  </si>
  <si>
    <t>=IF($M1831&gt;=$P$18,U1831,0)</t>
  </si>
  <si>
    <t>=IF(AND($M1831&gt;=$Q$16,$M1831&lt;=$Q$18),U1831,0)</t>
  </si>
  <si>
    <t>=IF(AND($M1831&gt;=$R$16,$M1831&lt;=$R$18),U1831,0)</t>
  </si>
  <si>
    <t>=IF(AND($M1831&gt;=$S$16,$M1831&lt;=$S$18),U1831,0)</t>
  </si>
  <si>
    <t>=IF($M1831&lt;=$T$18,U1831,0)</t>
  </si>
  <si>
    <t>="""NAV Direct"",""CRONUS JetCorp USA"",""21"",""1"",""325917"""</t>
  </si>
  <si>
    <t>=E1830</t>
  </si>
  <si>
    <t>=StartDate-$M1832+1</t>
  </si>
  <si>
    <t>=SUM(P1832:T1832)</t>
  </si>
  <si>
    <t>=IF($M1832&gt;=$P$18,U1832,0)</t>
  </si>
  <si>
    <t>=IF(AND($M1832&gt;=$Q$16,$M1832&lt;=$Q$18),U1832,0)</t>
  </si>
  <si>
    <t>=IF(AND($M1832&gt;=$R$16,$M1832&lt;=$R$18),U1832,0)</t>
  </si>
  <si>
    <t>=IF(AND($M1832&gt;=$S$16,$M1832&lt;=$S$18),U1832,0)</t>
  </si>
  <si>
    <t>=IF($M1832&lt;=$T$18,U1832,0)</t>
  </si>
  <si>
    <t>="""NAV Direct"",""CRONUS JetCorp USA"",""21"",""1"",""325971"""</t>
  </si>
  <si>
    <t>=E1831</t>
  </si>
  <si>
    <t>=StartDate-$M1833+1</t>
  </si>
  <si>
    <t>=SUM(P1833:T1833)</t>
  </si>
  <si>
    <t>=IF($M1833&gt;=$P$18,U1833,0)</t>
  </si>
  <si>
    <t>=IF(AND($M1833&gt;=$Q$16,$M1833&lt;=$Q$18),U1833,0)</t>
  </si>
  <si>
    <t>=IF(AND($M1833&gt;=$R$16,$M1833&lt;=$R$18),U1833,0)</t>
  </si>
  <si>
    <t>=IF(AND($M1833&gt;=$S$16,$M1833&lt;=$S$18),U1833,0)</t>
  </si>
  <si>
    <t>=IF($M1833&lt;=$T$18,U1833,0)</t>
  </si>
  <si>
    <t>="""NAV Direct"",""CRONUS JetCorp USA"",""21"",""1"",""326143"""</t>
  </si>
  <si>
    <t>=E1832</t>
  </si>
  <si>
    <t>=StartDate-$M1834+1</t>
  </si>
  <si>
    <t>=SUM(P1834:T1834)</t>
  </si>
  <si>
    <t>=IF($M1834&gt;=$P$18,U1834,0)</t>
  </si>
  <si>
    <t>=IF(AND($M1834&gt;=$Q$16,$M1834&lt;=$Q$18),U1834,0)</t>
  </si>
  <si>
    <t>=IF(AND($M1834&gt;=$R$16,$M1834&lt;=$R$18),U1834,0)</t>
  </si>
  <si>
    <t>=IF(AND($M1834&gt;=$S$16,$M1834&lt;=$S$18),U1834,0)</t>
  </si>
  <si>
    <t>=IF($M1834&lt;=$T$18,U1834,0)</t>
  </si>
  <si>
    <t>="""NAV Direct"",""CRONUS JetCorp USA"",""21"",""1"",""326180"""</t>
  </si>
  <si>
    <t>=E1833</t>
  </si>
  <si>
    <t>=StartDate-$M1835+1</t>
  </si>
  <si>
    <t>=SUM(P1835:T1835)</t>
  </si>
  <si>
    <t>=IF($M1835&gt;=$P$18,U1835,0)</t>
  </si>
  <si>
    <t>=IF(AND($M1835&gt;=$Q$16,$M1835&lt;=$Q$18),U1835,0)</t>
  </si>
  <si>
    <t>=IF(AND($M1835&gt;=$R$16,$M1835&lt;=$R$18),U1835,0)</t>
  </si>
  <si>
    <t>=IF(AND($M1835&gt;=$S$16,$M1835&lt;=$S$18),U1835,0)</t>
  </si>
  <si>
    <t>=IF($M1835&lt;=$T$18,U1835,0)</t>
  </si>
  <si>
    <t>="""NAV Direct"",""CRONUS JetCorp USA"",""21"",""1"",""326201"""</t>
  </si>
  <si>
    <t>=E1834</t>
  </si>
  <si>
    <t>=StartDate-$M1836+1</t>
  </si>
  <si>
    <t>=SUM(P1836:T1836)</t>
  </si>
  <si>
    <t>=IF($M1836&gt;=$P$18,U1836,0)</t>
  </si>
  <si>
    <t>=IF(AND($M1836&gt;=$Q$16,$M1836&lt;=$Q$18),U1836,0)</t>
  </si>
  <si>
    <t>=IF(AND($M1836&gt;=$R$16,$M1836&lt;=$R$18),U1836,0)</t>
  </si>
  <si>
    <t>=IF(AND($M1836&gt;=$S$16,$M1836&lt;=$S$18),U1836,0)</t>
  </si>
  <si>
    <t>=IF($M1836&lt;=$T$18,U1836,0)</t>
  </si>
  <si>
    <t>="""NAV Direct"",""CRONUS JetCorp USA"",""21"",""1"",""326398"""</t>
  </si>
  <si>
    <t>=E1835</t>
  </si>
  <si>
    <t>=StartDate-$M1837+1</t>
  </si>
  <si>
    <t>=SUM(P1837:T1837)</t>
  </si>
  <si>
    <t>=IF($M1837&gt;=$P$18,U1837,0)</t>
  </si>
  <si>
    <t>=IF(AND($M1837&gt;=$Q$16,$M1837&lt;=$Q$18),U1837,0)</t>
  </si>
  <si>
    <t>=IF(AND($M1837&gt;=$R$16,$M1837&lt;=$R$18),U1837,0)</t>
  </si>
  <si>
    <t>=IF(AND($M1837&gt;=$S$16,$M1837&lt;=$S$18),U1837,0)</t>
  </si>
  <si>
    <t>=IF($M1837&lt;=$T$18,U1837,0)</t>
  </si>
  <si>
    <t>="""NAV Direct"",""CRONUS JetCorp USA"",""21"",""1"",""326427"""</t>
  </si>
  <si>
    <t>=E1836</t>
  </si>
  <si>
    <t>=StartDate-$M1838+1</t>
  </si>
  <si>
    <t>=SUM(P1838:T1838)</t>
  </si>
  <si>
    <t>=IF($M1838&gt;=$P$18,U1838,0)</t>
  </si>
  <si>
    <t>=IF(AND($M1838&gt;=$Q$16,$M1838&lt;=$Q$18),U1838,0)</t>
  </si>
  <si>
    <t>=IF(AND($M1838&gt;=$R$16,$M1838&lt;=$R$18),U1838,0)</t>
  </si>
  <si>
    <t>=IF(AND($M1838&gt;=$S$16,$M1838&lt;=$S$18),U1838,0)</t>
  </si>
  <si>
    <t>=IF($M1838&lt;=$T$18,U1838,0)</t>
  </si>
  <si>
    <t>="""NAV Direct"",""CRONUS JetCorp USA"",""21"",""1"",""326481"""</t>
  </si>
  <si>
    <t>=E1837</t>
  </si>
  <si>
    <t>=StartDate-$M1839+1</t>
  </si>
  <si>
    <t>=SUM(P1839:T1839)</t>
  </si>
  <si>
    <t>=IF($M1839&gt;=$P$18,U1839,0)</t>
  </si>
  <si>
    <t>=IF(AND($M1839&gt;=$Q$16,$M1839&lt;=$Q$18),U1839,0)</t>
  </si>
  <si>
    <t>=IF(AND($M1839&gt;=$R$16,$M1839&lt;=$R$18),U1839,0)</t>
  </si>
  <si>
    <t>=IF(AND($M1839&gt;=$S$16,$M1839&lt;=$S$18),U1839,0)</t>
  </si>
  <si>
    <t>=IF($M1839&lt;=$T$18,U1839,0)</t>
  </si>
  <si>
    <t>="""NAV Direct"",""CRONUS JetCorp USA"",""21"",""1"",""326634"""</t>
  </si>
  <si>
    <t>=E1838</t>
  </si>
  <si>
    <t>=StartDate-$M1840+1</t>
  </si>
  <si>
    <t>=SUM(P1840:T1840)</t>
  </si>
  <si>
    <t>=IF($M1840&gt;=$P$18,U1840,0)</t>
  </si>
  <si>
    <t>=IF(AND($M1840&gt;=$Q$16,$M1840&lt;=$Q$18),U1840,0)</t>
  </si>
  <si>
    <t>=IF(AND($M1840&gt;=$R$16,$M1840&lt;=$R$18),U1840,0)</t>
  </si>
  <si>
    <t>=IF(AND($M1840&gt;=$S$16,$M1840&lt;=$S$18),U1840,0)</t>
  </si>
  <si>
    <t>=IF($M1840&lt;=$T$18,U1840,0)</t>
  </si>
  <si>
    <t>="""NAV Direct"",""CRONUS JetCorp USA"",""21"",""1"",""326700"""</t>
  </si>
  <si>
    <t>=E1839</t>
  </si>
  <si>
    <t>=StartDate-$M1841+1</t>
  </si>
  <si>
    <t>=SUM(P1841:T1841)</t>
  </si>
  <si>
    <t>=IF($M1841&gt;=$P$18,U1841,0)</t>
  </si>
  <si>
    <t>=IF(AND($M1841&gt;=$Q$16,$M1841&lt;=$Q$18),U1841,0)</t>
  </si>
  <si>
    <t>=IF(AND($M1841&gt;=$R$16,$M1841&lt;=$R$18),U1841,0)</t>
  </si>
  <si>
    <t>=IF(AND($M1841&gt;=$S$16,$M1841&lt;=$S$18),U1841,0)</t>
  </si>
  <si>
    <t>=IF($M1841&lt;=$T$18,U1841,0)</t>
  </si>
  <si>
    <t>="""NAV Direct"",""CRONUS JetCorp USA"",""21"",""1"",""326752"""</t>
  </si>
  <si>
    <t>=E1840</t>
  </si>
  <si>
    <t>=StartDate-$M1842+1</t>
  </si>
  <si>
    <t>=SUM(P1842:T1842)</t>
  </si>
  <si>
    <t>=IF($M1842&gt;=$P$18,U1842,0)</t>
  </si>
  <si>
    <t>=IF(AND($M1842&gt;=$Q$16,$M1842&lt;=$Q$18),U1842,0)</t>
  </si>
  <si>
    <t>=IF(AND($M1842&gt;=$R$16,$M1842&lt;=$R$18),U1842,0)</t>
  </si>
  <si>
    <t>=IF(AND($M1842&gt;=$S$16,$M1842&lt;=$S$18),U1842,0)</t>
  </si>
  <si>
    <t>=IF($M1842&lt;=$T$18,U1842,0)</t>
  </si>
  <si>
    <t>="""NAV Direct"",""CRONUS JetCorp USA"",""21"",""1"",""327055"""</t>
  </si>
  <si>
    <t>=E1841</t>
  </si>
  <si>
    <t>=StartDate-$M1843+1</t>
  </si>
  <si>
    <t>=SUM(P1843:T1843)</t>
  </si>
  <si>
    <t>=IF($M1843&gt;=$P$18,U1843,0)</t>
  </si>
  <si>
    <t>=IF(AND($M1843&gt;=$Q$16,$M1843&lt;=$Q$18),U1843,0)</t>
  </si>
  <si>
    <t>=IF(AND($M1843&gt;=$R$16,$M1843&lt;=$R$18),U1843,0)</t>
  </si>
  <si>
    <t>=IF(AND($M1843&gt;=$S$16,$M1843&lt;=$S$18),U1843,0)</t>
  </si>
  <si>
    <t>=IF($M1843&lt;=$T$18,U1843,0)</t>
  </si>
  <si>
    <t>="""NAV Direct"",""CRONUS JetCorp USA"",""21"",""1"",""327153"""</t>
  </si>
  <si>
    <t>=E1842</t>
  </si>
  <si>
    <t>=StartDate-$M1844+1</t>
  </si>
  <si>
    <t>=SUM(P1844:T1844)</t>
  </si>
  <si>
    <t>=IF($M1844&gt;=$P$18,U1844,0)</t>
  </si>
  <si>
    <t>=IF(AND($M1844&gt;=$Q$16,$M1844&lt;=$Q$18),U1844,0)</t>
  </si>
  <si>
    <t>=IF(AND($M1844&gt;=$R$16,$M1844&lt;=$R$18),U1844,0)</t>
  </si>
  <si>
    <t>=IF(AND($M1844&gt;=$S$16,$M1844&lt;=$S$18),U1844,0)</t>
  </si>
  <si>
    <t>=IF($M1844&lt;=$T$18,U1844,0)</t>
  </si>
  <si>
    <t>="""NAV Direct"",""CRONUS JetCorp USA"",""21"",""1"",""327234"""</t>
  </si>
  <si>
    <t>=E1843</t>
  </si>
  <si>
    <t>=StartDate-$M1845+1</t>
  </si>
  <si>
    <t>=SUM(P1845:T1845)</t>
  </si>
  <si>
    <t>=IF($M1845&gt;=$P$18,U1845,0)</t>
  </si>
  <si>
    <t>=IF(AND($M1845&gt;=$Q$16,$M1845&lt;=$Q$18),U1845,0)</t>
  </si>
  <si>
    <t>=IF(AND($M1845&gt;=$R$16,$M1845&lt;=$R$18),U1845,0)</t>
  </si>
  <si>
    <t>=IF(AND($M1845&gt;=$S$16,$M1845&lt;=$S$18),U1845,0)</t>
  </si>
  <si>
    <t>=IF($M1845&lt;=$T$18,U1845,0)</t>
  </si>
  <si>
    <t>="""NAV Direct"",""CRONUS JetCorp USA"",""21"",""1"",""327259"""</t>
  </si>
  <si>
    <t>=E1844</t>
  </si>
  <si>
    <t>=StartDate-$M1846+1</t>
  </si>
  <si>
    <t>=SUM(P1846:T1846)</t>
  </si>
  <si>
    <t>=IF($M1846&gt;=$P$18,U1846,0)</t>
  </si>
  <si>
    <t>=IF(AND($M1846&gt;=$Q$16,$M1846&lt;=$Q$18),U1846,0)</t>
  </si>
  <si>
    <t>=IF(AND($M1846&gt;=$R$16,$M1846&lt;=$R$18),U1846,0)</t>
  </si>
  <si>
    <t>=IF(AND($M1846&gt;=$S$16,$M1846&lt;=$S$18),U1846,0)</t>
  </si>
  <si>
    <t>=IF($M1846&lt;=$T$18,U1846,0)</t>
  </si>
  <si>
    <t>="""NAV Direct"",""CRONUS JetCorp USA"",""21"",""1"",""327282"""</t>
  </si>
  <si>
    <t>=E1845</t>
  </si>
  <si>
    <t>=StartDate-$M1847+1</t>
  </si>
  <si>
    <t>=SUM(P1847:T1847)</t>
  </si>
  <si>
    <t>=IF($M1847&gt;=$P$18,U1847,0)</t>
  </si>
  <si>
    <t>=IF(AND($M1847&gt;=$Q$16,$M1847&lt;=$Q$18),U1847,0)</t>
  </si>
  <si>
    <t>=IF(AND($M1847&gt;=$R$16,$M1847&lt;=$R$18),U1847,0)</t>
  </si>
  <si>
    <t>=IF(AND($M1847&gt;=$S$16,$M1847&lt;=$S$18),U1847,0)</t>
  </si>
  <si>
    <t>=IF($M1847&lt;=$T$18,U1847,0)</t>
  </si>
  <si>
    <t>="""NAV Direct"",""CRONUS JetCorp USA"",""21"",""1"",""327407"""</t>
  </si>
  <si>
    <t>=E1846</t>
  </si>
  <si>
    <t>=StartDate-$M1848+1</t>
  </si>
  <si>
    <t>=SUM(P1848:T1848)</t>
  </si>
  <si>
    <t>=IF($M1848&gt;=$P$18,U1848,0)</t>
  </si>
  <si>
    <t>=IF(AND($M1848&gt;=$Q$16,$M1848&lt;=$Q$18),U1848,0)</t>
  </si>
  <si>
    <t>=IF(AND($M1848&gt;=$R$16,$M1848&lt;=$R$18),U1848,0)</t>
  </si>
  <si>
    <t>=IF(AND($M1848&gt;=$S$16,$M1848&lt;=$S$18),U1848,0)</t>
  </si>
  <si>
    <t>=IF($M1848&lt;=$T$18,U1848,0)</t>
  </si>
  <si>
    <t>="""NAV Direct"",""CRONUS JetCorp USA"",""21"",""1"",""327467"""</t>
  </si>
  <si>
    <t>=E1847</t>
  </si>
  <si>
    <t>=StartDate-$M1849+1</t>
  </si>
  <si>
    <t>=SUM(P1849:T1849)</t>
  </si>
  <si>
    <t>=IF($M1849&gt;=$P$18,U1849,0)</t>
  </si>
  <si>
    <t>=IF(AND($M1849&gt;=$Q$16,$M1849&lt;=$Q$18),U1849,0)</t>
  </si>
  <si>
    <t>=IF(AND($M1849&gt;=$R$16,$M1849&lt;=$R$18),U1849,0)</t>
  </si>
  <si>
    <t>=IF(AND($M1849&gt;=$S$16,$M1849&lt;=$S$18),U1849,0)</t>
  </si>
  <si>
    <t>=IF($M1849&lt;=$T$18,U1849,0)</t>
  </si>
  <si>
    <t>="""NAV Direct"",""CRONUS JetCorp USA"",""21"",""1"",""327521"""</t>
  </si>
  <si>
    <t>=E1848</t>
  </si>
  <si>
    <t>=StartDate-$M1850+1</t>
  </si>
  <si>
    <t>=SUM(P1850:T1850)</t>
  </si>
  <si>
    <t>=IF($M1850&gt;=$P$18,U1850,0)</t>
  </si>
  <si>
    <t>=IF(AND($M1850&gt;=$Q$16,$M1850&lt;=$Q$18),U1850,0)</t>
  </si>
  <si>
    <t>=IF(AND($M1850&gt;=$R$16,$M1850&lt;=$R$18),U1850,0)</t>
  </si>
  <si>
    <t>=IF(AND($M1850&gt;=$S$16,$M1850&lt;=$S$18),U1850,0)</t>
  </si>
  <si>
    <t>=IF($M1850&lt;=$T$18,U1850,0)</t>
  </si>
  <si>
    <t>="""NAV Direct"",""CRONUS JetCorp USA"",""21"",""1"",""327584"""</t>
  </si>
  <si>
    <t>=E1849</t>
  </si>
  <si>
    <t>=StartDate-$M1851+1</t>
  </si>
  <si>
    <t>=SUM(P1851:T1851)</t>
  </si>
  <si>
    <t>=IF($M1851&gt;=$P$18,U1851,0)</t>
  </si>
  <si>
    <t>=IF(AND($M1851&gt;=$Q$16,$M1851&lt;=$Q$18),U1851,0)</t>
  </si>
  <si>
    <t>=IF(AND($M1851&gt;=$R$16,$M1851&lt;=$R$18),U1851,0)</t>
  </si>
  <si>
    <t>=IF(AND($M1851&gt;=$S$16,$M1851&lt;=$S$18),U1851,0)</t>
  </si>
  <si>
    <t>=IF($M1851&lt;=$T$18,U1851,0)</t>
  </si>
  <si>
    <t>="""NAV Direct"",""CRONUS JetCorp USA"",""21"",""1"",""327730"""</t>
  </si>
  <si>
    <t>=E1850</t>
  </si>
  <si>
    <t>=StartDate-$M1852+1</t>
  </si>
  <si>
    <t>=SUM(P1852:T1852)</t>
  </si>
  <si>
    <t>=IF($M1852&gt;=$P$18,U1852,0)</t>
  </si>
  <si>
    <t>=IF(AND($M1852&gt;=$Q$16,$M1852&lt;=$Q$18),U1852,0)</t>
  </si>
  <si>
    <t>=IF(AND($M1852&gt;=$R$16,$M1852&lt;=$R$18),U1852,0)</t>
  </si>
  <si>
    <t>=IF(AND($M1852&gt;=$S$16,$M1852&lt;=$S$18),U1852,0)</t>
  </si>
  <si>
    <t>=IF($M1852&lt;=$T$18,U1852,0)</t>
  </si>
  <si>
    <t>="""NAV Direct"",""CRONUS JetCorp USA"",""21"",""1"",""327786"""</t>
  </si>
  <si>
    <t>=E1851</t>
  </si>
  <si>
    <t>=StartDate-$M1853+1</t>
  </si>
  <si>
    <t>=SUM(P1853:T1853)</t>
  </si>
  <si>
    <t>=IF($M1853&gt;=$P$18,U1853,0)</t>
  </si>
  <si>
    <t>=IF(AND($M1853&gt;=$Q$16,$M1853&lt;=$Q$18),U1853,0)</t>
  </si>
  <si>
    <t>=IF(AND($M1853&gt;=$R$16,$M1853&lt;=$R$18),U1853,0)</t>
  </si>
  <si>
    <t>=IF(AND($M1853&gt;=$S$16,$M1853&lt;=$S$18),U1853,0)</t>
  </si>
  <si>
    <t>=IF($M1853&lt;=$T$18,U1853,0)</t>
  </si>
  <si>
    <t>="""NAV Direct"",""CRONUS JetCorp USA"",""21"",""1"",""327815"""</t>
  </si>
  <si>
    <t>=E1852</t>
  </si>
  <si>
    <t>=StartDate-$M1854+1</t>
  </si>
  <si>
    <t>=SUM(P1854:T1854)</t>
  </si>
  <si>
    <t>=IF($M1854&gt;=$P$18,U1854,0)</t>
  </si>
  <si>
    <t>=IF(AND($M1854&gt;=$Q$16,$M1854&lt;=$Q$18),U1854,0)</t>
  </si>
  <si>
    <t>=IF(AND($M1854&gt;=$R$16,$M1854&lt;=$R$18),U1854,0)</t>
  </si>
  <si>
    <t>=IF(AND($M1854&gt;=$S$16,$M1854&lt;=$S$18),U1854,0)</t>
  </si>
  <si>
    <t>=IF($M1854&lt;=$T$18,U1854,0)</t>
  </si>
  <si>
    <t>="""NAV Direct"",""CRONUS JetCorp USA"",""21"",""1"",""327988"""</t>
  </si>
  <si>
    <t>=E1853</t>
  </si>
  <si>
    <t>=StartDate-$M1855+1</t>
  </si>
  <si>
    <t>=SUM(P1855:T1855)</t>
  </si>
  <si>
    <t>=IF($M1855&gt;=$P$18,U1855,0)</t>
  </si>
  <si>
    <t>=IF(AND($M1855&gt;=$Q$16,$M1855&lt;=$Q$18),U1855,0)</t>
  </si>
  <si>
    <t>=IF(AND($M1855&gt;=$R$16,$M1855&lt;=$R$18),U1855,0)</t>
  </si>
  <si>
    <t>=IF(AND($M1855&gt;=$S$16,$M1855&lt;=$S$18),U1855,0)</t>
  </si>
  <si>
    <t>=IF($M1855&lt;=$T$18,U1855,0)</t>
  </si>
  <si>
    <t>="""NAV Direct"",""CRONUS JetCorp USA"",""21"",""1"",""328067"""</t>
  </si>
  <si>
    <t>=E1854</t>
  </si>
  <si>
    <t>=StartDate-$M1856+1</t>
  </si>
  <si>
    <t>=SUM(P1856:T1856)</t>
  </si>
  <si>
    <t>=IF($M1856&gt;=$P$18,U1856,0)</t>
  </si>
  <si>
    <t>=IF(AND($M1856&gt;=$Q$16,$M1856&lt;=$Q$18),U1856,0)</t>
  </si>
  <si>
    <t>=IF(AND($M1856&gt;=$R$16,$M1856&lt;=$R$18),U1856,0)</t>
  </si>
  <si>
    <t>=IF(AND($M1856&gt;=$S$16,$M1856&lt;=$S$18),U1856,0)</t>
  </si>
  <si>
    <t>=IF($M1856&lt;=$T$18,U1856,0)</t>
  </si>
  <si>
    <t>="""NAV Direct"",""CRONUS JetCorp USA"",""21"",""1"",""328111"""</t>
  </si>
  <si>
    <t>=E1855</t>
  </si>
  <si>
    <t>=StartDate-$M1857+1</t>
  </si>
  <si>
    <t>=SUM(P1857:T1857)</t>
  </si>
  <si>
    <t>=IF($M1857&gt;=$P$18,U1857,0)</t>
  </si>
  <si>
    <t>=IF(AND($M1857&gt;=$Q$16,$M1857&lt;=$Q$18),U1857,0)</t>
  </si>
  <si>
    <t>=IF(AND($M1857&gt;=$R$16,$M1857&lt;=$R$18),U1857,0)</t>
  </si>
  <si>
    <t>=IF(AND($M1857&gt;=$S$16,$M1857&lt;=$S$18),U1857,0)</t>
  </si>
  <si>
    <t>=IF($M1857&lt;=$T$18,U1857,0)</t>
  </si>
  <si>
    <t>="""NAV Direct"",""CRONUS JetCorp USA"",""21"",""1"",""328361"""</t>
  </si>
  <si>
    <t>=E1856</t>
  </si>
  <si>
    <t>=StartDate-$M1858+1</t>
  </si>
  <si>
    <t>=SUM(P1858:T1858)</t>
  </si>
  <si>
    <t>=IF($M1858&gt;=$P$18,U1858,0)</t>
  </si>
  <si>
    <t>=IF(AND($M1858&gt;=$Q$16,$M1858&lt;=$Q$18),U1858,0)</t>
  </si>
  <si>
    <t>=IF(AND($M1858&gt;=$R$16,$M1858&lt;=$R$18),U1858,0)</t>
  </si>
  <si>
    <t>=IF(AND($M1858&gt;=$S$16,$M1858&lt;=$S$18),U1858,0)</t>
  </si>
  <si>
    <t>=IF($M1858&lt;=$T$18,U1858,0)</t>
  </si>
  <si>
    <t>="""NAV Direct"",""CRONUS JetCorp USA"",""21"",""1"",""328411"""</t>
  </si>
  <si>
    <t>=E1857</t>
  </si>
  <si>
    <t>=StartDate-$M1859+1</t>
  </si>
  <si>
    <t>=SUM(P1859:T1859)</t>
  </si>
  <si>
    <t>=IF($M1859&gt;=$P$18,U1859,0)</t>
  </si>
  <si>
    <t>=IF(AND($M1859&gt;=$Q$16,$M1859&lt;=$Q$18),U1859,0)</t>
  </si>
  <si>
    <t>=IF(AND($M1859&gt;=$R$16,$M1859&lt;=$R$18),U1859,0)</t>
  </si>
  <si>
    <t>=IF(AND($M1859&gt;=$S$16,$M1859&lt;=$S$18),U1859,0)</t>
  </si>
  <si>
    <t>=IF($M1859&lt;=$T$18,U1859,0)</t>
  </si>
  <si>
    <t>="""NAV Direct"",""CRONUS JetCorp USA"",""21"",""1"",""328434"""</t>
  </si>
  <si>
    <t>=E1858</t>
  </si>
  <si>
    <t>=StartDate-$M1860+1</t>
  </si>
  <si>
    <t>=SUM(P1860:T1860)</t>
  </si>
  <si>
    <t>=IF($M1860&gt;=$P$18,U1860,0)</t>
  </si>
  <si>
    <t>=IF(AND($M1860&gt;=$Q$16,$M1860&lt;=$Q$18),U1860,0)</t>
  </si>
  <si>
    <t>=IF(AND($M1860&gt;=$R$16,$M1860&lt;=$R$18),U1860,0)</t>
  </si>
  <si>
    <t>=IF(AND($M1860&gt;=$S$16,$M1860&lt;=$S$18),U1860,0)</t>
  </si>
  <si>
    <t>=IF($M1860&lt;=$T$18,U1860,0)</t>
  </si>
  <si>
    <t>="""NAV Direct"",""CRONUS JetCorp USA"",""21"",""1"",""328459"""</t>
  </si>
  <si>
    <t>=E1859</t>
  </si>
  <si>
    <t>=StartDate-$M1861+1</t>
  </si>
  <si>
    <t>=SUM(P1861:T1861)</t>
  </si>
  <si>
    <t>=IF($M1861&gt;=$P$18,U1861,0)</t>
  </si>
  <si>
    <t>=IF(AND($M1861&gt;=$Q$16,$M1861&lt;=$Q$18),U1861,0)</t>
  </si>
  <si>
    <t>=IF(AND($M1861&gt;=$R$16,$M1861&lt;=$R$18),U1861,0)</t>
  </si>
  <si>
    <t>=IF(AND($M1861&gt;=$S$16,$M1861&lt;=$S$18),U1861,0)</t>
  </si>
  <si>
    <t>=IF($M1861&lt;=$T$18,U1861,0)</t>
  </si>
  <si>
    <t>="""NAV Direct"",""CRONUS JetCorp USA"",""21"",""1"",""328482"""</t>
  </si>
  <si>
    <t>=E1860</t>
  </si>
  <si>
    <t>=StartDate-$M1862+1</t>
  </si>
  <si>
    <t>=SUM(P1862:T1862)</t>
  </si>
  <si>
    <t>=IF($M1862&gt;=$P$18,U1862,0)</t>
  </si>
  <si>
    <t>=IF(AND($M1862&gt;=$Q$16,$M1862&lt;=$Q$18),U1862,0)</t>
  </si>
  <si>
    <t>=IF(AND($M1862&gt;=$R$16,$M1862&lt;=$R$18),U1862,0)</t>
  </si>
  <si>
    <t>=IF(AND($M1862&gt;=$S$16,$M1862&lt;=$S$18),U1862,0)</t>
  </si>
  <si>
    <t>=IF($M1862&lt;=$T$18,U1862,0)</t>
  </si>
  <si>
    <t>="""NAV Direct"",""CRONUS JetCorp USA"",""21"",""1"",""328538"""</t>
  </si>
  <si>
    <t>=E1861</t>
  </si>
  <si>
    <t>=StartDate-$M1863+1</t>
  </si>
  <si>
    <t>=SUM(P1863:T1863)</t>
  </si>
  <si>
    <t>=IF($M1863&gt;=$P$18,U1863,0)</t>
  </si>
  <si>
    <t>=IF(AND($M1863&gt;=$Q$16,$M1863&lt;=$Q$18),U1863,0)</t>
  </si>
  <si>
    <t>=IF(AND($M1863&gt;=$R$16,$M1863&lt;=$R$18),U1863,0)</t>
  </si>
  <si>
    <t>=IF(AND($M1863&gt;=$S$16,$M1863&lt;=$S$18),U1863,0)</t>
  </si>
  <si>
    <t>=IF($M1863&lt;=$T$18,U1863,0)</t>
  </si>
  <si>
    <t>="""NAV Direct"",""CRONUS JetCorp USA"",""21"",""1"",""328561"""</t>
  </si>
  <si>
    <t>=E1862</t>
  </si>
  <si>
    <t>=StartDate-$M1864+1</t>
  </si>
  <si>
    <t>=SUM(P1864:T1864)</t>
  </si>
  <si>
    <t>=IF($M1864&gt;=$P$18,U1864,0)</t>
  </si>
  <si>
    <t>=IF(AND($M1864&gt;=$Q$16,$M1864&lt;=$Q$18),U1864,0)</t>
  </si>
  <si>
    <t>=IF(AND($M1864&gt;=$R$16,$M1864&lt;=$R$18),U1864,0)</t>
  </si>
  <si>
    <t>=IF(AND($M1864&gt;=$S$16,$M1864&lt;=$S$18),U1864,0)</t>
  </si>
  <si>
    <t>=IF($M1864&lt;=$T$18,U1864,0)</t>
  </si>
  <si>
    <t>="""NAV Direct"",""CRONUS JetCorp USA"",""21"",""1"",""328584"""</t>
  </si>
  <si>
    <t>=E1863</t>
  </si>
  <si>
    <t>=StartDate-$M1865+1</t>
  </si>
  <si>
    <t>=SUM(P1865:T1865)</t>
  </si>
  <si>
    <t>=IF($M1865&gt;=$P$18,U1865,0)</t>
  </si>
  <si>
    <t>=IF(AND($M1865&gt;=$Q$16,$M1865&lt;=$Q$18),U1865,0)</t>
  </si>
  <si>
    <t>=IF(AND($M1865&gt;=$R$16,$M1865&lt;=$R$18),U1865,0)</t>
  </si>
  <si>
    <t>=IF(AND($M1865&gt;=$S$16,$M1865&lt;=$S$18),U1865,0)</t>
  </si>
  <si>
    <t>=IF($M1865&lt;=$T$18,U1865,0)</t>
  </si>
  <si>
    <t>="""NAV Direct"",""CRONUS JetCorp USA"",""21"",""1"",""328640"""</t>
  </si>
  <si>
    <t>=E1864</t>
  </si>
  <si>
    <t>=StartDate-$M1866+1</t>
  </si>
  <si>
    <t>=SUM(P1866:T1866)</t>
  </si>
  <si>
    <t>=IF($M1866&gt;=$P$18,U1866,0)</t>
  </si>
  <si>
    <t>=IF(AND($M1866&gt;=$Q$16,$M1866&lt;=$Q$18),U1866,0)</t>
  </si>
  <si>
    <t>=IF(AND($M1866&gt;=$R$16,$M1866&lt;=$R$18),U1866,0)</t>
  </si>
  <si>
    <t>=IF(AND($M1866&gt;=$S$16,$M1866&lt;=$S$18),U1866,0)</t>
  </si>
  <si>
    <t>=IF($M1866&lt;=$T$18,U1866,0)</t>
  </si>
  <si>
    <t>="""NAV Direct"",""CRONUS JetCorp USA"",""21"",""1"",""328837"""</t>
  </si>
  <si>
    <t>=E1865</t>
  </si>
  <si>
    <t>=StartDate-$M1867+1</t>
  </si>
  <si>
    <t>=SUM(P1867:T1867)</t>
  </si>
  <si>
    <t>=IF($M1867&gt;=$P$18,U1867,0)</t>
  </si>
  <si>
    <t>=IF(AND($M1867&gt;=$Q$16,$M1867&lt;=$Q$18),U1867,0)</t>
  </si>
  <si>
    <t>=IF(AND($M1867&gt;=$R$16,$M1867&lt;=$R$18),U1867,0)</t>
  </si>
  <si>
    <t>=IF(AND($M1867&gt;=$S$16,$M1867&lt;=$S$18),U1867,0)</t>
  </si>
  <si>
    <t>=IF($M1867&lt;=$T$18,U1867,0)</t>
  </si>
  <si>
    <t>="""NAV Direct"",""CRONUS JetCorp USA"",""21"",""1"",""328860"""</t>
  </si>
  <si>
    <t>=E1866</t>
  </si>
  <si>
    <t>=StartDate-$M1868+1</t>
  </si>
  <si>
    <t>=SUM(P1868:T1868)</t>
  </si>
  <si>
    <t>=IF($M1868&gt;=$P$18,U1868,0)</t>
  </si>
  <si>
    <t>=IF(AND($M1868&gt;=$Q$16,$M1868&lt;=$Q$18),U1868,0)</t>
  </si>
  <si>
    <t>=IF(AND($M1868&gt;=$R$16,$M1868&lt;=$R$18),U1868,0)</t>
  </si>
  <si>
    <t>=IF(AND($M1868&gt;=$S$16,$M1868&lt;=$S$18),U1868,0)</t>
  </si>
  <si>
    <t>=IF($M1868&lt;=$T$18,U1868,0)</t>
  </si>
  <si>
    <t>="""NAV Direct"",""CRONUS JetCorp USA"",""21"",""1"",""328887"""</t>
  </si>
  <si>
    <t>=E1867</t>
  </si>
  <si>
    <t>=StartDate-$M1869+1</t>
  </si>
  <si>
    <t>=SUM(P1869:T1869)</t>
  </si>
  <si>
    <t>=IF($M1869&gt;=$P$18,U1869,0)</t>
  </si>
  <si>
    <t>=IF(AND($M1869&gt;=$Q$16,$M1869&lt;=$Q$18),U1869,0)</t>
  </si>
  <si>
    <t>=IF(AND($M1869&gt;=$R$16,$M1869&lt;=$R$18),U1869,0)</t>
  </si>
  <si>
    <t>=IF(AND($M1869&gt;=$S$16,$M1869&lt;=$S$18),U1869,0)</t>
  </si>
  <si>
    <t>=IF($M1869&lt;=$T$18,U1869,0)</t>
  </si>
  <si>
    <t>="""NAV Direct"",""CRONUS JetCorp USA"",""21"",""1"",""328968"""</t>
  </si>
  <si>
    <t>=E1868</t>
  </si>
  <si>
    <t>=StartDate-$M1870+1</t>
  </si>
  <si>
    <t>=SUM(P1870:T1870)</t>
  </si>
  <si>
    <t>=IF($M1870&gt;=$P$18,U1870,0)</t>
  </si>
  <si>
    <t>=IF(AND($M1870&gt;=$Q$16,$M1870&lt;=$Q$18),U1870,0)</t>
  </si>
  <si>
    <t>=IF(AND($M1870&gt;=$R$16,$M1870&lt;=$R$18),U1870,0)</t>
  </si>
  <si>
    <t>=IF(AND($M1870&gt;=$S$16,$M1870&lt;=$S$18),U1870,0)</t>
  </si>
  <si>
    <t>=IF($M1870&lt;=$T$18,U1870,0)</t>
  </si>
  <si>
    <t>="""NAV Direct"",""CRONUS JetCorp USA"",""21"",""1"",""329125"""</t>
  </si>
  <si>
    <t>=E1869</t>
  </si>
  <si>
    <t>=StartDate-$M1871+1</t>
  </si>
  <si>
    <t>=SUM(P1871:T1871)</t>
  </si>
  <si>
    <t>=IF($M1871&gt;=$P$18,U1871,0)</t>
  </si>
  <si>
    <t>=IF(AND($M1871&gt;=$Q$16,$M1871&lt;=$Q$18),U1871,0)</t>
  </si>
  <si>
    <t>=IF(AND($M1871&gt;=$R$16,$M1871&lt;=$R$18),U1871,0)</t>
  </si>
  <si>
    <t>=IF(AND($M1871&gt;=$S$16,$M1871&lt;=$S$18),U1871,0)</t>
  </si>
  <si>
    <t>=IF($M1871&lt;=$T$18,U1871,0)</t>
  </si>
  <si>
    <t>="""NAV Direct"",""CRONUS JetCorp USA"",""21"",""1"",""329173"""</t>
  </si>
  <si>
    <t>=E1870</t>
  </si>
  <si>
    <t>=StartDate-$M1872+1</t>
  </si>
  <si>
    <t>=SUM(P1872:T1872)</t>
  </si>
  <si>
    <t>=IF($M1872&gt;=$P$18,U1872,0)</t>
  </si>
  <si>
    <t>=IF(AND($M1872&gt;=$Q$16,$M1872&lt;=$Q$18),U1872,0)</t>
  </si>
  <si>
    <t>=IF(AND($M1872&gt;=$R$16,$M1872&lt;=$R$18),U1872,0)</t>
  </si>
  <si>
    <t>=IF(AND($M1872&gt;=$S$16,$M1872&lt;=$S$18),U1872,0)</t>
  </si>
  <si>
    <t>=IF($M1872&lt;=$T$18,U1872,0)</t>
  </si>
  <si>
    <t>="""NAV Direct"",""CRONUS JetCorp USA"",""21"",""1"",""329310"""</t>
  </si>
  <si>
    <t>=E1871</t>
  </si>
  <si>
    <t>=StartDate-$M1873+1</t>
  </si>
  <si>
    <t>=SUM(P1873:T1873)</t>
  </si>
  <si>
    <t>=IF($M1873&gt;=$P$18,U1873,0)</t>
  </si>
  <si>
    <t>=IF(AND($M1873&gt;=$Q$16,$M1873&lt;=$Q$18),U1873,0)</t>
  </si>
  <si>
    <t>=IF(AND($M1873&gt;=$R$16,$M1873&lt;=$R$18),U1873,0)</t>
  </si>
  <si>
    <t>=IF(AND($M1873&gt;=$S$16,$M1873&lt;=$S$18),U1873,0)</t>
  </si>
  <si>
    <t>=IF($M1873&lt;=$T$18,U1873,0)</t>
  </si>
  <si>
    <t>="""NAV Direct"",""CRONUS JetCorp USA"",""21"",""1"",""329490"""</t>
  </si>
  <si>
    <t>=E1872</t>
  </si>
  <si>
    <t>=StartDate-$M1874+1</t>
  </si>
  <si>
    <t>=SUM(P1874:T1874)</t>
  </si>
  <si>
    <t>=IF($M1874&gt;=$P$18,U1874,0)</t>
  </si>
  <si>
    <t>=IF(AND($M1874&gt;=$Q$16,$M1874&lt;=$Q$18),U1874,0)</t>
  </si>
  <si>
    <t>=IF(AND($M1874&gt;=$R$16,$M1874&lt;=$R$18),U1874,0)</t>
  </si>
  <si>
    <t>=IF(AND($M1874&gt;=$S$16,$M1874&lt;=$S$18),U1874,0)</t>
  </si>
  <si>
    <t>=IF($M1874&lt;=$T$18,U1874,0)</t>
  </si>
  <si>
    <t>="""NAV Direct"",""CRONUS JetCorp USA"",""21"",""1"",""329729"""</t>
  </si>
  <si>
    <t>=E1873</t>
  </si>
  <si>
    <t>=StartDate-$M1875+1</t>
  </si>
  <si>
    <t>=SUM(P1875:T1875)</t>
  </si>
  <si>
    <t>=IF($M1875&gt;=$P$18,U1875,0)</t>
  </si>
  <si>
    <t>=IF(AND($M1875&gt;=$Q$16,$M1875&lt;=$Q$18),U1875,0)</t>
  </si>
  <si>
    <t>=IF(AND($M1875&gt;=$R$16,$M1875&lt;=$R$18),U1875,0)</t>
  </si>
  <si>
    <t>=IF(AND($M1875&gt;=$S$16,$M1875&lt;=$S$18),U1875,0)</t>
  </si>
  <si>
    <t>=IF($M1875&lt;=$T$18,U1875,0)</t>
  </si>
  <si>
    <t>="""NAV Direct"",""CRONUS JetCorp USA"",""21"",""1"",""329754"""</t>
  </si>
  <si>
    <t>=E1874</t>
  </si>
  <si>
    <t>=StartDate-$M1876+1</t>
  </si>
  <si>
    <t>=SUM(P1876:T1876)</t>
  </si>
  <si>
    <t>=IF($M1876&gt;=$P$18,U1876,0)</t>
  </si>
  <si>
    <t>=IF(AND($M1876&gt;=$Q$16,$M1876&lt;=$Q$18),U1876,0)</t>
  </si>
  <si>
    <t>=IF(AND($M1876&gt;=$R$16,$M1876&lt;=$R$18),U1876,0)</t>
  </si>
  <si>
    <t>=IF(AND($M1876&gt;=$S$16,$M1876&lt;=$S$18),U1876,0)</t>
  </si>
  <si>
    <t>=IF($M1876&lt;=$T$18,U1876,0)</t>
  </si>
  <si>
    <t>="""NAV Direct"",""CRONUS JetCorp USA"",""21"",""1"",""329847"""</t>
  </si>
  <si>
    <t>=E1875</t>
  </si>
  <si>
    <t>=StartDate-$M1877+1</t>
  </si>
  <si>
    <t>=SUM(P1877:T1877)</t>
  </si>
  <si>
    <t>=IF($M1877&gt;=$P$18,U1877,0)</t>
  </si>
  <si>
    <t>=IF(AND($M1877&gt;=$Q$16,$M1877&lt;=$Q$18),U1877,0)</t>
  </si>
  <si>
    <t>=IF(AND($M1877&gt;=$R$16,$M1877&lt;=$R$18),U1877,0)</t>
  </si>
  <si>
    <t>=IF(AND($M1877&gt;=$S$16,$M1877&lt;=$S$18),U1877,0)</t>
  </si>
  <si>
    <t>=IF($M1877&lt;=$T$18,U1877,0)</t>
  </si>
  <si>
    <t>="""NAV Direct"",""CRONUS JetCorp USA"",""21"",""1"",""329866"""</t>
  </si>
  <si>
    <t>=E1876</t>
  </si>
  <si>
    <t>=StartDate-$M1878+1</t>
  </si>
  <si>
    <t>=SUM(P1878:T1878)</t>
  </si>
  <si>
    <t>=IF($M1878&gt;=$P$18,U1878,0)</t>
  </si>
  <si>
    <t>=IF(AND($M1878&gt;=$Q$16,$M1878&lt;=$Q$18),U1878,0)</t>
  </si>
  <si>
    <t>=IF(AND($M1878&gt;=$R$16,$M1878&lt;=$R$18),U1878,0)</t>
  </si>
  <si>
    <t>=IF(AND($M1878&gt;=$S$16,$M1878&lt;=$S$18),U1878,0)</t>
  </si>
  <si>
    <t>=IF($M1878&lt;=$T$18,U1878,0)</t>
  </si>
  <si>
    <t>="""NAV Direct"",""CRONUS JetCorp USA"",""21"",""1"",""431973"""</t>
  </si>
  <si>
    <t>=E1877</t>
  </si>
  <si>
    <t>=StartDate-$M1879+1</t>
  </si>
  <si>
    <t>=SUM(P1879:T1879)</t>
  </si>
  <si>
    <t>=IF($M1879&gt;=$P$18,U1879,0)</t>
  </si>
  <si>
    <t>=IF(AND($M1879&gt;=$Q$16,$M1879&lt;=$Q$18),U1879,0)</t>
  </si>
  <si>
    <t>=IF(AND($M1879&gt;=$R$16,$M1879&lt;=$R$18),U1879,0)</t>
  </si>
  <si>
    <t>=IF(AND($M1879&gt;=$S$16,$M1879&lt;=$S$18),U1879,0)</t>
  </si>
  <si>
    <t>=IF($M1879&lt;=$T$18,U1879,0)</t>
  </si>
  <si>
    <t>="""NAV Direct"",""CRONUS JetCorp USA"",""21"",""1"",""432007"""</t>
  </si>
  <si>
    <t>=E1878</t>
  </si>
  <si>
    <t>=StartDate-$M1880+1</t>
  </si>
  <si>
    <t>=SUM(P1880:T1880)</t>
  </si>
  <si>
    <t>=IF($M1880&gt;=$P$18,U1880,0)</t>
  </si>
  <si>
    <t>=IF(AND($M1880&gt;=$Q$16,$M1880&lt;=$Q$18),U1880,0)</t>
  </si>
  <si>
    <t>=IF(AND($M1880&gt;=$R$16,$M1880&lt;=$R$18),U1880,0)</t>
  </si>
  <si>
    <t>=IF(AND($M1880&gt;=$S$16,$M1880&lt;=$S$18),U1880,0)</t>
  </si>
  <si>
    <t>=IF($M1880&lt;=$T$18,U1880,0)</t>
  </si>
  <si>
    <t>="""NAV Direct"",""CRONUS JetCorp USA"",""21"",""1"",""432060"""</t>
  </si>
  <si>
    <t>=E1879</t>
  </si>
  <si>
    <t>=StartDate-$M1881+1</t>
  </si>
  <si>
    <t>=SUM(P1881:T1881)</t>
  </si>
  <si>
    <t>=IF($M1881&gt;=$P$18,U1881,0)</t>
  </si>
  <si>
    <t>=IF(AND($M1881&gt;=$Q$16,$M1881&lt;=$Q$18),U1881,0)</t>
  </si>
  <si>
    <t>=IF(AND($M1881&gt;=$R$16,$M1881&lt;=$R$18),U1881,0)</t>
  </si>
  <si>
    <t>=IF(AND($M1881&gt;=$S$16,$M1881&lt;=$S$18),U1881,0)</t>
  </si>
  <si>
    <t>=IF($M1881&lt;=$T$18,U1881,0)</t>
  </si>
  <si>
    <t>="""NAV Direct"",""CRONUS JetCorp USA"",""21"",""1"",""432084"""</t>
  </si>
  <si>
    <t>=E1880</t>
  </si>
  <si>
    <t>=StartDate-$M1882+1</t>
  </si>
  <si>
    <t>=SUM(P1882:T1882)</t>
  </si>
  <si>
    <t>=IF($M1882&gt;=$P$18,U1882,0)</t>
  </si>
  <si>
    <t>=IF(AND($M1882&gt;=$Q$16,$M1882&lt;=$Q$18),U1882,0)</t>
  </si>
  <si>
    <t>=IF(AND($M1882&gt;=$R$16,$M1882&lt;=$R$18),U1882,0)</t>
  </si>
  <si>
    <t>=IF(AND($M1882&gt;=$S$16,$M1882&lt;=$S$18),U1882,0)</t>
  </si>
  <si>
    <t>=IF($M1882&lt;=$T$18,U1882,0)</t>
  </si>
  <si>
    <t>="""NAV Direct"",""CRONUS JetCorp USA"",""21"",""1"",""432249"""</t>
  </si>
  <si>
    <t>=E1881</t>
  </si>
  <si>
    <t>=StartDate-$M1883+1</t>
  </si>
  <si>
    <t>=SUM(P1883:T1883)</t>
  </si>
  <si>
    <t>=IF($M1883&gt;=$P$18,U1883,0)</t>
  </si>
  <si>
    <t>=IF(AND($M1883&gt;=$Q$16,$M1883&lt;=$Q$18),U1883,0)</t>
  </si>
  <si>
    <t>=IF(AND($M1883&gt;=$R$16,$M1883&lt;=$R$18),U1883,0)</t>
  </si>
  <si>
    <t>=IF(AND($M1883&gt;=$S$16,$M1883&lt;=$S$18),U1883,0)</t>
  </si>
  <si>
    <t>=IF($M1883&lt;=$T$18,U1883,0)</t>
  </si>
  <si>
    <t>="""NAV Direct"",""CRONUS JetCorp USA"",""21"",""1"",""432281"""</t>
  </si>
  <si>
    <t>=E1882</t>
  </si>
  <si>
    <t>=StartDate-$M1884+1</t>
  </si>
  <si>
    <t>=SUM(P1884:T1884)</t>
  </si>
  <si>
    <t>=IF($M1884&gt;=$P$18,U1884,0)</t>
  </si>
  <si>
    <t>=IF(AND($M1884&gt;=$Q$16,$M1884&lt;=$Q$18),U1884,0)</t>
  </si>
  <si>
    <t>=IF(AND($M1884&gt;=$R$16,$M1884&lt;=$R$18),U1884,0)</t>
  </si>
  <si>
    <t>=IF(AND($M1884&gt;=$S$16,$M1884&lt;=$S$18),U1884,0)</t>
  </si>
  <si>
    <t>=IF($M1884&lt;=$T$18,U1884,0)</t>
  </si>
  <si>
    <t>="""NAV Direct"",""CRONUS JetCorp USA"",""21"",""1"",""432372"""</t>
  </si>
  <si>
    <t>=E1883</t>
  </si>
  <si>
    <t>=StartDate-$M1885+1</t>
  </si>
  <si>
    <t>=SUM(P1885:T1885)</t>
  </si>
  <si>
    <t>=IF($M1885&gt;=$P$18,U1885,0)</t>
  </si>
  <si>
    <t>=IF(AND($M1885&gt;=$Q$16,$M1885&lt;=$Q$18),U1885,0)</t>
  </si>
  <si>
    <t>=IF(AND($M1885&gt;=$R$16,$M1885&lt;=$R$18),U1885,0)</t>
  </si>
  <si>
    <t>=IF(AND($M1885&gt;=$S$16,$M1885&lt;=$S$18),U1885,0)</t>
  </si>
  <si>
    <t>=IF($M1885&lt;=$T$18,U1885,0)</t>
  </si>
  <si>
    <t>="""NAV Direct"",""CRONUS JetCorp USA"",""21"",""1"",""432404"""</t>
  </si>
  <si>
    <t>=E1884</t>
  </si>
  <si>
    <t>=StartDate-$M1886+1</t>
  </si>
  <si>
    <t>=SUM(P1886:T1886)</t>
  </si>
  <si>
    <t>=IF($M1886&gt;=$P$18,U1886,0)</t>
  </si>
  <si>
    <t>=IF(AND($M1886&gt;=$Q$16,$M1886&lt;=$Q$18),U1886,0)</t>
  </si>
  <si>
    <t>=IF(AND($M1886&gt;=$R$16,$M1886&lt;=$R$18),U1886,0)</t>
  </si>
  <si>
    <t>=IF(AND($M1886&gt;=$S$16,$M1886&lt;=$S$18),U1886,0)</t>
  </si>
  <si>
    <t>=IF($M1886&lt;=$T$18,U1886,0)</t>
  </si>
  <si>
    <t>="""NAV Direct"",""CRONUS JetCorp USA"",""21"",""1"",""432419"""</t>
  </si>
  <si>
    <t>=E1885</t>
  </si>
  <si>
    <t>=StartDate-$M1887+1</t>
  </si>
  <si>
    <t>=SUM(P1887:T1887)</t>
  </si>
  <si>
    <t>=IF($M1887&gt;=$P$18,U1887,0)</t>
  </si>
  <si>
    <t>=IF(AND($M1887&gt;=$Q$16,$M1887&lt;=$Q$18),U1887,0)</t>
  </si>
  <si>
    <t>=IF(AND($M1887&gt;=$R$16,$M1887&lt;=$R$18),U1887,0)</t>
  </si>
  <si>
    <t>=IF(AND($M1887&gt;=$S$16,$M1887&lt;=$S$18),U1887,0)</t>
  </si>
  <si>
    <t>=IF($M1887&lt;=$T$18,U1887,0)</t>
  </si>
  <si>
    <t>="""NAV Direct"",""CRONUS JetCorp USA"",""21"",""1"",""432450"""</t>
  </si>
  <si>
    <t>=E1886</t>
  </si>
  <si>
    <t>=StartDate-$M1888+1</t>
  </si>
  <si>
    <t>=SUM(P1888:T1888)</t>
  </si>
  <si>
    <t>=IF($M1888&gt;=$P$18,U1888,0)</t>
  </si>
  <si>
    <t>=IF(AND($M1888&gt;=$Q$16,$M1888&lt;=$Q$18),U1888,0)</t>
  </si>
  <si>
    <t>=IF(AND($M1888&gt;=$R$16,$M1888&lt;=$R$18),U1888,0)</t>
  </si>
  <si>
    <t>=IF(AND($M1888&gt;=$S$16,$M1888&lt;=$S$18),U1888,0)</t>
  </si>
  <si>
    <t>=IF($M1888&lt;=$T$18,U1888,0)</t>
  </si>
  <si>
    <t>="""NAV Direct"",""CRONUS JetCorp USA"",""21"",""1"",""432505"""</t>
  </si>
  <si>
    <t>=E1887</t>
  </si>
  <si>
    <t>=StartDate-$M1889+1</t>
  </si>
  <si>
    <t>=SUM(P1889:T1889)</t>
  </si>
  <si>
    <t>=IF($M1889&gt;=$P$18,U1889,0)</t>
  </si>
  <si>
    <t>=IF(AND($M1889&gt;=$Q$16,$M1889&lt;=$Q$18),U1889,0)</t>
  </si>
  <si>
    <t>=IF(AND($M1889&gt;=$R$16,$M1889&lt;=$R$18),U1889,0)</t>
  </si>
  <si>
    <t>=IF(AND($M1889&gt;=$S$16,$M1889&lt;=$S$18),U1889,0)</t>
  </si>
  <si>
    <t>=IF($M1889&lt;=$T$18,U1889,0)</t>
  </si>
  <si>
    <t>="""NAV Direct"",""CRONUS JetCorp USA"",""21"",""1"",""432556"""</t>
  </si>
  <si>
    <t>=E1888</t>
  </si>
  <si>
    <t>=StartDate-$M1890+1</t>
  </si>
  <si>
    <t>=SUM(P1890:T1890)</t>
  </si>
  <si>
    <t>=IF($M1890&gt;=$P$18,U1890,0)</t>
  </si>
  <si>
    <t>=IF(AND($M1890&gt;=$Q$16,$M1890&lt;=$Q$18),U1890,0)</t>
  </si>
  <si>
    <t>=IF(AND($M1890&gt;=$R$16,$M1890&lt;=$R$18),U1890,0)</t>
  </si>
  <si>
    <t>=IF(AND($M1890&gt;=$S$16,$M1890&lt;=$S$18),U1890,0)</t>
  </si>
  <si>
    <t>=IF($M1890&lt;=$T$18,U1890,0)</t>
  </si>
  <si>
    <t>="""NAV Direct"",""CRONUS JetCorp USA"",""21"",""1"",""432571"""</t>
  </si>
  <si>
    <t>=E1889</t>
  </si>
  <si>
    <t>=StartDate-$M1891+1</t>
  </si>
  <si>
    <t>=SUM(P1891:T1891)</t>
  </si>
  <si>
    <t>=IF($M1891&gt;=$P$18,U1891,0)</t>
  </si>
  <si>
    <t>=IF(AND($M1891&gt;=$Q$16,$M1891&lt;=$Q$18),U1891,0)</t>
  </si>
  <si>
    <t>=IF(AND($M1891&gt;=$R$16,$M1891&lt;=$R$18),U1891,0)</t>
  </si>
  <si>
    <t>=IF(AND($M1891&gt;=$S$16,$M1891&lt;=$S$18),U1891,0)</t>
  </si>
  <si>
    <t>=IF($M1891&lt;=$T$18,U1891,0)</t>
  </si>
  <si>
    <t>="""NAV Direct"",""CRONUS JetCorp USA"",""21"",""1"",""432626"""</t>
  </si>
  <si>
    <t>=E1890</t>
  </si>
  <si>
    <t>=StartDate-$M1892+1</t>
  </si>
  <si>
    <t>=SUM(P1892:T1892)</t>
  </si>
  <si>
    <t>=IF($M1892&gt;=$P$18,U1892,0)</t>
  </si>
  <si>
    <t>=IF(AND($M1892&gt;=$Q$16,$M1892&lt;=$Q$18),U1892,0)</t>
  </si>
  <si>
    <t>=IF(AND($M1892&gt;=$R$16,$M1892&lt;=$R$18),U1892,0)</t>
  </si>
  <si>
    <t>=IF(AND($M1892&gt;=$S$16,$M1892&lt;=$S$18),U1892,0)</t>
  </si>
  <si>
    <t>=IF($M1892&lt;=$T$18,U1892,0)</t>
  </si>
  <si>
    <t>="""NAV Direct"",""CRONUS JetCorp USA"",""21"",""1"",""432637"""</t>
  </si>
  <si>
    <t>=E1891</t>
  </si>
  <si>
    <t>=StartDate-$M1893+1</t>
  </si>
  <si>
    <t>=SUM(P1893:T1893)</t>
  </si>
  <si>
    <t>=IF($M1893&gt;=$P$18,U1893,0)</t>
  </si>
  <si>
    <t>=IF(AND($M1893&gt;=$Q$16,$M1893&lt;=$Q$18),U1893,0)</t>
  </si>
  <si>
    <t>=IF(AND($M1893&gt;=$R$16,$M1893&lt;=$R$18),U1893,0)</t>
  </si>
  <si>
    <t>=IF(AND($M1893&gt;=$S$16,$M1893&lt;=$S$18),U1893,0)</t>
  </si>
  <si>
    <t>=IF($M1893&lt;=$T$18,U1893,0)</t>
  </si>
  <si>
    <t>="""NAV Direct"",""CRONUS JetCorp USA"",""21"",""1"",""432689"""</t>
  </si>
  <si>
    <t>=E1892</t>
  </si>
  <si>
    <t>=StartDate-$M1894+1</t>
  </si>
  <si>
    <t>=SUM(P1894:T1894)</t>
  </si>
  <si>
    <t>=IF($M1894&gt;=$P$18,U1894,0)</t>
  </si>
  <si>
    <t>=IF(AND($M1894&gt;=$Q$16,$M1894&lt;=$Q$18),U1894,0)</t>
  </si>
  <si>
    <t>=IF(AND($M1894&gt;=$R$16,$M1894&lt;=$R$18),U1894,0)</t>
  </si>
  <si>
    <t>=IF(AND($M1894&gt;=$S$16,$M1894&lt;=$S$18),U1894,0)</t>
  </si>
  <si>
    <t>=IF($M1894&lt;=$T$18,U1894,0)</t>
  </si>
  <si>
    <t>="""NAV Direct"",""CRONUS JetCorp USA"",""21"",""1"",""432734"""</t>
  </si>
  <si>
    <t>=E1893</t>
  </si>
  <si>
    <t>=StartDate-$M1895+1</t>
  </si>
  <si>
    <t>=SUM(P1895:T1895)</t>
  </si>
  <si>
    <t>=IF($M1895&gt;=$P$18,U1895,0)</t>
  </si>
  <si>
    <t>=IF(AND($M1895&gt;=$Q$16,$M1895&lt;=$Q$18),U1895,0)</t>
  </si>
  <si>
    <t>=IF(AND($M1895&gt;=$R$16,$M1895&lt;=$R$18),U1895,0)</t>
  </si>
  <si>
    <t>=IF(AND($M1895&gt;=$S$16,$M1895&lt;=$S$18),U1895,0)</t>
  </si>
  <si>
    <t>=IF($M1895&lt;=$T$18,U1895,0)</t>
  </si>
  <si>
    <t>="""NAV Direct"",""CRONUS JetCorp USA"",""18"",""1"",""C100065"""</t>
  </si>
  <si>
    <t>=H1898</t>
  </si>
  <si>
    <t>=NF($C1898,"1 No.")</t>
  </si>
  <si>
    <t>=NF($C1898,"1 No.")&amp;"  -  "&amp;NF($C1898,"2 Name")</t>
  </si>
  <si>
    <t>=IFERROR(O1898/NF(C1898,"Credit Limit (LCY)"),"")</t>
  </si>
  <si>
    <t>=SUBTOTAL(3,L1899:L1917)</t>
  </si>
  <si>
    <t>=SUBTOTAL(9,O1899:O1917)</t>
  </si>
  <si>
    <t>=SUBTOTAL(9,P1899:P1917)</t>
  </si>
  <si>
    <t>=SUBTOTAL(9,Q1899:Q1917)</t>
  </si>
  <si>
    <t>=SUBTOTAL(9,R1899:R1917)</t>
  </si>
  <si>
    <t>=SUBTOTAL(9,S1899:S1917)</t>
  </si>
  <si>
    <t>=SUBTOTAL(9,T1899:T1917)</t>
  </si>
  <si>
    <t>=C1898</t>
  </si>
  <si>
    <t>=E1898</t>
  </si>
  <si>
    <t>="Contact: "&amp;NF($C1899,"8 Contact")</t>
  </si>
  <si>
    <t>=C1899</t>
  </si>
  <si>
    <t>=E1899</t>
  </si>
  <si>
    <t>=NF($C1900,"102 E-Mail")</t>
  </si>
  <si>
    <t>=NL("Rows","21 Cust. Ledger Entry",,"3 Customer No.","@@"&amp;$E1902,"16 Remaining Amt. (LCY)","&lt;&gt;0")</t>
  </si>
  <si>
    <t>=E1900</t>
  </si>
  <si>
    <t>=StartDate-$M1902+1</t>
  </si>
  <si>
    <t>=SUM(P1902:T1902)</t>
  </si>
  <si>
    <t>=IF($M1902&gt;=$P$18,U1902,0)</t>
  </si>
  <si>
    <t>=IF(AND($M1902&gt;=$Q$16,$M1902&lt;=$Q$18),U1902,0)</t>
  </si>
  <si>
    <t>=IF(AND($M1902&gt;=$R$16,$M1902&lt;=$R$18),U1902,0)</t>
  </si>
  <si>
    <t>=IF(AND($M1902&gt;=$S$16,$M1902&lt;=$S$18),U1902,0)</t>
  </si>
  <si>
    <t>=IF($M1902&lt;=$T$18,U1902,0)</t>
  </si>
  <si>
    <t>="""NAV Direct"",""CRONUS JetCorp USA"",""21"",""1"",""101970"""</t>
  </si>
  <si>
    <t>=E1901</t>
  </si>
  <si>
    <t>=StartDate-$M1903+1</t>
  </si>
  <si>
    <t>=SUM(P1903:T1903)</t>
  </si>
  <si>
    <t>=IF($M1903&gt;=$P$18,U1903,0)</t>
  </si>
  <si>
    <t>=IF(AND($M1903&gt;=$Q$16,$M1903&lt;=$Q$18),U1903,0)</t>
  </si>
  <si>
    <t>=IF(AND($M1903&gt;=$R$16,$M1903&lt;=$R$18),U1903,0)</t>
  </si>
  <si>
    <t>=IF(AND($M1903&gt;=$S$16,$M1903&lt;=$S$18),U1903,0)</t>
  </si>
  <si>
    <t>=IF($M1903&lt;=$T$18,U1903,0)</t>
  </si>
  <si>
    <t>="""NAV Direct"",""CRONUS JetCorp USA"",""21"",""1"",""102103"""</t>
  </si>
  <si>
    <t>=E1902</t>
  </si>
  <si>
    <t>=StartDate-$M1904+1</t>
  </si>
  <si>
    <t>=SUM(P1904:T1904)</t>
  </si>
  <si>
    <t>=IF($M1904&gt;=$P$18,U1904,0)</t>
  </si>
  <si>
    <t>=IF(AND($M1904&gt;=$Q$16,$M1904&lt;=$Q$18),U1904,0)</t>
  </si>
  <si>
    <t>=IF(AND($M1904&gt;=$R$16,$M1904&lt;=$R$18),U1904,0)</t>
  </si>
  <si>
    <t>=IF(AND($M1904&gt;=$S$16,$M1904&lt;=$S$18),U1904,0)</t>
  </si>
  <si>
    <t>=IF($M1904&lt;=$T$18,U1904,0)</t>
  </si>
  <si>
    <t>="""NAV Direct"",""CRONUS JetCorp USA"",""21"",""1"",""380748"""</t>
  </si>
  <si>
    <t>=E1903</t>
  </si>
  <si>
    <t>=StartDate-$M1905+1</t>
  </si>
  <si>
    <t>=SUM(P1905:T1905)</t>
  </si>
  <si>
    <t>=IF($M1905&gt;=$P$18,U1905,0)</t>
  </si>
  <si>
    <t>=IF(AND($M1905&gt;=$Q$16,$M1905&lt;=$Q$18),U1905,0)</t>
  </si>
  <si>
    <t>=IF(AND($M1905&gt;=$R$16,$M1905&lt;=$R$18),U1905,0)</t>
  </si>
  <si>
    <t>=IF(AND($M1905&gt;=$S$16,$M1905&lt;=$S$18),U1905,0)</t>
  </si>
  <si>
    <t>=IF($M1905&lt;=$T$18,U1905,0)</t>
  </si>
  <si>
    <t>="""NAV Direct"",""CRONUS JetCorp USA"",""21"",""1"",""381002"""</t>
  </si>
  <si>
    <t>=E1904</t>
  </si>
  <si>
    <t>=StartDate-$M1906+1</t>
  </si>
  <si>
    <t>=SUM(P1906:T1906)</t>
  </si>
  <si>
    <t>=IF($M1906&gt;=$P$18,U1906,0)</t>
  </si>
  <si>
    <t>=IF(AND($M1906&gt;=$Q$16,$M1906&lt;=$Q$18),U1906,0)</t>
  </si>
  <si>
    <t>=IF(AND($M1906&gt;=$R$16,$M1906&lt;=$R$18),U1906,0)</t>
  </si>
  <si>
    <t>=IF(AND($M1906&gt;=$S$16,$M1906&lt;=$S$18),U1906,0)</t>
  </si>
  <si>
    <t>=IF($M1906&lt;=$T$18,U1906,0)</t>
  </si>
  <si>
    <t>="""NAV Direct"",""CRONUS JetCorp USA"",""21"",""1"",""381397"""</t>
  </si>
  <si>
    <t>=E1905</t>
  </si>
  <si>
    <t>=StartDate-$M1907+1</t>
  </si>
  <si>
    <t>=SUM(P1907:T1907)</t>
  </si>
  <si>
    <t>=IF($M1907&gt;=$P$18,U1907,0)</t>
  </si>
  <si>
    <t>=IF(AND($M1907&gt;=$Q$16,$M1907&lt;=$Q$18),U1907,0)</t>
  </si>
  <si>
    <t>=IF(AND($M1907&gt;=$R$16,$M1907&lt;=$R$18),U1907,0)</t>
  </si>
  <si>
    <t>=IF(AND($M1907&gt;=$S$16,$M1907&lt;=$S$18),U1907,0)</t>
  </si>
  <si>
    <t>=IF($M1907&lt;=$T$18,U1907,0)</t>
  </si>
  <si>
    <t>="""NAV Direct"",""CRONUS JetCorp USA"",""21"",""1"",""381888"""</t>
  </si>
  <si>
    <t>=E1906</t>
  </si>
  <si>
    <t>=StartDate-$M1908+1</t>
  </si>
  <si>
    <t>=SUM(P1908:T1908)</t>
  </si>
  <si>
    <t>=IF($M1908&gt;=$P$18,U1908,0)</t>
  </si>
  <si>
    <t>=IF(AND($M1908&gt;=$Q$16,$M1908&lt;=$Q$18),U1908,0)</t>
  </si>
  <si>
    <t>=IF(AND($M1908&gt;=$R$16,$M1908&lt;=$R$18),U1908,0)</t>
  </si>
  <si>
    <t>=IF(AND($M1908&gt;=$S$16,$M1908&lt;=$S$18),U1908,0)</t>
  </si>
  <si>
    <t>=IF($M1908&lt;=$T$18,U1908,0)</t>
  </si>
  <si>
    <t>="""NAV Direct"",""CRONUS JetCorp USA"",""21"",""1"",""381946"""</t>
  </si>
  <si>
    <t>=E1907</t>
  </si>
  <si>
    <t>=StartDate-$M1909+1</t>
  </si>
  <si>
    <t>=SUM(P1909:T1909)</t>
  </si>
  <si>
    <t>=IF($M1909&gt;=$P$18,U1909,0)</t>
  </si>
  <si>
    <t>=IF(AND($M1909&gt;=$Q$16,$M1909&lt;=$Q$18),U1909,0)</t>
  </si>
  <si>
    <t>=IF(AND($M1909&gt;=$R$16,$M1909&lt;=$R$18),U1909,0)</t>
  </si>
  <si>
    <t>=IF(AND($M1909&gt;=$S$16,$M1909&lt;=$S$18),U1909,0)</t>
  </si>
  <si>
    <t>=IF($M1909&lt;=$T$18,U1909,0)</t>
  </si>
  <si>
    <t>="""NAV Direct"",""CRONUS JetCorp USA"",""21"",""1"",""382985"""</t>
  </si>
  <si>
    <t>=E1908</t>
  </si>
  <si>
    <t>=StartDate-$M1910+1</t>
  </si>
  <si>
    <t>=SUM(P1910:T1910)</t>
  </si>
  <si>
    <t>=IF($M1910&gt;=$P$18,U1910,0)</t>
  </si>
  <si>
    <t>=IF(AND($M1910&gt;=$Q$16,$M1910&lt;=$Q$18),U1910,0)</t>
  </si>
  <si>
    <t>=IF(AND($M1910&gt;=$R$16,$M1910&lt;=$R$18),U1910,0)</t>
  </si>
  <si>
    <t>=IF(AND($M1910&gt;=$S$16,$M1910&lt;=$S$18),U1910,0)</t>
  </si>
  <si>
    <t>=IF($M1910&lt;=$T$18,U1910,0)</t>
  </si>
  <si>
    <t>="""NAV Direct"",""CRONUS JetCorp USA"",""21"",""1"",""383115"""</t>
  </si>
  <si>
    <t>=E1909</t>
  </si>
  <si>
    <t>=StartDate-$M1911+1</t>
  </si>
  <si>
    <t>=SUM(P1911:T1911)</t>
  </si>
  <si>
    <t>=IF($M1911&gt;=$P$18,U1911,0)</t>
  </si>
  <si>
    <t>=IF(AND($M1911&gt;=$Q$16,$M1911&lt;=$Q$18),U1911,0)</t>
  </si>
  <si>
    <t>=IF(AND($M1911&gt;=$R$16,$M1911&lt;=$R$18),U1911,0)</t>
  </si>
  <si>
    <t>=IF(AND($M1911&gt;=$S$16,$M1911&lt;=$S$18),U1911,0)</t>
  </si>
  <si>
    <t>=IF($M1911&lt;=$T$18,U1911,0)</t>
  </si>
  <si>
    <t>="""NAV Direct"",""CRONUS JetCorp USA"",""21"",""1"",""383405"""</t>
  </si>
  <si>
    <t>=E1910</t>
  </si>
  <si>
    <t>=StartDate-$M1912+1</t>
  </si>
  <si>
    <t>=SUM(P1912:T1912)</t>
  </si>
  <si>
    <t>=IF($M1912&gt;=$P$18,U1912,0)</t>
  </si>
  <si>
    <t>=IF(AND($M1912&gt;=$Q$16,$M1912&lt;=$Q$18),U1912,0)</t>
  </si>
  <si>
    <t>=IF(AND($M1912&gt;=$R$16,$M1912&lt;=$R$18),U1912,0)</t>
  </si>
  <si>
    <t>=IF(AND($M1912&gt;=$S$16,$M1912&lt;=$S$18),U1912,0)</t>
  </si>
  <si>
    <t>=IF($M1912&lt;=$T$18,U1912,0)</t>
  </si>
  <si>
    <t>="""NAV Direct"",""CRONUS JetCorp USA"",""21"",""1"",""383623"""</t>
  </si>
  <si>
    <t>=E1911</t>
  </si>
  <si>
    <t>=StartDate-$M1913+1</t>
  </si>
  <si>
    <t>=SUM(P1913:T1913)</t>
  </si>
  <si>
    <t>=IF($M1913&gt;=$P$18,U1913,0)</t>
  </si>
  <si>
    <t>=IF(AND($M1913&gt;=$Q$16,$M1913&lt;=$Q$18),U1913,0)</t>
  </si>
  <si>
    <t>=IF(AND($M1913&gt;=$R$16,$M1913&lt;=$R$18),U1913,0)</t>
  </si>
  <si>
    <t>=IF(AND($M1913&gt;=$S$16,$M1913&lt;=$S$18),U1913,0)</t>
  </si>
  <si>
    <t>=IF($M1913&lt;=$T$18,U1913,0)</t>
  </si>
  <si>
    <t>="""NAV Direct"",""CRONUS JetCorp USA"",""21"",""1"",""438291"""</t>
  </si>
  <si>
    <t>=E1912</t>
  </si>
  <si>
    <t>=StartDate-$M1914+1</t>
  </si>
  <si>
    <t>=SUM(P1914:T1914)</t>
  </si>
  <si>
    <t>=IF($M1914&gt;=$P$18,U1914,0)</t>
  </si>
  <si>
    <t>=IF(AND($M1914&gt;=$Q$16,$M1914&lt;=$Q$18),U1914,0)</t>
  </si>
  <si>
    <t>=IF(AND($M1914&gt;=$R$16,$M1914&lt;=$R$18),U1914,0)</t>
  </si>
  <si>
    <t>=IF(AND($M1914&gt;=$S$16,$M1914&lt;=$S$18),U1914,0)</t>
  </si>
  <si>
    <t>=IF($M1914&lt;=$T$18,U1914,0)</t>
  </si>
  <si>
    <t>="""NAV Direct"",""CRONUS JetCorp USA"",""21"",""1"",""438489"""</t>
  </si>
  <si>
    <t>=E1913</t>
  </si>
  <si>
    <t>=StartDate-$M1915+1</t>
  </si>
  <si>
    <t>=SUM(P1915:T1915)</t>
  </si>
  <si>
    <t>=IF($M1915&gt;=$P$18,U1915,0)</t>
  </si>
  <si>
    <t>=IF(AND($M1915&gt;=$Q$16,$M1915&lt;=$Q$18),U1915,0)</t>
  </si>
  <si>
    <t>=IF(AND($M1915&gt;=$R$16,$M1915&lt;=$R$18),U1915,0)</t>
  </si>
  <si>
    <t>=IF(AND($M1915&gt;=$S$16,$M1915&lt;=$S$18),U1915,0)</t>
  </si>
  <si>
    <t>=IF($M1915&lt;=$T$18,U1915,0)</t>
  </si>
  <si>
    <t>="""NAV Direct"",""CRONUS JetCorp USA"",""21"",""1"",""438570"""</t>
  </si>
  <si>
    <t>=E1914</t>
  </si>
  <si>
    <t>=StartDate-$M1916+1</t>
  </si>
  <si>
    <t>=SUM(P1916:T1916)</t>
  </si>
  <si>
    <t>=IF($M1916&gt;=$P$18,U1916,0)</t>
  </si>
  <si>
    <t>=IF(AND($M1916&gt;=$Q$16,$M1916&lt;=$Q$18),U1916,0)</t>
  </si>
  <si>
    <t>=IF(AND($M1916&gt;=$R$16,$M1916&lt;=$R$18),U1916,0)</t>
  </si>
  <si>
    <t>=IF(AND($M1916&gt;=$S$16,$M1916&lt;=$S$18),U1916,0)</t>
  </si>
  <si>
    <t>=IF($M1916&lt;=$T$18,U1916,0)</t>
  </si>
  <si>
    <t>="""NAV Direct"",""CRONUS JetCorp USA"",""18"",""1"",""C100066"""</t>
  </si>
  <si>
    <t>=H1919</t>
  </si>
  <si>
    <t>=NF($C1919,"1 No.")</t>
  </si>
  <si>
    <t>=NF($C1919,"1 No.")&amp;"  -  "&amp;NF($C1919,"2 Name")</t>
  </si>
  <si>
    <t>=IFERROR(O1919/NF(C1919,"Credit Limit (LCY)"),"")</t>
  </si>
  <si>
    <t>=SUBTOTAL(3,L1920:L2066)</t>
  </si>
  <si>
    <t>=SUBTOTAL(9,O1920:O2066)</t>
  </si>
  <si>
    <t>=SUBTOTAL(9,P1920:P2066)</t>
  </si>
  <si>
    <t>=SUBTOTAL(9,Q1920:Q2066)</t>
  </si>
  <si>
    <t>=SUBTOTAL(9,R1920:R2066)</t>
  </si>
  <si>
    <t>=SUBTOTAL(9,S1920:S2066)</t>
  </si>
  <si>
    <t>=SUBTOTAL(9,T1920:T2066)</t>
  </si>
  <si>
    <t>=C1919</t>
  </si>
  <si>
    <t>=E1919</t>
  </si>
  <si>
    <t>="Contact: "&amp;NF($C1920,"8 Contact")</t>
  </si>
  <si>
    <t>=C1920</t>
  </si>
  <si>
    <t>=E1920</t>
  </si>
  <si>
    <t>=NF($C1921,"102 E-Mail")</t>
  </si>
  <si>
    <t>=NL("Rows","21 Cust. Ledger Entry",,"3 Customer No.","@@"&amp;$E1923,"16 Remaining Amt. (LCY)","&lt;&gt;0")</t>
  </si>
  <si>
    <t>=E1921</t>
  </si>
  <si>
    <t>=StartDate-$M1923+1</t>
  </si>
  <si>
    <t>=SUM(P1923:T1923)</t>
  </si>
  <si>
    <t>=IF($M1923&gt;=$P$18,U1923,0)</t>
  </si>
  <si>
    <t>=IF(AND($M1923&gt;=$Q$16,$M1923&lt;=$Q$18),U1923,0)</t>
  </si>
  <si>
    <t>=IF(AND($M1923&gt;=$R$16,$M1923&lt;=$R$18),U1923,0)</t>
  </si>
  <si>
    <t>=IF(AND($M1923&gt;=$S$16,$M1923&lt;=$S$18),U1923,0)</t>
  </si>
  <si>
    <t>=IF($M1923&lt;=$T$18,U1923,0)</t>
  </si>
  <si>
    <t>="""NAV Direct"",""CRONUS JetCorp USA"",""21"",""1"",""29619"""</t>
  </si>
  <si>
    <t>=E1922</t>
  </si>
  <si>
    <t>=StartDate-$M1924+1</t>
  </si>
  <si>
    <t>=SUM(P1924:T1924)</t>
  </si>
  <si>
    <t>=IF($M1924&gt;=$P$18,U1924,0)</t>
  </si>
  <si>
    <t>=IF(AND($M1924&gt;=$Q$16,$M1924&lt;=$Q$18),U1924,0)</t>
  </si>
  <si>
    <t>=IF(AND($M1924&gt;=$R$16,$M1924&lt;=$R$18),U1924,0)</t>
  </si>
  <si>
    <t>=IF(AND($M1924&gt;=$S$16,$M1924&lt;=$S$18),U1924,0)</t>
  </si>
  <si>
    <t>=IF($M1924&lt;=$T$18,U1924,0)</t>
  </si>
  <si>
    <t>="""NAV Direct"",""CRONUS JetCorp USA"",""21"",""1"",""29646"""</t>
  </si>
  <si>
    <t>=E1923</t>
  </si>
  <si>
    <t>=StartDate-$M1925+1</t>
  </si>
  <si>
    <t>=SUM(P1925:T1925)</t>
  </si>
  <si>
    <t>=IF($M1925&gt;=$P$18,U1925,0)</t>
  </si>
  <si>
    <t>=IF(AND($M1925&gt;=$Q$16,$M1925&lt;=$Q$18),U1925,0)</t>
  </si>
  <si>
    <t>=IF(AND($M1925&gt;=$R$16,$M1925&lt;=$R$18),U1925,0)</t>
  </si>
  <si>
    <t>=IF(AND($M1925&gt;=$S$16,$M1925&lt;=$S$18),U1925,0)</t>
  </si>
  <si>
    <t>=IF($M1925&lt;=$T$18,U1925,0)</t>
  </si>
  <si>
    <t>="""NAV Direct"",""CRONUS JetCorp USA"",""21"",""1"",""29667"""</t>
  </si>
  <si>
    <t>=E1924</t>
  </si>
  <si>
    <t>=StartDate-$M1926+1</t>
  </si>
  <si>
    <t>=SUM(P1926:T1926)</t>
  </si>
  <si>
    <t>=IF($M1926&gt;=$P$18,U1926,0)</t>
  </si>
  <si>
    <t>=IF(AND($M1926&gt;=$Q$16,$M1926&lt;=$Q$18),U1926,0)</t>
  </si>
  <si>
    <t>=IF(AND($M1926&gt;=$R$16,$M1926&lt;=$R$18),U1926,0)</t>
  </si>
  <si>
    <t>=IF(AND($M1926&gt;=$S$16,$M1926&lt;=$S$18),U1926,0)</t>
  </si>
  <si>
    <t>=IF($M1926&lt;=$T$18,U1926,0)</t>
  </si>
  <si>
    <t>="""NAV Direct"",""CRONUS JetCorp USA"",""21"",""1"",""29759"""</t>
  </si>
  <si>
    <t>=E1925</t>
  </si>
  <si>
    <t>=StartDate-$M1927+1</t>
  </si>
  <si>
    <t>=SUM(P1927:T1927)</t>
  </si>
  <si>
    <t>=IF($M1927&gt;=$P$18,U1927,0)</t>
  </si>
  <si>
    <t>=IF(AND($M1927&gt;=$Q$16,$M1927&lt;=$Q$18),U1927,0)</t>
  </si>
  <si>
    <t>=IF(AND($M1927&gt;=$R$16,$M1927&lt;=$R$18),U1927,0)</t>
  </si>
  <si>
    <t>=IF(AND($M1927&gt;=$S$16,$M1927&lt;=$S$18),U1927,0)</t>
  </si>
  <si>
    <t>=IF($M1927&lt;=$T$18,U1927,0)</t>
  </si>
  <si>
    <t>="""NAV Direct"",""CRONUS JetCorp USA"",""21"",""1"",""29784"""</t>
  </si>
  <si>
    <t>=E1926</t>
  </si>
  <si>
    <t>=StartDate-$M1928+1</t>
  </si>
  <si>
    <t>=SUM(P1928:T1928)</t>
  </si>
  <si>
    <t>=IF($M1928&gt;=$P$18,U1928,0)</t>
  </si>
  <si>
    <t>=IF(AND($M1928&gt;=$Q$16,$M1928&lt;=$Q$18),U1928,0)</t>
  </si>
  <si>
    <t>=IF(AND($M1928&gt;=$R$16,$M1928&lt;=$R$18),U1928,0)</t>
  </si>
  <si>
    <t>=IF(AND($M1928&gt;=$S$16,$M1928&lt;=$S$18),U1928,0)</t>
  </si>
  <si>
    <t>=IF($M1928&lt;=$T$18,U1928,0)</t>
  </si>
  <si>
    <t>="""NAV Direct"",""CRONUS JetCorp USA"",""21"",""1"",""29826"""</t>
  </si>
  <si>
    <t>=E1927</t>
  </si>
  <si>
    <t>=StartDate-$M1929+1</t>
  </si>
  <si>
    <t>=SUM(P1929:T1929)</t>
  </si>
  <si>
    <t>=IF($M1929&gt;=$P$18,U1929,0)</t>
  </si>
  <si>
    <t>=IF(AND($M1929&gt;=$Q$16,$M1929&lt;=$Q$18),U1929,0)</t>
  </si>
  <si>
    <t>=IF(AND($M1929&gt;=$R$16,$M1929&lt;=$R$18),U1929,0)</t>
  </si>
  <si>
    <t>=IF(AND($M1929&gt;=$S$16,$M1929&lt;=$S$18),U1929,0)</t>
  </si>
  <si>
    <t>=IF($M1929&lt;=$T$18,U1929,0)</t>
  </si>
  <si>
    <t>="""NAV Direct"",""CRONUS JetCorp USA"",""21"",""1"",""320111"""</t>
  </si>
  <si>
    <t>=E1928</t>
  </si>
  <si>
    <t>=StartDate-$M1930+1</t>
  </si>
  <si>
    <t>=SUM(P1930:T1930)</t>
  </si>
  <si>
    <t>=IF($M1930&gt;=$P$18,U1930,0)</t>
  </si>
  <si>
    <t>=IF(AND($M1930&gt;=$Q$16,$M1930&lt;=$Q$18),U1930,0)</t>
  </si>
  <si>
    <t>=IF(AND($M1930&gt;=$R$16,$M1930&lt;=$R$18),U1930,0)</t>
  </si>
  <si>
    <t>=IF(AND($M1930&gt;=$S$16,$M1930&lt;=$S$18),U1930,0)</t>
  </si>
  <si>
    <t>=IF($M1930&lt;=$T$18,U1930,0)</t>
  </si>
  <si>
    <t>="""NAV Direct"",""CRONUS JetCorp USA"",""21"",""1"",""320132"""</t>
  </si>
  <si>
    <t>=E1929</t>
  </si>
  <si>
    <t>=StartDate-$M1931+1</t>
  </si>
  <si>
    <t>=SUM(P1931:T1931)</t>
  </si>
  <si>
    <t>=IF($M1931&gt;=$P$18,U1931,0)</t>
  </si>
  <si>
    <t>=IF(AND($M1931&gt;=$Q$16,$M1931&lt;=$Q$18),U1931,0)</t>
  </si>
  <si>
    <t>=IF(AND($M1931&gt;=$R$16,$M1931&lt;=$R$18),U1931,0)</t>
  </si>
  <si>
    <t>=IF(AND($M1931&gt;=$S$16,$M1931&lt;=$S$18),U1931,0)</t>
  </si>
  <si>
    <t>=IF($M1931&lt;=$T$18,U1931,0)</t>
  </si>
  <si>
    <t>="""NAV Direct"",""CRONUS JetCorp USA"",""21"",""1"",""320159"""</t>
  </si>
  <si>
    <t>=E1930</t>
  </si>
  <si>
    <t>=StartDate-$M1932+1</t>
  </si>
  <si>
    <t>=SUM(P1932:T1932)</t>
  </si>
  <si>
    <t>=IF($M1932&gt;=$P$18,U1932,0)</t>
  </si>
  <si>
    <t>=IF(AND($M1932&gt;=$Q$16,$M1932&lt;=$Q$18),U1932,0)</t>
  </si>
  <si>
    <t>=IF(AND($M1932&gt;=$R$16,$M1932&lt;=$R$18),U1932,0)</t>
  </si>
  <si>
    <t>=IF(AND($M1932&gt;=$S$16,$M1932&lt;=$S$18),U1932,0)</t>
  </si>
  <si>
    <t>=IF($M1932&lt;=$T$18,U1932,0)</t>
  </si>
  <si>
    <t>="""NAV Direct"",""CRONUS JetCorp USA"",""21"",""1"",""320203"""</t>
  </si>
  <si>
    <t>=E1931</t>
  </si>
  <si>
    <t>=StartDate-$M1933+1</t>
  </si>
  <si>
    <t>=SUM(P1933:T1933)</t>
  </si>
  <si>
    <t>=IF($M1933&gt;=$P$18,U1933,0)</t>
  </si>
  <si>
    <t>=IF(AND($M1933&gt;=$Q$16,$M1933&lt;=$Q$18),U1933,0)</t>
  </si>
  <si>
    <t>=IF(AND($M1933&gt;=$R$16,$M1933&lt;=$R$18),U1933,0)</t>
  </si>
  <si>
    <t>=IF(AND($M1933&gt;=$S$16,$M1933&lt;=$S$18),U1933,0)</t>
  </si>
  <si>
    <t>=IF($M1933&lt;=$T$18,U1933,0)</t>
  </si>
  <si>
    <t>="""NAV Direct"",""CRONUS JetCorp USA"",""21"",""1"",""320222"""</t>
  </si>
  <si>
    <t>=E1932</t>
  </si>
  <si>
    <t>=StartDate-$M1934+1</t>
  </si>
  <si>
    <t>=SUM(P1934:T1934)</t>
  </si>
  <si>
    <t>=IF($M1934&gt;=$P$18,U1934,0)</t>
  </si>
  <si>
    <t>=IF(AND($M1934&gt;=$Q$16,$M1934&lt;=$Q$18),U1934,0)</t>
  </si>
  <si>
    <t>=IF(AND($M1934&gt;=$R$16,$M1934&lt;=$R$18),U1934,0)</t>
  </si>
  <si>
    <t>=IF(AND($M1934&gt;=$S$16,$M1934&lt;=$S$18),U1934,0)</t>
  </si>
  <si>
    <t>=IF($M1934&lt;=$T$18,U1934,0)</t>
  </si>
  <si>
    <t>="""NAV Direct"",""CRONUS JetCorp USA"",""21"",""1"",""320310"""</t>
  </si>
  <si>
    <t>=E1933</t>
  </si>
  <si>
    <t>=StartDate-$M1935+1</t>
  </si>
  <si>
    <t>=SUM(P1935:T1935)</t>
  </si>
  <si>
    <t>=IF($M1935&gt;=$P$18,U1935,0)</t>
  </si>
  <si>
    <t>=IF(AND($M1935&gt;=$Q$16,$M1935&lt;=$Q$18),U1935,0)</t>
  </si>
  <si>
    <t>=IF(AND($M1935&gt;=$R$16,$M1935&lt;=$R$18),U1935,0)</t>
  </si>
  <si>
    <t>=IF(AND($M1935&gt;=$S$16,$M1935&lt;=$S$18),U1935,0)</t>
  </si>
  <si>
    <t>=IF($M1935&lt;=$T$18,U1935,0)</t>
  </si>
  <si>
    <t>="""NAV Direct"",""CRONUS JetCorp USA"",""21"",""1"",""320329"""</t>
  </si>
  <si>
    <t>=E1934</t>
  </si>
  <si>
    <t>=StartDate-$M1936+1</t>
  </si>
  <si>
    <t>=SUM(P1936:T1936)</t>
  </si>
  <si>
    <t>=IF($M1936&gt;=$P$18,U1936,0)</t>
  </si>
  <si>
    <t>=IF(AND($M1936&gt;=$Q$16,$M1936&lt;=$Q$18),U1936,0)</t>
  </si>
  <si>
    <t>=IF(AND($M1936&gt;=$R$16,$M1936&lt;=$R$18),U1936,0)</t>
  </si>
  <si>
    <t>=IF(AND($M1936&gt;=$S$16,$M1936&lt;=$S$18),U1936,0)</t>
  </si>
  <si>
    <t>=IF($M1936&lt;=$T$18,U1936,0)</t>
  </si>
  <si>
    <t>="""NAV Direct"",""CRONUS JetCorp USA"",""21"",""1"",""320348"""</t>
  </si>
  <si>
    <t>=E1935</t>
  </si>
  <si>
    <t>=StartDate-$M1937+1</t>
  </si>
  <si>
    <t>=SUM(P1937:T1937)</t>
  </si>
  <si>
    <t>=IF($M1937&gt;=$P$18,U1937,0)</t>
  </si>
  <si>
    <t>=IF(AND($M1937&gt;=$Q$16,$M1937&lt;=$Q$18),U1937,0)</t>
  </si>
  <si>
    <t>=IF(AND($M1937&gt;=$R$16,$M1937&lt;=$R$18),U1937,0)</t>
  </si>
  <si>
    <t>=IF(AND($M1937&gt;=$S$16,$M1937&lt;=$S$18),U1937,0)</t>
  </si>
  <si>
    <t>=IF($M1937&lt;=$T$18,U1937,0)</t>
  </si>
  <si>
    <t>="""NAV Direct"",""CRONUS JetCorp USA"",""21"",""1"",""320371"""</t>
  </si>
  <si>
    <t>=E1936</t>
  </si>
  <si>
    <t>=StartDate-$M1938+1</t>
  </si>
  <si>
    <t>=SUM(P1938:T1938)</t>
  </si>
  <si>
    <t>=IF($M1938&gt;=$P$18,U1938,0)</t>
  </si>
  <si>
    <t>=IF(AND($M1938&gt;=$Q$16,$M1938&lt;=$Q$18),U1938,0)</t>
  </si>
  <si>
    <t>=IF(AND($M1938&gt;=$R$16,$M1938&lt;=$R$18),U1938,0)</t>
  </si>
  <si>
    <t>=IF(AND($M1938&gt;=$S$16,$M1938&lt;=$S$18),U1938,0)</t>
  </si>
  <si>
    <t>=IF($M1938&lt;=$T$18,U1938,0)</t>
  </si>
  <si>
    <t>="""NAV Direct"",""CRONUS JetCorp USA"",""21"",""1"",""320396"""</t>
  </si>
  <si>
    <t>=E1937</t>
  </si>
  <si>
    <t>=StartDate-$M1939+1</t>
  </si>
  <si>
    <t>=SUM(P1939:T1939)</t>
  </si>
  <si>
    <t>=IF($M1939&gt;=$P$18,U1939,0)</t>
  </si>
  <si>
    <t>=IF(AND($M1939&gt;=$Q$16,$M1939&lt;=$Q$18),U1939,0)</t>
  </si>
  <si>
    <t>=IF(AND($M1939&gt;=$R$16,$M1939&lt;=$R$18),U1939,0)</t>
  </si>
  <si>
    <t>=IF(AND($M1939&gt;=$S$16,$M1939&lt;=$S$18),U1939,0)</t>
  </si>
  <si>
    <t>=IF($M1939&lt;=$T$18,U1939,0)</t>
  </si>
  <si>
    <t>="""NAV Direct"",""CRONUS JetCorp USA"",""21"",""1"",""320421"""</t>
  </si>
  <si>
    <t>=E1938</t>
  </si>
  <si>
    <t>=StartDate-$M1940+1</t>
  </si>
  <si>
    <t>=SUM(P1940:T1940)</t>
  </si>
  <si>
    <t>=IF($M1940&gt;=$P$18,U1940,0)</t>
  </si>
  <si>
    <t>=IF(AND($M1940&gt;=$Q$16,$M1940&lt;=$Q$18),U1940,0)</t>
  </si>
  <si>
    <t>=IF(AND($M1940&gt;=$R$16,$M1940&lt;=$R$18),U1940,0)</t>
  </si>
  <si>
    <t>=IF(AND($M1940&gt;=$S$16,$M1940&lt;=$S$18),U1940,0)</t>
  </si>
  <si>
    <t>=IF($M1940&lt;=$T$18,U1940,0)</t>
  </si>
  <si>
    <t>="""NAV Direct"",""CRONUS JetCorp USA"",""21"",""1"",""320448"""</t>
  </si>
  <si>
    <t>=E1939</t>
  </si>
  <si>
    <t>=StartDate-$M1941+1</t>
  </si>
  <si>
    <t>=SUM(P1941:T1941)</t>
  </si>
  <si>
    <t>=IF($M1941&gt;=$P$18,U1941,0)</t>
  </si>
  <si>
    <t>=IF(AND($M1941&gt;=$Q$16,$M1941&lt;=$Q$18),U1941,0)</t>
  </si>
  <si>
    <t>=IF(AND($M1941&gt;=$R$16,$M1941&lt;=$R$18),U1941,0)</t>
  </si>
  <si>
    <t>=IF(AND($M1941&gt;=$S$16,$M1941&lt;=$S$18),U1941,0)</t>
  </si>
  <si>
    <t>=IF($M1941&lt;=$T$18,U1941,0)</t>
  </si>
  <si>
    <t>="""NAV Direct"",""CRONUS JetCorp USA"",""21"",""1"",""320473"""</t>
  </si>
  <si>
    <t>=E1940</t>
  </si>
  <si>
    <t>=StartDate-$M1942+1</t>
  </si>
  <si>
    <t>=SUM(P1942:T1942)</t>
  </si>
  <si>
    <t>=IF($M1942&gt;=$P$18,U1942,0)</t>
  </si>
  <si>
    <t>=IF(AND($M1942&gt;=$Q$16,$M1942&lt;=$Q$18),U1942,0)</t>
  </si>
  <si>
    <t>=IF(AND($M1942&gt;=$R$16,$M1942&lt;=$R$18),U1942,0)</t>
  </si>
  <si>
    <t>=IF(AND($M1942&gt;=$S$16,$M1942&lt;=$S$18),U1942,0)</t>
  </si>
  <si>
    <t>=IF($M1942&lt;=$T$18,U1942,0)</t>
  </si>
  <si>
    <t>="""NAV Direct"",""CRONUS JetCorp USA"",""21"",""1"",""320492"""</t>
  </si>
  <si>
    <t>=E1941</t>
  </si>
  <si>
    <t>=StartDate-$M1943+1</t>
  </si>
  <si>
    <t>=SUM(P1943:T1943)</t>
  </si>
  <si>
    <t>=IF($M1943&gt;=$P$18,U1943,0)</t>
  </si>
  <si>
    <t>=IF(AND($M1943&gt;=$Q$16,$M1943&lt;=$Q$18),U1943,0)</t>
  </si>
  <si>
    <t>=IF(AND($M1943&gt;=$R$16,$M1943&lt;=$R$18),U1943,0)</t>
  </si>
  <si>
    <t>=IF(AND($M1943&gt;=$S$16,$M1943&lt;=$S$18),U1943,0)</t>
  </si>
  <si>
    <t>=IF($M1943&lt;=$T$18,U1943,0)</t>
  </si>
  <si>
    <t>="""NAV Direct"",""CRONUS JetCorp USA"",""21"",""1"",""320515"""</t>
  </si>
  <si>
    <t>=E1942</t>
  </si>
  <si>
    <t>=StartDate-$M1944+1</t>
  </si>
  <si>
    <t>=SUM(P1944:T1944)</t>
  </si>
  <si>
    <t>=IF($M1944&gt;=$P$18,U1944,0)</t>
  </si>
  <si>
    <t>=IF(AND($M1944&gt;=$Q$16,$M1944&lt;=$Q$18),U1944,0)</t>
  </si>
  <si>
    <t>=IF(AND($M1944&gt;=$R$16,$M1944&lt;=$R$18),U1944,0)</t>
  </si>
  <si>
    <t>=IF(AND($M1944&gt;=$S$16,$M1944&lt;=$S$18),U1944,0)</t>
  </si>
  <si>
    <t>=IF($M1944&lt;=$T$18,U1944,0)</t>
  </si>
  <si>
    <t>="""NAV Direct"",""CRONUS JetCorp USA"",""21"",""1"",""320574"""</t>
  </si>
  <si>
    <t>=E1943</t>
  </si>
  <si>
    <t>=StartDate-$M1945+1</t>
  </si>
  <si>
    <t>=SUM(P1945:T1945)</t>
  </si>
  <si>
    <t>=IF($M1945&gt;=$P$18,U1945,0)</t>
  </si>
  <si>
    <t>=IF(AND($M1945&gt;=$Q$16,$M1945&lt;=$Q$18),U1945,0)</t>
  </si>
  <si>
    <t>=IF(AND($M1945&gt;=$R$16,$M1945&lt;=$R$18),U1945,0)</t>
  </si>
  <si>
    <t>=IF(AND($M1945&gt;=$S$16,$M1945&lt;=$S$18),U1945,0)</t>
  </si>
  <si>
    <t>=IF($M1945&lt;=$T$18,U1945,0)</t>
  </si>
  <si>
    <t>="""NAV Direct"",""CRONUS JetCorp USA"",""21"",""1"",""320601"""</t>
  </si>
  <si>
    <t>=E1944</t>
  </si>
  <si>
    <t>=StartDate-$M1946+1</t>
  </si>
  <si>
    <t>=SUM(P1946:T1946)</t>
  </si>
  <si>
    <t>=IF($M1946&gt;=$P$18,U1946,0)</t>
  </si>
  <si>
    <t>=IF(AND($M1946&gt;=$Q$16,$M1946&lt;=$Q$18),U1946,0)</t>
  </si>
  <si>
    <t>=IF(AND($M1946&gt;=$R$16,$M1946&lt;=$R$18),U1946,0)</t>
  </si>
  <si>
    <t>=IF(AND($M1946&gt;=$S$16,$M1946&lt;=$S$18),U1946,0)</t>
  </si>
  <si>
    <t>=IF($M1946&lt;=$T$18,U1946,0)</t>
  </si>
  <si>
    <t>="""NAV Direct"",""CRONUS JetCorp USA"",""21"",""1"",""320645"""</t>
  </si>
  <si>
    <t>=E1945</t>
  </si>
  <si>
    <t>=StartDate-$M1947+1</t>
  </si>
  <si>
    <t>=SUM(P1947:T1947)</t>
  </si>
  <si>
    <t>=IF($M1947&gt;=$P$18,U1947,0)</t>
  </si>
  <si>
    <t>=IF(AND($M1947&gt;=$Q$16,$M1947&lt;=$Q$18),U1947,0)</t>
  </si>
  <si>
    <t>=IF(AND($M1947&gt;=$R$16,$M1947&lt;=$R$18),U1947,0)</t>
  </si>
  <si>
    <t>=IF(AND($M1947&gt;=$S$16,$M1947&lt;=$S$18),U1947,0)</t>
  </si>
  <si>
    <t>=IF($M1947&lt;=$T$18,U1947,0)</t>
  </si>
  <si>
    <t>="""NAV Direct"",""CRONUS JetCorp USA"",""21"",""1"",""320842"""</t>
  </si>
  <si>
    <t>=E1946</t>
  </si>
  <si>
    <t>=StartDate-$M1948+1</t>
  </si>
  <si>
    <t>=SUM(P1948:T1948)</t>
  </si>
  <si>
    <t>=IF($M1948&gt;=$P$18,U1948,0)</t>
  </si>
  <si>
    <t>=IF(AND($M1948&gt;=$Q$16,$M1948&lt;=$Q$18),U1948,0)</t>
  </si>
  <si>
    <t>=IF(AND($M1948&gt;=$R$16,$M1948&lt;=$R$18),U1948,0)</t>
  </si>
  <si>
    <t>=IF(AND($M1948&gt;=$S$16,$M1948&lt;=$S$18),U1948,0)</t>
  </si>
  <si>
    <t>=IF($M1948&lt;=$T$18,U1948,0)</t>
  </si>
  <si>
    <t>="""NAV Direct"",""CRONUS JetCorp USA"",""21"",""1"",""320942"""</t>
  </si>
  <si>
    <t>=E1947</t>
  </si>
  <si>
    <t>=StartDate-$M1949+1</t>
  </si>
  <si>
    <t>=SUM(P1949:T1949)</t>
  </si>
  <si>
    <t>=IF($M1949&gt;=$P$18,U1949,0)</t>
  </si>
  <si>
    <t>=IF(AND($M1949&gt;=$Q$16,$M1949&lt;=$Q$18),U1949,0)</t>
  </si>
  <si>
    <t>=IF(AND($M1949&gt;=$R$16,$M1949&lt;=$R$18),U1949,0)</t>
  </si>
  <si>
    <t>=IF(AND($M1949&gt;=$S$16,$M1949&lt;=$S$18),U1949,0)</t>
  </si>
  <si>
    <t>=IF($M1949&lt;=$T$18,U1949,0)</t>
  </si>
  <si>
    <t>="""NAV Direct"",""CRONUS JetCorp USA"",""21"",""1"",""321103"""</t>
  </si>
  <si>
    <t>=E1948</t>
  </si>
  <si>
    <t>=StartDate-$M1950+1</t>
  </si>
  <si>
    <t>=SUM(P1950:T1950)</t>
  </si>
  <si>
    <t>=IF($M1950&gt;=$P$18,U1950,0)</t>
  </si>
  <si>
    <t>=IF(AND($M1950&gt;=$Q$16,$M1950&lt;=$Q$18),U1950,0)</t>
  </si>
  <si>
    <t>=IF(AND($M1950&gt;=$R$16,$M1950&lt;=$R$18),U1950,0)</t>
  </si>
  <si>
    <t>=IF(AND($M1950&gt;=$S$16,$M1950&lt;=$S$18),U1950,0)</t>
  </si>
  <si>
    <t>=IF($M1950&lt;=$T$18,U1950,0)</t>
  </si>
  <si>
    <t>="""NAV Direct"",""CRONUS JetCorp USA"",""21"",""1"",""321149"""</t>
  </si>
  <si>
    <t>=E1949</t>
  </si>
  <si>
    <t>=StartDate-$M1951+1</t>
  </si>
  <si>
    <t>=SUM(P1951:T1951)</t>
  </si>
  <si>
    <t>=IF($M1951&gt;=$P$18,U1951,0)</t>
  </si>
  <si>
    <t>=IF(AND($M1951&gt;=$Q$16,$M1951&lt;=$Q$18),U1951,0)</t>
  </si>
  <si>
    <t>=IF(AND($M1951&gt;=$R$16,$M1951&lt;=$R$18),U1951,0)</t>
  </si>
  <si>
    <t>=IF(AND($M1951&gt;=$S$16,$M1951&lt;=$S$18),U1951,0)</t>
  </si>
  <si>
    <t>=IF($M1951&lt;=$T$18,U1951,0)</t>
  </si>
  <si>
    <t>="""NAV Direct"",""CRONUS JetCorp USA"",""21"",""1"",""321172"""</t>
  </si>
  <si>
    <t>=E1950</t>
  </si>
  <si>
    <t>=StartDate-$M1952+1</t>
  </si>
  <si>
    <t>=SUM(P1952:T1952)</t>
  </si>
  <si>
    <t>=IF($M1952&gt;=$P$18,U1952,0)</t>
  </si>
  <si>
    <t>=IF(AND($M1952&gt;=$Q$16,$M1952&lt;=$Q$18),U1952,0)</t>
  </si>
  <si>
    <t>=IF(AND($M1952&gt;=$R$16,$M1952&lt;=$R$18),U1952,0)</t>
  </si>
  <si>
    <t>=IF(AND($M1952&gt;=$S$16,$M1952&lt;=$S$18),U1952,0)</t>
  </si>
  <si>
    <t>=IF($M1952&lt;=$T$18,U1952,0)</t>
  </si>
  <si>
    <t>="""NAV Direct"",""CRONUS JetCorp USA"",""21"",""1"",""321195"""</t>
  </si>
  <si>
    <t>=E1951</t>
  </si>
  <si>
    <t>=StartDate-$M1953+1</t>
  </si>
  <si>
    <t>=SUM(P1953:T1953)</t>
  </si>
  <si>
    <t>=IF($M1953&gt;=$P$18,U1953,0)</t>
  </si>
  <si>
    <t>=IF(AND($M1953&gt;=$Q$16,$M1953&lt;=$Q$18),U1953,0)</t>
  </si>
  <si>
    <t>=IF(AND($M1953&gt;=$R$16,$M1953&lt;=$R$18),U1953,0)</t>
  </si>
  <si>
    <t>=IF(AND($M1953&gt;=$S$16,$M1953&lt;=$S$18),U1953,0)</t>
  </si>
  <si>
    <t>=IF($M1953&lt;=$T$18,U1953,0)</t>
  </si>
  <si>
    <t>="""NAV Direct"",""CRONUS JetCorp USA"",""21"",""1"",""321245"""</t>
  </si>
  <si>
    <t>=E1952</t>
  </si>
  <si>
    <t>=StartDate-$M1954+1</t>
  </si>
  <si>
    <t>=SUM(P1954:T1954)</t>
  </si>
  <si>
    <t>=IF($M1954&gt;=$P$18,U1954,0)</t>
  </si>
  <si>
    <t>=IF(AND($M1954&gt;=$Q$16,$M1954&lt;=$Q$18),U1954,0)</t>
  </si>
  <si>
    <t>=IF(AND($M1954&gt;=$R$16,$M1954&lt;=$R$18),U1954,0)</t>
  </si>
  <si>
    <t>=IF(AND($M1954&gt;=$S$16,$M1954&lt;=$S$18),U1954,0)</t>
  </si>
  <si>
    <t>=IF($M1954&lt;=$T$18,U1954,0)</t>
  </si>
  <si>
    <t>="""NAV Direct"",""CRONUS JetCorp USA"",""21"",""1"",""321293"""</t>
  </si>
  <si>
    <t>=E1953</t>
  </si>
  <si>
    <t>=StartDate-$M1955+1</t>
  </si>
  <si>
    <t>=SUM(P1955:T1955)</t>
  </si>
  <si>
    <t>=IF($M1955&gt;=$P$18,U1955,0)</t>
  </si>
  <si>
    <t>=IF(AND($M1955&gt;=$Q$16,$M1955&lt;=$Q$18),U1955,0)</t>
  </si>
  <si>
    <t>=IF(AND($M1955&gt;=$R$16,$M1955&lt;=$R$18),U1955,0)</t>
  </si>
  <si>
    <t>=IF(AND($M1955&gt;=$S$16,$M1955&lt;=$S$18),U1955,0)</t>
  </si>
  <si>
    <t>=IF($M1955&lt;=$T$18,U1955,0)</t>
  </si>
  <si>
    <t>="""NAV Direct"",""CRONUS JetCorp USA"",""21"",""1"",""321312"""</t>
  </si>
  <si>
    <t>=E1954</t>
  </si>
  <si>
    <t>=StartDate-$M1956+1</t>
  </si>
  <si>
    <t>=SUM(P1956:T1956)</t>
  </si>
  <si>
    <t>=IF($M1956&gt;=$P$18,U1956,0)</t>
  </si>
  <si>
    <t>=IF(AND($M1956&gt;=$Q$16,$M1956&lt;=$Q$18),U1956,0)</t>
  </si>
  <si>
    <t>=IF(AND($M1956&gt;=$R$16,$M1956&lt;=$R$18),U1956,0)</t>
  </si>
  <si>
    <t>=IF(AND($M1956&gt;=$S$16,$M1956&lt;=$S$18),U1956,0)</t>
  </si>
  <si>
    <t>=IF($M1956&lt;=$T$18,U1956,0)</t>
  </si>
  <si>
    <t>="""NAV Direct"",""CRONUS JetCorp USA"",""21"",""1"",""321343"""</t>
  </si>
  <si>
    <t>=E1955</t>
  </si>
  <si>
    <t>=StartDate-$M1957+1</t>
  </si>
  <si>
    <t>=SUM(P1957:T1957)</t>
  </si>
  <si>
    <t>=IF($M1957&gt;=$P$18,U1957,0)</t>
  </si>
  <si>
    <t>=IF(AND($M1957&gt;=$Q$16,$M1957&lt;=$Q$18),U1957,0)</t>
  </si>
  <si>
    <t>=IF(AND($M1957&gt;=$R$16,$M1957&lt;=$R$18),U1957,0)</t>
  </si>
  <si>
    <t>=IF(AND($M1957&gt;=$S$16,$M1957&lt;=$S$18),U1957,0)</t>
  </si>
  <si>
    <t>=IF($M1957&lt;=$T$18,U1957,0)</t>
  </si>
  <si>
    <t>="""NAV Direct"",""CRONUS JetCorp USA"",""21"",""1"",""321374"""</t>
  </si>
  <si>
    <t>=E1956</t>
  </si>
  <si>
    <t>=StartDate-$M1958+1</t>
  </si>
  <si>
    <t>=SUM(P1958:T1958)</t>
  </si>
  <si>
    <t>=IF($M1958&gt;=$P$18,U1958,0)</t>
  </si>
  <si>
    <t>=IF(AND($M1958&gt;=$Q$16,$M1958&lt;=$Q$18),U1958,0)</t>
  </si>
  <si>
    <t>=IF(AND($M1958&gt;=$R$16,$M1958&lt;=$R$18),U1958,0)</t>
  </si>
  <si>
    <t>=IF(AND($M1958&gt;=$S$16,$M1958&lt;=$S$18),U1958,0)</t>
  </si>
  <si>
    <t>=IF($M1958&lt;=$T$18,U1958,0)</t>
  </si>
  <si>
    <t>="""NAV Direct"",""CRONUS JetCorp USA"",""21"",""1"",""321481"""</t>
  </si>
  <si>
    <t>=E1957</t>
  </si>
  <si>
    <t>=StartDate-$M1959+1</t>
  </si>
  <si>
    <t>=SUM(P1959:T1959)</t>
  </si>
  <si>
    <t>=IF($M1959&gt;=$P$18,U1959,0)</t>
  </si>
  <si>
    <t>=IF(AND($M1959&gt;=$Q$16,$M1959&lt;=$Q$18),U1959,0)</t>
  </si>
  <si>
    <t>=IF(AND($M1959&gt;=$R$16,$M1959&lt;=$R$18),U1959,0)</t>
  </si>
  <si>
    <t>=IF(AND($M1959&gt;=$S$16,$M1959&lt;=$S$18),U1959,0)</t>
  </si>
  <si>
    <t>=IF($M1959&lt;=$T$18,U1959,0)</t>
  </si>
  <si>
    <t>="""NAV Direct"",""CRONUS JetCorp USA"",""21"",""1"",""321500"""</t>
  </si>
  <si>
    <t>=E1958</t>
  </si>
  <si>
    <t>=StartDate-$M1960+1</t>
  </si>
  <si>
    <t>=SUM(P1960:T1960)</t>
  </si>
  <si>
    <t>=IF($M1960&gt;=$P$18,U1960,0)</t>
  </si>
  <si>
    <t>=IF(AND($M1960&gt;=$Q$16,$M1960&lt;=$Q$18),U1960,0)</t>
  </si>
  <si>
    <t>=IF(AND($M1960&gt;=$R$16,$M1960&lt;=$R$18),U1960,0)</t>
  </si>
  <si>
    <t>=IF(AND($M1960&gt;=$S$16,$M1960&lt;=$S$18),U1960,0)</t>
  </si>
  <si>
    <t>=IF($M1960&lt;=$T$18,U1960,0)</t>
  </si>
  <si>
    <t>="""NAV Direct"",""CRONUS JetCorp USA"",""21"",""1"",""321519"""</t>
  </si>
  <si>
    <t>=E1959</t>
  </si>
  <si>
    <t>=StartDate-$M1961+1</t>
  </si>
  <si>
    <t>=SUM(P1961:T1961)</t>
  </si>
  <si>
    <t>=IF($M1961&gt;=$P$18,U1961,0)</t>
  </si>
  <si>
    <t>=IF(AND($M1961&gt;=$Q$16,$M1961&lt;=$Q$18),U1961,0)</t>
  </si>
  <si>
    <t>=IF(AND($M1961&gt;=$R$16,$M1961&lt;=$R$18),U1961,0)</t>
  </si>
  <si>
    <t>=IF(AND($M1961&gt;=$S$16,$M1961&lt;=$S$18),U1961,0)</t>
  </si>
  <si>
    <t>=IF($M1961&lt;=$T$18,U1961,0)</t>
  </si>
  <si>
    <t>="""NAV Direct"",""CRONUS JetCorp USA"",""21"",""1"",""321586"""</t>
  </si>
  <si>
    <t>=E1960</t>
  </si>
  <si>
    <t>=StartDate-$M1962+1</t>
  </si>
  <si>
    <t>=SUM(P1962:T1962)</t>
  </si>
  <si>
    <t>=IF($M1962&gt;=$P$18,U1962,0)</t>
  </si>
  <si>
    <t>=IF(AND($M1962&gt;=$Q$16,$M1962&lt;=$Q$18),U1962,0)</t>
  </si>
  <si>
    <t>=IF(AND($M1962&gt;=$R$16,$M1962&lt;=$R$18),U1962,0)</t>
  </si>
  <si>
    <t>=IF(AND($M1962&gt;=$S$16,$M1962&lt;=$S$18),U1962,0)</t>
  </si>
  <si>
    <t>=IF($M1962&lt;=$T$18,U1962,0)</t>
  </si>
  <si>
    <t>="""NAV Direct"",""CRONUS JetCorp USA"",""21"",""1"",""321605"""</t>
  </si>
  <si>
    <t>=E1961</t>
  </si>
  <si>
    <t>=StartDate-$M1963+1</t>
  </si>
  <si>
    <t>=SUM(P1963:T1963)</t>
  </si>
  <si>
    <t>=IF($M1963&gt;=$P$18,U1963,0)</t>
  </si>
  <si>
    <t>=IF(AND($M1963&gt;=$Q$16,$M1963&lt;=$Q$18),U1963,0)</t>
  </si>
  <si>
    <t>=IF(AND($M1963&gt;=$R$16,$M1963&lt;=$R$18),U1963,0)</t>
  </si>
  <si>
    <t>=IF(AND($M1963&gt;=$S$16,$M1963&lt;=$S$18),U1963,0)</t>
  </si>
  <si>
    <t>=IF($M1963&lt;=$T$18,U1963,0)</t>
  </si>
  <si>
    <t>="""NAV Direct"",""CRONUS JetCorp USA"",""21"",""1"",""321778"""</t>
  </si>
  <si>
    <t>=E1962</t>
  </si>
  <si>
    <t>=StartDate-$M1964+1</t>
  </si>
  <si>
    <t>=SUM(P1964:T1964)</t>
  </si>
  <si>
    <t>=IF($M1964&gt;=$P$18,U1964,0)</t>
  </si>
  <si>
    <t>=IF(AND($M1964&gt;=$Q$16,$M1964&lt;=$Q$18),U1964,0)</t>
  </si>
  <si>
    <t>=IF(AND($M1964&gt;=$R$16,$M1964&lt;=$R$18),U1964,0)</t>
  </si>
  <si>
    <t>=IF(AND($M1964&gt;=$S$16,$M1964&lt;=$S$18),U1964,0)</t>
  </si>
  <si>
    <t>=IF($M1964&lt;=$T$18,U1964,0)</t>
  </si>
  <si>
    <t>="""NAV Direct"",""CRONUS JetCorp USA"",""21"",""1"",""321841"""</t>
  </si>
  <si>
    <t>=E1963</t>
  </si>
  <si>
    <t>=StartDate-$M1965+1</t>
  </si>
  <si>
    <t>=SUM(P1965:T1965)</t>
  </si>
  <si>
    <t>=IF($M1965&gt;=$P$18,U1965,0)</t>
  </si>
  <si>
    <t>=IF(AND($M1965&gt;=$Q$16,$M1965&lt;=$Q$18),U1965,0)</t>
  </si>
  <si>
    <t>=IF(AND($M1965&gt;=$R$16,$M1965&lt;=$R$18),U1965,0)</t>
  </si>
  <si>
    <t>=IF(AND($M1965&gt;=$S$16,$M1965&lt;=$S$18),U1965,0)</t>
  </si>
  <si>
    <t>=IF($M1965&lt;=$T$18,U1965,0)</t>
  </si>
  <si>
    <t>="""NAV Direct"",""CRONUS JetCorp USA"",""21"",""1"",""321912"""</t>
  </si>
  <si>
    <t>=E1964</t>
  </si>
  <si>
    <t>=StartDate-$M1966+1</t>
  </si>
  <si>
    <t>=SUM(P1966:T1966)</t>
  </si>
  <si>
    <t>=IF($M1966&gt;=$P$18,U1966,0)</t>
  </si>
  <si>
    <t>=IF(AND($M1966&gt;=$Q$16,$M1966&lt;=$Q$18),U1966,0)</t>
  </si>
  <si>
    <t>=IF(AND($M1966&gt;=$R$16,$M1966&lt;=$R$18),U1966,0)</t>
  </si>
  <si>
    <t>=IF(AND($M1966&gt;=$S$16,$M1966&lt;=$S$18),U1966,0)</t>
  </si>
  <si>
    <t>=IF($M1966&lt;=$T$18,U1966,0)</t>
  </si>
  <si>
    <t>="""NAV Direct"",""CRONUS JetCorp USA"",""21"",""1"",""321987"""</t>
  </si>
  <si>
    <t>=E1965</t>
  </si>
  <si>
    <t>=StartDate-$M1967+1</t>
  </si>
  <si>
    <t>=SUM(P1967:T1967)</t>
  </si>
  <si>
    <t>=IF($M1967&gt;=$P$18,U1967,0)</t>
  </si>
  <si>
    <t>=IF(AND($M1967&gt;=$Q$16,$M1967&lt;=$Q$18),U1967,0)</t>
  </si>
  <si>
    <t>=IF(AND($M1967&gt;=$R$16,$M1967&lt;=$R$18),U1967,0)</t>
  </si>
  <si>
    <t>=IF(AND($M1967&gt;=$S$16,$M1967&lt;=$S$18),U1967,0)</t>
  </si>
  <si>
    <t>=IF($M1967&lt;=$T$18,U1967,0)</t>
  </si>
  <si>
    <t>="""NAV Direct"",""CRONUS JetCorp USA"",""21"",""1"",""322016"""</t>
  </si>
  <si>
    <t>=E1966</t>
  </si>
  <si>
    <t>=StartDate-$M1968+1</t>
  </si>
  <si>
    <t>=SUM(P1968:T1968)</t>
  </si>
  <si>
    <t>=IF($M1968&gt;=$P$18,U1968,0)</t>
  </si>
  <si>
    <t>=IF(AND($M1968&gt;=$Q$16,$M1968&lt;=$Q$18),U1968,0)</t>
  </si>
  <si>
    <t>=IF(AND($M1968&gt;=$R$16,$M1968&lt;=$R$18),U1968,0)</t>
  </si>
  <si>
    <t>=IF(AND($M1968&gt;=$S$16,$M1968&lt;=$S$18),U1968,0)</t>
  </si>
  <si>
    <t>=IF($M1968&lt;=$T$18,U1968,0)</t>
  </si>
  <si>
    <t>="""NAV Direct"",""CRONUS JetCorp USA"",""21"",""1"",""322041"""</t>
  </si>
  <si>
    <t>=E1967</t>
  </si>
  <si>
    <t>=StartDate-$M1969+1</t>
  </si>
  <si>
    <t>=SUM(P1969:T1969)</t>
  </si>
  <si>
    <t>=IF($M1969&gt;=$P$18,U1969,0)</t>
  </si>
  <si>
    <t>=IF(AND($M1969&gt;=$Q$16,$M1969&lt;=$Q$18),U1969,0)</t>
  </si>
  <si>
    <t>=IF(AND($M1969&gt;=$R$16,$M1969&lt;=$R$18),U1969,0)</t>
  </si>
  <si>
    <t>=IF(AND($M1969&gt;=$S$16,$M1969&lt;=$S$18),U1969,0)</t>
  </si>
  <si>
    <t>=IF($M1969&lt;=$T$18,U1969,0)</t>
  </si>
  <si>
    <t>="""NAV Direct"",""CRONUS JetCorp USA"",""21"",""1"",""322093"""</t>
  </si>
  <si>
    <t>=E1968</t>
  </si>
  <si>
    <t>=StartDate-$M1970+1</t>
  </si>
  <si>
    <t>=SUM(P1970:T1970)</t>
  </si>
  <si>
    <t>=IF($M1970&gt;=$P$18,U1970,0)</t>
  </si>
  <si>
    <t>=IF(AND($M1970&gt;=$Q$16,$M1970&lt;=$Q$18),U1970,0)</t>
  </si>
  <si>
    <t>=IF(AND($M1970&gt;=$R$16,$M1970&lt;=$R$18),U1970,0)</t>
  </si>
  <si>
    <t>=IF(AND($M1970&gt;=$S$16,$M1970&lt;=$S$18),U1970,0)</t>
  </si>
  <si>
    <t>=IF($M1970&lt;=$T$18,U1970,0)</t>
  </si>
  <si>
    <t>="""NAV Direct"",""CRONUS JetCorp USA"",""21"",""1"",""322118"""</t>
  </si>
  <si>
    <t>=E1969</t>
  </si>
  <si>
    <t>=StartDate-$M1971+1</t>
  </si>
  <si>
    <t>=SUM(P1971:T1971)</t>
  </si>
  <si>
    <t>=IF($M1971&gt;=$P$18,U1971,0)</t>
  </si>
  <si>
    <t>=IF(AND($M1971&gt;=$Q$16,$M1971&lt;=$Q$18),U1971,0)</t>
  </si>
  <si>
    <t>=IF(AND($M1971&gt;=$R$16,$M1971&lt;=$R$18),U1971,0)</t>
  </si>
  <si>
    <t>=IF(AND($M1971&gt;=$S$16,$M1971&lt;=$S$18),U1971,0)</t>
  </si>
  <si>
    <t>=IF($M1971&lt;=$T$18,U1971,0)</t>
  </si>
  <si>
    <t>="""NAV Direct"",""CRONUS JetCorp USA"",""21"",""1"",""322177"""</t>
  </si>
  <si>
    <t>=E1970</t>
  </si>
  <si>
    <t>=StartDate-$M1972+1</t>
  </si>
  <si>
    <t>=SUM(P1972:T1972)</t>
  </si>
  <si>
    <t>=IF($M1972&gt;=$P$18,U1972,0)</t>
  </si>
  <si>
    <t>=IF(AND($M1972&gt;=$Q$16,$M1972&lt;=$Q$18),U1972,0)</t>
  </si>
  <si>
    <t>=IF(AND($M1972&gt;=$R$16,$M1972&lt;=$R$18),U1972,0)</t>
  </si>
  <si>
    <t>=IF(AND($M1972&gt;=$S$16,$M1972&lt;=$S$18),U1972,0)</t>
  </si>
  <si>
    <t>=IF($M1972&lt;=$T$18,U1972,0)</t>
  </si>
  <si>
    <t>="""NAV Direct"",""CRONUS JetCorp USA"",""21"",""1"",""322250"""</t>
  </si>
  <si>
    <t>=E1971</t>
  </si>
  <si>
    <t>=StartDate-$M1973+1</t>
  </si>
  <si>
    <t>=SUM(P1973:T1973)</t>
  </si>
  <si>
    <t>=IF($M1973&gt;=$P$18,U1973,0)</t>
  </si>
  <si>
    <t>=IF(AND($M1973&gt;=$Q$16,$M1973&lt;=$Q$18),U1973,0)</t>
  </si>
  <si>
    <t>=IF(AND($M1973&gt;=$R$16,$M1973&lt;=$R$18),U1973,0)</t>
  </si>
  <si>
    <t>=IF(AND($M1973&gt;=$S$16,$M1973&lt;=$S$18),U1973,0)</t>
  </si>
  <si>
    <t>=IF($M1973&lt;=$T$18,U1973,0)</t>
  </si>
  <si>
    <t>="""NAV Direct"",""CRONUS JetCorp USA"",""21"",""1"",""322296"""</t>
  </si>
  <si>
    <t>=E1972</t>
  </si>
  <si>
    <t>=StartDate-$M1974+1</t>
  </si>
  <si>
    <t>=SUM(P1974:T1974)</t>
  </si>
  <si>
    <t>=IF($M1974&gt;=$P$18,U1974,0)</t>
  </si>
  <si>
    <t>=IF(AND($M1974&gt;=$Q$16,$M1974&lt;=$Q$18),U1974,0)</t>
  </si>
  <si>
    <t>=IF(AND($M1974&gt;=$R$16,$M1974&lt;=$R$18),U1974,0)</t>
  </si>
  <si>
    <t>=IF(AND($M1974&gt;=$S$16,$M1974&lt;=$S$18),U1974,0)</t>
  </si>
  <si>
    <t>=IF($M1974&lt;=$T$18,U1974,0)</t>
  </si>
  <si>
    <t>="""NAV Direct"",""CRONUS JetCorp USA"",""21"",""1"",""322382"""</t>
  </si>
  <si>
    <t>=E1973</t>
  </si>
  <si>
    <t>=StartDate-$M1975+1</t>
  </si>
  <si>
    <t>=SUM(P1975:T1975)</t>
  </si>
  <si>
    <t>=IF($M1975&gt;=$P$18,U1975,0)</t>
  </si>
  <si>
    <t>=IF(AND($M1975&gt;=$Q$16,$M1975&lt;=$Q$18),U1975,0)</t>
  </si>
  <si>
    <t>=IF(AND($M1975&gt;=$R$16,$M1975&lt;=$R$18),U1975,0)</t>
  </si>
  <si>
    <t>=IF(AND($M1975&gt;=$S$16,$M1975&lt;=$S$18),U1975,0)</t>
  </si>
  <si>
    <t>=IF($M1975&lt;=$T$18,U1975,0)</t>
  </si>
  <si>
    <t>="""NAV Direct"",""CRONUS JetCorp USA"",""21"",""1"",""322409"""</t>
  </si>
  <si>
    <t>=E1974</t>
  </si>
  <si>
    <t>=StartDate-$M1976+1</t>
  </si>
  <si>
    <t>=SUM(P1976:T1976)</t>
  </si>
  <si>
    <t>=IF($M1976&gt;=$P$18,U1976,0)</t>
  </si>
  <si>
    <t>=IF(AND($M1976&gt;=$Q$16,$M1976&lt;=$Q$18),U1976,0)</t>
  </si>
  <si>
    <t>=IF(AND($M1976&gt;=$R$16,$M1976&lt;=$R$18),U1976,0)</t>
  </si>
  <si>
    <t>=IF(AND($M1976&gt;=$S$16,$M1976&lt;=$S$18),U1976,0)</t>
  </si>
  <si>
    <t>=IF($M1976&lt;=$T$18,U1976,0)</t>
  </si>
  <si>
    <t>="""NAV Direct"",""CRONUS JetCorp USA"",""21"",""1"",""322424"""</t>
  </si>
  <si>
    <t>=E1975</t>
  </si>
  <si>
    <t>=StartDate-$M1977+1</t>
  </si>
  <si>
    <t>=SUM(P1977:T1977)</t>
  </si>
  <si>
    <t>=IF($M1977&gt;=$P$18,U1977,0)</t>
  </si>
  <si>
    <t>=IF(AND($M1977&gt;=$Q$16,$M1977&lt;=$Q$18),U1977,0)</t>
  </si>
  <si>
    <t>=IF(AND($M1977&gt;=$R$16,$M1977&lt;=$R$18),U1977,0)</t>
  </si>
  <si>
    <t>=IF(AND($M1977&gt;=$S$16,$M1977&lt;=$S$18),U1977,0)</t>
  </si>
  <si>
    <t>=IF($M1977&lt;=$T$18,U1977,0)</t>
  </si>
  <si>
    <t>="""NAV Direct"",""CRONUS JetCorp USA"",""21"",""1"",""322499"""</t>
  </si>
  <si>
    <t>=E1976</t>
  </si>
  <si>
    <t>=StartDate-$M1978+1</t>
  </si>
  <si>
    <t>=SUM(P1978:T1978)</t>
  </si>
  <si>
    <t>=IF($M1978&gt;=$P$18,U1978,0)</t>
  </si>
  <si>
    <t>=IF(AND($M1978&gt;=$Q$16,$M1978&lt;=$Q$18),U1978,0)</t>
  </si>
  <si>
    <t>=IF(AND($M1978&gt;=$R$16,$M1978&lt;=$R$18),U1978,0)</t>
  </si>
  <si>
    <t>=IF(AND($M1978&gt;=$S$16,$M1978&lt;=$S$18),U1978,0)</t>
  </si>
  <si>
    <t>=IF($M1978&lt;=$T$18,U1978,0)</t>
  </si>
  <si>
    <t>="""NAV Direct"",""CRONUS JetCorp USA"",""21"",""1"",""322597"""</t>
  </si>
  <si>
    <t>=E1977</t>
  </si>
  <si>
    <t>=StartDate-$M1979+1</t>
  </si>
  <si>
    <t>=SUM(P1979:T1979)</t>
  </si>
  <si>
    <t>=IF($M1979&gt;=$P$18,U1979,0)</t>
  </si>
  <si>
    <t>=IF(AND($M1979&gt;=$Q$16,$M1979&lt;=$Q$18),U1979,0)</t>
  </si>
  <si>
    <t>=IF(AND($M1979&gt;=$R$16,$M1979&lt;=$R$18),U1979,0)</t>
  </si>
  <si>
    <t>=IF(AND($M1979&gt;=$S$16,$M1979&lt;=$S$18),U1979,0)</t>
  </si>
  <si>
    <t>=IF($M1979&lt;=$T$18,U1979,0)</t>
  </si>
  <si>
    <t>="""NAV Direct"",""CRONUS JetCorp USA"",""21"",""1"",""322618"""</t>
  </si>
  <si>
    <t>=E1978</t>
  </si>
  <si>
    <t>=StartDate-$M1980+1</t>
  </si>
  <si>
    <t>=SUM(P1980:T1980)</t>
  </si>
  <si>
    <t>=IF($M1980&gt;=$P$18,U1980,0)</t>
  </si>
  <si>
    <t>=IF(AND($M1980&gt;=$Q$16,$M1980&lt;=$Q$18),U1980,0)</t>
  </si>
  <si>
    <t>=IF(AND($M1980&gt;=$R$16,$M1980&lt;=$R$18),U1980,0)</t>
  </si>
  <si>
    <t>=IF(AND($M1980&gt;=$S$16,$M1980&lt;=$S$18),U1980,0)</t>
  </si>
  <si>
    <t>=IF($M1980&lt;=$T$18,U1980,0)</t>
  </si>
  <si>
    <t>="""NAV Direct"",""CRONUS JetCorp USA"",""21"",""1"",""322649"""</t>
  </si>
  <si>
    <t>=E1979</t>
  </si>
  <si>
    <t>=StartDate-$M1981+1</t>
  </si>
  <si>
    <t>=SUM(P1981:T1981)</t>
  </si>
  <si>
    <t>=IF($M1981&gt;=$P$18,U1981,0)</t>
  </si>
  <si>
    <t>=IF(AND($M1981&gt;=$Q$16,$M1981&lt;=$Q$18),U1981,0)</t>
  </si>
  <si>
    <t>=IF(AND($M1981&gt;=$R$16,$M1981&lt;=$R$18),U1981,0)</t>
  </si>
  <si>
    <t>=IF(AND($M1981&gt;=$S$16,$M1981&lt;=$S$18),U1981,0)</t>
  </si>
  <si>
    <t>=IF($M1981&lt;=$T$18,U1981,0)</t>
  </si>
  <si>
    <t>="""NAV Direct"",""CRONUS JetCorp USA"",""21"",""1"",""322762"""</t>
  </si>
  <si>
    <t>=E1980</t>
  </si>
  <si>
    <t>=StartDate-$M1982+1</t>
  </si>
  <si>
    <t>=SUM(P1982:T1982)</t>
  </si>
  <si>
    <t>=IF($M1982&gt;=$P$18,U1982,0)</t>
  </si>
  <si>
    <t>=IF(AND($M1982&gt;=$Q$16,$M1982&lt;=$Q$18),U1982,0)</t>
  </si>
  <si>
    <t>=IF(AND($M1982&gt;=$R$16,$M1982&lt;=$R$18),U1982,0)</t>
  </si>
  <si>
    <t>=IF(AND($M1982&gt;=$S$16,$M1982&lt;=$S$18),U1982,0)</t>
  </si>
  <si>
    <t>=IF($M1982&lt;=$T$18,U1982,0)</t>
  </si>
  <si>
    <t>="""NAV Direct"",""CRONUS JetCorp USA"",""21"",""1"",""322919"""</t>
  </si>
  <si>
    <t>=E1981</t>
  </si>
  <si>
    <t>=StartDate-$M1983+1</t>
  </si>
  <si>
    <t>=SUM(P1983:T1983)</t>
  </si>
  <si>
    <t>=IF($M1983&gt;=$P$18,U1983,0)</t>
  </si>
  <si>
    <t>=IF(AND($M1983&gt;=$Q$16,$M1983&lt;=$Q$18),U1983,0)</t>
  </si>
  <si>
    <t>=IF(AND($M1983&gt;=$R$16,$M1983&lt;=$R$18),U1983,0)</t>
  </si>
  <si>
    <t>=IF(AND($M1983&gt;=$S$16,$M1983&lt;=$S$18),U1983,0)</t>
  </si>
  <si>
    <t>=IF($M1983&lt;=$T$18,U1983,0)</t>
  </si>
  <si>
    <t>="""NAV Direct"",""CRONUS JetCorp USA"",""21"",""1"",""322996"""</t>
  </si>
  <si>
    <t>=E1982</t>
  </si>
  <si>
    <t>=StartDate-$M1984+1</t>
  </si>
  <si>
    <t>=SUM(P1984:T1984)</t>
  </si>
  <si>
    <t>=IF($M1984&gt;=$P$18,U1984,0)</t>
  </si>
  <si>
    <t>=IF(AND($M1984&gt;=$Q$16,$M1984&lt;=$Q$18),U1984,0)</t>
  </si>
  <si>
    <t>=IF(AND($M1984&gt;=$R$16,$M1984&lt;=$R$18),U1984,0)</t>
  </si>
  <si>
    <t>=IF(AND($M1984&gt;=$S$16,$M1984&lt;=$S$18),U1984,0)</t>
  </si>
  <si>
    <t>=IF($M1984&lt;=$T$18,U1984,0)</t>
  </si>
  <si>
    <t>="""NAV Direct"",""CRONUS JetCorp USA"",""21"",""1"",""323036"""</t>
  </si>
  <si>
    <t>=E1983</t>
  </si>
  <si>
    <t>=StartDate-$M1985+1</t>
  </si>
  <si>
    <t>=SUM(P1985:T1985)</t>
  </si>
  <si>
    <t>=IF($M1985&gt;=$P$18,U1985,0)</t>
  </si>
  <si>
    <t>=IF(AND($M1985&gt;=$Q$16,$M1985&lt;=$Q$18),U1985,0)</t>
  </si>
  <si>
    <t>=IF(AND($M1985&gt;=$R$16,$M1985&lt;=$R$18),U1985,0)</t>
  </si>
  <si>
    <t>=IF(AND($M1985&gt;=$S$16,$M1985&lt;=$S$18),U1985,0)</t>
  </si>
  <si>
    <t>=IF($M1985&lt;=$T$18,U1985,0)</t>
  </si>
  <si>
    <t>="""NAV Direct"",""CRONUS JetCorp USA"",""21"",""1"",""323143"""</t>
  </si>
  <si>
    <t>=E1984</t>
  </si>
  <si>
    <t>=StartDate-$M1986+1</t>
  </si>
  <si>
    <t>=SUM(P1986:T1986)</t>
  </si>
  <si>
    <t>=IF($M1986&gt;=$P$18,U1986,0)</t>
  </si>
  <si>
    <t>=IF(AND($M1986&gt;=$Q$16,$M1986&lt;=$Q$18),U1986,0)</t>
  </si>
  <si>
    <t>=IF(AND($M1986&gt;=$R$16,$M1986&lt;=$R$18),U1986,0)</t>
  </si>
  <si>
    <t>=IF(AND($M1986&gt;=$S$16,$M1986&lt;=$S$18),U1986,0)</t>
  </si>
  <si>
    <t>=IF($M1986&lt;=$T$18,U1986,0)</t>
  </si>
  <si>
    <t>="""NAV Direct"",""CRONUS JetCorp USA"",""21"",""1"",""323191"""</t>
  </si>
  <si>
    <t>=E1985</t>
  </si>
  <si>
    <t>=StartDate-$M1987+1</t>
  </si>
  <si>
    <t>=SUM(P1987:T1987)</t>
  </si>
  <si>
    <t>=IF($M1987&gt;=$P$18,U1987,0)</t>
  </si>
  <si>
    <t>=IF(AND($M1987&gt;=$Q$16,$M1987&lt;=$Q$18),U1987,0)</t>
  </si>
  <si>
    <t>=IF(AND($M1987&gt;=$R$16,$M1987&lt;=$R$18),U1987,0)</t>
  </si>
  <si>
    <t>=IF(AND($M1987&gt;=$S$16,$M1987&lt;=$S$18),U1987,0)</t>
  </si>
  <si>
    <t>=IF($M1987&lt;=$T$18,U1987,0)</t>
  </si>
  <si>
    <t>="""NAV Direct"",""CRONUS JetCorp USA"",""21"",""1"",""323371"""</t>
  </si>
  <si>
    <t>=E1986</t>
  </si>
  <si>
    <t>=StartDate-$M1988+1</t>
  </si>
  <si>
    <t>=SUM(P1988:T1988)</t>
  </si>
  <si>
    <t>=IF($M1988&gt;=$P$18,U1988,0)</t>
  </si>
  <si>
    <t>=IF(AND($M1988&gt;=$Q$16,$M1988&lt;=$Q$18),U1988,0)</t>
  </si>
  <si>
    <t>=IF(AND($M1988&gt;=$R$16,$M1988&lt;=$R$18),U1988,0)</t>
  </si>
  <si>
    <t>=IF(AND($M1988&gt;=$S$16,$M1988&lt;=$S$18),U1988,0)</t>
  </si>
  <si>
    <t>=IF($M1988&lt;=$T$18,U1988,0)</t>
  </si>
  <si>
    <t>="""NAV Direct"",""CRONUS JetCorp USA"",""21"",""1"",""323417"""</t>
  </si>
  <si>
    <t>=E1987</t>
  </si>
  <si>
    <t>=StartDate-$M1989+1</t>
  </si>
  <si>
    <t>=SUM(P1989:T1989)</t>
  </si>
  <si>
    <t>=IF($M1989&gt;=$P$18,U1989,0)</t>
  </si>
  <si>
    <t>=IF(AND($M1989&gt;=$Q$16,$M1989&lt;=$Q$18),U1989,0)</t>
  </si>
  <si>
    <t>=IF(AND($M1989&gt;=$R$16,$M1989&lt;=$R$18),U1989,0)</t>
  </si>
  <si>
    <t>=IF(AND($M1989&gt;=$S$16,$M1989&lt;=$S$18),U1989,0)</t>
  </si>
  <si>
    <t>=IF($M1989&lt;=$T$18,U1989,0)</t>
  </si>
  <si>
    <t>="""NAV Direct"",""CRONUS JetCorp USA"",""21"",""1"",""323440"""</t>
  </si>
  <si>
    <t>=E1988</t>
  </si>
  <si>
    <t>=StartDate-$M1990+1</t>
  </si>
  <si>
    <t>=SUM(P1990:T1990)</t>
  </si>
  <si>
    <t>=IF($M1990&gt;=$P$18,U1990,0)</t>
  </si>
  <si>
    <t>=IF(AND($M1990&gt;=$Q$16,$M1990&lt;=$Q$18),U1990,0)</t>
  </si>
  <si>
    <t>=IF(AND($M1990&gt;=$R$16,$M1990&lt;=$R$18),U1990,0)</t>
  </si>
  <si>
    <t>=IF(AND($M1990&gt;=$S$16,$M1990&lt;=$S$18),U1990,0)</t>
  </si>
  <si>
    <t>=IF($M1990&lt;=$T$18,U1990,0)</t>
  </si>
  <si>
    <t>="""NAV Direct"",""CRONUS JetCorp USA"",""21"",""1"",""323459"""</t>
  </si>
  <si>
    <t>=E1989</t>
  </si>
  <si>
    <t>=StartDate-$M1991+1</t>
  </si>
  <si>
    <t>=SUM(P1991:T1991)</t>
  </si>
  <si>
    <t>=IF($M1991&gt;=$P$18,U1991,0)</t>
  </si>
  <si>
    <t>=IF(AND($M1991&gt;=$Q$16,$M1991&lt;=$Q$18),U1991,0)</t>
  </si>
  <si>
    <t>=IF(AND($M1991&gt;=$R$16,$M1991&lt;=$R$18),U1991,0)</t>
  </si>
  <si>
    <t>=IF(AND($M1991&gt;=$S$16,$M1991&lt;=$S$18),U1991,0)</t>
  </si>
  <si>
    <t>=IF($M1991&lt;=$T$18,U1991,0)</t>
  </si>
  <si>
    <t>="""NAV Direct"",""CRONUS JetCorp USA"",""21"",""1"",""323528"""</t>
  </si>
  <si>
    <t>=E1990</t>
  </si>
  <si>
    <t>=StartDate-$M1992+1</t>
  </si>
  <si>
    <t>=SUM(P1992:T1992)</t>
  </si>
  <si>
    <t>=IF($M1992&gt;=$P$18,U1992,0)</t>
  </si>
  <si>
    <t>=IF(AND($M1992&gt;=$Q$16,$M1992&lt;=$Q$18),U1992,0)</t>
  </si>
  <si>
    <t>=IF(AND($M1992&gt;=$R$16,$M1992&lt;=$R$18),U1992,0)</t>
  </si>
  <si>
    <t>=IF(AND($M1992&gt;=$S$16,$M1992&lt;=$S$18),U1992,0)</t>
  </si>
  <si>
    <t>=IF($M1992&lt;=$T$18,U1992,0)</t>
  </si>
  <si>
    <t>="""NAV Direct"",""CRONUS JetCorp USA"",""21"",""1"",""323553"""</t>
  </si>
  <si>
    <t>=E1991</t>
  </si>
  <si>
    <t>=StartDate-$M1993+1</t>
  </si>
  <si>
    <t>=SUM(P1993:T1993)</t>
  </si>
  <si>
    <t>=IF($M1993&gt;=$P$18,U1993,0)</t>
  </si>
  <si>
    <t>=IF(AND($M1993&gt;=$Q$16,$M1993&lt;=$Q$18),U1993,0)</t>
  </si>
  <si>
    <t>=IF(AND($M1993&gt;=$R$16,$M1993&lt;=$R$18),U1993,0)</t>
  </si>
  <si>
    <t>=IF(AND($M1993&gt;=$S$16,$M1993&lt;=$S$18),U1993,0)</t>
  </si>
  <si>
    <t>=IF($M1993&lt;=$T$18,U1993,0)</t>
  </si>
  <si>
    <t>="""NAV Direct"",""CRONUS JetCorp USA"",""21"",""1"",""323574"""</t>
  </si>
  <si>
    <t>=E1992</t>
  </si>
  <si>
    <t>=StartDate-$M1994+1</t>
  </si>
  <si>
    <t>=SUM(P1994:T1994)</t>
  </si>
  <si>
    <t>=IF($M1994&gt;=$P$18,U1994,0)</t>
  </si>
  <si>
    <t>=IF(AND($M1994&gt;=$Q$16,$M1994&lt;=$Q$18),U1994,0)</t>
  </si>
  <si>
    <t>=IF(AND($M1994&gt;=$R$16,$M1994&lt;=$R$18),U1994,0)</t>
  </si>
  <si>
    <t>=IF(AND($M1994&gt;=$S$16,$M1994&lt;=$S$18),U1994,0)</t>
  </si>
  <si>
    <t>=IF($M1994&lt;=$T$18,U1994,0)</t>
  </si>
  <si>
    <t>="""NAV Direct"",""CRONUS JetCorp USA"",""21"",""1"",""323591"""</t>
  </si>
  <si>
    <t>=E1993</t>
  </si>
  <si>
    <t>=StartDate-$M1995+1</t>
  </si>
  <si>
    <t>=SUM(P1995:T1995)</t>
  </si>
  <si>
    <t>=IF($M1995&gt;=$P$18,U1995,0)</t>
  </si>
  <si>
    <t>=IF(AND($M1995&gt;=$Q$16,$M1995&lt;=$Q$18),U1995,0)</t>
  </si>
  <si>
    <t>=IF(AND($M1995&gt;=$R$16,$M1995&lt;=$R$18),U1995,0)</t>
  </si>
  <si>
    <t>=IF(AND($M1995&gt;=$S$16,$M1995&lt;=$S$18),U1995,0)</t>
  </si>
  <si>
    <t>=IF($M1995&lt;=$T$18,U1995,0)</t>
  </si>
  <si>
    <t>="""NAV Direct"",""CRONUS JetCorp USA"",""21"",""1"",""323633"""</t>
  </si>
  <si>
    <t>=E1994</t>
  </si>
  <si>
    <t>=StartDate-$M1996+1</t>
  </si>
  <si>
    <t>=SUM(P1996:T1996)</t>
  </si>
  <si>
    <t>=IF($M1996&gt;=$P$18,U1996,0)</t>
  </si>
  <si>
    <t>=IF(AND($M1996&gt;=$Q$16,$M1996&lt;=$Q$18),U1996,0)</t>
  </si>
  <si>
    <t>=IF(AND($M1996&gt;=$R$16,$M1996&lt;=$R$18),U1996,0)</t>
  </si>
  <si>
    <t>=IF(AND($M1996&gt;=$S$16,$M1996&lt;=$S$18),U1996,0)</t>
  </si>
  <si>
    <t>=IF($M1996&lt;=$T$18,U1996,0)</t>
  </si>
  <si>
    <t>="""NAV Direct"",""CRONUS JetCorp USA"",""21"",""1"",""323656"""</t>
  </si>
  <si>
    <t>=E1995</t>
  </si>
  <si>
    <t>=StartDate-$M1997+1</t>
  </si>
  <si>
    <t>=SUM(P1997:T1997)</t>
  </si>
  <si>
    <t>=IF($M1997&gt;=$P$18,U1997,0)</t>
  </si>
  <si>
    <t>=IF(AND($M1997&gt;=$Q$16,$M1997&lt;=$Q$18),U1997,0)</t>
  </si>
  <si>
    <t>=IF(AND($M1997&gt;=$R$16,$M1997&lt;=$R$18),U1997,0)</t>
  </si>
  <si>
    <t>=IF(AND($M1997&gt;=$S$16,$M1997&lt;=$S$18),U1997,0)</t>
  </si>
  <si>
    <t>=IF($M1997&lt;=$T$18,U1997,0)</t>
  </si>
  <si>
    <t>="""NAV Direct"",""CRONUS JetCorp USA"",""21"",""1"",""323694"""</t>
  </si>
  <si>
    <t>=E1996</t>
  </si>
  <si>
    <t>=StartDate-$M1998+1</t>
  </si>
  <si>
    <t>=SUM(P1998:T1998)</t>
  </si>
  <si>
    <t>=IF($M1998&gt;=$P$18,U1998,0)</t>
  </si>
  <si>
    <t>=IF(AND($M1998&gt;=$Q$16,$M1998&lt;=$Q$18),U1998,0)</t>
  </si>
  <si>
    <t>=IF(AND($M1998&gt;=$R$16,$M1998&lt;=$R$18),U1998,0)</t>
  </si>
  <si>
    <t>=IF(AND($M1998&gt;=$S$16,$M1998&lt;=$S$18),U1998,0)</t>
  </si>
  <si>
    <t>=IF($M1998&lt;=$T$18,U1998,0)</t>
  </si>
  <si>
    <t>="""NAV Direct"",""CRONUS JetCorp USA"",""21"",""1"",""323763"""</t>
  </si>
  <si>
    <t>=E1997</t>
  </si>
  <si>
    <t>=StartDate-$M1999+1</t>
  </si>
  <si>
    <t>=SUM(P1999:T1999)</t>
  </si>
  <si>
    <t>=IF($M1999&gt;=$P$18,U1999,0)</t>
  </si>
  <si>
    <t>=IF(AND($M1999&gt;=$Q$16,$M1999&lt;=$Q$18),U1999,0)</t>
  </si>
  <si>
    <t>=IF(AND($M1999&gt;=$R$16,$M1999&lt;=$R$18),U1999,0)</t>
  </si>
  <si>
    <t>=IF(AND($M1999&gt;=$S$16,$M1999&lt;=$S$18),U1999,0)</t>
  </si>
  <si>
    <t>=IF($M1999&lt;=$T$18,U1999,0)</t>
  </si>
  <si>
    <t>="""NAV Direct"",""CRONUS JetCorp USA"",""21"",""1"",""323792"""</t>
  </si>
  <si>
    <t>=E1998</t>
  </si>
  <si>
    <t>=StartDate-$M2000+1</t>
  </si>
  <si>
    <t>=SUM(P2000:T2000)</t>
  </si>
  <si>
    <t>=IF($M2000&gt;=$P$18,U2000,0)</t>
  </si>
  <si>
    <t>=IF(AND($M2000&gt;=$Q$16,$M2000&lt;=$Q$18),U2000,0)</t>
  </si>
  <si>
    <t>=IF(AND($M2000&gt;=$R$16,$M2000&lt;=$R$18),U2000,0)</t>
  </si>
  <si>
    <t>=IF(AND($M2000&gt;=$S$16,$M2000&lt;=$S$18),U2000,0)</t>
  </si>
  <si>
    <t>=IF($M2000&lt;=$T$18,U2000,0)</t>
  </si>
  <si>
    <t>="""NAV Direct"",""CRONUS JetCorp USA"",""21"",""1"",""323815"""</t>
  </si>
  <si>
    <t>=E1999</t>
  </si>
  <si>
    <t>=StartDate-$M2001+1</t>
  </si>
  <si>
    <t>=SUM(P2001:T2001)</t>
  </si>
  <si>
    <t>=IF($M2001&gt;=$P$18,U2001,0)</t>
  </si>
  <si>
    <t>=IF(AND($M2001&gt;=$Q$16,$M2001&lt;=$Q$18),U2001,0)</t>
  </si>
  <si>
    <t>=IF(AND($M2001&gt;=$R$16,$M2001&lt;=$R$18),U2001,0)</t>
  </si>
  <si>
    <t>=IF(AND($M2001&gt;=$S$16,$M2001&lt;=$S$18),U2001,0)</t>
  </si>
  <si>
    <t>=IF($M2001&lt;=$T$18,U2001,0)</t>
  </si>
  <si>
    <t>="""NAV Direct"",""CRONUS JetCorp USA"",""21"",""1"",""323830"""</t>
  </si>
  <si>
    <t>=E2000</t>
  </si>
  <si>
    <t>=StartDate-$M2002+1</t>
  </si>
  <si>
    <t>=SUM(P2002:T2002)</t>
  </si>
  <si>
    <t>=IF($M2002&gt;=$P$18,U2002,0)</t>
  </si>
  <si>
    <t>=IF(AND($M2002&gt;=$Q$16,$M2002&lt;=$Q$18),U2002,0)</t>
  </si>
  <si>
    <t>=IF(AND($M2002&gt;=$R$16,$M2002&lt;=$R$18),U2002,0)</t>
  </si>
  <si>
    <t>=IF(AND($M2002&gt;=$S$16,$M2002&lt;=$S$18),U2002,0)</t>
  </si>
  <si>
    <t>=IF($M2002&lt;=$T$18,U2002,0)</t>
  </si>
  <si>
    <t>="""NAV Direct"",""CRONUS JetCorp USA"",""21"",""1"",""323878"""</t>
  </si>
  <si>
    <t>=E2001</t>
  </si>
  <si>
    <t>=StartDate-$M2003+1</t>
  </si>
  <si>
    <t>=SUM(P2003:T2003)</t>
  </si>
  <si>
    <t>=IF($M2003&gt;=$P$18,U2003,0)</t>
  </si>
  <si>
    <t>=IF(AND($M2003&gt;=$Q$16,$M2003&lt;=$Q$18),U2003,0)</t>
  </si>
  <si>
    <t>=IF(AND($M2003&gt;=$R$16,$M2003&lt;=$R$18),U2003,0)</t>
  </si>
  <si>
    <t>=IF(AND($M2003&gt;=$S$16,$M2003&lt;=$S$18),U2003,0)</t>
  </si>
  <si>
    <t>=IF($M2003&lt;=$T$18,U2003,0)</t>
  </si>
  <si>
    <t>="""NAV Direct"",""CRONUS JetCorp USA"",""21"",""1"",""323903"""</t>
  </si>
  <si>
    <t>=E2002</t>
  </si>
  <si>
    <t>=StartDate-$M2004+1</t>
  </si>
  <si>
    <t>=SUM(P2004:T2004)</t>
  </si>
  <si>
    <t>=IF($M2004&gt;=$P$18,U2004,0)</t>
  </si>
  <si>
    <t>=IF(AND($M2004&gt;=$Q$16,$M2004&lt;=$Q$18),U2004,0)</t>
  </si>
  <si>
    <t>=IF(AND($M2004&gt;=$R$16,$M2004&lt;=$R$18),U2004,0)</t>
  </si>
  <si>
    <t>=IF(AND($M2004&gt;=$S$16,$M2004&lt;=$S$18),U2004,0)</t>
  </si>
  <si>
    <t>=IF($M2004&lt;=$T$18,U2004,0)</t>
  </si>
  <si>
    <t>="""NAV Direct"",""CRONUS JetCorp USA"",""21"",""1"",""323924"""</t>
  </si>
  <si>
    <t>=E2003</t>
  </si>
  <si>
    <t>=StartDate-$M2005+1</t>
  </si>
  <si>
    <t>=SUM(P2005:T2005)</t>
  </si>
  <si>
    <t>=IF($M2005&gt;=$P$18,U2005,0)</t>
  </si>
  <si>
    <t>=IF(AND($M2005&gt;=$Q$16,$M2005&lt;=$Q$18),U2005,0)</t>
  </si>
  <si>
    <t>=IF(AND($M2005&gt;=$R$16,$M2005&lt;=$R$18),U2005,0)</t>
  </si>
  <si>
    <t>=IF(AND($M2005&gt;=$S$16,$M2005&lt;=$S$18),U2005,0)</t>
  </si>
  <si>
    <t>=IF($M2005&lt;=$T$18,U2005,0)</t>
  </si>
  <si>
    <t>="""NAV Direct"",""CRONUS JetCorp USA"",""21"",""1"",""323970"""</t>
  </si>
  <si>
    <t>=E2004</t>
  </si>
  <si>
    <t>=StartDate-$M2006+1</t>
  </si>
  <si>
    <t>=SUM(P2006:T2006)</t>
  </si>
  <si>
    <t>=IF($M2006&gt;=$P$18,U2006,0)</t>
  </si>
  <si>
    <t>=IF(AND($M2006&gt;=$Q$16,$M2006&lt;=$Q$18),U2006,0)</t>
  </si>
  <si>
    <t>=IF(AND($M2006&gt;=$R$16,$M2006&lt;=$R$18),U2006,0)</t>
  </si>
  <si>
    <t>=IF(AND($M2006&gt;=$S$16,$M2006&lt;=$S$18),U2006,0)</t>
  </si>
  <si>
    <t>=IF($M2006&lt;=$T$18,U2006,0)</t>
  </si>
  <si>
    <t>="""NAV Direct"",""CRONUS JetCorp USA"",""21"",""1"",""324022"""</t>
  </si>
  <si>
    <t>=E2005</t>
  </si>
  <si>
    <t>=StartDate-$M2007+1</t>
  </si>
  <si>
    <t>=SUM(P2007:T2007)</t>
  </si>
  <si>
    <t>=IF($M2007&gt;=$P$18,U2007,0)</t>
  </si>
  <si>
    <t>=IF(AND($M2007&gt;=$Q$16,$M2007&lt;=$Q$18),U2007,0)</t>
  </si>
  <si>
    <t>=IF(AND($M2007&gt;=$R$16,$M2007&lt;=$R$18),U2007,0)</t>
  </si>
  <si>
    <t>=IF(AND($M2007&gt;=$S$16,$M2007&lt;=$S$18),U2007,0)</t>
  </si>
  <si>
    <t>=IF($M2007&lt;=$T$18,U2007,0)</t>
  </si>
  <si>
    <t>="""NAV Direct"",""CRONUS JetCorp USA"",""21"",""1"",""324129"""</t>
  </si>
  <si>
    <t>=E2006</t>
  </si>
  <si>
    <t>=StartDate-$M2008+1</t>
  </si>
  <si>
    <t>=SUM(P2008:T2008)</t>
  </si>
  <si>
    <t>=IF($M2008&gt;=$P$18,U2008,0)</t>
  </si>
  <si>
    <t>=IF(AND($M2008&gt;=$Q$16,$M2008&lt;=$Q$18),U2008,0)</t>
  </si>
  <si>
    <t>=IF(AND($M2008&gt;=$R$16,$M2008&lt;=$R$18),U2008,0)</t>
  </si>
  <si>
    <t>=IF(AND($M2008&gt;=$S$16,$M2008&lt;=$S$18),U2008,0)</t>
  </si>
  <si>
    <t>=IF($M2008&lt;=$T$18,U2008,0)</t>
  </si>
  <si>
    <t>="""NAV Direct"",""CRONUS JetCorp USA"",""21"",""1"",""324154"""</t>
  </si>
  <si>
    <t>=E2007</t>
  </si>
  <si>
    <t>=StartDate-$M2009+1</t>
  </si>
  <si>
    <t>=SUM(P2009:T2009)</t>
  </si>
  <si>
    <t>=IF($M2009&gt;=$P$18,U2009,0)</t>
  </si>
  <si>
    <t>=IF(AND($M2009&gt;=$Q$16,$M2009&lt;=$Q$18),U2009,0)</t>
  </si>
  <si>
    <t>=IF(AND($M2009&gt;=$R$16,$M2009&lt;=$R$18),U2009,0)</t>
  </si>
  <si>
    <t>=IF(AND($M2009&gt;=$S$16,$M2009&lt;=$S$18),U2009,0)</t>
  </si>
  <si>
    <t>=IF($M2009&lt;=$T$18,U2009,0)</t>
  </si>
  <si>
    <t>="""NAV Direct"",""CRONUS JetCorp USA"",""21"",""1"",""324225"""</t>
  </si>
  <si>
    <t>=E2008</t>
  </si>
  <si>
    <t>=StartDate-$M2010+1</t>
  </si>
  <si>
    <t>=SUM(P2010:T2010)</t>
  </si>
  <si>
    <t>=IF($M2010&gt;=$P$18,U2010,0)</t>
  </si>
  <si>
    <t>=IF(AND($M2010&gt;=$Q$16,$M2010&lt;=$Q$18),U2010,0)</t>
  </si>
  <si>
    <t>=IF(AND($M2010&gt;=$R$16,$M2010&lt;=$R$18),U2010,0)</t>
  </si>
  <si>
    <t>=IF(AND($M2010&gt;=$S$16,$M2010&lt;=$S$18),U2010,0)</t>
  </si>
  <si>
    <t>=IF($M2010&lt;=$T$18,U2010,0)</t>
  </si>
  <si>
    <t>="""NAV Direct"",""CRONUS JetCorp USA"",""21"",""1"",""324242"""</t>
  </si>
  <si>
    <t>=E2009</t>
  </si>
  <si>
    <t>=StartDate-$M2011+1</t>
  </si>
  <si>
    <t>=SUM(P2011:T2011)</t>
  </si>
  <si>
    <t>=IF($M2011&gt;=$P$18,U2011,0)</t>
  </si>
  <si>
    <t>=IF(AND($M2011&gt;=$Q$16,$M2011&lt;=$Q$18),U2011,0)</t>
  </si>
  <si>
    <t>=IF(AND($M2011&gt;=$R$16,$M2011&lt;=$R$18),U2011,0)</t>
  </si>
  <si>
    <t>=IF(AND($M2011&gt;=$S$16,$M2011&lt;=$S$18),U2011,0)</t>
  </si>
  <si>
    <t>=IF($M2011&lt;=$T$18,U2011,0)</t>
  </si>
  <si>
    <t>="""NAV Direct"",""CRONUS JetCorp USA"",""21"",""1"",""324265"""</t>
  </si>
  <si>
    <t>=E2010</t>
  </si>
  <si>
    <t>=StartDate-$M2012+1</t>
  </si>
  <si>
    <t>=SUM(P2012:T2012)</t>
  </si>
  <si>
    <t>=IF($M2012&gt;=$P$18,U2012,0)</t>
  </si>
  <si>
    <t>=IF(AND($M2012&gt;=$Q$16,$M2012&lt;=$Q$18),U2012,0)</t>
  </si>
  <si>
    <t>=IF(AND($M2012&gt;=$R$16,$M2012&lt;=$R$18),U2012,0)</t>
  </si>
  <si>
    <t>=IF(AND($M2012&gt;=$S$16,$M2012&lt;=$S$18),U2012,0)</t>
  </si>
  <si>
    <t>=IF($M2012&lt;=$T$18,U2012,0)</t>
  </si>
  <si>
    <t>="""NAV Direct"",""CRONUS JetCorp USA"",""21"",""1"",""324313"""</t>
  </si>
  <si>
    <t>=E2011</t>
  </si>
  <si>
    <t>=StartDate-$M2013+1</t>
  </si>
  <si>
    <t>=SUM(P2013:T2013)</t>
  </si>
  <si>
    <t>=IF($M2013&gt;=$P$18,U2013,0)</t>
  </si>
  <si>
    <t>=IF(AND($M2013&gt;=$Q$16,$M2013&lt;=$Q$18),U2013,0)</t>
  </si>
  <si>
    <t>=IF(AND($M2013&gt;=$R$16,$M2013&lt;=$R$18),U2013,0)</t>
  </si>
  <si>
    <t>=IF(AND($M2013&gt;=$S$16,$M2013&lt;=$S$18),U2013,0)</t>
  </si>
  <si>
    <t>=IF($M2013&lt;=$T$18,U2013,0)</t>
  </si>
  <si>
    <t>="""NAV Direct"",""CRONUS JetCorp USA"",""21"",""1"",""324355"""</t>
  </si>
  <si>
    <t>=E2012</t>
  </si>
  <si>
    <t>=StartDate-$M2014+1</t>
  </si>
  <si>
    <t>=SUM(P2014:T2014)</t>
  </si>
  <si>
    <t>=IF($M2014&gt;=$P$18,U2014,0)</t>
  </si>
  <si>
    <t>=IF(AND($M2014&gt;=$Q$16,$M2014&lt;=$Q$18),U2014,0)</t>
  </si>
  <si>
    <t>=IF(AND($M2014&gt;=$R$16,$M2014&lt;=$R$18),U2014,0)</t>
  </si>
  <si>
    <t>=IF(AND($M2014&gt;=$S$16,$M2014&lt;=$S$18),U2014,0)</t>
  </si>
  <si>
    <t>=IF($M2014&lt;=$T$18,U2014,0)</t>
  </si>
  <si>
    <t>="""NAV Direct"",""CRONUS JetCorp USA"",""21"",""1"",""324370"""</t>
  </si>
  <si>
    <t>=E2013</t>
  </si>
  <si>
    <t>=StartDate-$M2015+1</t>
  </si>
  <si>
    <t>=SUM(P2015:T2015)</t>
  </si>
  <si>
    <t>=IF($M2015&gt;=$P$18,U2015,0)</t>
  </si>
  <si>
    <t>=IF(AND($M2015&gt;=$Q$16,$M2015&lt;=$Q$18),U2015,0)</t>
  </si>
  <si>
    <t>=IF(AND($M2015&gt;=$R$16,$M2015&lt;=$R$18),U2015,0)</t>
  </si>
  <si>
    <t>=IF(AND($M2015&gt;=$S$16,$M2015&lt;=$S$18),U2015,0)</t>
  </si>
  <si>
    <t>=IF($M2015&lt;=$T$18,U2015,0)</t>
  </si>
  <si>
    <t>="""NAV Direct"",""CRONUS JetCorp USA"",""21"",""1"",""324454"""</t>
  </si>
  <si>
    <t>=E2014</t>
  </si>
  <si>
    <t>=StartDate-$M2016+1</t>
  </si>
  <si>
    <t>=SUM(P2016:T2016)</t>
  </si>
  <si>
    <t>=IF($M2016&gt;=$P$18,U2016,0)</t>
  </si>
  <si>
    <t>=IF(AND($M2016&gt;=$Q$16,$M2016&lt;=$Q$18),U2016,0)</t>
  </si>
  <si>
    <t>=IF(AND($M2016&gt;=$R$16,$M2016&lt;=$R$18),U2016,0)</t>
  </si>
  <si>
    <t>=IF(AND($M2016&gt;=$S$16,$M2016&lt;=$S$18),U2016,0)</t>
  </si>
  <si>
    <t>=IF($M2016&lt;=$T$18,U2016,0)</t>
  </si>
  <si>
    <t>="""NAV Direct"",""CRONUS JetCorp USA"",""21"",""1"",""324473"""</t>
  </si>
  <si>
    <t>=E2015</t>
  </si>
  <si>
    <t>=StartDate-$M2017+1</t>
  </si>
  <si>
    <t>=SUM(P2017:T2017)</t>
  </si>
  <si>
    <t>=IF($M2017&gt;=$P$18,U2017,0)</t>
  </si>
  <si>
    <t>=IF(AND($M2017&gt;=$Q$16,$M2017&lt;=$Q$18),U2017,0)</t>
  </si>
  <si>
    <t>=IF(AND($M2017&gt;=$R$16,$M2017&lt;=$R$18),U2017,0)</t>
  </si>
  <si>
    <t>=IF(AND($M2017&gt;=$S$16,$M2017&lt;=$S$18),U2017,0)</t>
  </si>
  <si>
    <t>=IF($M2017&lt;=$T$18,U2017,0)</t>
  </si>
  <si>
    <t>="""NAV Direct"",""CRONUS JetCorp USA"",""21"",""1"",""324544"""</t>
  </si>
  <si>
    <t>=E2016</t>
  </si>
  <si>
    <t>=StartDate-$M2018+1</t>
  </si>
  <si>
    <t>=SUM(P2018:T2018)</t>
  </si>
  <si>
    <t>=IF($M2018&gt;=$P$18,U2018,0)</t>
  </si>
  <si>
    <t>=IF(AND($M2018&gt;=$Q$16,$M2018&lt;=$Q$18),U2018,0)</t>
  </si>
  <si>
    <t>=IF(AND($M2018&gt;=$R$16,$M2018&lt;=$R$18),U2018,0)</t>
  </si>
  <si>
    <t>=IF(AND($M2018&gt;=$S$16,$M2018&lt;=$S$18),U2018,0)</t>
  </si>
  <si>
    <t>=IF($M2018&lt;=$T$18,U2018,0)</t>
  </si>
  <si>
    <t>="""NAV Direct"",""CRONUS JetCorp USA"",""21"",""1"",""324584"""</t>
  </si>
  <si>
    <t>=E2017</t>
  </si>
  <si>
    <t>=StartDate-$M2019+1</t>
  </si>
  <si>
    <t>=SUM(P2019:T2019)</t>
  </si>
  <si>
    <t>=IF($M2019&gt;=$P$18,U2019,0)</t>
  </si>
  <si>
    <t>=IF(AND($M2019&gt;=$Q$16,$M2019&lt;=$Q$18),U2019,0)</t>
  </si>
  <si>
    <t>=IF(AND($M2019&gt;=$R$16,$M2019&lt;=$R$18),U2019,0)</t>
  </si>
  <si>
    <t>=IF(AND($M2019&gt;=$S$16,$M2019&lt;=$S$18),U2019,0)</t>
  </si>
  <si>
    <t>=IF($M2019&lt;=$T$18,U2019,0)</t>
  </si>
  <si>
    <t>="""NAV Direct"",""CRONUS JetCorp USA"",""21"",""1"",""324609"""</t>
  </si>
  <si>
    <t>=E2018</t>
  </si>
  <si>
    <t>=StartDate-$M2020+1</t>
  </si>
  <si>
    <t>=SUM(P2020:T2020)</t>
  </si>
  <si>
    <t>=IF($M2020&gt;=$P$18,U2020,0)</t>
  </si>
  <si>
    <t>=IF(AND($M2020&gt;=$Q$16,$M2020&lt;=$Q$18),U2020,0)</t>
  </si>
  <si>
    <t>=IF(AND($M2020&gt;=$R$16,$M2020&lt;=$R$18),U2020,0)</t>
  </si>
  <si>
    <t>=IF(AND($M2020&gt;=$S$16,$M2020&lt;=$S$18),U2020,0)</t>
  </si>
  <si>
    <t>=IF($M2020&lt;=$T$18,U2020,0)</t>
  </si>
  <si>
    <t>="""NAV Direct"",""CRONUS JetCorp USA"",""21"",""1"",""324651"""</t>
  </si>
  <si>
    <t>=E2019</t>
  </si>
  <si>
    <t>=StartDate-$M2021+1</t>
  </si>
  <si>
    <t>=SUM(P2021:T2021)</t>
  </si>
  <si>
    <t>=IF($M2021&gt;=$P$18,U2021,0)</t>
  </si>
  <si>
    <t>=IF(AND($M2021&gt;=$Q$16,$M2021&lt;=$Q$18),U2021,0)</t>
  </si>
  <si>
    <t>=IF(AND($M2021&gt;=$R$16,$M2021&lt;=$R$18),U2021,0)</t>
  </si>
  <si>
    <t>=IF(AND($M2021&gt;=$S$16,$M2021&lt;=$S$18),U2021,0)</t>
  </si>
  <si>
    <t>=IF($M2021&lt;=$T$18,U2021,0)</t>
  </si>
  <si>
    <t>="""NAV Direct"",""CRONUS JetCorp USA"",""21"",""1"",""324693"""</t>
  </si>
  <si>
    <t>=E2020</t>
  </si>
  <si>
    <t>=StartDate-$M2022+1</t>
  </si>
  <si>
    <t>=SUM(P2022:T2022)</t>
  </si>
  <si>
    <t>=IF($M2022&gt;=$P$18,U2022,0)</t>
  </si>
  <si>
    <t>=IF(AND($M2022&gt;=$Q$16,$M2022&lt;=$Q$18),U2022,0)</t>
  </si>
  <si>
    <t>=IF(AND($M2022&gt;=$R$16,$M2022&lt;=$R$18),U2022,0)</t>
  </si>
  <si>
    <t>=IF(AND($M2022&gt;=$S$16,$M2022&lt;=$S$18),U2022,0)</t>
  </si>
  <si>
    <t>=IF($M2022&lt;=$T$18,U2022,0)</t>
  </si>
  <si>
    <t>="""NAV Direct"",""CRONUS JetCorp USA"",""21"",""1"",""324733"""</t>
  </si>
  <si>
    <t>=E2021</t>
  </si>
  <si>
    <t>=StartDate-$M2023+1</t>
  </si>
  <si>
    <t>=SUM(P2023:T2023)</t>
  </si>
  <si>
    <t>=IF($M2023&gt;=$P$18,U2023,0)</t>
  </si>
  <si>
    <t>=IF(AND($M2023&gt;=$Q$16,$M2023&lt;=$Q$18),U2023,0)</t>
  </si>
  <si>
    <t>=IF(AND($M2023&gt;=$R$16,$M2023&lt;=$R$18),U2023,0)</t>
  </si>
  <si>
    <t>=IF(AND($M2023&gt;=$S$16,$M2023&lt;=$S$18),U2023,0)</t>
  </si>
  <si>
    <t>=IF($M2023&lt;=$T$18,U2023,0)</t>
  </si>
  <si>
    <t>="""NAV Direct"",""CRONUS JetCorp USA"",""21"",""1"",""324758"""</t>
  </si>
  <si>
    <t>=E2022</t>
  </si>
  <si>
    <t>=StartDate-$M2024+1</t>
  </si>
  <si>
    <t>=SUM(P2024:T2024)</t>
  </si>
  <si>
    <t>=IF($M2024&gt;=$P$18,U2024,0)</t>
  </si>
  <si>
    <t>=IF(AND($M2024&gt;=$Q$16,$M2024&lt;=$Q$18),U2024,0)</t>
  </si>
  <si>
    <t>=IF(AND($M2024&gt;=$R$16,$M2024&lt;=$R$18),U2024,0)</t>
  </si>
  <si>
    <t>=IF(AND($M2024&gt;=$S$16,$M2024&lt;=$S$18),U2024,0)</t>
  </si>
  <si>
    <t>=IF($M2024&lt;=$T$18,U2024,0)</t>
  </si>
  <si>
    <t>="""NAV Direct"",""CRONUS JetCorp USA"",""21"",""1"",""324850"""</t>
  </si>
  <si>
    <t>=E2023</t>
  </si>
  <si>
    <t>=StartDate-$M2025+1</t>
  </si>
  <si>
    <t>=SUM(P2025:T2025)</t>
  </si>
  <si>
    <t>=IF($M2025&gt;=$P$18,U2025,0)</t>
  </si>
  <si>
    <t>=IF(AND($M2025&gt;=$Q$16,$M2025&lt;=$Q$18),U2025,0)</t>
  </si>
  <si>
    <t>=IF(AND($M2025&gt;=$R$16,$M2025&lt;=$R$18),U2025,0)</t>
  </si>
  <si>
    <t>=IF(AND($M2025&gt;=$S$16,$M2025&lt;=$S$18),U2025,0)</t>
  </si>
  <si>
    <t>=IF($M2025&lt;=$T$18,U2025,0)</t>
  </si>
  <si>
    <t>="""NAV Direct"",""CRONUS JetCorp USA"",""21"",""1"",""324894"""</t>
  </si>
  <si>
    <t>=E2024</t>
  </si>
  <si>
    <t>=StartDate-$M2026+1</t>
  </si>
  <si>
    <t>=SUM(P2026:T2026)</t>
  </si>
  <si>
    <t>=IF($M2026&gt;=$P$18,U2026,0)</t>
  </si>
  <si>
    <t>=IF(AND($M2026&gt;=$Q$16,$M2026&lt;=$Q$18),U2026,0)</t>
  </si>
  <si>
    <t>=IF(AND($M2026&gt;=$R$16,$M2026&lt;=$R$18),U2026,0)</t>
  </si>
  <si>
    <t>=IF(AND($M2026&gt;=$S$16,$M2026&lt;=$S$18),U2026,0)</t>
  </si>
  <si>
    <t>=IF($M2026&lt;=$T$18,U2026,0)</t>
  </si>
  <si>
    <t>="""NAV Direct"",""CRONUS JetCorp USA"",""21"",""1"",""324915"""</t>
  </si>
  <si>
    <t>=E2025</t>
  </si>
  <si>
    <t>=StartDate-$M2027+1</t>
  </si>
  <si>
    <t>=SUM(P2027:T2027)</t>
  </si>
  <si>
    <t>=IF($M2027&gt;=$P$18,U2027,0)</t>
  </si>
  <si>
    <t>=IF(AND($M2027&gt;=$Q$16,$M2027&lt;=$Q$18),U2027,0)</t>
  </si>
  <si>
    <t>=IF(AND($M2027&gt;=$R$16,$M2027&lt;=$R$18),U2027,0)</t>
  </si>
  <si>
    <t>=IF(AND($M2027&gt;=$S$16,$M2027&lt;=$S$18),U2027,0)</t>
  </si>
  <si>
    <t>=IF($M2027&lt;=$T$18,U2027,0)</t>
  </si>
  <si>
    <t>="""NAV Direct"",""CRONUS JetCorp USA"",""21"",""1"",""324957"""</t>
  </si>
  <si>
    <t>=E2026</t>
  </si>
  <si>
    <t>=StartDate-$M2028+1</t>
  </si>
  <si>
    <t>=SUM(P2028:T2028)</t>
  </si>
  <si>
    <t>=IF($M2028&gt;=$P$18,U2028,0)</t>
  </si>
  <si>
    <t>=IF(AND($M2028&gt;=$Q$16,$M2028&lt;=$Q$18),U2028,0)</t>
  </si>
  <si>
    <t>=IF(AND($M2028&gt;=$R$16,$M2028&lt;=$R$18),U2028,0)</t>
  </si>
  <si>
    <t>=IF(AND($M2028&gt;=$S$16,$M2028&lt;=$S$18),U2028,0)</t>
  </si>
  <si>
    <t>=IF($M2028&lt;=$T$18,U2028,0)</t>
  </si>
  <si>
    <t>="""NAV Direct"",""CRONUS JetCorp USA"",""21"",""1"",""324982"""</t>
  </si>
  <si>
    <t>=E2027</t>
  </si>
  <si>
    <t>=StartDate-$M2029+1</t>
  </si>
  <si>
    <t>=SUM(P2029:T2029)</t>
  </si>
  <si>
    <t>=IF($M2029&gt;=$P$18,U2029,0)</t>
  </si>
  <si>
    <t>=IF(AND($M2029&gt;=$Q$16,$M2029&lt;=$Q$18),U2029,0)</t>
  </si>
  <si>
    <t>=IF(AND($M2029&gt;=$R$16,$M2029&lt;=$R$18),U2029,0)</t>
  </si>
  <si>
    <t>=IF(AND($M2029&gt;=$S$16,$M2029&lt;=$S$18),U2029,0)</t>
  </si>
  <si>
    <t>=IF($M2029&lt;=$T$18,U2029,0)</t>
  </si>
  <si>
    <t>="""NAV Direct"",""CRONUS JetCorp USA"",""21"",""1"",""325005"""</t>
  </si>
  <si>
    <t>=E2028</t>
  </si>
  <si>
    <t>=StartDate-$M2030+1</t>
  </si>
  <si>
    <t>=SUM(P2030:T2030)</t>
  </si>
  <si>
    <t>=IF($M2030&gt;=$P$18,U2030,0)</t>
  </si>
  <si>
    <t>=IF(AND($M2030&gt;=$Q$16,$M2030&lt;=$Q$18),U2030,0)</t>
  </si>
  <si>
    <t>=IF(AND($M2030&gt;=$R$16,$M2030&lt;=$R$18),U2030,0)</t>
  </si>
  <si>
    <t>=IF(AND($M2030&gt;=$S$16,$M2030&lt;=$S$18),U2030,0)</t>
  </si>
  <si>
    <t>=IF($M2030&lt;=$T$18,U2030,0)</t>
  </si>
  <si>
    <t>="""NAV Direct"",""CRONUS JetCorp USA"",""21"",""1"",""325037"""</t>
  </si>
  <si>
    <t>=E2029</t>
  </si>
  <si>
    <t>=StartDate-$M2031+1</t>
  </si>
  <si>
    <t>=SUM(P2031:T2031)</t>
  </si>
  <si>
    <t>=IF($M2031&gt;=$P$18,U2031,0)</t>
  </si>
  <si>
    <t>=IF(AND($M2031&gt;=$Q$16,$M2031&lt;=$Q$18),U2031,0)</t>
  </si>
  <si>
    <t>=IF(AND($M2031&gt;=$R$16,$M2031&lt;=$R$18),U2031,0)</t>
  </si>
  <si>
    <t>=IF(AND($M2031&gt;=$S$16,$M2031&lt;=$S$18),U2031,0)</t>
  </si>
  <si>
    <t>=IF($M2031&lt;=$T$18,U2031,0)</t>
  </si>
  <si>
    <t>="""NAV Direct"",""CRONUS JetCorp USA"",""21"",""1"",""325079"""</t>
  </si>
  <si>
    <t>=E2030</t>
  </si>
  <si>
    <t>=StartDate-$M2032+1</t>
  </si>
  <si>
    <t>=SUM(P2032:T2032)</t>
  </si>
  <si>
    <t>=IF($M2032&gt;=$P$18,U2032,0)</t>
  </si>
  <si>
    <t>=IF(AND($M2032&gt;=$Q$16,$M2032&lt;=$Q$18),U2032,0)</t>
  </si>
  <si>
    <t>=IF(AND($M2032&gt;=$R$16,$M2032&lt;=$R$18),U2032,0)</t>
  </si>
  <si>
    <t>=IF(AND($M2032&gt;=$S$16,$M2032&lt;=$S$18),U2032,0)</t>
  </si>
  <si>
    <t>=IF($M2032&lt;=$T$18,U2032,0)</t>
  </si>
  <si>
    <t>="""NAV Direct"",""CRONUS JetCorp USA"",""21"",""1"",""325188"""</t>
  </si>
  <si>
    <t>=E2031</t>
  </si>
  <si>
    <t>=StartDate-$M2033+1</t>
  </si>
  <si>
    <t>=SUM(P2033:T2033)</t>
  </si>
  <si>
    <t>=IF($M2033&gt;=$P$18,U2033,0)</t>
  </si>
  <si>
    <t>=IF(AND($M2033&gt;=$Q$16,$M2033&lt;=$Q$18),U2033,0)</t>
  </si>
  <si>
    <t>=IF(AND($M2033&gt;=$R$16,$M2033&lt;=$R$18),U2033,0)</t>
  </si>
  <si>
    <t>=IF(AND($M2033&gt;=$S$16,$M2033&lt;=$S$18),U2033,0)</t>
  </si>
  <si>
    <t>=IF($M2033&lt;=$T$18,U2033,0)</t>
  </si>
  <si>
    <t>="""NAV Direct"",""CRONUS JetCorp USA"",""21"",""1"",""325238"""</t>
  </si>
  <si>
    <t>=E2032</t>
  </si>
  <si>
    <t>=StartDate-$M2034+1</t>
  </si>
  <si>
    <t>=SUM(P2034:T2034)</t>
  </si>
  <si>
    <t>=IF($M2034&gt;=$P$18,U2034,0)</t>
  </si>
  <si>
    <t>=IF(AND($M2034&gt;=$Q$16,$M2034&lt;=$Q$18),U2034,0)</t>
  </si>
  <si>
    <t>=IF(AND($M2034&gt;=$R$16,$M2034&lt;=$R$18),U2034,0)</t>
  </si>
  <si>
    <t>=IF(AND($M2034&gt;=$S$16,$M2034&lt;=$S$18),U2034,0)</t>
  </si>
  <si>
    <t>=IF($M2034&lt;=$T$18,U2034,0)</t>
  </si>
  <si>
    <t>="""NAV Direct"",""CRONUS JetCorp USA"",""21"",""1"",""325280"""</t>
  </si>
  <si>
    <t>=E2033</t>
  </si>
  <si>
    <t>=StartDate-$M2035+1</t>
  </si>
  <si>
    <t>=SUM(P2035:T2035)</t>
  </si>
  <si>
    <t>=IF($M2035&gt;=$P$18,U2035,0)</t>
  </si>
  <si>
    <t>=IF(AND($M2035&gt;=$Q$16,$M2035&lt;=$Q$18),U2035,0)</t>
  </si>
  <si>
    <t>=IF(AND($M2035&gt;=$R$16,$M2035&lt;=$R$18),U2035,0)</t>
  </si>
  <si>
    <t>=IF(AND($M2035&gt;=$S$16,$M2035&lt;=$S$18),U2035,0)</t>
  </si>
  <si>
    <t>=IF($M2035&lt;=$T$18,U2035,0)</t>
  </si>
  <si>
    <t>="""NAV Direct"",""CRONUS JetCorp USA"",""21"",""1"",""325301"""</t>
  </si>
  <si>
    <t>=E2034</t>
  </si>
  <si>
    <t>=StartDate-$M2036+1</t>
  </si>
  <si>
    <t>=SUM(P2036:T2036)</t>
  </si>
  <si>
    <t>=IF($M2036&gt;=$P$18,U2036,0)</t>
  </si>
  <si>
    <t>=IF(AND($M2036&gt;=$Q$16,$M2036&lt;=$Q$18),U2036,0)</t>
  </si>
  <si>
    <t>=IF(AND($M2036&gt;=$R$16,$M2036&lt;=$R$18),U2036,0)</t>
  </si>
  <si>
    <t>=IF(AND($M2036&gt;=$S$16,$M2036&lt;=$S$18),U2036,0)</t>
  </si>
  <si>
    <t>=IF($M2036&lt;=$T$18,U2036,0)</t>
  </si>
  <si>
    <t>="""NAV Direct"",""CRONUS JetCorp USA"",""21"",""1"",""325324"""</t>
  </si>
  <si>
    <t>=E2035</t>
  </si>
  <si>
    <t>=StartDate-$M2037+1</t>
  </si>
  <si>
    <t>=SUM(P2037:T2037)</t>
  </si>
  <si>
    <t>=IF($M2037&gt;=$P$18,U2037,0)</t>
  </si>
  <si>
    <t>=IF(AND($M2037&gt;=$Q$16,$M2037&lt;=$Q$18),U2037,0)</t>
  </si>
  <si>
    <t>=IF(AND($M2037&gt;=$R$16,$M2037&lt;=$R$18),U2037,0)</t>
  </si>
  <si>
    <t>=IF(AND($M2037&gt;=$S$16,$M2037&lt;=$S$18),U2037,0)</t>
  </si>
  <si>
    <t>=IF($M2037&lt;=$T$18,U2037,0)</t>
  </si>
  <si>
    <t>="""NAV Direct"",""CRONUS JetCorp USA"",""21"",""1"",""325345"""</t>
  </si>
  <si>
    <t>=E2036</t>
  </si>
  <si>
    <t>=StartDate-$M2038+1</t>
  </si>
  <si>
    <t>=SUM(P2038:T2038)</t>
  </si>
  <si>
    <t>=IF($M2038&gt;=$P$18,U2038,0)</t>
  </si>
  <si>
    <t>=IF(AND($M2038&gt;=$Q$16,$M2038&lt;=$Q$18),U2038,0)</t>
  </si>
  <si>
    <t>=IF(AND($M2038&gt;=$R$16,$M2038&lt;=$R$18),U2038,0)</t>
  </si>
  <si>
    <t>=IF(AND($M2038&gt;=$S$16,$M2038&lt;=$S$18),U2038,0)</t>
  </si>
  <si>
    <t>=IF($M2038&lt;=$T$18,U2038,0)</t>
  </si>
  <si>
    <t>="""NAV Direct"",""CRONUS JetCorp USA"",""21"",""1"",""325366"""</t>
  </si>
  <si>
    <t>=E2037</t>
  </si>
  <si>
    <t>=StartDate-$M2039+1</t>
  </si>
  <si>
    <t>=SUM(P2039:T2039)</t>
  </si>
  <si>
    <t>=IF($M2039&gt;=$P$18,U2039,0)</t>
  </si>
  <si>
    <t>=IF(AND($M2039&gt;=$Q$16,$M2039&lt;=$Q$18),U2039,0)</t>
  </si>
  <si>
    <t>=IF(AND($M2039&gt;=$R$16,$M2039&lt;=$R$18),U2039,0)</t>
  </si>
  <si>
    <t>=IF(AND($M2039&gt;=$S$16,$M2039&lt;=$S$18),U2039,0)</t>
  </si>
  <si>
    <t>=IF($M2039&lt;=$T$18,U2039,0)</t>
  </si>
  <si>
    <t>="""NAV Direct"",""CRONUS JetCorp USA"",""21"",""1"",""325389"""</t>
  </si>
  <si>
    <t>=E2038</t>
  </si>
  <si>
    <t>=StartDate-$M2040+1</t>
  </si>
  <si>
    <t>=SUM(P2040:T2040)</t>
  </si>
  <si>
    <t>=IF($M2040&gt;=$P$18,U2040,0)</t>
  </si>
  <si>
    <t>=IF(AND($M2040&gt;=$Q$16,$M2040&lt;=$Q$18),U2040,0)</t>
  </si>
  <si>
    <t>=IF(AND($M2040&gt;=$R$16,$M2040&lt;=$R$18),U2040,0)</t>
  </si>
  <si>
    <t>=IF(AND($M2040&gt;=$S$16,$M2040&lt;=$S$18),U2040,0)</t>
  </si>
  <si>
    <t>=IF($M2040&lt;=$T$18,U2040,0)</t>
  </si>
  <si>
    <t>="""NAV Direct"",""CRONUS JetCorp USA"",""21"",""1"",""325410"""</t>
  </si>
  <si>
    <t>=E2039</t>
  </si>
  <si>
    <t>=StartDate-$M2041+1</t>
  </si>
  <si>
    <t>=SUM(P2041:T2041)</t>
  </si>
  <si>
    <t>=IF($M2041&gt;=$P$18,U2041,0)</t>
  </si>
  <si>
    <t>=IF(AND($M2041&gt;=$Q$16,$M2041&lt;=$Q$18),U2041,0)</t>
  </si>
  <si>
    <t>=IF(AND($M2041&gt;=$R$16,$M2041&lt;=$R$18),U2041,0)</t>
  </si>
  <si>
    <t>=IF(AND($M2041&gt;=$S$16,$M2041&lt;=$S$18),U2041,0)</t>
  </si>
  <si>
    <t>=IF($M2041&lt;=$T$18,U2041,0)</t>
  </si>
  <si>
    <t>="""NAV Direct"",""CRONUS JetCorp USA"",""21"",""1"",""325477"""</t>
  </si>
  <si>
    <t>=E2040</t>
  </si>
  <si>
    <t>=StartDate-$M2042+1</t>
  </si>
  <si>
    <t>=SUM(P2042:T2042)</t>
  </si>
  <si>
    <t>=IF($M2042&gt;=$P$18,U2042,0)</t>
  </si>
  <si>
    <t>=IF(AND($M2042&gt;=$Q$16,$M2042&lt;=$Q$18),U2042,0)</t>
  </si>
  <si>
    <t>=IF(AND($M2042&gt;=$R$16,$M2042&lt;=$R$18),U2042,0)</t>
  </si>
  <si>
    <t>=IF(AND($M2042&gt;=$S$16,$M2042&lt;=$S$18),U2042,0)</t>
  </si>
  <si>
    <t>=IF($M2042&lt;=$T$18,U2042,0)</t>
  </si>
  <si>
    <t>="""NAV Direct"",""CRONUS JetCorp USA"",""21"",""1"",""431183"""</t>
  </si>
  <si>
    <t>=E2041</t>
  </si>
  <si>
    <t>=StartDate-$M2043+1</t>
  </si>
  <si>
    <t>=SUM(P2043:T2043)</t>
  </si>
  <si>
    <t>=IF($M2043&gt;=$P$18,U2043,0)</t>
  </si>
  <si>
    <t>=IF(AND($M2043&gt;=$Q$16,$M2043&lt;=$Q$18),U2043,0)</t>
  </si>
  <si>
    <t>=IF(AND($M2043&gt;=$R$16,$M2043&lt;=$R$18),U2043,0)</t>
  </si>
  <si>
    <t>=IF(AND($M2043&gt;=$S$16,$M2043&lt;=$S$18),U2043,0)</t>
  </si>
  <si>
    <t>=IF($M2043&lt;=$T$18,U2043,0)</t>
  </si>
  <si>
    <t>="""NAV Direct"",""CRONUS JetCorp USA"",""21"",""1"",""431235"""</t>
  </si>
  <si>
    <t>=E2042</t>
  </si>
  <si>
    <t>=StartDate-$M2044+1</t>
  </si>
  <si>
    <t>=SUM(P2044:T2044)</t>
  </si>
  <si>
    <t>=IF($M2044&gt;=$P$18,U2044,0)</t>
  </si>
  <si>
    <t>=IF(AND($M2044&gt;=$Q$16,$M2044&lt;=$Q$18),U2044,0)</t>
  </si>
  <si>
    <t>=IF(AND($M2044&gt;=$R$16,$M2044&lt;=$R$18),U2044,0)</t>
  </si>
  <si>
    <t>=IF(AND($M2044&gt;=$S$16,$M2044&lt;=$S$18),U2044,0)</t>
  </si>
  <si>
    <t>=IF($M2044&lt;=$T$18,U2044,0)</t>
  </si>
  <si>
    <t>="""NAV Direct"",""CRONUS JetCorp USA"",""21"",""1"",""431248"""</t>
  </si>
  <si>
    <t>=E2043</t>
  </si>
  <si>
    <t>=StartDate-$M2045+1</t>
  </si>
  <si>
    <t>=SUM(P2045:T2045)</t>
  </si>
  <si>
    <t>=IF($M2045&gt;=$P$18,U2045,0)</t>
  </si>
  <si>
    <t>=IF(AND($M2045&gt;=$Q$16,$M2045&lt;=$Q$18),U2045,0)</t>
  </si>
  <si>
    <t>=IF(AND($M2045&gt;=$R$16,$M2045&lt;=$R$18),U2045,0)</t>
  </si>
  <si>
    <t>=IF(AND($M2045&gt;=$S$16,$M2045&lt;=$S$18),U2045,0)</t>
  </si>
  <si>
    <t>=IF($M2045&lt;=$T$18,U2045,0)</t>
  </si>
  <si>
    <t>="""NAV Direct"",""CRONUS JetCorp USA"",""21"",""1"",""431265"""</t>
  </si>
  <si>
    <t>=E2044</t>
  </si>
  <si>
    <t>=StartDate-$M2046+1</t>
  </si>
  <si>
    <t>=SUM(P2046:T2046)</t>
  </si>
  <si>
    <t>=IF($M2046&gt;=$P$18,U2046,0)</t>
  </si>
  <si>
    <t>=IF(AND($M2046&gt;=$Q$16,$M2046&lt;=$Q$18),U2046,0)</t>
  </si>
  <si>
    <t>=IF(AND($M2046&gt;=$R$16,$M2046&lt;=$R$18),U2046,0)</t>
  </si>
  <si>
    <t>=IF(AND($M2046&gt;=$S$16,$M2046&lt;=$S$18),U2046,0)</t>
  </si>
  <si>
    <t>=IF($M2046&lt;=$T$18,U2046,0)</t>
  </si>
  <si>
    <t>="""NAV Direct"",""CRONUS JetCorp USA"",""21"",""1"",""431306"""</t>
  </si>
  <si>
    <t>=E2045</t>
  </si>
  <si>
    <t>=StartDate-$M2047+1</t>
  </si>
  <si>
    <t>=SUM(P2047:T2047)</t>
  </si>
  <si>
    <t>=IF($M2047&gt;=$P$18,U2047,0)</t>
  </si>
  <si>
    <t>=IF(AND($M2047&gt;=$Q$16,$M2047&lt;=$Q$18),U2047,0)</t>
  </si>
  <si>
    <t>=IF(AND($M2047&gt;=$R$16,$M2047&lt;=$R$18),U2047,0)</t>
  </si>
  <si>
    <t>=IF(AND($M2047&gt;=$S$16,$M2047&lt;=$S$18),U2047,0)</t>
  </si>
  <si>
    <t>=IF($M2047&lt;=$T$18,U2047,0)</t>
  </si>
  <si>
    <t>="""NAV Direct"",""CRONUS JetCorp USA"",""21"",""1"",""431319"""</t>
  </si>
  <si>
    <t>=E2046</t>
  </si>
  <si>
    <t>=StartDate-$M2048+1</t>
  </si>
  <si>
    <t>=SUM(P2048:T2048)</t>
  </si>
  <si>
    <t>=IF($M2048&gt;=$P$18,U2048,0)</t>
  </si>
  <si>
    <t>=IF(AND($M2048&gt;=$Q$16,$M2048&lt;=$Q$18),U2048,0)</t>
  </si>
  <si>
    <t>=IF(AND($M2048&gt;=$R$16,$M2048&lt;=$R$18),U2048,0)</t>
  </si>
  <si>
    <t>=IF(AND($M2048&gt;=$S$16,$M2048&lt;=$S$18),U2048,0)</t>
  </si>
  <si>
    <t>=IF($M2048&lt;=$T$18,U2048,0)</t>
  </si>
  <si>
    <t>="""NAV Direct"",""CRONUS JetCorp USA"",""21"",""1"",""431338"""</t>
  </si>
  <si>
    <t>=E2047</t>
  </si>
  <si>
    <t>=StartDate-$M2049+1</t>
  </si>
  <si>
    <t>=SUM(P2049:T2049)</t>
  </si>
  <si>
    <t>=IF($M2049&gt;=$P$18,U2049,0)</t>
  </si>
  <si>
    <t>=IF(AND($M2049&gt;=$Q$16,$M2049&lt;=$Q$18),U2049,0)</t>
  </si>
  <si>
    <t>=IF(AND($M2049&gt;=$R$16,$M2049&lt;=$R$18),U2049,0)</t>
  </si>
  <si>
    <t>=IF(AND($M2049&gt;=$S$16,$M2049&lt;=$S$18),U2049,0)</t>
  </si>
  <si>
    <t>=IF($M2049&lt;=$T$18,U2049,0)</t>
  </si>
  <si>
    <t>="""NAV Direct"",""CRONUS JetCorp USA"",""21"",""1"",""431388"""</t>
  </si>
  <si>
    <t>=E2048</t>
  </si>
  <si>
    <t>=StartDate-$M2050+1</t>
  </si>
  <si>
    <t>=SUM(P2050:T2050)</t>
  </si>
  <si>
    <t>=IF($M2050&gt;=$P$18,U2050,0)</t>
  </si>
  <si>
    <t>=IF(AND($M2050&gt;=$Q$16,$M2050&lt;=$Q$18),U2050,0)</t>
  </si>
  <si>
    <t>=IF(AND($M2050&gt;=$R$16,$M2050&lt;=$R$18),U2050,0)</t>
  </si>
  <si>
    <t>=IF(AND($M2050&gt;=$S$16,$M2050&lt;=$S$18),U2050,0)</t>
  </si>
  <si>
    <t>=IF($M2050&lt;=$T$18,U2050,0)</t>
  </si>
  <si>
    <t>="""NAV Direct"",""CRONUS JetCorp USA"",""21"",""1"",""431437"""</t>
  </si>
  <si>
    <t>=E2049</t>
  </si>
  <si>
    <t>=StartDate-$M2051+1</t>
  </si>
  <si>
    <t>=SUM(P2051:T2051)</t>
  </si>
  <si>
    <t>=IF($M2051&gt;=$P$18,U2051,0)</t>
  </si>
  <si>
    <t>=IF(AND($M2051&gt;=$Q$16,$M2051&lt;=$Q$18),U2051,0)</t>
  </si>
  <si>
    <t>=IF(AND($M2051&gt;=$R$16,$M2051&lt;=$R$18),U2051,0)</t>
  </si>
  <si>
    <t>=IF(AND($M2051&gt;=$S$16,$M2051&lt;=$S$18),U2051,0)</t>
  </si>
  <si>
    <t>=IF($M2051&lt;=$T$18,U2051,0)</t>
  </si>
  <si>
    <t>="""NAV Direct"",""CRONUS JetCorp USA"",""21"",""1"",""431448"""</t>
  </si>
  <si>
    <t>=E2050</t>
  </si>
  <si>
    <t>=StartDate-$M2052+1</t>
  </si>
  <si>
    <t>=SUM(P2052:T2052)</t>
  </si>
  <si>
    <t>=IF($M2052&gt;=$P$18,U2052,0)</t>
  </si>
  <si>
    <t>=IF(AND($M2052&gt;=$Q$16,$M2052&lt;=$Q$18),U2052,0)</t>
  </si>
  <si>
    <t>=IF(AND($M2052&gt;=$R$16,$M2052&lt;=$R$18),U2052,0)</t>
  </si>
  <si>
    <t>=IF(AND($M2052&gt;=$S$16,$M2052&lt;=$S$18),U2052,0)</t>
  </si>
  <si>
    <t>=IF($M2052&lt;=$T$18,U2052,0)</t>
  </si>
  <si>
    <t>="""NAV Direct"",""CRONUS JetCorp USA"",""21"",""1"",""431485"""</t>
  </si>
  <si>
    <t>=E2051</t>
  </si>
  <si>
    <t>=StartDate-$M2053+1</t>
  </si>
  <si>
    <t>=SUM(P2053:T2053)</t>
  </si>
  <si>
    <t>=IF($M2053&gt;=$P$18,U2053,0)</t>
  </si>
  <si>
    <t>=IF(AND($M2053&gt;=$Q$16,$M2053&lt;=$Q$18),U2053,0)</t>
  </si>
  <si>
    <t>=IF(AND($M2053&gt;=$R$16,$M2053&lt;=$R$18),U2053,0)</t>
  </si>
  <si>
    <t>=IF(AND($M2053&gt;=$S$16,$M2053&lt;=$S$18),U2053,0)</t>
  </si>
  <si>
    <t>=IF($M2053&lt;=$T$18,U2053,0)</t>
  </si>
  <si>
    <t>="""NAV Direct"",""CRONUS JetCorp USA"",""21"",""1"",""431524"""</t>
  </si>
  <si>
    <t>=E2052</t>
  </si>
  <si>
    <t>=StartDate-$M2054+1</t>
  </si>
  <si>
    <t>=SUM(P2054:T2054)</t>
  </si>
  <si>
    <t>=IF($M2054&gt;=$P$18,U2054,0)</t>
  </si>
  <si>
    <t>=IF(AND($M2054&gt;=$Q$16,$M2054&lt;=$Q$18),U2054,0)</t>
  </si>
  <si>
    <t>=IF(AND($M2054&gt;=$R$16,$M2054&lt;=$R$18),U2054,0)</t>
  </si>
  <si>
    <t>=IF(AND($M2054&gt;=$S$16,$M2054&lt;=$S$18),U2054,0)</t>
  </si>
  <si>
    <t>=IF($M2054&lt;=$T$18,U2054,0)</t>
  </si>
  <si>
    <t>="""NAV Direct"",""CRONUS JetCorp USA"",""21"",""1"",""431561"""</t>
  </si>
  <si>
    <t>=E2053</t>
  </si>
  <si>
    <t>=StartDate-$M2055+1</t>
  </si>
  <si>
    <t>=SUM(P2055:T2055)</t>
  </si>
  <si>
    <t>=IF($M2055&gt;=$P$18,U2055,0)</t>
  </si>
  <si>
    <t>=IF(AND($M2055&gt;=$Q$16,$M2055&lt;=$Q$18),U2055,0)</t>
  </si>
  <si>
    <t>=IF(AND($M2055&gt;=$R$16,$M2055&lt;=$R$18),U2055,0)</t>
  </si>
  <si>
    <t>=IF(AND($M2055&gt;=$S$16,$M2055&lt;=$S$18),U2055,0)</t>
  </si>
  <si>
    <t>=IF($M2055&lt;=$T$18,U2055,0)</t>
  </si>
  <si>
    <t>="""NAV Direct"",""CRONUS JetCorp USA"",""21"",""1"",""431574"""</t>
  </si>
  <si>
    <t>=E2054</t>
  </si>
  <si>
    <t>=StartDate-$M2056+1</t>
  </si>
  <si>
    <t>=SUM(P2056:T2056)</t>
  </si>
  <si>
    <t>=IF($M2056&gt;=$P$18,U2056,0)</t>
  </si>
  <si>
    <t>=IF(AND($M2056&gt;=$Q$16,$M2056&lt;=$Q$18),U2056,0)</t>
  </si>
  <si>
    <t>=IF(AND($M2056&gt;=$R$16,$M2056&lt;=$R$18),U2056,0)</t>
  </si>
  <si>
    <t>=IF(AND($M2056&gt;=$S$16,$M2056&lt;=$S$18),U2056,0)</t>
  </si>
  <si>
    <t>=IF($M2056&lt;=$T$18,U2056,0)</t>
  </si>
  <si>
    <t>="""NAV Direct"",""CRONUS JetCorp USA"",""21"",""1"",""431610"""</t>
  </si>
  <si>
    <t>=E2055</t>
  </si>
  <si>
    <t>=StartDate-$M2057+1</t>
  </si>
  <si>
    <t>=SUM(P2057:T2057)</t>
  </si>
  <si>
    <t>=IF($M2057&gt;=$P$18,U2057,0)</t>
  </si>
  <si>
    <t>=IF(AND($M2057&gt;=$Q$16,$M2057&lt;=$Q$18),U2057,0)</t>
  </si>
  <si>
    <t>=IF(AND($M2057&gt;=$R$16,$M2057&lt;=$R$18),U2057,0)</t>
  </si>
  <si>
    <t>=IF(AND($M2057&gt;=$S$16,$M2057&lt;=$S$18),U2057,0)</t>
  </si>
  <si>
    <t>=IF($M2057&lt;=$T$18,U2057,0)</t>
  </si>
  <si>
    <t>="""NAV Direct"",""CRONUS JetCorp USA"",""21"",""1"",""431673"""</t>
  </si>
  <si>
    <t>=E2056</t>
  </si>
  <si>
    <t>=StartDate-$M2058+1</t>
  </si>
  <si>
    <t>=SUM(P2058:T2058)</t>
  </si>
  <si>
    <t>=IF($M2058&gt;=$P$18,U2058,0)</t>
  </si>
  <si>
    <t>=IF(AND($M2058&gt;=$Q$16,$M2058&lt;=$Q$18),U2058,0)</t>
  </si>
  <si>
    <t>=IF(AND($M2058&gt;=$R$16,$M2058&lt;=$R$18),U2058,0)</t>
  </si>
  <si>
    <t>=IF(AND($M2058&gt;=$S$16,$M2058&lt;=$S$18),U2058,0)</t>
  </si>
  <si>
    <t>=IF($M2058&lt;=$T$18,U2058,0)</t>
  </si>
  <si>
    <t>="""NAV Direct"",""CRONUS JetCorp USA"",""21"",""1"",""431689"""</t>
  </si>
  <si>
    <t>=E2057</t>
  </si>
  <si>
    <t>=StartDate-$M2059+1</t>
  </si>
  <si>
    <t>=SUM(P2059:T2059)</t>
  </si>
  <si>
    <t>=IF($M2059&gt;=$P$18,U2059,0)</t>
  </si>
  <si>
    <t>=IF(AND($M2059&gt;=$Q$16,$M2059&lt;=$Q$18),U2059,0)</t>
  </si>
  <si>
    <t>=IF(AND($M2059&gt;=$R$16,$M2059&lt;=$R$18),U2059,0)</t>
  </si>
  <si>
    <t>=IF(AND($M2059&gt;=$S$16,$M2059&lt;=$S$18),U2059,0)</t>
  </si>
  <si>
    <t>=IF($M2059&lt;=$T$18,U2059,0)</t>
  </si>
  <si>
    <t>="""NAV Direct"",""CRONUS JetCorp USA"",""21"",""1"",""431757"""</t>
  </si>
  <si>
    <t>=E2058</t>
  </si>
  <si>
    <t>=StartDate-$M2060+1</t>
  </si>
  <si>
    <t>=SUM(P2060:T2060)</t>
  </si>
  <si>
    <t>=IF($M2060&gt;=$P$18,U2060,0)</t>
  </si>
  <si>
    <t>=IF(AND($M2060&gt;=$Q$16,$M2060&lt;=$Q$18),U2060,0)</t>
  </si>
  <si>
    <t>=IF(AND($M2060&gt;=$R$16,$M2060&lt;=$R$18),U2060,0)</t>
  </si>
  <si>
    <t>=IF(AND($M2060&gt;=$S$16,$M2060&lt;=$S$18),U2060,0)</t>
  </si>
  <si>
    <t>=IF($M2060&lt;=$T$18,U2060,0)</t>
  </si>
  <si>
    <t>="""NAV Direct"",""CRONUS JetCorp USA"",""21"",""1"",""431770"""</t>
  </si>
  <si>
    <t>=E2059</t>
  </si>
  <si>
    <t>=StartDate-$M2061+1</t>
  </si>
  <si>
    <t>=SUM(P2061:T2061)</t>
  </si>
  <si>
    <t>=IF($M2061&gt;=$P$18,U2061,0)</t>
  </si>
  <si>
    <t>=IF(AND($M2061&gt;=$Q$16,$M2061&lt;=$Q$18),U2061,0)</t>
  </si>
  <si>
    <t>=IF(AND($M2061&gt;=$R$16,$M2061&lt;=$R$18),U2061,0)</t>
  </si>
  <si>
    <t>=IF(AND($M2061&gt;=$S$16,$M2061&lt;=$S$18),U2061,0)</t>
  </si>
  <si>
    <t>=IF($M2061&lt;=$T$18,U2061,0)</t>
  </si>
  <si>
    <t>="""NAV Direct"",""CRONUS JetCorp USA"",""21"",""1"",""431801"""</t>
  </si>
  <si>
    <t>=E2060</t>
  </si>
  <si>
    <t>=StartDate-$M2062+1</t>
  </si>
  <si>
    <t>=SUM(P2062:T2062)</t>
  </si>
  <si>
    <t>=IF($M2062&gt;=$P$18,U2062,0)</t>
  </si>
  <si>
    <t>=IF(AND($M2062&gt;=$Q$16,$M2062&lt;=$Q$18),U2062,0)</t>
  </si>
  <si>
    <t>=IF(AND($M2062&gt;=$R$16,$M2062&lt;=$R$18),U2062,0)</t>
  </si>
  <si>
    <t>=IF(AND($M2062&gt;=$S$16,$M2062&lt;=$S$18),U2062,0)</t>
  </si>
  <si>
    <t>=IF($M2062&lt;=$T$18,U2062,0)</t>
  </si>
  <si>
    <t>="""NAV Direct"",""CRONUS JetCorp USA"",""21"",""1"",""431855"""</t>
  </si>
  <si>
    <t>=E2061</t>
  </si>
  <si>
    <t>=StartDate-$M2063+1</t>
  </si>
  <si>
    <t>=SUM(P2063:T2063)</t>
  </si>
  <si>
    <t>=IF($M2063&gt;=$P$18,U2063,0)</t>
  </si>
  <si>
    <t>=IF(AND($M2063&gt;=$Q$16,$M2063&lt;=$Q$18),U2063,0)</t>
  </si>
  <si>
    <t>=IF(AND($M2063&gt;=$R$16,$M2063&lt;=$R$18),U2063,0)</t>
  </si>
  <si>
    <t>=IF(AND($M2063&gt;=$S$16,$M2063&lt;=$S$18),U2063,0)</t>
  </si>
  <si>
    <t>=IF($M2063&lt;=$T$18,U2063,0)</t>
  </si>
  <si>
    <t>="""NAV Direct"",""CRONUS JetCorp USA"",""21"",""1"",""431911"""</t>
  </si>
  <si>
    <t>=E2062</t>
  </si>
  <si>
    <t>=StartDate-$M2064+1</t>
  </si>
  <si>
    <t>=SUM(P2064:T2064)</t>
  </si>
  <si>
    <t>=IF($M2064&gt;=$P$18,U2064,0)</t>
  </si>
  <si>
    <t>=IF(AND($M2064&gt;=$Q$16,$M2064&lt;=$Q$18),U2064,0)</t>
  </si>
  <si>
    <t>=IF(AND($M2064&gt;=$R$16,$M2064&lt;=$R$18),U2064,0)</t>
  </si>
  <si>
    <t>=IF(AND($M2064&gt;=$S$16,$M2064&lt;=$S$18),U2064,0)</t>
  </si>
  <si>
    <t>=IF($M2064&lt;=$T$18,U2064,0)</t>
  </si>
  <si>
    <t>="""NAV Direct"",""CRONUS JetCorp USA"",""21"",""1"",""431926"""</t>
  </si>
  <si>
    <t>=E2063</t>
  </si>
  <si>
    <t>=StartDate-$M2065+1</t>
  </si>
  <si>
    <t>=SUM(P2065:T2065)</t>
  </si>
  <si>
    <t>=IF($M2065&gt;=$P$18,U2065,0)</t>
  </si>
  <si>
    <t>=IF(AND($M2065&gt;=$Q$16,$M2065&lt;=$Q$18),U2065,0)</t>
  </si>
  <si>
    <t>=IF(AND($M2065&gt;=$R$16,$M2065&lt;=$R$18),U2065,0)</t>
  </si>
  <si>
    <t>=IF(AND($M2065&gt;=$S$16,$M2065&lt;=$S$18),U2065,0)</t>
  </si>
  <si>
    <t>=IF($M2065&lt;=$T$18,U2065,0)</t>
  </si>
  <si>
    <t>="""NAV Direct"",""CRONUS JetCorp USA"",""18"",""1"",""C100068"""</t>
  </si>
  <si>
    <t>=H2068</t>
  </si>
  <si>
    <t>=NF($C2068,"1 No.")</t>
  </si>
  <si>
    <t>=NF($C2068,"1 No.")&amp;"  -  "&amp;NF($C2068,"2 Name")</t>
  </si>
  <si>
    <t>=IFERROR(O2068/NF(C2068,"Credit Limit (LCY)"),"")</t>
  </si>
  <si>
    <t>=SUBTOTAL(3,L2069:L2083)</t>
  </si>
  <si>
    <t>=SUBTOTAL(9,O2069:O2083)</t>
  </si>
  <si>
    <t>=SUBTOTAL(9,P2069:P2083)</t>
  </si>
  <si>
    <t>=SUBTOTAL(9,Q2069:Q2083)</t>
  </si>
  <si>
    <t>=SUBTOTAL(9,R2069:R2083)</t>
  </si>
  <si>
    <t>=SUBTOTAL(9,S2069:S2083)</t>
  </si>
  <si>
    <t>=SUBTOTAL(9,T2069:T2083)</t>
  </si>
  <si>
    <t>=C2068</t>
  </si>
  <si>
    <t>=E2068</t>
  </si>
  <si>
    <t>="Contact: "&amp;NF($C2069,"8 Contact")</t>
  </si>
  <si>
    <t>=C2069</t>
  </si>
  <si>
    <t>=E2069</t>
  </si>
  <si>
    <t>=NF($C2070,"102 E-Mail")</t>
  </si>
  <si>
    <t>=NL("Rows","21 Cust. Ledger Entry",,"3 Customer No.","@@"&amp;$E2072,"16 Remaining Amt. (LCY)","&lt;&gt;0")</t>
  </si>
  <si>
    <t>=E2070</t>
  </si>
  <si>
    <t>=StartDate-$M2072+1</t>
  </si>
  <si>
    <t>=SUM(P2072:T2072)</t>
  </si>
  <si>
    <t>=IF($M2072&gt;=$P$18,U2072,0)</t>
  </si>
  <si>
    <t>=IF(AND($M2072&gt;=$Q$16,$M2072&lt;=$Q$18),U2072,0)</t>
  </si>
  <si>
    <t>=IF(AND($M2072&gt;=$R$16,$M2072&lt;=$R$18),U2072,0)</t>
  </si>
  <si>
    <t>=IF(AND($M2072&gt;=$S$16,$M2072&lt;=$S$18),U2072,0)</t>
  </si>
  <si>
    <t>=IF($M2072&lt;=$T$18,U2072,0)</t>
  </si>
  <si>
    <t>="""NAV Direct"",""CRONUS JetCorp USA"",""21"",""1"",""191365"""</t>
  </si>
  <si>
    <t>=E2071</t>
  </si>
  <si>
    <t>=StartDate-$M2073+1</t>
  </si>
  <si>
    <t>=SUM(P2073:T2073)</t>
  </si>
  <si>
    <t>=IF($M2073&gt;=$P$18,U2073,0)</t>
  </si>
  <si>
    <t>=IF(AND($M2073&gt;=$Q$16,$M2073&lt;=$Q$18),U2073,0)</t>
  </si>
  <si>
    <t>=IF(AND($M2073&gt;=$R$16,$M2073&lt;=$R$18),U2073,0)</t>
  </si>
  <si>
    <t>=IF(AND($M2073&gt;=$S$16,$M2073&lt;=$S$18),U2073,0)</t>
  </si>
  <si>
    <t>=IF($M2073&lt;=$T$18,U2073,0)</t>
  </si>
  <si>
    <t>="""NAV Direct"",""CRONUS JetCorp USA"",""21"",""1"",""192087"""</t>
  </si>
  <si>
    <t>=E2072</t>
  </si>
  <si>
    <t>=StartDate-$M2074+1</t>
  </si>
  <si>
    <t>=SUM(P2074:T2074)</t>
  </si>
  <si>
    <t>=IF($M2074&gt;=$P$18,U2074,0)</t>
  </si>
  <si>
    <t>=IF(AND($M2074&gt;=$Q$16,$M2074&lt;=$Q$18),U2074,0)</t>
  </si>
  <si>
    <t>=IF(AND($M2074&gt;=$R$16,$M2074&lt;=$R$18),U2074,0)</t>
  </si>
  <si>
    <t>=IF(AND($M2074&gt;=$S$16,$M2074&lt;=$S$18),U2074,0)</t>
  </si>
  <si>
    <t>=IF($M2074&lt;=$T$18,U2074,0)</t>
  </si>
  <si>
    <t>="""NAV Direct"",""CRONUS JetCorp USA"",""21"",""1"",""192211"""</t>
  </si>
  <si>
    <t>=E2073</t>
  </si>
  <si>
    <t>=StartDate-$M2075+1</t>
  </si>
  <si>
    <t>=SUM(P2075:T2075)</t>
  </si>
  <si>
    <t>=IF($M2075&gt;=$P$18,U2075,0)</t>
  </si>
  <si>
    <t>=IF(AND($M2075&gt;=$Q$16,$M2075&lt;=$Q$18),U2075,0)</t>
  </si>
  <si>
    <t>=IF(AND($M2075&gt;=$R$16,$M2075&lt;=$R$18),U2075,0)</t>
  </si>
  <si>
    <t>=IF(AND($M2075&gt;=$S$16,$M2075&lt;=$S$18),U2075,0)</t>
  </si>
  <si>
    <t>=IF($M2075&lt;=$T$18,U2075,0)</t>
  </si>
  <si>
    <t>="""NAV Direct"",""CRONUS JetCorp USA"",""21"",""1"",""192648"""</t>
  </si>
  <si>
    <t>=E2074</t>
  </si>
  <si>
    <t>=StartDate-$M2076+1</t>
  </si>
  <si>
    <t>=SUM(P2076:T2076)</t>
  </si>
  <si>
    <t>=IF($M2076&gt;=$P$18,U2076,0)</t>
  </si>
  <si>
    <t>=IF(AND($M2076&gt;=$Q$16,$M2076&lt;=$Q$18),U2076,0)</t>
  </si>
  <si>
    <t>=IF(AND($M2076&gt;=$R$16,$M2076&lt;=$R$18),U2076,0)</t>
  </si>
  <si>
    <t>=IF(AND($M2076&gt;=$S$16,$M2076&lt;=$S$18),U2076,0)</t>
  </si>
  <si>
    <t>=IF($M2076&lt;=$T$18,U2076,0)</t>
  </si>
  <si>
    <t>="""NAV Direct"",""CRONUS JetCorp USA"",""21"",""1"",""192699"""</t>
  </si>
  <si>
    <t>=E2075</t>
  </si>
  <si>
    <t>=StartDate-$M2077+1</t>
  </si>
  <si>
    <t>=SUM(P2077:T2077)</t>
  </si>
  <si>
    <t>=IF($M2077&gt;=$P$18,U2077,0)</t>
  </si>
  <si>
    <t>=IF(AND($M2077&gt;=$Q$16,$M2077&lt;=$Q$18),U2077,0)</t>
  </si>
  <si>
    <t>=IF(AND($M2077&gt;=$R$16,$M2077&lt;=$R$18),U2077,0)</t>
  </si>
  <si>
    <t>=IF(AND($M2077&gt;=$S$16,$M2077&lt;=$S$18),U2077,0)</t>
  </si>
  <si>
    <t>=IF($M2077&lt;=$T$18,U2077,0)</t>
  </si>
  <si>
    <t>="""NAV Direct"",""CRONUS JetCorp USA"",""21"",""1"",""193409"""</t>
  </si>
  <si>
    <t>=E2076</t>
  </si>
  <si>
    <t>=StartDate-$M2078+1</t>
  </si>
  <si>
    <t>=SUM(P2078:T2078)</t>
  </si>
  <si>
    <t>=IF($M2078&gt;=$P$18,U2078,0)</t>
  </si>
  <si>
    <t>=IF(AND($M2078&gt;=$Q$16,$M2078&lt;=$Q$18),U2078,0)</t>
  </si>
  <si>
    <t>=IF(AND($M2078&gt;=$R$16,$M2078&lt;=$R$18),U2078,0)</t>
  </si>
  <si>
    <t>=IF(AND($M2078&gt;=$S$16,$M2078&lt;=$S$18),U2078,0)</t>
  </si>
  <si>
    <t>=IF($M2078&lt;=$T$18,U2078,0)</t>
  </si>
  <si>
    <t>="""NAV Direct"",""CRONUS JetCorp USA"",""21"",""1"",""193458"""</t>
  </si>
  <si>
    <t>=E2077</t>
  </si>
  <si>
    <t>=StartDate-$M2079+1</t>
  </si>
  <si>
    <t>=SUM(P2079:T2079)</t>
  </si>
  <si>
    <t>=IF($M2079&gt;=$P$18,U2079,0)</t>
  </si>
  <si>
    <t>=IF(AND($M2079&gt;=$Q$16,$M2079&lt;=$Q$18),U2079,0)</t>
  </si>
  <si>
    <t>=IF(AND($M2079&gt;=$R$16,$M2079&lt;=$R$18),U2079,0)</t>
  </si>
  <si>
    <t>=IF(AND($M2079&gt;=$S$16,$M2079&lt;=$S$18),U2079,0)</t>
  </si>
  <si>
    <t>=IF($M2079&lt;=$T$18,U2079,0)</t>
  </si>
  <si>
    <t>="""NAV Direct"",""CRONUS JetCorp USA"",""21"",""1"",""443569"""</t>
  </si>
  <si>
    <t>=E2078</t>
  </si>
  <si>
    <t>=StartDate-$M2080+1</t>
  </si>
  <si>
    <t>=SUM(P2080:T2080)</t>
  </si>
  <si>
    <t>=IF($M2080&gt;=$P$18,U2080,0)</t>
  </si>
  <si>
    <t>=IF(AND($M2080&gt;=$Q$16,$M2080&lt;=$Q$18),U2080,0)</t>
  </si>
  <si>
    <t>=IF(AND($M2080&gt;=$R$16,$M2080&lt;=$R$18),U2080,0)</t>
  </si>
  <si>
    <t>=IF(AND($M2080&gt;=$S$16,$M2080&lt;=$S$18),U2080,0)</t>
  </si>
  <si>
    <t>=IF($M2080&lt;=$T$18,U2080,0)</t>
  </si>
  <si>
    <t>="""NAV Direct"",""CRONUS JetCorp USA"",""21"",""1"",""443741"""</t>
  </si>
  <si>
    <t>=E2079</t>
  </si>
  <si>
    <t>=StartDate-$M2081+1</t>
  </si>
  <si>
    <t>=SUM(P2081:T2081)</t>
  </si>
  <si>
    <t>=IF($M2081&gt;=$P$18,U2081,0)</t>
  </si>
  <si>
    <t>=IF(AND($M2081&gt;=$Q$16,$M2081&lt;=$Q$18),U2081,0)</t>
  </si>
  <si>
    <t>=IF(AND($M2081&gt;=$R$16,$M2081&lt;=$R$18),U2081,0)</t>
  </si>
  <si>
    <t>=IF(AND($M2081&gt;=$S$16,$M2081&lt;=$S$18),U2081,0)</t>
  </si>
  <si>
    <t>=IF($M2081&lt;=$T$18,U2081,0)</t>
  </si>
  <si>
    <t>="""NAV Direct"",""CRONUS JetCorp USA"",""21"",""1"",""443964"""</t>
  </si>
  <si>
    <t>=E2080</t>
  </si>
  <si>
    <t>=StartDate-$M2082+1</t>
  </si>
  <si>
    <t>=SUM(P2082:T2082)</t>
  </si>
  <si>
    <t>=IF($M2082&gt;=$P$18,U2082,0)</t>
  </si>
  <si>
    <t>=IF(AND($M2082&gt;=$Q$16,$M2082&lt;=$Q$18),U2082,0)</t>
  </si>
  <si>
    <t>=IF(AND($M2082&gt;=$R$16,$M2082&lt;=$R$18),U2082,0)</t>
  </si>
  <si>
    <t>=IF(AND($M2082&gt;=$S$16,$M2082&lt;=$S$18),U2082,0)</t>
  </si>
  <si>
    <t>=IF($M2082&lt;=$T$18,U2082,0)</t>
  </si>
  <si>
    <t>="""NAV Direct"",""CRONUS JetCorp USA"",""18"",""1"",""C100069"""</t>
  </si>
  <si>
    <t>=H2085</t>
  </si>
  <si>
    <t>=NF($C2085,"1 No.")</t>
  </si>
  <si>
    <t>=NF($C2085,"1 No.")&amp;"  -  "&amp;NF($C2085,"2 Name")</t>
  </si>
  <si>
    <t>=IFERROR(O2085/NF(C2085,"Credit Limit (LCY)"),"")</t>
  </si>
  <si>
    <t>=SUBTOTAL(3,L2086:L2120)</t>
  </si>
  <si>
    <t>=SUBTOTAL(9,O2086:O2120)</t>
  </si>
  <si>
    <t>=SUBTOTAL(9,P2086:P2120)</t>
  </si>
  <si>
    <t>=SUBTOTAL(9,Q2086:Q2120)</t>
  </si>
  <si>
    <t>=SUBTOTAL(9,R2086:R2120)</t>
  </si>
  <si>
    <t>=SUBTOTAL(9,S2086:S2120)</t>
  </si>
  <si>
    <t>=SUBTOTAL(9,T2086:T2120)</t>
  </si>
  <si>
    <t>=C2085</t>
  </si>
  <si>
    <t>=E2085</t>
  </si>
  <si>
    <t>="Contact: "&amp;NF($C2086,"8 Contact")</t>
  </si>
  <si>
    <t>=C2086</t>
  </si>
  <si>
    <t>=E2086</t>
  </si>
  <si>
    <t>=NF($C2087,"102 E-Mail")</t>
  </si>
  <si>
    <t>=NL("Rows","21 Cust. Ledger Entry",,"3 Customer No.","@@"&amp;$E2089,"16 Remaining Amt. (LCY)","&lt;&gt;0")</t>
  </si>
  <si>
    <t>=E2087</t>
  </si>
  <si>
    <t>=StartDate-$M2089+1</t>
  </si>
  <si>
    <t>=SUM(P2089:T2089)</t>
  </si>
  <si>
    <t>=IF($M2089&gt;=$P$18,U2089,0)</t>
  </si>
  <si>
    <t>=IF(AND($M2089&gt;=$Q$16,$M2089&lt;=$Q$18),U2089,0)</t>
  </si>
  <si>
    <t>=IF(AND($M2089&gt;=$R$16,$M2089&lt;=$R$18),U2089,0)</t>
  </si>
  <si>
    <t>=IF(AND($M2089&gt;=$S$16,$M2089&lt;=$S$18),U2089,0)</t>
  </si>
  <si>
    <t>=IF($M2089&lt;=$T$18,U2089,0)</t>
  </si>
  <si>
    <t>="""NAV Direct"",""CRONUS JetCorp USA"",""21"",""1"",""38179"""</t>
  </si>
  <si>
    <t>=E2088</t>
  </si>
  <si>
    <t>=StartDate-$M2090+1</t>
  </si>
  <si>
    <t>=SUM(P2090:T2090)</t>
  </si>
  <si>
    <t>=IF($M2090&gt;=$P$18,U2090,0)</t>
  </si>
  <si>
    <t>=IF(AND($M2090&gt;=$Q$16,$M2090&lt;=$Q$18),U2090,0)</t>
  </si>
  <si>
    <t>=IF(AND($M2090&gt;=$R$16,$M2090&lt;=$R$18),U2090,0)</t>
  </si>
  <si>
    <t>=IF(AND($M2090&gt;=$S$16,$M2090&lt;=$S$18),U2090,0)</t>
  </si>
  <si>
    <t>=IF($M2090&lt;=$T$18,U2090,0)</t>
  </si>
  <si>
    <t>="""NAV Direct"",""CRONUS JetCorp USA"",""21"",""1"",""38254"""</t>
  </si>
  <si>
    <t>=E2089</t>
  </si>
  <si>
    <t>=StartDate-$M2091+1</t>
  </si>
  <si>
    <t>=SUM(P2091:T2091)</t>
  </si>
  <si>
    <t>=IF($M2091&gt;=$P$18,U2091,0)</t>
  </si>
  <si>
    <t>=IF(AND($M2091&gt;=$Q$16,$M2091&lt;=$Q$18),U2091,0)</t>
  </si>
  <si>
    <t>=IF(AND($M2091&gt;=$R$16,$M2091&lt;=$R$18),U2091,0)</t>
  </si>
  <si>
    <t>=IF(AND($M2091&gt;=$S$16,$M2091&lt;=$S$18),U2091,0)</t>
  </si>
  <si>
    <t>=IF($M2091&lt;=$T$18,U2091,0)</t>
  </si>
  <si>
    <t>="""NAV Direct"",""CRONUS JetCorp USA"",""21"",""1"",""38405"""</t>
  </si>
  <si>
    <t>=E2090</t>
  </si>
  <si>
    <t>=StartDate-$M2092+1</t>
  </si>
  <si>
    <t>=SUM(P2092:T2092)</t>
  </si>
  <si>
    <t>=IF($M2092&gt;=$P$18,U2092,0)</t>
  </si>
  <si>
    <t>=IF(AND($M2092&gt;=$Q$16,$M2092&lt;=$Q$18),U2092,0)</t>
  </si>
  <si>
    <t>=IF(AND($M2092&gt;=$R$16,$M2092&lt;=$R$18),U2092,0)</t>
  </si>
  <si>
    <t>=IF(AND($M2092&gt;=$S$16,$M2092&lt;=$S$18),U2092,0)</t>
  </si>
  <si>
    <t>=IF($M2092&lt;=$T$18,U2092,0)</t>
  </si>
  <si>
    <t>="""NAV Direct"",""CRONUS JetCorp USA"",""21"",""1"",""38520"""</t>
  </si>
  <si>
    <t>=E2091</t>
  </si>
  <si>
    <t>=StartDate-$M2093+1</t>
  </si>
  <si>
    <t>=SUM(P2093:T2093)</t>
  </si>
  <si>
    <t>=IF($M2093&gt;=$P$18,U2093,0)</t>
  </si>
  <si>
    <t>=IF(AND($M2093&gt;=$Q$16,$M2093&lt;=$Q$18),U2093,0)</t>
  </si>
  <si>
    <t>=IF(AND($M2093&gt;=$R$16,$M2093&lt;=$R$18),U2093,0)</t>
  </si>
  <si>
    <t>=IF(AND($M2093&gt;=$S$16,$M2093&lt;=$S$18),U2093,0)</t>
  </si>
  <si>
    <t>=IF($M2093&lt;=$T$18,U2093,0)</t>
  </si>
  <si>
    <t>="""NAV Direct"",""CRONUS JetCorp USA"",""21"",""1"",""38585"""</t>
  </si>
  <si>
    <t>=E2092</t>
  </si>
  <si>
    <t>=StartDate-$M2094+1</t>
  </si>
  <si>
    <t>=SUM(P2094:T2094)</t>
  </si>
  <si>
    <t>=IF($M2094&gt;=$P$18,U2094,0)</t>
  </si>
  <si>
    <t>=IF(AND($M2094&gt;=$Q$16,$M2094&lt;=$Q$18),U2094,0)</t>
  </si>
  <si>
    <t>=IF(AND($M2094&gt;=$R$16,$M2094&lt;=$R$18),U2094,0)</t>
  </si>
  <si>
    <t>=IF(AND($M2094&gt;=$S$16,$M2094&lt;=$S$18),U2094,0)</t>
  </si>
  <si>
    <t>=IF($M2094&lt;=$T$18,U2094,0)</t>
  </si>
  <si>
    <t>="""NAV Direct"",""CRONUS JetCorp USA"",""21"",""1"",""38723"""</t>
  </si>
  <si>
    <t>=E2093</t>
  </si>
  <si>
    <t>=StartDate-$M2095+1</t>
  </si>
  <si>
    <t>=SUM(P2095:T2095)</t>
  </si>
  <si>
    <t>=IF($M2095&gt;=$P$18,U2095,0)</t>
  </si>
  <si>
    <t>=IF(AND($M2095&gt;=$Q$16,$M2095&lt;=$Q$18),U2095,0)</t>
  </si>
  <si>
    <t>=IF(AND($M2095&gt;=$R$16,$M2095&lt;=$R$18),U2095,0)</t>
  </si>
  <si>
    <t>=IF(AND($M2095&gt;=$S$16,$M2095&lt;=$S$18),U2095,0)</t>
  </si>
  <si>
    <t>=IF($M2095&lt;=$T$18,U2095,0)</t>
  </si>
  <si>
    <t>="""NAV Direct"",""CRONUS JetCorp USA"",""21"",""1"",""38746"""</t>
  </si>
  <si>
    <t>=E2094</t>
  </si>
  <si>
    <t>=StartDate-$M2096+1</t>
  </si>
  <si>
    <t>=SUM(P2096:T2096)</t>
  </si>
  <si>
    <t>=IF($M2096&gt;=$P$18,U2096,0)</t>
  </si>
  <si>
    <t>=IF(AND($M2096&gt;=$Q$16,$M2096&lt;=$Q$18),U2096,0)</t>
  </si>
  <si>
    <t>=IF(AND($M2096&gt;=$R$16,$M2096&lt;=$R$18),U2096,0)</t>
  </si>
  <si>
    <t>=IF(AND($M2096&gt;=$S$16,$M2096&lt;=$S$18),U2096,0)</t>
  </si>
  <si>
    <t>=IF($M2096&lt;=$T$18,U2096,0)</t>
  </si>
  <si>
    <t>="""NAV Direct"",""CRONUS JetCorp USA"",""21"",""1"",""330526"""</t>
  </si>
  <si>
    <t>=E2095</t>
  </si>
  <si>
    <t>=StartDate-$M2097+1</t>
  </si>
  <si>
    <t>=SUM(P2097:T2097)</t>
  </si>
  <si>
    <t>=IF($M2097&gt;=$P$18,U2097,0)</t>
  </si>
  <si>
    <t>=IF(AND($M2097&gt;=$Q$16,$M2097&lt;=$Q$18),U2097,0)</t>
  </si>
  <si>
    <t>=IF(AND($M2097&gt;=$R$16,$M2097&lt;=$R$18),U2097,0)</t>
  </si>
  <si>
    <t>=IF(AND($M2097&gt;=$S$16,$M2097&lt;=$S$18),U2097,0)</t>
  </si>
  <si>
    <t>=IF($M2097&lt;=$T$18,U2097,0)</t>
  </si>
  <si>
    <t>="""NAV Direct"",""CRONUS JetCorp USA"",""21"",""1"",""330758"""</t>
  </si>
  <si>
    <t>=E2096</t>
  </si>
  <si>
    <t>=StartDate-$M2098+1</t>
  </si>
  <si>
    <t>=SUM(P2098:T2098)</t>
  </si>
  <si>
    <t>=IF($M2098&gt;=$P$18,U2098,0)</t>
  </si>
  <si>
    <t>=IF(AND($M2098&gt;=$Q$16,$M2098&lt;=$Q$18),U2098,0)</t>
  </si>
  <si>
    <t>=IF(AND($M2098&gt;=$R$16,$M2098&lt;=$R$18),U2098,0)</t>
  </si>
  <si>
    <t>=IF(AND($M2098&gt;=$S$16,$M2098&lt;=$S$18),U2098,0)</t>
  </si>
  <si>
    <t>=IF($M2098&lt;=$T$18,U2098,0)</t>
  </si>
  <si>
    <t>="""NAV Direct"",""CRONUS JetCorp USA"",""21"",""1"",""330785"""</t>
  </si>
  <si>
    <t>=E2097</t>
  </si>
  <si>
    <t>=StartDate-$M2099+1</t>
  </si>
  <si>
    <t>=SUM(P2099:T2099)</t>
  </si>
  <si>
    <t>=IF($M2099&gt;=$P$18,U2099,0)</t>
  </si>
  <si>
    <t>=IF(AND($M2099&gt;=$Q$16,$M2099&lt;=$Q$18),U2099,0)</t>
  </si>
  <si>
    <t>=IF(AND($M2099&gt;=$R$16,$M2099&lt;=$R$18),U2099,0)</t>
  </si>
  <si>
    <t>=IF(AND($M2099&gt;=$S$16,$M2099&lt;=$S$18),U2099,0)</t>
  </si>
  <si>
    <t>=IF($M2099&lt;=$T$18,U2099,0)</t>
  </si>
  <si>
    <t>="""NAV Direct"",""CRONUS JetCorp USA"",""21"",""1"",""330812"""</t>
  </si>
  <si>
    <t>=E2098</t>
  </si>
  <si>
    <t>=StartDate-$M2100+1</t>
  </si>
  <si>
    <t>=SUM(P2100:T2100)</t>
  </si>
  <si>
    <t>=IF($M2100&gt;=$P$18,U2100,0)</t>
  </si>
  <si>
    <t>=IF(AND($M2100&gt;=$Q$16,$M2100&lt;=$Q$18),U2100,0)</t>
  </si>
  <si>
    <t>=IF(AND($M2100&gt;=$R$16,$M2100&lt;=$R$18),U2100,0)</t>
  </si>
  <si>
    <t>=IF(AND($M2100&gt;=$S$16,$M2100&lt;=$S$18),U2100,0)</t>
  </si>
  <si>
    <t>=IF($M2100&lt;=$T$18,U2100,0)</t>
  </si>
  <si>
    <t>="""NAV Direct"",""CRONUS JetCorp USA"",""21"",""1"",""331046"""</t>
  </si>
  <si>
    <t>=E2099</t>
  </si>
  <si>
    <t>=StartDate-$M2101+1</t>
  </si>
  <si>
    <t>=SUM(P2101:T2101)</t>
  </si>
  <si>
    <t>=IF($M2101&gt;=$P$18,U2101,0)</t>
  </si>
  <si>
    <t>=IF(AND($M2101&gt;=$Q$16,$M2101&lt;=$Q$18),U2101,0)</t>
  </si>
  <si>
    <t>=IF(AND($M2101&gt;=$R$16,$M2101&lt;=$R$18),U2101,0)</t>
  </si>
  <si>
    <t>=IF(AND($M2101&gt;=$S$16,$M2101&lt;=$S$18),U2101,0)</t>
  </si>
  <si>
    <t>=IF($M2101&lt;=$T$18,U2101,0)</t>
  </si>
  <si>
    <t>="""NAV Direct"",""CRONUS JetCorp USA"",""21"",""1"",""331094"""</t>
  </si>
  <si>
    <t>=E2100</t>
  </si>
  <si>
    <t>=StartDate-$M2102+1</t>
  </si>
  <si>
    <t>=SUM(P2102:T2102)</t>
  </si>
  <si>
    <t>=IF($M2102&gt;=$P$18,U2102,0)</t>
  </si>
  <si>
    <t>=IF(AND($M2102&gt;=$Q$16,$M2102&lt;=$Q$18),U2102,0)</t>
  </si>
  <si>
    <t>=IF(AND($M2102&gt;=$R$16,$M2102&lt;=$R$18),U2102,0)</t>
  </si>
  <si>
    <t>=IF(AND($M2102&gt;=$S$16,$M2102&lt;=$S$18),U2102,0)</t>
  </si>
  <si>
    <t>=IF($M2102&lt;=$T$18,U2102,0)</t>
  </si>
  <si>
    <t>="""NAV Direct"",""CRONUS JetCorp USA"",""21"",""1"",""331458"""</t>
  </si>
  <si>
    <t>=E2101</t>
  </si>
  <si>
    <t>=StartDate-$M2103+1</t>
  </si>
  <si>
    <t>=SUM(P2103:T2103)</t>
  </si>
  <si>
    <t>=IF($M2103&gt;=$P$18,U2103,0)</t>
  </si>
  <si>
    <t>=IF(AND($M2103&gt;=$Q$16,$M2103&lt;=$Q$18),U2103,0)</t>
  </si>
  <si>
    <t>=IF(AND($M2103&gt;=$R$16,$M2103&lt;=$R$18),U2103,0)</t>
  </si>
  <si>
    <t>=IF(AND($M2103&gt;=$S$16,$M2103&lt;=$S$18),U2103,0)</t>
  </si>
  <si>
    <t>=IF($M2103&lt;=$T$18,U2103,0)</t>
  </si>
  <si>
    <t>="""NAV Direct"",""CRONUS JetCorp USA"",""21"",""1"",""331531"""</t>
  </si>
  <si>
    <t>=E2102</t>
  </si>
  <si>
    <t>=StartDate-$M2104+1</t>
  </si>
  <si>
    <t>=SUM(P2104:T2104)</t>
  </si>
  <si>
    <t>=IF($M2104&gt;=$P$18,U2104,0)</t>
  </si>
  <si>
    <t>=IF(AND($M2104&gt;=$Q$16,$M2104&lt;=$Q$18),U2104,0)</t>
  </si>
  <si>
    <t>=IF(AND($M2104&gt;=$R$16,$M2104&lt;=$R$18),U2104,0)</t>
  </si>
  <si>
    <t>=IF(AND($M2104&gt;=$S$16,$M2104&lt;=$S$18),U2104,0)</t>
  </si>
  <si>
    <t>=IF($M2104&lt;=$T$18,U2104,0)</t>
  </si>
  <si>
    <t>="""NAV Direct"",""CRONUS JetCorp USA"",""21"",""1"",""331604"""</t>
  </si>
  <si>
    <t>=E2103</t>
  </si>
  <si>
    <t>=StartDate-$M2105+1</t>
  </si>
  <si>
    <t>=SUM(P2105:T2105)</t>
  </si>
  <si>
    <t>=IF($M2105&gt;=$P$18,U2105,0)</t>
  </si>
  <si>
    <t>=IF(AND($M2105&gt;=$Q$16,$M2105&lt;=$Q$18),U2105,0)</t>
  </si>
  <si>
    <t>=IF(AND($M2105&gt;=$R$16,$M2105&lt;=$R$18),U2105,0)</t>
  </si>
  <si>
    <t>=IF(AND($M2105&gt;=$S$16,$M2105&lt;=$S$18),U2105,0)</t>
  </si>
  <si>
    <t>=IF($M2105&lt;=$T$18,U2105,0)</t>
  </si>
  <si>
    <t>="""NAV Direct"",""CRONUS JetCorp USA"",""21"",""1"",""331631"""</t>
  </si>
  <si>
    <t>=E2104</t>
  </si>
  <si>
    <t>=StartDate-$M2106+1</t>
  </si>
  <si>
    <t>=SUM(P2106:T2106)</t>
  </si>
  <si>
    <t>=IF($M2106&gt;=$P$18,U2106,0)</t>
  </si>
  <si>
    <t>=IF(AND($M2106&gt;=$Q$16,$M2106&lt;=$Q$18),U2106,0)</t>
  </si>
  <si>
    <t>=IF(AND($M2106&gt;=$R$16,$M2106&lt;=$R$18),U2106,0)</t>
  </si>
  <si>
    <t>=IF(AND($M2106&gt;=$S$16,$M2106&lt;=$S$18),U2106,0)</t>
  </si>
  <si>
    <t>=IF($M2106&lt;=$T$18,U2106,0)</t>
  </si>
  <si>
    <t>="""NAV Direct"",""CRONUS JetCorp USA"",""21"",""1"",""331702"""</t>
  </si>
  <si>
    <t>=E2105</t>
  </si>
  <si>
    <t>=StartDate-$M2107+1</t>
  </si>
  <si>
    <t>=SUM(P2107:T2107)</t>
  </si>
  <si>
    <t>=IF($M2107&gt;=$P$18,U2107,0)</t>
  </si>
  <si>
    <t>=IF(AND($M2107&gt;=$Q$16,$M2107&lt;=$Q$18),U2107,0)</t>
  </si>
  <si>
    <t>=IF(AND($M2107&gt;=$R$16,$M2107&lt;=$R$18),U2107,0)</t>
  </si>
  <si>
    <t>=IF(AND($M2107&gt;=$S$16,$M2107&lt;=$S$18),U2107,0)</t>
  </si>
  <si>
    <t>=IF($M2107&lt;=$T$18,U2107,0)</t>
  </si>
  <si>
    <t>="""NAV Direct"",""CRONUS JetCorp USA"",""21"",""1"",""331750"""</t>
  </si>
  <si>
    <t>=E2106</t>
  </si>
  <si>
    <t>=StartDate-$M2108+1</t>
  </si>
  <si>
    <t>=SUM(P2108:T2108)</t>
  </si>
  <si>
    <t>=IF($M2108&gt;=$P$18,U2108,0)</t>
  </si>
  <si>
    <t>=IF(AND($M2108&gt;=$Q$16,$M2108&lt;=$Q$18),U2108,0)</t>
  </si>
  <si>
    <t>=IF(AND($M2108&gt;=$R$16,$M2108&lt;=$R$18),U2108,0)</t>
  </si>
  <si>
    <t>=IF(AND($M2108&gt;=$S$16,$M2108&lt;=$S$18),U2108,0)</t>
  </si>
  <si>
    <t>=IF($M2108&lt;=$T$18,U2108,0)</t>
  </si>
  <si>
    <t>="""NAV Direct"",""CRONUS JetCorp USA"",""21"",""1"",""332084"""</t>
  </si>
  <si>
    <t>=E2107</t>
  </si>
  <si>
    <t>=StartDate-$M2109+1</t>
  </si>
  <si>
    <t>=SUM(P2109:T2109)</t>
  </si>
  <si>
    <t>=IF($M2109&gt;=$P$18,U2109,0)</t>
  </si>
  <si>
    <t>=IF(AND($M2109&gt;=$Q$16,$M2109&lt;=$Q$18),U2109,0)</t>
  </si>
  <si>
    <t>=IF(AND($M2109&gt;=$R$16,$M2109&lt;=$R$18),U2109,0)</t>
  </si>
  <si>
    <t>=IF(AND($M2109&gt;=$S$16,$M2109&lt;=$S$18),U2109,0)</t>
  </si>
  <si>
    <t>=IF($M2109&lt;=$T$18,U2109,0)</t>
  </si>
  <si>
    <t>="""NAV Direct"",""CRONUS JetCorp USA"",""21"",""1"",""332105"""</t>
  </si>
  <si>
    <t>=E2108</t>
  </si>
  <si>
    <t>=StartDate-$M2110+1</t>
  </si>
  <si>
    <t>=SUM(P2110:T2110)</t>
  </si>
  <si>
    <t>=IF($M2110&gt;=$P$18,U2110,0)</t>
  </si>
  <si>
    <t>=IF(AND($M2110&gt;=$Q$16,$M2110&lt;=$Q$18),U2110,0)</t>
  </si>
  <si>
    <t>=IF(AND($M2110&gt;=$R$16,$M2110&lt;=$R$18),U2110,0)</t>
  </si>
  <si>
    <t>=IF(AND($M2110&gt;=$S$16,$M2110&lt;=$S$18),U2110,0)</t>
  </si>
  <si>
    <t>=IF($M2110&lt;=$T$18,U2110,0)</t>
  </si>
  <si>
    <t>="""NAV Direct"",""CRONUS JetCorp USA"",""21"",""1"",""332178"""</t>
  </si>
  <si>
    <t>=E2109</t>
  </si>
  <si>
    <t>=StartDate-$M2111+1</t>
  </si>
  <si>
    <t>=SUM(P2111:T2111)</t>
  </si>
  <si>
    <t>=IF($M2111&gt;=$P$18,U2111,0)</t>
  </si>
  <si>
    <t>=IF(AND($M2111&gt;=$Q$16,$M2111&lt;=$Q$18),U2111,0)</t>
  </si>
  <si>
    <t>=IF(AND($M2111&gt;=$R$16,$M2111&lt;=$R$18),U2111,0)</t>
  </si>
  <si>
    <t>=IF(AND($M2111&gt;=$S$16,$M2111&lt;=$S$18),U2111,0)</t>
  </si>
  <si>
    <t>=IF($M2111&lt;=$T$18,U2111,0)</t>
  </si>
  <si>
    <t>="""NAV Direct"",""CRONUS JetCorp USA"",""21"",""1"",""332197"""</t>
  </si>
  <si>
    <t>=E2110</t>
  </si>
  <si>
    <t>=StartDate-$M2112+1</t>
  </si>
  <si>
    <t>=SUM(P2112:T2112)</t>
  </si>
  <si>
    <t>=IF($M2112&gt;=$P$18,U2112,0)</t>
  </si>
  <si>
    <t>=IF(AND($M2112&gt;=$Q$16,$M2112&lt;=$Q$18),U2112,0)</t>
  </si>
  <si>
    <t>=IF(AND($M2112&gt;=$R$16,$M2112&lt;=$R$18),U2112,0)</t>
  </si>
  <si>
    <t>=IF(AND($M2112&gt;=$S$16,$M2112&lt;=$S$18),U2112,0)</t>
  </si>
  <si>
    <t>=IF($M2112&lt;=$T$18,U2112,0)</t>
  </si>
  <si>
    <t>="""NAV Direct"",""CRONUS JetCorp USA"",""21"",""1"",""332293"""</t>
  </si>
  <si>
    <t>=E2111</t>
  </si>
  <si>
    <t>=StartDate-$M2113+1</t>
  </si>
  <si>
    <t>=SUM(P2113:T2113)</t>
  </si>
  <si>
    <t>=IF($M2113&gt;=$P$18,U2113,0)</t>
  </si>
  <si>
    <t>=IF(AND($M2113&gt;=$Q$16,$M2113&lt;=$Q$18),U2113,0)</t>
  </si>
  <si>
    <t>=IF(AND($M2113&gt;=$R$16,$M2113&lt;=$R$18),U2113,0)</t>
  </si>
  <si>
    <t>=IF(AND($M2113&gt;=$S$16,$M2113&lt;=$S$18),U2113,0)</t>
  </si>
  <si>
    <t>=IF($M2113&lt;=$T$18,U2113,0)</t>
  </si>
  <si>
    <t>="""NAV Direct"",""CRONUS JetCorp USA"",""21"",""1"",""332366"""</t>
  </si>
  <si>
    <t>=E2112</t>
  </si>
  <si>
    <t>=StartDate-$M2114+1</t>
  </si>
  <si>
    <t>=SUM(P2114:T2114)</t>
  </si>
  <si>
    <t>=IF($M2114&gt;=$P$18,U2114,0)</t>
  </si>
  <si>
    <t>=IF(AND($M2114&gt;=$Q$16,$M2114&lt;=$Q$18),U2114,0)</t>
  </si>
  <si>
    <t>=IF(AND($M2114&gt;=$R$16,$M2114&lt;=$R$18),U2114,0)</t>
  </si>
  <si>
    <t>=IF(AND($M2114&gt;=$S$16,$M2114&lt;=$S$18),U2114,0)</t>
  </si>
  <si>
    <t>=IF($M2114&lt;=$T$18,U2114,0)</t>
  </si>
  <si>
    <t>="""NAV Direct"",""CRONUS JetCorp USA"",""21"",""1"",""332395"""</t>
  </si>
  <si>
    <t>=E2113</t>
  </si>
  <si>
    <t>=StartDate-$M2115+1</t>
  </si>
  <si>
    <t>=SUM(P2115:T2115)</t>
  </si>
  <si>
    <t>=IF($M2115&gt;=$P$18,U2115,0)</t>
  </si>
  <si>
    <t>=IF(AND($M2115&gt;=$Q$16,$M2115&lt;=$Q$18),U2115,0)</t>
  </si>
  <si>
    <t>=IF(AND($M2115&gt;=$R$16,$M2115&lt;=$R$18),U2115,0)</t>
  </si>
  <si>
    <t>=IF(AND($M2115&gt;=$S$16,$M2115&lt;=$S$18),U2115,0)</t>
  </si>
  <si>
    <t>=IF($M2115&lt;=$T$18,U2115,0)</t>
  </si>
  <si>
    <t>="""NAV Direct"",""CRONUS JetCorp USA"",""21"",""1"",""432904"""</t>
  </si>
  <si>
    <t>=E2114</t>
  </si>
  <si>
    <t>=StartDate-$M2116+1</t>
  </si>
  <si>
    <t>=SUM(P2116:T2116)</t>
  </si>
  <si>
    <t>=IF($M2116&gt;=$P$18,U2116,0)</t>
  </si>
  <si>
    <t>=IF(AND($M2116&gt;=$Q$16,$M2116&lt;=$Q$18),U2116,0)</t>
  </si>
  <si>
    <t>=IF(AND($M2116&gt;=$R$16,$M2116&lt;=$R$18),U2116,0)</t>
  </si>
  <si>
    <t>=IF(AND($M2116&gt;=$S$16,$M2116&lt;=$S$18),U2116,0)</t>
  </si>
  <si>
    <t>=IF($M2116&lt;=$T$18,U2116,0)</t>
  </si>
  <si>
    <t>="""NAV Direct"",""CRONUS JetCorp USA"",""21"",""1"",""432943"""</t>
  </si>
  <si>
    <t>=E2115</t>
  </si>
  <si>
    <t>=StartDate-$M2117+1</t>
  </si>
  <si>
    <t>=SUM(P2117:T2117)</t>
  </si>
  <si>
    <t>=IF($M2117&gt;=$P$18,U2117,0)</t>
  </si>
  <si>
    <t>=IF(AND($M2117&gt;=$Q$16,$M2117&lt;=$Q$18),U2117,0)</t>
  </si>
  <si>
    <t>=IF(AND($M2117&gt;=$R$16,$M2117&lt;=$R$18),U2117,0)</t>
  </si>
  <si>
    <t>=IF(AND($M2117&gt;=$S$16,$M2117&lt;=$S$18),U2117,0)</t>
  </si>
  <si>
    <t>=IF($M2117&lt;=$T$18,U2117,0)</t>
  </si>
  <si>
    <t>="""NAV Direct"",""CRONUS JetCorp USA"",""21"",""1"",""432956"""</t>
  </si>
  <si>
    <t>=E2116</t>
  </si>
  <si>
    <t>=StartDate-$M2118+1</t>
  </si>
  <si>
    <t>=SUM(P2118:T2118)</t>
  </si>
  <si>
    <t>=IF($M2118&gt;=$P$18,U2118,0)</t>
  </si>
  <si>
    <t>=IF(AND($M2118&gt;=$Q$16,$M2118&lt;=$Q$18),U2118,0)</t>
  </si>
  <si>
    <t>=IF(AND($M2118&gt;=$R$16,$M2118&lt;=$R$18),U2118,0)</t>
  </si>
  <si>
    <t>=IF(AND($M2118&gt;=$S$16,$M2118&lt;=$S$18),U2118,0)</t>
  </si>
  <si>
    <t>=IF($M2118&lt;=$T$18,U2118,0)</t>
  </si>
  <si>
    <t>="""NAV Direct"",""CRONUS JetCorp USA"",""21"",""1"",""433019"""</t>
  </si>
  <si>
    <t>=E2117</t>
  </si>
  <si>
    <t>=StartDate-$M2119+1</t>
  </si>
  <si>
    <t>=SUM(P2119:T2119)</t>
  </si>
  <si>
    <t>=IF($M2119&gt;=$P$18,U2119,0)</t>
  </si>
  <si>
    <t>=IF(AND($M2119&gt;=$Q$16,$M2119&lt;=$Q$18),U2119,0)</t>
  </si>
  <si>
    <t>=IF(AND($M2119&gt;=$R$16,$M2119&lt;=$R$18),U2119,0)</t>
  </si>
  <si>
    <t>=IF(AND($M2119&gt;=$S$16,$M2119&lt;=$S$18),U2119,0)</t>
  </si>
  <si>
    <t>=IF($M2119&lt;=$T$18,U2119,0)</t>
  </si>
  <si>
    <t>="""NAV Direct"",""CRONUS JetCorp USA"",""18"",""1"",""C100070"""</t>
  </si>
  <si>
    <t>=H2122</t>
  </si>
  <si>
    <t>=NF($C2122,"1 No.")</t>
  </si>
  <si>
    <t>=NF($C2122,"1 No.")&amp;"  -  "&amp;NF($C2122,"2 Name")</t>
  </si>
  <si>
    <t>=IFERROR(O2122/NF(C2122,"Credit Limit (LCY)"),"")</t>
  </si>
  <si>
    <t>=SUBTOTAL(3,L2123:L2158)</t>
  </si>
  <si>
    <t>=SUBTOTAL(9,O2123:O2158)</t>
  </si>
  <si>
    <t>=SUBTOTAL(9,P2123:P2158)</t>
  </si>
  <si>
    <t>=SUBTOTAL(9,Q2123:Q2158)</t>
  </si>
  <si>
    <t>=SUBTOTAL(9,R2123:R2158)</t>
  </si>
  <si>
    <t>=SUBTOTAL(9,S2123:S2158)</t>
  </si>
  <si>
    <t>=SUBTOTAL(9,T2123:T2158)</t>
  </si>
  <si>
    <t>=C2122</t>
  </si>
  <si>
    <t>=E2122</t>
  </si>
  <si>
    <t>="Contact: "&amp;NF($C2123,"8 Contact")</t>
  </si>
  <si>
    <t>=C2123</t>
  </si>
  <si>
    <t>=E2123</t>
  </si>
  <si>
    <t>=NF($C2124,"102 E-Mail")</t>
  </si>
  <si>
    <t>=NL("Rows","21 Cust. Ledger Entry",,"3 Customer No.","@@"&amp;$E2126,"16 Remaining Amt. (LCY)","&lt;&gt;0")</t>
  </si>
  <si>
    <t>=E2124</t>
  </si>
  <si>
    <t>=StartDate-$M2126+1</t>
  </si>
  <si>
    <t>=SUM(P2126:T2126)</t>
  </si>
  <si>
    <t>=IF($M2126&gt;=$P$18,U2126,0)</t>
  </si>
  <si>
    <t>=IF(AND($M2126&gt;=$Q$16,$M2126&lt;=$Q$18),U2126,0)</t>
  </si>
  <si>
    <t>=IF(AND($M2126&gt;=$R$16,$M2126&lt;=$R$18),U2126,0)</t>
  </si>
  <si>
    <t>=IF(AND($M2126&gt;=$S$16,$M2126&lt;=$S$18),U2126,0)</t>
  </si>
  <si>
    <t>=IF($M2126&lt;=$T$18,U2126,0)</t>
  </si>
  <si>
    <t>="""NAV Direct"",""CRONUS JetCorp USA"",""21"",""1"",""38541"""</t>
  </si>
  <si>
    <t>=E2125</t>
  </si>
  <si>
    <t>=StartDate-$M2127+1</t>
  </si>
  <si>
    <t>=SUM(P2127:T2127)</t>
  </si>
  <si>
    <t>=IF($M2127&gt;=$P$18,U2127,0)</t>
  </si>
  <si>
    <t>=IF(AND($M2127&gt;=$Q$16,$M2127&lt;=$Q$18),U2127,0)</t>
  </si>
  <si>
    <t>=IF(AND($M2127&gt;=$R$16,$M2127&lt;=$R$18),U2127,0)</t>
  </si>
  <si>
    <t>=IF(AND($M2127&gt;=$S$16,$M2127&lt;=$S$18),U2127,0)</t>
  </si>
  <si>
    <t>=IF($M2127&lt;=$T$18,U2127,0)</t>
  </si>
  <si>
    <t>="""NAV Direct"",""CRONUS JetCorp USA"",""21"",""1"",""38763"""</t>
  </si>
  <si>
    <t>=E2126</t>
  </si>
  <si>
    <t>=StartDate-$M2128+1</t>
  </si>
  <si>
    <t>=SUM(P2128:T2128)</t>
  </si>
  <si>
    <t>=IF($M2128&gt;=$P$18,U2128,0)</t>
  </si>
  <si>
    <t>=IF(AND($M2128&gt;=$Q$16,$M2128&lt;=$Q$18),U2128,0)</t>
  </si>
  <si>
    <t>=IF(AND($M2128&gt;=$R$16,$M2128&lt;=$R$18),U2128,0)</t>
  </si>
  <si>
    <t>=IF(AND($M2128&gt;=$S$16,$M2128&lt;=$S$18),U2128,0)</t>
  </si>
  <si>
    <t>=IF($M2128&lt;=$T$18,U2128,0)</t>
  </si>
  <si>
    <t>="""NAV Direct"",""CRONUS JetCorp USA"",""21"",""1"",""38838"""</t>
  </si>
  <si>
    <t>=E2127</t>
  </si>
  <si>
    <t>=StartDate-$M2129+1</t>
  </si>
  <si>
    <t>=SUM(P2129:T2129)</t>
  </si>
  <si>
    <t>=IF($M2129&gt;=$P$18,U2129,0)</t>
  </si>
  <si>
    <t>=IF(AND($M2129&gt;=$Q$16,$M2129&lt;=$Q$18),U2129,0)</t>
  </si>
  <si>
    <t>=IF(AND($M2129&gt;=$R$16,$M2129&lt;=$R$18),U2129,0)</t>
  </si>
  <si>
    <t>=IF(AND($M2129&gt;=$S$16,$M2129&lt;=$S$18),U2129,0)</t>
  </si>
  <si>
    <t>=IF($M2129&lt;=$T$18,U2129,0)</t>
  </si>
  <si>
    <t>="""NAV Direct"",""CRONUS JetCorp USA"",""21"",""1"",""330063"""</t>
  </si>
  <si>
    <t>=E2128</t>
  </si>
  <si>
    <t>=StartDate-$M2130+1</t>
  </si>
  <si>
    <t>=SUM(P2130:T2130)</t>
  </si>
  <si>
    <t>=IF($M2130&gt;=$P$18,U2130,0)</t>
  </si>
  <si>
    <t>=IF(AND($M2130&gt;=$Q$16,$M2130&lt;=$Q$18),U2130,0)</t>
  </si>
  <si>
    <t>=IF(AND($M2130&gt;=$R$16,$M2130&lt;=$R$18),U2130,0)</t>
  </si>
  <si>
    <t>=IF(AND($M2130&gt;=$S$16,$M2130&lt;=$S$18),U2130,0)</t>
  </si>
  <si>
    <t>=IF($M2130&lt;=$T$18,U2130,0)</t>
  </si>
  <si>
    <t>="""NAV Direct"",""CRONUS JetCorp USA"",""21"",""1"",""330116"""</t>
  </si>
  <si>
    <t>=E2129</t>
  </si>
  <si>
    <t>=StartDate-$M2131+1</t>
  </si>
  <si>
    <t>=SUM(P2131:T2131)</t>
  </si>
  <si>
    <t>=IF($M2131&gt;=$P$18,U2131,0)</t>
  </si>
  <si>
    <t>=IF(AND($M2131&gt;=$Q$16,$M2131&lt;=$Q$18),U2131,0)</t>
  </si>
  <si>
    <t>=IF(AND($M2131&gt;=$R$16,$M2131&lt;=$R$18),U2131,0)</t>
  </si>
  <si>
    <t>=IF(AND($M2131&gt;=$S$16,$M2131&lt;=$S$18),U2131,0)</t>
  </si>
  <si>
    <t>=IF($M2131&lt;=$T$18,U2131,0)</t>
  </si>
  <si>
    <t>="""NAV Direct"",""CRONUS JetCorp USA"",""21"",""1"",""330279"""</t>
  </si>
  <si>
    <t>=E2130</t>
  </si>
  <si>
    <t>=StartDate-$M2132+1</t>
  </si>
  <si>
    <t>=SUM(P2132:T2132)</t>
  </si>
  <si>
    <t>=IF($M2132&gt;=$P$18,U2132,0)</t>
  </si>
  <si>
    <t>=IF(AND($M2132&gt;=$Q$16,$M2132&lt;=$Q$18),U2132,0)</t>
  </si>
  <si>
    <t>=IF(AND($M2132&gt;=$R$16,$M2132&lt;=$R$18),U2132,0)</t>
  </si>
  <si>
    <t>=IF(AND($M2132&gt;=$S$16,$M2132&lt;=$S$18),U2132,0)</t>
  </si>
  <si>
    <t>=IF($M2132&lt;=$T$18,U2132,0)</t>
  </si>
  <si>
    <t>="""NAV Direct"",""CRONUS JetCorp USA"",""21"",""1"",""330360"""</t>
  </si>
  <si>
    <t>=E2131</t>
  </si>
  <si>
    <t>=StartDate-$M2133+1</t>
  </si>
  <si>
    <t>=SUM(P2133:T2133)</t>
  </si>
  <si>
    <t>=IF($M2133&gt;=$P$18,U2133,0)</t>
  </si>
  <si>
    <t>=IF(AND($M2133&gt;=$Q$16,$M2133&lt;=$Q$18),U2133,0)</t>
  </si>
  <si>
    <t>=IF(AND($M2133&gt;=$R$16,$M2133&lt;=$R$18),U2133,0)</t>
  </si>
  <si>
    <t>=IF(AND($M2133&gt;=$S$16,$M2133&lt;=$S$18),U2133,0)</t>
  </si>
  <si>
    <t>=IF($M2133&lt;=$T$18,U2133,0)</t>
  </si>
  <si>
    <t>="""NAV Direct"",""CRONUS JetCorp USA"",""21"",""1"",""330416"""</t>
  </si>
  <si>
    <t>=E2132</t>
  </si>
  <si>
    <t>=StartDate-$M2134+1</t>
  </si>
  <si>
    <t>=SUM(P2134:T2134)</t>
  </si>
  <si>
    <t>=IF($M2134&gt;=$P$18,U2134,0)</t>
  </si>
  <si>
    <t>=IF(AND($M2134&gt;=$Q$16,$M2134&lt;=$Q$18),U2134,0)</t>
  </si>
  <si>
    <t>=IF(AND($M2134&gt;=$R$16,$M2134&lt;=$R$18),U2134,0)</t>
  </si>
  <si>
    <t>=IF(AND($M2134&gt;=$S$16,$M2134&lt;=$S$18),U2134,0)</t>
  </si>
  <si>
    <t>=IF($M2134&lt;=$T$18,U2134,0)</t>
  </si>
  <si>
    <t>="""NAV Direct"",""CRONUS JetCorp USA"",""21"",""1"",""330470"""</t>
  </si>
  <si>
    <t>=E2133</t>
  </si>
  <si>
    <t>=StartDate-$M2135+1</t>
  </si>
  <si>
    <t>=SUM(P2135:T2135)</t>
  </si>
  <si>
    <t>=IF($M2135&gt;=$P$18,U2135,0)</t>
  </si>
  <si>
    <t>=IF(AND($M2135&gt;=$Q$16,$M2135&lt;=$Q$18),U2135,0)</t>
  </si>
  <si>
    <t>=IF(AND($M2135&gt;=$R$16,$M2135&lt;=$R$18),U2135,0)</t>
  </si>
  <si>
    <t>=IF(AND($M2135&gt;=$S$16,$M2135&lt;=$S$18),U2135,0)</t>
  </si>
  <si>
    <t>=IF($M2135&lt;=$T$18,U2135,0)</t>
  </si>
  <si>
    <t>="""NAV Direct"",""CRONUS JetCorp USA"",""21"",""1"",""330731"""</t>
  </si>
  <si>
    <t>=E2134</t>
  </si>
  <si>
    <t>=StartDate-$M2136+1</t>
  </si>
  <si>
    <t>=SUM(P2136:T2136)</t>
  </si>
  <si>
    <t>=IF($M2136&gt;=$P$18,U2136,0)</t>
  </si>
  <si>
    <t>=IF(AND($M2136&gt;=$Q$16,$M2136&lt;=$Q$18),U2136,0)</t>
  </si>
  <si>
    <t>=IF(AND($M2136&gt;=$R$16,$M2136&lt;=$R$18),U2136,0)</t>
  </si>
  <si>
    <t>=IF(AND($M2136&gt;=$S$16,$M2136&lt;=$S$18),U2136,0)</t>
  </si>
  <si>
    <t>=IF($M2136&lt;=$T$18,U2136,0)</t>
  </si>
  <si>
    <t>="""NAV Direct"",""CRONUS JetCorp USA"",""21"",""1"",""330885"""</t>
  </si>
  <si>
    <t>=E2135</t>
  </si>
  <si>
    <t>=StartDate-$M2137+1</t>
  </si>
  <si>
    <t>=SUM(P2137:T2137)</t>
  </si>
  <si>
    <t>=IF($M2137&gt;=$P$18,U2137,0)</t>
  </si>
  <si>
    <t>=IF(AND($M2137&gt;=$Q$16,$M2137&lt;=$Q$18),U2137,0)</t>
  </si>
  <si>
    <t>=IF(AND($M2137&gt;=$R$16,$M2137&lt;=$R$18),U2137,0)</t>
  </si>
  <si>
    <t>=IF(AND($M2137&gt;=$S$16,$M2137&lt;=$S$18),U2137,0)</t>
  </si>
  <si>
    <t>=IF($M2137&lt;=$T$18,U2137,0)</t>
  </si>
  <si>
    <t>="""NAV Direct"",""CRONUS JetCorp USA"",""21"",""1"",""331071"""</t>
  </si>
  <si>
    <t>=E2136</t>
  </si>
  <si>
    <t>=StartDate-$M2138+1</t>
  </si>
  <si>
    <t>=SUM(P2138:T2138)</t>
  </si>
  <si>
    <t>=IF($M2138&gt;=$P$18,U2138,0)</t>
  </si>
  <si>
    <t>=IF(AND($M2138&gt;=$Q$16,$M2138&lt;=$Q$18),U2138,0)</t>
  </si>
  <si>
    <t>=IF(AND($M2138&gt;=$R$16,$M2138&lt;=$R$18),U2138,0)</t>
  </si>
  <si>
    <t>=IF(AND($M2138&gt;=$S$16,$M2138&lt;=$S$18),U2138,0)</t>
  </si>
  <si>
    <t>=IF($M2138&lt;=$T$18,U2138,0)</t>
  </si>
  <si>
    <t>="""NAV Direct"",""CRONUS JetCorp USA"",""21"",""1"",""331132"""</t>
  </si>
  <si>
    <t>=E2137</t>
  </si>
  <si>
    <t>=StartDate-$M2139+1</t>
  </si>
  <si>
    <t>=SUM(P2139:T2139)</t>
  </si>
  <si>
    <t>=IF($M2139&gt;=$P$18,U2139,0)</t>
  </si>
  <si>
    <t>=IF(AND($M2139&gt;=$Q$16,$M2139&lt;=$Q$18),U2139,0)</t>
  </si>
  <si>
    <t>=IF(AND($M2139&gt;=$R$16,$M2139&lt;=$R$18),U2139,0)</t>
  </si>
  <si>
    <t>=IF(AND($M2139&gt;=$S$16,$M2139&lt;=$S$18),U2139,0)</t>
  </si>
  <si>
    <t>=IF($M2139&lt;=$T$18,U2139,0)</t>
  </si>
  <si>
    <t>="""NAV Direct"",""CRONUS JetCorp USA"",""21"",""1"",""331161"""</t>
  </si>
  <si>
    <t>=E2138</t>
  </si>
  <si>
    <t>=StartDate-$M2140+1</t>
  </si>
  <si>
    <t>=SUM(P2140:T2140)</t>
  </si>
  <si>
    <t>=IF($M2140&gt;=$P$18,U2140,0)</t>
  </si>
  <si>
    <t>=IF(AND($M2140&gt;=$Q$16,$M2140&lt;=$Q$18),U2140,0)</t>
  </si>
  <si>
    <t>=IF(AND($M2140&gt;=$R$16,$M2140&lt;=$R$18),U2140,0)</t>
  </si>
  <si>
    <t>=IF(AND($M2140&gt;=$S$16,$M2140&lt;=$S$18),U2140,0)</t>
  </si>
  <si>
    <t>=IF($M2140&lt;=$T$18,U2140,0)</t>
  </si>
  <si>
    <t>="""NAV Direct"",""CRONUS JetCorp USA"",""21"",""1"",""331186"""</t>
  </si>
  <si>
    <t>=E2139</t>
  </si>
  <si>
    <t>=StartDate-$M2141+1</t>
  </si>
  <si>
    <t>=SUM(P2141:T2141)</t>
  </si>
  <si>
    <t>=IF($M2141&gt;=$P$18,U2141,0)</t>
  </si>
  <si>
    <t>=IF(AND($M2141&gt;=$Q$16,$M2141&lt;=$Q$18),U2141,0)</t>
  </si>
  <si>
    <t>=IF(AND($M2141&gt;=$R$16,$M2141&lt;=$R$18),U2141,0)</t>
  </si>
  <si>
    <t>=IF(AND($M2141&gt;=$S$16,$M2141&lt;=$S$18),U2141,0)</t>
  </si>
  <si>
    <t>=IF($M2141&lt;=$T$18,U2141,0)</t>
  </si>
  <si>
    <t>="""NAV Direct"",""CRONUS JetCorp USA"",""21"",""1"",""331337"""</t>
  </si>
  <si>
    <t>=E2140</t>
  </si>
  <si>
    <t>=StartDate-$M2142+1</t>
  </si>
  <si>
    <t>=SUM(P2142:T2142)</t>
  </si>
  <si>
    <t>=IF($M2142&gt;=$P$18,U2142,0)</t>
  </si>
  <si>
    <t>=IF(AND($M2142&gt;=$Q$16,$M2142&lt;=$Q$18),U2142,0)</t>
  </si>
  <si>
    <t>=IF(AND($M2142&gt;=$R$16,$M2142&lt;=$R$18),U2142,0)</t>
  </si>
  <si>
    <t>=IF(AND($M2142&gt;=$S$16,$M2142&lt;=$S$18),U2142,0)</t>
  </si>
  <si>
    <t>=IF($M2142&lt;=$T$18,U2142,0)</t>
  </si>
  <si>
    <t>="""NAV Direct"",""CRONUS JetCorp USA"",""21"",""1"",""331364"""</t>
  </si>
  <si>
    <t>=E2141</t>
  </si>
  <si>
    <t>=StartDate-$M2143+1</t>
  </si>
  <si>
    <t>=SUM(P2143:T2143)</t>
  </si>
  <si>
    <t>=IF($M2143&gt;=$P$18,U2143,0)</t>
  </si>
  <si>
    <t>=IF(AND($M2143&gt;=$Q$16,$M2143&lt;=$Q$18),U2143,0)</t>
  </si>
  <si>
    <t>=IF(AND($M2143&gt;=$R$16,$M2143&lt;=$R$18),U2143,0)</t>
  </si>
  <si>
    <t>=IF(AND($M2143&gt;=$S$16,$M2143&lt;=$S$18),U2143,0)</t>
  </si>
  <si>
    <t>=IF($M2143&lt;=$T$18,U2143,0)</t>
  </si>
  <si>
    <t>="""NAV Direct"",""CRONUS JetCorp USA"",""21"",""1"",""331508"""</t>
  </si>
  <si>
    <t>=E2142</t>
  </si>
  <si>
    <t>=StartDate-$M2144+1</t>
  </si>
  <si>
    <t>=SUM(P2144:T2144)</t>
  </si>
  <si>
    <t>=IF($M2144&gt;=$P$18,U2144,0)</t>
  </si>
  <si>
    <t>=IF(AND($M2144&gt;=$Q$16,$M2144&lt;=$Q$18),U2144,0)</t>
  </si>
  <si>
    <t>=IF(AND($M2144&gt;=$R$16,$M2144&lt;=$R$18),U2144,0)</t>
  </si>
  <si>
    <t>=IF(AND($M2144&gt;=$S$16,$M2144&lt;=$S$18),U2144,0)</t>
  </si>
  <si>
    <t>=IF($M2144&lt;=$T$18,U2144,0)</t>
  </si>
  <si>
    <t>="""NAV Direct"",""CRONUS JetCorp USA"",""21"",""1"",""331552"""</t>
  </si>
  <si>
    <t>=E2143</t>
  </si>
  <si>
    <t>=StartDate-$M2145+1</t>
  </si>
  <si>
    <t>=SUM(P2145:T2145)</t>
  </si>
  <si>
    <t>=IF($M2145&gt;=$P$18,U2145,0)</t>
  </si>
  <si>
    <t>=IF(AND($M2145&gt;=$Q$16,$M2145&lt;=$Q$18),U2145,0)</t>
  </si>
  <si>
    <t>=IF(AND($M2145&gt;=$R$16,$M2145&lt;=$R$18),U2145,0)</t>
  </si>
  <si>
    <t>=IF(AND($M2145&gt;=$S$16,$M2145&lt;=$S$18),U2145,0)</t>
  </si>
  <si>
    <t>=IF($M2145&lt;=$T$18,U2145,0)</t>
  </si>
  <si>
    <t>="""NAV Direct"",""CRONUS JetCorp USA"",""21"",""1"",""331579"""</t>
  </si>
  <si>
    <t>=E2144</t>
  </si>
  <si>
    <t>=StartDate-$M2146+1</t>
  </si>
  <si>
    <t>=SUM(P2146:T2146)</t>
  </si>
  <si>
    <t>=IF($M2146&gt;=$P$18,U2146,0)</t>
  </si>
  <si>
    <t>=IF(AND($M2146&gt;=$Q$16,$M2146&lt;=$Q$18),U2146,0)</t>
  </si>
  <si>
    <t>=IF(AND($M2146&gt;=$R$16,$M2146&lt;=$R$18),U2146,0)</t>
  </si>
  <si>
    <t>=IF(AND($M2146&gt;=$S$16,$M2146&lt;=$S$18),U2146,0)</t>
  </si>
  <si>
    <t>=IF($M2146&lt;=$T$18,U2146,0)</t>
  </si>
  <si>
    <t>="""NAV Direct"",""CRONUS JetCorp USA"",""21"",""1"",""331769"""</t>
  </si>
  <si>
    <t>=E2145</t>
  </si>
  <si>
    <t>=StartDate-$M2147+1</t>
  </si>
  <si>
    <t>=SUM(P2147:T2147)</t>
  </si>
  <si>
    <t>=IF($M2147&gt;=$P$18,U2147,0)</t>
  </si>
  <si>
    <t>=IF(AND($M2147&gt;=$Q$16,$M2147&lt;=$Q$18),U2147,0)</t>
  </si>
  <si>
    <t>=IF(AND($M2147&gt;=$R$16,$M2147&lt;=$R$18),U2147,0)</t>
  </si>
  <si>
    <t>=IF(AND($M2147&gt;=$S$16,$M2147&lt;=$S$18),U2147,0)</t>
  </si>
  <si>
    <t>=IF($M2147&lt;=$T$18,U2147,0)</t>
  </si>
  <si>
    <t>="""NAV Direct"",""CRONUS JetCorp USA"",""21"",""1"",""331811"""</t>
  </si>
  <si>
    <t>=E2146</t>
  </si>
  <si>
    <t>=StartDate-$M2148+1</t>
  </si>
  <si>
    <t>=SUM(P2148:T2148)</t>
  </si>
  <si>
    <t>=IF($M2148&gt;=$P$18,U2148,0)</t>
  </si>
  <si>
    <t>=IF(AND($M2148&gt;=$Q$16,$M2148&lt;=$Q$18),U2148,0)</t>
  </si>
  <si>
    <t>=IF(AND($M2148&gt;=$R$16,$M2148&lt;=$R$18),U2148,0)</t>
  </si>
  <si>
    <t>=IF(AND($M2148&gt;=$S$16,$M2148&lt;=$S$18),U2148,0)</t>
  </si>
  <si>
    <t>=IF($M2148&lt;=$T$18,U2148,0)</t>
  </si>
  <si>
    <t>="""NAV Direct"",""CRONUS JetCorp USA"",""21"",""1"",""332038"""</t>
  </si>
  <si>
    <t>=E2147</t>
  </si>
  <si>
    <t>=StartDate-$M2149+1</t>
  </si>
  <si>
    <t>=SUM(P2149:T2149)</t>
  </si>
  <si>
    <t>=IF($M2149&gt;=$P$18,U2149,0)</t>
  </si>
  <si>
    <t>=IF(AND($M2149&gt;=$Q$16,$M2149&lt;=$Q$18),U2149,0)</t>
  </si>
  <si>
    <t>=IF(AND($M2149&gt;=$R$16,$M2149&lt;=$R$18),U2149,0)</t>
  </si>
  <si>
    <t>=IF(AND($M2149&gt;=$S$16,$M2149&lt;=$S$18),U2149,0)</t>
  </si>
  <si>
    <t>=IF($M2149&lt;=$T$18,U2149,0)</t>
  </si>
  <si>
    <t>="""NAV Direct"",""CRONUS JetCorp USA"",""21"",""1"",""332059"""</t>
  </si>
  <si>
    <t>=E2148</t>
  </si>
  <si>
    <t>=StartDate-$M2150+1</t>
  </si>
  <si>
    <t>=SUM(P2150:T2150)</t>
  </si>
  <si>
    <t>=IF($M2150&gt;=$P$18,U2150,0)</t>
  </si>
  <si>
    <t>=IF(AND($M2150&gt;=$Q$16,$M2150&lt;=$Q$18),U2150,0)</t>
  </si>
  <si>
    <t>=IF(AND($M2150&gt;=$R$16,$M2150&lt;=$R$18),U2150,0)</t>
  </si>
  <si>
    <t>=IF(AND($M2150&gt;=$S$16,$M2150&lt;=$S$18),U2150,0)</t>
  </si>
  <si>
    <t>=IF($M2150&lt;=$T$18,U2150,0)</t>
  </si>
  <si>
    <t>="""NAV Direct"",""CRONUS JetCorp USA"",""21"",""1"",""332138"""</t>
  </si>
  <si>
    <t>=E2149</t>
  </si>
  <si>
    <t>=StartDate-$M2151+1</t>
  </si>
  <si>
    <t>=SUM(P2151:T2151)</t>
  </si>
  <si>
    <t>=IF($M2151&gt;=$P$18,U2151,0)</t>
  </si>
  <si>
    <t>=IF(AND($M2151&gt;=$Q$16,$M2151&lt;=$Q$18),U2151,0)</t>
  </si>
  <si>
    <t>=IF(AND($M2151&gt;=$R$16,$M2151&lt;=$R$18),U2151,0)</t>
  </si>
  <si>
    <t>=IF(AND($M2151&gt;=$S$16,$M2151&lt;=$S$18),U2151,0)</t>
  </si>
  <si>
    <t>=IF($M2151&lt;=$T$18,U2151,0)</t>
  </si>
  <si>
    <t>="""NAV Direct"",""CRONUS JetCorp USA"",""21"",""1"",""332324"""</t>
  </si>
  <si>
    <t>=E2150</t>
  </si>
  <si>
    <t>=StartDate-$M2152+1</t>
  </si>
  <si>
    <t>=SUM(P2152:T2152)</t>
  </si>
  <si>
    <t>=IF($M2152&gt;=$P$18,U2152,0)</t>
  </si>
  <si>
    <t>=IF(AND($M2152&gt;=$Q$16,$M2152&lt;=$Q$18),U2152,0)</t>
  </si>
  <si>
    <t>=IF(AND($M2152&gt;=$R$16,$M2152&lt;=$R$18),U2152,0)</t>
  </si>
  <si>
    <t>=IF(AND($M2152&gt;=$S$16,$M2152&lt;=$S$18),U2152,0)</t>
  </si>
  <si>
    <t>=IF($M2152&lt;=$T$18,U2152,0)</t>
  </si>
  <si>
    <t>="""NAV Direct"",""CRONUS JetCorp USA"",""21"",""1"",""432760"""</t>
  </si>
  <si>
    <t>=E2151</t>
  </si>
  <si>
    <t>=StartDate-$M2153+1</t>
  </si>
  <si>
    <t>=SUM(P2153:T2153)</t>
  </si>
  <si>
    <t>=IF($M2153&gt;=$P$18,U2153,0)</t>
  </si>
  <si>
    <t>=IF(AND($M2153&gt;=$Q$16,$M2153&lt;=$Q$18),U2153,0)</t>
  </si>
  <si>
    <t>=IF(AND($M2153&gt;=$R$16,$M2153&lt;=$R$18),U2153,0)</t>
  </si>
  <si>
    <t>=IF(AND($M2153&gt;=$S$16,$M2153&lt;=$S$18),U2153,0)</t>
  </si>
  <si>
    <t>=IF($M2153&lt;=$T$18,U2153,0)</t>
  </si>
  <si>
    <t>="""NAV Direct"",""CRONUS JetCorp USA"",""21"",""1"",""432831"""</t>
  </si>
  <si>
    <t>=E2152</t>
  </si>
  <si>
    <t>=StartDate-$M2154+1</t>
  </si>
  <si>
    <t>=SUM(P2154:T2154)</t>
  </si>
  <si>
    <t>=IF($M2154&gt;=$P$18,U2154,0)</t>
  </si>
  <si>
    <t>=IF(AND($M2154&gt;=$Q$16,$M2154&lt;=$Q$18),U2154,0)</t>
  </si>
  <si>
    <t>=IF(AND($M2154&gt;=$R$16,$M2154&lt;=$R$18),U2154,0)</t>
  </si>
  <si>
    <t>=IF(AND($M2154&gt;=$S$16,$M2154&lt;=$S$18),U2154,0)</t>
  </si>
  <si>
    <t>=IF($M2154&lt;=$T$18,U2154,0)</t>
  </si>
  <si>
    <t>="""NAV Direct"",""CRONUS JetCorp USA"",""21"",""1"",""432913"""</t>
  </si>
  <si>
    <t>=E2153</t>
  </si>
  <si>
    <t>=StartDate-$M2155+1</t>
  </si>
  <si>
    <t>=SUM(P2155:T2155)</t>
  </si>
  <si>
    <t>=IF($M2155&gt;=$P$18,U2155,0)</t>
  </si>
  <si>
    <t>=IF(AND($M2155&gt;=$Q$16,$M2155&lt;=$Q$18),U2155,0)</t>
  </si>
  <si>
    <t>=IF(AND($M2155&gt;=$R$16,$M2155&lt;=$R$18),U2155,0)</t>
  </si>
  <si>
    <t>=IF(AND($M2155&gt;=$S$16,$M2155&lt;=$S$18),U2155,0)</t>
  </si>
  <si>
    <t>=IF($M2155&lt;=$T$18,U2155,0)</t>
  </si>
  <si>
    <t>="""NAV Direct"",""CRONUS JetCorp USA"",""21"",""1"",""432983"""</t>
  </si>
  <si>
    <t>=E2154</t>
  </si>
  <si>
    <t>=StartDate-$M2156+1</t>
  </si>
  <si>
    <t>=SUM(P2156:T2156)</t>
  </si>
  <si>
    <t>=IF($M2156&gt;=$P$18,U2156,0)</t>
  </si>
  <si>
    <t>=IF(AND($M2156&gt;=$Q$16,$M2156&lt;=$Q$18),U2156,0)</t>
  </si>
  <si>
    <t>=IF(AND($M2156&gt;=$R$16,$M2156&lt;=$R$18),U2156,0)</t>
  </si>
  <si>
    <t>=IF(AND($M2156&gt;=$S$16,$M2156&lt;=$S$18),U2156,0)</t>
  </si>
  <si>
    <t>=IF($M2156&lt;=$T$18,U2156,0)</t>
  </si>
  <si>
    <t>="""NAV Direct"",""CRONUS JetCorp USA"",""21"",""1"",""433126"""</t>
  </si>
  <si>
    <t>=E2155</t>
  </si>
  <si>
    <t>=StartDate-$M2157+1</t>
  </si>
  <si>
    <t>=SUM(P2157:T2157)</t>
  </si>
  <si>
    <t>=IF($M2157&gt;=$P$18,U2157,0)</t>
  </si>
  <si>
    <t>=IF(AND($M2157&gt;=$Q$16,$M2157&lt;=$Q$18),U2157,0)</t>
  </si>
  <si>
    <t>=IF(AND($M2157&gt;=$R$16,$M2157&lt;=$R$18),U2157,0)</t>
  </si>
  <si>
    <t>=IF(AND($M2157&gt;=$S$16,$M2157&lt;=$S$18),U2157,0)</t>
  </si>
  <si>
    <t>=IF($M2157&lt;=$T$18,U2157,0)</t>
  </si>
  <si>
    <t>="""NAV Direct"",""CRONUS JetCorp USA"",""18"",""1"",""C100072"""</t>
  </si>
  <si>
    <t>=H2160</t>
  </si>
  <si>
    <t>=NF($C2160,"1 No.")</t>
  </si>
  <si>
    <t>=NF($C2160,"1 No.")&amp;"  -  "&amp;NF($C2160,"2 Name")</t>
  </si>
  <si>
    <t>=IFERROR(O2160/NF(C2160,"Credit Limit (LCY)"),"")</t>
  </si>
  <si>
    <t>=SUBTOTAL(3,L2161:L2215)</t>
  </si>
  <si>
    <t>=SUBTOTAL(9,O2161:O2215)</t>
  </si>
  <si>
    <t>=SUBTOTAL(9,P2161:P2215)</t>
  </si>
  <si>
    <t>=SUBTOTAL(9,Q2161:Q2215)</t>
  </si>
  <si>
    <t>=SUBTOTAL(9,R2161:R2215)</t>
  </si>
  <si>
    <t>=SUBTOTAL(9,S2161:S2215)</t>
  </si>
  <si>
    <t>=SUBTOTAL(9,T2161:T2215)</t>
  </si>
  <si>
    <t>=C2160</t>
  </si>
  <si>
    <t>=E2160</t>
  </si>
  <si>
    <t>="Contact: "&amp;NF($C2161,"8 Contact")</t>
  </si>
  <si>
    <t>=C2161</t>
  </si>
  <si>
    <t>=E2161</t>
  </si>
  <si>
    <t>=NF($C2162,"102 E-Mail")</t>
  </si>
  <si>
    <t>=NL("Rows","21 Cust. Ledger Entry",,"3 Customer No.","@@"&amp;$E2164,"16 Remaining Amt. (LCY)","&lt;&gt;0")</t>
  </si>
  <si>
    <t>=E2162</t>
  </si>
  <si>
    <t>=StartDate-$M2164+1</t>
  </si>
  <si>
    <t>=SUM(P2164:T2164)</t>
  </si>
  <si>
    <t>=IF($M2164&gt;=$P$18,U2164,0)</t>
  </si>
  <si>
    <t>=IF(AND($M2164&gt;=$Q$16,$M2164&lt;=$Q$18),U2164,0)</t>
  </si>
  <si>
    <t>=IF(AND($M2164&gt;=$R$16,$M2164&lt;=$R$18),U2164,0)</t>
  </si>
  <si>
    <t>=IF(AND($M2164&gt;=$S$16,$M2164&lt;=$S$18),U2164,0)</t>
  </si>
  <si>
    <t>=IF($M2164&lt;=$T$18,U2164,0)</t>
  </si>
  <si>
    <t>="""NAV Direct"",""CRONUS JetCorp USA"",""21"",""1"",""360839"""</t>
  </si>
  <si>
    <t>=E2163</t>
  </si>
  <si>
    <t>=StartDate-$M2165+1</t>
  </si>
  <si>
    <t>=SUM(P2165:T2165)</t>
  </si>
  <si>
    <t>=IF($M2165&gt;=$P$18,U2165,0)</t>
  </si>
  <si>
    <t>=IF(AND($M2165&gt;=$Q$16,$M2165&lt;=$Q$18),U2165,0)</t>
  </si>
  <si>
    <t>=IF(AND($M2165&gt;=$R$16,$M2165&lt;=$R$18),U2165,0)</t>
  </si>
  <si>
    <t>=IF(AND($M2165&gt;=$S$16,$M2165&lt;=$S$18),U2165,0)</t>
  </si>
  <si>
    <t>=IF($M2165&lt;=$T$18,U2165,0)</t>
  </si>
  <si>
    <t>="""NAV Direct"",""CRONUS JetCorp USA"",""21"",""1"",""360957"""</t>
  </si>
  <si>
    <t>=E2164</t>
  </si>
  <si>
    <t>=StartDate-$M2166+1</t>
  </si>
  <si>
    <t>=SUM(P2166:T2166)</t>
  </si>
  <si>
    <t>=IF($M2166&gt;=$P$18,U2166,0)</t>
  </si>
  <si>
    <t>=IF(AND($M2166&gt;=$Q$16,$M2166&lt;=$Q$18),U2166,0)</t>
  </si>
  <si>
    <t>=IF(AND($M2166&gt;=$R$16,$M2166&lt;=$R$18),U2166,0)</t>
  </si>
  <si>
    <t>=IF(AND($M2166&gt;=$S$16,$M2166&lt;=$S$18),U2166,0)</t>
  </si>
  <si>
    <t>=IF($M2166&lt;=$T$18,U2166,0)</t>
  </si>
  <si>
    <t>="""NAV Direct"",""CRONUS JetCorp USA"",""21"",""1"",""361711"""</t>
  </si>
  <si>
    <t>=E2165</t>
  </si>
  <si>
    <t>=StartDate-$M2167+1</t>
  </si>
  <si>
    <t>=SUM(P2167:T2167)</t>
  </si>
  <si>
    <t>=IF($M2167&gt;=$P$18,U2167,0)</t>
  </si>
  <si>
    <t>=IF(AND($M2167&gt;=$Q$16,$M2167&lt;=$Q$18),U2167,0)</t>
  </si>
  <si>
    <t>=IF(AND($M2167&gt;=$R$16,$M2167&lt;=$R$18),U2167,0)</t>
  </si>
  <si>
    <t>=IF(AND($M2167&gt;=$S$16,$M2167&lt;=$S$18),U2167,0)</t>
  </si>
  <si>
    <t>=IF($M2167&lt;=$T$18,U2167,0)</t>
  </si>
  <si>
    <t>="""NAV Direct"",""CRONUS JetCorp USA"",""21"",""1"",""361842"""</t>
  </si>
  <si>
    <t>=E2166</t>
  </si>
  <si>
    <t>=StartDate-$M2168+1</t>
  </si>
  <si>
    <t>=SUM(P2168:T2168)</t>
  </si>
  <si>
    <t>=IF($M2168&gt;=$P$18,U2168,0)</t>
  </si>
  <si>
    <t>=IF(AND($M2168&gt;=$Q$16,$M2168&lt;=$Q$18),U2168,0)</t>
  </si>
  <si>
    <t>=IF(AND($M2168&gt;=$R$16,$M2168&lt;=$R$18),U2168,0)</t>
  </si>
  <si>
    <t>=IF(AND($M2168&gt;=$S$16,$M2168&lt;=$S$18),U2168,0)</t>
  </si>
  <si>
    <t>=IF($M2168&lt;=$T$18,U2168,0)</t>
  </si>
  <si>
    <t>="""NAV Direct"",""CRONUS JetCorp USA"",""21"",""1"",""361877"""</t>
  </si>
  <si>
    <t>=E2167</t>
  </si>
  <si>
    <t>=StartDate-$M2169+1</t>
  </si>
  <si>
    <t>=SUM(P2169:T2169)</t>
  </si>
  <si>
    <t>=IF($M2169&gt;=$P$18,U2169,0)</t>
  </si>
  <si>
    <t>=IF(AND($M2169&gt;=$Q$16,$M2169&lt;=$Q$18),U2169,0)</t>
  </si>
  <si>
    <t>=IF(AND($M2169&gt;=$R$16,$M2169&lt;=$R$18),U2169,0)</t>
  </si>
  <si>
    <t>=IF(AND($M2169&gt;=$S$16,$M2169&lt;=$S$18),U2169,0)</t>
  </si>
  <si>
    <t>=IF($M2169&lt;=$T$18,U2169,0)</t>
  </si>
  <si>
    <t>="""NAV Direct"",""CRONUS JetCorp USA"",""21"",""1"",""361904"""</t>
  </si>
  <si>
    <t>=E2168</t>
  </si>
  <si>
    <t>=StartDate-$M2170+1</t>
  </si>
  <si>
    <t>=SUM(P2170:T2170)</t>
  </si>
  <si>
    <t>=IF($M2170&gt;=$P$18,U2170,0)</t>
  </si>
  <si>
    <t>=IF(AND($M2170&gt;=$Q$16,$M2170&lt;=$Q$18),U2170,0)</t>
  </si>
  <si>
    <t>=IF(AND($M2170&gt;=$R$16,$M2170&lt;=$R$18),U2170,0)</t>
  </si>
  <si>
    <t>=IF(AND($M2170&gt;=$S$16,$M2170&lt;=$S$18),U2170,0)</t>
  </si>
  <si>
    <t>=IF($M2170&lt;=$T$18,U2170,0)</t>
  </si>
  <si>
    <t>="""NAV Direct"",""CRONUS JetCorp USA"",""21"",""1"",""362015"""</t>
  </si>
  <si>
    <t>=E2169</t>
  </si>
  <si>
    <t>=StartDate-$M2171+1</t>
  </si>
  <si>
    <t>=SUM(P2171:T2171)</t>
  </si>
  <si>
    <t>=IF($M2171&gt;=$P$18,U2171,0)</t>
  </si>
  <si>
    <t>=IF(AND($M2171&gt;=$Q$16,$M2171&lt;=$Q$18),U2171,0)</t>
  </si>
  <si>
    <t>=IF(AND($M2171&gt;=$R$16,$M2171&lt;=$R$18),U2171,0)</t>
  </si>
  <si>
    <t>=IF(AND($M2171&gt;=$S$16,$M2171&lt;=$S$18),U2171,0)</t>
  </si>
  <si>
    <t>=IF($M2171&lt;=$T$18,U2171,0)</t>
  </si>
  <si>
    <t>="""NAV Direct"",""CRONUS JetCorp USA"",""21"",""1"",""362374"""</t>
  </si>
  <si>
    <t>=E2170</t>
  </si>
  <si>
    <t>=StartDate-$M2172+1</t>
  </si>
  <si>
    <t>=SUM(P2172:T2172)</t>
  </si>
  <si>
    <t>=IF($M2172&gt;=$P$18,U2172,0)</t>
  </si>
  <si>
    <t>=IF(AND($M2172&gt;=$Q$16,$M2172&lt;=$Q$18),U2172,0)</t>
  </si>
  <si>
    <t>=IF(AND($M2172&gt;=$R$16,$M2172&lt;=$R$18),U2172,0)</t>
  </si>
  <si>
    <t>=IF(AND($M2172&gt;=$S$16,$M2172&lt;=$S$18),U2172,0)</t>
  </si>
  <si>
    <t>=IF($M2172&lt;=$T$18,U2172,0)</t>
  </si>
  <si>
    <t>="""NAV Direct"",""CRONUS JetCorp USA"",""21"",""1"",""362716"""</t>
  </si>
  <si>
    <t>=E2171</t>
  </si>
  <si>
    <t>=StartDate-$M2173+1</t>
  </si>
  <si>
    <t>=SUM(P2173:T2173)</t>
  </si>
  <si>
    <t>=IF($M2173&gt;=$P$18,U2173,0)</t>
  </si>
  <si>
    <t>=IF(AND($M2173&gt;=$Q$16,$M2173&lt;=$Q$18),U2173,0)</t>
  </si>
  <si>
    <t>=IF(AND($M2173&gt;=$R$16,$M2173&lt;=$R$18),U2173,0)</t>
  </si>
  <si>
    <t>=IF(AND($M2173&gt;=$S$16,$M2173&lt;=$S$18),U2173,0)</t>
  </si>
  <si>
    <t>=IF($M2173&lt;=$T$18,U2173,0)</t>
  </si>
  <si>
    <t>="""NAV Direct"",""CRONUS JetCorp USA"",""21"",""1"",""362928"""</t>
  </si>
  <si>
    <t>=E2172</t>
  </si>
  <si>
    <t>=StartDate-$M2174+1</t>
  </si>
  <si>
    <t>=SUM(P2174:T2174)</t>
  </si>
  <si>
    <t>=IF($M2174&gt;=$P$18,U2174,0)</t>
  </si>
  <si>
    <t>=IF(AND($M2174&gt;=$Q$16,$M2174&lt;=$Q$18),U2174,0)</t>
  </si>
  <si>
    <t>=IF(AND($M2174&gt;=$R$16,$M2174&lt;=$R$18),U2174,0)</t>
  </si>
  <si>
    <t>=IF(AND($M2174&gt;=$S$16,$M2174&lt;=$S$18),U2174,0)</t>
  </si>
  <si>
    <t>=IF($M2174&lt;=$T$18,U2174,0)</t>
  </si>
  <si>
    <t>="""NAV Direct"",""CRONUS JetCorp USA"",""21"",""1"",""363622"""</t>
  </si>
  <si>
    <t>=E2173</t>
  </si>
  <si>
    <t>=StartDate-$M2175+1</t>
  </si>
  <si>
    <t>=SUM(P2175:T2175)</t>
  </si>
  <si>
    <t>=IF($M2175&gt;=$P$18,U2175,0)</t>
  </si>
  <si>
    <t>=IF(AND($M2175&gt;=$Q$16,$M2175&lt;=$Q$18),U2175,0)</t>
  </si>
  <si>
    <t>=IF(AND($M2175&gt;=$R$16,$M2175&lt;=$R$18),U2175,0)</t>
  </si>
  <si>
    <t>=IF(AND($M2175&gt;=$S$16,$M2175&lt;=$S$18),U2175,0)</t>
  </si>
  <si>
    <t>=IF($M2175&lt;=$T$18,U2175,0)</t>
  </si>
  <si>
    <t>="""NAV Direct"",""CRONUS JetCorp USA"",""21"",""1"",""363704"""</t>
  </si>
  <si>
    <t>=E2174</t>
  </si>
  <si>
    <t>=StartDate-$M2176+1</t>
  </si>
  <si>
    <t>=SUM(P2176:T2176)</t>
  </si>
  <si>
    <t>=IF($M2176&gt;=$P$18,U2176,0)</t>
  </si>
  <si>
    <t>=IF(AND($M2176&gt;=$Q$16,$M2176&lt;=$Q$18),U2176,0)</t>
  </si>
  <si>
    <t>=IF(AND($M2176&gt;=$R$16,$M2176&lt;=$R$18),U2176,0)</t>
  </si>
  <si>
    <t>=IF(AND($M2176&gt;=$S$16,$M2176&lt;=$S$18),U2176,0)</t>
  </si>
  <si>
    <t>=IF($M2176&lt;=$T$18,U2176,0)</t>
  </si>
  <si>
    <t>="""NAV Direct"",""CRONUS JetCorp USA"",""21"",""1"",""363741"""</t>
  </si>
  <si>
    <t>=E2175</t>
  </si>
  <si>
    <t>=StartDate-$M2177+1</t>
  </si>
  <si>
    <t>=SUM(P2177:T2177)</t>
  </si>
  <si>
    <t>=IF($M2177&gt;=$P$18,U2177,0)</t>
  </si>
  <si>
    <t>=IF(AND($M2177&gt;=$Q$16,$M2177&lt;=$Q$18),U2177,0)</t>
  </si>
  <si>
    <t>=IF(AND($M2177&gt;=$R$16,$M2177&lt;=$R$18),U2177,0)</t>
  </si>
  <si>
    <t>=IF(AND($M2177&gt;=$S$16,$M2177&lt;=$S$18),U2177,0)</t>
  </si>
  <si>
    <t>=IF($M2177&lt;=$T$18,U2177,0)</t>
  </si>
  <si>
    <t>="""NAV Direct"",""CRONUS JetCorp USA"",""21"",""1"",""363782"""</t>
  </si>
  <si>
    <t>=E2176</t>
  </si>
  <si>
    <t>=StartDate-$M2178+1</t>
  </si>
  <si>
    <t>=SUM(P2178:T2178)</t>
  </si>
  <si>
    <t>=IF($M2178&gt;=$P$18,U2178,0)</t>
  </si>
  <si>
    <t>=IF(AND($M2178&gt;=$Q$16,$M2178&lt;=$Q$18),U2178,0)</t>
  </si>
  <si>
    <t>=IF(AND($M2178&gt;=$R$16,$M2178&lt;=$R$18),U2178,0)</t>
  </si>
  <si>
    <t>=IF(AND($M2178&gt;=$S$16,$M2178&lt;=$S$18),U2178,0)</t>
  </si>
  <si>
    <t>=IF($M2178&lt;=$T$18,U2178,0)</t>
  </si>
  <si>
    <t>="""NAV Direct"",""CRONUS JetCorp USA"",""21"",""1"",""364296"""</t>
  </si>
  <si>
    <t>=E2177</t>
  </si>
  <si>
    <t>=StartDate-$M2179+1</t>
  </si>
  <si>
    <t>=SUM(P2179:T2179)</t>
  </si>
  <si>
    <t>=IF($M2179&gt;=$P$18,U2179,0)</t>
  </si>
  <si>
    <t>=IF(AND($M2179&gt;=$Q$16,$M2179&lt;=$Q$18),U2179,0)</t>
  </si>
  <si>
    <t>=IF(AND($M2179&gt;=$R$16,$M2179&lt;=$R$18),U2179,0)</t>
  </si>
  <si>
    <t>=IF(AND($M2179&gt;=$S$16,$M2179&lt;=$S$18),U2179,0)</t>
  </si>
  <si>
    <t>=IF($M2179&lt;=$T$18,U2179,0)</t>
  </si>
  <si>
    <t>="""NAV Direct"",""CRONUS JetCorp USA"",""21"",""1"",""364405"""</t>
  </si>
  <si>
    <t>=E2178</t>
  </si>
  <si>
    <t>=StartDate-$M2180+1</t>
  </si>
  <si>
    <t>=SUM(P2180:T2180)</t>
  </si>
  <si>
    <t>=IF($M2180&gt;=$P$18,U2180,0)</t>
  </si>
  <si>
    <t>=IF(AND($M2180&gt;=$Q$16,$M2180&lt;=$Q$18),U2180,0)</t>
  </si>
  <si>
    <t>=IF(AND($M2180&gt;=$R$16,$M2180&lt;=$R$18),U2180,0)</t>
  </si>
  <si>
    <t>=IF(AND($M2180&gt;=$S$16,$M2180&lt;=$S$18),U2180,0)</t>
  </si>
  <si>
    <t>=IF($M2180&lt;=$T$18,U2180,0)</t>
  </si>
  <si>
    <t>="""NAV Direct"",""CRONUS JetCorp USA"",""21"",""1"",""364571"""</t>
  </si>
  <si>
    <t>=E2179</t>
  </si>
  <si>
    <t>=StartDate-$M2181+1</t>
  </si>
  <si>
    <t>=SUM(P2181:T2181)</t>
  </si>
  <si>
    <t>=IF($M2181&gt;=$P$18,U2181,0)</t>
  </si>
  <si>
    <t>=IF(AND($M2181&gt;=$Q$16,$M2181&lt;=$Q$18),U2181,0)</t>
  </si>
  <si>
    <t>=IF(AND($M2181&gt;=$R$16,$M2181&lt;=$R$18),U2181,0)</t>
  </si>
  <si>
    <t>=IF(AND($M2181&gt;=$S$16,$M2181&lt;=$S$18),U2181,0)</t>
  </si>
  <si>
    <t>=IF($M2181&lt;=$T$18,U2181,0)</t>
  </si>
  <si>
    <t>="""NAV Direct"",""CRONUS JetCorp USA"",""21"",""1"",""364968"""</t>
  </si>
  <si>
    <t>=E2180</t>
  </si>
  <si>
    <t>=StartDate-$M2182+1</t>
  </si>
  <si>
    <t>=SUM(P2182:T2182)</t>
  </si>
  <si>
    <t>=IF($M2182&gt;=$P$18,U2182,0)</t>
  </si>
  <si>
    <t>=IF(AND($M2182&gt;=$Q$16,$M2182&lt;=$Q$18),U2182,0)</t>
  </si>
  <si>
    <t>=IF(AND($M2182&gt;=$R$16,$M2182&lt;=$R$18),U2182,0)</t>
  </si>
  <si>
    <t>=IF(AND($M2182&gt;=$S$16,$M2182&lt;=$S$18),U2182,0)</t>
  </si>
  <si>
    <t>=IF($M2182&lt;=$T$18,U2182,0)</t>
  </si>
  <si>
    <t>="""NAV Direct"",""CRONUS JetCorp USA"",""21"",""1"",""365260"""</t>
  </si>
  <si>
    <t>=E2181</t>
  </si>
  <si>
    <t>=StartDate-$M2183+1</t>
  </si>
  <si>
    <t>=SUM(P2183:T2183)</t>
  </si>
  <si>
    <t>=IF($M2183&gt;=$P$18,U2183,0)</t>
  </si>
  <si>
    <t>=IF(AND($M2183&gt;=$Q$16,$M2183&lt;=$Q$18),U2183,0)</t>
  </si>
  <si>
    <t>=IF(AND($M2183&gt;=$R$16,$M2183&lt;=$R$18),U2183,0)</t>
  </si>
  <si>
    <t>=IF(AND($M2183&gt;=$S$16,$M2183&lt;=$S$18),U2183,0)</t>
  </si>
  <si>
    <t>=IF($M2183&lt;=$T$18,U2183,0)</t>
  </si>
  <si>
    <t>="""NAV Direct"",""CRONUS JetCorp USA"",""21"",""1"",""365417"""</t>
  </si>
  <si>
    <t>=E2182</t>
  </si>
  <si>
    <t>=StartDate-$M2184+1</t>
  </si>
  <si>
    <t>=SUM(P2184:T2184)</t>
  </si>
  <si>
    <t>=IF($M2184&gt;=$P$18,U2184,0)</t>
  </si>
  <si>
    <t>=IF(AND($M2184&gt;=$Q$16,$M2184&lt;=$Q$18),U2184,0)</t>
  </si>
  <si>
    <t>=IF(AND($M2184&gt;=$R$16,$M2184&lt;=$R$18),U2184,0)</t>
  </si>
  <si>
    <t>=IF(AND($M2184&gt;=$S$16,$M2184&lt;=$S$18),U2184,0)</t>
  </si>
  <si>
    <t>=IF($M2184&lt;=$T$18,U2184,0)</t>
  </si>
  <si>
    <t>="""NAV Direct"",""CRONUS JetCorp USA"",""21"",""1"",""365575"""</t>
  </si>
  <si>
    <t>=E2183</t>
  </si>
  <si>
    <t>=StartDate-$M2185+1</t>
  </si>
  <si>
    <t>=SUM(P2185:T2185)</t>
  </si>
  <si>
    <t>=IF($M2185&gt;=$P$18,U2185,0)</t>
  </si>
  <si>
    <t>=IF(AND($M2185&gt;=$Q$16,$M2185&lt;=$Q$18),U2185,0)</t>
  </si>
  <si>
    <t>=IF(AND($M2185&gt;=$R$16,$M2185&lt;=$R$18),U2185,0)</t>
  </si>
  <si>
    <t>=IF(AND($M2185&gt;=$S$16,$M2185&lt;=$S$18),U2185,0)</t>
  </si>
  <si>
    <t>=IF($M2185&lt;=$T$18,U2185,0)</t>
  </si>
  <si>
    <t>="""NAV Direct"",""CRONUS JetCorp USA"",""21"",""1"",""366419"""</t>
  </si>
  <si>
    <t>=E2184</t>
  </si>
  <si>
    <t>=StartDate-$M2186+1</t>
  </si>
  <si>
    <t>=SUM(P2186:T2186)</t>
  </si>
  <si>
    <t>=IF($M2186&gt;=$P$18,U2186,0)</t>
  </si>
  <si>
    <t>=IF(AND($M2186&gt;=$Q$16,$M2186&lt;=$Q$18),U2186,0)</t>
  </si>
  <si>
    <t>=IF(AND($M2186&gt;=$R$16,$M2186&lt;=$R$18),U2186,0)</t>
  </si>
  <si>
    <t>=IF(AND($M2186&gt;=$S$16,$M2186&lt;=$S$18),U2186,0)</t>
  </si>
  <si>
    <t>=IF($M2186&lt;=$T$18,U2186,0)</t>
  </si>
  <si>
    <t>="""NAV Direct"",""CRONUS JetCorp USA"",""21"",""1"",""366569"""</t>
  </si>
  <si>
    <t>=E2185</t>
  </si>
  <si>
    <t>=StartDate-$M2187+1</t>
  </si>
  <si>
    <t>=SUM(P2187:T2187)</t>
  </si>
  <si>
    <t>=IF($M2187&gt;=$P$18,U2187,0)</t>
  </si>
  <si>
    <t>=IF(AND($M2187&gt;=$Q$16,$M2187&lt;=$Q$18),U2187,0)</t>
  </si>
  <si>
    <t>=IF(AND($M2187&gt;=$R$16,$M2187&lt;=$R$18),U2187,0)</t>
  </si>
  <si>
    <t>=IF(AND($M2187&gt;=$S$16,$M2187&lt;=$S$18),U2187,0)</t>
  </si>
  <si>
    <t>=IF($M2187&lt;=$T$18,U2187,0)</t>
  </si>
  <si>
    <t>="""NAV Direct"",""CRONUS JetCorp USA"",""21"",""1"",""366880"""</t>
  </si>
  <si>
    <t>=E2186</t>
  </si>
  <si>
    <t>=StartDate-$M2188+1</t>
  </si>
  <si>
    <t>=SUM(P2188:T2188)</t>
  </si>
  <si>
    <t>=IF($M2188&gt;=$P$18,U2188,0)</t>
  </si>
  <si>
    <t>=IF(AND($M2188&gt;=$Q$16,$M2188&lt;=$Q$18),U2188,0)</t>
  </si>
  <si>
    <t>=IF(AND($M2188&gt;=$R$16,$M2188&lt;=$R$18),U2188,0)</t>
  </si>
  <si>
    <t>=IF(AND($M2188&gt;=$S$16,$M2188&lt;=$S$18),U2188,0)</t>
  </si>
  <si>
    <t>=IF($M2188&lt;=$T$18,U2188,0)</t>
  </si>
  <si>
    <t>="""NAV Direct"",""CRONUS JetCorp USA"",""21"",""1"",""367071"""</t>
  </si>
  <si>
    <t>=E2187</t>
  </si>
  <si>
    <t>=StartDate-$M2189+1</t>
  </si>
  <si>
    <t>=SUM(P2189:T2189)</t>
  </si>
  <si>
    <t>=IF($M2189&gt;=$P$18,U2189,0)</t>
  </si>
  <si>
    <t>=IF(AND($M2189&gt;=$Q$16,$M2189&lt;=$Q$18),U2189,0)</t>
  </si>
  <si>
    <t>=IF(AND($M2189&gt;=$R$16,$M2189&lt;=$R$18),U2189,0)</t>
  </si>
  <si>
    <t>=IF(AND($M2189&gt;=$S$16,$M2189&lt;=$S$18),U2189,0)</t>
  </si>
  <si>
    <t>=IF($M2189&lt;=$T$18,U2189,0)</t>
  </si>
  <si>
    <t>="""NAV Direct"",""CRONUS JetCorp USA"",""21"",""1"",""367675"""</t>
  </si>
  <si>
    <t>=E2188</t>
  </si>
  <si>
    <t>=StartDate-$M2190+1</t>
  </si>
  <si>
    <t>=SUM(P2190:T2190)</t>
  </si>
  <si>
    <t>=IF($M2190&gt;=$P$18,U2190,0)</t>
  </si>
  <si>
    <t>=IF(AND($M2190&gt;=$Q$16,$M2190&lt;=$Q$18),U2190,0)</t>
  </si>
  <si>
    <t>=IF(AND($M2190&gt;=$R$16,$M2190&lt;=$R$18),U2190,0)</t>
  </si>
  <si>
    <t>=IF(AND($M2190&gt;=$S$16,$M2190&lt;=$S$18),U2190,0)</t>
  </si>
  <si>
    <t>=IF($M2190&lt;=$T$18,U2190,0)</t>
  </si>
  <si>
    <t>="""NAV Direct"",""CRONUS JetCorp USA"",""21"",""1"",""367706"""</t>
  </si>
  <si>
    <t>=E2189</t>
  </si>
  <si>
    <t>=StartDate-$M2191+1</t>
  </si>
  <si>
    <t>=SUM(P2191:T2191)</t>
  </si>
  <si>
    <t>=IF($M2191&gt;=$P$18,U2191,0)</t>
  </si>
  <si>
    <t>=IF(AND($M2191&gt;=$Q$16,$M2191&lt;=$Q$18),U2191,0)</t>
  </si>
  <si>
    <t>=IF(AND($M2191&gt;=$R$16,$M2191&lt;=$R$18),U2191,0)</t>
  </si>
  <si>
    <t>=IF(AND($M2191&gt;=$S$16,$M2191&lt;=$S$18),U2191,0)</t>
  </si>
  <si>
    <t>=IF($M2191&lt;=$T$18,U2191,0)</t>
  </si>
  <si>
    <t>="""NAV Direct"",""CRONUS JetCorp USA"",""21"",""1"",""368116"""</t>
  </si>
  <si>
    <t>=E2190</t>
  </si>
  <si>
    <t>=StartDate-$M2192+1</t>
  </si>
  <si>
    <t>=SUM(P2192:T2192)</t>
  </si>
  <si>
    <t>=IF($M2192&gt;=$P$18,U2192,0)</t>
  </si>
  <si>
    <t>=IF(AND($M2192&gt;=$Q$16,$M2192&lt;=$Q$18),U2192,0)</t>
  </si>
  <si>
    <t>=IF(AND($M2192&gt;=$R$16,$M2192&lt;=$R$18),U2192,0)</t>
  </si>
  <si>
    <t>=IF(AND($M2192&gt;=$S$16,$M2192&lt;=$S$18),U2192,0)</t>
  </si>
  <si>
    <t>=IF($M2192&lt;=$T$18,U2192,0)</t>
  </si>
  <si>
    <t>="""NAV Direct"",""CRONUS JetCorp USA"",""21"",""1"",""368628"""</t>
  </si>
  <si>
    <t>=E2191</t>
  </si>
  <si>
    <t>=StartDate-$M2193+1</t>
  </si>
  <si>
    <t>=SUM(P2193:T2193)</t>
  </si>
  <si>
    <t>=IF($M2193&gt;=$P$18,U2193,0)</t>
  </si>
  <si>
    <t>=IF(AND($M2193&gt;=$Q$16,$M2193&lt;=$Q$18),U2193,0)</t>
  </si>
  <si>
    <t>=IF(AND($M2193&gt;=$R$16,$M2193&lt;=$R$18),U2193,0)</t>
  </si>
  <si>
    <t>=IF(AND($M2193&gt;=$S$16,$M2193&lt;=$S$18),U2193,0)</t>
  </si>
  <si>
    <t>=IF($M2193&lt;=$T$18,U2193,0)</t>
  </si>
  <si>
    <t>="""NAV Direct"",""CRONUS JetCorp USA"",""21"",""1"",""368844"""</t>
  </si>
  <si>
    <t>=E2192</t>
  </si>
  <si>
    <t>=StartDate-$M2194+1</t>
  </si>
  <si>
    <t>=SUM(P2194:T2194)</t>
  </si>
  <si>
    <t>=IF($M2194&gt;=$P$18,U2194,0)</t>
  </si>
  <si>
    <t>=IF(AND($M2194&gt;=$Q$16,$M2194&lt;=$Q$18),U2194,0)</t>
  </si>
  <si>
    <t>=IF(AND($M2194&gt;=$R$16,$M2194&lt;=$R$18),U2194,0)</t>
  </si>
  <si>
    <t>=IF(AND($M2194&gt;=$S$16,$M2194&lt;=$S$18),U2194,0)</t>
  </si>
  <si>
    <t>=IF($M2194&lt;=$T$18,U2194,0)</t>
  </si>
  <si>
    <t>="""NAV Direct"",""CRONUS JetCorp USA"",""21"",""1"",""368984"""</t>
  </si>
  <si>
    <t>=E2193</t>
  </si>
  <si>
    <t>=StartDate-$M2195+1</t>
  </si>
  <si>
    <t>=SUM(P2195:T2195)</t>
  </si>
  <si>
    <t>=IF($M2195&gt;=$P$18,U2195,0)</t>
  </si>
  <si>
    <t>=IF(AND($M2195&gt;=$Q$16,$M2195&lt;=$Q$18),U2195,0)</t>
  </si>
  <si>
    <t>=IF(AND($M2195&gt;=$R$16,$M2195&lt;=$R$18),U2195,0)</t>
  </si>
  <si>
    <t>=IF(AND($M2195&gt;=$S$16,$M2195&lt;=$S$18),U2195,0)</t>
  </si>
  <si>
    <t>=IF($M2195&lt;=$T$18,U2195,0)</t>
  </si>
  <si>
    <t>="""NAV Direct"",""CRONUS JetCorp USA"",""21"",""1"",""369081"""</t>
  </si>
  <si>
    <t>=E2194</t>
  </si>
  <si>
    <t>=StartDate-$M2196+1</t>
  </si>
  <si>
    <t>=SUM(P2196:T2196)</t>
  </si>
  <si>
    <t>=IF($M2196&gt;=$P$18,U2196,0)</t>
  </si>
  <si>
    <t>=IF(AND($M2196&gt;=$Q$16,$M2196&lt;=$Q$18),U2196,0)</t>
  </si>
  <si>
    <t>=IF(AND($M2196&gt;=$R$16,$M2196&lt;=$R$18),U2196,0)</t>
  </si>
  <si>
    <t>=IF(AND($M2196&gt;=$S$16,$M2196&lt;=$S$18),U2196,0)</t>
  </si>
  <si>
    <t>=IF($M2196&lt;=$T$18,U2196,0)</t>
  </si>
  <si>
    <t>="""NAV Direct"",""CRONUS JetCorp USA"",""21"",""1"",""369281"""</t>
  </si>
  <si>
    <t>=E2195</t>
  </si>
  <si>
    <t>=StartDate-$M2197+1</t>
  </si>
  <si>
    <t>=SUM(P2197:T2197)</t>
  </si>
  <si>
    <t>=IF($M2197&gt;=$P$18,U2197,0)</t>
  </si>
  <si>
    <t>=IF(AND($M2197&gt;=$Q$16,$M2197&lt;=$Q$18),U2197,0)</t>
  </si>
  <si>
    <t>=IF(AND($M2197&gt;=$R$16,$M2197&lt;=$R$18),U2197,0)</t>
  </si>
  <si>
    <t>=IF(AND($M2197&gt;=$S$16,$M2197&lt;=$S$18),U2197,0)</t>
  </si>
  <si>
    <t>=IF($M2197&lt;=$T$18,U2197,0)</t>
  </si>
  <si>
    <t>="""NAV Direct"",""CRONUS JetCorp USA"",""21"",""1"",""369775"""</t>
  </si>
  <si>
    <t>=E2196</t>
  </si>
  <si>
    <t>=StartDate-$M2198+1</t>
  </si>
  <si>
    <t>=SUM(P2198:T2198)</t>
  </si>
  <si>
    <t>=IF($M2198&gt;=$P$18,U2198,0)</t>
  </si>
  <si>
    <t>=IF(AND($M2198&gt;=$Q$16,$M2198&lt;=$Q$18),U2198,0)</t>
  </si>
  <si>
    <t>=IF(AND($M2198&gt;=$R$16,$M2198&lt;=$R$18),U2198,0)</t>
  </si>
  <si>
    <t>=IF(AND($M2198&gt;=$S$16,$M2198&lt;=$S$18),U2198,0)</t>
  </si>
  <si>
    <t>=IF($M2198&lt;=$T$18,U2198,0)</t>
  </si>
  <si>
    <t>="""NAV Direct"",""CRONUS JetCorp USA"",""21"",""1"",""369804"""</t>
  </si>
  <si>
    <t>=E2197</t>
  </si>
  <si>
    <t>=StartDate-$M2199+1</t>
  </si>
  <si>
    <t>=SUM(P2199:T2199)</t>
  </si>
  <si>
    <t>=IF($M2199&gt;=$P$18,U2199,0)</t>
  </si>
  <si>
    <t>=IF(AND($M2199&gt;=$Q$16,$M2199&lt;=$Q$18),U2199,0)</t>
  </si>
  <si>
    <t>=IF(AND($M2199&gt;=$R$16,$M2199&lt;=$R$18),U2199,0)</t>
  </si>
  <si>
    <t>=IF(AND($M2199&gt;=$S$16,$M2199&lt;=$S$18),U2199,0)</t>
  </si>
  <si>
    <t>=IF($M2199&lt;=$T$18,U2199,0)</t>
  </si>
  <si>
    <t>="""NAV Direct"",""CRONUS JetCorp USA"",""21"",""1"",""369847"""</t>
  </si>
  <si>
    <t>=E2198</t>
  </si>
  <si>
    <t>=StartDate-$M2200+1</t>
  </si>
  <si>
    <t>=SUM(P2200:T2200)</t>
  </si>
  <si>
    <t>=IF($M2200&gt;=$P$18,U2200,0)</t>
  </si>
  <si>
    <t>=IF(AND($M2200&gt;=$Q$16,$M2200&lt;=$Q$18),U2200,0)</t>
  </si>
  <si>
    <t>=IF(AND($M2200&gt;=$R$16,$M2200&lt;=$R$18),U2200,0)</t>
  </si>
  <si>
    <t>=IF(AND($M2200&gt;=$S$16,$M2200&lt;=$S$18),U2200,0)</t>
  </si>
  <si>
    <t>=IF($M2200&lt;=$T$18,U2200,0)</t>
  </si>
  <si>
    <t>="""NAV Direct"",""CRONUS JetCorp USA"",""21"",""1"",""369921"""</t>
  </si>
  <si>
    <t>=E2199</t>
  </si>
  <si>
    <t>=StartDate-$M2201+1</t>
  </si>
  <si>
    <t>=SUM(P2201:T2201)</t>
  </si>
  <si>
    <t>=IF($M2201&gt;=$P$18,U2201,0)</t>
  </si>
  <si>
    <t>=IF(AND($M2201&gt;=$Q$16,$M2201&lt;=$Q$18),U2201,0)</t>
  </si>
  <si>
    <t>=IF(AND($M2201&gt;=$R$16,$M2201&lt;=$R$18),U2201,0)</t>
  </si>
  <si>
    <t>=IF(AND($M2201&gt;=$S$16,$M2201&lt;=$S$18),U2201,0)</t>
  </si>
  <si>
    <t>=IF($M2201&lt;=$T$18,U2201,0)</t>
  </si>
  <si>
    <t>="""NAV Direct"",""CRONUS JetCorp USA"",""21"",""1"",""370036"""</t>
  </si>
  <si>
    <t>=E2200</t>
  </si>
  <si>
    <t>=StartDate-$M2202+1</t>
  </si>
  <si>
    <t>=SUM(P2202:T2202)</t>
  </si>
  <si>
    <t>=IF($M2202&gt;=$P$18,U2202,0)</t>
  </si>
  <si>
    <t>=IF(AND($M2202&gt;=$Q$16,$M2202&lt;=$Q$18),U2202,0)</t>
  </si>
  <si>
    <t>=IF(AND($M2202&gt;=$R$16,$M2202&lt;=$R$18),U2202,0)</t>
  </si>
  <si>
    <t>=IF(AND($M2202&gt;=$S$16,$M2202&lt;=$S$18),U2202,0)</t>
  </si>
  <si>
    <t>=IF($M2202&lt;=$T$18,U2202,0)</t>
  </si>
  <si>
    <t>="""NAV Direct"",""CRONUS JetCorp USA"",""21"",""1"",""370310"""</t>
  </si>
  <si>
    <t>=E2201</t>
  </si>
  <si>
    <t>=StartDate-$M2203+1</t>
  </si>
  <si>
    <t>=SUM(P2203:T2203)</t>
  </si>
  <si>
    <t>=IF($M2203&gt;=$P$18,U2203,0)</t>
  </si>
  <si>
    <t>=IF(AND($M2203&gt;=$Q$16,$M2203&lt;=$Q$18),U2203,0)</t>
  </si>
  <si>
    <t>=IF(AND($M2203&gt;=$R$16,$M2203&lt;=$R$18),U2203,0)</t>
  </si>
  <si>
    <t>=IF(AND($M2203&gt;=$S$16,$M2203&lt;=$S$18),U2203,0)</t>
  </si>
  <si>
    <t>=IF($M2203&lt;=$T$18,U2203,0)</t>
  </si>
  <si>
    <t>="""NAV Direct"",""CRONUS JetCorp USA"",""21"",""1"",""370970"""</t>
  </si>
  <si>
    <t>=E2202</t>
  </si>
  <si>
    <t>=StartDate-$M2204+1</t>
  </si>
  <si>
    <t>=SUM(P2204:T2204)</t>
  </si>
  <si>
    <t>=IF($M2204&gt;=$P$18,U2204,0)</t>
  </si>
  <si>
    <t>=IF(AND($M2204&gt;=$Q$16,$M2204&lt;=$Q$18),U2204,0)</t>
  </si>
  <si>
    <t>=IF(AND($M2204&gt;=$R$16,$M2204&lt;=$R$18),U2204,0)</t>
  </si>
  <si>
    <t>=IF(AND($M2204&gt;=$S$16,$M2204&lt;=$S$18),U2204,0)</t>
  </si>
  <si>
    <t>=IF($M2204&lt;=$T$18,U2204,0)</t>
  </si>
  <si>
    <t>="""NAV Direct"",""CRONUS JetCorp USA"",""21"",""1"",""435938"""</t>
  </si>
  <si>
    <t>=E2203</t>
  </si>
  <si>
    <t>=StartDate-$M2205+1</t>
  </si>
  <si>
    <t>=SUM(P2205:T2205)</t>
  </si>
  <si>
    <t>=IF($M2205&gt;=$P$18,U2205,0)</t>
  </si>
  <si>
    <t>=IF(AND($M2205&gt;=$Q$16,$M2205&lt;=$Q$18),U2205,0)</t>
  </si>
  <si>
    <t>=IF(AND($M2205&gt;=$R$16,$M2205&lt;=$R$18),U2205,0)</t>
  </si>
  <si>
    <t>=IF(AND($M2205&gt;=$S$16,$M2205&lt;=$S$18),U2205,0)</t>
  </si>
  <si>
    <t>=IF($M2205&lt;=$T$18,U2205,0)</t>
  </si>
  <si>
    <t>="""NAV Direct"",""CRONUS JetCorp USA"",""21"",""1"",""436281"""</t>
  </si>
  <si>
    <t>=E2204</t>
  </si>
  <si>
    <t>=StartDate-$M2206+1</t>
  </si>
  <si>
    <t>=SUM(P2206:T2206)</t>
  </si>
  <si>
    <t>=IF($M2206&gt;=$P$18,U2206,0)</t>
  </si>
  <si>
    <t>=IF(AND($M2206&gt;=$Q$16,$M2206&lt;=$Q$18),U2206,0)</t>
  </si>
  <si>
    <t>=IF(AND($M2206&gt;=$R$16,$M2206&lt;=$R$18),U2206,0)</t>
  </si>
  <si>
    <t>=IF(AND($M2206&gt;=$S$16,$M2206&lt;=$S$18),U2206,0)</t>
  </si>
  <si>
    <t>=IF($M2206&lt;=$T$18,U2206,0)</t>
  </si>
  <si>
    <t>="""NAV Direct"",""CRONUS JetCorp USA"",""21"",""1"",""436417"""</t>
  </si>
  <si>
    <t>=E2205</t>
  </si>
  <si>
    <t>=StartDate-$M2207+1</t>
  </si>
  <si>
    <t>=SUM(P2207:T2207)</t>
  </si>
  <si>
    <t>=IF($M2207&gt;=$P$18,U2207,0)</t>
  </si>
  <si>
    <t>=IF(AND($M2207&gt;=$Q$16,$M2207&lt;=$Q$18),U2207,0)</t>
  </si>
  <si>
    <t>=IF(AND($M2207&gt;=$R$16,$M2207&lt;=$R$18),U2207,0)</t>
  </si>
  <si>
    <t>=IF(AND($M2207&gt;=$S$16,$M2207&lt;=$S$18),U2207,0)</t>
  </si>
  <si>
    <t>=IF($M2207&lt;=$T$18,U2207,0)</t>
  </si>
  <si>
    <t>="""NAV Direct"",""CRONUS JetCorp USA"",""21"",""1"",""436492"""</t>
  </si>
  <si>
    <t>=E2206</t>
  </si>
  <si>
    <t>=StartDate-$M2208+1</t>
  </si>
  <si>
    <t>=SUM(P2208:T2208)</t>
  </si>
  <si>
    <t>=IF($M2208&gt;=$P$18,U2208,0)</t>
  </si>
  <si>
    <t>=IF(AND($M2208&gt;=$Q$16,$M2208&lt;=$Q$18),U2208,0)</t>
  </si>
  <si>
    <t>=IF(AND($M2208&gt;=$R$16,$M2208&lt;=$R$18),U2208,0)</t>
  </si>
  <si>
    <t>=IF(AND($M2208&gt;=$S$16,$M2208&lt;=$S$18),U2208,0)</t>
  </si>
  <si>
    <t>=IF($M2208&lt;=$T$18,U2208,0)</t>
  </si>
  <si>
    <t>="""NAV Direct"",""CRONUS JetCorp USA"",""21"",""1"",""436890"""</t>
  </si>
  <si>
    <t>=E2207</t>
  </si>
  <si>
    <t>=StartDate-$M2209+1</t>
  </si>
  <si>
    <t>=SUM(P2209:T2209)</t>
  </si>
  <si>
    <t>=IF($M2209&gt;=$P$18,U2209,0)</t>
  </si>
  <si>
    <t>=IF(AND($M2209&gt;=$Q$16,$M2209&lt;=$Q$18),U2209,0)</t>
  </si>
  <si>
    <t>=IF(AND($M2209&gt;=$R$16,$M2209&lt;=$R$18),U2209,0)</t>
  </si>
  <si>
    <t>=IF(AND($M2209&gt;=$S$16,$M2209&lt;=$S$18),U2209,0)</t>
  </si>
  <si>
    <t>=IF($M2209&lt;=$T$18,U2209,0)</t>
  </si>
  <si>
    <t>="""NAV Direct"",""CRONUS JetCorp USA"",""21"",""1"",""436969"""</t>
  </si>
  <si>
    <t>=E2208</t>
  </si>
  <si>
    <t>=StartDate-$M2210+1</t>
  </si>
  <si>
    <t>=SUM(P2210:T2210)</t>
  </si>
  <si>
    <t>=IF($M2210&gt;=$P$18,U2210,0)</t>
  </si>
  <si>
    <t>=IF(AND($M2210&gt;=$Q$16,$M2210&lt;=$Q$18),U2210,0)</t>
  </si>
  <si>
    <t>=IF(AND($M2210&gt;=$R$16,$M2210&lt;=$R$18),U2210,0)</t>
  </si>
  <si>
    <t>=IF(AND($M2210&gt;=$S$16,$M2210&lt;=$S$18),U2210,0)</t>
  </si>
  <si>
    <t>=IF($M2210&lt;=$T$18,U2210,0)</t>
  </si>
  <si>
    <t>="""NAV Direct"",""CRONUS JetCorp USA"",""21"",""1"",""437033"""</t>
  </si>
  <si>
    <t>=E2209</t>
  </si>
  <si>
    <t>=StartDate-$M2211+1</t>
  </si>
  <si>
    <t>=SUM(P2211:T2211)</t>
  </si>
  <si>
    <t>=IF($M2211&gt;=$P$18,U2211,0)</t>
  </si>
  <si>
    <t>=IF(AND($M2211&gt;=$Q$16,$M2211&lt;=$Q$18),U2211,0)</t>
  </si>
  <si>
    <t>=IF(AND($M2211&gt;=$R$16,$M2211&lt;=$R$18),U2211,0)</t>
  </si>
  <si>
    <t>=IF(AND($M2211&gt;=$S$16,$M2211&lt;=$S$18),U2211,0)</t>
  </si>
  <si>
    <t>=IF($M2211&lt;=$T$18,U2211,0)</t>
  </si>
  <si>
    <t>="""NAV Direct"",""CRONUS JetCorp USA"",""21"",""1"",""437135"""</t>
  </si>
  <si>
    <t>=E2210</t>
  </si>
  <si>
    <t>=StartDate-$M2212+1</t>
  </si>
  <si>
    <t>=SUM(P2212:T2212)</t>
  </si>
  <si>
    <t>=IF($M2212&gt;=$P$18,U2212,0)</t>
  </si>
  <si>
    <t>=IF(AND($M2212&gt;=$Q$16,$M2212&lt;=$Q$18),U2212,0)</t>
  </si>
  <si>
    <t>=IF(AND($M2212&gt;=$R$16,$M2212&lt;=$R$18),U2212,0)</t>
  </si>
  <si>
    <t>=IF(AND($M2212&gt;=$S$16,$M2212&lt;=$S$18),U2212,0)</t>
  </si>
  <si>
    <t>=IF($M2212&lt;=$T$18,U2212,0)</t>
  </si>
  <si>
    <t>="""NAV Direct"",""CRONUS JetCorp USA"",""21"",""1"",""437152"""</t>
  </si>
  <si>
    <t>=E2211</t>
  </si>
  <si>
    <t>=StartDate-$M2213+1</t>
  </si>
  <si>
    <t>=SUM(P2213:T2213)</t>
  </si>
  <si>
    <t>=IF($M2213&gt;=$P$18,U2213,0)</t>
  </si>
  <si>
    <t>=IF(AND($M2213&gt;=$Q$16,$M2213&lt;=$Q$18),U2213,0)</t>
  </si>
  <si>
    <t>=IF(AND($M2213&gt;=$R$16,$M2213&lt;=$R$18),U2213,0)</t>
  </si>
  <si>
    <t>=IF(AND($M2213&gt;=$S$16,$M2213&lt;=$S$18),U2213,0)</t>
  </si>
  <si>
    <t>=IF($M2213&lt;=$T$18,U2213,0)</t>
  </si>
  <si>
    <t>="""NAV Direct"",""CRONUS JetCorp USA"",""21"",""1"",""437216"""</t>
  </si>
  <si>
    <t>=E2212</t>
  </si>
  <si>
    <t>=StartDate-$M2214+1</t>
  </si>
  <si>
    <t>=SUM(P2214:T2214)</t>
  </si>
  <si>
    <t>=IF($M2214&gt;=$P$18,U2214,0)</t>
  </si>
  <si>
    <t>=IF(AND($M2214&gt;=$Q$16,$M2214&lt;=$Q$18),U2214,0)</t>
  </si>
  <si>
    <t>=IF(AND($M2214&gt;=$R$16,$M2214&lt;=$R$18),U2214,0)</t>
  </si>
  <si>
    <t>=IF(AND($M2214&gt;=$S$16,$M2214&lt;=$S$18),U2214,0)</t>
  </si>
  <si>
    <t>=IF($M2214&lt;=$T$18,U2214,0)</t>
  </si>
  <si>
    <t>="""NAV Direct"",""CRONUS JetCorp USA"",""18"",""1"",""C100073"""</t>
  </si>
  <si>
    <t>=H2217</t>
  </si>
  <si>
    <t>=NF($C2217,"1 No.")</t>
  </si>
  <si>
    <t>=NF($C2217,"1 No.")&amp;"  -  "&amp;NF($C2217,"2 Name")</t>
  </si>
  <si>
    <t>=IFERROR(O2217/NF(C2217,"Credit Limit (LCY)"),"")</t>
  </si>
  <si>
    <t>=SUBTOTAL(3,L2218:L2241)</t>
  </si>
  <si>
    <t>=SUBTOTAL(9,O2218:O2241)</t>
  </si>
  <si>
    <t>=SUBTOTAL(9,P2218:P2241)</t>
  </si>
  <si>
    <t>=SUBTOTAL(9,Q2218:Q2241)</t>
  </si>
  <si>
    <t>=SUBTOTAL(9,R2218:R2241)</t>
  </si>
  <si>
    <t>=SUBTOTAL(9,S2218:S2241)</t>
  </si>
  <si>
    <t>=SUBTOTAL(9,T2218:T2241)</t>
  </si>
  <si>
    <t>=C2217</t>
  </si>
  <si>
    <t>=E2217</t>
  </si>
  <si>
    <t>="Contact: "&amp;NF($C2218,"8 Contact")</t>
  </si>
  <si>
    <t>=C2218</t>
  </si>
  <si>
    <t>=E2218</t>
  </si>
  <si>
    <t>=NF($C2219,"102 E-Mail")</t>
  </si>
  <si>
    <t>=NL("Rows","21 Cust. Ledger Entry",,"3 Customer No.","@@"&amp;$E2221,"16 Remaining Amt. (LCY)","&lt;&gt;0")</t>
  </si>
  <si>
    <t>=E2219</t>
  </si>
  <si>
    <t>=StartDate-$M2221+1</t>
  </si>
  <si>
    <t>=SUM(P2221:T2221)</t>
  </si>
  <si>
    <t>=IF($M2221&gt;=$P$18,U2221,0)</t>
  </si>
  <si>
    <t>=IF(AND($M2221&gt;=$Q$16,$M2221&lt;=$Q$18),U2221,0)</t>
  </si>
  <si>
    <t>=IF(AND($M2221&gt;=$R$16,$M2221&lt;=$R$18),U2221,0)</t>
  </si>
  <si>
    <t>=IF(AND($M2221&gt;=$S$16,$M2221&lt;=$S$18),U2221,0)</t>
  </si>
  <si>
    <t>=IF($M2221&lt;=$T$18,U2221,0)</t>
  </si>
  <si>
    <t>="""NAV Direct"",""CRONUS JetCorp USA"",""21"",""1"",""98107"""</t>
  </si>
  <si>
    <t>=E2220</t>
  </si>
  <si>
    <t>=StartDate-$M2222+1</t>
  </si>
  <si>
    <t>=SUM(P2222:T2222)</t>
  </si>
  <si>
    <t>=IF($M2222&gt;=$P$18,U2222,0)</t>
  </si>
  <si>
    <t>=IF(AND($M2222&gt;=$Q$16,$M2222&lt;=$Q$18),U2222,0)</t>
  </si>
  <si>
    <t>=IF(AND($M2222&gt;=$R$16,$M2222&lt;=$R$18),U2222,0)</t>
  </si>
  <si>
    <t>=IF(AND($M2222&gt;=$S$16,$M2222&lt;=$S$18),U2222,0)</t>
  </si>
  <si>
    <t>=IF($M2222&lt;=$T$18,U2222,0)</t>
  </si>
  <si>
    <t>="""NAV Direct"",""CRONUS JetCorp USA"",""21"",""1"",""98300"""</t>
  </si>
  <si>
    <t>=E2221</t>
  </si>
  <si>
    <t>=StartDate-$M2223+1</t>
  </si>
  <si>
    <t>=SUM(P2223:T2223)</t>
  </si>
  <si>
    <t>=IF($M2223&gt;=$P$18,U2223,0)</t>
  </si>
  <si>
    <t>=IF(AND($M2223&gt;=$Q$16,$M2223&lt;=$Q$18),U2223,0)</t>
  </si>
  <si>
    <t>=IF(AND($M2223&gt;=$R$16,$M2223&lt;=$R$18),U2223,0)</t>
  </si>
  <si>
    <t>=IF(AND($M2223&gt;=$S$16,$M2223&lt;=$S$18),U2223,0)</t>
  </si>
  <si>
    <t>=IF($M2223&lt;=$T$18,U2223,0)</t>
  </si>
  <si>
    <t>="""NAV Direct"",""CRONUS JetCorp USA"",""21"",""1"",""98349"""</t>
  </si>
  <si>
    <t>=E2222</t>
  </si>
  <si>
    <t>=StartDate-$M2224+1</t>
  </si>
  <si>
    <t>=SUM(P2224:T2224)</t>
  </si>
  <si>
    <t>=IF($M2224&gt;=$P$18,U2224,0)</t>
  </si>
  <si>
    <t>=IF(AND($M2224&gt;=$Q$16,$M2224&lt;=$Q$18),U2224,0)</t>
  </si>
  <si>
    <t>=IF(AND($M2224&gt;=$R$16,$M2224&lt;=$R$18),U2224,0)</t>
  </si>
  <si>
    <t>=IF(AND($M2224&gt;=$S$16,$M2224&lt;=$S$18),U2224,0)</t>
  </si>
  <si>
    <t>=IF($M2224&lt;=$T$18,U2224,0)</t>
  </si>
  <si>
    <t>="""NAV Direct"",""CRONUS JetCorp USA"",""21"",""1"",""377452"""</t>
  </si>
  <si>
    <t>=E2223</t>
  </si>
  <si>
    <t>=StartDate-$M2225+1</t>
  </si>
  <si>
    <t>=SUM(P2225:T2225)</t>
  </si>
  <si>
    <t>=IF($M2225&gt;=$P$18,U2225,0)</t>
  </si>
  <si>
    <t>=IF(AND($M2225&gt;=$Q$16,$M2225&lt;=$Q$18),U2225,0)</t>
  </si>
  <si>
    <t>=IF(AND($M2225&gt;=$R$16,$M2225&lt;=$R$18),U2225,0)</t>
  </si>
  <si>
    <t>=IF(AND($M2225&gt;=$S$16,$M2225&lt;=$S$18),U2225,0)</t>
  </si>
  <si>
    <t>=IF($M2225&lt;=$T$18,U2225,0)</t>
  </si>
  <si>
    <t>="""NAV Direct"",""CRONUS JetCorp USA"",""21"",""1"",""377665"""</t>
  </si>
  <si>
    <t>=E2224</t>
  </si>
  <si>
    <t>=StartDate-$M2226+1</t>
  </si>
  <si>
    <t>=SUM(P2226:T2226)</t>
  </si>
  <si>
    <t>=IF($M2226&gt;=$P$18,U2226,0)</t>
  </si>
  <si>
    <t>=IF(AND($M2226&gt;=$Q$16,$M2226&lt;=$Q$18),U2226,0)</t>
  </si>
  <si>
    <t>=IF(AND($M2226&gt;=$R$16,$M2226&lt;=$R$18),U2226,0)</t>
  </si>
  <si>
    <t>=IF(AND($M2226&gt;=$S$16,$M2226&lt;=$S$18),U2226,0)</t>
  </si>
  <si>
    <t>=IF($M2226&lt;=$T$18,U2226,0)</t>
  </si>
  <si>
    <t>="""NAV Direct"",""CRONUS JetCorp USA"",""21"",""1"",""377692"""</t>
  </si>
  <si>
    <t>=E2225</t>
  </si>
  <si>
    <t>=StartDate-$M2227+1</t>
  </si>
  <si>
    <t>=SUM(P2227:T2227)</t>
  </si>
  <si>
    <t>=IF($M2227&gt;=$P$18,U2227,0)</t>
  </si>
  <si>
    <t>=IF(AND($M2227&gt;=$Q$16,$M2227&lt;=$Q$18),U2227,0)</t>
  </si>
  <si>
    <t>=IF(AND($M2227&gt;=$R$16,$M2227&lt;=$R$18),U2227,0)</t>
  </si>
  <si>
    <t>=IF(AND($M2227&gt;=$S$16,$M2227&lt;=$S$18),U2227,0)</t>
  </si>
  <si>
    <t>=IF($M2227&lt;=$T$18,U2227,0)</t>
  </si>
  <si>
    <t>="""NAV Direct"",""CRONUS JetCorp USA"",""21"",""1"",""377788"""</t>
  </si>
  <si>
    <t>=E2226</t>
  </si>
  <si>
    <t>=StartDate-$M2228+1</t>
  </si>
  <si>
    <t>=SUM(P2228:T2228)</t>
  </si>
  <si>
    <t>=IF($M2228&gt;=$P$18,U2228,0)</t>
  </si>
  <si>
    <t>=IF(AND($M2228&gt;=$Q$16,$M2228&lt;=$Q$18),U2228,0)</t>
  </si>
  <si>
    <t>=IF(AND($M2228&gt;=$R$16,$M2228&lt;=$R$18),U2228,0)</t>
  </si>
  <si>
    <t>=IF(AND($M2228&gt;=$S$16,$M2228&lt;=$S$18),U2228,0)</t>
  </si>
  <si>
    <t>=IF($M2228&lt;=$T$18,U2228,0)</t>
  </si>
  <si>
    <t>="""NAV Direct"",""CRONUS JetCorp USA"",""21"",""1"",""378009"""</t>
  </si>
  <si>
    <t>=E2227</t>
  </si>
  <si>
    <t>=StartDate-$M2229+1</t>
  </si>
  <si>
    <t>=SUM(P2229:T2229)</t>
  </si>
  <si>
    <t>=IF($M2229&gt;=$P$18,U2229,0)</t>
  </si>
  <si>
    <t>=IF(AND($M2229&gt;=$Q$16,$M2229&lt;=$Q$18),U2229,0)</t>
  </si>
  <si>
    <t>=IF(AND($M2229&gt;=$R$16,$M2229&lt;=$R$18),U2229,0)</t>
  </si>
  <si>
    <t>=IF(AND($M2229&gt;=$S$16,$M2229&lt;=$S$18),U2229,0)</t>
  </si>
  <si>
    <t>=IF($M2229&lt;=$T$18,U2229,0)</t>
  </si>
  <si>
    <t>="""NAV Direct"",""CRONUS JetCorp USA"",""21"",""1"",""378475"""</t>
  </si>
  <si>
    <t>=E2228</t>
  </si>
  <si>
    <t>=StartDate-$M2230+1</t>
  </si>
  <si>
    <t>=SUM(P2230:T2230)</t>
  </si>
  <si>
    <t>=IF($M2230&gt;=$P$18,U2230,0)</t>
  </si>
  <si>
    <t>=IF(AND($M2230&gt;=$Q$16,$M2230&lt;=$Q$18),U2230,0)</t>
  </si>
  <si>
    <t>=IF(AND($M2230&gt;=$R$16,$M2230&lt;=$R$18),U2230,0)</t>
  </si>
  <si>
    <t>=IF(AND($M2230&gt;=$S$16,$M2230&lt;=$S$18),U2230,0)</t>
  </si>
  <si>
    <t>=IF($M2230&lt;=$T$18,U2230,0)</t>
  </si>
  <si>
    <t>="""NAV Direct"",""CRONUS JetCorp USA"",""21"",""1"",""378887"""</t>
  </si>
  <si>
    <t>=E2229</t>
  </si>
  <si>
    <t>=StartDate-$M2231+1</t>
  </si>
  <si>
    <t>=SUM(P2231:T2231)</t>
  </si>
  <si>
    <t>=IF($M2231&gt;=$P$18,U2231,0)</t>
  </si>
  <si>
    <t>=IF(AND($M2231&gt;=$Q$16,$M2231&lt;=$Q$18),U2231,0)</t>
  </si>
  <si>
    <t>=IF(AND($M2231&gt;=$R$16,$M2231&lt;=$R$18),U2231,0)</t>
  </si>
  <si>
    <t>=IF(AND($M2231&gt;=$S$16,$M2231&lt;=$S$18),U2231,0)</t>
  </si>
  <si>
    <t>=IF($M2231&lt;=$T$18,U2231,0)</t>
  </si>
  <si>
    <t>="""NAV Direct"",""CRONUS JetCorp USA"",""21"",""1"",""379271"""</t>
  </si>
  <si>
    <t>=E2230</t>
  </si>
  <si>
    <t>=StartDate-$M2232+1</t>
  </si>
  <si>
    <t>=SUM(P2232:T2232)</t>
  </si>
  <si>
    <t>=IF($M2232&gt;=$P$18,U2232,0)</t>
  </si>
  <si>
    <t>=IF(AND($M2232&gt;=$Q$16,$M2232&lt;=$Q$18),U2232,0)</t>
  </si>
  <si>
    <t>=IF(AND($M2232&gt;=$R$16,$M2232&lt;=$R$18),U2232,0)</t>
  </si>
  <si>
    <t>=IF(AND($M2232&gt;=$S$16,$M2232&lt;=$S$18),U2232,0)</t>
  </si>
  <si>
    <t>=IF($M2232&lt;=$T$18,U2232,0)</t>
  </si>
  <si>
    <t>="""NAV Direct"",""CRONUS JetCorp USA"",""21"",""1"",""379308"""</t>
  </si>
  <si>
    <t>=E2231</t>
  </si>
  <si>
    <t>=StartDate-$M2233+1</t>
  </si>
  <si>
    <t>=SUM(P2233:T2233)</t>
  </si>
  <si>
    <t>=IF($M2233&gt;=$P$18,U2233,0)</t>
  </si>
  <si>
    <t>=IF(AND($M2233&gt;=$Q$16,$M2233&lt;=$Q$18),U2233,0)</t>
  </si>
  <si>
    <t>=IF(AND($M2233&gt;=$R$16,$M2233&lt;=$R$18),U2233,0)</t>
  </si>
  <si>
    <t>=IF(AND($M2233&gt;=$S$16,$M2233&lt;=$S$18),U2233,0)</t>
  </si>
  <si>
    <t>=IF($M2233&lt;=$T$18,U2233,0)</t>
  </si>
  <si>
    <t>="""NAV Direct"",""CRONUS JetCorp USA"",""21"",""1"",""379776"""</t>
  </si>
  <si>
    <t>=E2232</t>
  </si>
  <si>
    <t>=StartDate-$M2234+1</t>
  </si>
  <si>
    <t>=SUM(P2234:T2234)</t>
  </si>
  <si>
    <t>=IF($M2234&gt;=$P$18,U2234,0)</t>
  </si>
  <si>
    <t>=IF(AND($M2234&gt;=$Q$16,$M2234&lt;=$Q$18),U2234,0)</t>
  </si>
  <si>
    <t>=IF(AND($M2234&gt;=$R$16,$M2234&lt;=$R$18),U2234,0)</t>
  </si>
  <si>
    <t>=IF(AND($M2234&gt;=$S$16,$M2234&lt;=$S$18),U2234,0)</t>
  </si>
  <si>
    <t>=IF($M2234&lt;=$T$18,U2234,0)</t>
  </si>
  <si>
    <t>="""NAV Direct"",""CRONUS JetCorp USA"",""21"",""1"",""379955"""</t>
  </si>
  <si>
    <t>=E2233</t>
  </si>
  <si>
    <t>=StartDate-$M2235+1</t>
  </si>
  <si>
    <t>=SUM(P2235:T2235)</t>
  </si>
  <si>
    <t>=IF($M2235&gt;=$P$18,U2235,0)</t>
  </si>
  <si>
    <t>=IF(AND($M2235&gt;=$Q$16,$M2235&lt;=$Q$18),U2235,0)</t>
  </si>
  <si>
    <t>=IF(AND($M2235&gt;=$R$16,$M2235&lt;=$R$18),U2235,0)</t>
  </si>
  <si>
    <t>=IF(AND($M2235&gt;=$S$16,$M2235&lt;=$S$18),U2235,0)</t>
  </si>
  <si>
    <t>=IF($M2235&lt;=$T$18,U2235,0)</t>
  </si>
  <si>
    <t>="""NAV Direct"",""CRONUS JetCorp USA"",""21"",""1"",""380273"""</t>
  </si>
  <si>
    <t>=E2234</t>
  </si>
  <si>
    <t>=StartDate-$M2236+1</t>
  </si>
  <si>
    <t>=SUM(P2236:T2236)</t>
  </si>
  <si>
    <t>=IF($M2236&gt;=$P$18,U2236,0)</t>
  </si>
  <si>
    <t>=IF(AND($M2236&gt;=$Q$16,$M2236&lt;=$Q$18),U2236,0)</t>
  </si>
  <si>
    <t>=IF(AND($M2236&gt;=$R$16,$M2236&lt;=$R$18),U2236,0)</t>
  </si>
  <si>
    <t>=IF(AND($M2236&gt;=$S$16,$M2236&lt;=$S$18),U2236,0)</t>
  </si>
  <si>
    <t>=IF($M2236&lt;=$T$18,U2236,0)</t>
  </si>
  <si>
    <t>="""NAV Direct"",""CRONUS JetCorp USA"",""21"",""1"",""380355"""</t>
  </si>
  <si>
    <t>=E2235</t>
  </si>
  <si>
    <t>=StartDate-$M2237+1</t>
  </si>
  <si>
    <t>=SUM(P2237:T2237)</t>
  </si>
  <si>
    <t>=IF($M2237&gt;=$P$18,U2237,0)</t>
  </si>
  <si>
    <t>=IF(AND($M2237&gt;=$Q$16,$M2237&lt;=$Q$18),U2237,0)</t>
  </si>
  <si>
    <t>=IF(AND($M2237&gt;=$R$16,$M2237&lt;=$R$18),U2237,0)</t>
  </si>
  <si>
    <t>=IF(AND($M2237&gt;=$S$16,$M2237&lt;=$S$18),U2237,0)</t>
  </si>
  <si>
    <t>=IF($M2237&lt;=$T$18,U2237,0)</t>
  </si>
  <si>
    <t>="""NAV Direct"",""CRONUS JetCorp USA"",""21"",""1"",""437870"""</t>
  </si>
  <si>
    <t>=E2236</t>
  </si>
  <si>
    <t>=StartDate-$M2238+1</t>
  </si>
  <si>
    <t>=SUM(P2238:T2238)</t>
  </si>
  <si>
    <t>=IF($M2238&gt;=$P$18,U2238,0)</t>
  </si>
  <si>
    <t>=IF(AND($M2238&gt;=$Q$16,$M2238&lt;=$Q$18),U2238,0)</t>
  </si>
  <si>
    <t>=IF(AND($M2238&gt;=$R$16,$M2238&lt;=$R$18),U2238,0)</t>
  </si>
  <si>
    <t>=IF(AND($M2238&gt;=$S$16,$M2238&lt;=$S$18),U2238,0)</t>
  </si>
  <si>
    <t>=IF($M2238&lt;=$T$18,U2238,0)</t>
  </si>
  <si>
    <t>="""NAV Direct"",""CRONUS JetCorp USA"",""21"",""1"",""438089"""</t>
  </si>
  <si>
    <t>=E2237</t>
  </si>
  <si>
    <t>=StartDate-$M2239+1</t>
  </si>
  <si>
    <t>=SUM(P2239:T2239)</t>
  </si>
  <si>
    <t>=IF($M2239&gt;=$P$18,U2239,0)</t>
  </si>
  <si>
    <t>=IF(AND($M2239&gt;=$Q$16,$M2239&lt;=$Q$18),U2239,0)</t>
  </si>
  <si>
    <t>=IF(AND($M2239&gt;=$R$16,$M2239&lt;=$R$18),U2239,0)</t>
  </si>
  <si>
    <t>=IF(AND($M2239&gt;=$S$16,$M2239&lt;=$S$18),U2239,0)</t>
  </si>
  <si>
    <t>=IF($M2239&lt;=$T$18,U2239,0)</t>
  </si>
  <si>
    <t>="""NAV Direct"",""CRONUS JetCorp USA"",""21"",""1"",""438130"""</t>
  </si>
  <si>
    <t>=E2238</t>
  </si>
  <si>
    <t>=StartDate-$M2240+1</t>
  </si>
  <si>
    <t>=SUM(P2240:T2240)</t>
  </si>
  <si>
    <t>=IF($M2240&gt;=$P$18,U2240,0)</t>
  </si>
  <si>
    <t>=IF(AND($M2240&gt;=$Q$16,$M2240&lt;=$Q$18),U2240,0)</t>
  </si>
  <si>
    <t>=IF(AND($M2240&gt;=$R$16,$M2240&lt;=$R$18),U2240,0)</t>
  </si>
  <si>
    <t>=IF(AND($M2240&gt;=$S$16,$M2240&lt;=$S$18),U2240,0)</t>
  </si>
  <si>
    <t>=IF($M2240&lt;=$T$18,U2240,0)</t>
  </si>
  <si>
    <t>="""NAV Direct"",""CRONUS JetCorp USA"",""18"",""1"",""C100075"""</t>
  </si>
  <si>
    <t>=H2243</t>
  </si>
  <si>
    <t>=NF($C2243,"1 No.")</t>
  </si>
  <si>
    <t>=NF($C2243,"1 No.")&amp;"  -  "&amp;NF($C2243,"2 Name")</t>
  </si>
  <si>
    <t>=IFERROR(O2243/NF(C2243,"Credit Limit (LCY)"),"")</t>
  </si>
  <si>
    <t>=SUBTOTAL(3,L2244:L2343)</t>
  </si>
  <si>
    <t>=SUBTOTAL(9,O2244:O2343)</t>
  </si>
  <si>
    <t>=SUBTOTAL(9,P2244:P2343)</t>
  </si>
  <si>
    <t>=SUBTOTAL(9,Q2244:Q2343)</t>
  </si>
  <si>
    <t>=SUBTOTAL(9,R2244:R2343)</t>
  </si>
  <si>
    <t>=SUBTOTAL(9,S2244:S2343)</t>
  </si>
  <si>
    <t>=SUBTOTAL(9,T2244:T2343)</t>
  </si>
  <si>
    <t>=C2243</t>
  </si>
  <si>
    <t>=E2243</t>
  </si>
  <si>
    <t>="Contact: "&amp;NF($C2244,"8 Contact")</t>
  </si>
  <si>
    <t>=C2244</t>
  </si>
  <si>
    <t>=E2244</t>
  </si>
  <si>
    <t>=NF($C2245,"102 E-Mail")</t>
  </si>
  <si>
    <t>=NL("Rows","21 Cust. Ledger Entry",,"3 Customer No.","@@"&amp;$E2247,"16 Remaining Amt. (LCY)","&lt;&gt;0")</t>
  </si>
  <si>
    <t>=E2245</t>
  </si>
  <si>
    <t>=StartDate-$M2247+1</t>
  </si>
  <si>
    <t>=SUM(P2247:T2247)</t>
  </si>
  <si>
    <t>=IF($M2247&gt;=$P$18,U2247,0)</t>
  </si>
  <si>
    <t>=IF(AND($M2247&gt;=$Q$16,$M2247&lt;=$Q$18),U2247,0)</t>
  </si>
  <si>
    <t>=IF(AND($M2247&gt;=$R$16,$M2247&lt;=$R$18),U2247,0)</t>
  </si>
  <si>
    <t>=IF(AND($M2247&gt;=$S$16,$M2247&lt;=$S$18),U2247,0)</t>
  </si>
  <si>
    <t>=IF($M2247&lt;=$T$18,U2247,0)</t>
  </si>
  <si>
    <t>="""NAV Direct"",""CRONUS JetCorp USA"",""21"",""1"",""14434"""</t>
  </si>
  <si>
    <t>=E2246</t>
  </si>
  <si>
    <t>=StartDate-$M2248+1</t>
  </si>
  <si>
    <t>=SUM(P2248:T2248)</t>
  </si>
  <si>
    <t>=IF($M2248&gt;=$P$18,U2248,0)</t>
  </si>
  <si>
    <t>=IF(AND($M2248&gt;=$Q$16,$M2248&lt;=$Q$18),U2248,0)</t>
  </si>
  <si>
    <t>=IF(AND($M2248&gt;=$R$16,$M2248&lt;=$R$18),U2248,0)</t>
  </si>
  <si>
    <t>=IF(AND($M2248&gt;=$S$16,$M2248&lt;=$S$18),U2248,0)</t>
  </si>
  <si>
    <t>=IF($M2248&lt;=$T$18,U2248,0)</t>
  </si>
  <si>
    <t>="""NAV Direct"",""CRONUS JetCorp USA"",""21"",""1"",""14527"""</t>
  </si>
  <si>
    <t>=E2247</t>
  </si>
  <si>
    <t>=StartDate-$M2249+1</t>
  </si>
  <si>
    <t>=SUM(P2249:T2249)</t>
  </si>
  <si>
    <t>=IF($M2249&gt;=$P$18,U2249,0)</t>
  </si>
  <si>
    <t>=IF(AND($M2249&gt;=$Q$16,$M2249&lt;=$Q$18),U2249,0)</t>
  </si>
  <si>
    <t>=IF(AND($M2249&gt;=$R$16,$M2249&lt;=$R$18),U2249,0)</t>
  </si>
  <si>
    <t>=IF(AND($M2249&gt;=$S$16,$M2249&lt;=$S$18),U2249,0)</t>
  </si>
  <si>
    <t>=IF($M2249&lt;=$T$18,U2249,0)</t>
  </si>
  <si>
    <t>="""NAV Direct"",""CRONUS JetCorp USA"",""21"",""1"",""14579"""</t>
  </si>
  <si>
    <t>=E2248</t>
  </si>
  <si>
    <t>=StartDate-$M2250+1</t>
  </si>
  <si>
    <t>=SUM(P2250:T2250)</t>
  </si>
  <si>
    <t>=IF($M2250&gt;=$P$18,U2250,0)</t>
  </si>
  <si>
    <t>=IF(AND($M2250&gt;=$Q$16,$M2250&lt;=$Q$18),U2250,0)</t>
  </si>
  <si>
    <t>=IF(AND($M2250&gt;=$R$16,$M2250&lt;=$R$18),U2250,0)</t>
  </si>
  <si>
    <t>=IF(AND($M2250&gt;=$S$16,$M2250&lt;=$S$18),U2250,0)</t>
  </si>
  <si>
    <t>=IF($M2250&lt;=$T$18,U2250,0)</t>
  </si>
  <si>
    <t>="""NAV Direct"",""CRONUS JetCorp USA"",""21"",""1"",""14734"""</t>
  </si>
  <si>
    <t>=E2249</t>
  </si>
  <si>
    <t>=StartDate-$M2251+1</t>
  </si>
  <si>
    <t>=SUM(P2251:T2251)</t>
  </si>
  <si>
    <t>=IF($M2251&gt;=$P$18,U2251,0)</t>
  </si>
  <si>
    <t>=IF(AND($M2251&gt;=$Q$16,$M2251&lt;=$Q$18),U2251,0)</t>
  </si>
  <si>
    <t>=IF(AND($M2251&gt;=$R$16,$M2251&lt;=$R$18),U2251,0)</t>
  </si>
  <si>
    <t>=IF(AND($M2251&gt;=$S$16,$M2251&lt;=$S$18),U2251,0)</t>
  </si>
  <si>
    <t>=IF($M2251&lt;=$T$18,U2251,0)</t>
  </si>
  <si>
    <t>="""NAV Direct"",""CRONUS JetCorp USA"",""21"",""1"",""14794"""</t>
  </si>
  <si>
    <t>=E2250</t>
  </si>
  <si>
    <t>=StartDate-$M2252+1</t>
  </si>
  <si>
    <t>=SUM(P2252:T2252)</t>
  </si>
  <si>
    <t>=IF($M2252&gt;=$P$18,U2252,0)</t>
  </si>
  <si>
    <t>=IF(AND($M2252&gt;=$Q$16,$M2252&lt;=$Q$18),U2252,0)</t>
  </si>
  <si>
    <t>=IF(AND($M2252&gt;=$R$16,$M2252&lt;=$R$18),U2252,0)</t>
  </si>
  <si>
    <t>=IF(AND($M2252&gt;=$S$16,$M2252&lt;=$S$18),U2252,0)</t>
  </si>
  <si>
    <t>=IF($M2252&lt;=$T$18,U2252,0)</t>
  </si>
  <si>
    <t>="""NAV Direct"",""CRONUS JetCorp USA"",""21"",""1"",""303994"""</t>
  </si>
  <si>
    <t>=E2251</t>
  </si>
  <si>
    <t>=StartDate-$M2253+1</t>
  </si>
  <si>
    <t>=SUM(P2253:T2253)</t>
  </si>
  <si>
    <t>=IF($M2253&gt;=$P$18,U2253,0)</t>
  </si>
  <si>
    <t>=IF(AND($M2253&gt;=$Q$16,$M2253&lt;=$Q$18),U2253,0)</t>
  </si>
  <si>
    <t>=IF(AND($M2253&gt;=$R$16,$M2253&lt;=$R$18),U2253,0)</t>
  </si>
  <si>
    <t>=IF(AND($M2253&gt;=$S$16,$M2253&lt;=$S$18),U2253,0)</t>
  </si>
  <si>
    <t>=IF($M2253&lt;=$T$18,U2253,0)</t>
  </si>
  <si>
    <t>="""NAV Direct"",""CRONUS JetCorp USA"",""21"",""1"",""304033"""</t>
  </si>
  <si>
    <t>=E2252</t>
  </si>
  <si>
    <t>=StartDate-$M2254+1</t>
  </si>
  <si>
    <t>=SUM(P2254:T2254)</t>
  </si>
  <si>
    <t>=IF($M2254&gt;=$P$18,U2254,0)</t>
  </si>
  <si>
    <t>=IF(AND($M2254&gt;=$Q$16,$M2254&lt;=$Q$18),U2254,0)</t>
  </si>
  <si>
    <t>=IF(AND($M2254&gt;=$R$16,$M2254&lt;=$R$18),U2254,0)</t>
  </si>
  <si>
    <t>=IF(AND($M2254&gt;=$S$16,$M2254&lt;=$S$18),U2254,0)</t>
  </si>
  <si>
    <t>=IF($M2254&lt;=$T$18,U2254,0)</t>
  </si>
  <si>
    <t>="""NAV Direct"",""CRONUS JetCorp USA"",""21"",""1"",""304142"""</t>
  </si>
  <si>
    <t>=E2253</t>
  </si>
  <si>
    <t>=StartDate-$M2255+1</t>
  </si>
  <si>
    <t>=SUM(P2255:T2255)</t>
  </si>
  <si>
    <t>=IF($M2255&gt;=$P$18,U2255,0)</t>
  </si>
  <si>
    <t>=IF(AND($M2255&gt;=$Q$16,$M2255&lt;=$Q$18),U2255,0)</t>
  </si>
  <si>
    <t>=IF(AND($M2255&gt;=$R$16,$M2255&lt;=$R$18),U2255,0)</t>
  </si>
  <si>
    <t>=IF(AND($M2255&gt;=$S$16,$M2255&lt;=$S$18),U2255,0)</t>
  </si>
  <si>
    <t>=IF($M2255&lt;=$T$18,U2255,0)</t>
  </si>
  <si>
    <t>="""NAV Direct"",""CRONUS JetCorp USA"",""21"",""1"",""304192"""</t>
  </si>
  <si>
    <t>=E2254</t>
  </si>
  <si>
    <t>=StartDate-$M2256+1</t>
  </si>
  <si>
    <t>=SUM(P2256:T2256)</t>
  </si>
  <si>
    <t>=IF($M2256&gt;=$P$18,U2256,0)</t>
  </si>
  <si>
    <t>=IF(AND($M2256&gt;=$Q$16,$M2256&lt;=$Q$18),U2256,0)</t>
  </si>
  <si>
    <t>=IF(AND($M2256&gt;=$R$16,$M2256&lt;=$R$18),U2256,0)</t>
  </si>
  <si>
    <t>=IF(AND($M2256&gt;=$S$16,$M2256&lt;=$S$18),U2256,0)</t>
  </si>
  <si>
    <t>=IF($M2256&lt;=$T$18,U2256,0)</t>
  </si>
  <si>
    <t>="""NAV Direct"",""CRONUS JetCorp USA"",""21"",""1"",""304219"""</t>
  </si>
  <si>
    <t>=E2255</t>
  </si>
  <si>
    <t>=StartDate-$M2257+1</t>
  </si>
  <si>
    <t>=SUM(P2257:T2257)</t>
  </si>
  <si>
    <t>=IF($M2257&gt;=$P$18,U2257,0)</t>
  </si>
  <si>
    <t>=IF(AND($M2257&gt;=$Q$16,$M2257&lt;=$Q$18),U2257,0)</t>
  </si>
  <si>
    <t>=IF(AND($M2257&gt;=$R$16,$M2257&lt;=$R$18),U2257,0)</t>
  </si>
  <si>
    <t>=IF(AND($M2257&gt;=$S$16,$M2257&lt;=$S$18),U2257,0)</t>
  </si>
  <si>
    <t>=IF($M2257&lt;=$T$18,U2257,0)</t>
  </si>
  <si>
    <t>="""NAV Direct"",""CRONUS JetCorp USA"",""21"",""1"",""304589"""</t>
  </si>
  <si>
    <t>=E2256</t>
  </si>
  <si>
    <t>=StartDate-$M2258+1</t>
  </si>
  <si>
    <t>=SUM(P2258:T2258)</t>
  </si>
  <si>
    <t>=IF($M2258&gt;=$P$18,U2258,0)</t>
  </si>
  <si>
    <t>=IF(AND($M2258&gt;=$Q$16,$M2258&lt;=$Q$18),U2258,0)</t>
  </si>
  <si>
    <t>=IF(AND($M2258&gt;=$R$16,$M2258&lt;=$R$18),U2258,0)</t>
  </si>
  <si>
    <t>=IF(AND($M2258&gt;=$S$16,$M2258&lt;=$S$18),U2258,0)</t>
  </si>
  <si>
    <t>=IF($M2258&lt;=$T$18,U2258,0)</t>
  </si>
  <si>
    <t>="""NAV Direct"",""CRONUS JetCorp USA"",""21"",""1"",""304618"""</t>
  </si>
  <si>
    <t>=E2257</t>
  </si>
  <si>
    <t>=StartDate-$M2259+1</t>
  </si>
  <si>
    <t>=SUM(P2259:T2259)</t>
  </si>
  <si>
    <t>=IF($M2259&gt;=$P$18,U2259,0)</t>
  </si>
  <si>
    <t>=IF(AND($M2259&gt;=$Q$16,$M2259&lt;=$Q$18),U2259,0)</t>
  </si>
  <si>
    <t>=IF(AND($M2259&gt;=$R$16,$M2259&lt;=$R$18),U2259,0)</t>
  </si>
  <si>
    <t>=IF(AND($M2259&gt;=$S$16,$M2259&lt;=$S$18),U2259,0)</t>
  </si>
  <si>
    <t>=IF($M2259&lt;=$T$18,U2259,0)</t>
  </si>
  <si>
    <t>="""NAV Direct"",""CRONUS JetCorp USA"",""21"",""1"",""304714"""</t>
  </si>
  <si>
    <t>=E2258</t>
  </si>
  <si>
    <t>=StartDate-$M2260+1</t>
  </si>
  <si>
    <t>=SUM(P2260:T2260)</t>
  </si>
  <si>
    <t>=IF($M2260&gt;=$P$18,U2260,0)</t>
  </si>
  <si>
    <t>=IF(AND($M2260&gt;=$Q$16,$M2260&lt;=$Q$18),U2260,0)</t>
  </si>
  <si>
    <t>=IF(AND($M2260&gt;=$R$16,$M2260&lt;=$R$18),U2260,0)</t>
  </si>
  <si>
    <t>=IF(AND($M2260&gt;=$S$16,$M2260&lt;=$S$18),U2260,0)</t>
  </si>
  <si>
    <t>=IF($M2260&lt;=$T$18,U2260,0)</t>
  </si>
  <si>
    <t>="""NAV Direct"",""CRONUS JetCorp USA"",""21"",""1"",""304907"""</t>
  </si>
  <si>
    <t>=E2259</t>
  </si>
  <si>
    <t>=StartDate-$M2261+1</t>
  </si>
  <si>
    <t>=SUM(P2261:T2261)</t>
  </si>
  <si>
    <t>=IF($M2261&gt;=$P$18,U2261,0)</t>
  </si>
  <si>
    <t>=IF(AND($M2261&gt;=$Q$16,$M2261&lt;=$Q$18),U2261,0)</t>
  </si>
  <si>
    <t>=IF(AND($M2261&gt;=$R$16,$M2261&lt;=$R$18),U2261,0)</t>
  </si>
  <si>
    <t>=IF(AND($M2261&gt;=$S$16,$M2261&lt;=$S$18),U2261,0)</t>
  </si>
  <si>
    <t>=IF($M2261&lt;=$T$18,U2261,0)</t>
  </si>
  <si>
    <t>="""NAV Direct"",""CRONUS JetCorp USA"",""21"",""1"",""304982"""</t>
  </si>
  <si>
    <t>=E2260</t>
  </si>
  <si>
    <t>=StartDate-$M2262+1</t>
  </si>
  <si>
    <t>=SUM(P2262:T2262)</t>
  </si>
  <si>
    <t>=IF($M2262&gt;=$P$18,U2262,0)</t>
  </si>
  <si>
    <t>=IF(AND($M2262&gt;=$Q$16,$M2262&lt;=$Q$18),U2262,0)</t>
  </si>
  <si>
    <t>=IF(AND($M2262&gt;=$R$16,$M2262&lt;=$R$18),U2262,0)</t>
  </si>
  <si>
    <t>=IF(AND($M2262&gt;=$S$16,$M2262&lt;=$S$18),U2262,0)</t>
  </si>
  <si>
    <t>=IF($M2262&lt;=$T$18,U2262,0)</t>
  </si>
  <si>
    <t>="""NAV Direct"",""CRONUS JetCorp USA"",""21"",""1"",""305022"""</t>
  </si>
  <si>
    <t>=E2261</t>
  </si>
  <si>
    <t>=StartDate-$M2263+1</t>
  </si>
  <si>
    <t>=SUM(P2263:T2263)</t>
  </si>
  <si>
    <t>=IF($M2263&gt;=$P$18,U2263,0)</t>
  </si>
  <si>
    <t>=IF(AND($M2263&gt;=$Q$16,$M2263&lt;=$Q$18),U2263,0)</t>
  </si>
  <si>
    <t>=IF(AND($M2263&gt;=$R$16,$M2263&lt;=$R$18),U2263,0)</t>
  </si>
  <si>
    <t>=IF(AND($M2263&gt;=$S$16,$M2263&lt;=$S$18),U2263,0)</t>
  </si>
  <si>
    <t>=IF($M2263&lt;=$T$18,U2263,0)</t>
  </si>
  <si>
    <t>="""NAV Direct"",""CRONUS JetCorp USA"",""21"",""1"",""305076"""</t>
  </si>
  <si>
    <t>=E2262</t>
  </si>
  <si>
    <t>=StartDate-$M2264+1</t>
  </si>
  <si>
    <t>=SUM(P2264:T2264)</t>
  </si>
  <si>
    <t>=IF($M2264&gt;=$P$18,U2264,0)</t>
  </si>
  <si>
    <t>=IF(AND($M2264&gt;=$Q$16,$M2264&lt;=$Q$18),U2264,0)</t>
  </si>
  <si>
    <t>=IF(AND($M2264&gt;=$R$16,$M2264&lt;=$R$18),U2264,0)</t>
  </si>
  <si>
    <t>=IF(AND($M2264&gt;=$S$16,$M2264&lt;=$S$18),U2264,0)</t>
  </si>
  <si>
    <t>=IF($M2264&lt;=$T$18,U2264,0)</t>
  </si>
  <si>
    <t>="""NAV Direct"",""CRONUS JetCorp USA"",""21"",""1"",""305099"""</t>
  </si>
  <si>
    <t>=E2263</t>
  </si>
  <si>
    <t>=StartDate-$M2265+1</t>
  </si>
  <si>
    <t>=SUM(P2265:T2265)</t>
  </si>
  <si>
    <t>=IF($M2265&gt;=$P$18,U2265,0)</t>
  </si>
  <si>
    <t>=IF(AND($M2265&gt;=$Q$16,$M2265&lt;=$Q$18),U2265,0)</t>
  </si>
  <si>
    <t>=IF(AND($M2265&gt;=$R$16,$M2265&lt;=$R$18),U2265,0)</t>
  </si>
  <si>
    <t>=IF(AND($M2265&gt;=$S$16,$M2265&lt;=$S$18),U2265,0)</t>
  </si>
  <si>
    <t>=IF($M2265&lt;=$T$18,U2265,0)</t>
  </si>
  <si>
    <t>="""NAV Direct"",""CRONUS JetCorp USA"",""21"",""1"",""305118"""</t>
  </si>
  <si>
    <t>=E2264</t>
  </si>
  <si>
    <t>=StartDate-$M2266+1</t>
  </si>
  <si>
    <t>=SUM(P2266:T2266)</t>
  </si>
  <si>
    <t>=IF($M2266&gt;=$P$18,U2266,0)</t>
  </si>
  <si>
    <t>=IF(AND($M2266&gt;=$Q$16,$M2266&lt;=$Q$18),U2266,0)</t>
  </si>
  <si>
    <t>=IF(AND($M2266&gt;=$R$16,$M2266&lt;=$R$18),U2266,0)</t>
  </si>
  <si>
    <t>=IF(AND($M2266&gt;=$S$16,$M2266&lt;=$S$18),U2266,0)</t>
  </si>
  <si>
    <t>=IF($M2266&lt;=$T$18,U2266,0)</t>
  </si>
  <si>
    <t>="""NAV Direct"",""CRONUS JetCorp USA"",""21"",""1"",""305222"""</t>
  </si>
  <si>
    <t>=E2265</t>
  </si>
  <si>
    <t>=StartDate-$M2267+1</t>
  </si>
  <si>
    <t>=SUM(P2267:T2267)</t>
  </si>
  <si>
    <t>=IF($M2267&gt;=$P$18,U2267,0)</t>
  </si>
  <si>
    <t>=IF(AND($M2267&gt;=$Q$16,$M2267&lt;=$Q$18),U2267,0)</t>
  </si>
  <si>
    <t>=IF(AND($M2267&gt;=$R$16,$M2267&lt;=$R$18),U2267,0)</t>
  </si>
  <si>
    <t>=IF(AND($M2267&gt;=$S$16,$M2267&lt;=$S$18),U2267,0)</t>
  </si>
  <si>
    <t>=IF($M2267&lt;=$T$18,U2267,0)</t>
  </si>
  <si>
    <t>="""NAV Direct"",""CRONUS JetCorp USA"",""21"",""1"",""305295"""</t>
  </si>
  <si>
    <t>=E2266</t>
  </si>
  <si>
    <t>=StartDate-$M2268+1</t>
  </si>
  <si>
    <t>=SUM(P2268:T2268)</t>
  </si>
  <si>
    <t>=IF($M2268&gt;=$P$18,U2268,0)</t>
  </si>
  <si>
    <t>=IF(AND($M2268&gt;=$Q$16,$M2268&lt;=$Q$18),U2268,0)</t>
  </si>
  <si>
    <t>=IF(AND($M2268&gt;=$R$16,$M2268&lt;=$R$18),U2268,0)</t>
  </si>
  <si>
    <t>=IF(AND($M2268&gt;=$S$16,$M2268&lt;=$S$18),U2268,0)</t>
  </si>
  <si>
    <t>=IF($M2268&lt;=$T$18,U2268,0)</t>
  </si>
  <si>
    <t>="""NAV Direct"",""CRONUS JetCorp USA"",""21"",""1"",""305380"""</t>
  </si>
  <si>
    <t>=E2267</t>
  </si>
  <si>
    <t>=StartDate-$M2269+1</t>
  </si>
  <si>
    <t>=SUM(P2269:T2269)</t>
  </si>
  <si>
    <t>=IF($M2269&gt;=$P$18,U2269,0)</t>
  </si>
  <si>
    <t>=IF(AND($M2269&gt;=$Q$16,$M2269&lt;=$Q$18),U2269,0)</t>
  </si>
  <si>
    <t>=IF(AND($M2269&gt;=$R$16,$M2269&lt;=$R$18),U2269,0)</t>
  </si>
  <si>
    <t>=IF(AND($M2269&gt;=$S$16,$M2269&lt;=$S$18),U2269,0)</t>
  </si>
  <si>
    <t>=IF($M2269&lt;=$T$18,U2269,0)</t>
  </si>
  <si>
    <t>="""NAV Direct"",""CRONUS JetCorp USA"",""21"",""1"",""305453"""</t>
  </si>
  <si>
    <t>=E2268</t>
  </si>
  <si>
    <t>=StartDate-$M2270+1</t>
  </si>
  <si>
    <t>=SUM(P2270:T2270)</t>
  </si>
  <si>
    <t>=IF($M2270&gt;=$P$18,U2270,0)</t>
  </si>
  <si>
    <t>=IF(AND($M2270&gt;=$Q$16,$M2270&lt;=$Q$18),U2270,0)</t>
  </si>
  <si>
    <t>=IF(AND($M2270&gt;=$R$16,$M2270&lt;=$R$18),U2270,0)</t>
  </si>
  <si>
    <t>=IF(AND($M2270&gt;=$S$16,$M2270&lt;=$S$18),U2270,0)</t>
  </si>
  <si>
    <t>=IF($M2270&lt;=$T$18,U2270,0)</t>
  </si>
  <si>
    <t>="""NAV Direct"",""CRONUS JetCorp USA"",""21"",""1"",""305559"""</t>
  </si>
  <si>
    <t>=E2269</t>
  </si>
  <si>
    <t>=StartDate-$M2271+1</t>
  </si>
  <si>
    <t>=SUM(P2271:T2271)</t>
  </si>
  <si>
    <t>=IF($M2271&gt;=$P$18,U2271,0)</t>
  </si>
  <si>
    <t>=IF(AND($M2271&gt;=$Q$16,$M2271&lt;=$Q$18),U2271,0)</t>
  </si>
  <si>
    <t>=IF(AND($M2271&gt;=$R$16,$M2271&lt;=$R$18),U2271,0)</t>
  </si>
  <si>
    <t>=IF(AND($M2271&gt;=$S$16,$M2271&lt;=$S$18),U2271,0)</t>
  </si>
  <si>
    <t>=IF($M2271&lt;=$T$18,U2271,0)</t>
  </si>
  <si>
    <t>="""NAV Direct"",""CRONUS JetCorp USA"",""21"",""1"",""305825"""</t>
  </si>
  <si>
    <t>=E2270</t>
  </si>
  <si>
    <t>=StartDate-$M2272+1</t>
  </si>
  <si>
    <t>=SUM(P2272:T2272)</t>
  </si>
  <si>
    <t>=IF($M2272&gt;=$P$18,U2272,0)</t>
  </si>
  <si>
    <t>=IF(AND($M2272&gt;=$Q$16,$M2272&lt;=$Q$18),U2272,0)</t>
  </si>
  <si>
    <t>=IF(AND($M2272&gt;=$R$16,$M2272&lt;=$R$18),U2272,0)</t>
  </si>
  <si>
    <t>=IF(AND($M2272&gt;=$S$16,$M2272&lt;=$S$18),U2272,0)</t>
  </si>
  <si>
    <t>=IF($M2272&lt;=$T$18,U2272,0)</t>
  </si>
  <si>
    <t>="""NAV Direct"",""CRONUS JetCorp USA"",""21"",""1"",""305995"""</t>
  </si>
  <si>
    <t>=E2271</t>
  </si>
  <si>
    <t>=StartDate-$M2273+1</t>
  </si>
  <si>
    <t>=SUM(P2273:T2273)</t>
  </si>
  <si>
    <t>=IF($M2273&gt;=$P$18,U2273,0)</t>
  </si>
  <si>
    <t>=IF(AND($M2273&gt;=$Q$16,$M2273&lt;=$Q$18),U2273,0)</t>
  </si>
  <si>
    <t>=IF(AND($M2273&gt;=$R$16,$M2273&lt;=$R$18),U2273,0)</t>
  </si>
  <si>
    <t>=IF(AND($M2273&gt;=$S$16,$M2273&lt;=$S$18),U2273,0)</t>
  </si>
  <si>
    <t>=IF($M2273&lt;=$T$18,U2273,0)</t>
  </si>
  <si>
    <t>="""NAV Direct"",""CRONUS JetCorp USA"",""21"",""1"",""306097"""</t>
  </si>
  <si>
    <t>=E2272</t>
  </si>
  <si>
    <t>=StartDate-$M2274+1</t>
  </si>
  <si>
    <t>=SUM(P2274:T2274)</t>
  </si>
  <si>
    <t>=IF($M2274&gt;=$P$18,U2274,0)</t>
  </si>
  <si>
    <t>=IF(AND($M2274&gt;=$Q$16,$M2274&lt;=$Q$18),U2274,0)</t>
  </si>
  <si>
    <t>=IF(AND($M2274&gt;=$R$16,$M2274&lt;=$R$18),U2274,0)</t>
  </si>
  <si>
    <t>=IF(AND($M2274&gt;=$S$16,$M2274&lt;=$S$18),U2274,0)</t>
  </si>
  <si>
    <t>=IF($M2274&lt;=$T$18,U2274,0)</t>
  </si>
  <si>
    <t>="""NAV Direct"",""CRONUS JetCorp USA"",""21"",""1"",""306116"""</t>
  </si>
  <si>
    <t>=E2273</t>
  </si>
  <si>
    <t>=StartDate-$M2275+1</t>
  </si>
  <si>
    <t>=SUM(P2275:T2275)</t>
  </si>
  <si>
    <t>=IF($M2275&gt;=$P$18,U2275,0)</t>
  </si>
  <si>
    <t>=IF(AND($M2275&gt;=$Q$16,$M2275&lt;=$Q$18),U2275,0)</t>
  </si>
  <si>
    <t>=IF(AND($M2275&gt;=$R$16,$M2275&lt;=$R$18),U2275,0)</t>
  </si>
  <si>
    <t>=IF(AND($M2275&gt;=$S$16,$M2275&lt;=$S$18),U2275,0)</t>
  </si>
  <si>
    <t>=IF($M2275&lt;=$T$18,U2275,0)</t>
  </si>
  <si>
    <t>="""NAV Direct"",""CRONUS JetCorp USA"",""21"",""1"",""306495"""</t>
  </si>
  <si>
    <t>=E2274</t>
  </si>
  <si>
    <t>=StartDate-$M2276+1</t>
  </si>
  <si>
    <t>=SUM(P2276:T2276)</t>
  </si>
  <si>
    <t>=IF($M2276&gt;=$P$18,U2276,0)</t>
  </si>
  <si>
    <t>=IF(AND($M2276&gt;=$Q$16,$M2276&lt;=$Q$18),U2276,0)</t>
  </si>
  <si>
    <t>=IF(AND($M2276&gt;=$R$16,$M2276&lt;=$R$18),U2276,0)</t>
  </si>
  <si>
    <t>=IF(AND($M2276&gt;=$S$16,$M2276&lt;=$S$18),U2276,0)</t>
  </si>
  <si>
    <t>=IF($M2276&lt;=$T$18,U2276,0)</t>
  </si>
  <si>
    <t>="""NAV Direct"",""CRONUS JetCorp USA"",""21"",""1"",""306543"""</t>
  </si>
  <si>
    <t>=E2275</t>
  </si>
  <si>
    <t>=StartDate-$M2277+1</t>
  </si>
  <si>
    <t>=SUM(P2277:T2277)</t>
  </si>
  <si>
    <t>=IF($M2277&gt;=$P$18,U2277,0)</t>
  </si>
  <si>
    <t>=IF(AND($M2277&gt;=$Q$16,$M2277&lt;=$Q$18),U2277,0)</t>
  </si>
  <si>
    <t>=IF(AND($M2277&gt;=$R$16,$M2277&lt;=$R$18),U2277,0)</t>
  </si>
  <si>
    <t>=IF(AND($M2277&gt;=$S$16,$M2277&lt;=$S$18),U2277,0)</t>
  </si>
  <si>
    <t>=IF($M2277&lt;=$T$18,U2277,0)</t>
  </si>
  <si>
    <t>="""NAV Direct"",""CRONUS JetCorp USA"",""21"",""1"",""306593"""</t>
  </si>
  <si>
    <t>=E2276</t>
  </si>
  <si>
    <t>=StartDate-$M2278+1</t>
  </si>
  <si>
    <t>=SUM(P2278:T2278)</t>
  </si>
  <si>
    <t>=IF($M2278&gt;=$P$18,U2278,0)</t>
  </si>
  <si>
    <t>=IF(AND($M2278&gt;=$Q$16,$M2278&lt;=$Q$18),U2278,0)</t>
  </si>
  <si>
    <t>=IF(AND($M2278&gt;=$R$16,$M2278&lt;=$R$18),U2278,0)</t>
  </si>
  <si>
    <t>=IF(AND($M2278&gt;=$S$16,$M2278&lt;=$S$18),U2278,0)</t>
  </si>
  <si>
    <t>=IF($M2278&lt;=$T$18,U2278,0)</t>
  </si>
  <si>
    <t>="""NAV Direct"",""CRONUS JetCorp USA"",""21"",""1"",""306718"""</t>
  </si>
  <si>
    <t>=E2277</t>
  </si>
  <si>
    <t>=StartDate-$M2279+1</t>
  </si>
  <si>
    <t>=SUM(P2279:T2279)</t>
  </si>
  <si>
    <t>=IF($M2279&gt;=$P$18,U2279,0)</t>
  </si>
  <si>
    <t>=IF(AND($M2279&gt;=$Q$16,$M2279&lt;=$Q$18),U2279,0)</t>
  </si>
  <si>
    <t>=IF(AND($M2279&gt;=$R$16,$M2279&lt;=$R$18),U2279,0)</t>
  </si>
  <si>
    <t>=IF(AND($M2279&gt;=$S$16,$M2279&lt;=$S$18),U2279,0)</t>
  </si>
  <si>
    <t>=IF($M2279&lt;=$T$18,U2279,0)</t>
  </si>
  <si>
    <t>="""NAV Direct"",""CRONUS JetCorp USA"",""21"",""1"",""306747"""</t>
  </si>
  <si>
    <t>=E2278</t>
  </si>
  <si>
    <t>=StartDate-$M2280+1</t>
  </si>
  <si>
    <t>=SUM(P2280:T2280)</t>
  </si>
  <si>
    <t>=IF($M2280&gt;=$P$18,U2280,0)</t>
  </si>
  <si>
    <t>=IF(AND($M2280&gt;=$Q$16,$M2280&lt;=$Q$18),U2280,0)</t>
  </si>
  <si>
    <t>=IF(AND($M2280&gt;=$R$16,$M2280&lt;=$R$18),U2280,0)</t>
  </si>
  <si>
    <t>=IF(AND($M2280&gt;=$S$16,$M2280&lt;=$S$18),U2280,0)</t>
  </si>
  <si>
    <t>=IF($M2280&lt;=$T$18,U2280,0)</t>
  </si>
  <si>
    <t>="""NAV Direct"",""CRONUS JetCorp USA"",""21"",""1"",""307100"""</t>
  </si>
  <si>
    <t>=E2279</t>
  </si>
  <si>
    <t>=StartDate-$M2281+1</t>
  </si>
  <si>
    <t>=SUM(P2281:T2281)</t>
  </si>
  <si>
    <t>=IF($M2281&gt;=$P$18,U2281,0)</t>
  </si>
  <si>
    <t>=IF(AND($M2281&gt;=$Q$16,$M2281&lt;=$Q$18),U2281,0)</t>
  </si>
  <si>
    <t>=IF(AND($M2281&gt;=$R$16,$M2281&lt;=$R$18),U2281,0)</t>
  </si>
  <si>
    <t>=IF(AND($M2281&gt;=$S$16,$M2281&lt;=$S$18),U2281,0)</t>
  </si>
  <si>
    <t>=IF($M2281&lt;=$T$18,U2281,0)</t>
  </si>
  <si>
    <t>="""NAV Direct"",""CRONUS JetCorp USA"",""21"",""1"",""307146"""</t>
  </si>
  <si>
    <t>=E2280</t>
  </si>
  <si>
    <t>=StartDate-$M2282+1</t>
  </si>
  <si>
    <t>=SUM(P2282:T2282)</t>
  </si>
  <si>
    <t>=IF($M2282&gt;=$P$18,U2282,0)</t>
  </si>
  <si>
    <t>=IF(AND($M2282&gt;=$Q$16,$M2282&lt;=$Q$18),U2282,0)</t>
  </si>
  <si>
    <t>=IF(AND($M2282&gt;=$R$16,$M2282&lt;=$R$18),U2282,0)</t>
  </si>
  <si>
    <t>=IF(AND($M2282&gt;=$S$16,$M2282&lt;=$S$18),U2282,0)</t>
  </si>
  <si>
    <t>=IF($M2282&lt;=$T$18,U2282,0)</t>
  </si>
  <si>
    <t>="""NAV Direct"",""CRONUS JetCorp USA"",""21"",""1"",""307173"""</t>
  </si>
  <si>
    <t>=E2281</t>
  </si>
  <si>
    <t>=StartDate-$M2283+1</t>
  </si>
  <si>
    <t>=SUM(P2283:T2283)</t>
  </si>
  <si>
    <t>=IF($M2283&gt;=$P$18,U2283,0)</t>
  </si>
  <si>
    <t>=IF(AND($M2283&gt;=$Q$16,$M2283&lt;=$Q$18),U2283,0)</t>
  </si>
  <si>
    <t>=IF(AND($M2283&gt;=$R$16,$M2283&lt;=$R$18),U2283,0)</t>
  </si>
  <si>
    <t>=IF(AND($M2283&gt;=$S$16,$M2283&lt;=$S$18),U2283,0)</t>
  </si>
  <si>
    <t>=IF($M2283&lt;=$T$18,U2283,0)</t>
  </si>
  <si>
    <t>="""NAV Direct"",""CRONUS JetCorp USA"",""21"",""1"",""307266"""</t>
  </si>
  <si>
    <t>=E2282</t>
  </si>
  <si>
    <t>=StartDate-$M2284+1</t>
  </si>
  <si>
    <t>=SUM(P2284:T2284)</t>
  </si>
  <si>
    <t>=IF($M2284&gt;=$P$18,U2284,0)</t>
  </si>
  <si>
    <t>=IF(AND($M2284&gt;=$Q$16,$M2284&lt;=$Q$18),U2284,0)</t>
  </si>
  <si>
    <t>=IF(AND($M2284&gt;=$R$16,$M2284&lt;=$R$18),U2284,0)</t>
  </si>
  <si>
    <t>=IF(AND($M2284&gt;=$S$16,$M2284&lt;=$S$18),U2284,0)</t>
  </si>
  <si>
    <t>=IF($M2284&lt;=$T$18,U2284,0)</t>
  </si>
  <si>
    <t>="""NAV Direct"",""CRONUS JetCorp USA"",""21"",""1"",""307318"""</t>
  </si>
  <si>
    <t>=E2283</t>
  </si>
  <si>
    <t>=StartDate-$M2285+1</t>
  </si>
  <si>
    <t>=SUM(P2285:T2285)</t>
  </si>
  <si>
    <t>=IF($M2285&gt;=$P$18,U2285,0)</t>
  </si>
  <si>
    <t>=IF(AND($M2285&gt;=$Q$16,$M2285&lt;=$Q$18),U2285,0)</t>
  </si>
  <si>
    <t>=IF(AND($M2285&gt;=$R$16,$M2285&lt;=$R$18),U2285,0)</t>
  </si>
  <si>
    <t>=IF(AND($M2285&gt;=$S$16,$M2285&lt;=$S$18),U2285,0)</t>
  </si>
  <si>
    <t>=IF($M2285&lt;=$T$18,U2285,0)</t>
  </si>
  <si>
    <t>="""NAV Direct"",""CRONUS JetCorp USA"",""21"",""1"",""307439"""</t>
  </si>
  <si>
    <t>=E2284</t>
  </si>
  <si>
    <t>=StartDate-$M2286+1</t>
  </si>
  <si>
    <t>=SUM(P2286:T2286)</t>
  </si>
  <si>
    <t>=IF($M2286&gt;=$P$18,U2286,0)</t>
  </si>
  <si>
    <t>=IF(AND($M2286&gt;=$Q$16,$M2286&lt;=$Q$18),U2286,0)</t>
  </si>
  <si>
    <t>=IF(AND($M2286&gt;=$R$16,$M2286&lt;=$R$18),U2286,0)</t>
  </si>
  <si>
    <t>=IF(AND($M2286&gt;=$S$16,$M2286&lt;=$S$18),U2286,0)</t>
  </si>
  <si>
    <t>=IF($M2286&lt;=$T$18,U2286,0)</t>
  </si>
  <si>
    <t>="""NAV Direct"",""CRONUS JetCorp USA"",""21"",""1"",""307697"""</t>
  </si>
  <si>
    <t>=E2285</t>
  </si>
  <si>
    <t>=StartDate-$M2287+1</t>
  </si>
  <si>
    <t>=SUM(P2287:T2287)</t>
  </si>
  <si>
    <t>=IF($M2287&gt;=$P$18,U2287,0)</t>
  </si>
  <si>
    <t>=IF(AND($M2287&gt;=$Q$16,$M2287&lt;=$Q$18),U2287,0)</t>
  </si>
  <si>
    <t>=IF(AND($M2287&gt;=$R$16,$M2287&lt;=$R$18),U2287,0)</t>
  </si>
  <si>
    <t>=IF(AND($M2287&gt;=$S$16,$M2287&lt;=$S$18),U2287,0)</t>
  </si>
  <si>
    <t>=IF($M2287&lt;=$T$18,U2287,0)</t>
  </si>
  <si>
    <t>="""NAV Direct"",""CRONUS JetCorp USA"",""21"",""1"",""307837"""</t>
  </si>
  <si>
    <t>=E2286</t>
  </si>
  <si>
    <t>=StartDate-$M2288+1</t>
  </si>
  <si>
    <t>=SUM(P2288:T2288)</t>
  </si>
  <si>
    <t>=IF($M2288&gt;=$P$18,U2288,0)</t>
  </si>
  <si>
    <t>=IF(AND($M2288&gt;=$Q$16,$M2288&lt;=$Q$18),U2288,0)</t>
  </si>
  <si>
    <t>=IF(AND($M2288&gt;=$R$16,$M2288&lt;=$R$18),U2288,0)</t>
  </si>
  <si>
    <t>=IF(AND($M2288&gt;=$S$16,$M2288&lt;=$S$18),U2288,0)</t>
  </si>
  <si>
    <t>=IF($M2288&lt;=$T$18,U2288,0)</t>
  </si>
  <si>
    <t>="""NAV Direct"",""CRONUS JetCorp USA"",""21"",""1"",""308114"""</t>
  </si>
  <si>
    <t>=E2287</t>
  </si>
  <si>
    <t>=StartDate-$M2289+1</t>
  </si>
  <si>
    <t>=SUM(P2289:T2289)</t>
  </si>
  <si>
    <t>=IF($M2289&gt;=$P$18,U2289,0)</t>
  </si>
  <si>
    <t>=IF(AND($M2289&gt;=$Q$16,$M2289&lt;=$Q$18),U2289,0)</t>
  </si>
  <si>
    <t>=IF(AND($M2289&gt;=$R$16,$M2289&lt;=$R$18),U2289,0)</t>
  </si>
  <si>
    <t>=IF(AND($M2289&gt;=$S$16,$M2289&lt;=$S$18),U2289,0)</t>
  </si>
  <si>
    <t>=IF($M2289&lt;=$T$18,U2289,0)</t>
  </si>
  <si>
    <t>="""NAV Direct"",""CRONUS JetCorp USA"",""21"",""1"",""308280"""</t>
  </si>
  <si>
    <t>=E2288</t>
  </si>
  <si>
    <t>=StartDate-$M2290+1</t>
  </si>
  <si>
    <t>=SUM(P2290:T2290)</t>
  </si>
  <si>
    <t>=IF($M2290&gt;=$P$18,U2290,0)</t>
  </si>
  <si>
    <t>=IF(AND($M2290&gt;=$Q$16,$M2290&lt;=$Q$18),U2290,0)</t>
  </si>
  <si>
    <t>=IF(AND($M2290&gt;=$R$16,$M2290&lt;=$R$18),U2290,0)</t>
  </si>
  <si>
    <t>=IF(AND($M2290&gt;=$S$16,$M2290&lt;=$S$18),U2290,0)</t>
  </si>
  <si>
    <t>=IF($M2290&lt;=$T$18,U2290,0)</t>
  </si>
  <si>
    <t>="""NAV Direct"",""CRONUS JetCorp USA"",""21"",""1"",""308332"""</t>
  </si>
  <si>
    <t>=E2289</t>
  </si>
  <si>
    <t>=StartDate-$M2291+1</t>
  </si>
  <si>
    <t>=SUM(P2291:T2291)</t>
  </si>
  <si>
    <t>=IF($M2291&gt;=$P$18,U2291,0)</t>
  </si>
  <si>
    <t>=IF(AND($M2291&gt;=$Q$16,$M2291&lt;=$Q$18),U2291,0)</t>
  </si>
  <si>
    <t>=IF(AND($M2291&gt;=$R$16,$M2291&lt;=$R$18),U2291,0)</t>
  </si>
  <si>
    <t>=IF(AND($M2291&gt;=$S$16,$M2291&lt;=$S$18),U2291,0)</t>
  </si>
  <si>
    <t>=IF($M2291&lt;=$T$18,U2291,0)</t>
  </si>
  <si>
    <t>="""NAV Direct"",""CRONUS JetCorp USA"",""21"",""1"",""308457"""</t>
  </si>
  <si>
    <t>=E2290</t>
  </si>
  <si>
    <t>=StartDate-$M2292+1</t>
  </si>
  <si>
    <t>=SUM(P2292:T2292)</t>
  </si>
  <si>
    <t>=IF($M2292&gt;=$P$18,U2292,0)</t>
  </si>
  <si>
    <t>=IF(AND($M2292&gt;=$Q$16,$M2292&lt;=$Q$18),U2292,0)</t>
  </si>
  <si>
    <t>=IF(AND($M2292&gt;=$R$16,$M2292&lt;=$R$18),U2292,0)</t>
  </si>
  <si>
    <t>=IF(AND($M2292&gt;=$S$16,$M2292&lt;=$S$18),U2292,0)</t>
  </si>
  <si>
    <t>=IF($M2292&lt;=$T$18,U2292,0)</t>
  </si>
  <si>
    <t>="""NAV Direct"",""CRONUS JetCorp USA"",""21"",""1"",""308490"""</t>
  </si>
  <si>
    <t>=E2291</t>
  </si>
  <si>
    <t>=StartDate-$M2293+1</t>
  </si>
  <si>
    <t>=SUM(P2293:T2293)</t>
  </si>
  <si>
    <t>=IF($M2293&gt;=$P$18,U2293,0)</t>
  </si>
  <si>
    <t>=IF(AND($M2293&gt;=$Q$16,$M2293&lt;=$Q$18),U2293,0)</t>
  </si>
  <si>
    <t>=IF(AND($M2293&gt;=$R$16,$M2293&lt;=$R$18),U2293,0)</t>
  </si>
  <si>
    <t>=IF(AND($M2293&gt;=$S$16,$M2293&lt;=$S$18),U2293,0)</t>
  </si>
  <si>
    <t>=IF($M2293&lt;=$T$18,U2293,0)</t>
  </si>
  <si>
    <t>="""NAV Direct"",""CRONUS JetCorp USA"",""21"",""1"",""308985"""</t>
  </si>
  <si>
    <t>=E2292</t>
  </si>
  <si>
    <t>=StartDate-$M2294+1</t>
  </si>
  <si>
    <t>=SUM(P2294:T2294)</t>
  </si>
  <si>
    <t>=IF($M2294&gt;=$P$18,U2294,0)</t>
  </si>
  <si>
    <t>=IF(AND($M2294&gt;=$Q$16,$M2294&lt;=$Q$18),U2294,0)</t>
  </si>
  <si>
    <t>=IF(AND($M2294&gt;=$R$16,$M2294&lt;=$R$18),U2294,0)</t>
  </si>
  <si>
    <t>=IF(AND($M2294&gt;=$S$16,$M2294&lt;=$S$18),U2294,0)</t>
  </si>
  <si>
    <t>=IF($M2294&lt;=$T$18,U2294,0)</t>
  </si>
  <si>
    <t>="""NAV Direct"",""CRONUS JetCorp USA"",""21"",""1"",""309149"""</t>
  </si>
  <si>
    <t>=E2293</t>
  </si>
  <si>
    <t>=StartDate-$M2295+1</t>
  </si>
  <si>
    <t>=SUM(P2295:T2295)</t>
  </si>
  <si>
    <t>=IF($M2295&gt;=$P$18,U2295,0)</t>
  </si>
  <si>
    <t>=IF(AND($M2295&gt;=$Q$16,$M2295&lt;=$Q$18),U2295,0)</t>
  </si>
  <si>
    <t>=IF(AND($M2295&gt;=$R$16,$M2295&lt;=$R$18),U2295,0)</t>
  </si>
  <si>
    <t>=IF(AND($M2295&gt;=$S$16,$M2295&lt;=$S$18),U2295,0)</t>
  </si>
  <si>
    <t>=IF($M2295&lt;=$T$18,U2295,0)</t>
  </si>
  <si>
    <t>="""NAV Direct"",""CRONUS JetCorp USA"",""21"",""1"",""309336"""</t>
  </si>
  <si>
    <t>=E2294</t>
  </si>
  <si>
    <t>=StartDate-$M2296+1</t>
  </si>
  <si>
    <t>=SUM(P2296:T2296)</t>
  </si>
  <si>
    <t>=IF($M2296&gt;=$P$18,U2296,0)</t>
  </si>
  <si>
    <t>=IF(AND($M2296&gt;=$Q$16,$M2296&lt;=$Q$18),U2296,0)</t>
  </si>
  <si>
    <t>=IF(AND($M2296&gt;=$R$16,$M2296&lt;=$R$18),U2296,0)</t>
  </si>
  <si>
    <t>=IF(AND($M2296&gt;=$S$16,$M2296&lt;=$S$18),U2296,0)</t>
  </si>
  <si>
    <t>=IF($M2296&lt;=$T$18,U2296,0)</t>
  </si>
  <si>
    <t>="""NAV Direct"",""CRONUS JetCorp USA"",""21"",""1"",""309394"""</t>
  </si>
  <si>
    <t>=E2295</t>
  </si>
  <si>
    <t>=StartDate-$M2297+1</t>
  </si>
  <si>
    <t>=SUM(P2297:T2297)</t>
  </si>
  <si>
    <t>=IF($M2297&gt;=$P$18,U2297,0)</t>
  </si>
  <si>
    <t>=IF(AND($M2297&gt;=$Q$16,$M2297&lt;=$Q$18),U2297,0)</t>
  </si>
  <si>
    <t>=IF(AND($M2297&gt;=$R$16,$M2297&lt;=$R$18),U2297,0)</t>
  </si>
  <si>
    <t>=IF(AND($M2297&gt;=$S$16,$M2297&lt;=$S$18),U2297,0)</t>
  </si>
  <si>
    <t>=IF($M2297&lt;=$T$18,U2297,0)</t>
  </si>
  <si>
    <t>="""NAV Direct"",""CRONUS JetCorp USA"",""21"",""1"",""309531"""</t>
  </si>
  <si>
    <t>=E2296</t>
  </si>
  <si>
    <t>=StartDate-$M2298+1</t>
  </si>
  <si>
    <t>=SUM(P2298:T2298)</t>
  </si>
  <si>
    <t>=IF($M2298&gt;=$P$18,U2298,0)</t>
  </si>
  <si>
    <t>=IF(AND($M2298&gt;=$Q$16,$M2298&lt;=$Q$18),U2298,0)</t>
  </si>
  <si>
    <t>=IF(AND($M2298&gt;=$R$16,$M2298&lt;=$R$18),U2298,0)</t>
  </si>
  <si>
    <t>=IF(AND($M2298&gt;=$S$16,$M2298&lt;=$S$18),U2298,0)</t>
  </si>
  <si>
    <t>=IF($M2298&lt;=$T$18,U2298,0)</t>
  </si>
  <si>
    <t>="""NAV Direct"",""CRONUS JetCorp USA"",""21"",""1"",""309560"""</t>
  </si>
  <si>
    <t>=E2297</t>
  </si>
  <si>
    <t>=StartDate-$M2299+1</t>
  </si>
  <si>
    <t>=SUM(P2299:T2299)</t>
  </si>
  <si>
    <t>=IF($M2299&gt;=$P$18,U2299,0)</t>
  </si>
  <si>
    <t>=IF(AND($M2299&gt;=$Q$16,$M2299&lt;=$Q$18),U2299,0)</t>
  </si>
  <si>
    <t>=IF(AND($M2299&gt;=$R$16,$M2299&lt;=$R$18),U2299,0)</t>
  </si>
  <si>
    <t>=IF(AND($M2299&gt;=$S$16,$M2299&lt;=$S$18),U2299,0)</t>
  </si>
  <si>
    <t>=IF($M2299&lt;=$T$18,U2299,0)</t>
  </si>
  <si>
    <t>="""NAV Direct"",""CRONUS JetCorp USA"",""21"",""1"",""309720"""</t>
  </si>
  <si>
    <t>=E2298</t>
  </si>
  <si>
    <t>=StartDate-$M2300+1</t>
  </si>
  <si>
    <t>=SUM(P2300:T2300)</t>
  </si>
  <si>
    <t>=IF($M2300&gt;=$P$18,U2300,0)</t>
  </si>
  <si>
    <t>=IF(AND($M2300&gt;=$Q$16,$M2300&lt;=$Q$18),U2300,0)</t>
  </si>
  <si>
    <t>=IF(AND($M2300&gt;=$R$16,$M2300&lt;=$R$18),U2300,0)</t>
  </si>
  <si>
    <t>=IF(AND($M2300&gt;=$S$16,$M2300&lt;=$S$18),U2300,0)</t>
  </si>
  <si>
    <t>=IF($M2300&lt;=$T$18,U2300,0)</t>
  </si>
  <si>
    <t>="""NAV Direct"",""CRONUS JetCorp USA"",""21"",""1"",""309849"""</t>
  </si>
  <si>
    <t>=E2299</t>
  </si>
  <si>
    <t>=StartDate-$M2301+1</t>
  </si>
  <si>
    <t>=SUM(P2301:T2301)</t>
  </si>
  <si>
    <t>=IF($M2301&gt;=$P$18,U2301,0)</t>
  </si>
  <si>
    <t>=IF(AND($M2301&gt;=$Q$16,$M2301&lt;=$Q$18),U2301,0)</t>
  </si>
  <si>
    <t>=IF(AND($M2301&gt;=$R$16,$M2301&lt;=$R$18),U2301,0)</t>
  </si>
  <si>
    <t>=IF(AND($M2301&gt;=$S$16,$M2301&lt;=$S$18),U2301,0)</t>
  </si>
  <si>
    <t>=IF($M2301&lt;=$T$18,U2301,0)</t>
  </si>
  <si>
    <t>="""NAV Direct"",""CRONUS JetCorp USA"",""21"",""1"",""309876"""</t>
  </si>
  <si>
    <t>=E2300</t>
  </si>
  <si>
    <t>=StartDate-$M2302+1</t>
  </si>
  <si>
    <t>=SUM(P2302:T2302)</t>
  </si>
  <si>
    <t>=IF($M2302&gt;=$P$18,U2302,0)</t>
  </si>
  <si>
    <t>=IF(AND($M2302&gt;=$Q$16,$M2302&lt;=$Q$18),U2302,0)</t>
  </si>
  <si>
    <t>=IF(AND($M2302&gt;=$R$16,$M2302&lt;=$R$18),U2302,0)</t>
  </si>
  <si>
    <t>=IF(AND($M2302&gt;=$S$16,$M2302&lt;=$S$18),U2302,0)</t>
  </si>
  <si>
    <t>=IF($M2302&lt;=$T$18,U2302,0)</t>
  </si>
  <si>
    <t>="""NAV Direct"",""CRONUS JetCorp USA"",""21"",""1"",""310178"""</t>
  </si>
  <si>
    <t>=E2301</t>
  </si>
  <si>
    <t>=StartDate-$M2303+1</t>
  </si>
  <si>
    <t>=SUM(P2303:T2303)</t>
  </si>
  <si>
    <t>=IF($M2303&gt;=$P$18,U2303,0)</t>
  </si>
  <si>
    <t>=IF(AND($M2303&gt;=$Q$16,$M2303&lt;=$Q$18),U2303,0)</t>
  </si>
  <si>
    <t>=IF(AND($M2303&gt;=$R$16,$M2303&lt;=$R$18),U2303,0)</t>
  </si>
  <si>
    <t>=IF(AND($M2303&gt;=$S$16,$M2303&lt;=$S$18),U2303,0)</t>
  </si>
  <si>
    <t>=IF($M2303&lt;=$T$18,U2303,0)</t>
  </si>
  <si>
    <t>="""NAV Direct"",""CRONUS JetCorp USA"",""21"",""1"",""310253"""</t>
  </si>
  <si>
    <t>=E2302</t>
  </si>
  <si>
    <t>=StartDate-$M2304+1</t>
  </si>
  <si>
    <t>=SUM(P2304:T2304)</t>
  </si>
  <si>
    <t>=IF($M2304&gt;=$P$18,U2304,0)</t>
  </si>
  <si>
    <t>=IF(AND($M2304&gt;=$Q$16,$M2304&lt;=$Q$18),U2304,0)</t>
  </si>
  <si>
    <t>=IF(AND($M2304&gt;=$R$16,$M2304&lt;=$R$18),U2304,0)</t>
  </si>
  <si>
    <t>=IF(AND($M2304&gt;=$S$16,$M2304&lt;=$S$18),U2304,0)</t>
  </si>
  <si>
    <t>=IF($M2304&lt;=$T$18,U2304,0)</t>
  </si>
  <si>
    <t>="""NAV Direct"",""CRONUS JetCorp USA"",""21"",""1"",""310380"""</t>
  </si>
  <si>
    <t>=E2303</t>
  </si>
  <si>
    <t>=StartDate-$M2305+1</t>
  </si>
  <si>
    <t>=SUM(P2305:T2305)</t>
  </si>
  <si>
    <t>=IF($M2305&gt;=$P$18,U2305,0)</t>
  </si>
  <si>
    <t>=IF(AND($M2305&gt;=$Q$16,$M2305&lt;=$Q$18),U2305,0)</t>
  </si>
  <si>
    <t>=IF(AND($M2305&gt;=$R$16,$M2305&lt;=$R$18),U2305,0)</t>
  </si>
  <si>
    <t>=IF(AND($M2305&gt;=$S$16,$M2305&lt;=$S$18),U2305,0)</t>
  </si>
  <si>
    <t>=IF($M2305&lt;=$T$18,U2305,0)</t>
  </si>
  <si>
    <t>="""NAV Direct"",""CRONUS JetCorp USA"",""21"",""1"",""310459"""</t>
  </si>
  <si>
    <t>=E2304</t>
  </si>
  <si>
    <t>=StartDate-$M2306+1</t>
  </si>
  <si>
    <t>=SUM(P2306:T2306)</t>
  </si>
  <si>
    <t>=IF($M2306&gt;=$P$18,U2306,0)</t>
  </si>
  <si>
    <t>=IF(AND($M2306&gt;=$Q$16,$M2306&lt;=$Q$18),U2306,0)</t>
  </si>
  <si>
    <t>=IF(AND($M2306&gt;=$R$16,$M2306&lt;=$R$18),U2306,0)</t>
  </si>
  <si>
    <t>=IF(AND($M2306&gt;=$S$16,$M2306&lt;=$S$18),U2306,0)</t>
  </si>
  <si>
    <t>=IF($M2306&lt;=$T$18,U2306,0)</t>
  </si>
  <si>
    <t>="""NAV Direct"",""CRONUS JetCorp USA"",""21"",""1"",""310544"""</t>
  </si>
  <si>
    <t>=E2305</t>
  </si>
  <si>
    <t>=StartDate-$M2307+1</t>
  </si>
  <si>
    <t>=SUM(P2307:T2307)</t>
  </si>
  <si>
    <t>=IF($M2307&gt;=$P$18,U2307,0)</t>
  </si>
  <si>
    <t>=IF(AND($M2307&gt;=$Q$16,$M2307&lt;=$Q$18),U2307,0)</t>
  </si>
  <si>
    <t>=IF(AND($M2307&gt;=$R$16,$M2307&lt;=$R$18),U2307,0)</t>
  </si>
  <si>
    <t>=IF(AND($M2307&gt;=$S$16,$M2307&lt;=$S$18),U2307,0)</t>
  </si>
  <si>
    <t>=IF($M2307&lt;=$T$18,U2307,0)</t>
  </si>
  <si>
    <t>="""NAV Direct"",""CRONUS JetCorp USA"",""21"",""1"",""310569"""</t>
  </si>
  <si>
    <t>=E2306</t>
  </si>
  <si>
    <t>=StartDate-$M2308+1</t>
  </si>
  <si>
    <t>=SUM(P2308:T2308)</t>
  </si>
  <si>
    <t>=IF($M2308&gt;=$P$18,U2308,0)</t>
  </si>
  <si>
    <t>=IF(AND($M2308&gt;=$Q$16,$M2308&lt;=$Q$18),U2308,0)</t>
  </si>
  <si>
    <t>=IF(AND($M2308&gt;=$R$16,$M2308&lt;=$R$18),U2308,0)</t>
  </si>
  <si>
    <t>=IF(AND($M2308&gt;=$S$16,$M2308&lt;=$S$18),U2308,0)</t>
  </si>
  <si>
    <t>=IF($M2308&lt;=$T$18,U2308,0)</t>
  </si>
  <si>
    <t>="""NAV Direct"",""CRONUS JetCorp USA"",""21"",""1"",""310631"""</t>
  </si>
  <si>
    <t>=E2307</t>
  </si>
  <si>
    <t>=StartDate-$M2309+1</t>
  </si>
  <si>
    <t>=SUM(P2309:T2309)</t>
  </si>
  <si>
    <t>=IF($M2309&gt;=$P$18,U2309,0)</t>
  </si>
  <si>
    <t>=IF(AND($M2309&gt;=$Q$16,$M2309&lt;=$Q$18),U2309,0)</t>
  </si>
  <si>
    <t>=IF(AND($M2309&gt;=$R$16,$M2309&lt;=$R$18),U2309,0)</t>
  </si>
  <si>
    <t>=IF(AND($M2309&gt;=$S$16,$M2309&lt;=$S$18),U2309,0)</t>
  </si>
  <si>
    <t>=IF($M2309&lt;=$T$18,U2309,0)</t>
  </si>
  <si>
    <t>="""NAV Direct"",""CRONUS JetCorp USA"",""21"",""1"",""310660"""</t>
  </si>
  <si>
    <t>=E2308</t>
  </si>
  <si>
    <t>=StartDate-$M2310+1</t>
  </si>
  <si>
    <t>=SUM(P2310:T2310)</t>
  </si>
  <si>
    <t>=IF($M2310&gt;=$P$18,U2310,0)</t>
  </si>
  <si>
    <t>=IF(AND($M2310&gt;=$Q$16,$M2310&lt;=$Q$18),U2310,0)</t>
  </si>
  <si>
    <t>=IF(AND($M2310&gt;=$R$16,$M2310&lt;=$R$18),U2310,0)</t>
  </si>
  <si>
    <t>=IF(AND($M2310&gt;=$S$16,$M2310&lt;=$S$18),U2310,0)</t>
  </si>
  <si>
    <t>=IF($M2310&lt;=$T$18,U2310,0)</t>
  </si>
  <si>
    <t>="""NAV Direct"",""CRONUS JetCorp USA"",""21"",""1"",""310855"""</t>
  </si>
  <si>
    <t>=E2309</t>
  </si>
  <si>
    <t>=StartDate-$M2311+1</t>
  </si>
  <si>
    <t>=SUM(P2311:T2311)</t>
  </si>
  <si>
    <t>=IF($M2311&gt;=$P$18,U2311,0)</t>
  </si>
  <si>
    <t>=IF(AND($M2311&gt;=$Q$16,$M2311&lt;=$Q$18),U2311,0)</t>
  </si>
  <si>
    <t>=IF(AND($M2311&gt;=$R$16,$M2311&lt;=$R$18),U2311,0)</t>
  </si>
  <si>
    <t>=IF(AND($M2311&gt;=$S$16,$M2311&lt;=$S$18),U2311,0)</t>
  </si>
  <si>
    <t>=IF($M2311&lt;=$T$18,U2311,0)</t>
  </si>
  <si>
    <t>="""NAV Direct"",""CRONUS JetCorp USA"",""21"",""1"",""310992"""</t>
  </si>
  <si>
    <t>=E2310</t>
  </si>
  <si>
    <t>=StartDate-$M2312+1</t>
  </si>
  <si>
    <t>=SUM(P2312:T2312)</t>
  </si>
  <si>
    <t>=IF($M2312&gt;=$P$18,U2312,0)</t>
  </si>
  <si>
    <t>=IF(AND($M2312&gt;=$Q$16,$M2312&lt;=$Q$18),U2312,0)</t>
  </si>
  <si>
    <t>=IF(AND($M2312&gt;=$R$16,$M2312&lt;=$R$18),U2312,0)</t>
  </si>
  <si>
    <t>=IF(AND($M2312&gt;=$S$16,$M2312&lt;=$S$18),U2312,0)</t>
  </si>
  <si>
    <t>=IF($M2312&lt;=$T$18,U2312,0)</t>
  </si>
  <si>
    <t>="""NAV Direct"",""CRONUS JetCorp USA"",""21"",""1"",""311127"""</t>
  </si>
  <si>
    <t>=E2311</t>
  </si>
  <si>
    <t>=StartDate-$M2313+1</t>
  </si>
  <si>
    <t>=SUM(P2313:T2313)</t>
  </si>
  <si>
    <t>=IF($M2313&gt;=$P$18,U2313,0)</t>
  </si>
  <si>
    <t>=IF(AND($M2313&gt;=$Q$16,$M2313&lt;=$Q$18),U2313,0)</t>
  </si>
  <si>
    <t>=IF(AND($M2313&gt;=$R$16,$M2313&lt;=$R$18),U2313,0)</t>
  </si>
  <si>
    <t>=IF(AND($M2313&gt;=$S$16,$M2313&lt;=$S$18),U2313,0)</t>
  </si>
  <si>
    <t>=IF($M2313&lt;=$T$18,U2313,0)</t>
  </si>
  <si>
    <t>="""NAV Direct"",""CRONUS JetCorp USA"",""21"",""1"",""311349"""</t>
  </si>
  <si>
    <t>=E2312</t>
  </si>
  <si>
    <t>=StartDate-$M2314+1</t>
  </si>
  <si>
    <t>=SUM(P2314:T2314)</t>
  </si>
  <si>
    <t>=IF($M2314&gt;=$P$18,U2314,0)</t>
  </si>
  <si>
    <t>=IF(AND($M2314&gt;=$Q$16,$M2314&lt;=$Q$18),U2314,0)</t>
  </si>
  <si>
    <t>=IF(AND($M2314&gt;=$R$16,$M2314&lt;=$R$18),U2314,0)</t>
  </si>
  <si>
    <t>=IF(AND($M2314&gt;=$S$16,$M2314&lt;=$S$18),U2314,0)</t>
  </si>
  <si>
    <t>=IF($M2314&lt;=$T$18,U2314,0)</t>
  </si>
  <si>
    <t>="""NAV Direct"",""CRONUS JetCorp USA"",""21"",""1"",""311424"""</t>
  </si>
  <si>
    <t>=E2313</t>
  </si>
  <si>
    <t>=StartDate-$M2315+1</t>
  </si>
  <si>
    <t>=SUM(P2315:T2315)</t>
  </si>
  <si>
    <t>=IF($M2315&gt;=$P$18,U2315,0)</t>
  </si>
  <si>
    <t>=IF(AND($M2315&gt;=$Q$16,$M2315&lt;=$Q$18),U2315,0)</t>
  </si>
  <si>
    <t>=IF(AND($M2315&gt;=$R$16,$M2315&lt;=$R$18),U2315,0)</t>
  </si>
  <si>
    <t>=IF(AND($M2315&gt;=$S$16,$M2315&lt;=$S$18),U2315,0)</t>
  </si>
  <si>
    <t>=IF($M2315&lt;=$T$18,U2315,0)</t>
  </si>
  <si>
    <t>="""NAV Direct"",""CRONUS JetCorp USA"",""21"",""1"",""311737"""</t>
  </si>
  <si>
    <t>=E2314</t>
  </si>
  <si>
    <t>=StartDate-$M2316+1</t>
  </si>
  <si>
    <t>=SUM(P2316:T2316)</t>
  </si>
  <si>
    <t>=IF($M2316&gt;=$P$18,U2316,0)</t>
  </si>
  <si>
    <t>=IF(AND($M2316&gt;=$Q$16,$M2316&lt;=$Q$18),U2316,0)</t>
  </si>
  <si>
    <t>=IF(AND($M2316&gt;=$R$16,$M2316&lt;=$R$18),U2316,0)</t>
  </si>
  <si>
    <t>=IF(AND($M2316&gt;=$S$16,$M2316&lt;=$S$18),U2316,0)</t>
  </si>
  <si>
    <t>=IF($M2316&lt;=$T$18,U2316,0)</t>
  </si>
  <si>
    <t>="""NAV Direct"",""CRONUS JetCorp USA"",""21"",""1"",""311824"""</t>
  </si>
  <si>
    <t>=E2315</t>
  </si>
  <si>
    <t>=StartDate-$M2317+1</t>
  </si>
  <si>
    <t>=SUM(P2317:T2317)</t>
  </si>
  <si>
    <t>=IF($M2317&gt;=$P$18,U2317,0)</t>
  </si>
  <si>
    <t>=IF(AND($M2317&gt;=$Q$16,$M2317&lt;=$Q$18),U2317,0)</t>
  </si>
  <si>
    <t>=IF(AND($M2317&gt;=$R$16,$M2317&lt;=$R$18),U2317,0)</t>
  </si>
  <si>
    <t>=IF(AND($M2317&gt;=$S$16,$M2317&lt;=$S$18),U2317,0)</t>
  </si>
  <si>
    <t>=IF($M2317&lt;=$T$18,U2317,0)</t>
  </si>
  <si>
    <t>="""NAV Direct"",""CRONUS JetCorp USA"",""21"",""1"",""312134"""</t>
  </si>
  <si>
    <t>=E2316</t>
  </si>
  <si>
    <t>=StartDate-$M2318+1</t>
  </si>
  <si>
    <t>=SUM(P2318:T2318)</t>
  </si>
  <si>
    <t>=IF($M2318&gt;=$P$18,U2318,0)</t>
  </si>
  <si>
    <t>=IF(AND($M2318&gt;=$Q$16,$M2318&lt;=$Q$18),U2318,0)</t>
  </si>
  <si>
    <t>=IF(AND($M2318&gt;=$R$16,$M2318&lt;=$R$18),U2318,0)</t>
  </si>
  <si>
    <t>=IF(AND($M2318&gt;=$S$16,$M2318&lt;=$S$18),U2318,0)</t>
  </si>
  <si>
    <t>=IF($M2318&lt;=$T$18,U2318,0)</t>
  </si>
  <si>
    <t>="""NAV Direct"",""CRONUS JetCorp USA"",""21"",""1"",""312217"""</t>
  </si>
  <si>
    <t>=E2317</t>
  </si>
  <si>
    <t>=StartDate-$M2319+1</t>
  </si>
  <si>
    <t>=SUM(P2319:T2319)</t>
  </si>
  <si>
    <t>=IF($M2319&gt;=$P$18,U2319,0)</t>
  </si>
  <si>
    <t>=IF(AND($M2319&gt;=$Q$16,$M2319&lt;=$Q$18),U2319,0)</t>
  </si>
  <si>
    <t>=IF(AND($M2319&gt;=$R$16,$M2319&lt;=$R$18),U2319,0)</t>
  </si>
  <si>
    <t>=IF(AND($M2319&gt;=$S$16,$M2319&lt;=$S$18),U2319,0)</t>
  </si>
  <si>
    <t>=IF($M2319&lt;=$T$18,U2319,0)</t>
  </si>
  <si>
    <t>="""NAV Direct"",""CRONUS JetCorp USA"",""21"",""1"",""312271"""</t>
  </si>
  <si>
    <t>=E2318</t>
  </si>
  <si>
    <t>=StartDate-$M2320+1</t>
  </si>
  <si>
    <t>=SUM(P2320:T2320)</t>
  </si>
  <si>
    <t>=IF($M2320&gt;=$P$18,U2320,0)</t>
  </si>
  <si>
    <t>=IF(AND($M2320&gt;=$Q$16,$M2320&lt;=$Q$18),U2320,0)</t>
  </si>
  <si>
    <t>=IF(AND($M2320&gt;=$R$16,$M2320&lt;=$R$18),U2320,0)</t>
  </si>
  <si>
    <t>=IF(AND($M2320&gt;=$S$16,$M2320&lt;=$S$18),U2320,0)</t>
  </si>
  <si>
    <t>=IF($M2320&lt;=$T$18,U2320,0)</t>
  </si>
  <si>
    <t>="""NAV Direct"",""CRONUS JetCorp USA"",""21"",""1"",""312548"""</t>
  </si>
  <si>
    <t>=E2319</t>
  </si>
  <si>
    <t>=StartDate-$M2321+1</t>
  </si>
  <si>
    <t>=SUM(P2321:T2321)</t>
  </si>
  <si>
    <t>=IF($M2321&gt;=$P$18,U2321,0)</t>
  </si>
  <si>
    <t>=IF(AND($M2321&gt;=$Q$16,$M2321&lt;=$Q$18),U2321,0)</t>
  </si>
  <si>
    <t>=IF(AND($M2321&gt;=$R$16,$M2321&lt;=$R$18),U2321,0)</t>
  </si>
  <si>
    <t>=IF(AND($M2321&gt;=$S$16,$M2321&lt;=$S$18),U2321,0)</t>
  </si>
  <si>
    <t>=IF($M2321&lt;=$T$18,U2321,0)</t>
  </si>
  <si>
    <t>="""NAV Direct"",""CRONUS JetCorp USA"",""21"",""1"",""312814"""</t>
  </si>
  <si>
    <t>=E2320</t>
  </si>
  <si>
    <t>=StartDate-$M2322+1</t>
  </si>
  <si>
    <t>=SUM(P2322:T2322)</t>
  </si>
  <si>
    <t>=IF($M2322&gt;=$P$18,U2322,0)</t>
  </si>
  <si>
    <t>=IF(AND($M2322&gt;=$Q$16,$M2322&lt;=$Q$18),U2322,0)</t>
  </si>
  <si>
    <t>=IF(AND($M2322&gt;=$R$16,$M2322&lt;=$R$18),U2322,0)</t>
  </si>
  <si>
    <t>=IF(AND($M2322&gt;=$S$16,$M2322&lt;=$S$18),U2322,0)</t>
  </si>
  <si>
    <t>=IF($M2322&lt;=$T$18,U2322,0)</t>
  </si>
  <si>
    <t>="""NAV Direct"",""CRONUS JetCorp USA"",""21"",""1"",""313111"""</t>
  </si>
  <si>
    <t>=E2321</t>
  </si>
  <si>
    <t>=StartDate-$M2323+1</t>
  </si>
  <si>
    <t>=SUM(P2323:T2323)</t>
  </si>
  <si>
    <t>=IF($M2323&gt;=$P$18,U2323,0)</t>
  </si>
  <si>
    <t>=IF(AND($M2323&gt;=$Q$16,$M2323&lt;=$Q$18),U2323,0)</t>
  </si>
  <si>
    <t>=IF(AND($M2323&gt;=$R$16,$M2323&lt;=$R$18),U2323,0)</t>
  </si>
  <si>
    <t>=IF(AND($M2323&gt;=$S$16,$M2323&lt;=$S$18),U2323,0)</t>
  </si>
  <si>
    <t>=IF($M2323&lt;=$T$18,U2323,0)</t>
  </si>
  <si>
    <t>="""NAV Direct"",""CRONUS JetCorp USA"",""21"",""1"",""313423"""</t>
  </si>
  <si>
    <t>=E2322</t>
  </si>
  <si>
    <t>=StartDate-$M2324+1</t>
  </si>
  <si>
    <t>=SUM(P2324:T2324)</t>
  </si>
  <si>
    <t>=IF($M2324&gt;=$P$18,U2324,0)</t>
  </si>
  <si>
    <t>=IF(AND($M2324&gt;=$Q$16,$M2324&lt;=$Q$18),U2324,0)</t>
  </si>
  <si>
    <t>=IF(AND($M2324&gt;=$R$16,$M2324&lt;=$R$18),U2324,0)</t>
  </si>
  <si>
    <t>=IF(AND($M2324&gt;=$S$16,$M2324&lt;=$S$18),U2324,0)</t>
  </si>
  <si>
    <t>=IF($M2324&lt;=$T$18,U2324,0)</t>
  </si>
  <si>
    <t>="""NAV Direct"",""CRONUS JetCorp USA"",""21"",""1"",""429271"""</t>
  </si>
  <si>
    <t>=E2323</t>
  </si>
  <si>
    <t>=StartDate-$M2325+1</t>
  </si>
  <si>
    <t>=SUM(P2325:T2325)</t>
  </si>
  <si>
    <t>=IF($M2325&gt;=$P$18,U2325,0)</t>
  </si>
  <si>
    <t>=IF(AND($M2325&gt;=$Q$16,$M2325&lt;=$Q$18),U2325,0)</t>
  </si>
  <si>
    <t>=IF(AND($M2325&gt;=$R$16,$M2325&lt;=$R$18),U2325,0)</t>
  </si>
  <si>
    <t>=IF(AND($M2325&gt;=$S$16,$M2325&lt;=$S$18),U2325,0)</t>
  </si>
  <si>
    <t>=IF($M2325&lt;=$T$18,U2325,0)</t>
  </si>
  <si>
    <t>="""NAV Direct"",""CRONUS JetCorp USA"",""21"",""1"",""429362"""</t>
  </si>
  <si>
    <t>=E2324</t>
  </si>
  <si>
    <t>=StartDate-$M2326+1</t>
  </si>
  <si>
    <t>=SUM(P2326:T2326)</t>
  </si>
  <si>
    <t>=IF($M2326&gt;=$P$18,U2326,0)</t>
  </si>
  <si>
    <t>=IF(AND($M2326&gt;=$Q$16,$M2326&lt;=$Q$18),U2326,0)</t>
  </si>
  <si>
    <t>=IF(AND($M2326&gt;=$R$16,$M2326&lt;=$R$18),U2326,0)</t>
  </si>
  <si>
    <t>=IF(AND($M2326&gt;=$S$16,$M2326&lt;=$S$18),U2326,0)</t>
  </si>
  <si>
    <t>=IF($M2326&lt;=$T$18,U2326,0)</t>
  </si>
  <si>
    <t>="""NAV Direct"",""CRONUS JetCorp USA"",""21"",""1"",""429528"""</t>
  </si>
  <si>
    <t>=E2325</t>
  </si>
  <si>
    <t>=StartDate-$M2327+1</t>
  </si>
  <si>
    <t>=SUM(P2327:T2327)</t>
  </si>
  <si>
    <t>=IF($M2327&gt;=$P$18,U2327,0)</t>
  </si>
  <si>
    <t>=IF(AND($M2327&gt;=$Q$16,$M2327&lt;=$Q$18),U2327,0)</t>
  </si>
  <si>
    <t>=IF(AND($M2327&gt;=$R$16,$M2327&lt;=$R$18),U2327,0)</t>
  </si>
  <si>
    <t>=IF(AND($M2327&gt;=$S$16,$M2327&lt;=$S$18),U2327,0)</t>
  </si>
  <si>
    <t>=IF($M2327&lt;=$T$18,U2327,0)</t>
  </si>
  <si>
    <t>="""NAV Direct"",""CRONUS JetCorp USA"",""21"",""1"",""429552"""</t>
  </si>
  <si>
    <t>=E2326</t>
  </si>
  <si>
    <t>=StartDate-$M2328+1</t>
  </si>
  <si>
    <t>=SUM(P2328:T2328)</t>
  </si>
  <si>
    <t>=IF($M2328&gt;=$P$18,U2328,0)</t>
  </si>
  <si>
    <t>=IF(AND($M2328&gt;=$Q$16,$M2328&lt;=$Q$18),U2328,0)</t>
  </si>
  <si>
    <t>=IF(AND($M2328&gt;=$R$16,$M2328&lt;=$R$18),U2328,0)</t>
  </si>
  <si>
    <t>=IF(AND($M2328&gt;=$S$16,$M2328&lt;=$S$18),U2328,0)</t>
  </si>
  <si>
    <t>=IF($M2328&lt;=$T$18,U2328,0)</t>
  </si>
  <si>
    <t>="""NAV Direct"",""CRONUS JetCorp USA"",""21"",""1"",""429595"""</t>
  </si>
  <si>
    <t>=E2327</t>
  </si>
  <si>
    <t>=StartDate-$M2329+1</t>
  </si>
  <si>
    <t>=SUM(P2329:T2329)</t>
  </si>
  <si>
    <t>=IF($M2329&gt;=$P$18,U2329,0)</t>
  </si>
  <si>
    <t>=IF(AND($M2329&gt;=$Q$16,$M2329&lt;=$Q$18),U2329,0)</t>
  </si>
  <si>
    <t>=IF(AND($M2329&gt;=$R$16,$M2329&lt;=$R$18),U2329,0)</t>
  </si>
  <si>
    <t>=IF(AND($M2329&gt;=$S$16,$M2329&lt;=$S$18),U2329,0)</t>
  </si>
  <si>
    <t>=IF($M2329&lt;=$T$18,U2329,0)</t>
  </si>
  <si>
    <t>="""NAV Direct"",""CRONUS JetCorp USA"",""21"",""1"",""429638"""</t>
  </si>
  <si>
    <t>=E2328</t>
  </si>
  <si>
    <t>=StartDate-$M2330+1</t>
  </si>
  <si>
    <t>=SUM(P2330:T2330)</t>
  </si>
  <si>
    <t>=IF($M2330&gt;=$P$18,U2330,0)</t>
  </si>
  <si>
    <t>=IF(AND($M2330&gt;=$Q$16,$M2330&lt;=$Q$18),U2330,0)</t>
  </si>
  <si>
    <t>=IF(AND($M2330&gt;=$R$16,$M2330&lt;=$R$18),U2330,0)</t>
  </si>
  <si>
    <t>=IF(AND($M2330&gt;=$S$16,$M2330&lt;=$S$18),U2330,0)</t>
  </si>
  <si>
    <t>=IF($M2330&lt;=$T$18,U2330,0)</t>
  </si>
  <si>
    <t>="""NAV Direct"",""CRONUS JetCorp USA"",""21"",""1"",""429647"""</t>
  </si>
  <si>
    <t>=E2329</t>
  </si>
  <si>
    <t>=StartDate-$M2331+1</t>
  </si>
  <si>
    <t>=SUM(P2331:T2331)</t>
  </si>
  <si>
    <t>=IF($M2331&gt;=$P$18,U2331,0)</t>
  </si>
  <si>
    <t>=IF(AND($M2331&gt;=$Q$16,$M2331&lt;=$Q$18),U2331,0)</t>
  </si>
  <si>
    <t>=IF(AND($M2331&gt;=$R$16,$M2331&lt;=$R$18),U2331,0)</t>
  </si>
  <si>
    <t>=IF(AND($M2331&gt;=$S$16,$M2331&lt;=$S$18),U2331,0)</t>
  </si>
  <si>
    <t>=IF($M2331&lt;=$T$18,U2331,0)</t>
  </si>
  <si>
    <t>="""NAV Direct"",""CRONUS JetCorp USA"",""21"",""1"",""429738"""</t>
  </si>
  <si>
    <t>=E2330</t>
  </si>
  <si>
    <t>=StartDate-$M2332+1</t>
  </si>
  <si>
    <t>=SUM(P2332:T2332)</t>
  </si>
  <si>
    <t>=IF($M2332&gt;=$P$18,U2332,0)</t>
  </si>
  <si>
    <t>=IF(AND($M2332&gt;=$Q$16,$M2332&lt;=$Q$18),U2332,0)</t>
  </si>
  <si>
    <t>=IF(AND($M2332&gt;=$R$16,$M2332&lt;=$R$18),U2332,0)</t>
  </si>
  <si>
    <t>=IF(AND($M2332&gt;=$S$16,$M2332&lt;=$S$18),U2332,0)</t>
  </si>
  <si>
    <t>=IF($M2332&lt;=$T$18,U2332,0)</t>
  </si>
  <si>
    <t>="""NAV Direct"",""CRONUS JetCorp USA"",""21"",""1"",""429766"""</t>
  </si>
  <si>
    <t>=E2331</t>
  </si>
  <si>
    <t>=StartDate-$M2333+1</t>
  </si>
  <si>
    <t>=SUM(P2333:T2333)</t>
  </si>
  <si>
    <t>=IF($M2333&gt;=$P$18,U2333,0)</t>
  </si>
  <si>
    <t>=IF(AND($M2333&gt;=$Q$16,$M2333&lt;=$Q$18),U2333,0)</t>
  </si>
  <si>
    <t>=IF(AND($M2333&gt;=$R$16,$M2333&lt;=$R$18),U2333,0)</t>
  </si>
  <si>
    <t>=IF(AND($M2333&gt;=$S$16,$M2333&lt;=$S$18),U2333,0)</t>
  </si>
  <si>
    <t>=IF($M2333&lt;=$T$18,U2333,0)</t>
  </si>
  <si>
    <t>="""NAV Direct"",""CRONUS JetCorp USA"",""21"",""1"",""429777"""</t>
  </si>
  <si>
    <t>=E2332</t>
  </si>
  <si>
    <t>=StartDate-$M2334+1</t>
  </si>
  <si>
    <t>=SUM(P2334:T2334)</t>
  </si>
  <si>
    <t>=IF($M2334&gt;=$P$18,U2334,0)</t>
  </si>
  <si>
    <t>=IF(AND($M2334&gt;=$Q$16,$M2334&lt;=$Q$18),U2334,0)</t>
  </si>
  <si>
    <t>=IF(AND($M2334&gt;=$R$16,$M2334&lt;=$R$18),U2334,0)</t>
  </si>
  <si>
    <t>=IF(AND($M2334&gt;=$S$16,$M2334&lt;=$S$18),U2334,0)</t>
  </si>
  <si>
    <t>=IF($M2334&lt;=$T$18,U2334,0)</t>
  </si>
  <si>
    <t>="""NAV Direct"",""CRONUS JetCorp USA"",""21"",""1"",""429820"""</t>
  </si>
  <si>
    <t>=E2333</t>
  </si>
  <si>
    <t>=StartDate-$M2335+1</t>
  </si>
  <si>
    <t>=SUM(P2335:T2335)</t>
  </si>
  <si>
    <t>=IF($M2335&gt;=$P$18,U2335,0)</t>
  </si>
  <si>
    <t>=IF(AND($M2335&gt;=$Q$16,$M2335&lt;=$Q$18),U2335,0)</t>
  </si>
  <si>
    <t>=IF(AND($M2335&gt;=$R$16,$M2335&lt;=$R$18),U2335,0)</t>
  </si>
  <si>
    <t>=IF(AND($M2335&gt;=$S$16,$M2335&lt;=$S$18),U2335,0)</t>
  </si>
  <si>
    <t>=IF($M2335&lt;=$T$18,U2335,0)</t>
  </si>
  <si>
    <t>="""NAV Direct"",""CRONUS JetCorp USA"",""21"",""1"",""429867"""</t>
  </si>
  <si>
    <t>=E2334</t>
  </si>
  <si>
    <t>=StartDate-$M2336+1</t>
  </si>
  <si>
    <t>=SUM(P2336:T2336)</t>
  </si>
  <si>
    <t>=IF($M2336&gt;=$P$18,U2336,0)</t>
  </si>
  <si>
    <t>=IF(AND($M2336&gt;=$Q$16,$M2336&lt;=$Q$18),U2336,0)</t>
  </si>
  <si>
    <t>=IF(AND($M2336&gt;=$R$16,$M2336&lt;=$R$18),U2336,0)</t>
  </si>
  <si>
    <t>=IF(AND($M2336&gt;=$S$16,$M2336&lt;=$S$18),U2336,0)</t>
  </si>
  <si>
    <t>=IF($M2336&lt;=$T$18,U2336,0)</t>
  </si>
  <si>
    <t>="""NAV Direct"",""CRONUS JetCorp USA"",""21"",""1"",""429889"""</t>
  </si>
  <si>
    <t>=E2335</t>
  </si>
  <si>
    <t>=StartDate-$M2337+1</t>
  </si>
  <si>
    <t>=SUM(P2337:T2337)</t>
  </si>
  <si>
    <t>=IF($M2337&gt;=$P$18,U2337,0)</t>
  </si>
  <si>
    <t>=IF(AND($M2337&gt;=$Q$16,$M2337&lt;=$Q$18),U2337,0)</t>
  </si>
  <si>
    <t>=IF(AND($M2337&gt;=$R$16,$M2337&lt;=$R$18),U2337,0)</t>
  </si>
  <si>
    <t>=IF(AND($M2337&gt;=$S$16,$M2337&lt;=$S$18),U2337,0)</t>
  </si>
  <si>
    <t>=IF($M2337&lt;=$T$18,U2337,0)</t>
  </si>
  <si>
    <t>="""NAV Direct"",""CRONUS JetCorp USA"",""21"",""1"",""429975"""</t>
  </si>
  <si>
    <t>=E2336</t>
  </si>
  <si>
    <t>=StartDate-$M2338+1</t>
  </si>
  <si>
    <t>=SUM(P2338:T2338)</t>
  </si>
  <si>
    <t>=IF($M2338&gt;=$P$18,U2338,0)</t>
  </si>
  <si>
    <t>=IF(AND($M2338&gt;=$Q$16,$M2338&lt;=$Q$18),U2338,0)</t>
  </si>
  <si>
    <t>=IF(AND($M2338&gt;=$R$16,$M2338&lt;=$R$18),U2338,0)</t>
  </si>
  <si>
    <t>=IF(AND($M2338&gt;=$S$16,$M2338&lt;=$S$18),U2338,0)</t>
  </si>
  <si>
    <t>=IF($M2338&lt;=$T$18,U2338,0)</t>
  </si>
  <si>
    <t>="""NAV Direct"",""CRONUS JetCorp USA"",""21"",""1"",""430003"""</t>
  </si>
  <si>
    <t>=E2337</t>
  </si>
  <si>
    <t>=StartDate-$M2339+1</t>
  </si>
  <si>
    <t>=SUM(P2339:T2339)</t>
  </si>
  <si>
    <t>=IF($M2339&gt;=$P$18,U2339,0)</t>
  </si>
  <si>
    <t>=IF(AND($M2339&gt;=$Q$16,$M2339&lt;=$Q$18),U2339,0)</t>
  </si>
  <si>
    <t>=IF(AND($M2339&gt;=$R$16,$M2339&lt;=$R$18),U2339,0)</t>
  </si>
  <si>
    <t>=IF(AND($M2339&gt;=$S$16,$M2339&lt;=$S$18),U2339,0)</t>
  </si>
  <si>
    <t>=IF($M2339&lt;=$T$18,U2339,0)</t>
  </si>
  <si>
    <t>="""NAV Direct"",""CRONUS JetCorp USA"",""21"",""1"",""430031"""</t>
  </si>
  <si>
    <t>=E2338</t>
  </si>
  <si>
    <t>=StartDate-$M2340+1</t>
  </si>
  <si>
    <t>=SUM(P2340:T2340)</t>
  </si>
  <si>
    <t>=IF($M2340&gt;=$P$18,U2340,0)</t>
  </si>
  <si>
    <t>=IF(AND($M2340&gt;=$Q$16,$M2340&lt;=$Q$18),U2340,0)</t>
  </si>
  <si>
    <t>=IF(AND($M2340&gt;=$R$16,$M2340&lt;=$R$18),U2340,0)</t>
  </si>
  <si>
    <t>=IF(AND($M2340&gt;=$S$16,$M2340&lt;=$S$18),U2340,0)</t>
  </si>
  <si>
    <t>=IF($M2340&lt;=$T$18,U2340,0)</t>
  </si>
  <si>
    <t>="""NAV Direct"",""CRONUS JetCorp USA"",""21"",""1"",""430229"""</t>
  </si>
  <si>
    <t>=E2339</t>
  </si>
  <si>
    <t>=StartDate-$M2341+1</t>
  </si>
  <si>
    <t>=SUM(P2341:T2341)</t>
  </si>
  <si>
    <t>=IF($M2341&gt;=$P$18,U2341,0)</t>
  </si>
  <si>
    <t>=IF(AND($M2341&gt;=$Q$16,$M2341&lt;=$Q$18),U2341,0)</t>
  </si>
  <si>
    <t>=IF(AND($M2341&gt;=$R$16,$M2341&lt;=$R$18),U2341,0)</t>
  </si>
  <si>
    <t>=IF(AND($M2341&gt;=$S$16,$M2341&lt;=$S$18),U2341,0)</t>
  </si>
  <si>
    <t>=IF($M2341&lt;=$T$18,U2341,0)</t>
  </si>
  <si>
    <t>="""NAV Direct"",""CRONUS JetCorp USA"",""21"",""1"",""430291"""</t>
  </si>
  <si>
    <t>=E2340</t>
  </si>
  <si>
    <t>=StartDate-$M2342+1</t>
  </si>
  <si>
    <t>=SUM(P2342:T2342)</t>
  </si>
  <si>
    <t>=IF($M2342&gt;=$P$18,U2342,0)</t>
  </si>
  <si>
    <t>=IF(AND($M2342&gt;=$Q$16,$M2342&lt;=$Q$18),U2342,0)</t>
  </si>
  <si>
    <t>=IF(AND($M2342&gt;=$R$16,$M2342&lt;=$R$18),U2342,0)</t>
  </si>
  <si>
    <t>=IF(AND($M2342&gt;=$S$16,$M2342&lt;=$S$18),U2342,0)</t>
  </si>
  <si>
    <t>=IF($M2342&lt;=$T$18,U2342,0)</t>
  </si>
  <si>
    <t>="""NAV Direct"",""CRONUS JetCorp USA"",""18"",""1"",""C100076"""</t>
  </si>
  <si>
    <t>=H2345</t>
  </si>
  <si>
    <t>=NF($C2345,"1 No.")</t>
  </si>
  <si>
    <t>=NF($C2345,"1 No.")&amp;"  -  "&amp;NF($C2345,"2 Name")</t>
  </si>
  <si>
    <t>=IFERROR(O2345/NF(C2345,"Credit Limit (LCY)"),"")</t>
  </si>
  <si>
    <t>=SUBTOTAL(3,L2346:L2406)</t>
  </si>
  <si>
    <t>=SUBTOTAL(9,O2346:O2406)</t>
  </si>
  <si>
    <t>=SUBTOTAL(9,P2346:P2406)</t>
  </si>
  <si>
    <t>=SUBTOTAL(9,Q2346:Q2406)</t>
  </si>
  <si>
    <t>=SUBTOTAL(9,R2346:R2406)</t>
  </si>
  <si>
    <t>=SUBTOTAL(9,S2346:S2406)</t>
  </si>
  <si>
    <t>=SUBTOTAL(9,T2346:T2406)</t>
  </si>
  <si>
    <t>=C2345</t>
  </si>
  <si>
    <t>=E2345</t>
  </si>
  <si>
    <t>="Contact: "&amp;NF($C2346,"8 Contact")</t>
  </si>
  <si>
    <t>=C2346</t>
  </si>
  <si>
    <t>=E2346</t>
  </si>
  <si>
    <t>=NF($C2347,"102 E-Mail")</t>
  </si>
  <si>
    <t>=NL("Rows","21 Cust. Ledger Entry",,"3 Customer No.","@@"&amp;$E2349,"16 Remaining Amt. (LCY)","&lt;&gt;0")</t>
  </si>
  <si>
    <t>=E2347</t>
  </si>
  <si>
    <t>=StartDate-$M2349+1</t>
  </si>
  <si>
    <t>=SUM(P2349:T2349)</t>
  </si>
  <si>
    <t>=IF($M2349&gt;=$P$18,U2349,0)</t>
  </si>
  <si>
    <t>=IF(AND($M2349&gt;=$Q$16,$M2349&lt;=$Q$18),U2349,0)</t>
  </si>
  <si>
    <t>=IF(AND($M2349&gt;=$R$16,$M2349&lt;=$R$18),U2349,0)</t>
  </si>
  <si>
    <t>=IF(AND($M2349&gt;=$S$16,$M2349&lt;=$S$18),U2349,0)</t>
  </si>
  <si>
    <t>=IF($M2349&lt;=$T$18,U2349,0)</t>
  </si>
  <si>
    <t>="""NAV Direct"",""CRONUS JetCorp USA"",""21"",""1"",""22993"""</t>
  </si>
  <si>
    <t>=E2348</t>
  </si>
  <si>
    <t>=StartDate-$M2350+1</t>
  </si>
  <si>
    <t>=SUM(P2350:T2350)</t>
  </si>
  <si>
    <t>=IF($M2350&gt;=$P$18,U2350,0)</t>
  </si>
  <si>
    <t>=IF(AND($M2350&gt;=$Q$16,$M2350&lt;=$Q$18),U2350,0)</t>
  </si>
  <si>
    <t>=IF(AND($M2350&gt;=$R$16,$M2350&lt;=$R$18),U2350,0)</t>
  </si>
  <si>
    <t>=IF(AND($M2350&gt;=$S$16,$M2350&lt;=$S$18),U2350,0)</t>
  </si>
  <si>
    <t>=IF($M2350&lt;=$T$18,U2350,0)</t>
  </si>
  <si>
    <t>="""NAV Direct"",""CRONUS JetCorp USA"",""21"",""1"",""313832"""</t>
  </si>
  <si>
    <t>=E2349</t>
  </si>
  <si>
    <t>=StartDate-$M2351+1</t>
  </si>
  <si>
    <t>=SUM(P2351:T2351)</t>
  </si>
  <si>
    <t>=IF($M2351&gt;=$P$18,U2351,0)</t>
  </si>
  <si>
    <t>=IF(AND($M2351&gt;=$Q$16,$M2351&lt;=$Q$18),U2351,0)</t>
  </si>
  <si>
    <t>=IF(AND($M2351&gt;=$R$16,$M2351&lt;=$R$18),U2351,0)</t>
  </si>
  <si>
    <t>=IF(AND($M2351&gt;=$S$16,$M2351&lt;=$S$18),U2351,0)</t>
  </si>
  <si>
    <t>=IF($M2351&lt;=$T$18,U2351,0)</t>
  </si>
  <si>
    <t>="""NAV Direct"",""CRONUS JetCorp USA"",""21"",""1"",""313941"""</t>
  </si>
  <si>
    <t>=E2350</t>
  </si>
  <si>
    <t>=StartDate-$M2352+1</t>
  </si>
  <si>
    <t>=SUM(P2352:T2352)</t>
  </si>
  <si>
    <t>=IF($M2352&gt;=$P$18,U2352,0)</t>
  </si>
  <si>
    <t>=IF(AND($M2352&gt;=$Q$16,$M2352&lt;=$Q$18),U2352,0)</t>
  </si>
  <si>
    <t>=IF(AND($M2352&gt;=$R$16,$M2352&lt;=$R$18),U2352,0)</t>
  </si>
  <si>
    <t>=IF(AND($M2352&gt;=$S$16,$M2352&lt;=$S$18),U2352,0)</t>
  </si>
  <si>
    <t>=IF($M2352&lt;=$T$18,U2352,0)</t>
  </si>
  <si>
    <t>="""NAV Direct"",""CRONUS JetCorp USA"",""21"",""1"",""314043"""</t>
  </si>
  <si>
    <t>=E2351</t>
  </si>
  <si>
    <t>=StartDate-$M2353+1</t>
  </si>
  <si>
    <t>=SUM(P2353:T2353)</t>
  </si>
  <si>
    <t>=IF($M2353&gt;=$P$18,U2353,0)</t>
  </si>
  <si>
    <t>=IF(AND($M2353&gt;=$Q$16,$M2353&lt;=$Q$18),U2353,0)</t>
  </si>
  <si>
    <t>=IF(AND($M2353&gt;=$R$16,$M2353&lt;=$R$18),U2353,0)</t>
  </si>
  <si>
    <t>=IF(AND($M2353&gt;=$S$16,$M2353&lt;=$S$18),U2353,0)</t>
  </si>
  <si>
    <t>=IF($M2353&lt;=$T$18,U2353,0)</t>
  </si>
  <si>
    <t>="""NAV Direct"",""CRONUS JetCorp USA"",""21"",""1"",""314112"""</t>
  </si>
  <si>
    <t>=E2352</t>
  </si>
  <si>
    <t>=StartDate-$M2354+1</t>
  </si>
  <si>
    <t>=SUM(P2354:T2354)</t>
  </si>
  <si>
    <t>=IF($M2354&gt;=$P$18,U2354,0)</t>
  </si>
  <si>
    <t>=IF(AND($M2354&gt;=$Q$16,$M2354&lt;=$Q$18),U2354,0)</t>
  </si>
  <si>
    <t>=IF(AND($M2354&gt;=$R$16,$M2354&lt;=$R$18),U2354,0)</t>
  </si>
  <si>
    <t>=IF(AND($M2354&gt;=$S$16,$M2354&lt;=$S$18),U2354,0)</t>
  </si>
  <si>
    <t>=IF($M2354&lt;=$T$18,U2354,0)</t>
  </si>
  <si>
    <t>="""NAV Direct"",""CRONUS JetCorp USA"",""21"",""1"",""314389"""</t>
  </si>
  <si>
    <t>=E2353</t>
  </si>
  <si>
    <t>=StartDate-$M2355+1</t>
  </si>
  <si>
    <t>=SUM(P2355:T2355)</t>
  </si>
  <si>
    <t>=IF($M2355&gt;=$P$18,U2355,0)</t>
  </si>
  <si>
    <t>=IF(AND($M2355&gt;=$Q$16,$M2355&lt;=$Q$18),U2355,0)</t>
  </si>
  <si>
    <t>=IF(AND($M2355&gt;=$R$16,$M2355&lt;=$R$18),U2355,0)</t>
  </si>
  <si>
    <t>=IF(AND($M2355&gt;=$S$16,$M2355&lt;=$S$18),U2355,0)</t>
  </si>
  <si>
    <t>=IF($M2355&lt;=$T$18,U2355,0)</t>
  </si>
  <si>
    <t>="""NAV Direct"",""CRONUS JetCorp USA"",""21"",""1"",""314410"""</t>
  </si>
  <si>
    <t>=E2354</t>
  </si>
  <si>
    <t>=StartDate-$M2356+1</t>
  </si>
  <si>
    <t>=SUM(P2356:T2356)</t>
  </si>
  <si>
    <t>=IF($M2356&gt;=$P$18,U2356,0)</t>
  </si>
  <si>
    <t>=IF(AND($M2356&gt;=$Q$16,$M2356&lt;=$Q$18),U2356,0)</t>
  </si>
  <si>
    <t>=IF(AND($M2356&gt;=$R$16,$M2356&lt;=$R$18),U2356,0)</t>
  </si>
  <si>
    <t>=IF(AND($M2356&gt;=$S$16,$M2356&lt;=$S$18),U2356,0)</t>
  </si>
  <si>
    <t>=IF($M2356&lt;=$T$18,U2356,0)</t>
  </si>
  <si>
    <t>="""NAV Direct"",""CRONUS JetCorp USA"",""21"",""1"",""314491"""</t>
  </si>
  <si>
    <t>=E2355</t>
  </si>
  <si>
    <t>=StartDate-$M2357+1</t>
  </si>
  <si>
    <t>=SUM(P2357:T2357)</t>
  </si>
  <si>
    <t>=IF($M2357&gt;=$P$18,U2357,0)</t>
  </si>
  <si>
    <t>=IF(AND($M2357&gt;=$Q$16,$M2357&lt;=$Q$18),U2357,0)</t>
  </si>
  <si>
    <t>=IF(AND($M2357&gt;=$R$16,$M2357&lt;=$R$18),U2357,0)</t>
  </si>
  <si>
    <t>=IF(AND($M2357&gt;=$S$16,$M2357&lt;=$S$18),U2357,0)</t>
  </si>
  <si>
    <t>=IF($M2357&lt;=$T$18,U2357,0)</t>
  </si>
  <si>
    <t>="""NAV Direct"",""CRONUS JetCorp USA"",""21"",""1"",""314570"""</t>
  </si>
  <si>
    <t>=E2356</t>
  </si>
  <si>
    <t>=StartDate-$M2358+1</t>
  </si>
  <si>
    <t>=SUM(P2358:T2358)</t>
  </si>
  <si>
    <t>=IF($M2358&gt;=$P$18,U2358,0)</t>
  </si>
  <si>
    <t>=IF(AND($M2358&gt;=$Q$16,$M2358&lt;=$Q$18),U2358,0)</t>
  </si>
  <si>
    <t>=IF(AND($M2358&gt;=$R$16,$M2358&lt;=$R$18),U2358,0)</t>
  </si>
  <si>
    <t>=IF(AND($M2358&gt;=$S$16,$M2358&lt;=$S$18),U2358,0)</t>
  </si>
  <si>
    <t>=IF($M2358&lt;=$T$18,U2358,0)</t>
  </si>
  <si>
    <t>="""NAV Direct"",""CRONUS JetCorp USA"",""21"",""1"",""314595"""</t>
  </si>
  <si>
    <t>=E2357</t>
  </si>
  <si>
    <t>=StartDate-$M2359+1</t>
  </si>
  <si>
    <t>=SUM(P2359:T2359)</t>
  </si>
  <si>
    <t>=IF($M2359&gt;=$P$18,U2359,0)</t>
  </si>
  <si>
    <t>=IF(AND($M2359&gt;=$Q$16,$M2359&lt;=$Q$18),U2359,0)</t>
  </si>
  <si>
    <t>=IF(AND($M2359&gt;=$R$16,$M2359&lt;=$R$18),U2359,0)</t>
  </si>
  <si>
    <t>=IF(AND($M2359&gt;=$S$16,$M2359&lt;=$S$18),U2359,0)</t>
  </si>
  <si>
    <t>=IF($M2359&lt;=$T$18,U2359,0)</t>
  </si>
  <si>
    <t>="""NAV Direct"",""CRONUS JetCorp USA"",""21"",""1"",""314647"""</t>
  </si>
  <si>
    <t>=E2358</t>
  </si>
  <si>
    <t>=StartDate-$M2360+1</t>
  </si>
  <si>
    <t>=SUM(P2360:T2360)</t>
  </si>
  <si>
    <t>=IF($M2360&gt;=$P$18,U2360,0)</t>
  </si>
  <si>
    <t>=IF(AND($M2360&gt;=$Q$16,$M2360&lt;=$Q$18),U2360,0)</t>
  </si>
  <si>
    <t>=IF(AND($M2360&gt;=$R$16,$M2360&lt;=$R$18),U2360,0)</t>
  </si>
  <si>
    <t>=IF(AND($M2360&gt;=$S$16,$M2360&lt;=$S$18),U2360,0)</t>
  </si>
  <si>
    <t>=IF($M2360&lt;=$T$18,U2360,0)</t>
  </si>
  <si>
    <t>="""NAV Direct"",""CRONUS JetCorp USA"",""21"",""1"",""314676"""</t>
  </si>
  <si>
    <t>=E2359</t>
  </si>
  <si>
    <t>=StartDate-$M2361+1</t>
  </si>
  <si>
    <t>=SUM(P2361:T2361)</t>
  </si>
  <si>
    <t>=IF($M2361&gt;=$P$18,U2361,0)</t>
  </si>
  <si>
    <t>=IF(AND($M2361&gt;=$Q$16,$M2361&lt;=$Q$18),U2361,0)</t>
  </si>
  <si>
    <t>=IF(AND($M2361&gt;=$R$16,$M2361&lt;=$R$18),U2361,0)</t>
  </si>
  <si>
    <t>=IF(AND($M2361&gt;=$S$16,$M2361&lt;=$S$18),U2361,0)</t>
  </si>
  <si>
    <t>=IF($M2361&lt;=$T$18,U2361,0)</t>
  </si>
  <si>
    <t>="""NAV Direct"",""CRONUS JetCorp USA"",""21"",""1"",""314989"""</t>
  </si>
  <si>
    <t>=E2360</t>
  </si>
  <si>
    <t>=StartDate-$M2362+1</t>
  </si>
  <si>
    <t>=SUM(P2362:T2362)</t>
  </si>
  <si>
    <t>=IF($M2362&gt;=$P$18,U2362,0)</t>
  </si>
  <si>
    <t>=IF(AND($M2362&gt;=$Q$16,$M2362&lt;=$Q$18),U2362,0)</t>
  </si>
  <si>
    <t>=IF(AND($M2362&gt;=$R$16,$M2362&lt;=$R$18),U2362,0)</t>
  </si>
  <si>
    <t>=IF(AND($M2362&gt;=$S$16,$M2362&lt;=$S$18),U2362,0)</t>
  </si>
  <si>
    <t>=IF($M2362&lt;=$T$18,U2362,0)</t>
  </si>
  <si>
    <t>="""NAV Direct"",""CRONUS JetCorp USA"",""21"",""1"",""315022"""</t>
  </si>
  <si>
    <t>=E2361</t>
  </si>
  <si>
    <t>=StartDate-$M2363+1</t>
  </si>
  <si>
    <t>=SUM(P2363:T2363)</t>
  </si>
  <si>
    <t>=IF($M2363&gt;=$P$18,U2363,0)</t>
  </si>
  <si>
    <t>=IF(AND($M2363&gt;=$Q$16,$M2363&lt;=$Q$18),U2363,0)</t>
  </si>
  <si>
    <t>=IF(AND($M2363&gt;=$R$16,$M2363&lt;=$R$18),U2363,0)</t>
  </si>
  <si>
    <t>=IF(AND($M2363&gt;=$S$16,$M2363&lt;=$S$18),U2363,0)</t>
  </si>
  <si>
    <t>=IF($M2363&lt;=$T$18,U2363,0)</t>
  </si>
  <si>
    <t>="""NAV Direct"",""CRONUS JetCorp USA"",""21"",""1"",""315261"""</t>
  </si>
  <si>
    <t>=E2362</t>
  </si>
  <si>
    <t>=StartDate-$M2364+1</t>
  </si>
  <si>
    <t>=SUM(P2364:T2364)</t>
  </si>
  <si>
    <t>=IF($M2364&gt;=$P$18,U2364,0)</t>
  </si>
  <si>
    <t>=IF(AND($M2364&gt;=$Q$16,$M2364&lt;=$Q$18),U2364,0)</t>
  </si>
  <si>
    <t>=IF(AND($M2364&gt;=$R$16,$M2364&lt;=$R$18),U2364,0)</t>
  </si>
  <si>
    <t>=IF(AND($M2364&gt;=$S$16,$M2364&lt;=$S$18),U2364,0)</t>
  </si>
  <si>
    <t>=IF($M2364&lt;=$T$18,U2364,0)</t>
  </si>
  <si>
    <t>="""NAV Direct"",""CRONUS JetCorp USA"",""21"",""1"",""315838"""</t>
  </si>
  <si>
    <t>=E2363</t>
  </si>
  <si>
    <t>=StartDate-$M2365+1</t>
  </si>
  <si>
    <t>=SUM(P2365:T2365)</t>
  </si>
  <si>
    <t>=IF($M2365&gt;=$P$18,U2365,0)</t>
  </si>
  <si>
    <t>=IF(AND($M2365&gt;=$Q$16,$M2365&lt;=$Q$18),U2365,0)</t>
  </si>
  <si>
    <t>=IF(AND($M2365&gt;=$R$16,$M2365&lt;=$R$18),U2365,0)</t>
  </si>
  <si>
    <t>=IF(AND($M2365&gt;=$S$16,$M2365&lt;=$S$18),U2365,0)</t>
  </si>
  <si>
    <t>=IF($M2365&lt;=$T$18,U2365,0)</t>
  </si>
  <si>
    <t>="""NAV Direct"",""CRONUS JetCorp USA"",""21"",""1"",""316043"""</t>
  </si>
  <si>
    <t>=E2364</t>
  </si>
  <si>
    <t>=StartDate-$M2366+1</t>
  </si>
  <si>
    <t>=SUM(P2366:T2366)</t>
  </si>
  <si>
    <t>=IF($M2366&gt;=$P$18,U2366,0)</t>
  </si>
  <si>
    <t>=IF(AND($M2366&gt;=$Q$16,$M2366&lt;=$Q$18),U2366,0)</t>
  </si>
  <si>
    <t>=IF(AND($M2366&gt;=$R$16,$M2366&lt;=$R$18),U2366,0)</t>
  </si>
  <si>
    <t>=IF(AND($M2366&gt;=$S$16,$M2366&lt;=$S$18),U2366,0)</t>
  </si>
  <si>
    <t>=IF($M2366&lt;=$T$18,U2366,0)</t>
  </si>
  <si>
    <t>="""NAV Direct"",""CRONUS JetCorp USA"",""21"",""1"",""316293"""</t>
  </si>
  <si>
    <t>=E2365</t>
  </si>
  <si>
    <t>=StartDate-$M2367+1</t>
  </si>
  <si>
    <t>=SUM(P2367:T2367)</t>
  </si>
  <si>
    <t>=IF($M2367&gt;=$P$18,U2367,0)</t>
  </si>
  <si>
    <t>=IF(AND($M2367&gt;=$Q$16,$M2367&lt;=$Q$18),U2367,0)</t>
  </si>
  <si>
    <t>=IF(AND($M2367&gt;=$R$16,$M2367&lt;=$R$18),U2367,0)</t>
  </si>
  <si>
    <t>=IF(AND($M2367&gt;=$S$16,$M2367&lt;=$S$18),U2367,0)</t>
  </si>
  <si>
    <t>=IF($M2367&lt;=$T$18,U2367,0)</t>
  </si>
  <si>
    <t>="""NAV Direct"",""CRONUS JetCorp USA"",""21"",""1"",""316591"""</t>
  </si>
  <si>
    <t>=E2366</t>
  </si>
  <si>
    <t>=StartDate-$M2368+1</t>
  </si>
  <si>
    <t>=SUM(P2368:T2368)</t>
  </si>
  <si>
    <t>=IF($M2368&gt;=$P$18,U2368,0)</t>
  </si>
  <si>
    <t>=IF(AND($M2368&gt;=$Q$16,$M2368&lt;=$Q$18),U2368,0)</t>
  </si>
  <si>
    <t>=IF(AND($M2368&gt;=$R$16,$M2368&lt;=$R$18),U2368,0)</t>
  </si>
  <si>
    <t>=IF(AND($M2368&gt;=$S$16,$M2368&lt;=$S$18),U2368,0)</t>
  </si>
  <si>
    <t>=IF($M2368&lt;=$T$18,U2368,0)</t>
  </si>
  <si>
    <t>="""NAV Direct"",""CRONUS JetCorp USA"",""21"",""1"",""316612"""</t>
  </si>
  <si>
    <t>=E2367</t>
  </si>
  <si>
    <t>=StartDate-$M2369+1</t>
  </si>
  <si>
    <t>=SUM(P2369:T2369)</t>
  </si>
  <si>
    <t>=IF($M2369&gt;=$P$18,U2369,0)</t>
  </si>
  <si>
    <t>=IF(AND($M2369&gt;=$Q$16,$M2369&lt;=$Q$18),U2369,0)</t>
  </si>
  <si>
    <t>=IF(AND($M2369&gt;=$R$16,$M2369&lt;=$R$18),U2369,0)</t>
  </si>
  <si>
    <t>=IF(AND($M2369&gt;=$S$16,$M2369&lt;=$S$18),U2369,0)</t>
  </si>
  <si>
    <t>=IF($M2369&lt;=$T$18,U2369,0)</t>
  </si>
  <si>
    <t>="""NAV Direct"",""CRONUS JetCorp USA"",""21"",""1"",""316733"""</t>
  </si>
  <si>
    <t>=E2368</t>
  </si>
  <si>
    <t>=StartDate-$M2370+1</t>
  </si>
  <si>
    <t>=SUM(P2370:T2370)</t>
  </si>
  <si>
    <t>=IF($M2370&gt;=$P$18,U2370,0)</t>
  </si>
  <si>
    <t>=IF(AND($M2370&gt;=$Q$16,$M2370&lt;=$Q$18),U2370,0)</t>
  </si>
  <si>
    <t>=IF(AND($M2370&gt;=$R$16,$M2370&lt;=$R$18),U2370,0)</t>
  </si>
  <si>
    <t>=IF(AND($M2370&gt;=$S$16,$M2370&lt;=$S$18),U2370,0)</t>
  </si>
  <si>
    <t>=IF($M2370&lt;=$T$18,U2370,0)</t>
  </si>
  <si>
    <t>="""NAV Direct"",""CRONUS JetCorp USA"",""21"",""1"",""316906"""</t>
  </si>
  <si>
    <t>=E2369</t>
  </si>
  <si>
    <t>=StartDate-$M2371+1</t>
  </si>
  <si>
    <t>=SUM(P2371:T2371)</t>
  </si>
  <si>
    <t>=IF($M2371&gt;=$P$18,U2371,0)</t>
  </si>
  <si>
    <t>=IF(AND($M2371&gt;=$Q$16,$M2371&lt;=$Q$18),U2371,0)</t>
  </si>
  <si>
    <t>=IF(AND($M2371&gt;=$R$16,$M2371&lt;=$R$18),U2371,0)</t>
  </si>
  <si>
    <t>=IF(AND($M2371&gt;=$S$16,$M2371&lt;=$S$18),U2371,0)</t>
  </si>
  <si>
    <t>=IF($M2371&lt;=$T$18,U2371,0)</t>
  </si>
  <si>
    <t>="""NAV Direct"",""CRONUS JetCorp USA"",""21"",""1"",""316921"""</t>
  </si>
  <si>
    <t>=E2370</t>
  </si>
  <si>
    <t>=StartDate-$M2372+1</t>
  </si>
  <si>
    <t>=SUM(P2372:T2372)</t>
  </si>
  <si>
    <t>=IF($M2372&gt;=$P$18,U2372,0)</t>
  </si>
  <si>
    <t>=IF(AND($M2372&gt;=$Q$16,$M2372&lt;=$Q$18),U2372,0)</t>
  </si>
  <si>
    <t>=IF(AND($M2372&gt;=$R$16,$M2372&lt;=$R$18),U2372,0)</t>
  </si>
  <si>
    <t>=IF(AND($M2372&gt;=$S$16,$M2372&lt;=$S$18),U2372,0)</t>
  </si>
  <si>
    <t>=IF($M2372&lt;=$T$18,U2372,0)</t>
  </si>
  <si>
    <t>="""NAV Direct"",""CRONUS JetCorp USA"",""21"",""1"",""316990"""</t>
  </si>
  <si>
    <t>=E2371</t>
  </si>
  <si>
    <t>=StartDate-$M2373+1</t>
  </si>
  <si>
    <t>=SUM(P2373:T2373)</t>
  </si>
  <si>
    <t>=IF($M2373&gt;=$P$18,U2373,0)</t>
  </si>
  <si>
    <t>=IF(AND($M2373&gt;=$Q$16,$M2373&lt;=$Q$18),U2373,0)</t>
  </si>
  <si>
    <t>=IF(AND($M2373&gt;=$R$16,$M2373&lt;=$R$18),U2373,0)</t>
  </si>
  <si>
    <t>=IF(AND($M2373&gt;=$S$16,$M2373&lt;=$S$18),U2373,0)</t>
  </si>
  <si>
    <t>=IF($M2373&lt;=$T$18,U2373,0)</t>
  </si>
  <si>
    <t>="""NAV Direct"",""CRONUS JetCorp USA"",""21"",""1"",""317136"""</t>
  </si>
  <si>
    <t>=E2372</t>
  </si>
  <si>
    <t>=StartDate-$M2374+1</t>
  </si>
  <si>
    <t>=SUM(P2374:T2374)</t>
  </si>
  <si>
    <t>=IF($M2374&gt;=$P$18,U2374,0)</t>
  </si>
  <si>
    <t>=IF(AND($M2374&gt;=$Q$16,$M2374&lt;=$Q$18),U2374,0)</t>
  </si>
  <si>
    <t>=IF(AND($M2374&gt;=$R$16,$M2374&lt;=$R$18),U2374,0)</t>
  </si>
  <si>
    <t>=IF(AND($M2374&gt;=$S$16,$M2374&lt;=$S$18),U2374,0)</t>
  </si>
  <si>
    <t>=IF($M2374&lt;=$T$18,U2374,0)</t>
  </si>
  <si>
    <t>="""NAV Direct"",""CRONUS JetCorp USA"",""21"",""1"",""317296"""</t>
  </si>
  <si>
    <t>=E2373</t>
  </si>
  <si>
    <t>=StartDate-$M2375+1</t>
  </si>
  <si>
    <t>=SUM(P2375:T2375)</t>
  </si>
  <si>
    <t>=IF($M2375&gt;=$P$18,U2375,0)</t>
  </si>
  <si>
    <t>=IF(AND($M2375&gt;=$Q$16,$M2375&lt;=$Q$18),U2375,0)</t>
  </si>
  <si>
    <t>=IF(AND($M2375&gt;=$R$16,$M2375&lt;=$R$18),U2375,0)</t>
  </si>
  <si>
    <t>=IF(AND($M2375&gt;=$S$16,$M2375&lt;=$S$18),U2375,0)</t>
  </si>
  <si>
    <t>=IF($M2375&lt;=$T$18,U2375,0)</t>
  </si>
  <si>
    <t>="""NAV Direct"",""CRONUS JetCorp USA"",""21"",""1"",""317317"""</t>
  </si>
  <si>
    <t>=E2374</t>
  </si>
  <si>
    <t>=StartDate-$M2376+1</t>
  </si>
  <si>
    <t>=SUM(P2376:T2376)</t>
  </si>
  <si>
    <t>=IF($M2376&gt;=$P$18,U2376,0)</t>
  </si>
  <si>
    <t>=IF(AND($M2376&gt;=$Q$16,$M2376&lt;=$Q$18),U2376,0)</t>
  </si>
  <si>
    <t>=IF(AND($M2376&gt;=$R$16,$M2376&lt;=$R$18),U2376,0)</t>
  </si>
  <si>
    <t>=IF(AND($M2376&gt;=$S$16,$M2376&lt;=$S$18),U2376,0)</t>
  </si>
  <si>
    <t>=IF($M2376&lt;=$T$18,U2376,0)</t>
  </si>
  <si>
    <t>="""NAV Direct"",""CRONUS JetCorp USA"",""21"",""1"",""317631"""</t>
  </si>
  <si>
    <t>=E2375</t>
  </si>
  <si>
    <t>=StartDate-$M2377+1</t>
  </si>
  <si>
    <t>=SUM(P2377:T2377)</t>
  </si>
  <si>
    <t>=IF($M2377&gt;=$P$18,U2377,0)</t>
  </si>
  <si>
    <t>=IF(AND($M2377&gt;=$Q$16,$M2377&lt;=$Q$18),U2377,0)</t>
  </si>
  <si>
    <t>=IF(AND($M2377&gt;=$R$16,$M2377&lt;=$R$18),U2377,0)</t>
  </si>
  <si>
    <t>=IF(AND($M2377&gt;=$S$16,$M2377&lt;=$S$18),U2377,0)</t>
  </si>
  <si>
    <t>=IF($M2377&lt;=$T$18,U2377,0)</t>
  </si>
  <si>
    <t>="""NAV Direct"",""CRONUS JetCorp USA"",""21"",""1"",""317714"""</t>
  </si>
  <si>
    <t>=E2376</t>
  </si>
  <si>
    <t>=StartDate-$M2378+1</t>
  </si>
  <si>
    <t>=SUM(P2378:T2378)</t>
  </si>
  <si>
    <t>=IF($M2378&gt;=$P$18,U2378,0)</t>
  </si>
  <si>
    <t>=IF(AND($M2378&gt;=$Q$16,$M2378&lt;=$Q$18),U2378,0)</t>
  </si>
  <si>
    <t>=IF(AND($M2378&gt;=$R$16,$M2378&lt;=$R$18),U2378,0)</t>
  </si>
  <si>
    <t>=IF(AND($M2378&gt;=$S$16,$M2378&lt;=$S$18),U2378,0)</t>
  </si>
  <si>
    <t>=IF($M2378&lt;=$T$18,U2378,0)</t>
  </si>
  <si>
    <t>="""NAV Direct"",""CRONUS JetCorp USA"",""21"",""1"",""318047"""</t>
  </si>
  <si>
    <t>=E2377</t>
  </si>
  <si>
    <t>=StartDate-$M2379+1</t>
  </si>
  <si>
    <t>=SUM(P2379:T2379)</t>
  </si>
  <si>
    <t>=IF($M2379&gt;=$P$18,U2379,0)</t>
  </si>
  <si>
    <t>=IF(AND($M2379&gt;=$Q$16,$M2379&lt;=$Q$18),U2379,0)</t>
  </si>
  <si>
    <t>=IF(AND($M2379&gt;=$R$16,$M2379&lt;=$R$18),U2379,0)</t>
  </si>
  <si>
    <t>=IF(AND($M2379&gt;=$S$16,$M2379&lt;=$S$18),U2379,0)</t>
  </si>
  <si>
    <t>=IF($M2379&lt;=$T$18,U2379,0)</t>
  </si>
  <si>
    <t>="""NAV Direct"",""CRONUS JetCorp USA"",""21"",""1"",""318315"""</t>
  </si>
  <si>
    <t>=E2378</t>
  </si>
  <si>
    <t>=StartDate-$M2380+1</t>
  </si>
  <si>
    <t>=SUM(P2380:T2380)</t>
  </si>
  <si>
    <t>=IF($M2380&gt;=$P$18,U2380,0)</t>
  </si>
  <si>
    <t>=IF(AND($M2380&gt;=$Q$16,$M2380&lt;=$Q$18),U2380,0)</t>
  </si>
  <si>
    <t>=IF(AND($M2380&gt;=$R$16,$M2380&lt;=$R$18),U2380,0)</t>
  </si>
  <si>
    <t>=IF(AND($M2380&gt;=$S$16,$M2380&lt;=$S$18),U2380,0)</t>
  </si>
  <si>
    <t>=IF($M2380&lt;=$T$18,U2380,0)</t>
  </si>
  <si>
    <t>="""NAV Direct"",""CRONUS JetCorp USA"",""21"",""1"",""318789"""</t>
  </si>
  <si>
    <t>=E2379</t>
  </si>
  <si>
    <t>=StartDate-$M2381+1</t>
  </si>
  <si>
    <t>=SUM(P2381:T2381)</t>
  </si>
  <si>
    <t>=IF($M2381&gt;=$P$18,U2381,0)</t>
  </si>
  <si>
    <t>=IF(AND($M2381&gt;=$Q$16,$M2381&lt;=$Q$18),U2381,0)</t>
  </si>
  <si>
    <t>=IF(AND($M2381&gt;=$R$16,$M2381&lt;=$R$18),U2381,0)</t>
  </si>
  <si>
    <t>=IF(AND($M2381&gt;=$S$16,$M2381&lt;=$S$18),U2381,0)</t>
  </si>
  <si>
    <t>=IF($M2381&lt;=$T$18,U2381,0)</t>
  </si>
  <si>
    <t>="""NAV Direct"",""CRONUS JetCorp USA"",""21"",""1"",""318953"""</t>
  </si>
  <si>
    <t>=E2380</t>
  </si>
  <si>
    <t>=StartDate-$M2382+1</t>
  </si>
  <si>
    <t>=SUM(P2382:T2382)</t>
  </si>
  <si>
    <t>=IF($M2382&gt;=$P$18,U2382,0)</t>
  </si>
  <si>
    <t>=IF(AND($M2382&gt;=$Q$16,$M2382&lt;=$Q$18),U2382,0)</t>
  </si>
  <si>
    <t>=IF(AND($M2382&gt;=$R$16,$M2382&lt;=$R$18),U2382,0)</t>
  </si>
  <si>
    <t>=IF(AND($M2382&gt;=$S$16,$M2382&lt;=$S$18),U2382,0)</t>
  </si>
  <si>
    <t>=IF($M2382&lt;=$T$18,U2382,0)</t>
  </si>
  <si>
    <t>="""NAV Direct"",""CRONUS JetCorp USA"",""21"",""1"",""319189"""</t>
  </si>
  <si>
    <t>=E2381</t>
  </si>
  <si>
    <t>=StartDate-$M2383+1</t>
  </si>
  <si>
    <t>=SUM(P2383:T2383)</t>
  </si>
  <si>
    <t>=IF($M2383&gt;=$P$18,U2383,0)</t>
  </si>
  <si>
    <t>=IF(AND($M2383&gt;=$Q$16,$M2383&lt;=$Q$18),U2383,0)</t>
  </si>
  <si>
    <t>=IF(AND($M2383&gt;=$R$16,$M2383&lt;=$R$18),U2383,0)</t>
  </si>
  <si>
    <t>=IF(AND($M2383&gt;=$S$16,$M2383&lt;=$S$18),U2383,0)</t>
  </si>
  <si>
    <t>=IF($M2383&lt;=$T$18,U2383,0)</t>
  </si>
  <si>
    <t>="""NAV Direct"",""CRONUS JetCorp USA"",""21"",""1"",""319363"""</t>
  </si>
  <si>
    <t>=E2382</t>
  </si>
  <si>
    <t>=StartDate-$M2384+1</t>
  </si>
  <si>
    <t>=SUM(P2384:T2384)</t>
  </si>
  <si>
    <t>=IF($M2384&gt;=$P$18,U2384,0)</t>
  </si>
  <si>
    <t>=IF(AND($M2384&gt;=$Q$16,$M2384&lt;=$Q$18),U2384,0)</t>
  </si>
  <si>
    <t>=IF(AND($M2384&gt;=$R$16,$M2384&lt;=$R$18),U2384,0)</t>
  </si>
  <si>
    <t>=IF(AND($M2384&gt;=$S$16,$M2384&lt;=$S$18),U2384,0)</t>
  </si>
  <si>
    <t>=IF($M2384&lt;=$T$18,U2384,0)</t>
  </si>
  <si>
    <t>="""NAV Direct"",""CRONUS JetCorp USA"",""21"",""1"",""319610"""</t>
  </si>
  <si>
    <t>=E2383</t>
  </si>
  <si>
    <t>=StartDate-$M2385+1</t>
  </si>
  <si>
    <t>=SUM(P2385:T2385)</t>
  </si>
  <si>
    <t>=IF($M2385&gt;=$P$18,U2385,0)</t>
  </si>
  <si>
    <t>=IF(AND($M2385&gt;=$Q$16,$M2385&lt;=$Q$18),U2385,0)</t>
  </si>
  <si>
    <t>=IF(AND($M2385&gt;=$R$16,$M2385&lt;=$R$18),U2385,0)</t>
  </si>
  <si>
    <t>=IF(AND($M2385&gt;=$S$16,$M2385&lt;=$S$18),U2385,0)</t>
  </si>
  <si>
    <t>=IF($M2385&lt;=$T$18,U2385,0)</t>
  </si>
  <si>
    <t>="""NAV Direct"",""CRONUS JetCorp USA"",""21"",""1"",""319637"""</t>
  </si>
  <si>
    <t>=E2384</t>
  </si>
  <si>
    <t>=StartDate-$M2386+1</t>
  </si>
  <si>
    <t>=SUM(P2386:T2386)</t>
  </si>
  <si>
    <t>=IF($M2386&gt;=$P$18,U2386,0)</t>
  </si>
  <si>
    <t>=IF(AND($M2386&gt;=$Q$16,$M2386&lt;=$Q$18),U2386,0)</t>
  </si>
  <si>
    <t>=IF(AND($M2386&gt;=$R$16,$M2386&lt;=$R$18),U2386,0)</t>
  </si>
  <si>
    <t>=IF(AND($M2386&gt;=$S$16,$M2386&lt;=$S$18),U2386,0)</t>
  </si>
  <si>
    <t>=IF($M2386&lt;=$T$18,U2386,0)</t>
  </si>
  <si>
    <t>="""NAV Direct"",""CRONUS JetCorp USA"",""21"",""1"",""319687"""</t>
  </si>
  <si>
    <t>=E2385</t>
  </si>
  <si>
    <t>=StartDate-$M2387+1</t>
  </si>
  <si>
    <t>=SUM(P2387:T2387)</t>
  </si>
  <si>
    <t>=IF($M2387&gt;=$P$18,U2387,0)</t>
  </si>
  <si>
    <t>=IF(AND($M2387&gt;=$Q$16,$M2387&lt;=$Q$18),U2387,0)</t>
  </si>
  <si>
    <t>=IF(AND($M2387&gt;=$R$16,$M2387&lt;=$R$18),U2387,0)</t>
  </si>
  <si>
    <t>=IF(AND($M2387&gt;=$S$16,$M2387&lt;=$S$18),U2387,0)</t>
  </si>
  <si>
    <t>=IF($M2387&lt;=$T$18,U2387,0)</t>
  </si>
  <si>
    <t>="""NAV Direct"",""CRONUS JetCorp USA"",""21"",""1"",""319741"""</t>
  </si>
  <si>
    <t>=E2386</t>
  </si>
  <si>
    <t>=StartDate-$M2388+1</t>
  </si>
  <si>
    <t>=SUM(P2388:T2388)</t>
  </si>
  <si>
    <t>=IF($M2388&gt;=$P$18,U2388,0)</t>
  </si>
  <si>
    <t>=IF(AND($M2388&gt;=$Q$16,$M2388&lt;=$Q$18),U2388,0)</t>
  </si>
  <si>
    <t>=IF(AND($M2388&gt;=$R$16,$M2388&lt;=$R$18),U2388,0)</t>
  </si>
  <si>
    <t>=IF(AND($M2388&gt;=$S$16,$M2388&lt;=$S$18),U2388,0)</t>
  </si>
  <si>
    <t>=IF($M2388&lt;=$T$18,U2388,0)</t>
  </si>
  <si>
    <t>="""NAV Direct"",""CRONUS JetCorp USA"",""21"",""1"",""319793"""</t>
  </si>
  <si>
    <t>=E2387</t>
  </si>
  <si>
    <t>=StartDate-$M2389+1</t>
  </si>
  <si>
    <t>=SUM(P2389:T2389)</t>
  </si>
  <si>
    <t>=IF($M2389&gt;=$P$18,U2389,0)</t>
  </si>
  <si>
    <t>=IF(AND($M2389&gt;=$Q$16,$M2389&lt;=$Q$18),U2389,0)</t>
  </si>
  <si>
    <t>=IF(AND($M2389&gt;=$R$16,$M2389&lt;=$R$18),U2389,0)</t>
  </si>
  <si>
    <t>=IF(AND($M2389&gt;=$S$16,$M2389&lt;=$S$18),U2389,0)</t>
  </si>
  <si>
    <t>=IF($M2389&lt;=$T$18,U2389,0)</t>
  </si>
  <si>
    <t>="""NAV Direct"",""CRONUS JetCorp USA"",""21"",""1"",""319949"""</t>
  </si>
  <si>
    <t>=E2388</t>
  </si>
  <si>
    <t>=StartDate-$M2390+1</t>
  </si>
  <si>
    <t>=SUM(P2390:T2390)</t>
  </si>
  <si>
    <t>=IF($M2390&gt;=$P$18,U2390,0)</t>
  </si>
  <si>
    <t>=IF(AND($M2390&gt;=$Q$16,$M2390&lt;=$Q$18),U2390,0)</t>
  </si>
  <si>
    <t>=IF(AND($M2390&gt;=$R$16,$M2390&lt;=$R$18),U2390,0)</t>
  </si>
  <si>
    <t>=IF(AND($M2390&gt;=$S$16,$M2390&lt;=$S$18),U2390,0)</t>
  </si>
  <si>
    <t>=IF($M2390&lt;=$T$18,U2390,0)</t>
  </si>
  <si>
    <t>="""NAV Direct"",""CRONUS JetCorp USA"",""21"",""1"",""430408"""</t>
  </si>
  <si>
    <t>=E2389</t>
  </si>
  <si>
    <t>=StartDate-$M2391+1</t>
  </si>
  <si>
    <t>=SUM(P2391:T2391)</t>
  </si>
  <si>
    <t>=IF($M2391&gt;=$P$18,U2391,0)</t>
  </si>
  <si>
    <t>=IF(AND($M2391&gt;=$Q$16,$M2391&lt;=$Q$18),U2391,0)</t>
  </si>
  <si>
    <t>=IF(AND($M2391&gt;=$R$16,$M2391&lt;=$R$18),U2391,0)</t>
  </si>
  <si>
    <t>=IF(AND($M2391&gt;=$S$16,$M2391&lt;=$S$18),U2391,0)</t>
  </si>
  <si>
    <t>=IF($M2391&lt;=$T$18,U2391,0)</t>
  </si>
  <si>
    <t>="""NAV Direct"",""CRONUS JetCorp USA"",""21"",""1"",""430560"""</t>
  </si>
  <si>
    <t>=E2390</t>
  </si>
  <si>
    <t>=StartDate-$M2392+1</t>
  </si>
  <si>
    <t>=SUM(P2392:T2392)</t>
  </si>
  <si>
    <t>=IF($M2392&gt;=$P$18,U2392,0)</t>
  </si>
  <si>
    <t>=IF(AND($M2392&gt;=$Q$16,$M2392&lt;=$Q$18),U2392,0)</t>
  </si>
  <si>
    <t>=IF(AND($M2392&gt;=$R$16,$M2392&lt;=$R$18),U2392,0)</t>
  </si>
  <si>
    <t>=IF(AND($M2392&gt;=$S$16,$M2392&lt;=$S$18),U2392,0)</t>
  </si>
  <si>
    <t>=IF($M2392&lt;=$T$18,U2392,0)</t>
  </si>
  <si>
    <t>="""NAV Direct"",""CRONUS JetCorp USA"",""21"",""1"",""430607"""</t>
  </si>
  <si>
    <t>=E2391</t>
  </si>
  <si>
    <t>=StartDate-$M2393+1</t>
  </si>
  <si>
    <t>=SUM(P2393:T2393)</t>
  </si>
  <si>
    <t>=IF($M2393&gt;=$P$18,U2393,0)</t>
  </si>
  <si>
    <t>=IF(AND($M2393&gt;=$Q$16,$M2393&lt;=$Q$18),U2393,0)</t>
  </si>
  <si>
    <t>=IF(AND($M2393&gt;=$R$16,$M2393&lt;=$R$18),U2393,0)</t>
  </si>
  <si>
    <t>=IF(AND($M2393&gt;=$S$16,$M2393&lt;=$S$18),U2393,0)</t>
  </si>
  <si>
    <t>=IF($M2393&lt;=$T$18,U2393,0)</t>
  </si>
  <si>
    <t>="""NAV Direct"",""CRONUS JetCorp USA"",""21"",""1"",""430652"""</t>
  </si>
  <si>
    <t>=E2392</t>
  </si>
  <si>
    <t>=StartDate-$M2394+1</t>
  </si>
  <si>
    <t>=SUM(P2394:T2394)</t>
  </si>
  <si>
    <t>=IF($M2394&gt;=$P$18,U2394,0)</t>
  </si>
  <si>
    <t>=IF(AND($M2394&gt;=$Q$16,$M2394&lt;=$Q$18),U2394,0)</t>
  </si>
  <si>
    <t>=IF(AND($M2394&gt;=$R$16,$M2394&lt;=$R$18),U2394,0)</t>
  </si>
  <si>
    <t>=IF(AND($M2394&gt;=$S$16,$M2394&lt;=$S$18),U2394,0)</t>
  </si>
  <si>
    <t>=IF($M2394&lt;=$T$18,U2394,0)</t>
  </si>
  <si>
    <t>="""NAV Direct"",""CRONUS JetCorp USA"",""21"",""1"",""430673"""</t>
  </si>
  <si>
    <t>=E2393</t>
  </si>
  <si>
    <t>=StartDate-$M2395+1</t>
  </si>
  <si>
    <t>=SUM(P2395:T2395)</t>
  </si>
  <si>
    <t>=IF($M2395&gt;=$P$18,U2395,0)</t>
  </si>
  <si>
    <t>=IF(AND($M2395&gt;=$Q$16,$M2395&lt;=$Q$18),U2395,0)</t>
  </si>
  <si>
    <t>=IF(AND($M2395&gt;=$R$16,$M2395&lt;=$R$18),U2395,0)</t>
  </si>
  <si>
    <t>=IF(AND($M2395&gt;=$S$16,$M2395&lt;=$S$18),U2395,0)</t>
  </si>
  <si>
    <t>=IF($M2395&lt;=$T$18,U2395,0)</t>
  </si>
  <si>
    <t>="""NAV Direct"",""CRONUS JetCorp USA"",""21"",""1"",""430690"""</t>
  </si>
  <si>
    <t>=E2394</t>
  </si>
  <si>
    <t>=StartDate-$M2396+1</t>
  </si>
  <si>
    <t>=SUM(P2396:T2396)</t>
  </si>
  <si>
    <t>=IF($M2396&gt;=$P$18,U2396,0)</t>
  </si>
  <si>
    <t>=IF(AND($M2396&gt;=$Q$16,$M2396&lt;=$Q$18),U2396,0)</t>
  </si>
  <si>
    <t>=IF(AND($M2396&gt;=$R$16,$M2396&lt;=$R$18),U2396,0)</t>
  </si>
  <si>
    <t>=IF(AND($M2396&gt;=$S$16,$M2396&lt;=$S$18),U2396,0)</t>
  </si>
  <si>
    <t>=IF($M2396&lt;=$T$18,U2396,0)</t>
  </si>
  <si>
    <t>="""NAV Direct"",""CRONUS JetCorp USA"",""21"",""1"",""430828"""</t>
  </si>
  <si>
    <t>=E2395</t>
  </si>
  <si>
    <t>=StartDate-$M2397+1</t>
  </si>
  <si>
    <t>=SUM(P2397:T2397)</t>
  </si>
  <si>
    <t>=IF($M2397&gt;=$P$18,U2397,0)</t>
  </si>
  <si>
    <t>=IF(AND($M2397&gt;=$Q$16,$M2397&lt;=$Q$18),U2397,0)</t>
  </si>
  <si>
    <t>=IF(AND($M2397&gt;=$R$16,$M2397&lt;=$R$18),U2397,0)</t>
  </si>
  <si>
    <t>=IF(AND($M2397&gt;=$S$16,$M2397&lt;=$S$18),U2397,0)</t>
  </si>
  <si>
    <t>=IF($M2397&lt;=$T$18,U2397,0)</t>
  </si>
  <si>
    <t>="""NAV Direct"",""CRONUS JetCorp USA"",""21"",""1"",""430891"""</t>
  </si>
  <si>
    <t>=E2396</t>
  </si>
  <si>
    <t>=StartDate-$M2398+1</t>
  </si>
  <si>
    <t>=SUM(P2398:T2398)</t>
  </si>
  <si>
    <t>=IF($M2398&gt;=$P$18,U2398,0)</t>
  </si>
  <si>
    <t>=IF(AND($M2398&gt;=$Q$16,$M2398&lt;=$Q$18),U2398,0)</t>
  </si>
  <si>
    <t>=IF(AND($M2398&gt;=$R$16,$M2398&lt;=$R$18),U2398,0)</t>
  </si>
  <si>
    <t>=IF(AND($M2398&gt;=$S$16,$M2398&lt;=$S$18),U2398,0)</t>
  </si>
  <si>
    <t>=IF($M2398&lt;=$T$18,U2398,0)</t>
  </si>
  <si>
    <t>="""NAV Direct"",""CRONUS JetCorp USA"",""21"",""1"",""430925"""</t>
  </si>
  <si>
    <t>=E2397</t>
  </si>
  <si>
    <t>=StartDate-$M2399+1</t>
  </si>
  <si>
    <t>=SUM(P2399:T2399)</t>
  </si>
  <si>
    <t>=IF($M2399&gt;=$P$18,U2399,0)</t>
  </si>
  <si>
    <t>=IF(AND($M2399&gt;=$Q$16,$M2399&lt;=$Q$18),U2399,0)</t>
  </si>
  <si>
    <t>=IF(AND($M2399&gt;=$R$16,$M2399&lt;=$R$18),U2399,0)</t>
  </si>
  <si>
    <t>=IF(AND($M2399&gt;=$S$16,$M2399&lt;=$S$18),U2399,0)</t>
  </si>
  <si>
    <t>=IF($M2399&lt;=$T$18,U2399,0)</t>
  </si>
  <si>
    <t>="""NAV Direct"",""CRONUS JetCorp USA"",""21"",""1"",""430948"""</t>
  </si>
  <si>
    <t>=E2398</t>
  </si>
  <si>
    <t>=StartDate-$M2400+1</t>
  </si>
  <si>
    <t>=SUM(P2400:T2400)</t>
  </si>
  <si>
    <t>=IF($M2400&gt;=$P$18,U2400,0)</t>
  </si>
  <si>
    <t>=IF(AND($M2400&gt;=$Q$16,$M2400&lt;=$Q$18),U2400,0)</t>
  </si>
  <si>
    <t>=IF(AND($M2400&gt;=$R$16,$M2400&lt;=$R$18),U2400,0)</t>
  </si>
  <si>
    <t>=IF(AND($M2400&gt;=$S$16,$M2400&lt;=$S$18),U2400,0)</t>
  </si>
  <si>
    <t>=IF($M2400&lt;=$T$18,U2400,0)</t>
  </si>
  <si>
    <t>="""NAV Direct"",""CRONUS JetCorp USA"",""21"",""1"",""431017"""</t>
  </si>
  <si>
    <t>=E2399</t>
  </si>
  <si>
    <t>=StartDate-$M2401+1</t>
  </si>
  <si>
    <t>=SUM(P2401:T2401)</t>
  </si>
  <si>
    <t>=IF($M2401&gt;=$P$18,U2401,0)</t>
  </si>
  <si>
    <t>=IF(AND($M2401&gt;=$Q$16,$M2401&lt;=$Q$18),U2401,0)</t>
  </si>
  <si>
    <t>=IF(AND($M2401&gt;=$R$16,$M2401&lt;=$R$18),U2401,0)</t>
  </si>
  <si>
    <t>=IF(AND($M2401&gt;=$S$16,$M2401&lt;=$S$18),U2401,0)</t>
  </si>
  <si>
    <t>=IF($M2401&lt;=$T$18,U2401,0)</t>
  </si>
  <si>
    <t>="""NAV Direct"",""CRONUS JetCorp USA"",""21"",""1"",""431036"""</t>
  </si>
  <si>
    <t>=E2400</t>
  </si>
  <si>
    <t>=StartDate-$M2402+1</t>
  </si>
  <si>
    <t>=SUM(P2402:T2402)</t>
  </si>
  <si>
    <t>=IF($M2402&gt;=$P$18,U2402,0)</t>
  </si>
  <si>
    <t>=IF(AND($M2402&gt;=$Q$16,$M2402&lt;=$Q$18),U2402,0)</t>
  </si>
  <si>
    <t>=IF(AND($M2402&gt;=$R$16,$M2402&lt;=$R$18),U2402,0)</t>
  </si>
  <si>
    <t>=IF(AND($M2402&gt;=$S$16,$M2402&lt;=$S$18),U2402,0)</t>
  </si>
  <si>
    <t>=IF($M2402&lt;=$T$18,U2402,0)</t>
  </si>
  <si>
    <t>="""NAV Direct"",""CRONUS JetCorp USA"",""21"",""1"",""431089"""</t>
  </si>
  <si>
    <t>=E2401</t>
  </si>
  <si>
    <t>=StartDate-$M2403+1</t>
  </si>
  <si>
    <t>=SUM(P2403:T2403)</t>
  </si>
  <si>
    <t>=IF($M2403&gt;=$P$18,U2403,0)</t>
  </si>
  <si>
    <t>=IF(AND($M2403&gt;=$Q$16,$M2403&lt;=$Q$18),U2403,0)</t>
  </si>
  <si>
    <t>=IF(AND($M2403&gt;=$R$16,$M2403&lt;=$R$18),U2403,0)</t>
  </si>
  <si>
    <t>=IF(AND($M2403&gt;=$S$16,$M2403&lt;=$S$18),U2403,0)</t>
  </si>
  <si>
    <t>=IF($M2403&lt;=$T$18,U2403,0)</t>
  </si>
  <si>
    <t>="""NAV Direct"",""CRONUS JetCorp USA"",""21"",""1"",""431109"""</t>
  </si>
  <si>
    <t>=E2402</t>
  </si>
  <si>
    <t>=StartDate-$M2404+1</t>
  </si>
  <si>
    <t>=SUM(P2404:T2404)</t>
  </si>
  <si>
    <t>=IF($M2404&gt;=$P$18,U2404,0)</t>
  </si>
  <si>
    <t>=IF(AND($M2404&gt;=$Q$16,$M2404&lt;=$Q$18),U2404,0)</t>
  </si>
  <si>
    <t>=IF(AND($M2404&gt;=$R$16,$M2404&lt;=$R$18),U2404,0)</t>
  </si>
  <si>
    <t>=IF(AND($M2404&gt;=$S$16,$M2404&lt;=$S$18),U2404,0)</t>
  </si>
  <si>
    <t>=IF($M2404&lt;=$T$18,U2404,0)</t>
  </si>
  <si>
    <t>="""NAV Direct"",""CRONUS JetCorp USA"",""21"",""1"",""431127"""</t>
  </si>
  <si>
    <t>=E2403</t>
  </si>
  <si>
    <t>=StartDate-$M2405+1</t>
  </si>
  <si>
    <t>=SUM(P2405:T2405)</t>
  </si>
  <si>
    <t>=IF($M2405&gt;=$P$18,U2405,0)</t>
  </si>
  <si>
    <t>=IF(AND($M2405&gt;=$Q$16,$M2405&lt;=$Q$18),U2405,0)</t>
  </si>
  <si>
    <t>=IF(AND($M2405&gt;=$R$16,$M2405&lt;=$R$18),U2405,0)</t>
  </si>
  <si>
    <t>=IF(AND($M2405&gt;=$S$16,$M2405&lt;=$S$18),U2405,0)</t>
  </si>
  <si>
    <t>=IF($M2405&lt;=$T$18,U2405,0)</t>
  </si>
  <si>
    <t>="""NAV Direct"",""CRONUS JetCorp USA"",""18"",""1"",""C100081"""</t>
  </si>
  <si>
    <t>=H2408</t>
  </si>
  <si>
    <t>=NF($C2408,"1 No.")</t>
  </si>
  <si>
    <t>=NF($C2408,"1 No.")&amp;"  -  "&amp;NF($C2408,"2 Name")</t>
  </si>
  <si>
    <t>=IFERROR(O2408/NF(C2408,"Credit Limit (LCY)"),"")</t>
  </si>
  <si>
    <t>=SUBTOTAL(3,L2409:L2429)</t>
  </si>
  <si>
    <t>=SUBTOTAL(9,O2409:O2429)</t>
  </si>
  <si>
    <t>=SUBTOTAL(9,P2409:P2429)</t>
  </si>
  <si>
    <t>=SUBTOTAL(9,Q2409:Q2429)</t>
  </si>
  <si>
    <t>=SUBTOTAL(9,R2409:R2429)</t>
  </si>
  <si>
    <t>=SUBTOTAL(9,S2409:S2429)</t>
  </si>
  <si>
    <t>=SUBTOTAL(9,T2409:T2429)</t>
  </si>
  <si>
    <t>=C2408</t>
  </si>
  <si>
    <t>=E2408</t>
  </si>
  <si>
    <t>="Contact: "&amp;NF($C2409,"8 Contact")</t>
  </si>
  <si>
    <t>=C2409</t>
  </si>
  <si>
    <t>=E2409</t>
  </si>
  <si>
    <t>=NF($C2410,"102 E-Mail")</t>
  </si>
  <si>
    <t>=NL("Rows","21 Cust. Ledger Entry",,"3 Customer No.","@@"&amp;$E2412,"16 Remaining Amt. (LCY)","&lt;&gt;0")</t>
  </si>
  <si>
    <t>=E2410</t>
  </si>
  <si>
    <t>=StartDate-$M2412+1</t>
  </si>
  <si>
    <t>=SUM(P2412:T2412)</t>
  </si>
  <si>
    <t>=IF($M2412&gt;=$P$18,U2412,0)</t>
  </si>
  <si>
    <t>=IF(AND($M2412&gt;=$Q$16,$M2412&lt;=$Q$18),U2412,0)</t>
  </si>
  <si>
    <t>=IF(AND($M2412&gt;=$R$16,$M2412&lt;=$R$18),U2412,0)</t>
  </si>
  <si>
    <t>=IF(AND($M2412&gt;=$S$16,$M2412&lt;=$S$18),U2412,0)</t>
  </si>
  <si>
    <t>=IF($M2412&lt;=$T$18,U2412,0)</t>
  </si>
  <si>
    <t>="""NAV Direct"",""CRONUS JetCorp USA"",""21"",""1"",""102078"""</t>
  </si>
  <si>
    <t>=E2411</t>
  </si>
  <si>
    <t>=StartDate-$M2413+1</t>
  </si>
  <si>
    <t>=SUM(P2413:T2413)</t>
  </si>
  <si>
    <t>=IF($M2413&gt;=$P$18,U2413,0)</t>
  </si>
  <si>
    <t>=IF(AND($M2413&gt;=$Q$16,$M2413&lt;=$Q$18),U2413,0)</t>
  </si>
  <si>
    <t>=IF(AND($M2413&gt;=$R$16,$M2413&lt;=$R$18),U2413,0)</t>
  </si>
  <si>
    <t>=IF(AND($M2413&gt;=$S$16,$M2413&lt;=$S$18),U2413,0)</t>
  </si>
  <si>
    <t>=IF($M2413&lt;=$T$18,U2413,0)</t>
  </si>
  <si>
    <t>="""NAV Direct"",""CRONUS JetCorp USA"",""21"",""1"",""102270"""</t>
  </si>
  <si>
    <t>=E2412</t>
  </si>
  <si>
    <t>=StartDate-$M2414+1</t>
  </si>
  <si>
    <t>=SUM(P2414:T2414)</t>
  </si>
  <si>
    <t>=IF($M2414&gt;=$P$18,U2414,0)</t>
  </si>
  <si>
    <t>=IF(AND($M2414&gt;=$Q$16,$M2414&lt;=$Q$18),U2414,0)</t>
  </si>
  <si>
    <t>=IF(AND($M2414&gt;=$R$16,$M2414&lt;=$R$18),U2414,0)</t>
  </si>
  <si>
    <t>=IF(AND($M2414&gt;=$S$16,$M2414&lt;=$S$18),U2414,0)</t>
  </si>
  <si>
    <t>=IF($M2414&lt;=$T$18,U2414,0)</t>
  </si>
  <si>
    <t>="""NAV Direct"",""CRONUS JetCorp USA"",""21"",""1"",""102313"""</t>
  </si>
  <si>
    <t>=E2413</t>
  </si>
  <si>
    <t>=StartDate-$M2415+1</t>
  </si>
  <si>
    <t>=SUM(P2415:T2415)</t>
  </si>
  <si>
    <t>=IF($M2415&gt;=$P$18,U2415,0)</t>
  </si>
  <si>
    <t>=IF(AND($M2415&gt;=$Q$16,$M2415&lt;=$Q$18),U2415,0)</t>
  </si>
  <si>
    <t>=IF(AND($M2415&gt;=$R$16,$M2415&lt;=$R$18),U2415,0)</t>
  </si>
  <si>
    <t>=IF(AND($M2415&gt;=$S$16,$M2415&lt;=$S$18),U2415,0)</t>
  </si>
  <si>
    <t>=IF($M2415&lt;=$T$18,U2415,0)</t>
  </si>
  <si>
    <t>="""NAV Direct"",""CRONUS JetCorp USA"",""21"",""1"",""381428"""</t>
  </si>
  <si>
    <t>=E2414</t>
  </si>
  <si>
    <t>=StartDate-$M2416+1</t>
  </si>
  <si>
    <t>=SUM(P2416:T2416)</t>
  </si>
  <si>
    <t>=IF($M2416&gt;=$P$18,U2416,0)</t>
  </si>
  <si>
    <t>=IF(AND($M2416&gt;=$Q$16,$M2416&lt;=$Q$18),U2416,0)</t>
  </si>
  <si>
    <t>=IF(AND($M2416&gt;=$R$16,$M2416&lt;=$R$18),U2416,0)</t>
  </si>
  <si>
    <t>=IF(AND($M2416&gt;=$S$16,$M2416&lt;=$S$18),U2416,0)</t>
  </si>
  <si>
    <t>=IF($M2416&lt;=$T$18,U2416,0)</t>
  </si>
  <si>
    <t>="""NAV Direct"",""CRONUS JetCorp USA"",""21"",""1"",""381546"""</t>
  </si>
  <si>
    <t>=E2415</t>
  </si>
  <si>
    <t>=StartDate-$M2417+1</t>
  </si>
  <si>
    <t>=SUM(P2417:T2417)</t>
  </si>
  <si>
    <t>=IF($M2417&gt;=$P$18,U2417,0)</t>
  </si>
  <si>
    <t>=IF(AND($M2417&gt;=$Q$16,$M2417&lt;=$Q$18),U2417,0)</t>
  </si>
  <si>
    <t>=IF(AND($M2417&gt;=$R$16,$M2417&lt;=$R$18),U2417,0)</t>
  </si>
  <si>
    <t>=IF(AND($M2417&gt;=$S$16,$M2417&lt;=$S$18),U2417,0)</t>
  </si>
  <si>
    <t>=IF($M2417&lt;=$T$18,U2417,0)</t>
  </si>
  <si>
    <t>="""NAV Direct"",""CRONUS JetCorp USA"",""21"",""1"",""381721"""</t>
  </si>
  <si>
    <t>=E2416</t>
  </si>
  <si>
    <t>=StartDate-$M2418+1</t>
  </si>
  <si>
    <t>=SUM(P2418:T2418)</t>
  </si>
  <si>
    <t>=IF($M2418&gt;=$P$18,U2418,0)</t>
  </si>
  <si>
    <t>=IF(AND($M2418&gt;=$Q$16,$M2418&lt;=$Q$18),U2418,0)</t>
  </si>
  <si>
    <t>=IF(AND($M2418&gt;=$R$16,$M2418&lt;=$R$18),U2418,0)</t>
  </si>
  <si>
    <t>=IF(AND($M2418&gt;=$S$16,$M2418&lt;=$S$18),U2418,0)</t>
  </si>
  <si>
    <t>=IF($M2418&lt;=$T$18,U2418,0)</t>
  </si>
  <si>
    <t>="""NAV Direct"",""CRONUS JetCorp USA"",""21"",""1"",""381814"""</t>
  </si>
  <si>
    <t>=E2417</t>
  </si>
  <si>
    <t>=StartDate-$M2419+1</t>
  </si>
  <si>
    <t>=SUM(P2419:T2419)</t>
  </si>
  <si>
    <t>=IF($M2419&gt;=$P$18,U2419,0)</t>
  </si>
  <si>
    <t>=IF(AND($M2419&gt;=$Q$16,$M2419&lt;=$Q$18),U2419,0)</t>
  </si>
  <si>
    <t>=IF(AND($M2419&gt;=$R$16,$M2419&lt;=$R$18),U2419,0)</t>
  </si>
  <si>
    <t>=IF(AND($M2419&gt;=$S$16,$M2419&lt;=$S$18),U2419,0)</t>
  </si>
  <si>
    <t>=IF($M2419&lt;=$T$18,U2419,0)</t>
  </si>
  <si>
    <t>="""NAV Direct"",""CRONUS JetCorp USA"",""21"",""1"",""382084"""</t>
  </si>
  <si>
    <t>=E2418</t>
  </si>
  <si>
    <t>=StartDate-$M2420+1</t>
  </si>
  <si>
    <t>=SUM(P2420:T2420)</t>
  </si>
  <si>
    <t>=IF($M2420&gt;=$P$18,U2420,0)</t>
  </si>
  <si>
    <t>=IF(AND($M2420&gt;=$Q$16,$M2420&lt;=$Q$18),U2420,0)</t>
  </si>
  <si>
    <t>=IF(AND($M2420&gt;=$R$16,$M2420&lt;=$R$18),U2420,0)</t>
  </si>
  <si>
    <t>=IF(AND($M2420&gt;=$S$16,$M2420&lt;=$S$18),U2420,0)</t>
  </si>
  <si>
    <t>=IF($M2420&lt;=$T$18,U2420,0)</t>
  </si>
  <si>
    <t>="""NAV Direct"",""CRONUS JetCorp USA"",""21"",""1"",""382113"""</t>
  </si>
  <si>
    <t>=E2419</t>
  </si>
  <si>
    <t>=StartDate-$M2421+1</t>
  </si>
  <si>
    <t>=SUM(P2421:T2421)</t>
  </si>
  <si>
    <t>=IF($M2421&gt;=$P$18,U2421,0)</t>
  </si>
  <si>
    <t>=IF(AND($M2421&gt;=$Q$16,$M2421&lt;=$Q$18),U2421,0)</t>
  </si>
  <si>
    <t>=IF(AND($M2421&gt;=$R$16,$M2421&lt;=$R$18),U2421,0)</t>
  </si>
  <si>
    <t>=IF(AND($M2421&gt;=$S$16,$M2421&lt;=$S$18),U2421,0)</t>
  </si>
  <si>
    <t>=IF($M2421&lt;=$T$18,U2421,0)</t>
  </si>
  <si>
    <t>="""NAV Direct"",""CRONUS JetCorp USA"",""21"",""1"",""382204"""</t>
  </si>
  <si>
    <t>=E2420</t>
  </si>
  <si>
    <t>=StartDate-$M2422+1</t>
  </si>
  <si>
    <t>=SUM(P2422:T2422)</t>
  </si>
  <si>
    <t>=IF($M2422&gt;=$P$18,U2422,0)</t>
  </si>
  <si>
    <t>=IF(AND($M2422&gt;=$Q$16,$M2422&lt;=$Q$18),U2422,0)</t>
  </si>
  <si>
    <t>=IF(AND($M2422&gt;=$R$16,$M2422&lt;=$R$18),U2422,0)</t>
  </si>
  <si>
    <t>=IF(AND($M2422&gt;=$S$16,$M2422&lt;=$S$18),U2422,0)</t>
  </si>
  <si>
    <t>=IF($M2422&lt;=$T$18,U2422,0)</t>
  </si>
  <si>
    <t>="""NAV Direct"",""CRONUS JetCorp USA"",""21"",""1"",""382526"""</t>
  </si>
  <si>
    <t>=E2421</t>
  </si>
  <si>
    <t>=StartDate-$M2423+1</t>
  </si>
  <si>
    <t>=SUM(P2423:T2423)</t>
  </si>
  <si>
    <t>=IF($M2423&gt;=$P$18,U2423,0)</t>
  </si>
  <si>
    <t>=IF(AND($M2423&gt;=$Q$16,$M2423&lt;=$Q$18),U2423,0)</t>
  </si>
  <si>
    <t>=IF(AND($M2423&gt;=$R$16,$M2423&lt;=$R$18),U2423,0)</t>
  </si>
  <si>
    <t>=IF(AND($M2423&gt;=$S$16,$M2423&lt;=$S$18),U2423,0)</t>
  </si>
  <si>
    <t>=IF($M2423&lt;=$T$18,U2423,0)</t>
  </si>
  <si>
    <t>="""NAV Direct"",""CRONUS JetCorp USA"",""21"",""1"",""382639"""</t>
  </si>
  <si>
    <t>=E2422</t>
  </si>
  <si>
    <t>=StartDate-$M2424+1</t>
  </si>
  <si>
    <t>=SUM(P2424:T2424)</t>
  </si>
  <si>
    <t>=IF($M2424&gt;=$P$18,U2424,0)</t>
  </si>
  <si>
    <t>=IF(AND($M2424&gt;=$Q$16,$M2424&lt;=$Q$18),U2424,0)</t>
  </si>
  <si>
    <t>=IF(AND($M2424&gt;=$R$16,$M2424&lt;=$R$18),U2424,0)</t>
  </si>
  <si>
    <t>=IF(AND($M2424&gt;=$S$16,$M2424&lt;=$S$18),U2424,0)</t>
  </si>
  <si>
    <t>=IF($M2424&lt;=$T$18,U2424,0)</t>
  </si>
  <si>
    <t>="""NAV Direct"",""CRONUS JetCorp USA"",""21"",""1"",""382775"""</t>
  </si>
  <si>
    <t>=E2423</t>
  </si>
  <si>
    <t>=StartDate-$M2425+1</t>
  </si>
  <si>
    <t>=SUM(P2425:T2425)</t>
  </si>
  <si>
    <t>=IF($M2425&gt;=$P$18,U2425,0)</t>
  </si>
  <si>
    <t>=IF(AND($M2425&gt;=$Q$16,$M2425&lt;=$Q$18),U2425,0)</t>
  </si>
  <si>
    <t>=IF(AND($M2425&gt;=$R$16,$M2425&lt;=$R$18),U2425,0)</t>
  </si>
  <si>
    <t>=IF(AND($M2425&gt;=$S$16,$M2425&lt;=$S$18),U2425,0)</t>
  </si>
  <si>
    <t>=IF($M2425&lt;=$T$18,U2425,0)</t>
  </si>
  <si>
    <t>="""NAV Direct"",""CRONUS JetCorp USA"",""21"",""1"",""383173"""</t>
  </si>
  <si>
    <t>=E2424</t>
  </si>
  <si>
    <t>=StartDate-$M2426+1</t>
  </si>
  <si>
    <t>=SUM(P2426:T2426)</t>
  </si>
  <si>
    <t>=IF($M2426&gt;=$P$18,U2426,0)</t>
  </si>
  <si>
    <t>=IF(AND($M2426&gt;=$Q$16,$M2426&lt;=$Q$18),U2426,0)</t>
  </si>
  <si>
    <t>=IF(AND($M2426&gt;=$R$16,$M2426&lt;=$R$18),U2426,0)</t>
  </si>
  <si>
    <t>=IF(AND($M2426&gt;=$S$16,$M2426&lt;=$S$18),U2426,0)</t>
  </si>
  <si>
    <t>=IF($M2426&lt;=$T$18,U2426,0)</t>
  </si>
  <si>
    <t>="""NAV Direct"",""CRONUS JetCorp USA"",""21"",""1"",""383331"""</t>
  </si>
  <si>
    <t>=E2425</t>
  </si>
  <si>
    <t>=StartDate-$M2427+1</t>
  </si>
  <si>
    <t>=SUM(P2427:T2427)</t>
  </si>
  <si>
    <t>=IF($M2427&gt;=$P$18,U2427,0)</t>
  </si>
  <si>
    <t>=IF(AND($M2427&gt;=$Q$16,$M2427&lt;=$Q$18),U2427,0)</t>
  </si>
  <si>
    <t>=IF(AND($M2427&gt;=$R$16,$M2427&lt;=$R$18),U2427,0)</t>
  </si>
  <si>
    <t>=IF(AND($M2427&gt;=$S$16,$M2427&lt;=$S$18),U2427,0)</t>
  </si>
  <si>
    <t>=IF($M2427&lt;=$T$18,U2427,0)</t>
  </si>
  <si>
    <t>="""NAV Direct"",""CRONUS JetCorp USA"",""21"",""1"",""438431"""</t>
  </si>
  <si>
    <t>=E2426</t>
  </si>
  <si>
    <t>=StartDate-$M2428+1</t>
  </si>
  <si>
    <t>=SUM(P2428:T2428)</t>
  </si>
  <si>
    <t>=IF($M2428&gt;=$P$18,U2428,0)</t>
  </si>
  <si>
    <t>=IF(AND($M2428&gt;=$Q$16,$M2428&lt;=$Q$18),U2428,0)</t>
  </si>
  <si>
    <t>=IF(AND($M2428&gt;=$R$16,$M2428&lt;=$R$18),U2428,0)</t>
  </si>
  <si>
    <t>=IF(AND($M2428&gt;=$S$16,$M2428&lt;=$S$18),U2428,0)</t>
  </si>
  <si>
    <t>=IF($M2428&lt;=$T$18,U2428,0)</t>
  </si>
  <si>
    <t>="""NAV Direct"",""CRONUS JetCorp USA"",""18"",""1"",""C100082"""</t>
  </si>
  <si>
    <t>=H2431</t>
  </si>
  <si>
    <t>=NF($C2431,"1 No.")</t>
  </si>
  <si>
    <t>=NF($C2431,"1 No.")&amp;"  -  "&amp;NF($C2431,"2 Name")</t>
  </si>
  <si>
    <t>=IFERROR(O2431/NF(C2431,"Credit Limit (LCY)"),"")</t>
  </si>
  <si>
    <t>=SUBTOTAL(3,L2432:L2494)</t>
  </si>
  <si>
    <t>=SUBTOTAL(9,O2432:O2494)</t>
  </si>
  <si>
    <t>=SUBTOTAL(9,P2432:P2494)</t>
  </si>
  <si>
    <t>=SUBTOTAL(9,Q2432:Q2494)</t>
  </si>
  <si>
    <t>=SUBTOTAL(9,R2432:R2494)</t>
  </si>
  <si>
    <t>=SUBTOTAL(9,S2432:S2494)</t>
  </si>
  <si>
    <t>=SUBTOTAL(9,T2432:T2494)</t>
  </si>
  <si>
    <t>=C2431</t>
  </si>
  <si>
    <t>=E2431</t>
  </si>
  <si>
    <t>="Contact: "&amp;NF($C2432,"8 Contact")</t>
  </si>
  <si>
    <t>=C2432</t>
  </si>
  <si>
    <t>=E2432</t>
  </si>
  <si>
    <t>=NF($C2433,"102 E-Mail")</t>
  </si>
  <si>
    <t>=NL("Rows","21 Cust. Ledger Entry",,"3 Customer No.","@@"&amp;$E2435,"16 Remaining Amt. (LCY)","&lt;&gt;0")</t>
  </si>
  <si>
    <t>=E2433</t>
  </si>
  <si>
    <t>=StartDate-$M2435+1</t>
  </si>
  <si>
    <t>=SUM(P2435:T2435)</t>
  </si>
  <si>
    <t>=IF($M2435&gt;=$P$18,U2435,0)</t>
  </si>
  <si>
    <t>=IF(AND($M2435&gt;=$Q$16,$M2435&lt;=$Q$18),U2435,0)</t>
  </si>
  <si>
    <t>=IF(AND($M2435&gt;=$R$16,$M2435&lt;=$R$18),U2435,0)</t>
  </si>
  <si>
    <t>=IF(AND($M2435&gt;=$S$16,$M2435&lt;=$S$18),U2435,0)</t>
  </si>
  <si>
    <t>=IF($M2435&lt;=$T$18,U2435,0)</t>
  </si>
  <si>
    <t>="""NAV Direct"",""CRONUS JetCorp USA"",""21"",""1"",""361019"""</t>
  </si>
  <si>
    <t>=E2434</t>
  </si>
  <si>
    <t>=StartDate-$M2436+1</t>
  </si>
  <si>
    <t>=SUM(P2436:T2436)</t>
  </si>
  <si>
    <t>=IF($M2436&gt;=$P$18,U2436,0)</t>
  </si>
  <si>
    <t>=IF(AND($M2436&gt;=$Q$16,$M2436&lt;=$Q$18),U2436,0)</t>
  </si>
  <si>
    <t>=IF(AND($M2436&gt;=$R$16,$M2436&lt;=$R$18),U2436,0)</t>
  </si>
  <si>
    <t>=IF(AND($M2436&gt;=$S$16,$M2436&lt;=$S$18),U2436,0)</t>
  </si>
  <si>
    <t>=IF($M2436&lt;=$T$18,U2436,0)</t>
  </si>
  <si>
    <t>="""NAV Direct"",""CRONUS JetCorp USA"",""21"",""1"",""361085"""</t>
  </si>
  <si>
    <t>=E2435</t>
  </si>
  <si>
    <t>=StartDate-$M2437+1</t>
  </si>
  <si>
    <t>=SUM(P2437:T2437)</t>
  </si>
  <si>
    <t>=IF($M2437&gt;=$P$18,U2437,0)</t>
  </si>
  <si>
    <t>=IF(AND($M2437&gt;=$Q$16,$M2437&lt;=$Q$18),U2437,0)</t>
  </si>
  <si>
    <t>=IF(AND($M2437&gt;=$R$16,$M2437&lt;=$R$18),U2437,0)</t>
  </si>
  <si>
    <t>=IF(AND($M2437&gt;=$S$16,$M2437&lt;=$S$18),U2437,0)</t>
  </si>
  <si>
    <t>=IF($M2437&lt;=$T$18,U2437,0)</t>
  </si>
  <si>
    <t>="""NAV Direct"",""CRONUS JetCorp USA"",""21"",""1"",""361234"""</t>
  </si>
  <si>
    <t>=E2436</t>
  </si>
  <si>
    <t>=StartDate-$M2438+1</t>
  </si>
  <si>
    <t>=SUM(P2438:T2438)</t>
  </si>
  <si>
    <t>=IF($M2438&gt;=$P$18,U2438,0)</t>
  </si>
  <si>
    <t>=IF(AND($M2438&gt;=$Q$16,$M2438&lt;=$Q$18),U2438,0)</t>
  </si>
  <si>
    <t>=IF(AND($M2438&gt;=$R$16,$M2438&lt;=$R$18),U2438,0)</t>
  </si>
  <si>
    <t>=IF(AND($M2438&gt;=$S$16,$M2438&lt;=$S$18),U2438,0)</t>
  </si>
  <si>
    <t>=IF($M2438&lt;=$T$18,U2438,0)</t>
  </si>
  <si>
    <t>="""NAV Direct"",""CRONUS JetCorp USA"",""21"",""1"",""361323"""</t>
  </si>
  <si>
    <t>=E2437</t>
  </si>
  <si>
    <t>=StartDate-$M2439+1</t>
  </si>
  <si>
    <t>=SUM(P2439:T2439)</t>
  </si>
  <si>
    <t>=IF($M2439&gt;=$P$18,U2439,0)</t>
  </si>
  <si>
    <t>=IF(AND($M2439&gt;=$Q$16,$M2439&lt;=$Q$18),U2439,0)</t>
  </si>
  <si>
    <t>=IF(AND($M2439&gt;=$R$16,$M2439&lt;=$R$18),U2439,0)</t>
  </si>
  <si>
    <t>=IF(AND($M2439&gt;=$S$16,$M2439&lt;=$S$18),U2439,0)</t>
  </si>
  <si>
    <t>=IF($M2439&lt;=$T$18,U2439,0)</t>
  </si>
  <si>
    <t>="""NAV Direct"",""CRONUS JetCorp USA"",""21"",""1"",""361346"""</t>
  </si>
  <si>
    <t>=E2438</t>
  </si>
  <si>
    <t>=StartDate-$M2440+1</t>
  </si>
  <si>
    <t>=SUM(P2440:T2440)</t>
  </si>
  <si>
    <t>=IF($M2440&gt;=$P$18,U2440,0)</t>
  </si>
  <si>
    <t>=IF(AND($M2440&gt;=$Q$16,$M2440&lt;=$Q$18),U2440,0)</t>
  </si>
  <si>
    <t>=IF(AND($M2440&gt;=$R$16,$M2440&lt;=$R$18),U2440,0)</t>
  </si>
  <si>
    <t>=IF(AND($M2440&gt;=$S$16,$M2440&lt;=$S$18),U2440,0)</t>
  </si>
  <si>
    <t>=IF($M2440&lt;=$T$18,U2440,0)</t>
  </si>
  <si>
    <t>="""NAV Direct"",""CRONUS JetCorp USA"",""21"",""1"",""361387"""</t>
  </si>
  <si>
    <t>=E2439</t>
  </si>
  <si>
    <t>=StartDate-$M2441+1</t>
  </si>
  <si>
    <t>=SUM(P2441:T2441)</t>
  </si>
  <si>
    <t>=IF($M2441&gt;=$P$18,U2441,0)</t>
  </si>
  <si>
    <t>=IF(AND($M2441&gt;=$Q$16,$M2441&lt;=$Q$18),U2441,0)</t>
  </si>
  <si>
    <t>=IF(AND($M2441&gt;=$R$16,$M2441&lt;=$R$18),U2441,0)</t>
  </si>
  <si>
    <t>=IF(AND($M2441&gt;=$S$16,$M2441&lt;=$S$18),U2441,0)</t>
  </si>
  <si>
    <t>=IF($M2441&lt;=$T$18,U2441,0)</t>
  </si>
  <si>
    <t>="""NAV Direct"",""CRONUS JetCorp USA"",""21"",""1"",""361799"""</t>
  </si>
  <si>
    <t>=E2440</t>
  </si>
  <si>
    <t>=StartDate-$M2442+1</t>
  </si>
  <si>
    <t>=SUM(P2442:T2442)</t>
  </si>
  <si>
    <t>=IF($M2442&gt;=$P$18,U2442,0)</t>
  </si>
  <si>
    <t>=IF(AND($M2442&gt;=$Q$16,$M2442&lt;=$Q$18),U2442,0)</t>
  </si>
  <si>
    <t>=IF(AND($M2442&gt;=$R$16,$M2442&lt;=$R$18),U2442,0)</t>
  </si>
  <si>
    <t>=IF(AND($M2442&gt;=$S$16,$M2442&lt;=$S$18),U2442,0)</t>
  </si>
  <si>
    <t>=IF($M2442&lt;=$T$18,U2442,0)</t>
  </si>
  <si>
    <t>="""NAV Direct"",""CRONUS JetCorp USA"",""21"",""1"",""362749"""</t>
  </si>
  <si>
    <t>=E2441</t>
  </si>
  <si>
    <t>=StartDate-$M2443+1</t>
  </si>
  <si>
    <t>=SUM(P2443:T2443)</t>
  </si>
  <si>
    <t>=IF($M2443&gt;=$P$18,U2443,0)</t>
  </si>
  <si>
    <t>=IF(AND($M2443&gt;=$Q$16,$M2443&lt;=$Q$18),U2443,0)</t>
  </si>
  <si>
    <t>=IF(AND($M2443&gt;=$R$16,$M2443&lt;=$R$18),U2443,0)</t>
  </si>
  <si>
    <t>=IF(AND($M2443&gt;=$S$16,$M2443&lt;=$S$18),U2443,0)</t>
  </si>
  <si>
    <t>=IF($M2443&lt;=$T$18,U2443,0)</t>
  </si>
  <si>
    <t>="""NAV Direct"",""CRONUS JetCorp USA"",""21"",""1"",""363021"""</t>
  </si>
  <si>
    <t>=E2442</t>
  </si>
  <si>
    <t>=StartDate-$M2444+1</t>
  </si>
  <si>
    <t>=SUM(P2444:T2444)</t>
  </si>
  <si>
    <t>=IF($M2444&gt;=$P$18,U2444,0)</t>
  </si>
  <si>
    <t>=IF(AND($M2444&gt;=$Q$16,$M2444&lt;=$Q$18),U2444,0)</t>
  </si>
  <si>
    <t>=IF(AND($M2444&gt;=$R$16,$M2444&lt;=$R$18),U2444,0)</t>
  </si>
  <si>
    <t>=IF(AND($M2444&gt;=$S$16,$M2444&lt;=$S$18),U2444,0)</t>
  </si>
  <si>
    <t>=IF($M2444&lt;=$T$18,U2444,0)</t>
  </si>
  <si>
    <t>="""NAV Direct"",""CRONUS JetCorp USA"",""21"",""1"",""363116"""</t>
  </si>
  <si>
    <t>=E2443</t>
  </si>
  <si>
    <t>=StartDate-$M2445+1</t>
  </si>
  <si>
    <t>=SUM(P2445:T2445)</t>
  </si>
  <si>
    <t>=IF($M2445&gt;=$P$18,U2445,0)</t>
  </si>
  <si>
    <t>=IF(AND($M2445&gt;=$Q$16,$M2445&lt;=$Q$18),U2445,0)</t>
  </si>
  <si>
    <t>=IF(AND($M2445&gt;=$R$16,$M2445&lt;=$R$18),U2445,0)</t>
  </si>
  <si>
    <t>=IF(AND($M2445&gt;=$S$16,$M2445&lt;=$S$18),U2445,0)</t>
  </si>
  <si>
    <t>=IF($M2445&lt;=$T$18,U2445,0)</t>
  </si>
  <si>
    <t>="""NAV Direct"",""CRONUS JetCorp USA"",""21"",""1"",""363213"""</t>
  </si>
  <si>
    <t>=E2444</t>
  </si>
  <si>
    <t>=StartDate-$M2446+1</t>
  </si>
  <si>
    <t>=SUM(P2446:T2446)</t>
  </si>
  <si>
    <t>=IF($M2446&gt;=$P$18,U2446,0)</t>
  </si>
  <si>
    <t>=IF(AND($M2446&gt;=$Q$16,$M2446&lt;=$Q$18),U2446,0)</t>
  </si>
  <si>
    <t>=IF(AND($M2446&gt;=$R$16,$M2446&lt;=$R$18),U2446,0)</t>
  </si>
  <si>
    <t>=IF(AND($M2446&gt;=$S$16,$M2446&lt;=$S$18),U2446,0)</t>
  </si>
  <si>
    <t>=IF($M2446&lt;=$T$18,U2446,0)</t>
  </si>
  <si>
    <t>="""NAV Direct"",""CRONUS JetCorp USA"",""21"",""1"",""363817"""</t>
  </si>
  <si>
    <t>=E2445</t>
  </si>
  <si>
    <t>=StartDate-$M2447+1</t>
  </si>
  <si>
    <t>=SUM(P2447:T2447)</t>
  </si>
  <si>
    <t>=IF($M2447&gt;=$P$18,U2447,0)</t>
  </si>
  <si>
    <t>=IF(AND($M2447&gt;=$Q$16,$M2447&lt;=$Q$18),U2447,0)</t>
  </si>
  <si>
    <t>=IF(AND($M2447&gt;=$R$16,$M2447&lt;=$R$18),U2447,0)</t>
  </si>
  <si>
    <t>=IF(AND($M2447&gt;=$S$16,$M2447&lt;=$S$18),U2447,0)</t>
  </si>
  <si>
    <t>=IF($M2447&lt;=$T$18,U2447,0)</t>
  </si>
  <si>
    <t>="""NAV Direct"",""CRONUS JetCorp USA"",""21"",""1"",""364489"""</t>
  </si>
  <si>
    <t>=E2446</t>
  </si>
  <si>
    <t>=StartDate-$M2448+1</t>
  </si>
  <si>
    <t>=SUM(P2448:T2448)</t>
  </si>
  <si>
    <t>=IF($M2448&gt;=$P$18,U2448,0)</t>
  </si>
  <si>
    <t>=IF(AND($M2448&gt;=$Q$16,$M2448&lt;=$Q$18),U2448,0)</t>
  </si>
  <si>
    <t>=IF(AND($M2448&gt;=$R$16,$M2448&lt;=$R$18),U2448,0)</t>
  </si>
  <si>
    <t>=IF(AND($M2448&gt;=$S$16,$M2448&lt;=$S$18),U2448,0)</t>
  </si>
  <si>
    <t>=IF($M2448&lt;=$T$18,U2448,0)</t>
  </si>
  <si>
    <t>="""NAV Direct"",""CRONUS JetCorp USA"",""21"",""1"",""364590"""</t>
  </si>
  <si>
    <t>=E2447</t>
  </si>
  <si>
    <t>=StartDate-$M2449+1</t>
  </si>
  <si>
    <t>=SUM(P2449:T2449)</t>
  </si>
  <si>
    <t>=IF($M2449&gt;=$P$18,U2449,0)</t>
  </si>
  <si>
    <t>=IF(AND($M2449&gt;=$Q$16,$M2449&lt;=$Q$18),U2449,0)</t>
  </si>
  <si>
    <t>=IF(AND($M2449&gt;=$R$16,$M2449&lt;=$R$18),U2449,0)</t>
  </si>
  <si>
    <t>=IF(AND($M2449&gt;=$S$16,$M2449&lt;=$S$18),U2449,0)</t>
  </si>
  <si>
    <t>=IF($M2449&lt;=$T$18,U2449,0)</t>
  </si>
  <si>
    <t>="""NAV Direct"",""CRONUS JetCorp USA"",""21"",""1"",""364935"""</t>
  </si>
  <si>
    <t>=E2448</t>
  </si>
  <si>
    <t>=StartDate-$M2450+1</t>
  </si>
  <si>
    <t>=SUM(P2450:T2450)</t>
  </si>
  <si>
    <t>=IF($M2450&gt;=$P$18,U2450,0)</t>
  </si>
  <si>
    <t>=IF(AND($M2450&gt;=$Q$16,$M2450&lt;=$Q$18),U2450,0)</t>
  </si>
  <si>
    <t>=IF(AND($M2450&gt;=$R$16,$M2450&lt;=$R$18),U2450,0)</t>
  </si>
  <si>
    <t>=IF(AND($M2450&gt;=$S$16,$M2450&lt;=$S$18),U2450,0)</t>
  </si>
  <si>
    <t>=IF($M2450&lt;=$T$18,U2450,0)</t>
  </si>
  <si>
    <t>="""NAV Direct"",""CRONUS JetCorp USA"",""21"",""1"",""365026"""</t>
  </si>
  <si>
    <t>=E2449</t>
  </si>
  <si>
    <t>=StartDate-$M2451+1</t>
  </si>
  <si>
    <t>=SUM(P2451:T2451)</t>
  </si>
  <si>
    <t>=IF($M2451&gt;=$P$18,U2451,0)</t>
  </si>
  <si>
    <t>=IF(AND($M2451&gt;=$Q$16,$M2451&lt;=$Q$18),U2451,0)</t>
  </si>
  <si>
    <t>=IF(AND($M2451&gt;=$R$16,$M2451&lt;=$R$18),U2451,0)</t>
  </si>
  <si>
    <t>=IF(AND($M2451&gt;=$S$16,$M2451&lt;=$S$18),U2451,0)</t>
  </si>
  <si>
    <t>=IF($M2451&lt;=$T$18,U2451,0)</t>
  </si>
  <si>
    <t>="""NAV Direct"",""CRONUS JetCorp USA"",""21"",""1"",""365098"""</t>
  </si>
  <si>
    <t>=E2450</t>
  </si>
  <si>
    <t>=StartDate-$M2452+1</t>
  </si>
  <si>
    <t>=SUM(P2452:T2452)</t>
  </si>
  <si>
    <t>=IF($M2452&gt;=$P$18,U2452,0)</t>
  </si>
  <si>
    <t>=IF(AND($M2452&gt;=$Q$16,$M2452&lt;=$Q$18),U2452,0)</t>
  </si>
  <si>
    <t>=IF(AND($M2452&gt;=$R$16,$M2452&lt;=$R$18),U2452,0)</t>
  </si>
  <si>
    <t>=IF(AND($M2452&gt;=$S$16,$M2452&lt;=$S$18),U2452,0)</t>
  </si>
  <si>
    <t>=IF($M2452&lt;=$T$18,U2452,0)</t>
  </si>
  <si>
    <t>="""NAV Direct"",""CRONUS JetCorp USA"",""21"",""1"",""365184"""</t>
  </si>
  <si>
    <t>=E2451</t>
  </si>
  <si>
    <t>=StartDate-$M2453+1</t>
  </si>
  <si>
    <t>=SUM(P2453:T2453)</t>
  </si>
  <si>
    <t>=IF($M2453&gt;=$P$18,U2453,0)</t>
  </si>
  <si>
    <t>=IF(AND($M2453&gt;=$Q$16,$M2453&lt;=$Q$18),U2453,0)</t>
  </si>
  <si>
    <t>=IF(AND($M2453&gt;=$R$16,$M2453&lt;=$R$18),U2453,0)</t>
  </si>
  <si>
    <t>=IF(AND($M2453&gt;=$S$16,$M2453&lt;=$S$18),U2453,0)</t>
  </si>
  <si>
    <t>=IF($M2453&lt;=$T$18,U2453,0)</t>
  </si>
  <si>
    <t>="""NAV Direct"",""CRONUS JetCorp USA"",""21"",""1"",""365802"""</t>
  </si>
  <si>
    <t>=E2452</t>
  </si>
  <si>
    <t>=StartDate-$M2454+1</t>
  </si>
  <si>
    <t>=SUM(P2454:T2454)</t>
  </si>
  <si>
    <t>=IF($M2454&gt;=$P$18,U2454,0)</t>
  </si>
  <si>
    <t>=IF(AND($M2454&gt;=$Q$16,$M2454&lt;=$Q$18),U2454,0)</t>
  </si>
  <si>
    <t>=IF(AND($M2454&gt;=$R$16,$M2454&lt;=$R$18),U2454,0)</t>
  </si>
  <si>
    <t>=IF(AND($M2454&gt;=$S$16,$M2454&lt;=$S$18),U2454,0)</t>
  </si>
  <si>
    <t>=IF($M2454&lt;=$T$18,U2454,0)</t>
  </si>
  <si>
    <t>="""NAV Direct"",""CRONUS JetCorp USA"",""21"",""1"",""366020"""</t>
  </si>
  <si>
    <t>=E2453</t>
  </si>
  <si>
    <t>=StartDate-$M2455+1</t>
  </si>
  <si>
    <t>=SUM(P2455:T2455)</t>
  </si>
  <si>
    <t>=IF($M2455&gt;=$P$18,U2455,0)</t>
  </si>
  <si>
    <t>=IF(AND($M2455&gt;=$Q$16,$M2455&lt;=$Q$18),U2455,0)</t>
  </si>
  <si>
    <t>=IF(AND($M2455&gt;=$R$16,$M2455&lt;=$R$18),U2455,0)</t>
  </si>
  <si>
    <t>=IF(AND($M2455&gt;=$S$16,$M2455&lt;=$S$18),U2455,0)</t>
  </si>
  <si>
    <t>=IF($M2455&lt;=$T$18,U2455,0)</t>
  </si>
  <si>
    <t>="""NAV Direct"",""CRONUS JetCorp USA"",""21"",""1"",""366088"""</t>
  </si>
  <si>
    <t>=E2454</t>
  </si>
  <si>
    <t>=StartDate-$M2456+1</t>
  </si>
  <si>
    <t>=SUM(P2456:T2456)</t>
  </si>
  <si>
    <t>=IF($M2456&gt;=$P$18,U2456,0)</t>
  </si>
  <si>
    <t>=IF(AND($M2456&gt;=$Q$16,$M2456&lt;=$Q$18),U2456,0)</t>
  </si>
  <si>
    <t>=IF(AND($M2456&gt;=$R$16,$M2456&lt;=$R$18),U2456,0)</t>
  </si>
  <si>
    <t>=IF(AND($M2456&gt;=$S$16,$M2456&lt;=$S$18),U2456,0)</t>
  </si>
  <si>
    <t>=IF($M2456&lt;=$T$18,U2456,0)</t>
  </si>
  <si>
    <t>="""NAV Direct"",""CRONUS JetCorp USA"",""21"",""1"",""366127"""</t>
  </si>
  <si>
    <t>=E2455</t>
  </si>
  <si>
    <t>=StartDate-$M2457+1</t>
  </si>
  <si>
    <t>=SUM(P2457:T2457)</t>
  </si>
  <si>
    <t>=IF($M2457&gt;=$P$18,U2457,0)</t>
  </si>
  <si>
    <t>=IF(AND($M2457&gt;=$Q$16,$M2457&lt;=$Q$18),U2457,0)</t>
  </si>
  <si>
    <t>=IF(AND($M2457&gt;=$R$16,$M2457&lt;=$R$18),U2457,0)</t>
  </si>
  <si>
    <t>=IF(AND($M2457&gt;=$S$16,$M2457&lt;=$S$18),U2457,0)</t>
  </si>
  <si>
    <t>=IF($M2457&lt;=$T$18,U2457,0)</t>
  </si>
  <si>
    <t>="""NAV Direct"",""CRONUS JetCorp USA"",""21"",""1"",""366160"""</t>
  </si>
  <si>
    <t>=E2456</t>
  </si>
  <si>
    <t>=StartDate-$M2458+1</t>
  </si>
  <si>
    <t>=SUM(P2458:T2458)</t>
  </si>
  <si>
    <t>=IF($M2458&gt;=$P$18,U2458,0)</t>
  </si>
  <si>
    <t>=IF(AND($M2458&gt;=$Q$16,$M2458&lt;=$Q$18),U2458,0)</t>
  </si>
  <si>
    <t>=IF(AND($M2458&gt;=$R$16,$M2458&lt;=$R$18),U2458,0)</t>
  </si>
  <si>
    <t>=IF(AND($M2458&gt;=$S$16,$M2458&lt;=$S$18),U2458,0)</t>
  </si>
  <si>
    <t>=IF($M2458&lt;=$T$18,U2458,0)</t>
  </si>
  <si>
    <t>="""NAV Direct"",""CRONUS JetCorp USA"",""21"",""1"",""366193"""</t>
  </si>
  <si>
    <t>=E2457</t>
  </si>
  <si>
    <t>=StartDate-$M2459+1</t>
  </si>
  <si>
    <t>=SUM(P2459:T2459)</t>
  </si>
  <si>
    <t>=IF($M2459&gt;=$P$18,U2459,0)</t>
  </si>
  <si>
    <t>=IF(AND($M2459&gt;=$Q$16,$M2459&lt;=$Q$18),U2459,0)</t>
  </si>
  <si>
    <t>=IF(AND($M2459&gt;=$R$16,$M2459&lt;=$R$18),U2459,0)</t>
  </si>
  <si>
    <t>=IF(AND($M2459&gt;=$S$16,$M2459&lt;=$S$18),U2459,0)</t>
  </si>
  <si>
    <t>=IF($M2459&lt;=$T$18,U2459,0)</t>
  </si>
  <si>
    <t>="""NAV Direct"",""CRONUS JetCorp USA"",""21"",""1"",""366376"""</t>
  </si>
  <si>
    <t>=E2458</t>
  </si>
  <si>
    <t>=StartDate-$M2460+1</t>
  </si>
  <si>
    <t>=SUM(P2460:T2460)</t>
  </si>
  <si>
    <t>=IF($M2460&gt;=$P$18,U2460,0)</t>
  </si>
  <si>
    <t>=IF(AND($M2460&gt;=$Q$16,$M2460&lt;=$Q$18),U2460,0)</t>
  </si>
  <si>
    <t>=IF(AND($M2460&gt;=$R$16,$M2460&lt;=$R$18),U2460,0)</t>
  </si>
  <si>
    <t>=IF(AND($M2460&gt;=$S$16,$M2460&lt;=$S$18),U2460,0)</t>
  </si>
  <si>
    <t>=IF($M2460&lt;=$T$18,U2460,0)</t>
  </si>
  <si>
    <t>="""NAV Direct"",""CRONUS JetCorp USA"",""21"",""1"",""366452"""</t>
  </si>
  <si>
    <t>=E2459</t>
  </si>
  <si>
    <t>=StartDate-$M2461+1</t>
  </si>
  <si>
    <t>=SUM(P2461:T2461)</t>
  </si>
  <si>
    <t>=IF($M2461&gt;=$P$18,U2461,0)</t>
  </si>
  <si>
    <t>=IF(AND($M2461&gt;=$Q$16,$M2461&lt;=$Q$18),U2461,0)</t>
  </si>
  <si>
    <t>=IF(AND($M2461&gt;=$R$16,$M2461&lt;=$R$18),U2461,0)</t>
  </si>
  <si>
    <t>=IF(AND($M2461&gt;=$S$16,$M2461&lt;=$S$18),U2461,0)</t>
  </si>
  <si>
    <t>=IF($M2461&lt;=$T$18,U2461,0)</t>
  </si>
  <si>
    <t>="""NAV Direct"",""CRONUS JetCorp USA"",""21"",""1"",""366532"""</t>
  </si>
  <si>
    <t>=E2460</t>
  </si>
  <si>
    <t>=StartDate-$M2462+1</t>
  </si>
  <si>
    <t>=SUM(P2462:T2462)</t>
  </si>
  <si>
    <t>=IF($M2462&gt;=$P$18,U2462,0)</t>
  </si>
  <si>
    <t>=IF(AND($M2462&gt;=$Q$16,$M2462&lt;=$Q$18),U2462,0)</t>
  </si>
  <si>
    <t>=IF(AND($M2462&gt;=$R$16,$M2462&lt;=$R$18),U2462,0)</t>
  </si>
  <si>
    <t>=IF(AND($M2462&gt;=$S$16,$M2462&lt;=$S$18),U2462,0)</t>
  </si>
  <si>
    <t>=IF($M2462&lt;=$T$18,U2462,0)</t>
  </si>
  <si>
    <t>="""NAV Direct"",""CRONUS JetCorp USA"",""21"",""1"",""366841"""</t>
  </si>
  <si>
    <t>=E2461</t>
  </si>
  <si>
    <t>=StartDate-$M2463+1</t>
  </si>
  <si>
    <t>=SUM(P2463:T2463)</t>
  </si>
  <si>
    <t>=IF($M2463&gt;=$P$18,U2463,0)</t>
  </si>
  <si>
    <t>=IF(AND($M2463&gt;=$Q$16,$M2463&lt;=$Q$18),U2463,0)</t>
  </si>
  <si>
    <t>=IF(AND($M2463&gt;=$R$16,$M2463&lt;=$R$18),U2463,0)</t>
  </si>
  <si>
    <t>=IF(AND($M2463&gt;=$S$16,$M2463&lt;=$S$18),U2463,0)</t>
  </si>
  <si>
    <t>=IF($M2463&lt;=$T$18,U2463,0)</t>
  </si>
  <si>
    <t>="""NAV Direct"",""CRONUS JetCorp USA"",""21"",""1"",""366954"""</t>
  </si>
  <si>
    <t>=E2462</t>
  </si>
  <si>
    <t>=StartDate-$M2464+1</t>
  </si>
  <si>
    <t>=SUM(P2464:T2464)</t>
  </si>
  <si>
    <t>=IF($M2464&gt;=$P$18,U2464,0)</t>
  </si>
  <si>
    <t>=IF(AND($M2464&gt;=$Q$16,$M2464&lt;=$Q$18),U2464,0)</t>
  </si>
  <si>
    <t>=IF(AND($M2464&gt;=$R$16,$M2464&lt;=$R$18),U2464,0)</t>
  </si>
  <si>
    <t>=IF(AND($M2464&gt;=$S$16,$M2464&lt;=$S$18),U2464,0)</t>
  </si>
  <si>
    <t>=IF($M2464&lt;=$T$18,U2464,0)</t>
  </si>
  <si>
    <t>="""NAV Direct"",""CRONUS JetCorp USA"",""21"",""1"",""367305"""</t>
  </si>
  <si>
    <t>=E2463</t>
  </si>
  <si>
    <t>=StartDate-$M2465+1</t>
  </si>
  <si>
    <t>=SUM(P2465:T2465)</t>
  </si>
  <si>
    <t>=IF($M2465&gt;=$P$18,U2465,0)</t>
  </si>
  <si>
    <t>=IF(AND($M2465&gt;=$Q$16,$M2465&lt;=$Q$18),U2465,0)</t>
  </si>
  <si>
    <t>=IF(AND($M2465&gt;=$R$16,$M2465&lt;=$R$18),U2465,0)</t>
  </si>
  <si>
    <t>=IF(AND($M2465&gt;=$S$16,$M2465&lt;=$S$18),U2465,0)</t>
  </si>
  <si>
    <t>=IF($M2465&lt;=$T$18,U2465,0)</t>
  </si>
  <si>
    <t>="""NAV Direct"",""CRONUS JetCorp USA"",""21"",""1"",""367805"""</t>
  </si>
  <si>
    <t>=E2464</t>
  </si>
  <si>
    <t>=StartDate-$M2466+1</t>
  </si>
  <si>
    <t>=SUM(P2466:T2466)</t>
  </si>
  <si>
    <t>=IF($M2466&gt;=$P$18,U2466,0)</t>
  </si>
  <si>
    <t>=IF(AND($M2466&gt;=$Q$16,$M2466&lt;=$Q$18),U2466,0)</t>
  </si>
  <si>
    <t>=IF(AND($M2466&gt;=$R$16,$M2466&lt;=$R$18),U2466,0)</t>
  </si>
  <si>
    <t>=IF(AND($M2466&gt;=$S$16,$M2466&lt;=$S$18),U2466,0)</t>
  </si>
  <si>
    <t>=IF($M2466&lt;=$T$18,U2466,0)</t>
  </si>
  <si>
    <t>="""NAV Direct"",""CRONUS JetCorp USA"",""21"",""1"",""368558"""</t>
  </si>
  <si>
    <t>=E2465</t>
  </si>
  <si>
    <t>=StartDate-$M2467+1</t>
  </si>
  <si>
    <t>=SUM(P2467:T2467)</t>
  </si>
  <si>
    <t>=IF($M2467&gt;=$P$18,U2467,0)</t>
  </si>
  <si>
    <t>=IF(AND($M2467&gt;=$Q$16,$M2467&lt;=$Q$18),U2467,0)</t>
  </si>
  <si>
    <t>=IF(AND($M2467&gt;=$R$16,$M2467&lt;=$R$18),U2467,0)</t>
  </si>
  <si>
    <t>=IF(AND($M2467&gt;=$S$16,$M2467&lt;=$S$18),U2467,0)</t>
  </si>
  <si>
    <t>=IF($M2467&lt;=$T$18,U2467,0)</t>
  </si>
  <si>
    <t>="""NAV Direct"",""CRONUS JetCorp USA"",""21"",""1"",""368729"""</t>
  </si>
  <si>
    <t>=E2466</t>
  </si>
  <si>
    <t>=StartDate-$M2468+1</t>
  </si>
  <si>
    <t>=SUM(P2468:T2468)</t>
  </si>
  <si>
    <t>=IF($M2468&gt;=$P$18,U2468,0)</t>
  </si>
  <si>
    <t>=IF(AND($M2468&gt;=$Q$16,$M2468&lt;=$Q$18),U2468,0)</t>
  </si>
  <si>
    <t>=IF(AND($M2468&gt;=$R$16,$M2468&lt;=$R$18),U2468,0)</t>
  </si>
  <si>
    <t>=IF(AND($M2468&gt;=$S$16,$M2468&lt;=$S$18),U2468,0)</t>
  </si>
  <si>
    <t>=IF($M2468&lt;=$T$18,U2468,0)</t>
  </si>
  <si>
    <t>="""NAV Direct"",""CRONUS JetCorp USA"",""21"",""1"",""368770"""</t>
  </si>
  <si>
    <t>=E2467</t>
  </si>
  <si>
    <t>=StartDate-$M2469+1</t>
  </si>
  <si>
    <t>=SUM(P2469:T2469)</t>
  </si>
  <si>
    <t>=IF($M2469&gt;=$P$18,U2469,0)</t>
  </si>
  <si>
    <t>=IF(AND($M2469&gt;=$Q$16,$M2469&lt;=$Q$18),U2469,0)</t>
  </si>
  <si>
    <t>=IF(AND($M2469&gt;=$R$16,$M2469&lt;=$R$18),U2469,0)</t>
  </si>
  <si>
    <t>=IF(AND($M2469&gt;=$S$16,$M2469&lt;=$S$18),U2469,0)</t>
  </si>
  <si>
    <t>=IF($M2469&lt;=$T$18,U2469,0)</t>
  </si>
  <si>
    <t>="""NAV Direct"",""CRONUS JetCorp USA"",""21"",""1"",""368803"""</t>
  </si>
  <si>
    <t>=E2468</t>
  </si>
  <si>
    <t>=StartDate-$M2470+1</t>
  </si>
  <si>
    <t>=SUM(P2470:T2470)</t>
  </si>
  <si>
    <t>=IF($M2470&gt;=$P$18,U2470,0)</t>
  </si>
  <si>
    <t>=IF(AND($M2470&gt;=$Q$16,$M2470&lt;=$Q$18),U2470,0)</t>
  </si>
  <si>
    <t>=IF(AND($M2470&gt;=$R$16,$M2470&lt;=$R$18),U2470,0)</t>
  </si>
  <si>
    <t>=IF(AND($M2470&gt;=$S$16,$M2470&lt;=$S$18),U2470,0)</t>
  </si>
  <si>
    <t>=IF($M2470&lt;=$T$18,U2470,0)</t>
  </si>
  <si>
    <t>="""NAV Direct"",""CRONUS JetCorp USA"",""21"",""1"",""368951"""</t>
  </si>
  <si>
    <t>=E2469</t>
  </si>
  <si>
    <t>=StartDate-$M2471+1</t>
  </si>
  <si>
    <t>=SUM(P2471:T2471)</t>
  </si>
  <si>
    <t>=IF($M2471&gt;=$P$18,U2471,0)</t>
  </si>
  <si>
    <t>=IF(AND($M2471&gt;=$Q$16,$M2471&lt;=$Q$18),U2471,0)</t>
  </si>
  <si>
    <t>=IF(AND($M2471&gt;=$R$16,$M2471&lt;=$R$18),U2471,0)</t>
  </si>
  <si>
    <t>=IF(AND($M2471&gt;=$S$16,$M2471&lt;=$S$18),U2471,0)</t>
  </si>
  <si>
    <t>=IF($M2471&lt;=$T$18,U2471,0)</t>
  </si>
  <si>
    <t>="""NAV Direct"",""CRONUS JetCorp USA"",""21"",""1"",""369023"""</t>
  </si>
  <si>
    <t>=E2470</t>
  </si>
  <si>
    <t>=StartDate-$M2472+1</t>
  </si>
  <si>
    <t>=SUM(P2472:T2472)</t>
  </si>
  <si>
    <t>=IF($M2472&gt;=$P$18,U2472,0)</t>
  </si>
  <si>
    <t>=IF(AND($M2472&gt;=$Q$16,$M2472&lt;=$Q$18),U2472,0)</t>
  </si>
  <si>
    <t>=IF(AND($M2472&gt;=$R$16,$M2472&lt;=$R$18),U2472,0)</t>
  </si>
  <si>
    <t>=IF(AND($M2472&gt;=$S$16,$M2472&lt;=$S$18),U2472,0)</t>
  </si>
  <si>
    <t>=IF($M2472&lt;=$T$18,U2472,0)</t>
  </si>
  <si>
    <t>="""NAV Direct"",""CRONUS JetCorp USA"",""21"",""1"",""369180"""</t>
  </si>
  <si>
    <t>=E2471</t>
  </si>
  <si>
    <t>=StartDate-$M2473+1</t>
  </si>
  <si>
    <t>=SUM(P2473:T2473)</t>
  </si>
  <si>
    <t>=IF($M2473&gt;=$P$18,U2473,0)</t>
  </si>
  <si>
    <t>=IF(AND($M2473&gt;=$Q$16,$M2473&lt;=$Q$18),U2473,0)</t>
  </si>
  <si>
    <t>=IF(AND($M2473&gt;=$R$16,$M2473&lt;=$R$18),U2473,0)</t>
  </si>
  <si>
    <t>=IF(AND($M2473&gt;=$S$16,$M2473&lt;=$S$18),U2473,0)</t>
  </si>
  <si>
    <t>=IF($M2473&lt;=$T$18,U2473,0)</t>
  </si>
  <si>
    <t>="""NAV Direct"",""CRONUS JetCorp USA"",""21"",""1"",""369335"""</t>
  </si>
  <si>
    <t>=E2472</t>
  </si>
  <si>
    <t>=StartDate-$M2474+1</t>
  </si>
  <si>
    <t>=SUM(P2474:T2474)</t>
  </si>
  <si>
    <t>=IF($M2474&gt;=$P$18,U2474,0)</t>
  </si>
  <si>
    <t>=IF(AND($M2474&gt;=$Q$16,$M2474&lt;=$Q$18),U2474,0)</t>
  </si>
  <si>
    <t>=IF(AND($M2474&gt;=$R$16,$M2474&lt;=$R$18),U2474,0)</t>
  </si>
  <si>
    <t>=IF(AND($M2474&gt;=$S$16,$M2474&lt;=$S$18),U2474,0)</t>
  </si>
  <si>
    <t>=IF($M2474&lt;=$T$18,U2474,0)</t>
  </si>
  <si>
    <t>="""NAV Direct"",""CRONUS JetCorp USA"",""21"",""1"",""369997"""</t>
  </si>
  <si>
    <t>=E2473</t>
  </si>
  <si>
    <t>=StartDate-$M2475+1</t>
  </si>
  <si>
    <t>=SUM(P2475:T2475)</t>
  </si>
  <si>
    <t>=IF($M2475&gt;=$P$18,U2475,0)</t>
  </si>
  <si>
    <t>=IF(AND($M2475&gt;=$Q$16,$M2475&lt;=$Q$18),U2475,0)</t>
  </si>
  <si>
    <t>=IF(AND($M2475&gt;=$R$16,$M2475&lt;=$R$18),U2475,0)</t>
  </si>
  <si>
    <t>=IF(AND($M2475&gt;=$S$16,$M2475&lt;=$S$18),U2475,0)</t>
  </si>
  <si>
    <t>=IF($M2475&lt;=$T$18,U2475,0)</t>
  </si>
  <si>
    <t>="""NAV Direct"",""CRONUS JetCorp USA"",""21"",""1"",""370417"""</t>
  </si>
  <si>
    <t>=E2474</t>
  </si>
  <si>
    <t>=StartDate-$M2476+1</t>
  </si>
  <si>
    <t>=SUM(P2476:T2476)</t>
  </si>
  <si>
    <t>=IF($M2476&gt;=$P$18,U2476,0)</t>
  </si>
  <si>
    <t>=IF(AND($M2476&gt;=$Q$16,$M2476&lt;=$Q$18),U2476,0)</t>
  </si>
  <si>
    <t>=IF(AND($M2476&gt;=$R$16,$M2476&lt;=$R$18),U2476,0)</t>
  </si>
  <si>
    <t>=IF(AND($M2476&gt;=$S$16,$M2476&lt;=$S$18),U2476,0)</t>
  </si>
  <si>
    <t>=IF($M2476&lt;=$T$18,U2476,0)</t>
  </si>
  <si>
    <t>="""NAV Direct"",""CRONUS JetCorp USA"",""21"",""1"",""370518"""</t>
  </si>
  <si>
    <t>=E2475</t>
  </si>
  <si>
    <t>=StartDate-$M2477+1</t>
  </si>
  <si>
    <t>=SUM(P2477:T2477)</t>
  </si>
  <si>
    <t>=IF($M2477&gt;=$P$18,U2477,0)</t>
  </si>
  <si>
    <t>=IF(AND($M2477&gt;=$Q$16,$M2477&lt;=$Q$18),U2477,0)</t>
  </si>
  <si>
    <t>=IF(AND($M2477&gt;=$R$16,$M2477&lt;=$R$18),U2477,0)</t>
  </si>
  <si>
    <t>=IF(AND($M2477&gt;=$S$16,$M2477&lt;=$S$18),U2477,0)</t>
  </si>
  <si>
    <t>=IF($M2477&lt;=$T$18,U2477,0)</t>
  </si>
  <si>
    <t>="""NAV Direct"",""CRONUS JetCorp USA"",""21"",""1"",""370640"""</t>
  </si>
  <si>
    <t>=E2476</t>
  </si>
  <si>
    <t>=StartDate-$M2478+1</t>
  </si>
  <si>
    <t>=SUM(P2478:T2478)</t>
  </si>
  <si>
    <t>=IF($M2478&gt;=$P$18,U2478,0)</t>
  </si>
  <si>
    <t>=IF(AND($M2478&gt;=$Q$16,$M2478&lt;=$Q$18),U2478,0)</t>
  </si>
  <si>
    <t>=IF(AND($M2478&gt;=$R$16,$M2478&lt;=$R$18),U2478,0)</t>
  </si>
  <si>
    <t>=IF(AND($M2478&gt;=$S$16,$M2478&lt;=$S$18),U2478,0)</t>
  </si>
  <si>
    <t>=IF($M2478&lt;=$T$18,U2478,0)</t>
  </si>
  <si>
    <t>="""NAV Direct"",""CRONUS JetCorp USA"",""21"",""1"",""370673"""</t>
  </si>
  <si>
    <t>=E2477</t>
  </si>
  <si>
    <t>=StartDate-$M2479+1</t>
  </si>
  <si>
    <t>=SUM(P2479:T2479)</t>
  </si>
  <si>
    <t>=IF($M2479&gt;=$P$18,U2479,0)</t>
  </si>
  <si>
    <t>=IF(AND($M2479&gt;=$Q$16,$M2479&lt;=$Q$18),U2479,0)</t>
  </si>
  <si>
    <t>=IF(AND($M2479&gt;=$R$16,$M2479&lt;=$R$18),U2479,0)</t>
  </si>
  <si>
    <t>=IF(AND($M2479&gt;=$S$16,$M2479&lt;=$S$18),U2479,0)</t>
  </si>
  <si>
    <t>=IF($M2479&lt;=$T$18,U2479,0)</t>
  </si>
  <si>
    <t>="""NAV Direct"",""CRONUS JetCorp USA"",""21"",""1"",""370790"""</t>
  </si>
  <si>
    <t>=E2478</t>
  </si>
  <si>
    <t>=StartDate-$M2480+1</t>
  </si>
  <si>
    <t>=SUM(P2480:T2480)</t>
  </si>
  <si>
    <t>=IF($M2480&gt;=$P$18,U2480,0)</t>
  </si>
  <si>
    <t>=IF(AND($M2480&gt;=$Q$16,$M2480&lt;=$Q$18),U2480,0)</t>
  </si>
  <si>
    <t>=IF(AND($M2480&gt;=$R$16,$M2480&lt;=$R$18),U2480,0)</t>
  </si>
  <si>
    <t>=IF(AND($M2480&gt;=$S$16,$M2480&lt;=$S$18),U2480,0)</t>
  </si>
  <si>
    <t>=IF($M2480&lt;=$T$18,U2480,0)</t>
  </si>
  <si>
    <t>="""NAV Direct"",""CRONUS JetCorp USA"",""21"",""1"",""370876"""</t>
  </si>
  <si>
    <t>=E2479</t>
  </si>
  <si>
    <t>=StartDate-$M2481+1</t>
  </si>
  <si>
    <t>=SUM(P2481:T2481)</t>
  </si>
  <si>
    <t>=IF($M2481&gt;=$P$18,U2481,0)</t>
  </si>
  <si>
    <t>=IF(AND($M2481&gt;=$Q$16,$M2481&lt;=$Q$18),U2481,0)</t>
  </si>
  <si>
    <t>=IF(AND($M2481&gt;=$R$16,$M2481&lt;=$R$18),U2481,0)</t>
  </si>
  <si>
    <t>=IF(AND($M2481&gt;=$S$16,$M2481&lt;=$S$18),U2481,0)</t>
  </si>
  <si>
    <t>=IF($M2481&lt;=$T$18,U2481,0)</t>
  </si>
  <si>
    <t>="""NAV Direct"",""CRONUS JetCorp USA"",""21"",""1"",""435778"""</t>
  </si>
  <si>
    <t>=E2480</t>
  </si>
  <si>
    <t>=StartDate-$M2482+1</t>
  </si>
  <si>
    <t>=SUM(P2482:T2482)</t>
  </si>
  <si>
    <t>=IF($M2482&gt;=$P$18,U2482,0)</t>
  </si>
  <si>
    <t>=IF(AND($M2482&gt;=$Q$16,$M2482&lt;=$Q$18),U2482,0)</t>
  </si>
  <si>
    <t>=IF(AND($M2482&gt;=$R$16,$M2482&lt;=$R$18),U2482,0)</t>
  </si>
  <si>
    <t>=IF(AND($M2482&gt;=$S$16,$M2482&lt;=$S$18),U2482,0)</t>
  </si>
  <si>
    <t>=IF($M2482&lt;=$T$18,U2482,0)</t>
  </si>
  <si>
    <t>="""NAV Direct"",""CRONUS JetCorp USA"",""21"",""1"",""435823"""</t>
  </si>
  <si>
    <t>=E2481</t>
  </si>
  <si>
    <t>=StartDate-$M2483+1</t>
  </si>
  <si>
    <t>=SUM(P2483:T2483)</t>
  </si>
  <si>
    <t>=IF($M2483&gt;=$P$18,U2483,0)</t>
  </si>
  <si>
    <t>=IF(AND($M2483&gt;=$Q$16,$M2483&lt;=$Q$18),U2483,0)</t>
  </si>
  <si>
    <t>=IF(AND($M2483&gt;=$R$16,$M2483&lt;=$R$18),U2483,0)</t>
  </si>
  <si>
    <t>=IF(AND($M2483&gt;=$S$16,$M2483&lt;=$S$18),U2483,0)</t>
  </si>
  <si>
    <t>=IF($M2483&lt;=$T$18,U2483,0)</t>
  </si>
  <si>
    <t>="""NAV Direct"",""CRONUS JetCorp USA"",""21"",""1"",""435992"""</t>
  </si>
  <si>
    <t>=E2482</t>
  </si>
  <si>
    <t>=StartDate-$M2484+1</t>
  </si>
  <si>
    <t>=SUM(P2484:T2484)</t>
  </si>
  <si>
    <t>=IF($M2484&gt;=$P$18,U2484,0)</t>
  </si>
  <si>
    <t>=IF(AND($M2484&gt;=$Q$16,$M2484&lt;=$Q$18),U2484,0)</t>
  </si>
  <si>
    <t>=IF(AND($M2484&gt;=$R$16,$M2484&lt;=$R$18),U2484,0)</t>
  </si>
  <si>
    <t>=IF(AND($M2484&gt;=$S$16,$M2484&lt;=$S$18),U2484,0)</t>
  </si>
  <si>
    <t>=IF($M2484&lt;=$T$18,U2484,0)</t>
  </si>
  <si>
    <t>="""NAV Direct"",""CRONUS JetCorp USA"",""21"",""1"",""436088"""</t>
  </si>
  <si>
    <t>=E2483</t>
  </si>
  <si>
    <t>=StartDate-$M2485+1</t>
  </si>
  <si>
    <t>=SUM(P2485:T2485)</t>
  </si>
  <si>
    <t>=IF($M2485&gt;=$P$18,U2485,0)</t>
  </si>
  <si>
    <t>=IF(AND($M2485&gt;=$Q$16,$M2485&lt;=$Q$18),U2485,0)</t>
  </si>
  <si>
    <t>=IF(AND($M2485&gt;=$R$16,$M2485&lt;=$R$18),U2485,0)</t>
  </si>
  <si>
    <t>=IF(AND($M2485&gt;=$S$16,$M2485&lt;=$S$18),U2485,0)</t>
  </si>
  <si>
    <t>=IF($M2485&lt;=$T$18,U2485,0)</t>
  </si>
  <si>
    <t>="""NAV Direct"",""CRONUS JetCorp USA"",""21"",""1"",""436203"""</t>
  </si>
  <si>
    <t>=E2484</t>
  </si>
  <si>
    <t>=StartDate-$M2486+1</t>
  </si>
  <si>
    <t>=SUM(P2486:T2486)</t>
  </si>
  <si>
    <t>=IF($M2486&gt;=$P$18,U2486,0)</t>
  </si>
  <si>
    <t>=IF(AND($M2486&gt;=$Q$16,$M2486&lt;=$Q$18),U2486,0)</t>
  </si>
  <si>
    <t>=IF(AND($M2486&gt;=$R$16,$M2486&lt;=$R$18),U2486,0)</t>
  </si>
  <si>
    <t>=IF(AND($M2486&gt;=$S$16,$M2486&lt;=$S$18),U2486,0)</t>
  </si>
  <si>
    <t>=IF($M2486&lt;=$T$18,U2486,0)</t>
  </si>
  <si>
    <t>="""NAV Direct"",""CRONUS JetCorp USA"",""21"",""1"",""436335"""</t>
  </si>
  <si>
    <t>=E2485</t>
  </si>
  <si>
    <t>=StartDate-$M2487+1</t>
  </si>
  <si>
    <t>=SUM(P2487:T2487)</t>
  </si>
  <si>
    <t>=IF($M2487&gt;=$P$18,U2487,0)</t>
  </si>
  <si>
    <t>=IF(AND($M2487&gt;=$Q$16,$M2487&lt;=$Q$18),U2487,0)</t>
  </si>
  <si>
    <t>=IF(AND($M2487&gt;=$R$16,$M2487&lt;=$R$18),U2487,0)</t>
  </si>
  <si>
    <t>=IF(AND($M2487&gt;=$S$16,$M2487&lt;=$S$18),U2487,0)</t>
  </si>
  <si>
    <t>=IF($M2487&lt;=$T$18,U2487,0)</t>
  </si>
  <si>
    <t>="""NAV Direct"",""CRONUS JetCorp USA"",""21"",""1"",""436577"""</t>
  </si>
  <si>
    <t>=E2486</t>
  </si>
  <si>
    <t>=StartDate-$M2488+1</t>
  </si>
  <si>
    <t>=SUM(P2488:T2488)</t>
  </si>
  <si>
    <t>=IF($M2488&gt;=$P$18,U2488,0)</t>
  </si>
  <si>
    <t>=IF(AND($M2488&gt;=$Q$16,$M2488&lt;=$Q$18),U2488,0)</t>
  </si>
  <si>
    <t>=IF(AND($M2488&gt;=$R$16,$M2488&lt;=$R$18),U2488,0)</t>
  </si>
  <si>
    <t>=IF(AND($M2488&gt;=$S$16,$M2488&lt;=$S$18),U2488,0)</t>
  </si>
  <si>
    <t>=IF($M2488&lt;=$T$18,U2488,0)</t>
  </si>
  <si>
    <t>="""NAV Direct"",""CRONUS JetCorp USA"",""21"",""1"",""436758"""</t>
  </si>
  <si>
    <t>=E2487</t>
  </si>
  <si>
    <t>=StartDate-$M2489+1</t>
  </si>
  <si>
    <t>=SUM(P2489:T2489)</t>
  </si>
  <si>
    <t>=IF($M2489&gt;=$P$18,U2489,0)</t>
  </si>
  <si>
    <t>=IF(AND($M2489&gt;=$Q$16,$M2489&lt;=$Q$18),U2489,0)</t>
  </si>
  <si>
    <t>=IF(AND($M2489&gt;=$R$16,$M2489&lt;=$R$18),U2489,0)</t>
  </si>
  <si>
    <t>=IF(AND($M2489&gt;=$S$16,$M2489&lt;=$S$18),U2489,0)</t>
  </si>
  <si>
    <t>=IF($M2489&lt;=$T$18,U2489,0)</t>
  </si>
  <si>
    <t>="""NAV Direct"",""CRONUS JetCorp USA"",""21"",""1"",""436809"""</t>
  </si>
  <si>
    <t>=E2488</t>
  </si>
  <si>
    <t>=StartDate-$M2490+1</t>
  </si>
  <si>
    <t>=SUM(P2490:T2490)</t>
  </si>
  <si>
    <t>=IF($M2490&gt;=$P$18,U2490,0)</t>
  </si>
  <si>
    <t>=IF(AND($M2490&gt;=$Q$16,$M2490&lt;=$Q$18),U2490,0)</t>
  </si>
  <si>
    <t>=IF(AND($M2490&gt;=$R$16,$M2490&lt;=$R$18),U2490,0)</t>
  </si>
  <si>
    <t>=IF(AND($M2490&gt;=$S$16,$M2490&lt;=$S$18),U2490,0)</t>
  </si>
  <si>
    <t>=IF($M2490&lt;=$T$18,U2490,0)</t>
  </si>
  <si>
    <t>="""NAV Direct"",""CRONUS JetCorp USA"",""21"",""1"",""436913"""</t>
  </si>
  <si>
    <t>=E2489</t>
  </si>
  <si>
    <t>=StartDate-$M2491+1</t>
  </si>
  <si>
    <t>=SUM(P2491:T2491)</t>
  </si>
  <si>
    <t>=IF($M2491&gt;=$P$18,U2491,0)</t>
  </si>
  <si>
    <t>=IF(AND($M2491&gt;=$Q$16,$M2491&lt;=$Q$18),U2491,0)</t>
  </si>
  <si>
    <t>=IF(AND($M2491&gt;=$R$16,$M2491&lt;=$R$18),U2491,0)</t>
  </si>
  <si>
    <t>=IF(AND($M2491&gt;=$S$16,$M2491&lt;=$S$18),U2491,0)</t>
  </si>
  <si>
    <t>=IF($M2491&lt;=$T$18,U2491,0)</t>
  </si>
  <si>
    <t>="""NAV Direct"",""CRONUS JetCorp USA"",""21"",""1"",""436960"""</t>
  </si>
  <si>
    <t>=E2490</t>
  </si>
  <si>
    <t>=StartDate-$M2492+1</t>
  </si>
  <si>
    <t>=SUM(P2492:T2492)</t>
  </si>
  <si>
    <t>=IF($M2492&gt;=$P$18,U2492,0)</t>
  </si>
  <si>
    <t>=IF(AND($M2492&gt;=$Q$16,$M2492&lt;=$Q$18),U2492,0)</t>
  </si>
  <si>
    <t>=IF(AND($M2492&gt;=$R$16,$M2492&lt;=$R$18),U2492,0)</t>
  </si>
  <si>
    <t>=IF(AND($M2492&gt;=$S$16,$M2492&lt;=$S$18),U2492,0)</t>
  </si>
  <si>
    <t>=IF($M2492&lt;=$T$18,U2492,0)</t>
  </si>
  <si>
    <t>="""NAV Direct"",""CRONUS JetCorp USA"",""21"",""1"",""437086"""</t>
  </si>
  <si>
    <t>=E2491</t>
  </si>
  <si>
    <t>=StartDate-$M2493+1</t>
  </si>
  <si>
    <t>=SUM(P2493:T2493)</t>
  </si>
  <si>
    <t>=IF($M2493&gt;=$P$18,U2493,0)</t>
  </si>
  <si>
    <t>=IF(AND($M2493&gt;=$Q$16,$M2493&lt;=$Q$18),U2493,0)</t>
  </si>
  <si>
    <t>=IF(AND($M2493&gt;=$R$16,$M2493&lt;=$R$18),U2493,0)</t>
  </si>
  <si>
    <t>=IF(AND($M2493&gt;=$S$16,$M2493&lt;=$S$18),U2493,0)</t>
  </si>
  <si>
    <t>=IF($M2493&lt;=$T$18,U2493,0)</t>
  </si>
  <si>
    <t>="""NAV Direct"",""CRONUS JetCorp USA"",""18"",""1"",""C100083"""</t>
  </si>
  <si>
    <t>=H2496</t>
  </si>
  <si>
    <t>=NF($C2496,"1 No.")</t>
  </si>
  <si>
    <t>=NF($C2496,"1 No.")&amp;"  -  "&amp;NF($C2496,"2 Name")</t>
  </si>
  <si>
    <t>=IFERROR(O2496/NF(C2496,"Credit Limit (LCY)"),"")</t>
  </si>
  <si>
    <t>=SUBTOTAL(3,L2497:L2648)</t>
  </si>
  <si>
    <t>=SUBTOTAL(9,O2497:O2648)</t>
  </si>
  <si>
    <t>=SUBTOTAL(9,P2497:P2648)</t>
  </si>
  <si>
    <t>=SUBTOTAL(9,Q2497:Q2648)</t>
  </si>
  <si>
    <t>=SUBTOTAL(9,R2497:R2648)</t>
  </si>
  <si>
    <t>=SUBTOTAL(9,S2497:S2648)</t>
  </si>
  <si>
    <t>=SUBTOTAL(9,T2497:T2648)</t>
  </si>
  <si>
    <t>=C2496</t>
  </si>
  <si>
    <t>=E2496</t>
  </si>
  <si>
    <t>="Contact: "&amp;NF($C2497,"8 Contact")</t>
  </si>
  <si>
    <t>=C2497</t>
  </si>
  <si>
    <t>=E2497</t>
  </si>
  <si>
    <t>=NF($C2498,"102 E-Mail")</t>
  </si>
  <si>
    <t>=NL("Rows","21 Cust. Ledger Entry",,"3 Customer No.","@@"&amp;$E2500,"16 Remaining Amt. (LCY)","&lt;&gt;0")</t>
  </si>
  <si>
    <t>=E2498</t>
  </si>
  <si>
    <t>=StartDate-$M2500+1</t>
  </si>
  <si>
    <t>=SUM(P2500:T2500)</t>
  </si>
  <si>
    <t>=IF($M2500&gt;=$P$18,U2500,0)</t>
  </si>
  <si>
    <t>=IF(AND($M2500&gt;=$Q$16,$M2500&lt;=$Q$18),U2500,0)</t>
  </si>
  <si>
    <t>=IF(AND($M2500&gt;=$R$16,$M2500&lt;=$R$18),U2500,0)</t>
  </si>
  <si>
    <t>=IF(AND($M2500&gt;=$S$16,$M2500&lt;=$S$18),U2500,0)</t>
  </si>
  <si>
    <t>=IF($M2500&lt;=$T$18,U2500,0)</t>
  </si>
  <si>
    <t>="""NAV Direct"",""CRONUS JetCorp USA"",""21"",""1"",""22812"""</t>
  </si>
  <si>
    <t>=E2499</t>
  </si>
  <si>
    <t>=StartDate-$M2501+1</t>
  </si>
  <si>
    <t>=SUM(P2501:T2501)</t>
  </si>
  <si>
    <t>=IF($M2501&gt;=$P$18,U2501,0)</t>
  </si>
  <si>
    <t>=IF(AND($M2501&gt;=$Q$16,$M2501&lt;=$Q$18),U2501,0)</t>
  </si>
  <si>
    <t>=IF(AND($M2501&gt;=$R$16,$M2501&lt;=$R$18),U2501,0)</t>
  </si>
  <si>
    <t>=IF(AND($M2501&gt;=$S$16,$M2501&lt;=$S$18),U2501,0)</t>
  </si>
  <si>
    <t>=IF($M2501&lt;=$T$18,U2501,0)</t>
  </si>
  <si>
    <t>="""NAV Direct"",""CRONUS JetCorp USA"",""21"",""1"",""22837"""</t>
  </si>
  <si>
    <t>=E2500</t>
  </si>
  <si>
    <t>=StartDate-$M2502+1</t>
  </si>
  <si>
    <t>=SUM(P2502:T2502)</t>
  </si>
  <si>
    <t>=IF($M2502&gt;=$P$18,U2502,0)</t>
  </si>
  <si>
    <t>=IF(AND($M2502&gt;=$Q$16,$M2502&lt;=$Q$18),U2502,0)</t>
  </si>
  <si>
    <t>=IF(AND($M2502&gt;=$R$16,$M2502&lt;=$R$18),U2502,0)</t>
  </si>
  <si>
    <t>=IF(AND($M2502&gt;=$S$16,$M2502&lt;=$S$18),U2502,0)</t>
  </si>
  <si>
    <t>=IF($M2502&lt;=$T$18,U2502,0)</t>
  </si>
  <si>
    <t>="""NAV Direct"",""CRONUS JetCorp USA"",""21"",""1"",""22924"""</t>
  </si>
  <si>
    <t>=E2501</t>
  </si>
  <si>
    <t>=StartDate-$M2503+1</t>
  </si>
  <si>
    <t>=SUM(P2503:T2503)</t>
  </si>
  <si>
    <t>=IF($M2503&gt;=$P$18,U2503,0)</t>
  </si>
  <si>
    <t>=IF(AND($M2503&gt;=$Q$16,$M2503&lt;=$Q$18),U2503,0)</t>
  </si>
  <si>
    <t>=IF(AND($M2503&gt;=$R$16,$M2503&lt;=$R$18),U2503,0)</t>
  </si>
  <si>
    <t>=IF(AND($M2503&gt;=$S$16,$M2503&lt;=$S$18),U2503,0)</t>
  </si>
  <si>
    <t>=IF($M2503&lt;=$T$18,U2503,0)</t>
  </si>
  <si>
    <t>="""NAV Direct"",""CRONUS JetCorp USA"",""21"",""1"",""22972"""</t>
  </si>
  <si>
    <t>=E2502</t>
  </si>
  <si>
    <t>=StartDate-$M2504+1</t>
  </si>
  <si>
    <t>=SUM(P2504:T2504)</t>
  </si>
  <si>
    <t>=IF($M2504&gt;=$P$18,U2504,0)</t>
  </si>
  <si>
    <t>=IF(AND($M2504&gt;=$Q$16,$M2504&lt;=$Q$18),U2504,0)</t>
  </si>
  <si>
    <t>=IF(AND($M2504&gt;=$R$16,$M2504&lt;=$R$18),U2504,0)</t>
  </si>
  <si>
    <t>=IF(AND($M2504&gt;=$S$16,$M2504&lt;=$S$18),U2504,0)</t>
  </si>
  <si>
    <t>=IF($M2504&lt;=$T$18,U2504,0)</t>
  </si>
  <si>
    <t>=E2503</t>
  </si>
  <si>
    <t>=StartDate-$M2505+1</t>
  </si>
  <si>
    <t>=SUM(P2505:T2505)</t>
  </si>
  <si>
    <t>=IF($M2505&gt;=$P$18,U2505,0)</t>
  </si>
  <si>
    <t>=IF(AND($M2505&gt;=$Q$16,$M2505&lt;=$Q$18),U2505,0)</t>
  </si>
  <si>
    <t>=IF(AND($M2505&gt;=$R$16,$M2505&lt;=$R$18),U2505,0)</t>
  </si>
  <si>
    <t>=IF(AND($M2505&gt;=$S$16,$M2505&lt;=$S$18),U2505,0)</t>
  </si>
  <si>
    <t>=IF($M2505&lt;=$T$18,U2505,0)</t>
  </si>
  <si>
    <t>=E2504</t>
  </si>
  <si>
    <t>=StartDate-$M2506+1</t>
  </si>
  <si>
    <t>=SUM(P2506:T2506)</t>
  </si>
  <si>
    <t>=IF($M2506&gt;=$P$18,U2506,0)</t>
  </si>
  <si>
    <t>=IF(AND($M2506&gt;=$Q$16,$M2506&lt;=$Q$18),U2506,0)</t>
  </si>
  <si>
    <t>=IF(AND($M2506&gt;=$R$16,$M2506&lt;=$R$18),U2506,0)</t>
  </si>
  <si>
    <t>=IF(AND($M2506&gt;=$S$16,$M2506&lt;=$S$18),U2506,0)</t>
  </si>
  <si>
    <t>=IF($M2506&lt;=$T$18,U2506,0)</t>
  </si>
  <si>
    <t>="""NAV Direct"",""CRONUS JetCorp USA"",""21"",""1"",""313559"""</t>
  </si>
  <si>
    <t>=E2505</t>
  </si>
  <si>
    <t>=StartDate-$M2507+1</t>
  </si>
  <si>
    <t>=SUM(P2507:T2507)</t>
  </si>
  <si>
    <t>=IF($M2507&gt;=$P$18,U2507,0)</t>
  </si>
  <si>
    <t>=IF(AND($M2507&gt;=$Q$16,$M2507&lt;=$Q$18),U2507,0)</t>
  </si>
  <si>
    <t>=IF(AND($M2507&gt;=$R$16,$M2507&lt;=$R$18),U2507,0)</t>
  </si>
  <si>
    <t>=IF(AND($M2507&gt;=$S$16,$M2507&lt;=$S$18),U2507,0)</t>
  </si>
  <si>
    <t>=IF($M2507&lt;=$T$18,U2507,0)</t>
  </si>
  <si>
    <t>="""NAV Direct"",""CRONUS JetCorp USA"",""21"",""1"",""313715"""</t>
  </si>
  <si>
    <t>=E2506</t>
  </si>
  <si>
    <t>=StartDate-$M2508+1</t>
  </si>
  <si>
    <t>=SUM(P2508:T2508)</t>
  </si>
  <si>
    <t>=IF($M2508&gt;=$P$18,U2508,0)</t>
  </si>
  <si>
    <t>=IF(AND($M2508&gt;=$Q$16,$M2508&lt;=$Q$18),U2508,0)</t>
  </si>
  <si>
    <t>=IF(AND($M2508&gt;=$R$16,$M2508&lt;=$R$18),U2508,0)</t>
  </si>
  <si>
    <t>=IF(AND($M2508&gt;=$S$16,$M2508&lt;=$S$18),U2508,0)</t>
  </si>
  <si>
    <t>=IF($M2508&lt;=$T$18,U2508,0)</t>
  </si>
  <si>
    <t>="""NAV Direct"",""CRONUS JetCorp USA"",""21"",""1"",""313759"""</t>
  </si>
  <si>
    <t>=E2507</t>
  </si>
  <si>
    <t>=StartDate-$M2509+1</t>
  </si>
  <si>
    <t>=SUM(P2509:T2509)</t>
  </si>
  <si>
    <t>=IF($M2509&gt;=$P$18,U2509,0)</t>
  </si>
  <si>
    <t>=IF(AND($M2509&gt;=$Q$16,$M2509&lt;=$Q$18),U2509,0)</t>
  </si>
  <si>
    <t>=IF(AND($M2509&gt;=$R$16,$M2509&lt;=$R$18),U2509,0)</t>
  </si>
  <si>
    <t>=IF(AND($M2509&gt;=$S$16,$M2509&lt;=$S$18),U2509,0)</t>
  </si>
  <si>
    <t>=IF($M2509&lt;=$T$18,U2509,0)</t>
  </si>
  <si>
    <t>="""NAV Direct"",""CRONUS JetCorp USA"",""21"",""1"",""313857"""</t>
  </si>
  <si>
    <t>=E2508</t>
  </si>
  <si>
    <t>=StartDate-$M2510+1</t>
  </si>
  <si>
    <t>=SUM(P2510:T2510)</t>
  </si>
  <si>
    <t>=IF($M2510&gt;=$P$18,U2510,0)</t>
  </si>
  <si>
    <t>=IF(AND($M2510&gt;=$Q$16,$M2510&lt;=$Q$18),U2510,0)</t>
  </si>
  <si>
    <t>=IF(AND($M2510&gt;=$R$16,$M2510&lt;=$R$18),U2510,0)</t>
  </si>
  <si>
    <t>=IF(AND($M2510&gt;=$S$16,$M2510&lt;=$S$18),U2510,0)</t>
  </si>
  <si>
    <t>=IF($M2510&lt;=$T$18,U2510,0)</t>
  </si>
  <si>
    <t>="""NAV Direct"",""CRONUS JetCorp USA"",""21"",""1"",""313926"""</t>
  </si>
  <si>
    <t>=E2509</t>
  </si>
  <si>
    <t>=StartDate-$M2511+1</t>
  </si>
  <si>
    <t>=SUM(P2511:T2511)</t>
  </si>
  <si>
    <t>=IF($M2511&gt;=$P$18,U2511,0)</t>
  </si>
  <si>
    <t>=IF(AND($M2511&gt;=$Q$16,$M2511&lt;=$Q$18),U2511,0)</t>
  </si>
  <si>
    <t>=IF(AND($M2511&gt;=$R$16,$M2511&lt;=$R$18),U2511,0)</t>
  </si>
  <si>
    <t>=IF(AND($M2511&gt;=$S$16,$M2511&lt;=$S$18),U2511,0)</t>
  </si>
  <si>
    <t>=IF($M2511&lt;=$T$18,U2511,0)</t>
  </si>
  <si>
    <t>="""NAV Direct"",""CRONUS JetCorp USA"",""21"",""1"",""313966"""</t>
  </si>
  <si>
    <t>=E2510</t>
  </si>
  <si>
    <t>=StartDate-$M2512+1</t>
  </si>
  <si>
    <t>=SUM(P2512:T2512)</t>
  </si>
  <si>
    <t>=IF($M2512&gt;=$P$18,U2512,0)</t>
  </si>
  <si>
    <t>=IF(AND($M2512&gt;=$Q$16,$M2512&lt;=$Q$18),U2512,0)</t>
  </si>
  <si>
    <t>=IF(AND($M2512&gt;=$R$16,$M2512&lt;=$R$18),U2512,0)</t>
  </si>
  <si>
    <t>=IF(AND($M2512&gt;=$S$16,$M2512&lt;=$S$18),U2512,0)</t>
  </si>
  <si>
    <t>=IF($M2512&lt;=$T$18,U2512,0)</t>
  </si>
  <si>
    <t>="""NAV Direct"",""CRONUS JetCorp USA"",""21"",""1"",""313993"""</t>
  </si>
  <si>
    <t>=E2511</t>
  </si>
  <si>
    <t>=StartDate-$M2513+1</t>
  </si>
  <si>
    <t>=SUM(P2513:T2513)</t>
  </si>
  <si>
    <t>=IF($M2513&gt;=$P$18,U2513,0)</t>
  </si>
  <si>
    <t>=IF(AND($M2513&gt;=$Q$16,$M2513&lt;=$Q$18),U2513,0)</t>
  </si>
  <si>
    <t>=IF(AND($M2513&gt;=$R$16,$M2513&lt;=$R$18),U2513,0)</t>
  </si>
  <si>
    <t>=IF(AND($M2513&gt;=$S$16,$M2513&lt;=$S$18),U2513,0)</t>
  </si>
  <si>
    <t>=IF($M2513&lt;=$T$18,U2513,0)</t>
  </si>
  <si>
    <t>="""NAV Direct"",""CRONUS JetCorp USA"",""21"",""1"",""314020"""</t>
  </si>
  <si>
    <t>=E2512</t>
  </si>
  <si>
    <t>=StartDate-$M2514+1</t>
  </si>
  <si>
    <t>=SUM(P2514:T2514)</t>
  </si>
  <si>
    <t>=IF($M2514&gt;=$P$18,U2514,0)</t>
  </si>
  <si>
    <t>=IF(AND($M2514&gt;=$Q$16,$M2514&lt;=$Q$18),U2514,0)</t>
  </si>
  <si>
    <t>=IF(AND($M2514&gt;=$R$16,$M2514&lt;=$R$18),U2514,0)</t>
  </si>
  <si>
    <t>=IF(AND($M2514&gt;=$S$16,$M2514&lt;=$S$18),U2514,0)</t>
  </si>
  <si>
    <t>=IF($M2514&lt;=$T$18,U2514,0)</t>
  </si>
  <si>
    <t>="""NAV Direct"",""CRONUS JetCorp USA"",""21"",""1"",""314085"""</t>
  </si>
  <si>
    <t>=E2513</t>
  </si>
  <si>
    <t>=StartDate-$M2515+1</t>
  </si>
  <si>
    <t>=SUM(P2515:T2515)</t>
  </si>
  <si>
    <t>=IF($M2515&gt;=$P$18,U2515,0)</t>
  </si>
  <si>
    <t>=IF(AND($M2515&gt;=$Q$16,$M2515&lt;=$Q$18),U2515,0)</t>
  </si>
  <si>
    <t>=IF(AND($M2515&gt;=$R$16,$M2515&lt;=$R$18),U2515,0)</t>
  </si>
  <si>
    <t>=IF(AND($M2515&gt;=$S$16,$M2515&lt;=$S$18),U2515,0)</t>
  </si>
  <si>
    <t>=IF($M2515&lt;=$T$18,U2515,0)</t>
  </si>
  <si>
    <t>="""NAV Direct"",""CRONUS JetCorp USA"",""21"",""1"",""314183"""</t>
  </si>
  <si>
    <t>=E2514</t>
  </si>
  <si>
    <t>=StartDate-$M2516+1</t>
  </si>
  <si>
    <t>=SUM(P2516:T2516)</t>
  </si>
  <si>
    <t>=IF($M2516&gt;=$P$18,U2516,0)</t>
  </si>
  <si>
    <t>=IF(AND($M2516&gt;=$Q$16,$M2516&lt;=$Q$18),U2516,0)</t>
  </si>
  <si>
    <t>=IF(AND($M2516&gt;=$R$16,$M2516&lt;=$R$18),U2516,0)</t>
  </si>
  <si>
    <t>=IF(AND($M2516&gt;=$S$16,$M2516&lt;=$S$18),U2516,0)</t>
  </si>
  <si>
    <t>=IF($M2516&lt;=$T$18,U2516,0)</t>
  </si>
  <si>
    <t>="""NAV Direct"",""CRONUS JetCorp USA"",""21"",""1"",""314283"""</t>
  </si>
  <si>
    <t>=E2515</t>
  </si>
  <si>
    <t>=StartDate-$M2517+1</t>
  </si>
  <si>
    <t>=SUM(P2517:T2517)</t>
  </si>
  <si>
    <t>=IF($M2517&gt;=$P$18,U2517,0)</t>
  </si>
  <si>
    <t>=IF(AND($M2517&gt;=$Q$16,$M2517&lt;=$Q$18),U2517,0)</t>
  </si>
  <si>
    <t>=IF(AND($M2517&gt;=$R$16,$M2517&lt;=$R$18),U2517,0)</t>
  </si>
  <si>
    <t>=IF(AND($M2517&gt;=$S$16,$M2517&lt;=$S$18),U2517,0)</t>
  </si>
  <si>
    <t>=IF($M2517&lt;=$T$18,U2517,0)</t>
  </si>
  <si>
    <t>="""NAV Direct"",""CRONUS JetCorp USA"",""21"",""1"",""314304"""</t>
  </si>
  <si>
    <t>=E2516</t>
  </si>
  <si>
    <t>=StartDate-$M2518+1</t>
  </si>
  <si>
    <t>=SUM(P2518:T2518)</t>
  </si>
  <si>
    <t>=IF($M2518&gt;=$P$18,U2518,0)</t>
  </si>
  <si>
    <t>=IF(AND($M2518&gt;=$Q$16,$M2518&lt;=$Q$18),U2518,0)</t>
  </si>
  <si>
    <t>=IF(AND($M2518&gt;=$R$16,$M2518&lt;=$R$18),U2518,0)</t>
  </si>
  <si>
    <t>=IF(AND($M2518&gt;=$S$16,$M2518&lt;=$S$18),U2518,0)</t>
  </si>
  <si>
    <t>=IF($M2518&lt;=$T$18,U2518,0)</t>
  </si>
  <si>
    <t>="""NAV Direct"",""CRONUS JetCorp USA"",""21"",""1"",""314472"""</t>
  </si>
  <si>
    <t>=E2517</t>
  </si>
  <si>
    <t>=StartDate-$M2519+1</t>
  </si>
  <si>
    <t>=SUM(P2519:T2519)</t>
  </si>
  <si>
    <t>=IF($M2519&gt;=$P$18,U2519,0)</t>
  </si>
  <si>
    <t>=IF(AND($M2519&gt;=$Q$16,$M2519&lt;=$Q$18),U2519,0)</t>
  </si>
  <si>
    <t>=IF(AND($M2519&gt;=$R$16,$M2519&lt;=$R$18),U2519,0)</t>
  </si>
  <si>
    <t>=IF(AND($M2519&gt;=$S$16,$M2519&lt;=$S$18),U2519,0)</t>
  </si>
  <si>
    <t>=IF($M2519&lt;=$T$18,U2519,0)</t>
  </si>
  <si>
    <t>="""NAV Direct"",""CRONUS JetCorp USA"",""21"",""1"",""314514"""</t>
  </si>
  <si>
    <t>=E2518</t>
  </si>
  <si>
    <t>=StartDate-$M2520+1</t>
  </si>
  <si>
    <t>=SUM(P2520:T2520)</t>
  </si>
  <si>
    <t>=IF($M2520&gt;=$P$18,U2520,0)</t>
  </si>
  <si>
    <t>=IF(AND($M2520&gt;=$Q$16,$M2520&lt;=$Q$18),U2520,0)</t>
  </si>
  <si>
    <t>=IF(AND($M2520&gt;=$R$16,$M2520&lt;=$R$18),U2520,0)</t>
  </si>
  <si>
    <t>=IF(AND($M2520&gt;=$S$16,$M2520&lt;=$S$18),U2520,0)</t>
  </si>
  <si>
    <t>=IF($M2520&lt;=$T$18,U2520,0)</t>
  </si>
  <si>
    <t>="""NAV Direct"",""CRONUS JetCorp USA"",""21"",""1"",""314539"""</t>
  </si>
  <si>
    <t>=E2519</t>
  </si>
  <si>
    <t>=StartDate-$M2521+1</t>
  </si>
  <si>
    <t>=SUM(P2521:T2521)</t>
  </si>
  <si>
    <t>=IF($M2521&gt;=$P$18,U2521,0)</t>
  </si>
  <si>
    <t>=IF(AND($M2521&gt;=$Q$16,$M2521&lt;=$Q$18),U2521,0)</t>
  </si>
  <si>
    <t>=IF(AND($M2521&gt;=$R$16,$M2521&lt;=$R$18),U2521,0)</t>
  </si>
  <si>
    <t>=IF(AND($M2521&gt;=$S$16,$M2521&lt;=$S$18),U2521,0)</t>
  </si>
  <si>
    <t>=IF($M2521&lt;=$T$18,U2521,0)</t>
  </si>
  <si>
    <t>="""NAV Direct"",""CRONUS JetCorp USA"",""21"",""1"",""314697"""</t>
  </si>
  <si>
    <t>=E2520</t>
  </si>
  <si>
    <t>=StartDate-$M2522+1</t>
  </si>
  <si>
    <t>=SUM(P2522:T2522)</t>
  </si>
  <si>
    <t>=IF($M2522&gt;=$P$18,U2522,0)</t>
  </si>
  <si>
    <t>=IF(AND($M2522&gt;=$Q$16,$M2522&lt;=$Q$18),U2522,0)</t>
  </si>
  <si>
    <t>=IF(AND($M2522&gt;=$R$16,$M2522&lt;=$R$18),U2522,0)</t>
  </si>
  <si>
    <t>=IF(AND($M2522&gt;=$S$16,$M2522&lt;=$S$18),U2522,0)</t>
  </si>
  <si>
    <t>=IF($M2522&lt;=$T$18,U2522,0)</t>
  </si>
  <si>
    <t>="""NAV Direct"",""CRONUS JetCorp USA"",""21"",""1"",""314720"""</t>
  </si>
  <si>
    <t>=E2521</t>
  </si>
  <si>
    <t>=StartDate-$M2523+1</t>
  </si>
  <si>
    <t>=SUM(P2523:T2523)</t>
  </si>
  <si>
    <t>=IF($M2523&gt;=$P$18,U2523,0)</t>
  </si>
  <si>
    <t>=IF(AND($M2523&gt;=$Q$16,$M2523&lt;=$Q$18),U2523,0)</t>
  </si>
  <si>
    <t>=IF(AND($M2523&gt;=$R$16,$M2523&lt;=$R$18),U2523,0)</t>
  </si>
  <si>
    <t>=IF(AND($M2523&gt;=$S$16,$M2523&lt;=$S$18),U2523,0)</t>
  </si>
  <si>
    <t>=IF($M2523&lt;=$T$18,U2523,0)</t>
  </si>
  <si>
    <t>="""NAV Direct"",""CRONUS JetCorp USA"",""21"",""1"",""314735"""</t>
  </si>
  <si>
    <t>=E2522</t>
  </si>
  <si>
    <t>=StartDate-$M2524+1</t>
  </si>
  <si>
    <t>=SUM(P2524:T2524)</t>
  </si>
  <si>
    <t>=IF($M2524&gt;=$P$18,U2524,0)</t>
  </si>
  <si>
    <t>=IF(AND($M2524&gt;=$Q$16,$M2524&lt;=$Q$18),U2524,0)</t>
  </si>
  <si>
    <t>=IF(AND($M2524&gt;=$R$16,$M2524&lt;=$R$18),U2524,0)</t>
  </si>
  <si>
    <t>=IF(AND($M2524&gt;=$S$16,$M2524&lt;=$S$18),U2524,0)</t>
  </si>
  <si>
    <t>=IF($M2524&lt;=$T$18,U2524,0)</t>
  </si>
  <si>
    <t>="""NAV Direct"",""CRONUS JetCorp USA"",""21"",""1"",""314764"""</t>
  </si>
  <si>
    <t>=E2523</t>
  </si>
  <si>
    <t>=StartDate-$M2525+1</t>
  </si>
  <si>
    <t>=SUM(P2525:T2525)</t>
  </si>
  <si>
    <t>=IF($M2525&gt;=$P$18,U2525,0)</t>
  </si>
  <si>
    <t>=IF(AND($M2525&gt;=$Q$16,$M2525&lt;=$Q$18),U2525,0)</t>
  </si>
  <si>
    <t>=IF(AND($M2525&gt;=$R$16,$M2525&lt;=$R$18),U2525,0)</t>
  </si>
  <si>
    <t>=IF(AND($M2525&gt;=$S$16,$M2525&lt;=$S$18),U2525,0)</t>
  </si>
  <si>
    <t>=IF($M2525&lt;=$T$18,U2525,0)</t>
  </si>
  <si>
    <t>="""NAV Direct"",""CRONUS JetCorp USA"",""21"",""1"",""314862"""</t>
  </si>
  <si>
    <t>=E2524</t>
  </si>
  <si>
    <t>=StartDate-$M2526+1</t>
  </si>
  <si>
    <t>=SUM(P2526:T2526)</t>
  </si>
  <si>
    <t>=IF($M2526&gt;=$P$18,U2526,0)</t>
  </si>
  <si>
    <t>=IF(AND($M2526&gt;=$Q$16,$M2526&lt;=$Q$18),U2526,0)</t>
  </si>
  <si>
    <t>=IF(AND($M2526&gt;=$R$16,$M2526&lt;=$R$18),U2526,0)</t>
  </si>
  <si>
    <t>=IF(AND($M2526&gt;=$S$16,$M2526&lt;=$S$18),U2526,0)</t>
  </si>
  <si>
    <t>=IF($M2526&lt;=$T$18,U2526,0)</t>
  </si>
  <si>
    <t>="""NAV Direct"",""CRONUS JetCorp USA"",""21"",""1"",""314885"""</t>
  </si>
  <si>
    <t>=E2525</t>
  </si>
  <si>
    <t>=StartDate-$M2527+1</t>
  </si>
  <si>
    <t>=SUM(P2527:T2527)</t>
  </si>
  <si>
    <t>=IF($M2527&gt;=$P$18,U2527,0)</t>
  </si>
  <si>
    <t>=IF(AND($M2527&gt;=$Q$16,$M2527&lt;=$Q$18),U2527,0)</t>
  </si>
  <si>
    <t>=IF(AND($M2527&gt;=$R$16,$M2527&lt;=$R$18),U2527,0)</t>
  </si>
  <si>
    <t>=IF(AND($M2527&gt;=$S$16,$M2527&lt;=$S$18),U2527,0)</t>
  </si>
  <si>
    <t>=IF($M2527&lt;=$T$18,U2527,0)</t>
  </si>
  <si>
    <t>="""NAV Direct"",""CRONUS JetCorp USA"",""21"",""1"",""315101"""</t>
  </si>
  <si>
    <t>=E2526</t>
  </si>
  <si>
    <t>=StartDate-$M2528+1</t>
  </si>
  <si>
    <t>=SUM(P2528:T2528)</t>
  </si>
  <si>
    <t>=IF($M2528&gt;=$P$18,U2528,0)</t>
  </si>
  <si>
    <t>=IF(AND($M2528&gt;=$Q$16,$M2528&lt;=$Q$18),U2528,0)</t>
  </si>
  <si>
    <t>=IF(AND($M2528&gt;=$R$16,$M2528&lt;=$R$18),U2528,0)</t>
  </si>
  <si>
    <t>=IF(AND($M2528&gt;=$S$16,$M2528&lt;=$S$18),U2528,0)</t>
  </si>
  <si>
    <t>=IF($M2528&lt;=$T$18,U2528,0)</t>
  </si>
  <si>
    <t>="""NAV Direct"",""CRONUS JetCorp USA"",""21"",""1"",""315126"""</t>
  </si>
  <si>
    <t>=E2527</t>
  </si>
  <si>
    <t>=StartDate-$M2529+1</t>
  </si>
  <si>
    <t>=SUM(P2529:T2529)</t>
  </si>
  <si>
    <t>=IF($M2529&gt;=$P$18,U2529,0)</t>
  </si>
  <si>
    <t>=IF(AND($M2529&gt;=$Q$16,$M2529&lt;=$Q$18),U2529,0)</t>
  </si>
  <si>
    <t>=IF(AND($M2529&gt;=$R$16,$M2529&lt;=$R$18),U2529,0)</t>
  </si>
  <si>
    <t>=IF(AND($M2529&gt;=$S$16,$M2529&lt;=$S$18),U2529,0)</t>
  </si>
  <si>
    <t>=IF($M2529&lt;=$T$18,U2529,0)</t>
  </si>
  <si>
    <t>="""NAV Direct"",""CRONUS JetCorp USA"",""21"",""1"",""315149"""</t>
  </si>
  <si>
    <t>=E2528</t>
  </si>
  <si>
    <t>=StartDate-$M2530+1</t>
  </si>
  <si>
    <t>=SUM(P2530:T2530)</t>
  </si>
  <si>
    <t>=IF($M2530&gt;=$P$18,U2530,0)</t>
  </si>
  <si>
    <t>=IF(AND($M2530&gt;=$Q$16,$M2530&lt;=$Q$18),U2530,0)</t>
  </si>
  <si>
    <t>=IF(AND($M2530&gt;=$R$16,$M2530&lt;=$R$18),U2530,0)</t>
  </si>
  <si>
    <t>=IF(AND($M2530&gt;=$S$16,$M2530&lt;=$S$18),U2530,0)</t>
  </si>
  <si>
    <t>=IF($M2530&lt;=$T$18,U2530,0)</t>
  </si>
  <si>
    <t>="""NAV Direct"",""CRONUS JetCorp USA"",""21"",""1"",""315180"""</t>
  </si>
  <si>
    <t>=E2529</t>
  </si>
  <si>
    <t>=StartDate-$M2531+1</t>
  </si>
  <si>
    <t>=SUM(P2531:T2531)</t>
  </si>
  <si>
    <t>=IF($M2531&gt;=$P$18,U2531,0)</t>
  </si>
  <si>
    <t>=IF(AND($M2531&gt;=$Q$16,$M2531&lt;=$Q$18),U2531,0)</t>
  </si>
  <si>
    <t>=IF(AND($M2531&gt;=$R$16,$M2531&lt;=$R$18),U2531,0)</t>
  </si>
  <si>
    <t>=IF(AND($M2531&gt;=$S$16,$M2531&lt;=$S$18),U2531,0)</t>
  </si>
  <si>
    <t>=IF($M2531&lt;=$T$18,U2531,0)</t>
  </si>
  <si>
    <t>="""NAV Direct"",""CRONUS JetCorp USA"",""21"",""1"",""315209"""</t>
  </si>
  <si>
    <t>=E2530</t>
  </si>
  <si>
    <t>=StartDate-$M2532+1</t>
  </si>
  <si>
    <t>=SUM(P2532:T2532)</t>
  </si>
  <si>
    <t>=IF($M2532&gt;=$P$18,U2532,0)</t>
  </si>
  <si>
    <t>=IF(AND($M2532&gt;=$Q$16,$M2532&lt;=$Q$18),U2532,0)</t>
  </si>
  <si>
    <t>=IF(AND($M2532&gt;=$R$16,$M2532&lt;=$R$18),U2532,0)</t>
  </si>
  <si>
    <t>=IF(AND($M2532&gt;=$S$16,$M2532&lt;=$S$18),U2532,0)</t>
  </si>
  <si>
    <t>=IF($M2532&lt;=$T$18,U2532,0)</t>
  </si>
  <si>
    <t>="""NAV Direct"",""CRONUS JetCorp USA"",""21"",""1"",""315234"""</t>
  </si>
  <si>
    <t>=E2531</t>
  </si>
  <si>
    <t>=StartDate-$M2533+1</t>
  </si>
  <si>
    <t>=SUM(P2533:T2533)</t>
  </si>
  <si>
    <t>=IF($M2533&gt;=$P$18,U2533,0)</t>
  </si>
  <si>
    <t>=IF(AND($M2533&gt;=$Q$16,$M2533&lt;=$Q$18),U2533,0)</t>
  </si>
  <si>
    <t>=IF(AND($M2533&gt;=$R$16,$M2533&lt;=$R$18),U2533,0)</t>
  </si>
  <si>
    <t>=IF(AND($M2533&gt;=$S$16,$M2533&lt;=$S$18),U2533,0)</t>
  </si>
  <si>
    <t>=IF($M2533&lt;=$T$18,U2533,0)</t>
  </si>
  <si>
    <t>="""NAV Direct"",""CRONUS JetCorp USA"",""21"",""1"",""315292"""</t>
  </si>
  <si>
    <t>=E2532</t>
  </si>
  <si>
    <t>=StartDate-$M2534+1</t>
  </si>
  <si>
    <t>=SUM(P2534:T2534)</t>
  </si>
  <si>
    <t>=IF($M2534&gt;=$P$18,U2534,0)</t>
  </si>
  <si>
    <t>=IF(AND($M2534&gt;=$Q$16,$M2534&lt;=$Q$18),U2534,0)</t>
  </si>
  <si>
    <t>=IF(AND($M2534&gt;=$R$16,$M2534&lt;=$R$18),U2534,0)</t>
  </si>
  <si>
    <t>=IF(AND($M2534&gt;=$S$16,$M2534&lt;=$S$18),U2534,0)</t>
  </si>
  <si>
    <t>=IF($M2534&lt;=$T$18,U2534,0)</t>
  </si>
  <si>
    <t>="""NAV Direct"",""CRONUS JetCorp USA"",""21"",""1"",""315315"""</t>
  </si>
  <si>
    <t>=E2533</t>
  </si>
  <si>
    <t>=StartDate-$M2535+1</t>
  </si>
  <si>
    <t>=SUM(P2535:T2535)</t>
  </si>
  <si>
    <t>=IF($M2535&gt;=$P$18,U2535,0)</t>
  </si>
  <si>
    <t>=IF(AND($M2535&gt;=$Q$16,$M2535&lt;=$Q$18),U2535,0)</t>
  </si>
  <si>
    <t>=IF(AND($M2535&gt;=$R$16,$M2535&lt;=$R$18),U2535,0)</t>
  </si>
  <si>
    <t>=IF(AND($M2535&gt;=$S$16,$M2535&lt;=$S$18),U2535,0)</t>
  </si>
  <si>
    <t>=IF($M2535&lt;=$T$18,U2535,0)</t>
  </si>
  <si>
    <t>="""NAV Direct"",""CRONUS JetCorp USA"",""21"",""1"",""315340"""</t>
  </si>
  <si>
    <t>=E2534</t>
  </si>
  <si>
    <t>=StartDate-$M2536+1</t>
  </si>
  <si>
    <t>=SUM(P2536:T2536)</t>
  </si>
  <si>
    <t>=IF($M2536&gt;=$P$18,U2536,0)</t>
  </si>
  <si>
    <t>=IF(AND($M2536&gt;=$Q$16,$M2536&lt;=$Q$18),U2536,0)</t>
  </si>
  <si>
    <t>=IF(AND($M2536&gt;=$R$16,$M2536&lt;=$R$18),U2536,0)</t>
  </si>
  <si>
    <t>=IF(AND($M2536&gt;=$S$16,$M2536&lt;=$S$18),U2536,0)</t>
  </si>
  <si>
    <t>=IF($M2536&lt;=$T$18,U2536,0)</t>
  </si>
  <si>
    <t>="""NAV Direct"",""CRONUS JetCorp USA"",""21"",""1"",""315361"""</t>
  </si>
  <si>
    <t>=E2535</t>
  </si>
  <si>
    <t>=StartDate-$M2537+1</t>
  </si>
  <si>
    <t>=SUM(P2537:T2537)</t>
  </si>
  <si>
    <t>=IF($M2537&gt;=$P$18,U2537,0)</t>
  </si>
  <si>
    <t>=IF(AND($M2537&gt;=$Q$16,$M2537&lt;=$Q$18),U2537,0)</t>
  </si>
  <si>
    <t>=IF(AND($M2537&gt;=$R$16,$M2537&lt;=$R$18),U2537,0)</t>
  </si>
  <si>
    <t>=IF(AND($M2537&gt;=$S$16,$M2537&lt;=$S$18),U2537,0)</t>
  </si>
  <si>
    <t>=IF($M2537&lt;=$T$18,U2537,0)</t>
  </si>
  <si>
    <t>="""NAV Direct"",""CRONUS JetCorp USA"",""21"",""1"",""315415"""</t>
  </si>
  <si>
    <t>=E2536</t>
  </si>
  <si>
    <t>=StartDate-$M2538+1</t>
  </si>
  <si>
    <t>=SUM(P2538:T2538)</t>
  </si>
  <si>
    <t>=IF($M2538&gt;=$P$18,U2538,0)</t>
  </si>
  <si>
    <t>=IF(AND($M2538&gt;=$Q$16,$M2538&lt;=$Q$18),U2538,0)</t>
  </si>
  <si>
    <t>=IF(AND($M2538&gt;=$R$16,$M2538&lt;=$R$18),U2538,0)</t>
  </si>
  <si>
    <t>=IF(AND($M2538&gt;=$S$16,$M2538&lt;=$S$18),U2538,0)</t>
  </si>
  <si>
    <t>=IF($M2538&lt;=$T$18,U2538,0)</t>
  </si>
  <si>
    <t>="""NAV Direct"",""CRONUS JetCorp USA"",""21"",""1"",""315444"""</t>
  </si>
  <si>
    <t>=E2537</t>
  </si>
  <si>
    <t>=StartDate-$M2539+1</t>
  </si>
  <si>
    <t>=SUM(P2539:T2539)</t>
  </si>
  <si>
    <t>=IF($M2539&gt;=$P$18,U2539,0)</t>
  </si>
  <si>
    <t>=IF(AND($M2539&gt;=$Q$16,$M2539&lt;=$Q$18),U2539,0)</t>
  </si>
  <si>
    <t>=IF(AND($M2539&gt;=$R$16,$M2539&lt;=$R$18),U2539,0)</t>
  </si>
  <si>
    <t>=IF(AND($M2539&gt;=$S$16,$M2539&lt;=$S$18),U2539,0)</t>
  </si>
  <si>
    <t>=IF($M2539&lt;=$T$18,U2539,0)</t>
  </si>
  <si>
    <t>="""NAV Direct"",""CRONUS JetCorp USA"",""21"",""1"",""315488"""</t>
  </si>
  <si>
    <t>=E2538</t>
  </si>
  <si>
    <t>=StartDate-$M2540+1</t>
  </si>
  <si>
    <t>=SUM(P2540:T2540)</t>
  </si>
  <si>
    <t>=IF($M2540&gt;=$P$18,U2540,0)</t>
  </si>
  <si>
    <t>=IF(AND($M2540&gt;=$Q$16,$M2540&lt;=$Q$18),U2540,0)</t>
  </si>
  <si>
    <t>=IF(AND($M2540&gt;=$R$16,$M2540&lt;=$R$18),U2540,0)</t>
  </si>
  <si>
    <t>=IF(AND($M2540&gt;=$S$16,$M2540&lt;=$S$18),U2540,0)</t>
  </si>
  <si>
    <t>=IF($M2540&lt;=$T$18,U2540,0)</t>
  </si>
  <si>
    <t>="""NAV Direct"",""CRONUS JetCorp USA"",""21"",""1"",""315511"""</t>
  </si>
  <si>
    <t>=E2539</t>
  </si>
  <si>
    <t>=StartDate-$M2541+1</t>
  </si>
  <si>
    <t>=SUM(P2541:T2541)</t>
  </si>
  <si>
    <t>=IF($M2541&gt;=$P$18,U2541,0)</t>
  </si>
  <si>
    <t>=IF(AND($M2541&gt;=$Q$16,$M2541&lt;=$Q$18),U2541,0)</t>
  </si>
  <si>
    <t>=IF(AND($M2541&gt;=$R$16,$M2541&lt;=$R$18),U2541,0)</t>
  </si>
  <si>
    <t>=IF(AND($M2541&gt;=$S$16,$M2541&lt;=$S$18),U2541,0)</t>
  </si>
  <si>
    <t>=IF($M2541&lt;=$T$18,U2541,0)</t>
  </si>
  <si>
    <t>="""NAV Direct"",""CRONUS JetCorp USA"",""21"",""1"",""315534"""</t>
  </si>
  <si>
    <t>=E2540</t>
  </si>
  <si>
    <t>=StartDate-$M2542+1</t>
  </si>
  <si>
    <t>=SUM(P2542:T2542)</t>
  </si>
  <si>
    <t>=IF($M2542&gt;=$P$18,U2542,0)</t>
  </si>
  <si>
    <t>=IF(AND($M2542&gt;=$Q$16,$M2542&lt;=$Q$18),U2542,0)</t>
  </si>
  <si>
    <t>=IF(AND($M2542&gt;=$R$16,$M2542&lt;=$R$18),U2542,0)</t>
  </si>
  <si>
    <t>=IF(AND($M2542&gt;=$S$16,$M2542&lt;=$S$18),U2542,0)</t>
  </si>
  <si>
    <t>=IF($M2542&lt;=$T$18,U2542,0)</t>
  </si>
  <si>
    <t>="""NAV Direct"",""CRONUS JetCorp USA"",""21"",""1"",""315588"""</t>
  </si>
  <si>
    <t>=E2541</t>
  </si>
  <si>
    <t>=StartDate-$M2543+1</t>
  </si>
  <si>
    <t>=SUM(P2543:T2543)</t>
  </si>
  <si>
    <t>=IF($M2543&gt;=$P$18,U2543,0)</t>
  </si>
  <si>
    <t>=IF(AND($M2543&gt;=$Q$16,$M2543&lt;=$Q$18),U2543,0)</t>
  </si>
  <si>
    <t>=IF(AND($M2543&gt;=$R$16,$M2543&lt;=$R$18),U2543,0)</t>
  </si>
  <si>
    <t>=IF(AND($M2543&gt;=$S$16,$M2543&lt;=$S$18),U2543,0)</t>
  </si>
  <si>
    <t>=IF($M2543&lt;=$T$18,U2543,0)</t>
  </si>
  <si>
    <t>="""NAV Direct"",""CRONUS JetCorp USA"",""21"",""1"",""315613"""</t>
  </si>
  <si>
    <t>=E2542</t>
  </si>
  <si>
    <t>=StartDate-$M2544+1</t>
  </si>
  <si>
    <t>=SUM(P2544:T2544)</t>
  </si>
  <si>
    <t>=IF($M2544&gt;=$P$18,U2544,0)</t>
  </si>
  <si>
    <t>=IF(AND($M2544&gt;=$Q$16,$M2544&lt;=$Q$18),U2544,0)</t>
  </si>
  <si>
    <t>=IF(AND($M2544&gt;=$R$16,$M2544&lt;=$R$18),U2544,0)</t>
  </si>
  <si>
    <t>=IF(AND($M2544&gt;=$S$16,$M2544&lt;=$S$18),U2544,0)</t>
  </si>
  <si>
    <t>=IF($M2544&lt;=$T$18,U2544,0)</t>
  </si>
  <si>
    <t>="""NAV Direct"",""CRONUS JetCorp USA"",""21"",""1"",""315755"""</t>
  </si>
  <si>
    <t>=E2543</t>
  </si>
  <si>
    <t>=StartDate-$M2545+1</t>
  </si>
  <si>
    <t>=SUM(P2545:T2545)</t>
  </si>
  <si>
    <t>=IF($M2545&gt;=$P$18,U2545,0)</t>
  </si>
  <si>
    <t>=IF(AND($M2545&gt;=$Q$16,$M2545&lt;=$Q$18),U2545,0)</t>
  </si>
  <si>
    <t>=IF(AND($M2545&gt;=$R$16,$M2545&lt;=$R$18),U2545,0)</t>
  </si>
  <si>
    <t>=IF(AND($M2545&gt;=$S$16,$M2545&lt;=$S$18),U2545,0)</t>
  </si>
  <si>
    <t>=IF($M2545&lt;=$T$18,U2545,0)</t>
  </si>
  <si>
    <t>="""NAV Direct"",""CRONUS JetCorp USA"",""21"",""1"",""315784"""</t>
  </si>
  <si>
    <t>=E2544</t>
  </si>
  <si>
    <t>=StartDate-$M2546+1</t>
  </si>
  <si>
    <t>=SUM(P2546:T2546)</t>
  </si>
  <si>
    <t>=IF($M2546&gt;=$P$18,U2546,0)</t>
  </si>
  <si>
    <t>=IF(AND($M2546&gt;=$Q$16,$M2546&lt;=$Q$18),U2546,0)</t>
  </si>
  <si>
    <t>=IF(AND($M2546&gt;=$R$16,$M2546&lt;=$R$18),U2546,0)</t>
  </si>
  <si>
    <t>=IF(AND($M2546&gt;=$S$16,$M2546&lt;=$S$18),U2546,0)</t>
  </si>
  <si>
    <t>=IF($M2546&lt;=$T$18,U2546,0)</t>
  </si>
  <si>
    <t>="""NAV Direct"",""CRONUS JetCorp USA"",""21"",""1"",""315809"""</t>
  </si>
  <si>
    <t>=E2545</t>
  </si>
  <si>
    <t>=StartDate-$M2547+1</t>
  </si>
  <si>
    <t>=SUM(P2547:T2547)</t>
  </si>
  <si>
    <t>=IF($M2547&gt;=$P$18,U2547,0)</t>
  </si>
  <si>
    <t>=IF(AND($M2547&gt;=$Q$16,$M2547&lt;=$Q$18),U2547,0)</t>
  </si>
  <si>
    <t>=IF(AND($M2547&gt;=$R$16,$M2547&lt;=$R$18),U2547,0)</t>
  </si>
  <si>
    <t>=IF(AND($M2547&gt;=$S$16,$M2547&lt;=$S$18),U2547,0)</t>
  </si>
  <si>
    <t>=IF($M2547&lt;=$T$18,U2547,0)</t>
  </si>
  <si>
    <t>="""NAV Direct"",""CRONUS JetCorp USA"",""21"",""1"",""315928"""</t>
  </si>
  <si>
    <t>=E2546</t>
  </si>
  <si>
    <t>=StartDate-$M2548+1</t>
  </si>
  <si>
    <t>=SUM(P2548:T2548)</t>
  </si>
  <si>
    <t>=IF($M2548&gt;=$P$18,U2548,0)</t>
  </si>
  <si>
    <t>=IF(AND($M2548&gt;=$Q$16,$M2548&lt;=$Q$18),U2548,0)</t>
  </si>
  <si>
    <t>=IF(AND($M2548&gt;=$R$16,$M2548&lt;=$R$18),U2548,0)</t>
  </si>
  <si>
    <t>=IF(AND($M2548&gt;=$S$16,$M2548&lt;=$S$18),U2548,0)</t>
  </si>
  <si>
    <t>=IF($M2548&lt;=$T$18,U2548,0)</t>
  </si>
  <si>
    <t>="""NAV Direct"",""CRONUS JetCorp USA"",""21"",""1"",""315980"""</t>
  </si>
  <si>
    <t>=E2547</t>
  </si>
  <si>
    <t>=StartDate-$M2549+1</t>
  </si>
  <si>
    <t>=SUM(P2549:T2549)</t>
  </si>
  <si>
    <t>=IF($M2549&gt;=$P$18,U2549,0)</t>
  </si>
  <si>
    <t>=IF(AND($M2549&gt;=$Q$16,$M2549&lt;=$Q$18),U2549,0)</t>
  </si>
  <si>
    <t>=IF(AND($M2549&gt;=$R$16,$M2549&lt;=$R$18),U2549,0)</t>
  </si>
  <si>
    <t>=IF(AND($M2549&gt;=$S$16,$M2549&lt;=$S$18),U2549,0)</t>
  </si>
  <si>
    <t>=IF($M2549&lt;=$T$18,U2549,0)</t>
  </si>
  <si>
    <t>="""NAV Direct"",""CRONUS JetCorp USA"",""21"",""1"",""316166"""</t>
  </si>
  <si>
    <t>=E2548</t>
  </si>
  <si>
    <t>=StartDate-$M2550+1</t>
  </si>
  <si>
    <t>=SUM(P2550:T2550)</t>
  </si>
  <si>
    <t>=IF($M2550&gt;=$P$18,U2550,0)</t>
  </si>
  <si>
    <t>=IF(AND($M2550&gt;=$Q$16,$M2550&lt;=$Q$18),U2550,0)</t>
  </si>
  <si>
    <t>=IF(AND($M2550&gt;=$R$16,$M2550&lt;=$R$18),U2550,0)</t>
  </si>
  <si>
    <t>=IF(AND($M2550&gt;=$S$16,$M2550&lt;=$S$18),U2550,0)</t>
  </si>
  <si>
    <t>=IF($M2550&lt;=$T$18,U2550,0)</t>
  </si>
  <si>
    <t>="""NAV Direct"",""CRONUS JetCorp USA"",""21"",""1"",""316197"""</t>
  </si>
  <si>
    <t>=E2549</t>
  </si>
  <si>
    <t>=StartDate-$M2551+1</t>
  </si>
  <si>
    <t>=SUM(P2551:T2551)</t>
  </si>
  <si>
    <t>=IF($M2551&gt;=$P$18,U2551,0)</t>
  </si>
  <si>
    <t>=IF(AND($M2551&gt;=$Q$16,$M2551&lt;=$Q$18),U2551,0)</t>
  </si>
  <si>
    <t>=IF(AND($M2551&gt;=$R$16,$M2551&lt;=$R$18),U2551,0)</t>
  </si>
  <si>
    <t>=IF(AND($M2551&gt;=$S$16,$M2551&lt;=$S$18),U2551,0)</t>
  </si>
  <si>
    <t>=IF($M2551&lt;=$T$18,U2551,0)</t>
  </si>
  <si>
    <t>="""NAV Direct"",""CRONUS JetCorp USA"",""21"",""1"",""316245"""</t>
  </si>
  <si>
    <t>=E2550</t>
  </si>
  <si>
    <t>=StartDate-$M2552+1</t>
  </si>
  <si>
    <t>=SUM(P2552:T2552)</t>
  </si>
  <si>
    <t>=IF($M2552&gt;=$P$18,U2552,0)</t>
  </si>
  <si>
    <t>=IF(AND($M2552&gt;=$Q$16,$M2552&lt;=$Q$18),U2552,0)</t>
  </si>
  <si>
    <t>=IF(AND($M2552&gt;=$R$16,$M2552&lt;=$R$18),U2552,0)</t>
  </si>
  <si>
    <t>=IF(AND($M2552&gt;=$S$16,$M2552&lt;=$S$18),U2552,0)</t>
  </si>
  <si>
    <t>=IF($M2552&lt;=$T$18,U2552,0)</t>
  </si>
  <si>
    <t>="""NAV Direct"",""CRONUS JetCorp USA"",""21"",""1"",""316268"""</t>
  </si>
  <si>
    <t>=E2551</t>
  </si>
  <si>
    <t>=StartDate-$M2553+1</t>
  </si>
  <si>
    <t>=SUM(P2553:T2553)</t>
  </si>
  <si>
    <t>=IF($M2553&gt;=$P$18,U2553,0)</t>
  </si>
  <si>
    <t>=IF(AND($M2553&gt;=$Q$16,$M2553&lt;=$Q$18),U2553,0)</t>
  </si>
  <si>
    <t>=IF(AND($M2553&gt;=$R$16,$M2553&lt;=$R$18),U2553,0)</t>
  </si>
  <si>
    <t>=IF(AND($M2553&gt;=$S$16,$M2553&lt;=$S$18),U2553,0)</t>
  </si>
  <si>
    <t>=IF($M2553&lt;=$T$18,U2553,0)</t>
  </si>
  <si>
    <t>="""NAV Direct"",""CRONUS JetCorp USA"",""21"",""1"",""316341"""</t>
  </si>
  <si>
    <t>=E2552</t>
  </si>
  <si>
    <t>=StartDate-$M2554+1</t>
  </si>
  <si>
    <t>=SUM(P2554:T2554)</t>
  </si>
  <si>
    <t>=IF($M2554&gt;=$P$18,U2554,0)</t>
  </si>
  <si>
    <t>=IF(AND($M2554&gt;=$Q$16,$M2554&lt;=$Q$18),U2554,0)</t>
  </si>
  <si>
    <t>=IF(AND($M2554&gt;=$R$16,$M2554&lt;=$R$18),U2554,0)</t>
  </si>
  <si>
    <t>=IF(AND($M2554&gt;=$S$16,$M2554&lt;=$S$18),U2554,0)</t>
  </si>
  <si>
    <t>=IF($M2554&lt;=$T$18,U2554,0)</t>
  </si>
  <si>
    <t>="""NAV Direct"",""CRONUS JetCorp USA"",""21"",""1"",""316414"""</t>
  </si>
  <si>
    <t>=E2553</t>
  </si>
  <si>
    <t>=StartDate-$M2555+1</t>
  </si>
  <si>
    <t>=SUM(P2555:T2555)</t>
  </si>
  <si>
    <t>=IF($M2555&gt;=$P$18,U2555,0)</t>
  </si>
  <si>
    <t>=IF(AND($M2555&gt;=$Q$16,$M2555&lt;=$Q$18),U2555,0)</t>
  </si>
  <si>
    <t>=IF(AND($M2555&gt;=$R$16,$M2555&lt;=$R$18),U2555,0)</t>
  </si>
  <si>
    <t>=IF(AND($M2555&gt;=$S$16,$M2555&lt;=$S$18),U2555,0)</t>
  </si>
  <si>
    <t>=IF($M2555&lt;=$T$18,U2555,0)</t>
  </si>
  <si>
    <t>="""NAV Direct"",""CRONUS JetCorp USA"",""21"",""1"",""316497"""</t>
  </si>
  <si>
    <t>=E2554</t>
  </si>
  <si>
    <t>=StartDate-$M2556+1</t>
  </si>
  <si>
    <t>=SUM(P2556:T2556)</t>
  </si>
  <si>
    <t>=IF($M2556&gt;=$P$18,U2556,0)</t>
  </si>
  <si>
    <t>=IF(AND($M2556&gt;=$Q$16,$M2556&lt;=$Q$18),U2556,0)</t>
  </si>
  <si>
    <t>=IF(AND($M2556&gt;=$R$16,$M2556&lt;=$R$18),U2556,0)</t>
  </si>
  <si>
    <t>=IF(AND($M2556&gt;=$S$16,$M2556&lt;=$S$18),U2556,0)</t>
  </si>
  <si>
    <t>=IF($M2556&lt;=$T$18,U2556,0)</t>
  </si>
  <si>
    <t>="""NAV Direct"",""CRONUS JetCorp USA"",""21"",""1"",""316758"""</t>
  </si>
  <si>
    <t>=E2555</t>
  </si>
  <si>
    <t>=StartDate-$M2557+1</t>
  </si>
  <si>
    <t>=SUM(P2557:T2557)</t>
  </si>
  <si>
    <t>=IF($M2557&gt;=$P$18,U2557,0)</t>
  </si>
  <si>
    <t>=IF(AND($M2557&gt;=$Q$16,$M2557&lt;=$Q$18),U2557,0)</t>
  </si>
  <si>
    <t>=IF(AND($M2557&gt;=$R$16,$M2557&lt;=$R$18),U2557,0)</t>
  </si>
  <si>
    <t>=IF(AND($M2557&gt;=$S$16,$M2557&lt;=$S$18),U2557,0)</t>
  </si>
  <si>
    <t>=IF($M2557&lt;=$T$18,U2557,0)</t>
  </si>
  <si>
    <t>="""NAV Direct"",""CRONUS JetCorp USA"",""21"",""1"",""316781"""</t>
  </si>
  <si>
    <t>=E2556</t>
  </si>
  <si>
    <t>=StartDate-$M2558+1</t>
  </si>
  <si>
    <t>=SUM(P2558:T2558)</t>
  </si>
  <si>
    <t>=IF($M2558&gt;=$P$18,U2558,0)</t>
  </si>
  <si>
    <t>=IF(AND($M2558&gt;=$Q$16,$M2558&lt;=$Q$18),U2558,0)</t>
  </si>
  <si>
    <t>=IF(AND($M2558&gt;=$R$16,$M2558&lt;=$R$18),U2558,0)</t>
  </si>
  <si>
    <t>=IF(AND($M2558&gt;=$S$16,$M2558&lt;=$S$18),U2558,0)</t>
  </si>
  <si>
    <t>=IF($M2558&lt;=$T$18,U2558,0)</t>
  </si>
  <si>
    <t>="""NAV Direct"",""CRONUS JetCorp USA"",""21"",""1"",""316806"""</t>
  </si>
  <si>
    <t>=E2557</t>
  </si>
  <si>
    <t>=StartDate-$M2559+1</t>
  </si>
  <si>
    <t>=SUM(P2559:T2559)</t>
  </si>
  <si>
    <t>=IF($M2559&gt;=$P$18,U2559,0)</t>
  </si>
  <si>
    <t>=IF(AND($M2559&gt;=$Q$16,$M2559&lt;=$Q$18),U2559,0)</t>
  </si>
  <si>
    <t>=IF(AND($M2559&gt;=$R$16,$M2559&lt;=$R$18),U2559,0)</t>
  </si>
  <si>
    <t>=IF(AND($M2559&gt;=$S$16,$M2559&lt;=$S$18),U2559,0)</t>
  </si>
  <si>
    <t>=IF($M2559&lt;=$T$18,U2559,0)</t>
  </si>
  <si>
    <t>="""NAV Direct"",""CRONUS JetCorp USA"",""21"",""1"",""316839"""</t>
  </si>
  <si>
    <t>=E2558</t>
  </si>
  <si>
    <t>=StartDate-$M2560+1</t>
  </si>
  <si>
    <t>=SUM(P2560:T2560)</t>
  </si>
  <si>
    <t>=IF($M2560&gt;=$P$18,U2560,0)</t>
  </si>
  <si>
    <t>=IF(AND($M2560&gt;=$Q$16,$M2560&lt;=$Q$18),U2560,0)</t>
  </si>
  <si>
    <t>=IF(AND($M2560&gt;=$R$16,$M2560&lt;=$R$18),U2560,0)</t>
  </si>
  <si>
    <t>=IF(AND($M2560&gt;=$S$16,$M2560&lt;=$S$18),U2560,0)</t>
  </si>
  <si>
    <t>=IF($M2560&lt;=$T$18,U2560,0)</t>
  </si>
  <si>
    <t>="""NAV Direct"",""CRONUS JetCorp USA"",""21"",""1"",""316866"""</t>
  </si>
  <si>
    <t>=E2559</t>
  </si>
  <si>
    <t>=StartDate-$M2561+1</t>
  </si>
  <si>
    <t>=SUM(P2561:T2561)</t>
  </si>
  <si>
    <t>=IF($M2561&gt;=$P$18,U2561,0)</t>
  </si>
  <si>
    <t>=IF(AND($M2561&gt;=$Q$16,$M2561&lt;=$Q$18),U2561,0)</t>
  </si>
  <si>
    <t>=IF(AND($M2561&gt;=$R$16,$M2561&lt;=$R$18),U2561,0)</t>
  </si>
  <si>
    <t>=IF(AND($M2561&gt;=$S$16,$M2561&lt;=$S$18),U2561,0)</t>
  </si>
  <si>
    <t>=IF($M2561&lt;=$T$18,U2561,0)</t>
  </si>
  <si>
    <t>="""NAV Direct"",""CRONUS JetCorp USA"",""21"",""1"",""316885"""</t>
  </si>
  <si>
    <t>=E2560</t>
  </si>
  <si>
    <t>=StartDate-$M2562+1</t>
  </si>
  <si>
    <t>=SUM(P2562:T2562)</t>
  </si>
  <si>
    <t>=IF($M2562&gt;=$P$18,U2562,0)</t>
  </si>
  <si>
    <t>=IF(AND($M2562&gt;=$Q$16,$M2562&lt;=$Q$18),U2562,0)</t>
  </si>
  <si>
    <t>=IF(AND($M2562&gt;=$R$16,$M2562&lt;=$R$18),U2562,0)</t>
  </si>
  <si>
    <t>=IF(AND($M2562&gt;=$S$16,$M2562&lt;=$S$18),U2562,0)</t>
  </si>
  <si>
    <t>=IF($M2562&lt;=$T$18,U2562,0)</t>
  </si>
  <si>
    <t>="""NAV Direct"",""CRONUS JetCorp USA"",""21"",""1"",""316967"""</t>
  </si>
  <si>
    <t>=E2561</t>
  </si>
  <si>
    <t>=StartDate-$M2563+1</t>
  </si>
  <si>
    <t>=SUM(P2563:T2563)</t>
  </si>
  <si>
    <t>=IF($M2563&gt;=$P$18,U2563,0)</t>
  </si>
  <si>
    <t>=IF(AND($M2563&gt;=$Q$16,$M2563&lt;=$Q$18),U2563,0)</t>
  </si>
  <si>
    <t>=IF(AND($M2563&gt;=$R$16,$M2563&lt;=$R$18),U2563,0)</t>
  </si>
  <si>
    <t>=IF(AND($M2563&gt;=$S$16,$M2563&lt;=$S$18),U2563,0)</t>
  </si>
  <si>
    <t>=IF($M2563&lt;=$T$18,U2563,0)</t>
  </si>
  <si>
    <t>="""NAV Direct"",""CRONUS JetCorp USA"",""21"",""1"",""317015"""</t>
  </si>
  <si>
    <t>=E2562</t>
  </si>
  <si>
    <t>=StartDate-$M2564+1</t>
  </si>
  <si>
    <t>=SUM(P2564:T2564)</t>
  </si>
  <si>
    <t>=IF($M2564&gt;=$P$18,U2564,0)</t>
  </si>
  <si>
    <t>=IF(AND($M2564&gt;=$Q$16,$M2564&lt;=$Q$18),U2564,0)</t>
  </si>
  <si>
    <t>=IF(AND($M2564&gt;=$R$16,$M2564&lt;=$R$18),U2564,0)</t>
  </si>
  <si>
    <t>=IF(AND($M2564&gt;=$S$16,$M2564&lt;=$S$18),U2564,0)</t>
  </si>
  <si>
    <t>=IF($M2564&lt;=$T$18,U2564,0)</t>
  </si>
  <si>
    <t>="""NAV Direct"",""CRONUS JetCorp USA"",""21"",""1"",""317046"""</t>
  </si>
  <si>
    <t>=E2563</t>
  </si>
  <si>
    <t>=StartDate-$M2565+1</t>
  </si>
  <si>
    <t>=SUM(P2565:T2565)</t>
  </si>
  <si>
    <t>=IF($M2565&gt;=$P$18,U2565,0)</t>
  </si>
  <si>
    <t>=IF(AND($M2565&gt;=$Q$16,$M2565&lt;=$Q$18),U2565,0)</t>
  </si>
  <si>
    <t>=IF(AND($M2565&gt;=$R$16,$M2565&lt;=$R$18),U2565,0)</t>
  </si>
  <si>
    <t>=IF(AND($M2565&gt;=$S$16,$M2565&lt;=$S$18),U2565,0)</t>
  </si>
  <si>
    <t>=IF($M2565&lt;=$T$18,U2565,0)</t>
  </si>
  <si>
    <t>="""NAV Direct"",""CRONUS JetCorp USA"",""21"",""1"",""317092"""</t>
  </si>
  <si>
    <t>=E2564</t>
  </si>
  <si>
    <t>=StartDate-$M2566+1</t>
  </si>
  <si>
    <t>=SUM(P2566:T2566)</t>
  </si>
  <si>
    <t>=IF($M2566&gt;=$P$18,U2566,0)</t>
  </si>
  <si>
    <t>=IF(AND($M2566&gt;=$Q$16,$M2566&lt;=$Q$18),U2566,0)</t>
  </si>
  <si>
    <t>=IF(AND($M2566&gt;=$R$16,$M2566&lt;=$R$18),U2566,0)</t>
  </si>
  <si>
    <t>=IF(AND($M2566&gt;=$S$16,$M2566&lt;=$S$18),U2566,0)</t>
  </si>
  <si>
    <t>=IF($M2566&lt;=$T$18,U2566,0)</t>
  </si>
  <si>
    <t>="""NAV Direct"",""CRONUS JetCorp USA"",""21"",""1"",""317113"""</t>
  </si>
  <si>
    <t>=E2565</t>
  </si>
  <si>
    <t>=StartDate-$M2567+1</t>
  </si>
  <si>
    <t>=SUM(P2567:T2567)</t>
  </si>
  <si>
    <t>=IF($M2567&gt;=$P$18,U2567,0)</t>
  </si>
  <si>
    <t>=IF(AND($M2567&gt;=$Q$16,$M2567&lt;=$Q$18),U2567,0)</t>
  </si>
  <si>
    <t>=IF(AND($M2567&gt;=$R$16,$M2567&lt;=$R$18),U2567,0)</t>
  </si>
  <si>
    <t>=IF(AND($M2567&gt;=$S$16,$M2567&lt;=$S$18),U2567,0)</t>
  </si>
  <si>
    <t>=IF($M2567&lt;=$T$18,U2567,0)</t>
  </si>
  <si>
    <t>="""NAV Direct"",""CRONUS JetCorp USA"",""21"",""1"",""317169"""</t>
  </si>
  <si>
    <t>=E2566</t>
  </si>
  <si>
    <t>=StartDate-$M2568+1</t>
  </si>
  <si>
    <t>=SUM(P2568:T2568)</t>
  </si>
  <si>
    <t>=IF($M2568&gt;=$P$18,U2568,0)</t>
  </si>
  <si>
    <t>=IF(AND($M2568&gt;=$Q$16,$M2568&lt;=$Q$18),U2568,0)</t>
  </si>
  <si>
    <t>=IF(AND($M2568&gt;=$R$16,$M2568&lt;=$R$18),U2568,0)</t>
  </si>
  <si>
    <t>=IF(AND($M2568&gt;=$S$16,$M2568&lt;=$S$18),U2568,0)</t>
  </si>
  <si>
    <t>=IF($M2568&lt;=$T$18,U2568,0)</t>
  </si>
  <si>
    <t>="""NAV Direct"",""CRONUS JetCorp USA"",""21"",""1"",""317215"""</t>
  </si>
  <si>
    <t>=E2567</t>
  </si>
  <si>
    <t>=StartDate-$M2569+1</t>
  </si>
  <si>
    <t>=SUM(P2569:T2569)</t>
  </si>
  <si>
    <t>=IF($M2569&gt;=$P$18,U2569,0)</t>
  </si>
  <si>
    <t>=IF(AND($M2569&gt;=$Q$16,$M2569&lt;=$Q$18),U2569,0)</t>
  </si>
  <si>
    <t>=IF(AND($M2569&gt;=$R$16,$M2569&lt;=$R$18),U2569,0)</t>
  </si>
  <si>
    <t>=IF(AND($M2569&gt;=$S$16,$M2569&lt;=$S$18),U2569,0)</t>
  </si>
  <si>
    <t>=IF($M2569&lt;=$T$18,U2569,0)</t>
  </si>
  <si>
    <t>="""NAV Direct"",""CRONUS JetCorp USA"",""21"",""1"",""317338"""</t>
  </si>
  <si>
    <t>=E2568</t>
  </si>
  <si>
    <t>=StartDate-$M2570+1</t>
  </si>
  <si>
    <t>=SUM(P2570:T2570)</t>
  </si>
  <si>
    <t>=IF($M2570&gt;=$P$18,U2570,0)</t>
  </si>
  <si>
    <t>=IF(AND($M2570&gt;=$Q$16,$M2570&lt;=$Q$18),U2570,0)</t>
  </si>
  <si>
    <t>=IF(AND($M2570&gt;=$R$16,$M2570&lt;=$R$18),U2570,0)</t>
  </si>
  <si>
    <t>=IF(AND($M2570&gt;=$S$16,$M2570&lt;=$S$18),U2570,0)</t>
  </si>
  <si>
    <t>=IF($M2570&lt;=$T$18,U2570,0)</t>
  </si>
  <si>
    <t>="""NAV Direct"",""CRONUS JetCorp USA"",""21"",""1"",""317386"""</t>
  </si>
  <si>
    <t>=E2569</t>
  </si>
  <si>
    <t>=StartDate-$M2571+1</t>
  </si>
  <si>
    <t>=SUM(P2571:T2571)</t>
  </si>
  <si>
    <t>=IF($M2571&gt;=$P$18,U2571,0)</t>
  </si>
  <si>
    <t>=IF(AND($M2571&gt;=$Q$16,$M2571&lt;=$Q$18),U2571,0)</t>
  </si>
  <si>
    <t>=IF(AND($M2571&gt;=$R$16,$M2571&lt;=$R$18),U2571,0)</t>
  </si>
  <si>
    <t>=IF(AND($M2571&gt;=$S$16,$M2571&lt;=$S$18),U2571,0)</t>
  </si>
  <si>
    <t>=IF($M2571&lt;=$T$18,U2571,0)</t>
  </si>
  <si>
    <t>="""NAV Direct"",""CRONUS JetCorp USA"",""21"",""1"",""317438"""</t>
  </si>
  <si>
    <t>=E2570</t>
  </si>
  <si>
    <t>=StartDate-$M2572+1</t>
  </si>
  <si>
    <t>=SUM(P2572:T2572)</t>
  </si>
  <si>
    <t>=IF($M2572&gt;=$P$18,U2572,0)</t>
  </si>
  <si>
    <t>=IF(AND($M2572&gt;=$Q$16,$M2572&lt;=$Q$18),U2572,0)</t>
  </si>
  <si>
    <t>=IF(AND($M2572&gt;=$R$16,$M2572&lt;=$R$18),U2572,0)</t>
  </si>
  <si>
    <t>=IF(AND($M2572&gt;=$S$16,$M2572&lt;=$S$18),U2572,0)</t>
  </si>
  <si>
    <t>=IF($M2572&lt;=$T$18,U2572,0)</t>
  </si>
  <si>
    <t>="""NAV Direct"",""CRONUS JetCorp USA"",""21"",""1"",""317490"""</t>
  </si>
  <si>
    <t>=E2571</t>
  </si>
  <si>
    <t>=StartDate-$M2573+1</t>
  </si>
  <si>
    <t>=SUM(P2573:T2573)</t>
  </si>
  <si>
    <t>=IF($M2573&gt;=$P$18,U2573,0)</t>
  </si>
  <si>
    <t>=IF(AND($M2573&gt;=$Q$16,$M2573&lt;=$Q$18),U2573,0)</t>
  </si>
  <si>
    <t>=IF(AND($M2573&gt;=$R$16,$M2573&lt;=$R$18),U2573,0)</t>
  </si>
  <si>
    <t>=IF(AND($M2573&gt;=$S$16,$M2573&lt;=$S$18),U2573,0)</t>
  </si>
  <si>
    <t>=IF($M2573&lt;=$T$18,U2573,0)</t>
  </si>
  <si>
    <t>="""NAV Direct"",""CRONUS JetCorp USA"",""21"",""1"",""317546"""</t>
  </si>
  <si>
    <t>=E2572</t>
  </si>
  <si>
    <t>=StartDate-$M2574+1</t>
  </si>
  <si>
    <t>=SUM(P2574:T2574)</t>
  </si>
  <si>
    <t>=IF($M2574&gt;=$P$18,U2574,0)</t>
  </si>
  <si>
    <t>=IF(AND($M2574&gt;=$Q$16,$M2574&lt;=$Q$18),U2574,0)</t>
  </si>
  <si>
    <t>=IF(AND($M2574&gt;=$R$16,$M2574&lt;=$R$18),U2574,0)</t>
  </si>
  <si>
    <t>=IF(AND($M2574&gt;=$S$16,$M2574&lt;=$S$18),U2574,0)</t>
  </si>
  <si>
    <t>=IF($M2574&lt;=$T$18,U2574,0)</t>
  </si>
  <si>
    <t>="""NAV Direct"",""CRONUS JetCorp USA"",""21"",""1"",""317600"""</t>
  </si>
  <si>
    <t>=E2573</t>
  </si>
  <si>
    <t>=StartDate-$M2575+1</t>
  </si>
  <si>
    <t>=SUM(P2575:T2575)</t>
  </si>
  <si>
    <t>=IF($M2575&gt;=$P$18,U2575,0)</t>
  </si>
  <si>
    <t>=IF(AND($M2575&gt;=$Q$16,$M2575&lt;=$Q$18),U2575,0)</t>
  </si>
  <si>
    <t>=IF(AND($M2575&gt;=$R$16,$M2575&lt;=$R$18),U2575,0)</t>
  </si>
  <si>
    <t>=IF(AND($M2575&gt;=$S$16,$M2575&lt;=$S$18),U2575,0)</t>
  </si>
  <si>
    <t>=IF($M2575&lt;=$T$18,U2575,0)</t>
  </si>
  <si>
    <t>="""NAV Direct"",""CRONUS JetCorp USA"",""21"",""1"",""317685"""</t>
  </si>
  <si>
    <t>=E2574</t>
  </si>
  <si>
    <t>=StartDate-$M2576+1</t>
  </si>
  <si>
    <t>=SUM(P2576:T2576)</t>
  </si>
  <si>
    <t>=IF($M2576&gt;=$P$18,U2576,0)</t>
  </si>
  <si>
    <t>=IF(AND($M2576&gt;=$Q$16,$M2576&lt;=$Q$18),U2576,0)</t>
  </si>
  <si>
    <t>=IF(AND($M2576&gt;=$R$16,$M2576&lt;=$R$18),U2576,0)</t>
  </si>
  <si>
    <t>=IF(AND($M2576&gt;=$S$16,$M2576&lt;=$S$18),U2576,0)</t>
  </si>
  <si>
    <t>=IF($M2576&lt;=$T$18,U2576,0)</t>
  </si>
  <si>
    <t>="""NAV Direct"",""CRONUS JetCorp USA"",""21"",""1"",""317741"""</t>
  </si>
  <si>
    <t>=E2575</t>
  </si>
  <si>
    <t>=StartDate-$M2577+1</t>
  </si>
  <si>
    <t>=SUM(P2577:T2577)</t>
  </si>
  <si>
    <t>=IF($M2577&gt;=$P$18,U2577,0)</t>
  </si>
  <si>
    <t>=IF(AND($M2577&gt;=$Q$16,$M2577&lt;=$Q$18),U2577,0)</t>
  </si>
  <si>
    <t>=IF(AND($M2577&gt;=$R$16,$M2577&lt;=$R$18),U2577,0)</t>
  </si>
  <si>
    <t>=IF(AND($M2577&gt;=$S$16,$M2577&lt;=$S$18),U2577,0)</t>
  </si>
  <si>
    <t>=IF($M2577&lt;=$T$18,U2577,0)</t>
  </si>
  <si>
    <t>="""NAV Direct"",""CRONUS JetCorp USA"",""21"",""1"",""317766"""</t>
  </si>
  <si>
    <t>=E2576</t>
  </si>
  <si>
    <t>=StartDate-$M2578+1</t>
  </si>
  <si>
    <t>=SUM(P2578:T2578)</t>
  </si>
  <si>
    <t>=IF($M2578&gt;=$P$18,U2578,0)</t>
  </si>
  <si>
    <t>=IF(AND($M2578&gt;=$Q$16,$M2578&lt;=$Q$18),U2578,0)</t>
  </si>
  <si>
    <t>=IF(AND($M2578&gt;=$R$16,$M2578&lt;=$R$18),U2578,0)</t>
  </si>
  <si>
    <t>=IF(AND($M2578&gt;=$S$16,$M2578&lt;=$S$18),U2578,0)</t>
  </si>
  <si>
    <t>=IF($M2578&lt;=$T$18,U2578,0)</t>
  </si>
  <si>
    <t>="""NAV Direct"",""CRONUS JetCorp USA"",""21"",""1"",""317791"""</t>
  </si>
  <si>
    <t>=E2577</t>
  </si>
  <si>
    <t>=StartDate-$M2579+1</t>
  </si>
  <si>
    <t>=SUM(P2579:T2579)</t>
  </si>
  <si>
    <t>=IF($M2579&gt;=$P$18,U2579,0)</t>
  </si>
  <si>
    <t>=IF(AND($M2579&gt;=$Q$16,$M2579&lt;=$Q$18),U2579,0)</t>
  </si>
  <si>
    <t>=IF(AND($M2579&gt;=$R$16,$M2579&lt;=$R$18),U2579,0)</t>
  </si>
  <si>
    <t>=IF(AND($M2579&gt;=$S$16,$M2579&lt;=$S$18),U2579,0)</t>
  </si>
  <si>
    <t>=IF($M2579&lt;=$T$18,U2579,0)</t>
  </si>
  <si>
    <t>="""NAV Direct"",""CRONUS JetCorp USA"",""21"",""1"",""317812"""</t>
  </si>
  <si>
    <t>=E2578</t>
  </si>
  <si>
    <t>=StartDate-$M2580+1</t>
  </si>
  <si>
    <t>=SUM(P2580:T2580)</t>
  </si>
  <si>
    <t>=IF($M2580&gt;=$P$18,U2580,0)</t>
  </si>
  <si>
    <t>=IF(AND($M2580&gt;=$Q$16,$M2580&lt;=$Q$18),U2580,0)</t>
  </si>
  <si>
    <t>=IF(AND($M2580&gt;=$R$16,$M2580&lt;=$R$18),U2580,0)</t>
  </si>
  <si>
    <t>=IF(AND($M2580&gt;=$S$16,$M2580&lt;=$S$18),U2580,0)</t>
  </si>
  <si>
    <t>=IF($M2580&lt;=$T$18,U2580,0)</t>
  </si>
  <si>
    <t>="""NAV Direct"",""CRONUS JetCorp USA"",""21"",""1"",""317835"""</t>
  </si>
  <si>
    <t>=E2579</t>
  </si>
  <si>
    <t>=StartDate-$M2581+1</t>
  </si>
  <si>
    <t>=SUM(P2581:T2581)</t>
  </si>
  <si>
    <t>=IF($M2581&gt;=$P$18,U2581,0)</t>
  </si>
  <si>
    <t>=IF(AND($M2581&gt;=$Q$16,$M2581&lt;=$Q$18),U2581,0)</t>
  </si>
  <si>
    <t>=IF(AND($M2581&gt;=$R$16,$M2581&lt;=$R$18),U2581,0)</t>
  </si>
  <si>
    <t>=IF(AND($M2581&gt;=$S$16,$M2581&lt;=$S$18),U2581,0)</t>
  </si>
  <si>
    <t>=IF($M2581&lt;=$T$18,U2581,0)</t>
  </si>
  <si>
    <t>="""NAV Direct"",""CRONUS JetCorp USA"",""21"",""1"",""317887"""</t>
  </si>
  <si>
    <t>=E2580</t>
  </si>
  <si>
    <t>=StartDate-$M2582+1</t>
  </si>
  <si>
    <t>=SUM(P2582:T2582)</t>
  </si>
  <si>
    <t>=IF($M2582&gt;=$P$18,U2582,0)</t>
  </si>
  <si>
    <t>=IF(AND($M2582&gt;=$Q$16,$M2582&lt;=$Q$18),U2582,0)</t>
  </si>
  <si>
    <t>=IF(AND($M2582&gt;=$R$16,$M2582&lt;=$R$18),U2582,0)</t>
  </si>
  <si>
    <t>=IF(AND($M2582&gt;=$S$16,$M2582&lt;=$S$18),U2582,0)</t>
  </si>
  <si>
    <t>=IF($M2582&lt;=$T$18,U2582,0)</t>
  </si>
  <si>
    <t>="""NAV Direct"",""CRONUS JetCorp USA"",""21"",""1"",""317939"""</t>
  </si>
  <si>
    <t>=E2581</t>
  </si>
  <si>
    <t>=StartDate-$M2583+1</t>
  </si>
  <si>
    <t>=SUM(P2583:T2583)</t>
  </si>
  <si>
    <t>=IF($M2583&gt;=$P$18,U2583,0)</t>
  </si>
  <si>
    <t>=IF(AND($M2583&gt;=$Q$16,$M2583&lt;=$Q$18),U2583,0)</t>
  </si>
  <si>
    <t>=IF(AND($M2583&gt;=$R$16,$M2583&lt;=$R$18),U2583,0)</t>
  </si>
  <si>
    <t>=IF(AND($M2583&gt;=$S$16,$M2583&lt;=$S$18),U2583,0)</t>
  </si>
  <si>
    <t>=IF($M2583&lt;=$T$18,U2583,0)</t>
  </si>
  <si>
    <t>="""NAV Direct"",""CRONUS JetCorp USA"",""21"",""1"",""317966"""</t>
  </si>
  <si>
    <t>=E2582</t>
  </si>
  <si>
    <t>=StartDate-$M2584+1</t>
  </si>
  <si>
    <t>=SUM(P2584:T2584)</t>
  </si>
  <si>
    <t>=IF($M2584&gt;=$P$18,U2584,0)</t>
  </si>
  <si>
    <t>=IF(AND($M2584&gt;=$Q$16,$M2584&lt;=$Q$18),U2584,0)</t>
  </si>
  <si>
    <t>=IF(AND($M2584&gt;=$R$16,$M2584&lt;=$R$18),U2584,0)</t>
  </si>
  <si>
    <t>=IF(AND($M2584&gt;=$S$16,$M2584&lt;=$S$18),U2584,0)</t>
  </si>
  <si>
    <t>=IF($M2584&lt;=$T$18,U2584,0)</t>
  </si>
  <si>
    <t>="""NAV Direct"",""CRONUS JetCorp USA"",""21"",""1"",""317993"""</t>
  </si>
  <si>
    <t>=E2583</t>
  </si>
  <si>
    <t>=StartDate-$M2585+1</t>
  </si>
  <si>
    <t>=SUM(P2585:T2585)</t>
  </si>
  <si>
    <t>=IF($M2585&gt;=$P$18,U2585,0)</t>
  </si>
  <si>
    <t>=IF(AND($M2585&gt;=$Q$16,$M2585&lt;=$Q$18),U2585,0)</t>
  </si>
  <si>
    <t>=IF(AND($M2585&gt;=$R$16,$M2585&lt;=$R$18),U2585,0)</t>
  </si>
  <si>
    <t>=IF(AND($M2585&gt;=$S$16,$M2585&lt;=$S$18),U2585,0)</t>
  </si>
  <si>
    <t>=IF($M2585&lt;=$T$18,U2585,0)</t>
  </si>
  <si>
    <t>="""NAV Direct"",""CRONUS JetCorp USA"",""21"",""1"",""318234"""</t>
  </si>
  <si>
    <t>=E2584</t>
  </si>
  <si>
    <t>=StartDate-$M2586+1</t>
  </si>
  <si>
    <t>=SUM(P2586:T2586)</t>
  </si>
  <si>
    <t>=IF($M2586&gt;=$P$18,U2586,0)</t>
  </si>
  <si>
    <t>=IF(AND($M2586&gt;=$Q$16,$M2586&lt;=$Q$18),U2586,0)</t>
  </si>
  <si>
    <t>=IF(AND($M2586&gt;=$R$16,$M2586&lt;=$R$18),U2586,0)</t>
  </si>
  <si>
    <t>=IF(AND($M2586&gt;=$S$16,$M2586&lt;=$S$18),U2586,0)</t>
  </si>
  <si>
    <t>=IF($M2586&lt;=$T$18,U2586,0)</t>
  </si>
  <si>
    <t>="""NAV Direct"",""CRONUS JetCorp USA"",""21"",""1"",""318288"""</t>
  </si>
  <si>
    <t>=E2585</t>
  </si>
  <si>
    <t>=StartDate-$M2587+1</t>
  </si>
  <si>
    <t>=SUM(P2587:T2587)</t>
  </si>
  <si>
    <t>=IF($M2587&gt;=$P$18,U2587,0)</t>
  </si>
  <si>
    <t>=IF(AND($M2587&gt;=$Q$16,$M2587&lt;=$Q$18),U2587,0)</t>
  </si>
  <si>
    <t>=IF(AND($M2587&gt;=$R$16,$M2587&lt;=$R$18),U2587,0)</t>
  </si>
  <si>
    <t>=IF(AND($M2587&gt;=$S$16,$M2587&lt;=$S$18),U2587,0)</t>
  </si>
  <si>
    <t>=IF($M2587&lt;=$T$18,U2587,0)</t>
  </si>
  <si>
    <t>="""NAV Direct"",""CRONUS JetCorp USA"",""21"",""1"",""318384"""</t>
  </si>
  <si>
    <t>=E2586</t>
  </si>
  <si>
    <t>=StartDate-$M2588+1</t>
  </si>
  <si>
    <t>=SUM(P2588:T2588)</t>
  </si>
  <si>
    <t>=IF($M2588&gt;=$P$18,U2588,0)</t>
  </si>
  <si>
    <t>=IF(AND($M2588&gt;=$Q$16,$M2588&lt;=$Q$18),U2588,0)</t>
  </si>
  <si>
    <t>=IF(AND($M2588&gt;=$R$16,$M2588&lt;=$R$18),U2588,0)</t>
  </si>
  <si>
    <t>=IF(AND($M2588&gt;=$S$16,$M2588&lt;=$S$18),U2588,0)</t>
  </si>
  <si>
    <t>=IF($M2588&lt;=$T$18,U2588,0)</t>
  </si>
  <si>
    <t>="""NAV Direct"",""CRONUS JetCorp USA"",""21"",""1"",""318403"""</t>
  </si>
  <si>
    <t>=E2587</t>
  </si>
  <si>
    <t>=StartDate-$M2589+1</t>
  </si>
  <si>
    <t>=SUM(P2589:T2589)</t>
  </si>
  <si>
    <t>=IF($M2589&gt;=$P$18,U2589,0)</t>
  </si>
  <si>
    <t>=IF(AND($M2589&gt;=$Q$16,$M2589&lt;=$Q$18),U2589,0)</t>
  </si>
  <si>
    <t>=IF(AND($M2589&gt;=$R$16,$M2589&lt;=$R$18),U2589,0)</t>
  </si>
  <si>
    <t>=IF(AND($M2589&gt;=$S$16,$M2589&lt;=$S$18),U2589,0)</t>
  </si>
  <si>
    <t>=IF($M2589&lt;=$T$18,U2589,0)</t>
  </si>
  <si>
    <t>="""NAV Direct"",""CRONUS JetCorp USA"",""21"",""1"",""318426"""</t>
  </si>
  <si>
    <t>=E2588</t>
  </si>
  <si>
    <t>=StartDate-$M2590+1</t>
  </si>
  <si>
    <t>=SUM(P2590:T2590)</t>
  </si>
  <si>
    <t>=IF($M2590&gt;=$P$18,U2590,0)</t>
  </si>
  <si>
    <t>=IF(AND($M2590&gt;=$Q$16,$M2590&lt;=$Q$18),U2590,0)</t>
  </si>
  <si>
    <t>=IF(AND($M2590&gt;=$R$16,$M2590&lt;=$R$18),U2590,0)</t>
  </si>
  <si>
    <t>=IF(AND($M2590&gt;=$S$16,$M2590&lt;=$S$18),U2590,0)</t>
  </si>
  <si>
    <t>=IF($M2590&lt;=$T$18,U2590,0)</t>
  </si>
  <si>
    <t>="""NAV Direct"",""CRONUS JetCorp USA"",""21"",""1"",""318453"""</t>
  </si>
  <si>
    <t>=E2589</t>
  </si>
  <si>
    <t>=StartDate-$M2591+1</t>
  </si>
  <si>
    <t>=SUM(P2591:T2591)</t>
  </si>
  <si>
    <t>=IF($M2591&gt;=$P$18,U2591,0)</t>
  </si>
  <si>
    <t>=IF(AND($M2591&gt;=$Q$16,$M2591&lt;=$Q$18),U2591,0)</t>
  </si>
  <si>
    <t>=IF(AND($M2591&gt;=$R$16,$M2591&lt;=$R$18),U2591,0)</t>
  </si>
  <si>
    <t>=IF(AND($M2591&gt;=$S$16,$M2591&lt;=$S$18),U2591,0)</t>
  </si>
  <si>
    <t>=IF($M2591&lt;=$T$18,U2591,0)</t>
  </si>
  <si>
    <t>="""NAV Direct"",""CRONUS JetCorp USA"",""21"",""1"",""318476"""</t>
  </si>
  <si>
    <t>=E2590</t>
  </si>
  <si>
    <t>=StartDate-$M2592+1</t>
  </si>
  <si>
    <t>=SUM(P2592:T2592)</t>
  </si>
  <si>
    <t>=IF($M2592&gt;=$P$18,U2592,0)</t>
  </si>
  <si>
    <t>=IF(AND($M2592&gt;=$Q$16,$M2592&lt;=$Q$18),U2592,0)</t>
  </si>
  <si>
    <t>=IF(AND($M2592&gt;=$R$16,$M2592&lt;=$R$18),U2592,0)</t>
  </si>
  <si>
    <t>=IF(AND($M2592&gt;=$S$16,$M2592&lt;=$S$18),U2592,0)</t>
  </si>
  <si>
    <t>=IF($M2592&lt;=$T$18,U2592,0)</t>
  </si>
  <si>
    <t>="""NAV Direct"",""CRONUS JetCorp USA"",""21"",""1"",""318503"""</t>
  </si>
  <si>
    <t>=E2591</t>
  </si>
  <si>
    <t>=StartDate-$M2593+1</t>
  </si>
  <si>
    <t>=SUM(P2593:T2593)</t>
  </si>
  <si>
    <t>=IF($M2593&gt;=$P$18,U2593,0)</t>
  </si>
  <si>
    <t>=IF(AND($M2593&gt;=$Q$16,$M2593&lt;=$Q$18),U2593,0)</t>
  </si>
  <si>
    <t>=IF(AND($M2593&gt;=$R$16,$M2593&lt;=$R$18),U2593,0)</t>
  </si>
  <si>
    <t>=IF(AND($M2593&gt;=$S$16,$M2593&lt;=$S$18),U2593,0)</t>
  </si>
  <si>
    <t>=IF($M2593&lt;=$T$18,U2593,0)</t>
  </si>
  <si>
    <t>="""NAV Direct"",""CRONUS JetCorp USA"",""21"",""1"",""318528"""</t>
  </si>
  <si>
    <t>=E2592</t>
  </si>
  <si>
    <t>=StartDate-$M2594+1</t>
  </si>
  <si>
    <t>=SUM(P2594:T2594)</t>
  </si>
  <si>
    <t>=IF($M2594&gt;=$P$18,U2594,0)</t>
  </si>
  <si>
    <t>=IF(AND($M2594&gt;=$Q$16,$M2594&lt;=$Q$18),U2594,0)</t>
  </si>
  <si>
    <t>=IF(AND($M2594&gt;=$R$16,$M2594&lt;=$R$18),U2594,0)</t>
  </si>
  <si>
    <t>=IF(AND($M2594&gt;=$S$16,$M2594&lt;=$S$18),U2594,0)</t>
  </si>
  <si>
    <t>=IF($M2594&lt;=$T$18,U2594,0)</t>
  </si>
  <si>
    <t>="""NAV Direct"",""CRONUS JetCorp USA"",""21"",""1"",""318553"""</t>
  </si>
  <si>
    <t>=E2593</t>
  </si>
  <si>
    <t>=StartDate-$M2595+1</t>
  </si>
  <si>
    <t>=SUM(P2595:T2595)</t>
  </si>
  <si>
    <t>=IF($M2595&gt;=$P$18,U2595,0)</t>
  </si>
  <si>
    <t>=IF(AND($M2595&gt;=$Q$16,$M2595&lt;=$Q$18),U2595,0)</t>
  </si>
  <si>
    <t>=IF(AND($M2595&gt;=$R$16,$M2595&lt;=$R$18),U2595,0)</t>
  </si>
  <si>
    <t>=IF(AND($M2595&gt;=$S$16,$M2595&lt;=$S$18),U2595,0)</t>
  </si>
  <si>
    <t>=IF($M2595&lt;=$T$18,U2595,0)</t>
  </si>
  <si>
    <t>="""NAV Direct"",""CRONUS JetCorp USA"",""21"",""1"",""318603"""</t>
  </si>
  <si>
    <t>=E2594</t>
  </si>
  <si>
    <t>=StartDate-$M2596+1</t>
  </si>
  <si>
    <t>=SUM(P2596:T2596)</t>
  </si>
  <si>
    <t>=IF($M2596&gt;=$P$18,U2596,0)</t>
  </si>
  <si>
    <t>=IF(AND($M2596&gt;=$Q$16,$M2596&lt;=$Q$18),U2596,0)</t>
  </si>
  <si>
    <t>=IF(AND($M2596&gt;=$R$16,$M2596&lt;=$R$18),U2596,0)</t>
  </si>
  <si>
    <t>=IF(AND($M2596&gt;=$S$16,$M2596&lt;=$S$18),U2596,0)</t>
  </si>
  <si>
    <t>=IF($M2596&lt;=$T$18,U2596,0)</t>
  </si>
  <si>
    <t>="""NAV Direct"",""CRONUS JetCorp USA"",""21"",""1"",""318618"""</t>
  </si>
  <si>
    <t>=E2595</t>
  </si>
  <si>
    <t>=StartDate-$M2597+1</t>
  </si>
  <si>
    <t>=SUM(P2597:T2597)</t>
  </si>
  <si>
    <t>=IF($M2597&gt;=$P$18,U2597,0)</t>
  </si>
  <si>
    <t>=IF(AND($M2597&gt;=$Q$16,$M2597&lt;=$Q$18),U2597,0)</t>
  </si>
  <si>
    <t>=IF(AND($M2597&gt;=$R$16,$M2597&lt;=$R$18),U2597,0)</t>
  </si>
  <si>
    <t>=IF(AND($M2597&gt;=$S$16,$M2597&lt;=$S$18),U2597,0)</t>
  </si>
  <si>
    <t>=IF($M2597&lt;=$T$18,U2597,0)</t>
  </si>
  <si>
    <t>="""NAV Direct"",""CRONUS JetCorp USA"",""21"",""1"",""318693"""</t>
  </si>
  <si>
    <t>=E2596</t>
  </si>
  <si>
    <t>=StartDate-$M2598+1</t>
  </si>
  <si>
    <t>=SUM(P2598:T2598)</t>
  </si>
  <si>
    <t>=IF($M2598&gt;=$P$18,U2598,0)</t>
  </si>
  <si>
    <t>=IF(AND($M2598&gt;=$Q$16,$M2598&lt;=$Q$18),U2598,0)</t>
  </si>
  <si>
    <t>=IF(AND($M2598&gt;=$R$16,$M2598&lt;=$R$18),U2598,0)</t>
  </si>
  <si>
    <t>=IF(AND($M2598&gt;=$S$16,$M2598&lt;=$S$18),U2598,0)</t>
  </si>
  <si>
    <t>=IF($M2598&lt;=$T$18,U2598,0)</t>
  </si>
  <si>
    <t>="""NAV Direct"",""CRONUS JetCorp USA"",""21"",""1"",""318722"""</t>
  </si>
  <si>
    <t>=E2597</t>
  </si>
  <si>
    <t>=StartDate-$M2599+1</t>
  </si>
  <si>
    <t>=SUM(P2599:T2599)</t>
  </si>
  <si>
    <t>=IF($M2599&gt;=$P$18,U2599,0)</t>
  </si>
  <si>
    <t>=IF(AND($M2599&gt;=$Q$16,$M2599&lt;=$Q$18),U2599,0)</t>
  </si>
  <si>
    <t>=IF(AND($M2599&gt;=$R$16,$M2599&lt;=$R$18),U2599,0)</t>
  </si>
  <si>
    <t>=IF(AND($M2599&gt;=$S$16,$M2599&lt;=$S$18),U2599,0)</t>
  </si>
  <si>
    <t>=IF($M2599&lt;=$T$18,U2599,0)</t>
  </si>
  <si>
    <t>="""NAV Direct"",""CRONUS JetCorp USA"",""21"",""1"",""318741"""</t>
  </si>
  <si>
    <t>=E2598</t>
  </si>
  <si>
    <t>=StartDate-$M2600+1</t>
  </si>
  <si>
    <t>=SUM(P2600:T2600)</t>
  </si>
  <si>
    <t>=IF($M2600&gt;=$P$18,U2600,0)</t>
  </si>
  <si>
    <t>=IF(AND($M2600&gt;=$Q$16,$M2600&lt;=$Q$18),U2600,0)</t>
  </si>
  <si>
    <t>=IF(AND($M2600&gt;=$R$16,$M2600&lt;=$R$18),U2600,0)</t>
  </si>
  <si>
    <t>=IF(AND($M2600&gt;=$S$16,$M2600&lt;=$S$18),U2600,0)</t>
  </si>
  <si>
    <t>=IF($M2600&lt;=$T$18,U2600,0)</t>
  </si>
  <si>
    <t>="""NAV Direct"",""CRONUS JetCorp USA"",""21"",""1"",""318903"""</t>
  </si>
  <si>
    <t>=E2599</t>
  </si>
  <si>
    <t>=StartDate-$M2601+1</t>
  </si>
  <si>
    <t>=SUM(P2601:T2601)</t>
  </si>
  <si>
    <t>=IF($M2601&gt;=$P$18,U2601,0)</t>
  </si>
  <si>
    <t>=IF(AND($M2601&gt;=$Q$16,$M2601&lt;=$Q$18),U2601,0)</t>
  </si>
  <si>
    <t>=IF(AND($M2601&gt;=$R$16,$M2601&lt;=$R$18),U2601,0)</t>
  </si>
  <si>
    <t>=IF(AND($M2601&gt;=$S$16,$M2601&lt;=$S$18),U2601,0)</t>
  </si>
  <si>
    <t>=IF($M2601&lt;=$T$18,U2601,0)</t>
  </si>
  <si>
    <t>="""NAV Direct"",""CRONUS JetCorp USA"",""21"",""1"",""318926"""</t>
  </si>
  <si>
    <t>=E2600</t>
  </si>
  <si>
    <t>=StartDate-$M2602+1</t>
  </si>
  <si>
    <t>=SUM(P2602:T2602)</t>
  </si>
  <si>
    <t>=IF($M2602&gt;=$P$18,U2602,0)</t>
  </si>
  <si>
    <t>=IF(AND($M2602&gt;=$Q$16,$M2602&lt;=$Q$18),U2602,0)</t>
  </si>
  <si>
    <t>=IF(AND($M2602&gt;=$R$16,$M2602&lt;=$R$18),U2602,0)</t>
  </si>
  <si>
    <t>=IF(AND($M2602&gt;=$S$16,$M2602&lt;=$S$18),U2602,0)</t>
  </si>
  <si>
    <t>=IF($M2602&lt;=$T$18,U2602,0)</t>
  </si>
  <si>
    <t>="""NAV Direct"",""CRONUS JetCorp USA"",""21"",""1"",""318986"""</t>
  </si>
  <si>
    <t>=E2601</t>
  </si>
  <si>
    <t>=StartDate-$M2603+1</t>
  </si>
  <si>
    <t>=SUM(P2603:T2603)</t>
  </si>
  <si>
    <t>=IF($M2603&gt;=$P$18,U2603,0)</t>
  </si>
  <si>
    <t>=IF(AND($M2603&gt;=$Q$16,$M2603&lt;=$Q$18),U2603,0)</t>
  </si>
  <si>
    <t>=IF(AND($M2603&gt;=$R$16,$M2603&lt;=$R$18),U2603,0)</t>
  </si>
  <si>
    <t>=IF(AND($M2603&gt;=$S$16,$M2603&lt;=$S$18),U2603,0)</t>
  </si>
  <si>
    <t>=IF($M2603&lt;=$T$18,U2603,0)</t>
  </si>
  <si>
    <t>="""NAV Direct"",""CRONUS JetCorp USA"",""21"",""1"",""319017"""</t>
  </si>
  <si>
    <t>=E2602</t>
  </si>
  <si>
    <t>=StartDate-$M2604+1</t>
  </si>
  <si>
    <t>=SUM(P2604:T2604)</t>
  </si>
  <si>
    <t>=IF($M2604&gt;=$P$18,U2604,0)</t>
  </si>
  <si>
    <t>=IF(AND($M2604&gt;=$Q$16,$M2604&lt;=$Q$18),U2604,0)</t>
  </si>
  <si>
    <t>=IF(AND($M2604&gt;=$R$16,$M2604&lt;=$R$18),U2604,0)</t>
  </si>
  <si>
    <t>=IF(AND($M2604&gt;=$S$16,$M2604&lt;=$S$18),U2604,0)</t>
  </si>
  <si>
    <t>=IF($M2604&lt;=$T$18,U2604,0)</t>
  </si>
  <si>
    <t>="""NAV Direct"",""CRONUS JetCorp USA"",""21"",""1"",""319081"""</t>
  </si>
  <si>
    <t>=E2603</t>
  </si>
  <si>
    <t>=StartDate-$M2605+1</t>
  </si>
  <si>
    <t>=SUM(P2605:T2605)</t>
  </si>
  <si>
    <t>=IF($M2605&gt;=$P$18,U2605,0)</t>
  </si>
  <si>
    <t>=IF(AND($M2605&gt;=$Q$16,$M2605&lt;=$Q$18),U2605,0)</t>
  </si>
  <si>
    <t>=IF(AND($M2605&gt;=$R$16,$M2605&lt;=$R$18),U2605,0)</t>
  </si>
  <si>
    <t>=IF(AND($M2605&gt;=$S$16,$M2605&lt;=$S$18),U2605,0)</t>
  </si>
  <si>
    <t>=IF($M2605&lt;=$T$18,U2605,0)</t>
  </si>
  <si>
    <t>="""NAV Direct"",""CRONUS JetCorp USA"",""21"",""1"",""319108"""</t>
  </si>
  <si>
    <t>=E2604</t>
  </si>
  <si>
    <t>=StartDate-$M2606+1</t>
  </si>
  <si>
    <t>=SUM(P2606:T2606)</t>
  </si>
  <si>
    <t>=IF($M2606&gt;=$P$18,U2606,0)</t>
  </si>
  <si>
    <t>=IF(AND($M2606&gt;=$Q$16,$M2606&lt;=$Q$18),U2606,0)</t>
  </si>
  <si>
    <t>=IF(AND($M2606&gt;=$R$16,$M2606&lt;=$R$18),U2606,0)</t>
  </si>
  <si>
    <t>=IF(AND($M2606&gt;=$S$16,$M2606&lt;=$S$18),U2606,0)</t>
  </si>
  <si>
    <t>=IF($M2606&lt;=$T$18,U2606,0)</t>
  </si>
  <si>
    <t>="""NAV Direct"",""CRONUS JetCorp USA"",""21"",""1"",""319135"""</t>
  </si>
  <si>
    <t>=E2605</t>
  </si>
  <si>
    <t>=StartDate-$M2607+1</t>
  </si>
  <si>
    <t>=SUM(P2607:T2607)</t>
  </si>
  <si>
    <t>=IF($M2607&gt;=$P$18,U2607,0)</t>
  </si>
  <si>
    <t>=IF(AND($M2607&gt;=$Q$16,$M2607&lt;=$Q$18),U2607,0)</t>
  </si>
  <si>
    <t>=IF(AND($M2607&gt;=$R$16,$M2607&lt;=$R$18),U2607,0)</t>
  </si>
  <si>
    <t>=IF(AND($M2607&gt;=$S$16,$M2607&lt;=$S$18),U2607,0)</t>
  </si>
  <si>
    <t>=IF($M2607&lt;=$T$18,U2607,0)</t>
  </si>
  <si>
    <t>="""NAV Direct"",""CRONUS JetCorp USA"",""21"",""1"",""319160"""</t>
  </si>
  <si>
    <t>=E2606</t>
  </si>
  <si>
    <t>=StartDate-$M2608+1</t>
  </si>
  <si>
    <t>=SUM(P2608:T2608)</t>
  </si>
  <si>
    <t>=IF($M2608&gt;=$P$18,U2608,0)</t>
  </si>
  <si>
    <t>=IF(AND($M2608&gt;=$Q$16,$M2608&lt;=$Q$18),U2608,0)</t>
  </si>
  <si>
    <t>=IF(AND($M2608&gt;=$R$16,$M2608&lt;=$R$18),U2608,0)</t>
  </si>
  <si>
    <t>=IF(AND($M2608&gt;=$S$16,$M2608&lt;=$S$18),U2608,0)</t>
  </si>
  <si>
    <t>=IF($M2608&lt;=$T$18,U2608,0)</t>
  </si>
  <si>
    <t>="""NAV Direct"",""CRONUS JetCorp USA"",""21"",""1"",""319222"""</t>
  </si>
  <si>
    <t>=E2607</t>
  </si>
  <si>
    <t>=StartDate-$M2609+1</t>
  </si>
  <si>
    <t>=SUM(P2609:T2609)</t>
  </si>
  <si>
    <t>=IF($M2609&gt;=$P$18,U2609,0)</t>
  </si>
  <si>
    <t>=IF(AND($M2609&gt;=$Q$16,$M2609&lt;=$Q$18),U2609,0)</t>
  </si>
  <si>
    <t>=IF(AND($M2609&gt;=$R$16,$M2609&lt;=$R$18),U2609,0)</t>
  </si>
  <si>
    <t>=IF(AND($M2609&gt;=$S$16,$M2609&lt;=$S$18),U2609,0)</t>
  </si>
  <si>
    <t>=IF($M2609&lt;=$T$18,U2609,0)</t>
  </si>
  <si>
    <t>="""NAV Direct"",""CRONUS JetCorp USA"",""21"",""1"",""319245"""</t>
  </si>
  <si>
    <t>=E2608</t>
  </si>
  <si>
    <t>=StartDate-$M2610+1</t>
  </si>
  <si>
    <t>=SUM(P2610:T2610)</t>
  </si>
  <si>
    <t>=IF($M2610&gt;=$P$18,U2610,0)</t>
  </si>
  <si>
    <t>=IF(AND($M2610&gt;=$Q$16,$M2610&lt;=$Q$18),U2610,0)</t>
  </si>
  <si>
    <t>=IF(AND($M2610&gt;=$R$16,$M2610&lt;=$R$18),U2610,0)</t>
  </si>
  <si>
    <t>=IF(AND($M2610&gt;=$S$16,$M2610&lt;=$S$18),U2610,0)</t>
  </si>
  <si>
    <t>=IF($M2610&lt;=$T$18,U2610,0)</t>
  </si>
  <si>
    <t>="""NAV Direct"",""CRONUS JetCorp USA"",""21"",""1"",""319272"""</t>
  </si>
  <si>
    <t>=E2609</t>
  </si>
  <si>
    <t>=StartDate-$M2611+1</t>
  </si>
  <si>
    <t>=SUM(P2611:T2611)</t>
  </si>
  <si>
    <t>=IF($M2611&gt;=$P$18,U2611,0)</t>
  </si>
  <si>
    <t>=IF(AND($M2611&gt;=$Q$16,$M2611&lt;=$Q$18),U2611,0)</t>
  </si>
  <si>
    <t>=IF(AND($M2611&gt;=$R$16,$M2611&lt;=$R$18),U2611,0)</t>
  </si>
  <si>
    <t>=IF(AND($M2611&gt;=$S$16,$M2611&lt;=$S$18),U2611,0)</t>
  </si>
  <si>
    <t>=IF($M2611&lt;=$T$18,U2611,0)</t>
  </si>
  <si>
    <t>="""NAV Direct"",""CRONUS JetCorp USA"",""21"",""1"",""319297"""</t>
  </si>
  <si>
    <t>=E2610</t>
  </si>
  <si>
    <t>=StartDate-$M2612+1</t>
  </si>
  <si>
    <t>=SUM(P2612:T2612)</t>
  </si>
  <si>
    <t>=IF($M2612&gt;=$P$18,U2612,0)</t>
  </si>
  <si>
    <t>=IF(AND($M2612&gt;=$Q$16,$M2612&lt;=$Q$18),U2612,0)</t>
  </si>
  <si>
    <t>=IF(AND($M2612&gt;=$R$16,$M2612&lt;=$R$18),U2612,0)</t>
  </si>
  <si>
    <t>=IF(AND($M2612&gt;=$S$16,$M2612&lt;=$S$18),U2612,0)</t>
  </si>
  <si>
    <t>=IF($M2612&lt;=$T$18,U2612,0)</t>
  </si>
  <si>
    <t>="""NAV Direct"",""CRONUS JetCorp USA"",""21"",""1"",""319328"""</t>
  </si>
  <si>
    <t>=E2611</t>
  </si>
  <si>
    <t>=StartDate-$M2613+1</t>
  </si>
  <si>
    <t>=SUM(P2613:T2613)</t>
  </si>
  <si>
    <t>=IF($M2613&gt;=$P$18,U2613,0)</t>
  </si>
  <si>
    <t>=IF(AND($M2613&gt;=$Q$16,$M2613&lt;=$Q$18),U2613,0)</t>
  </si>
  <si>
    <t>=IF(AND($M2613&gt;=$R$16,$M2613&lt;=$R$18),U2613,0)</t>
  </si>
  <si>
    <t>=IF(AND($M2613&gt;=$S$16,$M2613&lt;=$S$18),U2613,0)</t>
  </si>
  <si>
    <t>=IF($M2613&lt;=$T$18,U2613,0)</t>
  </si>
  <si>
    <t>="""NAV Direct"",""CRONUS JetCorp USA"",""21"",""1"",""319415"""</t>
  </si>
  <si>
    <t>=E2612</t>
  </si>
  <si>
    <t>=StartDate-$M2614+1</t>
  </si>
  <si>
    <t>=SUM(P2614:T2614)</t>
  </si>
  <si>
    <t>=IF($M2614&gt;=$P$18,U2614,0)</t>
  </si>
  <si>
    <t>=IF(AND($M2614&gt;=$Q$16,$M2614&lt;=$Q$18),U2614,0)</t>
  </si>
  <si>
    <t>=IF(AND($M2614&gt;=$R$16,$M2614&lt;=$R$18),U2614,0)</t>
  </si>
  <si>
    <t>=IF(AND($M2614&gt;=$S$16,$M2614&lt;=$S$18),U2614,0)</t>
  </si>
  <si>
    <t>=IF($M2614&lt;=$T$18,U2614,0)</t>
  </si>
  <si>
    <t>="""NAV Direct"",""CRONUS JetCorp USA"",""21"",""1"",""319498"""</t>
  </si>
  <si>
    <t>=E2613</t>
  </si>
  <si>
    <t>=StartDate-$M2615+1</t>
  </si>
  <si>
    <t>=SUM(P2615:T2615)</t>
  </si>
  <si>
    <t>=IF($M2615&gt;=$P$18,U2615,0)</t>
  </si>
  <si>
    <t>=IF(AND($M2615&gt;=$Q$16,$M2615&lt;=$Q$18),U2615,0)</t>
  </si>
  <si>
    <t>=IF(AND($M2615&gt;=$R$16,$M2615&lt;=$R$18),U2615,0)</t>
  </si>
  <si>
    <t>=IF(AND($M2615&gt;=$S$16,$M2615&lt;=$S$18),U2615,0)</t>
  </si>
  <si>
    <t>=IF($M2615&lt;=$T$18,U2615,0)</t>
  </si>
  <si>
    <t>="""NAV Direct"",""CRONUS JetCorp USA"",""21"",""1"",""319548"""</t>
  </si>
  <si>
    <t>=E2614</t>
  </si>
  <si>
    <t>=StartDate-$M2616+1</t>
  </si>
  <si>
    <t>=SUM(P2616:T2616)</t>
  </si>
  <si>
    <t>=IF($M2616&gt;=$P$18,U2616,0)</t>
  </si>
  <si>
    <t>=IF(AND($M2616&gt;=$Q$16,$M2616&lt;=$Q$18),U2616,0)</t>
  </si>
  <si>
    <t>=IF(AND($M2616&gt;=$R$16,$M2616&lt;=$R$18),U2616,0)</t>
  </si>
  <si>
    <t>=IF(AND($M2616&gt;=$S$16,$M2616&lt;=$S$18),U2616,0)</t>
  </si>
  <si>
    <t>=IF($M2616&lt;=$T$18,U2616,0)</t>
  </si>
  <si>
    <t>="""NAV Direct"",""CRONUS JetCorp USA"",""21"",""1"",""319583"""</t>
  </si>
  <si>
    <t>=E2615</t>
  </si>
  <si>
    <t>=StartDate-$M2617+1</t>
  </si>
  <si>
    <t>=SUM(P2617:T2617)</t>
  </si>
  <si>
    <t>=IF($M2617&gt;=$P$18,U2617,0)</t>
  </si>
  <si>
    <t>=IF(AND($M2617&gt;=$Q$16,$M2617&lt;=$Q$18),U2617,0)</t>
  </si>
  <si>
    <t>=IF(AND($M2617&gt;=$R$16,$M2617&lt;=$R$18),U2617,0)</t>
  </si>
  <si>
    <t>=IF(AND($M2617&gt;=$S$16,$M2617&lt;=$S$18),U2617,0)</t>
  </si>
  <si>
    <t>=IF($M2617&lt;=$T$18,U2617,0)</t>
  </si>
  <si>
    <t>="""NAV Direct"",""CRONUS JetCorp USA"",""21"",""1"",""319664"""</t>
  </si>
  <si>
    <t>=E2616</t>
  </si>
  <si>
    <t>=StartDate-$M2618+1</t>
  </si>
  <si>
    <t>=SUM(P2618:T2618)</t>
  </si>
  <si>
    <t>=IF($M2618&gt;=$P$18,U2618,0)</t>
  </si>
  <si>
    <t>=IF(AND($M2618&gt;=$Q$16,$M2618&lt;=$Q$18),U2618,0)</t>
  </si>
  <si>
    <t>=IF(AND($M2618&gt;=$R$16,$M2618&lt;=$R$18),U2618,0)</t>
  </si>
  <si>
    <t>=IF(AND($M2618&gt;=$S$16,$M2618&lt;=$S$18),U2618,0)</t>
  </si>
  <si>
    <t>=IF($M2618&lt;=$T$18,U2618,0)</t>
  </si>
  <si>
    <t>="""NAV Direct"",""CRONUS JetCorp USA"",""21"",""1"",""319845"""</t>
  </si>
  <si>
    <t>=E2617</t>
  </si>
  <si>
    <t>=StartDate-$M2619+1</t>
  </si>
  <si>
    <t>=SUM(P2619:T2619)</t>
  </si>
  <si>
    <t>=IF($M2619&gt;=$P$18,U2619,0)</t>
  </si>
  <si>
    <t>=IF(AND($M2619&gt;=$Q$16,$M2619&lt;=$Q$18),U2619,0)</t>
  </si>
  <si>
    <t>=IF(AND($M2619&gt;=$R$16,$M2619&lt;=$R$18),U2619,0)</t>
  </si>
  <si>
    <t>=IF(AND($M2619&gt;=$S$16,$M2619&lt;=$S$18),U2619,0)</t>
  </si>
  <si>
    <t>=IF($M2619&lt;=$T$18,U2619,0)</t>
  </si>
  <si>
    <t>="""NAV Direct"",""CRONUS JetCorp USA"",""21"",""1"",""319872"""</t>
  </si>
  <si>
    <t>=E2618</t>
  </si>
  <si>
    <t>=StartDate-$M2620+1</t>
  </si>
  <si>
    <t>=SUM(P2620:T2620)</t>
  </si>
  <si>
    <t>=IF($M2620&gt;=$P$18,U2620,0)</t>
  </si>
  <si>
    <t>=IF(AND($M2620&gt;=$Q$16,$M2620&lt;=$Q$18),U2620,0)</t>
  </si>
  <si>
    <t>=IF(AND($M2620&gt;=$R$16,$M2620&lt;=$R$18),U2620,0)</t>
  </si>
  <si>
    <t>=IF(AND($M2620&gt;=$S$16,$M2620&lt;=$S$18),U2620,0)</t>
  </si>
  <si>
    <t>=IF($M2620&lt;=$T$18,U2620,0)</t>
  </si>
  <si>
    <t>="""NAV Direct"",""CRONUS JetCorp USA"",""21"",""1"",""320032"""</t>
  </si>
  <si>
    <t>=E2619</t>
  </si>
  <si>
    <t>=StartDate-$M2621+1</t>
  </si>
  <si>
    <t>=SUM(P2621:T2621)</t>
  </si>
  <si>
    <t>=IF($M2621&gt;=$P$18,U2621,0)</t>
  </si>
  <si>
    <t>=IF(AND($M2621&gt;=$Q$16,$M2621&lt;=$Q$18),U2621,0)</t>
  </si>
  <si>
    <t>=IF(AND($M2621&gt;=$R$16,$M2621&lt;=$R$18),U2621,0)</t>
  </si>
  <si>
    <t>=IF(AND($M2621&gt;=$S$16,$M2621&lt;=$S$18),U2621,0)</t>
  </si>
  <si>
    <t>=IF($M2621&lt;=$T$18,U2621,0)</t>
  </si>
  <si>
    <t>="""NAV Direct"",""CRONUS JetCorp USA"",""21"",""1"",""430354"""</t>
  </si>
  <si>
    <t>=E2620</t>
  </si>
  <si>
    <t>=StartDate-$M2622+1</t>
  </si>
  <si>
    <t>=SUM(P2622:T2622)</t>
  </si>
  <si>
    <t>=IF($M2622&gt;=$P$18,U2622,0)</t>
  </si>
  <si>
    <t>=IF(AND($M2622&gt;=$Q$16,$M2622&lt;=$Q$18),U2622,0)</t>
  </si>
  <si>
    <t>=IF(AND($M2622&gt;=$R$16,$M2622&lt;=$R$18),U2622,0)</t>
  </si>
  <si>
    <t>=IF(AND($M2622&gt;=$S$16,$M2622&lt;=$S$18),U2622,0)</t>
  </si>
  <si>
    <t>=IF($M2622&lt;=$T$18,U2622,0)</t>
  </si>
  <si>
    <t>="""NAV Direct"",""CRONUS JetCorp USA"",""21"",""1"",""430378"""</t>
  </si>
  <si>
    <t>=E2621</t>
  </si>
  <si>
    <t>=StartDate-$M2623+1</t>
  </si>
  <si>
    <t>=SUM(P2623:T2623)</t>
  </si>
  <si>
    <t>=IF($M2623&gt;=$P$18,U2623,0)</t>
  </si>
  <si>
    <t>=IF(AND($M2623&gt;=$Q$16,$M2623&lt;=$Q$18),U2623,0)</t>
  </si>
  <si>
    <t>=IF(AND($M2623&gt;=$R$16,$M2623&lt;=$R$18),U2623,0)</t>
  </si>
  <si>
    <t>=IF(AND($M2623&gt;=$S$16,$M2623&lt;=$S$18),U2623,0)</t>
  </si>
  <si>
    <t>=IF($M2623&lt;=$T$18,U2623,0)</t>
  </si>
  <si>
    <t>="""NAV Direct"",""CRONUS JetCorp USA"",""21"",""1"",""430391"""</t>
  </si>
  <si>
    <t>=E2622</t>
  </si>
  <si>
    <t>=StartDate-$M2624+1</t>
  </si>
  <si>
    <t>=SUM(P2624:T2624)</t>
  </si>
  <si>
    <t>=IF($M2624&gt;=$P$18,U2624,0)</t>
  </si>
  <si>
    <t>=IF(AND($M2624&gt;=$Q$16,$M2624&lt;=$Q$18),U2624,0)</t>
  </si>
  <si>
    <t>=IF(AND($M2624&gt;=$R$16,$M2624&lt;=$R$18),U2624,0)</t>
  </si>
  <si>
    <t>=IF(AND($M2624&gt;=$S$16,$M2624&lt;=$S$18),U2624,0)</t>
  </si>
  <si>
    <t>=IF($M2624&lt;=$T$18,U2624,0)</t>
  </si>
  <si>
    <t>="""NAV Direct"",""CRONUS JetCorp USA"",""21"",""1"",""430436"""</t>
  </si>
  <si>
    <t>=E2623</t>
  </si>
  <si>
    <t>=StartDate-$M2625+1</t>
  </si>
  <si>
    <t>=SUM(P2625:T2625)</t>
  </si>
  <si>
    <t>=IF($M2625&gt;=$P$18,U2625,0)</t>
  </si>
  <si>
    <t>=IF(AND($M2625&gt;=$Q$16,$M2625&lt;=$Q$18),U2625,0)</t>
  </si>
  <si>
    <t>=IF(AND($M2625&gt;=$R$16,$M2625&lt;=$R$18),U2625,0)</t>
  </si>
  <si>
    <t>=IF(AND($M2625&gt;=$S$16,$M2625&lt;=$S$18),U2625,0)</t>
  </si>
  <si>
    <t>=IF($M2625&lt;=$T$18,U2625,0)</t>
  </si>
  <si>
    <t>="""NAV Direct"",""CRONUS JetCorp USA"",""21"",""1"",""430469"""</t>
  </si>
  <si>
    <t>=E2624</t>
  </si>
  <si>
    <t>=StartDate-$M2626+1</t>
  </si>
  <si>
    <t>=SUM(P2626:T2626)</t>
  </si>
  <si>
    <t>=IF($M2626&gt;=$P$18,U2626,0)</t>
  </si>
  <si>
    <t>=IF(AND($M2626&gt;=$Q$16,$M2626&lt;=$Q$18),U2626,0)</t>
  </si>
  <si>
    <t>=IF(AND($M2626&gt;=$R$16,$M2626&lt;=$R$18),U2626,0)</t>
  </si>
  <si>
    <t>=IF(AND($M2626&gt;=$S$16,$M2626&lt;=$S$18),U2626,0)</t>
  </si>
  <si>
    <t>=IF($M2626&lt;=$T$18,U2626,0)</t>
  </si>
  <si>
    <t>="""NAV Direct"",""CRONUS JetCorp USA"",""21"",""1"",""430497"""</t>
  </si>
  <si>
    <t>=E2625</t>
  </si>
  <si>
    <t>=StartDate-$M2627+1</t>
  </si>
  <si>
    <t>=SUM(P2627:T2627)</t>
  </si>
  <si>
    <t>=IF($M2627&gt;=$P$18,U2627,0)</t>
  </si>
  <si>
    <t>=IF(AND($M2627&gt;=$Q$16,$M2627&lt;=$Q$18),U2627,0)</t>
  </si>
  <si>
    <t>=IF(AND($M2627&gt;=$R$16,$M2627&lt;=$R$18),U2627,0)</t>
  </si>
  <si>
    <t>=IF(AND($M2627&gt;=$S$16,$M2627&lt;=$S$18),U2627,0)</t>
  </si>
  <si>
    <t>=IF($M2627&lt;=$T$18,U2627,0)</t>
  </si>
  <si>
    <t>="""NAV Direct"",""CRONUS JetCorp USA"",""21"",""1"",""430549"""</t>
  </si>
  <si>
    <t>=E2626</t>
  </si>
  <si>
    <t>=StartDate-$M2628+1</t>
  </si>
  <si>
    <t>=SUM(P2628:T2628)</t>
  </si>
  <si>
    <t>=IF($M2628&gt;=$P$18,U2628,0)</t>
  </si>
  <si>
    <t>=IF(AND($M2628&gt;=$Q$16,$M2628&lt;=$Q$18),U2628,0)</t>
  </si>
  <si>
    <t>=IF(AND($M2628&gt;=$R$16,$M2628&lt;=$R$18),U2628,0)</t>
  </si>
  <si>
    <t>=IF(AND($M2628&gt;=$S$16,$M2628&lt;=$S$18),U2628,0)</t>
  </si>
  <si>
    <t>=IF($M2628&lt;=$T$18,U2628,0)</t>
  </si>
  <si>
    <t>="""NAV Direct"",""CRONUS JetCorp USA"",""21"",""1"",""430624"""</t>
  </si>
  <si>
    <t>=E2627</t>
  </si>
  <si>
    <t>=StartDate-$M2629+1</t>
  </si>
  <si>
    <t>=SUM(P2629:T2629)</t>
  </si>
  <si>
    <t>=IF($M2629&gt;=$P$18,U2629,0)</t>
  </si>
  <si>
    <t>=IF(AND($M2629&gt;=$Q$16,$M2629&lt;=$Q$18),U2629,0)</t>
  </si>
  <si>
    <t>=IF(AND($M2629&gt;=$R$16,$M2629&lt;=$R$18),U2629,0)</t>
  </si>
  <si>
    <t>=IF(AND($M2629&gt;=$S$16,$M2629&lt;=$S$18),U2629,0)</t>
  </si>
  <si>
    <t>=IF($M2629&lt;=$T$18,U2629,0)</t>
  </si>
  <si>
    <t>="""NAV Direct"",""CRONUS JetCorp USA"",""21"",""1"",""430639"""</t>
  </si>
  <si>
    <t>=E2628</t>
  </si>
  <si>
    <t>=StartDate-$M2630+1</t>
  </si>
  <si>
    <t>=SUM(P2630:T2630)</t>
  </si>
  <si>
    <t>=IF($M2630&gt;=$P$18,U2630,0)</t>
  </si>
  <si>
    <t>=IF(AND($M2630&gt;=$Q$16,$M2630&lt;=$Q$18),U2630,0)</t>
  </si>
  <si>
    <t>=IF(AND($M2630&gt;=$R$16,$M2630&lt;=$R$18),U2630,0)</t>
  </si>
  <si>
    <t>=IF(AND($M2630&gt;=$S$16,$M2630&lt;=$S$18),U2630,0)</t>
  </si>
  <si>
    <t>=IF($M2630&lt;=$T$18,U2630,0)</t>
  </si>
  <si>
    <t>="""NAV Direct"",""CRONUS JetCorp USA"",""21"",""1"",""430703"""</t>
  </si>
  <si>
    <t>=E2629</t>
  </si>
  <si>
    <t>=StartDate-$M2631+1</t>
  </si>
  <si>
    <t>=SUM(P2631:T2631)</t>
  </si>
  <si>
    <t>=IF($M2631&gt;=$P$18,U2631,0)</t>
  </si>
  <si>
    <t>=IF(AND($M2631&gt;=$Q$16,$M2631&lt;=$Q$18),U2631,0)</t>
  </si>
  <si>
    <t>=IF(AND($M2631&gt;=$R$16,$M2631&lt;=$R$18),U2631,0)</t>
  </si>
  <si>
    <t>=IF(AND($M2631&gt;=$S$16,$M2631&lt;=$S$18),U2631,0)</t>
  </si>
  <si>
    <t>=IF($M2631&lt;=$T$18,U2631,0)</t>
  </si>
  <si>
    <t>="""NAV Direct"",""CRONUS JetCorp USA"",""21"",""1"",""430710"""</t>
  </si>
  <si>
    <t>=E2630</t>
  </si>
  <si>
    <t>=StartDate-$M2632+1</t>
  </si>
  <si>
    <t>=SUM(P2632:T2632)</t>
  </si>
  <si>
    <t>=IF($M2632&gt;=$P$18,U2632,0)</t>
  </si>
  <si>
    <t>=IF(AND($M2632&gt;=$Q$16,$M2632&lt;=$Q$18),U2632,0)</t>
  </si>
  <si>
    <t>=IF(AND($M2632&gt;=$R$16,$M2632&lt;=$R$18),U2632,0)</t>
  </si>
  <si>
    <t>=IF(AND($M2632&gt;=$S$16,$M2632&lt;=$S$18),U2632,0)</t>
  </si>
  <si>
    <t>=IF($M2632&lt;=$T$18,U2632,0)</t>
  </si>
  <si>
    <t>="""NAV Direct"",""CRONUS JetCorp USA"",""21"",""1"",""430738"""</t>
  </si>
  <si>
    <t>=E2631</t>
  </si>
  <si>
    <t>=StartDate-$M2633+1</t>
  </si>
  <si>
    <t>=SUM(P2633:T2633)</t>
  </si>
  <si>
    <t>=IF($M2633&gt;=$P$18,U2633,0)</t>
  </si>
  <si>
    <t>=IF(AND($M2633&gt;=$Q$16,$M2633&lt;=$Q$18),U2633,0)</t>
  </si>
  <si>
    <t>=IF(AND($M2633&gt;=$R$16,$M2633&lt;=$R$18),U2633,0)</t>
  </si>
  <si>
    <t>=IF(AND($M2633&gt;=$S$16,$M2633&lt;=$S$18),U2633,0)</t>
  </si>
  <si>
    <t>=IF($M2633&lt;=$T$18,U2633,0)</t>
  </si>
  <si>
    <t>="""NAV Direct"",""CRONUS JetCorp USA"",""21"",""1"",""430747"""</t>
  </si>
  <si>
    <t>=E2632</t>
  </si>
  <si>
    <t>=StartDate-$M2634+1</t>
  </si>
  <si>
    <t>=SUM(P2634:T2634)</t>
  </si>
  <si>
    <t>=IF($M2634&gt;=$P$18,U2634,0)</t>
  </si>
  <si>
    <t>=IF(AND($M2634&gt;=$Q$16,$M2634&lt;=$Q$18),U2634,0)</t>
  </si>
  <si>
    <t>=IF(AND($M2634&gt;=$R$16,$M2634&lt;=$R$18),U2634,0)</t>
  </si>
  <si>
    <t>=IF(AND($M2634&gt;=$S$16,$M2634&lt;=$S$18),U2634,0)</t>
  </si>
  <si>
    <t>=IF($M2634&lt;=$T$18,U2634,0)</t>
  </si>
  <si>
    <t>="""NAV Direct"",""CRONUS JetCorp USA"",""21"",""1"",""430756"""</t>
  </si>
  <si>
    <t>=E2633</t>
  </si>
  <si>
    <t>=StartDate-$M2635+1</t>
  </si>
  <si>
    <t>=SUM(P2635:T2635)</t>
  </si>
  <si>
    <t>=IF($M2635&gt;=$P$18,U2635,0)</t>
  </si>
  <si>
    <t>=IF(AND($M2635&gt;=$Q$16,$M2635&lt;=$Q$18),U2635,0)</t>
  </si>
  <si>
    <t>=IF(AND($M2635&gt;=$R$16,$M2635&lt;=$R$18),U2635,0)</t>
  </si>
  <si>
    <t>=IF(AND($M2635&gt;=$S$16,$M2635&lt;=$S$18),U2635,0)</t>
  </si>
  <si>
    <t>=IF($M2635&lt;=$T$18,U2635,0)</t>
  </si>
  <si>
    <t>="""NAV Direct"",""CRONUS JetCorp USA"",""21"",""1"",""430771"""</t>
  </si>
  <si>
    <t>=E2634</t>
  </si>
  <si>
    <t>=StartDate-$M2636+1</t>
  </si>
  <si>
    <t>=SUM(P2636:T2636)</t>
  </si>
  <si>
    <t>=IF($M2636&gt;=$P$18,U2636,0)</t>
  </si>
  <si>
    <t>=IF(AND($M2636&gt;=$Q$16,$M2636&lt;=$Q$18),U2636,0)</t>
  </si>
  <si>
    <t>=IF(AND($M2636&gt;=$R$16,$M2636&lt;=$R$18),U2636,0)</t>
  </si>
  <si>
    <t>=IF(AND($M2636&gt;=$S$16,$M2636&lt;=$S$18),U2636,0)</t>
  </si>
  <si>
    <t>=IF($M2636&lt;=$T$18,U2636,0)</t>
  </si>
  <si>
    <t>="""NAV Direct"",""CRONUS JetCorp USA"",""21"",""1"",""430809"""</t>
  </si>
  <si>
    <t>=E2635</t>
  </si>
  <si>
    <t>=StartDate-$M2637+1</t>
  </si>
  <si>
    <t>=SUM(P2637:T2637)</t>
  </si>
  <si>
    <t>=IF($M2637&gt;=$P$18,U2637,0)</t>
  </si>
  <si>
    <t>=IF(AND($M2637&gt;=$Q$16,$M2637&lt;=$Q$18),U2637,0)</t>
  </si>
  <si>
    <t>=IF(AND($M2637&gt;=$R$16,$M2637&lt;=$R$18),U2637,0)</t>
  </si>
  <si>
    <t>=IF(AND($M2637&gt;=$S$16,$M2637&lt;=$S$18),U2637,0)</t>
  </si>
  <si>
    <t>=IF($M2637&lt;=$T$18,U2637,0)</t>
  </si>
  <si>
    <t>="""NAV Direct"",""CRONUS JetCorp USA"",""21"",""1"",""430843"""</t>
  </si>
  <si>
    <t>=E2636</t>
  </si>
  <si>
    <t>=StartDate-$M2638+1</t>
  </si>
  <si>
    <t>=SUM(P2638:T2638)</t>
  </si>
  <si>
    <t>=IF($M2638&gt;=$P$18,U2638,0)</t>
  </si>
  <si>
    <t>=IF(AND($M2638&gt;=$Q$16,$M2638&lt;=$Q$18),U2638,0)</t>
  </si>
  <si>
    <t>=IF(AND($M2638&gt;=$R$16,$M2638&lt;=$R$18),U2638,0)</t>
  </si>
  <si>
    <t>=IF(AND($M2638&gt;=$S$16,$M2638&lt;=$S$18),U2638,0)</t>
  </si>
  <si>
    <t>=IF($M2638&lt;=$T$18,U2638,0)</t>
  </si>
  <si>
    <t>="""NAV Direct"",""CRONUS JetCorp USA"",""21"",""1"",""430856"""</t>
  </si>
  <si>
    <t>=E2637</t>
  </si>
  <si>
    <t>=StartDate-$M2639+1</t>
  </si>
  <si>
    <t>=SUM(P2639:T2639)</t>
  </si>
  <si>
    <t>=IF($M2639&gt;=$P$18,U2639,0)</t>
  </si>
  <si>
    <t>=IF(AND($M2639&gt;=$Q$16,$M2639&lt;=$Q$18),U2639,0)</t>
  </si>
  <si>
    <t>=IF(AND($M2639&gt;=$R$16,$M2639&lt;=$R$18),U2639,0)</t>
  </si>
  <si>
    <t>=IF(AND($M2639&gt;=$S$16,$M2639&lt;=$S$18),U2639,0)</t>
  </si>
  <si>
    <t>=IF($M2639&lt;=$T$18,U2639,0)</t>
  </si>
  <si>
    <t>="""NAV Direct"",""CRONUS JetCorp USA"",""21"",""1"",""430880"""</t>
  </si>
  <si>
    <t>=E2638</t>
  </si>
  <si>
    <t>=StartDate-$M2640+1</t>
  </si>
  <si>
    <t>=SUM(P2640:T2640)</t>
  </si>
  <si>
    <t>=IF($M2640&gt;=$P$18,U2640,0)</t>
  </si>
  <si>
    <t>=IF(AND($M2640&gt;=$Q$16,$M2640&lt;=$Q$18),U2640,0)</t>
  </si>
  <si>
    <t>=IF(AND($M2640&gt;=$R$16,$M2640&lt;=$R$18),U2640,0)</t>
  </si>
  <si>
    <t>=IF(AND($M2640&gt;=$S$16,$M2640&lt;=$S$18),U2640,0)</t>
  </si>
  <si>
    <t>=IF($M2640&lt;=$T$18,U2640,0)</t>
  </si>
  <si>
    <t>="""NAV Direct"",""CRONUS JetCorp USA"",""21"",""1"",""430906"""</t>
  </si>
  <si>
    <t>=E2639</t>
  </si>
  <si>
    <t>=StartDate-$M2641+1</t>
  </si>
  <si>
    <t>=SUM(P2641:T2641)</t>
  </si>
  <si>
    <t>=IF($M2641&gt;=$P$18,U2641,0)</t>
  </si>
  <si>
    <t>=IF(AND($M2641&gt;=$Q$16,$M2641&lt;=$Q$18),U2641,0)</t>
  </si>
  <si>
    <t>=IF(AND($M2641&gt;=$R$16,$M2641&lt;=$R$18),U2641,0)</t>
  </si>
  <si>
    <t>=IF(AND($M2641&gt;=$S$16,$M2641&lt;=$S$18),U2641,0)</t>
  </si>
  <si>
    <t>=IF($M2641&lt;=$T$18,U2641,0)</t>
  </si>
  <si>
    <t>="""NAV Direct"",""CRONUS JetCorp USA"",""21"",""1"",""430932"""</t>
  </si>
  <si>
    <t>=E2640</t>
  </si>
  <si>
    <t>=StartDate-$M2642+1</t>
  </si>
  <si>
    <t>=SUM(P2642:T2642)</t>
  </si>
  <si>
    <t>=IF($M2642&gt;=$P$18,U2642,0)</t>
  </si>
  <si>
    <t>=IF(AND($M2642&gt;=$Q$16,$M2642&lt;=$Q$18),U2642,0)</t>
  </si>
  <si>
    <t>=IF(AND($M2642&gt;=$R$16,$M2642&lt;=$R$18),U2642,0)</t>
  </si>
  <si>
    <t>=IF(AND($M2642&gt;=$S$16,$M2642&lt;=$S$18),U2642,0)</t>
  </si>
  <si>
    <t>=IF($M2642&lt;=$T$18,U2642,0)</t>
  </si>
  <si>
    <t>="""NAV Direct"",""CRONUS JetCorp USA"",""21"",""1"",""430937"""</t>
  </si>
  <si>
    <t>=E2641</t>
  </si>
  <si>
    <t>=StartDate-$M2643+1</t>
  </si>
  <si>
    <t>=SUM(P2643:T2643)</t>
  </si>
  <si>
    <t>=IF($M2643&gt;=$P$18,U2643,0)</t>
  </si>
  <si>
    <t>=IF(AND($M2643&gt;=$Q$16,$M2643&lt;=$Q$18),U2643,0)</t>
  </si>
  <si>
    <t>=IF(AND($M2643&gt;=$R$16,$M2643&lt;=$R$18),U2643,0)</t>
  </si>
  <si>
    <t>=IF(AND($M2643&gt;=$S$16,$M2643&lt;=$S$18),U2643,0)</t>
  </si>
  <si>
    <t>=IF($M2643&lt;=$T$18,U2643,0)</t>
  </si>
  <si>
    <t>="""NAV Direct"",""CRONUS JetCorp USA"",""21"",""1"",""430963"""</t>
  </si>
  <si>
    <t>=E2642</t>
  </si>
  <si>
    <t>=StartDate-$M2644+1</t>
  </si>
  <si>
    <t>=SUM(P2644:T2644)</t>
  </si>
  <si>
    <t>=IF($M2644&gt;=$P$18,U2644,0)</t>
  </si>
  <si>
    <t>=IF(AND($M2644&gt;=$Q$16,$M2644&lt;=$Q$18),U2644,0)</t>
  </si>
  <si>
    <t>=IF(AND($M2644&gt;=$R$16,$M2644&lt;=$R$18),U2644,0)</t>
  </si>
  <si>
    <t>=IF(AND($M2644&gt;=$S$16,$M2644&lt;=$S$18),U2644,0)</t>
  </si>
  <si>
    <t>=IF($M2644&lt;=$T$18,U2644,0)</t>
  </si>
  <si>
    <t>="""NAV Direct"",""CRONUS JetCorp USA"",""21"",""1"",""430974"""</t>
  </si>
  <si>
    <t>=E2643</t>
  </si>
  <si>
    <t>=StartDate-$M2645+1</t>
  </si>
  <si>
    <t>=SUM(P2645:T2645)</t>
  </si>
  <si>
    <t>=IF($M2645&gt;=$P$18,U2645,0)</t>
  </si>
  <si>
    <t>=IF(AND($M2645&gt;=$Q$16,$M2645&lt;=$Q$18),U2645,0)</t>
  </si>
  <si>
    <t>=IF(AND($M2645&gt;=$R$16,$M2645&lt;=$R$18),U2645,0)</t>
  </si>
  <si>
    <t>=IF(AND($M2645&gt;=$S$16,$M2645&lt;=$S$18),U2645,0)</t>
  </si>
  <si>
    <t>=IF($M2645&lt;=$T$18,U2645,0)</t>
  </si>
  <si>
    <t>="""NAV Direct"",""CRONUS JetCorp USA"",""21"",""1"",""431094"""</t>
  </si>
  <si>
    <t>=E2644</t>
  </si>
  <si>
    <t>=StartDate-$M2646+1</t>
  </si>
  <si>
    <t>=SUM(P2646:T2646)</t>
  </si>
  <si>
    <t>=IF($M2646&gt;=$P$18,U2646,0)</t>
  </si>
  <si>
    <t>=IF(AND($M2646&gt;=$Q$16,$M2646&lt;=$Q$18),U2646,0)</t>
  </si>
  <si>
    <t>=IF(AND($M2646&gt;=$R$16,$M2646&lt;=$R$18),U2646,0)</t>
  </si>
  <si>
    <t>=IF(AND($M2646&gt;=$S$16,$M2646&lt;=$S$18),U2646,0)</t>
  </si>
  <si>
    <t>=IF($M2646&lt;=$T$18,U2646,0)</t>
  </si>
  <si>
    <t>="""NAV Direct"",""CRONUS JetCorp USA"",""21"",""1"",""431140"""</t>
  </si>
  <si>
    <t>=E2645</t>
  </si>
  <si>
    <t>=StartDate-$M2647+1</t>
  </si>
  <si>
    <t>=SUM(P2647:T2647)</t>
  </si>
  <si>
    <t>=IF($M2647&gt;=$P$18,U2647,0)</t>
  </si>
  <si>
    <t>=IF(AND($M2647&gt;=$Q$16,$M2647&lt;=$Q$18),U2647,0)</t>
  </si>
  <si>
    <t>=IF(AND($M2647&gt;=$R$16,$M2647&lt;=$R$18),U2647,0)</t>
  </si>
  <si>
    <t>=IF(AND($M2647&gt;=$S$16,$M2647&lt;=$S$18),U2647,0)</t>
  </si>
  <si>
    <t>=IF($M2647&lt;=$T$18,U2647,0)</t>
  </si>
  <si>
    <t>="""NAV Direct"",""CRONUS JetCorp USA"",""18"",""1"",""C100084"""</t>
  </si>
  <si>
    <t>=H2650</t>
  </si>
  <si>
    <t>=NF($C2650,"1 No.")</t>
  </si>
  <si>
    <t>=NF($C2650,"1 No.")&amp;"  -  "&amp;NF($C2650,"2 Name")</t>
  </si>
  <si>
    <t>=IFERROR(O2650/NF(C2650,"Credit Limit (LCY)"),"")</t>
  </si>
  <si>
    <t>=SUBTOTAL(3,L2651:L2698)</t>
  </si>
  <si>
    <t>=SUBTOTAL(9,O2651:O2698)</t>
  </si>
  <si>
    <t>=SUBTOTAL(9,P2651:P2698)</t>
  </si>
  <si>
    <t>=SUBTOTAL(9,Q2651:Q2698)</t>
  </si>
  <si>
    <t>=SUBTOTAL(9,R2651:R2698)</t>
  </si>
  <si>
    <t>=SUBTOTAL(9,S2651:S2698)</t>
  </si>
  <si>
    <t>=SUBTOTAL(9,T2651:T2698)</t>
  </si>
  <si>
    <t>=C2650</t>
  </si>
  <si>
    <t>=E2650</t>
  </si>
  <si>
    <t>="Contact: "&amp;NF($C2651,"8 Contact")</t>
  </si>
  <si>
    <t>=C2651</t>
  </si>
  <si>
    <t>=E2651</t>
  </si>
  <si>
    <t>=NF($C2652,"102 E-Mail")</t>
  </si>
  <si>
    <t>=NL("Rows","21 Cust. Ledger Entry",,"3 Customer No.","@@"&amp;$E2654,"16 Remaining Amt. (LCY)","&lt;&gt;0")</t>
  </si>
  <si>
    <t>=E2652</t>
  </si>
  <si>
    <t>=StartDate-$M2654+1</t>
  </si>
  <si>
    <t>=SUM(P2654:T2654)</t>
  </si>
  <si>
    <t>=IF($M2654&gt;=$P$18,U2654,0)</t>
  </si>
  <si>
    <t>=IF(AND($M2654&gt;=$Q$16,$M2654&lt;=$Q$18),U2654,0)</t>
  </si>
  <si>
    <t>=IF(AND($M2654&gt;=$R$16,$M2654&lt;=$R$18),U2654,0)</t>
  </si>
  <si>
    <t>=IF(AND($M2654&gt;=$S$16,$M2654&lt;=$S$18),U2654,0)</t>
  </si>
  <si>
    <t>=IF($M2654&lt;=$T$18,U2654,0)</t>
  </si>
  <si>
    <t>="""NAV Direct"",""CRONUS JetCorp USA"",""21"",""1"",""154316"""</t>
  </si>
  <si>
    <t>=E2653</t>
  </si>
  <si>
    <t>=StartDate-$M2655+1</t>
  </si>
  <si>
    <t>=SUM(P2655:T2655)</t>
  </si>
  <si>
    <t>=IF($M2655&gt;=$P$18,U2655,0)</t>
  </si>
  <si>
    <t>=IF(AND($M2655&gt;=$Q$16,$M2655&lt;=$Q$18),U2655,0)</t>
  </si>
  <si>
    <t>=IF(AND($M2655&gt;=$R$16,$M2655&lt;=$R$18),U2655,0)</t>
  </si>
  <si>
    <t>=IF(AND($M2655&gt;=$S$16,$M2655&lt;=$S$18),U2655,0)</t>
  </si>
  <si>
    <t>=IF($M2655&lt;=$T$18,U2655,0)</t>
  </si>
  <si>
    <t>="""NAV Direct"",""CRONUS JetCorp USA"",""21"",""1"",""401774"""</t>
  </si>
  <si>
    <t>=E2654</t>
  </si>
  <si>
    <t>=StartDate-$M2656+1</t>
  </si>
  <si>
    <t>=SUM(P2656:T2656)</t>
  </si>
  <si>
    <t>=IF($M2656&gt;=$P$18,U2656,0)</t>
  </si>
  <si>
    <t>=IF(AND($M2656&gt;=$Q$16,$M2656&lt;=$Q$18),U2656,0)</t>
  </si>
  <si>
    <t>=IF(AND($M2656&gt;=$R$16,$M2656&lt;=$R$18),U2656,0)</t>
  </si>
  <si>
    <t>=IF(AND($M2656&gt;=$S$16,$M2656&lt;=$S$18),U2656,0)</t>
  </si>
  <si>
    <t>=IF($M2656&lt;=$T$18,U2656,0)</t>
  </si>
  <si>
    <t>="""NAV Direct"",""CRONUS JetCorp USA"",""21"",""1"",""401931"""</t>
  </si>
  <si>
    <t>=E2655</t>
  </si>
  <si>
    <t>=StartDate-$M2657+1</t>
  </si>
  <si>
    <t>=SUM(P2657:T2657)</t>
  </si>
  <si>
    <t>=IF($M2657&gt;=$P$18,U2657,0)</t>
  </si>
  <si>
    <t>=IF(AND($M2657&gt;=$Q$16,$M2657&lt;=$Q$18),U2657,0)</t>
  </si>
  <si>
    <t>=IF(AND($M2657&gt;=$R$16,$M2657&lt;=$R$18),U2657,0)</t>
  </si>
  <si>
    <t>=IF(AND($M2657&gt;=$S$16,$M2657&lt;=$S$18),U2657,0)</t>
  </si>
  <si>
    <t>=IF($M2657&lt;=$T$18,U2657,0)</t>
  </si>
  <si>
    <t>="""NAV Direct"",""CRONUS JetCorp USA"",""21"",""1"",""402149"""</t>
  </si>
  <si>
    <t>=E2656</t>
  </si>
  <si>
    <t>=StartDate-$M2658+1</t>
  </si>
  <si>
    <t>=SUM(P2658:T2658)</t>
  </si>
  <si>
    <t>=IF($M2658&gt;=$P$18,U2658,0)</t>
  </si>
  <si>
    <t>=IF(AND($M2658&gt;=$Q$16,$M2658&lt;=$Q$18),U2658,0)</t>
  </si>
  <si>
    <t>=IF(AND($M2658&gt;=$R$16,$M2658&lt;=$R$18),U2658,0)</t>
  </si>
  <si>
    <t>=IF(AND($M2658&gt;=$S$16,$M2658&lt;=$S$18),U2658,0)</t>
  </si>
  <si>
    <t>=IF($M2658&lt;=$T$18,U2658,0)</t>
  </si>
  <si>
    <t>="""NAV Direct"",""CRONUS JetCorp USA"",""21"",""1"",""402651"""</t>
  </si>
  <si>
    <t>=E2657</t>
  </si>
  <si>
    <t>=StartDate-$M2659+1</t>
  </si>
  <si>
    <t>=SUM(P2659:T2659)</t>
  </si>
  <si>
    <t>=IF($M2659&gt;=$P$18,U2659,0)</t>
  </si>
  <si>
    <t>=IF(AND($M2659&gt;=$Q$16,$M2659&lt;=$Q$18),U2659,0)</t>
  </si>
  <si>
    <t>=IF(AND($M2659&gt;=$R$16,$M2659&lt;=$R$18),U2659,0)</t>
  </si>
  <si>
    <t>=IF(AND($M2659&gt;=$S$16,$M2659&lt;=$S$18),U2659,0)</t>
  </si>
  <si>
    <t>=IF($M2659&lt;=$T$18,U2659,0)</t>
  </si>
  <si>
    <t>="""NAV Direct"",""CRONUS JetCorp USA"",""21"",""1"",""402960"""</t>
  </si>
  <si>
    <t>=E2658</t>
  </si>
  <si>
    <t>=StartDate-$M2660+1</t>
  </si>
  <si>
    <t>=SUM(P2660:T2660)</t>
  </si>
  <si>
    <t>=IF($M2660&gt;=$P$18,U2660,0)</t>
  </si>
  <si>
    <t>=IF(AND($M2660&gt;=$Q$16,$M2660&lt;=$Q$18),U2660,0)</t>
  </si>
  <si>
    <t>=IF(AND($M2660&gt;=$R$16,$M2660&lt;=$R$18),U2660,0)</t>
  </si>
  <si>
    <t>=IF(AND($M2660&gt;=$S$16,$M2660&lt;=$S$18),U2660,0)</t>
  </si>
  <si>
    <t>=IF($M2660&lt;=$T$18,U2660,0)</t>
  </si>
  <si>
    <t>="""NAV Direct"",""CRONUS JetCorp USA"",""21"",""1"",""403003"""</t>
  </si>
  <si>
    <t>=E2659</t>
  </si>
  <si>
    <t>=StartDate-$M2661+1</t>
  </si>
  <si>
    <t>=SUM(P2661:T2661)</t>
  </si>
  <si>
    <t>=IF($M2661&gt;=$P$18,U2661,0)</t>
  </si>
  <si>
    <t>=IF(AND($M2661&gt;=$Q$16,$M2661&lt;=$Q$18),U2661,0)</t>
  </si>
  <si>
    <t>=IF(AND($M2661&gt;=$R$16,$M2661&lt;=$R$18),U2661,0)</t>
  </si>
  <si>
    <t>=IF(AND($M2661&gt;=$S$16,$M2661&lt;=$S$18),U2661,0)</t>
  </si>
  <si>
    <t>=IF($M2661&lt;=$T$18,U2661,0)</t>
  </si>
  <si>
    <t>="""NAV Direct"",""CRONUS JetCorp USA"",""21"",""1"",""403319"""</t>
  </si>
  <si>
    <t>=E2660</t>
  </si>
  <si>
    <t>=StartDate-$M2662+1</t>
  </si>
  <si>
    <t>=SUM(P2662:T2662)</t>
  </si>
  <si>
    <t>=IF($M2662&gt;=$P$18,U2662,0)</t>
  </si>
  <si>
    <t>=IF(AND($M2662&gt;=$Q$16,$M2662&lt;=$Q$18),U2662,0)</t>
  </si>
  <si>
    <t>=IF(AND($M2662&gt;=$R$16,$M2662&lt;=$R$18),U2662,0)</t>
  </si>
  <si>
    <t>=IF(AND($M2662&gt;=$S$16,$M2662&lt;=$S$18),U2662,0)</t>
  </si>
  <si>
    <t>=IF($M2662&lt;=$T$18,U2662,0)</t>
  </si>
  <si>
    <t>="""NAV Direct"",""CRONUS JetCorp USA"",""21"",""1"",""403417"""</t>
  </si>
  <si>
    <t>=E2661</t>
  </si>
  <si>
    <t>=StartDate-$M2663+1</t>
  </si>
  <si>
    <t>=SUM(P2663:T2663)</t>
  </si>
  <si>
    <t>=IF($M2663&gt;=$P$18,U2663,0)</t>
  </si>
  <si>
    <t>=IF(AND($M2663&gt;=$Q$16,$M2663&lt;=$Q$18),U2663,0)</t>
  </si>
  <si>
    <t>=IF(AND($M2663&gt;=$R$16,$M2663&lt;=$R$18),U2663,0)</t>
  </si>
  <si>
    <t>=IF(AND($M2663&gt;=$S$16,$M2663&lt;=$S$18),U2663,0)</t>
  </si>
  <si>
    <t>=IF($M2663&lt;=$T$18,U2663,0)</t>
  </si>
  <si>
    <t>="""NAV Direct"",""CRONUS JetCorp USA"",""21"",""1"",""404101"""</t>
  </si>
  <si>
    <t>=E2662</t>
  </si>
  <si>
    <t>=StartDate-$M2664+1</t>
  </si>
  <si>
    <t>=SUM(P2664:T2664)</t>
  </si>
  <si>
    <t>=IF($M2664&gt;=$P$18,U2664,0)</t>
  </si>
  <si>
    <t>=IF(AND($M2664&gt;=$Q$16,$M2664&lt;=$Q$18),U2664,0)</t>
  </si>
  <si>
    <t>=IF(AND($M2664&gt;=$R$16,$M2664&lt;=$R$18),U2664,0)</t>
  </si>
  <si>
    <t>=IF(AND($M2664&gt;=$S$16,$M2664&lt;=$S$18),U2664,0)</t>
  </si>
  <si>
    <t>=IF($M2664&lt;=$T$18,U2664,0)</t>
  </si>
  <si>
    <t>="""NAV Direct"",""CRONUS JetCorp USA"",""21"",""1"",""404738"""</t>
  </si>
  <si>
    <t>=E2663</t>
  </si>
  <si>
    <t>=StartDate-$M2665+1</t>
  </si>
  <si>
    <t>=SUM(P2665:T2665)</t>
  </si>
  <si>
    <t>=IF($M2665&gt;=$P$18,U2665,0)</t>
  </si>
  <si>
    <t>=IF(AND($M2665&gt;=$Q$16,$M2665&lt;=$Q$18),U2665,0)</t>
  </si>
  <si>
    <t>=IF(AND($M2665&gt;=$R$16,$M2665&lt;=$R$18),U2665,0)</t>
  </si>
  <si>
    <t>=IF(AND($M2665&gt;=$S$16,$M2665&lt;=$S$18),U2665,0)</t>
  </si>
  <si>
    <t>=IF($M2665&lt;=$T$18,U2665,0)</t>
  </si>
  <si>
    <t>="""NAV Direct"",""CRONUS JetCorp USA"",""21"",""1"",""405605"""</t>
  </si>
  <si>
    <t>=E2664</t>
  </si>
  <si>
    <t>=StartDate-$M2666+1</t>
  </si>
  <si>
    <t>=SUM(P2666:T2666)</t>
  </si>
  <si>
    <t>=IF($M2666&gt;=$P$18,U2666,0)</t>
  </si>
  <si>
    <t>=IF(AND($M2666&gt;=$Q$16,$M2666&lt;=$Q$18),U2666,0)</t>
  </si>
  <si>
    <t>=IF(AND($M2666&gt;=$R$16,$M2666&lt;=$R$18),U2666,0)</t>
  </si>
  <si>
    <t>=IF(AND($M2666&gt;=$S$16,$M2666&lt;=$S$18),U2666,0)</t>
  </si>
  <si>
    <t>=IF($M2666&lt;=$T$18,U2666,0)</t>
  </si>
  <si>
    <t>="""NAV Direct"",""CRONUS JetCorp USA"",""21"",""1"",""406486"""</t>
  </si>
  <si>
    <t>=E2665</t>
  </si>
  <si>
    <t>=StartDate-$M2667+1</t>
  </si>
  <si>
    <t>=SUM(P2667:T2667)</t>
  </si>
  <si>
    <t>=IF($M2667&gt;=$P$18,U2667,0)</t>
  </si>
  <si>
    <t>=IF(AND($M2667&gt;=$Q$16,$M2667&lt;=$Q$18),U2667,0)</t>
  </si>
  <si>
    <t>=IF(AND($M2667&gt;=$R$16,$M2667&lt;=$R$18),U2667,0)</t>
  </si>
  <si>
    <t>=IF(AND($M2667&gt;=$S$16,$M2667&lt;=$S$18),U2667,0)</t>
  </si>
  <si>
    <t>=IF($M2667&lt;=$T$18,U2667,0)</t>
  </si>
  <si>
    <t>="""NAV Direct"",""CRONUS JetCorp USA"",""21"",""1"",""406521"""</t>
  </si>
  <si>
    <t>=E2666</t>
  </si>
  <si>
    <t>=StartDate-$M2668+1</t>
  </si>
  <si>
    <t>=SUM(P2668:T2668)</t>
  </si>
  <si>
    <t>=IF($M2668&gt;=$P$18,U2668,0)</t>
  </si>
  <si>
    <t>=IF(AND($M2668&gt;=$Q$16,$M2668&lt;=$Q$18),U2668,0)</t>
  </si>
  <si>
    <t>=IF(AND($M2668&gt;=$R$16,$M2668&lt;=$R$18),U2668,0)</t>
  </si>
  <si>
    <t>=IF(AND($M2668&gt;=$S$16,$M2668&lt;=$S$18),U2668,0)</t>
  </si>
  <si>
    <t>=IF($M2668&lt;=$T$18,U2668,0)</t>
  </si>
  <si>
    <t>="""NAV Direct"",""CRONUS JetCorp USA"",""21"",""1"",""406903"""</t>
  </si>
  <si>
    <t>=E2667</t>
  </si>
  <si>
    <t>=StartDate-$M2669+1</t>
  </si>
  <si>
    <t>=SUM(P2669:T2669)</t>
  </si>
  <si>
    <t>=IF($M2669&gt;=$P$18,U2669,0)</t>
  </si>
  <si>
    <t>=IF(AND($M2669&gt;=$Q$16,$M2669&lt;=$Q$18),U2669,0)</t>
  </si>
  <si>
    <t>=IF(AND($M2669&gt;=$R$16,$M2669&lt;=$R$18),U2669,0)</t>
  </si>
  <si>
    <t>=IF(AND($M2669&gt;=$S$16,$M2669&lt;=$S$18),U2669,0)</t>
  </si>
  <si>
    <t>=IF($M2669&lt;=$T$18,U2669,0)</t>
  </si>
  <si>
    <t>="""NAV Direct"",""CRONUS JetCorp USA"",""21"",""1"",""407410"""</t>
  </si>
  <si>
    <t>=E2668</t>
  </si>
  <si>
    <t>=StartDate-$M2670+1</t>
  </si>
  <si>
    <t>=SUM(P2670:T2670)</t>
  </si>
  <si>
    <t>=IF($M2670&gt;=$P$18,U2670,0)</t>
  </si>
  <si>
    <t>=IF(AND($M2670&gt;=$Q$16,$M2670&lt;=$Q$18),U2670,0)</t>
  </si>
  <si>
    <t>=IF(AND($M2670&gt;=$R$16,$M2670&lt;=$R$18),U2670,0)</t>
  </si>
  <si>
    <t>=IF(AND($M2670&gt;=$S$16,$M2670&lt;=$S$18),U2670,0)</t>
  </si>
  <si>
    <t>=IF($M2670&lt;=$T$18,U2670,0)</t>
  </si>
  <si>
    <t>="""NAV Direct"",""CRONUS JetCorp USA"",""21"",""1"",""407976"""</t>
  </si>
  <si>
    <t>=E2669</t>
  </si>
  <si>
    <t>=StartDate-$M2671+1</t>
  </si>
  <si>
    <t>=SUM(P2671:T2671)</t>
  </si>
  <si>
    <t>=IF($M2671&gt;=$P$18,U2671,0)</t>
  </si>
  <si>
    <t>=IF(AND($M2671&gt;=$Q$16,$M2671&lt;=$Q$18),U2671,0)</t>
  </si>
  <si>
    <t>=IF(AND($M2671&gt;=$R$16,$M2671&lt;=$R$18),U2671,0)</t>
  </si>
  <si>
    <t>=IF(AND($M2671&gt;=$S$16,$M2671&lt;=$S$18),U2671,0)</t>
  </si>
  <si>
    <t>=IF($M2671&lt;=$T$18,U2671,0)</t>
  </si>
  <si>
    <t>="""NAV Direct"",""CRONUS JetCorp USA"",""21"",""1"",""408029"""</t>
  </si>
  <si>
    <t>=E2670</t>
  </si>
  <si>
    <t>=StartDate-$M2672+1</t>
  </si>
  <si>
    <t>=SUM(P2672:T2672)</t>
  </si>
  <si>
    <t>=IF($M2672&gt;=$P$18,U2672,0)</t>
  </si>
  <si>
    <t>=IF(AND($M2672&gt;=$Q$16,$M2672&lt;=$Q$18),U2672,0)</t>
  </si>
  <si>
    <t>=IF(AND($M2672&gt;=$R$16,$M2672&lt;=$R$18),U2672,0)</t>
  </si>
  <si>
    <t>=IF(AND($M2672&gt;=$S$16,$M2672&lt;=$S$18),U2672,0)</t>
  </si>
  <si>
    <t>=IF($M2672&lt;=$T$18,U2672,0)</t>
  </si>
  <si>
    <t>="""NAV Direct"",""CRONUS JetCorp USA"",""21"",""1"",""408233"""</t>
  </si>
  <si>
    <t>=E2671</t>
  </si>
  <si>
    <t>=StartDate-$M2673+1</t>
  </si>
  <si>
    <t>=SUM(P2673:T2673)</t>
  </si>
  <si>
    <t>=IF($M2673&gt;=$P$18,U2673,0)</t>
  </si>
  <si>
    <t>=IF(AND($M2673&gt;=$Q$16,$M2673&lt;=$Q$18),U2673,0)</t>
  </si>
  <si>
    <t>=IF(AND($M2673&gt;=$R$16,$M2673&lt;=$R$18),U2673,0)</t>
  </si>
  <si>
    <t>=IF(AND($M2673&gt;=$S$16,$M2673&lt;=$S$18),U2673,0)</t>
  </si>
  <si>
    <t>=IF($M2673&lt;=$T$18,U2673,0)</t>
  </si>
  <si>
    <t>="""NAV Direct"",""CRONUS JetCorp USA"",""21"",""1"",""408569"""</t>
  </si>
  <si>
    <t>=E2672</t>
  </si>
  <si>
    <t>=StartDate-$M2674+1</t>
  </si>
  <si>
    <t>=SUM(P2674:T2674)</t>
  </si>
  <si>
    <t>=IF($M2674&gt;=$P$18,U2674,0)</t>
  </si>
  <si>
    <t>=IF(AND($M2674&gt;=$Q$16,$M2674&lt;=$Q$18),U2674,0)</t>
  </si>
  <si>
    <t>=IF(AND($M2674&gt;=$R$16,$M2674&lt;=$R$18),U2674,0)</t>
  </si>
  <si>
    <t>=IF(AND($M2674&gt;=$S$16,$M2674&lt;=$S$18),U2674,0)</t>
  </si>
  <si>
    <t>=IF($M2674&lt;=$T$18,U2674,0)</t>
  </si>
  <si>
    <t>="""NAV Direct"",""CRONUS JetCorp USA"",""21"",""1"",""410339"""</t>
  </si>
  <si>
    <t>=E2673</t>
  </si>
  <si>
    <t>=StartDate-$M2675+1</t>
  </si>
  <si>
    <t>=SUM(P2675:T2675)</t>
  </si>
  <si>
    <t>=IF($M2675&gt;=$P$18,U2675,0)</t>
  </si>
  <si>
    <t>=IF(AND($M2675&gt;=$Q$16,$M2675&lt;=$Q$18),U2675,0)</t>
  </si>
  <si>
    <t>=IF(AND($M2675&gt;=$R$16,$M2675&lt;=$R$18),U2675,0)</t>
  </si>
  <si>
    <t>=IF(AND($M2675&gt;=$S$16,$M2675&lt;=$S$18),U2675,0)</t>
  </si>
  <si>
    <t>=IF($M2675&lt;=$T$18,U2675,0)</t>
  </si>
  <si>
    <t>="""NAV Direct"",""CRONUS JetCorp USA"",""21"",""1"",""410534"""</t>
  </si>
  <si>
    <t>=E2674</t>
  </si>
  <si>
    <t>=StartDate-$M2676+1</t>
  </si>
  <si>
    <t>=SUM(P2676:T2676)</t>
  </si>
  <si>
    <t>=IF($M2676&gt;=$P$18,U2676,0)</t>
  </si>
  <si>
    <t>=IF(AND($M2676&gt;=$Q$16,$M2676&lt;=$Q$18),U2676,0)</t>
  </si>
  <si>
    <t>=IF(AND($M2676&gt;=$R$16,$M2676&lt;=$R$18),U2676,0)</t>
  </si>
  <si>
    <t>=IF(AND($M2676&gt;=$S$16,$M2676&lt;=$S$18),U2676,0)</t>
  </si>
  <si>
    <t>=IF($M2676&lt;=$T$18,U2676,0)</t>
  </si>
  <si>
    <t>="""NAV Direct"",""CRONUS JetCorp USA"",""21"",""1"",""410583"""</t>
  </si>
  <si>
    <t>=E2675</t>
  </si>
  <si>
    <t>=StartDate-$M2677+1</t>
  </si>
  <si>
    <t>=SUM(P2677:T2677)</t>
  </si>
  <si>
    <t>=IF($M2677&gt;=$P$18,U2677,0)</t>
  </si>
  <si>
    <t>=IF(AND($M2677&gt;=$Q$16,$M2677&lt;=$Q$18),U2677,0)</t>
  </si>
  <si>
    <t>=IF(AND($M2677&gt;=$R$16,$M2677&lt;=$R$18),U2677,0)</t>
  </si>
  <si>
    <t>=IF(AND($M2677&gt;=$S$16,$M2677&lt;=$S$18),U2677,0)</t>
  </si>
  <si>
    <t>=IF($M2677&lt;=$T$18,U2677,0)</t>
  </si>
  <si>
    <t>="""NAV Direct"",""CRONUS JetCorp USA"",""21"",""1"",""410636"""</t>
  </si>
  <si>
    <t>=E2676</t>
  </si>
  <si>
    <t>=StartDate-$M2678+1</t>
  </si>
  <si>
    <t>=SUM(P2678:T2678)</t>
  </si>
  <si>
    <t>=IF($M2678&gt;=$P$18,U2678,0)</t>
  </si>
  <si>
    <t>=IF(AND($M2678&gt;=$Q$16,$M2678&lt;=$Q$18),U2678,0)</t>
  </si>
  <si>
    <t>=IF(AND($M2678&gt;=$R$16,$M2678&lt;=$R$18),U2678,0)</t>
  </si>
  <si>
    <t>=IF(AND($M2678&gt;=$S$16,$M2678&lt;=$S$18),U2678,0)</t>
  </si>
  <si>
    <t>=IF($M2678&lt;=$T$18,U2678,0)</t>
  </si>
  <si>
    <t>="""NAV Direct"",""CRONUS JetCorp USA"",""21"",""1"",""410744"""</t>
  </si>
  <si>
    <t>=E2677</t>
  </si>
  <si>
    <t>=StartDate-$M2679+1</t>
  </si>
  <si>
    <t>=SUM(P2679:T2679)</t>
  </si>
  <si>
    <t>=IF($M2679&gt;=$P$18,U2679,0)</t>
  </si>
  <si>
    <t>=IF(AND($M2679&gt;=$Q$16,$M2679&lt;=$Q$18),U2679,0)</t>
  </si>
  <si>
    <t>=IF(AND($M2679&gt;=$R$16,$M2679&lt;=$R$18),U2679,0)</t>
  </si>
  <si>
    <t>=IF(AND($M2679&gt;=$S$16,$M2679&lt;=$S$18),U2679,0)</t>
  </si>
  <si>
    <t>=IF($M2679&lt;=$T$18,U2679,0)</t>
  </si>
  <si>
    <t>="""NAV Direct"",""CRONUS JetCorp USA"",""21"",""1"",""410795"""</t>
  </si>
  <si>
    <t>=E2678</t>
  </si>
  <si>
    <t>=StartDate-$M2680+1</t>
  </si>
  <si>
    <t>=SUM(P2680:T2680)</t>
  </si>
  <si>
    <t>=IF($M2680&gt;=$P$18,U2680,0)</t>
  </si>
  <si>
    <t>=IF(AND($M2680&gt;=$Q$16,$M2680&lt;=$Q$18),U2680,0)</t>
  </si>
  <si>
    <t>=IF(AND($M2680&gt;=$R$16,$M2680&lt;=$R$18),U2680,0)</t>
  </si>
  <si>
    <t>=IF(AND($M2680&gt;=$S$16,$M2680&lt;=$S$18),U2680,0)</t>
  </si>
  <si>
    <t>=IF($M2680&lt;=$T$18,U2680,0)</t>
  </si>
  <si>
    <t>="""NAV Direct"",""CRONUS JetCorp USA"",""21"",""1"",""411669"""</t>
  </si>
  <si>
    <t>=E2679</t>
  </si>
  <si>
    <t>=StartDate-$M2681+1</t>
  </si>
  <si>
    <t>=SUM(P2681:T2681)</t>
  </si>
  <si>
    <t>=IF($M2681&gt;=$P$18,U2681,0)</t>
  </si>
  <si>
    <t>=IF(AND($M2681&gt;=$Q$16,$M2681&lt;=$Q$18),U2681,0)</t>
  </si>
  <si>
    <t>=IF(AND($M2681&gt;=$R$16,$M2681&lt;=$R$18),U2681,0)</t>
  </si>
  <si>
    <t>=IF(AND($M2681&gt;=$S$16,$M2681&lt;=$S$18),U2681,0)</t>
  </si>
  <si>
    <t>=IF($M2681&lt;=$T$18,U2681,0)</t>
  </si>
  <si>
    <t>="""NAV Direct"",""CRONUS JetCorp USA"",""21"",""1"",""411773"""</t>
  </si>
  <si>
    <t>=E2680</t>
  </si>
  <si>
    <t>=StartDate-$M2682+1</t>
  </si>
  <si>
    <t>=SUM(P2682:T2682)</t>
  </si>
  <si>
    <t>=IF($M2682&gt;=$P$18,U2682,0)</t>
  </si>
  <si>
    <t>=IF(AND($M2682&gt;=$Q$16,$M2682&lt;=$Q$18),U2682,0)</t>
  </si>
  <si>
    <t>=IF(AND($M2682&gt;=$R$16,$M2682&lt;=$R$18),U2682,0)</t>
  </si>
  <si>
    <t>=IF(AND($M2682&gt;=$S$16,$M2682&lt;=$S$18),U2682,0)</t>
  </si>
  <si>
    <t>=IF($M2682&lt;=$T$18,U2682,0)</t>
  </si>
  <si>
    <t>="""NAV Direct"",""CRONUS JetCorp USA"",""21"",""1"",""413278"""</t>
  </si>
  <si>
    <t>=E2681</t>
  </si>
  <si>
    <t>=StartDate-$M2683+1</t>
  </si>
  <si>
    <t>=SUM(P2683:T2683)</t>
  </si>
  <si>
    <t>=IF($M2683&gt;=$P$18,U2683,0)</t>
  </si>
  <si>
    <t>=IF(AND($M2683&gt;=$Q$16,$M2683&lt;=$Q$18),U2683,0)</t>
  </si>
  <si>
    <t>=IF(AND($M2683&gt;=$R$16,$M2683&lt;=$R$18),U2683,0)</t>
  </si>
  <si>
    <t>=IF(AND($M2683&gt;=$S$16,$M2683&lt;=$S$18),U2683,0)</t>
  </si>
  <si>
    <t>=IF($M2683&lt;=$T$18,U2683,0)</t>
  </si>
  <si>
    <t>="""NAV Direct"",""CRONUS JetCorp USA"",""21"",""1"",""413550"""</t>
  </si>
  <si>
    <t>=E2682</t>
  </si>
  <si>
    <t>=StartDate-$M2684+1</t>
  </si>
  <si>
    <t>=SUM(P2684:T2684)</t>
  </si>
  <si>
    <t>=IF($M2684&gt;=$P$18,U2684,0)</t>
  </si>
  <si>
    <t>=IF(AND($M2684&gt;=$Q$16,$M2684&lt;=$Q$18),U2684,0)</t>
  </si>
  <si>
    <t>=IF(AND($M2684&gt;=$R$16,$M2684&lt;=$R$18),U2684,0)</t>
  </si>
  <si>
    <t>=IF(AND($M2684&gt;=$S$16,$M2684&lt;=$S$18),U2684,0)</t>
  </si>
  <si>
    <t>=IF($M2684&lt;=$T$18,U2684,0)</t>
  </si>
  <si>
    <t>="""NAV Direct"",""CRONUS JetCorp USA"",""21"",""1"",""413599"""</t>
  </si>
  <si>
    <t>=E2683</t>
  </si>
  <si>
    <t>=StartDate-$M2685+1</t>
  </si>
  <si>
    <t>=SUM(P2685:T2685)</t>
  </si>
  <si>
    <t>=IF($M2685&gt;=$P$18,U2685,0)</t>
  </si>
  <si>
    <t>=IF(AND($M2685&gt;=$Q$16,$M2685&lt;=$Q$18),U2685,0)</t>
  </si>
  <si>
    <t>=IF(AND($M2685&gt;=$R$16,$M2685&lt;=$R$18),U2685,0)</t>
  </si>
  <si>
    <t>=IF(AND($M2685&gt;=$S$16,$M2685&lt;=$S$18),U2685,0)</t>
  </si>
  <si>
    <t>=IF($M2685&lt;=$T$18,U2685,0)</t>
  </si>
  <si>
    <t>="""NAV Direct"",""CRONUS JetCorp USA"",""21"",""1"",""413784"""</t>
  </si>
  <si>
    <t>=E2684</t>
  </si>
  <si>
    <t>=StartDate-$M2686+1</t>
  </si>
  <si>
    <t>=SUM(P2686:T2686)</t>
  </si>
  <si>
    <t>=IF($M2686&gt;=$P$18,U2686,0)</t>
  </si>
  <si>
    <t>=IF(AND($M2686&gt;=$Q$16,$M2686&lt;=$Q$18),U2686,0)</t>
  </si>
  <si>
    <t>=IF(AND($M2686&gt;=$R$16,$M2686&lt;=$R$18),U2686,0)</t>
  </si>
  <si>
    <t>=IF(AND($M2686&gt;=$S$16,$M2686&lt;=$S$18),U2686,0)</t>
  </si>
  <si>
    <t>=IF($M2686&lt;=$T$18,U2686,0)</t>
  </si>
  <si>
    <t>="""NAV Direct"",""CRONUS JetCorp USA"",""21"",""1"",""414067"""</t>
  </si>
  <si>
    <t>=E2685</t>
  </si>
  <si>
    <t>=StartDate-$M2687+1</t>
  </si>
  <si>
    <t>=SUM(P2687:T2687)</t>
  </si>
  <si>
    <t>=IF($M2687&gt;=$P$18,U2687,0)</t>
  </si>
  <si>
    <t>=IF(AND($M2687&gt;=$Q$16,$M2687&lt;=$Q$18),U2687,0)</t>
  </si>
  <si>
    <t>=IF(AND($M2687&gt;=$R$16,$M2687&lt;=$R$18),U2687,0)</t>
  </si>
  <si>
    <t>=IF(AND($M2687&gt;=$S$16,$M2687&lt;=$S$18),U2687,0)</t>
  </si>
  <si>
    <t>=IF($M2687&lt;=$T$18,U2687,0)</t>
  </si>
  <si>
    <t>="""NAV Direct"",""CRONUS JetCorp USA"",""21"",""1"",""440290"""</t>
  </si>
  <si>
    <t>=E2686</t>
  </si>
  <si>
    <t>=StartDate-$M2688+1</t>
  </si>
  <si>
    <t>=SUM(P2688:T2688)</t>
  </si>
  <si>
    <t>=IF($M2688&gt;=$P$18,U2688,0)</t>
  </si>
  <si>
    <t>=IF(AND($M2688&gt;=$Q$16,$M2688&lt;=$Q$18),U2688,0)</t>
  </si>
  <si>
    <t>=IF(AND($M2688&gt;=$R$16,$M2688&lt;=$R$18),U2688,0)</t>
  </si>
  <si>
    <t>=IF(AND($M2688&gt;=$S$16,$M2688&lt;=$S$18),U2688,0)</t>
  </si>
  <si>
    <t>=IF($M2688&lt;=$T$18,U2688,0)</t>
  </si>
  <si>
    <t>="""NAV Direct"",""CRONUS JetCorp USA"",""21"",""1"",""440395"""</t>
  </si>
  <si>
    <t>=E2687</t>
  </si>
  <si>
    <t>=StartDate-$M2689+1</t>
  </si>
  <si>
    <t>=SUM(P2689:T2689)</t>
  </si>
  <si>
    <t>=IF($M2689&gt;=$P$18,U2689,0)</t>
  </si>
  <si>
    <t>=IF(AND($M2689&gt;=$Q$16,$M2689&lt;=$Q$18),U2689,0)</t>
  </si>
  <si>
    <t>=IF(AND($M2689&gt;=$R$16,$M2689&lt;=$R$18),U2689,0)</t>
  </si>
  <si>
    <t>=IF(AND($M2689&gt;=$S$16,$M2689&lt;=$S$18),U2689,0)</t>
  </si>
  <si>
    <t>=IF($M2689&lt;=$T$18,U2689,0)</t>
  </si>
  <si>
    <t>="""NAV Direct"",""CRONUS JetCorp USA"",""21"",""1"",""440495"""</t>
  </si>
  <si>
    <t>=E2688</t>
  </si>
  <si>
    <t>=StartDate-$M2690+1</t>
  </si>
  <si>
    <t>=SUM(P2690:T2690)</t>
  </si>
  <si>
    <t>=IF($M2690&gt;=$P$18,U2690,0)</t>
  </si>
  <si>
    <t>=IF(AND($M2690&gt;=$Q$16,$M2690&lt;=$Q$18),U2690,0)</t>
  </si>
  <si>
    <t>=IF(AND($M2690&gt;=$R$16,$M2690&lt;=$R$18),U2690,0)</t>
  </si>
  <si>
    <t>=IF(AND($M2690&gt;=$S$16,$M2690&lt;=$S$18),U2690,0)</t>
  </si>
  <si>
    <t>=IF($M2690&lt;=$T$18,U2690,0)</t>
  </si>
  <si>
    <t>="""NAV Direct"",""CRONUS JetCorp USA"",""21"",""1"",""440954"""</t>
  </si>
  <si>
    <t>=E2689</t>
  </si>
  <si>
    <t>=StartDate-$M2691+1</t>
  </si>
  <si>
    <t>=SUM(P2691:T2691)</t>
  </si>
  <si>
    <t>=IF($M2691&gt;=$P$18,U2691,0)</t>
  </si>
  <si>
    <t>=IF(AND($M2691&gt;=$Q$16,$M2691&lt;=$Q$18),U2691,0)</t>
  </si>
  <si>
    <t>=IF(AND($M2691&gt;=$R$16,$M2691&lt;=$R$18),U2691,0)</t>
  </si>
  <si>
    <t>=IF(AND($M2691&gt;=$S$16,$M2691&lt;=$S$18),U2691,0)</t>
  </si>
  <si>
    <t>=IF($M2691&lt;=$T$18,U2691,0)</t>
  </si>
  <si>
    <t>="""NAV Direct"",""CRONUS JetCorp USA"",""21"",""1"",""440989"""</t>
  </si>
  <si>
    <t>=E2690</t>
  </si>
  <si>
    <t>=StartDate-$M2692+1</t>
  </si>
  <si>
    <t>=SUM(P2692:T2692)</t>
  </si>
  <si>
    <t>=IF($M2692&gt;=$P$18,U2692,0)</t>
  </si>
  <si>
    <t>=IF(AND($M2692&gt;=$Q$16,$M2692&lt;=$Q$18),U2692,0)</t>
  </si>
  <si>
    <t>=IF(AND($M2692&gt;=$R$16,$M2692&lt;=$R$18),U2692,0)</t>
  </si>
  <si>
    <t>=IF(AND($M2692&gt;=$S$16,$M2692&lt;=$S$18),U2692,0)</t>
  </si>
  <si>
    <t>=IF($M2692&lt;=$T$18,U2692,0)</t>
  </si>
  <si>
    <t>="""NAV Direct"",""CRONUS JetCorp USA"",""21"",""1"",""441122"""</t>
  </si>
  <si>
    <t>=E2691</t>
  </si>
  <si>
    <t>=StartDate-$M2693+1</t>
  </si>
  <si>
    <t>=SUM(P2693:T2693)</t>
  </si>
  <si>
    <t>=IF($M2693&gt;=$P$18,U2693,0)</t>
  </si>
  <si>
    <t>=IF(AND($M2693&gt;=$Q$16,$M2693&lt;=$Q$18),U2693,0)</t>
  </si>
  <si>
    <t>=IF(AND($M2693&gt;=$R$16,$M2693&lt;=$R$18),U2693,0)</t>
  </si>
  <si>
    <t>=IF(AND($M2693&gt;=$S$16,$M2693&lt;=$S$18),U2693,0)</t>
  </si>
  <si>
    <t>=IF($M2693&lt;=$T$18,U2693,0)</t>
  </si>
  <si>
    <t>="""NAV Direct"",""CRONUS JetCorp USA"",""21"",""1"",""441175"""</t>
  </si>
  <si>
    <t>=E2692</t>
  </si>
  <si>
    <t>=StartDate-$M2694+1</t>
  </si>
  <si>
    <t>=SUM(P2694:T2694)</t>
  </si>
  <si>
    <t>=IF($M2694&gt;=$P$18,U2694,0)</t>
  </si>
  <si>
    <t>=IF(AND($M2694&gt;=$Q$16,$M2694&lt;=$Q$18),U2694,0)</t>
  </si>
  <si>
    <t>=IF(AND($M2694&gt;=$R$16,$M2694&lt;=$R$18),U2694,0)</t>
  </si>
  <si>
    <t>=IF(AND($M2694&gt;=$S$16,$M2694&lt;=$S$18),U2694,0)</t>
  </si>
  <si>
    <t>=IF($M2694&lt;=$T$18,U2694,0)</t>
  </si>
  <si>
    <t>="""NAV Direct"",""CRONUS JetCorp USA"",""21"",""1"",""441298"""</t>
  </si>
  <si>
    <t>=E2693</t>
  </si>
  <si>
    <t>=StartDate-$M2695+1</t>
  </si>
  <si>
    <t>=SUM(P2695:T2695)</t>
  </si>
  <si>
    <t>=IF($M2695&gt;=$P$18,U2695,0)</t>
  </si>
  <si>
    <t>=IF(AND($M2695&gt;=$Q$16,$M2695&lt;=$Q$18),U2695,0)</t>
  </si>
  <si>
    <t>=IF(AND($M2695&gt;=$R$16,$M2695&lt;=$R$18),U2695,0)</t>
  </si>
  <si>
    <t>=IF(AND($M2695&gt;=$S$16,$M2695&lt;=$S$18),U2695,0)</t>
  </si>
  <si>
    <t>=IF($M2695&lt;=$T$18,U2695,0)</t>
  </si>
  <si>
    <t>="""NAV Direct"",""CRONUS JetCorp USA"",""21"",""1"",""441399"""</t>
  </si>
  <si>
    <t>=E2694</t>
  </si>
  <si>
    <t>=StartDate-$M2696+1</t>
  </si>
  <si>
    <t>=SUM(P2696:T2696)</t>
  </si>
  <si>
    <t>=IF($M2696&gt;=$P$18,U2696,0)</t>
  </si>
  <si>
    <t>=IF(AND($M2696&gt;=$Q$16,$M2696&lt;=$Q$18),U2696,0)</t>
  </si>
  <si>
    <t>=IF(AND($M2696&gt;=$R$16,$M2696&lt;=$R$18),U2696,0)</t>
  </si>
  <si>
    <t>=IF(AND($M2696&gt;=$S$16,$M2696&lt;=$S$18),U2696,0)</t>
  </si>
  <si>
    <t>=IF($M2696&lt;=$T$18,U2696,0)</t>
  </si>
  <si>
    <t>="""NAV Direct"",""CRONUS JetCorp USA"",""21"",""1"",""441545"""</t>
  </si>
  <si>
    <t>=E2695</t>
  </si>
  <si>
    <t>=StartDate-$M2697+1</t>
  </si>
  <si>
    <t>=SUM(P2697:T2697)</t>
  </si>
  <si>
    <t>=IF($M2697&gt;=$P$18,U2697,0)</t>
  </si>
  <si>
    <t>=IF(AND($M2697&gt;=$Q$16,$M2697&lt;=$Q$18),U2697,0)</t>
  </si>
  <si>
    <t>=IF(AND($M2697&gt;=$R$16,$M2697&lt;=$R$18),U2697,0)</t>
  </si>
  <si>
    <t>=IF(AND($M2697&gt;=$S$16,$M2697&lt;=$S$18),U2697,0)</t>
  </si>
  <si>
    <t>=IF($M2697&lt;=$T$18,U2697,0)</t>
  </si>
  <si>
    <t>="""NAV Direct"",""CRONUS JetCorp USA"",""18"",""1"",""C100085"""</t>
  </si>
  <si>
    <t>=H2700</t>
  </si>
  <si>
    <t>=NF($C2700,"1 No.")</t>
  </si>
  <si>
    <t>=NF($C2700,"1 No.")&amp;"  -  "&amp;NF($C2700,"2 Name")</t>
  </si>
  <si>
    <t>=IFERROR(O2700/NF(C2700,"Credit Limit (LCY)"),"")</t>
  </si>
  <si>
    <t>=SUBTOTAL(3,L2701:L2721)</t>
  </si>
  <si>
    <t>=SUBTOTAL(9,O2701:O2721)</t>
  </si>
  <si>
    <t>=SUBTOTAL(9,P2701:P2721)</t>
  </si>
  <si>
    <t>=SUBTOTAL(9,Q2701:Q2721)</t>
  </si>
  <si>
    <t>=SUBTOTAL(9,R2701:R2721)</t>
  </si>
  <si>
    <t>=SUBTOTAL(9,S2701:S2721)</t>
  </si>
  <si>
    <t>=SUBTOTAL(9,T2701:T2721)</t>
  </si>
  <si>
    <t>=C2700</t>
  </si>
  <si>
    <t>=E2700</t>
  </si>
  <si>
    <t>="Contact: "&amp;NF($C2701,"8 Contact")</t>
  </si>
  <si>
    <t>=C2701</t>
  </si>
  <si>
    <t>=E2701</t>
  </si>
  <si>
    <t>=NF($C2702,"102 E-Mail")</t>
  </si>
  <si>
    <t>=NL("Rows","21 Cust. Ledger Entry",,"3 Customer No.","@@"&amp;$E2704,"16 Remaining Amt. (LCY)","&lt;&gt;0")</t>
  </si>
  <si>
    <t>=E2702</t>
  </si>
  <si>
    <t>=StartDate-$M2704+1</t>
  </si>
  <si>
    <t>=SUM(P2704:T2704)</t>
  </si>
  <si>
    <t>=IF($M2704&gt;=$P$18,U2704,0)</t>
  </si>
  <si>
    <t>=IF(AND($M2704&gt;=$Q$16,$M2704&lt;=$Q$18),U2704,0)</t>
  </si>
  <si>
    <t>=IF(AND($M2704&gt;=$R$16,$M2704&lt;=$R$18),U2704,0)</t>
  </si>
  <si>
    <t>=IF(AND($M2704&gt;=$S$16,$M2704&lt;=$S$18),U2704,0)</t>
  </si>
  <si>
    <t>=IF($M2704&lt;=$T$18,U2704,0)</t>
  </si>
  <si>
    <t>="""NAV Direct"",""CRONUS JetCorp USA"",""21"",""1"",""190968"""</t>
  </si>
  <si>
    <t>=E2703</t>
  </si>
  <si>
    <t>=StartDate-$M2705+1</t>
  </si>
  <si>
    <t>=SUM(P2705:T2705)</t>
  </si>
  <si>
    <t>=IF($M2705&gt;=$P$18,U2705,0)</t>
  </si>
  <si>
    <t>=IF(AND($M2705&gt;=$Q$16,$M2705&lt;=$Q$18),U2705,0)</t>
  </si>
  <si>
    <t>=IF(AND($M2705&gt;=$R$16,$M2705&lt;=$R$18),U2705,0)</t>
  </si>
  <si>
    <t>=IF(AND($M2705&gt;=$S$16,$M2705&lt;=$S$18),U2705,0)</t>
  </si>
  <si>
    <t>=IF($M2705&lt;=$T$18,U2705,0)</t>
  </si>
  <si>
    <t>="""NAV Direct"",""CRONUS JetCorp USA"",""21"",""1"",""191072"""</t>
  </si>
  <si>
    <t>=E2704</t>
  </si>
  <si>
    <t>=StartDate-$M2706+1</t>
  </si>
  <si>
    <t>=SUM(P2706:T2706)</t>
  </si>
  <si>
    <t>=IF($M2706&gt;=$P$18,U2706,0)</t>
  </si>
  <si>
    <t>=IF(AND($M2706&gt;=$Q$16,$M2706&lt;=$Q$18),U2706,0)</t>
  </si>
  <si>
    <t>=IF(AND($M2706&gt;=$R$16,$M2706&lt;=$R$18),U2706,0)</t>
  </si>
  <si>
    <t>=IF(AND($M2706&gt;=$S$16,$M2706&lt;=$S$18),U2706,0)</t>
  </si>
  <si>
    <t>=IF($M2706&lt;=$T$18,U2706,0)</t>
  </si>
  <si>
    <t>="""NAV Direct"",""CRONUS JetCorp USA"",""21"",""1"",""191239"""</t>
  </si>
  <si>
    <t>=E2705</t>
  </si>
  <si>
    <t>=StartDate-$M2707+1</t>
  </si>
  <si>
    <t>=SUM(P2707:T2707)</t>
  </si>
  <si>
    <t>=IF($M2707&gt;=$P$18,U2707,0)</t>
  </si>
  <si>
    <t>=IF(AND($M2707&gt;=$Q$16,$M2707&lt;=$Q$18),U2707,0)</t>
  </si>
  <si>
    <t>=IF(AND($M2707&gt;=$R$16,$M2707&lt;=$R$18),U2707,0)</t>
  </si>
  <si>
    <t>=IF(AND($M2707&gt;=$S$16,$M2707&lt;=$S$18),U2707,0)</t>
  </si>
  <si>
    <t>=IF($M2707&lt;=$T$18,U2707,0)</t>
  </si>
  <si>
    <t>="""NAV Direct"",""CRONUS JetCorp USA"",""21"",""1"",""191420"""</t>
  </si>
  <si>
    <t>=E2706</t>
  </si>
  <si>
    <t>=StartDate-$M2708+1</t>
  </si>
  <si>
    <t>=SUM(P2708:T2708)</t>
  </si>
  <si>
    <t>=IF($M2708&gt;=$P$18,U2708,0)</t>
  </si>
  <si>
    <t>=IF(AND($M2708&gt;=$Q$16,$M2708&lt;=$Q$18),U2708,0)</t>
  </si>
  <si>
    <t>=IF(AND($M2708&gt;=$R$16,$M2708&lt;=$R$18),U2708,0)</t>
  </si>
  <si>
    <t>=IF(AND($M2708&gt;=$S$16,$M2708&lt;=$S$18),U2708,0)</t>
  </si>
  <si>
    <t>=IF($M2708&lt;=$T$18,U2708,0)</t>
  </si>
  <si>
    <t>="""NAV Direct"",""CRONUS JetCorp USA"",""21"",""1"",""191831"""</t>
  </si>
  <si>
    <t>=E2707</t>
  </si>
  <si>
    <t>=StartDate-$M2709+1</t>
  </si>
  <si>
    <t>=SUM(P2709:T2709)</t>
  </si>
  <si>
    <t>=IF($M2709&gt;=$P$18,U2709,0)</t>
  </si>
  <si>
    <t>=IF(AND($M2709&gt;=$Q$16,$M2709&lt;=$Q$18),U2709,0)</t>
  </si>
  <si>
    <t>=IF(AND($M2709&gt;=$R$16,$M2709&lt;=$R$18),U2709,0)</t>
  </si>
  <si>
    <t>=IF(AND($M2709&gt;=$S$16,$M2709&lt;=$S$18),U2709,0)</t>
  </si>
  <si>
    <t>=IF($M2709&lt;=$T$18,U2709,0)</t>
  </si>
  <si>
    <t>="""NAV Direct"",""CRONUS JetCorp USA"",""21"",""1"",""192146"""</t>
  </si>
  <si>
    <t>=E2708</t>
  </si>
  <si>
    <t>=StartDate-$M2710+1</t>
  </si>
  <si>
    <t>=SUM(P2710:T2710)</t>
  </si>
  <si>
    <t>=IF($M2710&gt;=$P$18,U2710,0)</t>
  </si>
  <si>
    <t>=IF(AND($M2710&gt;=$Q$16,$M2710&lt;=$Q$18),U2710,0)</t>
  </si>
  <si>
    <t>=IF(AND($M2710&gt;=$R$16,$M2710&lt;=$R$18),U2710,0)</t>
  </si>
  <si>
    <t>=IF(AND($M2710&gt;=$S$16,$M2710&lt;=$S$18),U2710,0)</t>
  </si>
  <si>
    <t>=IF($M2710&lt;=$T$18,U2710,0)</t>
  </si>
  <si>
    <t>="""NAV Direct"",""CRONUS JetCorp USA"",""21"",""1"",""192809"""</t>
  </si>
  <si>
    <t>=E2709</t>
  </si>
  <si>
    <t>=StartDate-$M2711+1</t>
  </si>
  <si>
    <t>=SUM(P2711:T2711)</t>
  </si>
  <si>
    <t>=IF($M2711&gt;=$P$18,U2711,0)</t>
  </si>
  <si>
    <t>=IF(AND($M2711&gt;=$Q$16,$M2711&lt;=$Q$18),U2711,0)</t>
  </si>
  <si>
    <t>=IF(AND($M2711&gt;=$R$16,$M2711&lt;=$R$18),U2711,0)</t>
  </si>
  <si>
    <t>=IF(AND($M2711&gt;=$S$16,$M2711&lt;=$S$18),U2711,0)</t>
  </si>
  <si>
    <t>=IF($M2711&lt;=$T$18,U2711,0)</t>
  </si>
  <si>
    <t>="""NAV Direct"",""CRONUS JetCorp USA"",""21"",""1"",""193116"""</t>
  </si>
  <si>
    <t>=E2710</t>
  </si>
  <si>
    <t>=StartDate-$M2712+1</t>
  </si>
  <si>
    <t>=SUM(P2712:T2712)</t>
  </si>
  <si>
    <t>=IF($M2712&gt;=$P$18,U2712,0)</t>
  </si>
  <si>
    <t>=IF(AND($M2712&gt;=$Q$16,$M2712&lt;=$Q$18),U2712,0)</t>
  </si>
  <si>
    <t>=IF(AND($M2712&gt;=$R$16,$M2712&lt;=$R$18),U2712,0)</t>
  </si>
  <si>
    <t>=IF(AND($M2712&gt;=$S$16,$M2712&lt;=$S$18),U2712,0)</t>
  </si>
  <si>
    <t>=IF($M2712&lt;=$T$18,U2712,0)</t>
  </si>
  <si>
    <t>="""NAV Direct"",""CRONUS JetCorp USA"",""21"",""1"",""443584"""</t>
  </si>
  <si>
    <t>=E2711</t>
  </si>
  <si>
    <t>=StartDate-$M2713+1</t>
  </si>
  <si>
    <t>=SUM(P2713:T2713)</t>
  </si>
  <si>
    <t>=IF($M2713&gt;=$P$18,U2713,0)</t>
  </si>
  <si>
    <t>=IF(AND($M2713&gt;=$Q$16,$M2713&lt;=$Q$18),U2713,0)</t>
  </si>
  <si>
    <t>=IF(AND($M2713&gt;=$R$16,$M2713&lt;=$R$18),U2713,0)</t>
  </si>
  <si>
    <t>=IF(AND($M2713&gt;=$S$16,$M2713&lt;=$S$18),U2713,0)</t>
  </si>
  <si>
    <t>=IF($M2713&lt;=$T$18,U2713,0)</t>
  </si>
  <si>
    <t>="""NAV Direct"",""CRONUS JetCorp USA"",""21"",""1"",""443605"""</t>
  </si>
  <si>
    <t>=E2712</t>
  </si>
  <si>
    <t>=StartDate-$M2714+1</t>
  </si>
  <si>
    <t>=SUM(P2714:T2714)</t>
  </si>
  <si>
    <t>=IF($M2714&gt;=$P$18,U2714,0)</t>
  </si>
  <si>
    <t>=IF(AND($M2714&gt;=$Q$16,$M2714&lt;=$Q$18),U2714,0)</t>
  </si>
  <si>
    <t>=IF(AND($M2714&gt;=$R$16,$M2714&lt;=$R$18),U2714,0)</t>
  </si>
  <si>
    <t>=IF(AND($M2714&gt;=$S$16,$M2714&lt;=$S$18),U2714,0)</t>
  </si>
  <si>
    <t>=IF($M2714&lt;=$T$18,U2714,0)</t>
  </si>
  <si>
    <t>="""NAV Direct"",""CRONUS JetCorp USA"",""21"",""1"",""443628"""</t>
  </si>
  <si>
    <t>=E2713</t>
  </si>
  <si>
    <t>=StartDate-$M2715+1</t>
  </si>
  <si>
    <t>=SUM(P2715:T2715)</t>
  </si>
  <si>
    <t>=IF($M2715&gt;=$P$18,U2715,0)</t>
  </si>
  <si>
    <t>=IF(AND($M2715&gt;=$Q$16,$M2715&lt;=$Q$18),U2715,0)</t>
  </si>
  <si>
    <t>=IF(AND($M2715&gt;=$R$16,$M2715&lt;=$R$18),U2715,0)</t>
  </si>
  <si>
    <t>=IF(AND($M2715&gt;=$S$16,$M2715&lt;=$S$18),U2715,0)</t>
  </si>
  <si>
    <t>=IF($M2715&lt;=$T$18,U2715,0)</t>
  </si>
  <si>
    <t>="""NAV Direct"",""CRONUS JetCorp USA"",""21"",""1"",""443669"""</t>
  </si>
  <si>
    <t>=E2714</t>
  </si>
  <si>
    <t>=StartDate-$M2716+1</t>
  </si>
  <si>
    <t>=SUM(P2716:T2716)</t>
  </si>
  <si>
    <t>=IF($M2716&gt;=$P$18,U2716,0)</t>
  </si>
  <si>
    <t>=IF(AND($M2716&gt;=$Q$16,$M2716&lt;=$Q$18),U2716,0)</t>
  </si>
  <si>
    <t>=IF(AND($M2716&gt;=$R$16,$M2716&lt;=$R$18),U2716,0)</t>
  </si>
  <si>
    <t>=IF(AND($M2716&gt;=$S$16,$M2716&lt;=$S$18),U2716,0)</t>
  </si>
  <si>
    <t>=IF($M2716&lt;=$T$18,U2716,0)</t>
  </si>
  <si>
    <t>="""NAV Direct"",""CRONUS JetCorp USA"",""21"",""1"",""443758"""</t>
  </si>
  <si>
    <t>=E2715</t>
  </si>
  <si>
    <t>=StartDate-$M2717+1</t>
  </si>
  <si>
    <t>=SUM(P2717:T2717)</t>
  </si>
  <si>
    <t>=IF($M2717&gt;=$P$18,U2717,0)</t>
  </si>
  <si>
    <t>=IF(AND($M2717&gt;=$Q$16,$M2717&lt;=$Q$18),U2717,0)</t>
  </si>
  <si>
    <t>=IF(AND($M2717&gt;=$R$16,$M2717&lt;=$R$18),U2717,0)</t>
  </si>
  <si>
    <t>=IF(AND($M2717&gt;=$S$16,$M2717&lt;=$S$18),U2717,0)</t>
  </si>
  <si>
    <t>=IF($M2717&lt;=$T$18,U2717,0)</t>
  </si>
  <si>
    <t>="""NAV Direct"",""CRONUS JetCorp USA"",""21"",""1"",""443876"""</t>
  </si>
  <si>
    <t>=E2716</t>
  </si>
  <si>
    <t>=StartDate-$M2718+1</t>
  </si>
  <si>
    <t>=SUM(P2718:T2718)</t>
  </si>
  <si>
    <t>=IF($M2718&gt;=$P$18,U2718,0)</t>
  </si>
  <si>
    <t>=IF(AND($M2718&gt;=$Q$16,$M2718&lt;=$Q$18),U2718,0)</t>
  </si>
  <si>
    <t>=IF(AND($M2718&gt;=$R$16,$M2718&lt;=$R$18),U2718,0)</t>
  </si>
  <si>
    <t>=IF(AND($M2718&gt;=$S$16,$M2718&lt;=$S$18),U2718,0)</t>
  </si>
  <si>
    <t>=IF($M2718&lt;=$T$18,U2718,0)</t>
  </si>
  <si>
    <t>="""NAV Direct"",""CRONUS JetCorp USA"",""21"",""1"",""443924"""</t>
  </si>
  <si>
    <t>=E2717</t>
  </si>
  <si>
    <t>=StartDate-$M2719+1</t>
  </si>
  <si>
    <t>=SUM(P2719:T2719)</t>
  </si>
  <si>
    <t>=IF($M2719&gt;=$P$18,U2719,0)</t>
  </si>
  <si>
    <t>=IF(AND($M2719&gt;=$Q$16,$M2719&lt;=$Q$18),U2719,0)</t>
  </si>
  <si>
    <t>=IF(AND($M2719&gt;=$R$16,$M2719&lt;=$R$18),U2719,0)</t>
  </si>
  <si>
    <t>=IF(AND($M2719&gt;=$S$16,$M2719&lt;=$S$18),U2719,0)</t>
  </si>
  <si>
    <t>=IF($M2719&lt;=$T$18,U2719,0)</t>
  </si>
  <si>
    <t>="""NAV Direct"",""CRONUS JetCorp USA"",""21"",""1"",""443977"""</t>
  </si>
  <si>
    <t>=E2718</t>
  </si>
  <si>
    <t>=StartDate-$M2720+1</t>
  </si>
  <si>
    <t>=SUM(P2720:T2720)</t>
  </si>
  <si>
    <t>=IF($M2720&gt;=$P$18,U2720,0)</t>
  </si>
  <si>
    <t>=IF(AND($M2720&gt;=$Q$16,$M2720&lt;=$Q$18),U2720,0)</t>
  </si>
  <si>
    <t>=IF(AND($M2720&gt;=$R$16,$M2720&lt;=$R$18),U2720,0)</t>
  </si>
  <si>
    <t>=IF(AND($M2720&gt;=$S$16,$M2720&lt;=$S$18),U2720,0)</t>
  </si>
  <si>
    <t>=IF($M2720&lt;=$T$18,U2720,0)</t>
  </si>
  <si>
    <t>="""NAV Direct"",""CRONUS JetCorp USA"",""18"",""1"",""C100086"""</t>
  </si>
  <si>
    <t>=H2723</t>
  </si>
  <si>
    <t>=NF($C2723,"1 No.")</t>
  </si>
  <si>
    <t>=NF($C2723,"1 No.")&amp;"  -  "&amp;NF($C2723,"2 Name")</t>
  </si>
  <si>
    <t>=IFERROR(O2723/NF(C2723,"Credit Limit (LCY)"),"")</t>
  </si>
  <si>
    <t>=SUBTOTAL(3,L2724:L2854)</t>
  </si>
  <si>
    <t>=SUBTOTAL(9,O2724:O2854)</t>
  </si>
  <si>
    <t>=SUBTOTAL(9,P2724:P2854)</t>
  </si>
  <si>
    <t>=SUBTOTAL(9,Q2724:Q2854)</t>
  </si>
  <si>
    <t>=SUBTOTAL(9,R2724:R2854)</t>
  </si>
  <si>
    <t>=SUBTOTAL(9,S2724:S2854)</t>
  </si>
  <si>
    <t>=SUBTOTAL(9,T2724:T2854)</t>
  </si>
  <si>
    <t>=C2723</t>
  </si>
  <si>
    <t>=E2723</t>
  </si>
  <si>
    <t>="Contact: "&amp;NF($C2724,"8 Contact")</t>
  </si>
  <si>
    <t>=C2724</t>
  </si>
  <si>
    <t>=E2724</t>
  </si>
  <si>
    <t>=NF($C2725,"102 E-Mail")</t>
  </si>
  <si>
    <t>=NL("Rows","21 Cust. Ledger Entry",,"3 Customer No.","@@"&amp;$E2727,"16 Remaining Amt. (LCY)","&lt;&gt;0")</t>
  </si>
  <si>
    <t>=E2725</t>
  </si>
  <si>
    <t>=StartDate-$M2727+1</t>
  </si>
  <si>
    <t>=SUM(P2727:T2727)</t>
  </si>
  <si>
    <t>=IF($M2727&gt;=$P$18,U2727,0)</t>
  </si>
  <si>
    <t>=IF(AND($M2727&gt;=$Q$16,$M2727&lt;=$Q$18),U2727,0)</t>
  </si>
  <si>
    <t>=IF(AND($M2727&gt;=$R$16,$M2727&lt;=$R$18),U2727,0)</t>
  </si>
  <si>
    <t>=IF(AND($M2727&gt;=$S$16,$M2727&lt;=$S$18),U2727,0)</t>
  </si>
  <si>
    <t>=IF($M2727&lt;=$T$18,U2727,0)</t>
  </si>
  <si>
    <t>="""NAV Direct"",""CRONUS JetCorp USA"",""21"",""1"",""86122"""</t>
  </si>
  <si>
    <t>=E2726</t>
  </si>
  <si>
    <t>=StartDate-$M2728+1</t>
  </si>
  <si>
    <t>=SUM(P2728:T2728)</t>
  </si>
  <si>
    <t>=IF($M2728&gt;=$P$18,U2728,0)</t>
  </si>
  <si>
    <t>=IF(AND($M2728&gt;=$Q$16,$M2728&lt;=$Q$18),U2728,0)</t>
  </si>
  <si>
    <t>=IF(AND($M2728&gt;=$R$16,$M2728&lt;=$R$18),U2728,0)</t>
  </si>
  <si>
    <t>=IF(AND($M2728&gt;=$S$16,$M2728&lt;=$S$18),U2728,0)</t>
  </si>
  <si>
    <t>=IF($M2728&lt;=$T$18,U2728,0)</t>
  </si>
  <si>
    <t>="""NAV Direct"",""CRONUS JetCorp USA"",""21"",""1"",""86200"""</t>
  </si>
  <si>
    <t>=E2727</t>
  </si>
  <si>
    <t>=StartDate-$M2729+1</t>
  </si>
  <si>
    <t>=SUM(P2729:T2729)</t>
  </si>
  <si>
    <t>=IF($M2729&gt;=$P$18,U2729,0)</t>
  </si>
  <si>
    <t>=IF(AND($M2729&gt;=$Q$16,$M2729&lt;=$Q$18),U2729,0)</t>
  </si>
  <si>
    <t>=IF(AND($M2729&gt;=$R$16,$M2729&lt;=$R$18),U2729,0)</t>
  </si>
  <si>
    <t>=IF(AND($M2729&gt;=$S$16,$M2729&lt;=$S$18),U2729,0)</t>
  </si>
  <si>
    <t>=IF($M2729&lt;=$T$18,U2729,0)</t>
  </si>
  <si>
    <t>="""NAV Direct"",""CRONUS JetCorp USA"",""21"",""1"",""86235"""</t>
  </si>
  <si>
    <t>=E2728</t>
  </si>
  <si>
    <t>=StartDate-$M2730+1</t>
  </si>
  <si>
    <t>=SUM(P2730:T2730)</t>
  </si>
  <si>
    <t>=IF($M2730&gt;=$P$18,U2730,0)</t>
  </si>
  <si>
    <t>=IF(AND($M2730&gt;=$Q$16,$M2730&lt;=$Q$18),U2730,0)</t>
  </si>
  <si>
    <t>=IF(AND($M2730&gt;=$R$16,$M2730&lt;=$R$18),U2730,0)</t>
  </si>
  <si>
    <t>=IF(AND($M2730&gt;=$S$16,$M2730&lt;=$S$18),U2730,0)</t>
  </si>
  <si>
    <t>=IF($M2730&lt;=$T$18,U2730,0)</t>
  </si>
  <si>
    <t>="""NAV Direct"",""CRONUS JetCorp USA"",""21"",""1"",""86504"""</t>
  </si>
  <si>
    <t>=E2729</t>
  </si>
  <si>
    <t>=StartDate-$M2731+1</t>
  </si>
  <si>
    <t>=SUM(P2731:T2731)</t>
  </si>
  <si>
    <t>=IF($M2731&gt;=$P$18,U2731,0)</t>
  </si>
  <si>
    <t>=IF(AND($M2731&gt;=$Q$16,$M2731&lt;=$Q$18),U2731,0)</t>
  </si>
  <si>
    <t>=IF(AND($M2731&gt;=$R$16,$M2731&lt;=$R$18),U2731,0)</t>
  </si>
  <si>
    <t>=IF(AND($M2731&gt;=$S$16,$M2731&lt;=$S$18),U2731,0)</t>
  </si>
  <si>
    <t>=IF($M2731&lt;=$T$18,U2731,0)</t>
  </si>
  <si>
    <t>="""NAV Direct"",""CRONUS JetCorp USA"",""21"",""1"",""86541"""</t>
  </si>
  <si>
    <t>=E2730</t>
  </si>
  <si>
    <t>=StartDate-$M2732+1</t>
  </si>
  <si>
    <t>=SUM(P2732:T2732)</t>
  </si>
  <si>
    <t>=IF($M2732&gt;=$P$18,U2732,0)</t>
  </si>
  <si>
    <t>=IF(AND($M2732&gt;=$Q$16,$M2732&lt;=$Q$18),U2732,0)</t>
  </si>
  <si>
    <t>=IF(AND($M2732&gt;=$R$16,$M2732&lt;=$R$18),U2732,0)</t>
  </si>
  <si>
    <t>=IF(AND($M2732&gt;=$S$16,$M2732&lt;=$S$18),U2732,0)</t>
  </si>
  <si>
    <t>=IF($M2732&lt;=$T$18,U2732,0)</t>
  </si>
  <si>
    <t>="""NAV Direct"",""CRONUS JetCorp USA"",""21"",""1"",""360781"""</t>
  </si>
  <si>
    <t>=E2731</t>
  </si>
  <si>
    <t>=StartDate-$M2733+1</t>
  </si>
  <si>
    <t>=SUM(P2733:T2733)</t>
  </si>
  <si>
    <t>=IF($M2733&gt;=$P$18,U2733,0)</t>
  </si>
  <si>
    <t>=IF(AND($M2733&gt;=$Q$16,$M2733&lt;=$Q$18),U2733,0)</t>
  </si>
  <si>
    <t>=IF(AND($M2733&gt;=$R$16,$M2733&lt;=$R$18),U2733,0)</t>
  </si>
  <si>
    <t>=IF(AND($M2733&gt;=$S$16,$M2733&lt;=$S$18),U2733,0)</t>
  </si>
  <si>
    <t>=IF($M2733&lt;=$T$18,U2733,0)</t>
  </si>
  <si>
    <t>="""NAV Direct"",""CRONUS JetCorp USA"",""21"",""1"",""360806"""</t>
  </si>
  <si>
    <t>=E2732</t>
  </si>
  <si>
    <t>=StartDate-$M2734+1</t>
  </si>
  <si>
    <t>=SUM(P2734:T2734)</t>
  </si>
  <si>
    <t>=IF($M2734&gt;=$P$18,U2734,0)</t>
  </si>
  <si>
    <t>=IF(AND($M2734&gt;=$Q$16,$M2734&lt;=$Q$18),U2734,0)</t>
  </si>
  <si>
    <t>=IF(AND($M2734&gt;=$R$16,$M2734&lt;=$R$18),U2734,0)</t>
  </si>
  <si>
    <t>=IF(AND($M2734&gt;=$S$16,$M2734&lt;=$S$18),U2734,0)</t>
  </si>
  <si>
    <t>=IF($M2734&lt;=$T$18,U2734,0)</t>
  </si>
  <si>
    <t>="""NAV Direct"",""CRONUS JetCorp USA"",""21"",""1"",""360872"""</t>
  </si>
  <si>
    <t>=E2733</t>
  </si>
  <si>
    <t>=StartDate-$M2735+1</t>
  </si>
  <si>
    <t>=SUM(P2735:T2735)</t>
  </si>
  <si>
    <t>=IF($M2735&gt;=$P$18,U2735,0)</t>
  </si>
  <si>
    <t>=IF(AND($M2735&gt;=$Q$16,$M2735&lt;=$Q$18),U2735,0)</t>
  </si>
  <si>
    <t>=IF(AND($M2735&gt;=$R$16,$M2735&lt;=$R$18),U2735,0)</t>
  </si>
  <si>
    <t>=IF(AND($M2735&gt;=$S$16,$M2735&lt;=$S$18),U2735,0)</t>
  </si>
  <si>
    <t>=IF($M2735&lt;=$T$18,U2735,0)</t>
  </si>
  <si>
    <t>="""NAV Direct"",""CRONUS JetCorp USA"",""21"",""1"",""360988"""</t>
  </si>
  <si>
    <t>=E2734</t>
  </si>
  <si>
    <t>=StartDate-$M2736+1</t>
  </si>
  <si>
    <t>=SUM(P2736:T2736)</t>
  </si>
  <si>
    <t>=IF($M2736&gt;=$P$18,U2736,0)</t>
  </si>
  <si>
    <t>=IF(AND($M2736&gt;=$Q$16,$M2736&lt;=$Q$18),U2736,0)</t>
  </si>
  <si>
    <t>=IF(AND($M2736&gt;=$R$16,$M2736&lt;=$R$18),U2736,0)</t>
  </si>
  <si>
    <t>=IF(AND($M2736&gt;=$S$16,$M2736&lt;=$S$18),U2736,0)</t>
  </si>
  <si>
    <t>=IF($M2736&lt;=$T$18,U2736,0)</t>
  </si>
  <si>
    <t>="""NAV Direct"",""CRONUS JetCorp USA"",""21"",""1"",""361178"""</t>
  </si>
  <si>
    <t>=E2735</t>
  </si>
  <si>
    <t>=StartDate-$M2737+1</t>
  </si>
  <si>
    <t>=SUM(P2737:T2737)</t>
  </si>
  <si>
    <t>=IF($M2737&gt;=$P$18,U2737,0)</t>
  </si>
  <si>
    <t>=IF(AND($M2737&gt;=$Q$16,$M2737&lt;=$Q$18),U2737,0)</t>
  </si>
  <si>
    <t>=IF(AND($M2737&gt;=$R$16,$M2737&lt;=$R$18),U2737,0)</t>
  </si>
  <si>
    <t>=IF(AND($M2737&gt;=$S$16,$M2737&lt;=$S$18),U2737,0)</t>
  </si>
  <si>
    <t>=IF($M2737&lt;=$T$18,U2737,0)</t>
  </si>
  <si>
    <t>="""NAV Direct"",""CRONUS JetCorp USA"",""21"",""1"",""361205"""</t>
  </si>
  <si>
    <t>=E2736</t>
  </si>
  <si>
    <t>=StartDate-$M2738+1</t>
  </si>
  <si>
    <t>=SUM(P2738:T2738)</t>
  </si>
  <si>
    <t>=IF($M2738&gt;=$P$18,U2738,0)</t>
  </si>
  <si>
    <t>=IF(AND($M2738&gt;=$Q$16,$M2738&lt;=$Q$18),U2738,0)</t>
  </si>
  <si>
    <t>=IF(AND($M2738&gt;=$R$16,$M2738&lt;=$R$18),U2738,0)</t>
  </si>
  <si>
    <t>=IF(AND($M2738&gt;=$S$16,$M2738&lt;=$S$18),U2738,0)</t>
  </si>
  <si>
    <t>=IF($M2738&lt;=$T$18,U2738,0)</t>
  </si>
  <si>
    <t>="""NAV Direct"",""CRONUS JetCorp USA"",""21"",""1"",""361263"""</t>
  </si>
  <si>
    <t>=E2737</t>
  </si>
  <si>
    <t>=StartDate-$M2739+1</t>
  </si>
  <si>
    <t>=SUM(P2739:T2739)</t>
  </si>
  <si>
    <t>=IF($M2739&gt;=$P$18,U2739,0)</t>
  </si>
  <si>
    <t>=IF(AND($M2739&gt;=$Q$16,$M2739&lt;=$Q$18),U2739,0)</t>
  </si>
  <si>
    <t>=IF(AND($M2739&gt;=$R$16,$M2739&lt;=$R$18),U2739,0)</t>
  </si>
  <si>
    <t>=IF(AND($M2739&gt;=$S$16,$M2739&lt;=$S$18),U2739,0)</t>
  </si>
  <si>
    <t>=IF($M2739&lt;=$T$18,U2739,0)</t>
  </si>
  <si>
    <t>="""NAV Direct"",""CRONUS JetCorp USA"",""21"",""1"",""361532"""</t>
  </si>
  <si>
    <t>=E2738</t>
  </si>
  <si>
    <t>=StartDate-$M2740+1</t>
  </si>
  <si>
    <t>=SUM(P2740:T2740)</t>
  </si>
  <si>
    <t>=IF($M2740&gt;=$P$18,U2740,0)</t>
  </si>
  <si>
    <t>=IF(AND($M2740&gt;=$Q$16,$M2740&lt;=$Q$18),U2740,0)</t>
  </si>
  <si>
    <t>=IF(AND($M2740&gt;=$R$16,$M2740&lt;=$R$18),U2740,0)</t>
  </si>
  <si>
    <t>=IF(AND($M2740&gt;=$S$16,$M2740&lt;=$S$18),U2740,0)</t>
  </si>
  <si>
    <t>=IF($M2740&lt;=$T$18,U2740,0)</t>
  </si>
  <si>
    <t>="""NAV Direct"",""CRONUS JetCorp USA"",""21"",""1"",""361559"""</t>
  </si>
  <si>
    <t>=E2739</t>
  </si>
  <si>
    <t>=StartDate-$M2741+1</t>
  </si>
  <si>
    <t>=SUM(P2741:T2741)</t>
  </si>
  <si>
    <t>=IF($M2741&gt;=$P$18,U2741,0)</t>
  </si>
  <si>
    <t>=IF(AND($M2741&gt;=$Q$16,$M2741&lt;=$Q$18),U2741,0)</t>
  </si>
  <si>
    <t>=IF(AND($M2741&gt;=$R$16,$M2741&lt;=$R$18),U2741,0)</t>
  </si>
  <si>
    <t>=IF(AND($M2741&gt;=$S$16,$M2741&lt;=$S$18),U2741,0)</t>
  </si>
  <si>
    <t>=IF($M2741&lt;=$T$18,U2741,0)</t>
  </si>
  <si>
    <t>="""NAV Direct"",""CRONUS JetCorp USA"",""21"",""1"",""361674"""</t>
  </si>
  <si>
    <t>=E2740</t>
  </si>
  <si>
    <t>=StartDate-$M2742+1</t>
  </si>
  <si>
    <t>=SUM(P2742:T2742)</t>
  </si>
  <si>
    <t>=IF($M2742&gt;=$P$18,U2742,0)</t>
  </si>
  <si>
    <t>=IF(AND($M2742&gt;=$Q$16,$M2742&lt;=$Q$18),U2742,0)</t>
  </si>
  <si>
    <t>=IF(AND($M2742&gt;=$R$16,$M2742&lt;=$R$18),U2742,0)</t>
  </si>
  <si>
    <t>=IF(AND($M2742&gt;=$S$16,$M2742&lt;=$S$18),U2742,0)</t>
  </si>
  <si>
    <t>=IF($M2742&lt;=$T$18,U2742,0)</t>
  </si>
  <si>
    <t>="""NAV Direct"",""CRONUS JetCorp USA"",""21"",""1"",""361931"""</t>
  </si>
  <si>
    <t>=E2741</t>
  </si>
  <si>
    <t>=StartDate-$M2743+1</t>
  </si>
  <si>
    <t>=SUM(P2743:T2743)</t>
  </si>
  <si>
    <t>=IF($M2743&gt;=$P$18,U2743,0)</t>
  </si>
  <si>
    <t>=IF(AND($M2743&gt;=$Q$16,$M2743&lt;=$Q$18),U2743,0)</t>
  </si>
  <si>
    <t>=IF(AND($M2743&gt;=$R$16,$M2743&lt;=$R$18),U2743,0)</t>
  </si>
  <si>
    <t>=IF(AND($M2743&gt;=$S$16,$M2743&lt;=$S$18),U2743,0)</t>
  </si>
  <si>
    <t>=IF($M2743&lt;=$T$18,U2743,0)</t>
  </si>
  <si>
    <t>="""NAV Direct"",""CRONUS JetCorp USA"",""21"",""1"",""361972"""</t>
  </si>
  <si>
    <t>=E2742</t>
  </si>
  <si>
    <t>=StartDate-$M2744+1</t>
  </si>
  <si>
    <t>=SUM(P2744:T2744)</t>
  </si>
  <si>
    <t>=IF($M2744&gt;=$P$18,U2744,0)</t>
  </si>
  <si>
    <t>=IF(AND($M2744&gt;=$Q$16,$M2744&lt;=$Q$18),U2744,0)</t>
  </si>
  <si>
    <t>=IF(AND($M2744&gt;=$R$16,$M2744&lt;=$R$18),U2744,0)</t>
  </si>
  <si>
    <t>=IF(AND($M2744&gt;=$S$16,$M2744&lt;=$S$18),U2744,0)</t>
  </si>
  <si>
    <t>=IF($M2744&lt;=$T$18,U2744,0)</t>
  </si>
  <si>
    <t>="""NAV Direct"",""CRONUS JetCorp USA"",""21"",""1"",""362056"""</t>
  </si>
  <si>
    <t>=E2743</t>
  </si>
  <si>
    <t>=StartDate-$M2745+1</t>
  </si>
  <si>
    <t>=SUM(P2745:T2745)</t>
  </si>
  <si>
    <t>=IF($M2745&gt;=$P$18,U2745,0)</t>
  </si>
  <si>
    <t>=IF(AND($M2745&gt;=$Q$16,$M2745&lt;=$Q$18),U2745,0)</t>
  </si>
  <si>
    <t>=IF(AND($M2745&gt;=$R$16,$M2745&lt;=$R$18),U2745,0)</t>
  </si>
  <si>
    <t>=IF(AND($M2745&gt;=$S$16,$M2745&lt;=$S$18),U2745,0)</t>
  </si>
  <si>
    <t>=IF($M2745&lt;=$T$18,U2745,0)</t>
  </si>
  <si>
    <t>="""NAV Direct"",""CRONUS JetCorp USA"",""21"",""1"",""362182"""</t>
  </si>
  <si>
    <t>=E2744</t>
  </si>
  <si>
    <t>=StartDate-$M2746+1</t>
  </si>
  <si>
    <t>=SUM(P2746:T2746)</t>
  </si>
  <si>
    <t>=IF($M2746&gt;=$P$18,U2746,0)</t>
  </si>
  <si>
    <t>=IF(AND($M2746&gt;=$Q$16,$M2746&lt;=$Q$18),U2746,0)</t>
  </si>
  <si>
    <t>=IF(AND($M2746&gt;=$R$16,$M2746&lt;=$R$18),U2746,0)</t>
  </si>
  <si>
    <t>=IF(AND($M2746&gt;=$S$16,$M2746&lt;=$S$18),U2746,0)</t>
  </si>
  <si>
    <t>=IF($M2746&lt;=$T$18,U2746,0)</t>
  </si>
  <si>
    <t>="""NAV Direct"",""CRONUS JetCorp USA"",""21"",""1"",""362219"""</t>
  </si>
  <si>
    <t>=E2745</t>
  </si>
  <si>
    <t>=StartDate-$M2747+1</t>
  </si>
  <si>
    <t>=SUM(P2747:T2747)</t>
  </si>
  <si>
    <t>=IF($M2747&gt;=$P$18,U2747,0)</t>
  </si>
  <si>
    <t>=IF(AND($M2747&gt;=$Q$16,$M2747&lt;=$Q$18),U2747,0)</t>
  </si>
  <si>
    <t>=IF(AND($M2747&gt;=$R$16,$M2747&lt;=$R$18),U2747,0)</t>
  </si>
  <si>
    <t>=IF(AND($M2747&gt;=$S$16,$M2747&lt;=$S$18),U2747,0)</t>
  </si>
  <si>
    <t>=IF($M2747&lt;=$T$18,U2747,0)</t>
  </si>
  <si>
    <t>="""NAV Direct"",""CRONUS JetCorp USA"",""21"",""1"",""362287"""</t>
  </si>
  <si>
    <t>=E2746</t>
  </si>
  <si>
    <t>=StartDate-$M2748+1</t>
  </si>
  <si>
    <t>=SUM(P2748:T2748)</t>
  </si>
  <si>
    <t>=IF($M2748&gt;=$P$18,U2748,0)</t>
  </si>
  <si>
    <t>=IF(AND($M2748&gt;=$Q$16,$M2748&lt;=$Q$18),U2748,0)</t>
  </si>
  <si>
    <t>=IF(AND($M2748&gt;=$R$16,$M2748&lt;=$R$18),U2748,0)</t>
  </si>
  <si>
    <t>=IF(AND($M2748&gt;=$S$16,$M2748&lt;=$S$18),U2748,0)</t>
  </si>
  <si>
    <t>=IF($M2748&lt;=$T$18,U2748,0)</t>
  </si>
  <si>
    <t>="""NAV Direct"",""CRONUS JetCorp USA"",""21"",""1"",""362463"""</t>
  </si>
  <si>
    <t>=E2747</t>
  </si>
  <si>
    <t>=StartDate-$M2749+1</t>
  </si>
  <si>
    <t>=SUM(P2749:T2749)</t>
  </si>
  <si>
    <t>=IF($M2749&gt;=$P$18,U2749,0)</t>
  </si>
  <si>
    <t>=IF(AND($M2749&gt;=$Q$16,$M2749&lt;=$Q$18),U2749,0)</t>
  </si>
  <si>
    <t>=IF(AND($M2749&gt;=$R$16,$M2749&lt;=$R$18),U2749,0)</t>
  </si>
  <si>
    <t>=IF(AND($M2749&gt;=$S$16,$M2749&lt;=$S$18),U2749,0)</t>
  </si>
  <si>
    <t>=IF($M2749&lt;=$T$18,U2749,0)</t>
  </si>
  <si>
    <t>="""NAV Direct"",""CRONUS JetCorp USA"",""21"",""1"",""362494"""</t>
  </si>
  <si>
    <t>=E2748</t>
  </si>
  <si>
    <t>=StartDate-$M2750+1</t>
  </si>
  <si>
    <t>=SUM(P2750:T2750)</t>
  </si>
  <si>
    <t>=IF($M2750&gt;=$P$18,U2750,0)</t>
  </si>
  <si>
    <t>=IF(AND($M2750&gt;=$Q$16,$M2750&lt;=$Q$18),U2750,0)</t>
  </si>
  <si>
    <t>=IF(AND($M2750&gt;=$R$16,$M2750&lt;=$R$18),U2750,0)</t>
  </si>
  <si>
    <t>=IF(AND($M2750&gt;=$S$16,$M2750&lt;=$S$18),U2750,0)</t>
  </si>
  <si>
    <t>=IF($M2750&lt;=$T$18,U2750,0)</t>
  </si>
  <si>
    <t>="""NAV Direct"",""CRONUS JetCorp USA"",""21"",""1"",""362574"""</t>
  </si>
  <si>
    <t>=E2749</t>
  </si>
  <si>
    <t>=StartDate-$M2751+1</t>
  </si>
  <si>
    <t>=SUM(P2751:T2751)</t>
  </si>
  <si>
    <t>=IF($M2751&gt;=$P$18,U2751,0)</t>
  </si>
  <si>
    <t>=IF(AND($M2751&gt;=$Q$16,$M2751&lt;=$Q$18),U2751,0)</t>
  </si>
  <si>
    <t>=IF(AND($M2751&gt;=$R$16,$M2751&lt;=$R$18),U2751,0)</t>
  </si>
  <si>
    <t>=IF(AND($M2751&gt;=$S$16,$M2751&lt;=$S$18),U2751,0)</t>
  </si>
  <si>
    <t>=IF($M2751&lt;=$T$18,U2751,0)</t>
  </si>
  <si>
    <t>="""NAV Direct"",""CRONUS JetCorp USA"",""21"",""1"",""362660"""</t>
  </si>
  <si>
    <t>=E2750</t>
  </si>
  <si>
    <t>=StartDate-$M2752+1</t>
  </si>
  <si>
    <t>=SUM(P2752:T2752)</t>
  </si>
  <si>
    <t>=IF($M2752&gt;=$P$18,U2752,0)</t>
  </si>
  <si>
    <t>=IF(AND($M2752&gt;=$Q$16,$M2752&lt;=$Q$18),U2752,0)</t>
  </si>
  <si>
    <t>=IF(AND($M2752&gt;=$R$16,$M2752&lt;=$R$18),U2752,0)</t>
  </si>
  <si>
    <t>=IF(AND($M2752&gt;=$S$16,$M2752&lt;=$S$18),U2752,0)</t>
  </si>
  <si>
    <t>=IF($M2752&lt;=$T$18,U2752,0)</t>
  </si>
  <si>
    <t>="""NAV Direct"",""CRONUS JetCorp USA"",""21"",""1"",""362994"""</t>
  </si>
  <si>
    <t>=E2751</t>
  </si>
  <si>
    <t>=StartDate-$M2753+1</t>
  </si>
  <si>
    <t>=SUM(P2753:T2753)</t>
  </si>
  <si>
    <t>=IF($M2753&gt;=$P$18,U2753,0)</t>
  </si>
  <si>
    <t>=IF(AND($M2753&gt;=$Q$16,$M2753&lt;=$Q$18),U2753,0)</t>
  </si>
  <si>
    <t>=IF(AND($M2753&gt;=$R$16,$M2753&lt;=$R$18),U2753,0)</t>
  </si>
  <si>
    <t>=IF(AND($M2753&gt;=$S$16,$M2753&lt;=$S$18),U2753,0)</t>
  </si>
  <si>
    <t>=IF($M2753&lt;=$T$18,U2753,0)</t>
  </si>
  <si>
    <t>="""NAV Direct"",""CRONUS JetCorp USA"",""21"",""1"",""363093"""</t>
  </si>
  <si>
    <t>=E2752</t>
  </si>
  <si>
    <t>=StartDate-$M2754+1</t>
  </si>
  <si>
    <t>=SUM(P2754:T2754)</t>
  </si>
  <si>
    <t>=IF($M2754&gt;=$P$18,U2754,0)</t>
  </si>
  <si>
    <t>=IF(AND($M2754&gt;=$Q$16,$M2754&lt;=$Q$18),U2754,0)</t>
  </si>
  <si>
    <t>=IF(AND($M2754&gt;=$R$16,$M2754&lt;=$R$18),U2754,0)</t>
  </si>
  <si>
    <t>=IF(AND($M2754&gt;=$S$16,$M2754&lt;=$S$18),U2754,0)</t>
  </si>
  <si>
    <t>=IF($M2754&lt;=$T$18,U2754,0)</t>
  </si>
  <si>
    <t>="""NAV Direct"",""CRONUS JetCorp USA"",""21"",""1"",""363145"""</t>
  </si>
  <si>
    <t>=E2753</t>
  </si>
  <si>
    <t>=StartDate-$M2755+1</t>
  </si>
  <si>
    <t>=SUM(P2755:T2755)</t>
  </si>
  <si>
    <t>=IF($M2755&gt;=$P$18,U2755,0)</t>
  </si>
  <si>
    <t>=IF(AND($M2755&gt;=$Q$16,$M2755&lt;=$Q$18),U2755,0)</t>
  </si>
  <si>
    <t>=IF(AND($M2755&gt;=$R$16,$M2755&lt;=$R$18),U2755,0)</t>
  </si>
  <si>
    <t>=IF(AND($M2755&gt;=$S$16,$M2755&lt;=$S$18),U2755,0)</t>
  </si>
  <si>
    <t>=IF($M2755&lt;=$T$18,U2755,0)</t>
  </si>
  <si>
    <t>="""NAV Direct"",""CRONUS JetCorp USA"",""21"",""1"",""363312"""</t>
  </si>
  <si>
    <t>=E2754</t>
  </si>
  <si>
    <t>=StartDate-$M2756+1</t>
  </si>
  <si>
    <t>=SUM(P2756:T2756)</t>
  </si>
  <si>
    <t>=IF($M2756&gt;=$P$18,U2756,0)</t>
  </si>
  <si>
    <t>=IF(AND($M2756&gt;=$Q$16,$M2756&lt;=$Q$18),U2756,0)</t>
  </si>
  <si>
    <t>=IF(AND($M2756&gt;=$R$16,$M2756&lt;=$R$18),U2756,0)</t>
  </si>
  <si>
    <t>=IF(AND($M2756&gt;=$S$16,$M2756&lt;=$S$18),U2756,0)</t>
  </si>
  <si>
    <t>=IF($M2756&lt;=$T$18,U2756,0)</t>
  </si>
  <si>
    <t>="""NAV Direct"",""CRONUS JetCorp USA"",""21"",""1"",""363392"""</t>
  </si>
  <si>
    <t>=E2755</t>
  </si>
  <si>
    <t>=StartDate-$M2757+1</t>
  </si>
  <si>
    <t>=SUM(P2757:T2757)</t>
  </si>
  <si>
    <t>=IF($M2757&gt;=$P$18,U2757,0)</t>
  </si>
  <si>
    <t>=IF(AND($M2757&gt;=$Q$16,$M2757&lt;=$Q$18),U2757,0)</t>
  </si>
  <si>
    <t>=IF(AND($M2757&gt;=$R$16,$M2757&lt;=$R$18),U2757,0)</t>
  </si>
  <si>
    <t>=IF(AND($M2757&gt;=$S$16,$M2757&lt;=$S$18),U2757,0)</t>
  </si>
  <si>
    <t>=IF($M2757&lt;=$T$18,U2757,0)</t>
  </si>
  <si>
    <t>="""NAV Direct"",""CRONUS JetCorp USA"",""21"",""1"",""363573"""</t>
  </si>
  <si>
    <t>=E2756</t>
  </si>
  <si>
    <t>=StartDate-$M2758+1</t>
  </si>
  <si>
    <t>=SUM(P2758:T2758)</t>
  </si>
  <si>
    <t>=IF($M2758&gt;=$P$18,U2758,0)</t>
  </si>
  <si>
    <t>=IF(AND($M2758&gt;=$Q$16,$M2758&lt;=$Q$18),U2758,0)</t>
  </si>
  <si>
    <t>=IF(AND($M2758&gt;=$R$16,$M2758&lt;=$R$18),U2758,0)</t>
  </si>
  <si>
    <t>=IF(AND($M2758&gt;=$S$16,$M2758&lt;=$S$18),U2758,0)</t>
  </si>
  <si>
    <t>=IF($M2758&lt;=$T$18,U2758,0)</t>
  </si>
  <si>
    <t>="""NAV Direct"",""CRONUS JetCorp USA"",""21"",""1"",""363862"""</t>
  </si>
  <si>
    <t>=E2757</t>
  </si>
  <si>
    <t>=StartDate-$M2759+1</t>
  </si>
  <si>
    <t>=SUM(P2759:T2759)</t>
  </si>
  <si>
    <t>=IF($M2759&gt;=$P$18,U2759,0)</t>
  </si>
  <si>
    <t>=IF(AND($M2759&gt;=$Q$16,$M2759&lt;=$Q$18),U2759,0)</t>
  </si>
  <si>
    <t>=IF(AND($M2759&gt;=$R$16,$M2759&lt;=$R$18),U2759,0)</t>
  </si>
  <si>
    <t>=IF(AND($M2759&gt;=$S$16,$M2759&lt;=$S$18),U2759,0)</t>
  </si>
  <si>
    <t>=IF($M2759&lt;=$T$18,U2759,0)</t>
  </si>
  <si>
    <t>="""NAV Direct"",""CRONUS JetCorp USA"",""21"",""1"",""364037"""</t>
  </si>
  <si>
    <t>=E2758</t>
  </si>
  <si>
    <t>=StartDate-$M2760+1</t>
  </si>
  <si>
    <t>=SUM(P2760:T2760)</t>
  </si>
  <si>
    <t>=IF($M2760&gt;=$P$18,U2760,0)</t>
  </si>
  <si>
    <t>=IF(AND($M2760&gt;=$Q$16,$M2760&lt;=$Q$18),U2760,0)</t>
  </si>
  <si>
    <t>=IF(AND($M2760&gt;=$R$16,$M2760&lt;=$R$18),U2760,0)</t>
  </si>
  <si>
    <t>=IF(AND($M2760&gt;=$S$16,$M2760&lt;=$S$18),U2760,0)</t>
  </si>
  <si>
    <t>=IF($M2760&lt;=$T$18,U2760,0)</t>
  </si>
  <si>
    <t>="""NAV Direct"",""CRONUS JetCorp USA"",""21"",""1"",""364185"""</t>
  </si>
  <si>
    <t>=E2759</t>
  </si>
  <si>
    <t>=StartDate-$M2761+1</t>
  </si>
  <si>
    <t>=SUM(P2761:T2761)</t>
  </si>
  <si>
    <t>=IF($M2761&gt;=$P$18,U2761,0)</t>
  </si>
  <si>
    <t>=IF(AND($M2761&gt;=$Q$16,$M2761&lt;=$Q$18),U2761,0)</t>
  </si>
  <si>
    <t>=IF(AND($M2761&gt;=$R$16,$M2761&lt;=$R$18),U2761,0)</t>
  </si>
  <si>
    <t>=IF(AND($M2761&gt;=$S$16,$M2761&lt;=$S$18),U2761,0)</t>
  </si>
  <si>
    <t>=IF($M2761&lt;=$T$18,U2761,0)</t>
  </si>
  <si>
    <t>="""NAV Direct"",""CRONUS JetCorp USA"",""21"",""1"",""364228"""</t>
  </si>
  <si>
    <t>=E2760</t>
  </si>
  <si>
    <t>=StartDate-$M2762+1</t>
  </si>
  <si>
    <t>=SUM(P2762:T2762)</t>
  </si>
  <si>
    <t>=IF($M2762&gt;=$P$18,U2762,0)</t>
  </si>
  <si>
    <t>=IF(AND($M2762&gt;=$Q$16,$M2762&lt;=$Q$18),U2762,0)</t>
  </si>
  <si>
    <t>=IF(AND($M2762&gt;=$R$16,$M2762&lt;=$R$18),U2762,0)</t>
  </si>
  <si>
    <t>=IF(AND($M2762&gt;=$S$16,$M2762&lt;=$S$18),U2762,0)</t>
  </si>
  <si>
    <t>=IF($M2762&lt;=$T$18,U2762,0)</t>
  </si>
  <si>
    <t>="""NAV Direct"",""CRONUS JetCorp USA"",""21"",""1"",""364345"""</t>
  </si>
  <si>
    <t>=E2761</t>
  </si>
  <si>
    <t>=StartDate-$M2763+1</t>
  </si>
  <si>
    <t>=SUM(P2763:T2763)</t>
  </si>
  <si>
    <t>=IF($M2763&gt;=$P$18,U2763,0)</t>
  </si>
  <si>
    <t>=IF(AND($M2763&gt;=$Q$16,$M2763&lt;=$Q$18),U2763,0)</t>
  </si>
  <si>
    <t>=IF(AND($M2763&gt;=$R$16,$M2763&lt;=$R$18),U2763,0)</t>
  </si>
  <si>
    <t>=IF(AND($M2763&gt;=$S$16,$M2763&lt;=$S$18),U2763,0)</t>
  </si>
  <si>
    <t>=IF($M2763&lt;=$T$18,U2763,0)</t>
  </si>
  <si>
    <t>="""NAV Direct"",""CRONUS JetCorp USA"",""21"",""1"",""364378"""</t>
  </si>
  <si>
    <t>=E2762</t>
  </si>
  <si>
    <t>=StartDate-$M2764+1</t>
  </si>
  <si>
    <t>=SUM(P2764:T2764)</t>
  </si>
  <si>
    <t>=IF($M2764&gt;=$P$18,U2764,0)</t>
  </si>
  <si>
    <t>=IF(AND($M2764&gt;=$Q$16,$M2764&lt;=$Q$18),U2764,0)</t>
  </si>
  <si>
    <t>=IF(AND($M2764&gt;=$R$16,$M2764&lt;=$R$18),U2764,0)</t>
  </si>
  <si>
    <t>=IF(AND($M2764&gt;=$S$16,$M2764&lt;=$S$18),U2764,0)</t>
  </si>
  <si>
    <t>=IF($M2764&lt;=$T$18,U2764,0)</t>
  </si>
  <si>
    <t>="""NAV Direct"",""CRONUS JetCorp USA"",""21"",""1"",""364662"""</t>
  </si>
  <si>
    <t>=E2763</t>
  </si>
  <si>
    <t>=StartDate-$M2765+1</t>
  </si>
  <si>
    <t>=SUM(P2765:T2765)</t>
  </si>
  <si>
    <t>=IF($M2765&gt;=$P$18,U2765,0)</t>
  </si>
  <si>
    <t>=IF(AND($M2765&gt;=$Q$16,$M2765&lt;=$Q$18),U2765,0)</t>
  </si>
  <si>
    <t>=IF(AND($M2765&gt;=$R$16,$M2765&lt;=$R$18),U2765,0)</t>
  </si>
  <si>
    <t>=IF(AND($M2765&gt;=$S$16,$M2765&lt;=$S$18),U2765,0)</t>
  </si>
  <si>
    <t>=IF($M2765&lt;=$T$18,U2765,0)</t>
  </si>
  <si>
    <t>="""NAV Direct"",""CRONUS JetCorp USA"",""21"",""1"",""365145"""</t>
  </si>
  <si>
    <t>=E2764</t>
  </si>
  <si>
    <t>=StartDate-$M2766+1</t>
  </si>
  <si>
    <t>=SUM(P2766:T2766)</t>
  </si>
  <si>
    <t>=IF($M2766&gt;=$P$18,U2766,0)</t>
  </si>
  <si>
    <t>=IF(AND($M2766&gt;=$Q$16,$M2766&lt;=$Q$18),U2766,0)</t>
  </si>
  <si>
    <t>=IF(AND($M2766&gt;=$R$16,$M2766&lt;=$R$18),U2766,0)</t>
  </si>
  <si>
    <t>=IF(AND($M2766&gt;=$S$16,$M2766&lt;=$S$18),U2766,0)</t>
  </si>
  <si>
    <t>=IF($M2766&lt;=$T$18,U2766,0)</t>
  </si>
  <si>
    <t>="""NAV Direct"",""CRONUS JetCorp USA"",""21"",""1"",""365221"""</t>
  </si>
  <si>
    <t>=E2765</t>
  </si>
  <si>
    <t>=StartDate-$M2767+1</t>
  </si>
  <si>
    <t>=SUM(P2767:T2767)</t>
  </si>
  <si>
    <t>=IF($M2767&gt;=$P$18,U2767,0)</t>
  </si>
  <si>
    <t>=IF(AND($M2767&gt;=$Q$16,$M2767&lt;=$Q$18),U2767,0)</t>
  </si>
  <si>
    <t>=IF(AND($M2767&gt;=$R$16,$M2767&lt;=$R$18),U2767,0)</t>
  </si>
  <si>
    <t>=IF(AND($M2767&gt;=$S$16,$M2767&lt;=$S$18),U2767,0)</t>
  </si>
  <si>
    <t>=IF($M2767&lt;=$T$18,U2767,0)</t>
  </si>
  <si>
    <t>="""NAV Direct"",""CRONUS JetCorp USA"",""21"",""1"",""365293"""</t>
  </si>
  <si>
    <t>=E2766</t>
  </si>
  <si>
    <t>=StartDate-$M2768+1</t>
  </si>
  <si>
    <t>=SUM(P2768:T2768)</t>
  </si>
  <si>
    <t>=IF($M2768&gt;=$P$18,U2768,0)</t>
  </si>
  <si>
    <t>=IF(AND($M2768&gt;=$Q$16,$M2768&lt;=$Q$18),U2768,0)</t>
  </si>
  <si>
    <t>=IF(AND($M2768&gt;=$R$16,$M2768&lt;=$R$18),U2768,0)</t>
  </si>
  <si>
    <t>=IF(AND($M2768&gt;=$S$16,$M2768&lt;=$S$18),U2768,0)</t>
  </si>
  <si>
    <t>=IF($M2768&lt;=$T$18,U2768,0)</t>
  </si>
  <si>
    <t>="""NAV Direct"",""CRONUS JetCorp USA"",""21"",""1"",""365326"""</t>
  </si>
  <si>
    <t>=E2767</t>
  </si>
  <si>
    <t>=StartDate-$M2769+1</t>
  </si>
  <si>
    <t>=SUM(P2769:T2769)</t>
  </si>
  <si>
    <t>=IF($M2769&gt;=$P$18,U2769,0)</t>
  </si>
  <si>
    <t>=IF(AND($M2769&gt;=$Q$16,$M2769&lt;=$Q$18),U2769,0)</t>
  </si>
  <si>
    <t>=IF(AND($M2769&gt;=$R$16,$M2769&lt;=$R$18),U2769,0)</t>
  </si>
  <si>
    <t>=IF(AND($M2769&gt;=$S$16,$M2769&lt;=$S$18),U2769,0)</t>
  </si>
  <si>
    <t>=IF($M2769&lt;=$T$18,U2769,0)</t>
  </si>
  <si>
    <t>="""NAV Direct"",""CRONUS JetCorp USA"",""21"",""1"",""365351"""</t>
  </si>
  <si>
    <t>=E2768</t>
  </si>
  <si>
    <t>=StartDate-$M2770+1</t>
  </si>
  <si>
    <t>=SUM(P2770:T2770)</t>
  </si>
  <si>
    <t>=IF($M2770&gt;=$P$18,U2770,0)</t>
  </si>
  <si>
    <t>=IF(AND($M2770&gt;=$Q$16,$M2770&lt;=$Q$18),U2770,0)</t>
  </si>
  <si>
    <t>=IF(AND($M2770&gt;=$R$16,$M2770&lt;=$R$18),U2770,0)</t>
  </si>
  <si>
    <t>=IF(AND($M2770&gt;=$S$16,$M2770&lt;=$S$18),U2770,0)</t>
  </si>
  <si>
    <t>=IF($M2770&lt;=$T$18,U2770,0)</t>
  </si>
  <si>
    <t>="""NAV Direct"",""CRONUS JetCorp USA"",""21"",""1"",""365442"""</t>
  </si>
  <si>
    <t>=E2769</t>
  </si>
  <si>
    <t>=StartDate-$M2771+1</t>
  </si>
  <si>
    <t>=SUM(P2771:T2771)</t>
  </si>
  <si>
    <t>=IF($M2771&gt;=$P$18,U2771,0)</t>
  </si>
  <si>
    <t>=IF(AND($M2771&gt;=$Q$16,$M2771&lt;=$Q$18),U2771,0)</t>
  </si>
  <si>
    <t>=IF(AND($M2771&gt;=$R$16,$M2771&lt;=$R$18),U2771,0)</t>
  </si>
  <si>
    <t>=IF(AND($M2771&gt;=$S$16,$M2771&lt;=$S$18),U2771,0)</t>
  </si>
  <si>
    <t>=IF($M2771&lt;=$T$18,U2771,0)</t>
  </si>
  <si>
    <t>="""NAV Direct"",""CRONUS JetCorp USA"",""21"",""1"",""365635"""</t>
  </si>
  <si>
    <t>=E2770</t>
  </si>
  <si>
    <t>=StartDate-$M2772+1</t>
  </si>
  <si>
    <t>=SUM(P2772:T2772)</t>
  </si>
  <si>
    <t>=IF($M2772&gt;=$P$18,U2772,0)</t>
  </si>
  <si>
    <t>=IF(AND($M2772&gt;=$Q$16,$M2772&lt;=$Q$18),U2772,0)</t>
  </si>
  <si>
    <t>=IF(AND($M2772&gt;=$R$16,$M2772&lt;=$R$18),U2772,0)</t>
  </si>
  <si>
    <t>=IF(AND($M2772&gt;=$S$16,$M2772&lt;=$S$18),U2772,0)</t>
  </si>
  <si>
    <t>=IF($M2772&lt;=$T$18,U2772,0)</t>
  </si>
  <si>
    <t>="""NAV Direct"",""CRONUS JetCorp USA"",""21"",""1"",""365656"""</t>
  </si>
  <si>
    <t>=E2771</t>
  </si>
  <si>
    <t>=StartDate-$M2773+1</t>
  </si>
  <si>
    <t>=SUM(P2773:T2773)</t>
  </si>
  <si>
    <t>=IF($M2773&gt;=$P$18,U2773,0)</t>
  </si>
  <si>
    <t>=IF(AND($M2773&gt;=$Q$16,$M2773&lt;=$Q$18),U2773,0)</t>
  </si>
  <si>
    <t>=IF(AND($M2773&gt;=$R$16,$M2773&lt;=$R$18),U2773,0)</t>
  </si>
  <si>
    <t>=IF(AND($M2773&gt;=$S$16,$M2773&lt;=$S$18),U2773,0)</t>
  </si>
  <si>
    <t>=IF($M2773&lt;=$T$18,U2773,0)</t>
  </si>
  <si>
    <t>="""NAV Direct"",""CRONUS JetCorp USA"",""21"",""1"",""365755"""</t>
  </si>
  <si>
    <t>=E2772</t>
  </si>
  <si>
    <t>=StartDate-$M2774+1</t>
  </si>
  <si>
    <t>=SUM(P2774:T2774)</t>
  </si>
  <si>
    <t>=IF($M2774&gt;=$P$18,U2774,0)</t>
  </si>
  <si>
    <t>=IF(AND($M2774&gt;=$Q$16,$M2774&lt;=$Q$18),U2774,0)</t>
  </si>
  <si>
    <t>=IF(AND($M2774&gt;=$R$16,$M2774&lt;=$R$18),U2774,0)</t>
  </si>
  <si>
    <t>=IF(AND($M2774&gt;=$S$16,$M2774&lt;=$S$18),U2774,0)</t>
  </si>
  <si>
    <t>=IF($M2774&lt;=$T$18,U2774,0)</t>
  </si>
  <si>
    <t>="""NAV Direct"",""CRONUS JetCorp USA"",""21"",""1"",""365864"""</t>
  </si>
  <si>
    <t>=E2773</t>
  </si>
  <si>
    <t>=StartDate-$M2775+1</t>
  </si>
  <si>
    <t>=SUM(P2775:T2775)</t>
  </si>
  <si>
    <t>=IF($M2775&gt;=$P$18,U2775,0)</t>
  </si>
  <si>
    <t>=IF(AND($M2775&gt;=$Q$16,$M2775&lt;=$Q$18),U2775,0)</t>
  </si>
  <si>
    <t>=IF(AND($M2775&gt;=$R$16,$M2775&lt;=$R$18),U2775,0)</t>
  </si>
  <si>
    <t>=IF(AND($M2775&gt;=$S$16,$M2775&lt;=$S$18),U2775,0)</t>
  </si>
  <si>
    <t>=IF($M2775&lt;=$T$18,U2775,0)</t>
  </si>
  <si>
    <t>="""NAV Direct"",""CRONUS JetCorp USA"",""21"",""1"",""365913"""</t>
  </si>
  <si>
    <t>=E2774</t>
  </si>
  <si>
    <t>=StartDate-$M2776+1</t>
  </si>
  <si>
    <t>=SUM(P2776:T2776)</t>
  </si>
  <si>
    <t>=IF($M2776&gt;=$P$18,U2776,0)</t>
  </si>
  <si>
    <t>=IF(AND($M2776&gt;=$Q$16,$M2776&lt;=$Q$18),U2776,0)</t>
  </si>
  <si>
    <t>=IF(AND($M2776&gt;=$R$16,$M2776&lt;=$R$18),U2776,0)</t>
  </si>
  <si>
    <t>=IF(AND($M2776&gt;=$S$16,$M2776&lt;=$S$18),U2776,0)</t>
  </si>
  <si>
    <t>=IF($M2776&lt;=$T$18,U2776,0)</t>
  </si>
  <si>
    <t>="""NAV Direct"",""CRONUS JetCorp USA"",""21"",""1"",""366057"""</t>
  </si>
  <si>
    <t>=E2775</t>
  </si>
  <si>
    <t>=StartDate-$M2777+1</t>
  </si>
  <si>
    <t>=SUM(P2777:T2777)</t>
  </si>
  <si>
    <t>=IF($M2777&gt;=$P$18,U2777,0)</t>
  </si>
  <si>
    <t>=IF(AND($M2777&gt;=$Q$16,$M2777&lt;=$Q$18),U2777,0)</t>
  </si>
  <si>
    <t>=IF(AND($M2777&gt;=$R$16,$M2777&lt;=$R$18),U2777,0)</t>
  </si>
  <si>
    <t>=IF(AND($M2777&gt;=$S$16,$M2777&lt;=$S$18),U2777,0)</t>
  </si>
  <si>
    <t>=IF($M2777&lt;=$T$18,U2777,0)</t>
  </si>
  <si>
    <t>="""NAV Direct"",""CRONUS JetCorp USA"",""21"",""1"",""366273"""</t>
  </si>
  <si>
    <t>=E2776</t>
  </si>
  <si>
    <t>=StartDate-$M2778+1</t>
  </si>
  <si>
    <t>=SUM(P2778:T2778)</t>
  </si>
  <si>
    <t>=IF($M2778&gt;=$P$18,U2778,0)</t>
  </si>
  <si>
    <t>=IF(AND($M2778&gt;=$Q$16,$M2778&lt;=$Q$18),U2778,0)</t>
  </si>
  <si>
    <t>=IF(AND($M2778&gt;=$R$16,$M2778&lt;=$R$18),U2778,0)</t>
  </si>
  <si>
    <t>=IF(AND($M2778&gt;=$S$16,$M2778&lt;=$S$18),U2778,0)</t>
  </si>
  <si>
    <t>=IF($M2778&lt;=$T$18,U2778,0)</t>
  </si>
  <si>
    <t>="""NAV Direct"",""CRONUS JetCorp USA"",""21"",""1"",""366493"""</t>
  </si>
  <si>
    <t>=E2777</t>
  </si>
  <si>
    <t>=StartDate-$M2779+1</t>
  </si>
  <si>
    <t>=SUM(P2779:T2779)</t>
  </si>
  <si>
    <t>=IF($M2779&gt;=$P$18,U2779,0)</t>
  </si>
  <si>
    <t>=IF(AND($M2779&gt;=$Q$16,$M2779&lt;=$Q$18),U2779,0)</t>
  </si>
  <si>
    <t>=IF(AND($M2779&gt;=$R$16,$M2779&lt;=$R$18),U2779,0)</t>
  </si>
  <si>
    <t>=IF(AND($M2779&gt;=$S$16,$M2779&lt;=$S$18),U2779,0)</t>
  </si>
  <si>
    <t>=IF($M2779&lt;=$T$18,U2779,0)</t>
  </si>
  <si>
    <t>="""NAV Direct"",""CRONUS JetCorp USA"",""21"",""1"",""366706"""</t>
  </si>
  <si>
    <t>=E2778</t>
  </si>
  <si>
    <t>=StartDate-$M2780+1</t>
  </si>
  <si>
    <t>=SUM(P2780:T2780)</t>
  </si>
  <si>
    <t>=IF($M2780&gt;=$P$18,U2780,0)</t>
  </si>
  <si>
    <t>=IF(AND($M2780&gt;=$Q$16,$M2780&lt;=$Q$18),U2780,0)</t>
  </si>
  <si>
    <t>=IF(AND($M2780&gt;=$R$16,$M2780&lt;=$R$18),U2780,0)</t>
  </si>
  <si>
    <t>=IF(AND($M2780&gt;=$S$16,$M2780&lt;=$S$18),U2780,0)</t>
  </si>
  <si>
    <t>=IF($M2780&lt;=$T$18,U2780,0)</t>
  </si>
  <si>
    <t>="""NAV Direct"",""CRONUS JetCorp USA"",""21"",""1"",""366794"""</t>
  </si>
  <si>
    <t>=E2779</t>
  </si>
  <si>
    <t>=StartDate-$M2781+1</t>
  </si>
  <si>
    <t>=SUM(P2781:T2781)</t>
  </si>
  <si>
    <t>=IF($M2781&gt;=$P$18,U2781,0)</t>
  </si>
  <si>
    <t>=IF(AND($M2781&gt;=$Q$16,$M2781&lt;=$Q$18),U2781,0)</t>
  </si>
  <si>
    <t>=IF(AND($M2781&gt;=$R$16,$M2781&lt;=$R$18),U2781,0)</t>
  </si>
  <si>
    <t>=IF(AND($M2781&gt;=$S$16,$M2781&lt;=$S$18),U2781,0)</t>
  </si>
  <si>
    <t>=IF($M2781&lt;=$T$18,U2781,0)</t>
  </si>
  <si>
    <t>="""NAV Direct"",""CRONUS JetCorp USA"",""21"",""1"",""367005"""</t>
  </si>
  <si>
    <t>=E2780</t>
  </si>
  <si>
    <t>=StartDate-$M2782+1</t>
  </si>
  <si>
    <t>=SUM(P2782:T2782)</t>
  </si>
  <si>
    <t>=IF($M2782&gt;=$P$18,U2782,0)</t>
  </si>
  <si>
    <t>=IF(AND($M2782&gt;=$Q$16,$M2782&lt;=$Q$18),U2782,0)</t>
  </si>
  <si>
    <t>=IF(AND($M2782&gt;=$R$16,$M2782&lt;=$R$18),U2782,0)</t>
  </si>
  <si>
    <t>=IF(AND($M2782&gt;=$S$16,$M2782&lt;=$S$18),U2782,0)</t>
  </si>
  <si>
    <t>=IF($M2782&lt;=$T$18,U2782,0)</t>
  </si>
  <si>
    <t>="""NAV Direct"",""CRONUS JetCorp USA"",""21"",""1"",""367048"""</t>
  </si>
  <si>
    <t>=E2781</t>
  </si>
  <si>
    <t>=StartDate-$M2783+1</t>
  </si>
  <si>
    <t>=SUM(P2783:T2783)</t>
  </si>
  <si>
    <t>=IF($M2783&gt;=$P$18,U2783,0)</t>
  </si>
  <si>
    <t>=IF(AND($M2783&gt;=$Q$16,$M2783&lt;=$Q$18),U2783,0)</t>
  </si>
  <si>
    <t>=IF(AND($M2783&gt;=$R$16,$M2783&lt;=$R$18),U2783,0)</t>
  </si>
  <si>
    <t>=IF(AND($M2783&gt;=$S$16,$M2783&lt;=$S$18),U2783,0)</t>
  </si>
  <si>
    <t>=IF($M2783&lt;=$T$18,U2783,0)</t>
  </si>
  <si>
    <t>="""NAV Direct"",""CRONUS JetCorp USA"",""21"",""1"",""367143"""</t>
  </si>
  <si>
    <t>=E2782</t>
  </si>
  <si>
    <t>=StartDate-$M2784+1</t>
  </si>
  <si>
    <t>=SUM(P2784:T2784)</t>
  </si>
  <si>
    <t>=IF($M2784&gt;=$P$18,U2784,0)</t>
  </si>
  <si>
    <t>=IF(AND($M2784&gt;=$Q$16,$M2784&lt;=$Q$18),U2784,0)</t>
  </si>
  <si>
    <t>=IF(AND($M2784&gt;=$R$16,$M2784&lt;=$R$18),U2784,0)</t>
  </si>
  <si>
    <t>=IF(AND($M2784&gt;=$S$16,$M2784&lt;=$S$18),U2784,0)</t>
  </si>
  <si>
    <t>=IF($M2784&lt;=$T$18,U2784,0)</t>
  </si>
  <si>
    <t>="""NAV Direct"",""CRONUS JetCorp USA"",""21"",""1"",""367178"""</t>
  </si>
  <si>
    <t>=E2783</t>
  </si>
  <si>
    <t>=StartDate-$M2785+1</t>
  </si>
  <si>
    <t>=SUM(P2785:T2785)</t>
  </si>
  <si>
    <t>=IF($M2785&gt;=$P$18,U2785,0)</t>
  </si>
  <si>
    <t>=IF(AND($M2785&gt;=$Q$16,$M2785&lt;=$Q$18),U2785,0)</t>
  </si>
  <si>
    <t>=IF(AND($M2785&gt;=$R$16,$M2785&lt;=$R$18),U2785,0)</t>
  </si>
  <si>
    <t>=IF(AND($M2785&gt;=$S$16,$M2785&lt;=$S$18),U2785,0)</t>
  </si>
  <si>
    <t>=IF($M2785&lt;=$T$18,U2785,0)</t>
  </si>
  <si>
    <t>="""NAV Direct"",""CRONUS JetCorp USA"",""21"",""1"",""367213"""</t>
  </si>
  <si>
    <t>=E2784</t>
  </si>
  <si>
    <t>=StartDate-$M2786+1</t>
  </si>
  <si>
    <t>=SUM(P2786:T2786)</t>
  </si>
  <si>
    <t>=IF($M2786&gt;=$P$18,U2786,0)</t>
  </si>
  <si>
    <t>=IF(AND($M2786&gt;=$Q$16,$M2786&lt;=$Q$18),U2786,0)</t>
  </si>
  <si>
    <t>=IF(AND($M2786&gt;=$R$16,$M2786&lt;=$R$18),U2786,0)</t>
  </si>
  <si>
    <t>=IF(AND($M2786&gt;=$S$16,$M2786&lt;=$S$18),U2786,0)</t>
  </si>
  <si>
    <t>=IF($M2786&lt;=$T$18,U2786,0)</t>
  </si>
  <si>
    <t>="""NAV Direct"",""CRONUS JetCorp USA"",""21"",""1"",""367330"""</t>
  </si>
  <si>
    <t>=E2785</t>
  </si>
  <si>
    <t>=StartDate-$M2787+1</t>
  </si>
  <si>
    <t>=SUM(P2787:T2787)</t>
  </si>
  <si>
    <t>=IF($M2787&gt;=$P$18,U2787,0)</t>
  </si>
  <si>
    <t>=IF(AND($M2787&gt;=$Q$16,$M2787&lt;=$Q$18),U2787,0)</t>
  </si>
  <si>
    <t>=IF(AND($M2787&gt;=$R$16,$M2787&lt;=$R$18),U2787,0)</t>
  </si>
  <si>
    <t>=IF(AND($M2787&gt;=$S$16,$M2787&lt;=$S$18),U2787,0)</t>
  </si>
  <si>
    <t>=IF($M2787&lt;=$T$18,U2787,0)</t>
  </si>
  <si>
    <t>="""NAV Direct"",""CRONUS JetCorp USA"",""21"",""1"",""367418"""</t>
  </si>
  <si>
    <t>=E2786</t>
  </si>
  <si>
    <t>=StartDate-$M2788+1</t>
  </si>
  <si>
    <t>=SUM(P2788:T2788)</t>
  </si>
  <si>
    <t>=IF($M2788&gt;=$P$18,U2788,0)</t>
  </si>
  <si>
    <t>=IF(AND($M2788&gt;=$Q$16,$M2788&lt;=$Q$18),U2788,0)</t>
  </si>
  <si>
    <t>=IF(AND($M2788&gt;=$R$16,$M2788&lt;=$R$18),U2788,0)</t>
  </si>
  <si>
    <t>=IF(AND($M2788&gt;=$S$16,$M2788&lt;=$S$18),U2788,0)</t>
  </si>
  <si>
    <t>=IF($M2788&lt;=$T$18,U2788,0)</t>
  </si>
  <si>
    <t>="""NAV Direct"",""CRONUS JetCorp USA"",""21"",""1"",""367478"""</t>
  </si>
  <si>
    <t>=E2787</t>
  </si>
  <si>
    <t>=StartDate-$M2789+1</t>
  </si>
  <si>
    <t>=SUM(P2789:T2789)</t>
  </si>
  <si>
    <t>=IF($M2789&gt;=$P$18,U2789,0)</t>
  </si>
  <si>
    <t>=IF(AND($M2789&gt;=$Q$16,$M2789&lt;=$Q$18),U2789,0)</t>
  </si>
  <si>
    <t>=IF(AND($M2789&gt;=$R$16,$M2789&lt;=$R$18),U2789,0)</t>
  </si>
  <si>
    <t>=IF(AND($M2789&gt;=$S$16,$M2789&lt;=$S$18),U2789,0)</t>
  </si>
  <si>
    <t>=IF($M2789&lt;=$T$18,U2789,0)</t>
  </si>
  <si>
    <t>="""NAV Direct"",""CRONUS JetCorp USA"",""21"",""1"",""367552"""</t>
  </si>
  <si>
    <t>=E2788</t>
  </si>
  <si>
    <t>=StartDate-$M2790+1</t>
  </si>
  <si>
    <t>=SUM(P2790:T2790)</t>
  </si>
  <si>
    <t>=IF($M2790&gt;=$P$18,U2790,0)</t>
  </si>
  <si>
    <t>=IF(AND($M2790&gt;=$Q$16,$M2790&lt;=$Q$18),U2790,0)</t>
  </si>
  <si>
    <t>=IF(AND($M2790&gt;=$R$16,$M2790&lt;=$R$18),U2790,0)</t>
  </si>
  <si>
    <t>=IF(AND($M2790&gt;=$S$16,$M2790&lt;=$S$18),U2790,0)</t>
  </si>
  <si>
    <t>=IF($M2790&lt;=$T$18,U2790,0)</t>
  </si>
  <si>
    <t>="""NAV Direct"",""CRONUS JetCorp USA"",""21"",""1"",""367733"""</t>
  </si>
  <si>
    <t>=E2789</t>
  </si>
  <si>
    <t>=StartDate-$M2791+1</t>
  </si>
  <si>
    <t>=SUM(P2791:T2791)</t>
  </si>
  <si>
    <t>=IF($M2791&gt;=$P$18,U2791,0)</t>
  </si>
  <si>
    <t>=IF(AND($M2791&gt;=$Q$16,$M2791&lt;=$Q$18),U2791,0)</t>
  </si>
  <si>
    <t>=IF(AND($M2791&gt;=$R$16,$M2791&lt;=$R$18),U2791,0)</t>
  </si>
  <si>
    <t>=IF(AND($M2791&gt;=$S$16,$M2791&lt;=$S$18),U2791,0)</t>
  </si>
  <si>
    <t>=IF($M2791&lt;=$T$18,U2791,0)</t>
  </si>
  <si>
    <t>="""NAV Direct"",""CRONUS JetCorp USA"",""21"",""1"",""368095"""</t>
  </si>
  <si>
    <t>=E2790</t>
  </si>
  <si>
    <t>=StartDate-$M2792+1</t>
  </si>
  <si>
    <t>=SUM(P2792:T2792)</t>
  </si>
  <si>
    <t>=IF($M2792&gt;=$P$18,U2792,0)</t>
  </si>
  <si>
    <t>=IF(AND($M2792&gt;=$Q$16,$M2792&lt;=$Q$18),U2792,0)</t>
  </si>
  <si>
    <t>=IF(AND($M2792&gt;=$R$16,$M2792&lt;=$R$18),U2792,0)</t>
  </si>
  <si>
    <t>=IF(AND($M2792&gt;=$S$16,$M2792&lt;=$S$18),U2792,0)</t>
  </si>
  <si>
    <t>=IF($M2792&lt;=$T$18,U2792,0)</t>
  </si>
  <si>
    <t>="""NAV Direct"",""CRONUS JetCorp USA"",""21"",""1"",""368211"""</t>
  </si>
  <si>
    <t>=E2791</t>
  </si>
  <si>
    <t>=StartDate-$M2793+1</t>
  </si>
  <si>
    <t>=SUM(P2793:T2793)</t>
  </si>
  <si>
    <t>=IF($M2793&gt;=$P$18,U2793,0)</t>
  </si>
  <si>
    <t>=IF(AND($M2793&gt;=$Q$16,$M2793&lt;=$Q$18),U2793,0)</t>
  </si>
  <si>
    <t>=IF(AND($M2793&gt;=$R$16,$M2793&lt;=$R$18),U2793,0)</t>
  </si>
  <si>
    <t>=IF(AND($M2793&gt;=$S$16,$M2793&lt;=$S$18),U2793,0)</t>
  </si>
  <si>
    <t>=IF($M2793&lt;=$T$18,U2793,0)</t>
  </si>
  <si>
    <t>="""NAV Direct"",""CRONUS JetCorp USA"",""21"",""1"",""368308"""</t>
  </si>
  <si>
    <t>=E2792</t>
  </si>
  <si>
    <t>=StartDate-$M2794+1</t>
  </si>
  <si>
    <t>=SUM(P2794:T2794)</t>
  </si>
  <si>
    <t>=IF($M2794&gt;=$P$18,U2794,0)</t>
  </si>
  <si>
    <t>=IF(AND($M2794&gt;=$Q$16,$M2794&lt;=$Q$18),U2794,0)</t>
  </si>
  <si>
    <t>=IF(AND($M2794&gt;=$R$16,$M2794&lt;=$R$18),U2794,0)</t>
  </si>
  <si>
    <t>=IF(AND($M2794&gt;=$S$16,$M2794&lt;=$S$18),U2794,0)</t>
  </si>
  <si>
    <t>=IF($M2794&lt;=$T$18,U2794,0)</t>
  </si>
  <si>
    <t>="""NAV Direct"",""CRONUS JetCorp USA"",""21"",""1"",""368353"""</t>
  </si>
  <si>
    <t>=E2793</t>
  </si>
  <si>
    <t>=StartDate-$M2795+1</t>
  </si>
  <si>
    <t>=SUM(P2795:T2795)</t>
  </si>
  <si>
    <t>=IF($M2795&gt;=$P$18,U2795,0)</t>
  </si>
  <si>
    <t>=IF(AND($M2795&gt;=$Q$16,$M2795&lt;=$Q$18),U2795,0)</t>
  </si>
  <si>
    <t>=IF(AND($M2795&gt;=$R$16,$M2795&lt;=$R$18),U2795,0)</t>
  </si>
  <si>
    <t>=IF(AND($M2795&gt;=$S$16,$M2795&lt;=$S$18),U2795,0)</t>
  </si>
  <si>
    <t>=IF($M2795&lt;=$T$18,U2795,0)</t>
  </si>
  <si>
    <t>="""NAV Direct"",""CRONUS JetCorp USA"",""21"",""1"",""368380"""</t>
  </si>
  <si>
    <t>=E2794</t>
  </si>
  <si>
    <t>=StartDate-$M2796+1</t>
  </si>
  <si>
    <t>=SUM(P2796:T2796)</t>
  </si>
  <si>
    <t>=IF($M2796&gt;=$P$18,U2796,0)</t>
  </si>
  <si>
    <t>=IF(AND($M2796&gt;=$Q$16,$M2796&lt;=$Q$18),U2796,0)</t>
  </si>
  <si>
    <t>=IF(AND($M2796&gt;=$R$16,$M2796&lt;=$R$18),U2796,0)</t>
  </si>
  <si>
    <t>=IF(AND($M2796&gt;=$S$16,$M2796&lt;=$S$18),U2796,0)</t>
  </si>
  <si>
    <t>=IF($M2796&lt;=$T$18,U2796,0)</t>
  </si>
  <si>
    <t>="""NAV Direct"",""CRONUS JetCorp USA"",""21"",""1"",""368423"""</t>
  </si>
  <si>
    <t>=E2795</t>
  </si>
  <si>
    <t>=StartDate-$M2797+1</t>
  </si>
  <si>
    <t>=SUM(P2797:T2797)</t>
  </si>
  <si>
    <t>=IF($M2797&gt;=$P$18,U2797,0)</t>
  </si>
  <si>
    <t>=IF(AND($M2797&gt;=$Q$16,$M2797&lt;=$Q$18),U2797,0)</t>
  </si>
  <si>
    <t>=IF(AND($M2797&gt;=$R$16,$M2797&lt;=$R$18),U2797,0)</t>
  </si>
  <si>
    <t>=IF(AND($M2797&gt;=$S$16,$M2797&lt;=$S$18),U2797,0)</t>
  </si>
  <si>
    <t>=IF($M2797&lt;=$T$18,U2797,0)</t>
  </si>
  <si>
    <t>="""NAV Direct"",""CRONUS JetCorp USA"",""21"",""1"",""368468"""</t>
  </si>
  <si>
    <t>=E2796</t>
  </si>
  <si>
    <t>=StartDate-$M2798+1</t>
  </si>
  <si>
    <t>=SUM(P2798:T2798)</t>
  </si>
  <si>
    <t>=IF($M2798&gt;=$P$18,U2798,0)</t>
  </si>
  <si>
    <t>=IF(AND($M2798&gt;=$Q$16,$M2798&lt;=$Q$18),U2798,0)</t>
  </si>
  <si>
    <t>=IF(AND($M2798&gt;=$R$16,$M2798&lt;=$R$18),U2798,0)</t>
  </si>
  <si>
    <t>=IF(AND($M2798&gt;=$S$16,$M2798&lt;=$S$18),U2798,0)</t>
  </si>
  <si>
    <t>=IF($M2798&lt;=$T$18,U2798,0)</t>
  </si>
  <si>
    <t>="""NAV Direct"",""CRONUS JetCorp USA"",""21"",""1"",""368509"""</t>
  </si>
  <si>
    <t>=E2797</t>
  </si>
  <si>
    <t>=StartDate-$M2799+1</t>
  </si>
  <si>
    <t>=SUM(P2799:T2799)</t>
  </si>
  <si>
    <t>=IF($M2799&gt;=$P$18,U2799,0)</t>
  </si>
  <si>
    <t>=IF(AND($M2799&gt;=$Q$16,$M2799&lt;=$Q$18),U2799,0)</t>
  </si>
  <si>
    <t>=IF(AND($M2799&gt;=$R$16,$M2799&lt;=$R$18),U2799,0)</t>
  </si>
  <si>
    <t>=IF(AND($M2799&gt;=$S$16,$M2799&lt;=$S$18),U2799,0)</t>
  </si>
  <si>
    <t>=IF($M2799&lt;=$T$18,U2799,0)</t>
  </si>
  <si>
    <t>="""NAV Direct"",""CRONUS JetCorp USA"",""21"",""1"",""368597"""</t>
  </si>
  <si>
    <t>=E2798</t>
  </si>
  <si>
    <t>=StartDate-$M2800+1</t>
  </si>
  <si>
    <t>=SUM(P2800:T2800)</t>
  </si>
  <si>
    <t>=IF($M2800&gt;=$P$18,U2800,0)</t>
  </si>
  <si>
    <t>=IF(AND($M2800&gt;=$Q$16,$M2800&lt;=$Q$18),U2800,0)</t>
  </si>
  <si>
    <t>=IF(AND($M2800&gt;=$R$16,$M2800&lt;=$R$18),U2800,0)</t>
  </si>
  <si>
    <t>=IF(AND($M2800&gt;=$S$16,$M2800&lt;=$S$18),U2800,0)</t>
  </si>
  <si>
    <t>=IF($M2800&lt;=$T$18,U2800,0)</t>
  </si>
  <si>
    <t>="""NAV Direct"",""CRONUS JetCorp USA"",""21"",""1"",""369046"""</t>
  </si>
  <si>
    <t>=E2799</t>
  </si>
  <si>
    <t>=StartDate-$M2801+1</t>
  </si>
  <si>
    <t>=SUM(P2801:T2801)</t>
  </si>
  <si>
    <t>=IF($M2801&gt;=$P$18,U2801,0)</t>
  </si>
  <si>
    <t>=IF(AND($M2801&gt;=$Q$16,$M2801&lt;=$Q$18),U2801,0)</t>
  </si>
  <si>
    <t>=IF(AND($M2801&gt;=$R$16,$M2801&lt;=$R$18),U2801,0)</t>
  </si>
  <si>
    <t>=IF(AND($M2801&gt;=$S$16,$M2801&lt;=$S$18),U2801,0)</t>
  </si>
  <si>
    <t>=IF($M2801&lt;=$T$18,U2801,0)</t>
  </si>
  <si>
    <t>="""NAV Direct"",""CRONUS JetCorp USA"",""21"",""1"",""369143"""</t>
  </si>
  <si>
    <t>=E2800</t>
  </si>
  <si>
    <t>=StartDate-$M2802+1</t>
  </si>
  <si>
    <t>=SUM(P2802:T2802)</t>
  </si>
  <si>
    <t>=IF($M2802&gt;=$P$18,U2802,0)</t>
  </si>
  <si>
    <t>=IF(AND($M2802&gt;=$Q$16,$M2802&lt;=$Q$18),U2802,0)</t>
  </si>
  <si>
    <t>=IF(AND($M2802&gt;=$R$16,$M2802&lt;=$R$18),U2802,0)</t>
  </si>
  <si>
    <t>=IF(AND($M2802&gt;=$S$16,$M2802&lt;=$S$18),U2802,0)</t>
  </si>
  <si>
    <t>=IF($M2802&lt;=$T$18,U2802,0)</t>
  </si>
  <si>
    <t>="""NAV Direct"",""CRONUS JetCorp USA"",""21"",""1"",""369384"""</t>
  </si>
  <si>
    <t>=E2801</t>
  </si>
  <si>
    <t>=StartDate-$M2803+1</t>
  </si>
  <si>
    <t>=SUM(P2803:T2803)</t>
  </si>
  <si>
    <t>=IF($M2803&gt;=$P$18,U2803,0)</t>
  </si>
  <si>
    <t>=IF(AND($M2803&gt;=$Q$16,$M2803&lt;=$Q$18),U2803,0)</t>
  </si>
  <si>
    <t>=IF(AND($M2803&gt;=$R$16,$M2803&lt;=$R$18),U2803,0)</t>
  </si>
  <si>
    <t>=IF(AND($M2803&gt;=$S$16,$M2803&lt;=$S$18),U2803,0)</t>
  </si>
  <si>
    <t>=IF($M2803&lt;=$T$18,U2803,0)</t>
  </si>
  <si>
    <t>="""NAV Direct"",""CRONUS JetCorp USA"",""21"",""1"",""369583"""</t>
  </si>
  <si>
    <t>=E2802</t>
  </si>
  <si>
    <t>=StartDate-$M2804+1</t>
  </si>
  <si>
    <t>=SUM(P2804:T2804)</t>
  </si>
  <si>
    <t>=IF($M2804&gt;=$P$18,U2804,0)</t>
  </si>
  <si>
    <t>=IF(AND($M2804&gt;=$Q$16,$M2804&lt;=$Q$18),U2804,0)</t>
  </si>
  <si>
    <t>=IF(AND($M2804&gt;=$R$16,$M2804&lt;=$R$18),U2804,0)</t>
  </si>
  <si>
    <t>=IF(AND($M2804&gt;=$S$16,$M2804&lt;=$S$18),U2804,0)</t>
  </si>
  <si>
    <t>=IF($M2804&lt;=$T$18,U2804,0)</t>
  </si>
  <si>
    <t>="""NAV Direct"",""CRONUS JetCorp USA"",""21"",""1"",""369616"""</t>
  </si>
  <si>
    <t>=E2803</t>
  </si>
  <si>
    <t>=StartDate-$M2805+1</t>
  </si>
  <si>
    <t>=SUM(P2805:T2805)</t>
  </si>
  <si>
    <t>=IF($M2805&gt;=$P$18,U2805,0)</t>
  </si>
  <si>
    <t>=IF(AND($M2805&gt;=$Q$16,$M2805&lt;=$Q$18),U2805,0)</t>
  </si>
  <si>
    <t>=IF(AND($M2805&gt;=$R$16,$M2805&lt;=$R$18),U2805,0)</t>
  </si>
  <si>
    <t>=IF(AND($M2805&gt;=$S$16,$M2805&lt;=$S$18),U2805,0)</t>
  </si>
  <si>
    <t>=IF($M2805&lt;=$T$18,U2805,0)</t>
  </si>
  <si>
    <t>="""NAV Direct"",""CRONUS JetCorp USA"",""21"",""1"",""369647"""</t>
  </si>
  <si>
    <t>=E2804</t>
  </si>
  <si>
    <t>=StartDate-$M2806+1</t>
  </si>
  <si>
    <t>=SUM(P2806:T2806)</t>
  </si>
  <si>
    <t>=IF($M2806&gt;=$P$18,U2806,0)</t>
  </si>
  <si>
    <t>=IF(AND($M2806&gt;=$Q$16,$M2806&lt;=$Q$18),U2806,0)</t>
  </si>
  <si>
    <t>=IF(AND($M2806&gt;=$R$16,$M2806&lt;=$R$18),U2806,0)</t>
  </si>
  <si>
    <t>=IF(AND($M2806&gt;=$S$16,$M2806&lt;=$S$18),U2806,0)</t>
  </si>
  <si>
    <t>=IF($M2806&lt;=$T$18,U2806,0)</t>
  </si>
  <si>
    <t>="""NAV Direct"",""CRONUS JetCorp USA"",""21"",""1"",""369688"""</t>
  </si>
  <si>
    <t>=E2805</t>
  </si>
  <si>
    <t>=StartDate-$M2807+1</t>
  </si>
  <si>
    <t>=SUM(P2807:T2807)</t>
  </si>
  <si>
    <t>=IF($M2807&gt;=$P$18,U2807,0)</t>
  </si>
  <si>
    <t>=IF(AND($M2807&gt;=$Q$16,$M2807&lt;=$Q$18),U2807,0)</t>
  </si>
  <si>
    <t>=IF(AND($M2807&gt;=$R$16,$M2807&lt;=$R$18),U2807,0)</t>
  </si>
  <si>
    <t>=IF(AND($M2807&gt;=$S$16,$M2807&lt;=$S$18),U2807,0)</t>
  </si>
  <si>
    <t>=IF($M2807&lt;=$T$18,U2807,0)</t>
  </si>
  <si>
    <t>="""NAV Direct"",""CRONUS JetCorp USA"",""21"",""1"",""370182"""</t>
  </si>
  <si>
    <t>=E2806</t>
  </si>
  <si>
    <t>=StartDate-$M2808+1</t>
  </si>
  <si>
    <t>=SUM(P2808:T2808)</t>
  </si>
  <si>
    <t>=IF($M2808&gt;=$P$18,U2808,0)</t>
  </si>
  <si>
    <t>=IF(AND($M2808&gt;=$Q$16,$M2808&lt;=$Q$18),U2808,0)</t>
  </si>
  <si>
    <t>=IF(AND($M2808&gt;=$R$16,$M2808&lt;=$R$18),U2808,0)</t>
  </si>
  <si>
    <t>=IF(AND($M2808&gt;=$S$16,$M2808&lt;=$S$18),U2808,0)</t>
  </si>
  <si>
    <t>=IF($M2808&lt;=$T$18,U2808,0)</t>
  </si>
  <si>
    <t>="""NAV Direct"",""CRONUS JetCorp USA"",""21"",""1"",""370211"""</t>
  </si>
  <si>
    <t>=E2807</t>
  </si>
  <si>
    <t>=StartDate-$M2809+1</t>
  </si>
  <si>
    <t>=SUM(P2809:T2809)</t>
  </si>
  <si>
    <t>=IF($M2809&gt;=$P$18,U2809,0)</t>
  </si>
  <si>
    <t>=IF(AND($M2809&gt;=$Q$16,$M2809&lt;=$Q$18),U2809,0)</t>
  </si>
  <si>
    <t>=IF(AND($M2809&gt;=$R$16,$M2809&lt;=$R$18),U2809,0)</t>
  </si>
  <si>
    <t>=IF(AND($M2809&gt;=$S$16,$M2809&lt;=$S$18),U2809,0)</t>
  </si>
  <si>
    <t>=IF($M2809&lt;=$T$18,U2809,0)</t>
  </si>
  <si>
    <t>="""NAV Direct"",""CRONUS JetCorp USA"",""21"",""1"",""370277"""</t>
  </si>
  <si>
    <t>=E2808</t>
  </si>
  <si>
    <t>=StartDate-$M2810+1</t>
  </si>
  <si>
    <t>=SUM(P2810:T2810)</t>
  </si>
  <si>
    <t>=IF($M2810&gt;=$P$18,U2810,0)</t>
  </si>
  <si>
    <t>=IF(AND($M2810&gt;=$Q$16,$M2810&lt;=$Q$18),U2810,0)</t>
  </si>
  <si>
    <t>=IF(AND($M2810&gt;=$R$16,$M2810&lt;=$R$18),U2810,0)</t>
  </si>
  <si>
    <t>=IF(AND($M2810&gt;=$S$16,$M2810&lt;=$S$18),U2810,0)</t>
  </si>
  <si>
    <t>=IF($M2810&lt;=$T$18,U2810,0)</t>
  </si>
  <si>
    <t>="""NAV Direct"",""CRONUS JetCorp USA"",""21"",""1"",""370386"""</t>
  </si>
  <si>
    <t>=E2809</t>
  </si>
  <si>
    <t>=StartDate-$M2811+1</t>
  </si>
  <si>
    <t>=SUM(P2811:T2811)</t>
  </si>
  <si>
    <t>=IF($M2811&gt;=$P$18,U2811,0)</t>
  </si>
  <si>
    <t>=IF(AND($M2811&gt;=$Q$16,$M2811&lt;=$Q$18),U2811,0)</t>
  </si>
  <si>
    <t>=IF(AND($M2811&gt;=$R$16,$M2811&lt;=$R$18),U2811,0)</t>
  </si>
  <si>
    <t>=IF(AND($M2811&gt;=$S$16,$M2811&lt;=$S$18),U2811,0)</t>
  </si>
  <si>
    <t>=IF($M2811&lt;=$T$18,U2811,0)</t>
  </si>
  <si>
    <t>="""NAV Direct"",""CRONUS JetCorp USA"",""21"",""1"",""370547"""</t>
  </si>
  <si>
    <t>=E2810</t>
  </si>
  <si>
    <t>=StartDate-$M2812+1</t>
  </si>
  <si>
    <t>=SUM(P2812:T2812)</t>
  </si>
  <si>
    <t>=IF($M2812&gt;=$P$18,U2812,0)</t>
  </si>
  <si>
    <t>=IF(AND($M2812&gt;=$Q$16,$M2812&lt;=$Q$18),U2812,0)</t>
  </si>
  <si>
    <t>=IF(AND($M2812&gt;=$R$16,$M2812&lt;=$R$18),U2812,0)</t>
  </si>
  <si>
    <t>=IF(AND($M2812&gt;=$S$16,$M2812&lt;=$S$18),U2812,0)</t>
  </si>
  <si>
    <t>=IF($M2812&lt;=$T$18,U2812,0)</t>
  </si>
  <si>
    <t>="""NAV Direct"",""CRONUS JetCorp USA"",""21"",""1"",""370615"""</t>
  </si>
  <si>
    <t>=E2811</t>
  </si>
  <si>
    <t>=StartDate-$M2813+1</t>
  </si>
  <si>
    <t>=SUM(P2813:T2813)</t>
  </si>
  <si>
    <t>=IF($M2813&gt;=$P$18,U2813,0)</t>
  </si>
  <si>
    <t>=IF(AND($M2813&gt;=$Q$16,$M2813&lt;=$Q$18),U2813,0)</t>
  </si>
  <si>
    <t>=IF(AND($M2813&gt;=$R$16,$M2813&lt;=$R$18),U2813,0)</t>
  </si>
  <si>
    <t>=IF(AND($M2813&gt;=$S$16,$M2813&lt;=$S$18),U2813,0)</t>
  </si>
  <si>
    <t>=IF($M2813&lt;=$T$18,U2813,0)</t>
  </si>
  <si>
    <t>="""NAV Direct"",""CRONUS JetCorp USA"",""21"",""1"",""370753"""</t>
  </si>
  <si>
    <t>=E2812</t>
  </si>
  <si>
    <t>=StartDate-$M2814+1</t>
  </si>
  <si>
    <t>=SUM(P2814:T2814)</t>
  </si>
  <si>
    <t>=IF($M2814&gt;=$P$18,U2814,0)</t>
  </si>
  <si>
    <t>=IF(AND($M2814&gt;=$Q$16,$M2814&lt;=$Q$18),U2814,0)</t>
  </si>
  <si>
    <t>=IF(AND($M2814&gt;=$R$16,$M2814&lt;=$R$18),U2814,0)</t>
  </si>
  <si>
    <t>=IF(AND($M2814&gt;=$S$16,$M2814&lt;=$S$18),U2814,0)</t>
  </si>
  <si>
    <t>=IF($M2814&lt;=$T$18,U2814,0)</t>
  </si>
  <si>
    <t>="""NAV Direct"",""CRONUS JetCorp USA"",""21"",""1"",""370833"""</t>
  </si>
  <si>
    <t>=E2813</t>
  </si>
  <si>
    <t>=StartDate-$M2815+1</t>
  </si>
  <si>
    <t>=SUM(P2815:T2815)</t>
  </si>
  <si>
    <t>=IF($M2815&gt;=$P$18,U2815,0)</t>
  </si>
  <si>
    <t>=IF(AND($M2815&gt;=$Q$16,$M2815&lt;=$Q$18),U2815,0)</t>
  </si>
  <si>
    <t>=IF(AND($M2815&gt;=$R$16,$M2815&lt;=$R$18),U2815,0)</t>
  </si>
  <si>
    <t>=IF(AND($M2815&gt;=$S$16,$M2815&lt;=$S$18),U2815,0)</t>
  </si>
  <si>
    <t>=IF($M2815&lt;=$T$18,U2815,0)</t>
  </si>
  <si>
    <t>="""NAV Direct"",""CRONUS JetCorp USA"",""21"",""1"",""435797"""</t>
  </si>
  <si>
    <t>=E2814</t>
  </si>
  <si>
    <t>=StartDate-$M2816+1</t>
  </si>
  <si>
    <t>=SUM(P2816:T2816)</t>
  </si>
  <si>
    <t>=IF($M2816&gt;=$P$18,U2816,0)</t>
  </si>
  <si>
    <t>=IF(AND($M2816&gt;=$Q$16,$M2816&lt;=$Q$18),U2816,0)</t>
  </si>
  <si>
    <t>=IF(AND($M2816&gt;=$R$16,$M2816&lt;=$R$18),U2816,0)</t>
  </si>
  <si>
    <t>=IF(AND($M2816&gt;=$S$16,$M2816&lt;=$S$18),U2816,0)</t>
  </si>
  <si>
    <t>=IF($M2816&lt;=$T$18,U2816,0)</t>
  </si>
  <si>
    <t>="""NAV Direct"",""CRONUS JetCorp USA"",""21"",""1"",""435842"""</t>
  </si>
  <si>
    <t>=E2815</t>
  </si>
  <si>
    <t>=StartDate-$M2817+1</t>
  </si>
  <si>
    <t>=SUM(P2817:T2817)</t>
  </si>
  <si>
    <t>=IF($M2817&gt;=$P$18,U2817,0)</t>
  </si>
  <si>
    <t>=IF(AND($M2817&gt;=$Q$16,$M2817&lt;=$Q$18),U2817,0)</t>
  </si>
  <si>
    <t>=IF(AND($M2817&gt;=$R$16,$M2817&lt;=$R$18),U2817,0)</t>
  </si>
  <si>
    <t>=IF(AND($M2817&gt;=$S$16,$M2817&lt;=$S$18),U2817,0)</t>
  </si>
  <si>
    <t>=IF($M2817&lt;=$T$18,U2817,0)</t>
  </si>
  <si>
    <t>="""NAV Direct"",""CRONUS JetCorp USA"",""21"",""1"",""435857"""</t>
  </si>
  <si>
    <t>=E2816</t>
  </si>
  <si>
    <t>=StartDate-$M2818+1</t>
  </si>
  <si>
    <t>=SUM(P2818:T2818)</t>
  </si>
  <si>
    <t>=IF($M2818&gt;=$P$18,U2818,0)</t>
  </si>
  <si>
    <t>=IF(AND($M2818&gt;=$Q$16,$M2818&lt;=$Q$18),U2818,0)</t>
  </si>
  <si>
    <t>=IF(AND($M2818&gt;=$R$16,$M2818&lt;=$R$18),U2818,0)</t>
  </si>
  <si>
    <t>=IF(AND($M2818&gt;=$S$16,$M2818&lt;=$S$18),U2818,0)</t>
  </si>
  <si>
    <t>=IF($M2818&lt;=$T$18,U2818,0)</t>
  </si>
  <si>
    <t>="""NAV Direct"",""CRONUS JetCorp USA"",""21"",""1"",""435866"""</t>
  </si>
  <si>
    <t>=E2817</t>
  </si>
  <si>
    <t>=StartDate-$M2819+1</t>
  </si>
  <si>
    <t>=SUM(P2819:T2819)</t>
  </si>
  <si>
    <t>=IF($M2819&gt;=$P$18,U2819,0)</t>
  </si>
  <si>
    <t>=IF(AND($M2819&gt;=$Q$16,$M2819&lt;=$Q$18),U2819,0)</t>
  </si>
  <si>
    <t>=IF(AND($M2819&gt;=$R$16,$M2819&lt;=$R$18),U2819,0)</t>
  </si>
  <si>
    <t>=IF(AND($M2819&gt;=$S$16,$M2819&lt;=$S$18),U2819,0)</t>
  </si>
  <si>
    <t>=IF($M2819&lt;=$T$18,U2819,0)</t>
  </si>
  <si>
    <t>="""NAV Direct"",""CRONUS JetCorp USA"",""21"",""1"",""435900"""</t>
  </si>
  <si>
    <t>=E2818</t>
  </si>
  <si>
    <t>=StartDate-$M2820+1</t>
  </si>
  <si>
    <t>=SUM(P2820:T2820)</t>
  </si>
  <si>
    <t>=IF($M2820&gt;=$P$18,U2820,0)</t>
  </si>
  <si>
    <t>=IF(AND($M2820&gt;=$Q$16,$M2820&lt;=$Q$18),U2820,0)</t>
  </si>
  <si>
    <t>=IF(AND($M2820&gt;=$R$16,$M2820&lt;=$R$18),U2820,0)</t>
  </si>
  <si>
    <t>=IF(AND($M2820&gt;=$S$16,$M2820&lt;=$S$18),U2820,0)</t>
  </si>
  <si>
    <t>=IF($M2820&lt;=$T$18,U2820,0)</t>
  </si>
  <si>
    <t>="""NAV Direct"",""CRONUS JetCorp USA"",""21"",""1"",""435917"""</t>
  </si>
  <si>
    <t>=E2819</t>
  </si>
  <si>
    <t>=StartDate-$M2821+1</t>
  </si>
  <si>
    <t>=SUM(P2821:T2821)</t>
  </si>
  <si>
    <t>=IF($M2821&gt;=$P$18,U2821,0)</t>
  </si>
  <si>
    <t>=IF(AND($M2821&gt;=$Q$16,$M2821&lt;=$Q$18),U2821,0)</t>
  </si>
  <si>
    <t>=IF(AND($M2821&gt;=$R$16,$M2821&lt;=$R$18),U2821,0)</t>
  </si>
  <si>
    <t>=IF(AND($M2821&gt;=$S$16,$M2821&lt;=$S$18),U2821,0)</t>
  </si>
  <si>
    <t>=IF($M2821&lt;=$T$18,U2821,0)</t>
  </si>
  <si>
    <t>="""NAV Direct"",""CRONUS JetCorp USA"",""21"",""1"",""435933"""</t>
  </si>
  <si>
    <t>=E2820</t>
  </si>
  <si>
    <t>=StartDate-$M2822+1</t>
  </si>
  <si>
    <t>=SUM(P2822:T2822)</t>
  </si>
  <si>
    <t>=IF($M2822&gt;=$P$18,U2822,0)</t>
  </si>
  <si>
    <t>=IF(AND($M2822&gt;=$Q$16,$M2822&lt;=$Q$18),U2822,0)</t>
  </si>
  <si>
    <t>=IF(AND($M2822&gt;=$R$16,$M2822&lt;=$R$18),U2822,0)</t>
  </si>
  <si>
    <t>=IF(AND($M2822&gt;=$S$16,$M2822&lt;=$S$18),U2822,0)</t>
  </si>
  <si>
    <t>=IF($M2822&lt;=$T$18,U2822,0)</t>
  </si>
  <si>
    <t>="""NAV Direct"",""CRONUS JetCorp USA"",""21"",""1"",""435951"""</t>
  </si>
  <si>
    <t>=E2821</t>
  </si>
  <si>
    <t>=StartDate-$M2823+1</t>
  </si>
  <si>
    <t>=SUM(P2823:T2823)</t>
  </si>
  <si>
    <t>=IF($M2823&gt;=$P$18,U2823,0)</t>
  </si>
  <si>
    <t>=IF(AND($M2823&gt;=$Q$16,$M2823&lt;=$Q$18),U2823,0)</t>
  </si>
  <si>
    <t>=IF(AND($M2823&gt;=$R$16,$M2823&lt;=$R$18),U2823,0)</t>
  </si>
  <si>
    <t>=IF(AND($M2823&gt;=$S$16,$M2823&lt;=$S$18),U2823,0)</t>
  </si>
  <si>
    <t>=IF($M2823&lt;=$T$18,U2823,0)</t>
  </si>
  <si>
    <t>="""NAV Direct"",""CRONUS JetCorp USA"",""21"",""1"",""436009"""</t>
  </si>
  <si>
    <t>=E2822</t>
  </si>
  <si>
    <t>=StartDate-$M2824+1</t>
  </si>
  <si>
    <t>=SUM(P2824:T2824)</t>
  </si>
  <si>
    <t>=IF($M2824&gt;=$P$18,U2824,0)</t>
  </si>
  <si>
    <t>=IF(AND($M2824&gt;=$Q$16,$M2824&lt;=$Q$18),U2824,0)</t>
  </si>
  <si>
    <t>=IF(AND($M2824&gt;=$R$16,$M2824&lt;=$R$18),U2824,0)</t>
  </si>
  <si>
    <t>=IF(AND($M2824&gt;=$S$16,$M2824&lt;=$S$18),U2824,0)</t>
  </si>
  <si>
    <t>=IF($M2824&lt;=$T$18,U2824,0)</t>
  </si>
  <si>
    <t>="""NAV Direct"",""CRONUS JetCorp USA"",""21"",""1"",""436045"""</t>
  </si>
  <si>
    <t>=E2823</t>
  </si>
  <si>
    <t>=StartDate-$M2825+1</t>
  </si>
  <si>
    <t>=SUM(P2825:T2825)</t>
  </si>
  <si>
    <t>=IF($M2825&gt;=$P$18,U2825,0)</t>
  </si>
  <si>
    <t>=IF(AND($M2825&gt;=$Q$16,$M2825&lt;=$Q$18),U2825,0)</t>
  </si>
  <si>
    <t>=IF(AND($M2825&gt;=$R$16,$M2825&lt;=$R$18),U2825,0)</t>
  </si>
  <si>
    <t>=IF(AND($M2825&gt;=$S$16,$M2825&lt;=$S$18),U2825,0)</t>
  </si>
  <si>
    <t>=IF($M2825&lt;=$T$18,U2825,0)</t>
  </si>
  <si>
    <t>="""NAV Direct"",""CRONUS JetCorp USA"",""21"",""1"",""436128"""</t>
  </si>
  <si>
    <t>=E2824</t>
  </si>
  <si>
    <t>=StartDate-$M2826+1</t>
  </si>
  <si>
    <t>=SUM(P2826:T2826)</t>
  </si>
  <si>
    <t>=IF($M2826&gt;=$P$18,U2826,0)</t>
  </si>
  <si>
    <t>=IF(AND($M2826&gt;=$Q$16,$M2826&lt;=$Q$18),U2826,0)</t>
  </si>
  <si>
    <t>=IF(AND($M2826&gt;=$R$16,$M2826&lt;=$R$18),U2826,0)</t>
  </si>
  <si>
    <t>=IF(AND($M2826&gt;=$S$16,$M2826&lt;=$S$18),U2826,0)</t>
  </si>
  <si>
    <t>=IF($M2826&lt;=$T$18,U2826,0)</t>
  </si>
  <si>
    <t>="""NAV Direct"",""CRONUS JetCorp USA"",""21"",""1"",""436150"""</t>
  </si>
  <si>
    <t>=E2825</t>
  </si>
  <si>
    <t>=StartDate-$M2827+1</t>
  </si>
  <si>
    <t>=SUM(P2827:T2827)</t>
  </si>
  <si>
    <t>=IF($M2827&gt;=$P$18,U2827,0)</t>
  </si>
  <si>
    <t>=IF(AND($M2827&gt;=$Q$16,$M2827&lt;=$Q$18),U2827,0)</t>
  </si>
  <si>
    <t>=IF(AND($M2827&gt;=$R$16,$M2827&lt;=$R$18),U2827,0)</t>
  </si>
  <si>
    <t>=IF(AND($M2827&gt;=$S$16,$M2827&lt;=$S$18),U2827,0)</t>
  </si>
  <si>
    <t>=IF($M2827&lt;=$T$18,U2827,0)</t>
  </si>
  <si>
    <t>="""NAV Direct"",""CRONUS JetCorp USA"",""21"",""1"",""436167"""</t>
  </si>
  <si>
    <t>=E2826</t>
  </si>
  <si>
    <t>=StartDate-$M2828+1</t>
  </si>
  <si>
    <t>=SUM(P2828:T2828)</t>
  </si>
  <si>
    <t>=IF($M2828&gt;=$P$18,U2828,0)</t>
  </si>
  <si>
    <t>=IF(AND($M2828&gt;=$Q$16,$M2828&lt;=$Q$18),U2828,0)</t>
  </si>
  <si>
    <t>=IF(AND($M2828&gt;=$R$16,$M2828&lt;=$R$18),U2828,0)</t>
  </si>
  <si>
    <t>=IF(AND($M2828&gt;=$S$16,$M2828&lt;=$S$18),U2828,0)</t>
  </si>
  <si>
    <t>=IF($M2828&lt;=$T$18,U2828,0)</t>
  </si>
  <si>
    <t>="""NAV Direct"",""CRONUS JetCorp USA"",""21"",""1"",""436184"""</t>
  </si>
  <si>
    <t>=E2827</t>
  </si>
  <si>
    <t>=StartDate-$M2829+1</t>
  </si>
  <si>
    <t>=SUM(P2829:T2829)</t>
  </si>
  <si>
    <t>=IF($M2829&gt;=$P$18,U2829,0)</t>
  </si>
  <si>
    <t>=IF(AND($M2829&gt;=$Q$16,$M2829&lt;=$Q$18),U2829,0)</t>
  </si>
  <si>
    <t>=IF(AND($M2829&gt;=$R$16,$M2829&lt;=$R$18),U2829,0)</t>
  </si>
  <si>
    <t>=IF(AND($M2829&gt;=$S$16,$M2829&lt;=$S$18),U2829,0)</t>
  </si>
  <si>
    <t>=IF($M2829&lt;=$T$18,U2829,0)</t>
  </si>
  <si>
    <t>="""NAV Direct"",""CRONUS JetCorp USA"",""21"",""1"",""436260"""</t>
  </si>
  <si>
    <t>=E2828</t>
  </si>
  <si>
    <t>=StartDate-$M2830+1</t>
  </si>
  <si>
    <t>=SUM(P2830:T2830)</t>
  </si>
  <si>
    <t>=IF($M2830&gt;=$P$18,U2830,0)</t>
  </si>
  <si>
    <t>=IF(AND($M2830&gt;=$Q$16,$M2830&lt;=$Q$18),U2830,0)</t>
  </si>
  <si>
    <t>=IF(AND($M2830&gt;=$R$16,$M2830&lt;=$R$18),U2830,0)</t>
  </si>
  <si>
    <t>=IF(AND($M2830&gt;=$S$16,$M2830&lt;=$S$18),U2830,0)</t>
  </si>
  <si>
    <t>=IF($M2830&lt;=$T$18,U2830,0)</t>
  </si>
  <si>
    <t>="""NAV Direct"",""CRONUS JetCorp USA"",""21"",""1"",""436298"""</t>
  </si>
  <si>
    <t>=E2829</t>
  </si>
  <si>
    <t>=StartDate-$M2831+1</t>
  </si>
  <si>
    <t>=SUM(P2831:T2831)</t>
  </si>
  <si>
    <t>=IF($M2831&gt;=$P$18,U2831,0)</t>
  </si>
  <si>
    <t>=IF(AND($M2831&gt;=$Q$16,$M2831&lt;=$Q$18),U2831,0)</t>
  </si>
  <si>
    <t>=IF(AND($M2831&gt;=$R$16,$M2831&lt;=$R$18),U2831,0)</t>
  </si>
  <si>
    <t>=IF(AND($M2831&gt;=$S$16,$M2831&lt;=$S$18),U2831,0)</t>
  </si>
  <si>
    <t>=IF($M2831&lt;=$T$18,U2831,0)</t>
  </si>
  <si>
    <t>="""NAV Direct"",""CRONUS JetCorp USA"",""21"",""1"",""436311"""</t>
  </si>
  <si>
    <t>=E2830</t>
  </si>
  <si>
    <t>=StartDate-$M2832+1</t>
  </si>
  <si>
    <t>=SUM(P2832:T2832)</t>
  </si>
  <si>
    <t>=IF($M2832&gt;=$P$18,U2832,0)</t>
  </si>
  <si>
    <t>=IF(AND($M2832&gt;=$Q$16,$M2832&lt;=$Q$18),U2832,0)</t>
  </si>
  <si>
    <t>=IF(AND($M2832&gt;=$R$16,$M2832&lt;=$R$18),U2832,0)</t>
  </si>
  <si>
    <t>=IF(AND($M2832&gt;=$S$16,$M2832&lt;=$S$18),U2832,0)</t>
  </si>
  <si>
    <t>=IF($M2832&lt;=$T$18,U2832,0)</t>
  </si>
  <si>
    <t>="""NAV Direct"",""CRONUS JetCorp USA"",""21"",""1"",""436352"""</t>
  </si>
  <si>
    <t>=E2831</t>
  </si>
  <si>
    <t>=StartDate-$M2833+1</t>
  </si>
  <si>
    <t>=SUM(P2833:T2833)</t>
  </si>
  <si>
    <t>=IF($M2833&gt;=$P$18,U2833,0)</t>
  </si>
  <si>
    <t>=IF(AND($M2833&gt;=$Q$16,$M2833&lt;=$Q$18),U2833,0)</t>
  </si>
  <si>
    <t>=IF(AND($M2833&gt;=$R$16,$M2833&lt;=$R$18),U2833,0)</t>
  </si>
  <si>
    <t>=IF(AND($M2833&gt;=$S$16,$M2833&lt;=$S$18),U2833,0)</t>
  </si>
  <si>
    <t>=IF($M2833&lt;=$T$18,U2833,0)</t>
  </si>
  <si>
    <t>="""NAV Direct"",""CRONUS JetCorp USA"",""21"",""1"",""436477"""</t>
  </si>
  <si>
    <t>=E2832</t>
  </si>
  <si>
    <t>=StartDate-$M2834+1</t>
  </si>
  <si>
    <t>=SUM(P2834:T2834)</t>
  </si>
  <si>
    <t>=IF($M2834&gt;=$P$18,U2834,0)</t>
  </si>
  <si>
    <t>=IF(AND($M2834&gt;=$Q$16,$M2834&lt;=$Q$18),U2834,0)</t>
  </si>
  <si>
    <t>=IF(AND($M2834&gt;=$R$16,$M2834&lt;=$R$18),U2834,0)</t>
  </si>
  <si>
    <t>=IF(AND($M2834&gt;=$S$16,$M2834&lt;=$S$18),U2834,0)</t>
  </si>
  <si>
    <t>=IF($M2834&lt;=$T$18,U2834,0)</t>
  </si>
  <si>
    <t>="""NAV Direct"",""CRONUS JetCorp USA"",""21"",""1"",""436515"""</t>
  </si>
  <si>
    <t>=E2833</t>
  </si>
  <si>
    <t>=StartDate-$M2835+1</t>
  </si>
  <si>
    <t>=SUM(P2835:T2835)</t>
  </si>
  <si>
    <t>=IF($M2835&gt;=$P$18,U2835,0)</t>
  </si>
  <si>
    <t>=IF(AND($M2835&gt;=$Q$16,$M2835&lt;=$Q$18),U2835,0)</t>
  </si>
  <si>
    <t>=IF(AND($M2835&gt;=$R$16,$M2835&lt;=$R$18),U2835,0)</t>
  </si>
  <si>
    <t>=IF(AND($M2835&gt;=$S$16,$M2835&lt;=$S$18),U2835,0)</t>
  </si>
  <si>
    <t>=IF($M2835&lt;=$T$18,U2835,0)</t>
  </si>
  <si>
    <t>="""NAV Direct"",""CRONUS JetCorp USA"",""21"",""1"",""436534"""</t>
  </si>
  <si>
    <t>=E2834</t>
  </si>
  <si>
    <t>=StartDate-$M2836+1</t>
  </si>
  <si>
    <t>=SUM(P2836:T2836)</t>
  </si>
  <si>
    <t>=IF($M2836&gt;=$P$18,U2836,0)</t>
  </si>
  <si>
    <t>=IF(AND($M2836&gt;=$Q$16,$M2836&lt;=$Q$18),U2836,0)</t>
  </si>
  <si>
    <t>=IF(AND($M2836&gt;=$R$16,$M2836&lt;=$R$18),U2836,0)</t>
  </si>
  <si>
    <t>=IF(AND($M2836&gt;=$S$16,$M2836&lt;=$S$18),U2836,0)</t>
  </si>
  <si>
    <t>=IF($M2836&lt;=$T$18,U2836,0)</t>
  </si>
  <si>
    <t>="""NAV Direct"",""CRONUS JetCorp USA"",""21"",""1"",""436592"""</t>
  </si>
  <si>
    <t>=E2835</t>
  </si>
  <si>
    <t>=StartDate-$M2837+1</t>
  </si>
  <si>
    <t>=SUM(P2837:T2837)</t>
  </si>
  <si>
    <t>=IF($M2837&gt;=$P$18,U2837,0)</t>
  </si>
  <si>
    <t>=IF(AND($M2837&gt;=$Q$16,$M2837&lt;=$Q$18),U2837,0)</t>
  </si>
  <si>
    <t>=IF(AND($M2837&gt;=$R$16,$M2837&lt;=$R$18),U2837,0)</t>
  </si>
  <si>
    <t>=IF(AND($M2837&gt;=$S$16,$M2837&lt;=$S$18),U2837,0)</t>
  </si>
  <si>
    <t>=IF($M2837&lt;=$T$18,U2837,0)</t>
  </si>
  <si>
    <t>="""NAV Direct"",""CRONUS JetCorp USA"",""21"",""1"",""436601"""</t>
  </si>
  <si>
    <t>=E2836</t>
  </si>
  <si>
    <t>=StartDate-$M2838+1</t>
  </si>
  <si>
    <t>=SUM(P2838:T2838)</t>
  </si>
  <si>
    <t>=IF($M2838&gt;=$P$18,U2838,0)</t>
  </si>
  <si>
    <t>=IF(AND($M2838&gt;=$Q$16,$M2838&lt;=$Q$18),U2838,0)</t>
  </si>
  <si>
    <t>=IF(AND($M2838&gt;=$R$16,$M2838&lt;=$R$18),U2838,0)</t>
  </si>
  <si>
    <t>=IF(AND($M2838&gt;=$S$16,$M2838&lt;=$S$18),U2838,0)</t>
  </si>
  <si>
    <t>=IF($M2838&lt;=$T$18,U2838,0)</t>
  </si>
  <si>
    <t>="""NAV Direct"",""CRONUS JetCorp USA"",""21"",""1"",""436637"""</t>
  </si>
  <si>
    <t>=E2837</t>
  </si>
  <si>
    <t>=StartDate-$M2839+1</t>
  </si>
  <si>
    <t>=SUM(P2839:T2839)</t>
  </si>
  <si>
    <t>=IF($M2839&gt;=$P$18,U2839,0)</t>
  </si>
  <si>
    <t>=IF(AND($M2839&gt;=$Q$16,$M2839&lt;=$Q$18),U2839,0)</t>
  </si>
  <si>
    <t>=IF(AND($M2839&gt;=$R$16,$M2839&lt;=$R$18),U2839,0)</t>
  </si>
  <si>
    <t>=IF(AND($M2839&gt;=$S$16,$M2839&lt;=$S$18),U2839,0)</t>
  </si>
  <si>
    <t>=IF($M2839&lt;=$T$18,U2839,0)</t>
  </si>
  <si>
    <t>="""NAV Direct"",""CRONUS JetCorp USA"",""21"",""1"",""436667"""</t>
  </si>
  <si>
    <t>=E2838</t>
  </si>
  <si>
    <t>=StartDate-$M2840+1</t>
  </si>
  <si>
    <t>=SUM(P2840:T2840)</t>
  </si>
  <si>
    <t>=IF($M2840&gt;=$P$18,U2840,0)</t>
  </si>
  <si>
    <t>=IF(AND($M2840&gt;=$Q$16,$M2840&lt;=$Q$18),U2840,0)</t>
  </si>
  <si>
    <t>=IF(AND($M2840&gt;=$R$16,$M2840&lt;=$R$18),U2840,0)</t>
  </si>
  <si>
    <t>=IF(AND($M2840&gt;=$S$16,$M2840&lt;=$S$18),U2840,0)</t>
  </si>
  <si>
    <t>=IF($M2840&lt;=$T$18,U2840,0)</t>
  </si>
  <si>
    <t>="""NAV Direct"",""CRONUS JetCorp USA"",""21"",""1"",""436680"""</t>
  </si>
  <si>
    <t>=E2839</t>
  </si>
  <si>
    <t>=StartDate-$M2841+1</t>
  </si>
  <si>
    <t>=SUM(P2841:T2841)</t>
  </si>
  <si>
    <t>=IF($M2841&gt;=$P$18,U2841,0)</t>
  </si>
  <si>
    <t>=IF(AND($M2841&gt;=$Q$16,$M2841&lt;=$Q$18),U2841,0)</t>
  </si>
  <si>
    <t>=IF(AND($M2841&gt;=$R$16,$M2841&lt;=$R$18),U2841,0)</t>
  </si>
  <si>
    <t>=IF(AND($M2841&gt;=$S$16,$M2841&lt;=$S$18),U2841,0)</t>
  </si>
  <si>
    <t>=IF($M2841&lt;=$T$18,U2841,0)</t>
  </si>
  <si>
    <t>="""NAV Direct"",""CRONUS JetCorp USA"",""21"",""1"",""436718"""</t>
  </si>
  <si>
    <t>=E2840</t>
  </si>
  <si>
    <t>=StartDate-$M2842+1</t>
  </si>
  <si>
    <t>=SUM(P2842:T2842)</t>
  </si>
  <si>
    <t>=IF($M2842&gt;=$P$18,U2842,0)</t>
  </si>
  <si>
    <t>=IF(AND($M2842&gt;=$Q$16,$M2842&lt;=$Q$18),U2842,0)</t>
  </si>
  <si>
    <t>=IF(AND($M2842&gt;=$R$16,$M2842&lt;=$R$18),U2842,0)</t>
  </si>
  <si>
    <t>=IF(AND($M2842&gt;=$S$16,$M2842&lt;=$S$18),U2842,0)</t>
  </si>
  <si>
    <t>=IF($M2842&lt;=$T$18,U2842,0)</t>
  </si>
  <si>
    <t>="""NAV Direct"",""CRONUS JetCorp USA"",""21"",""1"",""436777"""</t>
  </si>
  <si>
    <t>=E2841</t>
  </si>
  <si>
    <t>=StartDate-$M2843+1</t>
  </si>
  <si>
    <t>=SUM(P2843:T2843)</t>
  </si>
  <si>
    <t>=IF($M2843&gt;=$P$18,U2843,0)</t>
  </si>
  <si>
    <t>=IF(AND($M2843&gt;=$Q$16,$M2843&lt;=$Q$18),U2843,0)</t>
  </si>
  <si>
    <t>=IF(AND($M2843&gt;=$R$16,$M2843&lt;=$R$18),U2843,0)</t>
  </si>
  <si>
    <t>=IF(AND($M2843&gt;=$S$16,$M2843&lt;=$S$18),U2843,0)</t>
  </si>
  <si>
    <t>=IF($M2843&lt;=$T$18,U2843,0)</t>
  </si>
  <si>
    <t>="""NAV Direct"",""CRONUS JetCorp USA"",""21"",""1"",""436866"""</t>
  </si>
  <si>
    <t>=E2842</t>
  </si>
  <si>
    <t>=StartDate-$M2844+1</t>
  </si>
  <si>
    <t>=SUM(P2844:T2844)</t>
  </si>
  <si>
    <t>=IF($M2844&gt;=$P$18,U2844,0)</t>
  </si>
  <si>
    <t>=IF(AND($M2844&gt;=$Q$16,$M2844&lt;=$Q$18),U2844,0)</t>
  </si>
  <si>
    <t>=IF(AND($M2844&gt;=$R$16,$M2844&lt;=$R$18),U2844,0)</t>
  </si>
  <si>
    <t>=IF(AND($M2844&gt;=$S$16,$M2844&lt;=$S$18),U2844,0)</t>
  </si>
  <si>
    <t>=IF($M2844&lt;=$T$18,U2844,0)</t>
  </si>
  <si>
    <t>="""NAV Direct"",""CRONUS JetCorp USA"",""21"",""1"",""436873"""</t>
  </si>
  <si>
    <t>=E2843</t>
  </si>
  <si>
    <t>=StartDate-$M2845+1</t>
  </si>
  <si>
    <t>=SUM(P2845:T2845)</t>
  </si>
  <si>
    <t>=IF($M2845&gt;=$P$18,U2845,0)</t>
  </si>
  <si>
    <t>=IF(AND($M2845&gt;=$Q$16,$M2845&lt;=$Q$18),U2845,0)</t>
  </si>
  <si>
    <t>=IF(AND($M2845&gt;=$R$16,$M2845&lt;=$R$18),U2845,0)</t>
  </si>
  <si>
    <t>=IF(AND($M2845&gt;=$S$16,$M2845&lt;=$S$18),U2845,0)</t>
  </si>
  <si>
    <t>=IF($M2845&lt;=$T$18,U2845,0)</t>
  </si>
  <si>
    <t>="""NAV Direct"",""CRONUS JetCorp USA"",""21"",""1"",""436990"""</t>
  </si>
  <si>
    <t>=E2844</t>
  </si>
  <si>
    <t>=StartDate-$M2846+1</t>
  </si>
  <si>
    <t>=SUM(P2846:T2846)</t>
  </si>
  <si>
    <t>=IF($M2846&gt;=$P$18,U2846,0)</t>
  </si>
  <si>
    <t>=IF(AND($M2846&gt;=$Q$16,$M2846&lt;=$Q$18),U2846,0)</t>
  </si>
  <si>
    <t>=IF(AND($M2846&gt;=$R$16,$M2846&lt;=$R$18),U2846,0)</t>
  </si>
  <si>
    <t>=IF(AND($M2846&gt;=$S$16,$M2846&lt;=$S$18),U2846,0)</t>
  </si>
  <si>
    <t>=IF($M2846&lt;=$T$18,U2846,0)</t>
  </si>
  <si>
    <t>="""NAV Direct"",""CRONUS JetCorp USA"",""21"",""1"",""437024"""</t>
  </si>
  <si>
    <t>=E2845</t>
  </si>
  <si>
    <t>=StartDate-$M2847+1</t>
  </si>
  <si>
    <t>=SUM(P2847:T2847)</t>
  </si>
  <si>
    <t>=IF($M2847&gt;=$P$18,U2847,0)</t>
  </si>
  <si>
    <t>=IF(AND($M2847&gt;=$Q$16,$M2847&lt;=$Q$18),U2847,0)</t>
  </si>
  <si>
    <t>=IF(AND($M2847&gt;=$R$16,$M2847&lt;=$R$18),U2847,0)</t>
  </si>
  <si>
    <t>=IF(AND($M2847&gt;=$S$16,$M2847&lt;=$S$18),U2847,0)</t>
  </si>
  <si>
    <t>=IF($M2847&lt;=$T$18,U2847,0)</t>
  </si>
  <si>
    <t>="""NAV Direct"",""CRONUS JetCorp USA"",""21"",""1"",""437054"""</t>
  </si>
  <si>
    <t>=E2846</t>
  </si>
  <si>
    <t>=StartDate-$M2848+1</t>
  </si>
  <si>
    <t>=SUM(P2848:T2848)</t>
  </si>
  <si>
    <t>=IF($M2848&gt;=$P$18,U2848,0)</t>
  </si>
  <si>
    <t>=IF(AND($M2848&gt;=$Q$16,$M2848&lt;=$Q$18),U2848,0)</t>
  </si>
  <si>
    <t>=IF(AND($M2848&gt;=$R$16,$M2848&lt;=$R$18),U2848,0)</t>
  </si>
  <si>
    <t>=IF(AND($M2848&gt;=$S$16,$M2848&lt;=$S$18),U2848,0)</t>
  </si>
  <si>
    <t>=IF($M2848&lt;=$T$18,U2848,0)</t>
  </si>
  <si>
    <t>="""NAV Direct"",""CRONUS JetCorp USA"",""21"",""1"",""437167"""</t>
  </si>
  <si>
    <t>=E2847</t>
  </si>
  <si>
    <t>=StartDate-$M2849+1</t>
  </si>
  <si>
    <t>=SUM(P2849:T2849)</t>
  </si>
  <si>
    <t>=IF($M2849&gt;=$P$18,U2849,0)</t>
  </si>
  <si>
    <t>=IF(AND($M2849&gt;=$Q$16,$M2849&lt;=$Q$18),U2849,0)</t>
  </si>
  <si>
    <t>=IF(AND($M2849&gt;=$R$16,$M2849&lt;=$R$18),U2849,0)</t>
  </si>
  <si>
    <t>=IF(AND($M2849&gt;=$S$16,$M2849&lt;=$S$18),U2849,0)</t>
  </si>
  <si>
    <t>=IF($M2849&lt;=$T$18,U2849,0)</t>
  </si>
  <si>
    <t>="""NAV Direct"",""CRONUS JetCorp USA"",""21"",""1"",""437203"""</t>
  </si>
  <si>
    <t>=E2848</t>
  </si>
  <si>
    <t>=StartDate-$M2850+1</t>
  </si>
  <si>
    <t>=SUM(P2850:T2850)</t>
  </si>
  <si>
    <t>=IF($M2850&gt;=$P$18,U2850,0)</t>
  </si>
  <si>
    <t>=IF(AND($M2850&gt;=$Q$16,$M2850&lt;=$Q$18),U2850,0)</t>
  </si>
  <si>
    <t>=IF(AND($M2850&gt;=$R$16,$M2850&lt;=$R$18),U2850,0)</t>
  </si>
  <si>
    <t>=IF(AND($M2850&gt;=$S$16,$M2850&lt;=$S$18),U2850,0)</t>
  </si>
  <si>
    <t>=IF($M2850&lt;=$T$18,U2850,0)</t>
  </si>
  <si>
    <t>="""NAV Direct"",""CRONUS JetCorp USA"",""21"",""1"",""437229"""</t>
  </si>
  <si>
    <t>=E2849</t>
  </si>
  <si>
    <t>=StartDate-$M2851+1</t>
  </si>
  <si>
    <t>=SUM(P2851:T2851)</t>
  </si>
  <si>
    <t>=IF($M2851&gt;=$P$18,U2851,0)</t>
  </si>
  <si>
    <t>=IF(AND($M2851&gt;=$Q$16,$M2851&lt;=$Q$18),U2851,0)</t>
  </si>
  <si>
    <t>=IF(AND($M2851&gt;=$R$16,$M2851&lt;=$R$18),U2851,0)</t>
  </si>
  <si>
    <t>=IF(AND($M2851&gt;=$S$16,$M2851&lt;=$S$18),U2851,0)</t>
  </si>
  <si>
    <t>=IF($M2851&lt;=$T$18,U2851,0)</t>
  </si>
  <si>
    <t>="""NAV Direct"",""CRONUS JetCorp USA"",""21"",""1"",""437246"""</t>
  </si>
  <si>
    <t>=E2850</t>
  </si>
  <si>
    <t>=StartDate-$M2852+1</t>
  </si>
  <si>
    <t>=SUM(P2852:T2852)</t>
  </si>
  <si>
    <t>=IF($M2852&gt;=$P$18,U2852,0)</t>
  </si>
  <si>
    <t>=IF(AND($M2852&gt;=$Q$16,$M2852&lt;=$Q$18),U2852,0)</t>
  </si>
  <si>
    <t>=IF(AND($M2852&gt;=$R$16,$M2852&lt;=$R$18),U2852,0)</t>
  </si>
  <si>
    <t>=IF(AND($M2852&gt;=$S$16,$M2852&lt;=$S$18),U2852,0)</t>
  </si>
  <si>
    <t>=IF($M2852&lt;=$T$18,U2852,0)</t>
  </si>
  <si>
    <t>="""NAV Direct"",""CRONUS JetCorp USA"",""21"",""1"",""437269"""</t>
  </si>
  <si>
    <t>=E2851</t>
  </si>
  <si>
    <t>=StartDate-$M2853+1</t>
  </si>
  <si>
    <t>=SUM(P2853:T2853)</t>
  </si>
  <si>
    <t>=IF($M2853&gt;=$P$18,U2853,0)</t>
  </si>
  <si>
    <t>=IF(AND($M2853&gt;=$Q$16,$M2853&lt;=$Q$18),U2853,0)</t>
  </si>
  <si>
    <t>=IF(AND($M2853&gt;=$R$16,$M2853&lt;=$R$18),U2853,0)</t>
  </si>
  <si>
    <t>=IF(AND($M2853&gt;=$S$16,$M2853&lt;=$S$18),U2853,0)</t>
  </si>
  <si>
    <t>=IF($M2853&lt;=$T$18,U2853,0)</t>
  </si>
  <si>
    <t>="""NAV Direct"",""CRONUS JetCorp USA"",""18"",""1"",""C100088"""</t>
  </si>
  <si>
    <t>=H2856</t>
  </si>
  <si>
    <t>=NF($C2856,"1 No.")</t>
  </si>
  <si>
    <t>=NF($C2856,"1 No.")&amp;"  -  "&amp;NF($C2856,"2 Name")</t>
  </si>
  <si>
    <t>=IFERROR(O2856/NF(C2856,"Credit Limit (LCY)"),"")</t>
  </si>
  <si>
    <t>=SUBTOTAL(3,L2857:L2928)</t>
  </si>
  <si>
    <t>=SUBTOTAL(9,O2857:O2928)</t>
  </si>
  <si>
    <t>=SUBTOTAL(9,P2857:P2928)</t>
  </si>
  <si>
    <t>=SUBTOTAL(9,Q2857:Q2928)</t>
  </si>
  <si>
    <t>=SUBTOTAL(9,R2857:R2928)</t>
  </si>
  <si>
    <t>=SUBTOTAL(9,S2857:S2928)</t>
  </si>
  <si>
    <t>=SUBTOTAL(9,T2857:T2928)</t>
  </si>
  <si>
    <t>=C2856</t>
  </si>
  <si>
    <t>=E2856</t>
  </si>
  <si>
    <t>="Contact: "&amp;NF($C2857,"8 Contact")</t>
  </si>
  <si>
    <t>=C2857</t>
  </si>
  <si>
    <t>=E2857</t>
  </si>
  <si>
    <t>=NF($C2858,"102 E-Mail")</t>
  </si>
  <si>
    <t>=NL("Rows","21 Cust. Ledger Entry",,"3 Customer No.","@@"&amp;$E2860,"16 Remaining Amt. (LCY)","&lt;&gt;0")</t>
  </si>
  <si>
    <t>=E2858</t>
  </si>
  <si>
    <t>=StartDate-$M2860+1</t>
  </si>
  <si>
    <t>=SUM(P2860:T2860)</t>
  </si>
  <si>
    <t>=IF($M2860&gt;=$P$18,U2860,0)</t>
  </si>
  <si>
    <t>=IF(AND($M2860&gt;=$Q$16,$M2860&lt;=$Q$18),U2860,0)</t>
  </si>
  <si>
    <t>=IF(AND($M2860&gt;=$R$16,$M2860&lt;=$R$18),U2860,0)</t>
  </si>
  <si>
    <t>=IF(AND($M2860&gt;=$S$16,$M2860&lt;=$S$18),U2860,0)</t>
  </si>
  <si>
    <t>=IF($M2860&lt;=$T$18,U2860,0)</t>
  </si>
  <si>
    <t>="""NAV Direct"",""CRONUS JetCorp USA"",""21"",""1"",""214142"""</t>
  </si>
  <si>
    <t>=E2859</t>
  </si>
  <si>
    <t>=StartDate-$M2861+1</t>
  </si>
  <si>
    <t>=SUM(P2861:T2861)</t>
  </si>
  <si>
    <t>=IF($M2861&gt;=$P$18,U2861,0)</t>
  </si>
  <si>
    <t>=IF(AND($M2861&gt;=$Q$16,$M2861&lt;=$Q$18),U2861,0)</t>
  </si>
  <si>
    <t>=IF(AND($M2861&gt;=$R$16,$M2861&lt;=$R$18),U2861,0)</t>
  </si>
  <si>
    <t>=IF(AND($M2861&gt;=$S$16,$M2861&lt;=$S$18),U2861,0)</t>
  </si>
  <si>
    <t>=IF($M2861&lt;=$T$18,U2861,0)</t>
  </si>
  <si>
    <t>="""NAV Direct"",""CRONUS JetCorp USA"",""21"",""1"",""303919"""</t>
  </si>
  <si>
    <t>=E2860</t>
  </si>
  <si>
    <t>=StartDate-$M2862+1</t>
  </si>
  <si>
    <t>=SUM(P2862:T2862)</t>
  </si>
  <si>
    <t>=IF($M2862&gt;=$P$18,U2862,0)</t>
  </si>
  <si>
    <t>=IF(AND($M2862&gt;=$Q$16,$M2862&lt;=$Q$18),U2862,0)</t>
  </si>
  <si>
    <t>=IF(AND($M2862&gt;=$R$16,$M2862&lt;=$R$18),U2862,0)</t>
  </si>
  <si>
    <t>=IF(AND($M2862&gt;=$S$16,$M2862&lt;=$S$18),U2862,0)</t>
  </si>
  <si>
    <t>=IF($M2862&lt;=$T$18,U2862,0)</t>
  </si>
  <si>
    <t>="""NAV Direct"",""CRONUS JetCorp USA"",""21"",""1"",""303967"""</t>
  </si>
  <si>
    <t>=E2861</t>
  </si>
  <si>
    <t>=StartDate-$M2863+1</t>
  </si>
  <si>
    <t>=SUM(P2863:T2863)</t>
  </si>
  <si>
    <t>=IF($M2863&gt;=$P$18,U2863,0)</t>
  </si>
  <si>
    <t>=IF(AND($M2863&gt;=$Q$16,$M2863&lt;=$Q$18),U2863,0)</t>
  </si>
  <si>
    <t>=IF(AND($M2863&gt;=$R$16,$M2863&lt;=$R$18),U2863,0)</t>
  </si>
  <si>
    <t>=IF(AND($M2863&gt;=$S$16,$M2863&lt;=$S$18),U2863,0)</t>
  </si>
  <si>
    <t>=IF($M2863&lt;=$T$18,U2863,0)</t>
  </si>
  <si>
    <t>="""NAV Direct"",""CRONUS JetCorp USA"",""21"",""1"",""304058"""</t>
  </si>
  <si>
    <t>=E2862</t>
  </si>
  <si>
    <t>=StartDate-$M2864+1</t>
  </si>
  <si>
    <t>=SUM(P2864:T2864)</t>
  </si>
  <si>
    <t>=IF($M2864&gt;=$P$18,U2864,0)</t>
  </si>
  <si>
    <t>=IF(AND($M2864&gt;=$Q$16,$M2864&lt;=$Q$18),U2864,0)</t>
  </si>
  <si>
    <t>=IF(AND($M2864&gt;=$R$16,$M2864&lt;=$R$18),U2864,0)</t>
  </si>
  <si>
    <t>=IF(AND($M2864&gt;=$S$16,$M2864&lt;=$S$18),U2864,0)</t>
  </si>
  <si>
    <t>=IF($M2864&lt;=$T$18,U2864,0)</t>
  </si>
  <si>
    <t>="""NAV Direct"",""CRONUS JetCorp USA"",""21"",""1"",""304296"""</t>
  </si>
  <si>
    <t>=E2863</t>
  </si>
  <si>
    <t>=StartDate-$M2865+1</t>
  </si>
  <si>
    <t>=SUM(P2865:T2865)</t>
  </si>
  <si>
    <t>=IF($M2865&gt;=$P$18,U2865,0)</t>
  </si>
  <si>
    <t>=IF(AND($M2865&gt;=$Q$16,$M2865&lt;=$Q$18),U2865,0)</t>
  </si>
  <si>
    <t>=IF(AND($M2865&gt;=$R$16,$M2865&lt;=$R$18),U2865,0)</t>
  </si>
  <si>
    <t>=IF(AND($M2865&gt;=$S$16,$M2865&lt;=$S$18),U2865,0)</t>
  </si>
  <si>
    <t>=IF($M2865&lt;=$T$18,U2865,0)</t>
  </si>
  <si>
    <t>="""NAV Direct"",""CRONUS JetCorp USA"",""21"",""1"",""304418"""</t>
  </si>
  <si>
    <t>=E2864</t>
  </si>
  <si>
    <t>=StartDate-$M2866+1</t>
  </si>
  <si>
    <t>=SUM(P2866:T2866)</t>
  </si>
  <si>
    <t>=IF($M2866&gt;=$P$18,U2866,0)</t>
  </si>
  <si>
    <t>=IF(AND($M2866&gt;=$Q$16,$M2866&lt;=$Q$18),U2866,0)</t>
  </si>
  <si>
    <t>=IF(AND($M2866&gt;=$R$16,$M2866&lt;=$R$18),U2866,0)</t>
  </si>
  <si>
    <t>=IF(AND($M2866&gt;=$S$16,$M2866&lt;=$S$18),U2866,0)</t>
  </si>
  <si>
    <t>=IF($M2866&lt;=$T$18,U2866,0)</t>
  </si>
  <si>
    <t>="""NAV Direct"",""CRONUS JetCorp USA"",""21"",""1"",""304437"""</t>
  </si>
  <si>
    <t>=E2865</t>
  </si>
  <si>
    <t>=StartDate-$M2867+1</t>
  </si>
  <si>
    <t>=SUM(P2867:T2867)</t>
  </si>
  <si>
    <t>=IF($M2867&gt;=$P$18,U2867,0)</t>
  </si>
  <si>
    <t>=IF(AND($M2867&gt;=$Q$16,$M2867&lt;=$Q$18),U2867,0)</t>
  </si>
  <si>
    <t>=IF(AND($M2867&gt;=$R$16,$M2867&lt;=$R$18),U2867,0)</t>
  </si>
  <si>
    <t>=IF(AND($M2867&gt;=$S$16,$M2867&lt;=$S$18),U2867,0)</t>
  </si>
  <si>
    <t>=IF($M2867&lt;=$T$18,U2867,0)</t>
  </si>
  <si>
    <t>="""NAV Direct"",""CRONUS JetCorp USA"",""21"",""1"",""304566"""</t>
  </si>
  <si>
    <t>=E2866</t>
  </si>
  <si>
    <t>=StartDate-$M2868+1</t>
  </si>
  <si>
    <t>=SUM(P2868:T2868)</t>
  </si>
  <si>
    <t>=IF($M2868&gt;=$P$18,U2868,0)</t>
  </si>
  <si>
    <t>=IF(AND($M2868&gt;=$Q$16,$M2868&lt;=$Q$18),U2868,0)</t>
  </si>
  <si>
    <t>=IF(AND($M2868&gt;=$R$16,$M2868&lt;=$R$18),U2868,0)</t>
  </si>
  <si>
    <t>=IF(AND($M2868&gt;=$S$16,$M2868&lt;=$S$18),U2868,0)</t>
  </si>
  <si>
    <t>=IF($M2868&lt;=$T$18,U2868,0)</t>
  </si>
  <si>
    <t>="""NAV Direct"",""CRONUS JetCorp USA"",""21"",""1"",""304876"""</t>
  </si>
  <si>
    <t>=E2867</t>
  </si>
  <si>
    <t>=StartDate-$M2869+1</t>
  </si>
  <si>
    <t>=SUM(P2869:T2869)</t>
  </si>
  <si>
    <t>=IF($M2869&gt;=$P$18,U2869,0)</t>
  </si>
  <si>
    <t>=IF(AND($M2869&gt;=$Q$16,$M2869&lt;=$Q$18),U2869,0)</t>
  </si>
  <si>
    <t>=IF(AND($M2869&gt;=$R$16,$M2869&lt;=$R$18),U2869,0)</t>
  </si>
  <si>
    <t>=IF(AND($M2869&gt;=$S$16,$M2869&lt;=$S$18),U2869,0)</t>
  </si>
  <si>
    <t>=IF($M2869&lt;=$T$18,U2869,0)</t>
  </si>
  <si>
    <t>="""NAV Direct"",""CRONUS JetCorp USA"",""21"",""1"",""305049"""</t>
  </si>
  <si>
    <t>=E2868</t>
  </si>
  <si>
    <t>=StartDate-$M2870+1</t>
  </si>
  <si>
    <t>=SUM(P2870:T2870)</t>
  </si>
  <si>
    <t>=IF($M2870&gt;=$P$18,U2870,0)</t>
  </si>
  <si>
    <t>=IF(AND($M2870&gt;=$Q$16,$M2870&lt;=$Q$18),U2870,0)</t>
  </si>
  <si>
    <t>=IF(AND($M2870&gt;=$R$16,$M2870&lt;=$R$18),U2870,0)</t>
  </si>
  <si>
    <t>=IF(AND($M2870&gt;=$S$16,$M2870&lt;=$S$18),U2870,0)</t>
  </si>
  <si>
    <t>=IF($M2870&lt;=$T$18,U2870,0)</t>
  </si>
  <si>
    <t>="""NAV Direct"",""CRONUS JetCorp USA"",""21"",""1"",""305197"""</t>
  </si>
  <si>
    <t>=E2869</t>
  </si>
  <si>
    <t>=StartDate-$M2871+1</t>
  </si>
  <si>
    <t>=SUM(P2871:T2871)</t>
  </si>
  <si>
    <t>=IF($M2871&gt;=$P$18,U2871,0)</t>
  </si>
  <si>
    <t>=IF(AND($M2871&gt;=$Q$16,$M2871&lt;=$Q$18),U2871,0)</t>
  </si>
  <si>
    <t>=IF(AND($M2871&gt;=$R$16,$M2871&lt;=$R$18),U2871,0)</t>
  </si>
  <si>
    <t>=IF(AND($M2871&gt;=$S$16,$M2871&lt;=$S$18),U2871,0)</t>
  </si>
  <si>
    <t>=IF($M2871&lt;=$T$18,U2871,0)</t>
  </si>
  <si>
    <t>="""NAV Direct"",""CRONUS JetCorp USA"",""21"",""1"",""305241"""</t>
  </si>
  <si>
    <t>=E2870</t>
  </si>
  <si>
    <t>=StartDate-$M2872+1</t>
  </si>
  <si>
    <t>=SUM(P2872:T2872)</t>
  </si>
  <si>
    <t>=IF($M2872&gt;=$P$18,U2872,0)</t>
  </si>
  <si>
    <t>=IF(AND($M2872&gt;=$Q$16,$M2872&lt;=$Q$18),U2872,0)</t>
  </si>
  <si>
    <t>=IF(AND($M2872&gt;=$R$16,$M2872&lt;=$R$18),U2872,0)</t>
  </si>
  <si>
    <t>=IF(AND($M2872&gt;=$S$16,$M2872&lt;=$S$18),U2872,0)</t>
  </si>
  <si>
    <t>=IF($M2872&lt;=$T$18,U2872,0)</t>
  </si>
  <si>
    <t>="""NAV Direct"",""CRONUS JetCorp USA"",""21"",""1"",""305326"""</t>
  </si>
  <si>
    <t>=E2871</t>
  </si>
  <si>
    <t>=StartDate-$M2873+1</t>
  </si>
  <si>
    <t>=SUM(P2873:T2873)</t>
  </si>
  <si>
    <t>=IF($M2873&gt;=$P$18,U2873,0)</t>
  </si>
  <si>
    <t>=IF(AND($M2873&gt;=$Q$16,$M2873&lt;=$Q$18),U2873,0)</t>
  </si>
  <si>
    <t>=IF(AND($M2873&gt;=$R$16,$M2873&lt;=$R$18),U2873,0)</t>
  </si>
  <si>
    <t>=IF(AND($M2873&gt;=$S$16,$M2873&lt;=$S$18),U2873,0)</t>
  </si>
  <si>
    <t>=IF($M2873&lt;=$T$18,U2873,0)</t>
  </si>
  <si>
    <t>="""NAV Direct"",""CRONUS JetCorp USA"",""21"",""1"",""305353"""</t>
  </si>
  <si>
    <t>=E2872</t>
  </si>
  <si>
    <t>=StartDate-$M2874+1</t>
  </si>
  <si>
    <t>=SUM(P2874:T2874)</t>
  </si>
  <si>
    <t>=IF($M2874&gt;=$P$18,U2874,0)</t>
  </si>
  <si>
    <t>=IF(AND($M2874&gt;=$Q$16,$M2874&lt;=$Q$18),U2874,0)</t>
  </si>
  <si>
    <t>=IF(AND($M2874&gt;=$R$16,$M2874&lt;=$R$18),U2874,0)</t>
  </si>
  <si>
    <t>=IF(AND($M2874&gt;=$S$16,$M2874&lt;=$S$18),U2874,0)</t>
  </si>
  <si>
    <t>=IF($M2874&lt;=$T$18,U2874,0)</t>
  </si>
  <si>
    <t>="""NAV Direct"",""CRONUS JetCorp USA"",""21"",""1"",""305411"""</t>
  </si>
  <si>
    <t>=E2873</t>
  </si>
  <si>
    <t>=StartDate-$M2875+1</t>
  </si>
  <si>
    <t>=SUM(P2875:T2875)</t>
  </si>
  <si>
    <t>=IF($M2875&gt;=$P$18,U2875,0)</t>
  </si>
  <si>
    <t>=IF(AND($M2875&gt;=$Q$16,$M2875&lt;=$Q$18),U2875,0)</t>
  </si>
  <si>
    <t>=IF(AND($M2875&gt;=$R$16,$M2875&lt;=$R$18),U2875,0)</t>
  </si>
  <si>
    <t>=IF(AND($M2875&gt;=$S$16,$M2875&lt;=$S$18),U2875,0)</t>
  </si>
  <si>
    <t>=IF($M2875&lt;=$T$18,U2875,0)</t>
  </si>
  <si>
    <t>="""NAV Direct"",""CRONUS JetCorp USA"",""21"",""1"",""305503"""</t>
  </si>
  <si>
    <t>=E2874</t>
  </si>
  <si>
    <t>=StartDate-$M2876+1</t>
  </si>
  <si>
    <t>=SUM(P2876:T2876)</t>
  </si>
  <si>
    <t>=IF($M2876&gt;=$P$18,U2876,0)</t>
  </si>
  <si>
    <t>=IF(AND($M2876&gt;=$Q$16,$M2876&lt;=$Q$18),U2876,0)</t>
  </si>
  <si>
    <t>=IF(AND($M2876&gt;=$R$16,$M2876&lt;=$R$18),U2876,0)</t>
  </si>
  <si>
    <t>=IF(AND($M2876&gt;=$S$16,$M2876&lt;=$S$18),U2876,0)</t>
  </si>
  <si>
    <t>=IF($M2876&lt;=$T$18,U2876,0)</t>
  </si>
  <si>
    <t>="""NAV Direct"",""CRONUS JetCorp USA"",""21"",""1"",""305532"""</t>
  </si>
  <si>
    <t>=E2875</t>
  </si>
  <si>
    <t>=StartDate-$M2877+1</t>
  </si>
  <si>
    <t>=SUM(P2877:T2877)</t>
  </si>
  <si>
    <t>=IF($M2877&gt;=$P$18,U2877,0)</t>
  </si>
  <si>
    <t>=IF(AND($M2877&gt;=$Q$16,$M2877&lt;=$Q$18),U2877,0)</t>
  </si>
  <si>
    <t>=IF(AND($M2877&gt;=$R$16,$M2877&lt;=$R$18),U2877,0)</t>
  </si>
  <si>
    <t>=IF(AND($M2877&gt;=$S$16,$M2877&lt;=$S$18),U2877,0)</t>
  </si>
  <si>
    <t>=IF($M2877&lt;=$T$18,U2877,0)</t>
  </si>
  <si>
    <t>="""NAV Direct"",""CRONUS JetCorp USA"",""21"",""1"",""305756"""</t>
  </si>
  <si>
    <t>=E2876</t>
  </si>
  <si>
    <t>=StartDate-$M2878+1</t>
  </si>
  <si>
    <t>=SUM(P2878:T2878)</t>
  </si>
  <si>
    <t>=IF($M2878&gt;=$P$18,U2878,0)</t>
  </si>
  <si>
    <t>=IF(AND($M2878&gt;=$Q$16,$M2878&lt;=$Q$18),U2878,0)</t>
  </si>
  <si>
    <t>=IF(AND($M2878&gt;=$R$16,$M2878&lt;=$R$18),U2878,0)</t>
  </si>
  <si>
    <t>=IF(AND($M2878&gt;=$S$16,$M2878&lt;=$S$18),U2878,0)</t>
  </si>
  <si>
    <t>=IF($M2878&lt;=$T$18,U2878,0)</t>
  </si>
  <si>
    <t>="""NAV Direct"",""CRONUS JetCorp USA"",""21"",""1"",""305885"""</t>
  </si>
  <si>
    <t>=E2877</t>
  </si>
  <si>
    <t>=StartDate-$M2879+1</t>
  </si>
  <si>
    <t>=SUM(P2879:T2879)</t>
  </si>
  <si>
    <t>=IF($M2879&gt;=$P$18,U2879,0)</t>
  </si>
  <si>
    <t>=IF(AND($M2879&gt;=$Q$16,$M2879&lt;=$Q$18),U2879,0)</t>
  </si>
  <si>
    <t>=IF(AND($M2879&gt;=$R$16,$M2879&lt;=$R$18),U2879,0)</t>
  </si>
  <si>
    <t>=IF(AND($M2879&gt;=$S$16,$M2879&lt;=$S$18),U2879,0)</t>
  </si>
  <si>
    <t>=IF($M2879&lt;=$T$18,U2879,0)</t>
  </si>
  <si>
    <t>="""NAV Direct"",""CRONUS JetCorp USA"",""21"",""1"",""306022"""</t>
  </si>
  <si>
    <t>=E2878</t>
  </si>
  <si>
    <t>=StartDate-$M2880+1</t>
  </si>
  <si>
    <t>=SUM(P2880:T2880)</t>
  </si>
  <si>
    <t>=IF($M2880&gt;=$P$18,U2880,0)</t>
  </si>
  <si>
    <t>=IF(AND($M2880&gt;=$Q$16,$M2880&lt;=$Q$18),U2880,0)</t>
  </si>
  <si>
    <t>=IF(AND($M2880&gt;=$R$16,$M2880&lt;=$R$18),U2880,0)</t>
  </si>
  <si>
    <t>=IF(AND($M2880&gt;=$S$16,$M2880&lt;=$S$18),U2880,0)</t>
  </si>
  <si>
    <t>=IF($M2880&lt;=$T$18,U2880,0)</t>
  </si>
  <si>
    <t>="""NAV Direct"",""CRONUS JetCorp USA"",""21"",""1"",""306078"""</t>
  </si>
  <si>
    <t>=E2879</t>
  </si>
  <si>
    <t>=StartDate-$M2881+1</t>
  </si>
  <si>
    <t>=SUM(P2881:T2881)</t>
  </si>
  <si>
    <t>=IF($M2881&gt;=$P$18,U2881,0)</t>
  </si>
  <si>
    <t>=IF(AND($M2881&gt;=$Q$16,$M2881&lt;=$Q$18),U2881,0)</t>
  </si>
  <si>
    <t>=IF(AND($M2881&gt;=$R$16,$M2881&lt;=$R$18),U2881,0)</t>
  </si>
  <si>
    <t>=IF(AND($M2881&gt;=$S$16,$M2881&lt;=$S$18),U2881,0)</t>
  </si>
  <si>
    <t>=IF($M2881&lt;=$T$18,U2881,0)</t>
  </si>
  <si>
    <t>="""NAV Direct"",""CRONUS JetCorp USA"",""21"",""1"",""306168"""</t>
  </si>
  <si>
    <t>=E2880</t>
  </si>
  <si>
    <t>=StartDate-$M2882+1</t>
  </si>
  <si>
    <t>=SUM(P2882:T2882)</t>
  </si>
  <si>
    <t>=IF($M2882&gt;=$P$18,U2882,0)</t>
  </si>
  <si>
    <t>=IF(AND($M2882&gt;=$Q$16,$M2882&lt;=$Q$18),U2882,0)</t>
  </si>
  <si>
    <t>=IF(AND($M2882&gt;=$R$16,$M2882&lt;=$R$18),U2882,0)</t>
  </si>
  <si>
    <t>=IF(AND($M2882&gt;=$S$16,$M2882&lt;=$S$18),U2882,0)</t>
  </si>
  <si>
    <t>=IF($M2882&lt;=$T$18,U2882,0)</t>
  </si>
  <si>
    <t>="""NAV Direct"",""CRONUS JetCorp USA"",""21"",""1"",""306329"""</t>
  </si>
  <si>
    <t>=E2881</t>
  </si>
  <si>
    <t>=StartDate-$M2883+1</t>
  </si>
  <si>
    <t>=SUM(P2883:T2883)</t>
  </si>
  <si>
    <t>=IF($M2883&gt;=$P$18,U2883,0)</t>
  </si>
  <si>
    <t>=IF(AND($M2883&gt;=$Q$16,$M2883&lt;=$Q$18),U2883,0)</t>
  </si>
  <si>
    <t>=IF(AND($M2883&gt;=$R$16,$M2883&lt;=$R$18),U2883,0)</t>
  </si>
  <si>
    <t>=IF(AND($M2883&gt;=$S$16,$M2883&lt;=$S$18),U2883,0)</t>
  </si>
  <si>
    <t>=IF($M2883&lt;=$T$18,U2883,0)</t>
  </si>
  <si>
    <t>="""NAV Direct"",""CRONUS JetCorp USA"",""21"",""1"",""306381"""</t>
  </si>
  <si>
    <t>=E2882</t>
  </si>
  <si>
    <t>=StartDate-$M2884+1</t>
  </si>
  <si>
    <t>=SUM(P2884:T2884)</t>
  </si>
  <si>
    <t>=IF($M2884&gt;=$P$18,U2884,0)</t>
  </si>
  <si>
    <t>=IF(AND($M2884&gt;=$Q$16,$M2884&lt;=$Q$18),U2884,0)</t>
  </si>
  <si>
    <t>=IF(AND($M2884&gt;=$R$16,$M2884&lt;=$R$18),U2884,0)</t>
  </si>
  <si>
    <t>=IF(AND($M2884&gt;=$S$16,$M2884&lt;=$S$18),U2884,0)</t>
  </si>
  <si>
    <t>=IF($M2884&lt;=$T$18,U2884,0)</t>
  </si>
  <si>
    <t>="""NAV Direct"",""CRONUS JetCorp USA"",""21"",""1"",""306464"""</t>
  </si>
  <si>
    <t>=E2883</t>
  </si>
  <si>
    <t>=StartDate-$M2885+1</t>
  </si>
  <si>
    <t>=SUM(P2885:T2885)</t>
  </si>
  <si>
    <t>=IF($M2885&gt;=$P$18,U2885,0)</t>
  </si>
  <si>
    <t>=IF(AND($M2885&gt;=$Q$16,$M2885&lt;=$Q$18),U2885,0)</t>
  </si>
  <si>
    <t>=IF(AND($M2885&gt;=$R$16,$M2885&lt;=$R$18),U2885,0)</t>
  </si>
  <si>
    <t>=IF(AND($M2885&gt;=$S$16,$M2885&lt;=$S$18),U2885,0)</t>
  </si>
  <si>
    <t>=IF($M2885&lt;=$T$18,U2885,0)</t>
  </si>
  <si>
    <t>="""NAV Direct"",""CRONUS JetCorp USA"",""21"",""1"",""306618"""</t>
  </si>
  <si>
    <t>=E2884</t>
  </si>
  <si>
    <t>=StartDate-$M2886+1</t>
  </si>
  <si>
    <t>=SUM(P2886:T2886)</t>
  </si>
  <si>
    <t>=IF($M2886&gt;=$P$18,U2886,0)</t>
  </si>
  <si>
    <t>=IF(AND($M2886&gt;=$Q$16,$M2886&lt;=$Q$18),U2886,0)</t>
  </si>
  <si>
    <t>=IF(AND($M2886&gt;=$R$16,$M2886&lt;=$R$18),U2886,0)</t>
  </si>
  <si>
    <t>=IF(AND($M2886&gt;=$S$16,$M2886&lt;=$S$18),U2886,0)</t>
  </si>
  <si>
    <t>=IF($M2886&lt;=$T$18,U2886,0)</t>
  </si>
  <si>
    <t>="""NAV Direct"",""CRONUS JetCorp USA"",""21"",""1"",""306797"""</t>
  </si>
  <si>
    <t>=E2885</t>
  </si>
  <si>
    <t>=StartDate-$M2887+1</t>
  </si>
  <si>
    <t>=SUM(P2887:T2887)</t>
  </si>
  <si>
    <t>=IF($M2887&gt;=$P$18,U2887,0)</t>
  </si>
  <si>
    <t>=IF(AND($M2887&gt;=$Q$16,$M2887&lt;=$Q$18),U2887,0)</t>
  </si>
  <si>
    <t>=IF(AND($M2887&gt;=$R$16,$M2887&lt;=$R$18),U2887,0)</t>
  </si>
  <si>
    <t>=IF(AND($M2887&gt;=$S$16,$M2887&lt;=$S$18),U2887,0)</t>
  </si>
  <si>
    <t>=IF($M2887&lt;=$T$18,U2887,0)</t>
  </si>
  <si>
    <t>="""NAV Direct"",""CRONUS JetCorp USA"",""21"",""1"",""306845"""</t>
  </si>
  <si>
    <t>=E2886</t>
  </si>
  <si>
    <t>=StartDate-$M2888+1</t>
  </si>
  <si>
    <t>=SUM(P2888:T2888)</t>
  </si>
  <si>
    <t>=IF($M2888&gt;=$P$18,U2888,0)</t>
  </si>
  <si>
    <t>=IF(AND($M2888&gt;=$Q$16,$M2888&lt;=$Q$18),U2888,0)</t>
  </si>
  <si>
    <t>=IF(AND($M2888&gt;=$R$16,$M2888&lt;=$R$18),U2888,0)</t>
  </si>
  <si>
    <t>=IF(AND($M2888&gt;=$S$16,$M2888&lt;=$S$18),U2888,0)</t>
  </si>
  <si>
    <t>=IF($M2888&lt;=$T$18,U2888,0)</t>
  </si>
  <si>
    <t>="""NAV Direct"",""CRONUS JetCorp USA"",""21"",""1"",""306872"""</t>
  </si>
  <si>
    <t>=E2887</t>
  </si>
  <si>
    <t>=StartDate-$M2889+1</t>
  </si>
  <si>
    <t>=SUM(P2889:T2889)</t>
  </si>
  <si>
    <t>=IF($M2889&gt;=$P$18,U2889,0)</t>
  </si>
  <si>
    <t>=IF(AND($M2889&gt;=$Q$16,$M2889&lt;=$Q$18),U2889,0)</t>
  </si>
  <si>
    <t>=IF(AND($M2889&gt;=$R$16,$M2889&lt;=$R$18),U2889,0)</t>
  </si>
  <si>
    <t>=IF(AND($M2889&gt;=$S$16,$M2889&lt;=$S$18),U2889,0)</t>
  </si>
  <si>
    <t>=IF($M2889&lt;=$T$18,U2889,0)</t>
  </si>
  <si>
    <t>="""NAV Direct"",""CRONUS JetCorp USA"",""21"",""1"",""307289"""</t>
  </si>
  <si>
    <t>=E2888</t>
  </si>
  <si>
    <t>=StartDate-$M2890+1</t>
  </si>
  <si>
    <t>=SUM(P2890:T2890)</t>
  </si>
  <si>
    <t>=IF($M2890&gt;=$P$18,U2890,0)</t>
  </si>
  <si>
    <t>=IF(AND($M2890&gt;=$Q$16,$M2890&lt;=$Q$18),U2890,0)</t>
  </si>
  <si>
    <t>=IF(AND($M2890&gt;=$R$16,$M2890&lt;=$R$18),U2890,0)</t>
  </si>
  <si>
    <t>=IF(AND($M2890&gt;=$S$16,$M2890&lt;=$S$18),U2890,0)</t>
  </si>
  <si>
    <t>=IF($M2890&lt;=$T$18,U2890,0)</t>
  </si>
  <si>
    <t>="""NAV Direct"",""CRONUS JetCorp USA"",""21"",""1"",""307381"""</t>
  </si>
  <si>
    <t>=E2889</t>
  </si>
  <si>
    <t>=StartDate-$M2891+1</t>
  </si>
  <si>
    <t>=SUM(P2891:T2891)</t>
  </si>
  <si>
    <t>=IF($M2891&gt;=$P$18,U2891,0)</t>
  </si>
  <si>
    <t>=IF(AND($M2891&gt;=$Q$16,$M2891&lt;=$Q$18),U2891,0)</t>
  </si>
  <si>
    <t>=IF(AND($M2891&gt;=$R$16,$M2891&lt;=$R$18),U2891,0)</t>
  </si>
  <si>
    <t>=IF(AND($M2891&gt;=$S$16,$M2891&lt;=$S$18),U2891,0)</t>
  </si>
  <si>
    <t>=IF($M2891&lt;=$T$18,U2891,0)</t>
  </si>
  <si>
    <t>="""NAV Direct"",""CRONUS JetCorp USA"",""21"",""1"",""307408"""</t>
  </si>
  <si>
    <t>=E2890</t>
  </si>
  <si>
    <t>=StartDate-$M2892+1</t>
  </si>
  <si>
    <t>=SUM(P2892:T2892)</t>
  </si>
  <si>
    <t>=IF($M2892&gt;=$P$18,U2892,0)</t>
  </si>
  <si>
    <t>=IF(AND($M2892&gt;=$Q$16,$M2892&lt;=$Q$18),U2892,0)</t>
  </si>
  <si>
    <t>=IF(AND($M2892&gt;=$R$16,$M2892&lt;=$R$18),U2892,0)</t>
  </si>
  <si>
    <t>=IF(AND($M2892&gt;=$S$16,$M2892&lt;=$S$18),U2892,0)</t>
  </si>
  <si>
    <t>=IF($M2892&lt;=$T$18,U2892,0)</t>
  </si>
  <si>
    <t>="""NAV Direct"",""CRONUS JetCorp USA"",""21"",""1"",""307585"""</t>
  </si>
  <si>
    <t>=E2891</t>
  </si>
  <si>
    <t>=StartDate-$M2893+1</t>
  </si>
  <si>
    <t>=SUM(P2893:T2893)</t>
  </si>
  <si>
    <t>=IF($M2893&gt;=$P$18,U2893,0)</t>
  </si>
  <si>
    <t>=IF(AND($M2893&gt;=$Q$16,$M2893&lt;=$Q$18),U2893,0)</t>
  </si>
  <si>
    <t>=IF(AND($M2893&gt;=$R$16,$M2893&lt;=$R$18),U2893,0)</t>
  </si>
  <si>
    <t>=IF(AND($M2893&gt;=$S$16,$M2893&lt;=$S$18),U2893,0)</t>
  </si>
  <si>
    <t>=IF($M2893&lt;=$T$18,U2893,0)</t>
  </si>
  <si>
    <t>="""NAV Direct"",""CRONUS JetCorp USA"",""21"",""1"",""307639"""</t>
  </si>
  <si>
    <t>=E2892</t>
  </si>
  <si>
    <t>=StartDate-$M2894+1</t>
  </si>
  <si>
    <t>=SUM(P2894:T2894)</t>
  </si>
  <si>
    <t>=IF($M2894&gt;=$P$18,U2894,0)</t>
  </si>
  <si>
    <t>=IF(AND($M2894&gt;=$Q$16,$M2894&lt;=$Q$18),U2894,0)</t>
  </si>
  <si>
    <t>=IF(AND($M2894&gt;=$R$16,$M2894&lt;=$R$18),U2894,0)</t>
  </si>
  <si>
    <t>=IF(AND($M2894&gt;=$S$16,$M2894&lt;=$S$18),U2894,0)</t>
  </si>
  <si>
    <t>=IF($M2894&lt;=$T$18,U2894,0)</t>
  </si>
  <si>
    <t>="""NAV Direct"",""CRONUS JetCorp USA"",""21"",""1"",""307816"""</t>
  </si>
  <si>
    <t>=E2893</t>
  </si>
  <si>
    <t>=StartDate-$M2895+1</t>
  </si>
  <si>
    <t>=SUM(P2895:T2895)</t>
  </si>
  <si>
    <t>=IF($M2895&gt;=$P$18,U2895,0)</t>
  </si>
  <si>
    <t>=IF(AND($M2895&gt;=$Q$16,$M2895&lt;=$Q$18),U2895,0)</t>
  </si>
  <si>
    <t>=IF(AND($M2895&gt;=$R$16,$M2895&lt;=$R$18),U2895,0)</t>
  </si>
  <si>
    <t>=IF(AND($M2895&gt;=$S$16,$M2895&lt;=$S$18),U2895,0)</t>
  </si>
  <si>
    <t>=IF($M2895&lt;=$T$18,U2895,0)</t>
  </si>
  <si>
    <t>="""NAV Direct"",""CRONUS JetCorp USA"",""21"",""1"",""307862"""</t>
  </si>
  <si>
    <t>=E2894</t>
  </si>
  <si>
    <t>=StartDate-$M2896+1</t>
  </si>
  <si>
    <t>=SUM(P2896:T2896)</t>
  </si>
  <si>
    <t>=IF($M2896&gt;=$P$18,U2896,0)</t>
  </si>
  <si>
    <t>=IF(AND($M2896&gt;=$Q$16,$M2896&lt;=$Q$18),U2896,0)</t>
  </si>
  <si>
    <t>=IF(AND($M2896&gt;=$R$16,$M2896&lt;=$R$18),U2896,0)</t>
  </si>
  <si>
    <t>=IF(AND($M2896&gt;=$S$16,$M2896&lt;=$S$18),U2896,0)</t>
  </si>
  <si>
    <t>=IF($M2896&lt;=$T$18,U2896,0)</t>
  </si>
  <si>
    <t>="""NAV Direct"",""CRONUS JetCorp USA"",""21"",""1"",""307922"""</t>
  </si>
  <si>
    <t>=E2895</t>
  </si>
  <si>
    <t>=StartDate-$M2897+1</t>
  </si>
  <si>
    <t>=SUM(P2897:T2897)</t>
  </si>
  <si>
    <t>=IF($M2897&gt;=$P$18,U2897,0)</t>
  </si>
  <si>
    <t>=IF(AND($M2897&gt;=$Q$16,$M2897&lt;=$Q$18),U2897,0)</t>
  </si>
  <si>
    <t>=IF(AND($M2897&gt;=$R$16,$M2897&lt;=$R$18),U2897,0)</t>
  </si>
  <si>
    <t>=IF(AND($M2897&gt;=$S$16,$M2897&lt;=$S$18),U2897,0)</t>
  </si>
  <si>
    <t>=IF($M2897&lt;=$T$18,U2897,0)</t>
  </si>
  <si>
    <t>="""NAV Direct"",""CRONUS JetCorp USA"",""21"",""1"",""308588"""</t>
  </si>
  <si>
    <t>=E2896</t>
  </si>
  <si>
    <t>=StartDate-$M2898+1</t>
  </si>
  <si>
    <t>=SUM(P2898:T2898)</t>
  </si>
  <si>
    <t>=IF($M2898&gt;=$P$18,U2898,0)</t>
  </si>
  <si>
    <t>=IF(AND($M2898&gt;=$Q$16,$M2898&lt;=$Q$18),U2898,0)</t>
  </si>
  <si>
    <t>=IF(AND($M2898&gt;=$R$16,$M2898&lt;=$R$18),U2898,0)</t>
  </si>
  <si>
    <t>=IF(AND($M2898&gt;=$S$16,$M2898&lt;=$S$18),U2898,0)</t>
  </si>
  <si>
    <t>=IF($M2898&lt;=$T$18,U2898,0)</t>
  </si>
  <si>
    <t>="""NAV Direct"",""CRONUS JetCorp USA"",""21"",""1"",""308810"""</t>
  </si>
  <si>
    <t>=E2897</t>
  </si>
  <si>
    <t>=StartDate-$M2899+1</t>
  </si>
  <si>
    <t>=SUM(P2899:T2899)</t>
  </si>
  <si>
    <t>=IF($M2899&gt;=$P$18,U2899,0)</t>
  </si>
  <si>
    <t>=IF(AND($M2899&gt;=$Q$16,$M2899&lt;=$Q$18),U2899,0)</t>
  </si>
  <si>
    <t>=IF(AND($M2899&gt;=$R$16,$M2899&lt;=$R$18),U2899,0)</t>
  </si>
  <si>
    <t>=IF(AND($M2899&gt;=$S$16,$M2899&lt;=$S$18),U2899,0)</t>
  </si>
  <si>
    <t>=IF($M2899&lt;=$T$18,U2899,0)</t>
  </si>
  <si>
    <t>="""NAV Direct"",""CRONUS JetCorp USA"",""21"",""1"",""308837"""</t>
  </si>
  <si>
    <t>=E2898</t>
  </si>
  <si>
    <t>=StartDate-$M2900+1</t>
  </si>
  <si>
    <t>=SUM(P2900:T2900)</t>
  </si>
  <si>
    <t>=IF($M2900&gt;=$P$18,U2900,0)</t>
  </si>
  <si>
    <t>=IF(AND($M2900&gt;=$Q$16,$M2900&lt;=$Q$18),U2900,0)</t>
  </si>
  <si>
    <t>=IF(AND($M2900&gt;=$R$16,$M2900&lt;=$R$18),U2900,0)</t>
  </si>
  <si>
    <t>=IF(AND($M2900&gt;=$S$16,$M2900&lt;=$S$18),U2900,0)</t>
  </si>
  <si>
    <t>=IF($M2900&lt;=$T$18,U2900,0)</t>
  </si>
  <si>
    <t>="""NAV Direct"",""CRONUS JetCorp USA"",""21"",""1"",""308964"""</t>
  </si>
  <si>
    <t>=E2899</t>
  </si>
  <si>
    <t>=StartDate-$M2901+1</t>
  </si>
  <si>
    <t>=SUM(P2901:T2901)</t>
  </si>
  <si>
    <t>=IF($M2901&gt;=$P$18,U2901,0)</t>
  </si>
  <si>
    <t>=IF(AND($M2901&gt;=$Q$16,$M2901&lt;=$Q$18),U2901,0)</t>
  </si>
  <si>
    <t>=IF(AND($M2901&gt;=$R$16,$M2901&lt;=$R$18),U2901,0)</t>
  </si>
  <si>
    <t>=IF(AND($M2901&gt;=$S$16,$M2901&lt;=$S$18),U2901,0)</t>
  </si>
  <si>
    <t>=IF($M2901&lt;=$T$18,U2901,0)</t>
  </si>
  <si>
    <t>="""NAV Direct"",""CRONUS JetCorp USA"",""21"",""1"",""309643"""</t>
  </si>
  <si>
    <t>=E2900</t>
  </si>
  <si>
    <t>=StartDate-$M2902+1</t>
  </si>
  <si>
    <t>=SUM(P2902:T2902)</t>
  </si>
  <si>
    <t>=IF($M2902&gt;=$P$18,U2902,0)</t>
  </si>
  <si>
    <t>=IF(AND($M2902&gt;=$Q$16,$M2902&lt;=$Q$18),U2902,0)</t>
  </si>
  <si>
    <t>=IF(AND($M2902&gt;=$R$16,$M2902&lt;=$R$18),U2902,0)</t>
  </si>
  <si>
    <t>=IF(AND($M2902&gt;=$S$16,$M2902&lt;=$S$18),U2902,0)</t>
  </si>
  <si>
    <t>=IF($M2902&lt;=$T$18,U2902,0)</t>
  </si>
  <si>
    <t>="""NAV Direct"",""CRONUS JetCorp USA"",""21"",""1"",""309826"""</t>
  </si>
  <si>
    <t>=E2901</t>
  </si>
  <si>
    <t>=StartDate-$M2903+1</t>
  </si>
  <si>
    <t>=SUM(P2903:T2903)</t>
  </si>
  <si>
    <t>=IF($M2903&gt;=$P$18,U2903,0)</t>
  </si>
  <si>
    <t>=IF(AND($M2903&gt;=$Q$16,$M2903&lt;=$Q$18),U2903,0)</t>
  </si>
  <si>
    <t>=IF(AND($M2903&gt;=$R$16,$M2903&lt;=$R$18),U2903,0)</t>
  </si>
  <si>
    <t>=IF(AND($M2903&gt;=$S$16,$M2903&lt;=$S$18),U2903,0)</t>
  </si>
  <si>
    <t>=IF($M2903&lt;=$T$18,U2903,0)</t>
  </si>
  <si>
    <t>="""NAV Direct"",""CRONUS JetCorp USA"",""21"",""1"",""309901"""</t>
  </si>
  <si>
    <t>=E2902</t>
  </si>
  <si>
    <t>=StartDate-$M2904+1</t>
  </si>
  <si>
    <t>=SUM(P2904:T2904)</t>
  </si>
  <si>
    <t>=IF($M2904&gt;=$P$18,U2904,0)</t>
  </si>
  <si>
    <t>=IF(AND($M2904&gt;=$Q$16,$M2904&lt;=$Q$18),U2904,0)</t>
  </si>
  <si>
    <t>=IF(AND($M2904&gt;=$R$16,$M2904&lt;=$R$18),U2904,0)</t>
  </si>
  <si>
    <t>=IF(AND($M2904&gt;=$S$16,$M2904&lt;=$S$18),U2904,0)</t>
  </si>
  <si>
    <t>=IF($M2904&lt;=$T$18,U2904,0)</t>
  </si>
  <si>
    <t>="""NAV Direct"",""CRONUS JetCorp USA"",""21"",""1"",""309974"""</t>
  </si>
  <si>
    <t>=E2903</t>
  </si>
  <si>
    <t>=StartDate-$M2905+1</t>
  </si>
  <si>
    <t>=SUM(P2905:T2905)</t>
  </si>
  <si>
    <t>=IF($M2905&gt;=$P$18,U2905,0)</t>
  </si>
  <si>
    <t>=IF(AND($M2905&gt;=$Q$16,$M2905&lt;=$Q$18),U2905,0)</t>
  </si>
  <si>
    <t>=IF(AND($M2905&gt;=$R$16,$M2905&lt;=$R$18),U2905,0)</t>
  </si>
  <si>
    <t>=IF(AND($M2905&gt;=$S$16,$M2905&lt;=$S$18),U2905,0)</t>
  </si>
  <si>
    <t>=IF($M2905&lt;=$T$18,U2905,0)</t>
  </si>
  <si>
    <t>="""NAV Direct"",""CRONUS JetCorp USA"",""21"",""1"",""310070"""</t>
  </si>
  <si>
    <t>=E2904</t>
  </si>
  <si>
    <t>=StartDate-$M2906+1</t>
  </si>
  <si>
    <t>=SUM(P2906:T2906)</t>
  </si>
  <si>
    <t>=IF($M2906&gt;=$P$18,U2906,0)</t>
  </si>
  <si>
    <t>=IF(AND($M2906&gt;=$Q$16,$M2906&lt;=$Q$18),U2906,0)</t>
  </si>
  <si>
    <t>=IF(AND($M2906&gt;=$R$16,$M2906&lt;=$R$18),U2906,0)</t>
  </si>
  <si>
    <t>=IF(AND($M2906&gt;=$S$16,$M2906&lt;=$S$18),U2906,0)</t>
  </si>
  <si>
    <t>=IF($M2906&lt;=$T$18,U2906,0)</t>
  </si>
  <si>
    <t>="""NAV Direct"",""CRONUS JetCorp USA"",""21"",""1"",""310099"""</t>
  </si>
  <si>
    <t>=E2905</t>
  </si>
  <si>
    <t>=StartDate-$M2907+1</t>
  </si>
  <si>
    <t>=SUM(P2907:T2907)</t>
  </si>
  <si>
    <t>=IF($M2907&gt;=$P$18,U2907,0)</t>
  </si>
  <si>
    <t>=IF(AND($M2907&gt;=$Q$16,$M2907&lt;=$Q$18),U2907,0)</t>
  </si>
  <si>
    <t>=IF(AND($M2907&gt;=$R$16,$M2907&lt;=$R$18),U2907,0)</t>
  </si>
  <si>
    <t>=IF(AND($M2907&gt;=$S$16,$M2907&lt;=$S$18),U2907,0)</t>
  </si>
  <si>
    <t>=IF($M2907&lt;=$T$18,U2907,0)</t>
  </si>
  <si>
    <t>="""NAV Direct"",""CRONUS JetCorp USA"",""21"",""1"",""310232"""</t>
  </si>
  <si>
    <t>=E2906</t>
  </si>
  <si>
    <t>=StartDate-$M2908+1</t>
  </si>
  <si>
    <t>=SUM(P2908:T2908)</t>
  </si>
  <si>
    <t>=IF($M2908&gt;=$P$18,U2908,0)</t>
  </si>
  <si>
    <t>=IF(AND($M2908&gt;=$Q$16,$M2908&lt;=$Q$18),U2908,0)</t>
  </si>
  <si>
    <t>=IF(AND($M2908&gt;=$R$16,$M2908&lt;=$R$18),U2908,0)</t>
  </si>
  <si>
    <t>=IF(AND($M2908&gt;=$S$16,$M2908&lt;=$S$18),U2908,0)</t>
  </si>
  <si>
    <t>=IF($M2908&lt;=$T$18,U2908,0)</t>
  </si>
  <si>
    <t>="""NAV Direct"",""CRONUS JetCorp USA"",""21"",""1"",""310340"""</t>
  </si>
  <si>
    <t>=E2907</t>
  </si>
  <si>
    <t>=StartDate-$M2909+1</t>
  </si>
  <si>
    <t>=SUM(P2909:T2909)</t>
  </si>
  <si>
    <t>=IF($M2909&gt;=$P$18,U2909,0)</t>
  </si>
  <si>
    <t>=IF(AND($M2909&gt;=$Q$16,$M2909&lt;=$Q$18),U2909,0)</t>
  </si>
  <si>
    <t>=IF(AND($M2909&gt;=$R$16,$M2909&lt;=$R$18),U2909,0)</t>
  </si>
  <si>
    <t>=IF(AND($M2909&gt;=$S$16,$M2909&lt;=$S$18),U2909,0)</t>
  </si>
  <si>
    <t>=IF($M2909&lt;=$T$18,U2909,0)</t>
  </si>
  <si>
    <t>="""NAV Direct"",""CRONUS JetCorp USA"",""21"",""1"",""310737"""</t>
  </si>
  <si>
    <t>=E2908</t>
  </si>
  <si>
    <t>=StartDate-$M2910+1</t>
  </si>
  <si>
    <t>=SUM(P2910:T2910)</t>
  </si>
  <si>
    <t>=IF($M2910&gt;=$P$18,U2910,0)</t>
  </si>
  <si>
    <t>=IF(AND($M2910&gt;=$Q$16,$M2910&lt;=$Q$18),U2910,0)</t>
  </si>
  <si>
    <t>=IF(AND($M2910&gt;=$R$16,$M2910&lt;=$R$18),U2910,0)</t>
  </si>
  <si>
    <t>=IF(AND($M2910&gt;=$S$16,$M2910&lt;=$S$18),U2910,0)</t>
  </si>
  <si>
    <t>=IF($M2910&lt;=$T$18,U2910,0)</t>
  </si>
  <si>
    <t>="""NAV Direct"",""CRONUS JetCorp USA"",""21"",""1"",""310886"""</t>
  </si>
  <si>
    <t>=E2909</t>
  </si>
  <si>
    <t>=StartDate-$M2911+1</t>
  </si>
  <si>
    <t>=SUM(P2911:T2911)</t>
  </si>
  <si>
    <t>=IF($M2911&gt;=$P$18,U2911,0)</t>
  </si>
  <si>
    <t>=IF(AND($M2911&gt;=$Q$16,$M2911&lt;=$Q$18),U2911,0)</t>
  </si>
  <si>
    <t>=IF(AND($M2911&gt;=$R$16,$M2911&lt;=$R$18),U2911,0)</t>
  </si>
  <si>
    <t>=IF(AND($M2911&gt;=$S$16,$M2911&lt;=$S$18),U2911,0)</t>
  </si>
  <si>
    <t>=IF($M2911&lt;=$T$18,U2911,0)</t>
  </si>
  <si>
    <t>="""NAV Direct"",""CRONUS JetCorp USA"",""21"",""1"",""311077"""</t>
  </si>
  <si>
    <t>=E2910</t>
  </si>
  <si>
    <t>=StartDate-$M2912+1</t>
  </si>
  <si>
    <t>=SUM(P2912:T2912)</t>
  </si>
  <si>
    <t>=IF($M2912&gt;=$P$18,U2912,0)</t>
  </si>
  <si>
    <t>=IF(AND($M2912&gt;=$Q$16,$M2912&lt;=$Q$18),U2912,0)</t>
  </si>
  <si>
    <t>=IF(AND($M2912&gt;=$R$16,$M2912&lt;=$R$18),U2912,0)</t>
  </si>
  <si>
    <t>=IF(AND($M2912&gt;=$S$16,$M2912&lt;=$S$18),U2912,0)</t>
  </si>
  <si>
    <t>=IF($M2912&lt;=$T$18,U2912,0)</t>
  </si>
  <si>
    <t>="""NAV Direct"",""CRONUS JetCorp USA"",""21"",""1"",""311376"""</t>
  </si>
  <si>
    <t>=E2911</t>
  </si>
  <si>
    <t>=StartDate-$M2913+1</t>
  </si>
  <si>
    <t>=SUM(P2913:T2913)</t>
  </si>
  <si>
    <t>=IF($M2913&gt;=$P$18,U2913,0)</t>
  </si>
  <si>
    <t>=IF(AND($M2913&gt;=$Q$16,$M2913&lt;=$Q$18),U2913,0)</t>
  </si>
  <si>
    <t>=IF(AND($M2913&gt;=$R$16,$M2913&lt;=$R$18),U2913,0)</t>
  </si>
  <si>
    <t>=IF(AND($M2913&gt;=$S$16,$M2913&lt;=$S$18),U2913,0)</t>
  </si>
  <si>
    <t>=IF($M2913&lt;=$T$18,U2913,0)</t>
  </si>
  <si>
    <t>="""NAV Direct"",""CRONUS JetCorp USA"",""21"",""1"",""311395"""</t>
  </si>
  <si>
    <t>=E2912</t>
  </si>
  <si>
    <t>=StartDate-$M2914+1</t>
  </si>
  <si>
    <t>=SUM(P2914:T2914)</t>
  </si>
  <si>
    <t>=IF($M2914&gt;=$P$18,U2914,0)</t>
  </si>
  <si>
    <t>=IF(AND($M2914&gt;=$Q$16,$M2914&lt;=$Q$18),U2914,0)</t>
  </si>
  <si>
    <t>=IF(AND($M2914&gt;=$R$16,$M2914&lt;=$R$18),U2914,0)</t>
  </si>
  <si>
    <t>=IF(AND($M2914&gt;=$S$16,$M2914&lt;=$S$18),U2914,0)</t>
  </si>
  <si>
    <t>=IF($M2914&lt;=$T$18,U2914,0)</t>
  </si>
  <si>
    <t>="""NAV Direct"",""CRONUS JetCorp USA"",""21"",""1"",""311507"""</t>
  </si>
  <si>
    <t>=E2913</t>
  </si>
  <si>
    <t>=StartDate-$M2915+1</t>
  </si>
  <si>
    <t>=SUM(P2915:T2915)</t>
  </si>
  <si>
    <t>=IF($M2915&gt;=$P$18,U2915,0)</t>
  </si>
  <si>
    <t>=IF(AND($M2915&gt;=$Q$16,$M2915&lt;=$Q$18),U2915,0)</t>
  </si>
  <si>
    <t>=IF(AND($M2915&gt;=$R$16,$M2915&lt;=$R$18),U2915,0)</t>
  </si>
  <si>
    <t>=IF(AND($M2915&gt;=$S$16,$M2915&lt;=$S$18),U2915,0)</t>
  </si>
  <si>
    <t>=IF($M2915&lt;=$T$18,U2915,0)</t>
  </si>
  <si>
    <t>="""NAV Direct"",""CRONUS JetCorp USA"",""21"",""1"",""311571"""</t>
  </si>
  <si>
    <t>=E2914</t>
  </si>
  <si>
    <t>=StartDate-$M2916+1</t>
  </si>
  <si>
    <t>=SUM(P2916:T2916)</t>
  </si>
  <si>
    <t>=IF($M2916&gt;=$P$18,U2916,0)</t>
  </si>
  <si>
    <t>=IF(AND($M2916&gt;=$Q$16,$M2916&lt;=$Q$18),U2916,0)</t>
  </si>
  <si>
    <t>=IF(AND($M2916&gt;=$R$16,$M2916&lt;=$R$18),U2916,0)</t>
  </si>
  <si>
    <t>=IF(AND($M2916&gt;=$S$16,$M2916&lt;=$S$18),U2916,0)</t>
  </si>
  <si>
    <t>=IF($M2916&lt;=$T$18,U2916,0)</t>
  </si>
  <si>
    <t>="""NAV Direct"",""CRONUS JetCorp USA"",""21"",""1"",""311683"""</t>
  </si>
  <si>
    <t>=E2915</t>
  </si>
  <si>
    <t>=StartDate-$M2917+1</t>
  </si>
  <si>
    <t>=SUM(P2917:T2917)</t>
  </si>
  <si>
    <t>=IF($M2917&gt;=$P$18,U2917,0)</t>
  </si>
  <si>
    <t>=IF(AND($M2917&gt;=$Q$16,$M2917&lt;=$Q$18),U2917,0)</t>
  </si>
  <si>
    <t>=IF(AND($M2917&gt;=$R$16,$M2917&lt;=$R$18),U2917,0)</t>
  </si>
  <si>
    <t>=IF(AND($M2917&gt;=$S$16,$M2917&lt;=$S$18),U2917,0)</t>
  </si>
  <si>
    <t>=IF($M2917&lt;=$T$18,U2917,0)</t>
  </si>
  <si>
    <t>="""NAV Direct"",""CRONUS JetCorp USA"",""21"",""1"",""311855"""</t>
  </si>
  <si>
    <t>=E2916</t>
  </si>
  <si>
    <t>=StartDate-$M2918+1</t>
  </si>
  <si>
    <t>=SUM(P2918:T2918)</t>
  </si>
  <si>
    <t>=IF($M2918&gt;=$P$18,U2918,0)</t>
  </si>
  <si>
    <t>=IF(AND($M2918&gt;=$Q$16,$M2918&lt;=$Q$18),U2918,0)</t>
  </si>
  <si>
    <t>=IF(AND($M2918&gt;=$R$16,$M2918&lt;=$R$18),U2918,0)</t>
  </si>
  <si>
    <t>=IF(AND($M2918&gt;=$S$16,$M2918&lt;=$S$18),U2918,0)</t>
  </si>
  <si>
    <t>=IF($M2918&lt;=$T$18,U2918,0)</t>
  </si>
  <si>
    <t>="""NAV Direct"",""CRONUS JetCorp USA"",""21"",""1"",""311905"""</t>
  </si>
  <si>
    <t>=E2917</t>
  </si>
  <si>
    <t>=StartDate-$M2919+1</t>
  </si>
  <si>
    <t>=SUM(P2919:T2919)</t>
  </si>
  <si>
    <t>=IF($M2919&gt;=$P$18,U2919,0)</t>
  </si>
  <si>
    <t>=IF(AND($M2919&gt;=$Q$16,$M2919&lt;=$Q$18),U2919,0)</t>
  </si>
  <si>
    <t>=IF(AND($M2919&gt;=$R$16,$M2919&lt;=$R$18),U2919,0)</t>
  </si>
  <si>
    <t>=IF(AND($M2919&gt;=$S$16,$M2919&lt;=$S$18),U2919,0)</t>
  </si>
  <si>
    <t>=IF($M2919&lt;=$T$18,U2919,0)</t>
  </si>
  <si>
    <t>="""NAV Direct"",""CRONUS JetCorp USA"",""21"",""1"",""312057"""</t>
  </si>
  <si>
    <t>=E2918</t>
  </si>
  <si>
    <t>=StartDate-$M2920+1</t>
  </si>
  <si>
    <t>=SUM(P2920:T2920)</t>
  </si>
  <si>
    <t>=IF($M2920&gt;=$P$18,U2920,0)</t>
  </si>
  <si>
    <t>=IF(AND($M2920&gt;=$Q$16,$M2920&lt;=$Q$18),U2920,0)</t>
  </si>
  <si>
    <t>=IF(AND($M2920&gt;=$R$16,$M2920&lt;=$R$18),U2920,0)</t>
  </si>
  <si>
    <t>=IF(AND($M2920&gt;=$S$16,$M2920&lt;=$S$18),U2920,0)</t>
  </si>
  <si>
    <t>=IF($M2920&lt;=$T$18,U2920,0)</t>
  </si>
  <si>
    <t>="""NAV Direct"",""CRONUS JetCorp USA"",""21"",""1"",""312335"""</t>
  </si>
  <si>
    <t>=E2919</t>
  </si>
  <si>
    <t>=StartDate-$M2921+1</t>
  </si>
  <si>
    <t>=SUM(P2921:T2921)</t>
  </si>
  <si>
    <t>=IF($M2921&gt;=$P$18,U2921,0)</t>
  </si>
  <si>
    <t>=IF(AND($M2921&gt;=$Q$16,$M2921&lt;=$Q$18),U2921,0)</t>
  </si>
  <si>
    <t>=IF(AND($M2921&gt;=$R$16,$M2921&lt;=$R$18),U2921,0)</t>
  </si>
  <si>
    <t>=IF(AND($M2921&gt;=$S$16,$M2921&lt;=$S$18),U2921,0)</t>
  </si>
  <si>
    <t>=IF($M2921&lt;=$T$18,U2921,0)</t>
  </si>
  <si>
    <t>="""NAV Direct"",""CRONUS JetCorp USA"",""21"",""1"",""312461"""</t>
  </si>
  <si>
    <t>=E2920</t>
  </si>
  <si>
    <t>=StartDate-$M2922+1</t>
  </si>
  <si>
    <t>=SUM(P2922:T2922)</t>
  </si>
  <si>
    <t>=IF($M2922&gt;=$P$18,U2922,0)</t>
  </si>
  <si>
    <t>=IF(AND($M2922&gt;=$Q$16,$M2922&lt;=$Q$18),U2922,0)</t>
  </si>
  <si>
    <t>=IF(AND($M2922&gt;=$R$16,$M2922&lt;=$R$18),U2922,0)</t>
  </si>
  <si>
    <t>=IF(AND($M2922&gt;=$S$16,$M2922&lt;=$S$18),U2922,0)</t>
  </si>
  <si>
    <t>=IF($M2922&lt;=$T$18,U2922,0)</t>
  </si>
  <si>
    <t>="""NAV Direct"",""CRONUS JetCorp USA"",""21"",""1"",""312573"""</t>
  </si>
  <si>
    <t>=E2921</t>
  </si>
  <si>
    <t>=StartDate-$M2923+1</t>
  </si>
  <si>
    <t>=SUM(P2923:T2923)</t>
  </si>
  <si>
    <t>=IF($M2923&gt;=$P$18,U2923,0)</t>
  </si>
  <si>
    <t>=IF(AND($M2923&gt;=$Q$16,$M2923&lt;=$Q$18),U2923,0)</t>
  </si>
  <si>
    <t>=IF(AND($M2923&gt;=$R$16,$M2923&lt;=$R$18),U2923,0)</t>
  </si>
  <si>
    <t>=IF(AND($M2923&gt;=$S$16,$M2923&lt;=$S$18),U2923,0)</t>
  </si>
  <si>
    <t>=IF($M2923&lt;=$T$18,U2923,0)</t>
  </si>
  <si>
    <t>="""NAV Direct"",""CRONUS JetCorp USA"",""21"",""1"",""312685"""</t>
  </si>
  <si>
    <t>=E2922</t>
  </si>
  <si>
    <t>=StartDate-$M2924+1</t>
  </si>
  <si>
    <t>=SUM(P2924:T2924)</t>
  </si>
  <si>
    <t>=IF($M2924&gt;=$P$18,U2924,0)</t>
  </si>
  <si>
    <t>=IF(AND($M2924&gt;=$Q$16,$M2924&lt;=$Q$18),U2924,0)</t>
  </si>
  <si>
    <t>=IF(AND($M2924&gt;=$R$16,$M2924&lt;=$R$18),U2924,0)</t>
  </si>
  <si>
    <t>=IF(AND($M2924&gt;=$S$16,$M2924&lt;=$S$18),U2924,0)</t>
  </si>
  <si>
    <t>=IF($M2924&lt;=$T$18,U2924,0)</t>
  </si>
  <si>
    <t>="""NAV Direct"",""CRONUS JetCorp USA"",""21"",""1"",""312872"""</t>
  </si>
  <si>
    <t>=E2923</t>
  </si>
  <si>
    <t>=StartDate-$M2925+1</t>
  </si>
  <si>
    <t>=SUM(P2925:T2925)</t>
  </si>
  <si>
    <t>=IF($M2925&gt;=$P$18,U2925,0)</t>
  </si>
  <si>
    <t>=IF(AND($M2925&gt;=$Q$16,$M2925&lt;=$Q$18),U2925,0)</t>
  </si>
  <si>
    <t>=IF(AND($M2925&gt;=$R$16,$M2925&lt;=$R$18),U2925,0)</t>
  </si>
  <si>
    <t>=IF(AND($M2925&gt;=$S$16,$M2925&lt;=$S$18),U2925,0)</t>
  </si>
  <si>
    <t>=IF($M2925&lt;=$T$18,U2925,0)</t>
  </si>
  <si>
    <t>="""NAV Direct"",""CRONUS JetCorp USA"",""21"",""1"",""313292"""</t>
  </si>
  <si>
    <t>=E2924</t>
  </si>
  <si>
    <t>=StartDate-$M2926+1</t>
  </si>
  <si>
    <t>=SUM(P2926:T2926)</t>
  </si>
  <si>
    <t>=IF($M2926&gt;=$P$18,U2926,0)</t>
  </si>
  <si>
    <t>=IF(AND($M2926&gt;=$Q$16,$M2926&lt;=$Q$18),U2926,0)</t>
  </si>
  <si>
    <t>=IF(AND($M2926&gt;=$R$16,$M2926&lt;=$R$18),U2926,0)</t>
  </si>
  <si>
    <t>=IF(AND($M2926&gt;=$S$16,$M2926&lt;=$S$18),U2926,0)</t>
  </si>
  <si>
    <t>=IF($M2926&lt;=$T$18,U2926,0)</t>
  </si>
  <si>
    <t>="""NAV Direct"",""CRONUS JetCorp USA"",""21"",""1"",""313450"""</t>
  </si>
  <si>
    <t>=E2925</t>
  </si>
  <si>
    <t>=StartDate-$M2927+1</t>
  </si>
  <si>
    <t>=SUM(P2927:T2927)</t>
  </si>
  <si>
    <t>=IF($M2927&gt;=$P$18,U2927,0)</t>
  </si>
  <si>
    <t>=IF(AND($M2927&gt;=$Q$16,$M2927&lt;=$Q$18),U2927,0)</t>
  </si>
  <si>
    <t>=IF(AND($M2927&gt;=$R$16,$M2927&lt;=$R$18),U2927,0)</t>
  </si>
  <si>
    <t>=IF(AND($M2927&gt;=$S$16,$M2927&lt;=$S$18),U2927,0)</t>
  </si>
  <si>
    <t>=IF($M2927&lt;=$T$18,U2927,0)</t>
  </si>
  <si>
    <t>="""NAV Direct"",""CRONUS JetCorp USA"",""18"",""1"",""C100089"""</t>
  </si>
  <si>
    <t>=H2930</t>
  </si>
  <si>
    <t>=NF($C2930,"1 No.")</t>
  </si>
  <si>
    <t>=NF($C2930,"1 No.")&amp;"  -  "&amp;NF($C2930,"2 Name")</t>
  </si>
  <si>
    <t>=IFERROR(O2930/NF(C2930,"Credit Limit (LCY)"),"")</t>
  </si>
  <si>
    <t>=SUBTOTAL(3,L2931:L2977)</t>
  </si>
  <si>
    <t>=SUBTOTAL(9,O2931:O2977)</t>
  </si>
  <si>
    <t>=SUBTOTAL(9,P2931:P2977)</t>
  </si>
  <si>
    <t>=SUBTOTAL(9,Q2931:Q2977)</t>
  </si>
  <si>
    <t>=SUBTOTAL(9,R2931:R2977)</t>
  </si>
  <si>
    <t>=SUBTOTAL(9,S2931:S2977)</t>
  </si>
  <si>
    <t>=SUBTOTAL(9,T2931:T2977)</t>
  </si>
  <si>
    <t>=C2930</t>
  </si>
  <si>
    <t>=E2930</t>
  </si>
  <si>
    <t>="Contact: "&amp;NF($C2931,"8 Contact")</t>
  </si>
  <si>
    <t>=C2931</t>
  </si>
  <si>
    <t>=E2931</t>
  </si>
  <si>
    <t>=NF($C2932,"102 E-Mail")</t>
  </si>
  <si>
    <t>=NL("Rows","21 Cust. Ledger Entry",,"3 Customer No.","@@"&amp;$E2934,"16 Remaining Amt. (LCY)","&lt;&gt;0")</t>
  </si>
  <si>
    <t>=E2932</t>
  </si>
  <si>
    <t>=StartDate-$M2934+1</t>
  </si>
  <si>
    <t>=SUM(P2934:T2934)</t>
  </si>
  <si>
    <t>=IF($M2934&gt;=$P$18,U2934,0)</t>
  </si>
  <si>
    <t>=IF(AND($M2934&gt;=$Q$16,$M2934&lt;=$Q$18),U2934,0)</t>
  </si>
  <si>
    <t>=IF(AND($M2934&gt;=$R$16,$M2934&lt;=$R$18),U2934,0)</t>
  </si>
  <si>
    <t>=IF(AND($M2934&gt;=$S$16,$M2934&lt;=$S$18),U2934,0)</t>
  </si>
  <si>
    <t>=IF($M2934&lt;=$T$18,U2934,0)</t>
  </si>
  <si>
    <t>="""NAV Direct"",""CRONUS JetCorp USA"",""21"",""1"",""153917"""</t>
  </si>
  <si>
    <t>=E2933</t>
  </si>
  <si>
    <t>=StartDate-$M2935+1</t>
  </si>
  <si>
    <t>=SUM(P2935:T2935)</t>
  </si>
  <si>
    <t>=IF($M2935&gt;=$P$18,U2935,0)</t>
  </si>
  <si>
    <t>=IF(AND($M2935&gt;=$Q$16,$M2935&lt;=$Q$18),U2935,0)</t>
  </si>
  <si>
    <t>=IF(AND($M2935&gt;=$R$16,$M2935&lt;=$R$18),U2935,0)</t>
  </si>
  <si>
    <t>=IF(AND($M2935&gt;=$S$16,$M2935&lt;=$S$18),U2935,0)</t>
  </si>
  <si>
    <t>=IF($M2935&lt;=$T$18,U2935,0)</t>
  </si>
  <si>
    <t>="""NAV Direct"",""CRONUS JetCorp USA"",""21"",""1"",""402694"""</t>
  </si>
  <si>
    <t>=E2934</t>
  </si>
  <si>
    <t>=StartDate-$M2936+1</t>
  </si>
  <si>
    <t>=SUM(P2936:T2936)</t>
  </si>
  <si>
    <t>=IF($M2936&gt;=$P$18,U2936,0)</t>
  </si>
  <si>
    <t>=IF(AND($M2936&gt;=$Q$16,$M2936&lt;=$Q$18),U2936,0)</t>
  </si>
  <si>
    <t>=IF(AND($M2936&gt;=$R$16,$M2936&lt;=$R$18),U2936,0)</t>
  </si>
  <si>
    <t>=IF(AND($M2936&gt;=$S$16,$M2936&lt;=$S$18),U2936,0)</t>
  </si>
  <si>
    <t>=IF($M2936&lt;=$T$18,U2936,0)</t>
  </si>
  <si>
    <t>="""NAV Direct"",""CRONUS JetCorp USA"",""21"",""1"",""403046"""</t>
  </si>
  <si>
    <t>=E2935</t>
  </si>
  <si>
    <t>=StartDate-$M2937+1</t>
  </si>
  <si>
    <t>=SUM(P2937:T2937)</t>
  </si>
  <si>
    <t>=IF($M2937&gt;=$P$18,U2937,0)</t>
  </si>
  <si>
    <t>=IF(AND($M2937&gt;=$Q$16,$M2937&lt;=$Q$18),U2937,0)</t>
  </si>
  <si>
    <t>=IF(AND($M2937&gt;=$R$16,$M2937&lt;=$R$18),U2937,0)</t>
  </si>
  <si>
    <t>=IF(AND($M2937&gt;=$S$16,$M2937&lt;=$S$18),U2937,0)</t>
  </si>
  <si>
    <t>=IF($M2937&lt;=$T$18,U2937,0)</t>
  </si>
  <si>
    <t>="""NAV Direct"",""CRONUS JetCorp USA"",""21"",""1"",""403156"""</t>
  </si>
  <si>
    <t>=E2936</t>
  </si>
  <si>
    <t>=StartDate-$M2938+1</t>
  </si>
  <si>
    <t>=SUM(P2938:T2938)</t>
  </si>
  <si>
    <t>=IF($M2938&gt;=$P$18,U2938,0)</t>
  </si>
  <si>
    <t>=IF(AND($M2938&gt;=$Q$16,$M2938&lt;=$Q$18),U2938,0)</t>
  </si>
  <si>
    <t>=IF(AND($M2938&gt;=$R$16,$M2938&lt;=$R$18),U2938,0)</t>
  </si>
  <si>
    <t>=IF(AND($M2938&gt;=$S$16,$M2938&lt;=$S$18),U2938,0)</t>
  </si>
  <si>
    <t>=IF($M2938&lt;=$T$18,U2938,0)</t>
  </si>
  <si>
    <t>="""NAV Direct"",""CRONUS JetCorp USA"",""21"",""1"",""403195"""</t>
  </si>
  <si>
    <t>=E2937</t>
  </si>
  <si>
    <t>=StartDate-$M2939+1</t>
  </si>
  <si>
    <t>=SUM(P2939:T2939)</t>
  </si>
  <si>
    <t>=IF($M2939&gt;=$P$18,U2939,0)</t>
  </si>
  <si>
    <t>=IF(AND($M2939&gt;=$Q$16,$M2939&lt;=$Q$18),U2939,0)</t>
  </si>
  <si>
    <t>=IF(AND($M2939&gt;=$R$16,$M2939&lt;=$R$18),U2939,0)</t>
  </si>
  <si>
    <t>=IF(AND($M2939&gt;=$S$16,$M2939&lt;=$S$18),U2939,0)</t>
  </si>
  <si>
    <t>=IF($M2939&lt;=$T$18,U2939,0)</t>
  </si>
  <si>
    <t>="""NAV Direct"",""CRONUS JetCorp USA"",""21"",""1"",""403501"""</t>
  </si>
  <si>
    <t>=E2938</t>
  </si>
  <si>
    <t>=StartDate-$M2940+1</t>
  </si>
  <si>
    <t>=SUM(P2940:T2940)</t>
  </si>
  <si>
    <t>=IF($M2940&gt;=$P$18,U2940,0)</t>
  </si>
  <si>
    <t>=IF(AND($M2940&gt;=$Q$16,$M2940&lt;=$Q$18),U2940,0)</t>
  </si>
  <si>
    <t>=IF(AND($M2940&gt;=$R$16,$M2940&lt;=$R$18),U2940,0)</t>
  </si>
  <si>
    <t>=IF(AND($M2940&gt;=$S$16,$M2940&lt;=$S$18),U2940,0)</t>
  </si>
  <si>
    <t>=IF($M2940&lt;=$T$18,U2940,0)</t>
  </si>
  <si>
    <t>="""NAV Direct"",""CRONUS JetCorp USA"",""21"",""1"",""404438"""</t>
  </si>
  <si>
    <t>=E2939</t>
  </si>
  <si>
    <t>=StartDate-$M2941+1</t>
  </si>
  <si>
    <t>=SUM(P2941:T2941)</t>
  </si>
  <si>
    <t>=IF($M2941&gt;=$P$18,U2941,0)</t>
  </si>
  <si>
    <t>=IF(AND($M2941&gt;=$Q$16,$M2941&lt;=$Q$18),U2941,0)</t>
  </si>
  <si>
    <t>=IF(AND($M2941&gt;=$R$16,$M2941&lt;=$R$18),U2941,0)</t>
  </si>
  <si>
    <t>=IF(AND($M2941&gt;=$S$16,$M2941&lt;=$S$18),U2941,0)</t>
  </si>
  <si>
    <t>=IF($M2941&lt;=$T$18,U2941,0)</t>
  </si>
  <si>
    <t>="""NAV Direct"",""CRONUS JetCorp USA"",""21"",""1"",""404880"""</t>
  </si>
  <si>
    <t>=E2940</t>
  </si>
  <si>
    <t>=StartDate-$M2942+1</t>
  </si>
  <si>
    <t>=SUM(P2942:T2942)</t>
  </si>
  <si>
    <t>=IF($M2942&gt;=$P$18,U2942,0)</t>
  </si>
  <si>
    <t>=IF(AND($M2942&gt;=$Q$16,$M2942&lt;=$Q$18),U2942,0)</t>
  </si>
  <si>
    <t>=IF(AND($M2942&gt;=$R$16,$M2942&lt;=$R$18),U2942,0)</t>
  </si>
  <si>
    <t>=IF(AND($M2942&gt;=$S$16,$M2942&lt;=$S$18),U2942,0)</t>
  </si>
  <si>
    <t>=IF($M2942&lt;=$T$18,U2942,0)</t>
  </si>
  <si>
    <t>="""NAV Direct"",""CRONUS JetCorp USA"",""21"",""1"",""405041"""</t>
  </si>
  <si>
    <t>=E2941</t>
  </si>
  <si>
    <t>=StartDate-$M2943+1</t>
  </si>
  <si>
    <t>=SUM(P2943:T2943)</t>
  </si>
  <si>
    <t>=IF($M2943&gt;=$P$18,U2943,0)</t>
  </si>
  <si>
    <t>=IF(AND($M2943&gt;=$Q$16,$M2943&lt;=$Q$18),U2943,0)</t>
  </si>
  <si>
    <t>=IF(AND($M2943&gt;=$R$16,$M2943&lt;=$R$18),U2943,0)</t>
  </si>
  <si>
    <t>=IF(AND($M2943&gt;=$S$16,$M2943&lt;=$S$18),U2943,0)</t>
  </si>
  <si>
    <t>=IF($M2943&lt;=$T$18,U2943,0)</t>
  </si>
  <si>
    <t>="""NAV Direct"",""CRONUS JetCorp USA"",""21"",""1"",""405145"""</t>
  </si>
  <si>
    <t>=E2942</t>
  </si>
  <si>
    <t>=StartDate-$M2944+1</t>
  </si>
  <si>
    <t>=SUM(P2944:T2944)</t>
  </si>
  <si>
    <t>=IF($M2944&gt;=$P$18,U2944,0)</t>
  </si>
  <si>
    <t>=IF(AND($M2944&gt;=$Q$16,$M2944&lt;=$Q$18),U2944,0)</t>
  </si>
  <si>
    <t>=IF(AND($M2944&gt;=$R$16,$M2944&lt;=$R$18),U2944,0)</t>
  </si>
  <si>
    <t>=IF(AND($M2944&gt;=$S$16,$M2944&lt;=$S$18),U2944,0)</t>
  </si>
  <si>
    <t>=IF($M2944&lt;=$T$18,U2944,0)</t>
  </si>
  <si>
    <t>="""NAV Direct"",""CRONUS JetCorp USA"",""21"",""1"",""405384"""</t>
  </si>
  <si>
    <t>=E2943</t>
  </si>
  <si>
    <t>=StartDate-$M2945+1</t>
  </si>
  <si>
    <t>=SUM(P2945:T2945)</t>
  </si>
  <si>
    <t>=IF($M2945&gt;=$P$18,U2945,0)</t>
  </si>
  <si>
    <t>=IF(AND($M2945&gt;=$Q$16,$M2945&lt;=$Q$18),U2945,0)</t>
  </si>
  <si>
    <t>=IF(AND($M2945&gt;=$R$16,$M2945&lt;=$R$18),U2945,0)</t>
  </si>
  <si>
    <t>=IF(AND($M2945&gt;=$S$16,$M2945&lt;=$S$18),U2945,0)</t>
  </si>
  <si>
    <t>=IF($M2945&lt;=$T$18,U2945,0)</t>
  </si>
  <si>
    <t>="""NAV Direct"",""CRONUS JetCorp USA"",""21"",""1"",""406184"""</t>
  </si>
  <si>
    <t>=E2944</t>
  </si>
  <si>
    <t>=StartDate-$M2946+1</t>
  </si>
  <si>
    <t>=SUM(P2946:T2946)</t>
  </si>
  <si>
    <t>=IF($M2946&gt;=$P$18,U2946,0)</t>
  </si>
  <si>
    <t>=IF(AND($M2946&gt;=$Q$16,$M2946&lt;=$Q$18),U2946,0)</t>
  </si>
  <si>
    <t>=IF(AND($M2946&gt;=$R$16,$M2946&lt;=$R$18),U2946,0)</t>
  </si>
  <si>
    <t>=IF(AND($M2946&gt;=$S$16,$M2946&lt;=$S$18),U2946,0)</t>
  </si>
  <si>
    <t>=IF($M2946&lt;=$T$18,U2946,0)</t>
  </si>
  <si>
    <t>="""NAV Direct"",""CRONUS JetCorp USA"",""21"",""1"",""406360"""</t>
  </si>
  <si>
    <t>=E2945</t>
  </si>
  <si>
    <t>=StartDate-$M2947+1</t>
  </si>
  <si>
    <t>=SUM(P2947:T2947)</t>
  </si>
  <si>
    <t>=IF($M2947&gt;=$P$18,U2947,0)</t>
  </si>
  <si>
    <t>=IF(AND($M2947&gt;=$Q$16,$M2947&lt;=$Q$18),U2947,0)</t>
  </si>
  <si>
    <t>=IF(AND($M2947&gt;=$R$16,$M2947&lt;=$R$18),U2947,0)</t>
  </si>
  <si>
    <t>=IF(AND($M2947&gt;=$S$16,$M2947&lt;=$S$18),U2947,0)</t>
  </si>
  <si>
    <t>=IF($M2947&lt;=$T$18,U2947,0)</t>
  </si>
  <si>
    <t>="""NAV Direct"",""CRONUS JetCorp USA"",""21"",""1"",""407082"""</t>
  </si>
  <si>
    <t>=E2946</t>
  </si>
  <si>
    <t>=StartDate-$M2948+1</t>
  </si>
  <si>
    <t>=SUM(P2948:T2948)</t>
  </si>
  <si>
    <t>=IF($M2948&gt;=$P$18,U2948,0)</t>
  </si>
  <si>
    <t>=IF(AND($M2948&gt;=$Q$16,$M2948&lt;=$Q$18),U2948,0)</t>
  </si>
  <si>
    <t>=IF(AND($M2948&gt;=$R$16,$M2948&lt;=$R$18),U2948,0)</t>
  </si>
  <si>
    <t>=IF(AND($M2948&gt;=$S$16,$M2948&lt;=$S$18),U2948,0)</t>
  </si>
  <si>
    <t>=IF($M2948&lt;=$T$18,U2948,0)</t>
  </si>
  <si>
    <t>="""NAV Direct"",""CRONUS JetCorp USA"",""21"",""1"",""407308"""</t>
  </si>
  <si>
    <t>=E2947</t>
  </si>
  <si>
    <t>=StartDate-$M2949+1</t>
  </si>
  <si>
    <t>=SUM(P2949:T2949)</t>
  </si>
  <si>
    <t>=IF($M2949&gt;=$P$18,U2949,0)</t>
  </si>
  <si>
    <t>=IF(AND($M2949&gt;=$Q$16,$M2949&lt;=$Q$18),U2949,0)</t>
  </si>
  <si>
    <t>=IF(AND($M2949&gt;=$R$16,$M2949&lt;=$R$18),U2949,0)</t>
  </si>
  <si>
    <t>=IF(AND($M2949&gt;=$S$16,$M2949&lt;=$S$18),U2949,0)</t>
  </si>
  <si>
    <t>=IF($M2949&lt;=$T$18,U2949,0)</t>
  </si>
  <si>
    <t>="""NAV Direct"",""CRONUS JetCorp USA"",""21"",""1"",""407824"""</t>
  </si>
  <si>
    <t>=E2948</t>
  </si>
  <si>
    <t>=StartDate-$M2950+1</t>
  </si>
  <si>
    <t>=SUM(P2950:T2950)</t>
  </si>
  <si>
    <t>=IF($M2950&gt;=$P$18,U2950,0)</t>
  </si>
  <si>
    <t>=IF(AND($M2950&gt;=$Q$16,$M2950&lt;=$Q$18),U2950,0)</t>
  </si>
  <si>
    <t>=IF(AND($M2950&gt;=$R$16,$M2950&lt;=$R$18),U2950,0)</t>
  </si>
  <si>
    <t>=IF(AND($M2950&gt;=$S$16,$M2950&lt;=$S$18),U2950,0)</t>
  </si>
  <si>
    <t>=IF($M2950&lt;=$T$18,U2950,0)</t>
  </si>
  <si>
    <t>="""NAV Direct"",""CRONUS JetCorp USA"",""21"",""1"",""407874"""</t>
  </si>
  <si>
    <t>=E2949</t>
  </si>
  <si>
    <t>=StartDate-$M2951+1</t>
  </si>
  <si>
    <t>=SUM(P2951:T2951)</t>
  </si>
  <si>
    <t>=IF($M2951&gt;=$P$18,U2951,0)</t>
  </si>
  <si>
    <t>=IF(AND($M2951&gt;=$Q$16,$M2951&lt;=$Q$18),U2951,0)</t>
  </si>
  <si>
    <t>=IF(AND($M2951&gt;=$R$16,$M2951&lt;=$R$18),U2951,0)</t>
  </si>
  <si>
    <t>=IF(AND($M2951&gt;=$S$16,$M2951&lt;=$S$18),U2951,0)</t>
  </si>
  <si>
    <t>=IF($M2951&lt;=$T$18,U2951,0)</t>
  </si>
  <si>
    <t>="""NAV Direct"",""CRONUS JetCorp USA"",""21"",""1"",""409004"""</t>
  </si>
  <si>
    <t>=E2950</t>
  </si>
  <si>
    <t>=StartDate-$M2952+1</t>
  </si>
  <si>
    <t>=SUM(P2952:T2952)</t>
  </si>
  <si>
    <t>=IF($M2952&gt;=$P$18,U2952,0)</t>
  </si>
  <si>
    <t>=IF(AND($M2952&gt;=$Q$16,$M2952&lt;=$Q$18),U2952,0)</t>
  </si>
  <si>
    <t>=IF(AND($M2952&gt;=$R$16,$M2952&lt;=$R$18),U2952,0)</t>
  </si>
  <si>
    <t>=IF(AND($M2952&gt;=$S$16,$M2952&lt;=$S$18),U2952,0)</t>
  </si>
  <si>
    <t>=IF($M2952&lt;=$T$18,U2952,0)</t>
  </si>
  <si>
    <t>="""NAV Direct"",""CRONUS JetCorp USA"",""21"",""1"",""409999"""</t>
  </si>
  <si>
    <t>=E2951</t>
  </si>
  <si>
    <t>=StartDate-$M2953+1</t>
  </si>
  <si>
    <t>=SUM(P2953:T2953)</t>
  </si>
  <si>
    <t>=IF($M2953&gt;=$P$18,U2953,0)</t>
  </si>
  <si>
    <t>=IF(AND($M2953&gt;=$Q$16,$M2953&lt;=$Q$18),U2953,0)</t>
  </si>
  <si>
    <t>=IF(AND($M2953&gt;=$R$16,$M2953&lt;=$R$18),U2953,0)</t>
  </si>
  <si>
    <t>=IF(AND($M2953&gt;=$S$16,$M2953&lt;=$S$18),U2953,0)</t>
  </si>
  <si>
    <t>=IF($M2953&lt;=$T$18,U2953,0)</t>
  </si>
  <si>
    <t>="""NAV Direct"",""CRONUS JetCorp USA"",""21"",""1"",""410286"""</t>
  </si>
  <si>
    <t>=E2952</t>
  </si>
  <si>
    <t>=StartDate-$M2954+1</t>
  </si>
  <si>
    <t>=SUM(P2954:T2954)</t>
  </si>
  <si>
    <t>=IF($M2954&gt;=$P$18,U2954,0)</t>
  </si>
  <si>
    <t>=IF(AND($M2954&gt;=$Q$16,$M2954&lt;=$Q$18),U2954,0)</t>
  </si>
  <si>
    <t>=IF(AND($M2954&gt;=$R$16,$M2954&lt;=$R$18),U2954,0)</t>
  </si>
  <si>
    <t>=IF(AND($M2954&gt;=$S$16,$M2954&lt;=$S$18),U2954,0)</t>
  </si>
  <si>
    <t>=IF($M2954&lt;=$T$18,U2954,0)</t>
  </si>
  <si>
    <t>="""NAV Direct"",""CRONUS JetCorp USA"",""21"",""1"",""411086"""</t>
  </si>
  <si>
    <t>=E2953</t>
  </si>
  <si>
    <t>=StartDate-$M2955+1</t>
  </si>
  <si>
    <t>=SUM(P2955:T2955)</t>
  </si>
  <si>
    <t>=IF($M2955&gt;=$P$18,U2955,0)</t>
  </si>
  <si>
    <t>=IF(AND($M2955&gt;=$Q$16,$M2955&lt;=$Q$18),U2955,0)</t>
  </si>
  <si>
    <t>=IF(AND($M2955&gt;=$R$16,$M2955&lt;=$R$18),U2955,0)</t>
  </si>
  <si>
    <t>=IF(AND($M2955&gt;=$S$16,$M2955&lt;=$S$18),U2955,0)</t>
  </si>
  <si>
    <t>=IF($M2955&lt;=$T$18,U2955,0)</t>
  </si>
  <si>
    <t>="""NAV Direct"",""CRONUS JetCorp USA"",""21"",""1"",""411830"""</t>
  </si>
  <si>
    <t>=E2954</t>
  </si>
  <si>
    <t>=StartDate-$M2956+1</t>
  </si>
  <si>
    <t>=SUM(P2956:T2956)</t>
  </si>
  <si>
    <t>=IF($M2956&gt;=$P$18,U2956,0)</t>
  </si>
  <si>
    <t>=IF(AND($M2956&gt;=$Q$16,$M2956&lt;=$Q$18),U2956,0)</t>
  </si>
  <si>
    <t>=IF(AND($M2956&gt;=$R$16,$M2956&lt;=$R$18),U2956,0)</t>
  </si>
  <si>
    <t>=IF(AND($M2956&gt;=$S$16,$M2956&lt;=$S$18),U2956,0)</t>
  </si>
  <si>
    <t>=IF($M2956&lt;=$T$18,U2956,0)</t>
  </si>
  <si>
    <t>="""NAV Direct"",""CRONUS JetCorp USA"",""21"",""1"",""411979"""</t>
  </si>
  <si>
    <t>=E2955</t>
  </si>
  <si>
    <t>=StartDate-$M2957+1</t>
  </si>
  <si>
    <t>=SUM(P2957:T2957)</t>
  </si>
  <si>
    <t>=IF($M2957&gt;=$P$18,U2957,0)</t>
  </si>
  <si>
    <t>=IF(AND($M2957&gt;=$Q$16,$M2957&lt;=$Q$18),U2957,0)</t>
  </si>
  <si>
    <t>=IF(AND($M2957&gt;=$R$16,$M2957&lt;=$R$18),U2957,0)</t>
  </si>
  <si>
    <t>=IF(AND($M2957&gt;=$S$16,$M2957&lt;=$S$18),U2957,0)</t>
  </si>
  <si>
    <t>=IF($M2957&lt;=$T$18,U2957,0)</t>
  </si>
  <si>
    <t>="""NAV Direct"",""CRONUS JetCorp USA"",""21"",""1"",""412120"""</t>
  </si>
  <si>
    <t>=E2956</t>
  </si>
  <si>
    <t>=StartDate-$M2958+1</t>
  </si>
  <si>
    <t>=SUM(P2958:T2958)</t>
  </si>
  <si>
    <t>=IF($M2958&gt;=$P$18,U2958,0)</t>
  </si>
  <si>
    <t>=IF(AND($M2958&gt;=$Q$16,$M2958&lt;=$Q$18),U2958,0)</t>
  </si>
  <si>
    <t>=IF(AND($M2958&gt;=$R$16,$M2958&lt;=$R$18),U2958,0)</t>
  </si>
  <si>
    <t>=IF(AND($M2958&gt;=$S$16,$M2958&lt;=$S$18),U2958,0)</t>
  </si>
  <si>
    <t>=IF($M2958&lt;=$T$18,U2958,0)</t>
  </si>
  <si>
    <t>="""NAV Direct"",""CRONUS JetCorp USA"",""21"",""1"",""412454"""</t>
  </si>
  <si>
    <t>=E2957</t>
  </si>
  <si>
    <t>=StartDate-$M2959+1</t>
  </si>
  <si>
    <t>=SUM(P2959:T2959)</t>
  </si>
  <si>
    <t>=IF($M2959&gt;=$P$18,U2959,0)</t>
  </si>
  <si>
    <t>=IF(AND($M2959&gt;=$Q$16,$M2959&lt;=$Q$18),U2959,0)</t>
  </si>
  <si>
    <t>=IF(AND($M2959&gt;=$R$16,$M2959&lt;=$R$18),U2959,0)</t>
  </si>
  <si>
    <t>=IF(AND($M2959&gt;=$S$16,$M2959&lt;=$S$18),U2959,0)</t>
  </si>
  <si>
    <t>=IF($M2959&lt;=$T$18,U2959,0)</t>
  </si>
  <si>
    <t>="""NAV Direct"",""CRONUS JetCorp USA"",""21"",""1"",""412497"""</t>
  </si>
  <si>
    <t>=E2958</t>
  </si>
  <si>
    <t>=StartDate-$M2960+1</t>
  </si>
  <si>
    <t>=SUM(P2960:T2960)</t>
  </si>
  <si>
    <t>=IF($M2960&gt;=$P$18,U2960,0)</t>
  </si>
  <si>
    <t>=IF(AND($M2960&gt;=$Q$16,$M2960&lt;=$Q$18),U2960,0)</t>
  </si>
  <si>
    <t>=IF(AND($M2960&gt;=$R$16,$M2960&lt;=$R$18),U2960,0)</t>
  </si>
  <si>
    <t>=IF(AND($M2960&gt;=$S$16,$M2960&lt;=$S$18),U2960,0)</t>
  </si>
  <si>
    <t>=IF($M2960&lt;=$T$18,U2960,0)</t>
  </si>
  <si>
    <t>="""NAV Direct"",""CRONUS JetCorp USA"",""21"",""1"",""412546"""</t>
  </si>
  <si>
    <t>=E2959</t>
  </si>
  <si>
    <t>=StartDate-$M2961+1</t>
  </si>
  <si>
    <t>=SUM(P2961:T2961)</t>
  </si>
  <si>
    <t>=IF($M2961&gt;=$P$18,U2961,0)</t>
  </si>
  <si>
    <t>=IF(AND($M2961&gt;=$Q$16,$M2961&lt;=$Q$18),U2961,0)</t>
  </si>
  <si>
    <t>=IF(AND($M2961&gt;=$R$16,$M2961&lt;=$R$18),U2961,0)</t>
  </si>
  <si>
    <t>=IF(AND($M2961&gt;=$S$16,$M2961&lt;=$S$18),U2961,0)</t>
  </si>
  <si>
    <t>=IF($M2961&lt;=$T$18,U2961,0)</t>
  </si>
  <si>
    <t>="""NAV Direct"",""CRONUS JetCorp USA"",""21"",""1"",""413117"""</t>
  </si>
  <si>
    <t>=E2960</t>
  </si>
  <si>
    <t>=StartDate-$M2962+1</t>
  </si>
  <si>
    <t>=SUM(P2962:T2962)</t>
  </si>
  <si>
    <t>=IF($M2962&gt;=$P$18,U2962,0)</t>
  </si>
  <si>
    <t>=IF(AND($M2962&gt;=$Q$16,$M2962&lt;=$Q$18),U2962,0)</t>
  </si>
  <si>
    <t>=IF(AND($M2962&gt;=$R$16,$M2962&lt;=$R$18),U2962,0)</t>
  </si>
  <si>
    <t>=IF(AND($M2962&gt;=$S$16,$M2962&lt;=$S$18),U2962,0)</t>
  </si>
  <si>
    <t>=IF($M2962&lt;=$T$18,U2962,0)</t>
  </si>
  <si>
    <t>="""NAV Direct"",""CRONUS JetCorp USA"",""21"",""1"",""413158"""</t>
  </si>
  <si>
    <t>=E2961</t>
  </si>
  <si>
    <t>=StartDate-$M2963+1</t>
  </si>
  <si>
    <t>=SUM(P2963:T2963)</t>
  </si>
  <si>
    <t>=IF($M2963&gt;=$P$18,U2963,0)</t>
  </si>
  <si>
    <t>=IF(AND($M2963&gt;=$Q$16,$M2963&lt;=$Q$18),U2963,0)</t>
  </si>
  <si>
    <t>=IF(AND($M2963&gt;=$R$16,$M2963&lt;=$R$18),U2963,0)</t>
  </si>
  <si>
    <t>=IF(AND($M2963&gt;=$S$16,$M2963&lt;=$S$18),U2963,0)</t>
  </si>
  <si>
    <t>=IF($M2963&lt;=$T$18,U2963,0)</t>
  </si>
  <si>
    <t>="""NAV Direct"",""CRONUS JetCorp USA"",""21"",""1"",""413215"""</t>
  </si>
  <si>
    <t>=E2962</t>
  </si>
  <si>
    <t>=StartDate-$M2964+1</t>
  </si>
  <si>
    <t>=SUM(P2964:T2964)</t>
  </si>
  <si>
    <t>=IF($M2964&gt;=$P$18,U2964,0)</t>
  </si>
  <si>
    <t>=IF(AND($M2964&gt;=$Q$16,$M2964&lt;=$Q$18),U2964,0)</t>
  </si>
  <si>
    <t>=IF(AND($M2964&gt;=$R$16,$M2964&lt;=$R$18),U2964,0)</t>
  </si>
  <si>
    <t>=IF(AND($M2964&gt;=$S$16,$M2964&lt;=$S$18),U2964,0)</t>
  </si>
  <si>
    <t>=IF($M2964&lt;=$T$18,U2964,0)</t>
  </si>
  <si>
    <t>="""NAV Direct"",""CRONUS JetCorp USA"",""21"",""1"",""413436"""</t>
  </si>
  <si>
    <t>=E2963</t>
  </si>
  <si>
    <t>=StartDate-$M2965+1</t>
  </si>
  <si>
    <t>=SUM(P2965:T2965)</t>
  </si>
  <si>
    <t>=IF($M2965&gt;=$P$18,U2965,0)</t>
  </si>
  <si>
    <t>=IF(AND($M2965&gt;=$Q$16,$M2965&lt;=$Q$18),U2965,0)</t>
  </si>
  <si>
    <t>=IF(AND($M2965&gt;=$R$16,$M2965&lt;=$R$18),U2965,0)</t>
  </si>
  <si>
    <t>=IF(AND($M2965&gt;=$S$16,$M2965&lt;=$S$18),U2965,0)</t>
  </si>
  <si>
    <t>=IF($M2965&lt;=$T$18,U2965,0)</t>
  </si>
  <si>
    <t>="""NAV Direct"",""CRONUS JetCorp USA"",""21"",""1"",""413711"""</t>
  </si>
  <si>
    <t>=E2964</t>
  </si>
  <si>
    <t>=StartDate-$M2966+1</t>
  </si>
  <si>
    <t>=SUM(P2966:T2966)</t>
  </si>
  <si>
    <t>=IF($M2966&gt;=$P$18,U2966,0)</t>
  </si>
  <si>
    <t>=IF(AND($M2966&gt;=$Q$16,$M2966&lt;=$Q$18),U2966,0)</t>
  </si>
  <si>
    <t>=IF(AND($M2966&gt;=$R$16,$M2966&lt;=$R$18),U2966,0)</t>
  </si>
  <si>
    <t>=IF(AND($M2966&gt;=$S$16,$M2966&lt;=$S$18),U2966,0)</t>
  </si>
  <si>
    <t>=IF($M2966&lt;=$T$18,U2966,0)</t>
  </si>
  <si>
    <t>="""NAV Direct"",""CRONUS JetCorp USA"",""21"",""1"",""440357"""</t>
  </si>
  <si>
    <t>=E2965</t>
  </si>
  <si>
    <t>=StartDate-$M2967+1</t>
  </si>
  <si>
    <t>=SUM(P2967:T2967)</t>
  </si>
  <si>
    <t>=IF($M2967&gt;=$P$18,U2967,0)</t>
  </si>
  <si>
    <t>=IF(AND($M2967&gt;=$Q$16,$M2967&lt;=$Q$18),U2967,0)</t>
  </si>
  <si>
    <t>=IF(AND($M2967&gt;=$R$16,$M2967&lt;=$R$18),U2967,0)</t>
  </si>
  <si>
    <t>=IF(AND($M2967&gt;=$S$16,$M2967&lt;=$S$18),U2967,0)</t>
  </si>
  <si>
    <t>=IF($M2967&lt;=$T$18,U2967,0)</t>
  </si>
  <si>
    <t>="""NAV Direct"",""CRONUS JetCorp USA"",""21"",""1"",""440522"""</t>
  </si>
  <si>
    <t>=E2966</t>
  </si>
  <si>
    <t>=StartDate-$M2968+1</t>
  </si>
  <si>
    <t>=SUM(P2968:T2968)</t>
  </si>
  <si>
    <t>=IF($M2968&gt;=$P$18,U2968,0)</t>
  </si>
  <si>
    <t>=IF(AND($M2968&gt;=$Q$16,$M2968&lt;=$Q$18),U2968,0)</t>
  </si>
  <si>
    <t>=IF(AND($M2968&gt;=$R$16,$M2968&lt;=$R$18),U2968,0)</t>
  </si>
  <si>
    <t>=IF(AND($M2968&gt;=$S$16,$M2968&lt;=$S$18),U2968,0)</t>
  </si>
  <si>
    <t>=IF($M2968&lt;=$T$18,U2968,0)</t>
  </si>
  <si>
    <t>="""NAV Direct"",""CRONUS JetCorp USA"",""21"",""1"",""440640"""</t>
  </si>
  <si>
    <t>=E2967</t>
  </si>
  <si>
    <t>=StartDate-$M2969+1</t>
  </si>
  <si>
    <t>=SUM(P2969:T2969)</t>
  </si>
  <si>
    <t>=IF($M2969&gt;=$P$18,U2969,0)</t>
  </si>
  <si>
    <t>=IF(AND($M2969&gt;=$Q$16,$M2969&lt;=$Q$18),U2969,0)</t>
  </si>
  <si>
    <t>=IF(AND($M2969&gt;=$R$16,$M2969&lt;=$R$18),U2969,0)</t>
  </si>
  <si>
    <t>=IF(AND($M2969&gt;=$S$16,$M2969&lt;=$S$18),U2969,0)</t>
  </si>
  <si>
    <t>=IF($M2969&lt;=$T$18,U2969,0)</t>
  </si>
  <si>
    <t>="""NAV Direct"",""CRONUS JetCorp USA"",""21"",""1"",""440713"""</t>
  </si>
  <si>
    <t>=E2968</t>
  </si>
  <si>
    <t>=StartDate-$M2970+1</t>
  </si>
  <si>
    <t>=SUM(P2970:T2970)</t>
  </si>
  <si>
    <t>=IF($M2970&gt;=$P$18,U2970,0)</t>
  </si>
  <si>
    <t>=IF(AND($M2970&gt;=$Q$16,$M2970&lt;=$Q$18),U2970,0)</t>
  </si>
  <si>
    <t>=IF(AND($M2970&gt;=$R$16,$M2970&lt;=$R$18),U2970,0)</t>
  </si>
  <si>
    <t>=IF(AND($M2970&gt;=$S$16,$M2970&lt;=$S$18),U2970,0)</t>
  </si>
  <si>
    <t>=IF($M2970&lt;=$T$18,U2970,0)</t>
  </si>
  <si>
    <t>="""NAV Direct"",""CRONUS JetCorp USA"",""21"",""1"",""440823"""</t>
  </si>
  <si>
    <t>=E2969</t>
  </si>
  <si>
    <t>=StartDate-$M2971+1</t>
  </si>
  <si>
    <t>=SUM(P2971:T2971)</t>
  </si>
  <si>
    <t>=IF($M2971&gt;=$P$18,U2971,0)</t>
  </si>
  <si>
    <t>=IF(AND($M2971&gt;=$Q$16,$M2971&lt;=$Q$18),U2971,0)</t>
  </si>
  <si>
    <t>=IF(AND($M2971&gt;=$R$16,$M2971&lt;=$R$18),U2971,0)</t>
  </si>
  <si>
    <t>=IF(AND($M2971&gt;=$S$16,$M2971&lt;=$S$18),U2971,0)</t>
  </si>
  <si>
    <t>=IF($M2971&lt;=$T$18,U2971,0)</t>
  </si>
  <si>
    <t>="""NAV Direct"",""CRONUS JetCorp USA"",""21"",""1"",""440973"""</t>
  </si>
  <si>
    <t>=E2970</t>
  </si>
  <si>
    <t>=StartDate-$M2972+1</t>
  </si>
  <si>
    <t>=SUM(P2972:T2972)</t>
  </si>
  <si>
    <t>=IF($M2972&gt;=$P$18,U2972,0)</t>
  </si>
  <si>
    <t>=IF(AND($M2972&gt;=$Q$16,$M2972&lt;=$Q$18),U2972,0)</t>
  </si>
  <si>
    <t>=IF(AND($M2972&gt;=$R$16,$M2972&lt;=$R$18),U2972,0)</t>
  </si>
  <si>
    <t>=IF(AND($M2972&gt;=$S$16,$M2972&lt;=$S$18),U2972,0)</t>
  </si>
  <si>
    <t>=IF($M2972&lt;=$T$18,U2972,0)</t>
  </si>
  <si>
    <t>="""NAV Direct"",""CRONUS JetCorp USA"",""21"",""1"",""441145"""</t>
  </si>
  <si>
    <t>=E2971</t>
  </si>
  <si>
    <t>=StartDate-$M2973+1</t>
  </si>
  <si>
    <t>=SUM(P2973:T2973)</t>
  </si>
  <si>
    <t>=IF($M2973&gt;=$P$18,U2973,0)</t>
  </si>
  <si>
    <t>=IF(AND($M2973&gt;=$Q$16,$M2973&lt;=$Q$18),U2973,0)</t>
  </si>
  <si>
    <t>=IF(AND($M2973&gt;=$R$16,$M2973&lt;=$R$18),U2973,0)</t>
  </si>
  <si>
    <t>=IF(AND($M2973&gt;=$S$16,$M2973&lt;=$S$18),U2973,0)</t>
  </si>
  <si>
    <t>=IF($M2973&lt;=$T$18,U2973,0)</t>
  </si>
  <si>
    <t>="""NAV Direct"",""CRONUS JetCorp USA"",""21"",""1"",""441160"""</t>
  </si>
  <si>
    <t>=E2972</t>
  </si>
  <si>
    <t>=StartDate-$M2974+1</t>
  </si>
  <si>
    <t>=SUM(P2974:T2974)</t>
  </si>
  <si>
    <t>=IF($M2974&gt;=$P$18,U2974,0)</t>
  </si>
  <si>
    <t>=IF(AND($M2974&gt;=$Q$16,$M2974&lt;=$Q$18),U2974,0)</t>
  </si>
  <si>
    <t>=IF(AND($M2974&gt;=$R$16,$M2974&lt;=$R$18),U2974,0)</t>
  </si>
  <si>
    <t>=IF(AND($M2974&gt;=$S$16,$M2974&lt;=$S$18),U2974,0)</t>
  </si>
  <si>
    <t>=IF($M2974&lt;=$T$18,U2974,0)</t>
  </si>
  <si>
    <t>="""NAV Direct"",""CRONUS JetCorp USA"",""21"",""1"",""441380"""</t>
  </si>
  <si>
    <t>=E2973</t>
  </si>
  <si>
    <t>=StartDate-$M2975+1</t>
  </si>
  <si>
    <t>=SUM(P2975:T2975)</t>
  </si>
  <si>
    <t>=IF($M2975&gt;=$P$18,U2975,0)</t>
  </si>
  <si>
    <t>=IF(AND($M2975&gt;=$Q$16,$M2975&lt;=$Q$18),U2975,0)</t>
  </si>
  <si>
    <t>=IF(AND($M2975&gt;=$R$16,$M2975&lt;=$R$18),U2975,0)</t>
  </si>
  <si>
    <t>=IF(AND($M2975&gt;=$S$16,$M2975&lt;=$S$18),U2975,0)</t>
  </si>
  <si>
    <t>=IF($M2975&lt;=$T$18,U2975,0)</t>
  </si>
  <si>
    <t>="""NAV Direct"",""CRONUS JetCorp USA"",""21"",""1"",""441569"""</t>
  </si>
  <si>
    <t>=E2974</t>
  </si>
  <si>
    <t>=StartDate-$M2976+1</t>
  </si>
  <si>
    <t>=SUM(P2976:T2976)</t>
  </si>
  <si>
    <t>=IF($M2976&gt;=$P$18,U2976,0)</t>
  </si>
  <si>
    <t>=IF(AND($M2976&gt;=$Q$16,$M2976&lt;=$Q$18),U2976,0)</t>
  </si>
  <si>
    <t>=IF(AND($M2976&gt;=$R$16,$M2976&lt;=$R$18),U2976,0)</t>
  </si>
  <si>
    <t>=IF(AND($M2976&gt;=$S$16,$M2976&lt;=$S$18),U2976,0)</t>
  </si>
  <si>
    <t>=IF($M2976&lt;=$T$18,U2976,0)</t>
  </si>
  <si>
    <t>="""NAV Direct"",""CRONUS JetCorp USA"",""18"",""1"",""C100092"""</t>
  </si>
  <si>
    <t>=H2979</t>
  </si>
  <si>
    <t>=NF($C2979,"1 No.")</t>
  </si>
  <si>
    <t>=NF($C2979,"1 No.")&amp;"  -  "&amp;NF($C2979,"2 Name")</t>
  </si>
  <si>
    <t>=IFERROR(O2979/NF(C2979,"Credit Limit (LCY)"),"")</t>
  </si>
  <si>
    <t>=SUBTOTAL(3,L2980:L3000)</t>
  </si>
  <si>
    <t>=SUBTOTAL(9,O2980:O3000)</t>
  </si>
  <si>
    <t>=SUBTOTAL(9,P2980:P3000)</t>
  </si>
  <si>
    <t>=SUBTOTAL(9,Q2980:Q3000)</t>
  </si>
  <si>
    <t>=SUBTOTAL(9,R2980:R3000)</t>
  </si>
  <si>
    <t>=SUBTOTAL(9,S2980:S3000)</t>
  </si>
  <si>
    <t>=SUBTOTAL(9,T2980:T3000)</t>
  </si>
  <si>
    <t>=C2979</t>
  </si>
  <si>
    <t>=E2979</t>
  </si>
  <si>
    <t>="Contact: "&amp;NF($C2980,"8 Contact")</t>
  </si>
  <si>
    <t>=C2980</t>
  </si>
  <si>
    <t>=E2980</t>
  </si>
  <si>
    <t>=NF($C2981,"102 E-Mail")</t>
  </si>
  <si>
    <t>=NL("Rows","21 Cust. Ledger Entry",,"3 Customer No.","@@"&amp;$E2983,"16 Remaining Amt. (LCY)","&lt;&gt;0")</t>
  </si>
  <si>
    <t>=E2981</t>
  </si>
  <si>
    <t>=StartDate-$M2983+1</t>
  </si>
  <si>
    <t>=SUM(P2983:T2983)</t>
  </si>
  <si>
    <t>=IF($M2983&gt;=$P$18,U2983,0)</t>
  </si>
  <si>
    <t>=IF(AND($M2983&gt;=$Q$16,$M2983&lt;=$Q$18),U2983,0)</t>
  </si>
  <si>
    <t>=IF(AND($M2983&gt;=$R$16,$M2983&lt;=$R$18),U2983,0)</t>
  </si>
  <si>
    <t>=IF(AND($M2983&gt;=$S$16,$M2983&lt;=$S$18),U2983,0)</t>
  </si>
  <si>
    <t>=IF($M2983&lt;=$T$18,U2983,0)</t>
  </si>
  <si>
    <t>="""NAV Direct"",""CRONUS JetCorp USA"",""21"",""1"",""98047"""</t>
  </si>
  <si>
    <t>=E2982</t>
  </si>
  <si>
    <t>=StartDate-$M2984+1</t>
  </si>
  <si>
    <t>=SUM(P2984:T2984)</t>
  </si>
  <si>
    <t>=IF($M2984&gt;=$P$18,U2984,0)</t>
  </si>
  <si>
    <t>=IF(AND($M2984&gt;=$Q$16,$M2984&lt;=$Q$18),U2984,0)</t>
  </si>
  <si>
    <t>=IF(AND($M2984&gt;=$R$16,$M2984&lt;=$R$18),U2984,0)</t>
  </si>
  <si>
    <t>=IF(AND($M2984&gt;=$S$16,$M2984&lt;=$S$18),U2984,0)</t>
  </si>
  <si>
    <t>=IF($M2984&lt;=$T$18,U2984,0)</t>
  </si>
  <si>
    <t>="""NAV Direct"",""CRONUS JetCorp USA"",""21"",""1"",""98380"""</t>
  </si>
  <si>
    <t>=E2983</t>
  </si>
  <si>
    <t>=StartDate-$M2985+1</t>
  </si>
  <si>
    <t>=SUM(P2985:T2985)</t>
  </si>
  <si>
    <t>=IF($M2985&gt;=$P$18,U2985,0)</t>
  </si>
  <si>
    <t>=IF(AND($M2985&gt;=$Q$16,$M2985&lt;=$Q$18),U2985,0)</t>
  </si>
  <si>
    <t>=IF(AND($M2985&gt;=$R$16,$M2985&lt;=$R$18),U2985,0)</t>
  </si>
  <si>
    <t>=IF(AND($M2985&gt;=$S$16,$M2985&lt;=$S$18),U2985,0)</t>
  </si>
  <si>
    <t>=IF($M2985&lt;=$T$18,U2985,0)</t>
  </si>
  <si>
    <t>="""NAV Direct"",""CRONUS JetCorp USA"",""21"",""1"",""377250"""</t>
  </si>
  <si>
    <t>=E2984</t>
  </si>
  <si>
    <t>=StartDate-$M2986+1</t>
  </si>
  <si>
    <t>=SUM(P2986:T2986)</t>
  </si>
  <si>
    <t>=IF($M2986&gt;=$P$18,U2986,0)</t>
  </si>
  <si>
    <t>=IF(AND($M2986&gt;=$Q$16,$M2986&lt;=$Q$18),U2986,0)</t>
  </si>
  <si>
    <t>=IF(AND($M2986&gt;=$R$16,$M2986&lt;=$R$18),U2986,0)</t>
  </si>
  <si>
    <t>=IF(AND($M2986&gt;=$S$16,$M2986&lt;=$S$18),U2986,0)</t>
  </si>
  <si>
    <t>=IF($M2986&lt;=$T$18,U2986,0)</t>
  </si>
  <si>
    <t>="""NAV Direct"",""CRONUS JetCorp USA"",""21"",""1"",""377376"""</t>
  </si>
  <si>
    <t>=E2985</t>
  </si>
  <si>
    <t>=StartDate-$M2987+1</t>
  </si>
  <si>
    <t>=SUM(P2987:T2987)</t>
  </si>
  <si>
    <t>=IF($M2987&gt;=$P$18,U2987,0)</t>
  </si>
  <si>
    <t>=IF(AND($M2987&gt;=$Q$16,$M2987&lt;=$Q$18),U2987,0)</t>
  </si>
  <si>
    <t>=IF(AND($M2987&gt;=$R$16,$M2987&lt;=$R$18),U2987,0)</t>
  </si>
  <si>
    <t>=IF(AND($M2987&gt;=$S$16,$M2987&lt;=$S$18),U2987,0)</t>
  </si>
  <si>
    <t>=IF($M2987&lt;=$T$18,U2987,0)</t>
  </si>
  <si>
    <t>="""NAV Direct"",""CRONUS JetCorp USA"",""21"",""1"",""378038"""</t>
  </si>
  <si>
    <t>=E2986</t>
  </si>
  <si>
    <t>=StartDate-$M2988+1</t>
  </si>
  <si>
    <t>=SUM(P2988:T2988)</t>
  </si>
  <si>
    <t>=IF($M2988&gt;=$P$18,U2988,0)</t>
  </si>
  <si>
    <t>=IF(AND($M2988&gt;=$Q$16,$M2988&lt;=$Q$18),U2988,0)</t>
  </si>
  <si>
    <t>=IF(AND($M2988&gt;=$R$16,$M2988&lt;=$R$18),U2988,0)</t>
  </si>
  <si>
    <t>=IF(AND($M2988&gt;=$S$16,$M2988&lt;=$S$18),U2988,0)</t>
  </si>
  <si>
    <t>=IF($M2988&lt;=$T$18,U2988,0)</t>
  </si>
  <si>
    <t>="""NAV Direct"",""CRONUS JetCorp USA"",""21"",""1"",""378164"""</t>
  </si>
  <si>
    <t>=E2987</t>
  </si>
  <si>
    <t>=StartDate-$M2989+1</t>
  </si>
  <si>
    <t>=SUM(P2989:T2989)</t>
  </si>
  <si>
    <t>=IF($M2989&gt;=$P$18,U2989,0)</t>
  </si>
  <si>
    <t>=IF(AND($M2989&gt;=$Q$16,$M2989&lt;=$Q$18),U2989,0)</t>
  </si>
  <si>
    <t>=IF(AND($M2989&gt;=$R$16,$M2989&lt;=$R$18),U2989,0)</t>
  </si>
  <si>
    <t>=IF(AND($M2989&gt;=$S$16,$M2989&lt;=$S$18),U2989,0)</t>
  </si>
  <si>
    <t>=IF($M2989&lt;=$T$18,U2989,0)</t>
  </si>
  <si>
    <t>="""NAV Direct"",""CRONUS JetCorp USA"",""21"",""1"",""378271"""</t>
  </si>
  <si>
    <t>=E2988</t>
  </si>
  <si>
    <t>=StartDate-$M2990+1</t>
  </si>
  <si>
    <t>=SUM(P2990:T2990)</t>
  </si>
  <si>
    <t>=IF($M2990&gt;=$P$18,U2990,0)</t>
  </si>
  <si>
    <t>=IF(AND($M2990&gt;=$Q$16,$M2990&lt;=$Q$18),U2990,0)</t>
  </si>
  <si>
    <t>=IF(AND($M2990&gt;=$R$16,$M2990&lt;=$R$18),U2990,0)</t>
  </si>
  <si>
    <t>=IF(AND($M2990&gt;=$S$16,$M2990&lt;=$S$18),U2990,0)</t>
  </si>
  <si>
    <t>=IF($M2990&lt;=$T$18,U2990,0)</t>
  </si>
  <si>
    <t>="""NAV Direct"",""CRONUS JetCorp USA"",""21"",""1"",""378351"""</t>
  </si>
  <si>
    <t>=E2989</t>
  </si>
  <si>
    <t>=StartDate-$M2991+1</t>
  </si>
  <si>
    <t>=SUM(P2991:T2991)</t>
  </si>
  <si>
    <t>=IF($M2991&gt;=$P$18,U2991,0)</t>
  </si>
  <si>
    <t>=IF(AND($M2991&gt;=$Q$16,$M2991&lt;=$Q$18),U2991,0)</t>
  </si>
  <si>
    <t>=IF(AND($M2991&gt;=$R$16,$M2991&lt;=$R$18),U2991,0)</t>
  </si>
  <si>
    <t>=IF(AND($M2991&gt;=$S$16,$M2991&lt;=$S$18),U2991,0)</t>
  </si>
  <si>
    <t>=IF($M2991&lt;=$T$18,U2991,0)</t>
  </si>
  <si>
    <t>="""NAV Direct"",""CRONUS JetCorp USA"",""21"",""1"",""378786"""</t>
  </si>
  <si>
    <t>=E2990</t>
  </si>
  <si>
    <t>=StartDate-$M2992+1</t>
  </si>
  <si>
    <t>=SUM(P2992:T2992)</t>
  </si>
  <si>
    <t>=IF($M2992&gt;=$P$18,U2992,0)</t>
  </si>
  <si>
    <t>=IF(AND($M2992&gt;=$Q$16,$M2992&lt;=$Q$18),U2992,0)</t>
  </si>
  <si>
    <t>=IF(AND($M2992&gt;=$R$16,$M2992&lt;=$R$18),U2992,0)</t>
  </si>
  <si>
    <t>=IF(AND($M2992&gt;=$S$16,$M2992&lt;=$S$18),U2992,0)</t>
  </si>
  <si>
    <t>=IF($M2992&lt;=$T$18,U2992,0)</t>
  </si>
  <si>
    <t>="""NAV Direct"",""CRONUS JetCorp USA"",""21"",""1"",""379474"""</t>
  </si>
  <si>
    <t>=E2991</t>
  </si>
  <si>
    <t>=StartDate-$M2993+1</t>
  </si>
  <si>
    <t>=SUM(P2993:T2993)</t>
  </si>
  <si>
    <t>=IF($M2993&gt;=$P$18,U2993,0)</t>
  </si>
  <si>
    <t>=IF(AND($M2993&gt;=$Q$16,$M2993&lt;=$Q$18),U2993,0)</t>
  </si>
  <si>
    <t>=IF(AND($M2993&gt;=$R$16,$M2993&lt;=$R$18),U2993,0)</t>
  </si>
  <si>
    <t>=IF(AND($M2993&gt;=$S$16,$M2993&lt;=$S$18),U2993,0)</t>
  </si>
  <si>
    <t>=IF($M2993&lt;=$T$18,U2993,0)</t>
  </si>
  <si>
    <t>="""NAV Direct"",""CRONUS JetCorp USA"",""21"",""1"",""379651"""</t>
  </si>
  <si>
    <t>=E2992</t>
  </si>
  <si>
    <t>=StartDate-$M2994+1</t>
  </si>
  <si>
    <t>=SUM(P2994:T2994)</t>
  </si>
  <si>
    <t>=IF($M2994&gt;=$P$18,U2994,0)</t>
  </si>
  <si>
    <t>=IF(AND($M2994&gt;=$Q$16,$M2994&lt;=$Q$18),U2994,0)</t>
  </si>
  <si>
    <t>=IF(AND($M2994&gt;=$R$16,$M2994&lt;=$R$18),U2994,0)</t>
  </si>
  <si>
    <t>=IF(AND($M2994&gt;=$S$16,$M2994&lt;=$S$18),U2994,0)</t>
  </si>
  <si>
    <t>=IF($M2994&lt;=$T$18,U2994,0)</t>
  </si>
  <si>
    <t>="""NAV Direct"",""CRONUS JetCorp USA"",""21"",""1"",""379885"""</t>
  </si>
  <si>
    <t>=E2993</t>
  </si>
  <si>
    <t>=StartDate-$M2995+1</t>
  </si>
  <si>
    <t>=SUM(P2995:T2995)</t>
  </si>
  <si>
    <t>=IF($M2995&gt;=$P$18,U2995,0)</t>
  </si>
  <si>
    <t>=IF(AND($M2995&gt;=$Q$16,$M2995&lt;=$Q$18),U2995,0)</t>
  </si>
  <si>
    <t>=IF(AND($M2995&gt;=$R$16,$M2995&lt;=$R$18),U2995,0)</t>
  </si>
  <si>
    <t>=IF(AND($M2995&gt;=$S$16,$M2995&lt;=$S$18),U2995,0)</t>
  </si>
  <si>
    <t>=IF($M2995&lt;=$T$18,U2995,0)</t>
  </si>
  <si>
    <t>="""NAV Direct"",""CRONUS JetCorp USA"",""21"",""1"",""379994"""</t>
  </si>
  <si>
    <t>=E2994</t>
  </si>
  <si>
    <t>=StartDate-$M2996+1</t>
  </si>
  <si>
    <t>=SUM(P2996:T2996)</t>
  </si>
  <si>
    <t>=IF($M2996&gt;=$P$18,U2996,0)</t>
  </si>
  <si>
    <t>=IF(AND($M2996&gt;=$Q$16,$M2996&lt;=$Q$18),U2996,0)</t>
  </si>
  <si>
    <t>=IF(AND($M2996&gt;=$R$16,$M2996&lt;=$R$18),U2996,0)</t>
  </si>
  <si>
    <t>=IF(AND($M2996&gt;=$S$16,$M2996&lt;=$S$18),U2996,0)</t>
  </si>
  <si>
    <t>=IF($M2996&lt;=$T$18,U2996,0)</t>
  </si>
  <si>
    <t>="""NAV Direct"",""CRONUS JetCorp USA"",""21"",""1"",""437883"""</t>
  </si>
  <si>
    <t>=E2995</t>
  </si>
  <si>
    <t>=StartDate-$M2997+1</t>
  </si>
  <si>
    <t>=SUM(P2997:T2997)</t>
  </si>
  <si>
    <t>=IF($M2997&gt;=$P$18,U2997,0)</t>
  </si>
  <si>
    <t>=IF(AND($M2997&gt;=$Q$16,$M2997&lt;=$Q$18),U2997,0)</t>
  </si>
  <si>
    <t>=IF(AND($M2997&gt;=$R$16,$M2997&lt;=$R$18),U2997,0)</t>
  </si>
  <si>
    <t>=IF(AND($M2997&gt;=$S$16,$M2997&lt;=$S$18),U2997,0)</t>
  </si>
  <si>
    <t>=IF($M2997&lt;=$T$18,U2997,0)</t>
  </si>
  <si>
    <t>="""NAV Direct"",""CRONUS JetCorp USA"",""21"",""1"",""437915"""</t>
  </si>
  <si>
    <t>=E2996</t>
  </si>
  <si>
    <t>=StartDate-$M2998+1</t>
  </si>
  <si>
    <t>=SUM(P2998:T2998)</t>
  </si>
  <si>
    <t>=IF($M2998&gt;=$P$18,U2998,0)</t>
  </si>
  <si>
    <t>=IF(AND($M2998&gt;=$Q$16,$M2998&lt;=$Q$18),U2998,0)</t>
  </si>
  <si>
    <t>=IF(AND($M2998&gt;=$R$16,$M2998&lt;=$R$18),U2998,0)</t>
  </si>
  <si>
    <t>=IF(AND($M2998&gt;=$S$16,$M2998&lt;=$S$18),U2998,0)</t>
  </si>
  <si>
    <t>=IF($M2998&lt;=$T$18,U2998,0)</t>
  </si>
  <si>
    <t>="""NAV Direct"",""CRONUS JetCorp USA"",""21"",""1"",""438061"""</t>
  </si>
  <si>
    <t>=E2997</t>
  </si>
  <si>
    <t>=StartDate-$M2999+1</t>
  </si>
  <si>
    <t>=SUM(P2999:T2999)</t>
  </si>
  <si>
    <t>=IF($M2999&gt;=$P$18,U2999,0)</t>
  </si>
  <si>
    <t>=IF(AND($M2999&gt;=$Q$16,$M2999&lt;=$Q$18),U2999,0)</t>
  </si>
  <si>
    <t>=IF(AND($M2999&gt;=$R$16,$M2999&lt;=$R$18),U2999,0)</t>
  </si>
  <si>
    <t>=IF(AND($M2999&gt;=$S$16,$M2999&lt;=$S$18),U2999,0)</t>
  </si>
  <si>
    <t>=IF($M2999&lt;=$T$18,U2999,0)</t>
  </si>
  <si>
    <t>="""NAV Direct"",""CRONUS JetCorp USA"",""18"",""1"",""C100094"""</t>
  </si>
  <si>
    <t>=H3002</t>
  </si>
  <si>
    <t>=NF($C3002,"1 No.")</t>
  </si>
  <si>
    <t>=NF($C3002,"1 No.")&amp;"  -  "&amp;NF($C3002,"2 Name")</t>
  </si>
  <si>
    <t>=IFERROR(O3002/NF(C3002,"Credit Limit (LCY)"),"")</t>
  </si>
  <si>
    <t>=SUBTOTAL(3,L3003:L3017)</t>
  </si>
  <si>
    <t>=SUBTOTAL(9,O3003:O3017)</t>
  </si>
  <si>
    <t>=SUBTOTAL(9,P3003:P3017)</t>
  </si>
  <si>
    <t>=SUBTOTAL(9,Q3003:Q3017)</t>
  </si>
  <si>
    <t>=SUBTOTAL(9,R3003:R3017)</t>
  </si>
  <si>
    <t>=SUBTOTAL(9,S3003:S3017)</t>
  </si>
  <si>
    <t>=SUBTOTAL(9,T3003:T3017)</t>
  </si>
  <si>
    <t>=C3002</t>
  </si>
  <si>
    <t>=E3002</t>
  </si>
  <si>
    <t>="Contact: "&amp;NF($C3003,"8 Contact")</t>
  </si>
  <si>
    <t>=C3003</t>
  </si>
  <si>
    <t>=E3003</t>
  </si>
  <si>
    <t>=NF($C3004,"102 E-Mail")</t>
  </si>
  <si>
    <t>=NL("Rows","21 Cust. Ledger Entry",,"3 Customer No.","@@"&amp;$E3006,"16 Remaining Amt. (LCY)","&lt;&gt;0")</t>
  </si>
  <si>
    <t>=E3004</t>
  </si>
  <si>
    <t>=StartDate-$M3006+1</t>
  </si>
  <si>
    <t>=SUM(P3006:T3006)</t>
  </si>
  <si>
    <t>=IF($M3006&gt;=$P$18,U3006,0)</t>
  </si>
  <si>
    <t>=IF(AND($M3006&gt;=$Q$16,$M3006&lt;=$Q$18),U3006,0)</t>
  </si>
  <si>
    <t>=IF(AND($M3006&gt;=$R$16,$M3006&lt;=$R$18),U3006,0)</t>
  </si>
  <si>
    <t>=IF(AND($M3006&gt;=$S$16,$M3006&lt;=$S$18),U3006,0)</t>
  </si>
  <si>
    <t>=IF($M3006&lt;=$T$18,U3006,0)</t>
  </si>
  <si>
    <t>="""NAV Direct"",""CRONUS JetCorp USA"",""21"",""1"",""191184"""</t>
  </si>
  <si>
    <t>=E3005</t>
  </si>
  <si>
    <t>=StartDate-$M3007+1</t>
  </si>
  <si>
    <t>=SUM(P3007:T3007)</t>
  </si>
  <si>
    <t>=IF($M3007&gt;=$P$18,U3007,0)</t>
  </si>
  <si>
    <t>=IF(AND($M3007&gt;=$Q$16,$M3007&lt;=$Q$18),U3007,0)</t>
  </si>
  <si>
    <t>=IF(AND($M3007&gt;=$R$16,$M3007&lt;=$R$18),U3007,0)</t>
  </si>
  <si>
    <t>=IF(AND($M3007&gt;=$S$16,$M3007&lt;=$S$18),U3007,0)</t>
  </si>
  <si>
    <t>=IF($M3007&lt;=$T$18,U3007,0)</t>
  </si>
  <si>
    <t>="""NAV Direct"",""CRONUS JetCorp USA"",""21"",""1"",""191591"""</t>
  </si>
  <si>
    <t>=E3006</t>
  </si>
  <si>
    <t>=StartDate-$M3008+1</t>
  </si>
  <si>
    <t>=SUM(P3008:T3008)</t>
  </si>
  <si>
    <t>=IF($M3008&gt;=$P$18,U3008,0)</t>
  </si>
  <si>
    <t>=IF(AND($M3008&gt;=$Q$16,$M3008&lt;=$Q$18),U3008,0)</t>
  </si>
  <si>
    <t>=IF(AND($M3008&gt;=$R$16,$M3008&lt;=$R$18),U3008,0)</t>
  </si>
  <si>
    <t>=IF(AND($M3008&gt;=$S$16,$M3008&lt;=$S$18),U3008,0)</t>
  </si>
  <si>
    <t>=IF($M3008&lt;=$T$18,U3008,0)</t>
  </si>
  <si>
    <t>="""NAV Direct"",""CRONUS JetCorp USA"",""21"",""1"",""191650"""</t>
  </si>
  <si>
    <t>=E3007</t>
  </si>
  <si>
    <t>=StartDate-$M3009+1</t>
  </si>
  <si>
    <t>=SUM(P3009:T3009)</t>
  </si>
  <si>
    <t>=IF($M3009&gt;=$P$18,U3009,0)</t>
  </si>
  <si>
    <t>=IF(AND($M3009&gt;=$Q$16,$M3009&lt;=$Q$18),U3009,0)</t>
  </si>
  <si>
    <t>=IF(AND($M3009&gt;=$R$16,$M3009&lt;=$R$18),U3009,0)</t>
  </si>
  <si>
    <t>=IF(AND($M3009&gt;=$S$16,$M3009&lt;=$S$18),U3009,0)</t>
  </si>
  <si>
    <t>=IF($M3009&lt;=$T$18,U3009,0)</t>
  </si>
  <si>
    <t>="""NAV Direct"",""CRONUS JetCorp USA"",""21"",""1"",""192022"""</t>
  </si>
  <si>
    <t>=E3008</t>
  </si>
  <si>
    <t>=StartDate-$M3010+1</t>
  </si>
  <si>
    <t>=SUM(P3010:T3010)</t>
  </si>
  <si>
    <t>=IF($M3010&gt;=$P$18,U3010,0)</t>
  </si>
  <si>
    <t>=IF(AND($M3010&gt;=$Q$16,$M3010&lt;=$Q$18),U3010,0)</t>
  </si>
  <si>
    <t>=IF(AND($M3010&gt;=$R$16,$M3010&lt;=$R$18),U3010,0)</t>
  </si>
  <si>
    <t>=IF(AND($M3010&gt;=$S$16,$M3010&lt;=$S$18),U3010,0)</t>
  </si>
  <si>
    <t>=IF($M3010&lt;=$T$18,U3010,0)</t>
  </si>
  <si>
    <t>="""NAV Direct"",""CRONUS JetCorp USA"",""21"",""1"",""192266"""</t>
  </si>
  <si>
    <t>=E3009</t>
  </si>
  <si>
    <t>=StartDate-$M3011+1</t>
  </si>
  <si>
    <t>=SUM(P3011:T3011)</t>
  </si>
  <si>
    <t>=IF($M3011&gt;=$P$18,U3011,0)</t>
  </si>
  <si>
    <t>=IF(AND($M3011&gt;=$Q$16,$M3011&lt;=$Q$18),U3011,0)</t>
  </si>
  <si>
    <t>=IF(AND($M3011&gt;=$R$16,$M3011&lt;=$R$18),U3011,0)</t>
  </si>
  <si>
    <t>=IF(AND($M3011&gt;=$S$16,$M3011&lt;=$S$18),U3011,0)</t>
  </si>
  <si>
    <t>=IF($M3011&lt;=$T$18,U3011,0)</t>
  </si>
  <si>
    <t>="""NAV Direct"",""CRONUS JetCorp USA"",""21"",""1"",""192459"""</t>
  </si>
  <si>
    <t>=E3010</t>
  </si>
  <si>
    <t>=StartDate-$M3012+1</t>
  </si>
  <si>
    <t>=SUM(P3012:T3012)</t>
  </si>
  <si>
    <t>=IF($M3012&gt;=$P$18,U3012,0)</t>
  </si>
  <si>
    <t>=IF(AND($M3012&gt;=$Q$16,$M3012&lt;=$Q$18),U3012,0)</t>
  </si>
  <si>
    <t>=IF(AND($M3012&gt;=$R$16,$M3012&lt;=$R$18),U3012,0)</t>
  </si>
  <si>
    <t>=IF(AND($M3012&gt;=$S$16,$M3012&lt;=$S$18),U3012,0)</t>
  </si>
  <si>
    <t>=IF($M3012&lt;=$T$18,U3012,0)</t>
  </si>
  <si>
    <t>="""NAV Direct"",""CRONUS JetCorp USA"",""21"",""1"",""192750"""</t>
  </si>
  <si>
    <t>=E3011</t>
  </si>
  <si>
    <t>=StartDate-$M3013+1</t>
  </si>
  <si>
    <t>=SUM(P3013:T3013)</t>
  </si>
  <si>
    <t>=IF($M3013&gt;=$P$18,U3013,0)</t>
  </si>
  <si>
    <t>=IF(AND($M3013&gt;=$Q$16,$M3013&lt;=$Q$18),U3013,0)</t>
  </si>
  <si>
    <t>=IF(AND($M3013&gt;=$R$16,$M3013&lt;=$R$18),U3013,0)</t>
  </si>
  <si>
    <t>=IF(AND($M3013&gt;=$S$16,$M3013&lt;=$S$18),U3013,0)</t>
  </si>
  <si>
    <t>=IF($M3013&lt;=$T$18,U3013,0)</t>
  </si>
  <si>
    <t>="""NAV Direct"",""CRONUS JetCorp USA"",""21"",""1"",""193338"""</t>
  </si>
  <si>
    <t>=E3012</t>
  </si>
  <si>
    <t>=StartDate-$M3014+1</t>
  </si>
  <si>
    <t>=SUM(P3014:T3014)</t>
  </si>
  <si>
    <t>=IF($M3014&gt;=$P$18,U3014,0)</t>
  </si>
  <si>
    <t>=IF(AND($M3014&gt;=$Q$16,$M3014&lt;=$Q$18),U3014,0)</t>
  </si>
  <si>
    <t>=IF(AND($M3014&gt;=$R$16,$M3014&lt;=$R$18),U3014,0)</t>
  </si>
  <si>
    <t>=IF(AND($M3014&gt;=$S$16,$M3014&lt;=$S$18),U3014,0)</t>
  </si>
  <si>
    <t>=IF($M3014&lt;=$T$18,U3014,0)</t>
  </si>
  <si>
    <t>="""NAV Direct"",""CRONUS JetCorp USA"",""21"",""1"",""443637"""</t>
  </si>
  <si>
    <t>=E3013</t>
  </si>
  <si>
    <t>=StartDate-$M3015+1</t>
  </si>
  <si>
    <t>=SUM(P3015:T3015)</t>
  </si>
  <si>
    <t>=IF($M3015&gt;=$P$18,U3015,0)</t>
  </si>
  <si>
    <t>=IF(AND($M3015&gt;=$Q$16,$M3015&lt;=$Q$18),U3015,0)</t>
  </si>
  <si>
    <t>=IF(AND($M3015&gt;=$R$16,$M3015&lt;=$R$18),U3015,0)</t>
  </si>
  <si>
    <t>=IF(AND($M3015&gt;=$S$16,$M3015&lt;=$S$18),U3015,0)</t>
  </si>
  <si>
    <t>=IF($M3015&lt;=$T$18,U3015,0)</t>
  </si>
  <si>
    <t>="""NAV Direct"",""CRONUS JetCorp USA"",""21"",""1"",""443850"""</t>
  </si>
  <si>
    <t>=E3014</t>
  </si>
  <si>
    <t>=StartDate-$M3016+1</t>
  </si>
  <si>
    <t>=SUM(P3016:T3016)</t>
  </si>
  <si>
    <t>=IF($M3016&gt;=$P$18,U3016,0)</t>
  </si>
  <si>
    <t>=IF(AND($M3016&gt;=$Q$16,$M3016&lt;=$Q$18),U3016,0)</t>
  </si>
  <si>
    <t>=IF(AND($M3016&gt;=$R$16,$M3016&lt;=$R$18),U3016,0)</t>
  </si>
  <si>
    <t>=IF(AND($M3016&gt;=$S$16,$M3016&lt;=$S$18),U3016,0)</t>
  </si>
  <si>
    <t>=IF($M3016&lt;=$T$18,U3016,0)</t>
  </si>
  <si>
    <t>="""NAV Direct"",""CRONUS JetCorp USA"",""18"",""1"",""C100095"""</t>
  </si>
  <si>
    <t>=H3019</t>
  </si>
  <si>
    <t>=NF($C3019,"1 No.")</t>
  </si>
  <si>
    <t>=NF($C3019,"1 No.")&amp;"  -  "&amp;NF($C3019,"2 Name")</t>
  </si>
  <si>
    <t>=IFERROR(O3019/NF(C3019,"Credit Limit (LCY)"),"")</t>
  </si>
  <si>
    <t>=SUBTOTAL(3,L3020:L3079)</t>
  </si>
  <si>
    <t>=SUBTOTAL(9,O3020:O3079)</t>
  </si>
  <si>
    <t>=SUBTOTAL(9,P3020:P3079)</t>
  </si>
  <si>
    <t>=SUBTOTAL(9,Q3020:Q3079)</t>
  </si>
  <si>
    <t>=SUBTOTAL(9,R3020:R3079)</t>
  </si>
  <si>
    <t>=SUBTOTAL(9,S3020:S3079)</t>
  </si>
  <si>
    <t>=SUBTOTAL(9,T3020:T3079)</t>
  </si>
  <si>
    <t>=C3019</t>
  </si>
  <si>
    <t>=E3019</t>
  </si>
  <si>
    <t>="Contact: "&amp;NF($C3020,"8 Contact")</t>
  </si>
  <si>
    <t>=C3020</t>
  </si>
  <si>
    <t>=E3020</t>
  </si>
  <si>
    <t>=NF($C3021,"102 E-Mail")</t>
  </si>
  <si>
    <t>=NL("Rows","21 Cust. Ledger Entry",,"3 Customer No.","@@"&amp;$E3023,"16 Remaining Amt. (LCY)","&lt;&gt;0")</t>
  </si>
  <si>
    <t>=E3021</t>
  </si>
  <si>
    <t>=StartDate-$M3023+1</t>
  </si>
  <si>
    <t>=SUM(P3023:T3023)</t>
  </si>
  <si>
    <t>=IF($M3023&gt;=$P$18,U3023,0)</t>
  </si>
  <si>
    <t>=IF(AND($M3023&gt;=$Q$16,$M3023&lt;=$Q$18),U3023,0)</t>
  </si>
  <si>
    <t>=IF(AND($M3023&gt;=$R$16,$M3023&lt;=$R$18),U3023,0)</t>
  </si>
  <si>
    <t>=IF(AND($M3023&gt;=$S$16,$M3023&lt;=$S$18),U3023,0)</t>
  </si>
  <si>
    <t>=IF($M3023&lt;=$T$18,U3023,0)</t>
  </si>
  <si>
    <t>="""NAV Direct"",""CRONUS JetCorp USA"",""21"",""1"",""352276"""</t>
  </si>
  <si>
    <t>=E3022</t>
  </si>
  <si>
    <t>=StartDate-$M3024+1</t>
  </si>
  <si>
    <t>=SUM(P3024:T3024)</t>
  </si>
  <si>
    <t>=IF($M3024&gt;=$P$18,U3024,0)</t>
  </si>
  <si>
    <t>=IF(AND($M3024&gt;=$Q$16,$M3024&lt;=$Q$18),U3024,0)</t>
  </si>
  <si>
    <t>=IF(AND($M3024&gt;=$R$16,$M3024&lt;=$R$18),U3024,0)</t>
  </si>
  <si>
    <t>=IF(AND($M3024&gt;=$S$16,$M3024&lt;=$S$18),U3024,0)</t>
  </si>
  <si>
    <t>=IF($M3024&lt;=$T$18,U3024,0)</t>
  </si>
  <si>
    <t>="""NAV Direct"",""CRONUS JetCorp USA"",""21"",""1"",""352429"""</t>
  </si>
  <si>
    <t>=E3023</t>
  </si>
  <si>
    <t>=StartDate-$M3025+1</t>
  </si>
  <si>
    <t>=SUM(P3025:T3025)</t>
  </si>
  <si>
    <t>=IF($M3025&gt;=$P$18,U3025,0)</t>
  </si>
  <si>
    <t>=IF(AND($M3025&gt;=$Q$16,$M3025&lt;=$Q$18),U3025,0)</t>
  </si>
  <si>
    <t>=IF(AND($M3025&gt;=$R$16,$M3025&lt;=$R$18),U3025,0)</t>
  </si>
  <si>
    <t>=IF(AND($M3025&gt;=$S$16,$M3025&lt;=$S$18),U3025,0)</t>
  </si>
  <si>
    <t>=IF($M3025&lt;=$T$18,U3025,0)</t>
  </si>
  <si>
    <t>="""NAV Direct"",""CRONUS JetCorp USA"",""21"",""1"",""352526"""</t>
  </si>
  <si>
    <t>=E3024</t>
  </si>
  <si>
    <t>=StartDate-$M3026+1</t>
  </si>
  <si>
    <t>=SUM(P3026:T3026)</t>
  </si>
  <si>
    <t>=IF($M3026&gt;=$P$18,U3026,0)</t>
  </si>
  <si>
    <t>=IF(AND($M3026&gt;=$Q$16,$M3026&lt;=$Q$18),U3026,0)</t>
  </si>
  <si>
    <t>=IF(AND($M3026&gt;=$R$16,$M3026&lt;=$R$18),U3026,0)</t>
  </si>
  <si>
    <t>=IF(AND($M3026&gt;=$S$16,$M3026&lt;=$S$18),U3026,0)</t>
  </si>
  <si>
    <t>=IF($M3026&lt;=$T$18,U3026,0)</t>
  </si>
  <si>
    <t>="""NAV Direct"",""CRONUS JetCorp USA"",""21"",""1"",""352849"""</t>
  </si>
  <si>
    <t>=E3025</t>
  </si>
  <si>
    <t>=StartDate-$M3027+1</t>
  </si>
  <si>
    <t>=SUM(P3027:T3027)</t>
  </si>
  <si>
    <t>=IF($M3027&gt;=$P$18,U3027,0)</t>
  </si>
  <si>
    <t>=IF(AND($M3027&gt;=$Q$16,$M3027&lt;=$Q$18),U3027,0)</t>
  </si>
  <si>
    <t>=IF(AND($M3027&gt;=$R$16,$M3027&lt;=$R$18),U3027,0)</t>
  </si>
  <si>
    <t>=IF(AND($M3027&gt;=$S$16,$M3027&lt;=$S$18),U3027,0)</t>
  </si>
  <si>
    <t>=IF($M3027&lt;=$T$18,U3027,0)</t>
  </si>
  <si>
    <t>="""NAV Direct"",""CRONUS JetCorp USA"",""21"",""1"",""352917"""</t>
  </si>
  <si>
    <t>=E3026</t>
  </si>
  <si>
    <t>=StartDate-$M3028+1</t>
  </si>
  <si>
    <t>=SUM(P3028:T3028)</t>
  </si>
  <si>
    <t>=IF($M3028&gt;=$P$18,U3028,0)</t>
  </si>
  <si>
    <t>=IF(AND($M3028&gt;=$Q$16,$M3028&lt;=$Q$18),U3028,0)</t>
  </si>
  <si>
    <t>=IF(AND($M3028&gt;=$R$16,$M3028&lt;=$R$18),U3028,0)</t>
  </si>
  <si>
    <t>=IF(AND($M3028&gt;=$S$16,$M3028&lt;=$S$18),U3028,0)</t>
  </si>
  <si>
    <t>=IF($M3028&lt;=$T$18,U3028,0)</t>
  </si>
  <si>
    <t>="""NAV Direct"",""CRONUS JetCorp USA"",""21"",""1"",""353222"""</t>
  </si>
  <si>
    <t>=E3027</t>
  </si>
  <si>
    <t>=StartDate-$M3029+1</t>
  </si>
  <si>
    <t>=SUM(P3029:T3029)</t>
  </si>
  <si>
    <t>=IF($M3029&gt;=$P$18,U3029,0)</t>
  </si>
  <si>
    <t>=IF(AND($M3029&gt;=$Q$16,$M3029&lt;=$Q$18),U3029,0)</t>
  </si>
  <si>
    <t>=IF(AND($M3029&gt;=$R$16,$M3029&lt;=$R$18),U3029,0)</t>
  </si>
  <si>
    <t>=IF(AND($M3029&gt;=$S$16,$M3029&lt;=$S$18),U3029,0)</t>
  </si>
  <si>
    <t>=IF($M3029&lt;=$T$18,U3029,0)</t>
  </si>
  <si>
    <t>="""NAV Direct"",""CRONUS JetCorp USA"",""21"",""1"",""353391"""</t>
  </si>
  <si>
    <t>=E3028</t>
  </si>
  <si>
    <t>=StartDate-$M3030+1</t>
  </si>
  <si>
    <t>=SUM(P3030:T3030)</t>
  </si>
  <si>
    <t>=IF($M3030&gt;=$P$18,U3030,0)</t>
  </si>
  <si>
    <t>=IF(AND($M3030&gt;=$Q$16,$M3030&lt;=$Q$18),U3030,0)</t>
  </si>
  <si>
    <t>=IF(AND($M3030&gt;=$R$16,$M3030&lt;=$R$18),U3030,0)</t>
  </si>
  <si>
    <t>=IF(AND($M3030&gt;=$S$16,$M3030&lt;=$S$18),U3030,0)</t>
  </si>
  <si>
    <t>=IF($M3030&lt;=$T$18,U3030,0)</t>
  </si>
  <si>
    <t>="""NAV Direct"",""CRONUS JetCorp USA"",""21"",""1"",""353747"""</t>
  </si>
  <si>
    <t>=E3029</t>
  </si>
  <si>
    <t>=StartDate-$M3031+1</t>
  </si>
  <si>
    <t>=SUM(P3031:T3031)</t>
  </si>
  <si>
    <t>=IF($M3031&gt;=$P$18,U3031,0)</t>
  </si>
  <si>
    <t>=IF(AND($M3031&gt;=$Q$16,$M3031&lt;=$Q$18),U3031,0)</t>
  </si>
  <si>
    <t>=IF(AND($M3031&gt;=$R$16,$M3031&lt;=$R$18),U3031,0)</t>
  </si>
  <si>
    <t>=IF(AND($M3031&gt;=$S$16,$M3031&lt;=$S$18),U3031,0)</t>
  </si>
  <si>
    <t>=IF($M3031&lt;=$T$18,U3031,0)</t>
  </si>
  <si>
    <t>="""NAV Direct"",""CRONUS JetCorp USA"",""21"",""1"",""354034"""</t>
  </si>
  <si>
    <t>=E3030</t>
  </si>
  <si>
    <t>=StartDate-$M3032+1</t>
  </si>
  <si>
    <t>=SUM(P3032:T3032)</t>
  </si>
  <si>
    <t>=IF($M3032&gt;=$P$18,U3032,0)</t>
  </si>
  <si>
    <t>=IF(AND($M3032&gt;=$Q$16,$M3032&lt;=$Q$18),U3032,0)</t>
  </si>
  <si>
    <t>=IF(AND($M3032&gt;=$R$16,$M3032&lt;=$R$18),U3032,0)</t>
  </si>
  <si>
    <t>=IF(AND($M3032&gt;=$S$16,$M3032&lt;=$S$18),U3032,0)</t>
  </si>
  <si>
    <t>=IF($M3032&lt;=$T$18,U3032,0)</t>
  </si>
  <si>
    <t>="""NAV Direct"",""CRONUS JetCorp USA"",""21"",""1"",""354537"""</t>
  </si>
  <si>
    <t>=E3031</t>
  </si>
  <si>
    <t>=StartDate-$M3033+1</t>
  </si>
  <si>
    <t>=SUM(P3033:T3033)</t>
  </si>
  <si>
    <t>=IF($M3033&gt;=$P$18,U3033,0)</t>
  </si>
  <si>
    <t>=IF(AND($M3033&gt;=$Q$16,$M3033&lt;=$Q$18),U3033,0)</t>
  </si>
  <si>
    <t>=IF(AND($M3033&gt;=$R$16,$M3033&lt;=$R$18),U3033,0)</t>
  </si>
  <si>
    <t>=IF(AND($M3033&gt;=$S$16,$M3033&lt;=$S$18),U3033,0)</t>
  </si>
  <si>
    <t>=IF($M3033&lt;=$T$18,U3033,0)</t>
  </si>
  <si>
    <t>="""NAV Direct"",""CRONUS JetCorp USA"",""21"",""1"",""354922"""</t>
  </si>
  <si>
    <t>=E3032</t>
  </si>
  <si>
    <t>=StartDate-$M3034+1</t>
  </si>
  <si>
    <t>=SUM(P3034:T3034)</t>
  </si>
  <si>
    <t>=IF($M3034&gt;=$P$18,U3034,0)</t>
  </si>
  <si>
    <t>=IF(AND($M3034&gt;=$Q$16,$M3034&lt;=$Q$18),U3034,0)</t>
  </si>
  <si>
    <t>=IF(AND($M3034&gt;=$R$16,$M3034&lt;=$R$18),U3034,0)</t>
  </si>
  <si>
    <t>=IF(AND($M3034&gt;=$S$16,$M3034&lt;=$S$18),U3034,0)</t>
  </si>
  <si>
    <t>=IF($M3034&lt;=$T$18,U3034,0)</t>
  </si>
  <si>
    <t>="""NAV Direct"",""CRONUS JetCorp USA"",""21"",""1"",""355058"""</t>
  </si>
  <si>
    <t>=E3033</t>
  </si>
  <si>
    <t>=StartDate-$M3035+1</t>
  </si>
  <si>
    <t>=SUM(P3035:T3035)</t>
  </si>
  <si>
    <t>=IF($M3035&gt;=$P$18,U3035,0)</t>
  </si>
  <si>
    <t>=IF(AND($M3035&gt;=$Q$16,$M3035&lt;=$Q$18),U3035,0)</t>
  </si>
  <si>
    <t>=IF(AND($M3035&gt;=$R$16,$M3035&lt;=$R$18),U3035,0)</t>
  </si>
  <si>
    <t>=IF(AND($M3035&gt;=$S$16,$M3035&lt;=$S$18),U3035,0)</t>
  </si>
  <si>
    <t>=IF($M3035&lt;=$T$18,U3035,0)</t>
  </si>
  <si>
    <t>="""NAV Direct"",""CRONUS JetCorp USA"",""21"",""1"",""355369"""</t>
  </si>
  <si>
    <t>=E3034</t>
  </si>
  <si>
    <t>=StartDate-$M3036+1</t>
  </si>
  <si>
    <t>=SUM(P3036:T3036)</t>
  </si>
  <si>
    <t>=IF($M3036&gt;=$P$18,U3036,0)</t>
  </si>
  <si>
    <t>=IF(AND($M3036&gt;=$Q$16,$M3036&lt;=$Q$18),U3036,0)</t>
  </si>
  <si>
    <t>=IF(AND($M3036&gt;=$R$16,$M3036&lt;=$R$18),U3036,0)</t>
  </si>
  <si>
    <t>=IF(AND($M3036&gt;=$S$16,$M3036&lt;=$S$18),U3036,0)</t>
  </si>
  <si>
    <t>=IF($M3036&lt;=$T$18,U3036,0)</t>
  </si>
  <si>
    <t>="""NAV Direct"",""CRONUS JetCorp USA"",""21"",""1"",""355472"""</t>
  </si>
  <si>
    <t>=E3035</t>
  </si>
  <si>
    <t>=StartDate-$M3037+1</t>
  </si>
  <si>
    <t>=SUM(P3037:T3037)</t>
  </si>
  <si>
    <t>=IF($M3037&gt;=$P$18,U3037,0)</t>
  </si>
  <si>
    <t>=IF(AND($M3037&gt;=$Q$16,$M3037&lt;=$Q$18),U3037,0)</t>
  </si>
  <si>
    <t>=IF(AND($M3037&gt;=$R$16,$M3037&lt;=$R$18),U3037,0)</t>
  </si>
  <si>
    <t>=IF(AND($M3037&gt;=$S$16,$M3037&lt;=$S$18),U3037,0)</t>
  </si>
  <si>
    <t>=IF($M3037&lt;=$T$18,U3037,0)</t>
  </si>
  <si>
    <t>="""NAV Direct"",""CRONUS JetCorp USA"",""21"",""1"",""355624"""</t>
  </si>
  <si>
    <t>=E3036</t>
  </si>
  <si>
    <t>=StartDate-$M3038+1</t>
  </si>
  <si>
    <t>=SUM(P3038:T3038)</t>
  </si>
  <si>
    <t>=IF($M3038&gt;=$P$18,U3038,0)</t>
  </si>
  <si>
    <t>=IF(AND($M3038&gt;=$Q$16,$M3038&lt;=$Q$18),U3038,0)</t>
  </si>
  <si>
    <t>=IF(AND($M3038&gt;=$R$16,$M3038&lt;=$R$18),U3038,0)</t>
  </si>
  <si>
    <t>=IF(AND($M3038&gt;=$S$16,$M3038&lt;=$S$18),U3038,0)</t>
  </si>
  <si>
    <t>=IF($M3038&lt;=$T$18,U3038,0)</t>
  </si>
  <si>
    <t>="""NAV Direct"",""CRONUS JetCorp USA"",""21"",""1"",""355655"""</t>
  </si>
  <si>
    <t>=E3037</t>
  </si>
  <si>
    <t>=StartDate-$M3039+1</t>
  </si>
  <si>
    <t>=SUM(P3039:T3039)</t>
  </si>
  <si>
    <t>=IF($M3039&gt;=$P$18,U3039,0)</t>
  </si>
  <si>
    <t>=IF(AND($M3039&gt;=$Q$16,$M3039&lt;=$Q$18),U3039,0)</t>
  </si>
  <si>
    <t>=IF(AND($M3039&gt;=$R$16,$M3039&lt;=$R$18),U3039,0)</t>
  </si>
  <si>
    <t>=IF(AND($M3039&gt;=$S$16,$M3039&lt;=$S$18),U3039,0)</t>
  </si>
  <si>
    <t>=IF($M3039&lt;=$T$18,U3039,0)</t>
  </si>
  <si>
    <t>="""NAV Direct"",""CRONUS JetCorp USA"",""21"",""1"",""355690"""</t>
  </si>
  <si>
    <t>=E3038</t>
  </si>
  <si>
    <t>=StartDate-$M3040+1</t>
  </si>
  <si>
    <t>=SUM(P3040:T3040)</t>
  </si>
  <si>
    <t>=IF($M3040&gt;=$P$18,U3040,0)</t>
  </si>
  <si>
    <t>=IF(AND($M3040&gt;=$Q$16,$M3040&lt;=$Q$18),U3040,0)</t>
  </si>
  <si>
    <t>=IF(AND($M3040&gt;=$R$16,$M3040&lt;=$R$18),U3040,0)</t>
  </si>
  <si>
    <t>=IF(AND($M3040&gt;=$S$16,$M3040&lt;=$S$18),U3040,0)</t>
  </si>
  <si>
    <t>=IF($M3040&lt;=$T$18,U3040,0)</t>
  </si>
  <si>
    <t>="""NAV Direct"",""CRONUS JetCorp USA"",""21"",""1"",""356100"""</t>
  </si>
  <si>
    <t>=E3039</t>
  </si>
  <si>
    <t>=StartDate-$M3041+1</t>
  </si>
  <si>
    <t>=SUM(P3041:T3041)</t>
  </si>
  <si>
    <t>=IF($M3041&gt;=$P$18,U3041,0)</t>
  </si>
  <si>
    <t>=IF(AND($M3041&gt;=$Q$16,$M3041&lt;=$Q$18),U3041,0)</t>
  </si>
  <si>
    <t>=IF(AND($M3041&gt;=$R$16,$M3041&lt;=$R$18),U3041,0)</t>
  </si>
  <si>
    <t>=IF(AND($M3041&gt;=$S$16,$M3041&lt;=$S$18),U3041,0)</t>
  </si>
  <si>
    <t>=IF($M3041&lt;=$T$18,U3041,0)</t>
  </si>
  <si>
    <t>="""NAV Direct"",""CRONUS JetCorp USA"",""21"",""1"",""356371"""</t>
  </si>
  <si>
    <t>=E3040</t>
  </si>
  <si>
    <t>=StartDate-$M3042+1</t>
  </si>
  <si>
    <t>=SUM(P3042:T3042)</t>
  </si>
  <si>
    <t>=IF($M3042&gt;=$P$18,U3042,0)</t>
  </si>
  <si>
    <t>=IF(AND($M3042&gt;=$Q$16,$M3042&lt;=$Q$18),U3042,0)</t>
  </si>
  <si>
    <t>=IF(AND($M3042&gt;=$R$16,$M3042&lt;=$R$18),U3042,0)</t>
  </si>
  <si>
    <t>=IF(AND($M3042&gt;=$S$16,$M3042&lt;=$S$18),U3042,0)</t>
  </si>
  <si>
    <t>=IF($M3042&lt;=$T$18,U3042,0)</t>
  </si>
  <si>
    <t>="""NAV Direct"",""CRONUS JetCorp USA"",""21"",""1"",""356665"""</t>
  </si>
  <si>
    <t>=E3041</t>
  </si>
  <si>
    <t>=StartDate-$M3043+1</t>
  </si>
  <si>
    <t>=SUM(P3043:T3043)</t>
  </si>
  <si>
    <t>=IF($M3043&gt;=$P$18,U3043,0)</t>
  </si>
  <si>
    <t>=IF(AND($M3043&gt;=$Q$16,$M3043&lt;=$Q$18),U3043,0)</t>
  </si>
  <si>
    <t>=IF(AND($M3043&gt;=$R$16,$M3043&lt;=$R$18),U3043,0)</t>
  </si>
  <si>
    <t>=IF(AND($M3043&gt;=$S$16,$M3043&lt;=$S$18),U3043,0)</t>
  </si>
  <si>
    <t>=IF($M3043&lt;=$T$18,U3043,0)</t>
  </si>
  <si>
    <t>="""NAV Direct"",""CRONUS JetCorp USA"",""21"",""1"",""356957"""</t>
  </si>
  <si>
    <t>=E3042</t>
  </si>
  <si>
    <t>=StartDate-$M3044+1</t>
  </si>
  <si>
    <t>=SUM(P3044:T3044)</t>
  </si>
  <si>
    <t>=IF($M3044&gt;=$P$18,U3044,0)</t>
  </si>
  <si>
    <t>=IF(AND($M3044&gt;=$Q$16,$M3044&lt;=$Q$18),U3044,0)</t>
  </si>
  <si>
    <t>=IF(AND($M3044&gt;=$R$16,$M3044&lt;=$R$18),U3044,0)</t>
  </si>
  <si>
    <t>=IF(AND($M3044&gt;=$S$16,$M3044&lt;=$S$18),U3044,0)</t>
  </si>
  <si>
    <t>=IF($M3044&lt;=$T$18,U3044,0)</t>
  </si>
  <si>
    <t>="""NAV Direct"",""CRONUS JetCorp USA"",""21"",""1"",""357201"""</t>
  </si>
  <si>
    <t>=E3043</t>
  </si>
  <si>
    <t>=StartDate-$M3045+1</t>
  </si>
  <si>
    <t>=SUM(P3045:T3045)</t>
  </si>
  <si>
    <t>=IF($M3045&gt;=$P$18,U3045,0)</t>
  </si>
  <si>
    <t>=IF(AND($M3045&gt;=$Q$16,$M3045&lt;=$Q$18),U3045,0)</t>
  </si>
  <si>
    <t>=IF(AND($M3045&gt;=$R$16,$M3045&lt;=$R$18),U3045,0)</t>
  </si>
  <si>
    <t>=IF(AND($M3045&gt;=$S$16,$M3045&lt;=$S$18),U3045,0)</t>
  </si>
  <si>
    <t>=IF($M3045&lt;=$T$18,U3045,0)</t>
  </si>
  <si>
    <t>=E3044</t>
  </si>
  <si>
    <t>=StartDate-$M3046+1</t>
  </si>
  <si>
    <t>=SUM(P3046:T3046)</t>
  </si>
  <si>
    <t>=IF($M3046&gt;=$P$18,U3046,0)</t>
  </si>
  <si>
    <t>=IF(AND($M3046&gt;=$Q$16,$M3046&lt;=$Q$18),U3046,0)</t>
  </si>
  <si>
    <t>=IF(AND($M3046&gt;=$R$16,$M3046&lt;=$R$18),U3046,0)</t>
  </si>
  <si>
    <t>=IF(AND($M3046&gt;=$S$16,$M3046&lt;=$S$18),U3046,0)</t>
  </si>
  <si>
    <t>=IF($M3046&lt;=$T$18,U3046,0)</t>
  </si>
  <si>
    <t>="""NAV Direct"",""CRONUS JetCorp USA"",""21"",""1"",""357486"""</t>
  </si>
  <si>
    <t>=E3045</t>
  </si>
  <si>
    <t>=StartDate-$M3047+1</t>
  </si>
  <si>
    <t>=SUM(P3047:T3047)</t>
  </si>
  <si>
    <t>=IF($M3047&gt;=$P$18,U3047,0)</t>
  </si>
  <si>
    <t>=IF(AND($M3047&gt;=$Q$16,$M3047&lt;=$Q$18),U3047,0)</t>
  </si>
  <si>
    <t>=IF(AND($M3047&gt;=$R$16,$M3047&lt;=$R$18),U3047,0)</t>
  </si>
  <si>
    <t>=IF(AND($M3047&gt;=$S$16,$M3047&lt;=$S$18),U3047,0)</t>
  </si>
  <si>
    <t>=IF($M3047&lt;=$T$18,U3047,0)</t>
  </si>
  <si>
    <t>="""NAV Direct"",""CRONUS JetCorp USA"",""21"",""1"",""357792"""</t>
  </si>
  <si>
    <t>=E3046</t>
  </si>
  <si>
    <t>=StartDate-$M3048+1</t>
  </si>
  <si>
    <t>=SUM(P3048:T3048)</t>
  </si>
  <si>
    <t>=IF($M3048&gt;=$P$18,U3048,0)</t>
  </si>
  <si>
    <t>=IF(AND($M3048&gt;=$Q$16,$M3048&lt;=$Q$18),U3048,0)</t>
  </si>
  <si>
    <t>=IF(AND($M3048&gt;=$R$16,$M3048&lt;=$R$18),U3048,0)</t>
  </si>
  <si>
    <t>=IF(AND($M3048&gt;=$S$16,$M3048&lt;=$S$18),U3048,0)</t>
  </si>
  <si>
    <t>=IF($M3048&lt;=$T$18,U3048,0)</t>
  </si>
  <si>
    <t>="""NAV Direct"",""CRONUS JetCorp USA"",""21"",""1"",""357932"""</t>
  </si>
  <si>
    <t>=E3047</t>
  </si>
  <si>
    <t>=StartDate-$M3049+1</t>
  </si>
  <si>
    <t>=SUM(P3049:T3049)</t>
  </si>
  <si>
    <t>=IF($M3049&gt;=$P$18,U3049,0)</t>
  </si>
  <si>
    <t>=IF(AND($M3049&gt;=$Q$16,$M3049&lt;=$Q$18),U3049,0)</t>
  </si>
  <si>
    <t>=IF(AND($M3049&gt;=$R$16,$M3049&lt;=$R$18),U3049,0)</t>
  </si>
  <si>
    <t>=IF(AND($M3049&gt;=$S$16,$M3049&lt;=$S$18),U3049,0)</t>
  </si>
  <si>
    <t>=IF($M3049&lt;=$T$18,U3049,0)</t>
  </si>
  <si>
    <t>="""NAV Direct"",""CRONUS JetCorp USA"",""21"",""1"",""358037"""</t>
  </si>
  <si>
    <t>=E3048</t>
  </si>
  <si>
    <t>=StartDate-$M3050+1</t>
  </si>
  <si>
    <t>=SUM(P3050:T3050)</t>
  </si>
  <si>
    <t>=IF($M3050&gt;=$P$18,U3050,0)</t>
  </si>
  <si>
    <t>=IF(AND($M3050&gt;=$Q$16,$M3050&lt;=$Q$18),U3050,0)</t>
  </si>
  <si>
    <t>=IF(AND($M3050&gt;=$R$16,$M3050&lt;=$R$18),U3050,0)</t>
  </si>
  <si>
    <t>=IF(AND($M3050&gt;=$S$16,$M3050&lt;=$S$18),U3050,0)</t>
  </si>
  <si>
    <t>=IF($M3050&lt;=$T$18,U3050,0)</t>
  </si>
  <si>
    <t>="""NAV Direct"",""CRONUS JetCorp USA"",""21"",""1"",""358082"""</t>
  </si>
  <si>
    <t>=E3049</t>
  </si>
  <si>
    <t>=StartDate-$M3051+1</t>
  </si>
  <si>
    <t>=SUM(P3051:T3051)</t>
  </si>
  <si>
    <t>=IF($M3051&gt;=$P$18,U3051,0)</t>
  </si>
  <si>
    <t>=IF(AND($M3051&gt;=$Q$16,$M3051&lt;=$Q$18),U3051,0)</t>
  </si>
  <si>
    <t>=IF(AND($M3051&gt;=$R$16,$M3051&lt;=$R$18),U3051,0)</t>
  </si>
  <si>
    <t>=IF(AND($M3051&gt;=$S$16,$M3051&lt;=$S$18),U3051,0)</t>
  </si>
  <si>
    <t>=IF($M3051&lt;=$T$18,U3051,0)</t>
  </si>
  <si>
    <t>="""NAV Direct"",""CRONUS JetCorp USA"",""21"",""1"",""358162"""</t>
  </si>
  <si>
    <t>=E3050</t>
  </si>
  <si>
    <t>=StartDate-$M3052+1</t>
  </si>
  <si>
    <t>=SUM(P3052:T3052)</t>
  </si>
  <si>
    <t>=IF($M3052&gt;=$P$18,U3052,0)</t>
  </si>
  <si>
    <t>=IF(AND($M3052&gt;=$Q$16,$M3052&lt;=$Q$18),U3052,0)</t>
  </si>
  <si>
    <t>=IF(AND($M3052&gt;=$R$16,$M3052&lt;=$R$18),U3052,0)</t>
  </si>
  <si>
    <t>=IF(AND($M3052&gt;=$S$16,$M3052&lt;=$S$18),U3052,0)</t>
  </si>
  <si>
    <t>=IF($M3052&lt;=$T$18,U3052,0)</t>
  </si>
  <si>
    <t>="""NAV Direct"",""CRONUS JetCorp USA"",""21"",""1"",""358259"""</t>
  </si>
  <si>
    <t>=E3051</t>
  </si>
  <si>
    <t>=StartDate-$M3053+1</t>
  </si>
  <si>
    <t>=SUM(P3053:T3053)</t>
  </si>
  <si>
    <t>=IF($M3053&gt;=$P$18,U3053,0)</t>
  </si>
  <si>
    <t>=IF(AND($M3053&gt;=$Q$16,$M3053&lt;=$Q$18),U3053,0)</t>
  </si>
  <si>
    <t>=IF(AND($M3053&gt;=$R$16,$M3053&lt;=$R$18),U3053,0)</t>
  </si>
  <si>
    <t>=IF(AND($M3053&gt;=$S$16,$M3053&lt;=$S$18),U3053,0)</t>
  </si>
  <si>
    <t>=IF($M3053&lt;=$T$18,U3053,0)</t>
  </si>
  <si>
    <t>="""NAV Direct"",""CRONUS JetCorp USA"",""21"",""1"",""358510"""</t>
  </si>
  <si>
    <t>=E3052</t>
  </si>
  <si>
    <t>=StartDate-$M3054+1</t>
  </si>
  <si>
    <t>=SUM(P3054:T3054)</t>
  </si>
  <si>
    <t>=IF($M3054&gt;=$P$18,U3054,0)</t>
  </si>
  <si>
    <t>=IF(AND($M3054&gt;=$Q$16,$M3054&lt;=$Q$18),U3054,0)</t>
  </si>
  <si>
    <t>=IF(AND($M3054&gt;=$R$16,$M3054&lt;=$R$18),U3054,0)</t>
  </si>
  <si>
    <t>=IF(AND($M3054&gt;=$S$16,$M3054&lt;=$S$18),U3054,0)</t>
  </si>
  <si>
    <t>=IF($M3054&lt;=$T$18,U3054,0)</t>
  </si>
  <si>
    <t>="""NAV Direct"",""CRONUS JetCorp USA"",""21"",""1"",""358582"""</t>
  </si>
  <si>
    <t>=E3053</t>
  </si>
  <si>
    <t>=StartDate-$M3055+1</t>
  </si>
  <si>
    <t>=SUM(P3055:T3055)</t>
  </si>
  <si>
    <t>=IF($M3055&gt;=$P$18,U3055,0)</t>
  </si>
  <si>
    <t>=IF(AND($M3055&gt;=$Q$16,$M3055&lt;=$Q$18),U3055,0)</t>
  </si>
  <si>
    <t>=IF(AND($M3055&gt;=$R$16,$M3055&lt;=$R$18),U3055,0)</t>
  </si>
  <si>
    <t>=IF(AND($M3055&gt;=$S$16,$M3055&lt;=$S$18),U3055,0)</t>
  </si>
  <si>
    <t>=IF($M3055&lt;=$T$18,U3055,0)</t>
  </si>
  <si>
    <t>="""NAV Direct"",""CRONUS JetCorp USA"",""21"",""1"",""359508"""</t>
  </si>
  <si>
    <t>=E3054</t>
  </si>
  <si>
    <t>=StartDate-$M3056+1</t>
  </si>
  <si>
    <t>=SUM(P3056:T3056)</t>
  </si>
  <si>
    <t>=IF($M3056&gt;=$P$18,U3056,0)</t>
  </si>
  <si>
    <t>=IF(AND($M3056&gt;=$Q$16,$M3056&lt;=$Q$18),U3056,0)</t>
  </si>
  <si>
    <t>=IF(AND($M3056&gt;=$R$16,$M3056&lt;=$R$18),U3056,0)</t>
  </si>
  <si>
    <t>=IF(AND($M3056&gt;=$S$16,$M3056&lt;=$S$18),U3056,0)</t>
  </si>
  <si>
    <t>=IF($M3056&lt;=$T$18,U3056,0)</t>
  </si>
  <si>
    <t>="""NAV Direct"",""CRONUS JetCorp USA"",""21"",""1"",""359630"""</t>
  </si>
  <si>
    <t>=E3055</t>
  </si>
  <si>
    <t>=StartDate-$M3057+1</t>
  </si>
  <si>
    <t>=SUM(P3057:T3057)</t>
  </si>
  <si>
    <t>=IF($M3057&gt;=$P$18,U3057,0)</t>
  </si>
  <si>
    <t>=IF(AND($M3057&gt;=$Q$16,$M3057&lt;=$Q$18),U3057,0)</t>
  </si>
  <si>
    <t>=IF(AND($M3057&gt;=$R$16,$M3057&lt;=$R$18),U3057,0)</t>
  </si>
  <si>
    <t>=IF(AND($M3057&gt;=$S$16,$M3057&lt;=$S$18),U3057,0)</t>
  </si>
  <si>
    <t>=IF($M3057&lt;=$T$18,U3057,0)</t>
  </si>
  <si>
    <t>="""NAV Direct"",""CRONUS JetCorp USA"",""21"",""1"",""359665"""</t>
  </si>
  <si>
    <t>=E3056</t>
  </si>
  <si>
    <t>=StartDate-$M3058+1</t>
  </si>
  <si>
    <t>=SUM(P3058:T3058)</t>
  </si>
  <si>
    <t>=IF($M3058&gt;=$P$18,U3058,0)</t>
  </si>
  <si>
    <t>=IF(AND($M3058&gt;=$Q$16,$M3058&lt;=$Q$18),U3058,0)</t>
  </si>
  <si>
    <t>=IF(AND($M3058&gt;=$R$16,$M3058&lt;=$R$18),U3058,0)</t>
  </si>
  <si>
    <t>=IF(AND($M3058&gt;=$S$16,$M3058&lt;=$S$18),U3058,0)</t>
  </si>
  <si>
    <t>=IF($M3058&lt;=$T$18,U3058,0)</t>
  </si>
  <si>
    <t>="""NAV Direct"",""CRONUS JetCorp USA"",""21"",""1"",""359692"""</t>
  </si>
  <si>
    <t>=E3057</t>
  </si>
  <si>
    <t>=StartDate-$M3059+1</t>
  </si>
  <si>
    <t>=SUM(P3059:T3059)</t>
  </si>
  <si>
    <t>=IF($M3059&gt;=$P$18,U3059,0)</t>
  </si>
  <si>
    <t>=IF(AND($M3059&gt;=$Q$16,$M3059&lt;=$Q$18),U3059,0)</t>
  </si>
  <si>
    <t>=IF(AND($M3059&gt;=$R$16,$M3059&lt;=$R$18),U3059,0)</t>
  </si>
  <si>
    <t>=IF(AND($M3059&gt;=$S$16,$M3059&lt;=$S$18),U3059,0)</t>
  </si>
  <si>
    <t>=IF($M3059&lt;=$T$18,U3059,0)</t>
  </si>
  <si>
    <t>="""NAV Direct"",""CRONUS JetCorp USA"",""21"",""1"",""359812"""</t>
  </si>
  <si>
    <t>=E3058</t>
  </si>
  <si>
    <t>=StartDate-$M3060+1</t>
  </si>
  <si>
    <t>=SUM(P3060:T3060)</t>
  </si>
  <si>
    <t>=IF($M3060&gt;=$P$18,U3060,0)</t>
  </si>
  <si>
    <t>=IF(AND($M3060&gt;=$Q$16,$M3060&lt;=$Q$18),U3060,0)</t>
  </si>
  <si>
    <t>=IF(AND($M3060&gt;=$R$16,$M3060&lt;=$R$18),U3060,0)</t>
  </si>
  <si>
    <t>=IF(AND($M3060&gt;=$S$16,$M3060&lt;=$S$18),U3060,0)</t>
  </si>
  <si>
    <t>=IF($M3060&lt;=$T$18,U3060,0)</t>
  </si>
  <si>
    <t>="""NAV Direct"",""CRONUS JetCorp USA"",""21"",""1"",""359835"""</t>
  </si>
  <si>
    <t>=E3059</t>
  </si>
  <si>
    <t>=StartDate-$M3061+1</t>
  </si>
  <si>
    <t>=SUM(P3061:T3061)</t>
  </si>
  <si>
    <t>=IF($M3061&gt;=$P$18,U3061,0)</t>
  </si>
  <si>
    <t>=IF(AND($M3061&gt;=$Q$16,$M3061&lt;=$Q$18),U3061,0)</t>
  </si>
  <si>
    <t>=IF(AND($M3061&gt;=$R$16,$M3061&lt;=$R$18),U3061,0)</t>
  </si>
  <si>
    <t>=IF(AND($M3061&gt;=$S$16,$M3061&lt;=$S$18),U3061,0)</t>
  </si>
  <si>
    <t>=IF($M3061&lt;=$T$18,U3061,0)</t>
  </si>
  <si>
    <t>="""NAV Direct"",""CRONUS JetCorp USA"",""21"",""1"",""360274"""</t>
  </si>
  <si>
    <t>=E3060</t>
  </si>
  <si>
    <t>=StartDate-$M3062+1</t>
  </si>
  <si>
    <t>=SUM(P3062:T3062)</t>
  </si>
  <si>
    <t>=IF($M3062&gt;=$P$18,U3062,0)</t>
  </si>
  <si>
    <t>=IF(AND($M3062&gt;=$Q$16,$M3062&lt;=$Q$18),U3062,0)</t>
  </si>
  <si>
    <t>=IF(AND($M3062&gt;=$R$16,$M3062&lt;=$R$18),U3062,0)</t>
  </si>
  <si>
    <t>=IF(AND($M3062&gt;=$S$16,$M3062&lt;=$S$18),U3062,0)</t>
  </si>
  <si>
    <t>=IF($M3062&lt;=$T$18,U3062,0)</t>
  </si>
  <si>
    <t>="""NAV Direct"",""CRONUS JetCorp USA"",""21"",""1"",""360334"""</t>
  </si>
  <si>
    <t>=E3061</t>
  </si>
  <si>
    <t>=StartDate-$M3063+1</t>
  </si>
  <si>
    <t>=SUM(P3063:T3063)</t>
  </si>
  <si>
    <t>=IF($M3063&gt;=$P$18,U3063,0)</t>
  </si>
  <si>
    <t>=IF(AND($M3063&gt;=$Q$16,$M3063&lt;=$Q$18),U3063,0)</t>
  </si>
  <si>
    <t>=IF(AND($M3063&gt;=$R$16,$M3063&lt;=$R$18),U3063,0)</t>
  </si>
  <si>
    <t>=IF(AND($M3063&gt;=$S$16,$M3063&lt;=$S$18),U3063,0)</t>
  </si>
  <si>
    <t>=IF($M3063&lt;=$T$18,U3063,0)</t>
  </si>
  <si>
    <t>="""NAV Direct"",""CRONUS JetCorp USA"",""21"",""1"",""360532"""</t>
  </si>
  <si>
    <t>=E3062</t>
  </si>
  <si>
    <t>=StartDate-$M3064+1</t>
  </si>
  <si>
    <t>=SUM(P3064:T3064)</t>
  </si>
  <si>
    <t>=IF($M3064&gt;=$P$18,U3064,0)</t>
  </si>
  <si>
    <t>=IF(AND($M3064&gt;=$Q$16,$M3064&lt;=$Q$18),U3064,0)</t>
  </si>
  <si>
    <t>=IF(AND($M3064&gt;=$R$16,$M3064&lt;=$R$18),U3064,0)</t>
  </si>
  <si>
    <t>=IF(AND($M3064&gt;=$S$16,$M3064&lt;=$S$18),U3064,0)</t>
  </si>
  <si>
    <t>=IF($M3064&lt;=$T$18,U3064,0)</t>
  </si>
  <si>
    <t>="""NAV Direct"",""CRONUS JetCorp USA"",""21"",""1"",""434835"""</t>
  </si>
  <si>
    <t>=E3063</t>
  </si>
  <si>
    <t>=StartDate-$M3065+1</t>
  </si>
  <si>
    <t>=SUM(P3065:T3065)</t>
  </si>
  <si>
    <t>=IF($M3065&gt;=$P$18,U3065,0)</t>
  </si>
  <si>
    <t>=IF(AND($M3065&gt;=$Q$16,$M3065&lt;=$Q$18),U3065,0)</t>
  </si>
  <si>
    <t>=IF(AND($M3065&gt;=$R$16,$M3065&lt;=$R$18),U3065,0)</t>
  </si>
  <si>
    <t>=IF(AND($M3065&gt;=$S$16,$M3065&lt;=$S$18),U3065,0)</t>
  </si>
  <si>
    <t>=IF($M3065&lt;=$T$18,U3065,0)</t>
  </si>
  <si>
    <t>="""NAV Direct"",""CRONUS JetCorp USA"",""21"",""1"",""434906"""</t>
  </si>
  <si>
    <t>=E3064</t>
  </si>
  <si>
    <t>=StartDate-$M3066+1</t>
  </si>
  <si>
    <t>=SUM(P3066:T3066)</t>
  </si>
  <si>
    <t>=IF($M3066&gt;=$P$18,U3066,0)</t>
  </si>
  <si>
    <t>=IF(AND($M3066&gt;=$Q$16,$M3066&lt;=$Q$18),U3066,0)</t>
  </si>
  <si>
    <t>=IF(AND($M3066&gt;=$R$16,$M3066&lt;=$R$18),U3066,0)</t>
  </si>
  <si>
    <t>=IF(AND($M3066&gt;=$S$16,$M3066&lt;=$S$18),U3066,0)</t>
  </si>
  <si>
    <t>=IF($M3066&lt;=$T$18,U3066,0)</t>
  </si>
  <si>
    <t>="""NAV Direct"",""CRONUS JetCorp USA"",""21"",""1"",""434934"""</t>
  </si>
  <si>
    <t>=E3065</t>
  </si>
  <si>
    <t>=StartDate-$M3067+1</t>
  </si>
  <si>
    <t>=SUM(P3067:T3067)</t>
  </si>
  <si>
    <t>=IF($M3067&gt;=$P$18,U3067,0)</t>
  </si>
  <si>
    <t>=IF(AND($M3067&gt;=$Q$16,$M3067&lt;=$Q$18),U3067,0)</t>
  </si>
  <si>
    <t>=IF(AND($M3067&gt;=$R$16,$M3067&lt;=$R$18),U3067,0)</t>
  </si>
  <si>
    <t>=IF(AND($M3067&gt;=$S$16,$M3067&lt;=$S$18),U3067,0)</t>
  </si>
  <si>
    <t>=IF($M3067&lt;=$T$18,U3067,0)</t>
  </si>
  <si>
    <t>="""NAV Direct"",""CRONUS JetCorp USA"",""21"",""1"",""434960"""</t>
  </si>
  <si>
    <t>=E3066</t>
  </si>
  <si>
    <t>=StartDate-$M3068+1</t>
  </si>
  <si>
    <t>=SUM(P3068:T3068)</t>
  </si>
  <si>
    <t>=IF($M3068&gt;=$P$18,U3068,0)</t>
  </si>
  <si>
    <t>=IF(AND($M3068&gt;=$Q$16,$M3068&lt;=$Q$18),U3068,0)</t>
  </si>
  <si>
    <t>=IF(AND($M3068&gt;=$R$16,$M3068&lt;=$R$18),U3068,0)</t>
  </si>
  <si>
    <t>=IF(AND($M3068&gt;=$S$16,$M3068&lt;=$S$18),U3068,0)</t>
  </si>
  <si>
    <t>=IF($M3068&lt;=$T$18,U3068,0)</t>
  </si>
  <si>
    <t>="""NAV Direct"",""CRONUS JetCorp USA"",""21"",""1"",""434977"""</t>
  </si>
  <si>
    <t>=E3067</t>
  </si>
  <si>
    <t>=StartDate-$M3069+1</t>
  </si>
  <si>
    <t>=SUM(P3069:T3069)</t>
  </si>
  <si>
    <t>=IF($M3069&gt;=$P$18,U3069,0)</t>
  </si>
  <si>
    <t>=IF(AND($M3069&gt;=$Q$16,$M3069&lt;=$Q$18),U3069,0)</t>
  </si>
  <si>
    <t>=IF(AND($M3069&gt;=$R$16,$M3069&lt;=$R$18),U3069,0)</t>
  </si>
  <si>
    <t>=IF(AND($M3069&gt;=$S$16,$M3069&lt;=$S$18),U3069,0)</t>
  </si>
  <si>
    <t>=IF($M3069&lt;=$T$18,U3069,0)</t>
  </si>
  <si>
    <t>="""NAV Direct"",""CRONUS JetCorp USA"",""21"",""1"",""435124"""</t>
  </si>
  <si>
    <t>=E3068</t>
  </si>
  <si>
    <t>=StartDate-$M3070+1</t>
  </si>
  <si>
    <t>=SUM(P3070:T3070)</t>
  </si>
  <si>
    <t>=IF($M3070&gt;=$P$18,U3070,0)</t>
  </si>
  <si>
    <t>=IF(AND($M3070&gt;=$Q$16,$M3070&lt;=$Q$18),U3070,0)</t>
  </si>
  <si>
    <t>=IF(AND($M3070&gt;=$R$16,$M3070&lt;=$R$18),U3070,0)</t>
  </si>
  <si>
    <t>=IF(AND($M3070&gt;=$S$16,$M3070&lt;=$S$18),U3070,0)</t>
  </si>
  <si>
    <t>=IF($M3070&lt;=$T$18,U3070,0)</t>
  </si>
  <si>
    <t>="""NAV Direct"",""CRONUS JetCorp USA"",""21"",""1"",""435237"""</t>
  </si>
  <si>
    <t>=E3069</t>
  </si>
  <si>
    <t>=StartDate-$M3071+1</t>
  </si>
  <si>
    <t>=SUM(P3071:T3071)</t>
  </si>
  <si>
    <t>=IF($M3071&gt;=$P$18,U3071,0)</t>
  </si>
  <si>
    <t>=IF(AND($M3071&gt;=$Q$16,$M3071&lt;=$Q$18),U3071,0)</t>
  </si>
  <si>
    <t>=IF(AND($M3071&gt;=$R$16,$M3071&lt;=$R$18),U3071,0)</t>
  </si>
  <si>
    <t>=IF(AND($M3071&gt;=$S$16,$M3071&lt;=$S$18),U3071,0)</t>
  </si>
  <si>
    <t>=IF($M3071&lt;=$T$18,U3071,0)</t>
  </si>
  <si>
    <t>="""NAV Direct"",""CRONUS JetCorp USA"",""21"",""1"",""435248"""</t>
  </si>
  <si>
    <t>=E3070</t>
  </si>
  <si>
    <t>=StartDate-$M3072+1</t>
  </si>
  <si>
    <t>=SUM(P3072:T3072)</t>
  </si>
  <si>
    <t>=IF($M3072&gt;=$P$18,U3072,0)</t>
  </si>
  <si>
    <t>=IF(AND($M3072&gt;=$Q$16,$M3072&lt;=$Q$18),U3072,0)</t>
  </si>
  <si>
    <t>=IF(AND($M3072&gt;=$R$16,$M3072&lt;=$R$18),U3072,0)</t>
  </si>
  <si>
    <t>=IF(AND($M3072&gt;=$S$16,$M3072&lt;=$S$18),U3072,0)</t>
  </si>
  <si>
    <t>=IF($M3072&lt;=$T$18,U3072,0)</t>
  </si>
  <si>
    <t>="""NAV Direct"",""CRONUS JetCorp USA"",""21"",""1"",""435274"""</t>
  </si>
  <si>
    <t>=E3071</t>
  </si>
  <si>
    <t>=StartDate-$M3073+1</t>
  </si>
  <si>
    <t>=SUM(P3073:T3073)</t>
  </si>
  <si>
    <t>=IF($M3073&gt;=$P$18,U3073,0)</t>
  </si>
  <si>
    <t>=IF(AND($M3073&gt;=$Q$16,$M3073&lt;=$Q$18),U3073,0)</t>
  </si>
  <si>
    <t>=IF(AND($M3073&gt;=$R$16,$M3073&lt;=$R$18),U3073,0)</t>
  </si>
  <si>
    <t>=IF(AND($M3073&gt;=$S$16,$M3073&lt;=$S$18),U3073,0)</t>
  </si>
  <si>
    <t>=IF($M3073&lt;=$T$18,U3073,0)</t>
  </si>
  <si>
    <t>="""NAV Direct"",""CRONUS JetCorp USA"",""21"",""1"",""435310"""</t>
  </si>
  <si>
    <t>=E3072</t>
  </si>
  <si>
    <t>=StartDate-$M3074+1</t>
  </si>
  <si>
    <t>=SUM(P3074:T3074)</t>
  </si>
  <si>
    <t>=IF($M3074&gt;=$P$18,U3074,0)</t>
  </si>
  <si>
    <t>=IF(AND($M3074&gt;=$Q$16,$M3074&lt;=$Q$18),U3074,0)</t>
  </si>
  <si>
    <t>=IF(AND($M3074&gt;=$R$16,$M3074&lt;=$R$18),U3074,0)</t>
  </si>
  <si>
    <t>=IF(AND($M3074&gt;=$S$16,$M3074&lt;=$S$18),U3074,0)</t>
  </si>
  <si>
    <t>=IF($M3074&lt;=$T$18,U3074,0)</t>
  </si>
  <si>
    <t>="""NAV Direct"",""CRONUS JetCorp USA"",""21"",""1"",""435423"""</t>
  </si>
  <si>
    <t>=E3073</t>
  </si>
  <si>
    <t>=StartDate-$M3075+1</t>
  </si>
  <si>
    <t>=SUM(P3075:T3075)</t>
  </si>
  <si>
    <t>=IF($M3075&gt;=$P$18,U3075,0)</t>
  </si>
  <si>
    <t>=IF(AND($M3075&gt;=$Q$16,$M3075&lt;=$Q$18),U3075,0)</t>
  </si>
  <si>
    <t>=IF(AND($M3075&gt;=$R$16,$M3075&lt;=$R$18),U3075,0)</t>
  </si>
  <si>
    <t>=IF(AND($M3075&gt;=$S$16,$M3075&lt;=$S$18),U3075,0)</t>
  </si>
  <si>
    <t>=IF($M3075&lt;=$T$18,U3075,0)</t>
  </si>
  <si>
    <t>="""NAV Direct"",""CRONUS JetCorp USA"",""21"",""1"",""435455"""</t>
  </si>
  <si>
    <t>=E3074</t>
  </si>
  <si>
    <t>=StartDate-$M3076+1</t>
  </si>
  <si>
    <t>=SUM(P3076:T3076)</t>
  </si>
  <si>
    <t>=IF($M3076&gt;=$P$18,U3076,0)</t>
  </si>
  <si>
    <t>=IF(AND($M3076&gt;=$Q$16,$M3076&lt;=$Q$18),U3076,0)</t>
  </si>
  <si>
    <t>=IF(AND($M3076&gt;=$R$16,$M3076&lt;=$R$18),U3076,0)</t>
  </si>
  <si>
    <t>=IF(AND($M3076&gt;=$S$16,$M3076&lt;=$S$18),U3076,0)</t>
  </si>
  <si>
    <t>=IF($M3076&lt;=$T$18,U3076,0)</t>
  </si>
  <si>
    <t>="""NAV Direct"",""CRONUS JetCorp USA"",""21"",""1"",""435551"""</t>
  </si>
  <si>
    <t>=E3075</t>
  </si>
  <si>
    <t>=StartDate-$M3077+1</t>
  </si>
  <si>
    <t>=SUM(P3077:T3077)</t>
  </si>
  <si>
    <t>=IF($M3077&gt;=$P$18,U3077,0)</t>
  </si>
  <si>
    <t>=IF(AND($M3077&gt;=$Q$16,$M3077&lt;=$Q$18),U3077,0)</t>
  </si>
  <si>
    <t>=IF(AND($M3077&gt;=$R$16,$M3077&lt;=$R$18),U3077,0)</t>
  </si>
  <si>
    <t>=IF(AND($M3077&gt;=$S$16,$M3077&lt;=$S$18),U3077,0)</t>
  </si>
  <si>
    <t>=IF($M3077&lt;=$T$18,U3077,0)</t>
  </si>
  <si>
    <t>="""NAV Direct"",""CRONUS JetCorp USA"",""21"",""1"",""435742"""</t>
  </si>
  <si>
    <t>=E3076</t>
  </si>
  <si>
    <t>=StartDate-$M3078+1</t>
  </si>
  <si>
    <t>=SUM(P3078:T3078)</t>
  </si>
  <si>
    <t>=IF($M3078&gt;=$P$18,U3078,0)</t>
  </si>
  <si>
    <t>=IF(AND($M3078&gt;=$Q$16,$M3078&lt;=$Q$18),U3078,0)</t>
  </si>
  <si>
    <t>=IF(AND($M3078&gt;=$R$16,$M3078&lt;=$R$18),U3078,0)</t>
  </si>
  <si>
    <t>=IF(AND($M3078&gt;=$S$16,$M3078&lt;=$S$18),U3078,0)</t>
  </si>
  <si>
    <t>=IF($M3078&lt;=$T$18,U3078,0)</t>
  </si>
  <si>
    <t>="""NAV Direct"",""CRONUS JetCorp USA"",""18"",""1"",""C100096"""</t>
  </si>
  <si>
    <t>=H3081</t>
  </si>
  <si>
    <t>=NF($C3081,"1 No.")</t>
  </si>
  <si>
    <t>=NF($C3081,"1 No.")&amp;"  -  "&amp;NF($C3081,"2 Name")</t>
  </si>
  <si>
    <t>=IFERROR(O3081/NF(C3081,"Credit Limit (LCY)"),"")</t>
  </si>
  <si>
    <t>=SUBTOTAL(3,L3082:L3124)</t>
  </si>
  <si>
    <t>=SUBTOTAL(9,O3082:O3124)</t>
  </si>
  <si>
    <t>=SUBTOTAL(9,P3082:P3124)</t>
  </si>
  <si>
    <t>=SUBTOTAL(9,Q3082:Q3124)</t>
  </si>
  <si>
    <t>=SUBTOTAL(9,R3082:R3124)</t>
  </si>
  <si>
    <t>=SUBTOTAL(9,S3082:S3124)</t>
  </si>
  <si>
    <t>=SUBTOTAL(9,T3082:T3124)</t>
  </si>
  <si>
    <t>=C3081</t>
  </si>
  <si>
    <t>=E3081</t>
  </si>
  <si>
    <t>="Contact: "&amp;NF($C3082,"8 Contact")</t>
  </si>
  <si>
    <t>=C3082</t>
  </si>
  <si>
    <t>=E3082</t>
  </si>
  <si>
    <t>=NF($C3083,"102 E-Mail")</t>
  </si>
  <si>
    <t>=NL("Rows","21 Cust. Ledger Entry",,"3 Customer No.","@@"&amp;$E3085,"16 Remaining Amt. (LCY)","&lt;&gt;0")</t>
  </si>
  <si>
    <t>=E3083</t>
  </si>
  <si>
    <t>=StartDate-$M3085+1</t>
  </si>
  <si>
    <t>=SUM(P3085:T3085)</t>
  </si>
  <si>
    <t>=IF($M3085&gt;=$P$18,U3085,0)</t>
  </si>
  <si>
    <t>=IF(AND($M3085&gt;=$Q$16,$M3085&lt;=$Q$18),U3085,0)</t>
  </si>
  <si>
    <t>=IF(AND($M3085&gt;=$R$16,$M3085&lt;=$R$18),U3085,0)</t>
  </si>
  <si>
    <t>=IF(AND($M3085&gt;=$S$16,$M3085&lt;=$S$18),U3085,0)</t>
  </si>
  <si>
    <t>=IF($M3085&lt;=$T$18,U3085,0)</t>
  </si>
  <si>
    <t>="""NAV Direct"",""CRONUS JetCorp USA"",""21"",""1"",""153293"""</t>
  </si>
  <si>
    <t>=E3084</t>
  </si>
  <si>
    <t>=StartDate-$M3086+1</t>
  </si>
  <si>
    <t>=SUM(P3086:T3086)</t>
  </si>
  <si>
    <t>=IF($M3086&gt;=$P$18,U3086,0)</t>
  </si>
  <si>
    <t>=IF(AND($M3086&gt;=$Q$16,$M3086&lt;=$Q$18),U3086,0)</t>
  </si>
  <si>
    <t>=IF(AND($M3086&gt;=$R$16,$M3086&lt;=$R$18),U3086,0)</t>
  </si>
  <si>
    <t>=IF(AND($M3086&gt;=$S$16,$M3086&lt;=$S$18),U3086,0)</t>
  </si>
  <si>
    <t>=IF($M3086&lt;=$T$18,U3086,0)</t>
  </si>
  <si>
    <t>="""NAV Direct"",""CRONUS JetCorp USA"",""21"",""1"",""153844"""</t>
  </si>
  <si>
    <t>=E3085</t>
  </si>
  <si>
    <t>=StartDate-$M3087+1</t>
  </si>
  <si>
    <t>=SUM(P3087:T3087)</t>
  </si>
  <si>
    <t>=IF($M3087&gt;=$P$18,U3087,0)</t>
  </si>
  <si>
    <t>=IF(AND($M3087&gt;=$Q$16,$M3087&lt;=$Q$18),U3087,0)</t>
  </si>
  <si>
    <t>=IF(AND($M3087&gt;=$R$16,$M3087&lt;=$R$18),U3087,0)</t>
  </si>
  <si>
    <t>=IF(AND($M3087&gt;=$S$16,$M3087&lt;=$S$18),U3087,0)</t>
  </si>
  <si>
    <t>=IF($M3087&lt;=$T$18,U3087,0)</t>
  </si>
  <si>
    <t>="""NAV Direct"",""CRONUS JetCorp USA"",""21"",""1"",""401878"""</t>
  </si>
  <si>
    <t>=E3086</t>
  </si>
  <si>
    <t>=StartDate-$M3088+1</t>
  </si>
  <si>
    <t>=SUM(P3088:T3088)</t>
  </si>
  <si>
    <t>=IF($M3088&gt;=$P$18,U3088,0)</t>
  </si>
  <si>
    <t>=IF(AND($M3088&gt;=$Q$16,$M3088&lt;=$Q$18),U3088,0)</t>
  </si>
  <si>
    <t>=IF(AND($M3088&gt;=$R$16,$M3088&lt;=$R$18),U3088,0)</t>
  </si>
  <si>
    <t>=IF(AND($M3088&gt;=$S$16,$M3088&lt;=$S$18),U3088,0)</t>
  </si>
  <si>
    <t>=IF($M3088&lt;=$T$18,U3088,0)</t>
  </si>
  <si>
    <t>="""NAV Direct"",""CRONUS JetCorp USA"",""21"",""1"",""402045"""</t>
  </si>
  <si>
    <t>=E3087</t>
  </si>
  <si>
    <t>=StartDate-$M3089+1</t>
  </si>
  <si>
    <t>=SUM(P3089:T3089)</t>
  </si>
  <si>
    <t>=IF($M3089&gt;=$P$18,U3089,0)</t>
  </si>
  <si>
    <t>=IF(AND($M3089&gt;=$Q$16,$M3089&lt;=$Q$18),U3089,0)</t>
  </si>
  <si>
    <t>=IF(AND($M3089&gt;=$R$16,$M3089&lt;=$R$18),U3089,0)</t>
  </si>
  <si>
    <t>=IF(AND($M3089&gt;=$S$16,$M3089&lt;=$S$18),U3089,0)</t>
  </si>
  <si>
    <t>=IF($M3089&lt;=$T$18,U3089,0)</t>
  </si>
  <si>
    <t>="""NAV Direct"",""CRONUS JetCorp USA"",""21"",""1"",""402854"""</t>
  </si>
  <si>
    <t>=E3088</t>
  </si>
  <si>
    <t>=StartDate-$M3090+1</t>
  </si>
  <si>
    <t>=SUM(P3090:T3090)</t>
  </si>
  <si>
    <t>=IF($M3090&gt;=$P$18,U3090,0)</t>
  </si>
  <si>
    <t>=IF(AND($M3090&gt;=$Q$16,$M3090&lt;=$Q$18),U3090,0)</t>
  </si>
  <si>
    <t>=IF(AND($M3090&gt;=$R$16,$M3090&lt;=$R$18),U3090,0)</t>
  </si>
  <si>
    <t>=IF(AND($M3090&gt;=$S$16,$M3090&lt;=$S$18),U3090,0)</t>
  </si>
  <si>
    <t>=IF($M3090&lt;=$T$18,U3090,0)</t>
  </si>
  <si>
    <t>="""NAV Direct"",""CRONUS JetCorp USA"",""21"",""1"",""403081"""</t>
  </si>
  <si>
    <t>=E3089</t>
  </si>
  <si>
    <t>=StartDate-$M3091+1</t>
  </si>
  <si>
    <t>=SUM(P3091:T3091)</t>
  </si>
  <si>
    <t>=IF($M3091&gt;=$P$18,U3091,0)</t>
  </si>
  <si>
    <t>=IF(AND($M3091&gt;=$Q$16,$M3091&lt;=$Q$18),U3091,0)</t>
  </si>
  <si>
    <t>=IF(AND($M3091&gt;=$R$16,$M3091&lt;=$R$18),U3091,0)</t>
  </si>
  <si>
    <t>=IF(AND($M3091&gt;=$S$16,$M3091&lt;=$S$18),U3091,0)</t>
  </si>
  <si>
    <t>=IF($M3091&lt;=$T$18,U3091,0)</t>
  </si>
  <si>
    <t>="""NAV Direct"",""CRONUS JetCorp USA"",""21"",""1"",""403368"""</t>
  </si>
  <si>
    <t>=E3090</t>
  </si>
  <si>
    <t>=StartDate-$M3092+1</t>
  </si>
  <si>
    <t>=SUM(P3092:T3092)</t>
  </si>
  <si>
    <t>=IF($M3092&gt;=$P$18,U3092,0)</t>
  </si>
  <si>
    <t>=IF(AND($M3092&gt;=$Q$16,$M3092&lt;=$Q$18),U3092,0)</t>
  </si>
  <si>
    <t>=IF(AND($M3092&gt;=$R$16,$M3092&lt;=$R$18),U3092,0)</t>
  </si>
  <si>
    <t>=IF(AND($M3092&gt;=$S$16,$M3092&lt;=$S$18),U3092,0)</t>
  </si>
  <si>
    <t>=IF($M3092&lt;=$T$18,U3092,0)</t>
  </si>
  <si>
    <t>="""NAV Direct"",""CRONUS JetCorp USA"",""21"",""1"",""403699"""</t>
  </si>
  <si>
    <t>=E3091</t>
  </si>
  <si>
    <t>=StartDate-$M3093+1</t>
  </si>
  <si>
    <t>=SUM(P3093:T3093)</t>
  </si>
  <si>
    <t>=IF($M3093&gt;=$P$18,U3093,0)</t>
  </si>
  <si>
    <t>=IF(AND($M3093&gt;=$Q$16,$M3093&lt;=$Q$18),U3093,0)</t>
  </si>
  <si>
    <t>=IF(AND($M3093&gt;=$R$16,$M3093&lt;=$R$18),U3093,0)</t>
  </si>
  <si>
    <t>=IF(AND($M3093&gt;=$S$16,$M3093&lt;=$S$18),U3093,0)</t>
  </si>
  <si>
    <t>=IF($M3093&lt;=$T$18,U3093,0)</t>
  </si>
  <si>
    <t>="""NAV Direct"",""CRONUS JetCorp USA"",""21"",""1"",""404236"""</t>
  </si>
  <si>
    <t>=E3092</t>
  </si>
  <si>
    <t>=StartDate-$M3094+1</t>
  </si>
  <si>
    <t>=SUM(P3094:T3094)</t>
  </si>
  <si>
    <t>=IF($M3094&gt;=$P$18,U3094,0)</t>
  </si>
  <si>
    <t>=IF(AND($M3094&gt;=$Q$16,$M3094&lt;=$Q$18),U3094,0)</t>
  </si>
  <si>
    <t>=IF(AND($M3094&gt;=$R$16,$M3094&lt;=$R$18),U3094,0)</t>
  </si>
  <si>
    <t>=IF(AND($M3094&gt;=$S$16,$M3094&lt;=$S$18),U3094,0)</t>
  </si>
  <si>
    <t>=IF($M3094&lt;=$T$18,U3094,0)</t>
  </si>
  <si>
    <t>="""NAV Direct"",""CRONUS JetCorp USA"",""21"",""1"",""404687"""</t>
  </si>
  <si>
    <t>=E3093</t>
  </si>
  <si>
    <t>=StartDate-$M3095+1</t>
  </si>
  <si>
    <t>=SUM(P3095:T3095)</t>
  </si>
  <si>
    <t>=IF($M3095&gt;=$P$18,U3095,0)</t>
  </si>
  <si>
    <t>=IF(AND($M3095&gt;=$Q$16,$M3095&lt;=$Q$18),U3095,0)</t>
  </si>
  <si>
    <t>=IF(AND($M3095&gt;=$R$16,$M3095&lt;=$R$18),U3095,0)</t>
  </si>
  <si>
    <t>=IF(AND($M3095&gt;=$S$16,$M3095&lt;=$S$18),U3095,0)</t>
  </si>
  <si>
    <t>=IF($M3095&lt;=$T$18,U3095,0)</t>
  </si>
  <si>
    <t>="""NAV Direct"",""CRONUS JetCorp USA"",""21"",""1"",""404835"""</t>
  </si>
  <si>
    <t>=E3094</t>
  </si>
  <si>
    <t>=StartDate-$M3096+1</t>
  </si>
  <si>
    <t>=SUM(P3096:T3096)</t>
  </si>
  <si>
    <t>=IF($M3096&gt;=$P$18,U3096,0)</t>
  </si>
  <si>
    <t>=IF(AND($M3096&gt;=$Q$16,$M3096&lt;=$Q$18),U3096,0)</t>
  </si>
  <si>
    <t>=IF(AND($M3096&gt;=$R$16,$M3096&lt;=$R$18),U3096,0)</t>
  </si>
  <si>
    <t>=IF(AND($M3096&gt;=$S$16,$M3096&lt;=$S$18),U3096,0)</t>
  </si>
  <si>
    <t>=IF($M3096&lt;=$T$18,U3096,0)</t>
  </si>
  <si>
    <t>="""NAV Direct"",""CRONUS JetCorp USA"",""21"",""1"",""405206"""</t>
  </si>
  <si>
    <t>=E3095</t>
  </si>
  <si>
    <t>=StartDate-$M3097+1</t>
  </si>
  <si>
    <t>=SUM(P3097:T3097)</t>
  </si>
  <si>
    <t>=IF($M3097&gt;=$P$18,U3097,0)</t>
  </si>
  <si>
    <t>=IF(AND($M3097&gt;=$Q$16,$M3097&lt;=$Q$18),U3097,0)</t>
  </si>
  <si>
    <t>=IF(AND($M3097&gt;=$R$16,$M3097&lt;=$R$18),U3097,0)</t>
  </si>
  <si>
    <t>=IF(AND($M3097&gt;=$S$16,$M3097&lt;=$S$18),U3097,0)</t>
  </si>
  <si>
    <t>=IF($M3097&lt;=$T$18,U3097,0)</t>
  </si>
  <si>
    <t>="""NAV Direct"",""CRONUS JetCorp USA"",""21"",""1"",""405341"""</t>
  </si>
  <si>
    <t>=E3096</t>
  </si>
  <si>
    <t>=StartDate-$M3098+1</t>
  </si>
  <si>
    <t>=SUM(P3098:T3098)</t>
  </si>
  <si>
    <t>=IF($M3098&gt;=$P$18,U3098,0)</t>
  </si>
  <si>
    <t>=IF(AND($M3098&gt;=$Q$16,$M3098&lt;=$Q$18),U3098,0)</t>
  </si>
  <si>
    <t>=IF(AND($M3098&gt;=$R$16,$M3098&lt;=$R$18),U3098,0)</t>
  </si>
  <si>
    <t>=IF(AND($M3098&gt;=$S$16,$M3098&lt;=$S$18),U3098,0)</t>
  </si>
  <si>
    <t>=IF($M3098&lt;=$T$18,U3098,0)</t>
  </si>
  <si>
    <t>="""NAV Direct"",""CRONUS JetCorp USA"",""21"",""1"",""405737"""</t>
  </si>
  <si>
    <t>=E3097</t>
  </si>
  <si>
    <t>=StartDate-$M3099+1</t>
  </si>
  <si>
    <t>=SUM(P3099:T3099)</t>
  </si>
  <si>
    <t>=IF($M3099&gt;=$P$18,U3099,0)</t>
  </si>
  <si>
    <t>=IF(AND($M3099&gt;=$Q$16,$M3099&lt;=$Q$18),U3099,0)</t>
  </si>
  <si>
    <t>=IF(AND($M3099&gt;=$R$16,$M3099&lt;=$R$18),U3099,0)</t>
  </si>
  <si>
    <t>=IF(AND($M3099&gt;=$S$16,$M3099&lt;=$S$18),U3099,0)</t>
  </si>
  <si>
    <t>=IF($M3099&lt;=$T$18,U3099,0)</t>
  </si>
  <si>
    <t>="""NAV Direct"",""CRONUS JetCorp USA"",""21"",""1"",""406611"""</t>
  </si>
  <si>
    <t>=E3098</t>
  </si>
  <si>
    <t>=StartDate-$M3100+1</t>
  </si>
  <si>
    <t>=SUM(P3100:T3100)</t>
  </si>
  <si>
    <t>=IF($M3100&gt;=$P$18,U3100,0)</t>
  </si>
  <si>
    <t>=IF(AND($M3100&gt;=$Q$16,$M3100&lt;=$Q$18),U3100,0)</t>
  </si>
  <si>
    <t>=IF(AND($M3100&gt;=$R$16,$M3100&lt;=$R$18),U3100,0)</t>
  </si>
  <si>
    <t>=IF(AND($M3100&gt;=$S$16,$M3100&lt;=$S$18),U3100,0)</t>
  </si>
  <si>
    <t>=IF($M3100&lt;=$T$18,U3100,0)</t>
  </si>
  <si>
    <t>="""NAV Direct"",""CRONUS JetCorp USA"",""21"",""1"",""406695"""</t>
  </si>
  <si>
    <t>=E3099</t>
  </si>
  <si>
    <t>=StartDate-$M3101+1</t>
  </si>
  <si>
    <t>=SUM(P3101:T3101)</t>
  </si>
  <si>
    <t>=IF($M3101&gt;=$P$18,U3101,0)</t>
  </si>
  <si>
    <t>=IF(AND($M3101&gt;=$Q$16,$M3101&lt;=$Q$18),U3101,0)</t>
  </si>
  <si>
    <t>=IF(AND($M3101&gt;=$R$16,$M3101&lt;=$R$18),U3101,0)</t>
  </si>
  <si>
    <t>=IF(AND($M3101&gt;=$S$16,$M3101&lt;=$S$18),U3101,0)</t>
  </si>
  <si>
    <t>=IF($M3101&lt;=$T$18,U3101,0)</t>
  </si>
  <si>
    <t>="""NAV Direct"",""CRONUS JetCorp USA"",""21"",""1"",""406854"""</t>
  </si>
  <si>
    <t>=E3100</t>
  </si>
  <si>
    <t>=StartDate-$M3102+1</t>
  </si>
  <si>
    <t>=SUM(P3102:T3102)</t>
  </si>
  <si>
    <t>=IF($M3102&gt;=$P$18,U3102,0)</t>
  </si>
  <si>
    <t>=IF(AND($M3102&gt;=$Q$16,$M3102&lt;=$Q$18),U3102,0)</t>
  </si>
  <si>
    <t>=IF(AND($M3102&gt;=$R$16,$M3102&lt;=$R$18),U3102,0)</t>
  </si>
  <si>
    <t>=IF(AND($M3102&gt;=$S$16,$M3102&lt;=$S$18),U3102,0)</t>
  </si>
  <si>
    <t>=IF($M3102&lt;=$T$18,U3102,0)</t>
  </si>
  <si>
    <t>="""NAV Direct"",""CRONUS JetCorp USA"",""21"",""1"",""407757"""</t>
  </si>
  <si>
    <t>=E3101</t>
  </si>
  <si>
    <t>=StartDate-$M3103+1</t>
  </si>
  <si>
    <t>=SUM(P3103:T3103)</t>
  </si>
  <si>
    <t>=IF($M3103&gt;=$P$18,U3103,0)</t>
  </si>
  <si>
    <t>=IF(AND($M3103&gt;=$Q$16,$M3103&lt;=$Q$18),U3103,0)</t>
  </si>
  <si>
    <t>=IF(AND($M3103&gt;=$R$16,$M3103&lt;=$R$18),U3103,0)</t>
  </si>
  <si>
    <t>=IF(AND($M3103&gt;=$S$16,$M3103&lt;=$S$18),U3103,0)</t>
  </si>
  <si>
    <t>=IF($M3103&lt;=$T$18,U3103,0)</t>
  </si>
  <si>
    <t>="""NAV Direct"",""CRONUS JetCorp USA"",""21"",""1"",""408461"""</t>
  </si>
  <si>
    <t>=E3102</t>
  </si>
  <si>
    <t>=StartDate-$M3104+1</t>
  </si>
  <si>
    <t>=SUM(P3104:T3104)</t>
  </si>
  <si>
    <t>=IF($M3104&gt;=$P$18,U3104,0)</t>
  </si>
  <si>
    <t>=IF(AND($M3104&gt;=$Q$16,$M3104&lt;=$Q$18),U3104,0)</t>
  </si>
  <si>
    <t>=IF(AND($M3104&gt;=$R$16,$M3104&lt;=$R$18),U3104,0)</t>
  </si>
  <si>
    <t>=IF(AND($M3104&gt;=$S$16,$M3104&lt;=$S$18),U3104,0)</t>
  </si>
  <si>
    <t>=IF($M3104&lt;=$T$18,U3104,0)</t>
  </si>
  <si>
    <t>="""NAV Direct"",""CRONUS JetCorp USA"",""21"",""1"",""408808"""</t>
  </si>
  <si>
    <t>=E3103</t>
  </si>
  <si>
    <t>=StartDate-$M3105+1</t>
  </si>
  <si>
    <t>=SUM(P3105:T3105)</t>
  </si>
  <si>
    <t>=IF($M3105&gt;=$P$18,U3105,0)</t>
  </si>
  <si>
    <t>=IF(AND($M3105&gt;=$Q$16,$M3105&lt;=$Q$18),U3105,0)</t>
  </si>
  <si>
    <t>=IF(AND($M3105&gt;=$R$16,$M3105&lt;=$R$18),U3105,0)</t>
  </si>
  <si>
    <t>=IF(AND($M3105&gt;=$S$16,$M3105&lt;=$S$18),U3105,0)</t>
  </si>
  <si>
    <t>=IF($M3105&lt;=$T$18,U3105,0)</t>
  </si>
  <si>
    <t>="""NAV Direct"",""CRONUS JetCorp USA"",""21"",""1"",""409145"""</t>
  </si>
  <si>
    <t>=E3104</t>
  </si>
  <si>
    <t>=StartDate-$M3106+1</t>
  </si>
  <si>
    <t>=SUM(P3106:T3106)</t>
  </si>
  <si>
    <t>=IF($M3106&gt;=$P$18,U3106,0)</t>
  </si>
  <si>
    <t>=IF(AND($M3106&gt;=$Q$16,$M3106&lt;=$Q$18),U3106,0)</t>
  </si>
  <si>
    <t>=IF(AND($M3106&gt;=$R$16,$M3106&lt;=$R$18),U3106,0)</t>
  </si>
  <si>
    <t>=IF(AND($M3106&gt;=$S$16,$M3106&lt;=$S$18),U3106,0)</t>
  </si>
  <si>
    <t>=IF($M3106&lt;=$T$18,U3106,0)</t>
  </si>
  <si>
    <t>="""NAV Direct"",""CRONUS JetCorp USA"",""21"",""1"",""409398"""</t>
  </si>
  <si>
    <t>=E3105</t>
  </si>
  <si>
    <t>=StartDate-$M3107+1</t>
  </si>
  <si>
    <t>=SUM(P3107:T3107)</t>
  </si>
  <si>
    <t>=IF($M3107&gt;=$P$18,U3107,0)</t>
  </si>
  <si>
    <t>=IF(AND($M3107&gt;=$Q$16,$M3107&lt;=$Q$18),U3107,0)</t>
  </si>
  <si>
    <t>=IF(AND($M3107&gt;=$R$16,$M3107&lt;=$R$18),U3107,0)</t>
  </si>
  <si>
    <t>=IF(AND($M3107&gt;=$S$16,$M3107&lt;=$S$18),U3107,0)</t>
  </si>
  <si>
    <t>=IF($M3107&lt;=$T$18,U3107,0)</t>
  </si>
  <si>
    <t>="""NAV Direct"",""CRONUS JetCorp USA"",""21"",""1"",""409781"""</t>
  </si>
  <si>
    <t>=E3106</t>
  </si>
  <si>
    <t>=StartDate-$M3108+1</t>
  </si>
  <si>
    <t>=SUM(P3108:T3108)</t>
  </si>
  <si>
    <t>=IF($M3108&gt;=$P$18,U3108,0)</t>
  </si>
  <si>
    <t>=IF(AND($M3108&gt;=$Q$16,$M3108&lt;=$Q$18),U3108,0)</t>
  </si>
  <si>
    <t>=IF(AND($M3108&gt;=$R$16,$M3108&lt;=$R$18),U3108,0)</t>
  </si>
  <si>
    <t>=IF(AND($M3108&gt;=$S$16,$M3108&lt;=$S$18),U3108,0)</t>
  </si>
  <si>
    <t>=IF($M3108&lt;=$T$18,U3108,0)</t>
  </si>
  <si>
    <t>="""NAV Direct"",""CRONUS JetCorp USA"",""21"",""1"",""410050"""</t>
  </si>
  <si>
    <t>=E3107</t>
  </si>
  <si>
    <t>=StartDate-$M3109+1</t>
  </si>
  <si>
    <t>=SUM(P3109:T3109)</t>
  </si>
  <si>
    <t>=IF($M3109&gt;=$P$18,U3109,0)</t>
  </si>
  <si>
    <t>=IF(AND($M3109&gt;=$Q$16,$M3109&lt;=$Q$18),U3109,0)</t>
  </si>
  <si>
    <t>=IF(AND($M3109&gt;=$R$16,$M3109&lt;=$R$18),U3109,0)</t>
  </si>
  <si>
    <t>=IF(AND($M3109&gt;=$S$16,$M3109&lt;=$S$18),U3109,0)</t>
  </si>
  <si>
    <t>=IF($M3109&lt;=$T$18,U3109,0)</t>
  </si>
  <si>
    <t>="""NAV Direct"",""CRONUS JetCorp USA"",""21"",""1"",""410109"""</t>
  </si>
  <si>
    <t>=E3108</t>
  </si>
  <si>
    <t>=StartDate-$M3110+1</t>
  </si>
  <si>
    <t>=SUM(P3110:T3110)</t>
  </si>
  <si>
    <t>=IF($M3110&gt;=$P$18,U3110,0)</t>
  </si>
  <si>
    <t>=IF(AND($M3110&gt;=$Q$16,$M3110&lt;=$Q$18),U3110,0)</t>
  </si>
  <si>
    <t>=IF(AND($M3110&gt;=$R$16,$M3110&lt;=$R$18),U3110,0)</t>
  </si>
  <si>
    <t>=IF(AND($M3110&gt;=$S$16,$M3110&lt;=$S$18),U3110,0)</t>
  </si>
  <si>
    <t>=IF($M3110&lt;=$T$18,U3110,0)</t>
  </si>
  <si>
    <t>="""NAV Direct"",""CRONUS JetCorp USA"",""21"",""1"",""412022"""</t>
  </si>
  <si>
    <t>=E3109</t>
  </si>
  <si>
    <t>=StartDate-$M3111+1</t>
  </si>
  <si>
    <t>=SUM(P3111:T3111)</t>
  </si>
  <si>
    <t>=IF($M3111&gt;=$P$18,U3111,0)</t>
  </si>
  <si>
    <t>=IF(AND($M3111&gt;=$Q$16,$M3111&lt;=$Q$18),U3111,0)</t>
  </si>
  <si>
    <t>=IF(AND($M3111&gt;=$R$16,$M3111&lt;=$R$18),U3111,0)</t>
  </si>
  <si>
    <t>=IF(AND($M3111&gt;=$S$16,$M3111&lt;=$S$18),U3111,0)</t>
  </si>
  <si>
    <t>=IF($M3111&lt;=$T$18,U3111,0)</t>
  </si>
  <si>
    <t>="""NAV Direct"",""CRONUS JetCorp USA"",""21"",""1"",""412071"""</t>
  </si>
  <si>
    <t>=E3110</t>
  </si>
  <si>
    <t>=StartDate-$M3112+1</t>
  </si>
  <si>
    <t>=SUM(P3112:T3112)</t>
  </si>
  <si>
    <t>=IF($M3112&gt;=$P$18,U3112,0)</t>
  </si>
  <si>
    <t>=IF(AND($M3112&gt;=$Q$16,$M3112&lt;=$Q$18),U3112,0)</t>
  </si>
  <si>
    <t>=IF(AND($M3112&gt;=$R$16,$M3112&lt;=$R$18),U3112,0)</t>
  </si>
  <si>
    <t>=IF(AND($M3112&gt;=$S$16,$M3112&lt;=$S$18),U3112,0)</t>
  </si>
  <si>
    <t>=IF($M3112&lt;=$T$18,U3112,0)</t>
  </si>
  <si>
    <t>="""NAV Direct"",""CRONUS JetCorp USA"",""21"",""1"",""412232"""</t>
  </si>
  <si>
    <t>=E3111</t>
  </si>
  <si>
    <t>=StartDate-$M3113+1</t>
  </si>
  <si>
    <t>=SUM(P3113:T3113)</t>
  </si>
  <si>
    <t>=IF($M3113&gt;=$P$18,U3113,0)</t>
  </si>
  <si>
    <t>=IF(AND($M3113&gt;=$Q$16,$M3113&lt;=$Q$18),U3113,0)</t>
  </si>
  <si>
    <t>=IF(AND($M3113&gt;=$R$16,$M3113&lt;=$R$18),U3113,0)</t>
  </si>
  <si>
    <t>=IF(AND($M3113&gt;=$S$16,$M3113&lt;=$S$18),U3113,0)</t>
  </si>
  <si>
    <t>=IF($M3113&lt;=$T$18,U3113,0)</t>
  </si>
  <si>
    <t>="""NAV Direct"",""CRONUS JetCorp USA"",""21"",""1"",""412293"""</t>
  </si>
  <si>
    <t>=E3112</t>
  </si>
  <si>
    <t>=StartDate-$M3114+1</t>
  </si>
  <si>
    <t>=SUM(P3114:T3114)</t>
  </si>
  <si>
    <t>=IF($M3114&gt;=$P$18,U3114,0)</t>
  </si>
  <si>
    <t>=IF(AND($M3114&gt;=$Q$16,$M3114&lt;=$Q$18),U3114,0)</t>
  </si>
  <si>
    <t>=IF(AND($M3114&gt;=$R$16,$M3114&lt;=$R$18),U3114,0)</t>
  </si>
  <si>
    <t>=IF(AND($M3114&gt;=$S$16,$M3114&lt;=$S$18),U3114,0)</t>
  </si>
  <si>
    <t>=IF($M3114&lt;=$T$18,U3114,0)</t>
  </si>
  <si>
    <t>="""NAV Direct"",""CRONUS JetCorp USA"",""21"",""1"",""412779"""</t>
  </si>
  <si>
    <t>=E3113</t>
  </si>
  <si>
    <t>=StartDate-$M3115+1</t>
  </si>
  <si>
    <t>=SUM(P3115:T3115)</t>
  </si>
  <si>
    <t>=IF($M3115&gt;=$P$18,U3115,0)</t>
  </si>
  <si>
    <t>=IF(AND($M3115&gt;=$Q$16,$M3115&lt;=$Q$18),U3115,0)</t>
  </si>
  <si>
    <t>=IF(AND($M3115&gt;=$R$16,$M3115&lt;=$R$18),U3115,0)</t>
  </si>
  <si>
    <t>=IF(AND($M3115&gt;=$S$16,$M3115&lt;=$S$18),U3115,0)</t>
  </si>
  <si>
    <t>=IF($M3115&lt;=$T$18,U3115,0)</t>
  </si>
  <si>
    <t>="""NAV Direct"",""CRONUS JetCorp USA"",""21"",""1"",""413391"""</t>
  </si>
  <si>
    <t>=E3114</t>
  </si>
  <si>
    <t>=StartDate-$M3116+1</t>
  </si>
  <si>
    <t>=SUM(P3116:T3116)</t>
  </si>
  <si>
    <t>=IF($M3116&gt;=$P$18,U3116,0)</t>
  </si>
  <si>
    <t>=IF(AND($M3116&gt;=$Q$16,$M3116&lt;=$Q$18),U3116,0)</t>
  </si>
  <si>
    <t>=IF(AND($M3116&gt;=$R$16,$M3116&lt;=$R$18),U3116,0)</t>
  </si>
  <si>
    <t>=IF(AND($M3116&gt;=$S$16,$M3116&lt;=$S$18),U3116,0)</t>
  </si>
  <si>
    <t>=IF($M3116&lt;=$T$18,U3116,0)</t>
  </si>
  <si>
    <t>="""NAV Direct"",""CRONUS JetCorp USA"",""21"",""1"",""413656"""</t>
  </si>
  <si>
    <t>=E3115</t>
  </si>
  <si>
    <t>=StartDate-$M3117+1</t>
  </si>
  <si>
    <t>=SUM(P3117:T3117)</t>
  </si>
  <si>
    <t>=IF($M3117&gt;=$P$18,U3117,0)</t>
  </si>
  <si>
    <t>=IF(AND($M3117&gt;=$Q$16,$M3117&lt;=$Q$18),U3117,0)</t>
  </si>
  <si>
    <t>=IF(AND($M3117&gt;=$R$16,$M3117&lt;=$R$18),U3117,0)</t>
  </si>
  <si>
    <t>=IF(AND($M3117&gt;=$S$16,$M3117&lt;=$S$18),U3117,0)</t>
  </si>
  <si>
    <t>=IF($M3117&lt;=$T$18,U3117,0)</t>
  </si>
  <si>
    <t>="""NAV Direct"",""CRONUS JetCorp USA"",""21"",""1"",""413841"""</t>
  </si>
  <si>
    <t>=E3116</t>
  </si>
  <si>
    <t>=StartDate-$M3118+1</t>
  </si>
  <si>
    <t>=SUM(P3118:T3118)</t>
  </si>
  <si>
    <t>=IF($M3118&gt;=$P$18,U3118,0)</t>
  </si>
  <si>
    <t>=IF(AND($M3118&gt;=$Q$16,$M3118&lt;=$Q$18),U3118,0)</t>
  </si>
  <si>
    <t>=IF(AND($M3118&gt;=$R$16,$M3118&lt;=$R$18),U3118,0)</t>
  </si>
  <si>
    <t>=IF(AND($M3118&gt;=$S$16,$M3118&lt;=$S$18),U3118,0)</t>
  </si>
  <si>
    <t>=IF($M3118&lt;=$T$18,U3118,0)</t>
  </si>
  <si>
    <t>="""NAV Direct"",""CRONUS JetCorp USA"",""21"",""1"",""414417"""</t>
  </si>
  <si>
    <t>=E3117</t>
  </si>
  <si>
    <t>=StartDate-$M3119+1</t>
  </si>
  <si>
    <t>=SUM(P3119:T3119)</t>
  </si>
  <si>
    <t>=IF($M3119&gt;=$P$18,U3119,0)</t>
  </si>
  <si>
    <t>=IF(AND($M3119&gt;=$Q$16,$M3119&lt;=$Q$18),U3119,0)</t>
  </si>
  <si>
    <t>=IF(AND($M3119&gt;=$R$16,$M3119&lt;=$R$18),U3119,0)</t>
  </si>
  <si>
    <t>=IF(AND($M3119&gt;=$S$16,$M3119&lt;=$S$18),U3119,0)</t>
  </si>
  <si>
    <t>=IF($M3119&lt;=$T$18,U3119,0)</t>
  </si>
  <si>
    <t>="""NAV Direct"",""CRONUS JetCorp USA"",""21"",""1"",""440233"""</t>
  </si>
  <si>
    <t>=E3118</t>
  </si>
  <si>
    <t>=StartDate-$M3120+1</t>
  </si>
  <si>
    <t>=SUM(P3120:T3120)</t>
  </si>
  <si>
    <t>=IF($M3120&gt;=$P$18,U3120,0)</t>
  </si>
  <si>
    <t>=IF(AND($M3120&gt;=$Q$16,$M3120&lt;=$Q$18),U3120,0)</t>
  </si>
  <si>
    <t>=IF(AND($M3120&gt;=$R$16,$M3120&lt;=$R$18),U3120,0)</t>
  </si>
  <si>
    <t>=IF(AND($M3120&gt;=$S$16,$M3120&lt;=$S$18),U3120,0)</t>
  </si>
  <si>
    <t>=IF($M3120&lt;=$T$18,U3120,0)</t>
  </si>
  <si>
    <t>="""NAV Direct"",""CRONUS JetCorp USA"",""21"",""1"",""440444"""</t>
  </si>
  <si>
    <t>=E3119</t>
  </si>
  <si>
    <t>=StartDate-$M3121+1</t>
  </si>
  <si>
    <t>=SUM(P3121:T3121)</t>
  </si>
  <si>
    <t>=IF($M3121&gt;=$P$18,U3121,0)</t>
  </si>
  <si>
    <t>=IF(AND($M3121&gt;=$Q$16,$M3121&lt;=$Q$18),U3121,0)</t>
  </si>
  <si>
    <t>=IF(AND($M3121&gt;=$R$16,$M3121&lt;=$R$18),U3121,0)</t>
  </si>
  <si>
    <t>=IF(AND($M3121&gt;=$S$16,$M3121&lt;=$S$18),U3121,0)</t>
  </si>
  <si>
    <t>=IF($M3121&lt;=$T$18,U3121,0)</t>
  </si>
  <si>
    <t>="""NAV Direct"",""CRONUS JetCorp USA"",""21"",""1"",""440589"""</t>
  </si>
  <si>
    <t>=E3120</t>
  </si>
  <si>
    <t>=StartDate-$M3122+1</t>
  </si>
  <si>
    <t>=SUM(P3122:T3122)</t>
  </si>
  <si>
    <t>=IF($M3122&gt;=$P$18,U3122,0)</t>
  </si>
  <si>
    <t>=IF(AND($M3122&gt;=$Q$16,$M3122&lt;=$Q$18),U3122,0)</t>
  </si>
  <si>
    <t>=IF(AND($M3122&gt;=$R$16,$M3122&lt;=$R$18),U3122,0)</t>
  </si>
  <si>
    <t>=IF(AND($M3122&gt;=$S$16,$M3122&lt;=$S$18),U3122,0)</t>
  </si>
  <si>
    <t>=IF($M3122&lt;=$T$18,U3122,0)</t>
  </si>
  <si>
    <t>="""NAV Direct"",""CRONUS JetCorp USA"",""21"",""1"",""441012"""</t>
  </si>
  <si>
    <t>=E3121</t>
  </si>
  <si>
    <t>=StartDate-$M3123+1</t>
  </si>
  <si>
    <t>=SUM(P3123:T3123)</t>
  </si>
  <si>
    <t>=IF($M3123&gt;=$P$18,U3123,0)</t>
  </si>
  <si>
    <t>=IF(AND($M3123&gt;=$Q$16,$M3123&lt;=$Q$18),U3123,0)</t>
  </si>
  <si>
    <t>=IF(AND($M3123&gt;=$R$16,$M3123&lt;=$R$18),U3123,0)</t>
  </si>
  <si>
    <t>=IF(AND($M3123&gt;=$S$16,$M3123&lt;=$S$18),U3123,0)</t>
  </si>
  <si>
    <t>=IF($M3123&lt;=$T$18,U3123,0)</t>
  </si>
  <si>
    <t>="""NAV Direct"",""CRONUS JetCorp USA"",""18"",""1"",""C100097"""</t>
  </si>
  <si>
    <t>=H3126</t>
  </si>
  <si>
    <t>=NF($C3126,"1 No.")</t>
  </si>
  <si>
    <t>=NF($C3126,"1 No.")&amp;"  -  "&amp;NF($C3126,"2 Name")</t>
  </si>
  <si>
    <t>=IFERROR(O3126/NF(C3126,"Credit Limit (LCY)"),"")</t>
  </si>
  <si>
    <t>=SUBTOTAL(3,L3127:L3186)</t>
  </si>
  <si>
    <t>=SUBTOTAL(9,O3127:O3186)</t>
  </si>
  <si>
    <t>=SUBTOTAL(9,P3127:P3186)</t>
  </si>
  <si>
    <t>=SUBTOTAL(9,Q3127:Q3186)</t>
  </si>
  <si>
    <t>=SUBTOTAL(9,R3127:R3186)</t>
  </si>
  <si>
    <t>=SUBTOTAL(9,S3127:S3186)</t>
  </si>
  <si>
    <t>=SUBTOTAL(9,T3127:T3186)</t>
  </si>
  <si>
    <t>=C3126</t>
  </si>
  <si>
    <t>=E3126</t>
  </si>
  <si>
    <t>="Contact: "&amp;NF($C3127,"8 Contact")</t>
  </si>
  <si>
    <t>=C3127</t>
  </si>
  <si>
    <t>=E3127</t>
  </si>
  <si>
    <t>=NF($C3128,"102 E-Mail")</t>
  </si>
  <si>
    <t>=NL("Rows","21 Cust. Ledger Entry",,"3 Customer No.","@@"&amp;$E3130,"16 Remaining Amt. (LCY)","&lt;&gt;0")</t>
  </si>
  <si>
    <t>=E3128</t>
  </si>
  <si>
    <t>=StartDate-$M3130+1</t>
  </si>
  <si>
    <t>=SUM(P3130:T3130)</t>
  </si>
  <si>
    <t>=IF($M3130&gt;=$P$18,U3130,0)</t>
  </si>
  <si>
    <t>=IF(AND($M3130&gt;=$Q$16,$M3130&lt;=$Q$18),U3130,0)</t>
  </si>
  <si>
    <t>=IF(AND($M3130&gt;=$R$16,$M3130&lt;=$R$18),U3130,0)</t>
  </si>
  <si>
    <t>=IF(AND($M3130&gt;=$S$16,$M3130&lt;=$S$18),U3130,0)</t>
  </si>
  <si>
    <t>=IF($M3130&lt;=$T$18,U3130,0)</t>
  </si>
  <si>
    <t>="""NAV Direct"",""CRONUS JetCorp USA"",""21"",""1"",""335158"""</t>
  </si>
  <si>
    <t>=E3129</t>
  </si>
  <si>
    <t>=StartDate-$M3131+1</t>
  </si>
  <si>
    <t>=SUM(P3131:T3131)</t>
  </si>
  <si>
    <t>=IF($M3131&gt;=$P$18,U3131,0)</t>
  </si>
  <si>
    <t>=IF(AND($M3131&gt;=$Q$16,$M3131&lt;=$Q$18),U3131,0)</t>
  </si>
  <si>
    <t>=IF(AND($M3131&gt;=$R$16,$M3131&lt;=$R$18),U3131,0)</t>
  </si>
  <si>
    <t>=IF(AND($M3131&gt;=$S$16,$M3131&lt;=$S$18),U3131,0)</t>
  </si>
  <si>
    <t>=IF($M3131&lt;=$T$18,U3131,0)</t>
  </si>
  <si>
    <t>="""NAV Direct"",""CRONUS JetCorp USA"",""21"",""1"",""335205"""</t>
  </si>
  <si>
    <t>=E3130</t>
  </si>
  <si>
    <t>=StartDate-$M3132+1</t>
  </si>
  <si>
    <t>=SUM(P3132:T3132)</t>
  </si>
  <si>
    <t>=IF($M3132&gt;=$P$18,U3132,0)</t>
  </si>
  <si>
    <t>=IF(AND($M3132&gt;=$Q$16,$M3132&lt;=$Q$18),U3132,0)</t>
  </si>
  <si>
    <t>=IF(AND($M3132&gt;=$R$16,$M3132&lt;=$R$18),U3132,0)</t>
  </si>
  <si>
    <t>=IF(AND($M3132&gt;=$S$16,$M3132&lt;=$S$18),U3132,0)</t>
  </si>
  <si>
    <t>=IF($M3132&lt;=$T$18,U3132,0)</t>
  </si>
  <si>
    <t>="""NAV Direct"",""CRONUS JetCorp USA"",""21"",""1"",""335289"""</t>
  </si>
  <si>
    <t>=E3131</t>
  </si>
  <si>
    <t>=StartDate-$M3133+1</t>
  </si>
  <si>
    <t>=SUM(P3133:T3133)</t>
  </si>
  <si>
    <t>=IF($M3133&gt;=$P$18,U3133,0)</t>
  </si>
  <si>
    <t>=IF(AND($M3133&gt;=$Q$16,$M3133&lt;=$Q$18),U3133,0)</t>
  </si>
  <si>
    <t>=IF(AND($M3133&gt;=$R$16,$M3133&lt;=$R$18),U3133,0)</t>
  </si>
  <si>
    <t>=IF(AND($M3133&gt;=$S$16,$M3133&lt;=$S$18),U3133,0)</t>
  </si>
  <si>
    <t>=IF($M3133&lt;=$T$18,U3133,0)</t>
  </si>
  <si>
    <t>="""NAV Direct"",""CRONUS JetCorp USA"",""21"",""1"",""335801"""</t>
  </si>
  <si>
    <t>=E3132</t>
  </si>
  <si>
    <t>=StartDate-$M3134+1</t>
  </si>
  <si>
    <t>=SUM(P3134:T3134)</t>
  </si>
  <si>
    <t>=IF($M3134&gt;=$P$18,U3134,0)</t>
  </si>
  <si>
    <t>=IF(AND($M3134&gt;=$Q$16,$M3134&lt;=$Q$18),U3134,0)</t>
  </si>
  <si>
    <t>=IF(AND($M3134&gt;=$R$16,$M3134&lt;=$R$18),U3134,0)</t>
  </si>
  <si>
    <t>=IF(AND($M3134&gt;=$S$16,$M3134&lt;=$S$18),U3134,0)</t>
  </si>
  <si>
    <t>=IF($M3134&lt;=$T$18,U3134,0)</t>
  </si>
  <si>
    <t>="""NAV Direct"",""CRONUS JetCorp USA"",""21"",""1"",""335914"""</t>
  </si>
  <si>
    <t>=E3133</t>
  </si>
  <si>
    <t>=StartDate-$M3135+1</t>
  </si>
  <si>
    <t>=SUM(P3135:T3135)</t>
  </si>
  <si>
    <t>=IF($M3135&gt;=$P$18,U3135,0)</t>
  </si>
  <si>
    <t>=IF(AND($M3135&gt;=$Q$16,$M3135&lt;=$Q$18),U3135,0)</t>
  </si>
  <si>
    <t>=IF(AND($M3135&gt;=$R$16,$M3135&lt;=$R$18),U3135,0)</t>
  </si>
  <si>
    <t>=IF(AND($M3135&gt;=$S$16,$M3135&lt;=$S$18),U3135,0)</t>
  </si>
  <si>
    <t>=IF($M3135&lt;=$T$18,U3135,0)</t>
  </si>
  <si>
    <t>="""NAV Direct"",""CRONUS JetCorp USA"",""21"",""1"",""335959"""</t>
  </si>
  <si>
    <t>=E3134</t>
  </si>
  <si>
    <t>=StartDate-$M3136+1</t>
  </si>
  <si>
    <t>=SUM(P3136:T3136)</t>
  </si>
  <si>
    <t>=IF($M3136&gt;=$P$18,U3136,0)</t>
  </si>
  <si>
    <t>=IF(AND($M3136&gt;=$Q$16,$M3136&lt;=$Q$18),U3136,0)</t>
  </si>
  <si>
    <t>=IF(AND($M3136&gt;=$R$16,$M3136&lt;=$R$18),U3136,0)</t>
  </si>
  <si>
    <t>=IF(AND($M3136&gt;=$S$16,$M3136&lt;=$S$18),U3136,0)</t>
  </si>
  <si>
    <t>=IF($M3136&lt;=$T$18,U3136,0)</t>
  </si>
  <si>
    <t>="""NAV Direct"",""CRONUS JetCorp USA"",""21"",""1"",""336203"""</t>
  </si>
  <si>
    <t>=E3135</t>
  </si>
  <si>
    <t>=StartDate-$M3137+1</t>
  </si>
  <si>
    <t>=SUM(P3137:T3137)</t>
  </si>
  <si>
    <t>=IF($M3137&gt;=$P$18,U3137,0)</t>
  </si>
  <si>
    <t>=IF(AND($M3137&gt;=$Q$16,$M3137&lt;=$Q$18),U3137,0)</t>
  </si>
  <si>
    <t>=IF(AND($M3137&gt;=$R$16,$M3137&lt;=$R$18),U3137,0)</t>
  </si>
  <si>
    <t>=IF(AND($M3137&gt;=$S$16,$M3137&lt;=$S$18),U3137,0)</t>
  </si>
  <si>
    <t>=IF($M3137&lt;=$T$18,U3137,0)</t>
  </si>
  <si>
    <t>="""NAV Direct"",""CRONUS JetCorp USA"",""21"",""1"",""336411"""</t>
  </si>
  <si>
    <t>=E3136</t>
  </si>
  <si>
    <t>=StartDate-$M3138+1</t>
  </si>
  <si>
    <t>=SUM(P3138:T3138)</t>
  </si>
  <si>
    <t>=IF($M3138&gt;=$P$18,U3138,0)</t>
  </si>
  <si>
    <t>=IF(AND($M3138&gt;=$Q$16,$M3138&lt;=$Q$18),U3138,0)</t>
  </si>
  <si>
    <t>=IF(AND($M3138&gt;=$R$16,$M3138&lt;=$R$18),U3138,0)</t>
  </si>
  <si>
    <t>=IF(AND($M3138&gt;=$S$16,$M3138&lt;=$S$18),U3138,0)</t>
  </si>
  <si>
    <t>=IF($M3138&lt;=$T$18,U3138,0)</t>
  </si>
  <si>
    <t>="""NAV Direct"",""CRONUS JetCorp USA"",""21"",""1"",""336738"""</t>
  </si>
  <si>
    <t>=E3137</t>
  </si>
  <si>
    <t>=StartDate-$M3139+1</t>
  </si>
  <si>
    <t>=SUM(P3139:T3139)</t>
  </si>
  <si>
    <t>=IF($M3139&gt;=$P$18,U3139,0)</t>
  </si>
  <si>
    <t>=IF(AND($M3139&gt;=$Q$16,$M3139&lt;=$Q$18),U3139,0)</t>
  </si>
  <si>
    <t>=IF(AND($M3139&gt;=$R$16,$M3139&lt;=$R$18),U3139,0)</t>
  </si>
  <si>
    <t>=IF(AND($M3139&gt;=$S$16,$M3139&lt;=$S$18),U3139,0)</t>
  </si>
  <si>
    <t>=IF($M3139&lt;=$T$18,U3139,0)</t>
  </si>
  <si>
    <t>="""NAV Direct"",""CRONUS JetCorp USA"",""21"",""1"",""337250"""</t>
  </si>
  <si>
    <t>=E3138</t>
  </si>
  <si>
    <t>=StartDate-$M3140+1</t>
  </si>
  <si>
    <t>=SUM(P3140:T3140)</t>
  </si>
  <si>
    <t>=IF($M3140&gt;=$P$18,U3140,0)</t>
  </si>
  <si>
    <t>=IF(AND($M3140&gt;=$Q$16,$M3140&lt;=$Q$18),U3140,0)</t>
  </si>
  <si>
    <t>=IF(AND($M3140&gt;=$R$16,$M3140&lt;=$R$18),U3140,0)</t>
  </si>
  <si>
    <t>=IF(AND($M3140&gt;=$S$16,$M3140&lt;=$S$18),U3140,0)</t>
  </si>
  <si>
    <t>=IF($M3140&lt;=$T$18,U3140,0)</t>
  </si>
  <si>
    <t>="""NAV Direct"",""CRONUS JetCorp USA"",""21"",""1"",""337544"""</t>
  </si>
  <si>
    <t>=E3139</t>
  </si>
  <si>
    <t>=StartDate-$M3141+1</t>
  </si>
  <si>
    <t>=SUM(P3141:T3141)</t>
  </si>
  <si>
    <t>=IF($M3141&gt;=$P$18,U3141,0)</t>
  </si>
  <si>
    <t>=IF(AND($M3141&gt;=$Q$16,$M3141&lt;=$Q$18),U3141,0)</t>
  </si>
  <si>
    <t>=IF(AND($M3141&gt;=$R$16,$M3141&lt;=$R$18),U3141,0)</t>
  </si>
  <si>
    <t>=IF(AND($M3141&gt;=$S$16,$M3141&lt;=$S$18),U3141,0)</t>
  </si>
  <si>
    <t>=IF($M3141&lt;=$T$18,U3141,0)</t>
  </si>
  <si>
    <t>="""NAV Direct"",""CRONUS JetCorp USA"",""21"",""1"",""337734"""</t>
  </si>
  <si>
    <t>=E3140</t>
  </si>
  <si>
    <t>=StartDate-$M3142+1</t>
  </si>
  <si>
    <t>=SUM(P3142:T3142)</t>
  </si>
  <si>
    <t>=IF($M3142&gt;=$P$18,U3142,0)</t>
  </si>
  <si>
    <t>=IF(AND($M3142&gt;=$Q$16,$M3142&lt;=$Q$18),U3142,0)</t>
  </si>
  <si>
    <t>=IF(AND($M3142&gt;=$R$16,$M3142&lt;=$R$18),U3142,0)</t>
  </si>
  <si>
    <t>=IF(AND($M3142&gt;=$S$16,$M3142&lt;=$S$18),U3142,0)</t>
  </si>
  <si>
    <t>=IF($M3142&lt;=$T$18,U3142,0)</t>
  </si>
  <si>
    <t>="""NAV Direct"",""CRONUS JetCorp USA"",""21"",""1"",""338059"""</t>
  </si>
  <si>
    <t>=E3141</t>
  </si>
  <si>
    <t>=StartDate-$M3143+1</t>
  </si>
  <si>
    <t>=SUM(P3143:T3143)</t>
  </si>
  <si>
    <t>=IF($M3143&gt;=$P$18,U3143,0)</t>
  </si>
  <si>
    <t>=IF(AND($M3143&gt;=$Q$16,$M3143&lt;=$Q$18),U3143,0)</t>
  </si>
  <si>
    <t>=IF(AND($M3143&gt;=$R$16,$M3143&lt;=$R$18),U3143,0)</t>
  </si>
  <si>
    <t>=IF(AND($M3143&gt;=$S$16,$M3143&lt;=$S$18),U3143,0)</t>
  </si>
  <si>
    <t>=IF($M3143&lt;=$T$18,U3143,0)</t>
  </si>
  <si>
    <t>="""NAV Direct"",""CRONUS JetCorp USA"",""21"",""1"",""338543"""</t>
  </si>
  <si>
    <t>=E3142</t>
  </si>
  <si>
    <t>=StartDate-$M3144+1</t>
  </si>
  <si>
    <t>=SUM(P3144:T3144)</t>
  </si>
  <si>
    <t>=IF($M3144&gt;=$P$18,U3144,0)</t>
  </si>
  <si>
    <t>=IF(AND($M3144&gt;=$Q$16,$M3144&lt;=$Q$18),U3144,0)</t>
  </si>
  <si>
    <t>=IF(AND($M3144&gt;=$R$16,$M3144&lt;=$R$18),U3144,0)</t>
  </si>
  <si>
    <t>=IF(AND($M3144&gt;=$S$16,$M3144&lt;=$S$18),U3144,0)</t>
  </si>
  <si>
    <t>=IF($M3144&lt;=$T$18,U3144,0)</t>
  </si>
  <si>
    <t>="""NAV Direct"",""CRONUS JetCorp USA"",""21"",""1"",""338668"""</t>
  </si>
  <si>
    <t>=E3143</t>
  </si>
  <si>
    <t>=StartDate-$M3145+1</t>
  </si>
  <si>
    <t>=SUM(P3145:T3145)</t>
  </si>
  <si>
    <t>=IF($M3145&gt;=$P$18,U3145,0)</t>
  </si>
  <si>
    <t>=IF(AND($M3145&gt;=$Q$16,$M3145&lt;=$Q$18),U3145,0)</t>
  </si>
  <si>
    <t>=IF(AND($M3145&gt;=$R$16,$M3145&lt;=$R$18),U3145,0)</t>
  </si>
  <si>
    <t>=IF(AND($M3145&gt;=$S$16,$M3145&lt;=$S$18),U3145,0)</t>
  </si>
  <si>
    <t>=IF($M3145&lt;=$T$18,U3145,0)</t>
  </si>
  <si>
    <t>="""NAV Direct"",""CRONUS JetCorp USA"",""21"",""1"",""338908"""</t>
  </si>
  <si>
    <t>=E3144</t>
  </si>
  <si>
    <t>=StartDate-$M3146+1</t>
  </si>
  <si>
    <t>=SUM(P3146:T3146)</t>
  </si>
  <si>
    <t>=IF($M3146&gt;=$P$18,U3146,0)</t>
  </si>
  <si>
    <t>=IF(AND($M3146&gt;=$Q$16,$M3146&lt;=$Q$18),U3146,0)</t>
  </si>
  <si>
    <t>=IF(AND($M3146&gt;=$R$16,$M3146&lt;=$R$18),U3146,0)</t>
  </si>
  <si>
    <t>=IF(AND($M3146&gt;=$S$16,$M3146&lt;=$S$18),U3146,0)</t>
  </si>
  <si>
    <t>=IF($M3146&lt;=$T$18,U3146,0)</t>
  </si>
  <si>
    <t>="""NAV Direct"",""CRONUS JetCorp USA"",""21"",""1"",""339554"""</t>
  </si>
  <si>
    <t>=E3145</t>
  </si>
  <si>
    <t>=StartDate-$M3147+1</t>
  </si>
  <si>
    <t>=SUM(P3147:T3147)</t>
  </si>
  <si>
    <t>=IF($M3147&gt;=$P$18,U3147,0)</t>
  </si>
  <si>
    <t>=IF(AND($M3147&gt;=$Q$16,$M3147&lt;=$Q$18),U3147,0)</t>
  </si>
  <si>
    <t>=IF(AND($M3147&gt;=$R$16,$M3147&lt;=$R$18),U3147,0)</t>
  </si>
  <si>
    <t>=IF(AND($M3147&gt;=$S$16,$M3147&lt;=$S$18),U3147,0)</t>
  </si>
  <si>
    <t>=IF($M3147&lt;=$T$18,U3147,0)</t>
  </si>
  <si>
    <t>="""NAV Direct"",""CRONUS JetCorp USA"",""21"",""1"",""339704"""</t>
  </si>
  <si>
    <t>=E3146</t>
  </si>
  <si>
    <t>=StartDate-$M3148+1</t>
  </si>
  <si>
    <t>=SUM(P3148:T3148)</t>
  </si>
  <si>
    <t>=IF($M3148&gt;=$P$18,U3148,0)</t>
  </si>
  <si>
    <t>=IF(AND($M3148&gt;=$Q$16,$M3148&lt;=$Q$18),U3148,0)</t>
  </si>
  <si>
    <t>=IF(AND($M3148&gt;=$R$16,$M3148&lt;=$R$18),U3148,0)</t>
  </si>
  <si>
    <t>=IF(AND($M3148&gt;=$S$16,$M3148&lt;=$S$18),U3148,0)</t>
  </si>
  <si>
    <t>=IF($M3148&lt;=$T$18,U3148,0)</t>
  </si>
  <si>
    <t>="""NAV Direct"",""CRONUS JetCorp USA"",""21"",""1"",""339749"""</t>
  </si>
  <si>
    <t>=E3147</t>
  </si>
  <si>
    <t>=StartDate-$M3149+1</t>
  </si>
  <si>
    <t>=SUM(P3149:T3149)</t>
  </si>
  <si>
    <t>=IF($M3149&gt;=$P$18,U3149,0)</t>
  </si>
  <si>
    <t>=IF(AND($M3149&gt;=$Q$16,$M3149&lt;=$Q$18),U3149,0)</t>
  </si>
  <si>
    <t>=IF(AND($M3149&gt;=$R$16,$M3149&lt;=$R$18),U3149,0)</t>
  </si>
  <si>
    <t>=IF(AND($M3149&gt;=$S$16,$M3149&lt;=$S$18),U3149,0)</t>
  </si>
  <si>
    <t>=IF($M3149&lt;=$T$18,U3149,0)</t>
  </si>
  <si>
    <t>="""NAV Direct"",""CRONUS JetCorp USA"",""21"",""1"",""339862"""</t>
  </si>
  <si>
    <t>=E3148</t>
  </si>
  <si>
    <t>=StartDate-$M3150+1</t>
  </si>
  <si>
    <t>=SUM(P3150:T3150)</t>
  </si>
  <si>
    <t>=IF($M3150&gt;=$P$18,U3150,0)</t>
  </si>
  <si>
    <t>=IF(AND($M3150&gt;=$Q$16,$M3150&lt;=$Q$18),U3150,0)</t>
  </si>
  <si>
    <t>=IF(AND($M3150&gt;=$R$16,$M3150&lt;=$R$18),U3150,0)</t>
  </si>
  <si>
    <t>=IF(AND($M3150&gt;=$S$16,$M3150&lt;=$S$18),U3150,0)</t>
  </si>
  <si>
    <t>=IF($M3150&lt;=$T$18,U3150,0)</t>
  </si>
  <si>
    <t>="""NAV Direct"",""CRONUS JetCorp USA"",""21"",""1"",""340100"""</t>
  </si>
  <si>
    <t>=E3149</t>
  </si>
  <si>
    <t>=StartDate-$M3151+1</t>
  </si>
  <si>
    <t>=SUM(P3151:T3151)</t>
  </si>
  <si>
    <t>=IF($M3151&gt;=$P$18,U3151,0)</t>
  </si>
  <si>
    <t>=IF(AND($M3151&gt;=$Q$16,$M3151&lt;=$Q$18),U3151,0)</t>
  </si>
  <si>
    <t>=IF(AND($M3151&gt;=$R$16,$M3151&lt;=$R$18),U3151,0)</t>
  </si>
  <si>
    <t>=IF(AND($M3151&gt;=$S$16,$M3151&lt;=$S$18),U3151,0)</t>
  </si>
  <si>
    <t>=IF($M3151&lt;=$T$18,U3151,0)</t>
  </si>
  <si>
    <t>="""NAV Direct"",""CRONUS JetCorp USA"",""21"",""1"",""340891"""</t>
  </si>
  <si>
    <t>=E3150</t>
  </si>
  <si>
    <t>=StartDate-$M3152+1</t>
  </si>
  <si>
    <t>=SUM(P3152:T3152)</t>
  </si>
  <si>
    <t>=IF($M3152&gt;=$P$18,U3152,0)</t>
  </si>
  <si>
    <t>=IF(AND($M3152&gt;=$Q$16,$M3152&lt;=$Q$18),U3152,0)</t>
  </si>
  <si>
    <t>=IF(AND($M3152&gt;=$R$16,$M3152&lt;=$R$18),U3152,0)</t>
  </si>
  <si>
    <t>=IF(AND($M3152&gt;=$S$16,$M3152&lt;=$S$18),U3152,0)</t>
  </si>
  <si>
    <t>=IF($M3152&lt;=$T$18,U3152,0)</t>
  </si>
  <si>
    <t>="""NAV Direct"",""CRONUS JetCorp USA"",""21"",""1"",""341164"""</t>
  </si>
  <si>
    <t>=E3151</t>
  </si>
  <si>
    <t>=StartDate-$M3153+1</t>
  </si>
  <si>
    <t>=SUM(P3153:T3153)</t>
  </si>
  <si>
    <t>=IF($M3153&gt;=$P$18,U3153,0)</t>
  </si>
  <si>
    <t>=IF(AND($M3153&gt;=$Q$16,$M3153&lt;=$Q$18),U3153,0)</t>
  </si>
  <si>
    <t>=IF(AND($M3153&gt;=$R$16,$M3153&lt;=$R$18),U3153,0)</t>
  </si>
  <si>
    <t>=IF(AND($M3153&gt;=$S$16,$M3153&lt;=$S$18),U3153,0)</t>
  </si>
  <si>
    <t>=IF($M3153&lt;=$T$18,U3153,0)</t>
  </si>
  <si>
    <t>="""NAV Direct"",""CRONUS JetCorp USA"",""21"",""1"",""341343"""</t>
  </si>
  <si>
    <t>=E3152</t>
  </si>
  <si>
    <t>=StartDate-$M3154+1</t>
  </si>
  <si>
    <t>=SUM(P3154:T3154)</t>
  </si>
  <si>
    <t>=IF($M3154&gt;=$P$18,U3154,0)</t>
  </si>
  <si>
    <t>=IF(AND($M3154&gt;=$Q$16,$M3154&lt;=$Q$18),U3154,0)</t>
  </si>
  <si>
    <t>=IF(AND($M3154&gt;=$R$16,$M3154&lt;=$R$18),U3154,0)</t>
  </si>
  <si>
    <t>=IF(AND($M3154&gt;=$S$16,$M3154&lt;=$S$18),U3154,0)</t>
  </si>
  <si>
    <t>=IF($M3154&lt;=$T$18,U3154,0)</t>
  </si>
  <si>
    <t>="""NAV Direct"",""CRONUS JetCorp USA"",""21"",""1"",""341380"""</t>
  </si>
  <si>
    <t>=E3153</t>
  </si>
  <si>
    <t>=StartDate-$M3155+1</t>
  </si>
  <si>
    <t>=SUM(P3155:T3155)</t>
  </si>
  <si>
    <t>=IF($M3155&gt;=$P$18,U3155,0)</t>
  </si>
  <si>
    <t>=IF(AND($M3155&gt;=$Q$16,$M3155&lt;=$Q$18),U3155,0)</t>
  </si>
  <si>
    <t>=IF(AND($M3155&gt;=$R$16,$M3155&lt;=$R$18),U3155,0)</t>
  </si>
  <si>
    <t>=IF(AND($M3155&gt;=$S$16,$M3155&lt;=$S$18),U3155,0)</t>
  </si>
  <si>
    <t>=IF($M3155&lt;=$T$18,U3155,0)</t>
  </si>
  <si>
    <t>="""NAV Direct"",""CRONUS JetCorp USA"",""21"",""1"",""341563"""</t>
  </si>
  <si>
    <t>=E3154</t>
  </si>
  <si>
    <t>=StartDate-$M3156+1</t>
  </si>
  <si>
    <t>=SUM(P3156:T3156)</t>
  </si>
  <si>
    <t>=IF($M3156&gt;=$P$18,U3156,0)</t>
  </si>
  <si>
    <t>=IF(AND($M3156&gt;=$Q$16,$M3156&lt;=$Q$18),U3156,0)</t>
  </si>
  <si>
    <t>=IF(AND($M3156&gt;=$R$16,$M3156&lt;=$R$18),U3156,0)</t>
  </si>
  <si>
    <t>=IF(AND($M3156&gt;=$S$16,$M3156&lt;=$S$18),U3156,0)</t>
  </si>
  <si>
    <t>=IF($M3156&lt;=$T$18,U3156,0)</t>
  </si>
  <si>
    <t>="""NAV Direct"",""CRONUS JetCorp USA"",""21"",""1"",""341602"""</t>
  </si>
  <si>
    <t>=E3155</t>
  </si>
  <si>
    <t>=StartDate-$M3157+1</t>
  </si>
  <si>
    <t>=SUM(P3157:T3157)</t>
  </si>
  <si>
    <t>=IF($M3157&gt;=$P$18,U3157,0)</t>
  </si>
  <si>
    <t>=IF(AND($M3157&gt;=$Q$16,$M3157&lt;=$Q$18),U3157,0)</t>
  </si>
  <si>
    <t>=IF(AND($M3157&gt;=$R$16,$M3157&lt;=$R$18),U3157,0)</t>
  </si>
  <si>
    <t>=IF(AND($M3157&gt;=$S$16,$M3157&lt;=$S$18),U3157,0)</t>
  </si>
  <si>
    <t>=IF($M3157&lt;=$T$18,U3157,0)</t>
  </si>
  <si>
    <t>="""NAV Direct"",""CRONUS JetCorp USA"",""21"",""1"",""342181"""</t>
  </si>
  <si>
    <t>=E3156</t>
  </si>
  <si>
    <t>=StartDate-$M3158+1</t>
  </si>
  <si>
    <t>=SUM(P3158:T3158)</t>
  </si>
  <si>
    <t>=IF($M3158&gt;=$P$18,U3158,0)</t>
  </si>
  <si>
    <t>=IF(AND($M3158&gt;=$Q$16,$M3158&lt;=$Q$18),U3158,0)</t>
  </si>
  <si>
    <t>=IF(AND($M3158&gt;=$R$16,$M3158&lt;=$R$18),U3158,0)</t>
  </si>
  <si>
    <t>=IF(AND($M3158&gt;=$S$16,$M3158&lt;=$S$18),U3158,0)</t>
  </si>
  <si>
    <t>=IF($M3158&lt;=$T$18,U3158,0)</t>
  </si>
  <si>
    <t>="""NAV Direct"",""CRONUS JetCorp USA"",""21"",""1"",""342803"""</t>
  </si>
  <si>
    <t>=E3157</t>
  </si>
  <si>
    <t>=StartDate-$M3159+1</t>
  </si>
  <si>
    <t>=SUM(P3159:T3159)</t>
  </si>
  <si>
    <t>=IF($M3159&gt;=$P$18,U3159,0)</t>
  </si>
  <si>
    <t>=IF(AND($M3159&gt;=$Q$16,$M3159&lt;=$Q$18),U3159,0)</t>
  </si>
  <si>
    <t>=IF(AND($M3159&gt;=$R$16,$M3159&lt;=$R$18),U3159,0)</t>
  </si>
  <si>
    <t>=IF(AND($M3159&gt;=$S$16,$M3159&lt;=$S$18),U3159,0)</t>
  </si>
  <si>
    <t>=IF($M3159&lt;=$T$18,U3159,0)</t>
  </si>
  <si>
    <t>="""NAV Direct"",""CRONUS JetCorp USA"",""21"",""1"",""343111"""</t>
  </si>
  <si>
    <t>=E3158</t>
  </si>
  <si>
    <t>=StartDate-$M3160+1</t>
  </si>
  <si>
    <t>=SUM(P3160:T3160)</t>
  </si>
  <si>
    <t>=IF($M3160&gt;=$P$18,U3160,0)</t>
  </si>
  <si>
    <t>=IF(AND($M3160&gt;=$Q$16,$M3160&lt;=$Q$18),U3160,0)</t>
  </si>
  <si>
    <t>=IF(AND($M3160&gt;=$R$16,$M3160&lt;=$R$18),U3160,0)</t>
  </si>
  <si>
    <t>=IF(AND($M3160&gt;=$S$16,$M3160&lt;=$S$18),U3160,0)</t>
  </si>
  <si>
    <t>=IF($M3160&lt;=$T$18,U3160,0)</t>
  </si>
  <si>
    <t>="""NAV Direct"",""CRONUS JetCorp USA"",""21"",""1"",""343199"""</t>
  </si>
  <si>
    <t>=E3159</t>
  </si>
  <si>
    <t>=StartDate-$M3161+1</t>
  </si>
  <si>
    <t>=SUM(P3161:T3161)</t>
  </si>
  <si>
    <t>=IF($M3161&gt;=$P$18,U3161,0)</t>
  </si>
  <si>
    <t>=IF(AND($M3161&gt;=$Q$16,$M3161&lt;=$Q$18),U3161,0)</t>
  </si>
  <si>
    <t>=IF(AND($M3161&gt;=$R$16,$M3161&lt;=$R$18),U3161,0)</t>
  </si>
  <si>
    <t>=IF(AND($M3161&gt;=$S$16,$M3161&lt;=$S$18),U3161,0)</t>
  </si>
  <si>
    <t>=IF($M3161&lt;=$T$18,U3161,0)</t>
  </si>
  <si>
    <t>="""NAV Direct"",""CRONUS JetCorp USA"",""21"",""1"",""343723"""</t>
  </si>
  <si>
    <t>=E3160</t>
  </si>
  <si>
    <t>=StartDate-$M3162+1</t>
  </si>
  <si>
    <t>=SUM(P3162:T3162)</t>
  </si>
  <si>
    <t>=IF($M3162&gt;=$P$18,U3162,0)</t>
  </si>
  <si>
    <t>=IF(AND($M3162&gt;=$Q$16,$M3162&lt;=$Q$18),U3162,0)</t>
  </si>
  <si>
    <t>=IF(AND($M3162&gt;=$R$16,$M3162&lt;=$R$18),U3162,0)</t>
  </si>
  <si>
    <t>=IF(AND($M3162&gt;=$S$16,$M3162&lt;=$S$18),U3162,0)</t>
  </si>
  <si>
    <t>=IF($M3162&lt;=$T$18,U3162,0)</t>
  </si>
  <si>
    <t>="""NAV Direct"",""CRONUS JetCorp USA"",""21"",""1"",""343879"""</t>
  </si>
  <si>
    <t>=E3161</t>
  </si>
  <si>
    <t>=StartDate-$M3163+1</t>
  </si>
  <si>
    <t>=SUM(P3163:T3163)</t>
  </si>
  <si>
    <t>=IF($M3163&gt;=$P$18,U3163,0)</t>
  </si>
  <si>
    <t>=IF(AND($M3163&gt;=$Q$16,$M3163&lt;=$Q$18),U3163,0)</t>
  </si>
  <si>
    <t>=IF(AND($M3163&gt;=$R$16,$M3163&lt;=$R$18),U3163,0)</t>
  </si>
  <si>
    <t>=IF(AND($M3163&gt;=$S$16,$M3163&lt;=$S$18),U3163,0)</t>
  </si>
  <si>
    <t>=IF($M3163&lt;=$T$18,U3163,0)</t>
  </si>
  <si>
    <t>="""NAV Direct"",""CRONUS JetCorp USA"",""21"",""1"",""344193"""</t>
  </si>
  <si>
    <t>=E3162</t>
  </si>
  <si>
    <t>=StartDate-$M3164+1</t>
  </si>
  <si>
    <t>=SUM(P3164:T3164)</t>
  </si>
  <si>
    <t>=IF($M3164&gt;=$P$18,U3164,0)</t>
  </si>
  <si>
    <t>=IF(AND($M3164&gt;=$Q$16,$M3164&lt;=$Q$18),U3164,0)</t>
  </si>
  <si>
    <t>=IF(AND($M3164&gt;=$R$16,$M3164&lt;=$R$18),U3164,0)</t>
  </si>
  <si>
    <t>=IF(AND($M3164&gt;=$S$16,$M3164&lt;=$S$18),U3164,0)</t>
  </si>
  <si>
    <t>=IF($M3164&lt;=$T$18,U3164,0)</t>
  </si>
  <si>
    <t>="""NAV Direct"",""CRONUS JetCorp USA"",""21"",""1"",""344646"""</t>
  </si>
  <si>
    <t>=E3163</t>
  </si>
  <si>
    <t>=StartDate-$M3165+1</t>
  </si>
  <si>
    <t>=SUM(P3165:T3165)</t>
  </si>
  <si>
    <t>=IF($M3165&gt;=$P$18,U3165,0)</t>
  </si>
  <si>
    <t>=IF(AND($M3165&gt;=$Q$16,$M3165&lt;=$Q$18),U3165,0)</t>
  </si>
  <si>
    <t>=IF(AND($M3165&gt;=$R$16,$M3165&lt;=$R$18),U3165,0)</t>
  </si>
  <si>
    <t>=IF(AND($M3165&gt;=$S$16,$M3165&lt;=$S$18),U3165,0)</t>
  </si>
  <si>
    <t>=IF($M3165&lt;=$T$18,U3165,0)</t>
  </si>
  <si>
    <t>="""NAV Direct"",""CRONUS JetCorp USA"",""21"",""1"",""344730"""</t>
  </si>
  <si>
    <t>=E3164</t>
  </si>
  <si>
    <t>=StartDate-$M3166+1</t>
  </si>
  <si>
    <t>=SUM(P3166:T3166)</t>
  </si>
  <si>
    <t>=IF($M3166&gt;=$P$18,U3166,0)</t>
  </si>
  <si>
    <t>=IF(AND($M3166&gt;=$Q$16,$M3166&lt;=$Q$18),U3166,0)</t>
  </si>
  <si>
    <t>=IF(AND($M3166&gt;=$R$16,$M3166&lt;=$R$18),U3166,0)</t>
  </si>
  <si>
    <t>=IF(AND($M3166&gt;=$S$16,$M3166&lt;=$S$18),U3166,0)</t>
  </si>
  <si>
    <t>=IF($M3166&lt;=$T$18,U3166,0)</t>
  </si>
  <si>
    <t>="""NAV Direct"",""CRONUS JetCorp USA"",""21"",""1"",""345247"""</t>
  </si>
  <si>
    <t>=E3165</t>
  </si>
  <si>
    <t>=StartDate-$M3167+1</t>
  </si>
  <si>
    <t>=SUM(P3167:T3167)</t>
  </si>
  <si>
    <t>=IF($M3167&gt;=$P$18,U3167,0)</t>
  </si>
  <si>
    <t>=IF(AND($M3167&gt;=$Q$16,$M3167&lt;=$Q$18),U3167,0)</t>
  </si>
  <si>
    <t>=IF(AND($M3167&gt;=$R$16,$M3167&lt;=$R$18),U3167,0)</t>
  </si>
  <si>
    <t>=IF(AND($M3167&gt;=$S$16,$M3167&lt;=$S$18),U3167,0)</t>
  </si>
  <si>
    <t>=IF($M3167&lt;=$T$18,U3167,0)</t>
  </si>
  <si>
    <t>="""NAV Direct"",""CRONUS JetCorp USA"",""21"",""1"",""345434"""</t>
  </si>
  <si>
    <t>=E3166</t>
  </si>
  <si>
    <t>=StartDate-$M3168+1</t>
  </si>
  <si>
    <t>=SUM(P3168:T3168)</t>
  </si>
  <si>
    <t>=IF($M3168&gt;=$P$18,U3168,0)</t>
  </si>
  <si>
    <t>=IF(AND($M3168&gt;=$Q$16,$M3168&lt;=$Q$18),U3168,0)</t>
  </si>
  <si>
    <t>=IF(AND($M3168&gt;=$R$16,$M3168&lt;=$R$18),U3168,0)</t>
  </si>
  <si>
    <t>=IF(AND($M3168&gt;=$S$16,$M3168&lt;=$S$18),U3168,0)</t>
  </si>
  <si>
    <t>=IF($M3168&lt;=$T$18,U3168,0)</t>
  </si>
  <si>
    <t>="""NAV Direct"",""CRONUS JetCorp USA"",""21"",""1"",""345844"""</t>
  </si>
  <si>
    <t>=E3167</t>
  </si>
  <si>
    <t>=StartDate-$M3169+1</t>
  </si>
  <si>
    <t>=SUM(P3169:T3169)</t>
  </si>
  <si>
    <t>=IF($M3169&gt;=$P$18,U3169,0)</t>
  </si>
  <si>
    <t>=IF(AND($M3169&gt;=$Q$16,$M3169&lt;=$Q$18),U3169,0)</t>
  </si>
  <si>
    <t>=IF(AND($M3169&gt;=$R$16,$M3169&lt;=$R$18),U3169,0)</t>
  </si>
  <si>
    <t>=IF(AND($M3169&gt;=$S$16,$M3169&lt;=$S$18),U3169,0)</t>
  </si>
  <si>
    <t>=IF($M3169&lt;=$T$18,U3169,0)</t>
  </si>
  <si>
    <t>="""NAV Direct"",""CRONUS JetCorp USA"",""21"",""1"",""346256"""</t>
  </si>
  <si>
    <t>=E3168</t>
  </si>
  <si>
    <t>=StartDate-$M3170+1</t>
  </si>
  <si>
    <t>=SUM(P3170:T3170)</t>
  </si>
  <si>
    <t>=IF($M3170&gt;=$P$18,U3170,0)</t>
  </si>
  <si>
    <t>=IF(AND($M3170&gt;=$Q$16,$M3170&lt;=$Q$18),U3170,0)</t>
  </si>
  <si>
    <t>=IF(AND($M3170&gt;=$R$16,$M3170&lt;=$R$18),U3170,0)</t>
  </si>
  <si>
    <t>=IF(AND($M3170&gt;=$S$16,$M3170&lt;=$S$18),U3170,0)</t>
  </si>
  <si>
    <t>=IF($M3170&lt;=$T$18,U3170,0)</t>
  </si>
  <si>
    <t>="""NAV Direct"",""CRONUS JetCorp USA"",""21"",""1"",""346479"""</t>
  </si>
  <si>
    <t>=E3169</t>
  </si>
  <si>
    <t>=StartDate-$M3171+1</t>
  </si>
  <si>
    <t>=SUM(P3171:T3171)</t>
  </si>
  <si>
    <t>=IF($M3171&gt;=$P$18,U3171,0)</t>
  </si>
  <si>
    <t>=IF(AND($M3171&gt;=$Q$16,$M3171&lt;=$Q$18),U3171,0)</t>
  </si>
  <si>
    <t>=IF(AND($M3171&gt;=$R$16,$M3171&lt;=$R$18),U3171,0)</t>
  </si>
  <si>
    <t>=IF(AND($M3171&gt;=$S$16,$M3171&lt;=$S$18),U3171,0)</t>
  </si>
  <si>
    <t>=IF($M3171&lt;=$T$18,U3171,0)</t>
  </si>
  <si>
    <t>="""NAV Direct"",""CRONUS JetCorp USA"",""21"",""1"",""346522"""</t>
  </si>
  <si>
    <t>=E3170</t>
  </si>
  <si>
    <t>=StartDate-$M3172+1</t>
  </si>
  <si>
    <t>=SUM(P3172:T3172)</t>
  </si>
  <si>
    <t>=IF($M3172&gt;=$P$18,U3172,0)</t>
  </si>
  <si>
    <t>=IF(AND($M3172&gt;=$Q$16,$M3172&lt;=$Q$18),U3172,0)</t>
  </si>
  <si>
    <t>=IF(AND($M3172&gt;=$R$16,$M3172&lt;=$R$18),U3172,0)</t>
  </si>
  <si>
    <t>=IF(AND($M3172&gt;=$S$16,$M3172&lt;=$S$18),U3172,0)</t>
  </si>
  <si>
    <t>=IF($M3172&lt;=$T$18,U3172,0)</t>
  </si>
  <si>
    <t>="""NAV Direct"",""CRONUS JetCorp USA"",""21"",""1"",""346643"""</t>
  </si>
  <si>
    <t>=E3171</t>
  </si>
  <si>
    <t>=StartDate-$M3173+1</t>
  </si>
  <si>
    <t>=SUM(P3173:T3173)</t>
  </si>
  <si>
    <t>=IF($M3173&gt;=$P$18,U3173,0)</t>
  </si>
  <si>
    <t>=IF(AND($M3173&gt;=$Q$16,$M3173&lt;=$Q$18),U3173,0)</t>
  </si>
  <si>
    <t>=IF(AND($M3173&gt;=$R$16,$M3173&lt;=$R$18),U3173,0)</t>
  </si>
  <si>
    <t>=IF(AND($M3173&gt;=$S$16,$M3173&lt;=$S$18),U3173,0)</t>
  </si>
  <si>
    <t>=IF($M3173&lt;=$T$18,U3173,0)</t>
  </si>
  <si>
    <t>="""NAV Direct"",""CRONUS JetCorp USA"",""21"",""1"",""347373"""</t>
  </si>
  <si>
    <t>=E3172</t>
  </si>
  <si>
    <t>=StartDate-$M3174+1</t>
  </si>
  <si>
    <t>=SUM(P3174:T3174)</t>
  </si>
  <si>
    <t>=IF($M3174&gt;=$P$18,U3174,0)</t>
  </si>
  <si>
    <t>=IF(AND($M3174&gt;=$Q$16,$M3174&lt;=$Q$18),U3174,0)</t>
  </si>
  <si>
    <t>=IF(AND($M3174&gt;=$R$16,$M3174&lt;=$R$18),U3174,0)</t>
  </si>
  <si>
    <t>=IF(AND($M3174&gt;=$S$16,$M3174&lt;=$S$18),U3174,0)</t>
  </si>
  <si>
    <t>=IF($M3174&lt;=$T$18,U3174,0)</t>
  </si>
  <si>
    <t>="""NAV Direct"",""CRONUS JetCorp USA"",""21"",""1"",""347416"""</t>
  </si>
  <si>
    <t>=E3173</t>
  </si>
  <si>
    <t>=StartDate-$M3175+1</t>
  </si>
  <si>
    <t>=SUM(P3175:T3175)</t>
  </si>
  <si>
    <t>=IF($M3175&gt;=$P$18,U3175,0)</t>
  </si>
  <si>
    <t>=IF(AND($M3175&gt;=$Q$16,$M3175&lt;=$Q$18),U3175,0)</t>
  </si>
  <si>
    <t>=IF(AND($M3175&gt;=$R$16,$M3175&lt;=$R$18),U3175,0)</t>
  </si>
  <si>
    <t>=IF(AND($M3175&gt;=$S$16,$M3175&lt;=$S$18),U3175,0)</t>
  </si>
  <si>
    <t>=IF($M3175&lt;=$T$18,U3175,0)</t>
  </si>
  <si>
    <t>="""NAV Direct"",""CRONUS JetCorp USA"",""21"",""1"",""347497"""</t>
  </si>
  <si>
    <t>=E3174</t>
  </si>
  <si>
    <t>=StartDate-$M3176+1</t>
  </si>
  <si>
    <t>=SUM(P3176:T3176)</t>
  </si>
  <si>
    <t>=IF($M3176&gt;=$P$18,U3176,0)</t>
  </si>
  <si>
    <t>=IF(AND($M3176&gt;=$Q$16,$M3176&lt;=$Q$18),U3176,0)</t>
  </si>
  <si>
    <t>=IF(AND($M3176&gt;=$R$16,$M3176&lt;=$R$18),U3176,0)</t>
  </si>
  <si>
    <t>=IF(AND($M3176&gt;=$S$16,$M3176&lt;=$S$18),U3176,0)</t>
  </si>
  <si>
    <t>=IF($M3176&lt;=$T$18,U3176,0)</t>
  </si>
  <si>
    <t>="""NAV Direct"",""CRONUS JetCorp USA"",""21"",""1"",""348241"""</t>
  </si>
  <si>
    <t>=E3175</t>
  </si>
  <si>
    <t>=StartDate-$M3177+1</t>
  </si>
  <si>
    <t>=SUM(P3177:T3177)</t>
  </si>
  <si>
    <t>=IF($M3177&gt;=$P$18,U3177,0)</t>
  </si>
  <si>
    <t>=IF(AND($M3177&gt;=$Q$16,$M3177&lt;=$Q$18),U3177,0)</t>
  </si>
  <si>
    <t>=IF(AND($M3177&gt;=$R$16,$M3177&lt;=$R$18),U3177,0)</t>
  </si>
  <si>
    <t>=IF(AND($M3177&gt;=$S$16,$M3177&lt;=$S$18),U3177,0)</t>
  </si>
  <si>
    <t>=IF($M3177&lt;=$T$18,U3177,0)</t>
  </si>
  <si>
    <t>="""NAV Direct"",""CRONUS JetCorp USA"",""21"",""1"",""349059"""</t>
  </si>
  <si>
    <t>=E3176</t>
  </si>
  <si>
    <t>=StartDate-$M3178+1</t>
  </si>
  <si>
    <t>=SUM(P3178:T3178)</t>
  </si>
  <si>
    <t>=IF($M3178&gt;=$P$18,U3178,0)</t>
  </si>
  <si>
    <t>=IF(AND($M3178&gt;=$Q$16,$M3178&lt;=$Q$18),U3178,0)</t>
  </si>
  <si>
    <t>=IF(AND($M3178&gt;=$R$16,$M3178&lt;=$R$18),U3178,0)</t>
  </si>
  <si>
    <t>=IF(AND($M3178&gt;=$S$16,$M3178&lt;=$S$18),U3178,0)</t>
  </si>
  <si>
    <t>=IF($M3178&lt;=$T$18,U3178,0)</t>
  </si>
  <si>
    <t>="""NAV Direct"",""CRONUS JetCorp USA"",""21"",""1"",""349146"""</t>
  </si>
  <si>
    <t>=E3177</t>
  </si>
  <si>
    <t>=StartDate-$M3179+1</t>
  </si>
  <si>
    <t>=SUM(P3179:T3179)</t>
  </si>
  <si>
    <t>=IF($M3179&gt;=$P$18,U3179,0)</t>
  </si>
  <si>
    <t>=IF(AND($M3179&gt;=$Q$16,$M3179&lt;=$Q$18),U3179,0)</t>
  </si>
  <si>
    <t>=IF(AND($M3179&gt;=$R$16,$M3179&lt;=$R$18),U3179,0)</t>
  </si>
  <si>
    <t>=IF(AND($M3179&gt;=$S$16,$M3179&lt;=$S$18),U3179,0)</t>
  </si>
  <si>
    <t>=IF($M3179&lt;=$T$18,U3179,0)</t>
  </si>
  <si>
    <t>="""NAV Direct"",""CRONUS JetCorp USA"",""21"",""1"",""349271"""</t>
  </si>
  <si>
    <t>=E3178</t>
  </si>
  <si>
    <t>=StartDate-$M3180+1</t>
  </si>
  <si>
    <t>=SUM(P3180:T3180)</t>
  </si>
  <si>
    <t>=IF($M3180&gt;=$P$18,U3180,0)</t>
  </si>
  <si>
    <t>=IF(AND($M3180&gt;=$Q$16,$M3180&lt;=$Q$18),U3180,0)</t>
  </si>
  <si>
    <t>=IF(AND($M3180&gt;=$R$16,$M3180&lt;=$R$18),U3180,0)</t>
  </si>
  <si>
    <t>=IF(AND($M3180&gt;=$S$16,$M3180&lt;=$S$18),U3180,0)</t>
  </si>
  <si>
    <t>=IF($M3180&lt;=$T$18,U3180,0)</t>
  </si>
  <si>
    <t>="""NAV Direct"",""CRONUS JetCorp USA"",""21"",""1"",""349898"""</t>
  </si>
  <si>
    <t>=E3179</t>
  </si>
  <si>
    <t>=StartDate-$M3181+1</t>
  </si>
  <si>
    <t>=SUM(P3181:T3181)</t>
  </si>
  <si>
    <t>=IF($M3181&gt;=$P$18,U3181,0)</t>
  </si>
  <si>
    <t>=IF(AND($M3181&gt;=$Q$16,$M3181&lt;=$Q$18),U3181,0)</t>
  </si>
  <si>
    <t>=IF(AND($M3181&gt;=$R$16,$M3181&lt;=$R$18),U3181,0)</t>
  </si>
  <si>
    <t>=IF(AND($M3181&gt;=$S$16,$M3181&lt;=$S$18),U3181,0)</t>
  </si>
  <si>
    <t>=IF($M3181&lt;=$T$18,U3181,0)</t>
  </si>
  <si>
    <t>="""NAV Direct"",""CRONUS JetCorp USA"",""21"",""1"",""350052"""</t>
  </si>
  <si>
    <t>=E3180</t>
  </si>
  <si>
    <t>=StartDate-$M3182+1</t>
  </si>
  <si>
    <t>=SUM(P3182:T3182)</t>
  </si>
  <si>
    <t>=IF($M3182&gt;=$P$18,U3182,0)</t>
  </si>
  <si>
    <t>=IF(AND($M3182&gt;=$Q$16,$M3182&lt;=$Q$18),U3182,0)</t>
  </si>
  <si>
    <t>=IF(AND($M3182&gt;=$R$16,$M3182&lt;=$R$18),U3182,0)</t>
  </si>
  <si>
    <t>=IF(AND($M3182&gt;=$S$16,$M3182&lt;=$S$18),U3182,0)</t>
  </si>
  <si>
    <t>=IF($M3182&lt;=$T$18,U3182,0)</t>
  </si>
  <si>
    <t>="""NAV Direct"",""CRONUS JetCorp USA"",""21"",""1"",""350955"""</t>
  </si>
  <si>
    <t>=E3181</t>
  </si>
  <si>
    <t>=StartDate-$M3183+1</t>
  </si>
  <si>
    <t>=SUM(P3183:T3183)</t>
  </si>
  <si>
    <t>=IF($M3183&gt;=$P$18,U3183,0)</t>
  </si>
  <si>
    <t>=IF(AND($M3183&gt;=$Q$16,$M3183&lt;=$Q$18),U3183,0)</t>
  </si>
  <si>
    <t>=IF(AND($M3183&gt;=$R$16,$M3183&lt;=$R$18),U3183,0)</t>
  </si>
  <si>
    <t>=IF(AND($M3183&gt;=$S$16,$M3183&lt;=$S$18),U3183,0)</t>
  </si>
  <si>
    <t>=IF($M3183&lt;=$T$18,U3183,0)</t>
  </si>
  <si>
    <t>="""NAV Direct"",""CRONUS JetCorp USA"",""21"",""1"",""351500"""</t>
  </si>
  <si>
    <t>=E3182</t>
  </si>
  <si>
    <t>=StartDate-$M3184+1</t>
  </si>
  <si>
    <t>=SUM(P3184:T3184)</t>
  </si>
  <si>
    <t>=IF($M3184&gt;=$P$18,U3184,0)</t>
  </si>
  <si>
    <t>=IF(AND($M3184&gt;=$Q$16,$M3184&lt;=$Q$18),U3184,0)</t>
  </si>
  <si>
    <t>=IF(AND($M3184&gt;=$R$16,$M3184&lt;=$R$18),U3184,0)</t>
  </si>
  <si>
    <t>=IF(AND($M3184&gt;=$S$16,$M3184&lt;=$S$18),U3184,0)</t>
  </si>
  <si>
    <t>=IF($M3184&lt;=$T$18,U3184,0)</t>
  </si>
  <si>
    <t>="""NAV Direct"",""CRONUS JetCorp USA"",""21"",""1"",""351582"""</t>
  </si>
  <si>
    <t>=E3183</t>
  </si>
  <si>
    <t>=StartDate-$M3185+1</t>
  </si>
  <si>
    <t>=SUM(P3185:T3185)</t>
  </si>
  <si>
    <t>=IF($M3185&gt;=$P$18,U3185,0)</t>
  </si>
  <si>
    <t>=IF(AND($M3185&gt;=$Q$16,$M3185&lt;=$Q$18),U3185,0)</t>
  </si>
  <si>
    <t>=IF(AND($M3185&gt;=$R$16,$M3185&lt;=$R$18),U3185,0)</t>
  </si>
  <si>
    <t>=IF(AND($M3185&gt;=$S$16,$M3185&lt;=$S$18),U3185,0)</t>
  </si>
  <si>
    <t>=IF($M3185&lt;=$T$18,U3185,0)</t>
  </si>
  <si>
    <t>="""NAV Direct"",""CRONUS JetCorp USA"",""18"",""1"",""C100098"""</t>
  </si>
  <si>
    <t>=H3188</t>
  </si>
  <si>
    <t>=NF($C3188,"1 No.")</t>
  </si>
  <si>
    <t>=NF($C3188,"1 No.")&amp;"  -  "&amp;NF($C3188,"2 Name")</t>
  </si>
  <si>
    <t>=IFERROR(O3188/NF(C3188,"Credit Limit (LCY)"),"")</t>
  </si>
  <si>
    <t>=SUBTOTAL(3,L3189:L3244)</t>
  </si>
  <si>
    <t>=SUBTOTAL(9,O3189:O3244)</t>
  </si>
  <si>
    <t>=SUBTOTAL(9,P3189:P3244)</t>
  </si>
  <si>
    <t>=SUBTOTAL(9,Q3189:Q3244)</t>
  </si>
  <si>
    <t>=SUBTOTAL(9,R3189:R3244)</t>
  </si>
  <si>
    <t>=SUBTOTAL(9,S3189:S3244)</t>
  </si>
  <si>
    <t>=SUBTOTAL(9,T3189:T3244)</t>
  </si>
  <si>
    <t>=C3188</t>
  </si>
  <si>
    <t>=E3188</t>
  </si>
  <si>
    <t>="Contact: "&amp;NF($C3189,"8 Contact")</t>
  </si>
  <si>
    <t>=C3189</t>
  </si>
  <si>
    <t>=E3189</t>
  </si>
  <si>
    <t>=NF($C3190,"102 E-Mail")</t>
  </si>
  <si>
    <t>=NL("Rows","21 Cust. Ledger Entry",,"3 Customer No.","@@"&amp;$E3192,"16 Remaining Amt. (LCY)","&lt;&gt;0")</t>
  </si>
  <si>
    <t>=E3190</t>
  </si>
  <si>
    <t>=StartDate-$M3192+1</t>
  </si>
  <si>
    <t>=SUM(P3192:T3192)</t>
  </si>
  <si>
    <t>=IF($M3192&gt;=$P$18,U3192,0)</t>
  </si>
  <si>
    <t>=IF(AND($M3192&gt;=$Q$16,$M3192&lt;=$Q$18),U3192,0)</t>
  </si>
  <si>
    <t>=IF(AND($M3192&gt;=$R$16,$M3192&lt;=$R$18),U3192,0)</t>
  </si>
  <si>
    <t>=IF(AND($M3192&gt;=$S$16,$M3192&lt;=$S$18),U3192,0)</t>
  </si>
  <si>
    <t>=IF($M3192&lt;=$T$18,U3192,0)</t>
  </si>
  <si>
    <t>="""NAV Direct"",""CRONUS JetCorp USA"",""21"",""1"",""72493"""</t>
  </si>
  <si>
    <t>=E3191</t>
  </si>
  <si>
    <t>=StartDate-$M3193+1</t>
  </si>
  <si>
    <t>=SUM(P3193:T3193)</t>
  </si>
  <si>
    <t>=IF($M3193&gt;=$P$18,U3193,0)</t>
  </si>
  <si>
    <t>=IF(AND($M3193&gt;=$Q$16,$M3193&lt;=$Q$18),U3193,0)</t>
  </si>
  <si>
    <t>=IF(AND($M3193&gt;=$R$16,$M3193&lt;=$R$18),U3193,0)</t>
  </si>
  <si>
    <t>=IF(AND($M3193&gt;=$S$16,$M3193&lt;=$S$18),U3193,0)</t>
  </si>
  <si>
    <t>=IF($M3193&lt;=$T$18,U3193,0)</t>
  </si>
  <si>
    <t>="""NAV Direct"",""CRONUS JetCorp USA"",""21"",""1"",""352152"""</t>
  </si>
  <si>
    <t>=E3192</t>
  </si>
  <si>
    <t>=StartDate-$M3194+1</t>
  </si>
  <si>
    <t>=SUM(P3194:T3194)</t>
  </si>
  <si>
    <t>=IF($M3194&gt;=$P$18,U3194,0)</t>
  </si>
  <si>
    <t>=IF(AND($M3194&gt;=$Q$16,$M3194&lt;=$Q$18),U3194,0)</t>
  </si>
  <si>
    <t>=IF(AND($M3194&gt;=$R$16,$M3194&lt;=$R$18),U3194,0)</t>
  </si>
  <si>
    <t>=IF(AND($M3194&gt;=$S$16,$M3194&lt;=$S$18),U3194,0)</t>
  </si>
  <si>
    <t>=IF($M3194&lt;=$T$18,U3194,0)</t>
  </si>
  <si>
    <t>="""NAV Direct"",""CRONUS JetCorp USA"",""21"",""1"",""352185"""</t>
  </si>
  <si>
    <t>=E3193</t>
  </si>
  <si>
    <t>=StartDate-$M3195+1</t>
  </si>
  <si>
    <t>=SUM(P3195:T3195)</t>
  </si>
  <si>
    <t>=IF($M3195&gt;=$P$18,U3195,0)</t>
  </si>
  <si>
    <t>=IF(AND($M3195&gt;=$Q$16,$M3195&lt;=$Q$18),U3195,0)</t>
  </si>
  <si>
    <t>=IF(AND($M3195&gt;=$R$16,$M3195&lt;=$R$18),U3195,0)</t>
  </si>
  <si>
    <t>=IF(AND($M3195&gt;=$S$16,$M3195&lt;=$S$18),U3195,0)</t>
  </si>
  <si>
    <t>=IF($M3195&lt;=$T$18,U3195,0)</t>
  </si>
  <si>
    <t>="""NAV Direct"",""CRONUS JetCorp USA"",""21"",""1"",""352367"""</t>
  </si>
  <si>
    <t>=E3194</t>
  </si>
  <si>
    <t>=StartDate-$M3196+1</t>
  </si>
  <si>
    <t>=SUM(P3196:T3196)</t>
  </si>
  <si>
    <t>=IF($M3196&gt;=$P$18,U3196,0)</t>
  </si>
  <si>
    <t>=IF(AND($M3196&gt;=$Q$16,$M3196&lt;=$Q$18),U3196,0)</t>
  </si>
  <si>
    <t>=IF(AND($M3196&gt;=$R$16,$M3196&lt;=$R$18),U3196,0)</t>
  </si>
  <si>
    <t>=IF(AND($M3196&gt;=$S$16,$M3196&lt;=$S$18),U3196,0)</t>
  </si>
  <si>
    <t>=IF($M3196&lt;=$T$18,U3196,0)</t>
  </si>
  <si>
    <t>="""NAV Direct"",""CRONUS JetCorp USA"",""21"",""1"",""352456"""</t>
  </si>
  <si>
    <t>=E3195</t>
  </si>
  <si>
    <t>=StartDate-$M3197+1</t>
  </si>
  <si>
    <t>=SUM(P3197:T3197)</t>
  </si>
  <si>
    <t>=IF($M3197&gt;=$P$18,U3197,0)</t>
  </si>
  <si>
    <t>=IF(AND($M3197&gt;=$Q$16,$M3197&lt;=$Q$18),U3197,0)</t>
  </si>
  <si>
    <t>=IF(AND($M3197&gt;=$R$16,$M3197&lt;=$R$18),U3197,0)</t>
  </si>
  <si>
    <t>=IF(AND($M3197&gt;=$S$16,$M3197&lt;=$S$18),U3197,0)</t>
  </si>
  <si>
    <t>=IF($M3197&lt;=$T$18,U3197,0)</t>
  </si>
  <si>
    <t>="""NAV Direct"",""CRONUS JetCorp USA"",""21"",""1"",""352650"""</t>
  </si>
  <si>
    <t>=E3196</t>
  </si>
  <si>
    <t>=StartDate-$M3198+1</t>
  </si>
  <si>
    <t>=SUM(P3198:T3198)</t>
  </si>
  <si>
    <t>=IF($M3198&gt;=$P$18,U3198,0)</t>
  </si>
  <si>
    <t>=IF(AND($M3198&gt;=$Q$16,$M3198&lt;=$Q$18),U3198,0)</t>
  </si>
  <si>
    <t>=IF(AND($M3198&gt;=$R$16,$M3198&lt;=$R$18),U3198,0)</t>
  </si>
  <si>
    <t>=IF(AND($M3198&gt;=$S$16,$M3198&lt;=$S$18),U3198,0)</t>
  </si>
  <si>
    <t>=IF($M3198&lt;=$T$18,U3198,0)</t>
  </si>
  <si>
    <t>="""NAV Direct"",""CRONUS JetCorp USA"",""21"",""1"",""352710"""</t>
  </si>
  <si>
    <t>=E3197</t>
  </si>
  <si>
    <t>=StartDate-$M3199+1</t>
  </si>
  <si>
    <t>=SUM(P3199:T3199)</t>
  </si>
  <si>
    <t>=IF($M3199&gt;=$P$18,U3199,0)</t>
  </si>
  <si>
    <t>=IF(AND($M3199&gt;=$Q$16,$M3199&lt;=$Q$18),U3199,0)</t>
  </si>
  <si>
    <t>=IF(AND($M3199&gt;=$R$16,$M3199&lt;=$R$18),U3199,0)</t>
  </si>
  <si>
    <t>=IF(AND($M3199&gt;=$S$16,$M3199&lt;=$S$18),U3199,0)</t>
  </si>
  <si>
    <t>=IF($M3199&lt;=$T$18,U3199,0)</t>
  </si>
  <si>
    <t>="""NAV Direct"",""CRONUS JetCorp USA"",""21"",""1"",""352770"""</t>
  </si>
  <si>
    <t>=E3198</t>
  </si>
  <si>
    <t>=StartDate-$M3200+1</t>
  </si>
  <si>
    <t>=SUM(P3200:T3200)</t>
  </si>
  <si>
    <t>=IF($M3200&gt;=$P$18,U3200,0)</t>
  </si>
  <si>
    <t>=IF(AND($M3200&gt;=$Q$16,$M3200&lt;=$Q$18),U3200,0)</t>
  </si>
  <si>
    <t>=IF(AND($M3200&gt;=$R$16,$M3200&lt;=$R$18),U3200,0)</t>
  </si>
  <si>
    <t>=IF(AND($M3200&gt;=$S$16,$M3200&lt;=$S$18),U3200,0)</t>
  </si>
  <si>
    <t>=IF($M3200&lt;=$T$18,U3200,0)</t>
  </si>
  <si>
    <t>="""NAV Direct"",""CRONUS JetCorp USA"",""21"",""1"",""353294"""</t>
  </si>
  <si>
    <t>=E3199</t>
  </si>
  <si>
    <t>=StartDate-$M3201+1</t>
  </si>
  <si>
    <t>=SUM(P3201:T3201)</t>
  </si>
  <si>
    <t>=IF($M3201&gt;=$P$18,U3201,0)</t>
  </si>
  <si>
    <t>=IF(AND($M3201&gt;=$Q$16,$M3201&lt;=$Q$18),U3201,0)</t>
  </si>
  <si>
    <t>=IF(AND($M3201&gt;=$R$16,$M3201&lt;=$R$18),U3201,0)</t>
  </si>
  <si>
    <t>=IF(AND($M3201&gt;=$S$16,$M3201&lt;=$S$18),U3201,0)</t>
  </si>
  <si>
    <t>=IF($M3201&lt;=$T$18,U3201,0)</t>
  </si>
  <si>
    <t>="""NAV Direct"",""CRONUS JetCorp USA"",""21"",""1"",""353683"""</t>
  </si>
  <si>
    <t>=E3200</t>
  </si>
  <si>
    <t>=StartDate-$M3202+1</t>
  </si>
  <si>
    <t>=SUM(P3202:T3202)</t>
  </si>
  <si>
    <t>=IF($M3202&gt;=$P$18,U3202,0)</t>
  </si>
  <si>
    <t>=IF(AND($M3202&gt;=$Q$16,$M3202&lt;=$Q$18),U3202,0)</t>
  </si>
  <si>
    <t>=IF(AND($M3202&gt;=$R$16,$M3202&lt;=$R$18),U3202,0)</t>
  </si>
  <si>
    <t>=IF(AND($M3202&gt;=$S$16,$M3202&lt;=$S$18),U3202,0)</t>
  </si>
  <si>
    <t>=IF($M3202&lt;=$T$18,U3202,0)</t>
  </si>
  <si>
    <t>="""NAV Direct"",""CRONUS JetCorp USA"",""21"",""1"",""353899"""</t>
  </si>
  <si>
    <t>=E3201</t>
  </si>
  <si>
    <t>=StartDate-$M3203+1</t>
  </si>
  <si>
    <t>=SUM(P3203:T3203)</t>
  </si>
  <si>
    <t>=IF($M3203&gt;=$P$18,U3203,0)</t>
  </si>
  <si>
    <t>=IF(AND($M3203&gt;=$Q$16,$M3203&lt;=$Q$18),U3203,0)</t>
  </si>
  <si>
    <t>=IF(AND($M3203&gt;=$R$16,$M3203&lt;=$R$18),U3203,0)</t>
  </si>
  <si>
    <t>=IF(AND($M3203&gt;=$S$16,$M3203&lt;=$S$18),U3203,0)</t>
  </si>
  <si>
    <t>=IF($M3203&lt;=$T$18,U3203,0)</t>
  </si>
  <si>
    <t>="""NAV Direct"",""CRONUS JetCorp USA"",""21"",""1"",""353986"""</t>
  </si>
  <si>
    <t>=E3202</t>
  </si>
  <si>
    <t>=StartDate-$M3204+1</t>
  </si>
  <si>
    <t>=SUM(P3204:T3204)</t>
  </si>
  <si>
    <t>=IF($M3204&gt;=$P$18,U3204,0)</t>
  </si>
  <si>
    <t>=IF(AND($M3204&gt;=$Q$16,$M3204&lt;=$Q$18),U3204,0)</t>
  </si>
  <si>
    <t>=IF(AND($M3204&gt;=$R$16,$M3204&lt;=$R$18),U3204,0)</t>
  </si>
  <si>
    <t>=IF(AND($M3204&gt;=$S$16,$M3204&lt;=$S$18),U3204,0)</t>
  </si>
  <si>
    <t>=IF($M3204&lt;=$T$18,U3204,0)</t>
  </si>
  <si>
    <t>="""NAV Direct"",""CRONUS JetCorp USA"",""21"",""1"",""354069"""</t>
  </si>
  <si>
    <t>=E3203</t>
  </si>
  <si>
    <t>=StartDate-$M3205+1</t>
  </si>
  <si>
    <t>=SUM(P3205:T3205)</t>
  </si>
  <si>
    <t>=IF($M3205&gt;=$P$18,U3205,0)</t>
  </si>
  <si>
    <t>=IF(AND($M3205&gt;=$Q$16,$M3205&lt;=$Q$18),U3205,0)</t>
  </si>
  <si>
    <t>=IF(AND($M3205&gt;=$R$16,$M3205&lt;=$R$18),U3205,0)</t>
  </si>
  <si>
    <t>=IF(AND($M3205&gt;=$S$16,$M3205&lt;=$S$18),U3205,0)</t>
  </si>
  <si>
    <t>=IF($M3205&lt;=$T$18,U3205,0)</t>
  </si>
  <si>
    <t>="""NAV Direct"",""CRONUS JetCorp USA"",""21"",""1"",""354135"""</t>
  </si>
  <si>
    <t>=E3204</t>
  </si>
  <si>
    <t>=StartDate-$M3206+1</t>
  </si>
  <si>
    <t>=SUM(P3206:T3206)</t>
  </si>
  <si>
    <t>=IF($M3206&gt;=$P$18,U3206,0)</t>
  </si>
  <si>
    <t>=IF(AND($M3206&gt;=$Q$16,$M3206&lt;=$Q$18),U3206,0)</t>
  </si>
  <si>
    <t>=IF(AND($M3206&gt;=$R$16,$M3206&lt;=$R$18),U3206,0)</t>
  </si>
  <si>
    <t>=IF(AND($M3206&gt;=$S$16,$M3206&lt;=$S$18),U3206,0)</t>
  </si>
  <si>
    <t>=IF($M3206&lt;=$T$18,U3206,0)</t>
  </si>
  <si>
    <t>="""NAV Direct"",""CRONUS JetCorp USA"",""21"",""1"",""354444"""</t>
  </si>
  <si>
    <t>=E3205</t>
  </si>
  <si>
    <t>=StartDate-$M3207+1</t>
  </si>
  <si>
    <t>=SUM(P3207:T3207)</t>
  </si>
  <si>
    <t>=IF($M3207&gt;=$P$18,U3207,0)</t>
  </si>
  <si>
    <t>=IF(AND($M3207&gt;=$Q$16,$M3207&lt;=$Q$18),U3207,0)</t>
  </si>
  <si>
    <t>=IF(AND($M3207&gt;=$R$16,$M3207&lt;=$R$18),U3207,0)</t>
  </si>
  <si>
    <t>=IF(AND($M3207&gt;=$S$16,$M3207&lt;=$S$18),U3207,0)</t>
  </si>
  <si>
    <t>=IF($M3207&lt;=$T$18,U3207,0)</t>
  </si>
  <si>
    <t>="""NAV Direct"",""CRONUS JetCorp USA"",""21"",""1"",""354603"""</t>
  </si>
  <si>
    <t>=E3206</t>
  </si>
  <si>
    <t>=StartDate-$M3208+1</t>
  </si>
  <si>
    <t>=SUM(P3208:T3208)</t>
  </si>
  <si>
    <t>=IF($M3208&gt;=$P$18,U3208,0)</t>
  </si>
  <si>
    <t>=IF(AND($M3208&gt;=$Q$16,$M3208&lt;=$Q$18),U3208,0)</t>
  </si>
  <si>
    <t>=IF(AND($M3208&gt;=$R$16,$M3208&lt;=$R$18),U3208,0)</t>
  </si>
  <si>
    <t>=IF(AND($M3208&gt;=$S$16,$M3208&lt;=$S$18),U3208,0)</t>
  </si>
  <si>
    <t>=IF($M3208&lt;=$T$18,U3208,0)</t>
  </si>
  <si>
    <t>="""NAV Direct"",""CRONUS JetCorp USA"",""21"",""1"",""354632"""</t>
  </si>
  <si>
    <t>=E3207</t>
  </si>
  <si>
    <t>=StartDate-$M3209+1</t>
  </si>
  <si>
    <t>=SUM(P3209:T3209)</t>
  </si>
  <si>
    <t>=IF($M3209&gt;=$P$18,U3209,0)</t>
  </si>
  <si>
    <t>=IF(AND($M3209&gt;=$Q$16,$M3209&lt;=$Q$18),U3209,0)</t>
  </si>
  <si>
    <t>=IF(AND($M3209&gt;=$R$16,$M3209&lt;=$R$18),U3209,0)</t>
  </si>
  <si>
    <t>=IF(AND($M3209&gt;=$S$16,$M3209&lt;=$S$18),U3209,0)</t>
  </si>
  <si>
    <t>=IF($M3209&lt;=$T$18,U3209,0)</t>
  </si>
  <si>
    <t>="""NAV Direct"",""CRONUS JetCorp USA"",""21"",""1"",""354667"""</t>
  </si>
  <si>
    <t>=E3208</t>
  </si>
  <si>
    <t>=StartDate-$M3210+1</t>
  </si>
  <si>
    <t>=SUM(P3210:T3210)</t>
  </si>
  <si>
    <t>=IF($M3210&gt;=$P$18,U3210,0)</t>
  </si>
  <si>
    <t>=IF(AND($M3210&gt;=$Q$16,$M3210&lt;=$Q$18),U3210,0)</t>
  </si>
  <si>
    <t>=IF(AND($M3210&gt;=$R$16,$M3210&lt;=$R$18),U3210,0)</t>
  </si>
  <si>
    <t>=IF(AND($M3210&gt;=$S$16,$M3210&lt;=$S$18),U3210,0)</t>
  </si>
  <si>
    <t>=IF($M3210&lt;=$T$18,U3210,0)</t>
  </si>
  <si>
    <t>="""NAV Direct"",""CRONUS JetCorp USA"",""21"",""1"",""354702"""</t>
  </si>
  <si>
    <t>=E3209</t>
  </si>
  <si>
    <t>=StartDate-$M3211+1</t>
  </si>
  <si>
    <t>=SUM(P3211:T3211)</t>
  </si>
  <si>
    <t>=IF($M3211&gt;=$P$18,U3211,0)</t>
  </si>
  <si>
    <t>=IF(AND($M3211&gt;=$Q$16,$M3211&lt;=$Q$18),U3211,0)</t>
  </si>
  <si>
    <t>=IF(AND($M3211&gt;=$R$16,$M3211&lt;=$R$18),U3211,0)</t>
  </si>
  <si>
    <t>=IF(AND($M3211&gt;=$S$16,$M3211&lt;=$S$18),U3211,0)</t>
  </si>
  <si>
    <t>=IF($M3211&lt;=$T$18,U3211,0)</t>
  </si>
  <si>
    <t>="""NAV Direct"",""CRONUS JetCorp USA"",""21"",""1"",""354774"""</t>
  </si>
  <si>
    <t>=E3210</t>
  </si>
  <si>
    <t>=StartDate-$M3212+1</t>
  </si>
  <si>
    <t>=SUM(P3212:T3212)</t>
  </si>
  <si>
    <t>=IF($M3212&gt;=$P$18,U3212,0)</t>
  </si>
  <si>
    <t>=IF(AND($M3212&gt;=$Q$16,$M3212&lt;=$Q$18),U3212,0)</t>
  </si>
  <si>
    <t>=IF(AND($M3212&gt;=$R$16,$M3212&lt;=$R$18),U3212,0)</t>
  </si>
  <si>
    <t>=IF(AND($M3212&gt;=$S$16,$M3212&lt;=$S$18),U3212,0)</t>
  </si>
  <si>
    <t>=IF($M3212&lt;=$T$18,U3212,0)</t>
  </si>
  <si>
    <t>="""NAV Direct"",""CRONUS JetCorp USA"",""21"",""1"",""355297"""</t>
  </si>
  <si>
    <t>=E3211</t>
  </si>
  <si>
    <t>=StartDate-$M3213+1</t>
  </si>
  <si>
    <t>=SUM(P3213:T3213)</t>
  </si>
  <si>
    <t>=IF($M3213&gt;=$P$18,U3213,0)</t>
  </si>
  <si>
    <t>=IF(AND($M3213&gt;=$Q$16,$M3213&lt;=$Q$18),U3213,0)</t>
  </si>
  <si>
    <t>=IF(AND($M3213&gt;=$R$16,$M3213&lt;=$R$18),U3213,0)</t>
  </si>
  <si>
    <t>=IF(AND($M3213&gt;=$S$16,$M3213&lt;=$S$18),U3213,0)</t>
  </si>
  <si>
    <t>=IF($M3213&lt;=$T$18,U3213,0)</t>
  </si>
  <si>
    <t>="""NAV Direct"",""CRONUS JetCorp USA"",""21"",""1"",""355752"""</t>
  </si>
  <si>
    <t>=E3212</t>
  </si>
  <si>
    <t>=StartDate-$M3214+1</t>
  </si>
  <si>
    <t>=SUM(P3214:T3214)</t>
  </si>
  <si>
    <t>=IF($M3214&gt;=$P$18,U3214,0)</t>
  </si>
  <si>
    <t>=IF(AND($M3214&gt;=$Q$16,$M3214&lt;=$Q$18),U3214,0)</t>
  </si>
  <si>
    <t>=IF(AND($M3214&gt;=$R$16,$M3214&lt;=$R$18),U3214,0)</t>
  </si>
  <si>
    <t>=IF(AND($M3214&gt;=$S$16,$M3214&lt;=$S$18),U3214,0)</t>
  </si>
  <si>
    <t>=IF($M3214&lt;=$T$18,U3214,0)</t>
  </si>
  <si>
    <t>="""NAV Direct"",""CRONUS JetCorp USA"",""21"",""1"",""355847"""</t>
  </si>
  <si>
    <t>=E3213</t>
  </si>
  <si>
    <t>=StartDate-$M3215+1</t>
  </si>
  <si>
    <t>=SUM(P3215:T3215)</t>
  </si>
  <si>
    <t>=IF($M3215&gt;=$P$18,U3215,0)</t>
  </si>
  <si>
    <t>=IF(AND($M3215&gt;=$Q$16,$M3215&lt;=$Q$18),U3215,0)</t>
  </si>
  <si>
    <t>=IF(AND($M3215&gt;=$R$16,$M3215&lt;=$R$18),U3215,0)</t>
  </si>
  <si>
    <t>=IF(AND($M3215&gt;=$S$16,$M3215&lt;=$S$18),U3215,0)</t>
  </si>
  <si>
    <t>=IF($M3215&lt;=$T$18,U3215,0)</t>
  </si>
  <si>
    <t>="""NAV Direct"",""CRONUS JetCorp USA"",""21"",""1"",""355917"""</t>
  </si>
  <si>
    <t>=E3214</t>
  </si>
  <si>
    <t>=StartDate-$M3216+1</t>
  </si>
  <si>
    <t>=SUM(P3216:T3216)</t>
  </si>
  <si>
    <t>=IF($M3216&gt;=$P$18,U3216,0)</t>
  </si>
  <si>
    <t>=IF(AND($M3216&gt;=$Q$16,$M3216&lt;=$Q$18),U3216,0)</t>
  </si>
  <si>
    <t>=IF(AND($M3216&gt;=$R$16,$M3216&lt;=$R$18),U3216,0)</t>
  </si>
  <si>
    <t>=IF(AND($M3216&gt;=$S$16,$M3216&lt;=$S$18),U3216,0)</t>
  </si>
  <si>
    <t>=IF($M3216&lt;=$T$18,U3216,0)</t>
  </si>
  <si>
    <t>="""NAV Direct"",""CRONUS JetCorp USA"",""21"",""1"",""356038"""</t>
  </si>
  <si>
    <t>=E3215</t>
  </si>
  <si>
    <t>=StartDate-$M3217+1</t>
  </si>
  <si>
    <t>=SUM(P3217:T3217)</t>
  </si>
  <si>
    <t>=IF($M3217&gt;=$P$18,U3217,0)</t>
  </si>
  <si>
    <t>=IF(AND($M3217&gt;=$Q$16,$M3217&lt;=$Q$18),U3217,0)</t>
  </si>
  <si>
    <t>=IF(AND($M3217&gt;=$R$16,$M3217&lt;=$R$18),U3217,0)</t>
  </si>
  <si>
    <t>=IF(AND($M3217&gt;=$S$16,$M3217&lt;=$S$18),U3217,0)</t>
  </si>
  <si>
    <t>=IF($M3217&lt;=$T$18,U3217,0)</t>
  </si>
  <si>
    <t>="""NAV Direct"",""CRONUS JetCorp USA"",""21"",""1"",""356578"""</t>
  </si>
  <si>
    <t>=E3216</t>
  </si>
  <si>
    <t>=StartDate-$M3218+1</t>
  </si>
  <si>
    <t>=SUM(P3218:T3218)</t>
  </si>
  <si>
    <t>=IF($M3218&gt;=$P$18,U3218,0)</t>
  </si>
  <si>
    <t>=IF(AND($M3218&gt;=$Q$16,$M3218&lt;=$Q$18),U3218,0)</t>
  </si>
  <si>
    <t>=IF(AND($M3218&gt;=$R$16,$M3218&lt;=$R$18),U3218,0)</t>
  </si>
  <si>
    <t>=IF(AND($M3218&gt;=$S$16,$M3218&lt;=$S$18),U3218,0)</t>
  </si>
  <si>
    <t>=IF($M3218&lt;=$T$18,U3218,0)</t>
  </si>
  <si>
    <t>="""NAV Direct"",""CRONUS JetCorp USA"",""21"",""1"",""357002"""</t>
  </si>
  <si>
    <t>=E3217</t>
  </si>
  <si>
    <t>=StartDate-$M3219+1</t>
  </si>
  <si>
    <t>=SUM(P3219:T3219)</t>
  </si>
  <si>
    <t>=IF($M3219&gt;=$P$18,U3219,0)</t>
  </si>
  <si>
    <t>=IF(AND($M3219&gt;=$Q$16,$M3219&lt;=$Q$18),U3219,0)</t>
  </si>
  <si>
    <t>=IF(AND($M3219&gt;=$R$16,$M3219&lt;=$R$18),U3219,0)</t>
  </si>
  <si>
    <t>=IF(AND($M3219&gt;=$S$16,$M3219&lt;=$S$18),U3219,0)</t>
  </si>
  <si>
    <t>=IF($M3219&lt;=$T$18,U3219,0)</t>
  </si>
  <si>
    <t>="""NAV Direct"",""CRONUS JetCorp USA"",""21"",""1"",""357367"""</t>
  </si>
  <si>
    <t>=E3218</t>
  </si>
  <si>
    <t>=StartDate-$M3220+1</t>
  </si>
  <si>
    <t>=SUM(P3220:T3220)</t>
  </si>
  <si>
    <t>=IF($M3220&gt;=$P$18,U3220,0)</t>
  </si>
  <si>
    <t>=IF(AND($M3220&gt;=$Q$16,$M3220&lt;=$Q$18),U3220,0)</t>
  </si>
  <si>
    <t>=IF(AND($M3220&gt;=$R$16,$M3220&lt;=$R$18),U3220,0)</t>
  </si>
  <si>
    <t>=IF(AND($M3220&gt;=$S$16,$M3220&lt;=$S$18),U3220,0)</t>
  </si>
  <si>
    <t>=IF($M3220&lt;=$T$18,U3220,0)</t>
  </si>
  <si>
    <t>="""NAV Direct"",""CRONUS JetCorp USA"",""21"",""1"",""358477"""</t>
  </si>
  <si>
    <t>=E3219</t>
  </si>
  <si>
    <t>=StartDate-$M3221+1</t>
  </si>
  <si>
    <t>=SUM(P3221:T3221)</t>
  </si>
  <si>
    <t>=IF($M3221&gt;=$P$18,U3221,0)</t>
  </si>
  <si>
    <t>=IF(AND($M3221&gt;=$Q$16,$M3221&lt;=$Q$18),U3221,0)</t>
  </si>
  <si>
    <t>=IF(AND($M3221&gt;=$R$16,$M3221&lt;=$R$18),U3221,0)</t>
  </si>
  <si>
    <t>=IF(AND($M3221&gt;=$S$16,$M3221&lt;=$S$18),U3221,0)</t>
  </si>
  <si>
    <t>=IF($M3221&lt;=$T$18,U3221,0)</t>
  </si>
  <si>
    <t>="""NAV Direct"",""CRONUS JetCorp USA"",""21"",""1"",""358955"""</t>
  </si>
  <si>
    <t>=E3220</t>
  </si>
  <si>
    <t>=StartDate-$M3222+1</t>
  </si>
  <si>
    <t>=SUM(P3222:T3222)</t>
  </si>
  <si>
    <t>=IF($M3222&gt;=$P$18,U3222,0)</t>
  </si>
  <si>
    <t>=IF(AND($M3222&gt;=$Q$16,$M3222&lt;=$Q$18),U3222,0)</t>
  </si>
  <si>
    <t>=IF(AND($M3222&gt;=$R$16,$M3222&lt;=$R$18),U3222,0)</t>
  </si>
  <si>
    <t>=IF(AND($M3222&gt;=$S$16,$M3222&lt;=$S$18),U3222,0)</t>
  </si>
  <si>
    <t>=IF($M3222&lt;=$T$18,U3222,0)</t>
  </si>
  <si>
    <t>="""NAV Direct"",""CRONUS JetCorp USA"",""21"",""1"",""359148"""</t>
  </si>
  <si>
    <t>=E3221</t>
  </si>
  <si>
    <t>=StartDate-$M3223+1</t>
  </si>
  <si>
    <t>=SUM(P3223:T3223)</t>
  </si>
  <si>
    <t>=IF($M3223&gt;=$P$18,U3223,0)</t>
  </si>
  <si>
    <t>=IF(AND($M3223&gt;=$Q$16,$M3223&lt;=$Q$18),U3223,0)</t>
  </si>
  <si>
    <t>=IF(AND($M3223&gt;=$R$16,$M3223&lt;=$R$18),U3223,0)</t>
  </si>
  <si>
    <t>=IF(AND($M3223&gt;=$S$16,$M3223&lt;=$S$18),U3223,0)</t>
  </si>
  <si>
    <t>=IF($M3223&lt;=$T$18,U3223,0)</t>
  </si>
  <si>
    <t>="""NAV Direct"",""CRONUS JetCorp USA"",""21"",""1"",""359308"""</t>
  </si>
  <si>
    <t>=E3222</t>
  </si>
  <si>
    <t>=StartDate-$M3224+1</t>
  </si>
  <si>
    <t>=SUM(P3224:T3224)</t>
  </si>
  <si>
    <t>=IF($M3224&gt;=$P$18,U3224,0)</t>
  </si>
  <si>
    <t>=IF(AND($M3224&gt;=$Q$16,$M3224&lt;=$Q$18),U3224,0)</t>
  </si>
  <si>
    <t>=IF(AND($M3224&gt;=$R$16,$M3224&lt;=$R$18),U3224,0)</t>
  </si>
  <si>
    <t>=IF(AND($M3224&gt;=$S$16,$M3224&lt;=$S$18),U3224,0)</t>
  </si>
  <si>
    <t>=IF($M3224&lt;=$T$18,U3224,0)</t>
  </si>
  <si>
    <t>="""NAV Direct"",""CRONUS JetCorp USA"",""21"",""1"",""359436"""</t>
  </si>
  <si>
    <t>=E3223</t>
  </si>
  <si>
    <t>=StartDate-$M3225+1</t>
  </si>
  <si>
    <t>=SUM(P3225:T3225)</t>
  </si>
  <si>
    <t>=IF($M3225&gt;=$P$18,U3225,0)</t>
  </si>
  <si>
    <t>=IF(AND($M3225&gt;=$Q$16,$M3225&lt;=$Q$18),U3225,0)</t>
  </si>
  <si>
    <t>=IF(AND($M3225&gt;=$R$16,$M3225&lt;=$R$18),U3225,0)</t>
  </si>
  <si>
    <t>=IF(AND($M3225&gt;=$S$16,$M3225&lt;=$S$18),U3225,0)</t>
  </si>
  <si>
    <t>=IF($M3225&lt;=$T$18,U3225,0)</t>
  </si>
  <si>
    <t>="""NAV Direct"",""CRONUS JetCorp USA"",""21"",""1"",""359731"""</t>
  </si>
  <si>
    <t>=E3224</t>
  </si>
  <si>
    <t>=StartDate-$M3226+1</t>
  </si>
  <si>
    <t>=SUM(P3226:T3226)</t>
  </si>
  <si>
    <t>=IF($M3226&gt;=$P$18,U3226,0)</t>
  </si>
  <si>
    <t>=IF(AND($M3226&gt;=$Q$16,$M3226&lt;=$Q$18),U3226,0)</t>
  </si>
  <si>
    <t>=IF(AND($M3226&gt;=$R$16,$M3226&lt;=$R$18),U3226,0)</t>
  </si>
  <si>
    <t>=IF(AND($M3226&gt;=$S$16,$M3226&lt;=$S$18),U3226,0)</t>
  </si>
  <si>
    <t>=IF($M3226&lt;=$T$18,U3226,0)</t>
  </si>
  <si>
    <t>="""NAV Direct"",""CRONUS JetCorp USA"",""21"",""1"",""359948"""</t>
  </si>
  <si>
    <t>=E3225</t>
  </si>
  <si>
    <t>=StartDate-$M3227+1</t>
  </si>
  <si>
    <t>=SUM(P3227:T3227)</t>
  </si>
  <si>
    <t>=IF($M3227&gt;=$P$18,U3227,0)</t>
  </si>
  <si>
    <t>=IF(AND($M3227&gt;=$Q$16,$M3227&lt;=$Q$18),U3227,0)</t>
  </si>
  <si>
    <t>=IF(AND($M3227&gt;=$R$16,$M3227&lt;=$R$18),U3227,0)</t>
  </si>
  <si>
    <t>=IF(AND($M3227&gt;=$S$16,$M3227&lt;=$S$18),U3227,0)</t>
  </si>
  <si>
    <t>=IF($M3227&lt;=$T$18,U3227,0)</t>
  </si>
  <si>
    <t>="""NAV Direct"",""CRONUS JetCorp USA"",""21"",""1"",""359979"""</t>
  </si>
  <si>
    <t>=E3226</t>
  </si>
  <si>
    <t>=StartDate-$M3228+1</t>
  </si>
  <si>
    <t>=SUM(P3228:T3228)</t>
  </si>
  <si>
    <t>=IF($M3228&gt;=$P$18,U3228,0)</t>
  </si>
  <si>
    <t>=IF(AND($M3228&gt;=$Q$16,$M3228&lt;=$Q$18),U3228,0)</t>
  </si>
  <si>
    <t>=IF(AND($M3228&gt;=$R$16,$M3228&lt;=$R$18),U3228,0)</t>
  </si>
  <si>
    <t>=IF(AND($M3228&gt;=$S$16,$M3228&lt;=$S$18),U3228,0)</t>
  </si>
  <si>
    <t>=IF($M3228&lt;=$T$18,U3228,0)</t>
  </si>
  <si>
    <t>="""NAV Direct"",""CRONUS JetCorp USA"",""21"",""1"",""360084"""</t>
  </si>
  <si>
    <t>=E3227</t>
  </si>
  <si>
    <t>=StartDate-$M3229+1</t>
  </si>
  <si>
    <t>=SUM(P3229:T3229)</t>
  </si>
  <si>
    <t>=IF($M3229&gt;=$P$18,U3229,0)</t>
  </si>
  <si>
    <t>=IF(AND($M3229&gt;=$Q$16,$M3229&lt;=$Q$18),U3229,0)</t>
  </si>
  <si>
    <t>=IF(AND($M3229&gt;=$R$16,$M3229&lt;=$R$18),U3229,0)</t>
  </si>
  <si>
    <t>=IF(AND($M3229&gt;=$S$16,$M3229&lt;=$S$18),U3229,0)</t>
  </si>
  <si>
    <t>=IF($M3229&lt;=$T$18,U3229,0)</t>
  </si>
  <si>
    <t>="""NAV Direct"",""CRONUS JetCorp USA"",""21"",""1"",""360140"""</t>
  </si>
  <si>
    <t>=E3228</t>
  </si>
  <si>
    <t>=StartDate-$M3230+1</t>
  </si>
  <si>
    <t>=SUM(P3230:T3230)</t>
  </si>
  <si>
    <t>=IF($M3230&gt;=$P$18,U3230,0)</t>
  </si>
  <si>
    <t>=IF(AND($M3230&gt;=$Q$16,$M3230&lt;=$Q$18),U3230,0)</t>
  </si>
  <si>
    <t>=IF(AND($M3230&gt;=$R$16,$M3230&lt;=$R$18),U3230,0)</t>
  </si>
  <si>
    <t>=IF(AND($M3230&gt;=$S$16,$M3230&lt;=$S$18),U3230,0)</t>
  </si>
  <si>
    <t>=IF($M3230&lt;=$T$18,U3230,0)</t>
  </si>
  <si>
    <t>="""NAV Direct"",""CRONUS JetCorp USA"",""21"",""1"",""360208"""</t>
  </si>
  <si>
    <t>=E3229</t>
  </si>
  <si>
    <t>=StartDate-$M3231+1</t>
  </si>
  <si>
    <t>=SUM(P3231:T3231)</t>
  </si>
  <si>
    <t>=IF($M3231&gt;=$P$18,U3231,0)</t>
  </si>
  <si>
    <t>=IF(AND($M3231&gt;=$Q$16,$M3231&lt;=$Q$18),U3231,0)</t>
  </si>
  <si>
    <t>=IF(AND($M3231&gt;=$R$16,$M3231&lt;=$R$18),U3231,0)</t>
  </si>
  <si>
    <t>=IF(AND($M3231&gt;=$S$16,$M3231&lt;=$S$18),U3231,0)</t>
  </si>
  <si>
    <t>=IF($M3231&lt;=$T$18,U3231,0)</t>
  </si>
  <si>
    <t>="""NAV Direct"",""CRONUS JetCorp USA"",""21"",""1"",""360388"""</t>
  </si>
  <si>
    <t>=E3230</t>
  </si>
  <si>
    <t>=StartDate-$M3232+1</t>
  </si>
  <si>
    <t>=SUM(P3232:T3232)</t>
  </si>
  <si>
    <t>=IF($M3232&gt;=$P$18,U3232,0)</t>
  </si>
  <si>
    <t>=IF(AND($M3232&gt;=$Q$16,$M3232&lt;=$Q$18),U3232,0)</t>
  </si>
  <si>
    <t>=IF(AND($M3232&gt;=$R$16,$M3232&lt;=$R$18),U3232,0)</t>
  </si>
  <si>
    <t>=IF(AND($M3232&gt;=$S$16,$M3232&lt;=$S$18),U3232,0)</t>
  </si>
  <si>
    <t>=IF($M3232&lt;=$T$18,U3232,0)</t>
  </si>
  <si>
    <t>="""NAV Direct"",""CRONUS JetCorp USA"",""21"",""1"",""360495"""</t>
  </si>
  <si>
    <t>=E3231</t>
  </si>
  <si>
    <t>=StartDate-$M3233+1</t>
  </si>
  <si>
    <t>=SUM(P3233:T3233)</t>
  </si>
  <si>
    <t>=IF($M3233&gt;=$P$18,U3233,0)</t>
  </si>
  <si>
    <t>=IF(AND($M3233&gt;=$Q$16,$M3233&lt;=$Q$18),U3233,0)</t>
  </si>
  <si>
    <t>=IF(AND($M3233&gt;=$R$16,$M3233&lt;=$R$18),U3233,0)</t>
  </si>
  <si>
    <t>=IF(AND($M3233&gt;=$S$16,$M3233&lt;=$S$18),U3233,0)</t>
  </si>
  <si>
    <t>=IF($M3233&lt;=$T$18,U3233,0)</t>
  </si>
  <si>
    <t>="""NAV Direct"",""CRONUS JetCorp USA"",""21"",""1"",""360614"""</t>
  </si>
  <si>
    <t>=E3232</t>
  </si>
  <si>
    <t>=StartDate-$M3234+1</t>
  </si>
  <si>
    <t>=SUM(P3234:T3234)</t>
  </si>
  <si>
    <t>=IF($M3234&gt;=$P$18,U3234,0)</t>
  </si>
  <si>
    <t>=IF(AND($M3234&gt;=$Q$16,$M3234&lt;=$Q$18),U3234,0)</t>
  </si>
  <si>
    <t>=IF(AND($M3234&gt;=$R$16,$M3234&lt;=$R$18),U3234,0)</t>
  </si>
  <si>
    <t>=IF(AND($M3234&gt;=$S$16,$M3234&lt;=$S$18),U3234,0)</t>
  </si>
  <si>
    <t>=IF($M3234&lt;=$T$18,U3234,0)</t>
  </si>
  <si>
    <t>="""NAV Direct"",""CRONUS JetCorp USA"",""21"",""1"",""360653"""</t>
  </si>
  <si>
    <t>=E3233</t>
  </si>
  <si>
    <t>=StartDate-$M3235+1</t>
  </si>
  <si>
    <t>=SUM(P3235:T3235)</t>
  </si>
  <si>
    <t>=IF($M3235&gt;=$P$18,U3235,0)</t>
  </si>
  <si>
    <t>=IF(AND($M3235&gt;=$Q$16,$M3235&lt;=$Q$18),U3235,0)</t>
  </si>
  <si>
    <t>=IF(AND($M3235&gt;=$R$16,$M3235&lt;=$R$18),U3235,0)</t>
  </si>
  <si>
    <t>=IF(AND($M3235&gt;=$S$16,$M3235&lt;=$S$18),U3235,0)</t>
  </si>
  <si>
    <t>=IF($M3235&lt;=$T$18,U3235,0)</t>
  </si>
  <si>
    <t>="""NAV Direct"",""CRONUS JetCorp USA"",""21"",""1"",""434756"""</t>
  </si>
  <si>
    <t>=E3234</t>
  </si>
  <si>
    <t>=StartDate-$M3236+1</t>
  </si>
  <si>
    <t>=SUM(P3236:T3236)</t>
  </si>
  <si>
    <t>=IF($M3236&gt;=$P$18,U3236,0)</t>
  </si>
  <si>
    <t>=IF(AND($M3236&gt;=$Q$16,$M3236&lt;=$Q$18),U3236,0)</t>
  </si>
  <si>
    <t>=IF(AND($M3236&gt;=$R$16,$M3236&lt;=$R$18),U3236,0)</t>
  </si>
  <si>
    <t>=IF(AND($M3236&gt;=$S$16,$M3236&lt;=$S$18),U3236,0)</t>
  </si>
  <si>
    <t>=IF($M3236&lt;=$T$18,U3236,0)</t>
  </si>
  <si>
    <t>="""NAV Direct"",""CRONUS JetCorp USA"",""21"",""1"",""434820"""</t>
  </si>
  <si>
    <t>=E3235</t>
  </si>
  <si>
    <t>=StartDate-$M3237+1</t>
  </si>
  <si>
    <t>=SUM(P3237:T3237)</t>
  </si>
  <si>
    <t>=IF($M3237&gt;=$P$18,U3237,0)</t>
  </si>
  <si>
    <t>=IF(AND($M3237&gt;=$Q$16,$M3237&lt;=$Q$18),U3237,0)</t>
  </si>
  <si>
    <t>=IF(AND($M3237&gt;=$R$16,$M3237&lt;=$R$18),U3237,0)</t>
  </si>
  <si>
    <t>=IF(AND($M3237&gt;=$S$16,$M3237&lt;=$S$18),U3237,0)</t>
  </si>
  <si>
    <t>=IF($M3237&lt;=$T$18,U3237,0)</t>
  </si>
  <si>
    <t>="""NAV Direct"",""CRONUS JetCorp USA"",""21"",""1"",""434992"""</t>
  </si>
  <si>
    <t>=E3236</t>
  </si>
  <si>
    <t>=StartDate-$M3238+1</t>
  </si>
  <si>
    <t>=SUM(P3238:T3238)</t>
  </si>
  <si>
    <t>=IF($M3238&gt;=$P$18,U3238,0)</t>
  </si>
  <si>
    <t>=IF(AND($M3238&gt;=$Q$16,$M3238&lt;=$Q$18),U3238,0)</t>
  </si>
  <si>
    <t>=IF(AND($M3238&gt;=$R$16,$M3238&lt;=$R$18),U3238,0)</t>
  </si>
  <si>
    <t>=IF(AND($M3238&gt;=$S$16,$M3238&lt;=$S$18),U3238,0)</t>
  </si>
  <si>
    <t>=IF($M3238&lt;=$T$18,U3238,0)</t>
  </si>
  <si>
    <t>="""NAV Direct"",""CRONUS JetCorp USA"",""21"",""1"",""435075"""</t>
  </si>
  <si>
    <t>=E3237</t>
  </si>
  <si>
    <t>=StartDate-$M3239+1</t>
  </si>
  <si>
    <t>=SUM(P3239:T3239)</t>
  </si>
  <si>
    <t>=IF($M3239&gt;=$P$18,U3239,0)</t>
  </si>
  <si>
    <t>=IF(AND($M3239&gt;=$Q$16,$M3239&lt;=$Q$18),U3239,0)</t>
  </si>
  <si>
    <t>=IF(AND($M3239&gt;=$R$16,$M3239&lt;=$R$18),U3239,0)</t>
  </si>
  <si>
    <t>=IF(AND($M3239&gt;=$S$16,$M3239&lt;=$S$18),U3239,0)</t>
  </si>
  <si>
    <t>=IF($M3239&lt;=$T$18,U3239,0)</t>
  </si>
  <si>
    <t>="""NAV Direct"",""CRONUS JetCorp USA"",""21"",""1"",""435160"""</t>
  </si>
  <si>
    <t>=E3238</t>
  </si>
  <si>
    <t>=StartDate-$M3240+1</t>
  </si>
  <si>
    <t>=SUM(P3240:T3240)</t>
  </si>
  <si>
    <t>=IF($M3240&gt;=$P$18,U3240,0)</t>
  </si>
  <si>
    <t>=IF(AND($M3240&gt;=$Q$16,$M3240&lt;=$Q$18),U3240,0)</t>
  </si>
  <si>
    <t>=IF(AND($M3240&gt;=$R$16,$M3240&lt;=$R$18),U3240,0)</t>
  </si>
  <si>
    <t>=IF(AND($M3240&gt;=$S$16,$M3240&lt;=$S$18),U3240,0)</t>
  </si>
  <si>
    <t>=IF($M3240&lt;=$T$18,U3240,0)</t>
  </si>
  <si>
    <t>="""NAV Direct"",""CRONUS JetCorp USA"",""21"",""1"",""435613"""</t>
  </si>
  <si>
    <t>=E3239</t>
  </si>
  <si>
    <t>=StartDate-$M3241+1</t>
  </si>
  <si>
    <t>=SUM(P3241:T3241)</t>
  </si>
  <si>
    <t>=IF($M3241&gt;=$P$18,U3241,0)</t>
  </si>
  <si>
    <t>=IF(AND($M3241&gt;=$Q$16,$M3241&lt;=$Q$18),U3241,0)</t>
  </si>
  <si>
    <t>=IF(AND($M3241&gt;=$R$16,$M3241&lt;=$R$18),U3241,0)</t>
  </si>
  <si>
    <t>=IF(AND($M3241&gt;=$S$16,$M3241&lt;=$S$18),U3241,0)</t>
  </si>
  <si>
    <t>=IF($M3241&lt;=$T$18,U3241,0)</t>
  </si>
  <si>
    <t>="""NAV Direct"",""CRONUS JetCorp USA"",""21"",""1"",""435695"""</t>
  </si>
  <si>
    <t>=E3240</t>
  </si>
  <si>
    <t>=StartDate-$M3242+1</t>
  </si>
  <si>
    <t>=SUM(P3242:T3242)</t>
  </si>
  <si>
    <t>=IF($M3242&gt;=$P$18,U3242,0)</t>
  </si>
  <si>
    <t>=IF(AND($M3242&gt;=$Q$16,$M3242&lt;=$Q$18),U3242,0)</t>
  </si>
  <si>
    <t>=IF(AND($M3242&gt;=$R$16,$M3242&lt;=$R$18),U3242,0)</t>
  </si>
  <si>
    <t>=IF(AND($M3242&gt;=$S$16,$M3242&lt;=$S$18),U3242,0)</t>
  </si>
  <si>
    <t>=IF($M3242&lt;=$T$18,U3242,0)</t>
  </si>
  <si>
    <t>="""NAV Direct"",""CRONUS JetCorp USA"",""21"",""1"",""435710"""</t>
  </si>
  <si>
    <t>=E3241</t>
  </si>
  <si>
    <t>=StartDate-$M3243+1</t>
  </si>
  <si>
    <t>=SUM(P3243:T3243)</t>
  </si>
  <si>
    <t>=IF($M3243&gt;=$P$18,U3243,0)</t>
  </si>
  <si>
    <t>=IF(AND($M3243&gt;=$Q$16,$M3243&lt;=$Q$18),U3243,0)</t>
  </si>
  <si>
    <t>=IF(AND($M3243&gt;=$R$16,$M3243&lt;=$R$18),U3243,0)</t>
  </si>
  <si>
    <t>=IF(AND($M3243&gt;=$S$16,$M3243&lt;=$S$18),U3243,0)</t>
  </si>
  <si>
    <t>=IF($M3243&lt;=$T$18,U3243,0)</t>
  </si>
  <si>
    <t>="""NAV Direct"",""CRONUS JetCorp USA"",""18"",""1"",""C100099"""</t>
  </si>
  <si>
    <t>=H3246</t>
  </si>
  <si>
    <t>=NF($C3246,"1 No.")</t>
  </si>
  <si>
    <t>=NF($C3246,"1 No.")&amp;"  -  "&amp;NF($C3246,"2 Name")</t>
  </si>
  <si>
    <t>=IFERROR(O3246/NF(C3246,"Credit Limit (LCY)"),"")</t>
  </si>
  <si>
    <t>=SUBTOTAL(3,L3247:L3450)</t>
  </si>
  <si>
    <t>=SUBTOTAL(9,O3247:O3450)</t>
  </si>
  <si>
    <t>=SUBTOTAL(9,P3247:P3450)</t>
  </si>
  <si>
    <t>=SUBTOTAL(9,Q3247:Q3450)</t>
  </si>
  <si>
    <t>=SUBTOTAL(9,R3247:R3450)</t>
  </si>
  <si>
    <t>=SUBTOTAL(9,S3247:S3450)</t>
  </si>
  <si>
    <t>=SUBTOTAL(9,T3247:T3450)</t>
  </si>
  <si>
    <t>=C3246</t>
  </si>
  <si>
    <t>=E3246</t>
  </si>
  <si>
    <t>="Contact: "&amp;NF($C3247,"8 Contact")</t>
  </si>
  <si>
    <t>=C3247</t>
  </si>
  <si>
    <t>=E3247</t>
  </si>
  <si>
    <t>=NF($C3248,"102 E-Mail")</t>
  </si>
  <si>
    <t>=NL("Rows","21 Cust. Ledger Entry",,"3 Customer No.","@@"&amp;$E3250,"16 Remaining Amt. (LCY)","&lt;&gt;0")</t>
  </si>
  <si>
    <t>=E3248</t>
  </si>
  <si>
    <t>=StartDate-$M3250+1</t>
  </si>
  <si>
    <t>=SUM(P3250:T3250)</t>
  </si>
  <si>
    <t>=IF($M3250&gt;=$P$18,U3250,0)</t>
  </si>
  <si>
    <t>=IF(AND($M3250&gt;=$Q$16,$M3250&lt;=$Q$18),U3250,0)</t>
  </si>
  <si>
    <t>=IF(AND($M3250&gt;=$R$16,$M3250&lt;=$R$18),U3250,0)</t>
  </si>
  <si>
    <t>=IF(AND($M3250&gt;=$S$16,$M3250&lt;=$S$18),U3250,0)</t>
  </si>
  <si>
    <t>=IF($M3250&lt;=$T$18,U3250,0)</t>
  </si>
  <si>
    <t>="""NAV Direct"",""CRONUS JetCorp USA"",""21"",""1"",""14293"""</t>
  </si>
  <si>
    <t>=E3249</t>
  </si>
  <si>
    <t>=StartDate-$M3251+1</t>
  </si>
  <si>
    <t>=SUM(P3251:T3251)</t>
  </si>
  <si>
    <t>=IF($M3251&gt;=$P$18,U3251,0)</t>
  </si>
  <si>
    <t>=IF(AND($M3251&gt;=$Q$16,$M3251&lt;=$Q$18),U3251,0)</t>
  </si>
  <si>
    <t>=IF(AND($M3251&gt;=$R$16,$M3251&lt;=$R$18),U3251,0)</t>
  </si>
  <si>
    <t>=IF(AND($M3251&gt;=$S$16,$M3251&lt;=$S$18),U3251,0)</t>
  </si>
  <si>
    <t>=IF($M3251&lt;=$T$18,U3251,0)</t>
  </si>
  <si>
    <t>="""NAV Direct"",""CRONUS JetCorp USA"",""21"",""1"",""14316"""</t>
  </si>
  <si>
    <t>=E3250</t>
  </si>
  <si>
    <t>=StartDate-$M3252+1</t>
  </si>
  <si>
    <t>=SUM(P3252:T3252)</t>
  </si>
  <si>
    <t>=IF($M3252&gt;=$P$18,U3252,0)</t>
  </si>
  <si>
    <t>=IF(AND($M3252&gt;=$Q$16,$M3252&lt;=$Q$18),U3252,0)</t>
  </si>
  <si>
    <t>=IF(AND($M3252&gt;=$R$16,$M3252&lt;=$R$18),U3252,0)</t>
  </si>
  <si>
    <t>=IF(AND($M3252&gt;=$S$16,$M3252&lt;=$S$18),U3252,0)</t>
  </si>
  <si>
    <t>=IF($M3252&lt;=$T$18,U3252,0)</t>
  </si>
  <si>
    <t>="""NAV Direct"",""CRONUS JetCorp USA"",""21"",""1"",""14376"""</t>
  </si>
  <si>
    <t>=E3251</t>
  </si>
  <si>
    <t>=StartDate-$M3253+1</t>
  </si>
  <si>
    <t>=SUM(P3253:T3253)</t>
  </si>
  <si>
    <t>=IF($M3253&gt;=$P$18,U3253,0)</t>
  </si>
  <si>
    <t>=IF(AND($M3253&gt;=$Q$16,$M3253&lt;=$Q$18),U3253,0)</t>
  </si>
  <si>
    <t>=IF(AND($M3253&gt;=$R$16,$M3253&lt;=$R$18),U3253,0)</t>
  </si>
  <si>
    <t>=IF(AND($M3253&gt;=$S$16,$M3253&lt;=$S$18),U3253,0)</t>
  </si>
  <si>
    <t>=IF($M3253&lt;=$T$18,U3253,0)</t>
  </si>
  <si>
    <t>="""NAV Direct"",""CRONUS JetCorp USA"",""21"",""1"",""14403"""</t>
  </si>
  <si>
    <t>=E3252</t>
  </si>
  <si>
    <t>=StartDate-$M3254+1</t>
  </si>
  <si>
    <t>=SUM(P3254:T3254)</t>
  </si>
  <si>
    <t>=IF($M3254&gt;=$P$18,U3254,0)</t>
  </si>
  <si>
    <t>=IF(AND($M3254&gt;=$Q$16,$M3254&lt;=$Q$18),U3254,0)</t>
  </si>
  <si>
    <t>=IF(AND($M3254&gt;=$R$16,$M3254&lt;=$R$18),U3254,0)</t>
  </si>
  <si>
    <t>=IF(AND($M3254&gt;=$S$16,$M3254&lt;=$S$18),U3254,0)</t>
  </si>
  <si>
    <t>=IF($M3254&lt;=$T$18,U3254,0)</t>
  </si>
  <si>
    <t>="""NAV Direct"",""CRONUS JetCorp USA"",""21"",""1"",""14498"""</t>
  </si>
  <si>
    <t>=E3253</t>
  </si>
  <si>
    <t>=StartDate-$M3255+1</t>
  </si>
  <si>
    <t>=SUM(P3255:T3255)</t>
  </si>
  <si>
    <t>=IF($M3255&gt;=$P$18,U3255,0)</t>
  </si>
  <si>
    <t>=IF(AND($M3255&gt;=$Q$16,$M3255&lt;=$Q$18),U3255,0)</t>
  </si>
  <si>
    <t>=IF(AND($M3255&gt;=$R$16,$M3255&lt;=$R$18),U3255,0)</t>
  </si>
  <si>
    <t>=IF(AND($M3255&gt;=$S$16,$M3255&lt;=$S$18),U3255,0)</t>
  </si>
  <si>
    <t>=IF($M3255&lt;=$T$18,U3255,0)</t>
  </si>
  <si>
    <t>="""NAV Direct"",""CRONUS JetCorp USA"",""21"",""1"",""14604"""</t>
  </si>
  <si>
    <t>=E3254</t>
  </si>
  <si>
    <t>=StartDate-$M3256+1</t>
  </si>
  <si>
    <t>=SUM(P3256:T3256)</t>
  </si>
  <si>
    <t>=IF($M3256&gt;=$P$18,U3256,0)</t>
  </si>
  <si>
    <t>=IF(AND($M3256&gt;=$Q$16,$M3256&lt;=$Q$18),U3256,0)</t>
  </si>
  <si>
    <t>=IF(AND($M3256&gt;=$R$16,$M3256&lt;=$R$18),U3256,0)</t>
  </si>
  <si>
    <t>=IF(AND($M3256&gt;=$S$16,$M3256&lt;=$S$18),U3256,0)</t>
  </si>
  <si>
    <t>=IF($M3256&lt;=$T$18,U3256,0)</t>
  </si>
  <si>
    <t>="""NAV Direct"",""CRONUS JetCorp USA"",""21"",""1"",""14635"""</t>
  </si>
  <si>
    <t>=E3255</t>
  </si>
  <si>
    <t>=StartDate-$M3257+1</t>
  </si>
  <si>
    <t>=SUM(P3257:T3257)</t>
  </si>
  <si>
    <t>=IF($M3257&gt;=$P$18,U3257,0)</t>
  </si>
  <si>
    <t>=IF(AND($M3257&gt;=$Q$16,$M3257&lt;=$Q$18),U3257,0)</t>
  </si>
  <si>
    <t>=IF(AND($M3257&gt;=$R$16,$M3257&lt;=$R$18),U3257,0)</t>
  </si>
  <si>
    <t>=IF(AND($M3257&gt;=$S$16,$M3257&lt;=$S$18),U3257,0)</t>
  </si>
  <si>
    <t>=IF($M3257&lt;=$T$18,U3257,0)</t>
  </si>
  <si>
    <t>="""NAV Direct"",""CRONUS JetCorp USA"",""21"",""1"",""14703"""</t>
  </si>
  <si>
    <t>=E3256</t>
  </si>
  <si>
    <t>=StartDate-$M3258+1</t>
  </si>
  <si>
    <t>=SUM(P3258:T3258)</t>
  </si>
  <si>
    <t>=IF($M3258&gt;=$P$18,U3258,0)</t>
  </si>
  <si>
    <t>=IF(AND($M3258&gt;=$Q$16,$M3258&lt;=$Q$18),U3258,0)</t>
  </si>
  <si>
    <t>=IF(AND($M3258&gt;=$R$16,$M3258&lt;=$R$18),U3258,0)</t>
  </si>
  <si>
    <t>=IF(AND($M3258&gt;=$S$16,$M3258&lt;=$S$18),U3258,0)</t>
  </si>
  <si>
    <t>=IF($M3258&lt;=$T$18,U3258,0)</t>
  </si>
  <si>
    <t>="""NAV Direct"",""CRONUS JetCorp USA"",""21"",""1"",""214105"""</t>
  </si>
  <si>
    <t>=E3257</t>
  </si>
  <si>
    <t>=StartDate-$M3259+1</t>
  </si>
  <si>
    <t>=SUM(P3259:T3259)</t>
  </si>
  <si>
    <t>=IF($M3259&gt;=$P$18,U3259,0)</t>
  </si>
  <si>
    <t>=IF(AND($M3259&gt;=$Q$16,$M3259&lt;=$Q$18),U3259,0)</t>
  </si>
  <si>
    <t>=IF(AND($M3259&gt;=$R$16,$M3259&lt;=$R$18),U3259,0)</t>
  </si>
  <si>
    <t>=IF(AND($M3259&gt;=$S$16,$M3259&lt;=$S$18),U3259,0)</t>
  </si>
  <si>
    <t>=IF($M3259&lt;=$T$18,U3259,0)</t>
  </si>
  <si>
    <t>="""NAV Direct"",""CRONUS JetCorp USA"",""21"",""1"",""214174"""</t>
  </si>
  <si>
    <t>=E3258</t>
  </si>
  <si>
    <t>=StartDate-$M3260+1</t>
  </si>
  <si>
    <t>=SUM(P3260:T3260)</t>
  </si>
  <si>
    <t>=IF($M3260&gt;=$P$18,U3260,0)</t>
  </si>
  <si>
    <t>=IF(AND($M3260&gt;=$Q$16,$M3260&lt;=$Q$18),U3260,0)</t>
  </si>
  <si>
    <t>=IF(AND($M3260&gt;=$R$16,$M3260&lt;=$R$18),U3260,0)</t>
  </si>
  <si>
    <t>=IF(AND($M3260&gt;=$S$16,$M3260&lt;=$S$18),U3260,0)</t>
  </si>
  <si>
    <t>=IF($M3260&lt;=$T$18,U3260,0)</t>
  </si>
  <si>
    <t>="""NAV Direct"",""CRONUS JetCorp USA"",""21"",""1"",""214185"""</t>
  </si>
  <si>
    <t>=E3259</t>
  </si>
  <si>
    <t>=StartDate-$M3261+1</t>
  </si>
  <si>
    <t>=SUM(P3261:T3261)</t>
  </si>
  <si>
    <t>=IF($M3261&gt;=$P$18,U3261,0)</t>
  </si>
  <si>
    <t>=IF(AND($M3261&gt;=$Q$16,$M3261&lt;=$Q$18),U3261,0)</t>
  </si>
  <si>
    <t>=IF(AND($M3261&gt;=$R$16,$M3261&lt;=$R$18),U3261,0)</t>
  </si>
  <si>
    <t>=IF(AND($M3261&gt;=$S$16,$M3261&lt;=$S$18),U3261,0)</t>
  </si>
  <si>
    <t>=IF($M3261&lt;=$T$18,U3261,0)</t>
  </si>
  <si>
    <t>="""NAV Direct"",""CRONUS JetCorp USA"",""21"",""1"",""214204"""</t>
  </si>
  <si>
    <t>=E3260</t>
  </si>
  <si>
    <t>=StartDate-$M3262+1</t>
  </si>
  <si>
    <t>=SUM(P3262:T3262)</t>
  </si>
  <si>
    <t>=IF($M3262&gt;=$P$18,U3262,0)</t>
  </si>
  <si>
    <t>=IF(AND($M3262&gt;=$Q$16,$M3262&lt;=$Q$18),U3262,0)</t>
  </si>
  <si>
    <t>=IF(AND($M3262&gt;=$R$16,$M3262&lt;=$R$18),U3262,0)</t>
  </si>
  <si>
    <t>=IF(AND($M3262&gt;=$S$16,$M3262&lt;=$S$18),U3262,0)</t>
  </si>
  <si>
    <t>=IF($M3262&lt;=$T$18,U3262,0)</t>
  </si>
  <si>
    <t>="""NAV Direct"",""CRONUS JetCorp USA"",""21"",""1"",""303844"""</t>
  </si>
  <si>
    <t>=E3261</t>
  </si>
  <si>
    <t>=StartDate-$M3263+1</t>
  </si>
  <si>
    <t>=SUM(P3263:T3263)</t>
  </si>
  <si>
    <t>=IF($M3263&gt;=$P$18,U3263,0)</t>
  </si>
  <si>
    <t>=IF(AND($M3263&gt;=$Q$16,$M3263&lt;=$Q$18),U3263,0)</t>
  </si>
  <si>
    <t>=IF(AND($M3263&gt;=$R$16,$M3263&lt;=$R$18),U3263,0)</t>
  </si>
  <si>
    <t>=IF(AND($M3263&gt;=$S$16,$M3263&lt;=$S$18),U3263,0)</t>
  </si>
  <si>
    <t>=IF($M3263&lt;=$T$18,U3263,0)</t>
  </si>
  <si>
    <t>="""NAV Direct"",""CRONUS JetCorp USA"",""21"",""1"",""303873"""</t>
  </si>
  <si>
    <t>=E3262</t>
  </si>
  <si>
    <t>=StartDate-$M3264+1</t>
  </si>
  <si>
    <t>=SUM(P3264:T3264)</t>
  </si>
  <si>
    <t>=IF($M3264&gt;=$P$18,U3264,0)</t>
  </si>
  <si>
    <t>=IF(AND($M3264&gt;=$Q$16,$M3264&lt;=$Q$18),U3264,0)</t>
  </si>
  <si>
    <t>=IF(AND($M3264&gt;=$R$16,$M3264&lt;=$R$18),U3264,0)</t>
  </si>
  <si>
    <t>=IF(AND($M3264&gt;=$S$16,$M3264&lt;=$S$18),U3264,0)</t>
  </si>
  <si>
    <t>=IF($M3264&lt;=$T$18,U3264,0)</t>
  </si>
  <si>
    <t>="""NAV Direct"",""CRONUS JetCorp USA"",""21"",""1"",""303944"""</t>
  </si>
  <si>
    <t>=E3263</t>
  </si>
  <si>
    <t>=StartDate-$M3265+1</t>
  </si>
  <si>
    <t>=SUM(P3265:T3265)</t>
  </si>
  <si>
    <t>=IF($M3265&gt;=$P$18,U3265,0)</t>
  </si>
  <si>
    <t>=IF(AND($M3265&gt;=$Q$16,$M3265&lt;=$Q$18),U3265,0)</t>
  </si>
  <si>
    <t>=IF(AND($M3265&gt;=$R$16,$M3265&lt;=$R$18),U3265,0)</t>
  </si>
  <si>
    <t>=IF(AND($M3265&gt;=$S$16,$M3265&lt;=$S$18),U3265,0)</t>
  </si>
  <si>
    <t>=IF($M3265&lt;=$T$18,U3265,0)</t>
  </si>
  <si>
    <t>="""NAV Direct"",""CRONUS JetCorp USA"",""21"",""1"",""304081"""</t>
  </si>
  <si>
    <t>=E3264</t>
  </si>
  <si>
    <t>=StartDate-$M3266+1</t>
  </si>
  <si>
    <t>=SUM(P3266:T3266)</t>
  </si>
  <si>
    <t>=IF($M3266&gt;=$P$18,U3266,0)</t>
  </si>
  <si>
    <t>=IF(AND($M3266&gt;=$Q$16,$M3266&lt;=$Q$18),U3266,0)</t>
  </si>
  <si>
    <t>=IF(AND($M3266&gt;=$R$16,$M3266&lt;=$R$18),U3266,0)</t>
  </si>
  <si>
    <t>=IF(AND($M3266&gt;=$S$16,$M3266&lt;=$S$18),U3266,0)</t>
  </si>
  <si>
    <t>=IF($M3266&lt;=$T$18,U3266,0)</t>
  </si>
  <si>
    <t>="""NAV Direct"",""CRONUS JetCorp USA"",""21"",""1"",""304100"""</t>
  </si>
  <si>
    <t>=E3265</t>
  </si>
  <si>
    <t>=StartDate-$M3267+1</t>
  </si>
  <si>
    <t>=SUM(P3267:T3267)</t>
  </si>
  <si>
    <t>=IF($M3267&gt;=$P$18,U3267,0)</t>
  </si>
  <si>
    <t>=IF(AND($M3267&gt;=$Q$16,$M3267&lt;=$Q$18),U3267,0)</t>
  </si>
  <si>
    <t>=IF(AND($M3267&gt;=$R$16,$M3267&lt;=$R$18),U3267,0)</t>
  </si>
  <si>
    <t>=IF(AND($M3267&gt;=$S$16,$M3267&lt;=$S$18),U3267,0)</t>
  </si>
  <si>
    <t>=IF($M3267&lt;=$T$18,U3267,0)</t>
  </si>
  <si>
    <t>="""NAV Direct"",""CRONUS JetCorp USA"",""21"",""1"",""304119"""</t>
  </si>
  <si>
    <t>=E3266</t>
  </si>
  <si>
    <t>=StartDate-$M3268+1</t>
  </si>
  <si>
    <t>=SUM(P3268:T3268)</t>
  </si>
  <si>
    <t>=IF($M3268&gt;=$P$18,U3268,0)</t>
  </si>
  <si>
    <t>=IF(AND($M3268&gt;=$Q$16,$M3268&lt;=$Q$18),U3268,0)</t>
  </si>
  <si>
    <t>=IF(AND($M3268&gt;=$R$16,$M3268&lt;=$R$18),U3268,0)</t>
  </si>
  <si>
    <t>=IF(AND($M3268&gt;=$S$16,$M3268&lt;=$S$18),U3268,0)</t>
  </si>
  <si>
    <t>=IF($M3268&lt;=$T$18,U3268,0)</t>
  </si>
  <si>
    <t>="""NAV Direct"",""CRONUS JetCorp USA"",""21"",""1"",""304167"""</t>
  </si>
  <si>
    <t>=E3267</t>
  </si>
  <si>
    <t>=StartDate-$M3269+1</t>
  </si>
  <si>
    <t>=SUM(P3269:T3269)</t>
  </si>
  <si>
    <t>=IF($M3269&gt;=$P$18,U3269,0)</t>
  </si>
  <si>
    <t>=IF(AND($M3269&gt;=$Q$16,$M3269&lt;=$Q$18),U3269,0)</t>
  </si>
  <si>
    <t>=IF(AND($M3269&gt;=$R$16,$M3269&lt;=$R$18),U3269,0)</t>
  </si>
  <si>
    <t>=IF(AND($M3269&gt;=$S$16,$M3269&lt;=$S$18),U3269,0)</t>
  </si>
  <si>
    <t>=IF($M3269&lt;=$T$18,U3269,0)</t>
  </si>
  <si>
    <t>="""NAV Direct"",""CRONUS JetCorp USA"",""21"",""1"",""304242"""</t>
  </si>
  <si>
    <t>=E3268</t>
  </si>
  <si>
    <t>=StartDate-$M3270+1</t>
  </si>
  <si>
    <t>=SUM(P3270:T3270)</t>
  </si>
  <si>
    <t>=IF($M3270&gt;=$P$18,U3270,0)</t>
  </si>
  <si>
    <t>=IF(AND($M3270&gt;=$Q$16,$M3270&lt;=$Q$18),U3270,0)</t>
  </si>
  <si>
    <t>=IF(AND($M3270&gt;=$R$16,$M3270&lt;=$R$18),U3270,0)</t>
  </si>
  <si>
    <t>=IF(AND($M3270&gt;=$S$16,$M3270&lt;=$S$18),U3270,0)</t>
  </si>
  <si>
    <t>=IF($M3270&lt;=$T$18,U3270,0)</t>
  </si>
  <si>
    <t>="""NAV Direct"",""CRONUS JetCorp USA"",""21"",""1"",""304331"""</t>
  </si>
  <si>
    <t>=E3269</t>
  </si>
  <si>
    <t>=StartDate-$M3271+1</t>
  </si>
  <si>
    <t>=SUM(P3271:T3271)</t>
  </si>
  <si>
    <t>=IF($M3271&gt;=$P$18,U3271,0)</t>
  </si>
  <si>
    <t>=IF(AND($M3271&gt;=$Q$16,$M3271&lt;=$Q$18),U3271,0)</t>
  </si>
  <si>
    <t>=IF(AND($M3271&gt;=$R$16,$M3271&lt;=$R$18),U3271,0)</t>
  </si>
  <si>
    <t>=IF(AND($M3271&gt;=$S$16,$M3271&lt;=$S$18),U3271,0)</t>
  </si>
  <si>
    <t>=IF($M3271&lt;=$T$18,U3271,0)</t>
  </si>
  <si>
    <t>="""NAV Direct"",""CRONUS JetCorp USA"",""21"",""1"",""304362"""</t>
  </si>
  <si>
    <t>=E3270</t>
  </si>
  <si>
    <t>=StartDate-$M3272+1</t>
  </si>
  <si>
    <t>=SUM(P3272:T3272)</t>
  </si>
  <si>
    <t>=IF($M3272&gt;=$P$18,U3272,0)</t>
  </si>
  <si>
    <t>=IF(AND($M3272&gt;=$Q$16,$M3272&lt;=$Q$18),U3272,0)</t>
  </si>
  <si>
    <t>=IF(AND($M3272&gt;=$R$16,$M3272&lt;=$R$18),U3272,0)</t>
  </si>
  <si>
    <t>=IF(AND($M3272&gt;=$S$16,$M3272&lt;=$S$18),U3272,0)</t>
  </si>
  <si>
    <t>=IF($M3272&lt;=$T$18,U3272,0)</t>
  </si>
  <si>
    <t>="""NAV Direct"",""CRONUS JetCorp USA"",""21"",""1"",""304383"""</t>
  </si>
  <si>
    <t>=E3271</t>
  </si>
  <si>
    <t>=StartDate-$M3273+1</t>
  </si>
  <si>
    <t>=SUM(P3273:T3273)</t>
  </si>
  <si>
    <t>=IF($M3273&gt;=$P$18,U3273,0)</t>
  </si>
  <si>
    <t>=IF(AND($M3273&gt;=$Q$16,$M3273&lt;=$Q$18),U3273,0)</t>
  </si>
  <si>
    <t>=IF(AND($M3273&gt;=$R$16,$M3273&lt;=$R$18),U3273,0)</t>
  </si>
  <si>
    <t>=IF(AND($M3273&gt;=$S$16,$M3273&lt;=$S$18),U3273,0)</t>
  </si>
  <si>
    <t>=IF($M3273&lt;=$T$18,U3273,0)</t>
  </si>
  <si>
    <t>="""NAV Direct"",""CRONUS JetCorp USA"",""21"",""1"",""304489"""</t>
  </si>
  <si>
    <t>=E3272</t>
  </si>
  <si>
    <t>=StartDate-$M3274+1</t>
  </si>
  <si>
    <t>=SUM(P3274:T3274)</t>
  </si>
  <si>
    <t>=IF($M3274&gt;=$P$18,U3274,0)</t>
  </si>
  <si>
    <t>=IF(AND($M3274&gt;=$Q$16,$M3274&lt;=$Q$18),U3274,0)</t>
  </si>
  <si>
    <t>=IF(AND($M3274&gt;=$R$16,$M3274&lt;=$R$18),U3274,0)</t>
  </si>
  <si>
    <t>=IF(AND($M3274&gt;=$S$16,$M3274&lt;=$S$18),U3274,0)</t>
  </si>
  <si>
    <t>=IF($M3274&lt;=$T$18,U3274,0)</t>
  </si>
  <si>
    <t>="""NAV Direct"",""CRONUS JetCorp USA"",""21"",""1"",""304543"""</t>
  </si>
  <si>
    <t>=E3273</t>
  </si>
  <si>
    <t>=StartDate-$M3275+1</t>
  </si>
  <si>
    <t>=SUM(P3275:T3275)</t>
  </si>
  <si>
    <t>=IF($M3275&gt;=$P$18,U3275,0)</t>
  </si>
  <si>
    <t>=IF(AND($M3275&gt;=$Q$16,$M3275&lt;=$Q$18),U3275,0)</t>
  </si>
  <si>
    <t>=IF(AND($M3275&gt;=$R$16,$M3275&lt;=$R$18),U3275,0)</t>
  </si>
  <si>
    <t>=IF(AND($M3275&gt;=$S$16,$M3275&lt;=$S$18),U3275,0)</t>
  </si>
  <si>
    <t>=IF($M3275&lt;=$T$18,U3275,0)</t>
  </si>
  <si>
    <t>="""NAV Direct"",""CRONUS JetCorp USA"",""21"",""1"",""304639"""</t>
  </si>
  <si>
    <t>=E3274</t>
  </si>
  <si>
    <t>=StartDate-$M3276+1</t>
  </si>
  <si>
    <t>=SUM(P3276:T3276)</t>
  </si>
  <si>
    <t>=IF($M3276&gt;=$P$18,U3276,0)</t>
  </si>
  <si>
    <t>=IF(AND($M3276&gt;=$Q$16,$M3276&lt;=$Q$18),U3276,0)</t>
  </si>
  <si>
    <t>=IF(AND($M3276&gt;=$R$16,$M3276&lt;=$R$18),U3276,0)</t>
  </si>
  <si>
    <t>=IF(AND($M3276&gt;=$S$16,$M3276&lt;=$S$18),U3276,0)</t>
  </si>
  <si>
    <t>=IF($M3276&lt;=$T$18,U3276,0)</t>
  </si>
  <si>
    <t>="""NAV Direct"",""CRONUS JetCorp USA"",""21"",""1"",""304743"""</t>
  </si>
  <si>
    <t>=E3275</t>
  </si>
  <si>
    <t>=StartDate-$M3277+1</t>
  </si>
  <si>
    <t>=SUM(P3277:T3277)</t>
  </si>
  <si>
    <t>=IF($M3277&gt;=$P$18,U3277,0)</t>
  </si>
  <si>
    <t>=IF(AND($M3277&gt;=$Q$16,$M3277&lt;=$Q$18),U3277,0)</t>
  </si>
  <si>
    <t>=IF(AND($M3277&gt;=$R$16,$M3277&lt;=$R$18),U3277,0)</t>
  </si>
  <si>
    <t>=IF(AND($M3277&gt;=$S$16,$M3277&lt;=$S$18),U3277,0)</t>
  </si>
  <si>
    <t>=IF($M3277&lt;=$T$18,U3277,0)</t>
  </si>
  <si>
    <t>="""NAV Direct"",""CRONUS JetCorp USA"",""21"",""1"",""304826"""</t>
  </si>
  <si>
    <t>=E3276</t>
  </si>
  <si>
    <t>=StartDate-$M3278+1</t>
  </si>
  <si>
    <t>=SUM(P3278:T3278)</t>
  </si>
  <si>
    <t>=IF($M3278&gt;=$P$18,U3278,0)</t>
  </si>
  <si>
    <t>=IF(AND($M3278&gt;=$Q$16,$M3278&lt;=$Q$18),U3278,0)</t>
  </si>
  <si>
    <t>=IF(AND($M3278&gt;=$R$16,$M3278&lt;=$R$18),U3278,0)</t>
  </si>
  <si>
    <t>=IF(AND($M3278&gt;=$S$16,$M3278&lt;=$S$18),U3278,0)</t>
  </si>
  <si>
    <t>=IF($M3278&lt;=$T$18,U3278,0)</t>
  </si>
  <si>
    <t>="""NAV Direct"",""CRONUS JetCorp USA"",""21"",""1"",""304928"""</t>
  </si>
  <si>
    <t>=E3277</t>
  </si>
  <si>
    <t>=StartDate-$M3279+1</t>
  </si>
  <si>
    <t>=SUM(P3279:T3279)</t>
  </si>
  <si>
    <t>=IF($M3279&gt;=$P$18,U3279,0)</t>
  </si>
  <si>
    <t>=IF(AND($M3279&gt;=$Q$16,$M3279&lt;=$Q$18),U3279,0)</t>
  </si>
  <si>
    <t>=IF(AND($M3279&gt;=$R$16,$M3279&lt;=$R$18),U3279,0)</t>
  </si>
  <si>
    <t>=IF(AND($M3279&gt;=$S$16,$M3279&lt;=$S$18),U3279,0)</t>
  </si>
  <si>
    <t>=IF($M3279&lt;=$T$18,U3279,0)</t>
  </si>
  <si>
    <t>="""NAV Direct"",""CRONUS JetCorp USA"",""21"",""1"",""304955"""</t>
  </si>
  <si>
    <t>=E3278</t>
  </si>
  <si>
    <t>=StartDate-$M3280+1</t>
  </si>
  <si>
    <t>=SUM(P3280:T3280)</t>
  </si>
  <si>
    <t>=IF($M3280&gt;=$P$18,U3280,0)</t>
  </si>
  <si>
    <t>=IF(AND($M3280&gt;=$Q$16,$M3280&lt;=$Q$18),U3280,0)</t>
  </si>
  <si>
    <t>=IF(AND($M3280&gt;=$R$16,$M3280&lt;=$R$18),U3280,0)</t>
  </si>
  <si>
    <t>=IF(AND($M3280&gt;=$S$16,$M3280&lt;=$S$18),U3280,0)</t>
  </si>
  <si>
    <t>=IF($M3280&lt;=$T$18,U3280,0)</t>
  </si>
  <si>
    <t>="""NAV Direct"",""CRONUS JetCorp USA"",""21"",""1"",""305005"""</t>
  </si>
  <si>
    <t>=E3279</t>
  </si>
  <si>
    <t>=StartDate-$M3281+1</t>
  </si>
  <si>
    <t>=SUM(P3281:T3281)</t>
  </si>
  <si>
    <t>=IF($M3281&gt;=$P$18,U3281,0)</t>
  </si>
  <si>
    <t>=IF(AND($M3281&gt;=$Q$16,$M3281&lt;=$Q$18),U3281,0)</t>
  </si>
  <si>
    <t>=IF(AND($M3281&gt;=$R$16,$M3281&lt;=$R$18),U3281,0)</t>
  </si>
  <si>
    <t>=IF(AND($M3281&gt;=$S$16,$M3281&lt;=$S$18),U3281,0)</t>
  </si>
  <si>
    <t>=IF($M3281&lt;=$T$18,U3281,0)</t>
  </si>
  <si>
    <t>="""NAV Direct"",""CRONUS JetCorp USA"",""21"",""1"",""305149"""</t>
  </si>
  <si>
    <t>=E3280</t>
  </si>
  <si>
    <t>=StartDate-$M3282+1</t>
  </si>
  <si>
    <t>=SUM(P3282:T3282)</t>
  </si>
  <si>
    <t>=IF($M3282&gt;=$P$18,U3282,0)</t>
  </si>
  <si>
    <t>=IF(AND($M3282&gt;=$Q$16,$M3282&lt;=$Q$18),U3282,0)</t>
  </si>
  <si>
    <t>=IF(AND($M3282&gt;=$R$16,$M3282&lt;=$R$18),U3282,0)</t>
  </si>
  <si>
    <t>=IF(AND($M3282&gt;=$S$16,$M3282&lt;=$S$18),U3282,0)</t>
  </si>
  <si>
    <t>=IF($M3282&lt;=$T$18,U3282,0)</t>
  </si>
  <si>
    <t>="""NAV Direct"",""CRONUS JetCorp USA"",""21"",""1"",""305170"""</t>
  </si>
  <si>
    <t>=E3281</t>
  </si>
  <si>
    <t>=StartDate-$M3283+1</t>
  </si>
  <si>
    <t>=SUM(P3283:T3283)</t>
  </si>
  <si>
    <t>=IF($M3283&gt;=$P$18,U3283,0)</t>
  </si>
  <si>
    <t>=IF(AND($M3283&gt;=$Q$16,$M3283&lt;=$Q$18),U3283,0)</t>
  </si>
  <si>
    <t>=IF(AND($M3283&gt;=$R$16,$M3283&lt;=$R$18),U3283,0)</t>
  </si>
  <si>
    <t>=IF(AND($M3283&gt;=$S$16,$M3283&lt;=$S$18),U3283,0)</t>
  </si>
  <si>
    <t>=IF($M3283&lt;=$T$18,U3283,0)</t>
  </si>
  <si>
    <t>="""NAV Direct"",""CRONUS JetCorp USA"",""21"",""1"",""305434"""</t>
  </si>
  <si>
    <t>=E3282</t>
  </si>
  <si>
    <t>=StartDate-$M3284+1</t>
  </si>
  <si>
    <t>=SUM(P3284:T3284)</t>
  </si>
  <si>
    <t>=IF($M3284&gt;=$P$18,U3284,0)</t>
  </si>
  <si>
    <t>=IF(AND($M3284&gt;=$Q$16,$M3284&lt;=$Q$18),U3284,0)</t>
  </si>
  <si>
    <t>=IF(AND($M3284&gt;=$R$16,$M3284&lt;=$R$18),U3284,0)</t>
  </si>
  <si>
    <t>=IF(AND($M3284&gt;=$S$16,$M3284&lt;=$S$18),U3284,0)</t>
  </si>
  <si>
    <t>=IF($M3284&lt;=$T$18,U3284,0)</t>
  </si>
  <si>
    <t>="""NAV Direct"",""CRONUS JetCorp USA"",""21"",""1"",""305476"""</t>
  </si>
  <si>
    <t>=E3283</t>
  </si>
  <si>
    <t>=StartDate-$M3285+1</t>
  </si>
  <si>
    <t>=SUM(P3285:T3285)</t>
  </si>
  <si>
    <t>=IF($M3285&gt;=$P$18,U3285,0)</t>
  </si>
  <si>
    <t>=IF(AND($M3285&gt;=$Q$16,$M3285&lt;=$Q$18),U3285,0)</t>
  </si>
  <si>
    <t>=IF(AND($M3285&gt;=$R$16,$M3285&lt;=$R$18),U3285,0)</t>
  </si>
  <si>
    <t>=IF(AND($M3285&gt;=$S$16,$M3285&lt;=$S$18),U3285,0)</t>
  </si>
  <si>
    <t>=IF($M3285&lt;=$T$18,U3285,0)</t>
  </si>
  <si>
    <t>="""NAV Direct"",""CRONUS JetCorp USA"",""21"",""1"",""305615"""</t>
  </si>
  <si>
    <t>=E3284</t>
  </si>
  <si>
    <t>=StartDate-$M3286+1</t>
  </si>
  <si>
    <t>=SUM(P3286:T3286)</t>
  </si>
  <si>
    <t>=IF($M3286&gt;=$P$18,U3286,0)</t>
  </si>
  <si>
    <t>=IF(AND($M3286&gt;=$Q$16,$M3286&lt;=$Q$18),U3286,0)</t>
  </si>
  <si>
    <t>=IF(AND($M3286&gt;=$R$16,$M3286&lt;=$R$18),U3286,0)</t>
  </si>
  <si>
    <t>=IF(AND($M3286&gt;=$S$16,$M3286&lt;=$S$18),U3286,0)</t>
  </si>
  <si>
    <t>=IF($M3286&lt;=$T$18,U3286,0)</t>
  </si>
  <si>
    <t>="""NAV Direct"",""CRONUS JetCorp USA"",""21"",""1"",""305650"""</t>
  </si>
  <si>
    <t>=E3285</t>
  </si>
  <si>
    <t>=StartDate-$M3287+1</t>
  </si>
  <si>
    <t>=SUM(P3287:T3287)</t>
  </si>
  <si>
    <t>=IF($M3287&gt;=$P$18,U3287,0)</t>
  </si>
  <si>
    <t>=IF(AND($M3287&gt;=$Q$16,$M3287&lt;=$Q$18),U3287,0)</t>
  </si>
  <si>
    <t>=IF(AND($M3287&gt;=$R$16,$M3287&lt;=$R$18),U3287,0)</t>
  </si>
  <si>
    <t>=IF(AND($M3287&gt;=$S$16,$M3287&lt;=$S$18),U3287,0)</t>
  </si>
  <si>
    <t>=IF($M3287&lt;=$T$18,U3287,0)</t>
  </si>
  <si>
    <t>="""NAV Direct"",""CRONUS JetCorp USA"",""21"",""1"",""305696"""</t>
  </si>
  <si>
    <t>=E3286</t>
  </si>
  <si>
    <t>=StartDate-$M3288+1</t>
  </si>
  <si>
    <t>=SUM(P3288:T3288)</t>
  </si>
  <si>
    <t>=IF($M3288&gt;=$P$18,U3288,0)</t>
  </si>
  <si>
    <t>=IF(AND($M3288&gt;=$Q$16,$M3288&lt;=$Q$18),U3288,0)</t>
  </si>
  <si>
    <t>=IF(AND($M3288&gt;=$R$16,$M3288&lt;=$R$18),U3288,0)</t>
  </si>
  <si>
    <t>=IF(AND($M3288&gt;=$S$16,$M3288&lt;=$S$18),U3288,0)</t>
  </si>
  <si>
    <t>=IF($M3288&lt;=$T$18,U3288,0)</t>
  </si>
  <si>
    <t>="""NAV Direct"",""CRONUS JetCorp USA"",""21"",""1"",""305854"""</t>
  </si>
  <si>
    <t>=E3287</t>
  </si>
  <si>
    <t>=StartDate-$M3289+1</t>
  </si>
  <si>
    <t>=SUM(P3289:T3289)</t>
  </si>
  <si>
    <t>=IF($M3289&gt;=$P$18,U3289,0)</t>
  </si>
  <si>
    <t>=IF(AND($M3289&gt;=$Q$16,$M3289&lt;=$Q$18),U3289,0)</t>
  </si>
  <si>
    <t>=IF(AND($M3289&gt;=$R$16,$M3289&lt;=$R$18),U3289,0)</t>
  </si>
  <si>
    <t>=IF(AND($M3289&gt;=$S$16,$M3289&lt;=$S$18),U3289,0)</t>
  </si>
  <si>
    <t>=IF($M3289&lt;=$T$18,U3289,0)</t>
  </si>
  <si>
    <t>="""NAV Direct"",""CRONUS JetCorp USA"",""21"",""1"",""305914"""</t>
  </si>
  <si>
    <t>=E3288</t>
  </si>
  <si>
    <t>=StartDate-$M3290+1</t>
  </si>
  <si>
    <t>=SUM(P3290:T3290)</t>
  </si>
  <si>
    <t>=IF($M3290&gt;=$P$18,U3290,0)</t>
  </si>
  <si>
    <t>=IF(AND($M3290&gt;=$Q$16,$M3290&lt;=$Q$18),U3290,0)</t>
  </si>
  <si>
    <t>=IF(AND($M3290&gt;=$R$16,$M3290&lt;=$R$18),U3290,0)</t>
  </si>
  <si>
    <t>=IF(AND($M3290&gt;=$S$16,$M3290&lt;=$S$18),U3290,0)</t>
  </si>
  <si>
    <t>=IF($M3290&lt;=$T$18,U3290,0)</t>
  </si>
  <si>
    <t>="""NAV Direct"",""CRONUS JetCorp USA"",""21"",""1"",""305970"""</t>
  </si>
  <si>
    <t>=E3289</t>
  </si>
  <si>
    <t>=StartDate-$M3291+1</t>
  </si>
  <si>
    <t>=SUM(P3291:T3291)</t>
  </si>
  <si>
    <t>=IF($M3291&gt;=$P$18,U3291,0)</t>
  </si>
  <si>
    <t>=IF(AND($M3291&gt;=$Q$16,$M3291&lt;=$Q$18),U3291,0)</t>
  </si>
  <si>
    <t>=IF(AND($M3291&gt;=$R$16,$M3291&lt;=$R$18),U3291,0)</t>
  </si>
  <si>
    <t>=IF(AND($M3291&gt;=$S$16,$M3291&lt;=$S$18),U3291,0)</t>
  </si>
  <si>
    <t>=IF($M3291&lt;=$T$18,U3291,0)</t>
  </si>
  <si>
    <t>="""NAV Direct"",""CRONUS JetCorp USA"",""21"",""1"",""306143"""</t>
  </si>
  <si>
    <t>=E3290</t>
  </si>
  <si>
    <t>=StartDate-$M3292+1</t>
  </si>
  <si>
    <t>=SUM(P3292:T3292)</t>
  </si>
  <si>
    <t>=IF($M3292&gt;=$P$18,U3292,0)</t>
  </si>
  <si>
    <t>=IF(AND($M3292&gt;=$Q$16,$M3292&lt;=$Q$18),U3292,0)</t>
  </si>
  <si>
    <t>=IF(AND($M3292&gt;=$R$16,$M3292&lt;=$R$18),U3292,0)</t>
  </si>
  <si>
    <t>=IF(AND($M3292&gt;=$S$16,$M3292&lt;=$S$18),U3292,0)</t>
  </si>
  <si>
    <t>=IF($M3292&lt;=$T$18,U3292,0)</t>
  </si>
  <si>
    <t>="""NAV Direct"",""CRONUS JetCorp USA"",""21"",""1"",""306191"""</t>
  </si>
  <si>
    <t>=E3291</t>
  </si>
  <si>
    <t>=StartDate-$M3293+1</t>
  </si>
  <si>
    <t>=SUM(P3293:T3293)</t>
  </si>
  <si>
    <t>=IF($M3293&gt;=$P$18,U3293,0)</t>
  </si>
  <si>
    <t>=IF(AND($M3293&gt;=$Q$16,$M3293&lt;=$Q$18),U3293,0)</t>
  </si>
  <si>
    <t>=IF(AND($M3293&gt;=$R$16,$M3293&lt;=$R$18),U3293,0)</t>
  </si>
  <si>
    <t>=IF(AND($M3293&gt;=$S$16,$M3293&lt;=$S$18),U3293,0)</t>
  </si>
  <si>
    <t>=IF($M3293&lt;=$T$18,U3293,0)</t>
  </si>
  <si>
    <t>="""NAV Direct"",""CRONUS JetCorp USA"",""21"",""1"",""306218"""</t>
  </si>
  <si>
    <t>=E3292</t>
  </si>
  <si>
    <t>=StartDate-$M3294+1</t>
  </si>
  <si>
    <t>=SUM(P3294:T3294)</t>
  </si>
  <si>
    <t>=IF($M3294&gt;=$P$18,U3294,0)</t>
  </si>
  <si>
    <t>=IF(AND($M3294&gt;=$Q$16,$M3294&lt;=$Q$18),U3294,0)</t>
  </si>
  <si>
    <t>=IF(AND($M3294&gt;=$R$16,$M3294&lt;=$R$18),U3294,0)</t>
  </si>
  <si>
    <t>=IF(AND($M3294&gt;=$S$16,$M3294&lt;=$S$18),U3294,0)</t>
  </si>
  <si>
    <t>=IF($M3294&lt;=$T$18,U3294,0)</t>
  </si>
  <si>
    <t>="""NAV Direct"",""CRONUS JetCorp USA"",""21"",""1"",""306245"""</t>
  </si>
  <si>
    <t>=E3293</t>
  </si>
  <si>
    <t>=StartDate-$M3295+1</t>
  </si>
  <si>
    <t>=SUM(P3295:T3295)</t>
  </si>
  <si>
    <t>=IF($M3295&gt;=$P$18,U3295,0)</t>
  </si>
  <si>
    <t>=IF(AND($M3295&gt;=$Q$16,$M3295&lt;=$Q$18),U3295,0)</t>
  </si>
  <si>
    <t>=IF(AND($M3295&gt;=$R$16,$M3295&lt;=$R$18),U3295,0)</t>
  </si>
  <si>
    <t>=IF(AND($M3295&gt;=$S$16,$M3295&lt;=$S$18),U3295,0)</t>
  </si>
  <si>
    <t>=IF($M3295&lt;=$T$18,U3295,0)</t>
  </si>
  <si>
    <t>="""NAV Direct"",""CRONUS JetCorp USA"",""21"",""1"",""306262"""</t>
  </si>
  <si>
    <t>=E3294</t>
  </si>
  <si>
    <t>=StartDate-$M3296+1</t>
  </si>
  <si>
    <t>=SUM(P3296:T3296)</t>
  </si>
  <si>
    <t>=IF($M3296&gt;=$P$18,U3296,0)</t>
  </si>
  <si>
    <t>=IF(AND($M3296&gt;=$Q$16,$M3296&lt;=$Q$18),U3296,0)</t>
  </si>
  <si>
    <t>=IF(AND($M3296&gt;=$R$16,$M3296&lt;=$R$18),U3296,0)</t>
  </si>
  <si>
    <t>=IF(AND($M3296&gt;=$S$16,$M3296&lt;=$S$18),U3296,0)</t>
  </si>
  <si>
    <t>=IF($M3296&lt;=$T$18,U3296,0)</t>
  </si>
  <si>
    <t>="""NAV Direct"",""CRONUS JetCorp USA"",""21"",""1"",""306310"""</t>
  </si>
  <si>
    <t>=E3295</t>
  </si>
  <si>
    <t>=StartDate-$M3297+1</t>
  </si>
  <si>
    <t>=SUM(P3297:T3297)</t>
  </si>
  <si>
    <t>=IF($M3297&gt;=$P$18,U3297,0)</t>
  </si>
  <si>
    <t>=IF(AND($M3297&gt;=$Q$16,$M3297&lt;=$Q$18),U3297,0)</t>
  </si>
  <si>
    <t>=IF(AND($M3297&gt;=$R$16,$M3297&lt;=$R$18),U3297,0)</t>
  </si>
  <si>
    <t>=IF(AND($M3297&gt;=$S$16,$M3297&lt;=$S$18),U3297,0)</t>
  </si>
  <si>
    <t>=IF($M3297&lt;=$T$18,U3297,0)</t>
  </si>
  <si>
    <t>="""NAV Direct"",""CRONUS JetCorp USA"",""21"",""1"",""306358"""</t>
  </si>
  <si>
    <t>=E3296</t>
  </si>
  <si>
    <t>=StartDate-$M3298+1</t>
  </si>
  <si>
    <t>=SUM(P3298:T3298)</t>
  </si>
  <si>
    <t>=IF($M3298&gt;=$P$18,U3298,0)</t>
  </si>
  <si>
    <t>=IF(AND($M3298&gt;=$Q$16,$M3298&lt;=$Q$18),U3298,0)</t>
  </si>
  <si>
    <t>=IF(AND($M3298&gt;=$R$16,$M3298&lt;=$R$18),U3298,0)</t>
  </si>
  <si>
    <t>=IF(AND($M3298&gt;=$S$16,$M3298&lt;=$S$18),U3298,0)</t>
  </si>
  <si>
    <t>=IF($M3298&lt;=$T$18,U3298,0)</t>
  </si>
  <si>
    <t>="""NAV Direct"",""CRONUS JetCorp USA"",""21"",""1"",""306439"""</t>
  </si>
  <si>
    <t>=E3297</t>
  </si>
  <si>
    <t>=StartDate-$M3299+1</t>
  </si>
  <si>
    <t>=SUM(P3299:T3299)</t>
  </si>
  <si>
    <t>=IF($M3299&gt;=$P$18,U3299,0)</t>
  </si>
  <si>
    <t>=IF(AND($M3299&gt;=$Q$16,$M3299&lt;=$Q$18),U3299,0)</t>
  </si>
  <si>
    <t>=IF(AND($M3299&gt;=$R$16,$M3299&lt;=$R$18),U3299,0)</t>
  </si>
  <si>
    <t>=IF(AND($M3299&gt;=$S$16,$M3299&lt;=$S$18),U3299,0)</t>
  </si>
  <si>
    <t>=IF($M3299&lt;=$T$18,U3299,0)</t>
  </si>
  <si>
    <t>="""NAV Direct"",""CRONUS JetCorp USA"",""21"",""1"",""306514"""</t>
  </si>
  <si>
    <t>=E3298</t>
  </si>
  <si>
    <t>=StartDate-$M3300+1</t>
  </si>
  <si>
    <t>=SUM(P3300:T3300)</t>
  </si>
  <si>
    <t>=IF($M3300&gt;=$P$18,U3300,0)</t>
  </si>
  <si>
    <t>=IF(AND($M3300&gt;=$Q$16,$M3300&lt;=$Q$18),U3300,0)</t>
  </si>
  <si>
    <t>=IF(AND($M3300&gt;=$R$16,$M3300&lt;=$R$18),U3300,0)</t>
  </si>
  <si>
    <t>=IF(AND($M3300&gt;=$S$16,$M3300&lt;=$S$18),U3300,0)</t>
  </si>
  <si>
    <t>=IF($M3300&lt;=$T$18,U3300,0)</t>
  </si>
  <si>
    <t>="""NAV Direct"",""CRONUS JetCorp USA"",""21"",""1"",""306564"""</t>
  </si>
  <si>
    <t>=E3299</t>
  </si>
  <si>
    <t>=StartDate-$M3301+1</t>
  </si>
  <si>
    <t>=SUM(P3301:T3301)</t>
  </si>
  <si>
    <t>=IF($M3301&gt;=$P$18,U3301,0)</t>
  </si>
  <si>
    <t>=IF(AND($M3301&gt;=$Q$16,$M3301&lt;=$Q$18),U3301,0)</t>
  </si>
  <si>
    <t>=IF(AND($M3301&gt;=$R$16,$M3301&lt;=$R$18),U3301,0)</t>
  </si>
  <si>
    <t>=IF(AND($M3301&gt;=$S$16,$M3301&lt;=$S$18),U3301,0)</t>
  </si>
  <si>
    <t>=IF($M3301&lt;=$T$18,U3301,0)</t>
  </si>
  <si>
    <t>="""NAV Direct"",""CRONUS JetCorp USA"",""21"",""1"",""306641"""</t>
  </si>
  <si>
    <t>=E3300</t>
  </si>
  <si>
    <t>=StartDate-$M3302+1</t>
  </si>
  <si>
    <t>=SUM(P3302:T3302)</t>
  </si>
  <si>
    <t>=IF($M3302&gt;=$P$18,U3302,0)</t>
  </si>
  <si>
    <t>=IF(AND($M3302&gt;=$Q$16,$M3302&lt;=$Q$18),U3302,0)</t>
  </si>
  <si>
    <t>=IF(AND($M3302&gt;=$R$16,$M3302&lt;=$R$18),U3302,0)</t>
  </si>
  <si>
    <t>=IF(AND($M3302&gt;=$S$16,$M3302&lt;=$S$18),U3302,0)</t>
  </si>
  <si>
    <t>=IF($M3302&lt;=$T$18,U3302,0)</t>
  </si>
  <si>
    <t>="""NAV Direct"",""CRONUS JetCorp USA"",""21"",""1"",""306670"""</t>
  </si>
  <si>
    <t>=E3301</t>
  </si>
  <si>
    <t>=StartDate-$M3303+1</t>
  </si>
  <si>
    <t>=SUM(P3303:T3303)</t>
  </si>
  <si>
    <t>=IF($M3303&gt;=$P$18,U3303,0)</t>
  </si>
  <si>
    <t>=IF(AND($M3303&gt;=$Q$16,$M3303&lt;=$Q$18),U3303,0)</t>
  </si>
  <si>
    <t>=IF(AND($M3303&gt;=$R$16,$M3303&lt;=$R$18),U3303,0)</t>
  </si>
  <si>
    <t>=IF(AND($M3303&gt;=$S$16,$M3303&lt;=$S$18),U3303,0)</t>
  </si>
  <si>
    <t>=IF($M3303&lt;=$T$18,U3303,0)</t>
  </si>
  <si>
    <t>="""NAV Direct"",""CRONUS JetCorp USA"",""21"",""1"",""306776"""</t>
  </si>
  <si>
    <t>=E3302</t>
  </si>
  <si>
    <t>=StartDate-$M3304+1</t>
  </si>
  <si>
    <t>=SUM(P3304:T3304)</t>
  </si>
  <si>
    <t>=IF($M3304&gt;=$P$18,U3304,0)</t>
  </si>
  <si>
    <t>=IF(AND($M3304&gt;=$Q$16,$M3304&lt;=$Q$18),U3304,0)</t>
  </si>
  <si>
    <t>=IF(AND($M3304&gt;=$R$16,$M3304&lt;=$R$18),U3304,0)</t>
  </si>
  <si>
    <t>=IF(AND($M3304&gt;=$S$16,$M3304&lt;=$S$18),U3304,0)</t>
  </si>
  <si>
    <t>=IF($M3304&lt;=$T$18,U3304,0)</t>
  </si>
  <si>
    <t>="""NAV Direct"",""CRONUS JetCorp USA"",""21"",""1"",""306901"""</t>
  </si>
  <si>
    <t>=E3303</t>
  </si>
  <si>
    <t>=StartDate-$M3305+1</t>
  </si>
  <si>
    <t>=SUM(P3305:T3305)</t>
  </si>
  <si>
    <t>=IF($M3305&gt;=$P$18,U3305,0)</t>
  </si>
  <si>
    <t>=IF(AND($M3305&gt;=$Q$16,$M3305&lt;=$Q$18),U3305,0)</t>
  </si>
  <si>
    <t>=IF(AND($M3305&gt;=$R$16,$M3305&lt;=$R$18),U3305,0)</t>
  </si>
  <si>
    <t>=IF(AND($M3305&gt;=$S$16,$M3305&lt;=$S$18),U3305,0)</t>
  </si>
  <si>
    <t>=IF($M3305&lt;=$T$18,U3305,0)</t>
  </si>
  <si>
    <t>="""NAV Direct"",""CRONUS JetCorp USA"",""21"",""1"",""306959"""</t>
  </si>
  <si>
    <t>=E3304</t>
  </si>
  <si>
    <t>=StartDate-$M3306+1</t>
  </si>
  <si>
    <t>=SUM(P3306:T3306)</t>
  </si>
  <si>
    <t>=IF($M3306&gt;=$P$18,U3306,0)</t>
  </si>
  <si>
    <t>=IF(AND($M3306&gt;=$Q$16,$M3306&lt;=$Q$18),U3306,0)</t>
  </si>
  <si>
    <t>=IF(AND($M3306&gt;=$R$16,$M3306&lt;=$R$18),U3306,0)</t>
  </si>
  <si>
    <t>=IF(AND($M3306&gt;=$S$16,$M3306&lt;=$S$18),U3306,0)</t>
  </si>
  <si>
    <t>=IF($M3306&lt;=$T$18,U3306,0)</t>
  </si>
  <si>
    <t>="""NAV Direct"",""CRONUS JetCorp USA"",""21"",""1"",""307025"""</t>
  </si>
  <si>
    <t>=E3305</t>
  </si>
  <si>
    <t>=StartDate-$M3307+1</t>
  </si>
  <si>
    <t>=SUM(P3307:T3307)</t>
  </si>
  <si>
    <t>=IF($M3307&gt;=$P$18,U3307,0)</t>
  </si>
  <si>
    <t>=IF(AND($M3307&gt;=$Q$16,$M3307&lt;=$Q$18),U3307,0)</t>
  </si>
  <si>
    <t>=IF(AND($M3307&gt;=$R$16,$M3307&lt;=$R$18),U3307,0)</t>
  </si>
  <si>
    <t>=IF(AND($M3307&gt;=$S$16,$M3307&lt;=$S$18),U3307,0)</t>
  </si>
  <si>
    <t>=IF($M3307&lt;=$T$18,U3307,0)</t>
  </si>
  <si>
    <t>="""NAV Direct"",""CRONUS JetCorp USA"",""21"",""1"",""307050"""</t>
  </si>
  <si>
    <t>=E3306</t>
  </si>
  <si>
    <t>=StartDate-$M3308+1</t>
  </si>
  <si>
    <t>=SUM(P3308:T3308)</t>
  </si>
  <si>
    <t>=IF($M3308&gt;=$P$18,U3308,0)</t>
  </si>
  <si>
    <t>=IF(AND($M3308&gt;=$Q$16,$M3308&lt;=$Q$18),U3308,0)</t>
  </si>
  <si>
    <t>=IF(AND($M3308&gt;=$R$16,$M3308&lt;=$R$18),U3308,0)</t>
  </si>
  <si>
    <t>=IF(AND($M3308&gt;=$S$16,$M3308&lt;=$S$18),U3308,0)</t>
  </si>
  <si>
    <t>=IF($M3308&lt;=$T$18,U3308,0)</t>
  </si>
  <si>
    <t>="""NAV Direct"",""CRONUS JetCorp USA"",""21"",""1"",""307081"""</t>
  </si>
  <si>
    <t>=E3307</t>
  </si>
  <si>
    <t>=StartDate-$M3309+1</t>
  </si>
  <si>
    <t>=SUM(P3309:T3309)</t>
  </si>
  <si>
    <t>=IF($M3309&gt;=$P$18,U3309,0)</t>
  </si>
  <si>
    <t>=IF(AND($M3309&gt;=$Q$16,$M3309&lt;=$Q$18),U3309,0)</t>
  </si>
  <si>
    <t>=IF(AND($M3309&gt;=$R$16,$M3309&lt;=$R$18),U3309,0)</t>
  </si>
  <si>
    <t>=IF(AND($M3309&gt;=$S$16,$M3309&lt;=$S$18),U3309,0)</t>
  </si>
  <si>
    <t>=IF($M3309&lt;=$T$18,U3309,0)</t>
  </si>
  <si>
    <t>="""NAV Direct"",""CRONUS JetCorp USA"",""21"",""1"",""307125"""</t>
  </si>
  <si>
    <t>=E3308</t>
  </si>
  <si>
    <t>=StartDate-$M3310+1</t>
  </si>
  <si>
    <t>=SUM(P3310:T3310)</t>
  </si>
  <si>
    <t>=IF($M3310&gt;=$P$18,U3310,0)</t>
  </si>
  <si>
    <t>=IF(AND($M3310&gt;=$Q$16,$M3310&lt;=$Q$18),U3310,0)</t>
  </si>
  <si>
    <t>=IF(AND($M3310&gt;=$R$16,$M3310&lt;=$R$18),U3310,0)</t>
  </si>
  <si>
    <t>=IF(AND($M3310&gt;=$S$16,$M3310&lt;=$S$18),U3310,0)</t>
  </si>
  <si>
    <t>=IF($M3310&lt;=$T$18,U3310,0)</t>
  </si>
  <si>
    <t>="""NAV Direct"",""CRONUS JetCorp USA"",""21"",""1"",""307204"""</t>
  </si>
  <si>
    <t>=E3309</t>
  </si>
  <si>
    <t>=StartDate-$M3311+1</t>
  </si>
  <si>
    <t>=SUM(P3311:T3311)</t>
  </si>
  <si>
    <t>=IF($M3311&gt;=$P$18,U3311,0)</t>
  </si>
  <si>
    <t>=IF(AND($M3311&gt;=$Q$16,$M3311&lt;=$Q$18),U3311,0)</t>
  </si>
  <si>
    <t>=IF(AND($M3311&gt;=$R$16,$M3311&lt;=$R$18),U3311,0)</t>
  </si>
  <si>
    <t>=IF(AND($M3311&gt;=$S$16,$M3311&lt;=$S$18),U3311,0)</t>
  </si>
  <si>
    <t>=IF($M3311&lt;=$T$18,U3311,0)</t>
  </si>
  <si>
    <t>="""NAV Direct"",""CRONUS JetCorp USA"",""21"",""1"",""307231"""</t>
  </si>
  <si>
    <t>=E3310</t>
  </si>
  <si>
    <t>=StartDate-$M3312+1</t>
  </si>
  <si>
    <t>=SUM(P3312:T3312)</t>
  </si>
  <si>
    <t>=IF($M3312&gt;=$P$18,U3312,0)</t>
  </si>
  <si>
    <t>=IF(AND($M3312&gt;=$Q$16,$M3312&lt;=$Q$18),U3312,0)</t>
  </si>
  <si>
    <t>=IF(AND($M3312&gt;=$R$16,$M3312&lt;=$R$18),U3312,0)</t>
  </si>
  <si>
    <t>=IF(AND($M3312&gt;=$S$16,$M3312&lt;=$S$18),U3312,0)</t>
  </si>
  <si>
    <t>=IF($M3312&lt;=$T$18,U3312,0)</t>
  </si>
  <si>
    <t>="""NAV Direct"",""CRONUS JetCorp USA"",""21"",""1"",""307337"""</t>
  </si>
  <si>
    <t>=E3311</t>
  </si>
  <si>
    <t>=StartDate-$M3313+1</t>
  </si>
  <si>
    <t>=SUM(P3313:T3313)</t>
  </si>
  <si>
    <t>=IF($M3313&gt;=$P$18,U3313,0)</t>
  </si>
  <si>
    <t>=IF(AND($M3313&gt;=$Q$16,$M3313&lt;=$Q$18),U3313,0)</t>
  </si>
  <si>
    <t>=IF(AND($M3313&gt;=$R$16,$M3313&lt;=$R$18),U3313,0)</t>
  </si>
  <si>
    <t>=IF(AND($M3313&gt;=$S$16,$M3313&lt;=$S$18),U3313,0)</t>
  </si>
  <si>
    <t>=IF($M3313&lt;=$T$18,U3313,0)</t>
  </si>
  <si>
    <t>="""NAV Direct"",""CRONUS JetCorp USA"",""21"",""1"",""307362"""</t>
  </si>
  <si>
    <t>=E3312</t>
  </si>
  <si>
    <t>=StartDate-$M3314+1</t>
  </si>
  <si>
    <t>=SUM(P3314:T3314)</t>
  </si>
  <si>
    <t>=IF($M3314&gt;=$P$18,U3314,0)</t>
  </si>
  <si>
    <t>=IF(AND($M3314&gt;=$Q$16,$M3314&lt;=$Q$18),U3314,0)</t>
  </si>
  <si>
    <t>=IF(AND($M3314&gt;=$R$16,$M3314&lt;=$R$18),U3314,0)</t>
  </si>
  <si>
    <t>=IF(AND($M3314&gt;=$S$16,$M3314&lt;=$S$18),U3314,0)</t>
  </si>
  <si>
    <t>=IF($M3314&lt;=$T$18,U3314,0)</t>
  </si>
  <si>
    <t>="""NAV Direct"",""CRONUS JetCorp USA"",""21"",""1"",""307470"""</t>
  </si>
  <si>
    <t>=E3313</t>
  </si>
  <si>
    <t>=StartDate-$M3315+1</t>
  </si>
  <si>
    <t>=SUM(P3315:T3315)</t>
  </si>
  <si>
    <t>=IF($M3315&gt;=$P$18,U3315,0)</t>
  </si>
  <si>
    <t>=IF(AND($M3315&gt;=$Q$16,$M3315&lt;=$Q$18),U3315,0)</t>
  </si>
  <si>
    <t>=IF(AND($M3315&gt;=$R$16,$M3315&lt;=$R$18),U3315,0)</t>
  </si>
  <si>
    <t>=IF(AND($M3315&gt;=$S$16,$M3315&lt;=$S$18),U3315,0)</t>
  </si>
  <si>
    <t>=IF($M3315&lt;=$T$18,U3315,0)</t>
  </si>
  <si>
    <t>="""NAV Direct"",""CRONUS JetCorp USA"",""21"",""1"",""307491"""</t>
  </si>
  <si>
    <t>=E3314</t>
  </si>
  <si>
    <t>=StartDate-$M3316+1</t>
  </si>
  <si>
    <t>=SUM(P3316:T3316)</t>
  </si>
  <si>
    <t>=IF($M3316&gt;=$P$18,U3316,0)</t>
  </si>
  <si>
    <t>=IF(AND($M3316&gt;=$Q$16,$M3316&lt;=$Q$18),U3316,0)</t>
  </si>
  <si>
    <t>=IF(AND($M3316&gt;=$R$16,$M3316&lt;=$R$18),U3316,0)</t>
  </si>
  <si>
    <t>=IF(AND($M3316&gt;=$S$16,$M3316&lt;=$S$18),U3316,0)</t>
  </si>
  <si>
    <t>=IF($M3316&lt;=$T$18,U3316,0)</t>
  </si>
  <si>
    <t>="""NAV Direct"",""CRONUS JetCorp USA"",""21"",""1"",""307514"""</t>
  </si>
  <si>
    <t>=E3315</t>
  </si>
  <si>
    <t>=StartDate-$M3317+1</t>
  </si>
  <si>
    <t>=SUM(P3317:T3317)</t>
  </si>
  <si>
    <t>=IF($M3317&gt;=$P$18,U3317,0)</t>
  </si>
  <si>
    <t>=IF(AND($M3317&gt;=$Q$16,$M3317&lt;=$Q$18),U3317,0)</t>
  </si>
  <si>
    <t>=IF(AND($M3317&gt;=$R$16,$M3317&lt;=$R$18),U3317,0)</t>
  </si>
  <si>
    <t>=IF(AND($M3317&gt;=$S$16,$M3317&lt;=$S$18),U3317,0)</t>
  </si>
  <si>
    <t>=IF($M3317&lt;=$T$18,U3317,0)</t>
  </si>
  <si>
    <t>="""NAV Direct"",""CRONUS JetCorp USA"",""21"",""1"",""307539"""</t>
  </si>
  <si>
    <t>=E3316</t>
  </si>
  <si>
    <t>=StartDate-$M3318+1</t>
  </si>
  <si>
    <t>=SUM(P3318:T3318)</t>
  </si>
  <si>
    <t>=IF($M3318&gt;=$P$18,U3318,0)</t>
  </si>
  <si>
    <t>=IF(AND($M3318&gt;=$Q$16,$M3318&lt;=$Q$18),U3318,0)</t>
  </si>
  <si>
    <t>=IF(AND($M3318&gt;=$R$16,$M3318&lt;=$R$18),U3318,0)</t>
  </si>
  <si>
    <t>=IF(AND($M3318&gt;=$S$16,$M3318&lt;=$S$18),U3318,0)</t>
  </si>
  <si>
    <t>=IF($M3318&lt;=$T$18,U3318,0)</t>
  </si>
  <si>
    <t>="""NAV Direct"",""CRONUS JetCorp USA"",""21"",""1"",""307614"""</t>
  </si>
  <si>
    <t>=E3317</t>
  </si>
  <si>
    <t>=StartDate-$M3319+1</t>
  </si>
  <si>
    <t>=SUM(P3319:T3319)</t>
  </si>
  <si>
    <t>=IF($M3319&gt;=$P$18,U3319,0)</t>
  </si>
  <si>
    <t>=IF(AND($M3319&gt;=$Q$16,$M3319&lt;=$Q$18),U3319,0)</t>
  </si>
  <si>
    <t>=IF(AND($M3319&gt;=$R$16,$M3319&lt;=$R$18),U3319,0)</t>
  </si>
  <si>
    <t>=IF(AND($M3319&gt;=$S$16,$M3319&lt;=$S$18),U3319,0)</t>
  </si>
  <si>
    <t>=IF($M3319&lt;=$T$18,U3319,0)</t>
  </si>
  <si>
    <t>="""NAV Direct"",""CRONUS JetCorp USA"",""21"",""1"",""307747"""</t>
  </si>
  <si>
    <t>=E3318</t>
  </si>
  <si>
    <t>=StartDate-$M3320+1</t>
  </si>
  <si>
    <t>=SUM(P3320:T3320)</t>
  </si>
  <si>
    <t>=IF($M3320&gt;=$P$18,U3320,0)</t>
  </si>
  <si>
    <t>=IF(AND($M3320&gt;=$Q$16,$M3320&lt;=$Q$18),U3320,0)</t>
  </si>
  <si>
    <t>=IF(AND($M3320&gt;=$R$16,$M3320&lt;=$R$18),U3320,0)</t>
  </si>
  <si>
    <t>=IF(AND($M3320&gt;=$S$16,$M3320&lt;=$S$18),U3320,0)</t>
  </si>
  <si>
    <t>=IF($M3320&lt;=$T$18,U3320,0)</t>
  </si>
  <si>
    <t>="""NAV Direct"",""CRONUS JetCorp USA"",""21"",""1"",""307893"""</t>
  </si>
  <si>
    <t>=E3319</t>
  </si>
  <si>
    <t>=StartDate-$M3321+1</t>
  </si>
  <si>
    <t>=SUM(P3321:T3321)</t>
  </si>
  <si>
    <t>=IF($M3321&gt;=$P$18,U3321,0)</t>
  </si>
  <si>
    <t>=IF(AND($M3321&gt;=$Q$16,$M3321&lt;=$Q$18),U3321,0)</t>
  </si>
  <si>
    <t>=IF(AND($M3321&gt;=$R$16,$M3321&lt;=$R$18),U3321,0)</t>
  </si>
  <si>
    <t>=IF(AND($M3321&gt;=$S$16,$M3321&lt;=$S$18),U3321,0)</t>
  </si>
  <si>
    <t>=IF($M3321&lt;=$T$18,U3321,0)</t>
  </si>
  <si>
    <t>="""NAV Direct"",""CRONUS JetCorp USA"",""21"",""1"",""307951"""</t>
  </si>
  <si>
    <t>=E3320</t>
  </si>
  <si>
    <t>=StartDate-$M3322+1</t>
  </si>
  <si>
    <t>=SUM(P3322:T3322)</t>
  </si>
  <si>
    <t>=IF($M3322&gt;=$P$18,U3322,0)</t>
  </si>
  <si>
    <t>=IF(AND($M3322&gt;=$Q$16,$M3322&lt;=$Q$18),U3322,0)</t>
  </si>
  <si>
    <t>=IF(AND($M3322&gt;=$R$16,$M3322&lt;=$R$18),U3322,0)</t>
  </si>
  <si>
    <t>=IF(AND($M3322&gt;=$S$16,$M3322&lt;=$S$18),U3322,0)</t>
  </si>
  <si>
    <t>=IF($M3322&lt;=$T$18,U3322,0)</t>
  </si>
  <si>
    <t>="""NAV Direct"",""CRONUS JetCorp USA"",""21"",""1"",""308005"""</t>
  </si>
  <si>
    <t>=E3321</t>
  </si>
  <si>
    <t>=StartDate-$M3323+1</t>
  </si>
  <si>
    <t>=SUM(P3323:T3323)</t>
  </si>
  <si>
    <t>=IF($M3323&gt;=$P$18,U3323,0)</t>
  </si>
  <si>
    <t>=IF(AND($M3323&gt;=$Q$16,$M3323&lt;=$Q$18),U3323,0)</t>
  </si>
  <si>
    <t>=IF(AND($M3323&gt;=$R$16,$M3323&lt;=$R$18),U3323,0)</t>
  </si>
  <si>
    <t>=IF(AND($M3323&gt;=$S$16,$M3323&lt;=$S$18),U3323,0)</t>
  </si>
  <si>
    <t>=IF($M3323&lt;=$T$18,U3323,0)</t>
  </si>
  <si>
    <t>="""NAV Direct"",""CRONUS JetCorp USA"",""21"",""1"",""308028"""</t>
  </si>
  <si>
    <t>=E3322</t>
  </si>
  <si>
    <t>=StartDate-$M3324+1</t>
  </si>
  <si>
    <t>=SUM(P3324:T3324)</t>
  </si>
  <si>
    <t>=IF($M3324&gt;=$P$18,U3324,0)</t>
  </si>
  <si>
    <t>=IF(AND($M3324&gt;=$Q$16,$M3324&lt;=$Q$18),U3324,0)</t>
  </si>
  <si>
    <t>=IF(AND($M3324&gt;=$R$16,$M3324&lt;=$R$18),U3324,0)</t>
  </si>
  <si>
    <t>=IF(AND($M3324&gt;=$S$16,$M3324&lt;=$S$18),U3324,0)</t>
  </si>
  <si>
    <t>=IF($M3324&lt;=$T$18,U3324,0)</t>
  </si>
  <si>
    <t>="""NAV Direct"",""CRONUS JetCorp USA"",""21"",""1"",""308168"""</t>
  </si>
  <si>
    <t>=E3323</t>
  </si>
  <si>
    <t>=StartDate-$M3325+1</t>
  </si>
  <si>
    <t>=SUM(P3325:T3325)</t>
  </si>
  <si>
    <t>=IF($M3325&gt;=$P$18,U3325,0)</t>
  </si>
  <si>
    <t>=IF(AND($M3325&gt;=$Q$16,$M3325&lt;=$Q$18),U3325,0)</t>
  </si>
  <si>
    <t>=IF(AND($M3325&gt;=$R$16,$M3325&lt;=$R$18),U3325,0)</t>
  </si>
  <si>
    <t>=IF(AND($M3325&gt;=$S$16,$M3325&lt;=$S$18),U3325,0)</t>
  </si>
  <si>
    <t>=IF($M3325&lt;=$T$18,U3325,0)</t>
  </si>
  <si>
    <t>="""NAV Direct"",""CRONUS JetCorp USA"",""21"",""1"",""308197"""</t>
  </si>
  <si>
    <t>=E3324</t>
  </si>
  <si>
    <t>=StartDate-$M3326+1</t>
  </si>
  <si>
    <t>=SUM(P3326:T3326)</t>
  </si>
  <si>
    <t>=IF($M3326&gt;=$P$18,U3326,0)</t>
  </si>
  <si>
    <t>=IF(AND($M3326&gt;=$Q$16,$M3326&lt;=$Q$18),U3326,0)</t>
  </si>
  <si>
    <t>=IF(AND($M3326&gt;=$R$16,$M3326&lt;=$R$18),U3326,0)</t>
  </si>
  <si>
    <t>=IF(AND($M3326&gt;=$S$16,$M3326&lt;=$S$18),U3326,0)</t>
  </si>
  <si>
    <t>=IF($M3326&lt;=$T$18,U3326,0)</t>
  </si>
  <si>
    <t>="""NAV Direct"",""CRONUS JetCorp USA"",""21"",""1"",""308224"""</t>
  </si>
  <si>
    <t>=E3325</t>
  </si>
  <si>
    <t>=StartDate-$M3327+1</t>
  </si>
  <si>
    <t>=SUM(P3327:T3327)</t>
  </si>
  <si>
    <t>=IF($M3327&gt;=$P$18,U3327,0)</t>
  </si>
  <si>
    <t>=IF(AND($M3327&gt;=$Q$16,$M3327&lt;=$Q$18),U3327,0)</t>
  </si>
  <si>
    <t>=IF(AND($M3327&gt;=$R$16,$M3327&lt;=$R$18),U3327,0)</t>
  </si>
  <si>
    <t>=IF(AND($M3327&gt;=$S$16,$M3327&lt;=$S$18),U3327,0)</t>
  </si>
  <si>
    <t>=IF($M3327&lt;=$T$18,U3327,0)</t>
  </si>
  <si>
    <t>="""NAV Direct"",""CRONUS JetCorp USA"",""21"",""1"",""308303"""</t>
  </si>
  <si>
    <t>=E3326</t>
  </si>
  <si>
    <t>=StartDate-$M3328+1</t>
  </si>
  <si>
    <t>=SUM(P3328:T3328)</t>
  </si>
  <si>
    <t>=IF($M3328&gt;=$P$18,U3328,0)</t>
  </si>
  <si>
    <t>=IF(AND($M3328&gt;=$Q$16,$M3328&lt;=$Q$18),U3328,0)</t>
  </si>
  <si>
    <t>=IF(AND($M3328&gt;=$R$16,$M3328&lt;=$R$18),U3328,0)</t>
  </si>
  <si>
    <t>=IF(AND($M3328&gt;=$S$16,$M3328&lt;=$S$18),U3328,0)</t>
  </si>
  <si>
    <t>=IF($M3328&lt;=$T$18,U3328,0)</t>
  </si>
  <si>
    <t>="""NAV Direct"",""CRONUS JetCorp USA"",""21"",""1"",""308355"""</t>
  </si>
  <si>
    <t>=E3327</t>
  </si>
  <si>
    <t>=StartDate-$M3329+1</t>
  </si>
  <si>
    <t>=SUM(P3329:T3329)</t>
  </si>
  <si>
    <t>=IF($M3329&gt;=$P$18,U3329,0)</t>
  </si>
  <si>
    <t>=IF(AND($M3329&gt;=$Q$16,$M3329&lt;=$Q$18),U3329,0)</t>
  </si>
  <si>
    <t>=IF(AND($M3329&gt;=$R$16,$M3329&lt;=$R$18),U3329,0)</t>
  </si>
  <si>
    <t>=IF(AND($M3329&gt;=$S$16,$M3329&lt;=$S$18),U3329,0)</t>
  </si>
  <si>
    <t>=IF($M3329&lt;=$T$18,U3329,0)</t>
  </si>
  <si>
    <t>="""NAV Direct"",""CRONUS JetCorp USA"",""21"",""1"",""308407"""</t>
  </si>
  <si>
    <t>=E3328</t>
  </si>
  <si>
    <t>=StartDate-$M3330+1</t>
  </si>
  <si>
    <t>=SUM(P3330:T3330)</t>
  </si>
  <si>
    <t>=IF($M3330&gt;=$P$18,U3330,0)</t>
  </si>
  <si>
    <t>=IF(AND($M3330&gt;=$Q$16,$M3330&lt;=$Q$18),U3330,0)</t>
  </si>
  <si>
    <t>=IF(AND($M3330&gt;=$R$16,$M3330&lt;=$R$18),U3330,0)</t>
  </si>
  <si>
    <t>=IF(AND($M3330&gt;=$S$16,$M3330&lt;=$S$18),U3330,0)</t>
  </si>
  <si>
    <t>=IF($M3330&lt;=$T$18,U3330,0)</t>
  </si>
  <si>
    <t>="""NAV Direct"",""CRONUS JetCorp USA"",""21"",""1"",""308432"""</t>
  </si>
  <si>
    <t>=E3329</t>
  </si>
  <si>
    <t>=StartDate-$M3331+1</t>
  </si>
  <si>
    <t>=SUM(P3331:T3331)</t>
  </si>
  <si>
    <t>=IF($M3331&gt;=$P$18,U3331,0)</t>
  </si>
  <si>
    <t>=IF(AND($M3331&gt;=$Q$16,$M3331&lt;=$Q$18),U3331,0)</t>
  </si>
  <si>
    <t>=IF(AND($M3331&gt;=$R$16,$M3331&lt;=$R$18),U3331,0)</t>
  </si>
  <si>
    <t>=IF(AND($M3331&gt;=$S$16,$M3331&lt;=$S$18),U3331,0)</t>
  </si>
  <si>
    <t>=IF($M3331&lt;=$T$18,U3331,0)</t>
  </si>
  <si>
    <t>="""NAV Direct"",""CRONUS JetCorp USA"",""21"",""1"",""308517"""</t>
  </si>
  <si>
    <t>=E3330</t>
  </si>
  <si>
    <t>=StartDate-$M3332+1</t>
  </si>
  <si>
    <t>=SUM(P3332:T3332)</t>
  </si>
  <si>
    <t>=IF($M3332&gt;=$P$18,U3332,0)</t>
  </si>
  <si>
    <t>=IF(AND($M3332&gt;=$Q$16,$M3332&lt;=$Q$18),U3332,0)</t>
  </si>
  <si>
    <t>=IF(AND($M3332&gt;=$R$16,$M3332&lt;=$R$18),U3332,0)</t>
  </si>
  <si>
    <t>=IF(AND($M3332&gt;=$S$16,$M3332&lt;=$S$18),U3332,0)</t>
  </si>
  <si>
    <t>=IF($M3332&lt;=$T$18,U3332,0)</t>
  </si>
  <si>
    <t>="""NAV Direct"",""CRONUS JetCorp USA"",""21"",""1"",""308642"""</t>
  </si>
  <si>
    <t>=E3331</t>
  </si>
  <si>
    <t>=StartDate-$M3333+1</t>
  </si>
  <si>
    <t>=SUM(P3333:T3333)</t>
  </si>
  <si>
    <t>=IF($M3333&gt;=$P$18,U3333,0)</t>
  </si>
  <si>
    <t>=IF(AND($M3333&gt;=$Q$16,$M3333&lt;=$Q$18),U3333,0)</t>
  </si>
  <si>
    <t>=IF(AND($M3333&gt;=$R$16,$M3333&lt;=$R$18),U3333,0)</t>
  </si>
  <si>
    <t>=IF(AND($M3333&gt;=$S$16,$M3333&lt;=$S$18),U3333,0)</t>
  </si>
  <si>
    <t>=IF($M3333&lt;=$T$18,U3333,0)</t>
  </si>
  <si>
    <t>="""NAV Direct"",""CRONUS JetCorp USA"",""21"",""1"",""308667"""</t>
  </si>
  <si>
    <t>=E3332</t>
  </si>
  <si>
    <t>=StartDate-$M3334+1</t>
  </si>
  <si>
    <t>=SUM(P3334:T3334)</t>
  </si>
  <si>
    <t>=IF($M3334&gt;=$P$18,U3334,0)</t>
  </si>
  <si>
    <t>=IF(AND($M3334&gt;=$Q$16,$M3334&lt;=$Q$18),U3334,0)</t>
  </si>
  <si>
    <t>=IF(AND($M3334&gt;=$R$16,$M3334&lt;=$R$18),U3334,0)</t>
  </si>
  <si>
    <t>=IF(AND($M3334&gt;=$S$16,$M3334&lt;=$S$18),U3334,0)</t>
  </si>
  <si>
    <t>=IF($M3334&lt;=$T$18,U3334,0)</t>
  </si>
  <si>
    <t>="""NAV Direct"",""CRONUS JetCorp USA"",""21"",""1"",""308700"""</t>
  </si>
  <si>
    <t>=E3333</t>
  </si>
  <si>
    <t>=StartDate-$M3335+1</t>
  </si>
  <si>
    <t>=SUM(P3335:T3335)</t>
  </si>
  <si>
    <t>=IF($M3335&gt;=$P$18,U3335,0)</t>
  </si>
  <si>
    <t>=IF(AND($M3335&gt;=$Q$16,$M3335&lt;=$Q$18),U3335,0)</t>
  </si>
  <si>
    <t>=IF(AND($M3335&gt;=$R$16,$M3335&lt;=$R$18),U3335,0)</t>
  </si>
  <si>
    <t>=IF(AND($M3335&gt;=$S$16,$M3335&lt;=$S$18),U3335,0)</t>
  </si>
  <si>
    <t>=IF($M3335&lt;=$T$18,U3335,0)</t>
  </si>
  <si>
    <t>="""NAV Direct"",""CRONUS JetCorp USA"",""21"",""1"",""308721"""</t>
  </si>
  <si>
    <t>=E3334</t>
  </si>
  <si>
    <t>=StartDate-$M3336+1</t>
  </si>
  <si>
    <t>=SUM(P3336:T3336)</t>
  </si>
  <si>
    <t>=IF($M3336&gt;=$P$18,U3336,0)</t>
  </si>
  <si>
    <t>=IF(AND($M3336&gt;=$Q$16,$M3336&lt;=$Q$18),U3336,0)</t>
  </si>
  <si>
    <t>=IF(AND($M3336&gt;=$R$16,$M3336&lt;=$R$18),U3336,0)</t>
  </si>
  <si>
    <t>=IF(AND($M3336&gt;=$S$16,$M3336&lt;=$S$18),U3336,0)</t>
  </si>
  <si>
    <t>=IF($M3336&lt;=$T$18,U3336,0)</t>
  </si>
  <si>
    <t>="""NAV Direct"",""CRONUS JetCorp USA"",""21"",""1"",""308748"""</t>
  </si>
  <si>
    <t>=E3335</t>
  </si>
  <si>
    <t>=StartDate-$M3337+1</t>
  </si>
  <si>
    <t>=SUM(P3337:T3337)</t>
  </si>
  <si>
    <t>=IF($M3337&gt;=$P$18,U3337,0)</t>
  </si>
  <si>
    <t>=IF(AND($M3337&gt;=$Q$16,$M3337&lt;=$Q$18),U3337,0)</t>
  </si>
  <si>
    <t>=IF(AND($M3337&gt;=$R$16,$M3337&lt;=$R$18),U3337,0)</t>
  </si>
  <si>
    <t>=IF(AND($M3337&gt;=$S$16,$M3337&lt;=$S$18),U3337,0)</t>
  </si>
  <si>
    <t>=IF($M3337&lt;=$T$18,U3337,0)</t>
  </si>
  <si>
    <t>="""NAV Direct"",""CRONUS JetCorp USA"",""21"",""1"",""308885"""</t>
  </si>
  <si>
    <t>=E3336</t>
  </si>
  <si>
    <t>=StartDate-$M3338+1</t>
  </si>
  <si>
    <t>=SUM(P3338:T3338)</t>
  </si>
  <si>
    <t>=IF($M3338&gt;=$P$18,U3338,0)</t>
  </si>
  <si>
    <t>=IF(AND($M3338&gt;=$Q$16,$M3338&lt;=$Q$18),U3338,0)</t>
  </si>
  <si>
    <t>=IF(AND($M3338&gt;=$R$16,$M3338&lt;=$R$18),U3338,0)</t>
  </si>
  <si>
    <t>=IF(AND($M3338&gt;=$S$16,$M3338&lt;=$S$18),U3338,0)</t>
  </si>
  <si>
    <t>=IF($M3338&lt;=$T$18,U3338,0)</t>
  </si>
  <si>
    <t>="""NAV Direct"",""CRONUS JetCorp USA"",""21"",""1"",""308912"""</t>
  </si>
  <si>
    <t>=E3337</t>
  </si>
  <si>
    <t>=StartDate-$M3339+1</t>
  </si>
  <si>
    <t>=SUM(P3339:T3339)</t>
  </si>
  <si>
    <t>=IF($M3339&gt;=$P$18,U3339,0)</t>
  </si>
  <si>
    <t>=IF(AND($M3339&gt;=$Q$16,$M3339&lt;=$Q$18),U3339,0)</t>
  </si>
  <si>
    <t>=IF(AND($M3339&gt;=$R$16,$M3339&lt;=$R$18),U3339,0)</t>
  </si>
  <si>
    <t>=IF(AND($M3339&gt;=$S$16,$M3339&lt;=$S$18),U3339,0)</t>
  </si>
  <si>
    <t>=IF($M3339&lt;=$T$18,U3339,0)</t>
  </si>
  <si>
    <t>="""NAV Direct"",""CRONUS JetCorp USA"",""21"",""1"",""308937"""</t>
  </si>
  <si>
    <t>=E3338</t>
  </si>
  <si>
    <t>=StartDate-$M3340+1</t>
  </si>
  <si>
    <t>=SUM(P3340:T3340)</t>
  </si>
  <si>
    <t>=IF($M3340&gt;=$P$18,U3340,0)</t>
  </si>
  <si>
    <t>=IF(AND($M3340&gt;=$Q$16,$M3340&lt;=$Q$18),U3340,0)</t>
  </si>
  <si>
    <t>=IF(AND($M3340&gt;=$R$16,$M3340&lt;=$R$18),U3340,0)</t>
  </si>
  <si>
    <t>=IF(AND($M3340&gt;=$S$16,$M3340&lt;=$S$18),U3340,0)</t>
  </si>
  <si>
    <t>=IF($M3340&lt;=$T$18,U3340,0)</t>
  </si>
  <si>
    <t>="""NAV Direct"",""CRONUS JetCorp USA"",""21"",""1"",""309020"""</t>
  </si>
  <si>
    <t>=E3339</t>
  </si>
  <si>
    <t>=StartDate-$M3341+1</t>
  </si>
  <si>
    <t>=SUM(P3341:T3341)</t>
  </si>
  <si>
    <t>=IF($M3341&gt;=$P$18,U3341,0)</t>
  </si>
  <si>
    <t>=IF(AND($M3341&gt;=$Q$16,$M3341&lt;=$Q$18),U3341,0)</t>
  </si>
  <si>
    <t>=IF(AND($M3341&gt;=$R$16,$M3341&lt;=$R$18),U3341,0)</t>
  </si>
  <si>
    <t>=IF(AND($M3341&gt;=$S$16,$M3341&lt;=$S$18),U3341,0)</t>
  </si>
  <si>
    <t>=IF($M3341&lt;=$T$18,U3341,0)</t>
  </si>
  <si>
    <t>="""NAV Direct"",""CRONUS JetCorp USA"",""21"",""1"",""309049"""</t>
  </si>
  <si>
    <t>=E3340</t>
  </si>
  <si>
    <t>=StartDate-$M3342+1</t>
  </si>
  <si>
    <t>=SUM(P3342:T3342)</t>
  </si>
  <si>
    <t>=IF($M3342&gt;=$P$18,U3342,0)</t>
  </si>
  <si>
    <t>=IF(AND($M3342&gt;=$Q$16,$M3342&lt;=$Q$18),U3342,0)</t>
  </si>
  <si>
    <t>=IF(AND($M3342&gt;=$R$16,$M3342&lt;=$R$18),U3342,0)</t>
  </si>
  <si>
    <t>=IF(AND($M3342&gt;=$S$16,$M3342&lt;=$S$18),U3342,0)</t>
  </si>
  <si>
    <t>=IF($M3342&lt;=$T$18,U3342,0)</t>
  </si>
  <si>
    <t>="""NAV Direct"",""CRONUS JetCorp USA"",""21"",""1"",""309126"""</t>
  </si>
  <si>
    <t>=E3341</t>
  </si>
  <si>
    <t>=StartDate-$M3343+1</t>
  </si>
  <si>
    <t>=SUM(P3343:T3343)</t>
  </si>
  <si>
    <t>=IF($M3343&gt;=$P$18,U3343,0)</t>
  </si>
  <si>
    <t>=IF(AND($M3343&gt;=$Q$16,$M3343&lt;=$Q$18),U3343,0)</t>
  </si>
  <si>
    <t>=IF(AND($M3343&gt;=$R$16,$M3343&lt;=$R$18),U3343,0)</t>
  </si>
  <si>
    <t>=IF(AND($M3343&gt;=$S$16,$M3343&lt;=$S$18),U3343,0)</t>
  </si>
  <si>
    <t>=IF($M3343&lt;=$T$18,U3343,0)</t>
  </si>
  <si>
    <t>="""NAV Direct"",""CRONUS JetCorp USA"",""21"",""1"",""309176"""</t>
  </si>
  <si>
    <t>=E3342</t>
  </si>
  <si>
    <t>=StartDate-$M3344+1</t>
  </si>
  <si>
    <t>=SUM(P3344:T3344)</t>
  </si>
  <si>
    <t>=IF($M3344&gt;=$P$18,U3344,0)</t>
  </si>
  <si>
    <t>=IF(AND($M3344&gt;=$Q$16,$M3344&lt;=$Q$18),U3344,0)</t>
  </si>
  <si>
    <t>=IF(AND($M3344&gt;=$R$16,$M3344&lt;=$R$18),U3344,0)</t>
  </si>
  <si>
    <t>=IF(AND($M3344&gt;=$S$16,$M3344&lt;=$S$18),U3344,0)</t>
  </si>
  <si>
    <t>=IF($M3344&lt;=$T$18,U3344,0)</t>
  </si>
  <si>
    <t>="""NAV Direct"",""CRONUS JetCorp USA"",""21"",""1"",""309234"""</t>
  </si>
  <si>
    <t>=E3343</t>
  </si>
  <si>
    <t>=StartDate-$M3345+1</t>
  </si>
  <si>
    <t>=SUM(P3345:T3345)</t>
  </si>
  <si>
    <t>=IF($M3345&gt;=$P$18,U3345,0)</t>
  </si>
  <si>
    <t>=IF(AND($M3345&gt;=$Q$16,$M3345&lt;=$Q$18),U3345,0)</t>
  </si>
  <si>
    <t>=IF(AND($M3345&gt;=$R$16,$M3345&lt;=$R$18),U3345,0)</t>
  </si>
  <si>
    <t>=IF(AND($M3345&gt;=$S$16,$M3345&lt;=$S$18),U3345,0)</t>
  </si>
  <si>
    <t>=IF($M3345&lt;=$T$18,U3345,0)</t>
  </si>
  <si>
    <t>="""NAV Direct"",""CRONUS JetCorp USA"",""21"",""1"",""309257"""</t>
  </si>
  <si>
    <t>=E3344</t>
  </si>
  <si>
    <t>=StartDate-$M3346+1</t>
  </si>
  <si>
    <t>=SUM(P3346:T3346)</t>
  </si>
  <si>
    <t>=IF($M3346&gt;=$P$18,U3346,0)</t>
  </si>
  <si>
    <t>=IF(AND($M3346&gt;=$Q$16,$M3346&lt;=$Q$18),U3346,0)</t>
  </si>
  <si>
    <t>=IF(AND($M3346&gt;=$R$16,$M3346&lt;=$R$18),U3346,0)</t>
  </si>
  <si>
    <t>=IF(AND($M3346&gt;=$S$16,$M3346&lt;=$S$18),U3346,0)</t>
  </si>
  <si>
    <t>=IF($M3346&lt;=$T$18,U3346,0)</t>
  </si>
  <si>
    <t>="""NAV Direct"",""CRONUS JetCorp USA"",""21"",""1"",""309313"""</t>
  </si>
  <si>
    <t>=E3345</t>
  </si>
  <si>
    <t>=StartDate-$M3347+1</t>
  </si>
  <si>
    <t>=SUM(P3347:T3347)</t>
  </si>
  <si>
    <t>=IF($M3347&gt;=$P$18,U3347,0)</t>
  </si>
  <si>
    <t>=IF(AND($M3347&gt;=$Q$16,$M3347&lt;=$Q$18),U3347,0)</t>
  </si>
  <si>
    <t>=IF(AND($M3347&gt;=$R$16,$M3347&lt;=$R$18),U3347,0)</t>
  </si>
  <si>
    <t>=IF(AND($M3347&gt;=$S$16,$M3347&lt;=$S$18),U3347,0)</t>
  </si>
  <si>
    <t>=IF($M3347&lt;=$T$18,U3347,0)</t>
  </si>
  <si>
    <t>="""NAV Direct"",""CRONUS JetCorp USA"",""21"",""1"",""309365"""</t>
  </si>
  <si>
    <t>=E3346</t>
  </si>
  <si>
    <t>=StartDate-$M3348+1</t>
  </si>
  <si>
    <t>=SUM(P3348:T3348)</t>
  </si>
  <si>
    <t>=IF($M3348&gt;=$P$18,U3348,0)</t>
  </si>
  <si>
    <t>=IF(AND($M3348&gt;=$Q$16,$M3348&lt;=$Q$18),U3348,0)</t>
  </si>
  <si>
    <t>=IF(AND($M3348&gt;=$R$16,$M3348&lt;=$R$18),U3348,0)</t>
  </si>
  <si>
    <t>=IF(AND($M3348&gt;=$S$16,$M3348&lt;=$S$18),U3348,0)</t>
  </si>
  <si>
    <t>=IF($M3348&lt;=$T$18,U3348,0)</t>
  </si>
  <si>
    <t>="""NAV Direct"",""CRONUS JetCorp USA"",""21"",""1"",""309448"""</t>
  </si>
  <si>
    <t>=E3347</t>
  </si>
  <si>
    <t>=StartDate-$M3349+1</t>
  </si>
  <si>
    <t>=SUM(P3349:T3349)</t>
  </si>
  <si>
    <t>=IF($M3349&gt;=$P$18,U3349,0)</t>
  </si>
  <si>
    <t>=IF(AND($M3349&gt;=$Q$16,$M3349&lt;=$Q$18),U3349,0)</t>
  </si>
  <si>
    <t>=IF(AND($M3349&gt;=$R$16,$M3349&lt;=$R$18),U3349,0)</t>
  </si>
  <si>
    <t>=IF(AND($M3349&gt;=$S$16,$M3349&lt;=$S$18),U3349,0)</t>
  </si>
  <si>
    <t>=IF($M3349&lt;=$T$18,U3349,0)</t>
  </si>
  <si>
    <t>="""NAV Direct"",""CRONUS JetCorp USA"",""21"",""1"",""309475"""</t>
  </si>
  <si>
    <t>=E3348</t>
  </si>
  <si>
    <t>=StartDate-$M3350+1</t>
  </si>
  <si>
    <t>=SUM(P3350:T3350)</t>
  </si>
  <si>
    <t>=IF($M3350&gt;=$P$18,U3350,0)</t>
  </si>
  <si>
    <t>=IF(AND($M3350&gt;=$Q$16,$M3350&lt;=$Q$18),U3350,0)</t>
  </si>
  <si>
    <t>=IF(AND($M3350&gt;=$R$16,$M3350&lt;=$R$18),U3350,0)</t>
  </si>
  <si>
    <t>=IF(AND($M3350&gt;=$S$16,$M3350&lt;=$S$18),U3350,0)</t>
  </si>
  <si>
    <t>=IF($M3350&lt;=$T$18,U3350,0)</t>
  </si>
  <si>
    <t>="""NAV Direct"",""CRONUS JetCorp USA"",""21"",""1"",""309583"""</t>
  </si>
  <si>
    <t>=E3349</t>
  </si>
  <si>
    <t>=StartDate-$M3351+1</t>
  </si>
  <si>
    <t>=SUM(P3351:T3351)</t>
  </si>
  <si>
    <t>=IF($M3351&gt;=$P$18,U3351,0)</t>
  </si>
  <si>
    <t>=IF(AND($M3351&gt;=$Q$16,$M3351&lt;=$Q$18),U3351,0)</t>
  </si>
  <si>
    <t>=IF(AND($M3351&gt;=$R$16,$M3351&lt;=$R$18),U3351,0)</t>
  </si>
  <si>
    <t>=IF(AND($M3351&gt;=$S$16,$M3351&lt;=$S$18),U3351,0)</t>
  </si>
  <si>
    <t>=IF($M3351&lt;=$T$18,U3351,0)</t>
  </si>
  <si>
    <t>="""NAV Direct"",""CRONUS JetCorp USA"",""21"",""1"",""309608"""</t>
  </si>
  <si>
    <t>=E3350</t>
  </si>
  <si>
    <t>=StartDate-$M3352+1</t>
  </si>
  <si>
    <t>=SUM(P3352:T3352)</t>
  </si>
  <si>
    <t>=IF($M3352&gt;=$P$18,U3352,0)</t>
  </si>
  <si>
    <t>=IF(AND($M3352&gt;=$Q$16,$M3352&lt;=$Q$18),U3352,0)</t>
  </si>
  <si>
    <t>=IF(AND($M3352&gt;=$R$16,$M3352&lt;=$R$18),U3352,0)</t>
  </si>
  <si>
    <t>=IF(AND($M3352&gt;=$S$16,$M3352&lt;=$S$18),U3352,0)</t>
  </si>
  <si>
    <t>=IF($M3352&lt;=$T$18,U3352,0)</t>
  </si>
  <si>
    <t>="""NAV Direct"",""CRONUS JetCorp USA"",""21"",""1"",""309670"""</t>
  </si>
  <si>
    <t>=E3351</t>
  </si>
  <si>
    <t>=StartDate-$M3353+1</t>
  </si>
  <si>
    <t>=SUM(P3353:T3353)</t>
  </si>
  <si>
    <t>=IF($M3353&gt;=$P$18,U3353,0)</t>
  </si>
  <si>
    <t>=IF(AND($M3353&gt;=$Q$16,$M3353&lt;=$Q$18),U3353,0)</t>
  </si>
  <si>
    <t>=IF(AND($M3353&gt;=$R$16,$M3353&lt;=$R$18),U3353,0)</t>
  </si>
  <si>
    <t>=IF(AND($M3353&gt;=$S$16,$M3353&lt;=$S$18),U3353,0)</t>
  </si>
  <si>
    <t>=IF($M3353&lt;=$T$18,U3353,0)</t>
  </si>
  <si>
    <t>="""NAV Direct"",""CRONUS JetCorp USA"",""21"",""1"",""309693"""</t>
  </si>
  <si>
    <t>=E3352</t>
  </si>
  <si>
    <t>=StartDate-$M3354+1</t>
  </si>
  <si>
    <t>=SUM(P3354:T3354)</t>
  </si>
  <si>
    <t>=IF($M3354&gt;=$P$18,U3354,0)</t>
  </si>
  <si>
    <t>=IF(AND($M3354&gt;=$Q$16,$M3354&lt;=$Q$18),U3354,0)</t>
  </si>
  <si>
    <t>=IF(AND($M3354&gt;=$R$16,$M3354&lt;=$R$18),U3354,0)</t>
  </si>
  <si>
    <t>=IF(AND($M3354&gt;=$S$16,$M3354&lt;=$S$18),U3354,0)</t>
  </si>
  <si>
    <t>=IF($M3354&lt;=$T$18,U3354,0)</t>
  </si>
  <si>
    <t>="""NAV Direct"",""CRONUS JetCorp USA"",""21"",""1"",""309743"""</t>
  </si>
  <si>
    <t>=E3353</t>
  </si>
  <si>
    <t>=StartDate-$M3355+1</t>
  </si>
  <si>
    <t>=SUM(P3355:T3355)</t>
  </si>
  <si>
    <t>=IF($M3355&gt;=$P$18,U3355,0)</t>
  </si>
  <si>
    <t>=IF(AND($M3355&gt;=$Q$16,$M3355&lt;=$Q$18),U3355,0)</t>
  </si>
  <si>
    <t>=IF(AND($M3355&gt;=$R$16,$M3355&lt;=$R$18),U3355,0)</t>
  </si>
  <si>
    <t>=IF(AND($M3355&gt;=$S$16,$M3355&lt;=$S$18),U3355,0)</t>
  </si>
  <si>
    <t>=IF($M3355&lt;=$T$18,U3355,0)</t>
  </si>
  <si>
    <t>="""NAV Direct"",""CRONUS JetCorp USA"",""21"",""1"",""309774"""</t>
  </si>
  <si>
    <t>=E3354</t>
  </si>
  <si>
    <t>=StartDate-$M3356+1</t>
  </si>
  <si>
    <t>=SUM(P3356:T3356)</t>
  </si>
  <si>
    <t>=IF($M3356&gt;=$P$18,U3356,0)</t>
  </si>
  <si>
    <t>=IF(AND($M3356&gt;=$Q$16,$M3356&lt;=$Q$18),U3356,0)</t>
  </si>
  <si>
    <t>=IF(AND($M3356&gt;=$R$16,$M3356&lt;=$R$18),U3356,0)</t>
  </si>
  <si>
    <t>=IF(AND($M3356&gt;=$S$16,$M3356&lt;=$S$18),U3356,0)</t>
  </si>
  <si>
    <t>=IF($M3356&lt;=$T$18,U3356,0)</t>
  </si>
  <si>
    <t>="""NAV Direct"",""CRONUS JetCorp USA"",""21"",""1"",""309799"""</t>
  </si>
  <si>
    <t>=E3355</t>
  </si>
  <si>
    <t>=StartDate-$M3357+1</t>
  </si>
  <si>
    <t>=SUM(P3357:T3357)</t>
  </si>
  <si>
    <t>=IF($M3357&gt;=$P$18,U3357,0)</t>
  </si>
  <si>
    <t>=IF(AND($M3357&gt;=$Q$16,$M3357&lt;=$Q$18),U3357,0)</t>
  </si>
  <si>
    <t>=IF(AND($M3357&gt;=$R$16,$M3357&lt;=$R$18),U3357,0)</t>
  </si>
  <si>
    <t>=IF(AND($M3357&gt;=$S$16,$M3357&lt;=$S$18),U3357,0)</t>
  </si>
  <si>
    <t>=IF($M3357&lt;=$T$18,U3357,0)</t>
  </si>
  <si>
    <t>="""NAV Direct"",""CRONUS JetCorp USA"",""21"",""1"",""309947"""</t>
  </si>
  <si>
    <t>=E3356</t>
  </si>
  <si>
    <t>=StartDate-$M3358+1</t>
  </si>
  <si>
    <t>=SUM(P3358:T3358)</t>
  </si>
  <si>
    <t>=IF($M3358&gt;=$P$18,U3358,0)</t>
  </si>
  <si>
    <t>=IF(AND($M3358&gt;=$Q$16,$M3358&lt;=$Q$18),U3358,0)</t>
  </si>
  <si>
    <t>=IF(AND($M3358&gt;=$R$16,$M3358&lt;=$R$18),U3358,0)</t>
  </si>
  <si>
    <t>=IF(AND($M3358&gt;=$S$16,$M3358&lt;=$S$18),U3358,0)</t>
  </si>
  <si>
    <t>=IF($M3358&lt;=$T$18,U3358,0)</t>
  </si>
  <si>
    <t>="""NAV Direct"",""CRONUS JetCorp USA"",""21"",""1"",""310128"""</t>
  </si>
  <si>
    <t>=E3357</t>
  </si>
  <si>
    <t>=StartDate-$M3359+1</t>
  </si>
  <si>
    <t>=SUM(P3359:T3359)</t>
  </si>
  <si>
    <t>=IF($M3359&gt;=$P$18,U3359,0)</t>
  </si>
  <si>
    <t>=IF(AND($M3359&gt;=$Q$16,$M3359&lt;=$Q$18),U3359,0)</t>
  </si>
  <si>
    <t>=IF(AND($M3359&gt;=$R$16,$M3359&lt;=$R$18),U3359,0)</t>
  </si>
  <si>
    <t>=IF(AND($M3359&gt;=$S$16,$M3359&lt;=$S$18),U3359,0)</t>
  </si>
  <si>
    <t>=IF($M3359&lt;=$T$18,U3359,0)</t>
  </si>
  <si>
    <t>="""NAV Direct"",""CRONUS JetCorp USA"",""21"",""1"",""310153"""</t>
  </si>
  <si>
    <t>=E3358</t>
  </si>
  <si>
    <t>=StartDate-$M3360+1</t>
  </si>
  <si>
    <t>=SUM(P3360:T3360)</t>
  </si>
  <si>
    <t>=IF($M3360&gt;=$P$18,U3360,0)</t>
  </si>
  <si>
    <t>=IF(AND($M3360&gt;=$Q$16,$M3360&lt;=$Q$18),U3360,0)</t>
  </si>
  <si>
    <t>=IF(AND($M3360&gt;=$R$16,$M3360&lt;=$R$18),U3360,0)</t>
  </si>
  <si>
    <t>=IF(AND($M3360&gt;=$S$16,$M3360&lt;=$S$18),U3360,0)</t>
  </si>
  <si>
    <t>=IF($M3360&lt;=$T$18,U3360,0)</t>
  </si>
  <si>
    <t>="""NAV Direct"",""CRONUS JetCorp USA"",""21"",""1"",""310199"""</t>
  </si>
  <si>
    <t>=E3359</t>
  </si>
  <si>
    <t>=StartDate-$M3361+1</t>
  </si>
  <si>
    <t>=SUM(P3361:T3361)</t>
  </si>
  <si>
    <t>=IF($M3361&gt;=$P$18,U3361,0)</t>
  </si>
  <si>
    <t>=IF(AND($M3361&gt;=$Q$16,$M3361&lt;=$Q$18),U3361,0)</t>
  </si>
  <si>
    <t>=IF(AND($M3361&gt;=$R$16,$M3361&lt;=$R$18),U3361,0)</t>
  </si>
  <si>
    <t>=IF(AND($M3361&gt;=$S$16,$M3361&lt;=$S$18),U3361,0)</t>
  </si>
  <si>
    <t>=IF($M3361&lt;=$T$18,U3361,0)</t>
  </si>
  <si>
    <t>="""NAV Direct"",""CRONUS JetCorp USA"",""21"",""1"",""310280"""</t>
  </si>
  <si>
    <t>=E3360</t>
  </si>
  <si>
    <t>=StartDate-$M3362+1</t>
  </si>
  <si>
    <t>=SUM(P3362:T3362)</t>
  </si>
  <si>
    <t>=IF($M3362&gt;=$P$18,U3362,0)</t>
  </si>
  <si>
    <t>=IF(AND($M3362&gt;=$Q$16,$M3362&lt;=$Q$18),U3362,0)</t>
  </si>
  <si>
    <t>=IF(AND($M3362&gt;=$R$16,$M3362&lt;=$R$18),U3362,0)</t>
  </si>
  <si>
    <t>=IF(AND($M3362&gt;=$S$16,$M3362&lt;=$S$18),U3362,0)</t>
  </si>
  <si>
    <t>=IF($M3362&lt;=$T$18,U3362,0)</t>
  </si>
  <si>
    <t>="""NAV Direct"",""CRONUS JetCorp USA"",""21"",""1"",""310430"""</t>
  </si>
  <si>
    <t>=E3361</t>
  </si>
  <si>
    <t>=StartDate-$M3363+1</t>
  </si>
  <si>
    <t>=SUM(P3363:T3363)</t>
  </si>
  <si>
    <t>=IF($M3363&gt;=$P$18,U3363,0)</t>
  </si>
  <si>
    <t>=IF(AND($M3363&gt;=$Q$16,$M3363&lt;=$Q$18),U3363,0)</t>
  </si>
  <si>
    <t>=IF(AND($M3363&gt;=$R$16,$M3363&lt;=$R$18),U3363,0)</t>
  </si>
  <si>
    <t>=IF(AND($M3363&gt;=$S$16,$M3363&lt;=$S$18),U3363,0)</t>
  </si>
  <si>
    <t>=IF($M3363&lt;=$T$18,U3363,0)</t>
  </si>
  <si>
    <t>="""NAV Direct"",""CRONUS JetCorp USA"",""21"",""1"",""310683"""</t>
  </si>
  <si>
    <t>=E3362</t>
  </si>
  <si>
    <t>=StartDate-$M3364+1</t>
  </si>
  <si>
    <t>=SUM(P3364:T3364)</t>
  </si>
  <si>
    <t>=IF($M3364&gt;=$P$18,U3364,0)</t>
  </si>
  <si>
    <t>=IF(AND($M3364&gt;=$Q$16,$M3364&lt;=$Q$18),U3364,0)</t>
  </si>
  <si>
    <t>=IF(AND($M3364&gt;=$R$16,$M3364&lt;=$R$18),U3364,0)</t>
  </si>
  <si>
    <t>=IF(AND($M3364&gt;=$S$16,$M3364&lt;=$S$18),U3364,0)</t>
  </si>
  <si>
    <t>=IF($M3364&lt;=$T$18,U3364,0)</t>
  </si>
  <si>
    <t>="""NAV Direct"",""CRONUS JetCorp USA"",""21"",""1"",""310913"""</t>
  </si>
  <si>
    <t>=E3363</t>
  </si>
  <si>
    <t>=StartDate-$M3365+1</t>
  </si>
  <si>
    <t>=SUM(P3365:T3365)</t>
  </si>
  <si>
    <t>=IF($M3365&gt;=$P$18,U3365,0)</t>
  </si>
  <si>
    <t>=IF(AND($M3365&gt;=$Q$16,$M3365&lt;=$Q$18),U3365,0)</t>
  </si>
  <si>
    <t>=IF(AND($M3365&gt;=$R$16,$M3365&lt;=$R$18),U3365,0)</t>
  </si>
  <si>
    <t>=IF(AND($M3365&gt;=$S$16,$M3365&lt;=$S$18),U3365,0)</t>
  </si>
  <si>
    <t>=IF($M3365&lt;=$T$18,U3365,0)</t>
  </si>
  <si>
    <t>="""NAV Direct"",""CRONUS JetCorp USA"",""21"",""1"",""310944"""</t>
  </si>
  <si>
    <t>=E3364</t>
  </si>
  <si>
    <t>=StartDate-$M3366+1</t>
  </si>
  <si>
    <t>=SUM(P3366:T3366)</t>
  </si>
  <si>
    <t>=IF($M3366&gt;=$P$18,U3366,0)</t>
  </si>
  <si>
    <t>=IF(AND($M3366&gt;=$Q$16,$M3366&lt;=$Q$18),U3366,0)</t>
  </si>
  <si>
    <t>=IF(AND($M3366&gt;=$R$16,$M3366&lt;=$R$18),U3366,0)</t>
  </si>
  <si>
    <t>=IF(AND($M3366&gt;=$S$16,$M3366&lt;=$S$18),U3366,0)</t>
  </si>
  <si>
    <t>=IF($M3366&lt;=$T$18,U3366,0)</t>
  </si>
  <si>
    <t>="""NAV Direct"",""CRONUS JetCorp USA"",""21"",""1"",""310967"""</t>
  </si>
  <si>
    <t>=E3365</t>
  </si>
  <si>
    <t>=StartDate-$M3367+1</t>
  </si>
  <si>
    <t>=SUM(P3367:T3367)</t>
  </si>
  <si>
    <t>=IF($M3367&gt;=$P$18,U3367,0)</t>
  </si>
  <si>
    <t>=IF(AND($M3367&gt;=$Q$16,$M3367&lt;=$Q$18),U3367,0)</t>
  </si>
  <si>
    <t>=IF(AND($M3367&gt;=$R$16,$M3367&lt;=$R$18),U3367,0)</t>
  </si>
  <si>
    <t>=IF(AND($M3367&gt;=$S$16,$M3367&lt;=$S$18),U3367,0)</t>
  </si>
  <si>
    <t>=IF($M3367&lt;=$T$18,U3367,0)</t>
  </si>
  <si>
    <t>="""NAV Direct"",""CRONUS JetCorp USA"",""21"",""1"",""311050"""</t>
  </si>
  <si>
    <t>=E3366</t>
  </si>
  <si>
    <t>=StartDate-$M3368+1</t>
  </si>
  <si>
    <t>=SUM(P3368:T3368)</t>
  </si>
  <si>
    <t>=IF($M3368&gt;=$P$18,U3368,0)</t>
  </si>
  <si>
    <t>=IF(AND($M3368&gt;=$Q$16,$M3368&lt;=$Q$18),U3368,0)</t>
  </si>
  <si>
    <t>=IF(AND($M3368&gt;=$R$16,$M3368&lt;=$R$18),U3368,0)</t>
  </si>
  <si>
    <t>=IF(AND($M3368&gt;=$S$16,$M3368&lt;=$S$18),U3368,0)</t>
  </si>
  <si>
    <t>=IF($M3368&lt;=$T$18,U3368,0)</t>
  </si>
  <si>
    <t>="""NAV Direct"",""CRONUS JetCorp USA"",""21"",""1"",""311102"""</t>
  </si>
  <si>
    <t>=E3367</t>
  </si>
  <si>
    <t>=StartDate-$M3369+1</t>
  </si>
  <si>
    <t>=SUM(P3369:T3369)</t>
  </si>
  <si>
    <t>=IF($M3369&gt;=$P$18,U3369,0)</t>
  </si>
  <si>
    <t>=IF(AND($M3369&gt;=$Q$16,$M3369&lt;=$Q$18),U3369,0)</t>
  </si>
  <si>
    <t>=IF(AND($M3369&gt;=$R$16,$M3369&lt;=$R$18),U3369,0)</t>
  </si>
  <si>
    <t>=IF(AND($M3369&gt;=$S$16,$M3369&lt;=$S$18),U3369,0)</t>
  </si>
  <si>
    <t>=IF($M3369&lt;=$T$18,U3369,0)</t>
  </si>
  <si>
    <t>="""NAV Direct"",""CRONUS JetCorp USA"",""21"",""1"",""311154"""</t>
  </si>
  <si>
    <t>=E3368</t>
  </si>
  <si>
    <t>=StartDate-$M3370+1</t>
  </si>
  <si>
    <t>=SUM(P3370:T3370)</t>
  </si>
  <si>
    <t>=IF($M3370&gt;=$P$18,U3370,0)</t>
  </si>
  <si>
    <t>=IF(AND($M3370&gt;=$Q$16,$M3370&lt;=$Q$18),U3370,0)</t>
  </si>
  <si>
    <t>=IF(AND($M3370&gt;=$R$16,$M3370&lt;=$R$18),U3370,0)</t>
  </si>
  <si>
    <t>=IF(AND($M3370&gt;=$S$16,$M3370&lt;=$S$18),U3370,0)</t>
  </si>
  <si>
    <t>=IF($M3370&lt;=$T$18,U3370,0)</t>
  </si>
  <si>
    <t>="""NAV Direct"",""CRONUS JetCorp USA"",""21"",""1"",""311183"""</t>
  </si>
  <si>
    <t>=E3369</t>
  </si>
  <si>
    <t>=StartDate-$M3371+1</t>
  </si>
  <si>
    <t>=SUM(P3371:T3371)</t>
  </si>
  <si>
    <t>=IF($M3371&gt;=$P$18,U3371,0)</t>
  </si>
  <si>
    <t>=IF(AND($M3371&gt;=$Q$16,$M3371&lt;=$Q$18),U3371,0)</t>
  </si>
  <si>
    <t>=IF(AND($M3371&gt;=$R$16,$M3371&lt;=$R$18),U3371,0)</t>
  </si>
  <si>
    <t>=IF(AND($M3371&gt;=$S$16,$M3371&lt;=$S$18),U3371,0)</t>
  </si>
  <si>
    <t>=IF($M3371&lt;=$T$18,U3371,0)</t>
  </si>
  <si>
    <t>="""NAV Direct"",""CRONUS JetCorp USA"",""21"",""1"",""311208"""</t>
  </si>
  <si>
    <t>=E3370</t>
  </si>
  <si>
    <t>=StartDate-$M3372+1</t>
  </si>
  <si>
    <t>=SUM(P3372:T3372)</t>
  </si>
  <si>
    <t>=IF($M3372&gt;=$P$18,U3372,0)</t>
  </si>
  <si>
    <t>=IF(AND($M3372&gt;=$Q$16,$M3372&lt;=$Q$18),U3372,0)</t>
  </si>
  <si>
    <t>=IF(AND($M3372&gt;=$R$16,$M3372&lt;=$R$18),U3372,0)</t>
  </si>
  <si>
    <t>=IF(AND($M3372&gt;=$S$16,$M3372&lt;=$S$18),U3372,0)</t>
  </si>
  <si>
    <t>=IF($M3372&lt;=$T$18,U3372,0)</t>
  </si>
  <si>
    <t>="""NAV Direct"",""CRONUS JetCorp USA"",""21"",""1"",""311237"""</t>
  </si>
  <si>
    <t>=E3371</t>
  </si>
  <si>
    <t>=StartDate-$M3373+1</t>
  </si>
  <si>
    <t>=SUM(P3373:T3373)</t>
  </si>
  <si>
    <t>=IF($M3373&gt;=$P$18,U3373,0)</t>
  </si>
  <si>
    <t>=IF(AND($M3373&gt;=$Q$16,$M3373&lt;=$Q$18),U3373,0)</t>
  </si>
  <si>
    <t>=IF(AND($M3373&gt;=$R$16,$M3373&lt;=$R$18),U3373,0)</t>
  </si>
  <si>
    <t>=IF(AND($M3373&gt;=$S$16,$M3373&lt;=$S$18),U3373,0)</t>
  </si>
  <si>
    <t>=IF($M3373&lt;=$T$18,U3373,0)</t>
  </si>
  <si>
    <t>="""NAV Direct"",""CRONUS JetCorp USA"",""21"",""1"",""311268"""</t>
  </si>
  <si>
    <t>=E3372</t>
  </si>
  <si>
    <t>=StartDate-$M3374+1</t>
  </si>
  <si>
    <t>=SUM(P3374:T3374)</t>
  </si>
  <si>
    <t>=IF($M3374&gt;=$P$18,U3374,0)</t>
  </si>
  <si>
    <t>=IF(AND($M3374&gt;=$Q$16,$M3374&lt;=$Q$18),U3374,0)</t>
  </si>
  <si>
    <t>=IF(AND($M3374&gt;=$R$16,$M3374&lt;=$R$18),U3374,0)</t>
  </si>
  <si>
    <t>=IF(AND($M3374&gt;=$S$16,$M3374&lt;=$S$18),U3374,0)</t>
  </si>
  <si>
    <t>=IF($M3374&lt;=$T$18,U3374,0)</t>
  </si>
  <si>
    <t>="""NAV Direct"",""CRONUS JetCorp USA"",""21"",""1"",""311291"""</t>
  </si>
  <si>
    <t>=E3373</t>
  </si>
  <si>
    <t>=StartDate-$M3375+1</t>
  </si>
  <si>
    <t>=SUM(P3375:T3375)</t>
  </si>
  <si>
    <t>=IF($M3375&gt;=$P$18,U3375,0)</t>
  </si>
  <si>
    <t>=IF(AND($M3375&gt;=$Q$16,$M3375&lt;=$Q$18),U3375,0)</t>
  </si>
  <si>
    <t>=IF(AND($M3375&gt;=$R$16,$M3375&lt;=$R$18),U3375,0)</t>
  </si>
  <si>
    <t>=IF(AND($M3375&gt;=$S$16,$M3375&lt;=$S$18),U3375,0)</t>
  </si>
  <si>
    <t>=IF($M3375&lt;=$T$18,U3375,0)</t>
  </si>
  <si>
    <t>="""NAV Direct"",""CRONUS JetCorp USA"",""21"",""1"",""311320"""</t>
  </si>
  <si>
    <t>=E3374</t>
  </si>
  <si>
    <t>=StartDate-$M3376+1</t>
  </si>
  <si>
    <t>=SUM(P3376:T3376)</t>
  </si>
  <si>
    <t>=IF($M3376&gt;=$P$18,U3376,0)</t>
  </si>
  <si>
    <t>=IF(AND($M3376&gt;=$Q$16,$M3376&lt;=$Q$18),U3376,0)</t>
  </si>
  <si>
    <t>=IF(AND($M3376&gt;=$R$16,$M3376&lt;=$R$18),U3376,0)</t>
  </si>
  <si>
    <t>=IF(AND($M3376&gt;=$S$16,$M3376&lt;=$S$18),U3376,0)</t>
  </si>
  <si>
    <t>=IF($M3376&lt;=$T$18,U3376,0)</t>
  </si>
  <si>
    <t>="""NAV Direct"",""CRONUS JetCorp USA"",""21"",""1"",""311455"""</t>
  </si>
  <si>
    <t>=E3375</t>
  </si>
  <si>
    <t>=StartDate-$M3377+1</t>
  </si>
  <si>
    <t>=SUM(P3377:T3377)</t>
  </si>
  <si>
    <t>=IF($M3377&gt;=$P$18,U3377,0)</t>
  </si>
  <si>
    <t>=IF(AND($M3377&gt;=$Q$16,$M3377&lt;=$Q$18),U3377,0)</t>
  </si>
  <si>
    <t>=IF(AND($M3377&gt;=$R$16,$M3377&lt;=$R$18),U3377,0)</t>
  </si>
  <si>
    <t>=IF(AND($M3377&gt;=$S$16,$M3377&lt;=$S$18),U3377,0)</t>
  </si>
  <si>
    <t>=IF($M3377&lt;=$T$18,U3377,0)</t>
  </si>
  <si>
    <t>="""NAV Direct"",""CRONUS JetCorp USA"",""21"",""1"",""311478"""</t>
  </si>
  <si>
    <t>=E3376</t>
  </si>
  <si>
    <t>=StartDate-$M3378+1</t>
  </si>
  <si>
    <t>=SUM(P3378:T3378)</t>
  </si>
  <si>
    <t>=IF($M3378&gt;=$P$18,U3378,0)</t>
  </si>
  <si>
    <t>=IF(AND($M3378&gt;=$Q$16,$M3378&lt;=$Q$18),U3378,0)</t>
  </si>
  <si>
    <t>=IF(AND($M3378&gt;=$R$16,$M3378&lt;=$R$18),U3378,0)</t>
  </si>
  <si>
    <t>=IF(AND($M3378&gt;=$S$16,$M3378&lt;=$S$18),U3378,0)</t>
  </si>
  <si>
    <t>=IF($M3378&lt;=$T$18,U3378,0)</t>
  </si>
  <si>
    <t>="""NAV Direct"",""CRONUS JetCorp USA"",""21"",""1"",""311606"""</t>
  </si>
  <si>
    <t>=E3377</t>
  </si>
  <si>
    <t>=StartDate-$M3379+1</t>
  </si>
  <si>
    <t>=SUM(P3379:T3379)</t>
  </si>
  <si>
    <t>=IF($M3379&gt;=$P$18,U3379,0)</t>
  </si>
  <si>
    <t>=IF(AND($M3379&gt;=$Q$16,$M3379&lt;=$Q$18),U3379,0)</t>
  </si>
  <si>
    <t>=IF(AND($M3379&gt;=$R$16,$M3379&lt;=$R$18),U3379,0)</t>
  </si>
  <si>
    <t>=IF(AND($M3379&gt;=$S$16,$M3379&lt;=$S$18),U3379,0)</t>
  </si>
  <si>
    <t>=IF($M3379&lt;=$T$18,U3379,0)</t>
  </si>
  <si>
    <t>="""NAV Direct"",""CRONUS JetCorp USA"",""21"",""1"",""311631"""</t>
  </si>
  <si>
    <t>=E3378</t>
  </si>
  <si>
    <t>=StartDate-$M3380+1</t>
  </si>
  <si>
    <t>=SUM(P3380:T3380)</t>
  </si>
  <si>
    <t>=IF($M3380&gt;=$P$18,U3380,0)</t>
  </si>
  <si>
    <t>=IF(AND($M3380&gt;=$Q$16,$M3380&lt;=$Q$18),U3380,0)</t>
  </si>
  <si>
    <t>=IF(AND($M3380&gt;=$R$16,$M3380&lt;=$R$18),U3380,0)</t>
  </si>
  <si>
    <t>=IF(AND($M3380&gt;=$S$16,$M3380&lt;=$S$18),U3380,0)</t>
  </si>
  <si>
    <t>=IF($M3380&lt;=$T$18,U3380,0)</t>
  </si>
  <si>
    <t>="""NAV Direct"",""CRONUS JetCorp USA"",""21"",""1"",""311714"""</t>
  </si>
  <si>
    <t>=E3379</t>
  </si>
  <si>
    <t>=StartDate-$M3381+1</t>
  </si>
  <si>
    <t>=SUM(P3381:T3381)</t>
  </si>
  <si>
    <t>=IF($M3381&gt;=$P$18,U3381,0)</t>
  </si>
  <si>
    <t>=IF(AND($M3381&gt;=$Q$16,$M3381&lt;=$Q$18),U3381,0)</t>
  </si>
  <si>
    <t>=IF(AND($M3381&gt;=$R$16,$M3381&lt;=$R$18),U3381,0)</t>
  </si>
  <si>
    <t>=IF(AND($M3381&gt;=$S$16,$M3381&lt;=$S$18),U3381,0)</t>
  </si>
  <si>
    <t>=IF($M3381&lt;=$T$18,U3381,0)</t>
  </si>
  <si>
    <t>="""NAV Direct"",""CRONUS JetCorp USA"",""21"",""1"",""311772"""</t>
  </si>
  <si>
    <t>=E3380</t>
  </si>
  <si>
    <t>=StartDate-$M3382+1</t>
  </si>
  <si>
    <t>=SUM(P3382:T3382)</t>
  </si>
  <si>
    <t>=IF($M3382&gt;=$P$18,U3382,0)</t>
  </si>
  <si>
    <t>=IF(AND($M3382&gt;=$Q$16,$M3382&lt;=$Q$18),U3382,0)</t>
  </si>
  <si>
    <t>=IF(AND($M3382&gt;=$R$16,$M3382&lt;=$R$18),U3382,0)</t>
  </si>
  <si>
    <t>=IF(AND($M3382&gt;=$S$16,$M3382&lt;=$S$18),U3382,0)</t>
  </si>
  <si>
    <t>=IF($M3382&lt;=$T$18,U3382,0)</t>
  </si>
  <si>
    <t>="""NAV Direct"",""CRONUS JetCorp USA"",""21"",""1"",""311878"""</t>
  </si>
  <si>
    <t>=E3381</t>
  </si>
  <si>
    <t>=StartDate-$M3383+1</t>
  </si>
  <si>
    <t>=SUM(P3383:T3383)</t>
  </si>
  <si>
    <t>=IF($M3383&gt;=$P$18,U3383,0)</t>
  </si>
  <si>
    <t>=IF(AND($M3383&gt;=$Q$16,$M3383&lt;=$Q$18),U3383,0)</t>
  </si>
  <si>
    <t>=IF(AND($M3383&gt;=$R$16,$M3383&lt;=$R$18),U3383,0)</t>
  </si>
  <si>
    <t>=IF(AND($M3383&gt;=$S$16,$M3383&lt;=$S$18),U3383,0)</t>
  </si>
  <si>
    <t>=IF($M3383&lt;=$T$18,U3383,0)</t>
  </si>
  <si>
    <t>="""NAV Direct"",""CRONUS JetCorp USA"",""21"",""1"",""311957"""</t>
  </si>
  <si>
    <t>=E3382</t>
  </si>
  <si>
    <t>=StartDate-$M3384+1</t>
  </si>
  <si>
    <t>=SUM(P3384:T3384)</t>
  </si>
  <si>
    <t>=IF($M3384&gt;=$P$18,U3384,0)</t>
  </si>
  <si>
    <t>=IF(AND($M3384&gt;=$Q$16,$M3384&lt;=$Q$18),U3384,0)</t>
  </si>
  <si>
    <t>=IF(AND($M3384&gt;=$R$16,$M3384&lt;=$R$18),U3384,0)</t>
  </si>
  <si>
    <t>=IF(AND($M3384&gt;=$S$16,$M3384&lt;=$S$18),U3384,0)</t>
  </si>
  <si>
    <t>=IF($M3384&lt;=$T$18,U3384,0)</t>
  </si>
  <si>
    <t>="""NAV Direct"",""CRONUS JetCorp USA"",""21"",""1"",""312003"""</t>
  </si>
  <si>
    <t>=E3383</t>
  </si>
  <si>
    <t>=StartDate-$M3385+1</t>
  </si>
  <si>
    <t>=SUM(P3385:T3385)</t>
  </si>
  <si>
    <t>=IF($M3385&gt;=$P$18,U3385,0)</t>
  </si>
  <si>
    <t>=IF(AND($M3385&gt;=$Q$16,$M3385&lt;=$Q$18),U3385,0)</t>
  </si>
  <si>
    <t>=IF(AND($M3385&gt;=$R$16,$M3385&lt;=$R$18),U3385,0)</t>
  </si>
  <si>
    <t>=IF(AND($M3385&gt;=$S$16,$M3385&lt;=$S$18),U3385,0)</t>
  </si>
  <si>
    <t>=IF($M3385&lt;=$T$18,U3385,0)</t>
  </si>
  <si>
    <t>="""NAV Direct"",""CRONUS JetCorp USA"",""21"",""1"",""312101"""</t>
  </si>
  <si>
    <t>=E3384</t>
  </si>
  <si>
    <t>=StartDate-$M3386+1</t>
  </si>
  <si>
    <t>=SUM(P3386:T3386)</t>
  </si>
  <si>
    <t>=IF($M3386&gt;=$P$18,U3386,0)</t>
  </si>
  <si>
    <t>=IF(AND($M3386&gt;=$Q$16,$M3386&lt;=$Q$18),U3386,0)</t>
  </si>
  <si>
    <t>=IF(AND($M3386&gt;=$R$16,$M3386&lt;=$R$18),U3386,0)</t>
  </si>
  <si>
    <t>=IF(AND($M3386&gt;=$S$16,$M3386&lt;=$S$18),U3386,0)</t>
  </si>
  <si>
    <t>=IF($M3386&lt;=$T$18,U3386,0)</t>
  </si>
  <si>
    <t>="""NAV Direct"",""CRONUS JetCorp USA"",""21"",""1"",""312167"""</t>
  </si>
  <si>
    <t>=E3385</t>
  </si>
  <si>
    <t>=StartDate-$M3387+1</t>
  </si>
  <si>
    <t>=SUM(P3387:T3387)</t>
  </si>
  <si>
    <t>=IF($M3387&gt;=$P$18,U3387,0)</t>
  </si>
  <si>
    <t>=IF(AND($M3387&gt;=$Q$16,$M3387&lt;=$Q$18),U3387,0)</t>
  </si>
  <si>
    <t>=IF(AND($M3387&gt;=$R$16,$M3387&lt;=$R$18),U3387,0)</t>
  </si>
  <si>
    <t>=IF(AND($M3387&gt;=$S$16,$M3387&lt;=$S$18),U3387,0)</t>
  </si>
  <si>
    <t>=IF($M3387&lt;=$T$18,U3387,0)</t>
  </si>
  <si>
    <t>="""NAV Direct"",""CRONUS JetCorp USA"",""21"",""1"",""312192"""</t>
  </si>
  <si>
    <t>=E3386</t>
  </si>
  <si>
    <t>=StartDate-$M3388+1</t>
  </si>
  <si>
    <t>=SUM(P3388:T3388)</t>
  </si>
  <si>
    <t>=IF($M3388&gt;=$P$18,U3388,0)</t>
  </si>
  <si>
    <t>=IF(AND($M3388&gt;=$Q$16,$M3388&lt;=$Q$18),U3388,0)</t>
  </si>
  <si>
    <t>=IF(AND($M3388&gt;=$R$16,$M3388&lt;=$R$18),U3388,0)</t>
  </si>
  <si>
    <t>=IF(AND($M3388&gt;=$S$16,$M3388&lt;=$S$18),U3388,0)</t>
  </si>
  <si>
    <t>=IF($M3388&lt;=$T$18,U3388,0)</t>
  </si>
  <si>
    <t>="""NAV Direct"",""CRONUS JetCorp USA"",""21"",""1"",""312399"""</t>
  </si>
  <si>
    <t>=E3387</t>
  </si>
  <si>
    <t>=StartDate-$M3389+1</t>
  </si>
  <si>
    <t>=SUM(P3389:T3389)</t>
  </si>
  <si>
    <t>=IF($M3389&gt;=$P$18,U3389,0)</t>
  </si>
  <si>
    <t>=IF(AND($M3389&gt;=$Q$16,$M3389&lt;=$Q$18),U3389,0)</t>
  </si>
  <si>
    <t>=IF(AND($M3389&gt;=$R$16,$M3389&lt;=$R$18),U3389,0)</t>
  </si>
  <si>
    <t>=IF(AND($M3389&gt;=$S$16,$M3389&lt;=$S$18),U3389,0)</t>
  </si>
  <si>
    <t>=IF($M3389&lt;=$T$18,U3389,0)</t>
  </si>
  <si>
    <t>="""NAV Direct"",""CRONUS JetCorp USA"",""21"",""1"",""312426"""</t>
  </si>
  <si>
    <t>=E3388</t>
  </si>
  <si>
    <t>=StartDate-$M3390+1</t>
  </si>
  <si>
    <t>=SUM(P3390:T3390)</t>
  </si>
  <si>
    <t>=IF($M3390&gt;=$P$18,U3390,0)</t>
  </si>
  <si>
    <t>=IF(AND($M3390&gt;=$Q$16,$M3390&lt;=$Q$18),U3390,0)</t>
  </si>
  <si>
    <t>=IF(AND($M3390&gt;=$R$16,$M3390&lt;=$R$18),U3390,0)</t>
  </si>
  <si>
    <t>=IF(AND($M3390&gt;=$S$16,$M3390&lt;=$S$18),U3390,0)</t>
  </si>
  <si>
    <t>=IF($M3390&lt;=$T$18,U3390,0)</t>
  </si>
  <si>
    <t>="""NAV Direct"",""CRONUS JetCorp USA"",""21"",""1"",""312492"""</t>
  </si>
  <si>
    <t>=E3389</t>
  </si>
  <si>
    <t>=StartDate-$M3391+1</t>
  </si>
  <si>
    <t>=SUM(P3391:T3391)</t>
  </si>
  <si>
    <t>=IF($M3391&gt;=$P$18,U3391,0)</t>
  </si>
  <si>
    <t>=IF(AND($M3391&gt;=$Q$16,$M3391&lt;=$Q$18),U3391,0)</t>
  </si>
  <si>
    <t>=IF(AND($M3391&gt;=$R$16,$M3391&lt;=$R$18),U3391,0)</t>
  </si>
  <si>
    <t>=IF(AND($M3391&gt;=$S$16,$M3391&lt;=$S$18),U3391,0)</t>
  </si>
  <si>
    <t>=IF($M3391&lt;=$T$18,U3391,0)</t>
  </si>
  <si>
    <t>="""NAV Direct"",""CRONUS JetCorp USA"",""21"",""1"",""312637"""</t>
  </si>
  <si>
    <t>=E3390</t>
  </si>
  <si>
    <t>=StartDate-$M3392+1</t>
  </si>
  <si>
    <t>=SUM(P3392:T3392)</t>
  </si>
  <si>
    <t>=IF($M3392&gt;=$P$18,U3392,0)</t>
  </si>
  <si>
    <t>=IF(AND($M3392&gt;=$Q$16,$M3392&lt;=$Q$18),U3392,0)</t>
  </si>
  <si>
    <t>=IF(AND($M3392&gt;=$R$16,$M3392&lt;=$R$18),U3392,0)</t>
  </si>
  <si>
    <t>=IF(AND($M3392&gt;=$S$16,$M3392&lt;=$S$18),U3392,0)</t>
  </si>
  <si>
    <t>=IF($M3392&lt;=$T$18,U3392,0)</t>
  </si>
  <si>
    <t>="""NAV Direct"",""CRONUS JetCorp USA"",""21"",""1"",""312656"""</t>
  </si>
  <si>
    <t>=E3391</t>
  </si>
  <si>
    <t>=StartDate-$M3393+1</t>
  </si>
  <si>
    <t>=SUM(P3393:T3393)</t>
  </si>
  <si>
    <t>=IF($M3393&gt;=$P$18,U3393,0)</t>
  </si>
  <si>
    <t>=IF(AND($M3393&gt;=$Q$16,$M3393&lt;=$Q$18),U3393,0)</t>
  </si>
  <si>
    <t>=IF(AND($M3393&gt;=$R$16,$M3393&lt;=$R$18),U3393,0)</t>
  </si>
  <si>
    <t>=IF(AND($M3393&gt;=$S$16,$M3393&lt;=$S$18),U3393,0)</t>
  </si>
  <si>
    <t>=IF($M3393&lt;=$T$18,U3393,0)</t>
  </si>
  <si>
    <t>="""NAV Direct"",""CRONUS JetCorp USA"",""21"",""1"",""312706"""</t>
  </si>
  <si>
    <t>=E3392</t>
  </si>
  <si>
    <t>=StartDate-$M3394+1</t>
  </si>
  <si>
    <t>=SUM(P3394:T3394)</t>
  </si>
  <si>
    <t>=IF($M3394&gt;=$P$18,U3394,0)</t>
  </si>
  <si>
    <t>=IF(AND($M3394&gt;=$Q$16,$M3394&lt;=$Q$18),U3394,0)</t>
  </si>
  <si>
    <t>=IF(AND($M3394&gt;=$R$16,$M3394&lt;=$R$18),U3394,0)</t>
  </si>
  <si>
    <t>=IF(AND($M3394&gt;=$S$16,$M3394&lt;=$S$18),U3394,0)</t>
  </si>
  <si>
    <t>=IF($M3394&lt;=$T$18,U3394,0)</t>
  </si>
  <si>
    <t>="""NAV Direct"",""CRONUS JetCorp USA"",""21"",""1"",""312764"""</t>
  </si>
  <si>
    <t>=E3393</t>
  </si>
  <si>
    <t>=StartDate-$M3395+1</t>
  </si>
  <si>
    <t>=SUM(P3395:T3395)</t>
  </si>
  <si>
    <t>=IF($M3395&gt;=$P$18,U3395,0)</t>
  </si>
  <si>
    <t>=IF(AND($M3395&gt;=$Q$16,$M3395&lt;=$Q$18),U3395,0)</t>
  </si>
  <si>
    <t>=IF(AND($M3395&gt;=$R$16,$M3395&lt;=$R$18),U3395,0)</t>
  </si>
  <si>
    <t>=IF(AND($M3395&gt;=$S$16,$M3395&lt;=$S$18),U3395,0)</t>
  </si>
  <si>
    <t>=IF($M3395&lt;=$T$18,U3395,0)</t>
  </si>
  <si>
    <t>="""NAV Direct"",""CRONUS JetCorp USA"",""21"",""1"",""312787"""</t>
  </si>
  <si>
    <t>=E3394</t>
  </si>
  <si>
    <t>=StartDate-$M3396+1</t>
  </si>
  <si>
    <t>=SUM(P3396:T3396)</t>
  </si>
  <si>
    <t>=IF($M3396&gt;=$P$18,U3396,0)</t>
  </si>
  <si>
    <t>=IF(AND($M3396&gt;=$Q$16,$M3396&lt;=$Q$18),U3396,0)</t>
  </si>
  <si>
    <t>=IF(AND($M3396&gt;=$R$16,$M3396&lt;=$R$18),U3396,0)</t>
  </si>
  <si>
    <t>=IF(AND($M3396&gt;=$S$16,$M3396&lt;=$S$18),U3396,0)</t>
  </si>
  <si>
    <t>=IF($M3396&lt;=$T$18,U3396,0)</t>
  </si>
  <si>
    <t>="""NAV Direct"",""CRONUS JetCorp USA"",""21"",""1"",""312903"""</t>
  </si>
  <si>
    <t>=E3395</t>
  </si>
  <si>
    <t>=StartDate-$M3397+1</t>
  </si>
  <si>
    <t>=SUM(P3397:T3397)</t>
  </si>
  <si>
    <t>=IF($M3397&gt;=$P$18,U3397,0)</t>
  </si>
  <si>
    <t>=IF(AND($M3397&gt;=$Q$16,$M3397&lt;=$Q$18),U3397,0)</t>
  </si>
  <si>
    <t>=IF(AND($M3397&gt;=$R$16,$M3397&lt;=$R$18),U3397,0)</t>
  </si>
  <si>
    <t>=IF(AND($M3397&gt;=$S$16,$M3397&lt;=$S$18),U3397,0)</t>
  </si>
  <si>
    <t>=IF($M3397&lt;=$T$18,U3397,0)</t>
  </si>
  <si>
    <t>="""NAV Direct"",""CRONUS JetCorp USA"",""21"",""1"",""312934"""</t>
  </si>
  <si>
    <t>=E3396</t>
  </si>
  <si>
    <t>=StartDate-$M3398+1</t>
  </si>
  <si>
    <t>=SUM(P3398:T3398)</t>
  </si>
  <si>
    <t>=IF($M3398&gt;=$P$18,U3398,0)</t>
  </si>
  <si>
    <t>=IF(AND($M3398&gt;=$Q$16,$M3398&lt;=$Q$18),U3398,0)</t>
  </si>
  <si>
    <t>=IF(AND($M3398&gt;=$R$16,$M3398&lt;=$R$18),U3398,0)</t>
  </si>
  <si>
    <t>=IF(AND($M3398&gt;=$S$16,$M3398&lt;=$S$18),U3398,0)</t>
  </si>
  <si>
    <t>=IF($M3398&lt;=$T$18,U3398,0)</t>
  </si>
  <si>
    <t>="""NAV Direct"",""CRONUS JetCorp USA"",""21"",""1"",""312963"""</t>
  </si>
  <si>
    <t>=E3397</t>
  </si>
  <si>
    <t>=StartDate-$M3399+1</t>
  </si>
  <si>
    <t>=SUM(P3399:T3399)</t>
  </si>
  <si>
    <t>=IF($M3399&gt;=$P$18,U3399,0)</t>
  </si>
  <si>
    <t>=IF(AND($M3399&gt;=$Q$16,$M3399&lt;=$Q$18),U3399,0)</t>
  </si>
  <si>
    <t>=IF(AND($M3399&gt;=$R$16,$M3399&lt;=$R$18),U3399,0)</t>
  </si>
  <si>
    <t>=IF(AND($M3399&gt;=$S$16,$M3399&lt;=$S$18),U3399,0)</t>
  </si>
  <si>
    <t>=IF($M3399&lt;=$T$18,U3399,0)</t>
  </si>
  <si>
    <t>="""NAV Direct"",""CRONUS JetCorp USA"",""21"",""1"",""313007"""</t>
  </si>
  <si>
    <t>=E3398</t>
  </si>
  <si>
    <t>=StartDate-$M3400+1</t>
  </si>
  <si>
    <t>=SUM(P3400:T3400)</t>
  </si>
  <si>
    <t>=IF($M3400&gt;=$P$18,U3400,0)</t>
  </si>
  <si>
    <t>=IF(AND($M3400&gt;=$Q$16,$M3400&lt;=$Q$18),U3400,0)</t>
  </si>
  <si>
    <t>=IF(AND($M3400&gt;=$R$16,$M3400&lt;=$R$18),U3400,0)</t>
  </si>
  <si>
    <t>=IF(AND($M3400&gt;=$S$16,$M3400&lt;=$S$18),U3400,0)</t>
  </si>
  <si>
    <t>=IF($M3400&lt;=$T$18,U3400,0)</t>
  </si>
  <si>
    <t>="""NAV Direct"",""CRONUS JetCorp USA"",""21"",""1"",""313038"""</t>
  </si>
  <si>
    <t>=E3399</t>
  </si>
  <si>
    <t>=StartDate-$M3401+1</t>
  </si>
  <si>
    <t>=SUM(P3401:T3401)</t>
  </si>
  <si>
    <t>=IF($M3401&gt;=$P$18,U3401,0)</t>
  </si>
  <si>
    <t>=IF(AND($M3401&gt;=$Q$16,$M3401&lt;=$Q$18),U3401,0)</t>
  </si>
  <si>
    <t>=IF(AND($M3401&gt;=$R$16,$M3401&lt;=$R$18),U3401,0)</t>
  </si>
  <si>
    <t>=IF(AND($M3401&gt;=$S$16,$M3401&lt;=$S$18),U3401,0)</t>
  </si>
  <si>
    <t>=IF($M3401&lt;=$T$18,U3401,0)</t>
  </si>
  <si>
    <t>="""NAV Direct"",""CRONUS JetCorp USA"",""21"",""1"",""313063"""</t>
  </si>
  <si>
    <t>=E3400</t>
  </si>
  <si>
    <t>=StartDate-$M3402+1</t>
  </si>
  <si>
    <t>=SUM(P3402:T3402)</t>
  </si>
  <si>
    <t>=IF($M3402&gt;=$P$18,U3402,0)</t>
  </si>
  <si>
    <t>=IF(AND($M3402&gt;=$Q$16,$M3402&lt;=$Q$18),U3402,0)</t>
  </si>
  <si>
    <t>=IF(AND($M3402&gt;=$R$16,$M3402&lt;=$R$18),U3402,0)</t>
  </si>
  <si>
    <t>=IF(AND($M3402&gt;=$S$16,$M3402&lt;=$S$18),U3402,0)</t>
  </si>
  <si>
    <t>=IF($M3402&lt;=$T$18,U3402,0)</t>
  </si>
  <si>
    <t>="""NAV Direct"",""CRONUS JetCorp USA"",""21"",""1"",""313132"""</t>
  </si>
  <si>
    <t>=E3401</t>
  </si>
  <si>
    <t>=StartDate-$M3403+1</t>
  </si>
  <si>
    <t>=SUM(P3403:T3403)</t>
  </si>
  <si>
    <t>=IF($M3403&gt;=$P$18,U3403,0)</t>
  </si>
  <si>
    <t>=IF(AND($M3403&gt;=$Q$16,$M3403&lt;=$Q$18),U3403,0)</t>
  </si>
  <si>
    <t>=IF(AND($M3403&gt;=$R$16,$M3403&lt;=$R$18),U3403,0)</t>
  </si>
  <si>
    <t>=IF(AND($M3403&gt;=$S$16,$M3403&lt;=$S$18),U3403,0)</t>
  </si>
  <si>
    <t>=IF($M3403&lt;=$T$18,U3403,0)</t>
  </si>
  <si>
    <t>="""NAV Direct"",""CRONUS JetCorp USA"",""21"",""1"",""313157"""</t>
  </si>
  <si>
    <t>=E3402</t>
  </si>
  <si>
    <t>=StartDate-$M3404+1</t>
  </si>
  <si>
    <t>=SUM(P3404:T3404)</t>
  </si>
  <si>
    <t>=IF($M3404&gt;=$P$18,U3404,0)</t>
  </si>
  <si>
    <t>=IF(AND($M3404&gt;=$Q$16,$M3404&lt;=$Q$18),U3404,0)</t>
  </si>
  <si>
    <t>=IF(AND($M3404&gt;=$R$16,$M3404&lt;=$R$18),U3404,0)</t>
  </si>
  <si>
    <t>=IF(AND($M3404&gt;=$S$16,$M3404&lt;=$S$18),U3404,0)</t>
  </si>
  <si>
    <t>=IF($M3404&lt;=$T$18,U3404,0)</t>
  </si>
  <si>
    <t>="""NAV Direct"",""CRONUS JetCorp USA"",""21"",""1"",""313186"""</t>
  </si>
  <si>
    <t>=E3403</t>
  </si>
  <si>
    <t>=StartDate-$M3405+1</t>
  </si>
  <si>
    <t>=SUM(P3405:T3405)</t>
  </si>
  <si>
    <t>=IF($M3405&gt;=$P$18,U3405,0)</t>
  </si>
  <si>
    <t>=IF(AND($M3405&gt;=$Q$16,$M3405&lt;=$Q$18),U3405,0)</t>
  </si>
  <si>
    <t>=IF(AND($M3405&gt;=$R$16,$M3405&lt;=$R$18),U3405,0)</t>
  </si>
  <si>
    <t>=IF(AND($M3405&gt;=$S$16,$M3405&lt;=$S$18),U3405,0)</t>
  </si>
  <si>
    <t>=IF($M3405&lt;=$T$18,U3405,0)</t>
  </si>
  <si>
    <t>="""NAV Direct"",""CRONUS JetCorp USA"",""21"",""1"",""313236"""</t>
  </si>
  <si>
    <t>=E3404</t>
  </si>
  <si>
    <t>=StartDate-$M3406+1</t>
  </si>
  <si>
    <t>=SUM(P3406:T3406)</t>
  </si>
  <si>
    <t>=IF($M3406&gt;=$P$18,U3406,0)</t>
  </si>
  <si>
    <t>=IF(AND($M3406&gt;=$Q$16,$M3406&lt;=$Q$18),U3406,0)</t>
  </si>
  <si>
    <t>=IF(AND($M3406&gt;=$R$16,$M3406&lt;=$R$18),U3406,0)</t>
  </si>
  <si>
    <t>=IF(AND($M3406&gt;=$S$16,$M3406&lt;=$S$18),U3406,0)</t>
  </si>
  <si>
    <t>=IF($M3406&lt;=$T$18,U3406,0)</t>
  </si>
  <si>
    <t>="""NAV Direct"",""CRONUS JetCorp USA"",""21"",""1"",""313267"""</t>
  </si>
  <si>
    <t>=E3405</t>
  </si>
  <si>
    <t>=StartDate-$M3407+1</t>
  </si>
  <si>
    <t>=SUM(P3407:T3407)</t>
  </si>
  <si>
    <t>=IF($M3407&gt;=$P$18,U3407,0)</t>
  </si>
  <si>
    <t>=IF(AND($M3407&gt;=$Q$16,$M3407&lt;=$Q$18),U3407,0)</t>
  </si>
  <si>
    <t>=IF(AND($M3407&gt;=$R$16,$M3407&lt;=$R$18),U3407,0)</t>
  </si>
  <si>
    <t>=IF(AND($M3407&gt;=$S$16,$M3407&lt;=$S$18),U3407,0)</t>
  </si>
  <si>
    <t>=IF($M3407&lt;=$T$18,U3407,0)</t>
  </si>
  <si>
    <t>="""NAV Direct"",""CRONUS JetCorp USA"",""21"",""1"",""313325"""</t>
  </si>
  <si>
    <t>=E3406</t>
  </si>
  <si>
    <t>=StartDate-$M3408+1</t>
  </si>
  <si>
    <t>=SUM(P3408:T3408)</t>
  </si>
  <si>
    <t>=IF($M3408&gt;=$P$18,U3408,0)</t>
  </si>
  <si>
    <t>=IF(AND($M3408&gt;=$Q$16,$M3408&lt;=$Q$18),U3408,0)</t>
  </si>
  <si>
    <t>=IF(AND($M3408&gt;=$R$16,$M3408&lt;=$R$18),U3408,0)</t>
  </si>
  <si>
    <t>=IF(AND($M3408&gt;=$S$16,$M3408&lt;=$S$18),U3408,0)</t>
  </si>
  <si>
    <t>=IF($M3408&lt;=$T$18,U3408,0)</t>
  </si>
  <si>
    <t>="""NAV Direct"",""CRONUS JetCorp USA"",""21"",""1"",""313346"""</t>
  </si>
  <si>
    <t>=E3407</t>
  </si>
  <si>
    <t>=StartDate-$M3409+1</t>
  </si>
  <si>
    <t>=SUM(P3409:T3409)</t>
  </si>
  <si>
    <t>=IF($M3409&gt;=$P$18,U3409,0)</t>
  </si>
  <si>
    <t>=IF(AND($M3409&gt;=$Q$16,$M3409&lt;=$Q$18),U3409,0)</t>
  </si>
  <si>
    <t>=IF(AND($M3409&gt;=$R$16,$M3409&lt;=$R$18),U3409,0)</t>
  </si>
  <si>
    <t>=IF(AND($M3409&gt;=$S$16,$M3409&lt;=$S$18),U3409,0)</t>
  </si>
  <si>
    <t>=IF($M3409&lt;=$T$18,U3409,0)</t>
  </si>
  <si>
    <t>="""NAV Direct"",""CRONUS JetCorp USA"",""21"",""1"",""313373"""</t>
  </si>
  <si>
    <t>=E3408</t>
  </si>
  <si>
    <t>=StartDate-$M3410+1</t>
  </si>
  <si>
    <t>=SUM(P3410:T3410)</t>
  </si>
  <si>
    <t>=IF($M3410&gt;=$P$18,U3410,0)</t>
  </si>
  <si>
    <t>=IF(AND($M3410&gt;=$Q$16,$M3410&lt;=$Q$18),U3410,0)</t>
  </si>
  <si>
    <t>=IF(AND($M3410&gt;=$R$16,$M3410&lt;=$R$18),U3410,0)</t>
  </si>
  <si>
    <t>=IF(AND($M3410&gt;=$S$16,$M3410&lt;=$S$18),U3410,0)</t>
  </si>
  <si>
    <t>=IF($M3410&lt;=$T$18,U3410,0)</t>
  </si>
  <si>
    <t>="""NAV Direct"",""CRONUS JetCorp USA"",""21"",""1"",""429326"""</t>
  </si>
  <si>
    <t>=E3409</t>
  </si>
  <si>
    <t>=StartDate-$M3411+1</t>
  </si>
  <si>
    <t>=SUM(P3411:T3411)</t>
  </si>
  <si>
    <t>=IF($M3411&gt;=$P$18,U3411,0)</t>
  </si>
  <si>
    <t>=IF(AND($M3411&gt;=$Q$16,$M3411&lt;=$Q$18),U3411,0)</t>
  </si>
  <si>
    <t>=IF(AND($M3411&gt;=$R$16,$M3411&lt;=$R$18),U3411,0)</t>
  </si>
  <si>
    <t>=IF(AND($M3411&gt;=$S$16,$M3411&lt;=$S$18),U3411,0)</t>
  </si>
  <si>
    <t>=IF($M3411&lt;=$T$18,U3411,0)</t>
  </si>
  <si>
    <t>="""NAV Direct"",""CRONUS JetCorp USA"",""21"",""1"",""429343"""</t>
  </si>
  <si>
    <t>=E3410</t>
  </si>
  <si>
    <t>=StartDate-$M3412+1</t>
  </si>
  <si>
    <t>=SUM(P3412:T3412)</t>
  </si>
  <si>
    <t>=IF($M3412&gt;=$P$18,U3412,0)</t>
  </si>
  <si>
    <t>=IF(AND($M3412&gt;=$Q$16,$M3412&lt;=$Q$18),U3412,0)</t>
  </si>
  <si>
    <t>=IF(AND($M3412&gt;=$R$16,$M3412&lt;=$R$18),U3412,0)</t>
  </si>
  <si>
    <t>=IF(AND($M3412&gt;=$S$16,$M3412&lt;=$S$18),U3412,0)</t>
  </si>
  <si>
    <t>=IF($M3412&lt;=$T$18,U3412,0)</t>
  </si>
  <si>
    <t>="""NAV Direct"",""CRONUS JetCorp USA"",""21"",""1"",""429396"""</t>
  </si>
  <si>
    <t>=E3411</t>
  </si>
  <si>
    <t>=StartDate-$M3413+1</t>
  </si>
  <si>
    <t>=SUM(P3413:T3413)</t>
  </si>
  <si>
    <t>=IF($M3413&gt;=$P$18,U3413,0)</t>
  </si>
  <si>
    <t>=IF(AND($M3413&gt;=$Q$16,$M3413&lt;=$Q$18),U3413,0)</t>
  </si>
  <si>
    <t>=IF(AND($M3413&gt;=$R$16,$M3413&lt;=$R$18),U3413,0)</t>
  </si>
  <si>
    <t>=IF(AND($M3413&gt;=$S$16,$M3413&lt;=$S$18),U3413,0)</t>
  </si>
  <si>
    <t>=IF($M3413&lt;=$T$18,U3413,0)</t>
  </si>
  <si>
    <t>="""NAV Direct"",""CRONUS JetCorp USA"",""21"",""1"",""429409"""</t>
  </si>
  <si>
    <t>=E3412</t>
  </si>
  <si>
    <t>=StartDate-$M3414+1</t>
  </si>
  <si>
    <t>=SUM(P3414:T3414)</t>
  </si>
  <si>
    <t>=IF($M3414&gt;=$P$18,U3414,0)</t>
  </si>
  <si>
    <t>=IF(AND($M3414&gt;=$Q$16,$M3414&lt;=$Q$18),U3414,0)</t>
  </si>
  <si>
    <t>=IF(AND($M3414&gt;=$R$16,$M3414&lt;=$R$18),U3414,0)</t>
  </si>
  <si>
    <t>=IF(AND($M3414&gt;=$S$16,$M3414&lt;=$S$18),U3414,0)</t>
  </si>
  <si>
    <t>=IF($M3414&lt;=$T$18,U3414,0)</t>
  </si>
  <si>
    <t>="""NAV Direct"",""CRONUS JetCorp USA"",""21"",""1"",""429426"""</t>
  </si>
  <si>
    <t>=E3413</t>
  </si>
  <si>
    <t>=StartDate-$M3415+1</t>
  </si>
  <si>
    <t>=SUM(P3415:T3415)</t>
  </si>
  <si>
    <t>=IF($M3415&gt;=$P$18,U3415,0)</t>
  </si>
  <si>
    <t>=IF(AND($M3415&gt;=$Q$16,$M3415&lt;=$Q$18),U3415,0)</t>
  </si>
  <si>
    <t>=IF(AND($M3415&gt;=$R$16,$M3415&lt;=$R$18),U3415,0)</t>
  </si>
  <si>
    <t>=IF(AND($M3415&gt;=$S$16,$M3415&lt;=$S$18),U3415,0)</t>
  </si>
  <si>
    <t>=IF($M3415&lt;=$T$18,U3415,0)</t>
  </si>
  <si>
    <t>="""NAV Direct"",""CRONUS JetCorp USA"",""21"",""1"",""429443"""</t>
  </si>
  <si>
    <t>=E3414</t>
  </si>
  <si>
    <t>=StartDate-$M3416+1</t>
  </si>
  <si>
    <t>=SUM(P3416:T3416)</t>
  </si>
  <si>
    <t>=IF($M3416&gt;=$P$18,U3416,0)</t>
  </si>
  <si>
    <t>=IF(AND($M3416&gt;=$Q$16,$M3416&lt;=$Q$18),U3416,0)</t>
  </si>
  <si>
    <t>=IF(AND($M3416&gt;=$R$16,$M3416&lt;=$R$18),U3416,0)</t>
  </si>
  <si>
    <t>=IF(AND($M3416&gt;=$S$16,$M3416&lt;=$S$18),U3416,0)</t>
  </si>
  <si>
    <t>=IF($M3416&lt;=$T$18,U3416,0)</t>
  </si>
  <si>
    <t>="""NAV Direct"",""CRONUS JetCorp USA"",""21"",""1"",""429475"""</t>
  </si>
  <si>
    <t>=E3415</t>
  </si>
  <si>
    <t>=StartDate-$M3417+1</t>
  </si>
  <si>
    <t>=SUM(P3417:T3417)</t>
  </si>
  <si>
    <t>=IF($M3417&gt;=$P$18,U3417,0)</t>
  </si>
  <si>
    <t>=IF(AND($M3417&gt;=$Q$16,$M3417&lt;=$Q$18),U3417,0)</t>
  </si>
  <si>
    <t>=IF(AND($M3417&gt;=$R$16,$M3417&lt;=$R$18),U3417,0)</t>
  </si>
  <si>
    <t>=IF(AND($M3417&gt;=$S$16,$M3417&lt;=$S$18),U3417,0)</t>
  </si>
  <si>
    <t>=IF($M3417&lt;=$T$18,U3417,0)</t>
  </si>
  <si>
    <t>="""NAV Direct"",""CRONUS JetCorp USA"",""21"",""1"",""429494"""</t>
  </si>
  <si>
    <t>=E3416</t>
  </si>
  <si>
    <t>=StartDate-$M3418+1</t>
  </si>
  <si>
    <t>=SUM(P3418:T3418)</t>
  </si>
  <si>
    <t>=IF($M3418&gt;=$P$18,U3418,0)</t>
  </si>
  <si>
    <t>=IF(AND($M3418&gt;=$Q$16,$M3418&lt;=$Q$18),U3418,0)</t>
  </si>
  <si>
    <t>=IF(AND($M3418&gt;=$R$16,$M3418&lt;=$R$18),U3418,0)</t>
  </si>
  <si>
    <t>=IF(AND($M3418&gt;=$S$16,$M3418&lt;=$S$18),U3418,0)</t>
  </si>
  <si>
    <t>=IF($M3418&lt;=$T$18,U3418,0)</t>
  </si>
  <si>
    <t>="""NAV Direct"",""CRONUS JetCorp USA"",""21"",""1"",""429515"""</t>
  </si>
  <si>
    <t>=E3417</t>
  </si>
  <si>
    <t>=StartDate-$M3419+1</t>
  </si>
  <si>
    <t>=SUM(P3419:T3419)</t>
  </si>
  <si>
    <t>=IF($M3419&gt;=$P$18,U3419,0)</t>
  </si>
  <si>
    <t>=IF(AND($M3419&gt;=$Q$16,$M3419&lt;=$Q$18),U3419,0)</t>
  </si>
  <si>
    <t>=IF(AND($M3419&gt;=$R$16,$M3419&lt;=$R$18),U3419,0)</t>
  </si>
  <si>
    <t>=IF(AND($M3419&gt;=$S$16,$M3419&lt;=$S$18),U3419,0)</t>
  </si>
  <si>
    <t>=IF($M3419&lt;=$T$18,U3419,0)</t>
  </si>
  <si>
    <t>="""NAV Direct"",""CRONUS JetCorp USA"",""21"",""1"",""429541"""</t>
  </si>
  <si>
    <t>=E3418</t>
  </si>
  <si>
    <t>=StartDate-$M3420+1</t>
  </si>
  <si>
    <t>=SUM(P3420:T3420)</t>
  </si>
  <si>
    <t>=IF($M3420&gt;=$P$18,U3420,0)</t>
  </si>
  <si>
    <t>=IF(AND($M3420&gt;=$Q$16,$M3420&lt;=$Q$18),U3420,0)</t>
  </si>
  <si>
    <t>=IF(AND($M3420&gt;=$R$16,$M3420&lt;=$R$18),U3420,0)</t>
  </si>
  <si>
    <t>=IF(AND($M3420&gt;=$S$16,$M3420&lt;=$S$18),U3420,0)</t>
  </si>
  <si>
    <t>=IF($M3420&lt;=$T$18,U3420,0)</t>
  </si>
  <si>
    <t>="""NAV Direct"",""CRONUS JetCorp USA"",""21"",""1"",""429569"""</t>
  </si>
  <si>
    <t>=E3419</t>
  </si>
  <si>
    <t>=StartDate-$M3421+1</t>
  </si>
  <si>
    <t>=SUM(P3421:T3421)</t>
  </si>
  <si>
    <t>=IF($M3421&gt;=$P$18,U3421,0)</t>
  </si>
  <si>
    <t>=IF(AND($M3421&gt;=$Q$16,$M3421&lt;=$Q$18),U3421,0)</t>
  </si>
  <si>
    <t>=IF(AND($M3421&gt;=$R$16,$M3421&lt;=$R$18),U3421,0)</t>
  </si>
  <si>
    <t>=IF(AND($M3421&gt;=$S$16,$M3421&lt;=$S$18),U3421,0)</t>
  </si>
  <si>
    <t>=IF($M3421&lt;=$T$18,U3421,0)</t>
  </si>
  <si>
    <t>="""NAV Direct"",""CRONUS JetCorp USA"",""21"",""1"",""429580"""</t>
  </si>
  <si>
    <t>=E3420</t>
  </si>
  <si>
    <t>=StartDate-$M3422+1</t>
  </si>
  <si>
    <t>=SUM(P3422:T3422)</t>
  </si>
  <si>
    <t>=IF($M3422&gt;=$P$18,U3422,0)</t>
  </si>
  <si>
    <t>=IF(AND($M3422&gt;=$Q$16,$M3422&lt;=$Q$18),U3422,0)</t>
  </si>
  <si>
    <t>=IF(AND($M3422&gt;=$R$16,$M3422&lt;=$R$18),U3422,0)</t>
  </si>
  <si>
    <t>=IF(AND($M3422&gt;=$S$16,$M3422&lt;=$S$18),U3422,0)</t>
  </si>
  <si>
    <t>=IF($M3422&lt;=$T$18,U3422,0)</t>
  </si>
  <si>
    <t>="""NAV Direct"",""CRONUS JetCorp USA"",""21"",""1"",""429623"""</t>
  </si>
  <si>
    <t>=E3421</t>
  </si>
  <si>
    <t>=StartDate-$M3423+1</t>
  </si>
  <si>
    <t>=SUM(P3423:T3423)</t>
  </si>
  <si>
    <t>=IF($M3423&gt;=$P$18,U3423,0)</t>
  </si>
  <si>
    <t>=IF(AND($M3423&gt;=$Q$16,$M3423&lt;=$Q$18),U3423,0)</t>
  </si>
  <si>
    <t>=IF(AND($M3423&gt;=$R$16,$M3423&lt;=$R$18),U3423,0)</t>
  </si>
  <si>
    <t>=IF(AND($M3423&gt;=$S$16,$M3423&lt;=$S$18),U3423,0)</t>
  </si>
  <si>
    <t>=IF($M3423&lt;=$T$18,U3423,0)</t>
  </si>
  <si>
    <t>="""NAV Direct"",""CRONUS JetCorp USA"",""21"",""1"",""429702"""</t>
  </si>
  <si>
    <t>=E3422</t>
  </si>
  <si>
    <t>=StartDate-$M3424+1</t>
  </si>
  <si>
    <t>=SUM(P3424:T3424)</t>
  </si>
  <si>
    <t>=IF($M3424&gt;=$P$18,U3424,0)</t>
  </si>
  <si>
    <t>=IF(AND($M3424&gt;=$Q$16,$M3424&lt;=$Q$18),U3424,0)</t>
  </si>
  <si>
    <t>=IF(AND($M3424&gt;=$R$16,$M3424&lt;=$R$18),U3424,0)</t>
  </si>
  <si>
    <t>=IF(AND($M3424&gt;=$S$16,$M3424&lt;=$S$18),U3424,0)</t>
  </si>
  <si>
    <t>=IF($M3424&lt;=$T$18,U3424,0)</t>
  </si>
  <si>
    <t>="""NAV Direct"",""CRONUS JetCorp USA"",""21"",""1"",""429717"""</t>
  </si>
  <si>
    <t>=E3423</t>
  </si>
  <si>
    <t>=StartDate-$M3425+1</t>
  </si>
  <si>
    <t>=SUM(P3425:T3425)</t>
  </si>
  <si>
    <t>=IF($M3425&gt;=$P$18,U3425,0)</t>
  </si>
  <si>
    <t>=IF(AND($M3425&gt;=$Q$16,$M3425&lt;=$Q$18),U3425,0)</t>
  </si>
  <si>
    <t>=IF(AND($M3425&gt;=$R$16,$M3425&lt;=$R$18),U3425,0)</t>
  </si>
  <si>
    <t>=IF(AND($M3425&gt;=$S$16,$M3425&lt;=$S$18),U3425,0)</t>
  </si>
  <si>
    <t>=IF($M3425&lt;=$T$18,U3425,0)</t>
  </si>
  <si>
    <t>="""NAV Direct"",""CRONUS JetCorp USA"",""21"",""1"",""429755"""</t>
  </si>
  <si>
    <t>=E3424</t>
  </si>
  <si>
    <t>=StartDate-$M3426+1</t>
  </si>
  <si>
    <t>=SUM(P3426:T3426)</t>
  </si>
  <si>
    <t>=IF($M3426&gt;=$P$18,U3426,0)</t>
  </si>
  <si>
    <t>=IF(AND($M3426&gt;=$Q$16,$M3426&lt;=$Q$18),U3426,0)</t>
  </si>
  <si>
    <t>=IF(AND($M3426&gt;=$R$16,$M3426&lt;=$R$18),U3426,0)</t>
  </si>
  <si>
    <t>=IF(AND($M3426&gt;=$S$16,$M3426&lt;=$S$18),U3426,0)</t>
  </si>
  <si>
    <t>=IF($M3426&lt;=$T$18,U3426,0)</t>
  </si>
  <si>
    <t>="""NAV Direct"",""CRONUS JetCorp USA"",""21"",""1"",""429792"""</t>
  </si>
  <si>
    <t>=E3425</t>
  </si>
  <si>
    <t>=StartDate-$M3427+1</t>
  </si>
  <si>
    <t>=SUM(P3427:T3427)</t>
  </si>
  <si>
    <t>=IF($M3427&gt;=$P$18,U3427,0)</t>
  </si>
  <si>
    <t>=IF(AND($M3427&gt;=$Q$16,$M3427&lt;=$Q$18),U3427,0)</t>
  </si>
  <si>
    <t>=IF(AND($M3427&gt;=$R$16,$M3427&lt;=$R$18),U3427,0)</t>
  </si>
  <si>
    <t>=IF(AND($M3427&gt;=$S$16,$M3427&lt;=$S$18),U3427,0)</t>
  </si>
  <si>
    <t>=IF($M3427&lt;=$T$18,U3427,0)</t>
  </si>
  <si>
    <t>="""NAV Direct"",""CRONUS JetCorp USA"",""21"",""1"",""429839"""</t>
  </si>
  <si>
    <t>=E3426</t>
  </si>
  <si>
    <t>=StartDate-$M3428+1</t>
  </si>
  <si>
    <t>=SUM(P3428:T3428)</t>
  </si>
  <si>
    <t>=IF($M3428&gt;=$P$18,U3428,0)</t>
  </si>
  <si>
    <t>=IF(AND($M3428&gt;=$Q$16,$M3428&lt;=$Q$18),U3428,0)</t>
  </si>
  <si>
    <t>=IF(AND($M3428&gt;=$R$16,$M3428&lt;=$R$18),U3428,0)</t>
  </si>
  <si>
    <t>=IF(AND($M3428&gt;=$S$16,$M3428&lt;=$S$18),U3428,0)</t>
  </si>
  <si>
    <t>=IF($M3428&lt;=$T$18,U3428,0)</t>
  </si>
  <si>
    <t>="""NAV Direct"",""CRONUS JetCorp USA"",""21"",""1"",""429852"""</t>
  </si>
  <si>
    <t>=E3427</t>
  </si>
  <si>
    <t>=StartDate-$M3429+1</t>
  </si>
  <si>
    <t>=SUM(P3429:T3429)</t>
  </si>
  <si>
    <t>=IF($M3429&gt;=$P$18,U3429,0)</t>
  </si>
  <si>
    <t>=IF(AND($M3429&gt;=$Q$16,$M3429&lt;=$Q$18),U3429,0)</t>
  </si>
  <si>
    <t>=IF(AND($M3429&gt;=$R$16,$M3429&lt;=$R$18),U3429,0)</t>
  </si>
  <si>
    <t>=IF(AND($M3429&gt;=$S$16,$M3429&lt;=$S$18),U3429,0)</t>
  </si>
  <si>
    <t>=IF($M3429&lt;=$T$18,U3429,0)</t>
  </si>
  <si>
    <t>="""NAV Direct"",""CRONUS JetCorp USA"",""21"",""1"",""429876"""</t>
  </si>
  <si>
    <t>=E3428</t>
  </si>
  <si>
    <t>=StartDate-$M3430+1</t>
  </si>
  <si>
    <t>=SUM(P3430:T3430)</t>
  </si>
  <si>
    <t>=IF($M3430&gt;=$P$18,U3430,0)</t>
  </si>
  <si>
    <t>=IF(AND($M3430&gt;=$Q$16,$M3430&lt;=$Q$18),U3430,0)</t>
  </si>
  <si>
    <t>=IF(AND($M3430&gt;=$R$16,$M3430&lt;=$R$18),U3430,0)</t>
  </si>
  <si>
    <t>=IF(AND($M3430&gt;=$S$16,$M3430&lt;=$S$18),U3430,0)</t>
  </si>
  <si>
    <t>=IF($M3430&lt;=$T$18,U3430,0)</t>
  </si>
  <si>
    <t>="""NAV Direct"",""CRONUS JetCorp USA"",""21"",""1"",""429917"""</t>
  </si>
  <si>
    <t>=E3429</t>
  </si>
  <si>
    <t>=StartDate-$M3431+1</t>
  </si>
  <si>
    <t>=SUM(P3431:T3431)</t>
  </si>
  <si>
    <t>=IF($M3431&gt;=$P$18,U3431,0)</t>
  </si>
  <si>
    <t>=IF(AND($M3431&gt;=$Q$16,$M3431&lt;=$Q$18),U3431,0)</t>
  </si>
  <si>
    <t>=IF(AND($M3431&gt;=$R$16,$M3431&lt;=$R$18),U3431,0)</t>
  </si>
  <si>
    <t>=IF(AND($M3431&gt;=$S$16,$M3431&lt;=$S$18),U3431,0)</t>
  </si>
  <si>
    <t>=IF($M3431&lt;=$T$18,U3431,0)</t>
  </si>
  <si>
    <t>="""NAV Direct"",""CRONUS JetCorp USA"",""21"",""1"",""429926"""</t>
  </si>
  <si>
    <t>=E3430</t>
  </si>
  <si>
    <t>=StartDate-$M3432+1</t>
  </si>
  <si>
    <t>=SUM(P3432:T3432)</t>
  </si>
  <si>
    <t>=IF($M3432&gt;=$P$18,U3432,0)</t>
  </si>
  <si>
    <t>=IF(AND($M3432&gt;=$Q$16,$M3432&lt;=$Q$18),U3432,0)</t>
  </si>
  <si>
    <t>=IF(AND($M3432&gt;=$R$16,$M3432&lt;=$R$18),U3432,0)</t>
  </si>
  <si>
    <t>=IF(AND($M3432&gt;=$S$16,$M3432&lt;=$S$18),U3432,0)</t>
  </si>
  <si>
    <t>=IF($M3432&lt;=$T$18,U3432,0)</t>
  </si>
  <si>
    <t>="""NAV Direct"",""CRONUS JetCorp USA"",""21"",""1"",""429988"""</t>
  </si>
  <si>
    <t>=E3431</t>
  </si>
  <si>
    <t>=StartDate-$M3433+1</t>
  </si>
  <si>
    <t>=SUM(P3433:T3433)</t>
  </si>
  <si>
    <t>=IF($M3433&gt;=$P$18,U3433,0)</t>
  </si>
  <si>
    <t>=IF(AND($M3433&gt;=$Q$16,$M3433&lt;=$Q$18),U3433,0)</t>
  </si>
  <si>
    <t>=IF(AND($M3433&gt;=$R$16,$M3433&lt;=$R$18),U3433,0)</t>
  </si>
  <si>
    <t>=IF(AND($M3433&gt;=$S$16,$M3433&lt;=$S$18),U3433,0)</t>
  </si>
  <si>
    <t>=IF($M3433&lt;=$T$18,U3433,0)</t>
  </si>
  <si>
    <t>="""NAV Direct"",""CRONUS JetCorp USA"",""21"",""1"",""430022"""</t>
  </si>
  <si>
    <t>=E3432</t>
  </si>
  <si>
    <t>=StartDate-$M3434+1</t>
  </si>
  <si>
    <t>=SUM(P3434:T3434)</t>
  </si>
  <si>
    <t>=IF($M3434&gt;=$P$18,U3434,0)</t>
  </si>
  <si>
    <t>=IF(AND($M3434&gt;=$Q$16,$M3434&lt;=$Q$18),U3434,0)</t>
  </si>
  <si>
    <t>=IF(AND($M3434&gt;=$R$16,$M3434&lt;=$R$18),U3434,0)</t>
  </si>
  <si>
    <t>=IF(AND($M3434&gt;=$S$16,$M3434&lt;=$S$18),U3434,0)</t>
  </si>
  <si>
    <t>=IF($M3434&lt;=$T$18,U3434,0)</t>
  </si>
  <si>
    <t>="""NAV Direct"",""CRONUS JetCorp USA"",""21"",""1"",""430048"""</t>
  </si>
  <si>
    <t>=E3433</t>
  </si>
  <si>
    <t>=StartDate-$M3435+1</t>
  </si>
  <si>
    <t>=SUM(P3435:T3435)</t>
  </si>
  <si>
    <t>=IF($M3435&gt;=$P$18,U3435,0)</t>
  </si>
  <si>
    <t>=IF(AND($M3435&gt;=$Q$16,$M3435&lt;=$Q$18),U3435,0)</t>
  </si>
  <si>
    <t>=IF(AND($M3435&gt;=$R$16,$M3435&lt;=$R$18),U3435,0)</t>
  </si>
  <si>
    <t>=IF(AND($M3435&gt;=$S$16,$M3435&lt;=$S$18),U3435,0)</t>
  </si>
  <si>
    <t>=IF($M3435&lt;=$T$18,U3435,0)</t>
  </si>
  <si>
    <t>="""NAV Direct"",""CRONUS JetCorp USA"",""21"",""1"",""430061"""</t>
  </si>
  <si>
    <t>=E3434</t>
  </si>
  <si>
    <t>=StartDate-$M3436+1</t>
  </si>
  <si>
    <t>=SUM(P3436:T3436)</t>
  </si>
  <si>
    <t>=IF($M3436&gt;=$P$18,U3436,0)</t>
  </si>
  <si>
    <t>=IF(AND($M3436&gt;=$Q$16,$M3436&lt;=$Q$18),U3436,0)</t>
  </si>
  <si>
    <t>=IF(AND($M3436&gt;=$R$16,$M3436&lt;=$R$18),U3436,0)</t>
  </si>
  <si>
    <t>=IF(AND($M3436&gt;=$S$16,$M3436&lt;=$S$18),U3436,0)</t>
  </si>
  <si>
    <t>=IF($M3436&lt;=$T$18,U3436,0)</t>
  </si>
  <si>
    <t>="""NAV Direct"",""CRONUS JetCorp USA"",""21"",""1"",""430076"""</t>
  </si>
  <si>
    <t>=E3435</t>
  </si>
  <si>
    <t>=StartDate-$M3437+1</t>
  </si>
  <si>
    <t>=SUM(P3437:T3437)</t>
  </si>
  <si>
    <t>=IF($M3437&gt;=$P$18,U3437,0)</t>
  </si>
  <si>
    <t>=IF(AND($M3437&gt;=$Q$16,$M3437&lt;=$Q$18),U3437,0)</t>
  </si>
  <si>
    <t>=IF(AND($M3437&gt;=$R$16,$M3437&lt;=$R$18),U3437,0)</t>
  </si>
  <si>
    <t>=IF(AND($M3437&gt;=$S$16,$M3437&lt;=$S$18),U3437,0)</t>
  </si>
  <si>
    <t>=IF($M3437&lt;=$T$18,U3437,0)</t>
  </si>
  <si>
    <t>="""NAV Direct"",""CRONUS JetCorp USA"",""21"",""1"",""430103"""</t>
  </si>
  <si>
    <t>=E3436</t>
  </si>
  <si>
    <t>=StartDate-$M3438+1</t>
  </si>
  <si>
    <t>=SUM(P3438:T3438)</t>
  </si>
  <si>
    <t>=IF($M3438&gt;=$P$18,U3438,0)</t>
  </si>
  <si>
    <t>=IF(AND($M3438&gt;=$Q$16,$M3438&lt;=$Q$18),U3438,0)</t>
  </si>
  <si>
    <t>=IF(AND($M3438&gt;=$R$16,$M3438&lt;=$R$18),U3438,0)</t>
  </si>
  <si>
    <t>=IF(AND($M3438&gt;=$S$16,$M3438&lt;=$S$18),U3438,0)</t>
  </si>
  <si>
    <t>=IF($M3438&lt;=$T$18,U3438,0)</t>
  </si>
  <si>
    <t>="""NAV Direct"",""CRONUS JetCorp USA"",""21"",""1"",""430139"""</t>
  </si>
  <si>
    <t>=E3437</t>
  </si>
  <si>
    <t>=StartDate-$M3439+1</t>
  </si>
  <si>
    <t>=SUM(P3439:T3439)</t>
  </si>
  <si>
    <t>=IF($M3439&gt;=$P$18,U3439,0)</t>
  </si>
  <si>
    <t>=IF(AND($M3439&gt;=$Q$16,$M3439&lt;=$Q$18),U3439,0)</t>
  </si>
  <si>
    <t>=IF(AND($M3439&gt;=$R$16,$M3439&lt;=$R$18),U3439,0)</t>
  </si>
  <si>
    <t>=IF(AND($M3439&gt;=$S$16,$M3439&lt;=$S$18),U3439,0)</t>
  </si>
  <si>
    <t>=IF($M3439&lt;=$T$18,U3439,0)</t>
  </si>
  <si>
    <t>="""NAV Direct"",""CRONUS JetCorp USA"",""21"",""1"",""430160"""</t>
  </si>
  <si>
    <t>=E3438</t>
  </si>
  <si>
    <t>=StartDate-$M3440+1</t>
  </si>
  <si>
    <t>=SUM(P3440:T3440)</t>
  </si>
  <si>
    <t>=IF($M3440&gt;=$P$18,U3440,0)</t>
  </si>
  <si>
    <t>=IF(AND($M3440&gt;=$Q$16,$M3440&lt;=$Q$18),U3440,0)</t>
  </si>
  <si>
    <t>=IF(AND($M3440&gt;=$R$16,$M3440&lt;=$R$18),U3440,0)</t>
  </si>
  <si>
    <t>=IF(AND($M3440&gt;=$S$16,$M3440&lt;=$S$18),U3440,0)</t>
  </si>
  <si>
    <t>=IF($M3440&lt;=$T$18,U3440,0)</t>
  </si>
  <si>
    <t>="""NAV Direct"",""CRONUS JetCorp USA"",""21"",""1"",""430175"""</t>
  </si>
  <si>
    <t>=E3439</t>
  </si>
  <si>
    <t>=StartDate-$M3441+1</t>
  </si>
  <si>
    <t>=SUM(P3441:T3441)</t>
  </si>
  <si>
    <t>=IF($M3441&gt;=$P$18,U3441,0)</t>
  </si>
  <si>
    <t>=IF(AND($M3441&gt;=$Q$16,$M3441&lt;=$Q$18),U3441,0)</t>
  </si>
  <si>
    <t>=IF(AND($M3441&gt;=$R$16,$M3441&lt;=$R$18),U3441,0)</t>
  </si>
  <si>
    <t>=IF(AND($M3441&gt;=$S$16,$M3441&lt;=$S$18),U3441,0)</t>
  </si>
  <si>
    <t>=IF($M3441&lt;=$T$18,U3441,0)</t>
  </si>
  <si>
    <t>="""NAV Direct"",""CRONUS JetCorp USA"",""21"",""1"",""430184"""</t>
  </si>
  <si>
    <t>=E3440</t>
  </si>
  <si>
    <t>=StartDate-$M3442+1</t>
  </si>
  <si>
    <t>=SUM(P3442:T3442)</t>
  </si>
  <si>
    <t>=IF($M3442&gt;=$P$18,U3442,0)</t>
  </si>
  <si>
    <t>=IF(AND($M3442&gt;=$Q$16,$M3442&lt;=$Q$18),U3442,0)</t>
  </si>
  <si>
    <t>=IF(AND($M3442&gt;=$R$16,$M3442&lt;=$R$18),U3442,0)</t>
  </si>
  <si>
    <t>=IF(AND($M3442&gt;=$S$16,$M3442&lt;=$S$18),U3442,0)</t>
  </si>
  <si>
    <t>=IF($M3442&lt;=$T$18,U3442,0)</t>
  </si>
  <si>
    <t>="""NAV Direct"",""CRONUS JetCorp USA"",""21"",""1"",""430195"""</t>
  </si>
  <si>
    <t>=E3441</t>
  </si>
  <si>
    <t>=StartDate-$M3443+1</t>
  </si>
  <si>
    <t>=SUM(P3443:T3443)</t>
  </si>
  <si>
    <t>=IF($M3443&gt;=$P$18,U3443,0)</t>
  </si>
  <si>
    <t>=IF(AND($M3443&gt;=$Q$16,$M3443&lt;=$Q$18),U3443,0)</t>
  </si>
  <si>
    <t>=IF(AND($M3443&gt;=$R$16,$M3443&lt;=$R$18),U3443,0)</t>
  </si>
  <si>
    <t>=IF(AND($M3443&gt;=$S$16,$M3443&lt;=$S$18),U3443,0)</t>
  </si>
  <si>
    <t>=IF($M3443&lt;=$T$18,U3443,0)</t>
  </si>
  <si>
    <t>="""NAV Direct"",""CRONUS JetCorp USA"",""21"",""1"",""430218"""</t>
  </si>
  <si>
    <t>=E3442</t>
  </si>
  <si>
    <t>=StartDate-$M3444+1</t>
  </si>
  <si>
    <t>=SUM(P3444:T3444)</t>
  </si>
  <si>
    <t>=IF($M3444&gt;=$P$18,U3444,0)</t>
  </si>
  <si>
    <t>=IF(AND($M3444&gt;=$Q$16,$M3444&lt;=$Q$18),U3444,0)</t>
  </si>
  <si>
    <t>=IF(AND($M3444&gt;=$R$16,$M3444&lt;=$R$18),U3444,0)</t>
  </si>
  <si>
    <t>=IF(AND($M3444&gt;=$S$16,$M3444&lt;=$S$18),U3444,0)</t>
  </si>
  <si>
    <t>=IF($M3444&lt;=$T$18,U3444,0)</t>
  </si>
  <si>
    <t>="""NAV Direct"",""CRONUS JetCorp USA"",""21"",""1"",""430270"""</t>
  </si>
  <si>
    <t>=E3443</t>
  </si>
  <si>
    <t>=StartDate-$M3445+1</t>
  </si>
  <si>
    <t>=SUM(P3445:T3445)</t>
  </si>
  <si>
    <t>=IF($M3445&gt;=$P$18,U3445,0)</t>
  </si>
  <si>
    <t>=IF(AND($M3445&gt;=$Q$16,$M3445&lt;=$Q$18),U3445,0)</t>
  </si>
  <si>
    <t>=IF(AND($M3445&gt;=$R$16,$M3445&lt;=$R$18),U3445,0)</t>
  </si>
  <si>
    <t>=IF(AND($M3445&gt;=$S$16,$M3445&lt;=$S$18),U3445,0)</t>
  </si>
  <si>
    <t>=IF($M3445&lt;=$T$18,U3445,0)</t>
  </si>
  <si>
    <t>="""NAV Direct"",""CRONUS JetCorp USA"",""21"",""1"",""430300"""</t>
  </si>
  <si>
    <t>=E3444</t>
  </si>
  <si>
    <t>=StartDate-$M3446+1</t>
  </si>
  <si>
    <t>=SUM(P3446:T3446)</t>
  </si>
  <si>
    <t>=IF($M3446&gt;=$P$18,U3446,0)</t>
  </si>
  <si>
    <t>=IF(AND($M3446&gt;=$Q$16,$M3446&lt;=$Q$18),U3446,0)</t>
  </si>
  <si>
    <t>=IF(AND($M3446&gt;=$R$16,$M3446&lt;=$R$18),U3446,0)</t>
  </si>
  <si>
    <t>=IF(AND($M3446&gt;=$S$16,$M3446&lt;=$S$18),U3446,0)</t>
  </si>
  <si>
    <t>=IF($M3446&lt;=$T$18,U3446,0)</t>
  </si>
  <si>
    <t>="""NAV Direct"",""CRONUS JetCorp USA"",""21"",""1"",""430313"""</t>
  </si>
  <si>
    <t>=E3445</t>
  </si>
  <si>
    <t>=StartDate-$M3447+1</t>
  </si>
  <si>
    <t>=SUM(P3447:T3447)</t>
  </si>
  <si>
    <t>=IF($M3447&gt;=$P$18,U3447,0)</t>
  </si>
  <si>
    <t>=IF(AND($M3447&gt;=$Q$16,$M3447&lt;=$Q$18),U3447,0)</t>
  </si>
  <si>
    <t>=IF(AND($M3447&gt;=$R$16,$M3447&lt;=$R$18),U3447,0)</t>
  </si>
  <si>
    <t>=IF(AND($M3447&gt;=$S$16,$M3447&lt;=$S$18),U3447,0)</t>
  </si>
  <si>
    <t>=IF($M3447&lt;=$T$18,U3447,0)</t>
  </si>
  <si>
    <t>="""NAV Direct"",""CRONUS JetCorp USA"",""21"",""1"",""430330"""</t>
  </si>
  <si>
    <t>=E3446</t>
  </si>
  <si>
    <t>=StartDate-$M3448+1</t>
  </si>
  <si>
    <t>=SUM(P3448:T3448)</t>
  </si>
  <si>
    <t>=IF($M3448&gt;=$P$18,U3448,0)</t>
  </si>
  <si>
    <t>=IF(AND($M3448&gt;=$Q$16,$M3448&lt;=$Q$18),U3448,0)</t>
  </si>
  <si>
    <t>=IF(AND($M3448&gt;=$R$16,$M3448&lt;=$R$18),U3448,0)</t>
  </si>
  <si>
    <t>=IF(AND($M3448&gt;=$S$16,$M3448&lt;=$S$18),U3448,0)</t>
  </si>
  <si>
    <t>=IF($M3448&lt;=$T$18,U3448,0)</t>
  </si>
  <si>
    <t>="""NAV Direct"",""CRONUS JetCorp USA"",""21"",""1"",""430343"""</t>
  </si>
  <si>
    <t>=E3447</t>
  </si>
  <si>
    <t>=StartDate-$M3449+1</t>
  </si>
  <si>
    <t>=SUM(P3449:T3449)</t>
  </si>
  <si>
    <t>=IF($M3449&gt;=$P$18,U3449,0)</t>
  </si>
  <si>
    <t>=IF(AND($M3449&gt;=$Q$16,$M3449&lt;=$Q$18),U3449,0)</t>
  </si>
  <si>
    <t>=IF(AND($M3449&gt;=$R$16,$M3449&lt;=$R$18),U3449,0)</t>
  </si>
  <si>
    <t>=IF(AND($M3449&gt;=$S$16,$M3449&lt;=$S$18),U3449,0)</t>
  </si>
  <si>
    <t>=IF($M3449&lt;=$T$18,U3449,0)</t>
  </si>
  <si>
    <t>="""NAV Direct"",""CRONUS JetCorp USA"",""18"",""1"",""C100100"""</t>
  </si>
  <si>
    <t>=H3452</t>
  </si>
  <si>
    <t>=NF($C3452,"1 No.")</t>
  </si>
  <si>
    <t>=NF($C3452,"1 No.")&amp;"  -  "&amp;NF($C3452,"2 Name")</t>
  </si>
  <si>
    <t>=IFERROR(O3452/NF(C3452,"Credit Limit (LCY)"),"")</t>
  </si>
  <si>
    <t>=SUBTOTAL(3,L3453:L3494)</t>
  </si>
  <si>
    <t>=SUBTOTAL(9,O3453:O3494)</t>
  </si>
  <si>
    <t>=SUBTOTAL(9,P3453:P3494)</t>
  </si>
  <si>
    <t>=SUBTOTAL(9,Q3453:Q3494)</t>
  </si>
  <si>
    <t>=SUBTOTAL(9,R3453:R3494)</t>
  </si>
  <si>
    <t>=SUBTOTAL(9,S3453:S3494)</t>
  </si>
  <si>
    <t>=SUBTOTAL(9,T3453:T3494)</t>
  </si>
  <si>
    <t>=C3452</t>
  </si>
  <si>
    <t>=E3452</t>
  </si>
  <si>
    <t>="Contact: "&amp;NF($C3453,"8 Contact")</t>
  </si>
  <si>
    <t>=C3453</t>
  </si>
  <si>
    <t>=E3453</t>
  </si>
  <si>
    <t>=NF($C3454,"102 E-Mail")</t>
  </si>
  <si>
    <t>=NL("Rows","21 Cust. Ledger Entry",,"3 Customer No.","@@"&amp;$E3456,"16 Remaining Amt. (LCY)","&lt;&gt;0")</t>
  </si>
  <si>
    <t>=E3454</t>
  </si>
  <si>
    <t>=StartDate-$M3456+1</t>
  </si>
  <si>
    <t>=SUM(P3456:T3456)</t>
  </si>
  <si>
    <t>=IF($M3456&gt;=$P$18,U3456,0)</t>
  </si>
  <si>
    <t>=IF(AND($M3456&gt;=$Q$16,$M3456&lt;=$Q$18),U3456,0)</t>
  </si>
  <si>
    <t>=IF(AND($M3456&gt;=$R$16,$M3456&lt;=$R$18),U3456,0)</t>
  </si>
  <si>
    <t>=IF(AND($M3456&gt;=$S$16,$M3456&lt;=$S$18),U3456,0)</t>
  </si>
  <si>
    <t>=IF($M3456&lt;=$T$18,U3456,0)</t>
  </si>
  <si>
    <t>="""NAV Direct"",""CRONUS JetCorp USA"",""21"",""1"",""384313"""</t>
  </si>
  <si>
    <t>=E3455</t>
  </si>
  <si>
    <t>=StartDate-$M3457+1</t>
  </si>
  <si>
    <t>=SUM(P3457:T3457)</t>
  </si>
  <si>
    <t>=IF($M3457&gt;=$P$18,U3457,0)</t>
  </si>
  <si>
    <t>=IF(AND($M3457&gt;=$Q$16,$M3457&lt;=$Q$18),U3457,0)</t>
  </si>
  <si>
    <t>=IF(AND($M3457&gt;=$R$16,$M3457&lt;=$R$18),U3457,0)</t>
  </si>
  <si>
    <t>=IF(AND($M3457&gt;=$S$16,$M3457&lt;=$S$18),U3457,0)</t>
  </si>
  <si>
    <t>=IF($M3457&lt;=$T$18,U3457,0)</t>
  </si>
  <si>
    <t>="""NAV Direct"",""CRONUS JetCorp USA"",""21"",""1"",""384590"""</t>
  </si>
  <si>
    <t>=E3456</t>
  </si>
  <si>
    <t>=StartDate-$M3458+1</t>
  </si>
  <si>
    <t>=SUM(P3458:T3458)</t>
  </si>
  <si>
    <t>=IF($M3458&gt;=$P$18,U3458,0)</t>
  </si>
  <si>
    <t>=IF(AND($M3458&gt;=$Q$16,$M3458&lt;=$Q$18),U3458,0)</t>
  </si>
  <si>
    <t>=IF(AND($M3458&gt;=$R$16,$M3458&lt;=$R$18),U3458,0)</t>
  </si>
  <si>
    <t>=IF(AND($M3458&gt;=$S$16,$M3458&lt;=$S$18),U3458,0)</t>
  </si>
  <si>
    <t>=IF($M3458&lt;=$T$18,U3458,0)</t>
  </si>
  <si>
    <t>="""NAV Direct"",""CRONUS JetCorp USA"",""21"",""1"",""385779"""</t>
  </si>
  <si>
    <t>=E3457</t>
  </si>
  <si>
    <t>=StartDate-$M3459+1</t>
  </si>
  <si>
    <t>=SUM(P3459:T3459)</t>
  </si>
  <si>
    <t>=IF($M3459&gt;=$P$18,U3459,0)</t>
  </si>
  <si>
    <t>=IF(AND($M3459&gt;=$Q$16,$M3459&lt;=$Q$18),U3459,0)</t>
  </si>
  <si>
    <t>=IF(AND($M3459&gt;=$R$16,$M3459&lt;=$R$18),U3459,0)</t>
  </si>
  <si>
    <t>=IF(AND($M3459&gt;=$S$16,$M3459&lt;=$S$18),U3459,0)</t>
  </si>
  <si>
    <t>=IF($M3459&lt;=$T$18,U3459,0)</t>
  </si>
  <si>
    <t>="""NAV Direct"",""CRONUS JetCorp USA"",""21"",""1"",""385828"""</t>
  </si>
  <si>
    <t>=E3458</t>
  </si>
  <si>
    <t>=StartDate-$M3460+1</t>
  </si>
  <si>
    <t>=SUM(P3460:T3460)</t>
  </si>
  <si>
    <t>=IF($M3460&gt;=$P$18,U3460,0)</t>
  </si>
  <si>
    <t>=IF(AND($M3460&gt;=$Q$16,$M3460&lt;=$Q$18),U3460,0)</t>
  </si>
  <si>
    <t>=IF(AND($M3460&gt;=$R$16,$M3460&lt;=$R$18),U3460,0)</t>
  </si>
  <si>
    <t>=IF(AND($M3460&gt;=$S$16,$M3460&lt;=$S$18),U3460,0)</t>
  </si>
  <si>
    <t>=IF($M3460&lt;=$T$18,U3460,0)</t>
  </si>
  <si>
    <t>="""NAV Direct"",""CRONUS JetCorp USA"",""21"",""1"",""386871"""</t>
  </si>
  <si>
    <t>=E3459</t>
  </si>
  <si>
    <t>=StartDate-$M3461+1</t>
  </si>
  <si>
    <t>=SUM(P3461:T3461)</t>
  </si>
  <si>
    <t>=IF($M3461&gt;=$P$18,U3461,0)</t>
  </si>
  <si>
    <t>=IF(AND($M3461&gt;=$Q$16,$M3461&lt;=$Q$18),U3461,0)</t>
  </si>
  <si>
    <t>=IF(AND($M3461&gt;=$R$16,$M3461&lt;=$R$18),U3461,0)</t>
  </si>
  <si>
    <t>=IF(AND($M3461&gt;=$S$16,$M3461&lt;=$S$18),U3461,0)</t>
  </si>
  <si>
    <t>=IF($M3461&lt;=$T$18,U3461,0)</t>
  </si>
  <si>
    <t>="""NAV Direct"",""CRONUS JetCorp USA"",""21"",""1"",""387022"""</t>
  </si>
  <si>
    <t>=E3460</t>
  </si>
  <si>
    <t>=StartDate-$M3462+1</t>
  </si>
  <si>
    <t>=SUM(P3462:T3462)</t>
  </si>
  <si>
    <t>=IF($M3462&gt;=$P$18,U3462,0)</t>
  </si>
  <si>
    <t>=IF(AND($M3462&gt;=$Q$16,$M3462&lt;=$Q$18),U3462,0)</t>
  </si>
  <si>
    <t>=IF(AND($M3462&gt;=$R$16,$M3462&lt;=$R$18),U3462,0)</t>
  </si>
  <si>
    <t>=IF(AND($M3462&gt;=$S$16,$M3462&lt;=$S$18),U3462,0)</t>
  </si>
  <si>
    <t>=IF($M3462&lt;=$T$18,U3462,0)</t>
  </si>
  <si>
    <t>="""NAV Direct"",""CRONUS JetCorp USA"",""21"",""1"",""387171"""</t>
  </si>
  <si>
    <t>=E3461</t>
  </si>
  <si>
    <t>=StartDate-$M3463+1</t>
  </si>
  <si>
    <t>=SUM(P3463:T3463)</t>
  </si>
  <si>
    <t>=IF($M3463&gt;=$P$18,U3463,0)</t>
  </si>
  <si>
    <t>=IF(AND($M3463&gt;=$Q$16,$M3463&lt;=$Q$18),U3463,0)</t>
  </si>
  <si>
    <t>=IF(AND($M3463&gt;=$R$16,$M3463&lt;=$R$18),U3463,0)</t>
  </si>
  <si>
    <t>=IF(AND($M3463&gt;=$S$16,$M3463&lt;=$S$18),U3463,0)</t>
  </si>
  <si>
    <t>=IF($M3463&lt;=$T$18,U3463,0)</t>
  </si>
  <si>
    <t>="""NAV Direct"",""CRONUS JetCorp USA"",""21"",""1"",""388874"""</t>
  </si>
  <si>
    <t>=E3462</t>
  </si>
  <si>
    <t>=StartDate-$M3464+1</t>
  </si>
  <si>
    <t>=SUM(P3464:T3464)</t>
  </si>
  <si>
    <t>=IF($M3464&gt;=$P$18,U3464,0)</t>
  </si>
  <si>
    <t>=IF(AND($M3464&gt;=$Q$16,$M3464&lt;=$Q$18),U3464,0)</t>
  </si>
  <si>
    <t>=IF(AND($M3464&gt;=$R$16,$M3464&lt;=$R$18),U3464,0)</t>
  </si>
  <si>
    <t>=IF(AND($M3464&gt;=$S$16,$M3464&lt;=$S$18),U3464,0)</t>
  </si>
  <si>
    <t>=IF($M3464&lt;=$T$18,U3464,0)</t>
  </si>
  <si>
    <t>="""NAV Direct"",""CRONUS JetCorp USA"",""21"",""1"",""389258"""</t>
  </si>
  <si>
    <t>=E3463</t>
  </si>
  <si>
    <t>=StartDate-$M3465+1</t>
  </si>
  <si>
    <t>=SUM(P3465:T3465)</t>
  </si>
  <si>
    <t>=IF($M3465&gt;=$P$18,U3465,0)</t>
  </si>
  <si>
    <t>=IF(AND($M3465&gt;=$Q$16,$M3465&lt;=$Q$18),U3465,0)</t>
  </si>
  <si>
    <t>=IF(AND($M3465&gt;=$R$16,$M3465&lt;=$R$18),U3465,0)</t>
  </si>
  <si>
    <t>=IF(AND($M3465&gt;=$S$16,$M3465&lt;=$S$18),U3465,0)</t>
  </si>
  <si>
    <t>=IF($M3465&lt;=$T$18,U3465,0)</t>
  </si>
  <si>
    <t>="""NAV Direct"",""CRONUS JetCorp USA"",""21"",""1"",""390269"""</t>
  </si>
  <si>
    <t>=E3464</t>
  </si>
  <si>
    <t>=StartDate-$M3466+1</t>
  </si>
  <si>
    <t>=SUM(P3466:T3466)</t>
  </si>
  <si>
    <t>=IF($M3466&gt;=$P$18,U3466,0)</t>
  </si>
  <si>
    <t>=IF(AND($M3466&gt;=$Q$16,$M3466&lt;=$Q$18),U3466,0)</t>
  </si>
  <si>
    <t>=IF(AND($M3466&gt;=$R$16,$M3466&lt;=$R$18),U3466,0)</t>
  </si>
  <si>
    <t>=IF(AND($M3466&gt;=$S$16,$M3466&lt;=$S$18),U3466,0)</t>
  </si>
  <si>
    <t>=IF($M3466&lt;=$T$18,U3466,0)</t>
  </si>
  <si>
    <t>="""NAV Direct"",""CRONUS JetCorp USA"",""21"",""1"",""390572"""</t>
  </si>
  <si>
    <t>=E3465</t>
  </si>
  <si>
    <t>=StartDate-$M3467+1</t>
  </si>
  <si>
    <t>=SUM(P3467:T3467)</t>
  </si>
  <si>
    <t>=IF($M3467&gt;=$P$18,U3467,0)</t>
  </si>
  <si>
    <t>=IF(AND($M3467&gt;=$Q$16,$M3467&lt;=$Q$18),U3467,0)</t>
  </si>
  <si>
    <t>=IF(AND($M3467&gt;=$R$16,$M3467&lt;=$R$18),U3467,0)</t>
  </si>
  <si>
    <t>=IF(AND($M3467&gt;=$S$16,$M3467&lt;=$S$18),U3467,0)</t>
  </si>
  <si>
    <t>=IF($M3467&lt;=$T$18,U3467,0)</t>
  </si>
  <si>
    <t>="""NAV Direct"",""CRONUS JetCorp USA"",""21"",""1"",""390933"""</t>
  </si>
  <si>
    <t>=E3466</t>
  </si>
  <si>
    <t>=StartDate-$M3468+1</t>
  </si>
  <si>
    <t>=SUM(P3468:T3468)</t>
  </si>
  <si>
    <t>=IF($M3468&gt;=$P$18,U3468,0)</t>
  </si>
  <si>
    <t>=IF(AND($M3468&gt;=$Q$16,$M3468&lt;=$Q$18),U3468,0)</t>
  </si>
  <si>
    <t>=IF(AND($M3468&gt;=$R$16,$M3468&lt;=$R$18),U3468,0)</t>
  </si>
  <si>
    <t>=IF(AND($M3468&gt;=$S$16,$M3468&lt;=$S$18),U3468,0)</t>
  </si>
  <si>
    <t>=IF($M3468&lt;=$T$18,U3468,0)</t>
  </si>
  <si>
    <t>="""NAV Direct"",""CRONUS JetCorp USA"",""21"",""1"",""391476"""</t>
  </si>
  <si>
    <t>=E3467</t>
  </si>
  <si>
    <t>=StartDate-$M3469+1</t>
  </si>
  <si>
    <t>=SUM(P3469:T3469)</t>
  </si>
  <si>
    <t>=IF($M3469&gt;=$P$18,U3469,0)</t>
  </si>
  <si>
    <t>=IF(AND($M3469&gt;=$Q$16,$M3469&lt;=$Q$18),U3469,0)</t>
  </si>
  <si>
    <t>=IF(AND($M3469&gt;=$R$16,$M3469&lt;=$R$18),U3469,0)</t>
  </si>
  <si>
    <t>=IF(AND($M3469&gt;=$S$16,$M3469&lt;=$S$18),U3469,0)</t>
  </si>
  <si>
    <t>=IF($M3469&lt;=$T$18,U3469,0)</t>
  </si>
  <si>
    <t>="""NAV Direct"",""CRONUS JetCorp USA"",""21"",""1"",""392448"""</t>
  </si>
  <si>
    <t>=E3468</t>
  </si>
  <si>
    <t>=StartDate-$M3470+1</t>
  </si>
  <si>
    <t>=SUM(P3470:T3470)</t>
  </si>
  <si>
    <t>=IF($M3470&gt;=$P$18,U3470,0)</t>
  </si>
  <si>
    <t>=IF(AND($M3470&gt;=$Q$16,$M3470&lt;=$Q$18),U3470,0)</t>
  </si>
  <si>
    <t>=IF(AND($M3470&gt;=$R$16,$M3470&lt;=$R$18),U3470,0)</t>
  </si>
  <si>
    <t>=IF(AND($M3470&gt;=$S$16,$M3470&lt;=$S$18),U3470,0)</t>
  </si>
  <si>
    <t>=IF($M3470&lt;=$T$18,U3470,0)</t>
  </si>
  <si>
    <t>="""NAV Direct"",""CRONUS JetCorp USA"",""21"",""1"",""392758"""</t>
  </si>
  <si>
    <t>=E3469</t>
  </si>
  <si>
    <t>=StartDate-$M3471+1</t>
  </si>
  <si>
    <t>=SUM(P3471:T3471)</t>
  </si>
  <si>
    <t>=IF($M3471&gt;=$P$18,U3471,0)</t>
  </si>
  <si>
    <t>=IF(AND($M3471&gt;=$Q$16,$M3471&lt;=$Q$18),U3471,0)</t>
  </si>
  <si>
    <t>=IF(AND($M3471&gt;=$R$16,$M3471&lt;=$R$18),U3471,0)</t>
  </si>
  <si>
    <t>=IF(AND($M3471&gt;=$S$16,$M3471&lt;=$S$18),U3471,0)</t>
  </si>
  <si>
    <t>=IF($M3471&lt;=$T$18,U3471,0)</t>
  </si>
  <si>
    <t>="""NAV Direct"",""CRONUS JetCorp USA"",""21"",""1"",""394324"""</t>
  </si>
  <si>
    <t>=E3470</t>
  </si>
  <si>
    <t>=StartDate-$M3472+1</t>
  </si>
  <si>
    <t>=SUM(P3472:T3472)</t>
  </si>
  <si>
    <t>=IF($M3472&gt;=$P$18,U3472,0)</t>
  </si>
  <si>
    <t>=IF(AND($M3472&gt;=$Q$16,$M3472&lt;=$Q$18),U3472,0)</t>
  </si>
  <si>
    <t>=IF(AND($M3472&gt;=$R$16,$M3472&lt;=$R$18),U3472,0)</t>
  </si>
  <si>
    <t>=IF(AND($M3472&gt;=$S$16,$M3472&lt;=$S$18),U3472,0)</t>
  </si>
  <si>
    <t>=IF($M3472&lt;=$T$18,U3472,0)</t>
  </si>
  <si>
    <t>="""NAV Direct"",""CRONUS JetCorp USA"",""21"",""1"",""394654"""</t>
  </si>
  <si>
    <t>=E3471</t>
  </si>
  <si>
    <t>=StartDate-$M3473+1</t>
  </si>
  <si>
    <t>=SUM(P3473:T3473)</t>
  </si>
  <si>
    <t>=IF($M3473&gt;=$P$18,U3473,0)</t>
  </si>
  <si>
    <t>=IF(AND($M3473&gt;=$Q$16,$M3473&lt;=$Q$18),U3473,0)</t>
  </si>
  <si>
    <t>=IF(AND($M3473&gt;=$R$16,$M3473&lt;=$R$18),U3473,0)</t>
  </si>
  <si>
    <t>=IF(AND($M3473&gt;=$S$16,$M3473&lt;=$S$18),U3473,0)</t>
  </si>
  <si>
    <t>=IF($M3473&lt;=$T$18,U3473,0)</t>
  </si>
  <si>
    <t>="""NAV Direct"",""CRONUS JetCorp USA"",""21"",""1"",""394807"""</t>
  </si>
  <si>
    <t>=E3472</t>
  </si>
  <si>
    <t>=StartDate-$M3474+1</t>
  </si>
  <si>
    <t>=SUM(P3474:T3474)</t>
  </si>
  <si>
    <t>=IF($M3474&gt;=$P$18,U3474,0)</t>
  </si>
  <si>
    <t>=IF(AND($M3474&gt;=$Q$16,$M3474&lt;=$Q$18),U3474,0)</t>
  </si>
  <si>
    <t>=IF(AND($M3474&gt;=$R$16,$M3474&lt;=$R$18),U3474,0)</t>
  </si>
  <si>
    <t>=IF(AND($M3474&gt;=$S$16,$M3474&lt;=$S$18),U3474,0)</t>
  </si>
  <si>
    <t>=IF($M3474&lt;=$T$18,U3474,0)</t>
  </si>
  <si>
    <t>="""NAV Direct"",""CRONUS JetCorp USA"",""21"",""1"",""394919"""</t>
  </si>
  <si>
    <t>=E3473</t>
  </si>
  <si>
    <t>=StartDate-$M3475+1</t>
  </si>
  <si>
    <t>=SUM(P3475:T3475)</t>
  </si>
  <si>
    <t>=IF($M3475&gt;=$P$18,U3475,0)</t>
  </si>
  <si>
    <t>=IF(AND($M3475&gt;=$Q$16,$M3475&lt;=$Q$18),U3475,0)</t>
  </si>
  <si>
    <t>=IF(AND($M3475&gt;=$R$16,$M3475&lt;=$R$18),U3475,0)</t>
  </si>
  <si>
    <t>=IF(AND($M3475&gt;=$S$16,$M3475&lt;=$S$18),U3475,0)</t>
  </si>
  <si>
    <t>=IF($M3475&lt;=$T$18,U3475,0)</t>
  </si>
  <si>
    <t>="""NAV Direct"",""CRONUS JetCorp USA"",""21"",""1"",""394962"""</t>
  </si>
  <si>
    <t>=E3474</t>
  </si>
  <si>
    <t>=StartDate-$M3476+1</t>
  </si>
  <si>
    <t>=SUM(P3476:T3476)</t>
  </si>
  <si>
    <t>=IF($M3476&gt;=$P$18,U3476,0)</t>
  </si>
  <si>
    <t>=IF(AND($M3476&gt;=$Q$16,$M3476&lt;=$Q$18),U3476,0)</t>
  </si>
  <si>
    <t>=IF(AND($M3476&gt;=$R$16,$M3476&lt;=$R$18),U3476,0)</t>
  </si>
  <si>
    <t>=IF(AND($M3476&gt;=$S$16,$M3476&lt;=$S$18),U3476,0)</t>
  </si>
  <si>
    <t>=IF($M3476&lt;=$T$18,U3476,0)</t>
  </si>
  <si>
    <t>="""NAV Direct"",""CRONUS JetCorp USA"",""21"",""1"",""395535"""</t>
  </si>
  <si>
    <t>=E3475</t>
  </si>
  <si>
    <t>=StartDate-$M3477+1</t>
  </si>
  <si>
    <t>=SUM(P3477:T3477)</t>
  </si>
  <si>
    <t>=IF($M3477&gt;=$P$18,U3477,0)</t>
  </si>
  <si>
    <t>=IF(AND($M3477&gt;=$Q$16,$M3477&lt;=$Q$18),U3477,0)</t>
  </si>
  <si>
    <t>=IF(AND($M3477&gt;=$R$16,$M3477&lt;=$R$18),U3477,0)</t>
  </si>
  <si>
    <t>=IF(AND($M3477&gt;=$S$16,$M3477&lt;=$S$18),U3477,0)</t>
  </si>
  <si>
    <t>=IF($M3477&lt;=$T$18,U3477,0)</t>
  </si>
  <si>
    <t>="""NAV Direct"",""CRONUS JetCorp USA"",""21"",""1"",""395722"""</t>
  </si>
  <si>
    <t>=E3476</t>
  </si>
  <si>
    <t>=StartDate-$M3478+1</t>
  </si>
  <si>
    <t>=SUM(P3478:T3478)</t>
  </si>
  <si>
    <t>=IF($M3478&gt;=$P$18,U3478,0)</t>
  </si>
  <si>
    <t>=IF(AND($M3478&gt;=$Q$16,$M3478&lt;=$Q$18),U3478,0)</t>
  </si>
  <si>
    <t>=IF(AND($M3478&gt;=$R$16,$M3478&lt;=$R$18),U3478,0)</t>
  </si>
  <si>
    <t>=IF(AND($M3478&gt;=$S$16,$M3478&lt;=$S$18),U3478,0)</t>
  </si>
  <si>
    <t>=IF($M3478&lt;=$T$18,U3478,0)</t>
  </si>
  <si>
    <t>="""NAV Direct"",""CRONUS JetCorp USA"",""21"",""1"",""395773"""</t>
  </si>
  <si>
    <t>=E3477</t>
  </si>
  <si>
    <t>=StartDate-$M3479+1</t>
  </si>
  <si>
    <t>=SUM(P3479:T3479)</t>
  </si>
  <si>
    <t>=IF($M3479&gt;=$P$18,U3479,0)</t>
  </si>
  <si>
    <t>=IF(AND($M3479&gt;=$Q$16,$M3479&lt;=$Q$18),U3479,0)</t>
  </si>
  <si>
    <t>=IF(AND($M3479&gt;=$R$16,$M3479&lt;=$R$18),U3479,0)</t>
  </si>
  <si>
    <t>=IF(AND($M3479&gt;=$S$16,$M3479&lt;=$S$18),U3479,0)</t>
  </si>
  <si>
    <t>=IF($M3479&lt;=$T$18,U3479,0)</t>
  </si>
  <si>
    <t>="""NAV Direct"",""CRONUS JetCorp USA"",""21"",""1"",""396213"""</t>
  </si>
  <si>
    <t>=E3478</t>
  </si>
  <si>
    <t>=StartDate-$M3480+1</t>
  </si>
  <si>
    <t>=SUM(P3480:T3480)</t>
  </si>
  <si>
    <t>=IF($M3480&gt;=$P$18,U3480,0)</t>
  </si>
  <si>
    <t>=IF(AND($M3480&gt;=$Q$16,$M3480&lt;=$Q$18),U3480,0)</t>
  </si>
  <si>
    <t>=IF(AND($M3480&gt;=$R$16,$M3480&lt;=$R$18),U3480,0)</t>
  </si>
  <si>
    <t>=IF(AND($M3480&gt;=$S$16,$M3480&lt;=$S$18),U3480,0)</t>
  </si>
  <si>
    <t>=IF($M3480&lt;=$T$18,U3480,0)</t>
  </si>
  <si>
    <t>="""NAV Direct"",""CRONUS JetCorp USA"",""21"",""1"",""396588"""</t>
  </si>
  <si>
    <t>=E3479</t>
  </si>
  <si>
    <t>=StartDate-$M3481+1</t>
  </si>
  <si>
    <t>=SUM(P3481:T3481)</t>
  </si>
  <si>
    <t>=IF($M3481&gt;=$P$18,U3481,0)</t>
  </si>
  <si>
    <t>=IF(AND($M3481&gt;=$Q$16,$M3481&lt;=$Q$18),U3481,0)</t>
  </si>
  <si>
    <t>=IF(AND($M3481&gt;=$R$16,$M3481&lt;=$R$18),U3481,0)</t>
  </si>
  <si>
    <t>=IF(AND($M3481&gt;=$S$16,$M3481&lt;=$S$18),U3481,0)</t>
  </si>
  <si>
    <t>=IF($M3481&lt;=$T$18,U3481,0)</t>
  </si>
  <si>
    <t>="""NAV Direct"",""CRONUS JetCorp USA"",""21"",""1"",""398356"""</t>
  </si>
  <si>
    <t>=E3480</t>
  </si>
  <si>
    <t>=StartDate-$M3482+1</t>
  </si>
  <si>
    <t>=SUM(P3482:T3482)</t>
  </si>
  <si>
    <t>=IF($M3482&gt;=$P$18,U3482,0)</t>
  </si>
  <si>
    <t>=IF(AND($M3482&gt;=$Q$16,$M3482&lt;=$Q$18),U3482,0)</t>
  </si>
  <si>
    <t>=IF(AND($M3482&gt;=$R$16,$M3482&lt;=$R$18),U3482,0)</t>
  </si>
  <si>
    <t>=IF(AND($M3482&gt;=$S$16,$M3482&lt;=$S$18),U3482,0)</t>
  </si>
  <si>
    <t>=IF($M3482&lt;=$T$18,U3482,0)</t>
  </si>
  <si>
    <t>="""NAV Direct"",""CRONUS JetCorp USA"",""21"",""1"",""399484"""</t>
  </si>
  <si>
    <t>=E3481</t>
  </si>
  <si>
    <t>=StartDate-$M3483+1</t>
  </si>
  <si>
    <t>=SUM(P3483:T3483)</t>
  </si>
  <si>
    <t>=IF($M3483&gt;=$P$18,U3483,0)</t>
  </si>
  <si>
    <t>=IF(AND($M3483&gt;=$Q$16,$M3483&lt;=$Q$18),U3483,0)</t>
  </si>
  <si>
    <t>=IF(AND($M3483&gt;=$R$16,$M3483&lt;=$R$18),U3483,0)</t>
  </si>
  <si>
    <t>=IF(AND($M3483&gt;=$S$16,$M3483&lt;=$S$18),U3483,0)</t>
  </si>
  <si>
    <t>=IF($M3483&lt;=$T$18,U3483,0)</t>
  </si>
  <si>
    <t>="""NAV Direct"",""CRONUS JetCorp USA"",""21"",""1"",""399821"""</t>
  </si>
  <si>
    <t>=E3482</t>
  </si>
  <si>
    <t>=StartDate-$M3484+1</t>
  </si>
  <si>
    <t>=SUM(P3484:T3484)</t>
  </si>
  <si>
    <t>=IF($M3484&gt;=$P$18,U3484,0)</t>
  </si>
  <si>
    <t>=IF(AND($M3484&gt;=$Q$16,$M3484&lt;=$Q$18),U3484,0)</t>
  </si>
  <si>
    <t>=IF(AND($M3484&gt;=$R$16,$M3484&lt;=$R$18),U3484,0)</t>
  </si>
  <si>
    <t>=IF(AND($M3484&gt;=$S$16,$M3484&lt;=$S$18),U3484,0)</t>
  </si>
  <si>
    <t>=IF($M3484&lt;=$T$18,U3484,0)</t>
  </si>
  <si>
    <t>="""NAV Direct"",""CRONUS JetCorp USA"",""21"",""1"",""400264"""</t>
  </si>
  <si>
    <t>=E3483</t>
  </si>
  <si>
    <t>=StartDate-$M3485+1</t>
  </si>
  <si>
    <t>=SUM(P3485:T3485)</t>
  </si>
  <si>
    <t>=IF($M3485&gt;=$P$18,U3485,0)</t>
  </si>
  <si>
    <t>=IF(AND($M3485&gt;=$Q$16,$M3485&lt;=$Q$18),U3485,0)</t>
  </si>
  <si>
    <t>=IF(AND($M3485&gt;=$R$16,$M3485&lt;=$R$18),U3485,0)</t>
  </si>
  <si>
    <t>=IF(AND($M3485&gt;=$S$16,$M3485&lt;=$S$18),U3485,0)</t>
  </si>
  <si>
    <t>=IF($M3485&lt;=$T$18,U3485,0)</t>
  </si>
  <si>
    <t>="""NAV Direct"",""CRONUS JetCorp USA"",""21"",""1"",""400735"""</t>
  </si>
  <si>
    <t>=E3484</t>
  </si>
  <si>
    <t>=StartDate-$M3486+1</t>
  </si>
  <si>
    <t>=SUM(P3486:T3486)</t>
  </si>
  <si>
    <t>=IF($M3486&gt;=$P$18,U3486,0)</t>
  </si>
  <si>
    <t>=IF(AND($M3486&gt;=$Q$16,$M3486&lt;=$Q$18),U3486,0)</t>
  </si>
  <si>
    <t>=IF(AND($M3486&gt;=$R$16,$M3486&lt;=$R$18),U3486,0)</t>
  </si>
  <si>
    <t>=IF(AND($M3486&gt;=$S$16,$M3486&lt;=$S$18),U3486,0)</t>
  </si>
  <si>
    <t>=IF($M3486&lt;=$T$18,U3486,0)</t>
  </si>
  <si>
    <t>="""NAV Direct"",""CRONUS JetCorp USA"",""21"",""1"",""438770"""</t>
  </si>
  <si>
    <t>=E3485</t>
  </si>
  <si>
    <t>=StartDate-$M3487+1</t>
  </si>
  <si>
    <t>=SUM(P3487:T3487)</t>
  </si>
  <si>
    <t>=IF($M3487&gt;=$P$18,U3487,0)</t>
  </si>
  <si>
    <t>=IF(AND($M3487&gt;=$Q$16,$M3487&lt;=$Q$18),U3487,0)</t>
  </si>
  <si>
    <t>=IF(AND($M3487&gt;=$R$16,$M3487&lt;=$R$18),U3487,0)</t>
  </si>
  <si>
    <t>=IF(AND($M3487&gt;=$S$16,$M3487&lt;=$S$18),U3487,0)</t>
  </si>
  <si>
    <t>=IF($M3487&lt;=$T$18,U3487,0)</t>
  </si>
  <si>
    <t>="""NAV Direct"",""CRONUS JetCorp USA"",""21"",""1"",""439110"""</t>
  </si>
  <si>
    <t>=E3486</t>
  </si>
  <si>
    <t>=StartDate-$M3488+1</t>
  </si>
  <si>
    <t>=SUM(P3488:T3488)</t>
  </si>
  <si>
    <t>=IF($M3488&gt;=$P$18,U3488,0)</t>
  </si>
  <si>
    <t>=IF(AND($M3488&gt;=$Q$16,$M3488&lt;=$Q$18),U3488,0)</t>
  </si>
  <si>
    <t>=IF(AND($M3488&gt;=$R$16,$M3488&lt;=$R$18),U3488,0)</t>
  </si>
  <si>
    <t>=IF(AND($M3488&gt;=$S$16,$M3488&lt;=$S$18),U3488,0)</t>
  </si>
  <si>
    <t>=IF($M3488&lt;=$T$18,U3488,0)</t>
  </si>
  <si>
    <t>="""NAV Direct"",""CRONUS JetCorp USA"",""21"",""1"",""439383"""</t>
  </si>
  <si>
    <t>=E3487</t>
  </si>
  <si>
    <t>=StartDate-$M3489+1</t>
  </si>
  <si>
    <t>=SUM(P3489:T3489)</t>
  </si>
  <si>
    <t>=IF($M3489&gt;=$P$18,U3489,0)</t>
  </si>
  <si>
    <t>=IF(AND($M3489&gt;=$Q$16,$M3489&lt;=$Q$18),U3489,0)</t>
  </si>
  <si>
    <t>=IF(AND($M3489&gt;=$R$16,$M3489&lt;=$R$18),U3489,0)</t>
  </si>
  <si>
    <t>=IF(AND($M3489&gt;=$S$16,$M3489&lt;=$S$18),U3489,0)</t>
  </si>
  <si>
    <t>=IF($M3489&lt;=$T$18,U3489,0)</t>
  </si>
  <si>
    <t>="""NAV Direct"",""CRONUS JetCorp USA"",""21"",""1"",""439464"""</t>
  </si>
  <si>
    <t>=E3488</t>
  </si>
  <si>
    <t>=StartDate-$M3490+1</t>
  </si>
  <si>
    <t>=SUM(P3490:T3490)</t>
  </si>
  <si>
    <t>=IF($M3490&gt;=$P$18,U3490,0)</t>
  </si>
  <si>
    <t>=IF(AND($M3490&gt;=$Q$16,$M3490&lt;=$Q$18),U3490,0)</t>
  </si>
  <si>
    <t>=IF(AND($M3490&gt;=$R$16,$M3490&lt;=$R$18),U3490,0)</t>
  </si>
  <si>
    <t>=IF(AND($M3490&gt;=$S$16,$M3490&lt;=$S$18),U3490,0)</t>
  </si>
  <si>
    <t>=IF($M3490&lt;=$T$18,U3490,0)</t>
  </si>
  <si>
    <t>="""NAV Direct"",""CRONUS JetCorp USA"",""21"",""1"",""439737"""</t>
  </si>
  <si>
    <t>=E3489</t>
  </si>
  <si>
    <t>=StartDate-$M3491+1</t>
  </si>
  <si>
    <t>=SUM(P3491:T3491)</t>
  </si>
  <si>
    <t>=IF($M3491&gt;=$P$18,U3491,0)</t>
  </si>
  <si>
    <t>=IF(AND($M3491&gt;=$Q$16,$M3491&lt;=$Q$18),U3491,0)</t>
  </si>
  <si>
    <t>=IF(AND($M3491&gt;=$R$16,$M3491&lt;=$R$18),U3491,0)</t>
  </si>
  <si>
    <t>=IF(AND($M3491&gt;=$S$16,$M3491&lt;=$S$18),U3491,0)</t>
  </si>
  <si>
    <t>=IF($M3491&lt;=$T$18,U3491,0)</t>
  </si>
  <si>
    <t>="""NAV Direct"",""CRONUS JetCorp USA"",""21"",""1"",""439834"""</t>
  </si>
  <si>
    <t>=E3490</t>
  </si>
  <si>
    <t>=StartDate-$M3492+1</t>
  </si>
  <si>
    <t>=SUM(P3492:T3492)</t>
  </si>
  <si>
    <t>=IF($M3492&gt;=$P$18,U3492,0)</t>
  </si>
  <si>
    <t>=IF(AND($M3492&gt;=$Q$16,$M3492&lt;=$Q$18),U3492,0)</t>
  </si>
  <si>
    <t>=IF(AND($M3492&gt;=$R$16,$M3492&lt;=$R$18),U3492,0)</t>
  </si>
  <si>
    <t>=IF(AND($M3492&gt;=$S$16,$M3492&lt;=$S$18),U3492,0)</t>
  </si>
  <si>
    <t>=IF($M3492&lt;=$T$18,U3492,0)</t>
  </si>
  <si>
    <t>="""NAV Direct"",""CRONUS JetCorp USA"",""21"",""1"",""440132"""</t>
  </si>
  <si>
    <t>=E3491</t>
  </si>
  <si>
    <t>=StartDate-$M3493+1</t>
  </si>
  <si>
    <t>=SUM(P3493:T3493)</t>
  </si>
  <si>
    <t>=IF($M3493&gt;=$P$18,U3493,0)</t>
  </si>
  <si>
    <t>=IF(AND($M3493&gt;=$Q$16,$M3493&lt;=$Q$18),U3493,0)</t>
  </si>
  <si>
    <t>=IF(AND($M3493&gt;=$R$16,$M3493&lt;=$R$18),U3493,0)</t>
  </si>
  <si>
    <t>=IF(AND($M3493&gt;=$S$16,$M3493&lt;=$S$18),U3493,0)</t>
  </si>
  <si>
    <t>=IF($M3493&lt;=$T$18,U3493,0)</t>
  </si>
  <si>
    <t>="""NAV Direct"",""CRONUS JetCorp USA"",""18"",""1"",""C100101"""</t>
  </si>
  <si>
    <t>=H3496</t>
  </si>
  <si>
    <t>=NF($C3496,"1 No.")</t>
  </si>
  <si>
    <t>=NF($C3496,"1 No.")&amp;"  -  "&amp;NF($C3496,"2 Name")</t>
  </si>
  <si>
    <t>=IFERROR(O3496/NF(C3496,"Credit Limit (LCY)"),"")</t>
  </si>
  <si>
    <t>=SUBTOTAL(3,L3497:L3537)</t>
  </si>
  <si>
    <t>=SUBTOTAL(9,O3497:O3537)</t>
  </si>
  <si>
    <t>=SUBTOTAL(9,P3497:P3537)</t>
  </si>
  <si>
    <t>=SUBTOTAL(9,Q3497:Q3537)</t>
  </si>
  <si>
    <t>=SUBTOTAL(9,R3497:R3537)</t>
  </si>
  <si>
    <t>=SUBTOTAL(9,S3497:S3537)</t>
  </si>
  <si>
    <t>=SUBTOTAL(9,T3497:T3537)</t>
  </si>
  <si>
    <t>=C3496</t>
  </si>
  <si>
    <t>=E3496</t>
  </si>
  <si>
    <t>="Contact: "&amp;NF($C3497,"8 Contact")</t>
  </si>
  <si>
    <t>=C3497</t>
  </si>
  <si>
    <t>=E3497</t>
  </si>
  <si>
    <t>=NF($C3498,"102 E-Mail")</t>
  </si>
  <si>
    <t>=NL("Rows","21 Cust. Ledger Entry",,"3 Customer No.","@@"&amp;$E3500,"16 Remaining Amt. (LCY)","&lt;&gt;0")</t>
  </si>
  <si>
    <t>=E3498</t>
  </si>
  <si>
    <t>=StartDate-$M3500+1</t>
  </si>
  <si>
    <t>=SUM(P3500:T3500)</t>
  </si>
  <si>
    <t>=IF($M3500&gt;=$P$18,U3500,0)</t>
  </si>
  <si>
    <t>=IF(AND($M3500&gt;=$Q$16,$M3500&lt;=$Q$18),U3500,0)</t>
  </si>
  <si>
    <t>=IF(AND($M3500&gt;=$R$16,$M3500&lt;=$R$18),U3500,0)</t>
  </si>
  <si>
    <t>=IF(AND($M3500&gt;=$S$16,$M3500&lt;=$S$18),U3500,0)</t>
  </si>
  <si>
    <t>=IF($M3500&lt;=$T$18,U3500,0)</t>
  </si>
  <si>
    <t>="""NAV Direct"",""CRONUS JetCorp USA"",""21"",""1"",""153451"""</t>
  </si>
  <si>
    <t>=E3499</t>
  </si>
  <si>
    <t>=StartDate-$M3501+1</t>
  </si>
  <si>
    <t>=SUM(P3501:T3501)</t>
  </si>
  <si>
    <t>=IF($M3501&gt;=$P$18,U3501,0)</t>
  </si>
  <si>
    <t>=IF(AND($M3501&gt;=$Q$16,$M3501&lt;=$Q$18),U3501,0)</t>
  </si>
  <si>
    <t>=IF(AND($M3501&gt;=$R$16,$M3501&lt;=$R$18),U3501,0)</t>
  </si>
  <si>
    <t>=IF(AND($M3501&gt;=$S$16,$M3501&lt;=$S$18),U3501,0)</t>
  </si>
  <si>
    <t>=IF($M3501&lt;=$T$18,U3501,0)</t>
  </si>
  <si>
    <t>="""NAV Direct"",""CRONUS JetCorp USA"",""21"",""1"",""153601"""</t>
  </si>
  <si>
    <t>=E3500</t>
  </si>
  <si>
    <t>=StartDate-$M3502+1</t>
  </si>
  <si>
    <t>=SUM(P3502:T3502)</t>
  </si>
  <si>
    <t>=IF($M3502&gt;=$P$18,U3502,0)</t>
  </si>
  <si>
    <t>=IF(AND($M3502&gt;=$Q$16,$M3502&lt;=$Q$18),U3502,0)</t>
  </si>
  <si>
    <t>=IF(AND($M3502&gt;=$R$16,$M3502&lt;=$R$18),U3502,0)</t>
  </si>
  <si>
    <t>=IF(AND($M3502&gt;=$S$16,$M3502&lt;=$S$18),U3502,0)</t>
  </si>
  <si>
    <t>=IF($M3502&lt;=$T$18,U3502,0)</t>
  </si>
  <si>
    <t>="""NAV Direct"",""CRONUS JetCorp USA"",""21"",""1"",""153690"""</t>
  </si>
  <si>
    <t>=E3501</t>
  </si>
  <si>
    <t>=StartDate-$M3503+1</t>
  </si>
  <si>
    <t>=SUM(P3503:T3503)</t>
  </si>
  <si>
    <t>=IF($M3503&gt;=$P$18,U3503,0)</t>
  </si>
  <si>
    <t>=IF(AND($M3503&gt;=$Q$16,$M3503&lt;=$Q$18),U3503,0)</t>
  </si>
  <si>
    <t>=IF(AND($M3503&gt;=$R$16,$M3503&lt;=$R$18),U3503,0)</t>
  </si>
  <si>
    <t>=IF(AND($M3503&gt;=$S$16,$M3503&lt;=$S$18),U3503,0)</t>
  </si>
  <si>
    <t>=IF($M3503&lt;=$T$18,U3503,0)</t>
  </si>
  <si>
    <t>="""NAV Direct"",""CRONUS JetCorp USA"",""21"",""1"",""154077"""</t>
  </si>
  <si>
    <t>=E3502</t>
  </si>
  <si>
    <t>=StartDate-$M3504+1</t>
  </si>
  <si>
    <t>=SUM(P3504:T3504)</t>
  </si>
  <si>
    <t>=IF($M3504&gt;=$P$18,U3504,0)</t>
  </si>
  <si>
    <t>=IF(AND($M3504&gt;=$Q$16,$M3504&lt;=$Q$18),U3504,0)</t>
  </si>
  <si>
    <t>=IF(AND($M3504&gt;=$R$16,$M3504&lt;=$R$18),U3504,0)</t>
  </si>
  <si>
    <t>=IF(AND($M3504&gt;=$S$16,$M3504&lt;=$S$18),U3504,0)</t>
  </si>
  <si>
    <t>=IF($M3504&lt;=$T$18,U3504,0)</t>
  </si>
  <si>
    <t>="""NAV Direct"",""CRONUS JetCorp USA"",""21"",""1"",""154395"""</t>
  </si>
  <si>
    <t>=E3503</t>
  </si>
  <si>
    <t>=StartDate-$M3505+1</t>
  </si>
  <si>
    <t>=SUM(P3505:T3505)</t>
  </si>
  <si>
    <t>=IF($M3505&gt;=$P$18,U3505,0)</t>
  </si>
  <si>
    <t>=IF(AND($M3505&gt;=$Q$16,$M3505&lt;=$Q$18),U3505,0)</t>
  </si>
  <si>
    <t>=IF(AND($M3505&gt;=$R$16,$M3505&lt;=$R$18),U3505,0)</t>
  </si>
  <si>
    <t>=IF(AND($M3505&gt;=$S$16,$M3505&lt;=$S$18),U3505,0)</t>
  </si>
  <si>
    <t>=IF($M3505&lt;=$T$18,U3505,0)</t>
  </si>
  <si>
    <t>="""NAV Direct"",""CRONUS JetCorp USA"",""21"",""1"",""402353"""</t>
  </si>
  <si>
    <t>=E3504</t>
  </si>
  <si>
    <t>=StartDate-$M3506+1</t>
  </si>
  <si>
    <t>=SUM(P3506:T3506)</t>
  </si>
  <si>
    <t>=IF($M3506&gt;=$P$18,U3506,0)</t>
  </si>
  <si>
    <t>=IF(AND($M3506&gt;=$Q$16,$M3506&lt;=$Q$18),U3506,0)</t>
  </si>
  <si>
    <t>=IF(AND($M3506&gt;=$R$16,$M3506&lt;=$R$18),U3506,0)</t>
  </si>
  <si>
    <t>=IF(AND($M3506&gt;=$S$16,$M3506&lt;=$S$18),U3506,0)</t>
  </si>
  <si>
    <t>=IF($M3506&lt;=$T$18,U3506,0)</t>
  </si>
  <si>
    <t>="""NAV Direct"",""CRONUS JetCorp USA"",""21"",""1"",""402445"""</t>
  </si>
  <si>
    <t>=E3505</t>
  </si>
  <si>
    <t>=StartDate-$M3507+1</t>
  </si>
  <si>
    <t>=SUM(P3507:T3507)</t>
  </si>
  <si>
    <t>=IF($M3507&gt;=$P$18,U3507,0)</t>
  </si>
  <si>
    <t>=IF(AND($M3507&gt;=$Q$16,$M3507&lt;=$Q$18),U3507,0)</t>
  </si>
  <si>
    <t>=IF(AND($M3507&gt;=$R$16,$M3507&lt;=$R$18),U3507,0)</t>
  </si>
  <si>
    <t>=IF(AND($M3507&gt;=$S$16,$M3507&lt;=$S$18),U3507,0)</t>
  </si>
  <si>
    <t>=IF($M3507&lt;=$T$18,U3507,0)</t>
  </si>
  <si>
    <t>="""NAV Direct"",""CRONUS JetCorp USA"",""21"",""1"",""402480"""</t>
  </si>
  <si>
    <t>=E3506</t>
  </si>
  <si>
    <t>=StartDate-$M3508+1</t>
  </si>
  <si>
    <t>=SUM(P3508:T3508)</t>
  </si>
  <si>
    <t>=IF($M3508&gt;=$P$18,U3508,0)</t>
  </si>
  <si>
    <t>=IF(AND($M3508&gt;=$Q$16,$M3508&lt;=$Q$18),U3508,0)</t>
  </si>
  <si>
    <t>=IF(AND($M3508&gt;=$R$16,$M3508&lt;=$R$18),U3508,0)</t>
  </si>
  <si>
    <t>=IF(AND($M3508&gt;=$S$16,$M3508&lt;=$S$18),U3508,0)</t>
  </si>
  <si>
    <t>=IF($M3508&lt;=$T$18,U3508,0)</t>
  </si>
  <si>
    <t>="""NAV Direct"",""CRONUS JetCorp USA"",""21"",""1"",""403916"""</t>
  </si>
  <si>
    <t>=E3507</t>
  </si>
  <si>
    <t>=StartDate-$M3509+1</t>
  </si>
  <si>
    <t>=SUM(P3509:T3509)</t>
  </si>
  <si>
    <t>=IF($M3509&gt;=$P$18,U3509,0)</t>
  </si>
  <si>
    <t>=IF(AND($M3509&gt;=$Q$16,$M3509&lt;=$Q$18),U3509,0)</t>
  </si>
  <si>
    <t>=IF(AND($M3509&gt;=$R$16,$M3509&lt;=$R$18),U3509,0)</t>
  </si>
  <si>
    <t>=IF(AND($M3509&gt;=$S$16,$M3509&lt;=$S$18),U3509,0)</t>
  </si>
  <si>
    <t>=IF($M3509&lt;=$T$18,U3509,0)</t>
  </si>
  <si>
    <t>="""NAV Direct"",""CRONUS JetCorp USA"",""21"",""1"",""404593"""</t>
  </si>
  <si>
    <t>=E3508</t>
  </si>
  <si>
    <t>=StartDate-$M3510+1</t>
  </si>
  <si>
    <t>=SUM(P3510:T3510)</t>
  </si>
  <si>
    <t>=IF($M3510&gt;=$P$18,U3510,0)</t>
  </si>
  <si>
    <t>=IF(AND($M3510&gt;=$Q$16,$M3510&lt;=$Q$18),U3510,0)</t>
  </si>
  <si>
    <t>=IF(AND($M3510&gt;=$R$16,$M3510&lt;=$R$18),U3510,0)</t>
  </si>
  <si>
    <t>=IF(AND($M3510&gt;=$S$16,$M3510&lt;=$S$18),U3510,0)</t>
  </si>
  <si>
    <t>=IF($M3510&lt;=$T$18,U3510,0)</t>
  </si>
  <si>
    <t>="""NAV Direct"",""CRONUS JetCorp USA"",""21"",""1"",""405096"""</t>
  </si>
  <si>
    <t>=E3509</t>
  </si>
  <si>
    <t>=StartDate-$M3511+1</t>
  </si>
  <si>
    <t>=SUM(P3511:T3511)</t>
  </si>
  <si>
    <t>=IF($M3511&gt;=$P$18,U3511,0)</t>
  </si>
  <si>
    <t>=IF(AND($M3511&gt;=$Q$16,$M3511&lt;=$Q$18),U3511,0)</t>
  </si>
  <si>
    <t>=IF(AND($M3511&gt;=$R$16,$M3511&lt;=$R$18),U3511,0)</t>
  </si>
  <si>
    <t>=IF(AND($M3511&gt;=$S$16,$M3511&lt;=$S$18),U3511,0)</t>
  </si>
  <si>
    <t>=IF($M3511&lt;=$T$18,U3511,0)</t>
  </si>
  <si>
    <t>="""NAV Direct"",""CRONUS JetCorp USA"",""21"",""1"",""405251"""</t>
  </si>
  <si>
    <t>=E3510</t>
  </si>
  <si>
    <t>=StartDate-$M3512+1</t>
  </si>
  <si>
    <t>=SUM(P3512:T3512)</t>
  </si>
  <si>
    <t>=IF($M3512&gt;=$P$18,U3512,0)</t>
  </si>
  <si>
    <t>=IF(AND($M3512&gt;=$Q$16,$M3512&lt;=$Q$18),U3512,0)</t>
  </si>
  <si>
    <t>=IF(AND($M3512&gt;=$R$16,$M3512&lt;=$R$18),U3512,0)</t>
  </si>
  <si>
    <t>=IF(AND($M3512&gt;=$S$16,$M3512&lt;=$S$18),U3512,0)</t>
  </si>
  <si>
    <t>=IF($M3512&lt;=$T$18,U3512,0)</t>
  </si>
  <si>
    <t>="""NAV Direct"",""CRONUS JetCorp USA"",""21"",""1"",""405874"""</t>
  </si>
  <si>
    <t>=E3511</t>
  </si>
  <si>
    <t>=StartDate-$M3513+1</t>
  </si>
  <si>
    <t>=SUM(P3513:T3513)</t>
  </si>
  <si>
    <t>=IF($M3513&gt;=$P$18,U3513,0)</t>
  </si>
  <si>
    <t>=IF(AND($M3513&gt;=$Q$16,$M3513&lt;=$Q$18),U3513,0)</t>
  </si>
  <si>
    <t>=IF(AND($M3513&gt;=$R$16,$M3513&lt;=$R$18),U3513,0)</t>
  </si>
  <si>
    <t>=IF(AND($M3513&gt;=$S$16,$M3513&lt;=$S$18),U3513,0)</t>
  </si>
  <si>
    <t>=IF($M3513&lt;=$T$18,U3513,0)</t>
  </si>
  <si>
    <t>="""NAV Direct"",""CRONUS JetCorp USA"",""21"",""1"",""406038"""</t>
  </si>
  <si>
    <t>=E3512</t>
  </si>
  <si>
    <t>=StartDate-$M3514+1</t>
  </si>
  <si>
    <t>=SUM(P3514:T3514)</t>
  </si>
  <si>
    <t>=IF($M3514&gt;=$P$18,U3514,0)</t>
  </si>
  <si>
    <t>=IF(AND($M3514&gt;=$Q$16,$M3514&lt;=$Q$18),U3514,0)</t>
  </si>
  <si>
    <t>=IF(AND($M3514&gt;=$R$16,$M3514&lt;=$R$18),U3514,0)</t>
  </si>
  <si>
    <t>=IF(AND($M3514&gt;=$S$16,$M3514&lt;=$S$18),U3514,0)</t>
  </si>
  <si>
    <t>=IF($M3514&lt;=$T$18,U3514,0)</t>
  </si>
  <si>
    <t>="""NAV Direct"",""CRONUS JetCorp USA"",""21"",""1"",""406077"""</t>
  </si>
  <si>
    <t>=E3513</t>
  </si>
  <si>
    <t>=StartDate-$M3515+1</t>
  </si>
  <si>
    <t>=SUM(P3515:T3515)</t>
  </si>
  <si>
    <t>=IF($M3515&gt;=$P$18,U3515,0)</t>
  </si>
  <si>
    <t>=IF(AND($M3515&gt;=$Q$16,$M3515&lt;=$Q$18),U3515,0)</t>
  </si>
  <si>
    <t>=IF(AND($M3515&gt;=$R$16,$M3515&lt;=$R$18),U3515,0)</t>
  </si>
  <si>
    <t>=IF(AND($M3515&gt;=$S$16,$M3515&lt;=$S$18),U3515,0)</t>
  </si>
  <si>
    <t>=IF($M3515&lt;=$T$18,U3515,0)</t>
  </si>
  <si>
    <t>="""NAV Direct"",""CRONUS JetCorp USA"",""21"",""1"",""406108"""</t>
  </si>
  <si>
    <t>=E3514</t>
  </si>
  <si>
    <t>=StartDate-$M3516+1</t>
  </si>
  <si>
    <t>=SUM(P3516:T3516)</t>
  </si>
  <si>
    <t>=IF($M3516&gt;=$P$18,U3516,0)</t>
  </si>
  <si>
    <t>=IF(AND($M3516&gt;=$Q$16,$M3516&lt;=$Q$18),U3516,0)</t>
  </si>
  <si>
    <t>=IF(AND($M3516&gt;=$R$16,$M3516&lt;=$R$18),U3516,0)</t>
  </si>
  <si>
    <t>=IF(AND($M3516&gt;=$S$16,$M3516&lt;=$S$18),U3516,0)</t>
  </si>
  <si>
    <t>=IF($M3516&lt;=$T$18,U3516,0)</t>
  </si>
  <si>
    <t>="""NAV Direct"",""CRONUS JetCorp USA"",""21"",""1"",""406319"""</t>
  </si>
  <si>
    <t>=E3515</t>
  </si>
  <si>
    <t>=StartDate-$M3517+1</t>
  </si>
  <si>
    <t>=SUM(P3517:T3517)</t>
  </si>
  <si>
    <t>=IF($M3517&gt;=$P$18,U3517,0)</t>
  </si>
  <si>
    <t>=IF(AND($M3517&gt;=$Q$16,$M3517&lt;=$Q$18),U3517,0)</t>
  </si>
  <si>
    <t>=IF(AND($M3517&gt;=$R$16,$M3517&lt;=$R$18),U3517,0)</t>
  </si>
  <si>
    <t>=IF(AND($M3517&gt;=$S$16,$M3517&lt;=$S$18),U3517,0)</t>
  </si>
  <si>
    <t>=IF($M3517&lt;=$T$18,U3517,0)</t>
  </si>
  <si>
    <t>="""NAV Direct"",""CRONUS JetCorp USA"",""21"",""1"",""406400"""</t>
  </si>
  <si>
    <t>=E3516</t>
  </si>
  <si>
    <t>=StartDate-$M3518+1</t>
  </si>
  <si>
    <t>=SUM(P3518:T3518)</t>
  </si>
  <si>
    <t>=IF($M3518&gt;=$P$18,U3518,0)</t>
  </si>
  <si>
    <t>=IF(AND($M3518&gt;=$Q$16,$M3518&lt;=$Q$18),U3518,0)</t>
  </si>
  <si>
    <t>=IF(AND($M3518&gt;=$R$16,$M3518&lt;=$R$18),U3518,0)</t>
  </si>
  <si>
    <t>=IF(AND($M3518&gt;=$S$16,$M3518&lt;=$S$18),U3518,0)</t>
  </si>
  <si>
    <t>=IF($M3518&lt;=$T$18,U3518,0)</t>
  </si>
  <si>
    <t>="""NAV Direct"",""CRONUS JetCorp USA"",""21"",""1"",""407575"""</t>
  </si>
  <si>
    <t>=E3517</t>
  </si>
  <si>
    <t>=StartDate-$M3519+1</t>
  </si>
  <si>
    <t>=SUM(P3519:T3519)</t>
  </si>
  <si>
    <t>=IF($M3519&gt;=$P$18,U3519,0)</t>
  </si>
  <si>
    <t>=IF(AND($M3519&gt;=$Q$16,$M3519&lt;=$Q$18),U3519,0)</t>
  </si>
  <si>
    <t>=IF(AND($M3519&gt;=$R$16,$M3519&lt;=$R$18),U3519,0)</t>
  </si>
  <si>
    <t>=IF(AND($M3519&gt;=$S$16,$M3519&lt;=$S$18),U3519,0)</t>
  </si>
  <si>
    <t>=IF($M3519&lt;=$T$18,U3519,0)</t>
  </si>
  <si>
    <t>="""NAV Direct"",""CRONUS JetCorp USA"",""21"",""1"",""408343"""</t>
  </si>
  <si>
    <t>=E3518</t>
  </si>
  <si>
    <t>=StartDate-$M3520+1</t>
  </si>
  <si>
    <t>=SUM(P3520:T3520)</t>
  </si>
  <si>
    <t>=IF($M3520&gt;=$P$18,U3520,0)</t>
  </si>
  <si>
    <t>=IF(AND($M3520&gt;=$Q$16,$M3520&lt;=$Q$18),U3520,0)</t>
  </si>
  <si>
    <t>=IF(AND($M3520&gt;=$R$16,$M3520&lt;=$R$18),U3520,0)</t>
  </si>
  <si>
    <t>=IF(AND($M3520&gt;=$S$16,$M3520&lt;=$S$18),U3520,0)</t>
  </si>
  <si>
    <t>=IF($M3520&lt;=$T$18,U3520,0)</t>
  </si>
  <si>
    <t>="""NAV Direct"",""CRONUS JetCorp USA"",""21"",""1"",""408520"""</t>
  </si>
  <si>
    <t>=E3519</t>
  </si>
  <si>
    <t>=StartDate-$M3521+1</t>
  </si>
  <si>
    <t>=SUM(P3521:T3521)</t>
  </si>
  <si>
    <t>=IF($M3521&gt;=$P$18,U3521,0)</t>
  </si>
  <si>
    <t>=IF(AND($M3521&gt;=$Q$16,$M3521&lt;=$Q$18),U3521,0)</t>
  </si>
  <si>
    <t>=IF(AND($M3521&gt;=$R$16,$M3521&lt;=$R$18),U3521,0)</t>
  </si>
  <si>
    <t>=IF(AND($M3521&gt;=$S$16,$M3521&lt;=$S$18),U3521,0)</t>
  </si>
  <si>
    <t>=IF($M3521&lt;=$T$18,U3521,0)</t>
  </si>
  <si>
    <t>="""NAV Direct"",""CRONUS JetCorp USA"",""21"",""1"",""409657"""</t>
  </si>
  <si>
    <t>=E3520</t>
  </si>
  <si>
    <t>=StartDate-$M3522+1</t>
  </si>
  <si>
    <t>=SUM(P3522:T3522)</t>
  </si>
  <si>
    <t>=IF($M3522&gt;=$P$18,U3522,0)</t>
  </si>
  <si>
    <t>=IF(AND($M3522&gt;=$Q$16,$M3522&lt;=$Q$18),U3522,0)</t>
  </si>
  <si>
    <t>=IF(AND($M3522&gt;=$R$16,$M3522&lt;=$R$18),U3522,0)</t>
  </si>
  <si>
    <t>=IF(AND($M3522&gt;=$S$16,$M3522&lt;=$S$18),U3522,0)</t>
  </si>
  <si>
    <t>=IF($M3522&lt;=$T$18,U3522,0)</t>
  </si>
  <si>
    <t>="""NAV Direct"",""CRONUS JetCorp USA"",""21"",""1"",""410166"""</t>
  </si>
  <si>
    <t>=E3521</t>
  </si>
  <si>
    <t>=StartDate-$M3523+1</t>
  </si>
  <si>
    <t>=SUM(P3523:T3523)</t>
  </si>
  <si>
    <t>=IF($M3523&gt;=$P$18,U3523,0)</t>
  </si>
  <si>
    <t>=IF(AND($M3523&gt;=$Q$16,$M3523&lt;=$Q$18),U3523,0)</t>
  </si>
  <si>
    <t>=IF(AND($M3523&gt;=$R$16,$M3523&lt;=$R$18),U3523,0)</t>
  </si>
  <si>
    <t>=IF(AND($M3523&gt;=$S$16,$M3523&lt;=$S$18),U3523,0)</t>
  </si>
  <si>
    <t>=IF($M3523&lt;=$T$18,U3523,0)</t>
  </si>
  <si>
    <t>="""NAV Direct"",""CRONUS JetCorp USA"",""21"",""1"",""410860"""</t>
  </si>
  <si>
    <t>=E3522</t>
  </si>
  <si>
    <t>=StartDate-$M3524+1</t>
  </si>
  <si>
    <t>=SUM(P3524:T3524)</t>
  </si>
  <si>
    <t>=IF($M3524&gt;=$P$18,U3524,0)</t>
  </si>
  <si>
    <t>=IF(AND($M3524&gt;=$Q$16,$M3524&lt;=$Q$18),U3524,0)</t>
  </si>
  <si>
    <t>=IF(AND($M3524&gt;=$R$16,$M3524&lt;=$R$18),U3524,0)</t>
  </si>
  <si>
    <t>=IF(AND($M3524&gt;=$S$16,$M3524&lt;=$S$18),U3524,0)</t>
  </si>
  <si>
    <t>=IF($M3524&lt;=$T$18,U3524,0)</t>
  </si>
  <si>
    <t>="""NAV Direct"",""CRONUS JetCorp USA"",""21"",""1"",""410919"""</t>
  </si>
  <si>
    <t>=E3523</t>
  </si>
  <si>
    <t>=StartDate-$M3525+1</t>
  </si>
  <si>
    <t>=SUM(P3525:T3525)</t>
  </si>
  <si>
    <t>=IF($M3525&gt;=$P$18,U3525,0)</t>
  </si>
  <si>
    <t>=IF(AND($M3525&gt;=$Q$16,$M3525&lt;=$Q$18),U3525,0)</t>
  </si>
  <si>
    <t>=IF(AND($M3525&gt;=$R$16,$M3525&lt;=$R$18),U3525,0)</t>
  </si>
  <si>
    <t>=IF(AND($M3525&gt;=$S$16,$M3525&lt;=$S$18),U3525,0)</t>
  </si>
  <si>
    <t>=IF($M3525&lt;=$T$18,U3525,0)</t>
  </si>
  <si>
    <t>="""NAV Direct"",""CRONUS JetCorp USA"",""21"",""1"",""411025"""</t>
  </si>
  <si>
    <t>=E3524</t>
  </si>
  <si>
    <t>=StartDate-$M3526+1</t>
  </si>
  <si>
    <t>=SUM(P3526:T3526)</t>
  </si>
  <si>
    <t>=IF($M3526&gt;=$P$18,U3526,0)</t>
  </si>
  <si>
    <t>=IF(AND($M3526&gt;=$Q$16,$M3526&lt;=$Q$18),U3526,0)</t>
  </si>
  <si>
    <t>=IF(AND($M3526&gt;=$R$16,$M3526&lt;=$R$18),U3526,0)</t>
  </si>
  <si>
    <t>=IF(AND($M3526&gt;=$S$16,$M3526&lt;=$S$18),U3526,0)</t>
  </si>
  <si>
    <t>=IF($M3526&lt;=$T$18,U3526,0)</t>
  </si>
  <si>
    <t>="""NAV Direct"",""CRONUS JetCorp USA"",""21"",""1"",""411204"""</t>
  </si>
  <si>
    <t>=E3525</t>
  </si>
  <si>
    <t>=StartDate-$M3527+1</t>
  </si>
  <si>
    <t>=SUM(P3527:T3527)</t>
  </si>
  <si>
    <t>=IF($M3527&gt;=$P$18,U3527,0)</t>
  </si>
  <si>
    <t>=IF(AND($M3527&gt;=$Q$16,$M3527&lt;=$Q$18),U3527,0)</t>
  </si>
  <si>
    <t>=IF(AND($M3527&gt;=$R$16,$M3527&lt;=$R$18),U3527,0)</t>
  </si>
  <si>
    <t>=IF(AND($M3527&gt;=$S$16,$M3527&lt;=$S$18),U3527,0)</t>
  </si>
  <si>
    <t>=IF($M3527&lt;=$T$18,U3527,0)</t>
  </si>
  <si>
    <t>="""NAV Direct"",""CRONUS JetCorp USA"",""21"",""1"",""412181"""</t>
  </si>
  <si>
    <t>=E3526</t>
  </si>
  <si>
    <t>=StartDate-$M3528+1</t>
  </si>
  <si>
    <t>=SUM(P3528:T3528)</t>
  </si>
  <si>
    <t>=IF($M3528&gt;=$P$18,U3528,0)</t>
  </si>
  <si>
    <t>=IF(AND($M3528&gt;=$Q$16,$M3528&lt;=$Q$18),U3528,0)</t>
  </si>
  <si>
    <t>=IF(AND($M3528&gt;=$R$16,$M3528&lt;=$R$18),U3528,0)</t>
  </si>
  <si>
    <t>=IF(AND($M3528&gt;=$S$16,$M3528&lt;=$S$18),U3528,0)</t>
  </si>
  <si>
    <t>=IF($M3528&lt;=$T$18,U3528,0)</t>
  </si>
  <si>
    <t>="""NAV Direct"",""CRONUS JetCorp USA"",""21"",""1"",""412348"""</t>
  </si>
  <si>
    <t>=E3527</t>
  </si>
  <si>
    <t>=StartDate-$M3529+1</t>
  </si>
  <si>
    <t>=SUM(P3529:T3529)</t>
  </si>
  <si>
    <t>=IF($M3529&gt;=$P$18,U3529,0)</t>
  </si>
  <si>
    <t>=IF(AND($M3529&gt;=$Q$16,$M3529&lt;=$Q$18),U3529,0)</t>
  </si>
  <si>
    <t>=IF(AND($M3529&gt;=$R$16,$M3529&lt;=$R$18),U3529,0)</t>
  </si>
  <si>
    <t>=IF(AND($M3529&gt;=$S$16,$M3529&lt;=$S$18),U3529,0)</t>
  </si>
  <si>
    <t>=IF($M3529&lt;=$T$18,U3529,0)</t>
  </si>
  <si>
    <t>="""NAV Direct"",""CRONUS JetCorp USA"",""21"",""1"",""440210"""</t>
  </si>
  <si>
    <t>=E3528</t>
  </si>
  <si>
    <t>=StartDate-$M3530+1</t>
  </si>
  <si>
    <t>=SUM(P3530:T3530)</t>
  </si>
  <si>
    <t>=IF($M3530&gt;=$P$18,U3530,0)</t>
  </si>
  <si>
    <t>=IF(AND($M3530&gt;=$Q$16,$M3530&lt;=$Q$18),U3530,0)</t>
  </si>
  <si>
    <t>=IF(AND($M3530&gt;=$R$16,$M3530&lt;=$R$18),U3530,0)</t>
  </si>
  <si>
    <t>=IF(AND($M3530&gt;=$S$16,$M3530&lt;=$S$18),U3530,0)</t>
  </si>
  <si>
    <t>=IF($M3530&lt;=$T$18,U3530,0)</t>
  </si>
  <si>
    <t>="""NAV Direct"",""CRONUS JetCorp USA"",""21"",""1"",""440471"""</t>
  </si>
  <si>
    <t>=E3529</t>
  </si>
  <si>
    <t>=StartDate-$M3531+1</t>
  </si>
  <si>
    <t>=SUM(P3531:T3531)</t>
  </si>
  <si>
    <t>=IF($M3531&gt;=$P$18,U3531,0)</t>
  </si>
  <si>
    <t>=IF(AND($M3531&gt;=$Q$16,$M3531&lt;=$Q$18),U3531,0)</t>
  </si>
  <si>
    <t>=IF(AND($M3531&gt;=$R$16,$M3531&lt;=$R$18),U3531,0)</t>
  </si>
  <si>
    <t>=IF(AND($M3531&gt;=$S$16,$M3531&lt;=$S$18),U3531,0)</t>
  </si>
  <si>
    <t>=IF($M3531&lt;=$T$18,U3531,0)</t>
  </si>
  <si>
    <t>="""NAV Direct"",""CRONUS JetCorp USA"",""21"",""1"",""440692"""</t>
  </si>
  <si>
    <t>=E3530</t>
  </si>
  <si>
    <t>=StartDate-$M3532+1</t>
  </si>
  <si>
    <t>=SUM(P3532:T3532)</t>
  </si>
  <si>
    <t>=IF($M3532&gt;=$P$18,U3532,0)</t>
  </si>
  <si>
    <t>=IF(AND($M3532&gt;=$Q$16,$M3532&lt;=$Q$18),U3532,0)</t>
  </si>
  <si>
    <t>=IF(AND($M3532&gt;=$R$16,$M3532&lt;=$R$18),U3532,0)</t>
  </si>
  <si>
    <t>=IF(AND($M3532&gt;=$S$16,$M3532&lt;=$S$18),U3532,0)</t>
  </si>
  <si>
    <t>=IF($M3532&lt;=$T$18,U3532,0)</t>
  </si>
  <si>
    <t>="""NAV Direct"",""CRONUS JetCorp USA"",""21"",""1"",""441219"""</t>
  </si>
  <si>
    <t>=E3531</t>
  </si>
  <si>
    <t>=StartDate-$M3533+1</t>
  </si>
  <si>
    <t>=SUM(P3533:T3533)</t>
  </si>
  <si>
    <t>=IF($M3533&gt;=$P$18,U3533,0)</t>
  </si>
  <si>
    <t>=IF(AND($M3533&gt;=$Q$16,$M3533&lt;=$Q$18),U3533,0)</t>
  </si>
  <si>
    <t>=IF(AND($M3533&gt;=$R$16,$M3533&lt;=$R$18),U3533,0)</t>
  </si>
  <si>
    <t>=IF(AND($M3533&gt;=$S$16,$M3533&lt;=$S$18),U3533,0)</t>
  </si>
  <si>
    <t>=IF($M3533&lt;=$T$18,U3533,0)</t>
  </si>
  <si>
    <t>="""NAV Direct"",""CRONUS JetCorp USA"",""21"",""1"",""441428"""</t>
  </si>
  <si>
    <t>=E3532</t>
  </si>
  <si>
    <t>=StartDate-$M3534+1</t>
  </si>
  <si>
    <t>=SUM(P3534:T3534)</t>
  </si>
  <si>
    <t>=IF($M3534&gt;=$P$18,U3534,0)</t>
  </si>
  <si>
    <t>=IF(AND($M3534&gt;=$Q$16,$M3534&lt;=$Q$18),U3534,0)</t>
  </si>
  <si>
    <t>=IF(AND($M3534&gt;=$R$16,$M3534&lt;=$R$18),U3534,0)</t>
  </si>
  <si>
    <t>=IF(AND($M3534&gt;=$S$16,$M3534&lt;=$S$18),U3534,0)</t>
  </si>
  <si>
    <t>=IF($M3534&lt;=$T$18,U3534,0)</t>
  </si>
  <si>
    <t>="""NAV Direct"",""CRONUS JetCorp USA"",""21"",""1"",""441474"""</t>
  </si>
  <si>
    <t>=E3533</t>
  </si>
  <si>
    <t>=StartDate-$M3535+1</t>
  </si>
  <si>
    <t>=SUM(P3535:T3535)</t>
  </si>
  <si>
    <t>=IF($M3535&gt;=$P$18,U3535,0)</t>
  </si>
  <si>
    <t>=IF(AND($M3535&gt;=$Q$16,$M3535&lt;=$Q$18),U3535,0)</t>
  </si>
  <si>
    <t>=IF(AND($M3535&gt;=$R$16,$M3535&lt;=$R$18),U3535,0)</t>
  </si>
  <si>
    <t>=IF(AND($M3535&gt;=$S$16,$M3535&lt;=$S$18),U3535,0)</t>
  </si>
  <si>
    <t>=IF($M3535&lt;=$T$18,U3535,0)</t>
  </si>
  <si>
    <t>="""NAV Direct"",""CRONUS JetCorp USA"",""21"",""1"",""441558"""</t>
  </si>
  <si>
    <t>=E3534</t>
  </si>
  <si>
    <t>=StartDate-$M3536+1</t>
  </si>
  <si>
    <t>=SUM(P3536:T3536)</t>
  </si>
  <si>
    <t>=IF($M3536&gt;=$P$18,U3536,0)</t>
  </si>
  <si>
    <t>=IF(AND($M3536&gt;=$Q$16,$M3536&lt;=$Q$18),U3536,0)</t>
  </si>
  <si>
    <t>=IF(AND($M3536&gt;=$R$16,$M3536&lt;=$R$18),U3536,0)</t>
  </si>
  <si>
    <t>=IF(AND($M3536&gt;=$S$16,$M3536&lt;=$S$18),U3536,0)</t>
  </si>
  <si>
    <t>=IF($M3536&lt;=$T$18,U3536,0)</t>
  </si>
  <si>
    <t>="""NAV Direct"",""CRONUS JetCorp USA"",""18"",""1"",""C100102"""</t>
  </si>
  <si>
    <t>=H3539</t>
  </si>
  <si>
    <t>=NF($C3539,"1 No.")</t>
  </si>
  <si>
    <t>=NF($C3539,"1 No.")&amp;"  -  "&amp;NF($C3539,"2 Name")</t>
  </si>
  <si>
    <t>=IFERROR(O3539/NF(C3539,"Credit Limit (LCY)"),"")</t>
  </si>
  <si>
    <t>=SUBTOTAL(3,L3540:L3593)</t>
  </si>
  <si>
    <t>=SUBTOTAL(9,O3540:O3593)</t>
  </si>
  <si>
    <t>=SUBTOTAL(9,P3540:P3593)</t>
  </si>
  <si>
    <t>=SUBTOTAL(9,Q3540:Q3593)</t>
  </si>
  <si>
    <t>=SUBTOTAL(9,R3540:R3593)</t>
  </si>
  <si>
    <t>=SUBTOTAL(9,S3540:S3593)</t>
  </si>
  <si>
    <t>=SUBTOTAL(9,T3540:T3593)</t>
  </si>
  <si>
    <t>=C3539</t>
  </si>
  <si>
    <t>=E3539</t>
  </si>
  <si>
    <t>="Contact: "&amp;NF($C3540,"8 Contact")</t>
  </si>
  <si>
    <t>=C3540</t>
  </si>
  <si>
    <t>=E3540</t>
  </si>
  <si>
    <t>=NF($C3541,"102 E-Mail")</t>
  </si>
  <si>
    <t>=NL("Rows","21 Cust. Ledger Entry",,"3 Customer No.","@@"&amp;$E3543,"16 Remaining Amt. (LCY)","&lt;&gt;0")</t>
  </si>
  <si>
    <t>=E3541</t>
  </si>
  <si>
    <t>=StartDate-$M3543+1</t>
  </si>
  <si>
    <t>=SUM(P3543:T3543)</t>
  </si>
  <si>
    <t>=IF($M3543&gt;=$P$18,U3543,0)</t>
  </si>
  <si>
    <t>=IF(AND($M3543&gt;=$Q$16,$M3543&lt;=$Q$18),U3543,0)</t>
  </si>
  <si>
    <t>=IF(AND($M3543&gt;=$R$16,$M3543&lt;=$R$18),U3543,0)</t>
  </si>
  <si>
    <t>=IF(AND($M3543&gt;=$S$16,$M3543&lt;=$S$18),U3543,0)</t>
  </si>
  <si>
    <t>=IF($M3543&lt;=$T$18,U3543,0)</t>
  </si>
  <si>
    <t>="""NAV Direct"",""CRONUS JetCorp USA"",""21"",""1"",""72686"""</t>
  </si>
  <si>
    <t>=E3542</t>
  </si>
  <si>
    <t>=StartDate-$M3544+1</t>
  </si>
  <si>
    <t>=SUM(P3544:T3544)</t>
  </si>
  <si>
    <t>=IF($M3544&gt;=$P$18,U3544,0)</t>
  </si>
  <si>
    <t>=IF(AND($M3544&gt;=$Q$16,$M3544&lt;=$Q$18),U3544,0)</t>
  </si>
  <si>
    <t>=IF(AND($M3544&gt;=$R$16,$M3544&lt;=$R$18),U3544,0)</t>
  </si>
  <si>
    <t>=IF(AND($M3544&gt;=$S$16,$M3544&lt;=$S$18),U3544,0)</t>
  </si>
  <si>
    <t>=IF($M3544&lt;=$T$18,U3544,0)</t>
  </si>
  <si>
    <t>="""NAV Direct"",""CRONUS JetCorp USA"",""21"",""1"",""352245"""</t>
  </si>
  <si>
    <t>=E3543</t>
  </si>
  <si>
    <t>=StartDate-$M3545+1</t>
  </si>
  <si>
    <t>=SUM(P3545:T3545)</t>
  </si>
  <si>
    <t>=IF($M3545&gt;=$P$18,U3545,0)</t>
  </si>
  <si>
    <t>=IF(AND($M3545&gt;=$Q$16,$M3545&lt;=$Q$18),U3545,0)</t>
  </si>
  <si>
    <t>=IF(AND($M3545&gt;=$R$16,$M3545&lt;=$R$18),U3545,0)</t>
  </si>
  <si>
    <t>=IF(AND($M3545&gt;=$S$16,$M3545&lt;=$S$18),U3545,0)</t>
  </si>
  <si>
    <t>=IF($M3545&lt;=$T$18,U3545,0)</t>
  </si>
  <si>
    <t>="""NAV Direct"",""CRONUS JetCorp USA"",""21"",""1"",""352739"""</t>
  </si>
  <si>
    <t>=E3544</t>
  </si>
  <si>
    <t>=StartDate-$M3546+1</t>
  </si>
  <si>
    <t>=SUM(P3546:T3546)</t>
  </si>
  <si>
    <t>=IF($M3546&gt;=$P$18,U3546,0)</t>
  </si>
  <si>
    <t>=IF(AND($M3546&gt;=$Q$16,$M3546&lt;=$Q$18),U3546,0)</t>
  </si>
  <si>
    <t>=IF(AND($M3546&gt;=$R$16,$M3546&lt;=$R$18),U3546,0)</t>
  </si>
  <si>
    <t>=IF(AND($M3546&gt;=$S$16,$M3546&lt;=$S$18),U3546,0)</t>
  </si>
  <si>
    <t>=IF($M3546&lt;=$T$18,U3546,0)</t>
  </si>
  <si>
    <t>="""NAV Direct"",""CRONUS JetCorp USA"",""21"",""1"",""352880"""</t>
  </si>
  <si>
    <t>=E3545</t>
  </si>
  <si>
    <t>=StartDate-$M3547+1</t>
  </si>
  <si>
    <t>=SUM(P3547:T3547)</t>
  </si>
  <si>
    <t>=IF($M3547&gt;=$P$18,U3547,0)</t>
  </si>
  <si>
    <t>=IF(AND($M3547&gt;=$Q$16,$M3547&lt;=$Q$18),U3547,0)</t>
  </si>
  <si>
    <t>=IF(AND($M3547&gt;=$R$16,$M3547&lt;=$R$18),U3547,0)</t>
  </si>
  <si>
    <t>=IF(AND($M3547&gt;=$S$16,$M3547&lt;=$S$18),U3547,0)</t>
  </si>
  <si>
    <t>=IF($M3547&lt;=$T$18,U3547,0)</t>
  </si>
  <si>
    <t>="""NAV Direct"",""CRONUS JetCorp USA"",""21"",""1"",""353132"""</t>
  </si>
  <si>
    <t>=E3546</t>
  </si>
  <si>
    <t>=StartDate-$M3548+1</t>
  </si>
  <si>
    <t>=SUM(P3548:T3548)</t>
  </si>
  <si>
    <t>=IF($M3548&gt;=$P$18,U3548,0)</t>
  </si>
  <si>
    <t>=IF(AND($M3548&gt;=$Q$16,$M3548&lt;=$Q$18),U3548,0)</t>
  </si>
  <si>
    <t>=IF(AND($M3548&gt;=$R$16,$M3548&lt;=$R$18),U3548,0)</t>
  </si>
  <si>
    <t>=IF(AND($M3548&gt;=$S$16,$M3548&lt;=$S$18),U3548,0)</t>
  </si>
  <si>
    <t>=IF($M3548&lt;=$T$18,U3548,0)</t>
  </si>
  <si>
    <t>="""NAV Direct"",""CRONUS JetCorp USA"",""21"",""1"",""353253"""</t>
  </si>
  <si>
    <t>=E3547</t>
  </si>
  <si>
    <t>=StartDate-$M3549+1</t>
  </si>
  <si>
    <t>=SUM(P3549:T3549)</t>
  </si>
  <si>
    <t>=IF($M3549&gt;=$P$18,U3549,0)</t>
  </si>
  <si>
    <t>=IF(AND($M3549&gt;=$Q$16,$M3549&lt;=$Q$18),U3549,0)</t>
  </si>
  <si>
    <t>=IF(AND($M3549&gt;=$R$16,$M3549&lt;=$R$18),U3549,0)</t>
  </si>
  <si>
    <t>=IF(AND($M3549&gt;=$S$16,$M3549&lt;=$S$18),U3549,0)</t>
  </si>
  <si>
    <t>=IF($M3549&lt;=$T$18,U3549,0)</t>
  </si>
  <si>
    <t>="""NAV Direct"",""CRONUS JetCorp USA"",""21"",""1"",""353469"""</t>
  </si>
  <si>
    <t>=E3548</t>
  </si>
  <si>
    <t>=StartDate-$M3550+1</t>
  </si>
  <si>
    <t>=SUM(P3550:T3550)</t>
  </si>
  <si>
    <t>=IF($M3550&gt;=$P$18,U3550,0)</t>
  </si>
  <si>
    <t>=IF(AND($M3550&gt;=$Q$16,$M3550&lt;=$Q$18),U3550,0)</t>
  </si>
  <si>
    <t>=IF(AND($M3550&gt;=$R$16,$M3550&lt;=$R$18),U3550,0)</t>
  </si>
  <si>
    <t>=IF(AND($M3550&gt;=$S$16,$M3550&lt;=$S$18),U3550,0)</t>
  </si>
  <si>
    <t>=IF($M3550&lt;=$T$18,U3550,0)</t>
  </si>
  <si>
    <t>="""NAV Direct"",""CRONUS JetCorp USA"",""21"",""1"",""353644"""</t>
  </si>
  <si>
    <t>=E3549</t>
  </si>
  <si>
    <t>=StartDate-$M3551+1</t>
  </si>
  <si>
    <t>=SUM(P3551:T3551)</t>
  </si>
  <si>
    <t>=IF($M3551&gt;=$P$18,U3551,0)</t>
  </si>
  <si>
    <t>=IF(AND($M3551&gt;=$Q$16,$M3551&lt;=$Q$18),U3551,0)</t>
  </si>
  <si>
    <t>=IF(AND($M3551&gt;=$R$16,$M3551&lt;=$R$18),U3551,0)</t>
  </si>
  <si>
    <t>=IF(AND($M3551&gt;=$S$16,$M3551&lt;=$S$18),U3551,0)</t>
  </si>
  <si>
    <t>=IF($M3551&lt;=$T$18,U3551,0)</t>
  </si>
  <si>
    <t>="""NAV Direct"",""CRONUS JetCorp USA"",""21"",""1"",""353712"""</t>
  </si>
  <si>
    <t>=E3550</t>
  </si>
  <si>
    <t>=StartDate-$M3552+1</t>
  </si>
  <si>
    <t>=SUM(P3552:T3552)</t>
  </si>
  <si>
    <t>=IF($M3552&gt;=$P$18,U3552,0)</t>
  </si>
  <si>
    <t>=IF(AND($M3552&gt;=$Q$16,$M3552&lt;=$Q$18),U3552,0)</t>
  </si>
  <si>
    <t>=IF(AND($M3552&gt;=$R$16,$M3552&lt;=$R$18),U3552,0)</t>
  </si>
  <si>
    <t>=IF(AND($M3552&gt;=$S$16,$M3552&lt;=$S$18),U3552,0)</t>
  </si>
  <si>
    <t>=IF($M3552&lt;=$T$18,U3552,0)</t>
  </si>
  <si>
    <t>="""NAV Direct"",""CRONUS JetCorp USA"",""21"",""1"",""353930"""</t>
  </si>
  <si>
    <t>=E3551</t>
  </si>
  <si>
    <t>=StartDate-$M3553+1</t>
  </si>
  <si>
    <t>=SUM(P3553:T3553)</t>
  </si>
  <si>
    <t>=IF($M3553&gt;=$P$18,U3553,0)</t>
  </si>
  <si>
    <t>=IF(AND($M3553&gt;=$Q$16,$M3553&lt;=$Q$18),U3553,0)</t>
  </si>
  <si>
    <t>=IF(AND($M3553&gt;=$R$16,$M3553&lt;=$R$18),U3553,0)</t>
  </si>
  <si>
    <t>=IF(AND($M3553&gt;=$S$16,$M3553&lt;=$S$18),U3553,0)</t>
  </si>
  <si>
    <t>=IF($M3553&lt;=$T$18,U3553,0)</t>
  </si>
  <si>
    <t>="""NAV Direct"",""CRONUS JetCorp USA"",""21"",""1"",""353961"""</t>
  </si>
  <si>
    <t>=E3552</t>
  </si>
  <si>
    <t>=StartDate-$M3554+1</t>
  </si>
  <si>
    <t>=SUM(P3554:T3554)</t>
  </si>
  <si>
    <t>=IF($M3554&gt;=$P$18,U3554,0)</t>
  </si>
  <si>
    <t>=IF(AND($M3554&gt;=$Q$16,$M3554&lt;=$Q$18),U3554,0)</t>
  </si>
  <si>
    <t>=IF(AND($M3554&gt;=$R$16,$M3554&lt;=$R$18),U3554,0)</t>
  </si>
  <si>
    <t>=IF(AND($M3554&gt;=$S$16,$M3554&lt;=$S$18),U3554,0)</t>
  </si>
  <si>
    <t>=IF($M3554&lt;=$T$18,U3554,0)</t>
  </si>
  <si>
    <t>="""NAV Direct"",""CRONUS JetCorp USA"",""21"",""1"",""354374"""</t>
  </si>
  <si>
    <t>=E3553</t>
  </si>
  <si>
    <t>=StartDate-$M3555+1</t>
  </si>
  <si>
    <t>=SUM(P3555:T3555)</t>
  </si>
  <si>
    <t>=IF($M3555&gt;=$P$18,U3555,0)</t>
  </si>
  <si>
    <t>=IF(AND($M3555&gt;=$Q$16,$M3555&lt;=$Q$18),U3555,0)</t>
  </si>
  <si>
    <t>=IF(AND($M3555&gt;=$R$16,$M3555&lt;=$R$18),U3555,0)</t>
  </si>
  <si>
    <t>=IF(AND($M3555&gt;=$S$16,$M3555&lt;=$S$18),U3555,0)</t>
  </si>
  <si>
    <t>=IF($M3555&lt;=$T$18,U3555,0)</t>
  </si>
  <si>
    <t>="""NAV Direct"",""CRONUS JetCorp USA"",""21"",""1"",""354407"""</t>
  </si>
  <si>
    <t>=E3554</t>
  </si>
  <si>
    <t>=StartDate-$M3556+1</t>
  </si>
  <si>
    <t>=SUM(P3556:T3556)</t>
  </si>
  <si>
    <t>=IF($M3556&gt;=$P$18,U3556,0)</t>
  </si>
  <si>
    <t>=IF(AND($M3556&gt;=$Q$16,$M3556&lt;=$Q$18),U3556,0)</t>
  </si>
  <si>
    <t>=IF(AND($M3556&gt;=$R$16,$M3556&lt;=$R$18),U3556,0)</t>
  </si>
  <si>
    <t>=IF(AND($M3556&gt;=$S$16,$M3556&lt;=$S$18),U3556,0)</t>
  </si>
  <si>
    <t>=IF($M3556&lt;=$T$18,U3556,0)</t>
  </si>
  <si>
    <t>="""NAV Direct"",""CRONUS JetCorp USA"",""21"",""1"",""354475"""</t>
  </si>
  <si>
    <t>=E3555</t>
  </si>
  <si>
    <t>=StartDate-$M3557+1</t>
  </si>
  <si>
    <t>=SUM(P3557:T3557)</t>
  </si>
  <si>
    <t>=IF($M3557&gt;=$P$18,U3557,0)</t>
  </si>
  <si>
    <t>=IF(AND($M3557&gt;=$Q$16,$M3557&lt;=$Q$18),U3557,0)</t>
  </si>
  <si>
    <t>=IF(AND($M3557&gt;=$R$16,$M3557&lt;=$R$18),U3557,0)</t>
  </si>
  <si>
    <t>=IF(AND($M3557&gt;=$S$16,$M3557&lt;=$S$18),U3557,0)</t>
  </si>
  <si>
    <t>=IF($M3557&lt;=$T$18,U3557,0)</t>
  </si>
  <si>
    <t>="""NAV Direct"",""CRONUS JetCorp USA"",""21"",""1"",""355023"""</t>
  </si>
  <si>
    <t>=E3556</t>
  </si>
  <si>
    <t>=StartDate-$M3558+1</t>
  </si>
  <si>
    <t>=SUM(P3558:T3558)</t>
  </si>
  <si>
    <t>=IF($M3558&gt;=$P$18,U3558,0)</t>
  </si>
  <si>
    <t>=IF(AND($M3558&gt;=$Q$16,$M3558&lt;=$Q$18),U3558,0)</t>
  </si>
  <si>
    <t>=IF(AND($M3558&gt;=$R$16,$M3558&lt;=$R$18),U3558,0)</t>
  </si>
  <si>
    <t>=IF(AND($M3558&gt;=$S$16,$M3558&lt;=$S$18),U3558,0)</t>
  </si>
  <si>
    <t>=IF($M3558&lt;=$T$18,U3558,0)</t>
  </si>
  <si>
    <t>="""NAV Direct"",""CRONUS JetCorp USA"",""21"",""1"",""355145"""</t>
  </si>
  <si>
    <t>=E3557</t>
  </si>
  <si>
    <t>=StartDate-$M3559+1</t>
  </si>
  <si>
    <t>=SUM(P3559:T3559)</t>
  </si>
  <si>
    <t>=IF($M3559&gt;=$P$18,U3559,0)</t>
  </si>
  <si>
    <t>=IF(AND($M3559&gt;=$Q$16,$M3559&lt;=$Q$18),U3559,0)</t>
  </si>
  <si>
    <t>=IF(AND($M3559&gt;=$R$16,$M3559&lt;=$R$18),U3559,0)</t>
  </si>
  <si>
    <t>=IF(AND($M3559&gt;=$S$16,$M3559&lt;=$S$18),U3559,0)</t>
  </si>
  <si>
    <t>=IF($M3559&lt;=$T$18,U3559,0)</t>
  </si>
  <si>
    <t>="""NAV Direct"",""CRONUS JetCorp USA"",""21"",""1"",""355952"""</t>
  </si>
  <si>
    <t>=E3558</t>
  </si>
  <si>
    <t>=StartDate-$M3560+1</t>
  </si>
  <si>
    <t>=SUM(P3560:T3560)</t>
  </si>
  <si>
    <t>=IF($M3560&gt;=$P$18,U3560,0)</t>
  </si>
  <si>
    <t>=IF(AND($M3560&gt;=$Q$16,$M3560&lt;=$Q$18),U3560,0)</t>
  </si>
  <si>
    <t>=IF(AND($M3560&gt;=$R$16,$M3560&lt;=$R$18),U3560,0)</t>
  </si>
  <si>
    <t>=IF(AND($M3560&gt;=$S$16,$M3560&lt;=$S$18),U3560,0)</t>
  </si>
  <si>
    <t>=IF($M3560&lt;=$T$18,U3560,0)</t>
  </si>
  <si>
    <t>="""NAV Direct"",""CRONUS JetCorp USA"",""21"",""1"",""355999"""</t>
  </si>
  <si>
    <t>=E3559</t>
  </si>
  <si>
    <t>=StartDate-$M3561+1</t>
  </si>
  <si>
    <t>=SUM(P3561:T3561)</t>
  </si>
  <si>
    <t>=IF($M3561&gt;=$P$18,U3561,0)</t>
  </si>
  <si>
    <t>=IF(AND($M3561&gt;=$Q$16,$M3561&lt;=$Q$18),U3561,0)</t>
  </si>
  <si>
    <t>=IF(AND($M3561&gt;=$R$16,$M3561&lt;=$R$18),U3561,0)</t>
  </si>
  <si>
    <t>=IF(AND($M3561&gt;=$S$16,$M3561&lt;=$S$18),U3561,0)</t>
  </si>
  <si>
    <t>=IF($M3561&lt;=$T$18,U3561,0)</t>
  </si>
  <si>
    <t>="""NAV Direct"",""CRONUS JetCorp USA"",""21"",""1"",""356545"""</t>
  </si>
  <si>
    <t>=E3560</t>
  </si>
  <si>
    <t>=StartDate-$M3562+1</t>
  </si>
  <si>
    <t>=SUM(P3562:T3562)</t>
  </si>
  <si>
    <t>=IF($M3562&gt;=$P$18,U3562,0)</t>
  </si>
  <si>
    <t>=IF(AND($M3562&gt;=$Q$16,$M3562&lt;=$Q$18),U3562,0)</t>
  </si>
  <si>
    <t>=IF(AND($M3562&gt;=$R$16,$M3562&lt;=$R$18),U3562,0)</t>
  </si>
  <si>
    <t>=IF(AND($M3562&gt;=$S$16,$M3562&lt;=$S$18),U3562,0)</t>
  </si>
  <si>
    <t>=IF($M3562&lt;=$T$18,U3562,0)</t>
  </si>
  <si>
    <t>="""NAV Direct"",""CRONUS JetCorp USA"",""21"",""1"",""356636"""</t>
  </si>
  <si>
    <t>=E3561</t>
  </si>
  <si>
    <t>=StartDate-$M3563+1</t>
  </si>
  <si>
    <t>=SUM(P3563:T3563)</t>
  </si>
  <si>
    <t>=IF($M3563&gt;=$P$18,U3563,0)</t>
  </si>
  <si>
    <t>=IF(AND($M3563&gt;=$Q$16,$M3563&lt;=$Q$18),U3563,0)</t>
  </si>
  <si>
    <t>=IF(AND($M3563&gt;=$R$16,$M3563&lt;=$R$18),U3563,0)</t>
  </si>
  <si>
    <t>=IF(AND($M3563&gt;=$S$16,$M3563&lt;=$S$18),U3563,0)</t>
  </si>
  <si>
    <t>=IF($M3563&lt;=$T$18,U3563,0)</t>
  </si>
  <si>
    <t>="""NAV Direct"",""CRONUS JetCorp USA"",""21"",""1"",""356762"""</t>
  </si>
  <si>
    <t>=E3562</t>
  </si>
  <si>
    <t>=StartDate-$M3564+1</t>
  </si>
  <si>
    <t>=SUM(P3564:T3564)</t>
  </si>
  <si>
    <t>=IF($M3564&gt;=$P$18,U3564,0)</t>
  </si>
  <si>
    <t>=IF(AND($M3564&gt;=$Q$16,$M3564&lt;=$Q$18),U3564,0)</t>
  </si>
  <si>
    <t>=IF(AND($M3564&gt;=$R$16,$M3564&lt;=$R$18),U3564,0)</t>
  </si>
  <si>
    <t>=IF(AND($M3564&gt;=$S$16,$M3564&lt;=$S$18),U3564,0)</t>
  </si>
  <si>
    <t>=IF($M3564&lt;=$T$18,U3564,0)</t>
  </si>
  <si>
    <t>="""NAV Direct"",""CRONUS JetCorp USA"",""21"",""1"",""357320"""</t>
  </si>
  <si>
    <t>=E3563</t>
  </si>
  <si>
    <t>=StartDate-$M3565+1</t>
  </si>
  <si>
    <t>=SUM(P3565:T3565)</t>
  </si>
  <si>
    <t>=IF($M3565&gt;=$P$18,U3565,0)</t>
  </si>
  <si>
    <t>=IF(AND($M3565&gt;=$Q$16,$M3565&lt;=$Q$18),U3565,0)</t>
  </si>
  <si>
    <t>=IF(AND($M3565&gt;=$R$16,$M3565&lt;=$R$18),U3565,0)</t>
  </si>
  <si>
    <t>=IF(AND($M3565&gt;=$S$16,$M3565&lt;=$S$18),U3565,0)</t>
  </si>
  <si>
    <t>=IF($M3565&lt;=$T$18,U3565,0)</t>
  </si>
  <si>
    <t>="""NAV Direct"",""CRONUS JetCorp USA"",""21"",""1"",""357414"""</t>
  </si>
  <si>
    <t>=E3564</t>
  </si>
  <si>
    <t>=StartDate-$M3566+1</t>
  </si>
  <si>
    <t>=SUM(P3566:T3566)</t>
  </si>
  <si>
    <t>=IF($M3566&gt;=$P$18,U3566,0)</t>
  </si>
  <si>
    <t>=IF(AND($M3566&gt;=$Q$16,$M3566&lt;=$Q$18),U3566,0)</t>
  </si>
  <si>
    <t>=IF(AND($M3566&gt;=$R$16,$M3566&lt;=$R$18),U3566,0)</t>
  </si>
  <si>
    <t>=IF(AND($M3566&gt;=$S$16,$M3566&lt;=$S$18),U3566,0)</t>
  </si>
  <si>
    <t>=IF($M3566&lt;=$T$18,U3566,0)</t>
  </si>
  <si>
    <t>=E3565</t>
  </si>
  <si>
    <t>=StartDate-$M3567+1</t>
  </si>
  <si>
    <t>=SUM(P3567:T3567)</t>
  </si>
  <si>
    <t>=IF($M3567&gt;=$P$18,U3567,0)</t>
  </si>
  <si>
    <t>=IF(AND($M3567&gt;=$Q$16,$M3567&lt;=$Q$18),U3567,0)</t>
  </si>
  <si>
    <t>=IF(AND($M3567&gt;=$R$16,$M3567&lt;=$R$18),U3567,0)</t>
  </si>
  <si>
    <t>=IF(AND($M3567&gt;=$S$16,$M3567&lt;=$S$18),U3567,0)</t>
  </si>
  <si>
    <t>=IF($M3567&lt;=$T$18,U3567,0)</t>
  </si>
  <si>
    <t>="""NAV Direct"",""CRONUS JetCorp USA"",""21"",""1"",""357515"""</t>
  </si>
  <si>
    <t>=E3566</t>
  </si>
  <si>
    <t>=StartDate-$M3568+1</t>
  </si>
  <si>
    <t>=SUM(P3568:T3568)</t>
  </si>
  <si>
    <t>=IF($M3568&gt;=$P$18,U3568,0)</t>
  </si>
  <si>
    <t>=IF(AND($M3568&gt;=$Q$16,$M3568&lt;=$Q$18),U3568,0)</t>
  </si>
  <si>
    <t>=IF(AND($M3568&gt;=$R$16,$M3568&lt;=$R$18),U3568,0)</t>
  </si>
  <si>
    <t>=IF(AND($M3568&gt;=$S$16,$M3568&lt;=$S$18),U3568,0)</t>
  </si>
  <si>
    <t>=IF($M3568&lt;=$T$18,U3568,0)</t>
  </si>
  <si>
    <t>="""NAV Direct"",""CRONUS JetCorp USA"",""21"",""1"",""357624"""</t>
  </si>
  <si>
    <t>=E3567</t>
  </si>
  <si>
    <t>=StartDate-$M3569+1</t>
  </si>
  <si>
    <t>=SUM(P3569:T3569)</t>
  </si>
  <si>
    <t>=IF($M3569&gt;=$P$18,U3569,0)</t>
  </si>
  <si>
    <t>=IF(AND($M3569&gt;=$Q$16,$M3569&lt;=$Q$18),U3569,0)</t>
  </si>
  <si>
    <t>=IF(AND($M3569&gt;=$R$16,$M3569&lt;=$R$18),U3569,0)</t>
  </si>
  <si>
    <t>=IF(AND($M3569&gt;=$S$16,$M3569&lt;=$S$18),U3569,0)</t>
  </si>
  <si>
    <t>=IF($M3569&lt;=$T$18,U3569,0)</t>
  </si>
  <si>
    <t>="""NAV Direct"",""CRONUS JetCorp USA"",""21"",""1"",""357899"""</t>
  </si>
  <si>
    <t>=E3568</t>
  </si>
  <si>
    <t>=StartDate-$M3570+1</t>
  </si>
  <si>
    <t>=SUM(P3570:T3570)</t>
  </si>
  <si>
    <t>=IF($M3570&gt;=$P$18,U3570,0)</t>
  </si>
  <si>
    <t>=IF(AND($M3570&gt;=$Q$16,$M3570&lt;=$Q$18),U3570,0)</t>
  </si>
  <si>
    <t>=IF(AND($M3570&gt;=$R$16,$M3570&lt;=$R$18),U3570,0)</t>
  </si>
  <si>
    <t>=IF(AND($M3570&gt;=$S$16,$M3570&lt;=$S$18),U3570,0)</t>
  </si>
  <si>
    <t>=IF($M3570&lt;=$T$18,U3570,0)</t>
  </si>
  <si>
    <t>="""NAV Direct"",""CRONUS JetCorp USA"",""21"",""1"",""358117"""</t>
  </si>
  <si>
    <t>=E3569</t>
  </si>
  <si>
    <t>=StartDate-$M3571+1</t>
  </si>
  <si>
    <t>=SUM(P3571:T3571)</t>
  </si>
  <si>
    <t>=IF($M3571&gt;=$P$18,U3571,0)</t>
  </si>
  <si>
    <t>=IF(AND($M3571&gt;=$Q$16,$M3571&lt;=$Q$18),U3571,0)</t>
  </si>
  <si>
    <t>=IF(AND($M3571&gt;=$R$16,$M3571&lt;=$R$18),U3571,0)</t>
  </si>
  <si>
    <t>=IF(AND($M3571&gt;=$S$16,$M3571&lt;=$S$18),U3571,0)</t>
  </si>
  <si>
    <t>=IF($M3571&lt;=$T$18,U3571,0)</t>
  </si>
  <si>
    <t>="""NAV Direct"",""CRONUS JetCorp USA"",""21"",""1"",""358331"""</t>
  </si>
  <si>
    <t>=E3570</t>
  </si>
  <si>
    <t>=StartDate-$M3572+1</t>
  </si>
  <si>
    <t>=SUM(P3572:T3572)</t>
  </si>
  <si>
    <t>=IF($M3572&gt;=$P$18,U3572,0)</t>
  </si>
  <si>
    <t>=IF(AND($M3572&gt;=$Q$16,$M3572&lt;=$Q$18),U3572,0)</t>
  </si>
  <si>
    <t>=IF(AND($M3572&gt;=$R$16,$M3572&lt;=$R$18),U3572,0)</t>
  </si>
  <si>
    <t>=IF(AND($M3572&gt;=$S$16,$M3572&lt;=$S$18),U3572,0)</t>
  </si>
  <si>
    <t>=IF($M3572&lt;=$T$18,U3572,0)</t>
  </si>
  <si>
    <t>="""NAV Direct"",""CRONUS JetCorp USA"",""21"",""1"",""358656"""</t>
  </si>
  <si>
    <t>=E3571</t>
  </si>
  <si>
    <t>=StartDate-$M3573+1</t>
  </si>
  <si>
    <t>=SUM(P3573:T3573)</t>
  </si>
  <si>
    <t>=IF($M3573&gt;=$P$18,U3573,0)</t>
  </si>
  <si>
    <t>=IF(AND($M3573&gt;=$Q$16,$M3573&lt;=$Q$18),U3573,0)</t>
  </si>
  <si>
    <t>=IF(AND($M3573&gt;=$R$16,$M3573&lt;=$R$18),U3573,0)</t>
  </si>
  <si>
    <t>=IF(AND($M3573&gt;=$S$16,$M3573&lt;=$S$18),U3573,0)</t>
  </si>
  <si>
    <t>=IF($M3573&lt;=$T$18,U3573,0)</t>
  </si>
  <si>
    <t>="""NAV Direct"",""CRONUS JetCorp USA"",""21"",""1"",""358792"""</t>
  </si>
  <si>
    <t>=E3572</t>
  </si>
  <si>
    <t>=StartDate-$M3574+1</t>
  </si>
  <si>
    <t>=SUM(P3574:T3574)</t>
  </si>
  <si>
    <t>=IF($M3574&gt;=$P$18,U3574,0)</t>
  </si>
  <si>
    <t>=IF(AND($M3574&gt;=$Q$16,$M3574&lt;=$Q$18),U3574,0)</t>
  </si>
  <si>
    <t>=IF(AND($M3574&gt;=$R$16,$M3574&lt;=$R$18),U3574,0)</t>
  </si>
  <si>
    <t>=IF(AND($M3574&gt;=$S$16,$M3574&lt;=$S$18),U3574,0)</t>
  </si>
  <si>
    <t>=IF($M3574&lt;=$T$18,U3574,0)</t>
  </si>
  <si>
    <t>="""NAV Direct"",""CRONUS JetCorp USA"",""21"",""1"",""358862"""</t>
  </si>
  <si>
    <t>=E3573</t>
  </si>
  <si>
    <t>=StartDate-$M3575+1</t>
  </si>
  <si>
    <t>=SUM(P3575:T3575)</t>
  </si>
  <si>
    <t>=IF($M3575&gt;=$P$18,U3575,0)</t>
  </si>
  <si>
    <t>=IF(AND($M3575&gt;=$Q$16,$M3575&lt;=$Q$18),U3575,0)</t>
  </si>
  <si>
    <t>=IF(AND($M3575&gt;=$R$16,$M3575&lt;=$R$18),U3575,0)</t>
  </si>
  <si>
    <t>=IF(AND($M3575&gt;=$S$16,$M3575&lt;=$S$18),U3575,0)</t>
  </si>
  <si>
    <t>=IF($M3575&lt;=$T$18,U3575,0)</t>
  </si>
  <si>
    <t>="""NAV Direct"",""CRONUS JetCorp USA"",""21"",""1"",""358916"""</t>
  </si>
  <si>
    <t>=E3574</t>
  </si>
  <si>
    <t>=StartDate-$M3576+1</t>
  </si>
  <si>
    <t>=SUM(P3576:T3576)</t>
  </si>
  <si>
    <t>=IF($M3576&gt;=$P$18,U3576,0)</t>
  </si>
  <si>
    <t>=IF(AND($M3576&gt;=$Q$16,$M3576&lt;=$Q$18),U3576,0)</t>
  </si>
  <si>
    <t>=IF(AND($M3576&gt;=$R$16,$M3576&lt;=$R$18),U3576,0)</t>
  </si>
  <si>
    <t>=IF(AND($M3576&gt;=$S$16,$M3576&lt;=$S$18),U3576,0)</t>
  </si>
  <si>
    <t>=IF($M3576&lt;=$T$18,U3576,0)</t>
  </si>
  <si>
    <t>="""NAV Direct"",""CRONUS JetCorp USA"",""21"",""1"",""359070"""</t>
  </si>
  <si>
    <t>=E3575</t>
  </si>
  <si>
    <t>=StartDate-$M3577+1</t>
  </si>
  <si>
    <t>=SUM(P3577:T3577)</t>
  </si>
  <si>
    <t>=IF($M3577&gt;=$P$18,U3577,0)</t>
  </si>
  <si>
    <t>=IF(AND($M3577&gt;=$Q$16,$M3577&lt;=$Q$18),U3577,0)</t>
  </si>
  <si>
    <t>=IF(AND($M3577&gt;=$R$16,$M3577&lt;=$R$18),U3577,0)</t>
  </si>
  <si>
    <t>=IF(AND($M3577&gt;=$S$16,$M3577&lt;=$S$18),U3577,0)</t>
  </si>
  <si>
    <t>=IF($M3577&lt;=$T$18,U3577,0)</t>
  </si>
  <si>
    <t>="""NAV Direct"",""CRONUS JetCorp USA"",""21"",""1"",""359107"""</t>
  </si>
  <si>
    <t>=E3576</t>
  </si>
  <si>
    <t>=StartDate-$M3578+1</t>
  </si>
  <si>
    <t>=SUM(P3578:T3578)</t>
  </si>
  <si>
    <t>=IF($M3578&gt;=$P$18,U3578,0)</t>
  </si>
  <si>
    <t>=IF(AND($M3578&gt;=$Q$16,$M3578&lt;=$Q$18),U3578,0)</t>
  </si>
  <si>
    <t>=IF(AND($M3578&gt;=$R$16,$M3578&lt;=$R$18),U3578,0)</t>
  </si>
  <si>
    <t>=IF(AND($M3578&gt;=$S$16,$M3578&lt;=$S$18),U3578,0)</t>
  </si>
  <si>
    <t>=IF($M3578&lt;=$T$18,U3578,0)</t>
  </si>
  <si>
    <t>="""NAV Direct"",""CRONUS JetCorp USA"",""21"",""1"",""359224"""</t>
  </si>
  <si>
    <t>=E3577</t>
  </si>
  <si>
    <t>=StartDate-$M3579+1</t>
  </si>
  <si>
    <t>=SUM(P3579:T3579)</t>
  </si>
  <si>
    <t>=IF($M3579&gt;=$P$18,U3579,0)</t>
  </si>
  <si>
    <t>=IF(AND($M3579&gt;=$Q$16,$M3579&lt;=$Q$18),U3579,0)</t>
  </si>
  <si>
    <t>=IF(AND($M3579&gt;=$R$16,$M3579&lt;=$R$18),U3579,0)</t>
  </si>
  <si>
    <t>=IF(AND($M3579&gt;=$S$16,$M3579&lt;=$S$18),U3579,0)</t>
  </si>
  <si>
    <t>=IF($M3579&lt;=$T$18,U3579,0)</t>
  </si>
  <si>
    <t>="""NAV Direct"",""CRONUS JetCorp USA"",""21"",""1"",""359403"""</t>
  </si>
  <si>
    <t>=E3578</t>
  </si>
  <si>
    <t>=StartDate-$M3580+1</t>
  </si>
  <si>
    <t>=SUM(P3580:T3580)</t>
  </si>
  <si>
    <t>=IF($M3580&gt;=$P$18,U3580,0)</t>
  </si>
  <si>
    <t>=IF(AND($M3580&gt;=$Q$16,$M3580&lt;=$Q$18),U3580,0)</t>
  </si>
  <si>
    <t>=IF(AND($M3580&gt;=$R$16,$M3580&lt;=$R$18),U3580,0)</t>
  </si>
  <si>
    <t>=IF(AND($M3580&gt;=$S$16,$M3580&lt;=$S$18),U3580,0)</t>
  </si>
  <si>
    <t>=IF($M3580&lt;=$T$18,U3580,0)</t>
  </si>
  <si>
    <t>="""NAV Direct"",""CRONUS JetCorp USA"",""21"",""1"",""359913"""</t>
  </si>
  <si>
    <t>=E3579</t>
  </si>
  <si>
    <t>=StartDate-$M3581+1</t>
  </si>
  <si>
    <t>=SUM(P3581:T3581)</t>
  </si>
  <si>
    <t>=IF($M3581&gt;=$P$18,U3581,0)</t>
  </si>
  <si>
    <t>=IF(AND($M3581&gt;=$Q$16,$M3581&lt;=$Q$18),U3581,0)</t>
  </si>
  <si>
    <t>=IF(AND($M3581&gt;=$R$16,$M3581&lt;=$R$18),U3581,0)</t>
  </si>
  <si>
    <t>=IF(AND($M3581&gt;=$S$16,$M3581&lt;=$S$18),U3581,0)</t>
  </si>
  <si>
    <t>=IF($M3581&lt;=$T$18,U3581,0)</t>
  </si>
  <si>
    <t>="""NAV Direct"",""CRONUS JetCorp USA"",""21"",""1"",""360113"""</t>
  </si>
  <si>
    <t>=E3580</t>
  </si>
  <si>
    <t>=StartDate-$M3582+1</t>
  </si>
  <si>
    <t>=SUM(P3582:T3582)</t>
  </si>
  <si>
    <t>=IF($M3582&gt;=$P$18,U3582,0)</t>
  </si>
  <si>
    <t>=IF(AND($M3582&gt;=$Q$16,$M3582&lt;=$Q$18),U3582,0)</t>
  </si>
  <si>
    <t>=IF(AND($M3582&gt;=$R$16,$M3582&lt;=$R$18),U3582,0)</t>
  </si>
  <si>
    <t>=IF(AND($M3582&gt;=$S$16,$M3582&lt;=$S$18),U3582,0)</t>
  </si>
  <si>
    <t>=IF($M3582&lt;=$T$18,U3582,0)</t>
  </si>
  <si>
    <t>="""NAV Direct"",""CRONUS JetCorp USA"",""21"",""1"",""360239"""</t>
  </si>
  <si>
    <t>=E3581</t>
  </si>
  <si>
    <t>=StartDate-$M3583+1</t>
  </si>
  <si>
    <t>=SUM(P3583:T3583)</t>
  </si>
  <si>
    <t>=IF($M3583&gt;=$P$18,U3583,0)</t>
  </si>
  <si>
    <t>=IF(AND($M3583&gt;=$Q$16,$M3583&lt;=$Q$18),U3583,0)</t>
  </si>
  <si>
    <t>=IF(AND($M3583&gt;=$R$16,$M3583&lt;=$R$18),U3583,0)</t>
  </si>
  <si>
    <t>=IF(AND($M3583&gt;=$S$16,$M3583&lt;=$S$18),U3583,0)</t>
  </si>
  <si>
    <t>=IF($M3583&lt;=$T$18,U3583,0)</t>
  </si>
  <si>
    <t>="""NAV Direct"",""CRONUS JetCorp USA"",""21"",""1"",""435026"""</t>
  </si>
  <si>
    <t>=E3582</t>
  </si>
  <si>
    <t>=StartDate-$M3584+1</t>
  </si>
  <si>
    <t>=SUM(P3584:T3584)</t>
  </si>
  <si>
    <t>=IF($M3584&gt;=$P$18,U3584,0)</t>
  </si>
  <si>
    <t>=IF(AND($M3584&gt;=$Q$16,$M3584&lt;=$Q$18),U3584,0)</t>
  </si>
  <si>
    <t>=IF(AND($M3584&gt;=$R$16,$M3584&lt;=$R$18),U3584,0)</t>
  </si>
  <si>
    <t>=IF(AND($M3584&gt;=$S$16,$M3584&lt;=$S$18),U3584,0)</t>
  </si>
  <si>
    <t>=IF($M3584&lt;=$T$18,U3584,0)</t>
  </si>
  <si>
    <t>="""NAV Direct"",""CRONUS JetCorp USA"",""21"",""1"",""435041"""</t>
  </si>
  <si>
    <t>=E3583</t>
  </si>
  <si>
    <t>=StartDate-$M3585+1</t>
  </si>
  <si>
    <t>=SUM(P3585:T3585)</t>
  </si>
  <si>
    <t>=IF($M3585&gt;=$P$18,U3585,0)</t>
  </si>
  <si>
    <t>=IF(AND($M3585&gt;=$Q$16,$M3585&lt;=$Q$18),U3585,0)</t>
  </si>
  <si>
    <t>=IF(AND($M3585&gt;=$R$16,$M3585&lt;=$R$18),U3585,0)</t>
  </si>
  <si>
    <t>=IF(AND($M3585&gt;=$S$16,$M3585&lt;=$S$18),U3585,0)</t>
  </si>
  <si>
    <t>=IF($M3585&lt;=$T$18,U3585,0)</t>
  </si>
  <si>
    <t>="""NAV Direct"",""CRONUS JetCorp USA"",""21"",""1"",""435113"""</t>
  </si>
  <si>
    <t>=E3584</t>
  </si>
  <si>
    <t>=StartDate-$M3586+1</t>
  </si>
  <si>
    <t>=SUM(P3586:T3586)</t>
  </si>
  <si>
    <t>=IF($M3586&gt;=$P$18,U3586,0)</t>
  </si>
  <si>
    <t>=IF(AND($M3586&gt;=$Q$16,$M3586&lt;=$Q$18),U3586,0)</t>
  </si>
  <si>
    <t>=IF(AND($M3586&gt;=$R$16,$M3586&lt;=$R$18),U3586,0)</t>
  </si>
  <si>
    <t>=IF(AND($M3586&gt;=$S$16,$M3586&lt;=$S$18),U3586,0)</t>
  </si>
  <si>
    <t>=IF($M3586&lt;=$T$18,U3586,0)</t>
  </si>
  <si>
    <t>="""NAV Direct"",""CRONUS JetCorp USA"",""21"",""1"",""435139"""</t>
  </si>
  <si>
    <t>=E3585</t>
  </si>
  <si>
    <t>=StartDate-$M3587+1</t>
  </si>
  <si>
    <t>=SUM(P3587:T3587)</t>
  </si>
  <si>
    <t>=IF($M3587&gt;=$P$18,U3587,0)</t>
  </si>
  <si>
    <t>=IF(AND($M3587&gt;=$Q$16,$M3587&lt;=$Q$18),U3587,0)</t>
  </si>
  <si>
    <t>=IF(AND($M3587&gt;=$R$16,$M3587&lt;=$R$18),U3587,0)</t>
  </si>
  <si>
    <t>=IF(AND($M3587&gt;=$S$16,$M3587&lt;=$S$18),U3587,0)</t>
  </si>
  <si>
    <t>=IF($M3587&lt;=$T$18,U3587,0)</t>
  </si>
  <si>
    <t>="""NAV Direct"",""CRONUS JetCorp USA"",""21"",""1"",""435489"""</t>
  </si>
  <si>
    <t>=E3586</t>
  </si>
  <si>
    <t>=StartDate-$M3588+1</t>
  </si>
  <si>
    <t>=SUM(P3588:T3588)</t>
  </si>
  <si>
    <t>=IF($M3588&gt;=$P$18,U3588,0)</t>
  </si>
  <si>
    <t>=IF(AND($M3588&gt;=$Q$16,$M3588&lt;=$Q$18),U3588,0)</t>
  </si>
  <si>
    <t>=IF(AND($M3588&gt;=$R$16,$M3588&lt;=$R$18),U3588,0)</t>
  </si>
  <si>
    <t>=IF(AND($M3588&gt;=$S$16,$M3588&lt;=$S$18),U3588,0)</t>
  </si>
  <si>
    <t>=IF($M3588&lt;=$T$18,U3588,0)</t>
  </si>
  <si>
    <t>="""NAV Direct"",""CRONUS JetCorp USA"",""21"",""1"",""435581"""</t>
  </si>
  <si>
    <t>=E3587</t>
  </si>
  <si>
    <t>=StartDate-$M3589+1</t>
  </si>
  <si>
    <t>=SUM(P3589:T3589)</t>
  </si>
  <si>
    <t>=IF($M3589&gt;=$P$18,U3589,0)</t>
  </si>
  <si>
    <t>=IF(AND($M3589&gt;=$Q$16,$M3589&lt;=$Q$18),U3589,0)</t>
  </si>
  <si>
    <t>=IF(AND($M3589&gt;=$R$16,$M3589&lt;=$R$18),U3589,0)</t>
  </si>
  <si>
    <t>=IF(AND($M3589&gt;=$S$16,$M3589&lt;=$S$18),U3589,0)</t>
  </si>
  <si>
    <t>=IF($M3589&lt;=$T$18,U3589,0)</t>
  </si>
  <si>
    <t>="""NAV Direct"",""CRONUS JetCorp USA"",""21"",""1"",""435680"""</t>
  </si>
  <si>
    <t>=E3588</t>
  </si>
  <si>
    <t>=StartDate-$M3590+1</t>
  </si>
  <si>
    <t>=SUM(P3590:T3590)</t>
  </si>
  <si>
    <t>=IF($M3590&gt;=$P$18,U3590,0)</t>
  </si>
  <si>
    <t>=IF(AND($M3590&gt;=$Q$16,$M3590&lt;=$Q$18),U3590,0)</t>
  </si>
  <si>
    <t>=IF(AND($M3590&gt;=$R$16,$M3590&lt;=$R$18),U3590,0)</t>
  </si>
  <si>
    <t>=IF(AND($M3590&gt;=$S$16,$M3590&lt;=$S$18),U3590,0)</t>
  </si>
  <si>
    <t>=IF($M3590&lt;=$T$18,U3590,0)</t>
  </si>
  <si>
    <t>="""NAV Direct"",""CRONUS JetCorp USA"",""21"",""1"",""435729"""</t>
  </si>
  <si>
    <t>=E3589</t>
  </si>
  <si>
    <t>=StartDate-$M3591+1</t>
  </si>
  <si>
    <t>=SUM(P3591:T3591)</t>
  </si>
  <si>
    <t>=IF($M3591&gt;=$P$18,U3591,0)</t>
  </si>
  <si>
    <t>=IF(AND($M3591&gt;=$Q$16,$M3591&lt;=$Q$18),U3591,0)</t>
  </si>
  <si>
    <t>=IF(AND($M3591&gt;=$R$16,$M3591&lt;=$R$18),U3591,0)</t>
  </si>
  <si>
    <t>=IF(AND($M3591&gt;=$S$16,$M3591&lt;=$S$18),U3591,0)</t>
  </si>
  <si>
    <t>=IF($M3591&lt;=$T$18,U3591,0)</t>
  </si>
  <si>
    <t>="""NAV Direct"",""CRONUS JetCorp USA"",""21"",""1"",""435761"""</t>
  </si>
  <si>
    <t>=E3590</t>
  </si>
  <si>
    <t>=StartDate-$M3592+1</t>
  </si>
  <si>
    <t>=SUM(P3592:T3592)</t>
  </si>
  <si>
    <t>=IF($M3592&gt;=$P$18,U3592,0)</t>
  </si>
  <si>
    <t>=IF(AND($M3592&gt;=$Q$16,$M3592&lt;=$Q$18),U3592,0)</t>
  </si>
  <si>
    <t>=IF(AND($M3592&gt;=$R$16,$M3592&lt;=$R$18),U3592,0)</t>
  </si>
  <si>
    <t>=IF(AND($M3592&gt;=$S$16,$M3592&lt;=$S$18),U3592,0)</t>
  </si>
  <si>
    <t>=IF($M3592&lt;=$T$18,U3592,0)</t>
  </si>
  <si>
    <t>="""NAV Direct"",""CRONUS JetCorp USA"",""18"",""1"",""C100103"""</t>
  </si>
  <si>
    <t>=H3595</t>
  </si>
  <si>
    <t>=NF($C3595,"1 No.")</t>
  </si>
  <si>
    <t>=NF($C3595,"1 No.")&amp;"  -  "&amp;NF($C3595,"2 Name")</t>
  </si>
  <si>
    <t>=IFERROR(O3595/NF(C3595,"Credit Limit (LCY)"),"")</t>
  </si>
  <si>
    <t>=SUBTOTAL(3,L3596:L3641)</t>
  </si>
  <si>
    <t>=SUBTOTAL(9,O3596:O3641)</t>
  </si>
  <si>
    <t>=SUBTOTAL(9,P3596:P3641)</t>
  </si>
  <si>
    <t>=SUBTOTAL(9,Q3596:Q3641)</t>
  </si>
  <si>
    <t>=SUBTOTAL(9,R3596:R3641)</t>
  </si>
  <si>
    <t>=SUBTOTAL(9,S3596:S3641)</t>
  </si>
  <si>
    <t>=SUBTOTAL(9,T3596:T3641)</t>
  </si>
  <si>
    <t>=C3595</t>
  </si>
  <si>
    <t>=E3595</t>
  </si>
  <si>
    <t>="Contact: "&amp;NF($C3596,"8 Contact")</t>
  </si>
  <si>
    <t>=C3596</t>
  </si>
  <si>
    <t>=E3596</t>
  </si>
  <si>
    <t>=NF($C3597,"102 E-Mail")</t>
  </si>
  <si>
    <t>=NL("Rows","21 Cust. Ledger Entry",,"3 Customer No.","@@"&amp;$E3599,"16 Remaining Amt. (LCY)","&lt;&gt;0")</t>
  </si>
  <si>
    <t>=E3597</t>
  </si>
  <si>
    <t>=StartDate-$M3599+1</t>
  </si>
  <si>
    <t>=SUM(P3599:T3599)</t>
  </si>
  <si>
    <t>=IF($M3599&gt;=$P$18,U3599,0)</t>
  </si>
  <si>
    <t>=IF(AND($M3599&gt;=$Q$16,$M3599&lt;=$Q$18),U3599,0)</t>
  </si>
  <si>
    <t>=IF(AND($M3599&gt;=$R$16,$M3599&lt;=$R$18),U3599,0)</t>
  </si>
  <si>
    <t>=IF(AND($M3599&gt;=$S$16,$M3599&lt;=$S$18),U3599,0)</t>
  </si>
  <si>
    <t>=IF($M3599&lt;=$T$18,U3599,0)</t>
  </si>
  <si>
    <t>="""NAV Direct"",""CRONUS JetCorp USA"",""21"",""1"",""131698"""</t>
  </si>
  <si>
    <t>=E3598</t>
  </si>
  <si>
    <t>=StartDate-$M3600+1</t>
  </si>
  <si>
    <t>=SUM(P3600:T3600)</t>
  </si>
  <si>
    <t>=IF($M3600&gt;=$P$18,U3600,0)</t>
  </si>
  <si>
    <t>=IF(AND($M3600&gt;=$Q$16,$M3600&lt;=$Q$18),U3600,0)</t>
  </si>
  <si>
    <t>=IF(AND($M3600&gt;=$R$16,$M3600&lt;=$R$18),U3600,0)</t>
  </si>
  <si>
    <t>=IF(AND($M3600&gt;=$S$16,$M3600&lt;=$S$18),U3600,0)</t>
  </si>
  <si>
    <t>=IF($M3600&lt;=$T$18,U3600,0)</t>
  </si>
  <si>
    <t>="""NAV Direct"",""CRONUS JetCorp USA"",""21"",""1"",""131810"""</t>
  </si>
  <si>
    <t>=E3599</t>
  </si>
  <si>
    <t>=StartDate-$M3601+1</t>
  </si>
  <si>
    <t>=SUM(P3601:T3601)</t>
  </si>
  <si>
    <t>=IF($M3601&gt;=$P$18,U3601,0)</t>
  </si>
  <si>
    <t>=IF(AND($M3601&gt;=$Q$16,$M3601&lt;=$Q$18),U3601,0)</t>
  </si>
  <si>
    <t>=IF(AND($M3601&gt;=$R$16,$M3601&lt;=$R$18),U3601,0)</t>
  </si>
  <si>
    <t>=IF(AND($M3601&gt;=$S$16,$M3601&lt;=$S$18),U3601,0)</t>
  </si>
  <si>
    <t>=IF($M3601&lt;=$T$18,U3601,0)</t>
  </si>
  <si>
    <t>="""NAV Direct"",""CRONUS JetCorp USA"",""21"",""1"",""383954"""</t>
  </si>
  <si>
    <t>=E3600</t>
  </si>
  <si>
    <t>=StartDate-$M3602+1</t>
  </si>
  <si>
    <t>=SUM(P3602:T3602)</t>
  </si>
  <si>
    <t>=IF($M3602&gt;=$P$18,U3602,0)</t>
  </si>
  <si>
    <t>=IF(AND($M3602&gt;=$Q$16,$M3602&lt;=$Q$18),U3602,0)</t>
  </si>
  <si>
    <t>=IF(AND($M3602&gt;=$R$16,$M3602&lt;=$R$18),U3602,0)</t>
  </si>
  <si>
    <t>=IF(AND($M3602&gt;=$S$16,$M3602&lt;=$S$18),U3602,0)</t>
  </si>
  <si>
    <t>=IF($M3602&lt;=$T$18,U3602,0)</t>
  </si>
  <si>
    <t>="""NAV Direct"",""CRONUS JetCorp USA"",""21"",""1"",""384521"""</t>
  </si>
  <si>
    <t>=E3601</t>
  </si>
  <si>
    <t>=StartDate-$M3603+1</t>
  </si>
  <si>
    <t>=SUM(P3603:T3603)</t>
  </si>
  <si>
    <t>=IF($M3603&gt;=$P$18,U3603,0)</t>
  </si>
  <si>
    <t>=IF(AND($M3603&gt;=$Q$16,$M3603&lt;=$Q$18),U3603,0)</t>
  </si>
  <si>
    <t>=IF(AND($M3603&gt;=$R$16,$M3603&lt;=$R$18),U3603,0)</t>
  </si>
  <si>
    <t>=IF(AND($M3603&gt;=$S$16,$M3603&lt;=$S$18),U3603,0)</t>
  </si>
  <si>
    <t>=IF($M3603&lt;=$T$18,U3603,0)</t>
  </si>
  <si>
    <t>="""NAV Direct"",""CRONUS JetCorp USA"",""21"",""1"",""384712"""</t>
  </si>
  <si>
    <t>=E3602</t>
  </si>
  <si>
    <t>=StartDate-$M3604+1</t>
  </si>
  <si>
    <t>=SUM(P3604:T3604)</t>
  </si>
  <si>
    <t>=IF($M3604&gt;=$P$18,U3604,0)</t>
  </si>
  <si>
    <t>=IF(AND($M3604&gt;=$Q$16,$M3604&lt;=$Q$18),U3604,0)</t>
  </si>
  <si>
    <t>=IF(AND($M3604&gt;=$R$16,$M3604&lt;=$R$18),U3604,0)</t>
  </si>
  <si>
    <t>=IF(AND($M3604&gt;=$S$16,$M3604&lt;=$S$18),U3604,0)</t>
  </si>
  <si>
    <t>=IF($M3604&lt;=$T$18,U3604,0)</t>
  </si>
  <si>
    <t>="""NAV Direct"",""CRONUS JetCorp USA"",""21"",""1"",""385367"""</t>
  </si>
  <si>
    <t>=E3603</t>
  </si>
  <si>
    <t>=StartDate-$M3605+1</t>
  </si>
  <si>
    <t>=SUM(P3605:T3605)</t>
  </si>
  <si>
    <t>=IF($M3605&gt;=$P$18,U3605,0)</t>
  </si>
  <si>
    <t>=IF(AND($M3605&gt;=$Q$16,$M3605&lt;=$Q$18),U3605,0)</t>
  </si>
  <si>
    <t>=IF(AND($M3605&gt;=$R$16,$M3605&lt;=$R$18),U3605,0)</t>
  </si>
  <si>
    <t>=IF(AND($M3605&gt;=$S$16,$M3605&lt;=$S$18),U3605,0)</t>
  </si>
  <si>
    <t>=IF($M3605&lt;=$T$18,U3605,0)</t>
  </si>
  <si>
    <t>="""NAV Direct"",""CRONUS JetCorp USA"",""21"",""1"",""385475"""</t>
  </si>
  <si>
    <t>=E3604</t>
  </si>
  <si>
    <t>=StartDate-$M3606+1</t>
  </si>
  <si>
    <t>=SUM(P3606:T3606)</t>
  </si>
  <si>
    <t>=IF($M3606&gt;=$P$18,U3606,0)</t>
  </si>
  <si>
    <t>=IF(AND($M3606&gt;=$Q$16,$M3606&lt;=$Q$18),U3606,0)</t>
  </si>
  <si>
    <t>=IF(AND($M3606&gt;=$R$16,$M3606&lt;=$R$18),U3606,0)</t>
  </si>
  <si>
    <t>=IF(AND($M3606&gt;=$S$16,$M3606&lt;=$S$18),U3606,0)</t>
  </si>
  <si>
    <t>=IF($M3606&lt;=$T$18,U3606,0)</t>
  </si>
  <si>
    <t>="""NAV Direct"",""CRONUS JetCorp USA"",""21"",""1"",""385538"""</t>
  </si>
  <si>
    <t>=E3605</t>
  </si>
  <si>
    <t>=StartDate-$M3607+1</t>
  </si>
  <si>
    <t>=SUM(P3607:T3607)</t>
  </si>
  <si>
    <t>=IF($M3607&gt;=$P$18,U3607,0)</t>
  </si>
  <si>
    <t>=IF(AND($M3607&gt;=$Q$16,$M3607&lt;=$Q$18),U3607,0)</t>
  </si>
  <si>
    <t>=IF(AND($M3607&gt;=$R$16,$M3607&lt;=$R$18),U3607,0)</t>
  </si>
  <si>
    <t>=IF(AND($M3607&gt;=$S$16,$M3607&lt;=$S$18),U3607,0)</t>
  </si>
  <si>
    <t>=IF($M3607&lt;=$T$18,U3607,0)</t>
  </si>
  <si>
    <t>="""NAV Direct"",""CRONUS JetCorp USA"",""21"",""1"",""385877"""</t>
  </si>
  <si>
    <t>=E3606</t>
  </si>
  <si>
    <t>=StartDate-$M3608+1</t>
  </si>
  <si>
    <t>=SUM(P3608:T3608)</t>
  </si>
  <si>
    <t>=IF($M3608&gt;=$P$18,U3608,0)</t>
  </si>
  <si>
    <t>=IF(AND($M3608&gt;=$Q$16,$M3608&lt;=$Q$18),U3608,0)</t>
  </si>
  <si>
    <t>=IF(AND($M3608&gt;=$R$16,$M3608&lt;=$R$18),U3608,0)</t>
  </si>
  <si>
    <t>=IF(AND($M3608&gt;=$S$16,$M3608&lt;=$S$18),U3608,0)</t>
  </si>
  <si>
    <t>=IF($M3608&lt;=$T$18,U3608,0)</t>
  </si>
  <si>
    <t>="""NAV Direct"",""CRONUS JetCorp USA"",""21"",""1"",""386261"""</t>
  </si>
  <si>
    <t>=E3607</t>
  </si>
  <si>
    <t>=StartDate-$M3609+1</t>
  </si>
  <si>
    <t>=SUM(P3609:T3609)</t>
  </si>
  <si>
    <t>=IF($M3609&gt;=$P$18,U3609,0)</t>
  </si>
  <si>
    <t>=IF(AND($M3609&gt;=$Q$16,$M3609&lt;=$Q$18),U3609,0)</t>
  </si>
  <si>
    <t>=IF(AND($M3609&gt;=$R$16,$M3609&lt;=$R$18),U3609,0)</t>
  </si>
  <si>
    <t>=IF(AND($M3609&gt;=$S$16,$M3609&lt;=$S$18),U3609,0)</t>
  </si>
  <si>
    <t>=IF($M3609&lt;=$T$18,U3609,0)</t>
  </si>
  <si>
    <t>="""NAV Direct"",""CRONUS JetCorp USA"",""21"",""1"",""387273"""</t>
  </si>
  <si>
    <t>=E3608</t>
  </si>
  <si>
    <t>=StartDate-$M3610+1</t>
  </si>
  <si>
    <t>=SUM(P3610:T3610)</t>
  </si>
  <si>
    <t>=IF($M3610&gt;=$P$18,U3610,0)</t>
  </si>
  <si>
    <t>=IF(AND($M3610&gt;=$Q$16,$M3610&lt;=$Q$18),U3610,0)</t>
  </si>
  <si>
    <t>=IF(AND($M3610&gt;=$R$16,$M3610&lt;=$R$18),U3610,0)</t>
  </si>
  <si>
    <t>=IF(AND($M3610&gt;=$S$16,$M3610&lt;=$S$18),U3610,0)</t>
  </si>
  <si>
    <t>=IF($M3610&lt;=$T$18,U3610,0)</t>
  </si>
  <si>
    <t>="""NAV Direct"",""CRONUS JetCorp USA"",""21"",""1"",""388167"""</t>
  </si>
  <si>
    <t>=E3609</t>
  </si>
  <si>
    <t>=StartDate-$M3611+1</t>
  </si>
  <si>
    <t>=SUM(P3611:T3611)</t>
  </si>
  <si>
    <t>=IF($M3611&gt;=$P$18,U3611,0)</t>
  </si>
  <si>
    <t>=IF(AND($M3611&gt;=$Q$16,$M3611&lt;=$Q$18),U3611,0)</t>
  </si>
  <si>
    <t>=IF(AND($M3611&gt;=$R$16,$M3611&lt;=$R$18),U3611,0)</t>
  </si>
  <si>
    <t>=IF(AND($M3611&gt;=$S$16,$M3611&lt;=$S$18),U3611,0)</t>
  </si>
  <si>
    <t>=IF($M3611&lt;=$T$18,U3611,0)</t>
  </si>
  <si>
    <t>="""NAV Direct"",""CRONUS JetCorp USA"",""21"",""1"",""388301"""</t>
  </si>
  <si>
    <t>=E3610</t>
  </si>
  <si>
    <t>=StartDate-$M3612+1</t>
  </si>
  <si>
    <t>=SUM(P3612:T3612)</t>
  </si>
  <si>
    <t>=IF($M3612&gt;=$P$18,U3612,0)</t>
  </si>
  <si>
    <t>=IF(AND($M3612&gt;=$Q$16,$M3612&lt;=$Q$18),U3612,0)</t>
  </si>
  <si>
    <t>=IF(AND($M3612&gt;=$R$16,$M3612&lt;=$R$18),U3612,0)</t>
  </si>
  <si>
    <t>=IF(AND($M3612&gt;=$S$16,$M3612&lt;=$S$18),U3612,0)</t>
  </si>
  <si>
    <t>=IF($M3612&lt;=$T$18,U3612,0)</t>
  </si>
  <si>
    <t>="""NAV Direct"",""CRONUS JetCorp USA"",""21"",""1"",""388368"""</t>
  </si>
  <si>
    <t>=E3611</t>
  </si>
  <si>
    <t>=StartDate-$M3613+1</t>
  </si>
  <si>
    <t>=SUM(P3613:T3613)</t>
  </si>
  <si>
    <t>=IF($M3613&gt;=$P$18,U3613,0)</t>
  </si>
  <si>
    <t>=IF(AND($M3613&gt;=$Q$16,$M3613&lt;=$Q$18),U3613,0)</t>
  </si>
  <si>
    <t>=IF(AND($M3613&gt;=$R$16,$M3613&lt;=$R$18),U3613,0)</t>
  </si>
  <si>
    <t>=IF(AND($M3613&gt;=$S$16,$M3613&lt;=$S$18),U3613,0)</t>
  </si>
  <si>
    <t>=IF($M3613&lt;=$T$18,U3613,0)</t>
  </si>
  <si>
    <t>="""NAV Direct"",""CRONUS JetCorp USA"",""21"",""1"",""389724"""</t>
  </si>
  <si>
    <t>=E3612</t>
  </si>
  <si>
    <t>=StartDate-$M3614+1</t>
  </si>
  <si>
    <t>=SUM(P3614:T3614)</t>
  </si>
  <si>
    <t>=IF($M3614&gt;=$P$18,U3614,0)</t>
  </si>
  <si>
    <t>=IF(AND($M3614&gt;=$Q$16,$M3614&lt;=$Q$18),U3614,0)</t>
  </si>
  <si>
    <t>=IF(AND($M3614&gt;=$R$16,$M3614&lt;=$R$18),U3614,0)</t>
  </si>
  <si>
    <t>=IF(AND($M3614&gt;=$S$16,$M3614&lt;=$S$18),U3614,0)</t>
  </si>
  <si>
    <t>=IF($M3614&lt;=$T$18,U3614,0)</t>
  </si>
  <si>
    <t>="""NAV Direct"",""CRONUS JetCorp USA"",""21"",""1"",""389785"""</t>
  </si>
  <si>
    <t>=E3613</t>
  </si>
  <si>
    <t>=StartDate-$M3615+1</t>
  </si>
  <si>
    <t>=SUM(P3615:T3615)</t>
  </si>
  <si>
    <t>=IF($M3615&gt;=$P$18,U3615,0)</t>
  </si>
  <si>
    <t>=IF(AND($M3615&gt;=$Q$16,$M3615&lt;=$Q$18),U3615,0)</t>
  </si>
  <si>
    <t>=IF(AND($M3615&gt;=$R$16,$M3615&lt;=$R$18),U3615,0)</t>
  </si>
  <si>
    <t>=IF(AND($M3615&gt;=$S$16,$M3615&lt;=$S$18),U3615,0)</t>
  </si>
  <si>
    <t>=IF($M3615&lt;=$T$18,U3615,0)</t>
  </si>
  <si>
    <t>="""NAV Direct"",""CRONUS JetCorp USA"",""21"",""1"",""390404"""</t>
  </si>
  <si>
    <t>=E3614</t>
  </si>
  <si>
    <t>=StartDate-$M3616+1</t>
  </si>
  <si>
    <t>=SUM(P3616:T3616)</t>
  </si>
  <si>
    <t>=IF($M3616&gt;=$P$18,U3616,0)</t>
  </si>
  <si>
    <t>=IF(AND($M3616&gt;=$Q$16,$M3616&lt;=$Q$18),U3616,0)</t>
  </si>
  <si>
    <t>=IF(AND($M3616&gt;=$R$16,$M3616&lt;=$R$18),U3616,0)</t>
  </si>
  <si>
    <t>=IF(AND($M3616&gt;=$S$16,$M3616&lt;=$S$18),U3616,0)</t>
  </si>
  <si>
    <t>=IF($M3616&lt;=$T$18,U3616,0)</t>
  </si>
  <si>
    <t>="""NAV Direct"",""CRONUS JetCorp USA"",""21"",""1"",""390857"""</t>
  </si>
  <si>
    <t>=E3615</t>
  </si>
  <si>
    <t>=StartDate-$M3617+1</t>
  </si>
  <si>
    <t>=SUM(P3617:T3617)</t>
  </si>
  <si>
    <t>=IF($M3617&gt;=$P$18,U3617,0)</t>
  </si>
  <si>
    <t>=IF(AND($M3617&gt;=$Q$16,$M3617&lt;=$Q$18),U3617,0)</t>
  </si>
  <si>
    <t>=IF(AND($M3617&gt;=$R$16,$M3617&lt;=$R$18),U3617,0)</t>
  </si>
  <si>
    <t>=IF(AND($M3617&gt;=$S$16,$M3617&lt;=$S$18),U3617,0)</t>
  </si>
  <si>
    <t>=IF($M3617&lt;=$T$18,U3617,0)</t>
  </si>
  <si>
    <t>="""NAV Direct"",""CRONUS JetCorp USA"",""21"",""1"",""391170"""</t>
  </si>
  <si>
    <t>=E3616</t>
  </si>
  <si>
    <t>=StartDate-$M3618+1</t>
  </si>
  <si>
    <t>=SUM(P3618:T3618)</t>
  </si>
  <si>
    <t>=IF($M3618&gt;=$P$18,U3618,0)</t>
  </si>
  <si>
    <t>=IF(AND($M3618&gt;=$Q$16,$M3618&lt;=$Q$18),U3618,0)</t>
  </si>
  <si>
    <t>=IF(AND($M3618&gt;=$R$16,$M3618&lt;=$R$18),U3618,0)</t>
  </si>
  <si>
    <t>=IF(AND($M3618&gt;=$S$16,$M3618&lt;=$S$18),U3618,0)</t>
  </si>
  <si>
    <t>=IF($M3618&lt;=$T$18,U3618,0)</t>
  </si>
  <si>
    <t>="""NAV Direct"",""CRONUS JetCorp USA"",""21"",""1"",""391686"""</t>
  </si>
  <si>
    <t>=E3617</t>
  </si>
  <si>
    <t>=StartDate-$M3619+1</t>
  </si>
  <si>
    <t>=SUM(P3619:T3619)</t>
  </si>
  <si>
    <t>=IF($M3619&gt;=$P$18,U3619,0)</t>
  </si>
  <si>
    <t>=IF(AND($M3619&gt;=$Q$16,$M3619&lt;=$Q$18),U3619,0)</t>
  </si>
  <si>
    <t>=IF(AND($M3619&gt;=$R$16,$M3619&lt;=$R$18),U3619,0)</t>
  </si>
  <si>
    <t>=IF(AND($M3619&gt;=$S$16,$M3619&lt;=$S$18),U3619,0)</t>
  </si>
  <si>
    <t>=IF($M3619&lt;=$T$18,U3619,0)</t>
  </si>
  <si>
    <t>="""NAV Direct"",""CRONUS JetCorp USA"",""21"",""1"",""391959"""</t>
  </si>
  <si>
    <t>=E3618</t>
  </si>
  <si>
    <t>=StartDate-$M3620+1</t>
  </si>
  <si>
    <t>=SUM(P3620:T3620)</t>
  </si>
  <si>
    <t>=IF($M3620&gt;=$P$18,U3620,0)</t>
  </si>
  <si>
    <t>=IF(AND($M3620&gt;=$Q$16,$M3620&lt;=$Q$18),U3620,0)</t>
  </si>
  <si>
    <t>=IF(AND($M3620&gt;=$R$16,$M3620&lt;=$R$18),U3620,0)</t>
  </si>
  <si>
    <t>=IF(AND($M3620&gt;=$S$16,$M3620&lt;=$S$18),U3620,0)</t>
  </si>
  <si>
    <t>=IF($M3620&lt;=$T$18,U3620,0)</t>
  </si>
  <si>
    <t>="""NAV Direct"",""CRONUS JetCorp USA"",""21"",""1"",""393357"""</t>
  </si>
  <si>
    <t>=E3619</t>
  </si>
  <si>
    <t>=StartDate-$M3621+1</t>
  </si>
  <si>
    <t>=SUM(P3621:T3621)</t>
  </si>
  <si>
    <t>=IF($M3621&gt;=$P$18,U3621,0)</t>
  </si>
  <si>
    <t>=IF(AND($M3621&gt;=$Q$16,$M3621&lt;=$Q$18),U3621,0)</t>
  </si>
  <si>
    <t>=IF(AND($M3621&gt;=$R$16,$M3621&lt;=$R$18),U3621,0)</t>
  </si>
  <si>
    <t>=IF(AND($M3621&gt;=$S$16,$M3621&lt;=$S$18),U3621,0)</t>
  </si>
  <si>
    <t>=IF($M3621&lt;=$T$18,U3621,0)</t>
  </si>
  <si>
    <t>="""NAV Direct"",""CRONUS JetCorp USA"",""21"",""1"",""393420"""</t>
  </si>
  <si>
    <t>=E3620</t>
  </si>
  <si>
    <t>=StartDate-$M3622+1</t>
  </si>
  <si>
    <t>=SUM(P3622:T3622)</t>
  </si>
  <si>
    <t>=IF($M3622&gt;=$P$18,U3622,0)</t>
  </si>
  <si>
    <t>=IF(AND($M3622&gt;=$Q$16,$M3622&lt;=$Q$18),U3622,0)</t>
  </si>
  <si>
    <t>=IF(AND($M3622&gt;=$R$16,$M3622&lt;=$R$18),U3622,0)</t>
  </si>
  <si>
    <t>=IF(AND($M3622&gt;=$S$16,$M3622&lt;=$S$18),U3622,0)</t>
  </si>
  <si>
    <t>=IF($M3622&lt;=$T$18,U3622,0)</t>
  </si>
  <si>
    <t>="""NAV Direct"",""CRONUS JetCorp USA"",""21"",""1"",""395103"""</t>
  </si>
  <si>
    <t>=E3621</t>
  </si>
  <si>
    <t>=StartDate-$M3623+1</t>
  </si>
  <si>
    <t>=SUM(P3623:T3623)</t>
  </si>
  <si>
    <t>=IF($M3623&gt;=$P$18,U3623,0)</t>
  </si>
  <si>
    <t>=IF(AND($M3623&gt;=$Q$16,$M3623&lt;=$Q$18),U3623,0)</t>
  </si>
  <si>
    <t>=IF(AND($M3623&gt;=$R$16,$M3623&lt;=$R$18),U3623,0)</t>
  </si>
  <si>
    <t>=IF(AND($M3623&gt;=$S$16,$M3623&lt;=$S$18),U3623,0)</t>
  </si>
  <si>
    <t>=IF($M3623&lt;=$T$18,U3623,0)</t>
  </si>
  <si>
    <t>="""NAV Direct"",""CRONUS JetCorp USA"",""21"",""1"",""395488"""</t>
  </si>
  <si>
    <t>=E3622</t>
  </si>
  <si>
    <t>=StartDate-$M3624+1</t>
  </si>
  <si>
    <t>=SUM(P3624:T3624)</t>
  </si>
  <si>
    <t>=IF($M3624&gt;=$P$18,U3624,0)</t>
  </si>
  <si>
    <t>=IF(AND($M3624&gt;=$Q$16,$M3624&lt;=$Q$18),U3624,0)</t>
  </si>
  <si>
    <t>=IF(AND($M3624&gt;=$R$16,$M3624&lt;=$R$18),U3624,0)</t>
  </si>
  <si>
    <t>=IF(AND($M3624&gt;=$S$16,$M3624&lt;=$S$18),U3624,0)</t>
  </si>
  <si>
    <t>=IF($M3624&lt;=$T$18,U3624,0)</t>
  </si>
  <si>
    <t>="""NAV Direct"",""CRONUS JetCorp USA"",""21"",""1"",""396923"""</t>
  </si>
  <si>
    <t>=E3623</t>
  </si>
  <si>
    <t>=StartDate-$M3625+1</t>
  </si>
  <si>
    <t>=SUM(P3625:T3625)</t>
  </si>
  <si>
    <t>=IF($M3625&gt;=$P$18,U3625,0)</t>
  </si>
  <si>
    <t>=IF(AND($M3625&gt;=$Q$16,$M3625&lt;=$Q$18),U3625,0)</t>
  </si>
  <si>
    <t>=IF(AND($M3625&gt;=$R$16,$M3625&lt;=$R$18),U3625,0)</t>
  </si>
  <si>
    <t>=IF(AND($M3625&gt;=$S$16,$M3625&lt;=$S$18),U3625,0)</t>
  </si>
  <si>
    <t>=IF($M3625&lt;=$T$18,U3625,0)</t>
  </si>
  <si>
    <t>="""NAV Direct"",""CRONUS JetCorp USA"",""21"",""1"",""397684"""</t>
  </si>
  <si>
    <t>=E3624</t>
  </si>
  <si>
    <t>=StartDate-$M3626+1</t>
  </si>
  <si>
    <t>=SUM(P3626:T3626)</t>
  </si>
  <si>
    <t>=IF($M3626&gt;=$P$18,U3626,0)</t>
  </si>
  <si>
    <t>=IF(AND($M3626&gt;=$Q$16,$M3626&lt;=$Q$18),U3626,0)</t>
  </si>
  <si>
    <t>=IF(AND($M3626&gt;=$R$16,$M3626&lt;=$R$18),U3626,0)</t>
  </si>
  <si>
    <t>=IF(AND($M3626&gt;=$S$16,$M3626&lt;=$S$18),U3626,0)</t>
  </si>
  <si>
    <t>=IF($M3626&lt;=$T$18,U3626,0)</t>
  </si>
  <si>
    <t>="""NAV Direct"",""CRONUS JetCorp USA"",""21"",""1"",""398319"""</t>
  </si>
  <si>
    <t>=E3625</t>
  </si>
  <si>
    <t>=StartDate-$M3627+1</t>
  </si>
  <si>
    <t>=SUM(P3627:T3627)</t>
  </si>
  <si>
    <t>=IF($M3627&gt;=$P$18,U3627,0)</t>
  </si>
  <si>
    <t>=IF(AND($M3627&gt;=$Q$16,$M3627&lt;=$Q$18),U3627,0)</t>
  </si>
  <si>
    <t>=IF(AND($M3627&gt;=$R$16,$M3627&lt;=$R$18),U3627,0)</t>
  </si>
  <si>
    <t>=IF(AND($M3627&gt;=$S$16,$M3627&lt;=$S$18),U3627,0)</t>
  </si>
  <si>
    <t>=IF($M3627&lt;=$T$18,U3627,0)</t>
  </si>
  <si>
    <t>="""NAV Direct"",""CRONUS JetCorp USA"",""21"",""1"",""398673"""</t>
  </si>
  <si>
    <t>=E3626</t>
  </si>
  <si>
    <t>=StartDate-$M3628+1</t>
  </si>
  <si>
    <t>=SUM(P3628:T3628)</t>
  </si>
  <si>
    <t>=IF($M3628&gt;=$P$18,U3628,0)</t>
  </si>
  <si>
    <t>=IF(AND($M3628&gt;=$Q$16,$M3628&lt;=$Q$18),U3628,0)</t>
  </si>
  <si>
    <t>=IF(AND($M3628&gt;=$R$16,$M3628&lt;=$R$18),U3628,0)</t>
  </si>
  <si>
    <t>=IF(AND($M3628&gt;=$S$16,$M3628&lt;=$S$18),U3628,0)</t>
  </si>
  <si>
    <t>=IF($M3628&lt;=$T$18,U3628,0)</t>
  </si>
  <si>
    <t>="""NAV Direct"",""CRONUS JetCorp USA"",""21"",""1"",""398724"""</t>
  </si>
  <si>
    <t>=E3627</t>
  </si>
  <si>
    <t>=StartDate-$M3629+1</t>
  </si>
  <si>
    <t>=SUM(P3629:T3629)</t>
  </si>
  <si>
    <t>=IF($M3629&gt;=$P$18,U3629,0)</t>
  </si>
  <si>
    <t>=IF(AND($M3629&gt;=$Q$16,$M3629&lt;=$Q$18),U3629,0)</t>
  </si>
  <si>
    <t>=IF(AND($M3629&gt;=$R$16,$M3629&lt;=$R$18),U3629,0)</t>
  </si>
  <si>
    <t>=IF(AND($M3629&gt;=$S$16,$M3629&lt;=$S$18),U3629,0)</t>
  </si>
  <si>
    <t>=IF($M3629&lt;=$T$18,U3629,0)</t>
  </si>
  <si>
    <t>="""NAV Direct"",""CRONUS JetCorp USA"",""21"",""1"",""398835"""</t>
  </si>
  <si>
    <t>=E3628</t>
  </si>
  <si>
    <t>=StartDate-$M3630+1</t>
  </si>
  <si>
    <t>=SUM(P3630:T3630)</t>
  </si>
  <si>
    <t>=IF($M3630&gt;=$P$18,U3630,0)</t>
  </si>
  <si>
    <t>=IF(AND($M3630&gt;=$Q$16,$M3630&lt;=$Q$18),U3630,0)</t>
  </si>
  <si>
    <t>=IF(AND($M3630&gt;=$R$16,$M3630&lt;=$R$18),U3630,0)</t>
  </si>
  <si>
    <t>=IF(AND($M3630&gt;=$S$16,$M3630&lt;=$S$18),U3630,0)</t>
  </si>
  <si>
    <t>=IF($M3630&lt;=$T$18,U3630,0)</t>
  </si>
  <si>
    <t>="""NAV Direct"",""CRONUS JetCorp USA"",""21"",""1"",""398890"""</t>
  </si>
  <si>
    <t>=E3629</t>
  </si>
  <si>
    <t>=StartDate-$M3631+1</t>
  </si>
  <si>
    <t>=SUM(P3631:T3631)</t>
  </si>
  <si>
    <t>=IF($M3631&gt;=$P$18,U3631,0)</t>
  </si>
  <si>
    <t>=IF(AND($M3631&gt;=$Q$16,$M3631&lt;=$Q$18),U3631,0)</t>
  </si>
  <si>
    <t>=IF(AND($M3631&gt;=$R$16,$M3631&lt;=$R$18),U3631,0)</t>
  </si>
  <si>
    <t>=IF(AND($M3631&gt;=$S$16,$M3631&lt;=$S$18),U3631,0)</t>
  </si>
  <si>
    <t>=IF($M3631&lt;=$T$18,U3631,0)</t>
  </si>
  <si>
    <t>="""NAV Direct"",""CRONUS JetCorp USA"",""21"",""1"",""399005"""</t>
  </si>
  <si>
    <t>=E3630</t>
  </si>
  <si>
    <t>=StartDate-$M3632+1</t>
  </si>
  <si>
    <t>=SUM(P3632:T3632)</t>
  </si>
  <si>
    <t>=IF($M3632&gt;=$P$18,U3632,0)</t>
  </si>
  <si>
    <t>=IF(AND($M3632&gt;=$Q$16,$M3632&lt;=$Q$18),U3632,0)</t>
  </si>
  <si>
    <t>=IF(AND($M3632&gt;=$R$16,$M3632&lt;=$R$18),U3632,0)</t>
  </si>
  <si>
    <t>=IF(AND($M3632&gt;=$S$16,$M3632&lt;=$S$18),U3632,0)</t>
  </si>
  <si>
    <t>=IF($M3632&lt;=$T$18,U3632,0)</t>
  </si>
  <si>
    <t>="""NAV Direct"",""CRONUS JetCorp USA"",""21"",""1"",""400696"""</t>
  </si>
  <si>
    <t>=E3631</t>
  </si>
  <si>
    <t>=StartDate-$M3633+1</t>
  </si>
  <si>
    <t>=SUM(P3633:T3633)</t>
  </si>
  <si>
    <t>=IF($M3633&gt;=$P$18,U3633,0)</t>
  </si>
  <si>
    <t>=IF(AND($M3633&gt;=$Q$16,$M3633&lt;=$Q$18),U3633,0)</t>
  </si>
  <si>
    <t>=IF(AND($M3633&gt;=$R$16,$M3633&lt;=$R$18),U3633,0)</t>
  </si>
  <si>
    <t>=IF(AND($M3633&gt;=$S$16,$M3633&lt;=$S$18),U3633,0)</t>
  </si>
  <si>
    <t>=IF($M3633&lt;=$T$18,U3633,0)</t>
  </si>
  <si>
    <t>="""NAV Direct"",""CRONUS JetCorp USA"",""21"",""1"",""401056"""</t>
  </si>
  <si>
    <t>=E3632</t>
  </si>
  <si>
    <t>=StartDate-$M3634+1</t>
  </si>
  <si>
    <t>=SUM(P3634:T3634)</t>
  </si>
  <si>
    <t>=IF($M3634&gt;=$P$18,U3634,0)</t>
  </si>
  <si>
    <t>=IF(AND($M3634&gt;=$Q$16,$M3634&lt;=$Q$18),U3634,0)</t>
  </si>
  <si>
    <t>=IF(AND($M3634&gt;=$R$16,$M3634&lt;=$R$18),U3634,0)</t>
  </si>
  <si>
    <t>=IF(AND($M3634&gt;=$S$16,$M3634&lt;=$S$18),U3634,0)</t>
  </si>
  <si>
    <t>=IF($M3634&lt;=$T$18,U3634,0)</t>
  </si>
  <si>
    <t>="""NAV Direct"",""CRONUS JetCorp USA"",""21"",""1"",""438665"""</t>
  </si>
  <si>
    <t>=E3633</t>
  </si>
  <si>
    <t>=StartDate-$M3635+1</t>
  </si>
  <si>
    <t>=SUM(P3635:T3635)</t>
  </si>
  <si>
    <t>=IF($M3635&gt;=$P$18,U3635,0)</t>
  </si>
  <si>
    <t>=IF(AND($M3635&gt;=$Q$16,$M3635&lt;=$Q$18),U3635,0)</t>
  </si>
  <si>
    <t>=IF(AND($M3635&gt;=$R$16,$M3635&lt;=$R$18),U3635,0)</t>
  </si>
  <si>
    <t>=IF(AND($M3635&gt;=$S$16,$M3635&lt;=$S$18),U3635,0)</t>
  </si>
  <si>
    <t>=IF($M3635&lt;=$T$18,U3635,0)</t>
  </si>
  <si>
    <t>="""NAV Direct"",""CRONUS JetCorp USA"",""21"",""1"",""438822"""</t>
  </si>
  <si>
    <t>=E3634</t>
  </si>
  <si>
    <t>=StartDate-$M3636+1</t>
  </si>
  <si>
    <t>=SUM(P3636:T3636)</t>
  </si>
  <si>
    <t>=IF($M3636&gt;=$P$18,U3636,0)</t>
  </si>
  <si>
    <t>=IF(AND($M3636&gt;=$Q$16,$M3636&lt;=$Q$18),U3636,0)</t>
  </si>
  <si>
    <t>=IF(AND($M3636&gt;=$R$16,$M3636&lt;=$R$18),U3636,0)</t>
  </si>
  <si>
    <t>=IF(AND($M3636&gt;=$S$16,$M3636&lt;=$S$18),U3636,0)</t>
  </si>
  <si>
    <t>=IF($M3636&lt;=$T$18,U3636,0)</t>
  </si>
  <si>
    <t>="""NAV Direct"",""CRONUS JetCorp USA"",""21"",""1"",""439219"""</t>
  </si>
  <si>
    <t>=E3635</t>
  </si>
  <si>
    <t>=StartDate-$M3637+1</t>
  </si>
  <si>
    <t>=SUM(P3637:T3637)</t>
  </si>
  <si>
    <t>=IF($M3637&gt;=$P$18,U3637,0)</t>
  </si>
  <si>
    <t>=IF(AND($M3637&gt;=$Q$16,$M3637&lt;=$Q$18),U3637,0)</t>
  </si>
  <si>
    <t>=IF(AND($M3637&gt;=$R$16,$M3637&lt;=$R$18),U3637,0)</t>
  </si>
  <si>
    <t>=IF(AND($M3637&gt;=$S$16,$M3637&lt;=$S$18),U3637,0)</t>
  </si>
  <si>
    <t>=IF($M3637&lt;=$T$18,U3637,0)</t>
  </si>
  <si>
    <t>="""NAV Direct"",""CRONUS JetCorp USA"",""21"",""1"",""439417"""</t>
  </si>
  <si>
    <t>=E3636</t>
  </si>
  <si>
    <t>=StartDate-$M3638+1</t>
  </si>
  <si>
    <t>=SUM(P3638:T3638)</t>
  </si>
  <si>
    <t>=IF($M3638&gt;=$P$18,U3638,0)</t>
  </si>
  <si>
    <t>=IF(AND($M3638&gt;=$Q$16,$M3638&lt;=$Q$18),U3638,0)</t>
  </si>
  <si>
    <t>=IF(AND($M3638&gt;=$R$16,$M3638&lt;=$R$18),U3638,0)</t>
  </si>
  <si>
    <t>=IF(AND($M3638&gt;=$S$16,$M3638&lt;=$S$18),U3638,0)</t>
  </si>
  <si>
    <t>=IF($M3638&lt;=$T$18,U3638,0)</t>
  </si>
  <si>
    <t>="""NAV Direct"",""CRONUS JetCorp USA"",""21"",""1"",""439588"""</t>
  </si>
  <si>
    <t>=E3637</t>
  </si>
  <si>
    <t>=StartDate-$M3639+1</t>
  </si>
  <si>
    <t>=SUM(P3639:T3639)</t>
  </si>
  <si>
    <t>=IF($M3639&gt;=$P$18,U3639,0)</t>
  </si>
  <si>
    <t>=IF(AND($M3639&gt;=$Q$16,$M3639&lt;=$Q$18),U3639,0)</t>
  </si>
  <si>
    <t>=IF(AND($M3639&gt;=$R$16,$M3639&lt;=$R$18),U3639,0)</t>
  </si>
  <si>
    <t>=IF(AND($M3639&gt;=$S$16,$M3639&lt;=$S$18),U3639,0)</t>
  </si>
  <si>
    <t>=IF($M3639&lt;=$T$18,U3639,0)</t>
  </si>
  <si>
    <t>="""NAV Direct"",""CRONUS JetCorp USA"",""21"",""1"",""439760"""</t>
  </si>
  <si>
    <t>=E3638</t>
  </si>
  <si>
    <t>=StartDate-$M3640+1</t>
  </si>
  <si>
    <t>=SUM(P3640:T3640)</t>
  </si>
  <si>
    <t>=IF($M3640&gt;=$P$18,U3640,0)</t>
  </si>
  <si>
    <t>=IF(AND($M3640&gt;=$Q$16,$M3640&lt;=$Q$18),U3640,0)</t>
  </si>
  <si>
    <t>=IF(AND($M3640&gt;=$R$16,$M3640&lt;=$R$18),U3640,0)</t>
  </si>
  <si>
    <t>=IF(AND($M3640&gt;=$S$16,$M3640&lt;=$S$18),U3640,0)</t>
  </si>
  <si>
    <t>=IF($M3640&lt;=$T$18,U3640,0)</t>
  </si>
  <si>
    <t>="""NAV Direct"",""CRONUS JetCorp USA"",""18"",""1"",""C100104"""</t>
  </si>
  <si>
    <t>=H3643</t>
  </si>
  <si>
    <t>=NF($C3643,"1 No.")</t>
  </si>
  <si>
    <t>=NF($C3643,"1 No.")&amp;"  -  "&amp;NF($C3643,"2 Name")</t>
  </si>
  <si>
    <t>=IFERROR(O3643/NF(C3643,"Credit Limit (LCY)"),"")</t>
  </si>
  <si>
    <t>=SUBTOTAL(3,L3644:L3700)</t>
  </si>
  <si>
    <t>=SUBTOTAL(9,O3644:O3700)</t>
  </si>
  <si>
    <t>=SUBTOTAL(9,P3644:P3700)</t>
  </si>
  <si>
    <t>=SUBTOTAL(9,Q3644:Q3700)</t>
  </si>
  <si>
    <t>=SUBTOTAL(9,R3644:R3700)</t>
  </si>
  <si>
    <t>=SUBTOTAL(9,S3644:S3700)</t>
  </si>
  <si>
    <t>=SUBTOTAL(9,T3644:T3700)</t>
  </si>
  <si>
    <t>=C3643</t>
  </si>
  <si>
    <t>=E3643</t>
  </si>
  <si>
    <t>="Contact: "&amp;NF($C3644,"8 Contact")</t>
  </si>
  <si>
    <t>=C3644</t>
  </si>
  <si>
    <t>=E3644</t>
  </si>
  <si>
    <t>=NF($C3645,"102 E-Mail")</t>
  </si>
  <si>
    <t>=NL("Rows","21 Cust. Ledger Entry",,"3 Customer No.","@@"&amp;$E3647,"16 Remaining Amt. (LCY)","&lt;&gt;0")</t>
  </si>
  <si>
    <t>=E3645</t>
  </si>
  <si>
    <t>=StartDate-$M3647+1</t>
  </si>
  <si>
    <t>=SUM(P3647:T3647)</t>
  </si>
  <si>
    <t>=IF($M3647&gt;=$P$18,U3647,0)</t>
  </si>
  <si>
    <t>=IF(AND($M3647&gt;=$Q$16,$M3647&lt;=$Q$18),U3647,0)</t>
  </si>
  <si>
    <t>=IF(AND($M3647&gt;=$R$16,$M3647&lt;=$R$18),U3647,0)</t>
  </si>
  <si>
    <t>=IF(AND($M3647&gt;=$S$16,$M3647&lt;=$S$18),U3647,0)</t>
  </si>
  <si>
    <t>=IF($M3647&lt;=$T$18,U3647,0)</t>
  </si>
  <si>
    <t>="""NAV Direct"",""CRONUS JetCorp USA"",""21"",""1"",""335503"""</t>
  </si>
  <si>
    <t>=E3646</t>
  </si>
  <si>
    <t>=StartDate-$M3648+1</t>
  </si>
  <si>
    <t>=SUM(P3648:T3648)</t>
  </si>
  <si>
    <t>=IF($M3648&gt;=$P$18,U3648,0)</t>
  </si>
  <si>
    <t>=IF(AND($M3648&gt;=$Q$16,$M3648&lt;=$Q$18),U3648,0)</t>
  </si>
  <si>
    <t>=IF(AND($M3648&gt;=$R$16,$M3648&lt;=$R$18),U3648,0)</t>
  </si>
  <si>
    <t>=IF(AND($M3648&gt;=$S$16,$M3648&lt;=$S$18),U3648,0)</t>
  </si>
  <si>
    <t>=IF($M3648&lt;=$T$18,U3648,0)</t>
  </si>
  <si>
    <t>="""NAV Direct"",""CRONUS JetCorp USA"",""21"",""1"",""335727"""</t>
  </si>
  <si>
    <t>=E3647</t>
  </si>
  <si>
    <t>=StartDate-$M3649+1</t>
  </si>
  <si>
    <t>=SUM(P3649:T3649)</t>
  </si>
  <si>
    <t>=IF($M3649&gt;=$P$18,U3649,0)</t>
  </si>
  <si>
    <t>=IF(AND($M3649&gt;=$Q$16,$M3649&lt;=$Q$18),U3649,0)</t>
  </si>
  <si>
    <t>=IF(AND($M3649&gt;=$R$16,$M3649&lt;=$R$18),U3649,0)</t>
  </si>
  <si>
    <t>=IF(AND($M3649&gt;=$S$16,$M3649&lt;=$S$18),U3649,0)</t>
  </si>
  <si>
    <t>=IF($M3649&lt;=$T$18,U3649,0)</t>
  </si>
  <si>
    <t>="""NAV Direct"",""CRONUS JetCorp USA"",""21"",""1"",""335869"""</t>
  </si>
  <si>
    <t>=E3648</t>
  </si>
  <si>
    <t>=StartDate-$M3650+1</t>
  </si>
  <si>
    <t>=SUM(P3650:T3650)</t>
  </si>
  <si>
    <t>=IF($M3650&gt;=$P$18,U3650,0)</t>
  </si>
  <si>
    <t>=IF(AND($M3650&gt;=$Q$16,$M3650&lt;=$Q$18),U3650,0)</t>
  </si>
  <si>
    <t>=IF(AND($M3650&gt;=$R$16,$M3650&lt;=$R$18),U3650,0)</t>
  </si>
  <si>
    <t>=IF(AND($M3650&gt;=$S$16,$M3650&lt;=$S$18),U3650,0)</t>
  </si>
  <si>
    <t>=IF($M3650&lt;=$T$18,U3650,0)</t>
  </si>
  <si>
    <t>="""NAV Direct"",""CRONUS JetCorp USA"",""21"",""1"",""336310"""</t>
  </si>
  <si>
    <t>=E3649</t>
  </si>
  <si>
    <t>=StartDate-$M3651+1</t>
  </si>
  <si>
    <t>=SUM(P3651:T3651)</t>
  </si>
  <si>
    <t>=IF($M3651&gt;=$P$18,U3651,0)</t>
  </si>
  <si>
    <t>=IF(AND($M3651&gt;=$Q$16,$M3651&lt;=$Q$18),U3651,0)</t>
  </si>
  <si>
    <t>=IF(AND($M3651&gt;=$R$16,$M3651&lt;=$R$18),U3651,0)</t>
  </si>
  <si>
    <t>=IF(AND($M3651&gt;=$S$16,$M3651&lt;=$S$18),U3651,0)</t>
  </si>
  <si>
    <t>=IF($M3651&lt;=$T$18,U3651,0)</t>
  </si>
  <si>
    <t>="""NAV Direct"",""CRONUS JetCorp USA"",""21"",""1"",""336481"""</t>
  </si>
  <si>
    <t>=E3650</t>
  </si>
  <si>
    <t>=StartDate-$M3652+1</t>
  </si>
  <si>
    <t>=SUM(P3652:T3652)</t>
  </si>
  <si>
    <t>=IF($M3652&gt;=$P$18,U3652,0)</t>
  </si>
  <si>
    <t>=IF(AND($M3652&gt;=$Q$16,$M3652&lt;=$Q$18),U3652,0)</t>
  </si>
  <si>
    <t>=IF(AND($M3652&gt;=$R$16,$M3652&lt;=$R$18),U3652,0)</t>
  </si>
  <si>
    <t>=IF(AND($M3652&gt;=$S$16,$M3652&lt;=$S$18),U3652,0)</t>
  </si>
  <si>
    <t>=IF($M3652&lt;=$T$18,U3652,0)</t>
  </si>
  <si>
    <t>="""NAV Direct"",""CRONUS JetCorp USA"",""21"",""1"",""336668"""</t>
  </si>
  <si>
    <t>=E3651</t>
  </si>
  <si>
    <t>=StartDate-$M3653+1</t>
  </si>
  <si>
    <t>=SUM(P3653:T3653)</t>
  </si>
  <si>
    <t>=IF($M3653&gt;=$P$18,U3653,0)</t>
  </si>
  <si>
    <t>=IF(AND($M3653&gt;=$Q$16,$M3653&lt;=$Q$18),U3653,0)</t>
  </si>
  <si>
    <t>=IF(AND($M3653&gt;=$R$16,$M3653&lt;=$R$18),U3653,0)</t>
  </si>
  <si>
    <t>=IF(AND($M3653&gt;=$S$16,$M3653&lt;=$S$18),U3653,0)</t>
  </si>
  <si>
    <t>=IF($M3653&lt;=$T$18,U3653,0)</t>
  </si>
  <si>
    <t>="""NAV Direct"",""CRONUS JetCorp USA"",""21"",""1"",""336779"""</t>
  </si>
  <si>
    <t>=E3652</t>
  </si>
  <si>
    <t>=StartDate-$M3654+1</t>
  </si>
  <si>
    <t>=SUM(P3654:T3654)</t>
  </si>
  <si>
    <t>=IF($M3654&gt;=$P$18,U3654,0)</t>
  </si>
  <si>
    <t>=IF(AND($M3654&gt;=$Q$16,$M3654&lt;=$Q$18),U3654,0)</t>
  </si>
  <si>
    <t>=IF(AND($M3654&gt;=$R$16,$M3654&lt;=$R$18),U3654,0)</t>
  </si>
  <si>
    <t>=IF(AND($M3654&gt;=$S$16,$M3654&lt;=$S$18),U3654,0)</t>
  </si>
  <si>
    <t>=IF($M3654&lt;=$T$18,U3654,0)</t>
  </si>
  <si>
    <t>="""NAV Direct"",""CRONUS JetCorp USA"",""21"",""1"",""338209"""</t>
  </si>
  <si>
    <t>=E3653</t>
  </si>
  <si>
    <t>=StartDate-$M3655+1</t>
  </si>
  <si>
    <t>=SUM(P3655:T3655)</t>
  </si>
  <si>
    <t>=IF($M3655&gt;=$P$18,U3655,0)</t>
  </si>
  <si>
    <t>=IF(AND($M3655&gt;=$Q$16,$M3655&lt;=$Q$18),U3655,0)</t>
  </si>
  <si>
    <t>=IF(AND($M3655&gt;=$R$16,$M3655&lt;=$R$18),U3655,0)</t>
  </si>
  <si>
    <t>=IF(AND($M3655&gt;=$S$16,$M3655&lt;=$S$18),U3655,0)</t>
  </si>
  <si>
    <t>=IF($M3655&lt;=$T$18,U3655,0)</t>
  </si>
  <si>
    <t>="""NAV Direct"",""CRONUS JetCorp USA"",""21"",""1"",""338785"""</t>
  </si>
  <si>
    <t>=E3654</t>
  </si>
  <si>
    <t>=StartDate-$M3656+1</t>
  </si>
  <si>
    <t>=SUM(P3656:T3656)</t>
  </si>
  <si>
    <t>=IF($M3656&gt;=$P$18,U3656,0)</t>
  </si>
  <si>
    <t>=IF(AND($M3656&gt;=$Q$16,$M3656&lt;=$Q$18),U3656,0)</t>
  </si>
  <si>
    <t>=IF(AND($M3656&gt;=$R$16,$M3656&lt;=$R$18),U3656,0)</t>
  </si>
  <si>
    <t>=IF(AND($M3656&gt;=$S$16,$M3656&lt;=$S$18),U3656,0)</t>
  </si>
  <si>
    <t>=IF($M3656&lt;=$T$18,U3656,0)</t>
  </si>
  <si>
    <t>="""NAV Direct"",""CRONUS JetCorp USA"",""21"",""1"",""339593"""</t>
  </si>
  <si>
    <t>=E3655</t>
  </si>
  <si>
    <t>=StartDate-$M3657+1</t>
  </si>
  <si>
    <t>=SUM(P3657:T3657)</t>
  </si>
  <si>
    <t>=IF($M3657&gt;=$P$18,U3657,0)</t>
  </si>
  <si>
    <t>=IF(AND($M3657&gt;=$Q$16,$M3657&lt;=$Q$18),U3657,0)</t>
  </si>
  <si>
    <t>=IF(AND($M3657&gt;=$R$16,$M3657&lt;=$R$18),U3657,0)</t>
  </si>
  <si>
    <t>=IF(AND($M3657&gt;=$S$16,$M3657&lt;=$S$18),U3657,0)</t>
  </si>
  <si>
    <t>=IF($M3657&lt;=$T$18,U3657,0)</t>
  </si>
  <si>
    <t>="""NAV Direct"",""CRONUS JetCorp USA"",""21"",""1"",""341016"""</t>
  </si>
  <si>
    <t>=E3656</t>
  </si>
  <si>
    <t>=StartDate-$M3658+1</t>
  </si>
  <si>
    <t>=SUM(P3658:T3658)</t>
  </si>
  <si>
    <t>=IF($M3658&gt;=$P$18,U3658,0)</t>
  </si>
  <si>
    <t>=IF(AND($M3658&gt;=$Q$16,$M3658&lt;=$Q$18),U3658,0)</t>
  </si>
  <si>
    <t>=IF(AND($M3658&gt;=$R$16,$M3658&lt;=$R$18),U3658,0)</t>
  </si>
  <si>
    <t>=IF(AND($M3658&gt;=$S$16,$M3658&lt;=$S$18),U3658,0)</t>
  </si>
  <si>
    <t>=IF($M3658&lt;=$T$18,U3658,0)</t>
  </si>
  <si>
    <t>="""NAV Direct"",""CRONUS JetCorp USA"",""21"",""1"",""341448"""</t>
  </si>
  <si>
    <t>=E3657</t>
  </si>
  <si>
    <t>=StartDate-$M3659+1</t>
  </si>
  <si>
    <t>=SUM(P3659:T3659)</t>
  </si>
  <si>
    <t>=IF($M3659&gt;=$P$18,U3659,0)</t>
  </si>
  <si>
    <t>=IF(AND($M3659&gt;=$Q$16,$M3659&lt;=$Q$18),U3659,0)</t>
  </si>
  <si>
    <t>=IF(AND($M3659&gt;=$R$16,$M3659&lt;=$R$18),U3659,0)</t>
  </si>
  <si>
    <t>=IF(AND($M3659&gt;=$S$16,$M3659&lt;=$S$18),U3659,0)</t>
  </si>
  <si>
    <t>=IF($M3659&lt;=$T$18,U3659,0)</t>
  </si>
  <si>
    <t>="""NAV Direct"",""CRONUS JetCorp USA"",""21"",""1"",""342343"""</t>
  </si>
  <si>
    <t>=E3658</t>
  </si>
  <si>
    <t>=StartDate-$M3660+1</t>
  </si>
  <si>
    <t>=SUM(P3660:T3660)</t>
  </si>
  <si>
    <t>=IF($M3660&gt;=$P$18,U3660,0)</t>
  </si>
  <si>
    <t>=IF(AND($M3660&gt;=$Q$16,$M3660&lt;=$Q$18),U3660,0)</t>
  </si>
  <si>
    <t>=IF(AND($M3660&gt;=$R$16,$M3660&lt;=$R$18),U3660,0)</t>
  </si>
  <si>
    <t>=IF(AND($M3660&gt;=$S$16,$M3660&lt;=$S$18),U3660,0)</t>
  </si>
  <si>
    <t>=IF($M3660&lt;=$T$18,U3660,0)</t>
  </si>
  <si>
    <t>="""NAV Direct"",""CRONUS JetCorp USA"",""21"",""1"",""342532"""</t>
  </si>
  <si>
    <t>=E3659</t>
  </si>
  <si>
    <t>=StartDate-$M3661+1</t>
  </si>
  <si>
    <t>=SUM(P3661:T3661)</t>
  </si>
  <si>
    <t>=IF($M3661&gt;=$P$18,U3661,0)</t>
  </si>
  <si>
    <t>=IF(AND($M3661&gt;=$Q$16,$M3661&lt;=$Q$18),U3661,0)</t>
  </si>
  <si>
    <t>=IF(AND($M3661&gt;=$R$16,$M3661&lt;=$R$18),U3661,0)</t>
  </si>
  <si>
    <t>=IF(AND($M3661&gt;=$S$16,$M3661&lt;=$S$18),U3661,0)</t>
  </si>
  <si>
    <t>=IF($M3661&lt;=$T$18,U3661,0)</t>
  </si>
  <si>
    <t>="""NAV Direct"",""CRONUS JetCorp USA"",""21"",""1"",""342920"""</t>
  </si>
  <si>
    <t>=E3660</t>
  </si>
  <si>
    <t>=StartDate-$M3662+1</t>
  </si>
  <si>
    <t>=SUM(P3662:T3662)</t>
  </si>
  <si>
    <t>=IF($M3662&gt;=$P$18,U3662,0)</t>
  </si>
  <si>
    <t>=IF(AND($M3662&gt;=$Q$16,$M3662&lt;=$Q$18),U3662,0)</t>
  </si>
  <si>
    <t>=IF(AND($M3662&gt;=$R$16,$M3662&lt;=$R$18),U3662,0)</t>
  </si>
  <si>
    <t>=IF(AND($M3662&gt;=$S$16,$M3662&lt;=$S$18),U3662,0)</t>
  </si>
  <si>
    <t>=IF($M3662&lt;=$T$18,U3662,0)</t>
  </si>
  <si>
    <t>="""NAV Direct"",""CRONUS JetCorp USA"",""21"",""1"",""342965"""</t>
  </si>
  <si>
    <t>=E3661</t>
  </si>
  <si>
    <t>=StartDate-$M3663+1</t>
  </si>
  <si>
    <t>=SUM(P3663:T3663)</t>
  </si>
  <si>
    <t>=IF($M3663&gt;=$P$18,U3663,0)</t>
  </si>
  <si>
    <t>=IF(AND($M3663&gt;=$Q$16,$M3663&lt;=$Q$18),U3663,0)</t>
  </si>
  <si>
    <t>=IF(AND($M3663&gt;=$R$16,$M3663&lt;=$R$18),U3663,0)</t>
  </si>
  <si>
    <t>=IF(AND($M3663&gt;=$S$16,$M3663&lt;=$S$18),U3663,0)</t>
  </si>
  <si>
    <t>=IF($M3663&lt;=$T$18,U3663,0)</t>
  </si>
  <si>
    <t>="""NAV Direct"",""CRONUS JetCorp USA"",""21"",""1"",""343355"""</t>
  </si>
  <si>
    <t>=E3662</t>
  </si>
  <si>
    <t>=StartDate-$M3664+1</t>
  </si>
  <si>
    <t>=SUM(P3664:T3664)</t>
  </si>
  <si>
    <t>=IF($M3664&gt;=$P$18,U3664,0)</t>
  </si>
  <si>
    <t>=IF(AND($M3664&gt;=$Q$16,$M3664&lt;=$Q$18),U3664,0)</t>
  </si>
  <si>
    <t>=IF(AND($M3664&gt;=$R$16,$M3664&lt;=$R$18),U3664,0)</t>
  </si>
  <si>
    <t>=IF(AND($M3664&gt;=$S$16,$M3664&lt;=$S$18),U3664,0)</t>
  </si>
  <si>
    <t>=IF($M3664&lt;=$T$18,U3664,0)</t>
  </si>
  <si>
    <t>="""NAV Direct"",""CRONUS JetCorp USA"",""21"",""1"",""343392"""</t>
  </si>
  <si>
    <t>=E3663</t>
  </si>
  <si>
    <t>=StartDate-$M3665+1</t>
  </si>
  <si>
    <t>=SUM(P3665:T3665)</t>
  </si>
  <si>
    <t>=IF($M3665&gt;=$P$18,U3665,0)</t>
  </si>
  <si>
    <t>=IF(AND($M3665&gt;=$Q$16,$M3665&lt;=$Q$18),U3665,0)</t>
  </si>
  <si>
    <t>=IF(AND($M3665&gt;=$R$16,$M3665&lt;=$R$18),U3665,0)</t>
  </si>
  <si>
    <t>=IF(AND($M3665&gt;=$S$16,$M3665&lt;=$S$18),U3665,0)</t>
  </si>
  <si>
    <t>=IF($M3665&lt;=$T$18,U3665,0)</t>
  </si>
  <si>
    <t>="""NAV Direct"",""CRONUS JetCorp USA"",""21"",""1"",""343458"""</t>
  </si>
  <si>
    <t>=E3664</t>
  </si>
  <si>
    <t>=StartDate-$M3666+1</t>
  </si>
  <si>
    <t>=SUM(P3666:T3666)</t>
  </si>
  <si>
    <t>=IF($M3666&gt;=$P$18,U3666,0)</t>
  </si>
  <si>
    <t>=IF(AND($M3666&gt;=$Q$16,$M3666&lt;=$Q$18),U3666,0)</t>
  </si>
  <si>
    <t>=IF(AND($M3666&gt;=$R$16,$M3666&lt;=$R$18),U3666,0)</t>
  </si>
  <si>
    <t>=IF(AND($M3666&gt;=$S$16,$M3666&lt;=$S$18),U3666,0)</t>
  </si>
  <si>
    <t>=IF($M3666&lt;=$T$18,U3666,0)</t>
  </si>
  <si>
    <t>="""NAV Direct"",""CRONUS JetCorp USA"",""21"",""1"",""343536"""</t>
  </si>
  <si>
    <t>=E3665</t>
  </si>
  <si>
    <t>=StartDate-$M3667+1</t>
  </si>
  <si>
    <t>=SUM(P3667:T3667)</t>
  </si>
  <si>
    <t>=IF($M3667&gt;=$P$18,U3667,0)</t>
  </si>
  <si>
    <t>=IF(AND($M3667&gt;=$Q$16,$M3667&lt;=$Q$18),U3667,0)</t>
  </si>
  <si>
    <t>=IF(AND($M3667&gt;=$R$16,$M3667&lt;=$R$18),U3667,0)</t>
  </si>
  <si>
    <t>=IF(AND($M3667&gt;=$S$16,$M3667&lt;=$S$18),U3667,0)</t>
  </si>
  <si>
    <t>=IF($M3667&lt;=$T$18,U3667,0)</t>
  </si>
  <si>
    <t>="""NAV Direct"",""CRONUS JetCorp USA"",""21"",""1"",""343608"""</t>
  </si>
  <si>
    <t>=E3666</t>
  </si>
  <si>
    <t>=StartDate-$M3668+1</t>
  </si>
  <si>
    <t>=SUM(P3668:T3668)</t>
  </si>
  <si>
    <t>=IF($M3668&gt;=$P$18,U3668,0)</t>
  </si>
  <si>
    <t>=IF(AND($M3668&gt;=$Q$16,$M3668&lt;=$Q$18),U3668,0)</t>
  </si>
  <si>
    <t>=IF(AND($M3668&gt;=$R$16,$M3668&lt;=$R$18),U3668,0)</t>
  </si>
  <si>
    <t>=IF(AND($M3668&gt;=$S$16,$M3668&lt;=$S$18),U3668,0)</t>
  </si>
  <si>
    <t>=IF($M3668&lt;=$T$18,U3668,0)</t>
  </si>
  <si>
    <t>="""NAV Direct"",""CRONUS JetCorp USA"",""21"",""1"",""343920"""</t>
  </si>
  <si>
    <t>=E3667</t>
  </si>
  <si>
    <t>=StartDate-$M3669+1</t>
  </si>
  <si>
    <t>=SUM(P3669:T3669)</t>
  </si>
  <si>
    <t>=IF($M3669&gt;=$P$18,U3669,0)</t>
  </si>
  <si>
    <t>=IF(AND($M3669&gt;=$Q$16,$M3669&lt;=$Q$18),U3669,0)</t>
  </si>
  <si>
    <t>=IF(AND($M3669&gt;=$R$16,$M3669&lt;=$R$18),U3669,0)</t>
  </si>
  <si>
    <t>=IF(AND($M3669&gt;=$S$16,$M3669&lt;=$S$18),U3669,0)</t>
  </si>
  <si>
    <t>=IF($M3669&lt;=$T$18,U3669,0)</t>
  </si>
  <si>
    <t>="""NAV Direct"",""CRONUS JetCorp USA"",""21"",""1"",""344970"""</t>
  </si>
  <si>
    <t>=E3668</t>
  </si>
  <si>
    <t>=StartDate-$M3670+1</t>
  </si>
  <si>
    <t>=SUM(P3670:T3670)</t>
  </si>
  <si>
    <t>=IF($M3670&gt;=$P$18,U3670,0)</t>
  </si>
  <si>
    <t>=IF(AND($M3670&gt;=$Q$16,$M3670&lt;=$Q$18),U3670,0)</t>
  </si>
  <si>
    <t>=IF(AND($M3670&gt;=$R$16,$M3670&lt;=$R$18),U3670,0)</t>
  </si>
  <si>
    <t>=IF(AND($M3670&gt;=$S$16,$M3670&lt;=$S$18),U3670,0)</t>
  </si>
  <si>
    <t>=IF($M3670&lt;=$T$18,U3670,0)</t>
  </si>
  <si>
    <t>="""NAV Direct"",""CRONUS JetCorp USA"",""21"",""1"",""345161"""</t>
  </si>
  <si>
    <t>=E3669</t>
  </si>
  <si>
    <t>=StartDate-$M3671+1</t>
  </si>
  <si>
    <t>=SUM(P3671:T3671)</t>
  </si>
  <si>
    <t>=IF($M3671&gt;=$P$18,U3671,0)</t>
  </si>
  <si>
    <t>=IF(AND($M3671&gt;=$Q$16,$M3671&lt;=$Q$18),U3671,0)</t>
  </si>
  <si>
    <t>=IF(AND($M3671&gt;=$R$16,$M3671&lt;=$R$18),U3671,0)</t>
  </si>
  <si>
    <t>=IF(AND($M3671&gt;=$S$16,$M3671&lt;=$S$18),U3671,0)</t>
  </si>
  <si>
    <t>=IF($M3671&lt;=$T$18,U3671,0)</t>
  </si>
  <si>
    <t>="""NAV Direct"",""CRONUS JetCorp USA"",""21"",""1"",""345770"""</t>
  </si>
  <si>
    <t>=E3670</t>
  </si>
  <si>
    <t>=StartDate-$M3672+1</t>
  </si>
  <si>
    <t>=SUM(P3672:T3672)</t>
  </si>
  <si>
    <t>=IF($M3672&gt;=$P$18,U3672,0)</t>
  </si>
  <si>
    <t>=IF(AND($M3672&gt;=$Q$16,$M3672&lt;=$Q$18),U3672,0)</t>
  </si>
  <si>
    <t>=IF(AND($M3672&gt;=$R$16,$M3672&lt;=$R$18),U3672,0)</t>
  </si>
  <si>
    <t>=IF(AND($M3672&gt;=$S$16,$M3672&lt;=$S$18),U3672,0)</t>
  </si>
  <si>
    <t>=IF($M3672&lt;=$T$18,U3672,0)</t>
  </si>
  <si>
    <t>="""NAV Direct"",""CRONUS JetCorp USA"",""21"",""1"",""346362"""</t>
  </si>
  <si>
    <t>=E3671</t>
  </si>
  <si>
    <t>=StartDate-$M3673+1</t>
  </si>
  <si>
    <t>=SUM(P3673:T3673)</t>
  </si>
  <si>
    <t>=IF($M3673&gt;=$P$18,U3673,0)</t>
  </si>
  <si>
    <t>=IF(AND($M3673&gt;=$Q$16,$M3673&lt;=$Q$18),U3673,0)</t>
  </si>
  <si>
    <t>=IF(AND($M3673&gt;=$R$16,$M3673&lt;=$R$18),U3673,0)</t>
  </si>
  <si>
    <t>=IF(AND($M3673&gt;=$S$16,$M3673&lt;=$S$18),U3673,0)</t>
  </si>
  <si>
    <t>=IF($M3673&lt;=$T$18,U3673,0)</t>
  </si>
  <si>
    <t>="""NAV Direct"",""CRONUS JetCorp USA"",""21"",""1"",""346598"""</t>
  </si>
  <si>
    <t>=E3672</t>
  </si>
  <si>
    <t>=StartDate-$M3674+1</t>
  </si>
  <si>
    <t>=SUM(P3674:T3674)</t>
  </si>
  <si>
    <t>=IF($M3674&gt;=$P$18,U3674,0)</t>
  </si>
  <si>
    <t>=IF(AND($M3674&gt;=$Q$16,$M3674&lt;=$Q$18),U3674,0)</t>
  </si>
  <si>
    <t>=IF(AND($M3674&gt;=$R$16,$M3674&lt;=$R$18),U3674,0)</t>
  </si>
  <si>
    <t>=IF(AND($M3674&gt;=$S$16,$M3674&lt;=$S$18),U3674,0)</t>
  </si>
  <si>
    <t>=IF($M3674&lt;=$T$18,U3674,0)</t>
  </si>
  <si>
    <t>="""NAV Direct"",""CRONUS JetCorp USA"",""21"",""1"",""346696"""</t>
  </si>
  <si>
    <t>=E3673</t>
  </si>
  <si>
    <t>=StartDate-$M3675+1</t>
  </si>
  <si>
    <t>=SUM(P3675:T3675)</t>
  </si>
  <si>
    <t>=IF($M3675&gt;=$P$18,U3675,0)</t>
  </si>
  <si>
    <t>=IF(AND($M3675&gt;=$Q$16,$M3675&lt;=$Q$18),U3675,0)</t>
  </si>
  <si>
    <t>=IF(AND($M3675&gt;=$R$16,$M3675&lt;=$R$18),U3675,0)</t>
  </si>
  <si>
    <t>=IF(AND($M3675&gt;=$S$16,$M3675&lt;=$S$18),U3675,0)</t>
  </si>
  <si>
    <t>=IF($M3675&lt;=$T$18,U3675,0)</t>
  </si>
  <si>
    <t>="""NAV Direct"",""CRONUS JetCorp USA"",""21"",""1"",""347125"""</t>
  </si>
  <si>
    <t>=E3674</t>
  </si>
  <si>
    <t>=StartDate-$M3676+1</t>
  </si>
  <si>
    <t>=SUM(P3676:T3676)</t>
  </si>
  <si>
    <t>=IF($M3676&gt;=$P$18,U3676,0)</t>
  </si>
  <si>
    <t>=IF(AND($M3676&gt;=$Q$16,$M3676&lt;=$Q$18),U3676,0)</t>
  </si>
  <si>
    <t>=IF(AND($M3676&gt;=$R$16,$M3676&lt;=$R$18),U3676,0)</t>
  </si>
  <si>
    <t>=IF(AND($M3676&gt;=$S$16,$M3676&lt;=$S$18),U3676,0)</t>
  </si>
  <si>
    <t>=IF($M3676&lt;=$T$18,U3676,0)</t>
  </si>
  <si>
    <t>="""NAV Direct"",""CRONUS JetCorp USA"",""21"",""1"",""347246"""</t>
  </si>
  <si>
    <t>=E3675</t>
  </si>
  <si>
    <t>=StartDate-$M3677+1</t>
  </si>
  <si>
    <t>=SUM(P3677:T3677)</t>
  </si>
  <si>
    <t>=IF($M3677&gt;=$P$18,U3677,0)</t>
  </si>
  <si>
    <t>=IF(AND($M3677&gt;=$Q$16,$M3677&lt;=$Q$18),U3677,0)</t>
  </si>
  <si>
    <t>=IF(AND($M3677&gt;=$R$16,$M3677&lt;=$R$18),U3677,0)</t>
  </si>
  <si>
    <t>=IF(AND($M3677&gt;=$S$16,$M3677&lt;=$S$18),U3677,0)</t>
  </si>
  <si>
    <t>=IF($M3677&lt;=$T$18,U3677,0)</t>
  </si>
  <si>
    <t>="""NAV Direct"",""CRONUS JetCorp USA"",""21"",""1"",""347326"""</t>
  </si>
  <si>
    <t>=E3676</t>
  </si>
  <si>
    <t>=StartDate-$M3678+1</t>
  </si>
  <si>
    <t>=SUM(P3678:T3678)</t>
  </si>
  <si>
    <t>=IF($M3678&gt;=$P$18,U3678,0)</t>
  </si>
  <si>
    <t>=IF(AND($M3678&gt;=$Q$16,$M3678&lt;=$Q$18),U3678,0)</t>
  </si>
  <si>
    <t>=IF(AND($M3678&gt;=$R$16,$M3678&lt;=$R$18),U3678,0)</t>
  </si>
  <si>
    <t>=IF(AND($M3678&gt;=$S$16,$M3678&lt;=$S$18),U3678,0)</t>
  </si>
  <si>
    <t>=IF($M3678&lt;=$T$18,U3678,0)</t>
  </si>
  <si>
    <t>="""NAV Direct"",""CRONUS JetCorp USA"",""21"",""1"",""348454"""</t>
  </si>
  <si>
    <t>=E3677</t>
  </si>
  <si>
    <t>=StartDate-$M3679+1</t>
  </si>
  <si>
    <t>=SUM(P3679:T3679)</t>
  </si>
  <si>
    <t>=IF($M3679&gt;=$P$18,U3679,0)</t>
  </si>
  <si>
    <t>=IF(AND($M3679&gt;=$Q$16,$M3679&lt;=$Q$18),U3679,0)</t>
  </si>
  <si>
    <t>=IF(AND($M3679&gt;=$R$16,$M3679&lt;=$R$18),U3679,0)</t>
  </si>
  <si>
    <t>=IF(AND($M3679&gt;=$S$16,$M3679&lt;=$S$18),U3679,0)</t>
  </si>
  <si>
    <t>=IF($M3679&lt;=$T$18,U3679,0)</t>
  </si>
  <si>
    <t>="""NAV Direct"",""CRONUS JetCorp USA"",""21"",""1"",""348653"""</t>
  </si>
  <si>
    <t>=E3678</t>
  </si>
  <si>
    <t>=StartDate-$M3680+1</t>
  </si>
  <si>
    <t>=SUM(P3680:T3680)</t>
  </si>
  <si>
    <t>=IF($M3680&gt;=$P$18,U3680,0)</t>
  </si>
  <si>
    <t>=IF(AND($M3680&gt;=$Q$16,$M3680&lt;=$Q$18),U3680,0)</t>
  </si>
  <si>
    <t>=IF(AND($M3680&gt;=$R$16,$M3680&lt;=$R$18),U3680,0)</t>
  </si>
  <si>
    <t>=IF(AND($M3680&gt;=$S$16,$M3680&lt;=$S$18),U3680,0)</t>
  </si>
  <si>
    <t>=IF($M3680&lt;=$T$18,U3680,0)</t>
  </si>
  <si>
    <t>="""NAV Direct"",""CRONUS JetCorp USA"",""21"",""1"",""348846"""</t>
  </si>
  <si>
    <t>=E3679</t>
  </si>
  <si>
    <t>=StartDate-$M3681+1</t>
  </si>
  <si>
    <t>=SUM(P3681:T3681)</t>
  </si>
  <si>
    <t>=IF($M3681&gt;=$P$18,U3681,0)</t>
  </si>
  <si>
    <t>=IF(AND($M3681&gt;=$Q$16,$M3681&lt;=$Q$18),U3681,0)</t>
  </si>
  <si>
    <t>=IF(AND($M3681&gt;=$R$16,$M3681&lt;=$R$18),U3681,0)</t>
  </si>
  <si>
    <t>=IF(AND($M3681&gt;=$S$16,$M3681&lt;=$S$18),U3681,0)</t>
  </si>
  <si>
    <t>=IF($M3681&lt;=$T$18,U3681,0)</t>
  </si>
  <si>
    <t>="""NAV Direct"",""CRONUS JetCorp USA"",""21"",""1"",""349308"""</t>
  </si>
  <si>
    <t>=E3680</t>
  </si>
  <si>
    <t>=StartDate-$M3682+1</t>
  </si>
  <si>
    <t>=SUM(P3682:T3682)</t>
  </si>
  <si>
    <t>=IF($M3682&gt;=$P$18,U3682,0)</t>
  </si>
  <si>
    <t>=IF(AND($M3682&gt;=$Q$16,$M3682&lt;=$Q$18),U3682,0)</t>
  </si>
  <si>
    <t>=IF(AND($M3682&gt;=$R$16,$M3682&lt;=$R$18),U3682,0)</t>
  </si>
  <si>
    <t>=IF(AND($M3682&gt;=$S$16,$M3682&lt;=$S$18),U3682,0)</t>
  </si>
  <si>
    <t>=IF($M3682&lt;=$T$18,U3682,0)</t>
  </si>
  <si>
    <t>="""NAV Direct"",""CRONUS JetCorp USA"",""21"",""1"",""349589"""</t>
  </si>
  <si>
    <t>=E3681</t>
  </si>
  <si>
    <t>=StartDate-$M3683+1</t>
  </si>
  <si>
    <t>=SUM(P3683:T3683)</t>
  </si>
  <si>
    <t>=IF($M3683&gt;=$P$18,U3683,0)</t>
  </si>
  <si>
    <t>=IF(AND($M3683&gt;=$Q$16,$M3683&lt;=$Q$18),U3683,0)</t>
  </si>
  <si>
    <t>=IF(AND($M3683&gt;=$R$16,$M3683&lt;=$R$18),U3683,0)</t>
  </si>
  <si>
    <t>=IF(AND($M3683&gt;=$S$16,$M3683&lt;=$S$18),U3683,0)</t>
  </si>
  <si>
    <t>=IF($M3683&lt;=$T$18,U3683,0)</t>
  </si>
  <si>
    <t>="""NAV Direct"",""CRONUS JetCorp USA"",""21"",""1"",""350105"""</t>
  </si>
  <si>
    <t>=E3682</t>
  </si>
  <si>
    <t>=StartDate-$M3684+1</t>
  </si>
  <si>
    <t>=SUM(P3684:T3684)</t>
  </si>
  <si>
    <t>=IF($M3684&gt;=$P$18,U3684,0)</t>
  </si>
  <si>
    <t>=IF(AND($M3684&gt;=$Q$16,$M3684&lt;=$Q$18),U3684,0)</t>
  </si>
  <si>
    <t>=IF(AND($M3684&gt;=$R$16,$M3684&lt;=$R$18),U3684,0)</t>
  </si>
  <si>
    <t>=IF(AND($M3684&gt;=$S$16,$M3684&lt;=$S$18),U3684,0)</t>
  </si>
  <si>
    <t>=IF($M3684&lt;=$T$18,U3684,0)</t>
  </si>
  <si>
    <t>="""NAV Direct"",""CRONUS JetCorp USA"",""21"",""1"",""350470"""</t>
  </si>
  <si>
    <t>=E3683</t>
  </si>
  <si>
    <t>=StartDate-$M3685+1</t>
  </si>
  <si>
    <t>=SUM(P3685:T3685)</t>
  </si>
  <si>
    <t>=IF($M3685&gt;=$P$18,U3685,0)</t>
  </si>
  <si>
    <t>=IF(AND($M3685&gt;=$Q$16,$M3685&lt;=$Q$18),U3685,0)</t>
  </si>
  <si>
    <t>=IF(AND($M3685&gt;=$R$16,$M3685&lt;=$R$18),U3685,0)</t>
  </si>
  <si>
    <t>=IF(AND($M3685&gt;=$S$16,$M3685&lt;=$S$18),U3685,0)</t>
  </si>
  <si>
    <t>=IF($M3685&lt;=$T$18,U3685,0)</t>
  </si>
  <si>
    <t>="""NAV Direct"",""CRONUS JetCorp USA"",""21"",""1"",""351805"""</t>
  </si>
  <si>
    <t>=E3684</t>
  </si>
  <si>
    <t>=StartDate-$M3686+1</t>
  </si>
  <si>
    <t>=SUM(P3686:T3686)</t>
  </si>
  <si>
    <t>=IF($M3686&gt;=$P$18,U3686,0)</t>
  </si>
  <si>
    <t>=IF(AND($M3686&gt;=$Q$16,$M3686&lt;=$Q$18),U3686,0)</t>
  </si>
  <si>
    <t>=IF(AND($M3686&gt;=$R$16,$M3686&lt;=$R$18),U3686,0)</t>
  </si>
  <si>
    <t>=IF(AND($M3686&gt;=$S$16,$M3686&lt;=$S$18),U3686,0)</t>
  </si>
  <si>
    <t>=IF($M3686&lt;=$T$18,U3686,0)</t>
  </si>
  <si>
    <t>="""NAV Direct"",""CRONUS JetCorp USA"",""21"",""1"",""351881"""</t>
  </si>
  <si>
    <t>=E3685</t>
  </si>
  <si>
    <t>=StartDate-$M3687+1</t>
  </si>
  <si>
    <t>=SUM(P3687:T3687)</t>
  </si>
  <si>
    <t>=IF($M3687&gt;=$P$18,U3687,0)</t>
  </si>
  <si>
    <t>=IF(AND($M3687&gt;=$Q$16,$M3687&lt;=$Q$18),U3687,0)</t>
  </si>
  <si>
    <t>=IF(AND($M3687&gt;=$R$16,$M3687&lt;=$R$18),U3687,0)</t>
  </si>
  <si>
    <t>=IF(AND($M3687&gt;=$S$16,$M3687&lt;=$S$18),U3687,0)</t>
  </si>
  <si>
    <t>=IF($M3687&lt;=$T$18,U3687,0)</t>
  </si>
  <si>
    <t>="""NAV Direct"",""CRONUS JetCorp USA"",""21"",""1"",""352043"""</t>
  </si>
  <si>
    <t>=E3686</t>
  </si>
  <si>
    <t>=StartDate-$M3688+1</t>
  </si>
  <si>
    <t>=SUM(P3688:T3688)</t>
  </si>
  <si>
    <t>=IF($M3688&gt;=$P$18,U3688,0)</t>
  </si>
  <si>
    <t>=IF(AND($M3688&gt;=$Q$16,$M3688&lt;=$Q$18),U3688,0)</t>
  </si>
  <si>
    <t>=IF(AND($M3688&gt;=$R$16,$M3688&lt;=$R$18),U3688,0)</t>
  </si>
  <si>
    <t>=IF(AND($M3688&gt;=$S$16,$M3688&lt;=$S$18),U3688,0)</t>
  </si>
  <si>
    <t>=IF($M3688&lt;=$T$18,U3688,0)</t>
  </si>
  <si>
    <t>="""NAV Direct"",""CRONUS JetCorp USA"",""21"",""1"",""433711"""</t>
  </si>
  <si>
    <t>=E3687</t>
  </si>
  <si>
    <t>=StartDate-$M3689+1</t>
  </si>
  <si>
    <t>=SUM(P3689:T3689)</t>
  </si>
  <si>
    <t>=IF($M3689&gt;=$P$18,U3689,0)</t>
  </si>
  <si>
    <t>=IF(AND($M3689&gt;=$Q$16,$M3689&lt;=$Q$18),U3689,0)</t>
  </si>
  <si>
    <t>=IF(AND($M3689&gt;=$R$16,$M3689&lt;=$R$18),U3689,0)</t>
  </si>
  <si>
    <t>=IF(AND($M3689&gt;=$S$16,$M3689&lt;=$S$18),U3689,0)</t>
  </si>
  <si>
    <t>=IF($M3689&lt;=$T$18,U3689,0)</t>
  </si>
  <si>
    <t>="""NAV Direct"",""CRONUS JetCorp USA"",""21"",""1"",""433782"""</t>
  </si>
  <si>
    <t>=E3688</t>
  </si>
  <si>
    <t>=StartDate-$M3690+1</t>
  </si>
  <si>
    <t>=SUM(P3690:T3690)</t>
  </si>
  <si>
    <t>=IF($M3690&gt;=$P$18,U3690,0)</t>
  </si>
  <si>
    <t>=IF(AND($M3690&gt;=$Q$16,$M3690&lt;=$Q$18),U3690,0)</t>
  </si>
  <si>
    <t>=IF(AND($M3690&gt;=$R$16,$M3690&lt;=$R$18),U3690,0)</t>
  </si>
  <si>
    <t>=IF(AND($M3690&gt;=$S$16,$M3690&lt;=$S$18),U3690,0)</t>
  </si>
  <si>
    <t>=IF($M3690&lt;=$T$18,U3690,0)</t>
  </si>
  <si>
    <t>="""NAV Direct"",""CRONUS JetCorp USA"",""21"",""1"",""434066"""</t>
  </si>
  <si>
    <t>=E3689</t>
  </si>
  <si>
    <t>=StartDate-$M3691+1</t>
  </si>
  <si>
    <t>=SUM(P3691:T3691)</t>
  </si>
  <si>
    <t>=IF($M3691&gt;=$P$18,U3691,0)</t>
  </si>
  <si>
    <t>=IF(AND($M3691&gt;=$Q$16,$M3691&lt;=$Q$18),U3691,0)</t>
  </si>
  <si>
    <t>=IF(AND($M3691&gt;=$R$16,$M3691&lt;=$R$18),U3691,0)</t>
  </si>
  <si>
    <t>=IF(AND($M3691&gt;=$S$16,$M3691&lt;=$S$18),U3691,0)</t>
  </si>
  <si>
    <t>=IF($M3691&lt;=$T$18,U3691,0)</t>
  </si>
  <si>
    <t>="""NAV Direct"",""CRONUS JetCorp USA"",""21"",""1"",""434077"""</t>
  </si>
  <si>
    <t>=E3690</t>
  </si>
  <si>
    <t>=StartDate-$M3692+1</t>
  </si>
  <si>
    <t>=SUM(P3692:T3692)</t>
  </si>
  <si>
    <t>=IF($M3692&gt;=$P$18,U3692,0)</t>
  </si>
  <si>
    <t>=IF(AND($M3692&gt;=$Q$16,$M3692&lt;=$Q$18),U3692,0)</t>
  </si>
  <si>
    <t>=IF(AND($M3692&gt;=$R$16,$M3692&lt;=$R$18),U3692,0)</t>
  </si>
  <si>
    <t>=IF(AND($M3692&gt;=$S$16,$M3692&lt;=$S$18),U3692,0)</t>
  </si>
  <si>
    <t>=IF($M3692&lt;=$T$18,U3692,0)</t>
  </si>
  <si>
    <t>="""NAV Direct"",""CRONUS JetCorp USA"",""21"",""1"",""434111"""</t>
  </si>
  <si>
    <t>=E3691</t>
  </si>
  <si>
    <t>=StartDate-$M3693+1</t>
  </si>
  <si>
    <t>=SUM(P3693:T3693)</t>
  </si>
  <si>
    <t>=IF($M3693&gt;=$P$18,U3693,0)</t>
  </si>
  <si>
    <t>=IF(AND($M3693&gt;=$Q$16,$M3693&lt;=$Q$18),U3693,0)</t>
  </si>
  <si>
    <t>=IF(AND($M3693&gt;=$R$16,$M3693&lt;=$R$18),U3693,0)</t>
  </si>
  <si>
    <t>=IF(AND($M3693&gt;=$S$16,$M3693&lt;=$S$18),U3693,0)</t>
  </si>
  <si>
    <t>=IF($M3693&lt;=$T$18,U3693,0)</t>
  </si>
  <si>
    <t>="""NAV Direct"",""CRONUS JetCorp USA"",""21"",""1"",""434290"""</t>
  </si>
  <si>
    <t>=E3692</t>
  </si>
  <si>
    <t>=StartDate-$M3694+1</t>
  </si>
  <si>
    <t>=SUM(P3694:T3694)</t>
  </si>
  <si>
    <t>=IF($M3694&gt;=$P$18,U3694,0)</t>
  </si>
  <si>
    <t>=IF(AND($M3694&gt;=$Q$16,$M3694&lt;=$Q$18),U3694,0)</t>
  </si>
  <si>
    <t>=IF(AND($M3694&gt;=$R$16,$M3694&lt;=$R$18),U3694,0)</t>
  </si>
  <si>
    <t>=IF(AND($M3694&gt;=$S$16,$M3694&lt;=$S$18),U3694,0)</t>
  </si>
  <si>
    <t>=IF($M3694&lt;=$T$18,U3694,0)</t>
  </si>
  <si>
    <t>="""NAV Direct"",""CRONUS JetCorp USA"",""21"",""1"",""434359"""</t>
  </si>
  <si>
    <t>=E3693</t>
  </si>
  <si>
    <t>=StartDate-$M3695+1</t>
  </si>
  <si>
    <t>=SUM(P3695:T3695)</t>
  </si>
  <si>
    <t>=IF($M3695&gt;=$P$18,U3695,0)</t>
  </si>
  <si>
    <t>=IF(AND($M3695&gt;=$Q$16,$M3695&lt;=$Q$18),U3695,0)</t>
  </si>
  <si>
    <t>=IF(AND($M3695&gt;=$R$16,$M3695&lt;=$R$18),U3695,0)</t>
  </si>
  <si>
    <t>=IF(AND($M3695&gt;=$S$16,$M3695&lt;=$S$18),U3695,0)</t>
  </si>
  <si>
    <t>=IF($M3695&lt;=$T$18,U3695,0)</t>
  </si>
  <si>
    <t>="""NAV Direct"",""CRONUS JetCorp USA"",""21"",""1"",""434380"""</t>
  </si>
  <si>
    <t>=E3694</t>
  </si>
  <si>
    <t>=StartDate-$M3696+1</t>
  </si>
  <si>
    <t>=SUM(P3696:T3696)</t>
  </si>
  <si>
    <t>=IF($M3696&gt;=$P$18,U3696,0)</t>
  </si>
  <si>
    <t>=IF(AND($M3696&gt;=$Q$16,$M3696&lt;=$Q$18),U3696,0)</t>
  </si>
  <si>
    <t>=IF(AND($M3696&gt;=$R$16,$M3696&lt;=$R$18),U3696,0)</t>
  </si>
  <si>
    <t>=IF(AND($M3696&gt;=$S$16,$M3696&lt;=$S$18),U3696,0)</t>
  </si>
  <si>
    <t>=IF($M3696&lt;=$T$18,U3696,0)</t>
  </si>
  <si>
    <t>="""NAV Direct"",""CRONUS JetCorp USA"",""21"",""1"",""434597"""</t>
  </si>
  <si>
    <t>=E3695</t>
  </si>
  <si>
    <t>=StartDate-$M3697+1</t>
  </si>
  <si>
    <t>=SUM(P3697:T3697)</t>
  </si>
  <si>
    <t>=IF($M3697&gt;=$P$18,U3697,0)</t>
  </si>
  <si>
    <t>=IF(AND($M3697&gt;=$Q$16,$M3697&lt;=$Q$18),U3697,0)</t>
  </si>
  <si>
    <t>=IF(AND($M3697&gt;=$R$16,$M3697&lt;=$R$18),U3697,0)</t>
  </si>
  <si>
    <t>=IF(AND($M3697&gt;=$S$16,$M3697&lt;=$S$18),U3697,0)</t>
  </si>
  <si>
    <t>=IF($M3697&lt;=$T$18,U3697,0)</t>
  </si>
  <si>
    <t>="""NAV Direct"",""CRONUS JetCorp USA"",""21"",""1"",""434661"""</t>
  </si>
  <si>
    <t>=E3696</t>
  </si>
  <si>
    <t>=StartDate-$M3698+1</t>
  </si>
  <si>
    <t>=SUM(P3698:T3698)</t>
  </si>
  <si>
    <t>=IF($M3698&gt;=$P$18,U3698,0)</t>
  </si>
  <si>
    <t>=IF(AND($M3698&gt;=$Q$16,$M3698&lt;=$Q$18),U3698,0)</t>
  </si>
  <si>
    <t>=IF(AND($M3698&gt;=$R$16,$M3698&lt;=$R$18),U3698,0)</t>
  </si>
  <si>
    <t>=IF(AND($M3698&gt;=$S$16,$M3698&lt;=$S$18),U3698,0)</t>
  </si>
  <si>
    <t>=IF($M3698&lt;=$T$18,U3698,0)</t>
  </si>
  <si>
    <t>="""NAV Direct"",""CRONUS JetCorp USA"",""21"",""1"",""434682"""</t>
  </si>
  <si>
    <t>=E3697</t>
  </si>
  <si>
    <t>=StartDate-$M3699+1</t>
  </si>
  <si>
    <t>=SUM(P3699:T3699)</t>
  </si>
  <si>
    <t>=IF($M3699&gt;=$P$18,U3699,0)</t>
  </si>
  <si>
    <t>=IF(AND($M3699&gt;=$Q$16,$M3699&lt;=$Q$18),U3699,0)</t>
  </si>
  <si>
    <t>=IF(AND($M3699&gt;=$R$16,$M3699&lt;=$R$18),U3699,0)</t>
  </si>
  <si>
    <t>=IF(AND($M3699&gt;=$S$16,$M3699&lt;=$S$18),U3699,0)</t>
  </si>
  <si>
    <t>=IF($M3699&lt;=$T$18,U3699,0)</t>
  </si>
  <si>
    <t>="""NAV Direct"",""CRONUS JetCorp USA"",""18"",""1"",""C100105"""</t>
  </si>
  <si>
    <t>=H3702</t>
  </si>
  <si>
    <t>=NF($C3702,"1 No.")</t>
  </si>
  <si>
    <t>=NF($C3702,"1 No.")&amp;"  -  "&amp;NF($C3702,"2 Name")</t>
  </si>
  <si>
    <t>=IFERROR(O3702/NF(C3702,"Credit Limit (LCY)"),"")</t>
  </si>
  <si>
    <t>=SUBTOTAL(3,L3703:L3751)</t>
  </si>
  <si>
    <t>=SUBTOTAL(9,O3703:O3751)</t>
  </si>
  <si>
    <t>=SUBTOTAL(9,P3703:P3751)</t>
  </si>
  <si>
    <t>=SUBTOTAL(9,Q3703:Q3751)</t>
  </si>
  <si>
    <t>=SUBTOTAL(9,R3703:R3751)</t>
  </si>
  <si>
    <t>=SUBTOTAL(9,S3703:S3751)</t>
  </si>
  <si>
    <t>=SUBTOTAL(9,T3703:T3751)</t>
  </si>
  <si>
    <t>=C3702</t>
  </si>
  <si>
    <t>=E3702</t>
  </si>
  <si>
    <t>="Contact: "&amp;NF($C3703,"8 Contact")</t>
  </si>
  <si>
    <t>=C3703</t>
  </si>
  <si>
    <t>=E3703</t>
  </si>
  <si>
    <t>=NF($C3704,"102 E-Mail")</t>
  </si>
  <si>
    <t>=NL("Rows","21 Cust. Ledger Entry",,"3 Customer No.","@@"&amp;$E3706,"16 Remaining Amt. (LCY)","&lt;&gt;0")</t>
  </si>
  <si>
    <t>=E3704</t>
  </si>
  <si>
    <t>=StartDate-$M3706+1</t>
  </si>
  <si>
    <t>=SUM(P3706:T3706)</t>
  </si>
  <si>
    <t>=IF($M3706&gt;=$P$18,U3706,0)</t>
  </si>
  <si>
    <t>=IF(AND($M3706&gt;=$Q$16,$M3706&lt;=$Q$18),U3706,0)</t>
  </si>
  <si>
    <t>=IF(AND($M3706&gt;=$R$16,$M3706&lt;=$R$18),U3706,0)</t>
  </si>
  <si>
    <t>=IF(AND($M3706&gt;=$S$16,$M3706&lt;=$S$18),U3706,0)</t>
  </si>
  <si>
    <t>=IF($M3706&lt;=$T$18,U3706,0)</t>
  </si>
  <si>
    <t>="""NAV Direct"",""CRONUS JetCorp USA"",""21"",""1"",""72297"""</t>
  </si>
  <si>
    <t>=E3705</t>
  </si>
  <si>
    <t>=StartDate-$M3707+1</t>
  </si>
  <si>
    <t>=SUM(P3707:T3707)</t>
  </si>
  <si>
    <t>=IF($M3707&gt;=$P$18,U3707,0)</t>
  </si>
  <si>
    <t>=IF(AND($M3707&gt;=$Q$16,$M3707&lt;=$Q$18),U3707,0)</t>
  </si>
  <si>
    <t>=IF(AND($M3707&gt;=$R$16,$M3707&lt;=$R$18),U3707,0)</t>
  </si>
  <si>
    <t>=IF(AND($M3707&gt;=$S$16,$M3707&lt;=$S$18),U3707,0)</t>
  </si>
  <si>
    <t>=IF($M3707&lt;=$T$18,U3707,0)</t>
  </si>
  <si>
    <t>="""NAV Direct"",""CRONUS JetCorp USA"",""21"",""1"",""72357"""</t>
  </si>
  <si>
    <t>=E3706</t>
  </si>
  <si>
    <t>=StartDate-$M3708+1</t>
  </si>
  <si>
    <t>=SUM(P3708:T3708)</t>
  </si>
  <si>
    <t>=IF($M3708&gt;=$P$18,U3708,0)</t>
  </si>
  <si>
    <t>=IF(AND($M3708&gt;=$Q$16,$M3708&lt;=$Q$18),U3708,0)</t>
  </si>
  <si>
    <t>=IF(AND($M3708&gt;=$R$16,$M3708&lt;=$R$18),U3708,0)</t>
  </si>
  <si>
    <t>=IF(AND($M3708&gt;=$S$16,$M3708&lt;=$S$18),U3708,0)</t>
  </si>
  <si>
    <t>=IF($M3708&lt;=$T$18,U3708,0)</t>
  </si>
  <si>
    <t>="""NAV Direct"",""CRONUS JetCorp USA"",""21"",""1"",""72655"""</t>
  </si>
  <si>
    <t>=E3707</t>
  </si>
  <si>
    <t>=StartDate-$M3709+1</t>
  </si>
  <si>
    <t>=SUM(P3709:T3709)</t>
  </si>
  <si>
    <t>=IF($M3709&gt;=$P$18,U3709,0)</t>
  </si>
  <si>
    <t>=IF(AND($M3709&gt;=$Q$16,$M3709&lt;=$Q$18),U3709,0)</t>
  </si>
  <si>
    <t>=IF(AND($M3709&gt;=$R$16,$M3709&lt;=$R$18),U3709,0)</t>
  </si>
  <si>
    <t>=IF(AND($M3709&gt;=$S$16,$M3709&lt;=$S$18),U3709,0)</t>
  </si>
  <si>
    <t>=IF($M3709&lt;=$T$18,U3709,0)</t>
  </si>
  <si>
    <t>="""NAV Direct"",""CRONUS JetCorp USA"",""21"",""1"",""352344"""</t>
  </si>
  <si>
    <t>=E3708</t>
  </si>
  <si>
    <t>=StartDate-$M3710+1</t>
  </si>
  <si>
    <t>=SUM(P3710:T3710)</t>
  </si>
  <si>
    <t>=IF($M3710&gt;=$P$18,U3710,0)</t>
  </si>
  <si>
    <t>=IF(AND($M3710&gt;=$Q$16,$M3710&lt;=$Q$18),U3710,0)</t>
  </si>
  <si>
    <t>=IF(AND($M3710&gt;=$R$16,$M3710&lt;=$R$18),U3710,0)</t>
  </si>
  <si>
    <t>=IF(AND($M3710&gt;=$S$16,$M3710&lt;=$S$18),U3710,0)</t>
  </si>
  <si>
    <t>=IF($M3710&lt;=$T$18,U3710,0)</t>
  </si>
  <si>
    <t>="""NAV Direct"",""CRONUS JetCorp USA"",""21"",""1"",""352812"""</t>
  </si>
  <si>
    <t>=E3709</t>
  </si>
  <si>
    <t>=StartDate-$M3711+1</t>
  </si>
  <si>
    <t>=SUM(P3711:T3711)</t>
  </si>
  <si>
    <t>=IF($M3711&gt;=$P$18,U3711,0)</t>
  </si>
  <si>
    <t>=IF(AND($M3711&gt;=$Q$16,$M3711&lt;=$Q$18),U3711,0)</t>
  </si>
  <si>
    <t>=IF(AND($M3711&gt;=$R$16,$M3711&lt;=$R$18),U3711,0)</t>
  </si>
  <si>
    <t>=IF(AND($M3711&gt;=$S$16,$M3711&lt;=$S$18),U3711,0)</t>
  </si>
  <si>
    <t>=IF($M3711&lt;=$T$18,U3711,0)</t>
  </si>
  <si>
    <t>="""NAV Direct"",""CRONUS JetCorp USA"",""21"",""1"",""353101"""</t>
  </si>
  <si>
    <t>=E3710</t>
  </si>
  <si>
    <t>=StartDate-$M3712+1</t>
  </si>
  <si>
    <t>=SUM(P3712:T3712)</t>
  </si>
  <si>
    <t>=IF($M3712&gt;=$P$18,U3712,0)</t>
  </si>
  <si>
    <t>=IF(AND($M3712&gt;=$Q$16,$M3712&lt;=$Q$18),U3712,0)</t>
  </si>
  <si>
    <t>=IF(AND($M3712&gt;=$R$16,$M3712&lt;=$R$18),U3712,0)</t>
  </si>
  <si>
    <t>=IF(AND($M3712&gt;=$S$16,$M3712&lt;=$S$18),U3712,0)</t>
  </si>
  <si>
    <t>=IF($M3712&lt;=$T$18,U3712,0)</t>
  </si>
  <si>
    <t>="""NAV Direct"",""CRONUS JetCorp USA"",""21"",""1"",""353784"""</t>
  </si>
  <si>
    <t>=E3711</t>
  </si>
  <si>
    <t>=StartDate-$M3713+1</t>
  </si>
  <si>
    <t>=SUM(P3713:T3713)</t>
  </si>
  <si>
    <t>=IF($M3713&gt;=$P$18,U3713,0)</t>
  </si>
  <si>
    <t>=IF(AND($M3713&gt;=$Q$16,$M3713&lt;=$Q$18),U3713,0)</t>
  </si>
  <si>
    <t>=IF(AND($M3713&gt;=$R$16,$M3713&lt;=$R$18),U3713,0)</t>
  </si>
  <si>
    <t>=IF(AND($M3713&gt;=$S$16,$M3713&lt;=$S$18),U3713,0)</t>
  </si>
  <si>
    <t>=IF($M3713&lt;=$T$18,U3713,0)</t>
  </si>
  <si>
    <t>="""NAV Direct"",""CRONUS JetCorp USA"",""21"",""1"",""354013"""</t>
  </si>
  <si>
    <t>=E3712</t>
  </si>
  <si>
    <t>=StartDate-$M3714+1</t>
  </si>
  <si>
    <t>=SUM(P3714:T3714)</t>
  </si>
  <si>
    <t>=IF($M3714&gt;=$P$18,U3714,0)</t>
  </si>
  <si>
    <t>=IF(AND($M3714&gt;=$Q$16,$M3714&lt;=$Q$18),U3714,0)</t>
  </si>
  <si>
    <t>=IF(AND($M3714&gt;=$R$16,$M3714&lt;=$R$18),U3714,0)</t>
  </si>
  <si>
    <t>=IF(AND($M3714&gt;=$S$16,$M3714&lt;=$S$18),U3714,0)</t>
  </si>
  <si>
    <t>=IF($M3714&lt;=$T$18,U3714,0)</t>
  </si>
  <si>
    <t>="""NAV Direct"",""CRONUS JetCorp USA"",""21"",""1"",""354156"""</t>
  </si>
  <si>
    <t>=E3713</t>
  </si>
  <si>
    <t>=StartDate-$M3715+1</t>
  </si>
  <si>
    <t>=SUM(P3715:T3715)</t>
  </si>
  <si>
    <t>=IF($M3715&gt;=$P$18,U3715,0)</t>
  </si>
  <si>
    <t>=IF(AND($M3715&gt;=$Q$16,$M3715&lt;=$Q$18),U3715,0)</t>
  </si>
  <si>
    <t>=IF(AND($M3715&gt;=$R$16,$M3715&lt;=$R$18),U3715,0)</t>
  </si>
  <si>
    <t>=IF(AND($M3715&gt;=$S$16,$M3715&lt;=$S$18),U3715,0)</t>
  </si>
  <si>
    <t>=IF($M3715&lt;=$T$18,U3715,0)</t>
  </si>
  <si>
    <t>="""NAV Direct"",""CRONUS JetCorp USA"",""21"",""1"",""354834"""</t>
  </si>
  <si>
    <t>=E3714</t>
  </si>
  <si>
    <t>=StartDate-$M3716+1</t>
  </si>
  <si>
    <t>=SUM(P3716:T3716)</t>
  </si>
  <si>
    <t>=IF($M3716&gt;=$P$18,U3716,0)</t>
  </si>
  <si>
    <t>=IF(AND($M3716&gt;=$Q$16,$M3716&lt;=$Q$18),U3716,0)</t>
  </si>
  <si>
    <t>=IF(AND($M3716&gt;=$R$16,$M3716&lt;=$R$18),U3716,0)</t>
  </si>
  <si>
    <t>=IF(AND($M3716&gt;=$S$16,$M3716&lt;=$S$18),U3716,0)</t>
  </si>
  <si>
    <t>=IF($M3716&lt;=$T$18,U3716,0)</t>
  </si>
  <si>
    <t>="""NAV Direct"",""CRONUS JetCorp USA"",""21"",""1"",""354996"""</t>
  </si>
  <si>
    <t>=E3715</t>
  </si>
  <si>
    <t>=StartDate-$M3717+1</t>
  </si>
  <si>
    <t>=SUM(P3717:T3717)</t>
  </si>
  <si>
    <t>=IF($M3717&gt;=$P$18,U3717,0)</t>
  </si>
  <si>
    <t>=IF(AND($M3717&gt;=$Q$16,$M3717&lt;=$Q$18),U3717,0)</t>
  </si>
  <si>
    <t>=IF(AND($M3717&gt;=$R$16,$M3717&lt;=$R$18),U3717,0)</t>
  </si>
  <si>
    <t>=IF(AND($M3717&gt;=$S$16,$M3717&lt;=$S$18),U3717,0)</t>
  </si>
  <si>
    <t>=IF($M3717&lt;=$T$18,U3717,0)</t>
  </si>
  <si>
    <t>="""NAV Direct"",""CRONUS JetCorp USA"",""21"",""1"",""355093"""</t>
  </si>
  <si>
    <t>=E3716</t>
  </si>
  <si>
    <t>=StartDate-$M3718+1</t>
  </si>
  <si>
    <t>=SUM(P3718:T3718)</t>
  </si>
  <si>
    <t>=IF($M3718&gt;=$P$18,U3718,0)</t>
  </si>
  <si>
    <t>=IF(AND($M3718&gt;=$Q$16,$M3718&lt;=$Q$18),U3718,0)</t>
  </si>
  <si>
    <t>=IF(AND($M3718&gt;=$R$16,$M3718&lt;=$R$18),U3718,0)</t>
  </si>
  <si>
    <t>=IF(AND($M3718&gt;=$S$16,$M3718&lt;=$S$18),U3718,0)</t>
  </si>
  <si>
    <t>=IF($M3718&lt;=$T$18,U3718,0)</t>
  </si>
  <si>
    <t>="""NAV Direct"",""CRONUS JetCorp USA"",""21"",""1"",""355254"""</t>
  </si>
  <si>
    <t>=E3717</t>
  </si>
  <si>
    <t>=StartDate-$M3719+1</t>
  </si>
  <si>
    <t>=SUM(P3719:T3719)</t>
  </si>
  <si>
    <t>=IF($M3719&gt;=$P$18,U3719,0)</t>
  </si>
  <si>
    <t>=IF(AND($M3719&gt;=$Q$16,$M3719&lt;=$Q$18),U3719,0)</t>
  </si>
  <si>
    <t>=IF(AND($M3719&gt;=$R$16,$M3719&lt;=$R$18),U3719,0)</t>
  </si>
  <si>
    <t>=IF(AND($M3719&gt;=$S$16,$M3719&lt;=$S$18),U3719,0)</t>
  </si>
  <si>
    <t>=IF($M3719&lt;=$T$18,U3719,0)</t>
  </si>
  <si>
    <t>="""NAV Direct"",""CRONUS JetCorp USA"",""21"",""1"",""355402"""</t>
  </si>
  <si>
    <t>=E3718</t>
  </si>
  <si>
    <t>=StartDate-$M3720+1</t>
  </si>
  <si>
    <t>=SUM(P3720:T3720)</t>
  </si>
  <si>
    <t>=IF($M3720&gt;=$P$18,U3720,0)</t>
  </si>
  <si>
    <t>=IF(AND($M3720&gt;=$Q$16,$M3720&lt;=$Q$18),U3720,0)</t>
  </si>
  <si>
    <t>=IF(AND($M3720&gt;=$R$16,$M3720&lt;=$R$18),U3720,0)</t>
  </si>
  <si>
    <t>=IF(AND($M3720&gt;=$S$16,$M3720&lt;=$S$18),U3720,0)</t>
  </si>
  <si>
    <t>=IF($M3720&lt;=$T$18,U3720,0)</t>
  </si>
  <si>
    <t>="""NAV Direct"",""CRONUS JetCorp USA"",""21"",""1"",""355591"""</t>
  </si>
  <si>
    <t>=E3719</t>
  </si>
  <si>
    <t>=StartDate-$M3721+1</t>
  </si>
  <si>
    <t>=SUM(P3721:T3721)</t>
  </si>
  <si>
    <t>=IF($M3721&gt;=$P$18,U3721,0)</t>
  </si>
  <si>
    <t>=IF(AND($M3721&gt;=$Q$16,$M3721&lt;=$Q$18),U3721,0)</t>
  </si>
  <si>
    <t>=IF(AND($M3721&gt;=$R$16,$M3721&lt;=$R$18),U3721,0)</t>
  </si>
  <si>
    <t>=IF(AND($M3721&gt;=$S$16,$M3721&lt;=$S$18),U3721,0)</t>
  </si>
  <si>
    <t>=IF($M3721&lt;=$T$18,U3721,0)</t>
  </si>
  <si>
    <t>="""NAV Direct"",""CRONUS JetCorp USA"",""21"",""1"",""356348"""</t>
  </si>
  <si>
    <t>=E3720</t>
  </si>
  <si>
    <t>=StartDate-$M3722+1</t>
  </si>
  <si>
    <t>=SUM(P3722:T3722)</t>
  </si>
  <si>
    <t>=IF($M3722&gt;=$P$18,U3722,0)</t>
  </si>
  <si>
    <t>=IF(AND($M3722&gt;=$Q$16,$M3722&lt;=$Q$18),U3722,0)</t>
  </si>
  <si>
    <t>=IF(AND($M3722&gt;=$R$16,$M3722&lt;=$R$18),U3722,0)</t>
  </si>
  <si>
    <t>=IF(AND($M3722&gt;=$S$16,$M3722&lt;=$S$18),U3722,0)</t>
  </si>
  <si>
    <t>=IF($M3722&lt;=$T$18,U3722,0)</t>
  </si>
  <si>
    <t>="""NAV Direct"",""CRONUS JetCorp USA"",""21"",""1"",""356603"""</t>
  </si>
  <si>
    <t>=E3721</t>
  </si>
  <si>
    <t>=StartDate-$M3723+1</t>
  </si>
  <si>
    <t>=SUM(P3723:T3723)</t>
  </si>
  <si>
    <t>=IF($M3723&gt;=$P$18,U3723,0)</t>
  </si>
  <si>
    <t>=IF(AND($M3723&gt;=$Q$16,$M3723&lt;=$Q$18),U3723,0)</t>
  </si>
  <si>
    <t>=IF(AND($M3723&gt;=$R$16,$M3723&lt;=$R$18),U3723,0)</t>
  </si>
  <si>
    <t>=IF(AND($M3723&gt;=$S$16,$M3723&lt;=$S$18),U3723,0)</t>
  </si>
  <si>
    <t>=IF($M3723&lt;=$T$18,U3723,0)</t>
  </si>
  <si>
    <t>="""NAV Direct"",""CRONUS JetCorp USA"",""21"",""1"",""356694"""</t>
  </si>
  <si>
    <t>=E3722</t>
  </si>
  <si>
    <t>=StartDate-$M3724+1</t>
  </si>
  <si>
    <t>=SUM(P3724:T3724)</t>
  </si>
  <si>
    <t>=IF($M3724&gt;=$P$18,U3724,0)</t>
  </si>
  <si>
    <t>=IF(AND($M3724&gt;=$Q$16,$M3724&lt;=$Q$18),U3724,0)</t>
  </si>
  <si>
    <t>=IF(AND($M3724&gt;=$R$16,$M3724&lt;=$R$18),U3724,0)</t>
  </si>
  <si>
    <t>=IF(AND($M3724&gt;=$S$16,$M3724&lt;=$S$18),U3724,0)</t>
  </si>
  <si>
    <t>=IF($M3724&lt;=$T$18,U3724,0)</t>
  </si>
  <si>
    <t>="""NAV Direct"",""CRONUS JetCorp USA"",""21"",""1"",""356912"""</t>
  </si>
  <si>
    <t>=E3723</t>
  </si>
  <si>
    <t>=StartDate-$M3725+1</t>
  </si>
  <si>
    <t>=SUM(P3725:T3725)</t>
  </si>
  <si>
    <t>=IF($M3725&gt;=$P$18,U3725,0)</t>
  </si>
  <si>
    <t>=IF(AND($M3725&gt;=$Q$16,$M3725&lt;=$Q$18),U3725,0)</t>
  </si>
  <si>
    <t>=IF(AND($M3725&gt;=$R$16,$M3725&lt;=$R$18),U3725,0)</t>
  </si>
  <si>
    <t>=IF(AND($M3725&gt;=$S$16,$M3725&lt;=$S$18),U3725,0)</t>
  </si>
  <si>
    <t>=IF($M3725&lt;=$T$18,U3725,0)</t>
  </si>
  <si>
    <t>="""NAV Direct"",""CRONUS JetCorp USA"",""21"",""1"",""357088"""</t>
  </si>
  <si>
    <t>=E3724</t>
  </si>
  <si>
    <t>=StartDate-$M3726+1</t>
  </si>
  <si>
    <t>=SUM(P3726:T3726)</t>
  </si>
  <si>
    <t>=IF($M3726&gt;=$P$18,U3726,0)</t>
  </si>
  <si>
    <t>=IF(AND($M3726&gt;=$Q$16,$M3726&lt;=$Q$18),U3726,0)</t>
  </si>
  <si>
    <t>=IF(AND($M3726&gt;=$R$16,$M3726&lt;=$R$18),U3726,0)</t>
  </si>
  <si>
    <t>=IF(AND($M3726&gt;=$S$16,$M3726&lt;=$S$18),U3726,0)</t>
  </si>
  <si>
    <t>=IF($M3726&lt;=$T$18,U3726,0)</t>
  </si>
  <si>
    <t>="""NAV Direct"",""CRONUS JetCorp USA"",""21"",""1"",""357168"""</t>
  </si>
  <si>
    <t>=E3725</t>
  </si>
  <si>
    <t>=StartDate-$M3727+1</t>
  </si>
  <si>
    <t>=SUM(P3727:T3727)</t>
  </si>
  <si>
    <t>=IF($M3727&gt;=$P$18,U3727,0)</t>
  </si>
  <si>
    <t>=IF(AND($M3727&gt;=$Q$16,$M3727&lt;=$Q$18),U3727,0)</t>
  </si>
  <si>
    <t>=IF(AND($M3727&gt;=$R$16,$M3727&lt;=$R$18),U3727,0)</t>
  </si>
  <si>
    <t>=IF(AND($M3727&gt;=$S$16,$M3727&lt;=$S$18),U3727,0)</t>
  </si>
  <si>
    <t>=IF($M3727&lt;=$T$18,U3727,0)</t>
  </si>
  <si>
    <t>="""NAV Direct"",""CRONUS JetCorp USA"",""21"",""1"",""357967"""</t>
  </si>
  <si>
    <t>=E3726</t>
  </si>
  <si>
    <t>=StartDate-$M3728+1</t>
  </si>
  <si>
    <t>=SUM(P3728:T3728)</t>
  </si>
  <si>
    <t>=IF($M3728&gt;=$P$18,U3728,0)</t>
  </si>
  <si>
    <t>=IF(AND($M3728&gt;=$Q$16,$M3728&lt;=$Q$18),U3728,0)</t>
  </si>
  <si>
    <t>=IF(AND($M3728&gt;=$R$16,$M3728&lt;=$R$18),U3728,0)</t>
  </si>
  <si>
    <t>=IF(AND($M3728&gt;=$S$16,$M3728&lt;=$S$18),U3728,0)</t>
  </si>
  <si>
    <t>=IF($M3728&lt;=$T$18,U3728,0)</t>
  </si>
  <si>
    <t>="""NAV Direct"",""CRONUS JetCorp USA"",""21"",""1"",""357998"""</t>
  </si>
  <si>
    <t>=E3727</t>
  </si>
  <si>
    <t>=StartDate-$M3729+1</t>
  </si>
  <si>
    <t>=SUM(P3729:T3729)</t>
  </si>
  <si>
    <t>=IF($M3729&gt;=$P$18,U3729,0)</t>
  </si>
  <si>
    <t>=IF(AND($M3729&gt;=$Q$16,$M3729&lt;=$Q$18),U3729,0)</t>
  </si>
  <si>
    <t>=IF(AND($M3729&gt;=$R$16,$M3729&lt;=$R$18),U3729,0)</t>
  </si>
  <si>
    <t>=IF(AND($M3729&gt;=$S$16,$M3729&lt;=$S$18),U3729,0)</t>
  </si>
  <si>
    <t>=IF($M3729&lt;=$T$18,U3729,0)</t>
  </si>
  <si>
    <t>="""NAV Direct"",""CRONUS JetCorp USA"",""21"",""1"",""358189"""</t>
  </si>
  <si>
    <t>=E3728</t>
  </si>
  <si>
    <t>=StartDate-$M3730+1</t>
  </si>
  <si>
    <t>=SUM(P3730:T3730)</t>
  </si>
  <si>
    <t>=IF($M3730&gt;=$P$18,U3730,0)</t>
  </si>
  <si>
    <t>=IF(AND($M3730&gt;=$Q$16,$M3730&lt;=$Q$18),U3730,0)</t>
  </si>
  <si>
    <t>=IF(AND($M3730&gt;=$R$16,$M3730&lt;=$R$18),U3730,0)</t>
  </si>
  <si>
    <t>=IF(AND($M3730&gt;=$S$16,$M3730&lt;=$S$18),U3730,0)</t>
  </si>
  <si>
    <t>=IF($M3730&lt;=$T$18,U3730,0)</t>
  </si>
  <si>
    <t>="""NAV Direct"",""CRONUS JetCorp USA"",""21"",""1"",""358214"""</t>
  </si>
  <si>
    <t>=E3729</t>
  </si>
  <si>
    <t>=StartDate-$M3731+1</t>
  </si>
  <si>
    <t>=SUM(P3731:T3731)</t>
  </si>
  <si>
    <t>=IF($M3731&gt;=$P$18,U3731,0)</t>
  </si>
  <si>
    <t>=IF(AND($M3731&gt;=$Q$16,$M3731&lt;=$Q$18),U3731,0)</t>
  </si>
  <si>
    <t>=IF(AND($M3731&gt;=$R$16,$M3731&lt;=$R$18),U3731,0)</t>
  </si>
  <si>
    <t>=IF(AND($M3731&gt;=$S$16,$M3731&lt;=$S$18),U3731,0)</t>
  </si>
  <si>
    <t>=IF($M3731&lt;=$T$18,U3731,0)</t>
  </si>
  <si>
    <t>="""NAV Direct"",""CRONUS JetCorp USA"",""21"",""1"",""358438"""</t>
  </si>
  <si>
    <t>=E3730</t>
  </si>
  <si>
    <t>=StartDate-$M3732+1</t>
  </si>
  <si>
    <t>=SUM(P3732:T3732)</t>
  </si>
  <si>
    <t>=IF($M3732&gt;=$P$18,U3732,0)</t>
  </si>
  <si>
    <t>=IF(AND($M3732&gt;=$Q$16,$M3732&lt;=$Q$18),U3732,0)</t>
  </si>
  <si>
    <t>=IF(AND($M3732&gt;=$R$16,$M3732&lt;=$R$18),U3732,0)</t>
  </si>
  <si>
    <t>=IF(AND($M3732&gt;=$S$16,$M3732&lt;=$S$18),U3732,0)</t>
  </si>
  <si>
    <t>=IF($M3732&lt;=$T$18,U3732,0)</t>
  </si>
  <si>
    <t>="""NAV Direct"",""CRONUS JetCorp USA"",""21"",""1"",""358627"""</t>
  </si>
  <si>
    <t>=E3731</t>
  </si>
  <si>
    <t>=StartDate-$M3733+1</t>
  </si>
  <si>
    <t>=SUM(P3733:T3733)</t>
  </si>
  <si>
    <t>=IF($M3733&gt;=$P$18,U3733,0)</t>
  </si>
  <si>
    <t>=IF(AND($M3733&gt;=$Q$16,$M3733&lt;=$Q$18),U3733,0)</t>
  </si>
  <si>
    <t>=IF(AND($M3733&gt;=$R$16,$M3733&lt;=$R$18),U3733,0)</t>
  </si>
  <si>
    <t>=IF(AND($M3733&gt;=$S$16,$M3733&lt;=$S$18),U3733,0)</t>
  </si>
  <si>
    <t>=IF($M3733&lt;=$T$18,U3733,0)</t>
  </si>
  <si>
    <t>="""NAV Direct"",""CRONUS JetCorp USA"",""21"",""1"",""358825"""</t>
  </si>
  <si>
    <t>=E3732</t>
  </si>
  <si>
    <t>=StartDate-$M3734+1</t>
  </si>
  <si>
    <t>=SUM(P3734:T3734)</t>
  </si>
  <si>
    <t>=IF($M3734&gt;=$P$18,U3734,0)</t>
  </si>
  <si>
    <t>=IF(AND($M3734&gt;=$Q$16,$M3734&lt;=$Q$18),U3734,0)</t>
  </si>
  <si>
    <t>=IF(AND($M3734&gt;=$R$16,$M3734&lt;=$R$18),U3734,0)</t>
  </si>
  <si>
    <t>=IF(AND($M3734&gt;=$S$16,$M3734&lt;=$S$18),U3734,0)</t>
  </si>
  <si>
    <t>=IF($M3734&lt;=$T$18,U3734,0)</t>
  </si>
  <si>
    <t>="""NAV Direct"",""CRONUS JetCorp USA"",""21"",""1"",""358889"""</t>
  </si>
  <si>
    <t>=E3733</t>
  </si>
  <si>
    <t>=StartDate-$M3735+1</t>
  </si>
  <si>
    <t>=SUM(P3735:T3735)</t>
  </si>
  <si>
    <t>=IF($M3735&gt;=$P$18,U3735,0)</t>
  </si>
  <si>
    <t>=IF(AND($M3735&gt;=$Q$16,$M3735&lt;=$Q$18),U3735,0)</t>
  </si>
  <si>
    <t>=IF(AND($M3735&gt;=$R$16,$M3735&lt;=$R$18),U3735,0)</t>
  </si>
  <si>
    <t>=IF(AND($M3735&gt;=$S$16,$M3735&lt;=$S$18),U3735,0)</t>
  </si>
  <si>
    <t>=IF($M3735&lt;=$T$18,U3735,0)</t>
  </si>
  <si>
    <t>="""NAV Direct"",""CRONUS JetCorp USA"",""21"",""1"",""359181"""</t>
  </si>
  <si>
    <t>=E3734</t>
  </si>
  <si>
    <t>=StartDate-$M3736+1</t>
  </si>
  <si>
    <t>=SUM(P3736:T3736)</t>
  </si>
  <si>
    <t>=IF($M3736&gt;=$P$18,U3736,0)</t>
  </si>
  <si>
    <t>=IF(AND($M3736&gt;=$Q$16,$M3736&lt;=$Q$18),U3736,0)</t>
  </si>
  <si>
    <t>=IF(AND($M3736&gt;=$R$16,$M3736&lt;=$R$18),U3736,0)</t>
  </si>
  <si>
    <t>=IF(AND($M3736&gt;=$S$16,$M3736&lt;=$S$18),U3736,0)</t>
  </si>
  <si>
    <t>=IF($M3736&lt;=$T$18,U3736,0)</t>
  </si>
  <si>
    <t>="""NAV Direct"",""CRONUS JetCorp USA"",""21"",""1"",""359259"""</t>
  </si>
  <si>
    <t>=E3735</t>
  </si>
  <si>
    <t>=StartDate-$M3737+1</t>
  </si>
  <si>
    <t>=SUM(P3737:T3737)</t>
  </si>
  <si>
    <t>=IF($M3737&gt;=$P$18,U3737,0)</t>
  </si>
  <si>
    <t>=IF(AND($M3737&gt;=$Q$16,$M3737&lt;=$Q$18),U3737,0)</t>
  </si>
  <si>
    <t>=IF(AND($M3737&gt;=$R$16,$M3737&lt;=$R$18),U3737,0)</t>
  </si>
  <si>
    <t>=IF(AND($M3737&gt;=$S$16,$M3737&lt;=$S$18),U3737,0)</t>
  </si>
  <si>
    <t>=IF($M3737&lt;=$T$18,U3737,0)</t>
  </si>
  <si>
    <t>="""NAV Direct"",""CRONUS JetCorp USA"",""21"",""1"",""359872"""</t>
  </si>
  <si>
    <t>=E3736</t>
  </si>
  <si>
    <t>=StartDate-$M3738+1</t>
  </si>
  <si>
    <t>=SUM(P3738:T3738)</t>
  </si>
  <si>
    <t>=IF($M3738&gt;=$P$18,U3738,0)</t>
  </si>
  <si>
    <t>=IF(AND($M3738&gt;=$Q$16,$M3738&lt;=$Q$18),U3738,0)</t>
  </si>
  <si>
    <t>=IF(AND($M3738&gt;=$R$16,$M3738&lt;=$R$18),U3738,0)</t>
  </si>
  <si>
    <t>=IF(AND($M3738&gt;=$S$16,$M3738&lt;=$S$18),U3738,0)</t>
  </si>
  <si>
    <t>=IF($M3738&lt;=$T$18,U3738,0)</t>
  </si>
  <si>
    <t>="""NAV Direct"",""CRONUS JetCorp USA"",""21"",""1"",""360018"""</t>
  </si>
  <si>
    <t>=E3737</t>
  </si>
  <si>
    <t>=StartDate-$M3739+1</t>
  </si>
  <si>
    <t>=SUM(P3739:T3739)</t>
  </si>
  <si>
    <t>=IF($M3739&gt;=$P$18,U3739,0)</t>
  </si>
  <si>
    <t>=IF(AND($M3739&gt;=$Q$16,$M3739&lt;=$Q$18),U3739,0)</t>
  </si>
  <si>
    <t>=IF(AND($M3739&gt;=$R$16,$M3739&lt;=$R$18),U3739,0)</t>
  </si>
  <si>
    <t>=IF(AND($M3739&gt;=$S$16,$M3739&lt;=$S$18),U3739,0)</t>
  </si>
  <si>
    <t>=IF($M3739&lt;=$T$18,U3739,0)</t>
  </si>
  <si>
    <t>="""NAV Direct"",""CRONUS JetCorp USA"",""21"",""1"",""360676"""</t>
  </si>
  <si>
    <t>=E3738</t>
  </si>
  <si>
    <t>=StartDate-$M3740+1</t>
  </si>
  <si>
    <t>=SUM(P3740:T3740)</t>
  </si>
  <si>
    <t>=IF($M3740&gt;=$P$18,U3740,0)</t>
  </si>
  <si>
    <t>=IF(AND($M3740&gt;=$Q$16,$M3740&lt;=$Q$18),U3740,0)</t>
  </si>
  <si>
    <t>=IF(AND($M3740&gt;=$R$16,$M3740&lt;=$R$18),U3740,0)</t>
  </si>
  <si>
    <t>=IF(AND($M3740&gt;=$S$16,$M3740&lt;=$S$18),U3740,0)</t>
  </si>
  <si>
    <t>=IF($M3740&lt;=$T$18,U3740,0)</t>
  </si>
  <si>
    <t>="""NAV Direct"",""CRONUS JetCorp USA"",""21"",""1"",""434803"""</t>
  </si>
  <si>
    <t>=E3739</t>
  </si>
  <si>
    <t>=StartDate-$M3741+1</t>
  </si>
  <si>
    <t>=SUM(P3741:T3741)</t>
  </si>
  <si>
    <t>=IF($M3741&gt;=$P$18,U3741,0)</t>
  </si>
  <si>
    <t>=IF(AND($M3741&gt;=$Q$16,$M3741&lt;=$Q$18),U3741,0)</t>
  </si>
  <si>
    <t>=IF(AND($M3741&gt;=$R$16,$M3741&lt;=$R$18),U3741,0)</t>
  </si>
  <si>
    <t>=IF(AND($M3741&gt;=$S$16,$M3741&lt;=$S$18),U3741,0)</t>
  </si>
  <si>
    <t>=IF($M3741&lt;=$T$18,U3741,0)</t>
  </si>
  <si>
    <t>="""NAV Direct"",""CRONUS JetCorp USA"",""21"",""1"",""434943"""</t>
  </si>
  <si>
    <t>=E3740</t>
  </si>
  <si>
    <t>=StartDate-$M3742+1</t>
  </si>
  <si>
    <t>=SUM(P3742:T3742)</t>
  </si>
  <si>
    <t>=IF($M3742&gt;=$P$18,U3742,0)</t>
  </si>
  <si>
    <t>=IF(AND($M3742&gt;=$Q$16,$M3742&lt;=$Q$18),U3742,0)</t>
  </si>
  <si>
    <t>=IF(AND($M3742&gt;=$R$16,$M3742&lt;=$R$18),U3742,0)</t>
  </si>
  <si>
    <t>=IF(AND($M3742&gt;=$S$16,$M3742&lt;=$S$18),U3742,0)</t>
  </si>
  <si>
    <t>=IF($M3742&lt;=$T$18,U3742,0)</t>
  </si>
  <si>
    <t>="""NAV Direct"",""CRONUS JetCorp USA"",""21"",""1"",""435058"""</t>
  </si>
  <si>
    <t>=E3741</t>
  </si>
  <si>
    <t>=StartDate-$M3743+1</t>
  </si>
  <si>
    <t>=SUM(P3743:T3743)</t>
  </si>
  <si>
    <t>=IF($M3743&gt;=$P$18,U3743,0)</t>
  </si>
  <si>
    <t>=IF(AND($M3743&gt;=$Q$16,$M3743&lt;=$Q$18),U3743,0)</t>
  </si>
  <si>
    <t>=IF(AND($M3743&gt;=$R$16,$M3743&lt;=$R$18),U3743,0)</t>
  </si>
  <si>
    <t>=IF(AND($M3743&gt;=$S$16,$M3743&lt;=$S$18),U3743,0)</t>
  </si>
  <si>
    <t>=IF($M3743&lt;=$T$18,U3743,0)</t>
  </si>
  <si>
    <t>="""NAV Direct"",""CRONUS JetCorp USA"",""21"",""1"",""435090"""</t>
  </si>
  <si>
    <t>=E3742</t>
  </si>
  <si>
    <t>=StartDate-$M3744+1</t>
  </si>
  <si>
    <t>=SUM(P3744:T3744)</t>
  </si>
  <si>
    <t>=IF($M3744&gt;=$P$18,U3744,0)</t>
  </si>
  <si>
    <t>=IF(AND($M3744&gt;=$Q$16,$M3744&lt;=$Q$18),U3744,0)</t>
  </si>
  <si>
    <t>=IF(AND($M3744&gt;=$R$16,$M3744&lt;=$R$18),U3744,0)</t>
  </si>
  <si>
    <t>=IF(AND($M3744&gt;=$S$16,$M3744&lt;=$S$18),U3744,0)</t>
  </si>
  <si>
    <t>=IF($M3744&lt;=$T$18,U3744,0)</t>
  </si>
  <si>
    <t>="""NAV Direct"",""CRONUS JetCorp USA"",""21"",""1"",""435224"""</t>
  </si>
  <si>
    <t>=E3743</t>
  </si>
  <si>
    <t>=StartDate-$M3745+1</t>
  </si>
  <si>
    <t>=SUM(P3745:T3745)</t>
  </si>
  <si>
    <t>=IF($M3745&gt;=$P$18,U3745,0)</t>
  </si>
  <si>
    <t>=IF(AND($M3745&gt;=$Q$16,$M3745&lt;=$Q$18),U3745,0)</t>
  </si>
  <si>
    <t>=IF(AND($M3745&gt;=$R$16,$M3745&lt;=$R$18),U3745,0)</t>
  </si>
  <si>
    <t>=IF(AND($M3745&gt;=$S$16,$M3745&lt;=$S$18),U3745,0)</t>
  </si>
  <si>
    <t>=IF($M3745&lt;=$T$18,U3745,0)</t>
  </si>
  <si>
    <t>="""NAV Direct"",""CRONUS JetCorp USA"",""21"",""1"",""435357"""</t>
  </si>
  <si>
    <t>=E3744</t>
  </si>
  <si>
    <t>=StartDate-$M3746+1</t>
  </si>
  <si>
    <t>=SUM(P3746:T3746)</t>
  </si>
  <si>
    <t>=IF($M3746&gt;=$P$18,U3746,0)</t>
  </si>
  <si>
    <t>=IF(AND($M3746&gt;=$Q$16,$M3746&lt;=$Q$18),U3746,0)</t>
  </si>
  <si>
    <t>=IF(AND($M3746&gt;=$R$16,$M3746&lt;=$R$18),U3746,0)</t>
  </si>
  <si>
    <t>=IF(AND($M3746&gt;=$S$16,$M3746&lt;=$S$18),U3746,0)</t>
  </si>
  <si>
    <t>=IF($M3746&lt;=$T$18,U3746,0)</t>
  </si>
  <si>
    <t>="""NAV Direct"",""CRONUS JetCorp USA"",""21"",""1"",""435387"""</t>
  </si>
  <si>
    <t>=E3745</t>
  </si>
  <si>
    <t>=StartDate-$M3747+1</t>
  </si>
  <si>
    <t>=SUM(P3747:T3747)</t>
  </si>
  <si>
    <t>=IF($M3747&gt;=$P$18,U3747,0)</t>
  </si>
  <si>
    <t>=IF(AND($M3747&gt;=$Q$16,$M3747&lt;=$Q$18),U3747,0)</t>
  </si>
  <si>
    <t>=IF(AND($M3747&gt;=$R$16,$M3747&lt;=$R$18),U3747,0)</t>
  </si>
  <si>
    <t>=IF(AND($M3747&gt;=$S$16,$M3747&lt;=$S$18),U3747,0)</t>
  </si>
  <si>
    <t>=IF($M3747&lt;=$T$18,U3747,0)</t>
  </si>
  <si>
    <t>="""NAV Direct"",""CRONUS JetCorp USA"",""21"",""1"",""435406"""</t>
  </si>
  <si>
    <t>=E3746</t>
  </si>
  <si>
    <t>=StartDate-$M3748+1</t>
  </si>
  <si>
    <t>=SUM(P3748:T3748)</t>
  </si>
  <si>
    <t>=IF($M3748&gt;=$P$18,U3748,0)</t>
  </si>
  <si>
    <t>=IF(AND($M3748&gt;=$Q$16,$M3748&lt;=$Q$18),U3748,0)</t>
  </si>
  <si>
    <t>=IF(AND($M3748&gt;=$R$16,$M3748&lt;=$R$18),U3748,0)</t>
  </si>
  <si>
    <t>=IF(AND($M3748&gt;=$S$16,$M3748&lt;=$S$18),U3748,0)</t>
  </si>
  <si>
    <t>=IF($M3748&lt;=$T$18,U3748,0)</t>
  </si>
  <si>
    <t>="""NAV Direct"",""CRONUS JetCorp USA"",""21"",""1"",""435472"""</t>
  </si>
  <si>
    <t>=E3747</t>
  </si>
  <si>
    <t>=StartDate-$M3749+1</t>
  </si>
  <si>
    <t>=SUM(P3749:T3749)</t>
  </si>
  <si>
    <t>=IF($M3749&gt;=$P$18,U3749,0)</t>
  </si>
  <si>
    <t>=IF(AND($M3749&gt;=$Q$16,$M3749&lt;=$Q$18),U3749,0)</t>
  </si>
  <si>
    <t>=IF(AND($M3749&gt;=$R$16,$M3749&lt;=$R$18),U3749,0)</t>
  </si>
  <si>
    <t>=IF(AND($M3749&gt;=$S$16,$M3749&lt;=$S$18),U3749,0)</t>
  </si>
  <si>
    <t>=IF($M3749&lt;=$T$18,U3749,0)</t>
  </si>
  <si>
    <t>="""NAV Direct"",""CRONUS JetCorp USA"",""21"",""1"",""435622"""</t>
  </si>
  <si>
    <t>=E3748</t>
  </si>
  <si>
    <t>=StartDate-$M3750+1</t>
  </si>
  <si>
    <t>=SUM(P3750:T3750)</t>
  </si>
  <si>
    <t>=IF($M3750&gt;=$P$18,U3750,0)</t>
  </si>
  <si>
    <t>=IF(AND($M3750&gt;=$Q$16,$M3750&lt;=$Q$18),U3750,0)</t>
  </si>
  <si>
    <t>=IF(AND($M3750&gt;=$R$16,$M3750&lt;=$R$18),U3750,0)</t>
  </si>
  <si>
    <t>=IF(AND($M3750&gt;=$S$16,$M3750&lt;=$S$18),U3750,0)</t>
  </si>
  <si>
    <t>=IF($M3750&lt;=$T$18,U3750,0)</t>
  </si>
  <si>
    <t>="""NAV Direct"",""CRONUS JetCorp USA"",""18"",""1"",""C100106"""</t>
  </si>
  <si>
    <t>=H3753</t>
  </si>
  <si>
    <t>=NF($C3753,"1 No.")</t>
  </si>
  <si>
    <t>=NF($C3753,"1 No.")&amp;"  -  "&amp;NF($C3753,"2 Name")</t>
  </si>
  <si>
    <t>=IFERROR(O3753/NF(C3753,"Credit Limit (LCY)"),"")</t>
  </si>
  <si>
    <t>=SUBTOTAL(3,L3754:L3803)</t>
  </si>
  <si>
    <t>=SUBTOTAL(9,O3754:O3803)</t>
  </si>
  <si>
    <t>=SUBTOTAL(9,P3754:P3803)</t>
  </si>
  <si>
    <t>=SUBTOTAL(9,Q3754:Q3803)</t>
  </si>
  <si>
    <t>=SUBTOTAL(9,R3754:R3803)</t>
  </si>
  <si>
    <t>=SUBTOTAL(9,S3754:S3803)</t>
  </si>
  <si>
    <t>=SUBTOTAL(9,T3754:T3803)</t>
  </si>
  <si>
    <t>=C3753</t>
  </si>
  <si>
    <t>=E3753</t>
  </si>
  <si>
    <t>="Contact: "&amp;NF($C3754,"8 Contact")</t>
  </si>
  <si>
    <t>=C3754</t>
  </si>
  <si>
    <t>=E3754</t>
  </si>
  <si>
    <t>=NF($C3755,"102 E-Mail")</t>
  </si>
  <si>
    <t>=NL("Rows","21 Cust. Ledger Entry",,"3 Customer No.","@@"&amp;$E3757,"16 Remaining Amt. (LCY)","&lt;&gt;0")</t>
  </si>
  <si>
    <t>=E3755</t>
  </si>
  <si>
    <t>=StartDate-$M3757+1</t>
  </si>
  <si>
    <t>=SUM(P3757:T3757)</t>
  </si>
  <si>
    <t>=IF($M3757&gt;=$P$18,U3757,0)</t>
  </si>
  <si>
    <t>=IF(AND($M3757&gt;=$Q$16,$M3757&lt;=$Q$18),U3757,0)</t>
  </si>
  <si>
    <t>=IF(AND($M3757&gt;=$R$16,$M3757&lt;=$R$18),U3757,0)</t>
  </si>
  <si>
    <t>=IF(AND($M3757&gt;=$S$16,$M3757&lt;=$S$18),U3757,0)</t>
  </si>
  <si>
    <t>=IF($M3757&lt;=$T$18,U3757,0)</t>
  </si>
  <si>
    <t>="""NAV Direct"",""CRONUS JetCorp USA"",""21"",""1"",""72237"""</t>
  </si>
  <si>
    <t>=E3756</t>
  </si>
  <si>
    <t>=StartDate-$M3758+1</t>
  </si>
  <si>
    <t>=SUM(P3758:T3758)</t>
  </si>
  <si>
    <t>=IF($M3758&gt;=$P$18,U3758,0)</t>
  </si>
  <si>
    <t>=IF(AND($M3758&gt;=$Q$16,$M3758&lt;=$Q$18),U3758,0)</t>
  </si>
  <si>
    <t>=IF(AND($M3758&gt;=$R$16,$M3758&lt;=$R$18),U3758,0)</t>
  </si>
  <si>
    <t>=IF(AND($M3758&gt;=$S$16,$M3758&lt;=$S$18),U3758,0)</t>
  </si>
  <si>
    <t>=IF($M3758&lt;=$T$18,U3758,0)</t>
  </si>
  <si>
    <t>="""NAV Direct"",""CRONUS JetCorp USA"",""21"",""1"",""72268"""</t>
  </si>
  <si>
    <t>=E3757</t>
  </si>
  <si>
    <t>=StartDate-$M3759+1</t>
  </si>
  <si>
    <t>=SUM(P3759:T3759)</t>
  </si>
  <si>
    <t>=IF($M3759&gt;=$P$18,U3759,0)</t>
  </si>
  <si>
    <t>=IF(AND($M3759&gt;=$Q$16,$M3759&lt;=$Q$18),U3759,0)</t>
  </si>
  <si>
    <t>=IF(AND($M3759&gt;=$R$16,$M3759&lt;=$R$18),U3759,0)</t>
  </si>
  <si>
    <t>=IF(AND($M3759&gt;=$S$16,$M3759&lt;=$S$18),U3759,0)</t>
  </si>
  <si>
    <t>=IF($M3759&lt;=$T$18,U3759,0)</t>
  </si>
  <si>
    <t>="""NAV Direct"",""CRONUS JetCorp USA"",""21"",""1"",""72328"""</t>
  </si>
  <si>
    <t>=E3758</t>
  </si>
  <si>
    <t>=StartDate-$M3760+1</t>
  </si>
  <si>
    <t>=SUM(P3760:T3760)</t>
  </si>
  <si>
    <t>=IF($M3760&gt;=$P$18,U3760,0)</t>
  </si>
  <si>
    <t>=IF(AND($M3760&gt;=$Q$16,$M3760&lt;=$Q$18),U3760,0)</t>
  </si>
  <si>
    <t>=IF(AND($M3760&gt;=$R$16,$M3760&lt;=$R$18),U3760,0)</t>
  </si>
  <si>
    <t>=IF(AND($M3760&gt;=$S$16,$M3760&lt;=$S$18),U3760,0)</t>
  </si>
  <si>
    <t>=IF($M3760&lt;=$T$18,U3760,0)</t>
  </si>
  <si>
    <t>="""NAV Direct"",""CRONUS JetCorp USA"",""21"",""1"",""352117"""</t>
  </si>
  <si>
    <t>=E3759</t>
  </si>
  <si>
    <t>=StartDate-$M3761+1</t>
  </si>
  <si>
    <t>=SUM(P3761:T3761)</t>
  </si>
  <si>
    <t>=IF($M3761&gt;=$P$18,U3761,0)</t>
  </si>
  <si>
    <t>=IF(AND($M3761&gt;=$Q$16,$M3761&lt;=$Q$18),U3761,0)</t>
  </si>
  <si>
    <t>=IF(AND($M3761&gt;=$R$16,$M3761&lt;=$R$18),U3761,0)</t>
  </si>
  <si>
    <t>=IF(AND($M3761&gt;=$S$16,$M3761&lt;=$S$18),U3761,0)</t>
  </si>
  <si>
    <t>=IF($M3761&lt;=$T$18,U3761,0)</t>
  </si>
  <si>
    <t>="""NAV Direct"",""CRONUS JetCorp USA"",""21"",""1"",""352214"""</t>
  </si>
  <si>
    <t>=E3760</t>
  </si>
  <si>
    <t>=StartDate-$M3762+1</t>
  </si>
  <si>
    <t>=SUM(P3762:T3762)</t>
  </si>
  <si>
    <t>=IF($M3762&gt;=$P$18,U3762,0)</t>
  </si>
  <si>
    <t>=IF(AND($M3762&gt;=$Q$16,$M3762&lt;=$Q$18),U3762,0)</t>
  </si>
  <si>
    <t>=IF(AND($M3762&gt;=$R$16,$M3762&lt;=$R$18),U3762,0)</t>
  </si>
  <si>
    <t>=IF(AND($M3762&gt;=$S$16,$M3762&lt;=$S$18),U3762,0)</t>
  </si>
  <si>
    <t>=IF($M3762&lt;=$T$18,U3762,0)</t>
  </si>
  <si>
    <t>="""NAV Direct"",""CRONUS JetCorp USA"",""21"",""1"",""352309"""</t>
  </si>
  <si>
    <t>=E3761</t>
  </si>
  <si>
    <t>=StartDate-$M3763+1</t>
  </si>
  <si>
    <t>=SUM(P3763:T3763)</t>
  </si>
  <si>
    <t>=IF($M3763&gt;=$P$18,U3763,0)</t>
  </si>
  <si>
    <t>=IF(AND($M3763&gt;=$Q$16,$M3763&lt;=$Q$18),U3763,0)</t>
  </si>
  <si>
    <t>=IF(AND($M3763&gt;=$R$16,$M3763&lt;=$R$18),U3763,0)</t>
  </si>
  <si>
    <t>=IF(AND($M3763&gt;=$S$16,$M3763&lt;=$S$18),U3763,0)</t>
  </si>
  <si>
    <t>=IF($M3763&lt;=$T$18,U3763,0)</t>
  </si>
  <si>
    <t>="""NAV Direct"",""CRONUS JetCorp USA"",""21"",""1"",""352613"""</t>
  </si>
  <si>
    <t>=E3762</t>
  </si>
  <si>
    <t>=StartDate-$M3764+1</t>
  </si>
  <si>
    <t>=SUM(P3764:T3764)</t>
  </si>
  <si>
    <t>=IF($M3764&gt;=$P$18,U3764,0)</t>
  </si>
  <si>
    <t>=IF(AND($M3764&gt;=$Q$16,$M3764&lt;=$Q$18),U3764,0)</t>
  </si>
  <si>
    <t>=IF(AND($M3764&gt;=$R$16,$M3764&lt;=$R$18),U3764,0)</t>
  </si>
  <si>
    <t>=IF(AND($M3764&gt;=$S$16,$M3764&lt;=$S$18),U3764,0)</t>
  </si>
  <si>
    <t>=IF($M3764&lt;=$T$18,U3764,0)</t>
  </si>
  <si>
    <t>="""NAV Direct"",""CRONUS JetCorp USA"",""21"",""1"",""353496"""</t>
  </si>
  <si>
    <t>=E3763</t>
  </si>
  <si>
    <t>=StartDate-$M3765+1</t>
  </si>
  <si>
    <t>=SUM(P3765:T3765)</t>
  </si>
  <si>
    <t>=IF($M3765&gt;=$P$18,U3765,0)</t>
  </si>
  <si>
    <t>=IF(AND($M3765&gt;=$Q$16,$M3765&lt;=$Q$18),U3765,0)</t>
  </si>
  <si>
    <t>=IF(AND($M3765&gt;=$R$16,$M3765&lt;=$R$18),U3765,0)</t>
  </si>
  <si>
    <t>=IF(AND($M3765&gt;=$S$16,$M3765&lt;=$S$18),U3765,0)</t>
  </si>
  <si>
    <t>=IF($M3765&lt;=$T$18,U3765,0)</t>
  </si>
  <si>
    <t>="""NAV Direct"",""CRONUS JetCorp USA"",""21"",""1"",""353611"""</t>
  </si>
  <si>
    <t>=E3764</t>
  </si>
  <si>
    <t>=StartDate-$M3766+1</t>
  </si>
  <si>
    <t>=SUM(P3766:T3766)</t>
  </si>
  <si>
    <t>=IF($M3766&gt;=$P$18,U3766,0)</t>
  </si>
  <si>
    <t>=IF(AND($M3766&gt;=$Q$16,$M3766&lt;=$Q$18),U3766,0)</t>
  </si>
  <si>
    <t>=IF(AND($M3766&gt;=$R$16,$M3766&lt;=$R$18),U3766,0)</t>
  </si>
  <si>
    <t>=IF(AND($M3766&gt;=$S$16,$M3766&lt;=$S$18),U3766,0)</t>
  </si>
  <si>
    <t>=IF($M3766&lt;=$T$18,U3766,0)</t>
  </si>
  <si>
    <t>="""NAV Direct"",""CRONUS JetCorp USA"",""21"",""1"",""354304"""</t>
  </si>
  <si>
    <t>=E3765</t>
  </si>
  <si>
    <t>=StartDate-$M3767+1</t>
  </si>
  <si>
    <t>=SUM(P3767:T3767)</t>
  </si>
  <si>
    <t>=IF($M3767&gt;=$P$18,U3767,0)</t>
  </si>
  <si>
    <t>=IF(AND($M3767&gt;=$Q$16,$M3767&lt;=$Q$18),U3767,0)</t>
  </si>
  <si>
    <t>=IF(AND($M3767&gt;=$R$16,$M3767&lt;=$R$18),U3767,0)</t>
  </si>
  <si>
    <t>=IF(AND($M3767&gt;=$S$16,$M3767&lt;=$S$18),U3767,0)</t>
  </si>
  <si>
    <t>=IF($M3767&lt;=$T$18,U3767,0)</t>
  </si>
  <si>
    <t>="""NAV Direct"",""CRONUS JetCorp USA"",""21"",""1"",""354339"""</t>
  </si>
  <si>
    <t>=E3766</t>
  </si>
  <si>
    <t>=StartDate-$M3768+1</t>
  </si>
  <si>
    <t>=SUM(P3768:T3768)</t>
  </si>
  <si>
    <t>=IF($M3768&gt;=$P$18,U3768,0)</t>
  </si>
  <si>
    <t>=IF(AND($M3768&gt;=$Q$16,$M3768&lt;=$Q$18),U3768,0)</t>
  </si>
  <si>
    <t>=IF(AND($M3768&gt;=$R$16,$M3768&lt;=$R$18),U3768,0)</t>
  </si>
  <si>
    <t>=IF(AND($M3768&gt;=$S$16,$M3768&lt;=$S$18),U3768,0)</t>
  </si>
  <si>
    <t>=IF($M3768&lt;=$T$18,U3768,0)</t>
  </si>
  <si>
    <t>="""NAV Direct"",""CRONUS JetCorp USA"",""21"",""1"",""354506"""</t>
  </si>
  <si>
    <t>=E3767</t>
  </si>
  <si>
    <t>=StartDate-$M3769+1</t>
  </si>
  <si>
    <t>=SUM(P3769:T3769)</t>
  </si>
  <si>
    <t>=IF($M3769&gt;=$P$18,U3769,0)</t>
  </si>
  <si>
    <t>=IF(AND($M3769&gt;=$Q$16,$M3769&lt;=$Q$18),U3769,0)</t>
  </si>
  <si>
    <t>=IF(AND($M3769&gt;=$R$16,$M3769&lt;=$R$18),U3769,0)</t>
  </si>
  <si>
    <t>=IF(AND($M3769&gt;=$S$16,$M3769&lt;=$S$18),U3769,0)</t>
  </si>
  <si>
    <t>=IF($M3769&lt;=$T$18,U3769,0)</t>
  </si>
  <si>
    <t>="""NAV Direct"",""CRONUS JetCorp USA"",""21"",""1"",""354795"""</t>
  </si>
  <si>
    <t>=E3768</t>
  </si>
  <si>
    <t>=StartDate-$M3770+1</t>
  </si>
  <si>
    <t>=SUM(P3770:T3770)</t>
  </si>
  <si>
    <t>=IF($M3770&gt;=$P$18,U3770,0)</t>
  </si>
  <si>
    <t>=IF(AND($M3770&gt;=$Q$16,$M3770&lt;=$Q$18),U3770,0)</t>
  </si>
  <si>
    <t>=IF(AND($M3770&gt;=$R$16,$M3770&lt;=$R$18),U3770,0)</t>
  </si>
  <si>
    <t>=IF(AND($M3770&gt;=$S$16,$M3770&lt;=$S$18),U3770,0)</t>
  </si>
  <si>
    <t>=IF($M3770&lt;=$T$18,U3770,0)</t>
  </si>
  <si>
    <t>="""NAV Direct"",""CRONUS JetCorp USA"",""21"",""1"",""354961"""</t>
  </si>
  <si>
    <t>=E3769</t>
  </si>
  <si>
    <t>=StartDate-$M3771+1</t>
  </si>
  <si>
    <t>=SUM(P3771:T3771)</t>
  </si>
  <si>
    <t>=IF($M3771&gt;=$P$18,U3771,0)</t>
  </si>
  <si>
    <t>=IF(AND($M3771&gt;=$Q$16,$M3771&lt;=$Q$18),U3771,0)</t>
  </si>
  <si>
    <t>=IF(AND($M3771&gt;=$R$16,$M3771&lt;=$R$18),U3771,0)</t>
  </si>
  <si>
    <t>=IF(AND($M3771&gt;=$S$16,$M3771&lt;=$S$18),U3771,0)</t>
  </si>
  <si>
    <t>=IF($M3771&lt;=$T$18,U3771,0)</t>
  </si>
  <si>
    <t>="""NAV Direct"",""CRONUS JetCorp USA"",""21"",""1"",""355433"""</t>
  </si>
  <si>
    <t>=E3770</t>
  </si>
  <si>
    <t>=StartDate-$M3772+1</t>
  </si>
  <si>
    <t>=SUM(P3772:T3772)</t>
  </si>
  <si>
    <t>=IF($M3772&gt;=$P$18,U3772,0)</t>
  </si>
  <si>
    <t>=IF(AND($M3772&gt;=$Q$16,$M3772&lt;=$Q$18),U3772,0)</t>
  </si>
  <si>
    <t>=IF(AND($M3772&gt;=$R$16,$M3772&lt;=$R$18),U3772,0)</t>
  </si>
  <si>
    <t>=IF(AND($M3772&gt;=$S$16,$M3772&lt;=$S$18),U3772,0)</t>
  </si>
  <si>
    <t>=IF($M3772&lt;=$T$18,U3772,0)</t>
  </si>
  <si>
    <t>="""NAV Direct"",""CRONUS JetCorp USA"",""21"",""1"",""355721"""</t>
  </si>
  <si>
    <t>=E3771</t>
  </si>
  <si>
    <t>=StartDate-$M3773+1</t>
  </si>
  <si>
    <t>=SUM(P3773:T3773)</t>
  </si>
  <si>
    <t>=IF($M3773&gt;=$P$18,U3773,0)</t>
  </si>
  <si>
    <t>=IF(AND($M3773&gt;=$Q$16,$M3773&lt;=$Q$18),U3773,0)</t>
  </si>
  <si>
    <t>=IF(AND($M3773&gt;=$R$16,$M3773&lt;=$R$18),U3773,0)</t>
  </si>
  <si>
    <t>=IF(AND($M3773&gt;=$S$16,$M3773&lt;=$S$18),U3773,0)</t>
  </si>
  <si>
    <t>=IF($M3773&lt;=$T$18,U3773,0)</t>
  </si>
  <si>
    <t>="""NAV Direct"",""CRONUS JetCorp USA"",""21"",""1"",""355822"""</t>
  </si>
  <si>
    <t>=E3772</t>
  </si>
  <si>
    <t>=StartDate-$M3774+1</t>
  </si>
  <si>
    <t>=SUM(P3774:T3774)</t>
  </si>
  <si>
    <t>=IF($M3774&gt;=$P$18,U3774,0)</t>
  </si>
  <si>
    <t>=IF(AND($M3774&gt;=$Q$16,$M3774&lt;=$Q$18),U3774,0)</t>
  </si>
  <si>
    <t>=IF(AND($M3774&gt;=$R$16,$M3774&lt;=$R$18),U3774,0)</t>
  </si>
  <si>
    <t>=IF(AND($M3774&gt;=$S$16,$M3774&lt;=$S$18),U3774,0)</t>
  </si>
  <si>
    <t>=IF($M3774&lt;=$T$18,U3774,0)</t>
  </si>
  <si>
    <t>="""NAV Direct"",""CRONUS JetCorp USA"",""21"",""1"",""356069"""</t>
  </si>
  <si>
    <t>=E3773</t>
  </si>
  <si>
    <t>=StartDate-$M3775+1</t>
  </si>
  <si>
    <t>=SUM(P3775:T3775)</t>
  </si>
  <si>
    <t>=IF($M3775&gt;=$P$18,U3775,0)</t>
  </si>
  <si>
    <t>=IF(AND($M3775&gt;=$Q$16,$M3775&lt;=$Q$18),U3775,0)</t>
  </si>
  <si>
    <t>=IF(AND($M3775&gt;=$R$16,$M3775&lt;=$R$18),U3775,0)</t>
  </si>
  <si>
    <t>=IF(AND($M3775&gt;=$S$16,$M3775&lt;=$S$18),U3775,0)</t>
  </si>
  <si>
    <t>=IF($M3775&lt;=$T$18,U3775,0)</t>
  </si>
  <si>
    <t>="""NAV Direct"",""CRONUS JetCorp USA"",""21"",""1"",""356184"""</t>
  </si>
  <si>
    <t>=E3774</t>
  </si>
  <si>
    <t>=StartDate-$M3776+1</t>
  </si>
  <si>
    <t>=SUM(P3776:T3776)</t>
  </si>
  <si>
    <t>=IF($M3776&gt;=$P$18,U3776,0)</t>
  </si>
  <si>
    <t>=IF(AND($M3776&gt;=$Q$16,$M3776&lt;=$Q$18),U3776,0)</t>
  </si>
  <si>
    <t>=IF(AND($M3776&gt;=$R$16,$M3776&lt;=$R$18),U3776,0)</t>
  </si>
  <si>
    <t>=IF(AND($M3776&gt;=$S$16,$M3776&lt;=$S$18),U3776,0)</t>
  </si>
  <si>
    <t>=IF($M3776&lt;=$T$18,U3776,0)</t>
  </si>
  <si>
    <t>="""NAV Direct"",""CRONUS JetCorp USA"",""21"",""1"",""356262"""</t>
  </si>
  <si>
    <t>=E3775</t>
  </si>
  <si>
    <t>=StartDate-$M3777+1</t>
  </si>
  <si>
    <t>=SUM(P3777:T3777)</t>
  </si>
  <si>
    <t>=IF($M3777&gt;=$P$18,U3777,0)</t>
  </si>
  <si>
    <t>=IF(AND($M3777&gt;=$Q$16,$M3777&lt;=$Q$18),U3777,0)</t>
  </si>
  <si>
    <t>=IF(AND($M3777&gt;=$R$16,$M3777&lt;=$R$18),U3777,0)</t>
  </si>
  <si>
    <t>=IF(AND($M3777&gt;=$S$16,$M3777&lt;=$S$18),U3777,0)</t>
  </si>
  <si>
    <t>=IF($M3777&lt;=$T$18,U3777,0)</t>
  </si>
  <si>
    <t>="""NAV Direct"",""CRONUS JetCorp USA"",""21"",""1"",""356867"""</t>
  </si>
  <si>
    <t>=E3776</t>
  </si>
  <si>
    <t>=StartDate-$M3778+1</t>
  </si>
  <si>
    <t>=SUM(P3778:T3778)</t>
  </si>
  <si>
    <t>=IF($M3778&gt;=$P$18,U3778,0)</t>
  </si>
  <si>
    <t>=IF(AND($M3778&gt;=$Q$16,$M3778&lt;=$Q$18),U3778,0)</t>
  </si>
  <si>
    <t>=IF(AND($M3778&gt;=$R$16,$M3778&lt;=$R$18),U3778,0)</t>
  </si>
  <si>
    <t>=IF(AND($M3778&gt;=$S$16,$M3778&lt;=$S$18),U3778,0)</t>
  </si>
  <si>
    <t>=IF($M3778&lt;=$T$18,U3778,0)</t>
  </si>
  <si>
    <t>="""NAV Direct"",""CRONUS JetCorp USA"",""21"",""1"",""357554"""</t>
  </si>
  <si>
    <t>=E3777</t>
  </si>
  <si>
    <t>=StartDate-$M3779+1</t>
  </si>
  <si>
    <t>=SUM(P3779:T3779)</t>
  </si>
  <si>
    <t>=IF($M3779&gt;=$P$18,U3779,0)</t>
  </si>
  <si>
    <t>=IF(AND($M3779&gt;=$Q$16,$M3779&lt;=$Q$18),U3779,0)</t>
  </si>
  <si>
    <t>=IF(AND($M3779&gt;=$R$16,$M3779&lt;=$R$18),U3779,0)</t>
  </si>
  <si>
    <t>=IF(AND($M3779&gt;=$S$16,$M3779&lt;=$S$18),U3779,0)</t>
  </si>
  <si>
    <t>=IF($M3779&lt;=$T$18,U3779,0)</t>
  </si>
  <si>
    <t>="""NAV Direct"",""CRONUS JetCorp USA"",""21"",""1"",""357583"""</t>
  </si>
  <si>
    <t>=E3778</t>
  </si>
  <si>
    <t>=StartDate-$M3780+1</t>
  </si>
  <si>
    <t>=SUM(P3780:T3780)</t>
  </si>
  <si>
    <t>=IF($M3780&gt;=$P$18,U3780,0)</t>
  </si>
  <si>
    <t>=IF(AND($M3780&gt;=$Q$16,$M3780&lt;=$Q$18),U3780,0)</t>
  </si>
  <si>
    <t>=IF(AND($M3780&gt;=$R$16,$M3780&lt;=$R$18),U3780,0)</t>
  </si>
  <si>
    <t>=IF(AND($M3780&gt;=$S$16,$M3780&lt;=$S$18),U3780,0)</t>
  </si>
  <si>
    <t>=IF($M3780&lt;=$T$18,U3780,0)</t>
  </si>
  <si>
    <t>="""NAV Direct"",""CRONUS JetCorp USA"",""21"",""1"",""357665"""</t>
  </si>
  <si>
    <t>=E3779</t>
  </si>
  <si>
    <t>=StartDate-$M3781+1</t>
  </si>
  <si>
    <t>=SUM(P3781:T3781)</t>
  </si>
  <si>
    <t>=IF($M3781&gt;=$P$18,U3781,0)</t>
  </si>
  <si>
    <t>=IF(AND($M3781&gt;=$Q$16,$M3781&lt;=$Q$18),U3781,0)</t>
  </si>
  <si>
    <t>=IF(AND($M3781&gt;=$R$16,$M3781&lt;=$R$18),U3781,0)</t>
  </si>
  <si>
    <t>=IF(AND($M3781&gt;=$S$16,$M3781&lt;=$S$18),U3781,0)</t>
  </si>
  <si>
    <t>=IF($M3781&lt;=$T$18,U3781,0)</t>
  </si>
  <si>
    <t>="""NAV Direct"",""CRONUS JetCorp USA"",""21"",""1"",""357751"""</t>
  </si>
  <si>
    <t>=E3780</t>
  </si>
  <si>
    <t>=StartDate-$M3782+1</t>
  </si>
  <si>
    <t>=SUM(P3782:T3782)</t>
  </si>
  <si>
    <t>=IF($M3782&gt;=$P$18,U3782,0)</t>
  </si>
  <si>
    <t>=IF(AND($M3782&gt;=$Q$16,$M3782&lt;=$Q$18),U3782,0)</t>
  </si>
  <si>
    <t>=IF(AND($M3782&gt;=$R$16,$M3782&lt;=$R$18),U3782,0)</t>
  </si>
  <si>
    <t>=IF(AND($M3782&gt;=$S$16,$M3782&lt;=$S$18),U3782,0)</t>
  </si>
  <si>
    <t>=IF($M3782&lt;=$T$18,U3782,0)</t>
  </si>
  <si>
    <t>="""NAV Direct"",""CRONUS JetCorp USA"",""21"",""1"",""357837"""</t>
  </si>
  <si>
    <t>=E3781</t>
  </si>
  <si>
    <t>=StartDate-$M3783+1</t>
  </si>
  <si>
    <t>=SUM(P3783:T3783)</t>
  </si>
  <si>
    <t>=IF($M3783&gt;=$P$18,U3783,0)</t>
  </si>
  <si>
    <t>=IF(AND($M3783&gt;=$Q$16,$M3783&lt;=$Q$18),U3783,0)</t>
  </si>
  <si>
    <t>=IF(AND($M3783&gt;=$R$16,$M3783&lt;=$R$18),U3783,0)</t>
  </si>
  <si>
    <t>=IF(AND($M3783&gt;=$S$16,$M3783&lt;=$S$18),U3783,0)</t>
  </si>
  <si>
    <t>=IF($M3783&lt;=$T$18,U3783,0)</t>
  </si>
  <si>
    <t>="""NAV Direct"",""CRONUS JetCorp USA"",""21"",""1"",""357864"""</t>
  </si>
  <si>
    <t>=E3782</t>
  </si>
  <si>
    <t>=StartDate-$M3784+1</t>
  </si>
  <si>
    <t>=SUM(P3784:T3784)</t>
  </si>
  <si>
    <t>=IF($M3784&gt;=$P$18,U3784,0)</t>
  </si>
  <si>
    <t>=IF(AND($M3784&gt;=$Q$16,$M3784&lt;=$Q$18),U3784,0)</t>
  </si>
  <si>
    <t>=IF(AND($M3784&gt;=$R$16,$M3784&lt;=$R$18),U3784,0)</t>
  </si>
  <si>
    <t>=IF(AND($M3784&gt;=$S$16,$M3784&lt;=$S$18),U3784,0)</t>
  </si>
  <si>
    <t>=IF($M3784&lt;=$T$18,U3784,0)</t>
  </si>
  <si>
    <t>="""NAV Direct"",""CRONUS JetCorp USA"",""21"",""1"",""358302"""</t>
  </si>
  <si>
    <t>=E3783</t>
  </si>
  <si>
    <t>=StartDate-$M3785+1</t>
  </si>
  <si>
    <t>=SUM(P3785:T3785)</t>
  </si>
  <si>
    <t>=IF($M3785&gt;=$P$18,U3785,0)</t>
  </si>
  <si>
    <t>=IF(AND($M3785&gt;=$Q$16,$M3785&lt;=$Q$18),U3785,0)</t>
  </si>
  <si>
    <t>=IF(AND($M3785&gt;=$R$16,$M3785&lt;=$R$18),U3785,0)</t>
  </si>
  <si>
    <t>=IF(AND($M3785&gt;=$S$16,$M3785&lt;=$S$18),U3785,0)</t>
  </si>
  <si>
    <t>=IF($M3785&lt;=$T$18,U3785,0)</t>
  </si>
  <si>
    <t>="""NAV Direct"",""CRONUS JetCorp USA"",""21"",""1"",""358545"""</t>
  </si>
  <si>
    <t>=E3784</t>
  </si>
  <si>
    <t>=StartDate-$M3786+1</t>
  </si>
  <si>
    <t>=SUM(P3786:T3786)</t>
  </si>
  <si>
    <t>=IF($M3786&gt;=$P$18,U3786,0)</t>
  </si>
  <si>
    <t>=IF(AND($M3786&gt;=$Q$16,$M3786&lt;=$Q$18),U3786,0)</t>
  </si>
  <si>
    <t>=IF(AND($M3786&gt;=$R$16,$M3786&lt;=$R$18),U3786,0)</t>
  </si>
  <si>
    <t>=IF(AND($M3786&gt;=$S$16,$M3786&lt;=$S$18),U3786,0)</t>
  </si>
  <si>
    <t>=IF($M3786&lt;=$T$18,U3786,0)</t>
  </si>
  <si>
    <t>="""NAV Direct"",""CRONUS JetCorp USA"",""21"",""1"",""358701"""</t>
  </si>
  <si>
    <t>=E3785</t>
  </si>
  <si>
    <t>=StartDate-$M3787+1</t>
  </si>
  <si>
    <t>=SUM(P3787:T3787)</t>
  </si>
  <si>
    <t>=IF($M3787&gt;=$P$18,U3787,0)</t>
  </si>
  <si>
    <t>=IF(AND($M3787&gt;=$Q$16,$M3787&lt;=$Q$18),U3787,0)</t>
  </si>
  <si>
    <t>=IF(AND($M3787&gt;=$R$16,$M3787&lt;=$R$18),U3787,0)</t>
  </si>
  <si>
    <t>=IF(AND($M3787&gt;=$S$16,$M3787&lt;=$S$18),U3787,0)</t>
  </si>
  <si>
    <t>=IF($M3787&lt;=$T$18,U3787,0)</t>
  </si>
  <si>
    <t>="""NAV Direct"",""CRONUS JetCorp USA"",""21"",""1"",""358728"""</t>
  </si>
  <si>
    <t>=E3786</t>
  </si>
  <si>
    <t>=StartDate-$M3788+1</t>
  </si>
  <si>
    <t>=SUM(P3788:T3788)</t>
  </si>
  <si>
    <t>=IF($M3788&gt;=$P$18,U3788,0)</t>
  </si>
  <si>
    <t>=IF(AND($M3788&gt;=$Q$16,$M3788&lt;=$Q$18),U3788,0)</t>
  </si>
  <si>
    <t>=IF(AND($M3788&gt;=$R$16,$M3788&lt;=$R$18),U3788,0)</t>
  </si>
  <si>
    <t>=IF(AND($M3788&gt;=$S$16,$M3788&lt;=$S$18),U3788,0)</t>
  </si>
  <si>
    <t>=IF($M3788&lt;=$T$18,U3788,0)</t>
  </si>
  <si>
    <t>="""NAV Direct"",""CRONUS JetCorp USA"",""21"",""1"",""358757"""</t>
  </si>
  <si>
    <t>=E3787</t>
  </si>
  <si>
    <t>=StartDate-$M3789+1</t>
  </si>
  <si>
    <t>=SUM(P3789:T3789)</t>
  </si>
  <si>
    <t>=IF($M3789&gt;=$P$18,U3789,0)</t>
  </si>
  <si>
    <t>=IF(AND($M3789&gt;=$Q$16,$M3789&lt;=$Q$18),U3789,0)</t>
  </si>
  <si>
    <t>=IF(AND($M3789&gt;=$R$16,$M3789&lt;=$R$18),U3789,0)</t>
  </si>
  <si>
    <t>=IF(AND($M3789&gt;=$S$16,$M3789&lt;=$S$18),U3789,0)</t>
  </si>
  <si>
    <t>=IF($M3789&lt;=$T$18,U3789,0)</t>
  </si>
  <si>
    <t>="""NAV Direct"",""CRONUS JetCorp USA"",""21"",""1"",""359368"""</t>
  </si>
  <si>
    <t>=E3788</t>
  </si>
  <si>
    <t>=StartDate-$M3790+1</t>
  </si>
  <si>
    <t>=SUM(P3790:T3790)</t>
  </si>
  <si>
    <t>=IF($M3790&gt;=$P$18,U3790,0)</t>
  </si>
  <si>
    <t>=IF(AND($M3790&gt;=$Q$16,$M3790&lt;=$Q$18),U3790,0)</t>
  </si>
  <si>
    <t>=IF(AND($M3790&gt;=$R$16,$M3790&lt;=$R$18),U3790,0)</t>
  </si>
  <si>
    <t>=IF(AND($M3790&gt;=$S$16,$M3790&lt;=$S$18),U3790,0)</t>
  </si>
  <si>
    <t>=IF($M3790&lt;=$T$18,U3790,0)</t>
  </si>
  <si>
    <t>="""NAV Direct"",""CRONUS JetCorp USA"",""21"",""1"",""359605"""</t>
  </si>
  <si>
    <t>=E3789</t>
  </si>
  <si>
    <t>=StartDate-$M3791+1</t>
  </si>
  <si>
    <t>=SUM(P3791:T3791)</t>
  </si>
  <si>
    <t>=IF($M3791&gt;=$P$18,U3791,0)</t>
  </si>
  <si>
    <t>=IF(AND($M3791&gt;=$Q$16,$M3791&lt;=$Q$18),U3791,0)</t>
  </si>
  <si>
    <t>=IF(AND($M3791&gt;=$R$16,$M3791&lt;=$R$18),U3791,0)</t>
  </si>
  <si>
    <t>=IF(AND($M3791&gt;=$S$16,$M3791&lt;=$S$18),U3791,0)</t>
  </si>
  <si>
    <t>=IF($M3791&lt;=$T$18,U3791,0)</t>
  </si>
  <si>
    <t>="""NAV Direct"",""CRONUS JetCorp USA"",""21"",""1"",""359785"""</t>
  </si>
  <si>
    <t>=E3790</t>
  </si>
  <si>
    <t>=StartDate-$M3792+1</t>
  </si>
  <si>
    <t>=SUM(P3792:T3792)</t>
  </si>
  <si>
    <t>=IF($M3792&gt;=$P$18,U3792,0)</t>
  </si>
  <si>
    <t>=IF(AND($M3792&gt;=$Q$16,$M3792&lt;=$Q$18),U3792,0)</t>
  </si>
  <si>
    <t>=IF(AND($M3792&gt;=$R$16,$M3792&lt;=$R$18),U3792,0)</t>
  </si>
  <si>
    <t>=IF(AND($M3792&gt;=$S$16,$M3792&lt;=$S$18),U3792,0)</t>
  </si>
  <si>
    <t>=IF($M3792&lt;=$T$18,U3792,0)</t>
  </si>
  <si>
    <t>="""NAV Direct"",""CRONUS JetCorp USA"",""21"",""1"",""360171"""</t>
  </si>
  <si>
    <t>=E3791</t>
  </si>
  <si>
    <t>=StartDate-$M3793+1</t>
  </si>
  <si>
    <t>=SUM(P3793:T3793)</t>
  </si>
  <si>
    <t>=IF($M3793&gt;=$P$18,U3793,0)</t>
  </si>
  <si>
    <t>=IF(AND($M3793&gt;=$Q$16,$M3793&lt;=$Q$18),U3793,0)</t>
  </si>
  <si>
    <t>=IF(AND($M3793&gt;=$R$16,$M3793&lt;=$R$18),U3793,0)</t>
  </si>
  <si>
    <t>=IF(AND($M3793&gt;=$S$16,$M3793&lt;=$S$18),U3793,0)</t>
  </si>
  <si>
    <t>=IF($M3793&lt;=$T$18,U3793,0)</t>
  </si>
  <si>
    <t>="""NAV Direct"",""CRONUS JetCorp USA"",""21"",""1"",""360303"""</t>
  </si>
  <si>
    <t>=E3792</t>
  </si>
  <si>
    <t>=StartDate-$M3794+1</t>
  </si>
  <si>
    <t>=SUM(P3794:T3794)</t>
  </si>
  <si>
    <t>=IF($M3794&gt;=$P$18,U3794,0)</t>
  </si>
  <si>
    <t>=IF(AND($M3794&gt;=$Q$16,$M3794&lt;=$Q$18),U3794,0)</t>
  </si>
  <si>
    <t>=IF(AND($M3794&gt;=$R$16,$M3794&lt;=$R$18),U3794,0)</t>
  </si>
  <si>
    <t>=IF(AND($M3794&gt;=$S$16,$M3794&lt;=$S$18),U3794,0)</t>
  </si>
  <si>
    <t>=IF($M3794&lt;=$T$18,U3794,0)</t>
  </si>
  <si>
    <t>="""NAV Direct"",""CRONUS JetCorp USA"",""21"",""1"",""360359"""</t>
  </si>
  <si>
    <t>=E3793</t>
  </si>
  <si>
    <t>=StartDate-$M3795+1</t>
  </si>
  <si>
    <t>=SUM(P3795:T3795)</t>
  </si>
  <si>
    <t>=IF($M3795&gt;=$P$18,U3795,0)</t>
  </si>
  <si>
    <t>=IF(AND($M3795&gt;=$Q$16,$M3795&lt;=$Q$18),U3795,0)</t>
  </si>
  <si>
    <t>=IF(AND($M3795&gt;=$R$16,$M3795&lt;=$R$18),U3795,0)</t>
  </si>
  <si>
    <t>=IF(AND($M3795&gt;=$S$16,$M3795&lt;=$S$18),U3795,0)</t>
  </si>
  <si>
    <t>=IF($M3795&lt;=$T$18,U3795,0)</t>
  </si>
  <si>
    <t>="""NAV Direct"",""CRONUS JetCorp USA"",""21"",""1"",""360464"""</t>
  </si>
  <si>
    <t>=E3794</t>
  </si>
  <si>
    <t>=StartDate-$M3796+1</t>
  </si>
  <si>
    <t>=SUM(P3796:T3796)</t>
  </si>
  <si>
    <t>=IF($M3796&gt;=$P$18,U3796,0)</t>
  </si>
  <si>
    <t>=IF(AND($M3796&gt;=$Q$16,$M3796&lt;=$Q$18),U3796,0)</t>
  </si>
  <si>
    <t>=IF(AND($M3796&gt;=$R$16,$M3796&lt;=$R$18),U3796,0)</t>
  </si>
  <si>
    <t>=IF(AND($M3796&gt;=$S$16,$M3796&lt;=$S$18),U3796,0)</t>
  </si>
  <si>
    <t>=IF($M3796&lt;=$T$18,U3796,0)</t>
  </si>
  <si>
    <t>="""NAV Direct"",""CRONUS JetCorp USA"",""21"",""1"",""434745"""</t>
  </si>
  <si>
    <t>=E3795</t>
  </si>
  <si>
    <t>=StartDate-$M3797+1</t>
  </si>
  <si>
    <t>=SUM(P3797:T3797)</t>
  </si>
  <si>
    <t>=IF($M3797&gt;=$P$18,U3797,0)</t>
  </si>
  <si>
    <t>=IF(AND($M3797&gt;=$Q$16,$M3797&lt;=$Q$18),U3797,0)</t>
  </si>
  <si>
    <t>=IF(AND($M3797&gt;=$R$16,$M3797&lt;=$R$18),U3797,0)</t>
  </si>
  <si>
    <t>=IF(AND($M3797&gt;=$S$16,$M3797&lt;=$S$18),U3797,0)</t>
  </si>
  <si>
    <t>=IF($M3797&lt;=$T$18,U3797,0)</t>
  </si>
  <si>
    <t>="""NAV Direct"",""CRONUS JetCorp USA"",""21"",""1"",""434855"""</t>
  </si>
  <si>
    <t>=E3796</t>
  </si>
  <si>
    <t>=StartDate-$M3798+1</t>
  </si>
  <si>
    <t>=SUM(P3798:T3798)</t>
  </si>
  <si>
    <t>=IF($M3798&gt;=$P$18,U3798,0)</t>
  </si>
  <si>
    <t>=IF(AND($M3798&gt;=$Q$16,$M3798&lt;=$Q$18),U3798,0)</t>
  </si>
  <si>
    <t>=IF(AND($M3798&gt;=$R$16,$M3798&lt;=$R$18),U3798,0)</t>
  </si>
  <si>
    <t>=IF(AND($M3798&gt;=$S$16,$M3798&lt;=$S$18),U3798,0)</t>
  </si>
  <si>
    <t>=IF($M3798&lt;=$T$18,U3798,0)</t>
  </si>
  <si>
    <t>="""NAV Direct"",""CRONUS JetCorp USA"",""21"",""1"",""434889"""</t>
  </si>
  <si>
    <t>=E3797</t>
  </si>
  <si>
    <t>=StartDate-$M3799+1</t>
  </si>
  <si>
    <t>=SUM(P3799:T3799)</t>
  </si>
  <si>
    <t>=IF($M3799&gt;=$P$18,U3799,0)</t>
  </si>
  <si>
    <t>=IF(AND($M3799&gt;=$Q$16,$M3799&lt;=$Q$18),U3799,0)</t>
  </si>
  <si>
    <t>=IF(AND($M3799&gt;=$R$16,$M3799&lt;=$R$18),U3799,0)</t>
  </si>
  <si>
    <t>=IF(AND($M3799&gt;=$S$16,$M3799&lt;=$S$18),U3799,0)</t>
  </si>
  <si>
    <t>=IF($M3799&lt;=$T$18,U3799,0)</t>
  </si>
  <si>
    <t>="""NAV Direct"",""CRONUS JetCorp USA"",""21"",""1"",""435325"""</t>
  </si>
  <si>
    <t>=E3798</t>
  </si>
  <si>
    <t>=StartDate-$M3800+1</t>
  </si>
  <si>
    <t>=SUM(P3800:T3800)</t>
  </si>
  <si>
    <t>=IF($M3800&gt;=$P$18,U3800,0)</t>
  </si>
  <si>
    <t>=IF(AND($M3800&gt;=$Q$16,$M3800&lt;=$Q$18),U3800,0)</t>
  </si>
  <si>
    <t>=IF(AND($M3800&gt;=$R$16,$M3800&lt;=$R$18),U3800,0)</t>
  </si>
  <si>
    <t>=IF(AND($M3800&gt;=$S$16,$M3800&lt;=$S$18),U3800,0)</t>
  </si>
  <si>
    <t>=IF($M3800&lt;=$T$18,U3800,0)</t>
  </si>
  <si>
    <t>="""NAV Direct"",""CRONUS JetCorp USA"",""21"",""1"",""435643"""</t>
  </si>
  <si>
    <t>=E3799</t>
  </si>
  <si>
    <t>=StartDate-$M3801+1</t>
  </si>
  <si>
    <t>=SUM(P3801:T3801)</t>
  </si>
  <si>
    <t>=IF($M3801&gt;=$P$18,U3801,0)</t>
  </si>
  <si>
    <t>=IF(AND($M3801&gt;=$Q$16,$M3801&lt;=$Q$18),U3801,0)</t>
  </si>
  <si>
    <t>=IF(AND($M3801&gt;=$R$16,$M3801&lt;=$R$18),U3801,0)</t>
  </si>
  <si>
    <t>=IF(AND($M3801&gt;=$S$16,$M3801&lt;=$S$18),U3801,0)</t>
  </si>
  <si>
    <t>=IF($M3801&lt;=$T$18,U3801,0)</t>
  </si>
  <si>
    <t>="""NAV Direct"",""CRONUS JetCorp USA"",""21"",""1"",""435669"""</t>
  </si>
  <si>
    <t>=E3800</t>
  </si>
  <si>
    <t>=StartDate-$M3802+1</t>
  </si>
  <si>
    <t>=SUM(P3802:T3802)</t>
  </si>
  <si>
    <t>=IF($M3802&gt;=$P$18,U3802,0)</t>
  </si>
  <si>
    <t>=IF(AND($M3802&gt;=$Q$16,$M3802&lt;=$Q$18),U3802,0)</t>
  </si>
  <si>
    <t>=IF(AND($M3802&gt;=$R$16,$M3802&lt;=$R$18),U3802,0)</t>
  </si>
  <si>
    <t>=IF(AND($M3802&gt;=$S$16,$M3802&lt;=$S$18),U3802,0)</t>
  </si>
  <si>
    <t>=IF($M3802&lt;=$T$18,U3802,0)</t>
  </si>
  <si>
    <t>="""NAV Direct"",""CRONUS JetCorp USA"",""18"",""1"",""C100107"""</t>
  </si>
  <si>
    <t>=H3805</t>
  </si>
  <si>
    <t>=NF($C3805,"1 No.")</t>
  </si>
  <si>
    <t>=NF($C3805,"1 No.")&amp;"  -  "&amp;NF($C3805,"2 Name")</t>
  </si>
  <si>
    <t>=IFERROR(O3805/NF(C3805,"Credit Limit (LCY)"),"")</t>
  </si>
  <si>
    <t>=SUBTOTAL(3,L3806:L3835)</t>
  </si>
  <si>
    <t>=SUBTOTAL(9,O3806:O3835)</t>
  </si>
  <si>
    <t>=SUBTOTAL(9,P3806:P3835)</t>
  </si>
  <si>
    <t>=SUBTOTAL(9,Q3806:Q3835)</t>
  </si>
  <si>
    <t>=SUBTOTAL(9,R3806:R3835)</t>
  </si>
  <si>
    <t>=SUBTOTAL(9,S3806:S3835)</t>
  </si>
  <si>
    <t>=SUBTOTAL(9,T3806:T3835)</t>
  </si>
  <si>
    <t>=C3805</t>
  </si>
  <si>
    <t>=E3805</t>
  </si>
  <si>
    <t>="Contact: "&amp;NF($C3806,"8 Contact")</t>
  </si>
  <si>
    <t>=C3806</t>
  </si>
  <si>
    <t>=E3806</t>
  </si>
  <si>
    <t>=NF($C3807,"102 E-Mail")</t>
  </si>
  <si>
    <t>=NL("Rows","21 Cust. Ledger Entry",,"3 Customer No.","@@"&amp;$E3809,"16 Remaining Amt. (LCY)","&lt;&gt;0")</t>
  </si>
  <si>
    <t>=E3807</t>
  </si>
  <si>
    <t>=StartDate-$M3809+1</t>
  </si>
  <si>
    <t>=SUM(P3809:T3809)</t>
  </si>
  <si>
    <t>=IF($M3809&gt;=$P$18,U3809,0)</t>
  </si>
  <si>
    <t>=IF(AND($M3809&gt;=$Q$16,$M3809&lt;=$Q$18),U3809,0)</t>
  </si>
  <si>
    <t>=IF(AND($M3809&gt;=$R$16,$M3809&lt;=$R$18),U3809,0)</t>
  </si>
  <si>
    <t>=IF(AND($M3809&gt;=$S$16,$M3809&lt;=$S$18),U3809,0)</t>
  </si>
  <si>
    <t>=IF($M3809&lt;=$T$18,U3809,0)</t>
  </si>
  <si>
    <t>="""NAV Direct"",""CRONUS JetCorp USA"",""21"",""1"",""190487"""</t>
  </si>
  <si>
    <t>=E3808</t>
  </si>
  <si>
    <t>=StartDate-$M3810+1</t>
  </si>
  <si>
    <t>=SUM(P3810:T3810)</t>
  </si>
  <si>
    <t>=IF($M3810&gt;=$P$18,U3810,0)</t>
  </si>
  <si>
    <t>=IF(AND($M3810&gt;=$Q$16,$M3810&lt;=$Q$18),U3810,0)</t>
  </si>
  <si>
    <t>=IF(AND($M3810&gt;=$R$16,$M3810&lt;=$R$18),U3810,0)</t>
  </si>
  <si>
    <t>=IF(AND($M3810&gt;=$S$16,$M3810&lt;=$S$18),U3810,0)</t>
  </si>
  <si>
    <t>=IF($M3810&lt;=$T$18,U3810,0)</t>
  </si>
  <si>
    <t>="""NAV Direct"",""CRONUS JetCorp USA"",""21"",""1"",""190546"""</t>
  </si>
  <si>
    <t>=E3809</t>
  </si>
  <si>
    <t>=StartDate-$M3811+1</t>
  </si>
  <si>
    <t>=SUM(P3811:T3811)</t>
  </si>
  <si>
    <t>=IF($M3811&gt;=$P$18,U3811,0)</t>
  </si>
  <si>
    <t>=IF(AND($M3811&gt;=$Q$16,$M3811&lt;=$Q$18),U3811,0)</t>
  </si>
  <si>
    <t>=IF(AND($M3811&gt;=$R$16,$M3811&lt;=$R$18),U3811,0)</t>
  </si>
  <si>
    <t>=IF(AND($M3811&gt;=$S$16,$M3811&lt;=$S$18),U3811,0)</t>
  </si>
  <si>
    <t>=IF($M3811&lt;=$T$18,U3811,0)</t>
  </si>
  <si>
    <t>="""NAV Direct"",""CRONUS JetCorp USA"",""21"",""1"",""190650"""</t>
  </si>
  <si>
    <t>=E3810</t>
  </si>
  <si>
    <t>=StartDate-$M3812+1</t>
  </si>
  <si>
    <t>=SUM(P3812:T3812)</t>
  </si>
  <si>
    <t>=IF($M3812&gt;=$P$18,U3812,0)</t>
  </si>
  <si>
    <t>=IF(AND($M3812&gt;=$Q$16,$M3812&lt;=$Q$18),U3812,0)</t>
  </si>
  <si>
    <t>=IF(AND($M3812&gt;=$R$16,$M3812&lt;=$R$18),U3812,0)</t>
  </si>
  <si>
    <t>=IF(AND($M3812&gt;=$S$16,$M3812&lt;=$S$18),U3812,0)</t>
  </si>
  <si>
    <t>=IF($M3812&lt;=$T$18,U3812,0)</t>
  </si>
  <si>
    <t>="""NAV Direct"",""CRONUS JetCorp USA"",""21"",""1"",""190815"""</t>
  </si>
  <si>
    <t>=E3811</t>
  </si>
  <si>
    <t>=StartDate-$M3813+1</t>
  </si>
  <si>
    <t>=SUM(P3813:T3813)</t>
  </si>
  <si>
    <t>=IF($M3813&gt;=$P$18,U3813,0)</t>
  </si>
  <si>
    <t>=IF(AND($M3813&gt;=$Q$16,$M3813&lt;=$Q$18),U3813,0)</t>
  </si>
  <si>
    <t>=IF(AND($M3813&gt;=$R$16,$M3813&lt;=$R$18),U3813,0)</t>
  </si>
  <si>
    <t>=IF(AND($M3813&gt;=$S$16,$M3813&lt;=$S$18),U3813,0)</t>
  </si>
  <si>
    <t>=IF($M3813&lt;=$T$18,U3813,0)</t>
  </si>
  <si>
    <t>="""NAV Direct"",""CRONUS JetCorp USA"",""21"",""1"",""190858"""</t>
  </si>
  <si>
    <t>=E3812</t>
  </si>
  <si>
    <t>=StartDate-$M3814+1</t>
  </si>
  <si>
    <t>=SUM(P3814:T3814)</t>
  </si>
  <si>
    <t>=IF($M3814&gt;=$P$18,U3814,0)</t>
  </si>
  <si>
    <t>=IF(AND($M3814&gt;=$Q$16,$M3814&lt;=$Q$18),U3814,0)</t>
  </si>
  <si>
    <t>=IF(AND($M3814&gt;=$R$16,$M3814&lt;=$R$18),U3814,0)</t>
  </si>
  <si>
    <t>=IF(AND($M3814&gt;=$S$16,$M3814&lt;=$S$18),U3814,0)</t>
  </si>
  <si>
    <t>=IF($M3814&lt;=$T$18,U3814,0)</t>
  </si>
  <si>
    <t>="""NAV Direct"",""CRONUS JetCorp USA"",""21"",""1"",""191023"""</t>
  </si>
  <si>
    <t>=E3813</t>
  </si>
  <si>
    <t>=StartDate-$M3815+1</t>
  </si>
  <si>
    <t>=SUM(P3815:T3815)</t>
  </si>
  <si>
    <t>=IF($M3815&gt;=$P$18,U3815,0)</t>
  </si>
  <si>
    <t>=IF(AND($M3815&gt;=$Q$16,$M3815&lt;=$Q$18),U3815,0)</t>
  </si>
  <si>
    <t>=IF(AND($M3815&gt;=$R$16,$M3815&lt;=$R$18),U3815,0)</t>
  </si>
  <si>
    <t>=IF(AND($M3815&gt;=$S$16,$M3815&lt;=$S$18),U3815,0)</t>
  </si>
  <si>
    <t>=IF($M3815&lt;=$T$18,U3815,0)</t>
  </si>
  <si>
    <t>="""NAV Direct"",""CRONUS JetCorp USA"",""21"",""1"",""191534"""</t>
  </si>
  <si>
    <t>=E3814</t>
  </si>
  <si>
    <t>=StartDate-$M3816+1</t>
  </si>
  <si>
    <t>=SUM(P3816:T3816)</t>
  </si>
  <si>
    <t>=IF($M3816&gt;=$P$18,U3816,0)</t>
  </si>
  <si>
    <t>=IF(AND($M3816&gt;=$Q$16,$M3816&lt;=$Q$18),U3816,0)</t>
  </si>
  <si>
    <t>=IF(AND($M3816&gt;=$R$16,$M3816&lt;=$R$18),U3816,0)</t>
  </si>
  <si>
    <t>=IF(AND($M3816&gt;=$S$16,$M3816&lt;=$S$18),U3816,0)</t>
  </si>
  <si>
    <t>=IF($M3816&lt;=$T$18,U3816,0)</t>
  </si>
  <si>
    <t>="""NAV Direct"",""CRONUS JetCorp USA"",""21"",""1"",""191705"""</t>
  </si>
  <si>
    <t>=E3815</t>
  </si>
  <si>
    <t>=StartDate-$M3817+1</t>
  </si>
  <si>
    <t>=SUM(P3817:T3817)</t>
  </si>
  <si>
    <t>=IF($M3817&gt;=$P$18,U3817,0)</t>
  </si>
  <si>
    <t>=IF(AND($M3817&gt;=$Q$16,$M3817&lt;=$Q$18),U3817,0)</t>
  </si>
  <si>
    <t>=IF(AND($M3817&gt;=$R$16,$M3817&lt;=$R$18),U3817,0)</t>
  </si>
  <si>
    <t>=IF(AND($M3817&gt;=$S$16,$M3817&lt;=$S$18),U3817,0)</t>
  </si>
  <si>
    <t>=IF($M3817&lt;=$T$18,U3817,0)</t>
  </si>
  <si>
    <t>="""NAV Direct"",""CRONUS JetCorp USA"",""21"",""1"",""191766"""</t>
  </si>
  <si>
    <t>=E3816</t>
  </si>
  <si>
    <t>=StartDate-$M3818+1</t>
  </si>
  <si>
    <t>=SUM(P3818:T3818)</t>
  </si>
  <si>
    <t>=IF($M3818&gt;=$P$18,U3818,0)</t>
  </si>
  <si>
    <t>=IF(AND($M3818&gt;=$Q$16,$M3818&lt;=$Q$18),U3818,0)</t>
  </si>
  <si>
    <t>=IF(AND($M3818&gt;=$R$16,$M3818&lt;=$R$18),U3818,0)</t>
  </si>
  <si>
    <t>=IF(AND($M3818&gt;=$S$16,$M3818&lt;=$S$18),U3818,0)</t>
  </si>
  <si>
    <t>=IF($M3818&lt;=$T$18,U3818,0)</t>
  </si>
  <si>
    <t>="""NAV Direct"",""CRONUS JetCorp USA"",""21"",""1"",""192404"""</t>
  </si>
  <si>
    <t>=E3817</t>
  </si>
  <si>
    <t>=StartDate-$M3819+1</t>
  </si>
  <si>
    <t>=SUM(P3819:T3819)</t>
  </si>
  <si>
    <t>=IF($M3819&gt;=$P$18,U3819,0)</t>
  </si>
  <si>
    <t>=IF(AND($M3819&gt;=$Q$16,$M3819&lt;=$Q$18),U3819,0)</t>
  </si>
  <si>
    <t>=IF(AND($M3819&gt;=$R$16,$M3819&lt;=$R$18),U3819,0)</t>
  </si>
  <si>
    <t>=IF(AND($M3819&gt;=$S$16,$M3819&lt;=$S$18),U3819,0)</t>
  </si>
  <si>
    <t>=IF($M3819&lt;=$T$18,U3819,0)</t>
  </si>
  <si>
    <t>="""NAV Direct"",""CRONUS JetCorp USA"",""21"",""1"",""192522"""</t>
  </si>
  <si>
    <t>=E3818</t>
  </si>
  <si>
    <t>=StartDate-$M3820+1</t>
  </si>
  <si>
    <t>=SUM(P3820:T3820)</t>
  </si>
  <si>
    <t>=IF($M3820&gt;=$P$18,U3820,0)</t>
  </si>
  <si>
    <t>=IF(AND($M3820&gt;=$Q$16,$M3820&lt;=$Q$18),U3820,0)</t>
  </si>
  <si>
    <t>=IF(AND($M3820&gt;=$R$16,$M3820&lt;=$R$18),U3820,0)</t>
  </si>
  <si>
    <t>=IF(AND($M3820&gt;=$S$16,$M3820&lt;=$S$18),U3820,0)</t>
  </si>
  <si>
    <t>=IF($M3820&lt;=$T$18,U3820,0)</t>
  </si>
  <si>
    <t>="""NAV Direct"",""CRONUS JetCorp USA"",""21"",""1"",""192587"""</t>
  </si>
  <si>
    <t>=E3819</t>
  </si>
  <si>
    <t>=StartDate-$M3821+1</t>
  </si>
  <si>
    <t>=SUM(P3821:T3821)</t>
  </si>
  <si>
    <t>=IF($M3821&gt;=$P$18,U3821,0)</t>
  </si>
  <si>
    <t>=IF(AND($M3821&gt;=$Q$16,$M3821&lt;=$Q$18),U3821,0)</t>
  </si>
  <si>
    <t>=IF(AND($M3821&gt;=$R$16,$M3821&lt;=$R$18),U3821,0)</t>
  </si>
  <si>
    <t>=IF(AND($M3821&gt;=$S$16,$M3821&lt;=$S$18),U3821,0)</t>
  </si>
  <si>
    <t>=IF($M3821&lt;=$T$18,U3821,0)</t>
  </si>
  <si>
    <t>="""NAV Direct"",""CRONUS JetCorp USA"",""21"",""1"",""192880"""</t>
  </si>
  <si>
    <t>=E3820</t>
  </si>
  <si>
    <t>=StartDate-$M3822+1</t>
  </si>
  <si>
    <t>=SUM(P3822:T3822)</t>
  </si>
  <si>
    <t>=IF($M3822&gt;=$P$18,U3822,0)</t>
  </si>
  <si>
    <t>=IF(AND($M3822&gt;=$Q$16,$M3822&lt;=$Q$18),U3822,0)</t>
  </si>
  <si>
    <t>=IF(AND($M3822&gt;=$R$16,$M3822&lt;=$R$18),U3822,0)</t>
  </si>
  <si>
    <t>=IF(AND($M3822&gt;=$S$16,$M3822&lt;=$S$18),U3822,0)</t>
  </si>
  <si>
    <t>=IF($M3822&lt;=$T$18,U3822,0)</t>
  </si>
  <si>
    <t>="""NAV Direct"",""CRONUS JetCorp USA"",""21"",""1"",""192994"""</t>
  </si>
  <si>
    <t>=E3821</t>
  </si>
  <si>
    <t>=StartDate-$M3823+1</t>
  </si>
  <si>
    <t>=SUM(P3823:T3823)</t>
  </si>
  <si>
    <t>=IF($M3823&gt;=$P$18,U3823,0)</t>
  </si>
  <si>
    <t>=IF(AND($M3823&gt;=$Q$16,$M3823&lt;=$Q$18),U3823,0)</t>
  </si>
  <si>
    <t>=IF(AND($M3823&gt;=$R$16,$M3823&lt;=$R$18),U3823,0)</t>
  </si>
  <si>
    <t>=IF(AND($M3823&gt;=$S$16,$M3823&lt;=$S$18),U3823,0)</t>
  </si>
  <si>
    <t>=IF($M3823&lt;=$T$18,U3823,0)</t>
  </si>
  <si>
    <t>="""NAV Direct"",""CRONUS JetCorp USA"",""21"",""1"",""193226"""</t>
  </si>
  <si>
    <t>=E3822</t>
  </si>
  <si>
    <t>=StartDate-$M3824+1</t>
  </si>
  <si>
    <t>=SUM(P3824:T3824)</t>
  </si>
  <si>
    <t>=IF($M3824&gt;=$P$18,U3824,0)</t>
  </si>
  <si>
    <t>=IF(AND($M3824&gt;=$Q$16,$M3824&lt;=$Q$18),U3824,0)</t>
  </si>
  <si>
    <t>=IF(AND($M3824&gt;=$R$16,$M3824&lt;=$R$18),U3824,0)</t>
  </si>
  <si>
    <t>=IF(AND($M3824&gt;=$S$16,$M3824&lt;=$S$18),U3824,0)</t>
  </si>
  <si>
    <t>=IF($M3824&lt;=$T$18,U3824,0)</t>
  </si>
  <si>
    <t>="""NAV Direct"",""CRONUS JetCorp USA"",""21"",""1"",""193285"""</t>
  </si>
  <si>
    <t>=E3823</t>
  </si>
  <si>
    <t>=StartDate-$M3825+1</t>
  </si>
  <si>
    <t>=SUM(P3825:T3825)</t>
  </si>
  <si>
    <t>=IF($M3825&gt;=$P$18,U3825,0)</t>
  </si>
  <si>
    <t>=IF(AND($M3825&gt;=$Q$16,$M3825&lt;=$Q$18),U3825,0)</t>
  </si>
  <si>
    <t>=IF(AND($M3825&gt;=$R$16,$M3825&lt;=$R$18),U3825,0)</t>
  </si>
  <si>
    <t>=IF(AND($M3825&gt;=$S$16,$M3825&lt;=$S$18),U3825,0)</t>
  </si>
  <si>
    <t>=IF($M3825&lt;=$T$18,U3825,0)</t>
  </si>
  <si>
    <t>="""NAV Direct"",""CRONUS JetCorp USA"",""21"",""1"",""443658"""</t>
  </si>
  <si>
    <t>=E3824</t>
  </si>
  <si>
    <t>=StartDate-$M3826+1</t>
  </si>
  <si>
    <t>=SUM(P3826:T3826)</t>
  </si>
  <si>
    <t>=IF($M3826&gt;=$P$18,U3826,0)</t>
  </si>
  <si>
    <t>=IF(AND($M3826&gt;=$Q$16,$M3826&lt;=$Q$18),U3826,0)</t>
  </si>
  <si>
    <t>=IF(AND($M3826&gt;=$R$16,$M3826&lt;=$R$18),U3826,0)</t>
  </si>
  <si>
    <t>=IF(AND($M3826&gt;=$S$16,$M3826&lt;=$S$18),U3826,0)</t>
  </si>
  <si>
    <t>=IF($M3826&lt;=$T$18,U3826,0)</t>
  </si>
  <si>
    <t>="""NAV Direct"",""CRONUS JetCorp USA"",""21"",""1"",""443688"""</t>
  </si>
  <si>
    <t>=E3825</t>
  </si>
  <si>
    <t>=StartDate-$M3827+1</t>
  </si>
  <si>
    <t>=SUM(P3827:T3827)</t>
  </si>
  <si>
    <t>=IF($M3827&gt;=$P$18,U3827,0)</t>
  </si>
  <si>
    <t>=IF(AND($M3827&gt;=$Q$16,$M3827&lt;=$Q$18),U3827,0)</t>
  </si>
  <si>
    <t>=IF(AND($M3827&gt;=$R$16,$M3827&lt;=$R$18),U3827,0)</t>
  </si>
  <si>
    <t>=IF(AND($M3827&gt;=$S$16,$M3827&lt;=$S$18),U3827,0)</t>
  </si>
  <si>
    <t>=IF($M3827&lt;=$T$18,U3827,0)</t>
  </si>
  <si>
    <t>="""NAV Direct"",""CRONUS JetCorp USA"",""21"",""1"",""443705"""</t>
  </si>
  <si>
    <t>=E3826</t>
  </si>
  <si>
    <t>=StartDate-$M3828+1</t>
  </si>
  <si>
    <t>=SUM(P3828:T3828)</t>
  </si>
  <si>
    <t>=IF($M3828&gt;=$P$18,U3828,0)</t>
  </si>
  <si>
    <t>=IF(AND($M3828&gt;=$Q$16,$M3828&lt;=$Q$18),U3828,0)</t>
  </si>
  <si>
    <t>=IF(AND($M3828&gt;=$R$16,$M3828&lt;=$R$18),U3828,0)</t>
  </si>
  <si>
    <t>=IF(AND($M3828&gt;=$S$16,$M3828&lt;=$S$18),U3828,0)</t>
  </si>
  <si>
    <t>=IF($M3828&lt;=$T$18,U3828,0)</t>
  </si>
  <si>
    <t>="""NAV Direct"",""CRONUS JetCorp USA"",""21"",""1"",""443724"""</t>
  </si>
  <si>
    <t>=E3827</t>
  </si>
  <si>
    <t>=StartDate-$M3829+1</t>
  </si>
  <si>
    <t>=SUM(P3829:T3829)</t>
  </si>
  <si>
    <t>=IF($M3829&gt;=$P$18,U3829,0)</t>
  </si>
  <si>
    <t>=IF(AND($M3829&gt;=$Q$16,$M3829&lt;=$Q$18),U3829,0)</t>
  </si>
  <si>
    <t>=IF(AND($M3829&gt;=$R$16,$M3829&lt;=$R$18),U3829,0)</t>
  </si>
  <si>
    <t>=IF(AND($M3829&gt;=$S$16,$M3829&lt;=$S$18),U3829,0)</t>
  </si>
  <si>
    <t>=IF($M3829&lt;=$T$18,U3829,0)</t>
  </si>
  <si>
    <t>="""NAV Direct"",""CRONUS JetCorp USA"",""21"",""1"",""443777"""</t>
  </si>
  <si>
    <t>=E3828</t>
  </si>
  <si>
    <t>=StartDate-$M3830+1</t>
  </si>
  <si>
    <t>=SUM(P3830:T3830)</t>
  </si>
  <si>
    <t>=IF($M3830&gt;=$P$18,U3830,0)</t>
  </si>
  <si>
    <t>=IF(AND($M3830&gt;=$Q$16,$M3830&lt;=$Q$18),U3830,0)</t>
  </si>
  <si>
    <t>=IF(AND($M3830&gt;=$R$16,$M3830&lt;=$R$18),U3830,0)</t>
  </si>
  <si>
    <t>=IF(AND($M3830&gt;=$S$16,$M3830&lt;=$S$18),U3830,0)</t>
  </si>
  <si>
    <t>=IF($M3830&lt;=$T$18,U3830,0)</t>
  </si>
  <si>
    <t>="""NAV Direct"",""CRONUS JetCorp USA"",""21"",""1"",""443802"""</t>
  </si>
  <si>
    <t>=E3829</t>
  </si>
  <si>
    <t>=StartDate-$M3831+1</t>
  </si>
  <si>
    <t>=SUM(P3831:T3831)</t>
  </si>
  <si>
    <t>=IF($M3831&gt;=$P$18,U3831,0)</t>
  </si>
  <si>
    <t>=IF(AND($M3831&gt;=$Q$16,$M3831&lt;=$Q$18),U3831,0)</t>
  </si>
  <si>
    <t>=IF(AND($M3831&gt;=$R$16,$M3831&lt;=$R$18),U3831,0)</t>
  </si>
  <si>
    <t>=IF(AND($M3831&gt;=$S$16,$M3831&lt;=$S$18),U3831,0)</t>
  </si>
  <si>
    <t>=IF($M3831&lt;=$T$18,U3831,0)</t>
  </si>
  <si>
    <t>="""NAV Direct"",""CRONUS JetCorp USA"",""21"",""1"",""443819"""</t>
  </si>
  <si>
    <t>=E3830</t>
  </si>
  <si>
    <t>=StartDate-$M3832+1</t>
  </si>
  <si>
    <t>=SUM(P3832:T3832)</t>
  </si>
  <si>
    <t>=IF($M3832&gt;=$P$18,U3832,0)</t>
  </si>
  <si>
    <t>=IF(AND($M3832&gt;=$Q$16,$M3832&lt;=$Q$18),U3832,0)</t>
  </si>
  <si>
    <t>=IF(AND($M3832&gt;=$R$16,$M3832&lt;=$R$18),U3832,0)</t>
  </si>
  <si>
    <t>=IF(AND($M3832&gt;=$S$16,$M3832&lt;=$S$18),U3832,0)</t>
  </si>
  <si>
    <t>=IF($M3832&lt;=$T$18,U3832,0)</t>
  </si>
  <si>
    <t>="""NAV Direct"",""CRONUS JetCorp USA"",""21"",""1"",""443949"""</t>
  </si>
  <si>
    <t>=E3831</t>
  </si>
  <si>
    <t>=StartDate-$M3833+1</t>
  </si>
  <si>
    <t>=SUM(P3833:T3833)</t>
  </si>
  <si>
    <t>=IF($M3833&gt;=$P$18,U3833,0)</t>
  </si>
  <si>
    <t>=IF(AND($M3833&gt;=$Q$16,$M3833&lt;=$Q$18),U3833,0)</t>
  </si>
  <si>
    <t>=IF(AND($M3833&gt;=$R$16,$M3833&lt;=$R$18),U3833,0)</t>
  </si>
  <si>
    <t>=IF(AND($M3833&gt;=$S$16,$M3833&lt;=$S$18),U3833,0)</t>
  </si>
  <si>
    <t>=IF($M3833&lt;=$T$18,U3833,0)</t>
  </si>
  <si>
    <t>="""NAV Direct"",""CRONUS JetCorp USA"",""21"",""1"",""443990"""</t>
  </si>
  <si>
    <t>=E3832</t>
  </si>
  <si>
    <t>=StartDate-$M3834+1</t>
  </si>
  <si>
    <t>=SUM(P3834:T3834)</t>
  </si>
  <si>
    <t>=IF($M3834&gt;=$P$18,U3834,0)</t>
  </si>
  <si>
    <t>=IF(AND($M3834&gt;=$Q$16,$M3834&lt;=$Q$18),U3834,0)</t>
  </si>
  <si>
    <t>=IF(AND($M3834&gt;=$R$16,$M3834&lt;=$R$18),U3834,0)</t>
  </si>
  <si>
    <t>=IF(AND($M3834&gt;=$S$16,$M3834&lt;=$S$18),U3834,0)</t>
  </si>
  <si>
    <t>=IF($M3834&lt;=$T$18,U3834,0)</t>
  </si>
  <si>
    <t>="""NAV Direct"",""CRONUS JetCorp USA"",""18"",""1"",""C100108"""</t>
  </si>
  <si>
    <t>=H3837</t>
  </si>
  <si>
    <t>=NF($C3837,"1 No.")</t>
  </si>
  <si>
    <t>=NF($C3837,"1 No.")&amp;"  -  "&amp;NF($C3837,"2 Name")</t>
  </si>
  <si>
    <t>=IFERROR(O3837/NF(C3837,"Credit Limit (LCY)"),"")</t>
  </si>
  <si>
    <t>=SUBTOTAL(3,L3838:L3900)</t>
  </si>
  <si>
    <t>=SUBTOTAL(9,O3838:O3900)</t>
  </si>
  <si>
    <t>=SUBTOTAL(9,P3838:P3900)</t>
  </si>
  <si>
    <t>=SUBTOTAL(9,Q3838:Q3900)</t>
  </si>
  <si>
    <t>=SUBTOTAL(9,R3838:R3900)</t>
  </si>
  <si>
    <t>=SUBTOTAL(9,S3838:S3900)</t>
  </si>
  <si>
    <t>=SUBTOTAL(9,T3838:T3900)</t>
  </si>
  <si>
    <t>=C3837</t>
  </si>
  <si>
    <t>=E3837</t>
  </si>
  <si>
    <t>="Contact: "&amp;NF($C3838,"8 Contact")</t>
  </si>
  <si>
    <t>=C3838</t>
  </si>
  <si>
    <t>=E3838</t>
  </si>
  <si>
    <t>=NF($C3839,"102 E-Mail")</t>
  </si>
  <si>
    <t>=NL("Rows","21 Cust. Ledger Entry",,"3 Customer No.","@@"&amp;$E3841,"16 Remaining Amt. (LCY)","&lt;&gt;0")</t>
  </si>
  <si>
    <t>=E3839</t>
  </si>
  <si>
    <t>=StartDate-$M3841+1</t>
  </si>
  <si>
    <t>=SUM(P3841:T3841)</t>
  </si>
  <si>
    <t>=IF($M3841&gt;=$P$18,U3841,0)</t>
  </si>
  <si>
    <t>=IF(AND($M3841&gt;=$Q$16,$M3841&lt;=$Q$18),U3841,0)</t>
  </si>
  <si>
    <t>=IF(AND($M3841&gt;=$R$16,$M3841&lt;=$R$18),U3841,0)</t>
  </si>
  <si>
    <t>=IF(AND($M3841&gt;=$S$16,$M3841&lt;=$S$18),U3841,0)</t>
  </si>
  <si>
    <t>=IF($M3841&lt;=$T$18,U3841,0)</t>
  </si>
  <si>
    <t>="""NAV Direct"",""CRONUS JetCorp USA"",""21"",""1"",""415059"""</t>
  </si>
  <si>
    <t>=E3840</t>
  </si>
  <si>
    <t>=StartDate-$M3842+1</t>
  </si>
  <si>
    <t>=SUM(P3842:T3842)</t>
  </si>
  <si>
    <t>=IF($M3842&gt;=$P$18,U3842,0)</t>
  </si>
  <si>
    <t>=IF(AND($M3842&gt;=$Q$16,$M3842&lt;=$Q$18),U3842,0)</t>
  </si>
  <si>
    <t>=IF(AND($M3842&gt;=$R$16,$M3842&lt;=$R$18),U3842,0)</t>
  </si>
  <si>
    <t>=IF(AND($M3842&gt;=$S$16,$M3842&lt;=$S$18),U3842,0)</t>
  </si>
  <si>
    <t>=IF($M3842&lt;=$T$18,U3842,0)</t>
  </si>
  <si>
    <t>="""NAV Direct"",""CRONUS JetCorp USA"",""21"",""1"",""415215"""</t>
  </si>
  <si>
    <t>=E3841</t>
  </si>
  <si>
    <t>=StartDate-$M3843+1</t>
  </si>
  <si>
    <t>=SUM(P3843:T3843)</t>
  </si>
  <si>
    <t>=IF($M3843&gt;=$P$18,U3843,0)</t>
  </si>
  <si>
    <t>=IF(AND($M3843&gt;=$Q$16,$M3843&lt;=$Q$18),U3843,0)</t>
  </si>
  <si>
    <t>=IF(AND($M3843&gt;=$R$16,$M3843&lt;=$R$18),U3843,0)</t>
  </si>
  <si>
    <t>=IF(AND($M3843&gt;=$S$16,$M3843&lt;=$S$18),U3843,0)</t>
  </si>
  <si>
    <t>=IF($M3843&lt;=$T$18,U3843,0)</t>
  </si>
  <si>
    <t>="""NAV Direct"",""CRONUS JetCorp USA"",""21"",""1"",""415293"""</t>
  </si>
  <si>
    <t>=E3842</t>
  </si>
  <si>
    <t>=StartDate-$M3844+1</t>
  </si>
  <si>
    <t>=SUM(P3844:T3844)</t>
  </si>
  <si>
    <t>=IF($M3844&gt;=$P$18,U3844,0)</t>
  </si>
  <si>
    <t>=IF(AND($M3844&gt;=$Q$16,$M3844&lt;=$Q$18),U3844,0)</t>
  </si>
  <si>
    <t>=IF(AND($M3844&gt;=$R$16,$M3844&lt;=$R$18),U3844,0)</t>
  </si>
  <si>
    <t>=IF(AND($M3844&gt;=$S$16,$M3844&lt;=$S$18),U3844,0)</t>
  </si>
  <si>
    <t>=IF($M3844&lt;=$T$18,U3844,0)</t>
  </si>
  <si>
    <t>="""NAV Direct"",""CRONUS JetCorp USA"",""21"",""1"",""415945"""</t>
  </si>
  <si>
    <t>=E3843</t>
  </si>
  <si>
    <t>=StartDate-$M3845+1</t>
  </si>
  <si>
    <t>=SUM(P3845:T3845)</t>
  </si>
  <si>
    <t>=IF($M3845&gt;=$P$18,U3845,0)</t>
  </si>
  <si>
    <t>=IF(AND($M3845&gt;=$Q$16,$M3845&lt;=$Q$18),U3845,0)</t>
  </si>
  <si>
    <t>=IF(AND($M3845&gt;=$R$16,$M3845&lt;=$R$18),U3845,0)</t>
  </si>
  <si>
    <t>=IF(AND($M3845&gt;=$S$16,$M3845&lt;=$S$18),U3845,0)</t>
  </si>
  <si>
    <t>=IF($M3845&lt;=$T$18,U3845,0)</t>
  </si>
  <si>
    <t>="""NAV Direct"",""CRONUS JetCorp USA"",""21"",""1"",""416031"""</t>
  </si>
  <si>
    <t>=E3844</t>
  </si>
  <si>
    <t>=StartDate-$M3846+1</t>
  </si>
  <si>
    <t>=SUM(P3846:T3846)</t>
  </si>
  <si>
    <t>=IF($M3846&gt;=$P$18,U3846,0)</t>
  </si>
  <si>
    <t>=IF(AND($M3846&gt;=$Q$16,$M3846&lt;=$Q$18),U3846,0)</t>
  </si>
  <si>
    <t>=IF(AND($M3846&gt;=$R$16,$M3846&lt;=$R$18),U3846,0)</t>
  </si>
  <si>
    <t>=IF(AND($M3846&gt;=$S$16,$M3846&lt;=$S$18),U3846,0)</t>
  </si>
  <si>
    <t>=IF($M3846&lt;=$T$18,U3846,0)</t>
  </si>
  <si>
    <t>="""NAV Direct"",""CRONUS JetCorp USA"",""21"",""1"",""416201"""</t>
  </si>
  <si>
    <t>=E3845</t>
  </si>
  <si>
    <t>=StartDate-$M3847+1</t>
  </si>
  <si>
    <t>=SUM(P3847:T3847)</t>
  </si>
  <si>
    <t>=IF($M3847&gt;=$P$18,U3847,0)</t>
  </si>
  <si>
    <t>=IF(AND($M3847&gt;=$Q$16,$M3847&lt;=$Q$18),U3847,0)</t>
  </si>
  <si>
    <t>=IF(AND($M3847&gt;=$R$16,$M3847&lt;=$R$18),U3847,0)</t>
  </si>
  <si>
    <t>=IF(AND($M3847&gt;=$S$16,$M3847&lt;=$S$18),U3847,0)</t>
  </si>
  <si>
    <t>=IF($M3847&lt;=$T$18,U3847,0)</t>
  </si>
  <si>
    <t>="""NAV Direct"",""CRONUS JetCorp USA"",""21"",""1"",""416236"""</t>
  </si>
  <si>
    <t>=E3846</t>
  </si>
  <si>
    <t>=StartDate-$M3848+1</t>
  </si>
  <si>
    <t>=SUM(P3848:T3848)</t>
  </si>
  <si>
    <t>=IF($M3848&gt;=$P$18,U3848,0)</t>
  </si>
  <si>
    <t>=IF(AND($M3848&gt;=$Q$16,$M3848&lt;=$Q$18),U3848,0)</t>
  </si>
  <si>
    <t>=IF(AND($M3848&gt;=$R$16,$M3848&lt;=$R$18),U3848,0)</t>
  </si>
  <si>
    <t>=IF(AND($M3848&gt;=$S$16,$M3848&lt;=$S$18),U3848,0)</t>
  </si>
  <si>
    <t>=IF($M3848&lt;=$T$18,U3848,0)</t>
  </si>
  <si>
    <t>="""NAV Direct"",""CRONUS JetCorp USA"",""21"",""1"",""416465"""</t>
  </si>
  <si>
    <t>=E3847</t>
  </si>
  <si>
    <t>=StartDate-$M3849+1</t>
  </si>
  <si>
    <t>=SUM(P3849:T3849)</t>
  </si>
  <si>
    <t>=IF($M3849&gt;=$P$18,U3849,0)</t>
  </si>
  <si>
    <t>=IF(AND($M3849&gt;=$Q$16,$M3849&lt;=$Q$18),U3849,0)</t>
  </si>
  <si>
    <t>=IF(AND($M3849&gt;=$R$16,$M3849&lt;=$R$18),U3849,0)</t>
  </si>
  <si>
    <t>=IF(AND($M3849&gt;=$S$16,$M3849&lt;=$S$18),U3849,0)</t>
  </si>
  <si>
    <t>=IF($M3849&lt;=$T$18,U3849,0)</t>
  </si>
  <si>
    <t>="""NAV Direct"",""CRONUS JetCorp USA"",""21"",""1"",""416716"""</t>
  </si>
  <si>
    <t>=E3848</t>
  </si>
  <si>
    <t>=StartDate-$M3850+1</t>
  </si>
  <si>
    <t>=SUM(P3850:T3850)</t>
  </si>
  <si>
    <t>=IF($M3850&gt;=$P$18,U3850,0)</t>
  </si>
  <si>
    <t>=IF(AND($M3850&gt;=$Q$16,$M3850&lt;=$Q$18),U3850,0)</t>
  </si>
  <si>
    <t>=IF(AND($M3850&gt;=$R$16,$M3850&lt;=$R$18),U3850,0)</t>
  </si>
  <si>
    <t>=IF(AND($M3850&gt;=$S$16,$M3850&lt;=$S$18),U3850,0)</t>
  </si>
  <si>
    <t>=IF($M3850&lt;=$T$18,U3850,0)</t>
  </si>
  <si>
    <t>="""NAV Direct"",""CRONUS JetCorp USA"",""21"",""1"",""417029"""</t>
  </si>
  <si>
    <t>=E3849</t>
  </si>
  <si>
    <t>=StartDate-$M3851+1</t>
  </si>
  <si>
    <t>=SUM(P3851:T3851)</t>
  </si>
  <si>
    <t>=IF($M3851&gt;=$P$18,U3851,0)</t>
  </si>
  <si>
    <t>=IF(AND($M3851&gt;=$Q$16,$M3851&lt;=$Q$18),U3851,0)</t>
  </si>
  <si>
    <t>=IF(AND($M3851&gt;=$R$16,$M3851&lt;=$R$18),U3851,0)</t>
  </si>
  <si>
    <t>=IF(AND($M3851&gt;=$S$16,$M3851&lt;=$S$18),U3851,0)</t>
  </si>
  <si>
    <t>=IF($M3851&lt;=$T$18,U3851,0)</t>
  </si>
  <si>
    <t>="""NAV Direct"",""CRONUS JetCorp USA"",""21"",""1"",""417308"""</t>
  </si>
  <si>
    <t>=E3850</t>
  </si>
  <si>
    <t>=StartDate-$M3852+1</t>
  </si>
  <si>
    <t>=SUM(P3852:T3852)</t>
  </si>
  <si>
    <t>=IF($M3852&gt;=$P$18,U3852,0)</t>
  </si>
  <si>
    <t>=IF(AND($M3852&gt;=$Q$16,$M3852&lt;=$Q$18),U3852,0)</t>
  </si>
  <si>
    <t>=IF(AND($M3852&gt;=$R$16,$M3852&lt;=$R$18),U3852,0)</t>
  </si>
  <si>
    <t>=IF(AND($M3852&gt;=$S$16,$M3852&lt;=$S$18),U3852,0)</t>
  </si>
  <si>
    <t>=IF($M3852&lt;=$T$18,U3852,0)</t>
  </si>
  <si>
    <t>="""NAV Direct"",""CRONUS JetCorp USA"",""21"",""1"",""417406"""</t>
  </si>
  <si>
    <t>=E3851</t>
  </si>
  <si>
    <t>=StartDate-$M3853+1</t>
  </si>
  <si>
    <t>=SUM(P3853:T3853)</t>
  </si>
  <si>
    <t>=IF($M3853&gt;=$P$18,U3853,0)</t>
  </si>
  <si>
    <t>=IF(AND($M3853&gt;=$Q$16,$M3853&lt;=$Q$18),U3853,0)</t>
  </si>
  <si>
    <t>=IF(AND($M3853&gt;=$R$16,$M3853&lt;=$R$18),U3853,0)</t>
  </si>
  <si>
    <t>=IF(AND($M3853&gt;=$S$16,$M3853&lt;=$S$18),U3853,0)</t>
  </si>
  <si>
    <t>=IF($M3853&lt;=$T$18,U3853,0)</t>
  </si>
  <si>
    <t>="""NAV Direct"",""CRONUS JetCorp USA"",""21"",""1"",""417795"""</t>
  </si>
  <si>
    <t>=E3852</t>
  </si>
  <si>
    <t>=StartDate-$M3854+1</t>
  </si>
  <si>
    <t>=SUM(P3854:T3854)</t>
  </si>
  <si>
    <t>=IF($M3854&gt;=$P$18,U3854,0)</t>
  </si>
  <si>
    <t>=IF(AND($M3854&gt;=$Q$16,$M3854&lt;=$Q$18),U3854,0)</t>
  </si>
  <si>
    <t>=IF(AND($M3854&gt;=$R$16,$M3854&lt;=$R$18),U3854,0)</t>
  </si>
  <si>
    <t>=IF(AND($M3854&gt;=$S$16,$M3854&lt;=$S$18),U3854,0)</t>
  </si>
  <si>
    <t>=IF($M3854&lt;=$T$18,U3854,0)</t>
  </si>
  <si>
    <t>="""NAV Direct"",""CRONUS JetCorp USA"",""21"",""1"",""417881"""</t>
  </si>
  <si>
    <t>=E3853</t>
  </si>
  <si>
    <t>=StartDate-$M3855+1</t>
  </si>
  <si>
    <t>=SUM(P3855:T3855)</t>
  </si>
  <si>
    <t>=IF($M3855&gt;=$P$18,U3855,0)</t>
  </si>
  <si>
    <t>=IF(AND($M3855&gt;=$Q$16,$M3855&lt;=$Q$18),U3855,0)</t>
  </si>
  <si>
    <t>=IF(AND($M3855&gt;=$R$16,$M3855&lt;=$R$18),U3855,0)</t>
  </si>
  <si>
    <t>=IF(AND($M3855&gt;=$S$16,$M3855&lt;=$S$18),U3855,0)</t>
  </si>
  <si>
    <t>=IF($M3855&lt;=$T$18,U3855,0)</t>
  </si>
  <si>
    <t>="""NAV Direct"",""CRONUS JetCorp USA"",""21"",""1"",""418440"""</t>
  </si>
  <si>
    <t>=E3854</t>
  </si>
  <si>
    <t>=StartDate-$M3856+1</t>
  </si>
  <si>
    <t>=SUM(P3856:T3856)</t>
  </si>
  <si>
    <t>=IF($M3856&gt;=$P$18,U3856,0)</t>
  </si>
  <si>
    <t>=IF(AND($M3856&gt;=$Q$16,$M3856&lt;=$Q$18),U3856,0)</t>
  </si>
  <si>
    <t>=IF(AND($M3856&gt;=$R$16,$M3856&lt;=$R$18),U3856,0)</t>
  </si>
  <si>
    <t>=IF(AND($M3856&gt;=$S$16,$M3856&lt;=$S$18),U3856,0)</t>
  </si>
  <si>
    <t>=IF($M3856&lt;=$T$18,U3856,0)</t>
  </si>
  <si>
    <t>="""NAV Direct"",""CRONUS JetCorp USA"",""21"",""1"",""418675"""</t>
  </si>
  <si>
    <t>=E3855</t>
  </si>
  <si>
    <t>=StartDate-$M3857+1</t>
  </si>
  <si>
    <t>=SUM(P3857:T3857)</t>
  </si>
  <si>
    <t>=IF($M3857&gt;=$P$18,U3857,0)</t>
  </si>
  <si>
    <t>=IF(AND($M3857&gt;=$Q$16,$M3857&lt;=$Q$18),U3857,0)</t>
  </si>
  <si>
    <t>=IF(AND($M3857&gt;=$R$16,$M3857&lt;=$R$18),U3857,0)</t>
  </si>
  <si>
    <t>=IF(AND($M3857&gt;=$S$16,$M3857&lt;=$S$18),U3857,0)</t>
  </si>
  <si>
    <t>=IF($M3857&lt;=$T$18,U3857,0)</t>
  </si>
  <si>
    <t>="""NAV Direct"",""CRONUS JetCorp USA"",""21"",""1"",""419014"""</t>
  </si>
  <si>
    <t>=E3856</t>
  </si>
  <si>
    <t>=StartDate-$M3858+1</t>
  </si>
  <si>
    <t>=SUM(P3858:T3858)</t>
  </si>
  <si>
    <t>=IF($M3858&gt;=$P$18,U3858,0)</t>
  </si>
  <si>
    <t>=IF(AND($M3858&gt;=$Q$16,$M3858&lt;=$Q$18),U3858,0)</t>
  </si>
  <si>
    <t>=IF(AND($M3858&gt;=$R$16,$M3858&lt;=$R$18),U3858,0)</t>
  </si>
  <si>
    <t>=IF(AND($M3858&gt;=$S$16,$M3858&lt;=$S$18),U3858,0)</t>
  </si>
  <si>
    <t>=IF($M3858&lt;=$T$18,U3858,0)</t>
  </si>
  <si>
    <t>="""NAV Direct"",""CRONUS JetCorp USA"",""21"",""1"",""419207"""</t>
  </si>
  <si>
    <t>=E3857</t>
  </si>
  <si>
    <t>=StartDate-$M3859+1</t>
  </si>
  <si>
    <t>=SUM(P3859:T3859)</t>
  </si>
  <si>
    <t>=IF($M3859&gt;=$P$18,U3859,0)</t>
  </si>
  <si>
    <t>=IF(AND($M3859&gt;=$Q$16,$M3859&lt;=$Q$18),U3859,0)</t>
  </si>
  <si>
    <t>=IF(AND($M3859&gt;=$R$16,$M3859&lt;=$R$18),U3859,0)</t>
  </si>
  <si>
    <t>=IF(AND($M3859&gt;=$S$16,$M3859&lt;=$S$18),U3859,0)</t>
  </si>
  <si>
    <t>=IF($M3859&lt;=$T$18,U3859,0)</t>
  </si>
  <si>
    <t>="""NAV Direct"",""CRONUS JetCorp USA"",""21"",""1"",""419907"""</t>
  </si>
  <si>
    <t>=E3858</t>
  </si>
  <si>
    <t>=StartDate-$M3860+1</t>
  </si>
  <si>
    <t>=SUM(P3860:T3860)</t>
  </si>
  <si>
    <t>=IF($M3860&gt;=$P$18,U3860,0)</t>
  </si>
  <si>
    <t>=IF(AND($M3860&gt;=$Q$16,$M3860&lt;=$Q$18),U3860,0)</t>
  </si>
  <si>
    <t>=IF(AND($M3860&gt;=$R$16,$M3860&lt;=$R$18),U3860,0)</t>
  </si>
  <si>
    <t>=IF(AND($M3860&gt;=$S$16,$M3860&lt;=$S$18),U3860,0)</t>
  </si>
  <si>
    <t>=IF($M3860&lt;=$T$18,U3860,0)</t>
  </si>
  <si>
    <t>="""NAV Direct"",""CRONUS JetCorp USA"",""21"",""1"",""420373"""</t>
  </si>
  <si>
    <t>=E3859</t>
  </si>
  <si>
    <t>=StartDate-$M3861+1</t>
  </si>
  <si>
    <t>=SUM(P3861:T3861)</t>
  </si>
  <si>
    <t>=IF($M3861&gt;=$P$18,U3861,0)</t>
  </si>
  <si>
    <t>=IF(AND($M3861&gt;=$Q$16,$M3861&lt;=$Q$18),U3861,0)</t>
  </si>
  <si>
    <t>=IF(AND($M3861&gt;=$R$16,$M3861&lt;=$R$18),U3861,0)</t>
  </si>
  <si>
    <t>=IF(AND($M3861&gt;=$S$16,$M3861&lt;=$S$18),U3861,0)</t>
  </si>
  <si>
    <t>=IF($M3861&lt;=$T$18,U3861,0)</t>
  </si>
  <si>
    <t>="""NAV Direct"",""CRONUS JetCorp USA"",""21"",""1"",""420535"""</t>
  </si>
  <si>
    <t>=E3860</t>
  </si>
  <si>
    <t>=StartDate-$M3862+1</t>
  </si>
  <si>
    <t>=SUM(P3862:T3862)</t>
  </si>
  <si>
    <t>=IF($M3862&gt;=$P$18,U3862,0)</t>
  </si>
  <si>
    <t>=IF(AND($M3862&gt;=$Q$16,$M3862&lt;=$Q$18),U3862,0)</t>
  </si>
  <si>
    <t>=IF(AND($M3862&gt;=$R$16,$M3862&lt;=$R$18),U3862,0)</t>
  </si>
  <si>
    <t>=IF(AND($M3862&gt;=$S$16,$M3862&lt;=$S$18),U3862,0)</t>
  </si>
  <si>
    <t>=IF($M3862&lt;=$T$18,U3862,0)</t>
  </si>
  <si>
    <t>="""NAV Direct"",""CRONUS JetCorp USA"",""21"",""1"",""422163"""</t>
  </si>
  <si>
    <t>=E3861</t>
  </si>
  <si>
    <t>=StartDate-$M3863+1</t>
  </si>
  <si>
    <t>=SUM(P3863:T3863)</t>
  </si>
  <si>
    <t>=IF($M3863&gt;=$P$18,U3863,0)</t>
  </si>
  <si>
    <t>=IF(AND($M3863&gt;=$Q$16,$M3863&lt;=$Q$18),U3863,0)</t>
  </si>
  <si>
    <t>=IF(AND($M3863&gt;=$R$16,$M3863&lt;=$R$18),U3863,0)</t>
  </si>
  <si>
    <t>=IF(AND($M3863&gt;=$S$16,$M3863&lt;=$S$18),U3863,0)</t>
  </si>
  <si>
    <t>=IF($M3863&lt;=$T$18,U3863,0)</t>
  </si>
  <si>
    <t>="""NAV Direct"",""CRONUS JetCorp USA"",""21"",""1"",""422769"""</t>
  </si>
  <si>
    <t>=E3862</t>
  </si>
  <si>
    <t>=StartDate-$M3864+1</t>
  </si>
  <si>
    <t>=SUM(P3864:T3864)</t>
  </si>
  <si>
    <t>=IF($M3864&gt;=$P$18,U3864,0)</t>
  </si>
  <si>
    <t>=IF(AND($M3864&gt;=$Q$16,$M3864&lt;=$Q$18),U3864,0)</t>
  </si>
  <si>
    <t>=IF(AND($M3864&gt;=$R$16,$M3864&lt;=$R$18),U3864,0)</t>
  </si>
  <si>
    <t>=IF(AND($M3864&gt;=$S$16,$M3864&lt;=$S$18),U3864,0)</t>
  </si>
  <si>
    <t>=IF($M3864&lt;=$T$18,U3864,0)</t>
  </si>
  <si>
    <t>="""NAV Direct"",""CRONUS JetCorp USA"",""21"",""1"",""423490"""</t>
  </si>
  <si>
    <t>=E3863</t>
  </si>
  <si>
    <t>=StartDate-$M3865+1</t>
  </si>
  <si>
    <t>=SUM(P3865:T3865)</t>
  </si>
  <si>
    <t>=IF($M3865&gt;=$P$18,U3865,0)</t>
  </si>
  <si>
    <t>=IF(AND($M3865&gt;=$Q$16,$M3865&lt;=$Q$18),U3865,0)</t>
  </si>
  <si>
    <t>=IF(AND($M3865&gt;=$R$16,$M3865&lt;=$R$18),U3865,0)</t>
  </si>
  <si>
    <t>=IF(AND($M3865&gt;=$S$16,$M3865&lt;=$S$18),U3865,0)</t>
  </si>
  <si>
    <t>=IF($M3865&lt;=$T$18,U3865,0)</t>
  </si>
  <si>
    <t>="""NAV Direct"",""CRONUS JetCorp USA"",""21"",""1"",""424093"""</t>
  </si>
  <si>
    <t>=E3864</t>
  </si>
  <si>
    <t>=StartDate-$M3866+1</t>
  </si>
  <si>
    <t>=SUM(P3866:T3866)</t>
  </si>
  <si>
    <t>=IF($M3866&gt;=$P$18,U3866,0)</t>
  </si>
  <si>
    <t>=IF(AND($M3866&gt;=$Q$16,$M3866&lt;=$Q$18),U3866,0)</t>
  </si>
  <si>
    <t>=IF(AND($M3866&gt;=$R$16,$M3866&lt;=$R$18),U3866,0)</t>
  </si>
  <si>
    <t>=IF(AND($M3866&gt;=$S$16,$M3866&lt;=$S$18),U3866,0)</t>
  </si>
  <si>
    <t>=IF($M3866&lt;=$T$18,U3866,0)</t>
  </si>
  <si>
    <t>="""NAV Direct"",""CRONUS JetCorp USA"",""21"",""1"",""424254"""</t>
  </si>
  <si>
    <t>=E3865</t>
  </si>
  <si>
    <t>=StartDate-$M3867+1</t>
  </si>
  <si>
    <t>=SUM(P3867:T3867)</t>
  </si>
  <si>
    <t>=IF($M3867&gt;=$P$18,U3867,0)</t>
  </si>
  <si>
    <t>=IF(AND($M3867&gt;=$Q$16,$M3867&lt;=$Q$18),U3867,0)</t>
  </si>
  <si>
    <t>=IF(AND($M3867&gt;=$R$16,$M3867&lt;=$R$18),U3867,0)</t>
  </si>
  <si>
    <t>=IF(AND($M3867&gt;=$S$16,$M3867&lt;=$S$18),U3867,0)</t>
  </si>
  <si>
    <t>=IF($M3867&lt;=$T$18,U3867,0)</t>
  </si>
  <si>
    <t>="""NAV Direct"",""CRONUS JetCorp USA"",""21"",""1"",""424373"""</t>
  </si>
  <si>
    <t>=E3866</t>
  </si>
  <si>
    <t>=StartDate-$M3868+1</t>
  </si>
  <si>
    <t>=SUM(P3868:T3868)</t>
  </si>
  <si>
    <t>=IF($M3868&gt;=$P$18,U3868,0)</t>
  </si>
  <si>
    <t>=IF(AND($M3868&gt;=$Q$16,$M3868&lt;=$Q$18),U3868,0)</t>
  </si>
  <si>
    <t>=IF(AND($M3868&gt;=$R$16,$M3868&lt;=$R$18),U3868,0)</t>
  </si>
  <si>
    <t>=IF(AND($M3868&gt;=$S$16,$M3868&lt;=$S$18),U3868,0)</t>
  </si>
  <si>
    <t>=IF($M3868&lt;=$T$18,U3868,0)</t>
  </si>
  <si>
    <t>="""NAV Direct"",""CRONUS JetCorp USA"",""21"",""1"",""424797"""</t>
  </si>
  <si>
    <t>=E3867</t>
  </si>
  <si>
    <t>=StartDate-$M3869+1</t>
  </si>
  <si>
    <t>=SUM(P3869:T3869)</t>
  </si>
  <si>
    <t>=IF($M3869&gt;=$P$18,U3869,0)</t>
  </si>
  <si>
    <t>=IF(AND($M3869&gt;=$Q$16,$M3869&lt;=$Q$18),U3869,0)</t>
  </si>
  <si>
    <t>=IF(AND($M3869&gt;=$R$16,$M3869&lt;=$R$18),U3869,0)</t>
  </si>
  <si>
    <t>=IF(AND($M3869&gt;=$S$16,$M3869&lt;=$S$18),U3869,0)</t>
  </si>
  <si>
    <t>=IF($M3869&lt;=$T$18,U3869,0)</t>
  </si>
  <si>
    <t>="""NAV Direct"",""CRONUS JetCorp USA"",""21"",""1"",""425390"""</t>
  </si>
  <si>
    <t>=E3868</t>
  </si>
  <si>
    <t>=StartDate-$M3870+1</t>
  </si>
  <si>
    <t>=SUM(P3870:T3870)</t>
  </si>
  <si>
    <t>=IF($M3870&gt;=$P$18,U3870,0)</t>
  </si>
  <si>
    <t>=IF(AND($M3870&gt;=$Q$16,$M3870&lt;=$Q$18),U3870,0)</t>
  </si>
  <si>
    <t>=IF(AND($M3870&gt;=$R$16,$M3870&lt;=$R$18),U3870,0)</t>
  </si>
  <si>
    <t>=IF(AND($M3870&gt;=$S$16,$M3870&lt;=$S$18),U3870,0)</t>
  </si>
  <si>
    <t>=IF($M3870&lt;=$T$18,U3870,0)</t>
  </si>
  <si>
    <t>="""NAV Direct"",""CRONUS JetCorp USA"",""21"",""1"",""425785"""</t>
  </si>
  <si>
    <t>=E3869</t>
  </si>
  <si>
    <t>=StartDate-$M3871+1</t>
  </si>
  <si>
    <t>=SUM(P3871:T3871)</t>
  </si>
  <si>
    <t>=IF($M3871&gt;=$P$18,U3871,0)</t>
  </si>
  <si>
    <t>=IF(AND($M3871&gt;=$Q$16,$M3871&lt;=$Q$18),U3871,0)</t>
  </si>
  <si>
    <t>=IF(AND($M3871&gt;=$R$16,$M3871&lt;=$R$18),U3871,0)</t>
  </si>
  <si>
    <t>=IF(AND($M3871&gt;=$S$16,$M3871&lt;=$S$18),U3871,0)</t>
  </si>
  <si>
    <t>=IF($M3871&lt;=$T$18,U3871,0)</t>
  </si>
  <si>
    <t>="""NAV Direct"",""CRONUS JetCorp USA"",""21"",""1"",""425855"""</t>
  </si>
  <si>
    <t>=E3870</t>
  </si>
  <si>
    <t>=StartDate-$M3872+1</t>
  </si>
  <si>
    <t>=SUM(P3872:T3872)</t>
  </si>
  <si>
    <t>=IF($M3872&gt;=$P$18,U3872,0)</t>
  </si>
  <si>
    <t>=IF(AND($M3872&gt;=$Q$16,$M3872&lt;=$Q$18),U3872,0)</t>
  </si>
  <si>
    <t>=IF(AND($M3872&gt;=$R$16,$M3872&lt;=$R$18),U3872,0)</t>
  </si>
  <si>
    <t>=IF(AND($M3872&gt;=$S$16,$M3872&lt;=$S$18),U3872,0)</t>
  </si>
  <si>
    <t>=IF($M3872&lt;=$T$18,U3872,0)</t>
  </si>
  <si>
    <t>="""NAV Direct"",""CRONUS JetCorp USA"",""21"",""1"",""427409"""</t>
  </si>
  <si>
    <t>=E3871</t>
  </si>
  <si>
    <t>=StartDate-$M3873+1</t>
  </si>
  <si>
    <t>=SUM(P3873:T3873)</t>
  </si>
  <si>
    <t>=IF($M3873&gt;=$P$18,U3873,0)</t>
  </si>
  <si>
    <t>=IF(AND($M3873&gt;=$Q$16,$M3873&lt;=$Q$18),U3873,0)</t>
  </si>
  <si>
    <t>=IF(AND($M3873&gt;=$R$16,$M3873&lt;=$R$18),U3873,0)</t>
  </si>
  <si>
    <t>=IF(AND($M3873&gt;=$S$16,$M3873&lt;=$S$18),U3873,0)</t>
  </si>
  <si>
    <t>=IF($M3873&lt;=$T$18,U3873,0)</t>
  </si>
  <si>
    <t>="""NAV Direct"",""CRONUS JetCorp USA"",""21"",""1"",""427744"""</t>
  </si>
  <si>
    <t>=E3872</t>
  </si>
  <si>
    <t>=StartDate-$M3874+1</t>
  </si>
  <si>
    <t>=SUM(P3874:T3874)</t>
  </si>
  <si>
    <t>=IF($M3874&gt;=$P$18,U3874,0)</t>
  </si>
  <si>
    <t>=IF(AND($M3874&gt;=$Q$16,$M3874&lt;=$Q$18),U3874,0)</t>
  </si>
  <si>
    <t>=IF(AND($M3874&gt;=$R$16,$M3874&lt;=$R$18),U3874,0)</t>
  </si>
  <si>
    <t>=IF(AND($M3874&gt;=$S$16,$M3874&lt;=$S$18),U3874,0)</t>
  </si>
  <si>
    <t>=IF($M3874&lt;=$T$18,U3874,0)</t>
  </si>
  <si>
    <t>="""NAV Direct"",""CRONUS JetCorp USA"",""21"",""1"",""427775"""</t>
  </si>
  <si>
    <t>=E3873</t>
  </si>
  <si>
    <t>=StartDate-$M3875+1</t>
  </si>
  <si>
    <t>=SUM(P3875:T3875)</t>
  </si>
  <si>
    <t>=IF($M3875&gt;=$P$18,U3875,0)</t>
  </si>
  <si>
    <t>=IF(AND($M3875&gt;=$Q$16,$M3875&lt;=$Q$18),U3875,0)</t>
  </si>
  <si>
    <t>=IF(AND($M3875&gt;=$R$16,$M3875&lt;=$R$18),U3875,0)</t>
  </si>
  <si>
    <t>=IF(AND($M3875&gt;=$S$16,$M3875&lt;=$S$18),U3875,0)</t>
  </si>
  <si>
    <t>=IF($M3875&lt;=$T$18,U3875,0)</t>
  </si>
  <si>
    <t>="""NAV Direct"",""CRONUS JetCorp USA"",""21"",""1"",""428801"""</t>
  </si>
  <si>
    <t>=E3874</t>
  </si>
  <si>
    <t>=StartDate-$M3876+1</t>
  </si>
  <si>
    <t>=SUM(P3876:T3876)</t>
  </si>
  <si>
    <t>=IF($M3876&gt;=$P$18,U3876,0)</t>
  </si>
  <si>
    <t>=IF(AND($M3876&gt;=$Q$16,$M3876&lt;=$Q$18),U3876,0)</t>
  </si>
  <si>
    <t>=IF(AND($M3876&gt;=$R$16,$M3876&lt;=$R$18),U3876,0)</t>
  </si>
  <si>
    <t>=IF(AND($M3876&gt;=$S$16,$M3876&lt;=$S$18),U3876,0)</t>
  </si>
  <si>
    <t>=IF($M3876&lt;=$T$18,U3876,0)</t>
  </si>
  <si>
    <t>="""NAV Direct"",""CRONUS JetCorp USA"",""21"",""1"",""428979"""</t>
  </si>
  <si>
    <t>=E3875</t>
  </si>
  <si>
    <t>=StartDate-$M3877+1</t>
  </si>
  <si>
    <t>=SUM(P3877:T3877)</t>
  </si>
  <si>
    <t>=IF($M3877&gt;=$P$18,U3877,0)</t>
  </si>
  <si>
    <t>=IF(AND($M3877&gt;=$Q$16,$M3877&lt;=$Q$18),U3877,0)</t>
  </si>
  <si>
    <t>=IF(AND($M3877&gt;=$R$16,$M3877&lt;=$R$18),U3877,0)</t>
  </si>
  <si>
    <t>=IF(AND($M3877&gt;=$S$16,$M3877&lt;=$S$18),U3877,0)</t>
  </si>
  <si>
    <t>=IF($M3877&lt;=$T$18,U3877,0)</t>
  </si>
  <si>
    <t>="""NAV Direct"",""CRONUS JetCorp USA"",""21"",""1"",""441643"""</t>
  </si>
  <si>
    <t>=E3876</t>
  </si>
  <si>
    <t>=StartDate-$M3878+1</t>
  </si>
  <si>
    <t>=SUM(P3878:T3878)</t>
  </si>
  <si>
    <t>=IF($M3878&gt;=$P$18,U3878,0)</t>
  </si>
  <si>
    <t>=IF(AND($M3878&gt;=$Q$16,$M3878&lt;=$Q$18),U3878,0)</t>
  </si>
  <si>
    <t>=IF(AND($M3878&gt;=$R$16,$M3878&lt;=$R$18),U3878,0)</t>
  </si>
  <si>
    <t>=IF(AND($M3878&gt;=$S$16,$M3878&lt;=$S$18),U3878,0)</t>
  </si>
  <si>
    <t>=IF($M3878&lt;=$T$18,U3878,0)</t>
  </si>
  <si>
    <t>="""NAV Direct"",""CRONUS JetCorp USA"",""21"",""1"",""441679"""</t>
  </si>
  <si>
    <t>=E3877</t>
  </si>
  <si>
    <t>=StartDate-$M3879+1</t>
  </si>
  <si>
    <t>=SUM(P3879:T3879)</t>
  </si>
  <si>
    <t>=IF($M3879&gt;=$P$18,U3879,0)</t>
  </si>
  <si>
    <t>=IF(AND($M3879&gt;=$Q$16,$M3879&lt;=$Q$18),U3879,0)</t>
  </si>
  <si>
    <t>=IF(AND($M3879&gt;=$R$16,$M3879&lt;=$R$18),U3879,0)</t>
  </si>
  <si>
    <t>=IF(AND($M3879&gt;=$S$16,$M3879&lt;=$S$18),U3879,0)</t>
  </si>
  <si>
    <t>=IF($M3879&lt;=$T$18,U3879,0)</t>
  </si>
  <si>
    <t>="""NAV Direct"",""CRONUS JetCorp USA"",""21"",""1"",""441696"""</t>
  </si>
  <si>
    <t>=E3878</t>
  </si>
  <si>
    <t>=StartDate-$M3880+1</t>
  </si>
  <si>
    <t>=SUM(P3880:T3880)</t>
  </si>
  <si>
    <t>=IF($M3880&gt;=$P$18,U3880,0)</t>
  </si>
  <si>
    <t>=IF(AND($M3880&gt;=$Q$16,$M3880&lt;=$Q$18),U3880,0)</t>
  </si>
  <si>
    <t>=IF(AND($M3880&gt;=$R$16,$M3880&lt;=$R$18),U3880,0)</t>
  </si>
  <si>
    <t>=IF(AND($M3880&gt;=$S$16,$M3880&lt;=$S$18),U3880,0)</t>
  </si>
  <si>
    <t>=IF($M3880&lt;=$T$18,U3880,0)</t>
  </si>
  <si>
    <t>="""NAV Direct"",""CRONUS JetCorp USA"",""21"",""1"",""441750"""</t>
  </si>
  <si>
    <t>=E3879</t>
  </si>
  <si>
    <t>=StartDate-$M3881+1</t>
  </si>
  <si>
    <t>=SUM(P3881:T3881)</t>
  </si>
  <si>
    <t>=IF($M3881&gt;=$P$18,U3881,0)</t>
  </si>
  <si>
    <t>=IF(AND($M3881&gt;=$Q$16,$M3881&lt;=$Q$18),U3881,0)</t>
  </si>
  <si>
    <t>=IF(AND($M3881&gt;=$R$16,$M3881&lt;=$R$18),U3881,0)</t>
  </si>
  <si>
    <t>=IF(AND($M3881&gt;=$S$16,$M3881&lt;=$S$18),U3881,0)</t>
  </si>
  <si>
    <t>=IF($M3881&lt;=$T$18,U3881,0)</t>
  </si>
  <si>
    <t>="""NAV Direct"",""CRONUS JetCorp USA"",""21"",""1"",""441772"""</t>
  </si>
  <si>
    <t>=E3880</t>
  </si>
  <si>
    <t>=StartDate-$M3882+1</t>
  </si>
  <si>
    <t>=SUM(P3882:T3882)</t>
  </si>
  <si>
    <t>=IF($M3882&gt;=$P$18,U3882,0)</t>
  </si>
  <si>
    <t>=IF(AND($M3882&gt;=$Q$16,$M3882&lt;=$Q$18),U3882,0)</t>
  </si>
  <si>
    <t>=IF(AND($M3882&gt;=$R$16,$M3882&lt;=$R$18),U3882,0)</t>
  </si>
  <si>
    <t>=IF(AND($M3882&gt;=$S$16,$M3882&lt;=$S$18),U3882,0)</t>
  </si>
  <si>
    <t>=IF($M3882&lt;=$T$18,U3882,0)</t>
  </si>
  <si>
    <t>="""NAV Direct"",""CRONUS JetCorp USA"",""21"",""1"",""441896"""</t>
  </si>
  <si>
    <t>=E3881</t>
  </si>
  <si>
    <t>=StartDate-$M3883+1</t>
  </si>
  <si>
    <t>=SUM(P3883:T3883)</t>
  </si>
  <si>
    <t>=IF($M3883&gt;=$P$18,U3883,0)</t>
  </si>
  <si>
    <t>=IF(AND($M3883&gt;=$Q$16,$M3883&lt;=$Q$18),U3883,0)</t>
  </si>
  <si>
    <t>=IF(AND($M3883&gt;=$R$16,$M3883&lt;=$R$18),U3883,0)</t>
  </si>
  <si>
    <t>=IF(AND($M3883&gt;=$S$16,$M3883&lt;=$S$18),U3883,0)</t>
  </si>
  <si>
    <t>=IF($M3883&lt;=$T$18,U3883,0)</t>
  </si>
  <si>
    <t>="""NAV Direct"",""CRONUS JetCorp USA"",""21"",""1"",""441918"""</t>
  </si>
  <si>
    <t>=E3882</t>
  </si>
  <si>
    <t>=StartDate-$M3884+1</t>
  </si>
  <si>
    <t>=SUM(P3884:T3884)</t>
  </si>
  <si>
    <t>=IF($M3884&gt;=$P$18,U3884,0)</t>
  </si>
  <si>
    <t>=IF(AND($M3884&gt;=$Q$16,$M3884&lt;=$Q$18),U3884,0)</t>
  </si>
  <si>
    <t>=IF(AND($M3884&gt;=$R$16,$M3884&lt;=$R$18),U3884,0)</t>
  </si>
  <si>
    <t>=IF(AND($M3884&gt;=$S$16,$M3884&lt;=$S$18),U3884,0)</t>
  </si>
  <si>
    <t>=IF($M3884&lt;=$T$18,U3884,0)</t>
  </si>
  <si>
    <t>="""NAV Direct"",""CRONUS JetCorp USA"",""21"",""1"",""441978"""</t>
  </si>
  <si>
    <t>=E3883</t>
  </si>
  <si>
    <t>=StartDate-$M3885+1</t>
  </si>
  <si>
    <t>=SUM(P3885:T3885)</t>
  </si>
  <si>
    <t>=IF($M3885&gt;=$P$18,U3885,0)</t>
  </si>
  <si>
    <t>=IF(AND($M3885&gt;=$Q$16,$M3885&lt;=$Q$18),U3885,0)</t>
  </si>
  <si>
    <t>=IF(AND($M3885&gt;=$R$16,$M3885&lt;=$R$18),U3885,0)</t>
  </si>
  <si>
    <t>=IF(AND($M3885&gt;=$S$16,$M3885&lt;=$S$18),U3885,0)</t>
  </si>
  <si>
    <t>=IF($M3885&lt;=$T$18,U3885,0)</t>
  </si>
  <si>
    <t>="""NAV Direct"",""CRONUS JetCorp USA"",""21"",""1"",""441999"""</t>
  </si>
  <si>
    <t>=E3884</t>
  </si>
  <si>
    <t>=StartDate-$M3886+1</t>
  </si>
  <si>
    <t>=SUM(P3886:T3886)</t>
  </si>
  <si>
    <t>=IF($M3886&gt;=$P$18,U3886,0)</t>
  </si>
  <si>
    <t>=IF(AND($M3886&gt;=$Q$16,$M3886&lt;=$Q$18),U3886,0)</t>
  </si>
  <si>
    <t>=IF(AND($M3886&gt;=$R$16,$M3886&lt;=$R$18),U3886,0)</t>
  </si>
  <si>
    <t>=IF(AND($M3886&gt;=$S$16,$M3886&lt;=$S$18),U3886,0)</t>
  </si>
  <si>
    <t>=IF($M3886&lt;=$T$18,U3886,0)</t>
  </si>
  <si>
    <t>="""NAV Direct"",""CRONUS JetCorp USA"",""21"",""1"",""442097"""</t>
  </si>
  <si>
    <t>=E3885</t>
  </si>
  <si>
    <t>=StartDate-$M3887+1</t>
  </si>
  <si>
    <t>=SUM(P3887:T3887)</t>
  </si>
  <si>
    <t>=IF($M3887&gt;=$P$18,U3887,0)</t>
  </si>
  <si>
    <t>=IF(AND($M3887&gt;=$Q$16,$M3887&lt;=$Q$18),U3887,0)</t>
  </si>
  <si>
    <t>=IF(AND($M3887&gt;=$R$16,$M3887&lt;=$R$18),U3887,0)</t>
  </si>
  <si>
    <t>=IF(AND($M3887&gt;=$S$16,$M3887&lt;=$S$18),U3887,0)</t>
  </si>
  <si>
    <t>=IF($M3887&lt;=$T$18,U3887,0)</t>
  </si>
  <si>
    <t>="""NAV Direct"",""CRONUS JetCorp USA"",""21"",""1"",""442213"""</t>
  </si>
  <si>
    <t>=E3886</t>
  </si>
  <si>
    <t>=StartDate-$M3888+1</t>
  </si>
  <si>
    <t>=SUM(P3888:T3888)</t>
  </si>
  <si>
    <t>=IF($M3888&gt;=$P$18,U3888,0)</t>
  </si>
  <si>
    <t>=IF(AND($M3888&gt;=$Q$16,$M3888&lt;=$Q$18),U3888,0)</t>
  </si>
  <si>
    <t>=IF(AND($M3888&gt;=$R$16,$M3888&lt;=$R$18),U3888,0)</t>
  </si>
  <si>
    <t>=IF(AND($M3888&gt;=$S$16,$M3888&lt;=$S$18),U3888,0)</t>
  </si>
  <si>
    <t>=IF($M3888&lt;=$T$18,U3888,0)</t>
  </si>
  <si>
    <t>="""NAV Direct"",""CRONUS JetCorp USA"",""21"",""1"",""442357"""</t>
  </si>
  <si>
    <t>=E3887</t>
  </si>
  <si>
    <t>=StartDate-$M3889+1</t>
  </si>
  <si>
    <t>=SUM(P3889:T3889)</t>
  </si>
  <si>
    <t>=IF($M3889&gt;=$P$18,U3889,0)</t>
  </si>
  <si>
    <t>=IF(AND($M3889&gt;=$Q$16,$M3889&lt;=$Q$18),U3889,0)</t>
  </si>
  <si>
    <t>=IF(AND($M3889&gt;=$R$16,$M3889&lt;=$R$18),U3889,0)</t>
  </si>
  <si>
    <t>=IF(AND($M3889&gt;=$S$16,$M3889&lt;=$S$18),U3889,0)</t>
  </si>
  <si>
    <t>=IF($M3889&lt;=$T$18,U3889,0)</t>
  </si>
  <si>
    <t>="""NAV Direct"",""CRONUS JetCorp USA"",""21"",""1"",""442388"""</t>
  </si>
  <si>
    <t>=E3888</t>
  </si>
  <si>
    <t>=StartDate-$M3890+1</t>
  </si>
  <si>
    <t>=SUM(P3890:T3890)</t>
  </si>
  <si>
    <t>=IF($M3890&gt;=$P$18,U3890,0)</t>
  </si>
  <si>
    <t>=IF(AND($M3890&gt;=$Q$16,$M3890&lt;=$Q$18),U3890,0)</t>
  </si>
  <si>
    <t>=IF(AND($M3890&gt;=$R$16,$M3890&lt;=$R$18),U3890,0)</t>
  </si>
  <si>
    <t>=IF(AND($M3890&gt;=$S$16,$M3890&lt;=$S$18),U3890,0)</t>
  </si>
  <si>
    <t>=IF($M3890&lt;=$T$18,U3890,0)</t>
  </si>
  <si>
    <t>="""NAV Direct"",""CRONUS JetCorp USA"",""21"",""1"",""442403"""</t>
  </si>
  <si>
    <t>=E3889</t>
  </si>
  <si>
    <t>=StartDate-$M3891+1</t>
  </si>
  <si>
    <t>=SUM(P3891:T3891)</t>
  </si>
  <si>
    <t>=IF($M3891&gt;=$P$18,U3891,0)</t>
  </si>
  <si>
    <t>=IF(AND($M3891&gt;=$Q$16,$M3891&lt;=$Q$18),U3891,0)</t>
  </si>
  <si>
    <t>=IF(AND($M3891&gt;=$R$16,$M3891&lt;=$R$18),U3891,0)</t>
  </si>
  <si>
    <t>=IF(AND($M3891&gt;=$S$16,$M3891&lt;=$S$18),U3891,0)</t>
  </si>
  <si>
    <t>=IF($M3891&lt;=$T$18,U3891,0)</t>
  </si>
  <si>
    <t>="""NAV Direct"",""CRONUS JetCorp USA"",""21"",""1"",""442593"""</t>
  </si>
  <si>
    <t>=E3890</t>
  </si>
  <si>
    <t>=StartDate-$M3892+1</t>
  </si>
  <si>
    <t>=SUM(P3892:T3892)</t>
  </si>
  <si>
    <t>=IF($M3892&gt;=$P$18,U3892,0)</t>
  </si>
  <si>
    <t>=IF(AND($M3892&gt;=$Q$16,$M3892&lt;=$Q$18),U3892,0)</t>
  </si>
  <si>
    <t>=IF(AND($M3892&gt;=$R$16,$M3892&lt;=$R$18),U3892,0)</t>
  </si>
  <si>
    <t>=IF(AND($M3892&gt;=$S$16,$M3892&lt;=$S$18),U3892,0)</t>
  </si>
  <si>
    <t>=IF($M3892&lt;=$T$18,U3892,0)</t>
  </si>
  <si>
    <t>="""NAV Direct"",""CRONUS JetCorp USA"",""21"",""1"",""442644"""</t>
  </si>
  <si>
    <t>=E3891</t>
  </si>
  <si>
    <t>=StartDate-$M3893+1</t>
  </si>
  <si>
    <t>=SUM(P3893:T3893)</t>
  </si>
  <si>
    <t>=IF($M3893&gt;=$P$18,U3893,0)</t>
  </si>
  <si>
    <t>=IF(AND($M3893&gt;=$Q$16,$M3893&lt;=$Q$18),U3893,0)</t>
  </si>
  <si>
    <t>=IF(AND($M3893&gt;=$R$16,$M3893&lt;=$R$18),U3893,0)</t>
  </si>
  <si>
    <t>=IF(AND($M3893&gt;=$S$16,$M3893&lt;=$S$18),U3893,0)</t>
  </si>
  <si>
    <t>=IF($M3893&lt;=$T$18,U3893,0)</t>
  </si>
  <si>
    <t>="""NAV Direct"",""CRONUS JetCorp USA"",""21"",""1"",""442944"""</t>
  </si>
  <si>
    <t>=E3892</t>
  </si>
  <si>
    <t>=StartDate-$M3894+1</t>
  </si>
  <si>
    <t>=SUM(P3894:T3894)</t>
  </si>
  <si>
    <t>=IF($M3894&gt;=$P$18,U3894,0)</t>
  </si>
  <si>
    <t>=IF(AND($M3894&gt;=$Q$16,$M3894&lt;=$Q$18),U3894,0)</t>
  </si>
  <si>
    <t>=IF(AND($M3894&gt;=$R$16,$M3894&lt;=$R$18),U3894,0)</t>
  </si>
  <si>
    <t>=IF(AND($M3894&gt;=$S$16,$M3894&lt;=$S$18),U3894,0)</t>
  </si>
  <si>
    <t>=IF($M3894&lt;=$T$18,U3894,0)</t>
  </si>
  <si>
    <t>="""NAV Direct"",""CRONUS JetCorp USA"",""21"",""1"",""443164"""</t>
  </si>
  <si>
    <t>=E3893</t>
  </si>
  <si>
    <t>=StartDate-$M3895+1</t>
  </si>
  <si>
    <t>=SUM(P3895:T3895)</t>
  </si>
  <si>
    <t>=IF($M3895&gt;=$P$18,U3895,0)</t>
  </si>
  <si>
    <t>=IF(AND($M3895&gt;=$Q$16,$M3895&lt;=$Q$18),U3895,0)</t>
  </si>
  <si>
    <t>=IF(AND($M3895&gt;=$R$16,$M3895&lt;=$R$18),U3895,0)</t>
  </si>
  <si>
    <t>=IF(AND($M3895&gt;=$S$16,$M3895&lt;=$S$18),U3895,0)</t>
  </si>
  <si>
    <t>=IF($M3895&lt;=$T$18,U3895,0)</t>
  </si>
  <si>
    <t>="""NAV Direct"",""CRONUS JetCorp USA"",""21"",""1"",""443293"""</t>
  </si>
  <si>
    <t>=E3894</t>
  </si>
  <si>
    <t>=StartDate-$M3896+1</t>
  </si>
  <si>
    <t>=SUM(P3896:T3896)</t>
  </si>
  <si>
    <t>=IF($M3896&gt;=$P$18,U3896,0)</t>
  </si>
  <si>
    <t>=IF(AND($M3896&gt;=$Q$16,$M3896&lt;=$Q$18),U3896,0)</t>
  </si>
  <si>
    <t>=IF(AND($M3896&gt;=$R$16,$M3896&lt;=$R$18),U3896,0)</t>
  </si>
  <si>
    <t>=IF(AND($M3896&gt;=$S$16,$M3896&lt;=$S$18),U3896,0)</t>
  </si>
  <si>
    <t>=IF($M3896&lt;=$T$18,U3896,0)</t>
  </si>
  <si>
    <t>="""NAV Direct"",""CRONUS JetCorp USA"",""21"",""1"",""443379"""</t>
  </si>
  <si>
    <t>=E3895</t>
  </si>
  <si>
    <t>=StartDate-$M3897+1</t>
  </si>
  <si>
    <t>=SUM(P3897:T3897)</t>
  </si>
  <si>
    <t>=IF($M3897&gt;=$P$18,U3897,0)</t>
  </si>
  <si>
    <t>=IF(AND($M3897&gt;=$Q$16,$M3897&lt;=$Q$18),U3897,0)</t>
  </si>
  <si>
    <t>=IF(AND($M3897&gt;=$R$16,$M3897&lt;=$R$18),U3897,0)</t>
  </si>
  <si>
    <t>=IF(AND($M3897&gt;=$S$16,$M3897&lt;=$S$18),U3897,0)</t>
  </si>
  <si>
    <t>=IF($M3897&lt;=$T$18,U3897,0)</t>
  </si>
  <si>
    <t>="""NAV Direct"",""CRONUS JetCorp USA"",""21"",""1"",""443454"""</t>
  </si>
  <si>
    <t>=E3896</t>
  </si>
  <si>
    <t>=StartDate-$M3898+1</t>
  </si>
  <si>
    <t>=SUM(P3898:T3898)</t>
  </si>
  <si>
    <t>=IF($M3898&gt;=$P$18,U3898,0)</t>
  </si>
  <si>
    <t>=IF(AND($M3898&gt;=$Q$16,$M3898&lt;=$Q$18),U3898,0)</t>
  </si>
  <si>
    <t>=IF(AND($M3898&gt;=$R$16,$M3898&lt;=$R$18),U3898,0)</t>
  </si>
  <si>
    <t>=IF(AND($M3898&gt;=$S$16,$M3898&lt;=$S$18),U3898,0)</t>
  </si>
  <si>
    <t>=IF($M3898&lt;=$T$18,U3898,0)</t>
  </si>
  <si>
    <t>="""NAV Direct"",""CRONUS JetCorp USA"",""21"",""1"",""443479"""</t>
  </si>
  <si>
    <t>=E3897</t>
  </si>
  <si>
    <t>=StartDate-$M3899+1</t>
  </si>
  <si>
    <t>=SUM(P3899:T3899)</t>
  </si>
  <si>
    <t>=IF($M3899&gt;=$P$18,U3899,0)</t>
  </si>
  <si>
    <t>=IF(AND($M3899&gt;=$Q$16,$M3899&lt;=$Q$18),U3899,0)</t>
  </si>
  <si>
    <t>=IF(AND($M3899&gt;=$R$16,$M3899&lt;=$R$18),U3899,0)</t>
  </si>
  <si>
    <t>=IF(AND($M3899&gt;=$S$16,$M3899&lt;=$S$18),U3899,0)</t>
  </si>
  <si>
    <t>=IF($M3899&lt;=$T$18,U3899,0)</t>
  </si>
  <si>
    <t>="""NAV Direct"",""CRONUS JetCorp USA"",""18"",""1"",""C100110"""</t>
  </si>
  <si>
    <t>=H3902</t>
  </si>
  <si>
    <t>=NF($C3902,"1 No.")</t>
  </si>
  <si>
    <t>=NF($C3902,"1 No.")&amp;"  -  "&amp;NF($C3902,"2 Name")</t>
  </si>
  <si>
    <t>=IFERROR(O3902/NF(C3902,"Credit Limit (LCY)"),"")</t>
  </si>
  <si>
    <t>=SUBTOTAL(3,L3903:L3920)</t>
  </si>
  <si>
    <t>=SUBTOTAL(9,O3903:O3920)</t>
  </si>
  <si>
    <t>=SUBTOTAL(9,P3903:P3920)</t>
  </si>
  <si>
    <t>=SUBTOTAL(9,Q3903:Q3920)</t>
  </si>
  <si>
    <t>=SUBTOTAL(9,R3903:R3920)</t>
  </si>
  <si>
    <t>=SUBTOTAL(9,S3903:S3920)</t>
  </si>
  <si>
    <t>=SUBTOTAL(9,T3903:T3920)</t>
  </si>
  <si>
    <t>=C3902</t>
  </si>
  <si>
    <t>=E3902</t>
  </si>
  <si>
    <t>="Contact: "&amp;NF($C3903,"8 Contact")</t>
  </si>
  <si>
    <t>=C3903</t>
  </si>
  <si>
    <t>=E3903</t>
  </si>
  <si>
    <t>=NF($C3904,"102 E-Mail")</t>
  </si>
  <si>
    <t>=NL("Rows","21 Cust. Ledger Entry",,"3 Customer No.","@@"&amp;$E3906,"16 Remaining Amt. (LCY)","&lt;&gt;0")</t>
  </si>
  <si>
    <t>=E3904</t>
  </si>
  <si>
    <t>=StartDate-$M3906+1</t>
  </si>
  <si>
    <t>=SUM(P3906:T3906)</t>
  </si>
  <si>
    <t>=IF($M3906&gt;=$P$18,U3906,0)</t>
  </si>
  <si>
    <t>=IF(AND($M3906&gt;=$Q$16,$M3906&lt;=$Q$18),U3906,0)</t>
  </si>
  <si>
    <t>=IF(AND($M3906&gt;=$R$16,$M3906&lt;=$R$18),U3906,0)</t>
  </si>
  <si>
    <t>=IF(AND($M3906&gt;=$S$16,$M3906&lt;=$S$18),U3906,0)</t>
  </si>
  <si>
    <t>=IF($M3906&lt;=$T$18,U3906,0)</t>
  </si>
  <si>
    <t>="""NAV Direct"",""CRONUS JetCorp USA"",""21"",""1"",""209947"""</t>
  </si>
  <si>
    <t>=E3905</t>
  </si>
  <si>
    <t>=StartDate-$M3907+1</t>
  </si>
  <si>
    <t>=SUM(P3907:T3907)</t>
  </si>
  <si>
    <t>=IF($M3907&gt;=$P$18,U3907,0)</t>
  </si>
  <si>
    <t>=IF(AND($M3907&gt;=$Q$16,$M3907&lt;=$Q$18),U3907,0)</t>
  </si>
  <si>
    <t>=IF(AND($M3907&gt;=$R$16,$M3907&lt;=$R$18),U3907,0)</t>
  </si>
  <si>
    <t>=IF(AND($M3907&gt;=$S$16,$M3907&lt;=$S$18),U3907,0)</t>
  </si>
  <si>
    <t>=IF($M3907&lt;=$T$18,U3907,0)</t>
  </si>
  <si>
    <t>="""NAV Direct"",""CRONUS JetCorp USA"",""21"",""1"",""211394"""</t>
  </si>
  <si>
    <t>=E3906</t>
  </si>
  <si>
    <t>=StartDate-$M3908+1</t>
  </si>
  <si>
    <t>=SUM(P3908:T3908)</t>
  </si>
  <si>
    <t>=IF($M3908&gt;=$P$18,U3908,0)</t>
  </si>
  <si>
    <t>=IF(AND($M3908&gt;=$Q$16,$M3908&lt;=$Q$18),U3908,0)</t>
  </si>
  <si>
    <t>=IF(AND($M3908&gt;=$R$16,$M3908&lt;=$R$18),U3908,0)</t>
  </si>
  <si>
    <t>=IF(AND($M3908&gt;=$S$16,$M3908&lt;=$S$18),U3908,0)</t>
  </si>
  <si>
    <t>=IF($M3908&lt;=$T$18,U3908,0)</t>
  </si>
  <si>
    <t>="""NAV Direct"",""CRONUS JetCorp USA"",""21"",""1"",""211631"""</t>
  </si>
  <si>
    <t>=E3907</t>
  </si>
  <si>
    <t>=StartDate-$M3909+1</t>
  </si>
  <si>
    <t>=SUM(P3909:T3909)</t>
  </si>
  <si>
    <t>=IF($M3909&gt;=$P$18,U3909,0)</t>
  </si>
  <si>
    <t>=IF(AND($M3909&gt;=$Q$16,$M3909&lt;=$Q$18),U3909,0)</t>
  </si>
  <si>
    <t>=IF(AND($M3909&gt;=$R$16,$M3909&lt;=$R$18),U3909,0)</t>
  </si>
  <si>
    <t>=IF(AND($M3909&gt;=$S$16,$M3909&lt;=$S$18),U3909,0)</t>
  </si>
  <si>
    <t>=IF($M3909&lt;=$T$18,U3909,0)</t>
  </si>
  <si>
    <t>="""NAV Direct"",""CRONUS JetCorp USA"",""21"",""1"",""212020"""</t>
  </si>
  <si>
    <t>=E3908</t>
  </si>
  <si>
    <t>=StartDate-$M3910+1</t>
  </si>
  <si>
    <t>=SUM(P3910:T3910)</t>
  </si>
  <si>
    <t>=IF($M3910&gt;=$P$18,U3910,0)</t>
  </si>
  <si>
    <t>=IF(AND($M3910&gt;=$Q$16,$M3910&lt;=$Q$18),U3910,0)</t>
  </si>
  <si>
    <t>=IF(AND($M3910&gt;=$R$16,$M3910&lt;=$R$18),U3910,0)</t>
  </si>
  <si>
    <t>=IF(AND($M3910&gt;=$S$16,$M3910&lt;=$S$18),U3910,0)</t>
  </si>
  <si>
    <t>=IF($M3910&lt;=$T$18,U3910,0)</t>
  </si>
  <si>
    <t>="""NAV Direct"",""CRONUS JetCorp USA"",""21"",""1"",""212415"""</t>
  </si>
  <si>
    <t>=E3909</t>
  </si>
  <si>
    <t>=StartDate-$M3911+1</t>
  </si>
  <si>
    <t>=SUM(P3911:T3911)</t>
  </si>
  <si>
    <t>=IF($M3911&gt;=$P$18,U3911,0)</t>
  </si>
  <si>
    <t>=IF(AND($M3911&gt;=$Q$16,$M3911&lt;=$Q$18),U3911,0)</t>
  </si>
  <si>
    <t>=IF(AND($M3911&gt;=$R$16,$M3911&lt;=$R$18),U3911,0)</t>
  </si>
  <si>
    <t>=IF(AND($M3911&gt;=$S$16,$M3911&lt;=$S$18),U3911,0)</t>
  </si>
  <si>
    <t>=IF($M3911&lt;=$T$18,U3911,0)</t>
  </si>
  <si>
    <t>="""NAV Direct"",""CRONUS JetCorp USA"",""21"",""1"",""213001"""</t>
  </si>
  <si>
    <t>=E3910</t>
  </si>
  <si>
    <t>=StartDate-$M3912+1</t>
  </si>
  <si>
    <t>=SUM(P3912:T3912)</t>
  </si>
  <si>
    <t>=IF($M3912&gt;=$P$18,U3912,0)</t>
  </si>
  <si>
    <t>=IF(AND($M3912&gt;=$Q$16,$M3912&lt;=$Q$18),U3912,0)</t>
  </si>
  <si>
    <t>=IF(AND($M3912&gt;=$R$16,$M3912&lt;=$R$18),U3912,0)</t>
  </si>
  <si>
    <t>=IF(AND($M3912&gt;=$S$16,$M3912&lt;=$S$18),U3912,0)</t>
  </si>
  <si>
    <t>=IF($M3912&lt;=$T$18,U3912,0)</t>
  </si>
  <si>
    <t>="""NAV Direct"",""CRONUS JetCorp USA"",""21"",""1"",""213338"""</t>
  </si>
  <si>
    <t>=E3911</t>
  </si>
  <si>
    <t>=StartDate-$M3913+1</t>
  </si>
  <si>
    <t>=SUM(P3913:T3913)</t>
  </si>
  <si>
    <t>=IF($M3913&gt;=$P$18,U3913,0)</t>
  </si>
  <si>
    <t>=IF(AND($M3913&gt;=$Q$16,$M3913&lt;=$Q$18),U3913,0)</t>
  </si>
  <si>
    <t>=IF(AND($M3913&gt;=$R$16,$M3913&lt;=$R$18),U3913,0)</t>
  </si>
  <si>
    <t>=IF(AND($M3913&gt;=$S$16,$M3913&lt;=$S$18),U3913,0)</t>
  </si>
  <si>
    <t>=IF($M3913&lt;=$T$18,U3913,0)</t>
  </si>
  <si>
    <t>="""NAV Direct"",""CRONUS JetCorp USA"",""21"",""1"",""213983"""</t>
  </si>
  <si>
    <t>=E3912</t>
  </si>
  <si>
    <t>=StartDate-$M3914+1</t>
  </si>
  <si>
    <t>=SUM(P3914:T3914)</t>
  </si>
  <si>
    <t>=IF($M3914&gt;=$P$18,U3914,0)</t>
  </si>
  <si>
    <t>=IF(AND($M3914&gt;=$Q$16,$M3914&lt;=$Q$18),U3914,0)</t>
  </si>
  <si>
    <t>=IF(AND($M3914&gt;=$R$16,$M3914&lt;=$R$18),U3914,0)</t>
  </si>
  <si>
    <t>=IF(AND($M3914&gt;=$S$16,$M3914&lt;=$S$18),U3914,0)</t>
  </si>
  <si>
    <t>=IF($M3914&lt;=$T$18,U3914,0)</t>
  </si>
  <si>
    <t>="""NAV Direct"",""CRONUS JetCorp USA"",""21"",""1"",""444122"""</t>
  </si>
  <si>
    <t>=E3913</t>
  </si>
  <si>
    <t>=StartDate-$M3915+1</t>
  </si>
  <si>
    <t>=SUM(P3915:T3915)</t>
  </si>
  <si>
    <t>=IF($M3915&gt;=$P$18,U3915,0)</t>
  </si>
  <si>
    <t>=IF(AND($M3915&gt;=$Q$16,$M3915&lt;=$Q$18),U3915,0)</t>
  </si>
  <si>
    <t>=IF(AND($M3915&gt;=$R$16,$M3915&lt;=$R$18),U3915,0)</t>
  </si>
  <si>
    <t>=IF(AND($M3915&gt;=$S$16,$M3915&lt;=$S$18),U3915,0)</t>
  </si>
  <si>
    <t>=IF($M3915&lt;=$T$18,U3915,0)</t>
  </si>
  <si>
    <t>="""NAV Direct"",""CRONUS JetCorp USA"",""21"",""1"",""444235"""</t>
  </si>
  <si>
    <t>=E3914</t>
  </si>
  <si>
    <t>=StartDate-$M3916+1</t>
  </si>
  <si>
    <t>=SUM(P3916:T3916)</t>
  </si>
  <si>
    <t>=IF($M3916&gt;=$P$18,U3916,0)</t>
  </si>
  <si>
    <t>=IF(AND($M3916&gt;=$Q$16,$M3916&lt;=$Q$18),U3916,0)</t>
  </si>
  <si>
    <t>=IF(AND($M3916&gt;=$R$16,$M3916&lt;=$R$18),U3916,0)</t>
  </si>
  <si>
    <t>=IF(AND($M3916&gt;=$S$16,$M3916&lt;=$S$18),U3916,0)</t>
  </si>
  <si>
    <t>=IF($M3916&lt;=$T$18,U3916,0)</t>
  </si>
  <si>
    <t>="""NAV Direct"",""CRONUS JetCorp USA"",""21"",""1"",""444286"""</t>
  </si>
  <si>
    <t>=E3915</t>
  </si>
  <si>
    <t>=StartDate-$M3917+1</t>
  </si>
  <si>
    <t>=SUM(P3917:T3917)</t>
  </si>
  <si>
    <t>=IF($M3917&gt;=$P$18,U3917,0)</t>
  </si>
  <si>
    <t>=IF(AND($M3917&gt;=$Q$16,$M3917&lt;=$Q$18),U3917,0)</t>
  </si>
  <si>
    <t>=IF(AND($M3917&gt;=$R$16,$M3917&lt;=$R$18),U3917,0)</t>
  </si>
  <si>
    <t>=IF(AND($M3917&gt;=$S$16,$M3917&lt;=$S$18),U3917,0)</t>
  </si>
  <si>
    <t>=IF($M3917&lt;=$T$18,U3917,0)</t>
  </si>
  <si>
    <t>="""NAV Direct"",""CRONUS JetCorp USA"",""21"",""1"",""444576"""</t>
  </si>
  <si>
    <t>=E3916</t>
  </si>
  <si>
    <t>=StartDate-$M3918+1</t>
  </si>
  <si>
    <t>=SUM(P3918:T3918)</t>
  </si>
  <si>
    <t>=IF($M3918&gt;=$P$18,U3918,0)</t>
  </si>
  <si>
    <t>=IF(AND($M3918&gt;=$Q$16,$M3918&lt;=$Q$18),U3918,0)</t>
  </si>
  <si>
    <t>=IF(AND($M3918&gt;=$R$16,$M3918&lt;=$R$18),U3918,0)</t>
  </si>
  <si>
    <t>=IF(AND($M3918&gt;=$S$16,$M3918&lt;=$S$18),U3918,0)</t>
  </si>
  <si>
    <t>=IF($M3918&lt;=$T$18,U3918,0)</t>
  </si>
  <si>
    <t>="""NAV Direct"",""CRONUS JetCorp USA"",""21"",""1"",""444829"""</t>
  </si>
  <si>
    <t>=E3917</t>
  </si>
  <si>
    <t>=StartDate-$M3919+1</t>
  </si>
  <si>
    <t>=SUM(P3919:T3919)</t>
  </si>
  <si>
    <t>=IF($M3919&gt;=$P$18,U3919,0)</t>
  </si>
  <si>
    <t>=IF(AND($M3919&gt;=$Q$16,$M3919&lt;=$Q$18),U3919,0)</t>
  </si>
  <si>
    <t>=IF(AND($M3919&gt;=$R$16,$M3919&lt;=$R$18),U3919,0)</t>
  </si>
  <si>
    <t>=IF(AND($M3919&gt;=$S$16,$M3919&lt;=$S$18),U3919,0)</t>
  </si>
  <si>
    <t>=IF($M3919&lt;=$T$18,U3919,0)</t>
  </si>
  <si>
    <t>="""NAV Direct"",""CRONUS JetCorp USA"",""18"",""1"",""C100112"""</t>
  </si>
  <si>
    <t>=H3922</t>
  </si>
  <si>
    <t>=NF($C3922,"1 No.")</t>
  </si>
  <si>
    <t>=NF($C3922,"1 No.")&amp;"  -  "&amp;NF($C3922,"2 Name")</t>
  </si>
  <si>
    <t>=IFERROR(O3922/NF(C3922,"Credit Limit (LCY)"),"")</t>
  </si>
  <si>
    <t>=SUBTOTAL(3,L3923:L3994)</t>
  </si>
  <si>
    <t>=SUBTOTAL(9,O3923:O3994)</t>
  </si>
  <si>
    <t>=SUBTOTAL(9,P3923:P3994)</t>
  </si>
  <si>
    <t>=SUBTOTAL(9,Q3923:Q3994)</t>
  </si>
  <si>
    <t>=SUBTOTAL(9,R3923:R3994)</t>
  </si>
  <si>
    <t>=SUBTOTAL(9,S3923:S3994)</t>
  </si>
  <si>
    <t>=SUBTOTAL(9,T3923:T3994)</t>
  </si>
  <si>
    <t>=C3922</t>
  </si>
  <si>
    <t>=E3922</t>
  </si>
  <si>
    <t>="Contact: "&amp;NF($C3923,"8 Contact")</t>
  </si>
  <si>
    <t>=C3923</t>
  </si>
  <si>
    <t>=E3923</t>
  </si>
  <si>
    <t>=NF($C3924,"102 E-Mail")</t>
  </si>
  <si>
    <t>=NL("Rows","21 Cust. Ledger Entry",,"3 Customer No.","@@"&amp;$E3926,"16 Remaining Amt. (LCY)","&lt;&gt;0")</t>
  </si>
  <si>
    <t>=E3924</t>
  </si>
  <si>
    <t>=StartDate-$M3926+1</t>
  </si>
  <si>
    <t>=SUM(P3926:T3926)</t>
  </si>
  <si>
    <t>=IF($M3926&gt;=$P$18,U3926,0)</t>
  </si>
  <si>
    <t>=IF(AND($M3926&gt;=$Q$16,$M3926&lt;=$Q$18),U3926,0)</t>
  </si>
  <si>
    <t>=IF(AND($M3926&gt;=$R$16,$M3926&lt;=$R$18),U3926,0)</t>
  </si>
  <si>
    <t>=IF(AND($M3926&gt;=$S$16,$M3926&lt;=$S$18),U3926,0)</t>
  </si>
  <si>
    <t>=IF($M3926&lt;=$T$18,U3926,0)</t>
  </si>
  <si>
    <t>="""NAV Direct"",""CRONUS JetCorp USA"",""21"",""1"",""178957"""</t>
  </si>
  <si>
    <t>=E3925</t>
  </si>
  <si>
    <t>=StartDate-$M3927+1</t>
  </si>
  <si>
    <t>=SUM(P3927:T3927)</t>
  </si>
  <si>
    <t>=IF($M3927&gt;=$P$18,U3927,0)</t>
  </si>
  <si>
    <t>=IF(AND($M3927&gt;=$Q$16,$M3927&lt;=$Q$18),U3927,0)</t>
  </si>
  <si>
    <t>=IF(AND($M3927&gt;=$R$16,$M3927&lt;=$R$18),U3927,0)</t>
  </si>
  <si>
    <t>=IF(AND($M3927&gt;=$S$16,$M3927&lt;=$S$18),U3927,0)</t>
  </si>
  <si>
    <t>=IF($M3927&lt;=$T$18,U3927,0)</t>
  </si>
  <si>
    <t>="""NAV Direct"",""CRONUS JetCorp USA"",""21"",""1"",""414503"""</t>
  </si>
  <si>
    <t>=E3926</t>
  </si>
  <si>
    <t>=StartDate-$M3928+1</t>
  </si>
  <si>
    <t>=SUM(P3928:T3928)</t>
  </si>
  <si>
    <t>=IF($M3928&gt;=$P$18,U3928,0)</t>
  </si>
  <si>
    <t>=IF(AND($M3928&gt;=$Q$16,$M3928&lt;=$Q$18),U3928,0)</t>
  </si>
  <si>
    <t>=IF(AND($M3928&gt;=$R$16,$M3928&lt;=$R$18),U3928,0)</t>
  </si>
  <si>
    <t>=IF(AND($M3928&gt;=$S$16,$M3928&lt;=$S$18),U3928,0)</t>
  </si>
  <si>
    <t>=IF($M3928&lt;=$T$18,U3928,0)</t>
  </si>
  <si>
    <t>="""NAV Direct"",""CRONUS JetCorp USA"",""21"",""1"",""415024"""</t>
  </si>
  <si>
    <t>=E3927</t>
  </si>
  <si>
    <t>=StartDate-$M3929+1</t>
  </si>
  <si>
    <t>=SUM(P3929:T3929)</t>
  </si>
  <si>
    <t>=IF($M3929&gt;=$P$18,U3929,0)</t>
  </si>
  <si>
    <t>=IF(AND($M3929&gt;=$Q$16,$M3929&lt;=$Q$18),U3929,0)</t>
  </si>
  <si>
    <t>=IF(AND($M3929&gt;=$R$16,$M3929&lt;=$R$18),U3929,0)</t>
  </si>
  <si>
    <t>=IF(AND($M3929&gt;=$S$16,$M3929&lt;=$S$18),U3929,0)</t>
  </si>
  <si>
    <t>=IF($M3929&lt;=$T$18,U3929,0)</t>
  </si>
  <si>
    <t>="""NAV Direct"",""CRONUS JetCorp USA"",""21"",""1"",""415250"""</t>
  </si>
  <si>
    <t>=E3928</t>
  </si>
  <si>
    <t>=StartDate-$M3930+1</t>
  </si>
  <si>
    <t>=SUM(P3930:T3930)</t>
  </si>
  <si>
    <t>=IF($M3930&gt;=$P$18,U3930,0)</t>
  </si>
  <si>
    <t>=IF(AND($M3930&gt;=$Q$16,$M3930&lt;=$Q$18),U3930,0)</t>
  </si>
  <si>
    <t>=IF(AND($M3930&gt;=$R$16,$M3930&lt;=$R$18),U3930,0)</t>
  </si>
  <si>
    <t>=IF(AND($M3930&gt;=$S$16,$M3930&lt;=$S$18),U3930,0)</t>
  </si>
  <si>
    <t>=IF($M3930&lt;=$T$18,U3930,0)</t>
  </si>
  <si>
    <t>="""NAV Direct"",""CRONUS JetCorp USA"",""21"",""1"",""416156"""</t>
  </si>
  <si>
    <t>=E3929</t>
  </si>
  <si>
    <t>=StartDate-$M3931+1</t>
  </si>
  <si>
    <t>=SUM(P3931:T3931)</t>
  </si>
  <si>
    <t>=IF($M3931&gt;=$P$18,U3931,0)</t>
  </si>
  <si>
    <t>=IF(AND($M3931&gt;=$Q$16,$M3931&lt;=$Q$18),U3931,0)</t>
  </si>
  <si>
    <t>=IF(AND($M3931&gt;=$R$16,$M3931&lt;=$R$18),U3931,0)</t>
  </si>
  <si>
    <t>=IF(AND($M3931&gt;=$S$16,$M3931&lt;=$S$18),U3931,0)</t>
  </si>
  <si>
    <t>=IF($M3931&lt;=$T$18,U3931,0)</t>
  </si>
  <si>
    <t>="""NAV Direct"",""CRONUS JetCorp USA"",""21"",""1"",""416422"""</t>
  </si>
  <si>
    <t>=E3930</t>
  </si>
  <si>
    <t>=StartDate-$M3932+1</t>
  </si>
  <si>
    <t>=SUM(P3932:T3932)</t>
  </si>
  <si>
    <t>=IF($M3932&gt;=$P$18,U3932,0)</t>
  </si>
  <si>
    <t>=IF(AND($M3932&gt;=$Q$16,$M3932&lt;=$Q$18),U3932,0)</t>
  </si>
  <si>
    <t>=IF(AND($M3932&gt;=$R$16,$M3932&lt;=$R$18),U3932,0)</t>
  </si>
  <si>
    <t>=IF(AND($M3932&gt;=$S$16,$M3932&lt;=$S$18),U3932,0)</t>
  </si>
  <si>
    <t>=IF($M3932&lt;=$T$18,U3932,0)</t>
  </si>
  <si>
    <t>="""NAV Direct"",""CRONUS JetCorp USA"",""21"",""1"",""416804"""</t>
  </si>
  <si>
    <t>=E3931</t>
  </si>
  <si>
    <t>=StartDate-$M3933+1</t>
  </si>
  <si>
    <t>=SUM(P3933:T3933)</t>
  </si>
  <si>
    <t>=IF($M3933&gt;=$P$18,U3933,0)</t>
  </si>
  <si>
    <t>=IF(AND($M3933&gt;=$Q$16,$M3933&lt;=$Q$18),U3933,0)</t>
  </si>
  <si>
    <t>=IF(AND($M3933&gt;=$R$16,$M3933&lt;=$R$18),U3933,0)</t>
  </si>
  <si>
    <t>=IF(AND($M3933&gt;=$S$16,$M3933&lt;=$S$18),U3933,0)</t>
  </si>
  <si>
    <t>=IF($M3933&lt;=$T$18,U3933,0)</t>
  </si>
  <si>
    <t>="""NAV Direct"",""CRONUS JetCorp USA"",""21"",""1"",""418014"""</t>
  </si>
  <si>
    <t>=E3932</t>
  </si>
  <si>
    <t>=StartDate-$M3934+1</t>
  </si>
  <si>
    <t>=SUM(P3934:T3934)</t>
  </si>
  <si>
    <t>=IF($M3934&gt;=$P$18,U3934,0)</t>
  </si>
  <si>
    <t>=IF(AND($M3934&gt;=$Q$16,$M3934&lt;=$Q$18),U3934,0)</t>
  </si>
  <si>
    <t>=IF(AND($M3934&gt;=$R$16,$M3934&lt;=$R$18),U3934,0)</t>
  </si>
  <si>
    <t>=IF(AND($M3934&gt;=$S$16,$M3934&lt;=$S$18),U3934,0)</t>
  </si>
  <si>
    <t>=IF($M3934&lt;=$T$18,U3934,0)</t>
  </si>
  <si>
    <t>="""NAV Direct"",""CRONUS JetCorp USA"",""21"",""1"",""418172"""</t>
  </si>
  <si>
    <t>=E3933</t>
  </si>
  <si>
    <t>=StartDate-$M3935+1</t>
  </si>
  <si>
    <t>=SUM(P3935:T3935)</t>
  </si>
  <si>
    <t>=IF($M3935&gt;=$P$18,U3935,0)</t>
  </si>
  <si>
    <t>=IF(AND($M3935&gt;=$Q$16,$M3935&lt;=$Q$18),U3935,0)</t>
  </si>
  <si>
    <t>=IF(AND($M3935&gt;=$R$16,$M3935&lt;=$R$18),U3935,0)</t>
  </si>
  <si>
    <t>=IF(AND($M3935&gt;=$S$16,$M3935&lt;=$S$18),U3935,0)</t>
  </si>
  <si>
    <t>=IF($M3935&lt;=$T$18,U3935,0)</t>
  </si>
  <si>
    <t>="""NAV Direct"",""CRONUS JetCorp USA"",""21"",""1"",""418778"""</t>
  </si>
  <si>
    <t>=E3934</t>
  </si>
  <si>
    <t>=StartDate-$M3936+1</t>
  </si>
  <si>
    <t>=SUM(P3936:T3936)</t>
  </si>
  <si>
    <t>=IF($M3936&gt;=$P$18,U3936,0)</t>
  </si>
  <si>
    <t>=IF(AND($M3936&gt;=$Q$16,$M3936&lt;=$Q$18),U3936,0)</t>
  </si>
  <si>
    <t>=IF(AND($M3936&gt;=$R$16,$M3936&lt;=$R$18),U3936,0)</t>
  </si>
  <si>
    <t>=IF(AND($M3936&gt;=$S$16,$M3936&lt;=$S$18),U3936,0)</t>
  </si>
  <si>
    <t>=IF($M3936&lt;=$T$18,U3936,0)</t>
  </si>
  <si>
    <t>="""NAV Direct"",""CRONUS JetCorp USA"",""21"",""1"",""418864"""</t>
  </si>
  <si>
    <t>=E3935</t>
  </si>
  <si>
    <t>=StartDate-$M3937+1</t>
  </si>
  <si>
    <t>=SUM(P3937:T3937)</t>
  </si>
  <si>
    <t>=IF($M3937&gt;=$P$18,U3937,0)</t>
  </si>
  <si>
    <t>=IF(AND($M3937&gt;=$Q$16,$M3937&lt;=$Q$18),U3937,0)</t>
  </si>
  <si>
    <t>=IF(AND($M3937&gt;=$R$16,$M3937&lt;=$R$18),U3937,0)</t>
  </si>
  <si>
    <t>=IF(AND($M3937&gt;=$S$16,$M3937&lt;=$S$18),U3937,0)</t>
  </si>
  <si>
    <t>=IF($M3937&lt;=$T$18,U3937,0)</t>
  </si>
  <si>
    <t>="""NAV Direct"",""CRONUS JetCorp USA"",""21"",""1"",""418934"""</t>
  </si>
  <si>
    <t>=E3936</t>
  </si>
  <si>
    <t>=StartDate-$M3938+1</t>
  </si>
  <si>
    <t>=SUM(P3938:T3938)</t>
  </si>
  <si>
    <t>=IF($M3938&gt;=$P$18,U3938,0)</t>
  </si>
  <si>
    <t>=IF(AND($M3938&gt;=$Q$16,$M3938&lt;=$Q$18),U3938,0)</t>
  </si>
  <si>
    <t>=IF(AND($M3938&gt;=$R$16,$M3938&lt;=$R$18),U3938,0)</t>
  </si>
  <si>
    <t>=IF(AND($M3938&gt;=$S$16,$M3938&lt;=$S$18),U3938,0)</t>
  </si>
  <si>
    <t>=IF($M3938&lt;=$T$18,U3938,0)</t>
  </si>
  <si>
    <t>="""NAV Direct"",""CRONUS JetCorp USA"",""21"",""1"",""418979"""</t>
  </si>
  <si>
    <t>=E3937</t>
  </si>
  <si>
    <t>=StartDate-$M3939+1</t>
  </si>
  <si>
    <t>=SUM(P3939:T3939)</t>
  </si>
  <si>
    <t>=IF($M3939&gt;=$P$18,U3939,0)</t>
  </si>
  <si>
    <t>=IF(AND($M3939&gt;=$Q$16,$M3939&lt;=$Q$18),U3939,0)</t>
  </si>
  <si>
    <t>=IF(AND($M3939&gt;=$R$16,$M3939&lt;=$R$18),U3939,0)</t>
  </si>
  <si>
    <t>=IF(AND($M3939&gt;=$S$16,$M3939&lt;=$S$18),U3939,0)</t>
  </si>
  <si>
    <t>=IF($M3939&lt;=$T$18,U3939,0)</t>
  </si>
  <si>
    <t>="""NAV Direct"",""CRONUS JetCorp USA"",""21"",""1"",""419558"""</t>
  </si>
  <si>
    <t>=E3938</t>
  </si>
  <si>
    <t>=StartDate-$M3940+1</t>
  </si>
  <si>
    <t>=SUM(P3940:T3940)</t>
  </si>
  <si>
    <t>=IF($M3940&gt;=$P$18,U3940,0)</t>
  </si>
  <si>
    <t>=IF(AND($M3940&gt;=$Q$16,$M3940&lt;=$Q$18),U3940,0)</t>
  </si>
  <si>
    <t>=IF(AND($M3940&gt;=$R$16,$M3940&lt;=$R$18),U3940,0)</t>
  </si>
  <si>
    <t>=IF(AND($M3940&gt;=$S$16,$M3940&lt;=$S$18),U3940,0)</t>
  </si>
  <si>
    <t>=IF($M3940&lt;=$T$18,U3940,0)</t>
  </si>
  <si>
    <t>="""NAV Direct"",""CRONUS JetCorp USA"",""21"",""1"",""419593"""</t>
  </si>
  <si>
    <t>=E3939</t>
  </si>
  <si>
    <t>=StartDate-$M3941+1</t>
  </si>
  <si>
    <t>=SUM(P3941:T3941)</t>
  </si>
  <si>
    <t>=IF($M3941&gt;=$P$18,U3941,0)</t>
  </si>
  <si>
    <t>=IF(AND($M3941&gt;=$Q$16,$M3941&lt;=$Q$18),U3941,0)</t>
  </si>
  <si>
    <t>=IF(AND($M3941&gt;=$R$16,$M3941&lt;=$R$18),U3941,0)</t>
  </si>
  <si>
    <t>=IF(AND($M3941&gt;=$S$16,$M3941&lt;=$S$18),U3941,0)</t>
  </si>
  <si>
    <t>=IF($M3941&lt;=$T$18,U3941,0)</t>
  </si>
  <si>
    <t>="""NAV Direct"",""CRONUS JetCorp USA"",""21"",""1"",""419768"""</t>
  </si>
  <si>
    <t>=E3940</t>
  </si>
  <si>
    <t>=StartDate-$M3942+1</t>
  </si>
  <si>
    <t>=SUM(P3942:T3942)</t>
  </si>
  <si>
    <t>=IF($M3942&gt;=$P$18,U3942,0)</t>
  </si>
  <si>
    <t>=IF(AND($M3942&gt;=$Q$16,$M3942&lt;=$Q$18),U3942,0)</t>
  </si>
  <si>
    <t>=IF(AND($M3942&gt;=$R$16,$M3942&lt;=$R$18),U3942,0)</t>
  </si>
  <si>
    <t>=IF(AND($M3942&gt;=$S$16,$M3942&lt;=$S$18),U3942,0)</t>
  </si>
  <si>
    <t>=IF($M3942&lt;=$T$18,U3942,0)</t>
  </si>
  <si>
    <t>="""NAV Direct"",""CRONUS JetCorp USA"",""21"",""1"",""420461"""</t>
  </si>
  <si>
    <t>=E3941</t>
  </si>
  <si>
    <t>=StartDate-$M3943+1</t>
  </si>
  <si>
    <t>=SUM(P3943:T3943)</t>
  </si>
  <si>
    <t>=IF($M3943&gt;=$P$18,U3943,0)</t>
  </si>
  <si>
    <t>=IF(AND($M3943&gt;=$Q$16,$M3943&lt;=$Q$18),U3943,0)</t>
  </si>
  <si>
    <t>=IF(AND($M3943&gt;=$R$16,$M3943&lt;=$R$18),U3943,0)</t>
  </si>
  <si>
    <t>=IF(AND($M3943&gt;=$S$16,$M3943&lt;=$S$18),U3943,0)</t>
  </si>
  <si>
    <t>=IF($M3943&lt;=$T$18,U3943,0)</t>
  </si>
  <si>
    <t>="""NAV Direct"",""CRONUS JetCorp USA"",""21"",""1"",""420644"""</t>
  </si>
  <si>
    <t>=E3942</t>
  </si>
  <si>
    <t>=StartDate-$M3944+1</t>
  </si>
  <si>
    <t>=SUM(P3944:T3944)</t>
  </si>
  <si>
    <t>=IF($M3944&gt;=$P$18,U3944,0)</t>
  </si>
  <si>
    <t>=IF(AND($M3944&gt;=$Q$16,$M3944&lt;=$Q$18),U3944,0)</t>
  </si>
  <si>
    <t>=IF(AND($M3944&gt;=$R$16,$M3944&lt;=$R$18),U3944,0)</t>
  </si>
  <si>
    <t>=IF(AND($M3944&gt;=$S$16,$M3944&lt;=$S$18),U3944,0)</t>
  </si>
  <si>
    <t>=IF($M3944&lt;=$T$18,U3944,0)</t>
  </si>
  <si>
    <t>="""NAV Direct"",""CRONUS JetCorp USA"",""21"",""1"",""420893"""</t>
  </si>
  <si>
    <t>=E3943</t>
  </si>
  <si>
    <t>=StartDate-$M3945+1</t>
  </si>
  <si>
    <t>=SUM(P3945:T3945)</t>
  </si>
  <si>
    <t>=IF($M3945&gt;=$P$18,U3945,0)</t>
  </si>
  <si>
    <t>=IF(AND($M3945&gt;=$Q$16,$M3945&lt;=$Q$18),U3945,0)</t>
  </si>
  <si>
    <t>=IF(AND($M3945&gt;=$R$16,$M3945&lt;=$R$18),U3945,0)</t>
  </si>
  <si>
    <t>=IF(AND($M3945&gt;=$S$16,$M3945&lt;=$S$18),U3945,0)</t>
  </si>
  <si>
    <t>=IF($M3945&lt;=$T$18,U3945,0)</t>
  </si>
  <si>
    <t>="""NAV Direct"",""CRONUS JetCorp USA"",""21"",""1"",""420948"""</t>
  </si>
  <si>
    <t>=E3944</t>
  </si>
  <si>
    <t>=StartDate-$M3946+1</t>
  </si>
  <si>
    <t>=SUM(P3946:T3946)</t>
  </si>
  <si>
    <t>=IF($M3946&gt;=$P$18,U3946,0)</t>
  </si>
  <si>
    <t>=IF(AND($M3946&gt;=$Q$16,$M3946&lt;=$Q$18),U3946,0)</t>
  </si>
  <si>
    <t>=IF(AND($M3946&gt;=$R$16,$M3946&lt;=$R$18),U3946,0)</t>
  </si>
  <si>
    <t>=IF(AND($M3946&gt;=$S$16,$M3946&lt;=$S$18),U3946,0)</t>
  </si>
  <si>
    <t>=IF($M3946&lt;=$T$18,U3946,0)</t>
  </si>
  <si>
    <t>="""NAV Direct"",""CRONUS JetCorp USA"",""21"",""1"",""421059"""</t>
  </si>
  <si>
    <t>=E3945</t>
  </si>
  <si>
    <t>=StartDate-$M3947+1</t>
  </si>
  <si>
    <t>=SUM(P3947:T3947)</t>
  </si>
  <si>
    <t>=IF($M3947&gt;=$P$18,U3947,0)</t>
  </si>
  <si>
    <t>=IF(AND($M3947&gt;=$Q$16,$M3947&lt;=$Q$18),U3947,0)</t>
  </si>
  <si>
    <t>=IF(AND($M3947&gt;=$R$16,$M3947&lt;=$R$18),U3947,0)</t>
  </si>
  <si>
    <t>=IF(AND($M3947&gt;=$S$16,$M3947&lt;=$S$18),U3947,0)</t>
  </si>
  <si>
    <t>=IF($M3947&lt;=$T$18,U3947,0)</t>
  </si>
  <si>
    <t>="""NAV Direct"",""CRONUS JetCorp USA"",""21"",""1"",""421459"""</t>
  </si>
  <si>
    <t>=E3946</t>
  </si>
  <si>
    <t>=StartDate-$M3948+1</t>
  </si>
  <si>
    <t>=SUM(P3948:T3948)</t>
  </si>
  <si>
    <t>=IF($M3948&gt;=$P$18,U3948,0)</t>
  </si>
  <si>
    <t>=IF(AND($M3948&gt;=$Q$16,$M3948&lt;=$Q$18),U3948,0)</t>
  </si>
  <si>
    <t>=IF(AND($M3948&gt;=$R$16,$M3948&lt;=$R$18),U3948,0)</t>
  </si>
  <si>
    <t>=IF(AND($M3948&gt;=$S$16,$M3948&lt;=$S$18),U3948,0)</t>
  </si>
  <si>
    <t>=IF($M3948&lt;=$T$18,U3948,0)</t>
  </si>
  <si>
    <t>="""NAV Direct"",""CRONUS JetCorp USA"",""21"",""1"",""421494"""</t>
  </si>
  <si>
    <t>=E3947</t>
  </si>
  <si>
    <t>=StartDate-$M3949+1</t>
  </si>
  <si>
    <t>=SUM(P3949:T3949)</t>
  </si>
  <si>
    <t>=IF($M3949&gt;=$P$18,U3949,0)</t>
  </si>
  <si>
    <t>=IF(AND($M3949&gt;=$Q$16,$M3949&lt;=$Q$18),U3949,0)</t>
  </si>
  <si>
    <t>=IF(AND($M3949&gt;=$R$16,$M3949&lt;=$R$18),U3949,0)</t>
  </si>
  <si>
    <t>=IF(AND($M3949&gt;=$S$16,$M3949&lt;=$S$18),U3949,0)</t>
  </si>
  <si>
    <t>=IF($M3949&lt;=$T$18,U3949,0)</t>
  </si>
  <si>
    <t>="""NAV Direct"",""CRONUS JetCorp USA"",""21"",""1"",""421690"""</t>
  </si>
  <si>
    <t>=E3948</t>
  </si>
  <si>
    <t>=StartDate-$M3950+1</t>
  </si>
  <si>
    <t>=SUM(P3950:T3950)</t>
  </si>
  <si>
    <t>=IF($M3950&gt;=$P$18,U3950,0)</t>
  </si>
  <si>
    <t>=IF(AND($M3950&gt;=$Q$16,$M3950&lt;=$Q$18),U3950,0)</t>
  </si>
  <si>
    <t>=IF(AND($M3950&gt;=$R$16,$M3950&lt;=$R$18),U3950,0)</t>
  </si>
  <si>
    <t>=IF(AND($M3950&gt;=$S$16,$M3950&lt;=$S$18),U3950,0)</t>
  </si>
  <si>
    <t>=IF($M3950&lt;=$T$18,U3950,0)</t>
  </si>
  <si>
    <t>="""NAV Direct"",""CRONUS JetCorp USA"",""21"",""1"",""421754"""</t>
  </si>
  <si>
    <t>=E3949</t>
  </si>
  <si>
    <t>=StartDate-$M3951+1</t>
  </si>
  <si>
    <t>=SUM(P3951:T3951)</t>
  </si>
  <si>
    <t>=IF($M3951&gt;=$P$18,U3951,0)</t>
  </si>
  <si>
    <t>=IF(AND($M3951&gt;=$Q$16,$M3951&lt;=$Q$18),U3951,0)</t>
  </si>
  <si>
    <t>=IF(AND($M3951&gt;=$R$16,$M3951&lt;=$R$18),U3951,0)</t>
  </si>
  <si>
    <t>=IF(AND($M3951&gt;=$S$16,$M3951&lt;=$S$18),U3951,0)</t>
  </si>
  <si>
    <t>=IF($M3951&lt;=$T$18,U3951,0)</t>
  </si>
  <si>
    <t>="""NAV Direct"",""CRONUS JetCorp USA"",""21"",""1"",""421836"""</t>
  </si>
  <si>
    <t>=E3950</t>
  </si>
  <si>
    <t>=StartDate-$M3952+1</t>
  </si>
  <si>
    <t>=SUM(P3952:T3952)</t>
  </si>
  <si>
    <t>=IF($M3952&gt;=$P$18,U3952,0)</t>
  </si>
  <si>
    <t>=IF(AND($M3952&gt;=$Q$16,$M3952&lt;=$Q$18),U3952,0)</t>
  </si>
  <si>
    <t>=IF(AND($M3952&gt;=$R$16,$M3952&lt;=$R$18),U3952,0)</t>
  </si>
  <si>
    <t>=IF(AND($M3952&gt;=$S$16,$M3952&lt;=$S$18),U3952,0)</t>
  </si>
  <si>
    <t>=IF($M3952&lt;=$T$18,U3952,0)</t>
  </si>
  <si>
    <t>="""NAV Direct"",""CRONUS JetCorp USA"",""21"",""1"",""422360"""</t>
  </si>
  <si>
    <t>=E3951</t>
  </si>
  <si>
    <t>=StartDate-$M3953+1</t>
  </si>
  <si>
    <t>=SUM(P3953:T3953)</t>
  </si>
  <si>
    <t>=IF($M3953&gt;=$P$18,U3953,0)</t>
  </si>
  <si>
    <t>=IF(AND($M3953&gt;=$Q$16,$M3953&lt;=$Q$18),U3953,0)</t>
  </si>
  <si>
    <t>=IF(AND($M3953&gt;=$R$16,$M3953&lt;=$R$18),U3953,0)</t>
  </si>
  <si>
    <t>=IF(AND($M3953&gt;=$S$16,$M3953&lt;=$S$18),U3953,0)</t>
  </si>
  <si>
    <t>=IF($M3953&lt;=$T$18,U3953,0)</t>
  </si>
  <si>
    <t>="""NAV Direct"",""CRONUS JetCorp USA"",""21"",""1"",""422599"""</t>
  </si>
  <si>
    <t>=E3952</t>
  </si>
  <si>
    <t>=StartDate-$M3954+1</t>
  </si>
  <si>
    <t>=SUM(P3954:T3954)</t>
  </si>
  <si>
    <t>=IF($M3954&gt;=$P$18,U3954,0)</t>
  </si>
  <si>
    <t>=IF(AND($M3954&gt;=$Q$16,$M3954&lt;=$Q$18),U3954,0)</t>
  </si>
  <si>
    <t>=IF(AND($M3954&gt;=$R$16,$M3954&lt;=$R$18),U3954,0)</t>
  </si>
  <si>
    <t>=IF(AND($M3954&gt;=$S$16,$M3954&lt;=$S$18),U3954,0)</t>
  </si>
  <si>
    <t>=IF($M3954&lt;=$T$18,U3954,0)</t>
  </si>
  <si>
    <t>="""NAV Direct"",""CRONUS JetCorp USA"",""21"",""1"",""422855"""</t>
  </si>
  <si>
    <t>=E3953</t>
  </si>
  <si>
    <t>=StartDate-$M3955+1</t>
  </si>
  <si>
    <t>=SUM(P3955:T3955)</t>
  </si>
  <si>
    <t>=IF($M3955&gt;=$P$18,U3955,0)</t>
  </si>
  <si>
    <t>=IF(AND($M3955&gt;=$Q$16,$M3955&lt;=$Q$18),U3955,0)</t>
  </si>
  <si>
    <t>=IF(AND($M3955&gt;=$R$16,$M3955&lt;=$R$18),U3955,0)</t>
  </si>
  <si>
    <t>=IF(AND($M3955&gt;=$S$16,$M3955&lt;=$S$18),U3955,0)</t>
  </si>
  <si>
    <t>=IF($M3955&lt;=$T$18,U3955,0)</t>
  </si>
  <si>
    <t>="""NAV Direct"",""CRONUS JetCorp USA"",""21"",""1"",""423090"""</t>
  </si>
  <si>
    <t>=E3954</t>
  </si>
  <si>
    <t>=StartDate-$M3956+1</t>
  </si>
  <si>
    <t>=SUM(P3956:T3956)</t>
  </si>
  <si>
    <t>=IF($M3956&gt;=$P$18,U3956,0)</t>
  </si>
  <si>
    <t>=IF(AND($M3956&gt;=$Q$16,$M3956&lt;=$Q$18),U3956,0)</t>
  </si>
  <si>
    <t>=IF(AND($M3956&gt;=$R$16,$M3956&lt;=$R$18),U3956,0)</t>
  </si>
  <si>
    <t>=IF(AND($M3956&gt;=$S$16,$M3956&lt;=$S$18),U3956,0)</t>
  </si>
  <si>
    <t>=IF($M3956&lt;=$T$18,U3956,0)</t>
  </si>
  <si>
    <t>="""NAV Direct"",""CRONUS JetCorp USA"",""21"",""1"",""423298"""</t>
  </si>
  <si>
    <t>=E3955</t>
  </si>
  <si>
    <t>=StartDate-$M3957+1</t>
  </si>
  <si>
    <t>=SUM(P3957:T3957)</t>
  </si>
  <si>
    <t>=IF($M3957&gt;=$P$18,U3957,0)</t>
  </si>
  <si>
    <t>=IF(AND($M3957&gt;=$Q$16,$M3957&lt;=$Q$18),U3957,0)</t>
  </si>
  <si>
    <t>=IF(AND($M3957&gt;=$R$16,$M3957&lt;=$R$18),U3957,0)</t>
  </si>
  <si>
    <t>=IF(AND($M3957&gt;=$S$16,$M3957&lt;=$S$18),U3957,0)</t>
  </si>
  <si>
    <t>=IF($M3957&lt;=$T$18,U3957,0)</t>
  </si>
  <si>
    <t>="""NAV Direct"",""CRONUS JetCorp USA"",""21"",""1"",""423646"""</t>
  </si>
  <si>
    <t>=E3956</t>
  </si>
  <si>
    <t>=StartDate-$M3958+1</t>
  </si>
  <si>
    <t>=SUM(P3958:T3958)</t>
  </si>
  <si>
    <t>=IF($M3958&gt;=$P$18,U3958,0)</t>
  </si>
  <si>
    <t>=IF(AND($M3958&gt;=$Q$16,$M3958&lt;=$Q$18),U3958,0)</t>
  </si>
  <si>
    <t>=IF(AND($M3958&gt;=$R$16,$M3958&lt;=$R$18),U3958,0)</t>
  </si>
  <si>
    <t>=IF(AND($M3958&gt;=$S$16,$M3958&lt;=$S$18),U3958,0)</t>
  </si>
  <si>
    <t>=IF($M3958&lt;=$T$18,U3958,0)</t>
  </si>
  <si>
    <t>="""NAV Direct"",""CRONUS JetCorp USA"",""21"",""1"",""423963"""</t>
  </si>
  <si>
    <t>=E3957</t>
  </si>
  <si>
    <t>=StartDate-$M3959+1</t>
  </si>
  <si>
    <t>=SUM(P3959:T3959)</t>
  </si>
  <si>
    <t>=IF($M3959&gt;=$P$18,U3959,0)</t>
  </si>
  <si>
    <t>=IF(AND($M3959&gt;=$Q$16,$M3959&lt;=$Q$18),U3959,0)</t>
  </si>
  <si>
    <t>=IF(AND($M3959&gt;=$R$16,$M3959&lt;=$R$18),U3959,0)</t>
  </si>
  <si>
    <t>=IF(AND($M3959&gt;=$S$16,$M3959&lt;=$S$18),U3959,0)</t>
  </si>
  <si>
    <t>=IF($M3959&lt;=$T$18,U3959,0)</t>
  </si>
  <si>
    <t>="""NAV Direct"",""CRONUS JetCorp USA"",""21"",""1"",""424199"""</t>
  </si>
  <si>
    <t>=E3958</t>
  </si>
  <si>
    <t>=StartDate-$M3960+1</t>
  </si>
  <si>
    <t>=SUM(P3960:T3960)</t>
  </si>
  <si>
    <t>=IF($M3960&gt;=$P$18,U3960,0)</t>
  </si>
  <si>
    <t>=IF(AND($M3960&gt;=$Q$16,$M3960&lt;=$Q$18),U3960,0)</t>
  </si>
  <si>
    <t>=IF(AND($M3960&gt;=$R$16,$M3960&lt;=$R$18),U3960,0)</t>
  </si>
  <si>
    <t>=IF(AND($M3960&gt;=$S$16,$M3960&lt;=$S$18),U3960,0)</t>
  </si>
  <si>
    <t>=IF($M3960&lt;=$T$18,U3960,0)</t>
  </si>
  <si>
    <t>="""NAV Direct"",""CRONUS JetCorp USA"",""21"",""1"",""424297"""</t>
  </si>
  <si>
    <t>=E3959</t>
  </si>
  <si>
    <t>=StartDate-$M3961+1</t>
  </si>
  <si>
    <t>=SUM(P3961:T3961)</t>
  </si>
  <si>
    <t>=IF($M3961&gt;=$P$18,U3961,0)</t>
  </si>
  <si>
    <t>=IF(AND($M3961&gt;=$Q$16,$M3961&lt;=$Q$18),U3961,0)</t>
  </si>
  <si>
    <t>=IF(AND($M3961&gt;=$R$16,$M3961&lt;=$R$18),U3961,0)</t>
  </si>
  <si>
    <t>=IF(AND($M3961&gt;=$S$16,$M3961&lt;=$S$18),U3961,0)</t>
  </si>
  <si>
    <t>=IF($M3961&lt;=$T$18,U3961,0)</t>
  </si>
  <si>
    <t>="""NAV Direct"",""CRONUS JetCorp USA"",""21"",""1"",""424565"""</t>
  </si>
  <si>
    <t>=E3960</t>
  </si>
  <si>
    <t>=StartDate-$M3962+1</t>
  </si>
  <si>
    <t>=SUM(P3962:T3962)</t>
  </si>
  <si>
    <t>=IF($M3962&gt;=$P$18,U3962,0)</t>
  </si>
  <si>
    <t>=IF(AND($M3962&gt;=$Q$16,$M3962&lt;=$Q$18),U3962,0)</t>
  </si>
  <si>
    <t>=IF(AND($M3962&gt;=$R$16,$M3962&lt;=$R$18),U3962,0)</t>
  </si>
  <si>
    <t>=IF(AND($M3962&gt;=$S$16,$M3962&lt;=$S$18),U3962,0)</t>
  </si>
  <si>
    <t>=IF($M3962&lt;=$T$18,U3962,0)</t>
  </si>
  <si>
    <t>="""NAV Direct"",""CRONUS JetCorp USA"",""21"",""1"",""424988"""</t>
  </si>
  <si>
    <t>=E3961</t>
  </si>
  <si>
    <t>=StartDate-$M3963+1</t>
  </si>
  <si>
    <t>=SUM(P3963:T3963)</t>
  </si>
  <si>
    <t>=IF($M3963&gt;=$P$18,U3963,0)</t>
  </si>
  <si>
    <t>=IF(AND($M3963&gt;=$Q$16,$M3963&lt;=$Q$18),U3963,0)</t>
  </si>
  <si>
    <t>=IF(AND($M3963&gt;=$R$16,$M3963&lt;=$R$18),U3963,0)</t>
  </si>
  <si>
    <t>=IF(AND($M3963&gt;=$S$16,$M3963&lt;=$S$18),U3963,0)</t>
  </si>
  <si>
    <t>=IF($M3963&lt;=$T$18,U3963,0)</t>
  </si>
  <si>
    <t>="""NAV Direct"",""CRONUS JetCorp USA"",""21"",""1"",""426074"""</t>
  </si>
  <si>
    <t>=E3962</t>
  </si>
  <si>
    <t>=StartDate-$M3964+1</t>
  </si>
  <si>
    <t>=SUM(P3964:T3964)</t>
  </si>
  <si>
    <t>=IF($M3964&gt;=$P$18,U3964,0)</t>
  </si>
  <si>
    <t>=IF(AND($M3964&gt;=$Q$16,$M3964&lt;=$Q$18),U3964,0)</t>
  </si>
  <si>
    <t>=IF(AND($M3964&gt;=$R$16,$M3964&lt;=$R$18),U3964,0)</t>
  </si>
  <si>
    <t>=IF(AND($M3964&gt;=$S$16,$M3964&lt;=$S$18),U3964,0)</t>
  </si>
  <si>
    <t>=IF($M3964&lt;=$T$18,U3964,0)</t>
  </si>
  <si>
    <t>="""NAV Direct"",""CRONUS JetCorp USA"",""21"",""1"",""426366"""</t>
  </si>
  <si>
    <t>=E3963</t>
  </si>
  <si>
    <t>=StartDate-$M3965+1</t>
  </si>
  <si>
    <t>=SUM(P3965:T3965)</t>
  </si>
  <si>
    <t>=IF($M3965&gt;=$P$18,U3965,0)</t>
  </si>
  <si>
    <t>=IF(AND($M3965&gt;=$Q$16,$M3965&lt;=$Q$18),U3965,0)</t>
  </si>
  <si>
    <t>=IF(AND($M3965&gt;=$R$16,$M3965&lt;=$R$18),U3965,0)</t>
  </si>
  <si>
    <t>=IF(AND($M3965&gt;=$S$16,$M3965&lt;=$S$18),U3965,0)</t>
  </si>
  <si>
    <t>=IF($M3965&lt;=$T$18,U3965,0)</t>
  </si>
  <si>
    <t>="""NAV Direct"",""CRONUS JetCorp USA"",""21"",""1"",""426458"""</t>
  </si>
  <si>
    <t>=E3964</t>
  </si>
  <si>
    <t>=StartDate-$M3966+1</t>
  </si>
  <si>
    <t>=SUM(P3966:T3966)</t>
  </si>
  <si>
    <t>=IF($M3966&gt;=$P$18,U3966,0)</t>
  </si>
  <si>
    <t>=IF(AND($M3966&gt;=$Q$16,$M3966&lt;=$Q$18),U3966,0)</t>
  </si>
  <si>
    <t>=IF(AND($M3966&gt;=$R$16,$M3966&lt;=$R$18),U3966,0)</t>
  </si>
  <si>
    <t>=IF(AND($M3966&gt;=$S$16,$M3966&lt;=$S$18),U3966,0)</t>
  </si>
  <si>
    <t>=IF($M3966&lt;=$T$18,U3966,0)</t>
  </si>
  <si>
    <t>="""NAV Direct"",""CRONUS JetCorp USA"",""21"",""1"",""427225"""</t>
  </si>
  <si>
    <t>=E3965</t>
  </si>
  <si>
    <t>=StartDate-$M3967+1</t>
  </si>
  <si>
    <t>=SUM(P3967:T3967)</t>
  </si>
  <si>
    <t>=IF($M3967&gt;=$P$18,U3967,0)</t>
  </si>
  <si>
    <t>=IF(AND($M3967&gt;=$Q$16,$M3967&lt;=$Q$18),U3967,0)</t>
  </si>
  <si>
    <t>=IF(AND($M3967&gt;=$R$16,$M3967&lt;=$R$18),U3967,0)</t>
  </si>
  <si>
    <t>=IF(AND($M3967&gt;=$S$16,$M3967&lt;=$S$18),U3967,0)</t>
  </si>
  <si>
    <t>=IF($M3967&lt;=$T$18,U3967,0)</t>
  </si>
  <si>
    <t>="""NAV Direct"",""CRONUS JetCorp USA"",""21"",""1"",""427534"""</t>
  </si>
  <si>
    <t>=E3966</t>
  </si>
  <si>
    <t>=StartDate-$M3968+1</t>
  </si>
  <si>
    <t>=SUM(P3968:T3968)</t>
  </si>
  <si>
    <t>=IF($M3968&gt;=$P$18,U3968,0)</t>
  </si>
  <si>
    <t>=IF(AND($M3968&gt;=$Q$16,$M3968&lt;=$Q$18),U3968,0)</t>
  </si>
  <si>
    <t>=IF(AND($M3968&gt;=$R$16,$M3968&lt;=$R$18),U3968,0)</t>
  </si>
  <si>
    <t>=IF(AND($M3968&gt;=$S$16,$M3968&lt;=$S$18),U3968,0)</t>
  </si>
  <si>
    <t>=IF($M3968&lt;=$T$18,U3968,0)</t>
  </si>
  <si>
    <t>="""NAV Direct"",""CRONUS JetCorp USA"",""21"",""1"",""427610"""</t>
  </si>
  <si>
    <t>=E3967</t>
  </si>
  <si>
    <t>=StartDate-$M3969+1</t>
  </si>
  <si>
    <t>=SUM(P3969:T3969)</t>
  </si>
  <si>
    <t>=IF($M3969&gt;=$P$18,U3969,0)</t>
  </si>
  <si>
    <t>=IF(AND($M3969&gt;=$Q$16,$M3969&lt;=$Q$18),U3969,0)</t>
  </si>
  <si>
    <t>=IF(AND($M3969&gt;=$R$16,$M3969&lt;=$R$18),U3969,0)</t>
  </si>
  <si>
    <t>=IF(AND($M3969&gt;=$S$16,$M3969&lt;=$S$18),U3969,0)</t>
  </si>
  <si>
    <t>=IF($M3969&lt;=$T$18,U3969,0)</t>
  </si>
  <si>
    <t>="""NAV Direct"",""CRONUS JetCorp USA"",""21"",""1"",""428183"""</t>
  </si>
  <si>
    <t>=E3968</t>
  </si>
  <si>
    <t>=StartDate-$M3970+1</t>
  </si>
  <si>
    <t>=SUM(P3970:T3970)</t>
  </si>
  <si>
    <t>=IF($M3970&gt;=$P$18,U3970,0)</t>
  </si>
  <si>
    <t>=IF(AND($M3970&gt;=$Q$16,$M3970&lt;=$Q$18),U3970,0)</t>
  </si>
  <si>
    <t>=IF(AND($M3970&gt;=$R$16,$M3970&lt;=$R$18),U3970,0)</t>
  </si>
  <si>
    <t>=IF(AND($M3970&gt;=$S$16,$M3970&lt;=$S$18),U3970,0)</t>
  </si>
  <si>
    <t>=IF($M3970&lt;=$T$18,U3970,0)</t>
  </si>
  <si>
    <t>="""NAV Direct"",""CRONUS JetCorp USA"",""21"",""1"",""428508"""</t>
  </si>
  <si>
    <t>=E3969</t>
  </si>
  <si>
    <t>=StartDate-$M3971+1</t>
  </si>
  <si>
    <t>=SUM(P3971:T3971)</t>
  </si>
  <si>
    <t>=IF($M3971&gt;=$P$18,U3971,0)</t>
  </si>
  <si>
    <t>=IF(AND($M3971&gt;=$Q$16,$M3971&lt;=$Q$18),U3971,0)</t>
  </si>
  <si>
    <t>=IF(AND($M3971&gt;=$R$16,$M3971&lt;=$R$18),U3971,0)</t>
  </si>
  <si>
    <t>=IF(AND($M3971&gt;=$S$16,$M3971&lt;=$S$18),U3971,0)</t>
  </si>
  <si>
    <t>=IF($M3971&lt;=$T$18,U3971,0)</t>
  </si>
  <si>
    <t>="""NAV Direct"",""CRONUS JetCorp USA"",""21"",""1"",""441582"""</t>
  </si>
  <si>
    <t>=E3970</t>
  </si>
  <si>
    <t>=StartDate-$M3972+1</t>
  </si>
  <si>
    <t>=SUM(P3972:T3972)</t>
  </si>
  <si>
    <t>=IF($M3972&gt;=$P$18,U3972,0)</t>
  </si>
  <si>
    <t>=IF(AND($M3972&gt;=$Q$16,$M3972&lt;=$Q$18),U3972,0)</t>
  </si>
  <si>
    <t>=IF(AND($M3972&gt;=$R$16,$M3972&lt;=$R$18),U3972,0)</t>
  </si>
  <si>
    <t>=IF(AND($M3972&gt;=$S$16,$M3972&lt;=$S$18),U3972,0)</t>
  </si>
  <si>
    <t>=IF($M3972&lt;=$T$18,U3972,0)</t>
  </si>
  <si>
    <t>="""NAV Direct"",""CRONUS JetCorp USA"",""21"",""1"",""442035"""</t>
  </si>
  <si>
    <t>=E3971</t>
  </si>
  <si>
    <t>=StartDate-$M3973+1</t>
  </si>
  <si>
    <t>=SUM(P3973:T3973)</t>
  </si>
  <si>
    <t>=IF($M3973&gt;=$P$18,U3973,0)</t>
  </si>
  <si>
    <t>=IF(AND($M3973&gt;=$Q$16,$M3973&lt;=$Q$18),U3973,0)</t>
  </si>
  <si>
    <t>=IF(AND($M3973&gt;=$R$16,$M3973&lt;=$R$18),U3973,0)</t>
  </si>
  <si>
    <t>=IF(AND($M3973&gt;=$S$16,$M3973&lt;=$S$18),U3973,0)</t>
  </si>
  <si>
    <t>=IF($M3973&lt;=$T$18,U3973,0)</t>
  </si>
  <si>
    <t>="""NAV Direct"",""CRONUS JetCorp USA"",""21"",""1"",""442052"""</t>
  </si>
  <si>
    <t>=E3972</t>
  </si>
  <si>
    <t>=StartDate-$M3974+1</t>
  </si>
  <si>
    <t>=SUM(P3974:T3974)</t>
  </si>
  <si>
    <t>=IF($M3974&gt;=$P$18,U3974,0)</t>
  </si>
  <si>
    <t>=IF(AND($M3974&gt;=$Q$16,$M3974&lt;=$Q$18),U3974,0)</t>
  </si>
  <si>
    <t>=IF(AND($M3974&gt;=$R$16,$M3974&lt;=$R$18),U3974,0)</t>
  </si>
  <si>
    <t>=IF(AND($M3974&gt;=$S$16,$M3974&lt;=$S$18),U3974,0)</t>
  </si>
  <si>
    <t>=IF($M3974&lt;=$T$18,U3974,0)</t>
  </si>
  <si>
    <t>="""NAV Direct"",""CRONUS JetCorp USA"",""21"",""1"",""442327"""</t>
  </si>
  <si>
    <t>=E3973</t>
  </si>
  <si>
    <t>=StartDate-$M3975+1</t>
  </si>
  <si>
    <t>=SUM(P3975:T3975)</t>
  </si>
  <si>
    <t>=IF($M3975&gt;=$P$18,U3975,0)</t>
  </si>
  <si>
    <t>=IF(AND($M3975&gt;=$Q$16,$M3975&lt;=$Q$18),U3975,0)</t>
  </si>
  <si>
    <t>=IF(AND($M3975&gt;=$R$16,$M3975&lt;=$R$18),U3975,0)</t>
  </si>
  <si>
    <t>=IF(AND($M3975&gt;=$S$16,$M3975&lt;=$S$18),U3975,0)</t>
  </si>
  <si>
    <t>=IF($M3975&lt;=$T$18,U3975,0)</t>
  </si>
  <si>
    <t>="""NAV Direct"",""CRONUS JetCorp USA"",""21"",""1"",""442375"""</t>
  </si>
  <si>
    <t>=E3974</t>
  </si>
  <si>
    <t>=StartDate-$M3976+1</t>
  </si>
  <si>
    <t>=SUM(P3976:T3976)</t>
  </si>
  <si>
    <t>=IF($M3976&gt;=$P$18,U3976,0)</t>
  </si>
  <si>
    <t>=IF(AND($M3976&gt;=$Q$16,$M3976&lt;=$Q$18),U3976,0)</t>
  </si>
  <si>
    <t>=IF(AND($M3976&gt;=$R$16,$M3976&lt;=$R$18),U3976,0)</t>
  </si>
  <si>
    <t>=IF(AND($M3976&gt;=$S$16,$M3976&lt;=$S$18),U3976,0)</t>
  </si>
  <si>
    <t>=IF($M3976&lt;=$T$18,U3976,0)</t>
  </si>
  <si>
    <t>="""NAV Direct"",""CRONUS JetCorp USA"",""21"",""1"",""442453"""</t>
  </si>
  <si>
    <t>=E3975</t>
  </si>
  <si>
    <t>=StartDate-$M3977+1</t>
  </si>
  <si>
    <t>=SUM(P3977:T3977)</t>
  </si>
  <si>
    <t>=IF($M3977&gt;=$P$18,U3977,0)</t>
  </si>
  <si>
    <t>=IF(AND($M3977&gt;=$Q$16,$M3977&lt;=$Q$18),U3977,0)</t>
  </si>
  <si>
    <t>=IF(AND($M3977&gt;=$R$16,$M3977&lt;=$R$18),U3977,0)</t>
  </si>
  <si>
    <t>=IF(AND($M3977&gt;=$S$16,$M3977&lt;=$S$18),U3977,0)</t>
  </si>
  <si>
    <t>=IF($M3977&lt;=$T$18,U3977,0)</t>
  </si>
  <si>
    <t>="""NAV Direct"",""CRONUS JetCorp USA"",""21"",""1"",""442531"""</t>
  </si>
  <si>
    <t>=E3976</t>
  </si>
  <si>
    <t>=StartDate-$M3978+1</t>
  </si>
  <si>
    <t>=SUM(P3978:T3978)</t>
  </si>
  <si>
    <t>=IF($M3978&gt;=$P$18,U3978,0)</t>
  </si>
  <si>
    <t>=IF(AND($M3978&gt;=$Q$16,$M3978&lt;=$Q$18),U3978,0)</t>
  </si>
  <si>
    <t>=IF(AND($M3978&gt;=$R$16,$M3978&lt;=$R$18),U3978,0)</t>
  </si>
  <si>
    <t>=IF(AND($M3978&gt;=$S$16,$M3978&lt;=$S$18),U3978,0)</t>
  </si>
  <si>
    <t>=IF($M3978&lt;=$T$18,U3978,0)</t>
  </si>
  <si>
    <t>="""NAV Direct"",""CRONUS JetCorp USA"",""21"",""1"",""442554"""</t>
  </si>
  <si>
    <t>=E3977</t>
  </si>
  <si>
    <t>=StartDate-$M3979+1</t>
  </si>
  <si>
    <t>=SUM(P3979:T3979)</t>
  </si>
  <si>
    <t>=IF($M3979&gt;=$P$18,U3979,0)</t>
  </si>
  <si>
    <t>=IF(AND($M3979&gt;=$Q$16,$M3979&lt;=$Q$18),U3979,0)</t>
  </si>
  <si>
    <t>=IF(AND($M3979&gt;=$R$16,$M3979&lt;=$R$18),U3979,0)</t>
  </si>
  <si>
    <t>=IF(AND($M3979&gt;=$S$16,$M3979&lt;=$S$18),U3979,0)</t>
  </si>
  <si>
    <t>=IF($M3979&lt;=$T$18,U3979,0)</t>
  </si>
  <si>
    <t>="""NAV Direct"",""CRONUS JetCorp USA"",""21"",""1"",""442610"""</t>
  </si>
  <si>
    <t>=E3978</t>
  </si>
  <si>
    <t>=StartDate-$M3980+1</t>
  </si>
  <si>
    <t>=SUM(P3980:T3980)</t>
  </si>
  <si>
    <t>=IF($M3980&gt;=$P$18,U3980,0)</t>
  </si>
  <si>
    <t>=IF(AND($M3980&gt;=$Q$16,$M3980&lt;=$Q$18),U3980,0)</t>
  </si>
  <si>
    <t>=IF(AND($M3980&gt;=$R$16,$M3980&lt;=$R$18),U3980,0)</t>
  </si>
  <si>
    <t>=IF(AND($M3980&gt;=$S$16,$M3980&lt;=$S$18),U3980,0)</t>
  </si>
  <si>
    <t>=IF($M3980&lt;=$T$18,U3980,0)</t>
  </si>
  <si>
    <t>="""NAV Direct"",""CRONUS JetCorp USA"",""21"",""1"",""442629"""</t>
  </si>
  <si>
    <t>=E3979</t>
  </si>
  <si>
    <t>=StartDate-$M3981+1</t>
  </si>
  <si>
    <t>=SUM(P3981:T3981)</t>
  </si>
  <si>
    <t>=IF($M3981&gt;=$P$18,U3981,0)</t>
  </si>
  <si>
    <t>=IF(AND($M3981&gt;=$Q$16,$M3981&lt;=$Q$18),U3981,0)</t>
  </si>
  <si>
    <t>=IF(AND($M3981&gt;=$R$16,$M3981&lt;=$R$18),U3981,0)</t>
  </si>
  <si>
    <t>=IF(AND($M3981&gt;=$S$16,$M3981&lt;=$S$18),U3981,0)</t>
  </si>
  <si>
    <t>=IF($M3981&lt;=$T$18,U3981,0)</t>
  </si>
  <si>
    <t>="""NAV Direct"",""CRONUS JetCorp USA"",""21"",""1"",""442683"""</t>
  </si>
  <si>
    <t>=E3980</t>
  </si>
  <si>
    <t>=StartDate-$M3982+1</t>
  </si>
  <si>
    <t>=SUM(P3982:T3982)</t>
  </si>
  <si>
    <t>=IF($M3982&gt;=$P$18,U3982,0)</t>
  </si>
  <si>
    <t>=IF(AND($M3982&gt;=$Q$16,$M3982&lt;=$Q$18),U3982,0)</t>
  </si>
  <si>
    <t>=IF(AND($M3982&gt;=$R$16,$M3982&lt;=$R$18),U3982,0)</t>
  </si>
  <si>
    <t>=IF(AND($M3982&gt;=$S$16,$M3982&lt;=$S$18),U3982,0)</t>
  </si>
  <si>
    <t>=IF($M3982&lt;=$T$18,U3982,0)</t>
  </si>
  <si>
    <t>="""NAV Direct"",""CRONUS JetCorp USA"",""21"",""1"",""442723"""</t>
  </si>
  <si>
    <t>=E3981</t>
  </si>
  <si>
    <t>=StartDate-$M3983+1</t>
  </si>
  <si>
    <t>=SUM(P3983:T3983)</t>
  </si>
  <si>
    <t>=IF($M3983&gt;=$P$18,U3983,0)</t>
  </si>
  <si>
    <t>=IF(AND($M3983&gt;=$Q$16,$M3983&lt;=$Q$18),U3983,0)</t>
  </si>
  <si>
    <t>=IF(AND($M3983&gt;=$R$16,$M3983&lt;=$R$18),U3983,0)</t>
  </si>
  <si>
    <t>=IF(AND($M3983&gt;=$S$16,$M3983&lt;=$S$18),U3983,0)</t>
  </si>
  <si>
    <t>=IF($M3983&lt;=$T$18,U3983,0)</t>
  </si>
  <si>
    <t>="""NAV Direct"",""CRONUS JetCorp USA"",""21"",""1"",""442744"""</t>
  </si>
  <si>
    <t>=E3982</t>
  </si>
  <si>
    <t>=StartDate-$M3984+1</t>
  </si>
  <si>
    <t>=SUM(P3984:T3984)</t>
  </si>
  <si>
    <t>=IF($M3984&gt;=$P$18,U3984,0)</t>
  </si>
  <si>
    <t>=IF(AND($M3984&gt;=$Q$16,$M3984&lt;=$Q$18),U3984,0)</t>
  </si>
  <si>
    <t>=IF(AND($M3984&gt;=$R$16,$M3984&lt;=$R$18),U3984,0)</t>
  </si>
  <si>
    <t>=IF(AND($M3984&gt;=$S$16,$M3984&lt;=$S$18),U3984,0)</t>
  </si>
  <si>
    <t>=IF($M3984&lt;=$T$18,U3984,0)</t>
  </si>
  <si>
    <t>="""NAV Direct"",""CRONUS JetCorp USA"",""21"",""1"",""442967"""</t>
  </si>
  <si>
    <t>=E3983</t>
  </si>
  <si>
    <t>=StartDate-$M3985+1</t>
  </si>
  <si>
    <t>=SUM(P3985:T3985)</t>
  </si>
  <si>
    <t>=IF($M3985&gt;=$P$18,U3985,0)</t>
  </si>
  <si>
    <t>=IF(AND($M3985&gt;=$Q$16,$M3985&lt;=$Q$18),U3985,0)</t>
  </si>
  <si>
    <t>=IF(AND($M3985&gt;=$R$16,$M3985&lt;=$R$18),U3985,0)</t>
  </si>
  <si>
    <t>=IF(AND($M3985&gt;=$S$16,$M3985&lt;=$S$18),U3985,0)</t>
  </si>
  <si>
    <t>=IF($M3985&lt;=$T$18,U3985,0)</t>
  </si>
  <si>
    <t>="""NAV Direct"",""CRONUS JetCorp USA"",""21"",""1"",""442984"""</t>
  </si>
  <si>
    <t>=E3984</t>
  </si>
  <si>
    <t>=StartDate-$M3986+1</t>
  </si>
  <si>
    <t>=SUM(P3986:T3986)</t>
  </si>
  <si>
    <t>=IF($M3986&gt;=$P$18,U3986,0)</t>
  </si>
  <si>
    <t>=IF(AND($M3986&gt;=$Q$16,$M3986&lt;=$Q$18),U3986,0)</t>
  </si>
  <si>
    <t>=IF(AND($M3986&gt;=$R$16,$M3986&lt;=$R$18),U3986,0)</t>
  </si>
  <si>
    <t>=IF(AND($M3986&gt;=$S$16,$M3986&lt;=$S$18),U3986,0)</t>
  </si>
  <si>
    <t>=IF($M3986&lt;=$T$18,U3986,0)</t>
  </si>
  <si>
    <t>="""NAV Direct"",""CRONUS JetCorp USA"",""21"",""1"",""442995"""</t>
  </si>
  <si>
    <t>=E3985</t>
  </si>
  <si>
    <t>=StartDate-$M3987+1</t>
  </si>
  <si>
    <t>=SUM(P3987:T3987)</t>
  </si>
  <si>
    <t>=IF($M3987&gt;=$P$18,U3987,0)</t>
  </si>
  <si>
    <t>=IF(AND($M3987&gt;=$Q$16,$M3987&lt;=$Q$18),U3987,0)</t>
  </si>
  <si>
    <t>=IF(AND($M3987&gt;=$R$16,$M3987&lt;=$R$18),U3987,0)</t>
  </si>
  <si>
    <t>=IF(AND($M3987&gt;=$S$16,$M3987&lt;=$S$18),U3987,0)</t>
  </si>
  <si>
    <t>=IF($M3987&lt;=$T$18,U3987,0)</t>
  </si>
  <si>
    <t>="""NAV Direct"",""CRONUS JetCorp USA"",""21"",""1"",""443010"""</t>
  </si>
  <si>
    <t>=E3986</t>
  </si>
  <si>
    <t>=StartDate-$M3988+1</t>
  </si>
  <si>
    <t>=SUM(P3988:T3988)</t>
  </si>
  <si>
    <t>=IF($M3988&gt;=$P$18,U3988,0)</t>
  </si>
  <si>
    <t>=IF(AND($M3988&gt;=$Q$16,$M3988&lt;=$Q$18),U3988,0)</t>
  </si>
  <si>
    <t>=IF(AND($M3988&gt;=$R$16,$M3988&lt;=$R$18),U3988,0)</t>
  </si>
  <si>
    <t>=IF(AND($M3988&gt;=$S$16,$M3988&lt;=$S$18),U3988,0)</t>
  </si>
  <si>
    <t>=IF($M3988&lt;=$T$18,U3988,0)</t>
  </si>
  <si>
    <t>="""NAV Direct"",""CRONUS JetCorp USA"",""21"",""1"",""443065"""</t>
  </si>
  <si>
    <t>=E3987</t>
  </si>
  <si>
    <t>=StartDate-$M3989+1</t>
  </si>
  <si>
    <t>=SUM(P3989:T3989)</t>
  </si>
  <si>
    <t>=IF($M3989&gt;=$P$18,U3989,0)</t>
  </si>
  <si>
    <t>=IF(AND($M3989&gt;=$Q$16,$M3989&lt;=$Q$18),U3989,0)</t>
  </si>
  <si>
    <t>=IF(AND($M3989&gt;=$R$16,$M3989&lt;=$R$18),U3989,0)</t>
  </si>
  <si>
    <t>=IF(AND($M3989&gt;=$S$16,$M3989&lt;=$S$18),U3989,0)</t>
  </si>
  <si>
    <t>=IF($M3989&lt;=$T$18,U3989,0)</t>
  </si>
  <si>
    <t>="""NAV Direct"",""CRONUS JetCorp USA"",""21"",""1"",""443103"""</t>
  </si>
  <si>
    <t>=E3988</t>
  </si>
  <si>
    <t>=StartDate-$M3990+1</t>
  </si>
  <si>
    <t>=SUM(P3990:T3990)</t>
  </si>
  <si>
    <t>=IF($M3990&gt;=$P$18,U3990,0)</t>
  </si>
  <si>
    <t>=IF(AND($M3990&gt;=$Q$16,$M3990&lt;=$Q$18),U3990,0)</t>
  </si>
  <si>
    <t>=IF(AND($M3990&gt;=$R$16,$M3990&lt;=$R$18),U3990,0)</t>
  </si>
  <si>
    <t>=IF(AND($M3990&gt;=$S$16,$M3990&lt;=$S$18),U3990,0)</t>
  </si>
  <si>
    <t>=IF($M3990&lt;=$T$18,U3990,0)</t>
  </si>
  <si>
    <t>="""NAV Direct"",""CRONUS JetCorp USA"",""21"",""1"",""443200"""</t>
  </si>
  <si>
    <t>=E3989</t>
  </si>
  <si>
    <t>=StartDate-$M3991+1</t>
  </si>
  <si>
    <t>=SUM(P3991:T3991)</t>
  </si>
  <si>
    <t>=IF($M3991&gt;=$P$18,U3991,0)</t>
  </si>
  <si>
    <t>=IF(AND($M3991&gt;=$Q$16,$M3991&lt;=$Q$18),U3991,0)</t>
  </si>
  <si>
    <t>=IF(AND($M3991&gt;=$R$16,$M3991&lt;=$R$18),U3991,0)</t>
  </si>
  <si>
    <t>=IF(AND($M3991&gt;=$S$16,$M3991&lt;=$S$18),U3991,0)</t>
  </si>
  <si>
    <t>=IF($M3991&lt;=$T$18,U3991,0)</t>
  </si>
  <si>
    <t>="""NAV Direct"",""CRONUS JetCorp USA"",""21"",""1"",""443322"""</t>
  </si>
  <si>
    <t>=E3990</t>
  </si>
  <si>
    <t>=StartDate-$M3992+1</t>
  </si>
  <si>
    <t>=SUM(P3992:T3992)</t>
  </si>
  <si>
    <t>=IF($M3992&gt;=$P$18,U3992,0)</t>
  </si>
  <si>
    <t>=IF(AND($M3992&gt;=$Q$16,$M3992&lt;=$Q$18),U3992,0)</t>
  </si>
  <si>
    <t>=IF(AND($M3992&gt;=$R$16,$M3992&lt;=$R$18),U3992,0)</t>
  </si>
  <si>
    <t>=IF(AND($M3992&gt;=$S$16,$M3992&lt;=$S$18),U3992,0)</t>
  </si>
  <si>
    <t>=IF($M3992&lt;=$T$18,U3992,0)</t>
  </si>
  <si>
    <t>="""NAV Direct"",""CRONUS JetCorp USA"",""21"",""1"",""443429"""</t>
  </si>
  <si>
    <t>=E3991</t>
  </si>
  <si>
    <t>=StartDate-$M3993+1</t>
  </si>
  <si>
    <t>=SUM(P3993:T3993)</t>
  </si>
  <si>
    <t>=IF($M3993&gt;=$P$18,U3993,0)</t>
  </si>
  <si>
    <t>=IF(AND($M3993&gt;=$Q$16,$M3993&lt;=$Q$18),U3993,0)</t>
  </si>
  <si>
    <t>=IF(AND($M3993&gt;=$R$16,$M3993&lt;=$R$18),U3993,0)</t>
  </si>
  <si>
    <t>=IF(AND($M3993&gt;=$S$16,$M3993&lt;=$S$18),U3993,0)</t>
  </si>
  <si>
    <t>=IF($M3993&lt;=$T$18,U3993,0)</t>
  </si>
  <si>
    <t>="""NAV Direct"",""CRONUS JetCorp USA"",""18"",""1"",""C100113"""</t>
  </si>
  <si>
    <t>=H3996</t>
  </si>
  <si>
    <t>=NF($C3996,"1 No.")</t>
  </si>
  <si>
    <t>=NF($C3996,"1 No.")&amp;"  -  "&amp;NF($C3996,"2 Name")</t>
  </si>
  <si>
    <t>=IFERROR(O3996/NF(C3996,"Credit Limit (LCY)"),"")</t>
  </si>
  <si>
    <t>=SUBTOTAL(3,L3997:L4030)</t>
  </si>
  <si>
    <t>=SUBTOTAL(9,O3997:O4030)</t>
  </si>
  <si>
    <t>=SUBTOTAL(9,P3997:P4030)</t>
  </si>
  <si>
    <t>=SUBTOTAL(9,Q3997:Q4030)</t>
  </si>
  <si>
    <t>=SUBTOTAL(9,R3997:R4030)</t>
  </si>
  <si>
    <t>=SUBTOTAL(9,S3997:S4030)</t>
  </si>
  <si>
    <t>=SUBTOTAL(9,T3997:T4030)</t>
  </si>
  <si>
    <t>=C3996</t>
  </si>
  <si>
    <t>=E3996</t>
  </si>
  <si>
    <t>="Contact: "&amp;NF($C3997,"8 Contact")</t>
  </si>
  <si>
    <t>=C3997</t>
  </si>
  <si>
    <t>=E3997</t>
  </si>
  <si>
    <t>=NF($C3998,"102 E-Mail")</t>
  </si>
  <si>
    <t>=NL("Rows","21 Cust. Ledger Entry",,"3 Customer No.","@@"&amp;$E4000,"16 Remaining Amt. (LCY)","&lt;&gt;0")</t>
  </si>
  <si>
    <t>=E3998</t>
  </si>
  <si>
    <t>=StartDate-$M4000+1</t>
  </si>
  <si>
    <t>=SUM(P4000:T4000)</t>
  </si>
  <si>
    <t>=IF($M4000&gt;=$P$18,U4000,0)</t>
  </si>
  <si>
    <t>=IF(AND($M4000&gt;=$Q$16,$M4000&lt;=$Q$18),U4000,0)</t>
  </si>
  <si>
    <t>=IF(AND($M4000&gt;=$R$16,$M4000&lt;=$R$18),U4000,0)</t>
  </si>
  <si>
    <t>=IF(AND($M4000&gt;=$S$16,$M4000&lt;=$S$18),U4000,0)</t>
  </si>
  <si>
    <t>=IF($M4000&lt;=$T$18,U4000,0)</t>
  </si>
  <si>
    <t>="""NAV Direct"",""CRONUS JetCorp USA"",""21"",""1"",""402571"""</t>
  </si>
  <si>
    <t>=E3999</t>
  </si>
  <si>
    <t>=StartDate-$M4001+1</t>
  </si>
  <si>
    <t>=SUM(P4001:T4001)</t>
  </si>
  <si>
    <t>=IF($M4001&gt;=$P$18,U4001,0)</t>
  </si>
  <si>
    <t>=IF(AND($M4001&gt;=$Q$16,$M4001&lt;=$Q$18),U4001,0)</t>
  </si>
  <si>
    <t>=IF(AND($M4001&gt;=$R$16,$M4001&lt;=$R$18),U4001,0)</t>
  </si>
  <si>
    <t>=IF(AND($M4001&gt;=$S$16,$M4001&lt;=$S$18),U4001,0)</t>
  </si>
  <si>
    <t>=IF($M4001&lt;=$T$18,U4001,0)</t>
  </si>
  <si>
    <t>="""NAV Direct"",""CRONUS JetCorp USA"",""21"",""1"",""403113"""</t>
  </si>
  <si>
    <t>=E4000</t>
  </si>
  <si>
    <t>=StartDate-$M4002+1</t>
  </si>
  <si>
    <t>=SUM(P4002:T4002)</t>
  </si>
  <si>
    <t>=IF($M4002&gt;=$P$18,U4002,0)</t>
  </si>
  <si>
    <t>=IF(AND($M4002&gt;=$Q$16,$M4002&lt;=$Q$18),U4002,0)</t>
  </si>
  <si>
    <t>=IF(AND($M4002&gt;=$R$16,$M4002&lt;=$R$18),U4002,0)</t>
  </si>
  <si>
    <t>=IF(AND($M4002&gt;=$S$16,$M4002&lt;=$S$18),U4002,0)</t>
  </si>
  <si>
    <t>=IF($M4002&lt;=$T$18,U4002,0)</t>
  </si>
  <si>
    <t>="""NAV Direct"",""CRONUS JetCorp USA"",""21"",""1"",""403787"""</t>
  </si>
  <si>
    <t>=E4001</t>
  </si>
  <si>
    <t>=StartDate-$M4003+1</t>
  </si>
  <si>
    <t>=SUM(P4003:T4003)</t>
  </si>
  <si>
    <t>=IF($M4003&gt;=$P$18,U4003,0)</t>
  </si>
  <si>
    <t>=IF(AND($M4003&gt;=$Q$16,$M4003&lt;=$Q$18),U4003,0)</t>
  </si>
  <si>
    <t>=IF(AND($M4003&gt;=$R$16,$M4003&lt;=$R$18),U4003,0)</t>
  </si>
  <si>
    <t>=IF(AND($M4003&gt;=$S$16,$M4003&lt;=$S$18),U4003,0)</t>
  </si>
  <si>
    <t>=IF($M4003&lt;=$T$18,U4003,0)</t>
  </si>
  <si>
    <t>="""NAV Direct"",""CRONUS JetCorp USA"",""21"",""1"",""404640"""</t>
  </si>
  <si>
    <t>=E4002</t>
  </si>
  <si>
    <t>=StartDate-$M4004+1</t>
  </si>
  <si>
    <t>=SUM(P4004:T4004)</t>
  </si>
  <si>
    <t>=IF($M4004&gt;=$P$18,U4004,0)</t>
  </si>
  <si>
    <t>=IF(AND($M4004&gt;=$Q$16,$M4004&lt;=$Q$18),U4004,0)</t>
  </si>
  <si>
    <t>=IF(AND($M4004&gt;=$R$16,$M4004&lt;=$R$18),U4004,0)</t>
  </si>
  <si>
    <t>=IF(AND($M4004&gt;=$S$16,$M4004&lt;=$S$18),U4004,0)</t>
  </si>
  <si>
    <t>=IF($M4004&lt;=$T$18,U4004,0)</t>
  </si>
  <si>
    <t>="""NAV Direct"",""CRONUS JetCorp USA"",""21"",""1"",""405296"""</t>
  </si>
  <si>
    <t>=E4003</t>
  </si>
  <si>
    <t>=StartDate-$M4005+1</t>
  </si>
  <si>
    <t>=SUM(P4005:T4005)</t>
  </si>
  <si>
    <t>=IF($M4005&gt;=$P$18,U4005,0)</t>
  </si>
  <si>
    <t>=IF(AND($M4005&gt;=$Q$16,$M4005&lt;=$Q$18),U4005,0)</t>
  </si>
  <si>
    <t>=IF(AND($M4005&gt;=$R$16,$M4005&lt;=$R$18),U4005,0)</t>
  </si>
  <si>
    <t>=IF(AND($M4005&gt;=$S$16,$M4005&lt;=$S$18),U4005,0)</t>
  </si>
  <si>
    <t>=IF($M4005&lt;=$T$18,U4005,0)</t>
  </si>
  <si>
    <t>="""NAV Direct"",""CRONUS JetCorp USA"",""21"",""1"",""405645"""</t>
  </si>
  <si>
    <t>=E4004</t>
  </si>
  <si>
    <t>=StartDate-$M4006+1</t>
  </si>
  <si>
    <t>=SUM(P4006:T4006)</t>
  </si>
  <si>
    <t>=IF($M4006&gt;=$P$18,U4006,0)</t>
  </si>
  <si>
    <t>=IF(AND($M4006&gt;=$Q$16,$M4006&lt;=$Q$18),U4006,0)</t>
  </si>
  <si>
    <t>=IF(AND($M4006&gt;=$R$16,$M4006&lt;=$R$18),U4006,0)</t>
  </si>
  <si>
    <t>=IF(AND($M4006&gt;=$S$16,$M4006&lt;=$S$18),U4006,0)</t>
  </si>
  <si>
    <t>=IF($M4006&lt;=$T$18,U4006,0)</t>
  </si>
  <si>
    <t>="""NAV Direct"",""CRONUS JetCorp USA"",""21"",""1"",""405829"""</t>
  </si>
  <si>
    <t>=E4005</t>
  </si>
  <si>
    <t>=StartDate-$M4007+1</t>
  </si>
  <si>
    <t>=SUM(P4007:T4007)</t>
  </si>
  <si>
    <t>=IF($M4007&gt;=$P$18,U4007,0)</t>
  </si>
  <si>
    <t>=IF(AND($M4007&gt;=$Q$16,$M4007&lt;=$Q$18),U4007,0)</t>
  </si>
  <si>
    <t>=IF(AND($M4007&gt;=$R$16,$M4007&lt;=$R$18),U4007,0)</t>
  </si>
  <si>
    <t>=IF(AND($M4007&gt;=$S$16,$M4007&lt;=$S$18),U4007,0)</t>
  </si>
  <si>
    <t>=IF($M4007&lt;=$T$18,U4007,0)</t>
  </si>
  <si>
    <t>="""NAV Direct"",""CRONUS JetCorp USA"",""21"",""1"",""405985"""</t>
  </si>
  <si>
    <t>=E4006</t>
  </si>
  <si>
    <t>=StartDate-$M4008+1</t>
  </si>
  <si>
    <t>=SUM(P4008:T4008)</t>
  </si>
  <si>
    <t>=IF($M4008&gt;=$P$18,U4008,0)</t>
  </si>
  <si>
    <t>=IF(AND($M4008&gt;=$Q$16,$M4008&lt;=$Q$18),U4008,0)</t>
  </si>
  <si>
    <t>=IF(AND($M4008&gt;=$R$16,$M4008&lt;=$R$18),U4008,0)</t>
  </si>
  <si>
    <t>=IF(AND($M4008&gt;=$S$16,$M4008&lt;=$S$18),U4008,0)</t>
  </si>
  <si>
    <t>=IF($M4008&lt;=$T$18,U4008,0)</t>
  </si>
  <si>
    <t>="""NAV Direct"",""CRONUS JetCorp USA"",""21"",""1"",""406229"""</t>
  </si>
  <si>
    <t>=E4007</t>
  </si>
  <si>
    <t>=StartDate-$M4009+1</t>
  </si>
  <si>
    <t>=SUM(P4009:T4009)</t>
  </si>
  <si>
    <t>=IF($M4009&gt;=$P$18,U4009,0)</t>
  </si>
  <si>
    <t>=IF(AND($M4009&gt;=$Q$16,$M4009&lt;=$Q$18),U4009,0)</t>
  </si>
  <si>
    <t>=IF(AND($M4009&gt;=$R$16,$M4009&lt;=$R$18),U4009,0)</t>
  </si>
  <si>
    <t>=IF(AND($M4009&gt;=$S$16,$M4009&lt;=$S$18),U4009,0)</t>
  </si>
  <si>
    <t>=IF($M4009&lt;=$T$18,U4009,0)</t>
  </si>
  <si>
    <t>="""NAV Direct"",""CRONUS JetCorp USA"",""21"",""1"",""406566"""</t>
  </si>
  <si>
    <t>=E4008</t>
  </si>
  <si>
    <t>=StartDate-$M4010+1</t>
  </si>
  <si>
    <t>=SUM(P4010:T4010)</t>
  </si>
  <si>
    <t>=IF($M4010&gt;=$P$18,U4010,0)</t>
  </si>
  <si>
    <t>=IF(AND($M4010&gt;=$Q$16,$M4010&lt;=$Q$18),U4010,0)</t>
  </si>
  <si>
    <t>=IF(AND($M4010&gt;=$R$16,$M4010&lt;=$R$18),U4010,0)</t>
  </si>
  <si>
    <t>=IF(AND($M4010&gt;=$S$16,$M4010&lt;=$S$18),U4010,0)</t>
  </si>
  <si>
    <t>=IF($M4010&lt;=$T$18,U4010,0)</t>
  </si>
  <si>
    <t>="""NAV Direct"",""CRONUS JetCorp USA"",""21"",""1"",""406764"""</t>
  </si>
  <si>
    <t>=E4009</t>
  </si>
  <si>
    <t>=StartDate-$M4011+1</t>
  </si>
  <si>
    <t>=SUM(P4011:T4011)</t>
  </si>
  <si>
    <t>=IF($M4011&gt;=$P$18,U4011,0)</t>
  </si>
  <si>
    <t>=IF(AND($M4011&gt;=$Q$16,$M4011&lt;=$Q$18),U4011,0)</t>
  </si>
  <si>
    <t>=IF(AND($M4011&gt;=$R$16,$M4011&lt;=$R$18),U4011,0)</t>
  </si>
  <si>
    <t>=IF(AND($M4011&gt;=$S$16,$M4011&lt;=$S$18),U4011,0)</t>
  </si>
  <si>
    <t>=IF($M4011&lt;=$T$18,U4011,0)</t>
  </si>
  <si>
    <t>="""NAV Direct"",""CRONUS JetCorp USA"",""21"",""1"",""407027"""</t>
  </si>
  <si>
    <t>=E4010</t>
  </si>
  <si>
    <t>=StartDate-$M4012+1</t>
  </si>
  <si>
    <t>=SUM(P4012:T4012)</t>
  </si>
  <si>
    <t>=IF($M4012&gt;=$P$18,U4012,0)</t>
  </si>
  <si>
    <t>=IF(AND($M4012&gt;=$Q$16,$M4012&lt;=$Q$18),U4012,0)</t>
  </si>
  <si>
    <t>=IF(AND($M4012&gt;=$R$16,$M4012&lt;=$R$18),U4012,0)</t>
  </si>
  <si>
    <t>=IF(AND($M4012&gt;=$S$16,$M4012&lt;=$S$18),U4012,0)</t>
  </si>
  <si>
    <t>=IF($M4012&lt;=$T$18,U4012,0)</t>
  </si>
  <si>
    <t>="""NAV Direct"",""CRONUS JetCorp USA"",""21"",""1"",""407141"""</t>
  </si>
  <si>
    <t>=E4011</t>
  </si>
  <si>
    <t>=StartDate-$M4013+1</t>
  </si>
  <si>
    <t>=SUM(P4013:T4013)</t>
  </si>
  <si>
    <t>=IF($M4013&gt;=$P$18,U4013,0)</t>
  </si>
  <si>
    <t>=IF(AND($M4013&gt;=$Q$16,$M4013&lt;=$Q$18),U4013,0)</t>
  </si>
  <si>
    <t>=IF(AND($M4013&gt;=$R$16,$M4013&lt;=$R$18),U4013,0)</t>
  </si>
  <si>
    <t>=IF(AND($M4013&gt;=$S$16,$M4013&lt;=$S$18),U4013,0)</t>
  </si>
  <si>
    <t>=IF($M4013&lt;=$T$18,U4013,0)</t>
  </si>
  <si>
    <t>="""NAV Direct"",""CRONUS JetCorp USA"",""21"",""1"",""408426"""</t>
  </si>
  <si>
    <t>=E4012</t>
  </si>
  <si>
    <t>=StartDate-$M4014+1</t>
  </si>
  <si>
    <t>=SUM(P4014:T4014)</t>
  </si>
  <si>
    <t>=IF($M4014&gt;=$P$18,U4014,0)</t>
  </si>
  <si>
    <t>=IF(AND($M4014&gt;=$Q$16,$M4014&lt;=$Q$18),U4014,0)</t>
  </si>
  <si>
    <t>=IF(AND($M4014&gt;=$R$16,$M4014&lt;=$R$18),U4014,0)</t>
  </si>
  <si>
    <t>=IF(AND($M4014&gt;=$S$16,$M4014&lt;=$S$18),U4014,0)</t>
  </si>
  <si>
    <t>=IF($M4014&lt;=$T$18,U4014,0)</t>
  </si>
  <si>
    <t>="""NAV Direct"",""CRONUS JetCorp USA"",""21"",""1"",""408618"""</t>
  </si>
  <si>
    <t>=E4013</t>
  </si>
  <si>
    <t>=StartDate-$M4015+1</t>
  </si>
  <si>
    <t>=SUM(P4015:T4015)</t>
  </si>
  <si>
    <t>=IF($M4015&gt;=$P$18,U4015,0)</t>
  </si>
  <si>
    <t>=IF(AND($M4015&gt;=$Q$16,$M4015&lt;=$Q$18),U4015,0)</t>
  </si>
  <si>
    <t>=IF(AND($M4015&gt;=$R$16,$M4015&lt;=$R$18),U4015,0)</t>
  </si>
  <si>
    <t>=IF(AND($M4015&gt;=$S$16,$M4015&lt;=$S$18),U4015,0)</t>
  </si>
  <si>
    <t>=IF($M4015&lt;=$T$18,U4015,0)</t>
  </si>
  <si>
    <t>="""NAV Direct"",""CRONUS JetCorp USA"",""21"",""1"",""409102"""</t>
  </si>
  <si>
    <t>=E4014</t>
  </si>
  <si>
    <t>=StartDate-$M4016+1</t>
  </si>
  <si>
    <t>=SUM(P4016:T4016)</t>
  </si>
  <si>
    <t>=IF($M4016&gt;=$P$18,U4016,0)</t>
  </si>
  <si>
    <t>=IF(AND($M4016&gt;=$Q$16,$M4016&lt;=$Q$18),U4016,0)</t>
  </si>
  <si>
    <t>=IF(AND($M4016&gt;=$R$16,$M4016&lt;=$R$18),U4016,0)</t>
  </si>
  <si>
    <t>=IF(AND($M4016&gt;=$S$16,$M4016&lt;=$S$18),U4016,0)</t>
  </si>
  <si>
    <t>=IF($M4016&lt;=$T$18,U4016,0)</t>
  </si>
  <si>
    <t>="""NAV Direct"",""CRONUS JetCorp USA"",""21"",""1"",""409455"""</t>
  </si>
  <si>
    <t>=E4015</t>
  </si>
  <si>
    <t>=StartDate-$M4017+1</t>
  </si>
  <si>
    <t>=SUM(P4017:T4017)</t>
  </si>
  <si>
    <t>=IF($M4017&gt;=$P$18,U4017,0)</t>
  </si>
  <si>
    <t>=IF(AND($M4017&gt;=$Q$16,$M4017&lt;=$Q$18),U4017,0)</t>
  </si>
  <si>
    <t>=IF(AND($M4017&gt;=$R$16,$M4017&lt;=$R$18),U4017,0)</t>
  </si>
  <si>
    <t>=IF(AND($M4017&gt;=$S$16,$M4017&lt;=$S$18),U4017,0)</t>
  </si>
  <si>
    <t>=IF($M4017&lt;=$T$18,U4017,0)</t>
  </si>
  <si>
    <t>="""NAV Direct"",""CRONUS JetCorp USA"",""21"",""1"",""409600"""</t>
  </si>
  <si>
    <t>=E4016</t>
  </si>
  <si>
    <t>=StartDate-$M4018+1</t>
  </si>
  <si>
    <t>=SUM(P4018:T4018)</t>
  </si>
  <si>
    <t>=IF($M4018&gt;=$P$18,U4018,0)</t>
  </si>
  <si>
    <t>=IF(AND($M4018&gt;=$Q$16,$M4018&lt;=$Q$18),U4018,0)</t>
  </si>
  <si>
    <t>=IF(AND($M4018&gt;=$R$16,$M4018&lt;=$R$18),U4018,0)</t>
  </si>
  <si>
    <t>=IF(AND($M4018&gt;=$S$16,$M4018&lt;=$S$18),U4018,0)</t>
  </si>
  <si>
    <t>=IF($M4018&lt;=$T$18,U4018,0)</t>
  </si>
  <si>
    <t>="""NAV Direct"",""CRONUS JetCorp USA"",""21"",""1"",""409883"""</t>
  </si>
  <si>
    <t>=E4017</t>
  </si>
  <si>
    <t>=StartDate-$M4019+1</t>
  </si>
  <si>
    <t>=SUM(P4019:T4019)</t>
  </si>
  <si>
    <t>=IF($M4019&gt;=$P$18,U4019,0)</t>
  </si>
  <si>
    <t>=IF(AND($M4019&gt;=$Q$16,$M4019&lt;=$Q$18),U4019,0)</t>
  </si>
  <si>
    <t>=IF(AND($M4019&gt;=$R$16,$M4019&lt;=$R$18),U4019,0)</t>
  </si>
  <si>
    <t>=IF(AND($M4019&gt;=$S$16,$M4019&lt;=$S$18),U4019,0)</t>
  </si>
  <si>
    <t>=IF($M4019&lt;=$T$18,U4019,0)</t>
  </si>
  <si>
    <t>="""NAV Direct"",""CRONUS JetCorp USA"",""21"",""1"",""409948"""</t>
  </si>
  <si>
    <t>=E4018</t>
  </si>
  <si>
    <t>=StartDate-$M4020+1</t>
  </si>
  <si>
    <t>=SUM(P4020:T4020)</t>
  </si>
  <si>
    <t>=IF($M4020&gt;=$P$18,U4020,0)</t>
  </si>
  <si>
    <t>=IF(AND($M4020&gt;=$Q$16,$M4020&lt;=$Q$18),U4020,0)</t>
  </si>
  <si>
    <t>=IF(AND($M4020&gt;=$R$16,$M4020&lt;=$R$18),U4020,0)</t>
  </si>
  <si>
    <t>=IF(AND($M4020&gt;=$S$16,$M4020&lt;=$S$18),U4020,0)</t>
  </si>
  <si>
    <t>=IF($M4020&lt;=$T$18,U4020,0)</t>
  </si>
  <si>
    <t>="""NAV Direct"",""CRONUS JetCorp USA"",""21"",""1"",""410406"""</t>
  </si>
  <si>
    <t>=E4019</t>
  </si>
  <si>
    <t>=StartDate-$M4021+1</t>
  </si>
  <si>
    <t>=SUM(P4021:T4021)</t>
  </si>
  <si>
    <t>=IF($M4021&gt;=$P$18,U4021,0)</t>
  </si>
  <si>
    <t>=IF(AND($M4021&gt;=$Q$16,$M4021&lt;=$Q$18),U4021,0)</t>
  </si>
  <si>
    <t>=IF(AND($M4021&gt;=$R$16,$M4021&lt;=$R$18),U4021,0)</t>
  </si>
  <si>
    <t>=IF(AND($M4021&gt;=$S$16,$M4021&lt;=$S$18),U4021,0)</t>
  </si>
  <si>
    <t>=IF($M4021&lt;=$T$18,U4021,0)</t>
  </si>
  <si>
    <t>="""NAV Direct"",""CRONUS JetCorp USA"",""21"",""1"",""410691"""</t>
  </si>
  <si>
    <t>=E4020</t>
  </si>
  <si>
    <t>=StartDate-$M4022+1</t>
  </si>
  <si>
    <t>=SUM(P4022:T4022)</t>
  </si>
  <si>
    <t>=IF($M4022&gt;=$P$18,U4022,0)</t>
  </si>
  <si>
    <t>=IF(AND($M4022&gt;=$Q$16,$M4022&lt;=$Q$18),U4022,0)</t>
  </si>
  <si>
    <t>=IF(AND($M4022&gt;=$R$16,$M4022&lt;=$R$18),U4022,0)</t>
  </si>
  <si>
    <t>=IF(AND($M4022&gt;=$S$16,$M4022&lt;=$S$18),U4022,0)</t>
  </si>
  <si>
    <t>=IF($M4022&lt;=$T$18,U4022,0)</t>
  </si>
  <si>
    <t>="""NAV Direct"",""CRONUS JetCorp USA"",""21"",""1"",""411145"""</t>
  </si>
  <si>
    <t>=E4021</t>
  </si>
  <si>
    <t>=StartDate-$M4023+1</t>
  </si>
  <si>
    <t>=SUM(P4023:T4023)</t>
  </si>
  <si>
    <t>=IF($M4023&gt;=$P$18,U4023,0)</t>
  </si>
  <si>
    <t>=IF(AND($M4023&gt;=$Q$16,$M4023&lt;=$Q$18),U4023,0)</t>
  </si>
  <si>
    <t>=IF(AND($M4023&gt;=$R$16,$M4023&lt;=$R$18),U4023,0)</t>
  </si>
  <si>
    <t>=IF(AND($M4023&gt;=$S$16,$M4023&lt;=$S$18),U4023,0)</t>
  </si>
  <si>
    <t>=IF($M4023&lt;=$T$18,U4023,0)</t>
  </si>
  <si>
    <t>="""NAV Direct"",""CRONUS JetCorp USA"",""21"",""1"",""411342"""</t>
  </si>
  <si>
    <t>=E4022</t>
  </si>
  <si>
    <t>=StartDate-$M4024+1</t>
  </si>
  <si>
    <t>=SUM(P4024:T4024)</t>
  </si>
  <si>
    <t>=IF($M4024&gt;=$P$18,U4024,0)</t>
  </si>
  <si>
    <t>=IF(AND($M4024&gt;=$Q$16,$M4024&lt;=$Q$18),U4024,0)</t>
  </si>
  <si>
    <t>=IF(AND($M4024&gt;=$R$16,$M4024&lt;=$R$18),U4024,0)</t>
  </si>
  <si>
    <t>=IF(AND($M4024&gt;=$S$16,$M4024&lt;=$S$18),U4024,0)</t>
  </si>
  <si>
    <t>=IF($M4024&lt;=$T$18,U4024,0)</t>
  </si>
  <si>
    <t>="""NAV Direct"",""CRONUS JetCorp USA"",""21"",""1"",""411474"""</t>
  </si>
  <si>
    <t>=E4023</t>
  </si>
  <si>
    <t>=StartDate-$M4025+1</t>
  </si>
  <si>
    <t>=SUM(P4025:T4025)</t>
  </si>
  <si>
    <t>=IF($M4025&gt;=$P$18,U4025,0)</t>
  </si>
  <si>
    <t>=IF(AND($M4025&gt;=$Q$16,$M4025&lt;=$Q$18),U4025,0)</t>
  </si>
  <si>
    <t>=IF(AND($M4025&gt;=$R$16,$M4025&lt;=$R$18),U4025,0)</t>
  </si>
  <si>
    <t>=IF(AND($M4025&gt;=$S$16,$M4025&lt;=$S$18),U4025,0)</t>
  </si>
  <si>
    <t>=IF($M4025&lt;=$T$18,U4025,0)</t>
  </si>
  <si>
    <t>="""NAV Direct"",""CRONUS JetCorp USA"",""21"",""1"",""412689"""</t>
  </si>
  <si>
    <t>=E4024</t>
  </si>
  <si>
    <t>=StartDate-$M4026+1</t>
  </si>
  <si>
    <t>=SUM(P4026:T4026)</t>
  </si>
  <si>
    <t>=IF($M4026&gt;=$P$18,U4026,0)</t>
  </si>
  <si>
    <t>=IF(AND($M4026&gt;=$Q$16,$M4026&lt;=$Q$18),U4026,0)</t>
  </si>
  <si>
    <t>=IF(AND($M4026&gt;=$R$16,$M4026&lt;=$R$18),U4026,0)</t>
  </si>
  <si>
    <t>=IF(AND($M4026&gt;=$S$16,$M4026&lt;=$S$18),U4026,0)</t>
  </si>
  <si>
    <t>=IF($M4026&lt;=$T$18,U4026,0)</t>
  </si>
  <si>
    <t>="""NAV Direct"",""CRONUS JetCorp USA"",""21"",""1"",""412909"""</t>
  </si>
  <si>
    <t>=E4025</t>
  </si>
  <si>
    <t>=StartDate-$M4027+1</t>
  </si>
  <si>
    <t>=SUM(P4027:T4027)</t>
  </si>
  <si>
    <t>=IF($M4027&gt;=$P$18,U4027,0)</t>
  </si>
  <si>
    <t>=IF(AND($M4027&gt;=$Q$16,$M4027&lt;=$Q$18),U4027,0)</t>
  </si>
  <si>
    <t>=IF(AND($M4027&gt;=$R$16,$M4027&lt;=$R$18),U4027,0)</t>
  </si>
  <si>
    <t>=IF(AND($M4027&gt;=$S$16,$M4027&lt;=$S$18),U4027,0)</t>
  </si>
  <si>
    <t>=IF($M4027&lt;=$T$18,U4027,0)</t>
  </si>
  <si>
    <t>="""NAV Direct"",""CRONUS JetCorp USA"",""21"",""1"",""413011"""</t>
  </si>
  <si>
    <t>=E4026</t>
  </si>
  <si>
    <t>=StartDate-$M4028+1</t>
  </si>
  <si>
    <t>=SUM(P4028:T4028)</t>
  </si>
  <si>
    <t>=IF($M4028&gt;=$P$18,U4028,0)</t>
  </si>
  <si>
    <t>=IF(AND($M4028&gt;=$Q$16,$M4028&lt;=$Q$18),U4028,0)</t>
  </si>
  <si>
    <t>=IF(AND($M4028&gt;=$R$16,$M4028&lt;=$R$18),U4028,0)</t>
  </si>
  <si>
    <t>=IF(AND($M4028&gt;=$S$16,$M4028&lt;=$S$18),U4028,0)</t>
  </si>
  <si>
    <t>=IF($M4028&lt;=$T$18,U4028,0)</t>
  </si>
  <si>
    <t>="""NAV Direct"",""CRONUS JetCorp USA"",""21"",""1"",""413495"""</t>
  </si>
  <si>
    <t>=E4027</t>
  </si>
  <si>
    <t>=StartDate-$M4029+1</t>
  </si>
  <si>
    <t>=SUM(P4029:T4029)</t>
  </si>
  <si>
    <t>=IF($M4029&gt;=$P$18,U4029,0)</t>
  </si>
  <si>
    <t>=IF(AND($M4029&gt;=$Q$16,$M4029&lt;=$Q$18),U4029,0)</t>
  </si>
  <si>
    <t>=IF(AND($M4029&gt;=$R$16,$M4029&lt;=$R$18),U4029,0)</t>
  </si>
  <si>
    <t>=IF(AND($M4029&gt;=$S$16,$M4029&lt;=$S$18),U4029,0)</t>
  </si>
  <si>
    <t>=IF($M4029&lt;=$T$18,U4029,0)</t>
  </si>
  <si>
    <t>="""NAV Direct"",""CRONUS JetCorp USA"",""18"",""1"",""C100114"""</t>
  </si>
  <si>
    <t>=H4032</t>
  </si>
  <si>
    <t>=NF($C4032,"1 No.")</t>
  </si>
  <si>
    <t>=NF($C4032,"1 No.")&amp;"  -  "&amp;NF($C4032,"2 Name")</t>
  </si>
  <si>
    <t>=IFERROR(O4032/NF(C4032,"Credit Limit (LCY)"),"")</t>
  </si>
  <si>
    <t>=SUBTOTAL(3,L4033:L4055)</t>
  </si>
  <si>
    <t>=SUBTOTAL(9,O4033:O4055)</t>
  </si>
  <si>
    <t>=SUBTOTAL(9,P4033:P4055)</t>
  </si>
  <si>
    <t>=SUBTOTAL(9,Q4033:Q4055)</t>
  </si>
  <si>
    <t>=SUBTOTAL(9,R4033:R4055)</t>
  </si>
  <si>
    <t>=SUBTOTAL(9,S4033:S4055)</t>
  </si>
  <si>
    <t>=SUBTOTAL(9,T4033:T4055)</t>
  </si>
  <si>
    <t>=C4032</t>
  </si>
  <si>
    <t>=E4032</t>
  </si>
  <si>
    <t>="Contact: "&amp;NF($C4033,"8 Contact")</t>
  </si>
  <si>
    <t>=C4033</t>
  </si>
  <si>
    <t>=E4033</t>
  </si>
  <si>
    <t>=NF($C4034,"102 E-Mail")</t>
  </si>
  <si>
    <t>=NL("Rows","21 Cust. Ledger Entry",,"3 Customer No.","@@"&amp;$E4036,"16 Remaining Amt. (LCY)","&lt;&gt;0")</t>
  </si>
  <si>
    <t>=E4034</t>
  </si>
  <si>
    <t>=StartDate-$M4036+1</t>
  </si>
  <si>
    <t>=SUM(P4036:T4036)</t>
  </si>
  <si>
    <t>=IF($M4036&gt;=$P$18,U4036,0)</t>
  </si>
  <si>
    <t>=IF(AND($M4036&gt;=$Q$16,$M4036&lt;=$Q$18),U4036,0)</t>
  </si>
  <si>
    <t>=IF(AND($M4036&gt;=$R$16,$M4036&lt;=$R$18),U4036,0)</t>
  </si>
  <si>
    <t>=IF(AND($M4036&gt;=$S$16,$M4036&lt;=$S$18),U4036,0)</t>
  </si>
  <si>
    <t>=IF($M4036&lt;=$T$18,U4036,0)</t>
  </si>
  <si>
    <t>="""NAV Direct"",""CRONUS JetCorp USA"",""21"",""1"",""209557"""</t>
  </si>
  <si>
    <t>=E4035</t>
  </si>
  <si>
    <t>=StartDate-$M4037+1</t>
  </si>
  <si>
    <t>=SUM(P4037:T4037)</t>
  </si>
  <si>
    <t>=IF($M4037&gt;=$P$18,U4037,0)</t>
  </si>
  <si>
    <t>=IF(AND($M4037&gt;=$Q$16,$M4037&lt;=$Q$18),U4037,0)</t>
  </si>
  <si>
    <t>=IF(AND($M4037&gt;=$R$16,$M4037&lt;=$R$18),U4037,0)</t>
  </si>
  <si>
    <t>=IF(AND($M4037&gt;=$S$16,$M4037&lt;=$S$18),U4037,0)</t>
  </si>
  <si>
    <t>=IF($M4037&lt;=$T$18,U4037,0)</t>
  </si>
  <si>
    <t>="""NAV Direct"",""CRONUS JetCorp USA"",""21"",""1"",""209678"""</t>
  </si>
  <si>
    <t>=E4036</t>
  </si>
  <si>
    <t>=StartDate-$M4038+1</t>
  </si>
  <si>
    <t>=SUM(P4038:T4038)</t>
  </si>
  <si>
    <t>=IF($M4038&gt;=$P$18,U4038,0)</t>
  </si>
  <si>
    <t>=IF(AND($M4038&gt;=$Q$16,$M4038&lt;=$Q$18),U4038,0)</t>
  </si>
  <si>
    <t>=IF(AND($M4038&gt;=$R$16,$M4038&lt;=$R$18),U4038,0)</t>
  </si>
  <si>
    <t>=IF(AND($M4038&gt;=$S$16,$M4038&lt;=$S$18),U4038,0)</t>
  </si>
  <si>
    <t>=IF($M4038&lt;=$T$18,U4038,0)</t>
  </si>
  <si>
    <t>="""NAV Direct"",""CRONUS JetCorp USA"",""21"",""1"",""209875"""</t>
  </si>
  <si>
    <t>=E4037</t>
  </si>
  <si>
    <t>=StartDate-$M4039+1</t>
  </si>
  <si>
    <t>=SUM(P4039:T4039)</t>
  </si>
  <si>
    <t>=IF($M4039&gt;=$P$18,U4039,0)</t>
  </si>
  <si>
    <t>=IF(AND($M4039&gt;=$Q$16,$M4039&lt;=$Q$18),U4039,0)</t>
  </si>
  <si>
    <t>=IF(AND($M4039&gt;=$R$16,$M4039&lt;=$R$18),U4039,0)</t>
  </si>
  <si>
    <t>=IF(AND($M4039&gt;=$S$16,$M4039&lt;=$S$18),U4039,0)</t>
  </si>
  <si>
    <t>=IF($M4039&lt;=$T$18,U4039,0)</t>
  </si>
  <si>
    <t>="""NAV Direct"",""CRONUS JetCorp USA"",""21"",""1"",""210311"""</t>
  </si>
  <si>
    <t>=E4038</t>
  </si>
  <si>
    <t>=StartDate-$M4040+1</t>
  </si>
  <si>
    <t>=SUM(P4040:T4040)</t>
  </si>
  <si>
    <t>=IF($M4040&gt;=$P$18,U4040,0)</t>
  </si>
  <si>
    <t>=IF(AND($M4040&gt;=$Q$16,$M4040&lt;=$Q$18),U4040,0)</t>
  </si>
  <si>
    <t>=IF(AND($M4040&gt;=$R$16,$M4040&lt;=$R$18),U4040,0)</t>
  </si>
  <si>
    <t>=IF(AND($M4040&gt;=$S$16,$M4040&lt;=$S$18),U4040,0)</t>
  </si>
  <si>
    <t>=IF($M4040&lt;=$T$18,U4040,0)</t>
  </si>
  <si>
    <t>="""NAV Direct"",""CRONUS JetCorp USA"",""21"",""1"",""210950"""</t>
  </si>
  <si>
    <t>=E4039</t>
  </si>
  <si>
    <t>=StartDate-$M4041+1</t>
  </si>
  <si>
    <t>=SUM(P4041:T4041)</t>
  </si>
  <si>
    <t>=IF($M4041&gt;=$P$18,U4041,0)</t>
  </si>
  <si>
    <t>=IF(AND($M4041&gt;=$Q$16,$M4041&lt;=$Q$18),U4041,0)</t>
  </si>
  <si>
    <t>=IF(AND($M4041&gt;=$R$16,$M4041&lt;=$R$18),U4041,0)</t>
  </si>
  <si>
    <t>=IF(AND($M4041&gt;=$S$16,$M4041&lt;=$S$18),U4041,0)</t>
  </si>
  <si>
    <t>=IF($M4041&lt;=$T$18,U4041,0)</t>
  </si>
  <si>
    <t>="""NAV Direct"",""CRONUS JetCorp USA"",""21"",""1"",""211024"""</t>
  </si>
  <si>
    <t>=E4040</t>
  </si>
  <si>
    <t>=StartDate-$M4042+1</t>
  </si>
  <si>
    <t>=SUM(P4042:T4042)</t>
  </si>
  <si>
    <t>=IF($M4042&gt;=$P$18,U4042,0)</t>
  </si>
  <si>
    <t>=IF(AND($M4042&gt;=$Q$16,$M4042&lt;=$Q$18),U4042,0)</t>
  </si>
  <si>
    <t>=IF(AND($M4042&gt;=$R$16,$M4042&lt;=$R$18),U4042,0)</t>
  </si>
  <si>
    <t>=IF(AND($M4042&gt;=$S$16,$M4042&lt;=$S$18),U4042,0)</t>
  </si>
  <si>
    <t>=IF($M4042&lt;=$T$18,U4042,0)</t>
  </si>
  <si>
    <t>="""NAV Direct"",""CRONUS JetCorp USA"",""21"",""1"",""211063"""</t>
  </si>
  <si>
    <t>=E4041</t>
  </si>
  <si>
    <t>=StartDate-$M4043+1</t>
  </si>
  <si>
    <t>=SUM(P4043:T4043)</t>
  </si>
  <si>
    <t>=IF($M4043&gt;=$P$18,U4043,0)</t>
  </si>
  <si>
    <t>=IF(AND($M4043&gt;=$Q$16,$M4043&lt;=$Q$18),U4043,0)</t>
  </si>
  <si>
    <t>=IF(AND($M4043&gt;=$R$16,$M4043&lt;=$R$18),U4043,0)</t>
  </si>
  <si>
    <t>=IF(AND($M4043&gt;=$S$16,$M4043&lt;=$S$18),U4043,0)</t>
  </si>
  <si>
    <t>=IF($M4043&lt;=$T$18,U4043,0)</t>
  </si>
  <si>
    <t>="""NAV Direct"",""CRONUS JetCorp USA"",""21"",""1"",""211533"""</t>
  </si>
  <si>
    <t>=E4042</t>
  </si>
  <si>
    <t>=StartDate-$M4044+1</t>
  </si>
  <si>
    <t>=SUM(P4044:T4044)</t>
  </si>
  <si>
    <t>=IF($M4044&gt;=$P$18,U4044,0)</t>
  </si>
  <si>
    <t>=IF(AND($M4044&gt;=$Q$16,$M4044&lt;=$Q$18),U4044,0)</t>
  </si>
  <si>
    <t>=IF(AND($M4044&gt;=$R$16,$M4044&lt;=$R$18),U4044,0)</t>
  </si>
  <si>
    <t>=IF(AND($M4044&gt;=$S$16,$M4044&lt;=$S$18),U4044,0)</t>
  </si>
  <si>
    <t>=IF($M4044&lt;=$T$18,U4044,0)</t>
  </si>
  <si>
    <t>="""NAV Direct"",""CRONUS JetCorp USA"",""21"",""1"",""211713"""</t>
  </si>
  <si>
    <t>=E4043</t>
  </si>
  <si>
    <t>=StartDate-$M4045+1</t>
  </si>
  <si>
    <t>=SUM(P4045:T4045)</t>
  </si>
  <si>
    <t>=IF($M4045&gt;=$P$18,U4045,0)</t>
  </si>
  <si>
    <t>=IF(AND($M4045&gt;=$Q$16,$M4045&lt;=$Q$18),U4045,0)</t>
  </si>
  <si>
    <t>=IF(AND($M4045&gt;=$R$16,$M4045&lt;=$R$18),U4045,0)</t>
  </si>
  <si>
    <t>=IF(AND($M4045&gt;=$S$16,$M4045&lt;=$S$18),U4045,0)</t>
  </si>
  <si>
    <t>=IF($M4045&lt;=$T$18,U4045,0)</t>
  </si>
  <si>
    <t>="""NAV Direct"",""CRONUS JetCorp USA"",""21"",""1"",""212372"""</t>
  </si>
  <si>
    <t>=E4044</t>
  </si>
  <si>
    <t>=StartDate-$M4046+1</t>
  </si>
  <si>
    <t>=SUM(P4046:T4046)</t>
  </si>
  <si>
    <t>=IF($M4046&gt;=$P$18,U4046,0)</t>
  </si>
  <si>
    <t>=IF(AND($M4046&gt;=$Q$16,$M4046&lt;=$Q$18),U4046,0)</t>
  </si>
  <si>
    <t>=IF(AND($M4046&gt;=$R$16,$M4046&lt;=$R$18),U4046,0)</t>
  </si>
  <si>
    <t>=IF(AND($M4046&gt;=$S$16,$M4046&lt;=$S$18),U4046,0)</t>
  </si>
  <si>
    <t>=IF($M4046&lt;=$T$18,U4046,0)</t>
  </si>
  <si>
    <t>="""NAV Direct"",""CRONUS JetCorp USA"",""21"",""1"",""213114"""</t>
  </si>
  <si>
    <t>=E4045</t>
  </si>
  <si>
    <t>=StartDate-$M4047+1</t>
  </si>
  <si>
    <t>=SUM(P4047:T4047)</t>
  </si>
  <si>
    <t>=IF($M4047&gt;=$P$18,U4047,0)</t>
  </si>
  <si>
    <t>=IF(AND($M4047&gt;=$Q$16,$M4047&lt;=$Q$18),U4047,0)</t>
  </si>
  <si>
    <t>=IF(AND($M4047&gt;=$R$16,$M4047&lt;=$R$18),U4047,0)</t>
  </si>
  <si>
    <t>=IF(AND($M4047&gt;=$S$16,$M4047&lt;=$S$18),U4047,0)</t>
  </si>
  <si>
    <t>=IF($M4047&lt;=$T$18,U4047,0)</t>
  </si>
  <si>
    <t>="""NAV Direct"",""CRONUS JetCorp USA"",""21"",""1"",""213246"""</t>
  </si>
  <si>
    <t>=E4046</t>
  </si>
  <si>
    <t>=StartDate-$M4048+1</t>
  </si>
  <si>
    <t>=SUM(P4048:T4048)</t>
  </si>
  <si>
    <t>=IF($M4048&gt;=$P$18,U4048,0)</t>
  </si>
  <si>
    <t>=IF(AND($M4048&gt;=$Q$16,$M4048&lt;=$Q$18),U4048,0)</t>
  </si>
  <si>
    <t>=IF(AND($M4048&gt;=$R$16,$M4048&lt;=$R$18),U4048,0)</t>
  </si>
  <si>
    <t>=IF(AND($M4048&gt;=$S$16,$M4048&lt;=$S$18),U4048,0)</t>
  </si>
  <si>
    <t>=IF($M4048&lt;=$T$18,U4048,0)</t>
  </si>
  <si>
    <t>="""NAV Direct"",""CRONUS JetCorp USA"",""21"",""1"",""213417"""</t>
  </si>
  <si>
    <t>=E4047</t>
  </si>
  <si>
    <t>=StartDate-$M4049+1</t>
  </si>
  <si>
    <t>=SUM(P4049:T4049)</t>
  </si>
  <si>
    <t>=IF($M4049&gt;=$P$18,U4049,0)</t>
  </si>
  <si>
    <t>=IF(AND($M4049&gt;=$Q$16,$M4049&lt;=$Q$18),U4049,0)</t>
  </si>
  <si>
    <t>=IF(AND($M4049&gt;=$R$16,$M4049&lt;=$R$18),U4049,0)</t>
  </si>
  <si>
    <t>=IF(AND($M4049&gt;=$S$16,$M4049&lt;=$S$18),U4049,0)</t>
  </si>
  <si>
    <t>=IF($M4049&lt;=$T$18,U4049,0)</t>
  </si>
  <si>
    <t>="""NAV Direct"",""CRONUS JetCorp USA"",""21"",""1"",""213556"""</t>
  </si>
  <si>
    <t>=E4048</t>
  </si>
  <si>
    <t>=StartDate-$M4050+1</t>
  </si>
  <si>
    <t>=SUM(P4050:T4050)</t>
  </si>
  <si>
    <t>=IF($M4050&gt;=$P$18,U4050,0)</t>
  </si>
  <si>
    <t>=IF(AND($M4050&gt;=$Q$16,$M4050&lt;=$Q$18),U4050,0)</t>
  </si>
  <si>
    <t>=IF(AND($M4050&gt;=$R$16,$M4050&lt;=$R$18),U4050,0)</t>
  </si>
  <si>
    <t>=IF(AND($M4050&gt;=$S$16,$M4050&lt;=$S$18),U4050,0)</t>
  </si>
  <si>
    <t>=IF($M4050&lt;=$T$18,U4050,0)</t>
  </si>
  <si>
    <t>="""NAV Direct"",""CRONUS JetCorp USA"",""21"",""1"",""213913"""</t>
  </si>
  <si>
    <t>=E4049</t>
  </si>
  <si>
    <t>=StartDate-$M4051+1</t>
  </si>
  <si>
    <t>=SUM(P4051:T4051)</t>
  </si>
  <si>
    <t>=IF($M4051&gt;=$P$18,U4051,0)</t>
  </si>
  <si>
    <t>=IF(AND($M4051&gt;=$Q$16,$M4051&lt;=$Q$18),U4051,0)</t>
  </si>
  <si>
    <t>=IF(AND($M4051&gt;=$R$16,$M4051&lt;=$R$18),U4051,0)</t>
  </si>
  <si>
    <t>=IF(AND($M4051&gt;=$S$16,$M4051&lt;=$S$18),U4051,0)</t>
  </si>
  <si>
    <t>=IF($M4051&lt;=$T$18,U4051,0)</t>
  </si>
  <si>
    <t>="""NAV Direct"",""CRONUS JetCorp USA"",""21"",""1"",""444095"""</t>
  </si>
  <si>
    <t>=E4050</t>
  </si>
  <si>
    <t>=StartDate-$M4052+1</t>
  </si>
  <si>
    <t>=SUM(P4052:T4052)</t>
  </si>
  <si>
    <t>=IF($M4052&gt;=$P$18,U4052,0)</t>
  </si>
  <si>
    <t>=IF(AND($M4052&gt;=$Q$16,$M4052&lt;=$Q$18),U4052,0)</t>
  </si>
  <si>
    <t>=IF(AND($M4052&gt;=$R$16,$M4052&lt;=$R$18),U4052,0)</t>
  </si>
  <si>
    <t>=IF(AND($M4052&gt;=$S$16,$M4052&lt;=$S$18),U4052,0)</t>
  </si>
  <si>
    <t>=IF($M4052&lt;=$T$18,U4052,0)</t>
  </si>
  <si>
    <t>="""NAV Direct"",""CRONUS JetCorp USA"",""21"",""1"",""444199"""</t>
  </si>
  <si>
    <t>=E4051</t>
  </si>
  <si>
    <t>=StartDate-$M4053+1</t>
  </si>
  <si>
    <t>=SUM(P4053:T4053)</t>
  </si>
  <si>
    <t>=IF($M4053&gt;=$P$18,U4053,0)</t>
  </si>
  <si>
    <t>=IF(AND($M4053&gt;=$Q$16,$M4053&lt;=$Q$18),U4053,0)</t>
  </si>
  <si>
    <t>=IF(AND($M4053&gt;=$R$16,$M4053&lt;=$R$18),U4053,0)</t>
  </si>
  <si>
    <t>=IF(AND($M4053&gt;=$S$16,$M4053&lt;=$S$18),U4053,0)</t>
  </si>
  <si>
    <t>=IF($M4053&lt;=$T$18,U4053,0)</t>
  </si>
  <si>
    <t>="""NAV Direct"",""CRONUS JetCorp USA"",""21"",""1"",""444341"""</t>
  </si>
  <si>
    <t>=E4052</t>
  </si>
  <si>
    <t>=StartDate-$M4054+1</t>
  </si>
  <si>
    <t>=SUM(P4054:T4054)</t>
  </si>
  <si>
    <t>=IF($M4054&gt;=$P$18,U4054,0)</t>
  </si>
  <si>
    <t>=IF(AND($M4054&gt;=$Q$16,$M4054&lt;=$Q$18),U4054,0)</t>
  </si>
  <si>
    <t>=IF(AND($M4054&gt;=$R$16,$M4054&lt;=$R$18),U4054,0)</t>
  </si>
  <si>
    <t>=IF(AND($M4054&gt;=$S$16,$M4054&lt;=$S$18),U4054,0)</t>
  </si>
  <si>
    <t>=IF($M4054&lt;=$T$18,U4054,0)</t>
  </si>
  <si>
    <t>="""NAV Direct"",""CRONUS JetCorp USA"",""18"",""1"",""C100115"""</t>
  </si>
  <si>
    <t>=H4057</t>
  </si>
  <si>
    <t>=NF($C4057,"1 No.")</t>
  </si>
  <si>
    <t>=NF($C4057,"1 No.")&amp;"  -  "&amp;NF($C4057,"2 Name")</t>
  </si>
  <si>
    <t>=IFERROR(O4057/NF(C4057,"Credit Limit (LCY)"),"")</t>
  </si>
  <si>
    <t>=SUBTOTAL(3,L4058:L4106)</t>
  </si>
  <si>
    <t>=SUBTOTAL(9,O4058:O4106)</t>
  </si>
  <si>
    <t>=SUBTOTAL(9,P4058:P4106)</t>
  </si>
  <si>
    <t>=SUBTOTAL(9,Q4058:Q4106)</t>
  </si>
  <si>
    <t>=SUBTOTAL(9,R4058:R4106)</t>
  </si>
  <si>
    <t>=SUBTOTAL(9,S4058:S4106)</t>
  </si>
  <si>
    <t>=SUBTOTAL(9,T4058:T4106)</t>
  </si>
  <si>
    <t>=C4057</t>
  </si>
  <si>
    <t>=E4057</t>
  </si>
  <si>
    <t>="Contact: "&amp;NF($C4058,"8 Contact")</t>
  </si>
  <si>
    <t>=C4058</t>
  </si>
  <si>
    <t>=E4058</t>
  </si>
  <si>
    <t>=NF($C4059,"102 E-Mail")</t>
  </si>
  <si>
    <t>=NL("Rows","21 Cust. Ledger Entry",,"3 Customer No.","@@"&amp;$E4061,"16 Remaining Amt. (LCY)","&lt;&gt;0")</t>
  </si>
  <si>
    <t>=E4059</t>
  </si>
  <si>
    <t>=StartDate-$M4061+1</t>
  </si>
  <si>
    <t>=SUM(P4061:T4061)</t>
  </si>
  <si>
    <t>=IF($M4061&gt;=$P$18,U4061,0)</t>
  </si>
  <si>
    <t>=IF(AND($M4061&gt;=$Q$16,$M4061&lt;=$Q$18),U4061,0)</t>
  </si>
  <si>
    <t>=IF(AND($M4061&gt;=$R$16,$M4061&lt;=$R$18),U4061,0)</t>
  </si>
  <si>
    <t>=IF(AND($M4061&gt;=$S$16,$M4061&lt;=$S$18),U4061,0)</t>
  </si>
  <si>
    <t>=IF($M4061&lt;=$T$18,U4061,0)</t>
  </si>
  <si>
    <t>="""NAV Direct"",""CRONUS JetCorp USA"",""21"",""1"",""131938"""</t>
  </si>
  <si>
    <t>=E4060</t>
  </si>
  <si>
    <t>=StartDate-$M4062+1</t>
  </si>
  <si>
    <t>=SUM(P4062:T4062)</t>
  </si>
  <si>
    <t>=IF($M4062&gt;=$P$18,U4062,0)</t>
  </si>
  <si>
    <t>=IF(AND($M4062&gt;=$Q$16,$M4062&lt;=$Q$18),U4062,0)</t>
  </si>
  <si>
    <t>=IF(AND($M4062&gt;=$R$16,$M4062&lt;=$R$18),U4062,0)</t>
  </si>
  <si>
    <t>=IF(AND($M4062&gt;=$S$16,$M4062&lt;=$S$18),U4062,0)</t>
  </si>
  <si>
    <t>=IF($M4062&lt;=$T$18,U4062,0)</t>
  </si>
  <si>
    <t>="""NAV Direct"",""CRONUS JetCorp USA"",""21"",""1"",""384409"""</t>
  </si>
  <si>
    <t>=E4061</t>
  </si>
  <si>
    <t>=StartDate-$M4063+1</t>
  </si>
  <si>
    <t>=SUM(P4063:T4063)</t>
  </si>
  <si>
    <t>=IF($M4063&gt;=$P$18,U4063,0)</t>
  </si>
  <si>
    <t>=IF(AND($M4063&gt;=$Q$16,$M4063&lt;=$Q$18),U4063,0)</t>
  </si>
  <si>
    <t>=IF(AND($M4063&gt;=$R$16,$M4063&lt;=$R$18),U4063,0)</t>
  </si>
  <si>
    <t>=IF(AND($M4063&gt;=$S$16,$M4063&lt;=$S$18),U4063,0)</t>
  </si>
  <si>
    <t>=IF($M4063&lt;=$T$18,U4063,0)</t>
  </si>
  <si>
    <t>="""NAV Direct"",""CRONUS JetCorp USA"",""21"",""1"",""384472"""</t>
  </si>
  <si>
    <t>=E4062</t>
  </si>
  <si>
    <t>=StartDate-$M4064+1</t>
  </si>
  <si>
    <t>=SUM(P4064:T4064)</t>
  </si>
  <si>
    <t>=IF($M4064&gt;=$P$18,U4064,0)</t>
  </si>
  <si>
    <t>=IF(AND($M4064&gt;=$Q$16,$M4064&lt;=$Q$18),U4064,0)</t>
  </si>
  <si>
    <t>=IF(AND($M4064&gt;=$R$16,$M4064&lt;=$R$18),U4064,0)</t>
  </si>
  <si>
    <t>=IF(AND($M4064&gt;=$S$16,$M4064&lt;=$S$18),U4064,0)</t>
  </si>
  <si>
    <t>=IF($M4064&lt;=$T$18,U4064,0)</t>
  </si>
  <si>
    <t>="""NAV Direct"",""CRONUS JetCorp USA"",""21"",""1"",""385281"""</t>
  </si>
  <si>
    <t>=E4063</t>
  </si>
  <si>
    <t>=StartDate-$M4065+1</t>
  </si>
  <si>
    <t>=SUM(P4065:T4065)</t>
  </si>
  <si>
    <t>=IF($M4065&gt;=$P$18,U4065,0)</t>
  </si>
  <si>
    <t>=IF(AND($M4065&gt;=$Q$16,$M4065&lt;=$Q$18),U4065,0)</t>
  </si>
  <si>
    <t>=IF(AND($M4065&gt;=$R$16,$M4065&lt;=$R$18),U4065,0)</t>
  </si>
  <si>
    <t>=IF(AND($M4065&gt;=$S$16,$M4065&lt;=$S$18),U4065,0)</t>
  </si>
  <si>
    <t>=IF($M4065&lt;=$T$18,U4065,0)</t>
  </si>
  <si>
    <t>="""NAV Direct"",""CRONUS JetCorp USA"",""21"",""1"",""385740"""</t>
  </si>
  <si>
    <t>=E4064</t>
  </si>
  <si>
    <t>=StartDate-$M4066+1</t>
  </si>
  <si>
    <t>=SUM(P4066:T4066)</t>
  </si>
  <si>
    <t>=IF($M4066&gt;=$P$18,U4066,0)</t>
  </si>
  <si>
    <t>=IF(AND($M4066&gt;=$Q$16,$M4066&lt;=$Q$18),U4066,0)</t>
  </si>
  <si>
    <t>=IF(AND($M4066&gt;=$R$16,$M4066&lt;=$R$18),U4066,0)</t>
  </si>
  <si>
    <t>=IF(AND($M4066&gt;=$S$16,$M4066&lt;=$S$18),U4066,0)</t>
  </si>
  <si>
    <t>=IF($M4066&lt;=$T$18,U4066,0)</t>
  </si>
  <si>
    <t>="""NAV Direct"",""CRONUS JetCorp USA"",""21"",""1"",""386453"""</t>
  </si>
  <si>
    <t>=E4065</t>
  </si>
  <si>
    <t>=StartDate-$M4067+1</t>
  </si>
  <si>
    <t>=SUM(P4067:T4067)</t>
  </si>
  <si>
    <t>=IF($M4067&gt;=$P$18,U4067,0)</t>
  </si>
  <si>
    <t>=IF(AND($M4067&gt;=$Q$16,$M4067&lt;=$Q$18),U4067,0)</t>
  </si>
  <si>
    <t>=IF(AND($M4067&gt;=$R$16,$M4067&lt;=$R$18),U4067,0)</t>
  </si>
  <si>
    <t>=IF(AND($M4067&gt;=$S$16,$M4067&lt;=$S$18),U4067,0)</t>
  </si>
  <si>
    <t>=IF($M4067&lt;=$T$18,U4067,0)</t>
  </si>
  <si>
    <t>="""NAV Direct"",""CRONUS JetCorp USA"",""21"",""1"",""386506"""</t>
  </si>
  <si>
    <t>=E4066</t>
  </si>
  <si>
    <t>=StartDate-$M4068+1</t>
  </si>
  <si>
    <t>=SUM(P4068:T4068)</t>
  </si>
  <si>
    <t>=IF($M4068&gt;=$P$18,U4068,0)</t>
  </si>
  <si>
    <t>=IF(AND($M4068&gt;=$Q$16,$M4068&lt;=$Q$18),U4068,0)</t>
  </si>
  <si>
    <t>=IF(AND($M4068&gt;=$R$16,$M4068&lt;=$R$18),U4068,0)</t>
  </si>
  <si>
    <t>=IF(AND($M4068&gt;=$S$16,$M4068&lt;=$S$18),U4068,0)</t>
  </si>
  <si>
    <t>=IF($M4068&lt;=$T$18,U4068,0)</t>
  </si>
  <si>
    <t>="""NAV Direct"",""CRONUS JetCorp USA"",""21"",""1"",""386808"""</t>
  </si>
  <si>
    <t>=E4067</t>
  </si>
  <si>
    <t>=StartDate-$M4069+1</t>
  </si>
  <si>
    <t>=SUM(P4069:T4069)</t>
  </si>
  <si>
    <t>=IF($M4069&gt;=$P$18,U4069,0)</t>
  </si>
  <si>
    <t>=IF(AND($M4069&gt;=$Q$16,$M4069&lt;=$Q$18),U4069,0)</t>
  </si>
  <si>
    <t>=IF(AND($M4069&gt;=$R$16,$M4069&lt;=$R$18),U4069,0)</t>
  </si>
  <si>
    <t>=IF(AND($M4069&gt;=$S$16,$M4069&lt;=$S$18),U4069,0)</t>
  </si>
  <si>
    <t>=IF($M4069&lt;=$T$18,U4069,0)</t>
  </si>
  <si>
    <t>="""NAV Direct"",""CRONUS JetCorp USA"",""21"",""1"",""387942"""</t>
  </si>
  <si>
    <t>=E4068</t>
  </si>
  <si>
    <t>=StartDate-$M4070+1</t>
  </si>
  <si>
    <t>=SUM(P4070:T4070)</t>
  </si>
  <si>
    <t>=IF($M4070&gt;=$P$18,U4070,0)</t>
  </si>
  <si>
    <t>=IF(AND($M4070&gt;=$Q$16,$M4070&lt;=$Q$18),U4070,0)</t>
  </si>
  <si>
    <t>=IF(AND($M4070&gt;=$R$16,$M4070&lt;=$R$18),U4070,0)</t>
  </si>
  <si>
    <t>=IF(AND($M4070&gt;=$S$16,$M4070&lt;=$S$18),U4070,0)</t>
  </si>
  <si>
    <t>=IF($M4070&lt;=$T$18,U4070,0)</t>
  </si>
  <si>
    <t>="""NAV Direct"",""CRONUS JetCorp USA"",""21"",""1"",""388477"""</t>
  </si>
  <si>
    <t>=E4069</t>
  </si>
  <si>
    <t>=StartDate-$M4071+1</t>
  </si>
  <si>
    <t>=SUM(P4071:T4071)</t>
  </si>
  <si>
    <t>=IF($M4071&gt;=$P$18,U4071,0)</t>
  </si>
  <si>
    <t>=IF(AND($M4071&gt;=$Q$16,$M4071&lt;=$Q$18),U4071,0)</t>
  </si>
  <si>
    <t>=IF(AND($M4071&gt;=$R$16,$M4071&lt;=$R$18),U4071,0)</t>
  </si>
  <si>
    <t>=IF(AND($M4071&gt;=$S$16,$M4071&lt;=$S$18),U4071,0)</t>
  </si>
  <si>
    <t>=IF($M4071&lt;=$T$18,U4071,0)</t>
  </si>
  <si>
    <t>="""NAV Direct"",""CRONUS JetCorp USA"",""21"",""1"",""389050"""</t>
  </si>
  <si>
    <t>=E4070</t>
  </si>
  <si>
    <t>=StartDate-$M4072+1</t>
  </si>
  <si>
    <t>=SUM(P4072:T4072)</t>
  </si>
  <si>
    <t>=IF($M4072&gt;=$P$18,U4072,0)</t>
  </si>
  <si>
    <t>=IF(AND($M4072&gt;=$Q$16,$M4072&lt;=$Q$18),U4072,0)</t>
  </si>
  <si>
    <t>=IF(AND($M4072&gt;=$R$16,$M4072&lt;=$R$18),U4072,0)</t>
  </si>
  <si>
    <t>=IF(AND($M4072&gt;=$S$16,$M4072&lt;=$S$18),U4072,0)</t>
  </si>
  <si>
    <t>=IF($M4072&lt;=$T$18,U4072,0)</t>
  </si>
  <si>
    <t>="""NAV Direct"",""CRONUS JetCorp USA"",""21"",""1"",""389097"""</t>
  </si>
  <si>
    <t>=E4071</t>
  </si>
  <si>
    <t>=StartDate-$M4073+1</t>
  </si>
  <si>
    <t>=SUM(P4073:T4073)</t>
  </si>
  <si>
    <t>=IF($M4073&gt;=$P$18,U4073,0)</t>
  </si>
  <si>
    <t>=IF(AND($M4073&gt;=$Q$16,$M4073&lt;=$Q$18),U4073,0)</t>
  </si>
  <si>
    <t>=IF(AND($M4073&gt;=$R$16,$M4073&lt;=$R$18),U4073,0)</t>
  </si>
  <si>
    <t>=IF(AND($M4073&gt;=$S$16,$M4073&lt;=$S$18),U4073,0)</t>
  </si>
  <si>
    <t>=IF($M4073&lt;=$T$18,U4073,0)</t>
  </si>
  <si>
    <t>="""NAV Direct"",""CRONUS JetCorp USA"",""21"",""1"",""389480"""</t>
  </si>
  <si>
    <t>=E4072</t>
  </si>
  <si>
    <t>=StartDate-$M4074+1</t>
  </si>
  <si>
    <t>=SUM(P4074:T4074)</t>
  </si>
  <si>
    <t>=IF($M4074&gt;=$P$18,U4074,0)</t>
  </si>
  <si>
    <t>=IF(AND($M4074&gt;=$Q$16,$M4074&lt;=$Q$18),U4074,0)</t>
  </si>
  <si>
    <t>=IF(AND($M4074&gt;=$R$16,$M4074&lt;=$R$18),U4074,0)</t>
  </si>
  <si>
    <t>=IF(AND($M4074&gt;=$S$16,$M4074&lt;=$S$18),U4074,0)</t>
  </si>
  <si>
    <t>=IF($M4074&lt;=$T$18,U4074,0)</t>
  </si>
  <si>
    <t>="""NAV Direct"",""CRONUS JetCorp USA"",""21"",""1"",""389883"""</t>
  </si>
  <si>
    <t>=E4073</t>
  </si>
  <si>
    <t>=StartDate-$M4075+1</t>
  </si>
  <si>
    <t>=SUM(P4075:T4075)</t>
  </si>
  <si>
    <t>=IF($M4075&gt;=$P$18,U4075,0)</t>
  </si>
  <si>
    <t>=IF(AND($M4075&gt;=$Q$16,$M4075&lt;=$Q$18),U4075,0)</t>
  </si>
  <si>
    <t>=IF(AND($M4075&gt;=$R$16,$M4075&lt;=$R$18),U4075,0)</t>
  </si>
  <si>
    <t>=IF(AND($M4075&gt;=$S$16,$M4075&lt;=$S$18),U4075,0)</t>
  </si>
  <si>
    <t>=IF($M4075&lt;=$T$18,U4075,0)</t>
  </si>
  <si>
    <t>="""NAV Direct"",""CRONUS JetCorp USA"",""21"",""1"",""390032"""</t>
  </si>
  <si>
    <t>=E4074</t>
  </si>
  <si>
    <t>=StartDate-$M4076+1</t>
  </si>
  <si>
    <t>=SUM(P4076:T4076)</t>
  </si>
  <si>
    <t>=IF($M4076&gt;=$P$18,U4076,0)</t>
  </si>
  <si>
    <t>=IF(AND($M4076&gt;=$Q$16,$M4076&lt;=$Q$18),U4076,0)</t>
  </si>
  <si>
    <t>=IF(AND($M4076&gt;=$R$16,$M4076&lt;=$R$18),U4076,0)</t>
  </si>
  <si>
    <t>=IF(AND($M4076&gt;=$S$16,$M4076&lt;=$S$18),U4076,0)</t>
  </si>
  <si>
    <t>=IF($M4076&lt;=$T$18,U4076,0)</t>
  </si>
  <si>
    <t>="""NAV Direct"",""CRONUS JetCorp USA"",""21"",""1"",""390457"""</t>
  </si>
  <si>
    <t>=E4075</t>
  </si>
  <si>
    <t>=StartDate-$M4077+1</t>
  </si>
  <si>
    <t>=SUM(P4077:T4077)</t>
  </si>
  <si>
    <t>=IF($M4077&gt;=$P$18,U4077,0)</t>
  </si>
  <si>
    <t>=IF(AND($M4077&gt;=$Q$16,$M4077&lt;=$Q$18),U4077,0)</t>
  </si>
  <si>
    <t>=IF(AND($M4077&gt;=$R$16,$M4077&lt;=$R$18),U4077,0)</t>
  </si>
  <si>
    <t>=IF(AND($M4077&gt;=$S$16,$M4077&lt;=$S$18),U4077,0)</t>
  </si>
  <si>
    <t>=IF($M4077&lt;=$T$18,U4077,0)</t>
  </si>
  <si>
    <t>="""NAV Direct"",""CRONUS JetCorp USA"",""21"",""1"",""390884"""</t>
  </si>
  <si>
    <t>=E4076</t>
  </si>
  <si>
    <t>=StartDate-$M4078+1</t>
  </si>
  <si>
    <t>=SUM(P4078:T4078)</t>
  </si>
  <si>
    <t>=IF($M4078&gt;=$P$18,U4078,0)</t>
  </si>
  <si>
    <t>=IF(AND($M4078&gt;=$Q$16,$M4078&lt;=$Q$18),U4078,0)</t>
  </si>
  <si>
    <t>=IF(AND($M4078&gt;=$R$16,$M4078&lt;=$R$18),U4078,0)</t>
  </si>
  <si>
    <t>=IF(AND($M4078&gt;=$S$16,$M4078&lt;=$S$18),U4078,0)</t>
  </si>
  <si>
    <t>=IF($M4078&lt;=$T$18,U4078,0)</t>
  </si>
  <si>
    <t>="""NAV Direct"",""CRONUS JetCorp USA"",""21"",""1"",""391031"""</t>
  </si>
  <si>
    <t>=E4077</t>
  </si>
  <si>
    <t>=StartDate-$M4079+1</t>
  </si>
  <si>
    <t>=SUM(P4079:T4079)</t>
  </si>
  <si>
    <t>=IF($M4079&gt;=$P$18,U4079,0)</t>
  </si>
  <si>
    <t>=IF(AND($M4079&gt;=$Q$16,$M4079&lt;=$Q$18),U4079,0)</t>
  </si>
  <si>
    <t>=IF(AND($M4079&gt;=$R$16,$M4079&lt;=$R$18),U4079,0)</t>
  </si>
  <si>
    <t>=IF(AND($M4079&gt;=$S$16,$M4079&lt;=$S$18),U4079,0)</t>
  </si>
  <si>
    <t>=IF($M4079&lt;=$T$18,U4079,0)</t>
  </si>
  <si>
    <t>="""NAV Direct"",""CRONUS JetCorp USA"",""21"",""1"",""391523"""</t>
  </si>
  <si>
    <t>=E4078</t>
  </si>
  <si>
    <t>=StartDate-$M4080+1</t>
  </si>
  <si>
    <t>=SUM(P4080:T4080)</t>
  </si>
  <si>
    <t>=IF($M4080&gt;=$P$18,U4080,0)</t>
  </si>
  <si>
    <t>=IF(AND($M4080&gt;=$Q$16,$M4080&lt;=$Q$18),U4080,0)</t>
  </si>
  <si>
    <t>=IF(AND($M4080&gt;=$R$16,$M4080&lt;=$R$18),U4080,0)</t>
  </si>
  <si>
    <t>=IF(AND($M4080&gt;=$S$16,$M4080&lt;=$S$18),U4080,0)</t>
  </si>
  <si>
    <t>=IF($M4080&lt;=$T$18,U4080,0)</t>
  </si>
  <si>
    <t>="""NAV Direct"",""CRONUS JetCorp USA"",""21"",""1"",""392617"""</t>
  </si>
  <si>
    <t>=E4079</t>
  </si>
  <si>
    <t>=StartDate-$M4081+1</t>
  </si>
  <si>
    <t>=SUM(P4081:T4081)</t>
  </si>
  <si>
    <t>=IF($M4081&gt;=$P$18,U4081,0)</t>
  </si>
  <si>
    <t>=IF(AND($M4081&gt;=$Q$16,$M4081&lt;=$Q$18),U4081,0)</t>
  </si>
  <si>
    <t>=IF(AND($M4081&gt;=$R$16,$M4081&lt;=$R$18),U4081,0)</t>
  </si>
  <si>
    <t>=IF(AND($M4081&gt;=$S$16,$M4081&lt;=$S$18),U4081,0)</t>
  </si>
  <si>
    <t>=IF($M4081&lt;=$T$18,U4081,0)</t>
  </si>
  <si>
    <t>="""NAV Direct"",""CRONUS JetCorp USA"",""21"",""1"",""392921"""</t>
  </si>
  <si>
    <t>=E4080</t>
  </si>
  <si>
    <t>=StartDate-$M4082+1</t>
  </si>
  <si>
    <t>=SUM(P4082:T4082)</t>
  </si>
  <si>
    <t>=IF($M4082&gt;=$P$18,U4082,0)</t>
  </si>
  <si>
    <t>=IF(AND($M4082&gt;=$Q$16,$M4082&lt;=$Q$18),U4082,0)</t>
  </si>
  <si>
    <t>=IF(AND($M4082&gt;=$R$16,$M4082&lt;=$R$18),U4082,0)</t>
  </si>
  <si>
    <t>=IF(AND($M4082&gt;=$S$16,$M4082&lt;=$S$18),U4082,0)</t>
  </si>
  <si>
    <t>=IF($M4082&lt;=$T$18,U4082,0)</t>
  </si>
  <si>
    <t>="""NAV Direct"",""CRONUS JetCorp USA"",""21"",""1"",""393241"""</t>
  </si>
  <si>
    <t>=E4081</t>
  </si>
  <si>
    <t>=StartDate-$M4083+1</t>
  </si>
  <si>
    <t>=SUM(P4083:T4083)</t>
  </si>
  <si>
    <t>=IF($M4083&gt;=$P$18,U4083,0)</t>
  </si>
  <si>
    <t>=IF(AND($M4083&gt;=$Q$16,$M4083&lt;=$Q$18),U4083,0)</t>
  </si>
  <si>
    <t>=IF(AND($M4083&gt;=$R$16,$M4083&lt;=$R$18),U4083,0)</t>
  </si>
  <si>
    <t>=IF(AND($M4083&gt;=$S$16,$M4083&lt;=$S$18),U4083,0)</t>
  </si>
  <si>
    <t>=IF($M4083&lt;=$T$18,U4083,0)</t>
  </si>
  <si>
    <t>="""NAV Direct"",""CRONUS JetCorp USA"",""21"",""1"",""395209"""</t>
  </si>
  <si>
    <t>=E4082</t>
  </si>
  <si>
    <t>=StartDate-$M4084+1</t>
  </si>
  <si>
    <t>=SUM(P4084:T4084)</t>
  </si>
  <si>
    <t>=IF($M4084&gt;=$P$18,U4084,0)</t>
  </si>
  <si>
    <t>=IF(AND($M4084&gt;=$Q$16,$M4084&lt;=$Q$18),U4084,0)</t>
  </si>
  <si>
    <t>=IF(AND($M4084&gt;=$R$16,$M4084&lt;=$R$18),U4084,0)</t>
  </si>
  <si>
    <t>=IF(AND($M4084&gt;=$S$16,$M4084&lt;=$S$18),U4084,0)</t>
  </si>
  <si>
    <t>=IF($M4084&lt;=$T$18,U4084,0)</t>
  </si>
  <si>
    <t>="""NAV Direct"",""CRONUS JetCorp USA"",""21"",""1"",""396166"""</t>
  </si>
  <si>
    <t>=E4083</t>
  </si>
  <si>
    <t>=StartDate-$M4085+1</t>
  </si>
  <si>
    <t>=SUM(P4085:T4085)</t>
  </si>
  <si>
    <t>=IF($M4085&gt;=$P$18,U4085,0)</t>
  </si>
  <si>
    <t>=IF(AND($M4085&gt;=$Q$16,$M4085&lt;=$Q$18),U4085,0)</t>
  </si>
  <si>
    <t>=IF(AND($M4085&gt;=$R$16,$M4085&lt;=$R$18),U4085,0)</t>
  </si>
  <si>
    <t>=IF(AND($M4085&gt;=$S$16,$M4085&lt;=$S$18),U4085,0)</t>
  </si>
  <si>
    <t>=IF($M4085&lt;=$T$18,U4085,0)</t>
  </si>
  <si>
    <t>="""NAV Direct"",""CRONUS JetCorp USA"",""21"",""1"",""396494"""</t>
  </si>
  <si>
    <t>=E4084</t>
  </si>
  <si>
    <t>=StartDate-$M4086+1</t>
  </si>
  <si>
    <t>=SUM(P4086:T4086)</t>
  </si>
  <si>
    <t>=IF($M4086&gt;=$P$18,U4086,0)</t>
  </si>
  <si>
    <t>=IF(AND($M4086&gt;=$Q$16,$M4086&lt;=$Q$18),U4086,0)</t>
  </si>
  <si>
    <t>=IF(AND($M4086&gt;=$R$16,$M4086&lt;=$R$18),U4086,0)</t>
  </si>
  <si>
    <t>=IF(AND($M4086&gt;=$S$16,$M4086&lt;=$S$18),U4086,0)</t>
  </si>
  <si>
    <t>=IF($M4086&lt;=$T$18,U4086,0)</t>
  </si>
  <si>
    <t>="""NAV Direct"",""CRONUS JetCorp USA"",""21"",""1"",""396711"""</t>
  </si>
  <si>
    <t>=E4085</t>
  </si>
  <si>
    <t>=StartDate-$M4087+1</t>
  </si>
  <si>
    <t>=SUM(P4087:T4087)</t>
  </si>
  <si>
    <t>=IF($M4087&gt;=$P$18,U4087,0)</t>
  </si>
  <si>
    <t>=IF(AND($M4087&gt;=$Q$16,$M4087&lt;=$Q$18),U4087,0)</t>
  </si>
  <si>
    <t>=IF(AND($M4087&gt;=$R$16,$M4087&lt;=$R$18),U4087,0)</t>
  </si>
  <si>
    <t>=IF(AND($M4087&gt;=$S$16,$M4087&lt;=$S$18),U4087,0)</t>
  </si>
  <si>
    <t>=IF($M4087&lt;=$T$18,U4087,0)</t>
  </si>
  <si>
    <t>="""NAV Direct"",""CRONUS JetCorp USA"",""21"",""1"",""397286"""</t>
  </si>
  <si>
    <t>=E4086</t>
  </si>
  <si>
    <t>=StartDate-$M4088+1</t>
  </si>
  <si>
    <t>=SUM(P4088:T4088)</t>
  </si>
  <si>
    <t>=IF($M4088&gt;=$P$18,U4088,0)</t>
  </si>
  <si>
    <t>=IF(AND($M4088&gt;=$Q$16,$M4088&lt;=$Q$18),U4088,0)</t>
  </si>
  <si>
    <t>=IF(AND($M4088&gt;=$R$16,$M4088&lt;=$R$18),U4088,0)</t>
  </si>
  <si>
    <t>=IF(AND($M4088&gt;=$S$16,$M4088&lt;=$S$18),U4088,0)</t>
  </si>
  <si>
    <t>=IF($M4088&lt;=$T$18,U4088,0)</t>
  </si>
  <si>
    <t>="""NAV Direct"",""CRONUS JetCorp USA"",""21"",""1"",""397470"""</t>
  </si>
  <si>
    <t>=E4087</t>
  </si>
  <si>
    <t>=StartDate-$M4089+1</t>
  </si>
  <si>
    <t>=SUM(P4089:T4089)</t>
  </si>
  <si>
    <t>=IF($M4089&gt;=$P$18,U4089,0)</t>
  </si>
  <si>
    <t>=IF(AND($M4089&gt;=$Q$16,$M4089&lt;=$Q$18),U4089,0)</t>
  </si>
  <si>
    <t>=IF(AND($M4089&gt;=$R$16,$M4089&lt;=$R$18),U4089,0)</t>
  </si>
  <si>
    <t>=IF(AND($M4089&gt;=$S$16,$M4089&lt;=$S$18),U4089,0)</t>
  </si>
  <si>
    <t>=IF($M4089&lt;=$T$18,U4089,0)</t>
  </si>
  <si>
    <t>="""NAV Direct"",""CRONUS JetCorp USA"",""21"",""1"",""397509"""</t>
  </si>
  <si>
    <t>=E4088</t>
  </si>
  <si>
    <t>=StartDate-$M4090+1</t>
  </si>
  <si>
    <t>=SUM(P4090:T4090)</t>
  </si>
  <si>
    <t>=IF($M4090&gt;=$P$18,U4090,0)</t>
  </si>
  <si>
    <t>=IF(AND($M4090&gt;=$Q$16,$M4090&lt;=$Q$18),U4090,0)</t>
  </si>
  <si>
    <t>=IF(AND($M4090&gt;=$R$16,$M4090&lt;=$R$18),U4090,0)</t>
  </si>
  <si>
    <t>=IF(AND($M4090&gt;=$S$16,$M4090&lt;=$S$18),U4090,0)</t>
  </si>
  <si>
    <t>=IF($M4090&lt;=$T$18,U4090,0)</t>
  </si>
  <si>
    <t>="""NAV Direct"",""CRONUS JetCorp USA"",""21"",""1"",""398479"""</t>
  </si>
  <si>
    <t>=E4089</t>
  </si>
  <si>
    <t>=StartDate-$M4091+1</t>
  </si>
  <si>
    <t>=SUM(P4091:T4091)</t>
  </si>
  <si>
    <t>=IF($M4091&gt;=$P$18,U4091,0)</t>
  </si>
  <si>
    <t>=IF(AND($M4091&gt;=$Q$16,$M4091&lt;=$Q$18),U4091,0)</t>
  </si>
  <si>
    <t>=IF(AND($M4091&gt;=$R$16,$M4091&lt;=$R$18),U4091,0)</t>
  </si>
  <si>
    <t>=IF(AND($M4091&gt;=$S$16,$M4091&lt;=$S$18),U4091,0)</t>
  </si>
  <si>
    <t>=IF($M4091&lt;=$T$18,U4091,0)</t>
  </si>
  <si>
    <t>="""NAV Direct"",""CRONUS JetCorp USA"",""21"",""1"",""398577"""</t>
  </si>
  <si>
    <t>=E4090</t>
  </si>
  <si>
    <t>=StartDate-$M4092+1</t>
  </si>
  <si>
    <t>=SUM(P4092:T4092)</t>
  </si>
  <si>
    <t>=IF($M4092&gt;=$P$18,U4092,0)</t>
  </si>
  <si>
    <t>=IF(AND($M4092&gt;=$Q$16,$M4092&lt;=$Q$18),U4092,0)</t>
  </si>
  <si>
    <t>=IF(AND($M4092&gt;=$R$16,$M4092&lt;=$R$18),U4092,0)</t>
  </si>
  <si>
    <t>=IF(AND($M4092&gt;=$S$16,$M4092&lt;=$S$18),U4092,0)</t>
  </si>
  <si>
    <t>=IF($M4092&lt;=$T$18,U4092,0)</t>
  </si>
  <si>
    <t>="""NAV Direct"",""CRONUS JetCorp USA"",""21"",""1"",""399134"""</t>
  </si>
  <si>
    <t>=E4091</t>
  </si>
  <si>
    <t>=StartDate-$M4093+1</t>
  </si>
  <si>
    <t>=SUM(P4093:T4093)</t>
  </si>
  <si>
    <t>=IF($M4093&gt;=$P$18,U4093,0)</t>
  </si>
  <si>
    <t>=IF(AND($M4093&gt;=$Q$16,$M4093&lt;=$Q$18),U4093,0)</t>
  </si>
  <si>
    <t>=IF(AND($M4093&gt;=$R$16,$M4093&lt;=$R$18),U4093,0)</t>
  </si>
  <si>
    <t>=IF(AND($M4093&gt;=$S$16,$M4093&lt;=$S$18),U4093,0)</t>
  </si>
  <si>
    <t>=IF($M4093&lt;=$T$18,U4093,0)</t>
  </si>
  <si>
    <t>="""NAV Direct"",""CRONUS JetCorp USA"",""21"",""1"",""400109"""</t>
  </si>
  <si>
    <t>=E4092</t>
  </si>
  <si>
    <t>=StartDate-$M4094+1</t>
  </si>
  <si>
    <t>=SUM(P4094:T4094)</t>
  </si>
  <si>
    <t>=IF($M4094&gt;=$P$18,U4094,0)</t>
  </si>
  <si>
    <t>=IF(AND($M4094&gt;=$Q$16,$M4094&lt;=$Q$18),U4094,0)</t>
  </si>
  <si>
    <t>=IF(AND($M4094&gt;=$R$16,$M4094&lt;=$R$18),U4094,0)</t>
  </si>
  <si>
    <t>=IF(AND($M4094&gt;=$S$16,$M4094&lt;=$S$18),U4094,0)</t>
  </si>
  <si>
    <t>=IF($M4094&lt;=$T$18,U4094,0)</t>
  </si>
  <si>
    <t>="""NAV Direct"",""CRONUS JetCorp USA"",""21"",""1"",""400823"""</t>
  </si>
  <si>
    <t>=E4093</t>
  </si>
  <si>
    <t>=StartDate-$M4095+1</t>
  </si>
  <si>
    <t>=SUM(P4095:T4095)</t>
  </si>
  <si>
    <t>=IF($M4095&gt;=$P$18,U4095,0)</t>
  </si>
  <si>
    <t>=IF(AND($M4095&gt;=$Q$16,$M4095&lt;=$Q$18),U4095,0)</t>
  </si>
  <si>
    <t>=IF(AND($M4095&gt;=$R$16,$M4095&lt;=$R$18),U4095,0)</t>
  </si>
  <si>
    <t>=IF(AND($M4095&gt;=$S$16,$M4095&lt;=$S$18),U4095,0)</t>
  </si>
  <si>
    <t>=IF($M4095&lt;=$T$18,U4095,0)</t>
  </si>
  <si>
    <t>="""NAV Direct"",""CRONUS JetCorp USA"",""21"",""1"",""401246"""</t>
  </si>
  <si>
    <t>=E4094</t>
  </si>
  <si>
    <t>=StartDate-$M4096+1</t>
  </si>
  <si>
    <t>=SUM(P4096:T4096)</t>
  </si>
  <si>
    <t>=IF($M4096&gt;=$P$18,U4096,0)</t>
  </si>
  <si>
    <t>=IF(AND($M4096&gt;=$Q$16,$M4096&lt;=$Q$18),U4096,0)</t>
  </si>
  <si>
    <t>=IF(AND($M4096&gt;=$R$16,$M4096&lt;=$R$18),U4096,0)</t>
  </si>
  <si>
    <t>=IF(AND($M4096&gt;=$S$16,$M4096&lt;=$S$18),U4096,0)</t>
  </si>
  <si>
    <t>=IF($M4096&lt;=$T$18,U4096,0)</t>
  </si>
  <si>
    <t>="""NAV Direct"",""CRONUS JetCorp USA"",""21"",""1"",""438629"""</t>
  </si>
  <si>
    <t>=E4095</t>
  </si>
  <si>
    <t>=StartDate-$M4097+1</t>
  </si>
  <si>
    <t>=SUM(P4097:T4097)</t>
  </si>
  <si>
    <t>=IF($M4097&gt;=$P$18,U4097,0)</t>
  </si>
  <si>
    <t>=IF(AND($M4097&gt;=$Q$16,$M4097&lt;=$Q$18),U4097,0)</t>
  </si>
  <si>
    <t>=IF(AND($M4097&gt;=$R$16,$M4097&lt;=$R$18),U4097,0)</t>
  </si>
  <si>
    <t>=IF(AND($M4097&gt;=$S$16,$M4097&lt;=$S$18),U4097,0)</t>
  </si>
  <si>
    <t>=IF($M4097&lt;=$T$18,U4097,0)</t>
  </si>
  <si>
    <t>="""NAV Direct"",""CRONUS JetCorp USA"",""21"",""1"",""438857"""</t>
  </si>
  <si>
    <t>=E4096</t>
  </si>
  <si>
    <t>=StartDate-$M4098+1</t>
  </si>
  <si>
    <t>=SUM(P4098:T4098)</t>
  </si>
  <si>
    <t>=IF($M4098&gt;=$P$18,U4098,0)</t>
  </si>
  <si>
    <t>=IF(AND($M4098&gt;=$Q$16,$M4098&lt;=$Q$18),U4098,0)</t>
  </si>
  <si>
    <t>=IF(AND($M4098&gt;=$R$16,$M4098&lt;=$R$18),U4098,0)</t>
  </si>
  <si>
    <t>=IF(AND($M4098&gt;=$S$16,$M4098&lt;=$S$18),U4098,0)</t>
  </si>
  <si>
    <t>=IF($M4098&lt;=$T$18,U4098,0)</t>
  </si>
  <si>
    <t>="""NAV Direct"",""CRONUS JetCorp USA"",""21"",""1"",""438977"""</t>
  </si>
  <si>
    <t>=E4097</t>
  </si>
  <si>
    <t>=StartDate-$M4099+1</t>
  </si>
  <si>
    <t>=SUM(P4099:T4099)</t>
  </si>
  <si>
    <t>=IF($M4099&gt;=$P$18,U4099,0)</t>
  </si>
  <si>
    <t>=IF(AND($M4099&gt;=$Q$16,$M4099&lt;=$Q$18),U4099,0)</t>
  </si>
  <si>
    <t>=IF(AND($M4099&gt;=$R$16,$M4099&lt;=$R$18),U4099,0)</t>
  </si>
  <si>
    <t>=IF(AND($M4099&gt;=$S$16,$M4099&lt;=$S$18),U4099,0)</t>
  </si>
  <si>
    <t>=IF($M4099&lt;=$T$18,U4099,0)</t>
  </si>
  <si>
    <t>="""NAV Direct"",""CRONUS JetCorp USA"",""21"",""1"",""439043"""</t>
  </si>
  <si>
    <t>=E4098</t>
  </si>
  <si>
    <t>=StartDate-$M4100+1</t>
  </si>
  <si>
    <t>=SUM(P4100:T4100)</t>
  </si>
  <si>
    <t>=IF($M4100&gt;=$P$18,U4100,0)</t>
  </si>
  <si>
    <t>=IF(AND($M4100&gt;=$Q$16,$M4100&lt;=$Q$18),U4100,0)</t>
  </si>
  <si>
    <t>=IF(AND($M4100&gt;=$R$16,$M4100&lt;=$R$18),U4100,0)</t>
  </si>
  <si>
    <t>=IF(AND($M4100&gt;=$S$16,$M4100&lt;=$S$18),U4100,0)</t>
  </si>
  <si>
    <t>=IF($M4100&lt;=$T$18,U4100,0)</t>
  </si>
  <si>
    <t>="""NAV Direct"",""CRONUS JetCorp USA"",""21"",""1"",""439451"""</t>
  </si>
  <si>
    <t>=E4099</t>
  </si>
  <si>
    <t>=StartDate-$M4101+1</t>
  </si>
  <si>
    <t>=SUM(P4101:T4101)</t>
  </si>
  <si>
    <t>=IF($M4101&gt;=$P$18,U4101,0)</t>
  </si>
  <si>
    <t>=IF(AND($M4101&gt;=$Q$16,$M4101&lt;=$Q$18),U4101,0)</t>
  </si>
  <si>
    <t>=IF(AND($M4101&gt;=$R$16,$M4101&lt;=$R$18),U4101,0)</t>
  </si>
  <si>
    <t>=IF(AND($M4101&gt;=$S$16,$M4101&lt;=$S$18),U4101,0)</t>
  </si>
  <si>
    <t>=IF($M4101&lt;=$T$18,U4101,0)</t>
  </si>
  <si>
    <t>="""NAV Direct"",""CRONUS JetCorp USA"",""21"",""1"",""439849"""</t>
  </si>
  <si>
    <t>=E4100</t>
  </si>
  <si>
    <t>=StartDate-$M4102+1</t>
  </si>
  <si>
    <t>=SUM(P4102:T4102)</t>
  </si>
  <si>
    <t>=IF($M4102&gt;=$P$18,U4102,0)</t>
  </si>
  <si>
    <t>=IF(AND($M4102&gt;=$Q$16,$M4102&lt;=$Q$18),U4102,0)</t>
  </si>
  <si>
    <t>=IF(AND($M4102&gt;=$R$16,$M4102&lt;=$R$18),U4102,0)</t>
  </si>
  <si>
    <t>=IF(AND($M4102&gt;=$S$16,$M4102&lt;=$S$18),U4102,0)</t>
  </si>
  <si>
    <t>=IF($M4102&lt;=$T$18,U4102,0)</t>
  </si>
  <si>
    <t>="""NAV Direct"",""CRONUS JetCorp USA"",""21"",""1"",""439910"""</t>
  </si>
  <si>
    <t>=E4101</t>
  </si>
  <si>
    <t>=StartDate-$M4103+1</t>
  </si>
  <si>
    <t>=SUM(P4103:T4103)</t>
  </si>
  <si>
    <t>=IF($M4103&gt;=$P$18,U4103,0)</t>
  </si>
  <si>
    <t>=IF(AND($M4103&gt;=$Q$16,$M4103&lt;=$Q$18),U4103,0)</t>
  </si>
  <si>
    <t>=IF(AND($M4103&gt;=$R$16,$M4103&lt;=$R$18),U4103,0)</t>
  </si>
  <si>
    <t>=IF(AND($M4103&gt;=$S$16,$M4103&lt;=$S$18),U4103,0)</t>
  </si>
  <si>
    <t>=IF($M4103&lt;=$T$18,U4103,0)</t>
  </si>
  <si>
    <t>="""NAV Direct"",""CRONUS JetCorp USA"",""21"",""1"",""440029"""</t>
  </si>
  <si>
    <t>=E4102</t>
  </si>
  <si>
    <t>=StartDate-$M4104+1</t>
  </si>
  <si>
    <t>=SUM(P4104:T4104)</t>
  </si>
  <si>
    <t>=IF($M4104&gt;=$P$18,U4104,0)</t>
  </si>
  <si>
    <t>=IF(AND($M4104&gt;=$Q$16,$M4104&lt;=$Q$18),U4104,0)</t>
  </si>
  <si>
    <t>=IF(AND($M4104&gt;=$R$16,$M4104&lt;=$R$18),U4104,0)</t>
  </si>
  <si>
    <t>=IF(AND($M4104&gt;=$S$16,$M4104&lt;=$S$18),U4104,0)</t>
  </si>
  <si>
    <t>=IF($M4104&lt;=$T$18,U4104,0)</t>
  </si>
  <si>
    <t>="""NAV Direct"",""CRONUS JetCorp USA"",""21"",""1"",""440153"""</t>
  </si>
  <si>
    <t>=E4103</t>
  </si>
  <si>
    <t>=StartDate-$M4105+1</t>
  </si>
  <si>
    <t>=SUM(P4105:T4105)</t>
  </si>
  <si>
    <t>=IF($M4105&gt;=$P$18,U4105,0)</t>
  </si>
  <si>
    <t>=IF(AND($M4105&gt;=$Q$16,$M4105&lt;=$Q$18),U4105,0)</t>
  </si>
  <si>
    <t>=IF(AND($M4105&gt;=$R$16,$M4105&lt;=$R$18),U4105,0)</t>
  </si>
  <si>
    <t>=IF(AND($M4105&gt;=$S$16,$M4105&lt;=$S$18),U4105,0)</t>
  </si>
  <si>
    <t>=IF($M4105&lt;=$T$18,U4105,0)</t>
  </si>
  <si>
    <t>="""NAV Direct"",""CRONUS JetCorp USA"",""18"",""1"",""C100116"""</t>
  </si>
  <si>
    <t>=H4108</t>
  </si>
  <si>
    <t>=NF($C4108,"1 No.")</t>
  </si>
  <si>
    <t>=NF($C4108,"1 No.")&amp;"  -  "&amp;NF($C4108,"2 Name")</t>
  </si>
  <si>
    <t>=IFERROR(O4108/NF(C4108,"Credit Limit (LCY)"),"")</t>
  </si>
  <si>
    <t>=SUBTOTAL(3,L4109:L4143)</t>
  </si>
  <si>
    <t>=SUBTOTAL(9,O4109:O4143)</t>
  </si>
  <si>
    <t>=SUBTOTAL(9,P4109:P4143)</t>
  </si>
  <si>
    <t>=SUBTOTAL(9,Q4109:Q4143)</t>
  </si>
  <si>
    <t>=SUBTOTAL(9,R4109:R4143)</t>
  </si>
  <si>
    <t>=SUBTOTAL(9,S4109:S4143)</t>
  </si>
  <si>
    <t>=SUBTOTAL(9,T4109:T4143)</t>
  </si>
  <si>
    <t>=C4108</t>
  </si>
  <si>
    <t>=E4108</t>
  </si>
  <si>
    <t>="Contact: "&amp;NF($C4109,"8 Contact")</t>
  </si>
  <si>
    <t>=C4109</t>
  </si>
  <si>
    <t>=E4109</t>
  </si>
  <si>
    <t>=NF($C4110,"102 E-Mail")</t>
  </si>
  <si>
    <t>=NL("Rows","21 Cust. Ledger Entry",,"3 Customer No.","@@"&amp;$E4112,"16 Remaining Amt. (LCY)","&lt;&gt;0")</t>
  </si>
  <si>
    <t>=E4110</t>
  </si>
  <si>
    <t>=StartDate-$M4112+1</t>
  </si>
  <si>
    <t>=SUM(P4112:T4112)</t>
  </si>
  <si>
    <t>=IF($M4112&gt;=$P$18,U4112,0)</t>
  </si>
  <si>
    <t>=IF(AND($M4112&gt;=$Q$16,$M4112&lt;=$Q$18),U4112,0)</t>
  </si>
  <si>
    <t>=IF(AND($M4112&gt;=$R$16,$M4112&lt;=$R$18),U4112,0)</t>
  </si>
  <si>
    <t>=IF(AND($M4112&gt;=$S$16,$M4112&lt;=$S$18),U4112,0)</t>
  </si>
  <si>
    <t>=IF($M4112&lt;=$T$18,U4112,0)</t>
  </si>
  <si>
    <t>="""NAV Direct"",""CRONUS JetCorp USA"",""21"",""1"",""97938"""</t>
  </si>
  <si>
    <t>=E4111</t>
  </si>
  <si>
    <t>=StartDate-$M4113+1</t>
  </si>
  <si>
    <t>=SUM(P4113:T4113)</t>
  </si>
  <si>
    <t>=IF($M4113&gt;=$P$18,U4113,0)</t>
  </si>
  <si>
    <t>=IF(AND($M4113&gt;=$Q$16,$M4113&lt;=$Q$18),U4113,0)</t>
  </si>
  <si>
    <t>=IF(AND($M4113&gt;=$R$16,$M4113&lt;=$R$18),U4113,0)</t>
  </si>
  <si>
    <t>=IF(AND($M4113&gt;=$S$16,$M4113&lt;=$S$18),U4113,0)</t>
  </si>
  <si>
    <t>=IF($M4113&lt;=$T$18,U4113,0)</t>
  </si>
  <si>
    <t>="""NAV Direct"",""CRONUS JetCorp USA"",""21"",""1"",""97973"""</t>
  </si>
  <si>
    <t>=E4112</t>
  </si>
  <si>
    <t>=StartDate-$M4114+1</t>
  </si>
  <si>
    <t>=SUM(P4114:T4114)</t>
  </si>
  <si>
    <t>=IF($M4114&gt;=$P$18,U4114,0)</t>
  </si>
  <si>
    <t>=IF(AND($M4114&gt;=$Q$16,$M4114&lt;=$Q$18),U4114,0)</t>
  </si>
  <si>
    <t>=IF(AND($M4114&gt;=$R$16,$M4114&lt;=$R$18),U4114,0)</t>
  </si>
  <si>
    <t>=IF(AND($M4114&gt;=$S$16,$M4114&lt;=$S$18),U4114,0)</t>
  </si>
  <si>
    <t>=IF($M4114&lt;=$T$18,U4114,0)</t>
  </si>
  <si>
    <t>="""NAV Direct"",""CRONUS JetCorp USA"",""21"",""1"",""98022"""</t>
  </si>
  <si>
    <t>=E4113</t>
  </si>
  <si>
    <t>=StartDate-$M4115+1</t>
  </si>
  <si>
    <t>=SUM(P4115:T4115)</t>
  </si>
  <si>
    <t>=IF($M4115&gt;=$P$18,U4115,0)</t>
  </si>
  <si>
    <t>=IF(AND($M4115&gt;=$Q$16,$M4115&lt;=$Q$18),U4115,0)</t>
  </si>
  <si>
    <t>=IF(AND($M4115&gt;=$R$16,$M4115&lt;=$R$18),U4115,0)</t>
  </si>
  <si>
    <t>=IF(AND($M4115&gt;=$S$16,$M4115&lt;=$S$18),U4115,0)</t>
  </si>
  <si>
    <t>=IF($M4115&lt;=$T$18,U4115,0)</t>
  </si>
  <si>
    <t>="""NAV Direct"",""CRONUS JetCorp USA"",""21"",""1"",""98074"""</t>
  </si>
  <si>
    <t>=E4114</t>
  </si>
  <si>
    <t>=StartDate-$M4116+1</t>
  </si>
  <si>
    <t>=SUM(P4116:T4116)</t>
  </si>
  <si>
    <t>=IF($M4116&gt;=$P$18,U4116,0)</t>
  </si>
  <si>
    <t>=IF(AND($M4116&gt;=$Q$16,$M4116&lt;=$Q$18),U4116,0)</t>
  </si>
  <si>
    <t>=IF(AND($M4116&gt;=$R$16,$M4116&lt;=$R$18),U4116,0)</t>
  </si>
  <si>
    <t>=IF(AND($M4116&gt;=$S$16,$M4116&lt;=$S$18),U4116,0)</t>
  </si>
  <si>
    <t>=IF($M4116&lt;=$T$18,U4116,0)</t>
  </si>
  <si>
    <t>="""NAV Direct"",""CRONUS JetCorp USA"",""21"",""1"",""377524"""</t>
  </si>
  <si>
    <t>=E4115</t>
  </si>
  <si>
    <t>=StartDate-$M4117+1</t>
  </si>
  <si>
    <t>=SUM(P4117:T4117)</t>
  </si>
  <si>
    <t>=IF($M4117&gt;=$P$18,U4117,0)</t>
  </si>
  <si>
    <t>=IF(AND($M4117&gt;=$Q$16,$M4117&lt;=$Q$18),U4117,0)</t>
  </si>
  <si>
    <t>=IF(AND($M4117&gt;=$R$16,$M4117&lt;=$R$18),U4117,0)</t>
  </si>
  <si>
    <t>=IF(AND($M4117&gt;=$S$16,$M4117&lt;=$S$18),U4117,0)</t>
  </si>
  <si>
    <t>=IF($M4117&lt;=$T$18,U4117,0)</t>
  </si>
  <si>
    <t>="""NAV Direct"",""CRONUS JetCorp USA"",""21"",""1"",""377640"""</t>
  </si>
  <si>
    <t>=E4116</t>
  </si>
  <si>
    <t>=StartDate-$M4118+1</t>
  </si>
  <si>
    <t>=SUM(P4118:T4118)</t>
  </si>
  <si>
    <t>=IF($M4118&gt;=$P$18,U4118,0)</t>
  </si>
  <si>
    <t>=IF(AND($M4118&gt;=$Q$16,$M4118&lt;=$Q$18),U4118,0)</t>
  </si>
  <si>
    <t>=IF(AND($M4118&gt;=$R$16,$M4118&lt;=$R$18),U4118,0)</t>
  </si>
  <si>
    <t>=IF(AND($M4118&gt;=$S$16,$M4118&lt;=$S$18),U4118,0)</t>
  </si>
  <si>
    <t>=IF($M4118&lt;=$T$18,U4118,0)</t>
  </si>
  <si>
    <t>="""NAV Direct"",""CRONUS JetCorp USA"",""21"",""1"",""377748"""</t>
  </si>
  <si>
    <t>=E4117</t>
  </si>
  <si>
    <t>=StartDate-$M4119+1</t>
  </si>
  <si>
    <t>=SUM(P4119:T4119)</t>
  </si>
  <si>
    <t>=IF($M4119&gt;=$P$18,U4119,0)</t>
  </si>
  <si>
    <t>=IF(AND($M4119&gt;=$Q$16,$M4119&lt;=$Q$18),U4119,0)</t>
  </si>
  <si>
    <t>=IF(AND($M4119&gt;=$R$16,$M4119&lt;=$R$18),U4119,0)</t>
  </si>
  <si>
    <t>=IF(AND($M4119&gt;=$S$16,$M4119&lt;=$S$18),U4119,0)</t>
  </si>
  <si>
    <t>=IF($M4119&lt;=$T$18,U4119,0)</t>
  </si>
  <si>
    <t>="""NAV Direct"",""CRONUS JetCorp USA"",""21"",""1"",""377777"""</t>
  </si>
  <si>
    <t>=E4118</t>
  </si>
  <si>
    <t>=StartDate-$M4120+1</t>
  </si>
  <si>
    <t>=SUM(P4120:T4120)</t>
  </si>
  <si>
    <t>=IF($M4120&gt;=$P$18,U4120,0)</t>
  </si>
  <si>
    <t>=IF(AND($M4120&gt;=$Q$16,$M4120&lt;=$Q$18),U4120,0)</t>
  </si>
  <si>
    <t>=IF(AND($M4120&gt;=$R$16,$M4120&lt;=$R$18),U4120,0)</t>
  </si>
  <si>
    <t>=IF(AND($M4120&gt;=$S$16,$M4120&lt;=$S$18),U4120,0)</t>
  </si>
  <si>
    <t>=IF($M4120&lt;=$T$18,U4120,0)</t>
  </si>
  <si>
    <t>="""NAV Direct"",""CRONUS JetCorp USA"",""21"",""1"",""377836"""</t>
  </si>
  <si>
    <t>=E4119</t>
  </si>
  <si>
    <t>=StartDate-$M4121+1</t>
  </si>
  <si>
    <t>=SUM(P4121:T4121)</t>
  </si>
  <si>
    <t>=IF($M4121&gt;=$P$18,U4121,0)</t>
  </si>
  <si>
    <t>=IF(AND($M4121&gt;=$Q$16,$M4121&lt;=$Q$18),U4121,0)</t>
  </si>
  <si>
    <t>=IF(AND($M4121&gt;=$R$16,$M4121&lt;=$R$18),U4121,0)</t>
  </si>
  <si>
    <t>=IF(AND($M4121&gt;=$S$16,$M4121&lt;=$S$18),U4121,0)</t>
  </si>
  <si>
    <t>=IF($M4121&lt;=$T$18,U4121,0)</t>
  </si>
  <si>
    <t>="""NAV Direct"",""CRONUS JetCorp USA"",""21"",""1"",""377906"""</t>
  </si>
  <si>
    <t>=E4120</t>
  </si>
  <si>
    <t>=StartDate-$M4122+1</t>
  </si>
  <si>
    <t>=SUM(P4122:T4122)</t>
  </si>
  <si>
    <t>=IF($M4122&gt;=$P$18,U4122,0)</t>
  </si>
  <si>
    <t>=IF(AND($M4122&gt;=$Q$16,$M4122&lt;=$Q$18),U4122,0)</t>
  </si>
  <si>
    <t>=IF(AND($M4122&gt;=$R$16,$M4122&lt;=$R$18),U4122,0)</t>
  </si>
  <si>
    <t>=IF(AND($M4122&gt;=$S$16,$M4122&lt;=$S$18),U4122,0)</t>
  </si>
  <si>
    <t>=IF($M4122&lt;=$T$18,U4122,0)</t>
  </si>
  <si>
    <t>="""NAV Direct"",""CRONUS JetCorp USA"",""21"",""1"",""377984"""</t>
  </si>
  <si>
    <t>=E4121</t>
  </si>
  <si>
    <t>=StartDate-$M4123+1</t>
  </si>
  <si>
    <t>=SUM(P4123:T4123)</t>
  </si>
  <si>
    <t>=IF($M4123&gt;=$P$18,U4123,0)</t>
  </si>
  <si>
    <t>=IF(AND($M4123&gt;=$Q$16,$M4123&lt;=$Q$18),U4123,0)</t>
  </si>
  <si>
    <t>=IF(AND($M4123&gt;=$R$16,$M4123&lt;=$R$18),U4123,0)</t>
  </si>
  <si>
    <t>=IF(AND($M4123&gt;=$S$16,$M4123&lt;=$S$18),U4123,0)</t>
  </si>
  <si>
    <t>=IF($M4123&lt;=$T$18,U4123,0)</t>
  </si>
  <si>
    <t>="""NAV Direct"",""CRONUS JetCorp USA"",""21"",""1"",""378318"""</t>
  </si>
  <si>
    <t>=E4122</t>
  </si>
  <si>
    <t>=StartDate-$M4124+1</t>
  </si>
  <si>
    <t>=SUM(P4124:T4124)</t>
  </si>
  <si>
    <t>=IF($M4124&gt;=$P$18,U4124,0)</t>
  </si>
  <si>
    <t>=IF(AND($M4124&gt;=$Q$16,$M4124&lt;=$Q$18),U4124,0)</t>
  </si>
  <si>
    <t>=IF(AND($M4124&gt;=$R$16,$M4124&lt;=$R$18),U4124,0)</t>
  </si>
  <si>
    <t>=IF(AND($M4124&gt;=$S$16,$M4124&lt;=$S$18),U4124,0)</t>
  </si>
  <si>
    <t>=IF($M4124&lt;=$T$18,U4124,0)</t>
  </si>
  <si>
    <t>="""NAV Direct"",""CRONUS JetCorp USA"",""21"",""1"",""378374"""</t>
  </si>
  <si>
    <t>=E4123</t>
  </si>
  <si>
    <t>=StartDate-$M4125+1</t>
  </si>
  <si>
    <t>=SUM(P4125:T4125)</t>
  </si>
  <si>
    <t>=IF($M4125&gt;=$P$18,U4125,0)</t>
  </si>
  <si>
    <t>=IF(AND($M4125&gt;=$Q$16,$M4125&lt;=$Q$18),U4125,0)</t>
  </si>
  <si>
    <t>=IF(AND($M4125&gt;=$R$16,$M4125&lt;=$R$18),U4125,0)</t>
  </si>
  <si>
    <t>=IF(AND($M4125&gt;=$S$16,$M4125&lt;=$S$18),U4125,0)</t>
  </si>
  <si>
    <t>=IF($M4125&lt;=$T$18,U4125,0)</t>
  </si>
  <si>
    <t>="""NAV Direct"",""CRONUS JetCorp USA"",""21"",""1"",""378413"""</t>
  </si>
  <si>
    <t>=E4124</t>
  </si>
  <si>
    <t>=StartDate-$M4126+1</t>
  </si>
  <si>
    <t>=SUM(P4126:T4126)</t>
  </si>
  <si>
    <t>=IF($M4126&gt;=$P$18,U4126,0)</t>
  </si>
  <si>
    <t>=IF(AND($M4126&gt;=$Q$16,$M4126&lt;=$Q$18),U4126,0)</t>
  </si>
  <si>
    <t>=IF(AND($M4126&gt;=$R$16,$M4126&lt;=$R$18),U4126,0)</t>
  </si>
  <si>
    <t>=IF(AND($M4126&gt;=$S$16,$M4126&lt;=$S$18),U4126,0)</t>
  </si>
  <si>
    <t>=IF($M4126&lt;=$T$18,U4126,0)</t>
  </si>
  <si>
    <t>="""NAV Direct"",""CRONUS JetCorp USA"",""21"",""1"",""378619"""</t>
  </si>
  <si>
    <t>=E4125</t>
  </si>
  <si>
    <t>=StartDate-$M4127+1</t>
  </si>
  <si>
    <t>=SUM(P4127:T4127)</t>
  </si>
  <si>
    <t>=IF($M4127&gt;=$P$18,U4127,0)</t>
  </si>
  <si>
    <t>=IF(AND($M4127&gt;=$Q$16,$M4127&lt;=$Q$18),U4127,0)</t>
  </si>
  <si>
    <t>=IF(AND($M4127&gt;=$R$16,$M4127&lt;=$R$18),U4127,0)</t>
  </si>
  <si>
    <t>=IF(AND($M4127&gt;=$S$16,$M4127&lt;=$S$18),U4127,0)</t>
  </si>
  <si>
    <t>=IF($M4127&lt;=$T$18,U4127,0)</t>
  </si>
  <si>
    <t>="""NAV Direct"",""CRONUS JetCorp USA"",""21"",""1"",""378671"""</t>
  </si>
  <si>
    <t>=E4126</t>
  </si>
  <si>
    <t>=StartDate-$M4128+1</t>
  </si>
  <si>
    <t>=SUM(P4128:T4128)</t>
  </si>
  <si>
    <t>=IF($M4128&gt;=$P$18,U4128,0)</t>
  </si>
  <si>
    <t>=IF(AND($M4128&gt;=$Q$16,$M4128&lt;=$Q$18),U4128,0)</t>
  </si>
  <si>
    <t>=IF(AND($M4128&gt;=$R$16,$M4128&lt;=$R$18),U4128,0)</t>
  </si>
  <si>
    <t>=IF(AND($M4128&gt;=$S$16,$M4128&lt;=$S$18),U4128,0)</t>
  </si>
  <si>
    <t>=IF($M4128&lt;=$T$18,U4128,0)</t>
  </si>
  <si>
    <t>="""NAV Direct"",""CRONUS JetCorp USA"",""21"",""1"",""378936"""</t>
  </si>
  <si>
    <t>=E4127</t>
  </si>
  <si>
    <t>=StartDate-$M4129+1</t>
  </si>
  <si>
    <t>=SUM(P4129:T4129)</t>
  </si>
  <si>
    <t>=IF($M4129&gt;=$P$18,U4129,0)</t>
  </si>
  <si>
    <t>=IF(AND($M4129&gt;=$Q$16,$M4129&lt;=$Q$18),U4129,0)</t>
  </si>
  <si>
    <t>=IF(AND($M4129&gt;=$R$16,$M4129&lt;=$R$18),U4129,0)</t>
  </si>
  <si>
    <t>=IF(AND($M4129&gt;=$S$16,$M4129&lt;=$S$18),U4129,0)</t>
  </si>
  <si>
    <t>=IF($M4129&lt;=$T$18,U4129,0)</t>
  </si>
  <si>
    <t>="""NAV Direct"",""CRONUS JetCorp USA"",""21"",""1"",""379035"""</t>
  </si>
  <si>
    <t>=E4128</t>
  </si>
  <si>
    <t>=StartDate-$M4130+1</t>
  </si>
  <si>
    <t>=SUM(P4130:T4130)</t>
  </si>
  <si>
    <t>=IF($M4130&gt;=$P$18,U4130,0)</t>
  </si>
  <si>
    <t>=IF(AND($M4130&gt;=$Q$16,$M4130&lt;=$Q$18),U4130,0)</t>
  </si>
  <si>
    <t>=IF(AND($M4130&gt;=$R$16,$M4130&lt;=$R$18),U4130,0)</t>
  </si>
  <si>
    <t>=IF(AND($M4130&gt;=$S$16,$M4130&lt;=$S$18),U4130,0)</t>
  </si>
  <si>
    <t>=IF($M4130&lt;=$T$18,U4130,0)</t>
  </si>
  <si>
    <t>="""NAV Direct"",""CRONUS JetCorp USA"",""21"",""1"",""379082"""</t>
  </si>
  <si>
    <t>=E4129</t>
  </si>
  <si>
    <t>=StartDate-$M4131+1</t>
  </si>
  <si>
    <t>=SUM(P4131:T4131)</t>
  </si>
  <si>
    <t>=IF($M4131&gt;=$P$18,U4131,0)</t>
  </si>
  <si>
    <t>=IF(AND($M4131&gt;=$Q$16,$M4131&lt;=$Q$18),U4131,0)</t>
  </si>
  <si>
    <t>=IF(AND($M4131&gt;=$R$16,$M4131&lt;=$R$18),U4131,0)</t>
  </si>
  <si>
    <t>=IF(AND($M4131&gt;=$S$16,$M4131&lt;=$S$18),U4131,0)</t>
  </si>
  <si>
    <t>=IF($M4131&lt;=$T$18,U4131,0)</t>
  </si>
  <si>
    <t>="""NAV Direct"",""CRONUS JetCorp USA"",""21"",""1"",""379189"""</t>
  </si>
  <si>
    <t>=E4130</t>
  </si>
  <si>
    <t>=StartDate-$M4132+1</t>
  </si>
  <si>
    <t>=SUM(P4132:T4132)</t>
  </si>
  <si>
    <t>=IF($M4132&gt;=$P$18,U4132,0)</t>
  </si>
  <si>
    <t>=IF(AND($M4132&gt;=$Q$16,$M4132&lt;=$Q$18),U4132,0)</t>
  </si>
  <si>
    <t>=IF(AND($M4132&gt;=$R$16,$M4132&lt;=$R$18),U4132,0)</t>
  </si>
  <si>
    <t>=IF(AND($M4132&gt;=$S$16,$M4132&lt;=$S$18),U4132,0)</t>
  </si>
  <si>
    <t>=IF($M4132&lt;=$T$18,U4132,0)</t>
  </si>
  <si>
    <t>="""NAV Direct"",""CRONUS JetCorp USA"",""21"",""1"",""379439"""</t>
  </si>
  <si>
    <t>=E4131</t>
  </si>
  <si>
    <t>=StartDate-$M4133+1</t>
  </si>
  <si>
    <t>=SUM(P4133:T4133)</t>
  </si>
  <si>
    <t>=IF($M4133&gt;=$P$18,U4133,0)</t>
  </si>
  <si>
    <t>=IF(AND($M4133&gt;=$Q$16,$M4133&lt;=$Q$18),U4133,0)</t>
  </si>
  <si>
    <t>=IF(AND($M4133&gt;=$R$16,$M4133&lt;=$R$18),U4133,0)</t>
  </si>
  <si>
    <t>=IF(AND($M4133&gt;=$S$16,$M4133&lt;=$S$18),U4133,0)</t>
  </si>
  <si>
    <t>=IF($M4133&lt;=$T$18,U4133,0)</t>
  </si>
  <si>
    <t>="""NAV Direct"",""CRONUS JetCorp USA"",""21"",""1"",""380312"""</t>
  </si>
  <si>
    <t>=E4132</t>
  </si>
  <si>
    <t>=StartDate-$M4134+1</t>
  </si>
  <si>
    <t>=SUM(P4134:T4134)</t>
  </si>
  <si>
    <t>=IF($M4134&gt;=$P$18,U4134,0)</t>
  </si>
  <si>
    <t>=IF(AND($M4134&gt;=$Q$16,$M4134&lt;=$Q$18),U4134,0)</t>
  </si>
  <si>
    <t>=IF(AND($M4134&gt;=$R$16,$M4134&lt;=$R$18),U4134,0)</t>
  </si>
  <si>
    <t>=IF(AND($M4134&gt;=$S$16,$M4134&lt;=$S$18),U4134,0)</t>
  </si>
  <si>
    <t>=IF($M4134&lt;=$T$18,U4134,0)</t>
  </si>
  <si>
    <t>="""NAV Direct"",""CRONUS JetCorp USA"",""21"",""1"",""380394"""</t>
  </si>
  <si>
    <t>=E4133</t>
  </si>
  <si>
    <t>=StartDate-$M4135+1</t>
  </si>
  <si>
    <t>=SUM(P4135:T4135)</t>
  </si>
  <si>
    <t>=IF($M4135&gt;=$P$18,U4135,0)</t>
  </si>
  <si>
    <t>=IF(AND($M4135&gt;=$Q$16,$M4135&lt;=$Q$18),U4135,0)</t>
  </si>
  <si>
    <t>=IF(AND($M4135&gt;=$R$16,$M4135&lt;=$R$18),U4135,0)</t>
  </si>
  <si>
    <t>=IF(AND($M4135&gt;=$S$16,$M4135&lt;=$S$18),U4135,0)</t>
  </si>
  <si>
    <t>=IF($M4135&lt;=$T$18,U4135,0)</t>
  </si>
  <si>
    <t>="""NAV Direct"",""CRONUS JetCorp USA"",""21"",""1"",""380478"""</t>
  </si>
  <si>
    <t>=E4134</t>
  </si>
  <si>
    <t>=StartDate-$M4136+1</t>
  </si>
  <si>
    <t>=SUM(P4136:T4136)</t>
  </si>
  <si>
    <t>=IF($M4136&gt;=$P$18,U4136,0)</t>
  </si>
  <si>
    <t>=IF(AND($M4136&gt;=$Q$16,$M4136&lt;=$Q$18),U4136,0)</t>
  </si>
  <si>
    <t>=IF(AND($M4136&gt;=$R$16,$M4136&lt;=$R$18),U4136,0)</t>
  </si>
  <si>
    <t>=IF(AND($M4136&gt;=$S$16,$M4136&lt;=$S$18),U4136,0)</t>
  </si>
  <si>
    <t>=IF($M4136&lt;=$T$18,U4136,0)</t>
  </si>
  <si>
    <t>="""NAV Direct"",""CRONUS JetCorp USA"",""21"",""1"",""380529"""</t>
  </si>
  <si>
    <t>=E4135</t>
  </si>
  <si>
    <t>=StartDate-$M4137+1</t>
  </si>
  <si>
    <t>=SUM(P4137:T4137)</t>
  </si>
  <si>
    <t>=IF($M4137&gt;=$P$18,U4137,0)</t>
  </si>
  <si>
    <t>=IF(AND($M4137&gt;=$Q$16,$M4137&lt;=$Q$18),U4137,0)</t>
  </si>
  <si>
    <t>=IF(AND($M4137&gt;=$R$16,$M4137&lt;=$R$18),U4137,0)</t>
  </si>
  <si>
    <t>=IF(AND($M4137&gt;=$S$16,$M4137&lt;=$S$18),U4137,0)</t>
  </si>
  <si>
    <t>=IF($M4137&lt;=$T$18,U4137,0)</t>
  </si>
  <si>
    <t>="""NAV Direct"",""CRONUS JetCorp USA"",""21"",""1"",""437988"""</t>
  </si>
  <si>
    <t>=E4136</t>
  </si>
  <si>
    <t>=StartDate-$M4138+1</t>
  </si>
  <si>
    <t>=SUM(P4138:T4138)</t>
  </si>
  <si>
    <t>=IF($M4138&gt;=$P$18,U4138,0)</t>
  </si>
  <si>
    <t>=IF(AND($M4138&gt;=$Q$16,$M4138&lt;=$Q$18),U4138,0)</t>
  </si>
  <si>
    <t>=IF(AND($M4138&gt;=$R$16,$M4138&lt;=$R$18),U4138,0)</t>
  </si>
  <si>
    <t>=IF(AND($M4138&gt;=$S$16,$M4138&lt;=$S$18),U4138,0)</t>
  </si>
  <si>
    <t>=IF($M4138&lt;=$T$18,U4138,0)</t>
  </si>
  <si>
    <t>="""NAV Direct"",""CRONUS JetCorp USA"",""21"",""1"",""438012"""</t>
  </si>
  <si>
    <t>=E4137</t>
  </si>
  <si>
    <t>=StartDate-$M4139+1</t>
  </si>
  <si>
    <t>=SUM(P4139:T4139)</t>
  </si>
  <si>
    <t>=IF($M4139&gt;=$P$18,U4139,0)</t>
  </si>
  <si>
    <t>=IF(AND($M4139&gt;=$Q$16,$M4139&lt;=$Q$18),U4139,0)</t>
  </si>
  <si>
    <t>=IF(AND($M4139&gt;=$R$16,$M4139&lt;=$R$18),U4139,0)</t>
  </si>
  <si>
    <t>=IF(AND($M4139&gt;=$S$16,$M4139&lt;=$S$18),U4139,0)</t>
  </si>
  <si>
    <t>=IF($M4139&lt;=$T$18,U4139,0)</t>
  </si>
  <si>
    <t>="""NAV Direct"",""CRONUS JetCorp USA"",""21"",""1"",""438078"""</t>
  </si>
  <si>
    <t>=E4138</t>
  </si>
  <si>
    <t>=StartDate-$M4140+1</t>
  </si>
  <si>
    <t>=SUM(P4140:T4140)</t>
  </si>
  <si>
    <t>=IF($M4140&gt;=$P$18,U4140,0)</t>
  </si>
  <si>
    <t>=IF(AND($M4140&gt;=$Q$16,$M4140&lt;=$Q$18),U4140,0)</t>
  </si>
  <si>
    <t>=IF(AND($M4140&gt;=$R$16,$M4140&lt;=$R$18),U4140,0)</t>
  </si>
  <si>
    <t>=IF(AND($M4140&gt;=$S$16,$M4140&lt;=$S$18),U4140,0)</t>
  </si>
  <si>
    <t>=IF($M4140&lt;=$T$18,U4140,0)</t>
  </si>
  <si>
    <t>="""NAV Direct"",""CRONUS JetCorp USA"",""21"",""1"",""438117"""</t>
  </si>
  <si>
    <t>=E4139</t>
  </si>
  <si>
    <t>=StartDate-$M4141+1</t>
  </si>
  <si>
    <t>=SUM(P4141:T4141)</t>
  </si>
  <si>
    <t>=IF($M4141&gt;=$P$18,U4141,0)</t>
  </si>
  <si>
    <t>=IF(AND($M4141&gt;=$Q$16,$M4141&lt;=$Q$18),U4141,0)</t>
  </si>
  <si>
    <t>=IF(AND($M4141&gt;=$R$16,$M4141&lt;=$R$18),U4141,0)</t>
  </si>
  <si>
    <t>=IF(AND($M4141&gt;=$S$16,$M4141&lt;=$S$18),U4141,0)</t>
  </si>
  <si>
    <t>=IF($M4141&lt;=$T$18,U4141,0)</t>
  </si>
  <si>
    <t>="""NAV Direct"",""CRONUS JetCorp USA"",""21"",""1"",""438209"""</t>
  </si>
  <si>
    <t>=E4140</t>
  </si>
  <si>
    <t>=StartDate-$M4142+1</t>
  </si>
  <si>
    <t>=SUM(P4142:T4142)</t>
  </si>
  <si>
    <t>=IF($M4142&gt;=$P$18,U4142,0)</t>
  </si>
  <si>
    <t>=IF(AND($M4142&gt;=$Q$16,$M4142&lt;=$Q$18),U4142,0)</t>
  </si>
  <si>
    <t>=IF(AND($M4142&gt;=$R$16,$M4142&lt;=$R$18),U4142,0)</t>
  </si>
  <si>
    <t>=IF(AND($M4142&gt;=$S$16,$M4142&lt;=$S$18),U4142,0)</t>
  </si>
  <si>
    <t>=IF($M4142&lt;=$T$18,U4142,0)</t>
  </si>
  <si>
    <t>="""NAV Direct"",""CRONUS JetCorp USA"",""18"",""1"",""C100117"""</t>
  </si>
  <si>
    <t>=H4145</t>
  </si>
  <si>
    <t>=NF($C4145,"1 No.")</t>
  </si>
  <si>
    <t>=NF($C4145,"1 No.")&amp;"  -  "&amp;NF($C4145,"2 Name")</t>
  </si>
  <si>
    <t>=IFERROR(O4145/NF(C4145,"Credit Limit (LCY)"),"")</t>
  </si>
  <si>
    <t>=SUBTOTAL(3,L4146:L4166)</t>
  </si>
  <si>
    <t>=SUBTOTAL(9,O4146:O4166)</t>
  </si>
  <si>
    <t>=SUBTOTAL(9,P4146:P4166)</t>
  </si>
  <si>
    <t>=SUBTOTAL(9,Q4146:Q4166)</t>
  </si>
  <si>
    <t>=SUBTOTAL(9,R4146:R4166)</t>
  </si>
  <si>
    <t>=SUBTOTAL(9,S4146:S4166)</t>
  </si>
  <si>
    <t>=SUBTOTAL(9,T4146:T4166)</t>
  </si>
  <si>
    <t>=C4145</t>
  </si>
  <si>
    <t>=E4145</t>
  </si>
  <si>
    <t>="Contact: "&amp;NF($C4146,"8 Contact")</t>
  </si>
  <si>
    <t>=C4146</t>
  </si>
  <si>
    <t>=E4146</t>
  </si>
  <si>
    <t>=NF($C4147,"102 E-Mail")</t>
  </si>
  <si>
    <t>=NL("Rows","21 Cust. Ledger Entry",,"3 Customer No.","@@"&amp;$E4149,"16 Remaining Amt. (LCY)","&lt;&gt;0")</t>
  </si>
  <si>
    <t>=E4147</t>
  </si>
  <si>
    <t>=StartDate-$M4149+1</t>
  </si>
  <si>
    <t>=SUM(P4149:T4149)</t>
  </si>
  <si>
    <t>=IF($M4149&gt;=$P$18,U4149,0)</t>
  </si>
  <si>
    <t>=IF(AND($M4149&gt;=$Q$16,$M4149&lt;=$Q$18),U4149,0)</t>
  </si>
  <si>
    <t>=IF(AND($M4149&gt;=$R$16,$M4149&lt;=$R$18),U4149,0)</t>
  </si>
  <si>
    <t>=IF(AND($M4149&gt;=$S$16,$M4149&lt;=$S$18),U4149,0)</t>
  </si>
  <si>
    <t>=IF($M4149&lt;=$T$18,U4149,0)</t>
  </si>
  <si>
    <t>="""NAV Direct"",""CRONUS JetCorp USA"",""21"",""1"",""209590"""</t>
  </si>
  <si>
    <t>=E4148</t>
  </si>
  <si>
    <t>=StartDate-$M4150+1</t>
  </si>
  <si>
    <t>=SUM(P4150:T4150)</t>
  </si>
  <si>
    <t>=IF($M4150&gt;=$P$18,U4150,0)</t>
  </si>
  <si>
    <t>=IF(AND($M4150&gt;=$Q$16,$M4150&lt;=$Q$18),U4150,0)</t>
  </si>
  <si>
    <t>=IF(AND($M4150&gt;=$R$16,$M4150&lt;=$R$18),U4150,0)</t>
  </si>
  <si>
    <t>=IF(AND($M4150&gt;=$S$16,$M4150&lt;=$S$18),U4150,0)</t>
  </si>
  <si>
    <t>=IF($M4150&lt;=$T$18,U4150,0)</t>
  </si>
  <si>
    <t>="""NAV Direct"",""CRONUS JetCorp USA"",""21"",""1"",""209836"""</t>
  </si>
  <si>
    <t>=E4149</t>
  </si>
  <si>
    <t>=StartDate-$M4151+1</t>
  </si>
  <si>
    <t>=SUM(P4151:T4151)</t>
  </si>
  <si>
    <t>=IF($M4151&gt;=$P$18,U4151,0)</t>
  </si>
  <si>
    <t>=IF(AND($M4151&gt;=$Q$16,$M4151&lt;=$Q$18),U4151,0)</t>
  </si>
  <si>
    <t>=IF(AND($M4151&gt;=$R$16,$M4151&lt;=$R$18),U4151,0)</t>
  </si>
  <si>
    <t>=IF(AND($M4151&gt;=$S$16,$M4151&lt;=$S$18),U4151,0)</t>
  </si>
  <si>
    <t>=IF($M4151&lt;=$T$18,U4151,0)</t>
  </si>
  <si>
    <t>="""NAV Direct"",""CRONUS JetCorp USA"",""21"",""1"",""210989"""</t>
  </si>
  <si>
    <t>=E4150</t>
  </si>
  <si>
    <t>=StartDate-$M4152+1</t>
  </si>
  <si>
    <t>=SUM(P4152:T4152)</t>
  </si>
  <si>
    <t>=IF($M4152&gt;=$P$18,U4152,0)</t>
  </si>
  <si>
    <t>=IF(AND($M4152&gt;=$Q$16,$M4152&lt;=$Q$18),U4152,0)</t>
  </si>
  <si>
    <t>=IF(AND($M4152&gt;=$R$16,$M4152&lt;=$R$18),U4152,0)</t>
  </si>
  <si>
    <t>=IF(AND($M4152&gt;=$S$16,$M4152&lt;=$S$18),U4152,0)</t>
  </si>
  <si>
    <t>=IF($M4152&lt;=$T$18,U4152,0)</t>
  </si>
  <si>
    <t>="""NAV Direct"",""CRONUS JetCorp USA"",""21"",""1"",""211347"""</t>
  </si>
  <si>
    <t>=E4151</t>
  </si>
  <si>
    <t>=StartDate-$M4153+1</t>
  </si>
  <si>
    <t>=SUM(P4153:T4153)</t>
  </si>
  <si>
    <t>=IF($M4153&gt;=$P$18,U4153,0)</t>
  </si>
  <si>
    <t>=IF(AND($M4153&gt;=$Q$16,$M4153&lt;=$Q$18),U4153,0)</t>
  </si>
  <si>
    <t>=IF(AND($M4153&gt;=$R$16,$M4153&lt;=$R$18),U4153,0)</t>
  </si>
  <si>
    <t>=IF(AND($M4153&gt;=$S$16,$M4153&lt;=$S$18),U4153,0)</t>
  </si>
  <si>
    <t>=IF($M4153&lt;=$T$18,U4153,0)</t>
  </si>
  <si>
    <t>="""NAV Direct"",""CRONUS JetCorp USA"",""21"",""1"",""212327"""</t>
  </si>
  <si>
    <t>=E4152</t>
  </si>
  <si>
    <t>=StartDate-$M4154+1</t>
  </si>
  <si>
    <t>=SUM(P4154:T4154)</t>
  </si>
  <si>
    <t>=IF($M4154&gt;=$P$18,U4154,0)</t>
  </si>
  <si>
    <t>=IF(AND($M4154&gt;=$Q$16,$M4154&lt;=$Q$18),U4154,0)</t>
  </si>
  <si>
    <t>=IF(AND($M4154&gt;=$R$16,$M4154&lt;=$R$18),U4154,0)</t>
  </si>
  <si>
    <t>=IF(AND($M4154&gt;=$S$16,$M4154&lt;=$S$18),U4154,0)</t>
  </si>
  <si>
    <t>=IF($M4154&lt;=$T$18,U4154,0)</t>
  </si>
  <si>
    <t>="""NAV Direct"",""CRONUS JetCorp USA"",""21"",""1"",""212491"""</t>
  </si>
  <si>
    <t>=E4153</t>
  </si>
  <si>
    <t>=StartDate-$M4155+1</t>
  </si>
  <si>
    <t>=SUM(P4155:T4155)</t>
  </si>
  <si>
    <t>=IF($M4155&gt;=$P$18,U4155,0)</t>
  </si>
  <si>
    <t>=IF(AND($M4155&gt;=$Q$16,$M4155&lt;=$Q$18),U4155,0)</t>
  </si>
  <si>
    <t>=IF(AND($M4155&gt;=$R$16,$M4155&lt;=$R$18),U4155,0)</t>
  </si>
  <si>
    <t>=IF(AND($M4155&gt;=$S$16,$M4155&lt;=$S$18),U4155,0)</t>
  </si>
  <si>
    <t>=IF($M4155&lt;=$T$18,U4155,0)</t>
  </si>
  <si>
    <t>="""NAV Direct"",""CRONUS JetCorp USA"",""21"",""1"",""212768"""</t>
  </si>
  <si>
    <t>=E4154</t>
  </si>
  <si>
    <t>=StartDate-$M4156+1</t>
  </si>
  <si>
    <t>=SUM(P4156:T4156)</t>
  </si>
  <si>
    <t>=IF($M4156&gt;=$P$18,U4156,0)</t>
  </si>
  <si>
    <t>=IF(AND($M4156&gt;=$Q$16,$M4156&lt;=$Q$18),U4156,0)</t>
  </si>
  <si>
    <t>=IF(AND($M4156&gt;=$R$16,$M4156&lt;=$R$18),U4156,0)</t>
  </si>
  <si>
    <t>=IF(AND($M4156&gt;=$S$16,$M4156&lt;=$S$18),U4156,0)</t>
  </si>
  <si>
    <t>=IF($M4156&lt;=$T$18,U4156,0)</t>
  </si>
  <si>
    <t>="""NAV Direct"",""CRONUS JetCorp USA"",""21"",""1"",""213156"""</t>
  </si>
  <si>
    <t>=E4155</t>
  </si>
  <si>
    <t>=StartDate-$M4157+1</t>
  </si>
  <si>
    <t>=SUM(P4157:T4157)</t>
  </si>
  <si>
    <t>=IF($M4157&gt;=$P$18,U4157,0)</t>
  </si>
  <si>
    <t>=IF(AND($M4157&gt;=$Q$16,$M4157&lt;=$Q$18),U4157,0)</t>
  </si>
  <si>
    <t>=IF(AND($M4157&gt;=$R$16,$M4157&lt;=$R$18),U4157,0)</t>
  </si>
  <si>
    <t>=IF(AND($M4157&gt;=$S$16,$M4157&lt;=$S$18),U4157,0)</t>
  </si>
  <si>
    <t>=IF($M4157&lt;=$T$18,U4157,0)</t>
  </si>
  <si>
    <t>="""NAV Direct"",""CRONUS JetCorp USA"",""21"",""1"",""213462"""</t>
  </si>
  <si>
    <t>=E4156</t>
  </si>
  <si>
    <t>=StartDate-$M4158+1</t>
  </si>
  <si>
    <t>=SUM(P4158:T4158)</t>
  </si>
  <si>
    <t>=IF($M4158&gt;=$P$18,U4158,0)</t>
  </si>
  <si>
    <t>=IF(AND($M4158&gt;=$Q$16,$M4158&lt;=$Q$18),U4158,0)</t>
  </si>
  <si>
    <t>=IF(AND($M4158&gt;=$R$16,$M4158&lt;=$R$18),U4158,0)</t>
  </si>
  <si>
    <t>=IF(AND($M4158&gt;=$S$16,$M4158&lt;=$S$18),U4158,0)</t>
  </si>
  <si>
    <t>=IF($M4158&lt;=$T$18,U4158,0)</t>
  </si>
  <si>
    <t>="""NAV Direct"",""CRONUS JetCorp USA"",""21"",""1"",""429155"""</t>
  </si>
  <si>
    <t>=E4157</t>
  </si>
  <si>
    <t>=StartDate-$M4159+1</t>
  </si>
  <si>
    <t>=SUM(P4159:T4159)</t>
  </si>
  <si>
    <t>=IF($M4159&gt;=$P$18,U4159,0)</t>
  </si>
  <si>
    <t>=IF(AND($M4159&gt;=$Q$16,$M4159&lt;=$Q$18),U4159,0)</t>
  </si>
  <si>
    <t>=IF(AND($M4159&gt;=$R$16,$M4159&lt;=$R$18),U4159,0)</t>
  </si>
  <si>
    <t>=IF(AND($M4159&gt;=$S$16,$M4159&lt;=$S$18),U4159,0)</t>
  </si>
  <si>
    <t>=IF($M4159&lt;=$T$18,U4159,0)</t>
  </si>
  <si>
    <t>="""NAV Direct"",""CRONUS JetCorp USA"",""21"",""1"",""444299"""</t>
  </si>
  <si>
    <t>=E4158</t>
  </si>
  <si>
    <t>=StartDate-$M4160+1</t>
  </si>
  <si>
    <t>=SUM(P4160:T4160)</t>
  </si>
  <si>
    <t>=IF($M4160&gt;=$P$18,U4160,0)</t>
  </si>
  <si>
    <t>=IF(AND($M4160&gt;=$Q$16,$M4160&lt;=$Q$18),U4160,0)</t>
  </si>
  <si>
    <t>=IF(AND($M4160&gt;=$R$16,$M4160&lt;=$R$18),U4160,0)</t>
  </si>
  <si>
    <t>=IF(AND($M4160&gt;=$S$16,$M4160&lt;=$S$18),U4160,0)</t>
  </si>
  <si>
    <t>=IF($M4160&lt;=$T$18,U4160,0)</t>
  </si>
  <si>
    <t>="""NAV Direct"",""CRONUS JetCorp USA"",""21"",""1"",""444497"""</t>
  </si>
  <si>
    <t>=E4159</t>
  </si>
  <si>
    <t>=StartDate-$M4161+1</t>
  </si>
  <si>
    <t>=SUM(P4161:T4161)</t>
  </si>
  <si>
    <t>=IF($M4161&gt;=$P$18,U4161,0)</t>
  </si>
  <si>
    <t>=IF(AND($M4161&gt;=$Q$16,$M4161&lt;=$Q$18),U4161,0)</t>
  </si>
  <si>
    <t>=IF(AND($M4161&gt;=$R$16,$M4161&lt;=$R$18),U4161,0)</t>
  </si>
  <si>
    <t>=IF(AND($M4161&gt;=$S$16,$M4161&lt;=$S$18),U4161,0)</t>
  </si>
  <si>
    <t>=IF($M4161&lt;=$T$18,U4161,0)</t>
  </si>
  <si>
    <t>="""NAV Direct"",""CRONUS JetCorp USA"",""21"",""1"",""444510"""</t>
  </si>
  <si>
    <t>=E4160</t>
  </si>
  <si>
    <t>=StartDate-$M4162+1</t>
  </si>
  <si>
    <t>=SUM(P4162:T4162)</t>
  </si>
  <si>
    <t>=IF($M4162&gt;=$P$18,U4162,0)</t>
  </si>
  <si>
    <t>=IF(AND($M4162&gt;=$Q$16,$M4162&lt;=$Q$18),U4162,0)</t>
  </si>
  <si>
    <t>=IF(AND($M4162&gt;=$R$16,$M4162&lt;=$R$18),U4162,0)</t>
  </si>
  <si>
    <t>=IF(AND($M4162&gt;=$S$16,$M4162&lt;=$S$18),U4162,0)</t>
  </si>
  <si>
    <t>=IF($M4162&lt;=$T$18,U4162,0)</t>
  </si>
  <si>
    <t>="""NAV Direct"",""CRONUS JetCorp USA"",""21"",""1"",""444536"""</t>
  </si>
  <si>
    <t>=E4161</t>
  </si>
  <si>
    <t>=StartDate-$M4163+1</t>
  </si>
  <si>
    <t>=SUM(P4163:T4163)</t>
  </si>
  <si>
    <t>=IF($M4163&gt;=$P$18,U4163,0)</t>
  </si>
  <si>
    <t>=IF(AND($M4163&gt;=$Q$16,$M4163&lt;=$Q$18),U4163,0)</t>
  </si>
  <si>
    <t>=IF(AND($M4163&gt;=$R$16,$M4163&lt;=$R$18),U4163,0)</t>
  </si>
  <si>
    <t>=IF(AND($M4163&gt;=$S$16,$M4163&lt;=$S$18),U4163,0)</t>
  </si>
  <si>
    <t>=IF($M4163&lt;=$T$18,U4163,0)</t>
  </si>
  <si>
    <t>="""NAV Direct"",""CRONUS JetCorp USA"",""21"",""1"",""444655"""</t>
  </si>
  <si>
    <t>=E4162</t>
  </si>
  <si>
    <t>=StartDate-$M4164+1</t>
  </si>
  <si>
    <t>=SUM(P4164:T4164)</t>
  </si>
  <si>
    <t>=IF($M4164&gt;=$P$18,U4164,0)</t>
  </si>
  <si>
    <t>=IF(AND($M4164&gt;=$Q$16,$M4164&lt;=$Q$18),U4164,0)</t>
  </si>
  <si>
    <t>=IF(AND($M4164&gt;=$R$16,$M4164&lt;=$R$18),U4164,0)</t>
  </si>
  <si>
    <t>=IF(AND($M4164&gt;=$S$16,$M4164&lt;=$S$18),U4164,0)</t>
  </si>
  <si>
    <t>=IF($M4164&lt;=$T$18,U4164,0)</t>
  </si>
  <si>
    <t>="""NAV Direct"",""CRONUS JetCorp USA"",""21"",""1"",""444865"""</t>
  </si>
  <si>
    <t>=E4163</t>
  </si>
  <si>
    <t>=StartDate-$M4165+1</t>
  </si>
  <si>
    <t>=SUM(P4165:T4165)</t>
  </si>
  <si>
    <t>=IF($M4165&gt;=$P$18,U4165,0)</t>
  </si>
  <si>
    <t>=IF(AND($M4165&gt;=$Q$16,$M4165&lt;=$Q$18),U4165,0)</t>
  </si>
  <si>
    <t>=IF(AND($M4165&gt;=$R$16,$M4165&lt;=$R$18),U4165,0)</t>
  </si>
  <si>
    <t>=IF(AND($M4165&gt;=$S$16,$M4165&lt;=$S$18),U4165,0)</t>
  </si>
  <si>
    <t>=IF($M4165&lt;=$T$18,U4165,0)</t>
  </si>
  <si>
    <t>="""NAV Direct"",""CRONUS JetCorp USA"",""18"",""1"",""C100118"""</t>
  </si>
  <si>
    <t>=H4168</t>
  </si>
  <si>
    <t>=NF($C4168,"1 No.")</t>
  </si>
  <si>
    <t>=NF($C4168,"1 No.")&amp;"  -  "&amp;NF($C4168,"2 Name")</t>
  </si>
  <si>
    <t>=IFERROR(O4168/NF(C4168,"Credit Limit (LCY)"),"")</t>
  </si>
  <si>
    <t>=SUBTOTAL(3,L4169:L4210)</t>
  </si>
  <si>
    <t>=SUBTOTAL(9,O4169:O4210)</t>
  </si>
  <si>
    <t>=SUBTOTAL(9,P4169:P4210)</t>
  </si>
  <si>
    <t>=SUBTOTAL(9,Q4169:Q4210)</t>
  </si>
  <si>
    <t>=SUBTOTAL(9,R4169:R4210)</t>
  </si>
  <si>
    <t>=SUBTOTAL(9,S4169:S4210)</t>
  </si>
  <si>
    <t>=SUBTOTAL(9,T4169:T4210)</t>
  </si>
  <si>
    <t>=C4168</t>
  </si>
  <si>
    <t>=E4168</t>
  </si>
  <si>
    <t>="Contact: "&amp;NF($C4169,"8 Contact")</t>
  </si>
  <si>
    <t>=C4169</t>
  </si>
  <si>
    <t>=E4169</t>
  </si>
  <si>
    <t>=NF($C4170,"102 E-Mail")</t>
  </si>
  <si>
    <t>=NL("Rows","21 Cust. Ledger Entry",,"3 Customer No.","@@"&amp;$E4172,"16 Remaining Amt. (LCY)","&lt;&gt;0")</t>
  </si>
  <si>
    <t>=E4170</t>
  </si>
  <si>
    <t>=StartDate-$M4172+1</t>
  </si>
  <si>
    <t>=SUM(P4172:T4172)</t>
  </si>
  <si>
    <t>=IF($M4172&gt;=$P$18,U4172,0)</t>
  </si>
  <si>
    <t>=IF(AND($M4172&gt;=$Q$16,$M4172&lt;=$Q$18),U4172,0)</t>
  </si>
  <si>
    <t>=IF(AND($M4172&gt;=$R$16,$M4172&lt;=$R$18),U4172,0)</t>
  </si>
  <si>
    <t>=IF(AND($M4172&gt;=$S$16,$M4172&lt;=$S$18),U4172,0)</t>
  </si>
  <si>
    <t>=IF($M4172&lt;=$T$18,U4172,0)</t>
  </si>
  <si>
    <t>="""NAV Direct"",""CRONUS JetCorp USA"",""21"",""1"",""101768"""</t>
  </si>
  <si>
    <t>=E4171</t>
  </si>
  <si>
    <t>=StartDate-$M4173+1</t>
  </si>
  <si>
    <t>=SUM(P4173:T4173)</t>
  </si>
  <si>
    <t>=IF($M4173&gt;=$P$18,U4173,0)</t>
  </si>
  <si>
    <t>=IF(AND($M4173&gt;=$Q$16,$M4173&lt;=$Q$18),U4173,0)</t>
  </si>
  <si>
    <t>=IF(AND($M4173&gt;=$R$16,$M4173&lt;=$R$18),U4173,0)</t>
  </si>
  <si>
    <t>=IF(AND($M4173&gt;=$S$16,$M4173&lt;=$S$18),U4173,0)</t>
  </si>
  <si>
    <t>=IF($M4173&lt;=$T$18,U4173,0)</t>
  </si>
  <si>
    <t>="""NAV Direct"",""CRONUS JetCorp USA"",""21"",""1"",""101803"""</t>
  </si>
  <si>
    <t>=E4172</t>
  </si>
  <si>
    <t>=StartDate-$M4174+1</t>
  </si>
  <si>
    <t>=SUM(P4174:T4174)</t>
  </si>
  <si>
    <t>=IF($M4174&gt;=$P$18,U4174,0)</t>
  </si>
  <si>
    <t>=IF(AND($M4174&gt;=$Q$16,$M4174&lt;=$Q$18),U4174,0)</t>
  </si>
  <si>
    <t>=IF(AND($M4174&gt;=$R$16,$M4174&lt;=$R$18),U4174,0)</t>
  </si>
  <si>
    <t>=IF(AND($M4174&gt;=$S$16,$M4174&lt;=$S$18),U4174,0)</t>
  </si>
  <si>
    <t>=IF($M4174&lt;=$T$18,U4174,0)</t>
  </si>
  <si>
    <t>="""NAV Direct"",""CRONUS JetCorp USA"",""21"",""1"",""102235"""</t>
  </si>
  <si>
    <t>=E4173</t>
  </si>
  <si>
    <t>=StartDate-$M4175+1</t>
  </si>
  <si>
    <t>=SUM(P4175:T4175)</t>
  </si>
  <si>
    <t>=IF($M4175&gt;=$P$18,U4175,0)</t>
  </si>
  <si>
    <t>=IF(AND($M4175&gt;=$Q$16,$M4175&lt;=$Q$18),U4175,0)</t>
  </si>
  <si>
    <t>=IF(AND($M4175&gt;=$R$16,$M4175&lt;=$R$18),U4175,0)</t>
  </si>
  <si>
    <t>=IF(AND($M4175&gt;=$S$16,$M4175&lt;=$S$18),U4175,0)</t>
  </si>
  <si>
    <t>=IF($M4175&lt;=$T$18,U4175,0)</t>
  </si>
  <si>
    <t>="""NAV Direct"",""CRONUS JetCorp USA"",""21"",""1"",""380595"""</t>
  </si>
  <si>
    <t>=E4174</t>
  </si>
  <si>
    <t>=StartDate-$M4176+1</t>
  </si>
  <si>
    <t>=SUM(P4176:T4176)</t>
  </si>
  <si>
    <t>=IF($M4176&gt;=$P$18,U4176,0)</t>
  </si>
  <si>
    <t>=IF(AND($M4176&gt;=$Q$16,$M4176&lt;=$Q$18),U4176,0)</t>
  </si>
  <si>
    <t>=IF(AND($M4176&gt;=$R$16,$M4176&lt;=$R$18),U4176,0)</t>
  </si>
  <si>
    <t>=IF(AND($M4176&gt;=$S$16,$M4176&lt;=$S$18),U4176,0)</t>
  </si>
  <si>
    <t>=IF($M4176&lt;=$T$18,U4176,0)</t>
  </si>
  <si>
    <t>="""NAV Direct"",""CRONUS JetCorp USA"",""21"",""1"",""380632"""</t>
  </si>
  <si>
    <t>=E4175</t>
  </si>
  <si>
    <t>=StartDate-$M4177+1</t>
  </si>
  <si>
    <t>=SUM(P4177:T4177)</t>
  </si>
  <si>
    <t>=IF($M4177&gt;=$P$18,U4177,0)</t>
  </si>
  <si>
    <t>=IF(AND($M4177&gt;=$Q$16,$M4177&lt;=$Q$18),U4177,0)</t>
  </si>
  <si>
    <t>=IF(AND($M4177&gt;=$R$16,$M4177&lt;=$R$18),U4177,0)</t>
  </si>
  <si>
    <t>=IF(AND($M4177&gt;=$S$16,$M4177&lt;=$S$18),U4177,0)</t>
  </si>
  <si>
    <t>=IF($M4177&lt;=$T$18,U4177,0)</t>
  </si>
  <si>
    <t>="""NAV Direct"",""CRONUS JetCorp USA"",""21"",""1"",""380663"""</t>
  </si>
  <si>
    <t>=E4176</t>
  </si>
  <si>
    <t>=StartDate-$M4178+1</t>
  </si>
  <si>
    <t>=SUM(P4178:T4178)</t>
  </si>
  <si>
    <t>=IF($M4178&gt;=$P$18,U4178,0)</t>
  </si>
  <si>
    <t>=IF(AND($M4178&gt;=$Q$16,$M4178&lt;=$Q$18),U4178,0)</t>
  </si>
  <si>
    <t>=IF(AND($M4178&gt;=$R$16,$M4178&lt;=$R$18),U4178,0)</t>
  </si>
  <si>
    <t>=IF(AND($M4178&gt;=$S$16,$M4178&lt;=$S$18),U4178,0)</t>
  </si>
  <si>
    <t>=IF($M4178&lt;=$T$18,U4178,0)</t>
  </si>
  <si>
    <t>="""NAV Direct"",""CRONUS JetCorp USA"",""21"",""1"",""380684"""</t>
  </si>
  <si>
    <t>=E4177</t>
  </si>
  <si>
    <t>=StartDate-$M4179+1</t>
  </si>
  <si>
    <t>=SUM(P4179:T4179)</t>
  </si>
  <si>
    <t>=IF($M4179&gt;=$P$18,U4179,0)</t>
  </si>
  <si>
    <t>=IF(AND($M4179&gt;=$Q$16,$M4179&lt;=$Q$18),U4179,0)</t>
  </si>
  <si>
    <t>=IF(AND($M4179&gt;=$R$16,$M4179&lt;=$R$18),U4179,0)</t>
  </si>
  <si>
    <t>=IF(AND($M4179&gt;=$S$16,$M4179&lt;=$S$18),U4179,0)</t>
  </si>
  <si>
    <t>=IF($M4179&lt;=$T$18,U4179,0)</t>
  </si>
  <si>
    <t>="""NAV Direct"",""CRONUS JetCorp USA"",""21"",""1"",""380812"""</t>
  </si>
  <si>
    <t>=E4178</t>
  </si>
  <si>
    <t>=StartDate-$M4180+1</t>
  </si>
  <si>
    <t>=SUM(P4180:T4180)</t>
  </si>
  <si>
    <t>=IF($M4180&gt;=$P$18,U4180,0)</t>
  </si>
  <si>
    <t>=IF(AND($M4180&gt;=$Q$16,$M4180&lt;=$Q$18),U4180,0)</t>
  </si>
  <si>
    <t>=IF(AND($M4180&gt;=$R$16,$M4180&lt;=$R$18),U4180,0)</t>
  </si>
  <si>
    <t>=IF(AND($M4180&gt;=$S$16,$M4180&lt;=$S$18),U4180,0)</t>
  </si>
  <si>
    <t>=IF($M4180&lt;=$T$18,U4180,0)</t>
  </si>
  <si>
    <t>="""NAV Direct"",""CRONUS JetCorp USA"",""21"",""1"",""380965"""</t>
  </si>
  <si>
    <t>=E4179</t>
  </si>
  <si>
    <t>=StartDate-$M4181+1</t>
  </si>
  <si>
    <t>=SUM(P4181:T4181)</t>
  </si>
  <si>
    <t>=IF($M4181&gt;=$P$18,U4181,0)</t>
  </si>
  <si>
    <t>=IF(AND($M4181&gt;=$Q$16,$M4181&lt;=$Q$18),U4181,0)</t>
  </si>
  <si>
    <t>=IF(AND($M4181&gt;=$R$16,$M4181&lt;=$R$18),U4181,0)</t>
  </si>
  <si>
    <t>=IF(AND($M4181&gt;=$S$16,$M4181&lt;=$S$18),U4181,0)</t>
  </si>
  <si>
    <t>=IF($M4181&lt;=$T$18,U4181,0)</t>
  </si>
  <si>
    <t>="""NAV Direct"",""CRONUS JetCorp USA"",""21"",""1"",""381068"""</t>
  </si>
  <si>
    <t>=E4180</t>
  </si>
  <si>
    <t>=StartDate-$M4182+1</t>
  </si>
  <si>
    <t>=SUM(P4182:T4182)</t>
  </si>
  <si>
    <t>=IF($M4182&gt;=$P$18,U4182,0)</t>
  </si>
  <si>
    <t>=IF(AND($M4182&gt;=$Q$16,$M4182&lt;=$Q$18),U4182,0)</t>
  </si>
  <si>
    <t>=IF(AND($M4182&gt;=$R$16,$M4182&lt;=$R$18),U4182,0)</t>
  </si>
  <si>
    <t>=IF(AND($M4182&gt;=$S$16,$M4182&lt;=$S$18),U4182,0)</t>
  </si>
  <si>
    <t>=IF($M4182&lt;=$T$18,U4182,0)</t>
  </si>
  <si>
    <t>="""NAV Direct"",""CRONUS JetCorp USA"",""21"",""1"",""381099"""</t>
  </si>
  <si>
    <t>=E4181</t>
  </si>
  <si>
    <t>=StartDate-$M4183+1</t>
  </si>
  <si>
    <t>=SUM(P4183:T4183)</t>
  </si>
  <si>
    <t>=IF($M4183&gt;=$P$18,U4183,0)</t>
  </si>
  <si>
    <t>=IF(AND($M4183&gt;=$Q$16,$M4183&lt;=$Q$18),U4183,0)</t>
  </si>
  <si>
    <t>=IF(AND($M4183&gt;=$R$16,$M4183&lt;=$R$18),U4183,0)</t>
  </si>
  <si>
    <t>=IF(AND($M4183&gt;=$S$16,$M4183&lt;=$S$18),U4183,0)</t>
  </si>
  <si>
    <t>=IF($M4183&lt;=$T$18,U4183,0)</t>
  </si>
  <si>
    <t>="""NAV Direct"",""CRONUS JetCorp USA"",""21"",""1"",""381213"""</t>
  </si>
  <si>
    <t>=E4182</t>
  </si>
  <si>
    <t>=StartDate-$M4184+1</t>
  </si>
  <si>
    <t>=SUM(P4184:T4184)</t>
  </si>
  <si>
    <t>=IF($M4184&gt;=$P$18,U4184,0)</t>
  </si>
  <si>
    <t>=IF(AND($M4184&gt;=$Q$16,$M4184&lt;=$Q$18),U4184,0)</t>
  </si>
  <si>
    <t>=IF(AND($M4184&gt;=$R$16,$M4184&lt;=$R$18),U4184,0)</t>
  </si>
  <si>
    <t>=IF(AND($M4184&gt;=$S$16,$M4184&lt;=$S$18),U4184,0)</t>
  </si>
  <si>
    <t>=IF($M4184&lt;=$T$18,U4184,0)</t>
  </si>
  <si>
    <t>="""NAV Direct"",""CRONUS JetCorp USA"",""21"",""1"",""381368"""</t>
  </si>
  <si>
    <t>=E4183</t>
  </si>
  <si>
    <t>=StartDate-$M4185+1</t>
  </si>
  <si>
    <t>=SUM(P4185:T4185)</t>
  </si>
  <si>
    <t>=IF($M4185&gt;=$P$18,U4185,0)</t>
  </si>
  <si>
    <t>=IF(AND($M4185&gt;=$Q$16,$M4185&lt;=$Q$18),U4185,0)</t>
  </si>
  <si>
    <t>=IF(AND($M4185&gt;=$R$16,$M4185&lt;=$R$18),U4185,0)</t>
  </si>
  <si>
    <t>=IF(AND($M4185&gt;=$S$16,$M4185&lt;=$S$18),U4185,0)</t>
  </si>
  <si>
    <t>=IF($M4185&lt;=$T$18,U4185,0)</t>
  </si>
  <si>
    <t>="""NAV Direct"",""CRONUS JetCorp USA"",""21"",""1"",""381465"""</t>
  </si>
  <si>
    <t>=E4184</t>
  </si>
  <si>
    <t>=StartDate-$M4186+1</t>
  </si>
  <si>
    <t>=SUM(P4186:T4186)</t>
  </si>
  <si>
    <t>=IF($M4186&gt;=$P$18,U4186,0)</t>
  </si>
  <si>
    <t>=IF(AND($M4186&gt;=$Q$16,$M4186&lt;=$Q$18),U4186,0)</t>
  </si>
  <si>
    <t>=IF(AND($M4186&gt;=$R$16,$M4186&lt;=$R$18),U4186,0)</t>
  </si>
  <si>
    <t>=IF(AND($M4186&gt;=$S$16,$M4186&lt;=$S$18),U4186,0)</t>
  </si>
  <si>
    <t>=IF($M4186&lt;=$T$18,U4186,0)</t>
  </si>
  <si>
    <t>="""NAV Direct"",""CRONUS JetCorp USA"",""21"",""1"",""381519"""</t>
  </si>
  <si>
    <t>=E4185</t>
  </si>
  <si>
    <t>=StartDate-$M4187+1</t>
  </si>
  <si>
    <t>=SUM(P4187:T4187)</t>
  </si>
  <si>
    <t>=IF($M4187&gt;=$P$18,U4187,0)</t>
  </si>
  <si>
    <t>=IF(AND($M4187&gt;=$Q$16,$M4187&lt;=$Q$18),U4187,0)</t>
  </si>
  <si>
    <t>=IF(AND($M4187&gt;=$R$16,$M4187&lt;=$R$18),U4187,0)</t>
  </si>
  <si>
    <t>=IF(AND($M4187&gt;=$S$16,$M4187&lt;=$S$18),U4187,0)</t>
  </si>
  <si>
    <t>=IF($M4187&lt;=$T$18,U4187,0)</t>
  </si>
  <si>
    <t>="""NAV Direct"",""CRONUS JetCorp USA"",""21"",""1"",""381581"""</t>
  </si>
  <si>
    <t>=E4186</t>
  </si>
  <si>
    <t>=StartDate-$M4188+1</t>
  </si>
  <si>
    <t>=SUM(P4188:T4188)</t>
  </si>
  <si>
    <t>=IF($M4188&gt;=$P$18,U4188,0)</t>
  </si>
  <si>
    <t>=IF(AND($M4188&gt;=$Q$16,$M4188&lt;=$Q$18),U4188,0)</t>
  </si>
  <si>
    <t>=IF(AND($M4188&gt;=$R$16,$M4188&lt;=$R$18),U4188,0)</t>
  </si>
  <si>
    <t>=IF(AND($M4188&gt;=$S$16,$M4188&lt;=$S$18),U4188,0)</t>
  </si>
  <si>
    <t>=IF($M4188&lt;=$T$18,U4188,0)</t>
  </si>
  <si>
    <t>="""NAV Direct"",""CRONUS JetCorp USA"",""21"",""1"",""382173"""</t>
  </si>
  <si>
    <t>=E4187</t>
  </si>
  <si>
    <t>=StartDate-$M4189+1</t>
  </si>
  <si>
    <t>=SUM(P4189:T4189)</t>
  </si>
  <si>
    <t>=IF($M4189&gt;=$P$18,U4189,0)</t>
  </si>
  <si>
    <t>=IF(AND($M4189&gt;=$Q$16,$M4189&lt;=$Q$18),U4189,0)</t>
  </si>
  <si>
    <t>=IF(AND($M4189&gt;=$R$16,$M4189&lt;=$R$18),U4189,0)</t>
  </si>
  <si>
    <t>=IF(AND($M4189&gt;=$S$16,$M4189&lt;=$S$18),U4189,0)</t>
  </si>
  <si>
    <t>=IF($M4189&lt;=$T$18,U4189,0)</t>
  </si>
  <si>
    <t>="""NAV Direct"",""CRONUS JetCorp USA"",""21"",""1"",""382317"""</t>
  </si>
  <si>
    <t>=E4188</t>
  </si>
  <si>
    <t>=StartDate-$M4190+1</t>
  </si>
  <si>
    <t>=SUM(P4190:T4190)</t>
  </si>
  <si>
    <t>=IF($M4190&gt;=$P$18,U4190,0)</t>
  </si>
  <si>
    <t>=IF(AND($M4190&gt;=$Q$16,$M4190&lt;=$Q$18),U4190,0)</t>
  </si>
  <si>
    <t>=IF(AND($M4190&gt;=$R$16,$M4190&lt;=$R$18),U4190,0)</t>
  </si>
  <si>
    <t>=IF(AND($M4190&gt;=$S$16,$M4190&lt;=$S$18),U4190,0)</t>
  </si>
  <si>
    <t>=IF($M4190&lt;=$T$18,U4190,0)</t>
  </si>
  <si>
    <t>="""NAV Direct"",""CRONUS JetCorp USA"",""21"",""1"",""382431"""</t>
  </si>
  <si>
    <t>=E4189</t>
  </si>
  <si>
    <t>=StartDate-$M4191+1</t>
  </si>
  <si>
    <t>=SUM(P4191:T4191)</t>
  </si>
  <si>
    <t>=IF($M4191&gt;=$P$18,U4191,0)</t>
  </si>
  <si>
    <t>=IF(AND($M4191&gt;=$Q$16,$M4191&lt;=$Q$18),U4191,0)</t>
  </si>
  <si>
    <t>=IF(AND($M4191&gt;=$R$16,$M4191&lt;=$R$18),U4191,0)</t>
  </si>
  <si>
    <t>=IF(AND($M4191&gt;=$S$16,$M4191&lt;=$S$18),U4191,0)</t>
  </si>
  <si>
    <t>=IF($M4191&lt;=$T$18,U4191,0)</t>
  </si>
  <si>
    <t>="""NAV Direct"",""CRONUS JetCorp USA"",""21"",""1"",""382464"""</t>
  </si>
  <si>
    <t>=E4190</t>
  </si>
  <si>
    <t>=StartDate-$M4192+1</t>
  </si>
  <si>
    <t>=SUM(P4192:T4192)</t>
  </si>
  <si>
    <t>=IF($M4192&gt;=$P$18,U4192,0)</t>
  </si>
  <si>
    <t>=IF(AND($M4192&gt;=$Q$16,$M4192&lt;=$Q$18),U4192,0)</t>
  </si>
  <si>
    <t>=IF(AND($M4192&gt;=$R$16,$M4192&lt;=$R$18),U4192,0)</t>
  </si>
  <si>
    <t>=IF(AND($M4192&gt;=$S$16,$M4192&lt;=$S$18),U4192,0)</t>
  </si>
  <si>
    <t>=IF($M4192&lt;=$T$18,U4192,0)</t>
  </si>
  <si>
    <t>="""NAV Direct"",""CRONUS JetCorp USA"",""21"",""1"",""382604"""</t>
  </si>
  <si>
    <t>=E4191</t>
  </si>
  <si>
    <t>=StartDate-$M4193+1</t>
  </si>
  <si>
    <t>=SUM(P4193:T4193)</t>
  </si>
  <si>
    <t>=IF($M4193&gt;=$P$18,U4193,0)</t>
  </si>
  <si>
    <t>=IF(AND($M4193&gt;=$Q$16,$M4193&lt;=$Q$18),U4193,0)</t>
  </si>
  <si>
    <t>=IF(AND($M4193&gt;=$R$16,$M4193&lt;=$R$18),U4193,0)</t>
  </si>
  <si>
    <t>=IF(AND($M4193&gt;=$S$16,$M4193&lt;=$S$18),U4193,0)</t>
  </si>
  <si>
    <t>=IF($M4193&lt;=$T$18,U4193,0)</t>
  </si>
  <si>
    <t>="""NAV Direct"",""CRONUS JetCorp USA"",""21"",""1"",""382734"""</t>
  </si>
  <si>
    <t>=E4192</t>
  </si>
  <si>
    <t>=StartDate-$M4194+1</t>
  </si>
  <si>
    <t>=SUM(P4194:T4194)</t>
  </si>
  <si>
    <t>=IF($M4194&gt;=$P$18,U4194,0)</t>
  </si>
  <si>
    <t>=IF(AND($M4194&gt;=$Q$16,$M4194&lt;=$Q$18),U4194,0)</t>
  </si>
  <si>
    <t>=IF(AND($M4194&gt;=$R$16,$M4194&lt;=$R$18),U4194,0)</t>
  </si>
  <si>
    <t>=IF(AND($M4194&gt;=$S$16,$M4194&lt;=$S$18),U4194,0)</t>
  </si>
  <si>
    <t>=IF($M4194&lt;=$T$18,U4194,0)</t>
  </si>
  <si>
    <t>="""NAV Direct"",""CRONUS JetCorp USA"",""21"",""1"",""382936"""</t>
  </si>
  <si>
    <t>=E4193</t>
  </si>
  <si>
    <t>=StartDate-$M4195+1</t>
  </si>
  <si>
    <t>=SUM(P4195:T4195)</t>
  </si>
  <si>
    <t>=IF($M4195&gt;=$P$18,U4195,0)</t>
  </si>
  <si>
    <t>=IF(AND($M4195&gt;=$Q$16,$M4195&lt;=$Q$18),U4195,0)</t>
  </si>
  <si>
    <t>=IF(AND($M4195&gt;=$R$16,$M4195&lt;=$R$18),U4195,0)</t>
  </si>
  <si>
    <t>=IF(AND($M4195&gt;=$S$16,$M4195&lt;=$S$18),U4195,0)</t>
  </si>
  <si>
    <t>=IF($M4195&lt;=$T$18,U4195,0)</t>
  </si>
  <si>
    <t>="""NAV Direct"",""CRONUS JetCorp USA"",""21"",""1"",""383020"""</t>
  </si>
  <si>
    <t>=E4194</t>
  </si>
  <si>
    <t>=StartDate-$M4196+1</t>
  </si>
  <si>
    <t>=SUM(P4196:T4196)</t>
  </si>
  <si>
    <t>=IF($M4196&gt;=$P$18,U4196,0)</t>
  </si>
  <si>
    <t>=IF(AND($M4196&gt;=$Q$16,$M4196&lt;=$Q$18),U4196,0)</t>
  </si>
  <si>
    <t>=IF(AND($M4196&gt;=$R$16,$M4196&lt;=$R$18),U4196,0)</t>
  </si>
  <si>
    <t>=IF(AND($M4196&gt;=$S$16,$M4196&lt;=$S$18),U4196,0)</t>
  </si>
  <si>
    <t>=IF($M4196&lt;=$T$18,U4196,0)</t>
  </si>
  <si>
    <t>="""NAV Direct"",""CRONUS JetCorp USA"",""21"",""1"",""383078"""</t>
  </si>
  <si>
    <t>=E4195</t>
  </si>
  <si>
    <t>=StartDate-$M4197+1</t>
  </si>
  <si>
    <t>=SUM(P4197:T4197)</t>
  </si>
  <si>
    <t>=IF($M4197&gt;=$P$18,U4197,0)</t>
  </si>
  <si>
    <t>=IF(AND($M4197&gt;=$Q$16,$M4197&lt;=$Q$18),U4197,0)</t>
  </si>
  <si>
    <t>=IF(AND($M4197&gt;=$R$16,$M4197&lt;=$R$18),U4197,0)</t>
  </si>
  <si>
    <t>=IF(AND($M4197&gt;=$S$16,$M4197&lt;=$S$18),U4197,0)</t>
  </si>
  <si>
    <t>=IF($M4197&lt;=$T$18,U4197,0)</t>
  </si>
  <si>
    <t>="""NAV Direct"",""CRONUS JetCorp USA"",""21"",""1"",""383243"""</t>
  </si>
  <si>
    <t>=E4196</t>
  </si>
  <si>
    <t>=StartDate-$M4198+1</t>
  </si>
  <si>
    <t>=SUM(P4198:T4198)</t>
  </si>
  <si>
    <t>=IF($M4198&gt;=$P$18,U4198,0)</t>
  </si>
  <si>
    <t>=IF(AND($M4198&gt;=$Q$16,$M4198&lt;=$Q$18),U4198,0)</t>
  </si>
  <si>
    <t>=IF(AND($M4198&gt;=$R$16,$M4198&lt;=$R$18),U4198,0)</t>
  </si>
  <si>
    <t>=IF(AND($M4198&gt;=$S$16,$M4198&lt;=$S$18),U4198,0)</t>
  </si>
  <si>
    <t>=IF($M4198&lt;=$T$18,U4198,0)</t>
  </si>
  <si>
    <t>="""NAV Direct"",""CRONUS JetCorp USA"",""21"",""1"",""383282"""</t>
  </si>
  <si>
    <t>=E4197</t>
  </si>
  <si>
    <t>=StartDate-$M4199+1</t>
  </si>
  <si>
    <t>=SUM(P4199:T4199)</t>
  </si>
  <si>
    <t>=IF($M4199&gt;=$P$18,U4199,0)</t>
  </si>
  <si>
    <t>=IF(AND($M4199&gt;=$Q$16,$M4199&lt;=$Q$18),U4199,0)</t>
  </si>
  <si>
    <t>=IF(AND($M4199&gt;=$R$16,$M4199&lt;=$R$18),U4199,0)</t>
  </si>
  <si>
    <t>=IF(AND($M4199&gt;=$S$16,$M4199&lt;=$S$18),U4199,0)</t>
  </si>
  <si>
    <t>=IF($M4199&lt;=$T$18,U4199,0)</t>
  </si>
  <si>
    <t>="""NAV Direct"",""CRONUS JetCorp USA"",""21"",""1"",""383438"""</t>
  </si>
  <si>
    <t>=E4198</t>
  </si>
  <si>
    <t>=StartDate-$M4200+1</t>
  </si>
  <si>
    <t>=SUM(P4200:T4200)</t>
  </si>
  <si>
    <t>=IF($M4200&gt;=$P$18,U4200,0)</t>
  </si>
  <si>
    <t>=IF(AND($M4200&gt;=$Q$16,$M4200&lt;=$Q$18),U4200,0)</t>
  </si>
  <si>
    <t>=IF(AND($M4200&gt;=$R$16,$M4200&lt;=$R$18),U4200,0)</t>
  </si>
  <si>
    <t>=IF(AND($M4200&gt;=$S$16,$M4200&lt;=$S$18),U4200,0)</t>
  </si>
  <si>
    <t>=IF($M4200&lt;=$T$18,U4200,0)</t>
  </si>
  <si>
    <t>="""NAV Direct"",""CRONUS JetCorp USA"",""21"",""1"",""383475"""</t>
  </si>
  <si>
    <t>=E4199</t>
  </si>
  <si>
    <t>=StartDate-$M4201+1</t>
  </si>
  <si>
    <t>=SUM(P4201:T4201)</t>
  </si>
  <si>
    <t>=IF($M4201&gt;=$P$18,U4201,0)</t>
  </si>
  <si>
    <t>=IF(AND($M4201&gt;=$Q$16,$M4201&lt;=$Q$18),U4201,0)</t>
  </si>
  <si>
    <t>=IF(AND($M4201&gt;=$R$16,$M4201&lt;=$R$18),U4201,0)</t>
  </si>
  <si>
    <t>=IF(AND($M4201&gt;=$S$16,$M4201&lt;=$S$18),U4201,0)</t>
  </si>
  <si>
    <t>=IF($M4201&lt;=$T$18,U4201,0)</t>
  </si>
  <si>
    <t>="""NAV Direct"",""CRONUS JetCorp USA"",""21"",""1"",""383508"""</t>
  </si>
  <si>
    <t>=E4200</t>
  </si>
  <si>
    <t>=StartDate-$M4202+1</t>
  </si>
  <si>
    <t>=SUM(P4202:T4202)</t>
  </si>
  <si>
    <t>=IF($M4202&gt;=$P$18,U4202,0)</t>
  </si>
  <si>
    <t>=IF(AND($M4202&gt;=$Q$16,$M4202&lt;=$Q$18),U4202,0)</t>
  </si>
  <si>
    <t>=IF(AND($M4202&gt;=$R$16,$M4202&lt;=$R$18),U4202,0)</t>
  </si>
  <si>
    <t>=IF(AND($M4202&gt;=$S$16,$M4202&lt;=$S$18),U4202,0)</t>
  </si>
  <si>
    <t>=IF($M4202&lt;=$T$18,U4202,0)</t>
  </si>
  <si>
    <t>="""NAV Direct"",""CRONUS JetCorp USA"",""21"",""1"",""383545"""</t>
  </si>
  <si>
    <t>=E4201</t>
  </si>
  <si>
    <t>=StartDate-$M4203+1</t>
  </si>
  <si>
    <t>=SUM(P4203:T4203)</t>
  </si>
  <si>
    <t>=IF($M4203&gt;=$P$18,U4203,0)</t>
  </si>
  <si>
    <t>=IF(AND($M4203&gt;=$Q$16,$M4203&lt;=$Q$18),U4203,0)</t>
  </si>
  <si>
    <t>=IF(AND($M4203&gt;=$R$16,$M4203&lt;=$R$18),U4203,0)</t>
  </si>
  <si>
    <t>=IF(AND($M4203&gt;=$S$16,$M4203&lt;=$S$18),U4203,0)</t>
  </si>
  <si>
    <t>=IF($M4203&lt;=$T$18,U4203,0)</t>
  </si>
  <si>
    <t>="""NAV Direct"",""CRONUS JetCorp USA"",""21"",""1"",""383679"""</t>
  </si>
  <si>
    <t>=E4202</t>
  </si>
  <si>
    <t>=StartDate-$M4204+1</t>
  </si>
  <si>
    <t>=SUM(P4204:T4204)</t>
  </si>
  <si>
    <t>=IF($M4204&gt;=$P$18,U4204,0)</t>
  </si>
  <si>
    <t>=IF(AND($M4204&gt;=$Q$16,$M4204&lt;=$Q$18),U4204,0)</t>
  </si>
  <si>
    <t>=IF(AND($M4204&gt;=$R$16,$M4204&lt;=$R$18),U4204,0)</t>
  </si>
  <si>
    <t>=IF(AND($M4204&gt;=$S$16,$M4204&lt;=$S$18),U4204,0)</t>
  </si>
  <si>
    <t>=IF($M4204&lt;=$T$18,U4204,0)</t>
  </si>
  <si>
    <t>="""NAV Direct"",""CRONUS JetCorp USA"",""21"",""1"",""438286"""</t>
  </si>
  <si>
    <t>=E4203</t>
  </si>
  <si>
    <t>=StartDate-$M4205+1</t>
  </si>
  <si>
    <t>=SUM(P4205:T4205)</t>
  </si>
  <si>
    <t>=IF($M4205&gt;=$P$18,U4205,0)</t>
  </si>
  <si>
    <t>=IF(AND($M4205&gt;=$Q$16,$M4205&lt;=$Q$18),U4205,0)</t>
  </si>
  <si>
    <t>=IF(AND($M4205&gt;=$R$16,$M4205&lt;=$R$18),U4205,0)</t>
  </si>
  <si>
    <t>=IF(AND($M4205&gt;=$S$16,$M4205&lt;=$S$18),U4205,0)</t>
  </si>
  <si>
    <t>=IF($M4205&lt;=$T$18,U4205,0)</t>
  </si>
  <si>
    <t>="""NAV Direct"",""CRONUS JetCorp USA"",""21"",""1"",""438345"""</t>
  </si>
  <si>
    <t>=E4204</t>
  </si>
  <si>
    <t>=StartDate-$M4206+1</t>
  </si>
  <si>
    <t>=SUM(P4206:T4206)</t>
  </si>
  <si>
    <t>=IF($M4206&gt;=$P$18,U4206,0)</t>
  </si>
  <si>
    <t>=IF(AND($M4206&gt;=$Q$16,$M4206&lt;=$Q$18),U4206,0)</t>
  </si>
  <si>
    <t>=IF(AND($M4206&gt;=$R$16,$M4206&lt;=$R$18),U4206,0)</t>
  </si>
  <si>
    <t>=IF(AND($M4206&gt;=$S$16,$M4206&lt;=$S$18),U4206,0)</t>
  </si>
  <si>
    <t>=IF($M4206&lt;=$T$18,U4206,0)</t>
  </si>
  <si>
    <t>="""NAV Direct"",""CRONUS JetCorp USA"",""21"",""1"",""438373"""</t>
  </si>
  <si>
    <t>=E4205</t>
  </si>
  <si>
    <t>=StartDate-$M4207+1</t>
  </si>
  <si>
    <t>=SUM(P4207:T4207)</t>
  </si>
  <si>
    <t>=IF($M4207&gt;=$P$18,U4207,0)</t>
  </si>
  <si>
    <t>=IF(AND($M4207&gt;=$Q$16,$M4207&lt;=$Q$18),U4207,0)</t>
  </si>
  <si>
    <t>=IF(AND($M4207&gt;=$R$16,$M4207&lt;=$R$18),U4207,0)</t>
  </si>
  <si>
    <t>=IF(AND($M4207&gt;=$S$16,$M4207&lt;=$S$18),U4207,0)</t>
  </si>
  <si>
    <t>=IF($M4207&lt;=$T$18,U4207,0)</t>
  </si>
  <si>
    <t>="""NAV Direct"",""CRONUS JetCorp USA"",""21"",""1"",""438403"""</t>
  </si>
  <si>
    <t>=E4206</t>
  </si>
  <si>
    <t>=StartDate-$M4208+1</t>
  </si>
  <si>
    <t>=SUM(P4208:T4208)</t>
  </si>
  <si>
    <t>=IF($M4208&gt;=$P$18,U4208,0)</t>
  </si>
  <si>
    <t>=IF(AND($M4208&gt;=$Q$16,$M4208&lt;=$Q$18),U4208,0)</t>
  </si>
  <si>
    <t>=IF(AND($M4208&gt;=$R$16,$M4208&lt;=$R$18),U4208,0)</t>
  </si>
  <si>
    <t>=IF(AND($M4208&gt;=$S$16,$M4208&lt;=$S$18),U4208,0)</t>
  </si>
  <si>
    <t>=IF($M4208&lt;=$T$18,U4208,0)</t>
  </si>
  <si>
    <t>="""NAV Direct"",""CRONUS JetCorp USA"",""21"",""1"",""438508"""</t>
  </si>
  <si>
    <t>=E4207</t>
  </si>
  <si>
    <t>=StartDate-$M4209+1</t>
  </si>
  <si>
    <t>=SUM(P4209:T4209)</t>
  </si>
  <si>
    <t>=IF($M4209&gt;=$P$18,U4209,0)</t>
  </si>
  <si>
    <t>=IF(AND($M4209&gt;=$Q$16,$M4209&lt;=$Q$18),U4209,0)</t>
  </si>
  <si>
    <t>=IF(AND($M4209&gt;=$R$16,$M4209&lt;=$R$18),U4209,0)</t>
  </si>
  <si>
    <t>=IF(AND($M4209&gt;=$S$16,$M4209&lt;=$S$18),U4209,0)</t>
  </si>
  <si>
    <t>=IF($M4209&lt;=$T$18,U4209,0)</t>
  </si>
  <si>
    <t>="""NAV Direct"",""CRONUS JetCorp USA"",""18"",""1"",""C100119"""</t>
  </si>
  <si>
    <t>=H4212</t>
  </si>
  <si>
    <t>=NF($C4212,"1 No.")</t>
  </si>
  <si>
    <t>=NF($C4212,"1 No.")&amp;"  -  "&amp;NF($C4212,"2 Name")</t>
  </si>
  <si>
    <t>=IFERROR(O4212/NF(C4212,"Credit Limit (LCY)"),"")</t>
  </si>
  <si>
    <t>=SUBTOTAL(3,L4213:L4264)</t>
  </si>
  <si>
    <t>=SUBTOTAL(9,O4213:O4264)</t>
  </si>
  <si>
    <t>=SUBTOTAL(9,P4213:P4264)</t>
  </si>
  <si>
    <t>=SUBTOTAL(9,Q4213:Q4264)</t>
  </si>
  <si>
    <t>=SUBTOTAL(9,R4213:R4264)</t>
  </si>
  <si>
    <t>=SUBTOTAL(9,S4213:S4264)</t>
  </si>
  <si>
    <t>=SUBTOTAL(9,T4213:T4264)</t>
  </si>
  <si>
    <t>=C4212</t>
  </si>
  <si>
    <t>=E4212</t>
  </si>
  <si>
    <t>="Contact: "&amp;NF($C4213,"8 Contact")</t>
  </si>
  <si>
    <t>=C4213</t>
  </si>
  <si>
    <t>=E4213</t>
  </si>
  <si>
    <t>=NF($C4214,"102 E-Mail")</t>
  </si>
  <si>
    <t>=NL("Rows","21 Cust. Ledger Entry",,"3 Customer No.","@@"&amp;$E4216,"16 Remaining Amt. (LCY)","&lt;&gt;0")</t>
  </si>
  <si>
    <t>=E4214</t>
  </si>
  <si>
    <t>=StartDate-$M4216+1</t>
  </si>
  <si>
    <t>=SUM(P4216:T4216)</t>
  </si>
  <si>
    <t>=IF($M4216&gt;=$P$18,U4216,0)</t>
  </si>
  <si>
    <t>=IF(AND($M4216&gt;=$Q$16,$M4216&lt;=$Q$18),U4216,0)</t>
  </si>
  <si>
    <t>=IF(AND($M4216&gt;=$R$16,$M4216&lt;=$R$18),U4216,0)</t>
  </si>
  <si>
    <t>=IF(AND($M4216&gt;=$S$16,$M4216&lt;=$S$18),U4216,0)</t>
  </si>
  <si>
    <t>=IF($M4216&lt;=$T$18,U4216,0)</t>
  </si>
  <si>
    <t>="""NAV Direct"",""CRONUS JetCorp USA"",""21"",""1"",""131757"""</t>
  </si>
  <si>
    <t>=E4215</t>
  </si>
  <si>
    <t>=StartDate-$M4217+1</t>
  </si>
  <si>
    <t>=SUM(P4217:T4217)</t>
  </si>
  <si>
    <t>=IF($M4217&gt;=$P$18,U4217,0)</t>
  </si>
  <si>
    <t>=IF(AND($M4217&gt;=$Q$16,$M4217&lt;=$Q$18),U4217,0)</t>
  </si>
  <si>
    <t>=IF(AND($M4217&gt;=$R$16,$M4217&lt;=$R$18),U4217,0)</t>
  </si>
  <si>
    <t>=IF(AND($M4217&gt;=$S$16,$M4217&lt;=$S$18),U4217,0)</t>
  </si>
  <si>
    <t>=IF($M4217&lt;=$T$18,U4217,0)</t>
  </si>
  <si>
    <t>=E4216</t>
  </si>
  <si>
    <t>=StartDate-$M4218+1</t>
  </si>
  <si>
    <t>=SUM(P4218:T4218)</t>
  </si>
  <si>
    <t>=IF($M4218&gt;=$P$18,U4218,0)</t>
  </si>
  <si>
    <t>=IF(AND($M4218&gt;=$Q$16,$M4218&lt;=$Q$18),U4218,0)</t>
  </si>
  <si>
    <t>=IF(AND($M4218&gt;=$R$16,$M4218&lt;=$R$18),U4218,0)</t>
  </si>
  <si>
    <t>=IF(AND($M4218&gt;=$S$16,$M4218&lt;=$S$18),U4218,0)</t>
  </si>
  <si>
    <t>=IF($M4218&lt;=$T$18,U4218,0)</t>
  </si>
  <si>
    <t>="""NAV Direct"",""CRONUS JetCorp USA"",""21"",""1"",""386359"""</t>
  </si>
  <si>
    <t>=E4217</t>
  </si>
  <si>
    <t>=StartDate-$M4219+1</t>
  </si>
  <si>
    <t>=SUM(P4219:T4219)</t>
  </si>
  <si>
    <t>=IF($M4219&gt;=$P$18,U4219,0)</t>
  </si>
  <si>
    <t>=IF(AND($M4219&gt;=$Q$16,$M4219&lt;=$Q$18),U4219,0)</t>
  </si>
  <si>
    <t>=IF(AND($M4219&gt;=$R$16,$M4219&lt;=$R$18),U4219,0)</t>
  </si>
  <si>
    <t>=IF(AND($M4219&gt;=$S$16,$M4219&lt;=$S$18),U4219,0)</t>
  </si>
  <si>
    <t>=IF($M4219&lt;=$T$18,U4219,0)</t>
  </si>
  <si>
    <t>="""NAV Direct"",""CRONUS JetCorp USA"",""21"",""1"",""386553"""</t>
  </si>
  <si>
    <t>=E4218</t>
  </si>
  <si>
    <t>=StartDate-$M4220+1</t>
  </si>
  <si>
    <t>=SUM(P4220:T4220)</t>
  </si>
  <si>
    <t>=IF($M4220&gt;=$P$18,U4220,0)</t>
  </si>
  <si>
    <t>=IF(AND($M4220&gt;=$Q$16,$M4220&lt;=$Q$18),U4220,0)</t>
  </si>
  <si>
    <t>=IF(AND($M4220&gt;=$R$16,$M4220&lt;=$R$18),U4220,0)</t>
  </si>
  <si>
    <t>=IF(AND($M4220&gt;=$S$16,$M4220&lt;=$S$18),U4220,0)</t>
  </si>
  <si>
    <t>=IF($M4220&lt;=$T$18,U4220,0)</t>
  </si>
  <si>
    <t>="""NAV Direct"",""CRONUS JetCorp USA"",""21"",""1"",""387314"""</t>
  </si>
  <si>
    <t>=E4219</t>
  </si>
  <si>
    <t>=StartDate-$M4221+1</t>
  </si>
  <si>
    <t>=SUM(P4221:T4221)</t>
  </si>
  <si>
    <t>=IF($M4221&gt;=$P$18,U4221,0)</t>
  </si>
  <si>
    <t>=IF(AND($M4221&gt;=$Q$16,$M4221&lt;=$Q$18),U4221,0)</t>
  </si>
  <si>
    <t>=IF(AND($M4221&gt;=$R$16,$M4221&lt;=$R$18),U4221,0)</t>
  </si>
  <si>
    <t>=IF(AND($M4221&gt;=$S$16,$M4221&lt;=$S$18),U4221,0)</t>
  </si>
  <si>
    <t>=IF($M4221&lt;=$T$18,U4221,0)</t>
  </si>
  <si>
    <t>="""NAV Direct"",""CRONUS JetCorp USA"",""21"",""1"",""387418"""</t>
  </si>
  <si>
    <t>=E4220</t>
  </si>
  <si>
    <t>=StartDate-$M4222+1</t>
  </si>
  <si>
    <t>=SUM(P4222:T4222)</t>
  </si>
  <si>
    <t>=IF($M4222&gt;=$P$18,U4222,0)</t>
  </si>
  <si>
    <t>=IF(AND($M4222&gt;=$Q$16,$M4222&lt;=$Q$18),U4222,0)</t>
  </si>
  <si>
    <t>=IF(AND($M4222&gt;=$R$16,$M4222&lt;=$R$18),U4222,0)</t>
  </si>
  <si>
    <t>=IF(AND($M4222&gt;=$S$16,$M4222&lt;=$S$18),U4222,0)</t>
  </si>
  <si>
    <t>=IF($M4222&lt;=$T$18,U4222,0)</t>
  </si>
  <si>
    <t>="""NAV Direct"",""CRONUS JetCorp USA"",""21"",""1"",""388238"""</t>
  </si>
  <si>
    <t>=E4221</t>
  </si>
  <si>
    <t>=StartDate-$M4223+1</t>
  </si>
  <si>
    <t>=SUM(P4223:T4223)</t>
  </si>
  <si>
    <t>=IF($M4223&gt;=$P$18,U4223,0)</t>
  </si>
  <si>
    <t>=IF(AND($M4223&gt;=$Q$16,$M4223&lt;=$Q$18),U4223,0)</t>
  </si>
  <si>
    <t>=IF(AND($M4223&gt;=$R$16,$M4223&lt;=$R$18),U4223,0)</t>
  </si>
  <si>
    <t>=IF(AND($M4223&gt;=$S$16,$M4223&lt;=$S$18),U4223,0)</t>
  </si>
  <si>
    <t>=IF($M4223&lt;=$T$18,U4223,0)</t>
  </si>
  <si>
    <t>="""NAV Direct"",""CRONUS JetCorp USA"",""21"",""1"",""388788"""</t>
  </si>
  <si>
    <t>=E4222</t>
  </si>
  <si>
    <t>=StartDate-$M4224+1</t>
  </si>
  <si>
    <t>=SUM(P4224:T4224)</t>
  </si>
  <si>
    <t>=IF($M4224&gt;=$P$18,U4224,0)</t>
  </si>
  <si>
    <t>=IF(AND($M4224&gt;=$Q$16,$M4224&lt;=$Q$18),U4224,0)</t>
  </si>
  <si>
    <t>=IF(AND($M4224&gt;=$R$16,$M4224&lt;=$R$18),U4224,0)</t>
  </si>
  <si>
    <t>=IF(AND($M4224&gt;=$S$16,$M4224&lt;=$S$18),U4224,0)</t>
  </si>
  <si>
    <t>=IF($M4224&lt;=$T$18,U4224,0)</t>
  </si>
  <si>
    <t>="""NAV Direct"",""CRONUS JetCorp USA"",""21"",""1"",""388833"""</t>
  </si>
  <si>
    <t>=E4223</t>
  </si>
  <si>
    <t>=StartDate-$M4225+1</t>
  </si>
  <si>
    <t>=SUM(P4225:T4225)</t>
  </si>
  <si>
    <t>=IF($M4225&gt;=$P$18,U4225,0)</t>
  </si>
  <si>
    <t>=IF(AND($M4225&gt;=$Q$16,$M4225&lt;=$Q$18),U4225,0)</t>
  </si>
  <si>
    <t>=IF(AND($M4225&gt;=$R$16,$M4225&lt;=$R$18),U4225,0)</t>
  </si>
  <si>
    <t>=IF(AND($M4225&gt;=$S$16,$M4225&lt;=$S$18),U4225,0)</t>
  </si>
  <si>
    <t>=IF($M4225&lt;=$T$18,U4225,0)</t>
  </si>
  <si>
    <t>="""NAV Direct"",""CRONUS JetCorp USA"",""21"",""1"",""389317"""</t>
  </si>
  <si>
    <t>=E4224</t>
  </si>
  <si>
    <t>=StartDate-$M4226+1</t>
  </si>
  <si>
    <t>=SUM(P4226:T4226)</t>
  </si>
  <si>
    <t>=IF($M4226&gt;=$P$18,U4226,0)</t>
  </si>
  <si>
    <t>=IF(AND($M4226&gt;=$Q$16,$M4226&lt;=$Q$18),U4226,0)</t>
  </si>
  <si>
    <t>=IF(AND($M4226&gt;=$R$16,$M4226&lt;=$R$18),U4226,0)</t>
  </si>
  <si>
    <t>=IF(AND($M4226&gt;=$S$16,$M4226&lt;=$S$18),U4226,0)</t>
  </si>
  <si>
    <t>=IF($M4226&lt;=$T$18,U4226,0)</t>
  </si>
  <si>
    <t>="""NAV Direct"",""CRONUS JetCorp USA"",""21"",""1"",""389661"""</t>
  </si>
  <si>
    <t>=E4225</t>
  </si>
  <si>
    <t>=StartDate-$M4227+1</t>
  </si>
  <si>
    <t>=SUM(P4227:T4227)</t>
  </si>
  <si>
    <t>=IF($M4227&gt;=$P$18,U4227,0)</t>
  </si>
  <si>
    <t>=IF(AND($M4227&gt;=$Q$16,$M4227&lt;=$Q$18),U4227,0)</t>
  </si>
  <si>
    <t>=IF(AND($M4227&gt;=$R$16,$M4227&lt;=$R$18),U4227,0)</t>
  </si>
  <si>
    <t>=IF(AND($M4227&gt;=$S$16,$M4227&lt;=$S$18),U4227,0)</t>
  </si>
  <si>
    <t>=IF($M4227&lt;=$T$18,U4227,0)</t>
  </si>
  <si>
    <t>="""NAV Direct"",""CRONUS JetCorp USA"",""21"",""1"",""390318"""</t>
  </si>
  <si>
    <t>=E4226</t>
  </si>
  <si>
    <t>=StartDate-$M4228+1</t>
  </si>
  <si>
    <t>=SUM(P4228:T4228)</t>
  </si>
  <si>
    <t>=IF($M4228&gt;=$P$18,U4228,0)</t>
  </si>
  <si>
    <t>=IF(AND($M4228&gt;=$Q$16,$M4228&lt;=$Q$18),U4228,0)</t>
  </si>
  <si>
    <t>=IF(AND($M4228&gt;=$R$16,$M4228&lt;=$R$18),U4228,0)</t>
  </si>
  <si>
    <t>=IF(AND($M4228&gt;=$S$16,$M4228&lt;=$S$18),U4228,0)</t>
  </si>
  <si>
    <t>=IF($M4228&lt;=$T$18,U4228,0)</t>
  </si>
  <si>
    <t>="""NAV Direct"",""CRONUS JetCorp USA"",""21"",""1"",""390740"""</t>
  </si>
  <si>
    <t>=E4227</t>
  </si>
  <si>
    <t>=StartDate-$M4229+1</t>
  </si>
  <si>
    <t>=SUM(P4229:T4229)</t>
  </si>
  <si>
    <t>=IF($M4229&gt;=$P$18,U4229,0)</t>
  </si>
  <si>
    <t>=IF(AND($M4229&gt;=$Q$16,$M4229&lt;=$Q$18),U4229,0)</t>
  </si>
  <si>
    <t>=IF(AND($M4229&gt;=$R$16,$M4229&lt;=$R$18),U4229,0)</t>
  </si>
  <si>
    <t>=IF(AND($M4229&gt;=$S$16,$M4229&lt;=$S$18),U4229,0)</t>
  </si>
  <si>
    <t>=IF($M4229&lt;=$T$18,U4229,0)</t>
  </si>
  <si>
    <t>="""NAV Direct"",""CRONUS JetCorp USA"",""21"",""1"",""390806"""</t>
  </si>
  <si>
    <t>=E4228</t>
  </si>
  <si>
    <t>=StartDate-$M4230+1</t>
  </si>
  <si>
    <t>=SUM(P4230:T4230)</t>
  </si>
  <si>
    <t>=IF($M4230&gt;=$P$18,U4230,0)</t>
  </si>
  <si>
    <t>=IF(AND($M4230&gt;=$Q$16,$M4230&lt;=$Q$18),U4230,0)</t>
  </si>
  <si>
    <t>=IF(AND($M4230&gt;=$R$16,$M4230&lt;=$R$18),U4230,0)</t>
  </si>
  <si>
    <t>=IF(AND($M4230&gt;=$S$16,$M4230&lt;=$S$18),U4230,0)</t>
  </si>
  <si>
    <t>=IF($M4230&lt;=$T$18,U4230,0)</t>
  </si>
  <si>
    <t>="""NAV Direct"",""CRONUS JetCorp USA"",""21"",""1"",""391356"""</t>
  </si>
  <si>
    <t>=E4229</t>
  </si>
  <si>
    <t>=StartDate-$M4231+1</t>
  </si>
  <si>
    <t>=SUM(P4231:T4231)</t>
  </si>
  <si>
    <t>=IF($M4231&gt;=$P$18,U4231,0)</t>
  </si>
  <si>
    <t>=IF(AND($M4231&gt;=$Q$16,$M4231&lt;=$Q$18),U4231,0)</t>
  </si>
  <si>
    <t>=IF(AND($M4231&gt;=$R$16,$M4231&lt;=$R$18),U4231,0)</t>
  </si>
  <si>
    <t>=IF(AND($M4231&gt;=$S$16,$M4231&lt;=$S$18),U4231,0)</t>
  </si>
  <si>
    <t>=IF($M4231&lt;=$T$18,U4231,0)</t>
  </si>
  <si>
    <t>="""NAV Direct"",""CRONUS JetCorp USA"",""21"",""1"",""393487"""</t>
  </si>
  <si>
    <t>=E4230</t>
  </si>
  <si>
    <t>=StartDate-$M4232+1</t>
  </si>
  <si>
    <t>=SUM(P4232:T4232)</t>
  </si>
  <si>
    <t>=IF($M4232&gt;=$P$18,U4232,0)</t>
  </si>
  <si>
    <t>=IF(AND($M4232&gt;=$Q$16,$M4232&lt;=$Q$18),U4232,0)</t>
  </si>
  <si>
    <t>=IF(AND($M4232&gt;=$R$16,$M4232&lt;=$R$18),U4232,0)</t>
  </si>
  <si>
    <t>=IF(AND($M4232&gt;=$S$16,$M4232&lt;=$S$18),U4232,0)</t>
  </si>
  <si>
    <t>=IF($M4232&lt;=$T$18,U4232,0)</t>
  </si>
  <si>
    <t>="""NAV Direct"",""CRONUS JetCorp USA"",""21"",""1"",""394475"""</t>
  </si>
  <si>
    <t>=E4231</t>
  </si>
  <si>
    <t>=StartDate-$M4233+1</t>
  </si>
  <si>
    <t>=SUM(P4233:T4233)</t>
  </si>
  <si>
    <t>=IF($M4233&gt;=$P$18,U4233,0)</t>
  </si>
  <si>
    <t>=IF(AND($M4233&gt;=$Q$16,$M4233&lt;=$Q$18),U4233,0)</t>
  </si>
  <si>
    <t>=IF(AND($M4233&gt;=$R$16,$M4233&lt;=$R$18),U4233,0)</t>
  </si>
  <si>
    <t>=IF(AND($M4233&gt;=$S$16,$M4233&lt;=$S$18),U4233,0)</t>
  </si>
  <si>
    <t>=IF($M4233&lt;=$T$18,U4233,0)</t>
  </si>
  <si>
    <t>="""NAV Direct"",""CRONUS JetCorp USA"",""21"",""1"",""394748"""</t>
  </si>
  <si>
    <t>=E4232</t>
  </si>
  <si>
    <t>=StartDate-$M4234+1</t>
  </si>
  <si>
    <t>=SUM(P4234:T4234)</t>
  </si>
  <si>
    <t>=IF($M4234&gt;=$P$18,U4234,0)</t>
  </si>
  <si>
    <t>=IF(AND($M4234&gt;=$Q$16,$M4234&lt;=$Q$18),U4234,0)</t>
  </si>
  <si>
    <t>=IF(AND($M4234&gt;=$R$16,$M4234&lt;=$R$18),U4234,0)</t>
  </si>
  <si>
    <t>=IF(AND($M4234&gt;=$S$16,$M4234&lt;=$S$18),U4234,0)</t>
  </si>
  <si>
    <t>=IF($M4234&lt;=$T$18,U4234,0)</t>
  </si>
  <si>
    <t>="""NAV Direct"",""CRONUS JetCorp USA"",""21"",""1"",""395429"""</t>
  </si>
  <si>
    <t>=E4233</t>
  </si>
  <si>
    <t>=StartDate-$M4235+1</t>
  </si>
  <si>
    <t>=SUM(P4235:T4235)</t>
  </si>
  <si>
    <t>=IF($M4235&gt;=$P$18,U4235,0)</t>
  </si>
  <si>
    <t>=IF(AND($M4235&gt;=$Q$16,$M4235&lt;=$Q$18),U4235,0)</t>
  </si>
  <si>
    <t>=IF(AND($M4235&gt;=$R$16,$M4235&lt;=$R$18),U4235,0)</t>
  </si>
  <si>
    <t>=IF(AND($M4235&gt;=$S$16,$M4235&lt;=$S$18),U4235,0)</t>
  </si>
  <si>
    <t>=IF($M4235&lt;=$T$18,U4235,0)</t>
  </si>
  <si>
    <t>="""NAV Direct"",""CRONUS JetCorp USA"",""21"",""1"",""395822"""</t>
  </si>
  <si>
    <t>=E4234</t>
  </si>
  <si>
    <t>=StartDate-$M4236+1</t>
  </si>
  <si>
    <t>=SUM(P4236:T4236)</t>
  </si>
  <si>
    <t>=IF($M4236&gt;=$P$18,U4236,0)</t>
  </si>
  <si>
    <t>=IF(AND($M4236&gt;=$Q$16,$M4236&lt;=$Q$18),U4236,0)</t>
  </si>
  <si>
    <t>=IF(AND($M4236&gt;=$R$16,$M4236&lt;=$R$18),U4236,0)</t>
  </si>
  <si>
    <t>=IF(AND($M4236&gt;=$S$16,$M4236&lt;=$S$18),U4236,0)</t>
  </si>
  <si>
    <t>=IF($M4236&lt;=$T$18,U4236,0)</t>
  </si>
  <si>
    <t>="""NAV Direct"",""CRONUS JetCorp USA"",""21"",""1"",""396543"""</t>
  </si>
  <si>
    <t>=E4235</t>
  </si>
  <si>
    <t>=StartDate-$M4237+1</t>
  </si>
  <si>
    <t>=SUM(P4237:T4237)</t>
  </si>
  <si>
    <t>=IF($M4237&gt;=$P$18,U4237,0)</t>
  </si>
  <si>
    <t>=IF(AND($M4237&gt;=$Q$16,$M4237&lt;=$Q$18),U4237,0)</t>
  </si>
  <si>
    <t>=IF(AND($M4237&gt;=$R$16,$M4237&lt;=$R$18),U4237,0)</t>
  </si>
  <si>
    <t>=IF(AND($M4237&gt;=$S$16,$M4237&lt;=$S$18),U4237,0)</t>
  </si>
  <si>
    <t>=IF($M4237&lt;=$T$18,U4237,0)</t>
  </si>
  <si>
    <t>="""NAV Direct"",""CRONUS JetCorp USA"",""21"",""1"",""397115"""</t>
  </si>
  <si>
    <t>=E4236</t>
  </si>
  <si>
    <t>=StartDate-$M4238+1</t>
  </si>
  <si>
    <t>=SUM(P4238:T4238)</t>
  </si>
  <si>
    <t>=IF($M4238&gt;=$P$18,U4238,0)</t>
  </si>
  <si>
    <t>=IF(AND($M4238&gt;=$Q$16,$M4238&lt;=$Q$18),U4238,0)</t>
  </si>
  <si>
    <t>=IF(AND($M4238&gt;=$R$16,$M4238&lt;=$R$18),U4238,0)</t>
  </si>
  <si>
    <t>=IF(AND($M4238&gt;=$S$16,$M4238&lt;=$S$18),U4238,0)</t>
  </si>
  <si>
    <t>=IF($M4238&lt;=$T$18,U4238,0)</t>
  </si>
  <si>
    <t>="""NAV Direct"",""CRONUS JetCorp USA"",""21"",""1"",""397172"""</t>
  </si>
  <si>
    <t>=E4237</t>
  </si>
  <si>
    <t>=StartDate-$M4239+1</t>
  </si>
  <si>
    <t>=SUM(P4239:T4239)</t>
  </si>
  <si>
    <t>=IF($M4239&gt;=$P$18,U4239,0)</t>
  </si>
  <si>
    <t>=IF(AND($M4239&gt;=$Q$16,$M4239&lt;=$Q$18),U4239,0)</t>
  </si>
  <si>
    <t>=IF(AND($M4239&gt;=$R$16,$M4239&lt;=$R$18),U4239,0)</t>
  </si>
  <si>
    <t>=IF(AND($M4239&gt;=$S$16,$M4239&lt;=$S$18),U4239,0)</t>
  </si>
  <si>
    <t>=IF($M4239&lt;=$T$18,U4239,0)</t>
  </si>
  <si>
    <t>="""NAV Direct"",""CRONUS JetCorp USA"",""21"",""1"",""397221"""</t>
  </si>
  <si>
    <t>=E4238</t>
  </si>
  <si>
    <t>=StartDate-$M4240+1</t>
  </si>
  <si>
    <t>=SUM(P4240:T4240)</t>
  </si>
  <si>
    <t>=IF($M4240&gt;=$P$18,U4240,0)</t>
  </si>
  <si>
    <t>=IF(AND($M4240&gt;=$Q$16,$M4240&lt;=$Q$18),U4240,0)</t>
  </si>
  <si>
    <t>=IF(AND($M4240&gt;=$R$16,$M4240&lt;=$R$18),U4240,0)</t>
  </si>
  <si>
    <t>=IF(AND($M4240&gt;=$S$16,$M4240&lt;=$S$18),U4240,0)</t>
  </si>
  <si>
    <t>=IF($M4240&lt;=$T$18,U4240,0)</t>
  </si>
  <si>
    <t>="""NAV Direct"",""CRONUS JetCorp USA"",""21"",""1"",""397552"""</t>
  </si>
  <si>
    <t>=E4239</t>
  </si>
  <si>
    <t>=StartDate-$M4241+1</t>
  </si>
  <si>
    <t>=SUM(P4241:T4241)</t>
  </si>
  <si>
    <t>=IF($M4241&gt;=$P$18,U4241,0)</t>
  </si>
  <si>
    <t>=IF(AND($M4241&gt;=$Q$16,$M4241&lt;=$Q$18),U4241,0)</t>
  </si>
  <si>
    <t>=IF(AND($M4241&gt;=$R$16,$M4241&lt;=$R$18),U4241,0)</t>
  </si>
  <si>
    <t>=IF(AND($M4241&gt;=$S$16,$M4241&lt;=$S$18),U4241,0)</t>
  </si>
  <si>
    <t>=IF($M4241&lt;=$T$18,U4241,0)</t>
  </si>
  <si>
    <t>="""NAV Direct"",""CRONUS JetCorp USA"",""21"",""1"",""397788"""</t>
  </si>
  <si>
    <t>=E4240</t>
  </si>
  <si>
    <t>=StartDate-$M4242+1</t>
  </si>
  <si>
    <t>=SUM(P4242:T4242)</t>
  </si>
  <si>
    <t>=IF($M4242&gt;=$P$18,U4242,0)</t>
  </si>
  <si>
    <t>=IF(AND($M4242&gt;=$Q$16,$M4242&lt;=$Q$18),U4242,0)</t>
  </si>
  <si>
    <t>=IF(AND($M4242&gt;=$R$16,$M4242&lt;=$R$18),U4242,0)</t>
  </si>
  <si>
    <t>=IF(AND($M4242&gt;=$S$16,$M4242&lt;=$S$18),U4242,0)</t>
  </si>
  <si>
    <t>=IF($M4242&lt;=$T$18,U4242,0)</t>
  </si>
  <si>
    <t>="""NAV Direct"",""CRONUS JetCorp USA"",""21"",""1"",""398166"""</t>
  </si>
  <si>
    <t>=E4241</t>
  </si>
  <si>
    <t>=StartDate-$M4243+1</t>
  </si>
  <si>
    <t>=SUM(P4243:T4243)</t>
  </si>
  <si>
    <t>=IF($M4243&gt;=$P$18,U4243,0)</t>
  </si>
  <si>
    <t>=IF(AND($M4243&gt;=$Q$16,$M4243&lt;=$Q$18),U4243,0)</t>
  </si>
  <si>
    <t>=IF(AND($M4243&gt;=$R$16,$M4243&lt;=$R$18),U4243,0)</t>
  </si>
  <si>
    <t>=IF(AND($M4243&gt;=$S$16,$M4243&lt;=$S$18),U4243,0)</t>
  </si>
  <si>
    <t>=IF($M4243&lt;=$T$18,U4243,0)</t>
  </si>
  <si>
    <t>="""NAV Direct"",""CRONUS JetCorp USA"",""21"",""1"",""398266"""</t>
  </si>
  <si>
    <t>=E4242</t>
  </si>
  <si>
    <t>=StartDate-$M4244+1</t>
  </si>
  <si>
    <t>=SUM(P4244:T4244)</t>
  </si>
  <si>
    <t>=IF($M4244&gt;=$P$18,U4244,0)</t>
  </si>
  <si>
    <t>=IF(AND($M4244&gt;=$Q$16,$M4244&lt;=$Q$18),U4244,0)</t>
  </si>
  <si>
    <t>=IF(AND($M4244&gt;=$R$16,$M4244&lt;=$R$18),U4244,0)</t>
  </si>
  <si>
    <t>=IF(AND($M4244&gt;=$S$16,$M4244&lt;=$S$18),U4244,0)</t>
  </si>
  <si>
    <t>=IF($M4244&lt;=$T$18,U4244,0)</t>
  </si>
  <si>
    <t>="""NAV Direct"",""CRONUS JetCorp USA"",""21"",""1"",""398397"""</t>
  </si>
  <si>
    <t>=E4243</t>
  </si>
  <si>
    <t>=StartDate-$M4245+1</t>
  </si>
  <si>
    <t>=SUM(P4245:T4245)</t>
  </si>
  <si>
    <t>=IF($M4245&gt;=$P$18,U4245,0)</t>
  </si>
  <si>
    <t>=IF(AND($M4245&gt;=$Q$16,$M4245&lt;=$Q$18),U4245,0)</t>
  </si>
  <si>
    <t>=IF(AND($M4245&gt;=$R$16,$M4245&lt;=$R$18),U4245,0)</t>
  </si>
  <si>
    <t>=IF(AND($M4245&gt;=$S$16,$M4245&lt;=$S$18),U4245,0)</t>
  </si>
  <si>
    <t>=IF($M4245&lt;=$T$18,U4245,0)</t>
  </si>
  <si>
    <t>="""NAV Direct"",""CRONUS JetCorp USA"",""21"",""1"",""398747"""</t>
  </si>
  <si>
    <t>=E4244</t>
  </si>
  <si>
    <t>=StartDate-$M4246+1</t>
  </si>
  <si>
    <t>=SUM(P4246:T4246)</t>
  </si>
  <si>
    <t>=IF($M4246&gt;=$P$18,U4246,0)</t>
  </si>
  <si>
    <t>=IF(AND($M4246&gt;=$Q$16,$M4246&lt;=$Q$18),U4246,0)</t>
  </si>
  <si>
    <t>=IF(AND($M4246&gt;=$R$16,$M4246&lt;=$R$18),U4246,0)</t>
  </si>
  <si>
    <t>=IF(AND($M4246&gt;=$S$16,$M4246&lt;=$S$18),U4246,0)</t>
  </si>
  <si>
    <t>=IF($M4246&lt;=$T$18,U4246,0)</t>
  </si>
  <si>
    <t>="""NAV Direct"",""CRONUS JetCorp USA"",""21"",""1"",""398968"""</t>
  </si>
  <si>
    <t>=E4245</t>
  </si>
  <si>
    <t>=StartDate-$M4247+1</t>
  </si>
  <si>
    <t>=SUM(P4247:T4247)</t>
  </si>
  <si>
    <t>=IF($M4247&gt;=$P$18,U4247,0)</t>
  </si>
  <si>
    <t>=IF(AND($M4247&gt;=$Q$16,$M4247&lt;=$Q$18),U4247,0)</t>
  </si>
  <si>
    <t>=IF(AND($M4247&gt;=$R$16,$M4247&lt;=$R$18),U4247,0)</t>
  </si>
  <si>
    <t>=IF(AND($M4247&gt;=$S$16,$M4247&lt;=$S$18),U4247,0)</t>
  </si>
  <si>
    <t>=IF($M4247&lt;=$T$18,U4247,0)</t>
  </si>
  <si>
    <t>="""NAV Direct"",""CRONUS JetCorp USA"",""21"",""1"",""399220"""</t>
  </si>
  <si>
    <t>=E4246</t>
  </si>
  <si>
    <t>=StartDate-$M4248+1</t>
  </si>
  <si>
    <t>=SUM(P4248:T4248)</t>
  </si>
  <si>
    <t>=IF($M4248&gt;=$P$18,U4248,0)</t>
  </si>
  <si>
    <t>=IF(AND($M4248&gt;=$Q$16,$M4248&lt;=$Q$18),U4248,0)</t>
  </si>
  <si>
    <t>=IF(AND($M4248&gt;=$R$16,$M4248&lt;=$R$18),U4248,0)</t>
  </si>
  <si>
    <t>=IF(AND($M4248&gt;=$S$16,$M4248&lt;=$S$18),U4248,0)</t>
  </si>
  <si>
    <t>=IF($M4248&lt;=$T$18,U4248,0)</t>
  </si>
  <si>
    <t>="""NAV Direct"",""CRONUS JetCorp USA"",""21"",""1"",""399719"""</t>
  </si>
  <si>
    <t>=E4247</t>
  </si>
  <si>
    <t>=StartDate-$M4249+1</t>
  </si>
  <si>
    <t>=SUM(P4249:T4249)</t>
  </si>
  <si>
    <t>=IF($M4249&gt;=$P$18,U4249,0)</t>
  </si>
  <si>
    <t>=IF(AND($M4249&gt;=$Q$16,$M4249&lt;=$Q$18),U4249,0)</t>
  </si>
  <si>
    <t>=IF(AND($M4249&gt;=$R$16,$M4249&lt;=$R$18),U4249,0)</t>
  </si>
  <si>
    <t>=IF(AND($M4249&gt;=$S$16,$M4249&lt;=$S$18),U4249,0)</t>
  </si>
  <si>
    <t>=IF($M4249&lt;=$T$18,U4249,0)</t>
  </si>
  <si>
    <t>="""NAV Direct"",""CRONUS JetCorp USA"",""21"",""1"",""400782"""</t>
  </si>
  <si>
    <t>=E4248</t>
  </si>
  <si>
    <t>=StartDate-$M4250+1</t>
  </si>
  <si>
    <t>=SUM(P4250:T4250)</t>
  </si>
  <si>
    <t>=IF($M4250&gt;=$P$18,U4250,0)</t>
  </si>
  <si>
    <t>=IF(AND($M4250&gt;=$Q$16,$M4250&lt;=$Q$18),U4250,0)</t>
  </si>
  <si>
    <t>=IF(AND($M4250&gt;=$R$16,$M4250&lt;=$R$18),U4250,0)</t>
  </si>
  <si>
    <t>=IF(AND($M4250&gt;=$S$16,$M4250&lt;=$S$18),U4250,0)</t>
  </si>
  <si>
    <t>=IF($M4250&lt;=$T$18,U4250,0)</t>
  </si>
  <si>
    <t>="""NAV Direct"",""CRONUS JetCorp USA"",""21"",""1"",""401318"""</t>
  </si>
  <si>
    <t>=E4249</t>
  </si>
  <si>
    <t>=StartDate-$M4251+1</t>
  </si>
  <si>
    <t>=SUM(P4251:T4251)</t>
  </si>
  <si>
    <t>=IF($M4251&gt;=$P$18,U4251,0)</t>
  </si>
  <si>
    <t>=IF(AND($M4251&gt;=$Q$16,$M4251&lt;=$Q$18),U4251,0)</t>
  </si>
  <si>
    <t>=IF(AND($M4251&gt;=$R$16,$M4251&lt;=$R$18),U4251,0)</t>
  </si>
  <si>
    <t>=IF(AND($M4251&gt;=$S$16,$M4251&lt;=$S$18),U4251,0)</t>
  </si>
  <si>
    <t>=IF($M4251&lt;=$T$18,U4251,0)</t>
  </si>
  <si>
    <t>="""NAV Direct"",""CRONUS JetCorp USA"",""21"",""1"",""401572"""</t>
  </si>
  <si>
    <t>=E4250</t>
  </si>
  <si>
    <t>=StartDate-$M4252+1</t>
  </si>
  <si>
    <t>=SUM(P4252:T4252)</t>
  </si>
  <si>
    <t>=IF($M4252&gt;=$P$18,U4252,0)</t>
  </si>
  <si>
    <t>=IF(AND($M4252&gt;=$Q$16,$M4252&lt;=$Q$18),U4252,0)</t>
  </si>
  <si>
    <t>=IF(AND($M4252&gt;=$R$16,$M4252&lt;=$R$18),U4252,0)</t>
  </si>
  <si>
    <t>=IF(AND($M4252&gt;=$S$16,$M4252&lt;=$S$18),U4252,0)</t>
  </si>
  <si>
    <t>=IF($M4252&lt;=$T$18,U4252,0)</t>
  </si>
  <si>
    <t>="""NAV Direct"",""CRONUS JetCorp USA"",""21"",""1"",""438692"""</t>
  </si>
  <si>
    <t>=E4251</t>
  </si>
  <si>
    <t>=StartDate-$M4253+1</t>
  </si>
  <si>
    <t>=SUM(P4253:T4253)</t>
  </si>
  <si>
    <t>=IF($M4253&gt;=$P$18,U4253,0)</t>
  </si>
  <si>
    <t>=IF(AND($M4253&gt;=$Q$16,$M4253&lt;=$Q$18),U4253,0)</t>
  </si>
  <si>
    <t>=IF(AND($M4253&gt;=$R$16,$M4253&lt;=$R$18),U4253,0)</t>
  </si>
  <si>
    <t>=IF(AND($M4253&gt;=$S$16,$M4253&lt;=$S$18),U4253,0)</t>
  </si>
  <si>
    <t>=IF($M4253&lt;=$T$18,U4253,0)</t>
  </si>
  <si>
    <t>="""NAV Direct"",""CRONUS JetCorp USA"",""21"",""1"",""438844"""</t>
  </si>
  <si>
    <t>=E4252</t>
  </si>
  <si>
    <t>=StartDate-$M4254+1</t>
  </si>
  <si>
    <t>=SUM(P4254:T4254)</t>
  </si>
  <si>
    <t>=IF($M4254&gt;=$P$18,U4254,0)</t>
  </si>
  <si>
    <t>=IF(AND($M4254&gt;=$Q$16,$M4254&lt;=$Q$18),U4254,0)</t>
  </si>
  <si>
    <t>=IF(AND($M4254&gt;=$R$16,$M4254&lt;=$R$18),U4254,0)</t>
  </si>
  <si>
    <t>=IF(AND($M4254&gt;=$S$16,$M4254&lt;=$S$18),U4254,0)</t>
  </si>
  <si>
    <t>=IF($M4254&lt;=$T$18,U4254,0)</t>
  </si>
  <si>
    <t>="""NAV Direct"",""CRONUS JetCorp USA"",""21"",""1"",""438873"""</t>
  </si>
  <si>
    <t>=E4253</t>
  </si>
  <si>
    <t>=StartDate-$M4255+1</t>
  </si>
  <si>
    <t>=SUM(P4255:T4255)</t>
  </si>
  <si>
    <t>=IF($M4255&gt;=$P$18,U4255,0)</t>
  </si>
  <si>
    <t>=IF(AND($M4255&gt;=$Q$16,$M4255&lt;=$Q$18),U4255,0)</t>
  </si>
  <si>
    <t>=IF(AND($M4255&gt;=$R$16,$M4255&lt;=$R$18),U4255,0)</t>
  </si>
  <si>
    <t>=IF(AND($M4255&gt;=$S$16,$M4255&lt;=$S$18),U4255,0)</t>
  </si>
  <si>
    <t>=IF($M4255&lt;=$T$18,U4255,0)</t>
  </si>
  <si>
    <t>="""NAV Direct"",""CRONUS JetCorp USA"",""21"",""1"",""438902"""</t>
  </si>
  <si>
    <t>=E4254</t>
  </si>
  <si>
    <t>=StartDate-$M4256+1</t>
  </si>
  <si>
    <t>=SUM(P4256:T4256)</t>
  </si>
  <si>
    <t>=IF($M4256&gt;=$P$18,U4256,0)</t>
  </si>
  <si>
    <t>=IF(AND($M4256&gt;=$Q$16,$M4256&lt;=$Q$18),U4256,0)</t>
  </si>
  <si>
    <t>=IF(AND($M4256&gt;=$R$16,$M4256&lt;=$R$18),U4256,0)</t>
  </si>
  <si>
    <t>=IF(AND($M4256&gt;=$S$16,$M4256&lt;=$S$18),U4256,0)</t>
  </si>
  <si>
    <t>=IF($M4256&lt;=$T$18,U4256,0)</t>
  </si>
  <si>
    <t>="""NAV Direct"",""CRONUS JetCorp USA"",""21"",""1"",""439322"""</t>
  </si>
  <si>
    <t>=E4255</t>
  </si>
  <si>
    <t>=StartDate-$M4257+1</t>
  </si>
  <si>
    <t>=SUM(P4257:T4257)</t>
  </si>
  <si>
    <t>=IF($M4257&gt;=$P$18,U4257,0)</t>
  </si>
  <si>
    <t>=IF(AND($M4257&gt;=$Q$16,$M4257&lt;=$Q$18),U4257,0)</t>
  </si>
  <si>
    <t>=IF(AND($M4257&gt;=$R$16,$M4257&lt;=$R$18),U4257,0)</t>
  </si>
  <si>
    <t>=IF(AND($M4257&gt;=$S$16,$M4257&lt;=$S$18),U4257,0)</t>
  </si>
  <si>
    <t>=IF($M4257&lt;=$T$18,U4257,0)</t>
  </si>
  <si>
    <t>="""NAV Direct"",""CRONUS JetCorp USA"",""21"",""1"",""439337"""</t>
  </si>
  <si>
    <t>=E4256</t>
  </si>
  <si>
    <t>=StartDate-$M4258+1</t>
  </si>
  <si>
    <t>=SUM(P4258:T4258)</t>
  </si>
  <si>
    <t>=IF($M4258&gt;=$P$18,U4258,0)</t>
  </si>
  <si>
    <t>=IF(AND($M4258&gt;=$Q$16,$M4258&lt;=$Q$18),U4258,0)</t>
  </si>
  <si>
    <t>=IF(AND($M4258&gt;=$R$16,$M4258&lt;=$R$18),U4258,0)</t>
  </si>
  <si>
    <t>=IF(AND($M4258&gt;=$S$16,$M4258&lt;=$S$18),U4258,0)</t>
  </si>
  <si>
    <t>=IF($M4258&lt;=$T$18,U4258,0)</t>
  </si>
  <si>
    <t>="""NAV Direct"",""CRONUS JetCorp USA"",""21"",""1"",""439651"""</t>
  </si>
  <si>
    <t>=E4257</t>
  </si>
  <si>
    <t>=StartDate-$M4259+1</t>
  </si>
  <si>
    <t>=SUM(P4259:T4259)</t>
  </si>
  <si>
    <t>=IF($M4259&gt;=$P$18,U4259,0)</t>
  </si>
  <si>
    <t>=IF(AND($M4259&gt;=$Q$16,$M4259&lt;=$Q$18),U4259,0)</t>
  </si>
  <si>
    <t>=IF(AND($M4259&gt;=$R$16,$M4259&lt;=$R$18),U4259,0)</t>
  </si>
  <si>
    <t>=IF(AND($M4259&gt;=$S$16,$M4259&lt;=$S$18),U4259,0)</t>
  </si>
  <si>
    <t>=IF($M4259&lt;=$T$18,U4259,0)</t>
  </si>
  <si>
    <t>="""NAV Direct"",""CRONUS JetCorp USA"",""21"",""1"",""439668"""</t>
  </si>
  <si>
    <t>=E4258</t>
  </si>
  <si>
    <t>=StartDate-$M4260+1</t>
  </si>
  <si>
    <t>=SUM(P4260:T4260)</t>
  </si>
  <si>
    <t>=IF($M4260&gt;=$P$18,U4260,0)</t>
  </si>
  <si>
    <t>=IF(AND($M4260&gt;=$Q$16,$M4260&lt;=$Q$18),U4260,0)</t>
  </si>
  <si>
    <t>=IF(AND($M4260&gt;=$R$16,$M4260&lt;=$R$18),U4260,0)</t>
  </si>
  <si>
    <t>=IF(AND($M4260&gt;=$S$16,$M4260&lt;=$S$18),U4260,0)</t>
  </si>
  <si>
    <t>=IF($M4260&lt;=$T$18,U4260,0)</t>
  </si>
  <si>
    <t>="""NAV Direct"",""CRONUS JetCorp USA"",""21"",""1"",""439792"""</t>
  </si>
  <si>
    <t>=E4259</t>
  </si>
  <si>
    <t>=StartDate-$M4261+1</t>
  </si>
  <si>
    <t>=SUM(P4261:T4261)</t>
  </si>
  <si>
    <t>=IF($M4261&gt;=$P$18,U4261,0)</t>
  </si>
  <si>
    <t>=IF(AND($M4261&gt;=$Q$16,$M4261&lt;=$Q$18),U4261,0)</t>
  </si>
  <si>
    <t>=IF(AND($M4261&gt;=$R$16,$M4261&lt;=$R$18),U4261,0)</t>
  </si>
  <si>
    <t>=IF(AND($M4261&gt;=$S$16,$M4261&lt;=$S$18),U4261,0)</t>
  </si>
  <si>
    <t>=IF($M4261&lt;=$T$18,U4261,0)</t>
  </si>
  <si>
    <t>="""NAV Direct"",""CRONUS JetCorp USA"",""21"",""1"",""440096"""</t>
  </si>
  <si>
    <t>=E4260</t>
  </si>
  <si>
    <t>=StartDate-$M4262+1</t>
  </si>
  <si>
    <t>=SUM(P4262:T4262)</t>
  </si>
  <si>
    <t>=IF($M4262&gt;=$P$18,U4262,0)</t>
  </si>
  <si>
    <t>=IF(AND($M4262&gt;=$Q$16,$M4262&lt;=$Q$18),U4262,0)</t>
  </si>
  <si>
    <t>=IF(AND($M4262&gt;=$R$16,$M4262&lt;=$R$18),U4262,0)</t>
  </si>
  <si>
    <t>=IF(AND($M4262&gt;=$S$16,$M4262&lt;=$S$18),U4262,0)</t>
  </si>
  <si>
    <t>=IF($M4262&lt;=$T$18,U4262,0)</t>
  </si>
  <si>
    <t>="""NAV Direct"",""CRONUS JetCorp USA"",""21"",""1"",""440115"""</t>
  </si>
  <si>
    <t>=E4261</t>
  </si>
  <si>
    <t>=StartDate-$M4263+1</t>
  </si>
  <si>
    <t>=SUM(P4263:T4263)</t>
  </si>
  <si>
    <t>=IF($M4263&gt;=$P$18,U4263,0)</t>
  </si>
  <si>
    <t>=IF(AND($M4263&gt;=$Q$16,$M4263&lt;=$Q$18),U4263,0)</t>
  </si>
  <si>
    <t>=IF(AND($M4263&gt;=$R$16,$M4263&lt;=$R$18),U4263,0)</t>
  </si>
  <si>
    <t>=IF(AND($M4263&gt;=$S$16,$M4263&lt;=$S$18),U4263,0)</t>
  </si>
  <si>
    <t>=IF($M4263&lt;=$T$18,U4263,0)</t>
  </si>
  <si>
    <t>="""NAV Direct"",""CRONUS JetCorp USA"",""18"",""1"",""C100120"""</t>
  </si>
  <si>
    <t>=H4266</t>
  </si>
  <si>
    <t>=NF($C4266,"1 No.")</t>
  </si>
  <si>
    <t>=NF($C4266,"1 No.")&amp;"  -  "&amp;NF($C4266,"2 Name")</t>
  </si>
  <si>
    <t>=IFERROR(O4266/NF(C4266,"Credit Limit (LCY)"),"")</t>
  </si>
  <si>
    <t>=SUBTOTAL(3,L4267:L4330)</t>
  </si>
  <si>
    <t>=SUBTOTAL(9,O4267:O4330)</t>
  </si>
  <si>
    <t>=SUBTOTAL(9,P4267:P4330)</t>
  </si>
  <si>
    <t>=SUBTOTAL(9,Q4267:Q4330)</t>
  </si>
  <si>
    <t>=SUBTOTAL(9,R4267:R4330)</t>
  </si>
  <si>
    <t>=SUBTOTAL(9,S4267:S4330)</t>
  </si>
  <si>
    <t>=SUBTOTAL(9,T4267:T4330)</t>
  </si>
  <si>
    <t>=C4266</t>
  </si>
  <si>
    <t>=E4266</t>
  </si>
  <si>
    <t>="Contact: "&amp;NF($C4267,"8 Contact")</t>
  </si>
  <si>
    <t>=C4267</t>
  </si>
  <si>
    <t>=E4267</t>
  </si>
  <si>
    <t>=NF($C4268,"102 E-Mail")</t>
  </si>
  <si>
    <t>=NL("Rows","21 Cust. Ledger Entry",,"3 Customer No.","@@"&amp;$E4270,"16 Remaining Amt. (LCY)","&lt;&gt;0")</t>
  </si>
  <si>
    <t>=E4268</t>
  </si>
  <si>
    <t>=StartDate-$M4270+1</t>
  </si>
  <si>
    <t>=SUM(P4270:T4270)</t>
  </si>
  <si>
    <t>=IF($M4270&gt;=$P$18,U4270,0)</t>
  </si>
  <si>
    <t>=IF(AND($M4270&gt;=$Q$16,$M4270&lt;=$Q$18),U4270,0)</t>
  </si>
  <si>
    <t>=IF(AND($M4270&gt;=$R$16,$M4270&lt;=$R$18),U4270,0)</t>
  </si>
  <si>
    <t>=IF(AND($M4270&gt;=$S$16,$M4270&lt;=$S$18),U4270,0)</t>
  </si>
  <si>
    <t>=IF($M4270&lt;=$T$18,U4270,0)</t>
  </si>
  <si>
    <t>="""NAV Direct"",""CRONUS JetCorp USA"",""21"",""1"",""178172"""</t>
  </si>
  <si>
    <t>=E4269</t>
  </si>
  <si>
    <t>=StartDate-$M4271+1</t>
  </si>
  <si>
    <t>=SUM(P4271:T4271)</t>
  </si>
  <si>
    <t>=IF($M4271&gt;=$P$18,U4271,0)</t>
  </si>
  <si>
    <t>=IF(AND($M4271&gt;=$Q$16,$M4271&lt;=$Q$18),U4271,0)</t>
  </si>
  <si>
    <t>=IF(AND($M4271&gt;=$R$16,$M4271&lt;=$R$18),U4271,0)</t>
  </si>
  <si>
    <t>=IF(AND($M4271&gt;=$S$16,$M4271&lt;=$S$18),U4271,0)</t>
  </si>
  <si>
    <t>=IF($M4271&lt;=$T$18,U4271,0)</t>
  </si>
  <si>
    <t>="""NAV Direct"",""CRONUS JetCorp USA"",""21"",""1"",""178294"""</t>
  </si>
  <si>
    <t>=E4270</t>
  </si>
  <si>
    <t>=StartDate-$M4272+1</t>
  </si>
  <si>
    <t>=SUM(P4272:T4272)</t>
  </si>
  <si>
    <t>=IF($M4272&gt;=$P$18,U4272,0)</t>
  </si>
  <si>
    <t>=IF(AND($M4272&gt;=$Q$16,$M4272&lt;=$Q$18),U4272,0)</t>
  </si>
  <si>
    <t>=IF(AND($M4272&gt;=$R$16,$M4272&lt;=$R$18),U4272,0)</t>
  </si>
  <si>
    <t>=IF(AND($M4272&gt;=$S$16,$M4272&lt;=$S$18),U4272,0)</t>
  </si>
  <si>
    <t>=IF($M4272&lt;=$T$18,U4272,0)</t>
  </si>
  <si>
    <t>="""NAV Direct"",""CRONUS JetCorp USA"",""21"",""1"",""178471"""</t>
  </si>
  <si>
    <t>=E4271</t>
  </si>
  <si>
    <t>=StartDate-$M4273+1</t>
  </si>
  <si>
    <t>=SUM(P4273:T4273)</t>
  </si>
  <si>
    <t>=IF($M4273&gt;=$P$18,U4273,0)</t>
  </si>
  <si>
    <t>=IF(AND($M4273&gt;=$Q$16,$M4273&lt;=$Q$18),U4273,0)</t>
  </si>
  <si>
    <t>=IF(AND($M4273&gt;=$R$16,$M4273&lt;=$R$18),U4273,0)</t>
  </si>
  <si>
    <t>=IF(AND($M4273&gt;=$S$16,$M4273&lt;=$S$18),U4273,0)</t>
  </si>
  <si>
    <t>=IF($M4273&lt;=$T$18,U4273,0)</t>
  </si>
  <si>
    <t>="""NAV Direct"",""CRONUS JetCorp USA"",""21"",""1"",""178896"""</t>
  </si>
  <si>
    <t>=E4272</t>
  </si>
  <si>
    <t>=StartDate-$M4274+1</t>
  </si>
  <si>
    <t>=SUM(P4274:T4274)</t>
  </si>
  <si>
    <t>=IF($M4274&gt;=$P$18,U4274,0)</t>
  </si>
  <si>
    <t>=IF(AND($M4274&gt;=$Q$16,$M4274&lt;=$Q$18),U4274,0)</t>
  </si>
  <si>
    <t>=IF(AND($M4274&gt;=$R$16,$M4274&lt;=$R$18),U4274,0)</t>
  </si>
  <si>
    <t>=IF(AND($M4274&gt;=$S$16,$M4274&lt;=$S$18),U4274,0)</t>
  </si>
  <si>
    <t>=IF($M4274&lt;=$T$18,U4274,0)</t>
  </si>
  <si>
    <t>="""NAV Direct"",""CRONUS JetCorp USA"",""21"",""1"",""179014"""</t>
  </si>
  <si>
    <t>=E4273</t>
  </si>
  <si>
    <t>=StartDate-$M4275+1</t>
  </si>
  <si>
    <t>=SUM(P4275:T4275)</t>
  </si>
  <si>
    <t>=IF($M4275&gt;=$P$18,U4275,0)</t>
  </si>
  <si>
    <t>=IF(AND($M4275&gt;=$Q$16,$M4275&lt;=$Q$18),U4275,0)</t>
  </si>
  <si>
    <t>=IF(AND($M4275&gt;=$R$16,$M4275&lt;=$R$18),U4275,0)</t>
  </si>
  <si>
    <t>=IF(AND($M4275&gt;=$S$16,$M4275&lt;=$S$18),U4275,0)</t>
  </si>
  <si>
    <t>=IF($M4275&lt;=$T$18,U4275,0)</t>
  </si>
  <si>
    <t>="""NAV Direct"",""CRONUS JetCorp USA"",""21"",""1"",""179077"""</t>
  </si>
  <si>
    <t>=E4274</t>
  </si>
  <si>
    <t>=StartDate-$M4276+1</t>
  </si>
  <si>
    <t>=SUM(P4276:T4276)</t>
  </si>
  <si>
    <t>=IF($M4276&gt;=$P$18,U4276,0)</t>
  </si>
  <si>
    <t>=IF(AND($M4276&gt;=$Q$16,$M4276&lt;=$Q$18),U4276,0)</t>
  </si>
  <si>
    <t>=IF(AND($M4276&gt;=$R$16,$M4276&lt;=$R$18),U4276,0)</t>
  </si>
  <si>
    <t>=IF(AND($M4276&gt;=$S$16,$M4276&lt;=$S$18),U4276,0)</t>
  </si>
  <si>
    <t>=IF($M4276&lt;=$T$18,U4276,0)</t>
  </si>
  <si>
    <t>="""NAV Direct"",""CRONUS JetCorp USA"",""21"",""1"",""414616"""</t>
  </si>
  <si>
    <t>=E4275</t>
  </si>
  <si>
    <t>=StartDate-$M4277+1</t>
  </si>
  <si>
    <t>=SUM(P4277:T4277)</t>
  </si>
  <si>
    <t>=IF($M4277&gt;=$P$18,U4277,0)</t>
  </si>
  <si>
    <t>=IF(AND($M4277&gt;=$Q$16,$M4277&lt;=$Q$18),U4277,0)</t>
  </si>
  <si>
    <t>=IF(AND($M4277&gt;=$R$16,$M4277&lt;=$R$18),U4277,0)</t>
  </si>
  <si>
    <t>=IF(AND($M4277&gt;=$S$16,$M4277&lt;=$S$18),U4277,0)</t>
  </si>
  <si>
    <t>=IF($M4277&lt;=$T$18,U4277,0)</t>
  </si>
  <si>
    <t>="""NAV Direct"",""CRONUS JetCorp USA"",""21"",""1"",""414688"""</t>
  </si>
  <si>
    <t>=E4276</t>
  </si>
  <si>
    <t>=StartDate-$M4278+1</t>
  </si>
  <si>
    <t>=SUM(P4278:T4278)</t>
  </si>
  <si>
    <t>=IF($M4278&gt;=$P$18,U4278,0)</t>
  </si>
  <si>
    <t>=IF(AND($M4278&gt;=$Q$16,$M4278&lt;=$Q$18),U4278,0)</t>
  </si>
  <si>
    <t>=IF(AND($M4278&gt;=$R$16,$M4278&lt;=$R$18),U4278,0)</t>
  </si>
  <si>
    <t>=IF(AND($M4278&gt;=$S$16,$M4278&lt;=$S$18),U4278,0)</t>
  </si>
  <si>
    <t>=IF($M4278&lt;=$T$18,U4278,0)</t>
  </si>
  <si>
    <t>="""NAV Direct"",""CRONUS JetCorp USA"",""21"",""1"",""414732"""</t>
  </si>
  <si>
    <t>=E4277</t>
  </si>
  <si>
    <t>=StartDate-$M4279+1</t>
  </si>
  <si>
    <t>=SUM(P4279:T4279)</t>
  </si>
  <si>
    <t>=IF($M4279&gt;=$P$18,U4279,0)</t>
  </si>
  <si>
    <t>=IF(AND($M4279&gt;=$Q$16,$M4279&lt;=$Q$18),U4279,0)</t>
  </si>
  <si>
    <t>=IF(AND($M4279&gt;=$R$16,$M4279&lt;=$R$18),U4279,0)</t>
  </si>
  <si>
    <t>=IF(AND($M4279&gt;=$S$16,$M4279&lt;=$S$18),U4279,0)</t>
  </si>
  <si>
    <t>=IF($M4279&lt;=$T$18,U4279,0)</t>
  </si>
  <si>
    <t>="""NAV Direct"",""CRONUS JetCorp USA"",""21"",""1"",""415428"""</t>
  </si>
  <si>
    <t>=E4278</t>
  </si>
  <si>
    <t>=StartDate-$M4280+1</t>
  </si>
  <si>
    <t>=SUM(P4280:T4280)</t>
  </si>
  <si>
    <t>=IF($M4280&gt;=$P$18,U4280,0)</t>
  </si>
  <si>
    <t>=IF(AND($M4280&gt;=$Q$16,$M4280&lt;=$Q$18),U4280,0)</t>
  </si>
  <si>
    <t>=IF(AND($M4280&gt;=$R$16,$M4280&lt;=$R$18),U4280,0)</t>
  </si>
  <si>
    <t>=IF(AND($M4280&gt;=$S$16,$M4280&lt;=$S$18),U4280,0)</t>
  </si>
  <si>
    <t>=IF($M4280&lt;=$T$18,U4280,0)</t>
  </si>
  <si>
    <t>="""NAV Direct"",""CRONUS JetCorp USA"",""21"",""1"",""415565"""</t>
  </si>
  <si>
    <t>=E4279</t>
  </si>
  <si>
    <t>=StartDate-$M4281+1</t>
  </si>
  <si>
    <t>=SUM(P4281:T4281)</t>
  </si>
  <si>
    <t>=IF($M4281&gt;=$P$18,U4281,0)</t>
  </si>
  <si>
    <t>=IF(AND($M4281&gt;=$Q$16,$M4281&lt;=$Q$18),U4281,0)</t>
  </si>
  <si>
    <t>=IF(AND($M4281&gt;=$R$16,$M4281&lt;=$R$18),U4281,0)</t>
  </si>
  <si>
    <t>=IF(AND($M4281&gt;=$S$16,$M4281&lt;=$S$18),U4281,0)</t>
  </si>
  <si>
    <t>=IF($M4281&lt;=$T$18,U4281,0)</t>
  </si>
  <si>
    <t>="""NAV Direct"",""CRONUS JetCorp USA"",""21"",""1"",""415657"""</t>
  </si>
  <si>
    <t>=E4280</t>
  </si>
  <si>
    <t>=StartDate-$M4282+1</t>
  </si>
  <si>
    <t>=SUM(P4282:T4282)</t>
  </si>
  <si>
    <t>=IF($M4282&gt;=$P$18,U4282,0)</t>
  </si>
  <si>
    <t>=IF(AND($M4282&gt;=$Q$16,$M4282&lt;=$Q$18),U4282,0)</t>
  </si>
  <si>
    <t>=IF(AND($M4282&gt;=$R$16,$M4282&lt;=$R$18),U4282,0)</t>
  </si>
  <si>
    <t>=IF(AND($M4282&gt;=$S$16,$M4282&lt;=$S$18),U4282,0)</t>
  </si>
  <si>
    <t>=IF($M4282&lt;=$T$18,U4282,0)</t>
  </si>
  <si>
    <t>="""NAV Direct"",""CRONUS JetCorp USA"",""21"",""1"",""415900"""</t>
  </si>
  <si>
    <t>=E4281</t>
  </si>
  <si>
    <t>=StartDate-$M4283+1</t>
  </si>
  <si>
    <t>=SUM(P4283:T4283)</t>
  </si>
  <si>
    <t>=IF($M4283&gt;=$P$18,U4283,0)</t>
  </si>
  <si>
    <t>=IF(AND($M4283&gt;=$Q$16,$M4283&lt;=$Q$18),U4283,0)</t>
  </si>
  <si>
    <t>=IF(AND($M4283&gt;=$R$16,$M4283&lt;=$R$18),U4283,0)</t>
  </si>
  <si>
    <t>=IF(AND($M4283&gt;=$S$16,$M4283&lt;=$S$18),U4283,0)</t>
  </si>
  <si>
    <t>=IF($M4283&lt;=$T$18,U4283,0)</t>
  </si>
  <si>
    <t>="""NAV Direct"",""CRONUS JetCorp USA"",""21"",""1"",""416769"""</t>
  </si>
  <si>
    <t>=E4282</t>
  </si>
  <si>
    <t>=StartDate-$M4284+1</t>
  </si>
  <si>
    <t>=SUM(P4284:T4284)</t>
  </si>
  <si>
    <t>=IF($M4284&gt;=$P$18,U4284,0)</t>
  </si>
  <si>
    <t>=IF(AND($M4284&gt;=$Q$16,$M4284&lt;=$Q$18),U4284,0)</t>
  </si>
  <si>
    <t>=IF(AND($M4284&gt;=$R$16,$M4284&lt;=$R$18),U4284,0)</t>
  </si>
  <si>
    <t>=IF(AND($M4284&gt;=$S$16,$M4284&lt;=$S$18),U4284,0)</t>
  </si>
  <si>
    <t>=IF($M4284&lt;=$T$18,U4284,0)</t>
  </si>
  <si>
    <t>="""NAV Direct"",""CRONUS JetCorp USA"",""21"",""1"",""416843"""</t>
  </si>
  <si>
    <t>=E4283</t>
  </si>
  <si>
    <t>=StartDate-$M4285+1</t>
  </si>
  <si>
    <t>=SUM(P4285:T4285)</t>
  </si>
  <si>
    <t>=IF($M4285&gt;=$P$18,U4285,0)</t>
  </si>
  <si>
    <t>=IF(AND($M4285&gt;=$Q$16,$M4285&lt;=$Q$18),U4285,0)</t>
  </si>
  <si>
    <t>=IF(AND($M4285&gt;=$R$16,$M4285&lt;=$R$18),U4285,0)</t>
  </si>
  <si>
    <t>=IF(AND($M4285&gt;=$S$16,$M4285&lt;=$S$18),U4285,0)</t>
  </si>
  <si>
    <t>=IF($M4285&lt;=$T$18,U4285,0)</t>
  </si>
  <si>
    <t>="""NAV Direct"",""CRONUS JetCorp USA"",""21"",""1"",""417357"""</t>
  </si>
  <si>
    <t>=E4284</t>
  </si>
  <si>
    <t>=StartDate-$M4286+1</t>
  </si>
  <si>
    <t>=SUM(P4286:T4286)</t>
  </si>
  <si>
    <t>=IF($M4286&gt;=$P$18,U4286,0)</t>
  </si>
  <si>
    <t>=IF(AND($M4286&gt;=$Q$16,$M4286&lt;=$Q$18),U4286,0)</t>
  </si>
  <si>
    <t>=IF(AND($M4286&gt;=$R$16,$M4286&lt;=$R$18),U4286,0)</t>
  </si>
  <si>
    <t>=IF(AND($M4286&gt;=$S$16,$M4286&lt;=$S$18),U4286,0)</t>
  </si>
  <si>
    <t>=IF($M4286&lt;=$T$18,U4286,0)</t>
  </si>
  <si>
    <t>="""NAV Direct"",""CRONUS JetCorp USA"",""21"",""1"",""418528"""</t>
  </si>
  <si>
    <t>=E4285</t>
  </si>
  <si>
    <t>=StartDate-$M4287+1</t>
  </si>
  <si>
    <t>=SUM(P4287:T4287)</t>
  </si>
  <si>
    <t>=IF($M4287&gt;=$P$18,U4287,0)</t>
  </si>
  <si>
    <t>=IF(AND($M4287&gt;=$Q$16,$M4287&lt;=$Q$18),U4287,0)</t>
  </si>
  <si>
    <t>=IF(AND($M4287&gt;=$R$16,$M4287&lt;=$R$18),U4287,0)</t>
  </si>
  <si>
    <t>=IF(AND($M4287&gt;=$S$16,$M4287&lt;=$S$18),U4287,0)</t>
  </si>
  <si>
    <t>=IF($M4287&lt;=$T$18,U4287,0)</t>
  </si>
  <si>
    <t>="""NAV Direct"",""CRONUS JetCorp USA"",""21"",""1"",""418708"""</t>
  </si>
  <si>
    <t>=E4286</t>
  </si>
  <si>
    <t>=StartDate-$M4288+1</t>
  </si>
  <si>
    <t>=SUM(P4288:T4288)</t>
  </si>
  <si>
    <t>=IF($M4288&gt;=$P$18,U4288,0)</t>
  </si>
  <si>
    <t>=IF(AND($M4288&gt;=$Q$16,$M4288&lt;=$Q$18),U4288,0)</t>
  </si>
  <si>
    <t>=IF(AND($M4288&gt;=$R$16,$M4288&lt;=$R$18),U4288,0)</t>
  </si>
  <si>
    <t>=IF(AND($M4288&gt;=$S$16,$M4288&lt;=$S$18),U4288,0)</t>
  </si>
  <si>
    <t>=IF($M4288&lt;=$T$18,U4288,0)</t>
  </si>
  <si>
    <t>="""NAV Direct"",""CRONUS JetCorp USA"",""21"",""1"",""418821"""</t>
  </si>
  <si>
    <t>=E4287</t>
  </si>
  <si>
    <t>=StartDate-$M4289+1</t>
  </si>
  <si>
    <t>=SUM(P4289:T4289)</t>
  </si>
  <si>
    <t>=IF($M4289&gt;=$P$18,U4289,0)</t>
  </si>
  <si>
    <t>=IF(AND($M4289&gt;=$Q$16,$M4289&lt;=$Q$18),U4289,0)</t>
  </si>
  <si>
    <t>=IF(AND($M4289&gt;=$R$16,$M4289&lt;=$R$18),U4289,0)</t>
  </si>
  <si>
    <t>=IF(AND($M4289&gt;=$S$16,$M4289&lt;=$S$18),U4289,0)</t>
  </si>
  <si>
    <t>=IF($M4289&lt;=$T$18,U4289,0)</t>
  </si>
  <si>
    <t>="""NAV Direct"",""CRONUS JetCorp USA"",""21"",""1"",""419057"""</t>
  </si>
  <si>
    <t>=E4288</t>
  </si>
  <si>
    <t>=StartDate-$M4290+1</t>
  </si>
  <si>
    <t>=SUM(P4290:T4290)</t>
  </si>
  <si>
    <t>=IF($M4290&gt;=$P$18,U4290,0)</t>
  </si>
  <si>
    <t>=IF(AND($M4290&gt;=$Q$16,$M4290&lt;=$Q$18),U4290,0)</t>
  </si>
  <si>
    <t>=IF(AND($M4290&gt;=$R$16,$M4290&lt;=$R$18),U4290,0)</t>
  </si>
  <si>
    <t>=IF(AND($M4290&gt;=$S$16,$M4290&lt;=$S$18),U4290,0)</t>
  </si>
  <si>
    <t>=IF($M4290&lt;=$T$18,U4290,0)</t>
  </si>
  <si>
    <t>="""NAV Direct"",""CRONUS JetCorp USA"",""21"",""1"",""419529"""</t>
  </si>
  <si>
    <t>=E4289</t>
  </si>
  <si>
    <t>=StartDate-$M4291+1</t>
  </si>
  <si>
    <t>=SUM(P4291:T4291)</t>
  </si>
  <si>
    <t>=IF($M4291&gt;=$P$18,U4291,0)</t>
  </si>
  <si>
    <t>=IF(AND($M4291&gt;=$Q$16,$M4291&lt;=$Q$18),U4291,0)</t>
  </si>
  <si>
    <t>=IF(AND($M4291&gt;=$R$16,$M4291&lt;=$R$18),U4291,0)</t>
  </si>
  <si>
    <t>=IF(AND($M4291&gt;=$S$16,$M4291&lt;=$S$18),U4291,0)</t>
  </si>
  <si>
    <t>=IF($M4291&lt;=$T$18,U4291,0)</t>
  </si>
  <si>
    <t>="""NAV Direct"",""CRONUS JetCorp USA"",""21"",""1"",""419634"""</t>
  </si>
  <si>
    <t>=E4290</t>
  </si>
  <si>
    <t>=StartDate-$M4292+1</t>
  </si>
  <si>
    <t>=SUM(P4292:T4292)</t>
  </si>
  <si>
    <t>=IF($M4292&gt;=$P$18,U4292,0)</t>
  </si>
  <si>
    <t>=IF(AND($M4292&gt;=$Q$16,$M4292&lt;=$Q$18),U4292,0)</t>
  </si>
  <si>
    <t>=IF(AND($M4292&gt;=$R$16,$M4292&lt;=$R$18),U4292,0)</t>
  </si>
  <si>
    <t>=IF(AND($M4292&gt;=$S$16,$M4292&lt;=$S$18),U4292,0)</t>
  </si>
  <si>
    <t>=IF($M4292&lt;=$T$18,U4292,0)</t>
  </si>
  <si>
    <t>="""NAV Direct"",""CRONUS JetCorp USA"",""21"",""1"",""419941"""</t>
  </si>
  <si>
    <t>=E4291</t>
  </si>
  <si>
    <t>=StartDate-$M4293+1</t>
  </si>
  <si>
    <t>=SUM(P4293:T4293)</t>
  </si>
  <si>
    <t>=IF($M4293&gt;=$P$18,U4293,0)</t>
  </si>
  <si>
    <t>=IF(AND($M4293&gt;=$Q$16,$M4293&lt;=$Q$18),U4293,0)</t>
  </si>
  <si>
    <t>=IF(AND($M4293&gt;=$R$16,$M4293&lt;=$R$18),U4293,0)</t>
  </si>
  <si>
    <t>=IF(AND($M4293&gt;=$S$16,$M4293&lt;=$S$18),U4293,0)</t>
  </si>
  <si>
    <t>=IF($M4293&lt;=$T$18,U4293,0)</t>
  </si>
  <si>
    <t>="""NAV Direct"",""CRONUS JetCorp USA"",""21"",""1"",""420113"""</t>
  </si>
  <si>
    <t>=E4292</t>
  </si>
  <si>
    <t>=StartDate-$M4294+1</t>
  </si>
  <si>
    <t>=SUM(P4294:T4294)</t>
  </si>
  <si>
    <t>=IF($M4294&gt;=$P$18,U4294,0)</t>
  </si>
  <si>
    <t>=IF(AND($M4294&gt;=$Q$16,$M4294&lt;=$Q$18),U4294,0)</t>
  </si>
  <si>
    <t>=IF(AND($M4294&gt;=$R$16,$M4294&lt;=$R$18),U4294,0)</t>
  </si>
  <si>
    <t>=IF(AND($M4294&gt;=$S$16,$M4294&lt;=$S$18),U4294,0)</t>
  </si>
  <si>
    <t>=IF($M4294&lt;=$T$18,U4294,0)</t>
  </si>
  <si>
    <t>="""NAV Direct"",""CRONUS JetCorp USA"",""21"",""1"",""421304"""</t>
  </si>
  <si>
    <t>=E4293</t>
  </si>
  <si>
    <t>=StartDate-$M4295+1</t>
  </si>
  <si>
    <t>=SUM(P4295:T4295)</t>
  </si>
  <si>
    <t>=IF($M4295&gt;=$P$18,U4295,0)</t>
  </si>
  <si>
    <t>=IF(AND($M4295&gt;=$Q$16,$M4295&lt;=$Q$18),U4295,0)</t>
  </si>
  <si>
    <t>=IF(AND($M4295&gt;=$R$16,$M4295&lt;=$R$18),U4295,0)</t>
  </si>
  <si>
    <t>=IF(AND($M4295&gt;=$S$16,$M4295&lt;=$S$18),U4295,0)</t>
  </si>
  <si>
    <t>=IF($M4295&lt;=$T$18,U4295,0)</t>
  </si>
  <si>
    <t>="""NAV Direct"",""CRONUS JetCorp USA"",""21"",""1"",""421361"""</t>
  </si>
  <si>
    <t>=E4294</t>
  </si>
  <si>
    <t>=StartDate-$M4296+1</t>
  </si>
  <si>
    <t>=SUM(P4296:T4296)</t>
  </si>
  <si>
    <t>=IF($M4296&gt;=$P$18,U4296,0)</t>
  </si>
  <si>
    <t>=IF(AND($M4296&gt;=$Q$16,$M4296&lt;=$Q$18),U4296,0)</t>
  </si>
  <si>
    <t>=IF(AND($M4296&gt;=$R$16,$M4296&lt;=$R$18),U4296,0)</t>
  </si>
  <si>
    <t>=IF(AND($M4296&gt;=$S$16,$M4296&lt;=$S$18),U4296,0)</t>
  </si>
  <si>
    <t>=IF($M4296&lt;=$T$18,U4296,0)</t>
  </si>
  <si>
    <t>="""NAV Direct"",""CRONUS JetCorp USA"",""21"",""1"",""421414"""</t>
  </si>
  <si>
    <t>=E4295</t>
  </si>
  <si>
    <t>=StartDate-$M4297+1</t>
  </si>
  <si>
    <t>=SUM(P4297:T4297)</t>
  </si>
  <si>
    <t>=IF($M4297&gt;=$P$18,U4297,0)</t>
  </si>
  <si>
    <t>=IF(AND($M4297&gt;=$Q$16,$M4297&lt;=$Q$18),U4297,0)</t>
  </si>
  <si>
    <t>=IF(AND($M4297&gt;=$R$16,$M4297&lt;=$R$18),U4297,0)</t>
  </si>
  <si>
    <t>=IF(AND($M4297&gt;=$S$16,$M4297&lt;=$S$18),U4297,0)</t>
  </si>
  <si>
    <t>=IF($M4297&lt;=$T$18,U4297,0)</t>
  </si>
  <si>
    <t>="""NAV Direct"",""CRONUS JetCorp USA"",""21"",""1"",""422083"""</t>
  </si>
  <si>
    <t>=E4296</t>
  </si>
  <si>
    <t>=StartDate-$M4298+1</t>
  </si>
  <si>
    <t>=SUM(P4298:T4298)</t>
  </si>
  <si>
    <t>=IF($M4298&gt;=$P$18,U4298,0)</t>
  </si>
  <si>
    <t>=IF(AND($M4298&gt;=$Q$16,$M4298&lt;=$Q$18),U4298,0)</t>
  </si>
  <si>
    <t>=IF(AND($M4298&gt;=$R$16,$M4298&lt;=$R$18),U4298,0)</t>
  </si>
  <si>
    <t>=IF(AND($M4298&gt;=$S$16,$M4298&lt;=$S$18),U4298,0)</t>
  </si>
  <si>
    <t>=IF($M4298&lt;=$T$18,U4298,0)</t>
  </si>
  <si>
    <t>="""NAV Direct"",""CRONUS JetCorp USA"",""21"",""1"",""422497"""</t>
  </si>
  <si>
    <t>=E4297</t>
  </si>
  <si>
    <t>=StartDate-$M4299+1</t>
  </si>
  <si>
    <t>=SUM(P4299:T4299)</t>
  </si>
  <si>
    <t>=IF($M4299&gt;=$P$18,U4299,0)</t>
  </si>
  <si>
    <t>=IF(AND($M4299&gt;=$Q$16,$M4299&lt;=$Q$18),U4299,0)</t>
  </si>
  <si>
    <t>=IF(AND($M4299&gt;=$R$16,$M4299&lt;=$R$18),U4299,0)</t>
  </si>
  <si>
    <t>=IF(AND($M4299&gt;=$S$16,$M4299&lt;=$S$18),U4299,0)</t>
  </si>
  <si>
    <t>=IF($M4299&lt;=$T$18,U4299,0)</t>
  </si>
  <si>
    <t>="""NAV Direct"",""CRONUS JetCorp USA"",""21"",""1"",""422900"""</t>
  </si>
  <si>
    <t>=E4298</t>
  </si>
  <si>
    <t>=StartDate-$M4300+1</t>
  </si>
  <si>
    <t>=SUM(P4300:T4300)</t>
  </si>
  <si>
    <t>=IF($M4300&gt;=$P$18,U4300,0)</t>
  </si>
  <si>
    <t>=IF(AND($M4300&gt;=$Q$16,$M4300&lt;=$Q$18),U4300,0)</t>
  </si>
  <si>
    <t>=IF(AND($M4300&gt;=$R$16,$M4300&lt;=$R$18),U4300,0)</t>
  </si>
  <si>
    <t>=IF(AND($M4300&gt;=$S$16,$M4300&lt;=$S$18),U4300,0)</t>
  </si>
  <si>
    <t>=IF($M4300&lt;=$T$18,U4300,0)</t>
  </si>
  <si>
    <t>="""NAV Direct"",""CRONUS JetCorp USA"",""21"",""1"",""424140"""</t>
  </si>
  <si>
    <t>=E4299</t>
  </si>
  <si>
    <t>=StartDate-$M4301+1</t>
  </si>
  <si>
    <t>=SUM(P4301:T4301)</t>
  </si>
  <si>
    <t>=IF($M4301&gt;=$P$18,U4301,0)</t>
  </si>
  <si>
    <t>=IF(AND($M4301&gt;=$Q$16,$M4301&lt;=$Q$18),U4301,0)</t>
  </si>
  <si>
    <t>=IF(AND($M4301&gt;=$R$16,$M4301&lt;=$R$18),U4301,0)</t>
  </si>
  <si>
    <t>=IF(AND($M4301&gt;=$S$16,$M4301&lt;=$S$18),U4301,0)</t>
  </si>
  <si>
    <t>=IF($M4301&lt;=$T$18,U4301,0)</t>
  </si>
  <si>
    <t>="""NAV Direct"",""CRONUS JetCorp USA"",""21"",""1"",""424418"""</t>
  </si>
  <si>
    <t>=E4300</t>
  </si>
  <si>
    <t>=StartDate-$M4302+1</t>
  </si>
  <si>
    <t>=SUM(P4302:T4302)</t>
  </si>
  <si>
    <t>=IF($M4302&gt;=$P$18,U4302,0)</t>
  </si>
  <si>
    <t>=IF(AND($M4302&gt;=$Q$16,$M4302&lt;=$Q$18),U4302,0)</t>
  </si>
  <si>
    <t>=IF(AND($M4302&gt;=$R$16,$M4302&lt;=$R$18),U4302,0)</t>
  </si>
  <si>
    <t>=IF(AND($M4302&gt;=$S$16,$M4302&lt;=$S$18),U4302,0)</t>
  </si>
  <si>
    <t>=IF($M4302&lt;=$T$18,U4302,0)</t>
  </si>
  <si>
    <t>="""NAV Direct"",""CRONUS JetCorp USA"",""21"",""1"",""424832"""</t>
  </si>
  <si>
    <t>=E4301</t>
  </si>
  <si>
    <t>=StartDate-$M4303+1</t>
  </si>
  <si>
    <t>=SUM(P4303:T4303)</t>
  </si>
  <si>
    <t>=IF($M4303&gt;=$P$18,U4303,0)</t>
  </si>
  <si>
    <t>=IF(AND($M4303&gt;=$Q$16,$M4303&lt;=$Q$18),U4303,0)</t>
  </si>
  <si>
    <t>=IF(AND($M4303&gt;=$R$16,$M4303&lt;=$R$18),U4303,0)</t>
  </si>
  <si>
    <t>=IF(AND($M4303&gt;=$S$16,$M4303&lt;=$S$18),U4303,0)</t>
  </si>
  <si>
    <t>=IF($M4303&lt;=$T$18,U4303,0)</t>
  </si>
  <si>
    <t>="""NAV Direct"",""CRONUS JetCorp USA"",""21"",""1"",""424875"""</t>
  </si>
  <si>
    <t>=E4302</t>
  </si>
  <si>
    <t>=StartDate-$M4304+1</t>
  </si>
  <si>
    <t>=SUM(P4304:T4304)</t>
  </si>
  <si>
    <t>=IF($M4304&gt;=$P$18,U4304,0)</t>
  </si>
  <si>
    <t>=IF(AND($M4304&gt;=$Q$16,$M4304&lt;=$Q$18),U4304,0)</t>
  </si>
  <si>
    <t>=IF(AND($M4304&gt;=$R$16,$M4304&lt;=$R$18),U4304,0)</t>
  </si>
  <si>
    <t>=IF(AND($M4304&gt;=$S$16,$M4304&lt;=$S$18),U4304,0)</t>
  </si>
  <si>
    <t>=IF($M4304&lt;=$T$18,U4304,0)</t>
  </si>
  <si>
    <t>="""NAV Direct"",""CRONUS JetCorp USA"",""21"",""1"",""425027"""</t>
  </si>
  <si>
    <t>=E4303</t>
  </si>
  <si>
    <t>=StartDate-$M4305+1</t>
  </si>
  <si>
    <t>=SUM(P4305:T4305)</t>
  </si>
  <si>
    <t>=IF($M4305&gt;=$P$18,U4305,0)</t>
  </si>
  <si>
    <t>=IF(AND($M4305&gt;=$Q$16,$M4305&lt;=$Q$18),U4305,0)</t>
  </si>
  <si>
    <t>=IF(AND($M4305&gt;=$R$16,$M4305&lt;=$R$18),U4305,0)</t>
  </si>
  <si>
    <t>=IF(AND($M4305&gt;=$S$16,$M4305&lt;=$S$18),U4305,0)</t>
  </si>
  <si>
    <t>=IF($M4305&lt;=$T$18,U4305,0)</t>
  </si>
  <si>
    <t>="""NAV Direct"",""CRONUS JetCorp USA"",""21"",""1"",""425238"""</t>
  </si>
  <si>
    <t>=E4304</t>
  </si>
  <si>
    <t>=StartDate-$M4306+1</t>
  </si>
  <si>
    <t>=SUM(P4306:T4306)</t>
  </si>
  <si>
    <t>=IF($M4306&gt;=$P$18,U4306,0)</t>
  </si>
  <si>
    <t>=IF(AND($M4306&gt;=$Q$16,$M4306&lt;=$Q$18),U4306,0)</t>
  </si>
  <si>
    <t>=IF(AND($M4306&gt;=$R$16,$M4306&lt;=$R$18),U4306,0)</t>
  </si>
  <si>
    <t>=IF(AND($M4306&gt;=$S$16,$M4306&lt;=$S$18),U4306,0)</t>
  </si>
  <si>
    <t>=IF($M4306&lt;=$T$18,U4306,0)</t>
  </si>
  <si>
    <t>="""NAV Direct"",""CRONUS JetCorp USA"",""21"",""1"",""425289"""</t>
  </si>
  <si>
    <t>=E4305</t>
  </si>
  <si>
    <t>=StartDate-$M4307+1</t>
  </si>
  <si>
    <t>=SUM(P4307:T4307)</t>
  </si>
  <si>
    <t>=IF($M4307&gt;=$P$18,U4307,0)</t>
  </si>
  <si>
    <t>=IF(AND($M4307&gt;=$Q$16,$M4307&lt;=$Q$18),U4307,0)</t>
  </si>
  <si>
    <t>=IF(AND($M4307&gt;=$R$16,$M4307&lt;=$R$18),U4307,0)</t>
  </si>
  <si>
    <t>=IF(AND($M4307&gt;=$S$16,$M4307&lt;=$S$18),U4307,0)</t>
  </si>
  <si>
    <t>=IF($M4307&lt;=$T$18,U4307,0)</t>
  </si>
  <si>
    <t>="""NAV Direct"",""CRONUS JetCorp USA"",""21"",""1"",""425326"""</t>
  </si>
  <si>
    <t>=E4306</t>
  </si>
  <si>
    <t>=StartDate-$M4308+1</t>
  </si>
  <si>
    <t>=SUM(P4308:T4308)</t>
  </si>
  <si>
    <t>=IF($M4308&gt;=$P$18,U4308,0)</t>
  </si>
  <si>
    <t>=IF(AND($M4308&gt;=$Q$16,$M4308&lt;=$Q$18),U4308,0)</t>
  </si>
  <si>
    <t>=IF(AND($M4308&gt;=$R$16,$M4308&lt;=$R$18),U4308,0)</t>
  </si>
  <si>
    <t>=IF(AND($M4308&gt;=$S$16,$M4308&lt;=$S$18),U4308,0)</t>
  </si>
  <si>
    <t>=IF($M4308&lt;=$T$18,U4308,0)</t>
  </si>
  <si>
    <t>="""NAV Direct"",""CRONUS JetCorp USA"",""21"",""1"",""425982"""</t>
  </si>
  <si>
    <t>=E4307</t>
  </si>
  <si>
    <t>=StartDate-$M4309+1</t>
  </si>
  <si>
    <t>=SUM(P4309:T4309)</t>
  </si>
  <si>
    <t>=IF($M4309&gt;=$P$18,U4309,0)</t>
  </si>
  <si>
    <t>=IF(AND($M4309&gt;=$Q$16,$M4309&lt;=$Q$18),U4309,0)</t>
  </si>
  <si>
    <t>=IF(AND($M4309&gt;=$R$16,$M4309&lt;=$R$18),U4309,0)</t>
  </si>
  <si>
    <t>=IF(AND($M4309&gt;=$S$16,$M4309&lt;=$S$18),U4309,0)</t>
  </si>
  <si>
    <t>=IF($M4309&lt;=$T$18,U4309,0)</t>
  </si>
  <si>
    <t>="""NAV Direct"",""CRONUS JetCorp USA"",""21"",""1"",""427021"""</t>
  </si>
  <si>
    <t>=E4308</t>
  </si>
  <si>
    <t>=StartDate-$M4310+1</t>
  </si>
  <si>
    <t>=SUM(P4310:T4310)</t>
  </si>
  <si>
    <t>=IF($M4310&gt;=$P$18,U4310,0)</t>
  </si>
  <si>
    <t>=IF(AND($M4310&gt;=$Q$16,$M4310&lt;=$Q$18),U4310,0)</t>
  </si>
  <si>
    <t>=IF(AND($M4310&gt;=$R$16,$M4310&lt;=$R$18),U4310,0)</t>
  </si>
  <si>
    <t>=IF(AND($M4310&gt;=$S$16,$M4310&lt;=$S$18),U4310,0)</t>
  </si>
  <si>
    <t>=IF($M4310&lt;=$T$18,U4310,0)</t>
  </si>
  <si>
    <t>="""NAV Direct"",""CRONUS JetCorp USA"",""21"",""1"",""427859"""</t>
  </si>
  <si>
    <t>=E4309</t>
  </si>
  <si>
    <t>=StartDate-$M4311+1</t>
  </si>
  <si>
    <t>=SUM(P4311:T4311)</t>
  </si>
  <si>
    <t>=IF($M4311&gt;=$P$18,U4311,0)</t>
  </si>
  <si>
    <t>=IF(AND($M4311&gt;=$Q$16,$M4311&lt;=$Q$18),U4311,0)</t>
  </si>
  <si>
    <t>=IF(AND($M4311&gt;=$R$16,$M4311&lt;=$R$18),U4311,0)</t>
  </si>
  <si>
    <t>=IF(AND($M4311&gt;=$S$16,$M4311&lt;=$S$18),U4311,0)</t>
  </si>
  <si>
    <t>=IF($M4311&lt;=$T$18,U4311,0)</t>
  </si>
  <si>
    <t>="""NAV Direct"",""CRONUS JetCorp USA"",""21"",""1"",""428300"""</t>
  </si>
  <si>
    <t>=E4310</t>
  </si>
  <si>
    <t>=StartDate-$M4312+1</t>
  </si>
  <si>
    <t>=SUM(P4312:T4312)</t>
  </si>
  <si>
    <t>=IF($M4312&gt;=$P$18,U4312,0)</t>
  </si>
  <si>
    <t>=IF(AND($M4312&gt;=$Q$16,$M4312&lt;=$Q$18),U4312,0)</t>
  </si>
  <si>
    <t>=IF(AND($M4312&gt;=$R$16,$M4312&lt;=$R$18),U4312,0)</t>
  </si>
  <si>
    <t>=IF(AND($M4312&gt;=$S$16,$M4312&lt;=$S$18),U4312,0)</t>
  </si>
  <si>
    <t>=IF($M4312&lt;=$T$18,U4312,0)</t>
  </si>
  <si>
    <t>="""NAV Direct"",""CRONUS JetCorp USA"",""21"",""1"",""428537"""</t>
  </si>
  <si>
    <t>=E4311</t>
  </si>
  <si>
    <t>=StartDate-$M4313+1</t>
  </si>
  <si>
    <t>=SUM(P4313:T4313)</t>
  </si>
  <si>
    <t>=IF($M4313&gt;=$P$18,U4313,0)</t>
  </si>
  <si>
    <t>=IF(AND($M4313&gt;=$Q$16,$M4313&lt;=$Q$18),U4313,0)</t>
  </si>
  <si>
    <t>=IF(AND($M4313&gt;=$R$16,$M4313&lt;=$R$18),U4313,0)</t>
  </si>
  <si>
    <t>=IF(AND($M4313&gt;=$S$16,$M4313&lt;=$S$18),U4313,0)</t>
  </si>
  <si>
    <t>=IF($M4313&lt;=$T$18,U4313,0)</t>
  </si>
  <si>
    <t>="""NAV Direct"",""CRONUS JetCorp USA"",""21"",""1"",""428635"""</t>
  </si>
  <si>
    <t>=E4312</t>
  </si>
  <si>
    <t>=StartDate-$M4314+1</t>
  </si>
  <si>
    <t>=SUM(P4314:T4314)</t>
  </si>
  <si>
    <t>=IF($M4314&gt;=$P$18,U4314,0)</t>
  </si>
  <si>
    <t>=IF(AND($M4314&gt;=$Q$16,$M4314&lt;=$Q$18),U4314,0)</t>
  </si>
  <si>
    <t>=IF(AND($M4314&gt;=$R$16,$M4314&lt;=$R$18),U4314,0)</t>
  </si>
  <si>
    <t>=IF(AND($M4314&gt;=$S$16,$M4314&lt;=$S$18),U4314,0)</t>
  </si>
  <si>
    <t>=IF($M4314&lt;=$T$18,U4314,0)</t>
  </si>
  <si>
    <t>="""NAV Direct"",""CRONUS JetCorp USA"",""21"",""1"",""429075"""</t>
  </si>
  <si>
    <t>=E4313</t>
  </si>
  <si>
    <t>=StartDate-$M4315+1</t>
  </si>
  <si>
    <t>=SUM(P4315:T4315)</t>
  </si>
  <si>
    <t>=IF($M4315&gt;=$P$18,U4315,0)</t>
  </si>
  <si>
    <t>=IF(AND($M4315&gt;=$Q$16,$M4315&lt;=$Q$18),U4315,0)</t>
  </si>
  <si>
    <t>=IF(AND($M4315&gt;=$R$16,$M4315&lt;=$R$18),U4315,0)</t>
  </si>
  <si>
    <t>=IF(AND($M4315&gt;=$S$16,$M4315&lt;=$S$18),U4315,0)</t>
  </si>
  <si>
    <t>=IF($M4315&lt;=$T$18,U4315,0)</t>
  </si>
  <si>
    <t>="""NAV Direct"",""CRONUS JetCorp USA"",""21"",""1"",""441603"""</t>
  </si>
  <si>
    <t>=E4314</t>
  </si>
  <si>
    <t>=StartDate-$M4316+1</t>
  </si>
  <si>
    <t>=SUM(P4316:T4316)</t>
  </si>
  <si>
    <t>=IF($M4316&gt;=$P$18,U4316,0)</t>
  </si>
  <si>
    <t>=IF(AND($M4316&gt;=$Q$16,$M4316&lt;=$Q$18),U4316,0)</t>
  </si>
  <si>
    <t>=IF(AND($M4316&gt;=$R$16,$M4316&lt;=$R$18),U4316,0)</t>
  </si>
  <si>
    <t>=IF(AND($M4316&gt;=$S$16,$M4316&lt;=$S$18),U4316,0)</t>
  </si>
  <si>
    <t>=IF($M4316&lt;=$T$18,U4316,0)</t>
  </si>
  <si>
    <t>="""NAV Direct"",""CRONUS JetCorp USA"",""21"",""1"",""441733"""</t>
  </si>
  <si>
    <t>=E4315</t>
  </si>
  <si>
    <t>=StartDate-$M4317+1</t>
  </si>
  <si>
    <t>=SUM(P4317:T4317)</t>
  </si>
  <si>
    <t>=IF($M4317&gt;=$P$18,U4317,0)</t>
  </si>
  <si>
    <t>=IF(AND($M4317&gt;=$Q$16,$M4317&lt;=$Q$18),U4317,0)</t>
  </si>
  <si>
    <t>=IF(AND($M4317&gt;=$R$16,$M4317&lt;=$R$18),U4317,0)</t>
  </si>
  <si>
    <t>=IF(AND($M4317&gt;=$S$16,$M4317&lt;=$S$18),U4317,0)</t>
  </si>
  <si>
    <t>=IF($M4317&lt;=$T$18,U4317,0)</t>
  </si>
  <si>
    <t>="""NAV Direct"",""CRONUS JetCorp USA"",""21"",""1"",""441785"""</t>
  </si>
  <si>
    <t>=E4316</t>
  </si>
  <si>
    <t>=StartDate-$M4318+1</t>
  </si>
  <si>
    <t>=SUM(P4318:T4318)</t>
  </si>
  <si>
    <t>=IF($M4318&gt;=$P$18,U4318,0)</t>
  </si>
  <si>
    <t>=IF(AND($M4318&gt;=$Q$16,$M4318&lt;=$Q$18),U4318,0)</t>
  </si>
  <si>
    <t>=IF(AND($M4318&gt;=$R$16,$M4318&lt;=$R$18),U4318,0)</t>
  </si>
  <si>
    <t>=IF(AND($M4318&gt;=$S$16,$M4318&lt;=$S$18),U4318,0)</t>
  </si>
  <si>
    <t>=IF($M4318&lt;=$T$18,U4318,0)</t>
  </si>
  <si>
    <t>="""NAV Direct"",""CRONUS JetCorp USA"",""21"",""1"",""441808"""</t>
  </si>
  <si>
    <t>=E4317</t>
  </si>
  <si>
    <t>=StartDate-$M4319+1</t>
  </si>
  <si>
    <t>=SUM(P4319:T4319)</t>
  </si>
  <si>
    <t>=IF($M4319&gt;=$P$18,U4319,0)</t>
  </si>
  <si>
    <t>=IF(AND($M4319&gt;=$Q$16,$M4319&lt;=$Q$18),U4319,0)</t>
  </si>
  <si>
    <t>=IF(AND($M4319&gt;=$R$16,$M4319&lt;=$R$18),U4319,0)</t>
  </si>
  <si>
    <t>=IF(AND($M4319&gt;=$S$16,$M4319&lt;=$S$18),U4319,0)</t>
  </si>
  <si>
    <t>=IF($M4319&lt;=$T$18,U4319,0)</t>
  </si>
  <si>
    <t>="""NAV Direct"",""CRONUS JetCorp USA"",""21"",""1"",""441859"""</t>
  </si>
  <si>
    <t>=E4318</t>
  </si>
  <si>
    <t>=StartDate-$M4320+1</t>
  </si>
  <si>
    <t>=SUM(P4320:T4320)</t>
  </si>
  <si>
    <t>=IF($M4320&gt;=$P$18,U4320,0)</t>
  </si>
  <si>
    <t>=IF(AND($M4320&gt;=$Q$16,$M4320&lt;=$Q$18),U4320,0)</t>
  </si>
  <si>
    <t>=IF(AND($M4320&gt;=$R$16,$M4320&lt;=$R$18),U4320,0)</t>
  </si>
  <si>
    <t>=IF(AND($M4320&gt;=$S$16,$M4320&lt;=$S$18),U4320,0)</t>
  </si>
  <si>
    <t>=IF($M4320&lt;=$T$18,U4320,0)</t>
  </si>
  <si>
    <t>="""NAV Direct"",""CRONUS JetCorp USA"",""21"",""1"",""441878"""</t>
  </si>
  <si>
    <t>=E4319</t>
  </si>
  <si>
    <t>=StartDate-$M4321+1</t>
  </si>
  <si>
    <t>=SUM(P4321:T4321)</t>
  </si>
  <si>
    <t>=IF($M4321&gt;=$P$18,U4321,0)</t>
  </si>
  <si>
    <t>=IF(AND($M4321&gt;=$Q$16,$M4321&lt;=$Q$18),U4321,0)</t>
  </si>
  <si>
    <t>=IF(AND($M4321&gt;=$R$16,$M4321&lt;=$R$18),U4321,0)</t>
  </si>
  <si>
    <t>=IF(AND($M4321&gt;=$S$16,$M4321&lt;=$S$18),U4321,0)</t>
  </si>
  <si>
    <t>=IF($M4321&lt;=$T$18,U4321,0)</t>
  </si>
  <si>
    <t>="""NAV Direct"",""CRONUS JetCorp USA"",""21"",""1"",""442131"""</t>
  </si>
  <si>
    <t>=E4320</t>
  </si>
  <si>
    <t>=StartDate-$M4322+1</t>
  </si>
  <si>
    <t>=SUM(P4322:T4322)</t>
  </si>
  <si>
    <t>=IF($M4322&gt;=$P$18,U4322,0)</t>
  </si>
  <si>
    <t>=IF(AND($M4322&gt;=$Q$16,$M4322&lt;=$Q$18),U4322,0)</t>
  </si>
  <si>
    <t>=IF(AND($M4322&gt;=$R$16,$M4322&lt;=$R$18),U4322,0)</t>
  </si>
  <si>
    <t>=IF(AND($M4322&gt;=$S$16,$M4322&lt;=$S$18),U4322,0)</t>
  </si>
  <si>
    <t>=IF($M4322&lt;=$T$18,U4322,0)</t>
  </si>
  <si>
    <t>="""NAV Direct"",""CRONUS JetCorp USA"",""21"",""1"",""442196"""</t>
  </si>
  <si>
    <t>=E4321</t>
  </si>
  <si>
    <t>=StartDate-$M4323+1</t>
  </si>
  <si>
    <t>=SUM(P4323:T4323)</t>
  </si>
  <si>
    <t>=IF($M4323&gt;=$P$18,U4323,0)</t>
  </si>
  <si>
    <t>=IF(AND($M4323&gt;=$Q$16,$M4323&lt;=$Q$18),U4323,0)</t>
  </si>
  <si>
    <t>=IF(AND($M4323&gt;=$R$16,$M4323&lt;=$R$18),U4323,0)</t>
  </si>
  <si>
    <t>=IF(AND($M4323&gt;=$S$16,$M4323&lt;=$S$18),U4323,0)</t>
  </si>
  <si>
    <t>=IF($M4323&lt;=$T$18,U4323,0)</t>
  </si>
  <si>
    <t>="""NAV Direct"",""CRONUS JetCorp USA"",""21"",""1"",""442234"""</t>
  </si>
  <si>
    <t>=E4322</t>
  </si>
  <si>
    <t>=StartDate-$M4324+1</t>
  </si>
  <si>
    <t>=SUM(P4324:T4324)</t>
  </si>
  <si>
    <t>=IF($M4324&gt;=$P$18,U4324,0)</t>
  </si>
  <si>
    <t>=IF(AND($M4324&gt;=$Q$16,$M4324&lt;=$Q$18),U4324,0)</t>
  </si>
  <si>
    <t>=IF(AND($M4324&gt;=$R$16,$M4324&lt;=$R$18),U4324,0)</t>
  </si>
  <si>
    <t>=IF(AND($M4324&gt;=$S$16,$M4324&lt;=$S$18),U4324,0)</t>
  </si>
  <si>
    <t>=IF($M4324&lt;=$T$18,U4324,0)</t>
  </si>
  <si>
    <t>="""NAV Direct"",""CRONUS JetCorp USA"",""21"",""1"",""442516"""</t>
  </si>
  <si>
    <t>=E4323</t>
  </si>
  <si>
    <t>=StartDate-$M4325+1</t>
  </si>
  <si>
    <t>=SUM(P4325:T4325)</t>
  </si>
  <si>
    <t>=IF($M4325&gt;=$P$18,U4325,0)</t>
  </si>
  <si>
    <t>=IF(AND($M4325&gt;=$Q$16,$M4325&lt;=$Q$18),U4325,0)</t>
  </si>
  <si>
    <t>=IF(AND($M4325&gt;=$R$16,$M4325&lt;=$R$18),U4325,0)</t>
  </si>
  <si>
    <t>=IF(AND($M4325&gt;=$S$16,$M4325&lt;=$S$18),U4325,0)</t>
  </si>
  <si>
    <t>=IF($M4325&lt;=$T$18,U4325,0)</t>
  </si>
  <si>
    <t>="""NAV Direct"",""CRONUS JetCorp USA"",""21"",""1"",""442559"""</t>
  </si>
  <si>
    <t>=E4324</t>
  </si>
  <si>
    <t>=StartDate-$M4326+1</t>
  </si>
  <si>
    <t>=SUM(P4326:T4326)</t>
  </si>
  <si>
    <t>=IF($M4326&gt;=$P$18,U4326,0)</t>
  </si>
  <si>
    <t>=IF(AND($M4326&gt;=$Q$16,$M4326&lt;=$Q$18),U4326,0)</t>
  </si>
  <si>
    <t>=IF(AND($M4326&gt;=$R$16,$M4326&lt;=$R$18),U4326,0)</t>
  </si>
  <si>
    <t>=IF(AND($M4326&gt;=$S$16,$M4326&lt;=$S$18),U4326,0)</t>
  </si>
  <si>
    <t>=IF($M4326&lt;=$T$18,U4326,0)</t>
  </si>
  <si>
    <t>="""NAV Direct"",""CRONUS JetCorp USA"",""21"",""1"",""443221"""</t>
  </si>
  <si>
    <t>=E4325</t>
  </si>
  <si>
    <t>=StartDate-$M4327+1</t>
  </si>
  <si>
    <t>=SUM(P4327:T4327)</t>
  </si>
  <si>
    <t>=IF($M4327&gt;=$P$18,U4327,0)</t>
  </si>
  <si>
    <t>=IF(AND($M4327&gt;=$Q$16,$M4327&lt;=$Q$18),U4327,0)</t>
  </si>
  <si>
    <t>=IF(AND($M4327&gt;=$R$16,$M4327&lt;=$R$18),U4327,0)</t>
  </si>
  <si>
    <t>=IF(AND($M4327&gt;=$S$16,$M4327&lt;=$S$18),U4327,0)</t>
  </si>
  <si>
    <t>=IF($M4327&lt;=$T$18,U4327,0)</t>
  </si>
  <si>
    <t>="""NAV Direct"",""CRONUS JetCorp USA"",""21"",""1"",""443274"""</t>
  </si>
  <si>
    <t>=E4326</t>
  </si>
  <si>
    <t>=StartDate-$M4328+1</t>
  </si>
  <si>
    <t>=SUM(P4328:T4328)</t>
  </si>
  <si>
    <t>=IF($M4328&gt;=$P$18,U4328,0)</t>
  </si>
  <si>
    <t>=IF(AND($M4328&gt;=$Q$16,$M4328&lt;=$Q$18),U4328,0)</t>
  </si>
  <si>
    <t>=IF(AND($M4328&gt;=$R$16,$M4328&lt;=$R$18),U4328,0)</t>
  </si>
  <si>
    <t>=IF(AND($M4328&gt;=$S$16,$M4328&lt;=$S$18),U4328,0)</t>
  </si>
  <si>
    <t>=IF($M4328&lt;=$T$18,U4328,0)</t>
  </si>
  <si>
    <t>="""NAV Direct"",""CRONUS JetCorp USA"",""21"",""1"",""443548"""</t>
  </si>
  <si>
    <t>=E4327</t>
  </si>
  <si>
    <t>=StartDate-$M4329+1</t>
  </si>
  <si>
    <t>=SUM(P4329:T4329)</t>
  </si>
  <si>
    <t>=IF($M4329&gt;=$P$18,U4329,0)</t>
  </si>
  <si>
    <t>=IF(AND($M4329&gt;=$Q$16,$M4329&lt;=$Q$18),U4329,0)</t>
  </si>
  <si>
    <t>=IF(AND($M4329&gt;=$R$16,$M4329&lt;=$R$18),U4329,0)</t>
  </si>
  <si>
    <t>=IF(AND($M4329&gt;=$S$16,$M4329&lt;=$S$18),U4329,0)</t>
  </si>
  <si>
    <t>=IF($M4329&lt;=$T$18,U4329,0)</t>
  </si>
  <si>
    <t>="""NAV Direct"",""CRONUS JetCorp USA"",""18"",""1"",""C100121"""</t>
  </si>
  <si>
    <t>=H4332</t>
  </si>
  <si>
    <t>=NF($C4332,"1 No.")</t>
  </si>
  <si>
    <t>=NF($C4332,"1 No.")&amp;"  -  "&amp;NF($C4332,"2 Name")</t>
  </si>
  <si>
    <t>=IFERROR(O4332/NF(C4332,"Credit Limit (LCY)"),"")</t>
  </si>
  <si>
    <t>=SUBTOTAL(3,L4333:L4351)</t>
  </si>
  <si>
    <t>=SUBTOTAL(9,O4333:O4351)</t>
  </si>
  <si>
    <t>=SUBTOTAL(9,P4333:P4351)</t>
  </si>
  <si>
    <t>=SUBTOTAL(9,Q4333:Q4351)</t>
  </si>
  <si>
    <t>=SUBTOTAL(9,R4333:R4351)</t>
  </si>
  <si>
    <t>=SUBTOTAL(9,S4333:S4351)</t>
  </si>
  <si>
    <t>=SUBTOTAL(9,T4333:T4351)</t>
  </si>
  <si>
    <t>=C4332</t>
  </si>
  <si>
    <t>=E4332</t>
  </si>
  <si>
    <t>="Contact: "&amp;NF($C4333,"8 Contact")</t>
  </si>
  <si>
    <t>=C4333</t>
  </si>
  <si>
    <t>=E4333</t>
  </si>
  <si>
    <t>=NF($C4334,"102 E-Mail")</t>
  </si>
  <si>
    <t>=NL("Rows","21 Cust. Ledger Entry",,"3 Customer No.","@@"&amp;$E4336,"16 Remaining Amt. (LCY)","&lt;&gt;0")</t>
  </si>
  <si>
    <t>=E4334</t>
  </si>
  <si>
    <t>=StartDate-$M4336+1</t>
  </si>
  <si>
    <t>=SUM(P4336:T4336)</t>
  </si>
  <si>
    <t>=IF($M4336&gt;=$P$18,U4336,0)</t>
  </si>
  <si>
    <t>=IF(AND($M4336&gt;=$Q$16,$M4336&lt;=$Q$18),U4336,0)</t>
  </si>
  <si>
    <t>=IF(AND($M4336&gt;=$R$16,$M4336&lt;=$R$18),U4336,0)</t>
  </si>
  <si>
    <t>=IF(AND($M4336&gt;=$S$16,$M4336&lt;=$S$18),U4336,0)</t>
  </si>
  <si>
    <t>=IF($M4336&lt;=$T$18,U4336,0)</t>
  </si>
  <si>
    <t>="""NAV Direct"",""CRONUS JetCorp USA"",""21"",""1"",""210436"""</t>
  </si>
  <si>
    <t>=E4335</t>
  </si>
  <si>
    <t>=StartDate-$M4337+1</t>
  </si>
  <si>
    <t>=SUM(P4337:T4337)</t>
  </si>
  <si>
    <t>=IF($M4337&gt;=$P$18,U4337,0)</t>
  </si>
  <si>
    <t>=IF(AND($M4337&gt;=$Q$16,$M4337&lt;=$Q$18),U4337,0)</t>
  </si>
  <si>
    <t>=IF(AND($M4337&gt;=$R$16,$M4337&lt;=$R$18),U4337,0)</t>
  </si>
  <si>
    <t>=IF(AND($M4337&gt;=$S$16,$M4337&lt;=$S$18),U4337,0)</t>
  </si>
  <si>
    <t>=IF($M4337&lt;=$T$18,U4337,0)</t>
  </si>
  <si>
    <t>="""NAV Direct"",""CRONUS JetCorp USA"",""21"",""1"",""210743"""</t>
  </si>
  <si>
    <t>=E4336</t>
  </si>
  <si>
    <t>=StartDate-$M4338+1</t>
  </si>
  <si>
    <t>=SUM(P4338:T4338)</t>
  </si>
  <si>
    <t>=IF($M4338&gt;=$P$18,U4338,0)</t>
  </si>
  <si>
    <t>=IF(AND($M4338&gt;=$Q$16,$M4338&lt;=$Q$18),U4338,0)</t>
  </si>
  <si>
    <t>=IF(AND($M4338&gt;=$R$16,$M4338&lt;=$R$18),U4338,0)</t>
  </si>
  <si>
    <t>=IF(AND($M4338&gt;=$S$16,$M4338&lt;=$S$18),U4338,0)</t>
  </si>
  <si>
    <t>=IF($M4338&lt;=$T$18,U4338,0)</t>
  </si>
  <si>
    <t>="""NAV Direct"",""CRONUS JetCorp USA"",""21"",""1"",""211979"""</t>
  </si>
  <si>
    <t>=E4337</t>
  </si>
  <si>
    <t>=StartDate-$M4339+1</t>
  </si>
  <si>
    <t>=SUM(P4339:T4339)</t>
  </si>
  <si>
    <t>=IF($M4339&gt;=$P$18,U4339,0)</t>
  </si>
  <si>
    <t>=IF(AND($M4339&gt;=$Q$16,$M4339&lt;=$Q$18),U4339,0)</t>
  </si>
  <si>
    <t>=IF(AND($M4339&gt;=$R$16,$M4339&lt;=$R$18),U4339,0)</t>
  </si>
  <si>
    <t>=IF(AND($M4339&gt;=$S$16,$M4339&lt;=$S$18),U4339,0)</t>
  </si>
  <si>
    <t>=IF($M4339&lt;=$T$18,U4339,0)</t>
  </si>
  <si>
    <t>="""NAV Direct"",""CRONUS JetCorp USA"",""21"",""1"",""212577"""</t>
  </si>
  <si>
    <t>=E4338</t>
  </si>
  <si>
    <t>=StartDate-$M4340+1</t>
  </si>
  <si>
    <t>=SUM(P4340:T4340)</t>
  </si>
  <si>
    <t>=IF($M4340&gt;=$P$18,U4340,0)</t>
  </si>
  <si>
    <t>=IF(AND($M4340&gt;=$Q$16,$M4340&lt;=$Q$18),U4340,0)</t>
  </si>
  <si>
    <t>=IF(AND($M4340&gt;=$R$16,$M4340&lt;=$R$18),U4340,0)</t>
  </si>
  <si>
    <t>=IF(AND($M4340&gt;=$S$16,$M4340&lt;=$S$18),U4340,0)</t>
  </si>
  <si>
    <t>=IF($M4340&lt;=$T$18,U4340,0)</t>
  </si>
  <si>
    <t>="""NAV Direct"",""CRONUS JetCorp USA"",""21"",""1"",""213604"""</t>
  </si>
  <si>
    <t>=E4339</t>
  </si>
  <si>
    <t>=StartDate-$M4341+1</t>
  </si>
  <si>
    <t>=SUM(P4341:T4341)</t>
  </si>
  <si>
    <t>=IF($M4341&gt;=$P$18,U4341,0)</t>
  </si>
  <si>
    <t>=IF(AND($M4341&gt;=$Q$16,$M4341&lt;=$Q$18),U4341,0)</t>
  </si>
  <si>
    <t>=IF(AND($M4341&gt;=$R$16,$M4341&lt;=$R$18),U4341,0)</t>
  </si>
  <si>
    <t>=IF(AND($M4341&gt;=$S$16,$M4341&lt;=$S$18),U4341,0)</t>
  </si>
  <si>
    <t>=IF($M4341&lt;=$T$18,U4341,0)</t>
  </si>
  <si>
    <t>="""NAV Direct"",""CRONUS JetCorp USA"",""21"",""1"",""213739"""</t>
  </si>
  <si>
    <t>=E4340</t>
  </si>
  <si>
    <t>=StartDate-$M4342+1</t>
  </si>
  <si>
    <t>=SUM(P4342:T4342)</t>
  </si>
  <si>
    <t>=IF($M4342&gt;=$P$18,U4342,0)</t>
  </si>
  <si>
    <t>=IF(AND($M4342&gt;=$Q$16,$M4342&lt;=$Q$18),U4342,0)</t>
  </si>
  <si>
    <t>=IF(AND($M4342&gt;=$R$16,$M4342&lt;=$R$18),U4342,0)</t>
  </si>
  <si>
    <t>=IF(AND($M4342&gt;=$S$16,$M4342&lt;=$S$18),U4342,0)</t>
  </si>
  <si>
    <t>=IF($M4342&lt;=$T$18,U4342,0)</t>
  </si>
  <si>
    <t>="""NAV Direct"",""CRONUS JetCorp USA"",""21"",""1"",""214020"""</t>
  </si>
  <si>
    <t>=E4341</t>
  </si>
  <si>
    <t>=StartDate-$M4343+1</t>
  </si>
  <si>
    <t>=SUM(P4343:T4343)</t>
  </si>
  <si>
    <t>=IF($M4343&gt;=$P$18,U4343,0)</t>
  </si>
  <si>
    <t>=IF(AND($M4343&gt;=$Q$16,$M4343&lt;=$Q$18),U4343,0)</t>
  </si>
  <si>
    <t>=IF(AND($M4343&gt;=$R$16,$M4343&lt;=$R$18),U4343,0)</t>
  </si>
  <si>
    <t>=IF(AND($M4343&gt;=$S$16,$M4343&lt;=$S$18),U4343,0)</t>
  </si>
  <si>
    <t>=IF($M4343&lt;=$T$18,U4343,0)</t>
  </si>
  <si>
    <t>="""NAV Direct"",""CRONUS JetCorp USA"",""21"",""1"",""444028"""</t>
  </si>
  <si>
    <t>=E4342</t>
  </si>
  <si>
    <t>=StartDate-$M4344+1</t>
  </si>
  <si>
    <t>=SUM(P4344:T4344)</t>
  </si>
  <si>
    <t>=IF($M4344&gt;=$P$18,U4344,0)</t>
  </si>
  <si>
    <t>=IF(AND($M4344&gt;=$Q$16,$M4344&lt;=$Q$18),U4344,0)</t>
  </si>
  <si>
    <t>=IF(AND($M4344&gt;=$R$16,$M4344&lt;=$R$18),U4344,0)</t>
  </si>
  <si>
    <t>=IF(AND($M4344&gt;=$S$16,$M4344&lt;=$S$18),U4344,0)</t>
  </si>
  <si>
    <t>=IF($M4344&lt;=$T$18,U4344,0)</t>
  </si>
  <si>
    <t>="""NAV Direct"",""CRONUS JetCorp USA"",""21"",""1"",""444318"""</t>
  </si>
  <si>
    <t>=E4343</t>
  </si>
  <si>
    <t>=StartDate-$M4345+1</t>
  </si>
  <si>
    <t>=SUM(P4345:T4345)</t>
  </si>
  <si>
    <t>=IF($M4345&gt;=$P$18,U4345,0)</t>
  </si>
  <si>
    <t>=IF(AND($M4345&gt;=$Q$16,$M4345&lt;=$Q$18),U4345,0)</t>
  </si>
  <si>
    <t>=IF(AND($M4345&gt;=$R$16,$M4345&lt;=$R$18),U4345,0)</t>
  </si>
  <si>
    <t>=IF(AND($M4345&gt;=$S$16,$M4345&lt;=$S$18),U4345,0)</t>
  </si>
  <si>
    <t>=IF($M4345&lt;=$T$18,U4345,0)</t>
  </si>
  <si>
    <t>="""NAV Direct"",""CRONUS JetCorp USA"",""21"",""1"",""444394"""</t>
  </si>
  <si>
    <t>=E4344</t>
  </si>
  <si>
    <t>=StartDate-$M4346+1</t>
  </si>
  <si>
    <t>=SUM(P4346:T4346)</t>
  </si>
  <si>
    <t>=IF($M4346&gt;=$P$18,U4346,0)</t>
  </si>
  <si>
    <t>=IF(AND($M4346&gt;=$Q$16,$M4346&lt;=$Q$18),U4346,0)</t>
  </si>
  <si>
    <t>=IF(AND($M4346&gt;=$R$16,$M4346&lt;=$R$18),U4346,0)</t>
  </si>
  <si>
    <t>=IF(AND($M4346&gt;=$S$16,$M4346&lt;=$S$18),U4346,0)</t>
  </si>
  <si>
    <t>=IF($M4346&lt;=$T$18,U4346,0)</t>
  </si>
  <si>
    <t>="""NAV Direct"",""CRONUS JetCorp USA"",""21"",""1"",""444480"""</t>
  </si>
  <si>
    <t>=E4345</t>
  </si>
  <si>
    <t>=StartDate-$M4347+1</t>
  </si>
  <si>
    <t>=SUM(P4347:T4347)</t>
  </si>
  <si>
    <t>=IF($M4347&gt;=$P$18,U4347,0)</t>
  </si>
  <si>
    <t>=IF(AND($M4347&gt;=$Q$16,$M4347&lt;=$Q$18),U4347,0)</t>
  </si>
  <si>
    <t>=IF(AND($M4347&gt;=$R$16,$M4347&lt;=$R$18),U4347,0)</t>
  </si>
  <si>
    <t>=IF(AND($M4347&gt;=$S$16,$M4347&lt;=$S$18),U4347,0)</t>
  </si>
  <si>
    <t>=IF($M4347&lt;=$T$18,U4347,0)</t>
  </si>
  <si>
    <t>="""NAV Direct"",""CRONUS JetCorp USA"",""21"",""1"",""444593"""</t>
  </si>
  <si>
    <t>=E4346</t>
  </si>
  <si>
    <t>=StartDate-$M4348+1</t>
  </si>
  <si>
    <t>=SUM(P4348:T4348)</t>
  </si>
  <si>
    <t>=IF($M4348&gt;=$P$18,U4348,0)</t>
  </si>
  <si>
    <t>=IF(AND($M4348&gt;=$Q$16,$M4348&lt;=$Q$18),U4348,0)</t>
  </si>
  <si>
    <t>=IF(AND($M4348&gt;=$R$16,$M4348&lt;=$R$18),U4348,0)</t>
  </si>
  <si>
    <t>=IF(AND($M4348&gt;=$S$16,$M4348&lt;=$S$18),U4348,0)</t>
  </si>
  <si>
    <t>=IF($M4348&lt;=$T$18,U4348,0)</t>
  </si>
  <si>
    <t>="""NAV Direct"",""CRONUS JetCorp USA"",""21"",""1"",""444748"""</t>
  </si>
  <si>
    <t>=E4347</t>
  </si>
  <si>
    <t>=StartDate-$M4349+1</t>
  </si>
  <si>
    <t>=SUM(P4349:T4349)</t>
  </si>
  <si>
    <t>=IF($M4349&gt;=$P$18,U4349,0)</t>
  </si>
  <si>
    <t>=IF(AND($M4349&gt;=$Q$16,$M4349&lt;=$Q$18),U4349,0)</t>
  </si>
  <si>
    <t>=IF(AND($M4349&gt;=$R$16,$M4349&lt;=$R$18),U4349,0)</t>
  </si>
  <si>
    <t>=IF(AND($M4349&gt;=$S$16,$M4349&lt;=$S$18),U4349,0)</t>
  </si>
  <si>
    <t>=IF($M4349&lt;=$T$18,U4349,0)</t>
  </si>
  <si>
    <t>="""NAV Direct"",""CRONUS JetCorp USA"",""21"",""1"",""444765"""</t>
  </si>
  <si>
    <t>=E4348</t>
  </si>
  <si>
    <t>=StartDate-$M4350+1</t>
  </si>
  <si>
    <t>=SUM(P4350:T4350)</t>
  </si>
  <si>
    <t>=IF($M4350&gt;=$P$18,U4350,0)</t>
  </si>
  <si>
    <t>=IF(AND($M4350&gt;=$Q$16,$M4350&lt;=$Q$18),U4350,0)</t>
  </si>
  <si>
    <t>=IF(AND($M4350&gt;=$R$16,$M4350&lt;=$R$18),U4350,0)</t>
  </si>
  <si>
    <t>=IF(AND($M4350&gt;=$S$16,$M4350&lt;=$S$18),U4350,0)</t>
  </si>
  <si>
    <t>=IF($M4350&lt;=$T$18,U4350,0)</t>
  </si>
  <si>
    <t>="""NAV Direct"",""CRONUS JetCorp USA"",""18"",""1"",""C100122"""</t>
  </si>
  <si>
    <t>=H4353</t>
  </si>
  <si>
    <t>=NF($C4353,"1 No.")</t>
  </si>
  <si>
    <t>=NF($C4353,"1 No.")&amp;"  -  "&amp;NF($C4353,"2 Name")</t>
  </si>
  <si>
    <t>=IFERROR(O4353/NF(C4353,"Credit Limit (LCY)"),"")</t>
  </si>
  <si>
    <t>=SUBTOTAL(3,L4354:L4382)</t>
  </si>
  <si>
    <t>=SUBTOTAL(9,O4354:O4382)</t>
  </si>
  <si>
    <t>=SUBTOTAL(9,P4354:P4382)</t>
  </si>
  <si>
    <t>=SUBTOTAL(9,Q4354:Q4382)</t>
  </si>
  <si>
    <t>=SUBTOTAL(9,R4354:R4382)</t>
  </si>
  <si>
    <t>=SUBTOTAL(9,S4354:S4382)</t>
  </si>
  <si>
    <t>=SUBTOTAL(9,T4354:T4382)</t>
  </si>
  <si>
    <t>=C4353</t>
  </si>
  <si>
    <t>=E4353</t>
  </si>
  <si>
    <t>="Contact: "&amp;NF($C4354,"8 Contact")</t>
  </si>
  <si>
    <t>=C4354</t>
  </si>
  <si>
    <t>=E4354</t>
  </si>
  <si>
    <t>=NF($C4355,"102 E-Mail")</t>
  </si>
  <si>
    <t>=NL("Rows","21 Cust. Ledger Entry",,"3 Customer No.","@@"&amp;$E4357,"16 Remaining Amt. (LCY)","&lt;&gt;0")</t>
  </si>
  <si>
    <t>=E4355</t>
  </si>
  <si>
    <t>=StartDate-$M4357+1</t>
  </si>
  <si>
    <t>=SUM(P4357:T4357)</t>
  </si>
  <si>
    <t>=IF($M4357&gt;=$P$18,U4357,0)</t>
  </si>
  <si>
    <t>=IF(AND($M4357&gt;=$Q$16,$M4357&lt;=$Q$18),U4357,0)</t>
  </si>
  <si>
    <t>=IF(AND($M4357&gt;=$R$16,$M4357&lt;=$R$18),U4357,0)</t>
  </si>
  <si>
    <t>=IF(AND($M4357&gt;=$S$16,$M4357&lt;=$S$18),U4357,0)</t>
  </si>
  <si>
    <t>=IF($M4357&lt;=$T$18,U4357,0)</t>
  </si>
  <si>
    <t>="""NAV Direct"",""CRONUS JetCorp USA"",""21"",""1"",""209052"""</t>
  </si>
  <si>
    <t>=E4356</t>
  </si>
  <si>
    <t>=StartDate-$M4358+1</t>
  </si>
  <si>
    <t>=SUM(P4358:T4358)</t>
  </si>
  <si>
    <t>=IF($M4358&gt;=$P$18,U4358,0)</t>
  </si>
  <si>
    <t>=IF(AND($M4358&gt;=$Q$16,$M4358&lt;=$Q$18),U4358,0)</t>
  </si>
  <si>
    <t>=IF(AND($M4358&gt;=$R$16,$M4358&lt;=$R$18),U4358,0)</t>
  </si>
  <si>
    <t>=IF(AND($M4358&gt;=$S$16,$M4358&lt;=$S$18),U4358,0)</t>
  </si>
  <si>
    <t>=IF($M4358&lt;=$T$18,U4358,0)</t>
  </si>
  <si>
    <t>="""NAV Direct"",""CRONUS JetCorp USA"",""21"",""1"",""209288"""</t>
  </si>
  <si>
    <t>=E4357</t>
  </si>
  <si>
    <t>=StartDate-$M4359+1</t>
  </si>
  <si>
    <t>=SUM(P4359:T4359)</t>
  </si>
  <si>
    <t>=IF($M4359&gt;=$P$18,U4359,0)</t>
  </si>
  <si>
    <t>=IF(AND($M4359&gt;=$Q$16,$M4359&lt;=$Q$18),U4359,0)</t>
  </si>
  <si>
    <t>=IF(AND($M4359&gt;=$R$16,$M4359&lt;=$R$18),U4359,0)</t>
  </si>
  <si>
    <t>=IF(AND($M4359&gt;=$S$16,$M4359&lt;=$S$18),U4359,0)</t>
  </si>
  <si>
    <t>=IF($M4359&lt;=$T$18,U4359,0)</t>
  </si>
  <si>
    <t>="""NAV Direct"",""CRONUS JetCorp USA"",""21"",""1"",""209436"""</t>
  </si>
  <si>
    <t>=E4358</t>
  </si>
  <si>
    <t>=StartDate-$M4360+1</t>
  </si>
  <si>
    <t>=SUM(P4360:T4360)</t>
  </si>
  <si>
    <t>=IF($M4360&gt;=$P$18,U4360,0)</t>
  </si>
  <si>
    <t>=IF(AND($M4360&gt;=$Q$16,$M4360&lt;=$Q$18),U4360,0)</t>
  </si>
  <si>
    <t>=IF(AND($M4360&gt;=$R$16,$M4360&lt;=$R$18),U4360,0)</t>
  </si>
  <si>
    <t>=IF(AND($M4360&gt;=$S$16,$M4360&lt;=$S$18),U4360,0)</t>
  </si>
  <si>
    <t>=IF($M4360&lt;=$T$18,U4360,0)</t>
  </si>
  <si>
    <t>="""NAV Direct"",""CRONUS JetCorp USA"",""21"",""1"",""210033"""</t>
  </si>
  <si>
    <t>=E4359</t>
  </si>
  <si>
    <t>=StartDate-$M4361+1</t>
  </si>
  <si>
    <t>=SUM(P4361:T4361)</t>
  </si>
  <si>
    <t>=IF($M4361&gt;=$P$18,U4361,0)</t>
  </si>
  <si>
    <t>=IF(AND($M4361&gt;=$Q$16,$M4361&lt;=$Q$18),U4361,0)</t>
  </si>
  <si>
    <t>=IF(AND($M4361&gt;=$R$16,$M4361&lt;=$R$18),U4361,0)</t>
  </si>
  <si>
    <t>=IF(AND($M4361&gt;=$S$16,$M4361&lt;=$S$18),U4361,0)</t>
  </si>
  <si>
    <t>=IF($M4361&lt;=$T$18,U4361,0)</t>
  </si>
  <si>
    <t>="""NAV Direct"",""CRONUS JetCorp USA"",""21"",""1"",""210100"""</t>
  </si>
  <si>
    <t>=E4360</t>
  </si>
  <si>
    <t>=StartDate-$M4362+1</t>
  </si>
  <si>
    <t>=SUM(P4362:T4362)</t>
  </si>
  <si>
    <t>=IF($M4362&gt;=$P$18,U4362,0)</t>
  </si>
  <si>
    <t>=IF(AND($M4362&gt;=$Q$16,$M4362&lt;=$Q$18),U4362,0)</t>
  </si>
  <si>
    <t>=IF(AND($M4362&gt;=$R$16,$M4362&lt;=$R$18),U4362,0)</t>
  </si>
  <si>
    <t>=IF(AND($M4362&gt;=$S$16,$M4362&lt;=$S$18),U4362,0)</t>
  </si>
  <si>
    <t>=IF($M4362&lt;=$T$18,U4362,0)</t>
  </si>
  <si>
    <t>="""NAV Direct"",""CRONUS JetCorp USA"",""21"",""1"",""210233"""</t>
  </si>
  <si>
    <t>=E4361</t>
  </si>
  <si>
    <t>=StartDate-$M4363+1</t>
  </si>
  <si>
    <t>=SUM(P4363:T4363)</t>
  </si>
  <si>
    <t>=IF($M4363&gt;=$P$18,U4363,0)</t>
  </si>
  <si>
    <t>=IF(AND($M4363&gt;=$Q$16,$M4363&lt;=$Q$18),U4363,0)</t>
  </si>
  <si>
    <t>=IF(AND($M4363&gt;=$R$16,$M4363&lt;=$R$18),U4363,0)</t>
  </si>
  <si>
    <t>=IF(AND($M4363&gt;=$S$16,$M4363&lt;=$S$18),U4363,0)</t>
  </si>
  <si>
    <t>=IF($M4363&lt;=$T$18,U4363,0)</t>
  </si>
  <si>
    <t>="""NAV Direct"",""CRONUS JetCorp USA"",""21"",""1"",""210280"""</t>
  </si>
  <si>
    <t>=E4362</t>
  </si>
  <si>
    <t>=StartDate-$M4364+1</t>
  </si>
  <si>
    <t>=SUM(P4364:T4364)</t>
  </si>
  <si>
    <t>=IF($M4364&gt;=$P$18,U4364,0)</t>
  </si>
  <si>
    <t>=IF(AND($M4364&gt;=$Q$16,$M4364&lt;=$Q$18),U4364,0)</t>
  </si>
  <si>
    <t>=IF(AND($M4364&gt;=$R$16,$M4364&lt;=$R$18),U4364,0)</t>
  </si>
  <si>
    <t>=IF(AND($M4364&gt;=$S$16,$M4364&lt;=$S$18),U4364,0)</t>
  </si>
  <si>
    <t>=IF($M4364&lt;=$T$18,U4364,0)</t>
  </si>
  <si>
    <t>="""NAV Direct"",""CRONUS JetCorp USA"",""21"",""1"",""210610"""</t>
  </si>
  <si>
    <t>=E4363</t>
  </si>
  <si>
    <t>=StartDate-$M4365+1</t>
  </si>
  <si>
    <t>=SUM(P4365:T4365)</t>
  </si>
  <si>
    <t>=IF($M4365&gt;=$P$18,U4365,0)</t>
  </si>
  <si>
    <t>=IF(AND($M4365&gt;=$Q$16,$M4365&lt;=$Q$18),U4365,0)</t>
  </si>
  <si>
    <t>=IF(AND($M4365&gt;=$R$16,$M4365&lt;=$R$18),U4365,0)</t>
  </si>
  <si>
    <t>=IF(AND($M4365&gt;=$S$16,$M4365&lt;=$S$18),U4365,0)</t>
  </si>
  <si>
    <t>=IF($M4365&lt;=$T$18,U4365,0)</t>
  </si>
  <si>
    <t>="""NAV Direct"",""CRONUS JetCorp USA"",""21"",""1"",""211300"""</t>
  </si>
  <si>
    <t>=E4364</t>
  </si>
  <si>
    <t>=StartDate-$M4366+1</t>
  </si>
  <si>
    <t>=SUM(P4366:T4366)</t>
  </si>
  <si>
    <t>=IF($M4366&gt;=$P$18,U4366,0)</t>
  </si>
  <si>
    <t>=IF(AND($M4366&gt;=$Q$16,$M4366&lt;=$Q$18),U4366,0)</t>
  </si>
  <si>
    <t>=IF(AND($M4366&gt;=$R$16,$M4366&lt;=$R$18),U4366,0)</t>
  </si>
  <si>
    <t>=IF(AND($M4366&gt;=$S$16,$M4366&lt;=$S$18),U4366,0)</t>
  </si>
  <si>
    <t>=IF($M4366&lt;=$T$18,U4366,0)</t>
  </si>
  <si>
    <t>="""NAV Direct"",""CRONUS JetCorp USA"",""21"",""1"",""211435"""</t>
  </si>
  <si>
    <t>=E4365</t>
  </si>
  <si>
    <t>=StartDate-$M4367+1</t>
  </si>
  <si>
    <t>=SUM(P4367:T4367)</t>
  </si>
  <si>
    <t>=IF($M4367&gt;=$P$18,U4367,0)</t>
  </si>
  <si>
    <t>=IF(AND($M4367&gt;=$Q$16,$M4367&lt;=$Q$18),U4367,0)</t>
  </si>
  <si>
    <t>=IF(AND($M4367&gt;=$R$16,$M4367&lt;=$R$18),U4367,0)</t>
  </si>
  <si>
    <t>=IF(AND($M4367&gt;=$S$16,$M4367&lt;=$S$18),U4367,0)</t>
  </si>
  <si>
    <t>=IF($M4367&lt;=$T$18,U4367,0)</t>
  </si>
  <si>
    <t>="""NAV Direct"",""CRONUS JetCorp USA"",""21"",""1"",""211490"""</t>
  </si>
  <si>
    <t>=E4366</t>
  </si>
  <si>
    <t>=StartDate-$M4368+1</t>
  </si>
  <si>
    <t>=SUM(P4368:T4368)</t>
  </si>
  <si>
    <t>=IF($M4368&gt;=$P$18,U4368,0)</t>
  </si>
  <si>
    <t>=IF(AND($M4368&gt;=$Q$16,$M4368&lt;=$Q$18),U4368,0)</t>
  </si>
  <si>
    <t>=IF(AND($M4368&gt;=$R$16,$M4368&lt;=$R$18),U4368,0)</t>
  </si>
  <si>
    <t>=IF(AND($M4368&gt;=$S$16,$M4368&lt;=$S$18),U4368,0)</t>
  </si>
  <si>
    <t>=IF($M4368&lt;=$T$18,U4368,0)</t>
  </si>
  <si>
    <t>="""NAV Direct"",""CRONUS JetCorp USA"",""21"",""1"",""211754"""</t>
  </si>
  <si>
    <t>=E4367</t>
  </si>
  <si>
    <t>=StartDate-$M4369+1</t>
  </si>
  <si>
    <t>=SUM(P4369:T4369)</t>
  </si>
  <si>
    <t>=IF($M4369&gt;=$P$18,U4369,0)</t>
  </si>
  <si>
    <t>=IF(AND($M4369&gt;=$Q$16,$M4369&lt;=$Q$18),U4369,0)</t>
  </si>
  <si>
    <t>=IF(AND($M4369&gt;=$R$16,$M4369&lt;=$R$18),U4369,0)</t>
  </si>
  <si>
    <t>=IF(AND($M4369&gt;=$S$16,$M4369&lt;=$S$18),U4369,0)</t>
  </si>
  <si>
    <t>=IF($M4369&lt;=$T$18,U4369,0)</t>
  </si>
  <si>
    <t>="""NAV Direct"",""CRONUS JetCorp USA"",""21"",""1"",""211846"""</t>
  </si>
  <si>
    <t>=E4368</t>
  </si>
  <si>
    <t>=StartDate-$M4370+1</t>
  </si>
  <si>
    <t>=SUM(P4370:T4370)</t>
  </si>
  <si>
    <t>=IF($M4370&gt;=$P$18,U4370,0)</t>
  </si>
  <si>
    <t>=IF(AND($M4370&gt;=$Q$16,$M4370&lt;=$Q$18),U4370,0)</t>
  </si>
  <si>
    <t>=IF(AND($M4370&gt;=$R$16,$M4370&lt;=$R$18),U4370,0)</t>
  </si>
  <si>
    <t>=IF(AND($M4370&gt;=$S$16,$M4370&lt;=$S$18),U4370,0)</t>
  </si>
  <si>
    <t>=IF($M4370&lt;=$T$18,U4370,0)</t>
  </si>
  <si>
    <t>="""NAV Direct"",""CRONUS JetCorp USA"",""21"",""1"",""212065"""</t>
  </si>
  <si>
    <t>=E4369</t>
  </si>
  <si>
    <t>=StartDate-$M4371+1</t>
  </si>
  <si>
    <t>=SUM(P4371:T4371)</t>
  </si>
  <si>
    <t>=IF($M4371&gt;=$P$18,U4371,0)</t>
  </si>
  <si>
    <t>=IF(AND($M4371&gt;=$Q$16,$M4371&lt;=$Q$18),U4371,0)</t>
  </si>
  <si>
    <t>=IF(AND($M4371&gt;=$R$16,$M4371&lt;=$R$18),U4371,0)</t>
  </si>
  <si>
    <t>=IF(AND($M4371&gt;=$S$16,$M4371&lt;=$S$18),U4371,0)</t>
  </si>
  <si>
    <t>=IF($M4371&lt;=$T$18,U4371,0)</t>
  </si>
  <si>
    <t>="""NAV Direct"",""CRONUS JetCorp USA"",""21"",""1"",""212651"""</t>
  </si>
  <si>
    <t>=E4370</t>
  </si>
  <si>
    <t>=StartDate-$M4372+1</t>
  </si>
  <si>
    <t>=SUM(P4372:T4372)</t>
  </si>
  <si>
    <t>=IF($M4372&gt;=$P$18,U4372,0)</t>
  </si>
  <si>
    <t>=IF(AND($M4372&gt;=$Q$16,$M4372&lt;=$Q$18),U4372,0)</t>
  </si>
  <si>
    <t>=IF(AND($M4372&gt;=$R$16,$M4372&lt;=$R$18),U4372,0)</t>
  </si>
  <si>
    <t>=IF(AND($M4372&gt;=$S$16,$M4372&lt;=$S$18),U4372,0)</t>
  </si>
  <si>
    <t>=IF($M4372&lt;=$T$18,U4372,0)</t>
  </si>
  <si>
    <t>="""NAV Direct"",""CRONUS JetCorp USA"",""21"",""1"",""212686"""</t>
  </si>
  <si>
    <t>=E4371</t>
  </si>
  <si>
    <t>=StartDate-$M4373+1</t>
  </si>
  <si>
    <t>=SUM(P4373:T4373)</t>
  </si>
  <si>
    <t>=IF($M4373&gt;=$P$18,U4373,0)</t>
  </si>
  <si>
    <t>=IF(AND($M4373&gt;=$Q$16,$M4373&lt;=$Q$18),U4373,0)</t>
  </si>
  <si>
    <t>=IF(AND($M4373&gt;=$R$16,$M4373&lt;=$R$18),U4373,0)</t>
  </si>
  <si>
    <t>=IF(AND($M4373&gt;=$S$16,$M4373&lt;=$S$18),U4373,0)</t>
  </si>
  <si>
    <t>=IF($M4373&lt;=$T$18,U4373,0)</t>
  </si>
  <si>
    <t>="""NAV Direct"",""CRONUS JetCorp USA"",""21"",""1"",""214090"""</t>
  </si>
  <si>
    <t>=E4372</t>
  </si>
  <si>
    <t>=StartDate-$M4374+1</t>
  </si>
  <si>
    <t>=SUM(P4374:T4374)</t>
  </si>
  <si>
    <t>=IF($M4374&gt;=$P$18,U4374,0)</t>
  </si>
  <si>
    <t>=IF(AND($M4374&gt;=$Q$16,$M4374&lt;=$Q$18),U4374,0)</t>
  </si>
  <si>
    <t>=IF(AND($M4374&gt;=$R$16,$M4374&lt;=$R$18),U4374,0)</t>
  </si>
  <si>
    <t>=IF(AND($M4374&gt;=$S$16,$M4374&lt;=$S$18),U4374,0)</t>
  </si>
  <si>
    <t>=IF($M4374&lt;=$T$18,U4374,0)</t>
  </si>
  <si>
    <t>="""NAV Direct"",""CRONUS JetCorp USA"",""21"",""1"",""429231"""</t>
  </si>
  <si>
    <t>=E4373</t>
  </si>
  <si>
    <t>=StartDate-$M4375+1</t>
  </si>
  <si>
    <t>=SUM(P4375:T4375)</t>
  </si>
  <si>
    <t>=IF($M4375&gt;=$P$18,U4375,0)</t>
  </si>
  <si>
    <t>=IF(AND($M4375&gt;=$Q$16,$M4375&lt;=$Q$18),U4375,0)</t>
  </si>
  <si>
    <t>=IF(AND($M4375&gt;=$R$16,$M4375&lt;=$R$18),U4375,0)</t>
  </si>
  <si>
    <t>=IF(AND($M4375&gt;=$S$16,$M4375&lt;=$S$18),U4375,0)</t>
  </si>
  <si>
    <t>=IF($M4375&lt;=$T$18,U4375,0)</t>
  </si>
  <si>
    <t>="""NAV Direct"",""CRONUS JetCorp USA"",""21"",""1"",""444180"""</t>
  </si>
  <si>
    <t>=E4374</t>
  </si>
  <si>
    <t>=StartDate-$M4376+1</t>
  </si>
  <si>
    <t>=SUM(P4376:T4376)</t>
  </si>
  <si>
    <t>=IF($M4376&gt;=$P$18,U4376,0)</t>
  </si>
  <si>
    <t>=IF(AND($M4376&gt;=$Q$16,$M4376&lt;=$Q$18),U4376,0)</t>
  </si>
  <si>
    <t>=IF(AND($M4376&gt;=$R$16,$M4376&lt;=$R$18),U4376,0)</t>
  </si>
  <si>
    <t>=IF(AND($M4376&gt;=$S$16,$M4376&lt;=$S$18),U4376,0)</t>
  </si>
  <si>
    <t>=IF($M4376&lt;=$T$18,U4376,0)</t>
  </si>
  <si>
    <t>="""NAV Direct"",""CRONUS JetCorp USA"",""21"",""1"",""444216"""</t>
  </si>
  <si>
    <t>=E4375</t>
  </si>
  <si>
    <t>=StartDate-$M4377+1</t>
  </si>
  <si>
    <t>=SUM(P4377:T4377)</t>
  </si>
  <si>
    <t>=IF($M4377&gt;=$P$18,U4377,0)</t>
  </si>
  <si>
    <t>=IF(AND($M4377&gt;=$Q$16,$M4377&lt;=$Q$18),U4377,0)</t>
  </si>
  <si>
    <t>=IF(AND($M4377&gt;=$R$16,$M4377&lt;=$R$18),U4377,0)</t>
  </si>
  <si>
    <t>=IF(AND($M4377&gt;=$S$16,$M4377&lt;=$S$18),U4377,0)</t>
  </si>
  <si>
    <t>=IF($M4377&lt;=$T$18,U4377,0)</t>
  </si>
  <si>
    <t>="""NAV Direct"",""CRONUS JetCorp USA"",""21"",""1"",""444445"""</t>
  </si>
  <si>
    <t>=E4376</t>
  </si>
  <si>
    <t>=StartDate-$M4378+1</t>
  </si>
  <si>
    <t>=SUM(P4378:T4378)</t>
  </si>
  <si>
    <t>=IF($M4378&gt;=$P$18,U4378,0)</t>
  </si>
  <si>
    <t>=IF(AND($M4378&gt;=$Q$16,$M4378&lt;=$Q$18),U4378,0)</t>
  </si>
  <si>
    <t>=IF(AND($M4378&gt;=$R$16,$M4378&lt;=$R$18),U4378,0)</t>
  </si>
  <si>
    <t>=IF(AND($M4378&gt;=$S$16,$M4378&lt;=$S$18),U4378,0)</t>
  </si>
  <si>
    <t>=IF($M4378&lt;=$T$18,U4378,0)</t>
  </si>
  <si>
    <t>="""NAV Direct"",""CRONUS JetCorp USA"",""21"",""1"",""444780"""</t>
  </si>
  <si>
    <t>=E4377</t>
  </si>
  <si>
    <t>=StartDate-$M4379+1</t>
  </si>
  <si>
    <t>=SUM(P4379:T4379)</t>
  </si>
  <si>
    <t>=IF($M4379&gt;=$P$18,U4379,0)</t>
  </si>
  <si>
    <t>=IF(AND($M4379&gt;=$Q$16,$M4379&lt;=$Q$18),U4379,0)</t>
  </si>
  <si>
    <t>=IF(AND($M4379&gt;=$R$16,$M4379&lt;=$R$18),U4379,0)</t>
  </si>
  <si>
    <t>=IF(AND($M4379&gt;=$S$16,$M4379&lt;=$S$18),U4379,0)</t>
  </si>
  <si>
    <t>=IF($M4379&lt;=$T$18,U4379,0)</t>
  </si>
  <si>
    <t>="""NAV Direct"",""CRONUS JetCorp USA"",""21"",""1"",""444795"""</t>
  </si>
  <si>
    <t>=E4378</t>
  </si>
  <si>
    <t>=StartDate-$M4380+1</t>
  </si>
  <si>
    <t>=SUM(P4380:T4380)</t>
  </si>
  <si>
    <t>=IF($M4380&gt;=$P$18,U4380,0)</t>
  </si>
  <si>
    <t>=IF(AND($M4380&gt;=$Q$16,$M4380&lt;=$Q$18),U4380,0)</t>
  </si>
  <si>
    <t>=IF(AND($M4380&gt;=$R$16,$M4380&lt;=$R$18),U4380,0)</t>
  </si>
  <si>
    <t>=IF(AND($M4380&gt;=$S$16,$M4380&lt;=$S$18),U4380,0)</t>
  </si>
  <si>
    <t>=IF($M4380&lt;=$T$18,U4380,0)</t>
  </si>
  <si>
    <t>="""NAV Direct"",""CRONUS JetCorp USA"",""21"",""1"",""444816"""</t>
  </si>
  <si>
    <t>=E4379</t>
  </si>
  <si>
    <t>=StartDate-$M4381+1</t>
  </si>
  <si>
    <t>=SUM(P4381:T4381)</t>
  </si>
  <si>
    <t>=IF($M4381&gt;=$P$18,U4381,0)</t>
  </si>
  <si>
    <t>=IF(AND($M4381&gt;=$Q$16,$M4381&lt;=$Q$18),U4381,0)</t>
  </si>
  <si>
    <t>=IF(AND($M4381&gt;=$R$16,$M4381&lt;=$R$18),U4381,0)</t>
  </si>
  <si>
    <t>=IF(AND($M4381&gt;=$S$16,$M4381&lt;=$S$18),U4381,0)</t>
  </si>
  <si>
    <t>=IF($M4381&lt;=$T$18,U4381,0)</t>
  </si>
  <si>
    <t>="""NAV Direct"",""CRONUS JetCorp USA"",""18"",""1"",""C100124"""</t>
  </si>
  <si>
    <t>=H4384</t>
  </si>
  <si>
    <t>=NF($C4384,"1 No.")</t>
  </si>
  <si>
    <t>=NF($C4384,"1 No.")&amp;"  -  "&amp;NF($C4384,"2 Name")</t>
  </si>
  <si>
    <t>=IFERROR(O4384/NF(C4384,"Credit Limit (LCY)"),"")</t>
  </si>
  <si>
    <t>=SUBTOTAL(3,L4385:L4402)</t>
  </si>
  <si>
    <t>=SUBTOTAL(9,O4385:O4402)</t>
  </si>
  <si>
    <t>=SUBTOTAL(9,P4385:P4402)</t>
  </si>
  <si>
    <t>=SUBTOTAL(9,Q4385:Q4402)</t>
  </si>
  <si>
    <t>=SUBTOTAL(9,R4385:R4402)</t>
  </si>
  <si>
    <t>=SUBTOTAL(9,S4385:S4402)</t>
  </si>
  <si>
    <t>=SUBTOTAL(9,T4385:T4402)</t>
  </si>
  <si>
    <t>=C4384</t>
  </si>
  <si>
    <t>=E4384</t>
  </si>
  <si>
    <t>="Contact: "&amp;NF($C4385,"8 Contact")</t>
  </si>
  <si>
    <t>=C4385</t>
  </si>
  <si>
    <t>=E4385</t>
  </si>
  <si>
    <t>=NF($C4386,"102 E-Mail")</t>
  </si>
  <si>
    <t>=NL("Rows","21 Cust. Ledger Entry",,"3 Customer No.","@@"&amp;$E4388,"16 Remaining Amt. (LCY)","&lt;&gt;0")</t>
  </si>
  <si>
    <t>=E4386</t>
  </si>
  <si>
    <t>=StartDate-$M4388+1</t>
  </si>
  <si>
    <t>=SUM(P4388:T4388)</t>
  </si>
  <si>
    <t>=IF($M4388&gt;=$P$18,U4388,0)</t>
  </si>
  <si>
    <t>=IF(AND($M4388&gt;=$Q$16,$M4388&lt;=$Q$18),U4388,0)</t>
  </si>
  <si>
    <t>=IF(AND($M4388&gt;=$R$16,$M4388&lt;=$R$18),U4388,0)</t>
  </si>
  <si>
    <t>=IF(AND($M4388&gt;=$S$16,$M4388&lt;=$S$18),U4388,0)</t>
  </si>
  <si>
    <t>=IF($M4388&lt;=$T$18,U4388,0)</t>
  </si>
  <si>
    <t>="""NAV Direct"",""CRONUS JetCorp USA"",""21"",""1"",""211155"""</t>
  </si>
  <si>
    <t>=E4387</t>
  </si>
  <si>
    <t>=StartDate-$M4389+1</t>
  </si>
  <si>
    <t>=SUM(P4389:T4389)</t>
  </si>
  <si>
    <t>=IF($M4389&gt;=$P$18,U4389,0)</t>
  </si>
  <si>
    <t>=IF(AND($M4389&gt;=$Q$16,$M4389&lt;=$Q$18),U4389,0)</t>
  </si>
  <si>
    <t>=IF(AND($M4389&gt;=$R$16,$M4389&lt;=$R$18),U4389,0)</t>
  </si>
  <si>
    <t>=IF(AND($M4389&gt;=$S$16,$M4389&lt;=$S$18),U4389,0)</t>
  </si>
  <si>
    <t>=IF($M4389&lt;=$T$18,U4389,0)</t>
  </si>
  <si>
    <t>="""NAV Direct"",""CRONUS JetCorp USA"",""21"",""1"",""211208"""</t>
  </si>
  <si>
    <t>=E4388</t>
  </si>
  <si>
    <t>=StartDate-$M4390+1</t>
  </si>
  <si>
    <t>=SUM(P4390:T4390)</t>
  </si>
  <si>
    <t>=IF($M4390&gt;=$P$18,U4390,0)</t>
  </si>
  <si>
    <t>=IF(AND($M4390&gt;=$Q$16,$M4390&lt;=$Q$18),U4390,0)</t>
  </si>
  <si>
    <t>=IF(AND($M4390&gt;=$R$16,$M4390&lt;=$R$18),U4390,0)</t>
  </si>
  <si>
    <t>=IF(AND($M4390&gt;=$S$16,$M4390&lt;=$S$18),U4390,0)</t>
  </si>
  <si>
    <t>=IF($M4390&lt;=$T$18,U4390,0)</t>
  </si>
  <si>
    <t>="""NAV Direct"",""CRONUS JetCorp USA"",""21"",""1"",""211678"""</t>
  </si>
  <si>
    <t>=E4389</t>
  </si>
  <si>
    <t>=StartDate-$M4391+1</t>
  </si>
  <si>
    <t>=SUM(P4391:T4391)</t>
  </si>
  <si>
    <t>=IF($M4391&gt;=$P$18,U4391,0)</t>
  </si>
  <si>
    <t>=IF(AND($M4391&gt;=$Q$16,$M4391&lt;=$Q$18),U4391,0)</t>
  </si>
  <si>
    <t>=IF(AND($M4391&gt;=$R$16,$M4391&lt;=$R$18),U4391,0)</t>
  </si>
  <si>
    <t>=IF(AND($M4391&gt;=$S$16,$M4391&lt;=$S$18),U4391,0)</t>
  </si>
  <si>
    <t>=IF($M4391&lt;=$T$18,U4391,0)</t>
  </si>
  <si>
    <t>="""NAV Direct"",""CRONUS JetCorp USA"",""21"",""1"",""212106"""</t>
  </si>
  <si>
    <t>=E4390</t>
  </si>
  <si>
    <t>=StartDate-$M4392+1</t>
  </si>
  <si>
    <t>=SUM(P4392:T4392)</t>
  </si>
  <si>
    <t>=IF($M4392&gt;=$P$18,U4392,0)</t>
  </si>
  <si>
    <t>=IF(AND($M4392&gt;=$Q$16,$M4392&lt;=$Q$18),U4392,0)</t>
  </si>
  <si>
    <t>=IF(AND($M4392&gt;=$R$16,$M4392&lt;=$R$18),U4392,0)</t>
  </si>
  <si>
    <t>=IF(AND($M4392&gt;=$S$16,$M4392&lt;=$S$18),U4392,0)</t>
  </si>
  <si>
    <t>=IF($M4392&lt;=$T$18,U4392,0)</t>
  </si>
  <si>
    <t>="""NAV Direct"",""CRONUS JetCorp USA"",""21"",""1"",""212149"""</t>
  </si>
  <si>
    <t>=E4391</t>
  </si>
  <si>
    <t>=StartDate-$M4393+1</t>
  </si>
  <si>
    <t>=SUM(P4393:T4393)</t>
  </si>
  <si>
    <t>=IF($M4393&gt;=$P$18,U4393,0)</t>
  </si>
  <si>
    <t>=IF(AND($M4393&gt;=$Q$16,$M4393&lt;=$Q$18),U4393,0)</t>
  </si>
  <si>
    <t>=IF(AND($M4393&gt;=$R$16,$M4393&lt;=$R$18),U4393,0)</t>
  </si>
  <si>
    <t>=IF(AND($M4393&gt;=$S$16,$M4393&lt;=$S$18),U4393,0)</t>
  </si>
  <si>
    <t>=IF($M4393&lt;=$T$18,U4393,0)</t>
  </si>
  <si>
    <t>="""NAV Direct"",""CRONUS JetCorp USA"",""21"",""1"",""212278"""</t>
  </si>
  <si>
    <t>=E4392</t>
  </si>
  <si>
    <t>=StartDate-$M4394+1</t>
  </si>
  <si>
    <t>=SUM(P4394:T4394)</t>
  </si>
  <si>
    <t>=IF($M4394&gt;=$P$18,U4394,0)</t>
  </si>
  <si>
    <t>=IF(AND($M4394&gt;=$Q$16,$M4394&lt;=$Q$18),U4394,0)</t>
  </si>
  <si>
    <t>=IF(AND($M4394&gt;=$R$16,$M4394&lt;=$R$18),U4394,0)</t>
  </si>
  <si>
    <t>=IF(AND($M4394&gt;=$S$16,$M4394&lt;=$S$18),U4394,0)</t>
  </si>
  <si>
    <t>=IF($M4394&lt;=$T$18,U4394,0)</t>
  </si>
  <si>
    <t>="""NAV Direct"",""CRONUS JetCorp USA"",""21"",""1"",""212903"""</t>
  </si>
  <si>
    <t>=E4393</t>
  </si>
  <si>
    <t>=StartDate-$M4395+1</t>
  </si>
  <si>
    <t>=SUM(P4395:T4395)</t>
  </si>
  <si>
    <t>=IF($M4395&gt;=$P$18,U4395,0)</t>
  </si>
  <si>
    <t>=IF(AND($M4395&gt;=$Q$16,$M4395&lt;=$Q$18),U4395,0)</t>
  </si>
  <si>
    <t>=IF(AND($M4395&gt;=$R$16,$M4395&lt;=$R$18),U4395,0)</t>
  </si>
  <si>
    <t>=IF(AND($M4395&gt;=$S$16,$M4395&lt;=$S$18),U4395,0)</t>
  </si>
  <si>
    <t>=IF($M4395&lt;=$T$18,U4395,0)</t>
  </si>
  <si>
    <t>="""NAV Direct"",""CRONUS JetCorp USA"",""21"",""1"",""213044"""</t>
  </si>
  <si>
    <t>=E4394</t>
  </si>
  <si>
    <t>=StartDate-$M4396+1</t>
  </si>
  <si>
    <t>=SUM(P4396:T4396)</t>
  </si>
  <si>
    <t>=IF($M4396&gt;=$P$18,U4396,0)</t>
  </si>
  <si>
    <t>=IF(AND($M4396&gt;=$Q$16,$M4396&lt;=$Q$18),U4396,0)</t>
  </si>
  <si>
    <t>=IF(AND($M4396&gt;=$R$16,$M4396&lt;=$R$18),U4396,0)</t>
  </si>
  <si>
    <t>=IF(AND($M4396&gt;=$S$16,$M4396&lt;=$S$18),U4396,0)</t>
  </si>
  <si>
    <t>=IF($M4396&lt;=$T$18,U4396,0)</t>
  </si>
  <si>
    <t>="""NAV Direct"",""CRONUS JetCorp USA"",""21"",""1"",""213511"""</t>
  </si>
  <si>
    <t>=E4395</t>
  </si>
  <si>
    <t>=StartDate-$M4397+1</t>
  </si>
  <si>
    <t>=SUM(P4397:T4397)</t>
  </si>
  <si>
    <t>=IF($M4397&gt;=$P$18,U4397,0)</t>
  </si>
  <si>
    <t>=IF(AND($M4397&gt;=$Q$16,$M4397&lt;=$Q$18),U4397,0)</t>
  </si>
  <si>
    <t>=IF(AND($M4397&gt;=$R$16,$M4397&lt;=$R$18),U4397,0)</t>
  </si>
  <si>
    <t>=IF(AND($M4397&gt;=$S$16,$M4397&lt;=$S$18),U4397,0)</t>
  </si>
  <si>
    <t>=IF($M4397&lt;=$T$18,U4397,0)</t>
  </si>
  <si>
    <t>="""NAV Direct"",""CRONUS JetCorp USA"",""21"",""1"",""213825"""</t>
  </si>
  <si>
    <t>=E4396</t>
  </si>
  <si>
    <t>=StartDate-$M4398+1</t>
  </si>
  <si>
    <t>=SUM(P4398:T4398)</t>
  </si>
  <si>
    <t>=IF($M4398&gt;=$P$18,U4398,0)</t>
  </si>
  <si>
    <t>=IF(AND($M4398&gt;=$Q$16,$M4398&lt;=$Q$18),U4398,0)</t>
  </si>
  <si>
    <t>=IF(AND($M4398&gt;=$R$16,$M4398&lt;=$R$18),U4398,0)</t>
  </si>
  <si>
    <t>=IF(AND($M4398&gt;=$S$16,$M4398&lt;=$S$18),U4398,0)</t>
  </si>
  <si>
    <t>=IF($M4398&lt;=$T$18,U4398,0)</t>
  </si>
  <si>
    <t>="""NAV Direct"",""CRONUS JetCorp USA"",""21"",""1"",""429190"""</t>
  </si>
  <si>
    <t>=E4397</t>
  </si>
  <si>
    <t>=StartDate-$M4399+1</t>
  </si>
  <si>
    <t>=SUM(P4399:T4399)</t>
  </si>
  <si>
    <t>=IF($M4399&gt;=$P$18,U4399,0)</t>
  </si>
  <si>
    <t>=IF(AND($M4399&gt;=$Q$16,$M4399&lt;=$Q$18),U4399,0)</t>
  </si>
  <si>
    <t>=IF(AND($M4399&gt;=$R$16,$M4399&lt;=$R$18),U4399,0)</t>
  </si>
  <si>
    <t>=IF(AND($M4399&gt;=$S$16,$M4399&lt;=$S$18),U4399,0)</t>
  </si>
  <si>
    <t>=IF($M4399&lt;=$T$18,U4399,0)</t>
  </si>
  <si>
    <t>="""NAV Direct"",""CRONUS JetCorp USA"",""21"",""1"",""444360"""</t>
  </si>
  <si>
    <t>=E4398</t>
  </si>
  <si>
    <t>=StartDate-$M4400+1</t>
  </si>
  <si>
    <t>=SUM(P4400:T4400)</t>
  </si>
  <si>
    <t>=IF($M4400&gt;=$P$18,U4400,0)</t>
  </si>
  <si>
    <t>=IF(AND($M4400&gt;=$Q$16,$M4400&lt;=$Q$18),U4400,0)</t>
  </si>
  <si>
    <t>=IF(AND($M4400&gt;=$R$16,$M4400&lt;=$R$18),U4400,0)</t>
  </si>
  <si>
    <t>=IF(AND($M4400&gt;=$S$16,$M4400&lt;=$S$18),U4400,0)</t>
  </si>
  <si>
    <t>=IF($M4400&lt;=$T$18,U4400,0)</t>
  </si>
  <si>
    <t>="""NAV Direct"",""CRONUS JetCorp USA"",""21"",""1"",""444563"""</t>
  </si>
  <si>
    <t>=E4399</t>
  </si>
  <si>
    <t>=StartDate-$M4401+1</t>
  </si>
  <si>
    <t>=SUM(P4401:T4401)</t>
  </si>
  <si>
    <t>=IF($M4401&gt;=$P$18,U4401,0)</t>
  </si>
  <si>
    <t>=IF(AND($M4401&gt;=$Q$16,$M4401&lt;=$Q$18),U4401,0)</t>
  </si>
  <si>
    <t>=IF(AND($M4401&gt;=$R$16,$M4401&lt;=$R$18),U4401,0)</t>
  </si>
  <si>
    <t>=IF(AND($M4401&gt;=$S$16,$M4401&lt;=$S$18),U4401,0)</t>
  </si>
  <si>
    <t>=IF($M4401&lt;=$T$18,U4401,0)</t>
  </si>
  <si>
    <t>="""NAV Direct"",""CRONUS JetCorp USA"",""18"",""1"",""C100125"""</t>
  </si>
  <si>
    <t>=H4404</t>
  </si>
  <si>
    <t>=NF($C4404,"1 No.")</t>
  </si>
  <si>
    <t>=NF($C4404,"1 No.")&amp;"  -  "&amp;NF($C4404,"2 Name")</t>
  </si>
  <si>
    <t>=IFERROR(O4404/NF(C4404,"Credit Limit (LCY)"),"")</t>
  </si>
  <si>
    <t>=SUBTOTAL(3,L4405:L4426)</t>
  </si>
  <si>
    <t>=SUBTOTAL(9,O4405:O4426)</t>
  </si>
  <si>
    <t>=SUBTOTAL(9,P4405:P4426)</t>
  </si>
  <si>
    <t>=SUBTOTAL(9,Q4405:Q4426)</t>
  </si>
  <si>
    <t>=SUBTOTAL(9,R4405:R4426)</t>
  </si>
  <si>
    <t>=SUBTOTAL(9,S4405:S4426)</t>
  </si>
  <si>
    <t>=SUBTOTAL(9,T4405:T4426)</t>
  </si>
  <si>
    <t>=C4404</t>
  </si>
  <si>
    <t>=E4404</t>
  </si>
  <si>
    <t>="Contact: "&amp;NF($C4405,"8 Contact")</t>
  </si>
  <si>
    <t>=C4405</t>
  </si>
  <si>
    <t>=E4405</t>
  </si>
  <si>
    <t>=NF($C4406,"102 E-Mail")</t>
  </si>
  <si>
    <t>=NL("Rows","21 Cust. Ledger Entry",,"3 Customer No.","@@"&amp;$E4408,"16 Remaining Amt. (LCY)","&lt;&gt;0")</t>
  </si>
  <si>
    <t>=E4406</t>
  </si>
  <si>
    <t>=StartDate-$M4408+1</t>
  </si>
  <si>
    <t>=SUM(P4408:T4408)</t>
  </si>
  <si>
    <t>=IF($M4408&gt;=$P$18,U4408,0)</t>
  </si>
  <si>
    <t>=IF(AND($M4408&gt;=$Q$16,$M4408&lt;=$Q$18),U4408,0)</t>
  </si>
  <si>
    <t>=IF(AND($M4408&gt;=$R$16,$M4408&lt;=$R$18),U4408,0)</t>
  </si>
  <si>
    <t>=IF(AND($M4408&gt;=$S$16,$M4408&lt;=$S$18),U4408,0)</t>
  </si>
  <si>
    <t>=IF($M4408&lt;=$T$18,U4408,0)</t>
  </si>
  <si>
    <t>="""NAV Direct"",""CRONUS JetCorp USA"",""21"",""1"",""209366"""</t>
  </si>
  <si>
    <t>=E4407</t>
  </si>
  <si>
    <t>=StartDate-$M4409+1</t>
  </si>
  <si>
    <t>=SUM(P4409:T4409)</t>
  </si>
  <si>
    <t>=IF($M4409&gt;=$P$18,U4409,0)</t>
  </si>
  <si>
    <t>=IF(AND($M4409&gt;=$Q$16,$M4409&lt;=$Q$18),U4409,0)</t>
  </si>
  <si>
    <t>=IF(AND($M4409&gt;=$R$16,$M4409&lt;=$R$18),U4409,0)</t>
  </si>
  <si>
    <t>=IF(AND($M4409&gt;=$S$16,$M4409&lt;=$S$18),U4409,0)</t>
  </si>
  <si>
    <t>=IF($M4409&lt;=$T$18,U4409,0)</t>
  </si>
  <si>
    <t>="""NAV Direct"",""CRONUS JetCorp USA"",""21"",""1"",""209399"""</t>
  </si>
  <si>
    <t>=E4408</t>
  </si>
  <si>
    <t>=StartDate-$M4410+1</t>
  </si>
  <si>
    <t>=SUM(P4410:T4410)</t>
  </si>
  <si>
    <t>=IF($M4410&gt;=$P$18,U4410,0)</t>
  </si>
  <si>
    <t>=IF(AND($M4410&gt;=$Q$16,$M4410&lt;=$Q$18),U4410,0)</t>
  </si>
  <si>
    <t>=IF(AND($M4410&gt;=$R$16,$M4410&lt;=$R$18),U4410,0)</t>
  </si>
  <si>
    <t>=IF(AND($M4410&gt;=$S$16,$M4410&lt;=$S$18),U4410,0)</t>
  </si>
  <si>
    <t>=IF($M4410&lt;=$T$18,U4410,0)</t>
  </si>
  <si>
    <t>="""NAV Direct"",""CRONUS JetCorp USA"",""21"",""1"",""209729"""</t>
  </si>
  <si>
    <t>=E4409</t>
  </si>
  <si>
    <t>=StartDate-$M4411+1</t>
  </si>
  <si>
    <t>=SUM(P4411:T4411)</t>
  </si>
  <si>
    <t>=IF($M4411&gt;=$P$18,U4411,0)</t>
  </si>
  <si>
    <t>=IF(AND($M4411&gt;=$Q$16,$M4411&lt;=$Q$18),U4411,0)</t>
  </si>
  <si>
    <t>=IF(AND($M4411&gt;=$R$16,$M4411&lt;=$R$18),U4411,0)</t>
  </si>
  <si>
    <t>=IF(AND($M4411&gt;=$S$16,$M4411&lt;=$S$18),U4411,0)</t>
  </si>
  <si>
    <t>=IF($M4411&lt;=$T$18,U4411,0)</t>
  </si>
  <si>
    <t>="""NAV Direct"",""CRONUS JetCorp USA"",""21"",""1"",""209988"""</t>
  </si>
  <si>
    <t>=E4410</t>
  </si>
  <si>
    <t>=StartDate-$M4412+1</t>
  </si>
  <si>
    <t>=SUM(P4412:T4412)</t>
  </si>
  <si>
    <t>=IF($M4412&gt;=$P$18,U4412,0)</t>
  </si>
  <si>
    <t>=IF(AND($M4412&gt;=$Q$16,$M4412&lt;=$Q$18),U4412,0)</t>
  </si>
  <si>
    <t>=IF(AND($M4412&gt;=$R$16,$M4412&lt;=$R$18),U4412,0)</t>
  </si>
  <si>
    <t>=IF(AND($M4412&gt;=$S$16,$M4412&lt;=$S$18),U4412,0)</t>
  </si>
  <si>
    <t>=IF($M4412&lt;=$T$18,U4412,0)</t>
  </si>
  <si>
    <t>="""NAV Direct"",""CRONUS JetCorp USA"",""21"",""1"",""210350"""</t>
  </si>
  <si>
    <t>=E4411</t>
  </si>
  <si>
    <t>=StartDate-$M4413+1</t>
  </si>
  <si>
    <t>=SUM(P4413:T4413)</t>
  </si>
  <si>
    <t>=IF($M4413&gt;=$P$18,U4413,0)</t>
  </si>
  <si>
    <t>=IF(AND($M4413&gt;=$Q$16,$M4413&lt;=$Q$18),U4413,0)</t>
  </si>
  <si>
    <t>=IF(AND($M4413&gt;=$R$16,$M4413&lt;=$R$18),U4413,0)</t>
  </si>
  <si>
    <t>=IF(AND($M4413&gt;=$S$16,$M4413&lt;=$S$18),U4413,0)</t>
  </si>
  <si>
    <t>=IF($M4413&lt;=$T$18,U4413,0)</t>
  </si>
  <si>
    <t>="""NAV Direct"",""CRONUS JetCorp USA"",""21"",""1"",""210567"""</t>
  </si>
  <si>
    <t>=E4412</t>
  </si>
  <si>
    <t>=StartDate-$M4414+1</t>
  </si>
  <si>
    <t>=SUM(P4414:T4414)</t>
  </si>
  <si>
    <t>=IF($M4414&gt;=$P$18,U4414,0)</t>
  </si>
  <si>
    <t>=IF(AND($M4414&gt;=$Q$16,$M4414&lt;=$Q$18),U4414,0)</t>
  </si>
  <si>
    <t>=IF(AND($M4414&gt;=$R$16,$M4414&lt;=$R$18),U4414,0)</t>
  </si>
  <si>
    <t>=IF(AND($M4414&gt;=$S$16,$M4414&lt;=$S$18),U4414,0)</t>
  </si>
  <si>
    <t>=IF($M4414&lt;=$T$18,U4414,0)</t>
  </si>
  <si>
    <t>="""NAV Direct"",""CRONUS JetCorp USA"",""21"",""1"",""210909"""</t>
  </si>
  <si>
    <t>=E4413</t>
  </si>
  <si>
    <t>=StartDate-$M4415+1</t>
  </si>
  <si>
    <t>=SUM(P4415:T4415)</t>
  </si>
  <si>
    <t>=IF($M4415&gt;=$P$18,U4415,0)</t>
  </si>
  <si>
    <t>=IF(AND($M4415&gt;=$Q$16,$M4415&lt;=$Q$18),U4415,0)</t>
  </si>
  <si>
    <t>=IF(AND($M4415&gt;=$R$16,$M4415&lt;=$R$18),U4415,0)</t>
  </si>
  <si>
    <t>=IF(AND($M4415&gt;=$S$16,$M4415&lt;=$S$18),U4415,0)</t>
  </si>
  <si>
    <t>=IF($M4415&lt;=$T$18,U4415,0)</t>
  </si>
  <si>
    <t>="""NAV Direct"",""CRONUS JetCorp USA"",""21"",""1"",""211255"""</t>
  </si>
  <si>
    <t>=E4414</t>
  </si>
  <si>
    <t>=StartDate-$M4416+1</t>
  </si>
  <si>
    <t>=SUM(P4416:T4416)</t>
  </si>
  <si>
    <t>=IF($M4416&gt;=$P$18,U4416,0)</t>
  </si>
  <si>
    <t>=IF(AND($M4416&gt;=$Q$16,$M4416&lt;=$Q$18),U4416,0)</t>
  </si>
  <si>
    <t>=IF(AND($M4416&gt;=$R$16,$M4416&lt;=$R$18),U4416,0)</t>
  </si>
  <si>
    <t>=IF(AND($M4416&gt;=$S$16,$M4416&lt;=$S$18),U4416,0)</t>
  </si>
  <si>
    <t>=IF($M4416&lt;=$T$18,U4416,0)</t>
  </si>
  <si>
    <t>="""NAV Direct"",""CRONUS JetCorp USA"",""21"",""1"",""213201"""</t>
  </si>
  <si>
    <t>=E4415</t>
  </si>
  <si>
    <t>=StartDate-$M4417+1</t>
  </si>
  <si>
    <t>=SUM(P4417:T4417)</t>
  </si>
  <si>
    <t>=IF($M4417&gt;=$P$18,U4417,0)</t>
  </si>
  <si>
    <t>=IF(AND($M4417&gt;=$Q$16,$M4417&lt;=$Q$18),U4417,0)</t>
  </si>
  <si>
    <t>=IF(AND($M4417&gt;=$R$16,$M4417&lt;=$R$18),U4417,0)</t>
  </si>
  <si>
    <t>=IF(AND($M4417&gt;=$S$16,$M4417&lt;=$S$18),U4417,0)</t>
  </si>
  <si>
    <t>=IF($M4417&lt;=$T$18,U4417,0)</t>
  </si>
  <si>
    <t>="""NAV Direct"",""CRONUS JetCorp USA"",""21"",""1"",""213370"""</t>
  </si>
  <si>
    <t>=E4416</t>
  </si>
  <si>
    <t>=StartDate-$M4418+1</t>
  </si>
  <si>
    <t>=SUM(P4418:T4418)</t>
  </si>
  <si>
    <t>=IF($M4418&gt;=$P$18,U4418,0)</t>
  </si>
  <si>
    <t>=IF(AND($M4418&gt;=$Q$16,$M4418&lt;=$Q$18),U4418,0)</t>
  </si>
  <si>
    <t>=IF(AND($M4418&gt;=$R$16,$M4418&lt;=$R$18),U4418,0)</t>
  </si>
  <si>
    <t>=IF(AND($M4418&gt;=$S$16,$M4418&lt;=$S$18),U4418,0)</t>
  </si>
  <si>
    <t>=IF($M4418&lt;=$T$18,U4418,0)</t>
  </si>
  <si>
    <t>="""NAV Direct"",""CRONUS JetCorp USA"",""21"",""1"",""213643"""</t>
  </si>
  <si>
    <t>=E4417</t>
  </si>
  <si>
    <t>=StartDate-$M4419+1</t>
  </si>
  <si>
    <t>=SUM(P4419:T4419)</t>
  </si>
  <si>
    <t>=IF($M4419&gt;=$P$18,U4419,0)</t>
  </si>
  <si>
    <t>=IF(AND($M4419&gt;=$Q$16,$M4419&lt;=$Q$18),U4419,0)</t>
  </si>
  <si>
    <t>=IF(AND($M4419&gt;=$R$16,$M4419&lt;=$R$18),U4419,0)</t>
  </si>
  <si>
    <t>=IF(AND($M4419&gt;=$S$16,$M4419&lt;=$S$18),U4419,0)</t>
  </si>
  <si>
    <t>=IF($M4419&lt;=$T$18,U4419,0)</t>
  </si>
  <si>
    <t>="""NAV Direct"",""CRONUS JetCorp USA"",""21"",""1"",""214055"""</t>
  </si>
  <si>
    <t>=E4418</t>
  </si>
  <si>
    <t>=StartDate-$M4420+1</t>
  </si>
  <si>
    <t>=SUM(P4420:T4420)</t>
  </si>
  <si>
    <t>=IF($M4420&gt;=$P$18,U4420,0)</t>
  </si>
  <si>
    <t>=IF(AND($M4420&gt;=$Q$16,$M4420&lt;=$Q$18),U4420,0)</t>
  </si>
  <si>
    <t>=IF(AND($M4420&gt;=$R$16,$M4420&lt;=$R$18),U4420,0)</t>
  </si>
  <si>
    <t>=IF(AND($M4420&gt;=$S$16,$M4420&lt;=$S$18),U4420,0)</t>
  </si>
  <si>
    <t>=IF($M4420&lt;=$T$18,U4420,0)</t>
  </si>
  <si>
    <t>="""NAV Direct"",""CRONUS JetCorp USA"",""21"",""1"",""444108"""</t>
  </si>
  <si>
    <t>=E4419</t>
  </si>
  <si>
    <t>=StartDate-$M4421+1</t>
  </si>
  <si>
    <t>=SUM(P4421:T4421)</t>
  </si>
  <si>
    <t>=IF($M4421&gt;=$P$18,U4421,0)</t>
  </si>
  <si>
    <t>=IF(AND($M4421&gt;=$Q$16,$M4421&lt;=$Q$18),U4421,0)</t>
  </si>
  <si>
    <t>=IF(AND($M4421&gt;=$R$16,$M4421&lt;=$R$18),U4421,0)</t>
  </si>
  <si>
    <t>=IF(AND($M4421&gt;=$S$16,$M4421&lt;=$S$18),U4421,0)</t>
  </si>
  <si>
    <t>=IF($M4421&lt;=$T$18,U4421,0)</t>
  </si>
  <si>
    <t>="""NAV Direct"",""CRONUS JetCorp USA"",""21"",""1"",""444141"""</t>
  </si>
  <si>
    <t>=E4420</t>
  </si>
  <si>
    <t>=StartDate-$M4422+1</t>
  </si>
  <si>
    <t>=SUM(P4422:T4422)</t>
  </si>
  <si>
    <t>=IF($M4422&gt;=$P$18,U4422,0)</t>
  </si>
  <si>
    <t>=IF(AND($M4422&gt;=$Q$16,$M4422&lt;=$Q$18),U4422,0)</t>
  </si>
  <si>
    <t>=IF(AND($M4422&gt;=$R$16,$M4422&lt;=$R$18),U4422,0)</t>
  </si>
  <si>
    <t>=IF(AND($M4422&gt;=$S$16,$M4422&lt;=$S$18),U4422,0)</t>
  </si>
  <si>
    <t>=IF($M4422&lt;=$T$18,U4422,0)</t>
  </si>
  <si>
    <t>="""NAV Direct"",""CRONUS JetCorp USA"",""21"",""1"",""444625"""</t>
  </si>
  <si>
    <t>=E4421</t>
  </si>
  <si>
    <t>=StartDate-$M4423+1</t>
  </si>
  <si>
    <t>=SUM(P4423:T4423)</t>
  </si>
  <si>
    <t>=IF($M4423&gt;=$P$18,U4423,0)</t>
  </si>
  <si>
    <t>=IF(AND($M4423&gt;=$Q$16,$M4423&lt;=$Q$18),U4423,0)</t>
  </si>
  <si>
    <t>=IF(AND($M4423&gt;=$R$16,$M4423&lt;=$R$18),U4423,0)</t>
  </si>
  <si>
    <t>=IF(AND($M4423&gt;=$S$16,$M4423&lt;=$S$18),U4423,0)</t>
  </si>
  <si>
    <t>=IF($M4423&lt;=$T$18,U4423,0)</t>
  </si>
  <si>
    <t>="""NAV Direct"",""CRONUS JetCorp USA"",""21"",""1"",""444731"""</t>
  </si>
  <si>
    <t>=E4422</t>
  </si>
  <si>
    <t>=StartDate-$M4424+1</t>
  </si>
  <si>
    <t>=SUM(P4424:T4424)</t>
  </si>
  <si>
    <t>=IF($M4424&gt;=$P$18,U4424,0)</t>
  </si>
  <si>
    <t>=IF(AND($M4424&gt;=$Q$16,$M4424&lt;=$Q$18),U4424,0)</t>
  </si>
  <si>
    <t>=IF(AND($M4424&gt;=$R$16,$M4424&lt;=$R$18),U4424,0)</t>
  </si>
  <si>
    <t>=IF(AND($M4424&gt;=$S$16,$M4424&lt;=$S$18),U4424,0)</t>
  </si>
  <si>
    <t>=IF($M4424&lt;=$T$18,U4424,0)</t>
  </si>
  <si>
    <t>="""NAV Direct"",""CRONUS JetCorp USA"",""21"",""1"",""444897"""</t>
  </si>
  <si>
    <t>=E4423</t>
  </si>
  <si>
    <t>=StartDate-$M4425+1</t>
  </si>
  <si>
    <t>=SUM(P4425:T4425)</t>
  </si>
  <si>
    <t>=IF($M4425&gt;=$P$18,U4425,0)</t>
  </si>
  <si>
    <t>=IF(AND($M4425&gt;=$Q$16,$M4425&lt;=$Q$18),U4425,0)</t>
  </si>
  <si>
    <t>=IF(AND($M4425&gt;=$R$16,$M4425&lt;=$R$18),U4425,0)</t>
  </si>
  <si>
    <t>=IF(AND($M4425&gt;=$S$16,$M4425&lt;=$S$18),U4425,0)</t>
  </si>
  <si>
    <t>=IF($M4425&lt;=$T$18,U4425,0)</t>
  </si>
  <si>
    <t>="""NAV Direct"",""CRONUS JetCorp USA"",""18"",""1"",""C100126"""</t>
  </si>
  <si>
    <t>=H4428</t>
  </si>
  <si>
    <t>=NF($C4428,"1 No.")</t>
  </si>
  <si>
    <t>=NF($C4428,"1 No.")&amp;"  -  "&amp;NF($C4428,"2 Name")</t>
  </si>
  <si>
    <t>=IFERROR(O4428/NF(C4428,"Credit Limit (LCY)"),"")</t>
  </si>
  <si>
    <t>=SUBTOTAL(3,L4429:L4471)</t>
  </si>
  <si>
    <t>=SUBTOTAL(9,O4429:O4471)</t>
  </si>
  <si>
    <t>=SUBTOTAL(9,P4429:P4471)</t>
  </si>
  <si>
    <t>=SUBTOTAL(9,Q4429:Q4471)</t>
  </si>
  <si>
    <t>=SUBTOTAL(9,R4429:R4471)</t>
  </si>
  <si>
    <t>=SUBTOTAL(9,S4429:S4471)</t>
  </si>
  <si>
    <t>=SUBTOTAL(9,T4429:T4471)</t>
  </si>
  <si>
    <t>=C4428</t>
  </si>
  <si>
    <t>=E4428</t>
  </si>
  <si>
    <t>="Contact: "&amp;NF($C4429,"8 Contact")</t>
  </si>
  <si>
    <t>=C4429</t>
  </si>
  <si>
    <t>=E4429</t>
  </si>
  <si>
    <t>=NF($C4430,"102 E-Mail")</t>
  </si>
  <si>
    <t>=NL("Rows","21 Cust. Ledger Entry",,"3 Customer No.","@@"&amp;$E4432,"16 Remaining Amt. (LCY)","&lt;&gt;0")</t>
  </si>
  <si>
    <t>=E4430</t>
  </si>
  <si>
    <t>=StartDate-$M4432+1</t>
  </si>
  <si>
    <t>=SUM(P4432:T4432)</t>
  </si>
  <si>
    <t>=IF($M4432&gt;=$P$18,U4432,0)</t>
  </si>
  <si>
    <t>=IF(AND($M4432&gt;=$Q$16,$M4432&lt;=$Q$18),U4432,0)</t>
  </si>
  <si>
    <t>=IF(AND($M4432&gt;=$R$16,$M4432&lt;=$R$18),U4432,0)</t>
  </si>
  <si>
    <t>=IF(AND($M4432&gt;=$S$16,$M4432&lt;=$S$18),U4432,0)</t>
  </si>
  <si>
    <t>=IF($M4432&lt;=$T$18,U4432,0)</t>
  </si>
  <si>
    <t>="""NAV Direct"",""CRONUS JetCorp USA"",""21"",""1"",""384352"""</t>
  </si>
  <si>
    <t>=E4431</t>
  </si>
  <si>
    <t>=StartDate-$M4433+1</t>
  </si>
  <si>
    <t>=SUM(P4433:T4433)</t>
  </si>
  <si>
    <t>=IF($M4433&gt;=$P$18,U4433,0)</t>
  </si>
  <si>
    <t>=IF(AND($M4433&gt;=$Q$16,$M4433&lt;=$Q$18),U4433,0)</t>
  </si>
  <si>
    <t>=IF(AND($M4433&gt;=$R$16,$M4433&lt;=$R$18),U4433,0)</t>
  </si>
  <si>
    <t>=IF(AND($M4433&gt;=$S$16,$M4433&lt;=$S$18),U4433,0)</t>
  </si>
  <si>
    <t>=IF($M4433&lt;=$T$18,U4433,0)</t>
  </si>
  <si>
    <t>="""NAV Direct"",""CRONUS JetCorp USA"",""21"",""1"",""384639"""</t>
  </si>
  <si>
    <t>=E4432</t>
  </si>
  <si>
    <t>=StartDate-$M4434+1</t>
  </si>
  <si>
    <t>=SUM(P4434:T4434)</t>
  </si>
  <si>
    <t>=IF($M4434&gt;=$P$18,U4434,0)</t>
  </si>
  <si>
    <t>=IF(AND($M4434&gt;=$Q$16,$M4434&lt;=$Q$18),U4434,0)</t>
  </si>
  <si>
    <t>=IF(AND($M4434&gt;=$R$16,$M4434&lt;=$R$18),U4434,0)</t>
  </si>
  <si>
    <t>=IF(AND($M4434&gt;=$S$16,$M4434&lt;=$S$18),U4434,0)</t>
  </si>
  <si>
    <t>=IF($M4434&lt;=$T$18,U4434,0)</t>
  </si>
  <si>
    <t>="""NAV Direct"",""CRONUS JetCorp USA"",""21"",""1"",""384967"""</t>
  </si>
  <si>
    <t>=E4433</t>
  </si>
  <si>
    <t>=StartDate-$M4435+1</t>
  </si>
  <si>
    <t>=SUM(P4435:T4435)</t>
  </si>
  <si>
    <t>=IF($M4435&gt;=$P$18,U4435,0)</t>
  </si>
  <si>
    <t>=IF(AND($M4435&gt;=$Q$16,$M4435&lt;=$Q$18),U4435,0)</t>
  </si>
  <si>
    <t>=IF(AND($M4435&gt;=$R$16,$M4435&lt;=$R$18),U4435,0)</t>
  </si>
  <si>
    <t>=IF(AND($M4435&gt;=$S$16,$M4435&lt;=$S$18),U4435,0)</t>
  </si>
  <si>
    <t>=IF($M4435&lt;=$T$18,U4435,0)</t>
  </si>
  <si>
    <t>="""NAV Direct"",""CRONUS JetCorp USA"",""21"",""1"",""385426"""</t>
  </si>
  <si>
    <t>=E4434</t>
  </si>
  <si>
    <t>=StartDate-$M4436+1</t>
  </si>
  <si>
    <t>=SUM(P4436:T4436)</t>
  </si>
  <si>
    <t>=IF($M4436&gt;=$P$18,U4436,0)</t>
  </si>
  <si>
    <t>=IF(AND($M4436&gt;=$Q$16,$M4436&lt;=$Q$18),U4436,0)</t>
  </si>
  <si>
    <t>=IF(AND($M4436&gt;=$R$16,$M4436&lt;=$R$18),U4436,0)</t>
  </si>
  <si>
    <t>=IF(AND($M4436&gt;=$S$16,$M4436&lt;=$S$18),U4436,0)</t>
  </si>
  <si>
    <t>=IF($M4436&lt;=$T$18,U4436,0)</t>
  </si>
  <si>
    <t>="""NAV Direct"",""CRONUS JetCorp USA"",""21"",""1"",""386040"""</t>
  </si>
  <si>
    <t>=E4435</t>
  </si>
  <si>
    <t>=StartDate-$M4437+1</t>
  </si>
  <si>
    <t>=SUM(P4437:T4437)</t>
  </si>
  <si>
    <t>=IF($M4437&gt;=$P$18,U4437,0)</t>
  </si>
  <si>
    <t>=IF(AND($M4437&gt;=$Q$16,$M4437&lt;=$Q$18),U4437,0)</t>
  </si>
  <si>
    <t>=IF(AND($M4437&gt;=$R$16,$M4437&lt;=$R$18),U4437,0)</t>
  </si>
  <si>
    <t>=IF(AND($M4437&gt;=$S$16,$M4437&lt;=$S$18),U4437,0)</t>
  </si>
  <si>
    <t>=IF($M4437&lt;=$T$18,U4437,0)</t>
  </si>
  <si>
    <t>="""NAV Direct"",""CRONUS JetCorp USA"",""21"",""1"",""387554"""</t>
  </si>
  <si>
    <t>=E4436</t>
  </si>
  <si>
    <t>=StartDate-$M4438+1</t>
  </si>
  <si>
    <t>=SUM(P4438:T4438)</t>
  </si>
  <si>
    <t>=IF($M4438&gt;=$P$18,U4438,0)</t>
  </si>
  <si>
    <t>=IF(AND($M4438&gt;=$Q$16,$M4438&lt;=$Q$18),U4438,0)</t>
  </si>
  <si>
    <t>=IF(AND($M4438&gt;=$R$16,$M4438&lt;=$R$18),U4438,0)</t>
  </si>
  <si>
    <t>=IF(AND($M4438&gt;=$S$16,$M4438&lt;=$S$18),U4438,0)</t>
  </si>
  <si>
    <t>=IF($M4438&lt;=$T$18,U4438,0)</t>
  </si>
  <si>
    <t>="""NAV Direct"",""CRONUS JetCorp USA"",""21"",""1"",""387603"""</t>
  </si>
  <si>
    <t>=E4437</t>
  </si>
  <si>
    <t>=StartDate-$M4439+1</t>
  </si>
  <si>
    <t>=SUM(P4439:T4439)</t>
  </si>
  <si>
    <t>=IF($M4439&gt;=$P$18,U4439,0)</t>
  </si>
  <si>
    <t>=IF(AND($M4439&gt;=$Q$16,$M4439&lt;=$Q$18),U4439,0)</t>
  </si>
  <si>
    <t>=IF(AND($M4439&gt;=$R$16,$M4439&lt;=$R$18),U4439,0)</t>
  </si>
  <si>
    <t>=IF(AND($M4439&gt;=$S$16,$M4439&lt;=$S$18),U4439,0)</t>
  </si>
  <si>
    <t>=IF($M4439&lt;=$T$18,U4439,0)</t>
  </si>
  <si>
    <t>="""NAV Direct"",""CRONUS JetCorp USA"",""21"",""1"",""388408"""</t>
  </si>
  <si>
    <t>=E4438</t>
  </si>
  <si>
    <t>=StartDate-$M4440+1</t>
  </si>
  <si>
    <t>=SUM(P4440:T4440)</t>
  </si>
  <si>
    <t>=IF($M4440&gt;=$P$18,U4440,0)</t>
  </si>
  <si>
    <t>=IF(AND($M4440&gt;=$Q$16,$M4440&lt;=$Q$18),U4440,0)</t>
  </si>
  <si>
    <t>=IF(AND($M4440&gt;=$R$16,$M4440&lt;=$R$18),U4440,0)</t>
  </si>
  <si>
    <t>=IF(AND($M4440&gt;=$S$16,$M4440&lt;=$S$18),U4440,0)</t>
  </si>
  <si>
    <t>=IF($M4440&lt;=$T$18,U4440,0)</t>
  </si>
  <si>
    <t>="""NAV Direct"",""CRONUS JetCorp USA"",""21"",""1"",""388747"""</t>
  </si>
  <si>
    <t>=E4439</t>
  </si>
  <si>
    <t>=StartDate-$M4441+1</t>
  </si>
  <si>
    <t>=SUM(P4441:T4441)</t>
  </si>
  <si>
    <t>=IF($M4441&gt;=$P$18,U4441,0)</t>
  </si>
  <si>
    <t>=IF(AND($M4441&gt;=$Q$16,$M4441&lt;=$Q$18),U4441,0)</t>
  </si>
  <si>
    <t>=IF(AND($M4441&gt;=$R$16,$M4441&lt;=$R$18),U4441,0)</t>
  </si>
  <si>
    <t>=IF(AND($M4441&gt;=$S$16,$M4441&lt;=$S$18),U4441,0)</t>
  </si>
  <si>
    <t>=IF($M4441&lt;=$T$18,U4441,0)</t>
  </si>
  <si>
    <t>="""NAV Direct"",""CRONUS JetCorp USA"",""21"",""1"",""389616"""</t>
  </si>
  <si>
    <t>=E4440</t>
  </si>
  <si>
    <t>=StartDate-$M4442+1</t>
  </si>
  <si>
    <t>=SUM(P4442:T4442)</t>
  </si>
  <si>
    <t>=IF($M4442&gt;=$P$18,U4442,0)</t>
  </si>
  <si>
    <t>=IF(AND($M4442&gt;=$Q$16,$M4442&lt;=$Q$18),U4442,0)</t>
  </si>
  <si>
    <t>=IF(AND($M4442&gt;=$R$16,$M4442&lt;=$R$18),U4442,0)</t>
  </si>
  <si>
    <t>=IF(AND($M4442&gt;=$S$16,$M4442&lt;=$S$18),U4442,0)</t>
  </si>
  <si>
    <t>=IF($M4442&lt;=$T$18,U4442,0)</t>
  </si>
  <si>
    <t>="""NAV Direct"",""CRONUS JetCorp USA"",""21"",""1"",""390652"""</t>
  </si>
  <si>
    <t>=E4441</t>
  </si>
  <si>
    <t>=StartDate-$M4443+1</t>
  </si>
  <si>
    <t>=SUM(P4443:T4443)</t>
  </si>
  <si>
    <t>=IF($M4443&gt;=$P$18,U4443,0)</t>
  </si>
  <si>
    <t>=IF(AND($M4443&gt;=$Q$16,$M4443&lt;=$Q$18),U4443,0)</t>
  </si>
  <si>
    <t>=IF(AND($M4443&gt;=$R$16,$M4443&lt;=$R$18),U4443,0)</t>
  </si>
  <si>
    <t>=IF(AND($M4443&gt;=$S$16,$M4443&lt;=$S$18),U4443,0)</t>
  </si>
  <si>
    <t>=IF($M4443&lt;=$T$18,U4443,0)</t>
  </si>
  <si>
    <t>="""NAV Direct"",""CRONUS JetCorp USA"",""21"",""1"",""391276"""</t>
  </si>
  <si>
    <t>=E4442</t>
  </si>
  <si>
    <t>=StartDate-$M4444+1</t>
  </si>
  <si>
    <t>=SUM(P4444:T4444)</t>
  </si>
  <si>
    <t>=IF($M4444&gt;=$P$18,U4444,0)</t>
  </si>
  <si>
    <t>=IF(AND($M4444&gt;=$Q$16,$M4444&lt;=$Q$18),U4444,0)</t>
  </si>
  <si>
    <t>=IF(AND($M4444&gt;=$R$16,$M4444&lt;=$R$18),U4444,0)</t>
  </si>
  <si>
    <t>=IF(AND($M4444&gt;=$S$16,$M4444&lt;=$S$18),U4444,0)</t>
  </si>
  <si>
    <t>=IF($M4444&lt;=$T$18,U4444,0)</t>
  </si>
  <si>
    <t>="""NAV Direct"",""CRONUS JetCorp USA"",""21"",""1"",""391417"""</t>
  </si>
  <si>
    <t>=E4443</t>
  </si>
  <si>
    <t>=StartDate-$M4445+1</t>
  </si>
  <si>
    <t>=SUM(P4445:T4445)</t>
  </si>
  <si>
    <t>=IF($M4445&gt;=$P$18,U4445,0)</t>
  </si>
  <si>
    <t>=IF(AND($M4445&gt;=$Q$16,$M4445&lt;=$Q$18),U4445,0)</t>
  </si>
  <si>
    <t>=IF(AND($M4445&gt;=$R$16,$M4445&lt;=$R$18),U4445,0)</t>
  </si>
  <si>
    <t>=IF(AND($M4445&gt;=$S$16,$M4445&lt;=$S$18),U4445,0)</t>
  </si>
  <si>
    <t>=IF($M4445&lt;=$T$18,U4445,0)</t>
  </si>
  <si>
    <t>="""NAV Direct"",""CRONUS JetCorp USA"",""21"",""1"",""392499"""</t>
  </si>
  <si>
    <t>=E4444</t>
  </si>
  <si>
    <t>=StartDate-$M4446+1</t>
  </si>
  <si>
    <t>=SUM(P4446:T4446)</t>
  </si>
  <si>
    <t>=IF($M4446&gt;=$P$18,U4446,0)</t>
  </si>
  <si>
    <t>=IF(AND($M4446&gt;=$Q$16,$M4446&lt;=$Q$18),U4446,0)</t>
  </si>
  <si>
    <t>=IF(AND($M4446&gt;=$R$16,$M4446&lt;=$R$18),U4446,0)</t>
  </si>
  <si>
    <t>=IF(AND($M4446&gt;=$S$16,$M4446&lt;=$S$18),U4446,0)</t>
  </si>
  <si>
    <t>=IF($M4446&lt;=$T$18,U4446,0)</t>
  </si>
  <si>
    <t>="""NAV Direct"",""CRONUS JetCorp USA"",""21"",""1"",""393039"""</t>
  </si>
  <si>
    <t>=E4445</t>
  </si>
  <si>
    <t>=StartDate-$M4447+1</t>
  </si>
  <si>
    <t>=SUM(P4447:T4447)</t>
  </si>
  <si>
    <t>=IF($M4447&gt;=$P$18,U4447,0)</t>
  </si>
  <si>
    <t>=IF(AND($M4447&gt;=$Q$16,$M4447&lt;=$Q$18),U4447,0)</t>
  </si>
  <si>
    <t>=IF(AND($M4447&gt;=$R$16,$M4447&lt;=$R$18),U4447,0)</t>
  </si>
  <si>
    <t>=IF(AND($M4447&gt;=$S$16,$M4447&lt;=$S$18),U4447,0)</t>
  </si>
  <si>
    <t>=IF($M4447&lt;=$T$18,U4447,0)</t>
  </si>
  <si>
    <t>="""NAV Direct"",""CRONUS JetCorp USA"",""21"",""1"",""394055"""</t>
  </si>
  <si>
    <t>=E4446</t>
  </si>
  <si>
    <t>=StartDate-$M4448+1</t>
  </si>
  <si>
    <t>=SUM(P4448:T4448)</t>
  </si>
  <si>
    <t>=IF($M4448&gt;=$P$18,U4448,0)</t>
  </si>
  <si>
    <t>=IF(AND($M4448&gt;=$Q$16,$M4448&lt;=$Q$18),U4448,0)</t>
  </si>
  <si>
    <t>=IF(AND($M4448&gt;=$R$16,$M4448&lt;=$R$18),U4448,0)</t>
  </si>
  <si>
    <t>=IF(AND($M4448&gt;=$S$16,$M4448&lt;=$S$18),U4448,0)</t>
  </si>
  <si>
    <t>=IF($M4448&lt;=$T$18,U4448,0)</t>
  </si>
  <si>
    <t>="""NAV Direct"",""CRONUS JetCorp USA"",""21"",""1"",""394269"""</t>
  </si>
  <si>
    <t>=E4447</t>
  </si>
  <si>
    <t>=StartDate-$M4449+1</t>
  </si>
  <si>
    <t>=SUM(P4449:T4449)</t>
  </si>
  <si>
    <t>=IF($M4449&gt;=$P$18,U4449,0)</t>
  </si>
  <si>
    <t>=IF(AND($M4449&gt;=$Q$16,$M4449&lt;=$Q$18),U4449,0)</t>
  </si>
  <si>
    <t>=IF(AND($M4449&gt;=$R$16,$M4449&lt;=$R$18),U4449,0)</t>
  </si>
  <si>
    <t>=IF(AND($M4449&gt;=$S$16,$M4449&lt;=$S$18),U4449,0)</t>
  </si>
  <si>
    <t>=IF($M4449&lt;=$T$18,U4449,0)</t>
  </si>
  <si>
    <t>="""NAV Direct"",""CRONUS JetCorp USA"",""21"",""1"",""395009"""</t>
  </si>
  <si>
    <t>=E4448</t>
  </si>
  <si>
    <t>=StartDate-$M4450+1</t>
  </si>
  <si>
    <t>=SUM(P4450:T4450)</t>
  </si>
  <si>
    <t>=IF($M4450&gt;=$P$18,U4450,0)</t>
  </si>
  <si>
    <t>=IF(AND($M4450&gt;=$Q$16,$M4450&lt;=$Q$18),U4450,0)</t>
  </si>
  <si>
    <t>=IF(AND($M4450&gt;=$R$16,$M4450&lt;=$R$18),U4450,0)</t>
  </si>
  <si>
    <t>=IF(AND($M4450&gt;=$S$16,$M4450&lt;=$S$18),U4450,0)</t>
  </si>
  <si>
    <t>=IF($M4450&lt;=$T$18,U4450,0)</t>
  </si>
  <si>
    <t>="""NAV Direct"",""CRONUS JetCorp USA"",""21"",""1"",""395258"""</t>
  </si>
  <si>
    <t>=E4449</t>
  </si>
  <si>
    <t>=StartDate-$M4451+1</t>
  </si>
  <si>
    <t>=SUM(P4451:T4451)</t>
  </si>
  <si>
    <t>=IF($M4451&gt;=$P$18,U4451,0)</t>
  </si>
  <si>
    <t>=IF(AND($M4451&gt;=$Q$16,$M4451&lt;=$Q$18),U4451,0)</t>
  </si>
  <si>
    <t>=IF(AND($M4451&gt;=$R$16,$M4451&lt;=$R$18),U4451,0)</t>
  </si>
  <si>
    <t>=IF(AND($M4451&gt;=$S$16,$M4451&lt;=$S$18),U4451,0)</t>
  </si>
  <si>
    <t>=IF($M4451&lt;=$T$18,U4451,0)</t>
  </si>
  <si>
    <t>="""NAV Direct"",""CRONUS JetCorp USA"",""21"",""1"",""395659"""</t>
  </si>
  <si>
    <t>=E4450</t>
  </si>
  <si>
    <t>=StartDate-$M4452+1</t>
  </si>
  <si>
    <t>=SUM(P4452:T4452)</t>
  </si>
  <si>
    <t>=IF($M4452&gt;=$P$18,U4452,0)</t>
  </si>
  <si>
    <t>=IF(AND($M4452&gt;=$Q$16,$M4452&lt;=$Q$18),U4452,0)</t>
  </si>
  <si>
    <t>=IF(AND($M4452&gt;=$R$16,$M4452&lt;=$R$18),U4452,0)</t>
  </si>
  <si>
    <t>=IF(AND($M4452&gt;=$S$16,$M4452&lt;=$S$18),U4452,0)</t>
  </si>
  <si>
    <t>=IF($M4452&lt;=$T$18,U4452,0)</t>
  </si>
  <si>
    <t>="""NAV Direct"",""CRONUS JetCorp USA"",""21"",""1"",""397068"""</t>
  </si>
  <si>
    <t>=E4451</t>
  </si>
  <si>
    <t>=StartDate-$M4453+1</t>
  </si>
  <si>
    <t>=SUM(P4453:T4453)</t>
  </si>
  <si>
    <t>=IF($M4453&gt;=$P$18,U4453,0)</t>
  </si>
  <si>
    <t>=IF(AND($M4453&gt;=$Q$16,$M4453&lt;=$Q$18),U4453,0)</t>
  </si>
  <si>
    <t>=IF(AND($M4453&gt;=$R$16,$M4453&lt;=$R$18),U4453,0)</t>
  </si>
  <si>
    <t>=IF(AND($M4453&gt;=$S$16,$M4453&lt;=$S$18),U4453,0)</t>
  </si>
  <si>
    <t>=IF($M4453&lt;=$T$18,U4453,0)</t>
  </si>
  <si>
    <t>="""NAV Direct"",""CRONUS JetCorp USA"",""21"",""1"",""397643"""</t>
  </si>
  <si>
    <t>=E4452</t>
  </si>
  <si>
    <t>=StartDate-$M4454+1</t>
  </si>
  <si>
    <t>=SUM(P4454:T4454)</t>
  </si>
  <si>
    <t>=IF($M4454&gt;=$P$18,U4454,0)</t>
  </si>
  <si>
    <t>=IF(AND($M4454&gt;=$Q$16,$M4454&lt;=$Q$18),U4454,0)</t>
  </si>
  <si>
    <t>=IF(AND($M4454&gt;=$R$16,$M4454&lt;=$R$18),U4454,0)</t>
  </si>
  <si>
    <t>=IF(AND($M4454&gt;=$S$16,$M4454&lt;=$S$18),U4454,0)</t>
  </si>
  <si>
    <t>=IF($M4454&lt;=$T$18,U4454,0)</t>
  </si>
  <si>
    <t>="""NAV Direct"",""CRONUS JetCorp USA"",""21"",""1"",""397894"""</t>
  </si>
  <si>
    <t>=E4453</t>
  </si>
  <si>
    <t>=StartDate-$M4455+1</t>
  </si>
  <si>
    <t>=SUM(P4455:T4455)</t>
  </si>
  <si>
    <t>=IF($M4455&gt;=$P$18,U4455,0)</t>
  </si>
  <si>
    <t>=IF(AND($M4455&gt;=$Q$16,$M4455&lt;=$Q$18),U4455,0)</t>
  </si>
  <si>
    <t>=IF(AND($M4455&gt;=$R$16,$M4455&lt;=$R$18),U4455,0)</t>
  </si>
  <si>
    <t>=IF(AND($M4455&gt;=$S$16,$M4455&lt;=$S$18),U4455,0)</t>
  </si>
  <si>
    <t>=IF($M4455&lt;=$T$18,U4455,0)</t>
  </si>
  <si>
    <t>="""NAV Direct"",""CRONUS JetCorp USA"",""21"",""1"",""398092"""</t>
  </si>
  <si>
    <t>=E4454</t>
  </si>
  <si>
    <t>=StartDate-$M4456+1</t>
  </si>
  <si>
    <t>=SUM(P4456:T4456)</t>
  </si>
  <si>
    <t>=IF($M4456&gt;=$P$18,U4456,0)</t>
  </si>
  <si>
    <t>=IF(AND($M4456&gt;=$Q$16,$M4456&lt;=$Q$18),U4456,0)</t>
  </si>
  <si>
    <t>=IF(AND($M4456&gt;=$R$16,$M4456&lt;=$R$18),U4456,0)</t>
  </si>
  <si>
    <t>=IF(AND($M4456&gt;=$S$16,$M4456&lt;=$S$18),U4456,0)</t>
  </si>
  <si>
    <t>=IF($M4456&lt;=$T$18,U4456,0)</t>
  </si>
  <si>
    <t>="""NAV Direct"",""CRONUS JetCorp USA"",""21"",""1"",""399050"""</t>
  </si>
  <si>
    <t>=E4455</t>
  </si>
  <si>
    <t>=StartDate-$M4457+1</t>
  </si>
  <si>
    <t>=SUM(P4457:T4457)</t>
  </si>
  <si>
    <t>=IF($M4457&gt;=$P$18,U4457,0)</t>
  </si>
  <si>
    <t>=IF(AND($M4457&gt;=$Q$16,$M4457&lt;=$Q$18),U4457,0)</t>
  </si>
  <si>
    <t>=IF(AND($M4457&gt;=$R$16,$M4457&lt;=$R$18),U4457,0)</t>
  </si>
  <si>
    <t>=IF(AND($M4457&gt;=$S$16,$M4457&lt;=$S$18),U4457,0)</t>
  </si>
  <si>
    <t>=IF($M4457&lt;=$T$18,U4457,0)</t>
  </si>
  <si>
    <t>="""NAV Direct"",""CRONUS JetCorp USA"",""21"",""1"",""399101"""</t>
  </si>
  <si>
    <t>=E4456</t>
  </si>
  <si>
    <t>=StartDate-$M4458+1</t>
  </si>
  <si>
    <t>=SUM(P4458:T4458)</t>
  </si>
  <si>
    <t>=IF($M4458&gt;=$P$18,U4458,0)</t>
  </si>
  <si>
    <t>=IF(AND($M4458&gt;=$Q$16,$M4458&lt;=$Q$18),U4458,0)</t>
  </si>
  <si>
    <t>=IF(AND($M4458&gt;=$R$16,$M4458&lt;=$R$18),U4458,0)</t>
  </si>
  <si>
    <t>=IF(AND($M4458&gt;=$S$16,$M4458&lt;=$S$18),U4458,0)</t>
  </si>
  <si>
    <t>=IF($M4458&lt;=$T$18,U4458,0)</t>
  </si>
  <si>
    <t>="""NAV Direct"",""CRONUS JetCorp USA"",""21"",""1"",""399343"""</t>
  </si>
  <si>
    <t>=E4457</t>
  </si>
  <si>
    <t>=StartDate-$M4459+1</t>
  </si>
  <si>
    <t>=SUM(P4459:T4459)</t>
  </si>
  <si>
    <t>=IF($M4459&gt;=$P$18,U4459,0)</t>
  </si>
  <si>
    <t>=IF(AND($M4459&gt;=$Q$16,$M4459&lt;=$Q$18),U4459,0)</t>
  </si>
  <si>
    <t>=IF(AND($M4459&gt;=$R$16,$M4459&lt;=$R$18),U4459,0)</t>
  </si>
  <si>
    <t>=IF(AND($M4459&gt;=$S$16,$M4459&lt;=$S$18),U4459,0)</t>
  </si>
  <si>
    <t>=IF($M4459&lt;=$T$18,U4459,0)</t>
  </si>
  <si>
    <t>="""NAV Direct"",""CRONUS JetCorp USA"",""21"",""1"",""399762"""</t>
  </si>
  <si>
    <t>=E4458</t>
  </si>
  <si>
    <t>=StartDate-$M4460+1</t>
  </si>
  <si>
    <t>=SUM(P4460:T4460)</t>
  </si>
  <si>
    <t>=IF($M4460&gt;=$P$18,U4460,0)</t>
  </si>
  <si>
    <t>=IF(AND($M4460&gt;=$Q$16,$M4460&lt;=$Q$18),U4460,0)</t>
  </si>
  <si>
    <t>=IF(AND($M4460&gt;=$R$16,$M4460&lt;=$R$18),U4460,0)</t>
  </si>
  <si>
    <t>=IF(AND($M4460&gt;=$S$16,$M4460&lt;=$S$18),U4460,0)</t>
  </si>
  <si>
    <t>=IF($M4460&lt;=$T$18,U4460,0)</t>
  </si>
  <si>
    <t>="""NAV Direct"",""CRONUS JetCorp USA"",""21"",""1"",""399864"""</t>
  </si>
  <si>
    <t>=E4459</t>
  </si>
  <si>
    <t>=StartDate-$M4461+1</t>
  </si>
  <si>
    <t>=SUM(P4461:T4461)</t>
  </si>
  <si>
    <t>=IF($M4461&gt;=$P$18,U4461,0)</t>
  </si>
  <si>
    <t>=IF(AND($M4461&gt;=$Q$16,$M4461&lt;=$Q$18),U4461,0)</t>
  </si>
  <si>
    <t>=IF(AND($M4461&gt;=$R$16,$M4461&lt;=$R$18),U4461,0)</t>
  </si>
  <si>
    <t>=IF(AND($M4461&gt;=$S$16,$M4461&lt;=$S$18),U4461,0)</t>
  </si>
  <si>
    <t>=IF($M4461&lt;=$T$18,U4461,0)</t>
  </si>
  <si>
    <t>="""NAV Direct"",""CRONUS JetCorp USA"",""21"",""1"",""400496"""</t>
  </si>
  <si>
    <t>=E4460</t>
  </si>
  <si>
    <t>=StartDate-$M4462+1</t>
  </si>
  <si>
    <t>=SUM(P4462:T4462)</t>
  </si>
  <si>
    <t>=IF($M4462&gt;=$P$18,U4462,0)</t>
  </si>
  <si>
    <t>=IF(AND($M4462&gt;=$Q$16,$M4462&lt;=$Q$18),U4462,0)</t>
  </si>
  <si>
    <t>=IF(AND($M4462&gt;=$R$16,$M4462&lt;=$R$18),U4462,0)</t>
  </si>
  <si>
    <t>=IF(AND($M4462&gt;=$S$16,$M4462&lt;=$S$18),U4462,0)</t>
  </si>
  <si>
    <t>=IF($M4462&lt;=$T$18,U4462,0)</t>
  </si>
  <si>
    <t>="""NAV Direct"",""CRONUS JetCorp USA"",""21"",""1"",""400923"""</t>
  </si>
  <si>
    <t>=E4461</t>
  </si>
  <si>
    <t>=StartDate-$M4463+1</t>
  </si>
  <si>
    <t>=SUM(P4463:T4463)</t>
  </si>
  <si>
    <t>=IF($M4463&gt;=$P$18,U4463,0)</t>
  </si>
  <si>
    <t>=IF(AND($M4463&gt;=$Q$16,$M4463&lt;=$Q$18),U4463,0)</t>
  </si>
  <si>
    <t>=IF(AND($M4463&gt;=$R$16,$M4463&lt;=$R$18),U4463,0)</t>
  </si>
  <si>
    <t>=IF(AND($M4463&gt;=$S$16,$M4463&lt;=$S$18),U4463,0)</t>
  </si>
  <si>
    <t>=IF($M4463&lt;=$T$18,U4463,0)</t>
  </si>
  <si>
    <t>="""NAV Direct"",""CRONUS JetCorp USA"",""21"",""1"",""401013"""</t>
  </si>
  <si>
    <t>=E4462</t>
  </si>
  <si>
    <t>=StartDate-$M4464+1</t>
  </si>
  <si>
    <t>=SUM(P4464:T4464)</t>
  </si>
  <si>
    <t>=IF($M4464&gt;=$P$18,U4464,0)</t>
  </si>
  <si>
    <t>=IF(AND($M4464&gt;=$Q$16,$M4464&lt;=$Q$18),U4464,0)</t>
  </si>
  <si>
    <t>=IF(AND($M4464&gt;=$R$16,$M4464&lt;=$R$18),U4464,0)</t>
  </si>
  <si>
    <t>=IF(AND($M4464&gt;=$S$16,$M4464&lt;=$S$18),U4464,0)</t>
  </si>
  <si>
    <t>=IF($M4464&lt;=$T$18,U4464,0)</t>
  </si>
  <si>
    <t>="""NAV Direct"",""CRONUS JetCorp USA"",""21"",""1"",""401363"""</t>
  </si>
  <si>
    <t>=E4463</t>
  </si>
  <si>
    <t>=StartDate-$M4465+1</t>
  </si>
  <si>
    <t>=SUM(P4465:T4465)</t>
  </si>
  <si>
    <t>=IF($M4465&gt;=$P$18,U4465,0)</t>
  </si>
  <si>
    <t>=IF(AND($M4465&gt;=$Q$16,$M4465&lt;=$Q$18),U4465,0)</t>
  </si>
  <si>
    <t>=IF(AND($M4465&gt;=$R$16,$M4465&lt;=$R$18),U4465,0)</t>
  </si>
  <si>
    <t>=IF(AND($M4465&gt;=$S$16,$M4465&lt;=$S$18),U4465,0)</t>
  </si>
  <si>
    <t>=IF($M4465&lt;=$T$18,U4465,0)</t>
  </si>
  <si>
    <t>="""NAV Direct"",""CRONUS JetCorp USA"",""21"",""1"",""438741"""</t>
  </si>
  <si>
    <t>=E4464</t>
  </si>
  <si>
    <t>=StartDate-$M4466+1</t>
  </si>
  <si>
    <t>=SUM(P4466:T4466)</t>
  </si>
  <si>
    <t>=IF($M4466&gt;=$P$18,U4466,0)</t>
  </si>
  <si>
    <t>=IF(AND($M4466&gt;=$Q$16,$M4466&lt;=$Q$18),U4466,0)</t>
  </si>
  <si>
    <t>=IF(AND($M4466&gt;=$R$16,$M4466&lt;=$R$18),U4466,0)</t>
  </si>
  <si>
    <t>=IF(AND($M4466&gt;=$S$16,$M4466&lt;=$S$18),U4466,0)</t>
  </si>
  <si>
    <t>=IF($M4466&lt;=$T$18,U4466,0)</t>
  </si>
  <si>
    <t>="""NAV Direct"",""CRONUS JetCorp USA"",""21"",""1"",""439278"""</t>
  </si>
  <si>
    <t>=E4465</t>
  </si>
  <si>
    <t>=StartDate-$M4467+1</t>
  </si>
  <si>
    <t>=SUM(P4467:T4467)</t>
  </si>
  <si>
    <t>=IF($M4467&gt;=$P$18,U4467,0)</t>
  </si>
  <si>
    <t>=IF(AND($M4467&gt;=$Q$16,$M4467&lt;=$Q$18),U4467,0)</t>
  </si>
  <si>
    <t>=IF(AND($M4467&gt;=$R$16,$M4467&lt;=$R$18),U4467,0)</t>
  </si>
  <si>
    <t>=IF(AND($M4467&gt;=$S$16,$M4467&lt;=$S$18),U4467,0)</t>
  </si>
  <si>
    <t>=IF($M4467&lt;=$T$18,U4467,0)</t>
  </si>
  <si>
    <t>="""NAV Direct"",""CRONUS JetCorp USA"",""21"",""1"",""439297"""</t>
  </si>
  <si>
    <t>=E4466</t>
  </si>
  <si>
    <t>=StartDate-$M4468+1</t>
  </si>
  <si>
    <t>=SUM(P4468:T4468)</t>
  </si>
  <si>
    <t>=IF($M4468&gt;=$P$18,U4468,0)</t>
  </si>
  <si>
    <t>=IF(AND($M4468&gt;=$Q$16,$M4468&lt;=$Q$18),U4468,0)</t>
  </si>
  <si>
    <t>=IF(AND($M4468&gt;=$R$16,$M4468&lt;=$R$18),U4468,0)</t>
  </si>
  <si>
    <t>=IF(AND($M4468&gt;=$S$16,$M4468&lt;=$S$18),U4468,0)</t>
  </si>
  <si>
    <t>=IF($M4468&lt;=$T$18,U4468,0)</t>
  </si>
  <si>
    <t>="""NAV Direct"",""CRONUS JetCorp USA"",""21"",""1"",""439538"""</t>
  </si>
  <si>
    <t>=E4467</t>
  </si>
  <si>
    <t>=StartDate-$M4469+1</t>
  </si>
  <si>
    <t>=SUM(P4469:T4469)</t>
  </si>
  <si>
    <t>=IF($M4469&gt;=$P$18,U4469,0)</t>
  </si>
  <si>
    <t>=IF(AND($M4469&gt;=$Q$16,$M4469&lt;=$Q$18),U4469,0)</t>
  </si>
  <si>
    <t>=IF(AND($M4469&gt;=$R$16,$M4469&lt;=$R$18),U4469,0)</t>
  </si>
  <si>
    <t>=IF(AND($M4469&gt;=$S$16,$M4469&lt;=$S$18),U4469,0)</t>
  </si>
  <si>
    <t>=IF($M4469&lt;=$T$18,U4469,0)</t>
  </si>
  <si>
    <t>="""NAV Direct"",""CRONUS JetCorp USA"",""21"",""1"",""439881"""</t>
  </si>
  <si>
    <t>=E4468</t>
  </si>
  <si>
    <t>=StartDate-$M4470+1</t>
  </si>
  <si>
    <t>=SUM(P4470:T4470)</t>
  </si>
  <si>
    <t>=IF($M4470&gt;=$P$18,U4470,0)</t>
  </si>
  <si>
    <t>=IF(AND($M4470&gt;=$Q$16,$M4470&lt;=$Q$18),U4470,0)</t>
  </si>
  <si>
    <t>=IF(AND($M4470&gt;=$R$16,$M4470&lt;=$R$18),U4470,0)</t>
  </si>
  <si>
    <t>=IF(AND($M4470&gt;=$S$16,$M4470&lt;=$S$18),U4470,0)</t>
  </si>
  <si>
    <t>=IF($M4470&lt;=$T$18,U4470,0)</t>
  </si>
  <si>
    <t>="""NAV Direct"",""CRONUS JetCorp USA"",""18"",""1"",""C100127"""</t>
  </si>
  <si>
    <t>=H4473</t>
  </si>
  <si>
    <t>=NF($C4473,"1 No.")</t>
  </si>
  <si>
    <t>=NF($C4473,"1 No.")&amp;"  -  "&amp;NF($C4473,"2 Name")</t>
  </si>
  <si>
    <t>=IFERROR(O4473/NF(C4473,"Credit Limit (LCY)"),"")</t>
  </si>
  <si>
    <t>=SUBTOTAL(3,L4474:L4520)</t>
  </si>
  <si>
    <t>=SUBTOTAL(9,O4474:O4520)</t>
  </si>
  <si>
    <t>=SUBTOTAL(9,P4474:P4520)</t>
  </si>
  <si>
    <t>=SUBTOTAL(9,Q4474:Q4520)</t>
  </si>
  <si>
    <t>=SUBTOTAL(9,R4474:R4520)</t>
  </si>
  <si>
    <t>=SUBTOTAL(9,S4474:S4520)</t>
  </si>
  <si>
    <t>=SUBTOTAL(9,T4474:T4520)</t>
  </si>
  <si>
    <t>=C4473</t>
  </si>
  <si>
    <t>=E4473</t>
  </si>
  <si>
    <t>="Contact: "&amp;NF($C4474,"8 Contact")</t>
  </si>
  <si>
    <t>=C4474</t>
  </si>
  <si>
    <t>=E4474</t>
  </si>
  <si>
    <t>=NF($C4475,"102 E-Mail")</t>
  </si>
  <si>
    <t>=NL("Rows","21 Cust. Ledger Entry",,"3 Customer No.","@@"&amp;$E4477,"16 Remaining Amt. (LCY)","&lt;&gt;0")</t>
  </si>
  <si>
    <t>=E4475</t>
  </si>
  <si>
    <t>=StartDate-$M4477+1</t>
  </si>
  <si>
    <t>=SUM(P4477:T4477)</t>
  </si>
  <si>
    <t>=IF($M4477&gt;=$P$18,U4477,0)</t>
  </si>
  <si>
    <t>=IF(AND($M4477&gt;=$Q$16,$M4477&lt;=$Q$18),U4477,0)</t>
  </si>
  <si>
    <t>=IF(AND($M4477&gt;=$R$16,$M4477&lt;=$R$18),U4477,0)</t>
  </si>
  <si>
    <t>=IF(AND($M4477&gt;=$S$16,$M4477&lt;=$S$18),U4477,0)</t>
  </si>
  <si>
    <t>=IF($M4477&lt;=$T$18,U4477,0)</t>
  </si>
  <si>
    <t>="""NAV Direct"",""CRONUS JetCorp USA"",""21"",""1"",""131482"""</t>
  </si>
  <si>
    <t>=E4476</t>
  </si>
  <si>
    <t>=StartDate-$M4478+1</t>
  </si>
  <si>
    <t>=SUM(P4478:T4478)</t>
  </si>
  <si>
    <t>=IF($M4478&gt;=$P$18,U4478,0)</t>
  </si>
  <si>
    <t>=IF(AND($M4478&gt;=$Q$16,$M4478&lt;=$Q$18),U4478,0)</t>
  </si>
  <si>
    <t>=IF(AND($M4478&gt;=$R$16,$M4478&lt;=$R$18),U4478,0)</t>
  </si>
  <si>
    <t>=IF(AND($M4478&gt;=$S$16,$M4478&lt;=$S$18),U4478,0)</t>
  </si>
  <si>
    <t>=IF($M4478&lt;=$T$18,U4478,0)</t>
  </si>
  <si>
    <t>="""NAV Direct"",""CRONUS JetCorp USA"",""21"",""1"",""131987"""</t>
  </si>
  <si>
    <t>=E4477</t>
  </si>
  <si>
    <t>=StartDate-$M4479+1</t>
  </si>
  <si>
    <t>=SUM(P4479:T4479)</t>
  </si>
  <si>
    <t>=IF($M4479&gt;=$P$18,U4479,0)</t>
  </si>
  <si>
    <t>=IF(AND($M4479&gt;=$Q$16,$M4479&lt;=$Q$18),U4479,0)</t>
  </si>
  <si>
    <t>=IF(AND($M4479&gt;=$R$16,$M4479&lt;=$R$18),U4479,0)</t>
  </si>
  <si>
    <t>=IF(AND($M4479&gt;=$S$16,$M4479&lt;=$S$18),U4479,0)</t>
  </si>
  <si>
    <t>=IF($M4479&lt;=$T$18,U4479,0)</t>
  </si>
  <si>
    <t>="""NAV Direct"",""CRONUS JetCorp USA"",""21"",""1"",""384176"""</t>
  </si>
  <si>
    <t>=E4478</t>
  </si>
  <si>
    <t>=StartDate-$M4480+1</t>
  </si>
  <si>
    <t>=SUM(P4480:T4480)</t>
  </si>
  <si>
    <t>=IF($M4480&gt;=$P$18,U4480,0)</t>
  </si>
  <si>
    <t>=IF(AND($M4480&gt;=$Q$16,$M4480&lt;=$Q$18),U4480,0)</t>
  </si>
  <si>
    <t>=IF(AND($M4480&gt;=$R$16,$M4480&lt;=$R$18),U4480,0)</t>
  </si>
  <si>
    <t>=IF(AND($M4480&gt;=$S$16,$M4480&lt;=$S$18),U4480,0)</t>
  </si>
  <si>
    <t>=IF($M4480&lt;=$T$18,U4480,0)</t>
  </si>
  <si>
    <t>="""NAV Direct"",""CRONUS JetCorp USA"",""21"",""1"",""384867"""</t>
  </si>
  <si>
    <t>=E4479</t>
  </si>
  <si>
    <t>=StartDate-$M4481+1</t>
  </si>
  <si>
    <t>=SUM(P4481:T4481)</t>
  </si>
  <si>
    <t>=IF($M4481&gt;=$P$18,U4481,0)</t>
  </si>
  <si>
    <t>=IF(AND($M4481&gt;=$Q$16,$M4481&lt;=$Q$18),U4481,0)</t>
  </si>
  <si>
    <t>=IF(AND($M4481&gt;=$R$16,$M4481&lt;=$R$18),U4481,0)</t>
  </si>
  <si>
    <t>=IF(AND($M4481&gt;=$S$16,$M4481&lt;=$S$18),U4481,0)</t>
  </si>
  <si>
    <t>=IF($M4481&lt;=$T$18,U4481,0)</t>
  </si>
  <si>
    <t>="""NAV Direct"",""CRONUS JetCorp USA"",""21"",""1"",""386614"""</t>
  </si>
  <si>
    <t>=E4480</t>
  </si>
  <si>
    <t>=StartDate-$M4482+1</t>
  </si>
  <si>
    <t>=SUM(P4482:T4482)</t>
  </si>
  <si>
    <t>=IF($M4482&gt;=$P$18,U4482,0)</t>
  </si>
  <si>
    <t>=IF(AND($M4482&gt;=$Q$16,$M4482&lt;=$Q$18),U4482,0)</t>
  </si>
  <si>
    <t>=IF(AND($M4482&gt;=$R$16,$M4482&lt;=$R$18),U4482,0)</t>
  </si>
  <si>
    <t>=IF(AND($M4482&gt;=$S$16,$M4482&lt;=$S$18),U4482,0)</t>
  </si>
  <si>
    <t>=IF($M4482&lt;=$T$18,U4482,0)</t>
  </si>
  <si>
    <t>="""NAV Direct"",""CRONUS JetCorp USA"",""21"",""1"",""386759"""</t>
  </si>
  <si>
    <t>=E4481</t>
  </si>
  <si>
    <t>=StartDate-$M4483+1</t>
  </si>
  <si>
    <t>=SUM(P4483:T4483)</t>
  </si>
  <si>
    <t>=IF($M4483&gt;=$P$18,U4483,0)</t>
  </si>
  <si>
    <t>=IF(AND($M4483&gt;=$Q$16,$M4483&lt;=$Q$18),U4483,0)</t>
  </si>
  <si>
    <t>=IF(AND($M4483&gt;=$R$16,$M4483&lt;=$R$18),U4483,0)</t>
  </si>
  <si>
    <t>=IF(AND($M4483&gt;=$S$16,$M4483&lt;=$S$18),U4483,0)</t>
  </si>
  <si>
    <t>=IF($M4483&lt;=$T$18,U4483,0)</t>
  </si>
  <si>
    <t>="""NAV Direct"",""CRONUS JetCorp USA"",""21"",""1"",""387844"""</t>
  </si>
  <si>
    <t>=E4482</t>
  </si>
  <si>
    <t>=StartDate-$M4484+1</t>
  </si>
  <si>
    <t>=SUM(P4484:T4484)</t>
  </si>
  <si>
    <t>=IF($M4484&gt;=$P$18,U4484,0)</t>
  </si>
  <si>
    <t>=IF(AND($M4484&gt;=$Q$16,$M4484&lt;=$Q$18),U4484,0)</t>
  </si>
  <si>
    <t>=IF(AND($M4484&gt;=$R$16,$M4484&lt;=$R$18),U4484,0)</t>
  </si>
  <si>
    <t>=IF(AND($M4484&gt;=$S$16,$M4484&lt;=$S$18),U4484,0)</t>
  </si>
  <si>
    <t>=IF($M4484&lt;=$T$18,U4484,0)</t>
  </si>
  <si>
    <t>="""NAV Direct"",""CRONUS JetCorp USA"",""21"",""1"",""388644"""</t>
  </si>
  <si>
    <t>=E4483</t>
  </si>
  <si>
    <t>=StartDate-$M4485+1</t>
  </si>
  <si>
    <t>=SUM(P4485:T4485)</t>
  </si>
  <si>
    <t>=IF($M4485&gt;=$P$18,U4485,0)</t>
  </si>
  <si>
    <t>=IF(AND($M4485&gt;=$Q$16,$M4485&lt;=$Q$18),U4485,0)</t>
  </si>
  <si>
    <t>=IF(AND($M4485&gt;=$R$16,$M4485&lt;=$R$18),U4485,0)</t>
  </si>
  <si>
    <t>=IF(AND($M4485&gt;=$S$16,$M4485&lt;=$S$18),U4485,0)</t>
  </si>
  <si>
    <t>=IF($M4485&lt;=$T$18,U4485,0)</t>
  </si>
  <si>
    <t>="""NAV Direct"",""CRONUS JetCorp USA"",""21"",""1"",""389559"""</t>
  </si>
  <si>
    <t>=E4484</t>
  </si>
  <si>
    <t>=StartDate-$M4486+1</t>
  </si>
  <si>
    <t>=SUM(P4486:T4486)</t>
  </si>
  <si>
    <t>=IF($M4486&gt;=$P$18,U4486,0)</t>
  </si>
  <si>
    <t>=IF(AND($M4486&gt;=$Q$16,$M4486&lt;=$Q$18),U4486,0)</t>
  </si>
  <si>
    <t>=IF(AND($M4486&gt;=$R$16,$M4486&lt;=$R$18),U4486,0)</t>
  </si>
  <si>
    <t>=IF(AND($M4486&gt;=$S$16,$M4486&lt;=$S$18),U4486,0)</t>
  </si>
  <si>
    <t>=IF($M4486&lt;=$T$18,U4486,0)</t>
  </si>
  <si>
    <t>="""NAV Direct"",""CRONUS JetCorp USA"",""21"",""1"",""389987"""</t>
  </si>
  <si>
    <t>=E4485</t>
  </si>
  <si>
    <t>=StartDate-$M4487+1</t>
  </si>
  <si>
    <t>=SUM(P4487:T4487)</t>
  </si>
  <si>
    <t>=IF($M4487&gt;=$P$18,U4487,0)</t>
  </si>
  <si>
    <t>=IF(AND($M4487&gt;=$Q$16,$M4487&lt;=$Q$18),U4487,0)</t>
  </si>
  <si>
    <t>=IF(AND($M4487&gt;=$R$16,$M4487&lt;=$R$18),U4487,0)</t>
  </si>
  <si>
    <t>=IF(AND($M4487&gt;=$S$16,$M4487&lt;=$S$18),U4487,0)</t>
  </si>
  <si>
    <t>=IF($M4487&lt;=$T$18,U4487,0)</t>
  </si>
  <si>
    <t>="""NAV Direct"",""CRONUS JetCorp USA"",""21"",""1"",""390705"""</t>
  </si>
  <si>
    <t>=E4486</t>
  </si>
  <si>
    <t>=StartDate-$M4488+1</t>
  </si>
  <si>
    <t>=SUM(P4488:T4488)</t>
  </si>
  <si>
    <t>=IF($M4488&gt;=$P$18,U4488,0)</t>
  </si>
  <si>
    <t>=IF(AND($M4488&gt;=$Q$16,$M4488&lt;=$Q$18),U4488,0)</t>
  </si>
  <si>
    <t>=IF(AND($M4488&gt;=$R$16,$M4488&lt;=$R$18),U4488,0)</t>
  </si>
  <si>
    <t>=IF(AND($M4488&gt;=$S$16,$M4488&lt;=$S$18),U4488,0)</t>
  </si>
  <si>
    <t>=IF($M4488&lt;=$T$18,U4488,0)</t>
  </si>
  <si>
    <t>="""NAV Direct"",""CRONUS JetCorp USA"",""21"",""1"",""391076"""</t>
  </si>
  <si>
    <t>=E4487</t>
  </si>
  <si>
    <t>=StartDate-$M4489+1</t>
  </si>
  <si>
    <t>=SUM(P4489:T4489)</t>
  </si>
  <si>
    <t>=IF($M4489&gt;=$P$18,U4489,0)</t>
  </si>
  <si>
    <t>=IF(AND($M4489&gt;=$Q$16,$M4489&lt;=$Q$18),U4489,0)</t>
  </si>
  <si>
    <t>=IF(AND($M4489&gt;=$R$16,$M4489&lt;=$R$18),U4489,0)</t>
  </si>
  <si>
    <t>=IF(AND($M4489&gt;=$S$16,$M4489&lt;=$S$18),U4489,0)</t>
  </si>
  <si>
    <t>=IF($M4489&lt;=$T$18,U4489,0)</t>
  </si>
  <si>
    <t>="""NAV Direct"",""CRONUS JetCorp USA"",""21"",""1"",""391615"""</t>
  </si>
  <si>
    <t>=E4488</t>
  </si>
  <si>
    <t>=StartDate-$M4490+1</t>
  </si>
  <si>
    <t>=SUM(P4490:T4490)</t>
  </si>
  <si>
    <t>=IF($M4490&gt;=$P$18,U4490,0)</t>
  </si>
  <si>
    <t>=IF(AND($M4490&gt;=$Q$16,$M4490&lt;=$Q$18),U4490,0)</t>
  </si>
  <si>
    <t>=IF(AND($M4490&gt;=$R$16,$M4490&lt;=$R$18),U4490,0)</t>
  </si>
  <si>
    <t>=IF(AND($M4490&gt;=$S$16,$M4490&lt;=$S$18),U4490,0)</t>
  </si>
  <si>
    <t>=IF($M4490&lt;=$T$18,U4490,0)</t>
  </si>
  <si>
    <t>="""NAV Direct"",""CRONUS JetCorp USA"",""21"",""1"",""391796"""</t>
  </si>
  <si>
    <t>=E4489</t>
  </si>
  <si>
    <t>=StartDate-$M4491+1</t>
  </si>
  <si>
    <t>=SUM(P4491:T4491)</t>
  </si>
  <si>
    <t>=IF($M4491&gt;=$P$18,U4491,0)</t>
  </si>
  <si>
    <t>=IF(AND($M4491&gt;=$Q$16,$M4491&lt;=$Q$18),U4491,0)</t>
  </si>
  <si>
    <t>=IF(AND($M4491&gt;=$R$16,$M4491&lt;=$R$18),U4491,0)</t>
  </si>
  <si>
    <t>=IF(AND($M4491&gt;=$S$16,$M4491&lt;=$S$18),U4491,0)</t>
  </si>
  <si>
    <t>=IF($M4491&lt;=$T$18,U4491,0)</t>
  </si>
  <si>
    <t>="""NAV Direct"",""CRONUS JetCorp USA"",""21"",""1"",""392316"""</t>
  </si>
  <si>
    <t>=E4490</t>
  </si>
  <si>
    <t>=StartDate-$M4492+1</t>
  </si>
  <si>
    <t>=SUM(P4492:T4492)</t>
  </si>
  <si>
    <t>=IF($M4492&gt;=$P$18,U4492,0)</t>
  </si>
  <si>
    <t>=IF(AND($M4492&gt;=$Q$16,$M4492&lt;=$Q$18),U4492,0)</t>
  </si>
  <si>
    <t>=IF(AND($M4492&gt;=$R$16,$M4492&lt;=$R$18),U4492,0)</t>
  </si>
  <si>
    <t>=IF(AND($M4492&gt;=$S$16,$M4492&lt;=$S$18),U4492,0)</t>
  </si>
  <si>
    <t>=IF($M4492&lt;=$T$18,U4492,0)</t>
  </si>
  <si>
    <t>="""NAV Direct"",""CRONUS JetCorp USA"",""21"",""1"",""392719"""</t>
  </si>
  <si>
    <t>=E4491</t>
  </si>
  <si>
    <t>=StartDate-$M4493+1</t>
  </si>
  <si>
    <t>=SUM(P4493:T4493)</t>
  </si>
  <si>
    <t>=IF($M4493&gt;=$P$18,U4493,0)</t>
  </si>
  <si>
    <t>=IF(AND($M4493&gt;=$Q$16,$M4493&lt;=$Q$18),U4493,0)</t>
  </si>
  <si>
    <t>=IF(AND($M4493&gt;=$R$16,$M4493&lt;=$R$18),U4493,0)</t>
  </si>
  <si>
    <t>=IF(AND($M4493&gt;=$S$16,$M4493&lt;=$S$18),U4493,0)</t>
  </si>
  <si>
    <t>=IF($M4493&lt;=$T$18,U4493,0)</t>
  </si>
  <si>
    <t>="""NAV Direct"",""CRONUS JetCorp USA"",""21"",""1"",""393135"""</t>
  </si>
  <si>
    <t>=E4492</t>
  </si>
  <si>
    <t>=StartDate-$M4494+1</t>
  </si>
  <si>
    <t>=SUM(P4494:T4494)</t>
  </si>
  <si>
    <t>=IF($M4494&gt;=$P$18,U4494,0)</t>
  </si>
  <si>
    <t>=IF(AND($M4494&gt;=$Q$16,$M4494&lt;=$Q$18),U4494,0)</t>
  </si>
  <si>
    <t>=IF(AND($M4494&gt;=$R$16,$M4494&lt;=$R$18),U4494,0)</t>
  </si>
  <si>
    <t>=IF(AND($M4494&gt;=$S$16,$M4494&lt;=$S$18),U4494,0)</t>
  </si>
  <si>
    <t>=IF($M4494&lt;=$T$18,U4494,0)</t>
  </si>
  <si>
    <t>="""NAV Direct"",""CRONUS JetCorp USA"",""21"",""1"",""394369"""</t>
  </si>
  <si>
    <t>=E4493</t>
  </si>
  <si>
    <t>=StartDate-$M4495+1</t>
  </si>
  <si>
    <t>=SUM(P4495:T4495)</t>
  </si>
  <si>
    <t>=IF($M4495&gt;=$P$18,U4495,0)</t>
  </si>
  <si>
    <t>=IF(AND($M4495&gt;=$Q$16,$M4495&lt;=$Q$18),U4495,0)</t>
  </si>
  <si>
    <t>=IF(AND($M4495&gt;=$R$16,$M4495&lt;=$R$18),U4495,0)</t>
  </si>
  <si>
    <t>=IF(AND($M4495&gt;=$S$16,$M4495&lt;=$S$18),U4495,0)</t>
  </si>
  <si>
    <t>=IF($M4495&lt;=$T$18,U4495,0)</t>
  </si>
  <si>
    <t>="""NAV Direct"",""CRONUS JetCorp USA"",""21"",""1"",""395160"""</t>
  </si>
  <si>
    <t>=E4494</t>
  </si>
  <si>
    <t>=StartDate-$M4496+1</t>
  </si>
  <si>
    <t>=SUM(P4496:T4496)</t>
  </si>
  <si>
    <t>=IF($M4496&gt;=$P$18,U4496,0)</t>
  </si>
  <si>
    <t>=IF(AND($M4496&gt;=$Q$16,$M4496&lt;=$Q$18),U4496,0)</t>
  </si>
  <si>
    <t>=IF(AND($M4496&gt;=$R$16,$M4496&lt;=$R$18),U4496,0)</t>
  </si>
  <si>
    <t>=IF(AND($M4496&gt;=$S$16,$M4496&lt;=$S$18),U4496,0)</t>
  </si>
  <si>
    <t>=IF($M4496&lt;=$T$18,U4496,0)</t>
  </si>
  <si>
    <t>="""NAV Direct"",""CRONUS JetCorp USA"",""21"",""1"",""395315"""</t>
  </si>
  <si>
    <t>=E4495</t>
  </si>
  <si>
    <t>=StartDate-$M4497+1</t>
  </si>
  <si>
    <t>=SUM(P4497:T4497)</t>
  </si>
  <si>
    <t>=IF($M4497&gt;=$P$18,U4497,0)</t>
  </si>
  <si>
    <t>=IF(AND($M4497&gt;=$Q$16,$M4497&lt;=$Q$18),U4497,0)</t>
  </si>
  <si>
    <t>=IF(AND($M4497&gt;=$R$16,$M4497&lt;=$R$18),U4497,0)</t>
  </si>
  <si>
    <t>=IF(AND($M4497&gt;=$S$16,$M4497&lt;=$S$18),U4497,0)</t>
  </si>
  <si>
    <t>=IF($M4497&lt;=$T$18,U4497,0)</t>
  </si>
  <si>
    <t>="""NAV Direct"",""CRONUS JetCorp USA"",""21"",""1"",""396101"""</t>
  </si>
  <si>
    <t>=E4496</t>
  </si>
  <si>
    <t>=StartDate-$M4498+1</t>
  </si>
  <si>
    <t>=SUM(P4498:T4498)</t>
  </si>
  <si>
    <t>=IF($M4498&gt;=$P$18,U4498,0)</t>
  </si>
  <si>
    <t>=IF(AND($M4498&gt;=$Q$16,$M4498&lt;=$Q$18),U4498,0)</t>
  </si>
  <si>
    <t>=IF(AND($M4498&gt;=$R$16,$M4498&lt;=$R$18),U4498,0)</t>
  </si>
  <si>
    <t>=IF(AND($M4498&gt;=$S$16,$M4498&lt;=$S$18),U4498,0)</t>
  </si>
  <si>
    <t>=IF($M4498&lt;=$T$18,U4498,0)</t>
  </si>
  <si>
    <t>="""NAV Direct"",""CRONUS JetCorp USA"",""21"",""1"",""396435"""</t>
  </si>
  <si>
    <t>=E4497</t>
  </si>
  <si>
    <t>=StartDate-$M4499+1</t>
  </si>
  <si>
    <t>=SUM(P4499:T4499)</t>
  </si>
  <si>
    <t>=IF($M4499&gt;=$P$18,U4499,0)</t>
  </si>
  <si>
    <t>=IF(AND($M4499&gt;=$Q$16,$M4499&lt;=$Q$18),U4499,0)</t>
  </si>
  <si>
    <t>=IF(AND($M4499&gt;=$R$16,$M4499&lt;=$R$18),U4499,0)</t>
  </si>
  <si>
    <t>=IF(AND($M4499&gt;=$S$16,$M4499&lt;=$S$18),U4499,0)</t>
  </si>
  <si>
    <t>=IF($M4499&lt;=$T$18,U4499,0)</t>
  </si>
  <si>
    <t>="""NAV Direct"",""CRONUS JetCorp USA"",""21"",""1"",""396811"""</t>
  </si>
  <si>
    <t>=E4498</t>
  </si>
  <si>
    <t>=StartDate-$M4500+1</t>
  </si>
  <si>
    <t>=SUM(P4500:T4500)</t>
  </si>
  <si>
    <t>=IF($M4500&gt;=$P$18,U4500,0)</t>
  </si>
  <si>
    <t>=IF(AND($M4500&gt;=$Q$16,$M4500&lt;=$Q$18),U4500,0)</t>
  </si>
  <si>
    <t>=IF(AND($M4500&gt;=$R$16,$M4500&lt;=$R$18),U4500,0)</t>
  </si>
  <si>
    <t>=IF(AND($M4500&gt;=$S$16,$M4500&lt;=$S$18),U4500,0)</t>
  </si>
  <si>
    <t>=IF($M4500&lt;=$T$18,U4500,0)</t>
  </si>
  <si>
    <t>="""NAV Direct"",""CRONUS JetCorp USA"",""21"",""1"",""397421"""</t>
  </si>
  <si>
    <t>=E4499</t>
  </si>
  <si>
    <t>=StartDate-$M4501+1</t>
  </si>
  <si>
    <t>=SUM(P4501:T4501)</t>
  </si>
  <si>
    <t>=IF($M4501&gt;=$P$18,U4501,0)</t>
  </si>
  <si>
    <t>=IF(AND($M4501&gt;=$Q$16,$M4501&lt;=$Q$18),U4501,0)</t>
  </si>
  <si>
    <t>=IF(AND($M4501&gt;=$R$16,$M4501&lt;=$R$18),U4501,0)</t>
  </si>
  <si>
    <t>=IF(AND($M4501&gt;=$S$16,$M4501&lt;=$S$18),U4501,0)</t>
  </si>
  <si>
    <t>=IF($M4501&lt;=$T$18,U4501,0)</t>
  </si>
  <si>
    <t>="""NAV Direct"",""CRONUS JetCorp USA"",""21"",""1"",""397598"""</t>
  </si>
  <si>
    <t>=E4500</t>
  </si>
  <si>
    <t>=StartDate-$M4502+1</t>
  </si>
  <si>
    <t>=SUM(P4502:T4502)</t>
  </si>
  <si>
    <t>=IF($M4502&gt;=$P$18,U4502,0)</t>
  </si>
  <si>
    <t>=IF(AND($M4502&gt;=$Q$16,$M4502&lt;=$Q$18),U4502,0)</t>
  </si>
  <si>
    <t>=IF(AND($M4502&gt;=$R$16,$M4502&lt;=$R$18),U4502,0)</t>
  </si>
  <si>
    <t>=IF(AND($M4502&gt;=$S$16,$M4502&lt;=$S$18),U4502,0)</t>
  </si>
  <si>
    <t>=IF($M4502&lt;=$T$18,U4502,0)</t>
  </si>
  <si>
    <t>="""NAV Direct"",""CRONUS JetCorp USA"",""21"",""1"",""397727"""</t>
  </si>
  <si>
    <t>=E4501</t>
  </si>
  <si>
    <t>=StartDate-$M4503+1</t>
  </si>
  <si>
    <t>=SUM(P4503:T4503)</t>
  </si>
  <si>
    <t>=IF($M4503&gt;=$P$18,U4503,0)</t>
  </si>
  <si>
    <t>=IF(AND($M4503&gt;=$Q$16,$M4503&lt;=$Q$18),U4503,0)</t>
  </si>
  <si>
    <t>=IF(AND($M4503&gt;=$R$16,$M4503&lt;=$R$18),U4503,0)</t>
  </si>
  <si>
    <t>=IF(AND($M4503&gt;=$S$16,$M4503&lt;=$S$18),U4503,0)</t>
  </si>
  <si>
    <t>=IF($M4503&lt;=$T$18,U4503,0)</t>
  </si>
  <si>
    <t>="""NAV Direct"",""CRONUS JetCorp USA"",""21"",""1"",""398000"""</t>
  </si>
  <si>
    <t>=E4502</t>
  </si>
  <si>
    <t>=StartDate-$M4504+1</t>
  </si>
  <si>
    <t>=SUM(P4504:T4504)</t>
  </si>
  <si>
    <t>=IF($M4504&gt;=$P$18,U4504,0)</t>
  </si>
  <si>
    <t>=IF(AND($M4504&gt;=$Q$16,$M4504&lt;=$Q$18),U4504,0)</t>
  </si>
  <si>
    <t>=IF(AND($M4504&gt;=$R$16,$M4504&lt;=$R$18),U4504,0)</t>
  </si>
  <si>
    <t>=IF(AND($M4504&gt;=$S$16,$M4504&lt;=$S$18),U4504,0)</t>
  </si>
  <si>
    <t>=IF($M4504&lt;=$T$18,U4504,0)</t>
  </si>
  <si>
    <t>="""NAV Direct"",""CRONUS JetCorp USA"",""21"",""1"",""398792"""</t>
  </si>
  <si>
    <t>=E4503</t>
  </si>
  <si>
    <t>=StartDate-$M4505+1</t>
  </si>
  <si>
    <t>=SUM(P4505:T4505)</t>
  </si>
  <si>
    <t>=IF($M4505&gt;=$P$18,U4505,0)</t>
  </si>
  <si>
    <t>=IF(AND($M4505&gt;=$Q$16,$M4505&lt;=$Q$18),U4505,0)</t>
  </si>
  <si>
    <t>=IF(AND($M4505&gt;=$R$16,$M4505&lt;=$R$18),U4505,0)</t>
  </si>
  <si>
    <t>=IF(AND($M4505&gt;=$S$16,$M4505&lt;=$S$18),U4505,0)</t>
  </si>
  <si>
    <t>=IF($M4505&lt;=$T$18,U4505,0)</t>
  </si>
  <si>
    <t>="""NAV Direct"",""CRONUS JetCorp USA"",""21"",""1"",""399392"""</t>
  </si>
  <si>
    <t>=E4504</t>
  </si>
  <si>
    <t>=StartDate-$M4506+1</t>
  </si>
  <si>
    <t>=SUM(P4506:T4506)</t>
  </si>
  <si>
    <t>=IF($M4506&gt;=$P$18,U4506,0)</t>
  </si>
  <si>
    <t>=IF(AND($M4506&gt;=$Q$16,$M4506&lt;=$Q$18),U4506,0)</t>
  </si>
  <si>
    <t>=IF(AND($M4506&gt;=$R$16,$M4506&lt;=$R$18),U4506,0)</t>
  </si>
  <si>
    <t>=IF(AND($M4506&gt;=$S$16,$M4506&lt;=$S$18),U4506,0)</t>
  </si>
  <si>
    <t>=IF($M4506&lt;=$T$18,U4506,0)</t>
  </si>
  <si>
    <t>="""NAV Direct"",""CRONUS JetCorp USA"",""21"",""1"",""399627"""</t>
  </si>
  <si>
    <t>=E4505</t>
  </si>
  <si>
    <t>=StartDate-$M4507+1</t>
  </si>
  <si>
    <t>=SUM(P4507:T4507)</t>
  </si>
  <si>
    <t>=IF($M4507&gt;=$P$18,U4507,0)</t>
  </si>
  <si>
    <t>=IF(AND($M4507&gt;=$Q$16,$M4507&lt;=$Q$18),U4507,0)</t>
  </si>
  <si>
    <t>=IF(AND($M4507&gt;=$R$16,$M4507&lt;=$R$18),U4507,0)</t>
  </si>
  <si>
    <t>=IF(AND($M4507&gt;=$S$16,$M4507&lt;=$S$18),U4507,0)</t>
  </si>
  <si>
    <t>=IF($M4507&lt;=$T$18,U4507,0)</t>
  </si>
  <si>
    <t>="""NAV Direct"",""CRONUS JetCorp USA"",""21"",""1"",""400064"""</t>
  </si>
  <si>
    <t>=E4506</t>
  </si>
  <si>
    <t>=StartDate-$M4508+1</t>
  </si>
  <si>
    <t>=SUM(P4508:T4508)</t>
  </si>
  <si>
    <t>=IF($M4508&gt;=$P$18,U4508,0)</t>
  </si>
  <si>
    <t>=IF(AND($M4508&gt;=$Q$16,$M4508&lt;=$Q$18),U4508,0)</t>
  </si>
  <si>
    <t>=IF(AND($M4508&gt;=$R$16,$M4508&lt;=$R$18),U4508,0)</t>
  </si>
  <si>
    <t>=IF(AND($M4508&gt;=$S$16,$M4508&lt;=$S$18),U4508,0)</t>
  </si>
  <si>
    <t>=IF($M4508&lt;=$T$18,U4508,0)</t>
  </si>
  <si>
    <t>="""NAV Direct"",""CRONUS JetCorp USA"",""21"",""1"",""400162"""</t>
  </si>
  <si>
    <t>=E4507</t>
  </si>
  <si>
    <t>=StartDate-$M4509+1</t>
  </si>
  <si>
    <t>=SUM(P4509:T4509)</t>
  </si>
  <si>
    <t>=IF($M4509&gt;=$P$18,U4509,0)</t>
  </si>
  <si>
    <t>=IF(AND($M4509&gt;=$Q$16,$M4509&lt;=$Q$18),U4509,0)</t>
  </si>
  <si>
    <t>=IF(AND($M4509&gt;=$R$16,$M4509&lt;=$R$18),U4509,0)</t>
  </si>
  <si>
    <t>=IF(AND($M4509&gt;=$S$16,$M4509&lt;=$S$18),U4509,0)</t>
  </si>
  <si>
    <t>=IF($M4509&lt;=$T$18,U4509,0)</t>
  </si>
  <si>
    <t>="""NAV Direct"",""CRONUS JetCorp USA"",""21"",""1"",""400970"""</t>
  </si>
  <si>
    <t>=E4508</t>
  </si>
  <si>
    <t>=StartDate-$M4510+1</t>
  </si>
  <si>
    <t>=SUM(P4510:T4510)</t>
  </si>
  <si>
    <t>=IF($M4510&gt;=$P$18,U4510,0)</t>
  </si>
  <si>
    <t>=IF(AND($M4510&gt;=$Q$16,$M4510&lt;=$Q$18),U4510,0)</t>
  </si>
  <si>
    <t>=IF(AND($M4510&gt;=$R$16,$M4510&lt;=$R$18),U4510,0)</t>
  </si>
  <si>
    <t>=IF(AND($M4510&gt;=$S$16,$M4510&lt;=$S$18),U4510,0)</t>
  </si>
  <si>
    <t>=IF($M4510&lt;=$T$18,U4510,0)</t>
  </si>
  <si>
    <t>="""NAV Direct"",""CRONUS JetCorp USA"",""21"",""1"",""401439"""</t>
  </si>
  <si>
    <t>=E4509</t>
  </si>
  <si>
    <t>=StartDate-$M4511+1</t>
  </si>
  <si>
    <t>=SUM(P4511:T4511)</t>
  </si>
  <si>
    <t>=IF($M4511&gt;=$P$18,U4511,0)</t>
  </si>
  <si>
    <t>=IF(AND($M4511&gt;=$Q$16,$M4511&lt;=$Q$18),U4511,0)</t>
  </si>
  <si>
    <t>=IF(AND($M4511&gt;=$R$16,$M4511&lt;=$R$18),U4511,0)</t>
  </si>
  <si>
    <t>=IF(AND($M4511&gt;=$S$16,$M4511&lt;=$S$18),U4511,0)</t>
  </si>
  <si>
    <t>=IF($M4511&lt;=$T$18,U4511,0)</t>
  </si>
  <si>
    <t>="""NAV Direct"",""CRONUS JetCorp USA"",""21"",""1"",""401484"""</t>
  </si>
  <si>
    <t>=E4510</t>
  </si>
  <si>
    <t>=StartDate-$M4512+1</t>
  </si>
  <si>
    <t>=SUM(P4512:T4512)</t>
  </si>
  <si>
    <t>=IF($M4512&gt;=$P$18,U4512,0)</t>
  </si>
  <si>
    <t>=IF(AND($M4512&gt;=$Q$16,$M4512&lt;=$Q$18),U4512,0)</t>
  </si>
  <si>
    <t>=IF(AND($M4512&gt;=$R$16,$M4512&lt;=$R$18),U4512,0)</t>
  </si>
  <si>
    <t>=IF(AND($M4512&gt;=$S$16,$M4512&lt;=$S$18),U4512,0)</t>
  </si>
  <si>
    <t>=IF($M4512&lt;=$T$18,U4512,0)</t>
  </si>
  <si>
    <t>="""NAV Direct"",""CRONUS JetCorp USA"",""21"",""1"",""438797"""</t>
  </si>
  <si>
    <t>=E4511</t>
  </si>
  <si>
    <t>=StartDate-$M4513+1</t>
  </si>
  <si>
    <t>=SUM(P4513:T4513)</t>
  </si>
  <si>
    <t>=IF($M4513&gt;=$P$18,U4513,0)</t>
  </si>
  <si>
    <t>=IF(AND($M4513&gt;=$Q$16,$M4513&lt;=$Q$18),U4513,0)</t>
  </si>
  <si>
    <t>=IF(AND($M4513&gt;=$R$16,$M4513&lt;=$R$18),U4513,0)</t>
  </si>
  <si>
    <t>=IF(AND($M4513&gt;=$S$16,$M4513&lt;=$S$18),U4513,0)</t>
  </si>
  <si>
    <t>=IF($M4513&lt;=$T$18,U4513,0)</t>
  </si>
  <si>
    <t>="""NAV Direct"",""CRONUS JetCorp USA"",""21"",""1"",""439066"""</t>
  </si>
  <si>
    <t>=E4512</t>
  </si>
  <si>
    <t>=StartDate-$M4514+1</t>
  </si>
  <si>
    <t>=SUM(P4514:T4514)</t>
  </si>
  <si>
    <t>=IF($M4514&gt;=$P$18,U4514,0)</t>
  </si>
  <si>
    <t>=IF(AND($M4514&gt;=$Q$16,$M4514&lt;=$Q$18),U4514,0)</t>
  </si>
  <si>
    <t>=IF(AND($M4514&gt;=$R$16,$M4514&lt;=$R$18),U4514,0)</t>
  </si>
  <si>
    <t>=IF(AND($M4514&gt;=$S$16,$M4514&lt;=$S$18),U4514,0)</t>
  </si>
  <si>
    <t>=IF($M4514&lt;=$T$18,U4514,0)</t>
  </si>
  <si>
    <t>="""NAV Direct"",""CRONUS JetCorp USA"",""21"",""1"",""439165"""</t>
  </si>
  <si>
    <t>=E4513</t>
  </si>
  <si>
    <t>=StartDate-$M4515+1</t>
  </si>
  <si>
    <t>=SUM(P4515:T4515)</t>
  </si>
  <si>
    <t>=IF($M4515&gt;=$P$18,U4515,0)</t>
  </si>
  <si>
    <t>=IF(AND($M4515&gt;=$Q$16,$M4515&lt;=$Q$18),U4515,0)</t>
  </si>
  <si>
    <t>=IF(AND($M4515&gt;=$R$16,$M4515&lt;=$R$18),U4515,0)</t>
  </si>
  <si>
    <t>=IF(AND($M4515&gt;=$S$16,$M4515&lt;=$S$18),U4515,0)</t>
  </si>
  <si>
    <t>=IF($M4515&lt;=$T$18,U4515,0)</t>
  </si>
  <si>
    <t>="""NAV Direct"",""CRONUS JetCorp USA"",""21"",""1"",""439236"""</t>
  </si>
  <si>
    <t>=E4514</t>
  </si>
  <si>
    <t>=StartDate-$M4516+1</t>
  </si>
  <si>
    <t>=SUM(P4516:T4516)</t>
  </si>
  <si>
    <t>=IF($M4516&gt;=$P$18,U4516,0)</t>
  </si>
  <si>
    <t>=IF(AND($M4516&gt;=$Q$16,$M4516&lt;=$Q$18),U4516,0)</t>
  </si>
  <si>
    <t>=IF(AND($M4516&gt;=$R$16,$M4516&lt;=$R$18),U4516,0)</t>
  </si>
  <si>
    <t>=IF(AND($M4516&gt;=$S$16,$M4516&lt;=$S$18),U4516,0)</t>
  </si>
  <si>
    <t>=IF($M4516&lt;=$T$18,U4516,0)</t>
  </si>
  <si>
    <t>="""NAV Direct"",""CRONUS JetCorp USA"",""21"",""1"",""439630"""</t>
  </si>
  <si>
    <t>=E4515</t>
  </si>
  <si>
    <t>=StartDate-$M4517+1</t>
  </si>
  <si>
    <t>=SUM(P4517:T4517)</t>
  </si>
  <si>
    <t>=IF($M4517&gt;=$P$18,U4517,0)</t>
  </si>
  <si>
    <t>=IF(AND($M4517&gt;=$Q$16,$M4517&lt;=$Q$18),U4517,0)</t>
  </si>
  <si>
    <t>=IF(AND($M4517&gt;=$R$16,$M4517&lt;=$R$18),U4517,0)</t>
  </si>
  <si>
    <t>=IF(AND($M4517&gt;=$S$16,$M4517&lt;=$S$18),U4517,0)</t>
  </si>
  <si>
    <t>=IF($M4517&lt;=$T$18,U4517,0)</t>
  </si>
  <si>
    <t>="""NAV Direct"",""CRONUS JetCorp USA"",""21"",""1"",""439919"""</t>
  </si>
  <si>
    <t>=E4516</t>
  </si>
  <si>
    <t>=StartDate-$M4518+1</t>
  </si>
  <si>
    <t>=SUM(P4518:T4518)</t>
  </si>
  <si>
    <t>=IF($M4518&gt;=$P$18,U4518,0)</t>
  </si>
  <si>
    <t>=IF(AND($M4518&gt;=$Q$16,$M4518&lt;=$Q$18),U4518,0)</t>
  </si>
  <si>
    <t>=IF(AND($M4518&gt;=$R$16,$M4518&lt;=$R$18),U4518,0)</t>
  </si>
  <si>
    <t>=IF(AND($M4518&gt;=$S$16,$M4518&lt;=$S$18),U4518,0)</t>
  </si>
  <si>
    <t>=IF($M4518&lt;=$T$18,U4518,0)</t>
  </si>
  <si>
    <t>="""NAV Direct"",""CRONUS JetCorp USA"",""21"",""1"",""440008"""</t>
  </si>
  <si>
    <t>=E4517</t>
  </si>
  <si>
    <t>=StartDate-$M4519+1</t>
  </si>
  <si>
    <t>=SUM(P4519:T4519)</t>
  </si>
  <si>
    <t>=IF($M4519&gt;=$P$18,U4519,0)</t>
  </si>
  <si>
    <t>=IF(AND($M4519&gt;=$Q$16,$M4519&lt;=$Q$18),U4519,0)</t>
  </si>
  <si>
    <t>=IF(AND($M4519&gt;=$R$16,$M4519&lt;=$R$18),U4519,0)</t>
  </si>
  <si>
    <t>=IF(AND($M4519&gt;=$S$16,$M4519&lt;=$S$18),U4519,0)</t>
  </si>
  <si>
    <t>=IF($M4519&lt;=$T$18,U4519,0)</t>
  </si>
  <si>
    <t>="""NAV Direct"",""CRONUS JetCorp USA"",""18"",""1"",""C100128"""</t>
  </si>
  <si>
    <t>=H4522</t>
  </si>
  <si>
    <t>=NF($C4522,"1 No.")</t>
  </si>
  <si>
    <t>=NF($C4522,"1 No.")&amp;"  -  "&amp;NF($C4522,"2 Name")</t>
  </si>
  <si>
    <t>=IFERROR(O4522/NF(C4522,"Credit Limit (LCY)"),"")</t>
  </si>
  <si>
    <t>=SUBTOTAL(3,L4523:L4544)</t>
  </si>
  <si>
    <t>=SUBTOTAL(9,O4523:O4544)</t>
  </si>
  <si>
    <t>=SUBTOTAL(9,P4523:P4544)</t>
  </si>
  <si>
    <t>=SUBTOTAL(9,Q4523:Q4544)</t>
  </si>
  <si>
    <t>=SUBTOTAL(9,R4523:R4544)</t>
  </si>
  <si>
    <t>=SUBTOTAL(9,S4523:S4544)</t>
  </si>
  <si>
    <t>=SUBTOTAL(9,T4523:T4544)</t>
  </si>
  <si>
    <t>=C4522</t>
  </si>
  <si>
    <t>=E4522</t>
  </si>
  <si>
    <t>="Contact: "&amp;NF($C4523,"8 Contact")</t>
  </si>
  <si>
    <t>=C4523</t>
  </si>
  <si>
    <t>=E4523</t>
  </si>
  <si>
    <t>=NF($C4524,"102 E-Mail")</t>
  </si>
  <si>
    <t>=NL("Rows","21 Cust. Ledger Entry",,"3 Customer No.","@@"&amp;$E4526,"16 Remaining Amt. (LCY)","&lt;&gt;0")</t>
  </si>
  <si>
    <t>=E4524</t>
  </si>
  <si>
    <t>=StartDate-$M4526+1</t>
  </si>
  <si>
    <t>=SUM(P4526:T4526)</t>
  </si>
  <si>
    <t>=IF($M4526&gt;=$P$18,U4526,0)</t>
  </si>
  <si>
    <t>=IF(AND($M4526&gt;=$Q$16,$M4526&lt;=$Q$18),U4526,0)</t>
  </si>
  <si>
    <t>=IF(AND($M4526&gt;=$R$16,$M4526&lt;=$R$18),U4526,0)</t>
  </si>
  <si>
    <t>=IF(AND($M4526&gt;=$S$16,$M4526&lt;=$S$18),U4526,0)</t>
  </si>
  <si>
    <t>=IF($M4526&lt;=$T$18,U4526,0)</t>
  </si>
  <si>
    <t>="""NAV Direct"",""CRONUS JetCorp USA"",""21"",""1"",""209760"""</t>
  </si>
  <si>
    <t>=E4525</t>
  </si>
  <si>
    <t>=StartDate-$M4527+1</t>
  </si>
  <si>
    <t>=SUM(P4527:T4527)</t>
  </si>
  <si>
    <t>=IF($M4527&gt;=$P$18,U4527,0)</t>
  </si>
  <si>
    <t>=IF(AND($M4527&gt;=$Q$16,$M4527&lt;=$Q$18),U4527,0)</t>
  </si>
  <si>
    <t>=IF(AND($M4527&gt;=$R$16,$M4527&lt;=$R$18),U4527,0)</t>
  </si>
  <si>
    <t>=IF(AND($M4527&gt;=$S$16,$M4527&lt;=$S$18),U4527,0)</t>
  </si>
  <si>
    <t>=IF($M4527&lt;=$T$18,U4527,0)</t>
  </si>
  <si>
    <t>="""NAV Direct"",""CRONUS JetCorp USA"",""21"",""1"",""209793"""</t>
  </si>
  <si>
    <t>=E4526</t>
  </si>
  <si>
    <t>=StartDate-$M4528+1</t>
  </si>
  <si>
    <t>=SUM(P4528:T4528)</t>
  </si>
  <si>
    <t>=IF($M4528&gt;=$P$18,U4528,0)</t>
  </si>
  <si>
    <t>=IF(AND($M4528&gt;=$Q$16,$M4528&lt;=$Q$18),U4528,0)</t>
  </si>
  <si>
    <t>=IF(AND($M4528&gt;=$R$16,$M4528&lt;=$R$18),U4528,0)</t>
  </si>
  <si>
    <t>=IF(AND($M4528&gt;=$S$16,$M4528&lt;=$S$18),U4528,0)</t>
  </si>
  <si>
    <t>=IF($M4528&lt;=$T$18,U4528,0)</t>
  </si>
  <si>
    <t>="""NAV Direct"",""CRONUS JetCorp USA"",""21"",""1"",""210151"""</t>
  </si>
  <si>
    <t>=E4527</t>
  </si>
  <si>
    <t>=StartDate-$M4529+1</t>
  </si>
  <si>
    <t>=SUM(P4529:T4529)</t>
  </si>
  <si>
    <t>=IF($M4529&gt;=$P$18,U4529,0)</t>
  </si>
  <si>
    <t>=IF(AND($M4529&gt;=$Q$16,$M4529&lt;=$Q$18),U4529,0)</t>
  </si>
  <si>
    <t>=IF(AND($M4529&gt;=$R$16,$M4529&lt;=$R$18),U4529,0)</t>
  </si>
  <si>
    <t>=IF(AND($M4529&gt;=$S$16,$M4529&lt;=$S$18),U4529,0)</t>
  </si>
  <si>
    <t>=IF($M4529&lt;=$T$18,U4529,0)</t>
  </si>
  <si>
    <t>="""NAV Direct"",""CRONUS JetCorp USA"",""21"",""1"",""210200"""</t>
  </si>
  <si>
    <t>=E4528</t>
  </si>
  <si>
    <t>=StartDate-$M4530+1</t>
  </si>
  <si>
    <t>=SUM(P4530:T4530)</t>
  </si>
  <si>
    <t>=IF($M4530&gt;=$P$18,U4530,0)</t>
  </si>
  <si>
    <t>=IF(AND($M4530&gt;=$Q$16,$M4530&lt;=$Q$18),U4530,0)</t>
  </si>
  <si>
    <t>=IF(AND($M4530&gt;=$R$16,$M4530&lt;=$R$18),U4530,0)</t>
  </si>
  <si>
    <t>=IF(AND($M4530&gt;=$S$16,$M4530&lt;=$S$18),U4530,0)</t>
  </si>
  <si>
    <t>=IF($M4530&lt;=$T$18,U4530,0)</t>
  </si>
  <si>
    <t>="""NAV Direct"",""CRONUS JetCorp USA"",""21"",""1"",""210696"""</t>
  </si>
  <si>
    <t>=E4529</t>
  </si>
  <si>
    <t>=StartDate-$M4531+1</t>
  </si>
  <si>
    <t>=SUM(P4531:T4531)</t>
  </si>
  <si>
    <t>=IF($M4531&gt;=$P$18,U4531,0)</t>
  </si>
  <si>
    <t>=IF(AND($M4531&gt;=$Q$16,$M4531&lt;=$Q$18),U4531,0)</t>
  </si>
  <si>
    <t>=IF(AND($M4531&gt;=$R$16,$M4531&lt;=$R$18),U4531,0)</t>
  </si>
  <si>
    <t>=IF(AND($M4531&gt;=$S$16,$M4531&lt;=$S$18),U4531,0)</t>
  </si>
  <si>
    <t>=IF($M4531&lt;=$T$18,U4531,0)</t>
  </si>
  <si>
    <t>="""NAV Direct"",""CRONUS JetCorp USA"",""21"",""1"",""211116"""</t>
  </si>
  <si>
    <t>=E4530</t>
  </si>
  <si>
    <t>=StartDate-$M4532+1</t>
  </si>
  <si>
    <t>=SUM(P4532:T4532)</t>
  </si>
  <si>
    <t>=IF($M4532&gt;=$P$18,U4532,0)</t>
  </si>
  <si>
    <t>=IF(AND($M4532&gt;=$Q$16,$M4532&lt;=$Q$18),U4532,0)</t>
  </si>
  <si>
    <t>=IF(AND($M4532&gt;=$R$16,$M4532&lt;=$R$18),U4532,0)</t>
  </si>
  <si>
    <t>=IF(AND($M4532&gt;=$S$16,$M4532&lt;=$S$18),U4532,0)</t>
  </si>
  <si>
    <t>=IF($M4532&lt;=$T$18,U4532,0)</t>
  </si>
  <si>
    <t>="""NAV Direct"",""CRONUS JetCorp USA"",""21"",""1"",""211586"""</t>
  </si>
  <si>
    <t>=E4531</t>
  </si>
  <si>
    <t>=StartDate-$M4533+1</t>
  </si>
  <si>
    <t>=SUM(P4533:T4533)</t>
  </si>
  <si>
    <t>=IF($M4533&gt;=$P$18,U4533,0)</t>
  </si>
  <si>
    <t>=IF(AND($M4533&gt;=$Q$16,$M4533&lt;=$Q$18),U4533,0)</t>
  </si>
  <si>
    <t>=IF(AND($M4533&gt;=$R$16,$M4533&lt;=$R$18),U4533,0)</t>
  </si>
  <si>
    <t>=IF(AND($M4533&gt;=$S$16,$M4533&lt;=$S$18),U4533,0)</t>
  </si>
  <si>
    <t>=IF($M4533&lt;=$T$18,U4533,0)</t>
  </si>
  <si>
    <t>="""NAV Direct"",""CRONUS JetCorp USA"",""21"",""1"",""211887"""</t>
  </si>
  <si>
    <t>=E4532</t>
  </si>
  <si>
    <t>=StartDate-$M4534+1</t>
  </si>
  <si>
    <t>=SUM(P4534:T4534)</t>
  </si>
  <si>
    <t>=IF($M4534&gt;=$P$18,U4534,0)</t>
  </si>
  <si>
    <t>=IF(AND($M4534&gt;=$Q$16,$M4534&lt;=$Q$18),U4534,0)</t>
  </si>
  <si>
    <t>=IF(AND($M4534&gt;=$R$16,$M4534&lt;=$R$18),U4534,0)</t>
  </si>
  <si>
    <t>=IF(AND($M4534&gt;=$S$16,$M4534&lt;=$S$18),U4534,0)</t>
  </si>
  <si>
    <t>=IF($M4534&lt;=$T$18,U4534,0)</t>
  </si>
  <si>
    <t>="""NAV Direct"",""CRONUS JetCorp USA"",""21"",""1"",""212227"""</t>
  </si>
  <si>
    <t>=E4533</t>
  </si>
  <si>
    <t>=StartDate-$M4535+1</t>
  </si>
  <si>
    <t>=SUM(P4535:T4535)</t>
  </si>
  <si>
    <t>=IF($M4535&gt;=$P$18,U4535,0)</t>
  </si>
  <si>
    <t>=IF(AND($M4535&gt;=$Q$16,$M4535&lt;=$Q$18),U4535,0)</t>
  </si>
  <si>
    <t>=IF(AND($M4535&gt;=$R$16,$M4535&lt;=$R$18),U4535,0)</t>
  </si>
  <si>
    <t>=IF(AND($M4535&gt;=$S$16,$M4535&lt;=$S$18),U4535,0)</t>
  </si>
  <si>
    <t>=IF($M4535&lt;=$T$18,U4535,0)</t>
  </si>
  <si>
    <t>="""NAV Direct"",""CRONUS JetCorp USA"",""21"",""1"",""213696"""</t>
  </si>
  <si>
    <t>=E4534</t>
  </si>
  <si>
    <t>=StartDate-$M4536+1</t>
  </si>
  <si>
    <t>=SUM(P4536:T4536)</t>
  </si>
  <si>
    <t>=IF($M4536&gt;=$P$18,U4536,0)</t>
  </si>
  <si>
    <t>=IF(AND($M4536&gt;=$Q$16,$M4536&lt;=$Q$18),U4536,0)</t>
  </si>
  <si>
    <t>=IF(AND($M4536&gt;=$R$16,$M4536&lt;=$R$18),U4536,0)</t>
  </si>
  <si>
    <t>=IF(AND($M4536&gt;=$S$16,$M4536&lt;=$S$18),U4536,0)</t>
  </si>
  <si>
    <t>=IF($M4536&lt;=$T$18,U4536,0)</t>
  </si>
  <si>
    <t>="""NAV Direct"",""CRONUS JetCorp USA"",""21"",""1"",""444051"""</t>
  </si>
  <si>
    <t>=E4535</t>
  </si>
  <si>
    <t>=StartDate-$M4537+1</t>
  </si>
  <si>
    <t>=SUM(P4537:T4537)</t>
  </si>
  <si>
    <t>=IF($M4537&gt;=$P$18,U4537,0)</t>
  </si>
  <si>
    <t>=IF(AND($M4537&gt;=$Q$16,$M4537&lt;=$Q$18),U4537,0)</t>
  </si>
  <si>
    <t>=IF(AND($M4537&gt;=$R$16,$M4537&lt;=$R$18),U4537,0)</t>
  </si>
  <si>
    <t>=IF(AND($M4537&gt;=$S$16,$M4537&lt;=$S$18),U4537,0)</t>
  </si>
  <si>
    <t>=IF($M4537&lt;=$T$18,U4537,0)</t>
  </si>
  <si>
    <t>="""NAV Direct"",""CRONUS JetCorp USA"",""21"",""1"",""444432"""</t>
  </si>
  <si>
    <t>=E4536</t>
  </si>
  <si>
    <t>=StartDate-$M4538+1</t>
  </si>
  <si>
    <t>=SUM(P4538:T4538)</t>
  </si>
  <si>
    <t>=IF($M4538&gt;=$P$18,U4538,0)</t>
  </si>
  <si>
    <t>=IF(AND($M4538&gt;=$Q$16,$M4538&lt;=$Q$18),U4538,0)</t>
  </si>
  <si>
    <t>=IF(AND($M4538&gt;=$R$16,$M4538&lt;=$R$18),U4538,0)</t>
  </si>
  <si>
    <t>=IF(AND($M4538&gt;=$S$16,$M4538&lt;=$S$18),U4538,0)</t>
  </si>
  <si>
    <t>=IF($M4538&lt;=$T$18,U4538,0)</t>
  </si>
  <si>
    <t>="""NAV Direct"",""CRONUS JetCorp USA"",""21"",""1"",""444523"""</t>
  </si>
  <si>
    <t>=E4537</t>
  </si>
  <si>
    <t>=StartDate-$M4539+1</t>
  </si>
  <si>
    <t>=SUM(P4539:T4539)</t>
  </si>
  <si>
    <t>=IF($M4539&gt;=$P$18,U4539,0)</t>
  </si>
  <si>
    <t>=IF(AND($M4539&gt;=$Q$16,$M4539&lt;=$Q$18),U4539,0)</t>
  </si>
  <si>
    <t>=IF(AND($M4539&gt;=$R$16,$M4539&lt;=$R$18),U4539,0)</t>
  </si>
  <si>
    <t>=IF(AND($M4539&gt;=$S$16,$M4539&lt;=$S$18),U4539,0)</t>
  </si>
  <si>
    <t>=IF($M4539&lt;=$T$18,U4539,0)</t>
  </si>
  <si>
    <t>="""NAV Direct"",""CRONUS JetCorp USA"",""21"",""1"",""444610"""</t>
  </si>
  <si>
    <t>=E4538</t>
  </si>
  <si>
    <t>=StartDate-$M4540+1</t>
  </si>
  <si>
    <t>=SUM(P4540:T4540)</t>
  </si>
  <si>
    <t>=IF($M4540&gt;=$P$18,U4540,0)</t>
  </si>
  <si>
    <t>=IF(AND($M4540&gt;=$Q$16,$M4540&lt;=$Q$18),U4540,0)</t>
  </si>
  <si>
    <t>=IF(AND($M4540&gt;=$R$16,$M4540&lt;=$R$18),U4540,0)</t>
  </si>
  <si>
    <t>=IF(AND($M4540&gt;=$S$16,$M4540&lt;=$S$18),U4540,0)</t>
  </si>
  <si>
    <t>=IF($M4540&lt;=$T$18,U4540,0)</t>
  </si>
  <si>
    <t>="""NAV Direct"",""CRONUS JetCorp USA"",""21"",""1"",""444640"""</t>
  </si>
  <si>
    <t>=E4539</t>
  </si>
  <si>
    <t>=StartDate-$M4541+1</t>
  </si>
  <si>
    <t>=SUM(P4541:T4541)</t>
  </si>
  <si>
    <t>=IF($M4541&gt;=$P$18,U4541,0)</t>
  </si>
  <si>
    <t>=IF(AND($M4541&gt;=$Q$16,$M4541&lt;=$Q$18),U4541,0)</t>
  </si>
  <si>
    <t>=IF(AND($M4541&gt;=$R$16,$M4541&lt;=$R$18),U4541,0)</t>
  </si>
  <si>
    <t>=IF(AND($M4541&gt;=$S$16,$M4541&lt;=$S$18),U4541,0)</t>
  </si>
  <si>
    <t>=IF($M4541&lt;=$T$18,U4541,0)</t>
  </si>
  <si>
    <t>="""NAV Direct"",""CRONUS JetCorp USA"",""21"",""1"",""444696"""</t>
  </si>
  <si>
    <t>=E4540</t>
  </si>
  <si>
    <t>=StartDate-$M4542+1</t>
  </si>
  <si>
    <t>=SUM(P4542:T4542)</t>
  </si>
  <si>
    <t>=IF($M4542&gt;=$P$18,U4542,0)</t>
  </si>
  <si>
    <t>=IF(AND($M4542&gt;=$Q$16,$M4542&lt;=$Q$18),U4542,0)</t>
  </si>
  <si>
    <t>=IF(AND($M4542&gt;=$R$16,$M4542&lt;=$R$18),U4542,0)</t>
  </si>
  <si>
    <t>=IF(AND($M4542&gt;=$S$16,$M4542&lt;=$S$18),U4542,0)</t>
  </si>
  <si>
    <t>=IF($M4542&lt;=$T$18,U4542,0)</t>
  </si>
  <si>
    <t>="""NAV Direct"",""CRONUS JetCorp USA"",""21"",""1"",""444854"""</t>
  </si>
  <si>
    <t>=E4541</t>
  </si>
  <si>
    <t>=StartDate-$M4543+1</t>
  </si>
  <si>
    <t>=SUM(P4543:T4543)</t>
  </si>
  <si>
    <t>=IF($M4543&gt;=$P$18,U4543,0)</t>
  </si>
  <si>
    <t>=IF(AND($M4543&gt;=$Q$16,$M4543&lt;=$Q$18),U4543,0)</t>
  </si>
  <si>
    <t>=IF(AND($M4543&gt;=$R$16,$M4543&lt;=$R$18),U4543,0)</t>
  </si>
  <si>
    <t>=IF(AND($M4543&gt;=$S$16,$M4543&lt;=$S$18),U4543,0)</t>
  </si>
  <si>
    <t>=IF($M4543&lt;=$T$18,U4543,0)</t>
  </si>
  <si>
    <t>="""NAV Direct"",""CRONUS JetCorp USA"",""18"",""1"",""C100129"""</t>
  </si>
  <si>
    <t>=H4546</t>
  </si>
  <si>
    <t>=NF($C4546,"1 No.")</t>
  </si>
  <si>
    <t>=NF($C4546,"1 No.")&amp;"  -  "&amp;NF($C4546,"2 Name")</t>
  </si>
  <si>
    <t>=IFERROR(O4546/NF(C4546,"Credit Limit (LCY)"),"")</t>
  </si>
  <si>
    <t>=SUBTOTAL(3,L4547:L4591)</t>
  </si>
  <si>
    <t>=SUBTOTAL(9,O4547:O4591)</t>
  </si>
  <si>
    <t>=SUBTOTAL(9,P4547:P4591)</t>
  </si>
  <si>
    <t>=SUBTOTAL(9,Q4547:Q4591)</t>
  </si>
  <si>
    <t>=SUBTOTAL(9,R4547:R4591)</t>
  </si>
  <si>
    <t>=SUBTOTAL(9,S4547:S4591)</t>
  </si>
  <si>
    <t>=SUBTOTAL(9,T4547:T4591)</t>
  </si>
  <si>
    <t>=C4546</t>
  </si>
  <si>
    <t>=E4546</t>
  </si>
  <si>
    <t>="Contact: "&amp;NF($C4547,"8 Contact")</t>
  </si>
  <si>
    <t>=C4547</t>
  </si>
  <si>
    <t>=E4547</t>
  </si>
  <si>
    <t>=NF($C4548,"102 E-Mail")</t>
  </si>
  <si>
    <t>=NL("Rows","21 Cust. Ledger Entry",,"3 Customer No.","@@"&amp;$E4550,"16 Remaining Amt. (LCY)","&lt;&gt;0")</t>
  </si>
  <si>
    <t>=E4548</t>
  </si>
  <si>
    <t>=StartDate-$M4550+1</t>
  </si>
  <si>
    <t>=SUM(P4550:T4550)</t>
  </si>
  <si>
    <t>=IF($M4550&gt;=$P$18,U4550,0)</t>
  </si>
  <si>
    <t>=IF(AND($M4550&gt;=$Q$16,$M4550&lt;=$Q$18),U4550,0)</t>
  </si>
  <si>
    <t>=IF(AND($M4550&gt;=$R$16,$M4550&lt;=$R$18),U4550,0)</t>
  </si>
  <si>
    <t>=IF(AND($M4550&gt;=$S$16,$M4550&lt;=$S$18),U4550,0)</t>
  </si>
  <si>
    <t>=IF($M4550&lt;=$T$18,U4550,0)</t>
  </si>
  <si>
    <t>="""NAV Direct"",""CRONUS JetCorp USA"",""21"",""1"",""384058"""</t>
  </si>
  <si>
    <t>=E4549</t>
  </si>
  <si>
    <t>=StartDate-$M4551+1</t>
  </si>
  <si>
    <t>=SUM(P4551:T4551)</t>
  </si>
  <si>
    <t>=IF($M4551&gt;=$P$18,U4551,0)</t>
  </si>
  <si>
    <t>=IF(AND($M4551&gt;=$Q$16,$M4551&lt;=$Q$18),U4551,0)</t>
  </si>
  <si>
    <t>=IF(AND($M4551&gt;=$R$16,$M4551&lt;=$R$18),U4551,0)</t>
  </si>
  <si>
    <t>=IF(AND($M4551&gt;=$S$16,$M4551&lt;=$S$18),U4551,0)</t>
  </si>
  <si>
    <t>=IF($M4551&lt;=$T$18,U4551,0)</t>
  </si>
  <si>
    <t>="""NAV Direct"",""CRONUS JetCorp USA"",""21"",""1"",""384272"""</t>
  </si>
  <si>
    <t>=E4550</t>
  </si>
  <si>
    <t>=StartDate-$M4552+1</t>
  </si>
  <si>
    <t>=SUM(P4552:T4552)</t>
  </si>
  <si>
    <t>=IF($M4552&gt;=$P$18,U4552,0)</t>
  </si>
  <si>
    <t>=IF(AND($M4552&gt;=$Q$16,$M4552&lt;=$Q$18),U4552,0)</t>
  </si>
  <si>
    <t>=IF(AND($M4552&gt;=$R$16,$M4552&lt;=$R$18),U4552,0)</t>
  </si>
  <si>
    <t>=IF(AND($M4552&gt;=$S$16,$M4552&lt;=$S$18),U4552,0)</t>
  </si>
  <si>
    <t>=IF($M4552&lt;=$T$18,U4552,0)</t>
  </si>
  <si>
    <t>="""NAV Direct"",""CRONUS JetCorp USA"",""21"",""1"",""384763"""</t>
  </si>
  <si>
    <t>=E4551</t>
  </si>
  <si>
    <t>=StartDate-$M4553+1</t>
  </si>
  <si>
    <t>=SUM(P4553:T4553)</t>
  </si>
  <si>
    <t>=IF($M4553&gt;=$P$18,U4553,0)</t>
  </si>
  <si>
    <t>=IF(AND($M4553&gt;=$Q$16,$M4553&lt;=$Q$18),U4553,0)</t>
  </si>
  <si>
    <t>=IF(AND($M4553&gt;=$R$16,$M4553&lt;=$R$18),U4553,0)</t>
  </si>
  <si>
    <t>=IF(AND($M4553&gt;=$S$16,$M4553&lt;=$S$18),U4553,0)</t>
  </si>
  <si>
    <t>=IF($M4553&lt;=$T$18,U4553,0)</t>
  </si>
  <si>
    <t>="""NAV Direct"",""CRONUS JetCorp USA"",""21"",""1"",""386095"""</t>
  </si>
  <si>
    <t>=E4552</t>
  </si>
  <si>
    <t>=StartDate-$M4554+1</t>
  </si>
  <si>
    <t>=SUM(P4554:T4554)</t>
  </si>
  <si>
    <t>=IF($M4554&gt;=$P$18,U4554,0)</t>
  </si>
  <si>
    <t>=IF(AND($M4554&gt;=$Q$16,$M4554&lt;=$Q$18),U4554,0)</t>
  </si>
  <si>
    <t>=IF(AND($M4554&gt;=$R$16,$M4554&lt;=$R$18),U4554,0)</t>
  </si>
  <si>
    <t>=IF(AND($M4554&gt;=$S$16,$M4554&lt;=$S$18),U4554,0)</t>
  </si>
  <si>
    <t>=IF($M4554&lt;=$T$18,U4554,0)</t>
  </si>
  <si>
    <t>="""NAV Direct"",""CRONUS JetCorp USA"",""21"",""1"",""386181"""</t>
  </si>
  <si>
    <t>=E4553</t>
  </si>
  <si>
    <t>=StartDate-$M4555+1</t>
  </si>
  <si>
    <t>=SUM(P4555:T4555)</t>
  </si>
  <si>
    <t>=IF($M4555&gt;=$P$18,U4555,0)</t>
  </si>
  <si>
    <t>=IF(AND($M4555&gt;=$Q$16,$M4555&lt;=$Q$18),U4555,0)</t>
  </si>
  <si>
    <t>=IF(AND($M4555&gt;=$R$16,$M4555&lt;=$R$18),U4555,0)</t>
  </si>
  <si>
    <t>=IF(AND($M4555&gt;=$S$16,$M4555&lt;=$S$18),U4555,0)</t>
  </si>
  <si>
    <t>=IF($M4555&lt;=$T$18,U4555,0)</t>
  </si>
  <si>
    <t>="""NAV Direct"",""CRONUS JetCorp USA"",""21"",""1"",""387218"""</t>
  </si>
  <si>
    <t>=E4554</t>
  </si>
  <si>
    <t>=StartDate-$M4556+1</t>
  </si>
  <si>
    <t>=SUM(P4556:T4556)</t>
  </si>
  <si>
    <t>=IF($M4556&gt;=$P$18,U4556,0)</t>
  </si>
  <si>
    <t>=IF(AND($M4556&gt;=$Q$16,$M4556&lt;=$Q$18),U4556,0)</t>
  </si>
  <si>
    <t>=IF(AND($M4556&gt;=$R$16,$M4556&lt;=$R$18),U4556,0)</t>
  </si>
  <si>
    <t>=IF(AND($M4556&gt;=$S$16,$M4556&lt;=$S$18),U4556,0)</t>
  </si>
  <si>
    <t>=IF($M4556&lt;=$T$18,U4556,0)</t>
  </si>
  <si>
    <t>="""NAV Direct"",""CRONUS JetCorp USA"",""21"",""1"",""387650"""</t>
  </si>
  <si>
    <t>=E4555</t>
  </si>
  <si>
    <t>=StartDate-$M4557+1</t>
  </si>
  <si>
    <t>=SUM(P4557:T4557)</t>
  </si>
  <si>
    <t>=IF($M4557&gt;=$P$18,U4557,0)</t>
  </si>
  <si>
    <t>=IF(AND($M4557&gt;=$Q$16,$M4557&lt;=$Q$18),U4557,0)</t>
  </si>
  <si>
    <t>=IF(AND($M4557&gt;=$R$16,$M4557&lt;=$R$18),U4557,0)</t>
  </si>
  <si>
    <t>=IF(AND($M4557&gt;=$S$16,$M4557&lt;=$S$18),U4557,0)</t>
  </si>
  <si>
    <t>=IF($M4557&lt;=$T$18,U4557,0)</t>
  </si>
  <si>
    <t>="""NAV Direct"",""CRONUS JetCorp USA"",""21"",""1"",""388595"""</t>
  </si>
  <si>
    <t>=E4556</t>
  </si>
  <si>
    <t>=StartDate-$M4558+1</t>
  </si>
  <si>
    <t>=SUM(P4558:T4558)</t>
  </si>
  <si>
    <t>=IF($M4558&gt;=$P$18,U4558,0)</t>
  </si>
  <si>
    <t>=IF(AND($M4558&gt;=$Q$16,$M4558&lt;=$Q$18),U4558,0)</t>
  </si>
  <si>
    <t>=IF(AND($M4558&gt;=$R$16,$M4558&lt;=$R$18),U4558,0)</t>
  </si>
  <si>
    <t>=IF(AND($M4558&gt;=$S$16,$M4558&lt;=$S$18),U4558,0)</t>
  </si>
  <si>
    <t>=IF($M4558&lt;=$T$18,U4558,0)</t>
  </si>
  <si>
    <t>="""NAV Direct"",""CRONUS JetCorp USA"",""21"",""1"",""388989"""</t>
  </si>
  <si>
    <t>=E4557</t>
  </si>
  <si>
    <t>=StartDate-$M4559+1</t>
  </si>
  <si>
    <t>=SUM(P4559:T4559)</t>
  </si>
  <si>
    <t>=IF($M4559&gt;=$P$18,U4559,0)</t>
  </si>
  <si>
    <t>=IF(AND($M4559&gt;=$Q$16,$M4559&lt;=$Q$18),U4559,0)</t>
  </si>
  <si>
    <t>=IF(AND($M4559&gt;=$R$16,$M4559&lt;=$R$18),U4559,0)</t>
  </si>
  <si>
    <t>=IF(AND($M4559&gt;=$S$16,$M4559&lt;=$S$18),U4559,0)</t>
  </si>
  <si>
    <t>=IF($M4559&lt;=$T$18,U4559,0)</t>
  </si>
  <si>
    <t>="""NAV Direct"",""CRONUS JetCorp USA"",""21"",""1"",""389205"""</t>
  </si>
  <si>
    <t>=E4558</t>
  </si>
  <si>
    <t>=StartDate-$M4560+1</t>
  </si>
  <si>
    <t>=SUM(P4560:T4560)</t>
  </si>
  <si>
    <t>=IF($M4560&gt;=$P$18,U4560,0)</t>
  </si>
  <si>
    <t>=IF(AND($M4560&gt;=$Q$16,$M4560&lt;=$Q$18),U4560,0)</t>
  </si>
  <si>
    <t>=IF(AND($M4560&gt;=$R$16,$M4560&lt;=$R$18),U4560,0)</t>
  </si>
  <si>
    <t>=IF(AND($M4560&gt;=$S$16,$M4560&lt;=$S$18),U4560,0)</t>
  </si>
  <si>
    <t>=IF($M4560&lt;=$T$18,U4560,0)</t>
  </si>
  <si>
    <t>="""NAV Direct"",""CRONUS JetCorp USA"",""21"",""1"",""389934"""</t>
  </si>
  <si>
    <t>=E4559</t>
  </si>
  <si>
    <t>=StartDate-$M4561+1</t>
  </si>
  <si>
    <t>=SUM(P4561:T4561)</t>
  </si>
  <si>
    <t>=IF($M4561&gt;=$P$18,U4561,0)</t>
  </si>
  <si>
    <t>=IF(AND($M4561&gt;=$Q$16,$M4561&lt;=$Q$18),U4561,0)</t>
  </si>
  <si>
    <t>=IF(AND($M4561&gt;=$R$16,$M4561&lt;=$R$18),U4561,0)</t>
  </si>
  <si>
    <t>=IF(AND($M4561&gt;=$S$16,$M4561&lt;=$S$18),U4561,0)</t>
  </si>
  <si>
    <t>=IF($M4561&lt;=$T$18,U4561,0)</t>
  </si>
  <si>
    <t>="""NAV Direct"",""CRONUS JetCorp USA"",""21"",""1"",""390092"""</t>
  </si>
  <si>
    <t>=E4560</t>
  </si>
  <si>
    <t>=StartDate-$M4562+1</t>
  </si>
  <si>
    <t>=SUM(P4562:T4562)</t>
  </si>
  <si>
    <t>=IF($M4562&gt;=$P$18,U4562,0)</t>
  </si>
  <si>
    <t>=IF(AND($M4562&gt;=$Q$16,$M4562&lt;=$Q$18),U4562,0)</t>
  </si>
  <si>
    <t>=IF(AND($M4562&gt;=$R$16,$M4562&lt;=$R$18),U4562,0)</t>
  </si>
  <si>
    <t>=IF(AND($M4562&gt;=$S$16,$M4562&lt;=$S$18),U4562,0)</t>
  </si>
  <si>
    <t>=IF($M4562&lt;=$T$18,U4562,0)</t>
  </si>
  <si>
    <t>="""NAV Direct"",""CRONUS JetCorp USA"",""21"",""1"",""390363"""</t>
  </si>
  <si>
    <t>=E4561</t>
  </si>
  <si>
    <t>=StartDate-$M4563+1</t>
  </si>
  <si>
    <t>=SUM(P4563:T4563)</t>
  </si>
  <si>
    <t>=IF($M4563&gt;=$P$18,U4563,0)</t>
  </si>
  <si>
    <t>=IF(AND($M4563&gt;=$Q$16,$M4563&lt;=$Q$18),U4563,0)</t>
  </si>
  <si>
    <t>=IF(AND($M4563&gt;=$R$16,$M4563&lt;=$R$18),U4563,0)</t>
  </si>
  <si>
    <t>=IF(AND($M4563&gt;=$S$16,$M4563&lt;=$S$18),U4563,0)</t>
  </si>
  <si>
    <t>=IF($M4563&lt;=$T$18,U4563,0)</t>
  </si>
  <si>
    <t>="""NAV Direct"",""CRONUS JetCorp USA"",""21"",""1"",""391115"""</t>
  </si>
  <si>
    <t>=E4562</t>
  </si>
  <si>
    <t>=StartDate-$M4564+1</t>
  </si>
  <si>
    <t>=SUM(P4564:T4564)</t>
  </si>
  <si>
    <t>=IF($M4564&gt;=$P$18,U4564,0)</t>
  </si>
  <si>
    <t>=IF(AND($M4564&gt;=$Q$16,$M4564&lt;=$Q$18),U4564,0)</t>
  </si>
  <si>
    <t>=IF(AND($M4564&gt;=$R$16,$M4564&lt;=$R$18),U4564,0)</t>
  </si>
  <si>
    <t>=IF(AND($M4564&gt;=$S$16,$M4564&lt;=$S$18),U4564,0)</t>
  </si>
  <si>
    <t>=IF($M4564&lt;=$T$18,U4564,0)</t>
  </si>
  <si>
    <t>="""NAV Direct"",""CRONUS JetCorp USA"",""21"",""1"",""391572"""</t>
  </si>
  <si>
    <t>=E4563</t>
  </si>
  <si>
    <t>=StartDate-$M4565+1</t>
  </si>
  <si>
    <t>=SUM(P4565:T4565)</t>
  </si>
  <si>
    <t>=IF($M4565&gt;=$P$18,U4565,0)</t>
  </si>
  <si>
    <t>=IF(AND($M4565&gt;=$Q$16,$M4565&lt;=$Q$18),U4565,0)</t>
  </si>
  <si>
    <t>=IF(AND($M4565&gt;=$R$16,$M4565&lt;=$R$18),U4565,0)</t>
  </si>
  <si>
    <t>=IF(AND($M4565&gt;=$S$16,$M4565&lt;=$S$18),U4565,0)</t>
  </si>
  <si>
    <t>=IF($M4565&lt;=$T$18,U4565,0)</t>
  </si>
  <si>
    <t>="""NAV Direct"",""CRONUS JetCorp USA"",""21"",""1"",""391845"""</t>
  </si>
  <si>
    <t>=E4564</t>
  </si>
  <si>
    <t>=StartDate-$M4566+1</t>
  </si>
  <si>
    <t>=SUM(P4566:T4566)</t>
  </si>
  <si>
    <t>=IF($M4566&gt;=$P$18,U4566,0)</t>
  </si>
  <si>
    <t>=IF(AND($M4566&gt;=$Q$16,$M4566&lt;=$Q$18),U4566,0)</t>
  </si>
  <si>
    <t>=IF(AND($M4566&gt;=$R$16,$M4566&lt;=$R$18),U4566,0)</t>
  </si>
  <si>
    <t>=IF(AND($M4566&gt;=$S$16,$M4566&lt;=$S$18),U4566,0)</t>
  </si>
  <si>
    <t>=IF($M4566&lt;=$T$18,U4566,0)</t>
  </si>
  <si>
    <t>="""NAV Direct"",""CRONUS JetCorp USA"",""21"",""1"",""392061"""</t>
  </si>
  <si>
    <t>=E4565</t>
  </si>
  <si>
    <t>=StartDate-$M4567+1</t>
  </si>
  <si>
    <t>=SUM(P4567:T4567)</t>
  </si>
  <si>
    <t>=IF($M4567&gt;=$P$18,U4567,0)</t>
  </si>
  <si>
    <t>=IF(AND($M4567&gt;=$Q$16,$M4567&lt;=$Q$18),U4567,0)</t>
  </si>
  <si>
    <t>=IF(AND($M4567&gt;=$R$16,$M4567&lt;=$R$18),U4567,0)</t>
  </si>
  <si>
    <t>=IF(AND($M4567&gt;=$S$16,$M4567&lt;=$S$18),U4567,0)</t>
  </si>
  <si>
    <t>=IF($M4567&lt;=$T$18,U4567,0)</t>
  </si>
  <si>
    <t>="""NAV Direct"",""CRONUS JetCorp USA"",""21"",""1"",""392864"""</t>
  </si>
  <si>
    <t>=E4566</t>
  </si>
  <si>
    <t>=StartDate-$M4568+1</t>
  </si>
  <si>
    <t>=SUM(P4568:T4568)</t>
  </si>
  <si>
    <t>=IF($M4568&gt;=$P$18,U4568,0)</t>
  </si>
  <si>
    <t>=IF(AND($M4568&gt;=$Q$16,$M4568&lt;=$Q$18),U4568,0)</t>
  </si>
  <si>
    <t>=IF(AND($M4568&gt;=$R$16,$M4568&lt;=$R$18),U4568,0)</t>
  </si>
  <si>
    <t>=IF(AND($M4568&gt;=$S$16,$M4568&lt;=$S$18),U4568,0)</t>
  </si>
  <si>
    <t>=IF($M4568&lt;=$T$18,U4568,0)</t>
  </si>
  <si>
    <t>="""NAV Direct"",""CRONUS JetCorp USA"",""21"",""1"",""393292"""</t>
  </si>
  <si>
    <t>=E4567</t>
  </si>
  <si>
    <t>=StartDate-$M4569+1</t>
  </si>
  <si>
    <t>=SUM(P4569:T4569)</t>
  </si>
  <si>
    <t>=IF($M4569&gt;=$P$18,U4569,0)</t>
  </si>
  <si>
    <t>=IF(AND($M4569&gt;=$Q$16,$M4569&lt;=$Q$18),U4569,0)</t>
  </si>
  <si>
    <t>=IF(AND($M4569&gt;=$R$16,$M4569&lt;=$R$18),U4569,0)</t>
  </si>
  <si>
    <t>=IF(AND($M4569&gt;=$S$16,$M4569&lt;=$S$18),U4569,0)</t>
  </si>
  <si>
    <t>=IF($M4569&lt;=$T$18,U4569,0)</t>
  </si>
  <si>
    <t>="""NAV Direct"",""CRONUS JetCorp USA"",""21"",""1"",""393754"""</t>
  </si>
  <si>
    <t>=E4568</t>
  </si>
  <si>
    <t>=StartDate-$M4570+1</t>
  </si>
  <si>
    <t>=SUM(P4570:T4570)</t>
  </si>
  <si>
    <t>=IF($M4570&gt;=$P$18,U4570,0)</t>
  </si>
  <si>
    <t>=IF(AND($M4570&gt;=$Q$16,$M4570&lt;=$Q$18),U4570,0)</t>
  </si>
  <si>
    <t>=IF(AND($M4570&gt;=$R$16,$M4570&lt;=$R$18),U4570,0)</t>
  </si>
  <si>
    <t>=IF(AND($M4570&gt;=$S$16,$M4570&lt;=$S$18),U4570,0)</t>
  </si>
  <si>
    <t>=IF($M4570&lt;=$T$18,U4570,0)</t>
  </si>
  <si>
    <t>="""NAV Direct"",""CRONUS JetCorp USA"",""21"",""1"",""393951"""</t>
  </si>
  <si>
    <t>=E4569</t>
  </si>
  <si>
    <t>=StartDate-$M4571+1</t>
  </si>
  <si>
    <t>=SUM(P4571:T4571)</t>
  </si>
  <si>
    <t>=IF($M4571&gt;=$P$18,U4571,0)</t>
  </si>
  <si>
    <t>=IF(AND($M4571&gt;=$Q$16,$M4571&lt;=$Q$18),U4571,0)</t>
  </si>
  <si>
    <t>=IF(AND($M4571&gt;=$R$16,$M4571&lt;=$R$18),U4571,0)</t>
  </si>
  <si>
    <t>=IF(AND($M4571&gt;=$S$16,$M4571&lt;=$S$18),U4571,0)</t>
  </si>
  <si>
    <t>=IF($M4571&lt;=$T$18,U4571,0)</t>
  </si>
  <si>
    <t>="""NAV Direct"",""CRONUS JetCorp USA"",""21"",""1"",""394122"""</t>
  </si>
  <si>
    <t>=E4570</t>
  </si>
  <si>
    <t>=StartDate-$M4572+1</t>
  </si>
  <si>
    <t>=SUM(P4572:T4572)</t>
  </si>
  <si>
    <t>=IF($M4572&gt;=$P$18,U4572,0)</t>
  </si>
  <si>
    <t>=IF(AND($M4572&gt;=$Q$16,$M4572&lt;=$Q$18),U4572,0)</t>
  </si>
  <si>
    <t>=IF(AND($M4572&gt;=$R$16,$M4572&lt;=$R$18),U4572,0)</t>
  </si>
  <si>
    <t>=IF(AND($M4572&gt;=$S$16,$M4572&lt;=$S$18),U4572,0)</t>
  </si>
  <si>
    <t>=IF($M4572&lt;=$T$18,U4572,0)</t>
  </si>
  <si>
    <t>="""NAV Direct"",""CRONUS JetCorp USA"",""21"",""1"",""395887"""</t>
  </si>
  <si>
    <t>=E4571</t>
  </si>
  <si>
    <t>=StartDate-$M4573+1</t>
  </si>
  <si>
    <t>=SUM(P4573:T4573)</t>
  </si>
  <si>
    <t>=IF($M4573&gt;=$P$18,U4573,0)</t>
  </si>
  <si>
    <t>=IF(AND($M4573&gt;=$Q$16,$M4573&lt;=$Q$18),U4573,0)</t>
  </si>
  <si>
    <t>=IF(AND($M4573&gt;=$R$16,$M4573&lt;=$R$18),U4573,0)</t>
  </si>
  <si>
    <t>=IF(AND($M4573&gt;=$S$16,$M4573&lt;=$S$18),U4573,0)</t>
  </si>
  <si>
    <t>=IF($M4573&lt;=$T$18,U4573,0)</t>
  </si>
  <si>
    <t>="""NAV Direct"",""CRONUS JetCorp USA"",""21"",""1"",""396323"""</t>
  </si>
  <si>
    <t>=E4572</t>
  </si>
  <si>
    <t>=StartDate-$M4574+1</t>
  </si>
  <si>
    <t>=SUM(P4574:T4574)</t>
  </si>
  <si>
    <t>=IF($M4574&gt;=$P$18,U4574,0)</t>
  </si>
  <si>
    <t>=IF(AND($M4574&gt;=$Q$16,$M4574&lt;=$Q$18),U4574,0)</t>
  </si>
  <si>
    <t>=IF(AND($M4574&gt;=$R$16,$M4574&lt;=$R$18),U4574,0)</t>
  </si>
  <si>
    <t>=IF(AND($M4574&gt;=$S$16,$M4574&lt;=$S$18),U4574,0)</t>
  </si>
  <si>
    <t>=IF($M4574&lt;=$T$18,U4574,0)</t>
  </si>
  <si>
    <t>="""NAV Direct"",""CRONUS JetCorp USA"",""21"",""1"",""398117"""</t>
  </si>
  <si>
    <t>=E4573</t>
  </si>
  <si>
    <t>=StartDate-$M4575+1</t>
  </si>
  <si>
    <t>=SUM(P4575:T4575)</t>
  </si>
  <si>
    <t>=IF($M4575&gt;=$P$18,U4575,0)</t>
  </si>
  <si>
    <t>=IF(AND($M4575&gt;=$Q$16,$M4575&lt;=$Q$18),U4575,0)</t>
  </si>
  <si>
    <t>=IF(AND($M4575&gt;=$R$16,$M4575&lt;=$R$18),U4575,0)</t>
  </si>
  <si>
    <t>=IF(AND($M4575&gt;=$S$16,$M4575&lt;=$S$18),U4575,0)</t>
  </si>
  <si>
    <t>=IF($M4575&lt;=$T$18,U4575,0)</t>
  </si>
  <si>
    <t>="""NAV Direct"",""CRONUS JetCorp USA"",""21"",""1"",""398624"""</t>
  </si>
  <si>
    <t>=E4574</t>
  </si>
  <si>
    <t>=StartDate-$M4576+1</t>
  </si>
  <si>
    <t>=SUM(P4576:T4576)</t>
  </si>
  <si>
    <t>=IF($M4576&gt;=$P$18,U4576,0)</t>
  </si>
  <si>
    <t>=IF(AND($M4576&gt;=$Q$16,$M4576&lt;=$Q$18),U4576,0)</t>
  </si>
  <si>
    <t>=IF(AND($M4576&gt;=$R$16,$M4576&lt;=$R$18),U4576,0)</t>
  </si>
  <si>
    <t>=IF(AND($M4576&gt;=$S$16,$M4576&lt;=$S$18),U4576,0)</t>
  </si>
  <si>
    <t>=IF($M4576&lt;=$T$18,U4576,0)</t>
  </si>
  <si>
    <t>="""NAV Direct"",""CRONUS JetCorp USA"",""21"",""1"",""398927"""</t>
  </si>
  <si>
    <t>=E4575</t>
  </si>
  <si>
    <t>=StartDate-$M4577+1</t>
  </si>
  <si>
    <t>=SUM(P4577:T4577)</t>
  </si>
  <si>
    <t>=IF($M4577&gt;=$P$18,U4577,0)</t>
  </si>
  <si>
    <t>=IF(AND($M4577&gt;=$Q$16,$M4577&lt;=$Q$18),U4577,0)</t>
  </si>
  <si>
    <t>=IF(AND($M4577&gt;=$R$16,$M4577&lt;=$R$18),U4577,0)</t>
  </si>
  <si>
    <t>=IF(AND($M4577&gt;=$S$16,$M4577&lt;=$S$18),U4577,0)</t>
  </si>
  <si>
    <t>=IF($M4577&lt;=$T$18,U4577,0)</t>
  </si>
  <si>
    <t>="""NAV Direct"",""CRONUS JetCorp USA"",""21"",""1"",""399545"""</t>
  </si>
  <si>
    <t>=E4576</t>
  </si>
  <si>
    <t>=StartDate-$M4578+1</t>
  </si>
  <si>
    <t>=SUM(P4578:T4578)</t>
  </si>
  <si>
    <t>=IF($M4578&gt;=$P$18,U4578,0)</t>
  </si>
  <si>
    <t>=IF(AND($M4578&gt;=$Q$16,$M4578&lt;=$Q$18),U4578,0)</t>
  </si>
  <si>
    <t>=IF(AND($M4578&gt;=$R$16,$M4578&lt;=$R$18),U4578,0)</t>
  </si>
  <si>
    <t>=IF(AND($M4578&gt;=$S$16,$M4578&lt;=$S$18),U4578,0)</t>
  </si>
  <si>
    <t>=IF($M4578&lt;=$T$18,U4578,0)</t>
  </si>
  <si>
    <t>="""NAV Direct"",""CRONUS JetCorp USA"",""21"",""1"",""399966"""</t>
  </si>
  <si>
    <t>=E4577</t>
  </si>
  <si>
    <t>=StartDate-$M4579+1</t>
  </si>
  <si>
    <t>=SUM(P4579:T4579)</t>
  </si>
  <si>
    <t>=IF($M4579&gt;=$P$18,U4579,0)</t>
  </si>
  <si>
    <t>=IF(AND($M4579&gt;=$Q$16,$M4579&lt;=$Q$18),U4579,0)</t>
  </si>
  <si>
    <t>=IF(AND($M4579&gt;=$R$16,$M4579&lt;=$R$18),U4579,0)</t>
  </si>
  <si>
    <t>=IF(AND($M4579&gt;=$S$16,$M4579&lt;=$S$18),U4579,0)</t>
  </si>
  <si>
    <t>=IF($M4579&lt;=$T$18,U4579,0)</t>
  </si>
  <si>
    <t>="""NAV Direct"",""CRONUS JetCorp USA"",""21"",""1"",""400551"""</t>
  </si>
  <si>
    <t>=E4578</t>
  </si>
  <si>
    <t>=StartDate-$M4580+1</t>
  </si>
  <si>
    <t>=SUM(P4580:T4580)</t>
  </si>
  <si>
    <t>=IF($M4580&gt;=$P$18,U4580,0)</t>
  </si>
  <si>
    <t>=IF(AND($M4580&gt;=$Q$16,$M4580&lt;=$Q$18),U4580,0)</t>
  </si>
  <si>
    <t>=IF(AND($M4580&gt;=$R$16,$M4580&lt;=$R$18),U4580,0)</t>
  </si>
  <si>
    <t>=IF(AND($M4580&gt;=$S$16,$M4580&lt;=$S$18),U4580,0)</t>
  </si>
  <si>
    <t>=IF($M4580&lt;=$T$18,U4580,0)</t>
  </si>
  <si>
    <t>="""NAV Direct"",""CRONUS JetCorp USA"",""21"",""1"",""400864"""</t>
  </si>
  <si>
    <t>=E4579</t>
  </si>
  <si>
    <t>=StartDate-$M4581+1</t>
  </si>
  <si>
    <t>=SUM(P4581:T4581)</t>
  </si>
  <si>
    <t>=IF($M4581&gt;=$P$18,U4581,0)</t>
  </si>
  <si>
    <t>=IF(AND($M4581&gt;=$Q$16,$M4581&lt;=$Q$18),U4581,0)</t>
  </si>
  <si>
    <t>=IF(AND($M4581&gt;=$R$16,$M4581&lt;=$R$18),U4581,0)</t>
  </si>
  <si>
    <t>=IF(AND($M4581&gt;=$S$16,$M4581&lt;=$S$18),U4581,0)</t>
  </si>
  <si>
    <t>=IF($M4581&lt;=$T$18,U4581,0)</t>
  </si>
  <si>
    <t>="""NAV Direct"",""CRONUS JetCorp USA"",""21"",""1"",""401154"""</t>
  </si>
  <si>
    <t>=E4580</t>
  </si>
  <si>
    <t>=StartDate-$M4582+1</t>
  </si>
  <si>
    <t>=SUM(P4582:T4582)</t>
  </si>
  <si>
    <t>=IF($M4582&gt;=$P$18,U4582,0)</t>
  </si>
  <si>
    <t>=IF(AND($M4582&gt;=$Q$16,$M4582&lt;=$Q$18),U4582,0)</t>
  </si>
  <si>
    <t>=IF(AND($M4582&gt;=$R$16,$M4582&lt;=$R$18),U4582,0)</t>
  </si>
  <si>
    <t>=IF(AND($M4582&gt;=$S$16,$M4582&lt;=$S$18),U4582,0)</t>
  </si>
  <si>
    <t>=IF($M4582&lt;=$T$18,U4582,0)</t>
  </si>
  <si>
    <t>="""NAV Direct"",""CRONUS JetCorp USA"",""21"",""1"",""401402"""</t>
  </si>
  <si>
    <t>=E4581</t>
  </si>
  <si>
    <t>=StartDate-$M4583+1</t>
  </si>
  <si>
    <t>=SUM(P4583:T4583)</t>
  </si>
  <si>
    <t>=IF($M4583&gt;=$P$18,U4583,0)</t>
  </si>
  <si>
    <t>=IF(AND($M4583&gt;=$Q$16,$M4583&lt;=$Q$18),U4583,0)</t>
  </si>
  <si>
    <t>=IF(AND($M4583&gt;=$R$16,$M4583&lt;=$R$18),U4583,0)</t>
  </si>
  <si>
    <t>=IF(AND($M4583&gt;=$S$16,$M4583&lt;=$S$18),U4583,0)</t>
  </si>
  <si>
    <t>=IF($M4583&lt;=$T$18,U4583,0)</t>
  </si>
  <si>
    <t>="""NAV Direct"",""CRONUS JetCorp USA"",""21"",""1"",""438648"""</t>
  </si>
  <si>
    <t>=E4582</t>
  </si>
  <si>
    <t>=StartDate-$M4584+1</t>
  </si>
  <si>
    <t>=SUM(P4584:T4584)</t>
  </si>
  <si>
    <t>=IF($M4584&gt;=$P$18,U4584,0)</t>
  </si>
  <si>
    <t>=IF(AND($M4584&gt;=$Q$16,$M4584&lt;=$Q$18),U4584,0)</t>
  </si>
  <si>
    <t>=IF(AND($M4584&gt;=$R$16,$M4584&lt;=$R$18),U4584,0)</t>
  </si>
  <si>
    <t>=IF(AND($M4584&gt;=$S$16,$M4584&lt;=$S$18),U4584,0)</t>
  </si>
  <si>
    <t>=IF($M4584&lt;=$T$18,U4584,0)</t>
  </si>
  <si>
    <t>="""NAV Direct"",""CRONUS JetCorp USA"",""21"",""1"",""439007"""</t>
  </si>
  <si>
    <t>=E4583</t>
  </si>
  <si>
    <t>=StartDate-$M4585+1</t>
  </si>
  <si>
    <t>=SUM(P4585:T4585)</t>
  </si>
  <si>
    <t>=IF($M4585&gt;=$P$18,U4585,0)</t>
  </si>
  <si>
    <t>=IF(AND($M4585&gt;=$Q$16,$M4585&lt;=$Q$18),U4585,0)</t>
  </si>
  <si>
    <t>=IF(AND($M4585&gt;=$R$16,$M4585&lt;=$R$18),U4585,0)</t>
  </si>
  <si>
    <t>=IF(AND($M4585&gt;=$S$16,$M4585&lt;=$S$18),U4585,0)</t>
  </si>
  <si>
    <t>=IF($M4585&lt;=$T$18,U4585,0)</t>
  </si>
  <si>
    <t>="""NAV Direct"",""CRONUS JetCorp USA"",""21"",""1"",""439022"""</t>
  </si>
  <si>
    <t>=E4584</t>
  </si>
  <si>
    <t>=StartDate-$M4586+1</t>
  </si>
  <si>
    <t>=SUM(P4586:T4586)</t>
  </si>
  <si>
    <t>=IF($M4586&gt;=$P$18,U4586,0)</t>
  </si>
  <si>
    <t>=IF(AND($M4586&gt;=$Q$16,$M4586&lt;=$Q$18),U4586,0)</t>
  </si>
  <si>
    <t>=IF(AND($M4586&gt;=$R$16,$M4586&lt;=$R$18),U4586,0)</t>
  </si>
  <si>
    <t>=IF(AND($M4586&gt;=$S$16,$M4586&lt;=$S$18),U4586,0)</t>
  </si>
  <si>
    <t>=IF($M4586&lt;=$T$18,U4586,0)</t>
  </si>
  <si>
    <t>="""NAV Direct"",""CRONUS JetCorp USA"",""21"",""1"",""439708"""</t>
  </si>
  <si>
    <t>=E4585</t>
  </si>
  <si>
    <t>=StartDate-$M4587+1</t>
  </si>
  <si>
    <t>=SUM(P4587:T4587)</t>
  </si>
  <si>
    <t>=IF($M4587&gt;=$P$18,U4587,0)</t>
  </si>
  <si>
    <t>=IF(AND($M4587&gt;=$Q$16,$M4587&lt;=$Q$18),U4587,0)</t>
  </si>
  <si>
    <t>=IF(AND($M4587&gt;=$R$16,$M4587&lt;=$R$18),U4587,0)</t>
  </si>
  <si>
    <t>=IF(AND($M4587&gt;=$S$16,$M4587&lt;=$S$18),U4587,0)</t>
  </si>
  <si>
    <t>=IF($M4587&lt;=$T$18,U4587,0)</t>
  </si>
  <si>
    <t>="""NAV Direct"",""CRONUS JetCorp USA"",""21"",""1"",""439934"""</t>
  </si>
  <si>
    <t>=E4586</t>
  </si>
  <si>
    <t>=StartDate-$M4588+1</t>
  </si>
  <si>
    <t>=SUM(P4588:T4588)</t>
  </si>
  <si>
    <t>=IF($M4588&gt;=$P$18,U4588,0)</t>
  </si>
  <si>
    <t>=IF(AND($M4588&gt;=$Q$16,$M4588&lt;=$Q$18),U4588,0)</t>
  </si>
  <si>
    <t>=IF(AND($M4588&gt;=$R$16,$M4588&lt;=$R$18),U4588,0)</t>
  </si>
  <si>
    <t>=IF(AND($M4588&gt;=$S$16,$M4588&lt;=$S$18),U4588,0)</t>
  </si>
  <si>
    <t>=IF($M4588&lt;=$T$18,U4588,0)</t>
  </si>
  <si>
    <t>="""NAV Direct"",""CRONUS JetCorp USA"",""21"",""1"",""439970"""</t>
  </si>
  <si>
    <t>=E4587</t>
  </si>
  <si>
    <t>=StartDate-$M4589+1</t>
  </si>
  <si>
    <t>=SUM(P4589:T4589)</t>
  </si>
  <si>
    <t>=IF($M4589&gt;=$P$18,U4589,0)</t>
  </si>
  <si>
    <t>=IF(AND($M4589&gt;=$Q$16,$M4589&lt;=$Q$18),U4589,0)</t>
  </si>
  <si>
    <t>=IF(AND($M4589&gt;=$R$16,$M4589&lt;=$R$18),U4589,0)</t>
  </si>
  <si>
    <t>=IF(AND($M4589&gt;=$S$16,$M4589&lt;=$S$18),U4589,0)</t>
  </si>
  <si>
    <t>=IF($M4589&lt;=$T$18,U4589,0)</t>
  </si>
  <si>
    <t>="""NAV Direct"",""CRONUS JetCorp USA"",""21"",""1"",""440056"""</t>
  </si>
  <si>
    <t>=E4588</t>
  </si>
  <si>
    <t>=StartDate-$M4590+1</t>
  </si>
  <si>
    <t>=SUM(P4590:T4590)</t>
  </si>
  <si>
    <t>=IF($M4590&gt;=$P$18,U4590,0)</t>
  </si>
  <si>
    <t>=IF(AND($M4590&gt;=$Q$16,$M4590&lt;=$Q$18),U4590,0)</t>
  </si>
  <si>
    <t>=IF(AND($M4590&gt;=$R$16,$M4590&lt;=$R$18),U4590,0)</t>
  </si>
  <si>
    <t>=IF(AND($M4590&gt;=$S$16,$M4590&lt;=$S$18),U4590,0)</t>
  </si>
  <si>
    <t>=IF($M4590&lt;=$T$18,U4590,0)</t>
  </si>
  <si>
    <t>="""NAV Direct"",""CRONUS JetCorp USA"",""18"",""1"",""C100130"""</t>
  </si>
  <si>
    <t>=H4593</t>
  </si>
  <si>
    <t>=NF($C4593,"1 No.")</t>
  </si>
  <si>
    <t>=NF($C4593,"1 No.")&amp;"  -  "&amp;NF($C4593,"2 Name")</t>
  </si>
  <si>
    <t>=IFERROR(O4593/NF(C4593,"Credit Limit (LCY)"),"")</t>
  </si>
  <si>
    <t>=SUBTOTAL(3,L4594:L4663)</t>
  </si>
  <si>
    <t>=SUBTOTAL(9,O4594:O4663)</t>
  </si>
  <si>
    <t>=SUBTOTAL(9,P4594:P4663)</t>
  </si>
  <si>
    <t>=SUBTOTAL(9,Q4594:Q4663)</t>
  </si>
  <si>
    <t>=SUBTOTAL(9,R4594:R4663)</t>
  </si>
  <si>
    <t>=SUBTOTAL(9,S4594:S4663)</t>
  </si>
  <si>
    <t>=SUBTOTAL(9,T4594:T4663)</t>
  </si>
  <si>
    <t>=C4593</t>
  </si>
  <si>
    <t>=E4593</t>
  </si>
  <si>
    <t>="Contact: "&amp;NF($C4594,"8 Contact")</t>
  </si>
  <si>
    <t>=C4594</t>
  </si>
  <si>
    <t>=E4594</t>
  </si>
  <si>
    <t>=NF($C4595,"102 E-Mail")</t>
  </si>
  <si>
    <t>=NL("Rows","21 Cust. Ledger Entry",,"3 Customer No.","@@"&amp;$E4597,"16 Remaining Amt. (LCY)","&lt;&gt;0")</t>
  </si>
  <si>
    <t>=E4595</t>
  </si>
  <si>
    <t>=StartDate-$M4597+1</t>
  </si>
  <si>
    <t>=SUM(P4597:T4597)</t>
  </si>
  <si>
    <t>=IF($M4597&gt;=$P$18,U4597,0)</t>
  </si>
  <si>
    <t>=IF(AND($M4597&gt;=$Q$16,$M4597&lt;=$Q$18),U4597,0)</t>
  </si>
  <si>
    <t>=IF(AND($M4597&gt;=$R$16,$M4597&lt;=$R$18),U4597,0)</t>
  </si>
  <si>
    <t>=IF(AND($M4597&gt;=$S$16,$M4597&lt;=$S$18),U4597,0)</t>
  </si>
  <si>
    <t>=IF($M4597&lt;=$T$18,U4597,0)</t>
  </si>
  <si>
    <t>="""NAV Direct"",""CRONUS JetCorp USA"",""21"",""1"",""335121"""</t>
  </si>
  <si>
    <t>=E4596</t>
  </si>
  <si>
    <t>=StartDate-$M4598+1</t>
  </si>
  <si>
    <t>=SUM(P4598:T4598)</t>
  </si>
  <si>
    <t>=IF($M4598&gt;=$P$18,U4598,0)</t>
  </si>
  <si>
    <t>=IF(AND($M4598&gt;=$Q$16,$M4598&lt;=$Q$18),U4598,0)</t>
  </si>
  <si>
    <t>=IF(AND($M4598&gt;=$R$16,$M4598&lt;=$R$18),U4598,0)</t>
  </si>
  <si>
    <t>=IF(AND($M4598&gt;=$S$16,$M4598&lt;=$S$18),U4598,0)</t>
  </si>
  <si>
    <t>=IF($M4598&lt;=$T$18,U4598,0)</t>
  </si>
  <si>
    <t>="""NAV Direct"",""CRONUS JetCorp USA"",""21"",""1"",""335573"""</t>
  </si>
  <si>
    <t>=E4597</t>
  </si>
  <si>
    <t>=StartDate-$M4599+1</t>
  </si>
  <si>
    <t>=SUM(P4599:T4599)</t>
  </si>
  <si>
    <t>=IF($M4599&gt;=$P$18,U4599,0)</t>
  </si>
  <si>
    <t>=IF(AND($M4599&gt;=$Q$16,$M4599&lt;=$Q$18),U4599,0)</t>
  </si>
  <si>
    <t>=IF(AND($M4599&gt;=$R$16,$M4599&lt;=$R$18),U4599,0)</t>
  </si>
  <si>
    <t>=IF(AND($M4599&gt;=$S$16,$M4599&lt;=$S$18),U4599,0)</t>
  </si>
  <si>
    <t>=IF($M4599&lt;=$T$18,U4599,0)</t>
  </si>
  <si>
    <t>="""NAV Direct"",""CRONUS JetCorp USA"",""21"",""1"",""336283"""</t>
  </si>
  <si>
    <t>=E4598</t>
  </si>
  <si>
    <t>=StartDate-$M4600+1</t>
  </si>
  <si>
    <t>=SUM(P4600:T4600)</t>
  </si>
  <si>
    <t>=IF($M4600&gt;=$P$18,U4600,0)</t>
  </si>
  <si>
    <t>=IF(AND($M4600&gt;=$Q$16,$M4600&lt;=$Q$18),U4600,0)</t>
  </si>
  <si>
    <t>=IF(AND($M4600&gt;=$R$16,$M4600&lt;=$R$18),U4600,0)</t>
  </si>
  <si>
    <t>=IF(AND($M4600&gt;=$S$16,$M4600&lt;=$S$18),U4600,0)</t>
  </si>
  <si>
    <t>=IF($M4600&lt;=$T$18,U4600,0)</t>
  </si>
  <si>
    <t>="""NAV Direct"",""CRONUS JetCorp USA"",""21"",""1"",""336849"""</t>
  </si>
  <si>
    <t>=E4599</t>
  </si>
  <si>
    <t>=StartDate-$M4601+1</t>
  </si>
  <si>
    <t>=SUM(P4601:T4601)</t>
  </si>
  <si>
    <t>=IF($M4601&gt;=$P$18,U4601,0)</t>
  </si>
  <si>
    <t>=IF(AND($M4601&gt;=$Q$16,$M4601&lt;=$Q$18),U4601,0)</t>
  </si>
  <si>
    <t>=IF(AND($M4601&gt;=$R$16,$M4601&lt;=$R$18),U4601,0)</t>
  </si>
  <si>
    <t>=IF(AND($M4601&gt;=$S$16,$M4601&lt;=$S$18),U4601,0)</t>
  </si>
  <si>
    <t>=IF($M4601&lt;=$T$18,U4601,0)</t>
  </si>
  <si>
    <t>="""NAV Direct"",""CRONUS JetCorp USA"",""21"",""1"",""337324"""</t>
  </si>
  <si>
    <t>=E4600</t>
  </si>
  <si>
    <t>=StartDate-$M4602+1</t>
  </si>
  <si>
    <t>=SUM(P4602:T4602)</t>
  </si>
  <si>
    <t>=IF($M4602&gt;=$P$18,U4602,0)</t>
  </si>
  <si>
    <t>=IF(AND($M4602&gt;=$Q$16,$M4602&lt;=$Q$18),U4602,0)</t>
  </si>
  <si>
    <t>=IF(AND($M4602&gt;=$R$16,$M4602&lt;=$R$18),U4602,0)</t>
  </si>
  <si>
    <t>=IF(AND($M4602&gt;=$S$16,$M4602&lt;=$S$18),U4602,0)</t>
  </si>
  <si>
    <t>=IF($M4602&lt;=$T$18,U4602,0)</t>
  </si>
  <si>
    <t>="""NAV Direct"",""CRONUS JetCorp USA"",""21"",""1"",""337773"""</t>
  </si>
  <si>
    <t>=E4601</t>
  </si>
  <si>
    <t>=StartDate-$M4603+1</t>
  </si>
  <si>
    <t>=SUM(P4603:T4603)</t>
  </si>
  <si>
    <t>=IF($M4603&gt;=$P$18,U4603,0)</t>
  </si>
  <si>
    <t>=IF(AND($M4603&gt;=$Q$16,$M4603&lt;=$Q$18),U4603,0)</t>
  </si>
  <si>
    <t>=IF(AND($M4603&gt;=$R$16,$M4603&lt;=$R$18),U4603,0)</t>
  </si>
  <si>
    <t>=IF(AND($M4603&gt;=$S$16,$M4603&lt;=$S$18),U4603,0)</t>
  </si>
  <si>
    <t>=IF($M4603&lt;=$T$18,U4603,0)</t>
  </si>
  <si>
    <t>="""NAV Direct"",""CRONUS JetCorp USA"",""21"",""1"",""337806"""</t>
  </si>
  <si>
    <t>=E4602</t>
  </si>
  <si>
    <t>=StartDate-$M4604+1</t>
  </si>
  <si>
    <t>=SUM(P4604:T4604)</t>
  </si>
  <si>
    <t>=IF($M4604&gt;=$P$18,U4604,0)</t>
  </si>
  <si>
    <t>=IF(AND($M4604&gt;=$Q$16,$M4604&lt;=$Q$18),U4604,0)</t>
  </si>
  <si>
    <t>=IF(AND($M4604&gt;=$R$16,$M4604&lt;=$R$18),U4604,0)</t>
  </si>
  <si>
    <t>=IF(AND($M4604&gt;=$S$16,$M4604&lt;=$S$18),U4604,0)</t>
  </si>
  <si>
    <t>=IF($M4604&lt;=$T$18,U4604,0)</t>
  </si>
  <si>
    <t>="""NAV Direct"",""CRONUS JetCorp USA"",""21"",""1"",""337847"""</t>
  </si>
  <si>
    <t>=E4603</t>
  </si>
  <si>
    <t>=StartDate-$M4605+1</t>
  </si>
  <si>
    <t>=SUM(P4605:T4605)</t>
  </si>
  <si>
    <t>=IF($M4605&gt;=$P$18,U4605,0)</t>
  </si>
  <si>
    <t>=IF(AND($M4605&gt;=$Q$16,$M4605&lt;=$Q$18),U4605,0)</t>
  </si>
  <si>
    <t>=IF(AND($M4605&gt;=$R$16,$M4605&lt;=$R$18),U4605,0)</t>
  </si>
  <si>
    <t>=IF(AND($M4605&gt;=$S$16,$M4605&lt;=$S$18),U4605,0)</t>
  </si>
  <si>
    <t>=IF($M4605&lt;=$T$18,U4605,0)</t>
  </si>
  <si>
    <t>="""NAV Direct"",""CRONUS JetCorp USA"",""21"",""1"",""337894"""</t>
  </si>
  <si>
    <t>=E4604</t>
  </si>
  <si>
    <t>=StartDate-$M4606+1</t>
  </si>
  <si>
    <t>=SUM(P4606:T4606)</t>
  </si>
  <si>
    <t>=IF($M4606&gt;=$P$18,U4606,0)</t>
  </si>
  <si>
    <t>=IF(AND($M4606&gt;=$Q$16,$M4606&lt;=$Q$18),U4606,0)</t>
  </si>
  <si>
    <t>=IF(AND($M4606&gt;=$R$16,$M4606&lt;=$R$18),U4606,0)</t>
  </si>
  <si>
    <t>=IF(AND($M4606&gt;=$S$16,$M4606&lt;=$S$18),U4606,0)</t>
  </si>
  <si>
    <t>=IF($M4606&lt;=$T$18,U4606,0)</t>
  </si>
  <si>
    <t>="""NAV Direct"",""CRONUS JetCorp USA"",""21"",""1"",""338461"""</t>
  </si>
  <si>
    <t>=E4605</t>
  </si>
  <si>
    <t>=StartDate-$M4607+1</t>
  </si>
  <si>
    <t>=SUM(P4607:T4607)</t>
  </si>
  <si>
    <t>=IF($M4607&gt;=$P$18,U4607,0)</t>
  </si>
  <si>
    <t>=IF(AND($M4607&gt;=$Q$16,$M4607&lt;=$Q$18),U4607,0)</t>
  </si>
  <si>
    <t>=IF(AND($M4607&gt;=$R$16,$M4607&lt;=$R$18),U4607,0)</t>
  </si>
  <si>
    <t>=IF(AND($M4607&gt;=$S$16,$M4607&lt;=$S$18),U4607,0)</t>
  </si>
  <si>
    <t>=IF($M4607&lt;=$T$18,U4607,0)</t>
  </si>
  <si>
    <t>="""NAV Direct"",""CRONUS JetCorp USA"",""21"",""1"",""339236"""</t>
  </si>
  <si>
    <t>=E4606</t>
  </si>
  <si>
    <t>=StartDate-$M4608+1</t>
  </si>
  <si>
    <t>=SUM(P4608:T4608)</t>
  </si>
  <si>
    <t>=IF($M4608&gt;=$P$18,U4608,0)</t>
  </si>
  <si>
    <t>=IF(AND($M4608&gt;=$Q$16,$M4608&lt;=$Q$18),U4608,0)</t>
  </si>
  <si>
    <t>=IF(AND($M4608&gt;=$R$16,$M4608&lt;=$R$18),U4608,0)</t>
  </si>
  <si>
    <t>=IF(AND($M4608&gt;=$S$16,$M4608&lt;=$S$18),U4608,0)</t>
  </si>
  <si>
    <t>=IF($M4608&lt;=$T$18,U4608,0)</t>
  </si>
  <si>
    <t>="""NAV Direct"",""CRONUS JetCorp USA"",""21"",""1"",""339519"""</t>
  </si>
  <si>
    <t>=E4607</t>
  </si>
  <si>
    <t>=StartDate-$M4609+1</t>
  </si>
  <si>
    <t>=SUM(P4609:T4609)</t>
  </si>
  <si>
    <t>=IF($M4609&gt;=$P$18,U4609,0)</t>
  </si>
  <si>
    <t>=IF(AND($M4609&gt;=$Q$16,$M4609&lt;=$Q$18),U4609,0)</t>
  </si>
  <si>
    <t>=IF(AND($M4609&gt;=$R$16,$M4609&lt;=$R$18),U4609,0)</t>
  </si>
  <si>
    <t>=IF(AND($M4609&gt;=$S$16,$M4609&lt;=$S$18),U4609,0)</t>
  </si>
  <si>
    <t>=IF($M4609&lt;=$T$18,U4609,0)</t>
  </si>
  <si>
    <t>="""NAV Direct"",""CRONUS JetCorp USA"",""21"",""1"",""339622"""</t>
  </si>
  <si>
    <t>=E4608</t>
  </si>
  <si>
    <t>=StartDate-$M4610+1</t>
  </si>
  <si>
    <t>=SUM(P4610:T4610)</t>
  </si>
  <si>
    <t>=IF($M4610&gt;=$P$18,U4610,0)</t>
  </si>
  <si>
    <t>=IF(AND($M4610&gt;=$Q$16,$M4610&lt;=$Q$18),U4610,0)</t>
  </si>
  <si>
    <t>=IF(AND($M4610&gt;=$R$16,$M4610&lt;=$R$18),U4610,0)</t>
  </si>
  <si>
    <t>=IF(AND($M4610&gt;=$S$16,$M4610&lt;=$S$18),U4610,0)</t>
  </si>
  <si>
    <t>=IF($M4610&lt;=$T$18,U4610,0)</t>
  </si>
  <si>
    <t>="""NAV Direct"",""CRONUS JetCorp USA"",""21"",""1"",""339971"""</t>
  </si>
  <si>
    <t>=E4609</t>
  </si>
  <si>
    <t>=StartDate-$M4611+1</t>
  </si>
  <si>
    <t>=SUM(P4611:T4611)</t>
  </si>
  <si>
    <t>=IF($M4611&gt;=$P$18,U4611,0)</t>
  </si>
  <si>
    <t>=IF(AND($M4611&gt;=$Q$16,$M4611&lt;=$Q$18),U4611,0)</t>
  </si>
  <si>
    <t>=IF(AND($M4611&gt;=$R$16,$M4611&lt;=$R$18),U4611,0)</t>
  </si>
  <si>
    <t>=IF(AND($M4611&gt;=$S$16,$M4611&lt;=$S$18),U4611,0)</t>
  </si>
  <si>
    <t>=IF($M4611&lt;=$T$18,U4611,0)</t>
  </si>
  <si>
    <t>="""NAV Direct"",""CRONUS JetCorp USA"",""21"",""1"",""340503"""</t>
  </si>
  <si>
    <t>=E4610</t>
  </si>
  <si>
    <t>=StartDate-$M4612+1</t>
  </si>
  <si>
    <t>=SUM(P4612:T4612)</t>
  </si>
  <si>
    <t>=IF($M4612&gt;=$P$18,U4612,0)</t>
  </si>
  <si>
    <t>=IF(AND($M4612&gt;=$Q$16,$M4612&lt;=$Q$18),U4612,0)</t>
  </si>
  <si>
    <t>=IF(AND($M4612&gt;=$R$16,$M4612&lt;=$R$18),U4612,0)</t>
  </si>
  <si>
    <t>=IF(AND($M4612&gt;=$S$16,$M4612&lt;=$S$18),U4612,0)</t>
  </si>
  <si>
    <t>=IF($M4612&lt;=$T$18,U4612,0)</t>
  </si>
  <si>
    <t>="""NAV Direct"",""CRONUS JetCorp USA"",""21"",""1"",""340692"""</t>
  </si>
  <si>
    <t>=E4611</t>
  </si>
  <si>
    <t>=StartDate-$M4613+1</t>
  </si>
  <si>
    <t>=SUM(P4613:T4613)</t>
  </si>
  <si>
    <t>=IF($M4613&gt;=$P$18,U4613,0)</t>
  </si>
  <si>
    <t>=IF(AND($M4613&gt;=$Q$16,$M4613&lt;=$Q$18),U4613,0)</t>
  </si>
  <si>
    <t>=IF(AND($M4613&gt;=$R$16,$M4613&lt;=$R$18),U4613,0)</t>
  </si>
  <si>
    <t>=IF(AND($M4613&gt;=$S$16,$M4613&lt;=$S$18),U4613,0)</t>
  </si>
  <si>
    <t>=IF($M4613&lt;=$T$18,U4613,0)</t>
  </si>
  <si>
    <t>="""NAV Direct"",""CRONUS JetCorp USA"",""21"",""1"",""341063"""</t>
  </si>
  <si>
    <t>=E4612</t>
  </si>
  <si>
    <t>=StartDate-$M4614+1</t>
  </si>
  <si>
    <t>=SUM(P4614:T4614)</t>
  </si>
  <si>
    <t>=IF($M4614&gt;=$P$18,U4614,0)</t>
  </si>
  <si>
    <t>=IF(AND($M4614&gt;=$Q$16,$M4614&lt;=$Q$18),U4614,0)</t>
  </si>
  <si>
    <t>=IF(AND($M4614&gt;=$R$16,$M4614&lt;=$R$18),U4614,0)</t>
  </si>
  <si>
    <t>=IF(AND($M4614&gt;=$S$16,$M4614&lt;=$S$18),U4614,0)</t>
  </si>
  <si>
    <t>=IF($M4614&lt;=$T$18,U4614,0)</t>
  </si>
  <si>
    <t>="""NAV Direct"",""CRONUS JetCorp USA"",""21"",""1"",""341273"""</t>
  </si>
  <si>
    <t>=E4613</t>
  </si>
  <si>
    <t>=StartDate-$M4615+1</t>
  </si>
  <si>
    <t>=SUM(P4615:T4615)</t>
  </si>
  <si>
    <t>=IF($M4615&gt;=$P$18,U4615,0)</t>
  </si>
  <si>
    <t>=IF(AND($M4615&gt;=$Q$16,$M4615&lt;=$Q$18),U4615,0)</t>
  </si>
  <si>
    <t>=IF(AND($M4615&gt;=$R$16,$M4615&lt;=$R$18),U4615,0)</t>
  </si>
  <si>
    <t>=IF(AND($M4615&gt;=$S$16,$M4615&lt;=$S$18),U4615,0)</t>
  </si>
  <si>
    <t>=IF($M4615&lt;=$T$18,U4615,0)</t>
  </si>
  <si>
    <t>="""NAV Direct"",""CRONUS JetCorp USA"",""21"",""1"",""341318"""</t>
  </si>
  <si>
    <t>=E4614</t>
  </si>
  <si>
    <t>=StartDate-$M4616+1</t>
  </si>
  <si>
    <t>=SUM(P4616:T4616)</t>
  </si>
  <si>
    <t>=IF($M4616&gt;=$P$18,U4616,0)</t>
  </si>
  <si>
    <t>=IF(AND($M4616&gt;=$Q$16,$M4616&lt;=$Q$18),U4616,0)</t>
  </si>
  <si>
    <t>=IF(AND($M4616&gt;=$R$16,$M4616&lt;=$R$18),U4616,0)</t>
  </si>
  <si>
    <t>=IF(AND($M4616&gt;=$S$16,$M4616&lt;=$S$18),U4616,0)</t>
  </si>
  <si>
    <t>=IF($M4616&lt;=$T$18,U4616,0)</t>
  </si>
  <si>
    <t>="""NAV Direct"",""CRONUS JetCorp USA"",""21"",""1"",""341721"""</t>
  </si>
  <si>
    <t>=E4615</t>
  </si>
  <si>
    <t>=StartDate-$M4617+1</t>
  </si>
  <si>
    <t>=SUM(P4617:T4617)</t>
  </si>
  <si>
    <t>=IF($M4617&gt;=$P$18,U4617,0)</t>
  </si>
  <si>
    <t>=IF(AND($M4617&gt;=$Q$16,$M4617&lt;=$Q$18),U4617,0)</t>
  </si>
  <si>
    <t>=IF(AND($M4617&gt;=$R$16,$M4617&lt;=$R$18),U4617,0)</t>
  </si>
  <si>
    <t>=IF(AND($M4617&gt;=$S$16,$M4617&lt;=$S$18),U4617,0)</t>
  </si>
  <si>
    <t>=IF($M4617&lt;=$T$18,U4617,0)</t>
  </si>
  <si>
    <t>="""NAV Direct"",""CRONUS JetCorp USA"",""21"",""1"",""341793"""</t>
  </si>
  <si>
    <t>=E4616</t>
  </si>
  <si>
    <t>=StartDate-$M4618+1</t>
  </si>
  <si>
    <t>=SUM(P4618:T4618)</t>
  </si>
  <si>
    <t>=IF($M4618&gt;=$P$18,U4618,0)</t>
  </si>
  <si>
    <t>=IF(AND($M4618&gt;=$Q$16,$M4618&lt;=$Q$18),U4618,0)</t>
  </si>
  <si>
    <t>=IF(AND($M4618&gt;=$R$16,$M4618&lt;=$R$18),U4618,0)</t>
  </si>
  <si>
    <t>=IF(AND($M4618&gt;=$S$16,$M4618&lt;=$S$18),U4618,0)</t>
  </si>
  <si>
    <t>=IF($M4618&lt;=$T$18,U4618,0)</t>
  </si>
  <si>
    <t>="""NAV Direct"",""CRONUS JetCorp USA"",""21"",""1"",""342255"""</t>
  </si>
  <si>
    <t>=E4617</t>
  </si>
  <si>
    <t>=StartDate-$M4619+1</t>
  </si>
  <si>
    <t>=SUM(P4619:T4619)</t>
  </si>
  <si>
    <t>=IF($M4619&gt;=$P$18,U4619,0)</t>
  </si>
  <si>
    <t>=IF(AND($M4619&gt;=$Q$16,$M4619&lt;=$Q$18),U4619,0)</t>
  </si>
  <si>
    <t>=IF(AND($M4619&gt;=$R$16,$M4619&lt;=$R$18),U4619,0)</t>
  </si>
  <si>
    <t>=IF(AND($M4619&gt;=$S$16,$M4619&lt;=$S$18),U4619,0)</t>
  </si>
  <si>
    <t>=IF($M4619&lt;=$T$18,U4619,0)</t>
  </si>
  <si>
    <t>="""NAV Direct"",""CRONUS JetCorp USA"",""21"",""1"",""342390"""</t>
  </si>
  <si>
    <t>=E4618</t>
  </si>
  <si>
    <t>=StartDate-$M4620+1</t>
  </si>
  <si>
    <t>=SUM(P4620:T4620)</t>
  </si>
  <si>
    <t>=IF($M4620&gt;=$P$18,U4620,0)</t>
  </si>
  <si>
    <t>=IF(AND($M4620&gt;=$Q$16,$M4620&lt;=$Q$18),U4620,0)</t>
  </si>
  <si>
    <t>=IF(AND($M4620&gt;=$R$16,$M4620&lt;=$R$18),U4620,0)</t>
  </si>
  <si>
    <t>=IF(AND($M4620&gt;=$S$16,$M4620&lt;=$S$18),U4620,0)</t>
  </si>
  <si>
    <t>=IF($M4620&lt;=$T$18,U4620,0)</t>
  </si>
  <si>
    <t>="""NAV Direct"",""CRONUS JetCorp USA"",""21"",""1"",""343000"""</t>
  </si>
  <si>
    <t>=E4619</t>
  </si>
  <si>
    <t>=StartDate-$M4621+1</t>
  </si>
  <si>
    <t>=SUM(P4621:T4621)</t>
  </si>
  <si>
    <t>=IF($M4621&gt;=$P$18,U4621,0)</t>
  </si>
  <si>
    <t>=IF(AND($M4621&gt;=$Q$16,$M4621&lt;=$Q$18),U4621,0)</t>
  </si>
  <si>
    <t>=IF(AND($M4621&gt;=$R$16,$M4621&lt;=$R$18),U4621,0)</t>
  </si>
  <si>
    <t>=IF(AND($M4621&gt;=$S$16,$M4621&lt;=$S$18),U4621,0)</t>
  </si>
  <si>
    <t>=IF($M4621&lt;=$T$18,U4621,0)</t>
  </si>
  <si>
    <t>="""NAV Direct"",""CRONUS JetCorp USA"",""21"",""1"",""343651"""</t>
  </si>
  <si>
    <t>=E4620</t>
  </si>
  <si>
    <t>=StartDate-$M4622+1</t>
  </si>
  <si>
    <t>=SUM(P4622:T4622)</t>
  </si>
  <si>
    <t>=IF($M4622&gt;=$P$18,U4622,0)</t>
  </si>
  <si>
    <t>=IF(AND($M4622&gt;=$Q$16,$M4622&lt;=$Q$18),U4622,0)</t>
  </si>
  <si>
    <t>=IF(AND($M4622&gt;=$R$16,$M4622&lt;=$R$18),U4622,0)</t>
  </si>
  <si>
    <t>=IF(AND($M4622&gt;=$S$16,$M4622&lt;=$S$18),U4622,0)</t>
  </si>
  <si>
    <t>=IF($M4622&lt;=$T$18,U4622,0)</t>
  </si>
  <si>
    <t>="""NAV Direct"",""CRONUS JetCorp USA"",""21"",""1"",""343682"""</t>
  </si>
  <si>
    <t>=E4621</t>
  </si>
  <si>
    <t>=StartDate-$M4623+1</t>
  </si>
  <si>
    <t>=SUM(P4623:T4623)</t>
  </si>
  <si>
    <t>=IF($M4623&gt;=$P$18,U4623,0)</t>
  </si>
  <si>
    <t>=IF(AND($M4623&gt;=$Q$16,$M4623&lt;=$Q$18),U4623,0)</t>
  </si>
  <si>
    <t>=IF(AND($M4623&gt;=$R$16,$M4623&lt;=$R$18),U4623,0)</t>
  </si>
  <si>
    <t>=IF(AND($M4623&gt;=$S$16,$M4623&lt;=$S$18),U4623,0)</t>
  </si>
  <si>
    <t>=IF($M4623&lt;=$T$18,U4623,0)</t>
  </si>
  <si>
    <t>="""NAV Direct"",""CRONUS JetCorp USA"",""21"",""1"",""344275"""</t>
  </si>
  <si>
    <t>=E4622</t>
  </si>
  <si>
    <t>=StartDate-$M4624+1</t>
  </si>
  <si>
    <t>=SUM(P4624:T4624)</t>
  </si>
  <si>
    <t>=IF($M4624&gt;=$P$18,U4624,0)</t>
  </si>
  <si>
    <t>=IF(AND($M4624&gt;=$Q$16,$M4624&lt;=$Q$18),U4624,0)</t>
  </si>
  <si>
    <t>=IF(AND($M4624&gt;=$R$16,$M4624&lt;=$R$18),U4624,0)</t>
  </si>
  <si>
    <t>=IF(AND($M4624&gt;=$S$16,$M4624&lt;=$S$18),U4624,0)</t>
  </si>
  <si>
    <t>=IF($M4624&lt;=$T$18,U4624,0)</t>
  </si>
  <si>
    <t>="""NAV Direct"",""CRONUS JetCorp USA"",""21"",""1"",""344480"""</t>
  </si>
  <si>
    <t>=E4623</t>
  </si>
  <si>
    <t>=StartDate-$M4625+1</t>
  </si>
  <si>
    <t>=SUM(P4625:T4625)</t>
  </si>
  <si>
    <t>=IF($M4625&gt;=$P$18,U4625,0)</t>
  </si>
  <si>
    <t>=IF(AND($M4625&gt;=$Q$16,$M4625&lt;=$Q$18),U4625,0)</t>
  </si>
  <si>
    <t>=IF(AND($M4625&gt;=$R$16,$M4625&lt;=$R$18),U4625,0)</t>
  </si>
  <si>
    <t>=IF(AND($M4625&gt;=$S$16,$M4625&lt;=$S$18),U4625,0)</t>
  </si>
  <si>
    <t>=IF($M4625&lt;=$T$18,U4625,0)</t>
  </si>
  <si>
    <t>="""NAV Direct"",""CRONUS JetCorp USA"",""21"",""1"",""344589"""</t>
  </si>
  <si>
    <t>=E4624</t>
  </si>
  <si>
    <t>=StartDate-$M4626+1</t>
  </si>
  <si>
    <t>=SUM(P4626:T4626)</t>
  </si>
  <si>
    <t>=IF($M4626&gt;=$P$18,U4626,0)</t>
  </si>
  <si>
    <t>=IF(AND($M4626&gt;=$Q$16,$M4626&lt;=$Q$18),U4626,0)</t>
  </si>
  <si>
    <t>=IF(AND($M4626&gt;=$R$16,$M4626&lt;=$R$18),U4626,0)</t>
  </si>
  <si>
    <t>=IF(AND($M4626&gt;=$S$16,$M4626&lt;=$S$18),U4626,0)</t>
  </si>
  <si>
    <t>=IF($M4626&lt;=$T$18,U4626,0)</t>
  </si>
  <si>
    <t>="""NAV Direct"",""CRONUS JetCorp USA"",""21"",""1"",""344685"""</t>
  </si>
  <si>
    <t>=E4625</t>
  </si>
  <si>
    <t>=StartDate-$M4627+1</t>
  </si>
  <si>
    <t>=SUM(P4627:T4627)</t>
  </si>
  <si>
    <t>=IF($M4627&gt;=$P$18,U4627,0)</t>
  </si>
  <si>
    <t>=IF(AND($M4627&gt;=$Q$16,$M4627&lt;=$Q$18),U4627,0)</t>
  </si>
  <si>
    <t>=IF(AND($M4627&gt;=$R$16,$M4627&lt;=$R$18),U4627,0)</t>
  </si>
  <si>
    <t>=IF(AND($M4627&gt;=$S$16,$M4627&lt;=$S$18),U4627,0)</t>
  </si>
  <si>
    <t>=IF($M4627&lt;=$T$18,U4627,0)</t>
  </si>
  <si>
    <t>="""NAV Direct"",""CRONUS JetCorp USA"",""21"",""1"",""344888"""</t>
  </si>
  <si>
    <t>=E4626</t>
  </si>
  <si>
    <t>=StartDate-$M4628+1</t>
  </si>
  <si>
    <t>=SUM(P4628:T4628)</t>
  </si>
  <si>
    <t>=IF($M4628&gt;=$P$18,U4628,0)</t>
  </si>
  <si>
    <t>=IF(AND($M4628&gt;=$Q$16,$M4628&lt;=$Q$18),U4628,0)</t>
  </si>
  <si>
    <t>=IF(AND($M4628&gt;=$R$16,$M4628&lt;=$R$18),U4628,0)</t>
  </si>
  <si>
    <t>=IF(AND($M4628&gt;=$S$16,$M4628&lt;=$S$18),U4628,0)</t>
  </si>
  <si>
    <t>=IF($M4628&lt;=$T$18,U4628,0)</t>
  </si>
  <si>
    <t>="""NAV Direct"",""CRONUS JetCorp USA"",""21"",""1"",""346014"""</t>
  </si>
  <si>
    <t>=E4627</t>
  </si>
  <si>
    <t>=StartDate-$M4629+1</t>
  </si>
  <si>
    <t>=SUM(P4629:T4629)</t>
  </si>
  <si>
    <t>=IF($M4629&gt;=$P$18,U4629,0)</t>
  </si>
  <si>
    <t>=IF(AND($M4629&gt;=$Q$16,$M4629&lt;=$Q$18),U4629,0)</t>
  </si>
  <si>
    <t>=IF(AND($M4629&gt;=$R$16,$M4629&lt;=$R$18),U4629,0)</t>
  </si>
  <si>
    <t>=IF(AND($M4629&gt;=$S$16,$M4629&lt;=$S$18),U4629,0)</t>
  </si>
  <si>
    <t>=IF($M4629&lt;=$T$18,U4629,0)</t>
  </si>
  <si>
    <t>="""NAV Direct"",""CRONUS JetCorp USA"",""21"",""1"",""346131"""</t>
  </si>
  <si>
    <t>=E4628</t>
  </si>
  <si>
    <t>=StartDate-$M4630+1</t>
  </si>
  <si>
    <t>=SUM(P4630:T4630)</t>
  </si>
  <si>
    <t>=IF($M4630&gt;=$P$18,U4630,0)</t>
  </si>
  <si>
    <t>=IF(AND($M4630&gt;=$Q$16,$M4630&lt;=$Q$18),U4630,0)</t>
  </si>
  <si>
    <t>=IF(AND($M4630&gt;=$R$16,$M4630&lt;=$R$18),U4630,0)</t>
  </si>
  <si>
    <t>=IF(AND($M4630&gt;=$S$16,$M4630&lt;=$S$18),U4630,0)</t>
  </si>
  <si>
    <t>=IF($M4630&lt;=$T$18,U4630,0)</t>
  </si>
  <si>
    <t>="""NAV Direct"",""CRONUS JetCorp USA"",""21"",""1"",""346164"""</t>
  </si>
  <si>
    <t>=E4629</t>
  </si>
  <si>
    <t>=StartDate-$M4631+1</t>
  </si>
  <si>
    <t>=SUM(P4631:T4631)</t>
  </si>
  <si>
    <t>=IF($M4631&gt;=$P$18,U4631,0)</t>
  </si>
  <si>
    <t>=IF(AND($M4631&gt;=$Q$16,$M4631&lt;=$Q$18),U4631,0)</t>
  </si>
  <si>
    <t>=IF(AND($M4631&gt;=$R$16,$M4631&lt;=$R$18),U4631,0)</t>
  </si>
  <si>
    <t>=IF(AND($M4631&gt;=$S$16,$M4631&lt;=$S$18),U4631,0)</t>
  </si>
  <si>
    <t>=IF($M4631&lt;=$T$18,U4631,0)</t>
  </si>
  <si>
    <t>="""NAV Direct"",""CRONUS JetCorp USA"",""21"",""1"",""346442"""</t>
  </si>
  <si>
    <t>=E4630</t>
  </si>
  <si>
    <t>=StartDate-$M4632+1</t>
  </si>
  <si>
    <t>=SUM(P4632:T4632)</t>
  </si>
  <si>
    <t>=IF($M4632&gt;=$P$18,U4632,0)</t>
  </si>
  <si>
    <t>=IF(AND($M4632&gt;=$Q$16,$M4632&lt;=$Q$18),U4632,0)</t>
  </si>
  <si>
    <t>=IF(AND($M4632&gt;=$R$16,$M4632&lt;=$R$18),U4632,0)</t>
  </si>
  <si>
    <t>=IF(AND($M4632&gt;=$S$16,$M4632&lt;=$S$18),U4632,0)</t>
  </si>
  <si>
    <t>=IF($M4632&lt;=$T$18,U4632,0)</t>
  </si>
  <si>
    <t>="""NAV Direct"",""CRONUS JetCorp USA"",""21"",""1"",""346959"""</t>
  </si>
  <si>
    <t>=E4631</t>
  </si>
  <si>
    <t>=StartDate-$M4633+1</t>
  </si>
  <si>
    <t>=SUM(P4633:T4633)</t>
  </si>
  <si>
    <t>=IF($M4633&gt;=$P$18,U4633,0)</t>
  </si>
  <si>
    <t>=IF(AND($M4633&gt;=$Q$16,$M4633&lt;=$Q$18),U4633,0)</t>
  </si>
  <si>
    <t>=IF(AND($M4633&gt;=$R$16,$M4633&lt;=$R$18),U4633,0)</t>
  </si>
  <si>
    <t>=IF(AND($M4633&gt;=$S$16,$M4633&lt;=$S$18),U4633,0)</t>
  </si>
  <si>
    <t>=IF($M4633&lt;=$T$18,U4633,0)</t>
  </si>
  <si>
    <t>="""NAV Direct"",""CRONUS JetCorp USA"",""21"",""1"",""347092"""</t>
  </si>
  <si>
    <t>=E4632</t>
  </si>
  <si>
    <t>=StartDate-$M4634+1</t>
  </si>
  <si>
    <t>=SUM(P4634:T4634)</t>
  </si>
  <si>
    <t>=IF($M4634&gt;=$P$18,U4634,0)</t>
  </si>
  <si>
    <t>=IF(AND($M4634&gt;=$Q$16,$M4634&lt;=$Q$18),U4634,0)</t>
  </si>
  <si>
    <t>=IF(AND($M4634&gt;=$R$16,$M4634&lt;=$R$18),U4634,0)</t>
  </si>
  <si>
    <t>=IF(AND($M4634&gt;=$S$16,$M4634&lt;=$S$18),U4634,0)</t>
  </si>
  <si>
    <t>=IF($M4634&lt;=$T$18,U4634,0)</t>
  </si>
  <si>
    <t>="""NAV Direct"",""CRONUS JetCorp USA"",""21"",""1"",""347987"""</t>
  </si>
  <si>
    <t>=E4633</t>
  </si>
  <si>
    <t>=StartDate-$M4635+1</t>
  </si>
  <si>
    <t>=SUM(P4635:T4635)</t>
  </si>
  <si>
    <t>=IF($M4635&gt;=$P$18,U4635,0)</t>
  </si>
  <si>
    <t>=IF(AND($M4635&gt;=$Q$16,$M4635&lt;=$Q$18),U4635,0)</t>
  </si>
  <si>
    <t>=IF(AND($M4635&gt;=$R$16,$M4635&lt;=$R$18),U4635,0)</t>
  </si>
  <si>
    <t>=IF(AND($M4635&gt;=$S$16,$M4635&lt;=$S$18),U4635,0)</t>
  </si>
  <si>
    <t>=IF($M4635&lt;=$T$18,U4635,0)</t>
  </si>
  <si>
    <t>="""NAV Direct"",""CRONUS JetCorp USA"",""21"",""1"",""348032"""</t>
  </si>
  <si>
    <t>=E4634</t>
  </si>
  <si>
    <t>=StartDate-$M4636+1</t>
  </si>
  <si>
    <t>=SUM(P4636:T4636)</t>
  </si>
  <si>
    <t>=IF($M4636&gt;=$P$18,U4636,0)</t>
  </si>
  <si>
    <t>=IF(AND($M4636&gt;=$Q$16,$M4636&lt;=$Q$18),U4636,0)</t>
  </si>
  <si>
    <t>=IF(AND($M4636&gt;=$R$16,$M4636&lt;=$R$18),U4636,0)</t>
  </si>
  <si>
    <t>=IF(AND($M4636&gt;=$S$16,$M4636&lt;=$S$18),U4636,0)</t>
  </si>
  <si>
    <t>=IF($M4636&lt;=$T$18,U4636,0)</t>
  </si>
  <si>
    <t>="""NAV Direct"",""CRONUS JetCorp USA"",""21"",""1"",""348311"""</t>
  </si>
  <si>
    <t>=E4635</t>
  </si>
  <si>
    <t>=StartDate-$M4637+1</t>
  </si>
  <si>
    <t>=SUM(P4637:T4637)</t>
  </si>
  <si>
    <t>=IF($M4637&gt;=$P$18,U4637,0)</t>
  </si>
  <si>
    <t>=IF(AND($M4637&gt;=$Q$16,$M4637&lt;=$Q$18),U4637,0)</t>
  </si>
  <si>
    <t>=IF(AND($M4637&gt;=$R$16,$M4637&lt;=$R$18),U4637,0)</t>
  </si>
  <si>
    <t>=IF(AND($M4637&gt;=$S$16,$M4637&lt;=$S$18),U4637,0)</t>
  </si>
  <si>
    <t>=IF($M4637&lt;=$T$18,U4637,0)</t>
  </si>
  <si>
    <t>="""NAV Direct"",""CRONUS JetCorp USA"",""21"",""1"",""348407"""</t>
  </si>
  <si>
    <t>=E4636</t>
  </si>
  <si>
    <t>=StartDate-$M4638+1</t>
  </si>
  <si>
    <t>=SUM(P4638:T4638)</t>
  </si>
  <si>
    <t>=IF($M4638&gt;=$P$18,U4638,0)</t>
  </si>
  <si>
    <t>=IF(AND($M4638&gt;=$Q$16,$M4638&lt;=$Q$18),U4638,0)</t>
  </si>
  <si>
    <t>=IF(AND($M4638&gt;=$R$16,$M4638&lt;=$R$18),U4638,0)</t>
  </si>
  <si>
    <t>=IF(AND($M4638&gt;=$S$16,$M4638&lt;=$S$18),U4638,0)</t>
  </si>
  <si>
    <t>=IF($M4638&lt;=$T$18,U4638,0)</t>
  </si>
  <si>
    <t>="""NAV Direct"",""CRONUS JetCorp USA"",""21"",""1"",""348694"""</t>
  </si>
  <si>
    <t>=E4637</t>
  </si>
  <si>
    <t>=StartDate-$M4639+1</t>
  </si>
  <si>
    <t>=SUM(P4639:T4639)</t>
  </si>
  <si>
    <t>=IF($M4639&gt;=$P$18,U4639,0)</t>
  </si>
  <si>
    <t>=IF(AND($M4639&gt;=$Q$16,$M4639&lt;=$Q$18),U4639,0)</t>
  </si>
  <si>
    <t>=IF(AND($M4639&gt;=$R$16,$M4639&lt;=$R$18),U4639,0)</t>
  </si>
  <si>
    <t>=IF(AND($M4639&gt;=$S$16,$M4639&lt;=$S$18),U4639,0)</t>
  </si>
  <si>
    <t>=IF($M4639&lt;=$T$18,U4639,0)</t>
  </si>
  <si>
    <t>="""NAV Direct"",""CRONUS JetCorp USA"",""21"",""1"",""348928"""</t>
  </si>
  <si>
    <t>=E4638</t>
  </si>
  <si>
    <t>=StartDate-$M4640+1</t>
  </si>
  <si>
    <t>=SUM(P4640:T4640)</t>
  </si>
  <si>
    <t>=IF($M4640&gt;=$P$18,U4640,0)</t>
  </si>
  <si>
    <t>=IF(AND($M4640&gt;=$Q$16,$M4640&lt;=$Q$18),U4640,0)</t>
  </si>
  <si>
    <t>=IF(AND($M4640&gt;=$R$16,$M4640&lt;=$R$18),U4640,0)</t>
  </si>
  <si>
    <t>=IF(AND($M4640&gt;=$S$16,$M4640&lt;=$S$18),U4640,0)</t>
  </si>
  <si>
    <t>=IF($M4640&lt;=$T$18,U4640,0)</t>
  </si>
  <si>
    <t>="""NAV Direct"",""CRONUS JetCorp USA"",""21"",""1"",""349107"""</t>
  </si>
  <si>
    <t>=E4639</t>
  </si>
  <si>
    <t>=StartDate-$M4641+1</t>
  </si>
  <si>
    <t>=SUM(P4641:T4641)</t>
  </si>
  <si>
    <t>=IF($M4641&gt;=$P$18,U4641,0)</t>
  </si>
  <si>
    <t>=IF(AND($M4641&gt;=$Q$16,$M4641&lt;=$Q$18),U4641,0)</t>
  </si>
  <si>
    <t>=IF(AND($M4641&gt;=$R$16,$M4641&lt;=$R$18),U4641,0)</t>
  </si>
  <si>
    <t>=IF(AND($M4641&gt;=$S$16,$M4641&lt;=$S$18),U4641,0)</t>
  </si>
  <si>
    <t>=IF($M4641&lt;=$T$18,U4641,0)</t>
  </si>
  <si>
    <t>="""NAV Direct"",""CRONUS JetCorp USA"",""21"",""1"",""350300"""</t>
  </si>
  <si>
    <t>=E4640</t>
  </si>
  <si>
    <t>=StartDate-$M4642+1</t>
  </si>
  <si>
    <t>=SUM(P4642:T4642)</t>
  </si>
  <si>
    <t>=IF($M4642&gt;=$P$18,U4642,0)</t>
  </si>
  <si>
    <t>=IF(AND($M4642&gt;=$Q$16,$M4642&lt;=$Q$18),U4642,0)</t>
  </si>
  <si>
    <t>=IF(AND($M4642&gt;=$R$16,$M4642&lt;=$R$18),U4642,0)</t>
  </si>
  <si>
    <t>=IF(AND($M4642&gt;=$S$16,$M4642&lt;=$S$18),U4642,0)</t>
  </si>
  <si>
    <t>=IF($M4642&lt;=$T$18,U4642,0)</t>
  </si>
  <si>
    <t>="""NAV Direct"",""CRONUS JetCorp USA"",""21"",""1"",""351039"""</t>
  </si>
  <si>
    <t>=E4641</t>
  </si>
  <si>
    <t>=StartDate-$M4643+1</t>
  </si>
  <si>
    <t>=SUM(P4643:T4643)</t>
  </si>
  <si>
    <t>=IF($M4643&gt;=$P$18,U4643,0)</t>
  </si>
  <si>
    <t>=IF(AND($M4643&gt;=$Q$16,$M4643&lt;=$Q$18),U4643,0)</t>
  </si>
  <si>
    <t>=IF(AND($M4643&gt;=$R$16,$M4643&lt;=$R$18),U4643,0)</t>
  </si>
  <si>
    <t>=IF(AND($M4643&gt;=$S$16,$M4643&lt;=$S$18),U4643,0)</t>
  </si>
  <si>
    <t>=IF($M4643&lt;=$T$18,U4643,0)</t>
  </si>
  <si>
    <t>="""NAV Direct"",""CRONUS JetCorp USA"",""21"",""1"",""351324"""</t>
  </si>
  <si>
    <t>=E4642</t>
  </si>
  <si>
    <t>=StartDate-$M4644+1</t>
  </si>
  <si>
    <t>=SUM(P4644:T4644)</t>
  </si>
  <si>
    <t>=IF($M4644&gt;=$P$18,U4644,0)</t>
  </si>
  <si>
    <t>=IF(AND($M4644&gt;=$Q$16,$M4644&lt;=$Q$18),U4644,0)</t>
  </si>
  <si>
    <t>=IF(AND($M4644&gt;=$R$16,$M4644&lt;=$R$18),U4644,0)</t>
  </si>
  <si>
    <t>=IF(AND($M4644&gt;=$S$16,$M4644&lt;=$S$18),U4644,0)</t>
  </si>
  <si>
    <t>=IF($M4644&lt;=$T$18,U4644,0)</t>
  </si>
  <si>
    <t>="""NAV Direct"",""CRONUS JetCorp USA"",""21"",""1"",""351621"""</t>
  </si>
  <si>
    <t>=E4643</t>
  </si>
  <si>
    <t>=StartDate-$M4645+1</t>
  </si>
  <si>
    <t>=SUM(P4645:T4645)</t>
  </si>
  <si>
    <t>=IF($M4645&gt;=$P$18,U4645,0)</t>
  </si>
  <si>
    <t>=IF(AND($M4645&gt;=$Q$16,$M4645&lt;=$Q$18),U4645,0)</t>
  </si>
  <si>
    <t>=IF(AND($M4645&gt;=$R$16,$M4645&lt;=$R$18),U4645,0)</t>
  </si>
  <si>
    <t>=IF(AND($M4645&gt;=$S$16,$M4645&lt;=$S$18),U4645,0)</t>
  </si>
  <si>
    <t>=IF($M4645&lt;=$T$18,U4645,0)</t>
  </si>
  <si>
    <t>="""NAV Direct"",""CRONUS JetCorp USA"",""21"",""1"",""351922"""</t>
  </si>
  <si>
    <t>=E4644</t>
  </si>
  <si>
    <t>=StartDate-$M4646+1</t>
  </si>
  <si>
    <t>=SUM(P4646:T4646)</t>
  </si>
  <si>
    <t>=IF($M4646&gt;=$P$18,U4646,0)</t>
  </si>
  <si>
    <t>=IF(AND($M4646&gt;=$Q$16,$M4646&lt;=$Q$18),U4646,0)</t>
  </si>
  <si>
    <t>=IF(AND($M4646&gt;=$R$16,$M4646&lt;=$R$18),U4646,0)</t>
  </si>
  <si>
    <t>=IF(AND($M4646&gt;=$S$16,$M4646&lt;=$S$18),U4646,0)</t>
  </si>
  <si>
    <t>=IF($M4646&lt;=$T$18,U4646,0)</t>
  </si>
  <si>
    <t>="""NAV Direct"",""CRONUS JetCorp USA"",""21"",""1"",""433585"""</t>
  </si>
  <si>
    <t>=E4645</t>
  </si>
  <si>
    <t>=StartDate-$M4647+1</t>
  </si>
  <si>
    <t>=SUM(P4647:T4647)</t>
  </si>
  <si>
    <t>=IF($M4647&gt;=$P$18,U4647,0)</t>
  </si>
  <si>
    <t>=IF(AND($M4647&gt;=$Q$16,$M4647&lt;=$Q$18),U4647,0)</t>
  </si>
  <si>
    <t>=IF(AND($M4647&gt;=$R$16,$M4647&lt;=$R$18),U4647,0)</t>
  </si>
  <si>
    <t>=IF(AND($M4647&gt;=$S$16,$M4647&lt;=$S$18),U4647,0)</t>
  </si>
  <si>
    <t>=IF($M4647&lt;=$T$18,U4647,0)</t>
  </si>
  <si>
    <t>="""NAV Direct"",""CRONUS JetCorp USA"",""21"",""1"",""433816"""</t>
  </si>
  <si>
    <t>=E4646</t>
  </si>
  <si>
    <t>=StartDate-$M4648+1</t>
  </si>
  <si>
    <t>=SUM(P4648:T4648)</t>
  </si>
  <si>
    <t>=IF($M4648&gt;=$P$18,U4648,0)</t>
  </si>
  <si>
    <t>=IF(AND($M4648&gt;=$Q$16,$M4648&lt;=$Q$18),U4648,0)</t>
  </si>
  <si>
    <t>=IF(AND($M4648&gt;=$R$16,$M4648&lt;=$R$18),U4648,0)</t>
  </si>
  <si>
    <t>=IF(AND($M4648&gt;=$S$16,$M4648&lt;=$S$18),U4648,0)</t>
  </si>
  <si>
    <t>=IF($M4648&lt;=$T$18,U4648,0)</t>
  </si>
  <si>
    <t>="""NAV Direct"",""CRONUS JetCorp USA"",""21"",""1"",""433857"""</t>
  </si>
  <si>
    <t>=E4647</t>
  </si>
  <si>
    <t>=StartDate-$M4649+1</t>
  </si>
  <si>
    <t>=SUM(P4649:T4649)</t>
  </si>
  <si>
    <t>=IF($M4649&gt;=$P$18,U4649,0)</t>
  </si>
  <si>
    <t>=IF(AND($M4649&gt;=$Q$16,$M4649&lt;=$Q$18),U4649,0)</t>
  </si>
  <si>
    <t>=IF(AND($M4649&gt;=$R$16,$M4649&lt;=$R$18),U4649,0)</t>
  </si>
  <si>
    <t>=IF(AND($M4649&gt;=$S$16,$M4649&lt;=$S$18),U4649,0)</t>
  </si>
  <si>
    <t>=IF($M4649&lt;=$T$18,U4649,0)</t>
  </si>
  <si>
    <t>="""NAV Direct"",""CRONUS JetCorp USA"",""21"",""1"",""433873"""</t>
  </si>
  <si>
    <t>=E4648</t>
  </si>
  <si>
    <t>=StartDate-$M4650+1</t>
  </si>
  <si>
    <t>=SUM(P4650:T4650)</t>
  </si>
  <si>
    <t>=IF($M4650&gt;=$P$18,U4650,0)</t>
  </si>
  <si>
    <t>=IF(AND($M4650&gt;=$Q$16,$M4650&lt;=$Q$18),U4650,0)</t>
  </si>
  <si>
    <t>=IF(AND($M4650&gt;=$R$16,$M4650&lt;=$R$18),U4650,0)</t>
  </si>
  <si>
    <t>=IF(AND($M4650&gt;=$S$16,$M4650&lt;=$S$18),U4650,0)</t>
  </si>
  <si>
    <t>=IF($M4650&lt;=$T$18,U4650,0)</t>
  </si>
  <si>
    <t>="""NAV Direct"",""CRONUS JetCorp USA"",""21"",""1"",""433917"""</t>
  </si>
  <si>
    <t>=E4649</t>
  </si>
  <si>
    <t>=StartDate-$M4651+1</t>
  </si>
  <si>
    <t>=SUM(P4651:T4651)</t>
  </si>
  <si>
    <t>=IF($M4651&gt;=$P$18,U4651,0)</t>
  </si>
  <si>
    <t>=IF(AND($M4651&gt;=$Q$16,$M4651&lt;=$Q$18),U4651,0)</t>
  </si>
  <si>
    <t>=IF(AND($M4651&gt;=$R$16,$M4651&lt;=$R$18),U4651,0)</t>
  </si>
  <si>
    <t>=IF(AND($M4651&gt;=$S$16,$M4651&lt;=$S$18),U4651,0)</t>
  </si>
  <si>
    <t>=IF($M4651&lt;=$T$18,U4651,0)</t>
  </si>
  <si>
    <t>="""NAV Direct"",""CRONUS JetCorp USA"",""21"",""1"",""433980"""</t>
  </si>
  <si>
    <t>=E4650</t>
  </si>
  <si>
    <t>=StartDate-$M4652+1</t>
  </si>
  <si>
    <t>=SUM(P4652:T4652)</t>
  </si>
  <si>
    <t>=IF($M4652&gt;=$P$18,U4652,0)</t>
  </si>
  <si>
    <t>=IF(AND($M4652&gt;=$Q$16,$M4652&lt;=$Q$18),U4652,0)</t>
  </si>
  <si>
    <t>=IF(AND($M4652&gt;=$R$16,$M4652&lt;=$R$18),U4652,0)</t>
  </si>
  <si>
    <t>=IF(AND($M4652&gt;=$S$16,$M4652&lt;=$S$18),U4652,0)</t>
  </si>
  <si>
    <t>=IF($M4652&lt;=$T$18,U4652,0)</t>
  </si>
  <si>
    <t>="""NAV Direct"",""CRONUS JetCorp USA"",""21"",""1"",""434008"""</t>
  </si>
  <si>
    <t>=E4651</t>
  </si>
  <si>
    <t>=StartDate-$M4653+1</t>
  </si>
  <si>
    <t>=SUM(P4653:T4653)</t>
  </si>
  <si>
    <t>=IF($M4653&gt;=$P$18,U4653,0)</t>
  </si>
  <si>
    <t>=IF(AND($M4653&gt;=$Q$16,$M4653&lt;=$Q$18),U4653,0)</t>
  </si>
  <si>
    <t>=IF(AND($M4653&gt;=$R$16,$M4653&lt;=$R$18),U4653,0)</t>
  </si>
  <si>
    <t>=IF(AND($M4653&gt;=$S$16,$M4653&lt;=$S$18),U4653,0)</t>
  </si>
  <si>
    <t>=IF($M4653&lt;=$T$18,U4653,0)</t>
  </si>
  <si>
    <t>="""NAV Direct"",""CRONUS JetCorp USA"",""21"",""1"",""434198"""</t>
  </si>
  <si>
    <t>=E4652</t>
  </si>
  <si>
    <t>=StartDate-$M4654+1</t>
  </si>
  <si>
    <t>=SUM(P4654:T4654)</t>
  </si>
  <si>
    <t>=IF($M4654&gt;=$P$18,U4654,0)</t>
  </si>
  <si>
    <t>=IF(AND($M4654&gt;=$Q$16,$M4654&lt;=$Q$18),U4654,0)</t>
  </si>
  <si>
    <t>=IF(AND($M4654&gt;=$R$16,$M4654&lt;=$R$18),U4654,0)</t>
  </si>
  <si>
    <t>=IF(AND($M4654&gt;=$S$16,$M4654&lt;=$S$18),U4654,0)</t>
  </si>
  <si>
    <t>=IF($M4654&lt;=$T$18,U4654,0)</t>
  </si>
  <si>
    <t>="""NAV Direct"",""CRONUS JetCorp USA"",""21"",""1"",""434423"""</t>
  </si>
  <si>
    <t>=E4653</t>
  </si>
  <si>
    <t>=StartDate-$M4655+1</t>
  </si>
  <si>
    <t>=SUM(P4655:T4655)</t>
  </si>
  <si>
    <t>=IF($M4655&gt;=$P$18,U4655,0)</t>
  </si>
  <si>
    <t>=IF(AND($M4655&gt;=$Q$16,$M4655&lt;=$Q$18),U4655,0)</t>
  </si>
  <si>
    <t>=IF(AND($M4655&gt;=$R$16,$M4655&lt;=$R$18),U4655,0)</t>
  </si>
  <si>
    <t>=IF(AND($M4655&gt;=$S$16,$M4655&lt;=$S$18),U4655,0)</t>
  </si>
  <si>
    <t>=IF($M4655&lt;=$T$18,U4655,0)</t>
  </si>
  <si>
    <t>="""NAV Direct"",""CRONUS JetCorp USA"",""21"",""1"",""434432"""</t>
  </si>
  <si>
    <t>=E4654</t>
  </si>
  <si>
    <t>=StartDate-$M4656+1</t>
  </si>
  <si>
    <t>=SUM(P4656:T4656)</t>
  </si>
  <si>
    <t>=IF($M4656&gt;=$P$18,U4656,0)</t>
  </si>
  <si>
    <t>=IF(AND($M4656&gt;=$Q$16,$M4656&lt;=$Q$18),U4656,0)</t>
  </si>
  <si>
    <t>=IF(AND($M4656&gt;=$R$16,$M4656&lt;=$R$18),U4656,0)</t>
  </si>
  <si>
    <t>=IF(AND($M4656&gt;=$S$16,$M4656&lt;=$S$18),U4656,0)</t>
  </si>
  <si>
    <t>=IF($M4656&lt;=$T$18,U4656,0)</t>
  </si>
  <si>
    <t>="""NAV Direct"",""CRONUS JetCorp USA"",""21"",""1"",""434485"""</t>
  </si>
  <si>
    <t>=E4655</t>
  </si>
  <si>
    <t>=StartDate-$M4657+1</t>
  </si>
  <si>
    <t>=SUM(P4657:T4657)</t>
  </si>
  <si>
    <t>=IF($M4657&gt;=$P$18,U4657,0)</t>
  </si>
  <si>
    <t>=IF(AND($M4657&gt;=$Q$16,$M4657&lt;=$Q$18),U4657,0)</t>
  </si>
  <si>
    <t>=IF(AND($M4657&gt;=$R$16,$M4657&lt;=$R$18),U4657,0)</t>
  </si>
  <si>
    <t>=IF(AND($M4657&gt;=$S$16,$M4657&lt;=$S$18),U4657,0)</t>
  </si>
  <si>
    <t>=IF($M4657&lt;=$T$18,U4657,0)</t>
  </si>
  <si>
    <t>="""NAV Direct"",""CRONUS JetCorp USA"",""21"",""1"",""434540"""</t>
  </si>
  <si>
    <t>=E4656</t>
  </si>
  <si>
    <t>=StartDate-$M4658+1</t>
  </si>
  <si>
    <t>=SUM(P4658:T4658)</t>
  </si>
  <si>
    <t>=IF($M4658&gt;=$P$18,U4658,0)</t>
  </si>
  <si>
    <t>=IF(AND($M4658&gt;=$Q$16,$M4658&lt;=$Q$18),U4658,0)</t>
  </si>
  <si>
    <t>=IF(AND($M4658&gt;=$R$16,$M4658&lt;=$R$18),U4658,0)</t>
  </si>
  <si>
    <t>=IF(AND($M4658&gt;=$S$16,$M4658&lt;=$S$18),U4658,0)</t>
  </si>
  <si>
    <t>=IF($M4658&lt;=$T$18,U4658,0)</t>
  </si>
  <si>
    <t>="""NAV Direct"",""CRONUS JetCorp USA"",""21"",""1"",""434555"""</t>
  </si>
  <si>
    <t>=E4657</t>
  </si>
  <si>
    <t>=StartDate-$M4659+1</t>
  </si>
  <si>
    <t>=SUM(P4659:T4659)</t>
  </si>
  <si>
    <t>=IF($M4659&gt;=$P$18,U4659,0)</t>
  </si>
  <si>
    <t>=IF(AND($M4659&gt;=$Q$16,$M4659&lt;=$Q$18),U4659,0)</t>
  </si>
  <si>
    <t>=IF(AND($M4659&gt;=$R$16,$M4659&lt;=$R$18),U4659,0)</t>
  </si>
  <si>
    <t>=IF(AND($M4659&gt;=$S$16,$M4659&lt;=$S$18),U4659,0)</t>
  </si>
  <si>
    <t>=IF($M4659&lt;=$T$18,U4659,0)</t>
  </si>
  <si>
    <t>="""NAV Direct"",""CRONUS JetCorp USA"",""21"",""1"",""434627"""</t>
  </si>
  <si>
    <t>=E4658</t>
  </si>
  <si>
    <t>=StartDate-$M4660+1</t>
  </si>
  <si>
    <t>=SUM(P4660:T4660)</t>
  </si>
  <si>
    <t>=IF($M4660&gt;=$P$18,U4660,0)</t>
  </si>
  <si>
    <t>=IF(AND($M4660&gt;=$Q$16,$M4660&lt;=$Q$18),U4660,0)</t>
  </si>
  <si>
    <t>=IF(AND($M4660&gt;=$R$16,$M4660&lt;=$R$18),U4660,0)</t>
  </si>
  <si>
    <t>=IF(AND($M4660&gt;=$S$16,$M4660&lt;=$S$18),U4660,0)</t>
  </si>
  <si>
    <t>=IF($M4660&lt;=$T$18,U4660,0)</t>
  </si>
  <si>
    <t>="""NAV Direct"",""CRONUS JetCorp USA"",""21"",""1"",""434650"""</t>
  </si>
  <si>
    <t>=E4659</t>
  </si>
  <si>
    <t>=StartDate-$M4661+1</t>
  </si>
  <si>
    <t>=SUM(P4661:T4661)</t>
  </si>
  <si>
    <t>=IF($M4661&gt;=$P$18,U4661,0)</t>
  </si>
  <si>
    <t>=IF(AND($M4661&gt;=$Q$16,$M4661&lt;=$Q$18),U4661,0)</t>
  </si>
  <si>
    <t>=IF(AND($M4661&gt;=$R$16,$M4661&lt;=$R$18),U4661,0)</t>
  </si>
  <si>
    <t>=IF(AND($M4661&gt;=$S$16,$M4661&lt;=$S$18),U4661,0)</t>
  </si>
  <si>
    <t>=IF($M4661&lt;=$T$18,U4661,0)</t>
  </si>
  <si>
    <t>="""NAV Direct"",""CRONUS JetCorp USA"",""21"",""1"",""434719"""</t>
  </si>
  <si>
    <t>=E4660</t>
  </si>
  <si>
    <t>=StartDate-$M4662+1</t>
  </si>
  <si>
    <t>=SUM(P4662:T4662)</t>
  </si>
  <si>
    <t>=IF($M4662&gt;=$P$18,U4662,0)</t>
  </si>
  <si>
    <t>=IF(AND($M4662&gt;=$Q$16,$M4662&lt;=$Q$18),U4662,0)</t>
  </si>
  <si>
    <t>=IF(AND($M4662&gt;=$R$16,$M4662&lt;=$R$18),U4662,0)</t>
  </si>
  <si>
    <t>=IF(AND($M4662&gt;=$S$16,$M4662&lt;=$S$18),U4662,0)</t>
  </si>
  <si>
    <t>=IF($M4662&lt;=$T$18,U4662,0)</t>
  </si>
  <si>
    <t>="""NAV Direct"",""CRONUS JetCorp USA"",""18"",""1"",""C100133"""</t>
  </si>
  <si>
    <t>=H4665</t>
  </si>
  <si>
    <t>=NF($C4665,"1 No.")</t>
  </si>
  <si>
    <t>=NF($C4665,"1 No.")&amp;"  -  "&amp;NF($C4665,"2 Name")</t>
  </si>
  <si>
    <t>=IFERROR(O4665/NF(C4665,"Credit Limit (LCY)"),"")</t>
  </si>
  <si>
    <t>=SUBTOTAL(3,L4666:L4708)</t>
  </si>
  <si>
    <t>=SUBTOTAL(9,O4666:O4708)</t>
  </si>
  <si>
    <t>=SUBTOTAL(9,P4666:P4708)</t>
  </si>
  <si>
    <t>=SUBTOTAL(9,Q4666:Q4708)</t>
  </si>
  <si>
    <t>=SUBTOTAL(9,R4666:R4708)</t>
  </si>
  <si>
    <t>=SUBTOTAL(9,S4666:S4708)</t>
  </si>
  <si>
    <t>=SUBTOTAL(9,T4666:T4708)</t>
  </si>
  <si>
    <t>=C4665</t>
  </si>
  <si>
    <t>=E4665</t>
  </si>
  <si>
    <t>="Contact: "&amp;NF($C4666,"8 Contact")</t>
  </si>
  <si>
    <t>=C4666</t>
  </si>
  <si>
    <t>=E4666</t>
  </si>
  <si>
    <t>=NF($C4667,"102 E-Mail")</t>
  </si>
  <si>
    <t>=NL("Rows","21 Cust. Ledger Entry",,"3 Customer No.","@@"&amp;$E4669,"16 Remaining Amt. (LCY)","&lt;&gt;0")</t>
  </si>
  <si>
    <t>=E4667</t>
  </si>
  <si>
    <t>=StartDate-$M4669+1</t>
  </si>
  <si>
    <t>=SUM(P4669:T4669)</t>
  </si>
  <si>
    <t>=IF($M4669&gt;=$P$18,U4669,0)</t>
  </si>
  <si>
    <t>=IF(AND($M4669&gt;=$Q$16,$M4669&lt;=$Q$18),U4669,0)</t>
  </si>
  <si>
    <t>=IF(AND($M4669&gt;=$R$16,$M4669&lt;=$R$18),U4669,0)</t>
  </si>
  <si>
    <t>=IF(AND($M4669&gt;=$S$16,$M4669&lt;=$S$18),U4669,0)</t>
  </si>
  <si>
    <t>=IF($M4669&lt;=$T$18,U4669,0)</t>
  </si>
  <si>
    <t>="""NAV Direct"",""CRONUS JetCorp USA"",""21"",""1"",""209633"""</t>
  </si>
  <si>
    <t>=E4668</t>
  </si>
  <si>
    <t>=StartDate-$M4670+1</t>
  </si>
  <si>
    <t>=SUM(P4670:T4670)</t>
  </si>
  <si>
    <t>=IF($M4670&gt;=$P$18,U4670,0)</t>
  </si>
  <si>
    <t>=IF(AND($M4670&gt;=$Q$16,$M4670&lt;=$Q$18),U4670,0)</t>
  </si>
  <si>
    <t>=IF(AND($M4670&gt;=$R$16,$M4670&lt;=$R$18),U4670,0)</t>
  </si>
  <si>
    <t>=IF(AND($M4670&gt;=$S$16,$M4670&lt;=$S$18),U4670,0)</t>
  </si>
  <si>
    <t>=IF($M4670&lt;=$T$18,U4670,0)</t>
  </si>
  <si>
    <t>="""NAV Direct"",""CRONUS JetCorp USA"",""21"",""1"",""210075"""</t>
  </si>
  <si>
    <t>=E4669</t>
  </si>
  <si>
    <t>=StartDate-$M4671+1</t>
  </si>
  <si>
    <t>=SUM(P4671:T4671)</t>
  </si>
  <si>
    <t>=IF($M4671&gt;=$P$18,U4671,0)</t>
  </si>
  <si>
    <t>=IF(AND($M4671&gt;=$Q$16,$M4671&lt;=$Q$18),U4671,0)</t>
  </si>
  <si>
    <t>=IF(AND($M4671&gt;=$R$16,$M4671&lt;=$R$18),U4671,0)</t>
  </si>
  <si>
    <t>=IF(AND($M4671&gt;=$S$16,$M4671&lt;=$S$18),U4671,0)</t>
  </si>
  <si>
    <t>=IF($M4671&lt;=$T$18,U4671,0)</t>
  </si>
  <si>
    <t>="""NAV Direct"",""CRONUS JetCorp USA"",""21"",""1"",""210395"""</t>
  </si>
  <si>
    <t>=E4670</t>
  </si>
  <si>
    <t>=StartDate-$M4672+1</t>
  </si>
  <si>
    <t>=SUM(P4672:T4672)</t>
  </si>
  <si>
    <t>=IF($M4672&gt;=$P$18,U4672,0)</t>
  </si>
  <si>
    <t>=IF(AND($M4672&gt;=$Q$16,$M4672&lt;=$Q$18),U4672,0)</t>
  </si>
  <si>
    <t>=IF(AND($M4672&gt;=$R$16,$M4672&lt;=$R$18),U4672,0)</t>
  </si>
  <si>
    <t>=IF(AND($M4672&gt;=$S$16,$M4672&lt;=$S$18),U4672,0)</t>
  </si>
  <si>
    <t>=IF($M4672&lt;=$T$18,U4672,0)</t>
  </si>
  <si>
    <t>="""NAV Direct"",""CRONUS JetCorp USA"",""21"",""1"",""210520"""</t>
  </si>
  <si>
    <t>=E4671</t>
  </si>
  <si>
    <t>=StartDate-$M4673+1</t>
  </si>
  <si>
    <t>=SUM(P4673:T4673)</t>
  </si>
  <si>
    <t>=IF($M4673&gt;=$P$18,U4673,0)</t>
  </si>
  <si>
    <t>=IF(AND($M4673&gt;=$Q$16,$M4673&lt;=$Q$18),U4673,0)</t>
  </si>
  <si>
    <t>=IF(AND($M4673&gt;=$R$16,$M4673&lt;=$R$18),U4673,0)</t>
  </si>
  <si>
    <t>=IF(AND($M4673&gt;=$S$16,$M4673&lt;=$S$18),U4673,0)</t>
  </si>
  <si>
    <t>=IF($M4673&lt;=$T$18,U4673,0)</t>
  </si>
  <si>
    <t>="""NAV Direct"",""CRONUS JetCorp USA"",""21"",""1"",""210661"""</t>
  </si>
  <si>
    <t>=E4672</t>
  </si>
  <si>
    <t>=StartDate-$M4674+1</t>
  </si>
  <si>
    <t>=SUM(P4674:T4674)</t>
  </si>
  <si>
    <t>=IF($M4674&gt;=$P$18,U4674,0)</t>
  </si>
  <si>
    <t>=IF(AND($M4674&gt;=$Q$16,$M4674&lt;=$Q$18),U4674,0)</t>
  </si>
  <si>
    <t>=IF(AND($M4674&gt;=$R$16,$M4674&lt;=$R$18),U4674,0)</t>
  </si>
  <si>
    <t>=IF(AND($M4674&gt;=$S$16,$M4674&lt;=$S$18),U4674,0)</t>
  </si>
  <si>
    <t>=IF($M4674&lt;=$T$18,U4674,0)</t>
  </si>
  <si>
    <t>="""NAV Direct"",""CRONUS JetCorp USA"",""21"",""1"",""210784"""</t>
  </si>
  <si>
    <t>=E4673</t>
  </si>
  <si>
    <t>=StartDate-$M4675+1</t>
  </si>
  <si>
    <t>=SUM(P4675:T4675)</t>
  </si>
  <si>
    <t>=IF($M4675&gt;=$P$18,U4675,0)</t>
  </si>
  <si>
    <t>=IF(AND($M4675&gt;=$Q$16,$M4675&lt;=$Q$18),U4675,0)</t>
  </si>
  <si>
    <t>=IF(AND($M4675&gt;=$R$16,$M4675&lt;=$R$18),U4675,0)</t>
  </si>
  <si>
    <t>=IF(AND($M4675&gt;=$S$16,$M4675&lt;=$S$18),U4675,0)</t>
  </si>
  <si>
    <t>=IF($M4675&lt;=$T$18,U4675,0)</t>
  </si>
  <si>
    <t>="""NAV Direct"",""CRONUS JetCorp USA"",""21"",""1"",""210833"""</t>
  </si>
  <si>
    <t>=E4674</t>
  </si>
  <si>
    <t>=StartDate-$M4676+1</t>
  </si>
  <si>
    <t>=SUM(P4676:T4676)</t>
  </si>
  <si>
    <t>=IF($M4676&gt;=$P$18,U4676,0)</t>
  </si>
  <si>
    <t>=IF(AND($M4676&gt;=$Q$16,$M4676&lt;=$Q$18),U4676,0)</t>
  </si>
  <si>
    <t>=IF(AND($M4676&gt;=$R$16,$M4676&lt;=$R$18),U4676,0)</t>
  </si>
  <si>
    <t>=IF(AND($M4676&gt;=$S$16,$M4676&lt;=$S$18),U4676,0)</t>
  </si>
  <si>
    <t>=IF($M4676&lt;=$T$18,U4676,0)</t>
  </si>
  <si>
    <t>="""NAV Direct"",""CRONUS JetCorp USA"",""21"",""1"",""210872"""</t>
  </si>
  <si>
    <t>=E4675</t>
  </si>
  <si>
    <t>=StartDate-$M4677+1</t>
  </si>
  <si>
    <t>=SUM(P4677:T4677)</t>
  </si>
  <si>
    <t>=IF($M4677&gt;=$P$18,U4677,0)</t>
  </si>
  <si>
    <t>=IF(AND($M4677&gt;=$Q$16,$M4677&lt;=$Q$18),U4677,0)</t>
  </si>
  <si>
    <t>=IF(AND($M4677&gt;=$R$16,$M4677&lt;=$R$18),U4677,0)</t>
  </si>
  <si>
    <t>=IF(AND($M4677&gt;=$S$16,$M4677&lt;=$S$18),U4677,0)</t>
  </si>
  <si>
    <t>=IF($M4677&lt;=$T$18,U4677,0)</t>
  </si>
  <si>
    <t>="""NAV Direct"",""CRONUS JetCorp USA"",""21"",""1"",""211801"""</t>
  </si>
  <si>
    <t>=E4676</t>
  </si>
  <si>
    <t>=StartDate-$M4678+1</t>
  </si>
  <si>
    <t>=SUM(P4678:T4678)</t>
  </si>
  <si>
    <t>=IF($M4678&gt;=$P$18,U4678,0)</t>
  </si>
  <si>
    <t>=IF(AND($M4678&gt;=$Q$16,$M4678&lt;=$Q$18),U4678,0)</t>
  </si>
  <si>
    <t>=IF(AND($M4678&gt;=$R$16,$M4678&lt;=$R$18),U4678,0)</t>
  </si>
  <si>
    <t>=IF(AND($M4678&gt;=$S$16,$M4678&lt;=$S$18),U4678,0)</t>
  </si>
  <si>
    <t>=IF($M4678&lt;=$T$18,U4678,0)</t>
  </si>
  <si>
    <t>="""NAV Direct"",""CRONUS JetCorp USA"",""21"",""1"",""211930"""</t>
  </si>
  <si>
    <t>=E4677</t>
  </si>
  <si>
    <t>=StartDate-$M4679+1</t>
  </si>
  <si>
    <t>=SUM(P4679:T4679)</t>
  </si>
  <si>
    <t>=IF($M4679&gt;=$P$18,U4679,0)</t>
  </si>
  <si>
    <t>=IF(AND($M4679&gt;=$Q$16,$M4679&lt;=$Q$18),U4679,0)</t>
  </si>
  <si>
    <t>=IF(AND($M4679&gt;=$R$16,$M4679&lt;=$R$18),U4679,0)</t>
  </si>
  <si>
    <t>=IF(AND($M4679&gt;=$S$16,$M4679&lt;=$S$18),U4679,0)</t>
  </si>
  <si>
    <t>=IF($M4679&lt;=$T$18,U4679,0)</t>
  </si>
  <si>
    <t>="""NAV Direct"",""CRONUS JetCorp USA"",""21"",""1"",""212182"""</t>
  </si>
  <si>
    <t>=E4678</t>
  </si>
  <si>
    <t>=StartDate-$M4680+1</t>
  </si>
  <si>
    <t>=SUM(P4680:T4680)</t>
  </si>
  <si>
    <t>=IF($M4680&gt;=$P$18,U4680,0)</t>
  </si>
  <si>
    <t>=IF(AND($M4680&gt;=$Q$16,$M4680&lt;=$Q$18),U4680,0)</t>
  </si>
  <si>
    <t>=IF(AND($M4680&gt;=$R$16,$M4680&lt;=$R$18),U4680,0)</t>
  </si>
  <si>
    <t>=IF(AND($M4680&gt;=$S$16,$M4680&lt;=$S$18),U4680,0)</t>
  </si>
  <si>
    <t>=IF($M4680&lt;=$T$18,U4680,0)</t>
  </si>
  <si>
    <t>="""NAV Direct"",""CRONUS JetCorp USA"",""21"",""1"",""212454"""</t>
  </si>
  <si>
    <t>=E4679</t>
  </si>
  <si>
    <t>=StartDate-$M4681+1</t>
  </si>
  <si>
    <t>=SUM(P4681:T4681)</t>
  </si>
  <si>
    <t>=IF($M4681&gt;=$P$18,U4681,0)</t>
  </si>
  <si>
    <t>=IF(AND($M4681&gt;=$Q$16,$M4681&lt;=$Q$18),U4681,0)</t>
  </si>
  <si>
    <t>=IF(AND($M4681&gt;=$R$16,$M4681&lt;=$R$18),U4681,0)</t>
  </si>
  <si>
    <t>=IF(AND($M4681&gt;=$S$16,$M4681&lt;=$S$18),U4681,0)</t>
  </si>
  <si>
    <t>=IF($M4681&lt;=$T$18,U4681,0)</t>
  </si>
  <si>
    <t>="""NAV Direct"",""CRONUS JetCorp USA"",""21"",""1"",""212532"""</t>
  </si>
  <si>
    <t>=E4680</t>
  </si>
  <si>
    <t>=StartDate-$M4682+1</t>
  </si>
  <si>
    <t>=SUM(P4682:T4682)</t>
  </si>
  <si>
    <t>=IF($M4682&gt;=$P$18,U4682,0)</t>
  </si>
  <si>
    <t>=IF(AND($M4682&gt;=$Q$16,$M4682&lt;=$Q$18),U4682,0)</t>
  </si>
  <si>
    <t>=IF(AND($M4682&gt;=$R$16,$M4682&lt;=$R$18),U4682,0)</t>
  </si>
  <si>
    <t>=IF(AND($M4682&gt;=$S$16,$M4682&lt;=$S$18),U4682,0)</t>
  </si>
  <si>
    <t>=IF($M4682&lt;=$T$18,U4682,0)</t>
  </si>
  <si>
    <t>="""NAV Direct"",""CRONUS JetCorp USA"",""21"",""1"",""212610"""</t>
  </si>
  <si>
    <t>=E4681</t>
  </si>
  <si>
    <t>=StartDate-$M4683+1</t>
  </si>
  <si>
    <t>=SUM(P4683:T4683)</t>
  </si>
  <si>
    <t>=IF($M4683&gt;=$P$18,U4683,0)</t>
  </si>
  <si>
    <t>=IF(AND($M4683&gt;=$Q$16,$M4683&lt;=$Q$18),U4683,0)</t>
  </si>
  <si>
    <t>=IF(AND($M4683&gt;=$R$16,$M4683&lt;=$R$18),U4683,0)</t>
  </si>
  <si>
    <t>=IF(AND($M4683&gt;=$S$16,$M4683&lt;=$S$18),U4683,0)</t>
  </si>
  <si>
    <t>=IF($M4683&lt;=$T$18,U4683,0)</t>
  </si>
  <si>
    <t>="""NAV Direct"",""CRONUS JetCorp USA"",""21"",""1"",""212731"""</t>
  </si>
  <si>
    <t>=E4682</t>
  </si>
  <si>
    <t>=StartDate-$M4684+1</t>
  </si>
  <si>
    <t>=SUM(P4684:T4684)</t>
  </si>
  <si>
    <t>=IF($M4684&gt;=$P$18,U4684,0)</t>
  </si>
  <si>
    <t>=IF(AND($M4684&gt;=$Q$16,$M4684&lt;=$Q$18),U4684,0)</t>
  </si>
  <si>
    <t>=IF(AND($M4684&gt;=$R$16,$M4684&lt;=$R$18),U4684,0)</t>
  </si>
  <si>
    <t>=IF(AND($M4684&gt;=$S$16,$M4684&lt;=$S$18),U4684,0)</t>
  </si>
  <si>
    <t>=IF($M4684&lt;=$T$18,U4684,0)</t>
  </si>
  <si>
    <t>="""NAV Direct"",""CRONUS JetCorp USA"",""21"",""1"",""212813"""</t>
  </si>
  <si>
    <t>=E4683</t>
  </si>
  <si>
    <t>=StartDate-$M4685+1</t>
  </si>
  <si>
    <t>=SUM(P4685:T4685)</t>
  </si>
  <si>
    <t>=IF($M4685&gt;=$P$18,U4685,0)</t>
  </si>
  <si>
    <t>=IF(AND($M4685&gt;=$Q$16,$M4685&lt;=$Q$18),U4685,0)</t>
  </si>
  <si>
    <t>=IF(AND($M4685&gt;=$R$16,$M4685&lt;=$R$18),U4685,0)</t>
  </si>
  <si>
    <t>=IF(AND($M4685&gt;=$S$16,$M4685&lt;=$S$18),U4685,0)</t>
  </si>
  <si>
    <t>=IF($M4685&lt;=$T$18,U4685,0)</t>
  </si>
  <si>
    <t>="""NAV Direct"",""CRONUS JetCorp USA"",""21"",""1"",""212856"""</t>
  </si>
  <si>
    <t>=E4684</t>
  </si>
  <si>
    <t>=StartDate-$M4686+1</t>
  </si>
  <si>
    <t>=SUM(P4686:T4686)</t>
  </si>
  <si>
    <t>=IF($M4686&gt;=$P$18,U4686,0)</t>
  </si>
  <si>
    <t>=IF(AND($M4686&gt;=$Q$16,$M4686&lt;=$Q$18),U4686,0)</t>
  </si>
  <si>
    <t>=IF(AND($M4686&gt;=$R$16,$M4686&lt;=$R$18),U4686,0)</t>
  </si>
  <si>
    <t>=IF(AND($M4686&gt;=$S$16,$M4686&lt;=$S$18),U4686,0)</t>
  </si>
  <si>
    <t>=IF($M4686&lt;=$T$18,U4686,0)</t>
  </si>
  <si>
    <t>="""NAV Direct"",""CRONUS JetCorp USA"",""21"",""1"",""212950"""</t>
  </si>
  <si>
    <t>=E4685</t>
  </si>
  <si>
    <t>=StartDate-$M4687+1</t>
  </si>
  <si>
    <t>=SUM(P4687:T4687)</t>
  </si>
  <si>
    <t>=IF($M4687&gt;=$P$18,U4687,0)</t>
  </si>
  <si>
    <t>=IF(AND($M4687&gt;=$Q$16,$M4687&lt;=$Q$18),U4687,0)</t>
  </si>
  <si>
    <t>=IF(AND($M4687&gt;=$R$16,$M4687&lt;=$R$18),U4687,0)</t>
  </si>
  <si>
    <t>=IF(AND($M4687&gt;=$S$16,$M4687&lt;=$S$18),U4687,0)</t>
  </si>
  <si>
    <t>=IF($M4687&lt;=$T$18,U4687,0)</t>
  </si>
  <si>
    <t>="""NAV Direct"",""CRONUS JetCorp USA"",""21"",""1"",""213083"""</t>
  </si>
  <si>
    <t>=E4686</t>
  </si>
  <si>
    <t>=StartDate-$M4688+1</t>
  </si>
  <si>
    <t>=SUM(P4688:T4688)</t>
  </si>
  <si>
    <t>=IF($M4688&gt;=$P$18,U4688,0)</t>
  </si>
  <si>
    <t>=IF(AND($M4688&gt;=$Q$16,$M4688&lt;=$Q$18),U4688,0)</t>
  </si>
  <si>
    <t>=IF(AND($M4688&gt;=$R$16,$M4688&lt;=$R$18),U4688,0)</t>
  </si>
  <si>
    <t>=IF(AND($M4688&gt;=$S$16,$M4688&lt;=$S$18),U4688,0)</t>
  </si>
  <si>
    <t>=IF($M4688&lt;=$T$18,U4688,0)</t>
  </si>
  <si>
    <t>="""NAV Direct"",""CRONUS JetCorp USA"",""21"",""1"",""213293"""</t>
  </si>
  <si>
    <t>=E4687</t>
  </si>
  <si>
    <t>=StartDate-$M4689+1</t>
  </si>
  <si>
    <t>=SUM(P4689:T4689)</t>
  </si>
  <si>
    <t>=IF($M4689&gt;=$P$18,U4689,0)</t>
  </si>
  <si>
    <t>=IF(AND($M4689&gt;=$Q$16,$M4689&lt;=$Q$18),U4689,0)</t>
  </si>
  <si>
    <t>=IF(AND($M4689&gt;=$R$16,$M4689&lt;=$R$18),U4689,0)</t>
  </si>
  <si>
    <t>=IF(AND($M4689&gt;=$S$16,$M4689&lt;=$S$18),U4689,0)</t>
  </si>
  <si>
    <t>=IF($M4689&lt;=$T$18,U4689,0)</t>
  </si>
  <si>
    <t>="""NAV Direct"",""CRONUS JetCorp USA"",""21"",""1"",""213776"""</t>
  </si>
  <si>
    <t>=E4688</t>
  </si>
  <si>
    <t>=StartDate-$M4690+1</t>
  </si>
  <si>
    <t>=SUM(P4690:T4690)</t>
  </si>
  <si>
    <t>=IF($M4690&gt;=$P$18,U4690,0)</t>
  </si>
  <si>
    <t>=IF(AND($M4690&gt;=$Q$16,$M4690&lt;=$Q$18),U4690,0)</t>
  </si>
  <si>
    <t>=IF(AND($M4690&gt;=$R$16,$M4690&lt;=$R$18),U4690,0)</t>
  </si>
  <si>
    <t>=IF(AND($M4690&gt;=$S$16,$M4690&lt;=$S$18),U4690,0)</t>
  </si>
  <si>
    <t>=IF($M4690&lt;=$T$18,U4690,0)</t>
  </si>
  <si>
    <t>="""NAV Direct"",""CRONUS JetCorp USA"",""21"",""1"",""213874"""</t>
  </si>
  <si>
    <t>=E4689</t>
  </si>
  <si>
    <t>=StartDate-$M4691+1</t>
  </si>
  <si>
    <t>=SUM(P4691:T4691)</t>
  </si>
  <si>
    <t>=IF($M4691&gt;=$P$18,U4691,0)</t>
  </si>
  <si>
    <t>=IF(AND($M4691&gt;=$Q$16,$M4691&lt;=$Q$18),U4691,0)</t>
  </si>
  <si>
    <t>=IF(AND($M4691&gt;=$R$16,$M4691&lt;=$R$18),U4691,0)</t>
  </si>
  <si>
    <t>=IF(AND($M4691&gt;=$S$16,$M4691&lt;=$S$18),U4691,0)</t>
  </si>
  <si>
    <t>=IF($M4691&lt;=$T$18,U4691,0)</t>
  </si>
  <si>
    <t>="""NAV Direct"",""CRONUS JetCorp USA"",""21"",""1"",""213946"""</t>
  </si>
  <si>
    <t>=E4690</t>
  </si>
  <si>
    <t>=StartDate-$M4692+1</t>
  </si>
  <si>
    <t>=SUM(P4692:T4692)</t>
  </si>
  <si>
    <t>=IF($M4692&gt;=$P$18,U4692,0)</t>
  </si>
  <si>
    <t>=IF(AND($M4692&gt;=$Q$16,$M4692&lt;=$Q$18),U4692,0)</t>
  </si>
  <si>
    <t>=IF(AND($M4692&gt;=$R$16,$M4692&lt;=$R$18),U4692,0)</t>
  </si>
  <si>
    <t>=IF(AND($M4692&gt;=$S$16,$M4692&lt;=$S$18),U4692,0)</t>
  </si>
  <si>
    <t>=IF($M4692&lt;=$T$18,U4692,0)</t>
  </si>
  <si>
    <t>="""NAV Direct"",""CRONUS JetCorp USA"",""21"",""1"",""444072"""</t>
  </si>
  <si>
    <t>=E4691</t>
  </si>
  <si>
    <t>=StartDate-$M4693+1</t>
  </si>
  <si>
    <t>=SUM(P4693:T4693)</t>
  </si>
  <si>
    <t>=IF($M4693&gt;=$P$18,U4693,0)</t>
  </si>
  <si>
    <t>=IF(AND($M4693&gt;=$Q$16,$M4693&lt;=$Q$18),U4693,0)</t>
  </si>
  <si>
    <t>=IF(AND($M4693&gt;=$R$16,$M4693&lt;=$R$18),U4693,0)</t>
  </si>
  <si>
    <t>=IF(AND($M4693&gt;=$S$16,$M4693&lt;=$S$18),U4693,0)</t>
  </si>
  <si>
    <t>=IF($M4693&lt;=$T$18,U4693,0)</t>
  </si>
  <si>
    <t>="""NAV Direct"",""CRONUS JetCorp USA"",""21"",""1"",""444156"""</t>
  </si>
  <si>
    <t>=E4692</t>
  </si>
  <si>
    <t>=StartDate-$M4694+1</t>
  </si>
  <si>
    <t>=SUM(P4694:T4694)</t>
  </si>
  <si>
    <t>=IF($M4694&gt;=$P$18,U4694,0)</t>
  </si>
  <si>
    <t>=IF(AND($M4694&gt;=$Q$16,$M4694&lt;=$Q$18),U4694,0)</t>
  </si>
  <si>
    <t>=IF(AND($M4694&gt;=$R$16,$M4694&lt;=$R$18),U4694,0)</t>
  </si>
  <si>
    <t>=IF(AND($M4694&gt;=$S$16,$M4694&lt;=$S$18),U4694,0)</t>
  </si>
  <si>
    <t>=IF($M4694&lt;=$T$18,U4694,0)</t>
  </si>
  <si>
    <t>="""NAV Direct"",""CRONUS JetCorp USA"",""21"",""1"",""444165"""</t>
  </si>
  <si>
    <t>=E4693</t>
  </si>
  <si>
    <t>=StartDate-$M4695+1</t>
  </si>
  <si>
    <t>=SUM(P4695:T4695)</t>
  </si>
  <si>
    <t>=IF($M4695&gt;=$P$18,U4695,0)</t>
  </si>
  <si>
    <t>=IF(AND($M4695&gt;=$Q$16,$M4695&lt;=$Q$18),U4695,0)</t>
  </si>
  <si>
    <t>=IF(AND($M4695&gt;=$R$16,$M4695&lt;=$R$18),U4695,0)</t>
  </si>
  <si>
    <t>=IF(AND($M4695&gt;=$S$16,$M4695&lt;=$S$18),U4695,0)</t>
  </si>
  <si>
    <t>=IF($M4695&lt;=$T$18,U4695,0)</t>
  </si>
  <si>
    <t>="""NAV Direct"",""CRONUS JetCorp USA"",""21"",""1"",""444252"""</t>
  </si>
  <si>
    <t>=E4694</t>
  </si>
  <si>
    <t>=StartDate-$M4696+1</t>
  </si>
  <si>
    <t>=SUM(P4696:T4696)</t>
  </si>
  <si>
    <t>=IF($M4696&gt;=$P$18,U4696,0)</t>
  </si>
  <si>
    <t>=IF(AND($M4696&gt;=$Q$16,$M4696&lt;=$Q$18),U4696,0)</t>
  </si>
  <si>
    <t>=IF(AND($M4696&gt;=$R$16,$M4696&lt;=$R$18),U4696,0)</t>
  </si>
  <si>
    <t>=IF(AND($M4696&gt;=$S$16,$M4696&lt;=$S$18),U4696,0)</t>
  </si>
  <si>
    <t>=IF($M4696&lt;=$T$18,U4696,0)</t>
  </si>
  <si>
    <t>="""NAV Direct"",""CRONUS JetCorp USA"",""21"",""1"",""444263"""</t>
  </si>
  <si>
    <t>=E4695</t>
  </si>
  <si>
    <t>=StartDate-$M4697+1</t>
  </si>
  <si>
    <t>=SUM(P4697:T4697)</t>
  </si>
  <si>
    <t>=IF($M4697&gt;=$P$18,U4697,0)</t>
  </si>
  <si>
    <t>=IF(AND($M4697&gt;=$Q$16,$M4697&lt;=$Q$18),U4697,0)</t>
  </si>
  <si>
    <t>=IF(AND($M4697&gt;=$R$16,$M4697&lt;=$R$18),U4697,0)</t>
  </si>
  <si>
    <t>=IF(AND($M4697&gt;=$S$16,$M4697&lt;=$S$18),U4697,0)</t>
  </si>
  <si>
    <t>=IF($M4697&lt;=$T$18,U4697,0)</t>
  </si>
  <si>
    <t>="""NAV Direct"",""CRONUS JetCorp USA"",""21"",""1"",""444375"""</t>
  </si>
  <si>
    <t>=E4696</t>
  </si>
  <si>
    <t>=StartDate-$M4698+1</t>
  </si>
  <si>
    <t>=SUM(P4698:T4698)</t>
  </si>
  <si>
    <t>=IF($M4698&gt;=$P$18,U4698,0)</t>
  </si>
  <si>
    <t>=IF(AND($M4698&gt;=$Q$16,$M4698&lt;=$Q$18),U4698,0)</t>
  </si>
  <si>
    <t>=IF(AND($M4698&gt;=$R$16,$M4698&lt;=$R$18),U4698,0)</t>
  </si>
  <si>
    <t>=IF(AND($M4698&gt;=$S$16,$M4698&lt;=$S$18),U4698,0)</t>
  </si>
  <si>
    <t>=IF($M4698&lt;=$T$18,U4698,0)</t>
  </si>
  <si>
    <t>="""NAV Direct"",""CRONUS JetCorp USA"",""21"",""1"",""444408"""</t>
  </si>
  <si>
    <t>=E4697</t>
  </si>
  <si>
    <t>=StartDate-$M4699+1</t>
  </si>
  <si>
    <t>=SUM(P4699:T4699)</t>
  </si>
  <si>
    <t>=IF($M4699&gt;=$P$18,U4699,0)</t>
  </si>
  <si>
    <t>=IF(AND($M4699&gt;=$Q$16,$M4699&lt;=$Q$18),U4699,0)</t>
  </si>
  <si>
    <t>=IF(AND($M4699&gt;=$R$16,$M4699&lt;=$R$18),U4699,0)</t>
  </si>
  <si>
    <t>=IF(AND($M4699&gt;=$S$16,$M4699&lt;=$S$18),U4699,0)</t>
  </si>
  <si>
    <t>=IF($M4699&lt;=$T$18,U4699,0)</t>
  </si>
  <si>
    <t>="""NAV Direct"",""CRONUS JetCorp USA"",""21"",""1"",""444417"""</t>
  </si>
  <si>
    <t>=E4698</t>
  </si>
  <si>
    <t>=StartDate-$M4700+1</t>
  </si>
  <si>
    <t>=SUM(P4700:T4700)</t>
  </si>
  <si>
    <t>=IF($M4700&gt;=$P$18,U4700,0)</t>
  </si>
  <si>
    <t>=IF(AND($M4700&gt;=$Q$16,$M4700&lt;=$Q$18),U4700,0)</t>
  </si>
  <si>
    <t>=IF(AND($M4700&gt;=$R$16,$M4700&lt;=$R$18),U4700,0)</t>
  </si>
  <si>
    <t>=IF(AND($M4700&gt;=$S$16,$M4700&lt;=$S$18),U4700,0)</t>
  </si>
  <si>
    <t>=IF($M4700&lt;=$T$18,U4700,0)</t>
  </si>
  <si>
    <t>="""NAV Direct"",""CRONUS JetCorp USA"",""21"",""1"",""444461"""</t>
  </si>
  <si>
    <t>=E4699</t>
  </si>
  <si>
    <t>=StartDate-$M4701+1</t>
  </si>
  <si>
    <t>=SUM(P4701:T4701)</t>
  </si>
  <si>
    <t>=IF($M4701&gt;=$P$18,U4701,0)</t>
  </si>
  <si>
    <t>=IF(AND($M4701&gt;=$Q$16,$M4701&lt;=$Q$18),U4701,0)</t>
  </si>
  <si>
    <t>=IF(AND($M4701&gt;=$R$16,$M4701&lt;=$R$18),U4701,0)</t>
  </si>
  <si>
    <t>=IF(AND($M4701&gt;=$S$16,$M4701&lt;=$S$18),U4701,0)</t>
  </si>
  <si>
    <t>=IF($M4701&lt;=$T$18,U4701,0)</t>
  </si>
  <si>
    <t>="""NAV Direct"",""CRONUS JetCorp USA"",""21"",""1"",""444546"""</t>
  </si>
  <si>
    <t>=E4700</t>
  </si>
  <si>
    <t>=StartDate-$M4702+1</t>
  </si>
  <si>
    <t>=SUM(P4702:T4702)</t>
  </si>
  <si>
    <t>=IF($M4702&gt;=$P$18,U4702,0)</t>
  </si>
  <si>
    <t>=IF(AND($M4702&gt;=$Q$16,$M4702&lt;=$Q$18),U4702,0)</t>
  </si>
  <si>
    <t>=IF(AND($M4702&gt;=$R$16,$M4702&lt;=$R$18),U4702,0)</t>
  </si>
  <si>
    <t>=IF(AND($M4702&gt;=$S$16,$M4702&lt;=$S$18),U4702,0)</t>
  </si>
  <si>
    <t>=IF($M4702&lt;=$T$18,U4702,0)</t>
  </si>
  <si>
    <t>="""NAV Direct"",""CRONUS JetCorp USA"",""21"",""1"",""444664"""</t>
  </si>
  <si>
    <t>=E4701</t>
  </si>
  <si>
    <t>=StartDate-$M4703+1</t>
  </si>
  <si>
    <t>=SUM(P4703:T4703)</t>
  </si>
  <si>
    <t>=IF($M4703&gt;=$P$18,U4703,0)</t>
  </si>
  <si>
    <t>=IF(AND($M4703&gt;=$Q$16,$M4703&lt;=$Q$18),U4703,0)</t>
  </si>
  <si>
    <t>=IF(AND($M4703&gt;=$R$16,$M4703&lt;=$R$18),U4703,0)</t>
  </si>
  <si>
    <t>=IF(AND($M4703&gt;=$S$16,$M4703&lt;=$S$18),U4703,0)</t>
  </si>
  <si>
    <t>=IF($M4703&lt;=$T$18,U4703,0)</t>
  </si>
  <si>
    <t>="""NAV Direct"",""CRONUS JetCorp USA"",""21"",""1"",""444677"""</t>
  </si>
  <si>
    <t>=E4702</t>
  </si>
  <si>
    <t>=StartDate-$M4704+1</t>
  </si>
  <si>
    <t>=SUM(P4704:T4704)</t>
  </si>
  <si>
    <t>=IF($M4704&gt;=$P$18,U4704,0)</t>
  </si>
  <si>
    <t>=IF(AND($M4704&gt;=$Q$16,$M4704&lt;=$Q$18),U4704,0)</t>
  </si>
  <si>
    <t>=IF(AND($M4704&gt;=$R$16,$M4704&lt;=$R$18),U4704,0)</t>
  </si>
  <si>
    <t>=IF(AND($M4704&gt;=$S$16,$M4704&lt;=$S$18),U4704,0)</t>
  </si>
  <si>
    <t>=IF($M4704&lt;=$T$18,U4704,0)</t>
  </si>
  <si>
    <t>="""NAV Direct"",""CRONUS JetCorp USA"",""21"",""1"",""444711"""</t>
  </si>
  <si>
    <t>=E4703</t>
  </si>
  <si>
    <t>=StartDate-$M4705+1</t>
  </si>
  <si>
    <t>=SUM(P4705:T4705)</t>
  </si>
  <si>
    <t>=IF($M4705&gt;=$P$18,U4705,0)</t>
  </si>
  <si>
    <t>=IF(AND($M4705&gt;=$Q$16,$M4705&lt;=$Q$18),U4705,0)</t>
  </si>
  <si>
    <t>=IF(AND($M4705&gt;=$R$16,$M4705&lt;=$R$18),U4705,0)</t>
  </si>
  <si>
    <t>=IF(AND($M4705&gt;=$S$16,$M4705&lt;=$S$18),U4705,0)</t>
  </si>
  <si>
    <t>=IF($M4705&lt;=$T$18,U4705,0)</t>
  </si>
  <si>
    <t>="""NAV Direct"",""CRONUS JetCorp USA"",""21"",""1"",""444884"""</t>
  </si>
  <si>
    <t>=E4704</t>
  </si>
  <si>
    <t>=StartDate-$M4706+1</t>
  </si>
  <si>
    <t>=SUM(P4706:T4706)</t>
  </si>
  <si>
    <t>=IF($M4706&gt;=$P$18,U4706,0)</t>
  </si>
  <si>
    <t>=IF(AND($M4706&gt;=$Q$16,$M4706&lt;=$Q$18),U4706,0)</t>
  </si>
  <si>
    <t>=IF(AND($M4706&gt;=$R$16,$M4706&lt;=$R$18),U4706,0)</t>
  </si>
  <si>
    <t>=IF(AND($M4706&gt;=$S$16,$M4706&lt;=$S$18),U4706,0)</t>
  </si>
  <si>
    <t>=IF($M4706&lt;=$T$18,U4706,0)</t>
  </si>
  <si>
    <t>="""NAV Direct"",""CRONUS JetCorp USA"",""21"",""1"",""444911"""</t>
  </si>
  <si>
    <t>=E4705</t>
  </si>
  <si>
    <t>=StartDate-$M4707+1</t>
  </si>
  <si>
    <t>=SUM(P4707:T4707)</t>
  </si>
  <si>
    <t>=IF($M4707&gt;=$P$18,U4707,0)</t>
  </si>
  <si>
    <t>=IF(AND($M4707&gt;=$Q$16,$M4707&lt;=$Q$18),U4707,0)</t>
  </si>
  <si>
    <t>=IF(AND($M4707&gt;=$R$16,$M4707&lt;=$R$18),U4707,0)</t>
  </si>
  <si>
    <t>=IF(AND($M4707&gt;=$S$16,$M4707&lt;=$S$18),U4707,0)</t>
  </si>
  <si>
    <t>=IF($M4707&lt;=$T$18,U4707,0)</t>
  </si>
  <si>
    <t>="""NAV Direct"",""CRONUS JetCorp USA"",""18"",""1"",""C100134"""</t>
  </si>
  <si>
    <t>=H4710</t>
  </si>
  <si>
    <t>=NF($C4710,"1 No.")</t>
  </si>
  <si>
    <t>=NF($C4710,"1 No.")&amp;"  -  "&amp;NF($C4710,"2 Name")</t>
  </si>
  <si>
    <t>=IFERROR(O4710/NF(C4710,"Credit Limit (LCY)"),"")</t>
  </si>
  <si>
    <t>=SUBTOTAL(3,L4711:L4735)</t>
  </si>
  <si>
    <t>=SUBTOTAL(9,O4711:O4735)</t>
  </si>
  <si>
    <t>=SUBTOTAL(9,P4711:P4735)</t>
  </si>
  <si>
    <t>=SUBTOTAL(9,Q4711:Q4735)</t>
  </si>
  <si>
    <t>=SUBTOTAL(9,R4711:R4735)</t>
  </si>
  <si>
    <t>=SUBTOTAL(9,S4711:S4735)</t>
  </si>
  <si>
    <t>=SUBTOTAL(9,T4711:T4735)</t>
  </si>
  <si>
    <t>=C4710</t>
  </si>
  <si>
    <t>=E4710</t>
  </si>
  <si>
    <t>="Contact: "&amp;NF($C4711,"8 Contact")</t>
  </si>
  <si>
    <t>=C4711</t>
  </si>
  <si>
    <t>=E4711</t>
  </si>
  <si>
    <t>=NF($C4712,"102 E-Mail")</t>
  </si>
  <si>
    <t>=NL("Rows","21 Cust. Ledger Entry",,"3 Customer No.","@@"&amp;$E4714,"16 Remaining Amt. (LCY)","&lt;&gt;0")</t>
  </si>
  <si>
    <t>=E4712</t>
  </si>
  <si>
    <t>=StartDate-$M4714+1</t>
  </si>
  <si>
    <t>=SUM(P4714:T4714)</t>
  </si>
  <si>
    <t>=IF($M4714&gt;=$P$18,U4714,0)</t>
  </si>
  <si>
    <t>=IF(AND($M4714&gt;=$Q$16,$M4714&lt;=$Q$18),U4714,0)</t>
  </si>
  <si>
    <t>=IF(AND($M4714&gt;=$R$16,$M4714&lt;=$R$18),U4714,0)</t>
  </si>
  <si>
    <t>=IF(AND($M4714&gt;=$S$16,$M4714&lt;=$S$18),U4714,0)</t>
  </si>
  <si>
    <t>=IF($M4714&lt;=$T$18,U4714,0)</t>
  </si>
  <si>
    <t>="""NAV Direct"",""CRONUS JetCorp USA"",""21"",""1"",""41516"""</t>
  </si>
  <si>
    <t>=E4713</t>
  </si>
  <si>
    <t>=StartDate-$M4715+1</t>
  </si>
  <si>
    <t>=SUM(P4715:T4715)</t>
  </si>
  <si>
    <t>=IF($M4715&gt;=$P$18,U4715,0)</t>
  </si>
  <si>
    <t>=IF(AND($M4715&gt;=$Q$16,$M4715&lt;=$Q$18),U4715,0)</t>
  </si>
  <si>
    <t>=IF(AND($M4715&gt;=$R$16,$M4715&lt;=$R$18),U4715,0)</t>
  </si>
  <si>
    <t>=IF(AND($M4715&gt;=$S$16,$M4715&lt;=$S$18),U4715,0)</t>
  </si>
  <si>
    <t>=IF($M4715&lt;=$T$18,U4715,0)</t>
  </si>
  <si>
    <t>="""NAV Direct"",""CRONUS JetCorp USA"",""21"",""1"",""41612"""</t>
  </si>
  <si>
    <t>=E4714</t>
  </si>
  <si>
    <t>=StartDate-$M4716+1</t>
  </si>
  <si>
    <t>=SUM(P4716:T4716)</t>
  </si>
  <si>
    <t>=IF($M4716&gt;=$P$18,U4716,0)</t>
  </si>
  <si>
    <t>=IF(AND($M4716&gt;=$Q$16,$M4716&lt;=$Q$18),U4716,0)</t>
  </si>
  <si>
    <t>=IF(AND($M4716&gt;=$R$16,$M4716&lt;=$R$18),U4716,0)</t>
  </si>
  <si>
    <t>=IF(AND($M4716&gt;=$S$16,$M4716&lt;=$S$18),U4716,0)</t>
  </si>
  <si>
    <t>=IF($M4716&lt;=$T$18,U4716,0)</t>
  </si>
  <si>
    <t>="""NAV Direct"",""CRONUS JetCorp USA"",""21"",""1"",""41688"""</t>
  </si>
  <si>
    <t>=E4715</t>
  </si>
  <si>
    <t>=StartDate-$M4717+1</t>
  </si>
  <si>
    <t>=SUM(P4717:T4717)</t>
  </si>
  <si>
    <t>=IF($M4717&gt;=$P$18,U4717,0)</t>
  </si>
  <si>
    <t>=IF(AND($M4717&gt;=$Q$16,$M4717&lt;=$Q$18),U4717,0)</t>
  </si>
  <si>
    <t>=IF(AND($M4717&gt;=$R$16,$M4717&lt;=$R$18),U4717,0)</t>
  </si>
  <si>
    <t>=IF(AND($M4717&gt;=$S$16,$M4717&lt;=$S$18),U4717,0)</t>
  </si>
  <si>
    <t>=IF($M4717&lt;=$T$18,U4717,0)</t>
  </si>
  <si>
    <t>="""NAV Direct"",""CRONUS JetCorp USA"",""21"",""1"",""332456"""</t>
  </si>
  <si>
    <t>=E4716</t>
  </si>
  <si>
    <t>=StartDate-$M4718+1</t>
  </si>
  <si>
    <t>=SUM(P4718:T4718)</t>
  </si>
  <si>
    <t>=IF($M4718&gt;=$P$18,U4718,0)</t>
  </si>
  <si>
    <t>=IF(AND($M4718&gt;=$Q$16,$M4718&lt;=$Q$18),U4718,0)</t>
  </si>
  <si>
    <t>=IF(AND($M4718&gt;=$R$16,$M4718&lt;=$R$18),U4718,0)</t>
  </si>
  <si>
    <t>=IF(AND($M4718&gt;=$S$16,$M4718&lt;=$S$18),U4718,0)</t>
  </si>
  <si>
    <t>=IF($M4718&lt;=$T$18,U4718,0)</t>
  </si>
  <si>
    <t>="""NAV Direct"",""CRONUS JetCorp USA"",""21"",""1"",""332613"""</t>
  </si>
  <si>
    <t>=E4717</t>
  </si>
  <si>
    <t>=StartDate-$M4719+1</t>
  </si>
  <si>
    <t>=SUM(P4719:T4719)</t>
  </si>
  <si>
    <t>=IF($M4719&gt;=$P$18,U4719,0)</t>
  </si>
  <si>
    <t>=IF(AND($M4719&gt;=$Q$16,$M4719&lt;=$Q$18),U4719,0)</t>
  </si>
  <si>
    <t>=IF(AND($M4719&gt;=$R$16,$M4719&lt;=$R$18),U4719,0)</t>
  </si>
  <si>
    <t>=IF(AND($M4719&gt;=$S$16,$M4719&lt;=$S$18),U4719,0)</t>
  </si>
  <si>
    <t>=IF($M4719&lt;=$T$18,U4719,0)</t>
  </si>
  <si>
    <t>="""NAV Direct"",""CRONUS JetCorp USA"",""21"",""1"",""332632"""</t>
  </si>
  <si>
    <t>=E4718</t>
  </si>
  <si>
    <t>=StartDate-$M4720+1</t>
  </si>
  <si>
    <t>=SUM(P4720:T4720)</t>
  </si>
  <si>
    <t>=IF($M4720&gt;=$P$18,U4720,0)</t>
  </si>
  <si>
    <t>=IF(AND($M4720&gt;=$Q$16,$M4720&lt;=$Q$18),U4720,0)</t>
  </si>
  <si>
    <t>=IF(AND($M4720&gt;=$R$16,$M4720&lt;=$R$18),U4720,0)</t>
  </si>
  <si>
    <t>=IF(AND($M4720&gt;=$S$16,$M4720&lt;=$S$18),U4720,0)</t>
  </si>
  <si>
    <t>=IF($M4720&lt;=$T$18,U4720,0)</t>
  </si>
  <si>
    <t>="""NAV Direct"",""CRONUS JetCorp USA"",""21"",""1"",""332933"""</t>
  </si>
  <si>
    <t>=E4719</t>
  </si>
  <si>
    <t>=StartDate-$M4721+1</t>
  </si>
  <si>
    <t>=SUM(P4721:T4721)</t>
  </si>
  <si>
    <t>=IF($M4721&gt;=$P$18,U4721,0)</t>
  </si>
  <si>
    <t>=IF(AND($M4721&gt;=$Q$16,$M4721&lt;=$Q$18),U4721,0)</t>
  </si>
  <si>
    <t>=IF(AND($M4721&gt;=$R$16,$M4721&lt;=$R$18),U4721,0)</t>
  </si>
  <si>
    <t>=IF(AND($M4721&gt;=$S$16,$M4721&lt;=$S$18),U4721,0)</t>
  </si>
  <si>
    <t>=IF($M4721&lt;=$T$18,U4721,0)</t>
  </si>
  <si>
    <t>="""NAV Direct"",""CRONUS JetCorp USA"",""21"",""1"",""333268"""</t>
  </si>
  <si>
    <t>=E4720</t>
  </si>
  <si>
    <t>=StartDate-$M4722+1</t>
  </si>
  <si>
    <t>=SUM(P4722:T4722)</t>
  </si>
  <si>
    <t>=IF($M4722&gt;=$P$18,U4722,0)</t>
  </si>
  <si>
    <t>=IF(AND($M4722&gt;=$Q$16,$M4722&lt;=$Q$18),U4722,0)</t>
  </si>
  <si>
    <t>=IF(AND($M4722&gt;=$R$16,$M4722&lt;=$R$18),U4722,0)</t>
  </si>
  <si>
    <t>=IF(AND($M4722&gt;=$S$16,$M4722&lt;=$S$18),U4722,0)</t>
  </si>
  <si>
    <t>=IF($M4722&lt;=$T$18,U4722,0)</t>
  </si>
  <si>
    <t>="""NAV Direct"",""CRONUS JetCorp USA"",""21"",""1"",""333459"""</t>
  </si>
  <si>
    <t>=E4721</t>
  </si>
  <si>
    <t>=StartDate-$M4723+1</t>
  </si>
  <si>
    <t>=SUM(P4723:T4723)</t>
  </si>
  <si>
    <t>=IF($M4723&gt;=$P$18,U4723,0)</t>
  </si>
  <si>
    <t>=IF(AND($M4723&gt;=$Q$16,$M4723&lt;=$Q$18),U4723,0)</t>
  </si>
  <si>
    <t>=IF(AND($M4723&gt;=$R$16,$M4723&lt;=$R$18),U4723,0)</t>
  </si>
  <si>
    <t>=IF(AND($M4723&gt;=$S$16,$M4723&lt;=$S$18),U4723,0)</t>
  </si>
  <si>
    <t>=IF($M4723&lt;=$T$18,U4723,0)</t>
  </si>
  <si>
    <t>="""NAV Direct"",""CRONUS JetCorp USA"",""21"",""1"",""333503"""</t>
  </si>
  <si>
    <t>=E4722</t>
  </si>
  <si>
    <t>=StartDate-$M4724+1</t>
  </si>
  <si>
    <t>=SUM(P4724:T4724)</t>
  </si>
  <si>
    <t>=IF($M4724&gt;=$P$18,U4724,0)</t>
  </si>
  <si>
    <t>=IF(AND($M4724&gt;=$Q$16,$M4724&lt;=$Q$18),U4724,0)</t>
  </si>
  <si>
    <t>=IF(AND($M4724&gt;=$R$16,$M4724&lt;=$R$18),U4724,0)</t>
  </si>
  <si>
    <t>=IF(AND($M4724&gt;=$S$16,$M4724&lt;=$S$18),U4724,0)</t>
  </si>
  <si>
    <t>=IF($M4724&lt;=$T$18,U4724,0)</t>
  </si>
  <si>
    <t>="""NAV Direct"",""CRONUS JetCorp USA"",""21"",""1"",""333654"""</t>
  </si>
  <si>
    <t>=E4723</t>
  </si>
  <si>
    <t>=StartDate-$M4725+1</t>
  </si>
  <si>
    <t>=SUM(P4725:T4725)</t>
  </si>
  <si>
    <t>=IF($M4725&gt;=$P$18,U4725,0)</t>
  </si>
  <si>
    <t>=IF(AND($M4725&gt;=$Q$16,$M4725&lt;=$Q$18),U4725,0)</t>
  </si>
  <si>
    <t>=IF(AND($M4725&gt;=$R$16,$M4725&lt;=$R$18),U4725,0)</t>
  </si>
  <si>
    <t>=IF(AND($M4725&gt;=$S$16,$M4725&lt;=$S$18),U4725,0)</t>
  </si>
  <si>
    <t>=IF($M4725&lt;=$T$18,U4725,0)</t>
  </si>
  <si>
    <t>="""NAV Direct"",""CRONUS JetCorp USA"",""21"",""1"",""334024"""</t>
  </si>
  <si>
    <t>=E4724</t>
  </si>
  <si>
    <t>=StartDate-$M4726+1</t>
  </si>
  <si>
    <t>=SUM(P4726:T4726)</t>
  </si>
  <si>
    <t>=IF($M4726&gt;=$P$18,U4726,0)</t>
  </si>
  <si>
    <t>=IF(AND($M4726&gt;=$Q$16,$M4726&lt;=$Q$18),U4726,0)</t>
  </si>
  <si>
    <t>=IF(AND($M4726&gt;=$R$16,$M4726&lt;=$R$18),U4726,0)</t>
  </si>
  <si>
    <t>=IF(AND($M4726&gt;=$S$16,$M4726&lt;=$S$18),U4726,0)</t>
  </si>
  <si>
    <t>=IF($M4726&lt;=$T$18,U4726,0)</t>
  </si>
  <si>
    <t>="""NAV Direct"",""CRONUS JetCorp USA"",""21"",""1"",""334093"""</t>
  </si>
  <si>
    <t>=E4725</t>
  </si>
  <si>
    <t>=StartDate-$M4727+1</t>
  </si>
  <si>
    <t>=SUM(P4727:T4727)</t>
  </si>
  <si>
    <t>=IF($M4727&gt;=$P$18,U4727,0)</t>
  </si>
  <si>
    <t>=IF(AND($M4727&gt;=$Q$16,$M4727&lt;=$Q$18),U4727,0)</t>
  </si>
  <si>
    <t>=IF(AND($M4727&gt;=$R$16,$M4727&lt;=$R$18),U4727,0)</t>
  </si>
  <si>
    <t>=IF(AND($M4727&gt;=$S$16,$M4727&lt;=$S$18),U4727,0)</t>
  </si>
  <si>
    <t>=IF($M4727&lt;=$T$18,U4727,0)</t>
  </si>
  <si>
    <t>="""NAV Direct"",""CRONUS JetCorp USA"",""21"",""1"",""334116"""</t>
  </si>
  <si>
    <t>=E4726</t>
  </si>
  <si>
    <t>=StartDate-$M4728+1</t>
  </si>
  <si>
    <t>=SUM(P4728:T4728)</t>
  </si>
  <si>
    <t>=IF($M4728&gt;=$P$18,U4728,0)</t>
  </si>
  <si>
    <t>=IF(AND($M4728&gt;=$Q$16,$M4728&lt;=$Q$18),U4728,0)</t>
  </si>
  <si>
    <t>=IF(AND($M4728&gt;=$R$16,$M4728&lt;=$R$18),U4728,0)</t>
  </si>
  <si>
    <t>=IF(AND($M4728&gt;=$S$16,$M4728&lt;=$S$18),U4728,0)</t>
  </si>
  <si>
    <t>=IF($M4728&lt;=$T$18,U4728,0)</t>
  </si>
  <si>
    <t>="""NAV Direct"",""CRONUS JetCorp USA"",""21"",""1"",""334139"""</t>
  </si>
  <si>
    <t>=E4727</t>
  </si>
  <si>
    <t>=StartDate-$M4729+1</t>
  </si>
  <si>
    <t>=SUM(P4729:T4729)</t>
  </si>
  <si>
    <t>=IF($M4729&gt;=$P$18,U4729,0)</t>
  </si>
  <si>
    <t>=IF(AND($M4729&gt;=$Q$16,$M4729&lt;=$Q$18),U4729,0)</t>
  </si>
  <si>
    <t>=IF(AND($M4729&gt;=$R$16,$M4729&lt;=$R$18),U4729,0)</t>
  </si>
  <si>
    <t>=IF(AND($M4729&gt;=$S$16,$M4729&lt;=$S$18),U4729,0)</t>
  </si>
  <si>
    <t>=IF($M4729&lt;=$T$18,U4729,0)</t>
  </si>
  <si>
    <t>="""NAV Direct"",""CRONUS JetCorp USA"",""21"",""1"",""334487"""</t>
  </si>
  <si>
    <t>=E4728</t>
  </si>
  <si>
    <t>=StartDate-$M4730+1</t>
  </si>
  <si>
    <t>=SUM(P4730:T4730)</t>
  </si>
  <si>
    <t>=IF($M4730&gt;=$P$18,U4730,0)</t>
  </si>
  <si>
    <t>=IF(AND($M4730&gt;=$Q$16,$M4730&lt;=$Q$18),U4730,0)</t>
  </si>
  <si>
    <t>=IF(AND($M4730&gt;=$R$16,$M4730&lt;=$R$18),U4730,0)</t>
  </si>
  <si>
    <t>=IF(AND($M4730&gt;=$S$16,$M4730&lt;=$S$18),U4730,0)</t>
  </si>
  <si>
    <t>=IF($M4730&lt;=$T$18,U4730,0)</t>
  </si>
  <si>
    <t>="""NAV Direct"",""CRONUS JetCorp USA"",""21"",""1"",""334819"""</t>
  </si>
  <si>
    <t>=E4729</t>
  </si>
  <si>
    <t>=StartDate-$M4731+1</t>
  </si>
  <si>
    <t>=SUM(P4731:T4731)</t>
  </si>
  <si>
    <t>=IF($M4731&gt;=$P$18,U4731,0)</t>
  </si>
  <si>
    <t>=IF(AND($M4731&gt;=$Q$16,$M4731&lt;=$Q$18),U4731,0)</t>
  </si>
  <si>
    <t>=IF(AND($M4731&gt;=$R$16,$M4731&lt;=$R$18),U4731,0)</t>
  </si>
  <si>
    <t>=IF(AND($M4731&gt;=$S$16,$M4731&lt;=$S$18),U4731,0)</t>
  </si>
  <si>
    <t>=IF($M4731&lt;=$T$18,U4731,0)</t>
  </si>
  <si>
    <t>="""NAV Direct"",""CRONUS JetCorp USA"",""21"",""1"",""433198"""</t>
  </si>
  <si>
    <t>=E4730</t>
  </si>
  <si>
    <t>=StartDate-$M4732+1</t>
  </si>
  <si>
    <t>=SUM(P4732:T4732)</t>
  </si>
  <si>
    <t>=IF($M4732&gt;=$P$18,U4732,0)</t>
  </si>
  <si>
    <t>=IF(AND($M4732&gt;=$Q$16,$M4732&lt;=$Q$18),U4732,0)</t>
  </si>
  <si>
    <t>=IF(AND($M4732&gt;=$R$16,$M4732&lt;=$R$18),U4732,0)</t>
  </si>
  <si>
    <t>=IF(AND($M4732&gt;=$S$16,$M4732&lt;=$S$18),U4732,0)</t>
  </si>
  <si>
    <t>=IF($M4732&lt;=$T$18,U4732,0)</t>
  </si>
  <si>
    <t>="""NAV Direct"",""CRONUS JetCorp USA"",""21"",""1"",""433211"""</t>
  </si>
  <si>
    <t>=E4731</t>
  </si>
  <si>
    <t>=StartDate-$M4733+1</t>
  </si>
  <si>
    <t>=SUM(P4733:T4733)</t>
  </si>
  <si>
    <t>=IF($M4733&gt;=$P$18,U4733,0)</t>
  </si>
  <si>
    <t>=IF(AND($M4733&gt;=$Q$16,$M4733&lt;=$Q$18),U4733,0)</t>
  </si>
  <si>
    <t>=IF(AND($M4733&gt;=$R$16,$M4733&lt;=$R$18),U4733,0)</t>
  </si>
  <si>
    <t>=IF(AND($M4733&gt;=$S$16,$M4733&lt;=$S$18),U4733,0)</t>
  </si>
  <si>
    <t>=IF($M4733&lt;=$T$18,U4733,0)</t>
  </si>
  <si>
    <t>="""NAV Direct"",""CRONUS JetCorp USA"",""21"",""1"",""433544"""</t>
  </si>
  <si>
    <t>=E4732</t>
  </si>
  <si>
    <t>=StartDate-$M4734+1</t>
  </si>
  <si>
    <t>=SUM(P4734:T4734)</t>
  </si>
  <si>
    <t>=IF($M4734&gt;=$P$18,U4734,0)</t>
  </si>
  <si>
    <t>=IF(AND($M4734&gt;=$Q$16,$M4734&lt;=$Q$18),U4734,0)</t>
  </si>
  <si>
    <t>=IF(AND($M4734&gt;=$R$16,$M4734&lt;=$R$18),U4734,0)</t>
  </si>
  <si>
    <t>=IF(AND($M4734&gt;=$S$16,$M4734&lt;=$S$18),U4734,0)</t>
  </si>
  <si>
    <t>=IF($M4734&lt;=$T$18,U4734,0)</t>
  </si>
  <si>
    <t>="""NAV Direct"",""CRONUS JetCorp USA"",""18"",""1"",""C100135"""</t>
  </si>
  <si>
    <t>=H4737</t>
  </si>
  <si>
    <t>=NF($C4737,"1 No.")</t>
  </si>
  <si>
    <t>=NF($C4737,"1 No.")&amp;"  -  "&amp;NF($C4737,"2 Name")</t>
  </si>
  <si>
    <t>=IFERROR(O4737/NF(C4737,"Credit Limit (LCY)"),"")</t>
  </si>
  <si>
    <t>=SUBTOTAL(3,L4738:L4808)</t>
  </si>
  <si>
    <t>=SUBTOTAL(9,O4738:O4808)</t>
  </si>
  <si>
    <t>=SUBTOTAL(9,P4738:P4808)</t>
  </si>
  <si>
    <t>=SUBTOTAL(9,Q4738:Q4808)</t>
  </si>
  <si>
    <t>=SUBTOTAL(9,R4738:R4808)</t>
  </si>
  <si>
    <t>=SUBTOTAL(9,S4738:S4808)</t>
  </si>
  <si>
    <t>=SUBTOTAL(9,T4738:T4808)</t>
  </si>
  <si>
    <t>=C4737</t>
  </si>
  <si>
    <t>=E4737</t>
  </si>
  <si>
    <t>="Contact: "&amp;NF($C4738,"8 Contact")</t>
  </si>
  <si>
    <t>=C4738</t>
  </si>
  <si>
    <t>=E4738</t>
  </si>
  <si>
    <t>=NF($C4739,"102 E-Mail")</t>
  </si>
  <si>
    <t>=NL("Rows","21 Cust. Ledger Entry",,"3 Customer No.","@@"&amp;$E4741,"16 Remaining Amt. (LCY)","&lt;&gt;0")</t>
  </si>
  <si>
    <t>=E4739</t>
  </si>
  <si>
    <t>=StartDate-$M4741+1</t>
  </si>
  <si>
    <t>=SUM(P4741:T4741)</t>
  </si>
  <si>
    <t>=IF($M4741&gt;=$P$18,U4741,0)</t>
  </si>
  <si>
    <t>=IF(AND($M4741&gt;=$Q$16,$M4741&lt;=$Q$18),U4741,0)</t>
  </si>
  <si>
    <t>=IF(AND($M4741&gt;=$R$16,$M4741&lt;=$R$18),U4741,0)</t>
  </si>
  <si>
    <t>=IF(AND($M4741&gt;=$S$16,$M4741&lt;=$S$18),U4741,0)</t>
  </si>
  <si>
    <t>=IF($M4741&lt;=$T$18,U4741,0)</t>
  </si>
  <si>
    <t>="""NAV Direct"",""CRONUS JetCorp USA"",""21"",""1"",""414761"""</t>
  </si>
  <si>
    <t>=E4740</t>
  </si>
  <si>
    <t>=StartDate-$M4742+1</t>
  </si>
  <si>
    <t>=SUM(P4742:T4742)</t>
  </si>
  <si>
    <t>=IF($M4742&gt;=$P$18,U4742,0)</t>
  </si>
  <si>
    <t>=IF(AND($M4742&gt;=$Q$16,$M4742&lt;=$Q$18),U4742,0)</t>
  </si>
  <si>
    <t>=IF(AND($M4742&gt;=$R$16,$M4742&lt;=$R$18),U4742,0)</t>
  </si>
  <si>
    <t>=IF(AND($M4742&gt;=$S$16,$M4742&lt;=$S$18),U4742,0)</t>
  </si>
  <si>
    <t>=IF($M4742&lt;=$T$18,U4742,0)</t>
  </si>
  <si>
    <t>="""NAV Direct"",""CRONUS JetCorp USA"",""21"",""1"",""414800"""</t>
  </si>
  <si>
    <t>=E4741</t>
  </si>
  <si>
    <t>=StartDate-$M4743+1</t>
  </si>
  <si>
    <t>=SUM(P4743:T4743)</t>
  </si>
  <si>
    <t>=IF($M4743&gt;=$P$18,U4743,0)</t>
  </si>
  <si>
    <t>=IF(AND($M4743&gt;=$Q$16,$M4743&lt;=$Q$18),U4743,0)</t>
  </si>
  <si>
    <t>=IF(AND($M4743&gt;=$R$16,$M4743&lt;=$R$18),U4743,0)</t>
  </si>
  <si>
    <t>=IF(AND($M4743&gt;=$S$16,$M4743&lt;=$S$18),U4743,0)</t>
  </si>
  <si>
    <t>=IF($M4743&lt;=$T$18,U4743,0)</t>
  </si>
  <si>
    <t>="""NAV Direct"",""CRONUS JetCorp USA"",""21"",""1"",""414835"""</t>
  </si>
  <si>
    <t>=E4742</t>
  </si>
  <si>
    <t>=StartDate-$M4744+1</t>
  </si>
  <si>
    <t>=SUM(P4744:T4744)</t>
  </si>
  <si>
    <t>=IF($M4744&gt;=$P$18,U4744,0)</t>
  </si>
  <si>
    <t>=IF(AND($M4744&gt;=$Q$16,$M4744&lt;=$Q$18),U4744,0)</t>
  </si>
  <si>
    <t>=IF(AND($M4744&gt;=$R$16,$M4744&lt;=$R$18),U4744,0)</t>
  </si>
  <si>
    <t>=IF(AND($M4744&gt;=$S$16,$M4744&lt;=$S$18),U4744,0)</t>
  </si>
  <si>
    <t>=IF($M4744&lt;=$T$18,U4744,0)</t>
  </si>
  <si>
    <t>="""NAV Direct"",""CRONUS JetCorp USA"",""21"",""1"",""414942"""</t>
  </si>
  <si>
    <t>=E4743</t>
  </si>
  <si>
    <t>=StartDate-$M4745+1</t>
  </si>
  <si>
    <t>=SUM(P4745:T4745)</t>
  </si>
  <si>
    <t>=IF($M4745&gt;=$P$18,U4745,0)</t>
  </si>
  <si>
    <t>=IF(AND($M4745&gt;=$Q$16,$M4745&lt;=$Q$18),U4745,0)</t>
  </si>
  <si>
    <t>=IF(AND($M4745&gt;=$R$16,$M4745&lt;=$R$18),U4745,0)</t>
  </si>
  <si>
    <t>=IF(AND($M4745&gt;=$S$16,$M4745&lt;=$S$18),U4745,0)</t>
  </si>
  <si>
    <t>=IF($M4745&lt;=$T$18,U4745,0)</t>
  </si>
  <si>
    <t>="""NAV Direct"",""CRONUS JetCorp USA"",""21"",""1"",""415338"""</t>
  </si>
  <si>
    <t>=E4744</t>
  </si>
  <si>
    <t>=StartDate-$M4746+1</t>
  </si>
  <si>
    <t>=SUM(P4746:T4746)</t>
  </si>
  <si>
    <t>=IF($M4746&gt;=$P$18,U4746,0)</t>
  </si>
  <si>
    <t>=IF(AND($M4746&gt;=$Q$16,$M4746&lt;=$Q$18),U4746,0)</t>
  </si>
  <si>
    <t>=IF(AND($M4746&gt;=$R$16,$M4746&lt;=$R$18),U4746,0)</t>
  </si>
  <si>
    <t>=IF(AND($M4746&gt;=$S$16,$M4746&lt;=$S$18),U4746,0)</t>
  </si>
  <si>
    <t>=IF($M4746&lt;=$T$18,U4746,0)</t>
  </si>
  <si>
    <t>="""NAV Direct"",""CRONUS JetCorp USA"",""21"",""1"",""415477"""</t>
  </si>
  <si>
    <t>=E4745</t>
  </si>
  <si>
    <t>=StartDate-$M4747+1</t>
  </si>
  <si>
    <t>=SUM(P4747:T4747)</t>
  </si>
  <si>
    <t>=IF($M4747&gt;=$P$18,U4747,0)</t>
  </si>
  <si>
    <t>=IF(AND($M4747&gt;=$Q$16,$M4747&lt;=$Q$18),U4747,0)</t>
  </si>
  <si>
    <t>=IF(AND($M4747&gt;=$R$16,$M4747&lt;=$R$18),U4747,0)</t>
  </si>
  <si>
    <t>=IF(AND($M4747&gt;=$S$16,$M4747&lt;=$S$18),U4747,0)</t>
  </si>
  <si>
    <t>=IF($M4747&lt;=$T$18,U4747,0)</t>
  </si>
  <si>
    <t>="""NAV Direct"",""CRONUS JetCorp USA"",""21"",""1"",""415761"""</t>
  </si>
  <si>
    <t>=E4746</t>
  </si>
  <si>
    <t>=StartDate-$M4748+1</t>
  </si>
  <si>
    <t>=SUM(P4748:T4748)</t>
  </si>
  <si>
    <t>=IF($M4748&gt;=$P$18,U4748,0)</t>
  </si>
  <si>
    <t>=IF(AND($M4748&gt;=$Q$16,$M4748&lt;=$Q$18),U4748,0)</t>
  </si>
  <si>
    <t>=IF(AND($M4748&gt;=$R$16,$M4748&lt;=$R$18),U4748,0)</t>
  </si>
  <si>
    <t>=IF(AND($M4748&gt;=$S$16,$M4748&lt;=$S$18),U4748,0)</t>
  </si>
  <si>
    <t>=IF($M4748&lt;=$T$18,U4748,0)</t>
  </si>
  <si>
    <t>="""NAV Direct"",""CRONUS JetCorp USA"",""21"",""1"",""416078"""</t>
  </si>
  <si>
    <t>=E4747</t>
  </si>
  <si>
    <t>=StartDate-$M4749+1</t>
  </si>
  <si>
    <t>=SUM(P4749:T4749)</t>
  </si>
  <si>
    <t>=IF($M4749&gt;=$P$18,U4749,0)</t>
  </si>
  <si>
    <t>=IF(AND($M4749&gt;=$Q$16,$M4749&lt;=$Q$18),U4749,0)</t>
  </si>
  <si>
    <t>=IF(AND($M4749&gt;=$R$16,$M4749&lt;=$R$18),U4749,0)</t>
  </si>
  <si>
    <t>=IF(AND($M4749&gt;=$S$16,$M4749&lt;=$S$18),U4749,0)</t>
  </si>
  <si>
    <t>=IF($M4749&lt;=$T$18,U4749,0)</t>
  </si>
  <si>
    <t>="""NAV Direct"",""CRONUS JetCorp USA"",""21"",""1"",""416509"""</t>
  </si>
  <si>
    <t>=E4748</t>
  </si>
  <si>
    <t>=StartDate-$M4750+1</t>
  </si>
  <si>
    <t>=SUM(P4750:T4750)</t>
  </si>
  <si>
    <t>=IF($M4750&gt;=$P$18,U4750,0)</t>
  </si>
  <si>
    <t>=IF(AND($M4750&gt;=$Q$16,$M4750&lt;=$Q$18),U4750,0)</t>
  </si>
  <si>
    <t>=IF(AND($M4750&gt;=$R$16,$M4750&lt;=$R$18),U4750,0)</t>
  </si>
  <si>
    <t>=IF(AND($M4750&gt;=$S$16,$M4750&lt;=$S$18),U4750,0)</t>
  </si>
  <si>
    <t>=IF($M4750&lt;=$T$18,U4750,0)</t>
  </si>
  <si>
    <t>="""NAV Direct"",""CRONUS JetCorp USA"",""21"",""1"",""416544"""</t>
  </si>
  <si>
    <t>=E4749</t>
  </si>
  <si>
    <t>=StartDate-$M4751+1</t>
  </si>
  <si>
    <t>=SUM(P4751:T4751)</t>
  </si>
  <si>
    <t>=IF($M4751&gt;=$P$18,U4751,0)</t>
  </si>
  <si>
    <t>=IF(AND($M4751&gt;=$Q$16,$M4751&lt;=$Q$18),U4751,0)</t>
  </si>
  <si>
    <t>=IF(AND($M4751&gt;=$R$16,$M4751&lt;=$R$18),U4751,0)</t>
  </si>
  <si>
    <t>=IF(AND($M4751&gt;=$S$16,$M4751&lt;=$S$18),U4751,0)</t>
  </si>
  <si>
    <t>=IF($M4751&lt;=$T$18,U4751,0)</t>
  </si>
  <si>
    <t>="""NAV Direct"",""CRONUS JetCorp USA"",""21"",""1"",""416587"""</t>
  </si>
  <si>
    <t>=E4750</t>
  </si>
  <si>
    <t>=StartDate-$M4752+1</t>
  </si>
  <si>
    <t>=SUM(P4752:T4752)</t>
  </si>
  <si>
    <t>=IF($M4752&gt;=$P$18,U4752,0)</t>
  </si>
  <si>
    <t>=IF(AND($M4752&gt;=$Q$16,$M4752&lt;=$Q$18),U4752,0)</t>
  </si>
  <si>
    <t>=IF(AND($M4752&gt;=$R$16,$M4752&lt;=$R$18),U4752,0)</t>
  </si>
  <si>
    <t>=IF(AND($M4752&gt;=$S$16,$M4752&lt;=$S$18),U4752,0)</t>
  </si>
  <si>
    <t>=IF($M4752&lt;=$T$18,U4752,0)</t>
  </si>
  <si>
    <t>="""NAV Direct"",""CRONUS JetCorp USA"",""21"",""1"",""417084"""</t>
  </si>
  <si>
    <t>=E4751</t>
  </si>
  <si>
    <t>=StartDate-$M4753+1</t>
  </si>
  <si>
    <t>=SUM(P4753:T4753)</t>
  </si>
  <si>
    <t>=IF($M4753&gt;=$P$18,U4753,0)</t>
  </si>
  <si>
    <t>=IF(AND($M4753&gt;=$Q$16,$M4753&lt;=$Q$18),U4753,0)</t>
  </si>
  <si>
    <t>=IF(AND($M4753&gt;=$R$16,$M4753&lt;=$R$18),U4753,0)</t>
  </si>
  <si>
    <t>=IF(AND($M4753&gt;=$S$16,$M4753&lt;=$S$18),U4753,0)</t>
  </si>
  <si>
    <t>=IF($M4753&lt;=$T$18,U4753,0)</t>
  </si>
  <si>
    <t>="""NAV Direct"",""CRONUS JetCorp USA"",""21"",""1"",""417213"""</t>
  </si>
  <si>
    <t>=E4752</t>
  </si>
  <si>
    <t>=StartDate-$M4754+1</t>
  </si>
  <si>
    <t>=SUM(P4754:T4754)</t>
  </si>
  <si>
    <t>=IF($M4754&gt;=$P$18,U4754,0)</t>
  </si>
  <si>
    <t>=IF(AND($M4754&gt;=$Q$16,$M4754&lt;=$Q$18),U4754,0)</t>
  </si>
  <si>
    <t>=IF(AND($M4754&gt;=$R$16,$M4754&lt;=$R$18),U4754,0)</t>
  </si>
  <si>
    <t>=IF(AND($M4754&gt;=$S$16,$M4754&lt;=$S$18),U4754,0)</t>
  </si>
  <si>
    <t>=IF($M4754&lt;=$T$18,U4754,0)</t>
  </si>
  <si>
    <t>="""NAV Direct"",""CRONUS JetCorp USA"",""21"",""1"",""417270"""</t>
  </si>
  <si>
    <t>=E4753</t>
  </si>
  <si>
    <t>=StartDate-$M4755+1</t>
  </si>
  <si>
    <t>=SUM(P4755:T4755)</t>
  </si>
  <si>
    <t>=IF($M4755&gt;=$P$18,U4755,0)</t>
  </si>
  <si>
    <t>=IF(AND($M4755&gt;=$Q$16,$M4755&lt;=$Q$18),U4755,0)</t>
  </si>
  <si>
    <t>=IF(AND($M4755&gt;=$R$16,$M4755&lt;=$R$18),U4755,0)</t>
  </si>
  <si>
    <t>=IF(AND($M4755&gt;=$S$16,$M4755&lt;=$S$18),U4755,0)</t>
  </si>
  <si>
    <t>=IF($M4755&lt;=$T$18,U4755,0)</t>
  </si>
  <si>
    <t>="""NAV Direct"",""CRONUS JetCorp USA"",""21"",""1"",""417971"""</t>
  </si>
  <si>
    <t>=E4754</t>
  </si>
  <si>
    <t>=StartDate-$M4756+1</t>
  </si>
  <si>
    <t>=SUM(P4756:T4756)</t>
  </si>
  <si>
    <t>=IF($M4756&gt;=$P$18,U4756,0)</t>
  </si>
  <si>
    <t>=IF(AND($M4756&gt;=$Q$16,$M4756&lt;=$Q$18),U4756,0)</t>
  </si>
  <si>
    <t>=IF(AND($M4756&gt;=$R$16,$M4756&lt;=$R$18),U4756,0)</t>
  </si>
  <si>
    <t>=IF(AND($M4756&gt;=$S$16,$M4756&lt;=$S$18),U4756,0)</t>
  </si>
  <si>
    <t>=IF($M4756&lt;=$T$18,U4756,0)</t>
  </si>
  <si>
    <t>="""NAV Direct"",""CRONUS JetCorp USA"",""21"",""1"",""418053"""</t>
  </si>
  <si>
    <t>=E4755</t>
  </si>
  <si>
    <t>=StartDate-$M4757+1</t>
  </si>
  <si>
    <t>=SUM(P4757:T4757)</t>
  </si>
  <si>
    <t>=IF($M4757&gt;=$P$18,U4757,0)</t>
  </si>
  <si>
    <t>=IF(AND($M4757&gt;=$Q$16,$M4757&lt;=$Q$18),U4757,0)</t>
  </si>
  <si>
    <t>=IF(AND($M4757&gt;=$R$16,$M4757&lt;=$R$18),U4757,0)</t>
  </si>
  <si>
    <t>=IF(AND($M4757&gt;=$S$16,$M4757&lt;=$S$18),U4757,0)</t>
  </si>
  <si>
    <t>=IF($M4757&lt;=$T$18,U4757,0)</t>
  </si>
  <si>
    <t>="""NAV Direct"",""CRONUS JetCorp USA"",""21"",""1"",""418213"""</t>
  </si>
  <si>
    <t>=E4756</t>
  </si>
  <si>
    <t>=StartDate-$M4758+1</t>
  </si>
  <si>
    <t>=SUM(P4758:T4758)</t>
  </si>
  <si>
    <t>=IF($M4758&gt;=$P$18,U4758,0)</t>
  </si>
  <si>
    <t>=IF(AND($M4758&gt;=$Q$16,$M4758&lt;=$Q$18),U4758,0)</t>
  </si>
  <si>
    <t>=IF(AND($M4758&gt;=$R$16,$M4758&lt;=$R$18),U4758,0)</t>
  </si>
  <si>
    <t>=IF(AND($M4758&gt;=$S$16,$M4758&lt;=$S$18),U4758,0)</t>
  </si>
  <si>
    <t>=IF($M4758&lt;=$T$18,U4758,0)</t>
  </si>
  <si>
    <t>="""NAV Direct"",""CRONUS JetCorp USA"",""21"",""1"",""418260"""</t>
  </si>
  <si>
    <t>=E4757</t>
  </si>
  <si>
    <t>=StartDate-$M4759+1</t>
  </si>
  <si>
    <t>=SUM(P4759:T4759)</t>
  </si>
  <si>
    <t>=IF($M4759&gt;=$P$18,U4759,0)</t>
  </si>
  <si>
    <t>=IF(AND($M4759&gt;=$Q$16,$M4759&lt;=$Q$18),U4759,0)</t>
  </si>
  <si>
    <t>=IF(AND($M4759&gt;=$R$16,$M4759&lt;=$R$18),U4759,0)</t>
  </si>
  <si>
    <t>=IF(AND($M4759&gt;=$S$16,$M4759&lt;=$S$18),U4759,0)</t>
  </si>
  <si>
    <t>=IF($M4759&lt;=$T$18,U4759,0)</t>
  </si>
  <si>
    <t>="""NAV Direct"",""CRONUS JetCorp USA"",""21"",""1"",""419327"""</t>
  </si>
  <si>
    <t>=E4758</t>
  </si>
  <si>
    <t>=StartDate-$M4760+1</t>
  </si>
  <si>
    <t>=SUM(P4760:T4760)</t>
  </si>
  <si>
    <t>=IF($M4760&gt;=$P$18,U4760,0)</t>
  </si>
  <si>
    <t>=IF(AND($M4760&gt;=$Q$16,$M4760&lt;=$Q$18),U4760,0)</t>
  </si>
  <si>
    <t>=IF(AND($M4760&gt;=$R$16,$M4760&lt;=$R$18),U4760,0)</t>
  </si>
  <si>
    <t>=IF(AND($M4760&gt;=$S$16,$M4760&lt;=$S$18),U4760,0)</t>
  </si>
  <si>
    <t>=IF($M4760&lt;=$T$18,U4760,0)</t>
  </si>
  <si>
    <t>="""NAV Direct"",""CRONUS JetCorp USA"",""21"",""1"",""419661"""</t>
  </si>
  <si>
    <t>=E4759</t>
  </si>
  <si>
    <t>=StartDate-$M4761+1</t>
  </si>
  <si>
    <t>=SUM(P4761:T4761)</t>
  </si>
  <si>
    <t>=IF($M4761&gt;=$P$18,U4761,0)</t>
  </si>
  <si>
    <t>=IF(AND($M4761&gt;=$Q$16,$M4761&lt;=$Q$18),U4761,0)</t>
  </si>
  <si>
    <t>=IF(AND($M4761&gt;=$R$16,$M4761&lt;=$R$18),U4761,0)</t>
  </si>
  <si>
    <t>=IF(AND($M4761&gt;=$S$16,$M4761&lt;=$S$18),U4761,0)</t>
  </si>
  <si>
    <t>=IF($M4761&lt;=$T$18,U4761,0)</t>
  </si>
  <si>
    <t>="""NAV Direct"",""CRONUS JetCorp USA"",""21"",""1"",""419698"""</t>
  </si>
  <si>
    <t>=E4760</t>
  </si>
  <si>
    <t>=StartDate-$M4762+1</t>
  </si>
  <si>
    <t>=SUM(P4762:T4762)</t>
  </si>
  <si>
    <t>=IF($M4762&gt;=$P$18,U4762,0)</t>
  </si>
  <si>
    <t>=IF(AND($M4762&gt;=$Q$16,$M4762&lt;=$Q$18),U4762,0)</t>
  </si>
  <si>
    <t>=IF(AND($M4762&gt;=$R$16,$M4762&lt;=$R$18),U4762,0)</t>
  </si>
  <si>
    <t>=IF(AND($M4762&gt;=$S$16,$M4762&lt;=$S$18),U4762,0)</t>
  </si>
  <si>
    <t>=IF($M4762&lt;=$T$18,U4762,0)</t>
  </si>
  <si>
    <t>="""NAV Direct"",""CRONUS JetCorp USA"",""21"",""1"",""419787"""</t>
  </si>
  <si>
    <t>=E4761</t>
  </si>
  <si>
    <t>=StartDate-$M4763+1</t>
  </si>
  <si>
    <t>=SUM(P4763:T4763)</t>
  </si>
  <si>
    <t>=IF($M4763&gt;=$P$18,U4763,0)</t>
  </si>
  <si>
    <t>=IF(AND($M4763&gt;=$Q$16,$M4763&lt;=$Q$18),U4763,0)</t>
  </si>
  <si>
    <t>=IF(AND($M4763&gt;=$R$16,$M4763&lt;=$R$18),U4763,0)</t>
  </si>
  <si>
    <t>=IF(AND($M4763&gt;=$S$16,$M4763&lt;=$S$18),U4763,0)</t>
  </si>
  <si>
    <t>=IF($M4763&lt;=$T$18,U4763,0)</t>
  </si>
  <si>
    <t>="""NAV Direct"",""CRONUS JetCorp USA"",""21"",""1"",""419827"""</t>
  </si>
  <si>
    <t>=E4762</t>
  </si>
  <si>
    <t>=StartDate-$M4764+1</t>
  </si>
  <si>
    <t>=SUM(P4764:T4764)</t>
  </si>
  <si>
    <t>=IF($M4764&gt;=$P$18,U4764,0)</t>
  </si>
  <si>
    <t>=IF(AND($M4764&gt;=$Q$16,$M4764&lt;=$Q$18),U4764,0)</t>
  </si>
  <si>
    <t>=IF(AND($M4764&gt;=$R$16,$M4764&lt;=$R$18),U4764,0)</t>
  </si>
  <si>
    <t>=IF(AND($M4764&gt;=$S$16,$M4764&lt;=$S$18),U4764,0)</t>
  </si>
  <si>
    <t>=IF($M4764&lt;=$T$18,U4764,0)</t>
  </si>
  <si>
    <t>="""NAV Direct"",""CRONUS JetCorp USA"",""21"",""1"",""420158"""</t>
  </si>
  <si>
    <t>=E4763</t>
  </si>
  <si>
    <t>=StartDate-$M4765+1</t>
  </si>
  <si>
    <t>=SUM(P4765:T4765)</t>
  </si>
  <si>
    <t>=IF($M4765&gt;=$P$18,U4765,0)</t>
  </si>
  <si>
    <t>=IF(AND($M4765&gt;=$Q$16,$M4765&lt;=$Q$18),U4765,0)</t>
  </si>
  <si>
    <t>=IF(AND($M4765&gt;=$R$16,$M4765&lt;=$R$18),U4765,0)</t>
  </si>
  <si>
    <t>=IF(AND($M4765&gt;=$S$16,$M4765&lt;=$S$18),U4765,0)</t>
  </si>
  <si>
    <t>=IF($M4765&lt;=$T$18,U4765,0)</t>
  </si>
  <si>
    <t>="""NAV Direct"",""CRONUS JetCorp USA"",""21"",""1"",""420420"""</t>
  </si>
  <si>
    <t>=E4764</t>
  </si>
  <si>
    <t>=StartDate-$M4766+1</t>
  </si>
  <si>
    <t>=SUM(P4766:T4766)</t>
  </si>
  <si>
    <t>=IF($M4766&gt;=$P$18,U4766,0)</t>
  </si>
  <si>
    <t>=IF(AND($M4766&gt;=$Q$16,$M4766&lt;=$Q$18),U4766,0)</t>
  </si>
  <si>
    <t>=IF(AND($M4766&gt;=$R$16,$M4766&lt;=$R$18),U4766,0)</t>
  </si>
  <si>
    <t>=IF(AND($M4766&gt;=$S$16,$M4766&lt;=$S$18),U4766,0)</t>
  </si>
  <si>
    <t>=IF($M4766&lt;=$T$18,U4766,0)</t>
  </si>
  <si>
    <t>="""NAV Direct"",""CRONUS JetCorp USA"",""21"",""1"",""420496"""</t>
  </si>
  <si>
    <t>=E4765</t>
  </si>
  <si>
    <t>=StartDate-$M4767+1</t>
  </si>
  <si>
    <t>=SUM(P4767:T4767)</t>
  </si>
  <si>
    <t>=IF($M4767&gt;=$P$18,U4767,0)</t>
  </si>
  <si>
    <t>=IF(AND($M4767&gt;=$Q$16,$M4767&lt;=$Q$18),U4767,0)</t>
  </si>
  <si>
    <t>=IF(AND($M4767&gt;=$R$16,$M4767&lt;=$R$18),U4767,0)</t>
  </si>
  <si>
    <t>=IF(AND($M4767&gt;=$S$16,$M4767&lt;=$S$18),U4767,0)</t>
  </si>
  <si>
    <t>=IF($M4767&lt;=$T$18,U4767,0)</t>
  </si>
  <si>
    <t>="""NAV Direct"",""CRONUS JetCorp USA"",""21"",""1"",""420568"""</t>
  </si>
  <si>
    <t>=E4766</t>
  </si>
  <si>
    <t>=StartDate-$M4768+1</t>
  </si>
  <si>
    <t>=SUM(P4768:T4768)</t>
  </si>
  <si>
    <t>=IF($M4768&gt;=$P$18,U4768,0)</t>
  </si>
  <si>
    <t>=IF(AND($M4768&gt;=$Q$16,$M4768&lt;=$Q$18),U4768,0)</t>
  </si>
  <si>
    <t>=IF(AND($M4768&gt;=$R$16,$M4768&lt;=$R$18),U4768,0)</t>
  </si>
  <si>
    <t>=IF(AND($M4768&gt;=$S$16,$M4768&lt;=$S$18),U4768,0)</t>
  </si>
  <si>
    <t>=IF($M4768&lt;=$T$18,U4768,0)</t>
  </si>
  <si>
    <t>="""NAV Direct"",""CRONUS JetCorp USA"",""21"",""1"",""420607"""</t>
  </si>
  <si>
    <t>=E4767</t>
  </si>
  <si>
    <t>=StartDate-$M4769+1</t>
  </si>
  <si>
    <t>=SUM(P4769:T4769)</t>
  </si>
  <si>
    <t>=IF($M4769&gt;=$P$18,U4769,0)</t>
  </si>
  <si>
    <t>=IF(AND($M4769&gt;=$Q$16,$M4769&lt;=$Q$18),U4769,0)</t>
  </si>
  <si>
    <t>=IF(AND($M4769&gt;=$R$16,$M4769&lt;=$R$18),U4769,0)</t>
  </si>
  <si>
    <t>=IF(AND($M4769&gt;=$S$16,$M4769&lt;=$S$18),U4769,0)</t>
  </si>
  <si>
    <t>=IF($M4769&lt;=$T$18,U4769,0)</t>
  </si>
  <si>
    <t>="""NAV Direct"",""CRONUS JetCorp USA"",""21"",""1"",""420675"""</t>
  </si>
  <si>
    <t>=E4768</t>
  </si>
  <si>
    <t>=StartDate-$M4770+1</t>
  </si>
  <si>
    <t>=SUM(P4770:T4770)</t>
  </si>
  <si>
    <t>=IF($M4770&gt;=$P$18,U4770,0)</t>
  </si>
  <si>
    <t>=IF(AND($M4770&gt;=$Q$16,$M4770&lt;=$Q$18),U4770,0)</t>
  </si>
  <si>
    <t>=IF(AND($M4770&gt;=$R$16,$M4770&lt;=$R$18),U4770,0)</t>
  </si>
  <si>
    <t>=IF(AND($M4770&gt;=$S$16,$M4770&lt;=$S$18),U4770,0)</t>
  </si>
  <si>
    <t>=IF($M4770&lt;=$T$18,U4770,0)</t>
  </si>
  <si>
    <t>="""NAV Direct"",""CRONUS JetCorp USA"",""21"",""1"",""420737"""</t>
  </si>
  <si>
    <t>=E4769</t>
  </si>
  <si>
    <t>=StartDate-$M4771+1</t>
  </si>
  <si>
    <t>=SUM(P4771:T4771)</t>
  </si>
  <si>
    <t>=IF($M4771&gt;=$P$18,U4771,0)</t>
  </si>
  <si>
    <t>=IF(AND($M4771&gt;=$Q$16,$M4771&lt;=$Q$18),U4771,0)</t>
  </si>
  <si>
    <t>=IF(AND($M4771&gt;=$R$16,$M4771&lt;=$R$18),U4771,0)</t>
  </si>
  <si>
    <t>=IF(AND($M4771&gt;=$S$16,$M4771&lt;=$S$18),U4771,0)</t>
  </si>
  <si>
    <t>=IF($M4771&lt;=$T$18,U4771,0)</t>
  </si>
  <si>
    <t>="""NAV Direct"",""CRONUS JetCorp USA"",""21"",""1"",""421173"""</t>
  </si>
  <si>
    <t>=E4770</t>
  </si>
  <si>
    <t>=StartDate-$M4772+1</t>
  </si>
  <si>
    <t>=SUM(P4772:T4772)</t>
  </si>
  <si>
    <t>=IF($M4772&gt;=$P$18,U4772,0)</t>
  </si>
  <si>
    <t>=IF(AND($M4772&gt;=$Q$16,$M4772&lt;=$Q$18),U4772,0)</t>
  </si>
  <si>
    <t>=IF(AND($M4772&gt;=$R$16,$M4772&lt;=$R$18),U4772,0)</t>
  </si>
  <si>
    <t>=IF(AND($M4772&gt;=$S$16,$M4772&lt;=$S$18),U4772,0)</t>
  </si>
  <si>
    <t>=IF($M4772&lt;=$T$18,U4772,0)</t>
  </si>
  <si>
    <t>="""NAV Direct"",""CRONUS JetCorp USA"",""21"",""1"",""421220"""</t>
  </si>
  <si>
    <t>=E4771</t>
  </si>
  <si>
    <t>=StartDate-$M4773+1</t>
  </si>
  <si>
    <t>=SUM(P4773:T4773)</t>
  </si>
  <si>
    <t>=IF($M4773&gt;=$P$18,U4773,0)</t>
  </si>
  <si>
    <t>=IF(AND($M4773&gt;=$Q$16,$M4773&lt;=$Q$18),U4773,0)</t>
  </si>
  <si>
    <t>=IF(AND($M4773&gt;=$R$16,$M4773&lt;=$R$18),U4773,0)</t>
  </si>
  <si>
    <t>=IF(AND($M4773&gt;=$S$16,$M4773&lt;=$S$18),U4773,0)</t>
  </si>
  <si>
    <t>=IF($M4773&lt;=$T$18,U4773,0)</t>
  </si>
  <si>
    <t>="""NAV Direct"",""CRONUS JetCorp USA"",""21"",""1"",""421543"""</t>
  </si>
  <si>
    <t>=E4772</t>
  </si>
  <si>
    <t>=StartDate-$M4774+1</t>
  </si>
  <si>
    <t>=SUM(P4774:T4774)</t>
  </si>
  <si>
    <t>=IF($M4774&gt;=$P$18,U4774,0)</t>
  </si>
  <si>
    <t>=IF(AND($M4774&gt;=$Q$16,$M4774&lt;=$Q$18),U4774,0)</t>
  </si>
  <si>
    <t>=IF(AND($M4774&gt;=$R$16,$M4774&lt;=$R$18),U4774,0)</t>
  </si>
  <si>
    <t>=IF(AND($M4774&gt;=$S$16,$M4774&lt;=$S$18),U4774,0)</t>
  </si>
  <si>
    <t>=IF($M4774&lt;=$T$18,U4774,0)</t>
  </si>
  <si>
    <t>="""NAV Direct"",""CRONUS JetCorp USA"",""21"",""1"",""421981"""</t>
  </si>
  <si>
    <t>=E4773</t>
  </si>
  <si>
    <t>=StartDate-$M4775+1</t>
  </si>
  <si>
    <t>=SUM(P4775:T4775)</t>
  </si>
  <si>
    <t>=IF($M4775&gt;=$P$18,U4775,0)</t>
  </si>
  <si>
    <t>=IF(AND($M4775&gt;=$Q$16,$M4775&lt;=$Q$18),U4775,0)</t>
  </si>
  <si>
    <t>=IF(AND($M4775&gt;=$R$16,$M4775&lt;=$R$18),U4775,0)</t>
  </si>
  <si>
    <t>=IF(AND($M4775&gt;=$S$16,$M4775&lt;=$S$18),U4775,0)</t>
  </si>
  <si>
    <t>=IF($M4775&lt;=$T$18,U4775,0)</t>
  </si>
  <si>
    <t>="""NAV Direct"",""CRONUS JetCorp USA"",""21"",""1"",""422030"""</t>
  </si>
  <si>
    <t>=E4774</t>
  </si>
  <si>
    <t>=StartDate-$M4776+1</t>
  </si>
  <si>
    <t>=SUM(P4776:T4776)</t>
  </si>
  <si>
    <t>=IF($M4776&gt;=$P$18,U4776,0)</t>
  </si>
  <si>
    <t>=IF(AND($M4776&gt;=$Q$16,$M4776&lt;=$Q$18),U4776,0)</t>
  </si>
  <si>
    <t>=IF(AND($M4776&gt;=$R$16,$M4776&lt;=$R$18),U4776,0)</t>
  </si>
  <si>
    <t>=IF(AND($M4776&gt;=$S$16,$M4776&lt;=$S$18),U4776,0)</t>
  </si>
  <si>
    <t>=IF($M4776&lt;=$T$18,U4776,0)</t>
  </si>
  <si>
    <t>="""NAV Direct"",""CRONUS JetCorp USA"",""21"",""1"",""422413"""</t>
  </si>
  <si>
    <t>=E4775</t>
  </si>
  <si>
    <t>=StartDate-$M4777+1</t>
  </si>
  <si>
    <t>=SUM(P4777:T4777)</t>
  </si>
  <si>
    <t>=IF($M4777&gt;=$P$18,U4777,0)</t>
  </si>
  <si>
    <t>=IF(AND($M4777&gt;=$Q$16,$M4777&lt;=$Q$18),U4777,0)</t>
  </si>
  <si>
    <t>=IF(AND($M4777&gt;=$R$16,$M4777&lt;=$R$18),U4777,0)</t>
  </si>
  <si>
    <t>=IF(AND($M4777&gt;=$S$16,$M4777&lt;=$S$18),U4777,0)</t>
  </si>
  <si>
    <t>=IF($M4777&lt;=$T$18,U4777,0)</t>
  </si>
  <si>
    <t>="""NAV Direct"",""CRONUS JetCorp USA"",""21"",""1"",""422454"""</t>
  </si>
  <si>
    <t>=E4776</t>
  </si>
  <si>
    <t>=StartDate-$M4778+1</t>
  </si>
  <si>
    <t>=SUM(P4778:T4778)</t>
  </si>
  <si>
    <t>=IF($M4778&gt;=$P$18,U4778,0)</t>
  </si>
  <si>
    <t>=IF(AND($M4778&gt;=$Q$16,$M4778&lt;=$Q$18),U4778,0)</t>
  </si>
  <si>
    <t>=IF(AND($M4778&gt;=$R$16,$M4778&lt;=$R$18),U4778,0)</t>
  </si>
  <si>
    <t>=IF(AND($M4778&gt;=$S$16,$M4778&lt;=$S$18),U4778,0)</t>
  </si>
  <si>
    <t>=IF($M4778&lt;=$T$18,U4778,0)</t>
  </si>
  <si>
    <t>="""NAV Direct"",""CRONUS JetCorp USA"",""21"",""1"",""422810"""</t>
  </si>
  <si>
    <t>=E4777</t>
  </si>
  <si>
    <t>=StartDate-$M4779+1</t>
  </si>
  <si>
    <t>=SUM(P4779:T4779)</t>
  </si>
  <si>
    <t>=IF($M4779&gt;=$P$18,U4779,0)</t>
  </si>
  <si>
    <t>=IF(AND($M4779&gt;=$Q$16,$M4779&lt;=$Q$18),U4779,0)</t>
  </si>
  <si>
    <t>=IF(AND($M4779&gt;=$R$16,$M4779&lt;=$R$18),U4779,0)</t>
  </si>
  <si>
    <t>=IF(AND($M4779&gt;=$S$16,$M4779&lt;=$S$18),U4779,0)</t>
  </si>
  <si>
    <t>=IF($M4779&lt;=$T$18,U4779,0)</t>
  </si>
  <si>
    <t>="""NAV Direct"",""CRONUS JetCorp USA"",""21"",""1"",""422943"""</t>
  </si>
  <si>
    <t>=E4778</t>
  </si>
  <si>
    <t>=StartDate-$M4780+1</t>
  </si>
  <si>
    <t>=SUM(P4780:T4780)</t>
  </si>
  <si>
    <t>=IF($M4780&gt;=$P$18,U4780,0)</t>
  </si>
  <si>
    <t>=IF(AND($M4780&gt;=$Q$16,$M4780&lt;=$Q$18),U4780,0)</t>
  </si>
  <si>
    <t>=IF(AND($M4780&gt;=$R$16,$M4780&lt;=$R$18),U4780,0)</t>
  </si>
  <si>
    <t>=IF(AND($M4780&gt;=$S$16,$M4780&lt;=$S$18),U4780,0)</t>
  </si>
  <si>
    <t>=IF($M4780&lt;=$T$18,U4780,0)</t>
  </si>
  <si>
    <t>="""NAV Direct"",""CRONUS JetCorp USA"",""21"",""1"",""423141"""</t>
  </si>
  <si>
    <t>=E4779</t>
  </si>
  <si>
    <t>=StartDate-$M4781+1</t>
  </si>
  <si>
    <t>=SUM(P4781:T4781)</t>
  </si>
  <si>
    <t>=IF($M4781&gt;=$P$18,U4781,0)</t>
  </si>
  <si>
    <t>=IF(AND($M4781&gt;=$Q$16,$M4781&lt;=$Q$18),U4781,0)</t>
  </si>
  <si>
    <t>=IF(AND($M4781&gt;=$R$16,$M4781&lt;=$R$18),U4781,0)</t>
  </si>
  <si>
    <t>=IF(AND($M4781&gt;=$S$16,$M4781&lt;=$S$18),U4781,0)</t>
  </si>
  <si>
    <t>=IF($M4781&lt;=$T$18,U4781,0)</t>
  </si>
  <si>
    <t>="""NAV Direct"",""CRONUS JetCorp USA"",""21"",""1"",""423243"""</t>
  </si>
  <si>
    <t>=E4780</t>
  </si>
  <si>
    <t>=StartDate-$M4782+1</t>
  </si>
  <si>
    <t>=SUM(P4782:T4782)</t>
  </si>
  <si>
    <t>=IF($M4782&gt;=$P$18,U4782,0)</t>
  </si>
  <si>
    <t>=IF(AND($M4782&gt;=$Q$16,$M4782&lt;=$Q$18),U4782,0)</t>
  </si>
  <si>
    <t>=IF(AND($M4782&gt;=$R$16,$M4782&lt;=$R$18),U4782,0)</t>
  </si>
  <si>
    <t>=IF(AND($M4782&gt;=$S$16,$M4782&lt;=$S$18),U4782,0)</t>
  </si>
  <si>
    <t>=IF($M4782&lt;=$T$18,U4782,0)</t>
  </si>
  <si>
    <t>="""NAV Direct"",""CRONUS JetCorp USA"",""21"",""1"",""423351"""</t>
  </si>
  <si>
    <t>=E4781</t>
  </si>
  <si>
    <t>=StartDate-$M4783+1</t>
  </si>
  <si>
    <t>=SUM(P4783:T4783)</t>
  </si>
  <si>
    <t>=IF($M4783&gt;=$P$18,U4783,0)</t>
  </si>
  <si>
    <t>=IF(AND($M4783&gt;=$Q$16,$M4783&lt;=$Q$18),U4783,0)</t>
  </si>
  <si>
    <t>=IF(AND($M4783&gt;=$R$16,$M4783&lt;=$R$18),U4783,0)</t>
  </si>
  <si>
    <t>=IF(AND($M4783&gt;=$S$16,$M4783&lt;=$S$18),U4783,0)</t>
  </si>
  <si>
    <t>=IF($M4783&lt;=$T$18,U4783,0)</t>
  </si>
  <si>
    <t>="""NAV Direct"",""CRONUS JetCorp USA"",""21"",""1"",""423533"""</t>
  </si>
  <si>
    <t>=E4782</t>
  </si>
  <si>
    <t>=StartDate-$M4784+1</t>
  </si>
  <si>
    <t>=SUM(P4784:T4784)</t>
  </si>
  <si>
    <t>=IF($M4784&gt;=$P$18,U4784,0)</t>
  </si>
  <si>
    <t>=IF(AND($M4784&gt;=$Q$16,$M4784&lt;=$Q$18),U4784,0)</t>
  </si>
  <si>
    <t>=IF(AND($M4784&gt;=$R$16,$M4784&lt;=$R$18),U4784,0)</t>
  </si>
  <si>
    <t>=IF(AND($M4784&gt;=$S$16,$M4784&lt;=$S$18),U4784,0)</t>
  </si>
  <si>
    <t>=IF($M4784&lt;=$T$18,U4784,0)</t>
  </si>
  <si>
    <t>="""NAV Direct"",""CRONUS JetCorp USA"",""21"",""1"",""423718"""</t>
  </si>
  <si>
    <t>=E4783</t>
  </si>
  <si>
    <t>=StartDate-$M4785+1</t>
  </si>
  <si>
    <t>=SUM(P4785:T4785)</t>
  </si>
  <si>
    <t>=IF($M4785&gt;=$P$18,U4785,0)</t>
  </si>
  <si>
    <t>=IF(AND($M4785&gt;=$Q$16,$M4785&lt;=$Q$18),U4785,0)</t>
  </si>
  <si>
    <t>=IF(AND($M4785&gt;=$R$16,$M4785&lt;=$R$18),U4785,0)</t>
  </si>
  <si>
    <t>=IF(AND($M4785&gt;=$S$16,$M4785&lt;=$S$18),U4785,0)</t>
  </si>
  <si>
    <t>=IF($M4785&lt;=$T$18,U4785,0)</t>
  </si>
  <si>
    <t>="""NAV Direct"",""CRONUS JetCorp USA"",""21"",""1"",""423847"""</t>
  </si>
  <si>
    <t>=E4784</t>
  </si>
  <si>
    <t>=StartDate-$M4786+1</t>
  </si>
  <si>
    <t>=SUM(P4786:T4786)</t>
  </si>
  <si>
    <t>=IF($M4786&gt;=$P$18,U4786,0)</t>
  </si>
  <si>
    <t>=IF(AND($M4786&gt;=$Q$16,$M4786&lt;=$Q$18),U4786,0)</t>
  </si>
  <si>
    <t>=IF(AND($M4786&gt;=$R$16,$M4786&lt;=$R$18),U4786,0)</t>
  </si>
  <si>
    <t>=IF(AND($M4786&gt;=$S$16,$M4786&lt;=$S$18),U4786,0)</t>
  </si>
  <si>
    <t>=IF($M4786&lt;=$T$18,U4786,0)</t>
  </si>
  <si>
    <t>="""NAV Direct"",""CRONUS JetCorp USA"",""21"",""1"",""423923"""</t>
  </si>
  <si>
    <t>=E4785</t>
  </si>
  <si>
    <t>=StartDate-$M4787+1</t>
  </si>
  <si>
    <t>=SUM(P4787:T4787)</t>
  </si>
  <si>
    <t>=IF($M4787&gt;=$P$18,U4787,0)</t>
  </si>
  <si>
    <t>=IF(AND($M4787&gt;=$Q$16,$M4787&lt;=$Q$18),U4787,0)</t>
  </si>
  <si>
    <t>=IF(AND($M4787&gt;=$R$16,$M4787&lt;=$R$18),U4787,0)</t>
  </si>
  <si>
    <t>=IF(AND($M4787&gt;=$S$16,$M4787&lt;=$S$18),U4787,0)</t>
  </si>
  <si>
    <t>=IF($M4787&lt;=$T$18,U4787,0)</t>
  </si>
  <si>
    <t>="""NAV Direct"",""CRONUS JetCorp USA"",""21"",""1"",""424025"""</t>
  </si>
  <si>
    <t>=E4786</t>
  </si>
  <si>
    <t>=StartDate-$M4788+1</t>
  </si>
  <si>
    <t>=SUM(P4788:T4788)</t>
  </si>
  <si>
    <t>=IF($M4788&gt;=$P$18,U4788,0)</t>
  </si>
  <si>
    <t>=IF(AND($M4788&gt;=$Q$16,$M4788&lt;=$Q$18),U4788,0)</t>
  </si>
  <si>
    <t>=IF(AND($M4788&gt;=$R$16,$M4788&lt;=$R$18),U4788,0)</t>
  </si>
  <si>
    <t>=IF(AND($M4788&gt;=$S$16,$M4788&lt;=$S$18),U4788,0)</t>
  </si>
  <si>
    <t>=IF($M4788&lt;=$T$18,U4788,0)</t>
  </si>
  <si>
    <t>="""NAV Direct"",""CRONUS JetCorp USA"",""21"",""1"",""424490"""</t>
  </si>
  <si>
    <t>=E4787</t>
  </si>
  <si>
    <t>=StartDate-$M4789+1</t>
  </si>
  <si>
    <t>=SUM(P4789:T4789)</t>
  </si>
  <si>
    <t>=IF($M4789&gt;=$P$18,U4789,0)</t>
  </si>
  <si>
    <t>=IF(AND($M4789&gt;=$Q$16,$M4789&lt;=$Q$18),U4789,0)</t>
  </si>
  <si>
    <t>=IF(AND($M4789&gt;=$R$16,$M4789&lt;=$R$18),U4789,0)</t>
  </si>
  <si>
    <t>=IF(AND($M4789&gt;=$S$16,$M4789&lt;=$S$18),U4789,0)</t>
  </si>
  <si>
    <t>=IF($M4789&lt;=$T$18,U4789,0)</t>
  </si>
  <si>
    <t>="""NAV Direct"",""CRONUS JetCorp USA"",""21"",""1"",""424637"""</t>
  </si>
  <si>
    <t>=E4788</t>
  </si>
  <si>
    <t>=StartDate-$M4790+1</t>
  </si>
  <si>
    <t>=SUM(P4790:T4790)</t>
  </si>
  <si>
    <t>=IF($M4790&gt;=$P$18,U4790,0)</t>
  </si>
  <si>
    <t>=IF(AND($M4790&gt;=$Q$16,$M4790&lt;=$Q$18),U4790,0)</t>
  </si>
  <si>
    <t>=IF(AND($M4790&gt;=$R$16,$M4790&lt;=$R$18),U4790,0)</t>
  </si>
  <si>
    <t>=IF(AND($M4790&gt;=$S$16,$M4790&lt;=$S$18),U4790,0)</t>
  </si>
  <si>
    <t>=IF($M4790&lt;=$T$18,U4790,0)</t>
  </si>
  <si>
    <t>="""NAV Direct"",""CRONUS JetCorp USA"",""21"",""1"",""424674"""</t>
  </si>
  <si>
    <t>=E4789</t>
  </si>
  <si>
    <t>=StartDate-$M4791+1</t>
  </si>
  <si>
    <t>=SUM(P4791:T4791)</t>
  </si>
  <si>
    <t>=IF($M4791&gt;=$P$18,U4791,0)</t>
  </si>
  <si>
    <t>=IF(AND($M4791&gt;=$Q$16,$M4791&lt;=$Q$18),U4791,0)</t>
  </si>
  <si>
    <t>=IF(AND($M4791&gt;=$R$16,$M4791&lt;=$R$18),U4791,0)</t>
  </si>
  <si>
    <t>=IF(AND($M4791&gt;=$S$16,$M4791&lt;=$S$18),U4791,0)</t>
  </si>
  <si>
    <t>=IF($M4791&lt;=$T$18,U4791,0)</t>
  </si>
  <si>
    <t>="""NAV Direct"",""CRONUS JetCorp USA"",""21"",""1"",""424725"""</t>
  </si>
  <si>
    <t>=E4790</t>
  </si>
  <si>
    <t>=StartDate-$M4792+1</t>
  </si>
  <si>
    <t>=SUM(P4792:T4792)</t>
  </si>
  <si>
    <t>=IF($M4792&gt;=$P$18,U4792,0)</t>
  </si>
  <si>
    <t>=IF(AND($M4792&gt;=$Q$16,$M4792&lt;=$Q$18),U4792,0)</t>
  </si>
  <si>
    <t>=IF(AND($M4792&gt;=$R$16,$M4792&lt;=$R$18),U4792,0)</t>
  </si>
  <si>
    <t>=IF(AND($M4792&gt;=$S$16,$M4792&lt;=$S$18),U4792,0)</t>
  </si>
  <si>
    <t>=IF($M4792&lt;=$T$18,U4792,0)</t>
  </si>
  <si>
    <t>="""NAV Direct"",""CRONUS JetCorp USA"",""21"",""1"",""425162"""</t>
  </si>
  <si>
    <t>=E4791</t>
  </si>
  <si>
    <t>=StartDate-$M4793+1</t>
  </si>
  <si>
    <t>=SUM(P4793:T4793)</t>
  </si>
  <si>
    <t>=IF($M4793&gt;=$P$18,U4793,0)</t>
  </si>
  <si>
    <t>=IF(AND($M4793&gt;=$Q$16,$M4793&lt;=$Q$18),U4793,0)</t>
  </si>
  <si>
    <t>=IF(AND($M4793&gt;=$R$16,$M4793&lt;=$R$18),U4793,0)</t>
  </si>
  <si>
    <t>=IF(AND($M4793&gt;=$S$16,$M4793&lt;=$S$18),U4793,0)</t>
  </si>
  <si>
    <t>=IF($M4793&lt;=$T$18,U4793,0)</t>
  </si>
  <si>
    <t>="""NAV Direct"",""CRONUS JetCorp USA"",""21"",""1"",""425349"""</t>
  </si>
  <si>
    <t>=E4792</t>
  </si>
  <si>
    <t>=StartDate-$M4794+1</t>
  </si>
  <si>
    <t>=SUM(P4794:T4794)</t>
  </si>
  <si>
    <t>=IF($M4794&gt;=$P$18,U4794,0)</t>
  </si>
  <si>
    <t>=IF(AND($M4794&gt;=$Q$16,$M4794&lt;=$Q$18),U4794,0)</t>
  </si>
  <si>
    <t>=IF(AND($M4794&gt;=$R$16,$M4794&lt;=$R$18),U4794,0)</t>
  </si>
  <si>
    <t>=IF(AND($M4794&gt;=$S$16,$M4794&lt;=$S$18),U4794,0)</t>
  </si>
  <si>
    <t>=IF($M4794&lt;=$T$18,U4794,0)</t>
  </si>
  <si>
    <t>="""NAV Direct"",""CRONUS JetCorp USA"",""21"",""1"",""425505"""</t>
  </si>
  <si>
    <t>=E4793</t>
  </si>
  <si>
    <t>=StartDate-$M4795+1</t>
  </si>
  <si>
    <t>=SUM(P4795:T4795)</t>
  </si>
  <si>
    <t>=IF($M4795&gt;=$P$18,U4795,0)</t>
  </si>
  <si>
    <t>=IF(AND($M4795&gt;=$Q$16,$M4795&lt;=$Q$18),U4795,0)</t>
  </si>
  <si>
    <t>=IF(AND($M4795&gt;=$R$16,$M4795&lt;=$R$18),U4795,0)</t>
  </si>
  <si>
    <t>=IF(AND($M4795&gt;=$S$16,$M4795&lt;=$S$18),U4795,0)</t>
  </si>
  <si>
    <t>=IF($M4795&lt;=$T$18,U4795,0)</t>
  </si>
  <si>
    <t>="""NAV Direct"",""CRONUS JetCorp USA"",""21"",""1"",""425941"""</t>
  </si>
  <si>
    <t>=E4794</t>
  </si>
  <si>
    <t>=StartDate-$M4796+1</t>
  </si>
  <si>
    <t>=SUM(P4796:T4796)</t>
  </si>
  <si>
    <t>=IF($M4796&gt;=$P$18,U4796,0)</t>
  </si>
  <si>
    <t>=IF(AND($M4796&gt;=$Q$16,$M4796&lt;=$Q$18),U4796,0)</t>
  </si>
  <si>
    <t>=IF(AND($M4796&gt;=$R$16,$M4796&lt;=$R$18),U4796,0)</t>
  </si>
  <si>
    <t>=IF(AND($M4796&gt;=$S$16,$M4796&lt;=$S$18),U4796,0)</t>
  </si>
  <si>
    <t>=IF($M4796&lt;=$T$18,U4796,0)</t>
  </si>
  <si>
    <t>="""NAV Direct"",""CRONUS JetCorp USA"",""21"",""1"",""426117"""</t>
  </si>
  <si>
    <t>=E4795</t>
  </si>
  <si>
    <t>=StartDate-$M4797+1</t>
  </si>
  <si>
    <t>=SUM(P4797:T4797)</t>
  </si>
  <si>
    <t>=IF($M4797&gt;=$P$18,U4797,0)</t>
  </si>
  <si>
    <t>=IF(AND($M4797&gt;=$Q$16,$M4797&lt;=$Q$18),U4797,0)</t>
  </si>
  <si>
    <t>=IF(AND($M4797&gt;=$R$16,$M4797&lt;=$R$18),U4797,0)</t>
  </si>
  <si>
    <t>=IF(AND($M4797&gt;=$S$16,$M4797&lt;=$S$18),U4797,0)</t>
  </si>
  <si>
    <t>=IF($M4797&lt;=$T$18,U4797,0)</t>
  </si>
  <si>
    <t>="""NAV Direct"",""CRONUS JetCorp USA"",""21"",""1"",""426592"""</t>
  </si>
  <si>
    <t>=E4796</t>
  </si>
  <si>
    <t>=StartDate-$M4798+1</t>
  </si>
  <si>
    <t>=SUM(P4798:T4798)</t>
  </si>
  <si>
    <t>=IF($M4798&gt;=$P$18,U4798,0)</t>
  </si>
  <si>
    <t>=IF(AND($M4798&gt;=$Q$16,$M4798&lt;=$Q$18),U4798,0)</t>
  </si>
  <si>
    <t>=IF(AND($M4798&gt;=$R$16,$M4798&lt;=$R$18),U4798,0)</t>
  </si>
  <si>
    <t>=IF(AND($M4798&gt;=$S$16,$M4798&lt;=$S$18),U4798,0)</t>
  </si>
  <si>
    <t>=IF($M4798&lt;=$T$18,U4798,0)</t>
  </si>
  <si>
    <t>="""NAV Direct"",""CRONUS JetCorp USA"",""21"",""1"",""426643"""</t>
  </si>
  <si>
    <t>=E4797</t>
  </si>
  <si>
    <t>=StartDate-$M4799+1</t>
  </si>
  <si>
    <t>=SUM(P4799:T4799)</t>
  </si>
  <si>
    <t>=IF($M4799&gt;=$P$18,U4799,0)</t>
  </si>
  <si>
    <t>=IF(AND($M4799&gt;=$Q$16,$M4799&lt;=$Q$18),U4799,0)</t>
  </si>
  <si>
    <t>=IF(AND($M4799&gt;=$R$16,$M4799&lt;=$R$18),U4799,0)</t>
  </si>
  <si>
    <t>=IF(AND($M4799&gt;=$S$16,$M4799&lt;=$S$18),U4799,0)</t>
  </si>
  <si>
    <t>=IF($M4799&lt;=$T$18,U4799,0)</t>
  </si>
  <si>
    <t>="""NAV Direct"",""CRONUS JetCorp USA"",""21"",""1"",""426735"""</t>
  </si>
  <si>
    <t>=E4798</t>
  </si>
  <si>
    <t>=StartDate-$M4800+1</t>
  </si>
  <si>
    <t>=SUM(P4800:T4800)</t>
  </si>
  <si>
    <t>=IF($M4800&gt;=$P$18,U4800,0)</t>
  </si>
  <si>
    <t>=IF(AND($M4800&gt;=$Q$16,$M4800&lt;=$Q$18),U4800,0)</t>
  </si>
  <si>
    <t>=IF(AND($M4800&gt;=$R$16,$M4800&lt;=$R$18),U4800,0)</t>
  </si>
  <si>
    <t>=IF(AND($M4800&gt;=$S$16,$M4800&lt;=$S$18),U4800,0)</t>
  </si>
  <si>
    <t>=IF($M4800&lt;=$T$18,U4800,0)</t>
  </si>
  <si>
    <t>="""NAV Direct"",""CRONUS JetCorp USA"",""21"",""1"",""426972"""</t>
  </si>
  <si>
    <t>=E4799</t>
  </si>
  <si>
    <t>=StartDate-$M4801+1</t>
  </si>
  <si>
    <t>=SUM(P4801:T4801)</t>
  </si>
  <si>
    <t>=IF($M4801&gt;=$P$18,U4801,0)</t>
  </si>
  <si>
    <t>=IF(AND($M4801&gt;=$Q$16,$M4801&lt;=$Q$18),U4801,0)</t>
  </si>
  <si>
    <t>=IF(AND($M4801&gt;=$R$16,$M4801&lt;=$R$18),U4801,0)</t>
  </si>
  <si>
    <t>=IF(AND($M4801&gt;=$S$16,$M4801&lt;=$S$18),U4801,0)</t>
  </si>
  <si>
    <t>=IF($M4801&lt;=$T$18,U4801,0)</t>
  </si>
  <si>
    <t>="""NAV Direct"",""CRONUS JetCorp USA"",""21"",""1"",""427374"""</t>
  </si>
  <si>
    <t>=E4800</t>
  </si>
  <si>
    <t>=StartDate-$M4802+1</t>
  </si>
  <si>
    <t>=SUM(P4802:T4802)</t>
  </si>
  <si>
    <t>=IF($M4802&gt;=$P$18,U4802,0)</t>
  </si>
  <si>
    <t>=IF(AND($M4802&gt;=$Q$16,$M4802&lt;=$Q$18),U4802,0)</t>
  </si>
  <si>
    <t>=IF(AND($M4802&gt;=$R$16,$M4802&lt;=$R$18),U4802,0)</t>
  </si>
  <si>
    <t>=IF(AND($M4802&gt;=$S$16,$M4802&lt;=$S$18),U4802,0)</t>
  </si>
  <si>
    <t>=IF($M4802&lt;=$T$18,U4802,0)</t>
  </si>
  <si>
    <t>="""NAV Direct"",""CRONUS JetCorp USA"",""21"",""1"",""427495"""</t>
  </si>
  <si>
    <t>=E4801</t>
  </si>
  <si>
    <t>=StartDate-$M4803+1</t>
  </si>
  <si>
    <t>=SUM(P4803:T4803)</t>
  </si>
  <si>
    <t>=IF($M4803&gt;=$P$18,U4803,0)</t>
  </si>
  <si>
    <t>=IF(AND($M4803&gt;=$Q$16,$M4803&lt;=$Q$18),U4803,0)</t>
  </si>
  <si>
    <t>=IF(AND($M4803&gt;=$R$16,$M4803&lt;=$R$18),U4803,0)</t>
  </si>
  <si>
    <t>=IF(AND($M4803&gt;=$S$16,$M4803&lt;=$S$18),U4803,0)</t>
  </si>
  <si>
    <t>=IF($M4803&lt;=$T$18,U4803,0)</t>
  </si>
  <si>
    <t>="""NAV Direct"",""CRONUS JetCorp USA"",""21"",""1"",""427894"""</t>
  </si>
  <si>
    <t>=E4802</t>
  </si>
  <si>
    <t>=StartDate-$M4804+1</t>
  </si>
  <si>
    <t>=SUM(P4804:T4804)</t>
  </si>
  <si>
    <t>=IF($M4804&gt;=$P$18,U4804,0)</t>
  </si>
  <si>
    <t>=IF(AND($M4804&gt;=$Q$16,$M4804&lt;=$Q$18),U4804,0)</t>
  </si>
  <si>
    <t>=IF(AND($M4804&gt;=$R$16,$M4804&lt;=$R$18),U4804,0)</t>
  </si>
  <si>
    <t>=IF(AND($M4804&gt;=$S$16,$M4804&lt;=$S$18),U4804,0)</t>
  </si>
  <si>
    <t>=IF($M4804&lt;=$T$18,U4804,0)</t>
  </si>
  <si>
    <t>="""NAV Direct"",""CRONUS JetCorp USA"",""21"",""1"",""428265"""</t>
  </si>
  <si>
    <t>=E4803</t>
  </si>
  <si>
    <t>=StartDate-$M4805+1</t>
  </si>
  <si>
    <t>=SUM(P4805:T4805)</t>
  </si>
  <si>
    <t>=IF($M4805&gt;=$P$18,U4805,0)</t>
  </si>
  <si>
    <t>=IF(AND($M4805&gt;=$Q$16,$M4805&lt;=$Q$18),U4805,0)</t>
  </si>
  <si>
    <t>=IF(AND($M4805&gt;=$R$16,$M4805&lt;=$R$18),U4805,0)</t>
  </si>
  <si>
    <t>=IF(AND($M4805&gt;=$S$16,$M4805&lt;=$S$18),U4805,0)</t>
  </si>
  <si>
    <t>=IF($M4805&lt;=$T$18,U4805,0)</t>
  </si>
  <si>
    <t>="""NAV Direct"",""CRONUS JetCorp USA"",""21"",""1"",""428353"""</t>
  </si>
  <si>
    <t>=E4804</t>
  </si>
  <si>
    <t>=StartDate-$M4806+1</t>
  </si>
  <si>
    <t>=SUM(P4806:T4806)</t>
  </si>
  <si>
    <t>=IF($M4806&gt;=$P$18,U4806,0)</t>
  </si>
  <si>
    <t>=IF(AND($M4806&gt;=$Q$16,$M4806&lt;=$Q$18),U4806,0)</t>
  </si>
  <si>
    <t>=IF(AND($M4806&gt;=$R$16,$M4806&lt;=$R$18),U4806,0)</t>
  </si>
  <si>
    <t>=IF(AND($M4806&gt;=$S$16,$M4806&lt;=$S$18),U4806,0)</t>
  </si>
  <si>
    <t>=IF($M4806&lt;=$T$18,U4806,0)</t>
  </si>
  <si>
    <t>="""NAV Direct"",""CRONUS JetCorp USA"",""21"",""1"",""428887"""</t>
  </si>
  <si>
    <t>=E4805</t>
  </si>
  <si>
    <t>=StartDate-$M4807+1</t>
  </si>
  <si>
    <t>=SUM(P4807:T4807)</t>
  </si>
  <si>
    <t>=IF($M4807&gt;=$P$18,U4807,0)</t>
  </si>
  <si>
    <t>=IF(AND($M4807&gt;=$Q$16,$M4807&lt;=$Q$18),U4807,0)</t>
  </si>
  <si>
    <t>=IF(AND($M4807&gt;=$R$16,$M4807&lt;=$R$18),U4807,0)</t>
  </si>
  <si>
    <t>=IF(AND($M4807&gt;=$S$16,$M4807&lt;=$S$18),U4807,0)</t>
  </si>
  <si>
    <t>=IF($M4807&lt;=$T$18,U4807,0)</t>
  </si>
  <si>
    <t>="""NAV Direct"",""CRONUS JetCorp USA"",""18"",""1"",""C100136"""</t>
  </si>
  <si>
    <t>=H4810</t>
  </si>
  <si>
    <t>=NF($C4810,"1 No.")</t>
  </si>
  <si>
    <t>=NF($C4810,"1 No.")&amp;"  -  "&amp;NF($C4810,"2 Name")</t>
  </si>
  <si>
    <t>=IFERROR(O4810/NF(C4810,"Credit Limit (LCY)"),"")</t>
  </si>
  <si>
    <t>=SUBTOTAL(3,L4811:L4887)</t>
  </si>
  <si>
    <t>=SUBTOTAL(9,O4811:O4887)</t>
  </si>
  <si>
    <t>=SUBTOTAL(9,P4811:P4887)</t>
  </si>
  <si>
    <t>=SUBTOTAL(9,Q4811:Q4887)</t>
  </si>
  <si>
    <t>=SUBTOTAL(9,R4811:R4887)</t>
  </si>
  <si>
    <t>=SUBTOTAL(9,S4811:S4887)</t>
  </si>
  <si>
    <t>=SUBTOTAL(9,T4811:T4887)</t>
  </si>
  <si>
    <t>=C4810</t>
  </si>
  <si>
    <t>=E4810</t>
  </si>
  <si>
    <t>="Contact: "&amp;NF($C4811,"8 Contact")</t>
  </si>
  <si>
    <t>=C4811</t>
  </si>
  <si>
    <t>=E4811</t>
  </si>
  <si>
    <t>=NF($C4812,"102 E-Mail")</t>
  </si>
  <si>
    <t>=NL("Rows","21 Cust. Ledger Entry",,"3 Customer No.","@@"&amp;$E4814,"16 Remaining Amt. (LCY)","&lt;&gt;0")</t>
  </si>
  <si>
    <t>=E4812</t>
  </si>
  <si>
    <t>=StartDate-$M4814+1</t>
  </si>
  <si>
    <t>=SUM(P4814:T4814)</t>
  </si>
  <si>
    <t>=IF($M4814&gt;=$P$18,U4814,0)</t>
  </si>
  <si>
    <t>=IF(AND($M4814&gt;=$Q$16,$M4814&lt;=$Q$18),U4814,0)</t>
  </si>
  <si>
    <t>=IF(AND($M4814&gt;=$R$16,$M4814&lt;=$R$18),U4814,0)</t>
  </si>
  <si>
    <t>=IF(AND($M4814&gt;=$S$16,$M4814&lt;=$S$18),U4814,0)</t>
  </si>
  <si>
    <t>=IF($M4814&lt;=$T$18,U4814,0)</t>
  </si>
  <si>
    <t>="""NAV Direct"",""CRONUS JetCorp USA"",""21"",""1"",""178770"""</t>
  </si>
  <si>
    <t>=E4813</t>
  </si>
  <si>
    <t>=StartDate-$M4815+1</t>
  </si>
  <si>
    <t>=SUM(P4815:T4815)</t>
  </si>
  <si>
    <t>=IF($M4815&gt;=$P$18,U4815,0)</t>
  </si>
  <si>
    <t>=IF(AND($M4815&gt;=$Q$16,$M4815&lt;=$Q$18),U4815,0)</t>
  </si>
  <si>
    <t>=IF(AND($M4815&gt;=$R$16,$M4815&lt;=$R$18),U4815,0)</t>
  </si>
  <si>
    <t>=IF(AND($M4815&gt;=$S$16,$M4815&lt;=$S$18),U4815,0)</t>
  </si>
  <si>
    <t>=IF($M4815&lt;=$T$18,U4815,0)</t>
  </si>
  <si>
    <t>="""NAV Direct"",""CRONUS JetCorp USA"",""21"",""1"",""414870"""</t>
  </si>
  <si>
    <t>=E4814</t>
  </si>
  <si>
    <t>=StartDate-$M4816+1</t>
  </si>
  <si>
    <t>=SUM(P4816:T4816)</t>
  </si>
  <si>
    <t>=IF($M4816&gt;=$P$18,U4816,0)</t>
  </si>
  <si>
    <t>=IF(AND($M4816&gt;=$Q$16,$M4816&lt;=$Q$18),U4816,0)</t>
  </si>
  <si>
    <t>=IF(AND($M4816&gt;=$R$16,$M4816&lt;=$R$18),U4816,0)</t>
  </si>
  <si>
    <t>=IF(AND($M4816&gt;=$S$16,$M4816&lt;=$S$18),U4816,0)</t>
  </si>
  <si>
    <t>=IF($M4816&lt;=$T$18,U4816,0)</t>
  </si>
  <si>
    <t>="""NAV Direct"",""CRONUS JetCorp USA"",""21"",""1"",""414983"""</t>
  </si>
  <si>
    <t>=E4815</t>
  </si>
  <si>
    <t>=StartDate-$M4817+1</t>
  </si>
  <si>
    <t>=SUM(P4817:T4817)</t>
  </si>
  <si>
    <t>=IF($M4817&gt;=$P$18,U4817,0)</t>
  </si>
  <si>
    <t>=IF(AND($M4817&gt;=$Q$16,$M4817&lt;=$Q$18),U4817,0)</t>
  </si>
  <si>
    <t>=IF(AND($M4817&gt;=$R$16,$M4817&lt;=$R$18),U4817,0)</t>
  </si>
  <si>
    <t>=IF(AND($M4817&gt;=$S$16,$M4817&lt;=$S$18),U4817,0)</t>
  </si>
  <si>
    <t>=IF($M4817&lt;=$T$18,U4817,0)</t>
  </si>
  <si>
    <t>="""NAV Direct"",""CRONUS JetCorp USA"",""21"",""1"",""415381"""</t>
  </si>
  <si>
    <t>=E4816</t>
  </si>
  <si>
    <t>=StartDate-$M4818+1</t>
  </si>
  <si>
    <t>=SUM(P4818:T4818)</t>
  </si>
  <si>
    <t>=IF($M4818&gt;=$P$18,U4818,0)</t>
  </si>
  <si>
    <t>=IF(AND($M4818&gt;=$Q$16,$M4818&lt;=$Q$18),U4818,0)</t>
  </si>
  <si>
    <t>=IF(AND($M4818&gt;=$R$16,$M4818&lt;=$R$18),U4818,0)</t>
  </si>
  <si>
    <t>=IF(AND($M4818&gt;=$S$16,$M4818&lt;=$S$18),U4818,0)</t>
  </si>
  <si>
    <t>=IF($M4818&lt;=$T$18,U4818,0)</t>
  </si>
  <si>
    <t>="""NAV Direct"",""CRONUS JetCorp USA"",""21"",""1"",""415524"""</t>
  </si>
  <si>
    <t>=E4817</t>
  </si>
  <si>
    <t>=StartDate-$M4819+1</t>
  </si>
  <si>
    <t>=SUM(P4819:T4819)</t>
  </si>
  <si>
    <t>=IF($M4819&gt;=$P$18,U4819,0)</t>
  </si>
  <si>
    <t>=IF(AND($M4819&gt;=$Q$16,$M4819&lt;=$Q$18),U4819,0)</t>
  </si>
  <si>
    <t>=IF(AND($M4819&gt;=$R$16,$M4819&lt;=$R$18),U4819,0)</t>
  </si>
  <si>
    <t>=IF(AND($M4819&gt;=$S$16,$M4819&lt;=$S$18),U4819,0)</t>
  </si>
  <si>
    <t>=IF($M4819&lt;=$T$18,U4819,0)</t>
  </si>
  <si>
    <t>="""NAV Direct"",""CRONUS JetCorp USA"",""21"",""1"",""415855"""</t>
  </si>
  <si>
    <t>=E4818</t>
  </si>
  <si>
    <t>=StartDate-$M4820+1</t>
  </si>
  <si>
    <t>=SUM(P4820:T4820)</t>
  </si>
  <si>
    <t>=IF($M4820&gt;=$P$18,U4820,0)</t>
  </si>
  <si>
    <t>=IF(AND($M4820&gt;=$Q$16,$M4820&lt;=$Q$18),U4820,0)</t>
  </si>
  <si>
    <t>=IF(AND($M4820&gt;=$R$16,$M4820&lt;=$R$18),U4820,0)</t>
  </si>
  <si>
    <t>=IF(AND($M4820&gt;=$S$16,$M4820&lt;=$S$18),U4820,0)</t>
  </si>
  <si>
    <t>=IF($M4820&lt;=$T$18,U4820,0)</t>
  </si>
  <si>
    <t>="""NAV Direct"",""CRONUS JetCorp USA"",""21"",""1"",""416367"""</t>
  </si>
  <si>
    <t>=E4819</t>
  </si>
  <si>
    <t>=StartDate-$M4821+1</t>
  </si>
  <si>
    <t>=SUM(P4821:T4821)</t>
  </si>
  <si>
    <t>=IF($M4821&gt;=$P$18,U4821,0)</t>
  </si>
  <si>
    <t>=IF(AND($M4821&gt;=$Q$16,$M4821&lt;=$Q$18),U4821,0)</t>
  </si>
  <si>
    <t>=IF(AND($M4821&gt;=$R$16,$M4821&lt;=$R$18),U4821,0)</t>
  </si>
  <si>
    <t>=IF(AND($M4821&gt;=$S$16,$M4821&lt;=$S$18),U4821,0)</t>
  </si>
  <si>
    <t>=IF($M4821&lt;=$T$18,U4821,0)</t>
  </si>
  <si>
    <t>="""NAV Direct"",""CRONUS JetCorp USA"",""21"",""1"",""416953"""</t>
  </si>
  <si>
    <t>=E4820</t>
  </si>
  <si>
    <t>=StartDate-$M4822+1</t>
  </si>
  <si>
    <t>=SUM(P4822:T4822)</t>
  </si>
  <si>
    <t>=IF($M4822&gt;=$P$18,U4822,0)</t>
  </si>
  <si>
    <t>=IF(AND($M4822&gt;=$Q$16,$M4822&lt;=$Q$18),U4822,0)</t>
  </si>
  <si>
    <t>=IF(AND($M4822&gt;=$R$16,$M4822&lt;=$R$18),U4822,0)</t>
  </si>
  <si>
    <t>=IF(AND($M4822&gt;=$S$16,$M4822&lt;=$S$18),U4822,0)</t>
  </si>
  <si>
    <t>=IF($M4822&lt;=$T$18,U4822,0)</t>
  </si>
  <si>
    <t>="""NAV Direct"",""CRONUS JetCorp USA"",""21"",""1"",""416992"""</t>
  </si>
  <si>
    <t>=E4821</t>
  </si>
  <si>
    <t>=StartDate-$M4823+1</t>
  </si>
  <si>
    <t>=SUM(P4823:T4823)</t>
  </si>
  <si>
    <t>=IF($M4823&gt;=$P$18,U4823,0)</t>
  </si>
  <si>
    <t>=IF(AND($M4823&gt;=$Q$16,$M4823&lt;=$Q$18),U4823,0)</t>
  </si>
  <si>
    <t>=IF(AND($M4823&gt;=$R$16,$M4823&lt;=$R$18),U4823,0)</t>
  </si>
  <si>
    <t>=IF(AND($M4823&gt;=$S$16,$M4823&lt;=$S$18),U4823,0)</t>
  </si>
  <si>
    <t>=IF($M4823&lt;=$T$18,U4823,0)</t>
  </si>
  <si>
    <t>="""NAV Direct"",""CRONUS JetCorp USA"",""21"",""1"",""418311"""</t>
  </si>
  <si>
    <t>=E4822</t>
  </si>
  <si>
    <t>=StartDate-$M4824+1</t>
  </si>
  <si>
    <t>=SUM(P4824:T4824)</t>
  </si>
  <si>
    <t>=IF($M4824&gt;=$P$18,U4824,0)</t>
  </si>
  <si>
    <t>=IF(AND($M4824&gt;=$Q$16,$M4824&lt;=$Q$18),U4824,0)</t>
  </si>
  <si>
    <t>=IF(AND($M4824&gt;=$R$16,$M4824&lt;=$R$18),U4824,0)</t>
  </si>
  <si>
    <t>=IF(AND($M4824&gt;=$S$16,$M4824&lt;=$S$18),U4824,0)</t>
  </si>
  <si>
    <t>=IF($M4824&lt;=$T$18,U4824,0)</t>
  </si>
  <si>
    <t>="""NAV Direct"",""CRONUS JetCorp USA"",""21"",""1"",""418747"""</t>
  </si>
  <si>
    <t>=E4823</t>
  </si>
  <si>
    <t>=StartDate-$M4825+1</t>
  </si>
  <si>
    <t>=SUM(P4825:T4825)</t>
  </si>
  <si>
    <t>=IF($M4825&gt;=$P$18,U4825,0)</t>
  </si>
  <si>
    <t>=IF(AND($M4825&gt;=$Q$16,$M4825&lt;=$Q$18),U4825,0)</t>
  </si>
  <si>
    <t>=IF(AND($M4825&gt;=$R$16,$M4825&lt;=$R$18),U4825,0)</t>
  </si>
  <si>
    <t>=IF(AND($M4825&gt;=$S$16,$M4825&lt;=$S$18),U4825,0)</t>
  </si>
  <si>
    <t>=IF($M4825&lt;=$T$18,U4825,0)</t>
  </si>
  <si>
    <t>="""NAV Direct"",""CRONUS JetCorp USA"",""21"",""1"",""419094"""</t>
  </si>
  <si>
    <t>=E4824</t>
  </si>
  <si>
    <t>=StartDate-$M4826+1</t>
  </si>
  <si>
    <t>=SUM(P4826:T4826)</t>
  </si>
  <si>
    <t>=IF($M4826&gt;=$P$18,U4826,0)</t>
  </si>
  <si>
    <t>=IF(AND($M4826&gt;=$Q$16,$M4826&lt;=$Q$18),U4826,0)</t>
  </si>
  <si>
    <t>=IF(AND($M4826&gt;=$R$16,$M4826&lt;=$R$18),U4826,0)</t>
  </si>
  <si>
    <t>=IF(AND($M4826&gt;=$S$16,$M4826&lt;=$S$18),U4826,0)</t>
  </si>
  <si>
    <t>=IF($M4826&lt;=$T$18,U4826,0)</t>
  </si>
  <si>
    <t>="""NAV Direct"",""CRONUS JetCorp USA"",""21"",""1"",""419139"""</t>
  </si>
  <si>
    <t>=E4825</t>
  </si>
  <si>
    <t>=StartDate-$M4827+1</t>
  </si>
  <si>
    <t>=SUM(P4827:T4827)</t>
  </si>
  <si>
    <t>=IF($M4827&gt;=$P$18,U4827,0)</t>
  </si>
  <si>
    <t>=IF(AND($M4827&gt;=$Q$16,$M4827&lt;=$Q$18),U4827,0)</t>
  </si>
  <si>
    <t>=IF(AND($M4827&gt;=$R$16,$M4827&lt;=$R$18),U4827,0)</t>
  </si>
  <si>
    <t>=IF(AND($M4827&gt;=$S$16,$M4827&lt;=$S$18),U4827,0)</t>
  </si>
  <si>
    <t>=IF($M4827&lt;=$T$18,U4827,0)</t>
  </si>
  <si>
    <t>="""NAV Direct"",""CRONUS JetCorp USA"",""21"",""1"",""419235"""</t>
  </si>
  <si>
    <t>=E4826</t>
  </si>
  <si>
    <t>=StartDate-$M4828+1</t>
  </si>
  <si>
    <t>=SUM(P4828:T4828)</t>
  </si>
  <si>
    <t>=IF($M4828&gt;=$P$18,U4828,0)</t>
  </si>
  <si>
    <t>=IF(AND($M4828&gt;=$Q$16,$M4828&lt;=$Q$18),U4828,0)</t>
  </si>
  <si>
    <t>=IF(AND($M4828&gt;=$R$16,$M4828&lt;=$R$18),U4828,0)</t>
  </si>
  <si>
    <t>=IF(AND($M4828&gt;=$S$16,$M4828&lt;=$S$18),U4828,0)</t>
  </si>
  <si>
    <t>=IF($M4828&lt;=$T$18,U4828,0)</t>
  </si>
  <si>
    <t>="""NAV Direct"",""CRONUS JetCorp USA"",""21"",""1"",""419369"""</t>
  </si>
  <si>
    <t>=E4827</t>
  </si>
  <si>
    <t>=StartDate-$M4829+1</t>
  </si>
  <si>
    <t>=SUM(P4829:T4829)</t>
  </si>
  <si>
    <t>=IF($M4829&gt;=$P$18,U4829,0)</t>
  </si>
  <si>
    <t>=IF(AND($M4829&gt;=$Q$16,$M4829&lt;=$Q$18),U4829,0)</t>
  </si>
  <si>
    <t>=IF(AND($M4829&gt;=$R$16,$M4829&lt;=$R$18),U4829,0)</t>
  </si>
  <si>
    <t>=IF(AND($M4829&gt;=$S$16,$M4829&lt;=$S$18),U4829,0)</t>
  </si>
  <si>
    <t>=IF($M4829&lt;=$T$18,U4829,0)</t>
  </si>
  <si>
    <t>="""NAV Direct"",""CRONUS JetCorp USA"",""21"",""1"",""419482"""</t>
  </si>
  <si>
    <t>=E4828</t>
  </si>
  <si>
    <t>=StartDate-$M4830+1</t>
  </si>
  <si>
    <t>=SUM(P4830:T4830)</t>
  </si>
  <si>
    <t>=IF($M4830&gt;=$P$18,U4830,0)</t>
  </si>
  <si>
    <t>=IF(AND($M4830&gt;=$Q$16,$M4830&lt;=$Q$18),U4830,0)</t>
  </si>
  <si>
    <t>=IF(AND($M4830&gt;=$R$16,$M4830&lt;=$R$18),U4830,0)</t>
  </si>
  <si>
    <t>=IF(AND($M4830&gt;=$S$16,$M4830&lt;=$S$18),U4830,0)</t>
  </si>
  <si>
    <t>=IF($M4830&lt;=$T$18,U4830,0)</t>
  </si>
  <si>
    <t>="""NAV Direct"",""CRONUS JetCorp USA"",""21"",""1"",""419862"""</t>
  </si>
  <si>
    <t>=E4829</t>
  </si>
  <si>
    <t>=StartDate-$M4831+1</t>
  </si>
  <si>
    <t>=SUM(P4831:T4831)</t>
  </si>
  <si>
    <t>=IF($M4831&gt;=$P$18,U4831,0)</t>
  </si>
  <si>
    <t>=IF(AND($M4831&gt;=$Q$16,$M4831&lt;=$Q$18),U4831,0)</t>
  </si>
  <si>
    <t>=IF(AND($M4831&gt;=$R$16,$M4831&lt;=$R$18),U4831,0)</t>
  </si>
  <si>
    <t>=IF(AND($M4831&gt;=$S$16,$M4831&lt;=$S$18),U4831,0)</t>
  </si>
  <si>
    <t>=IF($M4831&lt;=$T$18,U4831,0)</t>
  </si>
  <si>
    <t>="""NAV Direct"",""CRONUS JetCorp USA"",""21"",""1"",""419972"""</t>
  </si>
  <si>
    <t>=E4830</t>
  </si>
  <si>
    <t>=StartDate-$M4832+1</t>
  </si>
  <si>
    <t>=SUM(P4832:T4832)</t>
  </si>
  <si>
    <t>=IF($M4832&gt;=$P$18,U4832,0)</t>
  </si>
  <si>
    <t>=IF(AND($M4832&gt;=$Q$16,$M4832&lt;=$Q$18),U4832,0)</t>
  </si>
  <si>
    <t>=IF(AND($M4832&gt;=$R$16,$M4832&lt;=$R$18),U4832,0)</t>
  </si>
  <si>
    <t>=IF(AND($M4832&gt;=$S$16,$M4832&lt;=$S$18),U4832,0)</t>
  </si>
  <si>
    <t>=IF($M4832&lt;=$T$18,U4832,0)</t>
  </si>
  <si>
    <t>="""NAV Direct"",""CRONUS JetCorp USA"",""21"",""1"",""420007"""</t>
  </si>
  <si>
    <t>=E4831</t>
  </si>
  <si>
    <t>=StartDate-$M4833+1</t>
  </si>
  <si>
    <t>=SUM(P4833:T4833)</t>
  </si>
  <si>
    <t>=IF($M4833&gt;=$P$18,U4833,0)</t>
  </si>
  <si>
    <t>=IF(AND($M4833&gt;=$Q$16,$M4833&lt;=$Q$18),U4833,0)</t>
  </si>
  <si>
    <t>=IF(AND($M4833&gt;=$R$16,$M4833&lt;=$R$18),U4833,0)</t>
  </si>
  <si>
    <t>=IF(AND($M4833&gt;=$S$16,$M4833&lt;=$S$18),U4833,0)</t>
  </si>
  <si>
    <t>=IF($M4833&lt;=$T$18,U4833,0)</t>
  </si>
  <si>
    <t>="""NAV Direct"",""CRONUS JetCorp USA"",""21"",""1"",""420039"""</t>
  </si>
  <si>
    <t>=E4832</t>
  </si>
  <si>
    <t>=StartDate-$M4834+1</t>
  </si>
  <si>
    <t>=SUM(P4834:T4834)</t>
  </si>
  <si>
    <t>=IF($M4834&gt;=$P$18,U4834,0)</t>
  </si>
  <si>
    <t>=IF(AND($M4834&gt;=$Q$16,$M4834&lt;=$Q$18),U4834,0)</t>
  </si>
  <si>
    <t>=IF(AND($M4834&gt;=$R$16,$M4834&lt;=$R$18),U4834,0)</t>
  </si>
  <si>
    <t>=IF(AND($M4834&gt;=$S$16,$M4834&lt;=$S$18),U4834,0)</t>
  </si>
  <si>
    <t>=IF($M4834&lt;=$T$18,U4834,0)</t>
  </si>
  <si>
    <t>="""NAV Direct"",""CRONUS JetCorp USA"",""21"",""1"",""420244"""</t>
  </si>
  <si>
    <t>=E4833</t>
  </si>
  <si>
    <t>=StartDate-$M4835+1</t>
  </si>
  <si>
    <t>=SUM(P4835:T4835)</t>
  </si>
  <si>
    <t>=IF($M4835&gt;=$P$18,U4835,0)</t>
  </si>
  <si>
    <t>=IF(AND($M4835&gt;=$Q$16,$M4835&lt;=$Q$18),U4835,0)</t>
  </si>
  <si>
    <t>=IF(AND($M4835&gt;=$R$16,$M4835&lt;=$R$18),U4835,0)</t>
  </si>
  <si>
    <t>=IF(AND($M4835&gt;=$S$16,$M4835&lt;=$S$18),U4835,0)</t>
  </si>
  <si>
    <t>=IF($M4835&lt;=$T$18,U4835,0)</t>
  </si>
  <si>
    <t>="""NAV Direct"",""CRONUS JetCorp USA"",""21"",""1"",""420289"""</t>
  </si>
  <si>
    <t>=E4834</t>
  </si>
  <si>
    <t>=StartDate-$M4836+1</t>
  </si>
  <si>
    <t>=SUM(P4836:T4836)</t>
  </si>
  <si>
    <t>=IF($M4836&gt;=$P$18,U4836,0)</t>
  </si>
  <si>
    <t>=IF(AND($M4836&gt;=$Q$16,$M4836&lt;=$Q$18),U4836,0)</t>
  </si>
  <si>
    <t>=IF(AND($M4836&gt;=$R$16,$M4836&lt;=$R$18),U4836,0)</t>
  </si>
  <si>
    <t>=IF(AND($M4836&gt;=$S$16,$M4836&lt;=$S$18),U4836,0)</t>
  </si>
  <si>
    <t>=IF($M4836&lt;=$T$18,U4836,0)</t>
  </si>
  <si>
    <t>="""NAV Direct"",""CRONUS JetCorp USA"",""21"",""1"",""420338"""</t>
  </si>
  <si>
    <t>=E4835</t>
  </si>
  <si>
    <t>=StartDate-$M4837+1</t>
  </si>
  <si>
    <t>=SUM(P4837:T4837)</t>
  </si>
  <si>
    <t>=IF($M4837&gt;=$P$18,U4837,0)</t>
  </si>
  <si>
    <t>=IF(AND($M4837&gt;=$Q$16,$M4837&lt;=$Q$18),U4837,0)</t>
  </si>
  <si>
    <t>=IF(AND($M4837&gt;=$R$16,$M4837&lt;=$R$18),U4837,0)</t>
  </si>
  <si>
    <t>=IF(AND($M4837&gt;=$S$16,$M4837&lt;=$S$18),U4837,0)</t>
  </si>
  <si>
    <t>=IF($M4837&lt;=$T$18,U4837,0)</t>
  </si>
  <si>
    <t>="""NAV Direct"",""CRONUS JetCorp USA"",""21"",""1"",""420708"""</t>
  </si>
  <si>
    <t>=E4836</t>
  </si>
  <si>
    <t>=StartDate-$M4838+1</t>
  </si>
  <si>
    <t>=SUM(P4838:T4838)</t>
  </si>
  <si>
    <t>=IF($M4838&gt;=$P$18,U4838,0)</t>
  </si>
  <si>
    <t>=IF(AND($M4838&gt;=$Q$16,$M4838&lt;=$Q$18),U4838,0)</t>
  </si>
  <si>
    <t>=IF(AND($M4838&gt;=$R$16,$M4838&lt;=$R$18),U4838,0)</t>
  </si>
  <si>
    <t>=IF(AND($M4838&gt;=$S$16,$M4838&lt;=$S$18),U4838,0)</t>
  </si>
  <si>
    <t>=IF($M4838&lt;=$T$18,U4838,0)</t>
  </si>
  <si>
    <t>="""NAV Direct"",""CRONUS JetCorp USA"",""21"",""1"",""420862"""</t>
  </si>
  <si>
    <t>=E4837</t>
  </si>
  <si>
    <t>=StartDate-$M4839+1</t>
  </si>
  <si>
    <t>=SUM(P4839:T4839)</t>
  </si>
  <si>
    <t>=IF($M4839&gt;=$P$18,U4839,0)</t>
  </si>
  <si>
    <t>=IF(AND($M4839&gt;=$Q$16,$M4839&lt;=$Q$18),U4839,0)</t>
  </si>
  <si>
    <t>=IF(AND($M4839&gt;=$R$16,$M4839&lt;=$R$18),U4839,0)</t>
  </si>
  <si>
    <t>=IF(AND($M4839&gt;=$S$16,$M4839&lt;=$S$18),U4839,0)</t>
  </si>
  <si>
    <t>=IF($M4839&lt;=$T$18,U4839,0)</t>
  </si>
  <si>
    <t>="""NAV Direct"",""CRONUS JetCorp USA"",""21"",""1"",""421594"""</t>
  </si>
  <si>
    <t>=E4838</t>
  </si>
  <si>
    <t>=StartDate-$M4840+1</t>
  </si>
  <si>
    <t>=SUM(P4840:T4840)</t>
  </si>
  <si>
    <t>=IF($M4840&gt;=$P$18,U4840,0)</t>
  </si>
  <si>
    <t>=IF(AND($M4840&gt;=$Q$16,$M4840&lt;=$Q$18),U4840,0)</t>
  </si>
  <si>
    <t>=IF(AND($M4840&gt;=$R$16,$M4840&lt;=$R$18),U4840,0)</t>
  </si>
  <si>
    <t>=IF(AND($M4840&gt;=$S$16,$M4840&lt;=$S$18),U4840,0)</t>
  </si>
  <si>
    <t>=IF($M4840&lt;=$T$18,U4840,0)</t>
  </si>
  <si>
    <t>="""NAV Direct"",""CRONUS JetCorp USA"",""21"",""1"",""421643"""</t>
  </si>
  <si>
    <t>=E4839</t>
  </si>
  <si>
    <t>=StartDate-$M4841+1</t>
  </si>
  <si>
    <t>=SUM(P4841:T4841)</t>
  </si>
  <si>
    <t>=IF($M4841&gt;=$P$18,U4841,0)</t>
  </si>
  <si>
    <t>=IF(AND($M4841&gt;=$Q$16,$M4841&lt;=$Q$18),U4841,0)</t>
  </si>
  <si>
    <t>=IF(AND($M4841&gt;=$R$16,$M4841&lt;=$R$18),U4841,0)</t>
  </si>
  <si>
    <t>=IF(AND($M4841&gt;=$S$16,$M4841&lt;=$S$18),U4841,0)</t>
  </si>
  <si>
    <t>=IF($M4841&lt;=$T$18,U4841,0)</t>
  </si>
  <si>
    <t>="""NAV Direct"",""CRONUS JetCorp USA"",""21"",""1"",""421719"""</t>
  </si>
  <si>
    <t>=E4840</t>
  </si>
  <si>
    <t>=StartDate-$M4842+1</t>
  </si>
  <si>
    <t>=SUM(P4842:T4842)</t>
  </si>
  <si>
    <t>=IF($M4842&gt;=$P$18,U4842,0)</t>
  </si>
  <si>
    <t>=IF(AND($M4842&gt;=$Q$16,$M4842&lt;=$Q$18),U4842,0)</t>
  </si>
  <si>
    <t>=IF(AND($M4842&gt;=$R$16,$M4842&lt;=$R$18),U4842,0)</t>
  </si>
  <si>
    <t>=IF(AND($M4842&gt;=$S$16,$M4842&lt;=$S$18),U4842,0)</t>
  </si>
  <si>
    <t>=IF($M4842&lt;=$T$18,U4842,0)</t>
  </si>
  <si>
    <t>="""NAV Direct"",""CRONUS JetCorp USA"",""21"",""1"",""421789"""</t>
  </si>
  <si>
    <t>=E4841</t>
  </si>
  <si>
    <t>=StartDate-$M4843+1</t>
  </si>
  <si>
    <t>=SUM(P4843:T4843)</t>
  </si>
  <si>
    <t>=IF($M4843&gt;=$P$18,U4843,0)</t>
  </si>
  <si>
    <t>=IF(AND($M4843&gt;=$Q$16,$M4843&lt;=$Q$18),U4843,0)</t>
  </si>
  <si>
    <t>=IF(AND($M4843&gt;=$R$16,$M4843&lt;=$R$18),U4843,0)</t>
  </si>
  <si>
    <t>=IF(AND($M4843&gt;=$S$16,$M4843&lt;=$S$18),U4843,0)</t>
  </si>
  <si>
    <t>=IF($M4843&lt;=$T$18,U4843,0)</t>
  </si>
  <si>
    <t>="""NAV Direct"",""CRONUS JetCorp USA"",""21"",""1"",""421903"""</t>
  </si>
  <si>
    <t>=E4842</t>
  </si>
  <si>
    <t>=StartDate-$M4844+1</t>
  </si>
  <si>
    <t>=SUM(P4844:T4844)</t>
  </si>
  <si>
    <t>=IF($M4844&gt;=$P$18,U4844,0)</t>
  </si>
  <si>
    <t>=IF(AND($M4844&gt;=$Q$16,$M4844&lt;=$Q$18),U4844,0)</t>
  </si>
  <si>
    <t>=IF(AND($M4844&gt;=$R$16,$M4844&lt;=$R$18),U4844,0)</t>
  </si>
  <si>
    <t>=IF(AND($M4844&gt;=$S$16,$M4844&lt;=$S$18),U4844,0)</t>
  </si>
  <si>
    <t>=IF($M4844&lt;=$T$18,U4844,0)</t>
  </si>
  <si>
    <t>="""NAV Direct"",""CRONUS JetCorp USA"",""21"",""1"",""421946"""</t>
  </si>
  <si>
    <t>=E4843</t>
  </si>
  <si>
    <t>=StartDate-$M4845+1</t>
  </si>
  <si>
    <t>=SUM(P4845:T4845)</t>
  </si>
  <si>
    <t>=IF($M4845&gt;=$P$18,U4845,0)</t>
  </si>
  <si>
    <t>=IF(AND($M4845&gt;=$Q$16,$M4845&lt;=$Q$18),U4845,0)</t>
  </si>
  <si>
    <t>=IF(AND($M4845&gt;=$R$16,$M4845&lt;=$R$18),U4845,0)</t>
  </si>
  <si>
    <t>=IF(AND($M4845&gt;=$S$16,$M4845&lt;=$S$18),U4845,0)</t>
  </si>
  <si>
    <t>=IF($M4845&lt;=$T$18,U4845,0)</t>
  </si>
  <si>
    <t>="""NAV Direct"",""CRONUS JetCorp USA"",""21"",""1"",""422128"""</t>
  </si>
  <si>
    <t>=E4844</t>
  </si>
  <si>
    <t>=StartDate-$M4846+1</t>
  </si>
  <si>
    <t>=SUM(P4846:T4846)</t>
  </si>
  <si>
    <t>=IF($M4846&gt;=$P$18,U4846,0)</t>
  </si>
  <si>
    <t>=IF(AND($M4846&gt;=$Q$16,$M4846&lt;=$Q$18),U4846,0)</t>
  </si>
  <si>
    <t>=IF(AND($M4846&gt;=$R$16,$M4846&lt;=$R$18),U4846,0)</t>
  </si>
  <si>
    <t>=IF(AND($M4846&gt;=$S$16,$M4846&lt;=$S$18),U4846,0)</t>
  </si>
  <si>
    <t>=IF($M4846&lt;=$T$18,U4846,0)</t>
  </si>
  <si>
    <t>="""NAV Direct"",""CRONUS JetCorp USA"",""21"",""1"",""422202"""</t>
  </si>
  <si>
    <t>=E4845</t>
  </si>
  <si>
    <t>=StartDate-$M4847+1</t>
  </si>
  <si>
    <t>=SUM(P4847:T4847)</t>
  </si>
  <si>
    <t>=IF($M4847&gt;=$P$18,U4847,0)</t>
  </si>
  <si>
    <t>=IF(AND($M4847&gt;=$Q$16,$M4847&lt;=$Q$18),U4847,0)</t>
  </si>
  <si>
    <t>=IF(AND($M4847&gt;=$R$16,$M4847&lt;=$R$18),U4847,0)</t>
  </si>
  <si>
    <t>=IF(AND($M4847&gt;=$S$16,$M4847&lt;=$S$18),U4847,0)</t>
  </si>
  <si>
    <t>=IF($M4847&lt;=$T$18,U4847,0)</t>
  </si>
  <si>
    <t>="""NAV Direct"",""CRONUS JetCorp USA"",""21"",""1"",""422994"""</t>
  </si>
  <si>
    <t>=E4846</t>
  </si>
  <si>
    <t>=StartDate-$M4848+1</t>
  </si>
  <si>
    <t>=SUM(P4848:T4848)</t>
  </si>
  <si>
    <t>=IF($M4848&gt;=$P$18,U4848,0)</t>
  </si>
  <si>
    <t>=IF(AND($M4848&gt;=$Q$16,$M4848&lt;=$Q$18),U4848,0)</t>
  </si>
  <si>
    <t>=IF(AND($M4848&gt;=$R$16,$M4848&lt;=$R$18),U4848,0)</t>
  </si>
  <si>
    <t>=IF(AND($M4848&gt;=$S$16,$M4848&lt;=$S$18),U4848,0)</t>
  </si>
  <si>
    <t>=IF($M4848&lt;=$T$18,U4848,0)</t>
  </si>
  <si>
    <t>="""NAV Direct"",""CRONUS JetCorp USA"",""21"",""1"",""423392"""</t>
  </si>
  <si>
    <t>=E4847</t>
  </si>
  <si>
    <t>=StartDate-$M4849+1</t>
  </si>
  <si>
    <t>=SUM(P4849:T4849)</t>
  </si>
  <si>
    <t>=IF($M4849&gt;=$P$18,U4849,0)</t>
  </si>
  <si>
    <t>=IF(AND($M4849&gt;=$Q$16,$M4849&lt;=$Q$18),U4849,0)</t>
  </si>
  <si>
    <t>=IF(AND($M4849&gt;=$R$16,$M4849&lt;=$R$18),U4849,0)</t>
  </si>
  <si>
    <t>=IF(AND($M4849&gt;=$S$16,$M4849&lt;=$S$18),U4849,0)</t>
  </si>
  <si>
    <t>=IF($M4849&lt;=$T$18,U4849,0)</t>
  </si>
  <si>
    <t>="""NAV Direct"",""CRONUS JetCorp USA"",""21"",""1"",""423802"""</t>
  </si>
  <si>
    <t>=E4848</t>
  </si>
  <si>
    <t>=StartDate-$M4850+1</t>
  </si>
  <si>
    <t>=SUM(P4850:T4850)</t>
  </si>
  <si>
    <t>=IF($M4850&gt;=$P$18,U4850,0)</t>
  </si>
  <si>
    <t>=IF(AND($M4850&gt;=$Q$16,$M4850&lt;=$Q$18),U4850,0)</t>
  </si>
  <si>
    <t>=IF(AND($M4850&gt;=$R$16,$M4850&lt;=$R$18),U4850,0)</t>
  </si>
  <si>
    <t>=IF(AND($M4850&gt;=$S$16,$M4850&lt;=$S$18),U4850,0)</t>
  </si>
  <si>
    <t>=IF($M4850&lt;=$T$18,U4850,0)</t>
  </si>
  <si>
    <t>="""NAV Direct"",""CRONUS JetCorp USA"",""21"",""1"",""424522"""</t>
  </si>
  <si>
    <t>=E4849</t>
  </si>
  <si>
    <t>=StartDate-$M4851+1</t>
  </si>
  <si>
    <t>=SUM(P4851:T4851)</t>
  </si>
  <si>
    <t>=IF($M4851&gt;=$P$18,U4851,0)</t>
  </si>
  <si>
    <t>=IF(AND($M4851&gt;=$Q$16,$M4851&lt;=$Q$18),U4851,0)</t>
  </si>
  <si>
    <t>=IF(AND($M4851&gt;=$R$16,$M4851&lt;=$R$18),U4851,0)</t>
  </si>
  <si>
    <t>=IF(AND($M4851&gt;=$S$16,$M4851&lt;=$S$18),U4851,0)</t>
  </si>
  <si>
    <t>=IF($M4851&lt;=$T$18,U4851,0)</t>
  </si>
  <si>
    <t>="""NAV Direct"",""CRONUS JetCorp USA"",""21"",""1"",""424914"""</t>
  </si>
  <si>
    <t>=E4850</t>
  </si>
  <si>
    <t>=StartDate-$M4852+1</t>
  </si>
  <si>
    <t>=SUM(P4852:T4852)</t>
  </si>
  <si>
    <t>=IF($M4852&gt;=$P$18,U4852,0)</t>
  </si>
  <si>
    <t>=IF(AND($M4852&gt;=$Q$16,$M4852&lt;=$Q$18),U4852,0)</t>
  </si>
  <si>
    <t>=IF(AND($M4852&gt;=$R$16,$M4852&lt;=$R$18),U4852,0)</t>
  </si>
  <si>
    <t>=IF(AND($M4852&gt;=$S$16,$M4852&lt;=$S$18),U4852,0)</t>
  </si>
  <si>
    <t>=IF($M4852&lt;=$T$18,U4852,0)</t>
  </si>
  <si>
    <t>="""NAV Direct"",""CRONUS JetCorp USA"",""21"",""1"",""425544"""</t>
  </si>
  <si>
    <t>=E4851</t>
  </si>
  <si>
    <t>=StartDate-$M4853+1</t>
  </si>
  <si>
    <t>=SUM(P4853:T4853)</t>
  </si>
  <si>
    <t>=IF($M4853&gt;=$P$18,U4853,0)</t>
  </si>
  <si>
    <t>=IF(AND($M4853&gt;=$Q$16,$M4853&lt;=$Q$18),U4853,0)</t>
  </si>
  <si>
    <t>=IF(AND($M4853&gt;=$R$16,$M4853&lt;=$R$18),U4853,0)</t>
  </si>
  <si>
    <t>=IF(AND($M4853&gt;=$S$16,$M4853&lt;=$S$18),U4853,0)</t>
  </si>
  <si>
    <t>=IF($M4853&lt;=$T$18,U4853,0)</t>
  </si>
  <si>
    <t>="""NAV Direct"",""CRONUS JetCorp USA"",""21"",""1"",""425683"""</t>
  </si>
  <si>
    <t>=E4852</t>
  </si>
  <si>
    <t>=StartDate-$M4854+1</t>
  </si>
  <si>
    <t>=SUM(P4854:T4854)</t>
  </si>
  <si>
    <t>=IF($M4854&gt;=$P$18,U4854,0)</t>
  </si>
  <si>
    <t>=IF(AND($M4854&gt;=$Q$16,$M4854&lt;=$Q$18),U4854,0)</t>
  </si>
  <si>
    <t>=IF(AND($M4854&gt;=$R$16,$M4854&lt;=$R$18),U4854,0)</t>
  </si>
  <si>
    <t>=IF(AND($M4854&gt;=$S$16,$M4854&lt;=$S$18),U4854,0)</t>
  </si>
  <si>
    <t>=IF($M4854&lt;=$T$18,U4854,0)</t>
  </si>
  <si>
    <t>="""NAV Direct"",""CRONUS JetCorp USA"",""21"",""1"",""426025"""</t>
  </si>
  <si>
    <t>=E4853</t>
  </si>
  <si>
    <t>=StartDate-$M4855+1</t>
  </si>
  <si>
    <t>=SUM(P4855:T4855)</t>
  </si>
  <si>
    <t>=IF($M4855&gt;=$P$18,U4855,0)</t>
  </si>
  <si>
    <t>=IF(AND($M4855&gt;=$Q$16,$M4855&lt;=$Q$18),U4855,0)</t>
  </si>
  <si>
    <t>=IF(AND($M4855&gt;=$R$16,$M4855&lt;=$R$18),U4855,0)</t>
  </si>
  <si>
    <t>=IF(AND($M4855&gt;=$S$16,$M4855&lt;=$S$18),U4855,0)</t>
  </si>
  <si>
    <t>=IF($M4855&lt;=$T$18,U4855,0)</t>
  </si>
  <si>
    <t>="""NAV Direct"",""CRONUS JetCorp USA"",""21"",""1"",""426502"""</t>
  </si>
  <si>
    <t>=E4854</t>
  </si>
  <si>
    <t>=StartDate-$M4856+1</t>
  </si>
  <si>
    <t>=SUM(P4856:T4856)</t>
  </si>
  <si>
    <t>=IF($M4856&gt;=$P$18,U4856,0)</t>
  </si>
  <si>
    <t>=IF(AND($M4856&gt;=$Q$16,$M4856&lt;=$Q$18),U4856,0)</t>
  </si>
  <si>
    <t>=IF(AND($M4856&gt;=$R$16,$M4856&lt;=$R$18),U4856,0)</t>
  </si>
  <si>
    <t>=IF(AND($M4856&gt;=$S$16,$M4856&lt;=$S$18),U4856,0)</t>
  </si>
  <si>
    <t>=IF($M4856&lt;=$T$18,U4856,0)</t>
  </si>
  <si>
    <t>="""NAV Direct"",""CRONUS JetCorp USA"",""21"",""1"",""426680"""</t>
  </si>
  <si>
    <t>=E4855</t>
  </si>
  <si>
    <t>=StartDate-$M4857+1</t>
  </si>
  <si>
    <t>=SUM(P4857:T4857)</t>
  </si>
  <si>
    <t>=IF($M4857&gt;=$P$18,U4857,0)</t>
  </si>
  <si>
    <t>=IF(AND($M4857&gt;=$Q$16,$M4857&lt;=$Q$18),U4857,0)</t>
  </si>
  <si>
    <t>=IF(AND($M4857&gt;=$R$16,$M4857&lt;=$R$18),U4857,0)</t>
  </si>
  <si>
    <t>=IF(AND($M4857&gt;=$S$16,$M4857&lt;=$S$18),U4857,0)</t>
  </si>
  <si>
    <t>=IF($M4857&lt;=$T$18,U4857,0)</t>
  </si>
  <si>
    <t>="""NAV Direct"",""CRONUS JetCorp USA"",""21"",""1"",""427072"""</t>
  </si>
  <si>
    <t>=E4856</t>
  </si>
  <si>
    <t>=StartDate-$M4858+1</t>
  </si>
  <si>
    <t>=SUM(P4858:T4858)</t>
  </si>
  <si>
    <t>=IF($M4858&gt;=$P$18,U4858,0)</t>
  </si>
  <si>
    <t>=IF(AND($M4858&gt;=$Q$16,$M4858&lt;=$Q$18),U4858,0)</t>
  </si>
  <si>
    <t>=IF(AND($M4858&gt;=$R$16,$M4858&lt;=$R$18),U4858,0)</t>
  </si>
  <si>
    <t>=IF(AND($M4858&gt;=$S$16,$M4858&lt;=$S$18),U4858,0)</t>
  </si>
  <si>
    <t>=IF($M4858&lt;=$T$18,U4858,0)</t>
  </si>
  <si>
    <t>="""NAV Direct"",""CRONUS JetCorp USA"",""21"",""1"",""427460"""</t>
  </si>
  <si>
    <t>=E4857</t>
  </si>
  <si>
    <t>=StartDate-$M4859+1</t>
  </si>
  <si>
    <t>=SUM(P4859:T4859)</t>
  </si>
  <si>
    <t>=IF($M4859&gt;=$P$18,U4859,0)</t>
  </si>
  <si>
    <t>=IF(AND($M4859&gt;=$Q$16,$M4859&lt;=$Q$18),U4859,0)</t>
  </si>
  <si>
    <t>=IF(AND($M4859&gt;=$R$16,$M4859&lt;=$R$18),U4859,0)</t>
  </si>
  <si>
    <t>=IF(AND($M4859&gt;=$S$16,$M4859&lt;=$S$18),U4859,0)</t>
  </si>
  <si>
    <t>=IF($M4859&lt;=$T$18,U4859,0)</t>
  </si>
  <si>
    <t>="""NAV Direct"",""CRONUS JetCorp USA"",""21"",""1"",""427563"""</t>
  </si>
  <si>
    <t>=E4858</t>
  </si>
  <si>
    <t>=StartDate-$M4860+1</t>
  </si>
  <si>
    <t>=SUM(P4860:T4860)</t>
  </si>
  <si>
    <t>=IF($M4860&gt;=$P$18,U4860,0)</t>
  </si>
  <si>
    <t>=IF(AND($M4860&gt;=$Q$16,$M4860&lt;=$Q$18),U4860,0)</t>
  </si>
  <si>
    <t>=IF(AND($M4860&gt;=$R$16,$M4860&lt;=$R$18),U4860,0)</t>
  </si>
  <si>
    <t>=IF(AND($M4860&gt;=$S$16,$M4860&lt;=$S$18),U4860,0)</t>
  </si>
  <si>
    <t>=IF($M4860&lt;=$T$18,U4860,0)</t>
  </si>
  <si>
    <t>="""NAV Direct"",""CRONUS JetCorp USA"",""21"",""1"",""427627"""</t>
  </si>
  <si>
    <t>=E4859</t>
  </si>
  <si>
    <t>=StartDate-$M4861+1</t>
  </si>
  <si>
    <t>=SUM(P4861:T4861)</t>
  </si>
  <si>
    <t>=IF($M4861&gt;=$P$18,U4861,0)</t>
  </si>
  <si>
    <t>=IF(AND($M4861&gt;=$Q$16,$M4861&lt;=$Q$18),U4861,0)</t>
  </si>
  <si>
    <t>=IF(AND($M4861&gt;=$R$16,$M4861&lt;=$R$18),U4861,0)</t>
  </si>
  <si>
    <t>=IF(AND($M4861&gt;=$S$16,$M4861&lt;=$S$18),U4861,0)</t>
  </si>
  <si>
    <t>=IF($M4861&lt;=$T$18,U4861,0)</t>
  </si>
  <si>
    <t>="""NAV Direct"",""CRONUS JetCorp USA"",""21"",""1"",""427705"""</t>
  </si>
  <si>
    <t>=E4860</t>
  </si>
  <si>
    <t>=StartDate-$M4862+1</t>
  </si>
  <si>
    <t>=SUM(P4862:T4862)</t>
  </si>
  <si>
    <t>=IF($M4862&gt;=$P$18,U4862,0)</t>
  </si>
  <si>
    <t>=IF(AND($M4862&gt;=$Q$16,$M4862&lt;=$Q$18),U4862,0)</t>
  </si>
  <si>
    <t>=IF(AND($M4862&gt;=$R$16,$M4862&lt;=$R$18),U4862,0)</t>
  </si>
  <si>
    <t>=IF(AND($M4862&gt;=$S$16,$M4862&lt;=$S$18),U4862,0)</t>
  </si>
  <si>
    <t>=IF($M4862&lt;=$T$18,U4862,0)</t>
  </si>
  <si>
    <t>="""NAV Direct"",""CRONUS JetCorp USA"",""21"",""1"",""427935"""</t>
  </si>
  <si>
    <t>=E4861</t>
  </si>
  <si>
    <t>=StartDate-$M4863+1</t>
  </si>
  <si>
    <t>=SUM(P4863:T4863)</t>
  </si>
  <si>
    <t>=IF($M4863&gt;=$P$18,U4863,0)</t>
  </si>
  <si>
    <t>=IF(AND($M4863&gt;=$Q$16,$M4863&lt;=$Q$18),U4863,0)</t>
  </si>
  <si>
    <t>=IF(AND($M4863&gt;=$R$16,$M4863&lt;=$R$18),U4863,0)</t>
  </si>
  <si>
    <t>=IF(AND($M4863&gt;=$S$16,$M4863&lt;=$S$18),U4863,0)</t>
  </si>
  <si>
    <t>=IF($M4863&lt;=$T$18,U4863,0)</t>
  </si>
  <si>
    <t>="""NAV Direct"",""CRONUS JetCorp USA"",""21"",""1"",""428060"""</t>
  </si>
  <si>
    <t>=E4862</t>
  </si>
  <si>
    <t>=StartDate-$M4864+1</t>
  </si>
  <si>
    <t>=SUM(P4864:T4864)</t>
  </si>
  <si>
    <t>=IF($M4864&gt;=$P$18,U4864,0)</t>
  </si>
  <si>
    <t>=IF(AND($M4864&gt;=$Q$16,$M4864&lt;=$Q$18),U4864,0)</t>
  </si>
  <si>
    <t>=IF(AND($M4864&gt;=$R$16,$M4864&lt;=$R$18),U4864,0)</t>
  </si>
  <si>
    <t>=IF(AND($M4864&gt;=$S$16,$M4864&lt;=$S$18),U4864,0)</t>
  </si>
  <si>
    <t>=IF($M4864&lt;=$T$18,U4864,0)</t>
  </si>
  <si>
    <t>="""NAV Direct"",""CRONUS JetCorp USA"",""21"",""1"",""428465"""</t>
  </si>
  <si>
    <t>=E4863</t>
  </si>
  <si>
    <t>=StartDate-$M4865+1</t>
  </si>
  <si>
    <t>=SUM(P4865:T4865)</t>
  </si>
  <si>
    <t>=IF($M4865&gt;=$P$18,U4865,0)</t>
  </si>
  <si>
    <t>=IF(AND($M4865&gt;=$Q$16,$M4865&lt;=$Q$18),U4865,0)</t>
  </si>
  <si>
    <t>=IF(AND($M4865&gt;=$R$16,$M4865&lt;=$R$18),U4865,0)</t>
  </si>
  <si>
    <t>=IF(AND($M4865&gt;=$S$16,$M4865&lt;=$S$18),U4865,0)</t>
  </si>
  <si>
    <t>=IF($M4865&lt;=$T$18,U4865,0)</t>
  </si>
  <si>
    <t>="""NAV Direct"",""CRONUS JetCorp USA"",""21"",""1"",""428678"""</t>
  </si>
  <si>
    <t>=E4864</t>
  </si>
  <si>
    <t>=StartDate-$M4866+1</t>
  </si>
  <si>
    <t>=SUM(P4866:T4866)</t>
  </si>
  <si>
    <t>=IF($M4866&gt;=$P$18,U4866,0)</t>
  </si>
  <si>
    <t>=IF(AND($M4866&gt;=$Q$16,$M4866&lt;=$Q$18),U4866,0)</t>
  </si>
  <si>
    <t>=IF(AND($M4866&gt;=$R$16,$M4866&lt;=$R$18),U4866,0)</t>
  </si>
  <si>
    <t>=IF(AND($M4866&gt;=$S$16,$M4866&lt;=$S$18),U4866,0)</t>
  </si>
  <si>
    <t>=IF($M4866&lt;=$T$18,U4866,0)</t>
  </si>
  <si>
    <t>="""NAV Direct"",""CRONUS JetCorp USA"",""21"",""1"",""428713"""</t>
  </si>
  <si>
    <t>=E4865</t>
  </si>
  <si>
    <t>=StartDate-$M4867+1</t>
  </si>
  <si>
    <t>=SUM(P4867:T4867)</t>
  </si>
  <si>
    <t>=IF($M4867&gt;=$P$18,U4867,0)</t>
  </si>
  <si>
    <t>=IF(AND($M4867&gt;=$Q$16,$M4867&lt;=$Q$18),U4867,0)</t>
  </si>
  <si>
    <t>=IF(AND($M4867&gt;=$R$16,$M4867&lt;=$R$18),U4867,0)</t>
  </si>
  <si>
    <t>=IF(AND($M4867&gt;=$S$16,$M4867&lt;=$S$18),U4867,0)</t>
  </si>
  <si>
    <t>=IF($M4867&lt;=$T$18,U4867,0)</t>
  </si>
  <si>
    <t>="""NAV Direct"",""CRONUS JetCorp USA"",""21"",""1"",""428936"""</t>
  </si>
  <si>
    <t>=E4866</t>
  </si>
  <si>
    <t>=StartDate-$M4868+1</t>
  </si>
  <si>
    <t>=SUM(P4868:T4868)</t>
  </si>
  <si>
    <t>=IF($M4868&gt;=$P$18,U4868,0)</t>
  </si>
  <si>
    <t>=IF(AND($M4868&gt;=$Q$16,$M4868&lt;=$Q$18),U4868,0)</t>
  </si>
  <si>
    <t>=IF(AND($M4868&gt;=$R$16,$M4868&lt;=$R$18),U4868,0)</t>
  </si>
  <si>
    <t>=IF(AND($M4868&gt;=$S$16,$M4868&lt;=$S$18),U4868,0)</t>
  </si>
  <si>
    <t>=IF($M4868&lt;=$T$18,U4868,0)</t>
  </si>
  <si>
    <t>="""NAV Direct"",""CRONUS JetCorp USA"",""21"",""1"",""441714"""</t>
  </si>
  <si>
    <t>=E4867</t>
  </si>
  <si>
    <t>=StartDate-$M4869+1</t>
  </si>
  <si>
    <t>=SUM(P4869:T4869)</t>
  </si>
  <si>
    <t>=IF($M4869&gt;=$P$18,U4869,0)</t>
  </si>
  <si>
    <t>=IF(AND($M4869&gt;=$Q$16,$M4869&lt;=$Q$18),U4869,0)</t>
  </si>
  <si>
    <t>=IF(AND($M4869&gt;=$R$16,$M4869&lt;=$R$18),U4869,0)</t>
  </si>
  <si>
    <t>=IF(AND($M4869&gt;=$S$16,$M4869&lt;=$S$18),U4869,0)</t>
  </si>
  <si>
    <t>=IF($M4869&lt;=$T$18,U4869,0)</t>
  </si>
  <si>
    <t>="""NAV Direct"",""CRONUS JetCorp USA"",""21"",""1"",""441957"""</t>
  </si>
  <si>
    <t>=E4868</t>
  </si>
  <si>
    <t>=StartDate-$M4870+1</t>
  </si>
  <si>
    <t>=SUM(P4870:T4870)</t>
  </si>
  <si>
    <t>=IF($M4870&gt;=$P$18,U4870,0)</t>
  </si>
  <si>
    <t>=IF(AND($M4870&gt;=$Q$16,$M4870&lt;=$Q$18),U4870,0)</t>
  </si>
  <si>
    <t>=IF(AND($M4870&gt;=$R$16,$M4870&lt;=$R$18),U4870,0)</t>
  </si>
  <si>
    <t>=IF(AND($M4870&gt;=$S$16,$M4870&lt;=$S$18),U4870,0)</t>
  </si>
  <si>
    <t>=IF($M4870&lt;=$T$18,U4870,0)</t>
  </si>
  <si>
    <t>="""NAV Direct"",""CRONUS JetCorp USA"",""21"",""1"",""442073"""</t>
  </si>
  <si>
    <t>=E4869</t>
  </si>
  <si>
    <t>=StartDate-$M4871+1</t>
  </si>
  <si>
    <t>=SUM(P4871:T4871)</t>
  </si>
  <si>
    <t>=IF($M4871&gt;=$P$18,U4871,0)</t>
  </si>
  <si>
    <t>=IF(AND($M4871&gt;=$Q$16,$M4871&lt;=$Q$18),U4871,0)</t>
  </si>
  <si>
    <t>=IF(AND($M4871&gt;=$R$16,$M4871&lt;=$R$18),U4871,0)</t>
  </si>
  <si>
    <t>=IF(AND($M4871&gt;=$S$16,$M4871&lt;=$S$18),U4871,0)</t>
  </si>
  <si>
    <t>=IF($M4871&lt;=$T$18,U4871,0)</t>
  </si>
  <si>
    <t>="""NAV Direct"",""CRONUS JetCorp USA"",""21"",""1"",""442144"""</t>
  </si>
  <si>
    <t>=E4870</t>
  </si>
  <si>
    <t>=StartDate-$M4872+1</t>
  </si>
  <si>
    <t>=SUM(P4872:T4872)</t>
  </si>
  <si>
    <t>=IF($M4872&gt;=$P$18,U4872,0)</t>
  </si>
  <si>
    <t>=IF(AND($M4872&gt;=$Q$16,$M4872&lt;=$Q$18),U4872,0)</t>
  </si>
  <si>
    <t>=IF(AND($M4872&gt;=$R$16,$M4872&lt;=$R$18),U4872,0)</t>
  </si>
  <si>
    <t>=IF(AND($M4872&gt;=$S$16,$M4872&lt;=$S$18),U4872,0)</t>
  </si>
  <si>
    <t>=IF($M4872&lt;=$T$18,U4872,0)</t>
  </si>
  <si>
    <t>="""NAV Direct"",""CRONUS JetCorp USA"",""21"",""1"",""442161"""</t>
  </si>
  <si>
    <t>=E4871</t>
  </si>
  <si>
    <t>=StartDate-$M4873+1</t>
  </si>
  <si>
    <t>=SUM(P4873:T4873)</t>
  </si>
  <si>
    <t>=IF($M4873&gt;=$P$18,U4873,0)</t>
  </si>
  <si>
    <t>=IF(AND($M4873&gt;=$Q$16,$M4873&lt;=$Q$18),U4873,0)</t>
  </si>
  <si>
    <t>=IF(AND($M4873&gt;=$R$16,$M4873&lt;=$R$18),U4873,0)</t>
  </si>
  <si>
    <t>=IF(AND($M4873&gt;=$S$16,$M4873&lt;=$S$18),U4873,0)</t>
  </si>
  <si>
    <t>=IF($M4873&lt;=$T$18,U4873,0)</t>
  </si>
  <si>
    <t>="""NAV Direct"",""CRONUS JetCorp USA"",""21"",""1"",""442342"""</t>
  </si>
  <si>
    <t>=E4872</t>
  </si>
  <si>
    <t>=StartDate-$M4874+1</t>
  </si>
  <si>
    <t>=SUM(P4874:T4874)</t>
  </si>
  <si>
    <t>=IF($M4874&gt;=$P$18,U4874,0)</t>
  </si>
  <si>
    <t>=IF(AND($M4874&gt;=$Q$16,$M4874&lt;=$Q$18),U4874,0)</t>
  </si>
  <si>
    <t>=IF(AND($M4874&gt;=$R$16,$M4874&lt;=$R$18),U4874,0)</t>
  </si>
  <si>
    <t>=IF(AND($M4874&gt;=$S$16,$M4874&lt;=$S$18),U4874,0)</t>
  </si>
  <si>
    <t>=IF($M4874&lt;=$T$18,U4874,0)</t>
  </si>
  <si>
    <t>="""NAV Direct"",""CRONUS JetCorp USA"",""21"",""1"",""442578"""</t>
  </si>
  <si>
    <t>=E4873</t>
  </si>
  <si>
    <t>=StartDate-$M4875+1</t>
  </si>
  <si>
    <t>=SUM(P4875:T4875)</t>
  </si>
  <si>
    <t>=IF($M4875&gt;=$P$18,U4875,0)</t>
  </si>
  <si>
    <t>=IF(AND($M4875&gt;=$Q$16,$M4875&lt;=$Q$18),U4875,0)</t>
  </si>
  <si>
    <t>=IF(AND($M4875&gt;=$R$16,$M4875&lt;=$R$18),U4875,0)</t>
  </si>
  <si>
    <t>=IF(AND($M4875&gt;=$S$16,$M4875&lt;=$S$18),U4875,0)</t>
  </si>
  <si>
    <t>=IF($M4875&lt;=$T$18,U4875,0)</t>
  </si>
  <si>
    <t>="""NAV Direct"",""CRONUS JetCorp USA"",""21"",""1"",""442665"""</t>
  </si>
  <si>
    <t>=E4874</t>
  </si>
  <si>
    <t>=StartDate-$M4876+1</t>
  </si>
  <si>
    <t>=SUM(P4876:T4876)</t>
  </si>
  <si>
    <t>=IF($M4876&gt;=$P$18,U4876,0)</t>
  </si>
  <si>
    <t>=IF(AND($M4876&gt;=$Q$16,$M4876&lt;=$Q$18),U4876,0)</t>
  </si>
  <si>
    <t>=IF(AND($M4876&gt;=$R$16,$M4876&lt;=$R$18),U4876,0)</t>
  </si>
  <si>
    <t>=IF(AND($M4876&gt;=$S$16,$M4876&lt;=$S$18),U4876,0)</t>
  </si>
  <si>
    <t>=IF($M4876&lt;=$T$18,U4876,0)</t>
  </si>
  <si>
    <t>="""NAV Direct"",""CRONUS JetCorp USA"",""21"",""1"",""442763"""</t>
  </si>
  <si>
    <t>=E4875</t>
  </si>
  <si>
    <t>=StartDate-$M4877+1</t>
  </si>
  <si>
    <t>=SUM(P4877:T4877)</t>
  </si>
  <si>
    <t>=IF($M4877&gt;=$P$18,U4877,0)</t>
  </si>
  <si>
    <t>=IF(AND($M4877&gt;=$Q$16,$M4877&lt;=$Q$18),U4877,0)</t>
  </si>
  <si>
    <t>=IF(AND($M4877&gt;=$R$16,$M4877&lt;=$R$18),U4877,0)</t>
  </si>
  <si>
    <t>=IF(AND($M4877&gt;=$S$16,$M4877&lt;=$S$18),U4877,0)</t>
  </si>
  <si>
    <t>=IF($M4877&lt;=$T$18,U4877,0)</t>
  </si>
  <si>
    <t>="""NAV Direct"",""CRONUS JetCorp USA"",""21"",""1"",""442792"""</t>
  </si>
  <si>
    <t>=E4876</t>
  </si>
  <si>
    <t>=StartDate-$M4878+1</t>
  </si>
  <si>
    <t>=SUM(P4878:T4878)</t>
  </si>
  <si>
    <t>=IF($M4878&gt;=$P$18,U4878,0)</t>
  </si>
  <si>
    <t>=IF(AND($M4878&gt;=$Q$16,$M4878&lt;=$Q$18),U4878,0)</t>
  </si>
  <si>
    <t>=IF(AND($M4878&gt;=$R$16,$M4878&lt;=$R$18),U4878,0)</t>
  </si>
  <si>
    <t>=IF(AND($M4878&gt;=$S$16,$M4878&lt;=$S$18),U4878,0)</t>
  </si>
  <si>
    <t>=IF($M4878&lt;=$T$18,U4878,0)</t>
  </si>
  <si>
    <t>="""NAV Direct"",""CRONUS JetCorp USA"",""21"",""1"",""442807"""</t>
  </si>
  <si>
    <t>=E4877</t>
  </si>
  <si>
    <t>=StartDate-$M4879+1</t>
  </si>
  <si>
    <t>=SUM(P4879:T4879)</t>
  </si>
  <si>
    <t>=IF($M4879&gt;=$P$18,U4879,0)</t>
  </si>
  <si>
    <t>=IF(AND($M4879&gt;=$Q$16,$M4879&lt;=$Q$18),U4879,0)</t>
  </si>
  <si>
    <t>=IF(AND($M4879&gt;=$R$16,$M4879&lt;=$R$18),U4879,0)</t>
  </si>
  <si>
    <t>=IF(AND($M4879&gt;=$S$16,$M4879&lt;=$S$18),U4879,0)</t>
  </si>
  <si>
    <t>=IF($M4879&lt;=$T$18,U4879,0)</t>
  </si>
  <si>
    <t>="""NAV Direct"",""CRONUS JetCorp USA"",""21"",""1"",""442830"""</t>
  </si>
  <si>
    <t>=E4878</t>
  </si>
  <si>
    <t>=StartDate-$M4880+1</t>
  </si>
  <si>
    <t>=SUM(P4880:T4880)</t>
  </si>
  <si>
    <t>=IF($M4880&gt;=$P$18,U4880,0)</t>
  </si>
  <si>
    <t>=IF(AND($M4880&gt;=$Q$16,$M4880&lt;=$Q$18),U4880,0)</t>
  </si>
  <si>
    <t>=IF(AND($M4880&gt;=$R$16,$M4880&lt;=$R$18),U4880,0)</t>
  </si>
  <si>
    <t>=IF(AND($M4880&gt;=$S$16,$M4880&lt;=$S$18),U4880,0)</t>
  </si>
  <si>
    <t>=IF($M4880&lt;=$T$18,U4880,0)</t>
  </si>
  <si>
    <t>="""NAV Direct"",""CRONUS JetCorp USA"",""21"",""1"",""442855"""</t>
  </si>
  <si>
    <t>=E4879</t>
  </si>
  <si>
    <t>=StartDate-$M4881+1</t>
  </si>
  <si>
    <t>=SUM(P4881:T4881)</t>
  </si>
  <si>
    <t>=IF($M4881&gt;=$P$18,U4881,0)</t>
  </si>
  <si>
    <t>=IF(AND($M4881&gt;=$Q$16,$M4881&lt;=$Q$18),U4881,0)</t>
  </si>
  <si>
    <t>=IF(AND($M4881&gt;=$R$16,$M4881&lt;=$R$18),U4881,0)</t>
  </si>
  <si>
    <t>=IF(AND($M4881&gt;=$S$16,$M4881&lt;=$S$18),U4881,0)</t>
  </si>
  <si>
    <t>=IF($M4881&lt;=$T$18,U4881,0)</t>
  </si>
  <si>
    <t>="""NAV Direct"",""CRONUS JetCorp USA"",""21"",""1"",""442878"""</t>
  </si>
  <si>
    <t>=E4880</t>
  </si>
  <si>
    <t>=StartDate-$M4882+1</t>
  </si>
  <si>
    <t>=SUM(P4882:T4882)</t>
  </si>
  <si>
    <t>=IF($M4882&gt;=$P$18,U4882,0)</t>
  </si>
  <si>
    <t>=IF(AND($M4882&gt;=$Q$16,$M4882&lt;=$Q$18),U4882,0)</t>
  </si>
  <si>
    <t>=IF(AND($M4882&gt;=$R$16,$M4882&lt;=$R$18),U4882,0)</t>
  </si>
  <si>
    <t>=IF(AND($M4882&gt;=$S$16,$M4882&lt;=$S$18),U4882,0)</t>
  </si>
  <si>
    <t>=IF($M4882&lt;=$T$18,U4882,0)</t>
  </si>
  <si>
    <t>="""NAV Direct"",""CRONUS JetCorp USA"",""21"",""1"",""442901"""</t>
  </si>
  <si>
    <t>=E4881</t>
  </si>
  <si>
    <t>=StartDate-$M4883+1</t>
  </si>
  <si>
    <t>=SUM(P4883:T4883)</t>
  </si>
  <si>
    <t>=IF($M4883&gt;=$P$18,U4883,0)</t>
  </si>
  <si>
    <t>=IF(AND($M4883&gt;=$Q$16,$M4883&lt;=$Q$18),U4883,0)</t>
  </si>
  <si>
    <t>=IF(AND($M4883&gt;=$R$16,$M4883&lt;=$R$18),U4883,0)</t>
  </si>
  <si>
    <t>=IF(AND($M4883&gt;=$S$16,$M4883&lt;=$S$18),U4883,0)</t>
  </si>
  <si>
    <t>=IF($M4883&lt;=$T$18,U4883,0)</t>
  </si>
  <si>
    <t>="""NAV Direct"",""CRONUS JetCorp USA"",""21"",""1"",""442916"""</t>
  </si>
  <si>
    <t>=E4882</t>
  </si>
  <si>
    <t>=StartDate-$M4884+1</t>
  </si>
  <si>
    <t>=SUM(P4884:T4884)</t>
  </si>
  <si>
    <t>=IF($M4884&gt;=$P$18,U4884,0)</t>
  </si>
  <si>
    <t>=IF(AND($M4884&gt;=$Q$16,$M4884&lt;=$Q$18),U4884,0)</t>
  </si>
  <si>
    <t>=IF(AND($M4884&gt;=$R$16,$M4884&lt;=$R$18),U4884,0)</t>
  </si>
  <si>
    <t>=IF(AND($M4884&gt;=$S$16,$M4884&lt;=$S$18),U4884,0)</t>
  </si>
  <si>
    <t>=IF($M4884&lt;=$T$18,U4884,0)</t>
  </si>
  <si>
    <t>="""NAV Direct"",""CRONUS JetCorp USA"",""21"",""1"",""443191"""</t>
  </si>
  <si>
    <t>=E4883</t>
  </si>
  <si>
    <t>=StartDate-$M4885+1</t>
  </si>
  <si>
    <t>=SUM(P4885:T4885)</t>
  </si>
  <si>
    <t>=IF($M4885&gt;=$P$18,U4885,0)</t>
  </si>
  <si>
    <t>=IF(AND($M4885&gt;=$Q$16,$M4885&lt;=$Q$18),U4885,0)</t>
  </si>
  <si>
    <t>=IF(AND($M4885&gt;=$R$16,$M4885&lt;=$R$18),U4885,0)</t>
  </si>
  <si>
    <t>=IF(AND($M4885&gt;=$S$16,$M4885&lt;=$S$18),U4885,0)</t>
  </si>
  <si>
    <t>=IF($M4885&lt;=$T$18,U4885,0)</t>
  </si>
  <si>
    <t>="""NAV Direct"",""CRONUS JetCorp USA"",""21"",""1"",""443245"""</t>
  </si>
  <si>
    <t>=E4884</t>
  </si>
  <si>
    <t>=StartDate-$M4886+1</t>
  </si>
  <si>
    <t>=SUM(P4886:T4886)</t>
  </si>
  <si>
    <t>=IF($M4886&gt;=$P$18,U4886,0)</t>
  </si>
  <si>
    <t>=IF(AND($M4886&gt;=$Q$16,$M4886&lt;=$Q$18),U4886,0)</t>
  </si>
  <si>
    <t>=IF(AND($M4886&gt;=$R$16,$M4886&lt;=$R$18),U4886,0)</t>
  </si>
  <si>
    <t>=IF(AND($M4886&gt;=$S$16,$M4886&lt;=$S$18),U4886,0)</t>
  </si>
  <si>
    <t>=IF($M4886&lt;=$T$18,U4886,0)</t>
  </si>
  <si>
    <t>="""NAV Direct"",""CRONUS JetCorp USA"",""18"",""1"",""C100137"""</t>
  </si>
  <si>
    <t>=H4889</t>
  </si>
  <si>
    <t>=NF($C4889,"1 No.")</t>
  </si>
  <si>
    <t>=NF($C4889,"1 No.")&amp;"  -  "&amp;NF($C4889,"2 Name")</t>
  </si>
  <si>
    <t>=IFERROR(O4889/NF(C4889,"Credit Limit (LCY)"),"")</t>
  </si>
  <si>
    <t>=SUBTOTAL(3,L4890:L4936)</t>
  </si>
  <si>
    <t>=SUBTOTAL(9,O4890:O4936)</t>
  </si>
  <si>
    <t>=SUBTOTAL(9,P4890:P4936)</t>
  </si>
  <si>
    <t>=SUBTOTAL(9,Q4890:Q4936)</t>
  </si>
  <si>
    <t>=SUBTOTAL(9,R4890:R4936)</t>
  </si>
  <si>
    <t>=SUBTOTAL(9,S4890:S4936)</t>
  </si>
  <si>
    <t>=SUBTOTAL(9,T4890:T4936)</t>
  </si>
  <si>
    <t>=C4889</t>
  </si>
  <si>
    <t>=E4889</t>
  </si>
  <si>
    <t>="Contact: "&amp;NF($C4890,"8 Contact")</t>
  </si>
  <si>
    <t>=C4890</t>
  </si>
  <si>
    <t>=E4890</t>
  </si>
  <si>
    <t>=NF($C4891,"102 E-Mail")</t>
  </si>
  <si>
    <t>=NL("Rows","21 Cust. Ledger Entry",,"3 Customer No.","@@"&amp;$E4893,"16 Remaining Amt. (LCY)","&lt;&gt;0")</t>
  </si>
  <si>
    <t>=E4891</t>
  </si>
  <si>
    <t>=StartDate-$M4893+1</t>
  </si>
  <si>
    <t>=SUM(P4893:T4893)</t>
  </si>
  <si>
    <t>=IF($M4893&gt;=$P$18,U4893,0)</t>
  </si>
  <si>
    <t>=IF(AND($M4893&gt;=$Q$16,$M4893&lt;=$Q$18),U4893,0)</t>
  </si>
  <si>
    <t>=IF(AND($M4893&gt;=$R$16,$M4893&lt;=$R$18),U4893,0)</t>
  </si>
  <si>
    <t>=IF(AND($M4893&gt;=$S$16,$M4893&lt;=$S$18),U4893,0)</t>
  </si>
  <si>
    <t>=IF($M4893&lt;=$T$18,U4893,0)</t>
  </si>
  <si>
    <t>="""NAV Direct"",""CRONUS JetCorp USA"",""21"",""1"",""336520"""</t>
  </si>
  <si>
    <t>=E4892</t>
  </si>
  <si>
    <t>=StartDate-$M4894+1</t>
  </si>
  <si>
    <t>=SUM(P4894:T4894)</t>
  </si>
  <si>
    <t>=IF($M4894&gt;=$P$18,U4894,0)</t>
  </si>
  <si>
    <t>=IF(AND($M4894&gt;=$Q$16,$M4894&lt;=$Q$18),U4894,0)</t>
  </si>
  <si>
    <t>=IF(AND($M4894&gt;=$R$16,$M4894&lt;=$R$18),U4894,0)</t>
  </si>
  <si>
    <t>=IF(AND($M4894&gt;=$S$16,$M4894&lt;=$S$18),U4894,0)</t>
  </si>
  <si>
    <t>=IF($M4894&lt;=$T$18,U4894,0)</t>
  </si>
  <si>
    <t>="""NAV Direct"",""CRONUS JetCorp USA"",""21"",""1"",""336894"""</t>
  </si>
  <si>
    <t>=E4893</t>
  </si>
  <si>
    <t>=StartDate-$M4895+1</t>
  </si>
  <si>
    <t>=SUM(P4895:T4895)</t>
  </si>
  <si>
    <t>=IF($M4895&gt;=$P$18,U4895,0)</t>
  </si>
  <si>
    <t>=IF(AND($M4895&gt;=$Q$16,$M4895&lt;=$Q$18),U4895,0)</t>
  </si>
  <si>
    <t>=IF(AND($M4895&gt;=$R$16,$M4895&lt;=$R$18),U4895,0)</t>
  </si>
  <si>
    <t>=IF(AND($M4895&gt;=$S$16,$M4895&lt;=$S$18),U4895,0)</t>
  </si>
  <si>
    <t>=IF($M4895&lt;=$T$18,U4895,0)</t>
  </si>
  <si>
    <t>="""NAV Direct"",""CRONUS JetCorp USA"",""21"",""1"",""336958"""</t>
  </si>
  <si>
    <t>=E4894</t>
  </si>
  <si>
    <t>=StartDate-$M4896+1</t>
  </si>
  <si>
    <t>=SUM(P4896:T4896)</t>
  </si>
  <si>
    <t>=IF($M4896&gt;=$P$18,U4896,0)</t>
  </si>
  <si>
    <t>=IF(AND($M4896&gt;=$Q$16,$M4896&lt;=$Q$18),U4896,0)</t>
  </si>
  <si>
    <t>=IF(AND($M4896&gt;=$R$16,$M4896&lt;=$R$18),U4896,0)</t>
  </si>
  <si>
    <t>=IF(AND($M4896&gt;=$S$16,$M4896&lt;=$S$18),U4896,0)</t>
  </si>
  <si>
    <t>=IF($M4896&lt;=$T$18,U4896,0)</t>
  </si>
  <si>
    <t>="""NAV Direct"",""CRONUS JetCorp USA"",""21"",""1"",""336997"""</t>
  </si>
  <si>
    <t>=E4895</t>
  </si>
  <si>
    <t>=StartDate-$M4897+1</t>
  </si>
  <si>
    <t>=SUM(P4897:T4897)</t>
  </si>
  <si>
    <t>=IF($M4897&gt;=$P$18,U4897,0)</t>
  </si>
  <si>
    <t>=IF(AND($M4897&gt;=$Q$16,$M4897&lt;=$Q$18),U4897,0)</t>
  </si>
  <si>
    <t>=IF(AND($M4897&gt;=$R$16,$M4897&lt;=$R$18),U4897,0)</t>
  </si>
  <si>
    <t>=IF(AND($M4897&gt;=$S$16,$M4897&lt;=$S$18),U4897,0)</t>
  </si>
  <si>
    <t>=IF($M4897&lt;=$T$18,U4897,0)</t>
  </si>
  <si>
    <t>="""NAV Direct"",""CRONUS JetCorp USA"",""21"",""1"",""337108"""</t>
  </si>
  <si>
    <t>=E4896</t>
  </si>
  <si>
    <t>=StartDate-$M4898+1</t>
  </si>
  <si>
    <t>=SUM(P4898:T4898)</t>
  </si>
  <si>
    <t>=IF($M4898&gt;=$P$18,U4898,0)</t>
  </si>
  <si>
    <t>=IF(AND($M4898&gt;=$Q$16,$M4898&lt;=$Q$18),U4898,0)</t>
  </si>
  <si>
    <t>=IF(AND($M4898&gt;=$R$16,$M4898&lt;=$R$18),U4898,0)</t>
  </si>
  <si>
    <t>=IF(AND($M4898&gt;=$S$16,$M4898&lt;=$S$18),U4898,0)</t>
  </si>
  <si>
    <t>=IF($M4898&lt;=$T$18,U4898,0)</t>
  </si>
  <si>
    <t>="""NAV Direct"",""CRONUS JetCorp USA"",""21"",""1"",""337201"""</t>
  </si>
  <si>
    <t>=E4897</t>
  </si>
  <si>
    <t>=StartDate-$M4899+1</t>
  </si>
  <si>
    <t>=SUM(P4899:T4899)</t>
  </si>
  <si>
    <t>=IF($M4899&gt;=$P$18,U4899,0)</t>
  </si>
  <si>
    <t>=IF(AND($M4899&gt;=$Q$16,$M4899&lt;=$Q$18),U4899,0)</t>
  </si>
  <si>
    <t>=IF(AND($M4899&gt;=$R$16,$M4899&lt;=$R$18),U4899,0)</t>
  </si>
  <si>
    <t>=IF(AND($M4899&gt;=$S$16,$M4899&lt;=$S$18),U4899,0)</t>
  </si>
  <si>
    <t>=IF($M4899&lt;=$T$18,U4899,0)</t>
  </si>
  <si>
    <t>="""NAV Direct"",""CRONUS JetCorp USA"",""21"",""1"",""337433"""</t>
  </si>
  <si>
    <t>=E4898</t>
  </si>
  <si>
    <t>=StartDate-$M4900+1</t>
  </si>
  <si>
    <t>=SUM(P4900:T4900)</t>
  </si>
  <si>
    <t>=IF($M4900&gt;=$P$18,U4900,0)</t>
  </si>
  <si>
    <t>=IF(AND($M4900&gt;=$Q$16,$M4900&lt;=$Q$18),U4900,0)</t>
  </si>
  <si>
    <t>=IF(AND($M4900&gt;=$R$16,$M4900&lt;=$R$18),U4900,0)</t>
  </si>
  <si>
    <t>=IF(AND($M4900&gt;=$S$16,$M4900&lt;=$S$18),U4900,0)</t>
  </si>
  <si>
    <t>=IF($M4900&lt;=$T$18,U4900,0)</t>
  </si>
  <si>
    <t>="""NAV Direct"",""CRONUS JetCorp USA"",""21"",""1"",""337707"""</t>
  </si>
  <si>
    <t>=E4899</t>
  </si>
  <si>
    <t>=StartDate-$M4901+1</t>
  </si>
  <si>
    <t>=SUM(P4901:T4901)</t>
  </si>
  <si>
    <t>=IF($M4901&gt;=$P$18,U4901,0)</t>
  </si>
  <si>
    <t>=IF(AND($M4901&gt;=$Q$16,$M4901&lt;=$Q$18),U4901,0)</t>
  </si>
  <si>
    <t>=IF(AND($M4901&gt;=$R$16,$M4901&lt;=$R$18),U4901,0)</t>
  </si>
  <si>
    <t>=IF(AND($M4901&gt;=$S$16,$M4901&lt;=$S$18),U4901,0)</t>
  </si>
  <si>
    <t>=IF($M4901&lt;=$T$18,U4901,0)</t>
  </si>
  <si>
    <t>="""NAV Direct"",""CRONUS JetCorp USA"",""21"",""1"",""338170"""</t>
  </si>
  <si>
    <t>=E4900</t>
  </si>
  <si>
    <t>=StartDate-$M4902+1</t>
  </si>
  <si>
    <t>=SUM(P4902:T4902)</t>
  </si>
  <si>
    <t>=IF($M4902&gt;=$P$18,U4902,0)</t>
  </si>
  <si>
    <t>=IF(AND($M4902&gt;=$Q$16,$M4902&lt;=$Q$18),U4902,0)</t>
  </si>
  <si>
    <t>=IF(AND($M4902&gt;=$R$16,$M4902&lt;=$R$18),U4902,0)</t>
  </si>
  <si>
    <t>=IF(AND($M4902&gt;=$S$16,$M4902&lt;=$S$18),U4902,0)</t>
  </si>
  <si>
    <t>=IF($M4902&lt;=$T$18,U4902,0)</t>
  </si>
  <si>
    <t>="""NAV Direct"",""CRONUS JetCorp USA"",""21"",""1"",""338244"""</t>
  </si>
  <si>
    <t>=E4901</t>
  </si>
  <si>
    <t>=StartDate-$M4903+1</t>
  </si>
  <si>
    <t>=SUM(P4903:T4903)</t>
  </si>
  <si>
    <t>=IF($M4903&gt;=$P$18,U4903,0)</t>
  </si>
  <si>
    <t>=IF(AND($M4903&gt;=$Q$16,$M4903&lt;=$Q$18),U4903,0)</t>
  </si>
  <si>
    <t>=IF(AND($M4903&gt;=$R$16,$M4903&lt;=$R$18),U4903,0)</t>
  </si>
  <si>
    <t>=IF(AND($M4903&gt;=$S$16,$M4903&lt;=$S$18),U4903,0)</t>
  </si>
  <si>
    <t>=IF($M4903&lt;=$T$18,U4903,0)</t>
  </si>
  <si>
    <t>="""NAV Direct"",""CRONUS JetCorp USA"",""21"",""1"",""339150"""</t>
  </si>
  <si>
    <t>=E4902</t>
  </si>
  <si>
    <t>=StartDate-$M4904+1</t>
  </si>
  <si>
    <t>=SUM(P4904:T4904)</t>
  </si>
  <si>
    <t>=IF($M4904&gt;=$P$18,U4904,0)</t>
  </si>
  <si>
    <t>=IF(AND($M4904&gt;=$Q$16,$M4904&lt;=$Q$18),U4904,0)</t>
  </si>
  <si>
    <t>=IF(AND($M4904&gt;=$R$16,$M4904&lt;=$R$18),U4904,0)</t>
  </si>
  <si>
    <t>=IF(AND($M4904&gt;=$S$16,$M4904&lt;=$S$18),U4904,0)</t>
  </si>
  <si>
    <t>=IF($M4904&lt;=$T$18,U4904,0)</t>
  </si>
  <si>
    <t>="""NAV Direct"",""CRONUS JetCorp USA"",""21"",""1"",""339279"""</t>
  </si>
  <si>
    <t>=E4903</t>
  </si>
  <si>
    <t>=StartDate-$M4905+1</t>
  </si>
  <si>
    <t>=SUM(P4905:T4905)</t>
  </si>
  <si>
    <t>=IF($M4905&gt;=$P$18,U4905,0)</t>
  </si>
  <si>
    <t>=IF(AND($M4905&gt;=$Q$16,$M4905&lt;=$Q$18),U4905,0)</t>
  </si>
  <si>
    <t>=IF(AND($M4905&gt;=$R$16,$M4905&lt;=$R$18),U4905,0)</t>
  </si>
  <si>
    <t>=IF(AND($M4905&gt;=$S$16,$M4905&lt;=$S$18),U4905,0)</t>
  </si>
  <si>
    <t>=IF($M4905&lt;=$T$18,U4905,0)</t>
  </si>
  <si>
    <t>="""NAV Direct"",""CRONUS JetCorp USA"",""21"",""1"",""340320"""</t>
  </si>
  <si>
    <t>=E4904</t>
  </si>
  <si>
    <t>=StartDate-$M4906+1</t>
  </si>
  <si>
    <t>=SUM(P4906:T4906)</t>
  </si>
  <si>
    <t>=IF($M4906&gt;=$P$18,U4906,0)</t>
  </si>
  <si>
    <t>=IF(AND($M4906&gt;=$Q$16,$M4906&lt;=$Q$18),U4906,0)</t>
  </si>
  <si>
    <t>=IF(AND($M4906&gt;=$R$16,$M4906&lt;=$R$18),U4906,0)</t>
  </si>
  <si>
    <t>=IF(AND($M4906&gt;=$S$16,$M4906&lt;=$S$18),U4906,0)</t>
  </si>
  <si>
    <t>=IF($M4906&lt;=$T$18,U4906,0)</t>
  </si>
  <si>
    <t>="""NAV Direct"",""CRONUS JetCorp USA"",""21"",""1"",""340439"""</t>
  </si>
  <si>
    <t>=E4905</t>
  </si>
  <si>
    <t>=StartDate-$M4907+1</t>
  </si>
  <si>
    <t>=SUM(P4907:T4907)</t>
  </si>
  <si>
    <t>=IF($M4907&gt;=$P$18,U4907,0)</t>
  </si>
  <si>
    <t>=IF(AND($M4907&gt;=$Q$16,$M4907&lt;=$Q$18),U4907,0)</t>
  </si>
  <si>
    <t>=IF(AND($M4907&gt;=$R$16,$M4907&lt;=$R$18),U4907,0)</t>
  </si>
  <si>
    <t>=IF(AND($M4907&gt;=$S$16,$M4907&lt;=$S$18),U4907,0)</t>
  </si>
  <si>
    <t>=IF($M4907&lt;=$T$18,U4907,0)</t>
  </si>
  <si>
    <t>="""NAV Direct"",""CRONUS JetCorp USA"",""21"",""1"",""340624"""</t>
  </si>
  <si>
    <t>=E4906</t>
  </si>
  <si>
    <t>=StartDate-$M4908+1</t>
  </si>
  <si>
    <t>=SUM(P4908:T4908)</t>
  </si>
  <si>
    <t>=IF($M4908&gt;=$P$18,U4908,0)</t>
  </si>
  <si>
    <t>=IF(AND($M4908&gt;=$Q$16,$M4908&lt;=$Q$18),U4908,0)</t>
  </si>
  <si>
    <t>=IF(AND($M4908&gt;=$R$16,$M4908&lt;=$R$18),U4908,0)</t>
  </si>
  <si>
    <t>=IF(AND($M4908&gt;=$S$16,$M4908&lt;=$S$18),U4908,0)</t>
  </si>
  <si>
    <t>=IF($M4908&lt;=$T$18,U4908,0)</t>
  </si>
  <si>
    <t>="""NAV Direct"",""CRONUS JetCorp USA"",""21"",""1"",""341133"""</t>
  </si>
  <si>
    <t>=E4907</t>
  </si>
  <si>
    <t>=StartDate-$M4909+1</t>
  </si>
  <si>
    <t>=SUM(P4909:T4909)</t>
  </si>
  <si>
    <t>=IF($M4909&gt;=$P$18,U4909,0)</t>
  </si>
  <si>
    <t>=IF(AND($M4909&gt;=$Q$16,$M4909&lt;=$Q$18),U4909,0)</t>
  </si>
  <si>
    <t>=IF(AND($M4909&gt;=$R$16,$M4909&lt;=$R$18),U4909,0)</t>
  </si>
  <si>
    <t>=IF(AND($M4909&gt;=$S$16,$M4909&lt;=$S$18),U4909,0)</t>
  </si>
  <si>
    <t>=IF($M4909&lt;=$T$18,U4909,0)</t>
  </si>
  <si>
    <t>="""NAV Direct"",""CRONUS JetCorp USA"",""21"",""1"",""341643"""</t>
  </si>
  <si>
    <t>=E4908</t>
  </si>
  <si>
    <t>=StartDate-$M4910+1</t>
  </si>
  <si>
    <t>=SUM(P4910:T4910)</t>
  </si>
  <si>
    <t>=IF($M4910&gt;=$P$18,U4910,0)</t>
  </si>
  <si>
    <t>=IF(AND($M4910&gt;=$Q$16,$M4910&lt;=$Q$18),U4910,0)</t>
  </si>
  <si>
    <t>=IF(AND($M4910&gt;=$R$16,$M4910&lt;=$R$18),U4910,0)</t>
  </si>
  <si>
    <t>=IF(AND($M4910&gt;=$S$16,$M4910&lt;=$S$18),U4910,0)</t>
  </si>
  <si>
    <t>=IF($M4910&lt;=$T$18,U4910,0)</t>
  </si>
  <si>
    <t>="""NAV Direct"",""CRONUS JetCorp USA"",""21"",""1"",""342142"""</t>
  </si>
  <si>
    <t>=E4909</t>
  </si>
  <si>
    <t>=StartDate-$M4911+1</t>
  </si>
  <si>
    <t>=SUM(P4911:T4911)</t>
  </si>
  <si>
    <t>=IF($M4911&gt;=$P$18,U4911,0)</t>
  </si>
  <si>
    <t>=IF(AND($M4911&gt;=$Q$16,$M4911&lt;=$Q$18),U4911,0)</t>
  </si>
  <si>
    <t>=IF(AND($M4911&gt;=$R$16,$M4911&lt;=$R$18),U4911,0)</t>
  </si>
  <si>
    <t>=IF(AND($M4911&gt;=$S$16,$M4911&lt;=$S$18),U4911,0)</t>
  </si>
  <si>
    <t>=IF($M4911&lt;=$T$18,U4911,0)</t>
  </si>
  <si>
    <t>="""NAV Direct"",""CRONUS JetCorp USA"",""21"",""1"",""342226"""</t>
  </si>
  <si>
    <t>=E4910</t>
  </si>
  <si>
    <t>=StartDate-$M4912+1</t>
  </si>
  <si>
    <t>=SUM(P4912:T4912)</t>
  </si>
  <si>
    <t>=IF($M4912&gt;=$P$18,U4912,0)</t>
  </si>
  <si>
    <t>=IF(AND($M4912&gt;=$Q$16,$M4912&lt;=$Q$18),U4912,0)</t>
  </si>
  <si>
    <t>=IF(AND($M4912&gt;=$R$16,$M4912&lt;=$R$18),U4912,0)</t>
  </si>
  <si>
    <t>=IF(AND($M4912&gt;=$S$16,$M4912&lt;=$S$18),U4912,0)</t>
  </si>
  <si>
    <t>=IF($M4912&lt;=$T$18,U4912,0)</t>
  </si>
  <si>
    <t>="""NAV Direct"",""CRONUS JetCorp USA"",""21"",""1"",""343495"""</t>
  </si>
  <si>
    <t>=E4911</t>
  </si>
  <si>
    <t>=StartDate-$M4913+1</t>
  </si>
  <si>
    <t>=SUM(P4913:T4913)</t>
  </si>
  <si>
    <t>=IF($M4913&gt;=$P$18,U4913,0)</t>
  </si>
  <si>
    <t>=IF(AND($M4913&gt;=$Q$16,$M4913&lt;=$Q$18),U4913,0)</t>
  </si>
  <si>
    <t>=IF(AND($M4913&gt;=$R$16,$M4913&lt;=$R$18),U4913,0)</t>
  </si>
  <si>
    <t>=IF(AND($M4913&gt;=$S$16,$M4913&lt;=$S$18),U4913,0)</t>
  </si>
  <si>
    <t>=IF($M4913&lt;=$T$18,U4913,0)</t>
  </si>
  <si>
    <t>="""NAV Direct"",""CRONUS JetCorp USA"",""21"",""1"",""343957"""</t>
  </si>
  <si>
    <t>=E4912</t>
  </si>
  <si>
    <t>=StartDate-$M4914+1</t>
  </si>
  <si>
    <t>=SUM(P4914:T4914)</t>
  </si>
  <si>
    <t>=IF($M4914&gt;=$P$18,U4914,0)</t>
  </si>
  <si>
    <t>=IF(AND($M4914&gt;=$Q$16,$M4914&lt;=$Q$18),U4914,0)</t>
  </si>
  <si>
    <t>=IF(AND($M4914&gt;=$R$16,$M4914&lt;=$R$18),U4914,0)</t>
  </si>
  <si>
    <t>=IF(AND($M4914&gt;=$S$16,$M4914&lt;=$S$18),U4914,0)</t>
  </si>
  <si>
    <t>=IF($M4914&lt;=$T$18,U4914,0)</t>
  </si>
  <si>
    <t>="""NAV Direct"",""CRONUS JetCorp USA"",""21"",""1"",""344146"""</t>
  </si>
  <si>
    <t>=E4913</t>
  </si>
  <si>
    <t>=StartDate-$M4915+1</t>
  </si>
  <si>
    <t>=SUM(P4915:T4915)</t>
  </si>
  <si>
    <t>=IF($M4915&gt;=$P$18,U4915,0)</t>
  </si>
  <si>
    <t>=IF(AND($M4915&gt;=$Q$16,$M4915&lt;=$Q$18),U4915,0)</t>
  </si>
  <si>
    <t>=IF(AND($M4915&gt;=$R$16,$M4915&lt;=$R$18),U4915,0)</t>
  </si>
  <si>
    <t>=IF(AND($M4915&gt;=$S$16,$M4915&lt;=$S$18),U4915,0)</t>
  </si>
  <si>
    <t>=IF($M4915&lt;=$T$18,U4915,0)</t>
  </si>
  <si>
    <t>="""NAV Direct"",""CRONUS JetCorp USA"",""21"",""1"",""344562"""</t>
  </si>
  <si>
    <t>=E4914</t>
  </si>
  <si>
    <t>=StartDate-$M4916+1</t>
  </si>
  <si>
    <t>=SUM(P4916:T4916)</t>
  </si>
  <si>
    <t>=IF($M4916&gt;=$P$18,U4916,0)</t>
  </si>
  <si>
    <t>=IF(AND($M4916&gt;=$Q$16,$M4916&lt;=$Q$18),U4916,0)</t>
  </si>
  <si>
    <t>=IF(AND($M4916&gt;=$R$16,$M4916&lt;=$R$18),U4916,0)</t>
  </si>
  <si>
    <t>=IF(AND($M4916&gt;=$S$16,$M4916&lt;=$S$18),U4916,0)</t>
  </si>
  <si>
    <t>=IF($M4916&lt;=$T$18,U4916,0)</t>
  </si>
  <si>
    <t>="""NAV Direct"",""CRONUS JetCorp USA"",""21"",""1"",""344810"""</t>
  </si>
  <si>
    <t>=E4915</t>
  </si>
  <si>
    <t>=StartDate-$M4917+1</t>
  </si>
  <si>
    <t>=SUM(P4917:T4917)</t>
  </si>
  <si>
    <t>=IF($M4917&gt;=$P$18,U4917,0)</t>
  </si>
  <si>
    <t>=IF(AND($M4917&gt;=$Q$16,$M4917&lt;=$Q$18),U4917,0)</t>
  </si>
  <si>
    <t>=IF(AND($M4917&gt;=$R$16,$M4917&lt;=$R$18),U4917,0)</t>
  </si>
  <si>
    <t>=IF(AND($M4917&gt;=$S$16,$M4917&lt;=$S$18),U4917,0)</t>
  </si>
  <si>
    <t>=IF($M4917&lt;=$T$18,U4917,0)</t>
  </si>
  <si>
    <t>="""NAV Direct"",""CRONUS JetCorp USA"",""21"",""1"",""345325"""</t>
  </si>
  <si>
    <t>=E4916</t>
  </si>
  <si>
    <t>=StartDate-$M4918+1</t>
  </si>
  <si>
    <t>=SUM(P4918:T4918)</t>
  </si>
  <si>
    <t>=IF($M4918&gt;=$P$18,U4918,0)</t>
  </si>
  <si>
    <t>=IF(AND($M4918&gt;=$Q$16,$M4918&lt;=$Q$18),U4918,0)</t>
  </si>
  <si>
    <t>=IF(AND($M4918&gt;=$R$16,$M4918&lt;=$R$18),U4918,0)</t>
  </si>
  <si>
    <t>=IF(AND($M4918&gt;=$S$16,$M4918&lt;=$S$18),U4918,0)</t>
  </si>
  <si>
    <t>=IF($M4918&lt;=$T$18,U4918,0)</t>
  </si>
  <si>
    <t>="""NAV Direct"",""CRONUS JetCorp USA"",""21"",""1"",""345415"""</t>
  </si>
  <si>
    <t>=E4917</t>
  </si>
  <si>
    <t>=StartDate-$M4919+1</t>
  </si>
  <si>
    <t>=SUM(P4919:T4919)</t>
  </si>
  <si>
    <t>=IF($M4919&gt;=$P$18,U4919,0)</t>
  </si>
  <si>
    <t>=IF(AND($M4919&gt;=$Q$16,$M4919&lt;=$Q$18),U4919,0)</t>
  </si>
  <si>
    <t>=IF(AND($M4919&gt;=$R$16,$M4919&lt;=$R$18),U4919,0)</t>
  </si>
  <si>
    <t>=IF(AND($M4919&gt;=$S$16,$M4919&lt;=$S$18),U4919,0)</t>
  </si>
  <si>
    <t>=IF($M4919&lt;=$T$18,U4919,0)</t>
  </si>
  <si>
    <t>="""NAV Direct"",""CRONUS JetCorp USA"",""21"",""1"",""345729"""</t>
  </si>
  <si>
    <t>=E4918</t>
  </si>
  <si>
    <t>=StartDate-$M4920+1</t>
  </si>
  <si>
    <t>=SUM(P4920:T4920)</t>
  </si>
  <si>
    <t>=IF($M4920&gt;=$P$18,U4920,0)</t>
  </si>
  <si>
    <t>=IF(AND($M4920&gt;=$Q$16,$M4920&lt;=$Q$18),U4920,0)</t>
  </si>
  <si>
    <t>=IF(AND($M4920&gt;=$R$16,$M4920&lt;=$R$18),U4920,0)</t>
  </si>
  <si>
    <t>=IF(AND($M4920&gt;=$S$16,$M4920&lt;=$S$18),U4920,0)</t>
  </si>
  <si>
    <t>=IF($M4920&lt;=$T$18,U4920,0)</t>
  </si>
  <si>
    <t>="""NAV Direct"",""CRONUS JetCorp USA"",""21"",""1"",""345934"""</t>
  </si>
  <si>
    <t>=E4919</t>
  </si>
  <si>
    <t>=StartDate-$M4921+1</t>
  </si>
  <si>
    <t>=SUM(P4921:T4921)</t>
  </si>
  <si>
    <t>=IF($M4921&gt;=$P$18,U4921,0)</t>
  </si>
  <si>
    <t>=IF(AND($M4921&gt;=$Q$16,$M4921&lt;=$Q$18),U4921,0)</t>
  </si>
  <si>
    <t>=IF(AND($M4921&gt;=$R$16,$M4921&lt;=$R$18),U4921,0)</t>
  </si>
  <si>
    <t>=IF(AND($M4921&gt;=$S$16,$M4921&lt;=$S$18),U4921,0)</t>
  </si>
  <si>
    <t>=IF($M4921&lt;=$T$18,U4921,0)</t>
  </si>
  <si>
    <t>="""NAV Direct"",""CRONUS JetCorp USA"",""21"",""1"",""345975"""</t>
  </si>
  <si>
    <t>=E4920</t>
  </si>
  <si>
    <t>=StartDate-$M4922+1</t>
  </si>
  <si>
    <t>=SUM(P4922:T4922)</t>
  </si>
  <si>
    <t>=IF($M4922&gt;=$P$18,U4922,0)</t>
  </si>
  <si>
    <t>=IF(AND($M4922&gt;=$Q$16,$M4922&lt;=$Q$18),U4922,0)</t>
  </si>
  <si>
    <t>=IF(AND($M4922&gt;=$R$16,$M4922&lt;=$R$18),U4922,0)</t>
  </si>
  <si>
    <t>=IF(AND($M4922&gt;=$S$16,$M4922&lt;=$S$18),U4922,0)</t>
  </si>
  <si>
    <t>=IF($M4922&lt;=$T$18,U4922,0)</t>
  </si>
  <si>
    <t>="""NAV Direct"",""CRONUS JetCorp USA"",""21"",""1"",""347211"""</t>
  </si>
  <si>
    <t>=E4921</t>
  </si>
  <si>
    <t>=StartDate-$M4923+1</t>
  </si>
  <si>
    <t>=SUM(P4923:T4923)</t>
  </si>
  <si>
    <t>=IF($M4923&gt;=$P$18,U4923,0)</t>
  </si>
  <si>
    <t>=IF(AND($M4923&gt;=$Q$16,$M4923&lt;=$Q$18),U4923,0)</t>
  </si>
  <si>
    <t>=IF(AND($M4923&gt;=$R$16,$M4923&lt;=$R$18),U4923,0)</t>
  </si>
  <si>
    <t>=IF(AND($M4923&gt;=$S$16,$M4923&lt;=$S$18),U4923,0)</t>
  </si>
  <si>
    <t>=IF($M4923&lt;=$T$18,U4923,0)</t>
  </si>
  <si>
    <t>="""NAV Direct"",""CRONUS JetCorp USA"",""21"",""1"",""347470"""</t>
  </si>
  <si>
    <t>=E4922</t>
  </si>
  <si>
    <t>=StartDate-$M4924+1</t>
  </si>
  <si>
    <t>=SUM(P4924:T4924)</t>
  </si>
  <si>
    <t>=IF($M4924&gt;=$P$18,U4924,0)</t>
  </si>
  <si>
    <t>=IF(AND($M4924&gt;=$Q$16,$M4924&lt;=$Q$18),U4924,0)</t>
  </si>
  <si>
    <t>=IF(AND($M4924&gt;=$R$16,$M4924&lt;=$R$18),U4924,0)</t>
  </si>
  <si>
    <t>=IF(AND($M4924&gt;=$S$16,$M4924&lt;=$S$18),U4924,0)</t>
  </si>
  <si>
    <t>=IF($M4924&lt;=$T$18,U4924,0)</t>
  </si>
  <si>
    <t>="""NAV Direct"",""CRONUS JetCorp USA"",""21"",""1"",""347768"""</t>
  </si>
  <si>
    <t>=E4923</t>
  </si>
  <si>
    <t>=StartDate-$M4925+1</t>
  </si>
  <si>
    <t>=SUM(P4925:T4925)</t>
  </si>
  <si>
    <t>=IF($M4925&gt;=$P$18,U4925,0)</t>
  </si>
  <si>
    <t>=IF(AND($M4925&gt;=$Q$16,$M4925&lt;=$Q$18),U4925,0)</t>
  </si>
  <si>
    <t>=IF(AND($M4925&gt;=$R$16,$M4925&lt;=$R$18),U4925,0)</t>
  </si>
  <si>
    <t>=IF(AND($M4925&gt;=$S$16,$M4925&lt;=$S$18),U4925,0)</t>
  </si>
  <si>
    <t>=IF($M4925&lt;=$T$18,U4925,0)</t>
  </si>
  <si>
    <t>="""NAV Direct"",""CRONUS JetCorp USA"",""21"",""1"",""347809"""</t>
  </si>
  <si>
    <t>=E4924</t>
  </si>
  <si>
    <t>=StartDate-$M4926+1</t>
  </si>
  <si>
    <t>=SUM(P4926:T4926)</t>
  </si>
  <si>
    <t>=IF($M4926&gt;=$P$18,U4926,0)</t>
  </si>
  <si>
    <t>=IF(AND($M4926&gt;=$Q$16,$M4926&lt;=$Q$18),U4926,0)</t>
  </si>
  <si>
    <t>=IF(AND($M4926&gt;=$R$16,$M4926&lt;=$R$18),U4926,0)</t>
  </si>
  <si>
    <t>=IF(AND($M4926&gt;=$S$16,$M4926&lt;=$S$18),U4926,0)</t>
  </si>
  <si>
    <t>=IF($M4926&lt;=$T$18,U4926,0)</t>
  </si>
  <si>
    <t>="""NAV Direct"",""CRONUS JetCorp USA"",""21"",""1"",""348727"""</t>
  </si>
  <si>
    <t>=E4925</t>
  </si>
  <si>
    <t>=StartDate-$M4927+1</t>
  </si>
  <si>
    <t>=SUM(P4927:T4927)</t>
  </si>
  <si>
    <t>=IF($M4927&gt;=$P$18,U4927,0)</t>
  </si>
  <si>
    <t>=IF(AND($M4927&gt;=$Q$16,$M4927&lt;=$Q$18),U4927,0)</t>
  </si>
  <si>
    <t>=IF(AND($M4927&gt;=$R$16,$M4927&lt;=$R$18),U4927,0)</t>
  </si>
  <si>
    <t>=IF(AND($M4927&gt;=$S$16,$M4927&lt;=$S$18),U4927,0)</t>
  </si>
  <si>
    <t>=IF($M4927&lt;=$T$18,U4927,0)</t>
  </si>
  <si>
    <t>="""NAV Direct"",""CRONUS JetCorp USA"",""21"",""1"",""349189"""</t>
  </si>
  <si>
    <t>=E4926</t>
  </si>
  <si>
    <t>=StartDate-$M4928+1</t>
  </si>
  <si>
    <t>=SUM(P4928:T4928)</t>
  </si>
  <si>
    <t>=IF($M4928&gt;=$P$18,U4928,0)</t>
  </si>
  <si>
    <t>=IF(AND($M4928&gt;=$Q$16,$M4928&lt;=$Q$18),U4928,0)</t>
  </si>
  <si>
    <t>=IF(AND($M4928&gt;=$R$16,$M4928&lt;=$R$18),U4928,0)</t>
  </si>
  <si>
    <t>=IF(AND($M4928&gt;=$S$16,$M4928&lt;=$S$18),U4928,0)</t>
  </si>
  <si>
    <t>=IF($M4928&lt;=$T$18,U4928,0)</t>
  </si>
  <si>
    <t>="""NAV Direct"",""CRONUS JetCorp USA"",""21"",""1"",""349515"""</t>
  </si>
  <si>
    <t>=E4927</t>
  </si>
  <si>
    <t>=StartDate-$M4929+1</t>
  </si>
  <si>
    <t>=SUM(P4929:T4929)</t>
  </si>
  <si>
    <t>=IF($M4929&gt;=$P$18,U4929,0)</t>
  </si>
  <si>
    <t>=IF(AND($M4929&gt;=$Q$16,$M4929&lt;=$Q$18),U4929,0)</t>
  </si>
  <si>
    <t>=IF(AND($M4929&gt;=$R$16,$M4929&lt;=$R$18),U4929,0)</t>
  </si>
  <si>
    <t>=IF(AND($M4929&gt;=$S$16,$M4929&lt;=$S$18),U4929,0)</t>
  </si>
  <si>
    <t>=IF($M4929&lt;=$T$18,U4929,0)</t>
  </si>
  <si>
    <t>="""NAV Direct"",""CRONUS JetCorp USA"",""21"",""1"",""349630"""</t>
  </si>
  <si>
    <t>=E4928</t>
  </si>
  <si>
    <t>=StartDate-$M4930+1</t>
  </si>
  <si>
    <t>=SUM(P4930:T4930)</t>
  </si>
  <si>
    <t>=IF($M4930&gt;=$P$18,U4930,0)</t>
  </si>
  <si>
    <t>=IF(AND($M4930&gt;=$Q$16,$M4930&lt;=$Q$18),U4930,0)</t>
  </si>
  <si>
    <t>=IF(AND($M4930&gt;=$R$16,$M4930&lt;=$R$18),U4930,0)</t>
  </si>
  <si>
    <t>=IF(AND($M4930&gt;=$S$16,$M4930&lt;=$S$18),U4930,0)</t>
  </si>
  <si>
    <t>=IF($M4930&lt;=$T$18,U4930,0)</t>
  </si>
  <si>
    <t>="""NAV Direct"",""CRONUS JetCorp USA"",""21"",""1"",""349673"""</t>
  </si>
  <si>
    <t>=E4929</t>
  </si>
  <si>
    <t>=StartDate-$M4931+1</t>
  </si>
  <si>
    <t>=SUM(P4931:T4931)</t>
  </si>
  <si>
    <t>=IF($M4931&gt;=$P$18,U4931,0)</t>
  </si>
  <si>
    <t>=IF(AND($M4931&gt;=$Q$16,$M4931&lt;=$Q$18),U4931,0)</t>
  </si>
  <si>
    <t>=IF(AND($M4931&gt;=$R$16,$M4931&lt;=$R$18),U4931,0)</t>
  </si>
  <si>
    <t>=IF(AND($M4931&gt;=$S$16,$M4931&lt;=$S$18),U4931,0)</t>
  </si>
  <si>
    <t>=IF($M4931&lt;=$T$18,U4931,0)</t>
  </si>
  <si>
    <t>="""NAV Direct"",""CRONUS JetCorp USA"",""21"",""1"",""350341"""</t>
  </si>
  <si>
    <t>=E4930</t>
  </si>
  <si>
    <t>=StartDate-$M4932+1</t>
  </si>
  <si>
    <t>=SUM(P4932:T4932)</t>
  </si>
  <si>
    <t>=IF($M4932&gt;=$P$18,U4932,0)</t>
  </si>
  <si>
    <t>=IF(AND($M4932&gt;=$Q$16,$M4932&lt;=$Q$18),U4932,0)</t>
  </si>
  <si>
    <t>=IF(AND($M4932&gt;=$R$16,$M4932&lt;=$R$18),U4932,0)</t>
  </si>
  <si>
    <t>=IF(AND($M4932&gt;=$S$16,$M4932&lt;=$S$18),U4932,0)</t>
  </si>
  <si>
    <t>=IF($M4932&lt;=$T$18,U4932,0)</t>
  </si>
  <si>
    <t>="""NAV Direct"",""CRONUS JetCorp USA"",""21"",""1"",""350425"""</t>
  </si>
  <si>
    <t>=E4931</t>
  </si>
  <si>
    <t>=StartDate-$M4933+1</t>
  </si>
  <si>
    <t>=SUM(P4933:T4933)</t>
  </si>
  <si>
    <t>=IF($M4933&gt;=$P$18,U4933,0)</t>
  </si>
  <si>
    <t>=IF(AND($M4933&gt;=$Q$16,$M4933&lt;=$Q$18),U4933,0)</t>
  </si>
  <si>
    <t>=IF(AND($M4933&gt;=$R$16,$M4933&lt;=$R$18),U4933,0)</t>
  </si>
  <si>
    <t>=IF(AND($M4933&gt;=$S$16,$M4933&lt;=$S$18),U4933,0)</t>
  </si>
  <si>
    <t>=IF($M4933&lt;=$T$18,U4933,0)</t>
  </si>
  <si>
    <t>="""NAV Direct"",""CRONUS JetCorp USA"",""21"",""1"",""350581"""</t>
  </si>
  <si>
    <t>=E4932</t>
  </si>
  <si>
    <t>=StartDate-$M4934+1</t>
  </si>
  <si>
    <t>=SUM(P4934:T4934)</t>
  </si>
  <si>
    <t>=IF($M4934&gt;=$P$18,U4934,0)</t>
  </si>
  <si>
    <t>=IF(AND($M4934&gt;=$Q$16,$M4934&lt;=$Q$18),U4934,0)</t>
  </si>
  <si>
    <t>=IF(AND($M4934&gt;=$R$16,$M4934&lt;=$R$18),U4934,0)</t>
  </si>
  <si>
    <t>=IF(AND($M4934&gt;=$S$16,$M4934&lt;=$S$18),U4934,0)</t>
  </si>
  <si>
    <t>=IF($M4934&lt;=$T$18,U4934,0)</t>
  </si>
  <si>
    <t>="""NAV Direct"",""CRONUS JetCorp USA"",""21"",""1"",""351660"""</t>
  </si>
  <si>
    <t>=E4933</t>
  </si>
  <si>
    <t>=StartDate-$M4935+1</t>
  </si>
  <si>
    <t>=SUM(P4935:T4935)</t>
  </si>
  <si>
    <t>=IF($M4935&gt;=$P$18,U4935,0)</t>
  </si>
  <si>
    <t>=IF(AND($M4935&gt;=$Q$16,$M4935&lt;=$Q$18),U4935,0)</t>
  </si>
  <si>
    <t>=IF(AND($M4935&gt;=$R$16,$M4935&lt;=$R$18),U4935,0)</t>
  </si>
  <si>
    <t>=IF(AND($M4935&gt;=$S$16,$M4935&lt;=$S$18),U4935,0)</t>
  </si>
  <si>
    <t>=IF($M4935&lt;=$T$18,U4935,0)</t>
  </si>
  <si>
    <t>="""NAV Direct"",""CRONUS JetCorp USA"",""18"",""1"",""C100138"""</t>
  </si>
  <si>
    <t>=H4938</t>
  </si>
  <si>
    <t>=NF($C4938,"1 No.")</t>
  </si>
  <si>
    <t>=NF($C4938,"1 No.")&amp;"  -  "&amp;NF($C4938,"2 Name")</t>
  </si>
  <si>
    <t>=IFERROR(O4938/NF(C4938,"Credit Limit (LCY)"),"")</t>
  </si>
  <si>
    <t>=SUBTOTAL(3,L4939:L5028)</t>
  </si>
  <si>
    <t>=SUBTOTAL(9,O4939:O5028)</t>
  </si>
  <si>
    <t>=SUBTOTAL(9,P4939:P5028)</t>
  </si>
  <si>
    <t>=SUBTOTAL(9,Q4939:Q5028)</t>
  </si>
  <si>
    <t>=SUBTOTAL(9,R4939:R5028)</t>
  </si>
  <si>
    <t>=SUBTOTAL(9,S4939:S5028)</t>
  </si>
  <si>
    <t>=SUBTOTAL(9,T4939:T5028)</t>
  </si>
  <si>
    <t>=C4938</t>
  </si>
  <si>
    <t>=E4938</t>
  </si>
  <si>
    <t>="Contact: "&amp;NF($C4939,"8 Contact")</t>
  </si>
  <si>
    <t>=C4939</t>
  </si>
  <si>
    <t>=E4939</t>
  </si>
  <si>
    <t>=NF($C4940,"102 E-Mail")</t>
  </si>
  <si>
    <t>=NL("Rows","21 Cust. Ledger Entry",,"3 Customer No.","@@"&amp;$E4942,"16 Remaining Amt. (LCY)","&lt;&gt;0")</t>
  </si>
  <si>
    <t>=E4940</t>
  </si>
  <si>
    <t>=StartDate-$M4942+1</t>
  </si>
  <si>
    <t>=SUM(P4942:T4942)</t>
  </si>
  <si>
    <t>=IF($M4942&gt;=$P$18,U4942,0)</t>
  </si>
  <si>
    <t>=IF(AND($M4942&gt;=$Q$16,$M4942&lt;=$Q$18),U4942,0)</t>
  </si>
  <si>
    <t>=IF(AND($M4942&gt;=$R$16,$M4942&lt;=$R$18),U4942,0)</t>
  </si>
  <si>
    <t>=IF(AND($M4942&gt;=$S$16,$M4942&lt;=$S$18),U4942,0)</t>
  </si>
  <si>
    <t>=IF($M4942&lt;=$T$18,U4942,0)</t>
  </si>
  <si>
    <t>="""NAV Direct"",""CRONUS JetCorp USA"",""21"",""1"",""72388"""</t>
  </si>
  <si>
    <t>=E4941</t>
  </si>
  <si>
    <t>=StartDate-$M4943+1</t>
  </si>
  <si>
    <t>=SUM(P4943:T4943)</t>
  </si>
  <si>
    <t>=IF($M4943&gt;=$P$18,U4943,0)</t>
  </si>
  <si>
    <t>=IF(AND($M4943&gt;=$Q$16,$M4943&lt;=$Q$18),U4943,0)</t>
  </si>
  <si>
    <t>=IF(AND($M4943&gt;=$R$16,$M4943&lt;=$R$18),U4943,0)</t>
  </si>
  <si>
    <t>=IF(AND($M4943&gt;=$S$16,$M4943&lt;=$S$18),U4943,0)</t>
  </si>
  <si>
    <t>=IF($M4943&lt;=$T$18,U4943,0)</t>
  </si>
  <si>
    <t>="""NAV Direct"",""CRONUS JetCorp USA"",""21"",""1"",""72532"""</t>
  </si>
  <si>
    <t>=E4942</t>
  </si>
  <si>
    <t>=StartDate-$M4944+1</t>
  </si>
  <si>
    <t>=SUM(P4944:T4944)</t>
  </si>
  <si>
    <t>=IF($M4944&gt;=$P$18,U4944,0)</t>
  </si>
  <si>
    <t>=IF(AND($M4944&gt;=$Q$16,$M4944&lt;=$Q$18),U4944,0)</t>
  </si>
  <si>
    <t>=IF(AND($M4944&gt;=$R$16,$M4944&lt;=$R$18),U4944,0)</t>
  </si>
  <si>
    <t>=IF(AND($M4944&gt;=$S$16,$M4944&lt;=$S$18),U4944,0)</t>
  </si>
  <si>
    <t>=IF($M4944&lt;=$T$18,U4944,0)</t>
  </si>
  <si>
    <t>="""NAV Direct"",""CRONUS JetCorp USA"",""21"",""1"",""72616"""</t>
  </si>
  <si>
    <t>=E4943</t>
  </si>
  <si>
    <t>=StartDate-$M4945+1</t>
  </si>
  <si>
    <t>=SUM(P4945:T4945)</t>
  </si>
  <si>
    <t>=IF($M4945&gt;=$P$18,U4945,0)</t>
  </si>
  <si>
    <t>=IF(AND($M4945&gt;=$Q$16,$M4945&lt;=$Q$18),U4945,0)</t>
  </si>
  <si>
    <t>=IF(AND($M4945&gt;=$R$16,$M4945&lt;=$R$18),U4945,0)</t>
  </si>
  <si>
    <t>=IF(AND($M4945&gt;=$S$16,$M4945&lt;=$S$18),U4945,0)</t>
  </si>
  <si>
    <t>=IF($M4945&lt;=$T$18,U4945,0)</t>
  </si>
  <si>
    <t>="""NAV Direct"",""CRONUS JetCorp USA"",""21"",""1"",""72725"""</t>
  </si>
  <si>
    <t>=E4944</t>
  </si>
  <si>
    <t>=StartDate-$M4946+1</t>
  </si>
  <si>
    <t>=SUM(P4946:T4946)</t>
  </si>
  <si>
    <t>=IF($M4946&gt;=$P$18,U4946,0)</t>
  </si>
  <si>
    <t>=IF(AND($M4946&gt;=$Q$16,$M4946&lt;=$Q$18),U4946,0)</t>
  </si>
  <si>
    <t>=IF(AND($M4946&gt;=$R$16,$M4946&lt;=$R$18),U4946,0)</t>
  </si>
  <si>
    <t>=IF(AND($M4946&gt;=$S$16,$M4946&lt;=$S$18),U4946,0)</t>
  </si>
  <si>
    <t>=IF($M4946&lt;=$T$18,U4946,0)</t>
  </si>
  <si>
    <t>="""NAV Direct"",""CRONUS JetCorp USA"",""21"",""1"",""352396"""</t>
  </si>
  <si>
    <t>=E4945</t>
  </si>
  <si>
    <t>=StartDate-$M4947+1</t>
  </si>
  <si>
    <t>=SUM(P4947:T4947)</t>
  </si>
  <si>
    <t>=IF($M4947&gt;=$P$18,U4947,0)</t>
  </si>
  <si>
    <t>=IF(AND($M4947&gt;=$Q$16,$M4947&lt;=$Q$18),U4947,0)</t>
  </si>
  <si>
    <t>=IF(AND($M4947&gt;=$R$16,$M4947&lt;=$R$18),U4947,0)</t>
  </si>
  <si>
    <t>=IF(AND($M4947&gt;=$S$16,$M4947&lt;=$S$18),U4947,0)</t>
  </si>
  <si>
    <t>=IF($M4947&lt;=$T$18,U4947,0)</t>
  </si>
  <si>
    <t>="""NAV Direct"",""CRONUS JetCorp USA"",""21"",""1"",""352489"""</t>
  </si>
  <si>
    <t>=E4946</t>
  </si>
  <si>
    <t>=StartDate-$M4948+1</t>
  </si>
  <si>
    <t>=SUM(P4948:T4948)</t>
  </si>
  <si>
    <t>=IF($M4948&gt;=$P$18,U4948,0)</t>
  </si>
  <si>
    <t>=IF(AND($M4948&gt;=$Q$16,$M4948&lt;=$Q$18),U4948,0)</t>
  </si>
  <si>
    <t>=IF(AND($M4948&gt;=$R$16,$M4948&lt;=$R$18),U4948,0)</t>
  </si>
  <si>
    <t>=IF(AND($M4948&gt;=$S$16,$M4948&lt;=$S$18),U4948,0)</t>
  </si>
  <si>
    <t>=IF($M4948&lt;=$T$18,U4948,0)</t>
  </si>
  <si>
    <t>="""NAV Direct"",""CRONUS JetCorp USA"",""21"",""1"",""352547"""</t>
  </si>
  <si>
    <t>=E4947</t>
  </si>
  <si>
    <t>=StartDate-$M4949+1</t>
  </si>
  <si>
    <t>=SUM(P4949:T4949)</t>
  </si>
  <si>
    <t>=IF($M4949&gt;=$P$18,U4949,0)</t>
  </si>
  <si>
    <t>=IF(AND($M4949&gt;=$Q$16,$M4949&lt;=$Q$18),U4949,0)</t>
  </si>
  <si>
    <t>=IF(AND($M4949&gt;=$R$16,$M4949&lt;=$R$18),U4949,0)</t>
  </si>
  <si>
    <t>=IF(AND($M4949&gt;=$S$16,$M4949&lt;=$S$18),U4949,0)</t>
  </si>
  <si>
    <t>=IF($M4949&lt;=$T$18,U4949,0)</t>
  </si>
  <si>
    <t>="""NAV Direct"",""CRONUS JetCorp USA"",""21"",""1"",""352582"""</t>
  </si>
  <si>
    <t>=E4948</t>
  </si>
  <si>
    <t>=StartDate-$M4950+1</t>
  </si>
  <si>
    <t>=SUM(P4950:T4950)</t>
  </si>
  <si>
    <t>=IF($M4950&gt;=$P$18,U4950,0)</t>
  </si>
  <si>
    <t>=IF(AND($M4950&gt;=$Q$16,$M4950&lt;=$Q$18),U4950,0)</t>
  </si>
  <si>
    <t>=IF(AND($M4950&gt;=$R$16,$M4950&lt;=$R$18),U4950,0)</t>
  </si>
  <si>
    <t>=IF(AND($M4950&gt;=$S$16,$M4950&lt;=$S$18),U4950,0)</t>
  </si>
  <si>
    <t>=IF($M4950&lt;=$T$18,U4950,0)</t>
  </si>
  <si>
    <t>="""NAV Direct"",""CRONUS JetCorp USA"",""21"",""1"",""352685"""</t>
  </si>
  <si>
    <t>=E4949</t>
  </si>
  <si>
    <t>=StartDate-$M4951+1</t>
  </si>
  <si>
    <t>=SUM(P4951:T4951)</t>
  </si>
  <si>
    <t>=IF($M4951&gt;=$P$18,U4951,0)</t>
  </si>
  <si>
    <t>=IF(AND($M4951&gt;=$Q$16,$M4951&lt;=$Q$18),U4951,0)</t>
  </si>
  <si>
    <t>=IF(AND($M4951&gt;=$R$16,$M4951&lt;=$R$18),U4951,0)</t>
  </si>
  <si>
    <t>=IF(AND($M4951&gt;=$S$16,$M4951&lt;=$S$18),U4951,0)</t>
  </si>
  <si>
    <t>=IF($M4951&lt;=$T$18,U4951,0)</t>
  </si>
  <si>
    <t>="""NAV Direct"",""CRONUS JetCorp USA"",""21"",""1"",""352787"""</t>
  </si>
  <si>
    <t>=E4950</t>
  </si>
  <si>
    <t>=StartDate-$M4952+1</t>
  </si>
  <si>
    <t>=SUM(P4952:T4952)</t>
  </si>
  <si>
    <t>=IF($M4952&gt;=$P$18,U4952,0)</t>
  </si>
  <si>
    <t>=IF(AND($M4952&gt;=$Q$16,$M4952&lt;=$Q$18),U4952,0)</t>
  </si>
  <si>
    <t>=IF(AND($M4952&gt;=$R$16,$M4952&lt;=$R$18),U4952,0)</t>
  </si>
  <si>
    <t>=IF(AND($M4952&gt;=$S$16,$M4952&lt;=$S$18),U4952,0)</t>
  </si>
  <si>
    <t>=IF($M4952&lt;=$T$18,U4952,0)</t>
  </si>
  <si>
    <t>="""NAV Direct"",""CRONUS JetCorp USA"",""21"",""1"",""352946"""</t>
  </si>
  <si>
    <t>=E4951</t>
  </si>
  <si>
    <t>=StartDate-$M4953+1</t>
  </si>
  <si>
    <t>=SUM(P4953:T4953)</t>
  </si>
  <si>
    <t>=IF($M4953&gt;=$P$18,U4953,0)</t>
  </si>
  <si>
    <t>=IF(AND($M4953&gt;=$Q$16,$M4953&lt;=$Q$18),U4953,0)</t>
  </si>
  <si>
    <t>=IF(AND($M4953&gt;=$R$16,$M4953&lt;=$R$18),U4953,0)</t>
  </si>
  <si>
    <t>=IF(AND($M4953&gt;=$S$16,$M4953&lt;=$S$18),U4953,0)</t>
  </si>
  <si>
    <t>=IF($M4953&lt;=$T$18,U4953,0)</t>
  </si>
  <si>
    <t>="""NAV Direct"",""CRONUS JetCorp USA"",""21"",""1"",""352977"""</t>
  </si>
  <si>
    <t>=E4952</t>
  </si>
  <si>
    <t>=StartDate-$M4954+1</t>
  </si>
  <si>
    <t>=SUM(P4954:T4954)</t>
  </si>
  <si>
    <t>=IF($M4954&gt;=$P$18,U4954,0)</t>
  </si>
  <si>
    <t>=IF(AND($M4954&gt;=$Q$16,$M4954&lt;=$Q$18),U4954,0)</t>
  </si>
  <si>
    <t>=IF(AND($M4954&gt;=$R$16,$M4954&lt;=$R$18),U4954,0)</t>
  </si>
  <si>
    <t>=IF(AND($M4954&gt;=$S$16,$M4954&lt;=$S$18),U4954,0)</t>
  </si>
  <si>
    <t>=IF($M4954&lt;=$T$18,U4954,0)</t>
  </si>
  <si>
    <t>="""NAV Direct"",""CRONUS JetCorp USA"",""21"",""1"",""353006"""</t>
  </si>
  <si>
    <t>=E4953</t>
  </si>
  <si>
    <t>=StartDate-$M4955+1</t>
  </si>
  <si>
    <t>=SUM(P4955:T4955)</t>
  </si>
  <si>
    <t>=IF($M4955&gt;=$P$18,U4955,0)</t>
  </si>
  <si>
    <t>=IF(AND($M4955&gt;=$Q$16,$M4955&lt;=$Q$18),U4955,0)</t>
  </si>
  <si>
    <t>=IF(AND($M4955&gt;=$R$16,$M4955&lt;=$R$18),U4955,0)</t>
  </si>
  <si>
    <t>=IF(AND($M4955&gt;=$S$16,$M4955&lt;=$S$18),U4955,0)</t>
  </si>
  <si>
    <t>=IF($M4955&lt;=$T$18,U4955,0)</t>
  </si>
  <si>
    <t>="""NAV Direct"",""CRONUS JetCorp USA"",""21"",""1"",""353033"""</t>
  </si>
  <si>
    <t>=E4954</t>
  </si>
  <si>
    <t>=StartDate-$M4956+1</t>
  </si>
  <si>
    <t>=SUM(P4956:T4956)</t>
  </si>
  <si>
    <t>=IF($M4956&gt;=$P$18,U4956,0)</t>
  </si>
  <si>
    <t>=IF(AND($M4956&gt;=$Q$16,$M4956&lt;=$Q$18),U4956,0)</t>
  </si>
  <si>
    <t>=IF(AND($M4956&gt;=$R$16,$M4956&lt;=$R$18),U4956,0)</t>
  </si>
  <si>
    <t>=IF(AND($M4956&gt;=$S$16,$M4956&lt;=$S$18),U4956,0)</t>
  </si>
  <si>
    <t>=IF($M4956&lt;=$T$18,U4956,0)</t>
  </si>
  <si>
    <t>="""NAV Direct"",""CRONUS JetCorp USA"",""21"",""1"",""353072"""</t>
  </si>
  <si>
    <t>=E4955</t>
  </si>
  <si>
    <t>=StartDate-$M4957+1</t>
  </si>
  <si>
    <t>=SUM(P4957:T4957)</t>
  </si>
  <si>
    <t>=IF($M4957&gt;=$P$18,U4957,0)</t>
  </si>
  <si>
    <t>=IF(AND($M4957&gt;=$Q$16,$M4957&lt;=$Q$18),U4957,0)</t>
  </si>
  <si>
    <t>=IF(AND($M4957&gt;=$R$16,$M4957&lt;=$R$18),U4957,0)</t>
  </si>
  <si>
    <t>=IF(AND($M4957&gt;=$S$16,$M4957&lt;=$S$18),U4957,0)</t>
  </si>
  <si>
    <t>=IF($M4957&lt;=$T$18,U4957,0)</t>
  </si>
  <si>
    <t>="""NAV Direct"",""CRONUS JetCorp USA"",""21"",""1"",""353181"""</t>
  </si>
  <si>
    <t>=E4956</t>
  </si>
  <si>
    <t>=StartDate-$M4958+1</t>
  </si>
  <si>
    <t>=SUM(P4958:T4958)</t>
  </si>
  <si>
    <t>=IF($M4958&gt;=$P$18,U4958,0)</t>
  </si>
  <si>
    <t>=IF(AND($M4958&gt;=$Q$16,$M4958&lt;=$Q$18),U4958,0)</t>
  </si>
  <si>
    <t>=IF(AND($M4958&gt;=$R$16,$M4958&lt;=$R$18),U4958,0)</t>
  </si>
  <si>
    <t>=IF(AND($M4958&gt;=$S$16,$M4958&lt;=$S$18),U4958,0)</t>
  </si>
  <si>
    <t>=IF($M4958&lt;=$T$18,U4958,0)</t>
  </si>
  <si>
    <t>="""NAV Direct"",""CRONUS JetCorp USA"",""21"",""1"",""353325"""</t>
  </si>
  <si>
    <t>=E4957</t>
  </si>
  <si>
    <t>=StartDate-$M4959+1</t>
  </si>
  <si>
    <t>=SUM(P4959:T4959)</t>
  </si>
  <si>
    <t>=IF($M4959&gt;=$P$18,U4959,0)</t>
  </si>
  <si>
    <t>=IF(AND($M4959&gt;=$Q$16,$M4959&lt;=$Q$18),U4959,0)</t>
  </si>
  <si>
    <t>=IF(AND($M4959&gt;=$R$16,$M4959&lt;=$R$18),U4959,0)</t>
  </si>
  <si>
    <t>=IF(AND($M4959&gt;=$S$16,$M4959&lt;=$S$18),U4959,0)</t>
  </si>
  <si>
    <t>=IF($M4959&lt;=$T$18,U4959,0)</t>
  </si>
  <si>
    <t>="""NAV Direct"",""CRONUS JetCorp USA"",""21"",""1"",""353356"""</t>
  </si>
  <si>
    <t>=E4958</t>
  </si>
  <si>
    <t>=StartDate-$M4960+1</t>
  </si>
  <si>
    <t>=SUM(P4960:T4960)</t>
  </si>
  <si>
    <t>=IF($M4960&gt;=$P$18,U4960,0)</t>
  </si>
  <si>
    <t>=IF(AND($M4960&gt;=$Q$16,$M4960&lt;=$Q$18),U4960,0)</t>
  </si>
  <si>
    <t>=IF(AND($M4960&gt;=$R$16,$M4960&lt;=$R$18),U4960,0)</t>
  </si>
  <si>
    <t>=IF(AND($M4960&gt;=$S$16,$M4960&lt;=$S$18),U4960,0)</t>
  </si>
  <si>
    <t>=IF($M4960&lt;=$T$18,U4960,0)</t>
  </si>
  <si>
    <t>="""NAV Direct"",""CRONUS JetCorp USA"",""21"",""1"",""353436"""</t>
  </si>
  <si>
    <t>=E4959</t>
  </si>
  <si>
    <t>=StartDate-$M4961+1</t>
  </si>
  <si>
    <t>=SUM(P4961:T4961)</t>
  </si>
  <si>
    <t>=IF($M4961&gt;=$P$18,U4961,0)</t>
  </si>
  <si>
    <t>=IF(AND($M4961&gt;=$Q$16,$M4961&lt;=$Q$18),U4961,0)</t>
  </si>
  <si>
    <t>=IF(AND($M4961&gt;=$R$16,$M4961&lt;=$R$18),U4961,0)</t>
  </si>
  <si>
    <t>=IF(AND($M4961&gt;=$S$16,$M4961&lt;=$S$18),U4961,0)</t>
  </si>
  <si>
    <t>=IF($M4961&lt;=$T$18,U4961,0)</t>
  </si>
  <si>
    <t>="""NAV Direct"",""CRONUS JetCorp USA"",""21"",""1"",""353533"""</t>
  </si>
  <si>
    <t>=E4960</t>
  </si>
  <si>
    <t>=StartDate-$M4962+1</t>
  </si>
  <si>
    <t>=SUM(P4962:T4962)</t>
  </si>
  <si>
    <t>=IF($M4962&gt;=$P$18,U4962,0)</t>
  </si>
  <si>
    <t>=IF(AND($M4962&gt;=$Q$16,$M4962&lt;=$Q$18),U4962,0)</t>
  </si>
  <si>
    <t>=IF(AND($M4962&gt;=$R$16,$M4962&lt;=$R$18),U4962,0)</t>
  </si>
  <si>
    <t>=IF(AND($M4962&gt;=$S$16,$M4962&lt;=$S$18),U4962,0)</t>
  </si>
  <si>
    <t>=IF($M4962&lt;=$T$18,U4962,0)</t>
  </si>
  <si>
    <t>="""NAV Direct"",""CRONUS JetCorp USA"",""21"",""1"",""353572"""</t>
  </si>
  <si>
    <t>=E4961</t>
  </si>
  <si>
    <t>=StartDate-$M4963+1</t>
  </si>
  <si>
    <t>=SUM(P4963:T4963)</t>
  </si>
  <si>
    <t>=IF($M4963&gt;=$P$18,U4963,0)</t>
  </si>
  <si>
    <t>=IF(AND($M4963&gt;=$Q$16,$M4963&lt;=$Q$18),U4963,0)</t>
  </si>
  <si>
    <t>=IF(AND($M4963&gt;=$R$16,$M4963&lt;=$R$18),U4963,0)</t>
  </si>
  <si>
    <t>=IF(AND($M4963&gt;=$S$16,$M4963&lt;=$S$18),U4963,0)</t>
  </si>
  <si>
    <t>=IF($M4963&lt;=$T$18,U4963,0)</t>
  </si>
  <si>
    <t>="""NAV Direct"",""CRONUS JetCorp USA"",""21"",""1"",""353823"""</t>
  </si>
  <si>
    <t>=E4962</t>
  </si>
  <si>
    <t>=StartDate-$M4964+1</t>
  </si>
  <si>
    <t>=SUM(P4964:T4964)</t>
  </si>
  <si>
    <t>=IF($M4964&gt;=$P$18,U4964,0)</t>
  </si>
  <si>
    <t>=IF(AND($M4964&gt;=$Q$16,$M4964&lt;=$Q$18),U4964,0)</t>
  </si>
  <si>
    <t>=IF(AND($M4964&gt;=$R$16,$M4964&lt;=$R$18),U4964,0)</t>
  </si>
  <si>
    <t>=IF(AND($M4964&gt;=$S$16,$M4964&lt;=$S$18),U4964,0)</t>
  </si>
  <si>
    <t>=IF($M4964&lt;=$T$18,U4964,0)</t>
  </si>
  <si>
    <t>="""NAV Direct"",""CRONUS JetCorp USA"",""21"",""1"",""353868"""</t>
  </si>
  <si>
    <t>=E4963</t>
  </si>
  <si>
    <t>=StartDate-$M4965+1</t>
  </si>
  <si>
    <t>=SUM(P4965:T4965)</t>
  </si>
  <si>
    <t>=IF($M4965&gt;=$P$18,U4965,0)</t>
  </si>
  <si>
    <t>=IF(AND($M4965&gt;=$Q$16,$M4965&lt;=$Q$18),U4965,0)</t>
  </si>
  <si>
    <t>=IF(AND($M4965&gt;=$R$16,$M4965&lt;=$R$18),U4965,0)</t>
  </si>
  <si>
    <t>=IF(AND($M4965&gt;=$S$16,$M4965&lt;=$S$18),U4965,0)</t>
  </si>
  <si>
    <t>=IF($M4965&lt;=$T$18,U4965,0)</t>
  </si>
  <si>
    <t>="""NAV Direct"",""CRONUS JetCorp USA"",""21"",""1"",""354094"""</t>
  </si>
  <si>
    <t>=E4964</t>
  </si>
  <si>
    <t>=StartDate-$M4966+1</t>
  </si>
  <si>
    <t>=SUM(P4966:T4966)</t>
  </si>
  <si>
    <t>=IF($M4966&gt;=$P$18,U4966,0)</t>
  </si>
  <si>
    <t>=IF(AND($M4966&gt;=$Q$16,$M4966&lt;=$Q$18),U4966,0)</t>
  </si>
  <si>
    <t>=IF(AND($M4966&gt;=$R$16,$M4966&lt;=$R$18),U4966,0)</t>
  </si>
  <si>
    <t>=IF(AND($M4966&gt;=$S$16,$M4966&lt;=$S$18),U4966,0)</t>
  </si>
  <si>
    <t>=IF($M4966&lt;=$T$18,U4966,0)</t>
  </si>
  <si>
    <t>="""NAV Direct"",""CRONUS JetCorp USA"",""21"",""1"",""354191"""</t>
  </si>
  <si>
    <t>=E4965</t>
  </si>
  <si>
    <t>=StartDate-$M4967+1</t>
  </si>
  <si>
    <t>=SUM(P4967:T4967)</t>
  </si>
  <si>
    <t>=IF($M4967&gt;=$P$18,U4967,0)</t>
  </si>
  <si>
    <t>=IF(AND($M4967&gt;=$Q$16,$M4967&lt;=$Q$18),U4967,0)</t>
  </si>
  <si>
    <t>=IF(AND($M4967&gt;=$R$16,$M4967&lt;=$R$18),U4967,0)</t>
  </si>
  <si>
    <t>=IF(AND($M4967&gt;=$S$16,$M4967&lt;=$S$18),U4967,0)</t>
  </si>
  <si>
    <t>=IF($M4967&lt;=$T$18,U4967,0)</t>
  </si>
  <si>
    <t>="""NAV Direct"",""CRONUS JetCorp USA"",""21"",""1"",""354220"""</t>
  </si>
  <si>
    <t>=E4966</t>
  </si>
  <si>
    <t>=StartDate-$M4968+1</t>
  </si>
  <si>
    <t>=SUM(P4968:T4968)</t>
  </si>
  <si>
    <t>=IF($M4968&gt;=$P$18,U4968,0)</t>
  </si>
  <si>
    <t>=IF(AND($M4968&gt;=$Q$16,$M4968&lt;=$Q$18),U4968,0)</t>
  </si>
  <si>
    <t>=IF(AND($M4968&gt;=$R$16,$M4968&lt;=$R$18),U4968,0)</t>
  </si>
  <si>
    <t>=IF(AND($M4968&gt;=$S$16,$M4968&lt;=$S$18),U4968,0)</t>
  </si>
  <si>
    <t>=IF($M4968&lt;=$T$18,U4968,0)</t>
  </si>
  <si>
    <t>="""NAV Direct"",""CRONUS JetCorp USA"",""21"",""1"",""354257"""</t>
  </si>
  <si>
    <t>=E4967</t>
  </si>
  <si>
    <t>=StartDate-$M4969+1</t>
  </si>
  <si>
    <t>=SUM(P4969:T4969)</t>
  </si>
  <si>
    <t>=IF($M4969&gt;=$P$18,U4969,0)</t>
  </si>
  <si>
    <t>=IF(AND($M4969&gt;=$Q$16,$M4969&lt;=$Q$18),U4969,0)</t>
  </si>
  <si>
    <t>=IF(AND($M4969&gt;=$R$16,$M4969&lt;=$R$18),U4969,0)</t>
  </si>
  <si>
    <t>=IF(AND($M4969&gt;=$S$16,$M4969&lt;=$S$18),U4969,0)</t>
  </si>
  <si>
    <t>=IF($M4969&lt;=$T$18,U4969,0)</t>
  </si>
  <si>
    <t>="""NAV Direct"",""CRONUS JetCorp USA"",""21"",""1"",""354574"""</t>
  </si>
  <si>
    <t>=E4968</t>
  </si>
  <si>
    <t>=StartDate-$M4970+1</t>
  </si>
  <si>
    <t>=SUM(P4970:T4970)</t>
  </si>
  <si>
    <t>=IF($M4970&gt;=$P$18,U4970,0)</t>
  </si>
  <si>
    <t>=IF(AND($M4970&gt;=$Q$16,$M4970&lt;=$Q$18),U4970,0)</t>
  </si>
  <si>
    <t>=IF(AND($M4970&gt;=$R$16,$M4970&lt;=$R$18),U4970,0)</t>
  </si>
  <si>
    <t>=IF(AND($M4970&gt;=$S$16,$M4970&lt;=$S$18),U4970,0)</t>
  </si>
  <si>
    <t>=IF($M4970&lt;=$T$18,U4970,0)</t>
  </si>
  <si>
    <t>="""NAV Direct"",""CRONUS JetCorp USA"",""21"",""1"",""354741"""</t>
  </si>
  <si>
    <t>=E4969</t>
  </si>
  <si>
    <t>=StartDate-$M4971+1</t>
  </si>
  <si>
    <t>=SUM(P4971:T4971)</t>
  </si>
  <si>
    <t>=IF($M4971&gt;=$P$18,U4971,0)</t>
  </si>
  <si>
    <t>=IF(AND($M4971&gt;=$Q$16,$M4971&lt;=$Q$18),U4971,0)</t>
  </si>
  <si>
    <t>=IF(AND($M4971&gt;=$R$16,$M4971&lt;=$R$18),U4971,0)</t>
  </si>
  <si>
    <t>=IF(AND($M4971&gt;=$S$16,$M4971&lt;=$S$18),U4971,0)</t>
  </si>
  <si>
    <t>=IF($M4971&lt;=$T$18,U4971,0)</t>
  </si>
  <si>
    <t>="""NAV Direct"",""CRONUS JetCorp USA"",""21"",""1"",""354877"""</t>
  </si>
  <si>
    <t>=E4970</t>
  </si>
  <si>
    <t>=StartDate-$M4972+1</t>
  </si>
  <si>
    <t>=SUM(P4972:T4972)</t>
  </si>
  <si>
    <t>=IF($M4972&gt;=$P$18,U4972,0)</t>
  </si>
  <si>
    <t>=IF(AND($M4972&gt;=$Q$16,$M4972&lt;=$Q$18),U4972,0)</t>
  </si>
  <si>
    <t>=IF(AND($M4972&gt;=$R$16,$M4972&lt;=$R$18),U4972,0)</t>
  </si>
  <si>
    <t>=IF(AND($M4972&gt;=$S$16,$M4972&lt;=$S$18),U4972,0)</t>
  </si>
  <si>
    <t>=IF($M4972&lt;=$T$18,U4972,0)</t>
  </si>
  <si>
    <t>="""NAV Direct"",""CRONUS JetCorp USA"",""21"",""1"",""355128"""</t>
  </si>
  <si>
    <t>=E4971</t>
  </si>
  <si>
    <t>=StartDate-$M4973+1</t>
  </si>
  <si>
    <t>=SUM(P4973:T4973)</t>
  </si>
  <si>
    <t>=IF($M4973&gt;=$P$18,U4973,0)</t>
  </si>
  <si>
    <t>=IF(AND($M4973&gt;=$Q$16,$M4973&lt;=$Q$18),U4973,0)</t>
  </si>
  <si>
    <t>=IF(AND($M4973&gt;=$R$16,$M4973&lt;=$R$18),U4973,0)</t>
  </si>
  <si>
    <t>=IF(AND($M4973&gt;=$S$16,$M4973&lt;=$S$18),U4973,0)</t>
  </si>
  <si>
    <t>=IF($M4973&lt;=$T$18,U4973,0)</t>
  </si>
  <si>
    <t>="""NAV Direct"",""CRONUS JetCorp USA"",""21"",""1"",""355184"""</t>
  </si>
  <si>
    <t>=E4972</t>
  </si>
  <si>
    <t>=StartDate-$M4974+1</t>
  </si>
  <si>
    <t>=SUM(P4974:T4974)</t>
  </si>
  <si>
    <t>=IF($M4974&gt;=$P$18,U4974,0)</t>
  </si>
  <si>
    <t>=IF(AND($M4974&gt;=$Q$16,$M4974&lt;=$Q$18),U4974,0)</t>
  </si>
  <si>
    <t>=IF(AND($M4974&gt;=$R$16,$M4974&lt;=$R$18),U4974,0)</t>
  </si>
  <si>
    <t>=IF(AND($M4974&gt;=$S$16,$M4974&lt;=$S$18),U4974,0)</t>
  </si>
  <si>
    <t>=IF($M4974&lt;=$T$18,U4974,0)</t>
  </si>
  <si>
    <t>="""NAV Direct"",""CRONUS JetCorp USA"",""21"",""1"",""355219"""</t>
  </si>
  <si>
    <t>=E4973</t>
  </si>
  <si>
    <t>=StartDate-$M4975+1</t>
  </si>
  <si>
    <t>=SUM(P4975:T4975)</t>
  </si>
  <si>
    <t>=IF($M4975&gt;=$P$18,U4975,0)</t>
  </si>
  <si>
    <t>=IF(AND($M4975&gt;=$Q$16,$M4975&lt;=$Q$18),U4975,0)</t>
  </si>
  <si>
    <t>=IF(AND($M4975&gt;=$R$16,$M4975&lt;=$R$18),U4975,0)</t>
  </si>
  <si>
    <t>=IF(AND($M4975&gt;=$S$16,$M4975&lt;=$S$18),U4975,0)</t>
  </si>
  <si>
    <t>=IF($M4975&lt;=$T$18,U4975,0)</t>
  </si>
  <si>
    <t>="""NAV Direct"",""CRONUS JetCorp USA"",""21"",""1"",""355326"""</t>
  </si>
  <si>
    <t>=E4974</t>
  </si>
  <si>
    <t>=StartDate-$M4976+1</t>
  </si>
  <si>
    <t>=SUM(P4976:T4976)</t>
  </si>
  <si>
    <t>=IF($M4976&gt;=$P$18,U4976,0)</t>
  </si>
  <si>
    <t>=IF(AND($M4976&gt;=$Q$16,$M4976&lt;=$Q$18),U4976,0)</t>
  </si>
  <si>
    <t>=IF(AND($M4976&gt;=$R$16,$M4976&lt;=$R$18),U4976,0)</t>
  </si>
  <si>
    <t>=IF(AND($M4976&gt;=$S$16,$M4976&lt;=$S$18),U4976,0)</t>
  </si>
  <si>
    <t>=IF($M4976&lt;=$T$18,U4976,0)</t>
  </si>
  <si>
    <t>="""NAV Direct"",""CRONUS JetCorp USA"",""21"",""1"",""355501"""</t>
  </si>
  <si>
    <t>=E4975</t>
  </si>
  <si>
    <t>=StartDate-$M4977+1</t>
  </si>
  <si>
    <t>=SUM(P4977:T4977)</t>
  </si>
  <si>
    <t>=IF($M4977&gt;=$P$18,U4977,0)</t>
  </si>
  <si>
    <t>=IF(AND($M4977&gt;=$Q$16,$M4977&lt;=$Q$18),U4977,0)</t>
  </si>
  <si>
    <t>=IF(AND($M4977&gt;=$R$16,$M4977&lt;=$R$18),U4977,0)</t>
  </si>
  <si>
    <t>=IF(AND($M4977&gt;=$S$16,$M4977&lt;=$S$18),U4977,0)</t>
  </si>
  <si>
    <t>=IF($M4977&lt;=$T$18,U4977,0)</t>
  </si>
  <si>
    <t>="""NAV Direct"",""CRONUS JetCorp USA"",""21"",""1"",""355550"""</t>
  </si>
  <si>
    <t>=E4976</t>
  </si>
  <si>
    <t>=StartDate-$M4978+1</t>
  </si>
  <si>
    <t>=SUM(P4978:T4978)</t>
  </si>
  <si>
    <t>=IF($M4978&gt;=$P$18,U4978,0)</t>
  </si>
  <si>
    <t>=IF(AND($M4978&gt;=$Q$16,$M4978&lt;=$Q$18),U4978,0)</t>
  </si>
  <si>
    <t>=IF(AND($M4978&gt;=$R$16,$M4978&lt;=$R$18),U4978,0)</t>
  </si>
  <si>
    <t>=IF(AND($M4978&gt;=$S$16,$M4978&lt;=$S$18),U4978,0)</t>
  </si>
  <si>
    <t>=IF($M4978&lt;=$T$18,U4978,0)</t>
  </si>
  <si>
    <t>="""NAV Direct"",""CRONUS JetCorp USA"",""21"",""1"",""355791"""</t>
  </si>
  <si>
    <t>=E4977</t>
  </si>
  <si>
    <t>=StartDate-$M4979+1</t>
  </si>
  <si>
    <t>=SUM(P4979:T4979)</t>
  </si>
  <si>
    <t>=IF($M4979&gt;=$P$18,U4979,0)</t>
  </si>
  <si>
    <t>=IF(AND($M4979&gt;=$Q$16,$M4979&lt;=$Q$18),U4979,0)</t>
  </si>
  <si>
    <t>=IF(AND($M4979&gt;=$R$16,$M4979&lt;=$R$18),U4979,0)</t>
  </si>
  <si>
    <t>=IF(AND($M4979&gt;=$S$16,$M4979&lt;=$S$18),U4979,0)</t>
  </si>
  <si>
    <t>=IF($M4979&lt;=$T$18,U4979,0)</t>
  </si>
  <si>
    <t>="""NAV Direct"",""CRONUS JetCorp USA"",""21"",""1"",""355880"""</t>
  </si>
  <si>
    <t>=E4978</t>
  </si>
  <si>
    <t>=StartDate-$M4980+1</t>
  </si>
  <si>
    <t>=SUM(P4980:T4980)</t>
  </si>
  <si>
    <t>=IF($M4980&gt;=$P$18,U4980,0)</t>
  </si>
  <si>
    <t>=IF(AND($M4980&gt;=$Q$16,$M4980&lt;=$Q$18),U4980,0)</t>
  </si>
  <si>
    <t>=IF(AND($M4980&gt;=$R$16,$M4980&lt;=$R$18),U4980,0)</t>
  </si>
  <si>
    <t>=IF(AND($M4980&gt;=$S$16,$M4980&lt;=$S$18),U4980,0)</t>
  </si>
  <si>
    <t>=IF($M4980&lt;=$T$18,U4980,0)</t>
  </si>
  <si>
    <t>="""NAV Direct"",""CRONUS JetCorp USA"",""21"",""1"",""356139"""</t>
  </si>
  <si>
    <t>=E4979</t>
  </si>
  <si>
    <t>=StartDate-$M4981+1</t>
  </si>
  <si>
    <t>=SUM(P4981:T4981)</t>
  </si>
  <si>
    <t>=IF($M4981&gt;=$P$18,U4981,0)</t>
  </si>
  <si>
    <t>=IF(AND($M4981&gt;=$Q$16,$M4981&lt;=$Q$18),U4981,0)</t>
  </si>
  <si>
    <t>=IF(AND($M4981&gt;=$R$16,$M4981&lt;=$R$18),U4981,0)</t>
  </si>
  <si>
    <t>=IF(AND($M4981&gt;=$S$16,$M4981&lt;=$S$18),U4981,0)</t>
  </si>
  <si>
    <t>=IF($M4981&lt;=$T$18,U4981,0)</t>
  </si>
  <si>
    <t>="""NAV Direct"",""CRONUS JetCorp USA"",""21"",""1"",""356219"""</t>
  </si>
  <si>
    <t>=E4980</t>
  </si>
  <si>
    <t>=StartDate-$M4982+1</t>
  </si>
  <si>
    <t>=SUM(P4982:T4982)</t>
  </si>
  <si>
    <t>=IF($M4982&gt;=$P$18,U4982,0)</t>
  </si>
  <si>
    <t>=IF(AND($M4982&gt;=$Q$16,$M4982&lt;=$Q$18),U4982,0)</t>
  </si>
  <si>
    <t>=IF(AND($M4982&gt;=$R$16,$M4982&lt;=$R$18),U4982,0)</t>
  </si>
  <si>
    <t>=IF(AND($M4982&gt;=$S$16,$M4982&lt;=$S$18),U4982,0)</t>
  </si>
  <si>
    <t>=IF($M4982&lt;=$T$18,U4982,0)</t>
  </si>
  <si>
    <t>="""NAV Direct"",""CRONUS JetCorp USA"",""21"",""1"",""356297"""</t>
  </si>
  <si>
    <t>=E4981</t>
  </si>
  <si>
    <t>=StartDate-$M4983+1</t>
  </si>
  <si>
    <t>=SUM(P4983:T4983)</t>
  </si>
  <si>
    <t>=IF($M4983&gt;=$P$18,U4983,0)</t>
  </si>
  <si>
    <t>=IF(AND($M4983&gt;=$Q$16,$M4983&lt;=$Q$18),U4983,0)</t>
  </si>
  <si>
    <t>=IF(AND($M4983&gt;=$R$16,$M4983&lt;=$R$18),U4983,0)</t>
  </si>
  <si>
    <t>=IF(AND($M4983&gt;=$S$16,$M4983&lt;=$S$18),U4983,0)</t>
  </si>
  <si>
    <t>=IF($M4983&lt;=$T$18,U4983,0)</t>
  </si>
  <si>
    <t>="""NAV Direct"",""CRONUS JetCorp USA"",""21"",""1"",""356412"""</t>
  </si>
  <si>
    <t>=E4982</t>
  </si>
  <si>
    <t>=StartDate-$M4984+1</t>
  </si>
  <si>
    <t>=SUM(P4984:T4984)</t>
  </si>
  <si>
    <t>=IF($M4984&gt;=$P$18,U4984,0)</t>
  </si>
  <si>
    <t>=IF(AND($M4984&gt;=$Q$16,$M4984&lt;=$Q$18),U4984,0)</t>
  </si>
  <si>
    <t>=IF(AND($M4984&gt;=$R$16,$M4984&lt;=$R$18),U4984,0)</t>
  </si>
  <si>
    <t>=IF(AND($M4984&gt;=$S$16,$M4984&lt;=$S$18),U4984,0)</t>
  </si>
  <si>
    <t>=IF($M4984&lt;=$T$18,U4984,0)</t>
  </si>
  <si>
    <t>="""NAV Direct"",""CRONUS JetCorp USA"",""21"",""1"",""356449"""</t>
  </si>
  <si>
    <t>=E4983</t>
  </si>
  <si>
    <t>=StartDate-$M4985+1</t>
  </si>
  <si>
    <t>=SUM(P4985:T4985)</t>
  </si>
  <si>
    <t>=IF($M4985&gt;=$P$18,U4985,0)</t>
  </si>
  <si>
    <t>=IF(AND($M4985&gt;=$Q$16,$M4985&lt;=$Q$18),U4985,0)</t>
  </si>
  <si>
    <t>=IF(AND($M4985&gt;=$R$16,$M4985&lt;=$R$18),U4985,0)</t>
  </si>
  <si>
    <t>=IF(AND($M4985&gt;=$S$16,$M4985&lt;=$S$18),U4985,0)</t>
  </si>
  <si>
    <t>=IF($M4985&lt;=$T$18,U4985,0)</t>
  </si>
  <si>
    <t>="""NAV Direct"",""CRONUS JetCorp USA"",""21"",""1"",""356500"""</t>
  </si>
  <si>
    <t>=E4984</t>
  </si>
  <si>
    <t>=StartDate-$M4986+1</t>
  </si>
  <si>
    <t>=SUM(P4986:T4986)</t>
  </si>
  <si>
    <t>=IF($M4986&gt;=$P$18,U4986,0)</t>
  </si>
  <si>
    <t>=IF(AND($M4986&gt;=$Q$16,$M4986&lt;=$Q$18),U4986,0)</t>
  </si>
  <si>
    <t>=IF(AND($M4986&gt;=$R$16,$M4986&lt;=$R$18),U4986,0)</t>
  </si>
  <si>
    <t>=IF(AND($M4986&gt;=$S$16,$M4986&lt;=$S$18),U4986,0)</t>
  </si>
  <si>
    <t>=IF($M4986&lt;=$T$18,U4986,0)</t>
  </si>
  <si>
    <t>="""NAV Direct"",""CRONUS JetCorp USA"",""21"",""1"",""356729"""</t>
  </si>
  <si>
    <t>=E4985</t>
  </si>
  <si>
    <t>=StartDate-$M4987+1</t>
  </si>
  <si>
    <t>=SUM(P4987:T4987)</t>
  </si>
  <si>
    <t>=IF($M4987&gt;=$P$18,U4987,0)</t>
  </si>
  <si>
    <t>=IF(AND($M4987&gt;=$Q$16,$M4987&lt;=$Q$18),U4987,0)</t>
  </si>
  <si>
    <t>=IF(AND($M4987&gt;=$R$16,$M4987&lt;=$R$18),U4987,0)</t>
  </si>
  <si>
    <t>=IF(AND($M4987&gt;=$S$16,$M4987&lt;=$S$18),U4987,0)</t>
  </si>
  <si>
    <t>=IF($M4987&lt;=$T$18,U4987,0)</t>
  </si>
  <si>
    <t>="""NAV Direct"",""CRONUS JetCorp USA"",""21"",""1"",""356791"""</t>
  </si>
  <si>
    <t>=E4986</t>
  </si>
  <si>
    <t>=StartDate-$M4988+1</t>
  </si>
  <si>
    <t>=SUM(P4988:T4988)</t>
  </si>
  <si>
    <t>=IF($M4988&gt;=$P$18,U4988,0)</t>
  </si>
  <si>
    <t>=IF(AND($M4988&gt;=$Q$16,$M4988&lt;=$Q$18),U4988,0)</t>
  </si>
  <si>
    <t>=IF(AND($M4988&gt;=$R$16,$M4988&lt;=$R$18),U4988,0)</t>
  </si>
  <si>
    <t>=IF(AND($M4988&gt;=$S$16,$M4988&lt;=$S$18),U4988,0)</t>
  </si>
  <si>
    <t>=IF($M4988&lt;=$T$18,U4988,0)</t>
  </si>
  <si>
    <t>="""NAV Direct"",""CRONUS JetCorp USA"",""21"",""1"",""356842"""</t>
  </si>
  <si>
    <t>=E4987</t>
  </si>
  <si>
    <t>=StartDate-$M4989+1</t>
  </si>
  <si>
    <t>=SUM(P4989:T4989)</t>
  </si>
  <si>
    <t>=IF($M4989&gt;=$P$18,U4989,0)</t>
  </si>
  <si>
    <t>=IF(AND($M4989&gt;=$Q$16,$M4989&lt;=$Q$18),U4989,0)</t>
  </si>
  <si>
    <t>=IF(AND($M4989&gt;=$R$16,$M4989&lt;=$R$18),U4989,0)</t>
  </si>
  <si>
    <t>=IF(AND($M4989&gt;=$S$16,$M4989&lt;=$S$18),U4989,0)</t>
  </si>
  <si>
    <t>=IF($M4989&lt;=$T$18,U4989,0)</t>
  </si>
  <si>
    <t>="""NAV Direct"",""CRONUS JetCorp USA"",""21"",""1"",""357039"""</t>
  </si>
  <si>
    <t>=E4988</t>
  </si>
  <si>
    <t>=StartDate-$M4990+1</t>
  </si>
  <si>
    <t>=SUM(P4990:T4990)</t>
  </si>
  <si>
    <t>=IF($M4990&gt;=$P$18,U4990,0)</t>
  </si>
  <si>
    <t>=IF(AND($M4990&gt;=$Q$16,$M4990&lt;=$Q$18),U4990,0)</t>
  </si>
  <si>
    <t>=IF(AND($M4990&gt;=$R$16,$M4990&lt;=$R$18),U4990,0)</t>
  </si>
  <si>
    <t>=IF(AND($M4990&gt;=$S$16,$M4990&lt;=$S$18),U4990,0)</t>
  </si>
  <si>
    <t>=IF($M4990&lt;=$T$18,U4990,0)</t>
  </si>
  <si>
    <t>="""NAV Direct"",""CRONUS JetCorp USA"",""21"",""1"",""357127"""</t>
  </si>
  <si>
    <t>=E4989</t>
  </si>
  <si>
    <t>=StartDate-$M4991+1</t>
  </si>
  <si>
    <t>=SUM(P4991:T4991)</t>
  </si>
  <si>
    <t>=IF($M4991&gt;=$P$18,U4991,0)</t>
  </si>
  <si>
    <t>=IF(AND($M4991&gt;=$Q$16,$M4991&lt;=$Q$18),U4991,0)</t>
  </si>
  <si>
    <t>=IF(AND($M4991&gt;=$R$16,$M4991&lt;=$R$18),U4991,0)</t>
  </si>
  <si>
    <t>=IF(AND($M4991&gt;=$S$16,$M4991&lt;=$S$18),U4991,0)</t>
  </si>
  <si>
    <t>=IF($M4991&lt;=$T$18,U4991,0)</t>
  </si>
  <si>
    <t>="""NAV Direct"",""CRONUS JetCorp USA"",""21"",""1"",""357242"""</t>
  </si>
  <si>
    <t>=E4990</t>
  </si>
  <si>
    <t>=StartDate-$M4992+1</t>
  </si>
  <si>
    <t>=SUM(P4992:T4992)</t>
  </si>
  <si>
    <t>=IF($M4992&gt;=$P$18,U4992,0)</t>
  </si>
  <si>
    <t>=IF(AND($M4992&gt;=$Q$16,$M4992&lt;=$Q$18),U4992,0)</t>
  </si>
  <si>
    <t>=IF(AND($M4992&gt;=$R$16,$M4992&lt;=$R$18),U4992,0)</t>
  </si>
  <si>
    <t>=IF(AND($M4992&gt;=$S$16,$M4992&lt;=$S$18),U4992,0)</t>
  </si>
  <si>
    <t>=IF($M4992&lt;=$T$18,U4992,0)</t>
  </si>
  <si>
    <t>="""NAV Direct"",""CRONUS JetCorp USA"",""21"",""1"",""357704"""</t>
  </si>
  <si>
    <t>=E4991</t>
  </si>
  <si>
    <t>=StartDate-$M4993+1</t>
  </si>
  <si>
    <t>=SUM(P4993:T4993)</t>
  </si>
  <si>
    <t>=IF($M4993&gt;=$P$18,U4993,0)</t>
  </si>
  <si>
    <t>=IF(AND($M4993&gt;=$Q$16,$M4993&lt;=$Q$18),U4993,0)</t>
  </si>
  <si>
    <t>=IF(AND($M4993&gt;=$R$16,$M4993&lt;=$R$18),U4993,0)</t>
  </si>
  <si>
    <t>=IF(AND($M4993&gt;=$S$16,$M4993&lt;=$S$18),U4993,0)</t>
  </si>
  <si>
    <t>=IF($M4993&lt;=$T$18,U4993,0)</t>
  </si>
  <si>
    <t>="""NAV Direct"",""CRONUS JetCorp USA"",""21"",""1"",""358370"""</t>
  </si>
  <si>
    <t>=E4992</t>
  </si>
  <si>
    <t>=StartDate-$M4994+1</t>
  </si>
  <si>
    <t>=SUM(P4994:T4994)</t>
  </si>
  <si>
    <t>=IF($M4994&gt;=$P$18,U4994,0)</t>
  </si>
  <si>
    <t>=IF(AND($M4994&gt;=$Q$16,$M4994&lt;=$Q$18),U4994,0)</t>
  </si>
  <si>
    <t>=IF(AND($M4994&gt;=$R$16,$M4994&lt;=$R$18),U4994,0)</t>
  </si>
  <si>
    <t>=IF(AND($M4994&gt;=$S$16,$M4994&lt;=$S$18),U4994,0)</t>
  </si>
  <si>
    <t>=IF($M4994&lt;=$T$18,U4994,0)</t>
  </si>
  <si>
    <t>="""NAV Direct"",""CRONUS JetCorp USA"",""21"",""1"",""358395"""</t>
  </si>
  <si>
    <t>=E4993</t>
  </si>
  <si>
    <t>=StartDate-$M4995+1</t>
  </si>
  <si>
    <t>=SUM(P4995:T4995)</t>
  </si>
  <si>
    <t>=IF($M4995&gt;=$P$18,U4995,0)</t>
  </si>
  <si>
    <t>=IF(AND($M4995&gt;=$Q$16,$M4995&lt;=$Q$18),U4995,0)</t>
  </si>
  <si>
    <t>=IF(AND($M4995&gt;=$R$16,$M4995&lt;=$R$18),U4995,0)</t>
  </si>
  <si>
    <t>=IF(AND($M4995&gt;=$S$16,$M4995&lt;=$S$18),U4995,0)</t>
  </si>
  <si>
    <t>=IF($M4995&lt;=$T$18,U4995,0)</t>
  </si>
  <si>
    <t>="""NAV Direct"",""CRONUS JetCorp USA"",""21"",""1"",""358990"""</t>
  </si>
  <si>
    <t>=E4994</t>
  </si>
  <si>
    <t>=StartDate-$M4996+1</t>
  </si>
  <si>
    <t>=SUM(P4996:T4996)</t>
  </si>
  <si>
    <t>=IF($M4996&gt;=$P$18,U4996,0)</t>
  </si>
  <si>
    <t>=IF(AND($M4996&gt;=$Q$16,$M4996&lt;=$Q$18),U4996,0)</t>
  </si>
  <si>
    <t>=IF(AND($M4996&gt;=$R$16,$M4996&lt;=$R$18),U4996,0)</t>
  </si>
  <si>
    <t>=IF(AND($M4996&gt;=$S$16,$M4996&lt;=$S$18),U4996,0)</t>
  </si>
  <si>
    <t>=IF($M4996&lt;=$T$18,U4996,0)</t>
  </si>
  <si>
    <t>="""NAV Direct"",""CRONUS JetCorp USA"",""21"",""1"",""359027"""</t>
  </si>
  <si>
    <t>=E4995</t>
  </si>
  <si>
    <t>=StartDate-$M4997+1</t>
  </si>
  <si>
    <t>=SUM(P4997:T4997)</t>
  </si>
  <si>
    <t>=IF($M4997&gt;=$P$18,U4997,0)</t>
  </si>
  <si>
    <t>=IF(AND($M4997&gt;=$Q$16,$M4997&lt;=$Q$18),U4997,0)</t>
  </si>
  <si>
    <t>=IF(AND($M4997&gt;=$R$16,$M4997&lt;=$R$18),U4997,0)</t>
  </si>
  <si>
    <t>=IF(AND($M4997&gt;=$S$16,$M4997&lt;=$S$18),U4997,0)</t>
  </si>
  <si>
    <t>=IF($M4997&lt;=$T$18,U4997,0)</t>
  </si>
  <si>
    <t>="""NAV Direct"",""CRONUS JetCorp USA"",""21"",""1"",""359337"""</t>
  </si>
  <si>
    <t>=E4996</t>
  </si>
  <si>
    <t>=StartDate-$M4998+1</t>
  </si>
  <si>
    <t>=SUM(P4998:T4998)</t>
  </si>
  <si>
    <t>=IF($M4998&gt;=$P$18,U4998,0)</t>
  </si>
  <si>
    <t>=IF(AND($M4998&gt;=$Q$16,$M4998&lt;=$Q$18),U4998,0)</t>
  </si>
  <si>
    <t>=IF(AND($M4998&gt;=$R$16,$M4998&lt;=$R$18),U4998,0)</t>
  </si>
  <si>
    <t>=IF(AND($M4998&gt;=$S$16,$M4998&lt;=$S$18),U4998,0)</t>
  </si>
  <si>
    <t>=IF($M4998&lt;=$T$18,U4998,0)</t>
  </si>
  <si>
    <t>="""NAV Direct"",""CRONUS JetCorp USA"",""21"",""1"",""359467"""</t>
  </si>
  <si>
    <t>=E4997</t>
  </si>
  <si>
    <t>=StartDate-$M4999+1</t>
  </si>
  <si>
    <t>=SUM(P4999:T4999)</t>
  </si>
  <si>
    <t>=IF($M4999&gt;=$P$18,U4999,0)</t>
  </si>
  <si>
    <t>=IF(AND($M4999&gt;=$Q$16,$M4999&lt;=$Q$18),U4999,0)</t>
  </si>
  <si>
    <t>=IF(AND($M4999&gt;=$R$16,$M4999&lt;=$R$18),U4999,0)</t>
  </si>
  <si>
    <t>=IF(AND($M4999&gt;=$S$16,$M4999&lt;=$S$18),U4999,0)</t>
  </si>
  <si>
    <t>=IF($M4999&lt;=$T$18,U4999,0)</t>
  </si>
  <si>
    <t>="""NAV Direct"",""CRONUS JetCorp USA"",""21"",""1"",""359543"""</t>
  </si>
  <si>
    <t>=E4998</t>
  </si>
  <si>
    <t>=StartDate-$M5000+1</t>
  </si>
  <si>
    <t>=SUM(P5000:T5000)</t>
  </si>
  <si>
    <t>=IF($M5000&gt;=$P$18,U5000,0)</t>
  </si>
  <si>
    <t>=IF(AND($M5000&gt;=$Q$16,$M5000&lt;=$Q$18),U5000,0)</t>
  </si>
  <si>
    <t>=IF(AND($M5000&gt;=$R$16,$M5000&lt;=$R$18),U5000,0)</t>
  </si>
  <si>
    <t>=IF(AND($M5000&gt;=$S$16,$M5000&lt;=$S$18),U5000,0)</t>
  </si>
  <si>
    <t>=IF($M5000&lt;=$T$18,U5000,0)</t>
  </si>
  <si>
    <t>="""NAV Direct"",""CRONUS JetCorp USA"",""21"",""1"",""359576"""</t>
  </si>
  <si>
    <t>=E4999</t>
  </si>
  <si>
    <t>=StartDate-$M5001+1</t>
  </si>
  <si>
    <t>=SUM(P5001:T5001)</t>
  </si>
  <si>
    <t>=IF($M5001&gt;=$P$18,U5001,0)</t>
  </si>
  <si>
    <t>=IF(AND($M5001&gt;=$Q$16,$M5001&lt;=$Q$18),U5001,0)</t>
  </si>
  <si>
    <t>=IF(AND($M5001&gt;=$R$16,$M5001&lt;=$R$18),U5001,0)</t>
  </si>
  <si>
    <t>=IF(AND($M5001&gt;=$S$16,$M5001&lt;=$S$18),U5001,0)</t>
  </si>
  <si>
    <t>=IF($M5001&lt;=$T$18,U5001,0)</t>
  </si>
  <si>
    <t>="""NAV Direct"",""CRONUS JetCorp USA"",""21"",""1"",""359758"""</t>
  </si>
  <si>
    <t>=E5000</t>
  </si>
  <si>
    <t>=StartDate-$M5002+1</t>
  </si>
  <si>
    <t>=SUM(P5002:T5002)</t>
  </si>
  <si>
    <t>=IF($M5002&gt;=$P$18,U5002,0)</t>
  </si>
  <si>
    <t>=IF(AND($M5002&gt;=$Q$16,$M5002&lt;=$Q$18),U5002,0)</t>
  </si>
  <si>
    <t>=IF(AND($M5002&gt;=$R$16,$M5002&lt;=$R$18),U5002,0)</t>
  </si>
  <si>
    <t>=IF(AND($M5002&gt;=$S$16,$M5002&lt;=$S$18),U5002,0)</t>
  </si>
  <si>
    <t>=IF($M5002&lt;=$T$18,U5002,0)</t>
  </si>
  <si>
    <t>="""NAV Direct"",""CRONUS JetCorp USA"",""21"",""1"",""360047"""</t>
  </si>
  <si>
    <t>=E5001</t>
  </si>
  <si>
    <t>=StartDate-$M5003+1</t>
  </si>
  <si>
    <t>=SUM(P5003:T5003)</t>
  </si>
  <si>
    <t>=IF($M5003&gt;=$P$18,U5003,0)</t>
  </si>
  <si>
    <t>=IF(AND($M5003&gt;=$Q$16,$M5003&lt;=$Q$18),U5003,0)</t>
  </si>
  <si>
    <t>=IF(AND($M5003&gt;=$R$16,$M5003&lt;=$R$18),U5003,0)</t>
  </si>
  <si>
    <t>=IF(AND($M5003&gt;=$S$16,$M5003&lt;=$S$18),U5003,0)</t>
  </si>
  <si>
    <t>=IF($M5003&lt;=$T$18,U5003,0)</t>
  </si>
  <si>
    <t>="""NAV Direct"",""CRONUS JetCorp USA"",""21"",""1"",""360425"""</t>
  </si>
  <si>
    <t>=E5002</t>
  </si>
  <si>
    <t>=StartDate-$M5004+1</t>
  </si>
  <si>
    <t>=SUM(P5004:T5004)</t>
  </si>
  <si>
    <t>=IF($M5004&gt;=$P$18,U5004,0)</t>
  </si>
  <si>
    <t>=IF(AND($M5004&gt;=$Q$16,$M5004&lt;=$Q$18),U5004,0)</t>
  </si>
  <si>
    <t>=IF(AND($M5004&gt;=$R$16,$M5004&lt;=$R$18),U5004,0)</t>
  </si>
  <si>
    <t>=IF(AND($M5004&gt;=$S$16,$M5004&lt;=$S$18),U5004,0)</t>
  </si>
  <si>
    <t>=IF($M5004&lt;=$T$18,U5004,0)</t>
  </si>
  <si>
    <t>="""NAV Direct"",""CRONUS JetCorp USA"",""21"",""1"",""360573"""</t>
  </si>
  <si>
    <t>=E5003</t>
  </si>
  <si>
    <t>=StartDate-$M5005+1</t>
  </si>
  <si>
    <t>=SUM(P5005:T5005)</t>
  </si>
  <si>
    <t>=IF($M5005&gt;=$P$18,U5005,0)</t>
  </si>
  <si>
    <t>=IF(AND($M5005&gt;=$Q$16,$M5005&lt;=$Q$18),U5005,0)</t>
  </si>
  <si>
    <t>=IF(AND($M5005&gt;=$R$16,$M5005&lt;=$R$18),U5005,0)</t>
  </si>
  <si>
    <t>=IF(AND($M5005&gt;=$S$16,$M5005&lt;=$S$18),U5005,0)</t>
  </si>
  <si>
    <t>=IF($M5005&lt;=$T$18,U5005,0)</t>
  </si>
  <si>
    <t>="""NAV Direct"",""CRONUS JetCorp USA"",""21"",""1"",""360715"""</t>
  </si>
  <si>
    <t>=E5004</t>
  </si>
  <si>
    <t>=StartDate-$M5006+1</t>
  </si>
  <si>
    <t>=SUM(P5006:T5006)</t>
  </si>
  <si>
    <t>=IF($M5006&gt;=$P$18,U5006,0)</t>
  </si>
  <si>
    <t>=IF(AND($M5006&gt;=$Q$16,$M5006&lt;=$Q$18),U5006,0)</t>
  </si>
  <si>
    <t>=IF(AND($M5006&gt;=$R$16,$M5006&lt;=$R$18),U5006,0)</t>
  </si>
  <si>
    <t>=IF(AND($M5006&gt;=$S$16,$M5006&lt;=$S$18),U5006,0)</t>
  </si>
  <si>
    <t>=IF($M5006&lt;=$T$18,U5006,0)</t>
  </si>
  <si>
    <t>="""NAV Direct"",""CRONUS JetCorp USA"",""21"",""1"",""434734"""</t>
  </si>
  <si>
    <t>=E5005</t>
  </si>
  <si>
    <t>=StartDate-$M5007+1</t>
  </si>
  <si>
    <t>=SUM(P5007:T5007)</t>
  </si>
  <si>
    <t>=IF($M5007&gt;=$P$18,U5007,0)</t>
  </si>
  <si>
    <t>=IF(AND($M5007&gt;=$Q$16,$M5007&lt;=$Q$18),U5007,0)</t>
  </si>
  <si>
    <t>=IF(AND($M5007&gt;=$R$16,$M5007&lt;=$R$18),U5007,0)</t>
  </si>
  <si>
    <t>=IF(AND($M5007&gt;=$S$16,$M5007&lt;=$S$18),U5007,0)</t>
  </si>
  <si>
    <t>=IF($M5007&lt;=$T$18,U5007,0)</t>
  </si>
  <si>
    <t>="""NAV Direct"",""CRONUS JetCorp USA"",""21"",""1"",""434775"""</t>
  </si>
  <si>
    <t>=E5006</t>
  </si>
  <si>
    <t>=StartDate-$M5008+1</t>
  </si>
  <si>
    <t>=SUM(P5008:T5008)</t>
  </si>
  <si>
    <t>=IF($M5008&gt;=$P$18,U5008,0)</t>
  </si>
  <si>
    <t>=IF(AND($M5008&gt;=$Q$16,$M5008&lt;=$Q$18),U5008,0)</t>
  </si>
  <si>
    <t>=IF(AND($M5008&gt;=$R$16,$M5008&lt;=$R$18),U5008,0)</t>
  </si>
  <si>
    <t>=IF(AND($M5008&gt;=$S$16,$M5008&lt;=$S$18),U5008,0)</t>
  </si>
  <si>
    <t>=IF($M5008&lt;=$T$18,U5008,0)</t>
  </si>
  <si>
    <t>="""NAV Direct"",""CRONUS JetCorp USA"",""21"",""1"",""434788"""</t>
  </si>
  <si>
    <t>=E5007</t>
  </si>
  <si>
    <t>=StartDate-$M5009+1</t>
  </si>
  <si>
    <t>=SUM(P5009:T5009)</t>
  </si>
  <si>
    <t>=IF($M5009&gt;=$P$18,U5009,0)</t>
  </si>
  <si>
    <t>=IF(AND($M5009&gt;=$Q$16,$M5009&lt;=$Q$18),U5009,0)</t>
  </si>
  <si>
    <t>=IF(AND($M5009&gt;=$R$16,$M5009&lt;=$R$18),U5009,0)</t>
  </si>
  <si>
    <t>=IF(AND($M5009&gt;=$S$16,$M5009&lt;=$S$18),U5009,0)</t>
  </si>
  <si>
    <t>=IF($M5009&lt;=$T$18,U5009,0)</t>
  </si>
  <si>
    <t>="""NAV Direct"",""CRONUS JetCorp USA"",""21"",""1"",""434840"""</t>
  </si>
  <si>
    <t>=E5008</t>
  </si>
  <si>
    <t>=StartDate-$M5010+1</t>
  </si>
  <si>
    <t>=SUM(P5010:T5010)</t>
  </si>
  <si>
    <t>=IF($M5010&gt;=$P$18,U5010,0)</t>
  </si>
  <si>
    <t>=IF(AND($M5010&gt;=$Q$16,$M5010&lt;=$Q$18),U5010,0)</t>
  </si>
  <si>
    <t>=IF(AND($M5010&gt;=$R$16,$M5010&lt;=$R$18),U5010,0)</t>
  </si>
  <si>
    <t>=IF(AND($M5010&gt;=$S$16,$M5010&lt;=$S$18),U5010,0)</t>
  </si>
  <si>
    <t>=IF($M5010&lt;=$T$18,U5010,0)</t>
  </si>
  <si>
    <t>="""NAV Direct"",""CRONUS JetCorp USA"",""21"",""1"",""434876"""</t>
  </si>
  <si>
    <t>=E5009</t>
  </si>
  <si>
    <t>=StartDate-$M5011+1</t>
  </si>
  <si>
    <t>=SUM(P5011:T5011)</t>
  </si>
  <si>
    <t>=IF($M5011&gt;=$P$18,U5011,0)</t>
  </si>
  <si>
    <t>=IF(AND($M5011&gt;=$Q$16,$M5011&lt;=$Q$18),U5011,0)</t>
  </si>
  <si>
    <t>=IF(AND($M5011&gt;=$R$16,$M5011&lt;=$R$18),U5011,0)</t>
  </si>
  <si>
    <t>=IF(AND($M5011&gt;=$S$16,$M5011&lt;=$S$18),U5011,0)</t>
  </si>
  <si>
    <t>=IF($M5011&lt;=$T$18,U5011,0)</t>
  </si>
  <si>
    <t>="""NAV Direct"",""CRONUS JetCorp USA"",""21"",""1"",""434919"""</t>
  </si>
  <si>
    <t>=E5010</t>
  </si>
  <si>
    <t>=StartDate-$M5012+1</t>
  </si>
  <si>
    <t>=SUM(P5012:T5012)</t>
  </si>
  <si>
    <t>=IF($M5012&gt;=$P$18,U5012,0)</t>
  </si>
  <si>
    <t>=IF(AND($M5012&gt;=$Q$16,$M5012&lt;=$Q$18),U5012,0)</t>
  </si>
  <si>
    <t>=IF(AND($M5012&gt;=$R$16,$M5012&lt;=$R$18),U5012,0)</t>
  </si>
  <si>
    <t>=IF(AND($M5012&gt;=$S$16,$M5012&lt;=$S$18),U5012,0)</t>
  </si>
  <si>
    <t>=IF($M5012&lt;=$T$18,U5012,0)</t>
  </si>
  <si>
    <t>="""NAV Direct"",""CRONUS JetCorp USA"",""21"",""1"",""435009"""</t>
  </si>
  <si>
    <t>=E5011</t>
  </si>
  <si>
    <t>=StartDate-$M5013+1</t>
  </si>
  <si>
    <t>=SUM(P5013:T5013)</t>
  </si>
  <si>
    <t>=IF($M5013&gt;=$P$18,U5013,0)</t>
  </si>
  <si>
    <t>=IF(AND($M5013&gt;=$Q$16,$M5013&lt;=$Q$18),U5013,0)</t>
  </si>
  <si>
    <t>=IF(AND($M5013&gt;=$R$16,$M5013&lt;=$R$18),U5013,0)</t>
  </si>
  <si>
    <t>=IF(AND($M5013&gt;=$S$16,$M5013&lt;=$S$18),U5013,0)</t>
  </si>
  <si>
    <t>=IF($M5013&lt;=$T$18,U5013,0)</t>
  </si>
  <si>
    <t>="""NAV Direct"",""CRONUS JetCorp USA"",""21"",""1"",""435181"""</t>
  </si>
  <si>
    <t>=E5012</t>
  </si>
  <si>
    <t>=StartDate-$M5014+1</t>
  </si>
  <si>
    <t>=SUM(P5014:T5014)</t>
  </si>
  <si>
    <t>=IF($M5014&gt;=$P$18,U5014,0)</t>
  </si>
  <si>
    <t>=IF(AND($M5014&gt;=$Q$16,$M5014&lt;=$Q$18),U5014,0)</t>
  </si>
  <si>
    <t>=IF(AND($M5014&gt;=$R$16,$M5014&lt;=$R$18),U5014,0)</t>
  </si>
  <si>
    <t>=IF(AND($M5014&gt;=$S$16,$M5014&lt;=$S$18),U5014,0)</t>
  </si>
  <si>
    <t>=IF($M5014&lt;=$T$18,U5014,0)</t>
  </si>
  <si>
    <t>="""NAV Direct"",""CRONUS JetCorp USA"",""21"",""1"",""435192"""</t>
  </si>
  <si>
    <t>=E5013</t>
  </si>
  <si>
    <t>=StartDate-$M5015+1</t>
  </si>
  <si>
    <t>=SUM(P5015:T5015)</t>
  </si>
  <si>
    <t>=IF($M5015&gt;=$P$18,U5015,0)</t>
  </si>
  <si>
    <t>=IF(AND($M5015&gt;=$Q$16,$M5015&lt;=$Q$18),U5015,0)</t>
  </si>
  <si>
    <t>=IF(AND($M5015&gt;=$R$16,$M5015&lt;=$R$18),U5015,0)</t>
  </si>
  <si>
    <t>=IF(AND($M5015&gt;=$S$16,$M5015&lt;=$S$18),U5015,0)</t>
  </si>
  <si>
    <t>=IF($M5015&lt;=$T$18,U5015,0)</t>
  </si>
  <si>
    <t>="""NAV Direct"",""CRONUS JetCorp USA"",""21"",""1"",""435209"""</t>
  </si>
  <si>
    <t>=E5014</t>
  </si>
  <si>
    <t>=StartDate-$M5016+1</t>
  </si>
  <si>
    <t>=SUM(P5016:T5016)</t>
  </si>
  <si>
    <t>=IF($M5016&gt;=$P$18,U5016,0)</t>
  </si>
  <si>
    <t>=IF(AND($M5016&gt;=$Q$16,$M5016&lt;=$Q$18),U5016,0)</t>
  </si>
  <si>
    <t>=IF(AND($M5016&gt;=$R$16,$M5016&lt;=$R$18),U5016,0)</t>
  </si>
  <si>
    <t>=IF(AND($M5016&gt;=$S$16,$M5016&lt;=$S$18),U5016,0)</t>
  </si>
  <si>
    <t>=IF($M5016&lt;=$T$18,U5016,0)</t>
  </si>
  <si>
    <t>="""NAV Direct"",""CRONUS JetCorp USA"",""21"",""1"",""435261"""</t>
  </si>
  <si>
    <t>=E5015</t>
  </si>
  <si>
    <t>=StartDate-$M5017+1</t>
  </si>
  <si>
    <t>=SUM(P5017:T5017)</t>
  </si>
  <si>
    <t>=IF($M5017&gt;=$P$18,U5017,0)</t>
  </si>
  <si>
    <t>=IF(AND($M5017&gt;=$Q$16,$M5017&lt;=$Q$18),U5017,0)</t>
  </si>
  <si>
    <t>=IF(AND($M5017&gt;=$R$16,$M5017&lt;=$R$18),U5017,0)</t>
  </si>
  <si>
    <t>=IF(AND($M5017&gt;=$S$16,$M5017&lt;=$S$18),U5017,0)</t>
  </si>
  <si>
    <t>=IF($M5017&lt;=$T$18,U5017,0)</t>
  </si>
  <si>
    <t>="""NAV Direct"",""CRONUS JetCorp USA"",""21"",""1"",""435293"""</t>
  </si>
  <si>
    <t>=E5016</t>
  </si>
  <si>
    <t>=StartDate-$M5018+1</t>
  </si>
  <si>
    <t>=SUM(P5018:T5018)</t>
  </si>
  <si>
    <t>=IF($M5018&gt;=$P$18,U5018,0)</t>
  </si>
  <si>
    <t>=IF(AND($M5018&gt;=$Q$16,$M5018&lt;=$Q$18),U5018,0)</t>
  </si>
  <si>
    <t>=IF(AND($M5018&gt;=$R$16,$M5018&lt;=$R$18),U5018,0)</t>
  </si>
  <si>
    <t>=IF(AND($M5018&gt;=$S$16,$M5018&lt;=$S$18),U5018,0)</t>
  </si>
  <si>
    <t>=IF($M5018&lt;=$T$18,U5018,0)</t>
  </si>
  <si>
    <t>="""NAV Direct"",""CRONUS JetCorp USA"",""21"",""1"",""435340"""</t>
  </si>
  <si>
    <t>=E5017</t>
  </si>
  <si>
    <t>=StartDate-$M5019+1</t>
  </si>
  <si>
    <t>=SUM(P5019:T5019)</t>
  </si>
  <si>
    <t>=IF($M5019&gt;=$P$18,U5019,0)</t>
  </si>
  <si>
    <t>=IF(AND($M5019&gt;=$Q$16,$M5019&lt;=$Q$18),U5019,0)</t>
  </si>
  <si>
    <t>=IF(AND($M5019&gt;=$R$16,$M5019&lt;=$R$18),U5019,0)</t>
  </si>
  <si>
    <t>=IF(AND($M5019&gt;=$S$16,$M5019&lt;=$S$18),U5019,0)</t>
  </si>
  <si>
    <t>=IF($M5019&lt;=$T$18,U5019,0)</t>
  </si>
  <si>
    <t>="""NAV Direct"",""CRONUS JetCorp USA"",""21"",""1"",""435368"""</t>
  </si>
  <si>
    <t>=E5018</t>
  </si>
  <si>
    <t>=StartDate-$M5020+1</t>
  </si>
  <si>
    <t>=SUM(P5020:T5020)</t>
  </si>
  <si>
    <t>=IF($M5020&gt;=$P$18,U5020,0)</t>
  </si>
  <si>
    <t>=IF(AND($M5020&gt;=$Q$16,$M5020&lt;=$Q$18),U5020,0)</t>
  </si>
  <si>
    <t>=IF(AND($M5020&gt;=$R$16,$M5020&lt;=$R$18),U5020,0)</t>
  </si>
  <si>
    <t>=IF(AND($M5020&gt;=$S$16,$M5020&lt;=$S$18),U5020,0)</t>
  </si>
  <si>
    <t>=IF($M5020&lt;=$T$18,U5020,0)</t>
  </si>
  <si>
    <t>="""NAV Direct"",""CRONUS JetCorp USA"",""21"",""1"",""435440"""</t>
  </si>
  <si>
    <t>=E5019</t>
  </si>
  <si>
    <t>=StartDate-$M5021+1</t>
  </si>
  <si>
    <t>=SUM(P5021:T5021)</t>
  </si>
  <si>
    <t>=IF($M5021&gt;=$P$18,U5021,0)</t>
  </si>
  <si>
    <t>=IF(AND($M5021&gt;=$Q$16,$M5021&lt;=$Q$18),U5021,0)</t>
  </si>
  <si>
    <t>=IF(AND($M5021&gt;=$R$16,$M5021&lt;=$R$18),U5021,0)</t>
  </si>
  <si>
    <t>=IF(AND($M5021&gt;=$S$16,$M5021&lt;=$S$18),U5021,0)</t>
  </si>
  <si>
    <t>=IF($M5021&lt;=$T$18,U5021,0)</t>
  </si>
  <si>
    <t>="""NAV Direct"",""CRONUS JetCorp USA"",""21"",""1"",""435512"""</t>
  </si>
  <si>
    <t>=E5020</t>
  </si>
  <si>
    <t>=StartDate-$M5022+1</t>
  </si>
  <si>
    <t>=SUM(P5022:T5022)</t>
  </si>
  <si>
    <t>=IF($M5022&gt;=$P$18,U5022,0)</t>
  </si>
  <si>
    <t>=IF(AND($M5022&gt;=$Q$16,$M5022&lt;=$Q$18),U5022,0)</t>
  </si>
  <si>
    <t>=IF(AND($M5022&gt;=$R$16,$M5022&lt;=$R$18),U5022,0)</t>
  </si>
  <si>
    <t>=IF(AND($M5022&gt;=$S$16,$M5022&lt;=$S$18),U5022,0)</t>
  </si>
  <si>
    <t>=IF($M5022&lt;=$T$18,U5022,0)</t>
  </si>
  <si>
    <t>="""NAV Direct"",""CRONUS JetCorp USA"",""21"",""1"",""435521"""</t>
  </si>
  <si>
    <t>=E5021</t>
  </si>
  <si>
    <t>=StartDate-$M5023+1</t>
  </si>
  <si>
    <t>=SUM(P5023:T5023)</t>
  </si>
  <si>
    <t>=IF($M5023&gt;=$P$18,U5023,0)</t>
  </si>
  <si>
    <t>=IF(AND($M5023&gt;=$Q$16,$M5023&lt;=$Q$18),U5023,0)</t>
  </si>
  <si>
    <t>=IF(AND($M5023&gt;=$R$16,$M5023&lt;=$R$18),U5023,0)</t>
  </si>
  <si>
    <t>=IF(AND($M5023&gt;=$S$16,$M5023&lt;=$S$18),U5023,0)</t>
  </si>
  <si>
    <t>=IF($M5023&lt;=$T$18,U5023,0)</t>
  </si>
  <si>
    <t>="""NAV Direct"",""CRONUS JetCorp USA"",""21"",""1"",""435538"""</t>
  </si>
  <si>
    <t>=E5022</t>
  </si>
  <si>
    <t>=StartDate-$M5024+1</t>
  </si>
  <si>
    <t>=SUM(P5024:T5024)</t>
  </si>
  <si>
    <t>=IF($M5024&gt;=$P$18,U5024,0)</t>
  </si>
  <si>
    <t>=IF(AND($M5024&gt;=$Q$16,$M5024&lt;=$Q$18),U5024,0)</t>
  </si>
  <si>
    <t>=IF(AND($M5024&gt;=$R$16,$M5024&lt;=$R$18),U5024,0)</t>
  </si>
  <si>
    <t>=IF(AND($M5024&gt;=$S$16,$M5024&lt;=$S$18),U5024,0)</t>
  </si>
  <si>
    <t>=IF($M5024&lt;=$T$18,U5024,0)</t>
  </si>
  <si>
    <t>="""NAV Direct"",""CRONUS JetCorp USA"",""21"",""1"",""435564"""</t>
  </si>
  <si>
    <t>=E5023</t>
  </si>
  <si>
    <t>=StartDate-$M5025+1</t>
  </si>
  <si>
    <t>=SUM(P5025:T5025)</t>
  </si>
  <si>
    <t>=IF($M5025&gt;=$P$18,U5025,0)</t>
  </si>
  <si>
    <t>=IF(AND($M5025&gt;=$Q$16,$M5025&lt;=$Q$18),U5025,0)</t>
  </si>
  <si>
    <t>=IF(AND($M5025&gt;=$R$16,$M5025&lt;=$R$18),U5025,0)</t>
  </si>
  <si>
    <t>=IF(AND($M5025&gt;=$S$16,$M5025&lt;=$S$18),U5025,0)</t>
  </si>
  <si>
    <t>=IF($M5025&lt;=$T$18,U5025,0)</t>
  </si>
  <si>
    <t>="""NAV Direct"",""CRONUS JetCorp USA"",""21"",""1"",""435598"""</t>
  </si>
  <si>
    <t>=E5024</t>
  </si>
  <si>
    <t>=StartDate-$M5026+1</t>
  </si>
  <si>
    <t>=SUM(P5026:T5026)</t>
  </si>
  <si>
    <t>=IF($M5026&gt;=$P$18,U5026,0)</t>
  </si>
  <si>
    <t>=IF(AND($M5026&gt;=$Q$16,$M5026&lt;=$Q$18),U5026,0)</t>
  </si>
  <si>
    <t>=IF(AND($M5026&gt;=$R$16,$M5026&lt;=$R$18),U5026,0)</t>
  </si>
  <si>
    <t>=IF(AND($M5026&gt;=$S$16,$M5026&lt;=$S$18),U5026,0)</t>
  </si>
  <si>
    <t>=IF($M5026&lt;=$T$18,U5026,0)</t>
  </si>
  <si>
    <t>="""NAV Direct"",""CRONUS JetCorp USA"",""21"",""1"",""435660"""</t>
  </si>
  <si>
    <t>=E5025</t>
  </si>
  <si>
    <t>=StartDate-$M5027+1</t>
  </si>
  <si>
    <t>=SUM(P5027:T5027)</t>
  </si>
  <si>
    <t>=IF($M5027&gt;=$P$18,U5027,0)</t>
  </si>
  <si>
    <t>=IF(AND($M5027&gt;=$Q$16,$M5027&lt;=$Q$18),U5027,0)</t>
  </si>
  <si>
    <t>=IF(AND($M5027&gt;=$R$16,$M5027&lt;=$R$18),U5027,0)</t>
  </si>
  <si>
    <t>=IF(AND($M5027&gt;=$S$16,$M5027&lt;=$S$18),U5027,0)</t>
  </si>
  <si>
    <t>=IF($M5027&lt;=$T$18,U5027,0)</t>
  </si>
  <si>
    <t>="""NAV Direct"",""CRONUS JetCorp USA"",""18"",""1"",""C100139"""</t>
  </si>
  <si>
    <t>=H5030</t>
  </si>
  <si>
    <t>=NF($C5030,"1 No.")</t>
  </si>
  <si>
    <t>=NF($C5030,"1 No.")&amp;"  -  "&amp;NF($C5030,"2 Name")</t>
  </si>
  <si>
    <t>=IFERROR(O5030/NF(C5030,"Credit Limit (LCY)"),"")</t>
  </si>
  <si>
    <t>=SUBTOTAL(3,L5031:L5069)</t>
  </si>
  <si>
    <t>=SUBTOTAL(9,O5031:O5069)</t>
  </si>
  <si>
    <t>=SUBTOTAL(9,P5031:P5069)</t>
  </si>
  <si>
    <t>=SUBTOTAL(9,Q5031:Q5069)</t>
  </si>
  <si>
    <t>=SUBTOTAL(9,R5031:R5069)</t>
  </si>
  <si>
    <t>=SUBTOTAL(9,S5031:S5069)</t>
  </si>
  <si>
    <t>=SUBTOTAL(9,T5031:T5069)</t>
  </si>
  <si>
    <t>=C5030</t>
  </si>
  <si>
    <t>=E5030</t>
  </si>
  <si>
    <t>="Contact: "&amp;NF($C5031,"8 Contact")</t>
  </si>
  <si>
    <t>=C5031</t>
  </si>
  <si>
    <t>=E5031</t>
  </si>
  <si>
    <t>=NF($C5032,"102 E-Mail")</t>
  </si>
  <si>
    <t>=NL("Rows","21 Cust. Ledger Entry",,"3 Customer No.","@@"&amp;$E5034,"16 Remaining Amt. (LCY)","&lt;&gt;0")</t>
  </si>
  <si>
    <t>=E5032</t>
  </si>
  <si>
    <t>=StartDate-$M5034+1</t>
  </si>
  <si>
    <t>=SUM(P5034:T5034)</t>
  </si>
  <si>
    <t>=IF($M5034&gt;=$P$18,U5034,0)</t>
  </si>
  <si>
    <t>=IF(AND($M5034&gt;=$Q$16,$M5034&lt;=$Q$18),U5034,0)</t>
  </si>
  <si>
    <t>=IF(AND($M5034&gt;=$R$16,$M5034&lt;=$R$18),U5034,0)</t>
  </si>
  <si>
    <t>=IF(AND($M5034&gt;=$S$16,$M5034&lt;=$S$18),U5034,0)</t>
  </si>
  <si>
    <t>=IF($M5034&lt;=$T$18,U5034,0)</t>
  </si>
  <si>
    <t>="""NAV Direct"",""CRONUS JetCorp USA"",""21"",""1"",""383903"""</t>
  </si>
  <si>
    <t>=E5033</t>
  </si>
  <si>
    <t>=StartDate-$M5035+1</t>
  </si>
  <si>
    <t>=SUM(P5035:T5035)</t>
  </si>
  <si>
    <t>=IF($M5035&gt;=$P$18,U5035,0)</t>
  </si>
  <si>
    <t>=IF(AND($M5035&gt;=$Q$16,$M5035&lt;=$Q$18),U5035,0)</t>
  </si>
  <si>
    <t>=IF(AND($M5035&gt;=$R$16,$M5035&lt;=$R$18),U5035,0)</t>
  </si>
  <si>
    <t>=IF(AND($M5035&gt;=$S$16,$M5035&lt;=$S$18),U5035,0)</t>
  </si>
  <si>
    <t>=IF($M5035&lt;=$T$18,U5035,0)</t>
  </si>
  <si>
    <t>="""NAV Direct"",""CRONUS JetCorp USA"",""21"",""1"",""385187"""</t>
  </si>
  <si>
    <t>=E5034</t>
  </si>
  <si>
    <t>=StartDate-$M5036+1</t>
  </si>
  <si>
    <t>=SUM(P5036:T5036)</t>
  </si>
  <si>
    <t>=IF($M5036&gt;=$P$18,U5036,0)</t>
  </si>
  <si>
    <t>=IF(AND($M5036&gt;=$Q$16,$M5036&lt;=$Q$18),U5036,0)</t>
  </si>
  <si>
    <t>=IF(AND($M5036&gt;=$R$16,$M5036&lt;=$R$18),U5036,0)</t>
  </si>
  <si>
    <t>=IF(AND($M5036&gt;=$S$16,$M5036&lt;=$S$18),U5036,0)</t>
  </si>
  <si>
    <t>=IF($M5036&lt;=$T$18,U5036,0)</t>
  </si>
  <si>
    <t>="""NAV Direct"",""CRONUS JetCorp USA"",""21"",""1"",""385587"""</t>
  </si>
  <si>
    <t>=E5035</t>
  </si>
  <si>
    <t>=StartDate-$M5037+1</t>
  </si>
  <si>
    <t>=SUM(P5037:T5037)</t>
  </si>
  <si>
    <t>=IF($M5037&gt;=$P$18,U5037,0)</t>
  </si>
  <si>
    <t>=IF(AND($M5037&gt;=$Q$16,$M5037&lt;=$Q$18),U5037,0)</t>
  </si>
  <si>
    <t>=IF(AND($M5037&gt;=$R$16,$M5037&lt;=$R$18),U5037,0)</t>
  </si>
  <si>
    <t>=IF(AND($M5037&gt;=$S$16,$M5037&lt;=$S$18),U5037,0)</t>
  </si>
  <si>
    <t>=IF($M5037&lt;=$T$18,U5037,0)</t>
  </si>
  <si>
    <t>="""NAV Direct"",""CRONUS JetCorp USA"",""21"",""1"",""386406"""</t>
  </si>
  <si>
    <t>=E5036</t>
  </si>
  <si>
    <t>=StartDate-$M5038+1</t>
  </si>
  <si>
    <t>=SUM(P5038:T5038)</t>
  </si>
  <si>
    <t>=IF($M5038&gt;=$P$18,U5038,0)</t>
  </si>
  <si>
    <t>=IF(AND($M5038&gt;=$Q$16,$M5038&lt;=$Q$18),U5038,0)</t>
  </si>
  <si>
    <t>=IF(AND($M5038&gt;=$R$16,$M5038&lt;=$R$18),U5038,0)</t>
  </si>
  <si>
    <t>=IF(AND($M5038&gt;=$S$16,$M5038&lt;=$S$18),U5038,0)</t>
  </si>
  <si>
    <t>=IF($M5038&lt;=$T$18,U5038,0)</t>
  </si>
  <si>
    <t>="""NAV Direct"",""CRONUS JetCorp USA"",""21"",""1"",""386924"""</t>
  </si>
  <si>
    <t>=E5037</t>
  </si>
  <si>
    <t>=StartDate-$M5039+1</t>
  </si>
  <si>
    <t>=SUM(P5039:T5039)</t>
  </si>
  <si>
    <t>=IF($M5039&gt;=$P$18,U5039,0)</t>
  </si>
  <si>
    <t>=IF(AND($M5039&gt;=$Q$16,$M5039&lt;=$Q$18),U5039,0)</t>
  </si>
  <si>
    <t>=IF(AND($M5039&gt;=$R$16,$M5039&lt;=$R$18),U5039,0)</t>
  </si>
  <si>
    <t>=IF(AND($M5039&gt;=$S$16,$M5039&lt;=$S$18),U5039,0)</t>
  </si>
  <si>
    <t>=IF($M5039&lt;=$T$18,U5039,0)</t>
  </si>
  <si>
    <t>="""NAV Direct"",""CRONUS JetCorp USA"",""21"",""1"",""387075"""</t>
  </si>
  <si>
    <t>=E5038</t>
  </si>
  <si>
    <t>=StartDate-$M5040+1</t>
  </si>
  <si>
    <t>=SUM(P5040:T5040)</t>
  </si>
  <si>
    <t>=IF($M5040&gt;=$P$18,U5040,0)</t>
  </si>
  <si>
    <t>=IF(AND($M5040&gt;=$Q$16,$M5040&lt;=$Q$18),U5040,0)</t>
  </si>
  <si>
    <t>=IF(AND($M5040&gt;=$R$16,$M5040&lt;=$R$18),U5040,0)</t>
  </si>
  <si>
    <t>=IF(AND($M5040&gt;=$S$16,$M5040&lt;=$S$18),U5040,0)</t>
  </si>
  <si>
    <t>=IF($M5040&lt;=$T$18,U5040,0)</t>
  </si>
  <si>
    <t>="""NAV Direct"",""CRONUS JetCorp USA"",""21"",""1"",""387130"""</t>
  </si>
  <si>
    <t>=E5039</t>
  </si>
  <si>
    <t>=StartDate-$M5041+1</t>
  </si>
  <si>
    <t>=SUM(P5041:T5041)</t>
  </si>
  <si>
    <t>=IF($M5041&gt;=$P$18,U5041,0)</t>
  </si>
  <si>
    <t>=IF(AND($M5041&gt;=$Q$16,$M5041&lt;=$Q$18),U5041,0)</t>
  </si>
  <si>
    <t>=IF(AND($M5041&gt;=$R$16,$M5041&lt;=$R$18),U5041,0)</t>
  </si>
  <si>
    <t>=IF(AND($M5041&gt;=$S$16,$M5041&lt;=$S$18),U5041,0)</t>
  </si>
  <si>
    <t>=IF($M5041&lt;=$T$18,U5041,0)</t>
  </si>
  <si>
    <t>="""NAV Direct"",""CRONUS JetCorp USA"",""21"",""1"",""387695"""</t>
  </si>
  <si>
    <t>=E5040</t>
  </si>
  <si>
    <t>=StartDate-$M5042+1</t>
  </si>
  <si>
    <t>=SUM(P5042:T5042)</t>
  </si>
  <si>
    <t>=IF($M5042&gt;=$P$18,U5042,0)</t>
  </si>
  <si>
    <t>=IF(AND($M5042&gt;=$Q$16,$M5042&lt;=$Q$18),U5042,0)</t>
  </si>
  <si>
    <t>=IF(AND($M5042&gt;=$R$16,$M5042&lt;=$R$18),U5042,0)</t>
  </si>
  <si>
    <t>=IF(AND($M5042&gt;=$S$16,$M5042&lt;=$S$18),U5042,0)</t>
  </si>
  <si>
    <t>=IF($M5042&lt;=$T$18,U5042,0)</t>
  </si>
  <si>
    <t>="""NAV Direct"",""CRONUS JetCorp USA"",""21"",""1"",""388096"""</t>
  </si>
  <si>
    <t>=E5041</t>
  </si>
  <si>
    <t>=StartDate-$M5043+1</t>
  </si>
  <si>
    <t>=SUM(P5043:T5043)</t>
  </si>
  <si>
    <t>=IF($M5043&gt;=$P$18,U5043,0)</t>
  </si>
  <si>
    <t>=IF(AND($M5043&gt;=$Q$16,$M5043&lt;=$Q$18),U5043,0)</t>
  </si>
  <si>
    <t>=IF(AND($M5043&gt;=$R$16,$M5043&lt;=$R$18),U5043,0)</t>
  </si>
  <si>
    <t>=IF(AND($M5043&gt;=$S$16,$M5043&lt;=$S$18),U5043,0)</t>
  </si>
  <si>
    <t>=IF($M5043&lt;=$T$18,U5043,0)</t>
  </si>
  <si>
    <t>="""NAV Direct"",""CRONUS JetCorp USA"",""21"",""1"",""388695"""</t>
  </si>
  <si>
    <t>=E5042</t>
  </si>
  <si>
    <t>=StartDate-$M5044+1</t>
  </si>
  <si>
    <t>=SUM(P5044:T5044)</t>
  </si>
  <si>
    <t>=IF($M5044&gt;=$P$18,U5044,0)</t>
  </si>
  <si>
    <t>=IF(AND($M5044&gt;=$Q$16,$M5044&lt;=$Q$18),U5044,0)</t>
  </si>
  <si>
    <t>=IF(AND($M5044&gt;=$R$16,$M5044&lt;=$R$18),U5044,0)</t>
  </si>
  <si>
    <t>=IF(AND($M5044&gt;=$S$16,$M5044&lt;=$S$18),U5044,0)</t>
  </si>
  <si>
    <t>=IF($M5044&lt;=$T$18,U5044,0)</t>
  </si>
  <si>
    <t>="""NAV Direct"",""CRONUS JetCorp USA"",""21"",""1"",""389378"""</t>
  </si>
  <si>
    <t>=E5043</t>
  </si>
  <si>
    <t>=StartDate-$M5045+1</t>
  </si>
  <si>
    <t>=SUM(P5045:T5045)</t>
  </si>
  <si>
    <t>=IF($M5045&gt;=$P$18,U5045,0)</t>
  </si>
  <si>
    <t>=IF(AND($M5045&gt;=$Q$16,$M5045&lt;=$Q$18),U5045,0)</t>
  </si>
  <si>
    <t>=IF(AND($M5045&gt;=$R$16,$M5045&lt;=$R$18),U5045,0)</t>
  </si>
  <si>
    <t>=IF(AND($M5045&gt;=$S$16,$M5045&lt;=$S$18),U5045,0)</t>
  </si>
  <si>
    <t>=IF($M5045&lt;=$T$18,U5045,0)</t>
  </si>
  <si>
    <t>="""NAV Direct"",""CRONUS JetCorp USA"",""21"",""1"",""390061"""</t>
  </si>
  <si>
    <t>=E5044</t>
  </si>
  <si>
    <t>=StartDate-$M5046+1</t>
  </si>
  <si>
    <t>=SUM(P5046:T5046)</t>
  </si>
  <si>
    <t>=IF($M5046&gt;=$P$18,U5046,0)</t>
  </si>
  <si>
    <t>=IF(AND($M5046&gt;=$Q$16,$M5046&lt;=$Q$18),U5046,0)</t>
  </si>
  <si>
    <t>=IF(AND($M5046&gt;=$R$16,$M5046&lt;=$R$18),U5046,0)</t>
  </si>
  <si>
    <t>=IF(AND($M5046&gt;=$S$16,$M5046&lt;=$S$18),U5046,0)</t>
  </si>
  <si>
    <t>=IF($M5046&lt;=$T$18,U5046,0)</t>
  </si>
  <si>
    <t>="""NAV Direct"",""CRONUS JetCorp USA"",""21"",""1"",""390183"""</t>
  </si>
  <si>
    <t>=E5045</t>
  </si>
  <si>
    <t>=StartDate-$M5047+1</t>
  </si>
  <si>
    <t>=SUM(P5047:T5047)</t>
  </si>
  <si>
    <t>=IF($M5047&gt;=$P$18,U5047,0)</t>
  </si>
  <si>
    <t>=IF(AND($M5047&gt;=$Q$16,$M5047&lt;=$Q$18),U5047,0)</t>
  </si>
  <si>
    <t>=IF(AND($M5047&gt;=$R$16,$M5047&lt;=$R$18),U5047,0)</t>
  </si>
  <si>
    <t>=IF(AND($M5047&gt;=$S$16,$M5047&lt;=$S$18),U5047,0)</t>
  </si>
  <si>
    <t>=IF($M5047&lt;=$T$18,U5047,0)</t>
  </si>
  <si>
    <t>="""NAV Direct"",""CRONUS JetCorp USA"",""21"",""1"",""391319"""</t>
  </si>
  <si>
    <t>=E5046</t>
  </si>
  <si>
    <t>=StartDate-$M5048+1</t>
  </si>
  <si>
    <t>=SUM(P5048:T5048)</t>
  </si>
  <si>
    <t>=IF($M5048&gt;=$P$18,U5048,0)</t>
  </si>
  <si>
    <t>=IF(AND($M5048&gt;=$Q$16,$M5048&lt;=$Q$18),U5048,0)</t>
  </si>
  <si>
    <t>=IF(AND($M5048&gt;=$R$16,$M5048&lt;=$R$18),U5048,0)</t>
  </si>
  <si>
    <t>=IF(AND($M5048&gt;=$S$16,$M5048&lt;=$S$18),U5048,0)</t>
  </si>
  <si>
    <t>=IF($M5048&lt;=$T$18,U5048,0)</t>
  </si>
  <si>
    <t>="""NAV Direct"",""CRONUS JetCorp USA"",""21"",""1"",""392558"""</t>
  </si>
  <si>
    <t>=E5047</t>
  </si>
  <si>
    <t>=StartDate-$M5049+1</t>
  </si>
  <si>
    <t>=SUM(P5049:T5049)</t>
  </si>
  <si>
    <t>=IF($M5049&gt;=$P$18,U5049,0)</t>
  </si>
  <si>
    <t>=IF(AND($M5049&gt;=$Q$16,$M5049&lt;=$Q$18),U5049,0)</t>
  </si>
  <si>
    <t>=IF(AND($M5049&gt;=$R$16,$M5049&lt;=$R$18),U5049,0)</t>
  </si>
  <si>
    <t>=IF(AND($M5049&gt;=$S$16,$M5049&lt;=$S$18),U5049,0)</t>
  </si>
  <si>
    <t>=IF($M5049&lt;=$T$18,U5049,0)</t>
  </si>
  <si>
    <t>="""NAV Direct"",""CRONUS JetCorp USA"",""21"",""1"",""393172"""</t>
  </si>
  <si>
    <t>=E5048</t>
  </si>
  <si>
    <t>=StartDate-$M5050+1</t>
  </si>
  <si>
    <t>=SUM(P5050:T5050)</t>
  </si>
  <si>
    <t>=IF($M5050&gt;=$P$18,U5050,0)</t>
  </si>
  <si>
    <t>=IF(AND($M5050&gt;=$Q$16,$M5050&lt;=$Q$18),U5050,0)</t>
  </si>
  <si>
    <t>=IF(AND($M5050&gt;=$R$16,$M5050&lt;=$R$18),U5050,0)</t>
  </si>
  <si>
    <t>=IF(AND($M5050&gt;=$S$16,$M5050&lt;=$S$18),U5050,0)</t>
  </si>
  <si>
    <t>=IF($M5050&lt;=$T$18,U5050,0)</t>
  </si>
  <si>
    <t>="""NAV Direct"",""CRONUS JetCorp USA"",""21"",""1"",""393650"""</t>
  </si>
  <si>
    <t>=E5049</t>
  </si>
  <si>
    <t>=StartDate-$M5051+1</t>
  </si>
  <si>
    <t>=SUM(P5051:T5051)</t>
  </si>
  <si>
    <t>=IF($M5051&gt;=$P$18,U5051,0)</t>
  </si>
  <si>
    <t>=IF(AND($M5051&gt;=$Q$16,$M5051&lt;=$Q$18),U5051,0)</t>
  </si>
  <si>
    <t>=IF(AND($M5051&gt;=$R$16,$M5051&lt;=$R$18),U5051,0)</t>
  </si>
  <si>
    <t>=IF(AND($M5051&gt;=$S$16,$M5051&lt;=$S$18),U5051,0)</t>
  </si>
  <si>
    <t>=IF($M5051&lt;=$T$18,U5051,0)</t>
  </si>
  <si>
    <t>="""NAV Direct"",""CRONUS JetCorp USA"",""21"",""1"",""393713"""</t>
  </si>
  <si>
    <t>=E5050</t>
  </si>
  <si>
    <t>=StartDate-$M5052+1</t>
  </si>
  <si>
    <t>=SUM(P5052:T5052)</t>
  </si>
  <si>
    <t>=IF($M5052&gt;=$P$18,U5052,0)</t>
  </si>
  <si>
    <t>=IF(AND($M5052&gt;=$Q$16,$M5052&lt;=$Q$18),U5052,0)</t>
  </si>
  <si>
    <t>=IF(AND($M5052&gt;=$R$16,$M5052&lt;=$R$18),U5052,0)</t>
  </si>
  <si>
    <t>=IF(AND($M5052&gt;=$S$16,$M5052&lt;=$S$18),U5052,0)</t>
  </si>
  <si>
    <t>=IF($M5052&lt;=$T$18,U5052,0)</t>
  </si>
  <si>
    <t>="""NAV Direct"",""CRONUS JetCorp USA"",""21"",""1"",""393888"""</t>
  </si>
  <si>
    <t>=E5051</t>
  </si>
  <si>
    <t>=StartDate-$M5053+1</t>
  </si>
  <si>
    <t>=SUM(P5053:T5053)</t>
  </si>
  <si>
    <t>=IF($M5053&gt;=$P$18,U5053,0)</t>
  </si>
  <si>
    <t>=IF(AND($M5053&gt;=$Q$16,$M5053&lt;=$Q$18),U5053,0)</t>
  </si>
  <si>
    <t>=IF(AND($M5053&gt;=$R$16,$M5053&lt;=$R$18),U5053,0)</t>
  </si>
  <si>
    <t>=IF(AND($M5053&gt;=$S$16,$M5053&lt;=$S$18),U5053,0)</t>
  </si>
  <si>
    <t>=IF($M5053&lt;=$T$18,U5053,0)</t>
  </si>
  <si>
    <t>="""NAV Direct"",""CRONUS JetCorp USA"",""21"",""1"",""394691"""</t>
  </si>
  <si>
    <t>=E5052</t>
  </si>
  <si>
    <t>=StartDate-$M5054+1</t>
  </si>
  <si>
    <t>=SUM(P5054:T5054)</t>
  </si>
  <si>
    <t>=IF($M5054&gt;=$P$18,U5054,0)</t>
  </si>
  <si>
    <t>=IF(AND($M5054&gt;=$Q$16,$M5054&lt;=$Q$18),U5054,0)</t>
  </si>
  <si>
    <t>=IF(AND($M5054&gt;=$R$16,$M5054&lt;=$R$18),U5054,0)</t>
  </si>
  <si>
    <t>=IF(AND($M5054&gt;=$S$16,$M5054&lt;=$S$18),U5054,0)</t>
  </si>
  <si>
    <t>=IF($M5054&lt;=$T$18,U5054,0)</t>
  </si>
  <si>
    <t>="""NAV Direct"",""CRONUS JetCorp USA"",""21"",""1"",""394864"""</t>
  </si>
  <si>
    <t>=E5053</t>
  </si>
  <si>
    <t>=StartDate-$M5055+1</t>
  </si>
  <si>
    <t>=SUM(P5055:T5055)</t>
  </si>
  <si>
    <t>=IF($M5055&gt;=$P$18,U5055,0)</t>
  </si>
  <si>
    <t>=IF(AND($M5055&gt;=$Q$16,$M5055&lt;=$Q$18),U5055,0)</t>
  </si>
  <si>
    <t>=IF(AND($M5055&gt;=$R$16,$M5055&lt;=$R$18),U5055,0)</t>
  </si>
  <si>
    <t>=IF(AND($M5055&gt;=$S$16,$M5055&lt;=$S$18),U5055,0)</t>
  </si>
  <si>
    <t>=IF($M5055&lt;=$T$18,U5055,0)</t>
  </si>
  <si>
    <t>="""NAV Direct"",""CRONUS JetCorp USA"",""21"",""1"",""398215"""</t>
  </si>
  <si>
    <t>=E5054</t>
  </si>
  <si>
    <t>=StartDate-$M5056+1</t>
  </si>
  <si>
    <t>=SUM(P5056:T5056)</t>
  </si>
  <si>
    <t>=IF($M5056&gt;=$P$18,U5056,0)</t>
  </si>
  <si>
    <t>=IF(AND($M5056&gt;=$Q$16,$M5056&lt;=$Q$18),U5056,0)</t>
  </si>
  <si>
    <t>=IF(AND($M5056&gt;=$R$16,$M5056&lt;=$R$18),U5056,0)</t>
  </si>
  <si>
    <t>=IF(AND($M5056&gt;=$S$16,$M5056&lt;=$S$18),U5056,0)</t>
  </si>
  <si>
    <t>=IF($M5056&lt;=$T$18,U5056,0)</t>
  </si>
  <si>
    <t>="""NAV Direct"",""CRONUS JetCorp USA"",""21"",""1"",""399175"""</t>
  </si>
  <si>
    <t>=E5055</t>
  </si>
  <si>
    <t>=StartDate-$M5057+1</t>
  </si>
  <si>
    <t>=SUM(P5057:T5057)</t>
  </si>
  <si>
    <t>=IF($M5057&gt;=$P$18,U5057,0)</t>
  </si>
  <si>
    <t>=IF(AND($M5057&gt;=$Q$16,$M5057&lt;=$Q$18),U5057,0)</t>
  </si>
  <si>
    <t>=IF(AND($M5057&gt;=$R$16,$M5057&lt;=$R$18),U5057,0)</t>
  </si>
  <si>
    <t>=IF(AND($M5057&gt;=$S$16,$M5057&lt;=$S$18),U5057,0)</t>
  </si>
  <si>
    <t>=IF($M5057&lt;=$T$18,U5057,0)</t>
  </si>
  <si>
    <t>="""NAV Direct"",""CRONUS JetCorp USA"",""21"",""1"",""399582"""</t>
  </si>
  <si>
    <t>=E5056</t>
  </si>
  <si>
    <t>=StartDate-$M5058+1</t>
  </si>
  <si>
    <t>=SUM(P5058:T5058)</t>
  </si>
  <si>
    <t>=IF($M5058&gt;=$P$18,U5058,0)</t>
  </si>
  <si>
    <t>=IF(AND($M5058&gt;=$Q$16,$M5058&lt;=$Q$18),U5058,0)</t>
  </si>
  <si>
    <t>=IF(AND($M5058&gt;=$R$16,$M5058&lt;=$R$18),U5058,0)</t>
  </si>
  <si>
    <t>=IF(AND($M5058&gt;=$S$16,$M5058&lt;=$S$18),U5058,0)</t>
  </si>
  <si>
    <t>=IF($M5058&lt;=$T$18,U5058,0)</t>
  </si>
  <si>
    <t>="""NAV Direct"",""CRONUS JetCorp USA"",""21"",""1"",""399919"""</t>
  </si>
  <si>
    <t>=E5057</t>
  </si>
  <si>
    <t>=StartDate-$M5059+1</t>
  </si>
  <si>
    <t>=SUM(P5059:T5059)</t>
  </si>
  <si>
    <t>=IF($M5059&gt;=$P$18,U5059,0)</t>
  </si>
  <si>
    <t>=IF(AND($M5059&gt;=$Q$16,$M5059&lt;=$Q$18),U5059,0)</t>
  </si>
  <si>
    <t>=IF(AND($M5059&gt;=$R$16,$M5059&lt;=$R$18),U5059,0)</t>
  </si>
  <si>
    <t>=IF(AND($M5059&gt;=$S$16,$M5059&lt;=$S$18),U5059,0)</t>
  </si>
  <si>
    <t>=IF($M5059&lt;=$T$18,U5059,0)</t>
  </si>
  <si>
    <t>="""NAV Direct"",""CRONUS JetCorp USA"",""21"",""1"",""400604"""</t>
  </si>
  <si>
    <t>=E5058</t>
  </si>
  <si>
    <t>=StartDate-$M5060+1</t>
  </si>
  <si>
    <t>=SUM(P5060:T5060)</t>
  </si>
  <si>
    <t>=IF($M5060&gt;=$P$18,U5060,0)</t>
  </si>
  <si>
    <t>=IF(AND($M5060&gt;=$Q$16,$M5060&lt;=$Q$18),U5060,0)</t>
  </si>
  <si>
    <t>=IF(AND($M5060&gt;=$R$16,$M5060&lt;=$R$18),U5060,0)</t>
  </si>
  <si>
    <t>=IF(AND($M5060&gt;=$S$16,$M5060&lt;=$S$18),U5060,0)</t>
  </si>
  <si>
    <t>=IF($M5060&lt;=$T$18,U5060,0)</t>
  </si>
  <si>
    <t>="""NAV Direct"",""CRONUS JetCorp USA"",""21"",""1"",""401109"""</t>
  </si>
  <si>
    <t>=E5059</t>
  </si>
  <si>
    <t>=StartDate-$M5061+1</t>
  </si>
  <si>
    <t>=SUM(P5061:T5061)</t>
  </si>
  <si>
    <t>=IF($M5061&gt;=$P$18,U5061,0)</t>
  </si>
  <si>
    <t>=IF(AND($M5061&gt;=$Q$16,$M5061&lt;=$Q$18),U5061,0)</t>
  </si>
  <si>
    <t>=IF(AND($M5061&gt;=$R$16,$M5061&lt;=$R$18),U5061,0)</t>
  </si>
  <si>
    <t>=IF(AND($M5061&gt;=$S$16,$M5061&lt;=$S$18),U5061,0)</t>
  </si>
  <si>
    <t>=IF($M5061&lt;=$T$18,U5061,0)</t>
  </si>
  <si>
    <t>="""NAV Direct"",""CRONUS JetCorp USA"",""21"",""1"",""401199"""</t>
  </si>
  <si>
    <t>=E5060</t>
  </si>
  <si>
    <t>=StartDate-$M5062+1</t>
  </si>
  <si>
    <t>=SUM(P5062:T5062)</t>
  </si>
  <si>
    <t>=IF($M5062&gt;=$P$18,U5062,0)</t>
  </si>
  <si>
    <t>=IF(AND($M5062&gt;=$Q$16,$M5062&lt;=$Q$18),U5062,0)</t>
  </si>
  <si>
    <t>=IF(AND($M5062&gt;=$R$16,$M5062&lt;=$R$18),U5062,0)</t>
  </si>
  <si>
    <t>=IF(AND($M5062&gt;=$S$16,$M5062&lt;=$S$18),U5062,0)</t>
  </si>
  <si>
    <t>=IF($M5062&lt;=$T$18,U5062,0)</t>
  </si>
  <si>
    <t>="""NAV Direct"",""CRONUS JetCorp USA"",""21"",""1"",""438954"""</t>
  </si>
  <si>
    <t>=E5061</t>
  </si>
  <si>
    <t>=StartDate-$M5063+1</t>
  </si>
  <si>
    <t>=SUM(P5063:T5063)</t>
  </si>
  <si>
    <t>=IF($M5063&gt;=$P$18,U5063,0)</t>
  </si>
  <si>
    <t>=IF(AND($M5063&gt;=$Q$16,$M5063&lt;=$Q$18),U5063,0)</t>
  </si>
  <si>
    <t>=IF(AND($M5063&gt;=$R$16,$M5063&lt;=$R$18),U5063,0)</t>
  </si>
  <si>
    <t>=IF(AND($M5063&gt;=$S$16,$M5063&lt;=$S$18),U5063,0)</t>
  </si>
  <si>
    <t>=IF($M5063&lt;=$T$18,U5063,0)</t>
  </si>
  <si>
    <t>="""NAV Direct"",""CRONUS JetCorp USA"",""21"",""1"",""438990"""</t>
  </si>
  <si>
    <t>=E5062</t>
  </si>
  <si>
    <t>=StartDate-$M5064+1</t>
  </si>
  <si>
    <t>=SUM(P5064:T5064)</t>
  </si>
  <si>
    <t>=IF($M5064&gt;=$P$18,U5064,0)</t>
  </si>
  <si>
    <t>=IF(AND($M5064&gt;=$Q$16,$M5064&lt;=$Q$18),U5064,0)</t>
  </si>
  <si>
    <t>=IF(AND($M5064&gt;=$R$16,$M5064&lt;=$R$18),U5064,0)</t>
  </si>
  <si>
    <t>=IF(AND($M5064&gt;=$S$16,$M5064&lt;=$S$18),U5064,0)</t>
  </si>
  <si>
    <t>=IF($M5064&lt;=$T$18,U5064,0)</t>
  </si>
  <si>
    <t>="""NAV Direct"",""CRONUS JetCorp USA"",""21"",""1"",""439085"""</t>
  </si>
  <si>
    <t>=E5063</t>
  </si>
  <si>
    <t>=StartDate-$M5065+1</t>
  </si>
  <si>
    <t>=SUM(P5065:T5065)</t>
  </si>
  <si>
    <t>=IF($M5065&gt;=$P$18,U5065,0)</t>
  </si>
  <si>
    <t>=IF(AND($M5065&gt;=$Q$16,$M5065&lt;=$Q$18),U5065,0)</t>
  </si>
  <si>
    <t>=IF(AND($M5065&gt;=$R$16,$M5065&lt;=$R$18),U5065,0)</t>
  </si>
  <si>
    <t>=IF(AND($M5065&gt;=$S$16,$M5065&lt;=$S$18),U5065,0)</t>
  </si>
  <si>
    <t>=IF($M5065&lt;=$T$18,U5065,0)</t>
  </si>
  <si>
    <t>="""NAV Direct"",""CRONUS JetCorp USA"",""21"",""1"",""439263"""</t>
  </si>
  <si>
    <t>=E5064</t>
  </si>
  <si>
    <t>=StartDate-$M5066+1</t>
  </si>
  <si>
    <t>=SUM(P5066:T5066)</t>
  </si>
  <si>
    <t>=IF($M5066&gt;=$P$18,U5066,0)</t>
  </si>
  <si>
    <t>=IF(AND($M5066&gt;=$Q$16,$M5066&lt;=$Q$18),U5066,0)</t>
  </si>
  <si>
    <t>=IF(AND($M5066&gt;=$R$16,$M5066&lt;=$R$18),U5066,0)</t>
  </si>
  <si>
    <t>=IF(AND($M5066&gt;=$S$16,$M5066&lt;=$S$18),U5066,0)</t>
  </si>
  <si>
    <t>=IF($M5066&lt;=$T$18,U5066,0)</t>
  </si>
  <si>
    <t>="""NAV Direct"",""CRONUS JetCorp USA"",""21"",""1"",""439773"""</t>
  </si>
  <si>
    <t>=E5065</t>
  </si>
  <si>
    <t>=StartDate-$M5067+1</t>
  </si>
  <si>
    <t>=SUM(P5067:T5067)</t>
  </si>
  <si>
    <t>=IF($M5067&gt;=$P$18,U5067,0)</t>
  </si>
  <si>
    <t>=IF(AND($M5067&gt;=$Q$16,$M5067&lt;=$Q$18),U5067,0)</t>
  </si>
  <si>
    <t>=IF(AND($M5067&gt;=$R$16,$M5067&lt;=$R$18),U5067,0)</t>
  </si>
  <si>
    <t>=IF(AND($M5067&gt;=$S$16,$M5067&lt;=$S$18),U5067,0)</t>
  </si>
  <si>
    <t>=IF($M5067&lt;=$T$18,U5067,0)</t>
  </si>
  <si>
    <t>="""NAV Direct"",""CRONUS JetCorp USA"",""21"",""1"",""440077"""</t>
  </si>
  <si>
    <t>=E5066</t>
  </si>
  <si>
    <t>=StartDate-$M5068+1</t>
  </si>
  <si>
    <t>=SUM(P5068:T5068)</t>
  </si>
  <si>
    <t>=IF($M5068&gt;=$P$18,U5068,0)</t>
  </si>
  <si>
    <t>=IF(AND($M5068&gt;=$Q$16,$M5068&lt;=$Q$18),U5068,0)</t>
  </si>
  <si>
    <t>=IF(AND($M5068&gt;=$R$16,$M5068&lt;=$R$18),U5068,0)</t>
  </si>
  <si>
    <t>=IF(AND($M5068&gt;=$S$16,$M5068&lt;=$S$18),U5068,0)</t>
  </si>
  <si>
    <t>=IF($M5068&lt;=$T$18,U5068,0)</t>
  </si>
  <si>
    <t>="""NAV Direct"",""CRONUS JetCorp USA"",""18"",""1"",""C100140"""</t>
  </si>
  <si>
    <t>=H5071</t>
  </si>
  <si>
    <t>=NF($C5071,"1 No.")</t>
  </si>
  <si>
    <t>=NF($C5071,"1 No.")&amp;"  -  "&amp;NF($C5071,"2 Name")</t>
  </si>
  <si>
    <t>=IFERROR(O5071/NF(C5071,"Credit Limit (LCY)"),"")</t>
  </si>
  <si>
    <t>=SUBTOTAL(3,L5072:L5215)</t>
  </si>
  <si>
    <t>=SUBTOTAL(9,O5072:O5215)</t>
  </si>
  <si>
    <t>=SUBTOTAL(9,P5072:P5215)</t>
  </si>
  <si>
    <t>=SUBTOTAL(9,Q5072:Q5215)</t>
  </si>
  <si>
    <t>=SUBTOTAL(9,R5072:R5215)</t>
  </si>
  <si>
    <t>=SUBTOTAL(9,S5072:S5215)</t>
  </si>
  <si>
    <t>=SUBTOTAL(9,T5072:T5215)</t>
  </si>
  <si>
    <t>=C5071</t>
  </si>
  <si>
    <t>=E5071</t>
  </si>
  <si>
    <t>="Contact: "&amp;NF($C5072,"8 Contact")</t>
  </si>
  <si>
    <t>=C5072</t>
  </si>
  <si>
    <t>=E5072</t>
  </si>
  <si>
    <t>=NF($C5073,"102 E-Mail")</t>
  </si>
  <si>
    <t>=NL("Rows","21 Cust. Ledger Entry",,"3 Customer No.","@@"&amp;$E5075,"16 Remaining Amt. (LCY)","&lt;&gt;0")</t>
  </si>
  <si>
    <t>=E5073</t>
  </si>
  <si>
    <t>=StartDate-$M5075+1</t>
  </si>
  <si>
    <t>=SUM(P5075:T5075)</t>
  </si>
  <si>
    <t>=IF($M5075&gt;=$P$18,U5075,0)</t>
  </si>
  <si>
    <t>=IF(AND($M5075&gt;=$Q$16,$M5075&lt;=$Q$18),U5075,0)</t>
  </si>
  <si>
    <t>=IF(AND($M5075&gt;=$R$16,$M5075&lt;=$R$18),U5075,0)</t>
  </si>
  <si>
    <t>=IF(AND($M5075&gt;=$S$16,$M5075&lt;=$S$18),U5075,0)</t>
  </si>
  <si>
    <t>=IF($M5075&lt;=$T$18,U5075,0)</t>
  </si>
  <si>
    <t>="""NAV Direct"",""CRONUS JetCorp USA"",""21"",""1"",""178526"""</t>
  </si>
  <si>
    <t>=E5074</t>
  </si>
  <si>
    <t>=StartDate-$M5076+1</t>
  </si>
  <si>
    <t>=SUM(P5076:T5076)</t>
  </si>
  <si>
    <t>=IF($M5076&gt;=$P$18,U5076,0)</t>
  </si>
  <si>
    <t>=IF(AND($M5076&gt;=$Q$16,$M5076&lt;=$Q$18),U5076,0)</t>
  </si>
  <si>
    <t>=IF(AND($M5076&gt;=$R$16,$M5076&lt;=$R$18),U5076,0)</t>
  </si>
  <si>
    <t>=IF(AND($M5076&gt;=$S$16,$M5076&lt;=$S$18),U5076,0)</t>
  </si>
  <si>
    <t>=IF($M5076&lt;=$T$18,U5076,0)</t>
  </si>
  <si>
    <t>="""NAV Direct"",""CRONUS JetCorp USA"",""21"",""1"",""178648"""</t>
  </si>
  <si>
    <t>=E5075</t>
  </si>
  <si>
    <t>=StartDate-$M5077+1</t>
  </si>
  <si>
    <t>=SUM(P5077:T5077)</t>
  </si>
  <si>
    <t>=IF($M5077&gt;=$P$18,U5077,0)</t>
  </si>
  <si>
    <t>=IF(AND($M5077&gt;=$Q$16,$M5077&lt;=$Q$18),U5077,0)</t>
  </si>
  <si>
    <t>=IF(AND($M5077&gt;=$R$16,$M5077&lt;=$R$18),U5077,0)</t>
  </si>
  <si>
    <t>=IF(AND($M5077&gt;=$S$16,$M5077&lt;=$S$18),U5077,0)</t>
  </si>
  <si>
    <t>=IF($M5077&lt;=$T$18,U5077,0)</t>
  </si>
  <si>
    <t>="""NAV Direct"",""CRONUS JetCorp USA"",""21"",""1"",""414550"""</t>
  </si>
  <si>
    <t>=E5076</t>
  </si>
  <si>
    <t>=StartDate-$M5078+1</t>
  </si>
  <si>
    <t>=SUM(P5078:T5078)</t>
  </si>
  <si>
    <t>=IF($M5078&gt;=$P$18,U5078,0)</t>
  </si>
  <si>
    <t>=IF(AND($M5078&gt;=$Q$16,$M5078&lt;=$Q$18),U5078,0)</t>
  </si>
  <si>
    <t>=IF(AND($M5078&gt;=$R$16,$M5078&lt;=$R$18),U5078,0)</t>
  </si>
  <si>
    <t>=IF(AND($M5078&gt;=$S$16,$M5078&lt;=$S$18),U5078,0)</t>
  </si>
  <si>
    <t>=IF($M5078&lt;=$T$18,U5078,0)</t>
  </si>
  <si>
    <t>="""NAV Direct"",""CRONUS JetCorp USA"",""21"",""1"",""414585"""</t>
  </si>
  <si>
    <t>=E5077</t>
  </si>
  <si>
    <t>=StartDate-$M5079+1</t>
  </si>
  <si>
    <t>=SUM(P5079:T5079)</t>
  </si>
  <si>
    <t>=IF($M5079&gt;=$P$18,U5079,0)</t>
  </si>
  <si>
    <t>=IF(AND($M5079&gt;=$Q$16,$M5079&lt;=$Q$18),U5079,0)</t>
  </si>
  <si>
    <t>=IF(AND($M5079&gt;=$R$16,$M5079&lt;=$R$18),U5079,0)</t>
  </si>
  <si>
    <t>=IF(AND($M5079&gt;=$S$16,$M5079&lt;=$S$18),U5079,0)</t>
  </si>
  <si>
    <t>=IF($M5079&lt;=$T$18,U5079,0)</t>
  </si>
  <si>
    <t>="""NAV Direct"",""CRONUS JetCorp USA"",""21"",""1"",""414913"""</t>
  </si>
  <si>
    <t>=E5078</t>
  </si>
  <si>
    <t>=StartDate-$M5080+1</t>
  </si>
  <si>
    <t>=SUM(P5080:T5080)</t>
  </si>
  <si>
    <t>=IF($M5080&gt;=$P$18,U5080,0)</t>
  </si>
  <si>
    <t>=IF(AND($M5080&gt;=$Q$16,$M5080&lt;=$Q$18),U5080,0)</t>
  </si>
  <si>
    <t>=IF(AND($M5080&gt;=$R$16,$M5080&lt;=$R$18),U5080,0)</t>
  </si>
  <si>
    <t>=IF(AND($M5080&gt;=$S$16,$M5080&lt;=$S$18),U5080,0)</t>
  </si>
  <si>
    <t>=IF($M5080&lt;=$T$18,U5080,0)</t>
  </si>
  <si>
    <t>="""NAV Direct"",""CRONUS JetCorp USA"",""21"",""1"",""415096"""</t>
  </si>
  <si>
    <t>=E5079</t>
  </si>
  <si>
    <t>=StartDate-$M5081+1</t>
  </si>
  <si>
    <t>=SUM(P5081:T5081)</t>
  </si>
  <si>
    <t>=IF($M5081&gt;=$P$18,U5081,0)</t>
  </si>
  <si>
    <t>=IF(AND($M5081&gt;=$Q$16,$M5081&lt;=$Q$18),U5081,0)</t>
  </si>
  <si>
    <t>=IF(AND($M5081&gt;=$R$16,$M5081&lt;=$R$18),U5081,0)</t>
  </si>
  <si>
    <t>=IF(AND($M5081&gt;=$S$16,$M5081&lt;=$S$18),U5081,0)</t>
  </si>
  <si>
    <t>=IF($M5081&lt;=$T$18,U5081,0)</t>
  </si>
  <si>
    <t>="""NAV Direct"",""CRONUS JetCorp USA"",""21"",""1"",""415143"""</t>
  </si>
  <si>
    <t>=E5080</t>
  </si>
  <si>
    <t>=StartDate-$M5082+1</t>
  </si>
  <si>
    <t>=SUM(P5082:T5082)</t>
  </si>
  <si>
    <t>=IF($M5082&gt;=$P$18,U5082,0)</t>
  </si>
  <si>
    <t>=IF(AND($M5082&gt;=$Q$16,$M5082&lt;=$Q$18),U5082,0)</t>
  </si>
  <si>
    <t>=IF(AND($M5082&gt;=$R$16,$M5082&lt;=$R$18),U5082,0)</t>
  </si>
  <si>
    <t>=IF(AND($M5082&gt;=$S$16,$M5082&lt;=$S$18),U5082,0)</t>
  </si>
  <si>
    <t>=IF($M5082&lt;=$T$18,U5082,0)</t>
  </si>
  <si>
    <t>="""NAV Direct"",""CRONUS JetCorp USA"",""21"",""1"",""415182"""</t>
  </si>
  <si>
    <t>=E5081</t>
  </si>
  <si>
    <t>=StartDate-$M5083+1</t>
  </si>
  <si>
    <t>=SUM(P5083:T5083)</t>
  </si>
  <si>
    <t>=IF($M5083&gt;=$P$18,U5083,0)</t>
  </si>
  <si>
    <t>=IF(AND($M5083&gt;=$Q$16,$M5083&lt;=$Q$18),U5083,0)</t>
  </si>
  <si>
    <t>=IF(AND($M5083&gt;=$R$16,$M5083&lt;=$R$18),U5083,0)</t>
  </si>
  <si>
    <t>=IF(AND($M5083&gt;=$S$16,$M5083&lt;=$S$18),U5083,0)</t>
  </si>
  <si>
    <t>=IF($M5083&lt;=$T$18,U5083,0)</t>
  </si>
  <si>
    <t>="""NAV Direct"",""CRONUS JetCorp USA"",""21"",""1"",""415608"""</t>
  </si>
  <si>
    <t>=E5082</t>
  </si>
  <si>
    <t>=StartDate-$M5084+1</t>
  </si>
  <si>
    <t>=SUM(P5084:T5084)</t>
  </si>
  <si>
    <t>=IF($M5084&gt;=$P$18,U5084,0)</t>
  </si>
  <si>
    <t>=IF(AND($M5084&gt;=$Q$16,$M5084&lt;=$Q$18),U5084,0)</t>
  </si>
  <si>
    <t>=IF(AND($M5084&gt;=$R$16,$M5084&lt;=$R$18),U5084,0)</t>
  </si>
  <si>
    <t>=IF(AND($M5084&gt;=$S$16,$M5084&lt;=$S$18),U5084,0)</t>
  </si>
  <si>
    <t>=IF($M5084&lt;=$T$18,U5084,0)</t>
  </si>
  <si>
    <t>="""NAV Direct"",""CRONUS JetCorp USA"",""21"",""1"",""415712"""</t>
  </si>
  <si>
    <t>=E5083</t>
  </si>
  <si>
    <t>=StartDate-$M5085+1</t>
  </si>
  <si>
    <t>=SUM(P5085:T5085)</t>
  </si>
  <si>
    <t>=IF($M5085&gt;=$P$18,U5085,0)</t>
  </si>
  <si>
    <t>=IF(AND($M5085&gt;=$Q$16,$M5085&lt;=$Q$18),U5085,0)</t>
  </si>
  <si>
    <t>=IF(AND($M5085&gt;=$R$16,$M5085&lt;=$R$18),U5085,0)</t>
  </si>
  <si>
    <t>=IF(AND($M5085&gt;=$S$16,$M5085&lt;=$S$18),U5085,0)</t>
  </si>
  <si>
    <t>=IF($M5085&lt;=$T$18,U5085,0)</t>
  </si>
  <si>
    <t>="""NAV Direct"",""CRONUS JetCorp USA"",""21"",""1"",""415808"""</t>
  </si>
  <si>
    <t>=E5084</t>
  </si>
  <si>
    <t>=StartDate-$M5086+1</t>
  </si>
  <si>
    <t>=SUM(P5086:T5086)</t>
  </si>
  <si>
    <t>=IF($M5086&gt;=$P$18,U5086,0)</t>
  </si>
  <si>
    <t>=IF(AND($M5086&gt;=$Q$16,$M5086&lt;=$Q$18),U5086,0)</t>
  </si>
  <si>
    <t>=IF(AND($M5086&gt;=$R$16,$M5086&lt;=$R$18),U5086,0)</t>
  </si>
  <si>
    <t>=IF(AND($M5086&gt;=$S$16,$M5086&lt;=$S$18),U5086,0)</t>
  </si>
  <si>
    <t>=IF($M5086&lt;=$T$18,U5086,0)</t>
  </si>
  <si>
    <t>="""NAV Direct"",""CRONUS JetCorp USA"",""21"",""1"",""415990"""</t>
  </si>
  <si>
    <t>=E5085</t>
  </si>
  <si>
    <t>=StartDate-$M5087+1</t>
  </si>
  <si>
    <t>=SUM(P5087:T5087)</t>
  </si>
  <si>
    <t>=IF($M5087&gt;=$P$18,U5087,0)</t>
  </si>
  <si>
    <t>=IF(AND($M5087&gt;=$Q$16,$M5087&lt;=$Q$18),U5087,0)</t>
  </si>
  <si>
    <t>=IF(AND($M5087&gt;=$R$16,$M5087&lt;=$R$18),U5087,0)</t>
  </si>
  <si>
    <t>=IF(AND($M5087&gt;=$S$16,$M5087&lt;=$S$18),U5087,0)</t>
  </si>
  <si>
    <t>=IF($M5087&lt;=$T$18,U5087,0)</t>
  </si>
  <si>
    <t>="""NAV Direct"",""CRONUS JetCorp USA"",""21"",""1"",""416117"""</t>
  </si>
  <si>
    <t>=E5086</t>
  </si>
  <si>
    <t>=StartDate-$M5088+1</t>
  </si>
  <si>
    <t>=SUM(P5088:T5088)</t>
  </si>
  <si>
    <t>=IF($M5088&gt;=$P$18,U5088,0)</t>
  </si>
  <si>
    <t>=IF(AND($M5088&gt;=$Q$16,$M5088&lt;=$Q$18),U5088,0)</t>
  </si>
  <si>
    <t>=IF(AND($M5088&gt;=$R$16,$M5088&lt;=$R$18),U5088,0)</t>
  </si>
  <si>
    <t>=IF(AND($M5088&gt;=$S$16,$M5088&lt;=$S$18),U5088,0)</t>
  </si>
  <si>
    <t>=IF($M5088&lt;=$T$18,U5088,0)</t>
  </si>
  <si>
    <t>="""NAV Direct"",""CRONUS JetCorp USA"",""21"",""1"",""416285"""</t>
  </si>
  <si>
    <t>=E5087</t>
  </si>
  <si>
    <t>=StartDate-$M5089+1</t>
  </si>
  <si>
    <t>=SUM(P5089:T5089)</t>
  </si>
  <si>
    <t>=IF($M5089&gt;=$P$18,U5089,0)</t>
  </si>
  <si>
    <t>=IF(AND($M5089&gt;=$Q$16,$M5089&lt;=$Q$18),U5089,0)</t>
  </si>
  <si>
    <t>=IF(AND($M5089&gt;=$R$16,$M5089&lt;=$R$18),U5089,0)</t>
  </si>
  <si>
    <t>=IF(AND($M5089&gt;=$S$16,$M5089&lt;=$S$18),U5089,0)</t>
  </si>
  <si>
    <t>=IF($M5089&lt;=$T$18,U5089,0)</t>
  </si>
  <si>
    <t>="""NAV Direct"",""CRONUS JetCorp USA"",""21"",""1"",""416328"""</t>
  </si>
  <si>
    <t>=E5088</t>
  </si>
  <si>
    <t>=StartDate-$M5090+1</t>
  </si>
  <si>
    <t>=SUM(P5090:T5090)</t>
  </si>
  <si>
    <t>=IF($M5090&gt;=$P$18,U5090,0)</t>
  </si>
  <si>
    <t>=IF(AND($M5090&gt;=$Q$16,$M5090&lt;=$Q$18),U5090,0)</t>
  </si>
  <si>
    <t>=IF(AND($M5090&gt;=$R$16,$M5090&lt;=$R$18),U5090,0)</t>
  </si>
  <si>
    <t>=IF(AND($M5090&gt;=$S$16,$M5090&lt;=$S$18),U5090,0)</t>
  </si>
  <si>
    <t>=IF($M5090&lt;=$T$18,U5090,0)</t>
  </si>
  <si>
    <t>="""NAV Direct"",""CRONUS JetCorp USA"",""21"",""1"",""416636"""</t>
  </si>
  <si>
    <t>=E5089</t>
  </si>
  <si>
    <t>=StartDate-$M5091+1</t>
  </si>
  <si>
    <t>=SUM(P5091:T5091)</t>
  </si>
  <si>
    <t>=IF($M5091&gt;=$P$18,U5091,0)</t>
  </si>
  <si>
    <t>=IF(AND($M5091&gt;=$Q$16,$M5091&lt;=$Q$18),U5091,0)</t>
  </si>
  <si>
    <t>=IF(AND($M5091&gt;=$R$16,$M5091&lt;=$R$18),U5091,0)</t>
  </si>
  <si>
    <t>=IF(AND($M5091&gt;=$S$16,$M5091&lt;=$S$18),U5091,0)</t>
  </si>
  <si>
    <t>=IF($M5091&lt;=$T$18,U5091,0)</t>
  </si>
  <si>
    <t>="""NAV Direct"",""CRONUS JetCorp USA"",""21"",""1"",""416671"""</t>
  </si>
  <si>
    <t>=E5090</t>
  </si>
  <si>
    <t>=StartDate-$M5092+1</t>
  </si>
  <si>
    <t>=SUM(P5092:T5092)</t>
  </si>
  <si>
    <t>=IF($M5092&gt;=$P$18,U5092,0)</t>
  </si>
  <si>
    <t>=IF(AND($M5092&gt;=$Q$16,$M5092&lt;=$Q$18),U5092,0)</t>
  </si>
  <si>
    <t>=IF(AND($M5092&gt;=$R$16,$M5092&lt;=$R$18),U5092,0)</t>
  </si>
  <si>
    <t>=IF(AND($M5092&gt;=$S$16,$M5092&lt;=$S$18),U5092,0)</t>
  </si>
  <si>
    <t>=IF($M5092&lt;=$T$18,U5092,0)</t>
  </si>
  <si>
    <t>="""NAV Direct"",""CRONUS JetCorp USA"",""21"",""1"",""416876"""</t>
  </si>
  <si>
    <t>=E5091</t>
  </si>
  <si>
    <t>=StartDate-$M5093+1</t>
  </si>
  <si>
    <t>=SUM(P5093:T5093)</t>
  </si>
  <si>
    <t>=IF($M5093&gt;=$P$18,U5093,0)</t>
  </si>
  <si>
    <t>=IF(AND($M5093&gt;=$Q$16,$M5093&lt;=$Q$18),U5093,0)</t>
  </si>
  <si>
    <t>=IF(AND($M5093&gt;=$R$16,$M5093&lt;=$R$18),U5093,0)</t>
  </si>
  <si>
    <t>=IF(AND($M5093&gt;=$S$16,$M5093&lt;=$S$18),U5093,0)</t>
  </si>
  <si>
    <t>=IF($M5093&lt;=$T$18,U5093,0)</t>
  </si>
  <si>
    <t>="""NAV Direct"",""CRONUS JetCorp USA"",""21"",""1"",""416917"""</t>
  </si>
  <si>
    <t>=E5092</t>
  </si>
  <si>
    <t>=StartDate-$M5094+1</t>
  </si>
  <si>
    <t>=SUM(P5094:T5094)</t>
  </si>
  <si>
    <t>=IF($M5094&gt;=$P$18,U5094,0)</t>
  </si>
  <si>
    <t>=IF(AND($M5094&gt;=$Q$16,$M5094&lt;=$Q$18),U5094,0)</t>
  </si>
  <si>
    <t>=IF(AND($M5094&gt;=$R$16,$M5094&lt;=$R$18),U5094,0)</t>
  </si>
  <si>
    <t>=IF(AND($M5094&gt;=$S$16,$M5094&lt;=$S$18),U5094,0)</t>
  </si>
  <si>
    <t>=IF($M5094&lt;=$T$18,U5094,0)</t>
  </si>
  <si>
    <t>="""NAV Direct"",""CRONUS JetCorp USA"",""21"",""1"",""417121"""</t>
  </si>
  <si>
    <t>=E5093</t>
  </si>
  <si>
    <t>=StartDate-$M5095+1</t>
  </si>
  <si>
    <t>=SUM(P5095:T5095)</t>
  </si>
  <si>
    <t>=IF($M5095&gt;=$P$18,U5095,0)</t>
  </si>
  <si>
    <t>=IF(AND($M5095&gt;=$Q$16,$M5095&lt;=$Q$18),U5095,0)</t>
  </si>
  <si>
    <t>=IF(AND($M5095&gt;=$R$16,$M5095&lt;=$R$18),U5095,0)</t>
  </si>
  <si>
    <t>=IF(AND($M5095&gt;=$S$16,$M5095&lt;=$S$18),U5095,0)</t>
  </si>
  <si>
    <t>=IF($M5095&lt;=$T$18,U5095,0)</t>
  </si>
  <si>
    <t>="""NAV Direct"",""CRONUS JetCorp USA"",""21"",""1"",""417146"""</t>
  </si>
  <si>
    <t>=E5094</t>
  </si>
  <si>
    <t>=StartDate-$M5096+1</t>
  </si>
  <si>
    <t>=SUM(P5096:T5096)</t>
  </si>
  <si>
    <t>=IF($M5096&gt;=$P$18,U5096,0)</t>
  </si>
  <si>
    <t>=IF(AND($M5096&gt;=$Q$16,$M5096&lt;=$Q$18),U5096,0)</t>
  </si>
  <si>
    <t>=IF(AND($M5096&gt;=$R$16,$M5096&lt;=$R$18),U5096,0)</t>
  </si>
  <si>
    <t>=IF(AND($M5096&gt;=$S$16,$M5096&lt;=$S$18),U5096,0)</t>
  </si>
  <si>
    <t>=IF($M5096&lt;=$T$18,U5096,0)</t>
  </si>
  <si>
    <t>="""NAV Direct"",""CRONUS JetCorp USA"",""21"",""1"",""417176"""</t>
  </si>
  <si>
    <t>=E5095</t>
  </si>
  <si>
    <t>=StartDate-$M5097+1</t>
  </si>
  <si>
    <t>=SUM(P5097:T5097)</t>
  </si>
  <si>
    <t>=IF($M5097&gt;=$P$18,U5097,0)</t>
  </si>
  <si>
    <t>=IF(AND($M5097&gt;=$Q$16,$M5097&lt;=$Q$18),U5097,0)</t>
  </si>
  <si>
    <t>=IF(AND($M5097&gt;=$R$16,$M5097&lt;=$R$18),U5097,0)</t>
  </si>
  <si>
    <t>=IF(AND($M5097&gt;=$S$16,$M5097&lt;=$S$18),U5097,0)</t>
  </si>
  <si>
    <t>=IF($M5097&lt;=$T$18,U5097,0)</t>
  </si>
  <si>
    <t>="""NAV Direct"",""CRONUS JetCorp USA"",""21"",""1"",""417451"""</t>
  </si>
  <si>
    <t>=E5096</t>
  </si>
  <si>
    <t>=StartDate-$M5098+1</t>
  </si>
  <si>
    <t>=SUM(P5098:T5098)</t>
  </si>
  <si>
    <t>=IF($M5098&gt;=$P$18,U5098,0)</t>
  </si>
  <si>
    <t>=IF(AND($M5098&gt;=$Q$16,$M5098&lt;=$Q$18),U5098,0)</t>
  </si>
  <si>
    <t>=IF(AND($M5098&gt;=$R$16,$M5098&lt;=$R$18),U5098,0)</t>
  </si>
  <si>
    <t>=IF(AND($M5098&gt;=$S$16,$M5098&lt;=$S$18),U5098,0)</t>
  </si>
  <si>
    <t>=IF($M5098&lt;=$T$18,U5098,0)</t>
  </si>
  <si>
    <t>="""NAV Direct"",""CRONUS JetCorp USA"",""21"",""1"",""417502"""</t>
  </si>
  <si>
    <t>=E5097</t>
  </si>
  <si>
    <t>=StartDate-$M5099+1</t>
  </si>
  <si>
    <t>=SUM(P5099:T5099)</t>
  </si>
  <si>
    <t>=IF($M5099&gt;=$P$18,U5099,0)</t>
  </si>
  <si>
    <t>=IF(AND($M5099&gt;=$Q$16,$M5099&lt;=$Q$18),U5099,0)</t>
  </si>
  <si>
    <t>=IF(AND($M5099&gt;=$R$16,$M5099&lt;=$R$18),U5099,0)</t>
  </si>
  <si>
    <t>=IF(AND($M5099&gt;=$S$16,$M5099&lt;=$S$18),U5099,0)</t>
  </si>
  <si>
    <t>=IF($M5099&lt;=$T$18,U5099,0)</t>
  </si>
  <si>
    <t>="""NAV Direct"",""CRONUS JetCorp USA"",""21"",""1"",""417549"""</t>
  </si>
  <si>
    <t>=E5098</t>
  </si>
  <si>
    <t>=StartDate-$M5100+1</t>
  </si>
  <si>
    <t>=SUM(P5100:T5100)</t>
  </si>
  <si>
    <t>=IF($M5100&gt;=$P$18,U5100,0)</t>
  </si>
  <si>
    <t>=IF(AND($M5100&gt;=$Q$16,$M5100&lt;=$Q$18),U5100,0)</t>
  </si>
  <si>
    <t>=IF(AND($M5100&gt;=$R$16,$M5100&lt;=$R$18),U5100,0)</t>
  </si>
  <si>
    <t>=IF(AND($M5100&gt;=$S$16,$M5100&lt;=$S$18),U5100,0)</t>
  </si>
  <si>
    <t>=IF($M5100&lt;=$T$18,U5100,0)</t>
  </si>
  <si>
    <t>="""NAV Direct"",""CRONUS JetCorp USA"",""21"",""1"",""417612"""</t>
  </si>
  <si>
    <t>=E5099</t>
  </si>
  <si>
    <t>=StartDate-$M5101+1</t>
  </si>
  <si>
    <t>=SUM(P5101:T5101)</t>
  </si>
  <si>
    <t>=IF($M5101&gt;=$P$18,U5101,0)</t>
  </si>
  <si>
    <t>=IF(AND($M5101&gt;=$Q$16,$M5101&lt;=$Q$18),U5101,0)</t>
  </si>
  <si>
    <t>=IF(AND($M5101&gt;=$R$16,$M5101&lt;=$R$18),U5101,0)</t>
  </si>
  <si>
    <t>=IF(AND($M5101&gt;=$S$16,$M5101&lt;=$S$18),U5101,0)</t>
  </si>
  <si>
    <t>=IF($M5101&lt;=$T$18,U5101,0)</t>
  </si>
  <si>
    <t>="""NAV Direct"",""CRONUS JetCorp USA"",""21"",""1"",""417655"""</t>
  </si>
  <si>
    <t>=E5100</t>
  </si>
  <si>
    <t>=StartDate-$M5102+1</t>
  </si>
  <si>
    <t>=SUM(P5102:T5102)</t>
  </si>
  <si>
    <t>=IF($M5102&gt;=$P$18,U5102,0)</t>
  </si>
  <si>
    <t>=IF(AND($M5102&gt;=$Q$16,$M5102&lt;=$Q$18),U5102,0)</t>
  </si>
  <si>
    <t>=IF(AND($M5102&gt;=$R$16,$M5102&lt;=$R$18),U5102,0)</t>
  </si>
  <si>
    <t>=IF(AND($M5102&gt;=$S$16,$M5102&lt;=$S$18),U5102,0)</t>
  </si>
  <si>
    <t>=IF($M5102&lt;=$T$18,U5102,0)</t>
  </si>
  <si>
    <t>="""NAV Direct"",""CRONUS JetCorp USA"",""21"",""1"",""417707"""</t>
  </si>
  <si>
    <t>=E5101</t>
  </si>
  <si>
    <t>=StartDate-$M5103+1</t>
  </si>
  <si>
    <t>=SUM(P5103:T5103)</t>
  </si>
  <si>
    <t>=IF($M5103&gt;=$P$18,U5103,0)</t>
  </si>
  <si>
    <t>=IF(AND($M5103&gt;=$Q$16,$M5103&lt;=$Q$18),U5103,0)</t>
  </si>
  <si>
    <t>=IF(AND($M5103&gt;=$R$16,$M5103&lt;=$R$18),U5103,0)</t>
  </si>
  <si>
    <t>=IF(AND($M5103&gt;=$S$16,$M5103&lt;=$S$18),U5103,0)</t>
  </si>
  <si>
    <t>=IF($M5103&lt;=$T$18,U5103,0)</t>
  </si>
  <si>
    <t>="""NAV Direct"",""CRONUS JetCorp USA"",""21"",""1"",""417758"""</t>
  </si>
  <si>
    <t>=E5102</t>
  </si>
  <si>
    <t>=StartDate-$M5104+1</t>
  </si>
  <si>
    <t>=SUM(P5104:T5104)</t>
  </si>
  <si>
    <t>=IF($M5104&gt;=$P$18,U5104,0)</t>
  </si>
  <si>
    <t>=IF(AND($M5104&gt;=$Q$16,$M5104&lt;=$Q$18),U5104,0)</t>
  </si>
  <si>
    <t>=IF(AND($M5104&gt;=$R$16,$M5104&lt;=$R$18),U5104,0)</t>
  </si>
  <si>
    <t>=IF(AND($M5104&gt;=$S$16,$M5104&lt;=$S$18),U5104,0)</t>
  </si>
  <si>
    <t>=IF($M5104&lt;=$T$18,U5104,0)</t>
  </si>
  <si>
    <t>="""NAV Direct"",""CRONUS JetCorp USA"",""21"",""1"",""417836"""</t>
  </si>
  <si>
    <t>=E5103</t>
  </si>
  <si>
    <t>=StartDate-$M5105+1</t>
  </si>
  <si>
    <t>=SUM(P5105:T5105)</t>
  </si>
  <si>
    <t>=IF($M5105&gt;=$P$18,U5105,0)</t>
  </si>
  <si>
    <t>=IF(AND($M5105&gt;=$Q$16,$M5105&lt;=$Q$18),U5105,0)</t>
  </si>
  <si>
    <t>=IF(AND($M5105&gt;=$R$16,$M5105&lt;=$R$18),U5105,0)</t>
  </si>
  <si>
    <t>=IF(AND($M5105&gt;=$S$16,$M5105&lt;=$S$18),U5105,0)</t>
  </si>
  <si>
    <t>=IF($M5105&lt;=$T$18,U5105,0)</t>
  </si>
  <si>
    <t>="""NAV Direct"",""CRONUS JetCorp USA"",""21"",""1"",""417930"""</t>
  </si>
  <si>
    <t>=E5104</t>
  </si>
  <si>
    <t>=StartDate-$M5106+1</t>
  </si>
  <si>
    <t>=SUM(P5106:T5106)</t>
  </si>
  <si>
    <t>=IF($M5106&gt;=$P$18,U5106,0)</t>
  </si>
  <si>
    <t>=IF(AND($M5106&gt;=$Q$16,$M5106&lt;=$Q$18),U5106,0)</t>
  </si>
  <si>
    <t>=IF(AND($M5106&gt;=$R$16,$M5106&lt;=$R$18),U5106,0)</t>
  </si>
  <si>
    <t>=IF(AND($M5106&gt;=$S$16,$M5106&lt;=$S$18),U5106,0)</t>
  </si>
  <si>
    <t>=IF($M5106&lt;=$T$18,U5106,0)</t>
  </si>
  <si>
    <t>="""NAV Direct"",""CRONUS JetCorp USA"",""21"",""1"",""418090"""</t>
  </si>
  <si>
    <t>=E5105</t>
  </si>
  <si>
    <t>=StartDate-$M5107+1</t>
  </si>
  <si>
    <t>=SUM(P5107:T5107)</t>
  </si>
  <si>
    <t>=IF($M5107&gt;=$P$18,U5107,0)</t>
  </si>
  <si>
    <t>=IF(AND($M5107&gt;=$Q$16,$M5107&lt;=$Q$18),U5107,0)</t>
  </si>
  <si>
    <t>=IF(AND($M5107&gt;=$R$16,$M5107&lt;=$R$18),U5107,0)</t>
  </si>
  <si>
    <t>=IF(AND($M5107&gt;=$S$16,$M5107&lt;=$S$18),U5107,0)</t>
  </si>
  <si>
    <t>=IF($M5107&lt;=$T$18,U5107,0)</t>
  </si>
  <si>
    <t>="""NAV Direct"",""CRONUS JetCorp USA"",""21"",""1"",""418135"""</t>
  </si>
  <si>
    <t>=E5106</t>
  </si>
  <si>
    <t>=StartDate-$M5108+1</t>
  </si>
  <si>
    <t>=SUM(P5108:T5108)</t>
  </si>
  <si>
    <t>=IF($M5108&gt;=$P$18,U5108,0)</t>
  </si>
  <si>
    <t>=IF(AND($M5108&gt;=$Q$16,$M5108&lt;=$Q$18),U5108,0)</t>
  </si>
  <si>
    <t>=IF(AND($M5108&gt;=$R$16,$M5108&lt;=$R$18),U5108,0)</t>
  </si>
  <si>
    <t>=IF(AND($M5108&gt;=$S$16,$M5108&lt;=$S$18),U5108,0)</t>
  </si>
  <si>
    <t>=IF($M5108&lt;=$T$18,U5108,0)</t>
  </si>
  <si>
    <t>="""NAV Direct"",""CRONUS JetCorp USA"",""21"",""1"",""418352"""</t>
  </si>
  <si>
    <t>=E5107</t>
  </si>
  <si>
    <t>=StartDate-$M5109+1</t>
  </si>
  <si>
    <t>=SUM(P5109:T5109)</t>
  </si>
  <si>
    <t>=IF($M5109&gt;=$P$18,U5109,0)</t>
  </si>
  <si>
    <t>=IF(AND($M5109&gt;=$Q$16,$M5109&lt;=$Q$18),U5109,0)</t>
  </si>
  <si>
    <t>=IF(AND($M5109&gt;=$R$16,$M5109&lt;=$R$18),U5109,0)</t>
  </si>
  <si>
    <t>=IF(AND($M5109&gt;=$S$16,$M5109&lt;=$S$18),U5109,0)</t>
  </si>
  <si>
    <t>=IF($M5109&lt;=$T$18,U5109,0)</t>
  </si>
  <si>
    <t>="""NAV Direct"",""CRONUS JetCorp USA"",""21"",""1"",""418401"""</t>
  </si>
  <si>
    <t>=E5108</t>
  </si>
  <si>
    <t>=StartDate-$M5110+1</t>
  </si>
  <si>
    <t>=SUM(P5110:T5110)</t>
  </si>
  <si>
    <t>=IF($M5110&gt;=$P$18,U5110,0)</t>
  </si>
  <si>
    <t>=IF(AND($M5110&gt;=$Q$16,$M5110&lt;=$Q$18),U5110,0)</t>
  </si>
  <si>
    <t>=IF(AND($M5110&gt;=$R$16,$M5110&lt;=$R$18),U5110,0)</t>
  </si>
  <si>
    <t>=IF(AND($M5110&gt;=$S$16,$M5110&lt;=$S$18),U5110,0)</t>
  </si>
  <si>
    <t>=IF($M5110&lt;=$T$18,U5110,0)</t>
  </si>
  <si>
    <t>="""NAV Direct"",""CRONUS JetCorp USA"",""21"",""1"",""418481"""</t>
  </si>
  <si>
    <t>=E5109</t>
  </si>
  <si>
    <t>=StartDate-$M5111+1</t>
  </si>
  <si>
    <t>=SUM(P5111:T5111)</t>
  </si>
  <si>
    <t>=IF($M5111&gt;=$P$18,U5111,0)</t>
  </si>
  <si>
    <t>=IF(AND($M5111&gt;=$Q$16,$M5111&lt;=$Q$18),U5111,0)</t>
  </si>
  <si>
    <t>=IF(AND($M5111&gt;=$R$16,$M5111&lt;=$R$18),U5111,0)</t>
  </si>
  <si>
    <t>=IF(AND($M5111&gt;=$S$16,$M5111&lt;=$S$18),U5111,0)</t>
  </si>
  <si>
    <t>=IF($M5111&lt;=$T$18,U5111,0)</t>
  </si>
  <si>
    <t>="""NAV Direct"",""CRONUS JetCorp USA"",""21"",""1"",""418565"""</t>
  </si>
  <si>
    <t>=E5110</t>
  </si>
  <si>
    <t>=StartDate-$M5112+1</t>
  </si>
  <si>
    <t>=SUM(P5112:T5112)</t>
  </si>
  <si>
    <t>=IF($M5112&gt;=$P$18,U5112,0)</t>
  </si>
  <si>
    <t>=IF(AND($M5112&gt;=$Q$16,$M5112&lt;=$Q$18),U5112,0)</t>
  </si>
  <si>
    <t>=IF(AND($M5112&gt;=$R$16,$M5112&lt;=$R$18),U5112,0)</t>
  </si>
  <si>
    <t>=IF(AND($M5112&gt;=$S$16,$M5112&lt;=$S$18),U5112,0)</t>
  </si>
  <si>
    <t>=IF($M5112&lt;=$T$18,U5112,0)</t>
  </si>
  <si>
    <t>="""NAV Direct"",""CRONUS JetCorp USA"",""21"",""1"",""418626"""</t>
  </si>
  <si>
    <t>=E5111</t>
  </si>
  <si>
    <t>=StartDate-$M5113+1</t>
  </si>
  <si>
    <t>=SUM(P5113:T5113)</t>
  </si>
  <si>
    <t>=IF($M5113&gt;=$P$18,U5113,0)</t>
  </si>
  <si>
    <t>=IF(AND($M5113&gt;=$Q$16,$M5113&lt;=$Q$18),U5113,0)</t>
  </si>
  <si>
    <t>=IF(AND($M5113&gt;=$R$16,$M5113&lt;=$R$18),U5113,0)</t>
  </si>
  <si>
    <t>=IF(AND($M5113&gt;=$S$16,$M5113&lt;=$S$18),U5113,0)</t>
  </si>
  <si>
    <t>=IF($M5113&lt;=$T$18,U5113,0)</t>
  </si>
  <si>
    <t>="""NAV Direct"",""CRONUS JetCorp USA"",""21"",""1"",""418899"""</t>
  </si>
  <si>
    <t>=E5112</t>
  </si>
  <si>
    <t>=StartDate-$M5114+1</t>
  </si>
  <si>
    <t>=SUM(P5114:T5114)</t>
  </si>
  <si>
    <t>=IF($M5114&gt;=$P$18,U5114,0)</t>
  </si>
  <si>
    <t>=IF(AND($M5114&gt;=$Q$16,$M5114&lt;=$Q$18),U5114,0)</t>
  </si>
  <si>
    <t>=IF(AND($M5114&gt;=$R$16,$M5114&lt;=$R$18),U5114,0)</t>
  </si>
  <si>
    <t>=IF(AND($M5114&gt;=$S$16,$M5114&lt;=$S$18),U5114,0)</t>
  </si>
  <si>
    <t>=IF($M5114&lt;=$T$18,U5114,0)</t>
  </si>
  <si>
    <t>="""NAV Direct"",""CRONUS JetCorp USA"",""21"",""1"",""419174"""</t>
  </si>
  <si>
    <t>=E5113</t>
  </si>
  <si>
    <t>=StartDate-$M5115+1</t>
  </si>
  <si>
    <t>=SUM(P5115:T5115)</t>
  </si>
  <si>
    <t>=IF($M5115&gt;=$P$18,U5115,0)</t>
  </si>
  <si>
    <t>=IF(AND($M5115&gt;=$Q$16,$M5115&lt;=$Q$18),U5115,0)</t>
  </si>
  <si>
    <t>=IF(AND($M5115&gt;=$R$16,$M5115&lt;=$R$18),U5115,0)</t>
  </si>
  <si>
    <t>=IF(AND($M5115&gt;=$S$16,$M5115&lt;=$S$18),U5115,0)</t>
  </si>
  <si>
    <t>=IF($M5115&lt;=$T$18,U5115,0)</t>
  </si>
  <si>
    <t>="""NAV Direct"",""CRONUS JetCorp USA"",""21"",""1"",""419280"""</t>
  </si>
  <si>
    <t>=E5114</t>
  </si>
  <si>
    <t>=StartDate-$M5116+1</t>
  </si>
  <si>
    <t>=SUM(P5116:T5116)</t>
  </si>
  <si>
    <t>=IF($M5116&gt;=$P$18,U5116,0)</t>
  </si>
  <si>
    <t>=IF(AND($M5116&gt;=$Q$16,$M5116&lt;=$Q$18),U5116,0)</t>
  </si>
  <si>
    <t>=IF(AND($M5116&gt;=$R$16,$M5116&lt;=$R$18),U5116,0)</t>
  </si>
  <si>
    <t>=IF(AND($M5116&gt;=$S$16,$M5116&lt;=$S$18),U5116,0)</t>
  </si>
  <si>
    <t>=IF($M5116&lt;=$T$18,U5116,0)</t>
  </si>
  <si>
    <t>="""NAV Direct"",""CRONUS JetCorp USA"",""21"",""1"",""419402"""</t>
  </si>
  <si>
    <t>=E5115</t>
  </si>
  <si>
    <t>=StartDate-$M5117+1</t>
  </si>
  <si>
    <t>=SUM(P5117:T5117)</t>
  </si>
  <si>
    <t>=IF($M5117&gt;=$P$18,U5117,0)</t>
  </si>
  <si>
    <t>=IF(AND($M5117&gt;=$Q$16,$M5117&lt;=$Q$18),U5117,0)</t>
  </si>
  <si>
    <t>=IF(AND($M5117&gt;=$R$16,$M5117&lt;=$R$18),U5117,0)</t>
  </si>
  <si>
    <t>=IF(AND($M5117&gt;=$S$16,$M5117&lt;=$S$18),U5117,0)</t>
  </si>
  <si>
    <t>=IF($M5117&lt;=$T$18,U5117,0)</t>
  </si>
  <si>
    <t>="""NAV Direct"",""CRONUS JetCorp USA"",""21"",""1"",""419431"""</t>
  </si>
  <si>
    <t>=E5116</t>
  </si>
  <si>
    <t>=StartDate-$M5118+1</t>
  </si>
  <si>
    <t>=SUM(P5118:T5118)</t>
  </si>
  <si>
    <t>=IF($M5118&gt;=$P$18,U5118,0)</t>
  </si>
  <si>
    <t>=IF(AND($M5118&gt;=$Q$16,$M5118&lt;=$Q$18),U5118,0)</t>
  </si>
  <si>
    <t>=IF(AND($M5118&gt;=$R$16,$M5118&lt;=$R$18),U5118,0)</t>
  </si>
  <si>
    <t>=IF(AND($M5118&gt;=$S$16,$M5118&lt;=$S$18),U5118,0)</t>
  </si>
  <si>
    <t>=IF($M5118&lt;=$T$18,U5118,0)</t>
  </si>
  <si>
    <t>="""NAV Direct"",""CRONUS JetCorp USA"",""21"",""1"",""419464"""</t>
  </si>
  <si>
    <t>=E5117</t>
  </si>
  <si>
    <t>=StartDate-$M5119+1</t>
  </si>
  <si>
    <t>=SUM(P5119:T5119)</t>
  </si>
  <si>
    <t>=IF($M5119&gt;=$P$18,U5119,0)</t>
  </si>
  <si>
    <t>=IF(AND($M5119&gt;=$Q$16,$M5119&lt;=$Q$18),U5119,0)</t>
  </si>
  <si>
    <t>=IF(AND($M5119&gt;=$R$16,$M5119&lt;=$R$18),U5119,0)</t>
  </si>
  <si>
    <t>=IF(AND($M5119&gt;=$S$16,$M5119&lt;=$S$18),U5119,0)</t>
  </si>
  <si>
    <t>=IF($M5119&lt;=$T$18,U5119,0)</t>
  </si>
  <si>
    <t>="""NAV Direct"",""CRONUS JetCorp USA"",""21"",""1"",""419725"""</t>
  </si>
  <si>
    <t>=E5118</t>
  </si>
  <si>
    <t>=StartDate-$M5120+1</t>
  </si>
  <si>
    <t>=SUM(P5120:T5120)</t>
  </si>
  <si>
    <t>=IF($M5120&gt;=$P$18,U5120,0)</t>
  </si>
  <si>
    <t>=IF(AND($M5120&gt;=$Q$16,$M5120&lt;=$Q$18),U5120,0)</t>
  </si>
  <si>
    <t>=IF(AND($M5120&gt;=$R$16,$M5120&lt;=$R$18),U5120,0)</t>
  </si>
  <si>
    <t>=IF(AND($M5120&gt;=$S$16,$M5120&lt;=$S$18),U5120,0)</t>
  </si>
  <si>
    <t>=IF($M5120&lt;=$T$18,U5120,0)</t>
  </si>
  <si>
    <t>="""NAV Direct"",""CRONUS JetCorp USA"",""21"",""1"",""420074"""</t>
  </si>
  <si>
    <t>=E5119</t>
  </si>
  <si>
    <t>=StartDate-$M5121+1</t>
  </si>
  <si>
    <t>=SUM(P5121:T5121)</t>
  </si>
  <si>
    <t>=IF($M5121&gt;=$P$18,U5121,0)</t>
  </si>
  <si>
    <t>=IF(AND($M5121&gt;=$Q$16,$M5121&lt;=$Q$18),U5121,0)</t>
  </si>
  <si>
    <t>=IF(AND($M5121&gt;=$R$16,$M5121&lt;=$R$18),U5121,0)</t>
  </si>
  <si>
    <t>=IF(AND($M5121&gt;=$S$16,$M5121&lt;=$S$18),U5121,0)</t>
  </si>
  <si>
    <t>=IF($M5121&lt;=$T$18,U5121,0)</t>
  </si>
  <si>
    <t>="""NAV Direct"",""CRONUS JetCorp USA"",""21"",""1"",""420201"""</t>
  </si>
  <si>
    <t>=E5120</t>
  </si>
  <si>
    <t>=StartDate-$M5122+1</t>
  </si>
  <si>
    <t>=SUM(P5122:T5122)</t>
  </si>
  <si>
    <t>=IF($M5122&gt;=$P$18,U5122,0)</t>
  </si>
  <si>
    <t>=IF(AND($M5122&gt;=$Q$16,$M5122&lt;=$Q$18),U5122,0)</t>
  </si>
  <si>
    <t>=IF(AND($M5122&gt;=$R$16,$M5122&lt;=$R$18),U5122,0)</t>
  </si>
  <si>
    <t>=IF(AND($M5122&gt;=$S$16,$M5122&lt;=$S$18),U5122,0)</t>
  </si>
  <si>
    <t>=IF($M5122&lt;=$T$18,U5122,0)</t>
  </si>
  <si>
    <t>="""NAV Direct"",""CRONUS JetCorp USA"",""21"",""1"",""420782"""</t>
  </si>
  <si>
    <t>=E5121</t>
  </si>
  <si>
    <t>=StartDate-$M5123+1</t>
  </si>
  <si>
    <t>=SUM(P5123:T5123)</t>
  </si>
  <si>
    <t>=IF($M5123&gt;=$P$18,U5123,0)</t>
  </si>
  <si>
    <t>=IF(AND($M5123&gt;=$Q$16,$M5123&lt;=$Q$18),U5123,0)</t>
  </si>
  <si>
    <t>=IF(AND($M5123&gt;=$R$16,$M5123&lt;=$R$18),U5123,0)</t>
  </si>
  <si>
    <t>=IF(AND($M5123&gt;=$S$16,$M5123&lt;=$S$18),U5123,0)</t>
  </si>
  <si>
    <t>=IF($M5123&lt;=$T$18,U5123,0)</t>
  </si>
  <si>
    <t>="""NAV Direct"",""CRONUS JetCorp USA"",""21"",""1"",""420821"""</t>
  </si>
  <si>
    <t>=E5122</t>
  </si>
  <si>
    <t>=StartDate-$M5124+1</t>
  </si>
  <si>
    <t>=SUM(P5124:T5124)</t>
  </si>
  <si>
    <t>=IF($M5124&gt;=$P$18,U5124,0)</t>
  </si>
  <si>
    <t>=IF(AND($M5124&gt;=$Q$16,$M5124&lt;=$Q$18),U5124,0)</t>
  </si>
  <si>
    <t>=IF(AND($M5124&gt;=$R$16,$M5124&lt;=$R$18),U5124,0)</t>
  </si>
  <si>
    <t>=IF(AND($M5124&gt;=$S$16,$M5124&lt;=$S$18),U5124,0)</t>
  </si>
  <si>
    <t>=IF($M5124&lt;=$T$18,U5124,0)</t>
  </si>
  <si>
    <t>="""NAV Direct"",""CRONUS JetCorp USA"",""21"",""1"",""420981"""</t>
  </si>
  <si>
    <t>=E5123</t>
  </si>
  <si>
    <t>=StartDate-$M5125+1</t>
  </si>
  <si>
    <t>=SUM(P5125:T5125)</t>
  </si>
  <si>
    <t>=IF($M5125&gt;=$P$18,U5125,0)</t>
  </si>
  <si>
    <t>=IF(AND($M5125&gt;=$Q$16,$M5125&lt;=$Q$18),U5125,0)</t>
  </si>
  <si>
    <t>=IF(AND($M5125&gt;=$R$16,$M5125&lt;=$R$18),U5125,0)</t>
  </si>
  <si>
    <t>=IF(AND($M5125&gt;=$S$16,$M5125&lt;=$S$18),U5125,0)</t>
  </si>
  <si>
    <t>=IF($M5125&lt;=$T$18,U5125,0)</t>
  </si>
  <si>
    <t>="""NAV Direct"",""CRONUS JetCorp USA"",""21"",""1"",""421014"""</t>
  </si>
  <si>
    <t>=E5124</t>
  </si>
  <si>
    <t>=StartDate-$M5126+1</t>
  </si>
  <si>
    <t>=SUM(P5126:T5126)</t>
  </si>
  <si>
    <t>=IF($M5126&gt;=$P$18,U5126,0)</t>
  </si>
  <si>
    <t>=IF(AND($M5126&gt;=$Q$16,$M5126&lt;=$Q$18),U5126,0)</t>
  </si>
  <si>
    <t>=IF(AND($M5126&gt;=$R$16,$M5126&lt;=$R$18),U5126,0)</t>
  </si>
  <si>
    <t>=IF(AND($M5126&gt;=$S$16,$M5126&lt;=$S$18),U5126,0)</t>
  </si>
  <si>
    <t>=IF($M5126&lt;=$T$18,U5126,0)</t>
  </si>
  <si>
    <t>="""NAV Direct"",""CRONUS JetCorp USA"",""21"",""1"",""421120"""</t>
  </si>
  <si>
    <t>=E5125</t>
  </si>
  <si>
    <t>=StartDate-$M5127+1</t>
  </si>
  <si>
    <t>=SUM(P5127:T5127)</t>
  </si>
  <si>
    <t>=IF($M5127&gt;=$P$18,U5127,0)</t>
  </si>
  <si>
    <t>=IF(AND($M5127&gt;=$Q$16,$M5127&lt;=$Q$18),U5127,0)</t>
  </si>
  <si>
    <t>=IF(AND($M5127&gt;=$R$16,$M5127&lt;=$R$18),U5127,0)</t>
  </si>
  <si>
    <t>=IF(AND($M5127&gt;=$S$16,$M5127&lt;=$S$18),U5127,0)</t>
  </si>
  <si>
    <t>=IF($M5127&lt;=$T$18,U5127,0)</t>
  </si>
  <si>
    <t>="""NAV Direct"",""CRONUS JetCorp USA"",""21"",""1"",""421257"""</t>
  </si>
  <si>
    <t>=E5126</t>
  </si>
  <si>
    <t>=StartDate-$M5128+1</t>
  </si>
  <si>
    <t>=SUM(P5128:T5128)</t>
  </si>
  <si>
    <t>=IF($M5128&gt;=$P$18,U5128,0)</t>
  </si>
  <si>
    <t>=IF(AND($M5128&gt;=$Q$16,$M5128&lt;=$Q$18),U5128,0)</t>
  </si>
  <si>
    <t>=IF(AND($M5128&gt;=$R$16,$M5128&lt;=$R$18),U5128,0)</t>
  </si>
  <si>
    <t>=IF(AND($M5128&gt;=$S$16,$M5128&lt;=$S$18),U5128,0)</t>
  </si>
  <si>
    <t>=IF($M5128&lt;=$T$18,U5128,0)</t>
  </si>
  <si>
    <t>="""NAV Direct"",""CRONUS JetCorp USA"",""21"",""1"",""421869"""</t>
  </si>
  <si>
    <t>=E5127</t>
  </si>
  <si>
    <t>=StartDate-$M5129+1</t>
  </si>
  <si>
    <t>=SUM(P5129:T5129)</t>
  </si>
  <si>
    <t>=IF($M5129&gt;=$P$18,U5129,0)</t>
  </si>
  <si>
    <t>=IF(AND($M5129&gt;=$Q$16,$M5129&lt;=$Q$18),U5129,0)</t>
  </si>
  <si>
    <t>=IF(AND($M5129&gt;=$R$16,$M5129&lt;=$R$18),U5129,0)</t>
  </si>
  <si>
    <t>=IF(AND($M5129&gt;=$S$16,$M5129&lt;=$S$18),U5129,0)</t>
  </si>
  <si>
    <t>=IF($M5129&lt;=$T$18,U5129,0)</t>
  </si>
  <si>
    <t>="""NAV Direct"",""CRONUS JetCorp USA"",""21"",""1"",""422243"""</t>
  </si>
  <si>
    <t>=E5128</t>
  </si>
  <si>
    <t>=StartDate-$M5130+1</t>
  </si>
  <si>
    <t>=SUM(P5130:T5130)</t>
  </si>
  <si>
    <t>=IF($M5130&gt;=$P$18,U5130,0)</t>
  </si>
  <si>
    <t>=IF(AND($M5130&gt;=$Q$16,$M5130&lt;=$Q$18),U5130,0)</t>
  </si>
  <si>
    <t>=IF(AND($M5130&gt;=$R$16,$M5130&lt;=$R$18),U5130,0)</t>
  </si>
  <si>
    <t>=IF(AND($M5130&gt;=$S$16,$M5130&lt;=$S$18),U5130,0)</t>
  </si>
  <si>
    <t>=IF($M5130&lt;=$T$18,U5130,0)</t>
  </si>
  <si>
    <t>="""NAV Direct"",""CRONUS JetCorp USA"",""21"",""1"",""422286"""</t>
  </si>
  <si>
    <t>=E5129</t>
  </si>
  <si>
    <t>=StartDate-$M5131+1</t>
  </si>
  <si>
    <t>=SUM(P5131:T5131)</t>
  </si>
  <si>
    <t>=IF($M5131&gt;=$P$18,U5131,0)</t>
  </si>
  <si>
    <t>=IF(AND($M5131&gt;=$Q$16,$M5131&lt;=$Q$18),U5131,0)</t>
  </si>
  <si>
    <t>=IF(AND($M5131&gt;=$R$16,$M5131&lt;=$R$18),U5131,0)</t>
  </si>
  <si>
    <t>=IF(AND($M5131&gt;=$S$16,$M5131&lt;=$S$18),U5131,0)</t>
  </si>
  <si>
    <t>=IF($M5131&lt;=$T$18,U5131,0)</t>
  </si>
  <si>
    <t>="""NAV Direct"",""CRONUS JetCorp USA"",""21"",""1"",""422327"""</t>
  </si>
  <si>
    <t>=E5130</t>
  </si>
  <si>
    <t>=StartDate-$M5132+1</t>
  </si>
  <si>
    <t>=SUM(P5132:T5132)</t>
  </si>
  <si>
    <t>=IF($M5132&gt;=$P$18,U5132,0)</t>
  </si>
  <si>
    <t>=IF(AND($M5132&gt;=$Q$16,$M5132&lt;=$Q$18),U5132,0)</t>
  </si>
  <si>
    <t>=IF(AND($M5132&gt;=$R$16,$M5132&lt;=$R$18),U5132,0)</t>
  </si>
  <si>
    <t>=IF(AND($M5132&gt;=$S$16,$M5132&lt;=$S$18),U5132,0)</t>
  </si>
  <si>
    <t>=IF($M5132&lt;=$T$18,U5132,0)</t>
  </si>
  <si>
    <t>="""NAV Direct"",""CRONUS JetCorp USA"",""21"",""1"",""422548"""</t>
  </si>
  <si>
    <t>=E5131</t>
  </si>
  <si>
    <t>=StartDate-$M5133+1</t>
  </si>
  <si>
    <t>=SUM(P5133:T5133)</t>
  </si>
  <si>
    <t>=IF($M5133&gt;=$P$18,U5133,0)</t>
  </si>
  <si>
    <t>=IF(AND($M5133&gt;=$Q$16,$M5133&lt;=$Q$18),U5133,0)</t>
  </si>
  <si>
    <t>=IF(AND($M5133&gt;=$R$16,$M5133&lt;=$R$18),U5133,0)</t>
  </si>
  <si>
    <t>=IF(AND($M5133&gt;=$S$16,$M5133&lt;=$S$18),U5133,0)</t>
  </si>
  <si>
    <t>=IF($M5133&lt;=$T$18,U5133,0)</t>
  </si>
  <si>
    <t>="""NAV Direct"",""CRONUS JetCorp USA"",""21"",""1"",""422646"""</t>
  </si>
  <si>
    <t>=E5132</t>
  </si>
  <si>
    <t>=StartDate-$M5134+1</t>
  </si>
  <si>
    <t>=SUM(P5134:T5134)</t>
  </si>
  <si>
    <t>=IF($M5134&gt;=$P$18,U5134,0)</t>
  </si>
  <si>
    <t>=IF(AND($M5134&gt;=$Q$16,$M5134&lt;=$Q$18),U5134,0)</t>
  </si>
  <si>
    <t>=IF(AND($M5134&gt;=$R$16,$M5134&lt;=$R$18),U5134,0)</t>
  </si>
  <si>
    <t>=IF(AND($M5134&gt;=$S$16,$M5134&lt;=$S$18),U5134,0)</t>
  </si>
  <si>
    <t>=IF($M5134&lt;=$T$18,U5134,0)</t>
  </si>
  <si>
    <t>="""NAV Direct"",""CRONUS JetCorp USA"",""21"",""1"",""422687"""</t>
  </si>
  <si>
    <t>=E5133</t>
  </si>
  <si>
    <t>=StartDate-$M5135+1</t>
  </si>
  <si>
    <t>=SUM(P5135:T5135)</t>
  </si>
  <si>
    <t>=IF($M5135&gt;=$P$18,U5135,0)</t>
  </si>
  <si>
    <t>=IF(AND($M5135&gt;=$Q$16,$M5135&lt;=$Q$18),U5135,0)</t>
  </si>
  <si>
    <t>=IF(AND($M5135&gt;=$R$16,$M5135&lt;=$R$18),U5135,0)</t>
  </si>
  <si>
    <t>=IF(AND($M5135&gt;=$S$16,$M5135&lt;=$S$18),U5135,0)</t>
  </si>
  <si>
    <t>=IF($M5135&lt;=$T$18,U5135,0)</t>
  </si>
  <si>
    <t>="""NAV Direct"",""CRONUS JetCorp USA"",""21"",""1"",""422736"""</t>
  </si>
  <si>
    <t>=E5134</t>
  </si>
  <si>
    <t>=StartDate-$M5136+1</t>
  </si>
  <si>
    <t>=SUM(P5136:T5136)</t>
  </si>
  <si>
    <t>=IF($M5136&gt;=$P$18,U5136,0)</t>
  </si>
  <si>
    <t>=IF(AND($M5136&gt;=$Q$16,$M5136&lt;=$Q$18),U5136,0)</t>
  </si>
  <si>
    <t>=IF(AND($M5136&gt;=$R$16,$M5136&lt;=$R$18),U5136,0)</t>
  </si>
  <si>
    <t>=IF(AND($M5136&gt;=$S$16,$M5136&lt;=$S$18),U5136,0)</t>
  </si>
  <si>
    <t>=IF($M5136&lt;=$T$18,U5136,0)</t>
  </si>
  <si>
    <t>="""NAV Direct"",""CRONUS JetCorp USA"",""21"",""1"",""423045"""</t>
  </si>
  <si>
    <t>=E5135</t>
  </si>
  <si>
    <t>=StartDate-$M5137+1</t>
  </si>
  <si>
    <t>=SUM(P5137:T5137)</t>
  </si>
  <si>
    <t>=IF($M5137&gt;=$P$18,U5137,0)</t>
  </si>
  <si>
    <t>=IF(AND($M5137&gt;=$Q$16,$M5137&lt;=$Q$18),U5137,0)</t>
  </si>
  <si>
    <t>=IF(AND($M5137&gt;=$R$16,$M5137&lt;=$R$18),U5137,0)</t>
  </si>
  <si>
    <t>=IF(AND($M5137&gt;=$S$16,$M5137&lt;=$S$18),U5137,0)</t>
  </si>
  <si>
    <t>=IF($M5137&lt;=$T$18,U5137,0)</t>
  </si>
  <si>
    <t>="""NAV Direct"",""CRONUS JetCorp USA"",""21"",""1"",""423188"""</t>
  </si>
  <si>
    <t>=E5136</t>
  </si>
  <si>
    <t>=StartDate-$M5138+1</t>
  </si>
  <si>
    <t>=SUM(P5138:T5138)</t>
  </si>
  <si>
    <t>=IF($M5138&gt;=$P$18,U5138,0)</t>
  </si>
  <si>
    <t>=IF(AND($M5138&gt;=$Q$16,$M5138&lt;=$Q$18),U5138,0)</t>
  </si>
  <si>
    <t>=IF(AND($M5138&gt;=$R$16,$M5138&lt;=$R$18),U5138,0)</t>
  </si>
  <si>
    <t>=IF(AND($M5138&gt;=$S$16,$M5138&lt;=$S$18),U5138,0)</t>
  </si>
  <si>
    <t>=IF($M5138&lt;=$T$18,U5138,0)</t>
  </si>
  <si>
    <t>="""NAV Direct"",""CRONUS JetCorp USA"",""21"",""1"",""423435"""</t>
  </si>
  <si>
    <t>=E5137</t>
  </si>
  <si>
    <t>=StartDate-$M5139+1</t>
  </si>
  <si>
    <t>=SUM(P5139:T5139)</t>
  </si>
  <si>
    <t>=IF($M5139&gt;=$P$18,U5139,0)</t>
  </si>
  <si>
    <t>=IF(AND($M5139&gt;=$Q$16,$M5139&lt;=$Q$18),U5139,0)</t>
  </si>
  <si>
    <t>=IF(AND($M5139&gt;=$R$16,$M5139&lt;=$R$18),U5139,0)</t>
  </si>
  <si>
    <t>=IF(AND($M5139&gt;=$S$16,$M5139&lt;=$S$18),U5139,0)</t>
  </si>
  <si>
    <t>=IF($M5139&lt;=$T$18,U5139,0)</t>
  </si>
  <si>
    <t>="""NAV Direct"",""CRONUS JetCorp USA"",""21"",""1"",""423564"""</t>
  </si>
  <si>
    <t>=E5138</t>
  </si>
  <si>
    <t>=StartDate-$M5140+1</t>
  </si>
  <si>
    <t>=SUM(P5140:T5140)</t>
  </si>
  <si>
    <t>=IF($M5140&gt;=$P$18,U5140,0)</t>
  </si>
  <si>
    <t>=IF(AND($M5140&gt;=$Q$16,$M5140&lt;=$Q$18),U5140,0)</t>
  </si>
  <si>
    <t>=IF(AND($M5140&gt;=$R$16,$M5140&lt;=$R$18),U5140,0)</t>
  </si>
  <si>
    <t>=IF(AND($M5140&gt;=$S$16,$M5140&lt;=$S$18),U5140,0)</t>
  </si>
  <si>
    <t>=IF($M5140&lt;=$T$18,U5140,0)</t>
  </si>
  <si>
    <t>="""NAV Direct"",""CRONUS JetCorp USA"",""21"",""1"",""423609"""</t>
  </si>
  <si>
    <t>=E5139</t>
  </si>
  <si>
    <t>=StartDate-$M5141+1</t>
  </si>
  <si>
    <t>=SUM(P5141:T5141)</t>
  </si>
  <si>
    <t>=IF($M5141&gt;=$P$18,U5141,0)</t>
  </si>
  <si>
    <t>=IF(AND($M5141&gt;=$Q$16,$M5141&lt;=$Q$18),U5141,0)</t>
  </si>
  <si>
    <t>=IF(AND($M5141&gt;=$R$16,$M5141&lt;=$R$18),U5141,0)</t>
  </si>
  <si>
    <t>=IF(AND($M5141&gt;=$S$16,$M5141&lt;=$S$18),U5141,0)</t>
  </si>
  <si>
    <t>=IF($M5141&lt;=$T$18,U5141,0)</t>
  </si>
  <si>
    <t>="""NAV Direct"",""CRONUS JetCorp USA"",""21"",""1"",""423681"""</t>
  </si>
  <si>
    <t>=E5140</t>
  </si>
  <si>
    <t>=StartDate-$M5142+1</t>
  </si>
  <si>
    <t>=SUM(P5142:T5142)</t>
  </si>
  <si>
    <t>=IF($M5142&gt;=$P$18,U5142,0)</t>
  </si>
  <si>
    <t>=IF(AND($M5142&gt;=$Q$16,$M5142&lt;=$Q$18),U5142,0)</t>
  </si>
  <si>
    <t>=IF(AND($M5142&gt;=$R$16,$M5142&lt;=$R$18),U5142,0)</t>
  </si>
  <si>
    <t>=IF(AND($M5142&gt;=$S$16,$M5142&lt;=$S$18),U5142,0)</t>
  </si>
  <si>
    <t>=IF($M5142&lt;=$T$18,U5142,0)</t>
  </si>
  <si>
    <t>="""NAV Direct"",""CRONUS JetCorp USA"",""21"",""1"",""423757"""</t>
  </si>
  <si>
    <t>=E5141</t>
  </si>
  <si>
    <t>=StartDate-$M5143+1</t>
  </si>
  <si>
    <t>=SUM(P5143:T5143)</t>
  </si>
  <si>
    <t>=IF($M5143&gt;=$P$18,U5143,0)</t>
  </si>
  <si>
    <t>=IF(AND($M5143&gt;=$Q$16,$M5143&lt;=$Q$18),U5143,0)</t>
  </si>
  <si>
    <t>=IF(AND($M5143&gt;=$R$16,$M5143&lt;=$R$18),U5143,0)</t>
  </si>
  <si>
    <t>=IF(AND($M5143&gt;=$S$16,$M5143&lt;=$S$18),U5143,0)</t>
  </si>
  <si>
    <t>=IF($M5143&lt;=$T$18,U5143,0)</t>
  </si>
  <si>
    <t>="""NAV Direct"",""CRONUS JetCorp USA"",""21"",""1"",""423882"""</t>
  </si>
  <si>
    <t>=E5142</t>
  </si>
  <si>
    <t>=StartDate-$M5144+1</t>
  </si>
  <si>
    <t>=SUM(P5144:T5144)</t>
  </si>
  <si>
    <t>=IF($M5144&gt;=$P$18,U5144,0)</t>
  </si>
  <si>
    <t>=IF(AND($M5144&gt;=$Q$16,$M5144&lt;=$Q$18),U5144,0)</t>
  </si>
  <si>
    <t>=IF(AND($M5144&gt;=$R$16,$M5144&lt;=$R$18),U5144,0)</t>
  </si>
  <si>
    <t>=IF(AND($M5144&gt;=$S$16,$M5144&lt;=$S$18),U5144,0)</t>
  </si>
  <si>
    <t>=IF($M5144&lt;=$T$18,U5144,0)</t>
  </si>
  <si>
    <t>="""NAV Direct"",""CRONUS JetCorp USA"",""21"",""1"",""423984"""</t>
  </si>
  <si>
    <t>=E5143</t>
  </si>
  <si>
    <t>=StartDate-$M5145+1</t>
  </si>
  <si>
    <t>=SUM(P5145:T5145)</t>
  </si>
  <si>
    <t>=IF($M5145&gt;=$P$18,U5145,0)</t>
  </si>
  <si>
    <t>=IF(AND($M5145&gt;=$Q$16,$M5145&lt;=$Q$18),U5145,0)</t>
  </si>
  <si>
    <t>=IF(AND($M5145&gt;=$R$16,$M5145&lt;=$R$18),U5145,0)</t>
  </si>
  <si>
    <t>=IF(AND($M5145&gt;=$S$16,$M5145&lt;=$S$18),U5145,0)</t>
  </si>
  <si>
    <t>=IF($M5145&lt;=$T$18,U5145,0)</t>
  </si>
  <si>
    <t>="""NAV Direct"",""CRONUS JetCorp USA"",""21"",""1"",""424058"""</t>
  </si>
  <si>
    <t>=E5144</t>
  </si>
  <si>
    <t>=StartDate-$M5146+1</t>
  </si>
  <si>
    <t>=SUM(P5146:T5146)</t>
  </si>
  <si>
    <t>=IF($M5146&gt;=$P$18,U5146,0)</t>
  </si>
  <si>
    <t>=IF(AND($M5146&gt;=$Q$16,$M5146&lt;=$Q$18),U5146,0)</t>
  </si>
  <si>
    <t>=IF(AND($M5146&gt;=$R$16,$M5146&lt;=$R$18),U5146,0)</t>
  </si>
  <si>
    <t>=IF(AND($M5146&gt;=$S$16,$M5146&lt;=$S$18),U5146,0)</t>
  </si>
  <si>
    <t>=IF($M5146&lt;=$T$18,U5146,0)</t>
  </si>
  <si>
    <t>="""NAV Direct"",""CRONUS JetCorp USA"",""21"",""1"",""424330"""</t>
  </si>
  <si>
    <t>=E5145</t>
  </si>
  <si>
    <t>=StartDate-$M5147+1</t>
  </si>
  <si>
    <t>=SUM(P5147:T5147)</t>
  </si>
  <si>
    <t>=IF($M5147&gt;=$P$18,U5147,0)</t>
  </si>
  <si>
    <t>=IF(AND($M5147&gt;=$Q$16,$M5147&lt;=$Q$18),U5147,0)</t>
  </si>
  <si>
    <t>=IF(AND($M5147&gt;=$R$16,$M5147&lt;=$R$18),U5147,0)</t>
  </si>
  <si>
    <t>=IF(AND($M5147&gt;=$S$16,$M5147&lt;=$S$18),U5147,0)</t>
  </si>
  <si>
    <t>=IF($M5147&lt;=$T$18,U5147,0)</t>
  </si>
  <si>
    <t>="""NAV Direct"",""CRONUS JetCorp USA"",""21"",""1"",""424451"""</t>
  </si>
  <si>
    <t>=E5146</t>
  </si>
  <si>
    <t>=StartDate-$M5148+1</t>
  </si>
  <si>
    <t>=SUM(P5148:T5148)</t>
  </si>
  <si>
    <t>=IF($M5148&gt;=$P$18,U5148,0)</t>
  </si>
  <si>
    <t>=IF(AND($M5148&gt;=$Q$16,$M5148&lt;=$Q$18),U5148,0)</t>
  </si>
  <si>
    <t>=IF(AND($M5148&gt;=$R$16,$M5148&lt;=$R$18),U5148,0)</t>
  </si>
  <si>
    <t>=IF(AND($M5148&gt;=$S$16,$M5148&lt;=$S$18),U5148,0)</t>
  </si>
  <si>
    <t>=IF($M5148&lt;=$T$18,U5148,0)</t>
  </si>
  <si>
    <t>="""NAV Direct"",""CRONUS JetCorp USA"",""21"",""1"",""424600"""</t>
  </si>
  <si>
    <t>=E5147</t>
  </si>
  <si>
    <t>=StartDate-$M5149+1</t>
  </si>
  <si>
    <t>=SUM(P5149:T5149)</t>
  </si>
  <si>
    <t>=IF($M5149&gt;=$P$18,U5149,0)</t>
  </si>
  <si>
    <t>=IF(AND($M5149&gt;=$Q$16,$M5149&lt;=$Q$18),U5149,0)</t>
  </si>
  <si>
    <t>=IF(AND($M5149&gt;=$R$16,$M5149&lt;=$R$18),U5149,0)</t>
  </si>
  <si>
    <t>=IF(AND($M5149&gt;=$S$16,$M5149&lt;=$S$18),U5149,0)</t>
  </si>
  <si>
    <t>=IF($M5149&lt;=$T$18,U5149,0)</t>
  </si>
  <si>
    <t>="""NAV Direct"",""CRONUS JetCorp USA"",""21"",""1"",""424764"""</t>
  </si>
  <si>
    <t>=E5148</t>
  </si>
  <si>
    <t>=StartDate-$M5150+1</t>
  </si>
  <si>
    <t>=SUM(P5150:T5150)</t>
  </si>
  <si>
    <t>=IF($M5150&gt;=$P$18,U5150,0)</t>
  </si>
  <si>
    <t>=IF(AND($M5150&gt;=$Q$16,$M5150&lt;=$Q$18),U5150,0)</t>
  </si>
  <si>
    <t>=IF(AND($M5150&gt;=$R$16,$M5150&lt;=$R$18),U5150,0)</t>
  </si>
  <si>
    <t>=IF(AND($M5150&gt;=$S$16,$M5150&lt;=$S$18),U5150,0)</t>
  </si>
  <si>
    <t>=IF($M5150&lt;=$T$18,U5150,0)</t>
  </si>
  <si>
    <t>="""NAV Direct"",""CRONUS JetCorp USA"",""21"",""1"",""424961"""</t>
  </si>
  <si>
    <t>=E5149</t>
  </si>
  <si>
    <t>=StartDate-$M5151+1</t>
  </si>
  <si>
    <t>=SUM(P5151:T5151)</t>
  </si>
  <si>
    <t>=IF($M5151&gt;=$P$18,U5151,0)</t>
  </si>
  <si>
    <t>=IF(AND($M5151&gt;=$Q$16,$M5151&lt;=$Q$18),U5151,0)</t>
  </si>
  <si>
    <t>=IF(AND($M5151&gt;=$R$16,$M5151&lt;=$R$18),U5151,0)</t>
  </si>
  <si>
    <t>=IF(AND($M5151&gt;=$S$16,$M5151&lt;=$S$18),U5151,0)</t>
  </si>
  <si>
    <t>=IF($M5151&lt;=$T$18,U5151,0)</t>
  </si>
  <si>
    <t>="""NAV Direct"",""CRONUS JetCorp USA"",""21"",""1"",""425070"""</t>
  </si>
  <si>
    <t>=E5150</t>
  </si>
  <si>
    <t>=StartDate-$M5152+1</t>
  </si>
  <si>
    <t>=SUM(P5152:T5152)</t>
  </si>
  <si>
    <t>=IF($M5152&gt;=$P$18,U5152,0)</t>
  </si>
  <si>
    <t>=IF(AND($M5152&gt;=$Q$16,$M5152&lt;=$Q$18),U5152,0)</t>
  </si>
  <si>
    <t>=IF(AND($M5152&gt;=$R$16,$M5152&lt;=$R$18),U5152,0)</t>
  </si>
  <si>
    <t>=IF(AND($M5152&gt;=$S$16,$M5152&lt;=$S$18),U5152,0)</t>
  </si>
  <si>
    <t>=IF($M5152&lt;=$T$18,U5152,0)</t>
  </si>
  <si>
    <t>="""NAV Direct"",""CRONUS JetCorp USA"",""21"",""1"",""425109"""</t>
  </si>
  <si>
    <t>=E5151</t>
  </si>
  <si>
    <t>=StartDate-$M5153+1</t>
  </si>
  <si>
    <t>=SUM(P5153:T5153)</t>
  </si>
  <si>
    <t>=IF($M5153&gt;=$P$18,U5153,0)</t>
  </si>
  <si>
    <t>=IF(AND($M5153&gt;=$Q$16,$M5153&lt;=$Q$18),U5153,0)</t>
  </si>
  <si>
    <t>=IF(AND($M5153&gt;=$R$16,$M5153&lt;=$R$18),U5153,0)</t>
  </si>
  <si>
    <t>=IF(AND($M5153&gt;=$S$16,$M5153&lt;=$S$18),U5153,0)</t>
  </si>
  <si>
    <t>=IF($M5153&lt;=$T$18,U5153,0)</t>
  </si>
  <si>
    <t>="""NAV Direct"",""CRONUS JetCorp USA"",""21"",""1"",""425207"""</t>
  </si>
  <si>
    <t>=E5152</t>
  </si>
  <si>
    <t>=StartDate-$M5154+1</t>
  </si>
  <si>
    <t>=SUM(P5154:T5154)</t>
  </si>
  <si>
    <t>=IF($M5154&gt;=$P$18,U5154,0)</t>
  </si>
  <si>
    <t>=IF(AND($M5154&gt;=$Q$16,$M5154&lt;=$Q$18),U5154,0)</t>
  </si>
  <si>
    <t>=IF(AND($M5154&gt;=$R$16,$M5154&lt;=$R$18),U5154,0)</t>
  </si>
  <si>
    <t>=IF(AND($M5154&gt;=$S$16,$M5154&lt;=$S$18),U5154,0)</t>
  </si>
  <si>
    <t>=IF($M5154&lt;=$T$18,U5154,0)</t>
  </si>
  <si>
    <t>="""NAV Direct"",""CRONUS JetCorp USA"",""21"",""1"",""425421"""</t>
  </si>
  <si>
    <t>=E5153</t>
  </si>
  <si>
    <t>=StartDate-$M5155+1</t>
  </si>
  <si>
    <t>=SUM(P5155:T5155)</t>
  </si>
  <si>
    <t>=IF($M5155&gt;=$P$18,U5155,0)</t>
  </si>
  <si>
    <t>=IF(AND($M5155&gt;=$Q$16,$M5155&lt;=$Q$18),U5155,0)</t>
  </si>
  <si>
    <t>=IF(AND($M5155&gt;=$R$16,$M5155&lt;=$R$18),U5155,0)</t>
  </si>
  <si>
    <t>=IF(AND($M5155&gt;=$S$16,$M5155&lt;=$S$18),U5155,0)</t>
  </si>
  <si>
    <t>=IF($M5155&lt;=$T$18,U5155,0)</t>
  </si>
  <si>
    <t>="""NAV Direct"",""CRONUS JetCorp USA"",""21"",""1"",""425460"""</t>
  </si>
  <si>
    <t>=E5154</t>
  </si>
  <si>
    <t>=StartDate-$M5156+1</t>
  </si>
  <si>
    <t>=SUM(P5156:T5156)</t>
  </si>
  <si>
    <t>=IF($M5156&gt;=$P$18,U5156,0)</t>
  </si>
  <si>
    <t>=IF(AND($M5156&gt;=$Q$16,$M5156&lt;=$Q$18),U5156,0)</t>
  </si>
  <si>
    <t>=IF(AND($M5156&gt;=$R$16,$M5156&lt;=$R$18),U5156,0)</t>
  </si>
  <si>
    <t>=IF(AND($M5156&gt;=$S$16,$M5156&lt;=$S$18),U5156,0)</t>
  </si>
  <si>
    <t>=IF($M5156&lt;=$T$18,U5156,0)</t>
  </si>
  <si>
    <t>="""NAV Direct"",""CRONUS JetCorp USA"",""21"",""1"",""425587"""</t>
  </si>
  <si>
    <t>=E5155</t>
  </si>
  <si>
    <t>=StartDate-$M5157+1</t>
  </si>
  <si>
    <t>=SUM(P5157:T5157)</t>
  </si>
  <si>
    <t>=IF($M5157&gt;=$P$18,U5157,0)</t>
  </si>
  <si>
    <t>=IF(AND($M5157&gt;=$Q$16,$M5157&lt;=$Q$18),U5157,0)</t>
  </si>
  <si>
    <t>=IF(AND($M5157&gt;=$R$16,$M5157&lt;=$R$18),U5157,0)</t>
  </si>
  <si>
    <t>=IF(AND($M5157&gt;=$S$16,$M5157&lt;=$S$18),U5157,0)</t>
  </si>
  <si>
    <t>=IF($M5157&lt;=$T$18,U5157,0)</t>
  </si>
  <si>
    <t>="""NAV Direct"",""CRONUS JetCorp USA"",""21"",""1"",""425628"""</t>
  </si>
  <si>
    <t>=E5156</t>
  </si>
  <si>
    <t>=StartDate-$M5158+1</t>
  </si>
  <si>
    <t>=SUM(P5158:T5158)</t>
  </si>
  <si>
    <t>=IF($M5158&gt;=$P$18,U5158,0)</t>
  </si>
  <si>
    <t>=IF(AND($M5158&gt;=$Q$16,$M5158&lt;=$Q$18),U5158,0)</t>
  </si>
  <si>
    <t>=IF(AND($M5158&gt;=$R$16,$M5158&lt;=$R$18),U5158,0)</t>
  </si>
  <si>
    <t>=IF(AND($M5158&gt;=$S$16,$M5158&lt;=$S$18),U5158,0)</t>
  </si>
  <si>
    <t>=IF($M5158&lt;=$T$18,U5158,0)</t>
  </si>
  <si>
    <t>="""NAV Direct"",""CRONUS JetCorp USA"",""21"",""1"",""425738"""</t>
  </si>
  <si>
    <t>=E5157</t>
  </si>
  <si>
    <t>=StartDate-$M5159+1</t>
  </si>
  <si>
    <t>=SUM(P5159:T5159)</t>
  </si>
  <si>
    <t>=IF($M5159&gt;=$P$18,U5159,0)</t>
  </si>
  <si>
    <t>=IF(AND($M5159&gt;=$Q$16,$M5159&lt;=$Q$18),U5159,0)</t>
  </si>
  <si>
    <t>=IF(AND($M5159&gt;=$R$16,$M5159&lt;=$R$18),U5159,0)</t>
  </si>
  <si>
    <t>=IF(AND($M5159&gt;=$S$16,$M5159&lt;=$S$18),U5159,0)</t>
  </si>
  <si>
    <t>=IF($M5159&lt;=$T$18,U5159,0)</t>
  </si>
  <si>
    <t>="""NAV Direct"",""CRONUS JetCorp USA"",""21"",""1"",""425826"""</t>
  </si>
  <si>
    <t>=E5158</t>
  </si>
  <si>
    <t>=StartDate-$M5160+1</t>
  </si>
  <si>
    <t>=SUM(P5160:T5160)</t>
  </si>
  <si>
    <t>=IF($M5160&gt;=$P$18,U5160,0)</t>
  </si>
  <si>
    <t>=IF(AND($M5160&gt;=$Q$16,$M5160&lt;=$Q$18),U5160,0)</t>
  </si>
  <si>
    <t>=IF(AND($M5160&gt;=$R$16,$M5160&lt;=$R$18),U5160,0)</t>
  </si>
  <si>
    <t>=IF(AND($M5160&gt;=$S$16,$M5160&lt;=$S$18),U5160,0)</t>
  </si>
  <si>
    <t>=IF($M5160&lt;=$T$18,U5160,0)</t>
  </si>
  <si>
    <t>="""NAV Direct"",""CRONUS JetCorp USA"",""21"",""1"",""425892"""</t>
  </si>
  <si>
    <t>=E5159</t>
  </si>
  <si>
    <t>=StartDate-$M5161+1</t>
  </si>
  <si>
    <t>=SUM(P5161:T5161)</t>
  </si>
  <si>
    <t>=IF($M5161&gt;=$P$18,U5161,0)</t>
  </si>
  <si>
    <t>=IF(AND($M5161&gt;=$Q$16,$M5161&lt;=$Q$18),U5161,0)</t>
  </si>
  <si>
    <t>=IF(AND($M5161&gt;=$R$16,$M5161&lt;=$R$18),U5161,0)</t>
  </si>
  <si>
    <t>=IF(AND($M5161&gt;=$S$16,$M5161&lt;=$S$18),U5161,0)</t>
  </si>
  <si>
    <t>=IF($M5161&lt;=$T$18,U5161,0)</t>
  </si>
  <si>
    <t>="""NAV Direct"",""CRONUS JetCorp USA"",""21"",""1"",""426164"""</t>
  </si>
  <si>
    <t>=E5160</t>
  </si>
  <si>
    <t>=StartDate-$M5162+1</t>
  </si>
  <si>
    <t>=SUM(P5162:T5162)</t>
  </si>
  <si>
    <t>=IF($M5162&gt;=$P$18,U5162,0)</t>
  </si>
  <si>
    <t>=IF(AND($M5162&gt;=$Q$16,$M5162&lt;=$Q$18),U5162,0)</t>
  </si>
  <si>
    <t>=IF(AND($M5162&gt;=$R$16,$M5162&lt;=$R$18),U5162,0)</t>
  </si>
  <si>
    <t>=IF(AND($M5162&gt;=$S$16,$M5162&lt;=$S$18),U5162,0)</t>
  </si>
  <si>
    <t>=IF($M5162&lt;=$T$18,U5162,0)</t>
  </si>
  <si>
    <t>="""NAV Direct"",""CRONUS JetCorp USA"",""21"",""1"",""426213"""</t>
  </si>
  <si>
    <t>=E5161</t>
  </si>
  <si>
    <t>=StartDate-$M5163+1</t>
  </si>
  <si>
    <t>=SUM(P5163:T5163)</t>
  </si>
  <si>
    <t>=IF($M5163&gt;=$P$18,U5163,0)</t>
  </si>
  <si>
    <t>=IF(AND($M5163&gt;=$Q$16,$M5163&lt;=$Q$18),U5163,0)</t>
  </si>
  <si>
    <t>=IF(AND($M5163&gt;=$R$16,$M5163&lt;=$R$18),U5163,0)</t>
  </si>
  <si>
    <t>=IF(AND($M5163&gt;=$S$16,$M5163&lt;=$S$18),U5163,0)</t>
  </si>
  <si>
    <t>=IF($M5163&lt;=$T$18,U5163,0)</t>
  </si>
  <si>
    <t>="""NAV Direct"",""CRONUS JetCorp USA"",""21"",""1"",""426258"""</t>
  </si>
  <si>
    <t>=E5162</t>
  </si>
  <si>
    <t>=StartDate-$M5164+1</t>
  </si>
  <si>
    <t>=SUM(P5164:T5164)</t>
  </si>
  <si>
    <t>=IF($M5164&gt;=$P$18,U5164,0)</t>
  </si>
  <si>
    <t>=IF(AND($M5164&gt;=$Q$16,$M5164&lt;=$Q$18),U5164,0)</t>
  </si>
  <si>
    <t>=IF(AND($M5164&gt;=$R$16,$M5164&lt;=$R$18),U5164,0)</t>
  </si>
  <si>
    <t>=IF(AND($M5164&gt;=$S$16,$M5164&lt;=$S$18),U5164,0)</t>
  </si>
  <si>
    <t>=IF($M5164&lt;=$T$18,U5164,0)</t>
  </si>
  <si>
    <t>="""NAV Direct"",""CRONUS JetCorp USA"",""21"",""1"",""426315"""</t>
  </si>
  <si>
    <t>=E5163</t>
  </si>
  <si>
    <t>=StartDate-$M5165+1</t>
  </si>
  <si>
    <t>=SUM(P5165:T5165)</t>
  </si>
  <si>
    <t>=IF($M5165&gt;=$P$18,U5165,0)</t>
  </si>
  <si>
    <t>=IF(AND($M5165&gt;=$Q$16,$M5165&lt;=$Q$18),U5165,0)</t>
  </si>
  <si>
    <t>=IF(AND($M5165&gt;=$R$16,$M5165&lt;=$R$18),U5165,0)</t>
  </si>
  <si>
    <t>=IF(AND($M5165&gt;=$S$16,$M5165&lt;=$S$18),U5165,0)</t>
  </si>
  <si>
    <t>=IF($M5165&lt;=$T$18,U5165,0)</t>
  </si>
  <si>
    <t>="""NAV Direct"",""CRONUS JetCorp USA"",""21"",""1"",""426417"""</t>
  </si>
  <si>
    <t>=E5164</t>
  </si>
  <si>
    <t>=StartDate-$M5166+1</t>
  </si>
  <si>
    <t>=SUM(P5166:T5166)</t>
  </si>
  <si>
    <t>=IF($M5166&gt;=$P$18,U5166,0)</t>
  </si>
  <si>
    <t>=IF(AND($M5166&gt;=$Q$16,$M5166&lt;=$Q$18),U5166,0)</t>
  </si>
  <si>
    <t>=IF(AND($M5166&gt;=$R$16,$M5166&lt;=$R$18),U5166,0)</t>
  </si>
  <si>
    <t>=IF(AND($M5166&gt;=$S$16,$M5166&lt;=$S$18),U5166,0)</t>
  </si>
  <si>
    <t>=IF($M5166&lt;=$T$18,U5166,0)</t>
  </si>
  <si>
    <t>="""NAV Direct"",""CRONUS JetCorp USA"",""21"",""1"",""426547"""</t>
  </si>
  <si>
    <t>=E5165</t>
  </si>
  <si>
    <t>=StartDate-$M5167+1</t>
  </si>
  <si>
    <t>=SUM(P5167:T5167)</t>
  </si>
  <si>
    <t>=IF($M5167&gt;=$P$18,U5167,0)</t>
  </si>
  <si>
    <t>=IF(AND($M5167&gt;=$Q$16,$M5167&lt;=$Q$18),U5167,0)</t>
  </si>
  <si>
    <t>=IF(AND($M5167&gt;=$R$16,$M5167&lt;=$R$18),U5167,0)</t>
  </si>
  <si>
    <t>=IF(AND($M5167&gt;=$S$16,$M5167&lt;=$S$18),U5167,0)</t>
  </si>
  <si>
    <t>=IF($M5167&lt;=$T$18,U5167,0)</t>
  </si>
  <si>
    <t>="""NAV Direct"",""CRONUS JetCorp USA"",""21"",""1"",""426774"""</t>
  </si>
  <si>
    <t>=E5166</t>
  </si>
  <si>
    <t>=StartDate-$M5168+1</t>
  </si>
  <si>
    <t>=SUM(P5168:T5168)</t>
  </si>
  <si>
    <t>=IF($M5168&gt;=$P$18,U5168,0)</t>
  </si>
  <si>
    <t>=IF(AND($M5168&gt;=$Q$16,$M5168&lt;=$Q$18),U5168,0)</t>
  </si>
  <si>
    <t>=IF(AND($M5168&gt;=$R$16,$M5168&lt;=$R$18),U5168,0)</t>
  </si>
  <si>
    <t>=IF(AND($M5168&gt;=$S$16,$M5168&lt;=$S$18),U5168,0)</t>
  </si>
  <si>
    <t>=IF($M5168&lt;=$T$18,U5168,0)</t>
  </si>
  <si>
    <t>="""NAV Direct"",""CRONUS JetCorp USA"",""21"",""1"",""426835"""</t>
  </si>
  <si>
    <t>=E5167</t>
  </si>
  <si>
    <t>=StartDate-$M5169+1</t>
  </si>
  <si>
    <t>=SUM(P5169:T5169)</t>
  </si>
  <si>
    <t>=IF($M5169&gt;=$P$18,U5169,0)</t>
  </si>
  <si>
    <t>=IF(AND($M5169&gt;=$Q$16,$M5169&lt;=$Q$18),U5169,0)</t>
  </si>
  <si>
    <t>=IF(AND($M5169&gt;=$R$16,$M5169&lt;=$R$18),U5169,0)</t>
  </si>
  <si>
    <t>=IF(AND($M5169&gt;=$S$16,$M5169&lt;=$S$18),U5169,0)</t>
  </si>
  <si>
    <t>=IF($M5169&lt;=$T$18,U5169,0)</t>
  </si>
  <si>
    <t>="""NAV Direct"",""CRONUS JetCorp USA"",""21"",""1"",""426884"""</t>
  </si>
  <si>
    <t>=E5168</t>
  </si>
  <si>
    <t>=StartDate-$M5170+1</t>
  </si>
  <si>
    <t>=SUM(P5170:T5170)</t>
  </si>
  <si>
    <t>=IF($M5170&gt;=$P$18,U5170,0)</t>
  </si>
  <si>
    <t>=IF(AND($M5170&gt;=$Q$16,$M5170&lt;=$Q$18),U5170,0)</t>
  </si>
  <si>
    <t>=IF(AND($M5170&gt;=$R$16,$M5170&lt;=$R$18),U5170,0)</t>
  </si>
  <si>
    <t>=IF(AND($M5170&gt;=$S$16,$M5170&lt;=$S$18),U5170,0)</t>
  </si>
  <si>
    <t>=IF($M5170&lt;=$T$18,U5170,0)</t>
  </si>
  <si>
    <t>="""NAV Direct"",""CRONUS JetCorp USA"",""21"",""1"",""426925"""</t>
  </si>
  <si>
    <t>=E5169</t>
  </si>
  <si>
    <t>=StartDate-$M5171+1</t>
  </si>
  <si>
    <t>=SUM(P5171:T5171)</t>
  </si>
  <si>
    <t>=IF($M5171&gt;=$P$18,U5171,0)</t>
  </si>
  <si>
    <t>=IF(AND($M5171&gt;=$Q$16,$M5171&lt;=$Q$18),U5171,0)</t>
  </si>
  <si>
    <t>=IF(AND($M5171&gt;=$R$16,$M5171&lt;=$R$18),U5171,0)</t>
  </si>
  <si>
    <t>=IF(AND($M5171&gt;=$S$16,$M5171&lt;=$S$18),U5171,0)</t>
  </si>
  <si>
    <t>=IF($M5171&lt;=$T$18,U5171,0)</t>
  </si>
  <si>
    <t>="""NAV Direct"",""CRONUS JetCorp USA"",""21"",""1"",""427125"""</t>
  </si>
  <si>
    <t>=E5170</t>
  </si>
  <si>
    <t>=StartDate-$M5172+1</t>
  </si>
  <si>
    <t>=SUM(P5172:T5172)</t>
  </si>
  <si>
    <t>=IF($M5172&gt;=$P$18,U5172,0)</t>
  </si>
  <si>
    <t>=IF(AND($M5172&gt;=$Q$16,$M5172&lt;=$Q$18),U5172,0)</t>
  </si>
  <si>
    <t>=IF(AND($M5172&gt;=$R$16,$M5172&lt;=$R$18),U5172,0)</t>
  </si>
  <si>
    <t>=IF(AND($M5172&gt;=$S$16,$M5172&lt;=$S$18),U5172,0)</t>
  </si>
  <si>
    <t>=IF($M5172&lt;=$T$18,U5172,0)</t>
  </si>
  <si>
    <t>="""NAV Direct"",""CRONUS JetCorp USA"",""21"",""1"",""427170"""</t>
  </si>
  <si>
    <t>=E5171</t>
  </si>
  <si>
    <t>=StartDate-$M5173+1</t>
  </si>
  <si>
    <t>=SUM(P5173:T5173)</t>
  </si>
  <si>
    <t>=IF($M5173&gt;=$P$18,U5173,0)</t>
  </si>
  <si>
    <t>=IF(AND($M5173&gt;=$Q$16,$M5173&lt;=$Q$18),U5173,0)</t>
  </si>
  <si>
    <t>=IF(AND($M5173&gt;=$R$16,$M5173&lt;=$R$18),U5173,0)</t>
  </si>
  <si>
    <t>=IF(AND($M5173&gt;=$S$16,$M5173&lt;=$S$18),U5173,0)</t>
  </si>
  <si>
    <t>=IF($M5173&lt;=$T$18,U5173,0)</t>
  </si>
  <si>
    <t>="""NAV Direct"",""CRONUS JetCorp USA"",""21"",""1"",""427272"""</t>
  </si>
  <si>
    <t>=E5172</t>
  </si>
  <si>
    <t>=StartDate-$M5174+1</t>
  </si>
  <si>
    <t>=SUM(P5174:T5174)</t>
  </si>
  <si>
    <t>=IF($M5174&gt;=$P$18,U5174,0)</t>
  </si>
  <si>
    <t>=IF(AND($M5174&gt;=$Q$16,$M5174&lt;=$Q$18),U5174,0)</t>
  </si>
  <si>
    <t>=IF(AND($M5174&gt;=$R$16,$M5174&lt;=$R$18),U5174,0)</t>
  </si>
  <si>
    <t>=IF(AND($M5174&gt;=$S$16,$M5174&lt;=$S$18),U5174,0)</t>
  </si>
  <si>
    <t>=IF($M5174&lt;=$T$18,U5174,0)</t>
  </si>
  <si>
    <t>="""NAV Direct"",""CRONUS JetCorp USA"",""21"",""1"",""427321"""</t>
  </si>
  <si>
    <t>=E5173</t>
  </si>
  <si>
    <t>=StartDate-$M5175+1</t>
  </si>
  <si>
    <t>=SUM(P5175:T5175)</t>
  </si>
  <si>
    <t>=IF($M5175&gt;=$P$18,U5175,0)</t>
  </si>
  <si>
    <t>=IF(AND($M5175&gt;=$Q$16,$M5175&lt;=$Q$18),U5175,0)</t>
  </si>
  <si>
    <t>=IF(AND($M5175&gt;=$R$16,$M5175&lt;=$R$18),U5175,0)</t>
  </si>
  <si>
    <t>=IF(AND($M5175&gt;=$S$16,$M5175&lt;=$S$18),U5175,0)</t>
  </si>
  <si>
    <t>=IF($M5175&lt;=$T$18,U5175,0)</t>
  </si>
  <si>
    <t>="""NAV Direct"",""CRONUS JetCorp USA"",""21"",""1"",""427660"""</t>
  </si>
  <si>
    <t>=E5174</t>
  </si>
  <si>
    <t>=StartDate-$M5176+1</t>
  </si>
  <si>
    <t>=SUM(P5176:T5176)</t>
  </si>
  <si>
    <t>=IF($M5176&gt;=$P$18,U5176,0)</t>
  </si>
  <si>
    <t>=IF(AND($M5176&gt;=$Q$16,$M5176&lt;=$Q$18),U5176,0)</t>
  </si>
  <si>
    <t>=IF(AND($M5176&gt;=$R$16,$M5176&lt;=$R$18),U5176,0)</t>
  </si>
  <si>
    <t>=IF(AND($M5176&gt;=$S$16,$M5176&lt;=$S$18),U5176,0)</t>
  </si>
  <si>
    <t>=IF($M5176&lt;=$T$18,U5176,0)</t>
  </si>
  <si>
    <t>="""NAV Direct"",""CRONUS JetCorp USA"",""21"",""1"",""427818"""</t>
  </si>
  <si>
    <t>=E5175</t>
  </si>
  <si>
    <t>=StartDate-$M5177+1</t>
  </si>
  <si>
    <t>=SUM(P5177:T5177)</t>
  </si>
  <si>
    <t>=IF($M5177&gt;=$P$18,U5177,0)</t>
  </si>
  <si>
    <t>=IF(AND($M5177&gt;=$Q$16,$M5177&lt;=$Q$18),U5177,0)</t>
  </si>
  <si>
    <t>=IF(AND($M5177&gt;=$R$16,$M5177&lt;=$R$18),U5177,0)</t>
  </si>
  <si>
    <t>=IF(AND($M5177&gt;=$S$16,$M5177&lt;=$S$18),U5177,0)</t>
  </si>
  <si>
    <t>=IF($M5177&lt;=$T$18,U5177,0)</t>
  </si>
  <si>
    <t>="""NAV Direct"",""CRONUS JetCorp USA"",""21"",""1"",""427974"""</t>
  </si>
  <si>
    <t>=E5176</t>
  </si>
  <si>
    <t>=StartDate-$M5178+1</t>
  </si>
  <si>
    <t>=SUM(P5178:T5178)</t>
  </si>
  <si>
    <t>=IF($M5178&gt;=$P$18,U5178,0)</t>
  </si>
  <si>
    <t>=IF(AND($M5178&gt;=$Q$16,$M5178&lt;=$Q$18),U5178,0)</t>
  </si>
  <si>
    <t>=IF(AND($M5178&gt;=$R$16,$M5178&lt;=$R$18),U5178,0)</t>
  </si>
  <si>
    <t>=IF(AND($M5178&gt;=$S$16,$M5178&lt;=$S$18),U5178,0)</t>
  </si>
  <si>
    <t>=IF($M5178&lt;=$T$18,U5178,0)</t>
  </si>
  <si>
    <t>="""NAV Direct"",""CRONUS JetCorp USA"",""21"",""1"",""428019"""</t>
  </si>
  <si>
    <t>=E5177</t>
  </si>
  <si>
    <t>=StartDate-$M5179+1</t>
  </si>
  <si>
    <t>=SUM(P5179:T5179)</t>
  </si>
  <si>
    <t>=IF($M5179&gt;=$P$18,U5179,0)</t>
  </si>
  <si>
    <t>=IF(AND($M5179&gt;=$Q$16,$M5179&lt;=$Q$18),U5179,0)</t>
  </si>
  <si>
    <t>=IF(AND($M5179&gt;=$R$16,$M5179&lt;=$R$18),U5179,0)</t>
  </si>
  <si>
    <t>=IF(AND($M5179&gt;=$S$16,$M5179&lt;=$S$18),U5179,0)</t>
  </si>
  <si>
    <t>=IF($M5179&lt;=$T$18,U5179,0)</t>
  </si>
  <si>
    <t>="""NAV Direct"",""CRONUS JetCorp USA"",""21"",""1"",""428107"""</t>
  </si>
  <si>
    <t>=E5178</t>
  </si>
  <si>
    <t>=StartDate-$M5180+1</t>
  </si>
  <si>
    <t>=SUM(P5180:T5180)</t>
  </si>
  <si>
    <t>=IF($M5180&gt;=$P$18,U5180,0)</t>
  </si>
  <si>
    <t>=IF(AND($M5180&gt;=$Q$16,$M5180&lt;=$Q$18),U5180,0)</t>
  </si>
  <si>
    <t>=IF(AND($M5180&gt;=$R$16,$M5180&lt;=$R$18),U5180,0)</t>
  </si>
  <si>
    <t>=IF(AND($M5180&gt;=$S$16,$M5180&lt;=$S$18),U5180,0)</t>
  </si>
  <si>
    <t>=IF($M5180&lt;=$T$18,U5180,0)</t>
  </si>
  <si>
    <t>="""NAV Direct"",""CRONUS JetCorp USA"",""21"",""1"",""428148"""</t>
  </si>
  <si>
    <t>=E5179</t>
  </si>
  <si>
    <t>=StartDate-$M5181+1</t>
  </si>
  <si>
    <t>=SUM(P5181:T5181)</t>
  </si>
  <si>
    <t>=IF($M5181&gt;=$P$18,U5181,0)</t>
  </si>
  <si>
    <t>=IF(AND($M5181&gt;=$Q$16,$M5181&lt;=$Q$18),U5181,0)</t>
  </si>
  <si>
    <t>=IF(AND($M5181&gt;=$R$16,$M5181&lt;=$R$18),U5181,0)</t>
  </si>
  <si>
    <t>=IF(AND($M5181&gt;=$S$16,$M5181&lt;=$S$18),U5181,0)</t>
  </si>
  <si>
    <t>=IF($M5181&lt;=$T$18,U5181,0)</t>
  </si>
  <si>
    <t>="""NAV Direct"",""CRONUS JetCorp USA"",""21"",""1"",""428230"""</t>
  </si>
  <si>
    <t>=E5180</t>
  </si>
  <si>
    <t>=StartDate-$M5182+1</t>
  </si>
  <si>
    <t>=SUM(P5182:T5182)</t>
  </si>
  <si>
    <t>=IF($M5182&gt;=$P$18,U5182,0)</t>
  </si>
  <si>
    <t>=IF(AND($M5182&gt;=$Q$16,$M5182&lt;=$Q$18),U5182,0)</t>
  </si>
  <si>
    <t>=IF(AND($M5182&gt;=$R$16,$M5182&lt;=$R$18),U5182,0)</t>
  </si>
  <si>
    <t>=IF(AND($M5182&gt;=$S$16,$M5182&lt;=$S$18),U5182,0)</t>
  </si>
  <si>
    <t>=IF($M5182&lt;=$T$18,U5182,0)</t>
  </si>
  <si>
    <t>="""NAV Direct"",""CRONUS JetCorp USA"",""21"",""1"",""428416"""</t>
  </si>
  <si>
    <t>=E5181</t>
  </si>
  <si>
    <t>=StartDate-$M5183+1</t>
  </si>
  <si>
    <t>=SUM(P5183:T5183)</t>
  </si>
  <si>
    <t>=IF($M5183&gt;=$P$18,U5183,0)</t>
  </si>
  <si>
    <t>=IF(AND($M5183&gt;=$Q$16,$M5183&lt;=$Q$18),U5183,0)</t>
  </si>
  <si>
    <t>=IF(AND($M5183&gt;=$R$16,$M5183&lt;=$R$18),U5183,0)</t>
  </si>
  <si>
    <t>=IF(AND($M5183&gt;=$S$16,$M5183&lt;=$S$18),U5183,0)</t>
  </si>
  <si>
    <t>=IF($M5183&lt;=$T$18,U5183,0)</t>
  </si>
  <si>
    <t>="""NAV Direct"",""CRONUS JetCorp USA"",""21"",""1"",""428578"""</t>
  </si>
  <si>
    <t>=E5182</t>
  </si>
  <si>
    <t>=StartDate-$M5184+1</t>
  </si>
  <si>
    <t>=SUM(P5184:T5184)</t>
  </si>
  <si>
    <t>=IF($M5184&gt;=$P$18,U5184,0)</t>
  </si>
  <si>
    <t>=IF(AND($M5184&gt;=$Q$16,$M5184&lt;=$Q$18),U5184,0)</t>
  </si>
  <si>
    <t>=IF(AND($M5184&gt;=$R$16,$M5184&lt;=$R$18),U5184,0)</t>
  </si>
  <si>
    <t>=IF(AND($M5184&gt;=$S$16,$M5184&lt;=$S$18),U5184,0)</t>
  </si>
  <si>
    <t>=IF($M5184&lt;=$T$18,U5184,0)</t>
  </si>
  <si>
    <t>="""NAV Direct"",""CRONUS JetCorp USA"",""21"",""1"",""428758"""</t>
  </si>
  <si>
    <t>=E5183</t>
  </si>
  <si>
    <t>=StartDate-$M5185+1</t>
  </si>
  <si>
    <t>=SUM(P5185:T5185)</t>
  </si>
  <si>
    <t>=IF($M5185&gt;=$P$18,U5185,0)</t>
  </si>
  <si>
    <t>=IF(AND($M5185&gt;=$Q$16,$M5185&lt;=$Q$18),U5185,0)</t>
  </si>
  <si>
    <t>=IF(AND($M5185&gt;=$R$16,$M5185&lt;=$R$18),U5185,0)</t>
  </si>
  <si>
    <t>=IF(AND($M5185&gt;=$S$16,$M5185&lt;=$S$18),U5185,0)</t>
  </si>
  <si>
    <t>=IF($M5185&lt;=$T$18,U5185,0)</t>
  </si>
  <si>
    <t>="""NAV Direct"",""CRONUS JetCorp USA"",""21"",""1"",""428842"""</t>
  </si>
  <si>
    <t>=E5184</t>
  </si>
  <si>
    <t>=StartDate-$M5186+1</t>
  </si>
  <si>
    <t>=SUM(P5186:T5186)</t>
  </si>
  <si>
    <t>=IF($M5186&gt;=$P$18,U5186,0)</t>
  </si>
  <si>
    <t>=IF(AND($M5186&gt;=$Q$16,$M5186&lt;=$Q$18),U5186,0)</t>
  </si>
  <si>
    <t>=IF(AND($M5186&gt;=$R$16,$M5186&lt;=$R$18),U5186,0)</t>
  </si>
  <si>
    <t>=IF(AND($M5186&gt;=$S$16,$M5186&lt;=$S$18),U5186,0)</t>
  </si>
  <si>
    <t>=IF($M5186&lt;=$T$18,U5186,0)</t>
  </si>
  <si>
    <t>="""NAV Direct"",""CRONUS JetCorp USA"",""21"",""1"",""429024"""</t>
  </si>
  <si>
    <t>=E5185</t>
  </si>
  <si>
    <t>=StartDate-$M5187+1</t>
  </si>
  <si>
    <t>=SUM(P5187:T5187)</t>
  </si>
  <si>
    <t>=IF($M5187&gt;=$P$18,U5187,0)</t>
  </si>
  <si>
    <t>=IF(AND($M5187&gt;=$Q$16,$M5187&lt;=$Q$18),U5187,0)</t>
  </si>
  <si>
    <t>=IF(AND($M5187&gt;=$R$16,$M5187&lt;=$R$18),U5187,0)</t>
  </si>
  <si>
    <t>=IF(AND($M5187&gt;=$S$16,$M5187&lt;=$S$18),U5187,0)</t>
  </si>
  <si>
    <t>=IF($M5187&lt;=$T$18,U5187,0)</t>
  </si>
  <si>
    <t>="""NAV Direct"",""CRONUS JetCorp USA"",""21"",""1"",""429116"""</t>
  </si>
  <si>
    <t>=E5186</t>
  </si>
  <si>
    <t>=StartDate-$M5188+1</t>
  </si>
  <si>
    <t>=SUM(P5188:T5188)</t>
  </si>
  <si>
    <t>=IF($M5188&gt;=$P$18,U5188,0)</t>
  </si>
  <si>
    <t>=IF(AND($M5188&gt;=$Q$16,$M5188&lt;=$Q$18),U5188,0)</t>
  </si>
  <si>
    <t>=IF(AND($M5188&gt;=$R$16,$M5188&lt;=$R$18),U5188,0)</t>
  </si>
  <si>
    <t>=IF(AND($M5188&gt;=$S$16,$M5188&lt;=$S$18),U5188,0)</t>
  </si>
  <si>
    <t>=IF($M5188&lt;=$T$18,U5188,0)</t>
  </si>
  <si>
    <t>="""NAV Direct"",""CRONUS JetCorp USA"",""21"",""1"",""441626"""</t>
  </si>
  <si>
    <t>=E5187</t>
  </si>
  <si>
    <t>=StartDate-$M5189+1</t>
  </si>
  <si>
    <t>=SUM(P5189:T5189)</t>
  </si>
  <si>
    <t>=IF($M5189&gt;=$P$18,U5189,0)</t>
  </si>
  <si>
    <t>=IF(AND($M5189&gt;=$Q$16,$M5189&lt;=$Q$18),U5189,0)</t>
  </si>
  <si>
    <t>=IF(AND($M5189&gt;=$R$16,$M5189&lt;=$R$18),U5189,0)</t>
  </si>
  <si>
    <t>=IF(AND($M5189&gt;=$S$16,$M5189&lt;=$S$18),U5189,0)</t>
  </si>
  <si>
    <t>=IF($M5189&lt;=$T$18,U5189,0)</t>
  </si>
  <si>
    <t>="""NAV Direct"",""CRONUS JetCorp USA"",""21"",""1"",""441660"""</t>
  </si>
  <si>
    <t>=E5188</t>
  </si>
  <si>
    <t>=StartDate-$M5190+1</t>
  </si>
  <si>
    <t>=SUM(P5190:T5190)</t>
  </si>
  <si>
    <t>=IF($M5190&gt;=$P$18,U5190,0)</t>
  </si>
  <si>
    <t>=IF(AND($M5190&gt;=$Q$16,$M5190&lt;=$Q$18),U5190,0)</t>
  </si>
  <si>
    <t>=IF(AND($M5190&gt;=$R$16,$M5190&lt;=$R$18),U5190,0)</t>
  </si>
  <si>
    <t>=IF(AND($M5190&gt;=$S$16,$M5190&lt;=$S$18),U5190,0)</t>
  </si>
  <si>
    <t>=IF($M5190&lt;=$T$18,U5190,0)</t>
  </si>
  <si>
    <t>="""NAV Direct"",""CRONUS JetCorp USA"",""21"",""1"",""441825"""</t>
  </si>
  <si>
    <t>=E5189</t>
  </si>
  <si>
    <t>=StartDate-$M5191+1</t>
  </si>
  <si>
    <t>=SUM(P5191:T5191)</t>
  </si>
  <si>
    <t>=IF($M5191&gt;=$P$18,U5191,0)</t>
  </si>
  <si>
    <t>=IF(AND($M5191&gt;=$Q$16,$M5191&lt;=$Q$18),U5191,0)</t>
  </si>
  <si>
    <t>=IF(AND($M5191&gt;=$R$16,$M5191&lt;=$R$18),U5191,0)</t>
  </si>
  <si>
    <t>=IF(AND($M5191&gt;=$S$16,$M5191&lt;=$S$18),U5191,0)</t>
  </si>
  <si>
    <t>=IF($M5191&lt;=$T$18,U5191,0)</t>
  </si>
  <si>
    <t>="""NAV Direct"",""CRONUS JetCorp USA"",""21"",""1"",""441844"""</t>
  </si>
  <si>
    <t>=E5190</t>
  </si>
  <si>
    <t>=StartDate-$M5192+1</t>
  </si>
  <si>
    <t>=SUM(P5192:T5192)</t>
  </si>
  <si>
    <t>=IF($M5192&gt;=$P$18,U5192,0)</t>
  </si>
  <si>
    <t>=IF(AND($M5192&gt;=$Q$16,$M5192&lt;=$Q$18),U5192,0)</t>
  </si>
  <si>
    <t>=IF(AND($M5192&gt;=$R$16,$M5192&lt;=$R$18),U5192,0)</t>
  </si>
  <si>
    <t>=IF(AND($M5192&gt;=$S$16,$M5192&lt;=$S$18),U5192,0)</t>
  </si>
  <si>
    <t>=IF($M5192&lt;=$T$18,U5192,0)</t>
  </si>
  <si>
    <t>="""NAV Direct"",""CRONUS JetCorp USA"",""21"",""1"",""441931"""</t>
  </si>
  <si>
    <t>=E5191</t>
  </si>
  <si>
    <t>=StartDate-$M5193+1</t>
  </si>
  <si>
    <t>=SUM(P5193:T5193)</t>
  </si>
  <si>
    <t>=IF($M5193&gt;=$P$18,U5193,0)</t>
  </si>
  <si>
    <t>=IF(AND($M5193&gt;=$Q$16,$M5193&lt;=$Q$18),U5193,0)</t>
  </si>
  <si>
    <t>=IF(AND($M5193&gt;=$R$16,$M5193&lt;=$R$18),U5193,0)</t>
  </si>
  <si>
    <t>=IF(AND($M5193&gt;=$S$16,$M5193&lt;=$S$18),U5193,0)</t>
  </si>
  <si>
    <t>=IF($M5193&lt;=$T$18,U5193,0)</t>
  </si>
  <si>
    <t>="""NAV Direct"",""CRONUS JetCorp USA"",""21"",""1"",""442019"""</t>
  </si>
  <si>
    <t>=E5192</t>
  </si>
  <si>
    <t>=StartDate-$M5194+1</t>
  </si>
  <si>
    <t>=SUM(P5194:T5194)</t>
  </si>
  <si>
    <t>=IF($M5194&gt;=$P$18,U5194,0)</t>
  </si>
  <si>
    <t>=IF(AND($M5194&gt;=$Q$16,$M5194&lt;=$Q$18),U5194,0)</t>
  </si>
  <si>
    <t>=IF(AND($M5194&gt;=$R$16,$M5194&lt;=$R$18),U5194,0)</t>
  </si>
  <si>
    <t>=IF(AND($M5194&gt;=$S$16,$M5194&lt;=$S$18),U5194,0)</t>
  </si>
  <si>
    <t>=IF($M5194&lt;=$T$18,U5194,0)</t>
  </si>
  <si>
    <t>="""NAV Direct"",""CRONUS JetCorp USA"",""21"",""1"",""442110"""</t>
  </si>
  <si>
    <t>=E5193</t>
  </si>
  <si>
    <t>=StartDate-$M5195+1</t>
  </si>
  <si>
    <t>=SUM(P5195:T5195)</t>
  </si>
  <si>
    <t>=IF($M5195&gt;=$P$18,U5195,0)</t>
  </si>
  <si>
    <t>=IF(AND($M5195&gt;=$Q$16,$M5195&lt;=$Q$18),U5195,0)</t>
  </si>
  <si>
    <t>=IF(AND($M5195&gt;=$R$16,$M5195&lt;=$R$18),U5195,0)</t>
  </si>
  <si>
    <t>=IF(AND($M5195&gt;=$S$16,$M5195&lt;=$S$18),U5195,0)</t>
  </si>
  <si>
    <t>=IF($M5195&lt;=$T$18,U5195,0)</t>
  </si>
  <si>
    <t>="""NAV Direct"",""CRONUS JetCorp USA"",""21"",""1"",""442249"""</t>
  </si>
  <si>
    <t>=E5194</t>
  </si>
  <si>
    <t>=StartDate-$M5196+1</t>
  </si>
  <si>
    <t>=SUM(P5196:T5196)</t>
  </si>
  <si>
    <t>=IF($M5196&gt;=$P$18,U5196,0)</t>
  </si>
  <si>
    <t>=IF(AND($M5196&gt;=$Q$16,$M5196&lt;=$Q$18),U5196,0)</t>
  </si>
  <si>
    <t>=IF(AND($M5196&gt;=$R$16,$M5196&lt;=$R$18),U5196,0)</t>
  </si>
  <si>
    <t>=IF(AND($M5196&gt;=$S$16,$M5196&lt;=$S$18),U5196,0)</t>
  </si>
  <si>
    <t>=IF($M5196&lt;=$T$18,U5196,0)</t>
  </si>
  <si>
    <t>="""NAV Direct"",""CRONUS JetCorp USA"",""21"",""1"",""442271"""</t>
  </si>
  <si>
    <t>=E5195</t>
  </si>
  <si>
    <t>=StartDate-$M5197+1</t>
  </si>
  <si>
    <t>=SUM(P5197:T5197)</t>
  </si>
  <si>
    <t>=IF($M5197&gt;=$P$18,U5197,0)</t>
  </si>
  <si>
    <t>=IF(AND($M5197&gt;=$Q$16,$M5197&lt;=$Q$18),U5197,0)</t>
  </si>
  <si>
    <t>=IF(AND($M5197&gt;=$R$16,$M5197&lt;=$R$18),U5197,0)</t>
  </si>
  <si>
    <t>=IF(AND($M5197&gt;=$S$16,$M5197&lt;=$S$18),U5197,0)</t>
  </si>
  <si>
    <t>=IF($M5197&lt;=$T$18,U5197,0)</t>
  </si>
  <si>
    <t>="""NAV Direct"",""CRONUS JetCorp USA"",""21"",""1"",""442290"""</t>
  </si>
  <si>
    <t>=E5196</t>
  </si>
  <si>
    <t>=StartDate-$M5198+1</t>
  </si>
  <si>
    <t>=SUM(P5198:T5198)</t>
  </si>
  <si>
    <t>=IF($M5198&gt;=$P$18,U5198,0)</t>
  </si>
  <si>
    <t>=IF(AND($M5198&gt;=$Q$16,$M5198&lt;=$Q$18),U5198,0)</t>
  </si>
  <si>
    <t>=IF(AND($M5198&gt;=$R$16,$M5198&lt;=$R$18),U5198,0)</t>
  </si>
  <si>
    <t>=IF(AND($M5198&gt;=$S$16,$M5198&lt;=$S$18),U5198,0)</t>
  </si>
  <si>
    <t>=IF($M5198&lt;=$T$18,U5198,0)</t>
  </si>
  <si>
    <t>="""NAV Direct"",""CRONUS JetCorp USA"",""21"",""1"",""442308"""</t>
  </si>
  <si>
    <t>=E5197</t>
  </si>
  <si>
    <t>=StartDate-$M5199+1</t>
  </si>
  <si>
    <t>=SUM(P5199:T5199)</t>
  </si>
  <si>
    <t>=IF($M5199&gt;=$P$18,U5199,0)</t>
  </si>
  <si>
    <t>=IF(AND($M5199&gt;=$Q$16,$M5199&lt;=$Q$18),U5199,0)</t>
  </si>
  <si>
    <t>=IF(AND($M5199&gt;=$R$16,$M5199&lt;=$R$18),U5199,0)</t>
  </si>
  <si>
    <t>=IF(AND($M5199&gt;=$S$16,$M5199&lt;=$S$18),U5199,0)</t>
  </si>
  <si>
    <t>=IF($M5199&lt;=$T$18,U5199,0)</t>
  </si>
  <si>
    <t>="""NAV Direct"",""CRONUS JetCorp USA"",""21"",""1"",""442433"""</t>
  </si>
  <si>
    <t>=E5198</t>
  </si>
  <si>
    <t>=StartDate-$M5200+1</t>
  </si>
  <si>
    <t>=SUM(P5200:T5200)</t>
  </si>
  <si>
    <t>=IF($M5200&gt;=$P$18,U5200,0)</t>
  </si>
  <si>
    <t>=IF(AND($M5200&gt;=$Q$16,$M5200&lt;=$Q$18),U5200,0)</t>
  </si>
  <si>
    <t>=IF(AND($M5200&gt;=$R$16,$M5200&lt;=$R$18),U5200,0)</t>
  </si>
  <si>
    <t>=IF(AND($M5200&gt;=$S$16,$M5200&lt;=$S$18),U5200,0)</t>
  </si>
  <si>
    <t>=IF($M5200&lt;=$T$18,U5200,0)</t>
  </si>
  <si>
    <t>="""NAV Direct"",""CRONUS JetCorp USA"",""21"",""1"",""442478"""</t>
  </si>
  <si>
    <t>=E5199</t>
  </si>
  <si>
    <t>=StartDate-$M5201+1</t>
  </si>
  <si>
    <t>=SUM(P5201:T5201)</t>
  </si>
  <si>
    <t>=IF($M5201&gt;=$P$18,U5201,0)</t>
  </si>
  <si>
    <t>=IF(AND($M5201&gt;=$Q$16,$M5201&lt;=$Q$18),U5201,0)</t>
  </si>
  <si>
    <t>=IF(AND($M5201&gt;=$R$16,$M5201&lt;=$R$18),U5201,0)</t>
  </si>
  <si>
    <t>=IF(AND($M5201&gt;=$S$16,$M5201&lt;=$S$18),U5201,0)</t>
  </si>
  <si>
    <t>=IF($M5201&lt;=$T$18,U5201,0)</t>
  </si>
  <si>
    <t>="""NAV Direct"",""CRONUS JetCorp USA"",""21"",""1"",""442503"""</t>
  </si>
  <si>
    <t>=E5200</t>
  </si>
  <si>
    <t>=StartDate-$M5202+1</t>
  </si>
  <si>
    <t>=SUM(P5202:T5202)</t>
  </si>
  <si>
    <t>=IF($M5202&gt;=$P$18,U5202,0)</t>
  </si>
  <si>
    <t>=IF(AND($M5202&gt;=$Q$16,$M5202&lt;=$Q$18),U5202,0)</t>
  </si>
  <si>
    <t>=IF(AND($M5202&gt;=$R$16,$M5202&lt;=$R$18),U5202,0)</t>
  </si>
  <si>
    <t>=IF(AND($M5202&gt;=$S$16,$M5202&lt;=$S$18),U5202,0)</t>
  </si>
  <si>
    <t>=IF($M5202&lt;=$T$18,U5202,0)</t>
  </si>
  <si>
    <t>="""NAV Direct"",""CRONUS JetCorp USA"",""21"",""1"",""442706"""</t>
  </si>
  <si>
    <t>=E5201</t>
  </si>
  <si>
    <t>=StartDate-$M5203+1</t>
  </si>
  <si>
    <t>=SUM(P5203:T5203)</t>
  </si>
  <si>
    <t>=IF($M5203&gt;=$P$18,U5203,0)</t>
  </si>
  <si>
    <t>=IF(AND($M5203&gt;=$Q$16,$M5203&lt;=$Q$18),U5203,0)</t>
  </si>
  <si>
    <t>=IF(AND($M5203&gt;=$R$16,$M5203&lt;=$R$18),U5203,0)</t>
  </si>
  <si>
    <t>=IF(AND($M5203&gt;=$S$16,$M5203&lt;=$S$18),U5203,0)</t>
  </si>
  <si>
    <t>=IF($M5203&lt;=$T$18,U5203,0)</t>
  </si>
  <si>
    <t>="""NAV Direct"",""CRONUS JetCorp USA"",""21"",""1"",""443023"""</t>
  </si>
  <si>
    <t>=E5202</t>
  </si>
  <si>
    <t>=StartDate-$M5204+1</t>
  </si>
  <si>
    <t>=SUM(P5204:T5204)</t>
  </si>
  <si>
    <t>=IF($M5204&gt;=$P$18,U5204,0)</t>
  </si>
  <si>
    <t>=IF(AND($M5204&gt;=$Q$16,$M5204&lt;=$Q$18),U5204,0)</t>
  </si>
  <si>
    <t>=IF(AND($M5204&gt;=$R$16,$M5204&lt;=$R$18),U5204,0)</t>
  </si>
  <si>
    <t>=IF(AND($M5204&gt;=$S$16,$M5204&lt;=$S$18),U5204,0)</t>
  </si>
  <si>
    <t>=IF($M5204&lt;=$T$18,U5204,0)</t>
  </si>
  <si>
    <t>="""NAV Direct"",""CRONUS JetCorp USA"",""21"",""1"",""443046"""</t>
  </si>
  <si>
    <t>=E5203</t>
  </si>
  <si>
    <t>=StartDate-$M5205+1</t>
  </si>
  <si>
    <t>=SUM(P5205:T5205)</t>
  </si>
  <si>
    <t>=IF($M5205&gt;=$P$18,U5205,0)</t>
  </si>
  <si>
    <t>=IF(AND($M5205&gt;=$Q$16,$M5205&lt;=$Q$18),U5205,0)</t>
  </si>
  <si>
    <t>=IF(AND($M5205&gt;=$R$16,$M5205&lt;=$R$18),U5205,0)</t>
  </si>
  <si>
    <t>=IF(AND($M5205&gt;=$S$16,$M5205&lt;=$S$18),U5205,0)</t>
  </si>
  <si>
    <t>=IF($M5205&lt;=$T$18,U5205,0)</t>
  </si>
  <si>
    <t>="""NAV Direct"",""CRONUS JetCorp USA"",""21"",""1"",""443082"""</t>
  </si>
  <si>
    <t>=E5204</t>
  </si>
  <si>
    <t>=StartDate-$M5206+1</t>
  </si>
  <si>
    <t>=SUM(P5206:T5206)</t>
  </si>
  <si>
    <t>=IF($M5206&gt;=$P$18,U5206,0)</t>
  </si>
  <si>
    <t>=IF(AND($M5206&gt;=$Q$16,$M5206&lt;=$Q$18),U5206,0)</t>
  </si>
  <si>
    <t>=IF(AND($M5206&gt;=$R$16,$M5206&lt;=$R$18),U5206,0)</t>
  </si>
  <si>
    <t>=IF(AND($M5206&gt;=$S$16,$M5206&lt;=$S$18),U5206,0)</t>
  </si>
  <si>
    <t>=IF($M5206&lt;=$T$18,U5206,0)</t>
  </si>
  <si>
    <t>="""NAV Direct"",""CRONUS JetCorp USA"",""21"",""1"",""443122"""</t>
  </si>
  <si>
    <t>=E5205</t>
  </si>
  <si>
    <t>=StartDate-$M5207+1</t>
  </si>
  <si>
    <t>=SUM(P5207:T5207)</t>
  </si>
  <si>
    <t>=IF($M5207&gt;=$P$18,U5207,0)</t>
  </si>
  <si>
    <t>=IF(AND($M5207&gt;=$Q$16,$M5207&lt;=$Q$18),U5207,0)</t>
  </si>
  <si>
    <t>=IF(AND($M5207&gt;=$R$16,$M5207&lt;=$R$18),U5207,0)</t>
  </si>
  <si>
    <t>=IF(AND($M5207&gt;=$S$16,$M5207&lt;=$S$18),U5207,0)</t>
  </si>
  <si>
    <t>=IF($M5207&lt;=$T$18,U5207,0)</t>
  </si>
  <si>
    <t>="""NAV Direct"",""CRONUS JetCorp USA"",""21"",""1"",""443141"""</t>
  </si>
  <si>
    <t>=E5206</t>
  </si>
  <si>
    <t>=StartDate-$M5208+1</t>
  </si>
  <si>
    <t>=SUM(P5208:T5208)</t>
  </si>
  <si>
    <t>=IF($M5208&gt;=$P$18,U5208,0)</t>
  </si>
  <si>
    <t>=IF(AND($M5208&gt;=$Q$16,$M5208&lt;=$Q$18),U5208,0)</t>
  </si>
  <si>
    <t>=IF(AND($M5208&gt;=$R$16,$M5208&lt;=$R$18),U5208,0)</t>
  </si>
  <si>
    <t>=IF(AND($M5208&gt;=$S$16,$M5208&lt;=$S$18),U5208,0)</t>
  </si>
  <si>
    <t>=IF($M5208&lt;=$T$18,U5208,0)</t>
  </si>
  <si>
    <t>="""NAV Direct"",""CRONUS JetCorp USA"",""21"",""1"",""443236"""</t>
  </si>
  <si>
    <t>=E5207</t>
  </si>
  <si>
    <t>=StartDate-$M5209+1</t>
  </si>
  <si>
    <t>=SUM(P5209:T5209)</t>
  </si>
  <si>
    <t>=IF($M5209&gt;=$P$18,U5209,0)</t>
  </si>
  <si>
    <t>=IF(AND($M5209&gt;=$Q$16,$M5209&lt;=$Q$18),U5209,0)</t>
  </si>
  <si>
    <t>=IF(AND($M5209&gt;=$R$16,$M5209&lt;=$R$18),U5209,0)</t>
  </si>
  <si>
    <t>=IF(AND($M5209&gt;=$S$16,$M5209&lt;=$S$18),U5209,0)</t>
  </si>
  <si>
    <t>=IF($M5209&lt;=$T$18,U5209,0)</t>
  </si>
  <si>
    <t>="""NAV Direct"",""CRONUS JetCorp USA"",""21"",""1"",""443341"""</t>
  </si>
  <si>
    <t>=E5208</t>
  </si>
  <si>
    <t>=StartDate-$M5210+1</t>
  </si>
  <si>
    <t>=SUM(P5210:T5210)</t>
  </si>
  <si>
    <t>=IF($M5210&gt;=$P$18,U5210,0)</t>
  </si>
  <si>
    <t>=IF(AND($M5210&gt;=$Q$16,$M5210&lt;=$Q$18),U5210,0)</t>
  </si>
  <si>
    <t>=IF(AND($M5210&gt;=$R$16,$M5210&lt;=$R$18),U5210,0)</t>
  </si>
  <si>
    <t>=IF(AND($M5210&gt;=$S$16,$M5210&lt;=$S$18),U5210,0)</t>
  </si>
  <si>
    <t>=IF($M5210&lt;=$T$18,U5210,0)</t>
  </si>
  <si>
    <t>="""NAV Direct"",""CRONUS JetCorp USA"",""21"",""1"",""443354"""</t>
  </si>
  <si>
    <t>=E5209</t>
  </si>
  <si>
    <t>=StartDate-$M5211+1</t>
  </si>
  <si>
    <t>=SUM(P5211:T5211)</t>
  </si>
  <si>
    <t>=IF($M5211&gt;=$P$18,U5211,0)</t>
  </si>
  <si>
    <t>=IF(AND($M5211&gt;=$Q$16,$M5211&lt;=$Q$18),U5211,0)</t>
  </si>
  <si>
    <t>=IF(AND($M5211&gt;=$R$16,$M5211&lt;=$R$18),U5211,0)</t>
  </si>
  <si>
    <t>=IF(AND($M5211&gt;=$S$16,$M5211&lt;=$S$18),U5211,0)</t>
  </si>
  <si>
    <t>=IF($M5211&lt;=$T$18,U5211,0)</t>
  </si>
  <si>
    <t>="""NAV Direct"",""CRONUS JetCorp USA"",""21"",""1"",""443402"""</t>
  </si>
  <si>
    <t>=E5210</t>
  </si>
  <si>
    <t>=StartDate-$M5212+1</t>
  </si>
  <si>
    <t>=SUM(P5212:T5212)</t>
  </si>
  <si>
    <t>=IF($M5212&gt;=$P$18,U5212,0)</t>
  </si>
  <si>
    <t>=IF(AND($M5212&gt;=$Q$16,$M5212&lt;=$Q$18),U5212,0)</t>
  </si>
  <si>
    <t>=IF(AND($M5212&gt;=$R$16,$M5212&lt;=$R$18),U5212,0)</t>
  </si>
  <si>
    <t>=IF(AND($M5212&gt;=$S$16,$M5212&lt;=$S$18),U5212,0)</t>
  </si>
  <si>
    <t>=IF($M5212&lt;=$T$18,U5212,0)</t>
  </si>
  <si>
    <t>="""NAV Direct"",""CRONUS JetCorp USA"",""21"",""1"",""443492"""</t>
  </si>
  <si>
    <t>=E5211</t>
  </si>
  <si>
    <t>=StartDate-$M5213+1</t>
  </si>
  <si>
    <t>=SUM(P5213:T5213)</t>
  </si>
  <si>
    <t>=IF($M5213&gt;=$P$18,U5213,0)</t>
  </si>
  <si>
    <t>=IF(AND($M5213&gt;=$Q$16,$M5213&lt;=$Q$18),U5213,0)</t>
  </si>
  <si>
    <t>=IF(AND($M5213&gt;=$R$16,$M5213&lt;=$R$18),U5213,0)</t>
  </si>
  <si>
    <t>=IF(AND($M5213&gt;=$S$16,$M5213&lt;=$S$18),U5213,0)</t>
  </si>
  <si>
    <t>=IF($M5213&lt;=$T$18,U5213,0)</t>
  </si>
  <si>
    <t>="""NAV Direct"",""CRONUS JetCorp USA"",""21"",""1"",""443519"""</t>
  </si>
  <si>
    <t>=E5212</t>
  </si>
  <si>
    <t>=StartDate-$M5214+1</t>
  </si>
  <si>
    <t>=SUM(P5214:T5214)</t>
  </si>
  <si>
    <t>=IF($M5214&gt;=$P$18,U5214,0)</t>
  </si>
  <si>
    <t>=IF(AND($M5214&gt;=$Q$16,$M5214&lt;=$Q$18),U5214,0)</t>
  </si>
  <si>
    <t>=IF(AND($M5214&gt;=$R$16,$M5214&lt;=$R$18),U5214,0)</t>
  </si>
  <si>
    <t>=IF(AND($M5214&gt;=$S$16,$M5214&lt;=$S$18),U5214,0)</t>
  </si>
  <si>
    <t>=IF($M5214&lt;=$T$18,U5214,0)</t>
  </si>
  <si>
    <t>="""NAV Direct"",""CRONUS JetCorp USA"",""18"",""1"",""C100141"""</t>
  </si>
  <si>
    <t>=H5217</t>
  </si>
  <si>
    <t>=NF($C5217,"1 No.")</t>
  </si>
  <si>
    <t>=NF($C5217,"1 No.")&amp;"  -  "&amp;NF($C5217,"2 Name")</t>
  </si>
  <si>
    <t>=IFERROR(O5217/NF(C5217,"Credit Limit (LCY)"),"")</t>
  </si>
  <si>
    <t>=SUBTOTAL(3,L5218:L5315)</t>
  </si>
  <si>
    <t>=SUBTOTAL(9,O5218:O5315)</t>
  </si>
  <si>
    <t>=SUBTOTAL(9,P5218:P5315)</t>
  </si>
  <si>
    <t>=SUBTOTAL(9,Q5218:Q5315)</t>
  </si>
  <si>
    <t>=SUBTOTAL(9,R5218:R5315)</t>
  </si>
  <si>
    <t>=SUBTOTAL(9,S5218:S5315)</t>
  </si>
  <si>
    <t>=SUBTOTAL(9,T5218:T5315)</t>
  </si>
  <si>
    <t>=C5217</t>
  </si>
  <si>
    <t>=E5217</t>
  </si>
  <si>
    <t>="Contact: "&amp;NF($C5218,"8 Contact")</t>
  </si>
  <si>
    <t>=C5218</t>
  </si>
  <si>
    <t>=E5218</t>
  </si>
  <si>
    <t>=NF($C5219,"102 E-Mail")</t>
  </si>
  <si>
    <t>=NL("Rows","21 Cust. Ledger Entry",,"3 Customer No.","@@"&amp;$E5221,"16 Remaining Amt. (LCY)","&lt;&gt;0")</t>
  </si>
  <si>
    <t>=E5219</t>
  </si>
  <si>
    <t>=StartDate-$M5221+1</t>
  </si>
  <si>
    <t>=SUM(P5221:T5221)</t>
  </si>
  <si>
    <t>=IF($M5221&gt;=$P$18,U5221,0)</t>
  </si>
  <si>
    <t>=IF(AND($M5221&gt;=$Q$16,$M5221&lt;=$Q$18),U5221,0)</t>
  </si>
  <si>
    <t>=IF(AND($M5221&gt;=$R$16,$M5221&lt;=$R$18),U5221,0)</t>
  </si>
  <si>
    <t>=IF(AND($M5221&gt;=$S$16,$M5221&lt;=$S$18),U5221,0)</t>
  </si>
  <si>
    <t>=IF($M5221&lt;=$T$18,U5221,0)</t>
  </si>
  <si>
    <t>="""NAV Direct"",""CRONUS JetCorp USA"",""21"",""1"",""130750"""</t>
  </si>
  <si>
    <t>=E5220</t>
  </si>
  <si>
    <t>=StartDate-$M5222+1</t>
  </si>
  <si>
    <t>=SUM(P5222:T5222)</t>
  </si>
  <si>
    <t>=IF($M5222&gt;=$P$18,U5222,0)</t>
  </si>
  <si>
    <t>=IF(AND($M5222&gt;=$Q$16,$M5222&lt;=$Q$18),U5222,0)</t>
  </si>
  <si>
    <t>=IF(AND($M5222&gt;=$R$16,$M5222&lt;=$R$18),U5222,0)</t>
  </si>
  <si>
    <t>=IF(AND($M5222&gt;=$S$16,$M5222&lt;=$S$18),U5222,0)</t>
  </si>
  <si>
    <t>=IF($M5222&lt;=$T$18,U5222,0)</t>
  </si>
  <si>
    <t>="""NAV Direct"",""CRONUS JetCorp USA"",""21"",""1"",""130805"""</t>
  </si>
  <si>
    <t>=E5221</t>
  </si>
  <si>
    <t>=StartDate-$M5223+1</t>
  </si>
  <si>
    <t>=SUM(P5223:T5223)</t>
  </si>
  <si>
    <t>=IF($M5223&gt;=$P$18,U5223,0)</t>
  </si>
  <si>
    <t>=IF(AND($M5223&gt;=$Q$16,$M5223&lt;=$Q$18),U5223,0)</t>
  </si>
  <si>
    <t>=IF(AND($M5223&gt;=$R$16,$M5223&lt;=$R$18),U5223,0)</t>
  </si>
  <si>
    <t>=IF(AND($M5223&gt;=$S$16,$M5223&lt;=$S$18),U5223,0)</t>
  </si>
  <si>
    <t>=IF($M5223&lt;=$T$18,U5223,0)</t>
  </si>
  <si>
    <t>="""NAV Direct"",""CRONUS JetCorp USA"",""21"",""1"",""130925"""</t>
  </si>
  <si>
    <t>=E5222</t>
  </si>
  <si>
    <t>=StartDate-$M5224+1</t>
  </si>
  <si>
    <t>=SUM(P5224:T5224)</t>
  </si>
  <si>
    <t>=IF($M5224&gt;=$P$18,U5224,0)</t>
  </si>
  <si>
    <t>=IF(AND($M5224&gt;=$Q$16,$M5224&lt;=$Q$18),U5224,0)</t>
  </si>
  <si>
    <t>=IF(AND($M5224&gt;=$R$16,$M5224&lt;=$R$18),U5224,0)</t>
  </si>
  <si>
    <t>=IF(AND($M5224&gt;=$S$16,$M5224&lt;=$S$18),U5224,0)</t>
  </si>
  <si>
    <t>=IF($M5224&lt;=$T$18,U5224,0)</t>
  </si>
  <si>
    <t>="""NAV Direct"",""CRONUS JetCorp USA"",""21"",""1"",""131122"""</t>
  </si>
  <si>
    <t>=E5223</t>
  </si>
  <si>
    <t>=StartDate-$M5225+1</t>
  </si>
  <si>
    <t>=SUM(P5225:T5225)</t>
  </si>
  <si>
    <t>=IF($M5225&gt;=$P$18,U5225,0)</t>
  </si>
  <si>
    <t>=IF(AND($M5225&gt;=$Q$16,$M5225&lt;=$Q$18),U5225,0)</t>
  </si>
  <si>
    <t>=IF(AND($M5225&gt;=$R$16,$M5225&lt;=$R$18),U5225,0)</t>
  </si>
  <si>
    <t>=IF(AND($M5225&gt;=$S$16,$M5225&lt;=$S$18),U5225,0)</t>
  </si>
  <si>
    <t>=IF($M5225&lt;=$T$18,U5225,0)</t>
  </si>
  <si>
    <t>="""NAV Direct"",""CRONUS JetCorp USA"",""21"",""1"",""131539"""</t>
  </si>
  <si>
    <t>=E5224</t>
  </si>
  <si>
    <t>=StartDate-$M5226+1</t>
  </si>
  <si>
    <t>=SUM(P5226:T5226)</t>
  </si>
  <si>
    <t>=IF($M5226&gt;=$P$18,U5226,0)</t>
  </si>
  <si>
    <t>=IF(AND($M5226&gt;=$Q$16,$M5226&lt;=$Q$18),U5226,0)</t>
  </si>
  <si>
    <t>=IF(AND($M5226&gt;=$R$16,$M5226&lt;=$R$18),U5226,0)</t>
  </si>
  <si>
    <t>=IF(AND($M5226&gt;=$S$16,$M5226&lt;=$S$18),U5226,0)</t>
  </si>
  <si>
    <t>=IF($M5226&lt;=$T$18,U5226,0)</t>
  </si>
  <si>
    <t>="""NAV Direct"",""CRONUS JetCorp USA"",""21"",""1"",""131592"""</t>
  </si>
  <si>
    <t>=E5225</t>
  </si>
  <si>
    <t>=StartDate-$M5227+1</t>
  </si>
  <si>
    <t>=SUM(P5227:T5227)</t>
  </si>
  <si>
    <t>=IF($M5227&gt;=$P$18,U5227,0)</t>
  </si>
  <si>
    <t>=IF(AND($M5227&gt;=$Q$16,$M5227&lt;=$Q$18),U5227,0)</t>
  </si>
  <si>
    <t>=IF(AND($M5227&gt;=$R$16,$M5227&lt;=$R$18),U5227,0)</t>
  </si>
  <si>
    <t>=IF(AND($M5227&gt;=$S$16,$M5227&lt;=$S$18),U5227,0)</t>
  </si>
  <si>
    <t>=IF($M5227&lt;=$T$18,U5227,0)</t>
  </si>
  <si>
    <t>="""NAV Direct"",""CRONUS JetCorp USA"",""21"",""1"",""132038"""</t>
  </si>
  <si>
    <t>=E5226</t>
  </si>
  <si>
    <t>=StartDate-$M5228+1</t>
  </si>
  <si>
    <t>=SUM(P5228:T5228)</t>
  </si>
  <si>
    <t>=IF($M5228&gt;=$P$18,U5228,0)</t>
  </si>
  <si>
    <t>=IF(AND($M5228&gt;=$Q$16,$M5228&lt;=$Q$18),U5228,0)</t>
  </si>
  <si>
    <t>=IF(AND($M5228&gt;=$R$16,$M5228&lt;=$R$18),U5228,0)</t>
  </si>
  <si>
    <t>=IF(AND($M5228&gt;=$S$16,$M5228&lt;=$S$18),U5228,0)</t>
  </si>
  <si>
    <t>=IF($M5228&lt;=$T$18,U5228,0)</t>
  </si>
  <si>
    <t>="""NAV Direct"",""CRONUS JetCorp USA"",""21"",""1"",""383787"""</t>
  </si>
  <si>
    <t>=E5227</t>
  </si>
  <si>
    <t>=StartDate-$M5229+1</t>
  </si>
  <si>
    <t>=SUM(P5229:T5229)</t>
  </si>
  <si>
    <t>=IF($M5229&gt;=$P$18,U5229,0)</t>
  </si>
  <si>
    <t>=IF(AND($M5229&gt;=$Q$16,$M5229&lt;=$Q$18),U5229,0)</t>
  </si>
  <si>
    <t>=IF(AND($M5229&gt;=$R$16,$M5229&lt;=$R$18),U5229,0)</t>
  </si>
  <si>
    <t>=IF(AND($M5229&gt;=$S$16,$M5229&lt;=$S$18),U5229,0)</t>
  </si>
  <si>
    <t>=IF($M5229&lt;=$T$18,U5229,0)</t>
  </si>
  <si>
    <t>=E5228</t>
  </si>
  <si>
    <t>=StartDate-$M5230+1</t>
  </si>
  <si>
    <t>=SUM(P5230:T5230)</t>
  </si>
  <si>
    <t>=IF($M5230&gt;=$P$18,U5230,0)</t>
  </si>
  <si>
    <t>=IF(AND($M5230&gt;=$Q$16,$M5230&lt;=$Q$18),U5230,0)</t>
  </si>
  <si>
    <t>=IF(AND($M5230&gt;=$R$16,$M5230&lt;=$R$18),U5230,0)</t>
  </si>
  <si>
    <t>=IF(AND($M5230&gt;=$S$16,$M5230&lt;=$S$18),U5230,0)</t>
  </si>
  <si>
    <t>=IF($M5230&lt;=$T$18,U5230,0)</t>
  </si>
  <si>
    <t>="""NAV Direct"",""CRONUS JetCorp USA"",""21"",""1"",""383999"""</t>
  </si>
  <si>
    <t>=E5229</t>
  </si>
  <si>
    <t>=StartDate-$M5231+1</t>
  </si>
  <si>
    <t>=SUM(P5231:T5231)</t>
  </si>
  <si>
    <t>=IF($M5231&gt;=$P$18,U5231,0)</t>
  </si>
  <si>
    <t>=IF(AND($M5231&gt;=$Q$16,$M5231&lt;=$Q$18),U5231,0)</t>
  </si>
  <si>
    <t>=IF(AND($M5231&gt;=$R$16,$M5231&lt;=$R$18),U5231,0)</t>
  </si>
  <si>
    <t>=IF(AND($M5231&gt;=$S$16,$M5231&lt;=$S$18),U5231,0)</t>
  </si>
  <si>
    <t>=IF($M5231&lt;=$T$18,U5231,0)</t>
  </si>
  <si>
    <t>="""NAV Direct"",""CRONUS JetCorp USA"",""21"",""1"",""384121"""</t>
  </si>
  <si>
    <t>=E5230</t>
  </si>
  <si>
    <t>=StartDate-$M5232+1</t>
  </si>
  <si>
    <t>=SUM(P5232:T5232)</t>
  </si>
  <si>
    <t>=IF($M5232&gt;=$P$18,U5232,0)</t>
  </si>
  <si>
    <t>=IF(AND($M5232&gt;=$Q$16,$M5232&lt;=$Q$18),U5232,0)</t>
  </si>
  <si>
    <t>=IF(AND($M5232&gt;=$R$16,$M5232&lt;=$R$18),U5232,0)</t>
  </si>
  <si>
    <t>=IF(AND($M5232&gt;=$S$16,$M5232&lt;=$S$18),U5232,0)</t>
  </si>
  <si>
    <t>=IF($M5232&lt;=$T$18,U5232,0)</t>
  </si>
  <si>
    <t>="""NAV Direct"",""CRONUS JetCorp USA"",""21"",""1"",""384233"""</t>
  </si>
  <si>
    <t>=E5231</t>
  </si>
  <si>
    <t>=StartDate-$M5233+1</t>
  </si>
  <si>
    <t>=SUM(P5233:T5233)</t>
  </si>
  <si>
    <t>=IF($M5233&gt;=$P$18,U5233,0)</t>
  </si>
  <si>
    <t>=IF(AND($M5233&gt;=$Q$16,$M5233&lt;=$Q$18),U5233,0)</t>
  </si>
  <si>
    <t>=IF(AND($M5233&gt;=$R$16,$M5233&lt;=$R$18),U5233,0)</t>
  </si>
  <si>
    <t>=IF(AND($M5233&gt;=$S$16,$M5233&lt;=$S$18),U5233,0)</t>
  </si>
  <si>
    <t>=IF($M5233&lt;=$T$18,U5233,0)</t>
  </si>
  <si>
    <t>="""NAV Direct"",""CRONUS JetCorp USA"",""21"",""1"",""384922"""</t>
  </si>
  <si>
    <t>=E5232</t>
  </si>
  <si>
    <t>=StartDate-$M5234+1</t>
  </si>
  <si>
    <t>=SUM(P5234:T5234)</t>
  </si>
  <si>
    <t>=IF($M5234&gt;=$P$18,U5234,0)</t>
  </si>
  <si>
    <t>=IF(AND($M5234&gt;=$Q$16,$M5234&lt;=$Q$18),U5234,0)</t>
  </si>
  <si>
    <t>=IF(AND($M5234&gt;=$R$16,$M5234&lt;=$R$18),U5234,0)</t>
  </si>
  <si>
    <t>=IF(AND($M5234&gt;=$S$16,$M5234&lt;=$S$18),U5234,0)</t>
  </si>
  <si>
    <t>=IF($M5234&lt;=$T$18,U5234,0)</t>
  </si>
  <si>
    <t>="""NAV Direct"",""CRONUS JetCorp USA"",""21"",""1"",""385016"""</t>
  </si>
  <si>
    <t>=E5233</t>
  </si>
  <si>
    <t>=StartDate-$M5235+1</t>
  </si>
  <si>
    <t>=SUM(P5235:T5235)</t>
  </si>
  <si>
    <t>=IF($M5235&gt;=$P$18,U5235,0)</t>
  </si>
  <si>
    <t>=IF(AND($M5235&gt;=$Q$16,$M5235&lt;=$Q$18),U5235,0)</t>
  </si>
  <si>
    <t>=IF(AND($M5235&gt;=$R$16,$M5235&lt;=$R$18),U5235,0)</t>
  </si>
  <si>
    <t>=IF(AND($M5235&gt;=$S$16,$M5235&lt;=$S$18),U5235,0)</t>
  </si>
  <si>
    <t>=IF($M5235&lt;=$T$18,U5235,0)</t>
  </si>
  <si>
    <t>="""NAV Direct"",""CRONUS JetCorp USA"",""21"",""1"",""385083"""</t>
  </si>
  <si>
    <t>=E5234</t>
  </si>
  <si>
    <t>=StartDate-$M5236+1</t>
  </si>
  <si>
    <t>=SUM(P5236:T5236)</t>
  </si>
  <si>
    <t>=IF($M5236&gt;=$P$18,U5236,0)</t>
  </si>
  <si>
    <t>=IF(AND($M5236&gt;=$Q$16,$M5236&lt;=$Q$18),U5236,0)</t>
  </si>
  <si>
    <t>=IF(AND($M5236&gt;=$R$16,$M5236&lt;=$R$18),U5236,0)</t>
  </si>
  <si>
    <t>=IF(AND($M5236&gt;=$S$16,$M5236&lt;=$S$18),U5236,0)</t>
  </si>
  <si>
    <t>=IF($M5236&lt;=$T$18,U5236,0)</t>
  </si>
  <si>
    <t>="""NAV Direct"",""CRONUS JetCorp USA"",""21"",""1"",""385144"""</t>
  </si>
  <si>
    <t>=E5235</t>
  </si>
  <si>
    <t>=StartDate-$M5237+1</t>
  </si>
  <si>
    <t>=SUM(P5237:T5237)</t>
  </si>
  <si>
    <t>=IF($M5237&gt;=$P$18,U5237,0)</t>
  </si>
  <si>
    <t>=IF(AND($M5237&gt;=$Q$16,$M5237&lt;=$Q$18),U5237,0)</t>
  </si>
  <si>
    <t>=IF(AND($M5237&gt;=$R$16,$M5237&lt;=$R$18),U5237,0)</t>
  </si>
  <si>
    <t>=IF(AND($M5237&gt;=$S$16,$M5237&lt;=$S$18),U5237,0)</t>
  </si>
  <si>
    <t>=IF($M5237&lt;=$T$18,U5237,0)</t>
  </si>
  <si>
    <t>="""NAV Direct"",""CRONUS JetCorp USA"",""21"",""1"",""385324"""</t>
  </si>
  <si>
    <t>=E5236</t>
  </si>
  <si>
    <t>=StartDate-$M5238+1</t>
  </si>
  <si>
    <t>=SUM(P5238:T5238)</t>
  </si>
  <si>
    <t>=IF($M5238&gt;=$P$18,U5238,0)</t>
  </si>
  <si>
    <t>=IF(AND($M5238&gt;=$Q$16,$M5238&lt;=$Q$18),U5238,0)</t>
  </si>
  <si>
    <t>=IF(AND($M5238&gt;=$R$16,$M5238&lt;=$R$18),U5238,0)</t>
  </si>
  <si>
    <t>=IF(AND($M5238&gt;=$S$16,$M5238&lt;=$S$18),U5238,0)</t>
  </si>
  <si>
    <t>=IF($M5238&lt;=$T$18,U5238,0)</t>
  </si>
  <si>
    <t>="""NAV Direct"",""CRONUS JetCorp USA"",""21"",""1"",""385685"""</t>
  </si>
  <si>
    <t>=E5237</t>
  </si>
  <si>
    <t>=StartDate-$M5239+1</t>
  </si>
  <si>
    <t>=SUM(P5239:T5239)</t>
  </si>
  <si>
    <t>=IF($M5239&gt;=$P$18,U5239,0)</t>
  </si>
  <si>
    <t>=IF(AND($M5239&gt;=$Q$16,$M5239&lt;=$Q$18),U5239,0)</t>
  </si>
  <si>
    <t>=IF(AND($M5239&gt;=$R$16,$M5239&lt;=$R$18),U5239,0)</t>
  </si>
  <si>
    <t>=IF(AND($M5239&gt;=$S$16,$M5239&lt;=$S$18),U5239,0)</t>
  </si>
  <si>
    <t>=IF($M5239&lt;=$T$18,U5239,0)</t>
  </si>
  <si>
    <t>="""NAV Direct"",""CRONUS JetCorp USA"",""21"",""1"",""385995"""</t>
  </si>
  <si>
    <t>=E5238</t>
  </si>
  <si>
    <t>=StartDate-$M5240+1</t>
  </si>
  <si>
    <t>=SUM(P5240:T5240)</t>
  </si>
  <si>
    <t>=IF($M5240&gt;=$P$18,U5240,0)</t>
  </si>
  <si>
    <t>=IF(AND($M5240&gt;=$Q$16,$M5240&lt;=$Q$18),U5240,0)</t>
  </si>
  <si>
    <t>=IF(AND($M5240&gt;=$R$16,$M5240&lt;=$R$18),U5240,0)</t>
  </si>
  <si>
    <t>=IF(AND($M5240&gt;=$S$16,$M5240&lt;=$S$18),U5240,0)</t>
  </si>
  <si>
    <t>=IF($M5240&lt;=$T$18,U5240,0)</t>
  </si>
  <si>
    <t>="""NAV Direct"",""CRONUS JetCorp USA"",""21"",""1"",""386136"""</t>
  </si>
  <si>
    <t>=E5239</t>
  </si>
  <si>
    <t>=StartDate-$M5241+1</t>
  </si>
  <si>
    <t>=SUM(P5241:T5241)</t>
  </si>
  <si>
    <t>=IF($M5241&gt;=$P$18,U5241,0)</t>
  </si>
  <si>
    <t>=IF(AND($M5241&gt;=$Q$16,$M5241&lt;=$Q$18),U5241,0)</t>
  </si>
  <si>
    <t>=IF(AND($M5241&gt;=$R$16,$M5241&lt;=$R$18),U5241,0)</t>
  </si>
  <si>
    <t>=IF(AND($M5241&gt;=$S$16,$M5241&lt;=$S$18),U5241,0)</t>
  </si>
  <si>
    <t>=IF($M5241&lt;=$T$18,U5241,0)</t>
  </si>
  <si>
    <t>="""NAV Direct"",""CRONUS JetCorp USA"",""21"",""1"",""386312"""</t>
  </si>
  <si>
    <t>=E5240</t>
  </si>
  <si>
    <t>=StartDate-$M5242+1</t>
  </si>
  <si>
    <t>=SUM(P5242:T5242)</t>
  </si>
  <si>
    <t>=IF($M5242&gt;=$P$18,U5242,0)</t>
  </si>
  <si>
    <t>=IF(AND($M5242&gt;=$Q$16,$M5242&lt;=$Q$18),U5242,0)</t>
  </si>
  <si>
    <t>=IF(AND($M5242&gt;=$R$16,$M5242&lt;=$R$18),U5242,0)</t>
  </si>
  <si>
    <t>=IF(AND($M5242&gt;=$S$16,$M5242&lt;=$S$18),U5242,0)</t>
  </si>
  <si>
    <t>=IF($M5242&lt;=$T$18,U5242,0)</t>
  </si>
  <si>
    <t>="""NAV Direct"",""CRONUS JetCorp USA"",""21"",""1"",""386663"""</t>
  </si>
  <si>
    <t>=E5241</t>
  </si>
  <si>
    <t>=StartDate-$M5243+1</t>
  </si>
  <si>
    <t>=SUM(P5243:T5243)</t>
  </si>
  <si>
    <t>=IF($M5243&gt;=$P$18,U5243,0)</t>
  </si>
  <si>
    <t>=IF(AND($M5243&gt;=$Q$16,$M5243&lt;=$Q$18),U5243,0)</t>
  </si>
  <si>
    <t>=IF(AND($M5243&gt;=$R$16,$M5243&lt;=$R$18),U5243,0)</t>
  </si>
  <si>
    <t>=IF(AND($M5243&gt;=$S$16,$M5243&lt;=$S$18),U5243,0)</t>
  </si>
  <si>
    <t>=IF($M5243&lt;=$T$18,U5243,0)</t>
  </si>
  <si>
    <t>="""NAV Direct"",""CRONUS JetCorp USA"",""21"",""1"",""386706"""</t>
  </si>
  <si>
    <t>=E5242</t>
  </si>
  <si>
    <t>=StartDate-$M5244+1</t>
  </si>
  <si>
    <t>=SUM(P5244:T5244)</t>
  </si>
  <si>
    <t>=IF($M5244&gt;=$P$18,U5244,0)</t>
  </si>
  <si>
    <t>=IF(AND($M5244&gt;=$Q$16,$M5244&lt;=$Q$18),U5244,0)</t>
  </si>
  <si>
    <t>=IF(AND($M5244&gt;=$R$16,$M5244&lt;=$R$18),U5244,0)</t>
  </si>
  <si>
    <t>=IF(AND($M5244&gt;=$S$16,$M5244&lt;=$S$18),U5244,0)</t>
  </si>
  <si>
    <t>=IF($M5244&lt;=$T$18,U5244,0)</t>
  </si>
  <si>
    <t>="""NAV Direct"",""CRONUS JetCorp USA"",""21"",""1"",""387371"""</t>
  </si>
  <si>
    <t>=E5243</t>
  </si>
  <si>
    <t>=StartDate-$M5245+1</t>
  </si>
  <si>
    <t>=SUM(P5245:T5245)</t>
  </si>
  <si>
    <t>=IF($M5245&gt;=$P$18,U5245,0)</t>
  </si>
  <si>
    <t>=IF(AND($M5245&gt;=$Q$16,$M5245&lt;=$Q$18),U5245,0)</t>
  </si>
  <si>
    <t>=IF(AND($M5245&gt;=$R$16,$M5245&lt;=$R$18),U5245,0)</t>
  </si>
  <si>
    <t>=IF(AND($M5245&gt;=$S$16,$M5245&lt;=$S$18),U5245,0)</t>
  </si>
  <si>
    <t>=IF($M5245&lt;=$T$18,U5245,0)</t>
  </si>
  <si>
    <t>="""NAV Direct"",""CRONUS JetCorp USA"",""21"",""1"",""387509"""</t>
  </si>
  <si>
    <t>=E5244</t>
  </si>
  <si>
    <t>=StartDate-$M5246+1</t>
  </si>
  <si>
    <t>=SUM(P5246:T5246)</t>
  </si>
  <si>
    <t>=IF($M5246&gt;=$P$18,U5246,0)</t>
  </si>
  <si>
    <t>=IF(AND($M5246&gt;=$Q$16,$M5246&lt;=$Q$18),U5246,0)</t>
  </si>
  <si>
    <t>=IF(AND($M5246&gt;=$R$16,$M5246&lt;=$R$18),U5246,0)</t>
  </si>
  <si>
    <t>=IF(AND($M5246&gt;=$S$16,$M5246&lt;=$S$18),U5246,0)</t>
  </si>
  <si>
    <t>=IF($M5246&lt;=$T$18,U5246,0)</t>
  </si>
  <si>
    <t>="""NAV Direct"",""CRONUS JetCorp USA"",""21"",""1"",""387789"""</t>
  </si>
  <si>
    <t>=E5245</t>
  </si>
  <si>
    <t>=StartDate-$M5247+1</t>
  </si>
  <si>
    <t>=SUM(P5247:T5247)</t>
  </si>
  <si>
    <t>=IF($M5247&gt;=$P$18,U5247,0)</t>
  </si>
  <si>
    <t>=IF(AND($M5247&gt;=$Q$16,$M5247&lt;=$Q$18),U5247,0)</t>
  </si>
  <si>
    <t>=IF(AND($M5247&gt;=$R$16,$M5247&lt;=$R$18),U5247,0)</t>
  </si>
  <si>
    <t>=IF(AND($M5247&gt;=$S$16,$M5247&lt;=$S$18),U5247,0)</t>
  </si>
  <si>
    <t>=IF($M5247&lt;=$T$18,U5247,0)</t>
  </si>
  <si>
    <t>="""NAV Direct"",""CRONUS JetCorp USA"",""21"",""1"",""387993"""</t>
  </si>
  <si>
    <t>=E5246</t>
  </si>
  <si>
    <t>=StartDate-$M5248+1</t>
  </si>
  <si>
    <t>=SUM(P5248:T5248)</t>
  </si>
  <si>
    <t>=IF($M5248&gt;=$P$18,U5248,0)</t>
  </si>
  <si>
    <t>=IF(AND($M5248&gt;=$Q$16,$M5248&lt;=$Q$18),U5248,0)</t>
  </si>
  <si>
    <t>=IF(AND($M5248&gt;=$R$16,$M5248&lt;=$R$18),U5248,0)</t>
  </si>
  <si>
    <t>=IF(AND($M5248&gt;=$S$16,$M5248&lt;=$S$18),U5248,0)</t>
  </si>
  <si>
    <t>=IF($M5248&lt;=$T$18,U5248,0)</t>
  </si>
  <si>
    <t>="""NAV Direct"",""CRONUS JetCorp USA"",""21"",""1"",""389148"""</t>
  </si>
  <si>
    <t>=E5247</t>
  </si>
  <si>
    <t>=StartDate-$M5249+1</t>
  </si>
  <si>
    <t>=SUM(P5249:T5249)</t>
  </si>
  <si>
    <t>=IF($M5249&gt;=$P$18,U5249,0)</t>
  </si>
  <si>
    <t>=IF(AND($M5249&gt;=$Q$16,$M5249&lt;=$Q$18),U5249,0)</t>
  </si>
  <si>
    <t>=IF(AND($M5249&gt;=$R$16,$M5249&lt;=$R$18),U5249,0)</t>
  </si>
  <si>
    <t>=IF(AND($M5249&gt;=$S$16,$M5249&lt;=$S$18),U5249,0)</t>
  </si>
  <si>
    <t>=IF($M5249&lt;=$T$18,U5249,0)</t>
  </si>
  <si>
    <t>="""NAV Direct"",""CRONUS JetCorp USA"",""21"",""1"",""389423"""</t>
  </si>
  <si>
    <t>=E5248</t>
  </si>
  <si>
    <t>=StartDate-$M5250+1</t>
  </si>
  <si>
    <t>=SUM(P5250:T5250)</t>
  </si>
  <si>
    <t>=IF($M5250&gt;=$P$18,U5250,0)</t>
  </si>
  <si>
    <t>=IF(AND($M5250&gt;=$Q$16,$M5250&lt;=$Q$18),U5250,0)</t>
  </si>
  <si>
    <t>=IF(AND($M5250&gt;=$R$16,$M5250&lt;=$R$18),U5250,0)</t>
  </si>
  <si>
    <t>=IF(AND($M5250&gt;=$S$16,$M5250&lt;=$S$18),U5250,0)</t>
  </si>
  <si>
    <t>=IF($M5250&lt;=$T$18,U5250,0)</t>
  </si>
  <si>
    <t>="""NAV Direct"",""CRONUS JetCorp USA"",""21"",""1"",""389521"""</t>
  </si>
  <si>
    <t>=E5249</t>
  </si>
  <si>
    <t>=StartDate-$M5251+1</t>
  </si>
  <si>
    <t>=SUM(P5251:T5251)</t>
  </si>
  <si>
    <t>=IF($M5251&gt;=$P$18,U5251,0)</t>
  </si>
  <si>
    <t>=IF(AND($M5251&gt;=$Q$16,$M5251&lt;=$Q$18),U5251,0)</t>
  </si>
  <si>
    <t>=IF(AND($M5251&gt;=$R$16,$M5251&lt;=$R$18),U5251,0)</t>
  </si>
  <si>
    <t>=IF(AND($M5251&gt;=$S$16,$M5251&lt;=$S$18),U5251,0)</t>
  </si>
  <si>
    <t>=IF($M5251&lt;=$T$18,U5251,0)</t>
  </si>
  <si>
    <t>="""NAV Direct"",""CRONUS JetCorp USA"",""21"",""1"",""389830"""</t>
  </si>
  <si>
    <t>=E5250</t>
  </si>
  <si>
    <t>=StartDate-$M5252+1</t>
  </si>
  <si>
    <t>=SUM(P5252:T5252)</t>
  </si>
  <si>
    <t>=IF($M5252&gt;=$P$18,U5252,0)</t>
  </si>
  <si>
    <t>=IF(AND($M5252&gt;=$Q$16,$M5252&lt;=$Q$18),U5252,0)</t>
  </si>
  <si>
    <t>=IF(AND($M5252&gt;=$R$16,$M5252&lt;=$R$18),U5252,0)</t>
  </si>
  <si>
    <t>=IF(AND($M5252&gt;=$S$16,$M5252&lt;=$S$18),U5252,0)</t>
  </si>
  <si>
    <t>=IF($M5252&lt;=$T$18,U5252,0)</t>
  </si>
  <si>
    <t>="""NAV Direct"",""CRONUS JetCorp USA"",""21"",""1"",""390138"""</t>
  </si>
  <si>
    <t>=E5251</t>
  </si>
  <si>
    <t>=StartDate-$M5253+1</t>
  </si>
  <si>
    <t>=SUM(P5253:T5253)</t>
  </si>
  <si>
    <t>=IF($M5253&gt;=$P$18,U5253,0)</t>
  </si>
  <si>
    <t>=IF(AND($M5253&gt;=$Q$16,$M5253&lt;=$Q$18),U5253,0)</t>
  </si>
  <si>
    <t>=IF(AND($M5253&gt;=$R$16,$M5253&lt;=$R$18),U5253,0)</t>
  </si>
  <si>
    <t>=IF(AND($M5253&gt;=$S$16,$M5253&lt;=$S$18),U5253,0)</t>
  </si>
  <si>
    <t>=IF($M5253&lt;=$T$18,U5253,0)</t>
  </si>
  <si>
    <t>="""NAV Direct"",""CRONUS JetCorp USA"",""21"",""1"",""390218"""</t>
  </si>
  <si>
    <t>=E5252</t>
  </si>
  <si>
    <t>=StartDate-$M5254+1</t>
  </si>
  <si>
    <t>=SUM(P5254:T5254)</t>
  </si>
  <si>
    <t>=IF($M5254&gt;=$P$18,U5254,0)</t>
  </si>
  <si>
    <t>=IF(AND($M5254&gt;=$Q$16,$M5254&lt;=$Q$18),U5254,0)</t>
  </si>
  <si>
    <t>=IF(AND($M5254&gt;=$R$16,$M5254&lt;=$R$18),U5254,0)</t>
  </si>
  <si>
    <t>=IF(AND($M5254&gt;=$S$16,$M5254&lt;=$S$18),U5254,0)</t>
  </si>
  <si>
    <t>=IF($M5254&lt;=$T$18,U5254,0)</t>
  </si>
  <si>
    <t>="""NAV Direct"",""CRONUS JetCorp USA"",""21"",""1"",""390535"""</t>
  </si>
  <si>
    <t>=E5253</t>
  </si>
  <si>
    <t>=StartDate-$M5255+1</t>
  </si>
  <si>
    <t>=SUM(P5255:T5255)</t>
  </si>
  <si>
    <t>=IF($M5255&gt;=$P$18,U5255,0)</t>
  </si>
  <si>
    <t>=IF(AND($M5255&gt;=$Q$16,$M5255&lt;=$Q$18),U5255,0)</t>
  </si>
  <si>
    <t>=IF(AND($M5255&gt;=$R$16,$M5255&lt;=$R$18),U5255,0)</t>
  </si>
  <si>
    <t>=IF(AND($M5255&gt;=$S$16,$M5255&lt;=$S$18),U5255,0)</t>
  </si>
  <si>
    <t>=IF($M5255&lt;=$T$18,U5255,0)</t>
  </si>
  <si>
    <t>="""NAV Direct"",""CRONUS JetCorp USA"",""21"",""1"",""390609"""</t>
  </si>
  <si>
    <t>=E5254</t>
  </si>
  <si>
    <t>=StartDate-$M5256+1</t>
  </si>
  <si>
    <t>=SUM(P5256:T5256)</t>
  </si>
  <si>
    <t>=IF($M5256&gt;=$P$18,U5256,0)</t>
  </si>
  <si>
    <t>=IF(AND($M5256&gt;=$Q$16,$M5256&lt;=$Q$18),U5256,0)</t>
  </si>
  <si>
    <t>=IF(AND($M5256&gt;=$R$16,$M5256&lt;=$R$18),U5256,0)</t>
  </si>
  <si>
    <t>=IF(AND($M5256&gt;=$S$16,$M5256&lt;=$S$18),U5256,0)</t>
  </si>
  <si>
    <t>=IF($M5256&lt;=$T$18,U5256,0)</t>
  </si>
  <si>
    <t>="""NAV Direct"",""CRONUS JetCorp USA"",""21"",""1"",""390988"""</t>
  </si>
  <si>
    <t>=E5255</t>
  </si>
  <si>
    <t>=StartDate-$M5257+1</t>
  </si>
  <si>
    <t>=SUM(P5257:T5257)</t>
  </si>
  <si>
    <t>=IF($M5257&gt;=$P$18,U5257,0)</t>
  </si>
  <si>
    <t>=IF(AND($M5257&gt;=$Q$16,$M5257&lt;=$Q$18),U5257,0)</t>
  </si>
  <si>
    <t>=IF(AND($M5257&gt;=$R$16,$M5257&lt;=$R$18),U5257,0)</t>
  </si>
  <si>
    <t>=IF(AND($M5257&gt;=$S$16,$M5257&lt;=$S$18),U5257,0)</t>
  </si>
  <si>
    <t>=IF($M5257&lt;=$T$18,U5257,0)</t>
  </si>
  <si>
    <t>="""NAV Direct"",""CRONUS JetCorp USA"",""21"",""1"",""391225"""</t>
  </si>
  <si>
    <t>=E5256</t>
  </si>
  <si>
    <t>=StartDate-$M5258+1</t>
  </si>
  <si>
    <t>=SUM(P5258:T5258)</t>
  </si>
  <si>
    <t>=IF($M5258&gt;=$P$18,U5258,0)</t>
  </si>
  <si>
    <t>=IF(AND($M5258&gt;=$Q$16,$M5258&lt;=$Q$18),U5258,0)</t>
  </si>
  <si>
    <t>=IF(AND($M5258&gt;=$R$16,$M5258&lt;=$R$18),U5258,0)</t>
  </si>
  <si>
    <t>=IF(AND($M5258&gt;=$S$16,$M5258&lt;=$S$18),U5258,0)</t>
  </si>
  <si>
    <t>=IF($M5258&lt;=$T$18,U5258,0)</t>
  </si>
  <si>
    <t>="""NAV Direct"",""CRONUS JetCorp USA"",""21"",""1"",""391745"""</t>
  </si>
  <si>
    <t>=E5257</t>
  </si>
  <si>
    <t>=StartDate-$M5259+1</t>
  </si>
  <si>
    <t>=SUM(P5259:T5259)</t>
  </si>
  <si>
    <t>=IF($M5259&gt;=$P$18,U5259,0)</t>
  </si>
  <si>
    <t>=IF(AND($M5259&gt;=$Q$16,$M5259&lt;=$Q$18),U5259,0)</t>
  </si>
  <si>
    <t>=IF(AND($M5259&gt;=$R$16,$M5259&lt;=$R$18),U5259,0)</t>
  </si>
  <si>
    <t>=IF(AND($M5259&gt;=$S$16,$M5259&lt;=$S$18),U5259,0)</t>
  </si>
  <si>
    <t>=IF($M5259&lt;=$T$18,U5259,0)</t>
  </si>
  <si>
    <t>="""NAV Direct"",""CRONUS JetCorp USA"",""21"",""1"",""391904"""</t>
  </si>
  <si>
    <t>=E5258</t>
  </si>
  <si>
    <t>=StartDate-$M5260+1</t>
  </si>
  <si>
    <t>=SUM(P5260:T5260)</t>
  </si>
  <si>
    <t>=IF($M5260&gt;=$P$18,U5260,0)</t>
  </si>
  <si>
    <t>=IF(AND($M5260&gt;=$Q$16,$M5260&lt;=$Q$18),U5260,0)</t>
  </si>
  <si>
    <t>=IF(AND($M5260&gt;=$R$16,$M5260&lt;=$R$18),U5260,0)</t>
  </si>
  <si>
    <t>=IF(AND($M5260&gt;=$S$16,$M5260&lt;=$S$18),U5260,0)</t>
  </si>
  <si>
    <t>=IF($M5260&lt;=$T$18,U5260,0)</t>
  </si>
  <si>
    <t>="""NAV Direct"",""CRONUS JetCorp USA"",""21"",""1"",""392010"""</t>
  </si>
  <si>
    <t>=E5259</t>
  </si>
  <si>
    <t>=StartDate-$M5261+1</t>
  </si>
  <si>
    <t>=SUM(P5261:T5261)</t>
  </si>
  <si>
    <t>=IF($M5261&gt;=$P$18,U5261,0)</t>
  </si>
  <si>
    <t>=IF(AND($M5261&gt;=$Q$16,$M5261&lt;=$Q$18),U5261,0)</t>
  </si>
  <si>
    <t>=IF(AND($M5261&gt;=$R$16,$M5261&lt;=$R$18),U5261,0)</t>
  </si>
  <si>
    <t>=IF(AND($M5261&gt;=$S$16,$M5261&lt;=$S$18),U5261,0)</t>
  </si>
  <si>
    <t>=IF($M5261&lt;=$T$18,U5261,0)</t>
  </si>
  <si>
    <t>="""NAV Direct"",""CRONUS JetCorp USA"",""21"",""1"",""392159"""</t>
  </si>
  <si>
    <t>=E5260</t>
  </si>
  <si>
    <t>=StartDate-$M5262+1</t>
  </si>
  <si>
    <t>=SUM(P5262:T5262)</t>
  </si>
  <si>
    <t>=IF($M5262&gt;=$P$18,U5262,0)</t>
  </si>
  <si>
    <t>=IF(AND($M5262&gt;=$Q$16,$M5262&lt;=$Q$18),U5262,0)</t>
  </si>
  <si>
    <t>=IF(AND($M5262&gt;=$R$16,$M5262&lt;=$R$18),U5262,0)</t>
  </si>
  <si>
    <t>=IF(AND($M5262&gt;=$S$16,$M5262&lt;=$S$18),U5262,0)</t>
  </si>
  <si>
    <t>=IF($M5262&lt;=$T$18,U5262,0)</t>
  </si>
  <si>
    <t>="""NAV Direct"",""CRONUS JetCorp USA"",""21"",""1"",""392214"""</t>
  </si>
  <si>
    <t>=E5261</t>
  </si>
  <si>
    <t>=StartDate-$M5263+1</t>
  </si>
  <si>
    <t>=SUM(P5263:T5263)</t>
  </si>
  <si>
    <t>=IF($M5263&gt;=$P$18,U5263,0)</t>
  </si>
  <si>
    <t>=IF(AND($M5263&gt;=$Q$16,$M5263&lt;=$Q$18),U5263,0)</t>
  </si>
  <si>
    <t>=IF(AND($M5263&gt;=$R$16,$M5263&lt;=$R$18),U5263,0)</t>
  </si>
  <si>
    <t>=IF(AND($M5263&gt;=$S$16,$M5263&lt;=$S$18),U5263,0)</t>
  </si>
  <si>
    <t>=IF($M5263&lt;=$T$18,U5263,0)</t>
  </si>
  <si>
    <t>="""NAV Direct"",""CRONUS JetCorp USA"",""21"",""1"",""392267"""</t>
  </si>
  <si>
    <t>=E5262</t>
  </si>
  <si>
    <t>=StartDate-$M5264+1</t>
  </si>
  <si>
    <t>=SUM(P5264:T5264)</t>
  </si>
  <si>
    <t>=IF($M5264&gt;=$P$18,U5264,0)</t>
  </si>
  <si>
    <t>=IF(AND($M5264&gt;=$Q$16,$M5264&lt;=$Q$18),U5264,0)</t>
  </si>
  <si>
    <t>=IF(AND($M5264&gt;=$R$16,$M5264&lt;=$R$18),U5264,0)</t>
  </si>
  <si>
    <t>=IF(AND($M5264&gt;=$S$16,$M5264&lt;=$S$18),U5264,0)</t>
  </si>
  <si>
    <t>=IF($M5264&lt;=$T$18,U5264,0)</t>
  </si>
  <si>
    <t>="""NAV Direct"",""CRONUS JetCorp USA"",""21"",""1"",""392389"""</t>
  </si>
  <si>
    <t>=E5263</t>
  </si>
  <si>
    <t>=StartDate-$M5265+1</t>
  </si>
  <si>
    <t>=SUM(P5265:T5265)</t>
  </si>
  <si>
    <t>=IF($M5265&gt;=$P$18,U5265,0)</t>
  </si>
  <si>
    <t>=IF(AND($M5265&gt;=$Q$16,$M5265&lt;=$Q$18),U5265,0)</t>
  </si>
  <si>
    <t>=IF(AND($M5265&gt;=$R$16,$M5265&lt;=$R$18),U5265,0)</t>
  </si>
  <si>
    <t>=IF(AND($M5265&gt;=$S$16,$M5265&lt;=$S$18),U5265,0)</t>
  </si>
  <si>
    <t>=IF($M5265&lt;=$T$18,U5265,0)</t>
  </si>
  <si>
    <t>="""NAV Direct"",""CRONUS JetCorp USA"",""21"",""1"",""392674"""</t>
  </si>
  <si>
    <t>=E5264</t>
  </si>
  <si>
    <t>=StartDate-$M5266+1</t>
  </si>
  <si>
    <t>=SUM(P5266:T5266)</t>
  </si>
  <si>
    <t>=IF($M5266&gt;=$P$18,U5266,0)</t>
  </si>
  <si>
    <t>=IF(AND($M5266&gt;=$Q$16,$M5266&lt;=$Q$18),U5266,0)</t>
  </si>
  <si>
    <t>=IF(AND($M5266&gt;=$R$16,$M5266&lt;=$R$18),U5266,0)</t>
  </si>
  <si>
    <t>=IF(AND($M5266&gt;=$S$16,$M5266&lt;=$S$18),U5266,0)</t>
  </si>
  <si>
    <t>=IF($M5266&lt;=$T$18,U5266,0)</t>
  </si>
  <si>
    <t>="""NAV Direct"",""CRONUS JetCorp USA"",""21"",""1"",""392817"""</t>
  </si>
  <si>
    <t>=E5265</t>
  </si>
  <si>
    <t>=StartDate-$M5267+1</t>
  </si>
  <si>
    <t>=SUM(P5267:T5267)</t>
  </si>
  <si>
    <t>=IF($M5267&gt;=$P$18,U5267,0)</t>
  </si>
  <si>
    <t>=IF(AND($M5267&gt;=$Q$16,$M5267&lt;=$Q$18),U5267,0)</t>
  </si>
  <si>
    <t>=IF(AND($M5267&gt;=$R$16,$M5267&lt;=$R$18),U5267,0)</t>
  </si>
  <si>
    <t>=IF(AND($M5267&gt;=$S$16,$M5267&lt;=$S$18),U5267,0)</t>
  </si>
  <si>
    <t>=IF($M5267&lt;=$T$18,U5267,0)</t>
  </si>
  <si>
    <t>="""NAV Direct"",""CRONUS JetCorp USA"",""21"",""1"",""393090"""</t>
  </si>
  <si>
    <t>=E5266</t>
  </si>
  <si>
    <t>=StartDate-$M5268+1</t>
  </si>
  <si>
    <t>=SUM(P5268:T5268)</t>
  </si>
  <si>
    <t>=IF($M5268&gt;=$P$18,U5268,0)</t>
  </si>
  <si>
    <t>=IF(AND($M5268&gt;=$Q$16,$M5268&lt;=$Q$18),U5268,0)</t>
  </si>
  <si>
    <t>=IF(AND($M5268&gt;=$R$16,$M5268&lt;=$R$18),U5268,0)</t>
  </si>
  <si>
    <t>=IF(AND($M5268&gt;=$S$16,$M5268&lt;=$S$18),U5268,0)</t>
  </si>
  <si>
    <t>=IF($M5268&lt;=$T$18,U5268,0)</t>
  </si>
  <si>
    <t>="""NAV Direct"",""CRONUS JetCorp USA"",""21"",""1"",""393548"""</t>
  </si>
  <si>
    <t>=E5267</t>
  </si>
  <si>
    <t>=StartDate-$M5269+1</t>
  </si>
  <si>
    <t>=SUM(P5269:T5269)</t>
  </si>
  <si>
    <t>=IF($M5269&gt;=$P$18,U5269,0)</t>
  </si>
  <si>
    <t>=IF(AND($M5269&gt;=$Q$16,$M5269&lt;=$Q$18),U5269,0)</t>
  </si>
  <si>
    <t>=IF(AND($M5269&gt;=$R$16,$M5269&lt;=$R$18),U5269,0)</t>
  </si>
  <si>
    <t>=IF(AND($M5269&gt;=$S$16,$M5269&lt;=$S$18),U5269,0)</t>
  </si>
  <si>
    <t>=IF($M5269&lt;=$T$18,U5269,0)</t>
  </si>
  <si>
    <t>="""NAV Direct"",""CRONUS JetCorp USA"",""21"",""1"",""393585"""</t>
  </si>
  <si>
    <t>=E5268</t>
  </si>
  <si>
    <t>=StartDate-$M5270+1</t>
  </si>
  <si>
    <t>=SUM(P5270:T5270)</t>
  </si>
  <si>
    <t>=IF($M5270&gt;=$P$18,U5270,0)</t>
  </si>
  <si>
    <t>=IF(AND($M5270&gt;=$Q$16,$M5270&lt;=$Q$18),U5270,0)</t>
  </si>
  <si>
    <t>=IF(AND($M5270&gt;=$R$16,$M5270&lt;=$R$18),U5270,0)</t>
  </si>
  <si>
    <t>=IF(AND($M5270&gt;=$S$16,$M5270&lt;=$S$18),U5270,0)</t>
  </si>
  <si>
    <t>=IF($M5270&lt;=$T$18,U5270,0)</t>
  </si>
  <si>
    <t>="""NAV Direct"",""CRONUS JetCorp USA"",""21"",""1"",""393819"""</t>
  </si>
  <si>
    <t>=E5269</t>
  </si>
  <si>
    <t>=StartDate-$M5271+1</t>
  </si>
  <si>
    <t>=SUM(P5271:T5271)</t>
  </si>
  <si>
    <t>=IF($M5271&gt;=$P$18,U5271,0)</t>
  </si>
  <si>
    <t>=IF(AND($M5271&gt;=$Q$16,$M5271&lt;=$Q$18),U5271,0)</t>
  </si>
  <si>
    <t>=IF(AND($M5271&gt;=$R$16,$M5271&lt;=$R$18),U5271,0)</t>
  </si>
  <si>
    <t>=IF(AND($M5271&gt;=$S$16,$M5271&lt;=$S$18),U5271,0)</t>
  </si>
  <si>
    <t>=IF($M5271&lt;=$T$18,U5271,0)</t>
  </si>
  <si>
    <t>="""NAV Direct"",""CRONUS JetCorp USA"",""21"",""1"",""394175"""</t>
  </si>
  <si>
    <t>=E5270</t>
  </si>
  <si>
    <t>=StartDate-$M5272+1</t>
  </si>
  <si>
    <t>=SUM(P5272:T5272)</t>
  </si>
  <si>
    <t>=IF($M5272&gt;=$P$18,U5272,0)</t>
  </si>
  <si>
    <t>=IF(AND($M5272&gt;=$Q$16,$M5272&lt;=$Q$18),U5272,0)</t>
  </si>
  <si>
    <t>=IF(AND($M5272&gt;=$R$16,$M5272&lt;=$R$18),U5272,0)</t>
  </si>
  <si>
    <t>=IF(AND($M5272&gt;=$S$16,$M5272&lt;=$S$18),U5272,0)</t>
  </si>
  <si>
    <t>=IF($M5272&lt;=$T$18,U5272,0)</t>
  </si>
  <si>
    <t>="""NAV Direct"",""CRONUS JetCorp USA"",""21"",""1"",""394210"""</t>
  </si>
  <si>
    <t>=E5271</t>
  </si>
  <si>
    <t>=StartDate-$M5273+1</t>
  </si>
  <si>
    <t>=SUM(P5273:T5273)</t>
  </si>
  <si>
    <t>=IF($M5273&gt;=$P$18,U5273,0)</t>
  </si>
  <si>
    <t>=IF(AND($M5273&gt;=$Q$16,$M5273&lt;=$Q$18),U5273,0)</t>
  </si>
  <si>
    <t>=IF(AND($M5273&gt;=$R$16,$M5273&lt;=$R$18),U5273,0)</t>
  </si>
  <si>
    <t>=IF(AND($M5273&gt;=$S$16,$M5273&lt;=$S$18),U5273,0)</t>
  </si>
  <si>
    <t>=IF($M5273&lt;=$T$18,U5273,0)</t>
  </si>
  <si>
    <t>="""NAV Direct"",""CRONUS JetCorp USA"",""21"",""1"",""394426"""</t>
  </si>
  <si>
    <t>=E5272</t>
  </si>
  <si>
    <t>=StartDate-$M5274+1</t>
  </si>
  <si>
    <t>=SUM(P5274:T5274)</t>
  </si>
  <si>
    <t>=IF($M5274&gt;=$P$18,U5274,0)</t>
  </si>
  <si>
    <t>=IF(AND($M5274&gt;=$Q$16,$M5274&lt;=$Q$18),U5274,0)</t>
  </si>
  <si>
    <t>=IF(AND($M5274&gt;=$R$16,$M5274&lt;=$R$18),U5274,0)</t>
  </si>
  <si>
    <t>=IF(AND($M5274&gt;=$S$16,$M5274&lt;=$S$18),U5274,0)</t>
  </si>
  <si>
    <t>=IF($M5274&lt;=$T$18,U5274,0)</t>
  </si>
  <si>
    <t>="""NAV Direct"",""CRONUS JetCorp USA"",""21"",""1"",""395052"""</t>
  </si>
  <si>
    <t>=E5273</t>
  </si>
  <si>
    <t>=StartDate-$M5275+1</t>
  </si>
  <si>
    <t>=SUM(P5275:T5275)</t>
  </si>
  <si>
    <t>=IF($M5275&gt;=$P$18,U5275,0)</t>
  </si>
  <si>
    <t>=IF(AND($M5275&gt;=$Q$16,$M5275&lt;=$Q$18),U5275,0)</t>
  </si>
  <si>
    <t>=IF(AND($M5275&gt;=$R$16,$M5275&lt;=$R$18),U5275,0)</t>
  </si>
  <si>
    <t>=IF(AND($M5275&gt;=$S$16,$M5275&lt;=$S$18),U5275,0)</t>
  </si>
  <si>
    <t>=IF($M5275&lt;=$T$18,U5275,0)</t>
  </si>
  <si>
    <t>="""NAV Direct"",""CRONUS JetCorp USA"",""21"",""1"",""395372"""</t>
  </si>
  <si>
    <t>=E5274</t>
  </si>
  <si>
    <t>=StartDate-$M5276+1</t>
  </si>
  <si>
    <t>=SUM(P5276:T5276)</t>
  </si>
  <si>
    <t>=IF($M5276&gt;=$P$18,U5276,0)</t>
  </si>
  <si>
    <t>=IF(AND($M5276&gt;=$Q$16,$M5276&lt;=$Q$18),U5276,0)</t>
  </si>
  <si>
    <t>=IF(AND($M5276&gt;=$R$16,$M5276&lt;=$R$18),U5276,0)</t>
  </si>
  <si>
    <t>=IF(AND($M5276&gt;=$S$16,$M5276&lt;=$S$18),U5276,0)</t>
  </si>
  <si>
    <t>=IF($M5276&lt;=$T$18,U5276,0)</t>
  </si>
  <si>
    <t>="""NAV Direct"",""CRONUS JetCorp USA"",""21"",""1"",""395594"""</t>
  </si>
  <si>
    <t>=E5275</t>
  </si>
  <si>
    <t>=StartDate-$M5277+1</t>
  </si>
  <si>
    <t>=SUM(P5277:T5277)</t>
  </si>
  <si>
    <t>=IF($M5277&gt;=$P$18,U5277,0)</t>
  </si>
  <si>
    <t>=IF(AND($M5277&gt;=$Q$16,$M5277&lt;=$Q$18),U5277,0)</t>
  </si>
  <si>
    <t>=IF(AND($M5277&gt;=$R$16,$M5277&lt;=$R$18),U5277,0)</t>
  </si>
  <si>
    <t>=IF(AND($M5277&gt;=$S$16,$M5277&lt;=$S$18),U5277,0)</t>
  </si>
  <si>
    <t>=IF($M5277&lt;=$T$18,U5277,0)</t>
  </si>
  <si>
    <t>="""NAV Direct"",""CRONUS JetCorp USA"",""21"",""1"",""395946"""</t>
  </si>
  <si>
    <t>=E5276</t>
  </si>
  <si>
    <t>=StartDate-$M5278+1</t>
  </si>
  <si>
    <t>=SUM(P5278:T5278)</t>
  </si>
  <si>
    <t>=IF($M5278&gt;=$P$18,U5278,0)</t>
  </si>
  <si>
    <t>=IF(AND($M5278&gt;=$Q$16,$M5278&lt;=$Q$18),U5278,0)</t>
  </si>
  <si>
    <t>=IF(AND($M5278&gt;=$R$16,$M5278&lt;=$R$18),U5278,0)</t>
  </si>
  <si>
    <t>=IF(AND($M5278&gt;=$S$16,$M5278&lt;=$S$18),U5278,0)</t>
  </si>
  <si>
    <t>=IF($M5278&lt;=$T$18,U5278,0)</t>
  </si>
  <si>
    <t>="""NAV Direct"",""CRONUS JetCorp USA"",""21"",""1"",""395989"""</t>
  </si>
  <si>
    <t>=E5277</t>
  </si>
  <si>
    <t>=StartDate-$M5279+1</t>
  </si>
  <si>
    <t>=SUM(P5279:T5279)</t>
  </si>
  <si>
    <t>=IF($M5279&gt;=$P$18,U5279,0)</t>
  </si>
  <si>
    <t>=IF(AND($M5279&gt;=$Q$16,$M5279&lt;=$Q$18),U5279,0)</t>
  </si>
  <si>
    <t>=IF(AND($M5279&gt;=$R$16,$M5279&lt;=$R$18),U5279,0)</t>
  </si>
  <si>
    <t>=IF(AND($M5279&gt;=$S$16,$M5279&lt;=$S$18),U5279,0)</t>
  </si>
  <si>
    <t>=IF($M5279&lt;=$T$18,U5279,0)</t>
  </si>
  <si>
    <t>="""NAV Direct"",""CRONUS JetCorp USA"",""21"",""1"",""396044"""</t>
  </si>
  <si>
    <t>=E5278</t>
  </si>
  <si>
    <t>=StartDate-$M5280+1</t>
  </si>
  <si>
    <t>=SUM(P5280:T5280)</t>
  </si>
  <si>
    <t>=IF($M5280&gt;=$P$18,U5280,0)</t>
  </si>
  <si>
    <t>=IF(AND($M5280&gt;=$Q$16,$M5280&lt;=$Q$18),U5280,0)</t>
  </si>
  <si>
    <t>=IF(AND($M5280&gt;=$R$16,$M5280&lt;=$R$18),U5280,0)</t>
  </si>
  <si>
    <t>=IF(AND($M5280&gt;=$S$16,$M5280&lt;=$S$18),U5280,0)</t>
  </si>
  <si>
    <t>=IF($M5280&lt;=$T$18,U5280,0)</t>
  </si>
  <si>
    <t>="""NAV Direct"",""CRONUS JetCorp USA"",""21"",""1"",""396276"""</t>
  </si>
  <si>
    <t>=E5279</t>
  </si>
  <si>
    <t>=StartDate-$M5281+1</t>
  </si>
  <si>
    <t>=SUM(P5281:T5281)</t>
  </si>
  <si>
    <t>=IF($M5281&gt;=$P$18,U5281,0)</t>
  </si>
  <si>
    <t>=IF(AND($M5281&gt;=$Q$16,$M5281&lt;=$Q$18),U5281,0)</t>
  </si>
  <si>
    <t>=IF(AND($M5281&gt;=$R$16,$M5281&lt;=$R$18),U5281,0)</t>
  </si>
  <si>
    <t>=IF(AND($M5281&gt;=$S$16,$M5281&lt;=$S$18),U5281,0)</t>
  </si>
  <si>
    <t>=IF($M5281&lt;=$T$18,U5281,0)</t>
  </si>
  <si>
    <t>="""NAV Direct"",""CRONUS JetCorp USA"",""21"",""1"",""396376"""</t>
  </si>
  <si>
    <t>=E5280</t>
  </si>
  <si>
    <t>=StartDate-$M5282+1</t>
  </si>
  <si>
    <t>=SUM(P5282:T5282)</t>
  </si>
  <si>
    <t>=IF($M5282&gt;=$P$18,U5282,0)</t>
  </si>
  <si>
    <t>=IF(AND($M5282&gt;=$Q$16,$M5282&lt;=$Q$18),U5282,0)</t>
  </si>
  <si>
    <t>=IF(AND($M5282&gt;=$R$16,$M5282&lt;=$R$18),U5282,0)</t>
  </si>
  <si>
    <t>=IF(AND($M5282&gt;=$S$16,$M5282&lt;=$S$18),U5282,0)</t>
  </si>
  <si>
    <t>=IF($M5282&lt;=$T$18,U5282,0)</t>
  </si>
  <si>
    <t>="""NAV Direct"",""CRONUS JetCorp USA"",""21"",""1"",""396631"""</t>
  </si>
  <si>
    <t>=E5281</t>
  </si>
  <si>
    <t>=StartDate-$M5283+1</t>
  </si>
  <si>
    <t>=SUM(P5283:T5283)</t>
  </si>
  <si>
    <t>=IF($M5283&gt;=$P$18,U5283,0)</t>
  </si>
  <si>
    <t>=IF(AND($M5283&gt;=$Q$16,$M5283&lt;=$Q$18),U5283,0)</t>
  </si>
  <si>
    <t>=IF(AND($M5283&gt;=$R$16,$M5283&lt;=$R$18),U5283,0)</t>
  </si>
  <si>
    <t>=IF(AND($M5283&gt;=$S$16,$M5283&lt;=$S$18),U5283,0)</t>
  </si>
  <si>
    <t>=IF($M5283&lt;=$T$18,U5283,0)</t>
  </si>
  <si>
    <t>="""NAV Direct"",""CRONUS JetCorp USA"",""21"",""1"",""396760"""</t>
  </si>
  <si>
    <t>=E5282</t>
  </si>
  <si>
    <t>=StartDate-$M5284+1</t>
  </si>
  <si>
    <t>=SUM(P5284:T5284)</t>
  </si>
  <si>
    <t>=IF($M5284&gt;=$P$18,U5284,0)</t>
  </si>
  <si>
    <t>=IF(AND($M5284&gt;=$Q$16,$M5284&lt;=$Q$18),U5284,0)</t>
  </si>
  <si>
    <t>=IF(AND($M5284&gt;=$R$16,$M5284&lt;=$R$18),U5284,0)</t>
  </si>
  <si>
    <t>=IF(AND($M5284&gt;=$S$16,$M5284&lt;=$S$18),U5284,0)</t>
  </si>
  <si>
    <t>=IF($M5284&lt;=$T$18,U5284,0)</t>
  </si>
  <si>
    <t>="""NAV Direct"",""CRONUS JetCorp USA"",""21"",""1"",""396868"""</t>
  </si>
  <si>
    <t>=E5283</t>
  </si>
  <si>
    <t>=StartDate-$M5285+1</t>
  </si>
  <si>
    <t>=SUM(P5285:T5285)</t>
  </si>
  <si>
    <t>=IF($M5285&gt;=$P$18,U5285,0)</t>
  </si>
  <si>
    <t>=IF(AND($M5285&gt;=$Q$16,$M5285&lt;=$Q$18),U5285,0)</t>
  </si>
  <si>
    <t>=IF(AND($M5285&gt;=$R$16,$M5285&lt;=$R$18),U5285,0)</t>
  </si>
  <si>
    <t>=IF(AND($M5285&gt;=$S$16,$M5285&lt;=$S$18),U5285,0)</t>
  </si>
  <si>
    <t>=IF($M5285&lt;=$T$18,U5285,0)</t>
  </si>
  <si>
    <t>="""NAV Direct"",""CRONUS JetCorp USA"",""21"",""1"",""396966"""</t>
  </si>
  <si>
    <t>=E5284</t>
  </si>
  <si>
    <t>=StartDate-$M5286+1</t>
  </si>
  <si>
    <t>=SUM(P5286:T5286)</t>
  </si>
  <si>
    <t>=IF($M5286&gt;=$P$18,U5286,0)</t>
  </si>
  <si>
    <t>=IF(AND($M5286&gt;=$Q$16,$M5286&lt;=$Q$18),U5286,0)</t>
  </si>
  <si>
    <t>=IF(AND($M5286&gt;=$R$16,$M5286&lt;=$R$18),U5286,0)</t>
  </si>
  <si>
    <t>=IF(AND($M5286&gt;=$S$16,$M5286&lt;=$S$18),U5286,0)</t>
  </si>
  <si>
    <t>=IF($M5286&lt;=$T$18,U5286,0)</t>
  </si>
  <si>
    <t>="""NAV Direct"",""CRONUS JetCorp USA"",""21"",""1"",""397339"""</t>
  </si>
  <si>
    <t>=E5285</t>
  </si>
  <si>
    <t>=StartDate-$M5287+1</t>
  </si>
  <si>
    <t>=SUM(P5287:T5287)</t>
  </si>
  <si>
    <t>=IF($M5287&gt;=$P$18,U5287,0)</t>
  </si>
  <si>
    <t>=IF(AND($M5287&gt;=$Q$16,$M5287&lt;=$Q$18),U5287,0)</t>
  </si>
  <si>
    <t>=IF(AND($M5287&gt;=$R$16,$M5287&lt;=$R$18),U5287,0)</t>
  </si>
  <si>
    <t>=IF(AND($M5287&gt;=$S$16,$M5287&lt;=$S$18),U5287,0)</t>
  </si>
  <si>
    <t>=IF($M5287&lt;=$T$18,U5287,0)</t>
  </si>
  <si>
    <t>="""NAV Direct"",""CRONUS JetCorp USA"",""21"",""1"",""397939"""</t>
  </si>
  <si>
    <t>=E5286</t>
  </si>
  <si>
    <t>=StartDate-$M5288+1</t>
  </si>
  <si>
    <t>=SUM(P5288:T5288)</t>
  </si>
  <si>
    <t>=IF($M5288&gt;=$P$18,U5288,0)</t>
  </si>
  <si>
    <t>=IF(AND($M5288&gt;=$Q$16,$M5288&lt;=$Q$18),U5288,0)</t>
  </si>
  <si>
    <t>=IF(AND($M5288&gt;=$R$16,$M5288&lt;=$R$18),U5288,0)</t>
  </si>
  <si>
    <t>=IF(AND($M5288&gt;=$S$16,$M5288&lt;=$S$18),U5288,0)</t>
  </si>
  <si>
    <t>=IF($M5288&lt;=$T$18,U5288,0)</t>
  </si>
  <si>
    <t>="""NAV Direct"",""CRONUS JetCorp USA"",""21"",""1"",""398059"""</t>
  </si>
  <si>
    <t>=E5287</t>
  </si>
  <si>
    <t>=StartDate-$M5289+1</t>
  </si>
  <si>
    <t>=SUM(P5289:T5289)</t>
  </si>
  <si>
    <t>=IF($M5289&gt;=$P$18,U5289,0)</t>
  </si>
  <si>
    <t>=IF(AND($M5289&gt;=$Q$16,$M5289&lt;=$Q$18),U5289,0)</t>
  </si>
  <si>
    <t>=IF(AND($M5289&gt;=$R$16,$M5289&lt;=$R$18),U5289,0)</t>
  </si>
  <si>
    <t>=IF(AND($M5289&gt;=$S$16,$M5289&lt;=$S$18),U5289,0)</t>
  </si>
  <si>
    <t>=IF($M5289&lt;=$T$18,U5289,0)</t>
  </si>
  <si>
    <t>="""NAV Direct"",""CRONUS JetCorp USA"",""21"",""1"",""398530"""</t>
  </si>
  <si>
    <t>=E5288</t>
  </si>
  <si>
    <t>=StartDate-$M5290+1</t>
  </si>
  <si>
    <t>=SUM(P5290:T5290)</t>
  </si>
  <si>
    <t>=IF($M5290&gt;=$P$18,U5290,0)</t>
  </si>
  <si>
    <t>=IF(AND($M5290&gt;=$Q$16,$M5290&lt;=$Q$18),U5290,0)</t>
  </si>
  <si>
    <t>=IF(AND($M5290&gt;=$R$16,$M5290&lt;=$R$18),U5290,0)</t>
  </si>
  <si>
    <t>=IF(AND($M5290&gt;=$S$16,$M5290&lt;=$S$18),U5290,0)</t>
  </si>
  <si>
    <t>=IF($M5290&lt;=$T$18,U5290,0)</t>
  </si>
  <si>
    <t>="""NAV Direct"",""CRONUS JetCorp USA"",""21"",""1"",""399255"""</t>
  </si>
  <si>
    <t>=E5289</t>
  </si>
  <si>
    <t>=StartDate-$M5291+1</t>
  </si>
  <si>
    <t>=SUM(P5291:T5291)</t>
  </si>
  <si>
    <t>=IF($M5291&gt;=$P$18,U5291,0)</t>
  </si>
  <si>
    <t>=IF(AND($M5291&gt;=$Q$16,$M5291&lt;=$Q$18),U5291,0)</t>
  </si>
  <si>
    <t>=IF(AND($M5291&gt;=$R$16,$M5291&lt;=$R$18),U5291,0)</t>
  </si>
  <si>
    <t>=IF(AND($M5291&gt;=$S$16,$M5291&lt;=$S$18),U5291,0)</t>
  </si>
  <si>
    <t>=IF($M5291&lt;=$T$18,U5291,0)</t>
  </si>
  <si>
    <t>="""NAV Direct"",""CRONUS JetCorp USA"",""21"",""1"",""399437"""</t>
  </si>
  <si>
    <t>=E5290</t>
  </si>
  <si>
    <t>=StartDate-$M5292+1</t>
  </si>
  <si>
    <t>=SUM(P5292:T5292)</t>
  </si>
  <si>
    <t>=IF($M5292&gt;=$P$18,U5292,0)</t>
  </si>
  <si>
    <t>=IF(AND($M5292&gt;=$Q$16,$M5292&lt;=$Q$18),U5292,0)</t>
  </si>
  <si>
    <t>=IF(AND($M5292&gt;=$R$16,$M5292&lt;=$R$18),U5292,0)</t>
  </si>
  <si>
    <t>=IF(AND($M5292&gt;=$S$16,$M5292&lt;=$S$18),U5292,0)</t>
  </si>
  <si>
    <t>=IF($M5292&lt;=$T$18,U5292,0)</t>
  </si>
  <si>
    <t>="""NAV Direct"",""CRONUS JetCorp USA"",""21"",""1"",""400021"""</t>
  </si>
  <si>
    <t>=E5291</t>
  </si>
  <si>
    <t>=StartDate-$M5293+1</t>
  </si>
  <si>
    <t>=SUM(P5293:T5293)</t>
  </si>
  <si>
    <t>=IF($M5293&gt;=$P$18,U5293,0)</t>
  </si>
  <si>
    <t>=IF(AND($M5293&gt;=$Q$16,$M5293&lt;=$Q$18),U5293,0)</t>
  </si>
  <si>
    <t>=IF(AND($M5293&gt;=$R$16,$M5293&lt;=$R$18),U5293,0)</t>
  </si>
  <si>
    <t>=IF(AND($M5293&gt;=$S$16,$M5293&lt;=$S$18),U5293,0)</t>
  </si>
  <si>
    <t>=IF($M5293&lt;=$T$18,U5293,0)</t>
  </si>
  <si>
    <t>="""NAV Direct"",""CRONUS JetCorp USA"",""21"",""1"",""400213"""</t>
  </si>
  <si>
    <t>=E5292</t>
  </si>
  <si>
    <t>=StartDate-$M5294+1</t>
  </si>
  <si>
    <t>=SUM(P5294:T5294)</t>
  </si>
  <si>
    <t>=IF($M5294&gt;=$P$18,U5294,0)</t>
  </si>
  <si>
    <t>=IF(AND($M5294&gt;=$Q$16,$M5294&lt;=$Q$18),U5294,0)</t>
  </si>
  <si>
    <t>=IF(AND($M5294&gt;=$R$16,$M5294&lt;=$R$18),U5294,0)</t>
  </si>
  <si>
    <t>=IF(AND($M5294&gt;=$S$16,$M5294&lt;=$S$18),U5294,0)</t>
  </si>
  <si>
    <t>=IF($M5294&lt;=$T$18,U5294,0)</t>
  </si>
  <si>
    <t>="""NAV Direct"",""CRONUS JetCorp USA"",""21"",""1"",""400384"""</t>
  </si>
  <si>
    <t>=E5293</t>
  </si>
  <si>
    <t>=StartDate-$M5295+1</t>
  </si>
  <si>
    <t>=SUM(P5295:T5295)</t>
  </si>
  <si>
    <t>=IF($M5295&gt;=$P$18,U5295,0)</t>
  </si>
  <si>
    <t>=IF(AND($M5295&gt;=$Q$16,$M5295&lt;=$Q$18),U5295,0)</t>
  </si>
  <si>
    <t>=IF(AND($M5295&gt;=$R$16,$M5295&lt;=$R$18),U5295,0)</t>
  </si>
  <si>
    <t>=IF(AND($M5295&gt;=$S$16,$M5295&lt;=$S$18),U5295,0)</t>
  </si>
  <si>
    <t>=IF($M5295&lt;=$T$18,U5295,0)</t>
  </si>
  <si>
    <t>="""NAV Direct"",""CRONUS JetCorp USA"",""21"",""1"",""400661"""</t>
  </si>
  <si>
    <t>=E5294</t>
  </si>
  <si>
    <t>=StartDate-$M5296+1</t>
  </si>
  <si>
    <t>=SUM(P5296:T5296)</t>
  </si>
  <si>
    <t>=IF($M5296&gt;=$P$18,U5296,0)</t>
  </si>
  <si>
    <t>=IF(AND($M5296&gt;=$Q$16,$M5296&lt;=$Q$18),U5296,0)</t>
  </si>
  <si>
    <t>=IF(AND($M5296&gt;=$R$16,$M5296&lt;=$R$18),U5296,0)</t>
  </si>
  <si>
    <t>=IF(AND($M5296&gt;=$S$16,$M5296&lt;=$S$18),U5296,0)</t>
  </si>
  <si>
    <t>=IF($M5296&lt;=$T$18,U5296,0)</t>
  </si>
  <si>
    <t>="""NAV Direct"",""CRONUS JetCorp USA"",""21"",""1"",""401537"""</t>
  </si>
  <si>
    <t>=E5295</t>
  </si>
  <si>
    <t>=StartDate-$M5297+1</t>
  </si>
  <si>
    <t>=SUM(P5297:T5297)</t>
  </si>
  <si>
    <t>=IF($M5297&gt;=$P$18,U5297,0)</t>
  </si>
  <si>
    <t>=IF(AND($M5297&gt;=$Q$16,$M5297&lt;=$Q$18),U5297,0)</t>
  </si>
  <si>
    <t>=IF(AND($M5297&gt;=$R$16,$M5297&lt;=$R$18),U5297,0)</t>
  </si>
  <si>
    <t>=IF(AND($M5297&gt;=$S$16,$M5297&lt;=$S$18),U5297,0)</t>
  </si>
  <si>
    <t>=IF($M5297&lt;=$T$18,U5297,0)</t>
  </si>
  <si>
    <t>="""NAV Direct"",""CRONUS JetCorp USA"",""21"",""1"",""438606"""</t>
  </si>
  <si>
    <t>=E5296</t>
  </si>
  <si>
    <t>=StartDate-$M5298+1</t>
  </si>
  <si>
    <t>=SUM(P5298:T5298)</t>
  </si>
  <si>
    <t>=IF($M5298&gt;=$P$18,U5298,0)</t>
  </si>
  <si>
    <t>=IF(AND($M5298&gt;=$Q$16,$M5298&lt;=$Q$18),U5298,0)</t>
  </si>
  <si>
    <t>=IF(AND($M5298&gt;=$R$16,$M5298&lt;=$R$18),U5298,0)</t>
  </si>
  <si>
    <t>=IF(AND($M5298&gt;=$S$16,$M5298&lt;=$S$18),U5298,0)</t>
  </si>
  <si>
    <t>=IF($M5298&lt;=$T$18,U5298,0)</t>
  </si>
  <si>
    <t>="""NAV Direct"",""CRONUS JetCorp USA"",""21"",""1"",""438720"""</t>
  </si>
  <si>
    <t>=E5297</t>
  </si>
  <si>
    <t>=StartDate-$M5299+1</t>
  </si>
  <si>
    <t>=SUM(P5299:T5299)</t>
  </si>
  <si>
    <t>=IF($M5299&gt;=$P$18,U5299,0)</t>
  </si>
  <si>
    <t>=IF(AND($M5299&gt;=$Q$16,$M5299&lt;=$Q$18),U5299,0)</t>
  </si>
  <si>
    <t>=IF(AND($M5299&gt;=$R$16,$M5299&lt;=$R$18),U5299,0)</t>
  </si>
  <si>
    <t>=IF(AND($M5299&gt;=$S$16,$M5299&lt;=$S$18),U5299,0)</t>
  </si>
  <si>
    <t>=IF($M5299&lt;=$T$18,U5299,0)</t>
  </si>
  <si>
    <t>="""NAV Direct"",""CRONUS JetCorp USA"",""21"",""1"",""438922"""</t>
  </si>
  <si>
    <t>=E5298</t>
  </si>
  <si>
    <t>=StartDate-$M5300+1</t>
  </si>
  <si>
    <t>=SUM(P5300:T5300)</t>
  </si>
  <si>
    <t>=IF($M5300&gt;=$P$18,U5300,0)</t>
  </si>
  <si>
    <t>=IF(AND($M5300&gt;=$Q$16,$M5300&lt;=$Q$18),U5300,0)</t>
  </si>
  <si>
    <t>=IF(AND($M5300&gt;=$R$16,$M5300&lt;=$R$18),U5300,0)</t>
  </si>
  <si>
    <t>=IF(AND($M5300&gt;=$S$16,$M5300&lt;=$S$18),U5300,0)</t>
  </si>
  <si>
    <t>=IF($M5300&lt;=$T$18,U5300,0)</t>
  </si>
  <si>
    <t>="""NAV Direct"",""CRONUS JetCorp USA"",""21"",""1"",""438927"""</t>
  </si>
  <si>
    <t>=E5299</t>
  </si>
  <si>
    <t>=StartDate-$M5301+1</t>
  </si>
  <si>
    <t>=SUM(P5301:T5301)</t>
  </si>
  <si>
    <t>=IF($M5301&gt;=$P$18,U5301,0)</t>
  </si>
  <si>
    <t>=IF(AND($M5301&gt;=$Q$16,$M5301&lt;=$Q$18),U5301,0)</t>
  </si>
  <si>
    <t>=IF(AND($M5301&gt;=$R$16,$M5301&lt;=$R$18),U5301,0)</t>
  </si>
  <si>
    <t>=IF(AND($M5301&gt;=$S$16,$M5301&lt;=$S$18),U5301,0)</t>
  </si>
  <si>
    <t>=IF($M5301&lt;=$T$18,U5301,0)</t>
  </si>
  <si>
    <t>="""NAV Direct"",""CRONUS JetCorp USA"",""21"",""1"",""439123"""</t>
  </si>
  <si>
    <t>=E5300</t>
  </si>
  <si>
    <t>=StartDate-$M5302+1</t>
  </si>
  <si>
    <t>=SUM(P5302:T5302)</t>
  </si>
  <si>
    <t>=IF($M5302&gt;=$P$18,U5302,0)</t>
  </si>
  <si>
    <t>=IF(AND($M5302&gt;=$Q$16,$M5302&lt;=$Q$18),U5302,0)</t>
  </si>
  <si>
    <t>=IF(AND($M5302&gt;=$R$16,$M5302&lt;=$R$18),U5302,0)</t>
  </si>
  <si>
    <t>=IF(AND($M5302&gt;=$S$16,$M5302&lt;=$S$18),U5302,0)</t>
  </si>
  <si>
    <t>=IF($M5302&lt;=$T$18,U5302,0)</t>
  </si>
  <si>
    <t>="""NAV Direct"",""CRONUS JetCorp USA"",""21"",""1"",""439190"""</t>
  </si>
  <si>
    <t>=E5301</t>
  </si>
  <si>
    <t>=StartDate-$M5303+1</t>
  </si>
  <si>
    <t>=SUM(P5303:T5303)</t>
  </si>
  <si>
    <t>=IF($M5303&gt;=$P$18,U5303,0)</t>
  </si>
  <si>
    <t>=IF(AND($M5303&gt;=$Q$16,$M5303&lt;=$Q$18),U5303,0)</t>
  </si>
  <si>
    <t>=IF(AND($M5303&gt;=$R$16,$M5303&lt;=$R$18),U5303,0)</t>
  </si>
  <si>
    <t>=IF(AND($M5303&gt;=$S$16,$M5303&lt;=$S$18),U5303,0)</t>
  </si>
  <si>
    <t>=IF($M5303&lt;=$T$18,U5303,0)</t>
  </si>
  <si>
    <t>="""NAV Direct"",""CRONUS JetCorp USA"",""21"",""1"",""439356"""</t>
  </si>
  <si>
    <t>=E5302</t>
  </si>
  <si>
    <t>=StartDate-$M5304+1</t>
  </si>
  <si>
    <t>=SUM(P5304:T5304)</t>
  </si>
  <si>
    <t>=IF($M5304&gt;=$P$18,U5304,0)</t>
  </si>
  <si>
    <t>=IF(AND($M5304&gt;=$Q$16,$M5304&lt;=$Q$18),U5304,0)</t>
  </si>
  <si>
    <t>=IF(AND($M5304&gt;=$R$16,$M5304&lt;=$R$18),U5304,0)</t>
  </si>
  <si>
    <t>=IF(AND($M5304&gt;=$S$16,$M5304&lt;=$S$18),U5304,0)</t>
  </si>
  <si>
    <t>=IF($M5304&lt;=$T$18,U5304,0)</t>
  </si>
  <si>
    <t>="""NAV Direct"",""CRONUS JetCorp USA"",""21"",""1"",""439432"""</t>
  </si>
  <si>
    <t>=E5303</t>
  </si>
  <si>
    <t>=StartDate-$M5305+1</t>
  </si>
  <si>
    <t>=SUM(P5305:T5305)</t>
  </si>
  <si>
    <t>=IF($M5305&gt;=$P$18,U5305,0)</t>
  </si>
  <si>
    <t>=IF(AND($M5305&gt;=$Q$16,$M5305&lt;=$Q$18),U5305,0)</t>
  </si>
  <si>
    <t>=IF(AND($M5305&gt;=$R$16,$M5305&lt;=$R$18),U5305,0)</t>
  </si>
  <si>
    <t>=IF(AND($M5305&gt;=$S$16,$M5305&lt;=$S$18),U5305,0)</t>
  </si>
  <si>
    <t>=IF($M5305&lt;=$T$18,U5305,0)</t>
  </si>
  <si>
    <t>="""NAV Direct"",""CRONUS JetCorp USA"",""21"",""1"",""439513"""</t>
  </si>
  <si>
    <t>=E5304</t>
  </si>
  <si>
    <t>=StartDate-$M5306+1</t>
  </si>
  <si>
    <t>=SUM(P5306:T5306)</t>
  </si>
  <si>
    <t>=IF($M5306&gt;=$P$18,U5306,0)</t>
  </si>
  <si>
    <t>=IF(AND($M5306&gt;=$Q$16,$M5306&lt;=$Q$18),U5306,0)</t>
  </si>
  <si>
    <t>=IF(AND($M5306&gt;=$R$16,$M5306&lt;=$R$18),U5306,0)</t>
  </si>
  <si>
    <t>=IF(AND($M5306&gt;=$S$16,$M5306&lt;=$S$18),U5306,0)</t>
  </si>
  <si>
    <t>=IF($M5306&lt;=$T$18,U5306,0)</t>
  </si>
  <si>
    <t>="""NAV Direct"",""CRONUS JetCorp USA"",""21"",""1"",""439567"""</t>
  </si>
  <si>
    <t>=E5305</t>
  </si>
  <si>
    <t>=StartDate-$M5307+1</t>
  </si>
  <si>
    <t>=SUM(P5307:T5307)</t>
  </si>
  <si>
    <t>=IF($M5307&gt;=$P$18,U5307,0)</t>
  </si>
  <si>
    <t>=IF(AND($M5307&gt;=$Q$16,$M5307&lt;=$Q$18),U5307,0)</t>
  </si>
  <si>
    <t>=IF(AND($M5307&gt;=$R$16,$M5307&lt;=$R$18),U5307,0)</t>
  </si>
  <si>
    <t>=IF(AND($M5307&gt;=$S$16,$M5307&lt;=$S$18),U5307,0)</t>
  </si>
  <si>
    <t>=IF($M5307&lt;=$T$18,U5307,0)</t>
  </si>
  <si>
    <t>="""NAV Direct"",""CRONUS JetCorp USA"",""21"",""1"",""439683"""</t>
  </si>
  <si>
    <t>=E5306</t>
  </si>
  <si>
    <t>=StartDate-$M5308+1</t>
  </si>
  <si>
    <t>=SUM(P5308:T5308)</t>
  </si>
  <si>
    <t>=IF($M5308&gt;=$P$18,U5308,0)</t>
  </si>
  <si>
    <t>=IF(AND($M5308&gt;=$Q$16,$M5308&lt;=$Q$18),U5308,0)</t>
  </si>
  <si>
    <t>=IF(AND($M5308&gt;=$R$16,$M5308&lt;=$R$18),U5308,0)</t>
  </si>
  <si>
    <t>=IF(AND($M5308&gt;=$S$16,$M5308&lt;=$S$18),U5308,0)</t>
  </si>
  <si>
    <t>=IF($M5308&lt;=$T$18,U5308,0)</t>
  </si>
  <si>
    <t>="""NAV Direct"",""CRONUS JetCorp USA"",""21"",""1"",""439817"""</t>
  </si>
  <si>
    <t>=E5307</t>
  </si>
  <si>
    <t>=StartDate-$M5309+1</t>
  </si>
  <si>
    <t>=SUM(P5309:T5309)</t>
  </si>
  <si>
    <t>=IF($M5309&gt;=$P$18,U5309,0)</t>
  </si>
  <si>
    <t>=IF(AND($M5309&gt;=$Q$16,$M5309&lt;=$Q$18),U5309,0)</t>
  </si>
  <si>
    <t>=IF(AND($M5309&gt;=$R$16,$M5309&lt;=$R$18),U5309,0)</t>
  </si>
  <si>
    <t>=IF(AND($M5309&gt;=$S$16,$M5309&lt;=$S$18),U5309,0)</t>
  </si>
  <si>
    <t>=IF($M5309&lt;=$T$18,U5309,0)</t>
  </si>
  <si>
    <t>="""NAV Direct"",""CRONUS JetCorp USA"",""21"",""1"",""439868"""</t>
  </si>
  <si>
    <t>=E5308</t>
  </si>
  <si>
    <t>=StartDate-$M5310+1</t>
  </si>
  <si>
    <t>=SUM(P5310:T5310)</t>
  </si>
  <si>
    <t>=IF($M5310&gt;=$P$18,U5310,0)</t>
  </si>
  <si>
    <t>=IF(AND($M5310&gt;=$Q$16,$M5310&lt;=$Q$18),U5310,0)</t>
  </si>
  <si>
    <t>=IF(AND($M5310&gt;=$R$16,$M5310&lt;=$R$18),U5310,0)</t>
  </si>
  <si>
    <t>=IF(AND($M5310&gt;=$S$16,$M5310&lt;=$S$18),U5310,0)</t>
  </si>
  <si>
    <t>=IF($M5310&lt;=$T$18,U5310,0)</t>
  </si>
  <si>
    <t>="""NAV Direct"",""CRONUS JetCorp USA"",""21"",""1"",""439949"""</t>
  </si>
  <si>
    <t>=E5309</t>
  </si>
  <si>
    <t>=StartDate-$M5311+1</t>
  </si>
  <si>
    <t>=SUM(P5311:T5311)</t>
  </si>
  <si>
    <t>=IF($M5311&gt;=$P$18,U5311,0)</t>
  </si>
  <si>
    <t>=IF(AND($M5311&gt;=$Q$16,$M5311&lt;=$Q$18),U5311,0)</t>
  </si>
  <si>
    <t>=IF(AND($M5311&gt;=$R$16,$M5311&lt;=$R$18),U5311,0)</t>
  </si>
  <si>
    <t>=IF(AND($M5311&gt;=$S$16,$M5311&lt;=$S$18),U5311,0)</t>
  </si>
  <si>
    <t>=IF($M5311&lt;=$T$18,U5311,0)</t>
  </si>
  <si>
    <t>="""NAV Direct"",""CRONUS JetCorp USA"",""21"",""1"",""439989"""</t>
  </si>
  <si>
    <t>=E5310</t>
  </si>
  <si>
    <t>=StartDate-$M5312+1</t>
  </si>
  <si>
    <t>=SUM(P5312:T5312)</t>
  </si>
  <si>
    <t>=IF($M5312&gt;=$P$18,U5312,0)</t>
  </si>
  <si>
    <t>=IF(AND($M5312&gt;=$Q$16,$M5312&lt;=$Q$18),U5312,0)</t>
  </si>
  <si>
    <t>=IF(AND($M5312&gt;=$R$16,$M5312&lt;=$R$18),U5312,0)</t>
  </si>
  <si>
    <t>=IF(AND($M5312&gt;=$S$16,$M5312&lt;=$S$18),U5312,0)</t>
  </si>
  <si>
    <t>=IF($M5312&lt;=$T$18,U5312,0)</t>
  </si>
  <si>
    <t>="""NAV Direct"",""CRONUS JetCorp USA"",""21"",""1"",""440184"""</t>
  </si>
  <si>
    <t>=E5311</t>
  </si>
  <si>
    <t>=StartDate-$M5313+1</t>
  </si>
  <si>
    <t>=SUM(P5313:T5313)</t>
  </si>
  <si>
    <t>=IF($M5313&gt;=$P$18,U5313,0)</t>
  </si>
  <si>
    <t>=IF(AND($M5313&gt;=$Q$16,$M5313&lt;=$Q$18),U5313,0)</t>
  </si>
  <si>
    <t>=IF(AND($M5313&gt;=$R$16,$M5313&lt;=$R$18),U5313,0)</t>
  </si>
  <si>
    <t>=IF(AND($M5313&gt;=$S$16,$M5313&lt;=$S$18),U5313,0)</t>
  </si>
  <si>
    <t>=IF($M5313&lt;=$T$18,U5313,0)</t>
  </si>
  <si>
    <t>="""NAV Direct"",""CRONUS JetCorp USA"",""21"",""1"",""440195"""</t>
  </si>
  <si>
    <t>=E5312</t>
  </si>
  <si>
    <t>=StartDate-$M5314+1</t>
  </si>
  <si>
    <t>=SUM(P5314:T5314)</t>
  </si>
  <si>
    <t>=IF($M5314&gt;=$P$18,U5314,0)</t>
  </si>
  <si>
    <t>=IF(AND($M5314&gt;=$Q$16,$M5314&lt;=$Q$18),U5314,0)</t>
  </si>
  <si>
    <t>=IF(AND($M5314&gt;=$R$16,$M5314&lt;=$R$18),U5314,0)</t>
  </si>
  <si>
    <t>=IF(AND($M5314&gt;=$S$16,$M5314&lt;=$S$18),U5314,0)</t>
  </si>
  <si>
    <t>=IF($M5314&lt;=$T$18,U5314,0)</t>
  </si>
  <si>
    <t>="""NAV Direct"",""CRONUS JetCorp USA"",""18"",""1"",""C100142"""</t>
  </si>
  <si>
    <t>=H5317</t>
  </si>
  <si>
    <t>=NF($C5317,"1 No.")</t>
  </si>
  <si>
    <t>=NF($C5317,"1 No.")&amp;"  -  "&amp;NF($C5317,"2 Name")</t>
  </si>
  <si>
    <t>=IFERROR(O5317/NF(C5317,"Credit Limit (LCY)"),"")</t>
  </si>
  <si>
    <t>=SUBTOTAL(3,L5318:L5353)</t>
  </si>
  <si>
    <t>=SUBTOTAL(9,O5318:O5353)</t>
  </si>
  <si>
    <t>=SUBTOTAL(9,P5318:P5353)</t>
  </si>
  <si>
    <t>=SUBTOTAL(9,Q5318:Q5353)</t>
  </si>
  <si>
    <t>=SUBTOTAL(9,R5318:R5353)</t>
  </si>
  <si>
    <t>=SUBTOTAL(9,S5318:S5353)</t>
  </si>
  <si>
    <t>=SUBTOTAL(9,T5318:T5353)</t>
  </si>
  <si>
    <t>=C5317</t>
  </si>
  <si>
    <t>=E5317</t>
  </si>
  <si>
    <t>="Contact: "&amp;NF($C5318,"8 Contact")</t>
  </si>
  <si>
    <t>=C5318</t>
  </si>
  <si>
    <t>=E5318</t>
  </si>
  <si>
    <t>=NF($C5319,"102 E-Mail")</t>
  </si>
  <si>
    <t>=NL("Rows","21 Cust. Ledger Entry",,"3 Customer No.","@@"&amp;$E5321,"16 Remaining Amt. (LCY)","&lt;&gt;0")</t>
  </si>
  <si>
    <t>=E5319</t>
  </si>
  <si>
    <t>=StartDate-$M5321+1</t>
  </si>
  <si>
    <t>=SUM(P5321:T5321)</t>
  </si>
  <si>
    <t>=IF($M5321&gt;=$P$18,U5321,0)</t>
  </si>
  <si>
    <t>=IF(AND($M5321&gt;=$Q$16,$M5321&lt;=$Q$18),U5321,0)</t>
  </si>
  <si>
    <t>=IF(AND($M5321&gt;=$R$16,$M5321&lt;=$R$18),U5321,0)</t>
  </si>
  <si>
    <t>=IF(AND($M5321&gt;=$S$16,$M5321&lt;=$S$18),U5321,0)</t>
  </si>
  <si>
    <t>=IF($M5321&lt;=$T$18,U5321,0)</t>
  </si>
  <si>
    <t>="""NAV Direct"",""CRONUS JetCorp USA"",""21"",""1"",""402206"""</t>
  </si>
  <si>
    <t>=E5320</t>
  </si>
  <si>
    <t>=StartDate-$M5322+1</t>
  </si>
  <si>
    <t>=SUM(P5322:T5322)</t>
  </si>
  <si>
    <t>=IF($M5322&gt;=$P$18,U5322,0)</t>
  </si>
  <si>
    <t>=IF(AND($M5322&gt;=$Q$16,$M5322&lt;=$Q$18),U5322,0)</t>
  </si>
  <si>
    <t>=IF(AND($M5322&gt;=$R$16,$M5322&lt;=$R$18),U5322,0)</t>
  </si>
  <si>
    <t>=IF(AND($M5322&gt;=$S$16,$M5322&lt;=$S$18),U5322,0)</t>
  </si>
  <si>
    <t>=IF($M5322&lt;=$T$18,U5322,0)</t>
  </si>
  <si>
    <t>="""NAV Direct"",""CRONUS JetCorp USA"",""21"",""1"",""402296"""</t>
  </si>
  <si>
    <t>=E5321</t>
  </si>
  <si>
    <t>=StartDate-$M5323+1</t>
  </si>
  <si>
    <t>=SUM(P5323:T5323)</t>
  </si>
  <si>
    <t>=IF($M5323&gt;=$P$18,U5323,0)</t>
  </si>
  <si>
    <t>=IF(AND($M5323&gt;=$Q$16,$M5323&lt;=$Q$18),U5323,0)</t>
  </si>
  <si>
    <t>=IF(AND($M5323&gt;=$R$16,$M5323&lt;=$R$18),U5323,0)</t>
  </si>
  <si>
    <t>=IF(AND($M5323&gt;=$S$16,$M5323&lt;=$S$18),U5323,0)</t>
  </si>
  <si>
    <t>=IF($M5323&lt;=$T$18,U5323,0)</t>
  </si>
  <si>
    <t>="""NAV Direct"",""CRONUS JetCorp USA"",""21"",""1"",""402903"""</t>
  </si>
  <si>
    <t>=E5322</t>
  </si>
  <si>
    <t>=StartDate-$M5324+1</t>
  </si>
  <si>
    <t>=SUM(P5324:T5324)</t>
  </si>
  <si>
    <t>=IF($M5324&gt;=$P$18,U5324,0)</t>
  </si>
  <si>
    <t>=IF(AND($M5324&gt;=$Q$16,$M5324&lt;=$Q$18),U5324,0)</t>
  </si>
  <si>
    <t>=IF(AND($M5324&gt;=$R$16,$M5324&lt;=$R$18),U5324,0)</t>
  </si>
  <si>
    <t>=IF(AND($M5324&gt;=$S$16,$M5324&lt;=$S$18),U5324,0)</t>
  </si>
  <si>
    <t>=IF($M5324&lt;=$T$18,U5324,0)</t>
  </si>
  <si>
    <t>="""NAV Direct"",""CRONUS JetCorp USA"",""21"",""1"",""403460"""</t>
  </si>
  <si>
    <t>=E5323</t>
  </si>
  <si>
    <t>=StartDate-$M5325+1</t>
  </si>
  <si>
    <t>=SUM(P5325:T5325)</t>
  </si>
  <si>
    <t>=IF($M5325&gt;=$P$18,U5325,0)</t>
  </si>
  <si>
    <t>=IF(AND($M5325&gt;=$Q$16,$M5325&lt;=$Q$18),U5325,0)</t>
  </si>
  <si>
    <t>=IF(AND($M5325&gt;=$R$16,$M5325&lt;=$R$18),U5325,0)</t>
  </si>
  <si>
    <t>=IF(AND($M5325&gt;=$S$16,$M5325&lt;=$S$18),U5325,0)</t>
  </si>
  <si>
    <t>=IF($M5325&lt;=$T$18,U5325,0)</t>
  </si>
  <si>
    <t>="""NAV Direct"",""CRONUS JetCorp USA"",""21"",""1"",""403556"""</t>
  </si>
  <si>
    <t>=E5324</t>
  </si>
  <si>
    <t>=StartDate-$M5326+1</t>
  </si>
  <si>
    <t>=SUM(P5326:T5326)</t>
  </si>
  <si>
    <t>=IF($M5326&gt;=$P$18,U5326,0)</t>
  </si>
  <si>
    <t>=IF(AND($M5326&gt;=$Q$16,$M5326&lt;=$Q$18),U5326,0)</t>
  </si>
  <si>
    <t>=IF(AND($M5326&gt;=$R$16,$M5326&lt;=$R$18),U5326,0)</t>
  </si>
  <si>
    <t>=IF(AND($M5326&gt;=$S$16,$M5326&lt;=$S$18),U5326,0)</t>
  </si>
  <si>
    <t>=IF($M5326&lt;=$T$18,U5326,0)</t>
  </si>
  <si>
    <t>="""NAV Direct"",""CRONUS JetCorp USA"",""21"",""1"",""403742"""</t>
  </si>
  <si>
    <t>=E5325</t>
  </si>
  <si>
    <t>=StartDate-$M5327+1</t>
  </si>
  <si>
    <t>=SUM(P5327:T5327)</t>
  </si>
  <si>
    <t>=IF($M5327&gt;=$P$18,U5327,0)</t>
  </si>
  <si>
    <t>=IF(AND($M5327&gt;=$Q$16,$M5327&lt;=$Q$18),U5327,0)</t>
  </si>
  <si>
    <t>=IF(AND($M5327&gt;=$R$16,$M5327&lt;=$R$18),U5327,0)</t>
  </si>
  <si>
    <t>=IF(AND($M5327&gt;=$S$16,$M5327&lt;=$S$18),U5327,0)</t>
  </si>
  <si>
    <t>=IF($M5327&lt;=$T$18,U5327,0)</t>
  </si>
  <si>
    <t>="""NAV Direct"",""CRONUS JetCorp USA"",""21"",""1"",""404277"""</t>
  </si>
  <si>
    <t>=E5326</t>
  </si>
  <si>
    <t>=StartDate-$M5328+1</t>
  </si>
  <si>
    <t>=SUM(P5328:T5328)</t>
  </si>
  <si>
    <t>=IF($M5328&gt;=$P$18,U5328,0)</t>
  </si>
  <si>
    <t>=IF(AND($M5328&gt;=$Q$16,$M5328&lt;=$Q$18),U5328,0)</t>
  </si>
  <si>
    <t>=IF(AND($M5328&gt;=$R$16,$M5328&lt;=$R$18),U5328,0)</t>
  </si>
  <si>
    <t>=IF(AND($M5328&gt;=$S$16,$M5328&lt;=$S$18),U5328,0)</t>
  </si>
  <si>
    <t>=IF($M5328&lt;=$T$18,U5328,0)</t>
  </si>
  <si>
    <t>="""NAV Direct"",""CRONUS JetCorp USA"",""21"",""1"",""405786"""</t>
  </si>
  <si>
    <t>=E5327</t>
  </si>
  <si>
    <t>=StartDate-$M5329+1</t>
  </si>
  <si>
    <t>=SUM(P5329:T5329)</t>
  </si>
  <si>
    <t>=IF($M5329&gt;=$P$18,U5329,0)</t>
  </si>
  <si>
    <t>=IF(AND($M5329&gt;=$Q$16,$M5329&lt;=$Q$18),U5329,0)</t>
  </si>
  <si>
    <t>=IF(AND($M5329&gt;=$R$16,$M5329&lt;=$R$18),U5329,0)</t>
  </si>
  <si>
    <t>=IF(AND($M5329&gt;=$S$16,$M5329&lt;=$S$18),U5329,0)</t>
  </si>
  <si>
    <t>=IF($M5329&lt;=$T$18,U5329,0)</t>
  </si>
  <si>
    <t>="""NAV Direct"",""CRONUS JetCorp USA"",""21"",""1"",""405950"""</t>
  </si>
  <si>
    <t>=E5328</t>
  </si>
  <si>
    <t>=StartDate-$M5330+1</t>
  </si>
  <si>
    <t>=SUM(P5330:T5330)</t>
  </si>
  <si>
    <t>=IF($M5330&gt;=$P$18,U5330,0)</t>
  </si>
  <si>
    <t>=IF(AND($M5330&gt;=$Q$16,$M5330&lt;=$Q$18),U5330,0)</t>
  </si>
  <si>
    <t>=IF(AND($M5330&gt;=$R$16,$M5330&lt;=$R$18),U5330,0)</t>
  </si>
  <si>
    <t>=IF(AND($M5330&gt;=$S$16,$M5330&lt;=$S$18),U5330,0)</t>
  </si>
  <si>
    <t>=IF($M5330&lt;=$T$18,U5330,0)</t>
  </si>
  <si>
    <t>="""NAV Direct"",""CRONUS JetCorp USA"",""21"",""1"",""406817"""</t>
  </si>
  <si>
    <t>=E5329</t>
  </si>
  <si>
    <t>=StartDate-$M5331+1</t>
  </si>
  <si>
    <t>=SUM(P5331:T5331)</t>
  </si>
  <si>
    <t>=IF($M5331&gt;=$P$18,U5331,0)</t>
  </si>
  <si>
    <t>=IF(AND($M5331&gt;=$Q$16,$M5331&lt;=$Q$18),U5331,0)</t>
  </si>
  <si>
    <t>=IF(AND($M5331&gt;=$R$16,$M5331&lt;=$R$18),U5331,0)</t>
  </si>
  <si>
    <t>=IF(AND($M5331&gt;=$S$16,$M5331&lt;=$S$18),U5331,0)</t>
  </si>
  <si>
    <t>=IF($M5331&lt;=$T$18,U5331,0)</t>
  </si>
  <si>
    <t>="""NAV Direct"",""CRONUS JetCorp USA"",""21"",""1"",""407477"""</t>
  </si>
  <si>
    <t>=E5330</t>
  </si>
  <si>
    <t>=StartDate-$M5332+1</t>
  </si>
  <si>
    <t>=SUM(P5332:T5332)</t>
  </si>
  <si>
    <t>=IF($M5332&gt;=$P$18,U5332,0)</t>
  </si>
  <si>
    <t>=IF(AND($M5332&gt;=$Q$16,$M5332&lt;=$Q$18),U5332,0)</t>
  </si>
  <si>
    <t>=IF(AND($M5332&gt;=$R$16,$M5332&lt;=$R$18),U5332,0)</t>
  </si>
  <si>
    <t>=IF(AND($M5332&gt;=$S$16,$M5332&lt;=$S$18),U5332,0)</t>
  </si>
  <si>
    <t>=IF($M5332&lt;=$T$18,U5332,0)</t>
  </si>
  <si>
    <t>="""NAV Direct"",""CRONUS JetCorp USA"",""21"",""1"",""408184"""</t>
  </si>
  <si>
    <t>=E5331</t>
  </si>
  <si>
    <t>=StartDate-$M5333+1</t>
  </si>
  <si>
    <t>=SUM(P5333:T5333)</t>
  </si>
  <si>
    <t>=IF($M5333&gt;=$P$18,U5333,0)</t>
  </si>
  <si>
    <t>=IF(AND($M5333&gt;=$Q$16,$M5333&lt;=$Q$18),U5333,0)</t>
  </si>
  <si>
    <t>=IF(AND($M5333&gt;=$R$16,$M5333&lt;=$R$18),U5333,0)</t>
  </si>
  <si>
    <t>=IF(AND($M5333&gt;=$S$16,$M5333&lt;=$S$18),U5333,0)</t>
  </si>
  <si>
    <t>=IF($M5333&lt;=$T$18,U5333,0)</t>
  </si>
  <si>
    <t>="""NAV Direct"",""CRONUS JetCorp USA"",""21"",""1"",""408392"""</t>
  </si>
  <si>
    <t>=E5332</t>
  </si>
  <si>
    <t>=StartDate-$M5334+1</t>
  </si>
  <si>
    <t>=SUM(P5334:T5334)</t>
  </si>
  <si>
    <t>=IF($M5334&gt;=$P$18,U5334,0)</t>
  </si>
  <si>
    <t>=IF(AND($M5334&gt;=$Q$16,$M5334&lt;=$Q$18),U5334,0)</t>
  </si>
  <si>
    <t>=IF(AND($M5334&gt;=$R$16,$M5334&lt;=$R$18),U5334,0)</t>
  </si>
  <si>
    <t>=IF(AND($M5334&gt;=$S$16,$M5334&lt;=$S$18),U5334,0)</t>
  </si>
  <si>
    <t>=IF($M5334&lt;=$T$18,U5334,0)</t>
  </si>
  <si>
    <t>="""NAV Direct"",""CRONUS JetCorp USA"",""21"",""1"",""409722"""</t>
  </si>
  <si>
    <t>=E5333</t>
  </si>
  <si>
    <t>=StartDate-$M5335+1</t>
  </si>
  <si>
    <t>=SUM(P5335:T5335)</t>
  </si>
  <si>
    <t>=IF($M5335&gt;=$P$18,U5335,0)</t>
  </si>
  <si>
    <t>=IF(AND($M5335&gt;=$Q$16,$M5335&lt;=$Q$18),U5335,0)</t>
  </si>
  <si>
    <t>=IF(AND($M5335&gt;=$R$16,$M5335&lt;=$R$18),U5335,0)</t>
  </si>
  <si>
    <t>=IF(AND($M5335&gt;=$S$16,$M5335&lt;=$S$18),U5335,0)</t>
  </si>
  <si>
    <t>=IF($M5335&lt;=$T$18,U5335,0)</t>
  </si>
  <si>
    <t>="""NAV Direct"",""CRONUS JetCorp USA"",""21"",""1"",""412401"""</t>
  </si>
  <si>
    <t>=E5334</t>
  </si>
  <si>
    <t>=StartDate-$M5336+1</t>
  </si>
  <si>
    <t>=SUM(P5336:T5336)</t>
  </si>
  <si>
    <t>=IF($M5336&gt;=$P$18,U5336,0)</t>
  </si>
  <si>
    <t>=IF(AND($M5336&gt;=$Q$16,$M5336&lt;=$Q$18),U5336,0)</t>
  </si>
  <si>
    <t>=IF(AND($M5336&gt;=$R$16,$M5336&lt;=$R$18),U5336,0)</t>
  </si>
  <si>
    <t>=IF(AND($M5336&gt;=$S$16,$M5336&lt;=$S$18),U5336,0)</t>
  </si>
  <si>
    <t>=IF($M5336&lt;=$T$18,U5336,0)</t>
  </si>
  <si>
    <t>="""NAV Direct"",""CRONUS JetCorp USA"",""21"",""1"",""412597"""</t>
  </si>
  <si>
    <t>=E5335</t>
  </si>
  <si>
    <t>=StartDate-$M5337+1</t>
  </si>
  <si>
    <t>=SUM(P5337:T5337)</t>
  </si>
  <si>
    <t>=IF($M5337&gt;=$P$18,U5337,0)</t>
  </si>
  <si>
    <t>=IF(AND($M5337&gt;=$Q$16,$M5337&lt;=$Q$18),U5337,0)</t>
  </si>
  <si>
    <t>=IF(AND($M5337&gt;=$R$16,$M5337&lt;=$R$18),U5337,0)</t>
  </si>
  <si>
    <t>=IF(AND($M5337&gt;=$S$16,$M5337&lt;=$S$18),U5337,0)</t>
  </si>
  <si>
    <t>=IF($M5337&lt;=$T$18,U5337,0)</t>
  </si>
  <si>
    <t>="""NAV Direct"",""CRONUS JetCorp USA"",""21"",""1"",""414018"""</t>
  </si>
  <si>
    <t>=E5336</t>
  </si>
  <si>
    <t>=StartDate-$M5338+1</t>
  </si>
  <si>
    <t>=SUM(P5338:T5338)</t>
  </si>
  <si>
    <t>=IF($M5338&gt;=$P$18,U5338,0)</t>
  </si>
  <si>
    <t>=IF(AND($M5338&gt;=$Q$16,$M5338&lt;=$Q$18),U5338,0)</t>
  </si>
  <si>
    <t>=IF(AND($M5338&gt;=$R$16,$M5338&lt;=$R$18),U5338,0)</t>
  </si>
  <si>
    <t>=IF(AND($M5338&gt;=$S$16,$M5338&lt;=$S$18),U5338,0)</t>
  </si>
  <si>
    <t>=IF($M5338&lt;=$T$18,U5338,0)</t>
  </si>
  <si>
    <t>="""NAV Direct"",""CRONUS JetCorp USA"",""21"",""1"",""414250"""</t>
  </si>
  <si>
    <t>=E5337</t>
  </si>
  <si>
    <t>=StartDate-$M5339+1</t>
  </si>
  <si>
    <t>=SUM(P5339:T5339)</t>
  </si>
  <si>
    <t>=IF($M5339&gt;=$P$18,U5339,0)</t>
  </si>
  <si>
    <t>=IF(AND($M5339&gt;=$Q$16,$M5339&lt;=$Q$18),U5339,0)</t>
  </si>
  <si>
    <t>=IF(AND($M5339&gt;=$R$16,$M5339&lt;=$R$18),U5339,0)</t>
  </si>
  <si>
    <t>=IF(AND($M5339&gt;=$S$16,$M5339&lt;=$S$18),U5339,0)</t>
  </si>
  <si>
    <t>=IF($M5339&lt;=$T$18,U5339,0)</t>
  </si>
  <si>
    <t>="""NAV Direct"",""CRONUS JetCorp USA"",""21"",""1"",""414466"""</t>
  </si>
  <si>
    <t>=E5338</t>
  </si>
  <si>
    <t>=StartDate-$M5340+1</t>
  </si>
  <si>
    <t>=SUM(P5340:T5340)</t>
  </si>
  <si>
    <t>=IF($M5340&gt;=$P$18,U5340,0)</t>
  </si>
  <si>
    <t>=IF(AND($M5340&gt;=$Q$16,$M5340&lt;=$Q$18),U5340,0)</t>
  </si>
  <si>
    <t>=IF(AND($M5340&gt;=$R$16,$M5340&lt;=$R$18),U5340,0)</t>
  </si>
  <si>
    <t>=IF(AND($M5340&gt;=$S$16,$M5340&lt;=$S$18),U5340,0)</t>
  </si>
  <si>
    <t>=IF($M5340&lt;=$T$18,U5340,0)</t>
  </si>
  <si>
    <t>="""NAV Direct"",""CRONUS JetCorp USA"",""21"",""1"",""440248"""</t>
  </si>
  <si>
    <t>=E5339</t>
  </si>
  <si>
    <t>=StartDate-$M5341+1</t>
  </si>
  <si>
    <t>=SUM(P5341:T5341)</t>
  </si>
  <si>
    <t>=IF($M5341&gt;=$P$18,U5341,0)</t>
  </si>
  <si>
    <t>=IF(AND($M5341&gt;=$Q$16,$M5341&lt;=$Q$18),U5341,0)</t>
  </si>
  <si>
    <t>=IF(AND($M5341&gt;=$R$16,$M5341&lt;=$R$18),U5341,0)</t>
  </si>
  <si>
    <t>=IF(AND($M5341&gt;=$S$16,$M5341&lt;=$S$18),U5341,0)</t>
  </si>
  <si>
    <t>=IF($M5341&lt;=$T$18,U5341,0)</t>
  </si>
  <si>
    <t>="""NAV Direct"",""CRONUS JetCorp USA"",""21"",""1"",""440265"""</t>
  </si>
  <si>
    <t>=E5340</t>
  </si>
  <si>
    <t>=StartDate-$M5342+1</t>
  </si>
  <si>
    <t>=SUM(P5342:T5342)</t>
  </si>
  <si>
    <t>=IF($M5342&gt;=$P$18,U5342,0)</t>
  </si>
  <si>
    <t>=IF(AND($M5342&gt;=$Q$16,$M5342&lt;=$Q$18),U5342,0)</t>
  </si>
  <si>
    <t>=IF(AND($M5342&gt;=$R$16,$M5342&lt;=$R$18),U5342,0)</t>
  </si>
  <si>
    <t>=IF(AND($M5342&gt;=$S$16,$M5342&lt;=$S$18),U5342,0)</t>
  </si>
  <si>
    <t>=IF($M5342&lt;=$T$18,U5342,0)</t>
  </si>
  <si>
    <t>="""NAV Direct"",""CRONUS JetCorp USA"",""21"",""1"",""440421"""</t>
  </si>
  <si>
    <t>=E5341</t>
  </si>
  <si>
    <t>=StartDate-$M5343+1</t>
  </si>
  <si>
    <t>=SUM(P5343:T5343)</t>
  </si>
  <si>
    <t>=IF($M5343&gt;=$P$18,U5343,0)</t>
  </si>
  <si>
    <t>=IF(AND($M5343&gt;=$Q$16,$M5343&lt;=$Q$18),U5343,0)</t>
  </si>
  <si>
    <t>=IF(AND($M5343&gt;=$R$16,$M5343&lt;=$R$18),U5343,0)</t>
  </si>
  <si>
    <t>=IF(AND($M5343&gt;=$S$16,$M5343&lt;=$S$18),U5343,0)</t>
  </si>
  <si>
    <t>=IF($M5343&lt;=$T$18,U5343,0)</t>
  </si>
  <si>
    <t>="""NAV Direct"",""CRONUS JetCorp USA"",""21"",""1"",""440578"""</t>
  </si>
  <si>
    <t>=E5342</t>
  </si>
  <si>
    <t>=StartDate-$M5344+1</t>
  </si>
  <si>
    <t>=SUM(P5344:T5344)</t>
  </si>
  <si>
    <t>=IF($M5344&gt;=$P$18,U5344,0)</t>
  </si>
  <si>
    <t>=IF(AND($M5344&gt;=$Q$16,$M5344&lt;=$Q$18),U5344,0)</t>
  </si>
  <si>
    <t>=IF(AND($M5344&gt;=$R$16,$M5344&lt;=$R$18),U5344,0)</t>
  </si>
  <si>
    <t>=IF(AND($M5344&gt;=$S$16,$M5344&lt;=$S$18),U5344,0)</t>
  </si>
  <si>
    <t>=IF($M5344&lt;=$T$18,U5344,0)</t>
  </si>
  <si>
    <t>="""NAV Direct"",""CRONUS JetCorp USA"",""21"",""1"",""440612"""</t>
  </si>
  <si>
    <t>=E5343</t>
  </si>
  <si>
    <t>=StartDate-$M5345+1</t>
  </si>
  <si>
    <t>=SUM(P5345:T5345)</t>
  </si>
  <si>
    <t>=IF($M5345&gt;=$P$18,U5345,0)</t>
  </si>
  <si>
    <t>=IF(AND($M5345&gt;=$Q$16,$M5345&lt;=$Q$18),U5345,0)</t>
  </si>
  <si>
    <t>=IF(AND($M5345&gt;=$R$16,$M5345&lt;=$R$18),U5345,0)</t>
  </si>
  <si>
    <t>=IF(AND($M5345&gt;=$S$16,$M5345&lt;=$S$18),U5345,0)</t>
  </si>
  <si>
    <t>=IF($M5345&lt;=$T$18,U5345,0)</t>
  </si>
  <si>
    <t>="""NAV Direct"",""CRONUS JetCorp USA"",""21"",""1"",""440624"""</t>
  </si>
  <si>
    <t>=E5344</t>
  </si>
  <si>
    <t>=StartDate-$M5346+1</t>
  </si>
  <si>
    <t>=SUM(P5346:T5346)</t>
  </si>
  <si>
    <t>=IF($M5346&gt;=$P$18,U5346,0)</t>
  </si>
  <si>
    <t>=IF(AND($M5346&gt;=$Q$16,$M5346&lt;=$Q$18),U5346,0)</t>
  </si>
  <si>
    <t>=IF(AND($M5346&gt;=$R$16,$M5346&lt;=$R$18),U5346,0)</t>
  </si>
  <si>
    <t>=IF(AND($M5346&gt;=$S$16,$M5346&lt;=$S$18),U5346,0)</t>
  </si>
  <si>
    <t>=IF($M5346&lt;=$T$18,U5346,0)</t>
  </si>
  <si>
    <t>="""NAV Direct"",""CRONUS JetCorp USA"",""21"",""1"",""440732"""</t>
  </si>
  <si>
    <t>=E5345</t>
  </si>
  <si>
    <t>=StartDate-$M5347+1</t>
  </si>
  <si>
    <t>=SUM(P5347:T5347)</t>
  </si>
  <si>
    <t>=IF($M5347&gt;=$P$18,U5347,0)</t>
  </si>
  <si>
    <t>=IF(AND($M5347&gt;=$Q$16,$M5347&lt;=$Q$18),U5347,0)</t>
  </si>
  <si>
    <t>=IF(AND($M5347&gt;=$R$16,$M5347&lt;=$R$18),U5347,0)</t>
  </si>
  <si>
    <t>=IF(AND($M5347&gt;=$S$16,$M5347&lt;=$S$18),U5347,0)</t>
  </si>
  <si>
    <t>=IF($M5347&lt;=$T$18,U5347,0)</t>
  </si>
  <si>
    <t>="""NAV Direct"",""CRONUS JetCorp USA"",""21"",""1"",""440929"""</t>
  </si>
  <si>
    <t>=E5346</t>
  </si>
  <si>
    <t>=StartDate-$M5348+1</t>
  </si>
  <si>
    <t>=SUM(P5348:T5348)</t>
  </si>
  <si>
    <t>=IF($M5348&gt;=$P$18,U5348,0)</t>
  </si>
  <si>
    <t>=IF(AND($M5348&gt;=$Q$16,$M5348&lt;=$Q$18),U5348,0)</t>
  </si>
  <si>
    <t>=IF(AND($M5348&gt;=$R$16,$M5348&lt;=$R$18),U5348,0)</t>
  </si>
  <si>
    <t>=IF(AND($M5348&gt;=$S$16,$M5348&lt;=$S$18),U5348,0)</t>
  </si>
  <si>
    <t>=IF($M5348&lt;=$T$18,U5348,0)</t>
  </si>
  <si>
    <t>="""NAV Direct"",""CRONUS JetCorp USA"",""21"",""1"",""441072"""</t>
  </si>
  <si>
    <t>=E5347</t>
  </si>
  <si>
    <t>=StartDate-$M5349+1</t>
  </si>
  <si>
    <t>=SUM(P5349:T5349)</t>
  </si>
  <si>
    <t>=IF($M5349&gt;=$P$18,U5349,0)</t>
  </si>
  <si>
    <t>=IF(AND($M5349&gt;=$Q$16,$M5349&lt;=$Q$18),U5349,0)</t>
  </si>
  <si>
    <t>=IF(AND($M5349&gt;=$R$16,$M5349&lt;=$R$18),U5349,0)</t>
  </si>
  <si>
    <t>=IF(AND($M5349&gt;=$S$16,$M5349&lt;=$S$18),U5349,0)</t>
  </si>
  <si>
    <t>=IF($M5349&lt;=$T$18,U5349,0)</t>
  </si>
  <si>
    <t>="""NAV Direct"",""CRONUS JetCorp USA"",""21"",""1"",""441196"""</t>
  </si>
  <si>
    <t>=E5348</t>
  </si>
  <si>
    <t>=StartDate-$M5350+1</t>
  </si>
  <si>
    <t>=SUM(P5350:T5350)</t>
  </si>
  <si>
    <t>=IF($M5350&gt;=$P$18,U5350,0)</t>
  </si>
  <si>
    <t>=IF(AND($M5350&gt;=$Q$16,$M5350&lt;=$Q$18),U5350,0)</t>
  </si>
  <si>
    <t>=IF(AND($M5350&gt;=$R$16,$M5350&lt;=$R$18),U5350,0)</t>
  </si>
  <si>
    <t>=IF(AND($M5350&gt;=$S$16,$M5350&lt;=$S$18),U5350,0)</t>
  </si>
  <si>
    <t>=IF($M5350&lt;=$T$18,U5350,0)</t>
  </si>
  <si>
    <t>="""NAV Direct"",""CRONUS JetCorp USA"",""21"",""1"",""441240"""</t>
  </si>
  <si>
    <t>=E5349</t>
  </si>
  <si>
    <t>=StartDate-$M5351+1</t>
  </si>
  <si>
    <t>=SUM(P5351:T5351)</t>
  </si>
  <si>
    <t>=IF($M5351&gt;=$P$18,U5351,0)</t>
  </si>
  <si>
    <t>=IF(AND($M5351&gt;=$Q$16,$M5351&lt;=$Q$18),U5351,0)</t>
  </si>
  <si>
    <t>=IF(AND($M5351&gt;=$R$16,$M5351&lt;=$R$18),U5351,0)</t>
  </si>
  <si>
    <t>=IF(AND($M5351&gt;=$S$16,$M5351&lt;=$S$18),U5351,0)</t>
  </si>
  <si>
    <t>=IF($M5351&lt;=$T$18,U5351,0)</t>
  </si>
  <si>
    <t>="""NAV Direct"",""CRONUS JetCorp USA"",""21"",""1"",""441271"""</t>
  </si>
  <si>
    <t>=E5350</t>
  </si>
  <si>
    <t>=StartDate-$M5352+1</t>
  </si>
  <si>
    <t>=SUM(P5352:T5352)</t>
  </si>
  <si>
    <t>=IF($M5352&gt;=$P$18,U5352,0)</t>
  </si>
  <si>
    <t>=IF(AND($M5352&gt;=$Q$16,$M5352&lt;=$Q$18),U5352,0)</t>
  </si>
  <si>
    <t>=IF(AND($M5352&gt;=$R$16,$M5352&lt;=$R$18),U5352,0)</t>
  </si>
  <si>
    <t>=IF(AND($M5352&gt;=$S$16,$M5352&lt;=$S$18),U5352,0)</t>
  </si>
  <si>
    <t>=IF($M5352&lt;=$T$18,U5352,0)</t>
  </si>
  <si>
    <t>="""NAV Direct"",""CRONUS JetCorp USA"",""18"",""1"",""C100143"""</t>
  </si>
  <si>
    <t>=H5355</t>
  </si>
  <si>
    <t>=NF($C5355,"1 No.")</t>
  </si>
  <si>
    <t>=NF($C5355,"1 No.")&amp;"  -  "&amp;NF($C5355,"2 Name")</t>
  </si>
  <si>
    <t>=IFERROR(O5355/NF(C5355,"Credit Limit (LCY)"),"")</t>
  </si>
  <si>
    <t>=SUBTOTAL(3,L5356:L5384)</t>
  </si>
  <si>
    <t>=SUBTOTAL(9,O5356:O5384)</t>
  </si>
  <si>
    <t>=SUBTOTAL(9,P5356:P5384)</t>
  </si>
  <si>
    <t>=SUBTOTAL(9,Q5356:Q5384)</t>
  </si>
  <si>
    <t>=SUBTOTAL(9,R5356:R5384)</t>
  </si>
  <si>
    <t>=SUBTOTAL(9,S5356:S5384)</t>
  </si>
  <si>
    <t>=SUBTOTAL(9,T5356:T5384)</t>
  </si>
  <si>
    <t>=C5355</t>
  </si>
  <si>
    <t>=E5355</t>
  </si>
  <si>
    <t>="Contact: "&amp;NF($C5356,"8 Contact")</t>
  </si>
  <si>
    <t>=C5356</t>
  </si>
  <si>
    <t>=E5356</t>
  </si>
  <si>
    <t>=NF($C5357,"102 E-Mail")</t>
  </si>
  <si>
    <t>=NL("Rows","21 Cust. Ledger Entry",,"3 Customer No.","@@"&amp;$E5359,"16 Remaining Amt. (LCY)","&lt;&gt;0")</t>
  </si>
  <si>
    <t>=E5357</t>
  </si>
  <si>
    <t>=StartDate-$M5359+1</t>
  </si>
  <si>
    <t>=SUM(P5359:T5359)</t>
  </si>
  <si>
    <t>=IF($M5359&gt;=$P$18,U5359,0)</t>
  </si>
  <si>
    <t>=IF(AND($M5359&gt;=$Q$16,$M5359&lt;=$Q$18),U5359,0)</t>
  </si>
  <si>
    <t>=IF(AND($M5359&gt;=$R$16,$M5359&lt;=$R$18),U5359,0)</t>
  </si>
  <si>
    <t>=IF(AND($M5359&gt;=$S$16,$M5359&lt;=$S$18),U5359,0)</t>
  </si>
  <si>
    <t>=IF($M5359&lt;=$T$18,U5359,0)</t>
  </si>
  <si>
    <t>="""NAV Direct"",""CRONUS JetCorp USA"",""21"",""1"",""402092"""</t>
  </si>
  <si>
    <t>=E5358</t>
  </si>
  <si>
    <t>=StartDate-$M5360+1</t>
  </si>
  <si>
    <t>=SUM(P5360:T5360)</t>
  </si>
  <si>
    <t>=IF($M5360&gt;=$P$18,U5360,0)</t>
  </si>
  <si>
    <t>=IF(AND($M5360&gt;=$Q$16,$M5360&lt;=$Q$18),U5360,0)</t>
  </si>
  <si>
    <t>=IF(AND($M5360&gt;=$R$16,$M5360&lt;=$R$18),U5360,0)</t>
  </si>
  <si>
    <t>=IF(AND($M5360&gt;=$S$16,$M5360&lt;=$S$18),U5360,0)</t>
  </si>
  <si>
    <t>=IF($M5360&lt;=$T$18,U5360,0)</t>
  </si>
  <si>
    <t>="""NAV Direct"",""CRONUS JetCorp USA"",""21"",""1"",""402255"""</t>
  </si>
  <si>
    <t>=E5359</t>
  </si>
  <si>
    <t>=StartDate-$M5361+1</t>
  </si>
  <si>
    <t>=SUM(P5361:T5361)</t>
  </si>
  <si>
    <t>=IF($M5361&gt;=$P$18,U5361,0)</t>
  </si>
  <si>
    <t>=IF(AND($M5361&gt;=$Q$16,$M5361&lt;=$Q$18),U5361,0)</t>
  </si>
  <si>
    <t>=IF(AND($M5361&gt;=$R$16,$M5361&lt;=$R$18),U5361,0)</t>
  </si>
  <si>
    <t>=IF(AND($M5361&gt;=$S$16,$M5361&lt;=$S$18),U5361,0)</t>
  </si>
  <si>
    <t>=IF($M5361&lt;=$T$18,U5361,0)</t>
  </si>
  <si>
    <t>="""NAV Direct"",""CRONUS JetCorp USA"",""21"",""1"",""403603"""</t>
  </si>
  <si>
    <t>=E5360</t>
  </si>
  <si>
    <t>=StartDate-$M5362+1</t>
  </si>
  <si>
    <t>=SUM(P5362:T5362)</t>
  </si>
  <si>
    <t>=IF($M5362&gt;=$P$18,U5362,0)</t>
  </si>
  <si>
    <t>=IF(AND($M5362&gt;=$Q$16,$M5362&lt;=$Q$18),U5362,0)</t>
  </si>
  <si>
    <t>=IF(AND($M5362&gt;=$R$16,$M5362&lt;=$R$18),U5362,0)</t>
  </si>
  <si>
    <t>=IF(AND($M5362&gt;=$S$16,$M5362&lt;=$S$18),U5362,0)</t>
  </si>
  <si>
    <t>=IF($M5362&lt;=$T$18,U5362,0)</t>
  </si>
  <si>
    <t>="""NAV Direct"",""CRONUS JetCorp USA"",""21"",""1"",""403826"""</t>
  </si>
  <si>
    <t>=E5361</t>
  </si>
  <si>
    <t>=StartDate-$M5363+1</t>
  </si>
  <si>
    <t>=SUM(P5363:T5363)</t>
  </si>
  <si>
    <t>=IF($M5363&gt;=$P$18,U5363,0)</t>
  </si>
  <si>
    <t>=IF(AND($M5363&gt;=$Q$16,$M5363&lt;=$Q$18),U5363,0)</t>
  </si>
  <si>
    <t>=IF(AND($M5363&gt;=$R$16,$M5363&lt;=$R$18),U5363,0)</t>
  </si>
  <si>
    <t>=IF(AND($M5363&gt;=$S$16,$M5363&lt;=$S$18),U5363,0)</t>
  </si>
  <si>
    <t>=IF($M5363&lt;=$T$18,U5363,0)</t>
  </si>
  <si>
    <t>="""NAV Direct"",""CRONUS JetCorp USA"",""21"",""1"",""403961"""</t>
  </si>
  <si>
    <t>=E5362</t>
  </si>
  <si>
    <t>=StartDate-$M5364+1</t>
  </si>
  <si>
    <t>=SUM(P5364:T5364)</t>
  </si>
  <si>
    <t>=IF($M5364&gt;=$P$18,U5364,0)</t>
  </si>
  <si>
    <t>=IF(AND($M5364&gt;=$Q$16,$M5364&lt;=$Q$18),U5364,0)</t>
  </si>
  <si>
    <t>=IF(AND($M5364&gt;=$R$16,$M5364&lt;=$R$18),U5364,0)</t>
  </si>
  <si>
    <t>=IF(AND($M5364&gt;=$S$16,$M5364&lt;=$S$18),U5364,0)</t>
  </si>
  <si>
    <t>=IF($M5364&lt;=$T$18,U5364,0)</t>
  </si>
  <si>
    <t>="""NAV Direct"",""CRONUS JetCorp USA"",""21"",""1"",""404061"""</t>
  </si>
  <si>
    <t>=E5363</t>
  </si>
  <si>
    <t>=StartDate-$M5365+1</t>
  </si>
  <si>
    <t>=SUM(P5365:T5365)</t>
  </si>
  <si>
    <t>=IF($M5365&gt;=$P$18,U5365,0)</t>
  </si>
  <si>
    <t>=IF(AND($M5365&gt;=$Q$16,$M5365&lt;=$Q$18),U5365,0)</t>
  </si>
  <si>
    <t>=IF(AND($M5365&gt;=$R$16,$M5365&lt;=$R$18),U5365,0)</t>
  </si>
  <si>
    <t>=IF(AND($M5365&gt;=$S$16,$M5365&lt;=$S$18),U5365,0)</t>
  </si>
  <si>
    <t>=IF($M5365&lt;=$T$18,U5365,0)</t>
  </si>
  <si>
    <t>="""NAV Direct"",""CRONUS JetCorp USA"",""21"",""1"",""404334"""</t>
  </si>
  <si>
    <t>=E5364</t>
  </si>
  <si>
    <t>=StartDate-$M5366+1</t>
  </si>
  <si>
    <t>=SUM(P5366:T5366)</t>
  </si>
  <si>
    <t>=IF($M5366&gt;=$P$18,U5366,0)</t>
  </si>
  <si>
    <t>=IF(AND($M5366&gt;=$Q$16,$M5366&lt;=$Q$18),U5366,0)</t>
  </si>
  <si>
    <t>=IF(AND($M5366&gt;=$R$16,$M5366&lt;=$R$18),U5366,0)</t>
  </si>
  <si>
    <t>=IF(AND($M5366&gt;=$S$16,$M5366&lt;=$S$18),U5366,0)</t>
  </si>
  <si>
    <t>=IF($M5366&lt;=$T$18,U5366,0)</t>
  </si>
  <si>
    <t>="""NAV Direct"",""CRONUS JetCorp USA"",""21"",""1"",""404784"""</t>
  </si>
  <si>
    <t>=E5365</t>
  </si>
  <si>
    <t>=StartDate-$M5367+1</t>
  </si>
  <si>
    <t>=SUM(P5367:T5367)</t>
  </si>
  <si>
    <t>=IF($M5367&gt;=$P$18,U5367,0)</t>
  </si>
  <si>
    <t>=IF(AND($M5367&gt;=$Q$16,$M5367&lt;=$Q$18),U5367,0)</t>
  </si>
  <si>
    <t>=IF(AND($M5367&gt;=$R$16,$M5367&lt;=$R$18),U5367,0)</t>
  </si>
  <si>
    <t>=IF(AND($M5367&gt;=$S$16,$M5367&lt;=$S$18),U5367,0)</t>
  </si>
  <si>
    <t>=IF($M5367&lt;=$T$18,U5367,0)</t>
  </si>
  <si>
    <t>="""NAV Direct"",""CRONUS JetCorp USA"",""21"",""1"",""404927"""</t>
  </si>
  <si>
    <t>=E5366</t>
  </si>
  <si>
    <t>=StartDate-$M5368+1</t>
  </si>
  <si>
    <t>=SUM(P5368:T5368)</t>
  </si>
  <si>
    <t>=IF($M5368&gt;=$P$18,U5368,0)</t>
  </si>
  <si>
    <t>=IF(AND($M5368&gt;=$Q$16,$M5368&lt;=$Q$18),U5368,0)</t>
  </si>
  <si>
    <t>=IF(AND($M5368&gt;=$R$16,$M5368&lt;=$R$18),U5368,0)</t>
  </si>
  <si>
    <t>=IF(AND($M5368&gt;=$S$16,$M5368&lt;=$S$18),U5368,0)</t>
  </si>
  <si>
    <t>=IF($M5368&lt;=$T$18,U5368,0)</t>
  </si>
  <si>
    <t>="""NAV Direct"",""CRONUS JetCorp USA"",""21"",""1"",""406139"""</t>
  </si>
  <si>
    <t>=E5367</t>
  </si>
  <si>
    <t>=StartDate-$M5369+1</t>
  </si>
  <si>
    <t>=SUM(P5369:T5369)</t>
  </si>
  <si>
    <t>=IF($M5369&gt;=$P$18,U5369,0)</t>
  </si>
  <si>
    <t>=IF(AND($M5369&gt;=$Q$16,$M5369&lt;=$Q$18),U5369,0)</t>
  </si>
  <si>
    <t>=IF(AND($M5369&gt;=$R$16,$M5369&lt;=$R$18),U5369,0)</t>
  </si>
  <si>
    <t>=IF(AND($M5369&gt;=$S$16,$M5369&lt;=$S$18),U5369,0)</t>
  </si>
  <si>
    <t>=IF($M5369&lt;=$T$18,U5369,0)</t>
  </si>
  <si>
    <t>="""NAV Direct"",""CRONUS JetCorp USA"",""21"",""1"",""406443"""</t>
  </si>
  <si>
    <t>=E5368</t>
  </si>
  <si>
    <t>=StartDate-$M5370+1</t>
  </si>
  <si>
    <t>=SUM(P5370:T5370)</t>
  </si>
  <si>
    <t>=IF($M5370&gt;=$P$18,U5370,0)</t>
  </si>
  <si>
    <t>=IF(AND($M5370&gt;=$Q$16,$M5370&lt;=$Q$18),U5370,0)</t>
  </si>
  <si>
    <t>=IF(AND($M5370&gt;=$R$16,$M5370&lt;=$R$18),U5370,0)</t>
  </si>
  <si>
    <t>=IF(AND($M5370&gt;=$S$16,$M5370&lt;=$S$18),U5370,0)</t>
  </si>
  <si>
    <t>=IF($M5370&lt;=$T$18,U5370,0)</t>
  </si>
  <si>
    <t>="""NAV Direct"",""CRONUS JetCorp USA"",""21"",""1"",""408700"""</t>
  </si>
  <si>
    <t>=E5369</t>
  </si>
  <si>
    <t>=StartDate-$M5371+1</t>
  </si>
  <si>
    <t>=SUM(P5371:T5371)</t>
  </si>
  <si>
    <t>=IF($M5371&gt;=$P$18,U5371,0)</t>
  </si>
  <si>
    <t>=IF(AND($M5371&gt;=$Q$16,$M5371&lt;=$Q$18),U5371,0)</t>
  </si>
  <si>
    <t>=IF(AND($M5371&gt;=$R$16,$M5371&lt;=$R$18),U5371,0)</t>
  </si>
  <si>
    <t>=IF(AND($M5371&gt;=$S$16,$M5371&lt;=$S$18),U5371,0)</t>
  </si>
  <si>
    <t>=IF($M5371&lt;=$T$18,U5371,0)</t>
  </si>
  <si>
    <t>="""NAV Direct"",""CRONUS JetCorp USA"",""21"",""1"",""408906"""</t>
  </si>
  <si>
    <t>=E5370</t>
  </si>
  <si>
    <t>=StartDate-$M5372+1</t>
  </si>
  <si>
    <t>=SUM(P5372:T5372)</t>
  </si>
  <si>
    <t>=IF($M5372&gt;=$P$18,U5372,0)</t>
  </si>
  <si>
    <t>=IF(AND($M5372&gt;=$Q$16,$M5372&lt;=$Q$18),U5372,0)</t>
  </si>
  <si>
    <t>=IF(AND($M5372&gt;=$R$16,$M5372&lt;=$R$18),U5372,0)</t>
  </si>
  <si>
    <t>=IF(AND($M5372&gt;=$S$16,$M5372&lt;=$S$18),U5372,0)</t>
  </si>
  <si>
    <t>=IF($M5372&lt;=$T$18,U5372,0)</t>
  </si>
  <si>
    <t>="""NAV Direct"",""CRONUS JetCorp USA"",""21"",""1"",""409496"""</t>
  </si>
  <si>
    <t>=E5371</t>
  </si>
  <si>
    <t>=StartDate-$M5373+1</t>
  </si>
  <si>
    <t>=SUM(P5373:T5373)</t>
  </si>
  <si>
    <t>=IF($M5373&gt;=$P$18,U5373,0)</t>
  </si>
  <si>
    <t>=IF(AND($M5373&gt;=$Q$16,$M5373&lt;=$Q$18),U5373,0)</t>
  </si>
  <si>
    <t>=IF(AND($M5373&gt;=$R$16,$M5373&lt;=$R$18),U5373,0)</t>
  </si>
  <si>
    <t>=IF(AND($M5373&gt;=$S$16,$M5373&lt;=$S$18),U5373,0)</t>
  </si>
  <si>
    <t>=IF($M5373&lt;=$T$18,U5373,0)</t>
  </si>
  <si>
    <t>="""NAV Direct"",""CRONUS JetCorp USA"",""21"",""1"",""410217"""</t>
  </si>
  <si>
    <t>=E5372</t>
  </si>
  <si>
    <t>=StartDate-$M5374+1</t>
  </si>
  <si>
    <t>=SUM(P5374:T5374)</t>
  </si>
  <si>
    <t>=IF($M5374&gt;=$P$18,U5374,0)</t>
  </si>
  <si>
    <t>=IF(AND($M5374&gt;=$Q$16,$M5374&lt;=$Q$18),U5374,0)</t>
  </si>
  <si>
    <t>=IF(AND($M5374&gt;=$R$16,$M5374&lt;=$R$18),U5374,0)</t>
  </si>
  <si>
    <t>=IF(AND($M5374&gt;=$S$16,$M5374&lt;=$S$18),U5374,0)</t>
  </si>
  <si>
    <t>=IF($M5374&lt;=$T$18,U5374,0)</t>
  </si>
  <si>
    <t>="""NAV Direct"",""CRONUS JetCorp USA"",""21"",""1"",""411537"""</t>
  </si>
  <si>
    <t>=E5373</t>
  </si>
  <si>
    <t>=StartDate-$M5375+1</t>
  </si>
  <si>
    <t>=SUM(P5375:T5375)</t>
  </si>
  <si>
    <t>=IF($M5375&gt;=$P$18,U5375,0)</t>
  </si>
  <si>
    <t>=IF(AND($M5375&gt;=$Q$16,$M5375&lt;=$Q$18),U5375,0)</t>
  </si>
  <si>
    <t>=IF(AND($M5375&gt;=$R$16,$M5375&lt;=$R$18),U5375,0)</t>
  </si>
  <si>
    <t>=IF(AND($M5375&gt;=$S$16,$M5375&lt;=$S$18),U5375,0)</t>
  </si>
  <si>
    <t>=IF($M5375&lt;=$T$18,U5375,0)</t>
  </si>
  <si>
    <t>="""NAV Direct"",""CRONUS JetCorp USA"",""21"",""1"",""411877"""</t>
  </si>
  <si>
    <t>=E5374</t>
  </si>
  <si>
    <t>=StartDate-$M5376+1</t>
  </si>
  <si>
    <t>=SUM(P5376:T5376)</t>
  </si>
  <si>
    <t>=IF($M5376&gt;=$P$18,U5376,0)</t>
  </si>
  <si>
    <t>=IF(AND($M5376&gt;=$Q$16,$M5376&lt;=$Q$18),U5376,0)</t>
  </si>
  <si>
    <t>=IF(AND($M5376&gt;=$R$16,$M5376&lt;=$R$18),U5376,0)</t>
  </si>
  <si>
    <t>=IF(AND($M5376&gt;=$S$16,$M5376&lt;=$S$18),U5376,0)</t>
  </si>
  <si>
    <t>=IF($M5376&lt;=$T$18,U5376,0)</t>
  </si>
  <si>
    <t>="""NAV Direct"",""CRONUS JetCorp USA"",""21"",""1"",""413973"""</t>
  </si>
  <si>
    <t>=E5375</t>
  </si>
  <si>
    <t>=StartDate-$M5377+1</t>
  </si>
  <si>
    <t>=SUM(P5377:T5377)</t>
  </si>
  <si>
    <t>=IF($M5377&gt;=$P$18,U5377,0)</t>
  </si>
  <si>
    <t>=IF(AND($M5377&gt;=$Q$16,$M5377&lt;=$Q$18),U5377,0)</t>
  </si>
  <si>
    <t>=IF(AND($M5377&gt;=$R$16,$M5377&lt;=$R$18),U5377,0)</t>
  </si>
  <si>
    <t>=IF(AND($M5377&gt;=$S$16,$M5377&lt;=$S$18),U5377,0)</t>
  </si>
  <si>
    <t>=IF($M5377&lt;=$T$18,U5377,0)</t>
  </si>
  <si>
    <t>="""NAV Direct"",""CRONUS JetCorp USA"",""21"",""1"",""440311"""</t>
  </si>
  <si>
    <t>=E5376</t>
  </si>
  <si>
    <t>=StartDate-$M5378+1</t>
  </si>
  <si>
    <t>=SUM(P5378:T5378)</t>
  </si>
  <si>
    <t>=IF($M5378&gt;=$P$18,U5378,0)</t>
  </si>
  <si>
    <t>=IF(AND($M5378&gt;=$Q$16,$M5378&lt;=$Q$18),U5378,0)</t>
  </si>
  <si>
    <t>=IF(AND($M5378&gt;=$R$16,$M5378&lt;=$R$18),U5378,0)</t>
  </si>
  <si>
    <t>=IF(AND($M5378&gt;=$S$16,$M5378&lt;=$S$18),U5378,0)</t>
  </si>
  <si>
    <t>=IF($M5378&lt;=$T$18,U5378,0)</t>
  </si>
  <si>
    <t>="""NAV Direct"",""CRONUS JetCorp USA"",""21"",""1"",""440508"""</t>
  </si>
  <si>
    <t>=E5377</t>
  </si>
  <si>
    <t>=StartDate-$M5379+1</t>
  </si>
  <si>
    <t>=SUM(P5379:T5379)</t>
  </si>
  <si>
    <t>=IF($M5379&gt;=$P$18,U5379,0)</t>
  </si>
  <si>
    <t>=IF(AND($M5379&gt;=$Q$16,$M5379&lt;=$Q$18),U5379,0)</t>
  </si>
  <si>
    <t>=IF(AND($M5379&gt;=$R$16,$M5379&lt;=$R$18),U5379,0)</t>
  </si>
  <si>
    <t>=IF(AND($M5379&gt;=$S$16,$M5379&lt;=$S$18),U5379,0)</t>
  </si>
  <si>
    <t>=IF($M5379&lt;=$T$18,U5379,0)</t>
  </si>
  <si>
    <t>="""NAV Direct"",""CRONUS JetCorp USA"",""21"",""1"",""440565"""</t>
  </si>
  <si>
    <t>=E5378</t>
  </si>
  <si>
    <t>=StartDate-$M5380+1</t>
  </si>
  <si>
    <t>=SUM(P5380:T5380)</t>
  </si>
  <si>
    <t>=IF($M5380&gt;=$P$18,U5380,0)</t>
  </si>
  <si>
    <t>=IF(AND($M5380&gt;=$Q$16,$M5380&lt;=$Q$18),U5380,0)</t>
  </si>
  <si>
    <t>=IF(AND($M5380&gt;=$R$16,$M5380&lt;=$R$18),U5380,0)</t>
  </si>
  <si>
    <t>=IF(AND($M5380&gt;=$S$16,$M5380&lt;=$S$18),U5380,0)</t>
  </si>
  <si>
    <t>=IF($M5380&lt;=$T$18,U5380,0)</t>
  </si>
  <si>
    <t>="""NAV Direct"",""CRONUS JetCorp USA"",""21"",""1"",""440785"""</t>
  </si>
  <si>
    <t>=E5379</t>
  </si>
  <si>
    <t>=StartDate-$M5381+1</t>
  </si>
  <si>
    <t>=SUM(P5381:T5381)</t>
  </si>
  <si>
    <t>=IF($M5381&gt;=$P$18,U5381,0)</t>
  </si>
  <si>
    <t>=IF(AND($M5381&gt;=$Q$16,$M5381&lt;=$Q$18),U5381,0)</t>
  </si>
  <si>
    <t>=IF(AND($M5381&gt;=$R$16,$M5381&lt;=$R$18),U5381,0)</t>
  </si>
  <si>
    <t>=IF(AND($M5381&gt;=$S$16,$M5381&lt;=$S$18),U5381,0)</t>
  </si>
  <si>
    <t>=IF($M5381&lt;=$T$18,U5381,0)</t>
  </si>
  <si>
    <t>="""NAV Direct"",""CRONUS JetCorp USA"",""21"",""1"",""440904"""</t>
  </si>
  <si>
    <t>=E5380</t>
  </si>
  <si>
    <t>=StartDate-$M5382+1</t>
  </si>
  <si>
    <t>=SUM(P5382:T5382)</t>
  </si>
  <si>
    <t>=IF($M5382&gt;=$P$18,U5382,0)</t>
  </si>
  <si>
    <t>=IF(AND($M5382&gt;=$Q$16,$M5382&lt;=$Q$18),U5382,0)</t>
  </si>
  <si>
    <t>=IF(AND($M5382&gt;=$R$16,$M5382&lt;=$R$18),U5382,0)</t>
  </si>
  <si>
    <t>=IF(AND($M5382&gt;=$S$16,$M5382&lt;=$S$18),U5382,0)</t>
  </si>
  <si>
    <t>=IF($M5382&lt;=$T$18,U5382,0)</t>
  </si>
  <si>
    <t>="""NAV Direct"",""CRONUS JetCorp USA"",""21"",""1"",""441360"""</t>
  </si>
  <si>
    <t>=E5381</t>
  </si>
  <si>
    <t>=StartDate-$M5383+1</t>
  </si>
  <si>
    <t>=SUM(P5383:T5383)</t>
  </si>
  <si>
    <t>=IF($M5383&gt;=$P$18,U5383,0)</t>
  </si>
  <si>
    <t>=IF(AND($M5383&gt;=$Q$16,$M5383&lt;=$Q$18),U5383,0)</t>
  </si>
  <si>
    <t>=IF(AND($M5383&gt;=$R$16,$M5383&lt;=$R$18),U5383,0)</t>
  </si>
  <si>
    <t>=IF(AND($M5383&gt;=$S$16,$M5383&lt;=$S$18),U5383,0)</t>
  </si>
  <si>
    <t>=IF($M5383&lt;=$T$18,U5383,0)</t>
  </si>
  <si>
    <t>="""NAV Direct"",""CRONUS JetCorp USA"",""18"",""1"",""C100144"""</t>
  </si>
  <si>
    <t>=H5386</t>
  </si>
  <si>
    <t>=NF($C5386,"1 No.")</t>
  </si>
  <si>
    <t>=NF($C5386,"1 No.")&amp;"  -  "&amp;NF($C5386,"2 Name")</t>
  </si>
  <si>
    <t>=IFERROR(O5386/NF(C5386,"Credit Limit (LCY)"),"")</t>
  </si>
  <si>
    <t>=SUBTOTAL(3,L5387:L5481)</t>
  </si>
  <si>
    <t>=SUBTOTAL(9,O5387:O5481)</t>
  </si>
  <si>
    <t>=SUBTOTAL(9,P5387:P5481)</t>
  </si>
  <si>
    <t>=SUBTOTAL(9,Q5387:Q5481)</t>
  </si>
  <si>
    <t>=SUBTOTAL(9,R5387:R5481)</t>
  </si>
  <si>
    <t>=SUBTOTAL(9,S5387:S5481)</t>
  </si>
  <si>
    <t>=SUBTOTAL(9,T5387:T5481)</t>
  </si>
  <si>
    <t>=C5386</t>
  </si>
  <si>
    <t>=E5386</t>
  </si>
  <si>
    <t>="Contact: "&amp;NF($C5387,"8 Contact")</t>
  </si>
  <si>
    <t>=C5387</t>
  </si>
  <si>
    <t>=E5387</t>
  </si>
  <si>
    <t>=NF($C5388,"102 E-Mail")</t>
  </si>
  <si>
    <t>=NL("Rows","21 Cust. Ledger Entry",,"3 Customer No.","@@"&amp;$E5390,"16 Remaining Amt. (LCY)","&lt;&gt;0")</t>
  </si>
  <si>
    <t>=E5388</t>
  </si>
  <si>
    <t>=StartDate-$M5390+1</t>
  </si>
  <si>
    <t>=SUM(P5390:T5390)</t>
  </si>
  <si>
    <t>=IF($M5390&gt;=$P$18,U5390,0)</t>
  </si>
  <si>
    <t>=IF(AND($M5390&gt;=$Q$16,$M5390&lt;=$Q$18),U5390,0)</t>
  </si>
  <si>
    <t>=IF(AND($M5390&gt;=$R$16,$M5390&lt;=$R$18),U5390,0)</t>
  </si>
  <si>
    <t>=IF(AND($M5390&gt;=$S$16,$M5390&lt;=$S$18),U5390,0)</t>
  </si>
  <si>
    <t>=IF($M5390&lt;=$T$18,U5390,0)</t>
  </si>
  <si>
    <t>="""NAV Direct"",""CRONUS JetCorp USA"",""21"",""1"",""154164"""</t>
  </si>
  <si>
    <t>=E5389</t>
  </si>
  <si>
    <t>=StartDate-$M5391+1</t>
  </si>
  <si>
    <t>=SUM(P5391:T5391)</t>
  </si>
  <si>
    <t>=IF($M5391&gt;=$P$18,U5391,0)</t>
  </si>
  <si>
    <t>=IF(AND($M5391&gt;=$Q$16,$M5391&lt;=$Q$18),U5391,0)</t>
  </si>
  <si>
    <t>=IF(AND($M5391&gt;=$R$16,$M5391&lt;=$R$18),U5391,0)</t>
  </si>
  <si>
    <t>=IF(AND($M5391&gt;=$S$16,$M5391&lt;=$S$18),U5391,0)</t>
  </si>
  <si>
    <t>=IF($M5391&lt;=$T$18,U5391,0)</t>
  </si>
  <si>
    <t>="""NAV Direct"",""CRONUS JetCorp USA"",""21"",""1"",""401617"""</t>
  </si>
  <si>
    <t>=E5390</t>
  </si>
  <si>
    <t>=StartDate-$M5392+1</t>
  </si>
  <si>
    <t>=SUM(P5392:T5392)</t>
  </si>
  <si>
    <t>=IF($M5392&gt;=$P$18,U5392,0)</t>
  </si>
  <si>
    <t>=IF(AND($M5392&gt;=$Q$16,$M5392&lt;=$Q$18),U5392,0)</t>
  </si>
  <si>
    <t>=IF(AND($M5392&gt;=$R$16,$M5392&lt;=$R$18),U5392,0)</t>
  </si>
  <si>
    <t>=IF(AND($M5392&gt;=$S$16,$M5392&lt;=$S$18),U5392,0)</t>
  </si>
  <si>
    <t>=IF($M5392&lt;=$T$18,U5392,0)</t>
  </si>
  <si>
    <t>="""NAV Direct"",""CRONUS JetCorp USA"",""21"",""1"",""401672"""</t>
  </si>
  <si>
    <t>=E5391</t>
  </si>
  <si>
    <t>=StartDate-$M5393+1</t>
  </si>
  <si>
    <t>=SUM(P5393:T5393)</t>
  </si>
  <si>
    <t>=IF($M5393&gt;=$P$18,U5393,0)</t>
  </si>
  <si>
    <t>=IF(AND($M5393&gt;=$Q$16,$M5393&lt;=$Q$18),U5393,0)</t>
  </si>
  <si>
    <t>=IF(AND($M5393&gt;=$R$16,$M5393&lt;=$R$18),U5393,0)</t>
  </si>
  <si>
    <t>=IF(AND($M5393&gt;=$S$16,$M5393&lt;=$S$18),U5393,0)</t>
  </si>
  <si>
    <t>=IF($M5393&lt;=$T$18,U5393,0)</t>
  </si>
  <si>
    <t>="""NAV Direct"",""CRONUS JetCorp USA"",""21"",""1"",""401727"""</t>
  </si>
  <si>
    <t>=E5392</t>
  </si>
  <si>
    <t>=StartDate-$M5394+1</t>
  </si>
  <si>
    <t>=SUM(P5394:T5394)</t>
  </si>
  <si>
    <t>=IF($M5394&gt;=$P$18,U5394,0)</t>
  </si>
  <si>
    <t>=IF(AND($M5394&gt;=$Q$16,$M5394&lt;=$Q$18),U5394,0)</t>
  </si>
  <si>
    <t>=IF(AND($M5394&gt;=$R$16,$M5394&lt;=$R$18),U5394,0)</t>
  </si>
  <si>
    <t>=IF(AND($M5394&gt;=$S$16,$M5394&lt;=$S$18),U5394,0)</t>
  </si>
  <si>
    <t>=IF($M5394&lt;=$T$18,U5394,0)</t>
  </si>
  <si>
    <t>="""NAV Direct"",""CRONUS JetCorp USA"",""21"",""1"",""401821"""</t>
  </si>
  <si>
    <t>=E5393</t>
  </si>
  <si>
    <t>=StartDate-$M5395+1</t>
  </si>
  <si>
    <t>=SUM(P5395:T5395)</t>
  </si>
  <si>
    <t>=IF($M5395&gt;=$P$18,U5395,0)</t>
  </si>
  <si>
    <t>=IF(AND($M5395&gt;=$Q$16,$M5395&lt;=$Q$18),U5395,0)</t>
  </si>
  <si>
    <t>=IF(AND($M5395&gt;=$R$16,$M5395&lt;=$R$18),U5395,0)</t>
  </si>
  <si>
    <t>=IF(AND($M5395&gt;=$S$16,$M5395&lt;=$S$18),U5395,0)</t>
  </si>
  <si>
    <t>=IF($M5395&lt;=$T$18,U5395,0)</t>
  </si>
  <si>
    <t>="""NAV Direct"",""CRONUS JetCorp USA"",""21"",""1"",""401992"""</t>
  </si>
  <si>
    <t>=E5394</t>
  </si>
  <si>
    <t>=StartDate-$M5396+1</t>
  </si>
  <si>
    <t>=SUM(P5396:T5396)</t>
  </si>
  <si>
    <t>=IF($M5396&gt;=$P$18,U5396,0)</t>
  </si>
  <si>
    <t>=IF(AND($M5396&gt;=$Q$16,$M5396&lt;=$Q$18),U5396,0)</t>
  </si>
  <si>
    <t>=IF(AND($M5396&gt;=$R$16,$M5396&lt;=$R$18),U5396,0)</t>
  </si>
  <si>
    <t>=IF(AND($M5396&gt;=$S$16,$M5396&lt;=$S$18),U5396,0)</t>
  </si>
  <si>
    <t>=IF($M5396&lt;=$T$18,U5396,0)</t>
  </si>
  <si>
    <t>="""NAV Direct"",""CRONUS JetCorp USA"",""21"",""1"",""402526"""</t>
  </si>
  <si>
    <t>=E5395</t>
  </si>
  <si>
    <t>=StartDate-$M5397+1</t>
  </si>
  <si>
    <t>=SUM(P5397:T5397)</t>
  </si>
  <si>
    <t>=IF($M5397&gt;=$P$18,U5397,0)</t>
  </si>
  <si>
    <t>=IF(AND($M5397&gt;=$Q$16,$M5397&lt;=$Q$18),U5397,0)</t>
  </si>
  <si>
    <t>=IF(AND($M5397&gt;=$R$16,$M5397&lt;=$R$18),U5397,0)</t>
  </si>
  <si>
    <t>=IF(AND($M5397&gt;=$S$16,$M5397&lt;=$S$18),U5397,0)</t>
  </si>
  <si>
    <t>=IF($M5397&lt;=$T$18,U5397,0)</t>
  </si>
  <si>
    <t>="""NAV Direct"",""CRONUS JetCorp USA"",""21"",""1"",""402610"""</t>
  </si>
  <si>
    <t>=E5396</t>
  </si>
  <si>
    <t>=StartDate-$M5398+1</t>
  </si>
  <si>
    <t>=SUM(P5398:T5398)</t>
  </si>
  <si>
    <t>=IF($M5398&gt;=$P$18,U5398,0)</t>
  </si>
  <si>
    <t>=IF(AND($M5398&gt;=$Q$16,$M5398&lt;=$Q$18),U5398,0)</t>
  </si>
  <si>
    <t>=IF(AND($M5398&gt;=$R$16,$M5398&lt;=$R$18),U5398,0)</t>
  </si>
  <si>
    <t>=IF(AND($M5398&gt;=$S$16,$M5398&lt;=$S$18),U5398,0)</t>
  </si>
  <si>
    <t>=IF($M5398&lt;=$T$18,U5398,0)</t>
  </si>
  <si>
    <t>="""NAV Direct"",""CRONUS JetCorp USA"",""21"",""1"",""402737"""</t>
  </si>
  <si>
    <t>=E5397</t>
  </si>
  <si>
    <t>=StartDate-$M5399+1</t>
  </si>
  <si>
    <t>=SUM(P5399:T5399)</t>
  </si>
  <si>
    <t>=IF($M5399&gt;=$P$18,U5399,0)</t>
  </si>
  <si>
    <t>=IF(AND($M5399&gt;=$Q$16,$M5399&lt;=$Q$18),U5399,0)</t>
  </si>
  <si>
    <t>=IF(AND($M5399&gt;=$R$16,$M5399&lt;=$R$18),U5399,0)</t>
  </si>
  <si>
    <t>=IF(AND($M5399&gt;=$S$16,$M5399&lt;=$S$18),U5399,0)</t>
  </si>
  <si>
    <t>=IF($M5399&lt;=$T$18,U5399,0)</t>
  </si>
  <si>
    <t>="""NAV Direct"",""CRONUS JetCorp USA"",""21"",""1"",""402780"""</t>
  </si>
  <si>
    <t>=E5398</t>
  </si>
  <si>
    <t>=StartDate-$M5400+1</t>
  </si>
  <si>
    <t>=SUM(P5400:T5400)</t>
  </si>
  <si>
    <t>=IF($M5400&gt;=$P$18,U5400,0)</t>
  </si>
  <si>
    <t>=IF(AND($M5400&gt;=$Q$16,$M5400&lt;=$Q$18),U5400,0)</t>
  </si>
  <si>
    <t>=IF(AND($M5400&gt;=$R$16,$M5400&lt;=$R$18),U5400,0)</t>
  </si>
  <si>
    <t>=IF(AND($M5400&gt;=$S$16,$M5400&lt;=$S$18),U5400,0)</t>
  </si>
  <si>
    <t>=IF($M5400&lt;=$T$18,U5400,0)</t>
  </si>
  <si>
    <t>="""NAV Direct"",""CRONUS JetCorp USA"",""21"",""1"",""402819"""</t>
  </si>
  <si>
    <t>=E5399</t>
  </si>
  <si>
    <t>=StartDate-$M5401+1</t>
  </si>
  <si>
    <t>=SUM(P5401:T5401)</t>
  </si>
  <si>
    <t>=IF($M5401&gt;=$P$18,U5401,0)</t>
  </si>
  <si>
    <t>=IF(AND($M5401&gt;=$Q$16,$M5401&lt;=$Q$18),U5401,0)</t>
  </si>
  <si>
    <t>=IF(AND($M5401&gt;=$R$16,$M5401&lt;=$R$18),U5401,0)</t>
  </si>
  <si>
    <t>=IF(AND($M5401&gt;=$S$16,$M5401&lt;=$S$18),U5401,0)</t>
  </si>
  <si>
    <t>=IF($M5401&lt;=$T$18,U5401,0)</t>
  </si>
  <si>
    <t>="""NAV Direct"",""CRONUS JetCorp USA"",""21"",""1"",""403252"""</t>
  </si>
  <si>
    <t>=E5400</t>
  </si>
  <si>
    <t>=StartDate-$M5402+1</t>
  </si>
  <si>
    <t>=SUM(P5402:T5402)</t>
  </si>
  <si>
    <t>=IF($M5402&gt;=$P$18,U5402,0)</t>
  </si>
  <si>
    <t>=IF(AND($M5402&gt;=$Q$16,$M5402&lt;=$Q$18),U5402,0)</t>
  </si>
  <si>
    <t>=IF(AND($M5402&gt;=$R$16,$M5402&lt;=$R$18),U5402,0)</t>
  </si>
  <si>
    <t>=IF(AND($M5402&gt;=$S$16,$M5402&lt;=$S$18),U5402,0)</t>
  </si>
  <si>
    <t>=IF($M5402&lt;=$T$18,U5402,0)</t>
  </si>
  <si>
    <t>="""NAV Direct"",""CRONUS JetCorp USA"",""21"",""1"",""403650"""</t>
  </si>
  <si>
    <t>=E5401</t>
  </si>
  <si>
    <t>=StartDate-$M5403+1</t>
  </si>
  <si>
    <t>=SUM(P5403:T5403)</t>
  </si>
  <si>
    <t>=IF($M5403&gt;=$P$18,U5403,0)</t>
  </si>
  <si>
    <t>=IF(AND($M5403&gt;=$Q$16,$M5403&lt;=$Q$18),U5403,0)</t>
  </si>
  <si>
    <t>=IF(AND($M5403&gt;=$R$16,$M5403&lt;=$R$18),U5403,0)</t>
  </si>
  <si>
    <t>=IF(AND($M5403&gt;=$S$16,$M5403&lt;=$S$18),U5403,0)</t>
  </si>
  <si>
    <t>=IF($M5403&lt;=$T$18,U5403,0)</t>
  </si>
  <si>
    <t>="""NAV Direct"",""CRONUS JetCorp USA"",""21"",""1"",""403871"""</t>
  </si>
  <si>
    <t>=E5402</t>
  </si>
  <si>
    <t>=StartDate-$M5404+1</t>
  </si>
  <si>
    <t>=SUM(P5404:T5404)</t>
  </si>
  <si>
    <t>=IF($M5404&gt;=$P$18,U5404,0)</t>
  </si>
  <si>
    <t>=IF(AND($M5404&gt;=$Q$16,$M5404&lt;=$Q$18),U5404,0)</t>
  </si>
  <si>
    <t>=IF(AND($M5404&gt;=$R$16,$M5404&lt;=$R$18),U5404,0)</t>
  </si>
  <si>
    <t>=IF(AND($M5404&gt;=$S$16,$M5404&lt;=$S$18),U5404,0)</t>
  </si>
  <si>
    <t>=IF($M5404&lt;=$T$18,U5404,0)</t>
  </si>
  <si>
    <t>="""NAV Direct"",""CRONUS JetCorp USA"",""21"",""1"",""404006"""</t>
  </si>
  <si>
    <t>=E5403</t>
  </si>
  <si>
    <t>=StartDate-$M5405+1</t>
  </si>
  <si>
    <t>=SUM(P5405:T5405)</t>
  </si>
  <si>
    <t>=IF($M5405&gt;=$P$18,U5405,0)</t>
  </si>
  <si>
    <t>=IF(AND($M5405&gt;=$Q$16,$M5405&lt;=$Q$18),U5405,0)</t>
  </si>
  <si>
    <t>=IF(AND($M5405&gt;=$R$16,$M5405&lt;=$R$18),U5405,0)</t>
  </si>
  <si>
    <t>=IF(AND($M5405&gt;=$S$16,$M5405&lt;=$S$18),U5405,0)</t>
  </si>
  <si>
    <t>=IF($M5405&lt;=$T$18,U5405,0)</t>
  </si>
  <si>
    <t>="""NAV Direct"",""CRONUS JetCorp USA"",""21"",""1"",""404146"""</t>
  </si>
  <si>
    <t>=E5404</t>
  </si>
  <si>
    <t>=StartDate-$M5406+1</t>
  </si>
  <si>
    <t>=SUM(P5406:T5406)</t>
  </si>
  <si>
    <t>=IF($M5406&gt;=$P$18,U5406,0)</t>
  </si>
  <si>
    <t>=IF(AND($M5406&gt;=$Q$16,$M5406&lt;=$Q$18),U5406,0)</t>
  </si>
  <si>
    <t>=IF(AND($M5406&gt;=$R$16,$M5406&lt;=$R$18),U5406,0)</t>
  </si>
  <si>
    <t>=IF(AND($M5406&gt;=$S$16,$M5406&lt;=$S$18),U5406,0)</t>
  </si>
  <si>
    <t>=IF($M5406&lt;=$T$18,U5406,0)</t>
  </si>
  <si>
    <t>="""NAV Direct"",""CRONUS JetCorp USA"",""21"",""1"",""404193"""</t>
  </si>
  <si>
    <t>=E5405</t>
  </si>
  <si>
    <t>=StartDate-$M5407+1</t>
  </si>
  <si>
    <t>=SUM(P5407:T5407)</t>
  </si>
  <si>
    <t>=IF($M5407&gt;=$P$18,U5407,0)</t>
  </si>
  <si>
    <t>=IF(AND($M5407&gt;=$Q$16,$M5407&lt;=$Q$18),U5407,0)</t>
  </si>
  <si>
    <t>=IF(AND($M5407&gt;=$R$16,$M5407&lt;=$R$18),U5407,0)</t>
  </si>
  <si>
    <t>=IF(AND($M5407&gt;=$S$16,$M5407&lt;=$S$18),U5407,0)</t>
  </si>
  <si>
    <t>=IF($M5407&lt;=$T$18,U5407,0)</t>
  </si>
  <si>
    <t>="""NAV Direct"",""CRONUS JetCorp USA"",""21"",""1"",""404385"""</t>
  </si>
  <si>
    <t>=E5406</t>
  </si>
  <si>
    <t>=StartDate-$M5408+1</t>
  </si>
  <si>
    <t>=SUM(P5408:T5408)</t>
  </si>
  <si>
    <t>=IF($M5408&gt;=$P$18,U5408,0)</t>
  </si>
  <si>
    <t>=IF(AND($M5408&gt;=$Q$16,$M5408&lt;=$Q$18),U5408,0)</t>
  </si>
  <si>
    <t>=IF(AND($M5408&gt;=$R$16,$M5408&lt;=$R$18),U5408,0)</t>
  </si>
  <si>
    <t>=IF(AND($M5408&gt;=$S$16,$M5408&lt;=$S$18),U5408,0)</t>
  </si>
  <si>
    <t>=IF($M5408&lt;=$T$18,U5408,0)</t>
  </si>
  <si>
    <t>="""NAV Direct"",""CRONUS JetCorp USA"",""21"",""1"",""404497"""</t>
  </si>
  <si>
    <t>=E5407</t>
  </si>
  <si>
    <t>=StartDate-$M5409+1</t>
  </si>
  <si>
    <t>=SUM(P5409:T5409)</t>
  </si>
  <si>
    <t>=IF($M5409&gt;=$P$18,U5409,0)</t>
  </si>
  <si>
    <t>=IF(AND($M5409&gt;=$Q$16,$M5409&lt;=$Q$18),U5409,0)</t>
  </si>
  <si>
    <t>=IF(AND($M5409&gt;=$R$16,$M5409&lt;=$R$18),U5409,0)</t>
  </si>
  <si>
    <t>=IF(AND($M5409&gt;=$S$16,$M5409&lt;=$S$18),U5409,0)</t>
  </si>
  <si>
    <t>=IF($M5409&lt;=$T$18,U5409,0)</t>
  </si>
  <si>
    <t>="""NAV Direct"",""CRONUS JetCorp USA"",""21"",""1"",""404550"""</t>
  </si>
  <si>
    <t>=E5408</t>
  </si>
  <si>
    <t>=StartDate-$M5410+1</t>
  </si>
  <si>
    <t>=SUM(P5410:T5410)</t>
  </si>
  <si>
    <t>=IF($M5410&gt;=$P$18,U5410,0)</t>
  </si>
  <si>
    <t>=IF(AND($M5410&gt;=$Q$16,$M5410&lt;=$Q$18),U5410,0)</t>
  </si>
  <si>
    <t>=IF(AND($M5410&gt;=$R$16,$M5410&lt;=$R$18),U5410,0)</t>
  </si>
  <si>
    <t>=IF(AND($M5410&gt;=$S$16,$M5410&lt;=$S$18),U5410,0)</t>
  </si>
  <si>
    <t>=IF($M5410&lt;=$T$18,U5410,0)</t>
  </si>
  <si>
    <t>="""NAV Direct"",""CRONUS JetCorp USA"",""21"",""1"",""404980"""</t>
  </si>
  <si>
    <t>=E5409</t>
  </si>
  <si>
    <t>=StartDate-$M5411+1</t>
  </si>
  <si>
    <t>=SUM(P5411:T5411)</t>
  </si>
  <si>
    <t>=IF($M5411&gt;=$P$18,U5411,0)</t>
  </si>
  <si>
    <t>=IF(AND($M5411&gt;=$Q$16,$M5411&lt;=$Q$18),U5411,0)</t>
  </si>
  <si>
    <t>=IF(AND($M5411&gt;=$R$16,$M5411&lt;=$R$18),U5411,0)</t>
  </si>
  <si>
    <t>=IF(AND($M5411&gt;=$S$16,$M5411&lt;=$S$18),U5411,0)</t>
  </si>
  <si>
    <t>=IF($M5411&lt;=$T$18,U5411,0)</t>
  </si>
  <si>
    <t>="""NAV Direct"",""CRONUS JetCorp USA"",""21"",""1"",""405437"""</t>
  </si>
  <si>
    <t>=E5410</t>
  </si>
  <si>
    <t>=StartDate-$M5412+1</t>
  </si>
  <si>
    <t>=SUM(P5412:T5412)</t>
  </si>
  <si>
    <t>=IF($M5412&gt;=$P$18,U5412,0)</t>
  </si>
  <si>
    <t>=IF(AND($M5412&gt;=$Q$16,$M5412&lt;=$Q$18),U5412,0)</t>
  </si>
  <si>
    <t>=IF(AND($M5412&gt;=$R$16,$M5412&lt;=$R$18),U5412,0)</t>
  </si>
  <si>
    <t>=IF(AND($M5412&gt;=$S$16,$M5412&lt;=$S$18),U5412,0)</t>
  </si>
  <si>
    <t>=IF($M5412&lt;=$T$18,U5412,0)</t>
  </si>
  <si>
    <t>="""NAV Direct"",""CRONUS JetCorp USA"",""21"",""1"",""405478"""</t>
  </si>
  <si>
    <t>=E5411</t>
  </si>
  <si>
    <t>=StartDate-$M5413+1</t>
  </si>
  <si>
    <t>=SUM(P5413:T5413)</t>
  </si>
  <si>
    <t>=IF($M5413&gt;=$P$18,U5413,0)</t>
  </si>
  <si>
    <t>=IF(AND($M5413&gt;=$Q$16,$M5413&lt;=$Q$18),U5413,0)</t>
  </si>
  <si>
    <t>=IF(AND($M5413&gt;=$R$16,$M5413&lt;=$R$18),U5413,0)</t>
  </si>
  <si>
    <t>=IF(AND($M5413&gt;=$S$16,$M5413&lt;=$S$18),U5413,0)</t>
  </si>
  <si>
    <t>=IF($M5413&lt;=$T$18,U5413,0)</t>
  </si>
  <si>
    <t>="""NAV Direct"",""CRONUS JetCorp USA"",""21"",""1"",""405523"""</t>
  </si>
  <si>
    <t>=E5412</t>
  </si>
  <si>
    <t>=StartDate-$M5414+1</t>
  </si>
  <si>
    <t>=SUM(P5414:T5414)</t>
  </si>
  <si>
    <t>=IF($M5414&gt;=$P$18,U5414,0)</t>
  </si>
  <si>
    <t>=IF(AND($M5414&gt;=$Q$16,$M5414&lt;=$Q$18),U5414,0)</t>
  </si>
  <si>
    <t>=IF(AND($M5414&gt;=$R$16,$M5414&lt;=$R$18),U5414,0)</t>
  </si>
  <si>
    <t>=IF(AND($M5414&gt;=$S$16,$M5414&lt;=$S$18),U5414,0)</t>
  </si>
  <si>
    <t>=IF($M5414&lt;=$T$18,U5414,0)</t>
  </si>
  <si>
    <t>="""NAV Direct"",""CRONUS JetCorp USA"",""21"",""1"",""405566"""</t>
  </si>
  <si>
    <t>=E5413</t>
  </si>
  <si>
    <t>=StartDate-$M5415+1</t>
  </si>
  <si>
    <t>=SUM(P5415:T5415)</t>
  </si>
  <si>
    <t>=IF($M5415&gt;=$P$18,U5415,0)</t>
  </si>
  <si>
    <t>=IF(AND($M5415&gt;=$Q$16,$M5415&lt;=$Q$18),U5415,0)</t>
  </si>
  <si>
    <t>=IF(AND($M5415&gt;=$R$16,$M5415&lt;=$R$18),U5415,0)</t>
  </si>
  <si>
    <t>=IF(AND($M5415&gt;=$S$16,$M5415&lt;=$S$18),U5415,0)</t>
  </si>
  <si>
    <t>=IF($M5415&lt;=$T$18,U5415,0)</t>
  </si>
  <si>
    <t>="""NAV Direct"",""CRONUS JetCorp USA"",""21"",""1"",""405688"""</t>
  </si>
  <si>
    <t>=E5414</t>
  </si>
  <si>
    <t>=StartDate-$M5416+1</t>
  </si>
  <si>
    <t>=SUM(P5416:T5416)</t>
  </si>
  <si>
    <t>=IF($M5416&gt;=$P$18,U5416,0)</t>
  </si>
  <si>
    <t>=IF(AND($M5416&gt;=$Q$16,$M5416&lt;=$Q$18),U5416,0)</t>
  </si>
  <si>
    <t>=IF(AND($M5416&gt;=$R$16,$M5416&lt;=$R$18),U5416,0)</t>
  </si>
  <si>
    <t>=IF(AND($M5416&gt;=$S$16,$M5416&lt;=$S$18),U5416,0)</t>
  </si>
  <si>
    <t>=IF($M5416&lt;=$T$18,U5416,0)</t>
  </si>
  <si>
    <t>="""NAV Direct"",""CRONUS JetCorp USA"",""21"",""1"",""405911"""</t>
  </si>
  <si>
    <t>=E5415</t>
  </si>
  <si>
    <t>=StartDate-$M5417+1</t>
  </si>
  <si>
    <t>=SUM(P5417:T5417)</t>
  </si>
  <si>
    <t>=IF($M5417&gt;=$P$18,U5417,0)</t>
  </si>
  <si>
    <t>=IF(AND($M5417&gt;=$Q$16,$M5417&lt;=$Q$18),U5417,0)</t>
  </si>
  <si>
    <t>=IF(AND($M5417&gt;=$R$16,$M5417&lt;=$R$18),U5417,0)</t>
  </si>
  <si>
    <t>=IF(AND($M5417&gt;=$S$16,$M5417&lt;=$S$18),U5417,0)</t>
  </si>
  <si>
    <t>=IF($M5417&lt;=$T$18,U5417,0)</t>
  </si>
  <si>
    <t>="""NAV Direct"",""CRONUS JetCorp USA"",""21"",""1"",""406270"""</t>
  </si>
  <si>
    <t>=E5416</t>
  </si>
  <si>
    <t>=StartDate-$M5418+1</t>
  </si>
  <si>
    <t>=SUM(P5418:T5418)</t>
  </si>
  <si>
    <t>=IF($M5418&gt;=$P$18,U5418,0)</t>
  </si>
  <si>
    <t>=IF(AND($M5418&gt;=$Q$16,$M5418&lt;=$Q$18),U5418,0)</t>
  </si>
  <si>
    <t>=IF(AND($M5418&gt;=$R$16,$M5418&lt;=$R$18),U5418,0)</t>
  </si>
  <si>
    <t>=IF(AND($M5418&gt;=$S$16,$M5418&lt;=$S$18),U5418,0)</t>
  </si>
  <si>
    <t>=IF($M5418&lt;=$T$18,U5418,0)</t>
  </si>
  <si>
    <t>="""NAV Direct"",""CRONUS JetCorp USA"",""21"",""1"",""406656"""</t>
  </si>
  <si>
    <t>=E5417</t>
  </si>
  <si>
    <t>=StartDate-$M5419+1</t>
  </si>
  <si>
    <t>=SUM(P5419:T5419)</t>
  </si>
  <si>
    <t>=IF($M5419&gt;=$P$18,U5419,0)</t>
  </si>
  <si>
    <t>=IF(AND($M5419&gt;=$Q$16,$M5419&lt;=$Q$18),U5419,0)</t>
  </si>
  <si>
    <t>=IF(AND($M5419&gt;=$R$16,$M5419&lt;=$R$18),U5419,0)</t>
  </si>
  <si>
    <t>=IF(AND($M5419&gt;=$S$16,$M5419&lt;=$S$18),U5419,0)</t>
  </si>
  <si>
    <t>=IF($M5419&lt;=$T$18,U5419,0)</t>
  </si>
  <si>
    <t>="""NAV Direct"",""CRONUS JetCorp USA"",""21"",""1"",""406964"""</t>
  </si>
  <si>
    <t>=E5418</t>
  </si>
  <si>
    <t>=StartDate-$M5420+1</t>
  </si>
  <si>
    <t>=SUM(P5420:T5420)</t>
  </si>
  <si>
    <t>=IF($M5420&gt;=$P$18,U5420,0)</t>
  </si>
  <si>
    <t>=IF(AND($M5420&gt;=$Q$16,$M5420&lt;=$Q$18),U5420,0)</t>
  </si>
  <si>
    <t>=IF(AND($M5420&gt;=$R$16,$M5420&lt;=$R$18),U5420,0)</t>
  </si>
  <si>
    <t>=IF(AND($M5420&gt;=$S$16,$M5420&lt;=$S$18),U5420,0)</t>
  </si>
  <si>
    <t>=IF($M5420&lt;=$T$18,U5420,0)</t>
  </si>
  <si>
    <t>="""NAV Direct"",""CRONUS JetCorp USA"",""21"",""1"",""407200"""</t>
  </si>
  <si>
    <t>=E5419</t>
  </si>
  <si>
    <t>=StartDate-$M5421+1</t>
  </si>
  <si>
    <t>=SUM(P5421:T5421)</t>
  </si>
  <si>
    <t>=IF($M5421&gt;=$P$18,U5421,0)</t>
  </si>
  <si>
    <t>=IF(AND($M5421&gt;=$Q$16,$M5421&lt;=$Q$18),U5421,0)</t>
  </si>
  <si>
    <t>=IF(AND($M5421&gt;=$R$16,$M5421&lt;=$R$18),U5421,0)</t>
  </si>
  <si>
    <t>=IF(AND($M5421&gt;=$S$16,$M5421&lt;=$S$18),U5421,0)</t>
  </si>
  <si>
    <t>=IF($M5421&lt;=$T$18,U5421,0)</t>
  </si>
  <si>
    <t>="""NAV Direct"",""CRONUS JetCorp USA"",""21"",""1"",""407255"""</t>
  </si>
  <si>
    <t>=E5420</t>
  </si>
  <si>
    <t>=StartDate-$M5422+1</t>
  </si>
  <si>
    <t>=SUM(P5422:T5422)</t>
  </si>
  <si>
    <t>=IF($M5422&gt;=$P$18,U5422,0)</t>
  </si>
  <si>
    <t>=IF(AND($M5422&gt;=$Q$16,$M5422&lt;=$Q$18),U5422,0)</t>
  </si>
  <si>
    <t>=IF(AND($M5422&gt;=$R$16,$M5422&lt;=$R$18),U5422,0)</t>
  </si>
  <si>
    <t>=IF(AND($M5422&gt;=$S$16,$M5422&lt;=$S$18),U5422,0)</t>
  </si>
  <si>
    <t>=IF($M5422&lt;=$T$18,U5422,0)</t>
  </si>
  <si>
    <t>="""NAV Direct"",""CRONUS JetCorp USA"",""21"",""1"",""407357"""</t>
  </si>
  <si>
    <t>=E5421</t>
  </si>
  <si>
    <t>=StartDate-$M5423+1</t>
  </si>
  <si>
    <t>=SUM(P5423:T5423)</t>
  </si>
  <si>
    <t>=IF($M5423&gt;=$P$18,U5423,0)</t>
  </si>
  <si>
    <t>=IF(AND($M5423&gt;=$Q$16,$M5423&lt;=$Q$18),U5423,0)</t>
  </si>
  <si>
    <t>=IF(AND($M5423&gt;=$R$16,$M5423&lt;=$R$18),U5423,0)</t>
  </si>
  <si>
    <t>=IF(AND($M5423&gt;=$S$16,$M5423&lt;=$S$18),U5423,0)</t>
  </si>
  <si>
    <t>=IF($M5423&lt;=$T$18,U5423,0)</t>
  </si>
  <si>
    <t>="""NAV Direct"",""CRONUS JetCorp USA"",""21"",""1"",""407524"""</t>
  </si>
  <si>
    <t>=E5422</t>
  </si>
  <si>
    <t>=StartDate-$M5424+1</t>
  </si>
  <si>
    <t>=SUM(P5424:T5424)</t>
  </si>
  <si>
    <t>=IF($M5424&gt;=$P$18,U5424,0)</t>
  </si>
  <si>
    <t>=IF(AND($M5424&gt;=$Q$16,$M5424&lt;=$Q$18),U5424,0)</t>
  </si>
  <si>
    <t>=IF(AND($M5424&gt;=$R$16,$M5424&lt;=$R$18),U5424,0)</t>
  </si>
  <si>
    <t>=IF(AND($M5424&gt;=$S$16,$M5424&lt;=$S$18),U5424,0)</t>
  </si>
  <si>
    <t>=IF($M5424&lt;=$T$18,U5424,0)</t>
  </si>
  <si>
    <t>="""NAV Direct"",""CRONUS JetCorp USA"",""21"",""1"",""407618"""</t>
  </si>
  <si>
    <t>=E5423</t>
  </si>
  <si>
    <t>=StartDate-$M5425+1</t>
  </si>
  <si>
    <t>=SUM(P5425:T5425)</t>
  </si>
  <si>
    <t>=IF($M5425&gt;=$P$18,U5425,0)</t>
  </si>
  <si>
    <t>=IF(AND($M5425&gt;=$Q$16,$M5425&lt;=$Q$18),U5425,0)</t>
  </si>
  <si>
    <t>=IF(AND($M5425&gt;=$R$16,$M5425&lt;=$R$18),U5425,0)</t>
  </si>
  <si>
    <t>=IF(AND($M5425&gt;=$S$16,$M5425&lt;=$S$18),U5425,0)</t>
  </si>
  <si>
    <t>=IF($M5425&lt;=$T$18,U5425,0)</t>
  </si>
  <si>
    <t>="""NAV Direct"",""CRONUS JetCorp USA"",""21"",""1"",""407669"""</t>
  </si>
  <si>
    <t>=E5424</t>
  </si>
  <si>
    <t>=StartDate-$M5426+1</t>
  </si>
  <si>
    <t>=SUM(P5426:T5426)</t>
  </si>
  <si>
    <t>=IF($M5426&gt;=$P$18,U5426,0)</t>
  </si>
  <si>
    <t>=IF(AND($M5426&gt;=$Q$16,$M5426&lt;=$Q$18),U5426,0)</t>
  </si>
  <si>
    <t>=IF(AND($M5426&gt;=$R$16,$M5426&lt;=$R$18),U5426,0)</t>
  </si>
  <si>
    <t>=IF(AND($M5426&gt;=$S$16,$M5426&lt;=$S$18),U5426,0)</t>
  </si>
  <si>
    <t>=IF($M5426&lt;=$T$18,U5426,0)</t>
  </si>
  <si>
    <t>="""NAV Direct"",""CRONUS JetCorp USA"",""21"",""1"",""407722"""</t>
  </si>
  <si>
    <t>=E5425</t>
  </si>
  <si>
    <t>=StartDate-$M5427+1</t>
  </si>
  <si>
    <t>=SUM(P5427:T5427)</t>
  </si>
  <si>
    <t>=IF($M5427&gt;=$P$18,U5427,0)</t>
  </si>
  <si>
    <t>=IF(AND($M5427&gt;=$Q$16,$M5427&lt;=$Q$18),U5427,0)</t>
  </si>
  <si>
    <t>=IF(AND($M5427&gt;=$R$16,$M5427&lt;=$R$18),U5427,0)</t>
  </si>
  <si>
    <t>=IF(AND($M5427&gt;=$S$16,$M5427&lt;=$S$18),U5427,0)</t>
  </si>
  <si>
    <t>=IF($M5427&lt;=$T$18,U5427,0)</t>
  </si>
  <si>
    <t>="""NAV Direct"",""CRONUS JetCorp USA"",""21"",""1"",""407927"""</t>
  </si>
  <si>
    <t>=E5426</t>
  </si>
  <si>
    <t>=StartDate-$M5428+1</t>
  </si>
  <si>
    <t>=SUM(P5428:T5428)</t>
  </si>
  <si>
    <t>=IF($M5428&gt;=$P$18,U5428,0)</t>
  </si>
  <si>
    <t>=IF(AND($M5428&gt;=$Q$16,$M5428&lt;=$Q$18),U5428,0)</t>
  </si>
  <si>
    <t>=IF(AND($M5428&gt;=$R$16,$M5428&lt;=$R$18),U5428,0)</t>
  </si>
  <si>
    <t>=IF(AND($M5428&gt;=$S$16,$M5428&lt;=$S$18),U5428,0)</t>
  </si>
  <si>
    <t>=IF($M5428&lt;=$T$18,U5428,0)</t>
  </si>
  <si>
    <t>="""NAV Direct"",""CRONUS JetCorp USA"",""21"",""1"",""408080"""</t>
  </si>
  <si>
    <t>=E5427</t>
  </si>
  <si>
    <t>=StartDate-$M5429+1</t>
  </si>
  <si>
    <t>=SUM(P5429:T5429)</t>
  </si>
  <si>
    <t>=IF($M5429&gt;=$P$18,U5429,0)</t>
  </si>
  <si>
    <t>=IF(AND($M5429&gt;=$Q$16,$M5429&lt;=$Q$18),U5429,0)</t>
  </si>
  <si>
    <t>=IF(AND($M5429&gt;=$R$16,$M5429&lt;=$R$18),U5429,0)</t>
  </si>
  <si>
    <t>=IF(AND($M5429&gt;=$S$16,$M5429&lt;=$S$18),U5429,0)</t>
  </si>
  <si>
    <t>=IF($M5429&lt;=$T$18,U5429,0)</t>
  </si>
  <si>
    <t>="""NAV Direct"",""CRONUS JetCorp USA"",""21"",""1"",""408129"""</t>
  </si>
  <si>
    <t>=E5428</t>
  </si>
  <si>
    <t>=StartDate-$M5430+1</t>
  </si>
  <si>
    <t>=SUM(P5430:T5430)</t>
  </si>
  <si>
    <t>=IF($M5430&gt;=$P$18,U5430,0)</t>
  </si>
  <si>
    <t>=IF(AND($M5430&gt;=$Q$16,$M5430&lt;=$Q$18),U5430,0)</t>
  </si>
  <si>
    <t>=IF(AND($M5430&gt;=$R$16,$M5430&lt;=$R$18),U5430,0)</t>
  </si>
  <si>
    <t>=IF(AND($M5430&gt;=$S$16,$M5430&lt;=$S$18),U5430,0)</t>
  </si>
  <si>
    <t>=IF($M5430&lt;=$T$18,U5430,0)</t>
  </si>
  <si>
    <t>="""NAV Direct"",""CRONUS JetCorp USA"",""21"",""1"",""408288"""</t>
  </si>
  <si>
    <t>=E5429</t>
  </si>
  <si>
    <t>=StartDate-$M5431+1</t>
  </si>
  <si>
    <t>=SUM(P5431:T5431)</t>
  </si>
  <si>
    <t>=IF($M5431&gt;=$P$18,U5431,0)</t>
  </si>
  <si>
    <t>=IF(AND($M5431&gt;=$Q$16,$M5431&lt;=$Q$18),U5431,0)</t>
  </si>
  <si>
    <t>=IF(AND($M5431&gt;=$R$16,$M5431&lt;=$R$18),U5431,0)</t>
  </si>
  <si>
    <t>=IF(AND($M5431&gt;=$S$16,$M5431&lt;=$S$18),U5431,0)</t>
  </si>
  <si>
    <t>=IF($M5431&lt;=$T$18,U5431,0)</t>
  </si>
  <si>
    <t>="""NAV Direct"",""CRONUS JetCorp USA"",""21"",""1"",""408657"""</t>
  </si>
  <si>
    <t>=E5430</t>
  </si>
  <si>
    <t>=StartDate-$M5432+1</t>
  </si>
  <si>
    <t>=SUM(P5432:T5432)</t>
  </si>
  <si>
    <t>=IF($M5432&gt;=$P$18,U5432,0)</t>
  </si>
  <si>
    <t>=IF(AND($M5432&gt;=$Q$16,$M5432&lt;=$Q$18),U5432,0)</t>
  </si>
  <si>
    <t>=IF(AND($M5432&gt;=$R$16,$M5432&lt;=$R$18),U5432,0)</t>
  </si>
  <si>
    <t>=IF(AND($M5432&gt;=$S$16,$M5432&lt;=$S$18),U5432,0)</t>
  </si>
  <si>
    <t>=IF($M5432&lt;=$T$18,U5432,0)</t>
  </si>
  <si>
    <t>="""NAV Direct"",""CRONUS JetCorp USA"",""21"",""1"",""408757"""</t>
  </si>
  <si>
    <t>=E5431</t>
  </si>
  <si>
    <t>=StartDate-$M5433+1</t>
  </si>
  <si>
    <t>=SUM(P5433:T5433)</t>
  </si>
  <si>
    <t>=IF($M5433&gt;=$P$18,U5433,0)</t>
  </si>
  <si>
    <t>=IF(AND($M5433&gt;=$Q$16,$M5433&lt;=$Q$18),U5433,0)</t>
  </si>
  <si>
    <t>=IF(AND($M5433&gt;=$R$16,$M5433&lt;=$R$18),U5433,0)</t>
  </si>
  <si>
    <t>=IF(AND($M5433&gt;=$S$16,$M5433&lt;=$S$18),U5433,0)</t>
  </si>
  <si>
    <t>=IF($M5433&lt;=$T$18,U5433,0)</t>
  </si>
  <si>
    <t>="""NAV Direct"",""CRONUS JetCorp USA"",""21"",""1"",""408859"""</t>
  </si>
  <si>
    <t>=E5432</t>
  </si>
  <si>
    <t>=StartDate-$M5434+1</t>
  </si>
  <si>
    <t>=SUM(P5434:T5434)</t>
  </si>
  <si>
    <t>=IF($M5434&gt;=$P$18,U5434,0)</t>
  </si>
  <si>
    <t>=IF(AND($M5434&gt;=$Q$16,$M5434&lt;=$Q$18),U5434,0)</t>
  </si>
  <si>
    <t>=IF(AND($M5434&gt;=$R$16,$M5434&lt;=$R$18),U5434,0)</t>
  </si>
  <si>
    <t>=IF(AND($M5434&gt;=$S$16,$M5434&lt;=$S$18),U5434,0)</t>
  </si>
  <si>
    <t>=IF($M5434&lt;=$T$18,U5434,0)</t>
  </si>
  <si>
    <t>="""NAV Direct"",""CRONUS JetCorp USA"",""21"",""1"",""408947"""</t>
  </si>
  <si>
    <t>=E5433</t>
  </si>
  <si>
    <t>=StartDate-$M5435+1</t>
  </si>
  <si>
    <t>=SUM(P5435:T5435)</t>
  </si>
  <si>
    <t>=IF($M5435&gt;=$P$18,U5435,0)</t>
  </si>
  <si>
    <t>=IF(AND($M5435&gt;=$Q$16,$M5435&lt;=$Q$18),U5435,0)</t>
  </si>
  <si>
    <t>=IF(AND($M5435&gt;=$R$16,$M5435&lt;=$R$18),U5435,0)</t>
  </si>
  <si>
    <t>=IF(AND($M5435&gt;=$S$16,$M5435&lt;=$S$18),U5435,0)</t>
  </si>
  <si>
    <t>=IF($M5435&lt;=$T$18,U5435,0)</t>
  </si>
  <si>
    <t>="""NAV Direct"",""CRONUS JetCorp USA"",""21"",""1"",""409055"""</t>
  </si>
  <si>
    <t>=E5434</t>
  </si>
  <si>
    <t>=StartDate-$M5436+1</t>
  </si>
  <si>
    <t>=SUM(P5436:T5436)</t>
  </si>
  <si>
    <t>=IF($M5436&gt;=$P$18,U5436,0)</t>
  </si>
  <si>
    <t>=IF(AND($M5436&gt;=$Q$16,$M5436&lt;=$Q$18),U5436,0)</t>
  </si>
  <si>
    <t>=IF(AND($M5436&gt;=$R$16,$M5436&lt;=$R$18),U5436,0)</t>
  </si>
  <si>
    <t>=IF(AND($M5436&gt;=$S$16,$M5436&lt;=$S$18),U5436,0)</t>
  </si>
  <si>
    <t>=IF($M5436&lt;=$T$18,U5436,0)</t>
  </si>
  <si>
    <t>="""NAV Direct"",""CRONUS JetCorp USA"",""21"",""1"",""409192"""</t>
  </si>
  <si>
    <t>=E5435</t>
  </si>
  <si>
    <t>=StartDate-$M5437+1</t>
  </si>
  <si>
    <t>=SUM(P5437:T5437)</t>
  </si>
  <si>
    <t>=IF($M5437&gt;=$P$18,U5437,0)</t>
  </si>
  <si>
    <t>=IF(AND($M5437&gt;=$Q$16,$M5437&lt;=$Q$18),U5437,0)</t>
  </si>
  <si>
    <t>=IF(AND($M5437&gt;=$R$16,$M5437&lt;=$R$18),U5437,0)</t>
  </si>
  <si>
    <t>=IF(AND($M5437&gt;=$S$16,$M5437&lt;=$S$18),U5437,0)</t>
  </si>
  <si>
    <t>=IF($M5437&lt;=$T$18,U5437,0)</t>
  </si>
  <si>
    <t>="""NAV Direct"",""CRONUS JetCorp USA"",""21"",""1"",""409237"""</t>
  </si>
  <si>
    <t>=E5436</t>
  </si>
  <si>
    <t>=StartDate-$M5438+1</t>
  </si>
  <si>
    <t>=SUM(P5438:T5438)</t>
  </si>
  <si>
    <t>=IF($M5438&gt;=$P$18,U5438,0)</t>
  </si>
  <si>
    <t>=IF(AND($M5438&gt;=$Q$16,$M5438&lt;=$Q$18),U5438,0)</t>
  </si>
  <si>
    <t>=IF(AND($M5438&gt;=$R$16,$M5438&lt;=$R$18),U5438,0)</t>
  </si>
  <si>
    <t>=IF(AND($M5438&gt;=$S$16,$M5438&lt;=$S$18),U5438,0)</t>
  </si>
  <si>
    <t>=IF($M5438&lt;=$T$18,U5438,0)</t>
  </si>
  <si>
    <t>="""NAV Direct"",""CRONUS JetCorp USA"",""21"",""1"",""409294"""</t>
  </si>
  <si>
    <t>=E5437</t>
  </si>
  <si>
    <t>=StartDate-$M5439+1</t>
  </si>
  <si>
    <t>=SUM(P5439:T5439)</t>
  </si>
  <si>
    <t>=IF($M5439&gt;=$P$18,U5439,0)</t>
  </si>
  <si>
    <t>=IF(AND($M5439&gt;=$Q$16,$M5439&lt;=$Q$18),U5439,0)</t>
  </si>
  <si>
    <t>=IF(AND($M5439&gt;=$R$16,$M5439&lt;=$R$18),U5439,0)</t>
  </si>
  <si>
    <t>=IF(AND($M5439&gt;=$S$16,$M5439&lt;=$S$18),U5439,0)</t>
  </si>
  <si>
    <t>=IF($M5439&lt;=$T$18,U5439,0)</t>
  </si>
  <si>
    <t>="""NAV Direct"",""CRONUS JetCorp USA"",""21"",""1"",""409347"""</t>
  </si>
  <si>
    <t>=E5438</t>
  </si>
  <si>
    <t>=StartDate-$M5440+1</t>
  </si>
  <si>
    <t>=SUM(P5440:T5440)</t>
  </si>
  <si>
    <t>=IF($M5440&gt;=$P$18,U5440,0)</t>
  </si>
  <si>
    <t>=IF(AND($M5440&gt;=$Q$16,$M5440&lt;=$Q$18),U5440,0)</t>
  </si>
  <si>
    <t>=IF(AND($M5440&gt;=$R$16,$M5440&lt;=$R$18),U5440,0)</t>
  </si>
  <si>
    <t>=IF(AND($M5440&gt;=$S$16,$M5440&lt;=$S$18),U5440,0)</t>
  </si>
  <si>
    <t>=IF($M5440&lt;=$T$18,U5440,0)</t>
  </si>
  <si>
    <t>="""NAV Direct"",""CRONUS JetCorp USA"",""21"",""1"",""409543"""</t>
  </si>
  <si>
    <t>=E5439</t>
  </si>
  <si>
    <t>=StartDate-$M5441+1</t>
  </si>
  <si>
    <t>=SUM(P5441:T5441)</t>
  </si>
  <si>
    <t>=IF($M5441&gt;=$P$18,U5441,0)</t>
  </si>
  <si>
    <t>=IF(AND($M5441&gt;=$Q$16,$M5441&lt;=$Q$18),U5441,0)</t>
  </si>
  <si>
    <t>=IF(AND($M5441&gt;=$R$16,$M5441&lt;=$R$18),U5441,0)</t>
  </si>
  <si>
    <t>=IF(AND($M5441&gt;=$S$16,$M5441&lt;=$S$18),U5441,0)</t>
  </si>
  <si>
    <t>=IF($M5441&lt;=$T$18,U5441,0)</t>
  </si>
  <si>
    <t>="""NAV Direct"",""CRONUS JetCorp USA"",""21"",""1"",""409826"""</t>
  </si>
  <si>
    <t>=E5440</t>
  </si>
  <si>
    <t>=StartDate-$M5442+1</t>
  </si>
  <si>
    <t>=SUM(P5442:T5442)</t>
  </si>
  <si>
    <t>=IF($M5442&gt;=$P$18,U5442,0)</t>
  </si>
  <si>
    <t>=IF(AND($M5442&gt;=$Q$16,$M5442&lt;=$Q$18),U5442,0)</t>
  </si>
  <si>
    <t>=IF(AND($M5442&gt;=$R$16,$M5442&lt;=$R$18),U5442,0)</t>
  </si>
  <si>
    <t>=IF(AND($M5442&gt;=$S$16,$M5442&lt;=$S$18),U5442,0)</t>
  </si>
  <si>
    <t>=IF($M5442&lt;=$T$18,U5442,0)</t>
  </si>
  <si>
    <t>="""NAV Direct"",""CRONUS JetCorp USA"",""21"",""1"",""410471"""</t>
  </si>
  <si>
    <t>=E5441</t>
  </si>
  <si>
    <t>=StartDate-$M5443+1</t>
  </si>
  <si>
    <t>=SUM(P5443:T5443)</t>
  </si>
  <si>
    <t>=IF($M5443&gt;=$P$18,U5443,0)</t>
  </si>
  <si>
    <t>=IF(AND($M5443&gt;=$Q$16,$M5443&lt;=$Q$18),U5443,0)</t>
  </si>
  <si>
    <t>=IF(AND($M5443&gt;=$R$16,$M5443&lt;=$R$18),U5443,0)</t>
  </si>
  <si>
    <t>=IF(AND($M5443&gt;=$S$16,$M5443&lt;=$S$18),U5443,0)</t>
  </si>
  <si>
    <t>=IF($M5443&lt;=$T$18,U5443,0)</t>
  </si>
  <si>
    <t>="""NAV Direct"",""CRONUS JetCorp USA"",""21"",""1"",""410966"""</t>
  </si>
  <si>
    <t>=E5442</t>
  </si>
  <si>
    <t>=StartDate-$M5444+1</t>
  </si>
  <si>
    <t>=SUM(P5444:T5444)</t>
  </si>
  <si>
    <t>=IF($M5444&gt;=$P$18,U5444,0)</t>
  </si>
  <si>
    <t>=IF(AND($M5444&gt;=$Q$16,$M5444&lt;=$Q$18),U5444,0)</t>
  </si>
  <si>
    <t>=IF(AND($M5444&gt;=$R$16,$M5444&lt;=$R$18),U5444,0)</t>
  </si>
  <si>
    <t>=IF(AND($M5444&gt;=$S$16,$M5444&lt;=$S$18),U5444,0)</t>
  </si>
  <si>
    <t>=IF($M5444&lt;=$T$18,U5444,0)</t>
  </si>
  <si>
    <t>="""NAV Direct"",""CRONUS JetCorp USA"",""21"",""1"",""411269"""</t>
  </si>
  <si>
    <t>=E5443</t>
  </si>
  <si>
    <t>=StartDate-$M5445+1</t>
  </si>
  <si>
    <t>=SUM(P5445:T5445)</t>
  </si>
  <si>
    <t>=IF($M5445&gt;=$P$18,U5445,0)</t>
  </si>
  <si>
    <t>=IF(AND($M5445&gt;=$Q$16,$M5445&lt;=$Q$18),U5445,0)</t>
  </si>
  <si>
    <t>=IF(AND($M5445&gt;=$R$16,$M5445&lt;=$R$18),U5445,0)</t>
  </si>
  <si>
    <t>=IF(AND($M5445&gt;=$S$16,$M5445&lt;=$S$18),U5445,0)</t>
  </si>
  <si>
    <t>=IF($M5445&lt;=$T$18,U5445,0)</t>
  </si>
  <si>
    <t>="""NAV Direct"",""CRONUS JetCorp USA"",""21"",""1"",""411415"""</t>
  </si>
  <si>
    <t>=E5444</t>
  </si>
  <si>
    <t>=StartDate-$M5446+1</t>
  </si>
  <si>
    <t>=SUM(P5446:T5446)</t>
  </si>
  <si>
    <t>=IF($M5446&gt;=$P$18,U5446,0)</t>
  </si>
  <si>
    <t>=IF(AND($M5446&gt;=$Q$16,$M5446&lt;=$Q$18),U5446,0)</t>
  </si>
  <si>
    <t>=IF(AND($M5446&gt;=$R$16,$M5446&lt;=$R$18),U5446,0)</t>
  </si>
  <si>
    <t>=IF(AND($M5446&gt;=$S$16,$M5446&lt;=$S$18),U5446,0)</t>
  </si>
  <si>
    <t>=IF($M5446&lt;=$T$18,U5446,0)</t>
  </si>
  <si>
    <t>="""NAV Direct"",""CRONUS JetCorp USA"",""21"",""1"",""411600"""</t>
  </si>
  <si>
    <t>=E5445</t>
  </si>
  <si>
    <t>=StartDate-$M5447+1</t>
  </si>
  <si>
    <t>=SUM(P5447:T5447)</t>
  </si>
  <si>
    <t>=IF($M5447&gt;=$P$18,U5447,0)</t>
  </si>
  <si>
    <t>=IF(AND($M5447&gt;=$Q$16,$M5447&lt;=$Q$18),U5447,0)</t>
  </si>
  <si>
    <t>=IF(AND($M5447&gt;=$R$16,$M5447&lt;=$R$18),U5447,0)</t>
  </si>
  <si>
    <t>=IF(AND($M5447&gt;=$S$16,$M5447&lt;=$S$18),U5447,0)</t>
  </si>
  <si>
    <t>=IF($M5447&lt;=$T$18,U5447,0)</t>
  </si>
  <si>
    <t>="""NAV Direct"",""CRONUS JetCorp USA"",""21"",""1"",""411722"""</t>
  </si>
  <si>
    <t>=E5446</t>
  </si>
  <si>
    <t>=StartDate-$M5448+1</t>
  </si>
  <si>
    <t>=SUM(P5448:T5448)</t>
  </si>
  <si>
    <t>=IF($M5448&gt;=$P$18,U5448,0)</t>
  </si>
  <si>
    <t>=IF(AND($M5448&gt;=$Q$16,$M5448&lt;=$Q$18),U5448,0)</t>
  </si>
  <si>
    <t>=IF(AND($M5448&gt;=$R$16,$M5448&lt;=$R$18),U5448,0)</t>
  </si>
  <si>
    <t>=IF(AND($M5448&gt;=$S$16,$M5448&lt;=$S$18),U5448,0)</t>
  </si>
  <si>
    <t>=IF($M5448&lt;=$T$18,U5448,0)</t>
  </si>
  <si>
    <t>="""NAV Direct"",""CRONUS JetCorp USA"",""21"",""1"",""411930"""</t>
  </si>
  <si>
    <t>=E5447</t>
  </si>
  <si>
    <t>=StartDate-$M5449+1</t>
  </si>
  <si>
    <t>=SUM(P5449:T5449)</t>
  </si>
  <si>
    <t>=IF($M5449&gt;=$P$18,U5449,0)</t>
  </si>
  <si>
    <t>=IF(AND($M5449&gt;=$Q$16,$M5449&lt;=$Q$18),U5449,0)</t>
  </si>
  <si>
    <t>=IF(AND($M5449&gt;=$R$16,$M5449&lt;=$R$18),U5449,0)</t>
  </si>
  <si>
    <t>=IF(AND($M5449&gt;=$S$16,$M5449&lt;=$S$18),U5449,0)</t>
  </si>
  <si>
    <t>=IF($M5449&lt;=$T$18,U5449,0)</t>
  </si>
  <si>
    <t>="""NAV Direct"",""CRONUS JetCorp USA"",""21"",""1"",""412638"""</t>
  </si>
  <si>
    <t>=E5448</t>
  </si>
  <si>
    <t>=StartDate-$M5450+1</t>
  </si>
  <si>
    <t>=SUM(P5450:T5450)</t>
  </si>
  <si>
    <t>=IF($M5450&gt;=$P$18,U5450,0)</t>
  </si>
  <si>
    <t>=IF(AND($M5450&gt;=$Q$16,$M5450&lt;=$Q$18),U5450,0)</t>
  </si>
  <si>
    <t>=IF(AND($M5450&gt;=$R$16,$M5450&lt;=$R$18),U5450,0)</t>
  </si>
  <si>
    <t>=IF(AND($M5450&gt;=$S$16,$M5450&lt;=$S$18),U5450,0)</t>
  </si>
  <si>
    <t>=IF($M5450&lt;=$T$18,U5450,0)</t>
  </si>
  <si>
    <t>="""NAV Direct"",""CRONUS JetCorp USA"",""21"",""1"",""412736"""</t>
  </si>
  <si>
    <t>=E5449</t>
  </si>
  <si>
    <t>=StartDate-$M5451+1</t>
  </si>
  <si>
    <t>=SUM(P5451:T5451)</t>
  </si>
  <si>
    <t>=IF($M5451&gt;=$P$18,U5451,0)</t>
  </si>
  <si>
    <t>=IF(AND($M5451&gt;=$Q$16,$M5451&lt;=$Q$18),U5451,0)</t>
  </si>
  <si>
    <t>=IF(AND($M5451&gt;=$R$16,$M5451&lt;=$R$18),U5451,0)</t>
  </si>
  <si>
    <t>=IF(AND($M5451&gt;=$S$16,$M5451&lt;=$S$18),U5451,0)</t>
  </si>
  <si>
    <t>=IF($M5451&lt;=$T$18,U5451,0)</t>
  </si>
  <si>
    <t>="""NAV Direct"",""CRONUS JetCorp USA"",""21"",""1"",""412842"""</t>
  </si>
  <si>
    <t>=E5450</t>
  </si>
  <si>
    <t>=StartDate-$M5452+1</t>
  </si>
  <si>
    <t>=SUM(P5452:T5452)</t>
  </si>
  <si>
    <t>=IF($M5452&gt;=$P$18,U5452,0)</t>
  </si>
  <si>
    <t>=IF(AND($M5452&gt;=$Q$16,$M5452&lt;=$Q$18),U5452,0)</t>
  </si>
  <si>
    <t>=IF(AND($M5452&gt;=$R$16,$M5452&lt;=$R$18),U5452,0)</t>
  </si>
  <si>
    <t>=IF(AND($M5452&gt;=$S$16,$M5452&lt;=$S$18),U5452,0)</t>
  </si>
  <si>
    <t>=IF($M5452&lt;=$T$18,U5452,0)</t>
  </si>
  <si>
    <t>="""NAV Direct"",""CRONUS JetCorp USA"",""21"",""1"",""412964"""</t>
  </si>
  <si>
    <t>=E5451</t>
  </si>
  <si>
    <t>=StartDate-$M5453+1</t>
  </si>
  <si>
    <t>=SUM(P5453:T5453)</t>
  </si>
  <si>
    <t>=IF($M5453&gt;=$P$18,U5453,0)</t>
  </si>
  <si>
    <t>=IF(AND($M5453&gt;=$Q$16,$M5453&lt;=$Q$18),U5453,0)</t>
  </si>
  <si>
    <t>=IF(AND($M5453&gt;=$R$16,$M5453&lt;=$R$18),U5453,0)</t>
  </si>
  <si>
    <t>=IF(AND($M5453&gt;=$S$16,$M5453&lt;=$S$18),U5453,0)</t>
  </si>
  <si>
    <t>=IF($M5453&lt;=$T$18,U5453,0)</t>
  </si>
  <si>
    <t>="""NAV Direct"",""CRONUS JetCorp USA"",""21"",""1"",""413066"""</t>
  </si>
  <si>
    <t>=E5452</t>
  </si>
  <si>
    <t>=StartDate-$M5454+1</t>
  </si>
  <si>
    <t>=SUM(P5454:T5454)</t>
  </si>
  <si>
    <t>=IF($M5454&gt;=$P$18,U5454,0)</t>
  </si>
  <si>
    <t>=IF(AND($M5454&gt;=$Q$16,$M5454&lt;=$Q$18),U5454,0)</t>
  </si>
  <si>
    <t>=IF(AND($M5454&gt;=$R$16,$M5454&lt;=$R$18),U5454,0)</t>
  </si>
  <si>
    <t>=IF(AND($M5454&gt;=$S$16,$M5454&lt;=$S$18),U5454,0)</t>
  </si>
  <si>
    <t>=IF($M5454&lt;=$T$18,U5454,0)</t>
  </si>
  <si>
    <t>="""NAV Direct"",""CRONUS JetCorp USA"",""21"",""1"",""413335"""</t>
  </si>
  <si>
    <t>=E5453</t>
  </si>
  <si>
    <t>=StartDate-$M5455+1</t>
  </si>
  <si>
    <t>=SUM(P5455:T5455)</t>
  </si>
  <si>
    <t>=IF($M5455&gt;=$P$18,U5455,0)</t>
  </si>
  <si>
    <t>=IF(AND($M5455&gt;=$Q$16,$M5455&lt;=$Q$18),U5455,0)</t>
  </si>
  <si>
    <t>=IF(AND($M5455&gt;=$R$16,$M5455&lt;=$R$18),U5455,0)</t>
  </si>
  <si>
    <t>=IF(AND($M5455&gt;=$S$16,$M5455&lt;=$S$18),U5455,0)</t>
  </si>
  <si>
    <t>=IF($M5455&lt;=$T$18,U5455,0)</t>
  </si>
  <si>
    <t>="""NAV Direct"",""CRONUS JetCorp USA"",""21"",""1"",""413904"""</t>
  </si>
  <si>
    <t>=E5454</t>
  </si>
  <si>
    <t>=StartDate-$M5456+1</t>
  </si>
  <si>
    <t>=SUM(P5456:T5456)</t>
  </si>
  <si>
    <t>=IF($M5456&gt;=$P$18,U5456,0)</t>
  </si>
  <si>
    <t>=IF(AND($M5456&gt;=$Q$16,$M5456&lt;=$Q$18),U5456,0)</t>
  </si>
  <si>
    <t>=IF(AND($M5456&gt;=$R$16,$M5456&lt;=$R$18),U5456,0)</t>
  </si>
  <si>
    <t>=IF(AND($M5456&gt;=$S$16,$M5456&lt;=$S$18),U5456,0)</t>
  </si>
  <si>
    <t>=IF($M5456&lt;=$T$18,U5456,0)</t>
  </si>
  <si>
    <t>="""NAV Direct"",""CRONUS JetCorp USA"",""21"",""1"",""414116"""</t>
  </si>
  <si>
    <t>=E5455</t>
  </si>
  <si>
    <t>=StartDate-$M5457+1</t>
  </si>
  <si>
    <t>=SUM(P5457:T5457)</t>
  </si>
  <si>
    <t>=IF($M5457&gt;=$P$18,U5457,0)</t>
  </si>
  <si>
    <t>=IF(AND($M5457&gt;=$Q$16,$M5457&lt;=$Q$18),U5457,0)</t>
  </si>
  <si>
    <t>=IF(AND($M5457&gt;=$R$16,$M5457&lt;=$R$18),U5457,0)</t>
  </si>
  <si>
    <t>=IF(AND($M5457&gt;=$S$16,$M5457&lt;=$S$18),U5457,0)</t>
  </si>
  <si>
    <t>=IF($M5457&lt;=$T$18,U5457,0)</t>
  </si>
  <si>
    <t>="""NAV Direct"",""CRONUS JetCorp USA"",""21"",""1"",""414169"""</t>
  </si>
  <si>
    <t>=E5456</t>
  </si>
  <si>
    <t>=StartDate-$M5458+1</t>
  </si>
  <si>
    <t>=SUM(P5458:T5458)</t>
  </si>
  <si>
    <t>=IF($M5458&gt;=$P$18,U5458,0)</t>
  </si>
  <si>
    <t>=IF(AND($M5458&gt;=$Q$16,$M5458&lt;=$Q$18),U5458,0)</t>
  </si>
  <si>
    <t>=IF(AND($M5458&gt;=$R$16,$M5458&lt;=$R$18),U5458,0)</t>
  </si>
  <si>
    <t>=IF(AND($M5458&gt;=$S$16,$M5458&lt;=$S$18),U5458,0)</t>
  </si>
  <si>
    <t>=IF($M5458&lt;=$T$18,U5458,0)</t>
  </si>
  <si>
    <t>="""NAV Direct"",""CRONUS JetCorp USA"",""21"",""1"",""414301"""</t>
  </si>
  <si>
    <t>=E5457</t>
  </si>
  <si>
    <t>=StartDate-$M5459+1</t>
  </si>
  <si>
    <t>=SUM(P5459:T5459)</t>
  </si>
  <si>
    <t>=IF($M5459&gt;=$P$18,U5459,0)</t>
  </si>
  <si>
    <t>=IF(AND($M5459&gt;=$Q$16,$M5459&lt;=$Q$18),U5459,0)</t>
  </si>
  <si>
    <t>=IF(AND($M5459&gt;=$R$16,$M5459&lt;=$R$18),U5459,0)</t>
  </si>
  <si>
    <t>=IF(AND($M5459&gt;=$S$16,$M5459&lt;=$S$18),U5459,0)</t>
  </si>
  <si>
    <t>=IF($M5459&lt;=$T$18,U5459,0)</t>
  </si>
  <si>
    <t>="""NAV Direct"",""CRONUS JetCorp USA"",""21"",""1"",""414360"""</t>
  </si>
  <si>
    <t>=E5458</t>
  </si>
  <si>
    <t>=StartDate-$M5460+1</t>
  </si>
  <si>
    <t>=SUM(P5460:T5460)</t>
  </si>
  <si>
    <t>=IF($M5460&gt;=$P$18,U5460,0)</t>
  </si>
  <si>
    <t>=IF(AND($M5460&gt;=$Q$16,$M5460&lt;=$Q$18),U5460,0)</t>
  </si>
  <si>
    <t>=IF(AND($M5460&gt;=$R$16,$M5460&lt;=$R$18),U5460,0)</t>
  </si>
  <si>
    <t>=IF(AND($M5460&gt;=$S$16,$M5460&lt;=$S$18),U5460,0)</t>
  </si>
  <si>
    <t>=IF($M5460&lt;=$T$18,U5460,0)</t>
  </si>
  <si>
    <t>="""NAV Direct"",""CRONUS JetCorp USA"",""21"",""1"",""440336"""</t>
  </si>
  <si>
    <t>=E5459</t>
  </si>
  <si>
    <t>=StartDate-$M5461+1</t>
  </si>
  <si>
    <t>=SUM(P5461:T5461)</t>
  </si>
  <si>
    <t>=IF($M5461&gt;=$P$18,U5461,0)</t>
  </si>
  <si>
    <t>=IF(AND($M5461&gt;=$Q$16,$M5461&lt;=$Q$18),U5461,0)</t>
  </si>
  <si>
    <t>=IF(AND($M5461&gt;=$R$16,$M5461&lt;=$R$18),U5461,0)</t>
  </si>
  <si>
    <t>=IF(AND($M5461&gt;=$S$16,$M5461&lt;=$S$18),U5461,0)</t>
  </si>
  <si>
    <t>=IF($M5461&lt;=$T$18,U5461,0)</t>
  </si>
  <si>
    <t>="""NAV Direct"",""CRONUS JetCorp USA"",""21"",""1"",""440380"""</t>
  </si>
  <si>
    <t>=E5460</t>
  </si>
  <si>
    <t>=StartDate-$M5462+1</t>
  </si>
  <si>
    <t>=SUM(P5462:T5462)</t>
  </si>
  <si>
    <t>=IF($M5462&gt;=$P$18,U5462,0)</t>
  </si>
  <si>
    <t>=IF(AND($M5462&gt;=$Q$16,$M5462&lt;=$Q$18),U5462,0)</t>
  </si>
  <si>
    <t>=IF(AND($M5462&gt;=$R$16,$M5462&lt;=$R$18),U5462,0)</t>
  </si>
  <si>
    <t>=IF(AND($M5462&gt;=$S$16,$M5462&lt;=$S$18),U5462,0)</t>
  </si>
  <si>
    <t>=IF($M5462&lt;=$T$18,U5462,0)</t>
  </si>
  <si>
    <t>="""NAV Direct"",""CRONUS JetCorp USA"",""21"",""1"",""440537"""</t>
  </si>
  <si>
    <t>=E5461</t>
  </si>
  <si>
    <t>=StartDate-$M5463+1</t>
  </si>
  <si>
    <t>=SUM(P5463:T5463)</t>
  </si>
  <si>
    <t>=IF($M5463&gt;=$P$18,U5463,0)</t>
  </si>
  <si>
    <t>=IF(AND($M5463&gt;=$Q$16,$M5463&lt;=$Q$18),U5463,0)</t>
  </si>
  <si>
    <t>=IF(AND($M5463&gt;=$R$16,$M5463&lt;=$R$18),U5463,0)</t>
  </si>
  <si>
    <t>=IF(AND($M5463&gt;=$S$16,$M5463&lt;=$S$18),U5463,0)</t>
  </si>
  <si>
    <t>=IF($M5463&lt;=$T$18,U5463,0)</t>
  </si>
  <si>
    <t>="""NAV Direct"",""CRONUS JetCorp USA"",""21"",""1"",""440552"""</t>
  </si>
  <si>
    <t>=E5462</t>
  </si>
  <si>
    <t>=StartDate-$M5464+1</t>
  </si>
  <si>
    <t>=SUM(P5464:T5464)</t>
  </si>
  <si>
    <t>=IF($M5464&gt;=$P$18,U5464,0)</t>
  </si>
  <si>
    <t>=IF(AND($M5464&gt;=$Q$16,$M5464&lt;=$Q$18),U5464,0)</t>
  </si>
  <si>
    <t>=IF(AND($M5464&gt;=$R$16,$M5464&lt;=$R$18),U5464,0)</t>
  </si>
  <si>
    <t>=IF(AND($M5464&gt;=$S$16,$M5464&lt;=$S$18),U5464,0)</t>
  </si>
  <si>
    <t>=IF($M5464&lt;=$T$18,U5464,0)</t>
  </si>
  <si>
    <t>="""NAV Direct"",""CRONUS JetCorp USA"",""21"",""1"",""440659"""</t>
  </si>
  <si>
    <t>=E5463</t>
  </si>
  <si>
    <t>=StartDate-$M5465+1</t>
  </si>
  <si>
    <t>=SUM(P5465:T5465)</t>
  </si>
  <si>
    <t>=IF($M5465&gt;=$P$18,U5465,0)</t>
  </si>
  <si>
    <t>=IF(AND($M5465&gt;=$Q$16,$M5465&lt;=$Q$18),U5465,0)</t>
  </si>
  <si>
    <t>=IF(AND($M5465&gt;=$R$16,$M5465&lt;=$R$18),U5465,0)</t>
  </si>
  <si>
    <t>=IF(AND($M5465&gt;=$S$16,$M5465&lt;=$S$18),U5465,0)</t>
  </si>
  <si>
    <t>=IF($M5465&lt;=$T$18,U5465,0)</t>
  </si>
  <si>
    <t>="""NAV Direct"",""CRONUS JetCorp USA"",""21"",""1"",""440671"""</t>
  </si>
  <si>
    <t>=E5464</t>
  </si>
  <si>
    <t>=StartDate-$M5466+1</t>
  </si>
  <si>
    <t>=SUM(P5466:T5466)</t>
  </si>
  <si>
    <t>=IF($M5466&gt;=$P$18,U5466,0)</t>
  </si>
  <si>
    <t>=IF(AND($M5466&gt;=$Q$16,$M5466&lt;=$Q$18),U5466,0)</t>
  </si>
  <si>
    <t>=IF(AND($M5466&gt;=$R$16,$M5466&lt;=$R$18),U5466,0)</t>
  </si>
  <si>
    <t>=IF(AND($M5466&gt;=$S$16,$M5466&lt;=$S$18),U5466,0)</t>
  </si>
  <si>
    <t>=IF($M5466&lt;=$T$18,U5466,0)</t>
  </si>
  <si>
    <t>="""NAV Direct"",""CRONUS JetCorp USA"",""21"",""1"",""440751"""</t>
  </si>
  <si>
    <t>=E5465</t>
  </si>
  <si>
    <t>=StartDate-$M5467+1</t>
  </si>
  <si>
    <t>=SUM(P5467:T5467)</t>
  </si>
  <si>
    <t>=IF($M5467&gt;=$P$18,U5467,0)</t>
  </si>
  <si>
    <t>=IF(AND($M5467&gt;=$Q$16,$M5467&lt;=$Q$18),U5467,0)</t>
  </si>
  <si>
    <t>=IF(AND($M5467&gt;=$R$16,$M5467&lt;=$R$18),U5467,0)</t>
  </si>
  <si>
    <t>=IF(AND($M5467&gt;=$S$16,$M5467&lt;=$S$18),U5467,0)</t>
  </si>
  <si>
    <t>=IF($M5467&lt;=$T$18,U5467,0)</t>
  </si>
  <si>
    <t>="""NAV Direct"",""CRONUS JetCorp USA"",""21"",""1"",""440766"""</t>
  </si>
  <si>
    <t>=E5466</t>
  </si>
  <si>
    <t>=StartDate-$M5468+1</t>
  </si>
  <si>
    <t>=SUM(P5468:T5468)</t>
  </si>
  <si>
    <t>=IF($M5468&gt;=$P$18,U5468,0)</t>
  </si>
  <si>
    <t>=IF(AND($M5468&gt;=$Q$16,$M5468&lt;=$Q$18),U5468,0)</t>
  </si>
  <si>
    <t>=IF(AND($M5468&gt;=$R$16,$M5468&lt;=$R$18),U5468,0)</t>
  </si>
  <si>
    <t>=IF(AND($M5468&gt;=$S$16,$M5468&lt;=$S$18),U5468,0)</t>
  </si>
  <si>
    <t>=IF($M5468&lt;=$T$18,U5468,0)</t>
  </si>
  <si>
    <t>="""NAV Direct"",""CRONUS JetCorp USA"",""21"",""1"",""440808"""</t>
  </si>
  <si>
    <t>=E5467</t>
  </si>
  <si>
    <t>=StartDate-$M5469+1</t>
  </si>
  <si>
    <t>=SUM(P5469:T5469)</t>
  </si>
  <si>
    <t>=IF($M5469&gt;=$P$18,U5469,0)</t>
  </si>
  <si>
    <t>=IF(AND($M5469&gt;=$Q$16,$M5469&lt;=$Q$18),U5469,0)</t>
  </si>
  <si>
    <t>=IF(AND($M5469&gt;=$R$16,$M5469&lt;=$R$18),U5469,0)</t>
  </si>
  <si>
    <t>=IF(AND($M5469&gt;=$S$16,$M5469&lt;=$S$18),U5469,0)</t>
  </si>
  <si>
    <t>=IF($M5469&lt;=$T$18,U5469,0)</t>
  </si>
  <si>
    <t>="""NAV Direct"",""CRONUS JetCorp USA"",""21"",""1"",""440848"""</t>
  </si>
  <si>
    <t>=E5468</t>
  </si>
  <si>
    <t>=StartDate-$M5470+1</t>
  </si>
  <si>
    <t>=SUM(P5470:T5470)</t>
  </si>
  <si>
    <t>=IF($M5470&gt;=$P$18,U5470,0)</t>
  </si>
  <si>
    <t>=IF(AND($M5470&gt;=$Q$16,$M5470&lt;=$Q$18),U5470,0)</t>
  </si>
  <si>
    <t>=IF(AND($M5470&gt;=$R$16,$M5470&lt;=$R$18),U5470,0)</t>
  </si>
  <si>
    <t>=IF(AND($M5470&gt;=$S$16,$M5470&lt;=$S$18),U5470,0)</t>
  </si>
  <si>
    <t>=IF($M5470&lt;=$T$18,U5470,0)</t>
  </si>
  <si>
    <t>="""NAV Direct"",""CRONUS JetCorp USA"",""21"",""1"",""440867"""</t>
  </si>
  <si>
    <t>=E5469</t>
  </si>
  <si>
    <t>=StartDate-$M5471+1</t>
  </si>
  <si>
    <t>=SUM(P5471:T5471)</t>
  </si>
  <si>
    <t>=IF($M5471&gt;=$P$18,U5471,0)</t>
  </si>
  <si>
    <t>=IF(AND($M5471&gt;=$Q$16,$M5471&lt;=$Q$18),U5471,0)</t>
  </si>
  <si>
    <t>=IF(AND($M5471&gt;=$R$16,$M5471&lt;=$R$18),U5471,0)</t>
  </si>
  <si>
    <t>=IF(AND($M5471&gt;=$S$16,$M5471&lt;=$S$18),U5471,0)</t>
  </si>
  <si>
    <t>=IF($M5471&lt;=$T$18,U5471,0)</t>
  </si>
  <si>
    <t>="""NAV Direct"",""CRONUS JetCorp USA"",""21"",""1"",""440887"""</t>
  </si>
  <si>
    <t>=E5470</t>
  </si>
  <si>
    <t>=StartDate-$M5472+1</t>
  </si>
  <si>
    <t>=SUM(P5472:T5472)</t>
  </si>
  <si>
    <t>=IF($M5472&gt;=$P$18,U5472,0)</t>
  </si>
  <si>
    <t>=IF(AND($M5472&gt;=$Q$16,$M5472&lt;=$Q$18),U5472,0)</t>
  </si>
  <si>
    <t>=IF(AND($M5472&gt;=$R$16,$M5472&lt;=$R$18),U5472,0)</t>
  </si>
  <si>
    <t>=IF(AND($M5472&gt;=$S$16,$M5472&lt;=$S$18),U5472,0)</t>
  </si>
  <si>
    <t>=IF($M5472&lt;=$T$18,U5472,0)</t>
  </si>
  <si>
    <t>="""NAV Direct"",""CRONUS JetCorp USA"",""21"",""1"",""441031"""</t>
  </si>
  <si>
    <t>=E5471</t>
  </si>
  <si>
    <t>=StartDate-$M5473+1</t>
  </si>
  <si>
    <t>=SUM(P5473:T5473)</t>
  </si>
  <si>
    <t>=IF($M5473&gt;=$P$18,U5473,0)</t>
  </si>
  <si>
    <t>=IF(AND($M5473&gt;=$Q$16,$M5473&lt;=$Q$18),U5473,0)</t>
  </si>
  <si>
    <t>=IF(AND($M5473&gt;=$R$16,$M5473&lt;=$R$18),U5473,0)</t>
  </si>
  <si>
    <t>=IF(AND($M5473&gt;=$S$16,$M5473&lt;=$S$18),U5473,0)</t>
  </si>
  <si>
    <t>=IF($M5473&lt;=$T$18,U5473,0)</t>
  </si>
  <si>
    <t>="""NAV Direct"",""CRONUS JetCorp USA"",""21"",""1"",""441051"""</t>
  </si>
  <si>
    <t>=E5472</t>
  </si>
  <si>
    <t>=StartDate-$M5474+1</t>
  </si>
  <si>
    <t>=SUM(P5474:T5474)</t>
  </si>
  <si>
    <t>=IF($M5474&gt;=$P$18,U5474,0)</t>
  </si>
  <si>
    <t>=IF(AND($M5474&gt;=$Q$16,$M5474&lt;=$Q$18),U5474,0)</t>
  </si>
  <si>
    <t>=IF(AND($M5474&gt;=$R$16,$M5474&lt;=$R$18),U5474,0)</t>
  </si>
  <si>
    <t>=IF(AND($M5474&gt;=$S$16,$M5474&lt;=$S$18),U5474,0)</t>
  </si>
  <si>
    <t>=IF($M5474&lt;=$T$18,U5474,0)</t>
  </si>
  <si>
    <t>="""NAV Direct"",""CRONUS JetCorp USA"",""21"",""1"",""441101"""</t>
  </si>
  <si>
    <t>=E5473</t>
  </si>
  <si>
    <t>=StartDate-$M5475+1</t>
  </si>
  <si>
    <t>=SUM(P5475:T5475)</t>
  </si>
  <si>
    <t>=IF($M5475&gt;=$P$18,U5475,0)</t>
  </si>
  <si>
    <t>=IF(AND($M5475&gt;=$Q$16,$M5475&lt;=$Q$18),U5475,0)</t>
  </si>
  <si>
    <t>=IF(AND($M5475&gt;=$R$16,$M5475&lt;=$R$18),U5475,0)</t>
  </si>
  <si>
    <t>=IF(AND($M5475&gt;=$S$16,$M5475&lt;=$S$18),U5475,0)</t>
  </si>
  <si>
    <t>=IF($M5475&lt;=$T$18,U5475,0)</t>
  </si>
  <si>
    <t>="""NAV Direct"",""CRONUS JetCorp USA"",""21"",""1"",""441317"""</t>
  </si>
  <si>
    <t>=E5474</t>
  </si>
  <si>
    <t>=StartDate-$M5476+1</t>
  </si>
  <si>
    <t>=SUM(P5476:T5476)</t>
  </si>
  <si>
    <t>=IF($M5476&gt;=$P$18,U5476,0)</t>
  </si>
  <si>
    <t>=IF(AND($M5476&gt;=$Q$16,$M5476&lt;=$Q$18),U5476,0)</t>
  </si>
  <si>
    <t>=IF(AND($M5476&gt;=$R$16,$M5476&lt;=$R$18),U5476,0)</t>
  </si>
  <si>
    <t>=IF(AND($M5476&gt;=$S$16,$M5476&lt;=$S$18),U5476,0)</t>
  </si>
  <si>
    <t>=IF($M5476&lt;=$T$18,U5476,0)</t>
  </si>
  <si>
    <t>="""NAV Direct"",""CRONUS JetCorp USA"",""21"",""1"",""441339"""</t>
  </si>
  <si>
    <t>=E5475</t>
  </si>
  <si>
    <t>=StartDate-$M5477+1</t>
  </si>
  <si>
    <t>=SUM(P5477:T5477)</t>
  </si>
  <si>
    <t>=IF($M5477&gt;=$P$18,U5477,0)</t>
  </si>
  <si>
    <t>=IF(AND($M5477&gt;=$Q$16,$M5477&lt;=$Q$18),U5477,0)</t>
  </si>
  <si>
    <t>=IF(AND($M5477&gt;=$R$16,$M5477&lt;=$R$18),U5477,0)</t>
  </si>
  <si>
    <t>=IF(AND($M5477&gt;=$S$16,$M5477&lt;=$S$18),U5477,0)</t>
  </si>
  <si>
    <t>=IF($M5477&lt;=$T$18,U5477,0)</t>
  </si>
  <si>
    <t>="""NAV Direct"",""CRONUS JetCorp USA"",""21"",""1"",""441453"""</t>
  </si>
  <si>
    <t>=E5476</t>
  </si>
  <si>
    <t>=StartDate-$M5478+1</t>
  </si>
  <si>
    <t>=SUM(P5478:T5478)</t>
  </si>
  <si>
    <t>=IF($M5478&gt;=$P$18,U5478,0)</t>
  </si>
  <si>
    <t>=IF(AND($M5478&gt;=$Q$16,$M5478&lt;=$Q$18),U5478,0)</t>
  </si>
  <si>
    <t>=IF(AND($M5478&gt;=$R$16,$M5478&lt;=$R$18),U5478,0)</t>
  </si>
  <si>
    <t>=IF(AND($M5478&gt;=$S$16,$M5478&lt;=$S$18),U5478,0)</t>
  </si>
  <si>
    <t>=IF($M5478&lt;=$T$18,U5478,0)</t>
  </si>
  <si>
    <t>="""NAV Direct"",""CRONUS JetCorp USA"",""21"",""1"",""441493"""</t>
  </si>
  <si>
    <t>=E5477</t>
  </si>
  <si>
    <t>=StartDate-$M5479+1</t>
  </si>
  <si>
    <t>=SUM(P5479:T5479)</t>
  </si>
  <si>
    <t>=IF($M5479&gt;=$P$18,U5479,0)</t>
  </si>
  <si>
    <t>=IF(AND($M5479&gt;=$Q$16,$M5479&lt;=$Q$18),U5479,0)</t>
  </si>
  <si>
    <t>=IF(AND($M5479&gt;=$R$16,$M5479&lt;=$R$18),U5479,0)</t>
  </si>
  <si>
    <t>=IF(AND($M5479&gt;=$S$16,$M5479&lt;=$S$18),U5479,0)</t>
  </si>
  <si>
    <t>=IF($M5479&lt;=$T$18,U5479,0)</t>
  </si>
  <si>
    <t>="""NAV Direct"",""CRONUS JetCorp USA"",""21"",""1"",""441520"""</t>
  </si>
  <si>
    <t>=E5478</t>
  </si>
  <si>
    <t>=StartDate-$M5480+1</t>
  </si>
  <si>
    <t>=SUM(P5480:T5480)</t>
  </si>
  <si>
    <t>=IF($M5480&gt;=$P$18,U5480,0)</t>
  </si>
  <si>
    <t>=IF(AND($M5480&gt;=$Q$16,$M5480&lt;=$Q$18),U5480,0)</t>
  </si>
  <si>
    <t>=IF(AND($M5480&gt;=$R$16,$M5480&lt;=$R$18),U5480,0)</t>
  </si>
  <si>
    <t>=IF(AND($M5480&gt;=$S$16,$M5480&lt;=$S$18),U5480,0)</t>
  </si>
  <si>
    <t>=IF($M5480&lt;=$T$18,U5480,0)</t>
  </si>
  <si>
    <t>="""NAV Direct"",""CRONUS JetCorp USA"",""18"",""1"",""C100145"""</t>
  </si>
  <si>
    <t>=H5483</t>
  </si>
  <si>
    <t>=NF($C5483,"1 No.")</t>
  </si>
  <si>
    <t>=NF($C5483,"1 No.")&amp;"  -  "&amp;NF($C5483,"2 Name")</t>
  </si>
  <si>
    <t>=IFERROR(O5483/NF(C5483,"Credit Limit (LCY)"),"")</t>
  </si>
  <si>
    <t>=SUBTOTAL(3,L5484:L5585)</t>
  </si>
  <si>
    <t>=SUBTOTAL(9,O5484:O5585)</t>
  </si>
  <si>
    <t>=SUBTOTAL(9,P5484:P5585)</t>
  </si>
  <si>
    <t>=SUBTOTAL(9,Q5484:Q5585)</t>
  </si>
  <si>
    <t>=SUBTOTAL(9,R5484:R5585)</t>
  </si>
  <si>
    <t>=SUBTOTAL(9,S5484:S5585)</t>
  </si>
  <si>
    <t>=SUBTOTAL(9,T5484:T5585)</t>
  </si>
  <si>
    <t>=C5483</t>
  </si>
  <si>
    <t>=E5483</t>
  </si>
  <si>
    <t>="Contact: "&amp;NF($C5484,"8 Contact")</t>
  </si>
  <si>
    <t>=C5484</t>
  </si>
  <si>
    <t>=E5484</t>
  </si>
  <si>
    <t>=NF($C5485,"102 E-Mail")</t>
  </si>
  <si>
    <t>=NL("Rows","21 Cust. Ledger Entry",,"3 Customer No.","@@"&amp;$E5487,"16 Remaining Amt. (LCY)","&lt;&gt;0")</t>
  </si>
  <si>
    <t>=E5485</t>
  </si>
  <si>
    <t>=StartDate-$M5487+1</t>
  </si>
  <si>
    <t>=SUM(P5487:T5487)</t>
  </si>
  <si>
    <t>=IF($M5487&gt;=$P$18,U5487,0)</t>
  </si>
  <si>
    <t>=IF(AND($M5487&gt;=$Q$16,$M5487&lt;=$Q$18),U5487,0)</t>
  </si>
  <si>
    <t>=IF(AND($M5487&gt;=$R$16,$M5487&lt;=$R$18),U5487,0)</t>
  </si>
  <si>
    <t>=IF(AND($M5487&gt;=$S$16,$M5487&lt;=$S$18),U5487,0)</t>
  </si>
  <si>
    <t>=IF($M5487&lt;=$T$18,U5487,0)</t>
  </si>
  <si>
    <t>="""NAV Direct"",""CRONUS JetCorp USA"",""21"",""1"",""61698"""</t>
  </si>
  <si>
    <t>=E5486</t>
  </si>
  <si>
    <t>=StartDate-$M5488+1</t>
  </si>
  <si>
    <t>=SUM(P5488:T5488)</t>
  </si>
  <si>
    <t>=IF($M5488&gt;=$P$18,U5488,0)</t>
  </si>
  <si>
    <t>=IF(AND($M5488&gt;=$Q$16,$M5488&lt;=$Q$18),U5488,0)</t>
  </si>
  <si>
    <t>=IF(AND($M5488&gt;=$R$16,$M5488&lt;=$R$18),U5488,0)</t>
  </si>
  <si>
    <t>=IF(AND($M5488&gt;=$S$16,$M5488&lt;=$S$18),U5488,0)</t>
  </si>
  <si>
    <t>=IF($M5488&lt;=$T$18,U5488,0)</t>
  </si>
  <si>
    <t>="""NAV Direct"",""CRONUS JetCorp USA"",""21"",""1"",""334935"""</t>
  </si>
  <si>
    <t>=E5487</t>
  </si>
  <si>
    <t>=StartDate-$M5489+1</t>
  </si>
  <si>
    <t>=SUM(P5489:T5489)</t>
  </si>
  <si>
    <t>=IF($M5489&gt;=$P$18,U5489,0)</t>
  </si>
  <si>
    <t>=IF(AND($M5489&gt;=$Q$16,$M5489&lt;=$Q$18),U5489,0)</t>
  </si>
  <si>
    <t>=IF(AND($M5489&gt;=$R$16,$M5489&lt;=$R$18),U5489,0)</t>
  </si>
  <si>
    <t>=IF(AND($M5489&gt;=$S$16,$M5489&lt;=$S$18),U5489,0)</t>
  </si>
  <si>
    <t>=IF($M5489&lt;=$T$18,U5489,0)</t>
  </si>
  <si>
    <t>="""NAV Direct"",""CRONUS JetCorp USA"",""21"",""1"",""334982"""</t>
  </si>
  <si>
    <t>=E5488</t>
  </si>
  <si>
    <t>=StartDate-$M5490+1</t>
  </si>
  <si>
    <t>=SUM(P5490:T5490)</t>
  </si>
  <si>
    <t>=IF($M5490&gt;=$P$18,U5490,0)</t>
  </si>
  <si>
    <t>=IF(AND($M5490&gt;=$Q$16,$M5490&lt;=$Q$18),U5490,0)</t>
  </si>
  <si>
    <t>=IF(AND($M5490&gt;=$R$16,$M5490&lt;=$R$18),U5490,0)</t>
  </si>
  <si>
    <t>=IF(AND($M5490&gt;=$S$16,$M5490&lt;=$S$18),U5490,0)</t>
  </si>
  <si>
    <t>=IF($M5490&lt;=$T$18,U5490,0)</t>
  </si>
  <si>
    <t>="""NAV Direct"",""CRONUS JetCorp USA"",""21"",""1"",""335068"""</t>
  </si>
  <si>
    <t>=E5489</t>
  </si>
  <si>
    <t>=StartDate-$M5491+1</t>
  </si>
  <si>
    <t>=SUM(P5491:T5491)</t>
  </si>
  <si>
    <t>=IF($M5491&gt;=$P$18,U5491,0)</t>
  </si>
  <si>
    <t>=IF(AND($M5491&gt;=$Q$16,$M5491&lt;=$Q$18),U5491,0)</t>
  </si>
  <si>
    <t>=IF(AND($M5491&gt;=$R$16,$M5491&lt;=$R$18),U5491,0)</t>
  </si>
  <si>
    <t>=IF(AND($M5491&gt;=$S$16,$M5491&lt;=$S$18),U5491,0)</t>
  </si>
  <si>
    <t>=IF($M5491&lt;=$T$18,U5491,0)</t>
  </si>
  <si>
    <t>="""NAV Direct"",""CRONUS JetCorp USA"",""21"",""1"",""335441"""</t>
  </si>
  <si>
    <t>=E5490</t>
  </si>
  <si>
    <t>=StartDate-$M5492+1</t>
  </si>
  <si>
    <t>=SUM(P5492:T5492)</t>
  </si>
  <si>
    <t>=IF($M5492&gt;=$P$18,U5492,0)</t>
  </si>
  <si>
    <t>=IF(AND($M5492&gt;=$Q$16,$M5492&lt;=$Q$18),U5492,0)</t>
  </si>
  <si>
    <t>=IF(AND($M5492&gt;=$R$16,$M5492&lt;=$R$18),U5492,0)</t>
  </si>
  <si>
    <t>=IF(AND($M5492&gt;=$S$16,$M5492&lt;=$S$18),U5492,0)</t>
  </si>
  <si>
    <t>=IF($M5492&lt;=$T$18,U5492,0)</t>
  </si>
  <si>
    <t>="""NAV Direct"",""CRONUS JetCorp USA"",""21"",""1"",""335612"""</t>
  </si>
  <si>
    <t>=E5491</t>
  </si>
  <si>
    <t>=StartDate-$M5493+1</t>
  </si>
  <si>
    <t>=SUM(P5493:T5493)</t>
  </si>
  <si>
    <t>=IF($M5493&gt;=$P$18,U5493,0)</t>
  </si>
  <si>
    <t>=IF(AND($M5493&gt;=$Q$16,$M5493&lt;=$Q$18),U5493,0)</t>
  </si>
  <si>
    <t>=IF(AND($M5493&gt;=$R$16,$M5493&lt;=$R$18),U5493,0)</t>
  </si>
  <si>
    <t>=IF(AND($M5493&gt;=$S$16,$M5493&lt;=$S$18),U5493,0)</t>
  </si>
  <si>
    <t>=IF($M5493&lt;=$T$18,U5493,0)</t>
  </si>
  <si>
    <t>="""NAV Direct"",""CRONUS JetCorp USA"",""21"",""1"",""335768"""</t>
  </si>
  <si>
    <t>=E5492</t>
  </si>
  <si>
    <t>=StartDate-$M5494+1</t>
  </si>
  <si>
    <t>=SUM(P5494:T5494)</t>
  </si>
  <si>
    <t>=IF($M5494&gt;=$P$18,U5494,0)</t>
  </si>
  <si>
    <t>=IF(AND($M5494&gt;=$Q$16,$M5494&lt;=$Q$18),U5494,0)</t>
  </si>
  <si>
    <t>=IF(AND($M5494&gt;=$R$16,$M5494&lt;=$R$18),U5494,0)</t>
  </si>
  <si>
    <t>=IF(AND($M5494&gt;=$S$16,$M5494&lt;=$S$18),U5494,0)</t>
  </si>
  <si>
    <t>=IF($M5494&lt;=$T$18,U5494,0)</t>
  </si>
  <si>
    <t>="""NAV Direct"",""CRONUS JetCorp USA"",""21"",""1"",""336002"""</t>
  </si>
  <si>
    <t>=E5493</t>
  </si>
  <si>
    <t>=StartDate-$M5495+1</t>
  </si>
  <si>
    <t>=SUM(P5495:T5495)</t>
  </si>
  <si>
    <t>=IF($M5495&gt;=$P$18,U5495,0)</t>
  </si>
  <si>
    <t>=IF(AND($M5495&gt;=$Q$16,$M5495&lt;=$Q$18),U5495,0)</t>
  </si>
  <si>
    <t>=IF(AND($M5495&gt;=$R$16,$M5495&lt;=$R$18),U5495,0)</t>
  </si>
  <si>
    <t>=IF(AND($M5495&gt;=$S$16,$M5495&lt;=$S$18),U5495,0)</t>
  </si>
  <si>
    <t>=IF($M5495&lt;=$T$18,U5495,0)</t>
  </si>
  <si>
    <t>="""NAV Direct"",""CRONUS JetCorp USA"",""21"",""1"",""336133"""</t>
  </si>
  <si>
    <t>=E5494</t>
  </si>
  <si>
    <t>=StartDate-$M5496+1</t>
  </si>
  <si>
    <t>=SUM(P5496:T5496)</t>
  </si>
  <si>
    <t>=IF($M5496&gt;=$P$18,U5496,0)</t>
  </si>
  <si>
    <t>=IF(AND($M5496&gt;=$Q$16,$M5496&lt;=$Q$18),U5496,0)</t>
  </si>
  <si>
    <t>=IF(AND($M5496&gt;=$R$16,$M5496&lt;=$R$18),U5496,0)</t>
  </si>
  <si>
    <t>=IF(AND($M5496&gt;=$S$16,$M5496&lt;=$S$18),U5496,0)</t>
  </si>
  <si>
    <t>=IF($M5496&lt;=$T$18,U5496,0)</t>
  </si>
  <si>
    <t>="""NAV Direct"",""CRONUS JetCorp USA"",""21"",""1"",""336168"""</t>
  </si>
  <si>
    <t>=E5495</t>
  </si>
  <si>
    <t>=StartDate-$M5497+1</t>
  </si>
  <si>
    <t>=SUM(P5497:T5497)</t>
  </si>
  <si>
    <t>=IF($M5497&gt;=$P$18,U5497,0)</t>
  </si>
  <si>
    <t>=IF(AND($M5497&gt;=$Q$16,$M5497&lt;=$Q$18),U5497,0)</t>
  </si>
  <si>
    <t>=IF(AND($M5497&gt;=$R$16,$M5497&lt;=$R$18),U5497,0)</t>
  </si>
  <si>
    <t>=IF(AND($M5497&gt;=$S$16,$M5497&lt;=$S$18),U5497,0)</t>
  </si>
  <si>
    <t>=IF($M5497&lt;=$T$18,U5497,0)</t>
  </si>
  <si>
    <t>="""NAV Direct"",""CRONUS JetCorp USA"",""21"",""1"",""336380"""</t>
  </si>
  <si>
    <t>=E5496</t>
  </si>
  <si>
    <t>=StartDate-$M5498+1</t>
  </si>
  <si>
    <t>=SUM(P5498:T5498)</t>
  </si>
  <si>
    <t>=IF($M5498&gt;=$P$18,U5498,0)</t>
  </si>
  <si>
    <t>=IF(AND($M5498&gt;=$Q$16,$M5498&lt;=$Q$18),U5498,0)</t>
  </si>
  <si>
    <t>=IF(AND($M5498&gt;=$R$16,$M5498&lt;=$R$18),U5498,0)</t>
  </si>
  <si>
    <t>=IF(AND($M5498&gt;=$S$16,$M5498&lt;=$S$18),U5498,0)</t>
  </si>
  <si>
    <t>=IF($M5498&lt;=$T$18,U5498,0)</t>
  </si>
  <si>
    <t>="""NAV Direct"",""CRONUS JetCorp USA"",""21"",""1"",""336444"""</t>
  </si>
  <si>
    <t>=E5497</t>
  </si>
  <si>
    <t>=StartDate-$M5499+1</t>
  </si>
  <si>
    <t>=SUM(P5499:T5499)</t>
  </si>
  <si>
    <t>=IF($M5499&gt;=$P$18,U5499,0)</t>
  </si>
  <si>
    <t>=IF(AND($M5499&gt;=$Q$16,$M5499&lt;=$Q$18),U5499,0)</t>
  </si>
  <si>
    <t>=IF(AND($M5499&gt;=$R$16,$M5499&lt;=$R$18),U5499,0)</t>
  </si>
  <si>
    <t>=IF(AND($M5499&gt;=$S$16,$M5499&lt;=$S$18),U5499,0)</t>
  </si>
  <si>
    <t>=IF($M5499&lt;=$T$18,U5499,0)</t>
  </si>
  <si>
    <t>="""NAV Direct"",""CRONUS JetCorp USA"",""21"",""1"",""336925"""</t>
  </si>
  <si>
    <t>=E5498</t>
  </si>
  <si>
    <t>=StartDate-$M5500+1</t>
  </si>
  <si>
    <t>=SUM(P5500:T5500)</t>
  </si>
  <si>
    <t>=IF($M5500&gt;=$P$18,U5500,0)</t>
  </si>
  <si>
    <t>=IF(AND($M5500&gt;=$Q$16,$M5500&lt;=$Q$18),U5500,0)</t>
  </si>
  <si>
    <t>=IF(AND($M5500&gt;=$R$16,$M5500&lt;=$R$18),U5500,0)</t>
  </si>
  <si>
    <t>=IF(AND($M5500&gt;=$S$16,$M5500&lt;=$S$18),U5500,0)</t>
  </si>
  <si>
    <t>=IF($M5500&lt;=$T$18,U5500,0)</t>
  </si>
  <si>
    <t>="""NAV Direct"",""CRONUS JetCorp USA"",""21"",""1"",""337038"""</t>
  </si>
  <si>
    <t>=E5499</t>
  </si>
  <si>
    <t>=StartDate-$M5501+1</t>
  </si>
  <si>
    <t>=SUM(P5501:T5501)</t>
  </si>
  <si>
    <t>=IF($M5501&gt;=$P$18,U5501,0)</t>
  </si>
  <si>
    <t>=IF(AND($M5501&gt;=$Q$16,$M5501&lt;=$Q$18),U5501,0)</t>
  </si>
  <si>
    <t>=IF(AND($M5501&gt;=$R$16,$M5501&lt;=$R$18),U5501,0)</t>
  </si>
  <si>
    <t>=IF(AND($M5501&gt;=$S$16,$M5501&lt;=$S$18),U5501,0)</t>
  </si>
  <si>
    <t>=IF($M5501&lt;=$T$18,U5501,0)</t>
  </si>
  <si>
    <t>="""NAV Direct"",""CRONUS JetCorp USA"",""21"",""1"",""337515"""</t>
  </si>
  <si>
    <t>=E5500</t>
  </si>
  <si>
    <t>=StartDate-$M5502+1</t>
  </si>
  <si>
    <t>=SUM(P5502:T5502)</t>
  </si>
  <si>
    <t>=IF($M5502&gt;=$P$18,U5502,0)</t>
  </si>
  <si>
    <t>=IF(AND($M5502&gt;=$Q$16,$M5502&lt;=$Q$18),U5502,0)</t>
  </si>
  <si>
    <t>=IF(AND($M5502&gt;=$R$16,$M5502&lt;=$R$18),U5502,0)</t>
  </si>
  <si>
    <t>=IF(AND($M5502&gt;=$S$16,$M5502&lt;=$S$18),U5502,0)</t>
  </si>
  <si>
    <t>=IF($M5502&lt;=$T$18,U5502,0)</t>
  </si>
  <si>
    <t>="""NAV Direct"",""CRONUS JetCorp USA"",""21"",""1"",""337575"""</t>
  </si>
  <si>
    <t>=E5501</t>
  </si>
  <si>
    <t>=StartDate-$M5503+1</t>
  </si>
  <si>
    <t>=SUM(P5503:T5503)</t>
  </si>
  <si>
    <t>=IF($M5503&gt;=$P$18,U5503,0)</t>
  </si>
  <si>
    <t>=IF(AND($M5503&gt;=$Q$16,$M5503&lt;=$Q$18),U5503,0)</t>
  </si>
  <si>
    <t>=IF(AND($M5503&gt;=$R$16,$M5503&lt;=$R$18),U5503,0)</t>
  </si>
  <si>
    <t>=IF(AND($M5503&gt;=$S$16,$M5503&lt;=$S$18),U5503,0)</t>
  </si>
  <si>
    <t>=IF($M5503&lt;=$T$18,U5503,0)</t>
  </si>
  <si>
    <t>="""NAV Direct"",""CRONUS JetCorp USA"",""21"",""1"",""338271"""</t>
  </si>
  <si>
    <t>=E5502</t>
  </si>
  <si>
    <t>=StartDate-$M5504+1</t>
  </si>
  <si>
    <t>=SUM(P5504:T5504)</t>
  </si>
  <si>
    <t>=IF($M5504&gt;=$P$18,U5504,0)</t>
  </si>
  <si>
    <t>=IF(AND($M5504&gt;=$Q$16,$M5504&lt;=$Q$18),U5504,0)</t>
  </si>
  <si>
    <t>=IF(AND($M5504&gt;=$R$16,$M5504&lt;=$R$18),U5504,0)</t>
  </si>
  <si>
    <t>=IF(AND($M5504&gt;=$S$16,$M5504&lt;=$S$18),U5504,0)</t>
  </si>
  <si>
    <t>=IF($M5504&lt;=$T$18,U5504,0)</t>
  </si>
  <si>
    <t>="""NAV Direct"",""CRONUS JetCorp USA"",""21"",""1"",""338314"""</t>
  </si>
  <si>
    <t>=E5503</t>
  </si>
  <si>
    <t>=StartDate-$M5505+1</t>
  </si>
  <si>
    <t>=SUM(P5505:T5505)</t>
  </si>
  <si>
    <t>=IF($M5505&gt;=$P$18,U5505,0)</t>
  </si>
  <si>
    <t>=IF(AND($M5505&gt;=$Q$16,$M5505&lt;=$Q$18),U5505,0)</t>
  </si>
  <si>
    <t>=IF(AND($M5505&gt;=$R$16,$M5505&lt;=$R$18),U5505,0)</t>
  </si>
  <si>
    <t>=IF(AND($M5505&gt;=$S$16,$M5505&lt;=$S$18),U5505,0)</t>
  </si>
  <si>
    <t>=IF($M5505&lt;=$T$18,U5505,0)</t>
  </si>
  <si>
    <t>="""NAV Direct"",""CRONUS JetCorp USA"",""21"",""1"",""338367"""</t>
  </si>
  <si>
    <t>=E5504</t>
  </si>
  <si>
    <t>=StartDate-$M5506+1</t>
  </si>
  <si>
    <t>=SUM(P5506:T5506)</t>
  </si>
  <si>
    <t>=IF($M5506&gt;=$P$18,U5506,0)</t>
  </si>
  <si>
    <t>=IF(AND($M5506&gt;=$Q$16,$M5506&lt;=$Q$18),U5506,0)</t>
  </si>
  <si>
    <t>=IF(AND($M5506&gt;=$R$16,$M5506&lt;=$R$18),U5506,0)</t>
  </si>
  <si>
    <t>=IF(AND($M5506&gt;=$S$16,$M5506&lt;=$S$18),U5506,0)</t>
  </si>
  <si>
    <t>=IF($M5506&lt;=$T$18,U5506,0)</t>
  </si>
  <si>
    <t>="""NAV Direct"",""CRONUS JetCorp USA"",""21"",""1"",""338412"""</t>
  </si>
  <si>
    <t>=E5505</t>
  </si>
  <si>
    <t>=StartDate-$M5507+1</t>
  </si>
  <si>
    <t>=SUM(P5507:T5507)</t>
  </si>
  <si>
    <t>=IF($M5507&gt;=$P$18,U5507,0)</t>
  </si>
  <si>
    <t>=IF(AND($M5507&gt;=$Q$16,$M5507&lt;=$Q$18),U5507,0)</t>
  </si>
  <si>
    <t>=IF(AND($M5507&gt;=$R$16,$M5507&lt;=$R$18),U5507,0)</t>
  </si>
  <si>
    <t>=IF(AND($M5507&gt;=$S$16,$M5507&lt;=$S$18),U5507,0)</t>
  </si>
  <si>
    <t>=IF($M5507&lt;=$T$18,U5507,0)</t>
  </si>
  <si>
    <t>="""NAV Direct"",""CRONUS JetCorp USA"",""21"",""1"",""338584"""</t>
  </si>
  <si>
    <t>=E5506</t>
  </si>
  <si>
    <t>=StartDate-$M5508+1</t>
  </si>
  <si>
    <t>=SUM(P5508:T5508)</t>
  </si>
  <si>
    <t>=IF($M5508&gt;=$P$18,U5508,0)</t>
  </si>
  <si>
    <t>=IF(AND($M5508&gt;=$Q$16,$M5508&lt;=$Q$18),U5508,0)</t>
  </si>
  <si>
    <t>=IF(AND($M5508&gt;=$R$16,$M5508&lt;=$R$18),U5508,0)</t>
  </si>
  <si>
    <t>=IF(AND($M5508&gt;=$S$16,$M5508&lt;=$S$18),U5508,0)</t>
  </si>
  <si>
    <t>=IF($M5508&lt;=$T$18,U5508,0)</t>
  </si>
  <si>
    <t>="""NAV Direct"",""CRONUS JetCorp USA"",""21"",""1"",""338713"""</t>
  </si>
  <si>
    <t>=E5507</t>
  </si>
  <si>
    <t>=StartDate-$M5509+1</t>
  </si>
  <si>
    <t>=SUM(P5509:T5509)</t>
  </si>
  <si>
    <t>=IF($M5509&gt;=$P$18,U5509,0)</t>
  </si>
  <si>
    <t>=IF(AND($M5509&gt;=$Q$16,$M5509&lt;=$Q$18),U5509,0)</t>
  </si>
  <si>
    <t>=IF(AND($M5509&gt;=$R$16,$M5509&lt;=$R$18),U5509,0)</t>
  </si>
  <si>
    <t>=IF(AND($M5509&gt;=$S$16,$M5509&lt;=$S$18),U5509,0)</t>
  </si>
  <si>
    <t>=IF($M5509&lt;=$T$18,U5509,0)</t>
  </si>
  <si>
    <t>="""NAV Direct"",""CRONUS JetCorp USA"",""21"",""1"",""339109"""</t>
  </si>
  <si>
    <t>=E5508</t>
  </si>
  <si>
    <t>=StartDate-$M5510+1</t>
  </si>
  <si>
    <t>=SUM(P5510:T5510)</t>
  </si>
  <si>
    <t>=IF($M5510&gt;=$P$18,U5510,0)</t>
  </si>
  <si>
    <t>=IF(AND($M5510&gt;=$Q$16,$M5510&lt;=$Q$18),U5510,0)</t>
  </si>
  <si>
    <t>=IF(AND($M5510&gt;=$R$16,$M5510&lt;=$R$18),U5510,0)</t>
  </si>
  <si>
    <t>=IF(AND($M5510&gt;=$S$16,$M5510&lt;=$S$18),U5510,0)</t>
  </si>
  <si>
    <t>=IF($M5510&lt;=$T$18,U5510,0)</t>
  </si>
  <si>
    <t>="""NAV Direct"",""CRONUS JetCorp USA"",""21"",""1"",""339365"""</t>
  </si>
  <si>
    <t>=E5509</t>
  </si>
  <si>
    <t>=StartDate-$M5511+1</t>
  </si>
  <si>
    <t>=SUM(P5511:T5511)</t>
  </si>
  <si>
    <t>=IF($M5511&gt;=$P$18,U5511,0)</t>
  </si>
  <si>
    <t>=IF(AND($M5511&gt;=$Q$16,$M5511&lt;=$Q$18),U5511,0)</t>
  </si>
  <si>
    <t>=IF(AND($M5511&gt;=$R$16,$M5511&lt;=$R$18),U5511,0)</t>
  </si>
  <si>
    <t>=IF(AND($M5511&gt;=$S$16,$M5511&lt;=$S$18),U5511,0)</t>
  </si>
  <si>
    <t>=IF($M5511&lt;=$T$18,U5511,0)</t>
  </si>
  <si>
    <t>="""NAV Direct"",""CRONUS JetCorp USA"",""21"",""1"",""339790"""</t>
  </si>
  <si>
    <t>=E5510</t>
  </si>
  <si>
    <t>=StartDate-$M5512+1</t>
  </si>
  <si>
    <t>=SUM(P5512:T5512)</t>
  </si>
  <si>
    <t>=IF($M5512&gt;=$P$18,U5512,0)</t>
  </si>
  <si>
    <t>=IF(AND($M5512&gt;=$Q$16,$M5512&lt;=$Q$18),U5512,0)</t>
  </si>
  <si>
    <t>=IF(AND($M5512&gt;=$R$16,$M5512&lt;=$R$18),U5512,0)</t>
  </si>
  <si>
    <t>=IF(AND($M5512&gt;=$S$16,$M5512&lt;=$S$18),U5512,0)</t>
  </si>
  <si>
    <t>=IF($M5512&lt;=$T$18,U5512,0)</t>
  </si>
  <si>
    <t>="""NAV Direct"",""CRONUS JetCorp USA"",""21"",""1"",""340205"""</t>
  </si>
  <si>
    <t>=E5511</t>
  </si>
  <si>
    <t>=StartDate-$M5513+1</t>
  </si>
  <si>
    <t>=SUM(P5513:T5513)</t>
  </si>
  <si>
    <t>=IF($M5513&gt;=$P$18,U5513,0)</t>
  </si>
  <si>
    <t>=IF(AND($M5513&gt;=$Q$16,$M5513&lt;=$Q$18),U5513,0)</t>
  </si>
  <si>
    <t>=IF(AND($M5513&gt;=$R$16,$M5513&lt;=$R$18),U5513,0)</t>
  </si>
  <si>
    <t>=IF(AND($M5513&gt;=$S$16,$M5513&lt;=$S$18),U5513,0)</t>
  </si>
  <si>
    <t>=IF($M5513&lt;=$T$18,U5513,0)</t>
  </si>
  <si>
    <t>="""NAV Direct"",""CRONUS JetCorp USA"",""21"",""1"",""340240"""</t>
  </si>
  <si>
    <t>=E5512</t>
  </si>
  <si>
    <t>=StartDate-$M5514+1</t>
  </si>
  <si>
    <t>=SUM(P5514:T5514)</t>
  </si>
  <si>
    <t>=IF($M5514&gt;=$P$18,U5514,0)</t>
  </si>
  <si>
    <t>=IF(AND($M5514&gt;=$Q$16,$M5514&lt;=$Q$18),U5514,0)</t>
  </si>
  <si>
    <t>=IF(AND($M5514&gt;=$R$16,$M5514&lt;=$R$18),U5514,0)</t>
  </si>
  <si>
    <t>=IF(AND($M5514&gt;=$S$16,$M5514&lt;=$S$18),U5514,0)</t>
  </si>
  <si>
    <t>=IF($M5514&lt;=$T$18,U5514,0)</t>
  </si>
  <si>
    <t>="""NAV Direct"",""CRONUS JetCorp USA"",""21"",""1"",""340359"""</t>
  </si>
  <si>
    <t>=E5513</t>
  </si>
  <si>
    <t>=StartDate-$M5515+1</t>
  </si>
  <si>
    <t>=SUM(P5515:T5515)</t>
  </si>
  <si>
    <t>=IF($M5515&gt;=$P$18,U5515,0)</t>
  </si>
  <si>
    <t>=IF(AND($M5515&gt;=$Q$16,$M5515&lt;=$Q$18),U5515,0)</t>
  </si>
  <si>
    <t>=IF(AND($M5515&gt;=$R$16,$M5515&lt;=$R$18),U5515,0)</t>
  </si>
  <si>
    <t>=IF(AND($M5515&gt;=$S$16,$M5515&lt;=$S$18),U5515,0)</t>
  </si>
  <si>
    <t>=IF($M5515&lt;=$T$18,U5515,0)</t>
  </si>
  <si>
    <t>="""NAV Direct"",""CRONUS JetCorp USA"",""21"",""1"",""340544"""</t>
  </si>
  <si>
    <t>=E5514</t>
  </si>
  <si>
    <t>=StartDate-$M5516+1</t>
  </si>
  <si>
    <t>=SUM(P5516:T5516)</t>
  </si>
  <si>
    <t>=IF($M5516&gt;=$P$18,U5516,0)</t>
  </si>
  <si>
    <t>=IF(AND($M5516&gt;=$Q$16,$M5516&lt;=$Q$18),U5516,0)</t>
  </si>
  <si>
    <t>=IF(AND($M5516&gt;=$R$16,$M5516&lt;=$R$18),U5516,0)</t>
  </si>
  <si>
    <t>=IF(AND($M5516&gt;=$S$16,$M5516&lt;=$S$18),U5516,0)</t>
  </si>
  <si>
    <t>=IF($M5516&lt;=$T$18,U5516,0)</t>
  </si>
  <si>
    <t>="""NAV Direct"",""CRONUS JetCorp USA"",""21"",""1"",""340653"""</t>
  </si>
  <si>
    <t>=E5515</t>
  </si>
  <si>
    <t>=StartDate-$M5517+1</t>
  </si>
  <si>
    <t>=SUM(P5517:T5517)</t>
  </si>
  <si>
    <t>=IF($M5517&gt;=$P$18,U5517,0)</t>
  </si>
  <si>
    <t>=IF(AND($M5517&gt;=$Q$16,$M5517&lt;=$Q$18),U5517,0)</t>
  </si>
  <si>
    <t>=IF(AND($M5517&gt;=$R$16,$M5517&lt;=$R$18),U5517,0)</t>
  </si>
  <si>
    <t>=IF(AND($M5517&gt;=$S$16,$M5517&lt;=$S$18),U5517,0)</t>
  </si>
  <si>
    <t>=IF($M5517&lt;=$T$18,U5517,0)</t>
  </si>
  <si>
    <t>="""NAV Direct"",""CRONUS JetCorp USA"",""21"",""1"",""340764"""</t>
  </si>
  <si>
    <t>=E5516</t>
  </si>
  <si>
    <t>=StartDate-$M5518+1</t>
  </si>
  <si>
    <t>=SUM(P5518:T5518)</t>
  </si>
  <si>
    <t>=IF($M5518&gt;=$P$18,U5518,0)</t>
  </si>
  <si>
    <t>=IF(AND($M5518&gt;=$Q$16,$M5518&lt;=$Q$18),U5518,0)</t>
  </si>
  <si>
    <t>=IF(AND($M5518&gt;=$R$16,$M5518&lt;=$R$18),U5518,0)</t>
  </si>
  <si>
    <t>=IF(AND($M5518&gt;=$S$16,$M5518&lt;=$S$18),U5518,0)</t>
  </si>
  <si>
    <t>=IF($M5518&lt;=$T$18,U5518,0)</t>
  </si>
  <si>
    <t>="""NAV Direct"",""CRONUS JetCorp USA"",""21"",""1"",""340932"""</t>
  </si>
  <si>
    <t>=E5517</t>
  </si>
  <si>
    <t>=StartDate-$M5519+1</t>
  </si>
  <si>
    <t>=SUM(P5519:T5519)</t>
  </si>
  <si>
    <t>=IF($M5519&gt;=$P$18,U5519,0)</t>
  </si>
  <si>
    <t>=IF(AND($M5519&gt;=$Q$16,$M5519&lt;=$Q$18),U5519,0)</t>
  </si>
  <si>
    <t>=IF(AND($M5519&gt;=$R$16,$M5519&lt;=$R$18),U5519,0)</t>
  </si>
  <si>
    <t>=IF(AND($M5519&gt;=$S$16,$M5519&lt;=$S$18),U5519,0)</t>
  </si>
  <si>
    <t>=IF($M5519&lt;=$T$18,U5519,0)</t>
  </si>
  <si>
    <t>="""NAV Direct"",""CRONUS JetCorp USA"",""21"",""1"",""341201"""</t>
  </si>
  <si>
    <t>=E5518</t>
  </si>
  <si>
    <t>=StartDate-$M5520+1</t>
  </si>
  <si>
    <t>=SUM(P5520:T5520)</t>
  </si>
  <si>
    <t>=IF($M5520&gt;=$P$18,U5520,0)</t>
  </si>
  <si>
    <t>=IF(AND($M5520&gt;=$Q$16,$M5520&lt;=$Q$18),U5520,0)</t>
  </si>
  <si>
    <t>=IF(AND($M5520&gt;=$R$16,$M5520&lt;=$R$18),U5520,0)</t>
  </si>
  <si>
    <t>=IF(AND($M5520&gt;=$S$16,$M5520&lt;=$S$18),U5520,0)</t>
  </si>
  <si>
    <t>=IF($M5520&lt;=$T$18,U5520,0)</t>
  </si>
  <si>
    <t>="""NAV Direct"",""CRONUS JetCorp USA"",""21"",""1"",""341234"""</t>
  </si>
  <si>
    <t>=E5519</t>
  </si>
  <si>
    <t>=StartDate-$M5521+1</t>
  </si>
  <si>
    <t>=SUM(P5521:T5521)</t>
  </si>
  <si>
    <t>=IF($M5521&gt;=$P$18,U5521,0)</t>
  </si>
  <si>
    <t>=IF(AND($M5521&gt;=$Q$16,$M5521&lt;=$Q$18),U5521,0)</t>
  </si>
  <si>
    <t>=IF(AND($M5521&gt;=$R$16,$M5521&lt;=$R$18),U5521,0)</t>
  </si>
  <si>
    <t>=IF(AND($M5521&gt;=$S$16,$M5521&lt;=$S$18),U5521,0)</t>
  </si>
  <si>
    <t>=IF($M5521&lt;=$T$18,U5521,0)</t>
  </si>
  <si>
    <t>="""NAV Direct"",""CRONUS JetCorp USA"",""21"",""1"",""341479"""</t>
  </si>
  <si>
    <t>=E5520</t>
  </si>
  <si>
    <t>=StartDate-$M5522+1</t>
  </si>
  <si>
    <t>=SUM(P5522:T5522)</t>
  </si>
  <si>
    <t>=IF($M5522&gt;=$P$18,U5522,0)</t>
  </si>
  <si>
    <t>=IF(AND($M5522&gt;=$Q$16,$M5522&lt;=$Q$18),U5522,0)</t>
  </si>
  <si>
    <t>=IF(AND($M5522&gt;=$R$16,$M5522&lt;=$R$18),U5522,0)</t>
  </si>
  <si>
    <t>=IF(AND($M5522&gt;=$S$16,$M5522&lt;=$S$18),U5522,0)</t>
  </si>
  <si>
    <t>=IF($M5522&lt;=$T$18,U5522,0)</t>
  </si>
  <si>
    <t>="""NAV Direct"",""CRONUS JetCorp USA"",""21"",""1"",""341752"""</t>
  </si>
  <si>
    <t>=E5521</t>
  </si>
  <si>
    <t>=StartDate-$M5523+1</t>
  </si>
  <si>
    <t>=SUM(P5523:T5523)</t>
  </si>
  <si>
    <t>=IF($M5523&gt;=$P$18,U5523,0)</t>
  </si>
  <si>
    <t>=IF(AND($M5523&gt;=$Q$16,$M5523&lt;=$Q$18),U5523,0)</t>
  </si>
  <si>
    <t>=IF(AND($M5523&gt;=$R$16,$M5523&lt;=$R$18),U5523,0)</t>
  </si>
  <si>
    <t>=IF(AND($M5523&gt;=$S$16,$M5523&lt;=$S$18),U5523,0)</t>
  </si>
  <si>
    <t>=IF($M5523&lt;=$T$18,U5523,0)</t>
  </si>
  <si>
    <t>="""NAV Direct"",""CRONUS JetCorp USA"",""21"",""1"",""342113"""</t>
  </si>
  <si>
    <t>=E5522</t>
  </si>
  <si>
    <t>=StartDate-$M5524+1</t>
  </si>
  <si>
    <t>=SUM(P5524:T5524)</t>
  </si>
  <si>
    <t>=IF($M5524&gt;=$P$18,U5524,0)</t>
  </si>
  <si>
    <t>=IF(AND($M5524&gt;=$Q$16,$M5524&lt;=$Q$18),U5524,0)</t>
  </si>
  <si>
    <t>=IF(AND($M5524&gt;=$R$16,$M5524&lt;=$R$18),U5524,0)</t>
  </si>
  <si>
    <t>=IF(AND($M5524&gt;=$S$16,$M5524&lt;=$S$18),U5524,0)</t>
  </si>
  <si>
    <t>=IF($M5524&lt;=$T$18,U5524,0)</t>
  </si>
  <si>
    <t>="""NAV Direct"",""CRONUS JetCorp USA"",""21"",""1"",""342286"""</t>
  </si>
  <si>
    <t>=E5523</t>
  </si>
  <si>
    <t>=StartDate-$M5525+1</t>
  </si>
  <si>
    <t>=SUM(P5525:T5525)</t>
  </si>
  <si>
    <t>=IF($M5525&gt;=$P$18,U5525,0)</t>
  </si>
  <si>
    <t>=IF(AND($M5525&gt;=$Q$16,$M5525&lt;=$Q$18),U5525,0)</t>
  </si>
  <si>
    <t>=IF(AND($M5525&gt;=$R$16,$M5525&lt;=$R$18),U5525,0)</t>
  </si>
  <si>
    <t>=IF(AND($M5525&gt;=$S$16,$M5525&lt;=$S$18),U5525,0)</t>
  </si>
  <si>
    <t>=IF($M5525&lt;=$T$18,U5525,0)</t>
  </si>
  <si>
    <t>="""NAV Direct"",""CRONUS JetCorp USA"",""21"",""1"",""343031"""</t>
  </si>
  <si>
    <t>=E5524</t>
  </si>
  <si>
    <t>=StartDate-$M5526+1</t>
  </si>
  <si>
    <t>=SUM(P5526:T5526)</t>
  </si>
  <si>
    <t>=IF($M5526&gt;=$P$18,U5526,0)</t>
  </si>
  <si>
    <t>=IF(AND($M5526&gt;=$Q$16,$M5526&lt;=$Q$18),U5526,0)</t>
  </si>
  <si>
    <t>=IF(AND($M5526&gt;=$R$16,$M5526&lt;=$R$18),U5526,0)</t>
  </si>
  <si>
    <t>=IF(AND($M5526&gt;=$S$16,$M5526&lt;=$S$18),U5526,0)</t>
  </si>
  <si>
    <t>=IF($M5526&lt;=$T$18,U5526,0)</t>
  </si>
  <si>
    <t>="""NAV Direct"",""CRONUS JetCorp USA"",""21"",""1"",""343242"""</t>
  </si>
  <si>
    <t>=E5525</t>
  </si>
  <si>
    <t>=StartDate-$M5527+1</t>
  </si>
  <si>
    <t>=SUM(P5527:T5527)</t>
  </si>
  <si>
    <t>=IF($M5527&gt;=$P$18,U5527,0)</t>
  </si>
  <si>
    <t>=IF(AND($M5527&gt;=$Q$16,$M5527&lt;=$Q$18),U5527,0)</t>
  </si>
  <si>
    <t>=IF(AND($M5527&gt;=$R$16,$M5527&lt;=$R$18),U5527,0)</t>
  </si>
  <si>
    <t>=IF(AND($M5527&gt;=$S$16,$M5527&lt;=$S$18),U5527,0)</t>
  </si>
  <si>
    <t>=IF($M5527&lt;=$T$18,U5527,0)</t>
  </si>
  <si>
    <t>="""NAV Direct"",""CRONUS JetCorp USA"",""21"",""1"",""343287"""</t>
  </si>
  <si>
    <t>=E5526</t>
  </si>
  <si>
    <t>=StartDate-$M5528+1</t>
  </si>
  <si>
    <t>=SUM(P5528:T5528)</t>
  </si>
  <si>
    <t>=IF($M5528&gt;=$P$18,U5528,0)</t>
  </si>
  <si>
    <t>=IF(AND($M5528&gt;=$Q$16,$M5528&lt;=$Q$18),U5528,0)</t>
  </si>
  <si>
    <t>=IF(AND($M5528&gt;=$R$16,$M5528&lt;=$R$18),U5528,0)</t>
  </si>
  <si>
    <t>=IF(AND($M5528&gt;=$S$16,$M5528&lt;=$S$18),U5528,0)</t>
  </si>
  <si>
    <t>=IF($M5528&lt;=$T$18,U5528,0)</t>
  </si>
  <si>
    <t>="""NAV Direct"",""CRONUS JetCorp USA"",""21"",""1"",""343994"""</t>
  </si>
  <si>
    <t>=E5527</t>
  </si>
  <si>
    <t>=StartDate-$M5529+1</t>
  </si>
  <si>
    <t>=SUM(P5529:T5529)</t>
  </si>
  <si>
    <t>=IF($M5529&gt;=$P$18,U5529,0)</t>
  </si>
  <si>
    <t>=IF(AND($M5529&gt;=$Q$16,$M5529&lt;=$Q$18),U5529,0)</t>
  </si>
  <si>
    <t>=IF(AND($M5529&gt;=$R$16,$M5529&lt;=$R$18),U5529,0)</t>
  </si>
  <si>
    <t>=IF(AND($M5529&gt;=$S$16,$M5529&lt;=$S$18),U5529,0)</t>
  </si>
  <si>
    <t>=IF($M5529&lt;=$T$18,U5529,0)</t>
  </si>
  <si>
    <t>="""NAV Direct"",""CRONUS JetCorp USA"",""21"",""1"",""344029"""</t>
  </si>
  <si>
    <t>=E5528</t>
  </si>
  <si>
    <t>=StartDate-$M5530+1</t>
  </si>
  <si>
    <t>=SUM(P5530:T5530)</t>
  </si>
  <si>
    <t>=IF($M5530&gt;=$P$18,U5530,0)</t>
  </si>
  <si>
    <t>=IF(AND($M5530&gt;=$Q$16,$M5530&lt;=$Q$18),U5530,0)</t>
  </si>
  <si>
    <t>=IF(AND($M5530&gt;=$R$16,$M5530&lt;=$R$18),U5530,0)</t>
  </si>
  <si>
    <t>=IF(AND($M5530&gt;=$S$16,$M5530&lt;=$S$18),U5530,0)</t>
  </si>
  <si>
    <t>=IF($M5530&lt;=$T$18,U5530,0)</t>
  </si>
  <si>
    <t>="""NAV Direct"",""CRONUS JetCorp USA"",""21"",""1"",""344343"""</t>
  </si>
  <si>
    <t>=E5529</t>
  </si>
  <si>
    <t>=StartDate-$M5531+1</t>
  </si>
  <si>
    <t>=SUM(P5531:T5531)</t>
  </si>
  <si>
    <t>=IF($M5531&gt;=$P$18,U5531,0)</t>
  </si>
  <si>
    <t>=IF(AND($M5531&gt;=$Q$16,$M5531&lt;=$Q$18),U5531,0)</t>
  </si>
  <si>
    <t>=IF(AND($M5531&gt;=$R$16,$M5531&lt;=$R$18),U5531,0)</t>
  </si>
  <si>
    <t>=IF(AND($M5531&gt;=$S$16,$M5531&lt;=$S$18),U5531,0)</t>
  </si>
  <si>
    <t>=IF($M5531&lt;=$T$18,U5531,0)</t>
  </si>
  <si>
    <t>="""NAV Direct"",""CRONUS JetCorp USA"",""21"",""1"",""344382"""</t>
  </si>
  <si>
    <t>=E5530</t>
  </si>
  <si>
    <t>=StartDate-$M5532+1</t>
  </si>
  <si>
    <t>=SUM(P5532:T5532)</t>
  </si>
  <si>
    <t>=IF($M5532&gt;=$P$18,U5532,0)</t>
  </si>
  <si>
    <t>=IF(AND($M5532&gt;=$Q$16,$M5532&lt;=$Q$18),U5532,0)</t>
  </si>
  <si>
    <t>=IF(AND($M5532&gt;=$R$16,$M5532&lt;=$R$18),U5532,0)</t>
  </si>
  <si>
    <t>=IF(AND($M5532&gt;=$S$16,$M5532&lt;=$S$18),U5532,0)</t>
  </si>
  <si>
    <t>=IF($M5532&lt;=$T$18,U5532,0)</t>
  </si>
  <si>
    <t>="""NAV Direct"",""CRONUS JetCorp USA"",""21"",""1"",""344519"""</t>
  </si>
  <si>
    <t>=E5531</t>
  </si>
  <si>
    <t>=StartDate-$M5533+1</t>
  </si>
  <si>
    <t>=SUM(P5533:T5533)</t>
  </si>
  <si>
    <t>=IF($M5533&gt;=$P$18,U5533,0)</t>
  </si>
  <si>
    <t>=IF(AND($M5533&gt;=$Q$16,$M5533&lt;=$Q$18),U5533,0)</t>
  </si>
  <si>
    <t>=IF(AND($M5533&gt;=$R$16,$M5533&lt;=$R$18),U5533,0)</t>
  </si>
  <si>
    <t>=IF(AND($M5533&gt;=$S$16,$M5533&lt;=$S$18),U5533,0)</t>
  </si>
  <si>
    <t>=IF($M5533&lt;=$T$18,U5533,0)</t>
  </si>
  <si>
    <t>="""NAV Direct"",""CRONUS JetCorp USA"",""21"",""1"",""344843"""</t>
  </si>
  <si>
    <t>=E5532</t>
  </si>
  <si>
    <t>=StartDate-$M5534+1</t>
  </si>
  <si>
    <t>=SUM(P5534:T5534)</t>
  </si>
  <si>
    <t>=IF($M5534&gt;=$P$18,U5534,0)</t>
  </si>
  <si>
    <t>=IF(AND($M5534&gt;=$Q$16,$M5534&lt;=$Q$18),U5534,0)</t>
  </si>
  <si>
    <t>=IF(AND($M5534&gt;=$R$16,$M5534&lt;=$R$18),U5534,0)</t>
  </si>
  <si>
    <t>=IF(AND($M5534&gt;=$S$16,$M5534&lt;=$S$18),U5534,0)</t>
  </si>
  <si>
    <t>=IF($M5534&lt;=$T$18,U5534,0)</t>
  </si>
  <si>
    <t>="""NAV Direct"",""CRONUS JetCorp USA"",""21"",""1"",""344933"""</t>
  </si>
  <si>
    <t>=E5533</t>
  </si>
  <si>
    <t>=StartDate-$M5535+1</t>
  </si>
  <si>
    <t>=SUM(P5535:T5535)</t>
  </si>
  <si>
    <t>=IF($M5535&gt;=$P$18,U5535,0)</t>
  </si>
  <si>
    <t>=IF(AND($M5535&gt;=$Q$16,$M5535&lt;=$Q$18),U5535,0)</t>
  </si>
  <si>
    <t>=IF(AND($M5535&gt;=$R$16,$M5535&lt;=$R$18),U5535,0)</t>
  </si>
  <si>
    <t>=IF(AND($M5535&gt;=$S$16,$M5535&lt;=$S$18),U5535,0)</t>
  </si>
  <si>
    <t>=IF($M5535&lt;=$T$18,U5535,0)</t>
  </si>
  <si>
    <t>="""NAV Direct"",""CRONUS JetCorp USA"",""21"",""1"",""345044"""</t>
  </si>
  <si>
    <t>=E5534</t>
  </si>
  <si>
    <t>=StartDate-$M5536+1</t>
  </si>
  <si>
    <t>=SUM(P5536:T5536)</t>
  </si>
  <si>
    <t>=IF($M5536&gt;=$P$18,U5536,0)</t>
  </si>
  <si>
    <t>=IF(AND($M5536&gt;=$Q$16,$M5536&lt;=$Q$18),U5536,0)</t>
  </si>
  <si>
    <t>=IF(AND($M5536&gt;=$R$16,$M5536&lt;=$R$18),U5536,0)</t>
  </si>
  <si>
    <t>=IF(AND($M5536&gt;=$S$16,$M5536&lt;=$S$18),U5536,0)</t>
  </si>
  <si>
    <t>=IF($M5536&lt;=$T$18,U5536,0)</t>
  </si>
  <si>
    <t>="""NAV Direct"",""CRONUS JetCorp USA"",""21"",""1"",""345370"""</t>
  </si>
  <si>
    <t>=E5535</t>
  </si>
  <si>
    <t>=StartDate-$M5537+1</t>
  </si>
  <si>
    <t>=SUM(P5537:T5537)</t>
  </si>
  <si>
    <t>=IF($M5537&gt;=$P$18,U5537,0)</t>
  </si>
  <si>
    <t>=IF(AND($M5537&gt;=$Q$16,$M5537&lt;=$Q$18),U5537,0)</t>
  </si>
  <si>
    <t>=IF(AND($M5537&gt;=$R$16,$M5537&lt;=$R$18),U5537,0)</t>
  </si>
  <si>
    <t>=IF(AND($M5537&gt;=$S$16,$M5537&lt;=$S$18),U5537,0)</t>
  </si>
  <si>
    <t>=IF($M5537&lt;=$T$18,U5537,0)</t>
  </si>
  <si>
    <t>="""NAV Direct"",""CRONUS JetCorp USA"",""21"",""1"",""345528"""</t>
  </si>
  <si>
    <t>=E5536</t>
  </si>
  <si>
    <t>=StartDate-$M5538+1</t>
  </si>
  <si>
    <t>=SUM(P5538:T5538)</t>
  </si>
  <si>
    <t>=IF($M5538&gt;=$P$18,U5538,0)</t>
  </si>
  <si>
    <t>=IF(AND($M5538&gt;=$Q$16,$M5538&lt;=$Q$18),U5538,0)</t>
  </si>
  <si>
    <t>=IF(AND($M5538&gt;=$R$16,$M5538&lt;=$R$18),U5538,0)</t>
  </si>
  <si>
    <t>=IF(AND($M5538&gt;=$S$16,$M5538&lt;=$S$18),U5538,0)</t>
  </si>
  <si>
    <t>=IF($M5538&lt;=$T$18,U5538,0)</t>
  </si>
  <si>
    <t>="""NAV Direct"",""CRONUS JetCorp USA"",""21"",""1"",""345579"""</t>
  </si>
  <si>
    <t>=E5537</t>
  </si>
  <si>
    <t>=StartDate-$M5539+1</t>
  </si>
  <si>
    <t>=SUM(P5539:T5539)</t>
  </si>
  <si>
    <t>=IF($M5539&gt;=$P$18,U5539,0)</t>
  </si>
  <si>
    <t>=IF(AND($M5539&gt;=$Q$16,$M5539&lt;=$Q$18),U5539,0)</t>
  </si>
  <si>
    <t>=IF(AND($M5539&gt;=$R$16,$M5539&lt;=$R$18),U5539,0)</t>
  </si>
  <si>
    <t>=IF(AND($M5539&gt;=$S$16,$M5539&lt;=$S$18),U5539,0)</t>
  </si>
  <si>
    <t>=IF($M5539&lt;=$T$18,U5539,0)</t>
  </si>
  <si>
    <t>="""NAV Direct"",""CRONUS JetCorp USA"",""21"",""1"",""345608"""</t>
  </si>
  <si>
    <t>=E5538</t>
  </si>
  <si>
    <t>=StartDate-$M5540+1</t>
  </si>
  <si>
    <t>=SUM(P5540:T5540)</t>
  </si>
  <si>
    <t>=IF($M5540&gt;=$P$18,U5540,0)</t>
  </si>
  <si>
    <t>=IF(AND($M5540&gt;=$Q$16,$M5540&lt;=$Q$18),U5540,0)</t>
  </si>
  <si>
    <t>=IF(AND($M5540&gt;=$R$16,$M5540&lt;=$R$18),U5540,0)</t>
  </si>
  <si>
    <t>=IF(AND($M5540&gt;=$S$16,$M5540&lt;=$S$18),U5540,0)</t>
  </si>
  <si>
    <t>=IF($M5540&lt;=$T$18,U5540,0)</t>
  </si>
  <si>
    <t>="""NAV Direct"",""CRONUS JetCorp USA"",""21"",""1"",""345811"""</t>
  </si>
  <si>
    <t>=E5539</t>
  </si>
  <si>
    <t>=StartDate-$M5541+1</t>
  </si>
  <si>
    <t>=SUM(P5541:T5541)</t>
  </si>
  <si>
    <t>=IF($M5541&gt;=$P$18,U5541,0)</t>
  </si>
  <si>
    <t>=IF(AND($M5541&gt;=$Q$16,$M5541&lt;=$Q$18),U5541,0)</t>
  </si>
  <si>
    <t>=IF(AND($M5541&gt;=$R$16,$M5541&lt;=$R$18),U5541,0)</t>
  </si>
  <si>
    <t>=IF(AND($M5541&gt;=$S$16,$M5541&lt;=$S$18),U5541,0)</t>
  </si>
  <si>
    <t>=IF($M5541&lt;=$T$18,U5541,0)</t>
  </si>
  <si>
    <t>="""NAV Direct"",""CRONUS JetCorp USA"",""21"",""1"",""345897"""</t>
  </si>
  <si>
    <t>=E5540</t>
  </si>
  <si>
    <t>=StartDate-$M5542+1</t>
  </si>
  <si>
    <t>=SUM(P5542:T5542)</t>
  </si>
  <si>
    <t>=IF($M5542&gt;=$P$18,U5542,0)</t>
  </si>
  <si>
    <t>=IF(AND($M5542&gt;=$Q$16,$M5542&lt;=$Q$18),U5542,0)</t>
  </si>
  <si>
    <t>=IF(AND($M5542&gt;=$R$16,$M5542&lt;=$R$18),U5542,0)</t>
  </si>
  <si>
    <t>=IF(AND($M5542&gt;=$S$16,$M5542&lt;=$S$18),U5542,0)</t>
  </si>
  <si>
    <t>=IF($M5542&lt;=$T$18,U5542,0)</t>
  </si>
  <si>
    <t>="""NAV Direct"",""CRONUS JetCorp USA"",""21"",""1"",""346061"""</t>
  </si>
  <si>
    <t>=E5541</t>
  </si>
  <si>
    <t>=StartDate-$M5543+1</t>
  </si>
  <si>
    <t>=SUM(P5543:T5543)</t>
  </si>
  <si>
    <t>=IF($M5543&gt;=$P$18,U5543,0)</t>
  </si>
  <si>
    <t>=IF(AND($M5543&gt;=$Q$16,$M5543&lt;=$Q$18),U5543,0)</t>
  </si>
  <si>
    <t>=IF(AND($M5543&gt;=$R$16,$M5543&lt;=$R$18),U5543,0)</t>
  </si>
  <si>
    <t>=IF(AND($M5543&gt;=$S$16,$M5543&lt;=$S$18),U5543,0)</t>
  </si>
  <si>
    <t>=IF($M5543&lt;=$T$18,U5543,0)</t>
  </si>
  <si>
    <t>="""NAV Direct"",""CRONUS JetCorp USA"",""21"",""1"",""346223"""</t>
  </si>
  <si>
    <t>=E5542</t>
  </si>
  <si>
    <t>=StartDate-$M5544+1</t>
  </si>
  <si>
    <t>=SUM(P5544:T5544)</t>
  </si>
  <si>
    <t>=IF($M5544&gt;=$P$18,U5544,0)</t>
  </si>
  <si>
    <t>=IF(AND($M5544&gt;=$Q$16,$M5544&lt;=$Q$18),U5544,0)</t>
  </si>
  <si>
    <t>=IF(AND($M5544&gt;=$R$16,$M5544&lt;=$R$18),U5544,0)</t>
  </si>
  <si>
    <t>=IF(AND($M5544&gt;=$S$16,$M5544&lt;=$S$18),U5544,0)</t>
  </si>
  <si>
    <t>=IF($M5544&lt;=$T$18,U5544,0)</t>
  </si>
  <si>
    <t>="""NAV Direct"",""CRONUS JetCorp USA"",""21"",""1"",""346405"""</t>
  </si>
  <si>
    <t>=E5543</t>
  </si>
  <si>
    <t>=StartDate-$M5545+1</t>
  </si>
  <si>
    <t>=SUM(P5545:T5545)</t>
  </si>
  <si>
    <t>=IF($M5545&gt;=$P$18,U5545,0)</t>
  </si>
  <si>
    <t>=IF(AND($M5545&gt;=$Q$16,$M5545&lt;=$Q$18),U5545,0)</t>
  </si>
  <si>
    <t>=IF(AND($M5545&gt;=$R$16,$M5545&lt;=$R$18),U5545,0)</t>
  </si>
  <si>
    <t>=IF(AND($M5545&gt;=$S$16,$M5545&lt;=$S$18),U5545,0)</t>
  </si>
  <si>
    <t>=IF($M5545&lt;=$T$18,U5545,0)</t>
  </si>
  <si>
    <t>="""NAV Direct"",""CRONUS JetCorp USA"",""21"",""1"",""346747"""</t>
  </si>
  <si>
    <t>=E5544</t>
  </si>
  <si>
    <t>=StartDate-$M5546+1</t>
  </si>
  <si>
    <t>=SUM(P5546:T5546)</t>
  </si>
  <si>
    <t>=IF($M5546&gt;=$P$18,U5546,0)</t>
  </si>
  <si>
    <t>=IF(AND($M5546&gt;=$Q$16,$M5546&lt;=$Q$18),U5546,0)</t>
  </si>
  <si>
    <t>=IF(AND($M5546&gt;=$R$16,$M5546&lt;=$R$18),U5546,0)</t>
  </si>
  <si>
    <t>=IF(AND($M5546&gt;=$S$16,$M5546&lt;=$S$18),U5546,0)</t>
  </si>
  <si>
    <t>=IF($M5546&lt;=$T$18,U5546,0)</t>
  </si>
  <si>
    <t>="""NAV Direct"",""CRONUS JetCorp USA"",""21"",""1"",""346809"""</t>
  </si>
  <si>
    <t>=E5545</t>
  </si>
  <si>
    <t>=StartDate-$M5547+1</t>
  </si>
  <si>
    <t>=SUM(P5547:T5547)</t>
  </si>
  <si>
    <t>=IF($M5547&gt;=$P$18,U5547,0)</t>
  </si>
  <si>
    <t>=IF(AND($M5547&gt;=$Q$16,$M5547&lt;=$Q$18),U5547,0)</t>
  </si>
  <si>
    <t>=IF(AND($M5547&gt;=$R$16,$M5547&lt;=$R$18),U5547,0)</t>
  </si>
  <si>
    <t>=IF(AND($M5547&gt;=$S$16,$M5547&lt;=$S$18),U5547,0)</t>
  </si>
  <si>
    <t>=IF($M5547&lt;=$T$18,U5547,0)</t>
  </si>
  <si>
    <t>="""NAV Direct"",""CRONUS JetCorp USA"",""21"",""1"",""346996"""</t>
  </si>
  <si>
    <t>=E5546</t>
  </si>
  <si>
    <t>=StartDate-$M5548+1</t>
  </si>
  <si>
    <t>=SUM(P5548:T5548)</t>
  </si>
  <si>
    <t>=IF($M5548&gt;=$P$18,U5548,0)</t>
  </si>
  <si>
    <t>=IF(AND($M5548&gt;=$Q$16,$M5548&lt;=$Q$18),U5548,0)</t>
  </si>
  <si>
    <t>=IF(AND($M5548&gt;=$R$16,$M5548&lt;=$R$18),U5548,0)</t>
  </si>
  <si>
    <t>=IF(AND($M5548&gt;=$S$16,$M5548&lt;=$S$18),U5548,0)</t>
  </si>
  <si>
    <t>=IF($M5548&lt;=$T$18,U5548,0)</t>
  </si>
  <si>
    <t>="""NAV Direct"",""CRONUS JetCorp USA"",""21"",""1"",""347160"""</t>
  </si>
  <si>
    <t>=E5547</t>
  </si>
  <si>
    <t>=StartDate-$M5549+1</t>
  </si>
  <si>
    <t>=SUM(P5549:T5549)</t>
  </si>
  <si>
    <t>=IF($M5549&gt;=$P$18,U5549,0)</t>
  </si>
  <si>
    <t>=IF(AND($M5549&gt;=$Q$16,$M5549&lt;=$Q$18),U5549,0)</t>
  </si>
  <si>
    <t>=IF(AND($M5549&gt;=$R$16,$M5549&lt;=$R$18),U5549,0)</t>
  </si>
  <si>
    <t>=IF(AND($M5549&gt;=$S$16,$M5549&lt;=$S$18),U5549,0)</t>
  </si>
  <si>
    <t>=IF($M5549&lt;=$T$18,U5549,0)</t>
  </si>
  <si>
    <t>="""NAV Direct"",""CRONUS JetCorp USA"",""21"",""1"",""347641"""</t>
  </si>
  <si>
    <t>=E5548</t>
  </si>
  <si>
    <t>=StartDate-$M5550+1</t>
  </si>
  <si>
    <t>=SUM(P5550:T5550)</t>
  </si>
  <si>
    <t>=IF($M5550&gt;=$P$18,U5550,0)</t>
  </si>
  <si>
    <t>=IF(AND($M5550&gt;=$Q$16,$M5550&lt;=$Q$18),U5550,0)</t>
  </si>
  <si>
    <t>=IF(AND($M5550&gt;=$R$16,$M5550&lt;=$R$18),U5550,0)</t>
  </si>
  <si>
    <t>=IF(AND($M5550&gt;=$S$16,$M5550&lt;=$S$18),U5550,0)</t>
  </si>
  <si>
    <t>=IF($M5550&lt;=$T$18,U5550,0)</t>
  </si>
  <si>
    <t>="""NAV Direct"",""CRONUS JetCorp USA"",""21"",""1"",""347866"""</t>
  </si>
  <si>
    <t>=E5549</t>
  </si>
  <si>
    <t>=StartDate-$M5551+1</t>
  </si>
  <si>
    <t>=SUM(P5551:T5551)</t>
  </si>
  <si>
    <t>=IF($M5551&gt;=$P$18,U5551,0)</t>
  </si>
  <si>
    <t>=IF(AND($M5551&gt;=$Q$16,$M5551&lt;=$Q$18),U5551,0)</t>
  </si>
  <si>
    <t>=IF(AND($M5551&gt;=$R$16,$M5551&lt;=$R$18),U5551,0)</t>
  </si>
  <si>
    <t>=IF(AND($M5551&gt;=$S$16,$M5551&lt;=$S$18),U5551,0)</t>
  </si>
  <si>
    <t>=IF($M5551&lt;=$T$18,U5551,0)</t>
  </si>
  <si>
    <t>="""NAV Direct"",""CRONUS JetCorp USA"",""21"",""1"",""347950"""</t>
  </si>
  <si>
    <t>=E5550</t>
  </si>
  <si>
    <t>=StartDate-$M5552+1</t>
  </si>
  <si>
    <t>=SUM(P5552:T5552)</t>
  </si>
  <si>
    <t>=IF($M5552&gt;=$P$18,U5552,0)</t>
  </si>
  <si>
    <t>=IF(AND($M5552&gt;=$Q$16,$M5552&lt;=$Q$18),U5552,0)</t>
  </si>
  <si>
    <t>=IF(AND($M5552&gt;=$R$16,$M5552&lt;=$R$18),U5552,0)</t>
  </si>
  <si>
    <t>=IF(AND($M5552&gt;=$S$16,$M5552&lt;=$S$18),U5552,0)</t>
  </si>
  <si>
    <t>=IF($M5552&lt;=$T$18,U5552,0)</t>
  </si>
  <si>
    <t>="""NAV Direct"",""CRONUS JetCorp USA"",""21"",""1"",""348116"""</t>
  </si>
  <si>
    <t>=E5551</t>
  </si>
  <si>
    <t>=StartDate-$M5553+1</t>
  </si>
  <si>
    <t>=SUM(P5553:T5553)</t>
  </si>
  <si>
    <t>=IF($M5553&gt;=$P$18,U5553,0)</t>
  </si>
  <si>
    <t>=IF(AND($M5553&gt;=$Q$16,$M5553&lt;=$Q$18),U5553,0)</t>
  </si>
  <si>
    <t>=IF(AND($M5553&gt;=$R$16,$M5553&lt;=$R$18),U5553,0)</t>
  </si>
  <si>
    <t>=IF(AND($M5553&gt;=$S$16,$M5553&lt;=$S$18),U5553,0)</t>
  </si>
  <si>
    <t>=IF($M5553&lt;=$T$18,U5553,0)</t>
  </si>
  <si>
    <t>="""NAV Direct"",""CRONUS JetCorp USA"",""21"",""1"",""348497"""</t>
  </si>
  <si>
    <t>=E5552</t>
  </si>
  <si>
    <t>=StartDate-$M5554+1</t>
  </si>
  <si>
    <t>=SUM(P5554:T5554)</t>
  </si>
  <si>
    <t>=IF($M5554&gt;=$P$18,U5554,0)</t>
  </si>
  <si>
    <t>=IF(AND($M5554&gt;=$Q$16,$M5554&lt;=$Q$18),U5554,0)</t>
  </si>
  <si>
    <t>=IF(AND($M5554&gt;=$R$16,$M5554&lt;=$R$18),U5554,0)</t>
  </si>
  <si>
    <t>=IF(AND($M5554&gt;=$S$16,$M5554&lt;=$S$18),U5554,0)</t>
  </si>
  <si>
    <t>=IF($M5554&lt;=$T$18,U5554,0)</t>
  </si>
  <si>
    <t>="""NAV Direct"",""CRONUS JetCorp USA"",""21"",""1"",""348973"""</t>
  </si>
  <si>
    <t>=E5553</t>
  </si>
  <si>
    <t>=StartDate-$M5555+1</t>
  </si>
  <si>
    <t>=SUM(P5555:T5555)</t>
  </si>
  <si>
    <t>=IF($M5555&gt;=$P$18,U5555,0)</t>
  </si>
  <si>
    <t>=IF(AND($M5555&gt;=$Q$16,$M5555&lt;=$Q$18),U5555,0)</t>
  </si>
  <si>
    <t>=IF(AND($M5555&gt;=$R$16,$M5555&lt;=$R$18),U5555,0)</t>
  </si>
  <si>
    <t>=IF(AND($M5555&gt;=$S$16,$M5555&lt;=$S$18),U5555,0)</t>
  </si>
  <si>
    <t>=IF($M5555&lt;=$T$18,U5555,0)</t>
  </si>
  <si>
    <t>="""NAV Direct"",""CRONUS JetCorp USA"",""21"",""1"",""349851"""</t>
  </si>
  <si>
    <t>=E5554</t>
  </si>
  <si>
    <t>=StartDate-$M5556+1</t>
  </si>
  <si>
    <t>=SUM(P5556:T5556)</t>
  </si>
  <si>
    <t>=IF($M5556&gt;=$P$18,U5556,0)</t>
  </si>
  <si>
    <t>=IF(AND($M5556&gt;=$Q$16,$M5556&lt;=$Q$18),U5556,0)</t>
  </si>
  <si>
    <t>=IF(AND($M5556&gt;=$R$16,$M5556&lt;=$R$18),U5556,0)</t>
  </si>
  <si>
    <t>=IF(AND($M5556&gt;=$S$16,$M5556&lt;=$S$18),U5556,0)</t>
  </si>
  <si>
    <t>=IF($M5556&lt;=$T$18,U5556,0)</t>
  </si>
  <si>
    <t>="""NAV Direct"",""CRONUS JetCorp USA"",""21"",""1"",""350017"""</t>
  </si>
  <si>
    <t>=E5555</t>
  </si>
  <si>
    <t>=StartDate-$M5557+1</t>
  </si>
  <si>
    <t>=SUM(P5557:T5557)</t>
  </si>
  <si>
    <t>=IF($M5557&gt;=$P$18,U5557,0)</t>
  </si>
  <si>
    <t>=IF(AND($M5557&gt;=$Q$16,$M5557&lt;=$Q$18),U5557,0)</t>
  </si>
  <si>
    <t>=IF(AND($M5557&gt;=$R$16,$M5557&lt;=$R$18),U5557,0)</t>
  </si>
  <si>
    <t>=IF(AND($M5557&gt;=$S$16,$M5557&lt;=$S$18),U5557,0)</t>
  </si>
  <si>
    <t>=IF($M5557&lt;=$T$18,U5557,0)</t>
  </si>
  <si>
    <t>="""NAV Direct"",""CRONUS JetCorp USA"",""21"",""1"",""350142"""</t>
  </si>
  <si>
    <t>=E5556</t>
  </si>
  <si>
    <t>=StartDate-$M5558+1</t>
  </si>
  <si>
    <t>=SUM(P5558:T5558)</t>
  </si>
  <si>
    <t>=IF($M5558&gt;=$P$18,U5558,0)</t>
  </si>
  <si>
    <t>=IF(AND($M5558&gt;=$Q$16,$M5558&lt;=$Q$18),U5558,0)</t>
  </si>
  <si>
    <t>=IF(AND($M5558&gt;=$R$16,$M5558&lt;=$R$18),U5558,0)</t>
  </si>
  <si>
    <t>=IF(AND($M5558&gt;=$S$16,$M5558&lt;=$S$18),U5558,0)</t>
  </si>
  <si>
    <t>=IF($M5558&lt;=$T$18,U5558,0)</t>
  </si>
  <si>
    <t>="""NAV Direct"",""CRONUS JetCorp USA"",""21"",""1"",""350181"""</t>
  </si>
  <si>
    <t>=E5557</t>
  </si>
  <si>
    <t>=StartDate-$M5559+1</t>
  </si>
  <si>
    <t>=SUM(P5559:T5559)</t>
  </si>
  <si>
    <t>=IF($M5559&gt;=$P$18,U5559,0)</t>
  </si>
  <si>
    <t>=IF(AND($M5559&gt;=$Q$16,$M5559&lt;=$Q$18),U5559,0)</t>
  </si>
  <si>
    <t>=IF(AND($M5559&gt;=$R$16,$M5559&lt;=$R$18),U5559,0)</t>
  </si>
  <si>
    <t>=IF(AND($M5559&gt;=$S$16,$M5559&lt;=$S$18),U5559,0)</t>
  </si>
  <si>
    <t>=IF($M5559&lt;=$T$18,U5559,0)</t>
  </si>
  <si>
    <t>="""NAV Direct"",""CRONUS JetCorp USA"",""21"",""1"",""350386"""</t>
  </si>
  <si>
    <t>=E5558</t>
  </si>
  <si>
    <t>=StartDate-$M5560+1</t>
  </si>
  <si>
    <t>=SUM(P5560:T5560)</t>
  </si>
  <si>
    <t>=IF($M5560&gt;=$P$18,U5560,0)</t>
  </si>
  <si>
    <t>=IF(AND($M5560&gt;=$Q$16,$M5560&lt;=$Q$18),U5560,0)</t>
  </si>
  <si>
    <t>=IF(AND($M5560&gt;=$R$16,$M5560&lt;=$R$18),U5560,0)</t>
  </si>
  <si>
    <t>=IF(AND($M5560&gt;=$S$16,$M5560&lt;=$S$18),U5560,0)</t>
  </si>
  <si>
    <t>=IF($M5560&lt;=$T$18,U5560,0)</t>
  </si>
  <si>
    <t>="""NAV Direct"",""CRONUS JetCorp USA"",""21"",""1"",""350497"""</t>
  </si>
  <si>
    <t>=E5559</t>
  </si>
  <si>
    <t>=StartDate-$M5561+1</t>
  </si>
  <si>
    <t>=SUM(P5561:T5561)</t>
  </si>
  <si>
    <t>=IF($M5561&gt;=$P$18,U5561,0)</t>
  </si>
  <si>
    <t>=IF(AND($M5561&gt;=$Q$16,$M5561&lt;=$Q$18),U5561,0)</t>
  </si>
  <si>
    <t>=IF(AND($M5561&gt;=$R$16,$M5561&lt;=$R$18),U5561,0)</t>
  </si>
  <si>
    <t>=IF(AND($M5561&gt;=$S$16,$M5561&lt;=$S$18),U5561,0)</t>
  </si>
  <si>
    <t>=IF($M5561&lt;=$T$18,U5561,0)</t>
  </si>
  <si>
    <t>="""NAV Direct"",""CRONUS JetCorp USA"",""21"",""1"",""350624"""</t>
  </si>
  <si>
    <t>=E5560</t>
  </si>
  <si>
    <t>=StartDate-$M5562+1</t>
  </si>
  <si>
    <t>=SUM(P5562:T5562)</t>
  </si>
  <si>
    <t>=IF($M5562&gt;=$P$18,U5562,0)</t>
  </si>
  <si>
    <t>=IF(AND($M5562&gt;=$Q$16,$M5562&lt;=$Q$18),U5562,0)</t>
  </si>
  <si>
    <t>=IF(AND($M5562&gt;=$R$16,$M5562&lt;=$R$18),U5562,0)</t>
  </si>
  <si>
    <t>=IF(AND($M5562&gt;=$S$16,$M5562&lt;=$S$18),U5562,0)</t>
  </si>
  <si>
    <t>=IF($M5562&lt;=$T$18,U5562,0)</t>
  </si>
  <si>
    <t>="""NAV Direct"",""CRONUS JetCorp USA"",""21"",""1"",""350663"""</t>
  </si>
  <si>
    <t>=E5561</t>
  </si>
  <si>
    <t>=StartDate-$M5563+1</t>
  </si>
  <si>
    <t>=SUM(P5563:T5563)</t>
  </si>
  <si>
    <t>=IF($M5563&gt;=$P$18,U5563,0)</t>
  </si>
  <si>
    <t>=IF(AND($M5563&gt;=$Q$16,$M5563&lt;=$Q$18),U5563,0)</t>
  </si>
  <si>
    <t>=IF(AND($M5563&gt;=$R$16,$M5563&lt;=$R$18),U5563,0)</t>
  </si>
  <si>
    <t>=IF(AND($M5563&gt;=$S$16,$M5563&lt;=$S$18),U5563,0)</t>
  </si>
  <si>
    <t>=IF($M5563&lt;=$T$18,U5563,0)</t>
  </si>
  <si>
    <t>="""NAV Direct"",""CRONUS JetCorp USA"",""21"",""1"",""350860"""</t>
  </si>
  <si>
    <t>=E5562</t>
  </si>
  <si>
    <t>=StartDate-$M5564+1</t>
  </si>
  <si>
    <t>=SUM(P5564:T5564)</t>
  </si>
  <si>
    <t>=IF($M5564&gt;=$P$18,U5564,0)</t>
  </si>
  <si>
    <t>=IF(AND($M5564&gt;=$Q$16,$M5564&lt;=$Q$18),U5564,0)</t>
  </si>
  <si>
    <t>=IF(AND($M5564&gt;=$R$16,$M5564&lt;=$R$18),U5564,0)</t>
  </si>
  <si>
    <t>=IF(AND($M5564&gt;=$S$16,$M5564&lt;=$S$18),U5564,0)</t>
  </si>
  <si>
    <t>=IF($M5564&lt;=$T$18,U5564,0)</t>
  </si>
  <si>
    <t>="""NAV Direct"",""CRONUS JetCorp USA"",""21"",""1"",""351453"""</t>
  </si>
  <si>
    <t>=E5563</t>
  </si>
  <si>
    <t>=StartDate-$M5565+1</t>
  </si>
  <si>
    <t>=SUM(P5565:T5565)</t>
  </si>
  <si>
    <t>=IF($M5565&gt;=$P$18,U5565,0)</t>
  </si>
  <si>
    <t>=IF(AND($M5565&gt;=$Q$16,$M5565&lt;=$Q$18),U5565,0)</t>
  </si>
  <si>
    <t>=IF(AND($M5565&gt;=$R$16,$M5565&lt;=$R$18),U5565,0)</t>
  </si>
  <si>
    <t>=IF(AND($M5565&gt;=$S$16,$M5565&lt;=$S$18),U5565,0)</t>
  </si>
  <si>
    <t>=IF($M5565&lt;=$T$18,U5565,0)</t>
  </si>
  <si>
    <t>="""NAV Direct"",""CRONUS JetCorp USA"",""21"",""1"",""351760"""</t>
  </si>
  <si>
    <t>=E5564</t>
  </si>
  <si>
    <t>=StartDate-$M5566+1</t>
  </si>
  <si>
    <t>=SUM(P5566:T5566)</t>
  </si>
  <si>
    <t>=IF($M5566&gt;=$P$18,U5566,0)</t>
  </si>
  <si>
    <t>=IF(AND($M5566&gt;=$Q$16,$M5566&lt;=$Q$18),U5566,0)</t>
  </si>
  <si>
    <t>=IF(AND($M5566&gt;=$R$16,$M5566&lt;=$R$18),U5566,0)</t>
  </si>
  <si>
    <t>=IF(AND($M5566&gt;=$S$16,$M5566&lt;=$S$18),U5566,0)</t>
  </si>
  <si>
    <t>=IF($M5566&lt;=$T$18,U5566,0)</t>
  </si>
  <si>
    <t>="""NAV Direct"",""CRONUS JetCorp USA"",""21"",""1"",""351842"""</t>
  </si>
  <si>
    <t>=E5565</t>
  </si>
  <si>
    <t>=StartDate-$M5567+1</t>
  </si>
  <si>
    <t>=SUM(P5567:T5567)</t>
  </si>
  <si>
    <t>=IF($M5567&gt;=$P$18,U5567,0)</t>
  </si>
  <si>
    <t>=IF(AND($M5567&gt;=$Q$16,$M5567&lt;=$Q$18),U5567,0)</t>
  </si>
  <si>
    <t>=IF(AND($M5567&gt;=$R$16,$M5567&lt;=$R$18),U5567,0)</t>
  </si>
  <si>
    <t>=IF(AND($M5567&gt;=$S$16,$M5567&lt;=$S$18),U5567,0)</t>
  </si>
  <si>
    <t>=IF($M5567&lt;=$T$18,U5567,0)</t>
  </si>
  <si>
    <t>="""NAV Direct"",""CRONUS JetCorp USA"",""21"",""1"",""351965"""</t>
  </si>
  <si>
    <t>=E5566</t>
  </si>
  <si>
    <t>=StartDate-$M5568+1</t>
  </si>
  <si>
    <t>=SUM(P5568:T5568)</t>
  </si>
  <si>
    <t>=IF($M5568&gt;=$P$18,U5568,0)</t>
  </si>
  <si>
    <t>=IF(AND($M5568&gt;=$Q$16,$M5568&lt;=$Q$18),U5568,0)</t>
  </si>
  <si>
    <t>=IF(AND($M5568&gt;=$R$16,$M5568&lt;=$R$18),U5568,0)</t>
  </si>
  <si>
    <t>=IF(AND($M5568&gt;=$S$16,$M5568&lt;=$S$18),U5568,0)</t>
  </si>
  <si>
    <t>=IF($M5568&lt;=$T$18,U5568,0)</t>
  </si>
  <si>
    <t>="""NAV Direct"",""CRONUS JetCorp USA"",""21"",""1"",""433630"""</t>
  </si>
  <si>
    <t>=E5567</t>
  </si>
  <si>
    <t>=StartDate-$M5569+1</t>
  </si>
  <si>
    <t>=SUM(P5569:T5569)</t>
  </si>
  <si>
    <t>=IF($M5569&gt;=$P$18,U5569,0)</t>
  </si>
  <si>
    <t>=IF(AND($M5569&gt;=$Q$16,$M5569&lt;=$Q$18),U5569,0)</t>
  </si>
  <si>
    <t>=IF(AND($M5569&gt;=$R$16,$M5569&lt;=$R$18),U5569,0)</t>
  </si>
  <si>
    <t>=IF(AND($M5569&gt;=$S$16,$M5569&lt;=$S$18),U5569,0)</t>
  </si>
  <si>
    <t>=IF($M5569&lt;=$T$18,U5569,0)</t>
  </si>
  <si>
    <t>="""NAV Direct"",""CRONUS JetCorp USA"",""21"",""1"",""433647"""</t>
  </si>
  <si>
    <t>=E5568</t>
  </si>
  <si>
    <t>=StartDate-$M5570+1</t>
  </si>
  <si>
    <t>=SUM(P5570:T5570)</t>
  </si>
  <si>
    <t>=IF($M5570&gt;=$P$18,U5570,0)</t>
  </si>
  <si>
    <t>=IF(AND($M5570&gt;=$Q$16,$M5570&lt;=$Q$18),U5570,0)</t>
  </si>
  <si>
    <t>=IF(AND($M5570&gt;=$R$16,$M5570&lt;=$R$18),U5570,0)</t>
  </si>
  <si>
    <t>=IF(AND($M5570&gt;=$S$16,$M5570&lt;=$S$18),U5570,0)</t>
  </si>
  <si>
    <t>=IF($M5570&lt;=$T$18,U5570,0)</t>
  </si>
  <si>
    <t>="""NAV Direct"",""CRONUS JetCorp USA"",""21"",""1"",""433692"""</t>
  </si>
  <si>
    <t>=E5569</t>
  </si>
  <si>
    <t>=StartDate-$M5571+1</t>
  </si>
  <si>
    <t>=SUM(P5571:T5571)</t>
  </si>
  <si>
    <t>=IF($M5571&gt;=$P$18,U5571,0)</t>
  </si>
  <si>
    <t>=IF(AND($M5571&gt;=$Q$16,$M5571&lt;=$Q$18),U5571,0)</t>
  </si>
  <si>
    <t>=IF(AND($M5571&gt;=$R$16,$M5571&lt;=$R$18),U5571,0)</t>
  </si>
  <si>
    <t>=IF(AND($M5571&gt;=$S$16,$M5571&lt;=$S$18),U5571,0)</t>
  </si>
  <si>
    <t>=IF($M5571&lt;=$T$18,U5571,0)</t>
  </si>
  <si>
    <t>="""NAV Direct"",""CRONUS JetCorp USA"",""21"",""1"",""433866"""</t>
  </si>
  <si>
    <t>=E5570</t>
  </si>
  <si>
    <t>=StartDate-$M5572+1</t>
  </si>
  <si>
    <t>=SUM(P5572:T5572)</t>
  </si>
  <si>
    <t>=IF($M5572&gt;=$P$18,U5572,0)</t>
  </si>
  <si>
    <t>=IF(AND($M5572&gt;=$Q$16,$M5572&lt;=$Q$18),U5572,0)</t>
  </si>
  <si>
    <t>=IF(AND($M5572&gt;=$R$16,$M5572&lt;=$R$18),U5572,0)</t>
  </si>
  <si>
    <t>=IF(AND($M5572&gt;=$S$16,$M5572&lt;=$S$18),U5572,0)</t>
  </si>
  <si>
    <t>=IF($M5572&lt;=$T$18,U5572,0)</t>
  </si>
  <si>
    <t>="""NAV Direct"",""CRONUS JetCorp USA"",""21"",""1"",""433936"""</t>
  </si>
  <si>
    <t>=E5571</t>
  </si>
  <si>
    <t>=StartDate-$M5573+1</t>
  </si>
  <si>
    <t>=SUM(P5573:T5573)</t>
  </si>
  <si>
    <t>=IF($M5573&gt;=$P$18,U5573,0)</t>
  </si>
  <si>
    <t>=IF(AND($M5573&gt;=$Q$16,$M5573&lt;=$Q$18),U5573,0)</t>
  </si>
  <si>
    <t>=IF(AND($M5573&gt;=$R$16,$M5573&lt;=$R$18),U5573,0)</t>
  </si>
  <si>
    <t>=IF(AND($M5573&gt;=$S$16,$M5573&lt;=$S$18),U5573,0)</t>
  </si>
  <si>
    <t>=IF($M5573&lt;=$T$18,U5573,0)</t>
  </si>
  <si>
    <t>="""NAV Direct"",""CRONUS JetCorp USA"",""21"",""1"",""433993"""</t>
  </si>
  <si>
    <t>=E5572</t>
  </si>
  <si>
    <t>=StartDate-$M5574+1</t>
  </si>
  <si>
    <t>=SUM(P5574:T5574)</t>
  </si>
  <si>
    <t>=IF($M5574&gt;=$P$18,U5574,0)</t>
  </si>
  <si>
    <t>=IF(AND($M5574&gt;=$Q$16,$M5574&lt;=$Q$18),U5574,0)</t>
  </si>
  <si>
    <t>=IF(AND($M5574&gt;=$R$16,$M5574&lt;=$R$18),U5574,0)</t>
  </si>
  <si>
    <t>=IF(AND($M5574&gt;=$S$16,$M5574&lt;=$S$18),U5574,0)</t>
  </si>
  <si>
    <t>=IF($M5574&lt;=$T$18,U5574,0)</t>
  </si>
  <si>
    <t>="""NAV Direct"",""CRONUS JetCorp USA"",""21"",""1"",""434023"""</t>
  </si>
  <si>
    <t>=E5573</t>
  </si>
  <si>
    <t>=StartDate-$M5575+1</t>
  </si>
  <si>
    <t>=SUM(P5575:T5575)</t>
  </si>
  <si>
    <t>=IF($M5575&gt;=$P$18,U5575,0)</t>
  </si>
  <si>
    <t>=IF(AND($M5575&gt;=$Q$16,$M5575&lt;=$Q$18),U5575,0)</t>
  </si>
  <si>
    <t>=IF(AND($M5575&gt;=$R$16,$M5575&lt;=$R$18),U5575,0)</t>
  </si>
  <si>
    <t>=IF(AND($M5575&gt;=$S$16,$M5575&lt;=$S$18),U5575,0)</t>
  </si>
  <si>
    <t>=IF($M5575&lt;=$T$18,U5575,0)</t>
  </si>
  <si>
    <t>="""NAV Direct"",""CRONUS JetCorp USA"",""21"",""1"",""434053"""</t>
  </si>
  <si>
    <t>=E5574</t>
  </si>
  <si>
    <t>=StartDate-$M5576+1</t>
  </si>
  <si>
    <t>=SUM(P5576:T5576)</t>
  </si>
  <si>
    <t>=IF($M5576&gt;=$P$18,U5576,0)</t>
  </si>
  <si>
    <t>=IF(AND($M5576&gt;=$Q$16,$M5576&lt;=$Q$18),U5576,0)</t>
  </si>
  <si>
    <t>=IF(AND($M5576&gt;=$R$16,$M5576&lt;=$R$18),U5576,0)</t>
  </si>
  <si>
    <t>=IF(AND($M5576&gt;=$S$16,$M5576&lt;=$S$18),U5576,0)</t>
  </si>
  <si>
    <t>=IF($M5576&lt;=$T$18,U5576,0)</t>
  </si>
  <si>
    <t>="""NAV Direct"",""CRONUS JetCorp USA"",""21"",""1"",""434141"""</t>
  </si>
  <si>
    <t>=E5575</t>
  </si>
  <si>
    <t>=StartDate-$M5577+1</t>
  </si>
  <si>
    <t>=SUM(P5577:T5577)</t>
  </si>
  <si>
    <t>=IF($M5577&gt;=$P$18,U5577,0)</t>
  </si>
  <si>
    <t>=IF(AND($M5577&gt;=$Q$16,$M5577&lt;=$Q$18),U5577,0)</t>
  </si>
  <si>
    <t>=IF(AND($M5577&gt;=$R$16,$M5577&lt;=$R$18),U5577,0)</t>
  </si>
  <si>
    <t>=IF(AND($M5577&gt;=$S$16,$M5577&lt;=$S$18),U5577,0)</t>
  </si>
  <si>
    <t>=IF($M5577&lt;=$T$18,U5577,0)</t>
  </si>
  <si>
    <t>="""NAV Direct"",""CRONUS JetCorp USA"",""21"",""1"",""434247"""</t>
  </si>
  <si>
    <t>=E5576</t>
  </si>
  <si>
    <t>=StartDate-$M5578+1</t>
  </si>
  <si>
    <t>=SUM(P5578:T5578)</t>
  </si>
  <si>
    <t>=IF($M5578&gt;=$P$18,U5578,0)</t>
  </si>
  <si>
    <t>=IF(AND($M5578&gt;=$Q$16,$M5578&lt;=$Q$18),U5578,0)</t>
  </si>
  <si>
    <t>=IF(AND($M5578&gt;=$R$16,$M5578&lt;=$R$18),U5578,0)</t>
  </si>
  <si>
    <t>=IF(AND($M5578&gt;=$S$16,$M5578&lt;=$S$18),U5578,0)</t>
  </si>
  <si>
    <t>=IF($M5578&lt;=$T$18,U5578,0)</t>
  </si>
  <si>
    <t>="""NAV Direct"",""CRONUS JetCorp USA"",""21"",""1"",""434258"""</t>
  </si>
  <si>
    <t>=E5577</t>
  </si>
  <si>
    <t>=StartDate-$M5579+1</t>
  </si>
  <si>
    <t>=SUM(P5579:T5579)</t>
  </si>
  <si>
    <t>=IF($M5579&gt;=$P$18,U5579,0)</t>
  </si>
  <si>
    <t>=IF(AND($M5579&gt;=$Q$16,$M5579&lt;=$Q$18),U5579,0)</t>
  </si>
  <si>
    <t>=IF(AND($M5579&gt;=$R$16,$M5579&lt;=$R$18),U5579,0)</t>
  </si>
  <si>
    <t>=IF(AND($M5579&gt;=$S$16,$M5579&lt;=$S$18),U5579,0)</t>
  </si>
  <si>
    <t>=IF($M5579&lt;=$T$18,U5579,0)</t>
  </si>
  <si>
    <t>="""NAV Direct"",""CRONUS JetCorp USA"",""21"",""1"",""434322"""</t>
  </si>
  <si>
    <t>=E5578</t>
  </si>
  <si>
    <t>=StartDate-$M5580+1</t>
  </si>
  <si>
    <t>=SUM(P5580:T5580)</t>
  </si>
  <si>
    <t>=IF($M5580&gt;=$P$18,U5580,0)</t>
  </si>
  <si>
    <t>=IF(AND($M5580&gt;=$Q$16,$M5580&lt;=$Q$18),U5580,0)</t>
  </si>
  <si>
    <t>=IF(AND($M5580&gt;=$R$16,$M5580&lt;=$R$18),U5580,0)</t>
  </si>
  <si>
    <t>=IF(AND($M5580&gt;=$S$16,$M5580&lt;=$S$18),U5580,0)</t>
  </si>
  <si>
    <t>=IF($M5580&lt;=$T$18,U5580,0)</t>
  </si>
  <si>
    <t>="""NAV Direct"",""CRONUS JetCorp USA"",""21"",""1"",""434402"""</t>
  </si>
  <si>
    <t>=E5579</t>
  </si>
  <si>
    <t>=StartDate-$M5581+1</t>
  </si>
  <si>
    <t>=SUM(P5581:T5581)</t>
  </si>
  <si>
    <t>=IF($M5581&gt;=$P$18,U5581,0)</t>
  </si>
  <si>
    <t>=IF(AND($M5581&gt;=$Q$16,$M5581&lt;=$Q$18),U5581,0)</t>
  </si>
  <si>
    <t>=IF(AND($M5581&gt;=$R$16,$M5581&lt;=$R$18),U5581,0)</t>
  </si>
  <si>
    <t>=IF(AND($M5581&gt;=$S$16,$M5581&lt;=$S$18),U5581,0)</t>
  </si>
  <si>
    <t>=IF($M5581&lt;=$T$18,U5581,0)</t>
  </si>
  <si>
    <t>="""NAV Direct"",""CRONUS JetCorp USA"",""21"",""1"",""434445"""</t>
  </si>
  <si>
    <t>=E5580</t>
  </si>
  <si>
    <t>=StartDate-$M5582+1</t>
  </si>
  <si>
    <t>=SUM(P5582:T5582)</t>
  </si>
  <si>
    <t>=IF($M5582&gt;=$P$18,U5582,0)</t>
  </si>
  <si>
    <t>=IF(AND($M5582&gt;=$Q$16,$M5582&lt;=$Q$18),U5582,0)</t>
  </si>
  <si>
    <t>=IF(AND($M5582&gt;=$R$16,$M5582&lt;=$R$18),U5582,0)</t>
  </si>
  <si>
    <t>=IF(AND($M5582&gt;=$S$16,$M5582&lt;=$S$18),U5582,0)</t>
  </si>
  <si>
    <t>=IF($M5582&lt;=$T$18,U5582,0)</t>
  </si>
  <si>
    <t>="""NAV Direct"",""CRONUS JetCorp USA"",""21"",""1"",""434521"""</t>
  </si>
  <si>
    <t>=E5581</t>
  </si>
  <si>
    <t>=StartDate-$M5583+1</t>
  </si>
  <si>
    <t>=SUM(P5583:T5583)</t>
  </si>
  <si>
    <t>=IF($M5583&gt;=$P$18,U5583,0)</t>
  </si>
  <si>
    <t>=IF(AND($M5583&gt;=$Q$16,$M5583&lt;=$Q$18),U5583,0)</t>
  </si>
  <si>
    <t>=IF(AND($M5583&gt;=$R$16,$M5583&lt;=$R$18),U5583,0)</t>
  </si>
  <si>
    <t>=IF(AND($M5583&gt;=$S$16,$M5583&lt;=$S$18),U5583,0)</t>
  </si>
  <si>
    <t>=IF($M5583&lt;=$T$18,U5583,0)</t>
  </si>
  <si>
    <t>="""NAV Direct"",""CRONUS JetCorp USA"",""21"",""1"",""434706"""</t>
  </si>
  <si>
    <t>=E5582</t>
  </si>
  <si>
    <t>=StartDate-$M5584+1</t>
  </si>
  <si>
    <t>=SUM(P5584:T5584)</t>
  </si>
  <si>
    <t>=IF($M5584&gt;=$P$18,U5584,0)</t>
  </si>
  <si>
    <t>=IF(AND($M5584&gt;=$Q$16,$M5584&lt;=$Q$18),U5584,0)</t>
  </si>
  <si>
    <t>=IF(AND($M5584&gt;=$R$16,$M5584&lt;=$R$18),U5584,0)</t>
  </si>
  <si>
    <t>=IF(AND($M5584&gt;=$S$16,$M5584&lt;=$S$18),U5584,0)</t>
  </si>
  <si>
    <t>=IF($M5584&lt;=$T$18,U5584,0)</t>
  </si>
  <si>
    <t>="""NAV Direct"",""CRONUS JetCorp USA"",""18"",""1"",""C100146"""</t>
  </si>
  <si>
    <t>=H5587</t>
  </si>
  <si>
    <t>=NF($C5587,"1 No.")</t>
  </si>
  <si>
    <t>=NF($C5587,"1 No.")&amp;"  -  "&amp;NF($C5587,"2 Name")</t>
  </si>
  <si>
    <t>=IFERROR(O5587/NF(C5587,"Credit Limit (LCY)"),"")</t>
  </si>
  <si>
    <t>=SUBTOTAL(3,L5588:L5639)</t>
  </si>
  <si>
    <t>=SUBTOTAL(9,O5588:O5639)</t>
  </si>
  <si>
    <t>=SUBTOTAL(9,P5588:P5639)</t>
  </si>
  <si>
    <t>=SUBTOTAL(9,Q5588:Q5639)</t>
  </si>
  <si>
    <t>=SUBTOTAL(9,R5588:R5639)</t>
  </si>
  <si>
    <t>=SUBTOTAL(9,S5588:S5639)</t>
  </si>
  <si>
    <t>=SUBTOTAL(9,T5588:T5639)</t>
  </si>
  <si>
    <t>=C5587</t>
  </si>
  <si>
    <t>=E5587</t>
  </si>
  <si>
    <t>="Contact: "&amp;NF($C5588,"8 Contact")</t>
  </si>
  <si>
    <t>=C5588</t>
  </si>
  <si>
    <t>=E5588</t>
  </si>
  <si>
    <t>=NF($C5589,"102 E-Mail")</t>
  </si>
  <si>
    <t>=NL("Rows","21 Cust. Ledger Entry",,"3 Customer No.","@@"&amp;$E5591,"16 Remaining Amt. (LCY)","&lt;&gt;0")</t>
  </si>
  <si>
    <t>=E5589</t>
  </si>
  <si>
    <t>=StartDate-$M5591+1</t>
  </si>
  <si>
    <t>=SUM(P5591:T5591)</t>
  </si>
  <si>
    <t>=IF($M5591&gt;=$P$18,U5591,0)</t>
  </si>
  <si>
    <t>=IF(AND($M5591&gt;=$Q$16,$M5591&lt;=$Q$18),U5591,0)</t>
  </si>
  <si>
    <t>=IF(AND($M5591&gt;=$R$16,$M5591&lt;=$R$18),U5591,0)</t>
  </si>
  <si>
    <t>=IF(AND($M5591&gt;=$S$16,$M5591&lt;=$S$18),U5591,0)</t>
  </si>
  <si>
    <t>=IF($M5591&lt;=$T$18,U5591,0)</t>
  </si>
  <si>
    <t>="""NAV Direct"",""CRONUS JetCorp USA"",""21"",""1"",""41269"""</t>
  </si>
  <si>
    <t>=E5590</t>
  </si>
  <si>
    <t>=StartDate-$M5592+1</t>
  </si>
  <si>
    <t>=SUM(P5592:T5592)</t>
  </si>
  <si>
    <t>=IF($M5592&gt;=$P$18,U5592,0)</t>
  </si>
  <si>
    <t>=IF(AND($M5592&gt;=$Q$16,$M5592&lt;=$Q$18),U5592,0)</t>
  </si>
  <si>
    <t>=IF(AND($M5592&gt;=$R$16,$M5592&lt;=$R$18),U5592,0)</t>
  </si>
  <si>
    <t>=IF(AND($M5592&gt;=$S$16,$M5592&lt;=$S$18),U5592,0)</t>
  </si>
  <si>
    <t>=IF($M5592&lt;=$T$18,U5592,0)</t>
  </si>
  <si>
    <t>="""NAV Direct"",""CRONUS JetCorp USA"",""21"",""1"",""41342"""</t>
  </si>
  <si>
    <t>=E5591</t>
  </si>
  <si>
    <t>=StartDate-$M5593+1</t>
  </si>
  <si>
    <t>=SUM(P5593:T5593)</t>
  </si>
  <si>
    <t>=IF($M5593&gt;=$P$18,U5593,0)</t>
  </si>
  <si>
    <t>=IF(AND($M5593&gt;=$Q$16,$M5593&lt;=$Q$18),U5593,0)</t>
  </si>
  <si>
    <t>=IF(AND($M5593&gt;=$R$16,$M5593&lt;=$R$18),U5593,0)</t>
  </si>
  <si>
    <t>=IF(AND($M5593&gt;=$S$16,$M5593&lt;=$S$18),U5593,0)</t>
  </si>
  <si>
    <t>=IF($M5593&lt;=$T$18,U5593,0)</t>
  </si>
  <si>
    <t>="""NAV Direct"",""CRONUS JetCorp USA"",""21"",""1"",""41422"""</t>
  </si>
  <si>
    <t>=E5592</t>
  </si>
  <si>
    <t>=StartDate-$M5594+1</t>
  </si>
  <si>
    <t>=SUM(P5594:T5594)</t>
  </si>
  <si>
    <t>=IF($M5594&gt;=$P$18,U5594,0)</t>
  </si>
  <si>
    <t>=IF(AND($M5594&gt;=$Q$16,$M5594&lt;=$Q$18),U5594,0)</t>
  </si>
  <si>
    <t>=IF(AND($M5594&gt;=$R$16,$M5594&lt;=$R$18),U5594,0)</t>
  </si>
  <si>
    <t>=IF(AND($M5594&gt;=$S$16,$M5594&lt;=$S$18),U5594,0)</t>
  </si>
  <si>
    <t>=IF($M5594&lt;=$T$18,U5594,0)</t>
  </si>
  <si>
    <t>="""NAV Direct"",""CRONUS JetCorp USA"",""21"",""1"",""41447"""</t>
  </si>
  <si>
    <t>=E5593</t>
  </si>
  <si>
    <t>=StartDate-$M5595+1</t>
  </si>
  <si>
    <t>=SUM(P5595:T5595)</t>
  </si>
  <si>
    <t>=IF($M5595&gt;=$P$18,U5595,0)</t>
  </si>
  <si>
    <t>=IF(AND($M5595&gt;=$Q$16,$M5595&lt;=$Q$18),U5595,0)</t>
  </si>
  <si>
    <t>=IF(AND($M5595&gt;=$R$16,$M5595&lt;=$R$18),U5595,0)</t>
  </si>
  <si>
    <t>=IF(AND($M5595&gt;=$S$16,$M5595&lt;=$S$18),U5595,0)</t>
  </si>
  <si>
    <t>=IF($M5595&lt;=$T$18,U5595,0)</t>
  </si>
  <si>
    <t>="""NAV Direct"",""CRONUS JetCorp USA"",""21"",""1"",""41665"""</t>
  </si>
  <si>
    <t>=E5594</t>
  </si>
  <si>
    <t>=StartDate-$M5596+1</t>
  </si>
  <si>
    <t>=SUM(P5596:T5596)</t>
  </si>
  <si>
    <t>=IF($M5596&gt;=$P$18,U5596,0)</t>
  </si>
  <si>
    <t>=IF(AND($M5596&gt;=$Q$16,$M5596&lt;=$Q$18),U5596,0)</t>
  </si>
  <si>
    <t>=IF(AND($M5596&gt;=$R$16,$M5596&lt;=$R$18),U5596,0)</t>
  </si>
  <si>
    <t>=IF(AND($M5596&gt;=$S$16,$M5596&lt;=$S$18),U5596,0)</t>
  </si>
  <si>
    <t>=IF($M5596&lt;=$T$18,U5596,0)</t>
  </si>
  <si>
    <t>="""NAV Direct"",""CRONUS JetCorp USA"",""21"",""1"",""41749"""</t>
  </si>
  <si>
    <t>=E5595</t>
  </si>
  <si>
    <t>=StartDate-$M5597+1</t>
  </si>
  <si>
    <t>=SUM(P5597:T5597)</t>
  </si>
  <si>
    <t>=IF($M5597&gt;=$P$18,U5597,0)</t>
  </si>
  <si>
    <t>=IF(AND($M5597&gt;=$Q$16,$M5597&lt;=$Q$18),U5597,0)</t>
  </si>
  <si>
    <t>=IF(AND($M5597&gt;=$R$16,$M5597&lt;=$R$18),U5597,0)</t>
  </si>
  <si>
    <t>=IF(AND($M5597&gt;=$S$16,$M5597&lt;=$S$18),U5597,0)</t>
  </si>
  <si>
    <t>=IF($M5597&lt;=$T$18,U5597,0)</t>
  </si>
  <si>
    <t>="""NAV Direct"",""CRONUS JetCorp USA"",""21"",""1"",""41778"""</t>
  </si>
  <si>
    <t>=E5596</t>
  </si>
  <si>
    <t>=StartDate-$M5598+1</t>
  </si>
  <si>
    <t>=SUM(P5598:T5598)</t>
  </si>
  <si>
    <t>=IF($M5598&gt;=$P$18,U5598,0)</t>
  </si>
  <si>
    <t>=IF(AND($M5598&gt;=$Q$16,$M5598&lt;=$Q$18),U5598,0)</t>
  </si>
  <si>
    <t>=IF(AND($M5598&gt;=$R$16,$M5598&lt;=$R$18),U5598,0)</t>
  </si>
  <si>
    <t>=IF(AND($M5598&gt;=$S$16,$M5598&lt;=$S$18),U5598,0)</t>
  </si>
  <si>
    <t>=IF($M5598&lt;=$T$18,U5598,0)</t>
  </si>
  <si>
    <t>="""NAV Direct"",""CRONUS JetCorp USA"",""21"",""1"",""41868"""</t>
  </si>
  <si>
    <t>=E5597</t>
  </si>
  <si>
    <t>=StartDate-$M5599+1</t>
  </si>
  <si>
    <t>=SUM(P5599:T5599)</t>
  </si>
  <si>
    <t>=IF($M5599&gt;=$P$18,U5599,0)</t>
  </si>
  <si>
    <t>=IF(AND($M5599&gt;=$Q$16,$M5599&lt;=$Q$18),U5599,0)</t>
  </si>
  <si>
    <t>=IF(AND($M5599&gt;=$R$16,$M5599&lt;=$R$18),U5599,0)</t>
  </si>
  <si>
    <t>=IF(AND($M5599&gt;=$S$16,$M5599&lt;=$S$18),U5599,0)</t>
  </si>
  <si>
    <t>=IF($M5599&lt;=$T$18,U5599,0)</t>
  </si>
  <si>
    <t>="""NAV Direct"",""CRONUS JetCorp USA"",""21"",""1"",""41891"""</t>
  </si>
  <si>
    <t>=E5598</t>
  </si>
  <si>
    <t>=StartDate-$M5600+1</t>
  </si>
  <si>
    <t>=SUM(P5600:T5600)</t>
  </si>
  <si>
    <t>=IF($M5600&gt;=$P$18,U5600,0)</t>
  </si>
  <si>
    <t>=IF(AND($M5600&gt;=$Q$16,$M5600&lt;=$Q$18),U5600,0)</t>
  </si>
  <si>
    <t>=IF(AND($M5600&gt;=$R$16,$M5600&lt;=$R$18),U5600,0)</t>
  </si>
  <si>
    <t>=IF(AND($M5600&gt;=$S$16,$M5600&lt;=$S$18),U5600,0)</t>
  </si>
  <si>
    <t>=IF($M5600&lt;=$T$18,U5600,0)</t>
  </si>
  <si>
    <t>="""NAV Direct"",""CRONUS JetCorp USA"",""21"",""1"",""41966"""</t>
  </si>
  <si>
    <t>=E5599</t>
  </si>
  <si>
    <t>=StartDate-$M5601+1</t>
  </si>
  <si>
    <t>=SUM(P5601:T5601)</t>
  </si>
  <si>
    <t>=IF($M5601&gt;=$P$18,U5601,0)</t>
  </si>
  <si>
    <t>=IF(AND($M5601&gt;=$Q$16,$M5601&lt;=$Q$18),U5601,0)</t>
  </si>
  <si>
    <t>=IF(AND($M5601&gt;=$R$16,$M5601&lt;=$R$18),U5601,0)</t>
  </si>
  <si>
    <t>=IF(AND($M5601&gt;=$S$16,$M5601&lt;=$S$18),U5601,0)</t>
  </si>
  <si>
    <t>=IF($M5601&lt;=$T$18,U5601,0)</t>
  </si>
  <si>
    <t>="""NAV Direct"",""CRONUS JetCorp USA"",""21"",""1"",""42031"""</t>
  </si>
  <si>
    <t>=E5600</t>
  </si>
  <si>
    <t>=StartDate-$M5602+1</t>
  </si>
  <si>
    <t>=SUM(P5602:T5602)</t>
  </si>
  <si>
    <t>=IF($M5602&gt;=$P$18,U5602,0)</t>
  </si>
  <si>
    <t>=IF(AND($M5602&gt;=$Q$16,$M5602&lt;=$Q$18),U5602,0)</t>
  </si>
  <si>
    <t>=IF(AND($M5602&gt;=$R$16,$M5602&lt;=$R$18),U5602,0)</t>
  </si>
  <si>
    <t>=IF(AND($M5602&gt;=$S$16,$M5602&lt;=$S$18),U5602,0)</t>
  </si>
  <si>
    <t>=IF($M5602&lt;=$T$18,U5602,0)</t>
  </si>
  <si>
    <t>="""NAV Direct"",""CRONUS JetCorp USA"",""21"",""1"",""332496"""</t>
  </si>
  <si>
    <t>=E5601</t>
  </si>
  <si>
    <t>=StartDate-$M5603+1</t>
  </si>
  <si>
    <t>=SUM(P5603:T5603)</t>
  </si>
  <si>
    <t>=IF($M5603&gt;=$P$18,U5603,0)</t>
  </si>
  <si>
    <t>=IF(AND($M5603&gt;=$Q$16,$M5603&lt;=$Q$18),U5603,0)</t>
  </si>
  <si>
    <t>=IF(AND($M5603&gt;=$R$16,$M5603&lt;=$R$18),U5603,0)</t>
  </si>
  <si>
    <t>=IF(AND($M5603&gt;=$S$16,$M5603&lt;=$S$18),U5603,0)</t>
  </si>
  <si>
    <t>=IF($M5603&lt;=$T$18,U5603,0)</t>
  </si>
  <si>
    <t>="""NAV Direct"",""CRONUS JetCorp USA"",""21"",""1"",""332781"""</t>
  </si>
  <si>
    <t>=E5602</t>
  </si>
  <si>
    <t>=StartDate-$M5604+1</t>
  </si>
  <si>
    <t>=SUM(P5604:T5604)</t>
  </si>
  <si>
    <t>=IF($M5604&gt;=$P$18,U5604,0)</t>
  </si>
  <si>
    <t>=IF(AND($M5604&gt;=$Q$16,$M5604&lt;=$Q$18),U5604,0)</t>
  </si>
  <si>
    <t>=IF(AND($M5604&gt;=$R$16,$M5604&lt;=$R$18),U5604,0)</t>
  </si>
  <si>
    <t>=IF(AND($M5604&gt;=$S$16,$M5604&lt;=$S$18),U5604,0)</t>
  </si>
  <si>
    <t>=IF($M5604&lt;=$T$18,U5604,0)</t>
  </si>
  <si>
    <t>="""NAV Direct"",""CRONUS JetCorp USA"",""21"",""1"",""332906"""</t>
  </si>
  <si>
    <t>=E5603</t>
  </si>
  <si>
    <t>=StartDate-$M5605+1</t>
  </si>
  <si>
    <t>=SUM(P5605:T5605)</t>
  </si>
  <si>
    <t>=IF($M5605&gt;=$P$18,U5605,0)</t>
  </si>
  <si>
    <t>=IF(AND($M5605&gt;=$Q$16,$M5605&lt;=$Q$18),U5605,0)</t>
  </si>
  <si>
    <t>=IF(AND($M5605&gt;=$R$16,$M5605&lt;=$R$18),U5605,0)</t>
  </si>
  <si>
    <t>=IF(AND($M5605&gt;=$S$16,$M5605&lt;=$S$18),U5605,0)</t>
  </si>
  <si>
    <t>=IF($M5605&lt;=$T$18,U5605,0)</t>
  </si>
  <si>
    <t>="""NAV Direct"",""CRONUS JetCorp USA"",""21"",""1"",""332954"""</t>
  </si>
  <si>
    <t>=E5604</t>
  </si>
  <si>
    <t>=StartDate-$M5606+1</t>
  </si>
  <si>
    <t>=SUM(P5606:T5606)</t>
  </si>
  <si>
    <t>=IF($M5606&gt;=$P$18,U5606,0)</t>
  </si>
  <si>
    <t>=IF(AND($M5606&gt;=$Q$16,$M5606&lt;=$Q$18),U5606,0)</t>
  </si>
  <si>
    <t>=IF(AND($M5606&gt;=$R$16,$M5606&lt;=$R$18),U5606,0)</t>
  </si>
  <si>
    <t>=IF(AND($M5606&gt;=$S$16,$M5606&lt;=$S$18),U5606,0)</t>
  </si>
  <si>
    <t>=IF($M5606&lt;=$T$18,U5606,0)</t>
  </si>
  <si>
    <t>="""NAV Direct"",""CRONUS JetCorp USA"",""21"",""1"",""332977"""</t>
  </si>
  <si>
    <t>=E5605</t>
  </si>
  <si>
    <t>=StartDate-$M5607+1</t>
  </si>
  <si>
    <t>=SUM(P5607:T5607)</t>
  </si>
  <si>
    <t>=IF($M5607&gt;=$P$18,U5607,0)</t>
  </si>
  <si>
    <t>=IF(AND($M5607&gt;=$Q$16,$M5607&lt;=$Q$18),U5607,0)</t>
  </si>
  <si>
    <t>=IF(AND($M5607&gt;=$R$16,$M5607&lt;=$R$18),U5607,0)</t>
  </si>
  <si>
    <t>=IF(AND($M5607&gt;=$S$16,$M5607&lt;=$S$18),U5607,0)</t>
  </si>
  <si>
    <t>=IF($M5607&lt;=$T$18,U5607,0)</t>
  </si>
  <si>
    <t>="""NAV Direct"",""CRONUS JetCorp USA"",""21"",""1"",""333100"""</t>
  </si>
  <si>
    <t>=E5606</t>
  </si>
  <si>
    <t>=StartDate-$M5608+1</t>
  </si>
  <si>
    <t>=SUM(P5608:T5608)</t>
  </si>
  <si>
    <t>=IF($M5608&gt;=$P$18,U5608,0)</t>
  </si>
  <si>
    <t>=IF(AND($M5608&gt;=$Q$16,$M5608&lt;=$Q$18),U5608,0)</t>
  </si>
  <si>
    <t>=IF(AND($M5608&gt;=$R$16,$M5608&lt;=$R$18),U5608,0)</t>
  </si>
  <si>
    <t>=IF(AND($M5608&gt;=$S$16,$M5608&lt;=$S$18),U5608,0)</t>
  </si>
  <si>
    <t>=IF($M5608&lt;=$T$18,U5608,0)</t>
  </si>
  <si>
    <t>="""NAV Direct"",""CRONUS JetCorp USA"",""21"",""1"",""333150"""</t>
  </si>
  <si>
    <t>=E5607</t>
  </si>
  <si>
    <t>=StartDate-$M5609+1</t>
  </si>
  <si>
    <t>=SUM(P5609:T5609)</t>
  </si>
  <si>
    <t>=IF($M5609&gt;=$P$18,U5609,0)</t>
  </si>
  <si>
    <t>=IF(AND($M5609&gt;=$Q$16,$M5609&lt;=$Q$18),U5609,0)</t>
  </si>
  <si>
    <t>=IF(AND($M5609&gt;=$R$16,$M5609&lt;=$R$18),U5609,0)</t>
  </si>
  <si>
    <t>=IF(AND($M5609&gt;=$S$16,$M5609&lt;=$S$18),U5609,0)</t>
  </si>
  <si>
    <t>=IF($M5609&lt;=$T$18,U5609,0)</t>
  </si>
  <si>
    <t>="""NAV Direct"",""CRONUS JetCorp USA"",""21"",""1"",""333169"""</t>
  </si>
  <si>
    <t>=E5608</t>
  </si>
  <si>
    <t>=StartDate-$M5610+1</t>
  </si>
  <si>
    <t>=SUM(P5610:T5610)</t>
  </si>
  <si>
    <t>=IF($M5610&gt;=$P$18,U5610,0)</t>
  </si>
  <si>
    <t>=IF(AND($M5610&gt;=$Q$16,$M5610&lt;=$Q$18),U5610,0)</t>
  </si>
  <si>
    <t>=IF(AND($M5610&gt;=$R$16,$M5610&lt;=$R$18),U5610,0)</t>
  </si>
  <si>
    <t>=IF(AND($M5610&gt;=$S$16,$M5610&lt;=$S$18),U5610,0)</t>
  </si>
  <si>
    <t>=IF($M5610&lt;=$T$18,U5610,0)</t>
  </si>
  <si>
    <t>="""NAV Direct"",""CRONUS JetCorp USA"",""21"",""1"",""333253"""</t>
  </si>
  <si>
    <t>=E5609</t>
  </si>
  <si>
    <t>=StartDate-$M5611+1</t>
  </si>
  <si>
    <t>=SUM(P5611:T5611)</t>
  </si>
  <si>
    <t>=IF($M5611&gt;=$P$18,U5611,0)</t>
  </si>
  <si>
    <t>=IF(AND($M5611&gt;=$Q$16,$M5611&lt;=$Q$18),U5611,0)</t>
  </si>
  <si>
    <t>=IF(AND($M5611&gt;=$R$16,$M5611&lt;=$R$18),U5611,0)</t>
  </si>
  <si>
    <t>=IF(AND($M5611&gt;=$S$16,$M5611&lt;=$S$18),U5611,0)</t>
  </si>
  <si>
    <t>=IF($M5611&lt;=$T$18,U5611,0)</t>
  </si>
  <si>
    <t>="""NAV Direct"",""CRONUS JetCorp USA"",""21"",""1"",""333352"""</t>
  </si>
  <si>
    <t>=E5610</t>
  </si>
  <si>
    <t>=StartDate-$M5612+1</t>
  </si>
  <si>
    <t>=SUM(P5612:T5612)</t>
  </si>
  <si>
    <t>=IF($M5612&gt;=$P$18,U5612,0)</t>
  </si>
  <si>
    <t>=IF(AND($M5612&gt;=$Q$16,$M5612&lt;=$Q$18),U5612,0)</t>
  </si>
  <si>
    <t>=IF(AND($M5612&gt;=$R$16,$M5612&lt;=$R$18),U5612,0)</t>
  </si>
  <si>
    <t>=IF(AND($M5612&gt;=$S$16,$M5612&lt;=$S$18),U5612,0)</t>
  </si>
  <si>
    <t>=IF($M5612&lt;=$T$18,U5612,0)</t>
  </si>
  <si>
    <t>="""NAV Direct"",""CRONUS JetCorp USA"",""21"",""1"",""333417"""</t>
  </si>
  <si>
    <t>=E5611</t>
  </si>
  <si>
    <t>=StartDate-$M5613+1</t>
  </si>
  <si>
    <t>=SUM(P5613:T5613)</t>
  </si>
  <si>
    <t>=IF($M5613&gt;=$P$18,U5613,0)</t>
  </si>
  <si>
    <t>=IF(AND($M5613&gt;=$Q$16,$M5613&lt;=$Q$18),U5613,0)</t>
  </si>
  <si>
    <t>=IF(AND($M5613&gt;=$R$16,$M5613&lt;=$R$18),U5613,0)</t>
  </si>
  <si>
    <t>=IF(AND($M5613&gt;=$S$16,$M5613&lt;=$S$18),U5613,0)</t>
  </si>
  <si>
    <t>=IF($M5613&lt;=$T$18,U5613,0)</t>
  </si>
  <si>
    <t>="""NAV Direct"",""CRONUS JetCorp USA"",""21"",""1"",""333570"""</t>
  </si>
  <si>
    <t>=E5612</t>
  </si>
  <si>
    <t>=StartDate-$M5614+1</t>
  </si>
  <si>
    <t>=SUM(P5614:T5614)</t>
  </si>
  <si>
    <t>=IF($M5614&gt;=$P$18,U5614,0)</t>
  </si>
  <si>
    <t>=IF(AND($M5614&gt;=$Q$16,$M5614&lt;=$Q$18),U5614,0)</t>
  </si>
  <si>
    <t>=IF(AND($M5614&gt;=$R$16,$M5614&lt;=$R$18),U5614,0)</t>
  </si>
  <si>
    <t>=IF(AND($M5614&gt;=$S$16,$M5614&lt;=$S$18),U5614,0)</t>
  </si>
  <si>
    <t>=IF($M5614&lt;=$T$18,U5614,0)</t>
  </si>
  <si>
    <t>="""NAV Direct"",""CRONUS JetCorp USA"",""21"",""1"",""333587"""</t>
  </si>
  <si>
    <t>=E5613</t>
  </si>
  <si>
    <t>=StartDate-$M5615+1</t>
  </si>
  <si>
    <t>=SUM(P5615:T5615)</t>
  </si>
  <si>
    <t>=IF($M5615&gt;=$P$18,U5615,0)</t>
  </si>
  <si>
    <t>=IF(AND($M5615&gt;=$Q$16,$M5615&lt;=$Q$18),U5615,0)</t>
  </si>
  <si>
    <t>=IF(AND($M5615&gt;=$R$16,$M5615&lt;=$R$18),U5615,0)</t>
  </si>
  <si>
    <t>=IF(AND($M5615&gt;=$S$16,$M5615&lt;=$S$18),U5615,0)</t>
  </si>
  <si>
    <t>=IF($M5615&lt;=$T$18,U5615,0)</t>
  </si>
  <si>
    <t>="""NAV Direct"",""CRONUS JetCorp USA"",""21"",""1"",""333746"""</t>
  </si>
  <si>
    <t>=E5614</t>
  </si>
  <si>
    <t>=StartDate-$M5616+1</t>
  </si>
  <si>
    <t>=SUM(P5616:T5616)</t>
  </si>
  <si>
    <t>=IF($M5616&gt;=$P$18,U5616,0)</t>
  </si>
  <si>
    <t>=IF(AND($M5616&gt;=$Q$16,$M5616&lt;=$Q$18),U5616,0)</t>
  </si>
  <si>
    <t>=IF(AND($M5616&gt;=$R$16,$M5616&lt;=$R$18),U5616,0)</t>
  </si>
  <si>
    <t>=IF(AND($M5616&gt;=$S$16,$M5616&lt;=$S$18),U5616,0)</t>
  </si>
  <si>
    <t>=IF($M5616&lt;=$T$18,U5616,0)</t>
  </si>
  <si>
    <t>="""NAV Direct"",""CRONUS JetCorp USA"",""21"",""1"",""333786"""</t>
  </si>
  <si>
    <t>=E5615</t>
  </si>
  <si>
    <t>=StartDate-$M5617+1</t>
  </si>
  <si>
    <t>=SUM(P5617:T5617)</t>
  </si>
  <si>
    <t>=IF($M5617&gt;=$P$18,U5617,0)</t>
  </si>
  <si>
    <t>=IF(AND($M5617&gt;=$Q$16,$M5617&lt;=$Q$18),U5617,0)</t>
  </si>
  <si>
    <t>=IF(AND($M5617&gt;=$R$16,$M5617&lt;=$R$18),U5617,0)</t>
  </si>
  <si>
    <t>=IF(AND($M5617&gt;=$S$16,$M5617&lt;=$S$18),U5617,0)</t>
  </si>
  <si>
    <t>=IF($M5617&lt;=$T$18,U5617,0)</t>
  </si>
  <si>
    <t>="""NAV Direct"",""CRONUS JetCorp USA"",""21"",""1"",""333822"""</t>
  </si>
  <si>
    <t>=E5616</t>
  </si>
  <si>
    <t>=StartDate-$M5618+1</t>
  </si>
  <si>
    <t>=SUM(P5618:T5618)</t>
  </si>
  <si>
    <t>=IF($M5618&gt;=$P$18,U5618,0)</t>
  </si>
  <si>
    <t>=IF(AND($M5618&gt;=$Q$16,$M5618&lt;=$Q$18),U5618,0)</t>
  </si>
  <si>
    <t>=IF(AND($M5618&gt;=$R$16,$M5618&lt;=$R$18),U5618,0)</t>
  </si>
  <si>
    <t>=IF(AND($M5618&gt;=$S$16,$M5618&lt;=$S$18),U5618,0)</t>
  </si>
  <si>
    <t>=IF($M5618&lt;=$T$18,U5618,0)</t>
  </si>
  <si>
    <t>="""NAV Direct"",""CRONUS JetCorp USA"",""21"",""1"",""333868"""</t>
  </si>
  <si>
    <t>=E5617</t>
  </si>
  <si>
    <t>=StartDate-$M5619+1</t>
  </si>
  <si>
    <t>=SUM(P5619:T5619)</t>
  </si>
  <si>
    <t>=IF($M5619&gt;=$P$18,U5619,0)</t>
  </si>
  <si>
    <t>=IF(AND($M5619&gt;=$Q$16,$M5619&lt;=$Q$18),U5619,0)</t>
  </si>
  <si>
    <t>=IF(AND($M5619&gt;=$R$16,$M5619&lt;=$R$18),U5619,0)</t>
  </si>
  <si>
    <t>=IF(AND($M5619&gt;=$S$16,$M5619&lt;=$S$18),U5619,0)</t>
  </si>
  <si>
    <t>=IF($M5619&lt;=$T$18,U5619,0)</t>
  </si>
  <si>
    <t>="""NAV Direct"",""CRONUS JetCorp USA"",""21"",""1"",""333986"""</t>
  </si>
  <si>
    <t>=E5618</t>
  </si>
  <si>
    <t>=StartDate-$M5620+1</t>
  </si>
  <si>
    <t>=SUM(P5620:T5620)</t>
  </si>
  <si>
    <t>=IF($M5620&gt;=$P$18,U5620,0)</t>
  </si>
  <si>
    <t>=IF(AND($M5620&gt;=$Q$16,$M5620&lt;=$Q$18),U5620,0)</t>
  </si>
  <si>
    <t>=IF(AND($M5620&gt;=$R$16,$M5620&lt;=$R$18),U5620,0)</t>
  </si>
  <si>
    <t>=IF(AND($M5620&gt;=$S$16,$M5620&lt;=$S$18),U5620,0)</t>
  </si>
  <si>
    <t>=IF($M5620&lt;=$T$18,U5620,0)</t>
  </si>
  <si>
    <t>="""NAV Direct"",""CRONUS JetCorp USA"",""21"",""1"",""334047"""</t>
  </si>
  <si>
    <t>=E5619</t>
  </si>
  <si>
    <t>=StartDate-$M5621+1</t>
  </si>
  <si>
    <t>=SUM(P5621:T5621)</t>
  </si>
  <si>
    <t>=IF($M5621&gt;=$P$18,U5621,0)</t>
  </si>
  <si>
    <t>=IF(AND($M5621&gt;=$Q$16,$M5621&lt;=$Q$18),U5621,0)</t>
  </si>
  <si>
    <t>=IF(AND($M5621&gt;=$R$16,$M5621&lt;=$R$18),U5621,0)</t>
  </si>
  <si>
    <t>=IF(AND($M5621&gt;=$S$16,$M5621&lt;=$S$18),U5621,0)</t>
  </si>
  <si>
    <t>=IF($M5621&lt;=$T$18,U5621,0)</t>
  </si>
  <si>
    <t>="""NAV Direct"",""CRONUS JetCorp USA"",""21"",""1"",""334360"""</t>
  </si>
  <si>
    <t>=E5620</t>
  </si>
  <si>
    <t>=StartDate-$M5622+1</t>
  </si>
  <si>
    <t>=SUM(P5622:T5622)</t>
  </si>
  <si>
    <t>=IF($M5622&gt;=$P$18,U5622,0)</t>
  </si>
  <si>
    <t>=IF(AND($M5622&gt;=$Q$16,$M5622&lt;=$Q$18),U5622,0)</t>
  </si>
  <si>
    <t>=IF(AND($M5622&gt;=$R$16,$M5622&lt;=$R$18),U5622,0)</t>
  </si>
  <si>
    <t>=IF(AND($M5622&gt;=$S$16,$M5622&lt;=$S$18),U5622,0)</t>
  </si>
  <si>
    <t>=IF($M5622&lt;=$T$18,U5622,0)</t>
  </si>
  <si>
    <t>="""NAV Direct"",""CRONUS JetCorp USA"",""21"",""1"",""334389"""</t>
  </si>
  <si>
    <t>=E5621</t>
  </si>
  <si>
    <t>=StartDate-$M5623+1</t>
  </si>
  <si>
    <t>=SUM(P5623:T5623)</t>
  </si>
  <si>
    <t>=IF($M5623&gt;=$P$18,U5623,0)</t>
  </si>
  <si>
    <t>=IF(AND($M5623&gt;=$Q$16,$M5623&lt;=$Q$18),U5623,0)</t>
  </si>
  <si>
    <t>=IF(AND($M5623&gt;=$R$16,$M5623&lt;=$R$18),U5623,0)</t>
  </si>
  <si>
    <t>=IF(AND($M5623&gt;=$S$16,$M5623&lt;=$S$18),U5623,0)</t>
  </si>
  <si>
    <t>=IF($M5623&lt;=$T$18,U5623,0)</t>
  </si>
  <si>
    <t>="""NAV Direct"",""CRONUS JetCorp USA"",""21"",""1"",""334412"""</t>
  </si>
  <si>
    <t>=E5622</t>
  </si>
  <si>
    <t>=StartDate-$M5624+1</t>
  </si>
  <si>
    <t>=SUM(P5624:T5624)</t>
  </si>
  <si>
    <t>=IF($M5624&gt;=$P$18,U5624,0)</t>
  </si>
  <si>
    <t>=IF(AND($M5624&gt;=$Q$16,$M5624&lt;=$Q$18),U5624,0)</t>
  </si>
  <si>
    <t>=IF(AND($M5624&gt;=$R$16,$M5624&lt;=$R$18),U5624,0)</t>
  </si>
  <si>
    <t>=IF(AND($M5624&gt;=$S$16,$M5624&lt;=$S$18),U5624,0)</t>
  </si>
  <si>
    <t>=IF($M5624&lt;=$T$18,U5624,0)</t>
  </si>
  <si>
    <t>="""NAV Direct"",""CRONUS JetCorp USA"",""21"",""1"",""334460"""</t>
  </si>
  <si>
    <t>=E5623</t>
  </si>
  <si>
    <t>=StartDate-$M5625+1</t>
  </si>
  <si>
    <t>=SUM(P5625:T5625)</t>
  </si>
  <si>
    <t>=IF($M5625&gt;=$P$18,U5625,0)</t>
  </si>
  <si>
    <t>=IF(AND($M5625&gt;=$Q$16,$M5625&lt;=$Q$18),U5625,0)</t>
  </si>
  <si>
    <t>=IF(AND($M5625&gt;=$R$16,$M5625&lt;=$R$18),U5625,0)</t>
  </si>
  <si>
    <t>=IF(AND($M5625&gt;=$S$16,$M5625&lt;=$S$18),U5625,0)</t>
  </si>
  <si>
    <t>=IF($M5625&lt;=$T$18,U5625,0)</t>
  </si>
  <si>
    <t>="""NAV Direct"",""CRONUS JetCorp USA"",""21"",""1"",""334556"""</t>
  </si>
  <si>
    <t>=E5624</t>
  </si>
  <si>
    <t>=StartDate-$M5626+1</t>
  </si>
  <si>
    <t>=SUM(P5626:T5626)</t>
  </si>
  <si>
    <t>=IF($M5626&gt;=$P$18,U5626,0)</t>
  </si>
  <si>
    <t>=IF(AND($M5626&gt;=$Q$16,$M5626&lt;=$Q$18),U5626,0)</t>
  </si>
  <si>
    <t>=IF(AND($M5626&gt;=$R$16,$M5626&lt;=$R$18),U5626,0)</t>
  </si>
  <si>
    <t>=IF(AND($M5626&gt;=$S$16,$M5626&lt;=$S$18),U5626,0)</t>
  </si>
  <si>
    <t>=IF($M5626&lt;=$T$18,U5626,0)</t>
  </si>
  <si>
    <t>="""NAV Direct"",""CRONUS JetCorp USA"",""21"",""1"",""334579"""</t>
  </si>
  <si>
    <t>=E5625</t>
  </si>
  <si>
    <t>=StartDate-$M5627+1</t>
  </si>
  <si>
    <t>=SUM(P5627:T5627)</t>
  </si>
  <si>
    <t>=IF($M5627&gt;=$P$18,U5627,0)</t>
  </si>
  <si>
    <t>=IF(AND($M5627&gt;=$Q$16,$M5627&lt;=$Q$18),U5627,0)</t>
  </si>
  <si>
    <t>=IF(AND($M5627&gt;=$R$16,$M5627&lt;=$R$18),U5627,0)</t>
  </si>
  <si>
    <t>=IF(AND($M5627&gt;=$S$16,$M5627&lt;=$S$18),U5627,0)</t>
  </si>
  <si>
    <t>=IF($M5627&lt;=$T$18,U5627,0)</t>
  </si>
  <si>
    <t>="""NAV Direct"",""CRONUS JetCorp USA"",""21"",""1"",""334633"""</t>
  </si>
  <si>
    <t>=E5626</t>
  </si>
  <si>
    <t>=StartDate-$M5628+1</t>
  </si>
  <si>
    <t>=SUM(P5628:T5628)</t>
  </si>
  <si>
    <t>=IF($M5628&gt;=$P$18,U5628,0)</t>
  </si>
  <si>
    <t>=IF(AND($M5628&gt;=$Q$16,$M5628&lt;=$Q$18),U5628,0)</t>
  </si>
  <si>
    <t>=IF(AND($M5628&gt;=$R$16,$M5628&lt;=$R$18),U5628,0)</t>
  </si>
  <si>
    <t>=IF(AND($M5628&gt;=$S$16,$M5628&lt;=$S$18),U5628,0)</t>
  </si>
  <si>
    <t>=IF($M5628&lt;=$T$18,U5628,0)</t>
  </si>
  <si>
    <t>="""NAV Direct"",""CRONUS JetCorp USA"",""21"",""1"",""334869"""</t>
  </si>
  <si>
    <t>=E5627</t>
  </si>
  <si>
    <t>=StartDate-$M5629+1</t>
  </si>
  <si>
    <t>=SUM(P5629:T5629)</t>
  </si>
  <si>
    <t>=IF($M5629&gt;=$P$18,U5629,0)</t>
  </si>
  <si>
    <t>=IF(AND($M5629&gt;=$Q$16,$M5629&lt;=$Q$18),U5629,0)</t>
  </si>
  <si>
    <t>=IF(AND($M5629&gt;=$R$16,$M5629&lt;=$R$18),U5629,0)</t>
  </si>
  <si>
    <t>=IF(AND($M5629&gt;=$S$16,$M5629&lt;=$S$18),U5629,0)</t>
  </si>
  <si>
    <t>=IF($M5629&lt;=$T$18,U5629,0)</t>
  </si>
  <si>
    <t>="""NAV Direct"",""CRONUS JetCorp USA"",""21"",""1"",""433172"""</t>
  </si>
  <si>
    <t>=E5628</t>
  </si>
  <si>
    <t>=StartDate-$M5630+1</t>
  </si>
  <si>
    <t>=SUM(P5630:T5630)</t>
  </si>
  <si>
    <t>=IF($M5630&gt;=$P$18,U5630,0)</t>
  </si>
  <si>
    <t>=IF(AND($M5630&gt;=$Q$16,$M5630&lt;=$Q$18),U5630,0)</t>
  </si>
  <si>
    <t>=IF(AND($M5630&gt;=$R$16,$M5630&lt;=$R$18),U5630,0)</t>
  </si>
  <si>
    <t>=IF(AND($M5630&gt;=$S$16,$M5630&lt;=$S$18),U5630,0)</t>
  </si>
  <si>
    <t>=IF($M5630&lt;=$T$18,U5630,0)</t>
  </si>
  <si>
    <t>="""NAV Direct"",""CRONUS JetCorp USA"",""21"",""1"",""433183"""</t>
  </si>
  <si>
    <t>=E5629</t>
  </si>
  <si>
    <t>=StartDate-$M5631+1</t>
  </si>
  <si>
    <t>=SUM(P5631:T5631)</t>
  </si>
  <si>
    <t>=IF($M5631&gt;=$P$18,U5631,0)</t>
  </si>
  <si>
    <t>=IF(AND($M5631&gt;=$Q$16,$M5631&lt;=$Q$18),U5631,0)</t>
  </si>
  <si>
    <t>=IF(AND($M5631&gt;=$R$16,$M5631&lt;=$R$18),U5631,0)</t>
  </si>
  <si>
    <t>=IF(AND($M5631&gt;=$S$16,$M5631&lt;=$S$18),U5631,0)</t>
  </si>
  <si>
    <t>=IF($M5631&lt;=$T$18,U5631,0)</t>
  </si>
  <si>
    <t>="""NAV Direct"",""CRONUS JetCorp USA"",""21"",""1"",""433229"""</t>
  </si>
  <si>
    <t>=E5630</t>
  </si>
  <si>
    <t>=StartDate-$M5632+1</t>
  </si>
  <si>
    <t>=SUM(P5632:T5632)</t>
  </si>
  <si>
    <t>=IF($M5632&gt;=$P$18,U5632,0)</t>
  </si>
  <si>
    <t>=IF(AND($M5632&gt;=$Q$16,$M5632&lt;=$Q$18),U5632,0)</t>
  </si>
  <si>
    <t>=IF(AND($M5632&gt;=$R$16,$M5632&lt;=$R$18),U5632,0)</t>
  </si>
  <si>
    <t>=IF(AND($M5632&gt;=$S$16,$M5632&lt;=$S$18),U5632,0)</t>
  </si>
  <si>
    <t>=IF($M5632&lt;=$T$18,U5632,0)</t>
  </si>
  <si>
    <t>="""NAV Direct"",""CRONUS JetCorp USA"",""21"",""1"",""433246"""</t>
  </si>
  <si>
    <t>=E5631</t>
  </si>
  <si>
    <t>=StartDate-$M5633+1</t>
  </si>
  <si>
    <t>=SUM(P5633:T5633)</t>
  </si>
  <si>
    <t>=IF($M5633&gt;=$P$18,U5633,0)</t>
  </si>
  <si>
    <t>=IF(AND($M5633&gt;=$Q$16,$M5633&lt;=$Q$18),U5633,0)</t>
  </si>
  <si>
    <t>=IF(AND($M5633&gt;=$R$16,$M5633&lt;=$R$18),U5633,0)</t>
  </si>
  <si>
    <t>=IF(AND($M5633&gt;=$S$16,$M5633&lt;=$S$18),U5633,0)</t>
  </si>
  <si>
    <t>=IF($M5633&lt;=$T$18,U5633,0)</t>
  </si>
  <si>
    <t>="""NAV Direct"",""CRONUS JetCorp USA"",""21"",""1"",""433313"""</t>
  </si>
  <si>
    <t>=E5632</t>
  </si>
  <si>
    <t>=StartDate-$M5634+1</t>
  </si>
  <si>
    <t>=SUM(P5634:T5634)</t>
  </si>
  <si>
    <t>=IF($M5634&gt;=$P$18,U5634,0)</t>
  </si>
  <si>
    <t>=IF(AND($M5634&gt;=$Q$16,$M5634&lt;=$Q$18),U5634,0)</t>
  </si>
  <si>
    <t>=IF(AND($M5634&gt;=$R$16,$M5634&lt;=$R$18),U5634,0)</t>
  </si>
  <si>
    <t>=IF(AND($M5634&gt;=$S$16,$M5634&lt;=$S$18),U5634,0)</t>
  </si>
  <si>
    <t>=IF($M5634&lt;=$T$18,U5634,0)</t>
  </si>
  <si>
    <t>="""NAV Direct"",""CRONUS JetCorp USA"",""21"",""1"",""433352"""</t>
  </si>
  <si>
    <t>=E5633</t>
  </si>
  <si>
    <t>=StartDate-$M5635+1</t>
  </si>
  <si>
    <t>=SUM(P5635:T5635)</t>
  </si>
  <si>
    <t>=IF($M5635&gt;=$P$18,U5635,0)</t>
  </si>
  <si>
    <t>=IF(AND($M5635&gt;=$Q$16,$M5635&lt;=$Q$18),U5635,0)</t>
  </si>
  <si>
    <t>=IF(AND($M5635&gt;=$R$16,$M5635&lt;=$R$18),U5635,0)</t>
  </si>
  <si>
    <t>=IF(AND($M5635&gt;=$S$16,$M5635&lt;=$S$18),U5635,0)</t>
  </si>
  <si>
    <t>=IF($M5635&lt;=$T$18,U5635,0)</t>
  </si>
  <si>
    <t>="""NAV Direct"",""CRONUS JetCorp USA"",""21"",""1"",""433386"""</t>
  </si>
  <si>
    <t>=E5634</t>
  </si>
  <si>
    <t>=StartDate-$M5636+1</t>
  </si>
  <si>
    <t>=SUM(P5636:T5636)</t>
  </si>
  <si>
    <t>=IF($M5636&gt;=$P$18,U5636,0)</t>
  </si>
  <si>
    <t>=IF(AND($M5636&gt;=$Q$16,$M5636&lt;=$Q$18),U5636,0)</t>
  </si>
  <si>
    <t>=IF(AND($M5636&gt;=$R$16,$M5636&lt;=$R$18),U5636,0)</t>
  </si>
  <si>
    <t>=IF(AND($M5636&gt;=$S$16,$M5636&lt;=$S$18),U5636,0)</t>
  </si>
  <si>
    <t>=IF($M5636&lt;=$T$18,U5636,0)</t>
  </si>
  <si>
    <t>="""NAV Direct"",""CRONUS JetCorp USA"",""21"",""1"",""433494"""</t>
  </si>
  <si>
    <t>=E5635</t>
  </si>
  <si>
    <t>=StartDate-$M5637+1</t>
  </si>
  <si>
    <t>=SUM(P5637:T5637)</t>
  </si>
  <si>
    <t>=IF($M5637&gt;=$P$18,U5637,0)</t>
  </si>
  <si>
    <t>=IF(AND($M5637&gt;=$Q$16,$M5637&lt;=$Q$18),U5637,0)</t>
  </si>
  <si>
    <t>=IF(AND($M5637&gt;=$R$16,$M5637&lt;=$R$18),U5637,0)</t>
  </si>
  <si>
    <t>=IF(AND($M5637&gt;=$S$16,$M5637&lt;=$S$18),U5637,0)</t>
  </si>
  <si>
    <t>=IF($M5637&lt;=$T$18,U5637,0)</t>
  </si>
  <si>
    <t>="""NAV Direct"",""CRONUS JetCorp USA"",""21"",""1"",""433514"""</t>
  </si>
  <si>
    <t>=E5636</t>
  </si>
  <si>
    <t>=StartDate-$M5638+1</t>
  </si>
  <si>
    <t>=SUM(P5638:T5638)</t>
  </si>
  <si>
    <t>=IF($M5638&gt;=$P$18,U5638,0)</t>
  </si>
  <si>
    <t>=IF(AND($M5638&gt;=$Q$16,$M5638&lt;=$Q$18),U5638,0)</t>
  </si>
  <si>
    <t>=IF(AND($M5638&gt;=$R$16,$M5638&lt;=$R$18),U5638,0)</t>
  </si>
  <si>
    <t>=IF(AND($M5638&gt;=$S$16,$M5638&lt;=$S$18),U5638,0)</t>
  </si>
  <si>
    <t>=IF($M5638&lt;=$T$18,U5638,0)</t>
  </si>
  <si>
    <t>="""NAV Direct"",""CRONUS JetCorp USA"",""18"",""1"",""C100501"""</t>
  </si>
  <si>
    <t>=H5641</t>
  </si>
  <si>
    <t>=NF($C5641,"1 No.")</t>
  </si>
  <si>
    <t>=NF($C5641,"1 No.")&amp;"  -  "&amp;NF($C5641,"2 Name")</t>
  </si>
  <si>
    <t>=IFERROR(O5641/NF(C5641,"Credit Limit (LCY)"),"")</t>
  </si>
  <si>
    <t>=SUBTOTAL(3,L5642:L5674)</t>
  </si>
  <si>
    <t>=SUBTOTAL(9,O5642:O5674)</t>
  </si>
  <si>
    <t>=SUBTOTAL(9,P5642:P5674)</t>
  </si>
  <si>
    <t>=SUBTOTAL(9,Q5642:Q5674)</t>
  </si>
  <si>
    <t>=SUBTOTAL(9,R5642:R5674)</t>
  </si>
  <si>
    <t>=SUBTOTAL(9,S5642:S5674)</t>
  </si>
  <si>
    <t>=SUBTOTAL(9,T5642:T5674)</t>
  </si>
  <si>
    <t>=C5641</t>
  </si>
  <si>
    <t>=E5641</t>
  </si>
  <si>
    <t>="Contact: "&amp;NF($C5642,"8 Contact")</t>
  </si>
  <si>
    <t>=C5642</t>
  </si>
  <si>
    <t>=E5642</t>
  </si>
  <si>
    <t>=NF($C5643,"102 E-Mail")</t>
  </si>
  <si>
    <t>=NL("Rows","21 Cust. Ledger Entry",,"3 Customer No.","@@"&amp;$E5645,"16 Remaining Amt. (LCY)","&lt;&gt;0")</t>
  </si>
  <si>
    <t>=E5643</t>
  </si>
  <si>
    <t>=StartDate-$M5645+1</t>
  </si>
  <si>
    <t>=SUM(P5645:T5645)</t>
  </si>
  <si>
    <t>=IF($M5645&gt;=$P$18,U5645,0)</t>
  </si>
  <si>
    <t>=IF(AND($M5645&gt;=$Q$16,$M5645&lt;=$Q$18),U5645,0)</t>
  </si>
  <si>
    <t>=IF(AND($M5645&gt;=$R$16,$M5645&lt;=$R$18),U5645,0)</t>
  </si>
  <si>
    <t>=IF(AND($M5645&gt;=$S$16,$M5645&lt;=$S$18),U5645,0)</t>
  </si>
  <si>
    <t>=IF($M5645&lt;=$T$18,U5645,0)</t>
  </si>
  <si>
    <t>="""NAV Direct"",""CRONUS JetCorp USA"",""21"",""1"",""281466"""</t>
  </si>
  <si>
    <t>=E5644</t>
  </si>
  <si>
    <t>=StartDate-$M5646+1</t>
  </si>
  <si>
    <t>=SUM(P5646:T5646)</t>
  </si>
  <si>
    <t>=IF($M5646&gt;=$P$18,U5646,0)</t>
  </si>
  <si>
    <t>=IF(AND($M5646&gt;=$Q$16,$M5646&lt;=$Q$18),U5646,0)</t>
  </si>
  <si>
    <t>=IF(AND($M5646&gt;=$R$16,$M5646&lt;=$R$18),U5646,0)</t>
  </si>
  <si>
    <t>=IF(AND($M5646&gt;=$S$16,$M5646&lt;=$S$18),U5646,0)</t>
  </si>
  <si>
    <t>=IF($M5646&lt;=$T$18,U5646,0)</t>
  </si>
  <si>
    <t>="""NAV Direct"",""CRONUS JetCorp USA"",""21"",""1"",""281597"""</t>
  </si>
  <si>
    <t>=E5645</t>
  </si>
  <si>
    <t>=StartDate-$M5647+1</t>
  </si>
  <si>
    <t>=SUM(P5647:T5647)</t>
  </si>
  <si>
    <t>=IF($M5647&gt;=$P$18,U5647,0)</t>
  </si>
  <si>
    <t>=IF(AND($M5647&gt;=$Q$16,$M5647&lt;=$Q$18),U5647,0)</t>
  </si>
  <si>
    <t>=IF(AND($M5647&gt;=$R$16,$M5647&lt;=$R$18),U5647,0)</t>
  </si>
  <si>
    <t>=IF(AND($M5647&gt;=$S$16,$M5647&lt;=$S$18),U5647,0)</t>
  </si>
  <si>
    <t>=IF($M5647&lt;=$T$18,U5647,0)</t>
  </si>
  <si>
    <t>="""NAV Direct"",""CRONUS JetCorp USA"",""21"",""1"",""281742"""</t>
  </si>
  <si>
    <t>=E5646</t>
  </si>
  <si>
    <t>=StartDate-$M5648+1</t>
  </si>
  <si>
    <t>=SUM(P5648:T5648)</t>
  </si>
  <si>
    <t>=IF($M5648&gt;=$P$18,U5648,0)</t>
  </si>
  <si>
    <t>=IF(AND($M5648&gt;=$Q$16,$M5648&lt;=$Q$18),U5648,0)</t>
  </si>
  <si>
    <t>=IF(AND($M5648&gt;=$R$16,$M5648&lt;=$R$18),U5648,0)</t>
  </si>
  <si>
    <t>=IF(AND($M5648&gt;=$S$16,$M5648&lt;=$S$18),U5648,0)</t>
  </si>
  <si>
    <t>=IF($M5648&lt;=$T$18,U5648,0)</t>
  </si>
  <si>
    <t>="""NAV Direct"",""CRONUS JetCorp USA"",""21"",""1"",""282052"""</t>
  </si>
  <si>
    <t>=E5647</t>
  </si>
  <si>
    <t>=StartDate-$M5649+1</t>
  </si>
  <si>
    <t>=SUM(P5649:T5649)</t>
  </si>
  <si>
    <t>=IF($M5649&gt;=$P$18,U5649,0)</t>
  </si>
  <si>
    <t>=IF(AND($M5649&gt;=$Q$16,$M5649&lt;=$Q$18),U5649,0)</t>
  </si>
  <si>
    <t>=IF(AND($M5649&gt;=$R$16,$M5649&lt;=$R$18),U5649,0)</t>
  </si>
  <si>
    <t>=IF(AND($M5649&gt;=$S$16,$M5649&lt;=$S$18),U5649,0)</t>
  </si>
  <si>
    <t>=IF($M5649&lt;=$T$18,U5649,0)</t>
  </si>
  <si>
    <t>="""NAV Direct"",""CRONUS JetCorp USA"",""21"",""1"",""282376"""</t>
  </si>
  <si>
    <t>=E5648</t>
  </si>
  <si>
    <t>=StartDate-$M5650+1</t>
  </si>
  <si>
    <t>=SUM(P5650:T5650)</t>
  </si>
  <si>
    <t>=IF($M5650&gt;=$P$18,U5650,0)</t>
  </si>
  <si>
    <t>=IF(AND($M5650&gt;=$Q$16,$M5650&lt;=$Q$18),U5650,0)</t>
  </si>
  <si>
    <t>=IF(AND($M5650&gt;=$R$16,$M5650&lt;=$R$18),U5650,0)</t>
  </si>
  <si>
    <t>=IF(AND($M5650&gt;=$S$16,$M5650&lt;=$S$18),U5650,0)</t>
  </si>
  <si>
    <t>=IF($M5650&lt;=$T$18,U5650,0)</t>
  </si>
  <si>
    <t>="""NAV Direct"",""CRONUS JetCorp USA"",""21"",""1"",""283116"""</t>
  </si>
  <si>
    <t>=E5649</t>
  </si>
  <si>
    <t>=StartDate-$M5651+1</t>
  </si>
  <si>
    <t>=SUM(P5651:T5651)</t>
  </si>
  <si>
    <t>=IF($M5651&gt;=$P$18,U5651,0)</t>
  </si>
  <si>
    <t>=IF(AND($M5651&gt;=$Q$16,$M5651&lt;=$Q$18),U5651,0)</t>
  </si>
  <si>
    <t>=IF(AND($M5651&gt;=$R$16,$M5651&lt;=$R$18),U5651,0)</t>
  </si>
  <si>
    <t>=IF(AND($M5651&gt;=$S$16,$M5651&lt;=$S$18),U5651,0)</t>
  </si>
  <si>
    <t>=IF($M5651&lt;=$T$18,U5651,0)</t>
  </si>
  <si>
    <t>="""NAV Direct"",""CRONUS JetCorp USA"",""21"",""1"",""283570"""</t>
  </si>
  <si>
    <t>=E5650</t>
  </si>
  <si>
    <t>=StartDate-$M5652+1</t>
  </si>
  <si>
    <t>=SUM(P5652:T5652)</t>
  </si>
  <si>
    <t>=IF($M5652&gt;=$P$18,U5652,0)</t>
  </si>
  <si>
    <t>=IF(AND($M5652&gt;=$Q$16,$M5652&lt;=$Q$18),U5652,0)</t>
  </si>
  <si>
    <t>=IF(AND($M5652&gt;=$R$16,$M5652&lt;=$R$18),U5652,0)</t>
  </si>
  <si>
    <t>=IF(AND($M5652&gt;=$S$16,$M5652&lt;=$S$18),U5652,0)</t>
  </si>
  <si>
    <t>=IF($M5652&lt;=$T$18,U5652,0)</t>
  </si>
  <si>
    <t>="""NAV Direct"",""CRONUS JetCorp USA"",""21"",""1"",""284964"""</t>
  </si>
  <si>
    <t>=E5651</t>
  </si>
  <si>
    <t>=StartDate-$M5653+1</t>
  </si>
  <si>
    <t>=SUM(P5653:T5653)</t>
  </si>
  <si>
    <t>=IF($M5653&gt;=$P$18,U5653,0)</t>
  </si>
  <si>
    <t>=IF(AND($M5653&gt;=$Q$16,$M5653&lt;=$Q$18),U5653,0)</t>
  </si>
  <si>
    <t>=IF(AND($M5653&gt;=$R$16,$M5653&lt;=$R$18),U5653,0)</t>
  </si>
  <si>
    <t>=IF(AND($M5653&gt;=$S$16,$M5653&lt;=$S$18),U5653,0)</t>
  </si>
  <si>
    <t>=IF($M5653&lt;=$T$18,U5653,0)</t>
  </si>
  <si>
    <t>="""NAV Direct"",""CRONUS JetCorp USA"",""21"",""1"",""285957"""</t>
  </si>
  <si>
    <t>=E5652</t>
  </si>
  <si>
    <t>=StartDate-$M5654+1</t>
  </si>
  <si>
    <t>=SUM(P5654:T5654)</t>
  </si>
  <si>
    <t>=IF($M5654&gt;=$P$18,U5654,0)</t>
  </si>
  <si>
    <t>=IF(AND($M5654&gt;=$Q$16,$M5654&lt;=$Q$18),U5654,0)</t>
  </si>
  <si>
    <t>=IF(AND($M5654&gt;=$R$16,$M5654&lt;=$R$18),U5654,0)</t>
  </si>
  <si>
    <t>=IF(AND($M5654&gt;=$S$16,$M5654&lt;=$S$18),U5654,0)</t>
  </si>
  <si>
    <t>=IF($M5654&lt;=$T$18,U5654,0)</t>
  </si>
  <si>
    <t>="""NAV Direct"",""CRONUS JetCorp USA"",""21"",""1"",""286506"""</t>
  </si>
  <si>
    <t>=E5653</t>
  </si>
  <si>
    <t>=StartDate-$M5655+1</t>
  </si>
  <si>
    <t>=SUM(P5655:T5655)</t>
  </si>
  <si>
    <t>=IF($M5655&gt;=$P$18,U5655,0)</t>
  </si>
  <si>
    <t>=IF(AND($M5655&gt;=$Q$16,$M5655&lt;=$Q$18),U5655,0)</t>
  </si>
  <si>
    <t>=IF(AND($M5655&gt;=$R$16,$M5655&lt;=$R$18),U5655,0)</t>
  </si>
  <si>
    <t>=IF(AND($M5655&gt;=$S$16,$M5655&lt;=$S$18),U5655,0)</t>
  </si>
  <si>
    <t>=IF($M5655&lt;=$T$18,U5655,0)</t>
  </si>
  <si>
    <t>="""NAV Direct"",""CRONUS JetCorp USA"",""21"",""1"",""286695"""</t>
  </si>
  <si>
    <t>=E5654</t>
  </si>
  <si>
    <t>=StartDate-$M5656+1</t>
  </si>
  <si>
    <t>=SUM(P5656:T5656)</t>
  </si>
  <si>
    <t>=IF($M5656&gt;=$P$18,U5656,0)</t>
  </si>
  <si>
    <t>=IF(AND($M5656&gt;=$Q$16,$M5656&lt;=$Q$18),U5656,0)</t>
  </si>
  <si>
    <t>=IF(AND($M5656&gt;=$R$16,$M5656&lt;=$R$18),U5656,0)</t>
  </si>
  <si>
    <t>=IF(AND($M5656&gt;=$S$16,$M5656&lt;=$S$18),U5656,0)</t>
  </si>
  <si>
    <t>=IF($M5656&lt;=$T$18,U5656,0)</t>
  </si>
  <si>
    <t>="""NAV Direct"",""CRONUS JetCorp USA"",""21"",""1"",""286855"""</t>
  </si>
  <si>
    <t>=E5655</t>
  </si>
  <si>
    <t>=StartDate-$M5657+1</t>
  </si>
  <si>
    <t>=SUM(P5657:T5657)</t>
  </si>
  <si>
    <t>=IF($M5657&gt;=$P$18,U5657,0)</t>
  </si>
  <si>
    <t>=IF(AND($M5657&gt;=$Q$16,$M5657&lt;=$Q$18),U5657,0)</t>
  </si>
  <si>
    <t>=IF(AND($M5657&gt;=$R$16,$M5657&lt;=$R$18),U5657,0)</t>
  </si>
  <si>
    <t>=IF(AND($M5657&gt;=$S$16,$M5657&lt;=$S$18),U5657,0)</t>
  </si>
  <si>
    <t>=IF($M5657&lt;=$T$18,U5657,0)</t>
  </si>
  <si>
    <t>="""NAV Direct"",""CRONUS JetCorp USA"",""21"",""1"",""287806"""</t>
  </si>
  <si>
    <t>=E5656</t>
  </si>
  <si>
    <t>=StartDate-$M5658+1</t>
  </si>
  <si>
    <t>=SUM(P5658:T5658)</t>
  </si>
  <si>
    <t>=IF($M5658&gt;=$P$18,U5658,0)</t>
  </si>
  <si>
    <t>=IF(AND($M5658&gt;=$Q$16,$M5658&lt;=$Q$18),U5658,0)</t>
  </si>
  <si>
    <t>=IF(AND($M5658&gt;=$R$16,$M5658&lt;=$R$18),U5658,0)</t>
  </si>
  <si>
    <t>=IF(AND($M5658&gt;=$S$16,$M5658&lt;=$S$18),U5658,0)</t>
  </si>
  <si>
    <t>=IF($M5658&lt;=$T$18,U5658,0)</t>
  </si>
  <si>
    <t>="""NAV Direct"",""CRONUS JetCorp USA"",""21"",""1"",""287927"""</t>
  </si>
  <si>
    <t>=E5657</t>
  </si>
  <si>
    <t>=StartDate-$M5659+1</t>
  </si>
  <si>
    <t>=SUM(P5659:T5659)</t>
  </si>
  <si>
    <t>=IF($M5659&gt;=$P$18,U5659,0)</t>
  </si>
  <si>
    <t>=IF(AND($M5659&gt;=$Q$16,$M5659&lt;=$Q$18),U5659,0)</t>
  </si>
  <si>
    <t>=IF(AND($M5659&gt;=$R$16,$M5659&lt;=$R$18),U5659,0)</t>
  </si>
  <si>
    <t>=IF(AND($M5659&gt;=$S$16,$M5659&lt;=$S$18),U5659,0)</t>
  </si>
  <si>
    <t>=IF($M5659&lt;=$T$18,U5659,0)</t>
  </si>
  <si>
    <t>="""NAV Direct"",""CRONUS JetCorp USA"",""21"",""1"",""288165"""</t>
  </si>
  <si>
    <t>=E5658</t>
  </si>
  <si>
    <t>=StartDate-$M5660+1</t>
  </si>
  <si>
    <t>=SUM(P5660:T5660)</t>
  </si>
  <si>
    <t>=IF($M5660&gt;=$P$18,U5660,0)</t>
  </si>
  <si>
    <t>=IF(AND($M5660&gt;=$Q$16,$M5660&lt;=$Q$18),U5660,0)</t>
  </si>
  <si>
    <t>=IF(AND($M5660&gt;=$R$16,$M5660&lt;=$R$18),U5660,0)</t>
  </si>
  <si>
    <t>=IF(AND($M5660&gt;=$S$16,$M5660&lt;=$S$18),U5660,0)</t>
  </si>
  <si>
    <t>=IF($M5660&lt;=$T$18,U5660,0)</t>
  </si>
  <si>
    <t>="""NAV Direct"",""CRONUS JetCorp USA"",""21"",""1"",""288487"""</t>
  </si>
  <si>
    <t>=E5659</t>
  </si>
  <si>
    <t>=StartDate-$M5661+1</t>
  </si>
  <si>
    <t>=SUM(P5661:T5661)</t>
  </si>
  <si>
    <t>=IF($M5661&gt;=$P$18,U5661,0)</t>
  </si>
  <si>
    <t>=IF(AND($M5661&gt;=$Q$16,$M5661&lt;=$Q$18),U5661,0)</t>
  </si>
  <si>
    <t>=IF(AND($M5661&gt;=$R$16,$M5661&lt;=$R$18),U5661,0)</t>
  </si>
  <si>
    <t>=IF(AND($M5661&gt;=$S$16,$M5661&lt;=$S$18),U5661,0)</t>
  </si>
  <si>
    <t>=IF($M5661&lt;=$T$18,U5661,0)</t>
  </si>
  <si>
    <t>="""NAV Direct"",""CRONUS JetCorp USA"",""21"",""1"",""290636"""</t>
  </si>
  <si>
    <t>=E5660</t>
  </si>
  <si>
    <t>=StartDate-$M5662+1</t>
  </si>
  <si>
    <t>=SUM(P5662:T5662)</t>
  </si>
  <si>
    <t>=IF($M5662&gt;=$P$18,U5662,0)</t>
  </si>
  <si>
    <t>=IF(AND($M5662&gt;=$Q$16,$M5662&lt;=$Q$18),U5662,0)</t>
  </si>
  <si>
    <t>=IF(AND($M5662&gt;=$R$16,$M5662&lt;=$R$18),U5662,0)</t>
  </si>
  <si>
    <t>=IF(AND($M5662&gt;=$S$16,$M5662&lt;=$S$18),U5662,0)</t>
  </si>
  <si>
    <t>=IF($M5662&lt;=$T$18,U5662,0)</t>
  </si>
  <si>
    <t>="""NAV Direct"",""CRONUS JetCorp USA"",""21"",""1"",""292664"""</t>
  </si>
  <si>
    <t>=E5661</t>
  </si>
  <si>
    <t>=StartDate-$M5663+1</t>
  </si>
  <si>
    <t>=SUM(P5663:T5663)</t>
  </si>
  <si>
    <t>=IF($M5663&gt;=$P$18,U5663,0)</t>
  </si>
  <si>
    <t>=IF(AND($M5663&gt;=$Q$16,$M5663&lt;=$Q$18),U5663,0)</t>
  </si>
  <si>
    <t>=IF(AND($M5663&gt;=$R$16,$M5663&lt;=$R$18),U5663,0)</t>
  </si>
  <si>
    <t>=IF(AND($M5663&gt;=$S$16,$M5663&lt;=$S$18),U5663,0)</t>
  </si>
  <si>
    <t>=IF($M5663&lt;=$T$18,U5663,0)</t>
  </si>
  <si>
    <t>="""NAV Direct"",""CRONUS JetCorp USA"",""21"",""1"",""292814"""</t>
  </si>
  <si>
    <t>=E5662</t>
  </si>
  <si>
    <t>=StartDate-$M5664+1</t>
  </si>
  <si>
    <t>=SUM(P5664:T5664)</t>
  </si>
  <si>
    <t>=IF($M5664&gt;=$P$18,U5664,0)</t>
  </si>
  <si>
    <t>=IF(AND($M5664&gt;=$Q$16,$M5664&lt;=$Q$18),U5664,0)</t>
  </si>
  <si>
    <t>=IF(AND($M5664&gt;=$R$16,$M5664&lt;=$R$18),U5664,0)</t>
  </si>
  <si>
    <t>=IF(AND($M5664&gt;=$S$16,$M5664&lt;=$S$18),U5664,0)</t>
  </si>
  <si>
    <t>=IF($M5664&lt;=$T$18,U5664,0)</t>
  </si>
  <si>
    <t>="""NAV Direct"",""CRONUS JetCorp USA"",""21"",""1"",""292914"""</t>
  </si>
  <si>
    <t>=E5663</t>
  </si>
  <si>
    <t>=StartDate-$M5665+1</t>
  </si>
  <si>
    <t>=SUM(P5665:T5665)</t>
  </si>
  <si>
    <t>=IF($M5665&gt;=$P$18,U5665,0)</t>
  </si>
  <si>
    <t>=IF(AND($M5665&gt;=$Q$16,$M5665&lt;=$Q$18),U5665,0)</t>
  </si>
  <si>
    <t>=IF(AND($M5665&gt;=$R$16,$M5665&lt;=$R$18),U5665,0)</t>
  </si>
  <si>
    <t>=IF(AND($M5665&gt;=$S$16,$M5665&lt;=$S$18),U5665,0)</t>
  </si>
  <si>
    <t>=IF($M5665&lt;=$T$18,U5665,0)</t>
  </si>
  <si>
    <t>="""NAV Direct"",""CRONUS JetCorp USA"",""21"",""1"",""293105"""</t>
  </si>
  <si>
    <t>=E5664</t>
  </si>
  <si>
    <t>=StartDate-$M5666+1</t>
  </si>
  <si>
    <t>=SUM(P5666:T5666)</t>
  </si>
  <si>
    <t>=IF($M5666&gt;=$P$18,U5666,0)</t>
  </si>
  <si>
    <t>=IF(AND($M5666&gt;=$Q$16,$M5666&lt;=$Q$18),U5666,0)</t>
  </si>
  <si>
    <t>=IF(AND($M5666&gt;=$R$16,$M5666&lt;=$R$18),U5666,0)</t>
  </si>
  <si>
    <t>=IF(AND($M5666&gt;=$S$16,$M5666&lt;=$S$18),U5666,0)</t>
  </si>
  <si>
    <t>=IF($M5666&lt;=$T$18,U5666,0)</t>
  </si>
  <si>
    <t>="""NAV Direct"",""CRONUS JetCorp USA"",""21"",""1"",""293250"""</t>
  </si>
  <si>
    <t>=E5665</t>
  </si>
  <si>
    <t>=StartDate-$M5667+1</t>
  </si>
  <si>
    <t>=SUM(P5667:T5667)</t>
  </si>
  <si>
    <t>=IF($M5667&gt;=$P$18,U5667,0)</t>
  </si>
  <si>
    <t>=IF(AND($M5667&gt;=$Q$16,$M5667&lt;=$Q$18),U5667,0)</t>
  </si>
  <si>
    <t>=IF(AND($M5667&gt;=$R$16,$M5667&lt;=$R$18),U5667,0)</t>
  </si>
  <si>
    <t>=IF(AND($M5667&gt;=$S$16,$M5667&lt;=$S$18),U5667,0)</t>
  </si>
  <si>
    <t>=IF($M5667&lt;=$T$18,U5667,0)</t>
  </si>
  <si>
    <t>="""NAV Direct"",""CRONUS JetCorp USA"",""21"",""1"",""293599"""</t>
  </si>
  <si>
    <t>=E5666</t>
  </si>
  <si>
    <t>=StartDate-$M5668+1</t>
  </si>
  <si>
    <t>=SUM(P5668:T5668)</t>
  </si>
  <si>
    <t>=IF($M5668&gt;=$P$18,U5668,0)</t>
  </si>
  <si>
    <t>=IF(AND($M5668&gt;=$Q$16,$M5668&lt;=$Q$18),U5668,0)</t>
  </si>
  <si>
    <t>=IF(AND($M5668&gt;=$R$16,$M5668&lt;=$R$18),U5668,0)</t>
  </si>
  <si>
    <t>=IF(AND($M5668&gt;=$S$16,$M5668&lt;=$S$18),U5668,0)</t>
  </si>
  <si>
    <t>=IF($M5668&lt;=$T$18,U5668,0)</t>
  </si>
  <si>
    <t>="""NAV Direct"",""CRONUS JetCorp USA"",""21"",""1"",""295077"""</t>
  </si>
  <si>
    <t>=E5667</t>
  </si>
  <si>
    <t>=StartDate-$M5669+1</t>
  </si>
  <si>
    <t>=SUM(P5669:T5669)</t>
  </si>
  <si>
    <t>=IF($M5669&gt;=$P$18,U5669,0)</t>
  </si>
  <si>
    <t>=IF(AND($M5669&gt;=$Q$16,$M5669&lt;=$Q$18),U5669,0)</t>
  </si>
  <si>
    <t>=IF(AND($M5669&gt;=$R$16,$M5669&lt;=$R$18),U5669,0)</t>
  </si>
  <si>
    <t>=IF(AND($M5669&gt;=$S$16,$M5669&lt;=$S$18),U5669,0)</t>
  </si>
  <si>
    <t>=IF($M5669&lt;=$T$18,U5669,0)</t>
  </si>
  <si>
    <t>="""NAV Direct"",""CRONUS JetCorp USA"",""21"",""1"",""296546"""</t>
  </si>
  <si>
    <t>=E5668</t>
  </si>
  <si>
    <t>=StartDate-$M5670+1</t>
  </si>
  <si>
    <t>=SUM(P5670:T5670)</t>
  </si>
  <si>
    <t>=IF($M5670&gt;=$P$18,U5670,0)</t>
  </si>
  <si>
    <t>=IF(AND($M5670&gt;=$Q$16,$M5670&lt;=$Q$18),U5670,0)</t>
  </si>
  <si>
    <t>=IF(AND($M5670&gt;=$R$16,$M5670&lt;=$R$18),U5670,0)</t>
  </si>
  <si>
    <t>=IF(AND($M5670&gt;=$S$16,$M5670&lt;=$S$18),U5670,0)</t>
  </si>
  <si>
    <t>=IF($M5670&lt;=$T$18,U5670,0)</t>
  </si>
  <si>
    <t>="""NAV Direct"",""CRONUS JetCorp USA"",""21"",""1"",""297883"""</t>
  </si>
  <si>
    <t>=E5669</t>
  </si>
  <si>
    <t>=StartDate-$M5671+1</t>
  </si>
  <si>
    <t>=SUM(P5671:T5671)</t>
  </si>
  <si>
    <t>=IF($M5671&gt;=$P$18,U5671,0)</t>
  </si>
  <si>
    <t>=IF(AND($M5671&gt;=$Q$16,$M5671&lt;=$Q$18),U5671,0)</t>
  </si>
  <si>
    <t>=IF(AND($M5671&gt;=$R$16,$M5671&lt;=$R$18),U5671,0)</t>
  </si>
  <si>
    <t>=IF(AND($M5671&gt;=$S$16,$M5671&lt;=$S$18),U5671,0)</t>
  </si>
  <si>
    <t>=IF($M5671&lt;=$T$18,U5671,0)</t>
  </si>
  <si>
    <t>="""NAV Direct"",""CRONUS JetCorp USA"",""21"",""1"",""298375"""</t>
  </si>
  <si>
    <t>=E5670</t>
  </si>
  <si>
    <t>=StartDate-$M5672+1</t>
  </si>
  <si>
    <t>=SUM(P5672:T5672)</t>
  </si>
  <si>
    <t>=IF($M5672&gt;=$P$18,U5672,0)</t>
  </si>
  <si>
    <t>=IF(AND($M5672&gt;=$Q$16,$M5672&lt;=$Q$18),U5672,0)</t>
  </si>
  <si>
    <t>=IF(AND($M5672&gt;=$R$16,$M5672&lt;=$R$18),U5672,0)</t>
  </si>
  <si>
    <t>=IF(AND($M5672&gt;=$S$16,$M5672&lt;=$S$18),U5672,0)</t>
  </si>
  <si>
    <t>=IF($M5672&lt;=$T$18,U5672,0)</t>
  </si>
  <si>
    <t>="""NAV Direct"",""CRONUS JetCorp USA"",""21"",""1"",""300182"""</t>
  </si>
  <si>
    <t>=E5671</t>
  </si>
  <si>
    <t>=StartDate-$M5673+1</t>
  </si>
  <si>
    <t>=SUM(P5673:T5673)</t>
  </si>
  <si>
    <t>=IF($M5673&gt;=$P$18,U5673,0)</t>
  </si>
  <si>
    <t>=IF(AND($M5673&gt;=$Q$16,$M5673&lt;=$Q$18),U5673,0)</t>
  </si>
  <si>
    <t>=IF(AND($M5673&gt;=$R$16,$M5673&lt;=$R$18),U5673,0)</t>
  </si>
  <si>
    <t>=IF(AND($M5673&gt;=$S$16,$M5673&lt;=$S$18),U5673,0)</t>
  </si>
  <si>
    <t>=IF($M5673&lt;=$T$18,U5673,0)</t>
  </si>
  <si>
    <t>="""NAV Direct"",""CRONUS JetCorp USA"",""18"",""1"",""C100502"""</t>
  </si>
  <si>
    <t>=H5676</t>
  </si>
  <si>
    <t>=NF($C5676,"1 No.")</t>
  </si>
  <si>
    <t>=NF($C5676,"1 No.")&amp;"  -  "&amp;NF($C5676,"2 Name")</t>
  </si>
  <si>
    <t>=IFERROR(O5676/NF(C5676,"Credit Limit (LCY)"),"")</t>
  </si>
  <si>
    <t>=SUBTOTAL(3,L5677:L5719)</t>
  </si>
  <si>
    <t>=SUBTOTAL(9,O5677:O5719)</t>
  </si>
  <si>
    <t>=SUBTOTAL(9,P5677:P5719)</t>
  </si>
  <si>
    <t>=SUBTOTAL(9,Q5677:Q5719)</t>
  </si>
  <si>
    <t>=SUBTOTAL(9,R5677:R5719)</t>
  </si>
  <si>
    <t>=SUBTOTAL(9,S5677:S5719)</t>
  </si>
  <si>
    <t>=SUBTOTAL(9,T5677:T5719)</t>
  </si>
  <si>
    <t>=C5676</t>
  </si>
  <si>
    <t>=E5676</t>
  </si>
  <si>
    <t>="Contact: "&amp;NF($C5677,"8 Contact")</t>
  </si>
  <si>
    <t>=C5677</t>
  </si>
  <si>
    <t>=E5677</t>
  </si>
  <si>
    <t>=NF($C5678,"102 E-Mail")</t>
  </si>
  <si>
    <t>=NL("Rows","21 Cust. Ledger Entry",,"3 Customer No.","@@"&amp;$E5680,"16 Remaining Amt. (LCY)","&lt;&gt;0")</t>
  </si>
  <si>
    <t>=E5678</t>
  </si>
  <si>
    <t>=StartDate-$M5680+1</t>
  </si>
  <si>
    <t>=SUM(P5680:T5680)</t>
  </si>
  <si>
    <t>=IF($M5680&gt;=$P$18,U5680,0)</t>
  </si>
  <si>
    <t>=IF(AND($M5680&gt;=$Q$16,$M5680&lt;=$Q$18),U5680,0)</t>
  </si>
  <si>
    <t>=IF(AND($M5680&gt;=$R$16,$M5680&lt;=$R$18),U5680,0)</t>
  </si>
  <si>
    <t>=IF(AND($M5680&gt;=$S$16,$M5680&lt;=$S$18),U5680,0)</t>
  </si>
  <si>
    <t>=IF($M5680&lt;=$T$18,U5680,0)</t>
  </si>
  <si>
    <t>="""NAV Direct"",""CRONUS JetCorp USA"",""21"",""1"",""282358"""</t>
  </si>
  <si>
    <t>=E5679</t>
  </si>
  <si>
    <t>=StartDate-$M5681+1</t>
  </si>
  <si>
    <t>=SUM(P5681:T5681)</t>
  </si>
  <si>
    <t>=IF($M5681&gt;=$P$18,U5681,0)</t>
  </si>
  <si>
    <t>=IF(AND($M5681&gt;=$Q$16,$M5681&lt;=$Q$18),U5681,0)</t>
  </si>
  <si>
    <t>=IF(AND($M5681&gt;=$R$16,$M5681&lt;=$R$18),U5681,0)</t>
  </si>
  <si>
    <t>=IF(AND($M5681&gt;=$S$16,$M5681&lt;=$S$18),U5681,0)</t>
  </si>
  <si>
    <t>=IF($M5681&lt;=$T$18,U5681,0)</t>
  </si>
  <si>
    <t>="""NAV Direct"",""CRONUS JetCorp USA"",""21"",""1"",""282682"""</t>
  </si>
  <si>
    <t>=E5680</t>
  </si>
  <si>
    <t>=StartDate-$M5682+1</t>
  </si>
  <si>
    <t>=SUM(P5682:T5682)</t>
  </si>
  <si>
    <t>=IF($M5682&gt;=$P$18,U5682,0)</t>
  </si>
  <si>
    <t>=IF(AND($M5682&gt;=$Q$16,$M5682&lt;=$Q$18),U5682,0)</t>
  </si>
  <si>
    <t>=IF(AND($M5682&gt;=$R$16,$M5682&lt;=$R$18),U5682,0)</t>
  </si>
  <si>
    <t>=IF(AND($M5682&gt;=$S$16,$M5682&lt;=$S$18),U5682,0)</t>
  </si>
  <si>
    <t>=IF($M5682&lt;=$T$18,U5682,0)</t>
  </si>
  <si>
    <t>="""NAV Direct"",""CRONUS JetCorp USA"",""21"",""1"",""282702"""</t>
  </si>
  <si>
    <t>=E5681</t>
  </si>
  <si>
    <t>=StartDate-$M5683+1</t>
  </si>
  <si>
    <t>=SUM(P5683:T5683)</t>
  </si>
  <si>
    <t>=IF($M5683&gt;=$P$18,U5683,0)</t>
  </si>
  <si>
    <t>=IF(AND($M5683&gt;=$Q$16,$M5683&lt;=$Q$18),U5683,0)</t>
  </si>
  <si>
    <t>=IF(AND($M5683&gt;=$R$16,$M5683&lt;=$R$18),U5683,0)</t>
  </si>
  <si>
    <t>=IF(AND($M5683&gt;=$S$16,$M5683&lt;=$S$18),U5683,0)</t>
  </si>
  <si>
    <t>=IF($M5683&lt;=$T$18,U5683,0)</t>
  </si>
  <si>
    <t>="""NAV Direct"",""CRONUS JetCorp USA"",""21"",""1"",""283486"""</t>
  </si>
  <si>
    <t>=E5682</t>
  </si>
  <si>
    <t>=StartDate-$M5684+1</t>
  </si>
  <si>
    <t>=SUM(P5684:T5684)</t>
  </si>
  <si>
    <t>=IF($M5684&gt;=$P$18,U5684,0)</t>
  </si>
  <si>
    <t>=IF(AND($M5684&gt;=$Q$16,$M5684&lt;=$Q$18),U5684,0)</t>
  </si>
  <si>
    <t>=IF(AND($M5684&gt;=$R$16,$M5684&lt;=$R$18),U5684,0)</t>
  </si>
  <si>
    <t>=IF(AND($M5684&gt;=$S$16,$M5684&lt;=$S$18),U5684,0)</t>
  </si>
  <si>
    <t>=IF($M5684&lt;=$T$18,U5684,0)</t>
  </si>
  <si>
    <t>="""NAV Direct"",""CRONUS JetCorp USA"",""21"",""1"",""283544"""</t>
  </si>
  <si>
    <t>=E5683</t>
  </si>
  <si>
    <t>=StartDate-$M5685+1</t>
  </si>
  <si>
    <t>=SUM(P5685:T5685)</t>
  </si>
  <si>
    <t>=IF($M5685&gt;=$P$18,U5685,0)</t>
  </si>
  <si>
    <t>=IF(AND($M5685&gt;=$Q$16,$M5685&lt;=$Q$18),U5685,0)</t>
  </si>
  <si>
    <t>=IF(AND($M5685&gt;=$R$16,$M5685&lt;=$R$18),U5685,0)</t>
  </si>
  <si>
    <t>=IF(AND($M5685&gt;=$S$16,$M5685&lt;=$S$18),U5685,0)</t>
  </si>
  <si>
    <t>=IF($M5685&lt;=$T$18,U5685,0)</t>
  </si>
  <si>
    <t>="""NAV Direct"",""CRONUS JetCorp USA"",""21"",""1"",""284049"""</t>
  </si>
  <si>
    <t>=E5684</t>
  </si>
  <si>
    <t>=StartDate-$M5686+1</t>
  </si>
  <si>
    <t>=SUM(P5686:T5686)</t>
  </si>
  <si>
    <t>=IF($M5686&gt;=$P$18,U5686,0)</t>
  </si>
  <si>
    <t>=IF(AND($M5686&gt;=$Q$16,$M5686&lt;=$Q$18),U5686,0)</t>
  </si>
  <si>
    <t>=IF(AND($M5686&gt;=$R$16,$M5686&lt;=$R$18),U5686,0)</t>
  </si>
  <si>
    <t>=IF(AND($M5686&gt;=$S$16,$M5686&lt;=$S$18),U5686,0)</t>
  </si>
  <si>
    <t>=IF($M5686&lt;=$T$18,U5686,0)</t>
  </si>
  <si>
    <t>="""NAV Direct"",""CRONUS JetCorp USA"",""21"",""1"",""284334"""</t>
  </si>
  <si>
    <t>=E5685</t>
  </si>
  <si>
    <t>=StartDate-$M5687+1</t>
  </si>
  <si>
    <t>=SUM(P5687:T5687)</t>
  </si>
  <si>
    <t>=IF($M5687&gt;=$P$18,U5687,0)</t>
  </si>
  <si>
    <t>=IF(AND($M5687&gt;=$Q$16,$M5687&lt;=$Q$18),U5687,0)</t>
  </si>
  <si>
    <t>=IF(AND($M5687&gt;=$R$16,$M5687&lt;=$R$18),U5687,0)</t>
  </si>
  <si>
    <t>=IF(AND($M5687&gt;=$S$16,$M5687&lt;=$S$18),U5687,0)</t>
  </si>
  <si>
    <t>=IF($M5687&lt;=$T$18,U5687,0)</t>
  </si>
  <si>
    <t>="""NAV Direct"",""CRONUS JetCorp USA"",""21"",""1"",""284417"""</t>
  </si>
  <si>
    <t>=E5686</t>
  </si>
  <si>
    <t>=StartDate-$M5688+1</t>
  </si>
  <si>
    <t>=SUM(P5688:T5688)</t>
  </si>
  <si>
    <t>=IF($M5688&gt;=$P$18,U5688,0)</t>
  </si>
  <si>
    <t>=IF(AND($M5688&gt;=$Q$16,$M5688&lt;=$Q$18),U5688,0)</t>
  </si>
  <si>
    <t>=IF(AND($M5688&gt;=$R$16,$M5688&lt;=$R$18),U5688,0)</t>
  </si>
  <si>
    <t>=IF(AND($M5688&gt;=$S$16,$M5688&lt;=$S$18),U5688,0)</t>
  </si>
  <si>
    <t>=IF($M5688&lt;=$T$18,U5688,0)</t>
  </si>
  <si>
    <t>="""NAV Direct"",""CRONUS JetCorp USA"",""21"",""1"",""284796"""</t>
  </si>
  <si>
    <t>=E5687</t>
  </si>
  <si>
    <t>=StartDate-$M5689+1</t>
  </si>
  <si>
    <t>=SUM(P5689:T5689)</t>
  </si>
  <si>
    <t>=IF($M5689&gt;=$P$18,U5689,0)</t>
  </si>
  <si>
    <t>=IF(AND($M5689&gt;=$Q$16,$M5689&lt;=$Q$18),U5689,0)</t>
  </si>
  <si>
    <t>=IF(AND($M5689&gt;=$R$16,$M5689&lt;=$R$18),U5689,0)</t>
  </si>
  <si>
    <t>=IF(AND($M5689&gt;=$S$16,$M5689&lt;=$S$18),U5689,0)</t>
  </si>
  <si>
    <t>=IF($M5689&lt;=$T$18,U5689,0)</t>
  </si>
  <si>
    <t>="""NAV Direct"",""CRONUS JetCorp USA"",""21"",""1"",""285337"""</t>
  </si>
  <si>
    <t>=E5688</t>
  </si>
  <si>
    <t>=StartDate-$M5690+1</t>
  </si>
  <si>
    <t>=SUM(P5690:T5690)</t>
  </si>
  <si>
    <t>=IF($M5690&gt;=$P$18,U5690,0)</t>
  </si>
  <si>
    <t>=IF(AND($M5690&gt;=$Q$16,$M5690&lt;=$Q$18),U5690,0)</t>
  </si>
  <si>
    <t>=IF(AND($M5690&gt;=$R$16,$M5690&lt;=$R$18),U5690,0)</t>
  </si>
  <si>
    <t>=IF(AND($M5690&gt;=$S$16,$M5690&lt;=$S$18),U5690,0)</t>
  </si>
  <si>
    <t>=IF($M5690&lt;=$T$18,U5690,0)</t>
  </si>
  <si>
    <t>="""NAV Direct"",""CRONUS JetCorp USA"",""21"",""1"",""288138"""</t>
  </si>
  <si>
    <t>=E5689</t>
  </si>
  <si>
    <t>=StartDate-$M5691+1</t>
  </si>
  <si>
    <t>=SUM(P5691:T5691)</t>
  </si>
  <si>
    <t>=IF($M5691&gt;=$P$18,U5691,0)</t>
  </si>
  <si>
    <t>=IF(AND($M5691&gt;=$Q$16,$M5691&lt;=$Q$18),U5691,0)</t>
  </si>
  <si>
    <t>=IF(AND($M5691&gt;=$R$16,$M5691&lt;=$R$18),U5691,0)</t>
  </si>
  <si>
    <t>=IF(AND($M5691&gt;=$S$16,$M5691&lt;=$S$18),U5691,0)</t>
  </si>
  <si>
    <t>=IF($M5691&lt;=$T$18,U5691,0)</t>
  </si>
  <si>
    <t>="""NAV Direct"",""CRONUS JetCorp USA"",""21"",""1"",""288329"""</t>
  </si>
  <si>
    <t>=E5690</t>
  </si>
  <si>
    <t>=StartDate-$M5692+1</t>
  </si>
  <si>
    <t>=SUM(P5692:T5692)</t>
  </si>
  <si>
    <t>=IF($M5692&gt;=$P$18,U5692,0)</t>
  </si>
  <si>
    <t>=IF(AND($M5692&gt;=$Q$16,$M5692&lt;=$Q$18),U5692,0)</t>
  </si>
  <si>
    <t>=IF(AND($M5692&gt;=$R$16,$M5692&lt;=$R$18),U5692,0)</t>
  </si>
  <si>
    <t>=IF(AND($M5692&gt;=$S$16,$M5692&lt;=$S$18),U5692,0)</t>
  </si>
  <si>
    <t>=IF($M5692&lt;=$T$18,U5692,0)</t>
  </si>
  <si>
    <t>="""NAV Direct"",""CRONUS JetCorp USA"",""21"",""1"",""288681"""</t>
  </si>
  <si>
    <t>=E5691</t>
  </si>
  <si>
    <t>=StartDate-$M5693+1</t>
  </si>
  <si>
    <t>=SUM(P5693:T5693)</t>
  </si>
  <si>
    <t>=IF($M5693&gt;=$P$18,U5693,0)</t>
  </si>
  <si>
    <t>=IF(AND($M5693&gt;=$Q$16,$M5693&lt;=$Q$18),U5693,0)</t>
  </si>
  <si>
    <t>=IF(AND($M5693&gt;=$R$16,$M5693&lt;=$R$18),U5693,0)</t>
  </si>
  <si>
    <t>=IF(AND($M5693&gt;=$S$16,$M5693&lt;=$S$18),U5693,0)</t>
  </si>
  <si>
    <t>=IF($M5693&lt;=$T$18,U5693,0)</t>
  </si>
  <si>
    <t>="""NAV Direct"",""CRONUS JetCorp USA"",""21"",""1"",""291618"""</t>
  </si>
  <si>
    <t>=E5692</t>
  </si>
  <si>
    <t>=StartDate-$M5694+1</t>
  </si>
  <si>
    <t>=SUM(P5694:T5694)</t>
  </si>
  <si>
    <t>=IF($M5694&gt;=$P$18,U5694,0)</t>
  </si>
  <si>
    <t>=IF(AND($M5694&gt;=$Q$16,$M5694&lt;=$Q$18),U5694,0)</t>
  </si>
  <si>
    <t>=IF(AND($M5694&gt;=$R$16,$M5694&lt;=$R$18),U5694,0)</t>
  </si>
  <si>
    <t>=IF(AND($M5694&gt;=$S$16,$M5694&lt;=$S$18),U5694,0)</t>
  </si>
  <si>
    <t>=IF($M5694&lt;=$T$18,U5694,0)</t>
  </si>
  <si>
    <t>="""NAV Direct"",""CRONUS JetCorp USA"",""21"",""1"",""291696"""</t>
  </si>
  <si>
    <t>=E5693</t>
  </si>
  <si>
    <t>=StartDate-$M5695+1</t>
  </si>
  <si>
    <t>=SUM(P5695:T5695)</t>
  </si>
  <si>
    <t>=IF($M5695&gt;=$P$18,U5695,0)</t>
  </si>
  <si>
    <t>=IF(AND($M5695&gt;=$Q$16,$M5695&lt;=$Q$18),U5695,0)</t>
  </si>
  <si>
    <t>=IF(AND($M5695&gt;=$R$16,$M5695&lt;=$R$18),U5695,0)</t>
  </si>
  <si>
    <t>=IF(AND($M5695&gt;=$S$16,$M5695&lt;=$S$18),U5695,0)</t>
  </si>
  <si>
    <t>=IF($M5695&lt;=$T$18,U5695,0)</t>
  </si>
  <si>
    <t>="""NAV Direct"",""CRONUS JetCorp USA"",""21"",""1"",""293033"""</t>
  </si>
  <si>
    <t>=E5694</t>
  </si>
  <si>
    <t>=StartDate-$M5696+1</t>
  </si>
  <si>
    <t>=SUM(P5696:T5696)</t>
  </si>
  <si>
    <t>=IF($M5696&gt;=$P$18,U5696,0)</t>
  </si>
  <si>
    <t>=IF(AND($M5696&gt;=$Q$16,$M5696&lt;=$Q$18),U5696,0)</t>
  </si>
  <si>
    <t>=IF(AND($M5696&gt;=$R$16,$M5696&lt;=$R$18),U5696,0)</t>
  </si>
  <si>
    <t>=IF(AND($M5696&gt;=$S$16,$M5696&lt;=$S$18),U5696,0)</t>
  </si>
  <si>
    <t>=IF($M5696&lt;=$T$18,U5696,0)</t>
  </si>
  <si>
    <t>="""NAV Direct"",""CRONUS JetCorp USA"",""21"",""1"",""293056"""</t>
  </si>
  <si>
    <t>=E5695</t>
  </si>
  <si>
    <t>=StartDate-$M5697+1</t>
  </si>
  <si>
    <t>=SUM(P5697:T5697)</t>
  </si>
  <si>
    <t>=IF($M5697&gt;=$P$18,U5697,0)</t>
  </si>
  <si>
    <t>=IF(AND($M5697&gt;=$Q$16,$M5697&lt;=$Q$18),U5697,0)</t>
  </si>
  <si>
    <t>=IF(AND($M5697&gt;=$R$16,$M5697&lt;=$R$18),U5697,0)</t>
  </si>
  <si>
    <t>=IF(AND($M5697&gt;=$S$16,$M5697&lt;=$S$18),U5697,0)</t>
  </si>
  <si>
    <t>=IF($M5697&lt;=$T$18,U5697,0)</t>
  </si>
  <si>
    <t>="""NAV Direct"",""CRONUS JetCorp USA"",""21"",""1"",""294452"""</t>
  </si>
  <si>
    <t>=E5696</t>
  </si>
  <si>
    <t>=StartDate-$M5698+1</t>
  </si>
  <si>
    <t>=SUM(P5698:T5698)</t>
  </si>
  <si>
    <t>=IF($M5698&gt;=$P$18,U5698,0)</t>
  </si>
  <si>
    <t>=IF(AND($M5698&gt;=$Q$16,$M5698&lt;=$Q$18),U5698,0)</t>
  </si>
  <si>
    <t>=IF(AND($M5698&gt;=$R$16,$M5698&lt;=$R$18),U5698,0)</t>
  </si>
  <si>
    <t>=IF(AND($M5698&gt;=$S$16,$M5698&lt;=$S$18),U5698,0)</t>
  </si>
  <si>
    <t>=IF($M5698&lt;=$T$18,U5698,0)</t>
  </si>
  <si>
    <t>="""NAV Direct"",""CRONUS JetCorp USA"",""21"",""1"",""294762"""</t>
  </si>
  <si>
    <t>=E5697</t>
  </si>
  <si>
    <t>=StartDate-$M5699+1</t>
  </si>
  <si>
    <t>=SUM(P5699:T5699)</t>
  </si>
  <si>
    <t>=IF($M5699&gt;=$P$18,U5699,0)</t>
  </si>
  <si>
    <t>=IF(AND($M5699&gt;=$Q$16,$M5699&lt;=$Q$18),U5699,0)</t>
  </si>
  <si>
    <t>=IF(AND($M5699&gt;=$R$16,$M5699&lt;=$R$18),U5699,0)</t>
  </si>
  <si>
    <t>=IF(AND($M5699&gt;=$S$16,$M5699&lt;=$S$18),U5699,0)</t>
  </si>
  <si>
    <t>=IF($M5699&lt;=$T$18,U5699,0)</t>
  </si>
  <si>
    <t>="""NAV Direct"",""CRONUS JetCorp USA"",""21"",""1"",""295777"""</t>
  </si>
  <si>
    <t>=E5698</t>
  </si>
  <si>
    <t>=StartDate-$M5700+1</t>
  </si>
  <si>
    <t>=SUM(P5700:T5700)</t>
  </si>
  <si>
    <t>=IF($M5700&gt;=$P$18,U5700,0)</t>
  </si>
  <si>
    <t>=IF(AND($M5700&gt;=$Q$16,$M5700&lt;=$Q$18),U5700,0)</t>
  </si>
  <si>
    <t>=IF(AND($M5700&gt;=$R$16,$M5700&lt;=$R$18),U5700,0)</t>
  </si>
  <si>
    <t>=IF(AND($M5700&gt;=$S$16,$M5700&lt;=$S$18),U5700,0)</t>
  </si>
  <si>
    <t>=IF($M5700&lt;=$T$18,U5700,0)</t>
  </si>
  <si>
    <t>="""NAV Direct"",""CRONUS JetCorp USA"",""21"",""1"",""296103"""</t>
  </si>
  <si>
    <t>=E5699</t>
  </si>
  <si>
    <t>=StartDate-$M5701+1</t>
  </si>
  <si>
    <t>=SUM(P5701:T5701)</t>
  </si>
  <si>
    <t>=IF($M5701&gt;=$P$18,U5701,0)</t>
  </si>
  <si>
    <t>=IF(AND($M5701&gt;=$Q$16,$M5701&lt;=$Q$18),U5701,0)</t>
  </si>
  <si>
    <t>=IF(AND($M5701&gt;=$R$16,$M5701&lt;=$R$18),U5701,0)</t>
  </si>
  <si>
    <t>=IF(AND($M5701&gt;=$S$16,$M5701&lt;=$S$18),U5701,0)</t>
  </si>
  <si>
    <t>=IF($M5701&lt;=$T$18,U5701,0)</t>
  </si>
  <si>
    <t>="""NAV Direct"",""CRONUS JetCorp USA"",""21"",""1"",""297096"""</t>
  </si>
  <si>
    <t>=E5700</t>
  </si>
  <si>
    <t>=StartDate-$M5702+1</t>
  </si>
  <si>
    <t>=SUM(P5702:T5702)</t>
  </si>
  <si>
    <t>=IF($M5702&gt;=$P$18,U5702,0)</t>
  </si>
  <si>
    <t>=IF(AND($M5702&gt;=$Q$16,$M5702&lt;=$Q$18),U5702,0)</t>
  </si>
  <si>
    <t>=IF(AND($M5702&gt;=$R$16,$M5702&lt;=$R$18),U5702,0)</t>
  </si>
  <si>
    <t>=IF(AND($M5702&gt;=$S$16,$M5702&lt;=$S$18),U5702,0)</t>
  </si>
  <si>
    <t>=IF($M5702&lt;=$T$18,U5702,0)</t>
  </si>
  <si>
    <t>="""NAV Direct"",""CRONUS JetCorp USA"",""21"",""1"",""297351"""</t>
  </si>
  <si>
    <t>=E5701</t>
  </si>
  <si>
    <t>=StartDate-$M5703+1</t>
  </si>
  <si>
    <t>=SUM(P5703:T5703)</t>
  </si>
  <si>
    <t>=IF($M5703&gt;=$P$18,U5703,0)</t>
  </si>
  <si>
    <t>=IF(AND($M5703&gt;=$Q$16,$M5703&lt;=$Q$18),U5703,0)</t>
  </si>
  <si>
    <t>=IF(AND($M5703&gt;=$R$16,$M5703&lt;=$R$18),U5703,0)</t>
  </si>
  <si>
    <t>=IF(AND($M5703&gt;=$S$16,$M5703&lt;=$S$18),U5703,0)</t>
  </si>
  <si>
    <t>=IF($M5703&lt;=$T$18,U5703,0)</t>
  </si>
  <si>
    <t>="""NAV Direct"",""CRONUS JetCorp USA"",""21"",""1"",""298105"""</t>
  </si>
  <si>
    <t>=E5702</t>
  </si>
  <si>
    <t>=StartDate-$M5704+1</t>
  </si>
  <si>
    <t>=SUM(P5704:T5704)</t>
  </si>
  <si>
    <t>=IF($M5704&gt;=$P$18,U5704,0)</t>
  </si>
  <si>
    <t>=IF(AND($M5704&gt;=$Q$16,$M5704&lt;=$Q$18),U5704,0)</t>
  </si>
  <si>
    <t>=IF(AND($M5704&gt;=$R$16,$M5704&lt;=$R$18),U5704,0)</t>
  </si>
  <si>
    <t>=IF(AND($M5704&gt;=$S$16,$M5704&lt;=$S$18),U5704,0)</t>
  </si>
  <si>
    <t>=IF($M5704&lt;=$T$18,U5704,0)</t>
  </si>
  <si>
    <t>="""NAV Direct"",""CRONUS JetCorp USA"",""21"",""1"",""298334"""</t>
  </si>
  <si>
    <t>=E5703</t>
  </si>
  <si>
    <t>=StartDate-$M5705+1</t>
  </si>
  <si>
    <t>=SUM(P5705:T5705)</t>
  </si>
  <si>
    <t>=IF($M5705&gt;=$P$18,U5705,0)</t>
  </si>
  <si>
    <t>=IF(AND($M5705&gt;=$Q$16,$M5705&lt;=$Q$18),U5705,0)</t>
  </si>
  <si>
    <t>=IF(AND($M5705&gt;=$R$16,$M5705&lt;=$R$18),U5705,0)</t>
  </si>
  <si>
    <t>=IF(AND($M5705&gt;=$S$16,$M5705&lt;=$S$18),U5705,0)</t>
  </si>
  <si>
    <t>=IF($M5705&lt;=$T$18,U5705,0)</t>
  </si>
  <si>
    <t>="""NAV Direct"",""CRONUS JetCorp USA"",""21"",""1"",""298669"""</t>
  </si>
  <si>
    <t>=E5704</t>
  </si>
  <si>
    <t>=StartDate-$M5706+1</t>
  </si>
  <si>
    <t>=SUM(P5706:T5706)</t>
  </si>
  <si>
    <t>=IF($M5706&gt;=$P$18,U5706,0)</t>
  </si>
  <si>
    <t>=IF(AND($M5706&gt;=$Q$16,$M5706&lt;=$Q$18),U5706,0)</t>
  </si>
  <si>
    <t>=IF(AND($M5706&gt;=$R$16,$M5706&lt;=$R$18),U5706,0)</t>
  </si>
  <si>
    <t>=IF(AND($M5706&gt;=$S$16,$M5706&lt;=$S$18),U5706,0)</t>
  </si>
  <si>
    <t>=IF($M5706&lt;=$T$18,U5706,0)</t>
  </si>
  <si>
    <t>="""NAV Direct"",""CRONUS JetCorp USA"",""21"",""1"",""298897"""</t>
  </si>
  <si>
    <t>=E5705</t>
  </si>
  <si>
    <t>=StartDate-$M5707+1</t>
  </si>
  <si>
    <t>=SUM(P5707:T5707)</t>
  </si>
  <si>
    <t>=IF($M5707&gt;=$P$18,U5707,0)</t>
  </si>
  <si>
    <t>=IF(AND($M5707&gt;=$Q$16,$M5707&lt;=$Q$18),U5707,0)</t>
  </si>
  <si>
    <t>=IF(AND($M5707&gt;=$R$16,$M5707&lt;=$R$18),U5707,0)</t>
  </si>
  <si>
    <t>=IF(AND($M5707&gt;=$S$16,$M5707&lt;=$S$18),U5707,0)</t>
  </si>
  <si>
    <t>=IF($M5707&lt;=$T$18,U5707,0)</t>
  </si>
  <si>
    <t>="""NAV Direct"",""CRONUS JetCorp USA"",""21"",""1"",""300011"""</t>
  </si>
  <si>
    <t>=E5706</t>
  </si>
  <si>
    <t>=StartDate-$M5708+1</t>
  </si>
  <si>
    <t>=SUM(P5708:T5708)</t>
  </si>
  <si>
    <t>=IF($M5708&gt;=$P$18,U5708,0)</t>
  </si>
  <si>
    <t>=IF(AND($M5708&gt;=$Q$16,$M5708&lt;=$Q$18),U5708,0)</t>
  </si>
  <si>
    <t>=IF(AND($M5708&gt;=$R$16,$M5708&lt;=$R$18),U5708,0)</t>
  </si>
  <si>
    <t>=IF(AND($M5708&gt;=$S$16,$M5708&lt;=$S$18),U5708,0)</t>
  </si>
  <si>
    <t>=IF($M5708&lt;=$T$18,U5708,0)</t>
  </si>
  <si>
    <t>="""NAV Direct"",""CRONUS JetCorp USA"",""21"",""1"",""300651"""</t>
  </si>
  <si>
    <t>=E5707</t>
  </si>
  <si>
    <t>=StartDate-$M5709+1</t>
  </si>
  <si>
    <t>=SUM(P5709:T5709)</t>
  </si>
  <si>
    <t>=IF($M5709&gt;=$P$18,U5709,0)</t>
  </si>
  <si>
    <t>=IF(AND($M5709&gt;=$Q$16,$M5709&lt;=$Q$18),U5709,0)</t>
  </si>
  <si>
    <t>=IF(AND($M5709&gt;=$R$16,$M5709&lt;=$R$18),U5709,0)</t>
  </si>
  <si>
    <t>=IF(AND($M5709&gt;=$S$16,$M5709&lt;=$S$18),U5709,0)</t>
  </si>
  <si>
    <t>=IF($M5709&lt;=$T$18,U5709,0)</t>
  </si>
  <si>
    <t>="""NAV Direct"",""CRONUS JetCorp USA"",""21"",""1"",""300711"""</t>
  </si>
  <si>
    <t>=E5708</t>
  </si>
  <si>
    <t>=StartDate-$M5710+1</t>
  </si>
  <si>
    <t>=SUM(P5710:T5710)</t>
  </si>
  <si>
    <t>=IF($M5710&gt;=$P$18,U5710,0)</t>
  </si>
  <si>
    <t>=IF(AND($M5710&gt;=$Q$16,$M5710&lt;=$Q$18),U5710,0)</t>
  </si>
  <si>
    <t>=IF(AND($M5710&gt;=$R$16,$M5710&lt;=$R$18),U5710,0)</t>
  </si>
  <si>
    <t>=IF(AND($M5710&gt;=$S$16,$M5710&lt;=$S$18),U5710,0)</t>
  </si>
  <si>
    <t>=IF($M5710&lt;=$T$18,U5710,0)</t>
  </si>
  <si>
    <t>="""NAV Direct"",""CRONUS JetCorp USA"",""21"",""1"",""301239"""</t>
  </si>
  <si>
    <t>=E5709</t>
  </si>
  <si>
    <t>=StartDate-$M5711+1</t>
  </si>
  <si>
    <t>=SUM(P5711:T5711)</t>
  </si>
  <si>
    <t>=IF($M5711&gt;=$P$18,U5711,0)</t>
  </si>
  <si>
    <t>=IF(AND($M5711&gt;=$Q$16,$M5711&lt;=$Q$18),U5711,0)</t>
  </si>
  <si>
    <t>=IF(AND($M5711&gt;=$R$16,$M5711&lt;=$R$18),U5711,0)</t>
  </si>
  <si>
    <t>=IF(AND($M5711&gt;=$S$16,$M5711&lt;=$S$18),U5711,0)</t>
  </si>
  <si>
    <t>=IF($M5711&lt;=$T$18,U5711,0)</t>
  </si>
  <si>
    <t>="""NAV Direct"",""CRONUS JetCorp USA"",""21"",""1"",""301766"""</t>
  </si>
  <si>
    <t>=E5710</t>
  </si>
  <si>
    <t>=StartDate-$M5712+1</t>
  </si>
  <si>
    <t>=SUM(P5712:T5712)</t>
  </si>
  <si>
    <t>=IF($M5712&gt;=$P$18,U5712,0)</t>
  </si>
  <si>
    <t>=IF(AND($M5712&gt;=$Q$16,$M5712&lt;=$Q$18),U5712,0)</t>
  </si>
  <si>
    <t>=IF(AND($M5712&gt;=$R$16,$M5712&lt;=$R$18),U5712,0)</t>
  </si>
  <si>
    <t>=IF(AND($M5712&gt;=$S$16,$M5712&lt;=$S$18),U5712,0)</t>
  </si>
  <si>
    <t>=IF($M5712&lt;=$T$18,U5712,0)</t>
  </si>
  <si>
    <t>="""NAV Direct"",""CRONUS JetCorp USA"",""21"",""1"",""302166"""</t>
  </si>
  <si>
    <t>=E5711</t>
  </si>
  <si>
    <t>=StartDate-$M5713+1</t>
  </si>
  <si>
    <t>=SUM(P5713:T5713)</t>
  </si>
  <si>
    <t>=IF($M5713&gt;=$P$18,U5713,0)</t>
  </si>
  <si>
    <t>=IF(AND($M5713&gt;=$Q$16,$M5713&lt;=$Q$18),U5713,0)</t>
  </si>
  <si>
    <t>=IF(AND($M5713&gt;=$R$16,$M5713&lt;=$R$18),U5713,0)</t>
  </si>
  <si>
    <t>=IF(AND($M5713&gt;=$S$16,$M5713&lt;=$S$18),U5713,0)</t>
  </si>
  <si>
    <t>=IF($M5713&lt;=$T$18,U5713,0)</t>
  </si>
  <si>
    <t>="""NAV Direct"",""CRONUS JetCorp USA"",""21"",""1"",""302244"""</t>
  </si>
  <si>
    <t>=E5712</t>
  </si>
  <si>
    <t>=StartDate-$M5714+1</t>
  </si>
  <si>
    <t>=SUM(P5714:T5714)</t>
  </si>
  <si>
    <t>=IF($M5714&gt;=$P$18,U5714,0)</t>
  </si>
  <si>
    <t>=IF(AND($M5714&gt;=$Q$16,$M5714&lt;=$Q$18),U5714,0)</t>
  </si>
  <si>
    <t>=IF(AND($M5714&gt;=$R$16,$M5714&lt;=$R$18),U5714,0)</t>
  </si>
  <si>
    <t>=IF(AND($M5714&gt;=$S$16,$M5714&lt;=$S$18),U5714,0)</t>
  </si>
  <si>
    <t>=IF($M5714&lt;=$T$18,U5714,0)</t>
  </si>
  <si>
    <t>="""NAV Direct"",""CRONUS JetCorp USA"",""21"",""1"",""303000"""</t>
  </si>
  <si>
    <t>=E5713</t>
  </si>
  <si>
    <t>=StartDate-$M5715+1</t>
  </si>
  <si>
    <t>=SUM(P5715:T5715)</t>
  </si>
  <si>
    <t>=IF($M5715&gt;=$P$18,U5715,0)</t>
  </si>
  <si>
    <t>=IF(AND($M5715&gt;=$Q$16,$M5715&lt;=$Q$18),U5715,0)</t>
  </si>
  <si>
    <t>=IF(AND($M5715&gt;=$R$16,$M5715&lt;=$R$18),U5715,0)</t>
  </si>
  <si>
    <t>=IF(AND($M5715&gt;=$S$16,$M5715&lt;=$S$18),U5715,0)</t>
  </si>
  <si>
    <t>=IF($M5715&lt;=$T$18,U5715,0)</t>
  </si>
  <si>
    <t>="""NAV Direct"",""CRONUS JetCorp USA"",""21"",""1"",""303186"""</t>
  </si>
  <si>
    <t>=E5714</t>
  </si>
  <si>
    <t>=StartDate-$M5716+1</t>
  </si>
  <si>
    <t>=SUM(P5716:T5716)</t>
  </si>
  <si>
    <t>=IF($M5716&gt;=$P$18,U5716,0)</t>
  </si>
  <si>
    <t>=IF(AND($M5716&gt;=$Q$16,$M5716&lt;=$Q$18),U5716,0)</t>
  </si>
  <si>
    <t>=IF(AND($M5716&gt;=$R$16,$M5716&lt;=$R$18),U5716,0)</t>
  </si>
  <si>
    <t>=IF(AND($M5716&gt;=$S$16,$M5716&lt;=$S$18),U5716,0)</t>
  </si>
  <si>
    <t>=IF($M5716&lt;=$T$18,U5716,0)</t>
  </si>
  <si>
    <t>="""NAV Direct"",""CRONUS JetCorp USA"",""21"",""1"",""303401"""</t>
  </si>
  <si>
    <t>=E5715</t>
  </si>
  <si>
    <t>=StartDate-$M5717+1</t>
  </si>
  <si>
    <t>=SUM(P5717:T5717)</t>
  </si>
  <si>
    <t>=IF($M5717&gt;=$P$18,U5717,0)</t>
  </si>
  <si>
    <t>=IF(AND($M5717&gt;=$Q$16,$M5717&lt;=$Q$18),U5717,0)</t>
  </si>
  <si>
    <t>=IF(AND($M5717&gt;=$R$16,$M5717&lt;=$R$18),U5717,0)</t>
  </si>
  <si>
    <t>=IF(AND($M5717&gt;=$S$16,$M5717&lt;=$S$18),U5717,0)</t>
  </si>
  <si>
    <t>=IF($M5717&lt;=$T$18,U5717,0)</t>
  </si>
  <si>
    <t>="""NAV Direct"",""CRONUS JetCorp USA"",""21"",""1"",""303788"""</t>
  </si>
  <si>
    <t>=E5716</t>
  </si>
  <si>
    <t>=StartDate-$M5718+1</t>
  </si>
  <si>
    <t>=SUM(P5718:T5718)</t>
  </si>
  <si>
    <t>=IF($M5718&gt;=$P$18,U5718,0)</t>
  </si>
  <si>
    <t>=IF(AND($M5718&gt;=$Q$16,$M5718&lt;=$Q$18),U5718,0)</t>
  </si>
  <si>
    <t>=IF(AND($M5718&gt;=$R$16,$M5718&lt;=$R$18),U5718,0)</t>
  </si>
  <si>
    <t>=IF(AND($M5718&gt;=$S$16,$M5718&lt;=$S$18),U5718,0)</t>
  </si>
  <si>
    <t>=IF($M5718&lt;=$T$18,U5718,0)</t>
  </si>
  <si>
    <t>="""NAV Direct"",""CRONUS JetCorp USA"",""18"",""1"",""C100503"""</t>
  </si>
  <si>
    <t>=H5721</t>
  </si>
  <si>
    <t>=NF($C5721,"1 No.")</t>
  </si>
  <si>
    <t>=NF($C5721,"1 No.")&amp;"  -  "&amp;NF($C5721,"2 Name")</t>
  </si>
  <si>
    <t>=IFERROR(O5721/NF(C5721,"Credit Limit (LCY)"),"")</t>
  </si>
  <si>
    <t>=SUBTOTAL(3,L5722:L5749)</t>
  </si>
  <si>
    <t>=SUBTOTAL(9,O5722:O5749)</t>
  </si>
  <si>
    <t>=SUBTOTAL(9,P5722:P5749)</t>
  </si>
  <si>
    <t>=SUBTOTAL(9,Q5722:Q5749)</t>
  </si>
  <si>
    <t>=SUBTOTAL(9,R5722:R5749)</t>
  </si>
  <si>
    <t>=SUBTOTAL(9,S5722:S5749)</t>
  </si>
  <si>
    <t>=SUBTOTAL(9,T5722:T5749)</t>
  </si>
  <si>
    <t>=C5721</t>
  </si>
  <si>
    <t>=E5721</t>
  </si>
  <si>
    <t>="Contact: "&amp;NF($C5722,"8 Contact")</t>
  </si>
  <si>
    <t>=C5722</t>
  </si>
  <si>
    <t>=E5722</t>
  </si>
  <si>
    <t>=NF($C5723,"102 E-Mail")</t>
  </si>
  <si>
    <t>=NL("Rows","21 Cust. Ledger Entry",,"3 Customer No.","@@"&amp;$E5725,"16 Remaining Amt. (LCY)","&lt;&gt;0")</t>
  </si>
  <si>
    <t>=E5723</t>
  </si>
  <si>
    <t>=StartDate-$M5725+1</t>
  </si>
  <si>
    <t>=SUM(P5725:T5725)</t>
  </si>
  <si>
    <t>=IF($M5725&gt;=$P$18,U5725,0)</t>
  </si>
  <si>
    <t>=IF(AND($M5725&gt;=$Q$16,$M5725&lt;=$Q$18),U5725,0)</t>
  </si>
  <si>
    <t>=IF(AND($M5725&gt;=$R$16,$M5725&lt;=$R$18),U5725,0)</t>
  </si>
  <si>
    <t>=IF(AND($M5725&gt;=$S$16,$M5725&lt;=$S$18),U5725,0)</t>
  </si>
  <si>
    <t>=IF($M5725&lt;=$T$18,U5725,0)</t>
  </si>
  <si>
    <t>="""NAV Direct"",""CRONUS JetCorp USA"",""21"",""1"",""282221"""</t>
  </si>
  <si>
    <t>=E5724</t>
  </si>
  <si>
    <t>=StartDate-$M5726+1</t>
  </si>
  <si>
    <t>=SUM(P5726:T5726)</t>
  </si>
  <si>
    <t>=IF($M5726&gt;=$P$18,U5726,0)</t>
  </si>
  <si>
    <t>=IF(AND($M5726&gt;=$Q$16,$M5726&lt;=$Q$18),U5726,0)</t>
  </si>
  <si>
    <t>=IF(AND($M5726&gt;=$R$16,$M5726&lt;=$R$18),U5726,0)</t>
  </si>
  <si>
    <t>=IF(AND($M5726&gt;=$S$16,$M5726&lt;=$S$18),U5726,0)</t>
  </si>
  <si>
    <t>=IF($M5726&lt;=$T$18,U5726,0)</t>
  </si>
  <si>
    <t>="""NAV Direct"",""CRONUS JetCorp USA"",""21"",""1"",""282454"""</t>
  </si>
  <si>
    <t>=E5725</t>
  </si>
  <si>
    <t>=StartDate-$M5727+1</t>
  </si>
  <si>
    <t>=SUM(P5727:T5727)</t>
  </si>
  <si>
    <t>=IF($M5727&gt;=$P$18,U5727,0)</t>
  </si>
  <si>
    <t>=IF(AND($M5727&gt;=$Q$16,$M5727&lt;=$Q$18),U5727,0)</t>
  </si>
  <si>
    <t>=IF(AND($M5727&gt;=$R$16,$M5727&lt;=$R$18),U5727,0)</t>
  </si>
  <si>
    <t>=IF(AND($M5727&gt;=$S$16,$M5727&lt;=$S$18),U5727,0)</t>
  </si>
  <si>
    <t>=IF($M5727&lt;=$T$18,U5727,0)</t>
  </si>
  <si>
    <t>="""NAV Direct"",""CRONUS JetCorp USA"",""21"",""1"",""283366"""</t>
  </si>
  <si>
    <t>=E5726</t>
  </si>
  <si>
    <t>=StartDate-$M5728+1</t>
  </si>
  <si>
    <t>=SUM(P5728:T5728)</t>
  </si>
  <si>
    <t>=IF($M5728&gt;=$P$18,U5728,0)</t>
  </si>
  <si>
    <t>=IF(AND($M5728&gt;=$Q$16,$M5728&lt;=$Q$18),U5728,0)</t>
  </si>
  <si>
    <t>=IF(AND($M5728&gt;=$R$16,$M5728&lt;=$R$18),U5728,0)</t>
  </si>
  <si>
    <t>=IF(AND($M5728&gt;=$S$16,$M5728&lt;=$S$18),U5728,0)</t>
  </si>
  <si>
    <t>=IF($M5728&lt;=$T$18,U5728,0)</t>
  </si>
  <si>
    <t>="""NAV Direct"",""CRONUS JetCorp USA"",""21"",""1"",""284390"""</t>
  </si>
  <si>
    <t>=E5727</t>
  </si>
  <si>
    <t>=StartDate-$M5729+1</t>
  </si>
  <si>
    <t>=SUM(P5729:T5729)</t>
  </si>
  <si>
    <t>=IF($M5729&gt;=$P$18,U5729,0)</t>
  </si>
  <si>
    <t>=IF(AND($M5729&gt;=$Q$16,$M5729&lt;=$Q$18),U5729,0)</t>
  </si>
  <si>
    <t>=IF(AND($M5729&gt;=$R$16,$M5729&lt;=$R$18),U5729,0)</t>
  </si>
  <si>
    <t>=IF(AND($M5729&gt;=$S$16,$M5729&lt;=$S$18),U5729,0)</t>
  </si>
  <si>
    <t>=IF($M5729&lt;=$T$18,U5729,0)</t>
  </si>
  <si>
    <t>="""NAV Direct"",""CRONUS JetCorp USA"",""21"",""1"",""286730"""</t>
  </si>
  <si>
    <t>=E5728</t>
  </si>
  <si>
    <t>=StartDate-$M5730+1</t>
  </si>
  <si>
    <t>=SUM(P5730:T5730)</t>
  </si>
  <si>
    <t>=IF($M5730&gt;=$P$18,U5730,0)</t>
  </si>
  <si>
    <t>=IF(AND($M5730&gt;=$Q$16,$M5730&lt;=$Q$18),U5730,0)</t>
  </si>
  <si>
    <t>=IF(AND($M5730&gt;=$R$16,$M5730&lt;=$R$18),U5730,0)</t>
  </si>
  <si>
    <t>=IF(AND($M5730&gt;=$S$16,$M5730&lt;=$S$18),U5730,0)</t>
  </si>
  <si>
    <t>=IF($M5730&lt;=$T$18,U5730,0)</t>
  </si>
  <si>
    <t>="""NAV Direct"",""CRONUS JetCorp USA"",""21"",""1"",""287634"""</t>
  </si>
  <si>
    <t>=E5729</t>
  </si>
  <si>
    <t>=StartDate-$M5731+1</t>
  </si>
  <si>
    <t>=SUM(P5731:T5731)</t>
  </si>
  <si>
    <t>=IF($M5731&gt;=$P$18,U5731,0)</t>
  </si>
  <si>
    <t>=IF(AND($M5731&gt;=$Q$16,$M5731&lt;=$Q$18),U5731,0)</t>
  </si>
  <si>
    <t>=IF(AND($M5731&gt;=$R$16,$M5731&lt;=$R$18),U5731,0)</t>
  </si>
  <si>
    <t>=IF(AND($M5731&gt;=$S$16,$M5731&lt;=$S$18),U5731,0)</t>
  </si>
  <si>
    <t>=IF($M5731&lt;=$T$18,U5731,0)</t>
  </si>
  <si>
    <t>="""NAV Direct"",""CRONUS JetCorp USA"",""21"",""1"",""290034"""</t>
  </si>
  <si>
    <t>=E5730</t>
  </si>
  <si>
    <t>=StartDate-$M5732+1</t>
  </si>
  <si>
    <t>=SUM(P5732:T5732)</t>
  </si>
  <si>
    <t>=IF($M5732&gt;=$P$18,U5732,0)</t>
  </si>
  <si>
    <t>=IF(AND($M5732&gt;=$Q$16,$M5732&lt;=$Q$18),U5732,0)</t>
  </si>
  <si>
    <t>=IF(AND($M5732&gt;=$R$16,$M5732&lt;=$R$18),U5732,0)</t>
  </si>
  <si>
    <t>=IF(AND($M5732&gt;=$S$16,$M5732&lt;=$S$18),U5732,0)</t>
  </si>
  <si>
    <t>=IF($M5732&lt;=$T$18,U5732,0)</t>
  </si>
  <si>
    <t>="""NAV Direct"",""CRONUS JetCorp USA"",""21"",""1"",""290381"""</t>
  </si>
  <si>
    <t>=E5731</t>
  </si>
  <si>
    <t>=StartDate-$M5733+1</t>
  </si>
  <si>
    <t>=SUM(P5733:T5733)</t>
  </si>
  <si>
    <t>=IF($M5733&gt;=$P$18,U5733,0)</t>
  </si>
  <si>
    <t>=IF(AND($M5733&gt;=$Q$16,$M5733&lt;=$Q$18),U5733,0)</t>
  </si>
  <si>
    <t>=IF(AND($M5733&gt;=$R$16,$M5733&lt;=$R$18),U5733,0)</t>
  </si>
  <si>
    <t>=IF(AND($M5733&gt;=$S$16,$M5733&lt;=$S$18),U5733,0)</t>
  </si>
  <si>
    <t>=IF($M5733&lt;=$T$18,U5733,0)</t>
  </si>
  <si>
    <t>="""NAV Direct"",""CRONUS JetCorp USA"",""21"",""1"",""290792"""</t>
  </si>
  <si>
    <t>=E5732</t>
  </si>
  <si>
    <t>=StartDate-$M5734+1</t>
  </si>
  <si>
    <t>=SUM(P5734:T5734)</t>
  </si>
  <si>
    <t>=IF($M5734&gt;=$P$18,U5734,0)</t>
  </si>
  <si>
    <t>=IF(AND($M5734&gt;=$Q$16,$M5734&lt;=$Q$18),U5734,0)</t>
  </si>
  <si>
    <t>=IF(AND($M5734&gt;=$R$16,$M5734&lt;=$R$18),U5734,0)</t>
  </si>
  <si>
    <t>=IF(AND($M5734&gt;=$S$16,$M5734&lt;=$S$18),U5734,0)</t>
  </si>
  <si>
    <t>=IF($M5734&lt;=$T$18,U5734,0)</t>
  </si>
  <si>
    <t>="""NAV Direct"",""CRONUS JetCorp USA"",""21"",""1"",""291492"""</t>
  </si>
  <si>
    <t>=E5733</t>
  </si>
  <si>
    <t>=StartDate-$M5735+1</t>
  </si>
  <si>
    <t>=SUM(P5735:T5735)</t>
  </si>
  <si>
    <t>=IF($M5735&gt;=$P$18,U5735,0)</t>
  </si>
  <si>
    <t>=IF(AND($M5735&gt;=$Q$16,$M5735&lt;=$Q$18),U5735,0)</t>
  </si>
  <si>
    <t>=IF(AND($M5735&gt;=$R$16,$M5735&lt;=$R$18),U5735,0)</t>
  </si>
  <si>
    <t>=IF(AND($M5735&gt;=$S$16,$M5735&lt;=$S$18),U5735,0)</t>
  </si>
  <si>
    <t>=IF($M5735&lt;=$T$18,U5735,0)</t>
  </si>
  <si>
    <t>="""NAV Direct"",""CRONUS JetCorp USA"",""21"",""1"",""292016"""</t>
  </si>
  <si>
    <t>=E5734</t>
  </si>
  <si>
    <t>=StartDate-$M5736+1</t>
  </si>
  <si>
    <t>=SUM(P5736:T5736)</t>
  </si>
  <si>
    <t>=IF($M5736&gt;=$P$18,U5736,0)</t>
  </si>
  <si>
    <t>=IF(AND($M5736&gt;=$Q$16,$M5736&lt;=$Q$18),U5736,0)</t>
  </si>
  <si>
    <t>=IF(AND($M5736&gt;=$R$16,$M5736&lt;=$R$18),U5736,0)</t>
  </si>
  <si>
    <t>=IF(AND($M5736&gt;=$S$16,$M5736&lt;=$S$18),U5736,0)</t>
  </si>
  <si>
    <t>=IF($M5736&lt;=$T$18,U5736,0)</t>
  </si>
  <si>
    <t>="""NAV Direct"",""CRONUS JetCorp USA"",""21"",""1"",""293396"""</t>
  </si>
  <si>
    <t>=E5735</t>
  </si>
  <si>
    <t>=StartDate-$M5737+1</t>
  </si>
  <si>
    <t>=SUM(P5737:T5737)</t>
  </si>
  <si>
    <t>=IF($M5737&gt;=$P$18,U5737,0)</t>
  </si>
  <si>
    <t>=IF(AND($M5737&gt;=$Q$16,$M5737&lt;=$Q$18),U5737,0)</t>
  </si>
  <si>
    <t>=IF(AND($M5737&gt;=$R$16,$M5737&lt;=$R$18),U5737,0)</t>
  </si>
  <si>
    <t>=IF(AND($M5737&gt;=$S$16,$M5737&lt;=$S$18),U5737,0)</t>
  </si>
  <si>
    <t>=IF($M5737&lt;=$T$18,U5737,0)</t>
  </si>
  <si>
    <t>="""NAV Direct"",""CRONUS JetCorp USA"",""21"",""1"",""294334"""</t>
  </si>
  <si>
    <t>=E5736</t>
  </si>
  <si>
    <t>=StartDate-$M5738+1</t>
  </si>
  <si>
    <t>=SUM(P5738:T5738)</t>
  </si>
  <si>
    <t>=IF($M5738&gt;=$P$18,U5738,0)</t>
  </si>
  <si>
    <t>=IF(AND($M5738&gt;=$Q$16,$M5738&lt;=$Q$18),U5738,0)</t>
  </si>
  <si>
    <t>=IF(AND($M5738&gt;=$R$16,$M5738&lt;=$R$18),U5738,0)</t>
  </si>
  <si>
    <t>=IF(AND($M5738&gt;=$S$16,$M5738&lt;=$S$18),U5738,0)</t>
  </si>
  <si>
    <t>=IF($M5738&lt;=$T$18,U5738,0)</t>
  </si>
  <si>
    <t>="""NAV Direct"",""CRONUS JetCorp USA"",""21"",""1"",""294654"""</t>
  </si>
  <si>
    <t>=E5737</t>
  </si>
  <si>
    <t>=StartDate-$M5739+1</t>
  </si>
  <si>
    <t>=SUM(P5739:T5739)</t>
  </si>
  <si>
    <t>=IF($M5739&gt;=$P$18,U5739,0)</t>
  </si>
  <si>
    <t>=IF(AND($M5739&gt;=$Q$16,$M5739&lt;=$Q$18),U5739,0)</t>
  </si>
  <si>
    <t>=IF(AND($M5739&gt;=$R$16,$M5739&lt;=$R$18),U5739,0)</t>
  </si>
  <si>
    <t>=IF(AND($M5739&gt;=$S$16,$M5739&lt;=$S$18),U5739,0)</t>
  </si>
  <si>
    <t>=IF($M5739&lt;=$T$18,U5739,0)</t>
  </si>
  <si>
    <t>="""NAV Direct"",""CRONUS JetCorp USA"",""21"",""1"",""295407"""</t>
  </si>
  <si>
    <t>=E5738</t>
  </si>
  <si>
    <t>=StartDate-$M5740+1</t>
  </si>
  <si>
    <t>=SUM(P5740:T5740)</t>
  </si>
  <si>
    <t>=IF($M5740&gt;=$P$18,U5740,0)</t>
  </si>
  <si>
    <t>=IF(AND($M5740&gt;=$Q$16,$M5740&lt;=$Q$18),U5740,0)</t>
  </si>
  <si>
    <t>=IF(AND($M5740&gt;=$R$16,$M5740&lt;=$R$18),U5740,0)</t>
  </si>
  <si>
    <t>=IF(AND($M5740&gt;=$S$16,$M5740&lt;=$S$18),U5740,0)</t>
  </si>
  <si>
    <t>=IF($M5740&lt;=$T$18,U5740,0)</t>
  </si>
  <si>
    <t>="""NAV Direct"",""CRONUS JetCorp USA"",""21"",""1"",""296059"""</t>
  </si>
  <si>
    <t>=E5739</t>
  </si>
  <si>
    <t>=StartDate-$M5741+1</t>
  </si>
  <si>
    <t>=SUM(P5741:T5741)</t>
  </si>
  <si>
    <t>=IF($M5741&gt;=$P$18,U5741,0)</t>
  </si>
  <si>
    <t>=IF(AND($M5741&gt;=$Q$16,$M5741&lt;=$Q$18),U5741,0)</t>
  </si>
  <si>
    <t>=IF(AND($M5741&gt;=$R$16,$M5741&lt;=$R$18),U5741,0)</t>
  </si>
  <si>
    <t>=IF(AND($M5741&gt;=$S$16,$M5741&lt;=$S$18),U5741,0)</t>
  </si>
  <si>
    <t>=IF($M5741&lt;=$T$18,U5741,0)</t>
  </si>
  <si>
    <t>="""NAV Direct"",""CRONUS JetCorp USA"",""21"",""1"",""296197"""</t>
  </si>
  <si>
    <t>=E5740</t>
  </si>
  <si>
    <t>=StartDate-$M5742+1</t>
  </si>
  <si>
    <t>=SUM(P5742:T5742)</t>
  </si>
  <si>
    <t>=IF($M5742&gt;=$P$18,U5742,0)</t>
  </si>
  <si>
    <t>=IF(AND($M5742&gt;=$Q$16,$M5742&lt;=$Q$18),U5742,0)</t>
  </si>
  <si>
    <t>=IF(AND($M5742&gt;=$R$16,$M5742&lt;=$R$18),U5742,0)</t>
  </si>
  <si>
    <t>=IF(AND($M5742&gt;=$S$16,$M5742&lt;=$S$18),U5742,0)</t>
  </si>
  <si>
    <t>=IF($M5742&lt;=$T$18,U5742,0)</t>
  </si>
  <si>
    <t>="""NAV Direct"",""CRONUS JetCorp USA"",""21"",""1"",""296474"""</t>
  </si>
  <si>
    <t>=E5741</t>
  </si>
  <si>
    <t>=StartDate-$M5743+1</t>
  </si>
  <si>
    <t>=SUM(P5743:T5743)</t>
  </si>
  <si>
    <t>=IF($M5743&gt;=$P$18,U5743,0)</t>
  </si>
  <si>
    <t>=IF(AND($M5743&gt;=$Q$16,$M5743&lt;=$Q$18),U5743,0)</t>
  </si>
  <si>
    <t>=IF(AND($M5743&gt;=$R$16,$M5743&lt;=$R$18),U5743,0)</t>
  </si>
  <si>
    <t>=IF(AND($M5743&gt;=$S$16,$M5743&lt;=$S$18),U5743,0)</t>
  </si>
  <si>
    <t>=IF($M5743&lt;=$T$18,U5743,0)</t>
  </si>
  <si>
    <t>="""NAV Direct"",""CRONUS JetCorp USA"",""21"",""1"",""298297"""</t>
  </si>
  <si>
    <t>=E5742</t>
  </si>
  <si>
    <t>=StartDate-$M5744+1</t>
  </si>
  <si>
    <t>=SUM(P5744:T5744)</t>
  </si>
  <si>
    <t>=IF($M5744&gt;=$P$18,U5744,0)</t>
  </si>
  <si>
    <t>=IF(AND($M5744&gt;=$Q$16,$M5744&lt;=$Q$18),U5744,0)</t>
  </si>
  <si>
    <t>=IF(AND($M5744&gt;=$R$16,$M5744&lt;=$R$18),U5744,0)</t>
  </si>
  <si>
    <t>=IF(AND($M5744&gt;=$S$16,$M5744&lt;=$S$18),U5744,0)</t>
  </si>
  <si>
    <t>=IF($M5744&lt;=$T$18,U5744,0)</t>
  </si>
  <si>
    <t>="""NAV Direct"",""CRONUS JetCorp USA"",""21"",""1"",""300143"""</t>
  </si>
  <si>
    <t>=E5743</t>
  </si>
  <si>
    <t>=StartDate-$M5745+1</t>
  </si>
  <si>
    <t>=SUM(P5745:T5745)</t>
  </si>
  <si>
    <t>=IF($M5745&gt;=$P$18,U5745,0)</t>
  </si>
  <si>
    <t>=IF(AND($M5745&gt;=$Q$16,$M5745&lt;=$Q$18),U5745,0)</t>
  </si>
  <si>
    <t>=IF(AND($M5745&gt;=$R$16,$M5745&lt;=$R$18),U5745,0)</t>
  </si>
  <si>
    <t>=IF(AND($M5745&gt;=$S$16,$M5745&lt;=$S$18),U5745,0)</t>
  </si>
  <si>
    <t>=IF($M5745&lt;=$T$18,U5745,0)</t>
  </si>
  <si>
    <t>="""NAV Direct"",""CRONUS JetCorp USA"",""21"",""1"",""301171"""</t>
  </si>
  <si>
    <t>=E5744</t>
  </si>
  <si>
    <t>=StartDate-$M5746+1</t>
  </si>
  <si>
    <t>=SUM(P5746:T5746)</t>
  </si>
  <si>
    <t>=IF($M5746&gt;=$P$18,U5746,0)</t>
  </si>
  <si>
    <t>=IF(AND($M5746&gt;=$Q$16,$M5746&lt;=$Q$18),U5746,0)</t>
  </si>
  <si>
    <t>=IF(AND($M5746&gt;=$R$16,$M5746&lt;=$R$18),U5746,0)</t>
  </si>
  <si>
    <t>=IF(AND($M5746&gt;=$S$16,$M5746&lt;=$S$18),U5746,0)</t>
  </si>
  <si>
    <t>=IF($M5746&lt;=$T$18,U5746,0)</t>
  </si>
  <si>
    <t>="""NAV Direct"",""CRONUS JetCorp USA"",""21"",""1"",""302930"""</t>
  </si>
  <si>
    <t>=E5745</t>
  </si>
  <si>
    <t>=StartDate-$M5747+1</t>
  </si>
  <si>
    <t>=SUM(P5747:T5747)</t>
  </si>
  <si>
    <t>=IF($M5747&gt;=$P$18,U5747,0)</t>
  </si>
  <si>
    <t>=IF(AND($M5747&gt;=$Q$16,$M5747&lt;=$Q$18),U5747,0)</t>
  </si>
  <si>
    <t>=IF(AND($M5747&gt;=$R$16,$M5747&lt;=$R$18),U5747,0)</t>
  </si>
  <si>
    <t>=IF(AND($M5747&gt;=$S$16,$M5747&lt;=$S$18),U5747,0)</t>
  </si>
  <si>
    <t>=IF($M5747&lt;=$T$18,U5747,0)</t>
  </si>
  <si>
    <t>="""NAV Direct"",""CRONUS JetCorp USA"",""21"",""1"",""303564"""</t>
  </si>
  <si>
    <t>=E5746</t>
  </si>
  <si>
    <t>=StartDate-$M5748+1</t>
  </si>
  <si>
    <t>=SUM(P5748:T5748)</t>
  </si>
  <si>
    <t>=IF($M5748&gt;=$P$18,U5748,0)</t>
  </si>
  <si>
    <t>=IF(AND($M5748&gt;=$Q$16,$M5748&lt;=$Q$18),U5748,0)</t>
  </si>
  <si>
    <t>=IF(AND($M5748&gt;=$R$16,$M5748&lt;=$R$18),U5748,0)</t>
  </si>
  <si>
    <t>=IF(AND($M5748&gt;=$S$16,$M5748&lt;=$S$18),U5748,0)</t>
  </si>
  <si>
    <t>=IF($M5748&lt;=$T$18,U5748,0)</t>
  </si>
  <si>
    <t>="""NAV Direct"",""CRONUS JetCorp USA"",""18"",""1"",""C100504"""</t>
  </si>
  <si>
    <t>=H5751</t>
  </si>
  <si>
    <t>=NF($C5751,"1 No.")</t>
  </si>
  <si>
    <t>=NF($C5751,"1 No.")&amp;"  -  "&amp;NF($C5751,"2 Name")</t>
  </si>
  <si>
    <t>=IFERROR(O5751/NF(C5751,"Credit Limit (LCY)"),"")</t>
  </si>
  <si>
    <t>=SUBTOTAL(3,L5752:L5776)</t>
  </si>
  <si>
    <t>=SUBTOTAL(9,O5752:O5776)</t>
  </si>
  <si>
    <t>=SUBTOTAL(9,P5752:P5776)</t>
  </si>
  <si>
    <t>=SUBTOTAL(9,Q5752:Q5776)</t>
  </si>
  <si>
    <t>=SUBTOTAL(9,R5752:R5776)</t>
  </si>
  <si>
    <t>=SUBTOTAL(9,S5752:S5776)</t>
  </si>
  <si>
    <t>=SUBTOTAL(9,T5752:T5776)</t>
  </si>
  <si>
    <t>=C5751</t>
  </si>
  <si>
    <t>=E5751</t>
  </si>
  <si>
    <t>="Contact: "&amp;NF($C5752,"8 Contact")</t>
  </si>
  <si>
    <t>=C5752</t>
  </si>
  <si>
    <t>=E5752</t>
  </si>
  <si>
    <t>=NF($C5753,"102 E-Mail")</t>
  </si>
  <si>
    <t>=NL("Rows","21 Cust. Ledger Entry",,"3 Customer No.","@@"&amp;$E5755,"16 Remaining Amt. (LCY)","&lt;&gt;0")</t>
  </si>
  <si>
    <t>=E5753</t>
  </si>
  <si>
    <t>=StartDate-$M5755+1</t>
  </si>
  <si>
    <t>=SUM(P5755:T5755)</t>
  </si>
  <si>
    <t>=IF($M5755&gt;=$P$18,U5755,0)</t>
  </si>
  <si>
    <t>=IF(AND($M5755&gt;=$Q$16,$M5755&lt;=$Q$18),U5755,0)</t>
  </si>
  <si>
    <t>=IF(AND($M5755&gt;=$R$16,$M5755&lt;=$R$18),U5755,0)</t>
  </si>
  <si>
    <t>=IF(AND($M5755&gt;=$S$16,$M5755&lt;=$S$18),U5755,0)</t>
  </si>
  <si>
    <t>=IF($M5755&lt;=$T$18,U5755,0)</t>
  </si>
  <si>
    <t>="""NAV Direct"",""CRONUS JetCorp USA"",""21"",""1"",""281168"""</t>
  </si>
  <si>
    <t>=E5754</t>
  </si>
  <si>
    <t>=StartDate-$M5756+1</t>
  </si>
  <si>
    <t>=SUM(P5756:T5756)</t>
  </si>
  <si>
    <t>=IF($M5756&gt;=$P$18,U5756,0)</t>
  </si>
  <si>
    <t>=IF(AND($M5756&gt;=$Q$16,$M5756&lt;=$Q$18),U5756,0)</t>
  </si>
  <si>
    <t>=IF(AND($M5756&gt;=$R$16,$M5756&lt;=$R$18),U5756,0)</t>
  </si>
  <si>
    <t>=IF(AND($M5756&gt;=$S$16,$M5756&lt;=$S$18),U5756,0)</t>
  </si>
  <si>
    <t>=IF($M5756&lt;=$T$18,U5756,0)</t>
  </si>
  <si>
    <t>="""NAV Direct"",""CRONUS JetCorp USA"",""21"",""1"",""281337"""</t>
  </si>
  <si>
    <t>=E5755</t>
  </si>
  <si>
    <t>=StartDate-$M5757+1</t>
  </si>
  <si>
    <t>=SUM(P5757:T5757)</t>
  </si>
  <si>
    <t>=IF($M5757&gt;=$P$18,U5757,0)</t>
  </si>
  <si>
    <t>=IF(AND($M5757&gt;=$Q$16,$M5757&lt;=$Q$18),U5757,0)</t>
  </si>
  <si>
    <t>=IF(AND($M5757&gt;=$R$16,$M5757&lt;=$R$18),U5757,0)</t>
  </si>
  <si>
    <t>=IF(AND($M5757&gt;=$S$16,$M5757&lt;=$S$18),U5757,0)</t>
  </si>
  <si>
    <t>=IF($M5757&lt;=$T$18,U5757,0)</t>
  </si>
  <si>
    <t>="""NAV Direct"",""CRONUS JetCorp USA"",""21"",""1"",""282618"""</t>
  </si>
  <si>
    <t>=E5756</t>
  </si>
  <si>
    <t>=StartDate-$M5758+1</t>
  </si>
  <si>
    <t>=SUM(P5758:T5758)</t>
  </si>
  <si>
    <t>=IF($M5758&gt;=$P$18,U5758,0)</t>
  </si>
  <si>
    <t>=IF(AND($M5758&gt;=$Q$16,$M5758&lt;=$Q$18),U5758,0)</t>
  </si>
  <si>
    <t>=IF(AND($M5758&gt;=$R$16,$M5758&lt;=$R$18),U5758,0)</t>
  </si>
  <si>
    <t>=IF(AND($M5758&gt;=$S$16,$M5758&lt;=$S$18),U5758,0)</t>
  </si>
  <si>
    <t>=IF($M5758&lt;=$T$18,U5758,0)</t>
  </si>
  <si>
    <t>="""NAV Direct"",""CRONUS JetCorp USA"",""21"",""1"",""283798"""</t>
  </si>
  <si>
    <t>=E5757</t>
  </si>
  <si>
    <t>=StartDate-$M5759+1</t>
  </si>
  <si>
    <t>=SUM(P5759:T5759)</t>
  </si>
  <si>
    <t>=IF($M5759&gt;=$P$18,U5759,0)</t>
  </si>
  <si>
    <t>=IF(AND($M5759&gt;=$Q$16,$M5759&lt;=$Q$18),U5759,0)</t>
  </si>
  <si>
    <t>=IF(AND($M5759&gt;=$R$16,$M5759&lt;=$R$18),U5759,0)</t>
  </si>
  <si>
    <t>=IF(AND($M5759&gt;=$S$16,$M5759&lt;=$S$18),U5759,0)</t>
  </si>
  <si>
    <t>=IF($M5759&lt;=$T$18,U5759,0)</t>
  </si>
  <si>
    <t>="""NAV Direct"",""CRONUS JetCorp USA"",""21"",""1"",""284356"""</t>
  </si>
  <si>
    <t>=E5758</t>
  </si>
  <si>
    <t>=StartDate-$M5760+1</t>
  </si>
  <si>
    <t>=SUM(P5760:T5760)</t>
  </si>
  <si>
    <t>=IF($M5760&gt;=$P$18,U5760,0)</t>
  </si>
  <si>
    <t>=IF(AND($M5760&gt;=$Q$16,$M5760&lt;=$Q$18),U5760,0)</t>
  </si>
  <si>
    <t>=IF(AND($M5760&gt;=$R$16,$M5760&lt;=$R$18),U5760,0)</t>
  </si>
  <si>
    <t>=IF(AND($M5760&gt;=$S$16,$M5760&lt;=$S$18),U5760,0)</t>
  </si>
  <si>
    <t>=IF($M5760&lt;=$T$18,U5760,0)</t>
  </si>
  <si>
    <t>="""NAV Direct"",""CRONUS JetCorp USA"",""21"",""1"",""286956"""</t>
  </si>
  <si>
    <t>=E5759</t>
  </si>
  <si>
    <t>=StartDate-$M5761+1</t>
  </si>
  <si>
    <t>=SUM(P5761:T5761)</t>
  </si>
  <si>
    <t>=IF($M5761&gt;=$P$18,U5761,0)</t>
  </si>
  <si>
    <t>=IF(AND($M5761&gt;=$Q$16,$M5761&lt;=$Q$18),U5761,0)</t>
  </si>
  <si>
    <t>=IF(AND($M5761&gt;=$R$16,$M5761&lt;=$R$18),U5761,0)</t>
  </si>
  <si>
    <t>=IF(AND($M5761&gt;=$S$16,$M5761&lt;=$S$18),U5761,0)</t>
  </si>
  <si>
    <t>=IF($M5761&lt;=$T$18,U5761,0)</t>
  </si>
  <si>
    <t>="""NAV Direct"",""CRONUS JetCorp USA"",""21"",""1"",""287116"""</t>
  </si>
  <si>
    <t>=E5760</t>
  </si>
  <si>
    <t>=StartDate-$M5762+1</t>
  </si>
  <si>
    <t>=SUM(P5762:T5762)</t>
  </si>
  <si>
    <t>=IF($M5762&gt;=$P$18,U5762,0)</t>
  </si>
  <si>
    <t>=IF(AND($M5762&gt;=$Q$16,$M5762&lt;=$Q$18),U5762,0)</t>
  </si>
  <si>
    <t>=IF(AND($M5762&gt;=$R$16,$M5762&lt;=$R$18),U5762,0)</t>
  </si>
  <si>
    <t>=IF(AND($M5762&gt;=$S$16,$M5762&lt;=$S$18),U5762,0)</t>
  </si>
  <si>
    <t>=IF($M5762&lt;=$T$18,U5762,0)</t>
  </si>
  <si>
    <t>="""NAV Direct"",""CRONUS JetCorp USA"",""21"",""1"",""288219"""</t>
  </si>
  <si>
    <t>=E5761</t>
  </si>
  <si>
    <t>=StartDate-$M5763+1</t>
  </si>
  <si>
    <t>=SUM(P5763:T5763)</t>
  </si>
  <si>
    <t>=IF($M5763&gt;=$P$18,U5763,0)</t>
  </si>
  <si>
    <t>=IF(AND($M5763&gt;=$Q$16,$M5763&lt;=$Q$18),U5763,0)</t>
  </si>
  <si>
    <t>=IF(AND($M5763&gt;=$R$16,$M5763&lt;=$R$18),U5763,0)</t>
  </si>
  <si>
    <t>=IF(AND($M5763&gt;=$S$16,$M5763&lt;=$S$18),U5763,0)</t>
  </si>
  <si>
    <t>=IF($M5763&lt;=$T$18,U5763,0)</t>
  </si>
  <si>
    <t>="""NAV Direct"",""CRONUS JetCorp USA"",""21"",""1"",""289286"""</t>
  </si>
  <si>
    <t>=E5762</t>
  </si>
  <si>
    <t>=StartDate-$M5764+1</t>
  </si>
  <si>
    <t>=SUM(P5764:T5764)</t>
  </si>
  <si>
    <t>=IF($M5764&gt;=$P$18,U5764,0)</t>
  </si>
  <si>
    <t>=IF(AND($M5764&gt;=$Q$16,$M5764&lt;=$Q$18),U5764,0)</t>
  </si>
  <si>
    <t>=IF(AND($M5764&gt;=$R$16,$M5764&lt;=$R$18),U5764,0)</t>
  </si>
  <si>
    <t>=IF(AND($M5764&gt;=$S$16,$M5764&lt;=$S$18),U5764,0)</t>
  </si>
  <si>
    <t>=IF($M5764&lt;=$T$18,U5764,0)</t>
  </si>
  <si>
    <t>="""NAV Direct"",""CRONUS JetCorp USA"",""21"",""1"",""291232"""</t>
  </si>
  <si>
    <t>=E5763</t>
  </si>
  <si>
    <t>=StartDate-$M5765+1</t>
  </si>
  <si>
    <t>=SUM(P5765:T5765)</t>
  </si>
  <si>
    <t>=IF($M5765&gt;=$P$18,U5765,0)</t>
  </si>
  <si>
    <t>=IF(AND($M5765&gt;=$Q$16,$M5765&lt;=$Q$18),U5765,0)</t>
  </si>
  <si>
    <t>=IF(AND($M5765&gt;=$R$16,$M5765&lt;=$R$18),U5765,0)</t>
  </si>
  <si>
    <t>=IF(AND($M5765&gt;=$S$16,$M5765&lt;=$S$18),U5765,0)</t>
  </si>
  <si>
    <t>=IF($M5765&lt;=$T$18,U5765,0)</t>
  </si>
  <si>
    <t>="""NAV Direct"",""CRONUS JetCorp USA"",""21"",""1"",""291905"""</t>
  </si>
  <si>
    <t>=E5764</t>
  </si>
  <si>
    <t>=StartDate-$M5766+1</t>
  </si>
  <si>
    <t>=SUM(P5766:T5766)</t>
  </si>
  <si>
    <t>=IF($M5766&gt;=$P$18,U5766,0)</t>
  </si>
  <si>
    <t>=IF(AND($M5766&gt;=$Q$16,$M5766&lt;=$Q$18),U5766,0)</t>
  </si>
  <si>
    <t>=IF(AND($M5766&gt;=$R$16,$M5766&lt;=$R$18),U5766,0)</t>
  </si>
  <si>
    <t>=IF(AND($M5766&gt;=$S$16,$M5766&lt;=$S$18),U5766,0)</t>
  </si>
  <si>
    <t>=IF($M5766&lt;=$T$18,U5766,0)</t>
  </si>
  <si>
    <t>="""NAV Direct"",""CRONUS JetCorp USA"",""21"",""1"",""291956"""</t>
  </si>
  <si>
    <t>=E5765</t>
  </si>
  <si>
    <t>=StartDate-$M5767+1</t>
  </si>
  <si>
    <t>=SUM(P5767:T5767)</t>
  </si>
  <si>
    <t>=IF($M5767&gt;=$P$18,U5767,0)</t>
  </si>
  <si>
    <t>=IF(AND($M5767&gt;=$Q$16,$M5767&lt;=$Q$18),U5767,0)</t>
  </si>
  <si>
    <t>=IF(AND($M5767&gt;=$R$16,$M5767&lt;=$R$18),U5767,0)</t>
  </si>
  <si>
    <t>=IF(AND($M5767&gt;=$S$16,$M5767&lt;=$S$18),U5767,0)</t>
  </si>
  <si>
    <t>=IF($M5767&lt;=$T$18,U5767,0)</t>
  </si>
  <si>
    <t>="""NAV Direct"",""CRONUS JetCorp USA"",""21"",""1"",""292750"""</t>
  </si>
  <si>
    <t>=E5766</t>
  </si>
  <si>
    <t>=StartDate-$M5768+1</t>
  </si>
  <si>
    <t>=SUM(P5768:T5768)</t>
  </si>
  <si>
    <t>=IF($M5768&gt;=$P$18,U5768,0)</t>
  </si>
  <si>
    <t>=IF(AND($M5768&gt;=$Q$16,$M5768&lt;=$Q$18),U5768,0)</t>
  </si>
  <si>
    <t>=IF(AND($M5768&gt;=$R$16,$M5768&lt;=$R$18),U5768,0)</t>
  </si>
  <si>
    <t>=IF(AND($M5768&gt;=$S$16,$M5768&lt;=$S$18),U5768,0)</t>
  </si>
  <si>
    <t>=IF($M5768&lt;=$T$18,U5768,0)</t>
  </si>
  <si>
    <t>="""NAV Direct"",""CRONUS JetCorp USA"",""21"",""1"",""295510"""</t>
  </si>
  <si>
    <t>=E5767</t>
  </si>
  <si>
    <t>=StartDate-$M5769+1</t>
  </si>
  <si>
    <t>=SUM(P5769:T5769)</t>
  </si>
  <si>
    <t>=IF($M5769&gt;=$P$18,U5769,0)</t>
  </si>
  <si>
    <t>=IF(AND($M5769&gt;=$Q$16,$M5769&lt;=$Q$18),U5769,0)</t>
  </si>
  <si>
    <t>=IF(AND($M5769&gt;=$R$16,$M5769&lt;=$R$18),U5769,0)</t>
  </si>
  <si>
    <t>=IF(AND($M5769&gt;=$S$16,$M5769&lt;=$S$18),U5769,0)</t>
  </si>
  <si>
    <t>=IF($M5769&lt;=$T$18,U5769,0)</t>
  </si>
  <si>
    <t>="""NAV Direct"",""CRONUS JetCorp USA"",""21"",""1"",""296032"""</t>
  </si>
  <si>
    <t>=E5768</t>
  </si>
  <si>
    <t>=StartDate-$M5770+1</t>
  </si>
  <si>
    <t>=SUM(P5770:T5770)</t>
  </si>
  <si>
    <t>=IF($M5770&gt;=$P$18,U5770,0)</t>
  </si>
  <si>
    <t>=IF(AND($M5770&gt;=$Q$16,$M5770&lt;=$Q$18),U5770,0)</t>
  </si>
  <si>
    <t>=IF(AND($M5770&gt;=$R$16,$M5770&lt;=$R$18),U5770,0)</t>
  </si>
  <si>
    <t>=IF(AND($M5770&gt;=$S$16,$M5770&lt;=$S$18),U5770,0)</t>
  </si>
  <si>
    <t>=IF($M5770&lt;=$T$18,U5770,0)</t>
  </si>
  <si>
    <t>="""NAV Direct"",""CRONUS JetCorp USA"",""21"",""1"",""296251"""</t>
  </si>
  <si>
    <t>=E5769</t>
  </si>
  <si>
    <t>=StartDate-$M5771+1</t>
  </si>
  <si>
    <t>=SUM(P5771:T5771)</t>
  </si>
  <si>
    <t>=IF($M5771&gt;=$P$18,U5771,0)</t>
  </si>
  <si>
    <t>=IF(AND($M5771&gt;=$Q$16,$M5771&lt;=$Q$18),U5771,0)</t>
  </si>
  <si>
    <t>=IF(AND($M5771&gt;=$R$16,$M5771&lt;=$R$18),U5771,0)</t>
  </si>
  <si>
    <t>=IF(AND($M5771&gt;=$S$16,$M5771&lt;=$S$18),U5771,0)</t>
  </si>
  <si>
    <t>=IF($M5771&lt;=$T$18,U5771,0)</t>
  </si>
  <si>
    <t>="""NAV Direct"",""CRONUS JetCorp USA"",""21"",""1"",""297032"""</t>
  </si>
  <si>
    <t>=E5770</t>
  </si>
  <si>
    <t>=StartDate-$M5772+1</t>
  </si>
  <si>
    <t>=SUM(P5772:T5772)</t>
  </si>
  <si>
    <t>=IF($M5772&gt;=$P$18,U5772,0)</t>
  </si>
  <si>
    <t>=IF(AND($M5772&gt;=$Q$16,$M5772&lt;=$Q$18),U5772,0)</t>
  </si>
  <si>
    <t>=IF(AND($M5772&gt;=$R$16,$M5772&lt;=$R$18),U5772,0)</t>
  </si>
  <si>
    <t>=IF(AND($M5772&gt;=$S$16,$M5772&lt;=$S$18),U5772,0)</t>
  </si>
  <si>
    <t>=IF($M5772&lt;=$T$18,U5772,0)</t>
  </si>
  <si>
    <t>="""NAV Direct"",""CRONUS JetCorp USA"",""21"",""1"",""298592"""</t>
  </si>
  <si>
    <t>=E5771</t>
  </si>
  <si>
    <t>=StartDate-$M5773+1</t>
  </si>
  <si>
    <t>=SUM(P5773:T5773)</t>
  </si>
  <si>
    <t>=IF($M5773&gt;=$P$18,U5773,0)</t>
  </si>
  <si>
    <t>=IF(AND($M5773&gt;=$Q$16,$M5773&lt;=$Q$18),U5773,0)</t>
  </si>
  <si>
    <t>=IF(AND($M5773&gt;=$R$16,$M5773&lt;=$R$18),U5773,0)</t>
  </si>
  <si>
    <t>=IF(AND($M5773&gt;=$S$16,$M5773&lt;=$S$18),U5773,0)</t>
  </si>
  <si>
    <t>=IF($M5773&lt;=$T$18,U5773,0)</t>
  </si>
  <si>
    <t>="""NAV Direct"",""CRONUS JetCorp USA"",""21"",""1"",""300474"""</t>
  </si>
  <si>
    <t>=E5772</t>
  </si>
  <si>
    <t>=StartDate-$M5774+1</t>
  </si>
  <si>
    <t>=SUM(P5774:T5774)</t>
  </si>
  <si>
    <t>=IF($M5774&gt;=$P$18,U5774,0)</t>
  </si>
  <si>
    <t>=IF(AND($M5774&gt;=$Q$16,$M5774&lt;=$Q$18),U5774,0)</t>
  </si>
  <si>
    <t>=IF(AND($M5774&gt;=$R$16,$M5774&lt;=$R$18),U5774,0)</t>
  </si>
  <si>
    <t>=IF(AND($M5774&gt;=$S$16,$M5774&lt;=$S$18),U5774,0)</t>
  </si>
  <si>
    <t>=IF($M5774&lt;=$T$18,U5774,0)</t>
  </si>
  <si>
    <t>="""NAV Direct"",""CRONUS JetCorp USA"",""21"",""1"",""303495"""</t>
  </si>
  <si>
    <t>=E5773</t>
  </si>
  <si>
    <t>=StartDate-$M5775+1</t>
  </si>
  <si>
    <t>=SUM(P5775:T5775)</t>
  </si>
  <si>
    <t>=IF($M5775&gt;=$P$18,U5775,0)</t>
  </si>
  <si>
    <t>=IF(AND($M5775&gt;=$Q$16,$M5775&lt;=$Q$18),U5775,0)</t>
  </si>
  <si>
    <t>=IF(AND($M5775&gt;=$R$16,$M5775&lt;=$R$18),U5775,0)</t>
  </si>
  <si>
    <t>=IF(AND($M5775&gt;=$S$16,$M5775&lt;=$S$18),U5775,0)</t>
  </si>
  <si>
    <t>=IF($M5775&lt;=$T$18,U5775,0)</t>
  </si>
  <si>
    <t>="""NAV Direct"",""CRONUS JetCorp USA"",""18"",""1"",""C100505"""</t>
  </si>
  <si>
    <t>=H5778</t>
  </si>
  <si>
    <t>=NF($C5778,"1 No.")</t>
  </si>
  <si>
    <t>=NF($C5778,"1 No.")&amp;"  -  "&amp;NF($C5778,"2 Name")</t>
  </si>
  <si>
    <t>=IFERROR(O5778/NF(C5778,"Credit Limit (LCY)"),"")</t>
  </si>
  <si>
    <t>=SUBTOTAL(3,L5779:L5809)</t>
  </si>
  <si>
    <t>=SUBTOTAL(9,O5779:O5809)</t>
  </si>
  <si>
    <t>=SUBTOTAL(9,P5779:P5809)</t>
  </si>
  <si>
    <t>=SUBTOTAL(9,Q5779:Q5809)</t>
  </si>
  <si>
    <t>=SUBTOTAL(9,R5779:R5809)</t>
  </si>
  <si>
    <t>=SUBTOTAL(9,S5779:S5809)</t>
  </si>
  <si>
    <t>=SUBTOTAL(9,T5779:T5809)</t>
  </si>
  <si>
    <t>=C5778</t>
  </si>
  <si>
    <t>=E5778</t>
  </si>
  <si>
    <t>="Contact: "&amp;NF($C5779,"8 Contact")</t>
  </si>
  <si>
    <t>=C5779</t>
  </si>
  <si>
    <t>=E5779</t>
  </si>
  <si>
    <t>=NF($C5780,"102 E-Mail")</t>
  </si>
  <si>
    <t>=NL("Rows","21 Cust. Ledger Entry",,"3 Customer No.","@@"&amp;$E5782,"16 Remaining Amt. (LCY)","&lt;&gt;0")</t>
  </si>
  <si>
    <t>=E5780</t>
  </si>
  <si>
    <t>=StartDate-$M5782+1</t>
  </si>
  <si>
    <t>=SUM(P5782:T5782)</t>
  </si>
  <si>
    <t>=IF($M5782&gt;=$P$18,U5782,0)</t>
  </si>
  <si>
    <t>=IF(AND($M5782&gt;=$Q$16,$M5782&lt;=$Q$18),U5782,0)</t>
  </si>
  <si>
    <t>=IF(AND($M5782&gt;=$R$16,$M5782&lt;=$R$18),U5782,0)</t>
  </si>
  <si>
    <t>=IF(AND($M5782&gt;=$S$16,$M5782&lt;=$S$18),U5782,0)</t>
  </si>
  <si>
    <t>=IF($M5782&lt;=$T$18,U5782,0)</t>
  </si>
  <si>
    <t>="""NAV Direct"",""CRONUS JetCorp USA"",""21"",""1"",""281719"""</t>
  </si>
  <si>
    <t>=E5781</t>
  </si>
  <si>
    <t>=StartDate-$M5783+1</t>
  </si>
  <si>
    <t>=SUM(P5783:T5783)</t>
  </si>
  <si>
    <t>=IF($M5783&gt;=$P$18,U5783,0)</t>
  </si>
  <si>
    <t>=IF(AND($M5783&gt;=$Q$16,$M5783&lt;=$Q$18),U5783,0)</t>
  </si>
  <si>
    <t>=IF(AND($M5783&gt;=$R$16,$M5783&lt;=$R$18),U5783,0)</t>
  </si>
  <si>
    <t>=IF(AND($M5783&gt;=$S$16,$M5783&lt;=$S$18),U5783,0)</t>
  </si>
  <si>
    <t>=IF($M5783&lt;=$T$18,U5783,0)</t>
  </si>
  <si>
    <t>="""NAV Direct"",""CRONUS JetCorp USA"",""21"",""1"",""282775"""</t>
  </si>
  <si>
    <t>=E5782</t>
  </si>
  <si>
    <t>=StartDate-$M5784+1</t>
  </si>
  <si>
    <t>=SUM(P5784:T5784)</t>
  </si>
  <si>
    <t>=IF($M5784&gt;=$P$18,U5784,0)</t>
  </si>
  <si>
    <t>=IF(AND($M5784&gt;=$Q$16,$M5784&lt;=$Q$18),U5784,0)</t>
  </si>
  <si>
    <t>=IF(AND($M5784&gt;=$R$16,$M5784&lt;=$R$18),U5784,0)</t>
  </si>
  <si>
    <t>=IF(AND($M5784&gt;=$S$16,$M5784&lt;=$S$18),U5784,0)</t>
  </si>
  <si>
    <t>=IF($M5784&lt;=$T$18,U5784,0)</t>
  </si>
  <si>
    <t>="""NAV Direct"",""CRONUS JetCorp USA"",""21"",""1"",""285306"""</t>
  </si>
  <si>
    <t>=E5783</t>
  </si>
  <si>
    <t>=StartDate-$M5785+1</t>
  </si>
  <si>
    <t>=SUM(P5785:T5785)</t>
  </si>
  <si>
    <t>=IF($M5785&gt;=$P$18,U5785,0)</t>
  </si>
  <si>
    <t>=IF(AND($M5785&gt;=$Q$16,$M5785&lt;=$Q$18),U5785,0)</t>
  </si>
  <si>
    <t>=IF(AND($M5785&gt;=$R$16,$M5785&lt;=$R$18),U5785,0)</t>
  </si>
  <si>
    <t>=IF(AND($M5785&gt;=$S$16,$M5785&lt;=$S$18),U5785,0)</t>
  </si>
  <si>
    <t>=IF($M5785&lt;=$T$18,U5785,0)</t>
  </si>
  <si>
    <t>="""NAV Direct"",""CRONUS JetCorp USA"",""21"",""1"",""285630"""</t>
  </si>
  <si>
    <t>=E5784</t>
  </si>
  <si>
    <t>=StartDate-$M5786+1</t>
  </si>
  <si>
    <t>=SUM(P5786:T5786)</t>
  </si>
  <si>
    <t>=IF($M5786&gt;=$P$18,U5786,0)</t>
  </si>
  <si>
    <t>=IF(AND($M5786&gt;=$Q$16,$M5786&lt;=$Q$18),U5786,0)</t>
  </si>
  <si>
    <t>=IF(AND($M5786&gt;=$R$16,$M5786&lt;=$R$18),U5786,0)</t>
  </si>
  <si>
    <t>=IF(AND($M5786&gt;=$S$16,$M5786&lt;=$S$18),U5786,0)</t>
  </si>
  <si>
    <t>=IF($M5786&lt;=$T$18,U5786,0)</t>
  </si>
  <si>
    <t>="""NAV Direct"",""CRONUS JetCorp USA"",""21"",""1"",""287404"""</t>
  </si>
  <si>
    <t>=E5785</t>
  </si>
  <si>
    <t>=StartDate-$M5787+1</t>
  </si>
  <si>
    <t>=SUM(P5787:T5787)</t>
  </si>
  <si>
    <t>=IF($M5787&gt;=$P$18,U5787,0)</t>
  </si>
  <si>
    <t>=IF(AND($M5787&gt;=$Q$16,$M5787&lt;=$Q$18),U5787,0)</t>
  </si>
  <si>
    <t>=IF(AND($M5787&gt;=$R$16,$M5787&lt;=$R$18),U5787,0)</t>
  </si>
  <si>
    <t>=IF(AND($M5787&gt;=$S$16,$M5787&lt;=$S$18),U5787,0)</t>
  </si>
  <si>
    <t>=IF($M5787&lt;=$T$18,U5787,0)</t>
  </si>
  <si>
    <t>="""NAV Direct"",""CRONUS JetCorp USA"",""21"",""1"",""288279"""</t>
  </si>
  <si>
    <t>=E5786</t>
  </si>
  <si>
    <t>=StartDate-$M5788+1</t>
  </si>
  <si>
    <t>=SUM(P5788:T5788)</t>
  </si>
  <si>
    <t>=IF($M5788&gt;=$P$18,U5788,0)</t>
  </si>
  <si>
    <t>=IF(AND($M5788&gt;=$Q$16,$M5788&lt;=$Q$18),U5788,0)</t>
  </si>
  <si>
    <t>=IF(AND($M5788&gt;=$R$16,$M5788&lt;=$R$18),U5788,0)</t>
  </si>
  <si>
    <t>=IF(AND($M5788&gt;=$S$16,$M5788&lt;=$S$18),U5788,0)</t>
  </si>
  <si>
    <t>=IF($M5788&lt;=$T$18,U5788,0)</t>
  </si>
  <si>
    <t>="""NAV Direct"",""CRONUS JetCorp USA"",""21"",""1"",""288848"""</t>
  </si>
  <si>
    <t>=E5787</t>
  </si>
  <si>
    <t>=StartDate-$M5789+1</t>
  </si>
  <si>
    <t>=SUM(P5789:T5789)</t>
  </si>
  <si>
    <t>=IF($M5789&gt;=$P$18,U5789,0)</t>
  </si>
  <si>
    <t>=IF(AND($M5789&gt;=$Q$16,$M5789&lt;=$Q$18),U5789,0)</t>
  </si>
  <si>
    <t>=IF(AND($M5789&gt;=$R$16,$M5789&lt;=$R$18),U5789,0)</t>
  </si>
  <si>
    <t>=IF(AND($M5789&gt;=$S$16,$M5789&lt;=$S$18),U5789,0)</t>
  </si>
  <si>
    <t>=IF($M5789&lt;=$T$18,U5789,0)</t>
  </si>
  <si>
    <t>="""NAV Direct"",""CRONUS JetCorp USA"",""21"",""1"",""289645"""</t>
  </si>
  <si>
    <t>=E5788</t>
  </si>
  <si>
    <t>=StartDate-$M5790+1</t>
  </si>
  <si>
    <t>=SUM(P5790:T5790)</t>
  </si>
  <si>
    <t>=IF($M5790&gt;=$P$18,U5790,0)</t>
  </si>
  <si>
    <t>=IF(AND($M5790&gt;=$Q$16,$M5790&lt;=$Q$18),U5790,0)</t>
  </si>
  <si>
    <t>=IF(AND($M5790&gt;=$R$16,$M5790&lt;=$R$18),U5790,0)</t>
  </si>
  <si>
    <t>=IF(AND($M5790&gt;=$S$16,$M5790&lt;=$S$18),U5790,0)</t>
  </si>
  <si>
    <t>=IF($M5790&lt;=$T$18,U5790,0)</t>
  </si>
  <si>
    <t>="""NAV Direct"",""CRONUS JetCorp USA"",""21"",""1"",""290116"""</t>
  </si>
  <si>
    <t>=E5789</t>
  </si>
  <si>
    <t>=StartDate-$M5791+1</t>
  </si>
  <si>
    <t>=SUM(P5791:T5791)</t>
  </si>
  <si>
    <t>=IF($M5791&gt;=$P$18,U5791,0)</t>
  </si>
  <si>
    <t>=IF(AND($M5791&gt;=$Q$16,$M5791&lt;=$Q$18),U5791,0)</t>
  </si>
  <si>
    <t>=IF(AND($M5791&gt;=$R$16,$M5791&lt;=$R$18),U5791,0)</t>
  </si>
  <si>
    <t>=IF(AND($M5791&gt;=$S$16,$M5791&lt;=$S$18),U5791,0)</t>
  </si>
  <si>
    <t>=IF($M5791&lt;=$T$18,U5791,0)</t>
  </si>
  <si>
    <t>="""NAV Direct"",""CRONUS JetCorp USA"",""21"",""1"",""290269"""</t>
  </si>
  <si>
    <t>=E5790</t>
  </si>
  <si>
    <t>=StartDate-$M5792+1</t>
  </si>
  <si>
    <t>=SUM(P5792:T5792)</t>
  </si>
  <si>
    <t>=IF($M5792&gt;=$P$18,U5792,0)</t>
  </si>
  <si>
    <t>=IF(AND($M5792&gt;=$Q$16,$M5792&lt;=$Q$18),U5792,0)</t>
  </si>
  <si>
    <t>=IF(AND($M5792&gt;=$R$16,$M5792&lt;=$R$18),U5792,0)</t>
  </si>
  <si>
    <t>=IF(AND($M5792&gt;=$S$16,$M5792&lt;=$S$18),U5792,0)</t>
  </si>
  <si>
    <t>=IF($M5792&lt;=$T$18,U5792,0)</t>
  </si>
  <si>
    <t>="""NAV Direct"",""CRONUS JetCorp USA"",""21"",""1"",""292146"""</t>
  </si>
  <si>
    <t>=E5791</t>
  </si>
  <si>
    <t>=StartDate-$M5793+1</t>
  </si>
  <si>
    <t>=SUM(P5793:T5793)</t>
  </si>
  <si>
    <t>=IF($M5793&gt;=$P$18,U5793,0)</t>
  </si>
  <si>
    <t>=IF(AND($M5793&gt;=$Q$16,$M5793&lt;=$Q$18),U5793,0)</t>
  </si>
  <si>
    <t>=IF(AND($M5793&gt;=$R$16,$M5793&lt;=$R$18),U5793,0)</t>
  </si>
  <si>
    <t>=IF(AND($M5793&gt;=$S$16,$M5793&lt;=$S$18),U5793,0)</t>
  </si>
  <si>
    <t>=IF($M5793&lt;=$T$18,U5793,0)</t>
  </si>
  <si>
    <t>="""NAV Direct"",""CRONUS JetCorp USA"",""21"",""1"",""293450"""</t>
  </si>
  <si>
    <t>=E5792</t>
  </si>
  <si>
    <t>=StartDate-$M5794+1</t>
  </si>
  <si>
    <t>=SUM(P5794:T5794)</t>
  </si>
  <si>
    <t>=IF($M5794&gt;=$P$18,U5794,0)</t>
  </si>
  <si>
    <t>=IF(AND($M5794&gt;=$Q$16,$M5794&lt;=$Q$18),U5794,0)</t>
  </si>
  <si>
    <t>=IF(AND($M5794&gt;=$R$16,$M5794&lt;=$R$18),U5794,0)</t>
  </si>
  <si>
    <t>=IF(AND($M5794&gt;=$S$16,$M5794&lt;=$S$18),U5794,0)</t>
  </si>
  <si>
    <t>=IF($M5794&lt;=$T$18,U5794,0)</t>
  </si>
  <si>
    <t>="""NAV Direct"",""CRONUS JetCorp USA"",""21"",""1"",""293902"""</t>
  </si>
  <si>
    <t>=E5793</t>
  </si>
  <si>
    <t>=StartDate-$M5795+1</t>
  </si>
  <si>
    <t>=SUM(P5795:T5795)</t>
  </si>
  <si>
    <t>=IF($M5795&gt;=$P$18,U5795,0)</t>
  </si>
  <si>
    <t>=IF(AND($M5795&gt;=$Q$16,$M5795&lt;=$Q$18),U5795,0)</t>
  </si>
  <si>
    <t>=IF(AND($M5795&gt;=$R$16,$M5795&lt;=$R$18),U5795,0)</t>
  </si>
  <si>
    <t>=IF(AND($M5795&gt;=$S$16,$M5795&lt;=$S$18),U5795,0)</t>
  </si>
  <si>
    <t>=IF($M5795&lt;=$T$18,U5795,0)</t>
  </si>
  <si>
    <t>="""NAV Direct"",""CRONUS JetCorp USA"",""21"",""1"",""294547"""</t>
  </si>
  <si>
    <t>=E5794</t>
  </si>
  <si>
    <t>=StartDate-$M5796+1</t>
  </si>
  <si>
    <t>=SUM(P5796:T5796)</t>
  </si>
  <si>
    <t>=IF($M5796&gt;=$P$18,U5796,0)</t>
  </si>
  <si>
    <t>=IF(AND($M5796&gt;=$Q$16,$M5796&lt;=$Q$18),U5796,0)</t>
  </si>
  <si>
    <t>=IF(AND($M5796&gt;=$R$16,$M5796&lt;=$R$18),U5796,0)</t>
  </si>
  <si>
    <t>=IF(AND($M5796&gt;=$S$16,$M5796&lt;=$S$18),U5796,0)</t>
  </si>
  <si>
    <t>=IF($M5796&lt;=$T$18,U5796,0)</t>
  </si>
  <si>
    <t>="""NAV Direct"",""CRONUS JetCorp USA"",""21"",""1"",""295100"""</t>
  </si>
  <si>
    <t>=E5795</t>
  </si>
  <si>
    <t>=StartDate-$M5797+1</t>
  </si>
  <si>
    <t>=SUM(P5797:T5797)</t>
  </si>
  <si>
    <t>=IF($M5797&gt;=$P$18,U5797,0)</t>
  </si>
  <si>
    <t>=IF(AND($M5797&gt;=$Q$16,$M5797&lt;=$Q$18),U5797,0)</t>
  </si>
  <si>
    <t>=IF(AND($M5797&gt;=$R$16,$M5797&lt;=$R$18),U5797,0)</t>
  </si>
  <si>
    <t>=IF(AND($M5797&gt;=$S$16,$M5797&lt;=$S$18),U5797,0)</t>
  </si>
  <si>
    <t>=IF($M5797&lt;=$T$18,U5797,0)</t>
  </si>
  <si>
    <t>="""NAV Direct"",""CRONUS JetCorp USA"",""21"",""1"",""295139"""</t>
  </si>
  <si>
    <t>=E5796</t>
  </si>
  <si>
    <t>=StartDate-$M5798+1</t>
  </si>
  <si>
    <t>=SUM(P5798:T5798)</t>
  </si>
  <si>
    <t>=IF($M5798&gt;=$P$18,U5798,0)</t>
  </si>
  <si>
    <t>=IF(AND($M5798&gt;=$Q$16,$M5798&lt;=$Q$18),U5798,0)</t>
  </si>
  <si>
    <t>=IF(AND($M5798&gt;=$R$16,$M5798&lt;=$R$18),U5798,0)</t>
  </si>
  <si>
    <t>=IF(AND($M5798&gt;=$S$16,$M5798&lt;=$S$18),U5798,0)</t>
  </si>
  <si>
    <t>=IF($M5798&lt;=$T$18,U5798,0)</t>
  </si>
  <si>
    <t>="""NAV Direct"",""CRONUS JetCorp USA"",""21"",""1"",""295543"""</t>
  </si>
  <si>
    <t>=E5797</t>
  </si>
  <si>
    <t>=StartDate-$M5799+1</t>
  </si>
  <si>
    <t>=SUM(P5799:T5799)</t>
  </si>
  <si>
    <t>=IF($M5799&gt;=$P$18,U5799,0)</t>
  </si>
  <si>
    <t>=IF(AND($M5799&gt;=$Q$16,$M5799&lt;=$Q$18),U5799,0)</t>
  </si>
  <si>
    <t>=IF(AND($M5799&gt;=$R$16,$M5799&lt;=$R$18),U5799,0)</t>
  </si>
  <si>
    <t>=IF(AND($M5799&gt;=$S$16,$M5799&lt;=$S$18),U5799,0)</t>
  </si>
  <si>
    <t>=IF($M5799&lt;=$T$18,U5799,0)</t>
  </si>
  <si>
    <t>="""NAV Direct"",""CRONUS JetCorp USA"",""21"",""1"",""296311"""</t>
  </si>
  <si>
    <t>=E5798</t>
  </si>
  <si>
    <t>=StartDate-$M5800+1</t>
  </si>
  <si>
    <t>=SUM(P5800:T5800)</t>
  </si>
  <si>
    <t>=IF($M5800&gt;=$P$18,U5800,0)</t>
  </si>
  <si>
    <t>=IF(AND($M5800&gt;=$Q$16,$M5800&lt;=$Q$18),U5800,0)</t>
  </si>
  <si>
    <t>=IF(AND($M5800&gt;=$R$16,$M5800&lt;=$R$18),U5800,0)</t>
  </si>
  <si>
    <t>=IF(AND($M5800&gt;=$S$16,$M5800&lt;=$S$18),U5800,0)</t>
  </si>
  <si>
    <t>=IF($M5800&lt;=$T$18,U5800,0)</t>
  </si>
  <si>
    <t>="""NAV Direct"",""CRONUS JetCorp USA"",""21"",""1"",""297061"""</t>
  </si>
  <si>
    <t>=E5799</t>
  </si>
  <si>
    <t>=StartDate-$M5801+1</t>
  </si>
  <si>
    <t>=SUM(P5801:T5801)</t>
  </si>
  <si>
    <t>=IF($M5801&gt;=$P$18,U5801,0)</t>
  </si>
  <si>
    <t>=IF(AND($M5801&gt;=$Q$16,$M5801&lt;=$Q$18),U5801,0)</t>
  </si>
  <si>
    <t>=IF(AND($M5801&gt;=$R$16,$M5801&lt;=$R$18),U5801,0)</t>
  </si>
  <si>
    <t>=IF(AND($M5801&gt;=$S$16,$M5801&lt;=$S$18),U5801,0)</t>
  </si>
  <si>
    <t>=IF($M5801&lt;=$T$18,U5801,0)</t>
  </si>
  <si>
    <t>="""NAV Direct"",""CRONUS JetCorp USA"",""21"",""1"",""297293"""</t>
  </si>
  <si>
    <t>=E5800</t>
  </si>
  <si>
    <t>=StartDate-$M5802+1</t>
  </si>
  <si>
    <t>=SUM(P5802:T5802)</t>
  </si>
  <si>
    <t>=IF($M5802&gt;=$P$18,U5802,0)</t>
  </si>
  <si>
    <t>=IF(AND($M5802&gt;=$Q$16,$M5802&lt;=$Q$18),U5802,0)</t>
  </si>
  <si>
    <t>=IF(AND($M5802&gt;=$R$16,$M5802&lt;=$R$18),U5802,0)</t>
  </si>
  <si>
    <t>=IF(AND($M5802&gt;=$S$16,$M5802&lt;=$S$18),U5802,0)</t>
  </si>
  <si>
    <t>=IF($M5802&lt;=$T$18,U5802,0)</t>
  </si>
  <si>
    <t>="""NAV Direct"",""CRONUS JetCorp USA"",""21"",""1"",""298623"""</t>
  </si>
  <si>
    <t>=E5801</t>
  </si>
  <si>
    <t>=StartDate-$M5803+1</t>
  </si>
  <si>
    <t>=SUM(P5803:T5803)</t>
  </si>
  <si>
    <t>=IF($M5803&gt;=$P$18,U5803,0)</t>
  </si>
  <si>
    <t>=IF(AND($M5803&gt;=$Q$16,$M5803&lt;=$Q$18),U5803,0)</t>
  </si>
  <si>
    <t>=IF(AND($M5803&gt;=$R$16,$M5803&lt;=$R$18),U5803,0)</t>
  </si>
  <si>
    <t>=IF(AND($M5803&gt;=$S$16,$M5803&lt;=$S$18),U5803,0)</t>
  </si>
  <si>
    <t>=IF($M5803&lt;=$T$18,U5803,0)</t>
  </si>
  <si>
    <t>="""NAV Direct"",""CRONUS JetCorp USA"",""21"",""1"",""300814"""</t>
  </si>
  <si>
    <t>=E5802</t>
  </si>
  <si>
    <t>=StartDate-$M5804+1</t>
  </si>
  <si>
    <t>=SUM(P5804:T5804)</t>
  </si>
  <si>
    <t>=IF($M5804&gt;=$P$18,U5804,0)</t>
  </si>
  <si>
    <t>=IF(AND($M5804&gt;=$Q$16,$M5804&lt;=$Q$18),U5804,0)</t>
  </si>
  <si>
    <t>=IF(AND($M5804&gt;=$R$16,$M5804&lt;=$R$18),U5804,0)</t>
  </si>
  <si>
    <t>=IF(AND($M5804&gt;=$S$16,$M5804&lt;=$S$18),U5804,0)</t>
  </si>
  <si>
    <t>=IF($M5804&lt;=$T$18,U5804,0)</t>
  </si>
  <si>
    <t>="""NAV Direct"",""CRONUS JetCorp USA"",""21"",""1"",""302038"""</t>
  </si>
  <si>
    <t>=E5803</t>
  </si>
  <si>
    <t>=StartDate-$M5805+1</t>
  </si>
  <si>
    <t>=SUM(P5805:T5805)</t>
  </si>
  <si>
    <t>=IF($M5805&gt;=$P$18,U5805,0)</t>
  </si>
  <si>
    <t>=IF(AND($M5805&gt;=$Q$16,$M5805&lt;=$Q$18),U5805,0)</t>
  </si>
  <si>
    <t>=IF(AND($M5805&gt;=$R$16,$M5805&lt;=$R$18),U5805,0)</t>
  </si>
  <si>
    <t>=IF(AND($M5805&gt;=$S$16,$M5805&lt;=$S$18),U5805,0)</t>
  </si>
  <si>
    <t>=IF($M5805&lt;=$T$18,U5805,0)</t>
  </si>
  <si>
    <t>="""NAV Direct"",""CRONUS JetCorp USA"",""21"",""1"",""302456"""</t>
  </si>
  <si>
    <t>=E5804</t>
  </si>
  <si>
    <t>=StartDate-$M5806+1</t>
  </si>
  <si>
    <t>=SUM(P5806:T5806)</t>
  </si>
  <si>
    <t>=IF($M5806&gt;=$P$18,U5806,0)</t>
  </si>
  <si>
    <t>=IF(AND($M5806&gt;=$Q$16,$M5806&lt;=$Q$18),U5806,0)</t>
  </si>
  <si>
    <t>=IF(AND($M5806&gt;=$R$16,$M5806&lt;=$R$18),U5806,0)</t>
  </si>
  <si>
    <t>=IF(AND($M5806&gt;=$S$16,$M5806&lt;=$S$18),U5806,0)</t>
  </si>
  <si>
    <t>=IF($M5806&lt;=$T$18,U5806,0)</t>
  </si>
  <si>
    <t>="""NAV Direct"",""CRONUS JetCorp USA"",""21"",""1"",""303041"""</t>
  </si>
  <si>
    <t>=E5805</t>
  </si>
  <si>
    <t>=StartDate-$M5807+1</t>
  </si>
  <si>
    <t>=SUM(P5807:T5807)</t>
  </si>
  <si>
    <t>=IF($M5807&gt;=$P$18,U5807,0)</t>
  </si>
  <si>
    <t>=IF(AND($M5807&gt;=$Q$16,$M5807&lt;=$Q$18),U5807,0)</t>
  </si>
  <si>
    <t>=IF(AND($M5807&gt;=$R$16,$M5807&lt;=$R$18),U5807,0)</t>
  </si>
  <si>
    <t>=IF(AND($M5807&gt;=$S$16,$M5807&lt;=$S$18),U5807,0)</t>
  </si>
  <si>
    <t>=IF($M5807&lt;=$T$18,U5807,0)</t>
  </si>
  <si>
    <t>="""NAV Direct"",""CRONUS JetCorp USA"",""21"",""1"",""303221"""</t>
  </si>
  <si>
    <t>=E5806</t>
  </si>
  <si>
    <t>=StartDate-$M5808+1</t>
  </si>
  <si>
    <t>=SUM(P5808:T5808)</t>
  </si>
  <si>
    <t>=IF($M5808&gt;=$P$18,U5808,0)</t>
  </si>
  <si>
    <t>=IF(AND($M5808&gt;=$Q$16,$M5808&lt;=$Q$18),U5808,0)</t>
  </si>
  <si>
    <t>=IF(AND($M5808&gt;=$R$16,$M5808&lt;=$R$18),U5808,0)</t>
  </si>
  <si>
    <t>=IF(AND($M5808&gt;=$S$16,$M5808&lt;=$S$18),U5808,0)</t>
  </si>
  <si>
    <t>=IF($M5808&lt;=$T$18,U5808,0)</t>
  </si>
  <si>
    <t>="""NAV Direct"",""CRONUS JetCorp USA"",""18"",""1"",""C100506"""</t>
  </si>
  <si>
    <t>=H5811</t>
  </si>
  <si>
    <t>=NF($C5811,"1 No.")</t>
  </si>
  <si>
    <t>=NF($C5811,"1 No.")&amp;"  -  "&amp;NF($C5811,"2 Name")</t>
  </si>
  <si>
    <t>=IFERROR(O5811/NF(C5811,"Credit Limit (LCY)"),"")</t>
  </si>
  <si>
    <t>=SUBTOTAL(3,L5812:L5844)</t>
  </si>
  <si>
    <t>=SUBTOTAL(9,O5812:O5844)</t>
  </si>
  <si>
    <t>=SUBTOTAL(9,P5812:P5844)</t>
  </si>
  <si>
    <t>=SUBTOTAL(9,Q5812:Q5844)</t>
  </si>
  <si>
    <t>=SUBTOTAL(9,R5812:R5844)</t>
  </si>
  <si>
    <t>=SUBTOTAL(9,S5812:S5844)</t>
  </si>
  <si>
    <t>=SUBTOTAL(9,T5812:T5844)</t>
  </si>
  <si>
    <t>=C5811</t>
  </si>
  <si>
    <t>=E5811</t>
  </si>
  <si>
    <t>="Contact: "&amp;NF($C5812,"8 Contact")</t>
  </si>
  <si>
    <t>=C5812</t>
  </si>
  <si>
    <t>=E5812</t>
  </si>
  <si>
    <t>=NF($C5813,"102 E-Mail")</t>
  </si>
  <si>
    <t>=NL("Rows","21 Cust. Ledger Entry",,"3 Customer No.","@@"&amp;$E5815,"16 Remaining Amt. (LCY)","&lt;&gt;0")</t>
  </si>
  <si>
    <t>=E5813</t>
  </si>
  <si>
    <t>=StartDate-$M5815+1</t>
  </si>
  <si>
    <t>=SUM(P5815:T5815)</t>
  </si>
  <si>
    <t>=IF($M5815&gt;=$P$18,U5815,0)</t>
  </si>
  <si>
    <t>=IF(AND($M5815&gt;=$Q$16,$M5815&lt;=$Q$18),U5815,0)</t>
  </si>
  <si>
    <t>=IF(AND($M5815&gt;=$R$16,$M5815&lt;=$R$18),U5815,0)</t>
  </si>
  <si>
    <t>=IF(AND($M5815&gt;=$S$16,$M5815&lt;=$S$18),U5815,0)</t>
  </si>
  <si>
    <t>=IF($M5815&lt;=$T$18,U5815,0)</t>
  </si>
  <si>
    <t>="""NAV Direct"",""CRONUS JetCorp USA"",""21"",""1"",""281971"""</t>
  </si>
  <si>
    <t>=E5814</t>
  </si>
  <si>
    <t>=StartDate-$M5816+1</t>
  </si>
  <si>
    <t>=SUM(P5816:T5816)</t>
  </si>
  <si>
    <t>=IF($M5816&gt;=$P$18,U5816,0)</t>
  </si>
  <si>
    <t>=IF(AND($M5816&gt;=$Q$16,$M5816&lt;=$Q$18),U5816,0)</t>
  </si>
  <si>
    <t>=IF(AND($M5816&gt;=$R$16,$M5816&lt;=$R$18),U5816,0)</t>
  </si>
  <si>
    <t>=IF(AND($M5816&gt;=$S$16,$M5816&lt;=$S$18),U5816,0)</t>
  </si>
  <si>
    <t>=IF($M5816&lt;=$T$18,U5816,0)</t>
  </si>
  <si>
    <t>="""NAV Direct"",""CRONUS JetCorp USA"",""21"",""1"",""281996"""</t>
  </si>
  <si>
    <t>=E5815</t>
  </si>
  <si>
    <t>=StartDate-$M5817+1</t>
  </si>
  <si>
    <t>=SUM(P5817:T5817)</t>
  </si>
  <si>
    <t>=IF($M5817&gt;=$P$18,U5817,0)</t>
  </si>
  <si>
    <t>=IF(AND($M5817&gt;=$Q$16,$M5817&lt;=$Q$18),U5817,0)</t>
  </si>
  <si>
    <t>=IF(AND($M5817&gt;=$R$16,$M5817&lt;=$R$18),U5817,0)</t>
  </si>
  <si>
    <t>=IF(AND($M5817&gt;=$S$16,$M5817&lt;=$S$18),U5817,0)</t>
  </si>
  <si>
    <t>=IF($M5817&lt;=$T$18,U5817,0)</t>
  </si>
  <si>
    <t>="""NAV Direct"",""CRONUS JetCorp USA"",""21"",""1"",""282519"""</t>
  </si>
  <si>
    <t>=E5816</t>
  </si>
  <si>
    <t>=StartDate-$M5818+1</t>
  </si>
  <si>
    <t>=SUM(P5818:T5818)</t>
  </si>
  <si>
    <t>=IF($M5818&gt;=$P$18,U5818,0)</t>
  </si>
  <si>
    <t>=IF(AND($M5818&gt;=$Q$16,$M5818&lt;=$Q$18),U5818,0)</t>
  </si>
  <si>
    <t>=IF(AND($M5818&gt;=$R$16,$M5818&lt;=$R$18),U5818,0)</t>
  </si>
  <si>
    <t>=IF(AND($M5818&gt;=$S$16,$M5818&lt;=$S$18),U5818,0)</t>
  </si>
  <si>
    <t>=IF($M5818&lt;=$T$18,U5818,0)</t>
  </si>
  <si>
    <t>="""NAV Direct"",""CRONUS JetCorp USA"",""21"",""1"",""282910"""</t>
  </si>
  <si>
    <t>=E5817</t>
  </si>
  <si>
    <t>=StartDate-$M5819+1</t>
  </si>
  <si>
    <t>=SUM(P5819:T5819)</t>
  </si>
  <si>
    <t>=IF($M5819&gt;=$P$18,U5819,0)</t>
  </si>
  <si>
    <t>=IF(AND($M5819&gt;=$Q$16,$M5819&lt;=$Q$18),U5819,0)</t>
  </si>
  <si>
    <t>=IF(AND($M5819&gt;=$R$16,$M5819&lt;=$R$18),U5819,0)</t>
  </si>
  <si>
    <t>=IF(AND($M5819&gt;=$S$16,$M5819&lt;=$S$18),U5819,0)</t>
  </si>
  <si>
    <t>=IF($M5819&lt;=$T$18,U5819,0)</t>
  </si>
  <si>
    <t>="""NAV Direct"",""CRONUS JetCorp USA"",""21"",""1"",""282989"""</t>
  </si>
  <si>
    <t>=E5818</t>
  </si>
  <si>
    <t>=StartDate-$M5820+1</t>
  </si>
  <si>
    <t>=SUM(P5820:T5820)</t>
  </si>
  <si>
    <t>=IF($M5820&gt;=$P$18,U5820,0)</t>
  </si>
  <si>
    <t>=IF(AND($M5820&gt;=$Q$16,$M5820&lt;=$Q$18),U5820,0)</t>
  </si>
  <si>
    <t>=IF(AND($M5820&gt;=$R$16,$M5820&lt;=$R$18),U5820,0)</t>
  </si>
  <si>
    <t>=IF(AND($M5820&gt;=$S$16,$M5820&lt;=$S$18),U5820,0)</t>
  </si>
  <si>
    <t>=IF($M5820&lt;=$T$18,U5820,0)</t>
  </si>
  <si>
    <t>="""NAV Direct"",""CRONUS JetCorp USA"",""21"",""1"",""283187"""</t>
  </si>
  <si>
    <t>=E5819</t>
  </si>
  <si>
    <t>=StartDate-$M5821+1</t>
  </si>
  <si>
    <t>=SUM(P5821:T5821)</t>
  </si>
  <si>
    <t>=IF($M5821&gt;=$P$18,U5821,0)</t>
  </si>
  <si>
    <t>=IF(AND($M5821&gt;=$Q$16,$M5821&lt;=$Q$18),U5821,0)</t>
  </si>
  <si>
    <t>=IF(AND($M5821&gt;=$R$16,$M5821&lt;=$R$18),U5821,0)</t>
  </si>
  <si>
    <t>=IF(AND($M5821&gt;=$S$16,$M5821&lt;=$S$18),U5821,0)</t>
  </si>
  <si>
    <t>=IF($M5821&lt;=$T$18,U5821,0)</t>
  </si>
  <si>
    <t>="""NAV Direct"",""CRONUS JetCorp USA"",""21"",""1"",""283599"""</t>
  </si>
  <si>
    <t>=E5820</t>
  </si>
  <si>
    <t>=StartDate-$M5822+1</t>
  </si>
  <si>
    <t>=SUM(P5822:T5822)</t>
  </si>
  <si>
    <t>=IF($M5822&gt;=$P$18,U5822,0)</t>
  </si>
  <si>
    <t>=IF(AND($M5822&gt;=$Q$16,$M5822&lt;=$Q$18),U5822,0)</t>
  </si>
  <si>
    <t>=IF(AND($M5822&gt;=$R$16,$M5822&lt;=$R$18),U5822,0)</t>
  </si>
  <si>
    <t>=IF(AND($M5822&gt;=$S$16,$M5822&lt;=$S$18),U5822,0)</t>
  </si>
  <si>
    <t>=IF($M5822&lt;=$T$18,U5822,0)</t>
  </si>
  <si>
    <t>="""NAV Direct"",""CRONUS JetCorp USA"",""21"",""1"",""285420"""</t>
  </si>
  <si>
    <t>=E5821</t>
  </si>
  <si>
    <t>=StartDate-$M5823+1</t>
  </si>
  <si>
    <t>=SUM(P5823:T5823)</t>
  </si>
  <si>
    <t>=IF($M5823&gt;=$P$18,U5823,0)</t>
  </si>
  <si>
    <t>=IF(AND($M5823&gt;=$Q$16,$M5823&lt;=$Q$18),U5823,0)</t>
  </si>
  <si>
    <t>=IF(AND($M5823&gt;=$R$16,$M5823&lt;=$R$18),U5823,0)</t>
  </si>
  <si>
    <t>=IF(AND($M5823&gt;=$S$16,$M5823&lt;=$S$18),U5823,0)</t>
  </si>
  <si>
    <t>=IF($M5823&lt;=$T$18,U5823,0)</t>
  </si>
  <si>
    <t>="""NAV Direct"",""CRONUS JetCorp USA"",""21"",""1"",""286164"""</t>
  </si>
  <si>
    <t>=E5822</t>
  </si>
  <si>
    <t>=StartDate-$M5824+1</t>
  </si>
  <si>
    <t>=SUM(P5824:T5824)</t>
  </si>
  <si>
    <t>=IF($M5824&gt;=$P$18,U5824,0)</t>
  </si>
  <si>
    <t>=IF(AND($M5824&gt;=$Q$16,$M5824&lt;=$Q$18),U5824,0)</t>
  </si>
  <si>
    <t>=IF(AND($M5824&gt;=$R$16,$M5824&lt;=$R$18),U5824,0)</t>
  </si>
  <si>
    <t>=IF(AND($M5824&gt;=$S$16,$M5824&lt;=$S$18),U5824,0)</t>
  </si>
  <si>
    <t>=IF($M5824&lt;=$T$18,U5824,0)</t>
  </si>
  <si>
    <t>="""NAV Direct"",""CRONUS JetCorp USA"",""21"",""1"",""286749"""</t>
  </si>
  <si>
    <t>=E5823</t>
  </si>
  <si>
    <t>=StartDate-$M5825+1</t>
  </si>
  <si>
    <t>=SUM(P5825:T5825)</t>
  </si>
  <si>
    <t>=IF($M5825&gt;=$P$18,U5825,0)</t>
  </si>
  <si>
    <t>=IF(AND($M5825&gt;=$Q$16,$M5825&lt;=$Q$18),U5825,0)</t>
  </si>
  <si>
    <t>=IF(AND($M5825&gt;=$R$16,$M5825&lt;=$R$18),U5825,0)</t>
  </si>
  <si>
    <t>=IF(AND($M5825&gt;=$S$16,$M5825&lt;=$S$18),U5825,0)</t>
  </si>
  <si>
    <t>=IF($M5825&lt;=$T$18,U5825,0)</t>
  </si>
  <si>
    <t>="""NAV Direct"",""CRONUS JetCorp USA"",""21"",""1"",""286983"""</t>
  </si>
  <si>
    <t>=E5824</t>
  </si>
  <si>
    <t>=StartDate-$M5826+1</t>
  </si>
  <si>
    <t>=SUM(P5826:T5826)</t>
  </si>
  <si>
    <t>=IF($M5826&gt;=$P$18,U5826,0)</t>
  </si>
  <si>
    <t>=IF(AND($M5826&gt;=$Q$16,$M5826&lt;=$Q$18),U5826,0)</t>
  </si>
  <si>
    <t>=IF(AND($M5826&gt;=$R$16,$M5826&lt;=$R$18),U5826,0)</t>
  </si>
  <si>
    <t>=IF(AND($M5826&gt;=$S$16,$M5826&lt;=$S$18),U5826,0)</t>
  </si>
  <si>
    <t>=IF($M5826&lt;=$T$18,U5826,0)</t>
  </si>
  <si>
    <t>="""NAV Direct"",""CRONUS JetCorp USA"",""21"",""1"",""287685"""</t>
  </si>
  <si>
    <t>=E5825</t>
  </si>
  <si>
    <t>=StartDate-$M5827+1</t>
  </si>
  <si>
    <t>=SUM(P5827:T5827)</t>
  </si>
  <si>
    <t>=IF($M5827&gt;=$P$18,U5827,0)</t>
  </si>
  <si>
    <t>=IF(AND($M5827&gt;=$Q$16,$M5827&lt;=$Q$18),U5827,0)</t>
  </si>
  <si>
    <t>=IF(AND($M5827&gt;=$R$16,$M5827&lt;=$R$18),U5827,0)</t>
  </si>
  <si>
    <t>=IF(AND($M5827&gt;=$S$16,$M5827&lt;=$S$18),U5827,0)</t>
  </si>
  <si>
    <t>=IF($M5827&lt;=$T$18,U5827,0)</t>
  </si>
  <si>
    <t>="""NAV Direct"",""CRONUS JetCorp USA"",""21"",""1"",""287751"""</t>
  </si>
  <si>
    <t>=E5826</t>
  </si>
  <si>
    <t>=StartDate-$M5828+1</t>
  </si>
  <si>
    <t>=SUM(P5828:T5828)</t>
  </si>
  <si>
    <t>=IF($M5828&gt;=$P$18,U5828,0)</t>
  </si>
  <si>
    <t>=IF(AND($M5828&gt;=$Q$16,$M5828&lt;=$Q$18),U5828,0)</t>
  </si>
  <si>
    <t>=IF(AND($M5828&gt;=$R$16,$M5828&lt;=$R$18),U5828,0)</t>
  </si>
  <si>
    <t>=IF(AND($M5828&gt;=$S$16,$M5828&lt;=$S$18),U5828,0)</t>
  </si>
  <si>
    <t>=IF($M5828&lt;=$T$18,U5828,0)</t>
  </si>
  <si>
    <t>="""NAV Direct"",""CRONUS JetCorp USA"",""21"",""1"",""289923"""</t>
  </si>
  <si>
    <t>=E5827</t>
  </si>
  <si>
    <t>=StartDate-$M5829+1</t>
  </si>
  <si>
    <t>=SUM(P5829:T5829)</t>
  </si>
  <si>
    <t>=IF($M5829&gt;=$P$18,U5829,0)</t>
  </si>
  <si>
    <t>=IF(AND($M5829&gt;=$Q$16,$M5829&lt;=$Q$18),U5829,0)</t>
  </si>
  <si>
    <t>=IF(AND($M5829&gt;=$R$16,$M5829&lt;=$R$18),U5829,0)</t>
  </si>
  <si>
    <t>=IF(AND($M5829&gt;=$S$16,$M5829&lt;=$S$18),U5829,0)</t>
  </si>
  <si>
    <t>=IF($M5829&lt;=$T$18,U5829,0)</t>
  </si>
  <si>
    <t>="""NAV Direct"",""CRONUS JetCorp USA"",""21"",""1"",""290009"""</t>
  </si>
  <si>
    <t>=E5828</t>
  </si>
  <si>
    <t>=StartDate-$M5830+1</t>
  </si>
  <si>
    <t>=SUM(P5830:T5830)</t>
  </si>
  <si>
    <t>=IF($M5830&gt;=$P$18,U5830,0)</t>
  </si>
  <si>
    <t>=IF(AND($M5830&gt;=$Q$16,$M5830&lt;=$Q$18),U5830,0)</t>
  </si>
  <si>
    <t>=IF(AND($M5830&gt;=$R$16,$M5830&lt;=$R$18),U5830,0)</t>
  </si>
  <si>
    <t>=IF(AND($M5830&gt;=$S$16,$M5830&lt;=$S$18),U5830,0)</t>
  </si>
  <si>
    <t>=IF($M5830&lt;=$T$18,U5830,0)</t>
  </si>
  <si>
    <t>="""NAV Direct"",""CRONUS JetCorp USA"",""21"",""1"",""290244"""</t>
  </si>
  <si>
    <t>=E5829</t>
  </si>
  <si>
    <t>=StartDate-$M5831+1</t>
  </si>
  <si>
    <t>=SUM(P5831:T5831)</t>
  </si>
  <si>
    <t>=IF($M5831&gt;=$P$18,U5831,0)</t>
  </si>
  <si>
    <t>=IF(AND($M5831&gt;=$Q$16,$M5831&lt;=$Q$18),U5831,0)</t>
  </si>
  <si>
    <t>=IF(AND($M5831&gt;=$R$16,$M5831&lt;=$R$18),U5831,0)</t>
  </si>
  <si>
    <t>=IF(AND($M5831&gt;=$S$16,$M5831&lt;=$S$18),U5831,0)</t>
  </si>
  <si>
    <t>=IF($M5831&lt;=$T$18,U5831,0)</t>
  </si>
  <si>
    <t>="""NAV Direct"",""CRONUS JetCorp USA"",""21"",""1"",""291836"""</t>
  </si>
  <si>
    <t>=E5830</t>
  </si>
  <si>
    <t>=StartDate-$M5832+1</t>
  </si>
  <si>
    <t>=SUM(P5832:T5832)</t>
  </si>
  <si>
    <t>=IF($M5832&gt;=$P$18,U5832,0)</t>
  </si>
  <si>
    <t>=IF(AND($M5832&gt;=$Q$16,$M5832&lt;=$Q$18),U5832,0)</t>
  </si>
  <si>
    <t>=IF(AND($M5832&gt;=$R$16,$M5832&lt;=$R$18),U5832,0)</t>
  </si>
  <si>
    <t>=IF(AND($M5832&gt;=$S$16,$M5832&lt;=$S$18),U5832,0)</t>
  </si>
  <si>
    <t>=IF($M5832&lt;=$T$18,U5832,0)</t>
  </si>
  <si>
    <t>="""NAV Direct"",""CRONUS JetCorp USA"",""21"",""1"",""292392"""</t>
  </si>
  <si>
    <t>=E5831</t>
  </si>
  <si>
    <t>=StartDate-$M5833+1</t>
  </si>
  <si>
    <t>=SUM(P5833:T5833)</t>
  </si>
  <si>
    <t>=IF($M5833&gt;=$P$18,U5833,0)</t>
  </si>
  <si>
    <t>=IF(AND($M5833&gt;=$Q$16,$M5833&lt;=$Q$18),U5833,0)</t>
  </si>
  <si>
    <t>=IF(AND($M5833&gt;=$R$16,$M5833&lt;=$R$18),U5833,0)</t>
  </si>
  <si>
    <t>=IF(AND($M5833&gt;=$S$16,$M5833&lt;=$S$18),U5833,0)</t>
  </si>
  <si>
    <t>=IF($M5833&lt;=$T$18,U5833,0)</t>
  </si>
  <si>
    <t>="""NAV Direct"",""CRONUS JetCorp USA"",""21"",""1"",""292793"""</t>
  </si>
  <si>
    <t>=E5832</t>
  </si>
  <si>
    <t>=StartDate-$M5834+1</t>
  </si>
  <si>
    <t>=SUM(P5834:T5834)</t>
  </si>
  <si>
    <t>=IF($M5834&gt;=$P$18,U5834,0)</t>
  </si>
  <si>
    <t>=IF(AND($M5834&gt;=$Q$16,$M5834&lt;=$Q$18),U5834,0)</t>
  </si>
  <si>
    <t>=IF(AND($M5834&gt;=$R$16,$M5834&lt;=$R$18),U5834,0)</t>
  </si>
  <si>
    <t>=IF(AND($M5834&gt;=$S$16,$M5834&lt;=$S$18),U5834,0)</t>
  </si>
  <si>
    <t>=IF($M5834&lt;=$T$18,U5834,0)</t>
  </si>
  <si>
    <t>="""NAV Direct"",""CRONUS JetCorp USA"",""21"",""1"",""293184"""</t>
  </si>
  <si>
    <t>=E5833</t>
  </si>
  <si>
    <t>=StartDate-$M5835+1</t>
  </si>
  <si>
    <t>=SUM(P5835:T5835)</t>
  </si>
  <si>
    <t>=IF($M5835&gt;=$P$18,U5835,0)</t>
  </si>
  <si>
    <t>=IF(AND($M5835&gt;=$Q$16,$M5835&lt;=$Q$18),U5835,0)</t>
  </si>
  <si>
    <t>=IF(AND($M5835&gt;=$R$16,$M5835&lt;=$R$18),U5835,0)</t>
  </si>
  <si>
    <t>=IF(AND($M5835&gt;=$S$16,$M5835&lt;=$S$18),U5835,0)</t>
  </si>
  <si>
    <t>=IF($M5835&lt;=$T$18,U5835,0)</t>
  </si>
  <si>
    <t>="""NAV Direct"",""CRONUS JetCorp USA"",""21"",""1"",""293340"""</t>
  </si>
  <si>
    <t>=E5834</t>
  </si>
  <si>
    <t>=StartDate-$M5836+1</t>
  </si>
  <si>
    <t>=SUM(P5836:T5836)</t>
  </si>
  <si>
    <t>=IF($M5836&gt;=$P$18,U5836,0)</t>
  </si>
  <si>
    <t>=IF(AND($M5836&gt;=$Q$16,$M5836&lt;=$Q$18),U5836,0)</t>
  </si>
  <si>
    <t>=IF(AND($M5836&gt;=$R$16,$M5836&lt;=$R$18),U5836,0)</t>
  </si>
  <si>
    <t>=IF(AND($M5836&gt;=$S$16,$M5836&lt;=$S$18),U5836,0)</t>
  </si>
  <si>
    <t>=IF($M5836&lt;=$T$18,U5836,0)</t>
  </si>
  <si>
    <t>="""NAV Direct"",""CRONUS JetCorp USA"",""21"",""1"",""294382"""</t>
  </si>
  <si>
    <t>=E5835</t>
  </si>
  <si>
    <t>=StartDate-$M5837+1</t>
  </si>
  <si>
    <t>=SUM(P5837:T5837)</t>
  </si>
  <si>
    <t>=IF($M5837&gt;=$P$18,U5837,0)</t>
  </si>
  <si>
    <t>=IF(AND($M5837&gt;=$Q$16,$M5837&lt;=$Q$18),U5837,0)</t>
  </si>
  <si>
    <t>=IF(AND($M5837&gt;=$R$16,$M5837&lt;=$R$18),U5837,0)</t>
  </si>
  <si>
    <t>=IF(AND($M5837&gt;=$S$16,$M5837&lt;=$S$18),U5837,0)</t>
  </si>
  <si>
    <t>=IF($M5837&lt;=$T$18,U5837,0)</t>
  </si>
  <si>
    <t>="""NAV Direct"",""CRONUS JetCorp USA"",""21"",""1"",""296086"""</t>
  </si>
  <si>
    <t>=E5836</t>
  </si>
  <si>
    <t>=StartDate-$M5838+1</t>
  </si>
  <si>
    <t>=SUM(P5838:T5838)</t>
  </si>
  <si>
    <t>=IF($M5838&gt;=$P$18,U5838,0)</t>
  </si>
  <si>
    <t>=IF(AND($M5838&gt;=$Q$16,$M5838&lt;=$Q$18),U5838,0)</t>
  </si>
  <si>
    <t>=IF(AND($M5838&gt;=$R$16,$M5838&lt;=$R$18),U5838,0)</t>
  </si>
  <si>
    <t>=IF(AND($M5838&gt;=$S$16,$M5838&lt;=$S$18),U5838,0)</t>
  </si>
  <si>
    <t>=IF($M5838&lt;=$T$18,U5838,0)</t>
  </si>
  <si>
    <t>="""NAV Direct"",""CRONUS JetCorp USA"",""21"",""1"",""296276"""</t>
  </si>
  <si>
    <t>=E5837</t>
  </si>
  <si>
    <t>=StartDate-$M5839+1</t>
  </si>
  <si>
    <t>=SUM(P5839:T5839)</t>
  </si>
  <si>
    <t>=IF($M5839&gt;=$P$18,U5839,0)</t>
  </si>
  <si>
    <t>=IF(AND($M5839&gt;=$Q$16,$M5839&lt;=$Q$18),U5839,0)</t>
  </si>
  <si>
    <t>=IF(AND($M5839&gt;=$R$16,$M5839&lt;=$R$18),U5839,0)</t>
  </si>
  <si>
    <t>=IF(AND($M5839&gt;=$S$16,$M5839&lt;=$S$18),U5839,0)</t>
  </si>
  <si>
    <t>=IF($M5839&lt;=$T$18,U5839,0)</t>
  </si>
  <si>
    <t>="""NAV Direct"",""CRONUS JetCorp USA"",""21"",""1"",""296394"""</t>
  </si>
  <si>
    <t>=E5838</t>
  </si>
  <si>
    <t>=StartDate-$M5840+1</t>
  </si>
  <si>
    <t>=SUM(P5840:T5840)</t>
  </si>
  <si>
    <t>=IF($M5840&gt;=$P$18,U5840,0)</t>
  </si>
  <si>
    <t>=IF(AND($M5840&gt;=$Q$16,$M5840&lt;=$Q$18),U5840,0)</t>
  </si>
  <si>
    <t>=IF(AND($M5840&gt;=$R$16,$M5840&lt;=$R$18),U5840,0)</t>
  </si>
  <si>
    <t>=IF(AND($M5840&gt;=$S$16,$M5840&lt;=$S$18),U5840,0)</t>
  </si>
  <si>
    <t>=IF($M5840&lt;=$T$18,U5840,0)</t>
  </si>
  <si>
    <t>="""NAV Direct"",""CRONUS JetCorp USA"",""21"",""1"",""297005"""</t>
  </si>
  <si>
    <t>=E5839</t>
  </si>
  <si>
    <t>=StartDate-$M5841+1</t>
  </si>
  <si>
    <t>=SUM(P5841:T5841)</t>
  </si>
  <si>
    <t>=IF($M5841&gt;=$P$18,U5841,0)</t>
  </si>
  <si>
    <t>=IF(AND($M5841&gt;=$Q$16,$M5841&lt;=$Q$18),U5841,0)</t>
  </si>
  <si>
    <t>=IF(AND($M5841&gt;=$R$16,$M5841&lt;=$R$18),U5841,0)</t>
  </si>
  <si>
    <t>=IF(AND($M5841&gt;=$S$16,$M5841&lt;=$S$18),U5841,0)</t>
  </si>
  <si>
    <t>=IF($M5841&lt;=$T$18,U5841,0)</t>
  </si>
  <si>
    <t>="""NAV Direct"",""CRONUS JetCorp USA"",""21"",""1"",""301633"""</t>
  </si>
  <si>
    <t>=E5840</t>
  </si>
  <si>
    <t>=StartDate-$M5842+1</t>
  </si>
  <si>
    <t>=SUM(P5842:T5842)</t>
  </si>
  <si>
    <t>=IF($M5842&gt;=$P$18,U5842,0)</t>
  </si>
  <si>
    <t>=IF(AND($M5842&gt;=$Q$16,$M5842&lt;=$Q$18),U5842,0)</t>
  </si>
  <si>
    <t>=IF(AND($M5842&gt;=$R$16,$M5842&lt;=$R$18),U5842,0)</t>
  </si>
  <si>
    <t>=IF(AND($M5842&gt;=$S$16,$M5842&lt;=$S$18),U5842,0)</t>
  </si>
  <si>
    <t>=IF($M5842&lt;=$T$18,U5842,0)</t>
  </si>
  <si>
    <t>="""NAV Direct"",""CRONUS JetCorp USA"",""21"",""1"",""303585"""</t>
  </si>
  <si>
    <t>=E5841</t>
  </si>
  <si>
    <t>=StartDate-$M5843+1</t>
  </si>
  <si>
    <t>=SUM(P5843:T5843)</t>
  </si>
  <si>
    <t>=IF($M5843&gt;=$P$18,U5843,0)</t>
  </si>
  <si>
    <t>=IF(AND($M5843&gt;=$Q$16,$M5843&lt;=$Q$18),U5843,0)</t>
  </si>
  <si>
    <t>=IF(AND($M5843&gt;=$R$16,$M5843&lt;=$R$18),U5843,0)</t>
  </si>
  <si>
    <t>=IF(AND($M5843&gt;=$S$16,$M5843&lt;=$S$18),U5843,0)</t>
  </si>
  <si>
    <t>=IF($M5843&lt;=$T$18,U5843,0)</t>
  </si>
  <si>
    <t>="""NAV Direct"",""CRONUS JetCorp USA"",""18"",""1"",""C100507"""</t>
  </si>
  <si>
    <t>=H5846</t>
  </si>
  <si>
    <t>=NF($C5846,"1 No.")</t>
  </si>
  <si>
    <t>=NF($C5846,"1 No.")&amp;"  -  "&amp;NF($C5846,"2 Name")</t>
  </si>
  <si>
    <t>=IFERROR(O5846/NF(C5846,"Credit Limit (LCY)"),"")</t>
  </si>
  <si>
    <t>=SUBTOTAL(3,L5847:L5878)</t>
  </si>
  <si>
    <t>=SUBTOTAL(9,O5847:O5878)</t>
  </si>
  <si>
    <t>=SUBTOTAL(9,P5847:P5878)</t>
  </si>
  <si>
    <t>=SUBTOTAL(9,Q5847:Q5878)</t>
  </si>
  <si>
    <t>=SUBTOTAL(9,R5847:R5878)</t>
  </si>
  <si>
    <t>=SUBTOTAL(9,S5847:S5878)</t>
  </si>
  <si>
    <t>=SUBTOTAL(9,T5847:T5878)</t>
  </si>
  <si>
    <t>=C5846</t>
  </si>
  <si>
    <t>=E5846</t>
  </si>
  <si>
    <t>="Contact: "&amp;NF($C5847,"8 Contact")</t>
  </si>
  <si>
    <t>=C5847</t>
  </si>
  <si>
    <t>=E5847</t>
  </si>
  <si>
    <t>=NF($C5848,"102 E-Mail")</t>
  </si>
  <si>
    <t>=NL("Rows","21 Cust. Ledger Entry",,"3 Customer No.","@@"&amp;$E5850,"16 Remaining Amt. (LCY)","&lt;&gt;0")</t>
  </si>
  <si>
    <t>=E5848</t>
  </si>
  <si>
    <t>=StartDate-$M5850+1</t>
  </si>
  <si>
    <t>=SUM(P5850:T5850)</t>
  </si>
  <si>
    <t>=IF($M5850&gt;=$P$18,U5850,0)</t>
  </si>
  <si>
    <t>=IF(AND($M5850&gt;=$Q$16,$M5850&lt;=$Q$18),U5850,0)</t>
  </si>
  <si>
    <t>=IF(AND($M5850&gt;=$R$16,$M5850&lt;=$R$18),U5850,0)</t>
  </si>
  <si>
    <t>=IF(AND($M5850&gt;=$S$16,$M5850&lt;=$S$18),U5850,0)</t>
  </si>
  <si>
    <t>=IF($M5850&lt;=$T$18,U5850,0)</t>
  </si>
  <si>
    <t>="""NAV Direct"",""CRONUS JetCorp USA"",""21"",""1"",""282070"""</t>
  </si>
  <si>
    <t>=E5849</t>
  </si>
  <si>
    <t>=StartDate-$M5851+1</t>
  </si>
  <si>
    <t>=SUM(P5851:T5851)</t>
  </si>
  <si>
    <t>=IF($M5851&gt;=$P$18,U5851,0)</t>
  </si>
  <si>
    <t>=IF(AND($M5851&gt;=$Q$16,$M5851&lt;=$Q$18),U5851,0)</t>
  </si>
  <si>
    <t>=IF(AND($M5851&gt;=$R$16,$M5851&lt;=$R$18),U5851,0)</t>
  </si>
  <si>
    <t>=IF(AND($M5851&gt;=$S$16,$M5851&lt;=$S$18),U5851,0)</t>
  </si>
  <si>
    <t>=IF($M5851&lt;=$T$18,U5851,0)</t>
  </si>
  <si>
    <t>="""NAV Direct"",""CRONUS JetCorp USA"",""21"",""1"",""282471"""</t>
  </si>
  <si>
    <t>=E5850</t>
  </si>
  <si>
    <t>=StartDate-$M5852+1</t>
  </si>
  <si>
    <t>=SUM(P5852:T5852)</t>
  </si>
  <si>
    <t>=IF($M5852&gt;=$P$18,U5852,0)</t>
  </si>
  <si>
    <t>=IF(AND($M5852&gt;=$Q$16,$M5852&lt;=$Q$18),U5852,0)</t>
  </si>
  <si>
    <t>=IF(AND($M5852&gt;=$R$16,$M5852&lt;=$R$18),U5852,0)</t>
  </si>
  <si>
    <t>=IF(AND($M5852&gt;=$S$16,$M5852&lt;=$S$18),U5852,0)</t>
  </si>
  <si>
    <t>=IF($M5852&lt;=$T$18,U5852,0)</t>
  </si>
  <si>
    <t>="""NAV Direct"",""CRONUS JetCorp USA"",""21"",""1"",""283433"""</t>
  </si>
  <si>
    <t>=E5851</t>
  </si>
  <si>
    <t>=StartDate-$M5853+1</t>
  </si>
  <si>
    <t>=SUM(P5853:T5853)</t>
  </si>
  <si>
    <t>=IF($M5853&gt;=$P$18,U5853,0)</t>
  </si>
  <si>
    <t>=IF(AND($M5853&gt;=$Q$16,$M5853&lt;=$Q$18),U5853,0)</t>
  </si>
  <si>
    <t>=IF(AND($M5853&gt;=$R$16,$M5853&lt;=$R$18),U5853,0)</t>
  </si>
  <si>
    <t>=IF(AND($M5853&gt;=$S$16,$M5853&lt;=$S$18),U5853,0)</t>
  </si>
  <si>
    <t>=IF($M5853&lt;=$T$18,U5853,0)</t>
  </si>
  <si>
    <t>="""NAV Direct"",""CRONUS JetCorp USA"",""21"",""1"",""285551"""</t>
  </si>
  <si>
    <t>=E5852</t>
  </si>
  <si>
    <t>=StartDate-$M5854+1</t>
  </si>
  <si>
    <t>=SUM(P5854:T5854)</t>
  </si>
  <si>
    <t>=IF($M5854&gt;=$P$18,U5854,0)</t>
  </si>
  <si>
    <t>=IF(AND($M5854&gt;=$Q$16,$M5854&lt;=$Q$18),U5854,0)</t>
  </si>
  <si>
    <t>=IF(AND($M5854&gt;=$R$16,$M5854&lt;=$R$18),U5854,0)</t>
  </si>
  <si>
    <t>=IF(AND($M5854&gt;=$S$16,$M5854&lt;=$S$18),U5854,0)</t>
  </si>
  <si>
    <t>=IF($M5854&lt;=$T$18,U5854,0)</t>
  </si>
  <si>
    <t>="""NAV Direct"",""CRONUS JetCorp USA"",""21"",""1"",""286195"""</t>
  </si>
  <si>
    <t>=E5853</t>
  </si>
  <si>
    <t>=StartDate-$M5855+1</t>
  </si>
  <si>
    <t>=SUM(P5855:T5855)</t>
  </si>
  <si>
    <t>=IF($M5855&gt;=$P$18,U5855,0)</t>
  </si>
  <si>
    <t>=IF(AND($M5855&gt;=$Q$16,$M5855&lt;=$Q$18),U5855,0)</t>
  </si>
  <si>
    <t>=IF(AND($M5855&gt;=$R$16,$M5855&lt;=$R$18),U5855,0)</t>
  </si>
  <si>
    <t>=IF(AND($M5855&gt;=$S$16,$M5855&lt;=$S$18),U5855,0)</t>
  </si>
  <si>
    <t>=IF($M5855&lt;=$T$18,U5855,0)</t>
  </si>
  <si>
    <t>="""NAV Direct"",""CRONUS JetCorp USA"",""21"",""1"",""287089"""</t>
  </si>
  <si>
    <t>=E5854</t>
  </si>
  <si>
    <t>=StartDate-$M5856+1</t>
  </si>
  <si>
    <t>=SUM(P5856:T5856)</t>
  </si>
  <si>
    <t>=IF($M5856&gt;=$P$18,U5856,0)</t>
  </si>
  <si>
    <t>=IF(AND($M5856&gt;=$Q$16,$M5856&lt;=$Q$18),U5856,0)</t>
  </si>
  <si>
    <t>=IF(AND($M5856&gt;=$R$16,$M5856&lt;=$R$18),U5856,0)</t>
  </si>
  <si>
    <t>=IF(AND($M5856&gt;=$S$16,$M5856&lt;=$S$18),U5856,0)</t>
  </si>
  <si>
    <t>=IF($M5856&lt;=$T$18,U5856,0)</t>
  </si>
  <si>
    <t>="""NAV Direct"",""CRONUS JetCorp USA"",""21"",""1"",""287512"""</t>
  </si>
  <si>
    <t>=E5855</t>
  </si>
  <si>
    <t>=StartDate-$M5857+1</t>
  </si>
  <si>
    <t>=SUM(P5857:T5857)</t>
  </si>
  <si>
    <t>=IF($M5857&gt;=$P$18,U5857,0)</t>
  </si>
  <si>
    <t>=IF(AND($M5857&gt;=$Q$16,$M5857&lt;=$Q$18),U5857,0)</t>
  </si>
  <si>
    <t>=IF(AND($M5857&gt;=$R$16,$M5857&lt;=$R$18),U5857,0)</t>
  </si>
  <si>
    <t>=IF(AND($M5857&gt;=$S$16,$M5857&lt;=$S$18),U5857,0)</t>
  </si>
  <si>
    <t>=IF($M5857&lt;=$T$18,U5857,0)</t>
  </si>
  <si>
    <t>="""NAV Direct"",""CRONUS JetCorp USA"",""21"",""1"",""289317"""</t>
  </si>
  <si>
    <t>=E5856</t>
  </si>
  <si>
    <t>=StartDate-$M5858+1</t>
  </si>
  <si>
    <t>=SUM(P5858:T5858)</t>
  </si>
  <si>
    <t>=IF($M5858&gt;=$P$18,U5858,0)</t>
  </si>
  <si>
    <t>=IF(AND($M5858&gt;=$Q$16,$M5858&lt;=$Q$18),U5858,0)</t>
  </si>
  <si>
    <t>=IF(AND($M5858&gt;=$R$16,$M5858&lt;=$R$18),U5858,0)</t>
  </si>
  <si>
    <t>=IF(AND($M5858&gt;=$S$16,$M5858&lt;=$S$18),U5858,0)</t>
  </si>
  <si>
    <t>=IF($M5858&lt;=$T$18,U5858,0)</t>
  </si>
  <si>
    <t>="""NAV Direct"",""CRONUS JetCorp USA"",""21"",""1"",""291858"""</t>
  </si>
  <si>
    <t>=E5857</t>
  </si>
  <si>
    <t>=StartDate-$M5859+1</t>
  </si>
  <si>
    <t>=SUM(P5859:T5859)</t>
  </si>
  <si>
    <t>=IF($M5859&gt;=$P$18,U5859,0)</t>
  </si>
  <si>
    <t>=IF(AND($M5859&gt;=$Q$16,$M5859&lt;=$Q$18),U5859,0)</t>
  </si>
  <si>
    <t>=IF(AND($M5859&gt;=$R$16,$M5859&lt;=$R$18),U5859,0)</t>
  </si>
  <si>
    <t>=IF(AND($M5859&gt;=$S$16,$M5859&lt;=$S$18),U5859,0)</t>
  </si>
  <si>
    <t>=IF($M5859&lt;=$T$18,U5859,0)</t>
  </si>
  <si>
    <t>="""NAV Direct"",""CRONUS JetCorp USA"",""21"",""1"",""292270"""</t>
  </si>
  <si>
    <t>=E5858</t>
  </si>
  <si>
    <t>=StartDate-$M5860+1</t>
  </si>
  <si>
    <t>=SUM(P5860:T5860)</t>
  </si>
  <si>
    <t>=IF($M5860&gt;=$P$18,U5860,0)</t>
  </si>
  <si>
    <t>=IF(AND($M5860&gt;=$Q$16,$M5860&lt;=$Q$18),U5860,0)</t>
  </si>
  <si>
    <t>=IF(AND($M5860&gt;=$R$16,$M5860&lt;=$R$18),U5860,0)</t>
  </si>
  <si>
    <t>=IF(AND($M5860&gt;=$S$16,$M5860&lt;=$S$18),U5860,0)</t>
  </si>
  <si>
    <t>=IF($M5860&lt;=$T$18,U5860,0)</t>
  </si>
  <si>
    <t>="""NAV Direct"",""CRONUS JetCorp USA"",""21"",""1"",""292725"""</t>
  </si>
  <si>
    <t>=E5859</t>
  </si>
  <si>
    <t>=StartDate-$M5861+1</t>
  </si>
  <si>
    <t>=SUM(P5861:T5861)</t>
  </si>
  <si>
    <t>=IF($M5861&gt;=$P$18,U5861,0)</t>
  </si>
  <si>
    <t>=IF(AND($M5861&gt;=$Q$16,$M5861&lt;=$Q$18),U5861,0)</t>
  </si>
  <si>
    <t>=IF(AND($M5861&gt;=$R$16,$M5861&lt;=$R$18),U5861,0)</t>
  </si>
  <si>
    <t>=IF(AND($M5861&gt;=$S$16,$M5861&lt;=$S$18),U5861,0)</t>
  </si>
  <si>
    <t>=IF($M5861&lt;=$T$18,U5861,0)</t>
  </si>
  <si>
    <t>="""NAV Direct"",""CRONUS JetCorp USA"",""21"",""1"",""292980"""</t>
  </si>
  <si>
    <t>=E5860</t>
  </si>
  <si>
    <t>=StartDate-$M5862+1</t>
  </si>
  <si>
    <t>=SUM(P5862:T5862)</t>
  </si>
  <si>
    <t>=IF($M5862&gt;=$P$18,U5862,0)</t>
  </si>
  <si>
    <t>=IF(AND($M5862&gt;=$Q$16,$M5862&lt;=$Q$18),U5862,0)</t>
  </si>
  <si>
    <t>=IF(AND($M5862&gt;=$R$16,$M5862&lt;=$R$18),U5862,0)</t>
  </si>
  <si>
    <t>=IF(AND($M5862&gt;=$S$16,$M5862&lt;=$S$18),U5862,0)</t>
  </si>
  <si>
    <t>=IF($M5862&lt;=$T$18,U5862,0)</t>
  </si>
  <si>
    <t>="""NAV Direct"",""CRONUS JetCorp USA"",""21"",""1"",""295586"""</t>
  </si>
  <si>
    <t>=E5861</t>
  </si>
  <si>
    <t>=StartDate-$M5863+1</t>
  </si>
  <si>
    <t>=SUM(P5863:T5863)</t>
  </si>
  <si>
    <t>=IF($M5863&gt;=$P$18,U5863,0)</t>
  </si>
  <si>
    <t>=IF(AND($M5863&gt;=$Q$16,$M5863&lt;=$Q$18),U5863,0)</t>
  </si>
  <si>
    <t>=IF(AND($M5863&gt;=$R$16,$M5863&lt;=$R$18),U5863,0)</t>
  </si>
  <si>
    <t>=IF(AND($M5863&gt;=$S$16,$M5863&lt;=$S$18),U5863,0)</t>
  </si>
  <si>
    <t>=IF($M5863&lt;=$T$18,U5863,0)</t>
  </si>
  <si>
    <t>="""NAV Direct"",""CRONUS JetCorp USA"",""21"",""1"",""295672"""</t>
  </si>
  <si>
    <t>=E5862</t>
  </si>
  <si>
    <t>=StartDate-$M5864+1</t>
  </si>
  <si>
    <t>=SUM(P5864:T5864)</t>
  </si>
  <si>
    <t>=IF($M5864&gt;=$P$18,U5864,0)</t>
  </si>
  <si>
    <t>=IF(AND($M5864&gt;=$Q$16,$M5864&lt;=$Q$18),U5864,0)</t>
  </si>
  <si>
    <t>=IF(AND($M5864&gt;=$R$16,$M5864&lt;=$R$18),U5864,0)</t>
  </si>
  <si>
    <t>=IF(AND($M5864&gt;=$S$16,$M5864&lt;=$S$18),U5864,0)</t>
  </si>
  <si>
    <t>=IF($M5864&lt;=$T$18,U5864,0)</t>
  </si>
  <si>
    <t>="""NAV Direct"",""CRONUS JetCorp USA"",""21"",""1"",""295972"""</t>
  </si>
  <si>
    <t>=E5863</t>
  </si>
  <si>
    <t>=StartDate-$M5865+1</t>
  </si>
  <si>
    <t>=SUM(P5865:T5865)</t>
  </si>
  <si>
    <t>=IF($M5865&gt;=$P$18,U5865,0)</t>
  </si>
  <si>
    <t>=IF(AND($M5865&gt;=$Q$16,$M5865&lt;=$Q$18),U5865,0)</t>
  </si>
  <si>
    <t>=IF(AND($M5865&gt;=$R$16,$M5865&lt;=$R$18),U5865,0)</t>
  </si>
  <si>
    <t>=IF(AND($M5865&gt;=$S$16,$M5865&lt;=$S$18),U5865,0)</t>
  </si>
  <si>
    <t>=IF($M5865&lt;=$T$18,U5865,0)</t>
  </si>
  <si>
    <t>="""NAV Direct"",""CRONUS JetCorp USA"",""21"",""1"",""296131"""</t>
  </si>
  <si>
    <t>=E5864</t>
  </si>
  <si>
    <t>=StartDate-$M5866+1</t>
  </si>
  <si>
    <t>=SUM(P5866:T5866)</t>
  </si>
  <si>
    <t>=IF($M5866&gt;=$P$18,U5866,0)</t>
  </si>
  <si>
    <t>=IF(AND($M5866&gt;=$Q$16,$M5866&lt;=$Q$18),U5866,0)</t>
  </si>
  <si>
    <t>=IF(AND($M5866&gt;=$R$16,$M5866&lt;=$R$18),U5866,0)</t>
  </si>
  <si>
    <t>=IF(AND($M5866&gt;=$S$16,$M5866&lt;=$S$18),U5866,0)</t>
  </si>
  <si>
    <t>=IF($M5866&lt;=$T$18,U5866,0)</t>
  </si>
  <si>
    <t>="""NAV Direct"",""CRONUS JetCorp USA"",""21"",""1"",""296830"""</t>
  </si>
  <si>
    <t>=E5865</t>
  </si>
  <si>
    <t>=StartDate-$M5867+1</t>
  </si>
  <si>
    <t>=SUM(P5867:T5867)</t>
  </si>
  <si>
    <t>=IF($M5867&gt;=$P$18,U5867,0)</t>
  </si>
  <si>
    <t>=IF(AND($M5867&gt;=$Q$16,$M5867&lt;=$Q$18),U5867,0)</t>
  </si>
  <si>
    <t>=IF(AND($M5867&gt;=$R$16,$M5867&lt;=$R$18),U5867,0)</t>
  </si>
  <si>
    <t>=IF(AND($M5867&gt;=$S$16,$M5867&lt;=$S$18),U5867,0)</t>
  </si>
  <si>
    <t>=IF($M5867&lt;=$T$18,U5867,0)</t>
  </si>
  <si>
    <t>="""NAV Direct"",""CRONUS JetCorp USA"",""21"",""1"",""298131"""</t>
  </si>
  <si>
    <t>=E5866</t>
  </si>
  <si>
    <t>=StartDate-$M5868+1</t>
  </si>
  <si>
    <t>=SUM(P5868:T5868)</t>
  </si>
  <si>
    <t>=IF($M5868&gt;=$P$18,U5868,0)</t>
  </si>
  <si>
    <t>=IF(AND($M5868&gt;=$Q$16,$M5868&lt;=$Q$18),U5868,0)</t>
  </si>
  <si>
    <t>=IF(AND($M5868&gt;=$R$16,$M5868&lt;=$R$18),U5868,0)</t>
  </si>
  <si>
    <t>=IF(AND($M5868&gt;=$S$16,$M5868&lt;=$S$18),U5868,0)</t>
  </si>
  <si>
    <t>=IF($M5868&lt;=$T$18,U5868,0)</t>
  </si>
  <si>
    <t>="""NAV Direct"",""CRONUS JetCorp USA"",""21"",""1"",""298185"""</t>
  </si>
  <si>
    <t>=E5867</t>
  </si>
  <si>
    <t>=StartDate-$M5869+1</t>
  </si>
  <si>
    <t>=SUM(P5869:T5869)</t>
  </si>
  <si>
    <t>=IF($M5869&gt;=$P$18,U5869,0)</t>
  </si>
  <si>
    <t>=IF(AND($M5869&gt;=$Q$16,$M5869&lt;=$Q$18),U5869,0)</t>
  </si>
  <si>
    <t>=IF(AND($M5869&gt;=$R$16,$M5869&lt;=$R$18),U5869,0)</t>
  </si>
  <si>
    <t>=IF(AND($M5869&gt;=$S$16,$M5869&lt;=$S$18),U5869,0)</t>
  </si>
  <si>
    <t>=IF($M5869&lt;=$T$18,U5869,0)</t>
  </si>
  <si>
    <t>="""NAV Direct"",""CRONUS JetCorp USA"",""21"",""1"",""298264"""</t>
  </si>
  <si>
    <t>=E5868</t>
  </si>
  <si>
    <t>=StartDate-$M5870+1</t>
  </si>
  <si>
    <t>=SUM(P5870:T5870)</t>
  </si>
  <si>
    <t>=IF($M5870&gt;=$P$18,U5870,0)</t>
  </si>
  <si>
    <t>=IF(AND($M5870&gt;=$Q$16,$M5870&lt;=$Q$18),U5870,0)</t>
  </si>
  <si>
    <t>=IF(AND($M5870&gt;=$R$16,$M5870&lt;=$R$18),U5870,0)</t>
  </si>
  <si>
    <t>=IF(AND($M5870&gt;=$S$16,$M5870&lt;=$S$18),U5870,0)</t>
  </si>
  <si>
    <t>=IF($M5870&lt;=$T$18,U5870,0)</t>
  </si>
  <si>
    <t>="""NAV Direct"",""CRONUS JetCorp USA"",""21"",""1"",""299040"""</t>
  </si>
  <si>
    <t>=E5869</t>
  </si>
  <si>
    <t>=StartDate-$M5871+1</t>
  </si>
  <si>
    <t>=SUM(P5871:T5871)</t>
  </si>
  <si>
    <t>=IF($M5871&gt;=$P$18,U5871,0)</t>
  </si>
  <si>
    <t>=IF(AND($M5871&gt;=$Q$16,$M5871&lt;=$Q$18),U5871,0)</t>
  </si>
  <si>
    <t>=IF(AND($M5871&gt;=$R$16,$M5871&lt;=$R$18),U5871,0)</t>
  </si>
  <si>
    <t>=IF(AND($M5871&gt;=$S$16,$M5871&lt;=$S$18),U5871,0)</t>
  </si>
  <si>
    <t>=IF($M5871&lt;=$T$18,U5871,0)</t>
  </si>
  <si>
    <t>="""NAV Direct"",""CRONUS JetCorp USA"",""21"",""1"",""299787"""</t>
  </si>
  <si>
    <t>=E5870</t>
  </si>
  <si>
    <t>=StartDate-$M5872+1</t>
  </si>
  <si>
    <t>=SUM(P5872:T5872)</t>
  </si>
  <si>
    <t>=IF($M5872&gt;=$P$18,U5872,0)</t>
  </si>
  <si>
    <t>=IF(AND($M5872&gt;=$Q$16,$M5872&lt;=$Q$18),U5872,0)</t>
  </si>
  <si>
    <t>=IF(AND($M5872&gt;=$R$16,$M5872&lt;=$R$18),U5872,0)</t>
  </si>
  <si>
    <t>=IF(AND($M5872&gt;=$S$16,$M5872&lt;=$S$18),U5872,0)</t>
  </si>
  <si>
    <t>=IF($M5872&lt;=$T$18,U5872,0)</t>
  </si>
  <si>
    <t>="""NAV Direct"",""CRONUS JetCorp USA"",""21"",""1"",""300050"""</t>
  </si>
  <si>
    <t>=E5871</t>
  </si>
  <si>
    <t>=StartDate-$M5873+1</t>
  </si>
  <si>
    <t>=SUM(P5873:T5873)</t>
  </si>
  <si>
    <t>=IF($M5873&gt;=$P$18,U5873,0)</t>
  </si>
  <si>
    <t>=IF(AND($M5873&gt;=$Q$16,$M5873&lt;=$Q$18),U5873,0)</t>
  </si>
  <si>
    <t>=IF(AND($M5873&gt;=$R$16,$M5873&lt;=$R$18),U5873,0)</t>
  </si>
  <si>
    <t>=IF(AND($M5873&gt;=$S$16,$M5873&lt;=$S$18),U5873,0)</t>
  </si>
  <si>
    <t>=IF($M5873&lt;=$T$18,U5873,0)</t>
  </si>
  <si>
    <t>="""NAV Direct"",""CRONUS JetCorp USA"",""21"",""1"",""300083"""</t>
  </si>
  <si>
    <t>=E5872</t>
  </si>
  <si>
    <t>=StartDate-$M5874+1</t>
  </si>
  <si>
    <t>=SUM(P5874:T5874)</t>
  </si>
  <si>
    <t>=IF($M5874&gt;=$P$18,U5874,0)</t>
  </si>
  <si>
    <t>=IF(AND($M5874&gt;=$Q$16,$M5874&lt;=$Q$18),U5874,0)</t>
  </si>
  <si>
    <t>=IF(AND($M5874&gt;=$R$16,$M5874&lt;=$R$18),U5874,0)</t>
  </si>
  <si>
    <t>=IF(AND($M5874&gt;=$S$16,$M5874&lt;=$S$18),U5874,0)</t>
  </si>
  <si>
    <t>=IF($M5874&lt;=$T$18,U5874,0)</t>
  </si>
  <si>
    <t>="""NAV Direct"",""CRONUS JetCorp USA"",""21"",""1"",""301837"""</t>
  </si>
  <si>
    <t>=E5873</t>
  </si>
  <si>
    <t>=StartDate-$M5875+1</t>
  </si>
  <si>
    <t>=SUM(P5875:T5875)</t>
  </si>
  <si>
    <t>=IF($M5875&gt;=$P$18,U5875,0)</t>
  </si>
  <si>
    <t>=IF(AND($M5875&gt;=$Q$16,$M5875&lt;=$Q$18),U5875,0)</t>
  </si>
  <si>
    <t>=IF(AND($M5875&gt;=$R$16,$M5875&lt;=$R$18),U5875,0)</t>
  </si>
  <si>
    <t>=IF(AND($M5875&gt;=$S$16,$M5875&lt;=$S$18),U5875,0)</t>
  </si>
  <si>
    <t>=IF($M5875&lt;=$T$18,U5875,0)</t>
  </si>
  <si>
    <t>="""NAV Direct"",""CRONUS JetCorp USA"",""21"",""1"",""302100"""</t>
  </si>
  <si>
    <t>=E5874</t>
  </si>
  <si>
    <t>=StartDate-$M5876+1</t>
  </si>
  <si>
    <t>=SUM(P5876:T5876)</t>
  </si>
  <si>
    <t>=IF($M5876&gt;=$P$18,U5876,0)</t>
  </si>
  <si>
    <t>=IF(AND($M5876&gt;=$Q$16,$M5876&lt;=$Q$18),U5876,0)</t>
  </si>
  <si>
    <t>=IF(AND($M5876&gt;=$R$16,$M5876&lt;=$R$18),U5876,0)</t>
  </si>
  <si>
    <t>=IF(AND($M5876&gt;=$S$16,$M5876&lt;=$S$18),U5876,0)</t>
  </si>
  <si>
    <t>=IF($M5876&lt;=$T$18,U5876,0)</t>
  </si>
  <si>
    <t>="""NAV Direct"",""CRONUS JetCorp USA"",""21"",""1"",""302316"""</t>
  </si>
  <si>
    <t>=E5875</t>
  </si>
  <si>
    <t>=StartDate-$M5877+1</t>
  </si>
  <si>
    <t>=SUM(P5877:T5877)</t>
  </si>
  <si>
    <t>=IF($M5877&gt;=$P$18,U5877,0)</t>
  </si>
  <si>
    <t>=IF(AND($M5877&gt;=$Q$16,$M5877&lt;=$Q$18),U5877,0)</t>
  </si>
  <si>
    <t>=IF(AND($M5877&gt;=$R$16,$M5877&lt;=$R$18),U5877,0)</t>
  </si>
  <si>
    <t>=IF(AND($M5877&gt;=$S$16,$M5877&lt;=$S$18),U5877,0)</t>
  </si>
  <si>
    <t>=IF($M5877&lt;=$T$18,U5877,0)</t>
  </si>
  <si>
    <t>="""NAV Direct"",""CRONUS JetCorp USA"",""18"",""1"",""C100508"""</t>
  </si>
  <si>
    <t>=H5880</t>
  </si>
  <si>
    <t>=NF($C5880,"1 No.")</t>
  </si>
  <si>
    <t>=NF($C5880,"1 No.")&amp;"  -  "&amp;NF($C5880,"2 Name")</t>
  </si>
  <si>
    <t>=IFERROR(O5880/NF(C5880,"Credit Limit (LCY)"),"")</t>
  </si>
  <si>
    <t>=SUBTOTAL(3,L5881:L5912)</t>
  </si>
  <si>
    <t>=SUBTOTAL(9,O5881:O5912)</t>
  </si>
  <si>
    <t>=SUBTOTAL(9,P5881:P5912)</t>
  </si>
  <si>
    <t>=SUBTOTAL(9,Q5881:Q5912)</t>
  </si>
  <si>
    <t>=SUBTOTAL(9,R5881:R5912)</t>
  </si>
  <si>
    <t>=SUBTOTAL(9,S5881:S5912)</t>
  </si>
  <si>
    <t>=SUBTOTAL(9,T5881:T5912)</t>
  </si>
  <si>
    <t>=C5880</t>
  </si>
  <si>
    <t>=E5880</t>
  </si>
  <si>
    <t>="Contact: "&amp;NF($C5881,"8 Contact")</t>
  </si>
  <si>
    <t>=C5881</t>
  </si>
  <si>
    <t>=E5881</t>
  </si>
  <si>
    <t>=NF($C5882,"102 E-Mail")</t>
  </si>
  <si>
    <t>=NL("Rows","21 Cust. Ledger Entry",,"3 Customer No.","@@"&amp;$E5884,"16 Remaining Amt. (LCY)","&lt;&gt;0")</t>
  </si>
  <si>
    <t>=E5882</t>
  </si>
  <si>
    <t>=StartDate-$M5884+1</t>
  </si>
  <si>
    <t>=SUM(P5884:T5884)</t>
  </si>
  <si>
    <t>=IF($M5884&gt;=$P$18,U5884,0)</t>
  </si>
  <si>
    <t>=IF(AND($M5884&gt;=$Q$16,$M5884&lt;=$Q$18),U5884,0)</t>
  </si>
  <si>
    <t>=IF(AND($M5884&gt;=$R$16,$M5884&lt;=$R$18),U5884,0)</t>
  </si>
  <si>
    <t>=IF(AND($M5884&gt;=$S$16,$M5884&lt;=$S$18),U5884,0)</t>
  </si>
  <si>
    <t>=IF($M5884&lt;=$T$18,U5884,0)</t>
  </si>
  <si>
    <t>="""NAV Direct"",""CRONUS JetCorp USA"",""21"",""1"",""281485"""</t>
  </si>
  <si>
    <t>=E5883</t>
  </si>
  <si>
    <t>=StartDate-$M5885+1</t>
  </si>
  <si>
    <t>=SUM(P5885:T5885)</t>
  </si>
  <si>
    <t>=IF($M5885&gt;=$P$18,U5885,0)</t>
  </si>
  <si>
    <t>=IF(AND($M5885&gt;=$Q$16,$M5885&lt;=$Q$18),U5885,0)</t>
  </si>
  <si>
    <t>=IF(AND($M5885&gt;=$R$16,$M5885&lt;=$R$18),U5885,0)</t>
  </si>
  <si>
    <t>=IF(AND($M5885&gt;=$S$16,$M5885&lt;=$S$18),U5885,0)</t>
  </si>
  <si>
    <t>=IF($M5885&lt;=$T$18,U5885,0)</t>
  </si>
  <si>
    <t>="""NAV Direct"",""CRONUS JetCorp USA"",""21"",""1"",""283736"""</t>
  </si>
  <si>
    <t>=E5884</t>
  </si>
  <si>
    <t>=StartDate-$M5886+1</t>
  </si>
  <si>
    <t>=SUM(P5886:T5886)</t>
  </si>
  <si>
    <t>=IF($M5886&gt;=$P$18,U5886,0)</t>
  </si>
  <si>
    <t>=IF(AND($M5886&gt;=$Q$16,$M5886&lt;=$Q$18),U5886,0)</t>
  </si>
  <si>
    <t>=IF(AND($M5886&gt;=$R$16,$M5886&lt;=$R$18),U5886,0)</t>
  </si>
  <si>
    <t>=IF(AND($M5886&gt;=$S$16,$M5886&lt;=$S$18),U5886,0)</t>
  </si>
  <si>
    <t>=IF($M5886&lt;=$T$18,U5886,0)</t>
  </si>
  <si>
    <t>="""NAV Direct"",""CRONUS JetCorp USA"",""21"",""1"",""283823"""</t>
  </si>
  <si>
    <t>=E5885</t>
  </si>
  <si>
    <t>=StartDate-$M5887+1</t>
  </si>
  <si>
    <t>=SUM(P5887:T5887)</t>
  </si>
  <si>
    <t>=IF($M5887&gt;=$P$18,U5887,0)</t>
  </si>
  <si>
    <t>=IF(AND($M5887&gt;=$Q$16,$M5887&lt;=$Q$18),U5887,0)</t>
  </si>
  <si>
    <t>=IF(AND($M5887&gt;=$R$16,$M5887&lt;=$R$18),U5887,0)</t>
  </si>
  <si>
    <t>=IF(AND($M5887&gt;=$S$16,$M5887&lt;=$S$18),U5887,0)</t>
  </si>
  <si>
    <t>=IF($M5887&lt;=$T$18,U5887,0)</t>
  </si>
  <si>
    <t>="""NAV Direct"",""CRONUS JetCorp USA"",""21"",""1"",""283959"""</t>
  </si>
  <si>
    <t>=E5886</t>
  </si>
  <si>
    <t>=StartDate-$M5888+1</t>
  </si>
  <si>
    <t>=SUM(P5888:T5888)</t>
  </si>
  <si>
    <t>=IF($M5888&gt;=$P$18,U5888,0)</t>
  </si>
  <si>
    <t>=IF(AND($M5888&gt;=$Q$16,$M5888&lt;=$Q$18),U5888,0)</t>
  </si>
  <si>
    <t>=IF(AND($M5888&gt;=$R$16,$M5888&lt;=$R$18),U5888,0)</t>
  </si>
  <si>
    <t>=IF(AND($M5888&gt;=$S$16,$M5888&lt;=$S$18),U5888,0)</t>
  </si>
  <si>
    <t>=IF($M5888&lt;=$T$18,U5888,0)</t>
  </si>
  <si>
    <t>="""NAV Direct"",""CRONUS JetCorp USA"",""21"",""1"",""284160"""</t>
  </si>
  <si>
    <t>=E5887</t>
  </si>
  <si>
    <t>=StartDate-$M5889+1</t>
  </si>
  <si>
    <t>=SUM(P5889:T5889)</t>
  </si>
  <si>
    <t>=IF($M5889&gt;=$P$18,U5889,0)</t>
  </si>
  <si>
    <t>=IF(AND($M5889&gt;=$Q$16,$M5889&lt;=$Q$18),U5889,0)</t>
  </si>
  <si>
    <t>=IF(AND($M5889&gt;=$R$16,$M5889&lt;=$R$18),U5889,0)</t>
  </si>
  <si>
    <t>=IF(AND($M5889&gt;=$S$16,$M5889&lt;=$S$18),U5889,0)</t>
  </si>
  <si>
    <t>=IF($M5889&lt;=$T$18,U5889,0)</t>
  </si>
  <si>
    <t>="""NAV Direct"",""CRONUS JetCorp USA"",""21"",""1"",""284568"""</t>
  </si>
  <si>
    <t>=E5888</t>
  </si>
  <si>
    <t>=StartDate-$M5890+1</t>
  </si>
  <si>
    <t>=SUM(P5890:T5890)</t>
  </si>
  <si>
    <t>=IF($M5890&gt;=$P$18,U5890,0)</t>
  </si>
  <si>
    <t>=IF(AND($M5890&gt;=$Q$16,$M5890&lt;=$Q$18),U5890,0)</t>
  </si>
  <si>
    <t>=IF(AND($M5890&gt;=$R$16,$M5890&lt;=$R$18),U5890,0)</t>
  </si>
  <si>
    <t>=IF(AND($M5890&gt;=$S$16,$M5890&lt;=$S$18),U5890,0)</t>
  </si>
  <si>
    <t>=IF($M5890&lt;=$T$18,U5890,0)</t>
  </si>
  <si>
    <t>="""NAV Direct"",""CRONUS JetCorp USA"",""21"",""1"",""285711"""</t>
  </si>
  <si>
    <t>=E5889</t>
  </si>
  <si>
    <t>=StartDate-$M5891+1</t>
  </si>
  <si>
    <t>=SUM(P5891:T5891)</t>
  </si>
  <si>
    <t>=IF($M5891&gt;=$P$18,U5891,0)</t>
  </si>
  <si>
    <t>=IF(AND($M5891&gt;=$Q$16,$M5891&lt;=$Q$18),U5891,0)</t>
  </si>
  <si>
    <t>=IF(AND($M5891&gt;=$R$16,$M5891&lt;=$R$18),U5891,0)</t>
  </si>
  <si>
    <t>=IF(AND($M5891&gt;=$S$16,$M5891&lt;=$S$18),U5891,0)</t>
  </si>
  <si>
    <t>=IF($M5891&lt;=$T$18,U5891,0)</t>
  </si>
  <si>
    <t>="""NAV Direct"",""CRONUS JetCorp USA"",""21"",""1"",""289783"""</t>
  </si>
  <si>
    <t>=E5890</t>
  </si>
  <si>
    <t>=StartDate-$M5892+1</t>
  </si>
  <si>
    <t>=SUM(P5892:T5892)</t>
  </si>
  <si>
    <t>=IF($M5892&gt;=$P$18,U5892,0)</t>
  </si>
  <si>
    <t>=IF(AND($M5892&gt;=$Q$16,$M5892&lt;=$Q$18),U5892,0)</t>
  </si>
  <si>
    <t>=IF(AND($M5892&gt;=$R$16,$M5892&lt;=$R$18),U5892,0)</t>
  </si>
  <si>
    <t>=IF(AND($M5892&gt;=$S$16,$M5892&lt;=$S$18),U5892,0)</t>
  </si>
  <si>
    <t>=IF($M5892&lt;=$T$18,U5892,0)</t>
  </si>
  <si>
    <t>="""NAV Direct"",""CRONUS JetCorp USA"",""21"",""1"",""289807"""</t>
  </si>
  <si>
    <t>=E5891</t>
  </si>
  <si>
    <t>=StartDate-$M5893+1</t>
  </si>
  <si>
    <t>=SUM(P5893:T5893)</t>
  </si>
  <si>
    <t>=IF($M5893&gt;=$P$18,U5893,0)</t>
  </si>
  <si>
    <t>=IF(AND($M5893&gt;=$Q$16,$M5893&lt;=$Q$18),U5893,0)</t>
  </si>
  <si>
    <t>=IF(AND($M5893&gt;=$R$16,$M5893&lt;=$R$18),U5893,0)</t>
  </si>
  <si>
    <t>=IF(AND($M5893&gt;=$S$16,$M5893&lt;=$S$18),U5893,0)</t>
  </si>
  <si>
    <t>=IF($M5893&lt;=$T$18,U5893,0)</t>
  </si>
  <si>
    <t>="""NAV Direct"",""CRONUS JetCorp USA"",""21"",""1"",""290478"""</t>
  </si>
  <si>
    <t>=E5892</t>
  </si>
  <si>
    <t>=StartDate-$M5894+1</t>
  </si>
  <si>
    <t>=SUM(P5894:T5894)</t>
  </si>
  <si>
    <t>=IF($M5894&gt;=$P$18,U5894,0)</t>
  </si>
  <si>
    <t>=IF(AND($M5894&gt;=$Q$16,$M5894&lt;=$Q$18),U5894,0)</t>
  </si>
  <si>
    <t>=IF(AND($M5894&gt;=$R$16,$M5894&lt;=$R$18),U5894,0)</t>
  </si>
  <si>
    <t>=IF(AND($M5894&gt;=$S$16,$M5894&lt;=$S$18),U5894,0)</t>
  </si>
  <si>
    <t>=IF($M5894&lt;=$T$18,U5894,0)</t>
  </si>
  <si>
    <t>="""NAV Direct"",""CRONUS JetCorp USA"",""21"",""1"",""290924"""</t>
  </si>
  <si>
    <t>=E5893</t>
  </si>
  <si>
    <t>=StartDate-$M5895+1</t>
  </si>
  <si>
    <t>=SUM(P5895:T5895)</t>
  </si>
  <si>
    <t>=IF($M5895&gt;=$P$18,U5895,0)</t>
  </si>
  <si>
    <t>=IF(AND($M5895&gt;=$Q$16,$M5895&lt;=$Q$18),U5895,0)</t>
  </si>
  <si>
    <t>=IF(AND($M5895&gt;=$R$16,$M5895&lt;=$R$18),U5895,0)</t>
  </si>
  <si>
    <t>=IF(AND($M5895&gt;=$S$16,$M5895&lt;=$S$18),U5895,0)</t>
  </si>
  <si>
    <t>=IF($M5895&lt;=$T$18,U5895,0)</t>
  </si>
  <si>
    <t>="""NAV Direct"",""CRONUS JetCorp USA"",""21"",""1"",""290966"""</t>
  </si>
  <si>
    <t>=E5894</t>
  </si>
  <si>
    <t>=StartDate-$M5896+1</t>
  </si>
  <si>
    <t>=SUM(P5896:T5896)</t>
  </si>
  <si>
    <t>=IF($M5896&gt;=$P$18,U5896,0)</t>
  </si>
  <si>
    <t>=IF(AND($M5896&gt;=$Q$16,$M5896&lt;=$Q$18),U5896,0)</t>
  </si>
  <si>
    <t>=IF(AND($M5896&gt;=$R$16,$M5896&lt;=$R$18),U5896,0)</t>
  </si>
  <si>
    <t>=IF(AND($M5896&gt;=$S$16,$M5896&lt;=$S$18),U5896,0)</t>
  </si>
  <si>
    <t>=IF($M5896&lt;=$T$18,U5896,0)</t>
  </si>
  <si>
    <t>="""NAV Direct"",""CRONUS JetCorp USA"",""21"",""1"",""291457"""</t>
  </si>
  <si>
    <t>=E5895</t>
  </si>
  <si>
    <t>=StartDate-$M5897+1</t>
  </si>
  <si>
    <t>=SUM(P5897:T5897)</t>
  </si>
  <si>
    <t>=IF($M5897&gt;=$P$18,U5897,0)</t>
  </si>
  <si>
    <t>=IF(AND($M5897&gt;=$Q$16,$M5897&lt;=$Q$18),U5897,0)</t>
  </si>
  <si>
    <t>=IF(AND($M5897&gt;=$R$16,$M5897&lt;=$R$18),U5897,0)</t>
  </si>
  <si>
    <t>=IF(AND($M5897&gt;=$S$16,$M5897&lt;=$S$18),U5897,0)</t>
  </si>
  <si>
    <t>=IF($M5897&lt;=$T$18,U5897,0)</t>
  </si>
  <si>
    <t>="""NAV Direct"",""CRONUS JetCorp USA"",""21"",""1"",""293773"""</t>
  </si>
  <si>
    <t>=E5896</t>
  </si>
  <si>
    <t>=StartDate-$M5898+1</t>
  </si>
  <si>
    <t>=SUM(P5898:T5898)</t>
  </si>
  <si>
    <t>=IF($M5898&gt;=$P$18,U5898,0)</t>
  </si>
  <si>
    <t>=IF(AND($M5898&gt;=$Q$16,$M5898&lt;=$Q$18),U5898,0)</t>
  </si>
  <si>
    <t>=IF(AND($M5898&gt;=$R$16,$M5898&lt;=$R$18),U5898,0)</t>
  </si>
  <si>
    <t>=IF(AND($M5898&gt;=$S$16,$M5898&lt;=$S$18),U5898,0)</t>
  </si>
  <si>
    <t>=IF($M5898&lt;=$T$18,U5898,0)</t>
  </si>
  <si>
    <t>="""NAV Direct"",""CRONUS JetCorp USA"",""21"",""1"",""293839"""</t>
  </si>
  <si>
    <t>=E5897</t>
  </si>
  <si>
    <t>=StartDate-$M5899+1</t>
  </si>
  <si>
    <t>=SUM(P5899:T5899)</t>
  </si>
  <si>
    <t>=IF($M5899&gt;=$P$18,U5899,0)</t>
  </si>
  <si>
    <t>=IF(AND($M5899&gt;=$Q$16,$M5899&lt;=$Q$18),U5899,0)</t>
  </si>
  <si>
    <t>=IF(AND($M5899&gt;=$R$16,$M5899&lt;=$R$18),U5899,0)</t>
  </si>
  <si>
    <t>=IF(AND($M5899&gt;=$S$16,$M5899&lt;=$S$18),U5899,0)</t>
  </si>
  <si>
    <t>=IF($M5899&lt;=$T$18,U5899,0)</t>
  </si>
  <si>
    <t>="""NAV Direct"",""CRONUS JetCorp USA"",""21"",""1"",""293939"""</t>
  </si>
  <si>
    <t>=E5898</t>
  </si>
  <si>
    <t>=StartDate-$M5900+1</t>
  </si>
  <si>
    <t>=SUM(P5900:T5900)</t>
  </si>
  <si>
    <t>=IF($M5900&gt;=$P$18,U5900,0)</t>
  </si>
  <si>
    <t>=IF(AND($M5900&gt;=$Q$16,$M5900&lt;=$Q$18),U5900,0)</t>
  </si>
  <si>
    <t>=IF(AND($M5900&gt;=$R$16,$M5900&lt;=$R$18),U5900,0)</t>
  </si>
  <si>
    <t>=IF(AND($M5900&gt;=$S$16,$M5900&lt;=$S$18),U5900,0)</t>
  </si>
  <si>
    <t>=IF($M5900&lt;=$T$18,U5900,0)</t>
  </si>
  <si>
    <t>="""NAV Direct"",""CRONUS JetCorp USA"",""21"",""1"",""296340"""</t>
  </si>
  <si>
    <t>=E5899</t>
  </si>
  <si>
    <t>=StartDate-$M5901+1</t>
  </si>
  <si>
    <t>=SUM(P5901:T5901)</t>
  </si>
  <si>
    <t>=IF($M5901&gt;=$P$18,U5901,0)</t>
  </si>
  <si>
    <t>=IF(AND($M5901&gt;=$Q$16,$M5901&lt;=$Q$18),U5901,0)</t>
  </si>
  <si>
    <t>=IF(AND($M5901&gt;=$R$16,$M5901&lt;=$R$18),U5901,0)</t>
  </si>
  <si>
    <t>=IF(AND($M5901&gt;=$S$16,$M5901&lt;=$S$18),U5901,0)</t>
  </si>
  <si>
    <t>=IF($M5901&lt;=$T$18,U5901,0)</t>
  </si>
  <si>
    <t>="""NAV Direct"",""CRONUS JetCorp USA"",""21"",""1"",""297198"""</t>
  </si>
  <si>
    <t>=E5900</t>
  </si>
  <si>
    <t>=StartDate-$M5902+1</t>
  </si>
  <si>
    <t>=SUM(P5902:T5902)</t>
  </si>
  <si>
    <t>=IF($M5902&gt;=$P$18,U5902,0)</t>
  </si>
  <si>
    <t>=IF(AND($M5902&gt;=$Q$16,$M5902&lt;=$Q$18),U5902,0)</t>
  </si>
  <si>
    <t>=IF(AND($M5902&gt;=$R$16,$M5902&lt;=$R$18),U5902,0)</t>
  </si>
  <si>
    <t>=IF(AND($M5902&gt;=$S$16,$M5902&lt;=$S$18),U5902,0)</t>
  </si>
  <si>
    <t>=IF($M5902&lt;=$T$18,U5902,0)</t>
  </si>
  <si>
    <t>="""NAV Direct"",""CRONUS JetCorp USA"",""21"",""1"",""297268"""</t>
  </si>
  <si>
    <t>=E5901</t>
  </si>
  <si>
    <t>=StartDate-$M5903+1</t>
  </si>
  <si>
    <t>=SUM(P5903:T5903)</t>
  </si>
  <si>
    <t>=IF($M5903&gt;=$P$18,U5903,0)</t>
  </si>
  <si>
    <t>=IF(AND($M5903&gt;=$Q$16,$M5903&lt;=$Q$18),U5903,0)</t>
  </si>
  <si>
    <t>=IF(AND($M5903&gt;=$R$16,$M5903&lt;=$R$18),U5903,0)</t>
  </si>
  <si>
    <t>=IF(AND($M5903&gt;=$S$16,$M5903&lt;=$S$18),U5903,0)</t>
  </si>
  <si>
    <t>=IF($M5903&lt;=$T$18,U5903,0)</t>
  </si>
  <si>
    <t>="""NAV Direct"",""CRONUS JetCorp USA"",""21"",""1"",""297943"""</t>
  </si>
  <si>
    <t>=E5902</t>
  </si>
  <si>
    <t>=StartDate-$M5904+1</t>
  </si>
  <si>
    <t>=SUM(P5904:T5904)</t>
  </si>
  <si>
    <t>=IF($M5904&gt;=$P$18,U5904,0)</t>
  </si>
  <si>
    <t>=IF(AND($M5904&gt;=$Q$16,$M5904&lt;=$Q$18),U5904,0)</t>
  </si>
  <si>
    <t>=IF(AND($M5904&gt;=$R$16,$M5904&lt;=$R$18),U5904,0)</t>
  </si>
  <si>
    <t>=IF(AND($M5904&gt;=$S$16,$M5904&lt;=$S$18),U5904,0)</t>
  </si>
  <si>
    <t>=IF($M5904&lt;=$T$18,U5904,0)</t>
  </si>
  <si>
    <t>="""NAV Direct"",""CRONUS JetCorp USA"",""21"",""1"",""297984"""</t>
  </si>
  <si>
    <t>=E5903</t>
  </si>
  <si>
    <t>=StartDate-$M5905+1</t>
  </si>
  <si>
    <t>=SUM(P5905:T5905)</t>
  </si>
  <si>
    <t>=IF($M5905&gt;=$P$18,U5905,0)</t>
  </si>
  <si>
    <t>=IF(AND($M5905&gt;=$Q$16,$M5905&lt;=$Q$18),U5905,0)</t>
  </si>
  <si>
    <t>=IF(AND($M5905&gt;=$R$16,$M5905&lt;=$R$18),U5905,0)</t>
  </si>
  <si>
    <t>=IF(AND($M5905&gt;=$S$16,$M5905&lt;=$S$18),U5905,0)</t>
  </si>
  <si>
    <t>=IF($M5905&lt;=$T$18,U5905,0)</t>
  </si>
  <si>
    <t>="""NAV Direct"",""CRONUS JetCorp USA"",""21"",""1"",""298553"""</t>
  </si>
  <si>
    <t>=E5904</t>
  </si>
  <si>
    <t>=StartDate-$M5906+1</t>
  </si>
  <si>
    <t>=SUM(P5906:T5906)</t>
  </si>
  <si>
    <t>=IF($M5906&gt;=$P$18,U5906,0)</t>
  </si>
  <si>
    <t>=IF(AND($M5906&gt;=$Q$16,$M5906&lt;=$Q$18),U5906,0)</t>
  </si>
  <si>
    <t>=IF(AND($M5906&gt;=$R$16,$M5906&lt;=$R$18),U5906,0)</t>
  </si>
  <si>
    <t>=IF(AND($M5906&gt;=$S$16,$M5906&lt;=$S$18),U5906,0)</t>
  </si>
  <si>
    <t>=IF($M5906&lt;=$T$18,U5906,0)</t>
  </si>
  <si>
    <t>="""NAV Direct"",""CRONUS JetCorp USA"",""21"",""1"",""300116"""</t>
  </si>
  <si>
    <t>=E5905</t>
  </si>
  <si>
    <t>=StartDate-$M5907+1</t>
  </si>
  <si>
    <t>=SUM(P5907:T5907)</t>
  </si>
  <si>
    <t>=IF($M5907&gt;=$P$18,U5907,0)</t>
  </si>
  <si>
    <t>=IF(AND($M5907&gt;=$Q$16,$M5907&lt;=$Q$18),U5907,0)</t>
  </si>
  <si>
    <t>=IF(AND($M5907&gt;=$R$16,$M5907&lt;=$R$18),U5907,0)</t>
  </si>
  <si>
    <t>=IF(AND($M5907&gt;=$S$16,$M5907&lt;=$S$18),U5907,0)</t>
  </si>
  <si>
    <t>=IF($M5907&lt;=$T$18,U5907,0)</t>
  </si>
  <si>
    <t>="""NAV Direct"",""CRONUS JetCorp USA"",""21"",""1"",""300221"""</t>
  </si>
  <si>
    <t>=E5906</t>
  </si>
  <si>
    <t>=StartDate-$M5908+1</t>
  </si>
  <si>
    <t>=SUM(P5908:T5908)</t>
  </si>
  <si>
    <t>=IF($M5908&gt;=$P$18,U5908,0)</t>
  </si>
  <si>
    <t>=IF(AND($M5908&gt;=$Q$16,$M5908&lt;=$Q$18),U5908,0)</t>
  </si>
  <si>
    <t>=IF(AND($M5908&gt;=$R$16,$M5908&lt;=$R$18),U5908,0)</t>
  </si>
  <si>
    <t>=IF(AND($M5908&gt;=$S$16,$M5908&lt;=$S$18),U5908,0)</t>
  </si>
  <si>
    <t>=IF($M5908&lt;=$T$18,U5908,0)</t>
  </si>
  <si>
    <t>="""NAV Direct"",""CRONUS JetCorp USA"",""21"",""1"",""300959"""</t>
  </si>
  <si>
    <t>=E5907</t>
  </si>
  <si>
    <t>=StartDate-$M5909+1</t>
  </si>
  <si>
    <t>=SUM(P5909:T5909)</t>
  </si>
  <si>
    <t>=IF($M5909&gt;=$P$18,U5909,0)</t>
  </si>
  <si>
    <t>=IF(AND($M5909&gt;=$Q$16,$M5909&lt;=$Q$18),U5909,0)</t>
  </si>
  <si>
    <t>=IF(AND($M5909&gt;=$R$16,$M5909&lt;=$R$18),U5909,0)</t>
  </si>
  <si>
    <t>=IF(AND($M5909&gt;=$S$16,$M5909&lt;=$S$18),U5909,0)</t>
  </si>
  <si>
    <t>=IF($M5909&lt;=$T$18,U5909,0)</t>
  </si>
  <si>
    <t>="""NAV Direct"",""CRONUS JetCorp USA"",""21"",""1"",""301557"""</t>
  </si>
  <si>
    <t>=E5908</t>
  </si>
  <si>
    <t>=StartDate-$M5910+1</t>
  </si>
  <si>
    <t>=SUM(P5910:T5910)</t>
  </si>
  <si>
    <t>=IF($M5910&gt;=$P$18,U5910,0)</t>
  </si>
  <si>
    <t>=IF(AND($M5910&gt;=$Q$16,$M5910&lt;=$Q$18),U5910,0)</t>
  </si>
  <si>
    <t>=IF(AND($M5910&gt;=$R$16,$M5910&lt;=$R$18),U5910,0)</t>
  </si>
  <si>
    <t>=IF(AND($M5910&gt;=$S$16,$M5910&lt;=$S$18),U5910,0)</t>
  </si>
  <si>
    <t>=IF($M5910&lt;=$T$18,U5910,0)</t>
  </si>
  <si>
    <t>="""NAV Direct"",""CRONUS JetCorp USA"",""21"",""1"",""302676"""</t>
  </si>
  <si>
    <t>=E5909</t>
  </si>
  <si>
    <t>=StartDate-$M5911+1</t>
  </si>
  <si>
    <t>=SUM(P5911:T5911)</t>
  </si>
  <si>
    <t>=IF($M5911&gt;=$P$18,U5911,0)</t>
  </si>
  <si>
    <t>=IF(AND($M5911&gt;=$Q$16,$M5911&lt;=$Q$18),U5911,0)</t>
  </si>
  <si>
    <t>=IF(AND($M5911&gt;=$R$16,$M5911&lt;=$R$18),U5911,0)</t>
  </si>
  <si>
    <t>=IF(AND($M5911&gt;=$S$16,$M5911&lt;=$S$18),U5911,0)</t>
  </si>
  <si>
    <t>=IF($M5911&lt;=$T$18,U5911,0)</t>
  </si>
  <si>
    <t>="""NAV Direct"",""CRONUS JetCorp USA"",""18"",""1"",""C100509"""</t>
  </si>
  <si>
    <t>=H5914</t>
  </si>
  <si>
    <t>=NF($C5914,"1 No.")</t>
  </si>
  <si>
    <t>=NF($C5914,"1 No.")&amp;"  -  "&amp;NF($C5914,"2 Name")</t>
  </si>
  <si>
    <t>=IFERROR(O5914/NF(C5914,"Credit Limit (LCY)"),"")</t>
  </si>
  <si>
    <t>=SUBTOTAL(3,L5915:L5940)</t>
  </si>
  <si>
    <t>=SUBTOTAL(9,O5915:O5940)</t>
  </si>
  <si>
    <t>=SUBTOTAL(9,P5915:P5940)</t>
  </si>
  <si>
    <t>=SUBTOTAL(9,Q5915:Q5940)</t>
  </si>
  <si>
    <t>=SUBTOTAL(9,R5915:R5940)</t>
  </si>
  <si>
    <t>=SUBTOTAL(9,S5915:S5940)</t>
  </si>
  <si>
    <t>=SUBTOTAL(9,T5915:T5940)</t>
  </si>
  <si>
    <t>=C5914</t>
  </si>
  <si>
    <t>=E5914</t>
  </si>
  <si>
    <t>="Contact: "&amp;NF($C5915,"8 Contact")</t>
  </si>
  <si>
    <t>=C5915</t>
  </si>
  <si>
    <t>=E5915</t>
  </si>
  <si>
    <t>=NF($C5916,"102 E-Mail")</t>
  </si>
  <si>
    <t>=NL("Rows","21 Cust. Ledger Entry",,"3 Customer No.","@@"&amp;$E5918,"16 Remaining Amt. (LCY)","&lt;&gt;0")</t>
  </si>
  <si>
    <t>=E5916</t>
  </si>
  <si>
    <t>=StartDate-$M5918+1</t>
  </si>
  <si>
    <t>=SUM(P5918:T5918)</t>
  </si>
  <si>
    <t>=IF($M5918&gt;=$P$18,U5918,0)</t>
  </si>
  <si>
    <t>=IF(AND($M5918&gt;=$Q$16,$M5918&lt;=$Q$18),U5918,0)</t>
  </si>
  <si>
    <t>=IF(AND($M5918&gt;=$R$16,$M5918&lt;=$R$18),U5918,0)</t>
  </si>
  <si>
    <t>=IF(AND($M5918&gt;=$S$16,$M5918&lt;=$S$18),U5918,0)</t>
  </si>
  <si>
    <t>=IF($M5918&lt;=$T$18,U5918,0)</t>
  </si>
  <si>
    <t>="""NAV Direct"",""CRONUS JetCorp USA"",""21"",""1"",""282808"""</t>
  </si>
  <si>
    <t>=E5917</t>
  </si>
  <si>
    <t>=StartDate-$M5919+1</t>
  </si>
  <si>
    <t>=SUM(P5919:T5919)</t>
  </si>
  <si>
    <t>=IF($M5919&gt;=$P$18,U5919,0)</t>
  </si>
  <si>
    <t>=IF(AND($M5919&gt;=$Q$16,$M5919&lt;=$Q$18),U5919,0)</t>
  </si>
  <si>
    <t>=IF(AND($M5919&gt;=$R$16,$M5919&lt;=$R$18),U5919,0)</t>
  </si>
  <si>
    <t>=IF(AND($M5919&gt;=$S$16,$M5919&lt;=$S$18),U5919,0)</t>
  </si>
  <si>
    <t>=IF($M5919&lt;=$T$18,U5919,0)</t>
  </si>
  <si>
    <t>="""NAV Direct"",""CRONUS JetCorp USA"",""21"",""1"",""282831"""</t>
  </si>
  <si>
    <t>=E5918</t>
  </si>
  <si>
    <t>=StartDate-$M5920+1</t>
  </si>
  <si>
    <t>=SUM(P5920:T5920)</t>
  </si>
  <si>
    <t>=IF($M5920&gt;=$P$18,U5920,0)</t>
  </si>
  <si>
    <t>=IF(AND($M5920&gt;=$Q$16,$M5920&lt;=$Q$18),U5920,0)</t>
  </si>
  <si>
    <t>=IF(AND($M5920&gt;=$R$16,$M5920&lt;=$R$18),U5920,0)</t>
  </si>
  <si>
    <t>=IF(AND($M5920&gt;=$S$16,$M5920&lt;=$S$18),U5920,0)</t>
  </si>
  <si>
    <t>=IF($M5920&lt;=$T$18,U5920,0)</t>
  </si>
  <si>
    <t>="""NAV Direct"",""CRONUS JetCorp USA"",""21"",""1"",""283988"""</t>
  </si>
  <si>
    <t>=E5919</t>
  </si>
  <si>
    <t>=StartDate-$M5921+1</t>
  </si>
  <si>
    <t>=SUM(P5921:T5921)</t>
  </si>
  <si>
    <t>=IF($M5921&gt;=$P$18,U5921,0)</t>
  </si>
  <si>
    <t>=IF(AND($M5921&gt;=$Q$16,$M5921&lt;=$Q$18),U5921,0)</t>
  </si>
  <si>
    <t>=IF(AND($M5921&gt;=$R$16,$M5921&lt;=$R$18),U5921,0)</t>
  </si>
  <si>
    <t>=IF(AND($M5921&gt;=$S$16,$M5921&lt;=$S$18),U5921,0)</t>
  </si>
  <si>
    <t>=IF($M5921&lt;=$T$18,U5921,0)</t>
  </si>
  <si>
    <t>="""NAV Direct"",""CRONUS JetCorp USA"",""21"",""1"",""284072"""</t>
  </si>
  <si>
    <t>=E5920</t>
  </si>
  <si>
    <t>=StartDate-$M5922+1</t>
  </si>
  <si>
    <t>=SUM(P5922:T5922)</t>
  </si>
  <si>
    <t>=IF($M5922&gt;=$P$18,U5922,0)</t>
  </si>
  <si>
    <t>=IF(AND($M5922&gt;=$Q$16,$M5922&lt;=$Q$18),U5922,0)</t>
  </si>
  <si>
    <t>=IF(AND($M5922&gt;=$R$16,$M5922&lt;=$R$18),U5922,0)</t>
  </si>
  <si>
    <t>=IF(AND($M5922&gt;=$S$16,$M5922&lt;=$S$18),U5922,0)</t>
  </si>
  <si>
    <t>=IF($M5922&lt;=$T$18,U5922,0)</t>
  </si>
  <si>
    <t>="""NAV Direct"",""CRONUS JetCorp USA"",""21"",""1"",""285924"""</t>
  </si>
  <si>
    <t>=E5921</t>
  </si>
  <si>
    <t>=StartDate-$M5923+1</t>
  </si>
  <si>
    <t>=SUM(P5923:T5923)</t>
  </si>
  <si>
    <t>=IF($M5923&gt;=$P$18,U5923,0)</t>
  </si>
  <si>
    <t>=IF(AND($M5923&gt;=$Q$16,$M5923&lt;=$Q$18),U5923,0)</t>
  </si>
  <si>
    <t>=IF(AND($M5923&gt;=$R$16,$M5923&lt;=$R$18),U5923,0)</t>
  </si>
  <si>
    <t>=IF(AND($M5923&gt;=$S$16,$M5923&lt;=$S$18),U5923,0)</t>
  </si>
  <si>
    <t>=IF($M5923&lt;=$T$18,U5923,0)</t>
  </si>
  <si>
    <t>="""NAV Direct"",""CRONUS JetCorp USA"",""21"",""1"",""287008"""</t>
  </si>
  <si>
    <t>=E5922</t>
  </si>
  <si>
    <t>=StartDate-$M5924+1</t>
  </si>
  <si>
    <t>=SUM(P5924:T5924)</t>
  </si>
  <si>
    <t>=IF($M5924&gt;=$P$18,U5924,0)</t>
  </si>
  <si>
    <t>=IF(AND($M5924&gt;=$Q$16,$M5924&lt;=$Q$18),U5924,0)</t>
  </si>
  <si>
    <t>=IF(AND($M5924&gt;=$R$16,$M5924&lt;=$R$18),U5924,0)</t>
  </si>
  <si>
    <t>=IF(AND($M5924&gt;=$S$16,$M5924&lt;=$S$18),U5924,0)</t>
  </si>
  <si>
    <t>=IF($M5924&lt;=$T$18,U5924,0)</t>
  </si>
  <si>
    <t>="""NAV Direct"",""CRONUS JetCorp USA"",""21"",""1"",""289265"""</t>
  </si>
  <si>
    <t>=E5923</t>
  </si>
  <si>
    <t>=StartDate-$M5925+1</t>
  </si>
  <si>
    <t>=SUM(P5925:T5925)</t>
  </si>
  <si>
    <t>=IF($M5925&gt;=$P$18,U5925,0)</t>
  </si>
  <si>
    <t>=IF(AND($M5925&gt;=$Q$16,$M5925&lt;=$Q$18),U5925,0)</t>
  </si>
  <si>
    <t>=IF(AND($M5925&gt;=$R$16,$M5925&lt;=$R$18),U5925,0)</t>
  </si>
  <si>
    <t>=IF(AND($M5925&gt;=$S$16,$M5925&lt;=$S$18),U5925,0)</t>
  </si>
  <si>
    <t>=IF($M5925&lt;=$T$18,U5925,0)</t>
  </si>
  <si>
    <t>="""NAV Direct"",""CRONUS JetCorp USA"",""21"",""1"",""290174"""</t>
  </si>
  <si>
    <t>=E5924</t>
  </si>
  <si>
    <t>=StartDate-$M5926+1</t>
  </si>
  <si>
    <t>=SUM(P5926:T5926)</t>
  </si>
  <si>
    <t>=IF($M5926&gt;=$P$18,U5926,0)</t>
  </si>
  <si>
    <t>=IF(AND($M5926&gt;=$Q$16,$M5926&lt;=$Q$18),U5926,0)</t>
  </si>
  <si>
    <t>=IF(AND($M5926&gt;=$R$16,$M5926&lt;=$R$18),U5926,0)</t>
  </si>
  <si>
    <t>=IF(AND($M5926&gt;=$S$16,$M5926&lt;=$S$18),U5926,0)</t>
  </si>
  <si>
    <t>=IF($M5926&lt;=$T$18,U5926,0)</t>
  </si>
  <si>
    <t>="""NAV Direct"",""CRONUS JetCorp USA"",""21"",""1"",""292479"""</t>
  </si>
  <si>
    <t>=E5925</t>
  </si>
  <si>
    <t>=StartDate-$M5927+1</t>
  </si>
  <si>
    <t>=SUM(P5927:T5927)</t>
  </si>
  <si>
    <t>=IF($M5927&gt;=$P$18,U5927,0)</t>
  </si>
  <si>
    <t>=IF(AND($M5927&gt;=$Q$16,$M5927&lt;=$Q$18),U5927,0)</t>
  </si>
  <si>
    <t>=IF(AND($M5927&gt;=$R$16,$M5927&lt;=$R$18),U5927,0)</t>
  </si>
  <si>
    <t>=IF(AND($M5927&gt;=$S$16,$M5927&lt;=$S$18),U5927,0)</t>
  </si>
  <si>
    <t>=IF($M5927&lt;=$T$18,U5927,0)</t>
  </si>
  <si>
    <t>="""NAV Direct"",""CRONUS JetCorp USA"",""21"",""1"",""292541"""</t>
  </si>
  <si>
    <t>=E5926</t>
  </si>
  <si>
    <t>=StartDate-$M5928+1</t>
  </si>
  <si>
    <t>=SUM(P5928:T5928)</t>
  </si>
  <si>
    <t>=IF($M5928&gt;=$P$18,U5928,0)</t>
  </si>
  <si>
    <t>=IF(AND($M5928&gt;=$Q$16,$M5928&lt;=$Q$18),U5928,0)</t>
  </si>
  <si>
    <t>=IF(AND($M5928&gt;=$R$16,$M5928&lt;=$R$18),U5928,0)</t>
  </si>
  <si>
    <t>=IF(AND($M5928&gt;=$S$16,$M5928&lt;=$S$18),U5928,0)</t>
  </si>
  <si>
    <t>=IF($M5928&lt;=$T$18,U5928,0)</t>
  </si>
  <si>
    <t>="""NAV Direct"",""CRONUS JetCorp USA"",""21"",""1"",""292838"""</t>
  </si>
  <si>
    <t>=E5927</t>
  </si>
  <si>
    <t>=StartDate-$M5929+1</t>
  </si>
  <si>
    <t>=SUM(P5929:T5929)</t>
  </si>
  <si>
    <t>=IF($M5929&gt;=$P$18,U5929,0)</t>
  </si>
  <si>
    <t>=IF(AND($M5929&gt;=$Q$16,$M5929&lt;=$Q$18),U5929,0)</t>
  </si>
  <si>
    <t>=IF(AND($M5929&gt;=$R$16,$M5929&lt;=$R$18),U5929,0)</t>
  </si>
  <si>
    <t>=IF(AND($M5929&gt;=$S$16,$M5929&lt;=$S$18),U5929,0)</t>
  </si>
  <si>
    <t>=IF($M5929&lt;=$T$18,U5929,0)</t>
  </si>
  <si>
    <t>="""NAV Direct"",""CRONUS JetCorp USA"",""21"",""1"",""294039"""</t>
  </si>
  <si>
    <t>=E5928</t>
  </si>
  <si>
    <t>=StartDate-$M5930+1</t>
  </si>
  <si>
    <t>=SUM(P5930:T5930)</t>
  </si>
  <si>
    <t>=IF($M5930&gt;=$P$18,U5930,0)</t>
  </si>
  <si>
    <t>=IF(AND($M5930&gt;=$Q$16,$M5930&lt;=$Q$18),U5930,0)</t>
  </si>
  <si>
    <t>=IF(AND($M5930&gt;=$R$16,$M5930&lt;=$R$18),U5930,0)</t>
  </si>
  <si>
    <t>=IF(AND($M5930&gt;=$S$16,$M5930&lt;=$S$18),U5930,0)</t>
  </si>
  <si>
    <t>=IF($M5930&lt;=$T$18,U5930,0)</t>
  </si>
  <si>
    <t>="""NAV Direct"",""CRONUS JetCorp USA"",""21"",""1"",""294134"""</t>
  </si>
  <si>
    <t>=E5929</t>
  </si>
  <si>
    <t>=StartDate-$M5931+1</t>
  </si>
  <si>
    <t>=SUM(P5931:T5931)</t>
  </si>
  <si>
    <t>=IF($M5931&gt;=$P$18,U5931,0)</t>
  </si>
  <si>
    <t>=IF(AND($M5931&gt;=$Q$16,$M5931&lt;=$Q$18),U5931,0)</t>
  </si>
  <si>
    <t>=IF(AND($M5931&gt;=$R$16,$M5931&lt;=$R$18),U5931,0)</t>
  </si>
  <si>
    <t>=IF(AND($M5931&gt;=$S$16,$M5931&lt;=$S$18),U5931,0)</t>
  </si>
  <si>
    <t>=IF($M5931&lt;=$T$18,U5931,0)</t>
  </si>
  <si>
    <t>="""NAV Direct"",""CRONUS JetCorp USA"",""21"",""1"",""294974"""</t>
  </si>
  <si>
    <t>=E5930</t>
  </si>
  <si>
    <t>=StartDate-$M5932+1</t>
  </si>
  <si>
    <t>=SUM(P5932:T5932)</t>
  </si>
  <si>
    <t>=IF($M5932&gt;=$P$18,U5932,0)</t>
  </si>
  <si>
    <t>=IF(AND($M5932&gt;=$Q$16,$M5932&lt;=$Q$18),U5932,0)</t>
  </si>
  <si>
    <t>=IF(AND($M5932&gt;=$R$16,$M5932&lt;=$R$18),U5932,0)</t>
  </si>
  <si>
    <t>=IF(AND($M5932&gt;=$S$16,$M5932&lt;=$S$18),U5932,0)</t>
  </si>
  <si>
    <t>=IF($M5932&lt;=$T$18,U5932,0)</t>
  </si>
  <si>
    <t>="""NAV Direct"",""CRONUS JetCorp USA"",""21"",""1"",""297590"""</t>
  </si>
  <si>
    <t>=E5931</t>
  </si>
  <si>
    <t>=StartDate-$M5933+1</t>
  </si>
  <si>
    <t>=SUM(P5933:T5933)</t>
  </si>
  <si>
    <t>=IF($M5933&gt;=$P$18,U5933,0)</t>
  </si>
  <si>
    <t>=IF(AND($M5933&gt;=$Q$16,$M5933&lt;=$Q$18),U5933,0)</t>
  </si>
  <si>
    <t>=IF(AND($M5933&gt;=$R$16,$M5933&lt;=$R$18),U5933,0)</t>
  </si>
  <si>
    <t>=IF(AND($M5933&gt;=$S$16,$M5933&lt;=$S$18),U5933,0)</t>
  </si>
  <si>
    <t>=IF($M5933&lt;=$T$18,U5933,0)</t>
  </si>
  <si>
    <t>="""NAV Direct"",""CRONUS JetCorp USA"",""21"",""1"",""297672"""</t>
  </si>
  <si>
    <t>=E5932</t>
  </si>
  <si>
    <t>=StartDate-$M5934+1</t>
  </si>
  <si>
    <t>=SUM(P5934:T5934)</t>
  </si>
  <si>
    <t>=IF($M5934&gt;=$P$18,U5934,0)</t>
  </si>
  <si>
    <t>=IF(AND($M5934&gt;=$Q$16,$M5934&lt;=$Q$18),U5934,0)</t>
  </si>
  <si>
    <t>=IF(AND($M5934&gt;=$R$16,$M5934&lt;=$R$18),U5934,0)</t>
  </si>
  <si>
    <t>=IF(AND($M5934&gt;=$S$16,$M5934&lt;=$S$18),U5934,0)</t>
  </si>
  <si>
    <t>=IF($M5934&lt;=$T$18,U5934,0)</t>
  </si>
  <si>
    <t>="""NAV Direct"",""CRONUS JetCorp USA"",""21"",""1"",""297846"""</t>
  </si>
  <si>
    <t>=E5933</t>
  </si>
  <si>
    <t>=StartDate-$M5935+1</t>
  </si>
  <si>
    <t>=SUM(P5935:T5935)</t>
  </si>
  <si>
    <t>=IF($M5935&gt;=$P$18,U5935,0)</t>
  </si>
  <si>
    <t>=IF(AND($M5935&gt;=$Q$16,$M5935&lt;=$Q$18),U5935,0)</t>
  </si>
  <si>
    <t>=IF(AND($M5935&gt;=$R$16,$M5935&lt;=$R$18),U5935,0)</t>
  </si>
  <si>
    <t>=IF(AND($M5935&gt;=$S$16,$M5935&lt;=$S$18),U5935,0)</t>
  </si>
  <si>
    <t>=IF($M5935&lt;=$T$18,U5935,0)</t>
  </si>
  <si>
    <t>="""NAV Direct"",""CRONUS JetCorp USA"",""21"",""1"",""298152"""</t>
  </si>
  <si>
    <t>=E5934</t>
  </si>
  <si>
    <t>=StartDate-$M5936+1</t>
  </si>
  <si>
    <t>=SUM(P5936:T5936)</t>
  </si>
  <si>
    <t>=IF($M5936&gt;=$P$18,U5936,0)</t>
  </si>
  <si>
    <t>=IF(AND($M5936&gt;=$Q$16,$M5936&lt;=$Q$18),U5936,0)</t>
  </si>
  <si>
    <t>=IF(AND($M5936&gt;=$R$16,$M5936&lt;=$R$18),U5936,0)</t>
  </si>
  <si>
    <t>=IF(AND($M5936&gt;=$S$16,$M5936&lt;=$S$18),U5936,0)</t>
  </si>
  <si>
    <t>=IF($M5936&lt;=$T$18,U5936,0)</t>
  </si>
  <si>
    <t>="""NAV Direct"",""CRONUS JetCorp USA"",""21"",""1"",""300777"""</t>
  </si>
  <si>
    <t>=E5935</t>
  </si>
  <si>
    <t>=StartDate-$M5937+1</t>
  </si>
  <si>
    <t>=SUM(P5937:T5937)</t>
  </si>
  <si>
    <t>=IF($M5937&gt;=$P$18,U5937,0)</t>
  </si>
  <si>
    <t>=IF(AND($M5937&gt;=$Q$16,$M5937&lt;=$Q$18),U5937,0)</t>
  </si>
  <si>
    <t>=IF(AND($M5937&gt;=$R$16,$M5937&lt;=$R$18),U5937,0)</t>
  </si>
  <si>
    <t>=IF(AND($M5937&gt;=$S$16,$M5937&lt;=$S$18),U5937,0)</t>
  </si>
  <si>
    <t>=IF($M5937&lt;=$T$18,U5937,0)</t>
  </si>
  <si>
    <t>="""NAV Direct"",""CRONUS JetCorp USA"",""21"",""1"",""302746"""</t>
  </si>
  <si>
    <t>=E5936</t>
  </si>
  <si>
    <t>=StartDate-$M5938+1</t>
  </si>
  <si>
    <t>=SUM(P5938:T5938)</t>
  </si>
  <si>
    <t>=IF($M5938&gt;=$P$18,U5938,0)</t>
  </si>
  <si>
    <t>=IF(AND($M5938&gt;=$Q$16,$M5938&lt;=$Q$18),U5938,0)</t>
  </si>
  <si>
    <t>=IF(AND($M5938&gt;=$R$16,$M5938&lt;=$R$18),U5938,0)</t>
  </si>
  <si>
    <t>=IF(AND($M5938&gt;=$S$16,$M5938&lt;=$S$18),U5938,0)</t>
  </si>
  <si>
    <t>=IF($M5938&lt;=$T$18,U5938,0)</t>
  </si>
  <si>
    <t>="""NAV Direct"",""CRONUS JetCorp USA"",""21"",""1"",""302870"""</t>
  </si>
  <si>
    <t>=E5937</t>
  </si>
  <si>
    <t>=StartDate-$M5939+1</t>
  </si>
  <si>
    <t>=SUM(P5939:T5939)</t>
  </si>
  <si>
    <t>=IF($M5939&gt;=$P$18,U5939,0)</t>
  </si>
  <si>
    <t>=IF(AND($M5939&gt;=$Q$16,$M5939&lt;=$Q$18),U5939,0)</t>
  </si>
  <si>
    <t>=IF(AND($M5939&gt;=$R$16,$M5939&lt;=$R$18),U5939,0)</t>
  </si>
  <si>
    <t>=IF(AND($M5939&gt;=$S$16,$M5939&lt;=$S$18),U5939,0)</t>
  </si>
  <si>
    <t>=IF($M5939&lt;=$T$18,U5939,0)</t>
  </si>
  <si>
    <t>="""NAV Direct"",""CRONUS JetCorp USA"",""18"",""1"",""C100510"""</t>
  </si>
  <si>
    <t>=H5942</t>
  </si>
  <si>
    <t>=NF($C5942,"1 No.")</t>
  </si>
  <si>
    <t>=NF($C5942,"1 No.")&amp;"  -  "&amp;NF($C5942,"2 Name")</t>
  </si>
  <si>
    <t>=IFERROR(O5942/NF(C5942,"Credit Limit (LCY)"),"")</t>
  </si>
  <si>
    <t>=SUBTOTAL(3,L5943:L5971)</t>
  </si>
  <si>
    <t>=SUBTOTAL(9,O5943:O5971)</t>
  </si>
  <si>
    <t>=SUBTOTAL(9,P5943:P5971)</t>
  </si>
  <si>
    <t>=SUBTOTAL(9,Q5943:Q5971)</t>
  </si>
  <si>
    <t>=SUBTOTAL(9,R5943:R5971)</t>
  </si>
  <si>
    <t>=SUBTOTAL(9,S5943:S5971)</t>
  </si>
  <si>
    <t>=SUBTOTAL(9,T5943:T5971)</t>
  </si>
  <si>
    <t>=C5942</t>
  </si>
  <si>
    <t>=E5942</t>
  </si>
  <si>
    <t>="Contact: "&amp;NF($C5943,"8 Contact")</t>
  </si>
  <si>
    <t>=C5943</t>
  </si>
  <si>
    <t>=E5943</t>
  </si>
  <si>
    <t>=NF($C5944,"102 E-Mail")</t>
  </si>
  <si>
    <t>=NL("Rows","21 Cust. Ledger Entry",,"3 Customer No.","@@"&amp;$E5946,"16 Remaining Amt. (LCY)","&lt;&gt;0")</t>
  </si>
  <si>
    <t>=E5944</t>
  </si>
  <si>
    <t>=StartDate-$M5946+1</t>
  </si>
  <si>
    <t>=SUM(P5946:T5946)</t>
  </si>
  <si>
    <t>=IF($M5946&gt;=$P$18,U5946,0)</t>
  </si>
  <si>
    <t>=IF(AND($M5946&gt;=$Q$16,$M5946&lt;=$Q$18),U5946,0)</t>
  </si>
  <si>
    <t>=IF(AND($M5946&gt;=$R$16,$M5946&lt;=$R$18),U5946,0)</t>
  </si>
  <si>
    <t>=IF(AND($M5946&gt;=$S$16,$M5946&lt;=$S$18),U5946,0)</t>
  </si>
  <si>
    <t>=IF($M5946&lt;=$T$18,U5946,0)</t>
  </si>
  <si>
    <t>="""NAV Direct"",""CRONUS JetCorp USA"",""21"",""1"",""282651"""</t>
  </si>
  <si>
    <t>=E5945</t>
  </si>
  <si>
    <t>=StartDate-$M5947+1</t>
  </si>
  <si>
    <t>=SUM(P5947:T5947)</t>
  </si>
  <si>
    <t>=IF($M5947&gt;=$P$18,U5947,0)</t>
  </si>
  <si>
    <t>=IF(AND($M5947&gt;=$Q$16,$M5947&lt;=$Q$18),U5947,0)</t>
  </si>
  <si>
    <t>=IF(AND($M5947&gt;=$R$16,$M5947&lt;=$R$18),U5947,0)</t>
  </si>
  <si>
    <t>=IF(AND($M5947&gt;=$S$16,$M5947&lt;=$S$18),U5947,0)</t>
  </si>
  <si>
    <t>=IF($M5947&lt;=$T$18,U5947,0)</t>
  </si>
  <si>
    <t>="""NAV Direct"",""CRONUS JetCorp USA"",""21"",""1"",""284220"""</t>
  </si>
  <si>
    <t>=E5946</t>
  </si>
  <si>
    <t>=StartDate-$M5948+1</t>
  </si>
  <si>
    <t>=SUM(P5948:T5948)</t>
  </si>
  <si>
    <t>=IF($M5948&gt;=$P$18,U5948,0)</t>
  </si>
  <si>
    <t>=IF(AND($M5948&gt;=$Q$16,$M5948&lt;=$Q$18),U5948,0)</t>
  </si>
  <si>
    <t>=IF(AND($M5948&gt;=$R$16,$M5948&lt;=$R$18),U5948,0)</t>
  </si>
  <si>
    <t>=IF(AND($M5948&gt;=$S$16,$M5948&lt;=$S$18),U5948,0)</t>
  </si>
  <si>
    <t>=IF($M5948&lt;=$T$18,U5948,0)</t>
  </si>
  <si>
    <t>="""NAV Direct"",""CRONUS JetCorp USA"",""21"",""1"",""284274"""</t>
  </si>
  <si>
    <t>=E5947</t>
  </si>
  <si>
    <t>=StartDate-$M5949+1</t>
  </si>
  <si>
    <t>=SUM(P5949:T5949)</t>
  </si>
  <si>
    <t>=IF($M5949&gt;=$P$18,U5949,0)</t>
  </si>
  <si>
    <t>=IF(AND($M5949&gt;=$Q$16,$M5949&lt;=$Q$18),U5949,0)</t>
  </si>
  <si>
    <t>=IF(AND($M5949&gt;=$R$16,$M5949&lt;=$R$18),U5949,0)</t>
  </si>
  <si>
    <t>=IF(AND($M5949&gt;=$S$16,$M5949&lt;=$S$18),U5949,0)</t>
  </si>
  <si>
    <t>=IF($M5949&lt;=$T$18,U5949,0)</t>
  </si>
  <si>
    <t>="""NAV Direct"",""CRONUS JetCorp USA"",""21"",""1"",""286927"""</t>
  </si>
  <si>
    <t>=E5948</t>
  </si>
  <si>
    <t>=StartDate-$M5950+1</t>
  </si>
  <si>
    <t>=SUM(P5950:T5950)</t>
  </si>
  <si>
    <t>=IF($M5950&gt;=$P$18,U5950,0)</t>
  </si>
  <si>
    <t>=IF(AND($M5950&gt;=$Q$16,$M5950&lt;=$Q$18),U5950,0)</t>
  </si>
  <si>
    <t>=IF(AND($M5950&gt;=$R$16,$M5950&lt;=$R$18),U5950,0)</t>
  </si>
  <si>
    <t>=IF(AND($M5950&gt;=$S$16,$M5950&lt;=$S$18),U5950,0)</t>
  </si>
  <si>
    <t>=IF($M5950&lt;=$T$18,U5950,0)</t>
  </si>
  <si>
    <t>="""NAV Direct"",""CRONUS JetCorp USA"",""21"",""1"",""288456"""</t>
  </si>
  <si>
    <t>=E5949</t>
  </si>
  <si>
    <t>=StartDate-$M5951+1</t>
  </si>
  <si>
    <t>=SUM(P5951:T5951)</t>
  </si>
  <si>
    <t>=IF($M5951&gt;=$P$18,U5951,0)</t>
  </si>
  <si>
    <t>=IF(AND($M5951&gt;=$Q$16,$M5951&lt;=$Q$18),U5951,0)</t>
  </si>
  <si>
    <t>=IF(AND($M5951&gt;=$R$16,$M5951&lt;=$R$18),U5951,0)</t>
  </si>
  <si>
    <t>=IF(AND($M5951&gt;=$S$16,$M5951&lt;=$S$18),U5951,0)</t>
  </si>
  <si>
    <t>=IF($M5951&lt;=$T$18,U5951,0)</t>
  </si>
  <si>
    <t>="""NAV Direct"",""CRONUS JetCorp USA"",""21"",""1"",""288813"""</t>
  </si>
  <si>
    <t>=E5950</t>
  </si>
  <si>
    <t>=StartDate-$M5952+1</t>
  </si>
  <si>
    <t>=SUM(P5952:T5952)</t>
  </si>
  <si>
    <t>=IF($M5952&gt;=$P$18,U5952,0)</t>
  </si>
  <si>
    <t>=IF(AND($M5952&gt;=$Q$16,$M5952&lt;=$Q$18),U5952,0)</t>
  </si>
  <si>
    <t>=IF(AND($M5952&gt;=$R$16,$M5952&lt;=$R$18),U5952,0)</t>
  </si>
  <si>
    <t>=IF(AND($M5952&gt;=$S$16,$M5952&lt;=$S$18),U5952,0)</t>
  </si>
  <si>
    <t>=IF($M5952&lt;=$T$18,U5952,0)</t>
  </si>
  <si>
    <t>="""NAV Direct"",""CRONUS JetCorp USA"",""21"",""1"",""289871"""</t>
  </si>
  <si>
    <t>=E5951</t>
  </si>
  <si>
    <t>=StartDate-$M5953+1</t>
  </si>
  <si>
    <t>=SUM(P5953:T5953)</t>
  </si>
  <si>
    <t>=IF($M5953&gt;=$P$18,U5953,0)</t>
  </si>
  <si>
    <t>=IF(AND($M5953&gt;=$Q$16,$M5953&lt;=$Q$18),U5953,0)</t>
  </si>
  <si>
    <t>=IF(AND($M5953&gt;=$R$16,$M5953&lt;=$R$18),U5953,0)</t>
  </si>
  <si>
    <t>=IF(AND($M5953&gt;=$S$16,$M5953&lt;=$S$18),U5953,0)</t>
  </si>
  <si>
    <t>=IF($M5953&lt;=$T$18,U5953,0)</t>
  </si>
  <si>
    <t>="""NAV Direct"",""CRONUS JetCorp USA"",""21"",""1"",""290091"""</t>
  </si>
  <si>
    <t>=E5952</t>
  </si>
  <si>
    <t>=StartDate-$M5954+1</t>
  </si>
  <si>
    <t>=SUM(P5954:T5954)</t>
  </si>
  <si>
    <t>=IF($M5954&gt;=$P$18,U5954,0)</t>
  </si>
  <si>
    <t>=IF(AND($M5954&gt;=$Q$16,$M5954&lt;=$Q$18),U5954,0)</t>
  </si>
  <si>
    <t>=IF(AND($M5954&gt;=$R$16,$M5954&lt;=$R$18),U5954,0)</t>
  </si>
  <si>
    <t>=IF(AND($M5954&gt;=$S$16,$M5954&lt;=$S$18),U5954,0)</t>
  </si>
  <si>
    <t>=IF($M5954&lt;=$T$18,U5954,0)</t>
  </si>
  <si>
    <t>="""NAV Direct"",""CRONUS JetCorp USA"",""21"",""1"",""291170"""</t>
  </si>
  <si>
    <t>=E5953</t>
  </si>
  <si>
    <t>=StartDate-$M5955+1</t>
  </si>
  <si>
    <t>=SUM(P5955:T5955)</t>
  </si>
  <si>
    <t>=IF($M5955&gt;=$P$18,U5955,0)</t>
  </si>
  <si>
    <t>=IF(AND($M5955&gt;=$Q$16,$M5955&lt;=$Q$18),U5955,0)</t>
  </si>
  <si>
    <t>=IF(AND($M5955&gt;=$R$16,$M5955&lt;=$R$18),U5955,0)</t>
  </si>
  <si>
    <t>=IF(AND($M5955&gt;=$S$16,$M5955&lt;=$S$18),U5955,0)</t>
  </si>
  <si>
    <t>=IF($M5955&lt;=$T$18,U5955,0)</t>
  </si>
  <si>
    <t>="""NAV Direct"",""CRONUS JetCorp USA"",""21"",""1"",""291805"""</t>
  </si>
  <si>
    <t>=E5954</t>
  </si>
  <si>
    <t>=StartDate-$M5956+1</t>
  </si>
  <si>
    <t>=SUM(P5956:T5956)</t>
  </si>
  <si>
    <t>=IF($M5956&gt;=$P$18,U5956,0)</t>
  </si>
  <si>
    <t>=IF(AND($M5956&gt;=$Q$16,$M5956&lt;=$Q$18),U5956,0)</t>
  </si>
  <si>
    <t>=IF(AND($M5956&gt;=$R$16,$M5956&lt;=$R$18),U5956,0)</t>
  </si>
  <si>
    <t>=IF(AND($M5956&gt;=$S$16,$M5956&lt;=$S$18),U5956,0)</t>
  </si>
  <si>
    <t>=IF($M5956&lt;=$T$18,U5956,0)</t>
  </si>
  <si>
    <t>="""NAV Direct"",""CRONUS JetCorp USA"",""21"",""1"",""291931"""</t>
  </si>
  <si>
    <t>=E5955</t>
  </si>
  <si>
    <t>=StartDate-$M5957+1</t>
  </si>
  <si>
    <t>=SUM(P5957:T5957)</t>
  </si>
  <si>
    <t>=IF($M5957&gt;=$P$18,U5957,0)</t>
  </si>
  <si>
    <t>=IF(AND($M5957&gt;=$Q$16,$M5957&lt;=$Q$18),U5957,0)</t>
  </si>
  <si>
    <t>=IF(AND($M5957&gt;=$R$16,$M5957&lt;=$R$18),U5957,0)</t>
  </si>
  <si>
    <t>=IF(AND($M5957&gt;=$S$16,$M5957&lt;=$S$18),U5957,0)</t>
  </si>
  <si>
    <t>=IF($M5957&lt;=$T$18,U5957,0)</t>
  </si>
  <si>
    <t>="""NAV Direct"",""CRONUS JetCorp USA"",""21"",""1"",""292225"""</t>
  </si>
  <si>
    <t>=E5956</t>
  </si>
  <si>
    <t>=StartDate-$M5958+1</t>
  </si>
  <si>
    <t>=SUM(P5958:T5958)</t>
  </si>
  <si>
    <t>=IF($M5958&gt;=$P$18,U5958,0)</t>
  </si>
  <si>
    <t>=IF(AND($M5958&gt;=$Q$16,$M5958&lt;=$Q$18),U5958,0)</t>
  </si>
  <si>
    <t>=IF(AND($M5958&gt;=$R$16,$M5958&lt;=$R$18),U5958,0)</t>
  </si>
  <si>
    <t>=IF(AND($M5958&gt;=$S$16,$M5958&lt;=$S$18),U5958,0)</t>
  </si>
  <si>
    <t>=IF($M5958&lt;=$T$18,U5958,0)</t>
  </si>
  <si>
    <t>="""NAV Direct"",""CRONUS JetCorp USA"",""21"",""1"",""292514"""</t>
  </si>
  <si>
    <t>=E5957</t>
  </si>
  <si>
    <t>=StartDate-$M5959+1</t>
  </si>
  <si>
    <t>=SUM(P5959:T5959)</t>
  </si>
  <si>
    <t>=IF($M5959&gt;=$P$18,U5959,0)</t>
  </si>
  <si>
    <t>=IF(AND($M5959&gt;=$Q$16,$M5959&lt;=$Q$18),U5959,0)</t>
  </si>
  <si>
    <t>=IF(AND($M5959&gt;=$R$16,$M5959&lt;=$R$18),U5959,0)</t>
  </si>
  <si>
    <t>=IF(AND($M5959&gt;=$S$16,$M5959&lt;=$S$18),U5959,0)</t>
  </si>
  <si>
    <t>=IF($M5959&lt;=$T$18,U5959,0)</t>
  </si>
  <si>
    <t>="""NAV Direct"",""CRONUS JetCorp USA"",""21"",""1"",""293078"""</t>
  </si>
  <si>
    <t>=E5958</t>
  </si>
  <si>
    <t>=StartDate-$M5960+1</t>
  </si>
  <si>
    <t>=SUM(P5960:T5960)</t>
  </si>
  <si>
    <t>=IF($M5960&gt;=$P$18,U5960,0)</t>
  </si>
  <si>
    <t>=IF(AND($M5960&gt;=$Q$16,$M5960&lt;=$Q$18),U5960,0)</t>
  </si>
  <si>
    <t>=IF(AND($M5960&gt;=$R$16,$M5960&lt;=$R$18),U5960,0)</t>
  </si>
  <si>
    <t>=IF(AND($M5960&gt;=$S$16,$M5960&lt;=$S$18),U5960,0)</t>
  </si>
  <si>
    <t>=IF($M5960&lt;=$T$18,U5960,0)</t>
  </si>
  <si>
    <t>="""NAV Direct"",""CRONUS JetCorp USA"",""21"",""1"",""293991"""</t>
  </si>
  <si>
    <t>=E5959</t>
  </si>
  <si>
    <t>=StartDate-$M5961+1</t>
  </si>
  <si>
    <t>=SUM(P5961:T5961)</t>
  </si>
  <si>
    <t>=IF($M5961&gt;=$P$18,U5961,0)</t>
  </si>
  <si>
    <t>=IF(AND($M5961&gt;=$Q$16,$M5961&lt;=$Q$18),U5961,0)</t>
  </si>
  <si>
    <t>=IF(AND($M5961&gt;=$R$16,$M5961&lt;=$R$18),U5961,0)</t>
  </si>
  <si>
    <t>=IF(AND($M5961&gt;=$S$16,$M5961&lt;=$S$18),U5961,0)</t>
  </si>
  <si>
    <t>=IF($M5961&lt;=$T$18,U5961,0)</t>
  </si>
  <si>
    <t>="""NAV Direct"",""CRONUS JetCorp USA"",""21"",""1"",""294070"""</t>
  </si>
  <si>
    <t>=E5960</t>
  </si>
  <si>
    <t>=StartDate-$M5962+1</t>
  </si>
  <si>
    <t>=SUM(P5962:T5962)</t>
  </si>
  <si>
    <t>=IF($M5962&gt;=$P$18,U5962,0)</t>
  </si>
  <si>
    <t>=IF(AND($M5962&gt;=$Q$16,$M5962&lt;=$Q$18),U5962,0)</t>
  </si>
  <si>
    <t>=IF(AND($M5962&gt;=$R$16,$M5962&lt;=$R$18),U5962,0)</t>
  </si>
  <si>
    <t>=IF(AND($M5962&gt;=$S$16,$M5962&lt;=$S$18),U5962,0)</t>
  </si>
  <si>
    <t>=IF($M5962&lt;=$T$18,U5962,0)</t>
  </si>
  <si>
    <t>="""NAV Direct"",""CRONUS JetCorp USA"",""21"",""1"",""295999"""</t>
  </si>
  <si>
    <t>=E5961</t>
  </si>
  <si>
    <t>=StartDate-$M5963+1</t>
  </si>
  <si>
    <t>=SUM(P5963:T5963)</t>
  </si>
  <si>
    <t>=IF($M5963&gt;=$P$18,U5963,0)</t>
  </si>
  <si>
    <t>=IF(AND($M5963&gt;=$Q$16,$M5963&lt;=$Q$18),U5963,0)</t>
  </si>
  <si>
    <t>=IF(AND($M5963&gt;=$R$16,$M5963&lt;=$R$18),U5963,0)</t>
  </si>
  <si>
    <t>=IF(AND($M5963&gt;=$S$16,$M5963&lt;=$S$18),U5963,0)</t>
  </si>
  <si>
    <t>=IF($M5963&lt;=$T$18,U5963,0)</t>
  </si>
  <si>
    <t>="""NAV Direct"",""CRONUS JetCorp USA"",""21"",""1"",""297553"""</t>
  </si>
  <si>
    <t>=E5962</t>
  </si>
  <si>
    <t>=StartDate-$M5964+1</t>
  </si>
  <si>
    <t>=SUM(P5964:T5964)</t>
  </si>
  <si>
    <t>=IF($M5964&gt;=$P$18,U5964,0)</t>
  </si>
  <si>
    <t>=IF(AND($M5964&gt;=$Q$16,$M5964&lt;=$Q$18),U5964,0)</t>
  </si>
  <si>
    <t>=IF(AND($M5964&gt;=$R$16,$M5964&lt;=$R$18),U5964,0)</t>
  </si>
  <si>
    <t>=IF(AND($M5964&gt;=$S$16,$M5964&lt;=$S$18),U5964,0)</t>
  </si>
  <si>
    <t>=IF($M5964&lt;=$T$18,U5964,0)</t>
  </si>
  <si>
    <t>="""NAV Direct"",""CRONUS JetCorp USA"",""21"",""1"",""297742"""</t>
  </si>
  <si>
    <t>=E5963</t>
  </si>
  <si>
    <t>=StartDate-$M5965+1</t>
  </si>
  <si>
    <t>=SUM(P5965:T5965)</t>
  </si>
  <si>
    <t>=IF($M5965&gt;=$P$18,U5965,0)</t>
  </si>
  <si>
    <t>=IF(AND($M5965&gt;=$Q$16,$M5965&lt;=$Q$18),U5965,0)</t>
  </si>
  <si>
    <t>=IF(AND($M5965&gt;=$R$16,$M5965&lt;=$R$18),U5965,0)</t>
  </si>
  <si>
    <t>=IF(AND($M5965&gt;=$S$16,$M5965&lt;=$S$18),U5965,0)</t>
  </si>
  <si>
    <t>=IF($M5965&lt;=$T$18,U5965,0)</t>
  </si>
  <si>
    <t>="""NAV Direct"",""CRONUS JetCorp USA"",""21"",""1"",""299096"""</t>
  </si>
  <si>
    <t>=E5964</t>
  </si>
  <si>
    <t>=StartDate-$M5966+1</t>
  </si>
  <si>
    <t>=SUM(P5966:T5966)</t>
  </si>
  <si>
    <t>=IF($M5966&gt;=$P$18,U5966,0)</t>
  </si>
  <si>
    <t>=IF(AND($M5966&gt;=$Q$16,$M5966&lt;=$Q$18),U5966,0)</t>
  </si>
  <si>
    <t>=IF(AND($M5966&gt;=$R$16,$M5966&lt;=$R$18),U5966,0)</t>
  </si>
  <si>
    <t>=IF(AND($M5966&gt;=$S$16,$M5966&lt;=$S$18),U5966,0)</t>
  </si>
  <si>
    <t>=IF($M5966&lt;=$T$18,U5966,0)</t>
  </si>
  <si>
    <t>="""NAV Direct"",""CRONUS JetCorp USA"",""21"",""1"",""299724"""</t>
  </si>
  <si>
    <t>=E5965</t>
  </si>
  <si>
    <t>=StartDate-$M5967+1</t>
  </si>
  <si>
    <t>=SUM(P5967:T5967)</t>
  </si>
  <si>
    <t>=IF($M5967&gt;=$P$18,U5967,0)</t>
  </si>
  <si>
    <t>=IF(AND($M5967&gt;=$Q$16,$M5967&lt;=$Q$18),U5967,0)</t>
  </si>
  <si>
    <t>=IF(AND($M5967&gt;=$R$16,$M5967&lt;=$R$18),U5967,0)</t>
  </si>
  <si>
    <t>=IF(AND($M5967&gt;=$S$16,$M5967&lt;=$S$18),U5967,0)</t>
  </si>
  <si>
    <t>=IF($M5967&lt;=$T$18,U5967,0)</t>
  </si>
  <si>
    <t>="""NAV Direct"",""CRONUS JetCorp USA"",""21"",""1"",""300855"""</t>
  </si>
  <si>
    <t>=E5966</t>
  </si>
  <si>
    <t>=StartDate-$M5968+1</t>
  </si>
  <si>
    <t>=SUM(P5968:T5968)</t>
  </si>
  <si>
    <t>=IF($M5968&gt;=$P$18,U5968,0)</t>
  </si>
  <si>
    <t>=IF(AND($M5968&gt;=$Q$16,$M5968&lt;=$Q$18),U5968,0)</t>
  </si>
  <si>
    <t>=IF(AND($M5968&gt;=$R$16,$M5968&lt;=$R$18),U5968,0)</t>
  </si>
  <si>
    <t>=IF(AND($M5968&gt;=$S$16,$M5968&lt;=$S$18),U5968,0)</t>
  </si>
  <si>
    <t>=IF($M5968&lt;=$T$18,U5968,0)</t>
  </si>
  <si>
    <t>="""NAV Direct"",""CRONUS JetCorp USA"",""21"",""1"",""301298"""</t>
  </si>
  <si>
    <t>=E5967</t>
  </si>
  <si>
    <t>=StartDate-$M5969+1</t>
  </si>
  <si>
    <t>=SUM(P5969:T5969)</t>
  </si>
  <si>
    <t>=IF($M5969&gt;=$P$18,U5969,0)</t>
  </si>
  <si>
    <t>=IF(AND($M5969&gt;=$Q$16,$M5969&lt;=$Q$18),U5969,0)</t>
  </si>
  <si>
    <t>=IF(AND($M5969&gt;=$R$16,$M5969&lt;=$R$18),U5969,0)</t>
  </si>
  <si>
    <t>=IF(AND($M5969&gt;=$S$16,$M5969&lt;=$S$18),U5969,0)</t>
  </si>
  <si>
    <t>=IF($M5969&lt;=$T$18,U5969,0)</t>
  </si>
  <si>
    <t>="""NAV Direct"",""CRONUS JetCorp USA"",""21"",""1"",""303773"""</t>
  </si>
  <si>
    <t>=E5968</t>
  </si>
  <si>
    <t>=StartDate-$M5970+1</t>
  </si>
  <si>
    <t>=SUM(P5970:T5970)</t>
  </si>
  <si>
    <t>=IF($M5970&gt;=$P$18,U5970,0)</t>
  </si>
  <si>
    <t>=IF(AND($M5970&gt;=$Q$16,$M5970&lt;=$Q$18),U5970,0)</t>
  </si>
  <si>
    <t>=IF(AND($M5970&gt;=$R$16,$M5970&lt;=$R$18),U5970,0)</t>
  </si>
  <si>
    <t>=IF(AND($M5970&gt;=$S$16,$M5970&lt;=$S$18),U5970,0)</t>
  </si>
  <si>
    <t>=IF($M5970&lt;=$T$18,U5970,0)</t>
  </si>
  <si>
    <t>="""NAV Direct"",""CRONUS JetCorp USA"",""18"",""1"",""C100511"""</t>
  </si>
  <si>
    <t>=H5973</t>
  </si>
  <si>
    <t>=NF($C5973,"1 No.")</t>
  </si>
  <si>
    <t>=NF($C5973,"1 No.")&amp;"  -  "&amp;NF($C5973,"2 Name")</t>
  </si>
  <si>
    <t>=IFERROR(O5973/NF(C5973,"Credit Limit (LCY)"),"")</t>
  </si>
  <si>
    <t>=SUBTOTAL(3,L5974:L6006)</t>
  </si>
  <si>
    <t>=SUBTOTAL(9,O5974:O6006)</t>
  </si>
  <si>
    <t>=SUBTOTAL(9,P5974:P6006)</t>
  </si>
  <si>
    <t>=SUBTOTAL(9,Q5974:Q6006)</t>
  </si>
  <si>
    <t>=SUBTOTAL(9,R5974:R6006)</t>
  </si>
  <si>
    <t>=SUBTOTAL(9,S5974:S6006)</t>
  </si>
  <si>
    <t>=SUBTOTAL(9,T5974:T6006)</t>
  </si>
  <si>
    <t>=C5973</t>
  </si>
  <si>
    <t>=E5973</t>
  </si>
  <si>
    <t>="Contact: "&amp;NF($C5974,"8 Contact")</t>
  </si>
  <si>
    <t>=C5974</t>
  </si>
  <si>
    <t>=E5974</t>
  </si>
  <si>
    <t>=NF($C5975,"102 E-Mail")</t>
  </si>
  <si>
    <t>=NL("Rows","21 Cust. Ledger Entry",,"3 Customer No.","@@"&amp;$E5977,"16 Remaining Amt. (LCY)","&lt;&gt;0")</t>
  </si>
  <si>
    <t>=E5975</t>
  </si>
  <si>
    <t>=StartDate-$M5977+1</t>
  </si>
  <si>
    <t>=SUM(P5977:T5977)</t>
  </si>
  <si>
    <t>=IF($M5977&gt;=$P$18,U5977,0)</t>
  </si>
  <si>
    <t>=IF(AND($M5977&gt;=$Q$16,$M5977&lt;=$Q$18),U5977,0)</t>
  </si>
  <si>
    <t>=IF(AND($M5977&gt;=$R$16,$M5977&lt;=$R$18),U5977,0)</t>
  </si>
  <si>
    <t>=IF(AND($M5977&gt;=$S$16,$M5977&lt;=$S$18),U5977,0)</t>
  </si>
  <si>
    <t>=IF($M5977&lt;=$T$18,U5977,0)</t>
  </si>
  <si>
    <t>="""NAV Direct"",""CRONUS JetCorp USA"",""21"",""1"",""281796"""</t>
  </si>
  <si>
    <t>=E5976</t>
  </si>
  <si>
    <t>=StartDate-$M5978+1</t>
  </si>
  <si>
    <t>=SUM(P5978:T5978)</t>
  </si>
  <si>
    <t>=IF($M5978&gt;=$P$18,U5978,0)</t>
  </si>
  <si>
    <t>=IF(AND($M5978&gt;=$Q$16,$M5978&lt;=$Q$18),U5978,0)</t>
  </si>
  <si>
    <t>=IF(AND($M5978&gt;=$R$16,$M5978&lt;=$R$18),U5978,0)</t>
  </si>
  <si>
    <t>=IF(AND($M5978&gt;=$S$16,$M5978&lt;=$S$18),U5978,0)</t>
  </si>
  <si>
    <t>=IF($M5978&lt;=$T$18,U5978,0)</t>
  </si>
  <si>
    <t>="""NAV Direct"",""CRONUS JetCorp USA"",""21"",""1"",""281858"""</t>
  </si>
  <si>
    <t>=E5977</t>
  </si>
  <si>
    <t>=StartDate-$M5979+1</t>
  </si>
  <si>
    <t>=SUM(P5979:T5979)</t>
  </si>
  <si>
    <t>=IF($M5979&gt;=$P$18,U5979,0)</t>
  </si>
  <si>
    <t>=IF(AND($M5979&gt;=$Q$16,$M5979&lt;=$Q$18),U5979,0)</t>
  </si>
  <si>
    <t>=IF(AND($M5979&gt;=$R$16,$M5979&lt;=$R$18),U5979,0)</t>
  </si>
  <si>
    <t>=IF(AND($M5979&gt;=$S$16,$M5979&lt;=$S$18),U5979,0)</t>
  </si>
  <si>
    <t>=IF($M5979&lt;=$T$18,U5979,0)</t>
  </si>
  <si>
    <t>="""NAV Direct"",""CRONUS JetCorp USA"",""21"",""1"",""282194"""</t>
  </si>
  <si>
    <t>=E5978</t>
  </si>
  <si>
    <t>=StartDate-$M5980+1</t>
  </si>
  <si>
    <t>=SUM(P5980:T5980)</t>
  </si>
  <si>
    <t>=IF($M5980&gt;=$P$18,U5980,0)</t>
  </si>
  <si>
    <t>=IF(AND($M5980&gt;=$Q$16,$M5980&lt;=$Q$18),U5980,0)</t>
  </si>
  <si>
    <t>=IF(AND($M5980&gt;=$R$16,$M5980&lt;=$R$18),U5980,0)</t>
  </si>
  <si>
    <t>=IF(AND($M5980&gt;=$S$16,$M5980&lt;=$S$18),U5980,0)</t>
  </si>
  <si>
    <t>=IF($M5980&lt;=$T$18,U5980,0)</t>
  </si>
  <si>
    <t>="""NAV Direct"",""CRONUS JetCorp USA"",""21"",""1"",""283707"""</t>
  </si>
  <si>
    <t>=E5979</t>
  </si>
  <si>
    <t>=StartDate-$M5981+1</t>
  </si>
  <si>
    <t>=SUM(P5981:T5981)</t>
  </si>
  <si>
    <t>=IF($M5981&gt;=$P$18,U5981,0)</t>
  </si>
  <si>
    <t>=IF(AND($M5981&gt;=$Q$16,$M5981&lt;=$Q$18),U5981,0)</t>
  </si>
  <si>
    <t>=IF(AND($M5981&gt;=$R$16,$M5981&lt;=$R$18),U5981,0)</t>
  </si>
  <si>
    <t>=IF(AND($M5981&gt;=$S$16,$M5981&lt;=$S$18),U5981,0)</t>
  </si>
  <si>
    <t>=IF($M5981&lt;=$T$18,U5981,0)</t>
  </si>
  <si>
    <t>="""NAV Direct"",""CRONUS JetCorp USA"",""21"",""1"",""284516"""</t>
  </si>
  <si>
    <t>=E5980</t>
  </si>
  <si>
    <t>=StartDate-$M5982+1</t>
  </si>
  <si>
    <t>=SUM(P5982:T5982)</t>
  </si>
  <si>
    <t>=IF($M5982&gt;=$P$18,U5982,0)</t>
  </si>
  <si>
    <t>=IF(AND($M5982&gt;=$Q$16,$M5982&lt;=$Q$18),U5982,0)</t>
  </si>
  <si>
    <t>=IF(AND($M5982&gt;=$R$16,$M5982&lt;=$R$18),U5982,0)</t>
  </si>
  <si>
    <t>=IF(AND($M5982&gt;=$S$16,$M5982&lt;=$S$18),U5982,0)</t>
  </si>
  <si>
    <t>=IF($M5982&lt;=$T$18,U5982,0)</t>
  </si>
  <si>
    <t>="""NAV Direct"",""CRONUS JetCorp USA"",""21"",""1"",""285069"""</t>
  </si>
  <si>
    <t>=E5981</t>
  </si>
  <si>
    <t>=StartDate-$M5983+1</t>
  </si>
  <si>
    <t>=SUM(P5983:T5983)</t>
  </si>
  <si>
    <t>=IF($M5983&gt;=$P$18,U5983,0)</t>
  </si>
  <si>
    <t>=IF(AND($M5983&gt;=$Q$16,$M5983&lt;=$Q$18),U5983,0)</t>
  </si>
  <si>
    <t>=IF(AND($M5983&gt;=$R$16,$M5983&lt;=$R$18),U5983,0)</t>
  </si>
  <si>
    <t>=IF(AND($M5983&gt;=$S$16,$M5983&lt;=$S$18),U5983,0)</t>
  </si>
  <si>
    <t>=IF($M5983&lt;=$T$18,U5983,0)</t>
  </si>
  <si>
    <t>="""NAV Direct"",""CRONUS JetCorp USA"",""21"",""1"",""287151"""</t>
  </si>
  <si>
    <t>=E5982</t>
  </si>
  <si>
    <t>=StartDate-$M5984+1</t>
  </si>
  <si>
    <t>=SUM(P5984:T5984)</t>
  </si>
  <si>
    <t>=IF($M5984&gt;=$P$18,U5984,0)</t>
  </si>
  <si>
    <t>=IF(AND($M5984&gt;=$Q$16,$M5984&lt;=$Q$18),U5984,0)</t>
  </si>
  <si>
    <t>=IF(AND($M5984&gt;=$R$16,$M5984&lt;=$R$18),U5984,0)</t>
  </si>
  <si>
    <t>=IF(AND($M5984&gt;=$S$16,$M5984&lt;=$S$18),U5984,0)</t>
  </si>
  <si>
    <t>=IF($M5984&lt;=$T$18,U5984,0)</t>
  </si>
  <si>
    <t>="""NAV Direct"",""CRONUS JetCorp USA"",""21"",""1"",""287309"""</t>
  </si>
  <si>
    <t>=E5983</t>
  </si>
  <si>
    <t>=StartDate-$M5985+1</t>
  </si>
  <si>
    <t>=SUM(P5985:T5985)</t>
  </si>
  <si>
    <t>=IF($M5985&gt;=$P$18,U5985,0)</t>
  </si>
  <si>
    <t>=IF(AND($M5985&gt;=$Q$16,$M5985&lt;=$Q$18),U5985,0)</t>
  </si>
  <si>
    <t>=IF(AND($M5985&gt;=$R$16,$M5985&lt;=$R$18),U5985,0)</t>
  </si>
  <si>
    <t>=IF(AND($M5985&gt;=$S$16,$M5985&lt;=$S$18),U5985,0)</t>
  </si>
  <si>
    <t>=IF($M5985&lt;=$T$18,U5985,0)</t>
  </si>
  <si>
    <t>="""NAV Direct"",""CRONUS JetCorp USA"",""21"",""1"",""287541"""</t>
  </si>
  <si>
    <t>=E5984</t>
  </si>
  <si>
    <t>=StartDate-$M5986+1</t>
  </si>
  <si>
    <t>=SUM(P5986:T5986)</t>
  </si>
  <si>
    <t>=IF($M5986&gt;=$P$18,U5986,0)</t>
  </si>
  <si>
    <t>=IF(AND($M5986&gt;=$Q$16,$M5986&lt;=$Q$18),U5986,0)</t>
  </si>
  <si>
    <t>=IF(AND($M5986&gt;=$R$16,$M5986&lt;=$R$18),U5986,0)</t>
  </si>
  <si>
    <t>=IF(AND($M5986&gt;=$S$16,$M5986&lt;=$S$18),U5986,0)</t>
  </si>
  <si>
    <t>=IF($M5986&lt;=$T$18,U5986,0)</t>
  </si>
  <si>
    <t>="""NAV Direct"",""CRONUS JetCorp USA"",""21"",""1"",""287782"""</t>
  </si>
  <si>
    <t>=E5985</t>
  </si>
  <si>
    <t>=StartDate-$M5987+1</t>
  </si>
  <si>
    <t>=SUM(P5987:T5987)</t>
  </si>
  <si>
    <t>=IF($M5987&gt;=$P$18,U5987,0)</t>
  </si>
  <si>
    <t>=IF(AND($M5987&gt;=$Q$16,$M5987&lt;=$Q$18),U5987,0)</t>
  </si>
  <si>
    <t>=IF(AND($M5987&gt;=$R$16,$M5987&lt;=$R$18),U5987,0)</t>
  </si>
  <si>
    <t>=IF(AND($M5987&gt;=$S$16,$M5987&lt;=$S$18),U5987,0)</t>
  </si>
  <si>
    <t>=IF($M5987&lt;=$T$18,U5987,0)</t>
  </si>
  <si>
    <t>="""NAV Direct"",""CRONUS JetCorp USA"",""21"",""1"",""288751"""</t>
  </si>
  <si>
    <t>=E5986</t>
  </si>
  <si>
    <t>=StartDate-$M5988+1</t>
  </si>
  <si>
    <t>=SUM(P5988:T5988)</t>
  </si>
  <si>
    <t>=IF($M5988&gt;=$P$18,U5988,0)</t>
  </si>
  <si>
    <t>=IF(AND($M5988&gt;=$Q$16,$M5988&lt;=$Q$18),U5988,0)</t>
  </si>
  <si>
    <t>=IF(AND($M5988&gt;=$R$16,$M5988&lt;=$R$18),U5988,0)</t>
  </si>
  <si>
    <t>=IF(AND($M5988&gt;=$S$16,$M5988&lt;=$S$18),U5988,0)</t>
  </si>
  <si>
    <t>=IF($M5988&lt;=$T$18,U5988,0)</t>
  </si>
  <si>
    <t>="""NAV Direct"",""CRONUS JetCorp USA"",""21"",""1"",""288948"""</t>
  </si>
  <si>
    <t>=E5987</t>
  </si>
  <si>
    <t>=StartDate-$M5989+1</t>
  </si>
  <si>
    <t>=SUM(P5989:T5989)</t>
  </si>
  <si>
    <t>=IF($M5989&gt;=$P$18,U5989,0)</t>
  </si>
  <si>
    <t>=IF(AND($M5989&gt;=$Q$16,$M5989&lt;=$Q$18),U5989,0)</t>
  </si>
  <si>
    <t>=IF(AND($M5989&gt;=$R$16,$M5989&lt;=$R$18),U5989,0)</t>
  </si>
  <si>
    <t>=IF(AND($M5989&gt;=$S$16,$M5989&lt;=$S$18),U5989,0)</t>
  </si>
  <si>
    <t>=IF($M5989&lt;=$T$18,U5989,0)</t>
  </si>
  <si>
    <t>="""NAV Direct"",""CRONUS JetCorp USA"",""21"",""1"",""290447"""</t>
  </si>
  <si>
    <t>=E5988</t>
  </si>
  <si>
    <t>=StartDate-$M5990+1</t>
  </si>
  <si>
    <t>=SUM(P5990:T5990)</t>
  </si>
  <si>
    <t>=IF($M5990&gt;=$P$18,U5990,0)</t>
  </si>
  <si>
    <t>=IF(AND($M5990&gt;=$Q$16,$M5990&lt;=$Q$18),U5990,0)</t>
  </si>
  <si>
    <t>=IF(AND($M5990&gt;=$R$16,$M5990&lt;=$R$18),U5990,0)</t>
  </si>
  <si>
    <t>=IF(AND($M5990&gt;=$S$16,$M5990&lt;=$S$18),U5990,0)</t>
  </si>
  <si>
    <t>=IF($M5990&lt;=$T$18,U5990,0)</t>
  </si>
  <si>
    <t>="""NAV Direct"",""CRONUS JetCorp USA"",""21"",""1"",""290544"""</t>
  </si>
  <si>
    <t>=E5989</t>
  </si>
  <si>
    <t>=StartDate-$M5991+1</t>
  </si>
  <si>
    <t>=SUM(P5991:T5991)</t>
  </si>
  <si>
    <t>=IF($M5991&gt;=$P$18,U5991,0)</t>
  </si>
  <si>
    <t>=IF(AND($M5991&gt;=$Q$16,$M5991&lt;=$Q$18),U5991,0)</t>
  </si>
  <si>
    <t>=IF(AND($M5991&gt;=$R$16,$M5991&lt;=$R$18),U5991,0)</t>
  </si>
  <si>
    <t>=IF(AND($M5991&gt;=$S$16,$M5991&lt;=$S$18),U5991,0)</t>
  </si>
  <si>
    <t>=IF($M5991&lt;=$T$18,U5991,0)</t>
  </si>
  <si>
    <t>="""NAV Direct"",""CRONUS JetCorp USA"",""21"",""1"",""293134"""</t>
  </si>
  <si>
    <t>=E5990</t>
  </si>
  <si>
    <t>=StartDate-$M5992+1</t>
  </si>
  <si>
    <t>=SUM(P5992:T5992)</t>
  </si>
  <si>
    <t>=IF($M5992&gt;=$P$18,U5992,0)</t>
  </si>
  <si>
    <t>=IF(AND($M5992&gt;=$Q$16,$M5992&lt;=$Q$18),U5992,0)</t>
  </si>
  <si>
    <t>=IF(AND($M5992&gt;=$R$16,$M5992&lt;=$R$18),U5992,0)</t>
  </si>
  <si>
    <t>=IF(AND($M5992&gt;=$S$16,$M5992&lt;=$S$18),U5992,0)</t>
  </si>
  <si>
    <t>=IF($M5992&lt;=$T$18,U5992,0)</t>
  </si>
  <si>
    <t>="""NAV Direct"",""CRONUS JetCorp USA"",""21"",""1"",""293493"""</t>
  </si>
  <si>
    <t>=E5991</t>
  </si>
  <si>
    <t>=StartDate-$M5993+1</t>
  </si>
  <si>
    <t>=SUM(P5993:T5993)</t>
  </si>
  <si>
    <t>=IF($M5993&gt;=$P$18,U5993,0)</t>
  </si>
  <si>
    <t>=IF(AND($M5993&gt;=$Q$16,$M5993&lt;=$Q$18),U5993,0)</t>
  </si>
  <si>
    <t>=IF(AND($M5993&gt;=$R$16,$M5993&lt;=$R$18),U5993,0)</t>
  </si>
  <si>
    <t>=IF(AND($M5993&gt;=$S$16,$M5993&lt;=$S$18),U5993,0)</t>
  </si>
  <si>
    <t>=IF($M5993&lt;=$T$18,U5993,0)</t>
  </si>
  <si>
    <t>="""NAV Direct"",""CRONUS JetCorp USA"",""21"",""1"",""293666"""</t>
  </si>
  <si>
    <t>=E5992</t>
  </si>
  <si>
    <t>=StartDate-$M5994+1</t>
  </si>
  <si>
    <t>=SUM(P5994:T5994)</t>
  </si>
  <si>
    <t>=IF($M5994&gt;=$P$18,U5994,0)</t>
  </si>
  <si>
    <t>=IF(AND($M5994&gt;=$Q$16,$M5994&lt;=$Q$18),U5994,0)</t>
  </si>
  <si>
    <t>=IF(AND($M5994&gt;=$R$16,$M5994&lt;=$R$18),U5994,0)</t>
  </si>
  <si>
    <t>=IF(AND($M5994&gt;=$S$16,$M5994&lt;=$S$18),U5994,0)</t>
  </si>
  <si>
    <t>=IF($M5994&lt;=$T$18,U5994,0)</t>
  </si>
  <si>
    <t>="""NAV Direct"",""CRONUS JetCorp USA"",""21"",""1"",""296645"""</t>
  </si>
  <si>
    <t>=E5993</t>
  </si>
  <si>
    <t>=StartDate-$M5995+1</t>
  </si>
  <si>
    <t>=SUM(P5995:T5995)</t>
  </si>
  <si>
    <t>=IF($M5995&gt;=$P$18,U5995,0)</t>
  </si>
  <si>
    <t>=IF(AND($M5995&gt;=$Q$16,$M5995&lt;=$Q$18),U5995,0)</t>
  </si>
  <si>
    <t>=IF(AND($M5995&gt;=$R$16,$M5995&lt;=$R$18),U5995,0)</t>
  </si>
  <si>
    <t>=IF(AND($M5995&gt;=$S$16,$M5995&lt;=$S$18),U5995,0)</t>
  </si>
  <si>
    <t>=IF($M5995&lt;=$T$18,U5995,0)</t>
  </si>
  <si>
    <t>="""NAV Direct"",""CRONUS JetCorp USA"",""21"",""1"",""296725"""</t>
  </si>
  <si>
    <t>=E5994</t>
  </si>
  <si>
    <t>=StartDate-$M5996+1</t>
  </si>
  <si>
    <t>=SUM(P5996:T5996)</t>
  </si>
  <si>
    <t>=IF($M5996&gt;=$P$18,U5996,0)</t>
  </si>
  <si>
    <t>=IF(AND($M5996&gt;=$Q$16,$M5996&lt;=$Q$18),U5996,0)</t>
  </si>
  <si>
    <t>=IF(AND($M5996&gt;=$R$16,$M5996&lt;=$R$18),U5996,0)</t>
  </si>
  <si>
    <t>=IF(AND($M5996&gt;=$S$16,$M5996&lt;=$S$18),U5996,0)</t>
  </si>
  <si>
    <t>=IF($M5996&lt;=$T$18,U5996,0)</t>
  </si>
  <si>
    <t>="""NAV Direct"",""CRONUS JetCorp USA"",""21"",""1"",""297147"""</t>
  </si>
  <si>
    <t>=E5995</t>
  </si>
  <si>
    <t>=StartDate-$M5997+1</t>
  </si>
  <si>
    <t>=SUM(P5997:T5997)</t>
  </si>
  <si>
    <t>=IF($M5997&gt;=$P$18,U5997,0)</t>
  </si>
  <si>
    <t>=IF(AND($M5997&gt;=$Q$16,$M5997&lt;=$Q$18),U5997,0)</t>
  </si>
  <si>
    <t>=IF(AND($M5997&gt;=$R$16,$M5997&lt;=$R$18),U5997,0)</t>
  </si>
  <si>
    <t>=IF(AND($M5997&gt;=$S$16,$M5997&lt;=$S$18),U5997,0)</t>
  </si>
  <si>
    <t>=IF($M5997&lt;=$T$18,U5997,0)</t>
  </si>
  <si>
    <t>="""NAV Direct"",""CRONUS JetCorp USA"",""21"",""1"",""298023"""</t>
  </si>
  <si>
    <t>=E5996</t>
  </si>
  <si>
    <t>=StartDate-$M5998+1</t>
  </si>
  <si>
    <t>=SUM(P5998:T5998)</t>
  </si>
  <si>
    <t>=IF($M5998&gt;=$P$18,U5998,0)</t>
  </si>
  <si>
    <t>=IF(AND($M5998&gt;=$Q$16,$M5998&lt;=$Q$18),U5998,0)</t>
  </si>
  <si>
    <t>=IF(AND($M5998&gt;=$R$16,$M5998&lt;=$R$18),U5998,0)</t>
  </si>
  <si>
    <t>=IF(AND($M5998&gt;=$S$16,$M5998&lt;=$S$18),U5998,0)</t>
  </si>
  <si>
    <t>=IF($M5998&lt;=$T$18,U5998,0)</t>
  </si>
  <si>
    <t>="""NAV Direct"",""CRONUS JetCorp USA"",""21"",""1"",""298435"""</t>
  </si>
  <si>
    <t>=E5997</t>
  </si>
  <si>
    <t>=StartDate-$M5999+1</t>
  </si>
  <si>
    <t>=SUM(P5999:T5999)</t>
  </si>
  <si>
    <t>=IF($M5999&gt;=$P$18,U5999,0)</t>
  </si>
  <si>
    <t>=IF(AND($M5999&gt;=$Q$16,$M5999&lt;=$Q$18),U5999,0)</t>
  </si>
  <si>
    <t>=IF(AND($M5999&gt;=$R$16,$M5999&lt;=$R$18),U5999,0)</t>
  </si>
  <si>
    <t>=IF(AND($M5999&gt;=$S$16,$M5999&lt;=$S$18),U5999,0)</t>
  </si>
  <si>
    <t>=IF($M5999&lt;=$T$18,U5999,0)</t>
  </si>
  <si>
    <t>="""NAV Direct"",""CRONUS JetCorp USA"",""21"",""1"",""299069"""</t>
  </si>
  <si>
    <t>=E5998</t>
  </si>
  <si>
    <t>=StartDate-$M6000+1</t>
  </si>
  <si>
    <t>=SUM(P6000:T6000)</t>
  </si>
  <si>
    <t>=IF($M6000&gt;=$P$18,U6000,0)</t>
  </si>
  <si>
    <t>=IF(AND($M6000&gt;=$Q$16,$M6000&lt;=$Q$18),U6000,0)</t>
  </si>
  <si>
    <t>=IF(AND($M6000&gt;=$R$16,$M6000&lt;=$R$18),U6000,0)</t>
  </si>
  <si>
    <t>=IF(AND($M6000&gt;=$S$16,$M6000&lt;=$S$18),U6000,0)</t>
  </si>
  <si>
    <t>=IF($M6000&lt;=$T$18,U6000,0)</t>
  </si>
  <si>
    <t>="""NAV Direct"",""CRONUS JetCorp USA"",""21"",""1"",""299395"""</t>
  </si>
  <si>
    <t>=E5999</t>
  </si>
  <si>
    <t>=StartDate-$M6001+1</t>
  </si>
  <si>
    <t>=SUM(P6001:T6001)</t>
  </si>
  <si>
    <t>=IF($M6001&gt;=$P$18,U6001,0)</t>
  </si>
  <si>
    <t>=IF(AND($M6001&gt;=$Q$16,$M6001&lt;=$Q$18),U6001,0)</t>
  </si>
  <si>
    <t>=IF(AND($M6001&gt;=$R$16,$M6001&lt;=$R$18),U6001,0)</t>
  </si>
  <si>
    <t>=IF(AND($M6001&gt;=$S$16,$M6001&lt;=$S$18),U6001,0)</t>
  </si>
  <si>
    <t>=IF($M6001&lt;=$T$18,U6001,0)</t>
  </si>
  <si>
    <t>="""NAV Direct"",""CRONUS JetCorp USA"",""21"",""1"",""299652"""</t>
  </si>
  <si>
    <t>=E6000</t>
  </si>
  <si>
    <t>=StartDate-$M6002+1</t>
  </si>
  <si>
    <t>=SUM(P6002:T6002)</t>
  </si>
  <si>
    <t>=IF($M6002&gt;=$P$18,U6002,0)</t>
  </si>
  <si>
    <t>=IF(AND($M6002&gt;=$Q$16,$M6002&lt;=$Q$18),U6002,0)</t>
  </si>
  <si>
    <t>=IF(AND($M6002&gt;=$R$16,$M6002&lt;=$R$18),U6002,0)</t>
  </si>
  <si>
    <t>=IF(AND($M6002&gt;=$S$16,$M6002&lt;=$S$18),U6002,0)</t>
  </si>
  <si>
    <t>=IF($M6002&lt;=$T$18,U6002,0)</t>
  </si>
  <si>
    <t>="""NAV Direct"",""CRONUS JetCorp USA"",""21"",""1"",""300373"""</t>
  </si>
  <si>
    <t>=E6001</t>
  </si>
  <si>
    <t>=StartDate-$M6003+1</t>
  </si>
  <si>
    <t>=SUM(P6003:T6003)</t>
  </si>
  <si>
    <t>=IF($M6003&gt;=$P$18,U6003,0)</t>
  </si>
  <si>
    <t>=IF(AND($M6003&gt;=$Q$16,$M6003&lt;=$Q$18),U6003,0)</t>
  </si>
  <si>
    <t>=IF(AND($M6003&gt;=$R$16,$M6003&lt;=$R$18),U6003,0)</t>
  </si>
  <si>
    <t>=IF(AND($M6003&gt;=$S$16,$M6003&lt;=$S$18),U6003,0)</t>
  </si>
  <si>
    <t>=IF($M6003&lt;=$T$18,U6003,0)</t>
  </si>
  <si>
    <t>="""NAV Direct"",""CRONUS JetCorp USA"",""21"",""1"",""302542"""</t>
  </si>
  <si>
    <t>=E6002</t>
  </si>
  <si>
    <t>=StartDate-$M6004+1</t>
  </si>
  <si>
    <t>=SUM(P6004:T6004)</t>
  </si>
  <si>
    <t>=IF($M6004&gt;=$P$18,U6004,0)</t>
  </si>
  <si>
    <t>=IF(AND($M6004&gt;=$Q$16,$M6004&lt;=$Q$18),U6004,0)</t>
  </si>
  <si>
    <t>=IF(AND($M6004&gt;=$R$16,$M6004&lt;=$R$18),U6004,0)</t>
  </si>
  <si>
    <t>=IF(AND($M6004&gt;=$S$16,$M6004&lt;=$S$18),U6004,0)</t>
  </si>
  <si>
    <t>=IF($M6004&lt;=$T$18,U6004,0)</t>
  </si>
  <si>
    <t>="""NAV Direct"",""CRONUS JetCorp USA"",""21"",""1"",""303298"""</t>
  </si>
  <si>
    <t>=E6003</t>
  </si>
  <si>
    <t>=StartDate-$M6005+1</t>
  </si>
  <si>
    <t>=SUM(P6005:T6005)</t>
  </si>
  <si>
    <t>=IF($M6005&gt;=$P$18,U6005,0)</t>
  </si>
  <si>
    <t>=IF(AND($M6005&gt;=$Q$16,$M6005&lt;=$Q$18),U6005,0)</t>
  </si>
  <si>
    <t>=IF(AND($M6005&gt;=$R$16,$M6005&lt;=$R$18),U6005,0)</t>
  </si>
  <si>
    <t>=IF(AND($M6005&gt;=$S$16,$M6005&lt;=$S$18),U6005,0)</t>
  </si>
  <si>
    <t>=IF($M6005&lt;=$T$18,U6005,0)</t>
  </si>
  <si>
    <t>="""NAV Direct"",""CRONUS JetCorp USA"",""18"",""1"",""C100512"""</t>
  </si>
  <si>
    <t>=H6008</t>
  </si>
  <si>
    <t>=NF($C6008,"1 No.")</t>
  </si>
  <si>
    <t>=NF($C6008,"1 No.")&amp;"  -  "&amp;NF($C6008,"2 Name")</t>
  </si>
  <si>
    <t>=IFERROR(O6008/NF(C6008,"Credit Limit (LCY)"),"")</t>
  </si>
  <si>
    <t>=SUBTOTAL(3,L6009:L6036)</t>
  </si>
  <si>
    <t>=SUBTOTAL(9,O6009:O6036)</t>
  </si>
  <si>
    <t>=SUBTOTAL(9,P6009:P6036)</t>
  </si>
  <si>
    <t>=SUBTOTAL(9,Q6009:Q6036)</t>
  </si>
  <si>
    <t>=SUBTOTAL(9,R6009:R6036)</t>
  </si>
  <si>
    <t>=SUBTOTAL(9,S6009:S6036)</t>
  </si>
  <si>
    <t>=SUBTOTAL(9,T6009:T6036)</t>
  </si>
  <si>
    <t>=C6008</t>
  </si>
  <si>
    <t>=E6008</t>
  </si>
  <si>
    <t>="Contact: "&amp;NF($C6009,"8 Contact")</t>
  </si>
  <si>
    <t>=C6009</t>
  </si>
  <si>
    <t>=E6009</t>
  </si>
  <si>
    <t>=NF($C6010,"102 E-Mail")</t>
  </si>
  <si>
    <t>=NL("Rows","21 Cust. Ledger Entry",,"3 Customer No.","@@"&amp;$E6012,"16 Remaining Amt. (LCY)","&lt;&gt;0")</t>
  </si>
  <si>
    <t>=E6010</t>
  </si>
  <si>
    <t>=StartDate-$M6012+1</t>
  </si>
  <si>
    <t>=SUM(P6012:T6012)</t>
  </si>
  <si>
    <t>=IF($M6012&gt;=$P$18,U6012,0)</t>
  </si>
  <si>
    <t>=IF(AND($M6012&gt;=$Q$16,$M6012&lt;=$Q$18),U6012,0)</t>
  </si>
  <si>
    <t>=IF(AND($M6012&gt;=$R$16,$M6012&lt;=$R$18),U6012,0)</t>
  </si>
  <si>
    <t>=IF(AND($M6012&gt;=$S$16,$M6012&lt;=$S$18),U6012,0)</t>
  </si>
  <si>
    <t>=IF($M6012&lt;=$T$18,U6012,0)</t>
  </si>
  <si>
    <t>="""NAV Direct"",""CRONUS JetCorp USA"",""21"",""1"",""283062"""</t>
  </si>
  <si>
    <t>=E6011</t>
  </si>
  <si>
    <t>=StartDate-$M6013+1</t>
  </si>
  <si>
    <t>=SUM(P6013:T6013)</t>
  </si>
  <si>
    <t>=IF($M6013&gt;=$P$18,U6013,0)</t>
  </si>
  <si>
    <t>=IF(AND($M6013&gt;=$Q$16,$M6013&lt;=$Q$18),U6013,0)</t>
  </si>
  <si>
    <t>=IF(AND($M6013&gt;=$R$16,$M6013&lt;=$R$18),U6013,0)</t>
  </si>
  <si>
    <t>=IF(AND($M6013&gt;=$S$16,$M6013&lt;=$S$18),U6013,0)</t>
  </si>
  <si>
    <t>=IF($M6013&lt;=$T$18,U6013,0)</t>
  </si>
  <si>
    <t>="""NAV Direct"",""CRONUS JetCorp USA"",""21"",""1"",""283262"""</t>
  </si>
  <si>
    <t>=E6012</t>
  </si>
  <si>
    <t>=StartDate-$M6014+1</t>
  </si>
  <si>
    <t>=SUM(P6014:T6014)</t>
  </si>
  <si>
    <t>=IF($M6014&gt;=$P$18,U6014,0)</t>
  </si>
  <si>
    <t>=IF(AND($M6014&gt;=$Q$16,$M6014&lt;=$Q$18),U6014,0)</t>
  </si>
  <si>
    <t>=IF(AND($M6014&gt;=$R$16,$M6014&lt;=$R$18),U6014,0)</t>
  </si>
  <si>
    <t>=IF(AND($M6014&gt;=$S$16,$M6014&lt;=$S$18),U6014,0)</t>
  </si>
  <si>
    <t>=IF($M6014&lt;=$T$18,U6014,0)</t>
  </si>
  <si>
    <t>="""NAV Direct"",""CRONUS JetCorp USA"",""21"",""1"",""284134"""</t>
  </si>
  <si>
    <t>=E6013</t>
  </si>
  <si>
    <t>=StartDate-$M6015+1</t>
  </si>
  <si>
    <t>=SUM(P6015:T6015)</t>
  </si>
  <si>
    <t>=IF($M6015&gt;=$P$18,U6015,0)</t>
  </si>
  <si>
    <t>=IF(AND($M6015&gt;=$Q$16,$M6015&lt;=$Q$18),U6015,0)</t>
  </si>
  <si>
    <t>=IF(AND($M6015&gt;=$R$16,$M6015&lt;=$R$18),U6015,0)</t>
  </si>
  <si>
    <t>=IF(AND($M6015&gt;=$S$16,$M6015&lt;=$S$18),U6015,0)</t>
  </si>
  <si>
    <t>=IF($M6015&lt;=$T$18,U6015,0)</t>
  </si>
  <si>
    <t>="""NAV Direct"",""CRONUS JetCorp USA"",""21"",""1"",""285862"""</t>
  </si>
  <si>
    <t>=E6014</t>
  </si>
  <si>
    <t>=StartDate-$M6016+1</t>
  </si>
  <si>
    <t>=SUM(P6016:T6016)</t>
  </si>
  <si>
    <t>=IF($M6016&gt;=$P$18,U6016,0)</t>
  </si>
  <si>
    <t>=IF(AND($M6016&gt;=$Q$16,$M6016&lt;=$Q$18),U6016,0)</t>
  </si>
  <si>
    <t>=IF(AND($M6016&gt;=$R$16,$M6016&lt;=$R$18),U6016,0)</t>
  </si>
  <si>
    <t>=IF(AND($M6016&gt;=$S$16,$M6016&lt;=$S$18),U6016,0)</t>
  </si>
  <si>
    <t>=IF($M6016&lt;=$T$18,U6016,0)</t>
  </si>
  <si>
    <t>="""NAV Direct"",""CRONUS JetCorp USA"",""21"",""1"",""286668"""</t>
  </si>
  <si>
    <t>=E6015</t>
  </si>
  <si>
    <t>=StartDate-$M6017+1</t>
  </si>
  <si>
    <t>=SUM(P6017:T6017)</t>
  </si>
  <si>
    <t>=IF($M6017&gt;=$P$18,U6017,0)</t>
  </si>
  <si>
    <t>=IF(AND($M6017&gt;=$Q$16,$M6017&lt;=$Q$18),U6017,0)</t>
  </si>
  <si>
    <t>=IF(AND($M6017&gt;=$R$16,$M6017&lt;=$R$18),U6017,0)</t>
  </si>
  <si>
    <t>=IF(AND($M6017&gt;=$S$16,$M6017&lt;=$S$18),U6017,0)</t>
  </si>
  <si>
    <t>=IF($M6017&lt;=$T$18,U6017,0)</t>
  </si>
  <si>
    <t>="""NAV Direct"",""CRONUS JetCorp USA"",""21"",""1"",""286888"""</t>
  </si>
  <si>
    <t>=E6016</t>
  </si>
  <si>
    <t>=StartDate-$M6018+1</t>
  </si>
  <si>
    <t>=SUM(P6018:T6018)</t>
  </si>
  <si>
    <t>=IF($M6018&gt;=$P$18,U6018,0)</t>
  </si>
  <si>
    <t>=IF(AND($M6018&gt;=$Q$16,$M6018&lt;=$Q$18),U6018,0)</t>
  </si>
  <si>
    <t>=IF(AND($M6018&gt;=$R$16,$M6018&lt;=$R$18),U6018,0)</t>
  </si>
  <si>
    <t>=IF(AND($M6018&gt;=$S$16,$M6018&lt;=$S$18),U6018,0)</t>
  </si>
  <si>
    <t>=IF($M6018&lt;=$T$18,U6018,0)</t>
  </si>
  <si>
    <t>="""NAV Direct"",""CRONUS JetCorp USA"",""21"",""1"",""288981"""</t>
  </si>
  <si>
    <t>=E6017</t>
  </si>
  <si>
    <t>=StartDate-$M6019+1</t>
  </si>
  <si>
    <t>=SUM(P6019:T6019)</t>
  </si>
  <si>
    <t>=IF($M6019&gt;=$P$18,U6019,0)</t>
  </si>
  <si>
    <t>=IF(AND($M6019&gt;=$Q$16,$M6019&lt;=$Q$18),U6019,0)</t>
  </si>
  <si>
    <t>=IF(AND($M6019&gt;=$R$16,$M6019&lt;=$R$18),U6019,0)</t>
  </si>
  <si>
    <t>=IF(AND($M6019&gt;=$S$16,$M6019&lt;=$S$18),U6019,0)</t>
  </si>
  <si>
    <t>=IF($M6019&lt;=$T$18,U6019,0)</t>
  </si>
  <si>
    <t>="""NAV Direct"",""CRONUS JetCorp USA"",""21"",""1"",""289039"""</t>
  </si>
  <si>
    <t>=E6018</t>
  </si>
  <si>
    <t>=StartDate-$M6020+1</t>
  </si>
  <si>
    <t>=SUM(P6020:T6020)</t>
  </si>
  <si>
    <t>=IF($M6020&gt;=$P$18,U6020,0)</t>
  </si>
  <si>
    <t>=IF(AND($M6020&gt;=$Q$16,$M6020&lt;=$Q$18),U6020,0)</t>
  </si>
  <si>
    <t>=IF(AND($M6020&gt;=$R$16,$M6020&lt;=$R$18),U6020,0)</t>
  </si>
  <si>
    <t>=IF(AND($M6020&gt;=$S$16,$M6020&lt;=$S$18),U6020,0)</t>
  </si>
  <si>
    <t>=IF($M6020&lt;=$T$18,U6020,0)</t>
  </si>
  <si>
    <t>="""NAV Direct"",""CRONUS JetCorp USA"",""21"",""1"",""289132"""</t>
  </si>
  <si>
    <t>=E6019</t>
  </si>
  <si>
    <t>=StartDate-$M6021+1</t>
  </si>
  <si>
    <t>=SUM(P6021:T6021)</t>
  </si>
  <si>
    <t>=IF($M6021&gt;=$P$18,U6021,0)</t>
  </si>
  <si>
    <t>=IF(AND($M6021&gt;=$Q$16,$M6021&lt;=$Q$18),U6021,0)</t>
  </si>
  <si>
    <t>=IF(AND($M6021&gt;=$R$16,$M6021&lt;=$R$18),U6021,0)</t>
  </si>
  <si>
    <t>=IF(AND($M6021&gt;=$S$16,$M6021&lt;=$S$18),U6021,0)</t>
  </si>
  <si>
    <t>=IF($M6021&lt;=$T$18,U6021,0)</t>
  </si>
  <si>
    <t>="""NAV Direct"",""CRONUS JetCorp USA"",""21"",""1"",""290211"""</t>
  </si>
  <si>
    <t>=E6020</t>
  </si>
  <si>
    <t>=StartDate-$M6022+1</t>
  </si>
  <si>
    <t>=SUM(P6022:T6022)</t>
  </si>
  <si>
    <t>=IF($M6022&gt;=$P$18,U6022,0)</t>
  </si>
  <si>
    <t>=IF(AND($M6022&gt;=$Q$16,$M6022&lt;=$Q$18),U6022,0)</t>
  </si>
  <si>
    <t>=IF(AND($M6022&gt;=$R$16,$M6022&lt;=$R$18),U6022,0)</t>
  </si>
  <si>
    <t>=IF(AND($M6022&gt;=$S$16,$M6022&lt;=$S$18),U6022,0)</t>
  </si>
  <si>
    <t>=IF($M6022&lt;=$T$18,U6022,0)</t>
  </si>
  <si>
    <t>="""NAV Direct"",""CRONUS JetCorp USA"",""21"",""1"",""291199"""</t>
  </si>
  <si>
    <t>=E6021</t>
  </si>
  <si>
    <t>=StartDate-$M6023+1</t>
  </si>
  <si>
    <t>=SUM(P6023:T6023)</t>
  </si>
  <si>
    <t>=IF($M6023&gt;=$P$18,U6023,0)</t>
  </si>
  <si>
    <t>=IF(AND($M6023&gt;=$Q$16,$M6023&lt;=$Q$18),U6023,0)</t>
  </si>
  <si>
    <t>=IF(AND($M6023&gt;=$R$16,$M6023&lt;=$R$18),U6023,0)</t>
  </si>
  <si>
    <t>=IF(AND($M6023&gt;=$S$16,$M6023&lt;=$S$18),U6023,0)</t>
  </si>
  <si>
    <t>=IF($M6023&lt;=$T$18,U6023,0)</t>
  </si>
  <si>
    <t>="""NAV Direct"",""CRONUS JetCorp USA"",""21"",""1"",""292196"""</t>
  </si>
  <si>
    <t>=E6022</t>
  </si>
  <si>
    <t>=StartDate-$M6024+1</t>
  </si>
  <si>
    <t>=SUM(P6024:T6024)</t>
  </si>
  <si>
    <t>=IF($M6024&gt;=$P$18,U6024,0)</t>
  </si>
  <si>
    <t>=IF(AND($M6024&gt;=$Q$16,$M6024&lt;=$Q$18),U6024,0)</t>
  </si>
  <si>
    <t>=IF(AND($M6024&gt;=$R$16,$M6024&lt;=$R$18),U6024,0)</t>
  </si>
  <si>
    <t>=IF(AND($M6024&gt;=$S$16,$M6024&lt;=$S$18),U6024,0)</t>
  </si>
  <si>
    <t>=IF($M6024&lt;=$T$18,U6024,0)</t>
  </si>
  <si>
    <t>="""NAV Direct"",""CRONUS JetCorp USA"",""21"",""1"",""292423"""</t>
  </si>
  <si>
    <t>=E6023</t>
  </si>
  <si>
    <t>=StartDate-$M6025+1</t>
  </si>
  <si>
    <t>=SUM(P6025:T6025)</t>
  </si>
  <si>
    <t>=IF($M6025&gt;=$P$18,U6025,0)</t>
  </si>
  <si>
    <t>=IF(AND($M6025&gt;=$Q$16,$M6025&lt;=$Q$18),U6025,0)</t>
  </si>
  <si>
    <t>=IF(AND($M6025&gt;=$R$16,$M6025&lt;=$R$18),U6025,0)</t>
  </si>
  <si>
    <t>=IF(AND($M6025&gt;=$S$16,$M6025&lt;=$S$18),U6025,0)</t>
  </si>
  <si>
    <t>=IF($M6025&lt;=$T$18,U6025,0)</t>
  </si>
  <si>
    <t>="""NAV Direct"",""CRONUS JetCorp USA"",""21"",""1"",""292450"""</t>
  </si>
  <si>
    <t>=E6024</t>
  </si>
  <si>
    <t>=StartDate-$M6026+1</t>
  </si>
  <si>
    <t>=SUM(P6026:T6026)</t>
  </si>
  <si>
    <t>=IF($M6026&gt;=$P$18,U6026,0)</t>
  </si>
  <si>
    <t>=IF(AND($M6026&gt;=$Q$16,$M6026&lt;=$Q$18),U6026,0)</t>
  </si>
  <si>
    <t>=IF(AND($M6026&gt;=$R$16,$M6026&lt;=$R$18),U6026,0)</t>
  </si>
  <si>
    <t>=IF(AND($M6026&gt;=$S$16,$M6026&lt;=$S$18),U6026,0)</t>
  </si>
  <si>
    <t>=IF($M6026&lt;=$T$18,U6026,0)</t>
  </si>
  <si>
    <t>="""NAV Direct"",""CRONUS JetCorp USA"",""21"",""1"",""293012"""</t>
  </si>
  <si>
    <t>=E6025</t>
  </si>
  <si>
    <t>=StartDate-$M6027+1</t>
  </si>
  <si>
    <t>=SUM(P6027:T6027)</t>
  </si>
  <si>
    <t>=IF($M6027&gt;=$P$18,U6027,0)</t>
  </si>
  <si>
    <t>=IF(AND($M6027&gt;=$Q$16,$M6027&lt;=$Q$18),U6027,0)</t>
  </si>
  <si>
    <t>=IF(AND($M6027&gt;=$R$16,$M6027&lt;=$R$18),U6027,0)</t>
  </si>
  <si>
    <t>=IF(AND($M6027&gt;=$S$16,$M6027&lt;=$S$18),U6027,0)</t>
  </si>
  <si>
    <t>=IF($M6027&lt;=$T$18,U6027,0)</t>
  </si>
  <si>
    <t>="""NAV Direct"",""CRONUS JetCorp USA"",""21"",""1"",""294904"""</t>
  </si>
  <si>
    <t>=E6026</t>
  </si>
  <si>
    <t>=StartDate-$M6028+1</t>
  </si>
  <si>
    <t>=SUM(P6028:T6028)</t>
  </si>
  <si>
    <t>=IF($M6028&gt;=$P$18,U6028,0)</t>
  </si>
  <si>
    <t>=IF(AND($M6028&gt;=$Q$16,$M6028&lt;=$Q$18),U6028,0)</t>
  </si>
  <si>
    <t>=IF(AND($M6028&gt;=$R$16,$M6028&lt;=$R$18),U6028,0)</t>
  </si>
  <si>
    <t>=IF(AND($M6028&gt;=$S$16,$M6028&lt;=$S$18),U6028,0)</t>
  </si>
  <si>
    <t>=IF($M6028&lt;=$T$18,U6028,0)</t>
  </si>
  <si>
    <t>="""NAV Direct"",""CRONUS JetCorp USA"",""21"",""1"",""296618"""</t>
  </si>
  <si>
    <t>=E6027</t>
  </si>
  <si>
    <t>=StartDate-$M6029+1</t>
  </si>
  <si>
    <t>=SUM(P6029:T6029)</t>
  </si>
  <si>
    <t>=IF($M6029&gt;=$P$18,U6029,0)</t>
  </si>
  <si>
    <t>=IF(AND($M6029&gt;=$Q$16,$M6029&lt;=$Q$18),U6029,0)</t>
  </si>
  <si>
    <t>=IF(AND($M6029&gt;=$R$16,$M6029&lt;=$R$18),U6029,0)</t>
  </si>
  <si>
    <t>=IF(AND($M6029&gt;=$S$16,$M6029&lt;=$S$18),U6029,0)</t>
  </si>
  <si>
    <t>=IF($M6029&lt;=$T$18,U6029,0)</t>
  </si>
  <si>
    <t>="""NAV Direct"",""CRONUS JetCorp USA"",""21"",""1"",""300542"""</t>
  </si>
  <si>
    <t>=E6028</t>
  </si>
  <si>
    <t>=StartDate-$M6030+1</t>
  </si>
  <si>
    <t>=SUM(P6030:T6030)</t>
  </si>
  <si>
    <t>=IF($M6030&gt;=$P$18,U6030,0)</t>
  </si>
  <si>
    <t>=IF(AND($M6030&gt;=$Q$16,$M6030&lt;=$Q$18),U6030,0)</t>
  </si>
  <si>
    <t>=IF(AND($M6030&gt;=$R$16,$M6030&lt;=$R$18),U6030,0)</t>
  </si>
  <si>
    <t>=IF(AND($M6030&gt;=$S$16,$M6030&lt;=$S$18),U6030,0)</t>
  </si>
  <si>
    <t>=IF($M6030&lt;=$T$18,U6030,0)</t>
  </si>
  <si>
    <t>="""NAV Direct"",""CRONUS JetCorp USA"",""21"",""1"",""300628"""</t>
  </si>
  <si>
    <t>=E6029</t>
  </si>
  <si>
    <t>=StartDate-$M6031+1</t>
  </si>
  <si>
    <t>=SUM(P6031:T6031)</t>
  </si>
  <si>
    <t>=IF($M6031&gt;=$P$18,U6031,0)</t>
  </si>
  <si>
    <t>=IF(AND($M6031&gt;=$Q$16,$M6031&lt;=$Q$18),U6031,0)</t>
  </si>
  <si>
    <t>=IF(AND($M6031&gt;=$R$16,$M6031&lt;=$R$18),U6031,0)</t>
  </si>
  <si>
    <t>=IF(AND($M6031&gt;=$S$16,$M6031&lt;=$S$18),U6031,0)</t>
  </si>
  <si>
    <t>=IF($M6031&lt;=$T$18,U6031,0)</t>
  </si>
  <si>
    <t>="""NAV Direct"",""CRONUS JetCorp USA"",""21"",""1"",""301522"""</t>
  </si>
  <si>
    <t>=E6030</t>
  </si>
  <si>
    <t>=StartDate-$M6032+1</t>
  </si>
  <si>
    <t>=SUM(P6032:T6032)</t>
  </si>
  <si>
    <t>=IF($M6032&gt;=$P$18,U6032,0)</t>
  </si>
  <si>
    <t>=IF(AND($M6032&gt;=$Q$16,$M6032&lt;=$Q$18),U6032,0)</t>
  </si>
  <si>
    <t>=IF(AND($M6032&gt;=$R$16,$M6032&lt;=$R$18),U6032,0)</t>
  </si>
  <si>
    <t>=IF(AND($M6032&gt;=$S$16,$M6032&lt;=$S$18),U6032,0)</t>
  </si>
  <si>
    <t>=IF($M6032&lt;=$T$18,U6032,0)</t>
  </si>
  <si>
    <t>="""NAV Direct"",""CRONUS JetCorp USA"",""21"",""1"",""301950"""</t>
  </si>
  <si>
    <t>=E6031</t>
  </si>
  <si>
    <t>=StartDate-$M6033+1</t>
  </si>
  <si>
    <t>=SUM(P6033:T6033)</t>
  </si>
  <si>
    <t>=IF($M6033&gt;=$P$18,U6033,0)</t>
  </si>
  <si>
    <t>=IF(AND($M6033&gt;=$Q$16,$M6033&lt;=$Q$18),U6033,0)</t>
  </si>
  <si>
    <t>=IF(AND($M6033&gt;=$R$16,$M6033&lt;=$R$18),U6033,0)</t>
  </si>
  <si>
    <t>=IF(AND($M6033&gt;=$S$16,$M6033&lt;=$S$18),U6033,0)</t>
  </si>
  <si>
    <t>=IF($M6033&lt;=$T$18,U6033,0)</t>
  </si>
  <si>
    <t>="""NAV Direct"",""CRONUS JetCorp USA"",""21"",""1"",""302575"""</t>
  </si>
  <si>
    <t>=E6032</t>
  </si>
  <si>
    <t>=StartDate-$M6034+1</t>
  </si>
  <si>
    <t>=SUM(P6034:T6034)</t>
  </si>
  <si>
    <t>=IF($M6034&gt;=$P$18,U6034,0)</t>
  </si>
  <si>
    <t>=IF(AND($M6034&gt;=$Q$16,$M6034&lt;=$Q$18),U6034,0)</t>
  </si>
  <si>
    <t>=IF(AND($M6034&gt;=$R$16,$M6034&lt;=$R$18),U6034,0)</t>
  </si>
  <si>
    <t>=IF(AND($M6034&gt;=$S$16,$M6034&lt;=$S$18),U6034,0)</t>
  </si>
  <si>
    <t>=IF($M6034&lt;=$T$18,U6034,0)</t>
  </si>
  <si>
    <t>="""NAV Direct"",""CRONUS JetCorp USA"",""21"",""1"",""303368"""</t>
  </si>
  <si>
    <t>=E6033</t>
  </si>
  <si>
    <t>=StartDate-$M6035+1</t>
  </si>
  <si>
    <t>=SUM(P6035:T6035)</t>
  </si>
  <si>
    <t>=IF($M6035&gt;=$P$18,U6035,0)</t>
  </si>
  <si>
    <t>=IF(AND($M6035&gt;=$Q$16,$M6035&lt;=$Q$18),U6035,0)</t>
  </si>
  <si>
    <t>=IF(AND($M6035&gt;=$R$16,$M6035&lt;=$R$18),U6035,0)</t>
  </si>
  <si>
    <t>=IF(AND($M6035&gt;=$S$16,$M6035&lt;=$S$18),U6035,0)</t>
  </si>
  <si>
    <t>=IF($M6035&lt;=$T$18,U6035,0)</t>
  </si>
  <si>
    <t>="""NAV Direct"",""CRONUS JetCorp USA"",""18"",""1"",""C100513"""</t>
  </si>
  <si>
    <t>=H6038</t>
  </si>
  <si>
    <t>=NF($C6038,"1 No.")</t>
  </si>
  <si>
    <t>=NF($C6038,"1 No.")&amp;"  -  "&amp;NF($C6038,"2 Name")</t>
  </si>
  <si>
    <t>=IFERROR(O6038/NF(C6038,"Credit Limit (LCY)"),"")</t>
  </si>
  <si>
    <t>=SUBTOTAL(3,L6039:L6064)</t>
  </si>
  <si>
    <t>=SUBTOTAL(9,O6039:O6064)</t>
  </si>
  <si>
    <t>=SUBTOTAL(9,P6039:P6064)</t>
  </si>
  <si>
    <t>=SUBTOTAL(9,Q6039:Q6064)</t>
  </si>
  <si>
    <t>=SUBTOTAL(9,R6039:R6064)</t>
  </si>
  <si>
    <t>=SUBTOTAL(9,S6039:S6064)</t>
  </si>
  <si>
    <t>=SUBTOTAL(9,T6039:T6064)</t>
  </si>
  <si>
    <t>=C6038</t>
  </si>
  <si>
    <t>=E6038</t>
  </si>
  <si>
    <t>="Contact: "&amp;NF($C6039,"8 Contact")</t>
  </si>
  <si>
    <t>=C6039</t>
  </si>
  <si>
    <t>=E6039</t>
  </si>
  <si>
    <t>=NF($C6040,"102 E-Mail")</t>
  </si>
  <si>
    <t>=NL("Rows","21 Cust. Ledger Entry",,"3 Customer No.","@@"&amp;$E6042,"16 Remaining Amt. (LCY)","&lt;&gt;0")</t>
  </si>
  <si>
    <t>=E6040</t>
  </si>
  <si>
    <t>=StartDate-$M6042+1</t>
  </si>
  <si>
    <t>=SUM(P6042:T6042)</t>
  </si>
  <si>
    <t>=IF($M6042&gt;=$P$18,U6042,0)</t>
  </si>
  <si>
    <t>=IF(AND($M6042&gt;=$Q$16,$M6042&lt;=$Q$18),U6042,0)</t>
  </si>
  <si>
    <t>=IF(AND($M6042&gt;=$R$16,$M6042&lt;=$R$18),U6042,0)</t>
  </si>
  <si>
    <t>=IF(AND($M6042&gt;=$S$16,$M6042&lt;=$S$18),U6042,0)</t>
  </si>
  <si>
    <t>=IF($M6042&lt;=$T$18,U6042,0)</t>
  </si>
  <si>
    <t>="""NAV Direct"",""CRONUS JetCorp USA"",""21"",""1"",""286230"""</t>
  </si>
  <si>
    <t>=E6041</t>
  </si>
  <si>
    <t>=StartDate-$M6043+1</t>
  </si>
  <si>
    <t>=SUM(P6043:T6043)</t>
  </si>
  <si>
    <t>=IF($M6043&gt;=$P$18,U6043,0)</t>
  </si>
  <si>
    <t>=IF(AND($M6043&gt;=$Q$16,$M6043&lt;=$Q$18),U6043,0)</t>
  </si>
  <si>
    <t>=IF(AND($M6043&gt;=$R$16,$M6043&lt;=$R$18),U6043,0)</t>
  </si>
  <si>
    <t>=IF(AND($M6043&gt;=$S$16,$M6043&lt;=$S$18),U6043,0)</t>
  </si>
  <si>
    <t>=IF($M6043&lt;=$T$18,U6043,0)</t>
  </si>
  <si>
    <t>="""NAV Direct"",""CRONUS JetCorp USA"",""21"",""1"",""287865"""</t>
  </si>
  <si>
    <t>=E6042</t>
  </si>
  <si>
    <t>=StartDate-$M6044+1</t>
  </si>
  <si>
    <t>=SUM(P6044:T6044)</t>
  </si>
  <si>
    <t>=IF($M6044&gt;=$P$18,U6044,0)</t>
  </si>
  <si>
    <t>=IF(AND($M6044&gt;=$Q$16,$M6044&lt;=$Q$18),U6044,0)</t>
  </si>
  <si>
    <t>=IF(AND($M6044&gt;=$R$16,$M6044&lt;=$R$18),U6044,0)</t>
  </si>
  <si>
    <t>=IF(AND($M6044&gt;=$S$16,$M6044&lt;=$S$18),U6044,0)</t>
  </si>
  <si>
    <t>=IF($M6044&lt;=$T$18,U6044,0)</t>
  </si>
  <si>
    <t>="""NAV Direct"",""CRONUS JetCorp USA"",""21"",""1"",""288196"""</t>
  </si>
  <si>
    <t>=E6043</t>
  </si>
  <si>
    <t>=StartDate-$M6045+1</t>
  </si>
  <si>
    <t>=SUM(P6045:T6045)</t>
  </si>
  <si>
    <t>=IF($M6045&gt;=$P$18,U6045,0)</t>
  </si>
  <si>
    <t>=IF(AND($M6045&gt;=$Q$16,$M6045&lt;=$Q$18),U6045,0)</t>
  </si>
  <si>
    <t>=IF(AND($M6045&gt;=$R$16,$M6045&lt;=$R$18),U6045,0)</t>
  </si>
  <si>
    <t>=IF(AND($M6045&gt;=$S$16,$M6045&lt;=$S$18),U6045,0)</t>
  </si>
  <si>
    <t>=IF($M6045&lt;=$T$18,U6045,0)</t>
  </si>
  <si>
    <t>="""NAV Direct"",""CRONUS JetCorp USA"",""21"",""1"",""289014"""</t>
  </si>
  <si>
    <t>=E6044</t>
  </si>
  <si>
    <t>=StartDate-$M6046+1</t>
  </si>
  <si>
    <t>=SUM(P6046:T6046)</t>
  </si>
  <si>
    <t>=IF($M6046&gt;=$P$18,U6046,0)</t>
  </si>
  <si>
    <t>=IF(AND($M6046&gt;=$Q$16,$M6046&lt;=$Q$18),U6046,0)</t>
  </si>
  <si>
    <t>=IF(AND($M6046&gt;=$R$16,$M6046&lt;=$R$18),U6046,0)</t>
  </si>
  <si>
    <t>=IF(AND($M6046&gt;=$S$16,$M6046&lt;=$S$18),U6046,0)</t>
  </si>
  <si>
    <t>=IF($M6046&lt;=$T$18,U6046,0)</t>
  </si>
  <si>
    <t>="""NAV Direct"",""CRONUS JetCorp USA"",""21"",""1"",""290985"""</t>
  </si>
  <si>
    <t>=E6045</t>
  </si>
  <si>
    <t>=StartDate-$M6047+1</t>
  </si>
  <si>
    <t>=SUM(P6047:T6047)</t>
  </si>
  <si>
    <t>=IF($M6047&gt;=$P$18,U6047,0)</t>
  </si>
  <si>
    <t>=IF(AND($M6047&gt;=$Q$16,$M6047&lt;=$Q$18),U6047,0)</t>
  </si>
  <si>
    <t>=IF(AND($M6047&gt;=$R$16,$M6047&lt;=$R$18),U6047,0)</t>
  </si>
  <si>
    <t>=IF(AND($M6047&gt;=$S$16,$M6047&lt;=$S$18),U6047,0)</t>
  </si>
  <si>
    <t>=IF($M6047&lt;=$T$18,U6047,0)</t>
  </si>
  <si>
    <t>="""NAV Direct"",""CRONUS JetCorp USA"",""21"",""1"",""291591"""</t>
  </si>
  <si>
    <t>=E6046</t>
  </si>
  <si>
    <t>=StartDate-$M6048+1</t>
  </si>
  <si>
    <t>=SUM(P6048:T6048)</t>
  </si>
  <si>
    <t>=IF($M6048&gt;=$P$18,U6048,0)</t>
  </si>
  <si>
    <t>=IF(AND($M6048&gt;=$Q$16,$M6048&lt;=$Q$18),U6048,0)</t>
  </si>
  <si>
    <t>=IF(AND($M6048&gt;=$R$16,$M6048&lt;=$R$18),U6048,0)</t>
  </si>
  <si>
    <t>=IF(AND($M6048&gt;=$S$16,$M6048&lt;=$S$18),U6048,0)</t>
  </si>
  <si>
    <t>=IF($M6048&lt;=$T$18,U6048,0)</t>
  </si>
  <si>
    <t>="""NAV Direct"",""CRONUS JetCorp USA"",""21"",""1"",""292330"""</t>
  </si>
  <si>
    <t>=E6047</t>
  </si>
  <si>
    <t>=StartDate-$M6049+1</t>
  </si>
  <si>
    <t>=SUM(P6049:T6049)</t>
  </si>
  <si>
    <t>=IF($M6049&gt;=$P$18,U6049,0)</t>
  </si>
  <si>
    <t>=IF(AND($M6049&gt;=$Q$16,$M6049&lt;=$Q$18),U6049,0)</t>
  </si>
  <si>
    <t>=IF(AND($M6049&gt;=$R$16,$M6049&lt;=$R$18),U6049,0)</t>
  </si>
  <si>
    <t>=IF(AND($M6049&gt;=$S$16,$M6049&lt;=$S$18),U6049,0)</t>
  </si>
  <si>
    <t>=IF($M6049&lt;=$T$18,U6049,0)</t>
  </si>
  <si>
    <t>="""NAV Direct"",""CRONUS JetCorp USA"",""21"",""1"",""293958"""</t>
  </si>
  <si>
    <t>=E6048</t>
  </si>
  <si>
    <t>=StartDate-$M6050+1</t>
  </si>
  <si>
    <t>=SUM(P6050:T6050)</t>
  </si>
  <si>
    <t>=IF($M6050&gt;=$P$18,U6050,0)</t>
  </si>
  <si>
    <t>=IF(AND($M6050&gt;=$Q$16,$M6050&lt;=$Q$18),U6050,0)</t>
  </si>
  <si>
    <t>=IF(AND($M6050&gt;=$R$16,$M6050&lt;=$R$18),U6050,0)</t>
  </si>
  <si>
    <t>=IF(AND($M6050&gt;=$S$16,$M6050&lt;=$S$18),U6050,0)</t>
  </si>
  <si>
    <t>=IF($M6050&lt;=$T$18,U6050,0)</t>
  </si>
  <si>
    <t>="""NAV Direct"",""CRONUS JetCorp USA"",""21"",""1"",""295331"""</t>
  </si>
  <si>
    <t>=E6049</t>
  </si>
  <si>
    <t>=StartDate-$M6051+1</t>
  </si>
  <si>
    <t>=SUM(P6051:T6051)</t>
  </si>
  <si>
    <t>=IF($M6051&gt;=$P$18,U6051,0)</t>
  </si>
  <si>
    <t>=IF(AND($M6051&gt;=$Q$16,$M6051&lt;=$Q$18),U6051,0)</t>
  </si>
  <si>
    <t>=IF(AND($M6051&gt;=$R$16,$M6051&lt;=$R$18),U6051,0)</t>
  </si>
  <si>
    <t>=IF(AND($M6051&gt;=$S$16,$M6051&lt;=$S$18),U6051,0)</t>
  </si>
  <si>
    <t>=IF($M6051&lt;=$T$18,U6051,0)</t>
  </si>
  <si>
    <t>="""NAV Direct"",""CRONUS JetCorp USA"",""21"",""1"",""295890"""</t>
  </si>
  <si>
    <t>=E6050</t>
  </si>
  <si>
    <t>=StartDate-$M6052+1</t>
  </si>
  <si>
    <t>=SUM(P6052:T6052)</t>
  </si>
  <si>
    <t>=IF($M6052&gt;=$P$18,U6052,0)</t>
  </si>
  <si>
    <t>=IF(AND($M6052&gt;=$Q$16,$M6052&lt;=$Q$18),U6052,0)</t>
  </si>
  <si>
    <t>=IF(AND($M6052&gt;=$R$16,$M6052&lt;=$R$18),U6052,0)</t>
  </si>
  <si>
    <t>=IF(AND($M6052&gt;=$S$16,$M6052&lt;=$S$18),U6052,0)</t>
  </si>
  <si>
    <t>=IF($M6052&lt;=$T$18,U6052,0)</t>
  </si>
  <si>
    <t>="""NAV Direct"",""CRONUS JetCorp USA"",""21"",""1"",""296228"""</t>
  </si>
  <si>
    <t>=E6051</t>
  </si>
  <si>
    <t>=StartDate-$M6053+1</t>
  </si>
  <si>
    <t>=SUM(P6053:T6053)</t>
  </si>
  <si>
    <t>=IF($M6053&gt;=$P$18,U6053,0)</t>
  </si>
  <si>
    <t>=IF(AND($M6053&gt;=$Q$16,$M6053&lt;=$Q$18),U6053,0)</t>
  </si>
  <si>
    <t>=IF(AND($M6053&gt;=$R$16,$M6053&lt;=$R$18),U6053,0)</t>
  </si>
  <si>
    <t>=IF(AND($M6053&gt;=$S$16,$M6053&lt;=$S$18),U6053,0)</t>
  </si>
  <si>
    <t>=IF($M6053&lt;=$T$18,U6053,0)</t>
  </si>
  <si>
    <t>="""NAV Direct"",""CRONUS JetCorp USA"",""21"",""1"",""296455"""</t>
  </si>
  <si>
    <t>=E6052</t>
  </si>
  <si>
    <t>=StartDate-$M6054+1</t>
  </si>
  <si>
    <t>=SUM(P6054:T6054)</t>
  </si>
  <si>
    <t>=IF($M6054&gt;=$P$18,U6054,0)</t>
  </si>
  <si>
    <t>=IF(AND($M6054&gt;=$Q$16,$M6054&lt;=$Q$18),U6054,0)</t>
  </si>
  <si>
    <t>=IF(AND($M6054&gt;=$R$16,$M6054&lt;=$R$18),U6054,0)</t>
  </si>
  <si>
    <t>=IF(AND($M6054&gt;=$S$16,$M6054&lt;=$S$18),U6054,0)</t>
  </si>
  <si>
    <t>=IF($M6054&lt;=$T$18,U6054,0)</t>
  </si>
  <si>
    <t>="""NAV Direct"",""CRONUS JetCorp USA"",""21"",""1"",""296583"""</t>
  </si>
  <si>
    <t>=E6053</t>
  </si>
  <si>
    <t>=StartDate-$M6055+1</t>
  </si>
  <si>
    <t>=SUM(P6055:T6055)</t>
  </si>
  <si>
    <t>=IF($M6055&gt;=$P$18,U6055,0)</t>
  </si>
  <si>
    <t>=IF(AND($M6055&gt;=$Q$16,$M6055&lt;=$Q$18),U6055,0)</t>
  </si>
  <si>
    <t>=IF(AND($M6055&gt;=$R$16,$M6055&lt;=$R$18),U6055,0)</t>
  </si>
  <si>
    <t>=IF(AND($M6055&gt;=$S$16,$M6055&lt;=$S$18),U6055,0)</t>
  </si>
  <si>
    <t>=IF($M6055&lt;=$T$18,U6055,0)</t>
  </si>
  <si>
    <t>="""NAV Direct"",""CRONUS JetCorp USA"",""21"",""1"",""296770"""</t>
  </si>
  <si>
    <t>=E6054</t>
  </si>
  <si>
    <t>=StartDate-$M6056+1</t>
  </si>
  <si>
    <t>=SUM(P6056:T6056)</t>
  </si>
  <si>
    <t>=IF($M6056&gt;=$P$18,U6056,0)</t>
  </si>
  <si>
    <t>=IF(AND($M6056&gt;=$Q$16,$M6056&lt;=$Q$18),U6056,0)</t>
  </si>
  <si>
    <t>=IF(AND($M6056&gt;=$R$16,$M6056&lt;=$R$18),U6056,0)</t>
  </si>
  <si>
    <t>=IF(AND($M6056&gt;=$S$16,$M6056&lt;=$S$18),U6056,0)</t>
  </si>
  <si>
    <t>=IF($M6056&lt;=$T$18,U6056,0)</t>
  </si>
  <si>
    <t>="""NAV Direct"",""CRONUS JetCorp USA"",""21"",""1"",""297510"""</t>
  </si>
  <si>
    <t>=E6055</t>
  </si>
  <si>
    <t>=StartDate-$M6057+1</t>
  </si>
  <si>
    <t>=SUM(P6057:T6057)</t>
  </si>
  <si>
    <t>=IF($M6057&gt;=$P$18,U6057,0)</t>
  </si>
  <si>
    <t>=IF(AND($M6057&gt;=$Q$16,$M6057&lt;=$Q$18),U6057,0)</t>
  </si>
  <si>
    <t>=IF(AND($M6057&gt;=$R$16,$M6057&lt;=$R$18),U6057,0)</t>
  </si>
  <si>
    <t>=IF(AND($M6057&gt;=$S$16,$M6057&lt;=$S$18),U6057,0)</t>
  </si>
  <si>
    <t>=IF($M6057&lt;=$T$18,U6057,0)</t>
  </si>
  <si>
    <t>="""NAV Direct"",""CRONUS JetCorp USA"",""21"",""1"",""298745"""</t>
  </si>
  <si>
    <t>=E6056</t>
  </si>
  <si>
    <t>=StartDate-$M6058+1</t>
  </si>
  <si>
    <t>=SUM(P6058:T6058)</t>
  </si>
  <si>
    <t>=IF($M6058&gt;=$P$18,U6058,0)</t>
  </si>
  <si>
    <t>=IF(AND($M6058&gt;=$Q$16,$M6058&lt;=$Q$18),U6058,0)</t>
  </si>
  <si>
    <t>=IF(AND($M6058&gt;=$R$16,$M6058&lt;=$R$18),U6058,0)</t>
  </si>
  <si>
    <t>=IF(AND($M6058&gt;=$S$16,$M6058&lt;=$S$18),U6058,0)</t>
  </si>
  <si>
    <t>=IF($M6058&lt;=$T$18,U6058,0)</t>
  </si>
  <si>
    <t>="""NAV Direct"",""CRONUS JetCorp USA"",""21"",""1"",""299370"""</t>
  </si>
  <si>
    <t>=E6057</t>
  </si>
  <si>
    <t>=StartDate-$M6059+1</t>
  </si>
  <si>
    <t>=SUM(P6059:T6059)</t>
  </si>
  <si>
    <t>=IF($M6059&gt;=$P$18,U6059,0)</t>
  </si>
  <si>
    <t>=IF(AND($M6059&gt;=$Q$16,$M6059&lt;=$Q$18),U6059,0)</t>
  </si>
  <si>
    <t>=IF(AND($M6059&gt;=$R$16,$M6059&lt;=$R$18),U6059,0)</t>
  </si>
  <si>
    <t>=IF(AND($M6059&gt;=$S$16,$M6059&lt;=$S$18),U6059,0)</t>
  </si>
  <si>
    <t>=IF($M6059&lt;=$T$18,U6059,0)</t>
  </si>
  <si>
    <t>="""NAV Direct"",""CRONUS JetCorp USA"",""21"",""1"",""299523"""</t>
  </si>
  <si>
    <t>=E6058</t>
  </si>
  <si>
    <t>=StartDate-$M6060+1</t>
  </si>
  <si>
    <t>=SUM(P6060:T6060)</t>
  </si>
  <si>
    <t>=IF($M6060&gt;=$P$18,U6060,0)</t>
  </si>
  <si>
    <t>=IF(AND($M6060&gt;=$Q$16,$M6060&lt;=$Q$18),U6060,0)</t>
  </si>
  <si>
    <t>=IF(AND($M6060&gt;=$R$16,$M6060&lt;=$R$18),U6060,0)</t>
  </si>
  <si>
    <t>=IF(AND($M6060&gt;=$S$16,$M6060&lt;=$S$18),U6060,0)</t>
  </si>
  <si>
    <t>=IF($M6060&lt;=$T$18,U6060,0)</t>
  </si>
  <si>
    <t>="""NAV Direct"",""CRONUS JetCorp USA"",""21"",""1"",""302273"""</t>
  </si>
  <si>
    <t>=E6059</t>
  </si>
  <si>
    <t>=StartDate-$M6061+1</t>
  </si>
  <si>
    <t>=SUM(P6061:T6061)</t>
  </si>
  <si>
    <t>=IF($M6061&gt;=$P$18,U6061,0)</t>
  </si>
  <si>
    <t>=IF(AND($M6061&gt;=$Q$16,$M6061&lt;=$Q$18),U6061,0)</t>
  </si>
  <si>
    <t>=IF(AND($M6061&gt;=$R$16,$M6061&lt;=$R$18),U6061,0)</t>
  </si>
  <si>
    <t>=IF(AND($M6061&gt;=$S$16,$M6061&lt;=$S$18),U6061,0)</t>
  </si>
  <si>
    <t>=IF($M6061&lt;=$T$18,U6061,0)</t>
  </si>
  <si>
    <t>="""NAV Direct"",""CRONUS JetCorp USA"",""21"",""1"",""302608"""</t>
  </si>
  <si>
    <t>=E6060</t>
  </si>
  <si>
    <t>=StartDate-$M6062+1</t>
  </si>
  <si>
    <t>=SUM(P6062:T6062)</t>
  </si>
  <si>
    <t>=IF($M6062&gt;=$P$18,U6062,0)</t>
  </si>
  <si>
    <t>=IF(AND($M6062&gt;=$Q$16,$M6062&lt;=$Q$18),U6062,0)</t>
  </si>
  <si>
    <t>=IF(AND($M6062&gt;=$R$16,$M6062&lt;=$R$18),U6062,0)</t>
  </si>
  <si>
    <t>=IF(AND($M6062&gt;=$S$16,$M6062&lt;=$S$18),U6062,0)</t>
  </si>
  <si>
    <t>=IF($M6062&lt;=$T$18,U6062,0)</t>
  </si>
  <si>
    <t>="""NAV Direct"",""CRONUS JetCorp USA"",""21"",""1"",""303655"""</t>
  </si>
  <si>
    <t>=E6061</t>
  </si>
  <si>
    <t>=StartDate-$M6063+1</t>
  </si>
  <si>
    <t>=SUM(P6063:T6063)</t>
  </si>
  <si>
    <t>=IF($M6063&gt;=$P$18,U6063,0)</t>
  </si>
  <si>
    <t>=IF(AND($M6063&gt;=$Q$16,$M6063&lt;=$Q$18),U6063,0)</t>
  </si>
  <si>
    <t>=IF(AND($M6063&gt;=$R$16,$M6063&lt;=$R$18),U6063,0)</t>
  </si>
  <si>
    <t>=IF(AND($M6063&gt;=$S$16,$M6063&lt;=$S$18),U6063,0)</t>
  </si>
  <si>
    <t>=IF($M6063&lt;=$T$18,U6063,0)</t>
  </si>
  <si>
    <t>="""NAV Direct"",""CRONUS JetCorp USA"",""18"",""1"",""C100514"""</t>
  </si>
  <si>
    <t>=H6066</t>
  </si>
  <si>
    <t>=NF($C6066,"1 No.")</t>
  </si>
  <si>
    <t>=NF($C6066,"1 No.")&amp;"  -  "&amp;NF($C6066,"2 Name")</t>
  </si>
  <si>
    <t>=IFERROR(O6066/NF(C6066,"Credit Limit (LCY)"),"")</t>
  </si>
  <si>
    <t>=SUBTOTAL(3,L6067:L6094)</t>
  </si>
  <si>
    <t>=SUBTOTAL(9,O6067:O6094)</t>
  </si>
  <si>
    <t>=SUBTOTAL(9,P6067:P6094)</t>
  </si>
  <si>
    <t>=SUBTOTAL(9,Q6067:Q6094)</t>
  </si>
  <si>
    <t>=SUBTOTAL(9,R6067:R6094)</t>
  </si>
  <si>
    <t>=SUBTOTAL(9,S6067:S6094)</t>
  </si>
  <si>
    <t>=SUBTOTAL(9,T6067:T6094)</t>
  </si>
  <si>
    <t>=C6066</t>
  </si>
  <si>
    <t>=E6066</t>
  </si>
  <si>
    <t>="Contact: "&amp;NF($C6067,"8 Contact")</t>
  </si>
  <si>
    <t>=C6067</t>
  </si>
  <si>
    <t>=E6067</t>
  </si>
  <si>
    <t>=NF($C6068,"102 E-Mail")</t>
  </si>
  <si>
    <t>=NL("Rows","21 Cust. Ledger Entry",,"3 Customer No.","@@"&amp;$E6070,"16 Remaining Amt. (LCY)","&lt;&gt;0")</t>
  </si>
  <si>
    <t>=E6068</t>
  </si>
  <si>
    <t>=StartDate-$M6070+1</t>
  </si>
  <si>
    <t>=SUM(P6070:T6070)</t>
  </si>
  <si>
    <t>=IF($M6070&gt;=$P$18,U6070,0)</t>
  </si>
  <si>
    <t>=IF(AND($M6070&gt;=$Q$16,$M6070&lt;=$Q$18),U6070,0)</t>
  </si>
  <si>
    <t>=IF(AND($M6070&gt;=$R$16,$M6070&lt;=$R$18),U6070,0)</t>
  </si>
  <si>
    <t>=IF(AND($M6070&gt;=$S$16,$M6070&lt;=$S$18),U6070,0)</t>
  </si>
  <si>
    <t>=IF($M6070&lt;=$T$18,U6070,0)</t>
  </si>
  <si>
    <t>="""NAV Direct"",""CRONUS JetCorp USA"",""21"",""1"",""282167"""</t>
  </si>
  <si>
    <t>=E6069</t>
  </si>
  <si>
    <t>=StartDate-$M6071+1</t>
  </si>
  <si>
    <t>=SUM(P6071:T6071)</t>
  </si>
  <si>
    <t>=IF($M6071&gt;=$P$18,U6071,0)</t>
  </si>
  <si>
    <t>=IF(AND($M6071&gt;=$Q$16,$M6071&lt;=$Q$18),U6071,0)</t>
  </si>
  <si>
    <t>=IF(AND($M6071&gt;=$R$16,$M6071&lt;=$R$18),U6071,0)</t>
  </si>
  <si>
    <t>=IF(AND($M6071&gt;=$S$16,$M6071&lt;=$S$18),U6071,0)</t>
  </si>
  <si>
    <t>=IF($M6071&lt;=$T$18,U6071,0)</t>
  </si>
  <si>
    <t>="""NAV Direct"",""CRONUS JetCorp USA"",""21"",""1"",""282941"""</t>
  </si>
  <si>
    <t>=E6070</t>
  </si>
  <si>
    <t>=StartDate-$M6072+1</t>
  </si>
  <si>
    <t>=SUM(P6072:T6072)</t>
  </si>
  <si>
    <t>=IF($M6072&gt;=$P$18,U6072,0)</t>
  </si>
  <si>
    <t>=IF(AND($M6072&gt;=$Q$16,$M6072&lt;=$Q$18),U6072,0)</t>
  </si>
  <si>
    <t>=IF(AND($M6072&gt;=$R$16,$M6072&lt;=$R$18),U6072,0)</t>
  </si>
  <si>
    <t>=IF(AND($M6072&gt;=$S$16,$M6072&lt;=$S$18),U6072,0)</t>
  </si>
  <si>
    <t>=IF($M6072&lt;=$T$18,U6072,0)</t>
  </si>
  <si>
    <t>="""NAV Direct"",""CRONUS JetCorp USA"",""21"",""1"",""283850"""</t>
  </si>
  <si>
    <t>=E6071</t>
  </si>
  <si>
    <t>=StartDate-$M6073+1</t>
  </si>
  <si>
    <t>=SUM(P6073:T6073)</t>
  </si>
  <si>
    <t>=IF($M6073&gt;=$P$18,U6073,0)</t>
  </si>
  <si>
    <t>=IF(AND($M6073&gt;=$Q$16,$M6073&lt;=$Q$18),U6073,0)</t>
  </si>
  <si>
    <t>=IF(AND($M6073&gt;=$R$16,$M6073&lt;=$R$18),U6073,0)</t>
  </si>
  <si>
    <t>=IF(AND($M6073&gt;=$S$16,$M6073&lt;=$S$18),U6073,0)</t>
  </si>
  <si>
    <t>=IF($M6073&lt;=$T$18,U6073,0)</t>
  </si>
  <si>
    <t>="""NAV Direct"",""CRONUS JetCorp USA"",""21"",""1"",""284736"""</t>
  </si>
  <si>
    <t>=E6072</t>
  </si>
  <si>
    <t>=StartDate-$M6074+1</t>
  </si>
  <si>
    <t>=SUM(P6074:T6074)</t>
  </si>
  <si>
    <t>=IF($M6074&gt;=$P$18,U6074,0)</t>
  </si>
  <si>
    <t>=IF(AND($M6074&gt;=$Q$16,$M6074&lt;=$Q$18),U6074,0)</t>
  </si>
  <si>
    <t>=IF(AND($M6074&gt;=$R$16,$M6074&lt;=$R$18),U6074,0)</t>
  </si>
  <si>
    <t>=IF(AND($M6074&gt;=$S$16,$M6074&lt;=$S$18),U6074,0)</t>
  </si>
  <si>
    <t>=IF($M6074&lt;=$T$18,U6074,0)</t>
  </si>
  <si>
    <t>="""NAV Direct"",""CRONUS JetCorp USA"",""21"",""1"",""285258"""</t>
  </si>
  <si>
    <t>=E6073</t>
  </si>
  <si>
    <t>=StartDate-$M6075+1</t>
  </si>
  <si>
    <t>=SUM(P6075:T6075)</t>
  </si>
  <si>
    <t>=IF($M6075&gt;=$P$18,U6075,0)</t>
  </si>
  <si>
    <t>=IF(AND($M6075&gt;=$Q$16,$M6075&lt;=$Q$18),U6075,0)</t>
  </si>
  <si>
    <t>=IF(AND($M6075&gt;=$R$16,$M6075&lt;=$R$18),U6075,0)</t>
  </si>
  <si>
    <t>=IF(AND($M6075&gt;=$S$16,$M6075&lt;=$S$18),U6075,0)</t>
  </si>
  <si>
    <t>=IF($M6075&lt;=$T$18,U6075,0)</t>
  </si>
  <si>
    <t>="""NAV Direct"",""CRONUS JetCorp USA"",""21"",""1"",""285372"""</t>
  </si>
  <si>
    <t>=E6074</t>
  </si>
  <si>
    <t>=StartDate-$M6076+1</t>
  </si>
  <si>
    <t>=SUM(P6076:T6076)</t>
  </si>
  <si>
    <t>=IF($M6076&gt;=$P$18,U6076,0)</t>
  </si>
  <si>
    <t>=IF(AND($M6076&gt;=$Q$16,$M6076&lt;=$Q$18),U6076,0)</t>
  </si>
  <si>
    <t>=IF(AND($M6076&gt;=$R$16,$M6076&lt;=$R$18),U6076,0)</t>
  </si>
  <si>
    <t>=IF(AND($M6076&gt;=$S$16,$M6076&lt;=$S$18),U6076,0)</t>
  </si>
  <si>
    <t>=IF($M6076&lt;=$T$18,U6076,0)</t>
  </si>
  <si>
    <t>="""NAV Direct"",""CRONUS JetCorp USA"",""21"",""1"",""285501"""</t>
  </si>
  <si>
    <t>=E6075</t>
  </si>
  <si>
    <t>=StartDate-$M6077+1</t>
  </si>
  <si>
    <t>=SUM(P6077:T6077)</t>
  </si>
  <si>
    <t>=IF($M6077&gt;=$P$18,U6077,0)</t>
  </si>
  <si>
    <t>=IF(AND($M6077&gt;=$Q$16,$M6077&lt;=$Q$18),U6077,0)</t>
  </si>
  <si>
    <t>=IF(AND($M6077&gt;=$R$16,$M6077&lt;=$R$18),U6077,0)</t>
  </si>
  <si>
    <t>=IF(AND($M6077&gt;=$S$16,$M6077&lt;=$S$18),U6077,0)</t>
  </si>
  <si>
    <t>=IF($M6077&lt;=$T$18,U6077,0)</t>
  </si>
  <si>
    <t>="""NAV Direct"",""CRONUS JetCorp USA"",""21"",""1"",""286293"""</t>
  </si>
  <si>
    <t>=E6076</t>
  </si>
  <si>
    <t>=StartDate-$M6078+1</t>
  </si>
  <si>
    <t>=SUM(P6078:T6078)</t>
  </si>
  <si>
    <t>=IF($M6078&gt;=$P$18,U6078,0)</t>
  </si>
  <si>
    <t>=IF(AND($M6078&gt;=$Q$16,$M6078&lt;=$Q$18),U6078,0)</t>
  </si>
  <si>
    <t>=IF(AND($M6078&gt;=$R$16,$M6078&lt;=$R$18),U6078,0)</t>
  </si>
  <si>
    <t>=IF(AND($M6078&gt;=$S$16,$M6078&lt;=$S$18),U6078,0)</t>
  </si>
  <si>
    <t>=IF($M6078&lt;=$T$18,U6078,0)</t>
  </si>
  <si>
    <t>="""NAV Direct"",""CRONUS JetCorp USA"",""21"",""1"",""287168"""</t>
  </si>
  <si>
    <t>=E6077</t>
  </si>
  <si>
    <t>=StartDate-$M6079+1</t>
  </si>
  <si>
    <t>=SUM(P6079:T6079)</t>
  </si>
  <si>
    <t>=IF($M6079&gt;=$P$18,U6079,0)</t>
  </si>
  <si>
    <t>=IF(AND($M6079&gt;=$Q$16,$M6079&lt;=$Q$18),U6079,0)</t>
  </si>
  <si>
    <t>=IF(AND($M6079&gt;=$R$16,$M6079&lt;=$R$18),U6079,0)</t>
  </si>
  <si>
    <t>=IF(AND($M6079&gt;=$S$16,$M6079&lt;=$S$18),U6079,0)</t>
  </si>
  <si>
    <t>=IF($M6079&lt;=$T$18,U6079,0)</t>
  </si>
  <si>
    <t>="""NAV Direct"",""CRONUS JetCorp USA"",""21"",""1"",""287199"""</t>
  </si>
  <si>
    <t>=E6078</t>
  </si>
  <si>
    <t>=StartDate-$M6080+1</t>
  </si>
  <si>
    <t>=SUM(P6080:T6080)</t>
  </si>
  <si>
    <t>=IF($M6080&gt;=$P$18,U6080,0)</t>
  </si>
  <si>
    <t>=IF(AND($M6080&gt;=$Q$16,$M6080&lt;=$Q$18),U6080,0)</t>
  </si>
  <si>
    <t>=IF(AND($M6080&gt;=$R$16,$M6080&lt;=$R$18),U6080,0)</t>
  </si>
  <si>
    <t>=IF(AND($M6080&gt;=$S$16,$M6080&lt;=$S$18),U6080,0)</t>
  </si>
  <si>
    <t>=IF($M6080&lt;=$T$18,U6080,0)</t>
  </si>
  <si>
    <t>="""NAV Direct"",""CRONUS JetCorp USA"",""21"",""1"",""287338"""</t>
  </si>
  <si>
    <t>=E6079</t>
  </si>
  <si>
    <t>=StartDate-$M6081+1</t>
  </si>
  <si>
    <t>=SUM(P6081:T6081)</t>
  </si>
  <si>
    <t>=IF($M6081&gt;=$P$18,U6081,0)</t>
  </si>
  <si>
    <t>=IF(AND($M6081&gt;=$Q$16,$M6081&lt;=$Q$18),U6081,0)</t>
  </si>
  <si>
    <t>=IF(AND($M6081&gt;=$R$16,$M6081&lt;=$R$18),U6081,0)</t>
  </si>
  <si>
    <t>=IF(AND($M6081&gt;=$S$16,$M6081&lt;=$S$18),U6081,0)</t>
  </si>
  <si>
    <t>=IF($M6081&lt;=$T$18,U6081,0)</t>
  </si>
  <si>
    <t>="""NAV Direct"",""CRONUS JetCorp USA"",""21"",""1"",""289952"""</t>
  </si>
  <si>
    <t>=E6080</t>
  </si>
  <si>
    <t>=StartDate-$M6082+1</t>
  </si>
  <si>
    <t>=SUM(P6082:T6082)</t>
  </si>
  <si>
    <t>=IF($M6082&gt;=$P$18,U6082,0)</t>
  </si>
  <si>
    <t>=IF(AND($M6082&gt;=$Q$16,$M6082&lt;=$Q$18),U6082,0)</t>
  </si>
  <si>
    <t>=IF(AND($M6082&gt;=$R$16,$M6082&lt;=$R$18),U6082,0)</t>
  </si>
  <si>
    <t>=IF(AND($M6082&gt;=$S$16,$M6082&lt;=$S$18),U6082,0)</t>
  </si>
  <si>
    <t>=IF($M6082&lt;=$T$18,U6082,0)</t>
  </si>
  <si>
    <t>="""NAV Direct"",""CRONUS JetCorp USA"",""21"",""1"",""290771"""</t>
  </si>
  <si>
    <t>=E6081</t>
  </si>
  <si>
    <t>=StartDate-$M6083+1</t>
  </si>
  <si>
    <t>=SUM(P6083:T6083)</t>
  </si>
  <si>
    <t>=IF($M6083&gt;=$P$18,U6083,0)</t>
  </si>
  <si>
    <t>=IF(AND($M6083&gt;=$Q$16,$M6083&lt;=$Q$18),U6083,0)</t>
  </si>
  <si>
    <t>=IF(AND($M6083&gt;=$R$16,$M6083&lt;=$R$18),U6083,0)</t>
  </si>
  <si>
    <t>=IF(AND($M6083&gt;=$S$16,$M6083&lt;=$S$18),U6083,0)</t>
  </si>
  <si>
    <t>=IF($M6083&lt;=$T$18,U6083,0)</t>
  </si>
  <si>
    <t>="""NAV Direct"",""CRONUS JetCorp USA"",""21"",""1"",""293636"""</t>
  </si>
  <si>
    <t>=E6082</t>
  </si>
  <si>
    <t>=StartDate-$M6084+1</t>
  </si>
  <si>
    <t>=SUM(P6084:T6084)</t>
  </si>
  <si>
    <t>=IF($M6084&gt;=$P$18,U6084,0)</t>
  </si>
  <si>
    <t>=IF(AND($M6084&gt;=$Q$16,$M6084&lt;=$Q$18),U6084,0)</t>
  </si>
  <si>
    <t>=IF(AND($M6084&gt;=$R$16,$M6084&lt;=$R$18),U6084,0)</t>
  </si>
  <si>
    <t>=IF(AND($M6084&gt;=$S$16,$M6084&lt;=$S$18),U6084,0)</t>
  </si>
  <si>
    <t>=IF($M6084&lt;=$T$18,U6084,0)</t>
  </si>
  <si>
    <t>="""NAV Direct"",""CRONUS JetCorp USA"",""21"",""1"",""294361"""</t>
  </si>
  <si>
    <t>=E6083</t>
  </si>
  <si>
    <t>=StartDate-$M6085+1</t>
  </si>
  <si>
    <t>=SUM(P6085:T6085)</t>
  </si>
  <si>
    <t>=IF($M6085&gt;=$P$18,U6085,0)</t>
  </si>
  <si>
    <t>=IF(AND($M6085&gt;=$Q$16,$M6085&lt;=$Q$18),U6085,0)</t>
  </si>
  <si>
    <t>=IF(AND($M6085&gt;=$R$16,$M6085&lt;=$R$18),U6085,0)</t>
  </si>
  <si>
    <t>=IF(AND($M6085&gt;=$S$16,$M6085&lt;=$S$18),U6085,0)</t>
  </si>
  <si>
    <t>=IF($M6085&lt;=$T$18,U6085,0)</t>
  </si>
  <si>
    <t>="""NAV Direct"",""CRONUS JetCorp USA"",""21"",""1"",""295372"""</t>
  </si>
  <si>
    <t>=E6084</t>
  </si>
  <si>
    <t>=StartDate-$M6086+1</t>
  </si>
  <si>
    <t>=SUM(P6086:T6086)</t>
  </si>
  <si>
    <t>=IF($M6086&gt;=$P$18,U6086,0)</t>
  </si>
  <si>
    <t>=IF(AND($M6086&gt;=$Q$16,$M6086&lt;=$Q$18),U6086,0)</t>
  </si>
  <si>
    <t>=IF(AND($M6086&gt;=$R$16,$M6086&lt;=$R$18),U6086,0)</t>
  </si>
  <si>
    <t>=IF(AND($M6086&gt;=$S$16,$M6086&lt;=$S$18),U6086,0)</t>
  </si>
  <si>
    <t>=IF($M6086&lt;=$T$18,U6086,0)</t>
  </si>
  <si>
    <t>="""NAV Direct"",""CRONUS JetCorp USA"",""21"",""1"",""295935"""</t>
  </si>
  <si>
    <t>=E6085</t>
  </si>
  <si>
    <t>=StartDate-$M6087+1</t>
  </si>
  <si>
    <t>=SUM(P6087:T6087)</t>
  </si>
  <si>
    <t>=IF($M6087&gt;=$P$18,U6087,0)</t>
  </si>
  <si>
    <t>=IF(AND($M6087&gt;=$Q$16,$M6087&lt;=$Q$18),U6087,0)</t>
  </si>
  <si>
    <t>=IF(AND($M6087&gt;=$R$16,$M6087&lt;=$R$18),U6087,0)</t>
  </si>
  <si>
    <t>=IF(AND($M6087&gt;=$S$16,$M6087&lt;=$S$18),U6087,0)</t>
  </si>
  <si>
    <t>=IF($M6087&lt;=$T$18,U6087,0)</t>
  </si>
  <si>
    <t>="""NAV Direct"",""CRONUS JetCorp USA"",""21"",""1"",""298078"""</t>
  </si>
  <si>
    <t>=E6086</t>
  </si>
  <si>
    <t>=StartDate-$M6088+1</t>
  </si>
  <si>
    <t>=SUM(P6088:T6088)</t>
  </si>
  <si>
    <t>=IF($M6088&gt;=$P$18,U6088,0)</t>
  </si>
  <si>
    <t>=IF(AND($M6088&gt;=$Q$16,$M6088&lt;=$Q$18),U6088,0)</t>
  </si>
  <si>
    <t>=IF(AND($M6088&gt;=$R$16,$M6088&lt;=$R$18),U6088,0)</t>
  </si>
  <si>
    <t>=IF(AND($M6088&gt;=$S$16,$M6088&lt;=$S$18),U6088,0)</t>
  </si>
  <si>
    <t>=IF($M6088&lt;=$T$18,U6088,0)</t>
  </si>
  <si>
    <t>="""NAV Direct"",""CRONUS JetCorp USA"",""21"",""1"",""298410"""</t>
  </si>
  <si>
    <t>=E6087</t>
  </si>
  <si>
    <t>=StartDate-$M6089+1</t>
  </si>
  <si>
    <t>=SUM(P6089:T6089)</t>
  </si>
  <si>
    <t>=IF($M6089&gt;=$P$18,U6089,0)</t>
  </si>
  <si>
    <t>=IF(AND($M6089&gt;=$Q$16,$M6089&lt;=$Q$18),U6089,0)</t>
  </si>
  <si>
    <t>=IF(AND($M6089&gt;=$R$16,$M6089&lt;=$R$18),U6089,0)</t>
  </si>
  <si>
    <t>=IF(AND($M6089&gt;=$S$16,$M6089&lt;=$S$18),U6089,0)</t>
  </si>
  <si>
    <t>=IF($M6089&lt;=$T$18,U6089,0)</t>
  </si>
  <si>
    <t>="""NAV Direct"",""CRONUS JetCorp USA"",""21"",""1"",""299451"""</t>
  </si>
  <si>
    <t>=E6088</t>
  </si>
  <si>
    <t>=StartDate-$M6090+1</t>
  </si>
  <si>
    <t>=SUM(P6090:T6090)</t>
  </si>
  <si>
    <t>=IF($M6090&gt;=$P$18,U6090,0)</t>
  </si>
  <si>
    <t>=IF(AND($M6090&gt;=$Q$16,$M6090&lt;=$Q$18),U6090,0)</t>
  </si>
  <si>
    <t>=IF(AND($M6090&gt;=$R$16,$M6090&lt;=$R$18),U6090,0)</t>
  </si>
  <si>
    <t>=IF(AND($M6090&gt;=$S$16,$M6090&lt;=$S$18),U6090,0)</t>
  </si>
  <si>
    <t>=IF($M6090&lt;=$T$18,U6090,0)</t>
  </si>
  <si>
    <t>="""NAV Direct"",""CRONUS JetCorp USA"",""21"",""1"",""300445"""</t>
  </si>
  <si>
    <t>=E6089</t>
  </si>
  <si>
    <t>=StartDate-$M6091+1</t>
  </si>
  <si>
    <t>=SUM(P6091:T6091)</t>
  </si>
  <si>
    <t>=IF($M6091&gt;=$P$18,U6091,0)</t>
  </si>
  <si>
    <t>=IF(AND($M6091&gt;=$Q$16,$M6091&lt;=$Q$18),U6091,0)</t>
  </si>
  <si>
    <t>=IF(AND($M6091&gt;=$R$16,$M6091&lt;=$R$18),U6091,0)</t>
  </si>
  <si>
    <t>=IF(AND($M6091&gt;=$S$16,$M6091&lt;=$S$18),U6091,0)</t>
  </si>
  <si>
    <t>=IF($M6091&lt;=$T$18,U6091,0)</t>
  </si>
  <si>
    <t>="""NAV Direct"",""CRONUS JetCorp USA"",""21"",""1"",""302141"""</t>
  </si>
  <si>
    <t>=E6090</t>
  </si>
  <si>
    <t>=StartDate-$M6092+1</t>
  </si>
  <si>
    <t>=SUM(P6092:T6092)</t>
  </si>
  <si>
    <t>=IF($M6092&gt;=$P$18,U6092,0)</t>
  </si>
  <si>
    <t>=IF(AND($M6092&gt;=$Q$16,$M6092&lt;=$Q$18),U6092,0)</t>
  </si>
  <si>
    <t>=IF(AND($M6092&gt;=$R$16,$M6092&lt;=$R$18),U6092,0)</t>
  </si>
  <si>
    <t>=IF(AND($M6092&gt;=$S$16,$M6092&lt;=$S$18),U6092,0)</t>
  </si>
  <si>
    <t>=IF($M6092&lt;=$T$18,U6092,0)</t>
  </si>
  <si>
    <t>="""NAV Direct"",""CRONUS JetCorp USA"",""21"",""1"",""302491"""</t>
  </si>
  <si>
    <t>=E6091</t>
  </si>
  <si>
    <t>=StartDate-$M6093+1</t>
  </si>
  <si>
    <t>=SUM(P6093:T6093)</t>
  </si>
  <si>
    <t>=IF($M6093&gt;=$P$18,U6093,0)</t>
  </si>
  <si>
    <t>=IF(AND($M6093&gt;=$Q$16,$M6093&lt;=$Q$18),U6093,0)</t>
  </si>
  <si>
    <t>=IF(AND($M6093&gt;=$R$16,$M6093&lt;=$R$18),U6093,0)</t>
  </si>
  <si>
    <t>=IF(AND($M6093&gt;=$S$16,$M6093&lt;=$S$18),U6093,0)</t>
  </si>
  <si>
    <t>=IF($M6093&lt;=$T$18,U6093,0)</t>
  </si>
  <si>
    <t>="""NAV Direct"",""CRONUS JetCorp USA"",""18"",""1"",""C100515"""</t>
  </si>
  <si>
    <t>=H6096</t>
  </si>
  <si>
    <t>=NF($C6096,"1 No.")</t>
  </si>
  <si>
    <t>=NF($C6096,"1 No.")&amp;"  -  "&amp;NF($C6096,"2 Name")</t>
  </si>
  <si>
    <t>=IFERROR(O6096/NF(C6096,"Credit Limit (LCY)"),"")</t>
  </si>
  <si>
    <t>=SUBTOTAL(3,L6097:L6121)</t>
  </si>
  <si>
    <t>=SUBTOTAL(9,O6097:O6121)</t>
  </si>
  <si>
    <t>=SUBTOTAL(9,P6097:P6121)</t>
  </si>
  <si>
    <t>=SUBTOTAL(9,Q6097:Q6121)</t>
  </si>
  <si>
    <t>=SUBTOTAL(9,R6097:R6121)</t>
  </si>
  <si>
    <t>=SUBTOTAL(9,S6097:S6121)</t>
  </si>
  <si>
    <t>=SUBTOTAL(9,T6097:T6121)</t>
  </si>
  <si>
    <t>=C6096</t>
  </si>
  <si>
    <t>=E6096</t>
  </si>
  <si>
    <t>="Contact: "&amp;NF($C6097,"8 Contact")</t>
  </si>
  <si>
    <t>=C6097</t>
  </si>
  <si>
    <t>=E6097</t>
  </si>
  <si>
    <t>=NF($C6098,"102 E-Mail")</t>
  </si>
  <si>
    <t>=NL("Rows","21 Cust. Ledger Entry",,"3 Customer No.","@@"&amp;$E6100,"16 Remaining Amt. (LCY)","&lt;&gt;0")</t>
  </si>
  <si>
    <t>=E6098</t>
  </si>
  <si>
    <t>=StartDate-$M6100+1</t>
  </si>
  <si>
    <t>=SUM(P6100:T6100)</t>
  </si>
  <si>
    <t>=IF($M6100&gt;=$P$18,U6100,0)</t>
  </si>
  <si>
    <t>=IF(AND($M6100&gt;=$Q$16,$M6100&lt;=$Q$18),U6100,0)</t>
  </si>
  <si>
    <t>=IF(AND($M6100&gt;=$R$16,$M6100&lt;=$R$18),U6100,0)</t>
  </si>
  <si>
    <t>=IF(AND($M6100&gt;=$S$16,$M6100&lt;=$S$18),U6100,0)</t>
  </si>
  <si>
    <t>=IF($M6100&lt;=$T$18,U6100,0)</t>
  </si>
  <si>
    <t>="""NAV Direct"",""CRONUS JetCorp USA"",""21"",""1"",""283387"""</t>
  </si>
  <si>
    <t>=E6099</t>
  </si>
  <si>
    <t>=StartDate-$M6101+1</t>
  </si>
  <si>
    <t>=SUM(P6101:T6101)</t>
  </si>
  <si>
    <t>=IF($M6101&gt;=$P$18,U6101,0)</t>
  </si>
  <si>
    <t>=IF(AND($M6101&gt;=$Q$16,$M6101&lt;=$Q$18),U6101,0)</t>
  </si>
  <si>
    <t>=IF(AND($M6101&gt;=$R$16,$M6101&lt;=$R$18),U6101,0)</t>
  </si>
  <si>
    <t>=IF(AND($M6101&gt;=$S$16,$M6101&lt;=$S$18),U6101,0)</t>
  </si>
  <si>
    <t>=IF($M6101&lt;=$T$18,U6101,0)</t>
  </si>
  <si>
    <t>="""NAV Direct"",""CRONUS JetCorp USA"",""21"",""1"",""283769"""</t>
  </si>
  <si>
    <t>=E6100</t>
  </si>
  <si>
    <t>=StartDate-$M6102+1</t>
  </si>
  <si>
    <t>=SUM(P6102:T6102)</t>
  </si>
  <si>
    <t>=IF($M6102&gt;=$P$18,U6102,0)</t>
  </si>
  <si>
    <t>=IF(AND($M6102&gt;=$Q$16,$M6102&lt;=$Q$18),U6102,0)</t>
  </si>
  <si>
    <t>=IF(AND($M6102&gt;=$R$16,$M6102&lt;=$R$18),U6102,0)</t>
  </si>
  <si>
    <t>=IF(AND($M6102&gt;=$S$16,$M6102&lt;=$S$18),U6102,0)</t>
  </si>
  <si>
    <t>=IF($M6102&lt;=$T$18,U6102,0)</t>
  </si>
  <si>
    <t>="""NAV Direct"",""CRONUS JetCorp USA"",""21"",""1"",""284247"""</t>
  </si>
  <si>
    <t>=E6101</t>
  </si>
  <si>
    <t>=StartDate-$M6103+1</t>
  </si>
  <si>
    <t>=SUM(P6103:T6103)</t>
  </si>
  <si>
    <t>=IF($M6103&gt;=$P$18,U6103,0)</t>
  </si>
  <si>
    <t>=IF(AND($M6103&gt;=$Q$16,$M6103&lt;=$Q$18),U6103,0)</t>
  </si>
  <si>
    <t>=IF(AND($M6103&gt;=$R$16,$M6103&lt;=$R$18),U6103,0)</t>
  </si>
  <si>
    <t>=IF(AND($M6103&gt;=$S$16,$M6103&lt;=$S$18),U6103,0)</t>
  </si>
  <si>
    <t>=IF($M6103&lt;=$T$18,U6103,0)</t>
  </si>
  <si>
    <t>="""NAV Direct"",""CRONUS JetCorp USA"",""21"",""1"",""286005"""</t>
  </si>
  <si>
    <t>=E6102</t>
  </si>
  <si>
    <t>=StartDate-$M6104+1</t>
  </si>
  <si>
    <t>=SUM(P6104:T6104)</t>
  </si>
  <si>
    <t>=IF($M6104&gt;=$P$18,U6104,0)</t>
  </si>
  <si>
    <t>=IF(AND($M6104&gt;=$Q$16,$M6104&lt;=$Q$18),U6104,0)</t>
  </si>
  <si>
    <t>=IF(AND($M6104&gt;=$R$16,$M6104&lt;=$R$18),U6104,0)</t>
  </si>
  <si>
    <t>=IF(AND($M6104&gt;=$S$16,$M6104&lt;=$S$18),U6104,0)</t>
  </si>
  <si>
    <t>=IF($M6104&lt;=$T$18,U6104,0)</t>
  </si>
  <si>
    <t>="""NAV Direct"",""CRONUS JetCorp USA"",""21"",""1"",""287280"""</t>
  </si>
  <si>
    <t>=E6103</t>
  </si>
  <si>
    <t>=StartDate-$M6105+1</t>
  </si>
  <si>
    <t>=SUM(P6105:T6105)</t>
  </si>
  <si>
    <t>=IF($M6105&gt;=$P$18,U6105,0)</t>
  </si>
  <si>
    <t>=IF(AND($M6105&gt;=$Q$16,$M6105&lt;=$Q$18),U6105,0)</t>
  </si>
  <si>
    <t>=IF(AND($M6105&gt;=$R$16,$M6105&lt;=$R$18),U6105,0)</t>
  </si>
  <si>
    <t>=IF(AND($M6105&gt;=$S$16,$M6105&lt;=$S$18),U6105,0)</t>
  </si>
  <si>
    <t>=IF($M6105&lt;=$T$18,U6105,0)</t>
  </si>
  <si>
    <t>="""NAV Direct"",""CRONUS JetCorp USA"",""21"",""1"",""288575"""</t>
  </si>
  <si>
    <t>=E6104</t>
  </si>
  <si>
    <t>=StartDate-$M6106+1</t>
  </si>
  <si>
    <t>=SUM(P6106:T6106)</t>
  </si>
  <si>
    <t>=IF($M6106&gt;=$P$18,U6106,0)</t>
  </si>
  <si>
    <t>=IF(AND($M6106&gt;=$Q$16,$M6106&lt;=$Q$18),U6106,0)</t>
  </si>
  <si>
    <t>=IF(AND($M6106&gt;=$R$16,$M6106&lt;=$R$18),U6106,0)</t>
  </si>
  <si>
    <t>=IF(AND($M6106&gt;=$S$16,$M6106&lt;=$S$18),U6106,0)</t>
  </si>
  <si>
    <t>=IF($M6106&lt;=$T$18,U6106,0)</t>
  </si>
  <si>
    <t>="""NAV Direct"",""CRONUS JetCorp USA"",""21"",""1"",""289344"""</t>
  </si>
  <si>
    <t>=E6105</t>
  </si>
  <si>
    <t>=StartDate-$M6107+1</t>
  </si>
  <si>
    <t>=SUM(P6107:T6107)</t>
  </si>
  <si>
    <t>=IF($M6107&gt;=$P$18,U6107,0)</t>
  </si>
  <si>
    <t>=IF(AND($M6107&gt;=$Q$16,$M6107&lt;=$Q$18),U6107,0)</t>
  </si>
  <si>
    <t>=IF(AND($M6107&gt;=$R$16,$M6107&lt;=$R$18),U6107,0)</t>
  </si>
  <si>
    <t>=IF(AND($M6107&gt;=$S$16,$M6107&lt;=$S$18),U6107,0)</t>
  </si>
  <si>
    <t>=IF($M6107&lt;=$T$18,U6107,0)</t>
  </si>
  <si>
    <t>="""NAV Direct"",""CRONUS JetCorp USA"",""21"",""1"",""289538"""</t>
  </si>
  <si>
    <t>=E6106</t>
  </si>
  <si>
    <t>=StartDate-$M6108+1</t>
  </si>
  <si>
    <t>=SUM(P6108:T6108)</t>
  </si>
  <si>
    <t>=IF($M6108&gt;=$P$18,U6108,0)</t>
  </si>
  <si>
    <t>=IF(AND($M6108&gt;=$Q$16,$M6108&lt;=$Q$18),U6108,0)</t>
  </si>
  <si>
    <t>=IF(AND($M6108&gt;=$R$16,$M6108&lt;=$R$18),U6108,0)</t>
  </si>
  <si>
    <t>=IF(AND($M6108&gt;=$S$16,$M6108&lt;=$S$18),U6108,0)</t>
  </si>
  <si>
    <t>=IF($M6108&lt;=$T$18,U6108,0)</t>
  </si>
  <si>
    <t>="""NAV Direct"",""CRONUS JetCorp USA"",""21"",""1"",""289612"""</t>
  </si>
  <si>
    <t>=E6107</t>
  </si>
  <si>
    <t>=StartDate-$M6109+1</t>
  </si>
  <si>
    <t>=SUM(P6109:T6109)</t>
  </si>
  <si>
    <t>=IF($M6109&gt;=$P$18,U6109,0)</t>
  </si>
  <si>
    <t>=IF(AND($M6109&gt;=$Q$16,$M6109&lt;=$Q$18),U6109,0)</t>
  </si>
  <si>
    <t>=IF(AND($M6109&gt;=$R$16,$M6109&lt;=$R$18),U6109,0)</t>
  </si>
  <si>
    <t>=IF(AND($M6109&gt;=$S$16,$M6109&lt;=$S$18),U6109,0)</t>
  </si>
  <si>
    <t>=IF($M6109&lt;=$T$18,U6109,0)</t>
  </si>
  <si>
    <t>="""NAV Direct"",""CRONUS JetCorp USA"",""21"",""1"",""290693"""</t>
  </si>
  <si>
    <t>=E6108</t>
  </si>
  <si>
    <t>=StartDate-$M6110+1</t>
  </si>
  <si>
    <t>=SUM(P6110:T6110)</t>
  </si>
  <si>
    <t>=IF($M6110&gt;=$P$18,U6110,0)</t>
  </si>
  <si>
    <t>=IF(AND($M6110&gt;=$Q$16,$M6110&lt;=$Q$18),U6110,0)</t>
  </si>
  <si>
    <t>=IF(AND($M6110&gt;=$R$16,$M6110&lt;=$R$18),U6110,0)</t>
  </si>
  <si>
    <t>=IF(AND($M6110&gt;=$S$16,$M6110&lt;=$S$18),U6110,0)</t>
  </si>
  <si>
    <t>=IF($M6110&lt;=$T$18,U6110,0)</t>
  </si>
  <si>
    <t>="""NAV Direct"",""CRONUS JetCorp USA"",""21"",""1"",""290734"""</t>
  </si>
  <si>
    <t>=E6109</t>
  </si>
  <si>
    <t>=StartDate-$M6111+1</t>
  </si>
  <si>
    <t>=SUM(P6111:T6111)</t>
  </si>
  <si>
    <t>=IF($M6111&gt;=$P$18,U6111,0)</t>
  </si>
  <si>
    <t>=IF(AND($M6111&gt;=$Q$16,$M6111&lt;=$Q$18),U6111,0)</t>
  </si>
  <si>
    <t>=IF(AND($M6111&gt;=$R$16,$M6111&lt;=$R$18),U6111,0)</t>
  </si>
  <si>
    <t>=IF(AND($M6111&gt;=$S$16,$M6111&lt;=$S$18),U6111,0)</t>
  </si>
  <si>
    <t>=IF($M6111&lt;=$T$18,U6111,0)</t>
  </si>
  <si>
    <t>="""NAV Direct"",""CRONUS JetCorp USA"",""21"",""1"",""291117"""</t>
  </si>
  <si>
    <t>=E6110</t>
  </si>
  <si>
    <t>=StartDate-$M6112+1</t>
  </si>
  <si>
    <t>=SUM(P6112:T6112)</t>
  </si>
  <si>
    <t>=IF($M6112&gt;=$P$18,U6112,0)</t>
  </si>
  <si>
    <t>=IF(AND($M6112&gt;=$Q$16,$M6112&lt;=$Q$18),U6112,0)</t>
  </si>
  <si>
    <t>=IF(AND($M6112&gt;=$R$16,$M6112&lt;=$R$18),U6112,0)</t>
  </si>
  <si>
    <t>=IF(AND($M6112&gt;=$S$16,$M6112&lt;=$S$18),U6112,0)</t>
  </si>
  <si>
    <t>=IF($M6112&lt;=$T$18,U6112,0)</t>
  </si>
  <si>
    <t>="""NAV Direct"",""CRONUS JetCorp USA"",""21"",""1"",""292865"""</t>
  </si>
  <si>
    <t>=E6111</t>
  </si>
  <si>
    <t>=StartDate-$M6113+1</t>
  </si>
  <si>
    <t>=SUM(P6113:T6113)</t>
  </si>
  <si>
    <t>=IF($M6113&gt;=$P$18,U6113,0)</t>
  </si>
  <si>
    <t>=IF(AND($M6113&gt;=$Q$16,$M6113&lt;=$Q$18),U6113,0)</t>
  </si>
  <si>
    <t>=IF(AND($M6113&gt;=$R$16,$M6113&lt;=$R$18),U6113,0)</t>
  </si>
  <si>
    <t>=IF(AND($M6113&gt;=$S$16,$M6113&lt;=$S$18),U6113,0)</t>
  </si>
  <si>
    <t>=IF($M6113&lt;=$T$18,U6113,0)</t>
  </si>
  <si>
    <t>="""NAV Direct"",""CRONUS JetCorp USA"",""21"",""1"",""294851"""</t>
  </si>
  <si>
    <t>=E6112</t>
  </si>
  <si>
    <t>=StartDate-$M6114+1</t>
  </si>
  <si>
    <t>=SUM(P6114:T6114)</t>
  </si>
  <si>
    <t>=IF($M6114&gt;=$P$18,U6114,0)</t>
  </si>
  <si>
    <t>=IF(AND($M6114&gt;=$Q$16,$M6114&lt;=$Q$18),U6114,0)</t>
  </si>
  <si>
    <t>=IF(AND($M6114&gt;=$R$16,$M6114&lt;=$R$18),U6114,0)</t>
  </si>
  <si>
    <t>=IF(AND($M6114&gt;=$S$16,$M6114&lt;=$S$18),U6114,0)</t>
  </si>
  <si>
    <t>=IF($M6114&lt;=$T$18,U6114,0)</t>
  </si>
  <si>
    <t>="""NAV Direct"",""CRONUS JetCorp USA"",""21"",""1"",""295168"""</t>
  </si>
  <si>
    <t>=E6113</t>
  </si>
  <si>
    <t>=StartDate-$M6115+1</t>
  </si>
  <si>
    <t>=SUM(P6115:T6115)</t>
  </si>
  <si>
    <t>=IF($M6115&gt;=$P$18,U6115,0)</t>
  </si>
  <si>
    <t>=IF(AND($M6115&gt;=$Q$16,$M6115&lt;=$Q$18),U6115,0)</t>
  </si>
  <si>
    <t>=IF(AND($M6115&gt;=$R$16,$M6115&lt;=$R$18),U6115,0)</t>
  </si>
  <si>
    <t>=IF(AND($M6115&gt;=$S$16,$M6115&lt;=$S$18),U6115,0)</t>
  </si>
  <si>
    <t>=IF($M6115&lt;=$T$18,U6115,0)</t>
  </si>
  <si>
    <t>="""NAV Direct"",""CRONUS JetCorp USA"",""21"",""1"",""295234"""</t>
  </si>
  <si>
    <t>=E6114</t>
  </si>
  <si>
    <t>=StartDate-$M6116+1</t>
  </si>
  <si>
    <t>=SUM(P6116:T6116)</t>
  </si>
  <si>
    <t>=IF($M6116&gt;=$P$18,U6116,0)</t>
  </si>
  <si>
    <t>=IF(AND($M6116&gt;=$Q$16,$M6116&lt;=$Q$18),U6116,0)</t>
  </si>
  <si>
    <t>=IF(AND($M6116&gt;=$R$16,$M6116&lt;=$R$18),U6116,0)</t>
  </si>
  <si>
    <t>=IF(AND($M6116&gt;=$S$16,$M6116&lt;=$S$18),U6116,0)</t>
  </si>
  <si>
    <t>=IF($M6116&lt;=$T$18,U6116,0)</t>
  </si>
  <si>
    <t>="""NAV Direct"",""CRONUS JetCorp USA"",""21"",""1"",""296939"""</t>
  </si>
  <si>
    <t>=E6115</t>
  </si>
  <si>
    <t>=StartDate-$M6117+1</t>
  </si>
  <si>
    <t>=SUM(P6117:T6117)</t>
  </si>
  <si>
    <t>=IF($M6117&gt;=$P$18,U6117,0)</t>
  </si>
  <si>
    <t>=IF(AND($M6117&gt;=$Q$16,$M6117&lt;=$Q$18),U6117,0)</t>
  </si>
  <si>
    <t>=IF(AND($M6117&gt;=$R$16,$M6117&lt;=$R$18),U6117,0)</t>
  </si>
  <si>
    <t>=IF(AND($M6117&gt;=$S$16,$M6117&lt;=$S$18),U6117,0)</t>
  </si>
  <si>
    <t>=IF($M6117&lt;=$T$18,U6117,0)</t>
  </si>
  <si>
    <t>="""NAV Direct"",""CRONUS JetCorp USA"",""21"",""1"",""300563"""</t>
  </si>
  <si>
    <t>=E6116</t>
  </si>
  <si>
    <t>=StartDate-$M6118+1</t>
  </si>
  <si>
    <t>=SUM(P6118:T6118)</t>
  </si>
  <si>
    <t>=IF($M6118&gt;=$P$18,U6118,0)</t>
  </si>
  <si>
    <t>=IF(AND($M6118&gt;=$Q$16,$M6118&lt;=$Q$18),U6118,0)</t>
  </si>
  <si>
    <t>=IF(AND($M6118&gt;=$R$16,$M6118&lt;=$R$18),U6118,0)</t>
  </si>
  <si>
    <t>=IF(AND($M6118&gt;=$S$16,$M6118&lt;=$S$18),U6118,0)</t>
  </si>
  <si>
    <t>=IF($M6118&lt;=$T$18,U6118,0)</t>
  </si>
  <si>
    <t>="""NAV Direct"",""CRONUS JetCorp USA"",""21"",""1"",""301323"""</t>
  </si>
  <si>
    <t>=E6117</t>
  </si>
  <si>
    <t>=StartDate-$M6119+1</t>
  </si>
  <si>
    <t>=SUM(P6119:T6119)</t>
  </si>
  <si>
    <t>=IF($M6119&gt;=$P$18,U6119,0)</t>
  </si>
  <si>
    <t>=IF(AND($M6119&gt;=$Q$16,$M6119&lt;=$Q$18),U6119,0)</t>
  </si>
  <si>
    <t>=IF(AND($M6119&gt;=$R$16,$M6119&lt;=$R$18),U6119,0)</t>
  </si>
  <si>
    <t>=IF(AND($M6119&gt;=$S$16,$M6119&lt;=$S$18),U6119,0)</t>
  </si>
  <si>
    <t>=IF($M6119&lt;=$T$18,U6119,0)</t>
  </si>
  <si>
    <t>="""NAV Direct"",""CRONUS JetCorp USA"",""21"",""1"",""303114"""</t>
  </si>
  <si>
    <t>=E6118</t>
  </si>
  <si>
    <t>=StartDate-$M6120+1</t>
  </si>
  <si>
    <t>=SUM(P6120:T6120)</t>
  </si>
  <si>
    <t>=IF($M6120&gt;=$P$18,U6120,0)</t>
  </si>
  <si>
    <t>=IF(AND($M6120&gt;=$Q$16,$M6120&lt;=$Q$18),U6120,0)</t>
  </si>
  <si>
    <t>=IF(AND($M6120&gt;=$R$16,$M6120&lt;=$R$18),U6120,0)</t>
  </si>
  <si>
    <t>=IF(AND($M6120&gt;=$S$16,$M6120&lt;=$S$18),U6120,0)</t>
  </si>
  <si>
    <t>=IF($M6120&lt;=$T$18,U6120,0)</t>
  </si>
  <si>
    <t>="""NAV Direct"",""CRONUS JetCorp USA"",""18"",""1"",""C100516"""</t>
  </si>
  <si>
    <t>=H6123</t>
  </si>
  <si>
    <t>=NF($C6123,"1 No.")</t>
  </si>
  <si>
    <t>=NF($C6123,"1 No.")&amp;"  -  "&amp;NF($C6123,"2 Name")</t>
  </si>
  <si>
    <t>=IFERROR(O6123/NF(C6123,"Credit Limit (LCY)"),"")</t>
  </si>
  <si>
    <t>=SUBTOTAL(3,L6124:L6154)</t>
  </si>
  <si>
    <t>=SUBTOTAL(9,O6124:O6154)</t>
  </si>
  <si>
    <t>=SUBTOTAL(9,P6124:P6154)</t>
  </si>
  <si>
    <t>=SUBTOTAL(9,Q6124:Q6154)</t>
  </si>
  <si>
    <t>=SUBTOTAL(9,R6124:R6154)</t>
  </si>
  <si>
    <t>=SUBTOTAL(9,S6124:S6154)</t>
  </si>
  <si>
    <t>=SUBTOTAL(9,T6124:T6154)</t>
  </si>
  <si>
    <t>=C6123</t>
  </si>
  <si>
    <t>=E6123</t>
  </si>
  <si>
    <t>="Contact: "&amp;NF($C6124,"8 Contact")</t>
  </si>
  <si>
    <t>=C6124</t>
  </si>
  <si>
    <t>=E6124</t>
  </si>
  <si>
    <t>=NF($C6125,"102 E-Mail")</t>
  </si>
  <si>
    <t>=NL("Rows","21 Cust. Ledger Entry",,"3 Customer No.","@@"&amp;$E6127,"16 Remaining Amt. (LCY)","&lt;&gt;0")</t>
  </si>
  <si>
    <t>=E6125</t>
  </si>
  <si>
    <t>=StartDate-$M6127+1</t>
  </si>
  <si>
    <t>=SUM(P6127:T6127)</t>
  </si>
  <si>
    <t>=IF($M6127&gt;=$P$18,U6127,0)</t>
  </si>
  <si>
    <t>=IF(AND($M6127&gt;=$Q$16,$M6127&lt;=$Q$18),U6127,0)</t>
  </si>
  <si>
    <t>=IF(AND($M6127&gt;=$R$16,$M6127&lt;=$R$18),U6127,0)</t>
  </si>
  <si>
    <t>=IF(AND($M6127&gt;=$S$16,$M6127&lt;=$S$18),U6127,0)</t>
  </si>
  <si>
    <t>=IF($M6127&lt;=$T$18,U6127,0)</t>
  </si>
  <si>
    <t>="""NAV Direct"",""CRONUS JetCorp USA"",""21"",""1"",""281126"""</t>
  </si>
  <si>
    <t>=E6126</t>
  </si>
  <si>
    <t>=StartDate-$M6128+1</t>
  </si>
  <si>
    <t>=SUM(P6128:T6128)</t>
  </si>
  <si>
    <t>=IF($M6128&gt;=$P$18,U6128,0)</t>
  </si>
  <si>
    <t>=IF(AND($M6128&gt;=$Q$16,$M6128&lt;=$Q$18),U6128,0)</t>
  </si>
  <si>
    <t>=IF(AND($M6128&gt;=$R$16,$M6128&lt;=$R$18),U6128,0)</t>
  </si>
  <si>
    <t>=IF(AND($M6128&gt;=$S$16,$M6128&lt;=$S$18),U6128,0)</t>
  </si>
  <si>
    <t>=IF($M6128&lt;=$T$18,U6128,0)</t>
  </si>
  <si>
    <t>="""NAV Direct"",""CRONUS JetCorp USA"",""21"",""1"",""281212"""</t>
  </si>
  <si>
    <t>=E6127</t>
  </si>
  <si>
    <t>=StartDate-$M6129+1</t>
  </si>
  <si>
    <t>=SUM(P6129:T6129)</t>
  </si>
  <si>
    <t>=IF($M6129&gt;=$P$18,U6129,0)</t>
  </si>
  <si>
    <t>=IF(AND($M6129&gt;=$Q$16,$M6129&lt;=$Q$18),U6129,0)</t>
  </si>
  <si>
    <t>=IF(AND($M6129&gt;=$R$16,$M6129&lt;=$R$18),U6129,0)</t>
  </si>
  <si>
    <t>=IF(AND($M6129&gt;=$S$16,$M6129&lt;=$S$18),U6129,0)</t>
  </si>
  <si>
    <t>=IF($M6129&lt;=$T$18,U6129,0)</t>
  </si>
  <si>
    <t>="""NAV Direct"",""CRONUS JetCorp USA"",""21"",""1"",""281624"""</t>
  </si>
  <si>
    <t>=E6128</t>
  </si>
  <si>
    <t>=StartDate-$M6130+1</t>
  </si>
  <si>
    <t>=SUM(P6130:T6130)</t>
  </si>
  <si>
    <t>=IF($M6130&gt;=$P$18,U6130,0)</t>
  </si>
  <si>
    <t>=IF(AND($M6130&gt;=$Q$16,$M6130&lt;=$Q$18),U6130,0)</t>
  </si>
  <si>
    <t>=IF(AND($M6130&gt;=$R$16,$M6130&lt;=$R$18),U6130,0)</t>
  </si>
  <si>
    <t>=IF(AND($M6130&gt;=$S$16,$M6130&lt;=$S$18),U6130,0)</t>
  </si>
  <si>
    <t>=IF($M6130&lt;=$T$18,U6130,0)</t>
  </si>
  <si>
    <t>="""NAV Direct"",""CRONUS JetCorp USA"",""21"",""1"",""282124"""</t>
  </si>
  <si>
    <t>=E6129</t>
  </si>
  <si>
    <t>=StartDate-$M6131+1</t>
  </si>
  <si>
    <t>=SUM(P6131:T6131)</t>
  </si>
  <si>
    <t>=IF($M6131&gt;=$P$18,U6131,0)</t>
  </si>
  <si>
    <t>=IF(AND($M6131&gt;=$Q$16,$M6131&lt;=$Q$18),U6131,0)</t>
  </si>
  <si>
    <t>=IF(AND($M6131&gt;=$R$16,$M6131&lt;=$R$18),U6131,0)</t>
  </si>
  <si>
    <t>=IF(AND($M6131&gt;=$S$16,$M6131&lt;=$S$18),U6131,0)</t>
  </si>
  <si>
    <t>=IF($M6131&lt;=$T$18,U6131,0)</t>
  </si>
  <si>
    <t>="""NAV Direct"",""CRONUS JetCorp USA"",""21"",""1"",""283014"""</t>
  </si>
  <si>
    <t>=E6130</t>
  </si>
  <si>
    <t>=StartDate-$M6132+1</t>
  </si>
  <si>
    <t>=SUM(P6132:T6132)</t>
  </si>
  <si>
    <t>=IF($M6132&gt;=$P$18,U6132,0)</t>
  </si>
  <si>
    <t>=IF(AND($M6132&gt;=$Q$16,$M6132&lt;=$Q$18),U6132,0)</t>
  </si>
  <si>
    <t>=IF(AND($M6132&gt;=$R$16,$M6132&lt;=$R$18),U6132,0)</t>
  </si>
  <si>
    <t>=IF(AND($M6132&gt;=$S$16,$M6132&lt;=$S$18),U6132,0)</t>
  </si>
  <si>
    <t>=IF($M6132&lt;=$T$18,U6132,0)</t>
  </si>
  <si>
    <t>="""NAV Direct"",""CRONUS JetCorp USA"",""21"",""1"",""285891"""</t>
  </si>
  <si>
    <t>=E6131</t>
  </si>
  <si>
    <t>=StartDate-$M6133+1</t>
  </si>
  <si>
    <t>=SUM(P6133:T6133)</t>
  </si>
  <si>
    <t>=IF($M6133&gt;=$P$18,U6133,0)</t>
  </si>
  <si>
    <t>=IF(AND($M6133&gt;=$Q$16,$M6133&lt;=$Q$18),U6133,0)</t>
  </si>
  <si>
    <t>=IF(AND($M6133&gt;=$R$16,$M6133&lt;=$R$18),U6133,0)</t>
  </si>
  <si>
    <t>=IF(AND($M6133&gt;=$S$16,$M6133&lt;=$S$18),U6133,0)</t>
  </si>
  <si>
    <t>=IF($M6133&lt;=$T$18,U6133,0)</t>
  </si>
  <si>
    <t>="""NAV Direct"",""CRONUS JetCorp USA"",""21"",""1"",""286262"""</t>
  </si>
  <si>
    <t>=E6132</t>
  </si>
  <si>
    <t>=StartDate-$M6134+1</t>
  </si>
  <si>
    <t>=SUM(P6134:T6134)</t>
  </si>
  <si>
    <t>=IF($M6134&gt;=$P$18,U6134,0)</t>
  </si>
  <si>
    <t>=IF(AND($M6134&gt;=$Q$16,$M6134&lt;=$Q$18),U6134,0)</t>
  </si>
  <si>
    <t>=IF(AND($M6134&gt;=$R$16,$M6134&lt;=$R$18),U6134,0)</t>
  </si>
  <si>
    <t>=IF(AND($M6134&gt;=$S$16,$M6134&lt;=$S$18),U6134,0)</t>
  </si>
  <si>
    <t>=IF($M6134&lt;=$T$18,U6134,0)</t>
  </si>
  <si>
    <t>="""NAV Direct"",""CRONUS JetCorp USA"",""21"",""1"",""286487"""</t>
  </si>
  <si>
    <t>=E6133</t>
  </si>
  <si>
    <t>=StartDate-$M6135+1</t>
  </si>
  <si>
    <t>=SUM(P6135:T6135)</t>
  </si>
  <si>
    <t>=IF($M6135&gt;=$P$18,U6135,0)</t>
  </si>
  <si>
    <t>=IF(AND($M6135&gt;=$Q$16,$M6135&lt;=$Q$18),U6135,0)</t>
  </si>
  <si>
    <t>=IF(AND($M6135&gt;=$R$16,$M6135&lt;=$R$18),U6135,0)</t>
  </si>
  <si>
    <t>=IF(AND($M6135&gt;=$S$16,$M6135&lt;=$S$18),U6135,0)</t>
  </si>
  <si>
    <t>=IF($M6135&lt;=$T$18,U6135,0)</t>
  </si>
  <si>
    <t>="""NAV Direct"",""CRONUS JetCorp USA"",""21"",""1"",""288546"""</t>
  </si>
  <si>
    <t>=E6134</t>
  </si>
  <si>
    <t>=StartDate-$M6136+1</t>
  </si>
  <si>
    <t>=SUM(P6136:T6136)</t>
  </si>
  <si>
    <t>=IF($M6136&gt;=$P$18,U6136,0)</t>
  </si>
  <si>
    <t>=IF(AND($M6136&gt;=$Q$16,$M6136&lt;=$Q$18),U6136,0)</t>
  </si>
  <si>
    <t>=IF(AND($M6136&gt;=$R$16,$M6136&lt;=$R$18),U6136,0)</t>
  </si>
  <si>
    <t>=IF(AND($M6136&gt;=$S$16,$M6136&lt;=$S$18),U6136,0)</t>
  </si>
  <si>
    <t>=IF($M6136&lt;=$T$18,U6136,0)</t>
  </si>
  <si>
    <t>="""NAV Direct"",""CRONUS JetCorp USA"",""21"",""1"",""288633"""</t>
  </si>
  <si>
    <t>=E6135</t>
  </si>
  <si>
    <t>=StartDate-$M6137+1</t>
  </si>
  <si>
    <t>=SUM(P6137:T6137)</t>
  </si>
  <si>
    <t>=IF($M6137&gt;=$P$18,U6137,0)</t>
  </si>
  <si>
    <t>=IF(AND($M6137&gt;=$Q$16,$M6137&lt;=$Q$18),U6137,0)</t>
  </si>
  <si>
    <t>=IF(AND($M6137&gt;=$R$16,$M6137&lt;=$R$18),U6137,0)</t>
  </si>
  <si>
    <t>=IF(AND($M6137&gt;=$S$16,$M6137&lt;=$S$18),U6137,0)</t>
  </si>
  <si>
    <t>=IF($M6137&lt;=$T$18,U6137,0)</t>
  </si>
  <si>
    <t>="""NAV Direct"",""CRONUS JetCorp USA"",""21"",""1"",""289066"""</t>
  </si>
  <si>
    <t>=E6136</t>
  </si>
  <si>
    <t>=StartDate-$M6138+1</t>
  </si>
  <si>
    <t>=SUM(P6138:T6138)</t>
  </si>
  <si>
    <t>=IF($M6138&gt;=$P$18,U6138,0)</t>
  </si>
  <si>
    <t>=IF(AND($M6138&gt;=$Q$16,$M6138&lt;=$Q$18),U6138,0)</t>
  </si>
  <si>
    <t>=IF(AND($M6138&gt;=$R$16,$M6138&lt;=$R$18),U6138,0)</t>
  </si>
  <si>
    <t>=IF(AND($M6138&gt;=$S$16,$M6138&lt;=$S$18),U6138,0)</t>
  </si>
  <si>
    <t>=IF($M6138&lt;=$T$18,U6138,0)</t>
  </si>
  <si>
    <t>="""NAV Direct"",""CRONUS JetCorp USA"",""21"",""1"",""289383"""</t>
  </si>
  <si>
    <t>=E6137</t>
  </si>
  <si>
    <t>=StartDate-$M6139+1</t>
  </si>
  <si>
    <t>=SUM(P6139:T6139)</t>
  </si>
  <si>
    <t>=IF($M6139&gt;=$P$18,U6139,0)</t>
  </si>
  <si>
    <t>=IF(AND($M6139&gt;=$Q$16,$M6139&lt;=$Q$18),U6139,0)</t>
  </si>
  <si>
    <t>=IF(AND($M6139&gt;=$R$16,$M6139&lt;=$R$18),U6139,0)</t>
  </si>
  <si>
    <t>=IF(AND($M6139&gt;=$S$16,$M6139&lt;=$S$18),U6139,0)</t>
  </si>
  <si>
    <t>=IF($M6139&lt;=$T$18,U6139,0)</t>
  </si>
  <si>
    <t>="""NAV Direct"",""CRONUS JetCorp USA"",""21"",""1"",""290505"""</t>
  </si>
  <si>
    <t>=E6138</t>
  </si>
  <si>
    <t>=StartDate-$M6140+1</t>
  </si>
  <si>
    <t>=SUM(P6140:T6140)</t>
  </si>
  <si>
    <t>=IF($M6140&gt;=$P$18,U6140,0)</t>
  </si>
  <si>
    <t>=IF(AND($M6140&gt;=$Q$16,$M6140&lt;=$Q$18),U6140,0)</t>
  </si>
  <si>
    <t>=IF(AND($M6140&gt;=$R$16,$M6140&lt;=$R$18),U6140,0)</t>
  </si>
  <si>
    <t>=IF(AND($M6140&gt;=$S$16,$M6140&lt;=$S$18),U6140,0)</t>
  </si>
  <si>
    <t>=IF($M6140&lt;=$T$18,U6140,0)</t>
  </si>
  <si>
    <t>="""NAV Direct"",""CRONUS JetCorp USA"",""21"",""1"",""291395"""</t>
  </si>
  <si>
    <t>=E6139</t>
  </si>
  <si>
    <t>=StartDate-$M6141+1</t>
  </si>
  <si>
    <t>=SUM(P6141:T6141)</t>
  </si>
  <si>
    <t>=IF($M6141&gt;=$P$18,U6141,0)</t>
  </si>
  <si>
    <t>=IF(AND($M6141&gt;=$Q$16,$M6141&lt;=$Q$18),U6141,0)</t>
  </si>
  <si>
    <t>=IF(AND($M6141&gt;=$R$16,$M6141&lt;=$R$18),U6141,0)</t>
  </si>
  <si>
    <t>=IF(AND($M6141&gt;=$S$16,$M6141&lt;=$S$18),U6141,0)</t>
  </si>
  <si>
    <t>=IF($M6141&lt;=$T$18,U6141,0)</t>
  </si>
  <si>
    <t>="""NAV Direct"",""CRONUS JetCorp USA"",""21"",""1"",""292055"""</t>
  </si>
  <si>
    <t>=E6140</t>
  </si>
  <si>
    <t>=StartDate-$M6142+1</t>
  </si>
  <si>
    <t>=SUM(P6142:T6142)</t>
  </si>
  <si>
    <t>=IF($M6142&gt;=$P$18,U6142,0)</t>
  </si>
  <si>
    <t>=IF(AND($M6142&gt;=$Q$16,$M6142&lt;=$Q$18),U6142,0)</t>
  </si>
  <si>
    <t>=IF(AND($M6142&gt;=$R$16,$M6142&lt;=$R$18),U6142,0)</t>
  </si>
  <si>
    <t>=IF(AND($M6142&gt;=$S$16,$M6142&lt;=$S$18),U6142,0)</t>
  </si>
  <si>
    <t>=IF($M6142&lt;=$T$18,U6142,0)</t>
  </si>
  <si>
    <t>="""NAV Direct"",""CRONUS JetCorp USA"",""21"",""1"",""292886"""</t>
  </si>
  <si>
    <t>=E6141</t>
  </si>
  <si>
    <t>=StartDate-$M6143+1</t>
  </si>
  <si>
    <t>=SUM(P6143:T6143)</t>
  </si>
  <si>
    <t>=IF($M6143&gt;=$P$18,U6143,0)</t>
  </si>
  <si>
    <t>=IF(AND($M6143&gt;=$Q$16,$M6143&lt;=$Q$18),U6143,0)</t>
  </si>
  <si>
    <t>=IF(AND($M6143&gt;=$R$16,$M6143&lt;=$R$18),U6143,0)</t>
  </si>
  <si>
    <t>=IF(AND($M6143&gt;=$S$16,$M6143&lt;=$S$18),U6143,0)</t>
  </si>
  <si>
    <t>=IF($M6143&lt;=$T$18,U6143,0)</t>
  </si>
  <si>
    <t>="""NAV Direct"",""CRONUS JetCorp USA"",""21"",""1"",""294822"""</t>
  </si>
  <si>
    <t>=E6142</t>
  </si>
  <si>
    <t>=StartDate-$M6144+1</t>
  </si>
  <si>
    <t>=SUM(P6144:T6144)</t>
  </si>
  <si>
    <t>=IF($M6144&gt;=$P$18,U6144,0)</t>
  </si>
  <si>
    <t>=IF(AND($M6144&gt;=$Q$16,$M6144&lt;=$Q$18),U6144,0)</t>
  </si>
  <si>
    <t>=IF(AND($M6144&gt;=$R$16,$M6144&lt;=$R$18),U6144,0)</t>
  </si>
  <si>
    <t>=IF(AND($M6144&gt;=$S$16,$M6144&lt;=$S$18),U6144,0)</t>
  </si>
  <si>
    <t>=IF($M6144&lt;=$T$18,U6144,0)</t>
  </si>
  <si>
    <t>="""NAV Direct"",""CRONUS JetCorp USA"",""21"",""1"",""295015"""</t>
  </si>
  <si>
    <t>=E6143</t>
  </si>
  <si>
    <t>=StartDate-$M6145+1</t>
  </si>
  <si>
    <t>=SUM(P6145:T6145)</t>
  </si>
  <si>
    <t>=IF($M6145&gt;=$P$18,U6145,0)</t>
  </si>
  <si>
    <t>=IF(AND($M6145&gt;=$Q$16,$M6145&lt;=$Q$18),U6145,0)</t>
  </si>
  <si>
    <t>=IF(AND($M6145&gt;=$R$16,$M6145&lt;=$R$18),U6145,0)</t>
  </si>
  <si>
    <t>=IF(AND($M6145&gt;=$S$16,$M6145&lt;=$S$18),U6145,0)</t>
  </si>
  <si>
    <t>=IF($M6145&lt;=$T$18,U6145,0)</t>
  </si>
  <si>
    <t>="""NAV Direct"",""CRONUS JetCorp USA"",""21"",""1"",""295707"""</t>
  </si>
  <si>
    <t>=E6144</t>
  </si>
  <si>
    <t>=StartDate-$M6146+1</t>
  </si>
  <si>
    <t>=SUM(P6146:T6146)</t>
  </si>
  <si>
    <t>=IF($M6146&gt;=$P$18,U6146,0)</t>
  </si>
  <si>
    <t>=IF(AND($M6146&gt;=$Q$16,$M6146&lt;=$Q$18),U6146,0)</t>
  </si>
  <si>
    <t>=IF(AND($M6146&gt;=$R$16,$M6146&lt;=$R$18),U6146,0)</t>
  </si>
  <si>
    <t>=IF(AND($M6146&gt;=$S$16,$M6146&lt;=$S$18),U6146,0)</t>
  </si>
  <si>
    <t>=IF($M6146&lt;=$T$18,U6146,0)</t>
  </si>
  <si>
    <t>="""NAV Direct"",""CRONUS JetCorp USA"",""21"",""1"",""296168"""</t>
  </si>
  <si>
    <t>=E6145</t>
  </si>
  <si>
    <t>=StartDate-$M6147+1</t>
  </si>
  <si>
    <t>=SUM(P6147:T6147)</t>
  </si>
  <si>
    <t>=IF($M6147&gt;=$P$18,U6147,0)</t>
  </si>
  <si>
    <t>=IF(AND($M6147&gt;=$Q$16,$M6147&lt;=$Q$18),U6147,0)</t>
  </si>
  <si>
    <t>=IF(AND($M6147&gt;=$R$16,$M6147&lt;=$R$18),U6147,0)</t>
  </si>
  <si>
    <t>=IF(AND($M6147&gt;=$S$16,$M6147&lt;=$S$18),U6147,0)</t>
  </si>
  <si>
    <t>=IF($M6147&lt;=$T$18,U6147,0)</t>
  </si>
  <si>
    <t>="""NAV Direct"",""CRONUS JetCorp USA"",""21"",""1"",""296682"""</t>
  </si>
  <si>
    <t>=E6146</t>
  </si>
  <si>
    <t>=StartDate-$M6148+1</t>
  </si>
  <si>
    <t>=SUM(P6148:T6148)</t>
  </si>
  <si>
    <t>=IF($M6148&gt;=$P$18,U6148,0)</t>
  </si>
  <si>
    <t>=IF(AND($M6148&gt;=$Q$16,$M6148&lt;=$Q$18),U6148,0)</t>
  </si>
  <si>
    <t>=IF(AND($M6148&gt;=$R$16,$M6148&lt;=$R$18),U6148,0)</t>
  </si>
  <si>
    <t>=IF(AND($M6148&gt;=$S$16,$M6148&lt;=$S$18),U6148,0)</t>
  </si>
  <si>
    <t>=IF($M6148&lt;=$T$18,U6148,0)</t>
  </si>
  <si>
    <t>="""NAV Direct"",""CRONUS JetCorp USA"",""21"",""1"",""297176"""</t>
  </si>
  <si>
    <t>=E6147</t>
  </si>
  <si>
    <t>=StartDate-$M6149+1</t>
  </si>
  <si>
    <t>=SUM(P6149:T6149)</t>
  </si>
  <si>
    <t>=IF($M6149&gt;=$P$18,U6149,0)</t>
  </si>
  <si>
    <t>=IF(AND($M6149&gt;=$Q$16,$M6149&lt;=$Q$18),U6149,0)</t>
  </si>
  <si>
    <t>=IF(AND($M6149&gt;=$R$16,$M6149&lt;=$R$18),U6149,0)</t>
  </si>
  <si>
    <t>=IF(AND($M6149&gt;=$S$16,$M6149&lt;=$S$18),U6149,0)</t>
  </si>
  <si>
    <t>=IF($M6149&lt;=$T$18,U6149,0)</t>
  </si>
  <si>
    <t>="""NAV Direct"",""CRONUS JetCorp USA"",""21"",""1"",""298648"""</t>
  </si>
  <si>
    <t>=E6148</t>
  </si>
  <si>
    <t>=StartDate-$M6150+1</t>
  </si>
  <si>
    <t>=SUM(P6150:T6150)</t>
  </si>
  <si>
    <t>=IF($M6150&gt;=$P$18,U6150,0)</t>
  </si>
  <si>
    <t>=IF(AND($M6150&gt;=$Q$16,$M6150&lt;=$Q$18),U6150,0)</t>
  </si>
  <si>
    <t>=IF(AND($M6150&gt;=$R$16,$M6150&lt;=$R$18),U6150,0)</t>
  </si>
  <si>
    <t>=IF(AND($M6150&gt;=$S$16,$M6150&lt;=$S$18),U6150,0)</t>
  </si>
  <si>
    <t>=IF($M6150&lt;=$T$18,U6150,0)</t>
  </si>
  <si>
    <t>="""NAV Direct"",""CRONUS JetCorp USA"",""21"",""1"",""298934"""</t>
  </si>
  <si>
    <t>=E6149</t>
  </si>
  <si>
    <t>=StartDate-$M6151+1</t>
  </si>
  <si>
    <t>=SUM(P6151:T6151)</t>
  </si>
  <si>
    <t>=IF($M6151&gt;=$P$18,U6151,0)</t>
  </si>
  <si>
    <t>=IF(AND($M6151&gt;=$Q$16,$M6151&lt;=$Q$18),U6151,0)</t>
  </si>
  <si>
    <t>=IF(AND($M6151&gt;=$R$16,$M6151&lt;=$R$18),U6151,0)</t>
  </si>
  <si>
    <t>=IF(AND($M6151&gt;=$S$16,$M6151&lt;=$S$18),U6151,0)</t>
  </si>
  <si>
    <t>=IF($M6151&lt;=$T$18,U6151,0)</t>
  </si>
  <si>
    <t>="""NAV Direct"",""CRONUS JetCorp USA"",""21"",""1"",""300309"""</t>
  </si>
  <si>
    <t>=E6150</t>
  </si>
  <si>
    <t>=StartDate-$M6152+1</t>
  </si>
  <si>
    <t>=SUM(P6152:T6152)</t>
  </si>
  <si>
    <t>=IF($M6152&gt;=$P$18,U6152,0)</t>
  </si>
  <si>
    <t>=IF(AND($M6152&gt;=$Q$16,$M6152&lt;=$Q$18),U6152,0)</t>
  </si>
  <si>
    <t>=IF(AND($M6152&gt;=$R$16,$M6152&lt;=$R$18),U6152,0)</t>
  </si>
  <si>
    <t>=IF(AND($M6152&gt;=$S$16,$M6152&lt;=$S$18),U6152,0)</t>
  </si>
  <si>
    <t>=IF($M6152&lt;=$T$18,U6152,0)</t>
  </si>
  <si>
    <t>="""NAV Direct"",""CRONUS JetCorp USA"",""21"",""1"",""301122"""</t>
  </si>
  <si>
    <t>=E6151</t>
  </si>
  <si>
    <t>=StartDate-$M6153+1</t>
  </si>
  <si>
    <t>=SUM(P6153:T6153)</t>
  </si>
  <si>
    <t>=IF($M6153&gt;=$P$18,U6153,0)</t>
  </si>
  <si>
    <t>=IF(AND($M6153&gt;=$Q$16,$M6153&lt;=$Q$18),U6153,0)</t>
  </si>
  <si>
    <t>=IF(AND($M6153&gt;=$R$16,$M6153&lt;=$R$18),U6153,0)</t>
  </si>
  <si>
    <t>=IF(AND($M6153&gt;=$S$16,$M6153&lt;=$S$18),U6153,0)</t>
  </si>
  <si>
    <t>=IF($M6153&lt;=$T$18,U6153,0)</t>
  </si>
  <si>
    <t>="""NAV Direct"",""CRONUS JetCorp USA"",""18"",""1"",""C100517"""</t>
  </si>
  <si>
    <t>=H6156</t>
  </si>
  <si>
    <t>=NF($C6156,"1 No.")</t>
  </si>
  <si>
    <t>=NF($C6156,"1 No.")&amp;"  -  "&amp;NF($C6156,"2 Name")</t>
  </si>
  <si>
    <t>=IFERROR(O6156/NF(C6156,"Credit Limit (LCY)"),"")</t>
  </si>
  <si>
    <t>=SUBTOTAL(3,L6157:L6193)</t>
  </si>
  <si>
    <t>=SUBTOTAL(9,O6157:O6193)</t>
  </si>
  <si>
    <t>=SUBTOTAL(9,P6157:P6193)</t>
  </si>
  <si>
    <t>=SUBTOTAL(9,Q6157:Q6193)</t>
  </si>
  <si>
    <t>=SUBTOTAL(9,R6157:R6193)</t>
  </si>
  <si>
    <t>=SUBTOTAL(9,S6157:S6193)</t>
  </si>
  <si>
    <t>=SUBTOTAL(9,T6157:T6193)</t>
  </si>
  <si>
    <t>=C6156</t>
  </si>
  <si>
    <t>=E6156</t>
  </si>
  <si>
    <t>="Contact: "&amp;NF($C6157,"8 Contact")</t>
  </si>
  <si>
    <t>=C6157</t>
  </si>
  <si>
    <t>=E6157</t>
  </si>
  <si>
    <t>=NF($C6158,"102 E-Mail")</t>
  </si>
  <si>
    <t>=NL("Rows","21 Cust. Ledger Entry",,"3 Customer No.","@@"&amp;$E6160,"16 Remaining Amt. (LCY)","&lt;&gt;0")</t>
  </si>
  <si>
    <t>=E6158</t>
  </si>
  <si>
    <t>=StartDate-$M6160+1</t>
  </si>
  <si>
    <t>=SUM(P6160:T6160)</t>
  </si>
  <si>
    <t>=IF($M6160&gt;=$P$18,U6160,0)</t>
  </si>
  <si>
    <t>=IF(AND($M6160&gt;=$Q$16,$M6160&lt;=$Q$18),U6160,0)</t>
  </si>
  <si>
    <t>=IF(AND($M6160&gt;=$R$16,$M6160&lt;=$R$18),U6160,0)</t>
  </si>
  <si>
    <t>=IF(AND($M6160&gt;=$S$16,$M6160&lt;=$S$18),U6160,0)</t>
  </si>
  <si>
    <t>=IF($M6160&lt;=$T$18,U6160,0)</t>
  </si>
  <si>
    <t>="""NAV Direct"",""CRONUS JetCorp USA"",""21"",""1"",""281193"""</t>
  </si>
  <si>
    <t>=E6159</t>
  </si>
  <si>
    <t>=StartDate-$M6161+1</t>
  </si>
  <si>
    <t>=SUM(P6161:T6161)</t>
  </si>
  <si>
    <t>=IF($M6161&gt;=$P$18,U6161,0)</t>
  </si>
  <si>
    <t>=IF(AND($M6161&gt;=$Q$16,$M6161&lt;=$Q$18),U6161,0)</t>
  </si>
  <si>
    <t>=IF(AND($M6161&gt;=$R$16,$M6161&lt;=$R$18),U6161,0)</t>
  </si>
  <si>
    <t>=IF(AND($M6161&gt;=$S$16,$M6161&lt;=$S$18),U6161,0)</t>
  </si>
  <si>
    <t>=IF($M6161&lt;=$T$18,U6161,0)</t>
  </si>
  <si>
    <t>="""NAV Direct"",""CRONUS JetCorp USA"",""21"",""1"",""281239"""</t>
  </si>
  <si>
    <t>=E6160</t>
  </si>
  <si>
    <t>=StartDate-$M6162+1</t>
  </si>
  <si>
    <t>=SUM(P6162:T6162)</t>
  </si>
  <si>
    <t>=IF($M6162&gt;=$P$18,U6162,0)</t>
  </si>
  <si>
    <t>=IF(AND($M6162&gt;=$Q$16,$M6162&lt;=$Q$18),U6162,0)</t>
  </si>
  <si>
    <t>=IF(AND($M6162&gt;=$R$16,$M6162&lt;=$R$18),U6162,0)</t>
  </si>
  <si>
    <t>=IF(AND($M6162&gt;=$S$16,$M6162&lt;=$S$18),U6162,0)</t>
  </si>
  <si>
    <t>=IF($M6162&lt;=$T$18,U6162,0)</t>
  </si>
  <si>
    <t>="""NAV Direct"",""CRONUS JetCorp USA"",""21"",""1"",""282097"""</t>
  </si>
  <si>
    <t>=E6161</t>
  </si>
  <si>
    <t>=StartDate-$M6163+1</t>
  </si>
  <si>
    <t>=SUM(P6163:T6163)</t>
  </si>
  <si>
    <t>=IF($M6163&gt;=$P$18,U6163,0)</t>
  </si>
  <si>
    <t>=IF(AND($M6163&gt;=$Q$16,$M6163&lt;=$Q$18),U6163,0)</t>
  </si>
  <si>
    <t>=IF(AND($M6163&gt;=$R$16,$M6163&lt;=$R$18),U6163,0)</t>
  </si>
  <si>
    <t>=IF(AND($M6163&gt;=$S$16,$M6163&lt;=$S$18),U6163,0)</t>
  </si>
  <si>
    <t>=IF($M6163&lt;=$T$18,U6163,0)</t>
  </si>
  <si>
    <t>="""NAV Direct"",""CRONUS JetCorp USA"",""21"",""1"",""282248"""</t>
  </si>
  <si>
    <t>=E6162</t>
  </si>
  <si>
    <t>=StartDate-$M6164+1</t>
  </si>
  <si>
    <t>=SUM(P6164:T6164)</t>
  </si>
  <si>
    <t>=IF($M6164&gt;=$P$18,U6164,0)</t>
  </si>
  <si>
    <t>=IF(AND($M6164&gt;=$Q$16,$M6164&lt;=$Q$18),U6164,0)</t>
  </si>
  <si>
    <t>=IF(AND($M6164&gt;=$R$16,$M6164&lt;=$R$18),U6164,0)</t>
  </si>
  <si>
    <t>=IF(AND($M6164&gt;=$S$16,$M6164&lt;=$S$18),U6164,0)</t>
  </si>
  <si>
    <t>=IF($M6164&lt;=$T$18,U6164,0)</t>
  </si>
  <si>
    <t>="""NAV Direct"",""CRONUS JetCorp USA"",""21"",""1"",""283624"""</t>
  </si>
  <si>
    <t>=E6163</t>
  </si>
  <si>
    <t>=StartDate-$M6165+1</t>
  </si>
  <si>
    <t>=SUM(P6165:T6165)</t>
  </si>
  <si>
    <t>=IF($M6165&gt;=$P$18,U6165,0)</t>
  </si>
  <si>
    <t>=IF(AND($M6165&gt;=$Q$16,$M6165&lt;=$Q$18),U6165,0)</t>
  </si>
  <si>
    <t>=IF(AND($M6165&gt;=$R$16,$M6165&lt;=$R$18),U6165,0)</t>
  </si>
  <si>
    <t>=IF(AND($M6165&gt;=$S$16,$M6165&lt;=$S$18),U6165,0)</t>
  </si>
  <si>
    <t>=IF($M6165&lt;=$T$18,U6165,0)</t>
  </si>
  <si>
    <t>="""NAV Direct"",""CRONUS JetCorp USA"",""21"",""1"",""284014"""</t>
  </si>
  <si>
    <t>=E6164</t>
  </si>
  <si>
    <t>=StartDate-$M6166+1</t>
  </si>
  <si>
    <t>=SUM(P6166:T6166)</t>
  </si>
  <si>
    <t>=IF($M6166&gt;=$P$18,U6166,0)</t>
  </si>
  <si>
    <t>=IF(AND($M6166&gt;=$Q$16,$M6166&lt;=$Q$18),U6166,0)</t>
  </si>
  <si>
    <t>=IF(AND($M6166&gt;=$R$16,$M6166&lt;=$R$18),U6166,0)</t>
  </si>
  <si>
    <t>=IF(AND($M6166&gt;=$S$16,$M6166&lt;=$S$18),U6166,0)</t>
  </si>
  <si>
    <t>=IF($M6166&lt;=$T$18,U6166,0)</t>
  </si>
  <si>
    <t>="""NAV Direct"",""CRONUS JetCorp USA"",""21"",""1"",""284856"""</t>
  </si>
  <si>
    <t>=E6165</t>
  </si>
  <si>
    <t>=StartDate-$M6167+1</t>
  </si>
  <si>
    <t>=SUM(P6167:T6167)</t>
  </si>
  <si>
    <t>=IF($M6167&gt;=$P$18,U6167,0)</t>
  </si>
  <si>
    <t>=IF(AND($M6167&gt;=$Q$16,$M6167&lt;=$Q$18),U6167,0)</t>
  </si>
  <si>
    <t>=IF(AND($M6167&gt;=$R$16,$M6167&lt;=$R$18),U6167,0)</t>
  </si>
  <si>
    <t>=IF(AND($M6167&gt;=$S$16,$M6167&lt;=$S$18),U6167,0)</t>
  </si>
  <si>
    <t>=IF($M6167&lt;=$T$18,U6167,0)</t>
  </si>
  <si>
    <t>="""NAV Direct"",""CRONUS JetCorp USA"",""21"",""1"",""285827"""</t>
  </si>
  <si>
    <t>=E6166</t>
  </si>
  <si>
    <t>=StartDate-$M6168+1</t>
  </si>
  <si>
    <t>=SUM(P6168:T6168)</t>
  </si>
  <si>
    <t>=IF($M6168&gt;=$P$18,U6168,0)</t>
  </si>
  <si>
    <t>=IF(AND($M6168&gt;=$Q$16,$M6168&lt;=$Q$18),U6168,0)</t>
  </si>
  <si>
    <t>=IF(AND($M6168&gt;=$R$16,$M6168&lt;=$R$18),U6168,0)</t>
  </si>
  <si>
    <t>=IF(AND($M6168&gt;=$S$16,$M6168&lt;=$S$18),U6168,0)</t>
  </si>
  <si>
    <t>=IF($M6168&lt;=$T$18,U6168,0)</t>
  </si>
  <si>
    <t>="""NAV Direct"",""CRONUS JetCorp USA"",""21"",""1"",""286137"""</t>
  </si>
  <si>
    <t>=E6167</t>
  </si>
  <si>
    <t>=StartDate-$M6169+1</t>
  </si>
  <si>
    <t>=SUM(P6169:T6169)</t>
  </si>
  <si>
    <t>=IF($M6169&gt;=$P$18,U6169,0)</t>
  </si>
  <si>
    <t>=IF(AND($M6169&gt;=$Q$16,$M6169&lt;=$Q$18),U6169,0)</t>
  </si>
  <si>
    <t>=IF(AND($M6169&gt;=$R$16,$M6169&lt;=$R$18),U6169,0)</t>
  </si>
  <si>
    <t>=IF(AND($M6169&gt;=$S$16,$M6169&lt;=$S$18),U6169,0)</t>
  </si>
  <si>
    <t>=IF($M6169&lt;=$T$18,U6169,0)</t>
  </si>
  <si>
    <t>="""NAV Direct"",""CRONUS JetCorp USA"",""21"",""1"",""286577"""</t>
  </si>
  <si>
    <t>=E6168</t>
  </si>
  <si>
    <t>=StartDate-$M6170+1</t>
  </si>
  <si>
    <t>=SUM(P6170:T6170)</t>
  </si>
  <si>
    <t>=IF($M6170&gt;=$P$18,U6170,0)</t>
  </si>
  <si>
    <t>=IF(AND($M6170&gt;=$Q$16,$M6170&lt;=$Q$18),U6170,0)</t>
  </si>
  <si>
    <t>=IF(AND($M6170&gt;=$R$16,$M6170&lt;=$R$18),U6170,0)</t>
  </si>
  <si>
    <t>=IF(AND($M6170&gt;=$S$16,$M6170&lt;=$S$18),U6170,0)</t>
  </si>
  <si>
    <t>=IF($M6170&lt;=$T$18,U6170,0)</t>
  </si>
  <si>
    <t>="""NAV Direct"",""CRONUS JetCorp USA"",""21"",""1"",""286772"""</t>
  </si>
  <si>
    <t>=E6169</t>
  </si>
  <si>
    <t>=StartDate-$M6171+1</t>
  </si>
  <si>
    <t>=SUM(P6171:T6171)</t>
  </si>
  <si>
    <t>=IF($M6171&gt;=$P$18,U6171,0)</t>
  </si>
  <si>
    <t>=IF(AND($M6171&gt;=$Q$16,$M6171&lt;=$Q$18),U6171,0)</t>
  </si>
  <si>
    <t>=IF(AND($M6171&gt;=$R$16,$M6171&lt;=$R$18),U6171,0)</t>
  </si>
  <si>
    <t>=IF(AND($M6171&gt;=$S$16,$M6171&lt;=$S$18),U6171,0)</t>
  </si>
  <si>
    <t>=IF($M6171&lt;=$T$18,U6171,0)</t>
  </si>
  <si>
    <t>="""NAV Direct"",""CRONUS JetCorp USA"",""21"",""1"",""288524"""</t>
  </si>
  <si>
    <t>=E6170</t>
  </si>
  <si>
    <t>=StartDate-$M6172+1</t>
  </si>
  <si>
    <t>=SUM(P6172:T6172)</t>
  </si>
  <si>
    <t>=IF($M6172&gt;=$P$18,U6172,0)</t>
  </si>
  <si>
    <t>=IF(AND($M6172&gt;=$Q$16,$M6172&lt;=$Q$18),U6172,0)</t>
  </si>
  <si>
    <t>=IF(AND($M6172&gt;=$R$16,$M6172&lt;=$R$18),U6172,0)</t>
  </si>
  <si>
    <t>=IF(AND($M6172&gt;=$S$16,$M6172&lt;=$S$18),U6172,0)</t>
  </si>
  <si>
    <t>=IF($M6172&lt;=$T$18,U6172,0)</t>
  </si>
  <si>
    <t>="""NAV Direct"",""CRONUS JetCorp USA"",""21"",""1"",""288718"""</t>
  </si>
  <si>
    <t>=E6171</t>
  </si>
  <si>
    <t>=StartDate-$M6173+1</t>
  </si>
  <si>
    <t>=SUM(P6173:T6173)</t>
  </si>
  <si>
    <t>=IF($M6173&gt;=$P$18,U6173,0)</t>
  </si>
  <si>
    <t>=IF(AND($M6173&gt;=$Q$16,$M6173&lt;=$Q$18),U6173,0)</t>
  </si>
  <si>
    <t>=IF(AND($M6173&gt;=$R$16,$M6173&lt;=$R$18),U6173,0)</t>
  </si>
  <si>
    <t>=IF(AND($M6173&gt;=$S$16,$M6173&lt;=$S$18),U6173,0)</t>
  </si>
  <si>
    <t>=IF($M6173&lt;=$T$18,U6173,0)</t>
  </si>
  <si>
    <t>="""NAV Direct"",""CRONUS JetCorp USA"",""21"",""1"",""289476"""</t>
  </si>
  <si>
    <t>=E6172</t>
  </si>
  <si>
    <t>=StartDate-$M6174+1</t>
  </si>
  <si>
    <t>=SUM(P6174:T6174)</t>
  </si>
  <si>
    <t>=IF($M6174&gt;=$P$18,U6174,0)</t>
  </si>
  <si>
    <t>=IF(AND($M6174&gt;=$Q$16,$M6174&lt;=$Q$18),U6174,0)</t>
  </si>
  <si>
    <t>=IF(AND($M6174&gt;=$R$16,$M6174&lt;=$R$18),U6174,0)</t>
  </si>
  <si>
    <t>=IF(AND($M6174&gt;=$S$16,$M6174&lt;=$S$18),U6174,0)</t>
  </si>
  <si>
    <t>=IF($M6174&lt;=$T$18,U6174,0)</t>
  </si>
  <si>
    <t>="""NAV Direct"",""CRONUS JetCorp USA"",""21"",""1"",""289573"""</t>
  </si>
  <si>
    <t>=E6173</t>
  </si>
  <si>
    <t>=StartDate-$M6175+1</t>
  </si>
  <si>
    <t>=SUM(P6175:T6175)</t>
  </si>
  <si>
    <t>=IF($M6175&gt;=$P$18,U6175,0)</t>
  </si>
  <si>
    <t>=IF(AND($M6175&gt;=$Q$16,$M6175&lt;=$Q$18),U6175,0)</t>
  </si>
  <si>
    <t>=IF(AND($M6175&gt;=$R$16,$M6175&lt;=$R$18),U6175,0)</t>
  </si>
  <si>
    <t>=IF(AND($M6175&gt;=$S$16,$M6175&lt;=$S$18),U6175,0)</t>
  </si>
  <si>
    <t>=IF($M6175&lt;=$T$18,U6175,0)</t>
  </si>
  <si>
    <t>="""NAV Direct"",""CRONUS JetCorp USA"",""21"",""1"",""290856"""</t>
  </si>
  <si>
    <t>=E6174</t>
  </si>
  <si>
    <t>=StartDate-$M6176+1</t>
  </si>
  <si>
    <t>=SUM(P6176:T6176)</t>
  </si>
  <si>
    <t>=IF($M6176&gt;=$P$18,U6176,0)</t>
  </si>
  <si>
    <t>=IF(AND($M6176&gt;=$Q$16,$M6176&lt;=$Q$18),U6176,0)</t>
  </si>
  <si>
    <t>=IF(AND($M6176&gt;=$R$16,$M6176&lt;=$R$18),U6176,0)</t>
  </si>
  <si>
    <t>=IF(AND($M6176&gt;=$S$16,$M6176&lt;=$S$18),U6176,0)</t>
  </si>
  <si>
    <t>=IF($M6176&lt;=$T$18,U6176,0)</t>
  </si>
  <si>
    <t>="""NAV Direct"",""CRONUS JetCorp USA"",""21"",""1"",""290897"""</t>
  </si>
  <si>
    <t>=E6175</t>
  </si>
  <si>
    <t>=StartDate-$M6177+1</t>
  </si>
  <si>
    <t>=SUM(P6177:T6177)</t>
  </si>
  <si>
    <t>=IF($M6177&gt;=$P$18,U6177,0)</t>
  </si>
  <si>
    <t>=IF(AND($M6177&gt;=$Q$16,$M6177&lt;=$Q$18),U6177,0)</t>
  </si>
  <si>
    <t>=IF(AND($M6177&gt;=$R$16,$M6177&lt;=$R$18),U6177,0)</t>
  </si>
  <si>
    <t>=IF(AND($M6177&gt;=$S$16,$M6177&lt;=$S$18),U6177,0)</t>
  </si>
  <si>
    <t>=IF($M6177&lt;=$T$18,U6177,0)</t>
  </si>
  <si>
    <t>="""NAV Direct"",""CRONUS JetCorp USA"",""21"",""1"",""291298"""</t>
  </si>
  <si>
    <t>=E6176</t>
  </si>
  <si>
    <t>=StartDate-$M6178+1</t>
  </si>
  <si>
    <t>=SUM(P6178:T6178)</t>
  </si>
  <si>
    <t>=IF($M6178&gt;=$P$18,U6178,0)</t>
  </si>
  <si>
    <t>=IF(AND($M6178&gt;=$Q$16,$M6178&lt;=$Q$18),U6178,0)</t>
  </si>
  <si>
    <t>=IF(AND($M6178&gt;=$R$16,$M6178&lt;=$R$18),U6178,0)</t>
  </si>
  <si>
    <t>=IF(AND($M6178&gt;=$S$16,$M6178&lt;=$S$18),U6178,0)</t>
  </si>
  <si>
    <t>=IF($M6178&lt;=$T$18,U6178,0)</t>
  </si>
  <si>
    <t>="""NAV Direct"",""CRONUS JetCorp USA"",""21"",""1"",""292577"""</t>
  </si>
  <si>
    <t>=E6177</t>
  </si>
  <si>
    <t>=StartDate-$M6179+1</t>
  </si>
  <si>
    <t>=SUM(P6179:T6179)</t>
  </si>
  <si>
    <t>=IF($M6179&gt;=$P$18,U6179,0)</t>
  </si>
  <si>
    <t>=IF(AND($M6179&gt;=$Q$16,$M6179&lt;=$Q$18),U6179,0)</t>
  </si>
  <si>
    <t>=IF(AND($M6179&gt;=$R$16,$M6179&lt;=$R$18),U6179,0)</t>
  </si>
  <si>
    <t>=IF(AND($M6179&gt;=$S$16,$M6179&lt;=$S$18),U6179,0)</t>
  </si>
  <si>
    <t>=IF($M6179&lt;=$T$18,U6179,0)</t>
  </si>
  <si>
    <t>="""NAV Direct"",""CRONUS JetCorp USA"",""21"",""1"",""292949"""</t>
  </si>
  <si>
    <t>=E6178</t>
  </si>
  <si>
    <t>=StartDate-$M6180+1</t>
  </si>
  <si>
    <t>=SUM(P6180:T6180)</t>
  </si>
  <si>
    <t>=IF($M6180&gt;=$P$18,U6180,0)</t>
  </si>
  <si>
    <t>=IF(AND($M6180&gt;=$Q$16,$M6180&lt;=$Q$18),U6180,0)</t>
  </si>
  <si>
    <t>=IF(AND($M6180&gt;=$R$16,$M6180&lt;=$R$18),U6180,0)</t>
  </si>
  <si>
    <t>=IF(AND($M6180&gt;=$S$16,$M6180&lt;=$S$18),U6180,0)</t>
  </si>
  <si>
    <t>=IF($M6180&lt;=$T$18,U6180,0)</t>
  </si>
  <si>
    <t>="""NAV Direct"",""CRONUS JetCorp USA"",""21"",""1"",""294427"""</t>
  </si>
  <si>
    <t>=E6179</t>
  </si>
  <si>
    <t>=StartDate-$M6181+1</t>
  </si>
  <si>
    <t>=SUM(P6181:T6181)</t>
  </si>
  <si>
    <t>=IF($M6181&gt;=$P$18,U6181,0)</t>
  </si>
  <si>
    <t>=IF(AND($M6181&gt;=$Q$16,$M6181&lt;=$Q$18),U6181,0)</t>
  </si>
  <si>
    <t>=IF(AND($M6181&gt;=$R$16,$M6181&lt;=$R$18),U6181,0)</t>
  </si>
  <si>
    <t>=IF(AND($M6181&gt;=$S$16,$M6181&lt;=$S$18),U6181,0)</t>
  </si>
  <si>
    <t>=IF($M6181&lt;=$T$18,U6181,0)</t>
  </si>
  <si>
    <t>="""NAV Direct"",""CRONUS JetCorp USA"",""21"",""1"",""294487"""</t>
  </si>
  <si>
    <t>=E6180</t>
  </si>
  <si>
    <t>=StartDate-$M6182+1</t>
  </si>
  <si>
    <t>=SUM(P6182:T6182)</t>
  </si>
  <si>
    <t>=IF($M6182&gt;=$P$18,U6182,0)</t>
  </si>
  <si>
    <t>=IF(AND($M6182&gt;=$Q$16,$M6182&lt;=$Q$18),U6182,0)</t>
  </si>
  <si>
    <t>=IF(AND($M6182&gt;=$R$16,$M6182&lt;=$R$18),U6182,0)</t>
  </si>
  <si>
    <t>=IF(AND($M6182&gt;=$S$16,$M6182&lt;=$S$18),U6182,0)</t>
  </si>
  <si>
    <t>=IF($M6182&lt;=$T$18,U6182,0)</t>
  </si>
  <si>
    <t>="""NAV Direct"",""CRONUS JetCorp USA"",""21"",""1"",""294514"""</t>
  </si>
  <si>
    <t>=E6181</t>
  </si>
  <si>
    <t>=StartDate-$M6183+1</t>
  </si>
  <si>
    <t>=SUM(P6183:T6183)</t>
  </si>
  <si>
    <t>=IF($M6183&gt;=$P$18,U6183,0)</t>
  </si>
  <si>
    <t>=IF(AND($M6183&gt;=$Q$16,$M6183&lt;=$Q$18),U6183,0)</t>
  </si>
  <si>
    <t>=IF(AND($M6183&gt;=$R$16,$M6183&lt;=$R$18),U6183,0)</t>
  </si>
  <si>
    <t>=IF(AND($M6183&gt;=$S$16,$M6183&lt;=$S$18),U6183,0)</t>
  </si>
  <si>
    <t>=IF($M6183&lt;=$T$18,U6183,0)</t>
  </si>
  <si>
    <t>="""NAV Direct"",""CRONUS JetCorp USA"",""21"",""1"",""294611"""</t>
  </si>
  <si>
    <t>=E6182</t>
  </si>
  <si>
    <t>=StartDate-$M6184+1</t>
  </si>
  <si>
    <t>=SUM(P6184:T6184)</t>
  </si>
  <si>
    <t>=IF($M6184&gt;=$P$18,U6184,0)</t>
  </si>
  <si>
    <t>=IF(AND($M6184&gt;=$Q$16,$M6184&lt;=$Q$18),U6184,0)</t>
  </si>
  <si>
    <t>=IF(AND($M6184&gt;=$R$16,$M6184&lt;=$R$18),U6184,0)</t>
  </si>
  <si>
    <t>=IF(AND($M6184&gt;=$S$16,$M6184&lt;=$S$18),U6184,0)</t>
  </si>
  <si>
    <t>=IF($M6184&lt;=$T$18,U6184,0)</t>
  </si>
  <si>
    <t>="""NAV Direct"",""CRONUS JetCorp USA"",""21"",""1"",""296869"""</t>
  </si>
  <si>
    <t>=E6183</t>
  </si>
  <si>
    <t>=StartDate-$M6185+1</t>
  </si>
  <si>
    <t>=SUM(P6185:T6185)</t>
  </si>
  <si>
    <t>=IF($M6185&gt;=$P$18,U6185,0)</t>
  </si>
  <si>
    <t>=IF(AND($M6185&gt;=$Q$16,$M6185&lt;=$Q$18),U6185,0)</t>
  </si>
  <si>
    <t>=IF(AND($M6185&gt;=$R$16,$M6185&lt;=$R$18),U6185,0)</t>
  </si>
  <si>
    <t>=IF(AND($M6185&gt;=$S$16,$M6185&lt;=$S$18),U6185,0)</t>
  </si>
  <si>
    <t>=IF($M6185&lt;=$T$18,U6185,0)</t>
  </si>
  <si>
    <t>="""NAV Direct"",""CRONUS JetCorp USA"",""21"",""1"",""300596"""</t>
  </si>
  <si>
    <t>=E6184</t>
  </si>
  <si>
    <t>=StartDate-$M6186+1</t>
  </si>
  <si>
    <t>=SUM(P6186:T6186)</t>
  </si>
  <si>
    <t>=IF($M6186&gt;=$P$18,U6186,0)</t>
  </si>
  <si>
    <t>=IF(AND($M6186&gt;=$Q$16,$M6186&lt;=$Q$18),U6186,0)</t>
  </si>
  <si>
    <t>=IF(AND($M6186&gt;=$R$16,$M6186&lt;=$R$18),U6186,0)</t>
  </si>
  <si>
    <t>=IF(AND($M6186&gt;=$S$16,$M6186&lt;=$S$18),U6186,0)</t>
  </si>
  <si>
    <t>=IF($M6186&lt;=$T$18,U6186,0)</t>
  </si>
  <si>
    <t>="""NAV Direct"",""CRONUS JetCorp USA"",""21"",""1"",""300744"""</t>
  </si>
  <si>
    <t>=E6185</t>
  </si>
  <si>
    <t>=StartDate-$M6187+1</t>
  </si>
  <si>
    <t>=SUM(P6187:T6187)</t>
  </si>
  <si>
    <t>=IF($M6187&gt;=$P$18,U6187,0)</t>
  </si>
  <si>
    <t>=IF(AND($M6187&gt;=$Q$16,$M6187&lt;=$Q$18),U6187,0)</t>
  </si>
  <si>
    <t>=IF(AND($M6187&gt;=$R$16,$M6187&lt;=$R$18),U6187,0)</t>
  </si>
  <si>
    <t>=IF(AND($M6187&gt;=$S$16,$M6187&lt;=$S$18),U6187,0)</t>
  </si>
  <si>
    <t>=IF($M6187&lt;=$T$18,U6187,0)</t>
  </si>
  <si>
    <t>="""NAV Direct"",""CRONUS JetCorp USA"",""21"",""1"",""301915"""</t>
  </si>
  <si>
    <t>=E6186</t>
  </si>
  <si>
    <t>=StartDate-$M6188+1</t>
  </si>
  <si>
    <t>=SUM(P6188:T6188)</t>
  </si>
  <si>
    <t>=IF($M6188&gt;=$P$18,U6188,0)</t>
  </si>
  <si>
    <t>=IF(AND($M6188&gt;=$Q$16,$M6188&lt;=$Q$18),U6188,0)</t>
  </si>
  <si>
    <t>=IF(AND($M6188&gt;=$R$16,$M6188&lt;=$R$18),U6188,0)</t>
  </si>
  <si>
    <t>=IF(AND($M6188&gt;=$S$16,$M6188&lt;=$S$18),U6188,0)</t>
  </si>
  <si>
    <t>=IF($M6188&lt;=$T$18,U6188,0)</t>
  </si>
  <si>
    <t>="""NAV Direct"",""CRONUS JetCorp USA"",""21"",""1"",""302357"""</t>
  </si>
  <si>
    <t>=E6187</t>
  </si>
  <si>
    <t>=StartDate-$M6189+1</t>
  </si>
  <si>
    <t>=SUM(P6189:T6189)</t>
  </si>
  <si>
    <t>=IF($M6189&gt;=$P$18,U6189,0)</t>
  </si>
  <si>
    <t>=IF(AND($M6189&gt;=$Q$16,$M6189&lt;=$Q$18),U6189,0)</t>
  </si>
  <si>
    <t>=IF(AND($M6189&gt;=$R$16,$M6189&lt;=$R$18),U6189,0)</t>
  </si>
  <si>
    <t>=IF(AND($M6189&gt;=$S$16,$M6189&lt;=$S$18),U6189,0)</t>
  </si>
  <si>
    <t>=IF($M6189&lt;=$T$18,U6189,0)</t>
  </si>
  <si>
    <t>="""NAV Direct"",""CRONUS JetCorp USA"",""21"",""1"",""302963"""</t>
  </si>
  <si>
    <t>=E6188</t>
  </si>
  <si>
    <t>=StartDate-$M6190+1</t>
  </si>
  <si>
    <t>=SUM(P6190:T6190)</t>
  </si>
  <si>
    <t>=IF($M6190&gt;=$P$18,U6190,0)</t>
  </si>
  <si>
    <t>=IF(AND($M6190&gt;=$Q$16,$M6190&lt;=$Q$18),U6190,0)</t>
  </si>
  <si>
    <t>=IF(AND($M6190&gt;=$R$16,$M6190&lt;=$R$18),U6190,0)</t>
  </si>
  <si>
    <t>=IF(AND($M6190&gt;=$S$16,$M6190&lt;=$S$18),U6190,0)</t>
  </si>
  <si>
    <t>=IF($M6190&lt;=$T$18,U6190,0)</t>
  </si>
  <si>
    <t>="""NAV Direct"",""CRONUS JetCorp USA"",""21"",""1"",""303077"""</t>
  </si>
  <si>
    <t>=E6189</t>
  </si>
  <si>
    <t>=StartDate-$M6191+1</t>
  </si>
  <si>
    <t>=SUM(P6191:T6191)</t>
  </si>
  <si>
    <t>=IF($M6191&gt;=$P$18,U6191,0)</t>
  </si>
  <si>
    <t>=IF(AND($M6191&gt;=$Q$16,$M6191&lt;=$Q$18),U6191,0)</t>
  </si>
  <si>
    <t>=IF(AND($M6191&gt;=$R$16,$M6191&lt;=$R$18),U6191,0)</t>
  </si>
  <si>
    <t>=IF(AND($M6191&gt;=$S$16,$M6191&lt;=$S$18),U6191,0)</t>
  </si>
  <si>
    <t>=IF($M6191&lt;=$T$18,U6191,0)</t>
  </si>
  <si>
    <t>="""NAV Direct"",""CRONUS JetCorp USA"",""21"",""1"",""303622"""</t>
  </si>
  <si>
    <t>=E6190</t>
  </si>
  <si>
    <t>=StartDate-$M6192+1</t>
  </si>
  <si>
    <t>=SUM(P6192:T6192)</t>
  </si>
  <si>
    <t>=IF($M6192&gt;=$P$18,U6192,0)</t>
  </si>
  <si>
    <t>=IF(AND($M6192&gt;=$Q$16,$M6192&lt;=$Q$18),U6192,0)</t>
  </si>
  <si>
    <t>=IF(AND($M6192&gt;=$R$16,$M6192&lt;=$R$18),U6192,0)</t>
  </si>
  <si>
    <t>=IF(AND($M6192&gt;=$S$16,$M6192&lt;=$S$18),U6192,0)</t>
  </si>
  <si>
    <t>=IF($M6192&lt;=$T$18,U6192,0)</t>
  </si>
  <si>
    <t>="""NAV Direct"",""CRONUS JetCorp USA"",""18"",""1"",""C100518"""</t>
  </si>
  <si>
    <t>=H6195</t>
  </si>
  <si>
    <t>=NF($C6195,"1 No.")</t>
  </si>
  <si>
    <t>=NF($C6195,"1 No.")&amp;"  -  "&amp;NF($C6195,"2 Name")</t>
  </si>
  <si>
    <t>=IFERROR(O6195/NF(C6195,"Credit Limit (LCY)"),"")</t>
  </si>
  <si>
    <t>=SUBTOTAL(3,L6196:L6224)</t>
  </si>
  <si>
    <t>=SUBTOTAL(9,O6196:O6224)</t>
  </si>
  <si>
    <t>=SUBTOTAL(9,P6196:P6224)</t>
  </si>
  <si>
    <t>=SUBTOTAL(9,Q6196:Q6224)</t>
  </si>
  <si>
    <t>=SUBTOTAL(9,R6196:R6224)</t>
  </si>
  <si>
    <t>=SUBTOTAL(9,S6196:S6224)</t>
  </si>
  <si>
    <t>=SUBTOTAL(9,T6196:T6224)</t>
  </si>
  <si>
    <t>=C6195</t>
  </si>
  <si>
    <t>=E6195</t>
  </si>
  <si>
    <t>="Contact: "&amp;NF($C6196,"8 Contact")</t>
  </si>
  <si>
    <t>=C6196</t>
  </si>
  <si>
    <t>=E6196</t>
  </si>
  <si>
    <t>=NF($C6197,"102 E-Mail")</t>
  </si>
  <si>
    <t>=NL("Rows","21 Cust. Ledger Entry",,"3 Customer No.","@@"&amp;$E6199,"16 Remaining Amt. (LCY)","&lt;&gt;0")</t>
  </si>
  <si>
    <t>=E6197</t>
  </si>
  <si>
    <t>=StartDate-$M6199+1</t>
  </si>
  <si>
    <t>=SUM(P6199:T6199)</t>
  </si>
  <si>
    <t>=IF($M6199&gt;=$P$18,U6199,0)</t>
  </si>
  <si>
    <t>=IF(AND($M6199&gt;=$Q$16,$M6199&lt;=$Q$18),U6199,0)</t>
  </si>
  <si>
    <t>=IF(AND($M6199&gt;=$R$16,$M6199&lt;=$R$18),U6199,0)</t>
  </si>
  <si>
    <t>=IF(AND($M6199&gt;=$S$16,$M6199&lt;=$S$18),U6199,0)</t>
  </si>
  <si>
    <t>=IF($M6199&lt;=$T$18,U6199,0)</t>
  </si>
  <si>
    <t>="""NAV Direct"",""CRONUS JetCorp USA"",""21"",""1"",""282025"""</t>
  </si>
  <si>
    <t>=E6198</t>
  </si>
  <si>
    <t>=StartDate-$M6200+1</t>
  </si>
  <si>
    <t>=SUM(P6200:T6200)</t>
  </si>
  <si>
    <t>=IF($M6200&gt;=$P$18,U6200,0)</t>
  </si>
  <si>
    <t>=IF(AND($M6200&gt;=$Q$16,$M6200&lt;=$Q$18),U6200,0)</t>
  </si>
  <si>
    <t>=IF(AND($M6200&gt;=$R$16,$M6200&lt;=$R$18),U6200,0)</t>
  </si>
  <si>
    <t>=IF(AND($M6200&gt;=$S$16,$M6200&lt;=$S$18),U6200,0)</t>
  </si>
  <si>
    <t>=IF($M6200&lt;=$T$18,U6200,0)</t>
  </si>
  <si>
    <t>="""NAV Direct"",""CRONUS JetCorp USA"",""21"",""1"",""285472"""</t>
  </si>
  <si>
    <t>=E6199</t>
  </si>
  <si>
    <t>=StartDate-$M6201+1</t>
  </si>
  <si>
    <t>=SUM(P6201:T6201)</t>
  </si>
  <si>
    <t>=IF($M6201&gt;=$P$18,U6201,0)</t>
  </si>
  <si>
    <t>=IF(AND($M6201&gt;=$Q$16,$M6201&lt;=$Q$18),U6201,0)</t>
  </si>
  <si>
    <t>=IF(AND($M6201&gt;=$R$16,$M6201&lt;=$R$18),U6201,0)</t>
  </si>
  <si>
    <t>=IF(AND($M6201&gt;=$S$16,$M6201&lt;=$S$18),U6201,0)</t>
  </si>
  <si>
    <t>=IF($M6201&lt;=$T$18,U6201,0)</t>
  </si>
  <si>
    <t>="""NAV Direct"",""CRONUS JetCorp USA"",""21"",""1"",""286361"""</t>
  </si>
  <si>
    <t>=E6200</t>
  </si>
  <si>
    <t>=StartDate-$M6202+1</t>
  </si>
  <si>
    <t>=SUM(P6202:T6202)</t>
  </si>
  <si>
    <t>=IF($M6202&gt;=$P$18,U6202,0)</t>
  </si>
  <si>
    <t>=IF(AND($M6202&gt;=$Q$16,$M6202&lt;=$Q$18),U6202,0)</t>
  </si>
  <si>
    <t>=IF(AND($M6202&gt;=$R$16,$M6202&lt;=$R$18),U6202,0)</t>
  </si>
  <si>
    <t>=IF(AND($M6202&gt;=$S$16,$M6202&lt;=$S$18),U6202,0)</t>
  </si>
  <si>
    <t>=IF($M6202&lt;=$T$18,U6202,0)</t>
  </si>
  <si>
    <t>="""NAV Direct"",""CRONUS JetCorp USA"",""21"",""1"",""286394"""</t>
  </si>
  <si>
    <t>=E6201</t>
  </si>
  <si>
    <t>=StartDate-$M6203+1</t>
  </si>
  <si>
    <t>=SUM(P6203:T6203)</t>
  </si>
  <si>
    <t>=IF($M6203&gt;=$P$18,U6203,0)</t>
  </si>
  <si>
    <t>=IF(AND($M6203&gt;=$Q$16,$M6203&lt;=$Q$18),U6203,0)</t>
  </si>
  <si>
    <t>=IF(AND($M6203&gt;=$R$16,$M6203&lt;=$R$18),U6203,0)</t>
  </si>
  <si>
    <t>=IF(AND($M6203&gt;=$S$16,$M6203&lt;=$S$18),U6203,0)</t>
  </si>
  <si>
    <t>=IF($M6203&lt;=$T$18,U6203,0)</t>
  </si>
  <si>
    <t>="""NAV Direct"",""CRONUS JetCorp USA"",""21"",""1"",""287228"""</t>
  </si>
  <si>
    <t>=E6202</t>
  </si>
  <si>
    <t>=StartDate-$M6204+1</t>
  </si>
  <si>
    <t>=SUM(P6204:T6204)</t>
  </si>
  <si>
    <t>=IF($M6204&gt;=$P$18,U6204,0)</t>
  </si>
  <si>
    <t>=IF(AND($M6204&gt;=$Q$16,$M6204&lt;=$Q$18),U6204,0)</t>
  </si>
  <si>
    <t>=IF(AND($M6204&gt;=$R$16,$M6204&lt;=$R$18),U6204,0)</t>
  </si>
  <si>
    <t>=IF(AND($M6204&gt;=$S$16,$M6204&lt;=$S$18),U6204,0)</t>
  </si>
  <si>
    <t>=IF($M6204&lt;=$T$18,U6204,0)</t>
  </si>
  <si>
    <t>="""NAV Direct"",""CRONUS JetCorp USA"",""21"",""1"",""288110"""</t>
  </si>
  <si>
    <t>=E6203</t>
  </si>
  <si>
    <t>=StartDate-$M6205+1</t>
  </si>
  <si>
    <t>=SUM(P6205:T6205)</t>
  </si>
  <si>
    <t>=IF($M6205&gt;=$P$18,U6205,0)</t>
  </si>
  <si>
    <t>=IF(AND($M6205&gt;=$Q$16,$M6205&lt;=$Q$18),U6205,0)</t>
  </si>
  <si>
    <t>=IF(AND($M6205&gt;=$R$16,$M6205&lt;=$R$18),U6205,0)</t>
  </si>
  <si>
    <t>=IF(AND($M6205&gt;=$S$16,$M6205&lt;=$S$18),U6205,0)</t>
  </si>
  <si>
    <t>=IF($M6205&lt;=$T$18,U6205,0)</t>
  </si>
  <si>
    <t>="""NAV Direct"",""CRONUS JetCorp USA"",""21"",""1"",""288399"""</t>
  </si>
  <si>
    <t>=E6204</t>
  </si>
  <si>
    <t>=StartDate-$M6206+1</t>
  </si>
  <si>
    <t>=SUM(P6206:T6206)</t>
  </si>
  <si>
    <t>=IF($M6206&gt;=$P$18,U6206,0)</t>
  </si>
  <si>
    <t>=IF(AND($M6206&gt;=$Q$16,$M6206&lt;=$Q$18),U6206,0)</t>
  </si>
  <si>
    <t>=IF(AND($M6206&gt;=$R$16,$M6206&lt;=$R$18),U6206,0)</t>
  </si>
  <si>
    <t>=IF(AND($M6206&gt;=$S$16,$M6206&lt;=$S$18),U6206,0)</t>
  </si>
  <si>
    <t>=IF($M6206&lt;=$T$18,U6206,0)</t>
  </si>
  <si>
    <t>="""NAV Direct"",""CRONUS JetCorp USA"",""21"",""1"",""288604"""</t>
  </si>
  <si>
    <t>=E6205</t>
  </si>
  <si>
    <t>=StartDate-$M6207+1</t>
  </si>
  <si>
    <t>=SUM(P6207:T6207)</t>
  </si>
  <si>
    <t>=IF($M6207&gt;=$P$18,U6207,0)</t>
  </si>
  <si>
    <t>=IF(AND($M6207&gt;=$Q$16,$M6207&lt;=$Q$18),U6207,0)</t>
  </si>
  <si>
    <t>=IF(AND($M6207&gt;=$R$16,$M6207&lt;=$R$18),U6207,0)</t>
  </si>
  <si>
    <t>=IF(AND($M6207&gt;=$S$16,$M6207&lt;=$S$18),U6207,0)</t>
  </si>
  <si>
    <t>=IF($M6207&lt;=$T$18,U6207,0)</t>
  </si>
  <si>
    <t>="""NAV Direct"",""CRONUS JetCorp USA"",""21"",""1"",""288880"""</t>
  </si>
  <si>
    <t>=E6206</t>
  </si>
  <si>
    <t>=StartDate-$M6208+1</t>
  </si>
  <si>
    <t>=SUM(P6208:T6208)</t>
  </si>
  <si>
    <t>=IF($M6208&gt;=$P$18,U6208,0)</t>
  </si>
  <si>
    <t>=IF(AND($M6208&gt;=$Q$16,$M6208&lt;=$Q$18),U6208,0)</t>
  </si>
  <si>
    <t>=IF(AND($M6208&gt;=$R$16,$M6208&lt;=$R$18),U6208,0)</t>
  </si>
  <si>
    <t>=IF(AND($M6208&gt;=$S$16,$M6208&lt;=$S$18),U6208,0)</t>
  </si>
  <si>
    <t>=IF($M6208&lt;=$T$18,U6208,0)</t>
  </si>
  <si>
    <t>="""NAV Direct"",""CRONUS JetCorp USA"",""21"",""1"",""289151"""</t>
  </si>
  <si>
    <t>=E6207</t>
  </si>
  <si>
    <t>=StartDate-$M6209+1</t>
  </si>
  <si>
    <t>=SUM(P6209:T6209)</t>
  </si>
  <si>
    <t>=IF($M6209&gt;=$P$18,U6209,0)</t>
  </si>
  <si>
    <t>=IF(AND($M6209&gt;=$Q$16,$M6209&lt;=$Q$18),U6209,0)</t>
  </si>
  <si>
    <t>=IF(AND($M6209&gt;=$R$16,$M6209&lt;=$R$18),U6209,0)</t>
  </si>
  <si>
    <t>=IF(AND($M6209&gt;=$S$16,$M6209&lt;=$S$18),U6209,0)</t>
  </si>
  <si>
    <t>=IF($M6209&lt;=$T$18,U6209,0)</t>
  </si>
  <si>
    <t>="""NAV Direct"",""CRONUS JetCorp USA"",""21"",""1"",""289509"""</t>
  </si>
  <si>
    <t>=E6208</t>
  </si>
  <si>
    <t>=StartDate-$M6210+1</t>
  </si>
  <si>
    <t>=SUM(P6210:T6210)</t>
  </si>
  <si>
    <t>=IF($M6210&gt;=$P$18,U6210,0)</t>
  </si>
  <si>
    <t>=IF(AND($M6210&gt;=$Q$16,$M6210&lt;=$Q$18),U6210,0)</t>
  </si>
  <si>
    <t>=IF(AND($M6210&gt;=$R$16,$M6210&lt;=$R$18),U6210,0)</t>
  </si>
  <si>
    <t>=IF(AND($M6210&gt;=$S$16,$M6210&lt;=$S$18),U6210,0)</t>
  </si>
  <si>
    <t>=IF($M6210&lt;=$T$18,U6210,0)</t>
  </si>
  <si>
    <t>="""NAV Direct"",""CRONUS JetCorp USA"",""21"",""1"",""293744"""</t>
  </si>
  <si>
    <t>=E6209</t>
  </si>
  <si>
    <t>=StartDate-$M6211+1</t>
  </si>
  <si>
    <t>=SUM(P6211:T6211)</t>
  </si>
  <si>
    <t>=IF($M6211&gt;=$P$18,U6211,0)</t>
  </si>
  <si>
    <t>=IF(AND($M6211&gt;=$Q$16,$M6211&lt;=$Q$18),U6211,0)</t>
  </si>
  <si>
    <t>=IF(AND($M6211&gt;=$R$16,$M6211&lt;=$R$18),U6211,0)</t>
  </si>
  <si>
    <t>=IF(AND($M6211&gt;=$S$16,$M6211&lt;=$S$18),U6211,0)</t>
  </si>
  <si>
    <t>=IF($M6211&lt;=$T$18,U6211,0)</t>
  </si>
  <si>
    <t>="""NAV Direct"",""CRONUS JetCorp USA"",""21"",""1"",""295195"""</t>
  </si>
  <si>
    <t>=E6210</t>
  </si>
  <si>
    <t>=StartDate-$M6212+1</t>
  </si>
  <si>
    <t>=SUM(P6212:T6212)</t>
  </si>
  <si>
    <t>=IF($M6212&gt;=$P$18,U6212,0)</t>
  </si>
  <si>
    <t>=IF(AND($M6212&gt;=$Q$16,$M6212&lt;=$Q$18),U6212,0)</t>
  </si>
  <si>
    <t>=IF(AND($M6212&gt;=$R$16,$M6212&lt;=$R$18),U6212,0)</t>
  </si>
  <si>
    <t>=IF(AND($M6212&gt;=$S$16,$M6212&lt;=$S$18),U6212,0)</t>
  </si>
  <si>
    <t>=IF($M6212&lt;=$T$18,U6212,0)</t>
  </si>
  <si>
    <t>="""NAV Direct"",""CRONUS JetCorp USA"",""21"",""1"",""297227"""</t>
  </si>
  <si>
    <t>=E6211</t>
  </si>
  <si>
    <t>=StartDate-$M6213+1</t>
  </si>
  <si>
    <t>=SUM(P6213:T6213)</t>
  </si>
  <si>
    <t>=IF($M6213&gt;=$P$18,U6213,0)</t>
  </si>
  <si>
    <t>=IF(AND($M6213&gt;=$Q$16,$M6213&lt;=$Q$18),U6213,0)</t>
  </si>
  <si>
    <t>=IF(AND($M6213&gt;=$R$16,$M6213&lt;=$R$18),U6213,0)</t>
  </si>
  <si>
    <t>=IF(AND($M6213&gt;=$S$16,$M6213&lt;=$S$18),U6213,0)</t>
  </si>
  <si>
    <t>=IF($M6213&lt;=$T$18,U6213,0)</t>
  </si>
  <si>
    <t>="""NAV Direct"",""CRONUS JetCorp USA"",""21"",""1"",""297438"""</t>
  </si>
  <si>
    <t>=E6212</t>
  </si>
  <si>
    <t>=StartDate-$M6214+1</t>
  </si>
  <si>
    <t>=SUM(P6214:T6214)</t>
  </si>
  <si>
    <t>=IF($M6214&gt;=$P$18,U6214,0)</t>
  </si>
  <si>
    <t>=IF(AND($M6214&gt;=$Q$16,$M6214&lt;=$Q$18),U6214,0)</t>
  </si>
  <si>
    <t>=IF(AND($M6214&gt;=$R$16,$M6214&lt;=$R$18),U6214,0)</t>
  </si>
  <si>
    <t>=IF(AND($M6214&gt;=$S$16,$M6214&lt;=$S$18),U6214,0)</t>
  </si>
  <si>
    <t>=IF($M6214&lt;=$T$18,U6214,0)</t>
  </si>
  <si>
    <t>="""NAV Direct"",""CRONUS JetCorp USA"",""21"",""1"",""298778"""</t>
  </si>
  <si>
    <t>=E6213</t>
  </si>
  <si>
    <t>=StartDate-$M6215+1</t>
  </si>
  <si>
    <t>=SUM(P6215:T6215)</t>
  </si>
  <si>
    <t>=IF($M6215&gt;=$P$18,U6215,0)</t>
  </si>
  <si>
    <t>=IF(AND($M6215&gt;=$Q$16,$M6215&lt;=$Q$18),U6215,0)</t>
  </si>
  <si>
    <t>=IF(AND($M6215&gt;=$R$16,$M6215&lt;=$R$18),U6215,0)</t>
  </si>
  <si>
    <t>=IF(AND($M6215&gt;=$S$16,$M6215&lt;=$S$18),U6215,0)</t>
  </si>
  <si>
    <t>=IF($M6215&lt;=$T$18,U6215,0)</t>
  </si>
  <si>
    <t>="""NAV Direct"",""CRONUS JetCorp USA"",""21"",""1"",""298858"""</t>
  </si>
  <si>
    <t>=E6214</t>
  </si>
  <si>
    <t>=StartDate-$M6216+1</t>
  </si>
  <si>
    <t>=SUM(P6216:T6216)</t>
  </si>
  <si>
    <t>=IF($M6216&gt;=$P$18,U6216,0)</t>
  </si>
  <si>
    <t>=IF(AND($M6216&gt;=$Q$16,$M6216&lt;=$Q$18),U6216,0)</t>
  </si>
  <si>
    <t>=IF(AND($M6216&gt;=$R$16,$M6216&lt;=$R$18),U6216,0)</t>
  </si>
  <si>
    <t>=IF(AND($M6216&gt;=$S$16,$M6216&lt;=$S$18),U6216,0)</t>
  </si>
  <si>
    <t>=IF($M6216&lt;=$T$18,U6216,0)</t>
  </si>
  <si>
    <t>="""NAV Direct"",""CRONUS JetCorp USA"",""21"",""1"",""299193"""</t>
  </si>
  <si>
    <t>=E6215</t>
  </si>
  <si>
    <t>=StartDate-$M6217+1</t>
  </si>
  <si>
    <t>=SUM(P6217:T6217)</t>
  </si>
  <si>
    <t>=IF($M6217&gt;=$P$18,U6217,0)</t>
  </si>
  <si>
    <t>=IF(AND($M6217&gt;=$Q$16,$M6217&lt;=$Q$18),U6217,0)</t>
  </si>
  <si>
    <t>=IF(AND($M6217&gt;=$R$16,$M6217&lt;=$R$18),U6217,0)</t>
  </si>
  <si>
    <t>=IF(AND($M6217&gt;=$S$16,$M6217&lt;=$S$18),U6217,0)</t>
  </si>
  <si>
    <t>=IF($M6217&lt;=$T$18,U6217,0)</t>
  </si>
  <si>
    <t>="""NAV Direct"",""CRONUS JetCorp USA"",""21"",""1"",""299222"""</t>
  </si>
  <si>
    <t>=E6216</t>
  </si>
  <si>
    <t>=StartDate-$M6218+1</t>
  </si>
  <si>
    <t>=SUM(P6218:T6218)</t>
  </si>
  <si>
    <t>=IF($M6218&gt;=$P$18,U6218,0)</t>
  </si>
  <si>
    <t>=IF(AND($M6218&gt;=$Q$16,$M6218&lt;=$Q$18),U6218,0)</t>
  </si>
  <si>
    <t>=IF(AND($M6218&gt;=$R$16,$M6218&lt;=$R$18),U6218,0)</t>
  </si>
  <si>
    <t>=IF(AND($M6218&gt;=$S$16,$M6218&lt;=$S$18),U6218,0)</t>
  </si>
  <si>
    <t>=IF($M6218&lt;=$T$18,U6218,0)</t>
  </si>
  <si>
    <t>="""NAV Direct"",""CRONUS JetCorp USA"",""21"",""1"",""299335"""</t>
  </si>
  <si>
    <t>=E6217</t>
  </si>
  <si>
    <t>=StartDate-$M6219+1</t>
  </si>
  <si>
    <t>=SUM(P6219:T6219)</t>
  </si>
  <si>
    <t>=IF($M6219&gt;=$P$18,U6219,0)</t>
  </si>
  <si>
    <t>=IF(AND($M6219&gt;=$Q$16,$M6219&lt;=$Q$18),U6219,0)</t>
  </si>
  <si>
    <t>=IF(AND($M6219&gt;=$R$16,$M6219&lt;=$R$18),U6219,0)</t>
  </si>
  <si>
    <t>=IF(AND($M6219&gt;=$S$16,$M6219&lt;=$S$18),U6219,0)</t>
  </si>
  <si>
    <t>=IF($M6219&lt;=$T$18,U6219,0)</t>
  </si>
  <si>
    <t>="""NAV Direct"",""CRONUS JetCorp USA"",""21"",""1"",""300992"""</t>
  </si>
  <si>
    <t>=E6218</t>
  </si>
  <si>
    <t>=StartDate-$M6220+1</t>
  </si>
  <si>
    <t>=SUM(P6220:T6220)</t>
  </si>
  <si>
    <t>=IF($M6220&gt;=$P$18,U6220,0)</t>
  </si>
  <si>
    <t>=IF(AND($M6220&gt;=$Q$16,$M6220&lt;=$Q$18),U6220,0)</t>
  </si>
  <si>
    <t>=IF(AND($M6220&gt;=$R$16,$M6220&lt;=$R$18),U6220,0)</t>
  </si>
  <si>
    <t>=IF(AND($M6220&gt;=$S$16,$M6220&lt;=$S$18),U6220,0)</t>
  </si>
  <si>
    <t>=IF($M6220&lt;=$T$18,U6220,0)</t>
  </si>
  <si>
    <t>="""NAV Direct"",""CRONUS JetCorp USA"",""21"",""1"",""301264"""</t>
  </si>
  <si>
    <t>=E6219</t>
  </si>
  <si>
    <t>=StartDate-$M6221+1</t>
  </si>
  <si>
    <t>=SUM(P6221:T6221)</t>
  </si>
  <si>
    <t>=IF($M6221&gt;=$P$18,U6221,0)</t>
  </si>
  <si>
    <t>=IF(AND($M6221&gt;=$Q$16,$M6221&lt;=$Q$18),U6221,0)</t>
  </si>
  <si>
    <t>=IF(AND($M6221&gt;=$R$16,$M6221&lt;=$R$18),U6221,0)</t>
  </si>
  <si>
    <t>=IF(AND($M6221&gt;=$S$16,$M6221&lt;=$S$18),U6221,0)</t>
  </si>
  <si>
    <t>=IF($M6221&lt;=$T$18,U6221,0)</t>
  </si>
  <si>
    <t>="""NAV Direct"",""CRONUS JetCorp USA"",""21"",""1"",""301802"""</t>
  </si>
  <si>
    <t>=E6220</t>
  </si>
  <si>
    <t>=StartDate-$M6222+1</t>
  </si>
  <si>
    <t>=SUM(P6222:T6222)</t>
  </si>
  <si>
    <t>=IF($M6222&gt;=$P$18,U6222,0)</t>
  </si>
  <si>
    <t>=IF(AND($M6222&gt;=$Q$16,$M6222&lt;=$Q$18),U6222,0)</t>
  </si>
  <si>
    <t>=IF(AND($M6222&gt;=$R$16,$M6222&lt;=$R$18),U6222,0)</t>
  </si>
  <si>
    <t>=IF(AND($M6222&gt;=$S$16,$M6222&lt;=$S$18),U6222,0)</t>
  </si>
  <si>
    <t>=IF($M6222&lt;=$T$18,U6222,0)</t>
  </si>
  <si>
    <t>="""NAV Direct"",""CRONUS JetCorp USA"",""21"",""1"",""302197"""</t>
  </si>
  <si>
    <t>=E6221</t>
  </si>
  <si>
    <t>=StartDate-$M6223+1</t>
  </si>
  <si>
    <t>=SUM(P6223:T6223)</t>
  </si>
  <si>
    <t>=IF($M6223&gt;=$P$18,U6223,0)</t>
  </si>
  <si>
    <t>=IF(AND($M6223&gt;=$Q$16,$M6223&lt;=$Q$18),U6223,0)</t>
  </si>
  <si>
    <t>=IF(AND($M6223&gt;=$R$16,$M6223&lt;=$R$18),U6223,0)</t>
  </si>
  <si>
    <t>=IF(AND($M6223&gt;=$S$16,$M6223&lt;=$S$18),U6223,0)</t>
  </si>
  <si>
    <t>=IF($M6223&lt;=$T$18,U6223,0)</t>
  </si>
  <si>
    <t>="""NAV Direct"",""CRONUS JetCorp USA"",""18"",""1"",""C100519"""</t>
  </si>
  <si>
    <t>=H6226</t>
  </si>
  <si>
    <t>=NF($C6226,"1 No.")</t>
  </si>
  <si>
    <t>=NF($C6226,"1 No.")&amp;"  -  "&amp;NF($C6226,"2 Name")</t>
  </si>
  <si>
    <t>=IFERROR(O6226/NF(C6226,"Credit Limit (LCY)"),"")</t>
  </si>
  <si>
    <t>=SUBTOTAL(3,L6227:L6262)</t>
  </si>
  <si>
    <t>=SUBTOTAL(9,O6227:O6262)</t>
  </si>
  <si>
    <t>=SUBTOTAL(9,P6227:P6262)</t>
  </si>
  <si>
    <t>=SUBTOTAL(9,Q6227:Q6262)</t>
  </si>
  <si>
    <t>=SUBTOTAL(9,R6227:R6262)</t>
  </si>
  <si>
    <t>=SUBTOTAL(9,S6227:S6262)</t>
  </si>
  <si>
    <t>=SUBTOTAL(9,T6227:T6262)</t>
  </si>
  <si>
    <t>=C6226</t>
  </si>
  <si>
    <t>=E6226</t>
  </si>
  <si>
    <t>="Contact: "&amp;NF($C6227,"8 Contact")</t>
  </si>
  <si>
    <t>=C6227</t>
  </si>
  <si>
    <t>=E6227</t>
  </si>
  <si>
    <t>=NF($C6228,"102 E-Mail")</t>
  </si>
  <si>
    <t>=NL("Rows","21 Cust. Ledger Entry",,"3 Customer No.","@@"&amp;$E6230,"16 Remaining Amt. (LCY)","&lt;&gt;0")</t>
  </si>
  <si>
    <t>=E6228</t>
  </si>
  <si>
    <t>=StartDate-$M6230+1</t>
  </si>
  <si>
    <t>=SUM(P6230:T6230)</t>
  </si>
  <si>
    <t>=IF($M6230&gt;=$P$18,U6230,0)</t>
  </si>
  <si>
    <t>=IF(AND($M6230&gt;=$Q$16,$M6230&lt;=$Q$18),U6230,0)</t>
  </si>
  <si>
    <t>=IF(AND($M6230&gt;=$R$16,$M6230&lt;=$R$18),U6230,0)</t>
  </si>
  <si>
    <t>=IF(AND($M6230&gt;=$S$16,$M6230&lt;=$S$18),U6230,0)</t>
  </si>
  <si>
    <t>=IF($M6230&lt;=$T$18,U6230,0)</t>
  </si>
  <si>
    <t>="""NAV Direct"",""CRONUS JetCorp USA"",""21"",""1"",""281672"""</t>
  </si>
  <si>
    <t>=E6229</t>
  </si>
  <si>
    <t>=StartDate-$M6231+1</t>
  </si>
  <si>
    <t>=SUM(P6231:T6231)</t>
  </si>
  <si>
    <t>=IF($M6231&gt;=$P$18,U6231,0)</t>
  </si>
  <si>
    <t>=IF(AND($M6231&gt;=$Q$16,$M6231&lt;=$Q$18),U6231,0)</t>
  </si>
  <si>
    <t>=IF(AND($M6231&gt;=$R$16,$M6231&lt;=$R$18),U6231,0)</t>
  </si>
  <si>
    <t>=IF(AND($M6231&gt;=$S$16,$M6231&lt;=$S$18),U6231,0)</t>
  </si>
  <si>
    <t>=IF($M6231&lt;=$T$18,U6231,0)</t>
  </si>
  <si>
    <t>="""NAV Direct"",""CRONUS JetCorp USA"",""21"",""1"",""281916"""</t>
  </si>
  <si>
    <t>=E6230</t>
  </si>
  <si>
    <t>=StartDate-$M6232+1</t>
  </si>
  <si>
    <t>=SUM(P6232:T6232)</t>
  </si>
  <si>
    <t>=IF($M6232&gt;=$P$18,U6232,0)</t>
  </si>
  <si>
    <t>=IF(AND($M6232&gt;=$Q$16,$M6232&lt;=$Q$18),U6232,0)</t>
  </si>
  <si>
    <t>=IF(AND($M6232&gt;=$R$16,$M6232&lt;=$R$18),U6232,0)</t>
  </si>
  <si>
    <t>=IF(AND($M6232&gt;=$S$16,$M6232&lt;=$S$18),U6232,0)</t>
  </si>
  <si>
    <t>=IF($M6232&lt;=$T$18,U6232,0)</t>
  </si>
  <si>
    <t>="""NAV Direct"",""CRONUS JetCorp USA"",""21"",""1"",""282727"""</t>
  </si>
  <si>
    <t>=E6231</t>
  </si>
  <si>
    <t>=StartDate-$M6233+1</t>
  </si>
  <si>
    <t>=SUM(P6233:T6233)</t>
  </si>
  <si>
    <t>=IF($M6233&gt;=$P$18,U6233,0)</t>
  </si>
  <si>
    <t>=IF(AND($M6233&gt;=$Q$16,$M6233&lt;=$Q$18),U6233,0)</t>
  </si>
  <si>
    <t>=IF(AND($M6233&gt;=$R$16,$M6233&lt;=$R$18),U6233,0)</t>
  </si>
  <si>
    <t>=IF(AND($M6233&gt;=$S$16,$M6233&lt;=$S$18),U6233,0)</t>
  </si>
  <si>
    <t>=IF($M6233&lt;=$T$18,U6233,0)</t>
  </si>
  <si>
    <t>="""NAV Direct"",""CRONUS JetCorp USA"",""21"",""1"",""282752"""</t>
  </si>
  <si>
    <t>=E6232</t>
  </si>
  <si>
    <t>=StartDate-$M6234+1</t>
  </si>
  <si>
    <t>=SUM(P6234:T6234)</t>
  </si>
  <si>
    <t>=IF($M6234&gt;=$P$18,U6234,0)</t>
  </si>
  <si>
    <t>=IF(AND($M6234&gt;=$Q$16,$M6234&lt;=$Q$18),U6234,0)</t>
  </si>
  <si>
    <t>=IF(AND($M6234&gt;=$R$16,$M6234&lt;=$R$18),U6234,0)</t>
  </si>
  <si>
    <t>=IF(AND($M6234&gt;=$S$16,$M6234&lt;=$S$18),U6234,0)</t>
  </si>
  <si>
    <t>=IF($M6234&lt;=$T$18,U6234,0)</t>
  </si>
  <si>
    <t>="""NAV Direct"",""CRONUS JetCorp USA"",""21"",""1"",""283896"""</t>
  </si>
  <si>
    <t>=E6233</t>
  </si>
  <si>
    <t>=StartDate-$M6235+1</t>
  </si>
  <si>
    <t>=SUM(P6235:T6235)</t>
  </si>
  <si>
    <t>=IF($M6235&gt;=$P$18,U6235,0)</t>
  </si>
  <si>
    <t>=IF(AND($M6235&gt;=$Q$16,$M6235&lt;=$Q$18),U6235,0)</t>
  </si>
  <si>
    <t>=IF(AND($M6235&gt;=$R$16,$M6235&lt;=$R$18),U6235,0)</t>
  </si>
  <si>
    <t>=IF(AND($M6235&gt;=$S$16,$M6235&lt;=$S$18),U6235,0)</t>
  </si>
  <si>
    <t>=IF($M6235&lt;=$T$18,U6235,0)</t>
  </si>
  <si>
    <t>="""NAV Direct"",""CRONUS JetCorp USA"",""21"",""1"",""284466"""</t>
  </si>
  <si>
    <t>=E6234</t>
  </si>
  <si>
    <t>=StartDate-$M6236+1</t>
  </si>
  <si>
    <t>=SUM(P6236:T6236)</t>
  </si>
  <si>
    <t>=IF($M6236&gt;=$P$18,U6236,0)</t>
  </si>
  <si>
    <t>=IF(AND($M6236&gt;=$Q$16,$M6236&lt;=$Q$18),U6236,0)</t>
  </si>
  <si>
    <t>=IF(AND($M6236&gt;=$R$16,$M6236&lt;=$R$18),U6236,0)</t>
  </si>
  <si>
    <t>=IF(AND($M6236&gt;=$S$16,$M6236&lt;=$S$18),U6236,0)</t>
  </si>
  <si>
    <t>=IF($M6236&lt;=$T$18,U6236,0)</t>
  </si>
  <si>
    <t>="""NAV Direct"",""CRONUS JetCorp USA"",""21"",""1"",""284623"""</t>
  </si>
  <si>
    <t>=E6235</t>
  </si>
  <si>
    <t>=StartDate-$M6237+1</t>
  </si>
  <si>
    <t>=SUM(P6237:T6237)</t>
  </si>
  <si>
    <t>=IF($M6237&gt;=$P$18,U6237,0)</t>
  </si>
  <si>
    <t>=IF(AND($M6237&gt;=$Q$16,$M6237&lt;=$Q$18),U6237,0)</t>
  </si>
  <si>
    <t>=IF(AND($M6237&gt;=$R$16,$M6237&lt;=$R$18),U6237,0)</t>
  </si>
  <si>
    <t>=IF(AND($M6237&gt;=$S$16,$M6237&lt;=$S$18),U6237,0)</t>
  </si>
  <si>
    <t>=IF($M6237&lt;=$T$18,U6237,0)</t>
  </si>
  <si>
    <t>="""NAV Direct"",""CRONUS JetCorp USA"",""21"",""1"",""284711"""</t>
  </si>
  <si>
    <t>=E6236</t>
  </si>
  <si>
    <t>=StartDate-$M6238+1</t>
  </si>
  <si>
    <t>=SUM(P6238:T6238)</t>
  </si>
  <si>
    <t>=IF($M6238&gt;=$P$18,U6238,0)</t>
  </si>
  <si>
    <t>=IF(AND($M6238&gt;=$Q$16,$M6238&lt;=$Q$18),U6238,0)</t>
  </si>
  <si>
    <t>=IF(AND($M6238&gt;=$R$16,$M6238&lt;=$R$18),U6238,0)</t>
  </si>
  <si>
    <t>=IF(AND($M6238&gt;=$S$16,$M6238&lt;=$S$18),U6238,0)</t>
  </si>
  <si>
    <t>=IF($M6238&lt;=$T$18,U6238,0)</t>
  </si>
  <si>
    <t>="""NAV Direct"",""CRONUS JetCorp USA"",""21"",""1"",""285096"""</t>
  </si>
  <si>
    <t>=E6237</t>
  </si>
  <si>
    <t>=StartDate-$M6239+1</t>
  </si>
  <si>
    <t>=SUM(P6239:T6239)</t>
  </si>
  <si>
    <t>=IF($M6239&gt;=$P$18,U6239,0)</t>
  </si>
  <si>
    <t>=IF(AND($M6239&gt;=$Q$16,$M6239&lt;=$Q$18),U6239,0)</t>
  </si>
  <si>
    <t>=IF(AND($M6239&gt;=$R$16,$M6239&lt;=$R$18),U6239,0)</t>
  </si>
  <si>
    <t>=IF(AND($M6239&gt;=$S$16,$M6239&lt;=$S$18),U6239,0)</t>
  </si>
  <si>
    <t>=IF($M6239&lt;=$T$18,U6239,0)</t>
  </si>
  <si>
    <t>="""NAV Direct"",""CRONUS JetCorp USA"",""21"",""1"",""287070"""</t>
  </si>
  <si>
    <t>=E6238</t>
  </si>
  <si>
    <t>=StartDate-$M6240+1</t>
  </si>
  <si>
    <t>=SUM(P6240:T6240)</t>
  </si>
  <si>
    <t>=IF($M6240&gt;=$P$18,U6240,0)</t>
  </si>
  <si>
    <t>=IF(AND($M6240&gt;=$Q$16,$M6240&lt;=$Q$18),U6240,0)</t>
  </si>
  <si>
    <t>=IF(AND($M6240&gt;=$R$16,$M6240&lt;=$R$18),U6240,0)</t>
  </si>
  <si>
    <t>=IF(AND($M6240&gt;=$S$16,$M6240&lt;=$S$18),U6240,0)</t>
  </si>
  <si>
    <t>=IF($M6240&lt;=$T$18,U6240,0)</t>
  </si>
  <si>
    <t>="""NAV Direct"",""CRONUS JetCorp USA"",""21"",""1"",""287253"""</t>
  </si>
  <si>
    <t>=E6239</t>
  </si>
  <si>
    <t>=StartDate-$M6241+1</t>
  </si>
  <si>
    <t>=SUM(P6241:T6241)</t>
  </si>
  <si>
    <t>=IF($M6241&gt;=$P$18,U6241,0)</t>
  </si>
  <si>
    <t>=IF(AND($M6241&gt;=$Q$16,$M6241&lt;=$Q$18),U6241,0)</t>
  </si>
  <si>
    <t>=IF(AND($M6241&gt;=$R$16,$M6241&lt;=$R$18),U6241,0)</t>
  </si>
  <si>
    <t>=IF(AND($M6241&gt;=$S$16,$M6241&lt;=$S$18),U6241,0)</t>
  </si>
  <si>
    <t>=IF($M6241&lt;=$T$18,U6241,0)</t>
  </si>
  <si>
    <t>="""NAV Direct"",""CRONUS JetCorp USA"",""21"",""1"",""287564"""</t>
  </si>
  <si>
    <t>=E6240</t>
  </si>
  <si>
    <t>=StartDate-$M6242+1</t>
  </si>
  <si>
    <t>=SUM(P6242:T6242)</t>
  </si>
  <si>
    <t>=IF($M6242&gt;=$P$18,U6242,0)</t>
  </si>
  <si>
    <t>=IF(AND($M6242&gt;=$Q$16,$M6242&lt;=$Q$18),U6242,0)</t>
  </si>
  <si>
    <t>=IF(AND($M6242&gt;=$R$16,$M6242&lt;=$R$18),U6242,0)</t>
  </si>
  <si>
    <t>=IF(AND($M6242&gt;=$S$16,$M6242&lt;=$S$18),U6242,0)</t>
  </si>
  <si>
    <t>=IF($M6242&lt;=$T$18,U6242,0)</t>
  </si>
  <si>
    <t>="""NAV Direct"",""CRONUS JetCorp USA"",""21"",""1"",""288430"""</t>
  </si>
  <si>
    <t>=E6241</t>
  </si>
  <si>
    <t>=StartDate-$M6243+1</t>
  </si>
  <si>
    <t>=SUM(P6243:T6243)</t>
  </si>
  <si>
    <t>=IF($M6243&gt;=$P$18,U6243,0)</t>
  </si>
  <si>
    <t>=IF(AND($M6243&gt;=$Q$16,$M6243&lt;=$Q$18),U6243,0)</t>
  </si>
  <si>
    <t>=IF(AND($M6243&gt;=$R$16,$M6243&lt;=$R$18),U6243,0)</t>
  </si>
  <si>
    <t>=IF(AND($M6243&gt;=$S$16,$M6243&lt;=$S$18),U6243,0)</t>
  </si>
  <si>
    <t>=IF($M6243&lt;=$T$18,U6243,0)</t>
  </si>
  <si>
    <t>="""NAV Direct"",""CRONUS JetCorp USA"",""21"",""1"",""289236"""</t>
  </si>
  <si>
    <t>=E6242</t>
  </si>
  <si>
    <t>=StartDate-$M6244+1</t>
  </si>
  <si>
    <t>=SUM(P6244:T6244)</t>
  </si>
  <si>
    <t>=IF($M6244&gt;=$P$18,U6244,0)</t>
  </si>
  <si>
    <t>=IF(AND($M6244&gt;=$Q$16,$M6244&lt;=$Q$18),U6244,0)</t>
  </si>
  <si>
    <t>=IF(AND($M6244&gt;=$R$16,$M6244&lt;=$R$18),U6244,0)</t>
  </si>
  <si>
    <t>=IF(AND($M6244&gt;=$S$16,$M6244&lt;=$S$18),U6244,0)</t>
  </si>
  <si>
    <t>=IF($M6244&lt;=$T$18,U6244,0)</t>
  </si>
  <si>
    <t>="""NAV Direct"",""CRONUS JetCorp USA"",""21"",""1"",""291061"""</t>
  </si>
  <si>
    <t>=E6243</t>
  </si>
  <si>
    <t>=StartDate-$M6245+1</t>
  </si>
  <si>
    <t>=SUM(P6245:T6245)</t>
  </si>
  <si>
    <t>=IF($M6245&gt;=$P$18,U6245,0)</t>
  </si>
  <si>
    <t>=IF(AND($M6245&gt;=$Q$16,$M6245&lt;=$Q$18),U6245,0)</t>
  </si>
  <si>
    <t>=IF(AND($M6245&gt;=$R$16,$M6245&lt;=$R$18),U6245,0)</t>
  </si>
  <si>
    <t>=IF(AND($M6245&gt;=$S$16,$M6245&lt;=$S$18),U6245,0)</t>
  </si>
  <si>
    <t>=IF($M6245&lt;=$T$18,U6245,0)</t>
  </si>
  <si>
    <t>="""NAV Direct"",""CRONUS JetCorp USA"",""21"",""1"",""291267"""</t>
  </si>
  <si>
    <t>=E6244</t>
  </si>
  <si>
    <t>=StartDate-$M6246+1</t>
  </si>
  <si>
    <t>=SUM(P6246:T6246)</t>
  </si>
  <si>
    <t>=IF($M6246&gt;=$P$18,U6246,0)</t>
  </si>
  <si>
    <t>=IF(AND($M6246&gt;=$Q$16,$M6246&lt;=$Q$18),U6246,0)</t>
  </si>
  <si>
    <t>=IF(AND($M6246&gt;=$R$16,$M6246&lt;=$R$18),U6246,0)</t>
  </si>
  <si>
    <t>=IF(AND($M6246&gt;=$S$16,$M6246&lt;=$S$18),U6246,0)</t>
  </si>
  <si>
    <t>=IF($M6246&lt;=$T$18,U6246,0)</t>
  </si>
  <si>
    <t>="""NAV Direct"",""CRONUS JetCorp USA"",""21"",""1"",""292113"""</t>
  </si>
  <si>
    <t>=E6245</t>
  </si>
  <si>
    <t>=StartDate-$M6247+1</t>
  </si>
  <si>
    <t>=SUM(P6247:T6247)</t>
  </si>
  <si>
    <t>=IF($M6247&gt;=$P$18,U6247,0)</t>
  </si>
  <si>
    <t>=IF(AND($M6247&gt;=$Q$16,$M6247&lt;=$Q$18),U6247,0)</t>
  </si>
  <si>
    <t>=IF(AND($M6247&gt;=$R$16,$M6247&lt;=$R$18),U6247,0)</t>
  </si>
  <si>
    <t>=IF(AND($M6247&gt;=$S$16,$M6247&lt;=$S$18),U6247,0)</t>
  </si>
  <si>
    <t>=IF($M6247&lt;=$T$18,U6247,0)</t>
  </si>
  <si>
    <t>="""NAV Direct"",""CRONUS JetCorp USA"",""21"",""1"",""293215"""</t>
  </si>
  <si>
    <t>=E6246</t>
  </si>
  <si>
    <t>=StartDate-$M6248+1</t>
  </si>
  <si>
    <t>=SUM(P6248:T6248)</t>
  </si>
  <si>
    <t>=IF($M6248&gt;=$P$18,U6248,0)</t>
  </si>
  <si>
    <t>=IF(AND($M6248&gt;=$Q$16,$M6248&lt;=$Q$18),U6248,0)</t>
  </si>
  <si>
    <t>=IF(AND($M6248&gt;=$R$16,$M6248&lt;=$R$18),U6248,0)</t>
  </si>
  <si>
    <t>=IF(AND($M6248&gt;=$S$16,$M6248&lt;=$S$18),U6248,0)</t>
  </si>
  <si>
    <t>=IF($M6248&lt;=$T$18,U6248,0)</t>
  </si>
  <si>
    <t>="""NAV Direct"",""CRONUS JetCorp USA"",""21"",""1"",""293808"""</t>
  </si>
  <si>
    <t>=E6247</t>
  </si>
  <si>
    <t>=StartDate-$M6249+1</t>
  </si>
  <si>
    <t>=SUM(P6249:T6249)</t>
  </si>
  <si>
    <t>=IF($M6249&gt;=$P$18,U6249,0)</t>
  </si>
  <si>
    <t>=IF(AND($M6249&gt;=$Q$16,$M6249&lt;=$Q$18),U6249,0)</t>
  </si>
  <si>
    <t>=IF(AND($M6249&gt;=$R$16,$M6249&lt;=$R$18),U6249,0)</t>
  </si>
  <si>
    <t>=IF(AND($M6249&gt;=$S$16,$M6249&lt;=$S$18),U6249,0)</t>
  </si>
  <si>
    <t>=IF($M6249&lt;=$T$18,U6249,0)</t>
  </si>
  <si>
    <t>="""NAV Direct"",""CRONUS JetCorp USA"",""21"",""1"",""294099"""</t>
  </si>
  <si>
    <t>=E6248</t>
  </si>
  <si>
    <t>=StartDate-$M6250+1</t>
  </si>
  <si>
    <t>=SUM(P6250:T6250)</t>
  </si>
  <si>
    <t>=IF($M6250&gt;=$P$18,U6250,0)</t>
  </si>
  <si>
    <t>=IF(AND($M6250&gt;=$Q$16,$M6250&lt;=$Q$18),U6250,0)</t>
  </si>
  <si>
    <t>=IF(AND($M6250&gt;=$R$16,$M6250&lt;=$R$18),U6250,0)</t>
  </si>
  <si>
    <t>=IF(AND($M6250&gt;=$S$16,$M6250&lt;=$S$18),U6250,0)</t>
  </si>
  <si>
    <t>=IF($M6250&lt;=$T$18,U6250,0)</t>
  </si>
  <si>
    <t>="""NAV Direct"",""CRONUS JetCorp USA"",""21"",""1"",""294576"""</t>
  </si>
  <si>
    <t>=E6249</t>
  </si>
  <si>
    <t>=StartDate-$M6251+1</t>
  </si>
  <si>
    <t>=SUM(P6251:T6251)</t>
  </si>
  <si>
    <t>=IF($M6251&gt;=$P$18,U6251,0)</t>
  </si>
  <si>
    <t>=IF(AND($M6251&gt;=$Q$16,$M6251&lt;=$Q$18),U6251,0)</t>
  </si>
  <si>
    <t>=IF(AND($M6251&gt;=$R$16,$M6251&lt;=$R$18),U6251,0)</t>
  </si>
  <si>
    <t>=IF(AND($M6251&gt;=$S$16,$M6251&lt;=$S$18),U6251,0)</t>
  </si>
  <si>
    <t>=IF($M6251&lt;=$T$18,U6251,0)</t>
  </si>
  <si>
    <t>="""NAV Direct"",""CRONUS JetCorp USA"",""21"",""1"",""294876"""</t>
  </si>
  <si>
    <t>=E6250</t>
  </si>
  <si>
    <t>=StartDate-$M6252+1</t>
  </si>
  <si>
    <t>=SUM(P6252:T6252)</t>
  </si>
  <si>
    <t>=IF($M6252&gt;=$P$18,U6252,0)</t>
  </si>
  <si>
    <t>=IF(AND($M6252&gt;=$Q$16,$M6252&lt;=$Q$18),U6252,0)</t>
  </si>
  <si>
    <t>=IF(AND($M6252&gt;=$R$16,$M6252&lt;=$R$18),U6252,0)</t>
  </si>
  <si>
    <t>=IF(AND($M6252&gt;=$S$16,$M6252&lt;=$S$18),U6252,0)</t>
  </si>
  <si>
    <t>=IF($M6252&lt;=$T$18,U6252,0)</t>
  </si>
  <si>
    <t>="""NAV Direct"",""CRONUS JetCorp USA"",""21"",""1"",""297320"""</t>
  </si>
  <si>
    <t>=E6251</t>
  </si>
  <si>
    <t>=StartDate-$M6253+1</t>
  </si>
  <si>
    <t>=SUM(P6253:T6253)</t>
  </si>
  <si>
    <t>=IF($M6253&gt;=$P$18,U6253,0)</t>
  </si>
  <si>
    <t>=IF(AND($M6253&gt;=$Q$16,$M6253&lt;=$Q$18),U6253,0)</t>
  </si>
  <si>
    <t>=IF(AND($M6253&gt;=$R$16,$M6253&lt;=$R$18),U6253,0)</t>
  </si>
  <si>
    <t>=IF(AND($M6253&gt;=$S$16,$M6253&lt;=$S$18),U6253,0)</t>
  </si>
  <si>
    <t>=IF($M6253&lt;=$T$18,U6253,0)</t>
  </si>
  <si>
    <t>="""NAV Direct"",""CRONUS JetCorp USA"",""21"",""1"",""298464"""</t>
  </si>
  <si>
    <t>=E6252</t>
  </si>
  <si>
    <t>=StartDate-$M6254+1</t>
  </si>
  <si>
    <t>=SUM(P6254:T6254)</t>
  </si>
  <si>
    <t>=IF($M6254&gt;=$P$18,U6254,0)</t>
  </si>
  <si>
    <t>=IF(AND($M6254&gt;=$Q$16,$M6254&lt;=$Q$18),U6254,0)</t>
  </si>
  <si>
    <t>=IF(AND($M6254&gt;=$R$16,$M6254&lt;=$R$18),U6254,0)</t>
  </si>
  <si>
    <t>=IF(AND($M6254&gt;=$S$16,$M6254&lt;=$S$18),U6254,0)</t>
  </si>
  <si>
    <t>=IF($M6254&lt;=$T$18,U6254,0)</t>
  </si>
  <si>
    <t>="""NAV Direct"",""CRONUS JetCorp USA"",""21"",""1"",""298520"""</t>
  </si>
  <si>
    <t>=E6253</t>
  </si>
  <si>
    <t>=StartDate-$M6255+1</t>
  </si>
  <si>
    <t>=SUM(P6255:T6255)</t>
  </si>
  <si>
    <t>=IF($M6255&gt;=$P$18,U6255,0)</t>
  </si>
  <si>
    <t>=IF(AND($M6255&gt;=$Q$16,$M6255&lt;=$Q$18),U6255,0)</t>
  </si>
  <si>
    <t>=IF(AND($M6255&gt;=$R$16,$M6255&lt;=$R$18),U6255,0)</t>
  </si>
  <si>
    <t>=IF(AND($M6255&gt;=$S$16,$M6255&lt;=$S$18),U6255,0)</t>
  </si>
  <si>
    <t>=IF($M6255&lt;=$T$18,U6255,0)</t>
  </si>
  <si>
    <t>="""NAV Direct"",""CRONUS JetCorp USA"",""21"",""1"",""299554"""</t>
  </si>
  <si>
    <t>=E6254</t>
  </si>
  <si>
    <t>=StartDate-$M6256+1</t>
  </si>
  <si>
    <t>=SUM(P6256:T6256)</t>
  </si>
  <si>
    <t>=IF($M6256&gt;=$P$18,U6256,0)</t>
  </si>
  <si>
    <t>=IF(AND($M6256&gt;=$Q$16,$M6256&lt;=$Q$18),U6256,0)</t>
  </si>
  <si>
    <t>=IF(AND($M6256&gt;=$R$16,$M6256&lt;=$R$18),U6256,0)</t>
  </si>
  <si>
    <t>=IF(AND($M6256&gt;=$S$16,$M6256&lt;=$S$18),U6256,0)</t>
  </si>
  <si>
    <t>=IF($M6256&lt;=$T$18,U6256,0)</t>
  </si>
  <si>
    <t>="""NAV Direct"",""CRONUS JetCorp USA"",""21"",""1"",""299621"""</t>
  </si>
  <si>
    <t>=E6255</t>
  </si>
  <si>
    <t>=StartDate-$M6257+1</t>
  </si>
  <si>
    <t>=SUM(P6257:T6257)</t>
  </si>
  <si>
    <t>=IF($M6257&gt;=$P$18,U6257,0)</t>
  </si>
  <si>
    <t>=IF(AND($M6257&gt;=$Q$16,$M6257&lt;=$Q$18),U6257,0)</t>
  </si>
  <si>
    <t>=IF(AND($M6257&gt;=$R$16,$M6257&lt;=$R$18),U6257,0)</t>
  </si>
  <si>
    <t>=IF(AND($M6257&gt;=$S$16,$M6257&lt;=$S$18),U6257,0)</t>
  </si>
  <si>
    <t>=IF($M6257&lt;=$T$18,U6257,0)</t>
  </si>
  <si>
    <t>="""NAV Direct"",""CRONUS JetCorp USA"",""21"",""1"",""301360"""</t>
  </si>
  <si>
    <t>=E6256</t>
  </si>
  <si>
    <t>=StartDate-$M6258+1</t>
  </si>
  <si>
    <t>=SUM(P6258:T6258)</t>
  </si>
  <si>
    <t>=IF($M6258&gt;=$P$18,U6258,0)</t>
  </si>
  <si>
    <t>=IF(AND($M6258&gt;=$Q$16,$M6258&lt;=$Q$18),U6258,0)</t>
  </si>
  <si>
    <t>=IF(AND($M6258&gt;=$R$16,$M6258&lt;=$R$18),U6258,0)</t>
  </si>
  <si>
    <t>=IF(AND($M6258&gt;=$S$16,$M6258&lt;=$S$18),U6258,0)</t>
  </si>
  <si>
    <t>=IF($M6258&lt;=$T$18,U6258,0)</t>
  </si>
  <si>
    <t>="""NAV Direct"",""CRONUS JetCorp USA"",""21"",""1"",""301729"""</t>
  </si>
  <si>
    <t>=E6257</t>
  </si>
  <si>
    <t>=StartDate-$M6259+1</t>
  </si>
  <si>
    <t>=SUM(P6259:T6259)</t>
  </si>
  <si>
    <t>=IF($M6259&gt;=$P$18,U6259,0)</t>
  </si>
  <si>
    <t>=IF(AND($M6259&gt;=$Q$16,$M6259&lt;=$Q$18),U6259,0)</t>
  </si>
  <si>
    <t>=IF(AND($M6259&gt;=$R$16,$M6259&lt;=$R$18),U6259,0)</t>
  </si>
  <si>
    <t>=IF(AND($M6259&gt;=$S$16,$M6259&lt;=$S$18),U6259,0)</t>
  </si>
  <si>
    <t>=IF($M6259&lt;=$T$18,U6259,0)</t>
  </si>
  <si>
    <t>="""NAV Direct"",""CRONUS JetCorp USA"",""21"",""1"",""302077"""</t>
  </si>
  <si>
    <t>=E6258</t>
  </si>
  <si>
    <t>=StartDate-$M6260+1</t>
  </si>
  <si>
    <t>=SUM(P6260:T6260)</t>
  </si>
  <si>
    <t>=IF($M6260&gt;=$P$18,U6260,0)</t>
  </si>
  <si>
    <t>=IF(AND($M6260&gt;=$Q$16,$M6260&lt;=$Q$18),U6260,0)</t>
  </si>
  <si>
    <t>=IF(AND($M6260&gt;=$R$16,$M6260&lt;=$R$18),U6260,0)</t>
  </si>
  <si>
    <t>=IF(AND($M6260&gt;=$S$16,$M6260&lt;=$S$18),U6260,0)</t>
  </si>
  <si>
    <t>=IF($M6260&lt;=$T$18,U6260,0)</t>
  </si>
  <si>
    <t>="""NAV Direct"",""CRONUS JetCorp USA"",""21"",""1"",""302711"""</t>
  </si>
  <si>
    <t>=E6259</t>
  </si>
  <si>
    <t>=StartDate-$M6261+1</t>
  </si>
  <si>
    <t>=SUM(P6261:T6261)</t>
  </si>
  <si>
    <t>=IF($M6261&gt;=$P$18,U6261,0)</t>
  </si>
  <si>
    <t>=IF(AND($M6261&gt;=$Q$16,$M6261&lt;=$Q$18),U6261,0)</t>
  </si>
  <si>
    <t>=IF(AND($M6261&gt;=$R$16,$M6261&lt;=$R$18),U6261,0)</t>
  </si>
  <si>
    <t>=IF(AND($M6261&gt;=$S$16,$M6261&lt;=$S$18),U6261,0)</t>
  </si>
  <si>
    <t>=IF($M6261&lt;=$T$18,U6261,0)</t>
  </si>
  <si>
    <t>="""NAV Direct"",""CRONUS JetCorp USA"",""18"",""1"",""C100520"""</t>
  </si>
  <si>
    <t>=H6264</t>
  </si>
  <si>
    <t>=NF($C6264,"1 No.")</t>
  </si>
  <si>
    <t>=NF($C6264,"1 No.")&amp;"  -  "&amp;NF($C6264,"2 Name")</t>
  </si>
  <si>
    <t>=IFERROR(O6264/NF(C6264,"Credit Limit (LCY)"),"")</t>
  </si>
  <si>
    <t>=SUBTOTAL(3,L6265:L6298)</t>
  </si>
  <si>
    <t>=SUBTOTAL(9,O6265:O6298)</t>
  </si>
  <si>
    <t>=SUBTOTAL(9,P6265:P6298)</t>
  </si>
  <si>
    <t>=SUBTOTAL(9,Q6265:Q6298)</t>
  </si>
  <si>
    <t>=SUBTOTAL(9,R6265:R6298)</t>
  </si>
  <si>
    <t>=SUBTOTAL(9,S6265:S6298)</t>
  </si>
  <si>
    <t>=SUBTOTAL(9,T6265:T6298)</t>
  </si>
  <si>
    <t>=C6264</t>
  </si>
  <si>
    <t>=E6264</t>
  </si>
  <si>
    <t>="Contact: "&amp;NF($C6265,"8 Contact")</t>
  </si>
  <si>
    <t>=C6265</t>
  </si>
  <si>
    <t>=E6265</t>
  </si>
  <si>
    <t>=NF($C6266,"102 E-Mail")</t>
  </si>
  <si>
    <t>=NL("Rows","21 Cust. Ledger Entry",,"3 Customer No.","@@"&amp;$E6268,"16 Remaining Amt. (LCY)","&lt;&gt;0")</t>
  </si>
  <si>
    <t>=E6266</t>
  </si>
  <si>
    <t>=StartDate-$M6268+1</t>
  </si>
  <si>
    <t>=SUM(P6268:T6268)</t>
  </si>
  <si>
    <t>=IF($M6268&gt;=$P$18,U6268,0)</t>
  </si>
  <si>
    <t>=IF(AND($M6268&gt;=$Q$16,$M6268&lt;=$Q$18),U6268,0)</t>
  </si>
  <si>
    <t>=IF(AND($M6268&gt;=$R$16,$M6268&lt;=$R$18),U6268,0)</t>
  </si>
  <si>
    <t>=IF(AND($M6268&gt;=$S$16,$M6268&lt;=$S$18),U6268,0)</t>
  </si>
  <si>
    <t>=IF($M6268&lt;=$T$18,U6268,0)</t>
  </si>
  <si>
    <t>="""NAV Direct"",""CRONUS JetCorp USA"",""21"",""1"",""281393"""</t>
  </si>
  <si>
    <t>=E6267</t>
  </si>
  <si>
    <t>=StartDate-$M6269+1</t>
  </si>
  <si>
    <t>=SUM(P6269:T6269)</t>
  </si>
  <si>
    <t>=IF($M6269&gt;=$P$18,U6269,0)</t>
  </si>
  <si>
    <t>=IF(AND($M6269&gt;=$Q$16,$M6269&lt;=$Q$18),U6269,0)</t>
  </si>
  <si>
    <t>=IF(AND($M6269&gt;=$R$16,$M6269&lt;=$R$18),U6269,0)</t>
  </si>
  <si>
    <t>=IF(AND($M6269&gt;=$S$16,$M6269&lt;=$S$18),U6269,0)</t>
  </si>
  <si>
    <t>=IF($M6269&lt;=$T$18,U6269,0)</t>
  </si>
  <si>
    <t>="""NAV Direct"",""CRONUS JetCorp USA"",""21"",""1"",""282306"""</t>
  </si>
  <si>
    <t>=E6268</t>
  </si>
  <si>
    <t>=StartDate-$M6270+1</t>
  </si>
  <si>
    <t>=SUM(P6270:T6270)</t>
  </si>
  <si>
    <t>=IF($M6270&gt;=$P$18,U6270,0)</t>
  </si>
  <si>
    <t>=IF(AND($M6270&gt;=$Q$16,$M6270&lt;=$Q$18),U6270,0)</t>
  </si>
  <si>
    <t>=IF(AND($M6270&gt;=$R$16,$M6270&lt;=$R$18),U6270,0)</t>
  </si>
  <si>
    <t>=IF(AND($M6270&gt;=$S$16,$M6270&lt;=$S$18),U6270,0)</t>
  </si>
  <si>
    <t>=IF($M6270&lt;=$T$18,U6270,0)</t>
  </si>
  <si>
    <t>="""NAV Direct"",""CRONUS JetCorp USA"",""21"",""1"",""283674"""</t>
  </si>
  <si>
    <t>=E6269</t>
  </si>
  <si>
    <t>=StartDate-$M6271+1</t>
  </si>
  <si>
    <t>=SUM(P6271:T6271)</t>
  </si>
  <si>
    <t>=IF($M6271&gt;=$P$18,U6271,0)</t>
  </si>
  <si>
    <t>=IF(AND($M6271&gt;=$Q$16,$M6271&lt;=$Q$18),U6271,0)</t>
  </si>
  <si>
    <t>=IF(AND($M6271&gt;=$R$16,$M6271&lt;=$R$18),U6271,0)</t>
  </si>
  <si>
    <t>=IF(AND($M6271&gt;=$S$16,$M6271&lt;=$S$18),U6271,0)</t>
  </si>
  <si>
    <t>=IF($M6271&lt;=$T$18,U6271,0)</t>
  </si>
  <si>
    <t>="""NAV Direct"",""CRONUS JetCorp USA"",""21"",""1"",""284193"""</t>
  </si>
  <si>
    <t>=E6270</t>
  </si>
  <si>
    <t>=StartDate-$M6272+1</t>
  </si>
  <si>
    <t>=SUM(P6272:T6272)</t>
  </si>
  <si>
    <t>=IF($M6272&gt;=$P$18,U6272,0)</t>
  </si>
  <si>
    <t>=IF(AND($M6272&gt;=$Q$16,$M6272&lt;=$Q$18),U6272,0)</t>
  </si>
  <si>
    <t>=IF(AND($M6272&gt;=$R$16,$M6272&lt;=$R$18),U6272,0)</t>
  </si>
  <si>
    <t>=IF(AND($M6272&gt;=$S$16,$M6272&lt;=$S$18),U6272,0)</t>
  </si>
  <si>
    <t>=IF($M6272&lt;=$T$18,U6272,0)</t>
  </si>
  <si>
    <t>="""NAV Direct"",""CRONUS JetCorp USA"",""21"",""1"",""284301"""</t>
  </si>
  <si>
    <t>=E6271</t>
  </si>
  <si>
    <t>=StartDate-$M6273+1</t>
  </si>
  <si>
    <t>=SUM(P6273:T6273)</t>
  </si>
  <si>
    <t>=IF($M6273&gt;=$P$18,U6273,0)</t>
  </si>
  <si>
    <t>=IF(AND($M6273&gt;=$Q$16,$M6273&lt;=$Q$18),U6273,0)</t>
  </si>
  <si>
    <t>=IF(AND($M6273&gt;=$R$16,$M6273&lt;=$R$18),U6273,0)</t>
  </si>
  <si>
    <t>=IF(AND($M6273&gt;=$S$16,$M6273&lt;=$S$18),U6273,0)</t>
  </si>
  <si>
    <t>=IF($M6273&lt;=$T$18,U6273,0)</t>
  </si>
  <si>
    <t>="""NAV Direct"",""CRONUS JetCorp USA"",""21"",""1"",""284541"""</t>
  </si>
  <si>
    <t>=E6272</t>
  </si>
  <si>
    <t>=StartDate-$M6274+1</t>
  </si>
  <si>
    <t>=SUM(P6274:T6274)</t>
  </si>
  <si>
    <t>=IF($M6274&gt;=$P$18,U6274,0)</t>
  </si>
  <si>
    <t>=IF(AND($M6274&gt;=$Q$16,$M6274&lt;=$Q$18),U6274,0)</t>
  </si>
  <si>
    <t>=IF(AND($M6274&gt;=$R$16,$M6274&lt;=$R$18),U6274,0)</t>
  </si>
  <si>
    <t>=IF(AND($M6274&gt;=$S$16,$M6274&lt;=$S$18),U6274,0)</t>
  </si>
  <si>
    <t>=IF($M6274&lt;=$T$18,U6274,0)</t>
  </si>
  <si>
    <t>="""NAV Direct"",""CRONUS JetCorp USA"",""21"",""1"",""284920"""</t>
  </si>
  <si>
    <t>=E6273</t>
  </si>
  <si>
    <t>=StartDate-$M6275+1</t>
  </si>
  <si>
    <t>=SUM(P6275:T6275)</t>
  </si>
  <si>
    <t>=IF($M6275&gt;=$P$18,U6275,0)</t>
  </si>
  <si>
    <t>=IF(AND($M6275&gt;=$Q$16,$M6275&lt;=$Q$18),U6275,0)</t>
  </si>
  <si>
    <t>=IF(AND($M6275&gt;=$R$16,$M6275&lt;=$R$18),U6275,0)</t>
  </si>
  <si>
    <t>=IF(AND($M6275&gt;=$S$16,$M6275&lt;=$S$18),U6275,0)</t>
  </si>
  <si>
    <t>=IF($M6275&lt;=$T$18,U6275,0)</t>
  </si>
  <si>
    <t>="""NAV Direct"",""CRONUS JetCorp USA"",""21"",""1"",""286075"""</t>
  </si>
  <si>
    <t>=E6274</t>
  </si>
  <si>
    <t>=StartDate-$M6276+1</t>
  </si>
  <si>
    <t>=SUM(P6276:T6276)</t>
  </si>
  <si>
    <t>=IF($M6276&gt;=$P$18,U6276,0)</t>
  </si>
  <si>
    <t>=IF(AND($M6276&gt;=$Q$16,$M6276&lt;=$Q$18),U6276,0)</t>
  </si>
  <si>
    <t>=IF(AND($M6276&gt;=$R$16,$M6276&lt;=$R$18),U6276,0)</t>
  </si>
  <si>
    <t>=IF(AND($M6276&gt;=$S$16,$M6276&lt;=$S$18),U6276,0)</t>
  </si>
  <si>
    <t>=IF($M6276&lt;=$T$18,U6276,0)</t>
  </si>
  <si>
    <t>="""NAV Direct"",""CRONUS JetCorp USA"",""21"",""1"",""286421"""</t>
  </si>
  <si>
    <t>=E6275</t>
  </si>
  <si>
    <t>=StartDate-$M6277+1</t>
  </si>
  <si>
    <t>=SUM(P6277:T6277)</t>
  </si>
  <si>
    <t>=IF($M6277&gt;=$P$18,U6277,0)</t>
  </si>
  <si>
    <t>=IF(AND($M6277&gt;=$Q$16,$M6277&lt;=$Q$18),U6277,0)</t>
  </si>
  <si>
    <t>=IF(AND($M6277&gt;=$R$16,$M6277&lt;=$R$18),U6277,0)</t>
  </si>
  <si>
    <t>=IF(AND($M6277&gt;=$S$16,$M6277&lt;=$S$18),U6277,0)</t>
  </si>
  <si>
    <t>=IF($M6277&lt;=$T$18,U6277,0)</t>
  </si>
  <si>
    <t>="""NAV Direct"",""CRONUS JetCorp USA"",""21"",""1"",""286643"""</t>
  </si>
  <si>
    <t>=E6276</t>
  </si>
  <si>
    <t>=StartDate-$M6278+1</t>
  </si>
  <si>
    <t>=SUM(P6278:T6278)</t>
  </si>
  <si>
    <t>=IF($M6278&gt;=$P$18,U6278,0)</t>
  </si>
  <si>
    <t>=IF(AND($M6278&gt;=$Q$16,$M6278&lt;=$Q$18),U6278,0)</t>
  </si>
  <si>
    <t>=IF(AND($M6278&gt;=$R$16,$M6278&lt;=$R$18),U6278,0)</t>
  </si>
  <si>
    <t>=IF(AND($M6278&gt;=$S$16,$M6278&lt;=$S$18),U6278,0)</t>
  </si>
  <si>
    <t>=IF($M6278&lt;=$T$18,U6278,0)</t>
  </si>
  <si>
    <t>="""NAV Direct"",""CRONUS JetCorp USA"",""21"",""1"",""287610"""</t>
  </si>
  <si>
    <t>=E6277</t>
  </si>
  <si>
    <t>=StartDate-$M6279+1</t>
  </si>
  <si>
    <t>=SUM(P6279:T6279)</t>
  </si>
  <si>
    <t>=IF($M6279&gt;=$P$18,U6279,0)</t>
  </si>
  <si>
    <t>=IF(AND($M6279&gt;=$Q$16,$M6279&lt;=$Q$18),U6279,0)</t>
  </si>
  <si>
    <t>=IF(AND($M6279&gt;=$R$16,$M6279&lt;=$R$18),U6279,0)</t>
  </si>
  <si>
    <t>=IF(AND($M6279&gt;=$S$16,$M6279&lt;=$S$18),U6279,0)</t>
  </si>
  <si>
    <t>=IF($M6279&lt;=$T$18,U6279,0)</t>
  </si>
  <si>
    <t>="""NAV Direct"",""CRONUS JetCorp USA"",""21"",""1"",""288364"""</t>
  </si>
  <si>
    <t>=E6278</t>
  </si>
  <si>
    <t>=StartDate-$M6280+1</t>
  </si>
  <si>
    <t>=SUM(P6280:T6280)</t>
  </si>
  <si>
    <t>=IF($M6280&gt;=$P$18,U6280,0)</t>
  </si>
  <si>
    <t>=IF(AND($M6280&gt;=$Q$16,$M6280&lt;=$Q$18),U6280,0)</t>
  </si>
  <si>
    <t>=IF(AND($M6280&gt;=$R$16,$M6280&lt;=$R$18),U6280,0)</t>
  </si>
  <si>
    <t>=IF(AND($M6280&gt;=$S$16,$M6280&lt;=$S$18),U6280,0)</t>
  </si>
  <si>
    <t>=IF($M6280&lt;=$T$18,U6280,0)</t>
  </si>
  <si>
    <t>="""NAV Direct"",""CRONUS JetCorp USA"",""21"",""1"",""288782"""</t>
  </si>
  <si>
    <t>=E6279</t>
  </si>
  <si>
    <t>=StartDate-$M6281+1</t>
  </si>
  <si>
    <t>=SUM(P6281:T6281)</t>
  </si>
  <si>
    <t>=IF($M6281&gt;=$P$18,U6281,0)</t>
  </si>
  <si>
    <t>=IF(AND($M6281&gt;=$Q$16,$M6281&lt;=$Q$18),U6281,0)</t>
  </si>
  <si>
    <t>=IF(AND($M6281&gt;=$R$16,$M6281&lt;=$R$18),U6281,0)</t>
  </si>
  <si>
    <t>=IF(AND($M6281&gt;=$S$16,$M6281&lt;=$S$18),U6281,0)</t>
  </si>
  <si>
    <t>=IF($M6281&lt;=$T$18,U6281,0)</t>
  </si>
  <si>
    <t>="""NAV Direct"",""CRONUS JetCorp USA"",""21"",""1"",""288915"""</t>
  </si>
  <si>
    <t>=E6280</t>
  </si>
  <si>
    <t>=StartDate-$M6282+1</t>
  </si>
  <si>
    <t>=SUM(P6282:T6282)</t>
  </si>
  <si>
    <t>=IF($M6282&gt;=$P$18,U6282,0)</t>
  </si>
  <si>
    <t>=IF(AND($M6282&gt;=$Q$16,$M6282&lt;=$Q$18),U6282,0)</t>
  </si>
  <si>
    <t>=IF(AND($M6282&gt;=$R$16,$M6282&lt;=$R$18),U6282,0)</t>
  </si>
  <si>
    <t>=IF(AND($M6282&gt;=$S$16,$M6282&lt;=$S$18),U6282,0)</t>
  </si>
  <si>
    <t>=IF($M6282&lt;=$T$18,U6282,0)</t>
  </si>
  <si>
    <t>="""NAV Direct"",""CRONUS JetCorp USA"",""21"",""1"",""290943"""</t>
  </si>
  <si>
    <t>=E6281</t>
  </si>
  <si>
    <t>=StartDate-$M6283+1</t>
  </si>
  <si>
    <t>=SUM(P6283:T6283)</t>
  </si>
  <si>
    <t>=IF($M6283&gt;=$P$18,U6283,0)</t>
  </si>
  <si>
    <t>=IF(AND($M6283&gt;=$Q$16,$M6283&lt;=$Q$18),U6283,0)</t>
  </si>
  <si>
    <t>=IF(AND($M6283&gt;=$R$16,$M6283&lt;=$R$18),U6283,0)</t>
  </si>
  <si>
    <t>=IF(AND($M6283&gt;=$S$16,$M6283&lt;=$S$18),U6283,0)</t>
  </si>
  <si>
    <t>=IF($M6283&lt;=$T$18,U6283,0)</t>
  </si>
  <si>
    <t>="""NAV Direct"",""CRONUS JetCorp USA"",""21"",""1"",""291137"""</t>
  </si>
  <si>
    <t>=E6282</t>
  </si>
  <si>
    <t>=StartDate-$M6284+1</t>
  </si>
  <si>
    <t>=SUM(P6284:T6284)</t>
  </si>
  <si>
    <t>=IF($M6284&gt;=$P$18,U6284,0)</t>
  </si>
  <si>
    <t>=IF(AND($M6284&gt;=$Q$16,$M6284&lt;=$Q$18),U6284,0)</t>
  </si>
  <si>
    <t>=IF(AND($M6284&gt;=$R$16,$M6284&lt;=$R$18),U6284,0)</t>
  </si>
  <si>
    <t>=IF(AND($M6284&gt;=$S$16,$M6284&lt;=$S$18),U6284,0)</t>
  </si>
  <si>
    <t>=IF($M6284&lt;=$T$18,U6284,0)</t>
  </si>
  <si>
    <t>="""NAV Direct"",""CRONUS JetCorp USA"",""21"",""1"",""291554"""</t>
  </si>
  <si>
    <t>=E6283</t>
  </si>
  <si>
    <t>=StartDate-$M6285+1</t>
  </si>
  <si>
    <t>=SUM(P6285:T6285)</t>
  </si>
  <si>
    <t>=IF($M6285&gt;=$P$18,U6285,0)</t>
  </si>
  <si>
    <t>=IF(AND($M6285&gt;=$Q$16,$M6285&lt;=$Q$18),U6285,0)</t>
  </si>
  <si>
    <t>=IF(AND($M6285&gt;=$R$16,$M6285&lt;=$R$18),U6285,0)</t>
  </si>
  <si>
    <t>=IF(AND($M6285&gt;=$S$16,$M6285&lt;=$S$18),U6285,0)</t>
  </si>
  <si>
    <t>=IF($M6285&lt;=$T$18,U6285,0)</t>
  </si>
  <si>
    <t>="""NAV Direct"",""CRONUS JetCorp USA"",""21"",""1"",""291641"""</t>
  </si>
  <si>
    <t>=E6284</t>
  </si>
  <si>
    <t>=StartDate-$M6286+1</t>
  </si>
  <si>
    <t>=SUM(P6286:T6286)</t>
  </si>
  <si>
    <t>=IF($M6286&gt;=$P$18,U6286,0)</t>
  </si>
  <si>
    <t>=IF(AND($M6286&gt;=$Q$16,$M6286&lt;=$Q$18),U6286,0)</t>
  </si>
  <si>
    <t>=IF(AND($M6286&gt;=$R$16,$M6286&lt;=$R$18),U6286,0)</t>
  </si>
  <si>
    <t>=IF(AND($M6286&gt;=$S$16,$M6286&lt;=$S$18),U6286,0)</t>
  </si>
  <si>
    <t>=IF($M6286&lt;=$T$18,U6286,0)</t>
  </si>
  <si>
    <t>="""NAV Direct"",""CRONUS JetCorp USA"",""21"",""1"",""291670"""</t>
  </si>
  <si>
    <t>=E6285</t>
  </si>
  <si>
    <t>=StartDate-$M6287+1</t>
  </si>
  <si>
    <t>=SUM(P6287:T6287)</t>
  </si>
  <si>
    <t>=IF($M6287&gt;=$P$18,U6287,0)</t>
  </si>
  <si>
    <t>=IF(AND($M6287&gt;=$Q$16,$M6287&lt;=$Q$18),U6287,0)</t>
  </si>
  <si>
    <t>=IF(AND($M6287&gt;=$R$16,$M6287&lt;=$R$18),U6287,0)</t>
  </si>
  <si>
    <t>=IF(AND($M6287&gt;=$S$16,$M6287&lt;=$S$18),U6287,0)</t>
  </si>
  <si>
    <t>=IF($M6287&lt;=$T$18,U6287,0)</t>
  </si>
  <si>
    <t>="""NAV Direct"",""CRONUS JetCorp USA"",""21"",""1"",""291720"""</t>
  </si>
  <si>
    <t>=E6286</t>
  </si>
  <si>
    <t>=StartDate-$M6288+1</t>
  </si>
  <si>
    <t>=SUM(P6288:T6288)</t>
  </si>
  <si>
    <t>=IF($M6288&gt;=$P$18,U6288,0)</t>
  </si>
  <si>
    <t>=IF(AND($M6288&gt;=$Q$16,$M6288&lt;=$Q$18),U6288,0)</t>
  </si>
  <si>
    <t>=IF(AND($M6288&gt;=$R$16,$M6288&lt;=$R$18),U6288,0)</t>
  </si>
  <si>
    <t>=IF(AND($M6288&gt;=$S$16,$M6288&lt;=$S$18),U6288,0)</t>
  </si>
  <si>
    <t>=IF($M6288&lt;=$T$18,U6288,0)</t>
  </si>
  <si>
    <t>="""NAV Direct"",""CRONUS JetCorp USA"",""21"",""1"",""291987"""</t>
  </si>
  <si>
    <t>=E6287</t>
  </si>
  <si>
    <t>=StartDate-$M6289+1</t>
  </si>
  <si>
    <t>=SUM(P6289:T6289)</t>
  </si>
  <si>
    <t>=IF($M6289&gt;=$P$18,U6289,0)</t>
  </si>
  <si>
    <t>=IF(AND($M6289&gt;=$Q$16,$M6289&lt;=$Q$18),U6289,0)</t>
  </si>
  <si>
    <t>=IF(AND($M6289&gt;=$R$16,$M6289&lt;=$R$18),U6289,0)</t>
  </si>
  <si>
    <t>=IF(AND($M6289&gt;=$S$16,$M6289&lt;=$S$18),U6289,0)</t>
  </si>
  <si>
    <t>=IF($M6289&lt;=$T$18,U6289,0)</t>
  </si>
  <si>
    <t>="""NAV Direct"",""CRONUS JetCorp USA"",""21"",""1"",""292082"""</t>
  </si>
  <si>
    <t>=E6288</t>
  </si>
  <si>
    <t>=StartDate-$M6290+1</t>
  </si>
  <si>
    <t>=SUM(P6290:T6290)</t>
  </si>
  <si>
    <t>=IF($M6290&gt;=$P$18,U6290,0)</t>
  </si>
  <si>
    <t>=IF(AND($M6290&gt;=$Q$16,$M6290&lt;=$Q$18),U6290,0)</t>
  </si>
  <si>
    <t>=IF(AND($M6290&gt;=$R$16,$M6290&lt;=$R$18),U6290,0)</t>
  </si>
  <si>
    <t>=IF(AND($M6290&gt;=$S$16,$M6290&lt;=$S$18),U6290,0)</t>
  </si>
  <si>
    <t>=IF($M6290&lt;=$T$18,U6290,0)</t>
  </si>
  <si>
    <t>="""NAV Direct"",""CRONUS JetCorp USA"",""21"",""1"",""293867"""</t>
  </si>
  <si>
    <t>=E6289</t>
  </si>
  <si>
    <t>=StartDate-$M6291+1</t>
  </si>
  <si>
    <t>=SUM(P6291:T6291)</t>
  </si>
  <si>
    <t>=IF($M6291&gt;=$P$18,U6291,0)</t>
  </si>
  <si>
    <t>=IF(AND($M6291&gt;=$Q$16,$M6291&lt;=$Q$18),U6291,0)</t>
  </si>
  <si>
    <t>=IF(AND($M6291&gt;=$R$16,$M6291&lt;=$R$18),U6291,0)</t>
  </si>
  <si>
    <t>=IF(AND($M6291&gt;=$S$16,$M6291&lt;=$S$18),U6291,0)</t>
  </si>
  <si>
    <t>=IF($M6291&lt;=$T$18,U6291,0)</t>
  </si>
  <si>
    <t>="""NAV Direct"",""CRONUS JetCorp USA"",""21"",""1"",""295296"""</t>
  </si>
  <si>
    <t>=E6290</t>
  </si>
  <si>
    <t>=StartDate-$M6292+1</t>
  </si>
  <si>
    <t>=SUM(P6292:T6292)</t>
  </si>
  <si>
    <t>=IF($M6292&gt;=$P$18,U6292,0)</t>
  </si>
  <si>
    <t>=IF(AND($M6292&gt;=$Q$16,$M6292&lt;=$Q$18),U6292,0)</t>
  </si>
  <si>
    <t>=IF(AND($M6292&gt;=$R$16,$M6292&lt;=$R$18),U6292,0)</t>
  </si>
  <si>
    <t>=IF(AND($M6292&gt;=$S$16,$M6292&lt;=$S$18),U6292,0)</t>
  </si>
  <si>
    <t>=IF($M6292&lt;=$T$18,U6292,0)</t>
  </si>
  <si>
    <t>="""NAV Direct"",""CRONUS JetCorp USA"",""21"",""1"",""296425"""</t>
  </si>
  <si>
    <t>=E6291</t>
  </si>
  <si>
    <t>=StartDate-$M6293+1</t>
  </si>
  <si>
    <t>=SUM(P6293:T6293)</t>
  </si>
  <si>
    <t>=IF($M6293&gt;=$P$18,U6293,0)</t>
  </si>
  <si>
    <t>=IF(AND($M6293&gt;=$Q$16,$M6293&lt;=$Q$18),U6293,0)</t>
  </si>
  <si>
    <t>=IF(AND($M6293&gt;=$R$16,$M6293&lt;=$R$18),U6293,0)</t>
  </si>
  <si>
    <t>=IF(AND($M6293&gt;=$S$16,$M6293&lt;=$S$18),U6293,0)</t>
  </si>
  <si>
    <t>=IF($M6293&lt;=$T$18,U6293,0)</t>
  </si>
  <si>
    <t>="""NAV Direct"",""CRONUS JetCorp USA"",""21"",""1"",""296797"""</t>
  </si>
  <si>
    <t>=E6292</t>
  </si>
  <si>
    <t>=StartDate-$M6294+1</t>
  </si>
  <si>
    <t>=SUM(P6294:T6294)</t>
  </si>
  <si>
    <t>=IF($M6294&gt;=$P$18,U6294,0)</t>
  </si>
  <si>
    <t>=IF(AND($M6294&gt;=$Q$16,$M6294&lt;=$Q$18),U6294,0)</t>
  </si>
  <si>
    <t>=IF(AND($M6294&gt;=$R$16,$M6294&lt;=$R$18),U6294,0)</t>
  </si>
  <si>
    <t>=IF(AND($M6294&gt;=$S$16,$M6294&lt;=$S$18),U6294,0)</t>
  </si>
  <si>
    <t>=IF($M6294&lt;=$T$18,U6294,0)</t>
  </si>
  <si>
    <t>="""NAV Direct"",""CRONUS JetCorp USA"",""21"",""1"",""297380"""</t>
  </si>
  <si>
    <t>=E6293</t>
  </si>
  <si>
    <t>=StartDate-$M6295+1</t>
  </si>
  <si>
    <t>=SUM(P6295:T6295)</t>
  </si>
  <si>
    <t>=IF($M6295&gt;=$P$18,U6295,0)</t>
  </si>
  <si>
    <t>=IF(AND($M6295&gt;=$Q$16,$M6295&lt;=$Q$18),U6295,0)</t>
  </si>
  <si>
    <t>=IF(AND($M6295&gt;=$R$16,$M6295&lt;=$R$18),U6295,0)</t>
  </si>
  <si>
    <t>=IF(AND($M6295&gt;=$S$16,$M6295&lt;=$S$18),U6295,0)</t>
  </si>
  <si>
    <t>=IF($M6295&lt;=$T$18,U6295,0)</t>
  </si>
  <si>
    <t>="""NAV Direct"",""CRONUS JetCorp USA"",""21"",""1"",""298050"""</t>
  </si>
  <si>
    <t>=E6294</t>
  </si>
  <si>
    <t>=StartDate-$M6296+1</t>
  </si>
  <si>
    <t>=SUM(P6296:T6296)</t>
  </si>
  <si>
    <t>=IF($M6296&gt;=$P$18,U6296,0)</t>
  </si>
  <si>
    <t>=IF(AND($M6296&gt;=$Q$16,$M6296&lt;=$Q$18),U6296,0)</t>
  </si>
  <si>
    <t>=IF(AND($M6296&gt;=$R$16,$M6296&lt;=$R$18),U6296,0)</t>
  </si>
  <si>
    <t>=IF(AND($M6296&gt;=$S$16,$M6296&lt;=$S$18),U6296,0)</t>
  </si>
  <si>
    <t>=IF($M6296&lt;=$T$18,U6296,0)</t>
  </si>
  <si>
    <t>="""NAV Direct"",""CRONUS JetCorp USA"",""21"",""1"",""303259"""</t>
  </si>
  <si>
    <t>=E6295</t>
  </si>
  <si>
    <t>=StartDate-$M6297+1</t>
  </si>
  <si>
    <t>=SUM(P6297:T6297)</t>
  </si>
  <si>
    <t>=IF($M6297&gt;=$P$18,U6297,0)</t>
  </si>
  <si>
    <t>=IF(AND($M6297&gt;=$Q$16,$M6297&lt;=$Q$18),U6297,0)</t>
  </si>
  <si>
    <t>=IF(AND($M6297&gt;=$R$16,$M6297&lt;=$R$18),U6297,0)</t>
  </si>
  <si>
    <t>=IF(AND($M6297&gt;=$S$16,$M6297&lt;=$S$18),U6297,0)</t>
  </si>
  <si>
    <t>=IF($M6297&lt;=$T$18,U6297,0)</t>
  </si>
  <si>
    <t>="""NAV Direct"",""CRONUS JetCorp USA"",""18"",""1"",""C100521"""</t>
  </si>
  <si>
    <t>=H6300</t>
  </si>
  <si>
    <t>=NF($C6300,"1 No.")</t>
  </si>
  <si>
    <t>=NF($C6300,"1 No.")&amp;"  -  "&amp;NF($C6300,"2 Name")</t>
  </si>
  <si>
    <t>=IFERROR(O6300/NF(C6300,"Credit Limit (LCY)"),"")</t>
  </si>
  <si>
    <t>=SUBTOTAL(3,L6301:L6329)</t>
  </si>
  <si>
    <t>=SUBTOTAL(9,O6301:O6329)</t>
  </si>
  <si>
    <t>=SUBTOTAL(9,P6301:P6329)</t>
  </si>
  <si>
    <t>=SUBTOTAL(9,Q6301:Q6329)</t>
  </si>
  <si>
    <t>=SUBTOTAL(9,R6301:R6329)</t>
  </si>
  <si>
    <t>=SUBTOTAL(9,S6301:S6329)</t>
  </si>
  <si>
    <t>=SUBTOTAL(9,T6301:T6329)</t>
  </si>
  <si>
    <t>=C6300</t>
  </si>
  <si>
    <t>=E6300</t>
  </si>
  <si>
    <t>="Contact: "&amp;NF($C6301,"8 Contact")</t>
  </si>
  <si>
    <t>=C6301</t>
  </si>
  <si>
    <t>=E6301</t>
  </si>
  <si>
    <t>=NF($C6302,"102 E-Mail")</t>
  </si>
  <si>
    <t>=NL("Rows","21 Cust. Ledger Entry",,"3 Customer No.","@@"&amp;$E6304,"16 Remaining Amt. (LCY)","&lt;&gt;0")</t>
  </si>
  <si>
    <t>=E6302</t>
  </si>
  <si>
    <t>=StartDate-$M6304+1</t>
  </si>
  <si>
    <t>=SUM(P6304:T6304)</t>
  </si>
  <si>
    <t>=IF($M6304&gt;=$P$18,U6304,0)</t>
  </si>
  <si>
    <t>=IF(AND($M6304&gt;=$Q$16,$M6304&lt;=$Q$18),U6304,0)</t>
  </si>
  <si>
    <t>=IF(AND($M6304&gt;=$R$16,$M6304&lt;=$R$18),U6304,0)</t>
  </si>
  <si>
    <t>=IF(AND($M6304&gt;=$S$16,$M6304&lt;=$S$18),U6304,0)</t>
  </si>
  <si>
    <t>=IF($M6304&lt;=$T$18,U6304,0)</t>
  </si>
  <si>
    <t>="""NAV Direct"",""CRONUS JetCorp USA"",""21"",""1"",""282883"""</t>
  </si>
  <si>
    <t>=E6303</t>
  </si>
  <si>
    <t>=StartDate-$M6305+1</t>
  </si>
  <si>
    <t>=SUM(P6305:T6305)</t>
  </si>
  <si>
    <t>=IF($M6305&gt;=$P$18,U6305,0)</t>
  </si>
  <si>
    <t>=IF(AND($M6305&gt;=$Q$16,$M6305&lt;=$Q$18),U6305,0)</t>
  </si>
  <si>
    <t>=IF(AND($M6305&gt;=$R$16,$M6305&lt;=$R$18),U6305,0)</t>
  </si>
  <si>
    <t>=IF(AND($M6305&gt;=$S$16,$M6305&lt;=$S$18),U6305,0)</t>
  </si>
  <si>
    <t>=IF($M6305&lt;=$T$18,U6305,0)</t>
  </si>
  <si>
    <t>="""NAV Direct"",""CRONUS JetCorp USA"",""21"",""1"",""282966"""</t>
  </si>
  <si>
    <t>=E6304</t>
  </si>
  <si>
    <t>=StartDate-$M6306+1</t>
  </si>
  <si>
    <t>=SUM(P6306:T6306)</t>
  </si>
  <si>
    <t>=IF($M6306&gt;=$P$18,U6306,0)</t>
  </si>
  <si>
    <t>=IF(AND($M6306&gt;=$Q$16,$M6306&lt;=$Q$18),U6306,0)</t>
  </si>
  <si>
    <t>=IF(AND($M6306&gt;=$R$16,$M6306&lt;=$R$18),U6306,0)</t>
  </si>
  <si>
    <t>=IF(AND($M6306&gt;=$S$16,$M6306&lt;=$S$18),U6306,0)</t>
  </si>
  <si>
    <t>=IF($M6306&lt;=$T$18,U6306,0)</t>
  </si>
  <si>
    <t>="""NAV Direct"",""CRONUS JetCorp USA"",""21"",""1"",""285150"""</t>
  </si>
  <si>
    <t>=E6305</t>
  </si>
  <si>
    <t>=StartDate-$M6307+1</t>
  </si>
  <si>
    <t>=SUM(P6307:T6307)</t>
  </si>
  <si>
    <t>=IF($M6307&gt;=$P$18,U6307,0)</t>
  </si>
  <si>
    <t>=IF(AND($M6307&gt;=$Q$16,$M6307&lt;=$Q$18),U6307,0)</t>
  </si>
  <si>
    <t>=IF(AND($M6307&gt;=$R$16,$M6307&lt;=$R$18),U6307,0)</t>
  </si>
  <si>
    <t>=IF(AND($M6307&gt;=$S$16,$M6307&lt;=$S$18),U6307,0)</t>
  </si>
  <si>
    <t>=IF($M6307&lt;=$T$18,U6307,0)</t>
  </si>
  <si>
    <t>="""NAV Direct"",""CRONUS JetCorp USA"",""21"",""1"",""286446"""</t>
  </si>
  <si>
    <t>=E6306</t>
  </si>
  <si>
    <t>=StartDate-$M6308+1</t>
  </si>
  <si>
    <t>=SUM(P6308:T6308)</t>
  </si>
  <si>
    <t>=IF($M6308&gt;=$P$18,U6308,0)</t>
  </si>
  <si>
    <t>=IF(AND($M6308&gt;=$Q$16,$M6308&lt;=$Q$18),U6308,0)</t>
  </si>
  <si>
    <t>=IF(AND($M6308&gt;=$R$16,$M6308&lt;=$R$18),U6308,0)</t>
  </si>
  <si>
    <t>=IF(AND($M6308&gt;=$S$16,$M6308&lt;=$S$18),U6308,0)</t>
  </si>
  <si>
    <t>=IF($M6308&lt;=$T$18,U6308,0)</t>
  </si>
  <si>
    <t>="""NAV Direct"",""CRONUS JetCorp USA"",""21"",""1"",""286538"""</t>
  </si>
  <si>
    <t>=E6307</t>
  </si>
  <si>
    <t>=StartDate-$M6309+1</t>
  </si>
  <si>
    <t>=SUM(P6309:T6309)</t>
  </si>
  <si>
    <t>=IF($M6309&gt;=$P$18,U6309,0)</t>
  </si>
  <si>
    <t>=IF(AND($M6309&gt;=$Q$16,$M6309&lt;=$Q$18),U6309,0)</t>
  </si>
  <si>
    <t>=IF(AND($M6309&gt;=$R$16,$M6309&lt;=$R$18),U6309,0)</t>
  </si>
  <si>
    <t>=IF(AND($M6309&gt;=$S$16,$M6309&lt;=$S$18),U6309,0)</t>
  </si>
  <si>
    <t>=IF($M6309&lt;=$T$18,U6309,0)</t>
  </si>
  <si>
    <t>="""NAV Direct"",""CRONUS JetCorp USA"",""21"",""1"",""287485"""</t>
  </si>
  <si>
    <t>=E6308</t>
  </si>
  <si>
    <t>=StartDate-$M6310+1</t>
  </si>
  <si>
    <t>=SUM(P6310:T6310)</t>
  </si>
  <si>
    <t>=IF($M6310&gt;=$P$18,U6310,0)</t>
  </si>
  <si>
    <t>=IF(AND($M6310&gt;=$Q$16,$M6310&lt;=$Q$18),U6310,0)</t>
  </si>
  <si>
    <t>=IF(AND($M6310&gt;=$R$16,$M6310&lt;=$R$18),U6310,0)</t>
  </si>
  <si>
    <t>=IF(AND($M6310&gt;=$S$16,$M6310&lt;=$S$18),U6310,0)</t>
  </si>
  <si>
    <t>=IF($M6310&lt;=$T$18,U6310,0)</t>
  </si>
  <si>
    <t>="""NAV Direct"",""CRONUS JetCorp USA"",""21"",""1"",""288029"""</t>
  </si>
  <si>
    <t>=E6309</t>
  </si>
  <si>
    <t>=StartDate-$M6311+1</t>
  </si>
  <si>
    <t>=SUM(P6311:T6311)</t>
  </si>
  <si>
    <t>=IF($M6311&gt;=$P$18,U6311,0)</t>
  </si>
  <si>
    <t>=IF(AND($M6311&gt;=$Q$16,$M6311&lt;=$Q$18),U6311,0)</t>
  </si>
  <si>
    <t>=IF(AND($M6311&gt;=$R$16,$M6311&lt;=$R$18),U6311,0)</t>
  </si>
  <si>
    <t>=IF(AND($M6311&gt;=$S$16,$M6311&lt;=$S$18),U6311,0)</t>
  </si>
  <si>
    <t>=IF($M6311&lt;=$T$18,U6311,0)</t>
  </si>
  <si>
    <t>="""NAV Direct"",""CRONUS JetCorp USA"",""21"",""1"",""289201"""</t>
  </si>
  <si>
    <t>=E6310</t>
  </si>
  <si>
    <t>=StartDate-$M6312+1</t>
  </si>
  <si>
    <t>=SUM(P6312:T6312)</t>
  </si>
  <si>
    <t>=IF($M6312&gt;=$P$18,U6312,0)</t>
  </si>
  <si>
    <t>=IF(AND($M6312&gt;=$Q$16,$M6312&lt;=$Q$18),U6312,0)</t>
  </si>
  <si>
    <t>=IF(AND($M6312&gt;=$R$16,$M6312&lt;=$R$18),U6312,0)</t>
  </si>
  <si>
    <t>=IF(AND($M6312&gt;=$S$16,$M6312&lt;=$S$18),U6312,0)</t>
  </si>
  <si>
    <t>=IF($M6312&lt;=$T$18,U6312,0)</t>
  </si>
  <si>
    <t>="""NAV Direct"",""CRONUS JetCorp USA"",""21"",""1"",""290615"""</t>
  </si>
  <si>
    <t>=E6311</t>
  </si>
  <si>
    <t>=StartDate-$M6313+1</t>
  </si>
  <si>
    <t>=SUM(P6313:T6313)</t>
  </si>
  <si>
    <t>=IF($M6313&gt;=$P$18,U6313,0)</t>
  </si>
  <si>
    <t>=IF(AND($M6313&gt;=$Q$16,$M6313&lt;=$Q$18),U6313,0)</t>
  </si>
  <si>
    <t>=IF(AND($M6313&gt;=$R$16,$M6313&lt;=$R$18),U6313,0)</t>
  </si>
  <si>
    <t>=IF(AND($M6313&gt;=$S$16,$M6313&lt;=$S$18),U6313,0)</t>
  </si>
  <si>
    <t>=IF($M6313&lt;=$T$18,U6313,0)</t>
  </si>
  <si>
    <t>="""NAV Direct"",""CRONUS JetCorp USA"",""21"",""1"",""292301"""</t>
  </si>
  <si>
    <t>=E6312</t>
  </si>
  <si>
    <t>=StartDate-$M6314+1</t>
  </si>
  <si>
    <t>=SUM(P6314:T6314)</t>
  </si>
  <si>
    <t>=IF($M6314&gt;=$P$18,U6314,0)</t>
  </si>
  <si>
    <t>=IF(AND($M6314&gt;=$Q$16,$M6314&lt;=$Q$18),U6314,0)</t>
  </si>
  <si>
    <t>=IF(AND($M6314&gt;=$R$16,$M6314&lt;=$R$18),U6314,0)</t>
  </si>
  <si>
    <t>=IF(AND($M6314&gt;=$S$16,$M6314&lt;=$S$18),U6314,0)</t>
  </si>
  <si>
    <t>=IF($M6314&lt;=$T$18,U6314,0)</t>
  </si>
  <si>
    <t>="""NAV Direct"",""CRONUS JetCorp USA"",""21"",""1"",""292363"""</t>
  </si>
  <si>
    <t>=E6313</t>
  </si>
  <si>
    <t>=StartDate-$M6315+1</t>
  </si>
  <si>
    <t>=SUM(P6315:T6315)</t>
  </si>
  <si>
    <t>=IF($M6315&gt;=$P$18,U6315,0)</t>
  </si>
  <si>
    <t>=IF(AND($M6315&gt;=$Q$16,$M6315&lt;=$Q$18),U6315,0)</t>
  </si>
  <si>
    <t>=IF(AND($M6315&gt;=$R$16,$M6315&lt;=$R$18),U6315,0)</t>
  </si>
  <si>
    <t>=IF(AND($M6315&gt;=$S$16,$M6315&lt;=$S$18),U6315,0)</t>
  </si>
  <si>
    <t>=IF($M6315&lt;=$T$18,U6315,0)</t>
  </si>
  <si>
    <t>="""NAV Direct"",""CRONUS JetCorp USA"",""21"",""1"",""294177"""</t>
  </si>
  <si>
    <t>=E6314</t>
  </si>
  <si>
    <t>=StartDate-$M6316+1</t>
  </si>
  <si>
    <t>=SUM(P6316:T6316)</t>
  </si>
  <si>
    <t>=IF($M6316&gt;=$P$18,U6316,0)</t>
  </si>
  <si>
    <t>=IF(AND($M6316&gt;=$Q$16,$M6316&lt;=$Q$18),U6316,0)</t>
  </si>
  <si>
    <t>=IF(AND($M6316&gt;=$R$16,$M6316&lt;=$R$18),U6316,0)</t>
  </si>
  <si>
    <t>=IF(AND($M6316&gt;=$S$16,$M6316&lt;=$S$18),U6316,0)</t>
  </si>
  <si>
    <t>=IF($M6316&lt;=$T$18,U6316,0)</t>
  </si>
  <si>
    <t>="""NAV Direct"",""CRONUS JetCorp USA"",""21"",""1"",""295441"""</t>
  </si>
  <si>
    <t>=E6315</t>
  </si>
  <si>
    <t>=StartDate-$M6317+1</t>
  </si>
  <si>
    <t>=SUM(P6317:T6317)</t>
  </si>
  <si>
    <t>=IF($M6317&gt;=$P$18,U6317,0)</t>
  </si>
  <si>
    <t>=IF(AND($M6317&gt;=$Q$16,$M6317&lt;=$Q$18),U6317,0)</t>
  </si>
  <si>
    <t>=IF(AND($M6317&gt;=$R$16,$M6317&lt;=$R$18),U6317,0)</t>
  </si>
  <si>
    <t>=IF(AND($M6317&gt;=$S$16,$M6317&lt;=$S$18),U6317,0)</t>
  </si>
  <si>
    <t>=IF($M6317&lt;=$T$18,U6317,0)</t>
  </si>
  <si>
    <t>="""NAV Direct"",""CRONUS JetCorp USA"",""21"",""1"",""295812"""</t>
  </si>
  <si>
    <t>=E6316</t>
  </si>
  <si>
    <t>=StartDate-$M6318+1</t>
  </si>
  <si>
    <t>=SUM(P6318:T6318)</t>
  </si>
  <si>
    <t>=IF($M6318&gt;=$P$18,U6318,0)</t>
  </si>
  <si>
    <t>=IF(AND($M6318&gt;=$Q$16,$M6318&lt;=$Q$18),U6318,0)</t>
  </si>
  <si>
    <t>=IF(AND($M6318&gt;=$R$16,$M6318&lt;=$R$18),U6318,0)</t>
  </si>
  <si>
    <t>=IF(AND($M6318&gt;=$S$16,$M6318&lt;=$S$18),U6318,0)</t>
  </si>
  <si>
    <t>=IF($M6318&lt;=$T$18,U6318,0)</t>
  </si>
  <si>
    <t>="""NAV Direct"",""CRONUS JetCorp USA"",""21"",""1"",""296505"""</t>
  </si>
  <si>
    <t>=E6317</t>
  </si>
  <si>
    <t>=StartDate-$M6319+1</t>
  </si>
  <si>
    <t>=SUM(P6319:T6319)</t>
  </si>
  <si>
    <t>=IF($M6319&gt;=$P$18,U6319,0)</t>
  </si>
  <si>
    <t>=IF(AND($M6319&gt;=$Q$16,$M6319&lt;=$Q$18),U6319,0)</t>
  </si>
  <si>
    <t>=IF(AND($M6319&gt;=$R$16,$M6319&lt;=$R$18),U6319,0)</t>
  </si>
  <si>
    <t>=IF(AND($M6319&gt;=$S$16,$M6319&lt;=$S$18),U6319,0)</t>
  </si>
  <si>
    <t>=IF($M6319&lt;=$T$18,U6319,0)</t>
  </si>
  <si>
    <t>="""NAV Direct"",""CRONUS JetCorp USA"",""21"",""1"",""297625"""</t>
  </si>
  <si>
    <t>=E6318</t>
  </si>
  <si>
    <t>=StartDate-$M6320+1</t>
  </si>
  <si>
    <t>=SUM(P6320:T6320)</t>
  </si>
  <si>
    <t>=IF($M6320&gt;=$P$18,U6320,0)</t>
  </si>
  <si>
    <t>=IF(AND($M6320&gt;=$Q$16,$M6320&lt;=$Q$18),U6320,0)</t>
  </si>
  <si>
    <t>=IF(AND($M6320&gt;=$R$16,$M6320&lt;=$R$18),U6320,0)</t>
  </si>
  <si>
    <t>=IF(AND($M6320&gt;=$S$16,$M6320&lt;=$S$18),U6320,0)</t>
  </si>
  <si>
    <t>=IF($M6320&lt;=$T$18,U6320,0)</t>
  </si>
  <si>
    <t>="""NAV Direct"",""CRONUS JetCorp USA"",""21"",""1"",""297709"""</t>
  </si>
  <si>
    <t>=E6319</t>
  </si>
  <si>
    <t>=StartDate-$M6321+1</t>
  </si>
  <si>
    <t>=SUM(P6321:T6321)</t>
  </si>
  <si>
    <t>=IF($M6321&gt;=$P$18,U6321,0)</t>
  </si>
  <si>
    <t>=IF(AND($M6321&gt;=$Q$16,$M6321&lt;=$Q$18),U6321,0)</t>
  </si>
  <si>
    <t>=IF(AND($M6321&gt;=$R$16,$M6321&lt;=$R$18),U6321,0)</t>
  </si>
  <si>
    <t>=IF(AND($M6321&gt;=$S$16,$M6321&lt;=$S$18),U6321,0)</t>
  </si>
  <si>
    <t>=IF($M6321&lt;=$T$18,U6321,0)</t>
  </si>
  <si>
    <t>="""NAV Direct"",""CRONUS JetCorp USA"",""21"",""1"",""297803"""</t>
  </si>
  <si>
    <t>=E6320</t>
  </si>
  <si>
    <t>=StartDate-$M6322+1</t>
  </si>
  <si>
    <t>=SUM(P6322:T6322)</t>
  </si>
  <si>
    <t>=IF($M6322&gt;=$P$18,U6322,0)</t>
  </si>
  <si>
    <t>=IF(AND($M6322&gt;=$Q$16,$M6322&lt;=$Q$18),U6322,0)</t>
  </si>
  <si>
    <t>=IF(AND($M6322&gt;=$R$16,$M6322&lt;=$R$18),U6322,0)</t>
  </si>
  <si>
    <t>=IF(AND($M6322&gt;=$S$16,$M6322&lt;=$S$18),U6322,0)</t>
  </si>
  <si>
    <t>=IF($M6322&lt;=$T$18,U6322,0)</t>
  </si>
  <si>
    <t>="""NAV Direct"",""CRONUS JetCorp USA"",""21"",""1"",""298973"""</t>
  </si>
  <si>
    <t>=E6321</t>
  </si>
  <si>
    <t>=StartDate-$M6323+1</t>
  </si>
  <si>
    <t>=SUM(P6323:T6323)</t>
  </si>
  <si>
    <t>=IF($M6323&gt;=$P$18,U6323,0)</t>
  </si>
  <si>
    <t>=IF(AND($M6323&gt;=$Q$16,$M6323&lt;=$Q$18),U6323,0)</t>
  </si>
  <si>
    <t>=IF(AND($M6323&gt;=$R$16,$M6323&lt;=$R$18),U6323,0)</t>
  </si>
  <si>
    <t>=IF(AND($M6323&gt;=$S$16,$M6323&lt;=$S$18),U6323,0)</t>
  </si>
  <si>
    <t>=IF($M6323&lt;=$T$18,U6323,0)</t>
  </si>
  <si>
    <t>="""NAV Direct"",""CRONUS JetCorp USA"",""21"",""1"",""299007"""</t>
  </si>
  <si>
    <t>=E6322</t>
  </si>
  <si>
    <t>=StartDate-$M6324+1</t>
  </si>
  <si>
    <t>=SUM(P6324:T6324)</t>
  </si>
  <si>
    <t>=IF($M6324&gt;=$P$18,U6324,0)</t>
  </si>
  <si>
    <t>=IF(AND($M6324&gt;=$Q$16,$M6324&lt;=$Q$18),U6324,0)</t>
  </si>
  <si>
    <t>=IF(AND($M6324&gt;=$R$16,$M6324&lt;=$R$18),U6324,0)</t>
  </si>
  <si>
    <t>=IF(AND($M6324&gt;=$S$16,$M6324&lt;=$S$18),U6324,0)</t>
  </si>
  <si>
    <t>=IF($M6324&lt;=$T$18,U6324,0)</t>
  </si>
  <si>
    <t>="""NAV Direct"",""CRONUS JetCorp USA"",""21"",""1"",""302386"""</t>
  </si>
  <si>
    <t>=E6323</t>
  </si>
  <si>
    <t>=StartDate-$M6325+1</t>
  </si>
  <si>
    <t>=SUM(P6325:T6325)</t>
  </si>
  <si>
    <t>=IF($M6325&gt;=$P$18,U6325,0)</t>
  </si>
  <si>
    <t>=IF(AND($M6325&gt;=$Q$16,$M6325&lt;=$Q$18),U6325,0)</t>
  </si>
  <si>
    <t>=IF(AND($M6325&gt;=$R$16,$M6325&lt;=$R$18),U6325,0)</t>
  </si>
  <si>
    <t>=IF(AND($M6325&gt;=$S$16,$M6325&lt;=$S$18),U6325,0)</t>
  </si>
  <si>
    <t>=IF($M6325&lt;=$T$18,U6325,0)</t>
  </si>
  <si>
    <t>="""NAV Direct"",""CRONUS JetCorp USA"",""21"",""1"",""302783"""</t>
  </si>
  <si>
    <t>=E6324</t>
  </si>
  <si>
    <t>=StartDate-$M6326+1</t>
  </si>
  <si>
    <t>=SUM(P6326:T6326)</t>
  </si>
  <si>
    <t>=IF($M6326&gt;=$P$18,U6326,0)</t>
  </si>
  <si>
    <t>=IF(AND($M6326&gt;=$Q$16,$M6326&lt;=$Q$18),U6326,0)</t>
  </si>
  <si>
    <t>=IF(AND($M6326&gt;=$R$16,$M6326&lt;=$R$18),U6326,0)</t>
  </si>
  <si>
    <t>=IF(AND($M6326&gt;=$S$16,$M6326&lt;=$S$18),U6326,0)</t>
  </si>
  <si>
    <t>=IF($M6326&lt;=$T$18,U6326,0)</t>
  </si>
  <si>
    <t>="""NAV Direct"",""CRONUS JetCorp USA"",""21"",""1"",""303153"""</t>
  </si>
  <si>
    <t>=E6325</t>
  </si>
  <si>
    <t>=StartDate-$M6327+1</t>
  </si>
  <si>
    <t>=SUM(P6327:T6327)</t>
  </si>
  <si>
    <t>=IF($M6327&gt;=$P$18,U6327,0)</t>
  </si>
  <si>
    <t>=IF(AND($M6327&gt;=$Q$16,$M6327&lt;=$Q$18),U6327,0)</t>
  </si>
  <si>
    <t>=IF(AND($M6327&gt;=$R$16,$M6327&lt;=$R$18),U6327,0)</t>
  </si>
  <si>
    <t>=IF(AND($M6327&gt;=$S$16,$M6327&lt;=$S$18),U6327,0)</t>
  </si>
  <si>
    <t>=IF($M6327&lt;=$T$18,U6327,0)</t>
  </si>
  <si>
    <t>="""NAV Direct"",""CRONUS JetCorp USA"",""21"",""1"",""303331"""</t>
  </si>
  <si>
    <t>=E6326</t>
  </si>
  <si>
    <t>=StartDate-$M6328+1</t>
  </si>
  <si>
    <t>=SUM(P6328:T6328)</t>
  </si>
  <si>
    <t>=IF($M6328&gt;=$P$18,U6328,0)</t>
  </si>
  <si>
    <t>=IF(AND($M6328&gt;=$Q$16,$M6328&lt;=$Q$18),U6328,0)</t>
  </si>
  <si>
    <t>=IF(AND($M6328&gt;=$R$16,$M6328&lt;=$R$18),U6328,0)</t>
  </si>
  <si>
    <t>=IF(AND($M6328&gt;=$S$16,$M6328&lt;=$S$18),U6328,0)</t>
  </si>
  <si>
    <t>=IF($M6328&lt;=$T$18,U6328,0)</t>
  </si>
  <si>
    <t>="""NAV Direct"",""CRONUS JetCorp USA"",""18"",""1"",""C100522"""</t>
  </si>
  <si>
    <t>=H6331</t>
  </si>
  <si>
    <t>=NF($C6331,"1 No.")</t>
  </si>
  <si>
    <t>=NF($C6331,"1 No.")&amp;"  -  "&amp;NF($C6331,"2 Name")</t>
  </si>
  <si>
    <t>=IFERROR(O6331/NF(C6331,"Credit Limit (LCY)"),"")</t>
  </si>
  <si>
    <t>=SUBTOTAL(3,L6332:L6365)</t>
  </si>
  <si>
    <t>=SUBTOTAL(9,O6332:O6365)</t>
  </si>
  <si>
    <t>=SUBTOTAL(9,P6332:P6365)</t>
  </si>
  <si>
    <t>=SUBTOTAL(9,Q6332:Q6365)</t>
  </si>
  <si>
    <t>=SUBTOTAL(9,R6332:R6365)</t>
  </si>
  <si>
    <t>=SUBTOTAL(9,S6332:S6365)</t>
  </si>
  <si>
    <t>=SUBTOTAL(9,T6332:T6365)</t>
  </si>
  <si>
    <t>=C6331</t>
  </si>
  <si>
    <t>=E6331</t>
  </si>
  <si>
    <t>="Contact: "&amp;NF($C6332,"8 Contact")</t>
  </si>
  <si>
    <t>=C6332</t>
  </si>
  <si>
    <t>=E6332</t>
  </si>
  <si>
    <t>=NF($C6333,"102 E-Mail")</t>
  </si>
  <si>
    <t>=NL("Rows","21 Cust. Ledger Entry",,"3 Customer No.","@@"&amp;$E6335,"16 Remaining Amt. (LCY)","&lt;&gt;0")</t>
  </si>
  <si>
    <t>=E6333</t>
  </si>
  <si>
    <t>=StartDate-$M6335+1</t>
  </si>
  <si>
    <t>=SUM(P6335:T6335)</t>
  </si>
  <si>
    <t>=IF($M6335&gt;=$P$18,U6335,0)</t>
  </si>
  <si>
    <t>=IF(AND($M6335&gt;=$Q$16,$M6335&lt;=$Q$18),U6335,0)</t>
  </si>
  <si>
    <t>=IF(AND($M6335&gt;=$R$16,$M6335&lt;=$R$18),U6335,0)</t>
  </si>
  <si>
    <t>=IF(AND($M6335&gt;=$S$16,$M6335&lt;=$S$18),U6335,0)</t>
  </si>
  <si>
    <t>=IF($M6335&lt;=$T$18,U6335,0)</t>
  </si>
  <si>
    <t>="""NAV Direct"",""CRONUS JetCorp USA"",""21"",""1"",""282431"""</t>
  </si>
  <si>
    <t>=E6334</t>
  </si>
  <si>
    <t>=StartDate-$M6336+1</t>
  </si>
  <si>
    <t>=SUM(P6336:T6336)</t>
  </si>
  <si>
    <t>=IF($M6336&gt;=$P$18,U6336,0)</t>
  </si>
  <si>
    <t>=IF(AND($M6336&gt;=$Q$16,$M6336&lt;=$Q$18),U6336,0)</t>
  </si>
  <si>
    <t>=IF(AND($M6336&gt;=$R$16,$M6336&lt;=$R$18),U6336,0)</t>
  </si>
  <si>
    <t>=IF(AND($M6336&gt;=$S$16,$M6336&lt;=$S$18),U6336,0)</t>
  </si>
  <si>
    <t>=IF($M6336&lt;=$T$18,U6336,0)</t>
  </si>
  <si>
    <t>="""NAV Direct"",""CRONUS JetCorp USA"",""21"",""1"",""283649"""</t>
  </si>
  <si>
    <t>=E6335</t>
  </si>
  <si>
    <t>=StartDate-$M6337+1</t>
  </si>
  <si>
    <t>=SUM(P6337:T6337)</t>
  </si>
  <si>
    <t>=IF($M6337&gt;=$P$18,U6337,0)</t>
  </si>
  <si>
    <t>=IF(AND($M6337&gt;=$Q$16,$M6337&lt;=$Q$18),U6337,0)</t>
  </si>
  <si>
    <t>=IF(AND($M6337&gt;=$R$16,$M6337&lt;=$R$18),U6337,0)</t>
  </si>
  <si>
    <t>=IF(AND($M6337&gt;=$S$16,$M6337&lt;=$S$18),U6337,0)</t>
  </si>
  <si>
    <t>=IF($M6337&lt;=$T$18,U6337,0)</t>
  </si>
  <si>
    <t>="""NAV Direct"",""CRONUS JetCorp USA"",""21"",""1"",""284435"""</t>
  </si>
  <si>
    <t>=E6336</t>
  </si>
  <si>
    <t>=StartDate-$M6338+1</t>
  </si>
  <si>
    <t>=SUM(P6338:T6338)</t>
  </si>
  <si>
    <t>=IF($M6338&gt;=$P$18,U6338,0)</t>
  </si>
  <si>
    <t>=IF(AND($M6338&gt;=$Q$16,$M6338&lt;=$Q$18),U6338,0)</t>
  </si>
  <si>
    <t>=IF(AND($M6338&gt;=$R$16,$M6338&lt;=$R$18),U6338,0)</t>
  </si>
  <si>
    <t>=IF(AND($M6338&gt;=$S$16,$M6338&lt;=$S$18),U6338,0)</t>
  </si>
  <si>
    <t>=IF($M6338&lt;=$T$18,U6338,0)</t>
  </si>
  <si>
    <t>="""NAV Direct"",""CRONUS JetCorp USA"",""21"",""1"",""285123"""</t>
  </si>
  <si>
    <t>=E6337</t>
  </si>
  <si>
    <t>=StartDate-$M6339+1</t>
  </si>
  <si>
    <t>=SUM(P6339:T6339)</t>
  </si>
  <si>
    <t>=IF($M6339&gt;=$P$18,U6339,0)</t>
  </si>
  <si>
    <t>=IF(AND($M6339&gt;=$Q$16,$M6339&lt;=$Q$18),U6339,0)</t>
  </si>
  <si>
    <t>=IF(AND($M6339&gt;=$R$16,$M6339&lt;=$R$18),U6339,0)</t>
  </si>
  <si>
    <t>=IF(AND($M6339&gt;=$S$16,$M6339&lt;=$S$18),U6339,0)</t>
  </si>
  <si>
    <t>=IF($M6339&lt;=$T$18,U6339,0)</t>
  </si>
  <si>
    <t>="""NAV Direct"",""CRONUS JetCorp USA"",""21"",""1"",""285601"""</t>
  </si>
  <si>
    <t>=E6338</t>
  </si>
  <si>
    <t>=StartDate-$M6340+1</t>
  </si>
  <si>
    <t>=SUM(P6340:T6340)</t>
  </si>
  <si>
    <t>=IF($M6340&gt;=$P$18,U6340,0)</t>
  </si>
  <si>
    <t>=IF(AND($M6340&gt;=$Q$16,$M6340&lt;=$Q$18),U6340,0)</t>
  </si>
  <si>
    <t>=IF(AND($M6340&gt;=$R$16,$M6340&lt;=$R$18),U6340,0)</t>
  </si>
  <si>
    <t>=IF(AND($M6340&gt;=$S$16,$M6340&lt;=$S$18),U6340,0)</t>
  </si>
  <si>
    <t>=IF($M6340&lt;=$T$18,U6340,0)</t>
  </si>
  <si>
    <t>="""NAV Direct"",""CRONUS JetCorp USA"",""21"",""1"",""287720"""</t>
  </si>
  <si>
    <t>=E6339</t>
  </si>
  <si>
    <t>=StartDate-$M6341+1</t>
  </si>
  <si>
    <t>=SUM(P6341:T6341)</t>
  </si>
  <si>
    <t>=IF($M6341&gt;=$P$18,U6341,0)</t>
  </si>
  <si>
    <t>=IF(AND($M6341&gt;=$Q$16,$M6341&lt;=$Q$18),U6341,0)</t>
  </si>
  <si>
    <t>=IF(AND($M6341&gt;=$R$16,$M6341&lt;=$R$18),U6341,0)</t>
  </si>
  <si>
    <t>=IF(AND($M6341&gt;=$S$16,$M6341&lt;=$S$18),U6341,0)</t>
  </si>
  <si>
    <t>=IF($M6341&lt;=$T$18,U6341,0)</t>
  </si>
  <si>
    <t>="""NAV Direct"",""CRONUS JetCorp USA"",""21"",""1"",""287892"""</t>
  </si>
  <si>
    <t>=E6340</t>
  </si>
  <si>
    <t>=StartDate-$M6342+1</t>
  </si>
  <si>
    <t>=SUM(P6342:T6342)</t>
  </si>
  <si>
    <t>=IF($M6342&gt;=$P$18,U6342,0)</t>
  </si>
  <si>
    <t>=IF(AND($M6342&gt;=$Q$16,$M6342&lt;=$Q$18),U6342,0)</t>
  </si>
  <si>
    <t>=IF(AND($M6342&gt;=$R$16,$M6342&lt;=$R$18),U6342,0)</t>
  </si>
  <si>
    <t>=IF(AND($M6342&gt;=$S$16,$M6342&lt;=$S$18),U6342,0)</t>
  </si>
  <si>
    <t>=IF($M6342&lt;=$T$18,U6342,0)</t>
  </si>
  <si>
    <t>="""NAV Direct"",""CRONUS JetCorp USA"",""21"",""1"",""287956"""</t>
  </si>
  <si>
    <t>=E6341</t>
  </si>
  <si>
    <t>=StartDate-$M6343+1</t>
  </si>
  <si>
    <t>=SUM(P6343:T6343)</t>
  </si>
  <si>
    <t>=IF($M6343&gt;=$P$18,U6343,0)</t>
  </si>
  <si>
    <t>=IF(AND($M6343&gt;=$Q$16,$M6343&lt;=$Q$18),U6343,0)</t>
  </si>
  <si>
    <t>=IF(AND($M6343&gt;=$R$16,$M6343&lt;=$R$18),U6343,0)</t>
  </si>
  <si>
    <t>=IF(AND($M6343&gt;=$S$16,$M6343&lt;=$S$18),U6343,0)</t>
  </si>
  <si>
    <t>=IF($M6343&lt;=$T$18,U6343,0)</t>
  </si>
  <si>
    <t>="""NAV Direct"",""CRONUS JetCorp USA"",""21"",""1"",""287993"""</t>
  </si>
  <si>
    <t>=E6342</t>
  </si>
  <si>
    <t>=StartDate-$M6344+1</t>
  </si>
  <si>
    <t>=SUM(P6344:T6344)</t>
  </si>
  <si>
    <t>=IF($M6344&gt;=$P$18,U6344,0)</t>
  </si>
  <si>
    <t>=IF(AND($M6344&gt;=$Q$16,$M6344&lt;=$Q$18),U6344,0)</t>
  </si>
  <si>
    <t>=IF(AND($M6344&gt;=$R$16,$M6344&lt;=$R$18),U6344,0)</t>
  </si>
  <si>
    <t>=IF(AND($M6344&gt;=$S$16,$M6344&lt;=$S$18),U6344,0)</t>
  </si>
  <si>
    <t>=IF($M6344&lt;=$T$18,U6344,0)</t>
  </si>
  <si>
    <t>="""NAV Direct"",""CRONUS JetCorp USA"",""21"",""1"",""290055"""</t>
  </si>
  <si>
    <t>=E6343</t>
  </si>
  <si>
    <t>=StartDate-$M6345+1</t>
  </si>
  <si>
    <t>=SUM(P6345:T6345)</t>
  </si>
  <si>
    <t>=IF($M6345&gt;=$P$18,U6345,0)</t>
  </si>
  <si>
    <t>=IF(AND($M6345&gt;=$Q$16,$M6345&lt;=$Q$18),U6345,0)</t>
  </si>
  <si>
    <t>=IF(AND($M6345&gt;=$R$16,$M6345&lt;=$R$18),U6345,0)</t>
  </si>
  <si>
    <t>=IF(AND($M6345&gt;=$S$16,$M6345&lt;=$S$18),U6345,0)</t>
  </si>
  <si>
    <t>=IF($M6345&lt;=$T$18,U6345,0)</t>
  </si>
  <si>
    <t>="""NAV Direct"",""CRONUS JetCorp USA"",""21"",""1"",""291366"""</t>
  </si>
  <si>
    <t>=E6344</t>
  </si>
  <si>
    <t>=StartDate-$M6346+1</t>
  </si>
  <si>
    <t>=SUM(P6346:T6346)</t>
  </si>
  <si>
    <t>=IF($M6346&gt;=$P$18,U6346,0)</t>
  </si>
  <si>
    <t>=IF(AND($M6346&gt;=$Q$16,$M6346&lt;=$Q$18),U6346,0)</t>
  </si>
  <si>
    <t>=IF(AND($M6346&gt;=$R$16,$M6346&lt;=$R$18),U6346,0)</t>
  </si>
  <si>
    <t>=IF(AND($M6346&gt;=$S$16,$M6346&lt;=$S$18),U6346,0)</t>
  </si>
  <si>
    <t>=IF($M6346&lt;=$T$18,U6346,0)</t>
  </si>
  <si>
    <t>="""NAV Direct"",""CRONUS JetCorp USA"",""21"",""1"",""292165"""</t>
  </si>
  <si>
    <t>=E6345</t>
  </si>
  <si>
    <t>=StartDate-$M6347+1</t>
  </si>
  <si>
    <t>=SUM(P6347:T6347)</t>
  </si>
  <si>
    <t>=IF($M6347&gt;=$P$18,U6347,0)</t>
  </si>
  <si>
    <t>=IF(AND($M6347&gt;=$Q$16,$M6347&lt;=$Q$18),U6347,0)</t>
  </si>
  <si>
    <t>=IF(AND($M6347&gt;=$R$16,$M6347&lt;=$R$18),U6347,0)</t>
  </si>
  <si>
    <t>=IF(AND($M6347&gt;=$S$16,$M6347&lt;=$S$18),U6347,0)</t>
  </si>
  <si>
    <t>=IF($M6347&lt;=$T$18,U6347,0)</t>
  </si>
  <si>
    <t>="""NAV Direct"",""CRONUS JetCorp USA"",""21"",""1"",""293514"""</t>
  </si>
  <si>
    <t>=E6346</t>
  </si>
  <si>
    <t>=StartDate-$M6348+1</t>
  </si>
  <si>
    <t>=SUM(P6348:T6348)</t>
  </si>
  <si>
    <t>=IF($M6348&gt;=$P$18,U6348,0)</t>
  </si>
  <si>
    <t>=IF(AND($M6348&gt;=$Q$16,$M6348&lt;=$Q$18),U6348,0)</t>
  </si>
  <si>
    <t>=IF(AND($M6348&gt;=$R$16,$M6348&lt;=$R$18),U6348,0)</t>
  </si>
  <si>
    <t>=IF(AND($M6348&gt;=$S$16,$M6348&lt;=$S$18),U6348,0)</t>
  </si>
  <si>
    <t>=IF($M6348&lt;=$T$18,U6348,0)</t>
  </si>
  <si>
    <t>="""NAV Direct"",""CRONUS JetCorp USA"",""21"",""1"",""293537"""</t>
  </si>
  <si>
    <t>=E6347</t>
  </si>
  <si>
    <t>=StartDate-$M6349+1</t>
  </si>
  <si>
    <t>=SUM(P6349:T6349)</t>
  </si>
  <si>
    <t>=IF($M6349&gt;=$P$18,U6349,0)</t>
  </si>
  <si>
    <t>=IF(AND($M6349&gt;=$Q$16,$M6349&lt;=$Q$18),U6349,0)</t>
  </si>
  <si>
    <t>=IF(AND($M6349&gt;=$R$16,$M6349&lt;=$R$18),U6349,0)</t>
  </si>
  <si>
    <t>=IF(AND($M6349&gt;=$S$16,$M6349&lt;=$S$18),U6349,0)</t>
  </si>
  <si>
    <t>=IF($M6349&lt;=$T$18,U6349,0)</t>
  </si>
  <si>
    <t>="""NAV Direct"",""CRONUS JetCorp USA"",""21"",""1"",""294014"""</t>
  </si>
  <si>
    <t>=E6348</t>
  </si>
  <si>
    <t>=StartDate-$M6350+1</t>
  </si>
  <si>
    <t>=SUM(P6350:T6350)</t>
  </si>
  <si>
    <t>=IF($M6350&gt;=$P$18,U6350,0)</t>
  </si>
  <si>
    <t>=IF(AND($M6350&gt;=$Q$16,$M6350&lt;=$Q$18),U6350,0)</t>
  </si>
  <si>
    <t>=IF(AND($M6350&gt;=$R$16,$M6350&lt;=$R$18),U6350,0)</t>
  </si>
  <si>
    <t>=IF(AND($M6350&gt;=$S$16,$M6350&lt;=$S$18),U6350,0)</t>
  </si>
  <si>
    <t>=IF($M6350&lt;=$T$18,U6350,0)</t>
  </si>
  <si>
    <t>="""NAV Direct"",""CRONUS JetCorp USA"",""21"",""1"",""294793"""</t>
  </si>
  <si>
    <t>=E6349</t>
  </si>
  <si>
    <t>=StartDate-$M6351+1</t>
  </si>
  <si>
    <t>=SUM(P6351:T6351)</t>
  </si>
  <si>
    <t>=IF($M6351&gt;=$P$18,U6351,0)</t>
  </si>
  <si>
    <t>=IF(AND($M6351&gt;=$Q$16,$M6351&lt;=$Q$18),U6351,0)</t>
  </si>
  <si>
    <t>=IF(AND($M6351&gt;=$R$16,$M6351&lt;=$R$18),U6351,0)</t>
  </si>
  <si>
    <t>=IF(AND($M6351&gt;=$S$16,$M6351&lt;=$S$18),U6351,0)</t>
  </si>
  <si>
    <t>=IF($M6351&lt;=$T$18,U6351,0)</t>
  </si>
  <si>
    <t>="""NAV Direct"",""CRONUS JetCorp USA"",""21"",""1"",""295044"""</t>
  </si>
  <si>
    <t>=E6350</t>
  </si>
  <si>
    <t>=StartDate-$M6352+1</t>
  </si>
  <si>
    <t>=SUM(P6352:T6352)</t>
  </si>
  <si>
    <t>=IF($M6352&gt;=$P$18,U6352,0)</t>
  </si>
  <si>
    <t>=IF(AND($M6352&gt;=$Q$16,$M6352&lt;=$Q$18),U6352,0)</t>
  </si>
  <si>
    <t>=IF(AND($M6352&gt;=$R$16,$M6352&lt;=$R$18),U6352,0)</t>
  </si>
  <si>
    <t>=IF(AND($M6352&gt;=$S$16,$M6352&lt;=$S$18),U6352,0)</t>
  </si>
  <si>
    <t>=IF($M6352&lt;=$T$18,U6352,0)</t>
  </si>
  <si>
    <t>="""NAV Direct"",""CRONUS JetCorp USA"",""21"",""1"",""295269"""</t>
  </si>
  <si>
    <t>=E6351</t>
  </si>
  <si>
    <t>=StartDate-$M6353+1</t>
  </si>
  <si>
    <t>=SUM(P6353:T6353)</t>
  </si>
  <si>
    <t>=IF($M6353&gt;=$P$18,U6353,0)</t>
  </si>
  <si>
    <t>=IF(AND($M6353&gt;=$Q$16,$M6353&lt;=$Q$18),U6353,0)</t>
  </si>
  <si>
    <t>=IF(AND($M6353&gt;=$R$16,$M6353&lt;=$R$18),U6353,0)</t>
  </si>
  <si>
    <t>=IF(AND($M6353&gt;=$S$16,$M6353&lt;=$S$18),U6353,0)</t>
  </si>
  <si>
    <t>=IF($M6353&lt;=$T$18,U6353,0)</t>
  </si>
  <si>
    <t>="""NAV Direct"",""CRONUS JetCorp USA"",""21"",""1"",""297403"""</t>
  </si>
  <si>
    <t>=E6352</t>
  </si>
  <si>
    <t>=StartDate-$M6354+1</t>
  </si>
  <si>
    <t>=SUM(P6354:T6354)</t>
  </si>
  <si>
    <t>=IF($M6354&gt;=$P$18,U6354,0)</t>
  </si>
  <si>
    <t>=IF(AND($M6354&gt;=$Q$16,$M6354&lt;=$Q$18),U6354,0)</t>
  </si>
  <si>
    <t>=IF(AND($M6354&gt;=$R$16,$M6354&lt;=$R$18),U6354,0)</t>
  </si>
  <si>
    <t>=IF(AND($M6354&gt;=$S$16,$M6354&lt;=$S$18),U6354,0)</t>
  </si>
  <si>
    <t>=IF($M6354&lt;=$T$18,U6354,0)</t>
  </si>
  <si>
    <t>="""NAV Direct"",""CRONUS JetCorp USA"",""21"",""1"",""297469"""</t>
  </si>
  <si>
    <t>=E6353</t>
  </si>
  <si>
    <t>=StartDate-$M6355+1</t>
  </si>
  <si>
    <t>=SUM(P6355:T6355)</t>
  </si>
  <si>
    <t>=IF($M6355&gt;=$P$18,U6355,0)</t>
  </si>
  <si>
    <t>=IF(AND($M6355&gt;=$Q$16,$M6355&lt;=$Q$18),U6355,0)</t>
  </si>
  <si>
    <t>=IF(AND($M6355&gt;=$R$16,$M6355&lt;=$R$18),U6355,0)</t>
  </si>
  <si>
    <t>=IF(AND($M6355&gt;=$S$16,$M6355&lt;=$S$18),U6355,0)</t>
  </si>
  <si>
    <t>=IF($M6355&lt;=$T$18,U6355,0)</t>
  </si>
  <si>
    <t>="""NAV Direct"",""CRONUS JetCorp USA"",""21"",""1"",""297771"""</t>
  </si>
  <si>
    <t>=E6354</t>
  </si>
  <si>
    <t>=StartDate-$M6356+1</t>
  </si>
  <si>
    <t>=SUM(P6356:T6356)</t>
  </si>
  <si>
    <t>=IF($M6356&gt;=$P$18,U6356,0)</t>
  </si>
  <si>
    <t>=IF(AND($M6356&gt;=$Q$16,$M6356&lt;=$Q$18),U6356,0)</t>
  </si>
  <si>
    <t>=IF(AND($M6356&gt;=$R$16,$M6356&lt;=$R$18),U6356,0)</t>
  </si>
  <si>
    <t>=IF(AND($M6356&gt;=$S$16,$M6356&lt;=$S$18),U6356,0)</t>
  </si>
  <si>
    <t>=IF($M6356&lt;=$T$18,U6356,0)</t>
  </si>
  <si>
    <t>="""NAV Direct"",""CRONUS JetCorp USA"",""21"",""1"",""298813"""</t>
  </si>
  <si>
    <t>=E6355</t>
  </si>
  <si>
    <t>=StartDate-$M6357+1</t>
  </si>
  <si>
    <t>=SUM(P6357:T6357)</t>
  </si>
  <si>
    <t>=IF($M6357&gt;=$P$18,U6357,0)</t>
  </si>
  <si>
    <t>=IF(AND($M6357&gt;=$Q$16,$M6357&lt;=$Q$18),U6357,0)</t>
  </si>
  <si>
    <t>=IF(AND($M6357&gt;=$R$16,$M6357&lt;=$R$18),U6357,0)</t>
  </si>
  <si>
    <t>=IF(AND($M6357&gt;=$S$16,$M6357&lt;=$S$18),U6357,0)</t>
  </si>
  <si>
    <t>=IF($M6357&lt;=$T$18,U6357,0)</t>
  </si>
  <si>
    <t>="""NAV Direct"",""CRONUS JetCorp USA"",""21"",""1"",""299758"""</t>
  </si>
  <si>
    <t>=E6356</t>
  </si>
  <si>
    <t>=StartDate-$M6358+1</t>
  </si>
  <si>
    <t>=SUM(P6358:T6358)</t>
  </si>
  <si>
    <t>=IF($M6358&gt;=$P$18,U6358,0)</t>
  </si>
  <si>
    <t>=IF(AND($M6358&gt;=$Q$16,$M6358&lt;=$Q$18),U6358,0)</t>
  </si>
  <si>
    <t>=IF(AND($M6358&gt;=$R$16,$M6358&lt;=$R$18),U6358,0)</t>
  </si>
  <si>
    <t>=IF(AND($M6358&gt;=$S$16,$M6358&lt;=$S$18),U6358,0)</t>
  </si>
  <si>
    <t>=IF($M6358&lt;=$T$18,U6358,0)</t>
  </si>
  <si>
    <t>="""NAV Direct"",""CRONUS JetCorp USA"",""21"",""1"",""299900"""</t>
  </si>
  <si>
    <t>=E6357</t>
  </si>
  <si>
    <t>=StartDate-$M6359+1</t>
  </si>
  <si>
    <t>=SUM(P6359:T6359)</t>
  </si>
  <si>
    <t>=IF($M6359&gt;=$P$18,U6359,0)</t>
  </si>
  <si>
    <t>=IF(AND($M6359&gt;=$Q$16,$M6359&lt;=$Q$18),U6359,0)</t>
  </si>
  <si>
    <t>=IF(AND($M6359&gt;=$R$16,$M6359&lt;=$R$18),U6359,0)</t>
  </si>
  <si>
    <t>=IF(AND($M6359&gt;=$S$16,$M6359&lt;=$S$18),U6359,0)</t>
  </si>
  <si>
    <t>=IF($M6359&lt;=$T$18,U6359,0)</t>
  </si>
  <si>
    <t>="""NAV Direct"",""CRONUS JetCorp USA"",""21"",""1"",""301697"""</t>
  </si>
  <si>
    <t>=E6358</t>
  </si>
  <si>
    <t>=StartDate-$M6360+1</t>
  </si>
  <si>
    <t>=SUM(P6360:T6360)</t>
  </si>
  <si>
    <t>=IF($M6360&gt;=$P$18,U6360,0)</t>
  </si>
  <si>
    <t>=IF(AND($M6360&gt;=$Q$16,$M6360&lt;=$Q$18),U6360,0)</t>
  </si>
  <si>
    <t>=IF(AND($M6360&gt;=$R$16,$M6360&lt;=$R$18),U6360,0)</t>
  </si>
  <si>
    <t>=IF(AND($M6360&gt;=$S$16,$M6360&lt;=$S$18),U6360,0)</t>
  </si>
  <si>
    <t>=IF($M6360&lt;=$T$18,U6360,0)</t>
  </si>
  <si>
    <t>="""NAV Direct"",""CRONUS JetCorp USA"",""21"",""1"",""301874"""</t>
  </si>
  <si>
    <t>=E6359</t>
  </si>
  <si>
    <t>=StartDate-$M6361+1</t>
  </si>
  <si>
    <t>=SUM(P6361:T6361)</t>
  </si>
  <si>
    <t>=IF($M6361&gt;=$P$18,U6361,0)</t>
  </si>
  <si>
    <t>=IF(AND($M6361&gt;=$Q$16,$M6361&lt;=$Q$18),U6361,0)</t>
  </si>
  <si>
    <t>=IF(AND($M6361&gt;=$R$16,$M6361&lt;=$R$18),U6361,0)</t>
  </si>
  <si>
    <t>=IF(AND($M6361&gt;=$S$16,$M6361&lt;=$S$18),U6361,0)</t>
  </si>
  <si>
    <t>=IF($M6361&lt;=$T$18,U6361,0)</t>
  </si>
  <si>
    <t>="""NAV Direct"",""CRONUS JetCorp USA"",""21"",""1"",""302415"""</t>
  </si>
  <si>
    <t>=E6360</t>
  </si>
  <si>
    <t>=StartDate-$M6362+1</t>
  </si>
  <si>
    <t>=SUM(P6362:T6362)</t>
  </si>
  <si>
    <t>=IF($M6362&gt;=$P$18,U6362,0)</t>
  </si>
  <si>
    <t>=IF(AND($M6362&gt;=$Q$16,$M6362&lt;=$Q$18),U6362,0)</t>
  </si>
  <si>
    <t>=IF(AND($M6362&gt;=$R$16,$M6362&lt;=$R$18),U6362,0)</t>
  </si>
  <si>
    <t>=IF(AND($M6362&gt;=$S$16,$M6362&lt;=$S$18),U6362,0)</t>
  </si>
  <si>
    <t>=IF($M6362&lt;=$T$18,U6362,0)</t>
  </si>
  <si>
    <t>="""NAV Direct"",""CRONUS JetCorp USA"",""21"",""1"",""302810"""</t>
  </si>
  <si>
    <t>=E6361</t>
  </si>
  <si>
    <t>=StartDate-$M6363+1</t>
  </si>
  <si>
    <t>=SUM(P6363:T6363)</t>
  </si>
  <si>
    <t>=IF($M6363&gt;=$P$18,U6363,0)</t>
  </si>
  <si>
    <t>=IF(AND($M6363&gt;=$Q$16,$M6363&lt;=$Q$18),U6363,0)</t>
  </si>
  <si>
    <t>=IF(AND($M6363&gt;=$R$16,$M6363&lt;=$R$18),U6363,0)</t>
  </si>
  <si>
    <t>=IF(AND($M6363&gt;=$S$16,$M6363&lt;=$S$18),U6363,0)</t>
  </si>
  <si>
    <t>=IF($M6363&lt;=$T$18,U6363,0)</t>
  </si>
  <si>
    <t>="""NAV Direct"",""CRONUS JetCorp USA"",""21"",""1"",""303734"""</t>
  </si>
  <si>
    <t>=E6362</t>
  </si>
  <si>
    <t>=StartDate-$M6364+1</t>
  </si>
  <si>
    <t>=SUM(P6364:T6364)</t>
  </si>
  <si>
    <t>=IF($M6364&gt;=$P$18,U6364,0)</t>
  </si>
  <si>
    <t>=IF(AND($M6364&gt;=$Q$16,$M6364&lt;=$Q$18),U6364,0)</t>
  </si>
  <si>
    <t>=IF(AND($M6364&gt;=$R$16,$M6364&lt;=$R$18),U6364,0)</t>
  </si>
  <si>
    <t>=IF(AND($M6364&gt;=$S$16,$M6364&lt;=$S$18),U6364,0)</t>
  </si>
  <si>
    <t>=IF($M6364&lt;=$T$18,U6364,0)</t>
  </si>
  <si>
    <t>="""NAV Direct"",""CRONUS JetCorp USA"",""18"",""1"",""C100523"""</t>
  </si>
  <si>
    <t>=H6367</t>
  </si>
  <si>
    <t>=NF($C6367,"1 No.")</t>
  </si>
  <si>
    <t>=NF($C6367,"1 No.")&amp;"  -  "&amp;NF($C6367,"2 Name")</t>
  </si>
  <si>
    <t>=IFERROR(O6367/NF(C6367,"Credit Limit (LCY)"),"")</t>
  </si>
  <si>
    <t>=SUBTOTAL(3,L6368:L6401)</t>
  </si>
  <si>
    <t>=SUBTOTAL(9,O6368:O6401)</t>
  </si>
  <si>
    <t>=SUBTOTAL(9,P6368:P6401)</t>
  </si>
  <si>
    <t>=SUBTOTAL(9,Q6368:Q6401)</t>
  </si>
  <si>
    <t>=SUBTOTAL(9,R6368:R6401)</t>
  </si>
  <si>
    <t>=SUBTOTAL(9,S6368:S6401)</t>
  </si>
  <si>
    <t>=SUBTOTAL(9,T6368:T6401)</t>
  </si>
  <si>
    <t>=C6367</t>
  </si>
  <si>
    <t>=E6367</t>
  </si>
  <si>
    <t>="Contact: "&amp;NF($C6368,"8 Contact")</t>
  </si>
  <si>
    <t>=C6368</t>
  </si>
  <si>
    <t>=E6368</t>
  </si>
  <si>
    <t>=NF($C6369,"102 E-Mail")</t>
  </si>
  <si>
    <t>=NL("Rows","21 Cust. Ledger Entry",,"3 Customer No.","@@"&amp;$E6371,"16 Remaining Amt. (LCY)","&lt;&gt;0")</t>
  </si>
  <si>
    <t>=E6369</t>
  </si>
  <si>
    <t>=StartDate-$M6371+1</t>
  </si>
  <si>
    <t>=SUM(P6371:T6371)</t>
  </si>
  <si>
    <t>=IF($M6371&gt;=$P$18,U6371,0)</t>
  </si>
  <si>
    <t>=IF(AND($M6371&gt;=$Q$16,$M6371&lt;=$Q$18),U6371,0)</t>
  </si>
  <si>
    <t>=IF(AND($M6371&gt;=$R$16,$M6371&lt;=$R$18),U6371,0)</t>
  </si>
  <si>
    <t>=IF(AND($M6371&gt;=$S$16,$M6371&lt;=$S$18),U6371,0)</t>
  </si>
  <si>
    <t>=IF($M6371&lt;=$T$18,U6371,0)</t>
  </si>
  <si>
    <t>="""NAV Direct"",""CRONUS JetCorp USA"",""21"",""1"",""281946"""</t>
  </si>
  <si>
    <t>=E6370</t>
  </si>
  <si>
    <t>=StartDate-$M6372+1</t>
  </si>
  <si>
    <t>=SUM(P6372:T6372)</t>
  </si>
  <si>
    <t>=IF($M6372&gt;=$P$18,U6372,0)</t>
  </si>
  <si>
    <t>=IF(AND($M6372&gt;=$Q$16,$M6372&lt;=$Q$18),U6372,0)</t>
  </si>
  <si>
    <t>=IF(AND($M6372&gt;=$R$16,$M6372&lt;=$R$18),U6372,0)</t>
  </si>
  <si>
    <t>=IF(AND($M6372&gt;=$S$16,$M6372&lt;=$S$18),U6372,0)</t>
  </si>
  <si>
    <t>=IF($M6372&lt;=$T$18,U6372,0)</t>
  </si>
  <si>
    <t>="""NAV Direct"",""CRONUS JetCorp USA"",""21"",""1"",""282554"""</t>
  </si>
  <si>
    <t>=E6371</t>
  </si>
  <si>
    <t>=StartDate-$M6373+1</t>
  </si>
  <si>
    <t>=SUM(P6373:T6373)</t>
  </si>
  <si>
    <t>=IF($M6373&gt;=$P$18,U6373,0)</t>
  </si>
  <si>
    <t>=IF(AND($M6373&gt;=$Q$16,$M6373&lt;=$Q$18),U6373,0)</t>
  </si>
  <si>
    <t>=IF(AND($M6373&gt;=$R$16,$M6373&lt;=$R$18),U6373,0)</t>
  </si>
  <si>
    <t>=IF(AND($M6373&gt;=$S$16,$M6373&lt;=$S$18),U6373,0)</t>
  </si>
  <si>
    <t>=IF($M6373&lt;=$T$18,U6373,0)</t>
  </si>
  <si>
    <t>="""NAV Direct"",""CRONUS JetCorp USA"",""21"",""1"",""283235"""</t>
  </si>
  <si>
    <t>=E6372</t>
  </si>
  <si>
    <t>=StartDate-$M6374+1</t>
  </si>
  <si>
    <t>=SUM(P6374:T6374)</t>
  </si>
  <si>
    <t>=IF($M6374&gt;=$P$18,U6374,0)</t>
  </si>
  <si>
    <t>=IF(AND($M6374&gt;=$Q$16,$M6374&lt;=$Q$18),U6374,0)</t>
  </si>
  <si>
    <t>=IF(AND($M6374&gt;=$R$16,$M6374&lt;=$R$18),U6374,0)</t>
  </si>
  <si>
    <t>=IF(AND($M6374&gt;=$S$16,$M6374&lt;=$S$18),U6374,0)</t>
  </si>
  <si>
    <t>=IF($M6374&lt;=$T$18,U6374,0)</t>
  </si>
  <si>
    <t>="""NAV Direct"",""CRONUS JetCorp USA"",""21"",""1"",""285680"""</t>
  </si>
  <si>
    <t>=E6373</t>
  </si>
  <si>
    <t>=StartDate-$M6375+1</t>
  </si>
  <si>
    <t>=SUM(P6375:T6375)</t>
  </si>
  <si>
    <t>=IF($M6375&gt;=$P$18,U6375,0)</t>
  </si>
  <si>
    <t>=IF(AND($M6375&gt;=$Q$16,$M6375&lt;=$Q$18),U6375,0)</t>
  </si>
  <si>
    <t>=IF(AND($M6375&gt;=$R$16,$M6375&lt;=$R$18),U6375,0)</t>
  </si>
  <si>
    <t>=IF(AND($M6375&gt;=$S$16,$M6375&lt;=$S$18),U6375,0)</t>
  </si>
  <si>
    <t>=IF($M6375&lt;=$T$18,U6375,0)</t>
  </si>
  <si>
    <t>="""NAV Direct"",""CRONUS JetCorp USA"",""21"",""1"",""285734"""</t>
  </si>
  <si>
    <t>=E6374</t>
  </si>
  <si>
    <t>=StartDate-$M6376+1</t>
  </si>
  <si>
    <t>=SUM(P6376:T6376)</t>
  </si>
  <si>
    <t>=IF($M6376&gt;=$P$18,U6376,0)</t>
  </si>
  <si>
    <t>=IF(AND($M6376&gt;=$Q$16,$M6376&lt;=$Q$18),U6376,0)</t>
  </si>
  <si>
    <t>=IF(AND($M6376&gt;=$R$16,$M6376&lt;=$R$18),U6376,0)</t>
  </si>
  <si>
    <t>=IF(AND($M6376&gt;=$S$16,$M6376&lt;=$S$18),U6376,0)</t>
  </si>
  <si>
    <t>=IF($M6376&lt;=$T$18,U6376,0)</t>
  </si>
  <si>
    <t>="""NAV Direct"",""CRONUS JetCorp USA"",""21"",""1"",""286040"""</t>
  </si>
  <si>
    <t>=E6375</t>
  </si>
  <si>
    <t>=StartDate-$M6377+1</t>
  </si>
  <si>
    <t>=SUM(P6377:T6377)</t>
  </si>
  <si>
    <t>=IF($M6377&gt;=$P$18,U6377,0)</t>
  </si>
  <si>
    <t>=IF(AND($M6377&gt;=$Q$16,$M6377&lt;=$Q$18),U6377,0)</t>
  </si>
  <si>
    <t>=IF(AND($M6377&gt;=$R$16,$M6377&lt;=$R$18),U6377,0)</t>
  </si>
  <si>
    <t>=IF(AND($M6377&gt;=$S$16,$M6377&lt;=$S$18),U6377,0)</t>
  </si>
  <si>
    <t>=IF($M6377&lt;=$T$18,U6377,0)</t>
  </si>
  <si>
    <t>="""NAV Direct"",""CRONUS JetCorp USA"",""21"",""1"",""286612"""</t>
  </si>
  <si>
    <t>=E6376</t>
  </si>
  <si>
    <t>=StartDate-$M6378+1</t>
  </si>
  <si>
    <t>=SUM(P6378:T6378)</t>
  </si>
  <si>
    <t>=IF($M6378&gt;=$P$18,U6378,0)</t>
  </si>
  <si>
    <t>=IF(AND($M6378&gt;=$Q$16,$M6378&lt;=$Q$18),U6378,0)</t>
  </si>
  <si>
    <t>=IF(AND($M6378&gt;=$R$16,$M6378&lt;=$R$18),U6378,0)</t>
  </si>
  <si>
    <t>=IF(AND($M6378&gt;=$S$16,$M6378&lt;=$S$18),U6378,0)</t>
  </si>
  <si>
    <t>=IF($M6378&lt;=$T$18,U6378,0)</t>
  </si>
  <si>
    <t>="""NAV Direct"",""CRONUS JetCorp USA"",""21"",""1"",""287367"""</t>
  </si>
  <si>
    <t>=E6377</t>
  </si>
  <si>
    <t>=StartDate-$M6379+1</t>
  </si>
  <si>
    <t>=SUM(P6379:T6379)</t>
  </si>
  <si>
    <t>=IF($M6379&gt;=$P$18,U6379,0)</t>
  </si>
  <si>
    <t>=IF(AND($M6379&gt;=$Q$16,$M6379&lt;=$Q$18),U6379,0)</t>
  </si>
  <si>
    <t>=IF(AND($M6379&gt;=$R$16,$M6379&lt;=$R$18),U6379,0)</t>
  </si>
  <si>
    <t>=IF(AND($M6379&gt;=$S$16,$M6379&lt;=$S$18),U6379,0)</t>
  </si>
  <si>
    <t>=IF($M6379&lt;=$T$18,U6379,0)</t>
  </si>
  <si>
    <t>="""NAV Direct"",""CRONUS JetCorp USA"",""21"",""1"",""287460"""</t>
  </si>
  <si>
    <t>=E6378</t>
  </si>
  <si>
    <t>=StartDate-$M6380+1</t>
  </si>
  <si>
    <t>=SUM(P6380:T6380)</t>
  </si>
  <si>
    <t>=IF($M6380&gt;=$P$18,U6380,0)</t>
  </si>
  <si>
    <t>=IF(AND($M6380&gt;=$Q$16,$M6380&lt;=$Q$18),U6380,0)</t>
  </si>
  <si>
    <t>=IF(AND($M6380&gt;=$R$16,$M6380&lt;=$R$18),U6380,0)</t>
  </si>
  <si>
    <t>=IF(AND($M6380&gt;=$S$16,$M6380&lt;=$S$18),U6380,0)</t>
  </si>
  <si>
    <t>=IF($M6380&lt;=$T$18,U6380,0)</t>
  </si>
  <si>
    <t>="""NAV Direct"",""CRONUS JetCorp USA"",""21"",""1"",""287835"""</t>
  </si>
  <si>
    <t>=E6379</t>
  </si>
  <si>
    <t>=StartDate-$M6381+1</t>
  </si>
  <si>
    <t>=SUM(P6381:T6381)</t>
  </si>
  <si>
    <t>=IF($M6381&gt;=$P$18,U6381,0)</t>
  </si>
  <si>
    <t>=IF(AND($M6381&gt;=$Q$16,$M6381&lt;=$Q$18),U6381,0)</t>
  </si>
  <si>
    <t>=IF(AND($M6381&gt;=$R$16,$M6381&lt;=$R$18),U6381,0)</t>
  </si>
  <si>
    <t>=IF(AND($M6381&gt;=$S$16,$M6381&lt;=$S$18),U6381,0)</t>
  </si>
  <si>
    <t>=IF($M6381&lt;=$T$18,U6381,0)</t>
  </si>
  <si>
    <t>="""NAV Direct"",""CRONUS JetCorp USA"",""21"",""1"",""288085"""</t>
  </si>
  <si>
    <t>=E6380</t>
  </si>
  <si>
    <t>=StartDate-$M6382+1</t>
  </si>
  <si>
    <t>=SUM(P6382:T6382)</t>
  </si>
  <si>
    <t>=IF($M6382&gt;=$P$18,U6382,0)</t>
  </si>
  <si>
    <t>=IF(AND($M6382&gt;=$Q$16,$M6382&lt;=$Q$18),U6382,0)</t>
  </si>
  <si>
    <t>=IF(AND($M6382&gt;=$R$16,$M6382&lt;=$R$18),U6382,0)</t>
  </si>
  <si>
    <t>=IF(AND($M6382&gt;=$S$16,$M6382&lt;=$S$18),U6382,0)</t>
  </si>
  <si>
    <t>=IF($M6382&lt;=$T$18,U6382,0)</t>
  </si>
  <si>
    <t>="""NAV Direct"",""CRONUS JetCorp USA"",""21"",""1"",""288254"""</t>
  </si>
  <si>
    <t>=E6381</t>
  </si>
  <si>
    <t>=StartDate-$M6383+1</t>
  </si>
  <si>
    <t>=SUM(P6383:T6383)</t>
  </si>
  <si>
    <t>=IF($M6383&gt;=$P$18,U6383,0)</t>
  </si>
  <si>
    <t>=IF(AND($M6383&gt;=$Q$16,$M6383&lt;=$Q$18),U6383,0)</t>
  </si>
  <si>
    <t>=IF(AND($M6383&gt;=$R$16,$M6383&lt;=$R$18),U6383,0)</t>
  </si>
  <si>
    <t>=IF(AND($M6383&gt;=$S$16,$M6383&lt;=$S$18),U6383,0)</t>
  </si>
  <si>
    <t>=IF($M6383&lt;=$T$18,U6383,0)</t>
  </si>
  <si>
    <t>="""NAV Direct"",""CRONUS JetCorp USA"",""21"",""1"",""289103"""</t>
  </si>
  <si>
    <t>=E6382</t>
  </si>
  <si>
    <t>=StartDate-$M6384+1</t>
  </si>
  <si>
    <t>=SUM(P6384:T6384)</t>
  </si>
  <si>
    <t>=IF($M6384&gt;=$P$18,U6384,0)</t>
  </si>
  <si>
    <t>=IF(AND($M6384&gt;=$Q$16,$M6384&lt;=$Q$18),U6384,0)</t>
  </si>
  <si>
    <t>=IF(AND($M6384&gt;=$R$16,$M6384&lt;=$R$18),U6384,0)</t>
  </si>
  <si>
    <t>=IF(AND($M6384&gt;=$S$16,$M6384&lt;=$S$18),U6384,0)</t>
  </si>
  <si>
    <t>=IF($M6384&lt;=$T$18,U6384,0)</t>
  </si>
  <si>
    <t>="""NAV Direct"",""CRONUS JetCorp USA"",""21"",""1"",""289449"""</t>
  </si>
  <si>
    <t>=E6383</t>
  </si>
  <si>
    <t>=StartDate-$M6385+1</t>
  </si>
  <si>
    <t>=SUM(P6385:T6385)</t>
  </si>
  <si>
    <t>=IF($M6385&gt;=$P$18,U6385,0)</t>
  </si>
  <si>
    <t>=IF(AND($M6385&gt;=$Q$16,$M6385&lt;=$Q$18),U6385,0)</t>
  </si>
  <si>
    <t>=IF(AND($M6385&gt;=$R$16,$M6385&lt;=$R$18),U6385,0)</t>
  </si>
  <si>
    <t>=IF(AND($M6385&gt;=$S$16,$M6385&lt;=$S$18),U6385,0)</t>
  </si>
  <si>
    <t>=IF($M6385&lt;=$T$18,U6385,0)</t>
  </si>
  <si>
    <t>="""NAV Direct"",""CRONUS JetCorp USA"",""21"",""1"",""289979"""</t>
  </si>
  <si>
    <t>=E6384</t>
  </si>
  <si>
    <t>=StartDate-$M6386+1</t>
  </si>
  <si>
    <t>=SUM(P6386:T6386)</t>
  </si>
  <si>
    <t>=IF($M6386&gt;=$P$18,U6386,0)</t>
  </si>
  <si>
    <t>=IF(AND($M6386&gt;=$Q$16,$M6386&lt;=$Q$18),U6386,0)</t>
  </si>
  <si>
    <t>=IF(AND($M6386&gt;=$R$16,$M6386&lt;=$R$18),U6386,0)</t>
  </si>
  <si>
    <t>=IF(AND($M6386&gt;=$S$16,$M6386&lt;=$S$18),U6386,0)</t>
  </si>
  <si>
    <t>=IF($M6386&lt;=$T$18,U6386,0)</t>
  </si>
  <si>
    <t>="""NAV Direct"",""CRONUS JetCorp USA"",""21"",""1"",""290316"""</t>
  </si>
  <si>
    <t>=E6385</t>
  </si>
  <si>
    <t>=StartDate-$M6387+1</t>
  </si>
  <si>
    <t>=SUM(P6387:T6387)</t>
  </si>
  <si>
    <t>=IF($M6387&gt;=$P$18,U6387,0)</t>
  </si>
  <si>
    <t>=IF(AND($M6387&gt;=$Q$16,$M6387&lt;=$Q$18),U6387,0)</t>
  </si>
  <si>
    <t>=IF(AND($M6387&gt;=$R$16,$M6387&lt;=$R$18),U6387,0)</t>
  </si>
  <si>
    <t>=IF(AND($M6387&gt;=$S$16,$M6387&lt;=$S$18),U6387,0)</t>
  </si>
  <si>
    <t>=IF($M6387&lt;=$T$18,U6387,0)</t>
  </si>
  <si>
    <t>="""NAV Direct"",""CRONUS JetCorp USA"",""21"",""1"",""291086"""</t>
  </si>
  <si>
    <t>=E6386</t>
  </si>
  <si>
    <t>=StartDate-$M6388+1</t>
  </si>
  <si>
    <t>=SUM(P6388:T6388)</t>
  </si>
  <si>
    <t>=IF($M6388&gt;=$P$18,U6388,0)</t>
  </si>
  <si>
    <t>=IF(AND($M6388&gt;=$Q$16,$M6388&lt;=$Q$18),U6388,0)</t>
  </si>
  <si>
    <t>=IF(AND($M6388&gt;=$R$16,$M6388&lt;=$R$18),U6388,0)</t>
  </si>
  <si>
    <t>=IF(AND($M6388&gt;=$S$16,$M6388&lt;=$S$18),U6388,0)</t>
  </si>
  <si>
    <t>=IF($M6388&lt;=$T$18,U6388,0)</t>
  </si>
  <si>
    <t>="""NAV Direct"",""CRONUS JetCorp USA"",""21"",""1"",""291333"""</t>
  </si>
  <si>
    <t>=E6387</t>
  </si>
  <si>
    <t>=StartDate-$M6389+1</t>
  </si>
  <si>
    <t>=SUM(P6389:T6389)</t>
  </si>
  <si>
    <t>=IF($M6389&gt;=$P$18,U6389,0)</t>
  </si>
  <si>
    <t>=IF(AND($M6389&gt;=$Q$16,$M6389&lt;=$Q$18),U6389,0)</t>
  </si>
  <si>
    <t>=IF(AND($M6389&gt;=$R$16,$M6389&lt;=$R$18),U6389,0)</t>
  </si>
  <si>
    <t>=IF(AND($M6389&gt;=$S$16,$M6389&lt;=$S$18),U6389,0)</t>
  </si>
  <si>
    <t>=IF($M6389&lt;=$T$18,U6389,0)</t>
  </si>
  <si>
    <t>="""NAV Direct"",""CRONUS JetCorp USA"",""21"",""1"",""293282"""</t>
  </si>
  <si>
    <t>=E6388</t>
  </si>
  <si>
    <t>=StartDate-$M6390+1</t>
  </si>
  <si>
    <t>=SUM(P6390:T6390)</t>
  </si>
  <si>
    <t>=IF($M6390&gt;=$P$18,U6390,0)</t>
  </si>
  <si>
    <t>=IF(AND($M6390&gt;=$Q$16,$M6390&lt;=$Q$18),U6390,0)</t>
  </si>
  <si>
    <t>=IF(AND($M6390&gt;=$R$16,$M6390&lt;=$R$18),U6390,0)</t>
  </si>
  <si>
    <t>=IF(AND($M6390&gt;=$S$16,$M6390&lt;=$S$18),U6390,0)</t>
  </si>
  <si>
    <t>=IF($M6390&lt;=$T$18,U6390,0)</t>
  </si>
  <si>
    <t>="""NAV Direct"",""CRONUS JetCorp USA"",""21"",""1"",""293701"""</t>
  </si>
  <si>
    <t>=E6389</t>
  </si>
  <si>
    <t>=StartDate-$M6391+1</t>
  </si>
  <si>
    <t>=SUM(P6391:T6391)</t>
  </si>
  <si>
    <t>=IF($M6391&gt;=$P$18,U6391,0)</t>
  </si>
  <si>
    <t>=IF(AND($M6391&gt;=$Q$16,$M6391&lt;=$Q$18),U6391,0)</t>
  </si>
  <si>
    <t>=IF(AND($M6391&gt;=$R$16,$M6391&lt;=$R$18),U6391,0)</t>
  </si>
  <si>
    <t>=IF(AND($M6391&gt;=$S$16,$M6391&lt;=$S$18),U6391,0)</t>
  </si>
  <si>
    <t>=IF($M6391&lt;=$T$18,U6391,0)</t>
  </si>
  <si>
    <t>="""NAV Direct"",""CRONUS JetCorp USA"",""21"",""1"",""294258"""</t>
  </si>
  <si>
    <t>=E6390</t>
  </si>
  <si>
    <t>=StartDate-$M6392+1</t>
  </si>
  <si>
    <t>=SUM(P6392:T6392)</t>
  </si>
  <si>
    <t>=IF($M6392&gt;=$P$18,U6392,0)</t>
  </si>
  <si>
    <t>=IF(AND($M6392&gt;=$Q$16,$M6392&lt;=$Q$18),U6392,0)</t>
  </si>
  <si>
    <t>=IF(AND($M6392&gt;=$R$16,$M6392&lt;=$R$18),U6392,0)</t>
  </si>
  <si>
    <t>=IF(AND($M6392&gt;=$S$16,$M6392&lt;=$S$18),U6392,0)</t>
  </si>
  <si>
    <t>=IF($M6392&lt;=$T$18,U6392,0)</t>
  </si>
  <si>
    <t>="""NAV Direct"",""CRONUS JetCorp USA"",""21"",""1"",""296974"""</t>
  </si>
  <si>
    <t>=E6391</t>
  </si>
  <si>
    <t>=StartDate-$M6393+1</t>
  </si>
  <si>
    <t>=SUM(P6393:T6393)</t>
  </si>
  <si>
    <t>=IF($M6393&gt;=$P$18,U6393,0)</t>
  </si>
  <si>
    <t>=IF(AND($M6393&gt;=$Q$16,$M6393&lt;=$Q$18),U6393,0)</t>
  </si>
  <si>
    <t>=IF(AND($M6393&gt;=$R$16,$M6393&lt;=$R$18),U6393,0)</t>
  </si>
  <si>
    <t>=IF(AND($M6393&gt;=$S$16,$M6393&lt;=$S$18),U6393,0)</t>
  </si>
  <si>
    <t>=IF($M6393&lt;=$T$18,U6393,0)</t>
  </si>
  <si>
    <t>="""NAV Direct"",""CRONUS JetCorp USA"",""21"",""1"",""298240"""</t>
  </si>
  <si>
    <t>=E6392</t>
  </si>
  <si>
    <t>=StartDate-$M6394+1</t>
  </si>
  <si>
    <t>=SUM(P6394:T6394)</t>
  </si>
  <si>
    <t>=IF($M6394&gt;=$P$18,U6394,0)</t>
  </si>
  <si>
    <t>=IF(AND($M6394&gt;=$Q$16,$M6394&lt;=$Q$18),U6394,0)</t>
  </si>
  <si>
    <t>=IF(AND($M6394&gt;=$R$16,$M6394&lt;=$R$18),U6394,0)</t>
  </si>
  <si>
    <t>=IF(AND($M6394&gt;=$S$16,$M6394&lt;=$S$18),U6394,0)</t>
  </si>
  <si>
    <t>=IF($M6394&lt;=$T$18,U6394,0)</t>
  </si>
  <si>
    <t>="""NAV Direct"",""CRONUS JetCorp USA"",""21"",""1"",""299867"""</t>
  </si>
  <si>
    <t>=E6393</t>
  </si>
  <si>
    <t>=StartDate-$M6395+1</t>
  </si>
  <si>
    <t>=SUM(P6395:T6395)</t>
  </si>
  <si>
    <t>=IF($M6395&gt;=$P$18,U6395,0)</t>
  </si>
  <si>
    <t>=IF(AND($M6395&gt;=$Q$16,$M6395&lt;=$Q$18),U6395,0)</t>
  </si>
  <si>
    <t>=IF(AND($M6395&gt;=$R$16,$M6395&lt;=$R$18),U6395,0)</t>
  </si>
  <si>
    <t>=IF(AND($M6395&gt;=$S$16,$M6395&lt;=$S$18),U6395,0)</t>
  </si>
  <si>
    <t>=IF($M6395&lt;=$T$18,U6395,0)</t>
  </si>
  <si>
    <t>="""NAV Direct"",""CRONUS JetCorp USA"",""21"",""1"",""300890"""</t>
  </si>
  <si>
    <t>=E6394</t>
  </si>
  <si>
    <t>=StartDate-$M6396+1</t>
  </si>
  <si>
    <t>=SUM(P6396:T6396)</t>
  </si>
  <si>
    <t>=IF($M6396&gt;=$P$18,U6396,0)</t>
  </si>
  <si>
    <t>=IF(AND($M6396&gt;=$Q$16,$M6396&lt;=$Q$18),U6396,0)</t>
  </si>
  <si>
    <t>=IF(AND($M6396&gt;=$R$16,$M6396&lt;=$R$18),U6396,0)</t>
  </si>
  <si>
    <t>=IF(AND($M6396&gt;=$S$16,$M6396&lt;=$S$18),U6396,0)</t>
  </si>
  <si>
    <t>=IF($M6396&lt;=$T$18,U6396,0)</t>
  </si>
  <si>
    <t>="""NAV Direct"",""CRONUS JetCorp USA"",""21"",""1"",""301017"""</t>
  </si>
  <si>
    <t>=E6395</t>
  </si>
  <si>
    <t>=StartDate-$M6397+1</t>
  </si>
  <si>
    <t>=SUM(P6397:T6397)</t>
  </si>
  <si>
    <t>=IF($M6397&gt;=$P$18,U6397,0)</t>
  </si>
  <si>
    <t>=IF(AND($M6397&gt;=$Q$16,$M6397&lt;=$Q$18),U6397,0)</t>
  </si>
  <si>
    <t>=IF(AND($M6397&gt;=$R$16,$M6397&lt;=$R$18),U6397,0)</t>
  </si>
  <si>
    <t>=IF(AND($M6397&gt;=$S$16,$M6397&lt;=$S$18),U6397,0)</t>
  </si>
  <si>
    <t>=IF($M6397&lt;=$T$18,U6397,0)</t>
  </si>
  <si>
    <t>="""NAV Direct"",""CRONUS JetCorp USA"",""21"",""1"",""301050"""</t>
  </si>
  <si>
    <t>=E6396</t>
  </si>
  <si>
    <t>=StartDate-$M6398+1</t>
  </si>
  <si>
    <t>=SUM(P6398:T6398)</t>
  </si>
  <si>
    <t>=IF($M6398&gt;=$P$18,U6398,0)</t>
  </si>
  <si>
    <t>=IF(AND($M6398&gt;=$Q$16,$M6398&lt;=$Q$18),U6398,0)</t>
  </si>
  <si>
    <t>=IF(AND($M6398&gt;=$R$16,$M6398&lt;=$R$18),U6398,0)</t>
  </si>
  <si>
    <t>=IF(AND($M6398&gt;=$S$16,$M6398&lt;=$S$18),U6398,0)</t>
  </si>
  <si>
    <t>=IF($M6398&lt;=$T$18,U6398,0)</t>
  </si>
  <si>
    <t>="""NAV Direct"",""CRONUS JetCorp USA"",""21"",""1"",""301081"""</t>
  </si>
  <si>
    <t>=E6397</t>
  </si>
  <si>
    <t>=StartDate-$M6399+1</t>
  </si>
  <si>
    <t>=SUM(P6399:T6399)</t>
  </si>
  <si>
    <t>=IF($M6399&gt;=$P$18,U6399,0)</t>
  </si>
  <si>
    <t>=IF(AND($M6399&gt;=$Q$16,$M6399&lt;=$Q$18),U6399,0)</t>
  </si>
  <si>
    <t>=IF(AND($M6399&gt;=$R$16,$M6399&lt;=$R$18),U6399,0)</t>
  </si>
  <si>
    <t>=IF(AND($M6399&gt;=$S$16,$M6399&lt;=$S$18),U6399,0)</t>
  </si>
  <si>
    <t>=IF($M6399&lt;=$T$18,U6399,0)</t>
  </si>
  <si>
    <t>="""NAV Direct"",""CRONUS JetCorp USA"",""21"",""1"",""303434"""</t>
  </si>
  <si>
    <t>=E6398</t>
  </si>
  <si>
    <t>=StartDate-$M6400+1</t>
  </si>
  <si>
    <t>=SUM(P6400:T6400)</t>
  </si>
  <si>
    <t>=IF($M6400&gt;=$P$18,U6400,0)</t>
  </si>
  <si>
    <t>=IF(AND($M6400&gt;=$Q$16,$M6400&lt;=$Q$18),U6400,0)</t>
  </si>
  <si>
    <t>=IF(AND($M6400&gt;=$R$16,$M6400&lt;=$R$18),U6400,0)</t>
  </si>
  <si>
    <t>=IF(AND($M6400&gt;=$S$16,$M6400&lt;=$S$18),U6400,0)</t>
  </si>
  <si>
    <t>=IF($M6400&lt;=$T$18,U6400,0)</t>
  </si>
  <si>
    <t>="""NAV Direct"",""CRONUS JetCorp USA"",""18"",""1"",""C100524"""</t>
  </si>
  <si>
    <t>=H6403</t>
  </si>
  <si>
    <t>=NF($C6403,"1 No.")</t>
  </si>
  <si>
    <t>=NF($C6403,"1 No.")&amp;"  -  "&amp;NF($C6403,"2 Name")</t>
  </si>
  <si>
    <t>=IFERROR(O6403/NF(C6403,"Credit Limit (LCY)"),"")</t>
  </si>
  <si>
    <t>=SUBTOTAL(3,L6404:L6444)</t>
  </si>
  <si>
    <t>=SUBTOTAL(9,O6404:O6444)</t>
  </si>
  <si>
    <t>=SUBTOTAL(9,P6404:P6444)</t>
  </si>
  <si>
    <t>=SUBTOTAL(9,Q6404:Q6444)</t>
  </si>
  <si>
    <t>=SUBTOTAL(9,R6404:R6444)</t>
  </si>
  <si>
    <t>=SUBTOTAL(9,S6404:S6444)</t>
  </si>
  <si>
    <t>=SUBTOTAL(9,T6404:T6444)</t>
  </si>
  <si>
    <t>=C6403</t>
  </si>
  <si>
    <t>=E6403</t>
  </si>
  <si>
    <t>="Contact: "&amp;NF($C6404,"8 Contact")</t>
  </si>
  <si>
    <t>=C6404</t>
  </si>
  <si>
    <t>=E6404</t>
  </si>
  <si>
    <t>=NF($C6405,"102 E-Mail")</t>
  </si>
  <si>
    <t>=NL("Rows","21 Cust. Ledger Entry",,"3 Customer No.","@@"&amp;$E6407,"16 Remaining Amt. (LCY)","&lt;&gt;0")</t>
  </si>
  <si>
    <t>=E6405</t>
  </si>
  <si>
    <t>=StartDate-$M6407+1</t>
  </si>
  <si>
    <t>=SUM(P6407:T6407)</t>
  </si>
  <si>
    <t>=IF($M6407&gt;=$P$18,U6407,0)</t>
  </si>
  <si>
    <t>=IF(AND($M6407&gt;=$Q$16,$M6407&lt;=$Q$18),U6407,0)</t>
  </si>
  <si>
    <t>=IF(AND($M6407&gt;=$R$16,$M6407&lt;=$R$18),U6407,0)</t>
  </si>
  <si>
    <t>=IF(AND($M6407&gt;=$S$16,$M6407&lt;=$S$18),U6407,0)</t>
  </si>
  <si>
    <t>=IF($M6407&lt;=$T$18,U6407,0)</t>
  </si>
  <si>
    <t>="""NAV Direct"",""CRONUS JetCorp USA"",""21"",""1"",""281030"""</t>
  </si>
  <si>
    <t>=E6406</t>
  </si>
  <si>
    <t>=StartDate-$M6408+1</t>
  </si>
  <si>
    <t>=SUM(P6408:T6408)</t>
  </si>
  <si>
    <t>=IF($M6408&gt;=$P$18,U6408,0)</t>
  </si>
  <si>
    <t>=IF(AND($M6408&gt;=$Q$16,$M6408&lt;=$Q$18),U6408,0)</t>
  </si>
  <si>
    <t>=IF(AND($M6408&gt;=$R$16,$M6408&lt;=$R$18),U6408,0)</t>
  </si>
  <si>
    <t>=IF(AND($M6408&gt;=$S$16,$M6408&lt;=$S$18),U6408,0)</t>
  </si>
  <si>
    <t>=IF($M6408&lt;=$T$18,U6408,0)</t>
  </si>
  <si>
    <t>="""NAV Direct"",""CRONUS JetCorp USA"",""21"",""1"",""281418"""</t>
  </si>
  <si>
    <t>=E6407</t>
  </si>
  <si>
    <t>=StartDate-$M6409+1</t>
  </si>
  <si>
    <t>=SUM(P6409:T6409)</t>
  </si>
  <si>
    <t>=IF($M6409&gt;=$P$18,U6409,0)</t>
  </si>
  <si>
    <t>=IF(AND($M6409&gt;=$Q$16,$M6409&lt;=$Q$18),U6409,0)</t>
  </si>
  <si>
    <t>=IF(AND($M6409&gt;=$R$16,$M6409&lt;=$R$18),U6409,0)</t>
  </si>
  <si>
    <t>=IF(AND($M6409&gt;=$S$16,$M6409&lt;=$S$18),U6409,0)</t>
  </si>
  <si>
    <t>=IF($M6409&lt;=$T$18,U6409,0)</t>
  </si>
  <si>
    <t>="""NAV Direct"",""CRONUS JetCorp USA"",""21"",""1"",""281650"""</t>
  </si>
  <si>
    <t>=E6408</t>
  </si>
  <si>
    <t>=StartDate-$M6410+1</t>
  </si>
  <si>
    <t>=SUM(P6410:T6410)</t>
  </si>
  <si>
    <t>=IF($M6410&gt;=$P$18,U6410,0)</t>
  </si>
  <si>
    <t>=IF(AND($M6410&gt;=$Q$16,$M6410&lt;=$Q$18),U6410,0)</t>
  </si>
  <si>
    <t>=IF(AND($M6410&gt;=$R$16,$M6410&lt;=$R$18),U6410,0)</t>
  </si>
  <si>
    <t>=IF(AND($M6410&gt;=$S$16,$M6410&lt;=$S$18),U6410,0)</t>
  </si>
  <si>
    <t>=IF($M6410&lt;=$T$18,U6410,0)</t>
  </si>
  <si>
    <t>="""NAV Direct"",""CRONUS JetCorp USA"",""21"",""1"",""281885"""</t>
  </si>
  <si>
    <t>=E6409</t>
  </si>
  <si>
    <t>=StartDate-$M6411+1</t>
  </si>
  <si>
    <t>=SUM(P6411:T6411)</t>
  </si>
  <si>
    <t>=IF($M6411&gt;=$P$18,U6411,0)</t>
  </si>
  <si>
    <t>=IF(AND($M6411&gt;=$Q$16,$M6411&lt;=$Q$18),U6411,0)</t>
  </si>
  <si>
    <t>=IF(AND($M6411&gt;=$R$16,$M6411&lt;=$R$18),U6411,0)</t>
  </si>
  <si>
    <t>=IF(AND($M6411&gt;=$S$16,$M6411&lt;=$S$18),U6411,0)</t>
  </si>
  <si>
    <t>=IF($M6411&lt;=$T$18,U6411,0)</t>
  </si>
  <si>
    <t>="""NAV Direct"",""CRONUS JetCorp USA"",""21"",""1"",""283147"""</t>
  </si>
  <si>
    <t>=E6410</t>
  </si>
  <si>
    <t>=StartDate-$M6412+1</t>
  </si>
  <si>
    <t>=SUM(P6412:T6412)</t>
  </si>
  <si>
    <t>=IF($M6412&gt;=$P$18,U6412,0)</t>
  </si>
  <si>
    <t>=IF(AND($M6412&gt;=$Q$16,$M6412&lt;=$Q$18),U6412,0)</t>
  </si>
  <si>
    <t>=IF(AND($M6412&gt;=$R$16,$M6412&lt;=$R$18),U6412,0)</t>
  </si>
  <si>
    <t>=IF(AND($M6412&gt;=$S$16,$M6412&lt;=$S$18),U6412,0)</t>
  </si>
  <si>
    <t>=IF($M6412&lt;=$T$18,U6412,0)</t>
  </si>
  <si>
    <t>="""NAV Direct"",""CRONUS JetCorp USA"",""21"",""1"",""283214"""</t>
  </si>
  <si>
    <t>=E6411</t>
  </si>
  <si>
    <t>=StartDate-$M6413+1</t>
  </si>
  <si>
    <t>=SUM(P6413:T6413)</t>
  </si>
  <si>
    <t>=IF($M6413&gt;=$P$18,U6413,0)</t>
  </si>
  <si>
    <t>=IF(AND($M6413&gt;=$Q$16,$M6413&lt;=$Q$18),U6413,0)</t>
  </si>
  <si>
    <t>=IF(AND($M6413&gt;=$R$16,$M6413&lt;=$R$18),U6413,0)</t>
  </si>
  <si>
    <t>=IF(AND($M6413&gt;=$S$16,$M6413&lt;=$S$18),U6413,0)</t>
  </si>
  <si>
    <t>=IF($M6413&lt;=$T$18,U6413,0)</t>
  </si>
  <si>
    <t>="""NAV Direct"",""CRONUS JetCorp USA"",""21"",""1"",""284495"""</t>
  </si>
  <si>
    <t>=E6412</t>
  </si>
  <si>
    <t>=StartDate-$M6414+1</t>
  </si>
  <si>
    <t>=SUM(P6414:T6414)</t>
  </si>
  <si>
    <t>=IF($M6414&gt;=$P$18,U6414,0)</t>
  </si>
  <si>
    <t>=IF(AND($M6414&gt;=$Q$16,$M6414&lt;=$Q$18),U6414,0)</t>
  </si>
  <si>
    <t>=IF(AND($M6414&gt;=$R$16,$M6414&lt;=$R$18),U6414,0)</t>
  </si>
  <si>
    <t>=IF(AND($M6414&gt;=$S$16,$M6414&lt;=$S$18),U6414,0)</t>
  </si>
  <si>
    <t>=IF($M6414&lt;=$T$18,U6414,0)</t>
  </si>
  <si>
    <t>="""NAV Direct"",""CRONUS JetCorp USA"",""21"",""1"",""284594"""</t>
  </si>
  <si>
    <t>=E6413</t>
  </si>
  <si>
    <t>=StartDate-$M6415+1</t>
  </si>
  <si>
    <t>=SUM(P6415:T6415)</t>
  </si>
  <si>
    <t>=IF($M6415&gt;=$P$18,U6415,0)</t>
  </si>
  <si>
    <t>=IF(AND($M6415&gt;=$Q$16,$M6415&lt;=$Q$18),U6415,0)</t>
  </si>
  <si>
    <t>=IF(AND($M6415&gt;=$R$16,$M6415&lt;=$R$18),U6415,0)</t>
  </si>
  <si>
    <t>=IF(AND($M6415&gt;=$S$16,$M6415&lt;=$S$18),U6415,0)</t>
  </si>
  <si>
    <t>=IF($M6415&lt;=$T$18,U6415,0)</t>
  </si>
  <si>
    <t>="""NAV Direct"",""CRONUS JetCorp USA"",""21"",""1"",""284652"""</t>
  </si>
  <si>
    <t>=E6414</t>
  </si>
  <si>
    <t>=StartDate-$M6416+1</t>
  </si>
  <si>
    <t>=SUM(P6416:T6416)</t>
  </si>
  <si>
    <t>=IF($M6416&gt;=$P$18,U6416,0)</t>
  </si>
  <si>
    <t>=IF(AND($M6416&gt;=$Q$16,$M6416&lt;=$Q$18),U6416,0)</t>
  </si>
  <si>
    <t>=IF(AND($M6416&gt;=$R$16,$M6416&lt;=$R$18),U6416,0)</t>
  </si>
  <si>
    <t>=IF(AND($M6416&gt;=$S$16,$M6416&lt;=$S$18),U6416,0)</t>
  </si>
  <si>
    <t>=IF($M6416&lt;=$T$18,U6416,0)</t>
  </si>
  <si>
    <t>="""NAV Direct"",""CRONUS JetCorp USA"",""21"",""1"",""284817"""</t>
  </si>
  <si>
    <t>=E6415</t>
  </si>
  <si>
    <t>=StartDate-$M6417+1</t>
  </si>
  <si>
    <t>=SUM(P6417:T6417)</t>
  </si>
  <si>
    <t>=IF($M6417&gt;=$P$18,U6417,0)</t>
  </si>
  <si>
    <t>=IF(AND($M6417&gt;=$Q$16,$M6417&lt;=$Q$18),U6417,0)</t>
  </si>
  <si>
    <t>=IF(AND($M6417&gt;=$R$16,$M6417&lt;=$R$18),U6417,0)</t>
  </si>
  <si>
    <t>=IF(AND($M6417&gt;=$S$16,$M6417&lt;=$S$18),U6417,0)</t>
  </si>
  <si>
    <t>=IF($M6417&lt;=$T$18,U6417,0)</t>
  </si>
  <si>
    <t>="""NAV Direct"",""CRONUS JetCorp USA"",""21"",""1"",""284937"""</t>
  </si>
  <si>
    <t>=E6416</t>
  </si>
  <si>
    <t>=StartDate-$M6418+1</t>
  </si>
  <si>
    <t>=SUM(P6418:T6418)</t>
  </si>
  <si>
    <t>=IF($M6418&gt;=$P$18,U6418,0)</t>
  </si>
  <si>
    <t>=IF(AND($M6418&gt;=$Q$16,$M6418&lt;=$Q$18),U6418,0)</t>
  </si>
  <si>
    <t>=IF(AND($M6418&gt;=$R$16,$M6418&lt;=$R$18),U6418,0)</t>
  </si>
  <si>
    <t>=IF(AND($M6418&gt;=$S$16,$M6418&lt;=$S$18),U6418,0)</t>
  </si>
  <si>
    <t>=IF($M6418&lt;=$T$18,U6418,0)</t>
  </si>
  <si>
    <t>="""NAV Direct"",""CRONUS JetCorp USA"",""21"",""1"",""285011"""</t>
  </si>
  <si>
    <t>=E6417</t>
  </si>
  <si>
    <t>=StartDate-$M6419+1</t>
  </si>
  <si>
    <t>=SUM(P6419:T6419)</t>
  </si>
  <si>
    <t>=IF($M6419&gt;=$P$18,U6419,0)</t>
  </si>
  <si>
    <t>=IF(AND($M6419&gt;=$Q$16,$M6419&lt;=$Q$18),U6419,0)</t>
  </si>
  <si>
    <t>=IF(AND($M6419&gt;=$R$16,$M6419&lt;=$R$18),U6419,0)</t>
  </si>
  <si>
    <t>=IF(AND($M6419&gt;=$S$16,$M6419&lt;=$S$18),U6419,0)</t>
  </si>
  <si>
    <t>=IF($M6419&lt;=$T$18,U6419,0)</t>
  </si>
  <si>
    <t>="""NAV Direct"",""CRONUS JetCorp USA"",""21"",""1"",""285177"""</t>
  </si>
  <si>
    <t>=E6418</t>
  </si>
  <si>
    <t>=StartDate-$M6420+1</t>
  </si>
  <si>
    <t>=SUM(P6420:T6420)</t>
  </si>
  <si>
    <t>=IF($M6420&gt;=$P$18,U6420,0)</t>
  </si>
  <si>
    <t>=IF(AND($M6420&gt;=$Q$16,$M6420&lt;=$Q$18),U6420,0)</t>
  </si>
  <si>
    <t>=IF(AND($M6420&gt;=$R$16,$M6420&lt;=$R$18),U6420,0)</t>
  </si>
  <si>
    <t>=IF(AND($M6420&gt;=$S$16,$M6420&lt;=$S$18),U6420,0)</t>
  </si>
  <si>
    <t>=IF($M6420&lt;=$T$18,U6420,0)</t>
  </si>
  <si>
    <t>="""NAV Direct"",""CRONUS JetCorp USA"",""21"",""1"",""285283"""</t>
  </si>
  <si>
    <t>=E6419</t>
  </si>
  <si>
    <t>=StartDate-$M6421+1</t>
  </si>
  <si>
    <t>=SUM(P6421:T6421)</t>
  </si>
  <si>
    <t>=IF($M6421&gt;=$P$18,U6421,0)</t>
  </si>
  <si>
    <t>=IF(AND($M6421&gt;=$Q$16,$M6421&lt;=$Q$18),U6421,0)</t>
  </si>
  <si>
    <t>=IF(AND($M6421&gt;=$R$16,$M6421&lt;=$R$18),U6421,0)</t>
  </si>
  <si>
    <t>=IF(AND($M6421&gt;=$S$16,$M6421&lt;=$S$18),U6421,0)</t>
  </si>
  <si>
    <t>=IF($M6421&lt;=$T$18,U6421,0)</t>
  </si>
  <si>
    <t>="""NAV Direct"",""CRONUS JetCorp USA"",""21"",""1"",""285526"""</t>
  </si>
  <si>
    <t>=E6420</t>
  </si>
  <si>
    <t>=StartDate-$M6422+1</t>
  </si>
  <si>
    <t>=SUM(P6422:T6422)</t>
  </si>
  <si>
    <t>=IF($M6422&gt;=$P$18,U6422,0)</t>
  </si>
  <si>
    <t>=IF(AND($M6422&gt;=$Q$16,$M6422&lt;=$Q$18),U6422,0)</t>
  </si>
  <si>
    <t>=IF(AND($M6422&gt;=$R$16,$M6422&lt;=$R$18),U6422,0)</t>
  </si>
  <si>
    <t>=IF(AND($M6422&gt;=$S$16,$M6422&lt;=$S$18),U6422,0)</t>
  </si>
  <si>
    <t>=IF($M6422&lt;=$T$18,U6422,0)</t>
  </si>
  <si>
    <t>="""NAV Direct"",""CRONUS JetCorp USA"",""21"",""1"",""285788"""</t>
  </si>
  <si>
    <t>=E6421</t>
  </si>
  <si>
    <t>=StartDate-$M6423+1</t>
  </si>
  <si>
    <t>=SUM(P6423:T6423)</t>
  </si>
  <si>
    <t>=IF($M6423&gt;=$P$18,U6423,0)</t>
  </si>
  <si>
    <t>=IF(AND($M6423&gt;=$Q$16,$M6423&lt;=$Q$18),U6423,0)</t>
  </si>
  <si>
    <t>=IF(AND($M6423&gt;=$R$16,$M6423&lt;=$R$18),U6423,0)</t>
  </si>
  <si>
    <t>=IF(AND($M6423&gt;=$S$16,$M6423&lt;=$S$18),U6423,0)</t>
  </si>
  <si>
    <t>=IF($M6423&lt;=$T$18,U6423,0)</t>
  </si>
  <si>
    <t>="""NAV Direct"",""CRONUS JetCorp USA"",""21"",""1"",""286104"""</t>
  </si>
  <si>
    <t>=E6422</t>
  </si>
  <si>
    <t>=StartDate-$M6424+1</t>
  </si>
  <si>
    <t>=SUM(P6424:T6424)</t>
  </si>
  <si>
    <t>=IF($M6424&gt;=$P$18,U6424,0)</t>
  </si>
  <si>
    <t>=IF(AND($M6424&gt;=$Q$16,$M6424&lt;=$Q$18),U6424,0)</t>
  </si>
  <si>
    <t>=IF(AND($M6424&gt;=$R$16,$M6424&lt;=$R$18),U6424,0)</t>
  </si>
  <si>
    <t>=IF(AND($M6424&gt;=$S$16,$M6424&lt;=$S$18),U6424,0)</t>
  </si>
  <si>
    <t>=IF($M6424&lt;=$T$18,U6424,0)</t>
  </si>
  <si>
    <t>="""NAV Direct"",""CRONUS JetCorp USA"",""21"",""1"",""286799"""</t>
  </si>
  <si>
    <t>=E6423</t>
  </si>
  <si>
    <t>=StartDate-$M6425+1</t>
  </si>
  <si>
    <t>=SUM(P6425:T6425)</t>
  </si>
  <si>
    <t>=IF($M6425&gt;=$P$18,U6425,0)</t>
  </si>
  <si>
    <t>=IF(AND($M6425&gt;=$Q$16,$M6425&lt;=$Q$18),U6425,0)</t>
  </si>
  <si>
    <t>=IF(AND($M6425&gt;=$R$16,$M6425&lt;=$R$18),U6425,0)</t>
  </si>
  <si>
    <t>=IF(AND($M6425&gt;=$S$16,$M6425&lt;=$S$18),U6425,0)</t>
  </si>
  <si>
    <t>=IF($M6425&lt;=$T$18,U6425,0)</t>
  </si>
  <si>
    <t>="""NAV Direct"",""CRONUS JetCorp USA"",""21"",""1"",""288661"""</t>
  </si>
  <si>
    <t>=E6424</t>
  </si>
  <si>
    <t>=StartDate-$M6426+1</t>
  </si>
  <si>
    <t>=SUM(P6426:T6426)</t>
  </si>
  <si>
    <t>=IF($M6426&gt;=$P$18,U6426,0)</t>
  </si>
  <si>
    <t>=IF(AND($M6426&gt;=$Q$16,$M6426&lt;=$Q$18),U6426,0)</t>
  </si>
  <si>
    <t>=IF(AND($M6426&gt;=$R$16,$M6426&lt;=$R$18),U6426,0)</t>
  </si>
  <si>
    <t>=IF(AND($M6426&gt;=$S$16,$M6426&lt;=$S$18),U6426,0)</t>
  </si>
  <si>
    <t>=IF($M6426&lt;=$T$18,U6426,0)</t>
  </si>
  <si>
    <t>="""NAV Direct"",""CRONUS JetCorp USA"",""21"",""1"",""289412"""</t>
  </si>
  <si>
    <t>=E6425</t>
  </si>
  <si>
    <t>=StartDate-$M6427+1</t>
  </si>
  <si>
    <t>=SUM(P6427:T6427)</t>
  </si>
  <si>
    <t>=IF($M6427&gt;=$P$18,U6427,0)</t>
  </si>
  <si>
    <t>=IF(AND($M6427&gt;=$Q$16,$M6427&lt;=$Q$18),U6427,0)</t>
  </si>
  <si>
    <t>=IF(AND($M6427&gt;=$R$16,$M6427&lt;=$R$18),U6427,0)</t>
  </si>
  <si>
    <t>=IF(AND($M6427&gt;=$S$16,$M6427&lt;=$S$18),U6427,0)</t>
  </si>
  <si>
    <t>=IF($M6427&lt;=$T$18,U6427,0)</t>
  </si>
  <si>
    <t>="""NAV Direct"",""CRONUS JetCorp USA"",""21"",""1"",""290658"""</t>
  </si>
  <si>
    <t>=E6426</t>
  </si>
  <si>
    <t>=StartDate-$M6428+1</t>
  </si>
  <si>
    <t>=SUM(P6428:T6428)</t>
  </si>
  <si>
    <t>=IF($M6428&gt;=$P$18,U6428,0)</t>
  </si>
  <si>
    <t>=IF(AND($M6428&gt;=$Q$16,$M6428&lt;=$Q$18),U6428,0)</t>
  </si>
  <si>
    <t>=IF(AND($M6428&gt;=$R$16,$M6428&lt;=$R$18),U6428,0)</t>
  </si>
  <si>
    <t>=IF(AND($M6428&gt;=$S$16,$M6428&lt;=$S$18),U6428,0)</t>
  </si>
  <si>
    <t>=IF($M6428&lt;=$T$18,U6428,0)</t>
  </si>
  <si>
    <t>="""NAV Direct"",""CRONUS JetCorp USA"",""21"",""1"",""290829"""</t>
  </si>
  <si>
    <t>=E6427</t>
  </si>
  <si>
    <t>=StartDate-$M6429+1</t>
  </si>
  <si>
    <t>=SUM(P6429:T6429)</t>
  </si>
  <si>
    <t>=IF($M6429&gt;=$P$18,U6429,0)</t>
  </si>
  <si>
    <t>=IF(AND($M6429&gt;=$Q$16,$M6429&lt;=$Q$18),U6429,0)</t>
  </si>
  <si>
    <t>=IF(AND($M6429&gt;=$R$16,$M6429&lt;=$R$18),U6429,0)</t>
  </si>
  <si>
    <t>=IF(AND($M6429&gt;=$S$16,$M6429&lt;=$S$18),U6429,0)</t>
  </si>
  <si>
    <t>=IF($M6429&lt;=$T$18,U6429,0)</t>
  </si>
  <si>
    <t>="""NAV Direct"",""CRONUS JetCorp USA"",""21"",""1"",""294683"""</t>
  </si>
  <si>
    <t>=E6428</t>
  </si>
  <si>
    <t>=StartDate-$M6430+1</t>
  </si>
  <si>
    <t>=SUM(P6430:T6430)</t>
  </si>
  <si>
    <t>=IF($M6430&gt;=$P$18,U6430,0)</t>
  </si>
  <si>
    <t>=IF(AND($M6430&gt;=$Q$16,$M6430&lt;=$Q$18),U6430,0)</t>
  </si>
  <si>
    <t>=IF(AND($M6430&gt;=$R$16,$M6430&lt;=$R$18),U6430,0)</t>
  </si>
  <si>
    <t>=IF(AND($M6430&gt;=$S$16,$M6430&lt;=$S$18),U6430,0)</t>
  </si>
  <si>
    <t>=IF($M6430&lt;=$T$18,U6430,0)</t>
  </si>
  <si>
    <t>="""NAV Direct"",""CRONUS JetCorp USA"",""21"",""1"",""295857"""</t>
  </si>
  <si>
    <t>=E6429</t>
  </si>
  <si>
    <t>=StartDate-$M6431+1</t>
  </si>
  <si>
    <t>=SUM(P6431:T6431)</t>
  </si>
  <si>
    <t>=IF($M6431&gt;=$P$18,U6431,0)</t>
  </si>
  <si>
    <t>=IF(AND($M6431&gt;=$Q$16,$M6431&lt;=$Q$18),U6431,0)</t>
  </si>
  <si>
    <t>=IF(AND($M6431&gt;=$R$16,$M6431&lt;=$R$18),U6431,0)</t>
  </si>
  <si>
    <t>=IF(AND($M6431&gt;=$S$16,$M6431&lt;=$S$18),U6431,0)</t>
  </si>
  <si>
    <t>=IF($M6431&lt;=$T$18,U6431,0)</t>
  </si>
  <si>
    <t>="""NAV Direct"",""CRONUS JetCorp USA"",""21"",""1"",""299131"""</t>
  </si>
  <si>
    <t>=E6430</t>
  </si>
  <si>
    <t>=StartDate-$M6432+1</t>
  </si>
  <si>
    <t>=SUM(P6432:T6432)</t>
  </si>
  <si>
    <t>=IF($M6432&gt;=$P$18,U6432,0)</t>
  </si>
  <si>
    <t>=IF(AND($M6432&gt;=$Q$16,$M6432&lt;=$Q$18),U6432,0)</t>
  </si>
  <si>
    <t>=IF(AND($M6432&gt;=$R$16,$M6432&lt;=$R$18),U6432,0)</t>
  </si>
  <si>
    <t>=IF(AND($M6432&gt;=$S$16,$M6432&lt;=$S$18),U6432,0)</t>
  </si>
  <si>
    <t>=IF($M6432&lt;=$T$18,U6432,0)</t>
  </si>
  <si>
    <t>="""NAV Direct"",""CRONUS JetCorp USA"",""21"",""1"",""299162"""</t>
  </si>
  <si>
    <t>=E6431</t>
  </si>
  <si>
    <t>=StartDate-$M6433+1</t>
  </si>
  <si>
    <t>=SUM(P6433:T6433)</t>
  </si>
  <si>
    <t>=IF($M6433&gt;=$P$18,U6433,0)</t>
  </si>
  <si>
    <t>=IF(AND($M6433&gt;=$Q$16,$M6433&lt;=$Q$18),U6433,0)</t>
  </si>
  <si>
    <t>=IF(AND($M6433&gt;=$R$16,$M6433&lt;=$R$18),U6433,0)</t>
  </si>
  <si>
    <t>=IF(AND($M6433&gt;=$S$16,$M6433&lt;=$S$18),U6433,0)</t>
  </si>
  <si>
    <t>=IF($M6433&lt;=$T$18,U6433,0)</t>
  </si>
  <si>
    <t>="""NAV Direct"",""CRONUS JetCorp USA"",""21"",""1"",""299259"""</t>
  </si>
  <si>
    <t>=E6432</t>
  </si>
  <si>
    <t>=StartDate-$M6434+1</t>
  </si>
  <si>
    <t>=SUM(P6434:T6434)</t>
  </si>
  <si>
    <t>=IF($M6434&gt;=$P$18,U6434,0)</t>
  </si>
  <si>
    <t>=IF(AND($M6434&gt;=$Q$16,$M6434&lt;=$Q$18),U6434,0)</t>
  </si>
  <si>
    <t>=IF(AND($M6434&gt;=$R$16,$M6434&lt;=$R$18),U6434,0)</t>
  </si>
  <si>
    <t>=IF(AND($M6434&gt;=$S$16,$M6434&lt;=$S$18),U6434,0)</t>
  </si>
  <si>
    <t>=IF($M6434&lt;=$T$18,U6434,0)</t>
  </si>
  <si>
    <t>="""NAV Direct"",""CRONUS JetCorp USA"",""21"",""1"",""299689"""</t>
  </si>
  <si>
    <t>=E6433</t>
  </si>
  <si>
    <t>=StartDate-$M6435+1</t>
  </si>
  <si>
    <t>=SUM(P6435:T6435)</t>
  </si>
  <si>
    <t>=IF($M6435&gt;=$P$18,U6435,0)</t>
  </si>
  <si>
    <t>=IF(AND($M6435&gt;=$Q$16,$M6435&lt;=$Q$18),U6435,0)</t>
  </si>
  <si>
    <t>=IF(AND($M6435&gt;=$R$16,$M6435&lt;=$R$18),U6435,0)</t>
  </si>
  <si>
    <t>=IF(AND($M6435&gt;=$S$16,$M6435&lt;=$S$18),U6435,0)</t>
  </si>
  <si>
    <t>=IF($M6435&lt;=$T$18,U6435,0)</t>
  </si>
  <si>
    <t>="""NAV Direct"",""CRONUS JetCorp USA"",""21"",""1"",""299832"""</t>
  </si>
  <si>
    <t>=E6434</t>
  </si>
  <si>
    <t>=StartDate-$M6436+1</t>
  </si>
  <si>
    <t>=SUM(P6436:T6436)</t>
  </si>
  <si>
    <t>=IF($M6436&gt;=$P$18,U6436,0)</t>
  </si>
  <si>
    <t>=IF(AND($M6436&gt;=$Q$16,$M6436&lt;=$Q$18),U6436,0)</t>
  </si>
  <si>
    <t>=IF(AND($M6436&gt;=$R$16,$M6436&lt;=$R$18),U6436,0)</t>
  </si>
  <si>
    <t>=IF(AND($M6436&gt;=$S$16,$M6436&lt;=$S$18),U6436,0)</t>
  </si>
  <si>
    <t>=IF($M6436&lt;=$T$18,U6436,0)</t>
  </si>
  <si>
    <t>="""NAV Direct"",""CRONUS JetCorp USA"",""21"",""1"",""300338"""</t>
  </si>
  <si>
    <t>=E6435</t>
  </si>
  <si>
    <t>=StartDate-$M6437+1</t>
  </si>
  <si>
    <t>=SUM(P6437:T6437)</t>
  </si>
  <si>
    <t>=IF($M6437&gt;=$P$18,U6437,0)</t>
  </si>
  <si>
    <t>=IF(AND($M6437&gt;=$Q$16,$M6437&lt;=$Q$18),U6437,0)</t>
  </si>
  <si>
    <t>=IF(AND($M6437&gt;=$R$16,$M6437&lt;=$R$18),U6437,0)</t>
  </si>
  <si>
    <t>=IF(AND($M6437&gt;=$S$16,$M6437&lt;=$S$18),U6437,0)</t>
  </si>
  <si>
    <t>=IF($M6437&lt;=$T$18,U6437,0)</t>
  </si>
  <si>
    <t>="""NAV Direct"",""CRONUS JetCorp USA"",""21"",""1"",""300507"""</t>
  </si>
  <si>
    <t>=E6436</t>
  </si>
  <si>
    <t>=StartDate-$M6438+1</t>
  </si>
  <si>
    <t>=SUM(P6438:T6438)</t>
  </si>
  <si>
    <t>=IF($M6438&gt;=$P$18,U6438,0)</t>
  </si>
  <si>
    <t>=IF(AND($M6438&gt;=$Q$16,$M6438&lt;=$Q$18),U6438,0)</t>
  </si>
  <si>
    <t>=IF(AND($M6438&gt;=$R$16,$M6438&lt;=$R$18),U6438,0)</t>
  </si>
  <si>
    <t>=IF(AND($M6438&gt;=$S$16,$M6438&lt;=$S$18),U6438,0)</t>
  </si>
  <si>
    <t>=IF($M6438&lt;=$T$18,U6438,0)</t>
  </si>
  <si>
    <t>="""NAV Direct"",""CRONUS JetCorp USA"",""21"",""1"",""301430"""</t>
  </si>
  <si>
    <t>=E6437</t>
  </si>
  <si>
    <t>=StartDate-$M6439+1</t>
  </si>
  <si>
    <t>=SUM(P6439:T6439)</t>
  </si>
  <si>
    <t>=IF($M6439&gt;=$P$18,U6439,0)</t>
  </si>
  <si>
    <t>=IF(AND($M6439&gt;=$Q$16,$M6439&lt;=$Q$18),U6439,0)</t>
  </si>
  <si>
    <t>=IF(AND($M6439&gt;=$R$16,$M6439&lt;=$R$18),U6439,0)</t>
  </si>
  <si>
    <t>=IF(AND($M6439&gt;=$S$16,$M6439&lt;=$S$18),U6439,0)</t>
  </si>
  <si>
    <t>=IF($M6439&lt;=$T$18,U6439,0)</t>
  </si>
  <si>
    <t>="""NAV Direct"",""CRONUS JetCorp USA"",""21"",""1"",""301477"""</t>
  </si>
  <si>
    <t>=E6438</t>
  </si>
  <si>
    <t>=StartDate-$M6440+1</t>
  </si>
  <si>
    <t>=SUM(P6440:T6440)</t>
  </si>
  <si>
    <t>=IF($M6440&gt;=$P$18,U6440,0)</t>
  </si>
  <si>
    <t>=IF(AND($M6440&gt;=$Q$16,$M6440&lt;=$Q$18),U6440,0)</t>
  </si>
  <si>
    <t>=IF(AND($M6440&gt;=$R$16,$M6440&lt;=$R$18),U6440,0)</t>
  </si>
  <si>
    <t>=IF(AND($M6440&gt;=$S$16,$M6440&lt;=$S$18),U6440,0)</t>
  </si>
  <si>
    <t>=IF($M6440&lt;=$T$18,U6440,0)</t>
  </si>
  <si>
    <t>="""NAV Direct"",""CRONUS JetCorp USA"",""21"",""1"",""302519"""</t>
  </si>
  <si>
    <t>=E6439</t>
  </si>
  <si>
    <t>=StartDate-$M6441+1</t>
  </si>
  <si>
    <t>=SUM(P6441:T6441)</t>
  </si>
  <si>
    <t>=IF($M6441&gt;=$P$18,U6441,0)</t>
  </si>
  <si>
    <t>=IF(AND($M6441&gt;=$Q$16,$M6441&lt;=$Q$18),U6441,0)</t>
  </si>
  <si>
    <t>=IF(AND($M6441&gt;=$R$16,$M6441&lt;=$R$18),U6441,0)</t>
  </si>
  <si>
    <t>=IF(AND($M6441&gt;=$S$16,$M6441&lt;=$S$18),U6441,0)</t>
  </si>
  <si>
    <t>=IF($M6441&lt;=$T$18,U6441,0)</t>
  </si>
  <si>
    <t>="""NAV Direct"",""CRONUS JetCorp USA"",""21"",""1"",""302641"""</t>
  </si>
  <si>
    <t>=E6440</t>
  </si>
  <si>
    <t>=StartDate-$M6442+1</t>
  </si>
  <si>
    <t>=SUM(P6442:T6442)</t>
  </si>
  <si>
    <t>=IF($M6442&gt;=$P$18,U6442,0)</t>
  </si>
  <si>
    <t>=IF(AND($M6442&gt;=$Q$16,$M6442&lt;=$Q$18),U6442,0)</t>
  </si>
  <si>
    <t>=IF(AND($M6442&gt;=$R$16,$M6442&lt;=$R$18),U6442,0)</t>
  </si>
  <si>
    <t>=IF(AND($M6442&gt;=$S$16,$M6442&lt;=$S$18),U6442,0)</t>
  </si>
  <si>
    <t>=IF($M6442&lt;=$T$18,U6442,0)</t>
  </si>
  <si>
    <t>="""NAV Direct"",""CRONUS JetCorp USA"",""21"",""1"",""303464"""</t>
  </si>
  <si>
    <t>=E6441</t>
  </si>
  <si>
    <t>=StartDate-$M6443+1</t>
  </si>
  <si>
    <t>=SUM(P6443:T6443)</t>
  </si>
  <si>
    <t>=IF($M6443&gt;=$P$18,U6443,0)</t>
  </si>
  <si>
    <t>=IF(AND($M6443&gt;=$Q$16,$M6443&lt;=$Q$18),U6443,0)</t>
  </si>
  <si>
    <t>=IF(AND($M6443&gt;=$R$16,$M6443&lt;=$R$18),U6443,0)</t>
  </si>
  <si>
    <t>=IF(AND($M6443&gt;=$S$16,$M6443&lt;=$S$18),U6443,0)</t>
  </si>
  <si>
    <t>=IF($M6443&lt;=$T$18,U6443,0)</t>
  </si>
  <si>
    <t>="""NAV Direct"",""CRONUS JetCorp USA"",""18"",""1"",""C100525"""</t>
  </si>
  <si>
    <t>=H6446</t>
  </si>
  <si>
    <t>=NF($C6446,"1 No.")</t>
  </si>
  <si>
    <t>=NF($C6446,"1 No.")&amp;"  -  "&amp;NF($C6446,"2 Name")</t>
  </si>
  <si>
    <t>=IFERROR(O6446/NF(C6446,"Credit Limit (LCY)"),"")</t>
  </si>
  <si>
    <t>=SUBTOTAL(3,L6447:L6475)</t>
  </si>
  <si>
    <t>=SUBTOTAL(9,O6447:O6475)</t>
  </si>
  <si>
    <t>=SUBTOTAL(9,P6447:P6475)</t>
  </si>
  <si>
    <t>=SUBTOTAL(9,Q6447:Q6475)</t>
  </si>
  <si>
    <t>=SUBTOTAL(9,R6447:R6475)</t>
  </si>
  <si>
    <t>=SUBTOTAL(9,S6447:S6475)</t>
  </si>
  <si>
    <t>=SUBTOTAL(9,T6447:T6475)</t>
  </si>
  <si>
    <t>=C6446</t>
  </si>
  <si>
    <t>=E6446</t>
  </si>
  <si>
    <t>="Contact: "&amp;NF($C6447,"8 Contact")</t>
  </si>
  <si>
    <t>=C6447</t>
  </si>
  <si>
    <t>=E6447</t>
  </si>
  <si>
    <t>=NF($C6448,"102 E-Mail")</t>
  </si>
  <si>
    <t>=NL("Rows","21 Cust. Ledger Entry",,"3 Customer No.","@@"&amp;$E6450,"16 Remaining Amt. (LCY)","&lt;&gt;0")</t>
  </si>
  <si>
    <t>=E6448</t>
  </si>
  <si>
    <t>=StartDate-$M6450+1</t>
  </si>
  <si>
    <t>=SUM(P6450:T6450)</t>
  </si>
  <si>
    <t>=IF($M6450&gt;=$P$18,U6450,0)</t>
  </si>
  <si>
    <t>=IF(AND($M6450&gt;=$Q$16,$M6450&lt;=$Q$18),U6450,0)</t>
  </si>
  <si>
    <t>=IF(AND($M6450&gt;=$R$16,$M6450&lt;=$R$18),U6450,0)</t>
  </si>
  <si>
    <t>=IF(AND($M6450&gt;=$S$16,$M6450&lt;=$S$18),U6450,0)</t>
  </si>
  <si>
    <t>=IF($M6450&lt;=$T$18,U6450,0)</t>
  </si>
  <si>
    <t>="""NAV Direct"",""CRONUS JetCorp USA"",""21"",""1"",""282145"""</t>
  </si>
  <si>
    <t>=E6449</t>
  </si>
  <si>
    <t>=StartDate-$M6451+1</t>
  </si>
  <si>
    <t>=SUM(P6451:T6451)</t>
  </si>
  <si>
    <t>=IF($M6451&gt;=$P$18,U6451,0)</t>
  </si>
  <si>
    <t>=IF(AND($M6451&gt;=$Q$16,$M6451&lt;=$Q$18),U6451,0)</t>
  </si>
  <si>
    <t>=IF(AND($M6451&gt;=$R$16,$M6451&lt;=$R$18),U6451,0)</t>
  </si>
  <si>
    <t>=IF(AND($M6451&gt;=$S$16,$M6451&lt;=$S$18),U6451,0)</t>
  </si>
  <si>
    <t>=IF($M6451&lt;=$T$18,U6451,0)</t>
  </si>
  <si>
    <t>="""NAV Direct"",""CRONUS JetCorp USA"",""21"",""1"",""282335"""</t>
  </si>
  <si>
    <t>=E6450</t>
  </si>
  <si>
    <t>=StartDate-$M6452+1</t>
  </si>
  <si>
    <t>=SUM(P6452:T6452)</t>
  </si>
  <si>
    <t>=IF($M6452&gt;=$P$18,U6452,0)</t>
  </si>
  <si>
    <t>=IF(AND($M6452&gt;=$Q$16,$M6452&lt;=$Q$18),U6452,0)</t>
  </si>
  <si>
    <t>=IF(AND($M6452&gt;=$R$16,$M6452&lt;=$R$18),U6452,0)</t>
  </si>
  <si>
    <t>=IF(AND($M6452&gt;=$S$16,$M6452&lt;=$S$18),U6452,0)</t>
  </si>
  <si>
    <t>=IF($M6452&lt;=$T$18,U6452,0)</t>
  </si>
  <si>
    <t>="""NAV Direct"",""CRONUS JetCorp USA"",""21"",""1"",""282402"""</t>
  </si>
  <si>
    <t>=E6451</t>
  </si>
  <si>
    <t>=StartDate-$M6453+1</t>
  </si>
  <si>
    <t>=SUM(P6453:T6453)</t>
  </si>
  <si>
    <t>=IF($M6453&gt;=$P$18,U6453,0)</t>
  </si>
  <si>
    <t>=IF(AND($M6453&gt;=$Q$16,$M6453&lt;=$Q$18),U6453,0)</t>
  </si>
  <si>
    <t>=IF(AND($M6453&gt;=$R$16,$M6453&lt;=$R$18),U6453,0)</t>
  </si>
  <si>
    <t>=IF(AND($M6453&gt;=$S$16,$M6453&lt;=$S$18),U6453,0)</t>
  </si>
  <si>
    <t>=IF($M6453&lt;=$T$18,U6453,0)</t>
  </si>
  <si>
    <t>="""NAV Direct"",""CRONUS JetCorp USA"",""21"",""1"",""282589"""</t>
  </si>
  <si>
    <t>=E6452</t>
  </si>
  <si>
    <t>=StartDate-$M6454+1</t>
  </si>
  <si>
    <t>=SUM(P6454:T6454)</t>
  </si>
  <si>
    <t>=IF($M6454&gt;=$P$18,U6454,0)</t>
  </si>
  <si>
    <t>=IF(AND($M6454&gt;=$Q$16,$M6454&lt;=$Q$18),U6454,0)</t>
  </si>
  <si>
    <t>=IF(AND($M6454&gt;=$R$16,$M6454&lt;=$R$18),U6454,0)</t>
  </si>
  <si>
    <t>=IF(AND($M6454&gt;=$S$16,$M6454&lt;=$S$18),U6454,0)</t>
  </si>
  <si>
    <t>=IF($M6454&lt;=$T$18,U6454,0)</t>
  </si>
  <si>
    <t>="""NAV Direct"",""CRONUS JetCorp USA"",""21"",""1"",""283039"""</t>
  </si>
  <si>
    <t>=E6453</t>
  </si>
  <si>
    <t>=StartDate-$M6455+1</t>
  </si>
  <si>
    <t>=SUM(P6455:T6455)</t>
  </si>
  <si>
    <t>=IF($M6455&gt;=$P$18,U6455,0)</t>
  </si>
  <si>
    <t>=IF(AND($M6455&gt;=$Q$16,$M6455&lt;=$Q$18),U6455,0)</t>
  </si>
  <si>
    <t>=IF(AND($M6455&gt;=$R$16,$M6455&lt;=$R$18),U6455,0)</t>
  </si>
  <si>
    <t>=IF(AND($M6455&gt;=$S$16,$M6455&lt;=$S$18),U6455,0)</t>
  </si>
  <si>
    <t>=IF($M6455&lt;=$T$18,U6455,0)</t>
  </si>
  <si>
    <t>="""NAV Direct"",""CRONUS JetCorp USA"",""21"",""1"",""284771"""</t>
  </si>
  <si>
    <t>=E6454</t>
  </si>
  <si>
    <t>=StartDate-$M6456+1</t>
  </si>
  <si>
    <t>=SUM(P6456:T6456)</t>
  </si>
  <si>
    <t>=IF($M6456&gt;=$P$18,U6456,0)</t>
  </si>
  <si>
    <t>=IF(AND($M6456&gt;=$Q$16,$M6456&lt;=$Q$18),U6456,0)</t>
  </si>
  <si>
    <t>=IF(AND($M6456&gt;=$R$16,$M6456&lt;=$R$18),U6456,0)</t>
  </si>
  <si>
    <t>=IF(AND($M6456&gt;=$S$16,$M6456&lt;=$S$18),U6456,0)</t>
  </si>
  <si>
    <t>=IF($M6456&lt;=$T$18,U6456,0)</t>
  </si>
  <si>
    <t>="""NAV Direct"",""CRONUS JetCorp USA"",""21"",""1"",""285761"""</t>
  </si>
  <si>
    <t>=E6455</t>
  </si>
  <si>
    <t>=StartDate-$M6457+1</t>
  </si>
  <si>
    <t>=SUM(P6457:T6457)</t>
  </si>
  <si>
    <t>=IF($M6457&gt;=$P$18,U6457,0)</t>
  </si>
  <si>
    <t>=IF(AND($M6457&gt;=$Q$16,$M6457&lt;=$Q$18),U6457,0)</t>
  </si>
  <si>
    <t>=IF(AND($M6457&gt;=$R$16,$M6457&lt;=$R$18),U6457,0)</t>
  </si>
  <si>
    <t>=IF(AND($M6457&gt;=$S$16,$M6457&lt;=$S$18),U6457,0)</t>
  </si>
  <si>
    <t>=IF($M6457&lt;=$T$18,U6457,0)</t>
  </si>
  <si>
    <t>="""NAV Direct"",""CRONUS JetCorp USA"",""21"",""1"",""287658"""</t>
  </si>
  <si>
    <t>=E6456</t>
  </si>
  <si>
    <t>=StartDate-$M6458+1</t>
  </si>
  <si>
    <t>=SUM(P6458:T6458)</t>
  </si>
  <si>
    <t>=IF($M6458&gt;=$P$18,U6458,0)</t>
  </si>
  <si>
    <t>=IF(AND($M6458&gt;=$Q$16,$M6458&lt;=$Q$18),U6458,0)</t>
  </si>
  <si>
    <t>=IF(AND($M6458&gt;=$R$16,$M6458&lt;=$R$18),U6458,0)</t>
  </si>
  <si>
    <t>=IF(AND($M6458&gt;=$S$16,$M6458&lt;=$S$18),U6458,0)</t>
  </si>
  <si>
    <t>=IF($M6458&lt;=$T$18,U6458,0)</t>
  </si>
  <si>
    <t>="""NAV Direct"",""CRONUS JetCorp USA"",""21"",""1"",""289186"""</t>
  </si>
  <si>
    <t>=E6457</t>
  </si>
  <si>
    <t>=StartDate-$M6459+1</t>
  </si>
  <si>
    <t>=SUM(P6459:T6459)</t>
  </si>
  <si>
    <t>=IF($M6459&gt;=$P$18,U6459,0)</t>
  </si>
  <si>
    <t>=IF(AND($M6459&gt;=$Q$16,$M6459&lt;=$Q$18),U6459,0)</t>
  </si>
  <si>
    <t>=IF(AND($M6459&gt;=$R$16,$M6459&lt;=$R$18),U6459,0)</t>
  </si>
  <si>
    <t>=IF(AND($M6459&gt;=$S$16,$M6459&lt;=$S$18),U6459,0)</t>
  </si>
  <si>
    <t>=IF($M6459&lt;=$T$18,U6459,0)</t>
  </si>
  <si>
    <t>="""NAV Direct"",""CRONUS JetCorp USA"",""21"",""1"",""289746"""</t>
  </si>
  <si>
    <t>=E6458</t>
  </si>
  <si>
    <t>=StartDate-$M6460+1</t>
  </si>
  <si>
    <t>=SUM(P6460:T6460)</t>
  </si>
  <si>
    <t>=IF($M6460&gt;=$P$18,U6460,0)</t>
  </si>
  <si>
    <t>=IF(AND($M6460&gt;=$Q$16,$M6460&lt;=$Q$18),U6460,0)</t>
  </si>
  <si>
    <t>=IF(AND($M6460&gt;=$R$16,$M6460&lt;=$R$18),U6460,0)</t>
  </si>
  <si>
    <t>=IF(AND($M6460&gt;=$S$16,$M6460&lt;=$S$18),U6460,0)</t>
  </si>
  <si>
    <t>=IF($M6460&lt;=$T$18,U6460,0)</t>
  </si>
  <si>
    <t>="""NAV Direct"",""CRONUS JetCorp USA"",""21"",""1"",""289898"""</t>
  </si>
  <si>
    <t>=E6459</t>
  </si>
  <si>
    <t>=StartDate-$M6461+1</t>
  </si>
  <si>
    <t>=SUM(P6461:T6461)</t>
  </si>
  <si>
    <t>=IF($M6461&gt;=$P$18,U6461,0)</t>
  </si>
  <si>
    <t>=IF(AND($M6461&gt;=$Q$16,$M6461&lt;=$Q$18),U6461,0)</t>
  </si>
  <si>
    <t>=IF(AND($M6461&gt;=$R$16,$M6461&lt;=$R$18),U6461,0)</t>
  </si>
  <si>
    <t>=IF(AND($M6461&gt;=$S$16,$M6461&lt;=$S$18),U6461,0)</t>
  </si>
  <si>
    <t>=IF($M6461&lt;=$T$18,U6461,0)</t>
  </si>
  <si>
    <t>="""NAV Direct"",""CRONUS JetCorp USA"",""21"",""1"",""290149"""</t>
  </si>
  <si>
    <t>=E6460</t>
  </si>
  <si>
    <t>=StartDate-$M6462+1</t>
  </si>
  <si>
    <t>=SUM(P6462:T6462)</t>
  </si>
  <si>
    <t>=IF($M6462&gt;=$P$18,U6462,0)</t>
  </si>
  <si>
    <t>=IF(AND($M6462&gt;=$Q$16,$M6462&lt;=$Q$18),U6462,0)</t>
  </si>
  <si>
    <t>=IF(AND($M6462&gt;=$R$16,$M6462&lt;=$R$18),U6462,0)</t>
  </si>
  <si>
    <t>=IF(AND($M6462&gt;=$S$16,$M6462&lt;=$S$18),U6462,0)</t>
  </si>
  <si>
    <t>=IF($M6462&lt;=$T$18,U6462,0)</t>
  </si>
  <si>
    <t>="""NAV Direct"",""CRONUS JetCorp USA"",""21"",""1"",""290296"""</t>
  </si>
  <si>
    <t>=E6461</t>
  </si>
  <si>
    <t>=StartDate-$M6463+1</t>
  </si>
  <si>
    <t>=SUM(P6463:T6463)</t>
  </si>
  <si>
    <t>=IF($M6463&gt;=$P$18,U6463,0)</t>
  </si>
  <si>
    <t>=IF(AND($M6463&gt;=$Q$16,$M6463&lt;=$Q$18),U6463,0)</t>
  </si>
  <si>
    <t>=IF(AND($M6463&gt;=$R$16,$M6463&lt;=$R$18),U6463,0)</t>
  </si>
  <si>
    <t>=IF(AND($M6463&gt;=$S$16,$M6463&lt;=$S$18),U6463,0)</t>
  </si>
  <si>
    <t>=IF($M6463&lt;=$T$18,U6463,0)</t>
  </si>
  <si>
    <t>="""NAV Direct"",""CRONUS JetCorp USA"",""21"",""1"",""290579"""</t>
  </si>
  <si>
    <t>=E6462</t>
  </si>
  <si>
    <t>=StartDate-$M6464+1</t>
  </si>
  <si>
    <t>=SUM(P6464:T6464)</t>
  </si>
  <si>
    <t>=IF($M6464&gt;=$P$18,U6464,0)</t>
  </si>
  <si>
    <t>=IF(AND($M6464&gt;=$Q$16,$M6464&lt;=$Q$18),U6464,0)</t>
  </si>
  <si>
    <t>=IF(AND($M6464&gt;=$R$16,$M6464&lt;=$R$18),U6464,0)</t>
  </si>
  <si>
    <t>=IF(AND($M6464&gt;=$S$16,$M6464&lt;=$S$18),U6464,0)</t>
  </si>
  <si>
    <t>=IF($M6464&lt;=$T$18,U6464,0)</t>
  </si>
  <si>
    <t>="""NAV Direct"",""CRONUS JetCorp USA"",""21"",""1"",""293166"""</t>
  </si>
  <si>
    <t>=E6463</t>
  </si>
  <si>
    <t>=StartDate-$M6465+1</t>
  </si>
  <si>
    <t>=SUM(P6465:T6465)</t>
  </si>
  <si>
    <t>=IF($M6465&gt;=$P$18,U6465,0)</t>
  </si>
  <si>
    <t>=IF(AND($M6465&gt;=$Q$16,$M6465&lt;=$Q$18),U6465,0)</t>
  </si>
  <si>
    <t>=IF(AND($M6465&gt;=$R$16,$M6465&lt;=$R$18),U6465,0)</t>
  </si>
  <si>
    <t>=IF(AND($M6465&gt;=$S$16,$M6465&lt;=$S$18),U6465,0)</t>
  </si>
  <si>
    <t>=IF($M6465&lt;=$T$18,U6465,0)</t>
  </si>
  <si>
    <t>="""NAV Direct"",""CRONUS JetCorp USA"",""21"",""1"",""294223"""</t>
  </si>
  <si>
    <t>=E6464</t>
  </si>
  <si>
    <t>=StartDate-$M6466+1</t>
  </si>
  <si>
    <t>=SUM(P6466:T6466)</t>
  </si>
  <si>
    <t>=IF($M6466&gt;=$P$18,U6466,0)</t>
  </si>
  <si>
    <t>=IF(AND($M6466&gt;=$Q$16,$M6466&lt;=$Q$18),U6466,0)</t>
  </si>
  <si>
    <t>=IF(AND($M6466&gt;=$R$16,$M6466&lt;=$R$18),U6466,0)</t>
  </si>
  <si>
    <t>=IF(AND($M6466&gt;=$S$16,$M6466&lt;=$S$18),U6466,0)</t>
  </si>
  <si>
    <t>=IF($M6466&lt;=$T$18,U6466,0)</t>
  </si>
  <si>
    <t>="""NAV Direct"",""CRONUS JetCorp USA"",""21"",""1"",""294710"""</t>
  </si>
  <si>
    <t>=E6465</t>
  </si>
  <si>
    <t>=StartDate-$M6467+1</t>
  </si>
  <si>
    <t>=SUM(P6467:T6467)</t>
  </si>
  <si>
    <t>=IF($M6467&gt;=$P$18,U6467,0)</t>
  </si>
  <si>
    <t>=IF(AND($M6467&gt;=$Q$16,$M6467&lt;=$Q$18),U6467,0)</t>
  </si>
  <si>
    <t>=IF(AND($M6467&gt;=$R$16,$M6467&lt;=$R$18),U6467,0)</t>
  </si>
  <si>
    <t>=IF(AND($M6467&gt;=$S$16,$M6467&lt;=$S$18),U6467,0)</t>
  </si>
  <si>
    <t>=IF($M6467&lt;=$T$18,U6467,0)</t>
  </si>
  <si>
    <t>="""NAV Direct"",""CRONUS JetCorp USA"",""21"",""1"",""294933"""</t>
  </si>
  <si>
    <t>=E6466</t>
  </si>
  <si>
    <t>=StartDate-$M6468+1</t>
  </si>
  <si>
    <t>=SUM(P6468:T6468)</t>
  </si>
  <si>
    <t>=IF($M6468&gt;=$P$18,U6468,0)</t>
  </si>
  <si>
    <t>=IF(AND($M6468&gt;=$Q$16,$M6468&lt;=$Q$18),U6468,0)</t>
  </si>
  <si>
    <t>=IF(AND($M6468&gt;=$R$16,$M6468&lt;=$R$18),U6468,0)</t>
  </si>
  <si>
    <t>=IF(AND($M6468&gt;=$S$16,$M6468&lt;=$S$18),U6468,0)</t>
  </si>
  <si>
    <t>=IF($M6468&lt;=$T$18,U6468,0)</t>
  </si>
  <si>
    <t>="""NAV Direct"",""CRONUS JetCorp USA"",""21"",""1"",""295479"""</t>
  </si>
  <si>
    <t>=E6467</t>
  </si>
  <si>
    <t>=StartDate-$M6469+1</t>
  </si>
  <si>
    <t>=SUM(P6469:T6469)</t>
  </si>
  <si>
    <t>=IF($M6469&gt;=$P$18,U6469,0)</t>
  </si>
  <si>
    <t>=IF(AND($M6469&gt;=$Q$16,$M6469&lt;=$Q$18),U6469,0)</t>
  </si>
  <si>
    <t>=IF(AND($M6469&gt;=$R$16,$M6469&lt;=$R$18),U6469,0)</t>
  </si>
  <si>
    <t>=IF(AND($M6469&gt;=$S$16,$M6469&lt;=$S$18),U6469,0)</t>
  </si>
  <si>
    <t>=IF($M6469&lt;=$T$18,U6469,0)</t>
  </si>
  <si>
    <t>="""NAV Direct"",""CRONUS JetCorp USA"",""21"",""1"",""295736"""</t>
  </si>
  <si>
    <t>=E6468</t>
  </si>
  <si>
    <t>=StartDate-$M6470+1</t>
  </si>
  <si>
    <t>=SUM(P6470:T6470)</t>
  </si>
  <si>
    <t>=IF($M6470&gt;=$P$18,U6470,0)</t>
  </si>
  <si>
    <t>=IF(AND($M6470&gt;=$Q$16,$M6470&lt;=$Q$18),U6470,0)</t>
  </si>
  <si>
    <t>=IF(AND($M6470&gt;=$R$16,$M6470&lt;=$R$18),U6470,0)</t>
  </si>
  <si>
    <t>=IF(AND($M6470&gt;=$S$16,$M6470&lt;=$S$18),U6470,0)</t>
  </si>
  <si>
    <t>=IF($M6470&lt;=$T$18,U6470,0)</t>
  </si>
  <si>
    <t>="""NAV Direct"",""CRONUS JetCorp USA"",""21"",""1"",""300410"""</t>
  </si>
  <si>
    <t>=E6469</t>
  </si>
  <si>
    <t>=StartDate-$M6471+1</t>
  </si>
  <si>
    <t>=SUM(P6471:T6471)</t>
  </si>
  <si>
    <t>=IF($M6471&gt;=$P$18,U6471,0)</t>
  </si>
  <si>
    <t>=IF(AND($M6471&gt;=$Q$16,$M6471&lt;=$Q$18),U6471,0)</t>
  </si>
  <si>
    <t>=IF(AND($M6471&gt;=$R$16,$M6471&lt;=$R$18),U6471,0)</t>
  </si>
  <si>
    <t>=IF(AND($M6471&gt;=$S$16,$M6471&lt;=$S$18),U6471,0)</t>
  </si>
  <si>
    <t>=IF($M6471&lt;=$T$18,U6471,0)</t>
  </si>
  <si>
    <t>="""NAV Direct"",""CRONUS JetCorp USA"",""21"",""1"",""301596"""</t>
  </si>
  <si>
    <t>=E6470</t>
  </si>
  <si>
    <t>=StartDate-$M6472+1</t>
  </si>
  <si>
    <t>=SUM(P6472:T6472)</t>
  </si>
  <si>
    <t>=IF($M6472&gt;=$P$18,U6472,0)</t>
  </si>
  <si>
    <t>=IF(AND($M6472&gt;=$Q$16,$M6472&lt;=$Q$18),U6472,0)</t>
  </si>
  <si>
    <t>=IF(AND($M6472&gt;=$R$16,$M6472&lt;=$R$18),U6472,0)</t>
  </si>
  <si>
    <t>=IF(AND($M6472&gt;=$S$16,$M6472&lt;=$S$18),U6472,0)</t>
  </si>
  <si>
    <t>=IF($M6472&lt;=$T$18,U6472,0)</t>
  </si>
  <si>
    <t>="""NAV Direct"",""CRONUS JetCorp USA"",""21"",""1"",""303532"""</t>
  </si>
  <si>
    <t>=E6471</t>
  </si>
  <si>
    <t>=StartDate-$M6473+1</t>
  </si>
  <si>
    <t>=SUM(P6473:T6473)</t>
  </si>
  <si>
    <t>=IF($M6473&gt;=$P$18,U6473,0)</t>
  </si>
  <si>
    <t>=IF(AND($M6473&gt;=$Q$16,$M6473&lt;=$Q$18),U6473,0)</t>
  </si>
  <si>
    <t>=IF(AND($M6473&gt;=$R$16,$M6473&lt;=$R$18),U6473,0)</t>
  </si>
  <si>
    <t>=IF(AND($M6473&gt;=$S$16,$M6473&lt;=$S$18),U6473,0)</t>
  </si>
  <si>
    <t>=IF($M6473&lt;=$T$18,U6473,0)</t>
  </si>
  <si>
    <t>="""NAV Direct"",""CRONUS JetCorp USA"",""21"",""1"",""303696"""</t>
  </si>
  <si>
    <t>=E6472</t>
  </si>
  <si>
    <t>=StartDate-$M6474+1</t>
  </si>
  <si>
    <t>=SUM(P6474:T6474)</t>
  </si>
  <si>
    <t>=IF($M6474&gt;=$P$18,U6474,0)</t>
  </si>
  <si>
    <t>=IF(AND($M6474&gt;=$Q$16,$M6474&lt;=$Q$18),U6474,0)</t>
  </si>
  <si>
    <t>=IF(AND($M6474&gt;=$R$16,$M6474&lt;=$R$18),U6474,0)</t>
  </si>
  <si>
    <t>=IF(AND($M6474&gt;=$S$16,$M6474&lt;=$S$18),U6474,0)</t>
  </si>
  <si>
    <t>=IF($M6474&lt;=$T$18,U6474,0)</t>
  </si>
  <si>
    <t>="""NAV Direct"",""CRONUS JetCorp USA"",""18"",""1"",""C100526"""</t>
  </si>
  <si>
    <t>=H6477</t>
  </si>
  <si>
    <t>=NF($C6477,"1 No.")</t>
  </si>
  <si>
    <t>=NF($C6477,"1 No.")&amp;"  -  "&amp;NF($C6477,"2 Name")</t>
  </si>
  <si>
    <t>=IFERROR(O6477/NF(C6477,"Credit Limit (LCY)"),"")</t>
  </si>
  <si>
    <t>=SUBTOTAL(3,L6478:L6510)</t>
  </si>
  <si>
    <t>=SUBTOTAL(9,O6478:O6510)</t>
  </si>
  <si>
    <t>=SUBTOTAL(9,P6478:P6510)</t>
  </si>
  <si>
    <t>=SUBTOTAL(9,Q6478:Q6510)</t>
  </si>
  <si>
    <t>=SUBTOTAL(9,R6478:R6510)</t>
  </si>
  <si>
    <t>=SUBTOTAL(9,S6478:S6510)</t>
  </si>
  <si>
    <t>=SUBTOTAL(9,T6478:T6510)</t>
  </si>
  <si>
    <t>=C6477</t>
  </si>
  <si>
    <t>=E6477</t>
  </si>
  <si>
    <t>="Contact: "&amp;NF($C6478,"8 Contact")</t>
  </si>
  <si>
    <t>=C6478</t>
  </si>
  <si>
    <t>=E6478</t>
  </si>
  <si>
    <t>=NF($C6479,"102 E-Mail")</t>
  </si>
  <si>
    <t>=NL("Rows","21 Cust. Ledger Entry",,"3 Customer No.","@@"&amp;$E6481,"16 Remaining Amt. (LCY)","&lt;&gt;0")</t>
  </si>
  <si>
    <t>=E6479</t>
  </si>
  <si>
    <t>=StartDate-$M6481+1</t>
  </si>
  <si>
    <t>=SUM(P6481:T6481)</t>
  </si>
  <si>
    <t>=IF($M6481&gt;=$P$18,U6481,0)</t>
  </si>
  <si>
    <t>=IF(AND($M6481&gt;=$Q$16,$M6481&lt;=$Q$18),U6481,0)</t>
  </si>
  <si>
    <t>=IF(AND($M6481&gt;=$R$16,$M6481&lt;=$R$18),U6481,0)</t>
  </si>
  <si>
    <t>=IF(AND($M6481&gt;=$S$16,$M6481&lt;=$S$18),U6481,0)</t>
  </si>
  <si>
    <t>=IF($M6481&lt;=$T$18,U6481,0)</t>
  </si>
  <si>
    <t>="""NAV Direct"",""CRONUS JetCorp USA"",""21"",""1"",""283091"""</t>
  </si>
  <si>
    <t>=E6480</t>
  </si>
  <si>
    <t>=StartDate-$M6482+1</t>
  </si>
  <si>
    <t>=SUM(P6482:T6482)</t>
  </si>
  <si>
    <t>=IF($M6482&gt;=$P$18,U6482,0)</t>
  </si>
  <si>
    <t>=IF(AND($M6482&gt;=$Q$16,$M6482&lt;=$Q$18),U6482,0)</t>
  </si>
  <si>
    <t>=IF(AND($M6482&gt;=$R$16,$M6482&lt;=$R$18),U6482,0)</t>
  </si>
  <si>
    <t>=IF(AND($M6482&gt;=$S$16,$M6482&lt;=$S$18),U6482,0)</t>
  </si>
  <si>
    <t>=IF($M6482&lt;=$T$18,U6482,0)</t>
  </si>
  <si>
    <t>="""NAV Direct"",""CRONUS JetCorp USA"",""21"",""1"",""283312"""</t>
  </si>
  <si>
    <t>=E6481</t>
  </si>
  <si>
    <t>=StartDate-$M6483+1</t>
  </si>
  <si>
    <t>=SUM(P6483:T6483)</t>
  </si>
  <si>
    <t>=IF($M6483&gt;=$P$18,U6483,0)</t>
  </si>
  <si>
    <t>=IF(AND($M6483&gt;=$Q$16,$M6483&lt;=$Q$18),U6483,0)</t>
  </si>
  <si>
    <t>=IF(AND($M6483&gt;=$R$16,$M6483&lt;=$R$18),U6483,0)</t>
  </si>
  <si>
    <t>=IF(AND($M6483&gt;=$S$16,$M6483&lt;=$S$18),U6483,0)</t>
  </si>
  <si>
    <t>=IF($M6483&lt;=$T$18,U6483,0)</t>
  </si>
  <si>
    <t>="""NAV Direct"",""CRONUS JetCorp USA"",""21"",""1"",""283459"""</t>
  </si>
  <si>
    <t>=E6482</t>
  </si>
  <si>
    <t>=StartDate-$M6484+1</t>
  </si>
  <si>
    <t>=SUM(P6484:T6484)</t>
  </si>
  <si>
    <t>=IF($M6484&gt;=$P$18,U6484,0)</t>
  </si>
  <si>
    <t>=IF(AND($M6484&gt;=$Q$16,$M6484&lt;=$Q$18),U6484,0)</t>
  </si>
  <si>
    <t>=IF(AND($M6484&gt;=$R$16,$M6484&lt;=$R$18),U6484,0)</t>
  </si>
  <si>
    <t>=IF(AND($M6484&gt;=$S$16,$M6484&lt;=$S$18),U6484,0)</t>
  </si>
  <si>
    <t>=IF($M6484&lt;=$T$18,U6484,0)</t>
  </si>
  <si>
    <t>="""NAV Direct"",""CRONUS JetCorp USA"",""21"",""1"",""283511"""</t>
  </si>
  <si>
    <t>=E6483</t>
  </si>
  <si>
    <t>=StartDate-$M6485+1</t>
  </si>
  <si>
    <t>=SUM(P6485:T6485)</t>
  </si>
  <si>
    <t>=IF($M6485&gt;=$P$18,U6485,0)</t>
  </si>
  <si>
    <t>=IF(AND($M6485&gt;=$Q$16,$M6485&lt;=$Q$18),U6485,0)</t>
  </si>
  <si>
    <t>=IF(AND($M6485&gt;=$R$16,$M6485&lt;=$R$18),U6485,0)</t>
  </si>
  <si>
    <t>=IF(AND($M6485&gt;=$S$16,$M6485&lt;=$S$18),U6485,0)</t>
  </si>
  <si>
    <t>=IF($M6485&lt;=$T$18,U6485,0)</t>
  </si>
  <si>
    <t>="""NAV Direct"",""CRONUS JetCorp USA"",""21"",""1"",""283873"""</t>
  </si>
  <si>
    <t>=E6484</t>
  </si>
  <si>
    <t>=StartDate-$M6486+1</t>
  </si>
  <si>
    <t>=SUM(P6486:T6486)</t>
  </si>
  <si>
    <t>=IF($M6486&gt;=$P$18,U6486,0)</t>
  </si>
  <si>
    <t>=IF(AND($M6486&gt;=$Q$16,$M6486&lt;=$Q$18),U6486,0)</t>
  </si>
  <si>
    <t>=IF(AND($M6486&gt;=$R$16,$M6486&lt;=$R$18),U6486,0)</t>
  </si>
  <si>
    <t>=IF(AND($M6486&gt;=$S$16,$M6486&lt;=$S$18),U6486,0)</t>
  </si>
  <si>
    <t>=IF($M6486&lt;=$T$18,U6486,0)</t>
  </si>
  <si>
    <t>="""NAV Direct"",""CRONUS JetCorp USA"",""21"",""1"",""283928"""</t>
  </si>
  <si>
    <t>=E6485</t>
  </si>
  <si>
    <t>=StartDate-$M6487+1</t>
  </si>
  <si>
    <t>=SUM(P6487:T6487)</t>
  </si>
  <si>
    <t>=IF($M6487&gt;=$P$18,U6487,0)</t>
  </si>
  <si>
    <t>=IF(AND($M6487&gt;=$Q$16,$M6487&lt;=$Q$18),U6487,0)</t>
  </si>
  <si>
    <t>=IF(AND($M6487&gt;=$R$16,$M6487&lt;=$R$18),U6487,0)</t>
  </si>
  <si>
    <t>=IF(AND($M6487&gt;=$S$16,$M6487&lt;=$S$18),U6487,0)</t>
  </si>
  <si>
    <t>=IF($M6487&lt;=$T$18,U6487,0)</t>
  </si>
  <si>
    <t>="""NAV Direct"",""CRONUS JetCorp USA"",""21"",""1"",""285042"""</t>
  </si>
  <si>
    <t>=E6486</t>
  </si>
  <si>
    <t>=StartDate-$M6488+1</t>
  </si>
  <si>
    <t>=SUM(P6488:T6488)</t>
  </si>
  <si>
    <t>=IF($M6488&gt;=$P$18,U6488,0)</t>
  </si>
  <si>
    <t>=IF(AND($M6488&gt;=$Q$16,$M6488&lt;=$Q$18),U6488,0)</t>
  </si>
  <si>
    <t>=IF(AND($M6488&gt;=$R$16,$M6488&lt;=$R$18),U6488,0)</t>
  </si>
  <si>
    <t>=IF(AND($M6488&gt;=$S$16,$M6488&lt;=$S$18),U6488,0)</t>
  </si>
  <si>
    <t>=IF($M6488&lt;=$T$18,U6488,0)</t>
  </si>
  <si>
    <t>="""NAV Direct"",""CRONUS JetCorp USA"",""21"",""1"",""286326"""</t>
  </si>
  <si>
    <t>=E6487</t>
  </si>
  <si>
    <t>=StartDate-$M6489+1</t>
  </si>
  <si>
    <t>=SUM(P6489:T6489)</t>
  </si>
  <si>
    <t>=IF($M6489&gt;=$P$18,U6489,0)</t>
  </si>
  <si>
    <t>=IF(AND($M6489&gt;=$Q$16,$M6489&lt;=$Q$18),U6489,0)</t>
  </si>
  <si>
    <t>=IF(AND($M6489&gt;=$R$16,$M6489&lt;=$R$18),U6489,0)</t>
  </si>
  <si>
    <t>=IF(AND($M6489&gt;=$S$16,$M6489&lt;=$S$18),U6489,0)</t>
  </si>
  <si>
    <t>=IF($M6489&lt;=$T$18,U6489,0)</t>
  </si>
  <si>
    <t>="""NAV Direct"",""CRONUS JetCorp USA"",""21"",""1"",""287429"""</t>
  </si>
  <si>
    <t>=E6488</t>
  </si>
  <si>
    <t>=StartDate-$M6490+1</t>
  </si>
  <si>
    <t>=SUM(P6490:T6490)</t>
  </si>
  <si>
    <t>=IF($M6490&gt;=$P$18,U6490,0)</t>
  </si>
  <si>
    <t>=IF(AND($M6490&gt;=$Q$16,$M6490&lt;=$Q$18),U6490,0)</t>
  </si>
  <si>
    <t>=IF(AND($M6490&gt;=$R$16,$M6490&lt;=$R$18),U6490,0)</t>
  </si>
  <si>
    <t>=IF(AND($M6490&gt;=$S$16,$M6490&lt;=$S$18),U6490,0)</t>
  </si>
  <si>
    <t>=IF($M6490&lt;=$T$18,U6490,0)</t>
  </si>
  <si>
    <t>="""NAV Direct"",""CRONUS JetCorp USA"",""21"",""1"",""288060"""</t>
  </si>
  <si>
    <t>=E6489</t>
  </si>
  <si>
    <t>=StartDate-$M6491+1</t>
  </si>
  <si>
    <t>=SUM(P6491:T6491)</t>
  </si>
  <si>
    <t>=IF($M6491&gt;=$P$18,U6491,0)</t>
  </si>
  <si>
    <t>=IF(AND($M6491&gt;=$Q$16,$M6491&lt;=$Q$18),U6491,0)</t>
  </si>
  <si>
    <t>=IF(AND($M6491&gt;=$R$16,$M6491&lt;=$R$18),U6491,0)</t>
  </si>
  <si>
    <t>=IF(AND($M6491&gt;=$S$16,$M6491&lt;=$S$18),U6491,0)</t>
  </si>
  <si>
    <t>=IF($M6491&lt;=$T$18,U6491,0)</t>
  </si>
  <si>
    <t>="""NAV Direct"",""CRONUS JetCorp USA"",""21"",""1"",""288308"""</t>
  </si>
  <si>
    <t>=E6490</t>
  </si>
  <si>
    <t>=StartDate-$M6492+1</t>
  </si>
  <si>
    <t>=SUM(P6492:T6492)</t>
  </si>
  <si>
    <t>=IF($M6492&gt;=$P$18,U6492,0)</t>
  </si>
  <si>
    <t>=IF(AND($M6492&gt;=$Q$16,$M6492&lt;=$Q$18),U6492,0)</t>
  </si>
  <si>
    <t>=IF(AND($M6492&gt;=$R$16,$M6492&lt;=$R$18),U6492,0)</t>
  </si>
  <si>
    <t>=IF(AND($M6492&gt;=$S$16,$M6492&lt;=$S$18),U6492,0)</t>
  </si>
  <si>
    <t>=IF($M6492&lt;=$T$18,U6492,0)</t>
  </si>
  <si>
    <t>="""NAV Direct"",""CRONUS JetCorp USA"",""21"",""1"",""289719"""</t>
  </si>
  <si>
    <t>=E6491</t>
  </si>
  <si>
    <t>=StartDate-$M6493+1</t>
  </si>
  <si>
    <t>=SUM(P6493:T6493)</t>
  </si>
  <si>
    <t>=IF($M6493&gt;=$P$18,U6493,0)</t>
  </si>
  <si>
    <t>=IF(AND($M6493&gt;=$Q$16,$M6493&lt;=$Q$18),U6493,0)</t>
  </si>
  <si>
    <t>=IF(AND($M6493&gt;=$R$16,$M6493&lt;=$R$18),U6493,0)</t>
  </si>
  <si>
    <t>=IF(AND($M6493&gt;=$S$16,$M6493&lt;=$S$18),U6493,0)</t>
  </si>
  <si>
    <t>=IF($M6493&lt;=$T$18,U6493,0)</t>
  </si>
  <si>
    <t>="""NAV Direct"",""CRONUS JetCorp USA"",""21"",""1"",""290355"""</t>
  </si>
  <si>
    <t>=E6492</t>
  </si>
  <si>
    <t>=StartDate-$M6494+1</t>
  </si>
  <si>
    <t>=SUM(P6494:T6494)</t>
  </si>
  <si>
    <t>=IF($M6494&gt;=$P$18,U6494,0)</t>
  </si>
  <si>
    <t>=IF(AND($M6494&gt;=$Q$16,$M6494&lt;=$Q$18),U6494,0)</t>
  </si>
  <si>
    <t>=IF(AND($M6494&gt;=$R$16,$M6494&lt;=$R$18),U6494,0)</t>
  </si>
  <si>
    <t>=IF(AND($M6494&gt;=$S$16,$M6494&lt;=$S$18),U6494,0)</t>
  </si>
  <si>
    <t>=IF($M6494&lt;=$T$18,U6494,0)</t>
  </si>
  <si>
    <t>="""NAV Direct"",""CRONUS JetCorp USA"",""21"",""1"",""291741"""</t>
  </si>
  <si>
    <t>=E6493</t>
  </si>
  <si>
    <t>=StartDate-$M6495+1</t>
  </si>
  <si>
    <t>=SUM(P6495:T6495)</t>
  </si>
  <si>
    <t>=IF($M6495&gt;=$P$18,U6495,0)</t>
  </si>
  <si>
    <t>=IF(AND($M6495&gt;=$Q$16,$M6495&lt;=$Q$18),U6495,0)</t>
  </si>
  <si>
    <t>=IF(AND($M6495&gt;=$R$16,$M6495&lt;=$R$18),U6495,0)</t>
  </si>
  <si>
    <t>=IF(AND($M6495&gt;=$S$16,$M6495&lt;=$S$18),U6495,0)</t>
  </si>
  <si>
    <t>=IF($M6495&lt;=$T$18,U6495,0)</t>
  </si>
  <si>
    <t>="""NAV Direct"",""CRONUS JetCorp USA"",""21"",""1"",""291770"""</t>
  </si>
  <si>
    <t>=E6494</t>
  </si>
  <si>
    <t>=StartDate-$M6496+1</t>
  </si>
  <si>
    <t>=SUM(P6496:T6496)</t>
  </si>
  <si>
    <t>=IF($M6496&gt;=$P$18,U6496,0)</t>
  </si>
  <si>
    <t>=IF(AND($M6496&gt;=$Q$16,$M6496&lt;=$Q$18),U6496,0)</t>
  </si>
  <si>
    <t>=IF(AND($M6496&gt;=$R$16,$M6496&lt;=$R$18),U6496,0)</t>
  </si>
  <si>
    <t>=IF(AND($M6496&gt;=$S$16,$M6496&lt;=$S$18),U6496,0)</t>
  </si>
  <si>
    <t>=IF($M6496&lt;=$T$18,U6496,0)</t>
  </si>
  <si>
    <t>="""NAV Direct"",""CRONUS JetCorp USA"",""21"",""1"",""291878"""</t>
  </si>
  <si>
    <t>=E6495</t>
  </si>
  <si>
    <t>=StartDate-$M6497+1</t>
  </si>
  <si>
    <t>=SUM(P6497:T6497)</t>
  </si>
  <si>
    <t>=IF($M6497&gt;=$P$18,U6497,0)</t>
  </si>
  <si>
    <t>=IF(AND($M6497&gt;=$Q$16,$M6497&lt;=$Q$18),U6497,0)</t>
  </si>
  <si>
    <t>=IF(AND($M6497&gt;=$R$16,$M6497&lt;=$R$18),U6497,0)</t>
  </si>
  <si>
    <t>=IF(AND($M6497&gt;=$S$16,$M6497&lt;=$S$18),U6497,0)</t>
  </si>
  <si>
    <t>=IF($M6497&lt;=$T$18,U6497,0)</t>
  </si>
  <si>
    <t>="""NAV Direct"",""CRONUS JetCorp USA"",""21"",""1"",""292639"""</t>
  </si>
  <si>
    <t>=E6496</t>
  </si>
  <si>
    <t>=StartDate-$M6498+1</t>
  </si>
  <si>
    <t>=SUM(P6498:T6498)</t>
  </si>
  <si>
    <t>=IF($M6498&gt;=$P$18,U6498,0)</t>
  </si>
  <si>
    <t>=IF(AND($M6498&gt;=$Q$16,$M6498&lt;=$Q$18),U6498,0)</t>
  </si>
  <si>
    <t>=IF(AND($M6498&gt;=$R$16,$M6498&lt;=$R$18),U6498,0)</t>
  </si>
  <si>
    <t>=IF(AND($M6498&gt;=$S$16,$M6498&lt;=$S$18),U6498,0)</t>
  </si>
  <si>
    <t>=IF($M6498&lt;=$T$18,U6498,0)</t>
  </si>
  <si>
    <t>="""NAV Direct"",""CRONUS JetCorp USA"",""21"",""1"",""294736"""</t>
  </si>
  <si>
    <t>=E6497</t>
  </si>
  <si>
    <t>=StartDate-$M6499+1</t>
  </si>
  <si>
    <t>=SUM(P6499:T6499)</t>
  </si>
  <si>
    <t>=IF($M6499&gt;=$P$18,U6499,0)</t>
  </si>
  <si>
    <t>=IF(AND($M6499&gt;=$Q$16,$M6499&lt;=$Q$18),U6499,0)</t>
  </si>
  <si>
    <t>=IF(AND($M6499&gt;=$R$16,$M6499&lt;=$R$18),U6499,0)</t>
  </si>
  <si>
    <t>=IF(AND($M6499&gt;=$S$16,$M6499&lt;=$S$18),U6499,0)</t>
  </si>
  <si>
    <t>=IF($M6499&lt;=$T$18,U6499,0)</t>
  </si>
  <si>
    <t>="""NAV Direct"",""CRONUS JetCorp USA"",""21"",""1"",""296906"""</t>
  </si>
  <si>
    <t>=E6498</t>
  </si>
  <si>
    <t>=StartDate-$M6500+1</t>
  </si>
  <si>
    <t>=SUM(P6500:T6500)</t>
  </si>
  <si>
    <t>=IF($M6500&gt;=$P$18,U6500,0)</t>
  </si>
  <si>
    <t>=IF(AND($M6500&gt;=$Q$16,$M6500&lt;=$Q$18),U6500,0)</t>
  </si>
  <si>
    <t>=IF(AND($M6500&gt;=$R$16,$M6500&lt;=$R$18),U6500,0)</t>
  </si>
  <si>
    <t>=IF(AND($M6500&gt;=$S$16,$M6500&lt;=$S$18),U6500,0)</t>
  </si>
  <si>
    <t>=IF($M6500&lt;=$T$18,U6500,0)</t>
  </si>
  <si>
    <t>="""NAV Direct"",""CRONUS JetCorp USA"",""21"",""1"",""297119"""</t>
  </si>
  <si>
    <t>=E6499</t>
  </si>
  <si>
    <t>=StartDate-$M6501+1</t>
  </si>
  <si>
    <t>=SUM(P6501:T6501)</t>
  </si>
  <si>
    <t>=IF($M6501&gt;=$P$18,U6501,0)</t>
  </si>
  <si>
    <t>=IF(AND($M6501&gt;=$Q$16,$M6501&lt;=$Q$18),U6501,0)</t>
  </si>
  <si>
    <t>=IF(AND($M6501&gt;=$R$16,$M6501&lt;=$R$18),U6501,0)</t>
  </si>
  <si>
    <t>=IF(AND($M6501&gt;=$S$16,$M6501&lt;=$S$18),U6501,0)</t>
  </si>
  <si>
    <t>=IF($M6501&lt;=$T$18,U6501,0)</t>
  </si>
  <si>
    <t>="""NAV Direct"",""CRONUS JetCorp USA"",""21"",""1"",""298493"""</t>
  </si>
  <si>
    <t>=E6500</t>
  </si>
  <si>
    <t>=StartDate-$M6502+1</t>
  </si>
  <si>
    <t>=SUM(P6502:T6502)</t>
  </si>
  <si>
    <t>=IF($M6502&gt;=$P$18,U6502,0)</t>
  </si>
  <si>
    <t>=IF(AND($M6502&gt;=$Q$16,$M6502&lt;=$Q$18),U6502,0)</t>
  </si>
  <si>
    <t>=IF(AND($M6502&gt;=$R$16,$M6502&lt;=$R$18),U6502,0)</t>
  </si>
  <si>
    <t>=IF(AND($M6502&gt;=$S$16,$M6502&lt;=$S$18),U6502,0)</t>
  </si>
  <si>
    <t>=IF($M6502&lt;=$T$18,U6502,0)</t>
  </si>
  <si>
    <t>="""NAV Direct"",""CRONUS JetCorp USA"",""21"",""1"",""299490"""</t>
  </si>
  <si>
    <t>=E6501</t>
  </si>
  <si>
    <t>=StartDate-$M6503+1</t>
  </si>
  <si>
    <t>=SUM(P6503:T6503)</t>
  </si>
  <si>
    <t>=IF($M6503&gt;=$P$18,U6503,0)</t>
  </si>
  <si>
    <t>=IF(AND($M6503&gt;=$Q$16,$M6503&lt;=$Q$18),U6503,0)</t>
  </si>
  <si>
    <t>=IF(AND($M6503&gt;=$R$16,$M6503&lt;=$R$18),U6503,0)</t>
  </si>
  <si>
    <t>=IF(AND($M6503&gt;=$S$16,$M6503&lt;=$S$18),U6503,0)</t>
  </si>
  <si>
    <t>=IF($M6503&lt;=$T$18,U6503,0)</t>
  </si>
  <si>
    <t>="""NAV Direct"",""CRONUS JetCorp USA"",""21"",""1"",""299587"""</t>
  </si>
  <si>
    <t>=E6502</t>
  </si>
  <si>
    <t>=StartDate-$M6504+1</t>
  </si>
  <si>
    <t>=SUM(P6504:T6504)</t>
  </si>
  <si>
    <t>=IF($M6504&gt;=$P$18,U6504,0)</t>
  </si>
  <si>
    <t>=IF(AND($M6504&gt;=$Q$16,$M6504&lt;=$Q$18),U6504,0)</t>
  </si>
  <si>
    <t>=IF(AND($M6504&gt;=$R$16,$M6504&lt;=$R$18),U6504,0)</t>
  </si>
  <si>
    <t>=IF(AND($M6504&gt;=$S$16,$M6504&lt;=$S$18),U6504,0)</t>
  </si>
  <si>
    <t>=IF($M6504&lt;=$T$18,U6504,0)</t>
  </si>
  <si>
    <t>="""NAV Direct"",""CRONUS JetCorp USA"",""21"",""1"",""300924"""</t>
  </si>
  <si>
    <t>=E6503</t>
  </si>
  <si>
    <t>=StartDate-$M6505+1</t>
  </si>
  <si>
    <t>=SUM(P6505:T6505)</t>
  </si>
  <si>
    <t>=IF($M6505&gt;=$P$18,U6505,0)</t>
  </si>
  <si>
    <t>=IF(AND($M6505&gt;=$Q$16,$M6505&lt;=$Q$18),U6505,0)</t>
  </si>
  <si>
    <t>=IF(AND($M6505&gt;=$R$16,$M6505&lt;=$R$18),U6505,0)</t>
  </si>
  <si>
    <t>=IF(AND($M6505&gt;=$S$16,$M6505&lt;=$S$18),U6505,0)</t>
  </si>
  <si>
    <t>=IF($M6505&lt;=$T$18,U6505,0)</t>
  </si>
  <si>
    <t>="""NAV Direct"",""CRONUS JetCorp USA"",""21"",""1"",""301393"""</t>
  </si>
  <si>
    <t>=E6504</t>
  </si>
  <si>
    <t>=StartDate-$M6506+1</t>
  </si>
  <si>
    <t>=SUM(P6506:T6506)</t>
  </si>
  <si>
    <t>=IF($M6506&gt;=$P$18,U6506,0)</t>
  </si>
  <si>
    <t>=IF(AND($M6506&gt;=$Q$16,$M6506&lt;=$Q$18),U6506,0)</t>
  </si>
  <si>
    <t>=IF(AND($M6506&gt;=$R$16,$M6506&lt;=$R$18),U6506,0)</t>
  </si>
  <si>
    <t>=IF(AND($M6506&gt;=$S$16,$M6506&lt;=$S$18),U6506,0)</t>
  </si>
  <si>
    <t>=IF($M6506&lt;=$T$18,U6506,0)</t>
  </si>
  <si>
    <t>="""NAV Direct"",""CRONUS JetCorp USA"",""21"",""1"",""301666"""</t>
  </si>
  <si>
    <t>=E6505</t>
  </si>
  <si>
    <t>=StartDate-$M6507+1</t>
  </si>
  <si>
    <t>=SUM(P6507:T6507)</t>
  </si>
  <si>
    <t>=IF($M6507&gt;=$P$18,U6507,0)</t>
  </si>
  <si>
    <t>=IF(AND($M6507&gt;=$Q$16,$M6507&lt;=$Q$18),U6507,0)</t>
  </si>
  <si>
    <t>=IF(AND($M6507&gt;=$R$16,$M6507&lt;=$R$18),U6507,0)</t>
  </si>
  <si>
    <t>=IF(AND($M6507&gt;=$S$16,$M6507&lt;=$S$18),U6507,0)</t>
  </si>
  <si>
    <t>=IF($M6507&lt;=$T$18,U6507,0)</t>
  </si>
  <si>
    <t>="""NAV Direct"",""CRONUS JetCorp USA"",""21"",""1"",""301995"""</t>
  </si>
  <si>
    <t>=E6506</t>
  </si>
  <si>
    <t>=StartDate-$M6508+1</t>
  </si>
  <si>
    <t>=SUM(P6508:T6508)</t>
  </si>
  <si>
    <t>=IF($M6508&gt;=$P$18,U6508,0)</t>
  </si>
  <si>
    <t>=IF(AND($M6508&gt;=$Q$16,$M6508&lt;=$Q$18),U6508,0)</t>
  </si>
  <si>
    <t>=IF(AND($M6508&gt;=$R$16,$M6508&lt;=$R$18),U6508,0)</t>
  </si>
  <si>
    <t>=IF(AND($M6508&gt;=$S$16,$M6508&lt;=$S$18),U6508,0)</t>
  </si>
  <si>
    <t>=IF($M6508&lt;=$T$18,U6508,0)</t>
  </si>
  <si>
    <t>="""NAV Direct"",""CRONUS JetCorp USA"",""21"",""1"",""302829"""</t>
  </si>
  <si>
    <t>=E6507</t>
  </si>
  <si>
    <t>=StartDate-$M6509+1</t>
  </si>
  <si>
    <t>=SUM(P6509:T6509)</t>
  </si>
  <si>
    <t>=IF($M6509&gt;=$P$18,U6509,0)</t>
  </si>
  <si>
    <t>=IF(AND($M6509&gt;=$Q$16,$M6509&lt;=$Q$18),U6509,0)</t>
  </si>
  <si>
    <t>=IF(AND($M6509&gt;=$R$16,$M6509&lt;=$R$18),U6509,0)</t>
  </si>
  <si>
    <t>=IF(AND($M6509&gt;=$S$16,$M6509&lt;=$S$18),U6509,0)</t>
  </si>
  <si>
    <t>=IF($M6509&lt;=$T$18,U6509,0)</t>
  </si>
  <si>
    <t>="""NAV Direct"",""CRONUS JetCorp USA"",""18"",""1"",""C100527"""</t>
  </si>
  <si>
    <t>=H6512</t>
  </si>
  <si>
    <t>=NF($C6512,"1 No.")</t>
  </si>
  <si>
    <t>=NF($C6512,"1 No.")&amp;"  -  "&amp;NF($C6512,"2 Name")</t>
  </si>
  <si>
    <t>=IFERROR(O6512/NF(C6512,"Credit Limit (LCY)"),"")</t>
  </si>
  <si>
    <t>=SUBTOTAL(3,L6513:L6561)</t>
  </si>
  <si>
    <t>=SUBTOTAL(9,O6513:O6561)</t>
  </si>
  <si>
    <t>=SUBTOTAL(9,P6513:P6561)</t>
  </si>
  <si>
    <t>=SUBTOTAL(9,Q6513:Q6561)</t>
  </si>
  <si>
    <t>=SUBTOTAL(9,R6513:R6561)</t>
  </si>
  <si>
    <t>=SUBTOTAL(9,S6513:S6561)</t>
  </si>
  <si>
    <t>=SUBTOTAL(9,T6513:T6561)</t>
  </si>
  <si>
    <t>=C6512</t>
  </si>
  <si>
    <t>=E6512</t>
  </si>
  <si>
    <t>="Contact: "&amp;NF($C6513,"8 Contact")</t>
  </si>
  <si>
    <t>=C6513</t>
  </si>
  <si>
    <t>=E6513</t>
  </si>
  <si>
    <t>=NF($C6514,"102 E-Mail")</t>
  </si>
  <si>
    <t>=NL("Rows","21 Cust. Ledger Entry",,"3 Customer No.","@@"&amp;$E6516,"16 Remaining Amt. (LCY)","&lt;&gt;0")</t>
  </si>
  <si>
    <t>=E6514</t>
  </si>
  <si>
    <t>=StartDate-$M6516+1</t>
  </si>
  <si>
    <t>=SUM(P6516:T6516)</t>
  </si>
  <si>
    <t>=IF($M6516&gt;=$P$18,U6516,0)</t>
  </si>
  <si>
    <t>=IF(AND($M6516&gt;=$Q$16,$M6516&lt;=$Q$18),U6516,0)</t>
  </si>
  <si>
    <t>=IF(AND($M6516&gt;=$R$16,$M6516&lt;=$R$18),U6516,0)</t>
  </si>
  <si>
    <t>=IF(AND($M6516&gt;=$S$16,$M6516&lt;=$S$18),U6516,0)</t>
  </si>
  <si>
    <t>=IF($M6516&lt;=$T$18,U6516,0)</t>
  </si>
  <si>
    <t>="""NAV Direct"",""CRONUS JetCorp USA"",""21"",""1"",""282498"""</t>
  </si>
  <si>
    <t>=E6515</t>
  </si>
  <si>
    <t>=StartDate-$M6517+1</t>
  </si>
  <si>
    <t>=SUM(P6517:T6517)</t>
  </si>
  <si>
    <t>=IF($M6517&gt;=$P$18,U6517,0)</t>
  </si>
  <si>
    <t>=IF(AND($M6517&gt;=$Q$16,$M6517&lt;=$Q$18),U6517,0)</t>
  </si>
  <si>
    <t>=IF(AND($M6517&gt;=$R$16,$M6517&lt;=$R$18),U6517,0)</t>
  </si>
  <si>
    <t>=IF(AND($M6517&gt;=$S$16,$M6517&lt;=$S$18),U6517,0)</t>
  </si>
  <si>
    <t>=IF($M6517&lt;=$T$18,U6517,0)</t>
  </si>
  <si>
    <t>="""NAV Direct"",""CRONUS JetCorp USA"",""21"",""1"",""282858"""</t>
  </si>
  <si>
    <t>=E6516</t>
  </si>
  <si>
    <t>=StartDate-$M6518+1</t>
  </si>
  <si>
    <t>=SUM(P6518:T6518)</t>
  </si>
  <si>
    <t>=IF($M6518&gt;=$P$18,U6518,0)</t>
  </si>
  <si>
    <t>=IF(AND($M6518&gt;=$Q$16,$M6518&lt;=$Q$18),U6518,0)</t>
  </si>
  <si>
    <t>=IF(AND($M6518&gt;=$R$16,$M6518&lt;=$R$18),U6518,0)</t>
  </si>
  <si>
    <t>=IF(AND($M6518&gt;=$S$16,$M6518&lt;=$S$18),U6518,0)</t>
  </si>
  <si>
    <t>=IF($M6518&lt;=$T$18,U6518,0)</t>
  </si>
  <si>
    <t>="""NAV Direct"",""CRONUS JetCorp USA"",""21"",""1"",""283170"""</t>
  </si>
  <si>
    <t>=E6517</t>
  </si>
  <si>
    <t>=StartDate-$M6519+1</t>
  </si>
  <si>
    <t>=SUM(P6519:T6519)</t>
  </si>
  <si>
    <t>=IF($M6519&gt;=$P$18,U6519,0)</t>
  </si>
  <si>
    <t>=IF(AND($M6519&gt;=$Q$16,$M6519&lt;=$Q$18),U6519,0)</t>
  </si>
  <si>
    <t>=IF(AND($M6519&gt;=$R$16,$M6519&lt;=$R$18),U6519,0)</t>
  </si>
  <si>
    <t>=IF(AND($M6519&gt;=$S$16,$M6519&lt;=$S$18),U6519,0)</t>
  </si>
  <si>
    <t>=IF($M6519&lt;=$T$18,U6519,0)</t>
  </si>
  <si>
    <t>="""NAV Direct"",""CRONUS JetCorp USA"",""21"",""1"",""283335"""</t>
  </si>
  <si>
    <t>=E6518</t>
  </si>
  <si>
    <t>=StartDate-$M6520+1</t>
  </si>
  <si>
    <t>=SUM(P6520:T6520)</t>
  </si>
  <si>
    <t>=IF($M6520&gt;=$P$18,U6520,0)</t>
  </si>
  <si>
    <t>=IF(AND($M6520&gt;=$Q$16,$M6520&lt;=$Q$18),U6520,0)</t>
  </si>
  <si>
    <t>=IF(AND($M6520&gt;=$R$16,$M6520&lt;=$R$18),U6520,0)</t>
  </si>
  <si>
    <t>=IF(AND($M6520&gt;=$S$16,$M6520&lt;=$S$18),U6520,0)</t>
  </si>
  <si>
    <t>=IF($M6520&lt;=$T$18,U6520,0)</t>
  </si>
  <si>
    <t>="""NAV Direct"",""CRONUS JetCorp USA"",""21"",""1"",""283406"""</t>
  </si>
  <si>
    <t>=E6519</t>
  </si>
  <si>
    <t>=StartDate-$M6521+1</t>
  </si>
  <si>
    <t>=SUM(P6521:T6521)</t>
  </si>
  <si>
    <t>=IF($M6521&gt;=$P$18,U6521,0)</t>
  </si>
  <si>
    <t>=IF(AND($M6521&gt;=$Q$16,$M6521&lt;=$Q$18),U6521,0)</t>
  </si>
  <si>
    <t>=IF(AND($M6521&gt;=$R$16,$M6521&lt;=$R$18),U6521,0)</t>
  </si>
  <si>
    <t>=IF(AND($M6521&gt;=$S$16,$M6521&lt;=$S$18),U6521,0)</t>
  </si>
  <si>
    <t>=IF($M6521&lt;=$T$18,U6521,0)</t>
  </si>
  <si>
    <t>="""NAV Direct"",""CRONUS JetCorp USA"",""21"",""1"",""284103"""</t>
  </si>
  <si>
    <t>=E6520</t>
  </si>
  <si>
    <t>=StartDate-$M6522+1</t>
  </si>
  <si>
    <t>=SUM(P6522:T6522)</t>
  </si>
  <si>
    <t>=IF($M6522&gt;=$P$18,U6522,0)</t>
  </si>
  <si>
    <t>=IF(AND($M6522&gt;=$Q$16,$M6522&lt;=$Q$18),U6522,0)</t>
  </si>
  <si>
    <t>=IF(AND($M6522&gt;=$R$16,$M6522&lt;=$R$18),U6522,0)</t>
  </si>
  <si>
    <t>=IF(AND($M6522&gt;=$S$16,$M6522&lt;=$S$18),U6522,0)</t>
  </si>
  <si>
    <t>=IF($M6522&lt;=$T$18,U6522,0)</t>
  </si>
  <si>
    <t>="""NAV Direct"",""CRONUS JetCorp USA"",""21"",""1"",""284683"""</t>
  </si>
  <si>
    <t>=E6521</t>
  </si>
  <si>
    <t>=StartDate-$M6523+1</t>
  </si>
  <si>
    <t>=SUM(P6523:T6523)</t>
  </si>
  <si>
    <t>=IF($M6523&gt;=$P$18,U6523,0)</t>
  </si>
  <si>
    <t>=IF(AND($M6523&gt;=$Q$16,$M6523&lt;=$Q$18),U6523,0)</t>
  </si>
  <si>
    <t>=IF(AND($M6523&gt;=$R$16,$M6523&lt;=$R$18),U6523,0)</t>
  </si>
  <si>
    <t>=IF(AND($M6523&gt;=$S$16,$M6523&lt;=$S$18),U6523,0)</t>
  </si>
  <si>
    <t>=IF($M6523&lt;=$T$18,U6523,0)</t>
  </si>
  <si>
    <t>="""NAV Direct"",""CRONUS JetCorp USA"",""21"",""1"",""284887"""</t>
  </si>
  <si>
    <t>=E6522</t>
  </si>
  <si>
    <t>=StartDate-$M6524+1</t>
  </si>
  <si>
    <t>=SUM(P6524:T6524)</t>
  </si>
  <si>
    <t>=IF($M6524&gt;=$P$18,U6524,0)</t>
  </si>
  <si>
    <t>=IF(AND($M6524&gt;=$Q$16,$M6524&lt;=$Q$18),U6524,0)</t>
  </si>
  <si>
    <t>=IF(AND($M6524&gt;=$R$16,$M6524&lt;=$R$18),U6524,0)</t>
  </si>
  <si>
    <t>=IF(AND($M6524&gt;=$S$16,$M6524&lt;=$S$18),U6524,0)</t>
  </si>
  <si>
    <t>=IF($M6524&lt;=$T$18,U6524,0)</t>
  </si>
  <si>
    <t>="""NAV Direct"",""CRONUS JetCorp USA"",""21"",""1"",""284993"""</t>
  </si>
  <si>
    <t>=E6523</t>
  </si>
  <si>
    <t>=StartDate-$M6525+1</t>
  </si>
  <si>
    <t>=SUM(P6525:T6525)</t>
  </si>
  <si>
    <t>=IF($M6525&gt;=$P$18,U6525,0)</t>
  </si>
  <si>
    <t>=IF(AND($M6525&gt;=$Q$16,$M6525&lt;=$Q$18),U6525,0)</t>
  </si>
  <si>
    <t>=IF(AND($M6525&gt;=$R$16,$M6525&lt;=$R$18),U6525,0)</t>
  </si>
  <si>
    <t>=IF(AND($M6525&gt;=$S$16,$M6525&lt;=$S$18),U6525,0)</t>
  </si>
  <si>
    <t>=IF($M6525&lt;=$T$18,U6525,0)</t>
  </si>
  <si>
    <t>="""NAV Direct"",""CRONUS JetCorp USA"",""21"",""1"",""285235"""</t>
  </si>
  <si>
    <t>=E6524</t>
  </si>
  <si>
    <t>=StartDate-$M6526+1</t>
  </si>
  <si>
    <t>=SUM(P6526:T6526)</t>
  </si>
  <si>
    <t>=IF($M6526&gt;=$P$18,U6526,0)</t>
  </si>
  <si>
    <t>=IF(AND($M6526&gt;=$Q$16,$M6526&lt;=$Q$18),U6526,0)</t>
  </si>
  <si>
    <t>=IF(AND($M6526&gt;=$R$16,$M6526&lt;=$R$18),U6526,0)</t>
  </si>
  <si>
    <t>=IF(AND($M6526&gt;=$S$16,$M6526&lt;=$S$18),U6526,0)</t>
  </si>
  <si>
    <t>=IF($M6526&lt;=$T$18,U6526,0)</t>
  </si>
  <si>
    <t>="""NAV Direct"",""CRONUS JetCorp USA"",""21"",""1"",""285399"""</t>
  </si>
  <si>
    <t>=E6525</t>
  </si>
  <si>
    <t>=StartDate-$M6527+1</t>
  </si>
  <si>
    <t>=SUM(P6527:T6527)</t>
  </si>
  <si>
    <t>=IF($M6527&gt;=$P$18,U6527,0)</t>
  </si>
  <si>
    <t>=IF(AND($M6527&gt;=$Q$16,$M6527&lt;=$Q$18),U6527,0)</t>
  </si>
  <si>
    <t>=IF(AND($M6527&gt;=$R$16,$M6527&lt;=$R$18),U6527,0)</t>
  </si>
  <si>
    <t>=IF(AND($M6527&gt;=$S$16,$M6527&lt;=$S$18),U6527,0)</t>
  </si>
  <si>
    <t>=IF($M6527&lt;=$T$18,U6527,0)</t>
  </si>
  <si>
    <t>="""NAV Direct"",""CRONUS JetCorp USA"",""21"",""1"",""285451"""</t>
  </si>
  <si>
    <t>=E6526</t>
  </si>
  <si>
    <t>=StartDate-$M6528+1</t>
  </si>
  <si>
    <t>=SUM(P6528:T6528)</t>
  </si>
  <si>
    <t>=IF($M6528&gt;=$P$18,U6528,0)</t>
  </si>
  <si>
    <t>=IF(AND($M6528&gt;=$Q$16,$M6528&lt;=$Q$18),U6528,0)</t>
  </si>
  <si>
    <t>=IF(AND($M6528&gt;=$R$16,$M6528&lt;=$R$18),U6528,0)</t>
  </si>
  <si>
    <t>=IF(AND($M6528&gt;=$S$16,$M6528&lt;=$S$18),U6528,0)</t>
  </si>
  <si>
    <t>=IF($M6528&lt;=$T$18,U6528,0)</t>
  </si>
  <si>
    <t>="""NAV Direct"",""CRONUS JetCorp USA"",""21"",""1"",""285574"""</t>
  </si>
  <si>
    <t>=E6527</t>
  </si>
  <si>
    <t>=StartDate-$M6529+1</t>
  </si>
  <si>
    <t>=SUM(P6529:T6529)</t>
  </si>
  <si>
    <t>=IF($M6529&gt;=$P$18,U6529,0)</t>
  </si>
  <si>
    <t>=IF(AND($M6529&gt;=$Q$16,$M6529&lt;=$Q$18),U6529,0)</t>
  </si>
  <si>
    <t>=IF(AND($M6529&gt;=$R$16,$M6529&lt;=$R$18),U6529,0)</t>
  </si>
  <si>
    <t>=IF(AND($M6529&gt;=$S$16,$M6529&lt;=$S$18),U6529,0)</t>
  </si>
  <si>
    <t>=IF($M6529&lt;=$T$18,U6529,0)</t>
  </si>
  <si>
    <t>="""NAV Direct"",""CRONUS JetCorp USA"",""21"",""1"",""285657"""</t>
  </si>
  <si>
    <t>=E6528</t>
  </si>
  <si>
    <t>=StartDate-$M6530+1</t>
  </si>
  <si>
    <t>=SUM(P6530:T6530)</t>
  </si>
  <si>
    <t>=IF($M6530&gt;=$P$18,U6530,0)</t>
  </si>
  <si>
    <t>=IF(AND($M6530&gt;=$Q$16,$M6530&lt;=$Q$18),U6530,0)</t>
  </si>
  <si>
    <t>=IF(AND($M6530&gt;=$R$16,$M6530&lt;=$R$18),U6530,0)</t>
  </si>
  <si>
    <t>=IF(AND($M6530&gt;=$S$16,$M6530&lt;=$S$18),U6530,0)</t>
  </si>
  <si>
    <t>=IF($M6530&lt;=$T$18,U6530,0)</t>
  </si>
  <si>
    <t>="""NAV Direct"",""CRONUS JetCorp USA"",""21"",""1"",""285980"""</t>
  </si>
  <si>
    <t>=E6529</t>
  </si>
  <si>
    <t>=StartDate-$M6531+1</t>
  </si>
  <si>
    <t>=SUM(P6531:T6531)</t>
  </si>
  <si>
    <t>=IF($M6531&gt;=$P$18,U6531,0)</t>
  </si>
  <si>
    <t>=IF(AND($M6531&gt;=$Q$16,$M6531&lt;=$Q$18),U6531,0)</t>
  </si>
  <si>
    <t>=IF(AND($M6531&gt;=$R$16,$M6531&lt;=$R$18),U6531,0)</t>
  </si>
  <si>
    <t>=IF(AND($M6531&gt;=$S$16,$M6531&lt;=$S$18),U6531,0)</t>
  </si>
  <si>
    <t>=IF($M6531&lt;=$T$18,U6531,0)</t>
  </si>
  <si>
    <t>="""NAV Direct"",""CRONUS JetCorp USA"",""21"",""1"",""286826"""</t>
  </si>
  <si>
    <t>=E6530</t>
  </si>
  <si>
    <t>=StartDate-$M6532+1</t>
  </si>
  <si>
    <t>=SUM(P6532:T6532)</t>
  </si>
  <si>
    <t>=IF($M6532&gt;=$P$18,U6532,0)</t>
  </si>
  <si>
    <t>=IF(AND($M6532&gt;=$Q$16,$M6532&lt;=$Q$18),U6532,0)</t>
  </si>
  <si>
    <t>=IF(AND($M6532&gt;=$R$16,$M6532&lt;=$R$18),U6532,0)</t>
  </si>
  <si>
    <t>=IF(AND($M6532&gt;=$S$16,$M6532&lt;=$S$18),U6532,0)</t>
  </si>
  <si>
    <t>=IF($M6532&lt;=$T$18,U6532,0)</t>
  </si>
  <si>
    <t>="""NAV Direct"",""CRONUS JetCorp USA"",""21"",""1"",""287037"""</t>
  </si>
  <si>
    <t>=E6531</t>
  </si>
  <si>
    <t>=StartDate-$M6533+1</t>
  </si>
  <si>
    <t>=SUM(P6533:T6533)</t>
  </si>
  <si>
    <t>=IF($M6533&gt;=$P$18,U6533,0)</t>
  </si>
  <si>
    <t>=IF(AND($M6533&gt;=$Q$16,$M6533&lt;=$Q$18),U6533,0)</t>
  </si>
  <si>
    <t>=IF(AND($M6533&gt;=$R$16,$M6533&lt;=$R$18),U6533,0)</t>
  </si>
  <si>
    <t>=IF(AND($M6533&gt;=$S$16,$M6533&lt;=$S$18),U6533,0)</t>
  </si>
  <si>
    <t>=IF($M6533&lt;=$T$18,U6533,0)</t>
  </si>
  <si>
    <t>="""NAV Direct"",""CRONUS JetCorp USA"",""21"",""1"",""287589"""</t>
  </si>
  <si>
    <t>=E6532</t>
  </si>
  <si>
    <t>=StartDate-$M6534+1</t>
  </si>
  <si>
    <t>=SUM(P6534:T6534)</t>
  </si>
  <si>
    <t>=IF($M6534&gt;=$P$18,U6534,0)</t>
  </si>
  <si>
    <t>=IF(AND($M6534&gt;=$Q$16,$M6534&lt;=$Q$18),U6534,0)</t>
  </si>
  <si>
    <t>=IF(AND($M6534&gt;=$R$16,$M6534&lt;=$R$18),U6534,0)</t>
  </si>
  <si>
    <t>=IF(AND($M6534&gt;=$S$16,$M6534&lt;=$S$18),U6534,0)</t>
  </si>
  <si>
    <t>=IF($M6534&lt;=$T$18,U6534,0)</t>
  </si>
  <si>
    <t>="""NAV Direct"",""CRONUS JetCorp USA"",""21"",""1"",""289682"""</t>
  </si>
  <si>
    <t>=E6533</t>
  </si>
  <si>
    <t>=StartDate-$M6535+1</t>
  </si>
  <si>
    <t>=SUM(P6535:T6535)</t>
  </si>
  <si>
    <t>=IF($M6535&gt;=$P$18,U6535,0)</t>
  </si>
  <si>
    <t>=IF(AND($M6535&gt;=$Q$16,$M6535&lt;=$Q$18),U6535,0)</t>
  </si>
  <si>
    <t>=IF(AND($M6535&gt;=$R$16,$M6535&lt;=$R$18),U6535,0)</t>
  </si>
  <si>
    <t>=IF(AND($M6535&gt;=$S$16,$M6535&lt;=$S$18),U6535,0)</t>
  </si>
  <si>
    <t>=IF($M6535&lt;=$T$18,U6535,0)</t>
  </si>
  <si>
    <t>="""NAV Direct"",""CRONUS JetCorp USA"",""21"",""1"",""289848"""</t>
  </si>
  <si>
    <t>=E6534</t>
  </si>
  <si>
    <t>=StartDate-$M6536+1</t>
  </si>
  <si>
    <t>=SUM(P6536:T6536)</t>
  </si>
  <si>
    <t>=IF($M6536&gt;=$P$18,U6536,0)</t>
  </si>
  <si>
    <t>=IF(AND($M6536&gt;=$Q$16,$M6536&lt;=$Q$18),U6536,0)</t>
  </si>
  <si>
    <t>=IF(AND($M6536&gt;=$R$16,$M6536&lt;=$R$18),U6536,0)</t>
  </si>
  <si>
    <t>=IF(AND($M6536&gt;=$S$16,$M6536&lt;=$S$18),U6536,0)</t>
  </si>
  <si>
    <t>=IF($M6536&lt;=$T$18,U6536,0)</t>
  </si>
  <si>
    <t>="""NAV Direct"",""CRONUS JetCorp USA"",""21"",""1"",""290416"""</t>
  </si>
  <si>
    <t>=E6535</t>
  </si>
  <si>
    <t>=StartDate-$M6537+1</t>
  </si>
  <si>
    <t>=SUM(P6537:T6537)</t>
  </si>
  <si>
    <t>=IF($M6537&gt;=$P$18,U6537,0)</t>
  </si>
  <si>
    <t>=IF(AND($M6537&gt;=$Q$16,$M6537&lt;=$Q$18),U6537,0)</t>
  </si>
  <si>
    <t>=IF(AND($M6537&gt;=$R$16,$M6537&lt;=$R$18),U6537,0)</t>
  </si>
  <si>
    <t>=IF(AND($M6537&gt;=$S$16,$M6537&lt;=$S$18),U6537,0)</t>
  </si>
  <si>
    <t>=IF($M6537&lt;=$T$18,U6537,0)</t>
  </si>
  <si>
    <t>="""NAV Direct"",""CRONUS JetCorp USA"",""21"",""1"",""291024"""</t>
  </si>
  <si>
    <t>=E6536</t>
  </si>
  <si>
    <t>=StartDate-$M6538+1</t>
  </si>
  <si>
    <t>=SUM(P6538:T6538)</t>
  </si>
  <si>
    <t>=IF($M6538&gt;=$P$18,U6538,0)</t>
  </si>
  <si>
    <t>=IF(AND($M6538&gt;=$Q$16,$M6538&lt;=$Q$18),U6538,0)</t>
  </si>
  <si>
    <t>=IF(AND($M6538&gt;=$R$16,$M6538&lt;=$R$18),U6538,0)</t>
  </si>
  <si>
    <t>=IF(AND($M6538&gt;=$S$16,$M6538&lt;=$S$18),U6538,0)</t>
  </si>
  <si>
    <t>=IF($M6538&lt;=$T$18,U6538,0)</t>
  </si>
  <si>
    <t>="""NAV Direct"",""CRONUS JetCorp USA"",""21"",""1"",""291424"""</t>
  </si>
  <si>
    <t>=E6537</t>
  </si>
  <si>
    <t>=StartDate-$M6539+1</t>
  </si>
  <si>
    <t>=SUM(P6539:T6539)</t>
  </si>
  <si>
    <t>=IF($M6539&gt;=$P$18,U6539,0)</t>
  </si>
  <si>
    <t>=IF(AND($M6539&gt;=$Q$16,$M6539&lt;=$Q$18),U6539,0)</t>
  </si>
  <si>
    <t>=IF(AND($M6539&gt;=$R$16,$M6539&lt;=$R$18),U6539,0)</t>
  </si>
  <si>
    <t>=IF(AND($M6539&gt;=$S$16,$M6539&lt;=$S$18),U6539,0)</t>
  </si>
  <si>
    <t>=IF($M6539&lt;=$T$18,U6539,0)</t>
  </si>
  <si>
    <t>="""NAV Direct"",""CRONUS JetCorp USA"",""21"",""1"",""291525"""</t>
  </si>
  <si>
    <t>=E6538</t>
  </si>
  <si>
    <t>=StartDate-$M6540+1</t>
  </si>
  <si>
    <t>=SUM(P6540:T6540)</t>
  </si>
  <si>
    <t>=IF($M6540&gt;=$P$18,U6540,0)</t>
  </si>
  <si>
    <t>=IF(AND($M6540&gt;=$Q$16,$M6540&lt;=$Q$18),U6540,0)</t>
  </si>
  <si>
    <t>=IF(AND($M6540&gt;=$R$16,$M6540&lt;=$R$18),U6540,0)</t>
  </si>
  <si>
    <t>=IF(AND($M6540&gt;=$S$16,$M6540&lt;=$S$18),U6540,0)</t>
  </si>
  <si>
    <t>=IF($M6540&lt;=$T$18,U6540,0)</t>
  </si>
  <si>
    <t>="""NAV Direct"",""CRONUS JetCorp USA"",""21"",""1"",""292612"""</t>
  </si>
  <si>
    <t>=E6539</t>
  </si>
  <si>
    <t>=StartDate-$M6541+1</t>
  </si>
  <si>
    <t>=SUM(P6541:T6541)</t>
  </si>
  <si>
    <t>=IF($M6541&gt;=$P$18,U6541,0)</t>
  </si>
  <si>
    <t>=IF(AND($M6541&gt;=$Q$16,$M6541&lt;=$Q$18),U6541,0)</t>
  </si>
  <si>
    <t>=IF(AND($M6541&gt;=$R$16,$M6541&lt;=$R$18),U6541,0)</t>
  </si>
  <si>
    <t>=IF(AND($M6541&gt;=$S$16,$M6541&lt;=$S$18),U6541,0)</t>
  </si>
  <si>
    <t>=IF($M6541&lt;=$T$18,U6541,0)</t>
  </si>
  <si>
    <t>="""NAV Direct"",""CRONUS JetCorp USA"",""21"",""1"",""292695"""</t>
  </si>
  <si>
    <t>=E6540</t>
  </si>
  <si>
    <t>=StartDate-$M6542+1</t>
  </si>
  <si>
    <t>=SUM(P6542:T6542)</t>
  </si>
  <si>
    <t>=IF($M6542&gt;=$P$18,U6542,0)</t>
  </si>
  <si>
    <t>=IF(AND($M6542&gt;=$Q$16,$M6542&lt;=$Q$18),U6542,0)</t>
  </si>
  <si>
    <t>=IF(AND($M6542&gt;=$R$16,$M6542&lt;=$R$18),U6542,0)</t>
  </si>
  <si>
    <t>=IF(AND($M6542&gt;=$S$16,$M6542&lt;=$S$18),U6542,0)</t>
  </si>
  <si>
    <t>=IF($M6542&lt;=$T$18,U6542,0)</t>
  </si>
  <si>
    <t>="""NAV Direct"",""CRONUS JetCorp USA"",""21"",""1"",""293309"""</t>
  </si>
  <si>
    <t>=E6541</t>
  </si>
  <si>
    <t>=StartDate-$M6543+1</t>
  </si>
  <si>
    <t>=SUM(P6543:T6543)</t>
  </si>
  <si>
    <t>=IF($M6543&gt;=$P$18,U6543,0)</t>
  </si>
  <si>
    <t>=IF(AND($M6543&gt;=$Q$16,$M6543&lt;=$Q$18),U6543,0)</t>
  </si>
  <si>
    <t>=IF(AND($M6543&gt;=$R$16,$M6543&lt;=$R$18),U6543,0)</t>
  </si>
  <si>
    <t>=IF(AND($M6543&gt;=$S$16,$M6543&lt;=$S$18),U6543,0)</t>
  </si>
  <si>
    <t>=IF($M6543&lt;=$T$18,U6543,0)</t>
  </si>
  <si>
    <t>="""NAV Direct"",""CRONUS JetCorp USA"",""21"",""1"",""293369"""</t>
  </si>
  <si>
    <t>=E6542</t>
  </si>
  <si>
    <t>=StartDate-$M6544+1</t>
  </si>
  <si>
    <t>=SUM(P6544:T6544)</t>
  </si>
  <si>
    <t>=IF($M6544&gt;=$P$18,U6544,0)</t>
  </si>
  <si>
    <t>=IF(AND($M6544&gt;=$Q$16,$M6544&lt;=$Q$18),U6544,0)</t>
  </si>
  <si>
    <t>=IF(AND($M6544&gt;=$R$16,$M6544&lt;=$R$18),U6544,0)</t>
  </si>
  <si>
    <t>=IF(AND($M6544&gt;=$S$16,$M6544&lt;=$S$18),U6544,0)</t>
  </si>
  <si>
    <t>=IF($M6544&lt;=$T$18,U6544,0)</t>
  </si>
  <si>
    <t>="""NAV Direct"",""CRONUS JetCorp USA"",""21"",""1"",""293419"""</t>
  </si>
  <si>
    <t>=E6543</t>
  </si>
  <si>
    <t>=StartDate-$M6545+1</t>
  </si>
  <si>
    <t>=SUM(P6545:T6545)</t>
  </si>
  <si>
    <t>=IF($M6545&gt;=$P$18,U6545,0)</t>
  </si>
  <si>
    <t>=IF(AND($M6545&gt;=$Q$16,$M6545&lt;=$Q$18),U6545,0)</t>
  </si>
  <si>
    <t>=IF(AND($M6545&gt;=$R$16,$M6545&lt;=$R$18),U6545,0)</t>
  </si>
  <si>
    <t>=IF(AND($M6545&gt;=$S$16,$M6545&lt;=$S$18),U6545,0)</t>
  </si>
  <si>
    <t>=IF($M6545&lt;=$T$18,U6545,0)</t>
  </si>
  <si>
    <t>="""NAV Direct"",""CRONUS JetCorp USA"",""21"",""1"",""293570"""</t>
  </si>
  <si>
    <t>=E6544</t>
  </si>
  <si>
    <t>=StartDate-$M6546+1</t>
  </si>
  <si>
    <t>=SUM(P6546:T6546)</t>
  </si>
  <si>
    <t>=IF($M6546&gt;=$P$18,U6546,0)</t>
  </si>
  <si>
    <t>=IF(AND($M6546&gt;=$Q$16,$M6546&lt;=$Q$18),U6546,0)</t>
  </si>
  <si>
    <t>=IF(AND($M6546&gt;=$R$16,$M6546&lt;=$R$18),U6546,0)</t>
  </si>
  <si>
    <t>=IF(AND($M6546&gt;=$S$16,$M6546&lt;=$S$18),U6546,0)</t>
  </si>
  <si>
    <t>=IF($M6546&lt;=$T$18,U6546,0)</t>
  </si>
  <si>
    <t>="""NAV Direct"",""CRONUS JetCorp USA"",""21"",""1"",""294297"""</t>
  </si>
  <si>
    <t>=E6545</t>
  </si>
  <si>
    <t>=StartDate-$M6547+1</t>
  </si>
  <si>
    <t>=SUM(P6547:T6547)</t>
  </si>
  <si>
    <t>=IF($M6547&gt;=$P$18,U6547,0)</t>
  </si>
  <si>
    <t>=IF(AND($M6547&gt;=$Q$16,$M6547&lt;=$Q$18),U6547,0)</t>
  </si>
  <si>
    <t>=IF(AND($M6547&gt;=$R$16,$M6547&lt;=$R$18),U6547,0)</t>
  </si>
  <si>
    <t>=IF(AND($M6547&gt;=$S$16,$M6547&lt;=$S$18),U6547,0)</t>
  </si>
  <si>
    <t>=IF($M6547&lt;=$T$18,U6547,0)</t>
  </si>
  <si>
    <t>="""NAV Direct"",""CRONUS JetCorp USA"",""21"",""1"",""295627"""</t>
  </si>
  <si>
    <t>=E6546</t>
  </si>
  <si>
    <t>=StartDate-$M6548+1</t>
  </si>
  <si>
    <t>=SUM(P6548:T6548)</t>
  </si>
  <si>
    <t>=IF($M6548&gt;=$P$18,U6548,0)</t>
  </si>
  <si>
    <t>=IF(AND($M6548&gt;=$Q$16,$M6548&lt;=$Q$18),U6548,0)</t>
  </si>
  <si>
    <t>=IF(AND($M6548&gt;=$R$16,$M6548&lt;=$R$18),U6548,0)</t>
  </si>
  <si>
    <t>=IF(AND($M6548&gt;=$S$16,$M6548&lt;=$S$18),U6548,0)</t>
  </si>
  <si>
    <t>=IF($M6548&lt;=$T$18,U6548,0)</t>
  </si>
  <si>
    <t>="""NAV Direct"",""CRONUS JetCorp USA"",""21"",""1"",""296377"""</t>
  </si>
  <si>
    <t>=E6547</t>
  </si>
  <si>
    <t>=StartDate-$M6549+1</t>
  </si>
  <si>
    <t>=SUM(P6549:T6549)</t>
  </si>
  <si>
    <t>=IF($M6549&gt;=$P$18,U6549,0)</t>
  </si>
  <si>
    <t>=IF(AND($M6549&gt;=$Q$16,$M6549&lt;=$Q$18),U6549,0)</t>
  </si>
  <si>
    <t>=IF(AND($M6549&gt;=$R$16,$M6549&lt;=$R$18),U6549,0)</t>
  </si>
  <si>
    <t>=IF(AND($M6549&gt;=$S$16,$M6549&lt;=$S$18),U6549,0)</t>
  </si>
  <si>
    <t>=IF($M6549&lt;=$T$18,U6549,0)</t>
  </si>
  <si>
    <t>="""NAV Direct"",""CRONUS JetCorp USA"",""21"",""1"",""297914"""</t>
  </si>
  <si>
    <t>=E6548</t>
  </si>
  <si>
    <t>=StartDate-$M6550+1</t>
  </si>
  <si>
    <t>=SUM(P6550:T6550)</t>
  </si>
  <si>
    <t>=IF($M6550&gt;=$P$18,U6550,0)</t>
  </si>
  <si>
    <t>=IF(AND($M6550&gt;=$Q$16,$M6550&lt;=$Q$18),U6550,0)</t>
  </si>
  <si>
    <t>=IF(AND($M6550&gt;=$R$16,$M6550&lt;=$R$18),U6550,0)</t>
  </si>
  <si>
    <t>=IF(AND($M6550&gt;=$S$16,$M6550&lt;=$S$18),U6550,0)</t>
  </si>
  <si>
    <t>=IF($M6550&lt;=$T$18,U6550,0)</t>
  </si>
  <si>
    <t>="""NAV Direct"",""CRONUS JetCorp USA"",""21"",""1"",""298220"""</t>
  </si>
  <si>
    <t>=E6549</t>
  </si>
  <si>
    <t>=StartDate-$M6551+1</t>
  </si>
  <si>
    <t>=SUM(P6551:T6551)</t>
  </si>
  <si>
    <t>=IF($M6551&gt;=$P$18,U6551,0)</t>
  </si>
  <si>
    <t>=IF(AND($M6551&gt;=$Q$16,$M6551&lt;=$Q$18),U6551,0)</t>
  </si>
  <si>
    <t>=IF(AND($M6551&gt;=$R$16,$M6551&lt;=$R$18),U6551,0)</t>
  </si>
  <si>
    <t>=IF(AND($M6551&gt;=$S$16,$M6551&lt;=$S$18),U6551,0)</t>
  </si>
  <si>
    <t>=IF($M6551&lt;=$T$18,U6551,0)</t>
  </si>
  <si>
    <t>="""NAV Direct"",""CRONUS JetCorp USA"",""21"",""1"",""298712"""</t>
  </si>
  <si>
    <t>=E6550</t>
  </si>
  <si>
    <t>=StartDate-$M6552+1</t>
  </si>
  <si>
    <t>=SUM(P6552:T6552)</t>
  </si>
  <si>
    <t>=IF($M6552&gt;=$P$18,U6552,0)</t>
  </si>
  <si>
    <t>=IF(AND($M6552&gt;=$Q$16,$M6552&lt;=$Q$18),U6552,0)</t>
  </si>
  <si>
    <t>=IF(AND($M6552&gt;=$R$16,$M6552&lt;=$R$18),U6552,0)</t>
  </si>
  <si>
    <t>=IF(AND($M6552&gt;=$S$16,$M6552&lt;=$S$18),U6552,0)</t>
  </si>
  <si>
    <t>=IF($M6552&lt;=$T$18,U6552,0)</t>
  </si>
  <si>
    <t>="""NAV Direct"",""CRONUS JetCorp USA"",""21"",""1"",""299300"""</t>
  </si>
  <si>
    <t>=E6551</t>
  </si>
  <si>
    <t>=StartDate-$M6553+1</t>
  </si>
  <si>
    <t>=SUM(P6553:T6553)</t>
  </si>
  <si>
    <t>=IF($M6553&gt;=$P$18,U6553,0)</t>
  </si>
  <si>
    <t>=IF(AND($M6553&gt;=$Q$16,$M6553&lt;=$Q$18),U6553,0)</t>
  </si>
  <si>
    <t>=IF(AND($M6553&gt;=$R$16,$M6553&lt;=$R$18),U6553,0)</t>
  </si>
  <si>
    <t>=IF(AND($M6553&gt;=$S$16,$M6553&lt;=$S$18),U6553,0)</t>
  </si>
  <si>
    <t>=IF($M6553&lt;=$T$18,U6553,0)</t>
  </si>
  <si>
    <t>="""NAV Direct"",""CRONUS JetCorp USA"",""21"",""1"",""299420"""</t>
  </si>
  <si>
    <t>=E6552</t>
  </si>
  <si>
    <t>=StartDate-$M6554+1</t>
  </si>
  <si>
    <t>=SUM(P6554:T6554)</t>
  </si>
  <si>
    <t>=IF($M6554&gt;=$P$18,U6554,0)</t>
  </si>
  <si>
    <t>=IF(AND($M6554&gt;=$Q$16,$M6554&lt;=$Q$18),U6554,0)</t>
  </si>
  <si>
    <t>=IF(AND($M6554&gt;=$R$16,$M6554&lt;=$R$18),U6554,0)</t>
  </si>
  <si>
    <t>=IF(AND($M6554&gt;=$S$16,$M6554&lt;=$S$18),U6554,0)</t>
  </si>
  <si>
    <t>=IF($M6554&lt;=$T$18,U6554,0)</t>
  </si>
  <si>
    <t>="""NAV Direct"",""CRONUS JetCorp USA"",""21"",""1"",""299935"""</t>
  </si>
  <si>
    <t>=E6553</t>
  </si>
  <si>
    <t>=StartDate-$M6555+1</t>
  </si>
  <si>
    <t>=SUM(P6555:T6555)</t>
  </si>
  <si>
    <t>=IF($M6555&gt;=$P$18,U6555,0)</t>
  </si>
  <si>
    <t>=IF(AND($M6555&gt;=$Q$16,$M6555&lt;=$Q$18),U6555,0)</t>
  </si>
  <si>
    <t>=IF(AND($M6555&gt;=$R$16,$M6555&lt;=$R$18),U6555,0)</t>
  </si>
  <si>
    <t>=IF(AND($M6555&gt;=$S$16,$M6555&lt;=$S$18),U6555,0)</t>
  </si>
  <si>
    <t>=IF($M6555&lt;=$T$18,U6555,0)</t>
  </si>
  <si>
    <t>="""NAV Direct"",""CRONUS JetCorp USA"",""21"",""1"",""299972"""</t>
  </si>
  <si>
    <t>=E6554</t>
  </si>
  <si>
    <t>=StartDate-$M6556+1</t>
  </si>
  <si>
    <t>=SUM(P6556:T6556)</t>
  </si>
  <si>
    <t>=IF($M6556&gt;=$P$18,U6556,0)</t>
  </si>
  <si>
    <t>=IF(AND($M6556&gt;=$Q$16,$M6556&lt;=$Q$18),U6556,0)</t>
  </si>
  <si>
    <t>=IF(AND($M6556&gt;=$R$16,$M6556&lt;=$R$18),U6556,0)</t>
  </si>
  <si>
    <t>=IF(AND($M6556&gt;=$S$16,$M6556&lt;=$S$18),U6556,0)</t>
  </si>
  <si>
    <t>=IF($M6556&lt;=$T$18,U6556,0)</t>
  </si>
  <si>
    <t>="""NAV Direct"",""CRONUS JetCorp USA"",""21"",""1"",""300266"""</t>
  </si>
  <si>
    <t>=E6555</t>
  </si>
  <si>
    <t>=StartDate-$M6557+1</t>
  </si>
  <si>
    <t>=SUM(P6557:T6557)</t>
  </si>
  <si>
    <t>=IF($M6557&gt;=$P$18,U6557,0)</t>
  </si>
  <si>
    <t>=IF(AND($M6557&gt;=$Q$16,$M6557&lt;=$Q$18),U6557,0)</t>
  </si>
  <si>
    <t>=IF(AND($M6557&gt;=$R$16,$M6557&lt;=$R$18),U6557,0)</t>
  </si>
  <si>
    <t>=IF(AND($M6557&gt;=$S$16,$M6557&lt;=$S$18),U6557,0)</t>
  </si>
  <si>
    <t>=IF($M6557&lt;=$T$18,U6557,0)</t>
  </si>
  <si>
    <t>="""NAV Direct"",""CRONUS JetCorp USA"",""21"",""1"",""300683"""</t>
  </si>
  <si>
    <t>=E6556</t>
  </si>
  <si>
    <t>=StartDate-$M6558+1</t>
  </si>
  <si>
    <t>=SUM(P6558:T6558)</t>
  </si>
  <si>
    <t>=IF($M6558&gt;=$P$18,U6558,0)</t>
  </si>
  <si>
    <t>=IF(AND($M6558&gt;=$Q$16,$M6558&lt;=$Q$18),U6558,0)</t>
  </si>
  <si>
    <t>=IF(AND($M6558&gt;=$R$16,$M6558&lt;=$R$18),U6558,0)</t>
  </si>
  <si>
    <t>=IF(AND($M6558&gt;=$S$16,$M6558&lt;=$S$18),U6558,0)</t>
  </si>
  <si>
    <t>=IF($M6558&lt;=$T$18,U6558,0)</t>
  </si>
  <si>
    <t>="""NAV Direct"",""CRONUS JetCorp USA"",""21"",""1"",""301208"""</t>
  </si>
  <si>
    <t>=E6557</t>
  </si>
  <si>
    <t>=StartDate-$M6559+1</t>
  </si>
  <si>
    <t>=SUM(P6559:T6559)</t>
  </si>
  <si>
    <t>=IF($M6559&gt;=$P$18,U6559,0)</t>
  </si>
  <si>
    <t>=IF(AND($M6559&gt;=$Q$16,$M6559&lt;=$Q$18),U6559,0)</t>
  </si>
  <si>
    <t>=IF(AND($M6559&gt;=$R$16,$M6559&lt;=$R$18),U6559,0)</t>
  </si>
  <si>
    <t>=IF(AND($M6559&gt;=$S$16,$M6559&lt;=$S$18),U6559,0)</t>
  </si>
  <si>
    <t>=IF($M6559&lt;=$T$18,U6559,0)</t>
  </si>
  <si>
    <t>="""NAV Direct"",""CRONUS JetCorp USA"",""21"",""1"",""302897"""</t>
  </si>
  <si>
    <t>=E6558</t>
  </si>
  <si>
    <t>=StartDate-$M6560+1</t>
  </si>
  <si>
    <t>=SUM(P6560:T6560)</t>
  </si>
  <si>
    <t>=IF($M6560&gt;=$P$18,U6560,0)</t>
  </si>
  <si>
    <t>=IF(AND($M6560&gt;=$Q$16,$M6560&lt;=$Q$18),U6560,0)</t>
  </si>
  <si>
    <t>=IF(AND($M6560&gt;=$R$16,$M6560&lt;=$R$18),U6560,0)</t>
  </si>
  <si>
    <t>=IF(AND($M6560&gt;=$S$16,$M6560&lt;=$S$18),U6560,0)</t>
  </si>
  <si>
    <t>=IF($M6560&lt;=$T$18,U6560,0)</t>
  </si>
  <si>
    <t>=SUBTOTAL(9,O23:O6563)</t>
  </si>
  <si>
    <t>=SUBTOTAL(9,P23:P6563)</t>
  </si>
  <si>
    <t>=SUBTOTAL(9,Q23:Q6563)</t>
  </si>
  <si>
    <t>=SUBTOTAL(9,R23:R6563)</t>
  </si>
  <si>
    <t>=SUBTOTAL(9,S23:S6563)</t>
  </si>
  <si>
    <t>=SUBTOTAL(9,T23:T6563)</t>
  </si>
  <si>
    <t>=P6564/TotalAR</t>
  </si>
  <si>
    <t>=Q6564/TotalAR</t>
  </si>
  <si>
    <t>=R6564/TotalAR</t>
  </si>
  <si>
    <t>=S6564/TotalAR</t>
  </si>
  <si>
    <t>=T6564/TotalAR</t>
  </si>
  <si>
    <t>=SUM(Q6564:S6564)</t>
  </si>
  <si>
    <t>=NF($D29,"5 Document Type")</t>
  </si>
  <si>
    <t>=NF($D30,"5 Document Type")</t>
  </si>
  <si>
    <t>=NF($D31,"5 Document Type")</t>
  </si>
  <si>
    <t>=NF($D32,"5 Document Type")</t>
  </si>
  <si>
    <t>=NF($D33,"5 Document Type")</t>
  </si>
  <si>
    <t>=NF($D34,"5 Document Type")</t>
  </si>
  <si>
    <t>=NF($D35,"5 Document Type")</t>
  </si>
  <si>
    <t>=NF($D36,"5 Document Type")</t>
  </si>
  <si>
    <t>=NF($D37,"5 Document Type")</t>
  </si>
  <si>
    <t>=NF($D38,"5 Document Type")</t>
  </si>
  <si>
    <t>=NF($D39,"5 Document Type")</t>
  </si>
  <si>
    <t>=NF($D40,"5 Document Type")</t>
  </si>
  <si>
    <t>=NF($D41,"5 Document Type")</t>
  </si>
  <si>
    <t>=NF($D42,"5 Document Type")</t>
  </si>
  <si>
    <t>=NF($D43,"5 Document Type")</t>
  </si>
  <si>
    <t>=NF($D44,"5 Document Type")</t>
  </si>
  <si>
    <t>=NF($D45,"5 Document Type")</t>
  </si>
  <si>
    <t>=NF($D46,"5 Document Type")</t>
  </si>
  <si>
    <t>=NF($D47,"5 Document Type")</t>
  </si>
  <si>
    <t>=NF($D48,"5 Document Type")</t>
  </si>
  <si>
    <t>=NF($D49,"5 Document Type")</t>
  </si>
  <si>
    <t>=NF($D50,"5 Document Type")</t>
  </si>
  <si>
    <t>=NF($D51,"5 Document Type")</t>
  </si>
  <si>
    <t>=NF($D52,"5 Document Type")</t>
  </si>
  <si>
    <t>=NF($D53,"5 Document Type")</t>
  </si>
  <si>
    <t>=NF($D54,"5 Document Type")</t>
  </si>
  <si>
    <t>=NF($D55,"5 Document Type")</t>
  </si>
  <si>
    <t>=NF($D56,"5 Document Type")</t>
  </si>
  <si>
    <t>=NF($D57,"5 Document Type")</t>
  </si>
  <si>
    <t>=NF($D58,"5 Document Type")</t>
  </si>
  <si>
    <t>=NF($D59,"5 Document Type")</t>
  </si>
  <si>
    <t>=NF($D60,"5 Document Type")</t>
  </si>
  <si>
    <t>=NF($D61,"5 Document Type")</t>
  </si>
  <si>
    <t>=NF($D62,"5 Document Type")</t>
  </si>
  <si>
    <t>=NF($D63,"5 Document Type")</t>
  </si>
  <si>
    <t>=NF($D64,"5 Document Type")</t>
  </si>
  <si>
    <t>=NF($D65,"5 Document Type")</t>
  </si>
  <si>
    <t>=NF($D66,"5 Document Type")</t>
  </si>
  <si>
    <t>=NF($D67,"5 Document Type")</t>
  </si>
  <si>
    <t>=NF($D68,"5 Document Type")</t>
  </si>
  <si>
    <t>=NF($D69,"5 Document Type")</t>
  </si>
  <si>
    <t>=NF($D70,"5 Document Type")</t>
  </si>
  <si>
    <t>=NF($D71,"5 Document Type")</t>
  </si>
  <si>
    <t>=NF($D72,"5 Document Type")</t>
  </si>
  <si>
    <t>=NF($D73,"5 Document Type")</t>
  </si>
  <si>
    <t>=NF($D29,"6 Document No.")</t>
  </si>
  <si>
    <t>=NF($D30,"6 Document No.")</t>
  </si>
  <si>
    <t>=NF($D31,"6 Document No.")</t>
  </si>
  <si>
    <t>=NF($D32,"6 Document No.")</t>
  </si>
  <si>
    <t>=NF($D33,"6 Document No.")</t>
  </si>
  <si>
    <t>=NF($D34,"6 Document No.")</t>
  </si>
  <si>
    <t>=NF($D35,"6 Document No.")</t>
  </si>
  <si>
    <t>=NF($D36,"6 Document No.")</t>
  </si>
  <si>
    <t>=NF($D37,"6 Document No.")</t>
  </si>
  <si>
    <t>=NF($D38,"6 Document No.")</t>
  </si>
  <si>
    <t>=NF($D39,"6 Document No.")</t>
  </si>
  <si>
    <t>=NF($D40,"6 Document No.")</t>
  </si>
  <si>
    <t>=NF($D41,"6 Document No.")</t>
  </si>
  <si>
    <t>=NF($D42,"6 Document No.")</t>
  </si>
  <si>
    <t>=NF($D43,"6 Document No.")</t>
  </si>
  <si>
    <t>=NF($D44,"6 Document No.")</t>
  </si>
  <si>
    <t>=NF($D45,"6 Document No.")</t>
  </si>
  <si>
    <t>=NF($D46,"6 Document No.")</t>
  </si>
  <si>
    <t>=NF($D47,"6 Document No.")</t>
  </si>
  <si>
    <t>=NF($D48,"6 Document No.")</t>
  </si>
  <si>
    <t>=NF($D49,"6 Document No.")</t>
  </si>
  <si>
    <t>=NF($D50,"6 Document No.")</t>
  </si>
  <si>
    <t>=NF($D51,"6 Document No.")</t>
  </si>
  <si>
    <t>=NF($D52,"6 Document No.")</t>
  </si>
  <si>
    <t>=NF($D53,"6 Document No.")</t>
  </si>
  <si>
    <t>=NF($D54,"6 Document No.")</t>
  </si>
  <si>
    <t>=NF($D55,"6 Document No.")</t>
  </si>
  <si>
    <t>=NF($D56,"6 Document No.")</t>
  </si>
  <si>
    <t>=NF($D57,"6 Document No.")</t>
  </si>
  <si>
    <t>=NF($D58,"6 Document No.")</t>
  </si>
  <si>
    <t>=NF($D59,"6 Document No.")</t>
  </si>
  <si>
    <t>=NF($D60,"6 Document No.")</t>
  </si>
  <si>
    <t>=NF($D61,"6 Document No.")</t>
  </si>
  <si>
    <t>=NF($D62,"6 Document No.")</t>
  </si>
  <si>
    <t>=NF($D63,"6 Document No.")</t>
  </si>
  <si>
    <t>=NF($D64,"6 Document No.")</t>
  </si>
  <si>
    <t>=NF($D65,"6 Document No.")</t>
  </si>
  <si>
    <t>=NF($D66,"6 Document No.")</t>
  </si>
  <si>
    <t>=NF($D67,"6 Document No.")</t>
  </si>
  <si>
    <t>=NF($D68,"6 Document No.")</t>
  </si>
  <si>
    <t>=NF($D69,"6 Document No.")</t>
  </si>
  <si>
    <t>=NF($D70,"6 Document No.")</t>
  </si>
  <si>
    <t>=NF($D71,"6 Document No.")</t>
  </si>
  <si>
    <t>=NF($D72,"6 Document No.")</t>
  </si>
  <si>
    <t>=NF($D73,"6 Document No.")</t>
  </si>
  <si>
    <t>=NF($D29,"37 Due Date")</t>
  </si>
  <si>
    <t>=NF($D30,"37 Due Date")</t>
  </si>
  <si>
    <t>=NF($D31,"37 Due Date")</t>
  </si>
  <si>
    <t>=NF($D32,"37 Due Date")</t>
  </si>
  <si>
    <t>=NF($D33,"37 Due Date")</t>
  </si>
  <si>
    <t>=NF($D34,"37 Due Date")</t>
  </si>
  <si>
    <t>=NF($D35,"37 Due Date")</t>
  </si>
  <si>
    <t>=NF($D36,"37 Due Date")</t>
  </si>
  <si>
    <t>=NF($D37,"37 Due Date")</t>
  </si>
  <si>
    <t>=NF($D38,"37 Due Date")</t>
  </si>
  <si>
    <t>=NF($D39,"37 Due Date")</t>
  </si>
  <si>
    <t>=NF($D40,"37 Due Date")</t>
  </si>
  <si>
    <t>=NF($D41,"37 Due Date")</t>
  </si>
  <si>
    <t>=NF($D42,"37 Due Date")</t>
  </si>
  <si>
    <t>=NF($D43,"37 Due Date")</t>
  </si>
  <si>
    <t>=NF($D44,"37 Due Date")</t>
  </si>
  <si>
    <t>=NF($D45,"37 Due Date")</t>
  </si>
  <si>
    <t>=NF($D46,"37 Due Date")</t>
  </si>
  <si>
    <t>=NF($D47,"37 Due Date")</t>
  </si>
  <si>
    <t>=NF($D48,"37 Due Date")</t>
  </si>
  <si>
    <t>=NF($D49,"37 Due Date")</t>
  </si>
  <si>
    <t>=NF($D50,"37 Due Date")</t>
  </si>
  <si>
    <t>=NF($D51,"37 Due Date")</t>
  </si>
  <si>
    <t>=NF($D52,"37 Due Date")</t>
  </si>
  <si>
    <t>=NF($D53,"37 Due Date")</t>
  </si>
  <si>
    <t>=NF($D54,"37 Due Date")</t>
  </si>
  <si>
    <t>=NF($D55,"37 Due Date")</t>
  </si>
  <si>
    <t>=NF($D56,"37 Due Date")</t>
  </si>
  <si>
    <t>=NF($D57,"37 Due Date")</t>
  </si>
  <si>
    <t>=NF($D58,"37 Due Date")</t>
  </si>
  <si>
    <t>=NF($D59,"37 Due Date")</t>
  </si>
  <si>
    <t>=NF($D60,"37 Due Date")</t>
  </si>
  <si>
    <t>=NF($D61,"37 Due Date")</t>
  </si>
  <si>
    <t>=NF($D62,"37 Due Date")</t>
  </si>
  <si>
    <t>=NF($D63,"37 Due Date")</t>
  </si>
  <si>
    <t>=NF($D64,"37 Due Date")</t>
  </si>
  <si>
    <t>=NF($D65,"37 Due Date")</t>
  </si>
  <si>
    <t>=NF($D66,"37 Due Date")</t>
  </si>
  <si>
    <t>=NF($D67,"37 Due Date")</t>
  </si>
  <si>
    <t>=NF($D68,"37 Due Date")</t>
  </si>
  <si>
    <t>=NF($D69,"37 Due Date")</t>
  </si>
  <si>
    <t>=NF($D70,"37 Due Date")</t>
  </si>
  <si>
    <t>=NF($D71,"37 Due Date")</t>
  </si>
  <si>
    <t>=NF($D72,"37 Due Date")</t>
  </si>
  <si>
    <t>=NF($D73,"37 Due Date")</t>
  </si>
  <si>
    <t>=NF($D29,"16 Remaining Amt. (LCY)")</t>
  </si>
  <si>
    <t>=NF($D30,"16 Remaining Amt. (LCY)")</t>
  </si>
  <si>
    <t>=NF($D31,"16 Remaining Amt. (LCY)")</t>
  </si>
  <si>
    <t>=NF($D32,"16 Remaining Amt. (LCY)")</t>
  </si>
  <si>
    <t>=NF($D33,"16 Remaining Amt. (LCY)")</t>
  </si>
  <si>
    <t>=NF($D34,"16 Remaining Amt. (LCY)")</t>
  </si>
  <si>
    <t>=NF($D35,"16 Remaining Amt. (LCY)")</t>
  </si>
  <si>
    <t>=NF($D36,"16 Remaining Amt. (LCY)")</t>
  </si>
  <si>
    <t>=NF($D37,"16 Remaining Amt. (LCY)")</t>
  </si>
  <si>
    <t>=NF($D38,"16 Remaining Amt. (LCY)")</t>
  </si>
  <si>
    <t>=NF($D39,"16 Remaining Amt. (LCY)")</t>
  </si>
  <si>
    <t>=NF($D40,"16 Remaining Amt. (LCY)")</t>
  </si>
  <si>
    <t>=NF($D41,"16 Remaining Amt. (LCY)")</t>
  </si>
  <si>
    <t>=NF($D42,"16 Remaining Amt. (LCY)")</t>
  </si>
  <si>
    <t>=NF($D43,"16 Remaining Amt. (LCY)")</t>
  </si>
  <si>
    <t>=NF($D44,"16 Remaining Amt. (LCY)")</t>
  </si>
  <si>
    <t>=NF($D45,"16 Remaining Amt. (LCY)")</t>
  </si>
  <si>
    <t>=NF($D46,"16 Remaining Amt. (LCY)")</t>
  </si>
  <si>
    <t>=NF($D47,"16 Remaining Amt. (LCY)")</t>
  </si>
  <si>
    <t>=NF($D48,"16 Remaining Amt. (LCY)")</t>
  </si>
  <si>
    <t>=NF($D49,"16 Remaining Amt. (LCY)")</t>
  </si>
  <si>
    <t>=NF($D50,"16 Remaining Amt. (LCY)")</t>
  </si>
  <si>
    <t>=NF($D51,"16 Remaining Amt. (LCY)")</t>
  </si>
  <si>
    <t>=NF($D52,"16 Remaining Amt. (LCY)")</t>
  </si>
  <si>
    <t>=NF($D53,"16 Remaining Amt. (LCY)")</t>
  </si>
  <si>
    <t>=NF($D54,"16 Remaining Amt. (LCY)")</t>
  </si>
  <si>
    <t>=NF($D55,"16 Remaining Amt. (LCY)")</t>
  </si>
  <si>
    <t>=NF($D56,"16 Remaining Amt. (LCY)")</t>
  </si>
  <si>
    <t>=NF($D57,"16 Remaining Amt. (LCY)")</t>
  </si>
  <si>
    <t>=NF($D58,"16 Remaining Amt. (LCY)")</t>
  </si>
  <si>
    <t>=NF($D59,"16 Remaining Amt. (LCY)")</t>
  </si>
  <si>
    <t>=NF($D60,"16 Remaining Amt. (LCY)")</t>
  </si>
  <si>
    <t>=NF($D61,"16 Remaining Amt. (LCY)")</t>
  </si>
  <si>
    <t>=NF($D62,"16 Remaining Amt. (LCY)")</t>
  </si>
  <si>
    <t>=NF($D63,"16 Remaining Amt. (LCY)")</t>
  </si>
  <si>
    <t>=NF($D64,"16 Remaining Amt. (LCY)")</t>
  </si>
  <si>
    <t>=NF($D65,"16 Remaining Amt. (LCY)")</t>
  </si>
  <si>
    <t>=NF($D66,"16 Remaining Amt. (LCY)")</t>
  </si>
  <si>
    <t>=NF($D67,"16 Remaining Amt. (LCY)")</t>
  </si>
  <si>
    <t>=NF($D68,"16 Remaining Amt. (LCY)")</t>
  </si>
  <si>
    <t>=NF($D69,"16 Remaining Amt. (LCY)")</t>
  </si>
  <si>
    <t>=NF($D70,"16 Remaining Amt. (LCY)")</t>
  </si>
  <si>
    <t>=NF($D71,"16 Remaining Amt. (LCY)")</t>
  </si>
  <si>
    <t>=NF($D72,"16 Remaining Amt. (LCY)")</t>
  </si>
  <si>
    <t>=NF($D73,"16 Remaining Amt. (LCY)")</t>
  </si>
  <si>
    <t>=NF($D6516,"5 Document Type")</t>
  </si>
  <si>
    <t>=NF($D6517,"5 Document Type")</t>
  </si>
  <si>
    <t>=NF($D6518,"5 Document Type")</t>
  </si>
  <si>
    <t>=NF($D6519,"5 Document Type")</t>
  </si>
  <si>
    <t>=NF($D6520,"5 Document Type")</t>
  </si>
  <si>
    <t>=NF($D6521,"5 Document Type")</t>
  </si>
  <si>
    <t>=NF($D6522,"5 Document Type")</t>
  </si>
  <si>
    <t>=NF($D6523,"5 Document Type")</t>
  </si>
  <si>
    <t>=NF($D6524,"5 Document Type")</t>
  </si>
  <si>
    <t>=NF($D6525,"5 Document Type")</t>
  </si>
  <si>
    <t>=NF($D6526,"5 Document Type")</t>
  </si>
  <si>
    <t>=NF($D6527,"5 Document Type")</t>
  </si>
  <si>
    <t>=NF($D6528,"5 Document Type")</t>
  </si>
  <si>
    <t>=NF($D6529,"5 Document Type")</t>
  </si>
  <si>
    <t>=NF($D6530,"5 Document Type")</t>
  </si>
  <si>
    <t>=NF($D6531,"5 Document Type")</t>
  </si>
  <si>
    <t>=NF($D6532,"5 Document Type")</t>
  </si>
  <si>
    <t>=NF($D6533,"5 Document Type")</t>
  </si>
  <si>
    <t>=NF($D6534,"5 Document Type")</t>
  </si>
  <si>
    <t>=NF($D6535,"5 Document Type")</t>
  </si>
  <si>
    <t>=NF($D6536,"5 Document Type")</t>
  </si>
  <si>
    <t>=NF($D6537,"5 Document Type")</t>
  </si>
  <si>
    <t>=NF($D6538,"5 Document Type")</t>
  </si>
  <si>
    <t>=NF($D6539,"5 Document Type")</t>
  </si>
  <si>
    <t>=NF($D6540,"5 Document Type")</t>
  </si>
  <si>
    <t>=NF($D6541,"5 Document Type")</t>
  </si>
  <si>
    <t>=NF($D6542,"5 Document Type")</t>
  </si>
  <si>
    <t>=NF($D6543,"5 Document Type")</t>
  </si>
  <si>
    <t>=NF($D6544,"5 Document Type")</t>
  </si>
  <si>
    <t>=NF($D6545,"5 Document Type")</t>
  </si>
  <si>
    <t>=NF($D6546,"5 Document Type")</t>
  </si>
  <si>
    <t>=NF($D6547,"5 Document Type")</t>
  </si>
  <si>
    <t>=NF($D6548,"5 Document Type")</t>
  </si>
  <si>
    <t>=NF($D6549,"5 Document Type")</t>
  </si>
  <si>
    <t>=NF($D6550,"5 Document Type")</t>
  </si>
  <si>
    <t>=NF($D6551,"5 Document Type")</t>
  </si>
  <si>
    <t>=NF($D6552,"5 Document Type")</t>
  </si>
  <si>
    <t>=NF($D6553,"5 Document Type")</t>
  </si>
  <si>
    <t>=NF($D6554,"5 Document Type")</t>
  </si>
  <si>
    <t>=NF($D6555,"5 Document Type")</t>
  </si>
  <si>
    <t>=NF($D6556,"5 Document Type")</t>
  </si>
  <si>
    <t>=NF($D6557,"5 Document Type")</t>
  </si>
  <si>
    <t>=NF($D6558,"5 Document Type")</t>
  </si>
  <si>
    <t>=NF($D6559,"5 Document Type")</t>
  </si>
  <si>
    <t>=NF($D6560,"5 Document Type")</t>
  </si>
  <si>
    <t>=NF($D6516,"6 Document No.")</t>
  </si>
  <si>
    <t>=NF($D6517,"6 Document No.")</t>
  </si>
  <si>
    <t>=NF($D6518,"6 Document No.")</t>
  </si>
  <si>
    <t>=NF($D6519,"6 Document No.")</t>
  </si>
  <si>
    <t>=NF($D6520,"6 Document No.")</t>
  </si>
  <si>
    <t>=NF($D6521,"6 Document No.")</t>
  </si>
  <si>
    <t>=NF($D6522,"6 Document No.")</t>
  </si>
  <si>
    <t>=NF($D6523,"6 Document No.")</t>
  </si>
  <si>
    <t>=NF($D6524,"6 Document No.")</t>
  </si>
  <si>
    <t>=NF($D6525,"6 Document No.")</t>
  </si>
  <si>
    <t>=NF($D6526,"6 Document No.")</t>
  </si>
  <si>
    <t>=NF($D6527,"6 Document No.")</t>
  </si>
  <si>
    <t>=NF($D6528,"6 Document No.")</t>
  </si>
  <si>
    <t>=NF($D6529,"6 Document No.")</t>
  </si>
  <si>
    <t>=NF($D6530,"6 Document No.")</t>
  </si>
  <si>
    <t>=NF($D6531,"6 Document No.")</t>
  </si>
  <si>
    <t>=NF($D6532,"6 Document No.")</t>
  </si>
  <si>
    <t>=NF($D6533,"6 Document No.")</t>
  </si>
  <si>
    <t>=NF($D6534,"6 Document No.")</t>
  </si>
  <si>
    <t>=NF($D6535,"6 Document No.")</t>
  </si>
  <si>
    <t>=NF($D6536,"6 Document No.")</t>
  </si>
  <si>
    <t>=NF($D6537,"6 Document No.")</t>
  </si>
  <si>
    <t>=NF($D6538,"6 Document No.")</t>
  </si>
  <si>
    <t>=NF($D6539,"6 Document No.")</t>
  </si>
  <si>
    <t>=NF($D6540,"6 Document No.")</t>
  </si>
  <si>
    <t>=NF($D6541,"6 Document No.")</t>
  </si>
  <si>
    <t>=NF($D6542,"6 Document No.")</t>
  </si>
  <si>
    <t>=NF($D6543,"6 Document No.")</t>
  </si>
  <si>
    <t>=NF($D6544,"6 Document No.")</t>
  </si>
  <si>
    <t>=NF($D6545,"6 Document No.")</t>
  </si>
  <si>
    <t>=NF($D6546,"6 Document No.")</t>
  </si>
  <si>
    <t>=NF($D6547,"6 Document No.")</t>
  </si>
  <si>
    <t>=NF($D6548,"6 Document No.")</t>
  </si>
  <si>
    <t>=NF($D6549,"6 Document No.")</t>
  </si>
  <si>
    <t>=NF($D6550,"6 Document No.")</t>
  </si>
  <si>
    <t>=NF($D6551,"6 Document No.")</t>
  </si>
  <si>
    <t>=NF($D6552,"6 Document No.")</t>
  </si>
  <si>
    <t>=NF($D6553,"6 Document No.")</t>
  </si>
  <si>
    <t>=NF($D6554,"6 Document No.")</t>
  </si>
  <si>
    <t>=NF($D6555,"6 Document No.")</t>
  </si>
  <si>
    <t>=NF($D6556,"6 Document No.")</t>
  </si>
  <si>
    <t>=NF($D6557,"6 Document No.")</t>
  </si>
  <si>
    <t>=NF($D6558,"6 Document No.")</t>
  </si>
  <si>
    <t>=NF($D6559,"6 Document No.")</t>
  </si>
  <si>
    <t>=NF($D6560,"6 Document No.")</t>
  </si>
  <si>
    <t>=NF($D6516,"37 Due Date")</t>
  </si>
  <si>
    <t>=NF($D6517,"37 Due Date")</t>
  </si>
  <si>
    <t>=NF($D6518,"37 Due Date")</t>
  </si>
  <si>
    <t>=NF($D6519,"37 Due Date")</t>
  </si>
  <si>
    <t>=NF($D6520,"37 Due Date")</t>
  </si>
  <si>
    <t>=NF($D6521,"37 Due Date")</t>
  </si>
  <si>
    <t>=NF($D6522,"37 Due Date")</t>
  </si>
  <si>
    <t>=NF($D6523,"37 Due Date")</t>
  </si>
  <si>
    <t>=NF($D6524,"37 Due Date")</t>
  </si>
  <si>
    <t>=NF($D6525,"37 Due Date")</t>
  </si>
  <si>
    <t>=NF($D6526,"37 Due Date")</t>
  </si>
  <si>
    <t>=NF($D6527,"37 Due Date")</t>
  </si>
  <si>
    <t>=NF($D6528,"37 Due Date")</t>
  </si>
  <si>
    <t>=NF($D6529,"37 Due Date")</t>
  </si>
  <si>
    <t>=NF($D6530,"37 Due Date")</t>
  </si>
  <si>
    <t>=NF($D6531,"37 Due Date")</t>
  </si>
  <si>
    <t>=NF($D6532,"37 Due Date")</t>
  </si>
  <si>
    <t>=NF($D6533,"37 Due Date")</t>
  </si>
  <si>
    <t>=NF($D6534,"37 Due Date")</t>
  </si>
  <si>
    <t>=NF($D6535,"37 Due Date")</t>
  </si>
  <si>
    <t>=NF($D6536,"37 Due Date")</t>
  </si>
  <si>
    <t>=NF($D6537,"37 Due Date")</t>
  </si>
  <si>
    <t>=NF($D6538,"37 Due Date")</t>
  </si>
  <si>
    <t>=NF($D6539,"37 Due Date")</t>
  </si>
  <si>
    <t>=NF($D6540,"37 Due Date")</t>
  </si>
  <si>
    <t>=NF($D6541,"37 Due Date")</t>
  </si>
  <si>
    <t>=NF($D6542,"37 Due Date")</t>
  </si>
  <si>
    <t>=NF($D6543,"37 Due Date")</t>
  </si>
  <si>
    <t>=NF($D6544,"37 Due Date")</t>
  </si>
  <si>
    <t>=NF($D6545,"37 Due Date")</t>
  </si>
  <si>
    <t>=NF($D6546,"37 Due Date")</t>
  </si>
  <si>
    <t>=NF($D6547,"37 Due Date")</t>
  </si>
  <si>
    <t>=NF($D6548,"37 Due Date")</t>
  </si>
  <si>
    <t>=NF($D6549,"37 Due Date")</t>
  </si>
  <si>
    <t>=NF($D6550,"37 Due Date")</t>
  </si>
  <si>
    <t>=NF($D6551,"37 Due Date")</t>
  </si>
  <si>
    <t>=NF($D6552,"37 Due Date")</t>
  </si>
  <si>
    <t>=NF($D6553,"37 Due Date")</t>
  </si>
  <si>
    <t>=NF($D6554,"37 Due Date")</t>
  </si>
  <si>
    <t>=NF($D6555,"37 Due Date")</t>
  </si>
  <si>
    <t>=NF($D6556,"37 Due Date")</t>
  </si>
  <si>
    <t>=NF($D6557,"37 Due Date")</t>
  </si>
  <si>
    <t>=NF($D6558,"37 Due Date")</t>
  </si>
  <si>
    <t>=NF($D6559,"37 Due Date")</t>
  </si>
  <si>
    <t>=NF($D6560,"37 Due Date")</t>
  </si>
  <si>
    <t>=NF($D6516,"16 Remaining Amt. (LCY)")</t>
  </si>
  <si>
    <t>=NF($D6517,"16 Remaining Amt. (LCY)")</t>
  </si>
  <si>
    <t>=NF($D6518,"16 Remaining Amt. (LCY)")</t>
  </si>
  <si>
    <t>=NF($D6519,"16 Remaining Amt. (LCY)")</t>
  </si>
  <si>
    <t>=NF($D6520,"16 Remaining Amt. (LCY)")</t>
  </si>
  <si>
    <t>=NF($D6521,"16 Remaining Amt. (LCY)")</t>
  </si>
  <si>
    <t>=NF($D6522,"16 Remaining Amt. (LCY)")</t>
  </si>
  <si>
    <t>=NF($D6523,"16 Remaining Amt. (LCY)")</t>
  </si>
  <si>
    <t>=NF($D6524,"16 Remaining Amt. (LCY)")</t>
  </si>
  <si>
    <t>=NF($D6525,"16 Remaining Amt. (LCY)")</t>
  </si>
  <si>
    <t>=NF($D6526,"16 Remaining Amt. (LCY)")</t>
  </si>
  <si>
    <t>=NF($D6527,"16 Remaining Amt. (LCY)")</t>
  </si>
  <si>
    <t>=NF($D6528,"16 Remaining Amt. (LCY)")</t>
  </si>
  <si>
    <t>=NF($D6529,"16 Remaining Amt. (LCY)")</t>
  </si>
  <si>
    <t>=NF($D6530,"16 Remaining Amt. (LCY)")</t>
  </si>
  <si>
    <t>=NF($D6531,"16 Remaining Amt. (LCY)")</t>
  </si>
  <si>
    <t>=NF($D6532,"16 Remaining Amt. (LCY)")</t>
  </si>
  <si>
    <t>=NF($D6533,"16 Remaining Amt. (LCY)")</t>
  </si>
  <si>
    <t>=NF($D6534,"16 Remaining Amt. (LCY)")</t>
  </si>
  <si>
    <t>=NF($D6535,"16 Remaining Amt. (LCY)")</t>
  </si>
  <si>
    <t>=NF($D6536,"16 Remaining Amt. (LCY)")</t>
  </si>
  <si>
    <t>=NF($D6537,"16 Remaining Amt. (LCY)")</t>
  </si>
  <si>
    <t>=NF($D6538,"16 Remaining Amt. (LCY)")</t>
  </si>
  <si>
    <t>=NF($D6539,"16 Remaining Amt. (LCY)")</t>
  </si>
  <si>
    <t>=NF($D6540,"16 Remaining Amt. (LCY)")</t>
  </si>
  <si>
    <t>=NF($D6541,"16 Remaining Amt. (LCY)")</t>
  </si>
  <si>
    <t>=NF($D6542,"16 Remaining Amt. (LCY)")</t>
  </si>
  <si>
    <t>=NF($D6543,"16 Remaining Amt. (LCY)")</t>
  </si>
  <si>
    <t>=NF($D6544,"16 Remaining Amt. (LCY)")</t>
  </si>
  <si>
    <t>=NF($D6545,"16 Remaining Amt. (LCY)")</t>
  </si>
  <si>
    <t>=NF($D6546,"16 Remaining Amt. (LCY)")</t>
  </si>
  <si>
    <t>=NF($D6547,"16 Remaining Amt. (LCY)")</t>
  </si>
  <si>
    <t>=NF($D6548,"16 Remaining Amt. (LCY)")</t>
  </si>
  <si>
    <t>=NF($D6549,"16 Remaining Amt. (LCY)")</t>
  </si>
  <si>
    <t>=NF($D6550,"16 Remaining Amt. (LCY)")</t>
  </si>
  <si>
    <t>=NF($D6551,"16 Remaining Amt. (LCY)")</t>
  </si>
  <si>
    <t>=NF($D6552,"16 Remaining Amt. (LCY)")</t>
  </si>
  <si>
    <t>=NF($D6553,"16 Remaining Amt. (LCY)")</t>
  </si>
  <si>
    <t>=NF($D6554,"16 Remaining Amt. (LCY)")</t>
  </si>
  <si>
    <t>=NF($D6555,"16 Remaining Amt. (LCY)")</t>
  </si>
  <si>
    <t>=NF($D6556,"16 Remaining Amt. (LCY)")</t>
  </si>
  <si>
    <t>=NF($D6557,"16 Remaining Amt. (LCY)")</t>
  </si>
  <si>
    <t>=NF($D6558,"16 Remaining Amt. (LCY)")</t>
  </si>
  <si>
    <t>=NF($D6559,"16 Remaining Amt. (LCY)")</t>
  </si>
  <si>
    <t>=NF($D6560,"16 Remaining Amt. (LCY)")</t>
  </si>
  <si>
    <t>=NF($D6481,"5 Document Type")</t>
  </si>
  <si>
    <t>=NF($D6482,"5 Document Type")</t>
  </si>
  <si>
    <t>=NF($D6483,"5 Document Type")</t>
  </si>
  <si>
    <t>=NF($D6484,"5 Document Type")</t>
  </si>
  <si>
    <t>=NF($D6485,"5 Document Type")</t>
  </si>
  <si>
    <t>=NF($D6486,"5 Document Type")</t>
  </si>
  <si>
    <t>=NF($D6487,"5 Document Type")</t>
  </si>
  <si>
    <t>=NF($D6488,"5 Document Type")</t>
  </si>
  <si>
    <t>=NF($D6489,"5 Document Type")</t>
  </si>
  <si>
    <t>=NF($D6490,"5 Document Type")</t>
  </si>
  <si>
    <t>=NF($D6491,"5 Document Type")</t>
  </si>
  <si>
    <t>=NF($D6492,"5 Document Type")</t>
  </si>
  <si>
    <t>=NF($D6493,"5 Document Type")</t>
  </si>
  <si>
    <t>=NF($D6494,"5 Document Type")</t>
  </si>
  <si>
    <t>=NF($D6495,"5 Document Type")</t>
  </si>
  <si>
    <t>=NF($D6496,"5 Document Type")</t>
  </si>
  <si>
    <t>=NF($D6497,"5 Document Type")</t>
  </si>
  <si>
    <t>=NF($D6498,"5 Document Type")</t>
  </si>
  <si>
    <t>=NF($D6499,"5 Document Type")</t>
  </si>
  <si>
    <t>=NF($D6500,"5 Document Type")</t>
  </si>
  <si>
    <t>=NF($D6501,"5 Document Type")</t>
  </si>
  <si>
    <t>=NF($D6502,"5 Document Type")</t>
  </si>
  <si>
    <t>=NF($D6503,"5 Document Type")</t>
  </si>
  <si>
    <t>=NF($D6504,"5 Document Type")</t>
  </si>
  <si>
    <t>=NF($D6505,"5 Document Type")</t>
  </si>
  <si>
    <t>=NF($D6506,"5 Document Type")</t>
  </si>
  <si>
    <t>=NF($D6507,"5 Document Type")</t>
  </si>
  <si>
    <t>=NF($D6508,"5 Document Type")</t>
  </si>
  <si>
    <t>=NF($D6509,"5 Document Type")</t>
  </si>
  <si>
    <t>=NF($D6481,"6 Document No.")</t>
  </si>
  <si>
    <t>=NF($D6482,"6 Document No.")</t>
  </si>
  <si>
    <t>=NF($D6483,"6 Document No.")</t>
  </si>
  <si>
    <t>=NF($D6484,"6 Document No.")</t>
  </si>
  <si>
    <t>=NF($D6485,"6 Document No.")</t>
  </si>
  <si>
    <t>=NF($D6486,"6 Document No.")</t>
  </si>
  <si>
    <t>=NF($D6487,"6 Document No.")</t>
  </si>
  <si>
    <t>=NF($D6488,"6 Document No.")</t>
  </si>
  <si>
    <t>=NF($D6489,"6 Document No.")</t>
  </si>
  <si>
    <t>=NF($D6490,"6 Document No.")</t>
  </si>
  <si>
    <t>=NF($D6491,"6 Document No.")</t>
  </si>
  <si>
    <t>=NF($D6492,"6 Document No.")</t>
  </si>
  <si>
    <t>=NF($D6493,"6 Document No.")</t>
  </si>
  <si>
    <t>=NF($D6494,"6 Document No.")</t>
  </si>
  <si>
    <t>=NF($D6495,"6 Document No.")</t>
  </si>
  <si>
    <t>=NF($D6496,"6 Document No.")</t>
  </si>
  <si>
    <t>=NF($D6497,"6 Document No.")</t>
  </si>
  <si>
    <t>=NF($D6498,"6 Document No.")</t>
  </si>
  <si>
    <t>=NF($D6499,"6 Document No.")</t>
  </si>
  <si>
    <t>=NF($D6500,"6 Document No.")</t>
  </si>
  <si>
    <t>=NF($D6501,"6 Document No.")</t>
  </si>
  <si>
    <t>=NF($D6502,"6 Document No.")</t>
  </si>
  <si>
    <t>=NF($D6503,"6 Document No.")</t>
  </si>
  <si>
    <t>=NF($D6504,"6 Document No.")</t>
  </si>
  <si>
    <t>=NF($D6505,"6 Document No.")</t>
  </si>
  <si>
    <t>=NF($D6506,"6 Document No.")</t>
  </si>
  <si>
    <t>=NF($D6507,"6 Document No.")</t>
  </si>
  <si>
    <t>=NF($D6508,"6 Document No.")</t>
  </si>
  <si>
    <t>=NF($D6509,"6 Document No.")</t>
  </si>
  <si>
    <t>=NF($D6481,"37 Due Date")</t>
  </si>
  <si>
    <t>=NF($D6482,"37 Due Date")</t>
  </si>
  <si>
    <t>=NF($D6483,"37 Due Date")</t>
  </si>
  <si>
    <t>=NF($D6484,"37 Due Date")</t>
  </si>
  <si>
    <t>=NF($D6485,"37 Due Date")</t>
  </si>
  <si>
    <t>=NF($D6486,"37 Due Date")</t>
  </si>
  <si>
    <t>=NF($D6487,"37 Due Date")</t>
  </si>
  <si>
    <t>=NF($D6488,"37 Due Date")</t>
  </si>
  <si>
    <t>=NF($D6489,"37 Due Date")</t>
  </si>
  <si>
    <t>=NF($D6490,"37 Due Date")</t>
  </si>
  <si>
    <t>=NF($D6491,"37 Due Date")</t>
  </si>
  <si>
    <t>=NF($D6492,"37 Due Date")</t>
  </si>
  <si>
    <t>=NF($D6493,"37 Due Date")</t>
  </si>
  <si>
    <t>=NF($D6494,"37 Due Date")</t>
  </si>
  <si>
    <t>=NF($D6495,"37 Due Date")</t>
  </si>
  <si>
    <t>=NF($D6496,"37 Due Date")</t>
  </si>
  <si>
    <t>=NF($D6497,"37 Due Date")</t>
  </si>
  <si>
    <t>=NF($D6498,"37 Due Date")</t>
  </si>
  <si>
    <t>=NF($D6499,"37 Due Date")</t>
  </si>
  <si>
    <t>=NF($D6500,"37 Due Date")</t>
  </si>
  <si>
    <t>=NF($D6501,"37 Due Date")</t>
  </si>
  <si>
    <t>=NF($D6502,"37 Due Date")</t>
  </si>
  <si>
    <t>=NF($D6503,"37 Due Date")</t>
  </si>
  <si>
    <t>=NF($D6504,"37 Due Date")</t>
  </si>
  <si>
    <t>=NF($D6505,"37 Due Date")</t>
  </si>
  <si>
    <t>=NF($D6506,"37 Due Date")</t>
  </si>
  <si>
    <t>=NF($D6507,"37 Due Date")</t>
  </si>
  <si>
    <t>=NF($D6508,"37 Due Date")</t>
  </si>
  <si>
    <t>=NF($D6509,"37 Due Date")</t>
  </si>
  <si>
    <t>=NF($D6481,"16 Remaining Amt. (LCY)")</t>
  </si>
  <si>
    <t>=NF($D6482,"16 Remaining Amt. (LCY)")</t>
  </si>
  <si>
    <t>=NF($D6483,"16 Remaining Amt. (LCY)")</t>
  </si>
  <si>
    <t>=NF($D6484,"16 Remaining Amt. (LCY)")</t>
  </si>
  <si>
    <t>=NF($D6485,"16 Remaining Amt. (LCY)")</t>
  </si>
  <si>
    <t>=NF($D6486,"16 Remaining Amt. (LCY)")</t>
  </si>
  <si>
    <t>=NF($D6487,"16 Remaining Amt. (LCY)")</t>
  </si>
  <si>
    <t>=NF($D6488,"16 Remaining Amt. (LCY)")</t>
  </si>
  <si>
    <t>=NF($D6489,"16 Remaining Amt. (LCY)")</t>
  </si>
  <si>
    <t>=NF($D6490,"16 Remaining Amt. (LCY)")</t>
  </si>
  <si>
    <t>=NF($D6491,"16 Remaining Amt. (LCY)")</t>
  </si>
  <si>
    <t>=NF($D6492,"16 Remaining Amt. (LCY)")</t>
  </si>
  <si>
    <t>=NF($D6493,"16 Remaining Amt. (LCY)")</t>
  </si>
  <si>
    <t>=NF($D6494,"16 Remaining Amt. (LCY)")</t>
  </si>
  <si>
    <t>=NF($D6495,"16 Remaining Amt. (LCY)")</t>
  </si>
  <si>
    <t>=NF($D6496,"16 Remaining Amt. (LCY)")</t>
  </si>
  <si>
    <t>=NF($D6497,"16 Remaining Amt. (LCY)")</t>
  </si>
  <si>
    <t>=NF($D6498,"16 Remaining Amt. (LCY)")</t>
  </si>
  <si>
    <t>=NF($D6499,"16 Remaining Amt. (LCY)")</t>
  </si>
  <si>
    <t>=NF($D6500,"16 Remaining Amt. (LCY)")</t>
  </si>
  <si>
    <t>=NF($D6501,"16 Remaining Amt. (LCY)")</t>
  </si>
  <si>
    <t>=NF($D6502,"16 Remaining Amt. (LCY)")</t>
  </si>
  <si>
    <t>=NF($D6503,"16 Remaining Amt. (LCY)")</t>
  </si>
  <si>
    <t>=NF($D6504,"16 Remaining Amt. (LCY)")</t>
  </si>
  <si>
    <t>=NF($D6505,"16 Remaining Amt. (LCY)")</t>
  </si>
  <si>
    <t>=NF($D6506,"16 Remaining Amt. (LCY)")</t>
  </si>
  <si>
    <t>=NF($D6507,"16 Remaining Amt. (LCY)")</t>
  </si>
  <si>
    <t>=NF($D6508,"16 Remaining Amt. (LCY)")</t>
  </si>
  <si>
    <t>=NF($D6509,"16 Remaining Amt. (LCY)")</t>
  </si>
  <si>
    <t>=NF($D6450,"5 Document Type")</t>
  </si>
  <si>
    <t>=NF($D6451,"5 Document Type")</t>
  </si>
  <si>
    <t>=NF($D6452,"5 Document Type")</t>
  </si>
  <si>
    <t>=NF($D6453,"5 Document Type")</t>
  </si>
  <si>
    <t>=NF($D6454,"5 Document Type")</t>
  </si>
  <si>
    <t>=NF($D6455,"5 Document Type")</t>
  </si>
  <si>
    <t>=NF($D6456,"5 Document Type")</t>
  </si>
  <si>
    <t>=NF($D6457,"5 Document Type")</t>
  </si>
  <si>
    <t>=NF($D6458,"5 Document Type")</t>
  </si>
  <si>
    <t>=NF($D6459,"5 Document Type")</t>
  </si>
  <si>
    <t>=NF($D6460,"5 Document Type")</t>
  </si>
  <si>
    <t>=NF($D6461,"5 Document Type")</t>
  </si>
  <si>
    <t>=NF($D6462,"5 Document Type")</t>
  </si>
  <si>
    <t>=NF($D6463,"5 Document Type")</t>
  </si>
  <si>
    <t>=NF($D6464,"5 Document Type")</t>
  </si>
  <si>
    <t>=NF($D6465,"5 Document Type")</t>
  </si>
  <si>
    <t>=NF($D6466,"5 Document Type")</t>
  </si>
  <si>
    <t>=NF($D6467,"5 Document Type")</t>
  </si>
  <si>
    <t>=NF($D6468,"5 Document Type")</t>
  </si>
  <si>
    <t>=NF($D6469,"5 Document Type")</t>
  </si>
  <si>
    <t>=NF($D6470,"5 Document Type")</t>
  </si>
  <si>
    <t>=NF($D6471,"5 Document Type")</t>
  </si>
  <si>
    <t>=NF($D6472,"5 Document Type")</t>
  </si>
  <si>
    <t>=NF($D6473,"5 Document Type")</t>
  </si>
  <si>
    <t>=NF($D6474,"5 Document Type")</t>
  </si>
  <si>
    <t>=NF($D6450,"6 Document No.")</t>
  </si>
  <si>
    <t>=NF($D6451,"6 Document No.")</t>
  </si>
  <si>
    <t>=NF($D6452,"6 Document No.")</t>
  </si>
  <si>
    <t>=NF($D6453,"6 Document No.")</t>
  </si>
  <si>
    <t>=NF($D6454,"6 Document No.")</t>
  </si>
  <si>
    <t>=NF($D6455,"6 Document No.")</t>
  </si>
  <si>
    <t>=NF($D6456,"6 Document No.")</t>
  </si>
  <si>
    <t>=NF($D6457,"6 Document No.")</t>
  </si>
  <si>
    <t>=NF($D6458,"6 Document No.")</t>
  </si>
  <si>
    <t>=NF($D6459,"6 Document No.")</t>
  </si>
  <si>
    <t>=NF($D6460,"6 Document No.")</t>
  </si>
  <si>
    <t>=NF($D6461,"6 Document No.")</t>
  </si>
  <si>
    <t>=NF($D6462,"6 Document No.")</t>
  </si>
  <si>
    <t>=NF($D6463,"6 Document No.")</t>
  </si>
  <si>
    <t>=NF($D6464,"6 Document No.")</t>
  </si>
  <si>
    <t>=NF($D6465,"6 Document No.")</t>
  </si>
  <si>
    <t>=NF($D6466,"6 Document No.")</t>
  </si>
  <si>
    <t>=NF($D6467,"6 Document No.")</t>
  </si>
  <si>
    <t>=NF($D6468,"6 Document No.")</t>
  </si>
  <si>
    <t>=NF($D6469,"6 Document No.")</t>
  </si>
  <si>
    <t>=NF($D6470,"6 Document No.")</t>
  </si>
  <si>
    <t>=NF($D6471,"6 Document No.")</t>
  </si>
  <si>
    <t>=NF($D6472,"6 Document No.")</t>
  </si>
  <si>
    <t>=NF($D6473,"6 Document No.")</t>
  </si>
  <si>
    <t>=NF($D6474,"6 Document No.")</t>
  </si>
  <si>
    <t>=NF($D6450,"37 Due Date")</t>
  </si>
  <si>
    <t>=NF($D6451,"37 Due Date")</t>
  </si>
  <si>
    <t>=NF($D6452,"37 Due Date")</t>
  </si>
  <si>
    <t>=NF($D6453,"37 Due Date")</t>
  </si>
  <si>
    <t>=NF($D6454,"37 Due Date")</t>
  </si>
  <si>
    <t>=NF($D6455,"37 Due Date")</t>
  </si>
  <si>
    <t>=NF($D6456,"37 Due Date")</t>
  </si>
  <si>
    <t>=NF($D6457,"37 Due Date")</t>
  </si>
  <si>
    <t>=NF($D6458,"37 Due Date")</t>
  </si>
  <si>
    <t>=NF($D6459,"37 Due Date")</t>
  </si>
  <si>
    <t>=NF($D6460,"37 Due Date")</t>
  </si>
  <si>
    <t>=NF($D6461,"37 Due Date")</t>
  </si>
  <si>
    <t>=NF($D6462,"37 Due Date")</t>
  </si>
  <si>
    <t>=NF($D6463,"37 Due Date")</t>
  </si>
  <si>
    <t>=NF($D6464,"37 Due Date")</t>
  </si>
  <si>
    <t>=NF($D6465,"37 Due Date")</t>
  </si>
  <si>
    <t>=NF($D6466,"37 Due Date")</t>
  </si>
  <si>
    <t>=NF($D6467,"37 Due Date")</t>
  </si>
  <si>
    <t>=NF($D6468,"37 Due Date")</t>
  </si>
  <si>
    <t>=NF($D6469,"37 Due Date")</t>
  </si>
  <si>
    <t>=NF($D6470,"37 Due Date")</t>
  </si>
  <si>
    <t>=NF($D6471,"37 Due Date")</t>
  </si>
  <si>
    <t>=NF($D6472,"37 Due Date")</t>
  </si>
  <si>
    <t>=NF($D6473,"37 Due Date")</t>
  </si>
  <si>
    <t>=NF($D6474,"37 Due Date")</t>
  </si>
  <si>
    <t>=NF($D6450,"16 Remaining Amt. (LCY)")</t>
  </si>
  <si>
    <t>=NF($D6451,"16 Remaining Amt. (LCY)")</t>
  </si>
  <si>
    <t>=NF($D6452,"16 Remaining Amt. (LCY)")</t>
  </si>
  <si>
    <t>=NF($D6453,"16 Remaining Amt. (LCY)")</t>
  </si>
  <si>
    <t>=NF($D6454,"16 Remaining Amt. (LCY)")</t>
  </si>
  <si>
    <t>=NF($D6455,"16 Remaining Amt. (LCY)")</t>
  </si>
  <si>
    <t>=NF($D6456,"16 Remaining Amt. (LCY)")</t>
  </si>
  <si>
    <t>=NF($D6457,"16 Remaining Amt. (LCY)")</t>
  </si>
  <si>
    <t>=NF($D6458,"16 Remaining Amt. (LCY)")</t>
  </si>
  <si>
    <t>=NF($D6459,"16 Remaining Amt. (LCY)")</t>
  </si>
  <si>
    <t>=NF($D6460,"16 Remaining Amt. (LCY)")</t>
  </si>
  <si>
    <t>=NF($D6461,"16 Remaining Amt. (LCY)")</t>
  </si>
  <si>
    <t>=NF($D6462,"16 Remaining Amt. (LCY)")</t>
  </si>
  <si>
    <t>=NF($D6463,"16 Remaining Amt. (LCY)")</t>
  </si>
  <si>
    <t>=NF($D6464,"16 Remaining Amt. (LCY)")</t>
  </si>
  <si>
    <t>=NF($D6465,"16 Remaining Amt. (LCY)")</t>
  </si>
  <si>
    <t>=NF($D6466,"16 Remaining Amt. (LCY)")</t>
  </si>
  <si>
    <t>=NF($D6467,"16 Remaining Amt. (LCY)")</t>
  </si>
  <si>
    <t>=NF($D6468,"16 Remaining Amt. (LCY)")</t>
  </si>
  <si>
    <t>=NF($D6469,"16 Remaining Amt. (LCY)")</t>
  </si>
  <si>
    <t>=NF($D6470,"16 Remaining Amt. (LCY)")</t>
  </si>
  <si>
    <t>=NF($D6471,"16 Remaining Amt. (LCY)")</t>
  </si>
  <si>
    <t>=NF($D6472,"16 Remaining Amt. (LCY)")</t>
  </si>
  <si>
    <t>=NF($D6473,"16 Remaining Amt. (LCY)")</t>
  </si>
  <si>
    <t>=NF($D6474,"16 Remaining Amt. (LCY)")</t>
  </si>
  <si>
    <t>=NF($D6407,"5 Document Type")</t>
  </si>
  <si>
    <t>=NF($D6408,"5 Document Type")</t>
  </si>
  <si>
    <t>=NF($D6409,"5 Document Type")</t>
  </si>
  <si>
    <t>=NF($D6410,"5 Document Type")</t>
  </si>
  <si>
    <t>=NF($D6411,"5 Document Type")</t>
  </si>
  <si>
    <t>=NF($D6412,"5 Document Type")</t>
  </si>
  <si>
    <t>=NF($D6413,"5 Document Type")</t>
  </si>
  <si>
    <t>=NF($D6414,"5 Document Type")</t>
  </si>
  <si>
    <t>=NF($D6415,"5 Document Type")</t>
  </si>
  <si>
    <t>=NF($D6416,"5 Document Type")</t>
  </si>
  <si>
    <t>=NF($D6417,"5 Document Type")</t>
  </si>
  <si>
    <t>=NF($D6418,"5 Document Type")</t>
  </si>
  <si>
    <t>=NF($D6419,"5 Document Type")</t>
  </si>
  <si>
    <t>=NF($D6420,"5 Document Type")</t>
  </si>
  <si>
    <t>=NF($D6421,"5 Document Type")</t>
  </si>
  <si>
    <t>=NF($D6422,"5 Document Type")</t>
  </si>
  <si>
    <t>=NF($D6423,"5 Document Type")</t>
  </si>
  <si>
    <t>=NF($D6424,"5 Document Type")</t>
  </si>
  <si>
    <t>=NF($D6425,"5 Document Type")</t>
  </si>
  <si>
    <t>=NF($D6426,"5 Document Type")</t>
  </si>
  <si>
    <t>=NF($D6427,"5 Document Type")</t>
  </si>
  <si>
    <t>=NF($D6428,"5 Document Type")</t>
  </si>
  <si>
    <t>=NF($D6429,"5 Document Type")</t>
  </si>
  <si>
    <t>=NF($D6430,"5 Document Type")</t>
  </si>
  <si>
    <t>=NF($D6431,"5 Document Type")</t>
  </si>
  <si>
    <t>=NF($D6432,"5 Document Type")</t>
  </si>
  <si>
    <t>=NF($D6433,"5 Document Type")</t>
  </si>
  <si>
    <t>=NF($D6434,"5 Document Type")</t>
  </si>
  <si>
    <t>=NF($D6435,"5 Document Type")</t>
  </si>
  <si>
    <t>=NF($D6436,"5 Document Type")</t>
  </si>
  <si>
    <t>=NF($D6437,"5 Document Type")</t>
  </si>
  <si>
    <t>=NF($D6438,"5 Document Type")</t>
  </si>
  <si>
    <t>=NF($D6439,"5 Document Type")</t>
  </si>
  <si>
    <t>=NF($D6440,"5 Document Type")</t>
  </si>
  <si>
    <t>=NF($D6441,"5 Document Type")</t>
  </si>
  <si>
    <t>=NF($D6442,"5 Document Type")</t>
  </si>
  <si>
    <t>=NF($D6443,"5 Document Type")</t>
  </si>
  <si>
    <t>=NF($D6407,"6 Document No.")</t>
  </si>
  <si>
    <t>=NF($D6408,"6 Document No.")</t>
  </si>
  <si>
    <t>=NF($D6409,"6 Document No.")</t>
  </si>
  <si>
    <t>=NF($D6410,"6 Document No.")</t>
  </si>
  <si>
    <t>=NF($D6411,"6 Document No.")</t>
  </si>
  <si>
    <t>=NF($D6412,"6 Document No.")</t>
  </si>
  <si>
    <t>=NF($D6413,"6 Document No.")</t>
  </si>
  <si>
    <t>=NF($D6414,"6 Document No.")</t>
  </si>
  <si>
    <t>=NF($D6415,"6 Document No.")</t>
  </si>
  <si>
    <t>=NF($D6416,"6 Document No.")</t>
  </si>
  <si>
    <t>=NF($D6417,"6 Document No.")</t>
  </si>
  <si>
    <t>=NF($D6418,"6 Document No.")</t>
  </si>
  <si>
    <t>=NF($D6419,"6 Document No.")</t>
  </si>
  <si>
    <t>=NF($D6420,"6 Document No.")</t>
  </si>
  <si>
    <t>=NF($D6421,"6 Document No.")</t>
  </si>
  <si>
    <t>=NF($D6422,"6 Document No.")</t>
  </si>
  <si>
    <t>=NF($D6423,"6 Document No.")</t>
  </si>
  <si>
    <t>=NF($D6424,"6 Document No.")</t>
  </si>
  <si>
    <t>=NF($D6425,"6 Document No.")</t>
  </si>
  <si>
    <t>=NF($D6426,"6 Document No.")</t>
  </si>
  <si>
    <t>=NF($D6427,"6 Document No.")</t>
  </si>
  <si>
    <t>=NF($D6428,"6 Document No.")</t>
  </si>
  <si>
    <t>=NF($D6429,"6 Document No.")</t>
  </si>
  <si>
    <t>=NF($D6430,"6 Document No.")</t>
  </si>
  <si>
    <t>=NF($D6431,"6 Document No.")</t>
  </si>
  <si>
    <t>=NF($D6432,"6 Document No.")</t>
  </si>
  <si>
    <t>=NF($D6433,"6 Document No.")</t>
  </si>
  <si>
    <t>=NF($D6434,"6 Document No.")</t>
  </si>
  <si>
    <t>=NF($D6435,"6 Document No.")</t>
  </si>
  <si>
    <t>=NF($D6436,"6 Document No.")</t>
  </si>
  <si>
    <t>=NF($D6437,"6 Document No.")</t>
  </si>
  <si>
    <t>=NF($D6438,"6 Document No.")</t>
  </si>
  <si>
    <t>=NF($D6439,"6 Document No.")</t>
  </si>
  <si>
    <t>=NF($D6440,"6 Document No.")</t>
  </si>
  <si>
    <t>=NF($D6441,"6 Document No.")</t>
  </si>
  <si>
    <t>=NF($D6442,"6 Document No.")</t>
  </si>
  <si>
    <t>=NF($D6443,"6 Document No.")</t>
  </si>
  <si>
    <t>=NF($D6407,"37 Due Date")</t>
  </si>
  <si>
    <t>=NF($D6408,"37 Due Date")</t>
  </si>
  <si>
    <t>=NF($D6409,"37 Due Date")</t>
  </si>
  <si>
    <t>=NF($D6410,"37 Due Date")</t>
  </si>
  <si>
    <t>=NF($D6411,"37 Due Date")</t>
  </si>
  <si>
    <t>=NF($D6412,"37 Due Date")</t>
  </si>
  <si>
    <t>=NF($D6413,"37 Due Date")</t>
  </si>
  <si>
    <t>=NF($D6414,"37 Due Date")</t>
  </si>
  <si>
    <t>=NF($D6415,"37 Due Date")</t>
  </si>
  <si>
    <t>=NF($D6416,"37 Due Date")</t>
  </si>
  <si>
    <t>=NF($D6417,"37 Due Date")</t>
  </si>
  <si>
    <t>=NF($D6418,"37 Due Date")</t>
  </si>
  <si>
    <t>=NF($D6419,"37 Due Date")</t>
  </si>
  <si>
    <t>=NF($D6420,"37 Due Date")</t>
  </si>
  <si>
    <t>=NF($D6421,"37 Due Date")</t>
  </si>
  <si>
    <t>=NF($D6422,"37 Due Date")</t>
  </si>
  <si>
    <t>=NF($D6423,"37 Due Date")</t>
  </si>
  <si>
    <t>=NF($D6424,"37 Due Date")</t>
  </si>
  <si>
    <t>=NF($D6425,"37 Due Date")</t>
  </si>
  <si>
    <t>=NF($D6426,"37 Due Date")</t>
  </si>
  <si>
    <t>=NF($D6427,"37 Due Date")</t>
  </si>
  <si>
    <t>=NF($D6428,"37 Due Date")</t>
  </si>
  <si>
    <t>=NF($D6429,"37 Due Date")</t>
  </si>
  <si>
    <t>=NF($D6430,"37 Due Date")</t>
  </si>
  <si>
    <t>=NF($D6431,"37 Due Date")</t>
  </si>
  <si>
    <t>=NF($D6432,"37 Due Date")</t>
  </si>
  <si>
    <t>=NF($D6433,"37 Due Date")</t>
  </si>
  <si>
    <t>=NF($D6434,"37 Due Date")</t>
  </si>
  <si>
    <t>=NF($D6435,"37 Due Date")</t>
  </si>
  <si>
    <t>=NF($D6436,"37 Due Date")</t>
  </si>
  <si>
    <t>=NF($D6437,"37 Due Date")</t>
  </si>
  <si>
    <t>=NF($D6438,"37 Due Date")</t>
  </si>
  <si>
    <t>=NF($D6439,"37 Due Date")</t>
  </si>
  <si>
    <t>=NF($D6440,"37 Due Date")</t>
  </si>
  <si>
    <t>=NF($D6441,"37 Due Date")</t>
  </si>
  <si>
    <t>=NF($D6442,"37 Due Date")</t>
  </si>
  <si>
    <t>=NF($D6443,"37 Due Date")</t>
  </si>
  <si>
    <t>=NF($D6407,"16 Remaining Amt. (LCY)")</t>
  </si>
  <si>
    <t>=NF($D6408,"16 Remaining Amt. (LCY)")</t>
  </si>
  <si>
    <t>=NF($D6409,"16 Remaining Amt. (LCY)")</t>
  </si>
  <si>
    <t>=NF($D6410,"16 Remaining Amt. (LCY)")</t>
  </si>
  <si>
    <t>=NF($D6411,"16 Remaining Amt. (LCY)")</t>
  </si>
  <si>
    <t>=NF($D6412,"16 Remaining Amt. (LCY)")</t>
  </si>
  <si>
    <t>=NF($D6413,"16 Remaining Amt. (LCY)")</t>
  </si>
  <si>
    <t>=NF($D6414,"16 Remaining Amt. (LCY)")</t>
  </si>
  <si>
    <t>=NF($D6415,"16 Remaining Amt. (LCY)")</t>
  </si>
  <si>
    <t>=NF($D6416,"16 Remaining Amt. (LCY)")</t>
  </si>
  <si>
    <t>=NF($D6417,"16 Remaining Amt. (LCY)")</t>
  </si>
  <si>
    <t>=NF($D6418,"16 Remaining Amt. (LCY)")</t>
  </si>
  <si>
    <t>=NF($D6419,"16 Remaining Amt. (LCY)")</t>
  </si>
  <si>
    <t>=NF($D6420,"16 Remaining Amt. (LCY)")</t>
  </si>
  <si>
    <t>=NF($D6421,"16 Remaining Amt. (LCY)")</t>
  </si>
  <si>
    <t>=NF($D6422,"16 Remaining Amt. (LCY)")</t>
  </si>
  <si>
    <t>=NF($D6423,"16 Remaining Amt. (LCY)")</t>
  </si>
  <si>
    <t>=NF($D6424,"16 Remaining Amt. (LCY)")</t>
  </si>
  <si>
    <t>=NF($D6425,"16 Remaining Amt. (LCY)")</t>
  </si>
  <si>
    <t>=NF($D6426,"16 Remaining Amt. (LCY)")</t>
  </si>
  <si>
    <t>=NF($D6427,"16 Remaining Amt. (LCY)")</t>
  </si>
  <si>
    <t>=NF($D6428,"16 Remaining Amt. (LCY)")</t>
  </si>
  <si>
    <t>=NF($D6429,"16 Remaining Amt. (LCY)")</t>
  </si>
  <si>
    <t>=NF($D6430,"16 Remaining Amt. (LCY)")</t>
  </si>
  <si>
    <t>=NF($D6431,"16 Remaining Amt. (LCY)")</t>
  </si>
  <si>
    <t>=NF($D6432,"16 Remaining Amt. (LCY)")</t>
  </si>
  <si>
    <t>=NF($D6433,"16 Remaining Amt. (LCY)")</t>
  </si>
  <si>
    <t>=NF($D6434,"16 Remaining Amt. (LCY)")</t>
  </si>
  <si>
    <t>=NF($D6435,"16 Remaining Amt. (LCY)")</t>
  </si>
  <si>
    <t>=NF($D6436,"16 Remaining Amt. (LCY)")</t>
  </si>
  <si>
    <t>=NF($D6437,"16 Remaining Amt. (LCY)")</t>
  </si>
  <si>
    <t>=NF($D6438,"16 Remaining Amt. (LCY)")</t>
  </si>
  <si>
    <t>=NF($D6439,"16 Remaining Amt. (LCY)")</t>
  </si>
  <si>
    <t>=NF($D6440,"16 Remaining Amt. (LCY)")</t>
  </si>
  <si>
    <t>=NF($D6441,"16 Remaining Amt. (LCY)")</t>
  </si>
  <si>
    <t>=NF($D6442,"16 Remaining Amt. (LCY)")</t>
  </si>
  <si>
    <t>=NF($D6443,"16 Remaining Amt. (LCY)")</t>
  </si>
  <si>
    <t>=NF($D6371,"5 Document Type")</t>
  </si>
  <si>
    <t>=NF($D6372,"5 Document Type")</t>
  </si>
  <si>
    <t>=NF($D6373,"5 Document Type")</t>
  </si>
  <si>
    <t>=NF($D6374,"5 Document Type")</t>
  </si>
  <si>
    <t>=NF($D6375,"5 Document Type")</t>
  </si>
  <si>
    <t>=NF($D6376,"5 Document Type")</t>
  </si>
  <si>
    <t>=NF($D6377,"5 Document Type")</t>
  </si>
  <si>
    <t>=NF($D6378,"5 Document Type")</t>
  </si>
  <si>
    <t>=NF($D6379,"5 Document Type")</t>
  </si>
  <si>
    <t>=NF($D6380,"5 Document Type")</t>
  </si>
  <si>
    <t>=NF($D6381,"5 Document Type")</t>
  </si>
  <si>
    <t>=NF($D6382,"5 Document Type")</t>
  </si>
  <si>
    <t>=NF($D6383,"5 Document Type")</t>
  </si>
  <si>
    <t>=NF($D6384,"5 Document Type")</t>
  </si>
  <si>
    <t>=NF($D6385,"5 Document Type")</t>
  </si>
  <si>
    <t>=NF($D6386,"5 Document Type")</t>
  </si>
  <si>
    <t>=NF($D6387,"5 Document Type")</t>
  </si>
  <si>
    <t>=NF($D6388,"5 Document Type")</t>
  </si>
  <si>
    <t>=NF($D6389,"5 Document Type")</t>
  </si>
  <si>
    <t>=NF($D6390,"5 Document Type")</t>
  </si>
  <si>
    <t>=NF($D6391,"5 Document Type")</t>
  </si>
  <si>
    <t>=NF($D6392,"5 Document Type")</t>
  </si>
  <si>
    <t>=NF($D6393,"5 Document Type")</t>
  </si>
  <si>
    <t>=NF($D6394,"5 Document Type")</t>
  </si>
  <si>
    <t>=NF($D6395,"5 Document Type")</t>
  </si>
  <si>
    <t>=NF($D6396,"5 Document Type")</t>
  </si>
  <si>
    <t>=NF($D6397,"5 Document Type")</t>
  </si>
  <si>
    <t>=NF($D6398,"5 Document Type")</t>
  </si>
  <si>
    <t>=NF($D6399,"5 Document Type")</t>
  </si>
  <si>
    <t>=NF($D6400,"5 Document Type")</t>
  </si>
  <si>
    <t>=NF($D6371,"6 Document No.")</t>
  </si>
  <si>
    <t>=NF($D6372,"6 Document No.")</t>
  </si>
  <si>
    <t>=NF($D6373,"6 Document No.")</t>
  </si>
  <si>
    <t>=NF($D6374,"6 Document No.")</t>
  </si>
  <si>
    <t>=NF($D6375,"6 Document No.")</t>
  </si>
  <si>
    <t>=NF($D6376,"6 Document No.")</t>
  </si>
  <si>
    <t>=NF($D6377,"6 Document No.")</t>
  </si>
  <si>
    <t>=NF($D6378,"6 Document No.")</t>
  </si>
  <si>
    <t>=NF($D6379,"6 Document No.")</t>
  </si>
  <si>
    <t>=NF($D6380,"6 Document No.")</t>
  </si>
  <si>
    <t>=NF($D6381,"6 Document No.")</t>
  </si>
  <si>
    <t>=NF($D6382,"6 Document No.")</t>
  </si>
  <si>
    <t>=NF($D6383,"6 Document No.")</t>
  </si>
  <si>
    <t>=NF($D6384,"6 Document No.")</t>
  </si>
  <si>
    <t>=NF($D6385,"6 Document No.")</t>
  </si>
  <si>
    <t>=NF($D6386,"6 Document No.")</t>
  </si>
  <si>
    <t>=NF($D6387,"6 Document No.")</t>
  </si>
  <si>
    <t>=NF($D6388,"6 Document No.")</t>
  </si>
  <si>
    <t>=NF($D6389,"6 Document No.")</t>
  </si>
  <si>
    <t>=NF($D6390,"6 Document No.")</t>
  </si>
  <si>
    <t>=NF($D6391,"6 Document No.")</t>
  </si>
  <si>
    <t>=NF($D6392,"6 Document No.")</t>
  </si>
  <si>
    <t>=NF($D6393,"6 Document No.")</t>
  </si>
  <si>
    <t>=NF($D6394,"6 Document No.")</t>
  </si>
  <si>
    <t>=NF($D6395,"6 Document No.")</t>
  </si>
  <si>
    <t>=NF($D6396,"6 Document No.")</t>
  </si>
  <si>
    <t>=NF($D6397,"6 Document No.")</t>
  </si>
  <si>
    <t>=NF($D6398,"6 Document No.")</t>
  </si>
  <si>
    <t>=NF($D6399,"6 Document No.")</t>
  </si>
  <si>
    <t>=NF($D6400,"6 Document No.")</t>
  </si>
  <si>
    <t>=NF($D6371,"37 Due Date")</t>
  </si>
  <si>
    <t>=NF($D6372,"37 Due Date")</t>
  </si>
  <si>
    <t>=NF($D6373,"37 Due Date")</t>
  </si>
  <si>
    <t>=NF($D6374,"37 Due Date")</t>
  </si>
  <si>
    <t>=NF($D6375,"37 Due Date")</t>
  </si>
  <si>
    <t>=NF($D6376,"37 Due Date")</t>
  </si>
  <si>
    <t>=NF($D6377,"37 Due Date")</t>
  </si>
  <si>
    <t>=NF($D6378,"37 Due Date")</t>
  </si>
  <si>
    <t>=NF($D6379,"37 Due Date")</t>
  </si>
  <si>
    <t>=NF($D6380,"37 Due Date")</t>
  </si>
  <si>
    <t>=NF($D6381,"37 Due Date")</t>
  </si>
  <si>
    <t>=NF($D6382,"37 Due Date")</t>
  </si>
  <si>
    <t>=NF($D6383,"37 Due Date")</t>
  </si>
  <si>
    <t>=NF($D6384,"37 Due Date")</t>
  </si>
  <si>
    <t>=NF($D6385,"37 Due Date")</t>
  </si>
  <si>
    <t>=NF($D6386,"37 Due Date")</t>
  </si>
  <si>
    <t>=NF($D6387,"37 Due Date")</t>
  </si>
  <si>
    <t>=NF($D6388,"37 Due Date")</t>
  </si>
  <si>
    <t>=NF($D6389,"37 Due Date")</t>
  </si>
  <si>
    <t>=NF($D6390,"37 Due Date")</t>
  </si>
  <si>
    <t>=NF($D6391,"37 Due Date")</t>
  </si>
  <si>
    <t>=NF($D6392,"37 Due Date")</t>
  </si>
  <si>
    <t>=NF($D6393,"37 Due Date")</t>
  </si>
  <si>
    <t>=NF($D6394,"37 Due Date")</t>
  </si>
  <si>
    <t>=NF($D6395,"37 Due Date")</t>
  </si>
  <si>
    <t>=NF($D6396,"37 Due Date")</t>
  </si>
  <si>
    <t>=NF($D6397,"37 Due Date")</t>
  </si>
  <si>
    <t>=NF($D6398,"37 Due Date")</t>
  </si>
  <si>
    <t>=NF($D6399,"37 Due Date")</t>
  </si>
  <si>
    <t>=NF($D6400,"37 Due Date")</t>
  </si>
  <si>
    <t>=NF($D6371,"16 Remaining Amt. (LCY)")</t>
  </si>
  <si>
    <t>=NF($D6372,"16 Remaining Amt. (LCY)")</t>
  </si>
  <si>
    <t>=NF($D6373,"16 Remaining Amt. (LCY)")</t>
  </si>
  <si>
    <t>=NF($D6374,"16 Remaining Amt. (LCY)")</t>
  </si>
  <si>
    <t>=NF($D6375,"16 Remaining Amt. (LCY)")</t>
  </si>
  <si>
    <t>=NF($D6376,"16 Remaining Amt. (LCY)")</t>
  </si>
  <si>
    <t>=NF($D6377,"16 Remaining Amt. (LCY)")</t>
  </si>
  <si>
    <t>=NF($D6378,"16 Remaining Amt. (LCY)")</t>
  </si>
  <si>
    <t>=NF($D6379,"16 Remaining Amt. (LCY)")</t>
  </si>
  <si>
    <t>=NF($D6380,"16 Remaining Amt. (LCY)")</t>
  </si>
  <si>
    <t>=NF($D6381,"16 Remaining Amt. (LCY)")</t>
  </si>
  <si>
    <t>=NF($D6382,"16 Remaining Amt. (LCY)")</t>
  </si>
  <si>
    <t>=NF($D6383,"16 Remaining Amt. (LCY)")</t>
  </si>
  <si>
    <t>=NF($D6384,"16 Remaining Amt. (LCY)")</t>
  </si>
  <si>
    <t>=NF($D6385,"16 Remaining Amt. (LCY)")</t>
  </si>
  <si>
    <t>=NF($D6386,"16 Remaining Amt. (LCY)")</t>
  </si>
  <si>
    <t>=NF($D6387,"16 Remaining Amt. (LCY)")</t>
  </si>
  <si>
    <t>=NF($D6388,"16 Remaining Amt. (LCY)")</t>
  </si>
  <si>
    <t>=NF($D6389,"16 Remaining Amt. (LCY)")</t>
  </si>
  <si>
    <t>=NF($D6390,"16 Remaining Amt. (LCY)")</t>
  </si>
  <si>
    <t>=NF($D6391,"16 Remaining Amt. (LCY)")</t>
  </si>
  <si>
    <t>=NF($D6392,"16 Remaining Amt. (LCY)")</t>
  </si>
  <si>
    <t>=NF($D6393,"16 Remaining Amt. (LCY)")</t>
  </si>
  <si>
    <t>=NF($D6394,"16 Remaining Amt. (LCY)")</t>
  </si>
  <si>
    <t>=NF($D6395,"16 Remaining Amt. (LCY)")</t>
  </si>
  <si>
    <t>=NF($D6396,"16 Remaining Amt. (LCY)")</t>
  </si>
  <si>
    <t>=NF($D6397,"16 Remaining Amt. (LCY)")</t>
  </si>
  <si>
    <t>=NF($D6398,"16 Remaining Amt. (LCY)")</t>
  </si>
  <si>
    <t>=NF($D6399,"16 Remaining Amt. (LCY)")</t>
  </si>
  <si>
    <t>=NF($D6400,"16 Remaining Amt. (LCY)")</t>
  </si>
  <si>
    <t>=NF($D6335,"5 Document Type")</t>
  </si>
  <si>
    <t>=NF($D6336,"5 Document Type")</t>
  </si>
  <si>
    <t>=NF($D6337,"5 Document Type")</t>
  </si>
  <si>
    <t>=NF($D6338,"5 Document Type")</t>
  </si>
  <si>
    <t>=NF($D6339,"5 Document Type")</t>
  </si>
  <si>
    <t>=NF($D6340,"5 Document Type")</t>
  </si>
  <si>
    <t>=NF($D6341,"5 Document Type")</t>
  </si>
  <si>
    <t>=NF($D6342,"5 Document Type")</t>
  </si>
  <si>
    <t>=NF($D6343,"5 Document Type")</t>
  </si>
  <si>
    <t>=NF($D6344,"5 Document Type")</t>
  </si>
  <si>
    <t>=NF($D6345,"5 Document Type")</t>
  </si>
  <si>
    <t>=NF($D6346,"5 Document Type")</t>
  </si>
  <si>
    <t>=NF($D6347,"5 Document Type")</t>
  </si>
  <si>
    <t>=NF($D6348,"5 Document Type")</t>
  </si>
  <si>
    <t>=NF($D6349,"5 Document Type")</t>
  </si>
  <si>
    <t>=NF($D6350,"5 Document Type")</t>
  </si>
  <si>
    <t>=NF($D6351,"5 Document Type")</t>
  </si>
  <si>
    <t>=NF($D6352,"5 Document Type")</t>
  </si>
  <si>
    <t>=NF($D6353,"5 Document Type")</t>
  </si>
  <si>
    <t>=NF($D6354,"5 Document Type")</t>
  </si>
  <si>
    <t>=NF($D6355,"5 Document Type")</t>
  </si>
  <si>
    <t>=NF($D6356,"5 Document Type")</t>
  </si>
  <si>
    <t>=NF($D6357,"5 Document Type")</t>
  </si>
  <si>
    <t>=NF($D6358,"5 Document Type")</t>
  </si>
  <si>
    <t>=NF($D6359,"5 Document Type")</t>
  </si>
  <si>
    <t>=NF($D6360,"5 Document Type")</t>
  </si>
  <si>
    <t>=NF($D6361,"5 Document Type")</t>
  </si>
  <si>
    <t>=NF($D6362,"5 Document Type")</t>
  </si>
  <si>
    <t>=NF($D6363,"5 Document Type")</t>
  </si>
  <si>
    <t>=NF($D6364,"5 Document Type")</t>
  </si>
  <si>
    <t>=NF($D6335,"6 Document No.")</t>
  </si>
  <si>
    <t>=NF($D6336,"6 Document No.")</t>
  </si>
  <si>
    <t>=NF($D6337,"6 Document No.")</t>
  </si>
  <si>
    <t>=NF($D6338,"6 Document No.")</t>
  </si>
  <si>
    <t>=NF($D6339,"6 Document No.")</t>
  </si>
  <si>
    <t>=NF($D6340,"6 Document No.")</t>
  </si>
  <si>
    <t>=NF($D6341,"6 Document No.")</t>
  </si>
  <si>
    <t>=NF($D6342,"6 Document No.")</t>
  </si>
  <si>
    <t>=NF($D6343,"6 Document No.")</t>
  </si>
  <si>
    <t>=NF($D6344,"6 Document No.")</t>
  </si>
  <si>
    <t>=NF($D6345,"6 Document No.")</t>
  </si>
  <si>
    <t>=NF($D6346,"6 Document No.")</t>
  </si>
  <si>
    <t>=NF($D6347,"6 Document No.")</t>
  </si>
  <si>
    <t>=NF($D6348,"6 Document No.")</t>
  </si>
  <si>
    <t>=NF($D6349,"6 Document No.")</t>
  </si>
  <si>
    <t>=NF($D6350,"6 Document No.")</t>
  </si>
  <si>
    <t>=NF($D6351,"6 Document No.")</t>
  </si>
  <si>
    <t>=NF($D6352,"6 Document No.")</t>
  </si>
  <si>
    <t>=NF($D6353,"6 Document No.")</t>
  </si>
  <si>
    <t>=NF($D6354,"6 Document No.")</t>
  </si>
  <si>
    <t>=NF($D6355,"6 Document No.")</t>
  </si>
  <si>
    <t>=NF($D6356,"6 Document No.")</t>
  </si>
  <si>
    <t>=NF($D6357,"6 Document No.")</t>
  </si>
  <si>
    <t>=NF($D6358,"6 Document No.")</t>
  </si>
  <si>
    <t>=NF($D6359,"6 Document No.")</t>
  </si>
  <si>
    <t>=NF($D6360,"6 Document No.")</t>
  </si>
  <si>
    <t>=NF($D6361,"6 Document No.")</t>
  </si>
  <si>
    <t>=NF($D6362,"6 Document No.")</t>
  </si>
  <si>
    <t>=NF($D6363,"6 Document No.")</t>
  </si>
  <si>
    <t>=NF($D6364,"6 Document No.")</t>
  </si>
  <si>
    <t>=NF($D6335,"37 Due Date")</t>
  </si>
  <si>
    <t>=NF($D6336,"37 Due Date")</t>
  </si>
  <si>
    <t>=NF($D6337,"37 Due Date")</t>
  </si>
  <si>
    <t>=NF($D6338,"37 Due Date")</t>
  </si>
  <si>
    <t>=NF($D6339,"37 Due Date")</t>
  </si>
  <si>
    <t>=NF($D6340,"37 Due Date")</t>
  </si>
  <si>
    <t>=NF($D6341,"37 Due Date")</t>
  </si>
  <si>
    <t>=NF($D6342,"37 Due Date")</t>
  </si>
  <si>
    <t>=NF($D6343,"37 Due Date")</t>
  </si>
  <si>
    <t>=NF($D6344,"37 Due Date")</t>
  </si>
  <si>
    <t>=NF($D6345,"37 Due Date")</t>
  </si>
  <si>
    <t>=NF($D6346,"37 Due Date")</t>
  </si>
  <si>
    <t>=NF($D6347,"37 Due Date")</t>
  </si>
  <si>
    <t>=NF($D6348,"37 Due Date")</t>
  </si>
  <si>
    <t>=NF($D6349,"37 Due Date")</t>
  </si>
  <si>
    <t>=NF($D6350,"37 Due Date")</t>
  </si>
  <si>
    <t>=NF($D6351,"37 Due Date")</t>
  </si>
  <si>
    <t>=NF($D6352,"37 Due Date")</t>
  </si>
  <si>
    <t>=NF($D6353,"37 Due Date")</t>
  </si>
  <si>
    <t>=NF($D6354,"37 Due Date")</t>
  </si>
  <si>
    <t>=NF($D6355,"37 Due Date")</t>
  </si>
  <si>
    <t>=NF($D6356,"37 Due Date")</t>
  </si>
  <si>
    <t>=NF($D6357,"37 Due Date")</t>
  </si>
  <si>
    <t>=NF($D6358,"37 Due Date")</t>
  </si>
  <si>
    <t>=NF($D6359,"37 Due Date")</t>
  </si>
  <si>
    <t>=NF($D6360,"37 Due Date")</t>
  </si>
  <si>
    <t>=NF($D6361,"37 Due Date")</t>
  </si>
  <si>
    <t>=NF($D6362,"37 Due Date")</t>
  </si>
  <si>
    <t>=NF($D6363,"37 Due Date")</t>
  </si>
  <si>
    <t>=NF($D6364,"37 Due Date")</t>
  </si>
  <si>
    <t>=NF($D6335,"16 Remaining Amt. (LCY)")</t>
  </si>
  <si>
    <t>=NF($D6336,"16 Remaining Amt. (LCY)")</t>
  </si>
  <si>
    <t>=NF($D6337,"16 Remaining Amt. (LCY)")</t>
  </si>
  <si>
    <t>=NF($D6338,"16 Remaining Amt. (LCY)")</t>
  </si>
  <si>
    <t>=NF($D6339,"16 Remaining Amt. (LCY)")</t>
  </si>
  <si>
    <t>=NF($D6340,"16 Remaining Amt. (LCY)")</t>
  </si>
  <si>
    <t>=NF($D6341,"16 Remaining Amt. (LCY)")</t>
  </si>
  <si>
    <t>=NF($D6342,"16 Remaining Amt. (LCY)")</t>
  </si>
  <si>
    <t>=NF($D6343,"16 Remaining Amt. (LCY)")</t>
  </si>
  <si>
    <t>=NF($D6344,"16 Remaining Amt. (LCY)")</t>
  </si>
  <si>
    <t>=NF($D6345,"16 Remaining Amt. (LCY)")</t>
  </si>
  <si>
    <t>=NF($D6346,"16 Remaining Amt. (LCY)")</t>
  </si>
  <si>
    <t>=NF($D6347,"16 Remaining Amt. (LCY)")</t>
  </si>
  <si>
    <t>=NF($D6348,"16 Remaining Amt. (LCY)")</t>
  </si>
  <si>
    <t>=NF($D6349,"16 Remaining Amt. (LCY)")</t>
  </si>
  <si>
    <t>=NF($D6350,"16 Remaining Amt. (LCY)")</t>
  </si>
  <si>
    <t>=NF($D6351,"16 Remaining Amt. (LCY)")</t>
  </si>
  <si>
    <t>=NF($D6352,"16 Remaining Amt. (LCY)")</t>
  </si>
  <si>
    <t>=NF($D6353,"16 Remaining Amt. (LCY)")</t>
  </si>
  <si>
    <t>=NF($D6354,"16 Remaining Amt. (LCY)")</t>
  </si>
  <si>
    <t>=NF($D6355,"16 Remaining Amt. (LCY)")</t>
  </si>
  <si>
    <t>=NF($D6356,"16 Remaining Amt. (LCY)")</t>
  </si>
  <si>
    <t>=NF($D6357,"16 Remaining Amt. (LCY)")</t>
  </si>
  <si>
    <t>=NF($D6358,"16 Remaining Amt. (LCY)")</t>
  </si>
  <si>
    <t>=NF($D6359,"16 Remaining Amt. (LCY)")</t>
  </si>
  <si>
    <t>=NF($D6360,"16 Remaining Amt. (LCY)")</t>
  </si>
  <si>
    <t>=NF($D6361,"16 Remaining Amt. (LCY)")</t>
  </si>
  <si>
    <t>=NF($D6362,"16 Remaining Amt. (LCY)")</t>
  </si>
  <si>
    <t>=NF($D6363,"16 Remaining Amt. (LCY)")</t>
  </si>
  <si>
    <t>=NF($D6364,"16 Remaining Amt. (LCY)")</t>
  </si>
  <si>
    <t>=NF($D6304,"5 Document Type")</t>
  </si>
  <si>
    <t>=NF($D6305,"5 Document Type")</t>
  </si>
  <si>
    <t>=NF($D6306,"5 Document Type")</t>
  </si>
  <si>
    <t>=NF($D6307,"5 Document Type")</t>
  </si>
  <si>
    <t>=NF($D6308,"5 Document Type")</t>
  </si>
  <si>
    <t>=NF($D6309,"5 Document Type")</t>
  </si>
  <si>
    <t>=NF($D6310,"5 Document Type")</t>
  </si>
  <si>
    <t>=NF($D6311,"5 Document Type")</t>
  </si>
  <si>
    <t>=NF($D6312,"5 Document Type")</t>
  </si>
  <si>
    <t>=NF($D6313,"5 Document Type")</t>
  </si>
  <si>
    <t>=NF($D6314,"5 Document Type")</t>
  </si>
  <si>
    <t>=NF($D6315,"5 Document Type")</t>
  </si>
  <si>
    <t>=NF($D6316,"5 Document Type")</t>
  </si>
  <si>
    <t>=NF($D6317,"5 Document Type")</t>
  </si>
  <si>
    <t>=NF($D6318,"5 Document Type")</t>
  </si>
  <si>
    <t>=NF($D6319,"5 Document Type")</t>
  </si>
  <si>
    <t>=NF($D6320,"5 Document Type")</t>
  </si>
  <si>
    <t>=NF($D6321,"5 Document Type")</t>
  </si>
  <si>
    <t>=NF($D6322,"5 Document Type")</t>
  </si>
  <si>
    <t>=NF($D6323,"5 Document Type")</t>
  </si>
  <si>
    <t>=NF($D6324,"5 Document Type")</t>
  </si>
  <si>
    <t>=NF($D6325,"5 Document Type")</t>
  </si>
  <si>
    <t>=NF($D6326,"5 Document Type")</t>
  </si>
  <si>
    <t>=NF($D6327,"5 Document Type")</t>
  </si>
  <si>
    <t>=NF($D6328,"5 Document Type")</t>
  </si>
  <si>
    <t>=NF($D6304,"6 Document No.")</t>
  </si>
  <si>
    <t>=NF($D6305,"6 Document No.")</t>
  </si>
  <si>
    <t>=NF($D6306,"6 Document No.")</t>
  </si>
  <si>
    <t>=NF($D6307,"6 Document No.")</t>
  </si>
  <si>
    <t>=NF($D6308,"6 Document No.")</t>
  </si>
  <si>
    <t>=NF($D6309,"6 Document No.")</t>
  </si>
  <si>
    <t>=NF($D6310,"6 Document No.")</t>
  </si>
  <si>
    <t>=NF($D6311,"6 Document No.")</t>
  </si>
  <si>
    <t>=NF($D6312,"6 Document No.")</t>
  </si>
  <si>
    <t>=NF($D6313,"6 Document No.")</t>
  </si>
  <si>
    <t>=NF($D6314,"6 Document No.")</t>
  </si>
  <si>
    <t>=NF($D6315,"6 Document No.")</t>
  </si>
  <si>
    <t>=NF($D6316,"6 Document No.")</t>
  </si>
  <si>
    <t>=NF($D6317,"6 Document No.")</t>
  </si>
  <si>
    <t>=NF($D6318,"6 Document No.")</t>
  </si>
  <si>
    <t>=NF($D6319,"6 Document No.")</t>
  </si>
  <si>
    <t>=NF($D6320,"6 Document No.")</t>
  </si>
  <si>
    <t>=NF($D6321,"6 Document No.")</t>
  </si>
  <si>
    <t>=NF($D6322,"6 Document No.")</t>
  </si>
  <si>
    <t>=NF($D6323,"6 Document No.")</t>
  </si>
  <si>
    <t>=NF($D6324,"6 Document No.")</t>
  </si>
  <si>
    <t>=NF($D6325,"6 Document No.")</t>
  </si>
  <si>
    <t>=NF($D6326,"6 Document No.")</t>
  </si>
  <si>
    <t>=NF($D6327,"6 Document No.")</t>
  </si>
  <si>
    <t>=NF($D6328,"6 Document No.")</t>
  </si>
  <si>
    <t>=NF($D6304,"37 Due Date")</t>
  </si>
  <si>
    <t>=NF($D6305,"37 Due Date")</t>
  </si>
  <si>
    <t>=NF($D6306,"37 Due Date")</t>
  </si>
  <si>
    <t>=NF($D6307,"37 Due Date")</t>
  </si>
  <si>
    <t>=NF($D6308,"37 Due Date")</t>
  </si>
  <si>
    <t>=NF($D6309,"37 Due Date")</t>
  </si>
  <si>
    <t>=NF($D6310,"37 Due Date")</t>
  </si>
  <si>
    <t>=NF($D6311,"37 Due Date")</t>
  </si>
  <si>
    <t>=NF($D6312,"37 Due Date")</t>
  </si>
  <si>
    <t>=NF($D6313,"37 Due Date")</t>
  </si>
  <si>
    <t>=NF($D6314,"37 Due Date")</t>
  </si>
  <si>
    <t>=NF($D6315,"37 Due Date")</t>
  </si>
  <si>
    <t>=NF($D6316,"37 Due Date")</t>
  </si>
  <si>
    <t>=NF($D6317,"37 Due Date")</t>
  </si>
  <si>
    <t>=NF($D6318,"37 Due Date")</t>
  </si>
  <si>
    <t>=NF($D6319,"37 Due Date")</t>
  </si>
  <si>
    <t>=NF($D6320,"37 Due Date")</t>
  </si>
  <si>
    <t>=NF($D6321,"37 Due Date")</t>
  </si>
  <si>
    <t>=NF($D6322,"37 Due Date")</t>
  </si>
  <si>
    <t>=NF($D6323,"37 Due Date")</t>
  </si>
  <si>
    <t>=NF($D6324,"37 Due Date")</t>
  </si>
  <si>
    <t>=NF($D6325,"37 Due Date")</t>
  </si>
  <si>
    <t>=NF($D6326,"37 Due Date")</t>
  </si>
  <si>
    <t>=NF($D6327,"37 Due Date")</t>
  </si>
  <si>
    <t>=NF($D6328,"37 Due Date")</t>
  </si>
  <si>
    <t>=NF($D6304,"16 Remaining Amt. (LCY)")</t>
  </si>
  <si>
    <t>=NF($D6305,"16 Remaining Amt. (LCY)")</t>
  </si>
  <si>
    <t>=NF($D6306,"16 Remaining Amt. (LCY)")</t>
  </si>
  <si>
    <t>=NF($D6307,"16 Remaining Amt. (LCY)")</t>
  </si>
  <si>
    <t>=NF($D6308,"16 Remaining Amt. (LCY)")</t>
  </si>
  <si>
    <t>=NF($D6309,"16 Remaining Amt. (LCY)")</t>
  </si>
  <si>
    <t>=NF($D6310,"16 Remaining Amt. (LCY)")</t>
  </si>
  <si>
    <t>=NF($D6311,"16 Remaining Amt. (LCY)")</t>
  </si>
  <si>
    <t>=NF($D6312,"16 Remaining Amt. (LCY)")</t>
  </si>
  <si>
    <t>=NF($D6313,"16 Remaining Amt. (LCY)")</t>
  </si>
  <si>
    <t>=NF($D6314,"16 Remaining Amt. (LCY)")</t>
  </si>
  <si>
    <t>=NF($D6315,"16 Remaining Amt. (LCY)")</t>
  </si>
  <si>
    <t>=NF($D6316,"16 Remaining Amt. (LCY)")</t>
  </si>
  <si>
    <t>=NF($D6317,"16 Remaining Amt. (LCY)")</t>
  </si>
  <si>
    <t>=NF($D6318,"16 Remaining Amt. (LCY)")</t>
  </si>
  <si>
    <t>=NF($D6319,"16 Remaining Amt. (LCY)")</t>
  </si>
  <si>
    <t>=NF($D6320,"16 Remaining Amt. (LCY)")</t>
  </si>
  <si>
    <t>=NF($D6321,"16 Remaining Amt. (LCY)")</t>
  </si>
  <si>
    <t>=NF($D6322,"16 Remaining Amt. (LCY)")</t>
  </si>
  <si>
    <t>=NF($D6323,"16 Remaining Amt. (LCY)")</t>
  </si>
  <si>
    <t>=NF($D6324,"16 Remaining Amt. (LCY)")</t>
  </si>
  <si>
    <t>=NF($D6325,"16 Remaining Amt. (LCY)")</t>
  </si>
  <si>
    <t>=NF($D6326,"16 Remaining Amt. (LCY)")</t>
  </si>
  <si>
    <t>=NF($D6327,"16 Remaining Amt. (LCY)")</t>
  </si>
  <si>
    <t>=NF($D6328,"16 Remaining Amt. (LCY)")</t>
  </si>
  <si>
    <t>=NF($D6268,"5 Document Type")</t>
  </si>
  <si>
    <t>=NF($D6269,"5 Document Type")</t>
  </si>
  <si>
    <t>=NF($D6270,"5 Document Type")</t>
  </si>
  <si>
    <t>=NF($D6271,"5 Document Type")</t>
  </si>
  <si>
    <t>=NF($D6272,"5 Document Type")</t>
  </si>
  <si>
    <t>=NF($D6273,"5 Document Type")</t>
  </si>
  <si>
    <t>=NF($D6274,"5 Document Type")</t>
  </si>
  <si>
    <t>=NF($D6275,"5 Document Type")</t>
  </si>
  <si>
    <t>=NF($D6276,"5 Document Type")</t>
  </si>
  <si>
    <t>=NF($D6277,"5 Document Type")</t>
  </si>
  <si>
    <t>=NF($D6278,"5 Document Type")</t>
  </si>
  <si>
    <t>=NF($D6279,"5 Document Type")</t>
  </si>
  <si>
    <t>=NF($D6280,"5 Document Type")</t>
  </si>
  <si>
    <t>=NF($D6281,"5 Document Type")</t>
  </si>
  <si>
    <t>=NF($D6282,"5 Document Type")</t>
  </si>
  <si>
    <t>=NF($D6283,"5 Document Type")</t>
  </si>
  <si>
    <t>=NF($D6284,"5 Document Type")</t>
  </si>
  <si>
    <t>=NF($D6285,"5 Document Type")</t>
  </si>
  <si>
    <t>=NF($D6286,"5 Document Type")</t>
  </si>
  <si>
    <t>=NF($D6287,"5 Document Type")</t>
  </si>
  <si>
    <t>=NF($D6288,"5 Document Type")</t>
  </si>
  <si>
    <t>=NF($D6289,"5 Document Type")</t>
  </si>
  <si>
    <t>=NF($D6290,"5 Document Type")</t>
  </si>
  <si>
    <t>=NF($D6291,"5 Document Type")</t>
  </si>
  <si>
    <t>=NF($D6292,"5 Document Type")</t>
  </si>
  <si>
    <t>=NF($D6293,"5 Document Type")</t>
  </si>
  <si>
    <t>=NF($D6294,"5 Document Type")</t>
  </si>
  <si>
    <t>=NF($D6295,"5 Document Type")</t>
  </si>
  <si>
    <t>=NF($D6296,"5 Document Type")</t>
  </si>
  <si>
    <t>=NF($D6297,"5 Document Type")</t>
  </si>
  <si>
    <t>=NF($D6268,"6 Document No.")</t>
  </si>
  <si>
    <t>=NF($D6269,"6 Document No.")</t>
  </si>
  <si>
    <t>=NF($D6270,"6 Document No.")</t>
  </si>
  <si>
    <t>=NF($D6271,"6 Document No.")</t>
  </si>
  <si>
    <t>=NF($D6272,"6 Document No.")</t>
  </si>
  <si>
    <t>=NF($D6273,"6 Document No.")</t>
  </si>
  <si>
    <t>=NF($D6274,"6 Document No.")</t>
  </si>
  <si>
    <t>=NF($D6275,"6 Document No.")</t>
  </si>
  <si>
    <t>=NF($D6276,"6 Document No.")</t>
  </si>
  <si>
    <t>=NF($D6277,"6 Document No.")</t>
  </si>
  <si>
    <t>=NF($D6278,"6 Document No.")</t>
  </si>
  <si>
    <t>=NF($D6279,"6 Document No.")</t>
  </si>
  <si>
    <t>=NF($D6280,"6 Document No.")</t>
  </si>
  <si>
    <t>=NF($D6281,"6 Document No.")</t>
  </si>
  <si>
    <t>=NF($D6282,"6 Document No.")</t>
  </si>
  <si>
    <t>=NF($D6283,"6 Document No.")</t>
  </si>
  <si>
    <t>=NF($D6284,"6 Document No.")</t>
  </si>
  <si>
    <t>=NF($D6285,"6 Document No.")</t>
  </si>
  <si>
    <t>=NF($D6286,"6 Document No.")</t>
  </si>
  <si>
    <t>=NF($D6287,"6 Document No.")</t>
  </si>
  <si>
    <t>=NF($D6288,"6 Document No.")</t>
  </si>
  <si>
    <t>=NF($D6289,"6 Document No.")</t>
  </si>
  <si>
    <t>=NF($D6290,"6 Document No.")</t>
  </si>
  <si>
    <t>=NF($D6291,"6 Document No.")</t>
  </si>
  <si>
    <t>=NF($D6292,"6 Document No.")</t>
  </si>
  <si>
    <t>=NF($D6293,"6 Document No.")</t>
  </si>
  <si>
    <t>=NF($D6294,"6 Document No.")</t>
  </si>
  <si>
    <t>=NF($D6295,"6 Document No.")</t>
  </si>
  <si>
    <t>=NF($D6296,"6 Document No.")</t>
  </si>
  <si>
    <t>=NF($D6297,"6 Document No.")</t>
  </si>
  <si>
    <t>=NF($D6268,"37 Due Date")</t>
  </si>
  <si>
    <t>=NF($D6269,"37 Due Date")</t>
  </si>
  <si>
    <t>=NF($D6270,"37 Due Date")</t>
  </si>
  <si>
    <t>=NF($D6271,"37 Due Date")</t>
  </si>
  <si>
    <t>=NF($D6272,"37 Due Date")</t>
  </si>
  <si>
    <t>=NF($D6273,"37 Due Date")</t>
  </si>
  <si>
    <t>=NF($D6274,"37 Due Date")</t>
  </si>
  <si>
    <t>=NF($D6275,"37 Due Date")</t>
  </si>
  <si>
    <t>=NF($D6276,"37 Due Date")</t>
  </si>
  <si>
    <t>=NF($D6277,"37 Due Date")</t>
  </si>
  <si>
    <t>=NF($D6278,"37 Due Date")</t>
  </si>
  <si>
    <t>=NF($D6279,"37 Due Date")</t>
  </si>
  <si>
    <t>=NF($D6280,"37 Due Date")</t>
  </si>
  <si>
    <t>=NF($D6281,"37 Due Date")</t>
  </si>
  <si>
    <t>=NF($D6282,"37 Due Date")</t>
  </si>
  <si>
    <t>=NF($D6283,"37 Due Date")</t>
  </si>
  <si>
    <t>=NF($D6284,"37 Due Date")</t>
  </si>
  <si>
    <t>=NF($D6285,"37 Due Date")</t>
  </si>
  <si>
    <t>=NF($D6286,"37 Due Date")</t>
  </si>
  <si>
    <t>=NF($D6287,"37 Due Date")</t>
  </si>
  <si>
    <t>=NF($D6288,"37 Due Date")</t>
  </si>
  <si>
    <t>=NF($D6289,"37 Due Date")</t>
  </si>
  <si>
    <t>=NF($D6290,"37 Due Date")</t>
  </si>
  <si>
    <t>=NF($D6291,"37 Due Date")</t>
  </si>
  <si>
    <t>=NF($D6292,"37 Due Date")</t>
  </si>
  <si>
    <t>=NF($D6293,"37 Due Date")</t>
  </si>
  <si>
    <t>=NF($D6294,"37 Due Date")</t>
  </si>
  <si>
    <t>=NF($D6295,"37 Due Date")</t>
  </si>
  <si>
    <t>=NF($D6296,"37 Due Date")</t>
  </si>
  <si>
    <t>=NF($D6297,"37 Due Date")</t>
  </si>
  <si>
    <t>=NF($D6268,"16 Remaining Amt. (LCY)")</t>
  </si>
  <si>
    <t>=NF($D6269,"16 Remaining Amt. (LCY)")</t>
  </si>
  <si>
    <t>=NF($D6270,"16 Remaining Amt. (LCY)")</t>
  </si>
  <si>
    <t>=NF($D6271,"16 Remaining Amt. (LCY)")</t>
  </si>
  <si>
    <t>=NF($D6272,"16 Remaining Amt. (LCY)")</t>
  </si>
  <si>
    <t>=NF($D6273,"16 Remaining Amt. (LCY)")</t>
  </si>
  <si>
    <t>=NF($D6274,"16 Remaining Amt. (LCY)")</t>
  </si>
  <si>
    <t>=NF($D6275,"16 Remaining Amt. (LCY)")</t>
  </si>
  <si>
    <t>=NF($D6276,"16 Remaining Amt. (LCY)")</t>
  </si>
  <si>
    <t>=NF($D6277,"16 Remaining Amt. (LCY)")</t>
  </si>
  <si>
    <t>=NF($D6278,"16 Remaining Amt. (LCY)")</t>
  </si>
  <si>
    <t>=NF($D6279,"16 Remaining Amt. (LCY)")</t>
  </si>
  <si>
    <t>=NF($D6280,"16 Remaining Amt. (LCY)")</t>
  </si>
  <si>
    <t>=NF($D6281,"16 Remaining Amt. (LCY)")</t>
  </si>
  <si>
    <t>=NF($D6282,"16 Remaining Amt. (LCY)")</t>
  </si>
  <si>
    <t>=NF($D6283,"16 Remaining Amt. (LCY)")</t>
  </si>
  <si>
    <t>=NF($D6284,"16 Remaining Amt. (LCY)")</t>
  </si>
  <si>
    <t>=NF($D6285,"16 Remaining Amt. (LCY)")</t>
  </si>
  <si>
    <t>=NF($D6286,"16 Remaining Amt. (LCY)")</t>
  </si>
  <si>
    <t>=NF($D6287,"16 Remaining Amt. (LCY)")</t>
  </si>
  <si>
    <t>=NF($D6288,"16 Remaining Amt. (LCY)")</t>
  </si>
  <si>
    <t>=NF($D6289,"16 Remaining Amt. (LCY)")</t>
  </si>
  <si>
    <t>=NF($D6290,"16 Remaining Amt. (LCY)")</t>
  </si>
  <si>
    <t>=NF($D6291,"16 Remaining Amt. (LCY)")</t>
  </si>
  <si>
    <t>=NF($D6292,"16 Remaining Amt. (LCY)")</t>
  </si>
  <si>
    <t>=NF($D6293,"16 Remaining Amt. (LCY)")</t>
  </si>
  <si>
    <t>=NF($D6294,"16 Remaining Amt. (LCY)")</t>
  </si>
  <si>
    <t>=NF($D6295,"16 Remaining Amt. (LCY)")</t>
  </si>
  <si>
    <t>=NF($D6296,"16 Remaining Amt. (LCY)")</t>
  </si>
  <si>
    <t>=NF($D6297,"16 Remaining Amt. (LCY)")</t>
  </si>
  <si>
    <t>=NF($D6230,"5 Document Type")</t>
  </si>
  <si>
    <t>=NF($D6231,"5 Document Type")</t>
  </si>
  <si>
    <t>=NF($D6232,"5 Document Type")</t>
  </si>
  <si>
    <t>=NF($D6233,"5 Document Type")</t>
  </si>
  <si>
    <t>=NF($D6234,"5 Document Type")</t>
  </si>
  <si>
    <t>=NF($D6235,"5 Document Type")</t>
  </si>
  <si>
    <t>=NF($D6236,"5 Document Type")</t>
  </si>
  <si>
    <t>=NF($D6237,"5 Document Type")</t>
  </si>
  <si>
    <t>=NF($D6238,"5 Document Type")</t>
  </si>
  <si>
    <t>=NF($D6239,"5 Document Type")</t>
  </si>
  <si>
    <t>=NF($D6240,"5 Document Type")</t>
  </si>
  <si>
    <t>=NF($D6241,"5 Document Type")</t>
  </si>
  <si>
    <t>=NF($D6242,"5 Document Type")</t>
  </si>
  <si>
    <t>=NF($D6243,"5 Document Type")</t>
  </si>
  <si>
    <t>=NF($D6244,"5 Document Type")</t>
  </si>
  <si>
    <t>=NF($D6245,"5 Document Type")</t>
  </si>
  <si>
    <t>=NF($D6246,"5 Document Type")</t>
  </si>
  <si>
    <t>=NF($D6247,"5 Document Type")</t>
  </si>
  <si>
    <t>=NF($D6248,"5 Document Type")</t>
  </si>
  <si>
    <t>=NF($D6249,"5 Document Type")</t>
  </si>
  <si>
    <t>=NF($D6250,"5 Document Type")</t>
  </si>
  <si>
    <t>=NF($D6251,"5 Document Type")</t>
  </si>
  <si>
    <t>=NF($D6252,"5 Document Type")</t>
  </si>
  <si>
    <t>=NF($D6253,"5 Document Type")</t>
  </si>
  <si>
    <t>=NF($D6254,"5 Document Type")</t>
  </si>
  <si>
    <t>=NF($D6255,"5 Document Type")</t>
  </si>
  <si>
    <t>=NF($D6256,"5 Document Type")</t>
  </si>
  <si>
    <t>=NF($D6257,"5 Document Type")</t>
  </si>
  <si>
    <t>=NF($D6258,"5 Document Type")</t>
  </si>
  <si>
    <t>=NF($D6259,"5 Document Type")</t>
  </si>
  <si>
    <t>=NF($D6260,"5 Document Type")</t>
  </si>
  <si>
    <t>=NF($D6261,"5 Document Type")</t>
  </si>
  <si>
    <t>=NF($D6230,"6 Document No.")</t>
  </si>
  <si>
    <t>=NF($D6231,"6 Document No.")</t>
  </si>
  <si>
    <t>=NF($D6232,"6 Document No.")</t>
  </si>
  <si>
    <t>=NF($D6233,"6 Document No.")</t>
  </si>
  <si>
    <t>=NF($D6234,"6 Document No.")</t>
  </si>
  <si>
    <t>=NF($D6235,"6 Document No.")</t>
  </si>
  <si>
    <t>=NF($D6236,"6 Document No.")</t>
  </si>
  <si>
    <t>=NF($D6237,"6 Document No.")</t>
  </si>
  <si>
    <t>=NF($D6238,"6 Document No.")</t>
  </si>
  <si>
    <t>=NF($D6239,"6 Document No.")</t>
  </si>
  <si>
    <t>=NF($D6240,"6 Document No.")</t>
  </si>
  <si>
    <t>=NF($D6241,"6 Document No.")</t>
  </si>
  <si>
    <t>=NF($D6242,"6 Document No.")</t>
  </si>
  <si>
    <t>=NF($D6243,"6 Document No.")</t>
  </si>
  <si>
    <t>=NF($D6244,"6 Document No.")</t>
  </si>
  <si>
    <t>=NF($D6245,"6 Document No.")</t>
  </si>
  <si>
    <t>=NF($D6246,"6 Document No.")</t>
  </si>
  <si>
    <t>=NF($D6247,"6 Document No.")</t>
  </si>
  <si>
    <t>=NF($D6248,"6 Document No.")</t>
  </si>
  <si>
    <t>=NF($D6249,"6 Document No.")</t>
  </si>
  <si>
    <t>=NF($D6250,"6 Document No.")</t>
  </si>
  <si>
    <t>=NF($D6251,"6 Document No.")</t>
  </si>
  <si>
    <t>=NF($D6252,"6 Document No.")</t>
  </si>
  <si>
    <t>=NF($D6253,"6 Document No.")</t>
  </si>
  <si>
    <t>=NF($D6254,"6 Document No.")</t>
  </si>
  <si>
    <t>=NF($D6255,"6 Document No.")</t>
  </si>
  <si>
    <t>=NF($D6256,"6 Document No.")</t>
  </si>
  <si>
    <t>=NF($D6257,"6 Document No.")</t>
  </si>
  <si>
    <t>=NF($D6258,"6 Document No.")</t>
  </si>
  <si>
    <t>=NF($D6259,"6 Document No.")</t>
  </si>
  <si>
    <t>=NF($D6260,"6 Document No.")</t>
  </si>
  <si>
    <t>=NF($D6261,"6 Document No.")</t>
  </si>
  <si>
    <t>=NF($D6230,"37 Due Date")</t>
  </si>
  <si>
    <t>=NF($D6231,"37 Due Date")</t>
  </si>
  <si>
    <t>=NF($D6232,"37 Due Date")</t>
  </si>
  <si>
    <t>=NF($D6233,"37 Due Date")</t>
  </si>
  <si>
    <t>=NF($D6234,"37 Due Date")</t>
  </si>
  <si>
    <t>=NF($D6235,"37 Due Date")</t>
  </si>
  <si>
    <t>=NF($D6236,"37 Due Date")</t>
  </si>
  <si>
    <t>=NF($D6237,"37 Due Date")</t>
  </si>
  <si>
    <t>=NF($D6238,"37 Due Date")</t>
  </si>
  <si>
    <t>=NF($D6239,"37 Due Date")</t>
  </si>
  <si>
    <t>=NF($D6240,"37 Due Date")</t>
  </si>
  <si>
    <t>=NF($D6241,"37 Due Date")</t>
  </si>
  <si>
    <t>=NF($D6242,"37 Due Date")</t>
  </si>
  <si>
    <t>=NF($D6243,"37 Due Date")</t>
  </si>
  <si>
    <t>=NF($D6244,"37 Due Date")</t>
  </si>
  <si>
    <t>=NF($D6245,"37 Due Date")</t>
  </si>
  <si>
    <t>=NF($D6246,"37 Due Date")</t>
  </si>
  <si>
    <t>=NF($D6247,"37 Due Date")</t>
  </si>
  <si>
    <t>=NF($D6248,"37 Due Date")</t>
  </si>
  <si>
    <t>=NF($D6249,"37 Due Date")</t>
  </si>
  <si>
    <t>=NF($D6250,"37 Due Date")</t>
  </si>
  <si>
    <t>=NF($D6251,"37 Due Date")</t>
  </si>
  <si>
    <t>=NF($D6252,"37 Due Date")</t>
  </si>
  <si>
    <t>=NF($D6253,"37 Due Date")</t>
  </si>
  <si>
    <t>=NF($D6254,"37 Due Date")</t>
  </si>
  <si>
    <t>=NF($D6255,"37 Due Date")</t>
  </si>
  <si>
    <t>=NF($D6256,"37 Due Date")</t>
  </si>
  <si>
    <t>=NF($D6257,"37 Due Date")</t>
  </si>
  <si>
    <t>=NF($D6258,"37 Due Date")</t>
  </si>
  <si>
    <t>=NF($D6259,"37 Due Date")</t>
  </si>
  <si>
    <t>=NF($D6260,"37 Due Date")</t>
  </si>
  <si>
    <t>=NF($D6261,"37 Due Date")</t>
  </si>
  <si>
    <t>=NF($D6230,"16 Remaining Amt. (LCY)")</t>
  </si>
  <si>
    <t>=NF($D6231,"16 Remaining Amt. (LCY)")</t>
  </si>
  <si>
    <t>=NF($D6232,"16 Remaining Amt. (LCY)")</t>
  </si>
  <si>
    <t>=NF($D6233,"16 Remaining Amt. (LCY)")</t>
  </si>
  <si>
    <t>=NF($D6234,"16 Remaining Amt. (LCY)")</t>
  </si>
  <si>
    <t>=NF($D6235,"16 Remaining Amt. (LCY)")</t>
  </si>
  <si>
    <t>=NF($D6236,"16 Remaining Amt. (LCY)")</t>
  </si>
  <si>
    <t>=NF($D6237,"16 Remaining Amt. (LCY)")</t>
  </si>
  <si>
    <t>=NF($D6238,"16 Remaining Amt. (LCY)")</t>
  </si>
  <si>
    <t>=NF($D6239,"16 Remaining Amt. (LCY)")</t>
  </si>
  <si>
    <t>=NF($D6240,"16 Remaining Amt. (LCY)")</t>
  </si>
  <si>
    <t>=NF($D6241,"16 Remaining Amt. (LCY)")</t>
  </si>
  <si>
    <t>=NF($D6242,"16 Remaining Amt. (LCY)")</t>
  </si>
  <si>
    <t>=NF($D6243,"16 Remaining Amt. (LCY)")</t>
  </si>
  <si>
    <t>=NF($D6244,"16 Remaining Amt. (LCY)")</t>
  </si>
  <si>
    <t>=NF($D6245,"16 Remaining Amt. (LCY)")</t>
  </si>
  <si>
    <t>=NF($D6246,"16 Remaining Amt. (LCY)")</t>
  </si>
  <si>
    <t>=NF($D6247,"16 Remaining Amt. (LCY)")</t>
  </si>
  <si>
    <t>=NF($D6248,"16 Remaining Amt. (LCY)")</t>
  </si>
  <si>
    <t>=NF($D6249,"16 Remaining Amt. (LCY)")</t>
  </si>
  <si>
    <t>=NF($D6250,"16 Remaining Amt. (LCY)")</t>
  </si>
  <si>
    <t>=NF($D6251,"16 Remaining Amt. (LCY)")</t>
  </si>
  <si>
    <t>=NF($D6252,"16 Remaining Amt. (LCY)")</t>
  </si>
  <si>
    <t>=NF($D6253,"16 Remaining Amt. (LCY)")</t>
  </si>
  <si>
    <t>=NF($D6254,"16 Remaining Amt. (LCY)")</t>
  </si>
  <si>
    <t>=NF($D6255,"16 Remaining Amt. (LCY)")</t>
  </si>
  <si>
    <t>=NF($D6256,"16 Remaining Amt. (LCY)")</t>
  </si>
  <si>
    <t>=NF($D6257,"16 Remaining Amt. (LCY)")</t>
  </si>
  <si>
    <t>=NF($D6258,"16 Remaining Amt. (LCY)")</t>
  </si>
  <si>
    <t>=NF($D6259,"16 Remaining Amt. (LCY)")</t>
  </si>
  <si>
    <t>=NF($D6260,"16 Remaining Amt. (LCY)")</t>
  </si>
  <si>
    <t>=NF($D6261,"16 Remaining Amt. (LCY)")</t>
  </si>
  <si>
    <t>=NF($D6199,"5 Document Type")</t>
  </si>
  <si>
    <t>=NF($D6200,"5 Document Type")</t>
  </si>
  <si>
    <t>=NF($D6201,"5 Document Type")</t>
  </si>
  <si>
    <t>=NF($D6202,"5 Document Type")</t>
  </si>
  <si>
    <t>=NF($D6203,"5 Document Type")</t>
  </si>
  <si>
    <t>=NF($D6204,"5 Document Type")</t>
  </si>
  <si>
    <t>=NF($D6205,"5 Document Type")</t>
  </si>
  <si>
    <t>=NF($D6206,"5 Document Type")</t>
  </si>
  <si>
    <t>=NF($D6207,"5 Document Type")</t>
  </si>
  <si>
    <t>=NF($D6208,"5 Document Type")</t>
  </si>
  <si>
    <t>=NF($D6209,"5 Document Type")</t>
  </si>
  <si>
    <t>=NF($D6210,"5 Document Type")</t>
  </si>
  <si>
    <t>=NF($D6211,"5 Document Type")</t>
  </si>
  <si>
    <t>=NF($D6212,"5 Document Type")</t>
  </si>
  <si>
    <t>=NF($D6213,"5 Document Type")</t>
  </si>
  <si>
    <t>=NF($D6214,"5 Document Type")</t>
  </si>
  <si>
    <t>=NF($D6215,"5 Document Type")</t>
  </si>
  <si>
    <t>=NF($D6216,"5 Document Type")</t>
  </si>
  <si>
    <t>=NF($D6217,"5 Document Type")</t>
  </si>
  <si>
    <t>=NF($D6218,"5 Document Type")</t>
  </si>
  <si>
    <t>=NF($D6219,"5 Document Type")</t>
  </si>
  <si>
    <t>=NF($D6220,"5 Document Type")</t>
  </si>
  <si>
    <t>=NF($D6221,"5 Document Type")</t>
  </si>
  <si>
    <t>=NF($D6222,"5 Document Type")</t>
  </si>
  <si>
    <t>=NF($D6223,"5 Document Type")</t>
  </si>
  <si>
    <t>=NF($D6199,"6 Document No.")</t>
  </si>
  <si>
    <t>=NF($D6200,"6 Document No.")</t>
  </si>
  <si>
    <t>=NF($D6201,"6 Document No.")</t>
  </si>
  <si>
    <t>=NF($D6202,"6 Document No.")</t>
  </si>
  <si>
    <t>=NF($D6203,"6 Document No.")</t>
  </si>
  <si>
    <t>=NF($D6204,"6 Document No.")</t>
  </si>
  <si>
    <t>=NF($D6205,"6 Document No.")</t>
  </si>
  <si>
    <t>=NF($D6206,"6 Document No.")</t>
  </si>
  <si>
    <t>=NF($D6207,"6 Document No.")</t>
  </si>
  <si>
    <t>=NF($D6208,"6 Document No.")</t>
  </si>
  <si>
    <t>=NF($D6209,"6 Document No.")</t>
  </si>
  <si>
    <t>=NF($D6210,"6 Document No.")</t>
  </si>
  <si>
    <t>=NF($D6211,"6 Document No.")</t>
  </si>
  <si>
    <t>=NF($D6212,"6 Document No.")</t>
  </si>
  <si>
    <t>=NF($D6213,"6 Document No.")</t>
  </si>
  <si>
    <t>=NF($D6214,"6 Document No.")</t>
  </si>
  <si>
    <t>=NF($D6215,"6 Document No.")</t>
  </si>
  <si>
    <t>=NF($D6216,"6 Document No.")</t>
  </si>
  <si>
    <t>=NF($D6217,"6 Document No.")</t>
  </si>
  <si>
    <t>=NF($D6218,"6 Document No.")</t>
  </si>
  <si>
    <t>=NF($D6219,"6 Document No.")</t>
  </si>
  <si>
    <t>=NF($D6220,"6 Document No.")</t>
  </si>
  <si>
    <t>=NF($D6221,"6 Document No.")</t>
  </si>
  <si>
    <t>=NF($D6222,"6 Document No.")</t>
  </si>
  <si>
    <t>=NF($D6223,"6 Document No.")</t>
  </si>
  <si>
    <t>=NF($D6199,"37 Due Date")</t>
  </si>
  <si>
    <t>=NF($D6200,"37 Due Date")</t>
  </si>
  <si>
    <t>=NF($D6201,"37 Due Date")</t>
  </si>
  <si>
    <t>=NF($D6202,"37 Due Date")</t>
  </si>
  <si>
    <t>=NF($D6203,"37 Due Date")</t>
  </si>
  <si>
    <t>=NF($D6204,"37 Due Date")</t>
  </si>
  <si>
    <t>=NF($D6205,"37 Due Date")</t>
  </si>
  <si>
    <t>=NF($D6206,"37 Due Date")</t>
  </si>
  <si>
    <t>=NF($D6207,"37 Due Date")</t>
  </si>
  <si>
    <t>=NF($D6208,"37 Due Date")</t>
  </si>
  <si>
    <t>=NF($D6209,"37 Due Date")</t>
  </si>
  <si>
    <t>=NF($D6210,"37 Due Date")</t>
  </si>
  <si>
    <t>=NF($D6211,"37 Due Date")</t>
  </si>
  <si>
    <t>=NF($D6212,"37 Due Date")</t>
  </si>
  <si>
    <t>=NF($D6213,"37 Due Date")</t>
  </si>
  <si>
    <t>=NF($D6214,"37 Due Date")</t>
  </si>
  <si>
    <t>=NF($D6215,"37 Due Date")</t>
  </si>
  <si>
    <t>=NF($D6216,"37 Due Date")</t>
  </si>
  <si>
    <t>=NF($D6217,"37 Due Date")</t>
  </si>
  <si>
    <t>=NF($D6218,"37 Due Date")</t>
  </si>
  <si>
    <t>=NF($D6219,"37 Due Date")</t>
  </si>
  <si>
    <t>=NF($D6220,"37 Due Date")</t>
  </si>
  <si>
    <t>=NF($D6221,"37 Due Date")</t>
  </si>
  <si>
    <t>=NF($D6222,"37 Due Date")</t>
  </si>
  <si>
    <t>=NF($D6223,"37 Due Date")</t>
  </si>
  <si>
    <t>=NF($D6199,"16 Remaining Amt. (LCY)")</t>
  </si>
  <si>
    <t>=NF($D6200,"16 Remaining Amt. (LCY)")</t>
  </si>
  <si>
    <t>=NF($D6201,"16 Remaining Amt. (LCY)")</t>
  </si>
  <si>
    <t>=NF($D6202,"16 Remaining Amt. (LCY)")</t>
  </si>
  <si>
    <t>=NF($D6203,"16 Remaining Amt. (LCY)")</t>
  </si>
  <si>
    <t>=NF($D6204,"16 Remaining Amt. (LCY)")</t>
  </si>
  <si>
    <t>=NF($D6205,"16 Remaining Amt. (LCY)")</t>
  </si>
  <si>
    <t>=NF($D6206,"16 Remaining Amt. (LCY)")</t>
  </si>
  <si>
    <t>=NF($D6207,"16 Remaining Amt. (LCY)")</t>
  </si>
  <si>
    <t>=NF($D6208,"16 Remaining Amt. (LCY)")</t>
  </si>
  <si>
    <t>=NF($D6209,"16 Remaining Amt. (LCY)")</t>
  </si>
  <si>
    <t>=NF($D6210,"16 Remaining Amt. (LCY)")</t>
  </si>
  <si>
    <t>=NF($D6211,"16 Remaining Amt. (LCY)")</t>
  </si>
  <si>
    <t>=NF($D6212,"16 Remaining Amt. (LCY)")</t>
  </si>
  <si>
    <t>=NF($D6213,"16 Remaining Amt. (LCY)")</t>
  </si>
  <si>
    <t>=NF($D6214,"16 Remaining Amt. (LCY)")</t>
  </si>
  <si>
    <t>=NF($D6215,"16 Remaining Amt. (LCY)")</t>
  </si>
  <si>
    <t>=NF($D6216,"16 Remaining Amt. (LCY)")</t>
  </si>
  <si>
    <t>=NF($D6217,"16 Remaining Amt. (LCY)")</t>
  </si>
  <si>
    <t>=NF($D6218,"16 Remaining Amt. (LCY)")</t>
  </si>
  <si>
    <t>=NF($D6219,"16 Remaining Amt. (LCY)")</t>
  </si>
  <si>
    <t>=NF($D6220,"16 Remaining Amt. (LCY)")</t>
  </si>
  <si>
    <t>=NF($D6221,"16 Remaining Amt. (LCY)")</t>
  </si>
  <si>
    <t>=NF($D6222,"16 Remaining Amt. (LCY)")</t>
  </si>
  <si>
    <t>=NF($D6223,"16 Remaining Amt. (LCY)")</t>
  </si>
  <si>
    <t>=NF($D6160,"5 Document Type")</t>
  </si>
  <si>
    <t>=NF($D6161,"5 Document Type")</t>
  </si>
  <si>
    <t>=NF($D6162,"5 Document Type")</t>
  </si>
  <si>
    <t>=NF($D6163,"5 Document Type")</t>
  </si>
  <si>
    <t>=NF($D6164,"5 Document Type")</t>
  </si>
  <si>
    <t>=NF($D6165,"5 Document Type")</t>
  </si>
  <si>
    <t>=NF($D6166,"5 Document Type")</t>
  </si>
  <si>
    <t>=NF($D6167,"5 Document Type")</t>
  </si>
  <si>
    <t>=NF($D6168,"5 Document Type")</t>
  </si>
  <si>
    <t>=NF($D6169,"5 Document Type")</t>
  </si>
  <si>
    <t>=NF($D6170,"5 Document Type")</t>
  </si>
  <si>
    <t>=NF($D6171,"5 Document Type")</t>
  </si>
  <si>
    <t>=NF($D6172,"5 Document Type")</t>
  </si>
  <si>
    <t>=NF($D6173,"5 Document Type")</t>
  </si>
  <si>
    <t>=NF($D6174,"5 Document Type")</t>
  </si>
  <si>
    <t>=NF($D6175,"5 Document Type")</t>
  </si>
  <si>
    <t>=NF($D6176,"5 Document Type")</t>
  </si>
  <si>
    <t>=NF($D6177,"5 Document Type")</t>
  </si>
  <si>
    <t>=NF($D6178,"5 Document Type")</t>
  </si>
  <si>
    <t>=NF($D6179,"5 Document Type")</t>
  </si>
  <si>
    <t>=NF($D6180,"5 Document Type")</t>
  </si>
  <si>
    <t>=NF($D6181,"5 Document Type")</t>
  </si>
  <si>
    <t>=NF($D6182,"5 Document Type")</t>
  </si>
  <si>
    <t>=NF($D6183,"5 Document Type")</t>
  </si>
  <si>
    <t>=NF($D6184,"5 Document Type")</t>
  </si>
  <si>
    <t>=NF($D6185,"5 Document Type")</t>
  </si>
  <si>
    <t>=NF($D6186,"5 Document Type")</t>
  </si>
  <si>
    <t>=NF($D6187,"5 Document Type")</t>
  </si>
  <si>
    <t>=NF($D6188,"5 Document Type")</t>
  </si>
  <si>
    <t>=NF($D6189,"5 Document Type")</t>
  </si>
  <si>
    <t>=NF($D6190,"5 Document Type")</t>
  </si>
  <si>
    <t>=NF($D6191,"5 Document Type")</t>
  </si>
  <si>
    <t>=NF($D6192,"5 Document Type")</t>
  </si>
  <si>
    <t>=NF($D6160,"6 Document No.")</t>
  </si>
  <si>
    <t>=NF($D6161,"6 Document No.")</t>
  </si>
  <si>
    <t>=NF($D6162,"6 Document No.")</t>
  </si>
  <si>
    <t>=NF($D6163,"6 Document No.")</t>
  </si>
  <si>
    <t>=NF($D6164,"6 Document No.")</t>
  </si>
  <si>
    <t>=NF($D6165,"6 Document No.")</t>
  </si>
  <si>
    <t>=NF($D6166,"6 Document No.")</t>
  </si>
  <si>
    <t>=NF($D6167,"6 Document No.")</t>
  </si>
  <si>
    <t>=NF($D6168,"6 Document No.")</t>
  </si>
  <si>
    <t>=NF($D6169,"6 Document No.")</t>
  </si>
  <si>
    <t>=NF($D6170,"6 Document No.")</t>
  </si>
  <si>
    <t>=NF($D6171,"6 Document No.")</t>
  </si>
  <si>
    <t>=NF($D6172,"6 Document No.")</t>
  </si>
  <si>
    <t>=NF($D6173,"6 Document No.")</t>
  </si>
  <si>
    <t>=NF($D6174,"6 Document No.")</t>
  </si>
  <si>
    <t>=NF($D6175,"6 Document No.")</t>
  </si>
  <si>
    <t>=NF($D6176,"6 Document No.")</t>
  </si>
  <si>
    <t>=NF($D6177,"6 Document No.")</t>
  </si>
  <si>
    <t>=NF($D6178,"6 Document No.")</t>
  </si>
  <si>
    <t>=NF($D6179,"6 Document No.")</t>
  </si>
  <si>
    <t>=NF($D6180,"6 Document No.")</t>
  </si>
  <si>
    <t>=NF($D6181,"6 Document No.")</t>
  </si>
  <si>
    <t>=NF($D6182,"6 Document No.")</t>
  </si>
  <si>
    <t>=NF($D6183,"6 Document No.")</t>
  </si>
  <si>
    <t>=NF($D6184,"6 Document No.")</t>
  </si>
  <si>
    <t>=NF($D6185,"6 Document No.")</t>
  </si>
  <si>
    <t>=NF($D6186,"6 Document No.")</t>
  </si>
  <si>
    <t>=NF($D6187,"6 Document No.")</t>
  </si>
  <si>
    <t>=NF($D6188,"6 Document No.")</t>
  </si>
  <si>
    <t>=NF($D6189,"6 Document No.")</t>
  </si>
  <si>
    <t>=NF($D6190,"6 Document No.")</t>
  </si>
  <si>
    <t>=NF($D6191,"6 Document No.")</t>
  </si>
  <si>
    <t>=NF($D6192,"6 Document No.")</t>
  </si>
  <si>
    <t>=NF($D6160,"37 Due Date")</t>
  </si>
  <si>
    <t>=NF($D6161,"37 Due Date")</t>
  </si>
  <si>
    <t>=NF($D6162,"37 Due Date")</t>
  </si>
  <si>
    <t>=NF($D6163,"37 Due Date")</t>
  </si>
  <si>
    <t>=NF($D6164,"37 Due Date")</t>
  </si>
  <si>
    <t>=NF($D6165,"37 Due Date")</t>
  </si>
  <si>
    <t>=NF($D6166,"37 Due Date")</t>
  </si>
  <si>
    <t>=NF($D6167,"37 Due Date")</t>
  </si>
  <si>
    <t>=NF($D6168,"37 Due Date")</t>
  </si>
  <si>
    <t>=NF($D6169,"37 Due Date")</t>
  </si>
  <si>
    <t>=NF($D6170,"37 Due Date")</t>
  </si>
  <si>
    <t>=NF($D6171,"37 Due Date")</t>
  </si>
  <si>
    <t>=NF($D6172,"37 Due Date")</t>
  </si>
  <si>
    <t>=NF($D6173,"37 Due Date")</t>
  </si>
  <si>
    <t>=NF($D6174,"37 Due Date")</t>
  </si>
  <si>
    <t>=NF($D6175,"37 Due Date")</t>
  </si>
  <si>
    <t>=NF($D6176,"37 Due Date")</t>
  </si>
  <si>
    <t>=NF($D6177,"37 Due Date")</t>
  </si>
  <si>
    <t>=NF($D6178,"37 Due Date")</t>
  </si>
  <si>
    <t>=NF($D6179,"37 Due Date")</t>
  </si>
  <si>
    <t>=NF($D6180,"37 Due Date")</t>
  </si>
  <si>
    <t>=NF($D6181,"37 Due Date")</t>
  </si>
  <si>
    <t>=NF($D6182,"37 Due Date")</t>
  </si>
  <si>
    <t>=NF($D6183,"37 Due Date")</t>
  </si>
  <si>
    <t>=NF($D6184,"37 Due Date")</t>
  </si>
  <si>
    <t>=NF($D6185,"37 Due Date")</t>
  </si>
  <si>
    <t>=NF($D6186,"37 Due Date")</t>
  </si>
  <si>
    <t>=NF($D6187,"37 Due Date")</t>
  </si>
  <si>
    <t>=NF($D6188,"37 Due Date")</t>
  </si>
  <si>
    <t>=NF($D6189,"37 Due Date")</t>
  </si>
  <si>
    <t>=NF($D6190,"37 Due Date")</t>
  </si>
  <si>
    <t>=NF($D6191,"37 Due Date")</t>
  </si>
  <si>
    <t>=NF($D6192,"37 Due Date")</t>
  </si>
  <si>
    <t>=NF($D6160,"16 Remaining Amt. (LCY)")</t>
  </si>
  <si>
    <t>=NF($D6161,"16 Remaining Amt. (LCY)")</t>
  </si>
  <si>
    <t>=NF($D6162,"16 Remaining Amt. (LCY)")</t>
  </si>
  <si>
    <t>=NF($D6163,"16 Remaining Amt. (LCY)")</t>
  </si>
  <si>
    <t>=NF($D6164,"16 Remaining Amt. (LCY)")</t>
  </si>
  <si>
    <t>=NF($D6165,"16 Remaining Amt. (LCY)")</t>
  </si>
  <si>
    <t>=NF($D6166,"16 Remaining Amt. (LCY)")</t>
  </si>
  <si>
    <t>=NF($D6167,"16 Remaining Amt. (LCY)")</t>
  </si>
  <si>
    <t>=NF($D6168,"16 Remaining Amt. (LCY)")</t>
  </si>
  <si>
    <t>=NF($D6169,"16 Remaining Amt. (LCY)")</t>
  </si>
  <si>
    <t>=NF($D6170,"16 Remaining Amt. (LCY)")</t>
  </si>
  <si>
    <t>=NF($D6171,"16 Remaining Amt. (LCY)")</t>
  </si>
  <si>
    <t>=NF($D6172,"16 Remaining Amt. (LCY)")</t>
  </si>
  <si>
    <t>=NF($D6173,"16 Remaining Amt. (LCY)")</t>
  </si>
  <si>
    <t>=NF($D6174,"16 Remaining Amt. (LCY)")</t>
  </si>
  <si>
    <t>=NF($D6175,"16 Remaining Amt. (LCY)")</t>
  </si>
  <si>
    <t>=NF($D6176,"16 Remaining Amt. (LCY)")</t>
  </si>
  <si>
    <t>=NF($D6177,"16 Remaining Amt. (LCY)")</t>
  </si>
  <si>
    <t>=NF($D6178,"16 Remaining Amt. (LCY)")</t>
  </si>
  <si>
    <t>=NF($D6179,"16 Remaining Amt. (LCY)")</t>
  </si>
  <si>
    <t>=NF($D6180,"16 Remaining Amt. (LCY)")</t>
  </si>
  <si>
    <t>=NF($D6181,"16 Remaining Amt. (LCY)")</t>
  </si>
  <si>
    <t>=NF($D6182,"16 Remaining Amt. (LCY)")</t>
  </si>
  <si>
    <t>=NF($D6183,"16 Remaining Amt. (LCY)")</t>
  </si>
  <si>
    <t>=NF($D6184,"16 Remaining Amt. (LCY)")</t>
  </si>
  <si>
    <t>=NF($D6185,"16 Remaining Amt. (LCY)")</t>
  </si>
  <si>
    <t>=NF($D6186,"16 Remaining Amt. (LCY)")</t>
  </si>
  <si>
    <t>=NF($D6187,"16 Remaining Amt. (LCY)")</t>
  </si>
  <si>
    <t>=NF($D6188,"16 Remaining Amt. (LCY)")</t>
  </si>
  <si>
    <t>=NF($D6189,"16 Remaining Amt. (LCY)")</t>
  </si>
  <si>
    <t>=NF($D6190,"16 Remaining Amt. (LCY)")</t>
  </si>
  <si>
    <t>=NF($D6191,"16 Remaining Amt. (LCY)")</t>
  </si>
  <si>
    <t>=NF($D6192,"16 Remaining Amt. (LCY)")</t>
  </si>
  <si>
    <t>=NF($D6127,"5 Document Type")</t>
  </si>
  <si>
    <t>=NF($D6128,"5 Document Type")</t>
  </si>
  <si>
    <t>=NF($D6129,"5 Document Type")</t>
  </si>
  <si>
    <t>=NF($D6130,"5 Document Type")</t>
  </si>
  <si>
    <t>=NF($D6131,"5 Document Type")</t>
  </si>
  <si>
    <t>=NF($D6132,"5 Document Type")</t>
  </si>
  <si>
    <t>=NF($D6133,"5 Document Type")</t>
  </si>
  <si>
    <t>=NF($D6134,"5 Document Type")</t>
  </si>
  <si>
    <t>=NF($D6135,"5 Document Type")</t>
  </si>
  <si>
    <t>=NF($D6136,"5 Document Type")</t>
  </si>
  <si>
    <t>=NF($D6137,"5 Document Type")</t>
  </si>
  <si>
    <t>=NF($D6138,"5 Document Type")</t>
  </si>
  <si>
    <t>=NF($D6139,"5 Document Type")</t>
  </si>
  <si>
    <t>=NF($D6140,"5 Document Type")</t>
  </si>
  <si>
    <t>=NF($D6141,"5 Document Type")</t>
  </si>
  <si>
    <t>=NF($D6142,"5 Document Type")</t>
  </si>
  <si>
    <t>=NF($D6143,"5 Document Type")</t>
  </si>
  <si>
    <t>=NF($D6144,"5 Document Type")</t>
  </si>
  <si>
    <t>=NF($D6145,"5 Document Type")</t>
  </si>
  <si>
    <t>=NF($D6146,"5 Document Type")</t>
  </si>
  <si>
    <t>=NF($D6147,"5 Document Type")</t>
  </si>
  <si>
    <t>=NF($D6148,"5 Document Type")</t>
  </si>
  <si>
    <t>=NF($D6149,"5 Document Type")</t>
  </si>
  <si>
    <t>=NF($D6150,"5 Document Type")</t>
  </si>
  <si>
    <t>=NF($D6151,"5 Document Type")</t>
  </si>
  <si>
    <t>=NF($D6152,"5 Document Type")</t>
  </si>
  <si>
    <t>=NF($D6153,"5 Document Type")</t>
  </si>
  <si>
    <t>=NF($D6127,"6 Document No.")</t>
  </si>
  <si>
    <t>=NF($D6128,"6 Document No.")</t>
  </si>
  <si>
    <t>=NF($D6129,"6 Document No.")</t>
  </si>
  <si>
    <t>=NF($D6130,"6 Document No.")</t>
  </si>
  <si>
    <t>=NF($D6131,"6 Document No.")</t>
  </si>
  <si>
    <t>=NF($D6132,"6 Document No.")</t>
  </si>
  <si>
    <t>=NF($D6133,"6 Document No.")</t>
  </si>
  <si>
    <t>=NF($D6134,"6 Document No.")</t>
  </si>
  <si>
    <t>=NF($D6135,"6 Document No.")</t>
  </si>
  <si>
    <t>=NF($D6136,"6 Document No.")</t>
  </si>
  <si>
    <t>=NF($D6137,"6 Document No.")</t>
  </si>
  <si>
    <t>=NF($D6138,"6 Document No.")</t>
  </si>
  <si>
    <t>=NF($D6139,"6 Document No.")</t>
  </si>
  <si>
    <t>=NF($D6140,"6 Document No.")</t>
  </si>
  <si>
    <t>=NF($D6141,"6 Document No.")</t>
  </si>
  <si>
    <t>=NF($D6142,"6 Document No.")</t>
  </si>
  <si>
    <t>=NF($D6143,"6 Document No.")</t>
  </si>
  <si>
    <t>=NF($D6144,"6 Document No.")</t>
  </si>
  <si>
    <t>=NF($D6145,"6 Document No.")</t>
  </si>
  <si>
    <t>=NF($D6146,"6 Document No.")</t>
  </si>
  <si>
    <t>=NF($D6147,"6 Document No.")</t>
  </si>
  <si>
    <t>=NF($D6148,"6 Document No.")</t>
  </si>
  <si>
    <t>=NF($D6149,"6 Document No.")</t>
  </si>
  <si>
    <t>=NF($D6150,"6 Document No.")</t>
  </si>
  <si>
    <t>=NF($D6151,"6 Document No.")</t>
  </si>
  <si>
    <t>=NF($D6152,"6 Document No.")</t>
  </si>
  <si>
    <t>=NF($D6153,"6 Document No.")</t>
  </si>
  <si>
    <t>=NF($D6127,"37 Due Date")</t>
  </si>
  <si>
    <t>=NF($D6128,"37 Due Date")</t>
  </si>
  <si>
    <t>=NF($D6129,"37 Due Date")</t>
  </si>
  <si>
    <t>=NF($D6130,"37 Due Date")</t>
  </si>
  <si>
    <t>=NF($D6131,"37 Due Date")</t>
  </si>
  <si>
    <t>=NF($D6132,"37 Due Date")</t>
  </si>
  <si>
    <t>=NF($D6133,"37 Due Date")</t>
  </si>
  <si>
    <t>=NF($D6134,"37 Due Date")</t>
  </si>
  <si>
    <t>=NF($D6135,"37 Due Date")</t>
  </si>
  <si>
    <t>=NF($D6136,"37 Due Date")</t>
  </si>
  <si>
    <t>=NF($D6137,"37 Due Date")</t>
  </si>
  <si>
    <t>=NF($D6138,"37 Due Date")</t>
  </si>
  <si>
    <t>=NF($D6139,"37 Due Date")</t>
  </si>
  <si>
    <t>=NF($D6140,"37 Due Date")</t>
  </si>
  <si>
    <t>=NF($D6141,"37 Due Date")</t>
  </si>
  <si>
    <t>=NF($D6142,"37 Due Date")</t>
  </si>
  <si>
    <t>=NF($D6143,"37 Due Date")</t>
  </si>
  <si>
    <t>=NF($D6144,"37 Due Date")</t>
  </si>
  <si>
    <t>=NF($D6145,"37 Due Date")</t>
  </si>
  <si>
    <t>=NF($D6146,"37 Due Date")</t>
  </si>
  <si>
    <t>=NF($D6147,"37 Due Date")</t>
  </si>
  <si>
    <t>=NF($D6148,"37 Due Date")</t>
  </si>
  <si>
    <t>=NF($D6149,"37 Due Date")</t>
  </si>
  <si>
    <t>=NF($D6150,"37 Due Date")</t>
  </si>
  <si>
    <t>=NF($D6151,"37 Due Date")</t>
  </si>
  <si>
    <t>=NF($D6152,"37 Due Date")</t>
  </si>
  <si>
    <t>=NF($D6153,"37 Due Date")</t>
  </si>
  <si>
    <t>=NF($D6127,"16 Remaining Amt. (LCY)")</t>
  </si>
  <si>
    <t>=NF($D6128,"16 Remaining Amt. (LCY)")</t>
  </si>
  <si>
    <t>=NF($D6129,"16 Remaining Amt. (LCY)")</t>
  </si>
  <si>
    <t>=NF($D6130,"16 Remaining Amt. (LCY)")</t>
  </si>
  <si>
    <t>=NF($D6131,"16 Remaining Amt. (LCY)")</t>
  </si>
  <si>
    <t>=NF($D6132,"16 Remaining Amt. (LCY)")</t>
  </si>
  <si>
    <t>=NF($D6133,"16 Remaining Amt. (LCY)")</t>
  </si>
  <si>
    <t>=NF($D6134,"16 Remaining Amt. (LCY)")</t>
  </si>
  <si>
    <t>=NF($D6135,"16 Remaining Amt. (LCY)")</t>
  </si>
  <si>
    <t>=NF($D6136,"16 Remaining Amt. (LCY)")</t>
  </si>
  <si>
    <t>=NF($D6137,"16 Remaining Amt. (LCY)")</t>
  </si>
  <si>
    <t>=NF($D6138,"16 Remaining Amt. (LCY)")</t>
  </si>
  <si>
    <t>=NF($D6139,"16 Remaining Amt. (LCY)")</t>
  </si>
  <si>
    <t>=NF($D6140,"16 Remaining Amt. (LCY)")</t>
  </si>
  <si>
    <t>=NF($D6141,"16 Remaining Amt. (LCY)")</t>
  </si>
  <si>
    <t>=NF($D6142,"16 Remaining Amt. (LCY)")</t>
  </si>
  <si>
    <t>=NF($D6143,"16 Remaining Amt. (LCY)")</t>
  </si>
  <si>
    <t>=NF($D6144,"16 Remaining Amt. (LCY)")</t>
  </si>
  <si>
    <t>=NF($D6145,"16 Remaining Amt. (LCY)")</t>
  </si>
  <si>
    <t>=NF($D6146,"16 Remaining Amt. (LCY)")</t>
  </si>
  <si>
    <t>=NF($D6147,"16 Remaining Amt. (LCY)")</t>
  </si>
  <si>
    <t>=NF($D6148,"16 Remaining Amt. (LCY)")</t>
  </si>
  <si>
    <t>=NF($D6149,"16 Remaining Amt. (LCY)")</t>
  </si>
  <si>
    <t>=NF($D6150,"16 Remaining Amt. (LCY)")</t>
  </si>
  <si>
    <t>=NF($D6151,"16 Remaining Amt. (LCY)")</t>
  </si>
  <si>
    <t>=NF($D6152,"16 Remaining Amt. (LCY)")</t>
  </si>
  <si>
    <t>=NF($D6153,"16 Remaining Amt. (LCY)")</t>
  </si>
  <si>
    <t>=NF($D6100,"5 Document Type")</t>
  </si>
  <si>
    <t>=NF($D6101,"5 Document Type")</t>
  </si>
  <si>
    <t>=NF($D6102,"5 Document Type")</t>
  </si>
  <si>
    <t>=NF($D6103,"5 Document Type")</t>
  </si>
  <si>
    <t>=NF($D6104,"5 Document Type")</t>
  </si>
  <si>
    <t>=NF($D6105,"5 Document Type")</t>
  </si>
  <si>
    <t>=NF($D6106,"5 Document Type")</t>
  </si>
  <si>
    <t>=NF($D6107,"5 Document Type")</t>
  </si>
  <si>
    <t>=NF($D6108,"5 Document Type")</t>
  </si>
  <si>
    <t>=NF($D6109,"5 Document Type")</t>
  </si>
  <si>
    <t>=NF($D6110,"5 Document Type")</t>
  </si>
  <si>
    <t>=NF($D6111,"5 Document Type")</t>
  </si>
  <si>
    <t>=NF($D6112,"5 Document Type")</t>
  </si>
  <si>
    <t>=NF($D6113,"5 Document Type")</t>
  </si>
  <si>
    <t>=NF($D6114,"5 Document Type")</t>
  </si>
  <si>
    <t>=NF($D6115,"5 Document Type")</t>
  </si>
  <si>
    <t>=NF($D6116,"5 Document Type")</t>
  </si>
  <si>
    <t>=NF($D6117,"5 Document Type")</t>
  </si>
  <si>
    <t>=NF($D6118,"5 Document Type")</t>
  </si>
  <si>
    <t>=NF($D6119,"5 Document Type")</t>
  </si>
  <si>
    <t>=NF($D6120,"5 Document Type")</t>
  </si>
  <si>
    <t>=NF($D6100,"6 Document No.")</t>
  </si>
  <si>
    <t>=NF($D6101,"6 Document No.")</t>
  </si>
  <si>
    <t>=NF($D6102,"6 Document No.")</t>
  </si>
  <si>
    <t>=NF($D6103,"6 Document No.")</t>
  </si>
  <si>
    <t>=NF($D6104,"6 Document No.")</t>
  </si>
  <si>
    <t>=NF($D6105,"6 Document No.")</t>
  </si>
  <si>
    <t>=NF($D6106,"6 Document No.")</t>
  </si>
  <si>
    <t>=NF($D6107,"6 Document No.")</t>
  </si>
  <si>
    <t>=NF($D6108,"6 Document No.")</t>
  </si>
  <si>
    <t>=NF($D6109,"6 Document No.")</t>
  </si>
  <si>
    <t>=NF($D6110,"6 Document No.")</t>
  </si>
  <si>
    <t>=NF($D6111,"6 Document No.")</t>
  </si>
  <si>
    <t>=NF($D6112,"6 Document No.")</t>
  </si>
  <si>
    <t>=NF($D6113,"6 Document No.")</t>
  </si>
  <si>
    <t>=NF($D6114,"6 Document No.")</t>
  </si>
  <si>
    <t>=NF($D6115,"6 Document No.")</t>
  </si>
  <si>
    <t>=NF($D6116,"6 Document No.")</t>
  </si>
  <si>
    <t>=NF($D6117,"6 Document No.")</t>
  </si>
  <si>
    <t>=NF($D6118,"6 Document No.")</t>
  </si>
  <si>
    <t>=NF($D6119,"6 Document No.")</t>
  </si>
  <si>
    <t>=NF($D6120,"6 Document No.")</t>
  </si>
  <si>
    <t>=NF($D6100,"37 Due Date")</t>
  </si>
  <si>
    <t>=NF($D6101,"37 Due Date")</t>
  </si>
  <si>
    <t>=NF($D6102,"37 Due Date")</t>
  </si>
  <si>
    <t>=NF($D6103,"37 Due Date")</t>
  </si>
  <si>
    <t>=NF($D6104,"37 Due Date")</t>
  </si>
  <si>
    <t>=NF($D6105,"37 Due Date")</t>
  </si>
  <si>
    <t>=NF($D6106,"37 Due Date")</t>
  </si>
  <si>
    <t>=NF($D6107,"37 Due Date")</t>
  </si>
  <si>
    <t>=NF($D6108,"37 Due Date")</t>
  </si>
  <si>
    <t>=NF($D6109,"37 Due Date")</t>
  </si>
  <si>
    <t>=NF($D6110,"37 Due Date")</t>
  </si>
  <si>
    <t>=NF($D6111,"37 Due Date")</t>
  </si>
  <si>
    <t>=NF($D6112,"37 Due Date")</t>
  </si>
  <si>
    <t>=NF($D6113,"37 Due Date")</t>
  </si>
  <si>
    <t>=NF($D6114,"37 Due Date")</t>
  </si>
  <si>
    <t>=NF($D6115,"37 Due Date")</t>
  </si>
  <si>
    <t>=NF($D6116,"37 Due Date")</t>
  </si>
  <si>
    <t>=NF($D6117,"37 Due Date")</t>
  </si>
  <si>
    <t>=NF($D6118,"37 Due Date")</t>
  </si>
  <si>
    <t>=NF($D6119,"37 Due Date")</t>
  </si>
  <si>
    <t>=NF($D6120,"37 Due Date")</t>
  </si>
  <si>
    <t>=NF($D6100,"16 Remaining Amt. (LCY)")</t>
  </si>
  <si>
    <t>=NF($D6101,"16 Remaining Amt. (LCY)")</t>
  </si>
  <si>
    <t>=NF($D6102,"16 Remaining Amt. (LCY)")</t>
  </si>
  <si>
    <t>=NF($D6103,"16 Remaining Amt. (LCY)")</t>
  </si>
  <si>
    <t>=NF($D6104,"16 Remaining Amt. (LCY)")</t>
  </si>
  <si>
    <t>=NF($D6105,"16 Remaining Amt. (LCY)")</t>
  </si>
  <si>
    <t>=NF($D6106,"16 Remaining Amt. (LCY)")</t>
  </si>
  <si>
    <t>=NF($D6107,"16 Remaining Amt. (LCY)")</t>
  </si>
  <si>
    <t>=NF($D6108,"16 Remaining Amt. (LCY)")</t>
  </si>
  <si>
    <t>=NF($D6109,"16 Remaining Amt. (LCY)")</t>
  </si>
  <si>
    <t>=NF($D6110,"16 Remaining Amt. (LCY)")</t>
  </si>
  <si>
    <t>=NF($D6111,"16 Remaining Amt. (LCY)")</t>
  </si>
  <si>
    <t>=NF($D6112,"16 Remaining Amt. (LCY)")</t>
  </si>
  <si>
    <t>=NF($D6113,"16 Remaining Amt. (LCY)")</t>
  </si>
  <si>
    <t>=NF($D6114,"16 Remaining Amt. (LCY)")</t>
  </si>
  <si>
    <t>=NF($D6115,"16 Remaining Amt. (LCY)")</t>
  </si>
  <si>
    <t>=NF($D6116,"16 Remaining Amt. (LCY)")</t>
  </si>
  <si>
    <t>=NF($D6117,"16 Remaining Amt. (LCY)")</t>
  </si>
  <si>
    <t>=NF($D6118,"16 Remaining Amt. (LCY)")</t>
  </si>
  <si>
    <t>=NF($D6119,"16 Remaining Amt. (LCY)")</t>
  </si>
  <si>
    <t>=NF($D6120,"16 Remaining Amt. (LCY)")</t>
  </si>
  <si>
    <t>=NF($D6070,"5 Document Type")</t>
  </si>
  <si>
    <t>=NF($D6071,"5 Document Type")</t>
  </si>
  <si>
    <t>=NF($D6072,"5 Document Type")</t>
  </si>
  <si>
    <t>=NF($D6073,"5 Document Type")</t>
  </si>
  <si>
    <t>=NF($D6074,"5 Document Type")</t>
  </si>
  <si>
    <t>=NF($D6075,"5 Document Type")</t>
  </si>
  <si>
    <t>=NF($D6076,"5 Document Type")</t>
  </si>
  <si>
    <t>=NF($D6077,"5 Document Type")</t>
  </si>
  <si>
    <t>=NF($D6078,"5 Document Type")</t>
  </si>
  <si>
    <t>=NF($D6079,"5 Document Type")</t>
  </si>
  <si>
    <t>=NF($D6080,"5 Document Type")</t>
  </si>
  <si>
    <t>=NF($D6081,"5 Document Type")</t>
  </si>
  <si>
    <t>=NF($D6082,"5 Document Type")</t>
  </si>
  <si>
    <t>=NF($D6083,"5 Document Type")</t>
  </si>
  <si>
    <t>=NF($D6084,"5 Document Type")</t>
  </si>
  <si>
    <t>=NF($D6085,"5 Document Type")</t>
  </si>
  <si>
    <t>=NF($D6086,"5 Document Type")</t>
  </si>
  <si>
    <t>=NF($D6087,"5 Document Type")</t>
  </si>
  <si>
    <t>=NF($D6088,"5 Document Type")</t>
  </si>
  <si>
    <t>=NF($D6089,"5 Document Type")</t>
  </si>
  <si>
    <t>=NF($D6090,"5 Document Type")</t>
  </si>
  <si>
    <t>=NF($D6091,"5 Document Type")</t>
  </si>
  <si>
    <t>=NF($D6092,"5 Document Type")</t>
  </si>
  <si>
    <t>=NF($D6093,"5 Document Type")</t>
  </si>
  <si>
    <t>=NF($D6070,"6 Document No.")</t>
  </si>
  <si>
    <t>=NF($D6071,"6 Document No.")</t>
  </si>
  <si>
    <t>=NF($D6072,"6 Document No.")</t>
  </si>
  <si>
    <t>=NF($D6073,"6 Document No.")</t>
  </si>
  <si>
    <t>=NF($D6074,"6 Document No.")</t>
  </si>
  <si>
    <t>=NF($D6075,"6 Document No.")</t>
  </si>
  <si>
    <t>=NF($D6076,"6 Document No.")</t>
  </si>
  <si>
    <t>=NF($D6077,"6 Document No.")</t>
  </si>
  <si>
    <t>=NF($D6078,"6 Document No.")</t>
  </si>
  <si>
    <t>=NF($D6079,"6 Document No.")</t>
  </si>
  <si>
    <t>=NF($D6080,"6 Document No.")</t>
  </si>
  <si>
    <t>=NF($D6081,"6 Document No.")</t>
  </si>
  <si>
    <t>=NF($D6082,"6 Document No.")</t>
  </si>
  <si>
    <t>=NF($D6083,"6 Document No.")</t>
  </si>
  <si>
    <t>=NF($D6084,"6 Document No.")</t>
  </si>
  <si>
    <t>=NF($D6085,"6 Document No.")</t>
  </si>
  <si>
    <t>=NF($D6086,"6 Document No.")</t>
  </si>
  <si>
    <t>=NF($D6087,"6 Document No.")</t>
  </si>
  <si>
    <t>=NF($D6088,"6 Document No.")</t>
  </si>
  <si>
    <t>=NF($D6089,"6 Document No.")</t>
  </si>
  <si>
    <t>=NF($D6090,"6 Document No.")</t>
  </si>
  <si>
    <t>=NF($D6091,"6 Document No.")</t>
  </si>
  <si>
    <t>=NF($D6092,"6 Document No.")</t>
  </si>
  <si>
    <t>=NF($D6093,"6 Document No.")</t>
  </si>
  <si>
    <t>=NF($D6070,"37 Due Date")</t>
  </si>
  <si>
    <t>=NF($D6071,"37 Due Date")</t>
  </si>
  <si>
    <t>=NF($D6072,"37 Due Date")</t>
  </si>
  <si>
    <t>=NF($D6073,"37 Due Date")</t>
  </si>
  <si>
    <t>=NF($D6074,"37 Due Date")</t>
  </si>
  <si>
    <t>=NF($D6075,"37 Due Date")</t>
  </si>
  <si>
    <t>=NF($D6076,"37 Due Date")</t>
  </si>
  <si>
    <t>=NF($D6077,"37 Due Date")</t>
  </si>
  <si>
    <t>=NF($D6078,"37 Due Date")</t>
  </si>
  <si>
    <t>=NF($D6079,"37 Due Date")</t>
  </si>
  <si>
    <t>=NF($D6080,"37 Due Date")</t>
  </si>
  <si>
    <t>=NF($D6081,"37 Due Date")</t>
  </si>
  <si>
    <t>=NF($D6082,"37 Due Date")</t>
  </si>
  <si>
    <t>=NF($D6083,"37 Due Date")</t>
  </si>
  <si>
    <t>=NF($D6084,"37 Due Date")</t>
  </si>
  <si>
    <t>=NF($D6085,"37 Due Date")</t>
  </si>
  <si>
    <t>=NF($D6086,"37 Due Date")</t>
  </si>
  <si>
    <t>=NF($D6087,"37 Due Date")</t>
  </si>
  <si>
    <t>=NF($D6088,"37 Due Date")</t>
  </si>
  <si>
    <t>=NF($D6089,"37 Due Date")</t>
  </si>
  <si>
    <t>=NF($D6090,"37 Due Date")</t>
  </si>
  <si>
    <t>=NF($D6091,"37 Due Date")</t>
  </si>
  <si>
    <t>=NF($D6092,"37 Due Date")</t>
  </si>
  <si>
    <t>=NF($D6093,"37 Due Date")</t>
  </si>
  <si>
    <t>=NF($D6070,"16 Remaining Amt. (LCY)")</t>
  </si>
  <si>
    <t>=NF($D6071,"16 Remaining Amt. (LCY)")</t>
  </si>
  <si>
    <t>=NF($D6072,"16 Remaining Amt. (LCY)")</t>
  </si>
  <si>
    <t>=NF($D6073,"16 Remaining Amt. (LCY)")</t>
  </si>
  <si>
    <t>=NF($D6074,"16 Remaining Amt. (LCY)")</t>
  </si>
  <si>
    <t>=NF($D6075,"16 Remaining Amt. (LCY)")</t>
  </si>
  <si>
    <t>=NF($D6076,"16 Remaining Amt. (LCY)")</t>
  </si>
  <si>
    <t>=NF($D6077,"16 Remaining Amt. (LCY)")</t>
  </si>
  <si>
    <t>=NF($D6078,"16 Remaining Amt. (LCY)")</t>
  </si>
  <si>
    <t>=NF($D6079,"16 Remaining Amt. (LCY)")</t>
  </si>
  <si>
    <t>=NF($D6080,"16 Remaining Amt. (LCY)")</t>
  </si>
  <si>
    <t>=NF($D6081,"16 Remaining Amt. (LCY)")</t>
  </si>
  <si>
    <t>=NF($D6082,"16 Remaining Amt. (LCY)")</t>
  </si>
  <si>
    <t>=NF($D6083,"16 Remaining Amt. (LCY)")</t>
  </si>
  <si>
    <t>=NF($D6084,"16 Remaining Amt. (LCY)")</t>
  </si>
  <si>
    <t>=NF($D6085,"16 Remaining Amt. (LCY)")</t>
  </si>
  <si>
    <t>=NF($D6086,"16 Remaining Amt. (LCY)")</t>
  </si>
  <si>
    <t>=NF($D6087,"16 Remaining Amt. (LCY)")</t>
  </si>
  <si>
    <t>=NF($D6088,"16 Remaining Amt. (LCY)")</t>
  </si>
  <si>
    <t>=NF($D6089,"16 Remaining Amt. (LCY)")</t>
  </si>
  <si>
    <t>=NF($D6090,"16 Remaining Amt. (LCY)")</t>
  </si>
  <si>
    <t>=NF($D6091,"16 Remaining Amt. (LCY)")</t>
  </si>
  <si>
    <t>=NF($D6092,"16 Remaining Amt. (LCY)")</t>
  </si>
  <si>
    <t>=NF($D6093,"16 Remaining Amt. (LCY)")</t>
  </si>
  <si>
    <t>=NF($D6042,"5 Document Type")</t>
  </si>
  <si>
    <t>=NF($D6043,"5 Document Type")</t>
  </si>
  <si>
    <t>=NF($D6044,"5 Document Type")</t>
  </si>
  <si>
    <t>=NF($D6045,"5 Document Type")</t>
  </si>
  <si>
    <t>=NF($D6046,"5 Document Type")</t>
  </si>
  <si>
    <t>=NF($D6047,"5 Document Type")</t>
  </si>
  <si>
    <t>=NF($D6048,"5 Document Type")</t>
  </si>
  <si>
    <t>=NF($D6049,"5 Document Type")</t>
  </si>
  <si>
    <t>=NF($D6050,"5 Document Type")</t>
  </si>
  <si>
    <t>=NF($D6051,"5 Document Type")</t>
  </si>
  <si>
    <t>=NF($D6052,"5 Document Type")</t>
  </si>
  <si>
    <t>=NF($D6053,"5 Document Type")</t>
  </si>
  <si>
    <t>=NF($D6054,"5 Document Type")</t>
  </si>
  <si>
    <t>=NF($D6055,"5 Document Type")</t>
  </si>
  <si>
    <t>=NF($D6056,"5 Document Type")</t>
  </si>
  <si>
    <t>=NF($D6057,"5 Document Type")</t>
  </si>
  <si>
    <t>=NF($D6058,"5 Document Type")</t>
  </si>
  <si>
    <t>=NF($D6059,"5 Document Type")</t>
  </si>
  <si>
    <t>=NF($D6060,"5 Document Type")</t>
  </si>
  <si>
    <t>=NF($D6061,"5 Document Type")</t>
  </si>
  <si>
    <t>=NF($D6062,"5 Document Type")</t>
  </si>
  <si>
    <t>=NF($D6063,"5 Document Type")</t>
  </si>
  <si>
    <t>=NF($D6042,"6 Document No.")</t>
  </si>
  <si>
    <t>=NF($D6043,"6 Document No.")</t>
  </si>
  <si>
    <t>=NF($D6044,"6 Document No.")</t>
  </si>
  <si>
    <t>=NF($D6045,"6 Document No.")</t>
  </si>
  <si>
    <t>=NF($D6046,"6 Document No.")</t>
  </si>
  <si>
    <t>=NF($D6047,"6 Document No.")</t>
  </si>
  <si>
    <t>=NF($D6048,"6 Document No.")</t>
  </si>
  <si>
    <t>=NF($D6049,"6 Document No.")</t>
  </si>
  <si>
    <t>=NF($D6050,"6 Document No.")</t>
  </si>
  <si>
    <t>=NF($D6051,"6 Document No.")</t>
  </si>
  <si>
    <t>=NF($D6052,"6 Document No.")</t>
  </si>
  <si>
    <t>=NF($D6053,"6 Document No.")</t>
  </si>
  <si>
    <t>=NF($D6054,"6 Document No.")</t>
  </si>
  <si>
    <t>=NF($D6055,"6 Document No.")</t>
  </si>
  <si>
    <t>=NF($D6056,"6 Document No.")</t>
  </si>
  <si>
    <t>=NF($D6057,"6 Document No.")</t>
  </si>
  <si>
    <t>=NF($D6058,"6 Document No.")</t>
  </si>
  <si>
    <t>=NF($D6059,"6 Document No.")</t>
  </si>
  <si>
    <t>=NF($D6060,"6 Document No.")</t>
  </si>
  <si>
    <t>=NF($D6061,"6 Document No.")</t>
  </si>
  <si>
    <t>=NF($D6062,"6 Document No.")</t>
  </si>
  <si>
    <t>=NF($D6063,"6 Document No.")</t>
  </si>
  <si>
    <t>=NF($D6042,"37 Due Date")</t>
  </si>
  <si>
    <t>=NF($D6043,"37 Due Date")</t>
  </si>
  <si>
    <t>=NF($D6044,"37 Due Date")</t>
  </si>
  <si>
    <t>=NF($D6045,"37 Due Date")</t>
  </si>
  <si>
    <t>=NF($D6046,"37 Due Date")</t>
  </si>
  <si>
    <t>=NF($D6047,"37 Due Date")</t>
  </si>
  <si>
    <t>=NF($D6048,"37 Due Date")</t>
  </si>
  <si>
    <t>=NF($D6049,"37 Due Date")</t>
  </si>
  <si>
    <t>=NF($D6050,"37 Due Date")</t>
  </si>
  <si>
    <t>=NF($D6051,"37 Due Date")</t>
  </si>
  <si>
    <t>=NF($D6052,"37 Due Date")</t>
  </si>
  <si>
    <t>=NF($D6053,"37 Due Date")</t>
  </si>
  <si>
    <t>=NF($D6054,"37 Due Date")</t>
  </si>
  <si>
    <t>=NF($D6055,"37 Due Date")</t>
  </si>
  <si>
    <t>=NF($D6056,"37 Due Date")</t>
  </si>
  <si>
    <t>=NF($D6057,"37 Due Date")</t>
  </si>
  <si>
    <t>=NF($D6058,"37 Due Date")</t>
  </si>
  <si>
    <t>=NF($D6059,"37 Due Date")</t>
  </si>
  <si>
    <t>=NF($D6060,"37 Due Date")</t>
  </si>
  <si>
    <t>=NF($D6061,"37 Due Date")</t>
  </si>
  <si>
    <t>=NF($D6062,"37 Due Date")</t>
  </si>
  <si>
    <t>=NF($D6063,"37 Due Date")</t>
  </si>
  <si>
    <t>=NF($D6042,"16 Remaining Amt. (LCY)")</t>
  </si>
  <si>
    <t>=NF($D6043,"16 Remaining Amt. (LCY)")</t>
  </si>
  <si>
    <t>=NF($D6044,"16 Remaining Amt. (LCY)")</t>
  </si>
  <si>
    <t>=NF($D6045,"16 Remaining Amt. (LCY)")</t>
  </si>
  <si>
    <t>=NF($D6046,"16 Remaining Amt. (LCY)")</t>
  </si>
  <si>
    <t>=NF($D6047,"16 Remaining Amt. (LCY)")</t>
  </si>
  <si>
    <t>=NF($D6048,"16 Remaining Amt. (LCY)")</t>
  </si>
  <si>
    <t>=NF($D6049,"16 Remaining Amt. (LCY)")</t>
  </si>
  <si>
    <t>=NF($D6050,"16 Remaining Amt. (LCY)")</t>
  </si>
  <si>
    <t>=NF($D6051,"16 Remaining Amt. (LCY)")</t>
  </si>
  <si>
    <t>=NF($D6052,"16 Remaining Amt. (LCY)")</t>
  </si>
  <si>
    <t>=NF($D6053,"16 Remaining Amt. (LCY)")</t>
  </si>
  <si>
    <t>=NF($D6054,"16 Remaining Amt. (LCY)")</t>
  </si>
  <si>
    <t>=NF($D6055,"16 Remaining Amt. (LCY)")</t>
  </si>
  <si>
    <t>=NF($D6056,"16 Remaining Amt. (LCY)")</t>
  </si>
  <si>
    <t>=NF($D6057,"16 Remaining Amt. (LCY)")</t>
  </si>
  <si>
    <t>=NF($D6058,"16 Remaining Amt. (LCY)")</t>
  </si>
  <si>
    <t>=NF($D6059,"16 Remaining Amt. (LCY)")</t>
  </si>
  <si>
    <t>=NF($D6060,"16 Remaining Amt. (LCY)")</t>
  </si>
  <si>
    <t>=NF($D6061,"16 Remaining Amt. (LCY)")</t>
  </si>
  <si>
    <t>=NF($D6062,"16 Remaining Amt. (LCY)")</t>
  </si>
  <si>
    <t>=NF($D6063,"16 Remaining Amt. (LCY)")</t>
  </si>
  <si>
    <t>=NF($D6012,"5 Document Type")</t>
  </si>
  <si>
    <t>=NF($D6013,"5 Document Type")</t>
  </si>
  <si>
    <t>=NF($D6014,"5 Document Type")</t>
  </si>
  <si>
    <t>=NF($D6015,"5 Document Type")</t>
  </si>
  <si>
    <t>=NF($D6016,"5 Document Type")</t>
  </si>
  <si>
    <t>=NF($D6017,"5 Document Type")</t>
  </si>
  <si>
    <t>=NF($D6018,"5 Document Type")</t>
  </si>
  <si>
    <t>=NF($D6019,"5 Document Type")</t>
  </si>
  <si>
    <t>=NF($D6020,"5 Document Type")</t>
  </si>
  <si>
    <t>=NF($D6021,"5 Document Type")</t>
  </si>
  <si>
    <t>=NF($D6022,"5 Document Type")</t>
  </si>
  <si>
    <t>=NF($D6023,"5 Document Type")</t>
  </si>
  <si>
    <t>=NF($D6024,"5 Document Type")</t>
  </si>
  <si>
    <t>=NF($D6025,"5 Document Type")</t>
  </si>
  <si>
    <t>=NF($D6026,"5 Document Type")</t>
  </si>
  <si>
    <t>=NF($D6027,"5 Document Type")</t>
  </si>
  <si>
    <t>=NF($D6028,"5 Document Type")</t>
  </si>
  <si>
    <t>=NF($D6029,"5 Document Type")</t>
  </si>
  <si>
    <t>=NF($D6030,"5 Document Type")</t>
  </si>
  <si>
    <t>=NF($D6031,"5 Document Type")</t>
  </si>
  <si>
    <t>=NF($D6032,"5 Document Type")</t>
  </si>
  <si>
    <t>=NF($D6033,"5 Document Type")</t>
  </si>
  <si>
    <t>=NF($D6034,"5 Document Type")</t>
  </si>
  <si>
    <t>=NF($D6035,"5 Document Type")</t>
  </si>
  <si>
    <t>=NF($D6012,"6 Document No.")</t>
  </si>
  <si>
    <t>=NF($D6013,"6 Document No.")</t>
  </si>
  <si>
    <t>=NF($D6014,"6 Document No.")</t>
  </si>
  <si>
    <t>=NF($D6015,"6 Document No.")</t>
  </si>
  <si>
    <t>=NF($D6016,"6 Document No.")</t>
  </si>
  <si>
    <t>=NF($D6017,"6 Document No.")</t>
  </si>
  <si>
    <t>=NF($D6018,"6 Document No.")</t>
  </si>
  <si>
    <t>=NF($D6019,"6 Document No.")</t>
  </si>
  <si>
    <t>=NF($D6020,"6 Document No.")</t>
  </si>
  <si>
    <t>=NF($D6021,"6 Document No.")</t>
  </si>
  <si>
    <t>=NF($D6022,"6 Document No.")</t>
  </si>
  <si>
    <t>=NF($D6023,"6 Document No.")</t>
  </si>
  <si>
    <t>=NF($D6024,"6 Document No.")</t>
  </si>
  <si>
    <t>=NF($D6025,"6 Document No.")</t>
  </si>
  <si>
    <t>=NF($D6026,"6 Document No.")</t>
  </si>
  <si>
    <t>=NF($D6027,"6 Document No.")</t>
  </si>
  <si>
    <t>=NF($D6028,"6 Document No.")</t>
  </si>
  <si>
    <t>=NF($D6029,"6 Document No.")</t>
  </si>
  <si>
    <t>=NF($D6030,"6 Document No.")</t>
  </si>
  <si>
    <t>=NF($D6031,"6 Document No.")</t>
  </si>
  <si>
    <t>=NF($D6032,"6 Document No.")</t>
  </si>
  <si>
    <t>=NF($D6033,"6 Document No.")</t>
  </si>
  <si>
    <t>=NF($D6034,"6 Document No.")</t>
  </si>
  <si>
    <t>=NF($D6035,"6 Document No.")</t>
  </si>
  <si>
    <t>=NF($D6012,"37 Due Date")</t>
  </si>
  <si>
    <t>=NF($D6013,"37 Due Date")</t>
  </si>
  <si>
    <t>=NF($D6014,"37 Due Date")</t>
  </si>
  <si>
    <t>=NF($D6015,"37 Due Date")</t>
  </si>
  <si>
    <t>=NF($D6016,"37 Due Date")</t>
  </si>
  <si>
    <t>=NF($D6017,"37 Due Date")</t>
  </si>
  <si>
    <t>=NF($D6018,"37 Due Date")</t>
  </si>
  <si>
    <t>=NF($D6019,"37 Due Date")</t>
  </si>
  <si>
    <t>=NF($D6020,"37 Due Date")</t>
  </si>
  <si>
    <t>=NF($D6021,"37 Due Date")</t>
  </si>
  <si>
    <t>=NF($D6022,"37 Due Date")</t>
  </si>
  <si>
    <t>=NF($D6023,"37 Due Date")</t>
  </si>
  <si>
    <t>=NF($D6024,"37 Due Date")</t>
  </si>
  <si>
    <t>=NF($D6025,"37 Due Date")</t>
  </si>
  <si>
    <t>=NF($D6026,"37 Due Date")</t>
  </si>
  <si>
    <t>=NF($D6027,"37 Due Date")</t>
  </si>
  <si>
    <t>=NF($D6028,"37 Due Date")</t>
  </si>
  <si>
    <t>=NF($D6029,"37 Due Date")</t>
  </si>
  <si>
    <t>=NF($D6030,"37 Due Date")</t>
  </si>
  <si>
    <t>=NF($D6031,"37 Due Date")</t>
  </si>
  <si>
    <t>=NF($D6032,"37 Due Date")</t>
  </si>
  <si>
    <t>=NF($D6033,"37 Due Date")</t>
  </si>
  <si>
    <t>=NF($D6034,"37 Due Date")</t>
  </si>
  <si>
    <t>=NF($D6035,"37 Due Date")</t>
  </si>
  <si>
    <t>=NF($D6012,"16 Remaining Amt. (LCY)")</t>
  </si>
  <si>
    <t>=NF($D6013,"16 Remaining Amt. (LCY)")</t>
  </si>
  <si>
    <t>=NF($D6014,"16 Remaining Amt. (LCY)")</t>
  </si>
  <si>
    <t>=NF($D6015,"16 Remaining Amt. (LCY)")</t>
  </si>
  <si>
    <t>=NF($D6016,"16 Remaining Amt. (LCY)")</t>
  </si>
  <si>
    <t>=NF($D6017,"16 Remaining Amt. (LCY)")</t>
  </si>
  <si>
    <t>=NF($D6018,"16 Remaining Amt. (LCY)")</t>
  </si>
  <si>
    <t>=NF($D6019,"16 Remaining Amt. (LCY)")</t>
  </si>
  <si>
    <t>=NF($D6020,"16 Remaining Amt. (LCY)")</t>
  </si>
  <si>
    <t>=NF($D6021,"16 Remaining Amt. (LCY)")</t>
  </si>
  <si>
    <t>=NF($D6022,"16 Remaining Amt. (LCY)")</t>
  </si>
  <si>
    <t>=NF($D6023,"16 Remaining Amt. (LCY)")</t>
  </si>
  <si>
    <t>=NF($D6024,"16 Remaining Amt. (LCY)")</t>
  </si>
  <si>
    <t>=NF($D6025,"16 Remaining Amt. (LCY)")</t>
  </si>
  <si>
    <t>=NF($D6026,"16 Remaining Amt. (LCY)")</t>
  </si>
  <si>
    <t>=NF($D6027,"16 Remaining Amt. (LCY)")</t>
  </si>
  <si>
    <t>=NF($D6028,"16 Remaining Amt. (LCY)")</t>
  </si>
  <si>
    <t>=NF($D6029,"16 Remaining Amt. (LCY)")</t>
  </si>
  <si>
    <t>=NF($D6030,"16 Remaining Amt. (LCY)")</t>
  </si>
  <si>
    <t>=NF($D6031,"16 Remaining Amt. (LCY)")</t>
  </si>
  <si>
    <t>=NF($D6032,"16 Remaining Amt. (LCY)")</t>
  </si>
  <si>
    <t>=NF($D6033,"16 Remaining Amt. (LCY)")</t>
  </si>
  <si>
    <t>=NF($D6034,"16 Remaining Amt. (LCY)")</t>
  </si>
  <si>
    <t>=NF($D6035,"16 Remaining Amt. (LCY)")</t>
  </si>
  <si>
    <t>=NF($D5977,"5 Document Type")</t>
  </si>
  <si>
    <t>=NF($D5978,"5 Document Type")</t>
  </si>
  <si>
    <t>=NF($D5979,"5 Document Type")</t>
  </si>
  <si>
    <t>=NF($D5980,"5 Document Type")</t>
  </si>
  <si>
    <t>=NF($D5981,"5 Document Type")</t>
  </si>
  <si>
    <t>=NF($D5982,"5 Document Type")</t>
  </si>
  <si>
    <t>=NF($D5983,"5 Document Type")</t>
  </si>
  <si>
    <t>=NF($D5984,"5 Document Type")</t>
  </si>
  <si>
    <t>=NF($D5985,"5 Document Type")</t>
  </si>
  <si>
    <t>=NF($D5986,"5 Document Type")</t>
  </si>
  <si>
    <t>=NF($D5987,"5 Document Type")</t>
  </si>
  <si>
    <t>=NF($D5988,"5 Document Type")</t>
  </si>
  <si>
    <t>=NF($D5989,"5 Document Type")</t>
  </si>
  <si>
    <t>=NF($D5990,"5 Document Type")</t>
  </si>
  <si>
    <t>=NF($D5991,"5 Document Type")</t>
  </si>
  <si>
    <t>=NF($D5992,"5 Document Type")</t>
  </si>
  <si>
    <t>=NF($D5993,"5 Document Type")</t>
  </si>
  <si>
    <t>=NF($D5994,"5 Document Type")</t>
  </si>
  <si>
    <t>=NF($D5995,"5 Document Type")</t>
  </si>
  <si>
    <t>=NF($D5996,"5 Document Type")</t>
  </si>
  <si>
    <t>=NF($D5997,"5 Document Type")</t>
  </si>
  <si>
    <t>=NF($D5998,"5 Document Type")</t>
  </si>
  <si>
    <t>=NF($D5999,"5 Document Type")</t>
  </si>
  <si>
    <t>=NF($D6000,"5 Document Type")</t>
  </si>
  <si>
    <t>=NF($D6001,"5 Document Type")</t>
  </si>
  <si>
    <t>=NF($D6002,"5 Document Type")</t>
  </si>
  <si>
    <t>=NF($D6003,"5 Document Type")</t>
  </si>
  <si>
    <t>=NF($D6004,"5 Document Type")</t>
  </si>
  <si>
    <t>=NF($D6005,"5 Document Type")</t>
  </si>
  <si>
    <t>=NF($D5977,"6 Document No.")</t>
  </si>
  <si>
    <t>=NF($D5978,"6 Document No.")</t>
  </si>
  <si>
    <t>=NF($D5979,"6 Document No.")</t>
  </si>
  <si>
    <t>=NF($D5980,"6 Document No.")</t>
  </si>
  <si>
    <t>=NF($D5981,"6 Document No.")</t>
  </si>
  <si>
    <t>=NF($D5982,"6 Document No.")</t>
  </si>
  <si>
    <t>=NF($D5983,"6 Document No.")</t>
  </si>
  <si>
    <t>=NF($D5984,"6 Document No.")</t>
  </si>
  <si>
    <t>=NF($D5985,"6 Document No.")</t>
  </si>
  <si>
    <t>=NF($D5986,"6 Document No.")</t>
  </si>
  <si>
    <t>=NF($D5987,"6 Document No.")</t>
  </si>
  <si>
    <t>=NF($D5988,"6 Document No.")</t>
  </si>
  <si>
    <t>=NF($D5989,"6 Document No.")</t>
  </si>
  <si>
    <t>=NF($D5990,"6 Document No.")</t>
  </si>
  <si>
    <t>=NF($D5991,"6 Document No.")</t>
  </si>
  <si>
    <t>=NF($D5992,"6 Document No.")</t>
  </si>
  <si>
    <t>=NF($D5993,"6 Document No.")</t>
  </si>
  <si>
    <t>=NF($D5994,"6 Document No.")</t>
  </si>
  <si>
    <t>=NF($D5995,"6 Document No.")</t>
  </si>
  <si>
    <t>=NF($D5996,"6 Document No.")</t>
  </si>
  <si>
    <t>=NF($D5997,"6 Document No.")</t>
  </si>
  <si>
    <t>=NF($D5998,"6 Document No.")</t>
  </si>
  <si>
    <t>=NF($D5999,"6 Document No.")</t>
  </si>
  <si>
    <t>=NF($D6000,"6 Document No.")</t>
  </si>
  <si>
    <t>=NF($D6001,"6 Document No.")</t>
  </si>
  <si>
    <t>=NF($D6002,"6 Document No.")</t>
  </si>
  <si>
    <t>=NF($D6003,"6 Document No.")</t>
  </si>
  <si>
    <t>=NF($D6004,"6 Document No.")</t>
  </si>
  <si>
    <t>=NF($D6005,"6 Document No.")</t>
  </si>
  <si>
    <t>=NF($D5977,"37 Due Date")</t>
  </si>
  <si>
    <t>=NF($D5978,"37 Due Date")</t>
  </si>
  <si>
    <t>=NF($D5979,"37 Due Date")</t>
  </si>
  <si>
    <t>=NF($D5980,"37 Due Date")</t>
  </si>
  <si>
    <t>=NF($D5981,"37 Due Date")</t>
  </si>
  <si>
    <t>=NF($D5982,"37 Due Date")</t>
  </si>
  <si>
    <t>=NF($D5983,"37 Due Date")</t>
  </si>
  <si>
    <t>=NF($D5984,"37 Due Date")</t>
  </si>
  <si>
    <t>=NF($D5985,"37 Due Date")</t>
  </si>
  <si>
    <t>=NF($D5986,"37 Due Date")</t>
  </si>
  <si>
    <t>=NF($D5987,"37 Due Date")</t>
  </si>
  <si>
    <t>=NF($D5988,"37 Due Date")</t>
  </si>
  <si>
    <t>=NF($D5989,"37 Due Date")</t>
  </si>
  <si>
    <t>=NF($D5990,"37 Due Date")</t>
  </si>
  <si>
    <t>=NF($D5991,"37 Due Date")</t>
  </si>
  <si>
    <t>=NF($D5992,"37 Due Date")</t>
  </si>
  <si>
    <t>=NF($D5993,"37 Due Date")</t>
  </si>
  <si>
    <t>=NF($D5994,"37 Due Date")</t>
  </si>
  <si>
    <t>=NF($D5995,"37 Due Date")</t>
  </si>
  <si>
    <t>=NF($D5996,"37 Due Date")</t>
  </si>
  <si>
    <t>=NF($D5997,"37 Due Date")</t>
  </si>
  <si>
    <t>=NF($D5998,"37 Due Date")</t>
  </si>
  <si>
    <t>=NF($D5999,"37 Due Date")</t>
  </si>
  <si>
    <t>=NF($D6000,"37 Due Date")</t>
  </si>
  <si>
    <t>=NF($D6001,"37 Due Date")</t>
  </si>
  <si>
    <t>=NF($D6002,"37 Due Date")</t>
  </si>
  <si>
    <t>=NF($D6003,"37 Due Date")</t>
  </si>
  <si>
    <t>=NF($D6004,"37 Due Date")</t>
  </si>
  <si>
    <t>=NF($D6005,"37 Due Date")</t>
  </si>
  <si>
    <t>=NF($D5977,"16 Remaining Amt. (LCY)")</t>
  </si>
  <si>
    <t>=NF($D5978,"16 Remaining Amt. (LCY)")</t>
  </si>
  <si>
    <t>=NF($D5979,"16 Remaining Amt. (LCY)")</t>
  </si>
  <si>
    <t>=NF($D5980,"16 Remaining Amt. (LCY)")</t>
  </si>
  <si>
    <t>=NF($D5981,"16 Remaining Amt. (LCY)")</t>
  </si>
  <si>
    <t>=NF($D5982,"16 Remaining Amt. (LCY)")</t>
  </si>
  <si>
    <t>=NF($D5983,"16 Remaining Amt. (LCY)")</t>
  </si>
  <si>
    <t>=NF($D5984,"16 Remaining Amt. (LCY)")</t>
  </si>
  <si>
    <t>=NF($D5985,"16 Remaining Amt. (LCY)")</t>
  </si>
  <si>
    <t>=NF($D5986,"16 Remaining Amt. (LCY)")</t>
  </si>
  <si>
    <t>=NF($D5987,"16 Remaining Amt. (LCY)")</t>
  </si>
  <si>
    <t>=NF($D5988,"16 Remaining Amt. (LCY)")</t>
  </si>
  <si>
    <t>=NF($D5989,"16 Remaining Amt. (LCY)")</t>
  </si>
  <si>
    <t>=NF($D5990,"16 Remaining Amt. (LCY)")</t>
  </si>
  <si>
    <t>=NF($D5991,"16 Remaining Amt. (LCY)")</t>
  </si>
  <si>
    <t>=NF($D5992,"16 Remaining Amt. (LCY)")</t>
  </si>
  <si>
    <t>=NF($D5993,"16 Remaining Amt. (LCY)")</t>
  </si>
  <si>
    <t>=NF($D5994,"16 Remaining Amt. (LCY)")</t>
  </si>
  <si>
    <t>=NF($D5995,"16 Remaining Amt. (LCY)")</t>
  </si>
  <si>
    <t>=NF($D5996,"16 Remaining Amt. (LCY)")</t>
  </si>
  <si>
    <t>=NF($D5997,"16 Remaining Amt. (LCY)")</t>
  </si>
  <si>
    <t>=NF($D5998,"16 Remaining Amt. (LCY)")</t>
  </si>
  <si>
    <t>=NF($D5999,"16 Remaining Amt. (LCY)")</t>
  </si>
  <si>
    <t>=NF($D6000,"16 Remaining Amt. (LCY)")</t>
  </si>
  <si>
    <t>=NF($D6001,"16 Remaining Amt. (LCY)")</t>
  </si>
  <si>
    <t>=NF($D6002,"16 Remaining Amt. (LCY)")</t>
  </si>
  <si>
    <t>=NF($D6003,"16 Remaining Amt. (LCY)")</t>
  </si>
  <si>
    <t>=NF($D6004,"16 Remaining Amt. (LCY)")</t>
  </si>
  <si>
    <t>=NF($D6005,"16 Remaining Amt. (LCY)")</t>
  </si>
  <si>
    <t>=NF($D5946,"5 Document Type")</t>
  </si>
  <si>
    <t>=NF($D5947,"5 Document Type")</t>
  </si>
  <si>
    <t>=NF($D5948,"5 Document Type")</t>
  </si>
  <si>
    <t>=NF($D5949,"5 Document Type")</t>
  </si>
  <si>
    <t>=NF($D5950,"5 Document Type")</t>
  </si>
  <si>
    <t>=NF($D5951,"5 Document Type")</t>
  </si>
  <si>
    <t>=NF($D5952,"5 Document Type")</t>
  </si>
  <si>
    <t>=NF($D5953,"5 Document Type")</t>
  </si>
  <si>
    <t>=NF($D5954,"5 Document Type")</t>
  </si>
  <si>
    <t>=NF($D5955,"5 Document Type")</t>
  </si>
  <si>
    <t>=NF($D5956,"5 Document Type")</t>
  </si>
  <si>
    <t>=NF($D5957,"5 Document Type")</t>
  </si>
  <si>
    <t>=NF($D5958,"5 Document Type")</t>
  </si>
  <si>
    <t>=NF($D5959,"5 Document Type")</t>
  </si>
  <si>
    <t>=NF($D5960,"5 Document Type")</t>
  </si>
  <si>
    <t>=NF($D5961,"5 Document Type")</t>
  </si>
  <si>
    <t>=NF($D5962,"5 Document Type")</t>
  </si>
  <si>
    <t>=NF($D5963,"5 Document Type")</t>
  </si>
  <si>
    <t>=NF($D5964,"5 Document Type")</t>
  </si>
  <si>
    <t>=NF($D5965,"5 Document Type")</t>
  </si>
  <si>
    <t>=NF($D5966,"5 Document Type")</t>
  </si>
  <si>
    <t>=NF($D5967,"5 Document Type")</t>
  </si>
  <si>
    <t>=NF($D5968,"5 Document Type")</t>
  </si>
  <si>
    <t>=NF($D5969,"5 Document Type")</t>
  </si>
  <si>
    <t>=NF($D5970,"5 Document Type")</t>
  </si>
  <si>
    <t>=NF($D5946,"6 Document No.")</t>
  </si>
  <si>
    <t>=NF($D5947,"6 Document No.")</t>
  </si>
  <si>
    <t>=NF($D5948,"6 Document No.")</t>
  </si>
  <si>
    <t>=NF($D5949,"6 Document No.")</t>
  </si>
  <si>
    <t>=NF($D5950,"6 Document No.")</t>
  </si>
  <si>
    <t>=NF($D5951,"6 Document No.")</t>
  </si>
  <si>
    <t>=NF($D5952,"6 Document No.")</t>
  </si>
  <si>
    <t>=NF($D5953,"6 Document No.")</t>
  </si>
  <si>
    <t>=NF($D5954,"6 Document No.")</t>
  </si>
  <si>
    <t>=NF($D5955,"6 Document No.")</t>
  </si>
  <si>
    <t>=NF($D5956,"6 Document No.")</t>
  </si>
  <si>
    <t>=NF($D5957,"6 Document No.")</t>
  </si>
  <si>
    <t>=NF($D5958,"6 Document No.")</t>
  </si>
  <si>
    <t>=NF($D5959,"6 Document No.")</t>
  </si>
  <si>
    <t>=NF($D5960,"6 Document No.")</t>
  </si>
  <si>
    <t>=NF($D5961,"6 Document No.")</t>
  </si>
  <si>
    <t>=NF($D5962,"6 Document No.")</t>
  </si>
  <si>
    <t>=NF($D5963,"6 Document No.")</t>
  </si>
  <si>
    <t>=NF($D5964,"6 Document No.")</t>
  </si>
  <si>
    <t>=NF($D5965,"6 Document No.")</t>
  </si>
  <si>
    <t>=NF($D5966,"6 Document No.")</t>
  </si>
  <si>
    <t>=NF($D5967,"6 Document No.")</t>
  </si>
  <si>
    <t>=NF($D5968,"6 Document No.")</t>
  </si>
  <si>
    <t>=NF($D5969,"6 Document No.")</t>
  </si>
  <si>
    <t>=NF($D5970,"6 Document No.")</t>
  </si>
  <si>
    <t>=NF($D5946,"37 Due Date")</t>
  </si>
  <si>
    <t>=NF($D5947,"37 Due Date")</t>
  </si>
  <si>
    <t>=NF($D5948,"37 Due Date")</t>
  </si>
  <si>
    <t>=NF($D5949,"37 Due Date")</t>
  </si>
  <si>
    <t>=NF($D5950,"37 Due Date")</t>
  </si>
  <si>
    <t>=NF($D5951,"37 Due Date")</t>
  </si>
  <si>
    <t>=NF($D5952,"37 Due Date")</t>
  </si>
  <si>
    <t>=NF($D5953,"37 Due Date")</t>
  </si>
  <si>
    <t>=NF($D5954,"37 Due Date")</t>
  </si>
  <si>
    <t>=NF($D5955,"37 Due Date")</t>
  </si>
  <si>
    <t>=NF($D5956,"37 Due Date")</t>
  </si>
  <si>
    <t>=NF($D5957,"37 Due Date")</t>
  </si>
  <si>
    <t>=NF($D5958,"37 Due Date")</t>
  </si>
  <si>
    <t>=NF($D5959,"37 Due Date")</t>
  </si>
  <si>
    <t>=NF($D5960,"37 Due Date")</t>
  </si>
  <si>
    <t>=NF($D5961,"37 Due Date")</t>
  </si>
  <si>
    <t>=NF($D5962,"37 Due Date")</t>
  </si>
  <si>
    <t>=NF($D5963,"37 Due Date")</t>
  </si>
  <si>
    <t>=NF($D5964,"37 Due Date")</t>
  </si>
  <si>
    <t>=NF($D5965,"37 Due Date")</t>
  </si>
  <si>
    <t>=NF($D5966,"37 Due Date")</t>
  </si>
  <si>
    <t>=NF($D5967,"37 Due Date")</t>
  </si>
  <si>
    <t>=NF($D5968,"37 Due Date")</t>
  </si>
  <si>
    <t>=NF($D5969,"37 Due Date")</t>
  </si>
  <si>
    <t>=NF($D5970,"37 Due Date")</t>
  </si>
  <si>
    <t>=NF($D5946,"16 Remaining Amt. (LCY)")</t>
  </si>
  <si>
    <t>=NF($D5947,"16 Remaining Amt. (LCY)")</t>
  </si>
  <si>
    <t>=NF($D5948,"16 Remaining Amt. (LCY)")</t>
  </si>
  <si>
    <t>=NF($D5949,"16 Remaining Amt. (LCY)")</t>
  </si>
  <si>
    <t>=NF($D5950,"16 Remaining Amt. (LCY)")</t>
  </si>
  <si>
    <t>=NF($D5951,"16 Remaining Amt. (LCY)")</t>
  </si>
  <si>
    <t>=NF($D5952,"16 Remaining Amt. (LCY)")</t>
  </si>
  <si>
    <t>=NF($D5953,"16 Remaining Amt. (LCY)")</t>
  </si>
  <si>
    <t>=NF($D5954,"16 Remaining Amt. (LCY)")</t>
  </si>
  <si>
    <t>=NF($D5955,"16 Remaining Amt. (LCY)")</t>
  </si>
  <si>
    <t>=NF($D5956,"16 Remaining Amt. (LCY)")</t>
  </si>
  <si>
    <t>=NF($D5957,"16 Remaining Amt. (LCY)")</t>
  </si>
  <si>
    <t>=NF($D5958,"16 Remaining Amt. (LCY)")</t>
  </si>
  <si>
    <t>=NF($D5959,"16 Remaining Amt. (LCY)")</t>
  </si>
  <si>
    <t>=NF($D5960,"16 Remaining Amt. (LCY)")</t>
  </si>
  <si>
    <t>=NF($D5961,"16 Remaining Amt. (LCY)")</t>
  </si>
  <si>
    <t>=NF($D5962,"16 Remaining Amt. (LCY)")</t>
  </si>
  <si>
    <t>=NF($D5963,"16 Remaining Amt. (LCY)")</t>
  </si>
  <si>
    <t>=NF($D5964,"16 Remaining Amt. (LCY)")</t>
  </si>
  <si>
    <t>=NF($D5965,"16 Remaining Amt. (LCY)")</t>
  </si>
  <si>
    <t>=NF($D5966,"16 Remaining Amt. (LCY)")</t>
  </si>
  <si>
    <t>=NF($D5967,"16 Remaining Amt. (LCY)")</t>
  </si>
  <si>
    <t>=NF($D5968,"16 Remaining Amt. (LCY)")</t>
  </si>
  <si>
    <t>=NF($D5969,"16 Remaining Amt. (LCY)")</t>
  </si>
  <si>
    <t>=NF($D5970,"16 Remaining Amt. (LCY)")</t>
  </si>
  <si>
    <t>=NF($D5918,"5 Document Type")</t>
  </si>
  <si>
    <t>=NF($D5919,"5 Document Type")</t>
  </si>
  <si>
    <t>=NF($D5920,"5 Document Type")</t>
  </si>
  <si>
    <t>=NF($D5921,"5 Document Type")</t>
  </si>
  <si>
    <t>=NF($D5922,"5 Document Type")</t>
  </si>
  <si>
    <t>=NF($D5923,"5 Document Type")</t>
  </si>
  <si>
    <t>=NF($D5924,"5 Document Type")</t>
  </si>
  <si>
    <t>=NF($D5925,"5 Document Type")</t>
  </si>
  <si>
    <t>=NF($D5926,"5 Document Type")</t>
  </si>
  <si>
    <t>=NF($D5927,"5 Document Type")</t>
  </si>
  <si>
    <t>=NF($D5928,"5 Document Type")</t>
  </si>
  <si>
    <t>=NF($D5929,"5 Document Type")</t>
  </si>
  <si>
    <t>=NF($D5930,"5 Document Type")</t>
  </si>
  <si>
    <t>=NF($D5931,"5 Document Type")</t>
  </si>
  <si>
    <t>=NF($D5932,"5 Document Type")</t>
  </si>
  <si>
    <t>=NF($D5933,"5 Document Type")</t>
  </si>
  <si>
    <t>=NF($D5934,"5 Document Type")</t>
  </si>
  <si>
    <t>=NF($D5935,"5 Document Type")</t>
  </si>
  <si>
    <t>=NF($D5936,"5 Document Type")</t>
  </si>
  <si>
    <t>=NF($D5937,"5 Document Type")</t>
  </si>
  <si>
    <t>=NF($D5938,"5 Document Type")</t>
  </si>
  <si>
    <t>=NF($D5939,"5 Document Type")</t>
  </si>
  <si>
    <t>=NF($D5918,"6 Document No.")</t>
  </si>
  <si>
    <t>=NF($D5919,"6 Document No.")</t>
  </si>
  <si>
    <t>=NF($D5920,"6 Document No.")</t>
  </si>
  <si>
    <t>=NF($D5921,"6 Document No.")</t>
  </si>
  <si>
    <t>=NF($D5922,"6 Document No.")</t>
  </si>
  <si>
    <t>=NF($D5923,"6 Document No.")</t>
  </si>
  <si>
    <t>=NF($D5924,"6 Document No.")</t>
  </si>
  <si>
    <t>=NF($D5925,"6 Document No.")</t>
  </si>
  <si>
    <t>=NF($D5926,"6 Document No.")</t>
  </si>
  <si>
    <t>=NF($D5927,"6 Document No.")</t>
  </si>
  <si>
    <t>=NF($D5928,"6 Document No.")</t>
  </si>
  <si>
    <t>=NF($D5929,"6 Document No.")</t>
  </si>
  <si>
    <t>=NF($D5930,"6 Document No.")</t>
  </si>
  <si>
    <t>=NF($D5931,"6 Document No.")</t>
  </si>
  <si>
    <t>=NF($D5932,"6 Document No.")</t>
  </si>
  <si>
    <t>=NF($D5933,"6 Document No.")</t>
  </si>
  <si>
    <t>=NF($D5934,"6 Document No.")</t>
  </si>
  <si>
    <t>=NF($D5935,"6 Document No.")</t>
  </si>
  <si>
    <t>=NF($D5936,"6 Document No.")</t>
  </si>
  <si>
    <t>=NF($D5937,"6 Document No.")</t>
  </si>
  <si>
    <t>=NF($D5938,"6 Document No.")</t>
  </si>
  <si>
    <t>=NF($D5939,"6 Document No.")</t>
  </si>
  <si>
    <t>=NF($D5918,"37 Due Date")</t>
  </si>
  <si>
    <t>=NF($D5919,"37 Due Date")</t>
  </si>
  <si>
    <t>=NF($D5920,"37 Due Date")</t>
  </si>
  <si>
    <t>=NF($D5921,"37 Due Date")</t>
  </si>
  <si>
    <t>=NF($D5922,"37 Due Date")</t>
  </si>
  <si>
    <t>=NF($D5923,"37 Due Date")</t>
  </si>
  <si>
    <t>=NF($D5924,"37 Due Date")</t>
  </si>
  <si>
    <t>=NF($D5925,"37 Due Date")</t>
  </si>
  <si>
    <t>=NF($D5926,"37 Due Date")</t>
  </si>
  <si>
    <t>=NF($D5927,"37 Due Date")</t>
  </si>
  <si>
    <t>=NF($D5928,"37 Due Date")</t>
  </si>
  <si>
    <t>=NF($D5929,"37 Due Date")</t>
  </si>
  <si>
    <t>=NF($D5930,"37 Due Date")</t>
  </si>
  <si>
    <t>=NF($D5931,"37 Due Date")</t>
  </si>
  <si>
    <t>=NF($D5932,"37 Due Date")</t>
  </si>
  <si>
    <t>=NF($D5933,"37 Due Date")</t>
  </si>
  <si>
    <t>=NF($D5934,"37 Due Date")</t>
  </si>
  <si>
    <t>=NF($D5935,"37 Due Date")</t>
  </si>
  <si>
    <t>=NF($D5936,"37 Due Date")</t>
  </si>
  <si>
    <t>=NF($D5937,"37 Due Date")</t>
  </si>
  <si>
    <t>=NF($D5938,"37 Due Date")</t>
  </si>
  <si>
    <t>=NF($D5939,"37 Due Date")</t>
  </si>
  <si>
    <t>=NF($D5918,"16 Remaining Amt. (LCY)")</t>
  </si>
  <si>
    <t>=NF($D5919,"16 Remaining Amt. (LCY)")</t>
  </si>
  <si>
    <t>=NF($D5920,"16 Remaining Amt. (LCY)")</t>
  </si>
  <si>
    <t>=NF($D5921,"16 Remaining Amt. (LCY)")</t>
  </si>
  <si>
    <t>=NF($D5922,"16 Remaining Amt. (LCY)")</t>
  </si>
  <si>
    <t>=NF($D5923,"16 Remaining Amt. (LCY)")</t>
  </si>
  <si>
    <t>=NF($D5924,"16 Remaining Amt. (LCY)")</t>
  </si>
  <si>
    <t>=NF($D5925,"16 Remaining Amt. (LCY)")</t>
  </si>
  <si>
    <t>=NF($D5926,"16 Remaining Amt. (LCY)")</t>
  </si>
  <si>
    <t>=NF($D5927,"16 Remaining Amt. (LCY)")</t>
  </si>
  <si>
    <t>=NF($D5928,"16 Remaining Amt. (LCY)")</t>
  </si>
  <si>
    <t>=NF($D5929,"16 Remaining Amt. (LCY)")</t>
  </si>
  <si>
    <t>=NF($D5930,"16 Remaining Amt. (LCY)")</t>
  </si>
  <si>
    <t>=NF($D5931,"16 Remaining Amt. (LCY)")</t>
  </si>
  <si>
    <t>=NF($D5932,"16 Remaining Amt. (LCY)")</t>
  </si>
  <si>
    <t>=NF($D5933,"16 Remaining Amt. (LCY)")</t>
  </si>
  <si>
    <t>=NF($D5934,"16 Remaining Amt. (LCY)")</t>
  </si>
  <si>
    <t>=NF($D5935,"16 Remaining Amt. (LCY)")</t>
  </si>
  <si>
    <t>=NF($D5936,"16 Remaining Amt. (LCY)")</t>
  </si>
  <si>
    <t>=NF($D5937,"16 Remaining Amt. (LCY)")</t>
  </si>
  <si>
    <t>=NF($D5938,"16 Remaining Amt. (LCY)")</t>
  </si>
  <si>
    <t>=NF($D5939,"16 Remaining Amt. (LCY)")</t>
  </si>
  <si>
    <t>=NF($D5884,"5 Document Type")</t>
  </si>
  <si>
    <t>=NF($D5885,"5 Document Type")</t>
  </si>
  <si>
    <t>=NF($D5886,"5 Document Type")</t>
  </si>
  <si>
    <t>=NF($D5887,"5 Document Type")</t>
  </si>
  <si>
    <t>=NF($D5888,"5 Document Type")</t>
  </si>
  <si>
    <t>=NF($D5889,"5 Document Type")</t>
  </si>
  <si>
    <t>=NF($D5890,"5 Document Type")</t>
  </si>
  <si>
    <t>=NF($D5891,"5 Document Type")</t>
  </si>
  <si>
    <t>=NF($D5892,"5 Document Type")</t>
  </si>
  <si>
    <t>=NF($D5893,"5 Document Type")</t>
  </si>
  <si>
    <t>=NF($D5894,"5 Document Type")</t>
  </si>
  <si>
    <t>=NF($D5895,"5 Document Type")</t>
  </si>
  <si>
    <t>=NF($D5896,"5 Document Type")</t>
  </si>
  <si>
    <t>=NF($D5897,"5 Document Type")</t>
  </si>
  <si>
    <t>=NF($D5898,"5 Document Type")</t>
  </si>
  <si>
    <t>=NF($D5899,"5 Document Type")</t>
  </si>
  <si>
    <t>=NF($D5900,"5 Document Type")</t>
  </si>
  <si>
    <t>=NF($D5901,"5 Document Type")</t>
  </si>
  <si>
    <t>=NF($D5902,"5 Document Type")</t>
  </si>
  <si>
    <t>=NF($D5903,"5 Document Type")</t>
  </si>
  <si>
    <t>=NF($D5904,"5 Document Type")</t>
  </si>
  <si>
    <t>=NF($D5905,"5 Document Type")</t>
  </si>
  <si>
    <t>=NF($D5906,"5 Document Type")</t>
  </si>
  <si>
    <t>=NF($D5907,"5 Document Type")</t>
  </si>
  <si>
    <t>=NF($D5908,"5 Document Type")</t>
  </si>
  <si>
    <t>=NF($D5909,"5 Document Type")</t>
  </si>
  <si>
    <t>=NF($D5910,"5 Document Type")</t>
  </si>
  <si>
    <t>=NF($D5911,"5 Document Type")</t>
  </si>
  <si>
    <t>=NF($D5884,"6 Document No.")</t>
  </si>
  <si>
    <t>=NF($D5885,"6 Document No.")</t>
  </si>
  <si>
    <t>=NF($D5886,"6 Document No.")</t>
  </si>
  <si>
    <t>=NF($D5887,"6 Document No.")</t>
  </si>
  <si>
    <t>=NF($D5888,"6 Document No.")</t>
  </si>
  <si>
    <t>=NF($D5889,"6 Document No.")</t>
  </si>
  <si>
    <t>=NF($D5890,"6 Document No.")</t>
  </si>
  <si>
    <t>=NF($D5891,"6 Document No.")</t>
  </si>
  <si>
    <t>=NF($D5892,"6 Document No.")</t>
  </si>
  <si>
    <t>=NF($D5893,"6 Document No.")</t>
  </si>
  <si>
    <t>=NF($D5894,"6 Document No.")</t>
  </si>
  <si>
    <t>=NF($D5895,"6 Document No.")</t>
  </si>
  <si>
    <t>=NF($D5896,"6 Document No.")</t>
  </si>
  <si>
    <t>=NF($D5897,"6 Document No.")</t>
  </si>
  <si>
    <t>=NF($D5898,"6 Document No.")</t>
  </si>
  <si>
    <t>=NF($D5899,"6 Document No.")</t>
  </si>
  <si>
    <t>=NF($D5900,"6 Document No.")</t>
  </si>
  <si>
    <t>=NF($D5901,"6 Document No.")</t>
  </si>
  <si>
    <t>=NF($D5902,"6 Document No.")</t>
  </si>
  <si>
    <t>=NF($D5903,"6 Document No.")</t>
  </si>
  <si>
    <t>=NF($D5904,"6 Document No.")</t>
  </si>
  <si>
    <t>=NF($D5905,"6 Document No.")</t>
  </si>
  <si>
    <t>=NF($D5906,"6 Document No.")</t>
  </si>
  <si>
    <t>=NF($D5907,"6 Document No.")</t>
  </si>
  <si>
    <t>=NF($D5908,"6 Document No.")</t>
  </si>
  <si>
    <t>=NF($D5909,"6 Document No.")</t>
  </si>
  <si>
    <t>=NF($D5910,"6 Document No.")</t>
  </si>
  <si>
    <t>=NF($D5911,"6 Document No.")</t>
  </si>
  <si>
    <t>=NF($D5884,"37 Due Date")</t>
  </si>
  <si>
    <t>=NF($D5885,"37 Due Date")</t>
  </si>
  <si>
    <t>=NF($D5886,"37 Due Date")</t>
  </si>
  <si>
    <t>=NF($D5887,"37 Due Date")</t>
  </si>
  <si>
    <t>=NF($D5888,"37 Due Date")</t>
  </si>
  <si>
    <t>=NF($D5889,"37 Due Date")</t>
  </si>
  <si>
    <t>=NF($D5890,"37 Due Date")</t>
  </si>
  <si>
    <t>=NF($D5891,"37 Due Date")</t>
  </si>
  <si>
    <t>=NF($D5892,"37 Due Date")</t>
  </si>
  <si>
    <t>=NF($D5893,"37 Due Date")</t>
  </si>
  <si>
    <t>=NF($D5894,"37 Due Date")</t>
  </si>
  <si>
    <t>=NF($D5895,"37 Due Date")</t>
  </si>
  <si>
    <t>=NF($D5896,"37 Due Date")</t>
  </si>
  <si>
    <t>=NF($D5897,"37 Due Date")</t>
  </si>
  <si>
    <t>=NF($D5898,"37 Due Date")</t>
  </si>
  <si>
    <t>=NF($D5899,"37 Due Date")</t>
  </si>
  <si>
    <t>=NF($D5900,"37 Due Date")</t>
  </si>
  <si>
    <t>=NF($D5901,"37 Due Date")</t>
  </si>
  <si>
    <t>=NF($D5902,"37 Due Date")</t>
  </si>
  <si>
    <t>=NF($D5903,"37 Due Date")</t>
  </si>
  <si>
    <t>=NF($D5904,"37 Due Date")</t>
  </si>
  <si>
    <t>=NF($D5905,"37 Due Date")</t>
  </si>
  <si>
    <t>=NF($D5906,"37 Due Date")</t>
  </si>
  <si>
    <t>=NF($D5907,"37 Due Date")</t>
  </si>
  <si>
    <t>=NF($D5908,"37 Due Date")</t>
  </si>
  <si>
    <t>=NF($D5909,"37 Due Date")</t>
  </si>
  <si>
    <t>=NF($D5910,"37 Due Date")</t>
  </si>
  <si>
    <t>=NF($D5911,"37 Due Date")</t>
  </si>
  <si>
    <t>=NF($D5884,"16 Remaining Amt. (LCY)")</t>
  </si>
  <si>
    <t>=NF($D5885,"16 Remaining Amt. (LCY)")</t>
  </si>
  <si>
    <t>=NF($D5886,"16 Remaining Amt. (LCY)")</t>
  </si>
  <si>
    <t>=NF($D5887,"16 Remaining Amt. (LCY)")</t>
  </si>
  <si>
    <t>=NF($D5888,"16 Remaining Amt. (LCY)")</t>
  </si>
  <si>
    <t>=NF($D5889,"16 Remaining Amt. (LCY)")</t>
  </si>
  <si>
    <t>=NF($D5890,"16 Remaining Amt. (LCY)")</t>
  </si>
  <si>
    <t>=NF($D5891,"16 Remaining Amt. (LCY)")</t>
  </si>
  <si>
    <t>=NF($D5892,"16 Remaining Amt. (LCY)")</t>
  </si>
  <si>
    <t>=NF($D5893,"16 Remaining Amt. (LCY)")</t>
  </si>
  <si>
    <t>=NF($D5894,"16 Remaining Amt. (LCY)")</t>
  </si>
  <si>
    <t>=NF($D5895,"16 Remaining Amt. (LCY)")</t>
  </si>
  <si>
    <t>=NF($D5896,"16 Remaining Amt. (LCY)")</t>
  </si>
  <si>
    <t>=NF($D5897,"16 Remaining Amt. (LCY)")</t>
  </si>
  <si>
    <t>=NF($D5898,"16 Remaining Amt. (LCY)")</t>
  </si>
  <si>
    <t>=NF($D5899,"16 Remaining Amt. (LCY)")</t>
  </si>
  <si>
    <t>=NF($D5900,"16 Remaining Amt. (LCY)")</t>
  </si>
  <si>
    <t>=NF($D5901,"16 Remaining Amt. (LCY)")</t>
  </si>
  <si>
    <t>=NF($D5902,"16 Remaining Amt. (LCY)")</t>
  </si>
  <si>
    <t>=NF($D5903,"16 Remaining Amt. (LCY)")</t>
  </si>
  <si>
    <t>=NF($D5904,"16 Remaining Amt. (LCY)")</t>
  </si>
  <si>
    <t>=NF($D5905,"16 Remaining Amt. (LCY)")</t>
  </si>
  <si>
    <t>=NF($D5906,"16 Remaining Amt. (LCY)")</t>
  </si>
  <si>
    <t>=NF($D5907,"16 Remaining Amt. (LCY)")</t>
  </si>
  <si>
    <t>=NF($D5908,"16 Remaining Amt. (LCY)")</t>
  </si>
  <si>
    <t>=NF($D5909,"16 Remaining Amt. (LCY)")</t>
  </si>
  <si>
    <t>=NF($D5910,"16 Remaining Amt. (LCY)")</t>
  </si>
  <si>
    <t>=NF($D5911,"16 Remaining Amt. (LCY)")</t>
  </si>
  <si>
    <t>=NF($D5850,"5 Document Type")</t>
  </si>
  <si>
    <t>=NF($D5851,"5 Document Type")</t>
  </si>
  <si>
    <t>=NF($D5852,"5 Document Type")</t>
  </si>
  <si>
    <t>=NF($D5853,"5 Document Type")</t>
  </si>
  <si>
    <t>=NF($D5854,"5 Document Type")</t>
  </si>
  <si>
    <t>=NF($D5855,"5 Document Type")</t>
  </si>
  <si>
    <t>=NF($D5856,"5 Document Type")</t>
  </si>
  <si>
    <t>=NF($D5857,"5 Document Type")</t>
  </si>
  <si>
    <t>=NF($D5858,"5 Document Type")</t>
  </si>
  <si>
    <t>=NF($D5859,"5 Document Type")</t>
  </si>
  <si>
    <t>=NF($D5860,"5 Document Type")</t>
  </si>
  <si>
    <t>=NF($D5861,"5 Document Type")</t>
  </si>
  <si>
    <t>=NF($D5862,"5 Document Type")</t>
  </si>
  <si>
    <t>=NF($D5863,"5 Document Type")</t>
  </si>
  <si>
    <t>=NF($D5864,"5 Document Type")</t>
  </si>
  <si>
    <t>=NF($D5865,"5 Document Type")</t>
  </si>
  <si>
    <t>=NF($D5866,"5 Document Type")</t>
  </si>
  <si>
    <t>=NF($D5867,"5 Document Type")</t>
  </si>
  <si>
    <t>=NF($D5868,"5 Document Type")</t>
  </si>
  <si>
    <t>=NF($D5869,"5 Document Type")</t>
  </si>
  <si>
    <t>=NF($D5870,"5 Document Type")</t>
  </si>
  <si>
    <t>=NF($D5871,"5 Document Type")</t>
  </si>
  <si>
    <t>=NF($D5872,"5 Document Type")</t>
  </si>
  <si>
    <t>=NF($D5873,"5 Document Type")</t>
  </si>
  <si>
    <t>=NF($D5874,"5 Document Type")</t>
  </si>
  <si>
    <t>=NF($D5875,"5 Document Type")</t>
  </si>
  <si>
    <t>=NF($D5876,"5 Document Type")</t>
  </si>
  <si>
    <t>=NF($D5877,"5 Document Type")</t>
  </si>
  <si>
    <t>=NF($D5850,"6 Document No.")</t>
  </si>
  <si>
    <t>=NF($D5851,"6 Document No.")</t>
  </si>
  <si>
    <t>=NF($D5852,"6 Document No.")</t>
  </si>
  <si>
    <t>=NF($D5853,"6 Document No.")</t>
  </si>
  <si>
    <t>=NF($D5854,"6 Document No.")</t>
  </si>
  <si>
    <t>=NF($D5855,"6 Document No.")</t>
  </si>
  <si>
    <t>=NF($D5856,"6 Document No.")</t>
  </si>
  <si>
    <t>=NF($D5857,"6 Document No.")</t>
  </si>
  <si>
    <t>=NF($D5858,"6 Document No.")</t>
  </si>
  <si>
    <t>=NF($D5859,"6 Document No.")</t>
  </si>
  <si>
    <t>=NF($D5860,"6 Document No.")</t>
  </si>
  <si>
    <t>=NF($D5861,"6 Document No.")</t>
  </si>
  <si>
    <t>=NF($D5862,"6 Document No.")</t>
  </si>
  <si>
    <t>=NF($D5863,"6 Document No.")</t>
  </si>
  <si>
    <t>=NF($D5864,"6 Document No.")</t>
  </si>
  <si>
    <t>=NF($D5865,"6 Document No.")</t>
  </si>
  <si>
    <t>=NF($D5866,"6 Document No.")</t>
  </si>
  <si>
    <t>=NF($D5867,"6 Document No.")</t>
  </si>
  <si>
    <t>=NF($D5868,"6 Document No.")</t>
  </si>
  <si>
    <t>=NF($D5869,"6 Document No.")</t>
  </si>
  <si>
    <t>=NF($D5870,"6 Document No.")</t>
  </si>
  <si>
    <t>=NF($D5871,"6 Document No.")</t>
  </si>
  <si>
    <t>=NF($D5872,"6 Document No.")</t>
  </si>
  <si>
    <t>=NF($D5873,"6 Document No.")</t>
  </si>
  <si>
    <t>=NF($D5874,"6 Document No.")</t>
  </si>
  <si>
    <t>=NF($D5875,"6 Document No.")</t>
  </si>
  <si>
    <t>=NF($D5876,"6 Document No.")</t>
  </si>
  <si>
    <t>=NF($D5877,"6 Document No.")</t>
  </si>
  <si>
    <t>=NF($D5850,"37 Due Date")</t>
  </si>
  <si>
    <t>=NF($D5851,"37 Due Date")</t>
  </si>
  <si>
    <t>=NF($D5852,"37 Due Date")</t>
  </si>
  <si>
    <t>=NF($D5853,"37 Due Date")</t>
  </si>
  <si>
    <t>=NF($D5854,"37 Due Date")</t>
  </si>
  <si>
    <t>=NF($D5855,"37 Due Date")</t>
  </si>
  <si>
    <t>=NF($D5856,"37 Due Date")</t>
  </si>
  <si>
    <t>=NF($D5857,"37 Due Date")</t>
  </si>
  <si>
    <t>=NF($D5858,"37 Due Date")</t>
  </si>
  <si>
    <t>=NF($D5859,"37 Due Date")</t>
  </si>
  <si>
    <t>=NF($D5860,"37 Due Date")</t>
  </si>
  <si>
    <t>=NF($D5861,"37 Due Date")</t>
  </si>
  <si>
    <t>=NF($D5862,"37 Due Date")</t>
  </si>
  <si>
    <t>=NF($D5863,"37 Due Date")</t>
  </si>
  <si>
    <t>=NF($D5864,"37 Due Date")</t>
  </si>
  <si>
    <t>=NF($D5865,"37 Due Date")</t>
  </si>
  <si>
    <t>=NF($D5866,"37 Due Date")</t>
  </si>
  <si>
    <t>=NF($D5867,"37 Due Date")</t>
  </si>
  <si>
    <t>=NF($D5868,"37 Due Date")</t>
  </si>
  <si>
    <t>=NF($D5869,"37 Due Date")</t>
  </si>
  <si>
    <t>=NF($D5870,"37 Due Date")</t>
  </si>
  <si>
    <t>=NF($D5871,"37 Due Date")</t>
  </si>
  <si>
    <t>=NF($D5872,"37 Due Date")</t>
  </si>
  <si>
    <t>=NF($D5873,"37 Due Date")</t>
  </si>
  <si>
    <t>=NF($D5874,"37 Due Date")</t>
  </si>
  <si>
    <t>=NF($D5875,"37 Due Date")</t>
  </si>
  <si>
    <t>=NF($D5876,"37 Due Date")</t>
  </si>
  <si>
    <t>=NF($D5877,"37 Due Date")</t>
  </si>
  <si>
    <t>=NF($D5850,"16 Remaining Amt. (LCY)")</t>
  </si>
  <si>
    <t>=NF($D5851,"16 Remaining Amt. (LCY)")</t>
  </si>
  <si>
    <t>=NF($D5852,"16 Remaining Amt. (LCY)")</t>
  </si>
  <si>
    <t>=NF($D5853,"16 Remaining Amt. (LCY)")</t>
  </si>
  <si>
    <t>=NF($D5854,"16 Remaining Amt. (LCY)")</t>
  </si>
  <si>
    <t>=NF($D5855,"16 Remaining Amt. (LCY)")</t>
  </si>
  <si>
    <t>=NF($D5856,"16 Remaining Amt. (LCY)")</t>
  </si>
  <si>
    <t>=NF($D5857,"16 Remaining Amt. (LCY)")</t>
  </si>
  <si>
    <t>=NF($D5858,"16 Remaining Amt. (LCY)")</t>
  </si>
  <si>
    <t>=NF($D5859,"16 Remaining Amt. (LCY)")</t>
  </si>
  <si>
    <t>=NF($D5860,"16 Remaining Amt. (LCY)")</t>
  </si>
  <si>
    <t>=NF($D5861,"16 Remaining Amt. (LCY)")</t>
  </si>
  <si>
    <t>=NF($D5862,"16 Remaining Amt. (LCY)")</t>
  </si>
  <si>
    <t>=NF($D5863,"16 Remaining Amt. (LCY)")</t>
  </si>
  <si>
    <t>=NF($D5864,"16 Remaining Amt. (LCY)")</t>
  </si>
  <si>
    <t>=NF($D5865,"16 Remaining Amt. (LCY)")</t>
  </si>
  <si>
    <t>=NF($D5866,"16 Remaining Amt. (LCY)")</t>
  </si>
  <si>
    <t>=NF($D5867,"16 Remaining Amt. (LCY)")</t>
  </si>
  <si>
    <t>=NF($D5868,"16 Remaining Amt. (LCY)")</t>
  </si>
  <si>
    <t>=NF($D5869,"16 Remaining Amt. (LCY)")</t>
  </si>
  <si>
    <t>=NF($D5870,"16 Remaining Amt. (LCY)")</t>
  </si>
  <si>
    <t>=NF($D5871,"16 Remaining Amt. (LCY)")</t>
  </si>
  <si>
    <t>=NF($D5872,"16 Remaining Amt. (LCY)")</t>
  </si>
  <si>
    <t>=NF($D5873,"16 Remaining Amt. (LCY)")</t>
  </si>
  <si>
    <t>=NF($D5874,"16 Remaining Amt. (LCY)")</t>
  </si>
  <si>
    <t>=NF($D5875,"16 Remaining Amt. (LCY)")</t>
  </si>
  <si>
    <t>=NF($D5876,"16 Remaining Amt. (LCY)")</t>
  </si>
  <si>
    <t>=NF($D5877,"16 Remaining Amt. (LCY)")</t>
  </si>
  <si>
    <t>=NF($D5815,"5 Document Type")</t>
  </si>
  <si>
    <t>=NF($D5816,"5 Document Type")</t>
  </si>
  <si>
    <t>=NF($D5817,"5 Document Type")</t>
  </si>
  <si>
    <t>=NF($D5818,"5 Document Type")</t>
  </si>
  <si>
    <t>=NF($D5819,"5 Document Type")</t>
  </si>
  <si>
    <t>=NF($D5820,"5 Document Type")</t>
  </si>
  <si>
    <t>=NF($D5821,"5 Document Type")</t>
  </si>
  <si>
    <t>=NF($D5822,"5 Document Type")</t>
  </si>
  <si>
    <t>=NF($D5823,"5 Document Type")</t>
  </si>
  <si>
    <t>=NF($D5824,"5 Document Type")</t>
  </si>
  <si>
    <t>=NF($D5825,"5 Document Type")</t>
  </si>
  <si>
    <t>=NF($D5826,"5 Document Type")</t>
  </si>
  <si>
    <t>=NF($D5827,"5 Document Type")</t>
  </si>
  <si>
    <t>=NF($D5828,"5 Document Type")</t>
  </si>
  <si>
    <t>=NF($D5829,"5 Document Type")</t>
  </si>
  <si>
    <t>=NF($D5830,"5 Document Type")</t>
  </si>
  <si>
    <t>=NF($D5831,"5 Document Type")</t>
  </si>
  <si>
    <t>=NF($D5832,"5 Document Type")</t>
  </si>
  <si>
    <t>=NF($D5833,"5 Document Type")</t>
  </si>
  <si>
    <t>=NF($D5834,"5 Document Type")</t>
  </si>
  <si>
    <t>=NF($D5835,"5 Document Type")</t>
  </si>
  <si>
    <t>=NF($D5836,"5 Document Type")</t>
  </si>
  <si>
    <t>=NF($D5837,"5 Document Type")</t>
  </si>
  <si>
    <t>=NF($D5838,"5 Document Type")</t>
  </si>
  <si>
    <t>=NF($D5839,"5 Document Type")</t>
  </si>
  <si>
    <t>=NF($D5840,"5 Document Type")</t>
  </si>
  <si>
    <t>=NF($D5841,"5 Document Type")</t>
  </si>
  <si>
    <t>=NF($D5842,"5 Document Type")</t>
  </si>
  <si>
    <t>=NF($D5843,"5 Document Type")</t>
  </si>
  <si>
    <t>=NF($D5815,"6 Document No.")</t>
  </si>
  <si>
    <t>=NF($D5816,"6 Document No.")</t>
  </si>
  <si>
    <t>=NF($D5817,"6 Document No.")</t>
  </si>
  <si>
    <t>=NF($D5818,"6 Document No.")</t>
  </si>
  <si>
    <t>=NF($D5819,"6 Document No.")</t>
  </si>
  <si>
    <t>=NF($D5820,"6 Document No.")</t>
  </si>
  <si>
    <t>=NF($D5821,"6 Document No.")</t>
  </si>
  <si>
    <t>=NF($D5822,"6 Document No.")</t>
  </si>
  <si>
    <t>=NF($D5823,"6 Document No.")</t>
  </si>
  <si>
    <t>=NF($D5824,"6 Document No.")</t>
  </si>
  <si>
    <t>=NF($D5825,"6 Document No.")</t>
  </si>
  <si>
    <t>=NF($D5826,"6 Document No.")</t>
  </si>
  <si>
    <t>=NF($D5827,"6 Document No.")</t>
  </si>
  <si>
    <t>=NF($D5828,"6 Document No.")</t>
  </si>
  <si>
    <t>=NF($D5829,"6 Document No.")</t>
  </si>
  <si>
    <t>=NF($D5830,"6 Document No.")</t>
  </si>
  <si>
    <t>=NF($D5831,"6 Document No.")</t>
  </si>
  <si>
    <t>=NF($D5832,"6 Document No.")</t>
  </si>
  <si>
    <t>=NF($D5833,"6 Document No.")</t>
  </si>
  <si>
    <t>=NF($D5834,"6 Document No.")</t>
  </si>
  <si>
    <t>=NF($D5835,"6 Document No.")</t>
  </si>
  <si>
    <t>=NF($D5836,"6 Document No.")</t>
  </si>
  <si>
    <t>=NF($D5837,"6 Document No.")</t>
  </si>
  <si>
    <t>=NF($D5838,"6 Document No.")</t>
  </si>
  <si>
    <t>=NF($D5839,"6 Document No.")</t>
  </si>
  <si>
    <t>=NF($D5840,"6 Document No.")</t>
  </si>
  <si>
    <t>=NF($D5841,"6 Document No.")</t>
  </si>
  <si>
    <t>=NF($D5842,"6 Document No.")</t>
  </si>
  <si>
    <t>=NF($D5843,"6 Document No.")</t>
  </si>
  <si>
    <t>=NF($D5815,"37 Due Date")</t>
  </si>
  <si>
    <t>=NF($D5816,"37 Due Date")</t>
  </si>
  <si>
    <t>=NF($D5817,"37 Due Date")</t>
  </si>
  <si>
    <t>=NF($D5818,"37 Due Date")</t>
  </si>
  <si>
    <t>=NF($D5819,"37 Due Date")</t>
  </si>
  <si>
    <t>=NF($D5820,"37 Due Date")</t>
  </si>
  <si>
    <t>=NF($D5821,"37 Due Date")</t>
  </si>
  <si>
    <t>=NF($D5822,"37 Due Date")</t>
  </si>
  <si>
    <t>=NF($D5823,"37 Due Date")</t>
  </si>
  <si>
    <t>=NF($D5824,"37 Due Date")</t>
  </si>
  <si>
    <t>=NF($D5825,"37 Due Date")</t>
  </si>
  <si>
    <t>=NF($D5826,"37 Due Date")</t>
  </si>
  <si>
    <t>=NF($D5827,"37 Due Date")</t>
  </si>
  <si>
    <t>=NF($D5828,"37 Due Date")</t>
  </si>
  <si>
    <t>=NF($D5829,"37 Due Date")</t>
  </si>
  <si>
    <t>=NF($D5830,"37 Due Date")</t>
  </si>
  <si>
    <t>=NF($D5831,"37 Due Date")</t>
  </si>
  <si>
    <t>=NF($D5832,"37 Due Date")</t>
  </si>
  <si>
    <t>=NF($D5833,"37 Due Date")</t>
  </si>
  <si>
    <t>=NF($D5834,"37 Due Date")</t>
  </si>
  <si>
    <t>=NF($D5835,"37 Due Date")</t>
  </si>
  <si>
    <t>=NF($D5836,"37 Due Date")</t>
  </si>
  <si>
    <t>=NF($D5837,"37 Due Date")</t>
  </si>
  <si>
    <t>=NF($D5838,"37 Due Date")</t>
  </si>
  <si>
    <t>=NF($D5839,"37 Due Date")</t>
  </si>
  <si>
    <t>=NF($D5840,"37 Due Date")</t>
  </si>
  <si>
    <t>=NF($D5841,"37 Due Date")</t>
  </si>
  <si>
    <t>=NF($D5842,"37 Due Date")</t>
  </si>
  <si>
    <t>=NF($D5843,"37 Due Date")</t>
  </si>
  <si>
    <t>=NF($D5815,"16 Remaining Amt. (LCY)")</t>
  </si>
  <si>
    <t>=NF($D5816,"16 Remaining Amt. (LCY)")</t>
  </si>
  <si>
    <t>=NF($D5817,"16 Remaining Amt. (LCY)")</t>
  </si>
  <si>
    <t>=NF($D5818,"16 Remaining Amt. (LCY)")</t>
  </si>
  <si>
    <t>=NF($D5819,"16 Remaining Amt. (LCY)")</t>
  </si>
  <si>
    <t>=NF($D5820,"16 Remaining Amt. (LCY)")</t>
  </si>
  <si>
    <t>=NF($D5821,"16 Remaining Amt. (LCY)")</t>
  </si>
  <si>
    <t>=NF($D5822,"16 Remaining Amt. (LCY)")</t>
  </si>
  <si>
    <t>=NF($D5823,"16 Remaining Amt. (LCY)")</t>
  </si>
  <si>
    <t>=NF($D5824,"16 Remaining Amt. (LCY)")</t>
  </si>
  <si>
    <t>=NF($D5825,"16 Remaining Amt. (LCY)")</t>
  </si>
  <si>
    <t>=NF($D5826,"16 Remaining Amt. (LCY)")</t>
  </si>
  <si>
    <t>=NF($D5827,"16 Remaining Amt. (LCY)")</t>
  </si>
  <si>
    <t>=NF($D5828,"16 Remaining Amt. (LCY)")</t>
  </si>
  <si>
    <t>=NF($D5829,"16 Remaining Amt. (LCY)")</t>
  </si>
  <si>
    <t>=NF($D5830,"16 Remaining Amt. (LCY)")</t>
  </si>
  <si>
    <t>=NF($D5831,"16 Remaining Amt. (LCY)")</t>
  </si>
  <si>
    <t>=NF($D5832,"16 Remaining Amt. (LCY)")</t>
  </si>
  <si>
    <t>=NF($D5833,"16 Remaining Amt. (LCY)")</t>
  </si>
  <si>
    <t>=NF($D5834,"16 Remaining Amt. (LCY)")</t>
  </si>
  <si>
    <t>=NF($D5835,"16 Remaining Amt. (LCY)")</t>
  </si>
  <si>
    <t>=NF($D5836,"16 Remaining Amt. (LCY)")</t>
  </si>
  <si>
    <t>=NF($D5837,"16 Remaining Amt. (LCY)")</t>
  </si>
  <si>
    <t>=NF($D5838,"16 Remaining Amt. (LCY)")</t>
  </si>
  <si>
    <t>=NF($D5839,"16 Remaining Amt. (LCY)")</t>
  </si>
  <si>
    <t>=NF($D5840,"16 Remaining Amt. (LCY)")</t>
  </si>
  <si>
    <t>=NF($D5841,"16 Remaining Amt. (LCY)")</t>
  </si>
  <si>
    <t>=NF($D5842,"16 Remaining Amt. (LCY)")</t>
  </si>
  <si>
    <t>=NF($D5843,"16 Remaining Amt. (LCY)")</t>
  </si>
  <si>
    <t>=NF($D5782,"5 Document Type")</t>
  </si>
  <si>
    <t>=NF($D5783,"5 Document Type")</t>
  </si>
  <si>
    <t>=NF($D5784,"5 Document Type")</t>
  </si>
  <si>
    <t>=NF($D5785,"5 Document Type")</t>
  </si>
  <si>
    <t>=NF($D5786,"5 Document Type")</t>
  </si>
  <si>
    <t>=NF($D5787,"5 Document Type")</t>
  </si>
  <si>
    <t>=NF($D5788,"5 Document Type")</t>
  </si>
  <si>
    <t>=NF($D5789,"5 Document Type")</t>
  </si>
  <si>
    <t>=NF($D5790,"5 Document Type")</t>
  </si>
  <si>
    <t>=NF($D5791,"5 Document Type")</t>
  </si>
  <si>
    <t>=NF($D5792,"5 Document Type")</t>
  </si>
  <si>
    <t>=NF($D5793,"5 Document Type")</t>
  </si>
  <si>
    <t>=NF($D5794,"5 Document Type")</t>
  </si>
  <si>
    <t>=NF($D5795,"5 Document Type")</t>
  </si>
  <si>
    <t>=NF($D5796,"5 Document Type")</t>
  </si>
  <si>
    <t>=NF($D5797,"5 Document Type")</t>
  </si>
  <si>
    <t>=NF($D5798,"5 Document Type")</t>
  </si>
  <si>
    <t>=NF($D5799,"5 Document Type")</t>
  </si>
  <si>
    <t>=NF($D5800,"5 Document Type")</t>
  </si>
  <si>
    <t>=NF($D5801,"5 Document Type")</t>
  </si>
  <si>
    <t>=NF($D5802,"5 Document Type")</t>
  </si>
  <si>
    <t>=NF($D5803,"5 Document Type")</t>
  </si>
  <si>
    <t>=NF($D5804,"5 Document Type")</t>
  </si>
  <si>
    <t>=NF($D5805,"5 Document Type")</t>
  </si>
  <si>
    <t>=NF($D5806,"5 Document Type")</t>
  </si>
  <si>
    <t>=NF($D5807,"5 Document Type")</t>
  </si>
  <si>
    <t>=NF($D5808,"5 Document Type")</t>
  </si>
  <si>
    <t>=NF($D5782,"6 Document No.")</t>
  </si>
  <si>
    <t>=NF($D5783,"6 Document No.")</t>
  </si>
  <si>
    <t>=NF($D5784,"6 Document No.")</t>
  </si>
  <si>
    <t>=NF($D5785,"6 Document No.")</t>
  </si>
  <si>
    <t>=NF($D5786,"6 Document No.")</t>
  </si>
  <si>
    <t>=NF($D5787,"6 Document No.")</t>
  </si>
  <si>
    <t>=NF($D5788,"6 Document No.")</t>
  </si>
  <si>
    <t>=NF($D5789,"6 Document No.")</t>
  </si>
  <si>
    <t>=NF($D5790,"6 Document No.")</t>
  </si>
  <si>
    <t>=NF($D5791,"6 Document No.")</t>
  </si>
  <si>
    <t>=NF($D5792,"6 Document No.")</t>
  </si>
  <si>
    <t>=NF($D5793,"6 Document No.")</t>
  </si>
  <si>
    <t>=NF($D5794,"6 Document No.")</t>
  </si>
  <si>
    <t>=NF($D5795,"6 Document No.")</t>
  </si>
  <si>
    <t>=NF($D5796,"6 Document No.")</t>
  </si>
  <si>
    <t>=NF($D5797,"6 Document No.")</t>
  </si>
  <si>
    <t>=NF($D5798,"6 Document No.")</t>
  </si>
  <si>
    <t>=NF($D5799,"6 Document No.")</t>
  </si>
  <si>
    <t>=NF($D5800,"6 Document No.")</t>
  </si>
  <si>
    <t>=NF($D5801,"6 Document No.")</t>
  </si>
  <si>
    <t>=NF($D5802,"6 Document No.")</t>
  </si>
  <si>
    <t>=NF($D5803,"6 Document No.")</t>
  </si>
  <si>
    <t>=NF($D5804,"6 Document No.")</t>
  </si>
  <si>
    <t>=NF($D5805,"6 Document No.")</t>
  </si>
  <si>
    <t>=NF($D5806,"6 Document No.")</t>
  </si>
  <si>
    <t>=NF($D5807,"6 Document No.")</t>
  </si>
  <si>
    <t>=NF($D5808,"6 Document No.")</t>
  </si>
  <si>
    <t>=NF($D5782,"37 Due Date")</t>
  </si>
  <si>
    <t>=NF($D5783,"37 Due Date")</t>
  </si>
  <si>
    <t>=NF($D5784,"37 Due Date")</t>
  </si>
  <si>
    <t>=NF($D5785,"37 Due Date")</t>
  </si>
  <si>
    <t>=NF($D5786,"37 Due Date")</t>
  </si>
  <si>
    <t>=NF($D5787,"37 Due Date")</t>
  </si>
  <si>
    <t>=NF($D5788,"37 Due Date")</t>
  </si>
  <si>
    <t>=NF($D5789,"37 Due Date")</t>
  </si>
  <si>
    <t>=NF($D5790,"37 Due Date")</t>
  </si>
  <si>
    <t>=NF($D5791,"37 Due Date")</t>
  </si>
  <si>
    <t>=NF($D5792,"37 Due Date")</t>
  </si>
  <si>
    <t>=NF($D5793,"37 Due Date")</t>
  </si>
  <si>
    <t>=NF($D5794,"37 Due Date")</t>
  </si>
  <si>
    <t>=NF($D5795,"37 Due Date")</t>
  </si>
  <si>
    <t>=NF($D5796,"37 Due Date")</t>
  </si>
  <si>
    <t>=NF($D5797,"37 Due Date")</t>
  </si>
  <si>
    <t>=NF($D5798,"37 Due Date")</t>
  </si>
  <si>
    <t>=NF($D5799,"37 Due Date")</t>
  </si>
  <si>
    <t>=NF($D5800,"37 Due Date")</t>
  </si>
  <si>
    <t>=NF($D5801,"37 Due Date")</t>
  </si>
  <si>
    <t>=NF($D5802,"37 Due Date")</t>
  </si>
  <si>
    <t>=NF($D5803,"37 Due Date")</t>
  </si>
  <si>
    <t>=NF($D5804,"37 Due Date")</t>
  </si>
  <si>
    <t>=NF($D5805,"37 Due Date")</t>
  </si>
  <si>
    <t>=NF($D5806,"37 Due Date")</t>
  </si>
  <si>
    <t>=NF($D5807,"37 Due Date")</t>
  </si>
  <si>
    <t>=NF($D5808,"37 Due Date")</t>
  </si>
  <si>
    <t>=NF($D5782,"16 Remaining Amt. (LCY)")</t>
  </si>
  <si>
    <t>=NF($D5783,"16 Remaining Amt. (LCY)")</t>
  </si>
  <si>
    <t>=NF($D5784,"16 Remaining Amt. (LCY)")</t>
  </si>
  <si>
    <t>=NF($D5785,"16 Remaining Amt. (LCY)")</t>
  </si>
  <si>
    <t>=NF($D5786,"16 Remaining Amt. (LCY)")</t>
  </si>
  <si>
    <t>=NF($D5787,"16 Remaining Amt. (LCY)")</t>
  </si>
  <si>
    <t>=NF($D5788,"16 Remaining Amt. (LCY)")</t>
  </si>
  <si>
    <t>=NF($D5789,"16 Remaining Amt. (LCY)")</t>
  </si>
  <si>
    <t>=NF($D5790,"16 Remaining Amt. (LCY)")</t>
  </si>
  <si>
    <t>=NF($D5791,"16 Remaining Amt. (LCY)")</t>
  </si>
  <si>
    <t>=NF($D5792,"16 Remaining Amt. (LCY)")</t>
  </si>
  <si>
    <t>=NF($D5793,"16 Remaining Amt. (LCY)")</t>
  </si>
  <si>
    <t>=NF($D5794,"16 Remaining Amt. (LCY)")</t>
  </si>
  <si>
    <t>=NF($D5795,"16 Remaining Amt. (LCY)")</t>
  </si>
  <si>
    <t>=NF($D5796,"16 Remaining Amt. (LCY)")</t>
  </si>
  <si>
    <t>=NF($D5797,"16 Remaining Amt. (LCY)")</t>
  </si>
  <si>
    <t>=NF($D5798,"16 Remaining Amt. (LCY)")</t>
  </si>
  <si>
    <t>=NF($D5799,"16 Remaining Amt. (LCY)")</t>
  </si>
  <si>
    <t>=NF($D5800,"16 Remaining Amt. (LCY)")</t>
  </si>
  <si>
    <t>=NF($D5801,"16 Remaining Amt. (LCY)")</t>
  </si>
  <si>
    <t>=NF($D5802,"16 Remaining Amt. (LCY)")</t>
  </si>
  <si>
    <t>=NF($D5803,"16 Remaining Amt. (LCY)")</t>
  </si>
  <si>
    <t>=NF($D5804,"16 Remaining Amt. (LCY)")</t>
  </si>
  <si>
    <t>=NF($D5805,"16 Remaining Amt. (LCY)")</t>
  </si>
  <si>
    <t>=NF($D5806,"16 Remaining Amt. (LCY)")</t>
  </si>
  <si>
    <t>=NF($D5807,"16 Remaining Amt. (LCY)")</t>
  </si>
  <si>
    <t>=NF($D5808,"16 Remaining Amt. (LCY)")</t>
  </si>
  <si>
    <t>=NF($D5755,"5 Document Type")</t>
  </si>
  <si>
    <t>=NF($D5756,"5 Document Type")</t>
  </si>
  <si>
    <t>=NF($D5757,"5 Document Type")</t>
  </si>
  <si>
    <t>=NF($D5758,"5 Document Type")</t>
  </si>
  <si>
    <t>=NF($D5759,"5 Document Type")</t>
  </si>
  <si>
    <t>=NF($D5760,"5 Document Type")</t>
  </si>
  <si>
    <t>=NF($D5761,"5 Document Type")</t>
  </si>
  <si>
    <t>=NF($D5762,"5 Document Type")</t>
  </si>
  <si>
    <t>=NF($D5763,"5 Document Type")</t>
  </si>
  <si>
    <t>=NF($D5764,"5 Document Type")</t>
  </si>
  <si>
    <t>=NF($D5765,"5 Document Type")</t>
  </si>
  <si>
    <t>=NF($D5766,"5 Document Type")</t>
  </si>
  <si>
    <t>=NF($D5767,"5 Document Type")</t>
  </si>
  <si>
    <t>=NF($D5768,"5 Document Type")</t>
  </si>
  <si>
    <t>=NF($D5769,"5 Document Type")</t>
  </si>
  <si>
    <t>=NF($D5770,"5 Document Type")</t>
  </si>
  <si>
    <t>=NF($D5771,"5 Document Type")</t>
  </si>
  <si>
    <t>=NF($D5772,"5 Document Type")</t>
  </si>
  <si>
    <t>=NF($D5773,"5 Document Type")</t>
  </si>
  <si>
    <t>=NF($D5774,"5 Document Type")</t>
  </si>
  <si>
    <t>=NF($D5775,"5 Document Type")</t>
  </si>
  <si>
    <t>=NF($D5755,"6 Document No.")</t>
  </si>
  <si>
    <t>=NF($D5756,"6 Document No.")</t>
  </si>
  <si>
    <t>=NF($D5757,"6 Document No.")</t>
  </si>
  <si>
    <t>=NF($D5758,"6 Document No.")</t>
  </si>
  <si>
    <t>=NF($D5759,"6 Document No.")</t>
  </si>
  <si>
    <t>=NF($D5760,"6 Document No.")</t>
  </si>
  <si>
    <t>=NF($D5761,"6 Document No.")</t>
  </si>
  <si>
    <t>=NF($D5762,"6 Document No.")</t>
  </si>
  <si>
    <t>=NF($D5763,"6 Document No.")</t>
  </si>
  <si>
    <t>=NF($D5764,"6 Document No.")</t>
  </si>
  <si>
    <t>=NF($D5765,"6 Document No.")</t>
  </si>
  <si>
    <t>=NF($D5766,"6 Document No.")</t>
  </si>
  <si>
    <t>=NF($D5767,"6 Document No.")</t>
  </si>
  <si>
    <t>=NF($D5768,"6 Document No.")</t>
  </si>
  <si>
    <t>=NF($D5769,"6 Document No.")</t>
  </si>
  <si>
    <t>=NF($D5770,"6 Document No.")</t>
  </si>
  <si>
    <t>=NF($D5771,"6 Document No.")</t>
  </si>
  <si>
    <t>=NF($D5772,"6 Document No.")</t>
  </si>
  <si>
    <t>=NF($D5773,"6 Document No.")</t>
  </si>
  <si>
    <t>=NF($D5774,"6 Document No.")</t>
  </si>
  <si>
    <t>=NF($D5775,"6 Document No.")</t>
  </si>
  <si>
    <t>=NF($D5755,"37 Due Date")</t>
  </si>
  <si>
    <t>=NF($D5756,"37 Due Date")</t>
  </si>
  <si>
    <t>=NF($D5757,"37 Due Date")</t>
  </si>
  <si>
    <t>=NF($D5758,"37 Due Date")</t>
  </si>
  <si>
    <t>=NF($D5759,"37 Due Date")</t>
  </si>
  <si>
    <t>=NF($D5760,"37 Due Date")</t>
  </si>
  <si>
    <t>=NF($D5761,"37 Due Date")</t>
  </si>
  <si>
    <t>=NF($D5762,"37 Due Date")</t>
  </si>
  <si>
    <t>=NF($D5763,"37 Due Date")</t>
  </si>
  <si>
    <t>=NF($D5764,"37 Due Date")</t>
  </si>
  <si>
    <t>=NF($D5765,"37 Due Date")</t>
  </si>
  <si>
    <t>=NF($D5766,"37 Due Date")</t>
  </si>
  <si>
    <t>=NF($D5767,"37 Due Date")</t>
  </si>
  <si>
    <t>=NF($D5768,"37 Due Date")</t>
  </si>
  <si>
    <t>=NF($D5769,"37 Due Date")</t>
  </si>
  <si>
    <t>=NF($D5770,"37 Due Date")</t>
  </si>
  <si>
    <t>=NF($D5771,"37 Due Date")</t>
  </si>
  <si>
    <t>=NF($D5772,"37 Due Date")</t>
  </si>
  <si>
    <t>=NF($D5773,"37 Due Date")</t>
  </si>
  <si>
    <t>=NF($D5774,"37 Due Date")</t>
  </si>
  <si>
    <t>=NF($D5775,"37 Due Date")</t>
  </si>
  <si>
    <t>=NF($D5755,"16 Remaining Amt. (LCY)")</t>
  </si>
  <si>
    <t>=NF($D5756,"16 Remaining Amt. (LCY)")</t>
  </si>
  <si>
    <t>=NF($D5757,"16 Remaining Amt. (LCY)")</t>
  </si>
  <si>
    <t>=NF($D5758,"16 Remaining Amt. (LCY)")</t>
  </si>
  <si>
    <t>=NF($D5759,"16 Remaining Amt. (LCY)")</t>
  </si>
  <si>
    <t>=NF($D5760,"16 Remaining Amt. (LCY)")</t>
  </si>
  <si>
    <t>=NF($D5761,"16 Remaining Amt. (LCY)")</t>
  </si>
  <si>
    <t>=NF($D5762,"16 Remaining Amt. (LCY)")</t>
  </si>
  <si>
    <t>=NF($D5763,"16 Remaining Amt. (LCY)")</t>
  </si>
  <si>
    <t>=NF($D5764,"16 Remaining Amt. (LCY)")</t>
  </si>
  <si>
    <t>=NF($D5765,"16 Remaining Amt. (LCY)")</t>
  </si>
  <si>
    <t>=NF($D5766,"16 Remaining Amt. (LCY)")</t>
  </si>
  <si>
    <t>=NF($D5767,"16 Remaining Amt. (LCY)")</t>
  </si>
  <si>
    <t>=NF($D5768,"16 Remaining Amt. (LCY)")</t>
  </si>
  <si>
    <t>=NF($D5769,"16 Remaining Amt. (LCY)")</t>
  </si>
  <si>
    <t>=NF($D5770,"16 Remaining Amt. (LCY)")</t>
  </si>
  <si>
    <t>=NF($D5771,"16 Remaining Amt. (LCY)")</t>
  </si>
  <si>
    <t>=NF($D5772,"16 Remaining Amt. (LCY)")</t>
  </si>
  <si>
    <t>=NF($D5773,"16 Remaining Amt. (LCY)")</t>
  </si>
  <si>
    <t>=NF($D5774,"16 Remaining Amt. (LCY)")</t>
  </si>
  <si>
    <t>=NF($D5775,"16 Remaining Amt. (LCY)")</t>
  </si>
  <si>
    <t>=NF($D5725,"5 Document Type")</t>
  </si>
  <si>
    <t>=NF($D5726,"5 Document Type")</t>
  </si>
  <si>
    <t>=NF($D5727,"5 Document Type")</t>
  </si>
  <si>
    <t>=NF($D5728,"5 Document Type")</t>
  </si>
  <si>
    <t>=NF($D5729,"5 Document Type")</t>
  </si>
  <si>
    <t>=NF($D5730,"5 Document Type")</t>
  </si>
  <si>
    <t>=NF($D5731,"5 Document Type")</t>
  </si>
  <si>
    <t>=NF($D5732,"5 Document Type")</t>
  </si>
  <si>
    <t>=NF($D5733,"5 Document Type")</t>
  </si>
  <si>
    <t>=NF($D5734,"5 Document Type")</t>
  </si>
  <si>
    <t>=NF($D5735,"5 Document Type")</t>
  </si>
  <si>
    <t>=NF($D5736,"5 Document Type")</t>
  </si>
  <si>
    <t>=NF($D5737,"5 Document Type")</t>
  </si>
  <si>
    <t>=NF($D5738,"5 Document Type")</t>
  </si>
  <si>
    <t>=NF($D5739,"5 Document Type")</t>
  </si>
  <si>
    <t>=NF($D5740,"5 Document Type")</t>
  </si>
  <si>
    <t>=NF($D5741,"5 Document Type")</t>
  </si>
  <si>
    <t>=NF($D5742,"5 Document Type")</t>
  </si>
  <si>
    <t>=NF($D5743,"5 Document Type")</t>
  </si>
  <si>
    <t>=NF($D5744,"5 Document Type")</t>
  </si>
  <si>
    <t>=NF($D5745,"5 Document Type")</t>
  </si>
  <si>
    <t>=NF($D5746,"5 Document Type")</t>
  </si>
  <si>
    <t>=NF($D5747,"5 Document Type")</t>
  </si>
  <si>
    <t>=NF($D5748,"5 Document Type")</t>
  </si>
  <si>
    <t>=NF($D5725,"6 Document No.")</t>
  </si>
  <si>
    <t>=NF($D5726,"6 Document No.")</t>
  </si>
  <si>
    <t>=NF($D5727,"6 Document No.")</t>
  </si>
  <si>
    <t>=NF($D5728,"6 Document No.")</t>
  </si>
  <si>
    <t>=NF($D5729,"6 Document No.")</t>
  </si>
  <si>
    <t>=NF($D5730,"6 Document No.")</t>
  </si>
  <si>
    <t>=NF($D5731,"6 Document No.")</t>
  </si>
  <si>
    <t>=NF($D5732,"6 Document No.")</t>
  </si>
  <si>
    <t>=NF($D5733,"6 Document No.")</t>
  </si>
  <si>
    <t>=NF($D5734,"6 Document No.")</t>
  </si>
  <si>
    <t>=NF($D5735,"6 Document No.")</t>
  </si>
  <si>
    <t>=NF($D5736,"6 Document No.")</t>
  </si>
  <si>
    <t>=NF($D5737,"6 Document No.")</t>
  </si>
  <si>
    <t>=NF($D5738,"6 Document No.")</t>
  </si>
  <si>
    <t>=NF($D5739,"6 Document No.")</t>
  </si>
  <si>
    <t>=NF($D5740,"6 Document No.")</t>
  </si>
  <si>
    <t>=NF($D5741,"6 Document No.")</t>
  </si>
  <si>
    <t>=NF($D5742,"6 Document No.")</t>
  </si>
  <si>
    <t>=NF($D5743,"6 Document No.")</t>
  </si>
  <si>
    <t>=NF($D5744,"6 Document No.")</t>
  </si>
  <si>
    <t>=NF($D5745,"6 Document No.")</t>
  </si>
  <si>
    <t>=NF($D5746,"6 Document No.")</t>
  </si>
  <si>
    <t>=NF($D5747,"6 Document No.")</t>
  </si>
  <si>
    <t>=NF($D5748,"6 Document No.")</t>
  </si>
  <si>
    <t>=NF($D5725,"37 Due Date")</t>
  </si>
  <si>
    <t>=NF($D5726,"37 Due Date")</t>
  </si>
  <si>
    <t>=NF($D5727,"37 Due Date")</t>
  </si>
  <si>
    <t>=NF($D5728,"37 Due Date")</t>
  </si>
  <si>
    <t>=NF($D5729,"37 Due Date")</t>
  </si>
  <si>
    <t>=NF($D5730,"37 Due Date")</t>
  </si>
  <si>
    <t>=NF($D5731,"37 Due Date")</t>
  </si>
  <si>
    <t>=NF($D5732,"37 Due Date")</t>
  </si>
  <si>
    <t>=NF($D5733,"37 Due Date")</t>
  </si>
  <si>
    <t>=NF($D5734,"37 Due Date")</t>
  </si>
  <si>
    <t>=NF($D5735,"37 Due Date")</t>
  </si>
  <si>
    <t>=NF($D5736,"37 Due Date")</t>
  </si>
  <si>
    <t>=NF($D5737,"37 Due Date")</t>
  </si>
  <si>
    <t>=NF($D5738,"37 Due Date")</t>
  </si>
  <si>
    <t>=NF($D5739,"37 Due Date")</t>
  </si>
  <si>
    <t>=NF($D5740,"37 Due Date")</t>
  </si>
  <si>
    <t>=NF($D5741,"37 Due Date")</t>
  </si>
  <si>
    <t>=NF($D5742,"37 Due Date")</t>
  </si>
  <si>
    <t>=NF($D5743,"37 Due Date")</t>
  </si>
  <si>
    <t>=NF($D5744,"37 Due Date")</t>
  </si>
  <si>
    <t>=NF($D5745,"37 Due Date")</t>
  </si>
  <si>
    <t>=NF($D5746,"37 Due Date")</t>
  </si>
  <si>
    <t>=NF($D5747,"37 Due Date")</t>
  </si>
  <si>
    <t>=NF($D5748,"37 Due Date")</t>
  </si>
  <si>
    <t>=NF($D5725,"16 Remaining Amt. (LCY)")</t>
  </si>
  <si>
    <t>=NF($D5726,"16 Remaining Amt. (LCY)")</t>
  </si>
  <si>
    <t>=NF($D5727,"16 Remaining Amt. (LCY)")</t>
  </si>
  <si>
    <t>=NF($D5728,"16 Remaining Amt. (LCY)")</t>
  </si>
  <si>
    <t>=NF($D5729,"16 Remaining Amt. (LCY)")</t>
  </si>
  <si>
    <t>=NF($D5730,"16 Remaining Amt. (LCY)")</t>
  </si>
  <si>
    <t>=NF($D5731,"16 Remaining Amt. (LCY)")</t>
  </si>
  <si>
    <t>=NF($D5732,"16 Remaining Amt. (LCY)")</t>
  </si>
  <si>
    <t>=NF($D5733,"16 Remaining Amt. (LCY)")</t>
  </si>
  <si>
    <t>=NF($D5734,"16 Remaining Amt. (LCY)")</t>
  </si>
  <si>
    <t>=NF($D5735,"16 Remaining Amt. (LCY)")</t>
  </si>
  <si>
    <t>=NF($D5736,"16 Remaining Amt. (LCY)")</t>
  </si>
  <si>
    <t>=NF($D5737,"16 Remaining Amt. (LCY)")</t>
  </si>
  <si>
    <t>=NF($D5738,"16 Remaining Amt. (LCY)")</t>
  </si>
  <si>
    <t>=NF($D5739,"16 Remaining Amt. (LCY)")</t>
  </si>
  <si>
    <t>=NF($D5740,"16 Remaining Amt. (LCY)")</t>
  </si>
  <si>
    <t>=NF($D5741,"16 Remaining Amt. (LCY)")</t>
  </si>
  <si>
    <t>=NF($D5742,"16 Remaining Amt. (LCY)")</t>
  </si>
  <si>
    <t>=NF($D5743,"16 Remaining Amt. (LCY)")</t>
  </si>
  <si>
    <t>=NF($D5744,"16 Remaining Amt. (LCY)")</t>
  </si>
  <si>
    <t>=NF($D5745,"16 Remaining Amt. (LCY)")</t>
  </si>
  <si>
    <t>=NF($D5746,"16 Remaining Amt. (LCY)")</t>
  </si>
  <si>
    <t>=NF($D5747,"16 Remaining Amt. (LCY)")</t>
  </si>
  <si>
    <t>=NF($D5748,"16 Remaining Amt. (LCY)")</t>
  </si>
  <si>
    <t>=NF($D5680,"5 Document Type")</t>
  </si>
  <si>
    <t>=NF($D5681,"5 Document Type")</t>
  </si>
  <si>
    <t>=NF($D5682,"5 Document Type")</t>
  </si>
  <si>
    <t>=NF($D5683,"5 Document Type")</t>
  </si>
  <si>
    <t>=NF($D5684,"5 Document Type")</t>
  </si>
  <si>
    <t>=NF($D5685,"5 Document Type")</t>
  </si>
  <si>
    <t>=NF($D5686,"5 Document Type")</t>
  </si>
  <si>
    <t>=NF($D5687,"5 Document Type")</t>
  </si>
  <si>
    <t>=NF($D5688,"5 Document Type")</t>
  </si>
  <si>
    <t>=NF($D5689,"5 Document Type")</t>
  </si>
  <si>
    <t>=NF($D5690,"5 Document Type")</t>
  </si>
  <si>
    <t>=NF($D5691,"5 Document Type")</t>
  </si>
  <si>
    <t>=NF($D5692,"5 Document Type")</t>
  </si>
  <si>
    <t>=NF($D5693,"5 Document Type")</t>
  </si>
  <si>
    <t>=NF($D5694,"5 Document Type")</t>
  </si>
  <si>
    <t>=NF($D5695,"5 Document Type")</t>
  </si>
  <si>
    <t>=NF($D5696,"5 Document Type")</t>
  </si>
  <si>
    <t>=NF($D5697,"5 Document Type")</t>
  </si>
  <si>
    <t>=NF($D5698,"5 Document Type")</t>
  </si>
  <si>
    <t>=NF($D5699,"5 Document Type")</t>
  </si>
  <si>
    <t>=NF($D5700,"5 Document Type")</t>
  </si>
  <si>
    <t>=NF($D5701,"5 Document Type")</t>
  </si>
  <si>
    <t>=NF($D5702,"5 Document Type")</t>
  </si>
  <si>
    <t>=NF($D5703,"5 Document Type")</t>
  </si>
  <si>
    <t>=NF($D5704,"5 Document Type")</t>
  </si>
  <si>
    <t>=NF($D5705,"5 Document Type")</t>
  </si>
  <si>
    <t>=NF($D5706,"5 Document Type")</t>
  </si>
  <si>
    <t>=NF($D5707,"5 Document Type")</t>
  </si>
  <si>
    <t>=NF($D5708,"5 Document Type")</t>
  </si>
  <si>
    <t>=NF($D5709,"5 Document Type")</t>
  </si>
  <si>
    <t>=NF($D5710,"5 Document Type")</t>
  </si>
  <si>
    <t>=NF($D5711,"5 Document Type")</t>
  </si>
  <si>
    <t>=NF($D5712,"5 Document Type")</t>
  </si>
  <si>
    <t>=NF($D5713,"5 Document Type")</t>
  </si>
  <si>
    <t>=NF($D5714,"5 Document Type")</t>
  </si>
  <si>
    <t>=NF($D5715,"5 Document Type")</t>
  </si>
  <si>
    <t>=NF($D5716,"5 Document Type")</t>
  </si>
  <si>
    <t>=NF($D5717,"5 Document Type")</t>
  </si>
  <si>
    <t>=NF($D5718,"5 Document Type")</t>
  </si>
  <si>
    <t>=NF($D5680,"6 Document No.")</t>
  </si>
  <si>
    <t>=NF($D5681,"6 Document No.")</t>
  </si>
  <si>
    <t>=NF($D5682,"6 Document No.")</t>
  </si>
  <si>
    <t>=NF($D5683,"6 Document No.")</t>
  </si>
  <si>
    <t>=NF($D5684,"6 Document No.")</t>
  </si>
  <si>
    <t>=NF($D5685,"6 Document No.")</t>
  </si>
  <si>
    <t>=NF($D5686,"6 Document No.")</t>
  </si>
  <si>
    <t>=NF($D5687,"6 Document No.")</t>
  </si>
  <si>
    <t>=NF($D5688,"6 Document No.")</t>
  </si>
  <si>
    <t>=NF($D5689,"6 Document No.")</t>
  </si>
  <si>
    <t>=NF($D5690,"6 Document No.")</t>
  </si>
  <si>
    <t>=NF($D5691,"6 Document No.")</t>
  </si>
  <si>
    <t>=NF($D5692,"6 Document No.")</t>
  </si>
  <si>
    <t>=NF($D5693,"6 Document No.")</t>
  </si>
  <si>
    <t>=NF($D5694,"6 Document No.")</t>
  </si>
  <si>
    <t>=NF($D5695,"6 Document No.")</t>
  </si>
  <si>
    <t>=NF($D5696,"6 Document No.")</t>
  </si>
  <si>
    <t>=NF($D5697,"6 Document No.")</t>
  </si>
  <si>
    <t>=NF($D5698,"6 Document No.")</t>
  </si>
  <si>
    <t>=NF($D5699,"6 Document No.")</t>
  </si>
  <si>
    <t>=NF($D5700,"6 Document No.")</t>
  </si>
  <si>
    <t>=NF($D5701,"6 Document No.")</t>
  </si>
  <si>
    <t>=NF($D5702,"6 Document No.")</t>
  </si>
  <si>
    <t>=NF($D5703,"6 Document No.")</t>
  </si>
  <si>
    <t>=NF($D5704,"6 Document No.")</t>
  </si>
  <si>
    <t>=NF($D5705,"6 Document No.")</t>
  </si>
  <si>
    <t>=NF($D5706,"6 Document No.")</t>
  </si>
  <si>
    <t>=NF($D5707,"6 Document No.")</t>
  </si>
  <si>
    <t>=NF($D5708,"6 Document No.")</t>
  </si>
  <si>
    <t>=NF($D5709,"6 Document No.")</t>
  </si>
  <si>
    <t>=NF($D5710,"6 Document No.")</t>
  </si>
  <si>
    <t>=NF($D5711,"6 Document No.")</t>
  </si>
  <si>
    <t>=NF($D5712,"6 Document No.")</t>
  </si>
  <si>
    <t>=NF($D5713,"6 Document No.")</t>
  </si>
  <si>
    <t>=NF($D5714,"6 Document No.")</t>
  </si>
  <si>
    <t>=NF($D5715,"6 Document No.")</t>
  </si>
  <si>
    <t>=NF($D5716,"6 Document No.")</t>
  </si>
  <si>
    <t>=NF($D5717,"6 Document No.")</t>
  </si>
  <si>
    <t>=NF($D5718,"6 Document No.")</t>
  </si>
  <si>
    <t>=NF($D5680,"37 Due Date")</t>
  </si>
  <si>
    <t>=NF($D5681,"37 Due Date")</t>
  </si>
  <si>
    <t>=NF($D5682,"37 Due Date")</t>
  </si>
  <si>
    <t>=NF($D5683,"37 Due Date")</t>
  </si>
  <si>
    <t>=NF($D5684,"37 Due Date")</t>
  </si>
  <si>
    <t>=NF($D5685,"37 Due Date")</t>
  </si>
  <si>
    <t>=NF($D5686,"37 Due Date")</t>
  </si>
  <si>
    <t>=NF($D5687,"37 Due Date")</t>
  </si>
  <si>
    <t>=NF($D5688,"37 Due Date")</t>
  </si>
  <si>
    <t>=NF($D5689,"37 Due Date")</t>
  </si>
  <si>
    <t>=NF($D5690,"37 Due Date")</t>
  </si>
  <si>
    <t>=NF($D5691,"37 Due Date")</t>
  </si>
  <si>
    <t>=NF($D5692,"37 Due Date")</t>
  </si>
  <si>
    <t>=NF($D5693,"37 Due Date")</t>
  </si>
  <si>
    <t>=NF($D5694,"37 Due Date")</t>
  </si>
  <si>
    <t>=NF($D5695,"37 Due Date")</t>
  </si>
  <si>
    <t>=NF($D5696,"37 Due Date")</t>
  </si>
  <si>
    <t>=NF($D5697,"37 Due Date")</t>
  </si>
  <si>
    <t>=NF($D5698,"37 Due Date")</t>
  </si>
  <si>
    <t>=NF($D5699,"37 Due Date")</t>
  </si>
  <si>
    <t>=NF($D5700,"37 Due Date")</t>
  </si>
  <si>
    <t>=NF($D5701,"37 Due Date")</t>
  </si>
  <si>
    <t>=NF($D5702,"37 Due Date")</t>
  </si>
  <si>
    <t>=NF($D5703,"37 Due Date")</t>
  </si>
  <si>
    <t>=NF($D5704,"37 Due Date")</t>
  </si>
  <si>
    <t>=NF($D5705,"37 Due Date")</t>
  </si>
  <si>
    <t>=NF($D5706,"37 Due Date")</t>
  </si>
  <si>
    <t>=NF($D5707,"37 Due Date")</t>
  </si>
  <si>
    <t>=NF($D5708,"37 Due Date")</t>
  </si>
  <si>
    <t>=NF($D5709,"37 Due Date")</t>
  </si>
  <si>
    <t>=NF($D5710,"37 Due Date")</t>
  </si>
  <si>
    <t>=NF($D5711,"37 Due Date")</t>
  </si>
  <si>
    <t>=NF($D5712,"37 Due Date")</t>
  </si>
  <si>
    <t>=NF($D5713,"37 Due Date")</t>
  </si>
  <si>
    <t>=NF($D5714,"37 Due Date")</t>
  </si>
  <si>
    <t>=NF($D5715,"37 Due Date")</t>
  </si>
  <si>
    <t>=NF($D5716,"37 Due Date")</t>
  </si>
  <si>
    <t>=NF($D5717,"37 Due Date")</t>
  </si>
  <si>
    <t>=NF($D5718,"37 Due Date")</t>
  </si>
  <si>
    <t>=NF($D5680,"16 Remaining Amt. (LCY)")</t>
  </si>
  <si>
    <t>=NF($D5681,"16 Remaining Amt. (LCY)")</t>
  </si>
  <si>
    <t>=NF($D5682,"16 Remaining Amt. (LCY)")</t>
  </si>
  <si>
    <t>=NF($D5683,"16 Remaining Amt. (LCY)")</t>
  </si>
  <si>
    <t>=NF($D5684,"16 Remaining Amt. (LCY)")</t>
  </si>
  <si>
    <t>=NF($D5685,"16 Remaining Amt. (LCY)")</t>
  </si>
  <si>
    <t>=NF($D5686,"16 Remaining Amt. (LCY)")</t>
  </si>
  <si>
    <t>=NF($D5687,"16 Remaining Amt. (LCY)")</t>
  </si>
  <si>
    <t>=NF($D5688,"16 Remaining Amt. (LCY)")</t>
  </si>
  <si>
    <t>=NF($D5689,"16 Remaining Amt. (LCY)")</t>
  </si>
  <si>
    <t>=NF($D5690,"16 Remaining Amt. (LCY)")</t>
  </si>
  <si>
    <t>=NF($D5691,"16 Remaining Amt. (LCY)")</t>
  </si>
  <si>
    <t>=NF($D5692,"16 Remaining Amt. (LCY)")</t>
  </si>
  <si>
    <t>=NF($D5693,"16 Remaining Amt. (LCY)")</t>
  </si>
  <si>
    <t>=NF($D5694,"16 Remaining Amt. (LCY)")</t>
  </si>
  <si>
    <t>=NF($D5695,"16 Remaining Amt. (LCY)")</t>
  </si>
  <si>
    <t>=NF($D5696,"16 Remaining Amt. (LCY)")</t>
  </si>
  <si>
    <t>=NF($D5697,"16 Remaining Amt. (LCY)")</t>
  </si>
  <si>
    <t>=NF($D5698,"16 Remaining Amt. (LCY)")</t>
  </si>
  <si>
    <t>=NF($D5699,"16 Remaining Amt. (LCY)")</t>
  </si>
  <si>
    <t>=NF($D5700,"16 Remaining Amt. (LCY)")</t>
  </si>
  <si>
    <t>=NF($D5701,"16 Remaining Amt. (LCY)")</t>
  </si>
  <si>
    <t>=NF($D5702,"16 Remaining Amt. (LCY)")</t>
  </si>
  <si>
    <t>=NF($D5703,"16 Remaining Amt. (LCY)")</t>
  </si>
  <si>
    <t>=NF($D5704,"16 Remaining Amt. (LCY)")</t>
  </si>
  <si>
    <t>=NF($D5705,"16 Remaining Amt. (LCY)")</t>
  </si>
  <si>
    <t>=NF($D5706,"16 Remaining Amt. (LCY)")</t>
  </si>
  <si>
    <t>=NF($D5707,"16 Remaining Amt. (LCY)")</t>
  </si>
  <si>
    <t>=NF($D5708,"16 Remaining Amt. (LCY)")</t>
  </si>
  <si>
    <t>=NF($D5709,"16 Remaining Amt. (LCY)")</t>
  </si>
  <si>
    <t>=NF($D5710,"16 Remaining Amt. (LCY)")</t>
  </si>
  <si>
    <t>=NF($D5711,"16 Remaining Amt. (LCY)")</t>
  </si>
  <si>
    <t>=NF($D5712,"16 Remaining Amt. (LCY)")</t>
  </si>
  <si>
    <t>=NF($D5713,"16 Remaining Amt. (LCY)")</t>
  </si>
  <si>
    <t>=NF($D5714,"16 Remaining Amt. (LCY)")</t>
  </si>
  <si>
    <t>=NF($D5715,"16 Remaining Amt. (LCY)")</t>
  </si>
  <si>
    <t>=NF($D5716,"16 Remaining Amt. (LCY)")</t>
  </si>
  <si>
    <t>=NF($D5717,"16 Remaining Amt. (LCY)")</t>
  </si>
  <si>
    <t>=NF($D5718,"16 Remaining Amt. (LCY)")</t>
  </si>
  <si>
    <t>=NF($D5645,"5 Document Type")</t>
  </si>
  <si>
    <t>=NF($D5646,"5 Document Type")</t>
  </si>
  <si>
    <t>=NF($D5647,"5 Document Type")</t>
  </si>
  <si>
    <t>=NF($D5648,"5 Document Type")</t>
  </si>
  <si>
    <t>=NF($D5649,"5 Document Type")</t>
  </si>
  <si>
    <t>=NF($D5650,"5 Document Type")</t>
  </si>
  <si>
    <t>=NF($D5651,"5 Document Type")</t>
  </si>
  <si>
    <t>=NF($D5652,"5 Document Type")</t>
  </si>
  <si>
    <t>=NF($D5653,"5 Document Type")</t>
  </si>
  <si>
    <t>=NF($D5654,"5 Document Type")</t>
  </si>
  <si>
    <t>=NF($D5655,"5 Document Type")</t>
  </si>
  <si>
    <t>=NF($D5656,"5 Document Type")</t>
  </si>
  <si>
    <t>=NF($D5657,"5 Document Type")</t>
  </si>
  <si>
    <t>=NF($D5658,"5 Document Type")</t>
  </si>
  <si>
    <t>=NF($D5659,"5 Document Type")</t>
  </si>
  <si>
    <t>=NF($D5660,"5 Document Type")</t>
  </si>
  <si>
    <t>=NF($D5661,"5 Document Type")</t>
  </si>
  <si>
    <t>=NF($D5662,"5 Document Type")</t>
  </si>
  <si>
    <t>=NF($D5663,"5 Document Type")</t>
  </si>
  <si>
    <t>=NF($D5664,"5 Document Type")</t>
  </si>
  <si>
    <t>=NF($D5665,"5 Document Type")</t>
  </si>
  <si>
    <t>=NF($D5666,"5 Document Type")</t>
  </si>
  <si>
    <t>=NF($D5667,"5 Document Type")</t>
  </si>
  <si>
    <t>=NF($D5668,"5 Document Type")</t>
  </si>
  <si>
    <t>=NF($D5669,"5 Document Type")</t>
  </si>
  <si>
    <t>=NF($D5670,"5 Document Type")</t>
  </si>
  <si>
    <t>=NF($D5671,"5 Document Type")</t>
  </si>
  <si>
    <t>=NF($D5672,"5 Document Type")</t>
  </si>
  <si>
    <t>=NF($D5673,"5 Document Type")</t>
  </si>
  <si>
    <t>=NF($D5645,"6 Document No.")</t>
  </si>
  <si>
    <t>=NF($D5646,"6 Document No.")</t>
  </si>
  <si>
    <t>=NF($D5647,"6 Document No.")</t>
  </si>
  <si>
    <t>=NF($D5648,"6 Document No.")</t>
  </si>
  <si>
    <t>=NF($D5649,"6 Document No.")</t>
  </si>
  <si>
    <t>=NF($D5650,"6 Document No.")</t>
  </si>
  <si>
    <t>=NF($D5651,"6 Document No.")</t>
  </si>
  <si>
    <t>=NF($D5652,"6 Document No.")</t>
  </si>
  <si>
    <t>=NF($D5653,"6 Document No.")</t>
  </si>
  <si>
    <t>=NF($D5654,"6 Document No.")</t>
  </si>
  <si>
    <t>=NF($D5655,"6 Document No.")</t>
  </si>
  <si>
    <t>=NF($D5656,"6 Document No.")</t>
  </si>
  <si>
    <t>=NF($D5657,"6 Document No.")</t>
  </si>
  <si>
    <t>=NF($D5658,"6 Document No.")</t>
  </si>
  <si>
    <t>=NF($D5659,"6 Document No.")</t>
  </si>
  <si>
    <t>=NF($D5660,"6 Document No.")</t>
  </si>
  <si>
    <t>=NF($D5661,"6 Document No.")</t>
  </si>
  <si>
    <t>=NF($D5662,"6 Document No.")</t>
  </si>
  <si>
    <t>=NF($D5663,"6 Document No.")</t>
  </si>
  <si>
    <t>=NF($D5664,"6 Document No.")</t>
  </si>
  <si>
    <t>=NF($D5665,"6 Document No.")</t>
  </si>
  <si>
    <t>=NF($D5666,"6 Document No.")</t>
  </si>
  <si>
    <t>=NF($D5667,"6 Document No.")</t>
  </si>
  <si>
    <t>=NF($D5668,"6 Document No.")</t>
  </si>
  <si>
    <t>=NF($D5669,"6 Document No.")</t>
  </si>
  <si>
    <t>=NF($D5670,"6 Document No.")</t>
  </si>
  <si>
    <t>=NF($D5671,"6 Document No.")</t>
  </si>
  <si>
    <t>=NF($D5672,"6 Document No.")</t>
  </si>
  <si>
    <t>=NF($D5673,"6 Document No.")</t>
  </si>
  <si>
    <t>=NF($D5645,"37 Due Date")</t>
  </si>
  <si>
    <t>=NF($D5646,"37 Due Date")</t>
  </si>
  <si>
    <t>=NF($D5647,"37 Due Date")</t>
  </si>
  <si>
    <t>=NF($D5648,"37 Due Date")</t>
  </si>
  <si>
    <t>=NF($D5649,"37 Due Date")</t>
  </si>
  <si>
    <t>=NF($D5650,"37 Due Date")</t>
  </si>
  <si>
    <t>=NF($D5651,"37 Due Date")</t>
  </si>
  <si>
    <t>=NF($D5652,"37 Due Date")</t>
  </si>
  <si>
    <t>=NF($D5653,"37 Due Date")</t>
  </si>
  <si>
    <t>=NF($D5654,"37 Due Date")</t>
  </si>
  <si>
    <t>=NF($D5655,"37 Due Date")</t>
  </si>
  <si>
    <t>=NF($D5656,"37 Due Date")</t>
  </si>
  <si>
    <t>=NF($D5657,"37 Due Date")</t>
  </si>
  <si>
    <t>=NF($D5658,"37 Due Date")</t>
  </si>
  <si>
    <t>=NF($D5659,"37 Due Date")</t>
  </si>
  <si>
    <t>=NF($D5660,"37 Due Date")</t>
  </si>
  <si>
    <t>=NF($D5661,"37 Due Date")</t>
  </si>
  <si>
    <t>=NF($D5662,"37 Due Date")</t>
  </si>
  <si>
    <t>=NF($D5663,"37 Due Date")</t>
  </si>
  <si>
    <t>=NF($D5664,"37 Due Date")</t>
  </si>
  <si>
    <t>=NF($D5665,"37 Due Date")</t>
  </si>
  <si>
    <t>=NF($D5666,"37 Due Date")</t>
  </si>
  <si>
    <t>=NF($D5667,"37 Due Date")</t>
  </si>
  <si>
    <t>=NF($D5668,"37 Due Date")</t>
  </si>
  <si>
    <t>=NF($D5669,"37 Due Date")</t>
  </si>
  <si>
    <t>=NF($D5670,"37 Due Date")</t>
  </si>
  <si>
    <t>=NF($D5671,"37 Due Date")</t>
  </si>
  <si>
    <t>=NF($D5672,"37 Due Date")</t>
  </si>
  <si>
    <t>=NF($D5673,"37 Due Date")</t>
  </si>
  <si>
    <t>=NF($D5645,"16 Remaining Amt. (LCY)")</t>
  </si>
  <si>
    <t>=NF($D5646,"16 Remaining Amt. (LCY)")</t>
  </si>
  <si>
    <t>=NF($D5647,"16 Remaining Amt. (LCY)")</t>
  </si>
  <si>
    <t>=NF($D5648,"16 Remaining Amt. (LCY)")</t>
  </si>
  <si>
    <t>=NF($D5649,"16 Remaining Amt. (LCY)")</t>
  </si>
  <si>
    <t>=NF($D5650,"16 Remaining Amt. (LCY)")</t>
  </si>
  <si>
    <t>=NF($D5651,"16 Remaining Amt. (LCY)")</t>
  </si>
  <si>
    <t>=NF($D5652,"16 Remaining Amt. (LCY)")</t>
  </si>
  <si>
    <t>=NF($D5653,"16 Remaining Amt. (LCY)")</t>
  </si>
  <si>
    <t>=NF($D5654,"16 Remaining Amt. (LCY)")</t>
  </si>
  <si>
    <t>=NF($D5655,"16 Remaining Amt. (LCY)")</t>
  </si>
  <si>
    <t>=NF($D5656,"16 Remaining Amt. (LCY)")</t>
  </si>
  <si>
    <t>=NF($D5657,"16 Remaining Amt. (LCY)")</t>
  </si>
  <si>
    <t>=NF($D5658,"16 Remaining Amt. (LCY)")</t>
  </si>
  <si>
    <t>=NF($D5659,"16 Remaining Amt. (LCY)")</t>
  </si>
  <si>
    <t>=NF($D5660,"16 Remaining Amt. (LCY)")</t>
  </si>
  <si>
    <t>=NF($D5661,"16 Remaining Amt. (LCY)")</t>
  </si>
  <si>
    <t>=NF($D5662,"16 Remaining Amt. (LCY)")</t>
  </si>
  <si>
    <t>=NF($D5663,"16 Remaining Amt. (LCY)")</t>
  </si>
  <si>
    <t>=NF($D5664,"16 Remaining Amt. (LCY)")</t>
  </si>
  <si>
    <t>=NF($D5665,"16 Remaining Amt. (LCY)")</t>
  </si>
  <si>
    <t>=NF($D5666,"16 Remaining Amt. (LCY)")</t>
  </si>
  <si>
    <t>=NF($D5667,"16 Remaining Amt. (LCY)")</t>
  </si>
  <si>
    <t>=NF($D5668,"16 Remaining Amt. (LCY)")</t>
  </si>
  <si>
    <t>=NF($D5669,"16 Remaining Amt. (LCY)")</t>
  </si>
  <si>
    <t>=NF($D5670,"16 Remaining Amt. (LCY)")</t>
  </si>
  <si>
    <t>=NF($D5671,"16 Remaining Amt. (LCY)")</t>
  </si>
  <si>
    <t>=NF($D5672,"16 Remaining Amt. (LCY)")</t>
  </si>
  <si>
    <t>=NF($D5673,"16 Remaining Amt. (LCY)")</t>
  </si>
  <si>
    <t>=NF($D5591,"5 Document Type")</t>
  </si>
  <si>
    <t>=NF($D5592,"5 Document Type")</t>
  </si>
  <si>
    <t>=NF($D5593,"5 Document Type")</t>
  </si>
  <si>
    <t>=NF($D5594,"5 Document Type")</t>
  </si>
  <si>
    <t>=NF($D5595,"5 Document Type")</t>
  </si>
  <si>
    <t>=NF($D5596,"5 Document Type")</t>
  </si>
  <si>
    <t>=NF($D5597,"5 Document Type")</t>
  </si>
  <si>
    <t>=NF($D5598,"5 Document Type")</t>
  </si>
  <si>
    <t>=NF($D5599,"5 Document Type")</t>
  </si>
  <si>
    <t>=NF($D5600,"5 Document Type")</t>
  </si>
  <si>
    <t>=NF($D5601,"5 Document Type")</t>
  </si>
  <si>
    <t>=NF($D5602,"5 Document Type")</t>
  </si>
  <si>
    <t>=NF($D5603,"5 Document Type")</t>
  </si>
  <si>
    <t>=NF($D5604,"5 Document Type")</t>
  </si>
  <si>
    <t>=NF($D5605,"5 Document Type")</t>
  </si>
  <si>
    <t>=NF($D5606,"5 Document Type")</t>
  </si>
  <si>
    <t>=NF($D5607,"5 Document Type")</t>
  </si>
  <si>
    <t>=NF($D5608,"5 Document Type")</t>
  </si>
  <si>
    <t>=NF($D5609,"5 Document Type")</t>
  </si>
  <si>
    <t>=NF($D5610,"5 Document Type")</t>
  </si>
  <si>
    <t>=NF($D5611,"5 Document Type")</t>
  </si>
  <si>
    <t>=NF($D5612,"5 Document Type")</t>
  </si>
  <si>
    <t>=NF($D5613,"5 Document Type")</t>
  </si>
  <si>
    <t>=NF($D5614,"5 Document Type")</t>
  </si>
  <si>
    <t>=NF($D5615,"5 Document Type")</t>
  </si>
  <si>
    <t>=NF($D5616,"5 Document Type")</t>
  </si>
  <si>
    <t>=NF($D5617,"5 Document Type")</t>
  </si>
  <si>
    <t>=NF($D5618,"5 Document Type")</t>
  </si>
  <si>
    <t>=NF($D5619,"5 Document Type")</t>
  </si>
  <si>
    <t>=NF($D5620,"5 Document Type")</t>
  </si>
  <si>
    <t>=NF($D5621,"5 Document Type")</t>
  </si>
  <si>
    <t>=NF($D5622,"5 Document Type")</t>
  </si>
  <si>
    <t>=NF($D5623,"5 Document Type")</t>
  </si>
  <si>
    <t>=NF($D5624,"5 Document Type")</t>
  </si>
  <si>
    <t>=NF($D5625,"5 Document Type")</t>
  </si>
  <si>
    <t>=NF($D5626,"5 Document Type")</t>
  </si>
  <si>
    <t>=NF($D5627,"5 Document Type")</t>
  </si>
  <si>
    <t>=NF($D5628,"5 Document Type")</t>
  </si>
  <si>
    <t>=NF($D5629,"5 Document Type")</t>
  </si>
  <si>
    <t>=NF($D5630,"5 Document Type")</t>
  </si>
  <si>
    <t>=NF($D5631,"5 Document Type")</t>
  </si>
  <si>
    <t>=NF($D5632,"5 Document Type")</t>
  </si>
  <si>
    <t>=NF($D5633,"5 Document Type")</t>
  </si>
  <si>
    <t>=NF($D5634,"5 Document Type")</t>
  </si>
  <si>
    <t>=NF($D5635,"5 Document Type")</t>
  </si>
  <si>
    <t>=NF($D5636,"5 Document Type")</t>
  </si>
  <si>
    <t>=NF($D5637,"5 Document Type")</t>
  </si>
  <si>
    <t>=NF($D5638,"5 Document Type")</t>
  </si>
  <si>
    <t>=NF($D5591,"6 Document No.")</t>
  </si>
  <si>
    <t>=NF($D5592,"6 Document No.")</t>
  </si>
  <si>
    <t>=NF($D5593,"6 Document No.")</t>
  </si>
  <si>
    <t>=NF($D5594,"6 Document No.")</t>
  </si>
  <si>
    <t>=NF($D5595,"6 Document No.")</t>
  </si>
  <si>
    <t>=NF($D5596,"6 Document No.")</t>
  </si>
  <si>
    <t>=NF($D5597,"6 Document No.")</t>
  </si>
  <si>
    <t>=NF($D5598,"6 Document No.")</t>
  </si>
  <si>
    <t>=NF($D5599,"6 Document No.")</t>
  </si>
  <si>
    <t>=NF($D5600,"6 Document No.")</t>
  </si>
  <si>
    <t>=NF($D5601,"6 Document No.")</t>
  </si>
  <si>
    <t>=NF($D5602,"6 Document No.")</t>
  </si>
  <si>
    <t>=NF($D5603,"6 Document No.")</t>
  </si>
  <si>
    <t>=NF($D5604,"6 Document No.")</t>
  </si>
  <si>
    <t>=NF($D5605,"6 Document No.")</t>
  </si>
  <si>
    <t>=NF($D5606,"6 Document No.")</t>
  </si>
  <si>
    <t>=NF($D5607,"6 Document No.")</t>
  </si>
  <si>
    <t>=NF($D5608,"6 Document No.")</t>
  </si>
  <si>
    <t>=NF($D5609,"6 Document No.")</t>
  </si>
  <si>
    <t>=NF($D5610,"6 Document No.")</t>
  </si>
  <si>
    <t>=NF($D5611,"6 Document No.")</t>
  </si>
  <si>
    <t>=NF($D5612,"6 Document No.")</t>
  </si>
  <si>
    <t>=NF($D5613,"6 Document No.")</t>
  </si>
  <si>
    <t>=NF($D5614,"6 Document No.")</t>
  </si>
  <si>
    <t>=NF($D5615,"6 Document No.")</t>
  </si>
  <si>
    <t>=NF($D5616,"6 Document No.")</t>
  </si>
  <si>
    <t>=NF($D5617,"6 Document No.")</t>
  </si>
  <si>
    <t>=NF($D5618,"6 Document No.")</t>
  </si>
  <si>
    <t>=NF($D5619,"6 Document No.")</t>
  </si>
  <si>
    <t>=NF($D5620,"6 Document No.")</t>
  </si>
  <si>
    <t>=NF($D5621,"6 Document No.")</t>
  </si>
  <si>
    <t>=NF($D5622,"6 Document No.")</t>
  </si>
  <si>
    <t>=NF($D5623,"6 Document No.")</t>
  </si>
  <si>
    <t>=NF($D5624,"6 Document No.")</t>
  </si>
  <si>
    <t>=NF($D5625,"6 Document No.")</t>
  </si>
  <si>
    <t>=NF($D5626,"6 Document No.")</t>
  </si>
  <si>
    <t>=NF($D5627,"6 Document No.")</t>
  </si>
  <si>
    <t>=NF($D5628,"6 Document No.")</t>
  </si>
  <si>
    <t>=NF($D5629,"6 Document No.")</t>
  </si>
  <si>
    <t>=NF($D5630,"6 Document No.")</t>
  </si>
  <si>
    <t>=NF($D5631,"6 Document No.")</t>
  </si>
  <si>
    <t>=NF($D5632,"6 Document No.")</t>
  </si>
  <si>
    <t>=NF($D5633,"6 Document No.")</t>
  </si>
  <si>
    <t>=NF($D5634,"6 Document No.")</t>
  </si>
  <si>
    <t>=NF($D5635,"6 Document No.")</t>
  </si>
  <si>
    <t>=NF($D5636,"6 Document No.")</t>
  </si>
  <si>
    <t>=NF($D5637,"6 Document No.")</t>
  </si>
  <si>
    <t>=NF($D5638,"6 Document No.")</t>
  </si>
  <si>
    <t>=NF($D5591,"37 Due Date")</t>
  </si>
  <si>
    <t>=NF($D5592,"37 Due Date")</t>
  </si>
  <si>
    <t>=NF($D5593,"37 Due Date")</t>
  </si>
  <si>
    <t>=NF($D5594,"37 Due Date")</t>
  </si>
  <si>
    <t>=NF($D5595,"37 Due Date")</t>
  </si>
  <si>
    <t>=NF($D5596,"37 Due Date")</t>
  </si>
  <si>
    <t>=NF($D5597,"37 Due Date")</t>
  </si>
  <si>
    <t>=NF($D5598,"37 Due Date")</t>
  </si>
  <si>
    <t>=NF($D5599,"37 Due Date")</t>
  </si>
  <si>
    <t>=NF($D5600,"37 Due Date")</t>
  </si>
  <si>
    <t>=NF($D5601,"37 Due Date")</t>
  </si>
  <si>
    <t>=NF($D5602,"37 Due Date")</t>
  </si>
  <si>
    <t>=NF($D5603,"37 Due Date")</t>
  </si>
  <si>
    <t>=NF($D5604,"37 Due Date")</t>
  </si>
  <si>
    <t>=NF($D5605,"37 Due Date")</t>
  </si>
  <si>
    <t>=NF($D5606,"37 Due Date")</t>
  </si>
  <si>
    <t>=NF($D5607,"37 Due Date")</t>
  </si>
  <si>
    <t>=NF($D5608,"37 Due Date")</t>
  </si>
  <si>
    <t>=NF($D5609,"37 Due Date")</t>
  </si>
  <si>
    <t>=NF($D5610,"37 Due Date")</t>
  </si>
  <si>
    <t>=NF($D5611,"37 Due Date")</t>
  </si>
  <si>
    <t>=NF($D5612,"37 Due Date")</t>
  </si>
  <si>
    <t>=NF($D5613,"37 Due Date")</t>
  </si>
  <si>
    <t>=NF($D5614,"37 Due Date")</t>
  </si>
  <si>
    <t>=NF($D5615,"37 Due Date")</t>
  </si>
  <si>
    <t>=NF($D5616,"37 Due Date")</t>
  </si>
  <si>
    <t>=NF($D5617,"37 Due Date")</t>
  </si>
  <si>
    <t>=NF($D5618,"37 Due Date")</t>
  </si>
  <si>
    <t>=NF($D5619,"37 Due Date")</t>
  </si>
  <si>
    <t>=NF($D5620,"37 Due Date")</t>
  </si>
  <si>
    <t>=NF($D5621,"37 Due Date")</t>
  </si>
  <si>
    <t>=NF($D5622,"37 Due Date")</t>
  </si>
  <si>
    <t>=NF($D5623,"37 Due Date")</t>
  </si>
  <si>
    <t>=NF($D5624,"37 Due Date")</t>
  </si>
  <si>
    <t>=NF($D5625,"37 Due Date")</t>
  </si>
  <si>
    <t>=NF($D5626,"37 Due Date")</t>
  </si>
  <si>
    <t>=NF($D5627,"37 Due Date")</t>
  </si>
  <si>
    <t>=NF($D5628,"37 Due Date")</t>
  </si>
  <si>
    <t>=NF($D5629,"37 Due Date")</t>
  </si>
  <si>
    <t>=NF($D5630,"37 Due Date")</t>
  </si>
  <si>
    <t>=NF($D5631,"37 Due Date")</t>
  </si>
  <si>
    <t>=NF($D5632,"37 Due Date")</t>
  </si>
  <si>
    <t>=NF($D5633,"37 Due Date")</t>
  </si>
  <si>
    <t>=NF($D5634,"37 Due Date")</t>
  </si>
  <si>
    <t>=NF($D5635,"37 Due Date")</t>
  </si>
  <si>
    <t>=NF($D5636,"37 Due Date")</t>
  </si>
  <si>
    <t>=NF($D5637,"37 Due Date")</t>
  </si>
  <si>
    <t>=NF($D5638,"37 Due Date")</t>
  </si>
  <si>
    <t>=NF($D5591,"16 Remaining Amt. (LCY)")</t>
  </si>
  <si>
    <t>=NF($D5592,"16 Remaining Amt. (LCY)")</t>
  </si>
  <si>
    <t>=NF($D5593,"16 Remaining Amt. (LCY)")</t>
  </si>
  <si>
    <t>=NF($D5594,"16 Remaining Amt. (LCY)")</t>
  </si>
  <si>
    <t>=NF($D5595,"16 Remaining Amt. (LCY)")</t>
  </si>
  <si>
    <t>=NF($D5596,"16 Remaining Amt. (LCY)")</t>
  </si>
  <si>
    <t>=NF($D5597,"16 Remaining Amt. (LCY)")</t>
  </si>
  <si>
    <t>=NF($D5598,"16 Remaining Amt. (LCY)")</t>
  </si>
  <si>
    <t>=NF($D5599,"16 Remaining Amt. (LCY)")</t>
  </si>
  <si>
    <t>=NF($D5600,"16 Remaining Amt. (LCY)")</t>
  </si>
  <si>
    <t>=NF($D5601,"16 Remaining Amt. (LCY)")</t>
  </si>
  <si>
    <t>=NF($D5602,"16 Remaining Amt. (LCY)")</t>
  </si>
  <si>
    <t>=NF($D5603,"16 Remaining Amt. (LCY)")</t>
  </si>
  <si>
    <t>=NF($D5604,"16 Remaining Amt. (LCY)")</t>
  </si>
  <si>
    <t>=NF($D5605,"16 Remaining Amt. (LCY)")</t>
  </si>
  <si>
    <t>=NF($D5606,"16 Remaining Amt. (LCY)")</t>
  </si>
  <si>
    <t>=NF($D5607,"16 Remaining Amt. (LCY)")</t>
  </si>
  <si>
    <t>=NF($D5608,"16 Remaining Amt. (LCY)")</t>
  </si>
  <si>
    <t>=NF($D5609,"16 Remaining Amt. (LCY)")</t>
  </si>
  <si>
    <t>=NF($D5610,"16 Remaining Amt. (LCY)")</t>
  </si>
  <si>
    <t>=NF($D5611,"16 Remaining Amt. (LCY)")</t>
  </si>
  <si>
    <t>=NF($D5612,"16 Remaining Amt. (LCY)")</t>
  </si>
  <si>
    <t>=NF($D5613,"16 Remaining Amt. (LCY)")</t>
  </si>
  <si>
    <t>=NF($D5614,"16 Remaining Amt. (LCY)")</t>
  </si>
  <si>
    <t>=NF($D5615,"16 Remaining Amt. (LCY)")</t>
  </si>
  <si>
    <t>=NF($D5616,"16 Remaining Amt. (LCY)")</t>
  </si>
  <si>
    <t>=NF($D5617,"16 Remaining Amt. (LCY)")</t>
  </si>
  <si>
    <t>=NF($D5618,"16 Remaining Amt. (LCY)")</t>
  </si>
  <si>
    <t>=NF($D5619,"16 Remaining Amt. (LCY)")</t>
  </si>
  <si>
    <t>=NF($D5620,"16 Remaining Amt. (LCY)")</t>
  </si>
  <si>
    <t>=NF($D5621,"16 Remaining Amt. (LCY)")</t>
  </si>
  <si>
    <t>=NF($D5622,"16 Remaining Amt. (LCY)")</t>
  </si>
  <si>
    <t>=NF($D5623,"16 Remaining Amt. (LCY)")</t>
  </si>
  <si>
    <t>=NF($D5624,"16 Remaining Amt. (LCY)")</t>
  </si>
  <si>
    <t>=NF($D5625,"16 Remaining Amt. (LCY)")</t>
  </si>
  <si>
    <t>=NF($D5626,"16 Remaining Amt. (LCY)")</t>
  </si>
  <si>
    <t>=NF($D5627,"16 Remaining Amt. (LCY)")</t>
  </si>
  <si>
    <t>=NF($D5628,"16 Remaining Amt. (LCY)")</t>
  </si>
  <si>
    <t>=NF($D5629,"16 Remaining Amt. (LCY)")</t>
  </si>
  <si>
    <t>=NF($D5630,"16 Remaining Amt. (LCY)")</t>
  </si>
  <si>
    <t>=NF($D5631,"16 Remaining Amt. (LCY)")</t>
  </si>
  <si>
    <t>=NF($D5632,"16 Remaining Amt. (LCY)")</t>
  </si>
  <si>
    <t>=NF($D5633,"16 Remaining Amt. (LCY)")</t>
  </si>
  <si>
    <t>=NF($D5634,"16 Remaining Amt. (LCY)")</t>
  </si>
  <si>
    <t>=NF($D5635,"16 Remaining Amt. (LCY)")</t>
  </si>
  <si>
    <t>=NF($D5636,"16 Remaining Amt. (LCY)")</t>
  </si>
  <si>
    <t>=NF($D5637,"16 Remaining Amt. (LCY)")</t>
  </si>
  <si>
    <t>=NF($D5638,"16 Remaining Amt. (LCY)")</t>
  </si>
  <si>
    <t>=NF($D5487,"5 Document Type")</t>
  </si>
  <si>
    <t>=NF($D5488,"5 Document Type")</t>
  </si>
  <si>
    <t>=NF($D5489,"5 Document Type")</t>
  </si>
  <si>
    <t>=NF($D5490,"5 Document Type")</t>
  </si>
  <si>
    <t>=NF($D5491,"5 Document Type")</t>
  </si>
  <si>
    <t>=NF($D5492,"5 Document Type")</t>
  </si>
  <si>
    <t>=NF($D5493,"5 Document Type")</t>
  </si>
  <si>
    <t>=NF($D5494,"5 Document Type")</t>
  </si>
  <si>
    <t>=NF($D5495,"5 Document Type")</t>
  </si>
  <si>
    <t>=NF($D5496,"5 Document Type")</t>
  </si>
  <si>
    <t>=NF($D5497,"5 Document Type")</t>
  </si>
  <si>
    <t>=NF($D5498,"5 Document Type")</t>
  </si>
  <si>
    <t>=NF($D5499,"5 Document Type")</t>
  </si>
  <si>
    <t>=NF($D5500,"5 Document Type")</t>
  </si>
  <si>
    <t>=NF($D5501,"5 Document Type")</t>
  </si>
  <si>
    <t>=NF($D5502,"5 Document Type")</t>
  </si>
  <si>
    <t>=NF($D5503,"5 Document Type")</t>
  </si>
  <si>
    <t>=NF($D5504,"5 Document Type")</t>
  </si>
  <si>
    <t>=NF($D5505,"5 Document Type")</t>
  </si>
  <si>
    <t>=NF($D5506,"5 Document Type")</t>
  </si>
  <si>
    <t>=NF($D5507,"5 Document Type")</t>
  </si>
  <si>
    <t>=NF($D5508,"5 Document Type")</t>
  </si>
  <si>
    <t>=NF($D5509,"5 Document Type")</t>
  </si>
  <si>
    <t>=NF($D5510,"5 Document Type")</t>
  </si>
  <si>
    <t>=NF($D5511,"5 Document Type")</t>
  </si>
  <si>
    <t>=NF($D5512,"5 Document Type")</t>
  </si>
  <si>
    <t>=NF($D5513,"5 Document Type")</t>
  </si>
  <si>
    <t>=NF($D5514,"5 Document Type")</t>
  </si>
  <si>
    <t>=NF($D5515,"5 Document Type")</t>
  </si>
  <si>
    <t>=NF($D5516,"5 Document Type")</t>
  </si>
  <si>
    <t>=NF($D5517,"5 Document Type")</t>
  </si>
  <si>
    <t>=NF($D5518,"5 Document Type")</t>
  </si>
  <si>
    <t>=NF($D5519,"5 Document Type")</t>
  </si>
  <si>
    <t>=NF($D5520,"5 Document Type")</t>
  </si>
  <si>
    <t>=NF($D5521,"5 Document Type")</t>
  </si>
  <si>
    <t>=NF($D5522,"5 Document Type")</t>
  </si>
  <si>
    <t>=NF($D5523,"5 Document Type")</t>
  </si>
  <si>
    <t>=NF($D5524,"5 Document Type")</t>
  </si>
  <si>
    <t>=NF($D5525,"5 Document Type")</t>
  </si>
  <si>
    <t>=NF($D5526,"5 Document Type")</t>
  </si>
  <si>
    <t>=NF($D5527,"5 Document Type")</t>
  </si>
  <si>
    <t>=NF($D5528,"5 Document Type")</t>
  </si>
  <si>
    <t>=NF($D5529,"5 Document Type")</t>
  </si>
  <si>
    <t>=NF($D5530,"5 Document Type")</t>
  </si>
  <si>
    <t>=NF($D5531,"5 Document Type")</t>
  </si>
  <si>
    <t>=NF($D5532,"5 Document Type")</t>
  </si>
  <si>
    <t>=NF($D5533,"5 Document Type")</t>
  </si>
  <si>
    <t>=NF($D5534,"5 Document Type")</t>
  </si>
  <si>
    <t>=NF($D5535,"5 Document Type")</t>
  </si>
  <si>
    <t>=NF($D5536,"5 Document Type")</t>
  </si>
  <si>
    <t>=NF($D5537,"5 Document Type")</t>
  </si>
  <si>
    <t>=NF($D5538,"5 Document Type")</t>
  </si>
  <si>
    <t>=NF($D5539,"5 Document Type")</t>
  </si>
  <si>
    <t>=NF($D5540,"5 Document Type")</t>
  </si>
  <si>
    <t>=NF($D5541,"5 Document Type")</t>
  </si>
  <si>
    <t>=NF($D5542,"5 Document Type")</t>
  </si>
  <si>
    <t>=NF($D5543,"5 Document Type")</t>
  </si>
  <si>
    <t>=NF($D5544,"5 Document Type")</t>
  </si>
  <si>
    <t>=NF($D5545,"5 Document Type")</t>
  </si>
  <si>
    <t>=NF($D5546,"5 Document Type")</t>
  </si>
  <si>
    <t>=NF($D5547,"5 Document Type")</t>
  </si>
  <si>
    <t>=NF($D5548,"5 Document Type")</t>
  </si>
  <si>
    <t>=NF($D5549,"5 Document Type")</t>
  </si>
  <si>
    <t>=NF($D5550,"5 Document Type")</t>
  </si>
  <si>
    <t>=NF($D5551,"5 Document Type")</t>
  </si>
  <si>
    <t>=NF($D5552,"5 Document Type")</t>
  </si>
  <si>
    <t>=NF($D5553,"5 Document Type")</t>
  </si>
  <si>
    <t>=NF($D5554,"5 Document Type")</t>
  </si>
  <si>
    <t>=NF($D5555,"5 Document Type")</t>
  </si>
  <si>
    <t>=NF($D5556,"5 Document Type")</t>
  </si>
  <si>
    <t>=NF($D5557,"5 Document Type")</t>
  </si>
  <si>
    <t>=NF($D5558,"5 Document Type")</t>
  </si>
  <si>
    <t>=NF($D5559,"5 Document Type")</t>
  </si>
  <si>
    <t>=NF($D5560,"5 Document Type")</t>
  </si>
  <si>
    <t>=NF($D5561,"5 Document Type")</t>
  </si>
  <si>
    <t>=NF($D5562,"5 Document Type")</t>
  </si>
  <si>
    <t>=NF($D5563,"5 Document Type")</t>
  </si>
  <si>
    <t>=NF($D5564,"5 Document Type")</t>
  </si>
  <si>
    <t>=NF($D5565,"5 Document Type")</t>
  </si>
  <si>
    <t>=NF($D5566,"5 Document Type")</t>
  </si>
  <si>
    <t>=NF($D5567,"5 Document Type")</t>
  </si>
  <si>
    <t>=NF($D5568,"5 Document Type")</t>
  </si>
  <si>
    <t>=NF($D5569,"5 Document Type")</t>
  </si>
  <si>
    <t>=NF($D5570,"5 Document Type")</t>
  </si>
  <si>
    <t>=NF($D5571,"5 Document Type")</t>
  </si>
  <si>
    <t>=NF($D5572,"5 Document Type")</t>
  </si>
  <si>
    <t>=NF($D5573,"5 Document Type")</t>
  </si>
  <si>
    <t>=NF($D5574,"5 Document Type")</t>
  </si>
  <si>
    <t>=NF($D5575,"5 Document Type")</t>
  </si>
  <si>
    <t>=NF($D5576,"5 Document Type")</t>
  </si>
  <si>
    <t>=NF($D5577,"5 Document Type")</t>
  </si>
  <si>
    <t>=NF($D5578,"5 Document Type")</t>
  </si>
  <si>
    <t>=NF($D5579,"5 Document Type")</t>
  </si>
  <si>
    <t>=NF($D5580,"5 Document Type")</t>
  </si>
  <si>
    <t>=NF($D5581,"5 Document Type")</t>
  </si>
  <si>
    <t>=NF($D5582,"5 Document Type")</t>
  </si>
  <si>
    <t>=NF($D5583,"5 Document Type")</t>
  </si>
  <si>
    <t>=NF($D5584,"5 Document Type")</t>
  </si>
  <si>
    <t>=NF($D5487,"6 Document No.")</t>
  </si>
  <si>
    <t>=NF($D5488,"6 Document No.")</t>
  </si>
  <si>
    <t>=NF($D5489,"6 Document No.")</t>
  </si>
  <si>
    <t>=NF($D5490,"6 Document No.")</t>
  </si>
  <si>
    <t>=NF($D5491,"6 Document No.")</t>
  </si>
  <si>
    <t>=NF($D5492,"6 Document No.")</t>
  </si>
  <si>
    <t>=NF($D5493,"6 Document No.")</t>
  </si>
  <si>
    <t>=NF($D5494,"6 Document No.")</t>
  </si>
  <si>
    <t>=NF($D5495,"6 Document No.")</t>
  </si>
  <si>
    <t>=NF($D5496,"6 Document No.")</t>
  </si>
  <si>
    <t>=NF($D5497,"6 Document No.")</t>
  </si>
  <si>
    <t>=NF($D5498,"6 Document No.")</t>
  </si>
  <si>
    <t>=NF($D5499,"6 Document No.")</t>
  </si>
  <si>
    <t>=NF($D5500,"6 Document No.")</t>
  </si>
  <si>
    <t>=NF($D5501,"6 Document No.")</t>
  </si>
  <si>
    <t>=NF($D5502,"6 Document No.")</t>
  </si>
  <si>
    <t>=NF($D5503,"6 Document No.")</t>
  </si>
  <si>
    <t>=NF($D5504,"6 Document No.")</t>
  </si>
  <si>
    <t>=NF($D5505,"6 Document No.")</t>
  </si>
  <si>
    <t>=NF($D5506,"6 Document No.")</t>
  </si>
  <si>
    <t>=NF($D5507,"6 Document No.")</t>
  </si>
  <si>
    <t>=NF($D5508,"6 Document No.")</t>
  </si>
  <si>
    <t>=NF($D5509,"6 Document No.")</t>
  </si>
  <si>
    <t>=NF($D5510,"6 Document No.")</t>
  </si>
  <si>
    <t>=NF($D5511,"6 Document No.")</t>
  </si>
  <si>
    <t>=NF($D5512,"6 Document No.")</t>
  </si>
  <si>
    <t>=NF($D5513,"6 Document No.")</t>
  </si>
  <si>
    <t>=NF($D5514,"6 Document No.")</t>
  </si>
  <si>
    <t>=NF($D5515,"6 Document No.")</t>
  </si>
  <si>
    <t>=NF($D5516,"6 Document No.")</t>
  </si>
  <si>
    <t>=NF($D5517,"6 Document No.")</t>
  </si>
  <si>
    <t>=NF($D5518,"6 Document No.")</t>
  </si>
  <si>
    <t>=NF($D5519,"6 Document No.")</t>
  </si>
  <si>
    <t>=NF($D5520,"6 Document No.")</t>
  </si>
  <si>
    <t>=NF($D5521,"6 Document No.")</t>
  </si>
  <si>
    <t>=NF($D5522,"6 Document No.")</t>
  </si>
  <si>
    <t>=NF($D5523,"6 Document No.")</t>
  </si>
  <si>
    <t>=NF($D5524,"6 Document No.")</t>
  </si>
  <si>
    <t>=NF($D5525,"6 Document No.")</t>
  </si>
  <si>
    <t>=NF($D5526,"6 Document No.")</t>
  </si>
  <si>
    <t>=NF($D5527,"6 Document No.")</t>
  </si>
  <si>
    <t>=NF($D5528,"6 Document No.")</t>
  </si>
  <si>
    <t>=NF($D5529,"6 Document No.")</t>
  </si>
  <si>
    <t>=NF($D5530,"6 Document No.")</t>
  </si>
  <si>
    <t>=NF($D5531,"6 Document No.")</t>
  </si>
  <si>
    <t>=NF($D5532,"6 Document No.")</t>
  </si>
  <si>
    <t>=NF($D5533,"6 Document No.")</t>
  </si>
  <si>
    <t>=NF($D5534,"6 Document No.")</t>
  </si>
  <si>
    <t>=NF($D5535,"6 Document No.")</t>
  </si>
  <si>
    <t>=NF($D5536,"6 Document No.")</t>
  </si>
  <si>
    <t>=NF($D5537,"6 Document No.")</t>
  </si>
  <si>
    <t>=NF($D5538,"6 Document No.")</t>
  </si>
  <si>
    <t>=NF($D5539,"6 Document No.")</t>
  </si>
  <si>
    <t>=NF($D5540,"6 Document No.")</t>
  </si>
  <si>
    <t>=NF($D5541,"6 Document No.")</t>
  </si>
  <si>
    <t>=NF($D5542,"6 Document No.")</t>
  </si>
  <si>
    <t>=NF($D5543,"6 Document No.")</t>
  </si>
  <si>
    <t>=NF($D5544,"6 Document No.")</t>
  </si>
  <si>
    <t>=NF($D5545,"6 Document No.")</t>
  </si>
  <si>
    <t>=NF($D5546,"6 Document No.")</t>
  </si>
  <si>
    <t>=NF($D5547,"6 Document No.")</t>
  </si>
  <si>
    <t>=NF($D5548,"6 Document No.")</t>
  </si>
  <si>
    <t>=NF($D5549,"6 Document No.")</t>
  </si>
  <si>
    <t>=NF($D5550,"6 Document No.")</t>
  </si>
  <si>
    <t>=NF($D5551,"6 Document No.")</t>
  </si>
  <si>
    <t>=NF($D5552,"6 Document No.")</t>
  </si>
  <si>
    <t>=NF($D5553,"6 Document No.")</t>
  </si>
  <si>
    <t>=NF($D5554,"6 Document No.")</t>
  </si>
  <si>
    <t>=NF($D5555,"6 Document No.")</t>
  </si>
  <si>
    <t>=NF($D5556,"6 Document No.")</t>
  </si>
  <si>
    <t>=NF($D5557,"6 Document No.")</t>
  </si>
  <si>
    <t>=NF($D5558,"6 Document No.")</t>
  </si>
  <si>
    <t>=NF($D5559,"6 Document No.")</t>
  </si>
  <si>
    <t>=NF($D5560,"6 Document No.")</t>
  </si>
  <si>
    <t>=NF($D5561,"6 Document No.")</t>
  </si>
  <si>
    <t>=NF($D5562,"6 Document No.")</t>
  </si>
  <si>
    <t>=NF($D5563,"6 Document No.")</t>
  </si>
  <si>
    <t>=NF($D5564,"6 Document No.")</t>
  </si>
  <si>
    <t>=NF($D5565,"6 Document No.")</t>
  </si>
  <si>
    <t>=NF($D5566,"6 Document No.")</t>
  </si>
  <si>
    <t>=NF($D5567,"6 Document No.")</t>
  </si>
  <si>
    <t>=NF($D5568,"6 Document No.")</t>
  </si>
  <si>
    <t>=NF($D5569,"6 Document No.")</t>
  </si>
  <si>
    <t>=NF($D5570,"6 Document No.")</t>
  </si>
  <si>
    <t>=NF($D5571,"6 Document No.")</t>
  </si>
  <si>
    <t>=NF($D5572,"6 Document No.")</t>
  </si>
  <si>
    <t>=NF($D5573,"6 Document No.")</t>
  </si>
  <si>
    <t>=NF($D5574,"6 Document No.")</t>
  </si>
  <si>
    <t>=NF($D5575,"6 Document No.")</t>
  </si>
  <si>
    <t>=NF($D5576,"6 Document No.")</t>
  </si>
  <si>
    <t>=NF($D5577,"6 Document No.")</t>
  </si>
  <si>
    <t>=NF($D5578,"6 Document No.")</t>
  </si>
  <si>
    <t>=NF($D5579,"6 Document No.")</t>
  </si>
  <si>
    <t>=NF($D5580,"6 Document No.")</t>
  </si>
  <si>
    <t>=NF($D5581,"6 Document No.")</t>
  </si>
  <si>
    <t>=NF($D5582,"6 Document No.")</t>
  </si>
  <si>
    <t>=NF($D5583,"6 Document No.")</t>
  </si>
  <si>
    <t>=NF($D5584,"6 Document No.")</t>
  </si>
  <si>
    <t>=NF($D5487,"37 Due Date")</t>
  </si>
  <si>
    <t>=NF($D5488,"37 Due Date")</t>
  </si>
  <si>
    <t>=NF($D5489,"37 Due Date")</t>
  </si>
  <si>
    <t>=NF($D5490,"37 Due Date")</t>
  </si>
  <si>
    <t>=NF($D5491,"37 Due Date")</t>
  </si>
  <si>
    <t>=NF($D5492,"37 Due Date")</t>
  </si>
  <si>
    <t>=NF($D5493,"37 Due Date")</t>
  </si>
  <si>
    <t>=NF($D5494,"37 Due Date")</t>
  </si>
  <si>
    <t>=NF($D5495,"37 Due Date")</t>
  </si>
  <si>
    <t>=NF($D5496,"37 Due Date")</t>
  </si>
  <si>
    <t>=NF($D5497,"37 Due Date")</t>
  </si>
  <si>
    <t>=NF($D5498,"37 Due Date")</t>
  </si>
  <si>
    <t>=NF($D5499,"37 Due Date")</t>
  </si>
  <si>
    <t>=NF($D5500,"37 Due Date")</t>
  </si>
  <si>
    <t>=NF($D5501,"37 Due Date")</t>
  </si>
  <si>
    <t>=NF($D5502,"37 Due Date")</t>
  </si>
  <si>
    <t>=NF($D5503,"37 Due Date")</t>
  </si>
  <si>
    <t>=NF($D5504,"37 Due Date")</t>
  </si>
  <si>
    <t>=NF($D5505,"37 Due Date")</t>
  </si>
  <si>
    <t>=NF($D5506,"37 Due Date")</t>
  </si>
  <si>
    <t>=NF($D5507,"37 Due Date")</t>
  </si>
  <si>
    <t>=NF($D5508,"37 Due Date")</t>
  </si>
  <si>
    <t>=NF($D5509,"37 Due Date")</t>
  </si>
  <si>
    <t>=NF($D5510,"37 Due Date")</t>
  </si>
  <si>
    <t>=NF($D5511,"37 Due Date")</t>
  </si>
  <si>
    <t>=NF($D5512,"37 Due Date")</t>
  </si>
  <si>
    <t>=NF($D5513,"37 Due Date")</t>
  </si>
  <si>
    <t>=NF($D5514,"37 Due Date")</t>
  </si>
  <si>
    <t>=NF($D5515,"37 Due Date")</t>
  </si>
  <si>
    <t>=NF($D5516,"37 Due Date")</t>
  </si>
  <si>
    <t>=NF($D5517,"37 Due Date")</t>
  </si>
  <si>
    <t>=NF($D5518,"37 Due Date")</t>
  </si>
  <si>
    <t>=NF($D5519,"37 Due Date")</t>
  </si>
  <si>
    <t>=NF($D5520,"37 Due Date")</t>
  </si>
  <si>
    <t>=NF($D5521,"37 Due Date")</t>
  </si>
  <si>
    <t>=NF($D5522,"37 Due Date")</t>
  </si>
  <si>
    <t>=NF($D5523,"37 Due Date")</t>
  </si>
  <si>
    <t>=NF($D5524,"37 Due Date")</t>
  </si>
  <si>
    <t>=NF($D5525,"37 Due Date")</t>
  </si>
  <si>
    <t>=NF($D5526,"37 Due Date")</t>
  </si>
  <si>
    <t>=NF($D5527,"37 Due Date")</t>
  </si>
  <si>
    <t>=NF($D5528,"37 Due Date")</t>
  </si>
  <si>
    <t>=NF($D5529,"37 Due Date")</t>
  </si>
  <si>
    <t>=NF($D5530,"37 Due Date")</t>
  </si>
  <si>
    <t>=NF($D5531,"37 Due Date")</t>
  </si>
  <si>
    <t>=NF($D5532,"37 Due Date")</t>
  </si>
  <si>
    <t>=NF($D5533,"37 Due Date")</t>
  </si>
  <si>
    <t>=NF($D5534,"37 Due Date")</t>
  </si>
  <si>
    <t>=NF($D5535,"37 Due Date")</t>
  </si>
  <si>
    <t>=NF($D5536,"37 Due Date")</t>
  </si>
  <si>
    <t>=NF($D5537,"37 Due Date")</t>
  </si>
  <si>
    <t>=NF($D5538,"37 Due Date")</t>
  </si>
  <si>
    <t>=NF($D5539,"37 Due Date")</t>
  </si>
  <si>
    <t>=NF($D5540,"37 Due Date")</t>
  </si>
  <si>
    <t>=NF($D5541,"37 Due Date")</t>
  </si>
  <si>
    <t>=NF($D5542,"37 Due Date")</t>
  </si>
  <si>
    <t>=NF($D5543,"37 Due Date")</t>
  </si>
  <si>
    <t>=NF($D5544,"37 Due Date")</t>
  </si>
  <si>
    <t>=NF($D5545,"37 Due Date")</t>
  </si>
  <si>
    <t>=NF($D5546,"37 Due Date")</t>
  </si>
  <si>
    <t>=NF($D5547,"37 Due Date")</t>
  </si>
  <si>
    <t>=NF($D5548,"37 Due Date")</t>
  </si>
  <si>
    <t>=NF($D5549,"37 Due Date")</t>
  </si>
  <si>
    <t>=NF($D5550,"37 Due Date")</t>
  </si>
  <si>
    <t>=NF($D5551,"37 Due Date")</t>
  </si>
  <si>
    <t>=NF($D5552,"37 Due Date")</t>
  </si>
  <si>
    <t>=NF($D5553,"37 Due Date")</t>
  </si>
  <si>
    <t>=NF($D5554,"37 Due Date")</t>
  </si>
  <si>
    <t>=NF($D5555,"37 Due Date")</t>
  </si>
  <si>
    <t>=NF($D5556,"37 Due Date")</t>
  </si>
  <si>
    <t>=NF($D5557,"37 Due Date")</t>
  </si>
  <si>
    <t>=NF($D5558,"37 Due Date")</t>
  </si>
  <si>
    <t>=NF($D5559,"37 Due Date")</t>
  </si>
  <si>
    <t>=NF($D5560,"37 Due Date")</t>
  </si>
  <si>
    <t>=NF($D5561,"37 Due Date")</t>
  </si>
  <si>
    <t>=NF($D5562,"37 Due Date")</t>
  </si>
  <si>
    <t>=NF($D5563,"37 Due Date")</t>
  </si>
  <si>
    <t>=NF($D5564,"37 Due Date")</t>
  </si>
  <si>
    <t>=NF($D5565,"37 Due Date")</t>
  </si>
  <si>
    <t>=NF($D5566,"37 Due Date")</t>
  </si>
  <si>
    <t>=NF($D5567,"37 Due Date")</t>
  </si>
  <si>
    <t>=NF($D5568,"37 Due Date")</t>
  </si>
  <si>
    <t>=NF($D5569,"37 Due Date")</t>
  </si>
  <si>
    <t>=NF($D5570,"37 Due Date")</t>
  </si>
  <si>
    <t>=NF($D5571,"37 Due Date")</t>
  </si>
  <si>
    <t>=NF($D5572,"37 Due Date")</t>
  </si>
  <si>
    <t>=NF($D5573,"37 Due Date")</t>
  </si>
  <si>
    <t>=NF($D5574,"37 Due Date")</t>
  </si>
  <si>
    <t>=NF($D5575,"37 Due Date")</t>
  </si>
  <si>
    <t>=NF($D5576,"37 Due Date")</t>
  </si>
  <si>
    <t>=NF($D5577,"37 Due Date")</t>
  </si>
  <si>
    <t>=NF($D5578,"37 Due Date")</t>
  </si>
  <si>
    <t>=NF($D5579,"37 Due Date")</t>
  </si>
  <si>
    <t>=NF($D5580,"37 Due Date")</t>
  </si>
  <si>
    <t>=NF($D5581,"37 Due Date")</t>
  </si>
  <si>
    <t>=NF($D5582,"37 Due Date")</t>
  </si>
  <si>
    <t>=NF($D5583,"37 Due Date")</t>
  </si>
  <si>
    <t>=NF($D5584,"37 Due Date")</t>
  </si>
  <si>
    <t>=NF($D5487,"16 Remaining Amt. (LCY)")</t>
  </si>
  <si>
    <t>=NF($D5488,"16 Remaining Amt. (LCY)")</t>
  </si>
  <si>
    <t>=NF($D5489,"16 Remaining Amt. (LCY)")</t>
  </si>
  <si>
    <t>=NF($D5490,"16 Remaining Amt. (LCY)")</t>
  </si>
  <si>
    <t>=NF($D5491,"16 Remaining Amt. (LCY)")</t>
  </si>
  <si>
    <t>=NF($D5492,"16 Remaining Amt. (LCY)")</t>
  </si>
  <si>
    <t>=NF($D5493,"16 Remaining Amt. (LCY)")</t>
  </si>
  <si>
    <t>=NF($D5494,"16 Remaining Amt. (LCY)")</t>
  </si>
  <si>
    <t>=NF($D5495,"16 Remaining Amt. (LCY)")</t>
  </si>
  <si>
    <t>=NF($D5496,"16 Remaining Amt. (LCY)")</t>
  </si>
  <si>
    <t>=NF($D5497,"16 Remaining Amt. (LCY)")</t>
  </si>
  <si>
    <t>=NF($D5498,"16 Remaining Amt. (LCY)")</t>
  </si>
  <si>
    <t>=NF($D5499,"16 Remaining Amt. (LCY)")</t>
  </si>
  <si>
    <t>=NF($D5500,"16 Remaining Amt. (LCY)")</t>
  </si>
  <si>
    <t>=NF($D5501,"16 Remaining Amt. (LCY)")</t>
  </si>
  <si>
    <t>=NF($D5502,"16 Remaining Amt. (LCY)")</t>
  </si>
  <si>
    <t>=NF($D5503,"16 Remaining Amt. (LCY)")</t>
  </si>
  <si>
    <t>=NF($D5504,"16 Remaining Amt. (LCY)")</t>
  </si>
  <si>
    <t>=NF($D5505,"16 Remaining Amt. (LCY)")</t>
  </si>
  <si>
    <t>=NF($D5506,"16 Remaining Amt. (LCY)")</t>
  </si>
  <si>
    <t>=NF($D5507,"16 Remaining Amt. (LCY)")</t>
  </si>
  <si>
    <t>=NF($D5508,"16 Remaining Amt. (LCY)")</t>
  </si>
  <si>
    <t>=NF($D5509,"16 Remaining Amt. (LCY)")</t>
  </si>
  <si>
    <t>=NF($D5510,"16 Remaining Amt. (LCY)")</t>
  </si>
  <si>
    <t>=NF($D5511,"16 Remaining Amt. (LCY)")</t>
  </si>
  <si>
    <t>=NF($D5512,"16 Remaining Amt. (LCY)")</t>
  </si>
  <si>
    <t>=NF($D5513,"16 Remaining Amt. (LCY)")</t>
  </si>
  <si>
    <t>=NF($D5514,"16 Remaining Amt. (LCY)")</t>
  </si>
  <si>
    <t>=NF($D5515,"16 Remaining Amt. (LCY)")</t>
  </si>
  <si>
    <t>=NF($D5516,"16 Remaining Amt. (LCY)")</t>
  </si>
  <si>
    <t>=NF($D5517,"16 Remaining Amt. (LCY)")</t>
  </si>
  <si>
    <t>=NF($D5518,"16 Remaining Amt. (LCY)")</t>
  </si>
  <si>
    <t>=NF($D5519,"16 Remaining Amt. (LCY)")</t>
  </si>
  <si>
    <t>=NF($D5520,"16 Remaining Amt. (LCY)")</t>
  </si>
  <si>
    <t>=NF($D5521,"16 Remaining Amt. (LCY)")</t>
  </si>
  <si>
    <t>=NF($D5522,"16 Remaining Amt. (LCY)")</t>
  </si>
  <si>
    <t>=NF($D5523,"16 Remaining Amt. (LCY)")</t>
  </si>
  <si>
    <t>=NF($D5524,"16 Remaining Amt. (LCY)")</t>
  </si>
  <si>
    <t>=NF($D5525,"16 Remaining Amt. (LCY)")</t>
  </si>
  <si>
    <t>=NF($D5526,"16 Remaining Amt. (LCY)")</t>
  </si>
  <si>
    <t>=NF($D5527,"16 Remaining Amt. (LCY)")</t>
  </si>
  <si>
    <t>=NF($D5528,"16 Remaining Amt. (LCY)")</t>
  </si>
  <si>
    <t>=NF($D5529,"16 Remaining Amt. (LCY)")</t>
  </si>
  <si>
    <t>=NF($D5530,"16 Remaining Amt. (LCY)")</t>
  </si>
  <si>
    <t>=NF($D5531,"16 Remaining Amt. (LCY)")</t>
  </si>
  <si>
    <t>=NF($D5532,"16 Remaining Amt. (LCY)")</t>
  </si>
  <si>
    <t>=NF($D5533,"16 Remaining Amt. (LCY)")</t>
  </si>
  <si>
    <t>=NF($D5534,"16 Remaining Amt. (LCY)")</t>
  </si>
  <si>
    <t>=NF($D5535,"16 Remaining Amt. (LCY)")</t>
  </si>
  <si>
    <t>=NF($D5536,"16 Remaining Amt. (LCY)")</t>
  </si>
  <si>
    <t>=NF($D5537,"16 Remaining Amt. (LCY)")</t>
  </si>
  <si>
    <t>=NF($D5538,"16 Remaining Amt. (LCY)")</t>
  </si>
  <si>
    <t>=NF($D5539,"16 Remaining Amt. (LCY)")</t>
  </si>
  <si>
    <t>=NF($D5540,"16 Remaining Amt. (LCY)")</t>
  </si>
  <si>
    <t>=NF($D5541,"16 Remaining Amt. (LCY)")</t>
  </si>
  <si>
    <t>=NF($D5542,"16 Remaining Amt. (LCY)")</t>
  </si>
  <si>
    <t>=NF($D5543,"16 Remaining Amt. (LCY)")</t>
  </si>
  <si>
    <t>=NF($D5544,"16 Remaining Amt. (LCY)")</t>
  </si>
  <si>
    <t>=NF($D5545,"16 Remaining Amt. (LCY)")</t>
  </si>
  <si>
    <t>=NF($D5546,"16 Remaining Amt. (LCY)")</t>
  </si>
  <si>
    <t>=NF($D5547,"16 Remaining Amt. (LCY)")</t>
  </si>
  <si>
    <t>=NF($D5548,"16 Remaining Amt. (LCY)")</t>
  </si>
  <si>
    <t>=NF($D5549,"16 Remaining Amt. (LCY)")</t>
  </si>
  <si>
    <t>=NF($D5550,"16 Remaining Amt. (LCY)")</t>
  </si>
  <si>
    <t>=NF($D5551,"16 Remaining Amt. (LCY)")</t>
  </si>
  <si>
    <t>=NF($D5552,"16 Remaining Amt. (LCY)")</t>
  </si>
  <si>
    <t>=NF($D5553,"16 Remaining Amt. (LCY)")</t>
  </si>
  <si>
    <t>=NF($D5554,"16 Remaining Amt. (LCY)")</t>
  </si>
  <si>
    <t>=NF($D5555,"16 Remaining Amt. (LCY)")</t>
  </si>
  <si>
    <t>=NF($D5556,"16 Remaining Amt. (LCY)")</t>
  </si>
  <si>
    <t>=NF($D5557,"16 Remaining Amt. (LCY)")</t>
  </si>
  <si>
    <t>=NF($D5558,"16 Remaining Amt. (LCY)")</t>
  </si>
  <si>
    <t>=NF($D5559,"16 Remaining Amt. (LCY)")</t>
  </si>
  <si>
    <t>=NF($D5560,"16 Remaining Amt. (LCY)")</t>
  </si>
  <si>
    <t>=NF($D5561,"16 Remaining Amt. (LCY)")</t>
  </si>
  <si>
    <t>=NF($D5562,"16 Remaining Amt. (LCY)")</t>
  </si>
  <si>
    <t>=NF($D5563,"16 Remaining Amt. (LCY)")</t>
  </si>
  <si>
    <t>=NF($D5564,"16 Remaining Amt. (LCY)")</t>
  </si>
  <si>
    <t>=NF($D5565,"16 Remaining Amt. (LCY)")</t>
  </si>
  <si>
    <t>=NF($D5566,"16 Remaining Amt. (LCY)")</t>
  </si>
  <si>
    <t>=NF($D5567,"16 Remaining Amt. (LCY)")</t>
  </si>
  <si>
    <t>=NF($D5568,"16 Remaining Amt. (LCY)")</t>
  </si>
  <si>
    <t>=NF($D5569,"16 Remaining Amt. (LCY)")</t>
  </si>
  <si>
    <t>=NF($D5570,"16 Remaining Amt. (LCY)")</t>
  </si>
  <si>
    <t>=NF($D5571,"16 Remaining Amt. (LCY)")</t>
  </si>
  <si>
    <t>=NF($D5572,"16 Remaining Amt. (LCY)")</t>
  </si>
  <si>
    <t>=NF($D5573,"16 Remaining Amt. (LCY)")</t>
  </si>
  <si>
    <t>=NF($D5574,"16 Remaining Amt. (LCY)")</t>
  </si>
  <si>
    <t>=NF($D5575,"16 Remaining Amt. (LCY)")</t>
  </si>
  <si>
    <t>=NF($D5576,"16 Remaining Amt. (LCY)")</t>
  </si>
  <si>
    <t>=NF($D5577,"16 Remaining Amt. (LCY)")</t>
  </si>
  <si>
    <t>=NF($D5578,"16 Remaining Amt. (LCY)")</t>
  </si>
  <si>
    <t>=NF($D5579,"16 Remaining Amt. (LCY)")</t>
  </si>
  <si>
    <t>=NF($D5580,"16 Remaining Amt. (LCY)")</t>
  </si>
  <si>
    <t>=NF($D5581,"16 Remaining Amt. (LCY)")</t>
  </si>
  <si>
    <t>=NF($D5582,"16 Remaining Amt. (LCY)")</t>
  </si>
  <si>
    <t>=NF($D5583,"16 Remaining Amt. (LCY)")</t>
  </si>
  <si>
    <t>=NF($D5584,"16 Remaining Amt. (LCY)")</t>
  </si>
  <si>
    <t>=NF($D5390,"5 Document Type")</t>
  </si>
  <si>
    <t>=NF($D5391,"5 Document Type")</t>
  </si>
  <si>
    <t>=NF($D5392,"5 Document Type")</t>
  </si>
  <si>
    <t>=NF($D5393,"5 Document Type")</t>
  </si>
  <si>
    <t>=NF($D5394,"5 Document Type")</t>
  </si>
  <si>
    <t>=NF($D5395,"5 Document Type")</t>
  </si>
  <si>
    <t>=NF($D5396,"5 Document Type")</t>
  </si>
  <si>
    <t>=NF($D5397,"5 Document Type")</t>
  </si>
  <si>
    <t>=NF($D5398,"5 Document Type")</t>
  </si>
  <si>
    <t>=NF($D5399,"5 Document Type")</t>
  </si>
  <si>
    <t>=NF($D5400,"5 Document Type")</t>
  </si>
  <si>
    <t>=NF($D5401,"5 Document Type")</t>
  </si>
  <si>
    <t>=NF($D5402,"5 Document Type")</t>
  </si>
  <si>
    <t>=NF($D5403,"5 Document Type")</t>
  </si>
  <si>
    <t>=NF($D5404,"5 Document Type")</t>
  </si>
  <si>
    <t>=NF($D5405,"5 Document Type")</t>
  </si>
  <si>
    <t>=NF($D5406,"5 Document Type")</t>
  </si>
  <si>
    <t>=NF($D5407,"5 Document Type")</t>
  </si>
  <si>
    <t>=NF($D5408,"5 Document Type")</t>
  </si>
  <si>
    <t>=NF($D5409,"5 Document Type")</t>
  </si>
  <si>
    <t>=NF($D5410,"5 Document Type")</t>
  </si>
  <si>
    <t>=NF($D5411,"5 Document Type")</t>
  </si>
  <si>
    <t>=NF($D5412,"5 Document Type")</t>
  </si>
  <si>
    <t>=NF($D5413,"5 Document Type")</t>
  </si>
  <si>
    <t>=NF($D5414,"5 Document Type")</t>
  </si>
  <si>
    <t>=NF($D5415,"5 Document Type")</t>
  </si>
  <si>
    <t>=NF($D5416,"5 Document Type")</t>
  </si>
  <si>
    <t>=NF($D5417,"5 Document Type")</t>
  </si>
  <si>
    <t>=NF($D5418,"5 Document Type")</t>
  </si>
  <si>
    <t>=NF($D5419,"5 Document Type")</t>
  </si>
  <si>
    <t>=NF($D5420,"5 Document Type")</t>
  </si>
  <si>
    <t>=NF($D5421,"5 Document Type")</t>
  </si>
  <si>
    <t>=NF($D5422,"5 Document Type")</t>
  </si>
  <si>
    <t>=NF($D5423,"5 Document Type")</t>
  </si>
  <si>
    <t>=NF($D5424,"5 Document Type")</t>
  </si>
  <si>
    <t>=NF($D5425,"5 Document Type")</t>
  </si>
  <si>
    <t>=NF($D5426,"5 Document Type")</t>
  </si>
  <si>
    <t>=NF($D5427,"5 Document Type")</t>
  </si>
  <si>
    <t>=NF($D5428,"5 Document Type")</t>
  </si>
  <si>
    <t>=NF($D5429,"5 Document Type")</t>
  </si>
  <si>
    <t>=NF($D5430,"5 Document Type")</t>
  </si>
  <si>
    <t>=NF($D5431,"5 Document Type")</t>
  </si>
  <si>
    <t>=NF($D5432,"5 Document Type")</t>
  </si>
  <si>
    <t>=NF($D5433,"5 Document Type")</t>
  </si>
  <si>
    <t>=NF($D5434,"5 Document Type")</t>
  </si>
  <si>
    <t>=NF($D5435,"5 Document Type")</t>
  </si>
  <si>
    <t>=NF($D5436,"5 Document Type")</t>
  </si>
  <si>
    <t>=NF($D5437,"5 Document Type")</t>
  </si>
  <si>
    <t>=NF($D5438,"5 Document Type")</t>
  </si>
  <si>
    <t>=NF($D5439,"5 Document Type")</t>
  </si>
  <si>
    <t>=NF($D5440,"5 Document Type")</t>
  </si>
  <si>
    <t>=NF($D5441,"5 Document Type")</t>
  </si>
  <si>
    <t>=NF($D5442,"5 Document Type")</t>
  </si>
  <si>
    <t>=NF($D5443,"5 Document Type")</t>
  </si>
  <si>
    <t>=NF($D5444,"5 Document Type")</t>
  </si>
  <si>
    <t>=NF($D5445,"5 Document Type")</t>
  </si>
  <si>
    <t>=NF($D5446,"5 Document Type")</t>
  </si>
  <si>
    <t>=NF($D5447,"5 Document Type")</t>
  </si>
  <si>
    <t>=NF($D5448,"5 Document Type")</t>
  </si>
  <si>
    <t>=NF($D5449,"5 Document Type")</t>
  </si>
  <si>
    <t>=NF($D5450,"5 Document Type")</t>
  </si>
  <si>
    <t>=NF($D5451,"5 Document Type")</t>
  </si>
  <si>
    <t>=NF($D5452,"5 Document Type")</t>
  </si>
  <si>
    <t>=NF($D5453,"5 Document Type")</t>
  </si>
  <si>
    <t>=NF($D5454,"5 Document Type")</t>
  </si>
  <si>
    <t>=NF($D5455,"5 Document Type")</t>
  </si>
  <si>
    <t>=NF($D5456,"5 Document Type")</t>
  </si>
  <si>
    <t>=NF($D5457,"5 Document Type")</t>
  </si>
  <si>
    <t>=NF($D5458,"5 Document Type")</t>
  </si>
  <si>
    <t>=NF($D5459,"5 Document Type")</t>
  </si>
  <si>
    <t>=NF($D5460,"5 Document Type")</t>
  </si>
  <si>
    <t>=NF($D5461,"5 Document Type")</t>
  </si>
  <si>
    <t>=NF($D5462,"5 Document Type")</t>
  </si>
  <si>
    <t>=NF($D5463,"5 Document Type")</t>
  </si>
  <si>
    <t>=NF($D5464,"5 Document Type")</t>
  </si>
  <si>
    <t>=NF($D5465,"5 Document Type")</t>
  </si>
  <si>
    <t>=NF($D5466,"5 Document Type")</t>
  </si>
  <si>
    <t>=NF($D5467,"5 Document Type")</t>
  </si>
  <si>
    <t>=NF($D5468,"5 Document Type")</t>
  </si>
  <si>
    <t>=NF($D5469,"5 Document Type")</t>
  </si>
  <si>
    <t>=NF($D5470,"5 Document Type")</t>
  </si>
  <si>
    <t>=NF($D5471,"5 Document Type")</t>
  </si>
  <si>
    <t>=NF($D5472,"5 Document Type")</t>
  </si>
  <si>
    <t>=NF($D5473,"5 Document Type")</t>
  </si>
  <si>
    <t>=NF($D5474,"5 Document Type")</t>
  </si>
  <si>
    <t>=NF($D5475,"5 Document Type")</t>
  </si>
  <si>
    <t>=NF($D5476,"5 Document Type")</t>
  </si>
  <si>
    <t>=NF($D5477,"5 Document Type")</t>
  </si>
  <si>
    <t>=NF($D5478,"5 Document Type")</t>
  </si>
  <si>
    <t>=NF($D5479,"5 Document Type")</t>
  </si>
  <si>
    <t>=NF($D5480,"5 Document Type")</t>
  </si>
  <si>
    <t>=NF($D5390,"6 Document No.")</t>
  </si>
  <si>
    <t>=NF($D5391,"6 Document No.")</t>
  </si>
  <si>
    <t>=NF($D5392,"6 Document No.")</t>
  </si>
  <si>
    <t>=NF($D5393,"6 Document No.")</t>
  </si>
  <si>
    <t>=NF($D5394,"6 Document No.")</t>
  </si>
  <si>
    <t>=NF($D5395,"6 Document No.")</t>
  </si>
  <si>
    <t>=NF($D5396,"6 Document No.")</t>
  </si>
  <si>
    <t>=NF($D5397,"6 Document No.")</t>
  </si>
  <si>
    <t>=NF($D5398,"6 Document No.")</t>
  </si>
  <si>
    <t>=NF($D5399,"6 Document No.")</t>
  </si>
  <si>
    <t>=NF($D5400,"6 Document No.")</t>
  </si>
  <si>
    <t>=NF($D5401,"6 Document No.")</t>
  </si>
  <si>
    <t>=NF($D5402,"6 Document No.")</t>
  </si>
  <si>
    <t>=NF($D5403,"6 Document No.")</t>
  </si>
  <si>
    <t>=NF($D5404,"6 Document No.")</t>
  </si>
  <si>
    <t>=NF($D5405,"6 Document No.")</t>
  </si>
  <si>
    <t>=NF($D5406,"6 Document No.")</t>
  </si>
  <si>
    <t>=NF($D5407,"6 Document No.")</t>
  </si>
  <si>
    <t>=NF($D5408,"6 Document No.")</t>
  </si>
  <si>
    <t>=NF($D5409,"6 Document No.")</t>
  </si>
  <si>
    <t>=NF($D5410,"6 Document No.")</t>
  </si>
  <si>
    <t>=NF($D5411,"6 Document No.")</t>
  </si>
  <si>
    <t>=NF($D5412,"6 Document No.")</t>
  </si>
  <si>
    <t>=NF($D5413,"6 Document No.")</t>
  </si>
  <si>
    <t>=NF($D5414,"6 Document No.")</t>
  </si>
  <si>
    <t>=NF($D5415,"6 Document No.")</t>
  </si>
  <si>
    <t>=NF($D5416,"6 Document No.")</t>
  </si>
  <si>
    <t>=NF($D5417,"6 Document No.")</t>
  </si>
  <si>
    <t>=NF($D5418,"6 Document No.")</t>
  </si>
  <si>
    <t>=NF($D5419,"6 Document No.")</t>
  </si>
  <si>
    <t>=NF($D5420,"6 Document No.")</t>
  </si>
  <si>
    <t>=NF($D5421,"6 Document No.")</t>
  </si>
  <si>
    <t>=NF($D5422,"6 Document No.")</t>
  </si>
  <si>
    <t>=NF($D5423,"6 Document No.")</t>
  </si>
  <si>
    <t>=NF($D5424,"6 Document No.")</t>
  </si>
  <si>
    <t>=NF($D5425,"6 Document No.")</t>
  </si>
  <si>
    <t>=NF($D5426,"6 Document No.")</t>
  </si>
  <si>
    <t>=NF($D5427,"6 Document No.")</t>
  </si>
  <si>
    <t>=NF($D5428,"6 Document No.")</t>
  </si>
  <si>
    <t>=NF($D5429,"6 Document No.")</t>
  </si>
  <si>
    <t>=NF($D5430,"6 Document No.")</t>
  </si>
  <si>
    <t>=NF($D5431,"6 Document No.")</t>
  </si>
  <si>
    <t>=NF($D5432,"6 Document No.")</t>
  </si>
  <si>
    <t>=NF($D5433,"6 Document No.")</t>
  </si>
  <si>
    <t>=NF($D5434,"6 Document No.")</t>
  </si>
  <si>
    <t>=NF($D5435,"6 Document No.")</t>
  </si>
  <si>
    <t>=NF($D5436,"6 Document No.")</t>
  </si>
  <si>
    <t>=NF($D5437,"6 Document No.")</t>
  </si>
  <si>
    <t>=NF($D5438,"6 Document No.")</t>
  </si>
  <si>
    <t>=NF($D5439,"6 Document No.")</t>
  </si>
  <si>
    <t>=NF($D5440,"6 Document No.")</t>
  </si>
  <si>
    <t>=NF($D5441,"6 Document No.")</t>
  </si>
  <si>
    <t>=NF($D5442,"6 Document No.")</t>
  </si>
  <si>
    <t>=NF($D5443,"6 Document No.")</t>
  </si>
  <si>
    <t>=NF($D5444,"6 Document No.")</t>
  </si>
  <si>
    <t>=NF($D5445,"6 Document No.")</t>
  </si>
  <si>
    <t>=NF($D5446,"6 Document No.")</t>
  </si>
  <si>
    <t>=NF($D5447,"6 Document No.")</t>
  </si>
  <si>
    <t>=NF($D5448,"6 Document No.")</t>
  </si>
  <si>
    <t>=NF($D5449,"6 Document No.")</t>
  </si>
  <si>
    <t>=NF($D5450,"6 Document No.")</t>
  </si>
  <si>
    <t>=NF($D5451,"6 Document No.")</t>
  </si>
  <si>
    <t>=NF($D5452,"6 Document No.")</t>
  </si>
  <si>
    <t>=NF($D5453,"6 Document No.")</t>
  </si>
  <si>
    <t>=NF($D5454,"6 Document No.")</t>
  </si>
  <si>
    <t>=NF($D5455,"6 Document No.")</t>
  </si>
  <si>
    <t>=NF($D5456,"6 Document No.")</t>
  </si>
  <si>
    <t>=NF($D5457,"6 Document No.")</t>
  </si>
  <si>
    <t>=NF($D5458,"6 Document No.")</t>
  </si>
  <si>
    <t>=NF($D5459,"6 Document No.")</t>
  </si>
  <si>
    <t>=NF($D5460,"6 Document No.")</t>
  </si>
  <si>
    <t>=NF($D5461,"6 Document No.")</t>
  </si>
  <si>
    <t>=NF($D5462,"6 Document No.")</t>
  </si>
  <si>
    <t>=NF($D5463,"6 Document No.")</t>
  </si>
  <si>
    <t>=NF($D5464,"6 Document No.")</t>
  </si>
  <si>
    <t>=NF($D5465,"6 Document No.")</t>
  </si>
  <si>
    <t>=NF($D5466,"6 Document No.")</t>
  </si>
  <si>
    <t>=NF($D5467,"6 Document No.")</t>
  </si>
  <si>
    <t>=NF($D5468,"6 Document No.")</t>
  </si>
  <si>
    <t>=NF($D5469,"6 Document No.")</t>
  </si>
  <si>
    <t>=NF($D5470,"6 Document No.")</t>
  </si>
  <si>
    <t>=NF($D5471,"6 Document No.")</t>
  </si>
  <si>
    <t>=NF($D5472,"6 Document No.")</t>
  </si>
  <si>
    <t>=NF($D5473,"6 Document No.")</t>
  </si>
  <si>
    <t>=NF($D5474,"6 Document No.")</t>
  </si>
  <si>
    <t>=NF($D5475,"6 Document No.")</t>
  </si>
  <si>
    <t>=NF($D5476,"6 Document No.")</t>
  </si>
  <si>
    <t>=NF($D5477,"6 Document No.")</t>
  </si>
  <si>
    <t>=NF($D5478,"6 Document No.")</t>
  </si>
  <si>
    <t>=NF($D5479,"6 Document No.")</t>
  </si>
  <si>
    <t>=NF($D5480,"6 Document No.")</t>
  </si>
  <si>
    <t>=NF($D5390,"37 Due Date")</t>
  </si>
  <si>
    <t>=NF($D5391,"37 Due Date")</t>
  </si>
  <si>
    <t>=NF($D5392,"37 Due Date")</t>
  </si>
  <si>
    <t>=NF($D5393,"37 Due Date")</t>
  </si>
  <si>
    <t>=NF($D5394,"37 Due Date")</t>
  </si>
  <si>
    <t>=NF($D5395,"37 Due Date")</t>
  </si>
  <si>
    <t>=NF($D5396,"37 Due Date")</t>
  </si>
  <si>
    <t>=NF($D5397,"37 Due Date")</t>
  </si>
  <si>
    <t>=NF($D5398,"37 Due Date")</t>
  </si>
  <si>
    <t>=NF($D5399,"37 Due Date")</t>
  </si>
  <si>
    <t>=NF($D5400,"37 Due Date")</t>
  </si>
  <si>
    <t>=NF($D5401,"37 Due Date")</t>
  </si>
  <si>
    <t>=NF($D5402,"37 Due Date")</t>
  </si>
  <si>
    <t>=NF($D5403,"37 Due Date")</t>
  </si>
  <si>
    <t>=NF($D5404,"37 Due Date")</t>
  </si>
  <si>
    <t>=NF($D5405,"37 Due Date")</t>
  </si>
  <si>
    <t>=NF($D5406,"37 Due Date")</t>
  </si>
  <si>
    <t>=NF($D5407,"37 Due Date")</t>
  </si>
  <si>
    <t>=NF($D5408,"37 Due Date")</t>
  </si>
  <si>
    <t>=NF($D5409,"37 Due Date")</t>
  </si>
  <si>
    <t>=NF($D5410,"37 Due Date")</t>
  </si>
  <si>
    <t>=NF($D5411,"37 Due Date")</t>
  </si>
  <si>
    <t>=NF($D5412,"37 Due Date")</t>
  </si>
  <si>
    <t>=NF($D5413,"37 Due Date")</t>
  </si>
  <si>
    <t>=NF($D5414,"37 Due Date")</t>
  </si>
  <si>
    <t>=NF($D5415,"37 Due Date")</t>
  </si>
  <si>
    <t>=NF($D5416,"37 Due Date")</t>
  </si>
  <si>
    <t>=NF($D5417,"37 Due Date")</t>
  </si>
  <si>
    <t>=NF($D5418,"37 Due Date")</t>
  </si>
  <si>
    <t>=NF($D5419,"37 Due Date")</t>
  </si>
  <si>
    <t>=NF($D5420,"37 Due Date")</t>
  </si>
  <si>
    <t>=NF($D5421,"37 Due Date")</t>
  </si>
  <si>
    <t>=NF($D5422,"37 Due Date")</t>
  </si>
  <si>
    <t>=NF($D5423,"37 Due Date")</t>
  </si>
  <si>
    <t>=NF($D5424,"37 Due Date")</t>
  </si>
  <si>
    <t>=NF($D5425,"37 Due Date")</t>
  </si>
  <si>
    <t>=NF($D5426,"37 Due Date")</t>
  </si>
  <si>
    <t>=NF($D5427,"37 Due Date")</t>
  </si>
  <si>
    <t>=NF($D5428,"37 Due Date")</t>
  </si>
  <si>
    <t>=NF($D5429,"37 Due Date")</t>
  </si>
  <si>
    <t>=NF($D5430,"37 Due Date")</t>
  </si>
  <si>
    <t>=NF($D5431,"37 Due Date")</t>
  </si>
  <si>
    <t>=NF($D5432,"37 Due Date")</t>
  </si>
  <si>
    <t>=NF($D5433,"37 Due Date")</t>
  </si>
  <si>
    <t>=NF($D5434,"37 Due Date")</t>
  </si>
  <si>
    <t>=NF($D5435,"37 Due Date")</t>
  </si>
  <si>
    <t>=NF($D5436,"37 Due Date")</t>
  </si>
  <si>
    <t>=NF($D5437,"37 Due Date")</t>
  </si>
  <si>
    <t>=NF($D5438,"37 Due Date")</t>
  </si>
  <si>
    <t>=NF($D5439,"37 Due Date")</t>
  </si>
  <si>
    <t>=NF($D5440,"37 Due Date")</t>
  </si>
  <si>
    <t>=NF($D5441,"37 Due Date")</t>
  </si>
  <si>
    <t>=NF($D5442,"37 Due Date")</t>
  </si>
  <si>
    <t>=NF($D5443,"37 Due Date")</t>
  </si>
  <si>
    <t>=NF($D5444,"37 Due Date")</t>
  </si>
  <si>
    <t>=NF($D5445,"37 Due Date")</t>
  </si>
  <si>
    <t>=NF($D5446,"37 Due Date")</t>
  </si>
  <si>
    <t>=NF($D5447,"37 Due Date")</t>
  </si>
  <si>
    <t>=NF($D5448,"37 Due Date")</t>
  </si>
  <si>
    <t>=NF($D5449,"37 Due Date")</t>
  </si>
  <si>
    <t>=NF($D5450,"37 Due Date")</t>
  </si>
  <si>
    <t>=NF($D5451,"37 Due Date")</t>
  </si>
  <si>
    <t>=NF($D5452,"37 Due Date")</t>
  </si>
  <si>
    <t>=NF($D5453,"37 Due Date")</t>
  </si>
  <si>
    <t>=NF($D5454,"37 Due Date")</t>
  </si>
  <si>
    <t>=NF($D5455,"37 Due Date")</t>
  </si>
  <si>
    <t>=NF($D5456,"37 Due Date")</t>
  </si>
  <si>
    <t>=NF($D5457,"37 Due Date")</t>
  </si>
  <si>
    <t>=NF($D5458,"37 Due Date")</t>
  </si>
  <si>
    <t>=NF($D5459,"37 Due Date")</t>
  </si>
  <si>
    <t>=NF($D5460,"37 Due Date")</t>
  </si>
  <si>
    <t>=NF($D5461,"37 Due Date")</t>
  </si>
  <si>
    <t>=NF($D5462,"37 Due Date")</t>
  </si>
  <si>
    <t>=NF($D5463,"37 Due Date")</t>
  </si>
  <si>
    <t>=NF($D5464,"37 Due Date")</t>
  </si>
  <si>
    <t>=NF($D5465,"37 Due Date")</t>
  </si>
  <si>
    <t>=NF($D5466,"37 Due Date")</t>
  </si>
  <si>
    <t>=NF($D5467,"37 Due Date")</t>
  </si>
  <si>
    <t>=NF($D5468,"37 Due Date")</t>
  </si>
  <si>
    <t>=NF($D5469,"37 Due Date")</t>
  </si>
  <si>
    <t>=NF($D5470,"37 Due Date")</t>
  </si>
  <si>
    <t>=NF($D5471,"37 Due Date")</t>
  </si>
  <si>
    <t>=NF($D5472,"37 Due Date")</t>
  </si>
  <si>
    <t>=NF($D5473,"37 Due Date")</t>
  </si>
  <si>
    <t>=NF($D5474,"37 Due Date")</t>
  </si>
  <si>
    <t>=NF($D5475,"37 Due Date")</t>
  </si>
  <si>
    <t>=NF($D5476,"37 Due Date")</t>
  </si>
  <si>
    <t>=NF($D5477,"37 Due Date")</t>
  </si>
  <si>
    <t>=NF($D5478,"37 Due Date")</t>
  </si>
  <si>
    <t>=NF($D5479,"37 Due Date")</t>
  </si>
  <si>
    <t>=NF($D5480,"37 Due Date")</t>
  </si>
  <si>
    <t>=NF($D5390,"16 Remaining Amt. (LCY)")</t>
  </si>
  <si>
    <t>=NF($D5391,"16 Remaining Amt. (LCY)")</t>
  </si>
  <si>
    <t>=NF($D5392,"16 Remaining Amt. (LCY)")</t>
  </si>
  <si>
    <t>=NF($D5393,"16 Remaining Amt. (LCY)")</t>
  </si>
  <si>
    <t>=NF($D5394,"16 Remaining Amt. (LCY)")</t>
  </si>
  <si>
    <t>=NF($D5395,"16 Remaining Amt. (LCY)")</t>
  </si>
  <si>
    <t>=NF($D5396,"16 Remaining Amt. (LCY)")</t>
  </si>
  <si>
    <t>=NF($D5397,"16 Remaining Amt. (LCY)")</t>
  </si>
  <si>
    <t>=NF($D5398,"16 Remaining Amt. (LCY)")</t>
  </si>
  <si>
    <t>=NF($D5399,"16 Remaining Amt. (LCY)")</t>
  </si>
  <si>
    <t>=NF($D5400,"16 Remaining Amt. (LCY)")</t>
  </si>
  <si>
    <t>=NF($D5401,"16 Remaining Amt. (LCY)")</t>
  </si>
  <si>
    <t>=NF($D5402,"16 Remaining Amt. (LCY)")</t>
  </si>
  <si>
    <t>=NF($D5403,"16 Remaining Amt. (LCY)")</t>
  </si>
  <si>
    <t>=NF($D5404,"16 Remaining Amt. (LCY)")</t>
  </si>
  <si>
    <t>=NF($D5405,"16 Remaining Amt. (LCY)")</t>
  </si>
  <si>
    <t>=NF($D5406,"16 Remaining Amt. (LCY)")</t>
  </si>
  <si>
    <t>=NF($D5407,"16 Remaining Amt. (LCY)")</t>
  </si>
  <si>
    <t>=NF($D5408,"16 Remaining Amt. (LCY)")</t>
  </si>
  <si>
    <t>=NF($D5409,"16 Remaining Amt. (LCY)")</t>
  </si>
  <si>
    <t>=NF($D5410,"16 Remaining Amt. (LCY)")</t>
  </si>
  <si>
    <t>=NF($D5411,"16 Remaining Amt. (LCY)")</t>
  </si>
  <si>
    <t>=NF($D5412,"16 Remaining Amt. (LCY)")</t>
  </si>
  <si>
    <t>=NF($D5413,"16 Remaining Amt. (LCY)")</t>
  </si>
  <si>
    <t>=NF($D5414,"16 Remaining Amt. (LCY)")</t>
  </si>
  <si>
    <t>=NF($D5415,"16 Remaining Amt. (LCY)")</t>
  </si>
  <si>
    <t>=NF($D5416,"16 Remaining Amt. (LCY)")</t>
  </si>
  <si>
    <t>=NF($D5417,"16 Remaining Amt. (LCY)")</t>
  </si>
  <si>
    <t>=NF($D5418,"16 Remaining Amt. (LCY)")</t>
  </si>
  <si>
    <t>=NF($D5419,"16 Remaining Amt. (LCY)")</t>
  </si>
  <si>
    <t>=NF($D5420,"16 Remaining Amt. (LCY)")</t>
  </si>
  <si>
    <t>=NF($D5421,"16 Remaining Amt. (LCY)")</t>
  </si>
  <si>
    <t>=NF($D5422,"16 Remaining Amt. (LCY)")</t>
  </si>
  <si>
    <t>=NF($D5423,"16 Remaining Amt. (LCY)")</t>
  </si>
  <si>
    <t>=NF($D5424,"16 Remaining Amt. (LCY)")</t>
  </si>
  <si>
    <t>=NF($D5425,"16 Remaining Amt. (LCY)")</t>
  </si>
  <si>
    <t>=NF($D5426,"16 Remaining Amt. (LCY)")</t>
  </si>
  <si>
    <t>=NF($D5427,"16 Remaining Amt. (LCY)")</t>
  </si>
  <si>
    <t>=NF($D5428,"16 Remaining Amt. (LCY)")</t>
  </si>
  <si>
    <t>=NF($D5429,"16 Remaining Amt. (LCY)")</t>
  </si>
  <si>
    <t>=NF($D5430,"16 Remaining Amt. (LCY)")</t>
  </si>
  <si>
    <t>=NF($D5431,"16 Remaining Amt. (LCY)")</t>
  </si>
  <si>
    <t>=NF($D5432,"16 Remaining Amt. (LCY)")</t>
  </si>
  <si>
    <t>=NF($D5433,"16 Remaining Amt. (LCY)")</t>
  </si>
  <si>
    <t>=NF($D5434,"16 Remaining Amt. (LCY)")</t>
  </si>
  <si>
    <t>=NF($D5435,"16 Remaining Amt. (LCY)")</t>
  </si>
  <si>
    <t>=NF($D5436,"16 Remaining Amt. (LCY)")</t>
  </si>
  <si>
    <t>=NF($D5437,"16 Remaining Amt. (LCY)")</t>
  </si>
  <si>
    <t>=NF($D5438,"16 Remaining Amt. (LCY)")</t>
  </si>
  <si>
    <t>=NF($D5439,"16 Remaining Amt. (LCY)")</t>
  </si>
  <si>
    <t>=NF($D5440,"16 Remaining Amt. (LCY)")</t>
  </si>
  <si>
    <t>=NF($D5441,"16 Remaining Amt. (LCY)")</t>
  </si>
  <si>
    <t>=NF($D5442,"16 Remaining Amt. (LCY)")</t>
  </si>
  <si>
    <t>=NF($D5443,"16 Remaining Amt. (LCY)")</t>
  </si>
  <si>
    <t>=NF($D5444,"16 Remaining Amt. (LCY)")</t>
  </si>
  <si>
    <t>=NF($D5445,"16 Remaining Amt. (LCY)")</t>
  </si>
  <si>
    <t>=NF($D5446,"16 Remaining Amt. (LCY)")</t>
  </si>
  <si>
    <t>=NF($D5447,"16 Remaining Amt. (LCY)")</t>
  </si>
  <si>
    <t>=NF($D5448,"16 Remaining Amt. (LCY)")</t>
  </si>
  <si>
    <t>=NF($D5449,"16 Remaining Amt. (LCY)")</t>
  </si>
  <si>
    <t>=NF($D5450,"16 Remaining Amt. (LCY)")</t>
  </si>
  <si>
    <t>=NF($D5451,"16 Remaining Amt. (LCY)")</t>
  </si>
  <si>
    <t>=NF($D5452,"16 Remaining Amt. (LCY)")</t>
  </si>
  <si>
    <t>=NF($D5453,"16 Remaining Amt. (LCY)")</t>
  </si>
  <si>
    <t>=NF($D5454,"16 Remaining Amt. (LCY)")</t>
  </si>
  <si>
    <t>=NF($D5455,"16 Remaining Amt. (LCY)")</t>
  </si>
  <si>
    <t>=NF($D5456,"16 Remaining Amt. (LCY)")</t>
  </si>
  <si>
    <t>=NF($D5457,"16 Remaining Amt. (LCY)")</t>
  </si>
  <si>
    <t>=NF($D5458,"16 Remaining Amt. (LCY)")</t>
  </si>
  <si>
    <t>=NF($D5459,"16 Remaining Amt. (LCY)")</t>
  </si>
  <si>
    <t>=NF($D5460,"16 Remaining Amt. (LCY)")</t>
  </si>
  <si>
    <t>=NF($D5461,"16 Remaining Amt. (LCY)")</t>
  </si>
  <si>
    <t>=NF($D5462,"16 Remaining Amt. (LCY)")</t>
  </si>
  <si>
    <t>=NF($D5463,"16 Remaining Amt. (LCY)")</t>
  </si>
  <si>
    <t>=NF($D5464,"16 Remaining Amt. (LCY)")</t>
  </si>
  <si>
    <t>=NF($D5465,"16 Remaining Amt. (LCY)")</t>
  </si>
  <si>
    <t>=NF($D5466,"16 Remaining Amt. (LCY)")</t>
  </si>
  <si>
    <t>=NF($D5467,"16 Remaining Amt. (LCY)")</t>
  </si>
  <si>
    <t>=NF($D5468,"16 Remaining Amt. (LCY)")</t>
  </si>
  <si>
    <t>=NF($D5469,"16 Remaining Amt. (LCY)")</t>
  </si>
  <si>
    <t>=NF($D5470,"16 Remaining Amt. (LCY)")</t>
  </si>
  <si>
    <t>=NF($D5471,"16 Remaining Amt. (LCY)")</t>
  </si>
  <si>
    <t>=NF($D5472,"16 Remaining Amt. (LCY)")</t>
  </si>
  <si>
    <t>=NF($D5473,"16 Remaining Amt. (LCY)")</t>
  </si>
  <si>
    <t>=NF($D5474,"16 Remaining Amt. (LCY)")</t>
  </si>
  <si>
    <t>=NF($D5475,"16 Remaining Amt. (LCY)")</t>
  </si>
  <si>
    <t>=NF($D5476,"16 Remaining Amt. (LCY)")</t>
  </si>
  <si>
    <t>=NF($D5477,"16 Remaining Amt. (LCY)")</t>
  </si>
  <si>
    <t>=NF($D5478,"16 Remaining Amt. (LCY)")</t>
  </si>
  <si>
    <t>=NF($D5479,"16 Remaining Amt. (LCY)")</t>
  </si>
  <si>
    <t>=NF($D5480,"16 Remaining Amt. (LCY)")</t>
  </si>
  <si>
    <t>=NF($D5359,"5 Document Type")</t>
  </si>
  <si>
    <t>=NF($D5360,"5 Document Type")</t>
  </si>
  <si>
    <t>=NF($D5361,"5 Document Type")</t>
  </si>
  <si>
    <t>=NF($D5362,"5 Document Type")</t>
  </si>
  <si>
    <t>=NF($D5363,"5 Document Type")</t>
  </si>
  <si>
    <t>=NF($D5364,"5 Document Type")</t>
  </si>
  <si>
    <t>=NF($D5365,"5 Document Type")</t>
  </si>
  <si>
    <t>=NF($D5366,"5 Document Type")</t>
  </si>
  <si>
    <t>=NF($D5367,"5 Document Type")</t>
  </si>
  <si>
    <t>=NF($D5368,"5 Document Type")</t>
  </si>
  <si>
    <t>=NF($D5369,"5 Document Type")</t>
  </si>
  <si>
    <t>=NF($D5370,"5 Document Type")</t>
  </si>
  <si>
    <t>=NF($D5371,"5 Document Type")</t>
  </si>
  <si>
    <t>=NF($D5372,"5 Document Type")</t>
  </si>
  <si>
    <t>=NF($D5373,"5 Document Type")</t>
  </si>
  <si>
    <t>=NF($D5374,"5 Document Type")</t>
  </si>
  <si>
    <t>=NF($D5375,"5 Document Type")</t>
  </si>
  <si>
    <t>=NF($D5376,"5 Document Type")</t>
  </si>
  <si>
    <t>=NF($D5377,"5 Document Type")</t>
  </si>
  <si>
    <t>=NF($D5378,"5 Document Type")</t>
  </si>
  <si>
    <t>=NF($D5379,"5 Document Type")</t>
  </si>
  <si>
    <t>=NF($D5380,"5 Document Type")</t>
  </si>
  <si>
    <t>=NF($D5381,"5 Document Type")</t>
  </si>
  <si>
    <t>=NF($D5382,"5 Document Type")</t>
  </si>
  <si>
    <t>=NF($D5383,"5 Document Type")</t>
  </si>
  <si>
    <t>=NF($D5359,"6 Document No.")</t>
  </si>
  <si>
    <t>=NF($D5360,"6 Document No.")</t>
  </si>
  <si>
    <t>=NF($D5361,"6 Document No.")</t>
  </si>
  <si>
    <t>=NF($D5362,"6 Document No.")</t>
  </si>
  <si>
    <t>=NF($D5363,"6 Document No.")</t>
  </si>
  <si>
    <t>=NF($D5364,"6 Document No.")</t>
  </si>
  <si>
    <t>=NF($D5365,"6 Document No.")</t>
  </si>
  <si>
    <t>=NF($D5366,"6 Document No.")</t>
  </si>
  <si>
    <t>=NF($D5367,"6 Document No.")</t>
  </si>
  <si>
    <t>=NF($D5368,"6 Document No.")</t>
  </si>
  <si>
    <t>=NF($D5369,"6 Document No.")</t>
  </si>
  <si>
    <t>=NF($D5370,"6 Document No.")</t>
  </si>
  <si>
    <t>=NF($D5371,"6 Document No.")</t>
  </si>
  <si>
    <t>=NF($D5372,"6 Document No.")</t>
  </si>
  <si>
    <t>=NF($D5373,"6 Document No.")</t>
  </si>
  <si>
    <t>=NF($D5374,"6 Document No.")</t>
  </si>
  <si>
    <t>=NF($D5375,"6 Document No.")</t>
  </si>
  <si>
    <t>=NF($D5376,"6 Document No.")</t>
  </si>
  <si>
    <t>=NF($D5377,"6 Document No.")</t>
  </si>
  <si>
    <t>=NF($D5378,"6 Document No.")</t>
  </si>
  <si>
    <t>=NF($D5379,"6 Document No.")</t>
  </si>
  <si>
    <t>=NF($D5380,"6 Document No.")</t>
  </si>
  <si>
    <t>=NF($D5381,"6 Document No.")</t>
  </si>
  <si>
    <t>=NF($D5382,"6 Document No.")</t>
  </si>
  <si>
    <t>=NF($D5383,"6 Document No.")</t>
  </si>
  <si>
    <t>=NF($D5359,"37 Due Date")</t>
  </si>
  <si>
    <t>=NF($D5360,"37 Due Date")</t>
  </si>
  <si>
    <t>=NF($D5361,"37 Due Date")</t>
  </si>
  <si>
    <t>=NF($D5362,"37 Due Date")</t>
  </si>
  <si>
    <t>=NF($D5363,"37 Due Date")</t>
  </si>
  <si>
    <t>=NF($D5364,"37 Due Date")</t>
  </si>
  <si>
    <t>=NF($D5365,"37 Due Date")</t>
  </si>
  <si>
    <t>=NF($D5366,"37 Due Date")</t>
  </si>
  <si>
    <t>=NF($D5367,"37 Due Date")</t>
  </si>
  <si>
    <t>=NF($D5368,"37 Due Date")</t>
  </si>
  <si>
    <t>=NF($D5369,"37 Due Date")</t>
  </si>
  <si>
    <t>=NF($D5370,"37 Due Date")</t>
  </si>
  <si>
    <t>=NF($D5371,"37 Due Date")</t>
  </si>
  <si>
    <t>=NF($D5372,"37 Due Date")</t>
  </si>
  <si>
    <t>=NF($D5373,"37 Due Date")</t>
  </si>
  <si>
    <t>=NF($D5374,"37 Due Date")</t>
  </si>
  <si>
    <t>=NF($D5375,"37 Due Date")</t>
  </si>
  <si>
    <t>=NF($D5376,"37 Due Date")</t>
  </si>
  <si>
    <t>=NF($D5377,"37 Due Date")</t>
  </si>
  <si>
    <t>=NF($D5378,"37 Due Date")</t>
  </si>
  <si>
    <t>=NF($D5379,"37 Due Date")</t>
  </si>
  <si>
    <t>=NF($D5380,"37 Due Date")</t>
  </si>
  <si>
    <t>=NF($D5381,"37 Due Date")</t>
  </si>
  <si>
    <t>=NF($D5382,"37 Due Date")</t>
  </si>
  <si>
    <t>=NF($D5383,"37 Due Date")</t>
  </si>
  <si>
    <t>=NF($D5359,"16 Remaining Amt. (LCY)")</t>
  </si>
  <si>
    <t>=NF($D5360,"16 Remaining Amt. (LCY)")</t>
  </si>
  <si>
    <t>=NF($D5361,"16 Remaining Amt. (LCY)")</t>
  </si>
  <si>
    <t>=NF($D5362,"16 Remaining Amt. (LCY)")</t>
  </si>
  <si>
    <t>=NF($D5363,"16 Remaining Amt. (LCY)")</t>
  </si>
  <si>
    <t>=NF($D5364,"16 Remaining Amt. (LCY)")</t>
  </si>
  <si>
    <t>=NF($D5365,"16 Remaining Amt. (LCY)")</t>
  </si>
  <si>
    <t>=NF($D5366,"16 Remaining Amt. (LCY)")</t>
  </si>
  <si>
    <t>=NF($D5367,"16 Remaining Amt. (LCY)")</t>
  </si>
  <si>
    <t>=NF($D5368,"16 Remaining Amt. (LCY)")</t>
  </si>
  <si>
    <t>=NF($D5369,"16 Remaining Amt. (LCY)")</t>
  </si>
  <si>
    <t>=NF($D5370,"16 Remaining Amt. (LCY)")</t>
  </si>
  <si>
    <t>=NF($D5371,"16 Remaining Amt. (LCY)")</t>
  </si>
  <si>
    <t>=NF($D5372,"16 Remaining Amt. (LCY)")</t>
  </si>
  <si>
    <t>=NF($D5373,"16 Remaining Amt. (LCY)")</t>
  </si>
  <si>
    <t>=NF($D5374,"16 Remaining Amt. (LCY)")</t>
  </si>
  <si>
    <t>=NF($D5375,"16 Remaining Amt. (LCY)")</t>
  </si>
  <si>
    <t>=NF($D5376,"16 Remaining Amt. (LCY)")</t>
  </si>
  <si>
    <t>=NF($D5377,"16 Remaining Amt. (LCY)")</t>
  </si>
  <si>
    <t>=NF($D5378,"16 Remaining Amt. (LCY)")</t>
  </si>
  <si>
    <t>=NF($D5379,"16 Remaining Amt. (LCY)")</t>
  </si>
  <si>
    <t>=NF($D5380,"16 Remaining Amt. (LCY)")</t>
  </si>
  <si>
    <t>=NF($D5381,"16 Remaining Amt. (LCY)")</t>
  </si>
  <si>
    <t>=NF($D5382,"16 Remaining Amt. (LCY)")</t>
  </si>
  <si>
    <t>=NF($D5383,"16 Remaining Amt. (LCY)")</t>
  </si>
  <si>
    <t>=NF($D5321,"5 Document Type")</t>
  </si>
  <si>
    <t>=NF($D5322,"5 Document Type")</t>
  </si>
  <si>
    <t>=NF($D5323,"5 Document Type")</t>
  </si>
  <si>
    <t>=NF($D5324,"5 Document Type")</t>
  </si>
  <si>
    <t>=NF($D5325,"5 Document Type")</t>
  </si>
  <si>
    <t>=NF($D5326,"5 Document Type")</t>
  </si>
  <si>
    <t>=NF($D5327,"5 Document Type")</t>
  </si>
  <si>
    <t>=NF($D5328,"5 Document Type")</t>
  </si>
  <si>
    <t>=NF($D5329,"5 Document Type")</t>
  </si>
  <si>
    <t>=NF($D5330,"5 Document Type")</t>
  </si>
  <si>
    <t>=NF($D5331,"5 Document Type")</t>
  </si>
  <si>
    <t>=NF($D5332,"5 Document Type")</t>
  </si>
  <si>
    <t>=NF($D5333,"5 Document Type")</t>
  </si>
  <si>
    <t>=NF($D5334,"5 Document Type")</t>
  </si>
  <si>
    <t>=NF($D5335,"5 Document Type")</t>
  </si>
  <si>
    <t>=NF($D5336,"5 Document Type")</t>
  </si>
  <si>
    <t>=NF($D5337,"5 Document Type")</t>
  </si>
  <si>
    <t>=NF($D5338,"5 Document Type")</t>
  </si>
  <si>
    <t>=NF($D5339,"5 Document Type")</t>
  </si>
  <si>
    <t>=NF($D5340,"5 Document Type")</t>
  </si>
  <si>
    <t>=NF($D5341,"5 Document Type")</t>
  </si>
  <si>
    <t>=NF($D5342,"5 Document Type")</t>
  </si>
  <si>
    <t>=NF($D5343,"5 Document Type")</t>
  </si>
  <si>
    <t>=NF($D5344,"5 Document Type")</t>
  </si>
  <si>
    <t>=NF($D5345,"5 Document Type")</t>
  </si>
  <si>
    <t>=NF($D5346,"5 Document Type")</t>
  </si>
  <si>
    <t>=NF($D5347,"5 Document Type")</t>
  </si>
  <si>
    <t>=NF($D5348,"5 Document Type")</t>
  </si>
  <si>
    <t>=NF($D5349,"5 Document Type")</t>
  </si>
  <si>
    <t>=NF($D5350,"5 Document Type")</t>
  </si>
  <si>
    <t>=NF($D5351,"5 Document Type")</t>
  </si>
  <si>
    <t>=NF($D5352,"5 Document Type")</t>
  </si>
  <si>
    <t>=NF($D5321,"6 Document No.")</t>
  </si>
  <si>
    <t>=NF($D5322,"6 Document No.")</t>
  </si>
  <si>
    <t>=NF($D5323,"6 Document No.")</t>
  </si>
  <si>
    <t>=NF($D5324,"6 Document No.")</t>
  </si>
  <si>
    <t>=NF($D5325,"6 Document No.")</t>
  </si>
  <si>
    <t>=NF($D5326,"6 Document No.")</t>
  </si>
  <si>
    <t>=NF($D5327,"6 Document No.")</t>
  </si>
  <si>
    <t>=NF($D5328,"6 Document No.")</t>
  </si>
  <si>
    <t>=NF($D5329,"6 Document No.")</t>
  </si>
  <si>
    <t>=NF($D5330,"6 Document No.")</t>
  </si>
  <si>
    <t>=NF($D5331,"6 Document No.")</t>
  </si>
  <si>
    <t>=NF($D5332,"6 Document No.")</t>
  </si>
  <si>
    <t>=NF($D5333,"6 Document No.")</t>
  </si>
  <si>
    <t>=NF($D5334,"6 Document No.")</t>
  </si>
  <si>
    <t>=NF($D5335,"6 Document No.")</t>
  </si>
  <si>
    <t>=NF($D5336,"6 Document No.")</t>
  </si>
  <si>
    <t>=NF($D5337,"6 Document No.")</t>
  </si>
  <si>
    <t>=NF($D5338,"6 Document No.")</t>
  </si>
  <si>
    <t>=NF($D5339,"6 Document No.")</t>
  </si>
  <si>
    <t>=NF($D5340,"6 Document No.")</t>
  </si>
  <si>
    <t>=NF($D5341,"6 Document No.")</t>
  </si>
  <si>
    <t>=NF($D5342,"6 Document No.")</t>
  </si>
  <si>
    <t>=NF($D5343,"6 Document No.")</t>
  </si>
  <si>
    <t>=NF($D5344,"6 Document No.")</t>
  </si>
  <si>
    <t>=NF($D5345,"6 Document No.")</t>
  </si>
  <si>
    <t>=NF($D5346,"6 Document No.")</t>
  </si>
  <si>
    <t>=NF($D5347,"6 Document No.")</t>
  </si>
  <si>
    <t>=NF($D5348,"6 Document No.")</t>
  </si>
  <si>
    <t>=NF($D5349,"6 Document No.")</t>
  </si>
  <si>
    <t>=NF($D5350,"6 Document No.")</t>
  </si>
  <si>
    <t>=NF($D5351,"6 Document No.")</t>
  </si>
  <si>
    <t>=NF($D5352,"6 Document No.")</t>
  </si>
  <si>
    <t>=NF($D5321,"37 Due Date")</t>
  </si>
  <si>
    <t>=NF($D5322,"37 Due Date")</t>
  </si>
  <si>
    <t>=NF($D5323,"37 Due Date")</t>
  </si>
  <si>
    <t>=NF($D5324,"37 Due Date")</t>
  </si>
  <si>
    <t>=NF($D5325,"37 Due Date")</t>
  </si>
  <si>
    <t>=NF($D5326,"37 Due Date")</t>
  </si>
  <si>
    <t>=NF($D5327,"37 Due Date")</t>
  </si>
  <si>
    <t>=NF($D5328,"37 Due Date")</t>
  </si>
  <si>
    <t>=NF($D5329,"37 Due Date")</t>
  </si>
  <si>
    <t>=NF($D5330,"37 Due Date")</t>
  </si>
  <si>
    <t>=NF($D5331,"37 Due Date")</t>
  </si>
  <si>
    <t>=NF($D5332,"37 Due Date")</t>
  </si>
  <si>
    <t>=NF($D5333,"37 Due Date")</t>
  </si>
  <si>
    <t>=NF($D5334,"37 Due Date")</t>
  </si>
  <si>
    <t>=NF($D5335,"37 Due Date")</t>
  </si>
  <si>
    <t>=NF($D5336,"37 Due Date")</t>
  </si>
  <si>
    <t>=NF($D5337,"37 Due Date")</t>
  </si>
  <si>
    <t>=NF($D5338,"37 Due Date")</t>
  </si>
  <si>
    <t>=NF($D5339,"37 Due Date")</t>
  </si>
  <si>
    <t>=NF($D5340,"37 Due Date")</t>
  </si>
  <si>
    <t>=NF($D5341,"37 Due Date")</t>
  </si>
  <si>
    <t>=NF($D5342,"37 Due Date")</t>
  </si>
  <si>
    <t>=NF($D5343,"37 Due Date")</t>
  </si>
  <si>
    <t>=NF($D5344,"37 Due Date")</t>
  </si>
  <si>
    <t>=NF($D5345,"37 Due Date")</t>
  </si>
  <si>
    <t>=NF($D5346,"37 Due Date")</t>
  </si>
  <si>
    <t>=NF($D5347,"37 Due Date")</t>
  </si>
  <si>
    <t>=NF($D5348,"37 Due Date")</t>
  </si>
  <si>
    <t>=NF($D5349,"37 Due Date")</t>
  </si>
  <si>
    <t>=NF($D5350,"37 Due Date")</t>
  </si>
  <si>
    <t>=NF($D5351,"37 Due Date")</t>
  </si>
  <si>
    <t>=NF($D5352,"37 Due Date")</t>
  </si>
  <si>
    <t>=NF($D5321,"16 Remaining Amt. (LCY)")</t>
  </si>
  <si>
    <t>=NF($D5322,"16 Remaining Amt. (LCY)")</t>
  </si>
  <si>
    <t>=NF($D5323,"16 Remaining Amt. (LCY)")</t>
  </si>
  <si>
    <t>=NF($D5324,"16 Remaining Amt. (LCY)")</t>
  </si>
  <si>
    <t>=NF($D5325,"16 Remaining Amt. (LCY)")</t>
  </si>
  <si>
    <t>=NF($D5326,"16 Remaining Amt. (LCY)")</t>
  </si>
  <si>
    <t>=NF($D5327,"16 Remaining Amt. (LCY)")</t>
  </si>
  <si>
    <t>=NF($D5328,"16 Remaining Amt. (LCY)")</t>
  </si>
  <si>
    <t>=NF($D5329,"16 Remaining Amt. (LCY)")</t>
  </si>
  <si>
    <t>=NF($D5330,"16 Remaining Amt. (LCY)")</t>
  </si>
  <si>
    <t>=NF($D5331,"16 Remaining Amt. (LCY)")</t>
  </si>
  <si>
    <t>=NF($D5332,"16 Remaining Amt. (LCY)")</t>
  </si>
  <si>
    <t>=NF($D5333,"16 Remaining Amt. (LCY)")</t>
  </si>
  <si>
    <t>=NF($D5334,"16 Remaining Amt. (LCY)")</t>
  </si>
  <si>
    <t>=NF($D5335,"16 Remaining Amt. (LCY)")</t>
  </si>
  <si>
    <t>=NF($D5336,"16 Remaining Amt. (LCY)")</t>
  </si>
  <si>
    <t>=NF($D5337,"16 Remaining Amt. (LCY)")</t>
  </si>
  <si>
    <t>=NF($D5338,"16 Remaining Amt. (LCY)")</t>
  </si>
  <si>
    <t>=NF($D5339,"16 Remaining Amt. (LCY)")</t>
  </si>
  <si>
    <t>=NF($D5340,"16 Remaining Amt. (LCY)")</t>
  </si>
  <si>
    <t>=NF($D5341,"16 Remaining Amt. (LCY)")</t>
  </si>
  <si>
    <t>=NF($D5342,"16 Remaining Amt. (LCY)")</t>
  </si>
  <si>
    <t>=NF($D5343,"16 Remaining Amt. (LCY)")</t>
  </si>
  <si>
    <t>=NF($D5344,"16 Remaining Amt. (LCY)")</t>
  </si>
  <si>
    <t>=NF($D5345,"16 Remaining Amt. (LCY)")</t>
  </si>
  <si>
    <t>=NF($D5346,"16 Remaining Amt. (LCY)")</t>
  </si>
  <si>
    <t>=NF($D5347,"16 Remaining Amt. (LCY)")</t>
  </si>
  <si>
    <t>=NF($D5348,"16 Remaining Amt. (LCY)")</t>
  </si>
  <si>
    <t>=NF($D5349,"16 Remaining Amt. (LCY)")</t>
  </si>
  <si>
    <t>=NF($D5350,"16 Remaining Amt. (LCY)")</t>
  </si>
  <si>
    <t>=NF($D5351,"16 Remaining Amt. (LCY)")</t>
  </si>
  <si>
    <t>=NF($D5352,"16 Remaining Amt. (LCY)")</t>
  </si>
  <si>
    <t>=NF($D5221,"5 Document Type")</t>
  </si>
  <si>
    <t>=NF($D5222,"5 Document Type")</t>
  </si>
  <si>
    <t>=NF($D5223,"5 Document Type")</t>
  </si>
  <si>
    <t>=NF($D5224,"5 Document Type")</t>
  </si>
  <si>
    <t>=NF($D5225,"5 Document Type")</t>
  </si>
  <si>
    <t>=NF($D5226,"5 Document Type")</t>
  </si>
  <si>
    <t>=NF($D5227,"5 Document Type")</t>
  </si>
  <si>
    <t>=NF($D5228,"5 Document Type")</t>
  </si>
  <si>
    <t>=NF($D5229,"5 Document Type")</t>
  </si>
  <si>
    <t>=NF($D5230,"5 Document Type")</t>
  </si>
  <si>
    <t>=NF($D5231,"5 Document Type")</t>
  </si>
  <si>
    <t>=NF($D5232,"5 Document Type")</t>
  </si>
  <si>
    <t>=NF($D5233,"5 Document Type")</t>
  </si>
  <si>
    <t>=NF($D5234,"5 Document Type")</t>
  </si>
  <si>
    <t>=NF($D5235,"5 Document Type")</t>
  </si>
  <si>
    <t>=NF($D5236,"5 Document Type")</t>
  </si>
  <si>
    <t>=NF($D5237,"5 Document Type")</t>
  </si>
  <si>
    <t>=NF($D5238,"5 Document Type")</t>
  </si>
  <si>
    <t>=NF($D5239,"5 Document Type")</t>
  </si>
  <si>
    <t>=NF($D5240,"5 Document Type")</t>
  </si>
  <si>
    <t>=NF($D5241,"5 Document Type")</t>
  </si>
  <si>
    <t>=NF($D5242,"5 Document Type")</t>
  </si>
  <si>
    <t>=NF($D5243,"5 Document Type")</t>
  </si>
  <si>
    <t>=NF($D5244,"5 Document Type")</t>
  </si>
  <si>
    <t>=NF($D5245,"5 Document Type")</t>
  </si>
  <si>
    <t>=NF($D5246,"5 Document Type")</t>
  </si>
  <si>
    <t>=NF($D5247,"5 Document Type")</t>
  </si>
  <si>
    <t>=NF($D5248,"5 Document Type")</t>
  </si>
  <si>
    <t>=NF($D5249,"5 Document Type")</t>
  </si>
  <si>
    <t>=NF($D5250,"5 Document Type")</t>
  </si>
  <si>
    <t>=NF($D5251,"5 Document Type")</t>
  </si>
  <si>
    <t>=NF($D5252,"5 Document Type")</t>
  </si>
  <si>
    <t>=NF($D5253,"5 Document Type")</t>
  </si>
  <si>
    <t>=NF($D5254,"5 Document Type")</t>
  </si>
  <si>
    <t>=NF($D5255,"5 Document Type")</t>
  </si>
  <si>
    <t>=NF($D5256,"5 Document Type")</t>
  </si>
  <si>
    <t>=NF($D5257,"5 Document Type")</t>
  </si>
  <si>
    <t>=NF($D5258,"5 Document Type")</t>
  </si>
  <si>
    <t>=NF($D5259,"5 Document Type")</t>
  </si>
  <si>
    <t>=NF($D5260,"5 Document Type")</t>
  </si>
  <si>
    <t>=NF($D5261,"5 Document Type")</t>
  </si>
  <si>
    <t>=NF($D5262,"5 Document Type")</t>
  </si>
  <si>
    <t>=NF($D5263,"5 Document Type")</t>
  </si>
  <si>
    <t>=NF($D5264,"5 Document Type")</t>
  </si>
  <si>
    <t>=NF($D5265,"5 Document Type")</t>
  </si>
  <si>
    <t>=NF($D5266,"5 Document Type")</t>
  </si>
  <si>
    <t>=NF($D5267,"5 Document Type")</t>
  </si>
  <si>
    <t>=NF($D5268,"5 Document Type")</t>
  </si>
  <si>
    <t>=NF($D5269,"5 Document Type")</t>
  </si>
  <si>
    <t>=NF($D5270,"5 Document Type")</t>
  </si>
  <si>
    <t>=NF($D5271,"5 Document Type")</t>
  </si>
  <si>
    <t>=NF($D5272,"5 Document Type")</t>
  </si>
  <si>
    <t>=NF($D5273,"5 Document Type")</t>
  </si>
  <si>
    <t>=NF($D5274,"5 Document Type")</t>
  </si>
  <si>
    <t>=NF($D5275,"5 Document Type")</t>
  </si>
  <si>
    <t>=NF($D5276,"5 Document Type")</t>
  </si>
  <si>
    <t>=NF($D5277,"5 Document Type")</t>
  </si>
  <si>
    <t>=NF($D5278,"5 Document Type")</t>
  </si>
  <si>
    <t>=NF($D5279,"5 Document Type")</t>
  </si>
  <si>
    <t>=NF($D5280,"5 Document Type")</t>
  </si>
  <si>
    <t>=NF($D5281,"5 Document Type")</t>
  </si>
  <si>
    <t>=NF($D5282,"5 Document Type")</t>
  </si>
  <si>
    <t>=NF($D5283,"5 Document Type")</t>
  </si>
  <si>
    <t>=NF($D5284,"5 Document Type")</t>
  </si>
  <si>
    <t>=NF($D5285,"5 Document Type")</t>
  </si>
  <si>
    <t>=NF($D5286,"5 Document Type")</t>
  </si>
  <si>
    <t>=NF($D5287,"5 Document Type")</t>
  </si>
  <si>
    <t>=NF($D5288,"5 Document Type")</t>
  </si>
  <si>
    <t>=NF($D5289,"5 Document Type")</t>
  </si>
  <si>
    <t>=NF($D5290,"5 Document Type")</t>
  </si>
  <si>
    <t>=NF($D5291,"5 Document Type")</t>
  </si>
  <si>
    <t>=NF($D5292,"5 Document Type")</t>
  </si>
  <si>
    <t>=NF($D5293,"5 Document Type")</t>
  </si>
  <si>
    <t>=NF($D5294,"5 Document Type")</t>
  </si>
  <si>
    <t>=NF($D5295,"5 Document Type")</t>
  </si>
  <si>
    <t>=NF($D5296,"5 Document Type")</t>
  </si>
  <si>
    <t>=NF($D5297,"5 Document Type")</t>
  </si>
  <si>
    <t>=NF($D5298,"5 Document Type")</t>
  </si>
  <si>
    <t>=NF($D5299,"5 Document Type")</t>
  </si>
  <si>
    <t>=NF($D5300,"5 Document Type")</t>
  </si>
  <si>
    <t>=NF($D5301,"5 Document Type")</t>
  </si>
  <si>
    <t>=NF($D5302,"5 Document Type")</t>
  </si>
  <si>
    <t>=NF($D5303,"5 Document Type")</t>
  </si>
  <si>
    <t>=NF($D5304,"5 Document Type")</t>
  </si>
  <si>
    <t>=NF($D5305,"5 Document Type")</t>
  </si>
  <si>
    <t>=NF($D5306,"5 Document Type")</t>
  </si>
  <si>
    <t>=NF($D5307,"5 Document Type")</t>
  </si>
  <si>
    <t>=NF($D5308,"5 Document Type")</t>
  </si>
  <si>
    <t>=NF($D5309,"5 Document Type")</t>
  </si>
  <si>
    <t>=NF($D5310,"5 Document Type")</t>
  </si>
  <si>
    <t>=NF($D5311,"5 Document Type")</t>
  </si>
  <si>
    <t>=NF($D5312,"5 Document Type")</t>
  </si>
  <si>
    <t>=NF($D5313,"5 Document Type")</t>
  </si>
  <si>
    <t>=NF($D5314,"5 Document Type")</t>
  </si>
  <si>
    <t>=NF($D5221,"6 Document No.")</t>
  </si>
  <si>
    <t>=NF($D5222,"6 Document No.")</t>
  </si>
  <si>
    <t>=NF($D5223,"6 Document No.")</t>
  </si>
  <si>
    <t>=NF($D5224,"6 Document No.")</t>
  </si>
  <si>
    <t>=NF($D5225,"6 Document No.")</t>
  </si>
  <si>
    <t>=NF($D5226,"6 Document No.")</t>
  </si>
  <si>
    <t>=NF($D5227,"6 Document No.")</t>
  </si>
  <si>
    <t>=NF($D5228,"6 Document No.")</t>
  </si>
  <si>
    <t>=NF($D5229,"6 Document No.")</t>
  </si>
  <si>
    <t>=NF($D5230,"6 Document No.")</t>
  </si>
  <si>
    <t>=NF($D5231,"6 Document No.")</t>
  </si>
  <si>
    <t>=NF($D5232,"6 Document No.")</t>
  </si>
  <si>
    <t>=NF($D5233,"6 Document No.")</t>
  </si>
  <si>
    <t>=NF($D5234,"6 Document No.")</t>
  </si>
  <si>
    <t>=NF($D5235,"6 Document No.")</t>
  </si>
  <si>
    <t>=NF($D5236,"6 Document No.")</t>
  </si>
  <si>
    <t>=NF($D5237,"6 Document No.")</t>
  </si>
  <si>
    <t>=NF($D5238,"6 Document No.")</t>
  </si>
  <si>
    <t>=NF($D5239,"6 Document No.")</t>
  </si>
  <si>
    <t>=NF($D5240,"6 Document No.")</t>
  </si>
  <si>
    <t>=NF($D5241,"6 Document No.")</t>
  </si>
  <si>
    <t>=NF($D5242,"6 Document No.")</t>
  </si>
  <si>
    <t>=NF($D5243,"6 Document No.")</t>
  </si>
  <si>
    <t>=NF($D5244,"6 Document No.")</t>
  </si>
  <si>
    <t>=NF($D5245,"6 Document No.")</t>
  </si>
  <si>
    <t>=NF($D5246,"6 Document No.")</t>
  </si>
  <si>
    <t>=NF($D5247,"6 Document No.")</t>
  </si>
  <si>
    <t>=NF($D5248,"6 Document No.")</t>
  </si>
  <si>
    <t>=NF($D5249,"6 Document No.")</t>
  </si>
  <si>
    <t>=NF($D5250,"6 Document No.")</t>
  </si>
  <si>
    <t>=NF($D5251,"6 Document No.")</t>
  </si>
  <si>
    <t>=NF($D5252,"6 Document No.")</t>
  </si>
  <si>
    <t>=NF($D5253,"6 Document No.")</t>
  </si>
  <si>
    <t>=NF($D5254,"6 Document No.")</t>
  </si>
  <si>
    <t>=NF($D5255,"6 Document No.")</t>
  </si>
  <si>
    <t>=NF($D5256,"6 Document No.")</t>
  </si>
  <si>
    <t>=NF($D5257,"6 Document No.")</t>
  </si>
  <si>
    <t>=NF($D5258,"6 Document No.")</t>
  </si>
  <si>
    <t>=NF($D5259,"6 Document No.")</t>
  </si>
  <si>
    <t>=NF($D5260,"6 Document No.")</t>
  </si>
  <si>
    <t>=NF($D5261,"6 Document No.")</t>
  </si>
  <si>
    <t>=NF($D5262,"6 Document No.")</t>
  </si>
  <si>
    <t>=NF($D5263,"6 Document No.")</t>
  </si>
  <si>
    <t>=NF($D5264,"6 Document No.")</t>
  </si>
  <si>
    <t>=NF($D5265,"6 Document No.")</t>
  </si>
  <si>
    <t>=NF($D5266,"6 Document No.")</t>
  </si>
  <si>
    <t>=NF($D5267,"6 Document No.")</t>
  </si>
  <si>
    <t>=NF($D5268,"6 Document No.")</t>
  </si>
  <si>
    <t>=NF($D5269,"6 Document No.")</t>
  </si>
  <si>
    <t>=NF($D5270,"6 Document No.")</t>
  </si>
  <si>
    <t>=NF($D5271,"6 Document No.")</t>
  </si>
  <si>
    <t>=NF($D5272,"6 Document No.")</t>
  </si>
  <si>
    <t>=NF($D5273,"6 Document No.")</t>
  </si>
  <si>
    <t>=NF($D5274,"6 Document No.")</t>
  </si>
  <si>
    <t>=NF($D5275,"6 Document No.")</t>
  </si>
  <si>
    <t>=NF($D5276,"6 Document No.")</t>
  </si>
  <si>
    <t>=NF($D5277,"6 Document No.")</t>
  </si>
  <si>
    <t>=NF($D5278,"6 Document No.")</t>
  </si>
  <si>
    <t>=NF($D5279,"6 Document No.")</t>
  </si>
  <si>
    <t>=NF($D5280,"6 Document No.")</t>
  </si>
  <si>
    <t>=NF($D5281,"6 Document No.")</t>
  </si>
  <si>
    <t>=NF($D5282,"6 Document No.")</t>
  </si>
  <si>
    <t>=NF($D5283,"6 Document No.")</t>
  </si>
  <si>
    <t>=NF($D5284,"6 Document No.")</t>
  </si>
  <si>
    <t>=NF($D5285,"6 Document No.")</t>
  </si>
  <si>
    <t>=NF($D5286,"6 Document No.")</t>
  </si>
  <si>
    <t>=NF($D5287,"6 Document No.")</t>
  </si>
  <si>
    <t>=NF($D5288,"6 Document No.")</t>
  </si>
  <si>
    <t>=NF($D5289,"6 Document No.")</t>
  </si>
  <si>
    <t>=NF($D5290,"6 Document No.")</t>
  </si>
  <si>
    <t>=NF($D5291,"6 Document No.")</t>
  </si>
  <si>
    <t>=NF($D5292,"6 Document No.")</t>
  </si>
  <si>
    <t>=NF($D5293,"6 Document No.")</t>
  </si>
  <si>
    <t>=NF($D5294,"6 Document No.")</t>
  </si>
  <si>
    <t>=NF($D5295,"6 Document No.")</t>
  </si>
  <si>
    <t>=NF($D5296,"6 Document No.")</t>
  </si>
  <si>
    <t>=NF($D5297,"6 Document No.")</t>
  </si>
  <si>
    <t>=NF($D5298,"6 Document No.")</t>
  </si>
  <si>
    <t>=NF($D5299,"6 Document No.")</t>
  </si>
  <si>
    <t>=NF($D5300,"6 Document No.")</t>
  </si>
  <si>
    <t>=NF($D5301,"6 Document No.")</t>
  </si>
  <si>
    <t>=NF($D5302,"6 Document No.")</t>
  </si>
  <si>
    <t>=NF($D5303,"6 Document No.")</t>
  </si>
  <si>
    <t>=NF($D5304,"6 Document No.")</t>
  </si>
  <si>
    <t>=NF($D5305,"6 Document No.")</t>
  </si>
  <si>
    <t>=NF($D5306,"6 Document No.")</t>
  </si>
  <si>
    <t>=NF($D5307,"6 Document No.")</t>
  </si>
  <si>
    <t>=NF($D5308,"6 Document No.")</t>
  </si>
  <si>
    <t>=NF($D5309,"6 Document No.")</t>
  </si>
  <si>
    <t>=NF($D5310,"6 Document No.")</t>
  </si>
  <si>
    <t>=NF($D5311,"6 Document No.")</t>
  </si>
  <si>
    <t>=NF($D5312,"6 Document No.")</t>
  </si>
  <si>
    <t>=NF($D5313,"6 Document No.")</t>
  </si>
  <si>
    <t>=NF($D5314,"6 Document No.")</t>
  </si>
  <si>
    <t>=NF($D5221,"37 Due Date")</t>
  </si>
  <si>
    <t>=NF($D5222,"37 Due Date")</t>
  </si>
  <si>
    <t>=NF($D5223,"37 Due Date")</t>
  </si>
  <si>
    <t>=NF($D5224,"37 Due Date")</t>
  </si>
  <si>
    <t>=NF($D5225,"37 Due Date")</t>
  </si>
  <si>
    <t>=NF($D5226,"37 Due Date")</t>
  </si>
  <si>
    <t>=NF($D5227,"37 Due Date")</t>
  </si>
  <si>
    <t>=NF($D5228,"37 Due Date")</t>
  </si>
  <si>
    <t>=NF($D5229,"37 Due Date")</t>
  </si>
  <si>
    <t>=NF($D5230,"37 Due Date")</t>
  </si>
  <si>
    <t>=NF($D5231,"37 Due Date")</t>
  </si>
  <si>
    <t>=NF($D5232,"37 Due Date")</t>
  </si>
  <si>
    <t>=NF($D5233,"37 Due Date")</t>
  </si>
  <si>
    <t>=NF($D5234,"37 Due Date")</t>
  </si>
  <si>
    <t>=NF($D5235,"37 Due Date")</t>
  </si>
  <si>
    <t>=NF($D5236,"37 Due Date")</t>
  </si>
  <si>
    <t>=NF($D5237,"37 Due Date")</t>
  </si>
  <si>
    <t>=NF($D5238,"37 Due Date")</t>
  </si>
  <si>
    <t>=NF($D5239,"37 Due Date")</t>
  </si>
  <si>
    <t>=NF($D5240,"37 Due Date")</t>
  </si>
  <si>
    <t>=NF($D5241,"37 Due Date")</t>
  </si>
  <si>
    <t>=NF($D5242,"37 Due Date")</t>
  </si>
  <si>
    <t>=NF($D5243,"37 Due Date")</t>
  </si>
  <si>
    <t>=NF($D5244,"37 Due Date")</t>
  </si>
  <si>
    <t>=NF($D5245,"37 Due Date")</t>
  </si>
  <si>
    <t>=NF($D5246,"37 Due Date")</t>
  </si>
  <si>
    <t>=NF($D5247,"37 Due Date")</t>
  </si>
  <si>
    <t>=NF($D5248,"37 Due Date")</t>
  </si>
  <si>
    <t>=NF($D5249,"37 Due Date")</t>
  </si>
  <si>
    <t>=NF($D5250,"37 Due Date")</t>
  </si>
  <si>
    <t>=NF($D5251,"37 Due Date")</t>
  </si>
  <si>
    <t>=NF($D5252,"37 Due Date")</t>
  </si>
  <si>
    <t>=NF($D5253,"37 Due Date")</t>
  </si>
  <si>
    <t>=NF($D5254,"37 Due Date")</t>
  </si>
  <si>
    <t>=NF($D5255,"37 Due Date")</t>
  </si>
  <si>
    <t>=NF($D5256,"37 Due Date")</t>
  </si>
  <si>
    <t>=NF($D5257,"37 Due Date")</t>
  </si>
  <si>
    <t>=NF($D5258,"37 Due Date")</t>
  </si>
  <si>
    <t>=NF($D5259,"37 Due Date")</t>
  </si>
  <si>
    <t>=NF($D5260,"37 Due Date")</t>
  </si>
  <si>
    <t>=NF($D5261,"37 Due Date")</t>
  </si>
  <si>
    <t>=NF($D5262,"37 Due Date")</t>
  </si>
  <si>
    <t>=NF($D5263,"37 Due Date")</t>
  </si>
  <si>
    <t>=NF($D5264,"37 Due Date")</t>
  </si>
  <si>
    <t>=NF($D5265,"37 Due Date")</t>
  </si>
  <si>
    <t>=NF($D5266,"37 Due Date")</t>
  </si>
  <si>
    <t>=NF($D5267,"37 Due Date")</t>
  </si>
  <si>
    <t>=NF($D5268,"37 Due Date")</t>
  </si>
  <si>
    <t>=NF($D5269,"37 Due Date")</t>
  </si>
  <si>
    <t>=NF($D5270,"37 Due Date")</t>
  </si>
  <si>
    <t>=NF($D5271,"37 Due Date")</t>
  </si>
  <si>
    <t>=NF($D5272,"37 Due Date")</t>
  </si>
  <si>
    <t>=NF($D5273,"37 Due Date")</t>
  </si>
  <si>
    <t>=NF($D5274,"37 Due Date")</t>
  </si>
  <si>
    <t>=NF($D5275,"37 Due Date")</t>
  </si>
  <si>
    <t>=NF($D5276,"37 Due Date")</t>
  </si>
  <si>
    <t>=NF($D5277,"37 Due Date")</t>
  </si>
  <si>
    <t>=NF($D5278,"37 Due Date")</t>
  </si>
  <si>
    <t>=NF($D5279,"37 Due Date")</t>
  </si>
  <si>
    <t>=NF($D5280,"37 Due Date")</t>
  </si>
  <si>
    <t>=NF($D5281,"37 Due Date")</t>
  </si>
  <si>
    <t>=NF($D5282,"37 Due Date")</t>
  </si>
  <si>
    <t>=NF($D5283,"37 Due Date")</t>
  </si>
  <si>
    <t>=NF($D5284,"37 Due Date")</t>
  </si>
  <si>
    <t>=NF($D5285,"37 Due Date")</t>
  </si>
  <si>
    <t>=NF($D5286,"37 Due Date")</t>
  </si>
  <si>
    <t>=NF($D5287,"37 Due Date")</t>
  </si>
  <si>
    <t>=NF($D5288,"37 Due Date")</t>
  </si>
  <si>
    <t>=NF($D5289,"37 Due Date")</t>
  </si>
  <si>
    <t>=NF($D5290,"37 Due Date")</t>
  </si>
  <si>
    <t>=NF($D5291,"37 Due Date")</t>
  </si>
  <si>
    <t>=NF($D5292,"37 Due Date")</t>
  </si>
  <si>
    <t>=NF($D5293,"37 Due Date")</t>
  </si>
  <si>
    <t>=NF($D5294,"37 Due Date")</t>
  </si>
  <si>
    <t>=NF($D5295,"37 Due Date")</t>
  </si>
  <si>
    <t>=NF($D5296,"37 Due Date")</t>
  </si>
  <si>
    <t>=NF($D5297,"37 Due Date")</t>
  </si>
  <si>
    <t>=NF($D5298,"37 Due Date")</t>
  </si>
  <si>
    <t>=NF($D5299,"37 Due Date")</t>
  </si>
  <si>
    <t>=NF($D5300,"37 Due Date")</t>
  </si>
  <si>
    <t>=NF($D5301,"37 Due Date")</t>
  </si>
  <si>
    <t>=NF($D5302,"37 Due Date")</t>
  </si>
  <si>
    <t>=NF($D5303,"37 Due Date")</t>
  </si>
  <si>
    <t>=NF($D5304,"37 Due Date")</t>
  </si>
  <si>
    <t>=NF($D5305,"37 Due Date")</t>
  </si>
  <si>
    <t>=NF($D5306,"37 Due Date")</t>
  </si>
  <si>
    <t>=NF($D5307,"37 Due Date")</t>
  </si>
  <si>
    <t>=NF($D5308,"37 Due Date")</t>
  </si>
  <si>
    <t>=NF($D5309,"37 Due Date")</t>
  </si>
  <si>
    <t>=NF($D5310,"37 Due Date")</t>
  </si>
  <si>
    <t>=NF($D5311,"37 Due Date")</t>
  </si>
  <si>
    <t>=NF($D5312,"37 Due Date")</t>
  </si>
  <si>
    <t>=NF($D5313,"37 Due Date")</t>
  </si>
  <si>
    <t>=NF($D5314,"37 Due Date")</t>
  </si>
  <si>
    <t>=NF($D5221,"16 Remaining Amt. (LCY)")</t>
  </si>
  <si>
    <t>=NF($D5222,"16 Remaining Amt. (LCY)")</t>
  </si>
  <si>
    <t>=NF($D5223,"16 Remaining Amt. (LCY)")</t>
  </si>
  <si>
    <t>=NF($D5224,"16 Remaining Amt. (LCY)")</t>
  </si>
  <si>
    <t>=NF($D5225,"16 Remaining Amt. (LCY)")</t>
  </si>
  <si>
    <t>=NF($D5226,"16 Remaining Amt. (LCY)")</t>
  </si>
  <si>
    <t>=NF($D5227,"16 Remaining Amt. (LCY)")</t>
  </si>
  <si>
    <t>=NF($D5228,"16 Remaining Amt. (LCY)")</t>
  </si>
  <si>
    <t>=NF($D5229,"16 Remaining Amt. (LCY)")</t>
  </si>
  <si>
    <t>=NF($D5230,"16 Remaining Amt. (LCY)")</t>
  </si>
  <si>
    <t>=NF($D5231,"16 Remaining Amt. (LCY)")</t>
  </si>
  <si>
    <t>=NF($D5232,"16 Remaining Amt. (LCY)")</t>
  </si>
  <si>
    <t>=NF($D5233,"16 Remaining Amt. (LCY)")</t>
  </si>
  <si>
    <t>=NF($D5234,"16 Remaining Amt. (LCY)")</t>
  </si>
  <si>
    <t>=NF($D5235,"16 Remaining Amt. (LCY)")</t>
  </si>
  <si>
    <t>=NF($D5236,"16 Remaining Amt. (LCY)")</t>
  </si>
  <si>
    <t>=NF($D5237,"16 Remaining Amt. (LCY)")</t>
  </si>
  <si>
    <t>=NF($D5238,"16 Remaining Amt. (LCY)")</t>
  </si>
  <si>
    <t>=NF($D5239,"16 Remaining Amt. (LCY)")</t>
  </si>
  <si>
    <t>=NF($D5240,"16 Remaining Amt. (LCY)")</t>
  </si>
  <si>
    <t>=NF($D5241,"16 Remaining Amt. (LCY)")</t>
  </si>
  <si>
    <t>=NF($D5242,"16 Remaining Amt. (LCY)")</t>
  </si>
  <si>
    <t>=NF($D5243,"16 Remaining Amt. (LCY)")</t>
  </si>
  <si>
    <t>=NF($D5244,"16 Remaining Amt. (LCY)")</t>
  </si>
  <si>
    <t>=NF($D5245,"16 Remaining Amt. (LCY)")</t>
  </si>
  <si>
    <t>=NF($D5246,"16 Remaining Amt. (LCY)")</t>
  </si>
  <si>
    <t>=NF($D5247,"16 Remaining Amt. (LCY)")</t>
  </si>
  <si>
    <t>=NF($D5248,"16 Remaining Amt. (LCY)")</t>
  </si>
  <si>
    <t>=NF($D5249,"16 Remaining Amt. (LCY)")</t>
  </si>
  <si>
    <t>=NF($D5250,"16 Remaining Amt. (LCY)")</t>
  </si>
  <si>
    <t>=NF($D5251,"16 Remaining Amt. (LCY)")</t>
  </si>
  <si>
    <t>=NF($D5252,"16 Remaining Amt. (LCY)")</t>
  </si>
  <si>
    <t>=NF($D5253,"16 Remaining Amt. (LCY)")</t>
  </si>
  <si>
    <t>=NF($D5254,"16 Remaining Amt. (LCY)")</t>
  </si>
  <si>
    <t>=NF($D5255,"16 Remaining Amt. (LCY)")</t>
  </si>
  <si>
    <t>=NF($D5256,"16 Remaining Amt. (LCY)")</t>
  </si>
  <si>
    <t>=NF($D5257,"16 Remaining Amt. (LCY)")</t>
  </si>
  <si>
    <t>=NF($D5258,"16 Remaining Amt. (LCY)")</t>
  </si>
  <si>
    <t>=NF($D5259,"16 Remaining Amt. (LCY)")</t>
  </si>
  <si>
    <t>=NF($D5260,"16 Remaining Amt. (LCY)")</t>
  </si>
  <si>
    <t>=NF($D5261,"16 Remaining Amt. (LCY)")</t>
  </si>
  <si>
    <t>=NF($D5262,"16 Remaining Amt. (LCY)")</t>
  </si>
  <si>
    <t>=NF($D5263,"16 Remaining Amt. (LCY)")</t>
  </si>
  <si>
    <t>=NF($D5264,"16 Remaining Amt. (LCY)")</t>
  </si>
  <si>
    <t>=NF($D5265,"16 Remaining Amt. (LCY)")</t>
  </si>
  <si>
    <t>=NF($D5266,"16 Remaining Amt. (LCY)")</t>
  </si>
  <si>
    <t>=NF($D5267,"16 Remaining Amt. (LCY)")</t>
  </si>
  <si>
    <t>=NF($D5268,"16 Remaining Amt. (LCY)")</t>
  </si>
  <si>
    <t>=NF($D5269,"16 Remaining Amt. (LCY)")</t>
  </si>
  <si>
    <t>=NF($D5270,"16 Remaining Amt. (LCY)")</t>
  </si>
  <si>
    <t>=NF($D5271,"16 Remaining Amt. (LCY)")</t>
  </si>
  <si>
    <t>=NF($D5272,"16 Remaining Amt. (LCY)")</t>
  </si>
  <si>
    <t>=NF($D5273,"16 Remaining Amt. (LCY)")</t>
  </si>
  <si>
    <t>=NF($D5274,"16 Remaining Amt. (LCY)")</t>
  </si>
  <si>
    <t>=NF($D5275,"16 Remaining Amt. (LCY)")</t>
  </si>
  <si>
    <t>=NF($D5276,"16 Remaining Amt. (LCY)")</t>
  </si>
  <si>
    <t>=NF($D5277,"16 Remaining Amt. (LCY)")</t>
  </si>
  <si>
    <t>=NF($D5278,"16 Remaining Amt. (LCY)")</t>
  </si>
  <si>
    <t>=NF($D5279,"16 Remaining Amt. (LCY)")</t>
  </si>
  <si>
    <t>=NF($D5280,"16 Remaining Amt. (LCY)")</t>
  </si>
  <si>
    <t>=NF($D5281,"16 Remaining Amt. (LCY)")</t>
  </si>
  <si>
    <t>=NF($D5282,"16 Remaining Amt. (LCY)")</t>
  </si>
  <si>
    <t>=NF($D5283,"16 Remaining Amt. (LCY)")</t>
  </si>
  <si>
    <t>=NF($D5284,"16 Remaining Amt. (LCY)")</t>
  </si>
  <si>
    <t>=NF($D5285,"16 Remaining Amt. (LCY)")</t>
  </si>
  <si>
    <t>=NF($D5286,"16 Remaining Amt. (LCY)")</t>
  </si>
  <si>
    <t>=NF($D5287,"16 Remaining Amt. (LCY)")</t>
  </si>
  <si>
    <t>=NF($D5288,"16 Remaining Amt. (LCY)")</t>
  </si>
  <si>
    <t>=NF($D5289,"16 Remaining Amt. (LCY)")</t>
  </si>
  <si>
    <t>=NF($D5290,"16 Remaining Amt. (LCY)")</t>
  </si>
  <si>
    <t>=NF($D5291,"16 Remaining Amt. (LCY)")</t>
  </si>
  <si>
    <t>=NF($D5292,"16 Remaining Amt. (LCY)")</t>
  </si>
  <si>
    <t>=NF($D5293,"16 Remaining Amt. (LCY)")</t>
  </si>
  <si>
    <t>=NF($D5294,"16 Remaining Amt. (LCY)")</t>
  </si>
  <si>
    <t>=NF($D5295,"16 Remaining Amt. (LCY)")</t>
  </si>
  <si>
    <t>=NF($D5296,"16 Remaining Amt. (LCY)")</t>
  </si>
  <si>
    <t>=NF($D5297,"16 Remaining Amt. (LCY)")</t>
  </si>
  <si>
    <t>=NF($D5298,"16 Remaining Amt. (LCY)")</t>
  </si>
  <si>
    <t>=NF($D5299,"16 Remaining Amt. (LCY)")</t>
  </si>
  <si>
    <t>=NF($D5300,"16 Remaining Amt. (LCY)")</t>
  </si>
  <si>
    <t>=NF($D5301,"16 Remaining Amt. (LCY)")</t>
  </si>
  <si>
    <t>=NF($D5302,"16 Remaining Amt. (LCY)")</t>
  </si>
  <si>
    <t>=NF($D5303,"16 Remaining Amt. (LCY)")</t>
  </si>
  <si>
    <t>=NF($D5304,"16 Remaining Amt. (LCY)")</t>
  </si>
  <si>
    <t>=NF($D5305,"16 Remaining Amt. (LCY)")</t>
  </si>
  <si>
    <t>=NF($D5306,"16 Remaining Amt. (LCY)")</t>
  </si>
  <si>
    <t>=NF($D5307,"16 Remaining Amt. (LCY)")</t>
  </si>
  <si>
    <t>=NF($D5308,"16 Remaining Amt. (LCY)")</t>
  </si>
  <si>
    <t>=NF($D5309,"16 Remaining Amt. (LCY)")</t>
  </si>
  <si>
    <t>=NF($D5310,"16 Remaining Amt. (LCY)")</t>
  </si>
  <si>
    <t>=NF($D5311,"16 Remaining Amt. (LCY)")</t>
  </si>
  <si>
    <t>=NF($D5312,"16 Remaining Amt. (LCY)")</t>
  </si>
  <si>
    <t>=NF($D5313,"16 Remaining Amt. (LCY)")</t>
  </si>
  <si>
    <t>=NF($D5314,"16 Remaining Amt. (LCY)")</t>
  </si>
  <si>
    <t>=NF($D5075,"5 Document Type")</t>
  </si>
  <si>
    <t>=NF($D5076,"5 Document Type")</t>
  </si>
  <si>
    <t>=NF($D5077,"5 Document Type")</t>
  </si>
  <si>
    <t>=NF($D5078,"5 Document Type")</t>
  </si>
  <si>
    <t>=NF($D5079,"5 Document Type")</t>
  </si>
  <si>
    <t>=NF($D5080,"5 Document Type")</t>
  </si>
  <si>
    <t>=NF($D5081,"5 Document Type")</t>
  </si>
  <si>
    <t>=NF($D5082,"5 Document Type")</t>
  </si>
  <si>
    <t>=NF($D5083,"5 Document Type")</t>
  </si>
  <si>
    <t>=NF($D5084,"5 Document Type")</t>
  </si>
  <si>
    <t>=NF($D5085,"5 Document Type")</t>
  </si>
  <si>
    <t>=NF($D5086,"5 Document Type")</t>
  </si>
  <si>
    <t>=NF($D5087,"5 Document Type")</t>
  </si>
  <si>
    <t>=NF($D5088,"5 Document Type")</t>
  </si>
  <si>
    <t>=NF($D5089,"5 Document Type")</t>
  </si>
  <si>
    <t>=NF($D5090,"5 Document Type")</t>
  </si>
  <si>
    <t>=NF($D5091,"5 Document Type")</t>
  </si>
  <si>
    <t>=NF($D5092,"5 Document Type")</t>
  </si>
  <si>
    <t>=NF($D5093,"5 Document Type")</t>
  </si>
  <si>
    <t>=NF($D5094,"5 Document Type")</t>
  </si>
  <si>
    <t>=NF($D5095,"5 Document Type")</t>
  </si>
  <si>
    <t>=NF($D5096,"5 Document Type")</t>
  </si>
  <si>
    <t>=NF($D5097,"5 Document Type")</t>
  </si>
  <si>
    <t>=NF($D5098,"5 Document Type")</t>
  </si>
  <si>
    <t>=NF($D5099,"5 Document Type")</t>
  </si>
  <si>
    <t>=NF($D5100,"5 Document Type")</t>
  </si>
  <si>
    <t>=NF($D5101,"5 Document Type")</t>
  </si>
  <si>
    <t>=NF($D5102,"5 Document Type")</t>
  </si>
  <si>
    <t>=NF($D5103,"5 Document Type")</t>
  </si>
  <si>
    <t>=NF($D5104,"5 Document Type")</t>
  </si>
  <si>
    <t>=NF($D5105,"5 Document Type")</t>
  </si>
  <si>
    <t>=NF($D5106,"5 Document Type")</t>
  </si>
  <si>
    <t>=NF($D5107,"5 Document Type")</t>
  </si>
  <si>
    <t>=NF($D5108,"5 Document Type")</t>
  </si>
  <si>
    <t>=NF($D5109,"5 Document Type")</t>
  </si>
  <si>
    <t>=NF($D5110,"5 Document Type")</t>
  </si>
  <si>
    <t>=NF($D5111,"5 Document Type")</t>
  </si>
  <si>
    <t>=NF($D5112,"5 Document Type")</t>
  </si>
  <si>
    <t>=NF($D5113,"5 Document Type")</t>
  </si>
  <si>
    <t>=NF($D5114,"5 Document Type")</t>
  </si>
  <si>
    <t>=NF($D5115,"5 Document Type")</t>
  </si>
  <si>
    <t>=NF($D5116,"5 Document Type")</t>
  </si>
  <si>
    <t>=NF($D5117,"5 Document Type")</t>
  </si>
  <si>
    <t>=NF($D5118,"5 Document Type")</t>
  </si>
  <si>
    <t>=NF($D5119,"5 Document Type")</t>
  </si>
  <si>
    <t>=NF($D5120,"5 Document Type")</t>
  </si>
  <si>
    <t>=NF($D5121,"5 Document Type")</t>
  </si>
  <si>
    <t>=NF($D5122,"5 Document Type")</t>
  </si>
  <si>
    <t>=NF($D5123,"5 Document Type")</t>
  </si>
  <si>
    <t>=NF($D5124,"5 Document Type")</t>
  </si>
  <si>
    <t>=NF($D5125,"5 Document Type")</t>
  </si>
  <si>
    <t>=NF($D5126,"5 Document Type")</t>
  </si>
  <si>
    <t>=NF($D5127,"5 Document Type")</t>
  </si>
  <si>
    <t>=NF($D5128,"5 Document Type")</t>
  </si>
  <si>
    <t>=NF($D5129,"5 Document Type")</t>
  </si>
  <si>
    <t>=NF($D5130,"5 Document Type")</t>
  </si>
  <si>
    <t>=NF($D5131,"5 Document Type")</t>
  </si>
  <si>
    <t>=NF($D5132,"5 Document Type")</t>
  </si>
  <si>
    <t>=NF($D5133,"5 Document Type")</t>
  </si>
  <si>
    <t>=NF($D5134,"5 Document Type")</t>
  </si>
  <si>
    <t>=NF($D5135,"5 Document Type")</t>
  </si>
  <si>
    <t>=NF($D5136,"5 Document Type")</t>
  </si>
  <si>
    <t>=NF($D5137,"5 Document Type")</t>
  </si>
  <si>
    <t>=NF($D5138,"5 Document Type")</t>
  </si>
  <si>
    <t>=NF($D5139,"5 Document Type")</t>
  </si>
  <si>
    <t>=NF($D5140,"5 Document Type")</t>
  </si>
  <si>
    <t>=NF($D5141,"5 Document Type")</t>
  </si>
  <si>
    <t>=NF($D5142,"5 Document Type")</t>
  </si>
  <si>
    <t>=NF($D5143,"5 Document Type")</t>
  </si>
  <si>
    <t>=NF($D5144,"5 Document Type")</t>
  </si>
  <si>
    <t>=NF($D5145,"5 Document Type")</t>
  </si>
  <si>
    <t>=NF($D5146,"5 Document Type")</t>
  </si>
  <si>
    <t>=NF($D5147,"5 Document Type")</t>
  </si>
  <si>
    <t>=NF($D5148,"5 Document Type")</t>
  </si>
  <si>
    <t>=NF($D5149,"5 Document Type")</t>
  </si>
  <si>
    <t>=NF($D5150,"5 Document Type")</t>
  </si>
  <si>
    <t>=NF($D5151,"5 Document Type")</t>
  </si>
  <si>
    <t>=NF($D5152,"5 Document Type")</t>
  </si>
  <si>
    <t>=NF($D5153,"5 Document Type")</t>
  </si>
  <si>
    <t>=NF($D5154,"5 Document Type")</t>
  </si>
  <si>
    <t>=NF($D5155,"5 Document Type")</t>
  </si>
  <si>
    <t>=NF($D5156,"5 Document Type")</t>
  </si>
  <si>
    <t>=NF($D5157,"5 Document Type")</t>
  </si>
  <si>
    <t>=NF($D5158,"5 Document Type")</t>
  </si>
  <si>
    <t>=NF($D5159,"5 Document Type")</t>
  </si>
  <si>
    <t>=NF($D5160,"5 Document Type")</t>
  </si>
  <si>
    <t>=NF($D5161,"5 Document Type")</t>
  </si>
  <si>
    <t>=NF($D5162,"5 Document Type")</t>
  </si>
  <si>
    <t>=NF($D5163,"5 Document Type")</t>
  </si>
  <si>
    <t>=NF($D5164,"5 Document Type")</t>
  </si>
  <si>
    <t>=NF($D5165,"5 Document Type")</t>
  </si>
  <si>
    <t>=NF($D5166,"5 Document Type")</t>
  </si>
  <si>
    <t>=NF($D5167,"5 Document Type")</t>
  </si>
  <si>
    <t>=NF($D5168,"5 Document Type")</t>
  </si>
  <si>
    <t>=NF($D5169,"5 Document Type")</t>
  </si>
  <si>
    <t>=NF($D5170,"5 Document Type")</t>
  </si>
  <si>
    <t>=NF($D5171,"5 Document Type")</t>
  </si>
  <si>
    <t>=NF($D5172,"5 Document Type")</t>
  </si>
  <si>
    <t>=NF($D5173,"5 Document Type")</t>
  </si>
  <si>
    <t>=NF($D5174,"5 Document Type")</t>
  </si>
  <si>
    <t>=NF($D5175,"5 Document Type")</t>
  </si>
  <si>
    <t>=NF($D5176,"5 Document Type")</t>
  </si>
  <si>
    <t>=NF($D5177,"5 Document Type")</t>
  </si>
  <si>
    <t>=NF($D5178,"5 Document Type")</t>
  </si>
  <si>
    <t>=NF($D5179,"5 Document Type")</t>
  </si>
  <si>
    <t>=NF($D5180,"5 Document Type")</t>
  </si>
  <si>
    <t>=NF($D5181,"5 Document Type")</t>
  </si>
  <si>
    <t>=NF($D5182,"5 Document Type")</t>
  </si>
  <si>
    <t>=NF($D5183,"5 Document Type")</t>
  </si>
  <si>
    <t>=NF($D5184,"5 Document Type")</t>
  </si>
  <si>
    <t>=NF($D5185,"5 Document Type")</t>
  </si>
  <si>
    <t>=NF($D5186,"5 Document Type")</t>
  </si>
  <si>
    <t>=NF($D5187,"5 Document Type")</t>
  </si>
  <si>
    <t>=NF($D5188,"5 Document Type")</t>
  </si>
  <si>
    <t>=NF($D5189,"5 Document Type")</t>
  </si>
  <si>
    <t>=NF($D5190,"5 Document Type")</t>
  </si>
  <si>
    <t>=NF($D5191,"5 Document Type")</t>
  </si>
  <si>
    <t>=NF($D5192,"5 Document Type")</t>
  </si>
  <si>
    <t>=NF($D5193,"5 Document Type")</t>
  </si>
  <si>
    <t>=NF($D5194,"5 Document Type")</t>
  </si>
  <si>
    <t>=NF($D5195,"5 Document Type")</t>
  </si>
  <si>
    <t>=NF($D5196,"5 Document Type")</t>
  </si>
  <si>
    <t>=NF($D5197,"5 Document Type")</t>
  </si>
  <si>
    <t>=NF($D5198,"5 Document Type")</t>
  </si>
  <si>
    <t>=NF($D5199,"5 Document Type")</t>
  </si>
  <si>
    <t>=NF($D5200,"5 Document Type")</t>
  </si>
  <si>
    <t>=NF($D5201,"5 Document Type")</t>
  </si>
  <si>
    <t>=NF($D5202,"5 Document Type")</t>
  </si>
  <si>
    <t>=NF($D5203,"5 Document Type")</t>
  </si>
  <si>
    <t>=NF($D5204,"5 Document Type")</t>
  </si>
  <si>
    <t>=NF($D5205,"5 Document Type")</t>
  </si>
  <si>
    <t>=NF($D5206,"5 Document Type")</t>
  </si>
  <si>
    <t>=NF($D5207,"5 Document Type")</t>
  </si>
  <si>
    <t>=NF($D5208,"5 Document Type")</t>
  </si>
  <si>
    <t>=NF($D5209,"5 Document Type")</t>
  </si>
  <si>
    <t>=NF($D5210,"5 Document Type")</t>
  </si>
  <si>
    <t>=NF($D5211,"5 Document Type")</t>
  </si>
  <si>
    <t>=NF($D5212,"5 Document Type")</t>
  </si>
  <si>
    <t>=NF($D5213,"5 Document Type")</t>
  </si>
  <si>
    <t>=NF($D5214,"5 Document Type")</t>
  </si>
  <si>
    <t>=NF($D5075,"6 Document No.")</t>
  </si>
  <si>
    <t>=NF($D5076,"6 Document No.")</t>
  </si>
  <si>
    <t>=NF($D5077,"6 Document No.")</t>
  </si>
  <si>
    <t>=NF($D5078,"6 Document No.")</t>
  </si>
  <si>
    <t>=NF($D5079,"6 Document No.")</t>
  </si>
  <si>
    <t>=NF($D5080,"6 Document No.")</t>
  </si>
  <si>
    <t>=NF($D5081,"6 Document No.")</t>
  </si>
  <si>
    <t>=NF($D5082,"6 Document No.")</t>
  </si>
  <si>
    <t>=NF($D5083,"6 Document No.")</t>
  </si>
  <si>
    <t>=NF($D5084,"6 Document No.")</t>
  </si>
  <si>
    <t>=NF($D5085,"6 Document No.")</t>
  </si>
  <si>
    <t>=NF($D5086,"6 Document No.")</t>
  </si>
  <si>
    <t>=NF($D5087,"6 Document No.")</t>
  </si>
  <si>
    <t>=NF($D5088,"6 Document No.")</t>
  </si>
  <si>
    <t>=NF($D5089,"6 Document No.")</t>
  </si>
  <si>
    <t>=NF($D5090,"6 Document No.")</t>
  </si>
  <si>
    <t>=NF($D5091,"6 Document No.")</t>
  </si>
  <si>
    <t>=NF($D5092,"6 Document No.")</t>
  </si>
  <si>
    <t>=NF($D5093,"6 Document No.")</t>
  </si>
  <si>
    <t>=NF($D5094,"6 Document No.")</t>
  </si>
  <si>
    <t>=NF($D5095,"6 Document No.")</t>
  </si>
  <si>
    <t>=NF($D5096,"6 Document No.")</t>
  </si>
  <si>
    <t>=NF($D5097,"6 Document No.")</t>
  </si>
  <si>
    <t>=NF($D5098,"6 Document No.")</t>
  </si>
  <si>
    <t>=NF($D5099,"6 Document No.")</t>
  </si>
  <si>
    <t>=NF($D5100,"6 Document No.")</t>
  </si>
  <si>
    <t>=NF($D5101,"6 Document No.")</t>
  </si>
  <si>
    <t>=NF($D5102,"6 Document No.")</t>
  </si>
  <si>
    <t>=NF($D5103,"6 Document No.")</t>
  </si>
  <si>
    <t>=NF($D5104,"6 Document No.")</t>
  </si>
  <si>
    <t>=NF($D5105,"6 Document No.")</t>
  </si>
  <si>
    <t>=NF($D5106,"6 Document No.")</t>
  </si>
  <si>
    <t>=NF($D5107,"6 Document No.")</t>
  </si>
  <si>
    <t>=NF($D5108,"6 Document No.")</t>
  </si>
  <si>
    <t>=NF($D5109,"6 Document No.")</t>
  </si>
  <si>
    <t>=NF($D5110,"6 Document No.")</t>
  </si>
  <si>
    <t>=NF($D5111,"6 Document No.")</t>
  </si>
  <si>
    <t>=NF($D5112,"6 Document No.")</t>
  </si>
  <si>
    <t>=NF($D5113,"6 Document No.")</t>
  </si>
  <si>
    <t>=NF($D5114,"6 Document No.")</t>
  </si>
  <si>
    <t>=NF($D5115,"6 Document No.")</t>
  </si>
  <si>
    <t>=NF($D5116,"6 Document No.")</t>
  </si>
  <si>
    <t>=NF($D5117,"6 Document No.")</t>
  </si>
  <si>
    <t>=NF($D5118,"6 Document No.")</t>
  </si>
  <si>
    <t>=NF($D5119,"6 Document No.")</t>
  </si>
  <si>
    <t>=NF($D5120,"6 Document No.")</t>
  </si>
  <si>
    <t>=NF($D5121,"6 Document No.")</t>
  </si>
  <si>
    <t>=NF($D5122,"6 Document No.")</t>
  </si>
  <si>
    <t>=NF($D5123,"6 Document No.")</t>
  </si>
  <si>
    <t>=NF($D5124,"6 Document No.")</t>
  </si>
  <si>
    <t>=NF($D5125,"6 Document No.")</t>
  </si>
  <si>
    <t>=NF($D5126,"6 Document No.")</t>
  </si>
  <si>
    <t>=NF($D5127,"6 Document No.")</t>
  </si>
  <si>
    <t>=NF($D5128,"6 Document No.")</t>
  </si>
  <si>
    <t>=NF($D5129,"6 Document No.")</t>
  </si>
  <si>
    <t>=NF($D5130,"6 Document No.")</t>
  </si>
  <si>
    <t>=NF($D5131,"6 Document No.")</t>
  </si>
  <si>
    <t>=NF($D5132,"6 Document No.")</t>
  </si>
  <si>
    <t>=NF($D5133,"6 Document No.")</t>
  </si>
  <si>
    <t>=NF($D5134,"6 Document No.")</t>
  </si>
  <si>
    <t>=NF($D5135,"6 Document No.")</t>
  </si>
  <si>
    <t>=NF($D5136,"6 Document No.")</t>
  </si>
  <si>
    <t>=NF($D5137,"6 Document No.")</t>
  </si>
  <si>
    <t>=NF($D5138,"6 Document No.")</t>
  </si>
  <si>
    <t>=NF($D5139,"6 Document No.")</t>
  </si>
  <si>
    <t>=NF($D5140,"6 Document No.")</t>
  </si>
  <si>
    <t>=NF($D5141,"6 Document No.")</t>
  </si>
  <si>
    <t>=NF($D5142,"6 Document No.")</t>
  </si>
  <si>
    <t>=NF($D5143,"6 Document No.")</t>
  </si>
  <si>
    <t>=NF($D5144,"6 Document No.")</t>
  </si>
  <si>
    <t>=NF($D5145,"6 Document No.")</t>
  </si>
  <si>
    <t>=NF($D5146,"6 Document No.")</t>
  </si>
  <si>
    <t>=NF($D5147,"6 Document No.")</t>
  </si>
  <si>
    <t>=NF($D5148,"6 Document No.")</t>
  </si>
  <si>
    <t>=NF($D5149,"6 Document No.")</t>
  </si>
  <si>
    <t>=NF($D5150,"6 Document No.")</t>
  </si>
  <si>
    <t>=NF($D5151,"6 Document No.")</t>
  </si>
  <si>
    <t>=NF($D5152,"6 Document No.")</t>
  </si>
  <si>
    <t>=NF($D5153,"6 Document No.")</t>
  </si>
  <si>
    <t>=NF($D5154,"6 Document No.")</t>
  </si>
  <si>
    <t>=NF($D5155,"6 Document No.")</t>
  </si>
  <si>
    <t>=NF($D5156,"6 Document No.")</t>
  </si>
  <si>
    <t>=NF($D5157,"6 Document No.")</t>
  </si>
  <si>
    <t>=NF($D5158,"6 Document No.")</t>
  </si>
  <si>
    <t>=NF($D5159,"6 Document No.")</t>
  </si>
  <si>
    <t>=NF($D5160,"6 Document No.")</t>
  </si>
  <si>
    <t>=NF($D5161,"6 Document No.")</t>
  </si>
  <si>
    <t>=NF($D5162,"6 Document No.")</t>
  </si>
  <si>
    <t>=NF($D5163,"6 Document No.")</t>
  </si>
  <si>
    <t>=NF($D5164,"6 Document No.")</t>
  </si>
  <si>
    <t>=NF($D5165,"6 Document No.")</t>
  </si>
  <si>
    <t>=NF($D5166,"6 Document No.")</t>
  </si>
  <si>
    <t>=NF($D5167,"6 Document No.")</t>
  </si>
  <si>
    <t>=NF($D5168,"6 Document No.")</t>
  </si>
  <si>
    <t>=NF($D5169,"6 Document No.")</t>
  </si>
  <si>
    <t>=NF($D5170,"6 Document No.")</t>
  </si>
  <si>
    <t>=NF($D5171,"6 Document No.")</t>
  </si>
  <si>
    <t>=NF($D5172,"6 Document No.")</t>
  </si>
  <si>
    <t>=NF($D5173,"6 Document No.")</t>
  </si>
  <si>
    <t>=NF($D5174,"6 Document No.")</t>
  </si>
  <si>
    <t>=NF($D5175,"6 Document No.")</t>
  </si>
  <si>
    <t>=NF($D5176,"6 Document No.")</t>
  </si>
  <si>
    <t>=NF($D5177,"6 Document No.")</t>
  </si>
  <si>
    <t>=NF($D5178,"6 Document No.")</t>
  </si>
  <si>
    <t>=NF($D5179,"6 Document No.")</t>
  </si>
  <si>
    <t>=NF($D5180,"6 Document No.")</t>
  </si>
  <si>
    <t>=NF($D5181,"6 Document No.")</t>
  </si>
  <si>
    <t>=NF($D5182,"6 Document No.")</t>
  </si>
  <si>
    <t>=NF($D5183,"6 Document No.")</t>
  </si>
  <si>
    <t>=NF($D5184,"6 Document No.")</t>
  </si>
  <si>
    <t>=NF($D5185,"6 Document No.")</t>
  </si>
  <si>
    <t>=NF($D5186,"6 Document No.")</t>
  </si>
  <si>
    <t>=NF($D5187,"6 Document No.")</t>
  </si>
  <si>
    <t>=NF($D5188,"6 Document No.")</t>
  </si>
  <si>
    <t>=NF($D5189,"6 Document No.")</t>
  </si>
  <si>
    <t>=NF($D5190,"6 Document No.")</t>
  </si>
  <si>
    <t>=NF($D5191,"6 Document No.")</t>
  </si>
  <si>
    <t>=NF($D5192,"6 Document No.")</t>
  </si>
  <si>
    <t>=NF($D5193,"6 Document No.")</t>
  </si>
  <si>
    <t>=NF($D5194,"6 Document No.")</t>
  </si>
  <si>
    <t>=NF($D5195,"6 Document No.")</t>
  </si>
  <si>
    <t>=NF($D5196,"6 Document No.")</t>
  </si>
  <si>
    <t>=NF($D5197,"6 Document No.")</t>
  </si>
  <si>
    <t>=NF($D5198,"6 Document No.")</t>
  </si>
  <si>
    <t>=NF($D5199,"6 Document No.")</t>
  </si>
  <si>
    <t>=NF($D5200,"6 Document No.")</t>
  </si>
  <si>
    <t>=NF($D5201,"6 Document No.")</t>
  </si>
  <si>
    <t>=NF($D5202,"6 Document No.")</t>
  </si>
  <si>
    <t>=NF($D5203,"6 Document No.")</t>
  </si>
  <si>
    <t>=NF($D5204,"6 Document No.")</t>
  </si>
  <si>
    <t>=NF($D5205,"6 Document No.")</t>
  </si>
  <si>
    <t>=NF($D5206,"6 Document No.")</t>
  </si>
  <si>
    <t>=NF($D5207,"6 Document No.")</t>
  </si>
  <si>
    <t>=NF($D5208,"6 Document No.")</t>
  </si>
  <si>
    <t>=NF($D5209,"6 Document No.")</t>
  </si>
  <si>
    <t>=NF($D5210,"6 Document No.")</t>
  </si>
  <si>
    <t>=NF($D5211,"6 Document No.")</t>
  </si>
  <si>
    <t>=NF($D5212,"6 Document No.")</t>
  </si>
  <si>
    <t>=NF($D5213,"6 Document No.")</t>
  </si>
  <si>
    <t>=NF($D5214,"6 Document No.")</t>
  </si>
  <si>
    <t>=NF($D5075,"37 Due Date")</t>
  </si>
  <si>
    <t>=NF($D5076,"37 Due Date")</t>
  </si>
  <si>
    <t>=NF($D5077,"37 Due Date")</t>
  </si>
  <si>
    <t>=NF($D5078,"37 Due Date")</t>
  </si>
  <si>
    <t>=NF($D5079,"37 Due Date")</t>
  </si>
  <si>
    <t>=NF($D5080,"37 Due Date")</t>
  </si>
  <si>
    <t>=NF($D5081,"37 Due Date")</t>
  </si>
  <si>
    <t>=NF($D5082,"37 Due Date")</t>
  </si>
  <si>
    <t>=NF($D5083,"37 Due Date")</t>
  </si>
  <si>
    <t>=NF($D5084,"37 Due Date")</t>
  </si>
  <si>
    <t>=NF($D5085,"37 Due Date")</t>
  </si>
  <si>
    <t>=NF($D5086,"37 Due Date")</t>
  </si>
  <si>
    <t>=NF($D5087,"37 Due Date")</t>
  </si>
  <si>
    <t>=NF($D5088,"37 Due Date")</t>
  </si>
  <si>
    <t>=NF($D5089,"37 Due Date")</t>
  </si>
  <si>
    <t>=NF($D5090,"37 Due Date")</t>
  </si>
  <si>
    <t>=NF($D5091,"37 Due Date")</t>
  </si>
  <si>
    <t>=NF($D5092,"37 Due Date")</t>
  </si>
  <si>
    <t>=NF($D5093,"37 Due Date")</t>
  </si>
  <si>
    <t>=NF($D5094,"37 Due Date")</t>
  </si>
  <si>
    <t>=NF($D5095,"37 Due Date")</t>
  </si>
  <si>
    <t>=NF($D5096,"37 Due Date")</t>
  </si>
  <si>
    <t>=NF($D5097,"37 Due Date")</t>
  </si>
  <si>
    <t>=NF($D5098,"37 Due Date")</t>
  </si>
  <si>
    <t>=NF($D5099,"37 Due Date")</t>
  </si>
  <si>
    <t>=NF($D5100,"37 Due Date")</t>
  </si>
  <si>
    <t>=NF($D5101,"37 Due Date")</t>
  </si>
  <si>
    <t>=NF($D5102,"37 Due Date")</t>
  </si>
  <si>
    <t>=NF($D5103,"37 Due Date")</t>
  </si>
  <si>
    <t>=NF($D5104,"37 Due Date")</t>
  </si>
  <si>
    <t>=NF($D5105,"37 Due Date")</t>
  </si>
  <si>
    <t>=NF($D5106,"37 Due Date")</t>
  </si>
  <si>
    <t>=NF($D5107,"37 Due Date")</t>
  </si>
  <si>
    <t>=NF($D5108,"37 Due Date")</t>
  </si>
  <si>
    <t>=NF($D5109,"37 Due Date")</t>
  </si>
  <si>
    <t>=NF($D5110,"37 Due Date")</t>
  </si>
  <si>
    <t>=NF($D5111,"37 Due Date")</t>
  </si>
  <si>
    <t>=NF($D5112,"37 Due Date")</t>
  </si>
  <si>
    <t>=NF($D5113,"37 Due Date")</t>
  </si>
  <si>
    <t>=NF($D5114,"37 Due Date")</t>
  </si>
  <si>
    <t>=NF($D5115,"37 Due Date")</t>
  </si>
  <si>
    <t>=NF($D5116,"37 Due Date")</t>
  </si>
  <si>
    <t>=NF($D5117,"37 Due Date")</t>
  </si>
  <si>
    <t>=NF($D5118,"37 Due Date")</t>
  </si>
  <si>
    <t>=NF($D5119,"37 Due Date")</t>
  </si>
  <si>
    <t>=NF($D5120,"37 Due Date")</t>
  </si>
  <si>
    <t>=NF($D5121,"37 Due Date")</t>
  </si>
  <si>
    <t>=NF($D5122,"37 Due Date")</t>
  </si>
  <si>
    <t>=NF($D5123,"37 Due Date")</t>
  </si>
  <si>
    <t>=NF($D5124,"37 Due Date")</t>
  </si>
  <si>
    <t>=NF($D5125,"37 Due Date")</t>
  </si>
  <si>
    <t>=NF($D5126,"37 Due Date")</t>
  </si>
  <si>
    <t>=NF($D5127,"37 Due Date")</t>
  </si>
  <si>
    <t>=NF($D5128,"37 Due Date")</t>
  </si>
  <si>
    <t>=NF($D5129,"37 Due Date")</t>
  </si>
  <si>
    <t>=NF($D5130,"37 Due Date")</t>
  </si>
  <si>
    <t>=NF($D5131,"37 Due Date")</t>
  </si>
  <si>
    <t>=NF($D5132,"37 Due Date")</t>
  </si>
  <si>
    <t>=NF($D5133,"37 Due Date")</t>
  </si>
  <si>
    <t>=NF($D5134,"37 Due Date")</t>
  </si>
  <si>
    <t>=NF($D5135,"37 Due Date")</t>
  </si>
  <si>
    <t>=NF($D5136,"37 Due Date")</t>
  </si>
  <si>
    <t>=NF($D5137,"37 Due Date")</t>
  </si>
  <si>
    <t>=NF($D5138,"37 Due Date")</t>
  </si>
  <si>
    <t>=NF($D5139,"37 Due Date")</t>
  </si>
  <si>
    <t>=NF($D5140,"37 Due Date")</t>
  </si>
  <si>
    <t>=NF($D5141,"37 Due Date")</t>
  </si>
  <si>
    <t>=NF($D5142,"37 Due Date")</t>
  </si>
  <si>
    <t>=NF($D5143,"37 Due Date")</t>
  </si>
  <si>
    <t>=NF($D5144,"37 Due Date")</t>
  </si>
  <si>
    <t>=NF($D5145,"37 Due Date")</t>
  </si>
  <si>
    <t>=NF($D5146,"37 Due Date")</t>
  </si>
  <si>
    <t>=NF($D5147,"37 Due Date")</t>
  </si>
  <si>
    <t>=NF($D5148,"37 Due Date")</t>
  </si>
  <si>
    <t>=NF($D5149,"37 Due Date")</t>
  </si>
  <si>
    <t>=NF($D5150,"37 Due Date")</t>
  </si>
  <si>
    <t>=NF($D5151,"37 Due Date")</t>
  </si>
  <si>
    <t>=NF($D5152,"37 Due Date")</t>
  </si>
  <si>
    <t>=NF($D5153,"37 Due Date")</t>
  </si>
  <si>
    <t>=NF($D5154,"37 Due Date")</t>
  </si>
  <si>
    <t>=NF($D5155,"37 Due Date")</t>
  </si>
  <si>
    <t>=NF($D5156,"37 Due Date")</t>
  </si>
  <si>
    <t>=NF($D5157,"37 Due Date")</t>
  </si>
  <si>
    <t>=NF($D5158,"37 Due Date")</t>
  </si>
  <si>
    <t>=NF($D5159,"37 Due Date")</t>
  </si>
  <si>
    <t>=NF($D5160,"37 Due Date")</t>
  </si>
  <si>
    <t>=NF($D5161,"37 Due Date")</t>
  </si>
  <si>
    <t>=NF($D5162,"37 Due Date")</t>
  </si>
  <si>
    <t>=NF($D5163,"37 Due Date")</t>
  </si>
  <si>
    <t>=NF($D5164,"37 Due Date")</t>
  </si>
  <si>
    <t>=NF($D5165,"37 Due Date")</t>
  </si>
  <si>
    <t>=NF($D5166,"37 Due Date")</t>
  </si>
  <si>
    <t>=NF($D5167,"37 Due Date")</t>
  </si>
  <si>
    <t>=NF($D5168,"37 Due Date")</t>
  </si>
  <si>
    <t>=NF($D5169,"37 Due Date")</t>
  </si>
  <si>
    <t>=NF($D5170,"37 Due Date")</t>
  </si>
  <si>
    <t>=NF($D5171,"37 Due Date")</t>
  </si>
  <si>
    <t>=NF($D5172,"37 Due Date")</t>
  </si>
  <si>
    <t>=NF($D5173,"37 Due Date")</t>
  </si>
  <si>
    <t>=NF($D5174,"37 Due Date")</t>
  </si>
  <si>
    <t>=NF($D5175,"37 Due Date")</t>
  </si>
  <si>
    <t>=NF($D5176,"37 Due Date")</t>
  </si>
  <si>
    <t>=NF($D5177,"37 Due Date")</t>
  </si>
  <si>
    <t>=NF($D5178,"37 Due Date")</t>
  </si>
  <si>
    <t>=NF($D5179,"37 Due Date")</t>
  </si>
  <si>
    <t>=NF($D5180,"37 Due Date")</t>
  </si>
  <si>
    <t>=NF($D5181,"37 Due Date")</t>
  </si>
  <si>
    <t>=NF($D5182,"37 Due Date")</t>
  </si>
  <si>
    <t>=NF($D5183,"37 Due Date")</t>
  </si>
  <si>
    <t>=NF($D5184,"37 Due Date")</t>
  </si>
  <si>
    <t>=NF($D5185,"37 Due Date")</t>
  </si>
  <si>
    <t>=NF($D5186,"37 Due Date")</t>
  </si>
  <si>
    <t>=NF($D5187,"37 Due Date")</t>
  </si>
  <si>
    <t>=NF($D5188,"37 Due Date")</t>
  </si>
  <si>
    <t>=NF($D5189,"37 Due Date")</t>
  </si>
  <si>
    <t>=NF($D5190,"37 Due Date")</t>
  </si>
  <si>
    <t>=NF($D5191,"37 Due Date")</t>
  </si>
  <si>
    <t>=NF($D5192,"37 Due Date")</t>
  </si>
  <si>
    <t>=NF($D5193,"37 Due Date")</t>
  </si>
  <si>
    <t>=NF($D5194,"37 Due Date")</t>
  </si>
  <si>
    <t>=NF($D5195,"37 Due Date")</t>
  </si>
  <si>
    <t>=NF($D5196,"37 Due Date")</t>
  </si>
  <si>
    <t>=NF($D5197,"37 Due Date")</t>
  </si>
  <si>
    <t>=NF($D5198,"37 Due Date")</t>
  </si>
  <si>
    <t>=NF($D5199,"37 Due Date")</t>
  </si>
  <si>
    <t>=NF($D5200,"37 Due Date")</t>
  </si>
  <si>
    <t>=NF($D5201,"37 Due Date")</t>
  </si>
  <si>
    <t>=NF($D5202,"37 Due Date")</t>
  </si>
  <si>
    <t>=NF($D5203,"37 Due Date")</t>
  </si>
  <si>
    <t>=NF($D5204,"37 Due Date")</t>
  </si>
  <si>
    <t>=NF($D5205,"37 Due Date")</t>
  </si>
  <si>
    <t>=NF($D5206,"37 Due Date")</t>
  </si>
  <si>
    <t>=NF($D5207,"37 Due Date")</t>
  </si>
  <si>
    <t>=NF($D5208,"37 Due Date")</t>
  </si>
  <si>
    <t>=NF($D5209,"37 Due Date")</t>
  </si>
  <si>
    <t>=NF($D5210,"37 Due Date")</t>
  </si>
  <si>
    <t>=NF($D5211,"37 Due Date")</t>
  </si>
  <si>
    <t>=NF($D5212,"37 Due Date")</t>
  </si>
  <si>
    <t>=NF($D5213,"37 Due Date")</t>
  </si>
  <si>
    <t>=NF($D5214,"37 Due Date")</t>
  </si>
  <si>
    <t>=NF($D5075,"16 Remaining Amt. (LCY)")</t>
  </si>
  <si>
    <t>=NF($D5076,"16 Remaining Amt. (LCY)")</t>
  </si>
  <si>
    <t>=NF($D5077,"16 Remaining Amt. (LCY)")</t>
  </si>
  <si>
    <t>=NF($D5078,"16 Remaining Amt. (LCY)")</t>
  </si>
  <si>
    <t>=NF($D5079,"16 Remaining Amt. (LCY)")</t>
  </si>
  <si>
    <t>=NF($D5080,"16 Remaining Amt. (LCY)")</t>
  </si>
  <si>
    <t>=NF($D5081,"16 Remaining Amt. (LCY)")</t>
  </si>
  <si>
    <t>=NF($D5082,"16 Remaining Amt. (LCY)")</t>
  </si>
  <si>
    <t>=NF($D5083,"16 Remaining Amt. (LCY)")</t>
  </si>
  <si>
    <t>=NF($D5084,"16 Remaining Amt. (LCY)")</t>
  </si>
  <si>
    <t>=NF($D5085,"16 Remaining Amt. (LCY)")</t>
  </si>
  <si>
    <t>=NF($D5086,"16 Remaining Amt. (LCY)")</t>
  </si>
  <si>
    <t>=NF($D5087,"16 Remaining Amt. (LCY)")</t>
  </si>
  <si>
    <t>=NF($D5088,"16 Remaining Amt. (LCY)")</t>
  </si>
  <si>
    <t>=NF($D5089,"16 Remaining Amt. (LCY)")</t>
  </si>
  <si>
    <t>=NF($D5090,"16 Remaining Amt. (LCY)")</t>
  </si>
  <si>
    <t>=NF($D5091,"16 Remaining Amt. (LCY)")</t>
  </si>
  <si>
    <t>=NF($D5092,"16 Remaining Amt. (LCY)")</t>
  </si>
  <si>
    <t>=NF($D5093,"16 Remaining Amt. (LCY)")</t>
  </si>
  <si>
    <t>=NF($D5094,"16 Remaining Amt. (LCY)")</t>
  </si>
  <si>
    <t>=NF($D5095,"16 Remaining Amt. (LCY)")</t>
  </si>
  <si>
    <t>=NF($D5096,"16 Remaining Amt. (LCY)")</t>
  </si>
  <si>
    <t>=NF($D5097,"16 Remaining Amt. (LCY)")</t>
  </si>
  <si>
    <t>=NF($D5098,"16 Remaining Amt. (LCY)")</t>
  </si>
  <si>
    <t>=NF($D5099,"16 Remaining Amt. (LCY)")</t>
  </si>
  <si>
    <t>=NF($D5100,"16 Remaining Amt. (LCY)")</t>
  </si>
  <si>
    <t>=NF($D5101,"16 Remaining Amt. (LCY)")</t>
  </si>
  <si>
    <t>=NF($D5102,"16 Remaining Amt. (LCY)")</t>
  </si>
  <si>
    <t>=NF($D5103,"16 Remaining Amt. (LCY)")</t>
  </si>
  <si>
    <t>=NF($D5104,"16 Remaining Amt. (LCY)")</t>
  </si>
  <si>
    <t>=NF($D5105,"16 Remaining Amt. (LCY)")</t>
  </si>
  <si>
    <t>=NF($D5106,"16 Remaining Amt. (LCY)")</t>
  </si>
  <si>
    <t>=NF($D5107,"16 Remaining Amt. (LCY)")</t>
  </si>
  <si>
    <t>=NF($D5108,"16 Remaining Amt. (LCY)")</t>
  </si>
  <si>
    <t>=NF($D5109,"16 Remaining Amt. (LCY)")</t>
  </si>
  <si>
    <t>=NF($D5110,"16 Remaining Amt. (LCY)")</t>
  </si>
  <si>
    <t>=NF($D5111,"16 Remaining Amt. (LCY)")</t>
  </si>
  <si>
    <t>=NF($D5112,"16 Remaining Amt. (LCY)")</t>
  </si>
  <si>
    <t>=NF($D5113,"16 Remaining Amt. (LCY)")</t>
  </si>
  <si>
    <t>=NF($D5114,"16 Remaining Amt. (LCY)")</t>
  </si>
  <si>
    <t>=NF($D5115,"16 Remaining Amt. (LCY)")</t>
  </si>
  <si>
    <t>=NF($D5116,"16 Remaining Amt. (LCY)")</t>
  </si>
  <si>
    <t>=NF($D5117,"16 Remaining Amt. (LCY)")</t>
  </si>
  <si>
    <t>=NF($D5118,"16 Remaining Amt. (LCY)")</t>
  </si>
  <si>
    <t>=NF($D5119,"16 Remaining Amt. (LCY)")</t>
  </si>
  <si>
    <t>=NF($D5120,"16 Remaining Amt. (LCY)")</t>
  </si>
  <si>
    <t>=NF($D5121,"16 Remaining Amt. (LCY)")</t>
  </si>
  <si>
    <t>=NF($D5122,"16 Remaining Amt. (LCY)")</t>
  </si>
  <si>
    <t>=NF($D5123,"16 Remaining Amt. (LCY)")</t>
  </si>
  <si>
    <t>=NF($D5124,"16 Remaining Amt. (LCY)")</t>
  </si>
  <si>
    <t>=NF($D5125,"16 Remaining Amt. (LCY)")</t>
  </si>
  <si>
    <t>=NF($D5126,"16 Remaining Amt. (LCY)")</t>
  </si>
  <si>
    <t>=NF($D5127,"16 Remaining Amt. (LCY)")</t>
  </si>
  <si>
    <t>=NF($D5128,"16 Remaining Amt. (LCY)")</t>
  </si>
  <si>
    <t>=NF($D5129,"16 Remaining Amt. (LCY)")</t>
  </si>
  <si>
    <t>=NF($D5130,"16 Remaining Amt. (LCY)")</t>
  </si>
  <si>
    <t>=NF($D5131,"16 Remaining Amt. (LCY)")</t>
  </si>
  <si>
    <t>=NF($D5132,"16 Remaining Amt. (LCY)")</t>
  </si>
  <si>
    <t>=NF($D5133,"16 Remaining Amt. (LCY)")</t>
  </si>
  <si>
    <t>=NF($D5134,"16 Remaining Amt. (LCY)")</t>
  </si>
  <si>
    <t>=NF($D5135,"16 Remaining Amt. (LCY)")</t>
  </si>
  <si>
    <t>=NF($D5136,"16 Remaining Amt. (LCY)")</t>
  </si>
  <si>
    <t>=NF($D5137,"16 Remaining Amt. (LCY)")</t>
  </si>
  <si>
    <t>=NF($D5138,"16 Remaining Amt. (LCY)")</t>
  </si>
  <si>
    <t>=NF($D5139,"16 Remaining Amt. (LCY)")</t>
  </si>
  <si>
    <t>=NF($D5140,"16 Remaining Amt. (LCY)")</t>
  </si>
  <si>
    <t>=NF($D5141,"16 Remaining Amt. (LCY)")</t>
  </si>
  <si>
    <t>=NF($D5142,"16 Remaining Amt. (LCY)")</t>
  </si>
  <si>
    <t>=NF($D5143,"16 Remaining Amt. (LCY)")</t>
  </si>
  <si>
    <t>=NF($D5144,"16 Remaining Amt. (LCY)")</t>
  </si>
  <si>
    <t>=NF($D5145,"16 Remaining Amt. (LCY)")</t>
  </si>
  <si>
    <t>=NF($D5146,"16 Remaining Amt. (LCY)")</t>
  </si>
  <si>
    <t>=NF($D5147,"16 Remaining Amt. (LCY)")</t>
  </si>
  <si>
    <t>=NF($D5148,"16 Remaining Amt. (LCY)")</t>
  </si>
  <si>
    <t>=NF($D5149,"16 Remaining Amt. (LCY)")</t>
  </si>
  <si>
    <t>=NF($D5150,"16 Remaining Amt. (LCY)")</t>
  </si>
  <si>
    <t>=NF($D5151,"16 Remaining Amt. (LCY)")</t>
  </si>
  <si>
    <t>=NF($D5152,"16 Remaining Amt. (LCY)")</t>
  </si>
  <si>
    <t>=NF($D5153,"16 Remaining Amt. (LCY)")</t>
  </si>
  <si>
    <t>=NF($D5154,"16 Remaining Amt. (LCY)")</t>
  </si>
  <si>
    <t>=NF($D5155,"16 Remaining Amt. (LCY)")</t>
  </si>
  <si>
    <t>=NF($D5156,"16 Remaining Amt. (LCY)")</t>
  </si>
  <si>
    <t>=NF($D5157,"16 Remaining Amt. (LCY)")</t>
  </si>
  <si>
    <t>=NF($D5158,"16 Remaining Amt. (LCY)")</t>
  </si>
  <si>
    <t>=NF($D5159,"16 Remaining Amt. (LCY)")</t>
  </si>
  <si>
    <t>=NF($D5160,"16 Remaining Amt. (LCY)")</t>
  </si>
  <si>
    <t>=NF($D5161,"16 Remaining Amt. (LCY)")</t>
  </si>
  <si>
    <t>=NF($D5162,"16 Remaining Amt. (LCY)")</t>
  </si>
  <si>
    <t>=NF($D5163,"16 Remaining Amt. (LCY)")</t>
  </si>
  <si>
    <t>=NF($D5164,"16 Remaining Amt. (LCY)")</t>
  </si>
  <si>
    <t>=NF($D5165,"16 Remaining Amt. (LCY)")</t>
  </si>
  <si>
    <t>=NF($D5166,"16 Remaining Amt. (LCY)")</t>
  </si>
  <si>
    <t>=NF($D5167,"16 Remaining Amt. (LCY)")</t>
  </si>
  <si>
    <t>=NF($D5168,"16 Remaining Amt. (LCY)")</t>
  </si>
  <si>
    <t>=NF($D5169,"16 Remaining Amt. (LCY)")</t>
  </si>
  <si>
    <t>=NF($D5170,"16 Remaining Amt. (LCY)")</t>
  </si>
  <si>
    <t>=NF($D5171,"16 Remaining Amt. (LCY)")</t>
  </si>
  <si>
    <t>=NF($D5172,"16 Remaining Amt. (LCY)")</t>
  </si>
  <si>
    <t>=NF($D5173,"16 Remaining Amt. (LCY)")</t>
  </si>
  <si>
    <t>=NF($D5174,"16 Remaining Amt. (LCY)")</t>
  </si>
  <si>
    <t>=NF($D5175,"16 Remaining Amt. (LCY)")</t>
  </si>
  <si>
    <t>=NF($D5176,"16 Remaining Amt. (LCY)")</t>
  </si>
  <si>
    <t>=NF($D5177,"16 Remaining Amt. (LCY)")</t>
  </si>
  <si>
    <t>=NF($D5178,"16 Remaining Amt. (LCY)")</t>
  </si>
  <si>
    <t>=NF($D5179,"16 Remaining Amt. (LCY)")</t>
  </si>
  <si>
    <t>=NF($D5180,"16 Remaining Amt. (LCY)")</t>
  </si>
  <si>
    <t>=NF($D5181,"16 Remaining Amt. (LCY)")</t>
  </si>
  <si>
    <t>=NF($D5182,"16 Remaining Amt. (LCY)")</t>
  </si>
  <si>
    <t>=NF($D5183,"16 Remaining Amt. (LCY)")</t>
  </si>
  <si>
    <t>=NF($D5184,"16 Remaining Amt. (LCY)")</t>
  </si>
  <si>
    <t>=NF($D5185,"16 Remaining Amt. (LCY)")</t>
  </si>
  <si>
    <t>=NF($D5186,"16 Remaining Amt. (LCY)")</t>
  </si>
  <si>
    <t>=NF($D5187,"16 Remaining Amt. (LCY)")</t>
  </si>
  <si>
    <t>=NF($D5188,"16 Remaining Amt. (LCY)")</t>
  </si>
  <si>
    <t>=NF($D5189,"16 Remaining Amt. (LCY)")</t>
  </si>
  <si>
    <t>=NF($D5190,"16 Remaining Amt. (LCY)")</t>
  </si>
  <si>
    <t>=NF($D5191,"16 Remaining Amt. (LCY)")</t>
  </si>
  <si>
    <t>=NF($D5192,"16 Remaining Amt. (LCY)")</t>
  </si>
  <si>
    <t>=NF($D5193,"16 Remaining Amt. (LCY)")</t>
  </si>
  <si>
    <t>=NF($D5194,"16 Remaining Amt. (LCY)")</t>
  </si>
  <si>
    <t>=NF($D5195,"16 Remaining Amt. (LCY)")</t>
  </si>
  <si>
    <t>=NF($D5196,"16 Remaining Amt. (LCY)")</t>
  </si>
  <si>
    <t>=NF($D5197,"16 Remaining Amt. (LCY)")</t>
  </si>
  <si>
    <t>=NF($D5198,"16 Remaining Amt. (LCY)")</t>
  </si>
  <si>
    <t>=NF($D5199,"16 Remaining Amt. (LCY)")</t>
  </si>
  <si>
    <t>=NF($D5200,"16 Remaining Amt. (LCY)")</t>
  </si>
  <si>
    <t>=NF($D5201,"16 Remaining Amt. (LCY)")</t>
  </si>
  <si>
    <t>=NF($D5202,"16 Remaining Amt. (LCY)")</t>
  </si>
  <si>
    <t>=NF($D5203,"16 Remaining Amt. (LCY)")</t>
  </si>
  <si>
    <t>=NF($D5204,"16 Remaining Amt. (LCY)")</t>
  </si>
  <si>
    <t>=NF($D5205,"16 Remaining Amt. (LCY)")</t>
  </si>
  <si>
    <t>=NF($D5206,"16 Remaining Amt. (LCY)")</t>
  </si>
  <si>
    <t>=NF($D5207,"16 Remaining Amt. (LCY)")</t>
  </si>
  <si>
    <t>=NF($D5208,"16 Remaining Amt. (LCY)")</t>
  </si>
  <si>
    <t>=NF($D5209,"16 Remaining Amt. (LCY)")</t>
  </si>
  <si>
    <t>=NF($D5210,"16 Remaining Amt. (LCY)")</t>
  </si>
  <si>
    <t>=NF($D5211,"16 Remaining Amt. (LCY)")</t>
  </si>
  <si>
    <t>=NF($D5212,"16 Remaining Amt. (LCY)")</t>
  </si>
  <si>
    <t>=NF($D5213,"16 Remaining Amt. (LCY)")</t>
  </si>
  <si>
    <t>=NF($D5214,"16 Remaining Amt. (LCY)")</t>
  </si>
  <si>
    <t>=NF($D5034,"5 Document Type")</t>
  </si>
  <si>
    <t>=NF($D5035,"5 Document Type")</t>
  </si>
  <si>
    <t>=NF($D5036,"5 Document Type")</t>
  </si>
  <si>
    <t>=NF($D5037,"5 Document Type")</t>
  </si>
  <si>
    <t>=NF($D5038,"5 Document Type")</t>
  </si>
  <si>
    <t>=NF($D5039,"5 Document Type")</t>
  </si>
  <si>
    <t>=NF($D5040,"5 Document Type")</t>
  </si>
  <si>
    <t>=NF($D5041,"5 Document Type")</t>
  </si>
  <si>
    <t>=NF($D5042,"5 Document Type")</t>
  </si>
  <si>
    <t>=NF($D5043,"5 Document Type")</t>
  </si>
  <si>
    <t>=NF($D5044,"5 Document Type")</t>
  </si>
  <si>
    <t>=NF($D5045,"5 Document Type")</t>
  </si>
  <si>
    <t>=NF($D5046,"5 Document Type")</t>
  </si>
  <si>
    <t>=NF($D5047,"5 Document Type")</t>
  </si>
  <si>
    <t>=NF($D5048,"5 Document Type")</t>
  </si>
  <si>
    <t>=NF($D5049,"5 Document Type")</t>
  </si>
  <si>
    <t>=NF($D5050,"5 Document Type")</t>
  </si>
  <si>
    <t>=NF($D5051,"5 Document Type")</t>
  </si>
  <si>
    <t>=NF($D5052,"5 Document Type")</t>
  </si>
  <si>
    <t>=NF($D5053,"5 Document Type")</t>
  </si>
  <si>
    <t>=NF($D5054,"5 Document Type")</t>
  </si>
  <si>
    <t>=NF($D5055,"5 Document Type")</t>
  </si>
  <si>
    <t>=NF($D5056,"5 Document Type")</t>
  </si>
  <si>
    <t>=NF($D5057,"5 Document Type")</t>
  </si>
  <si>
    <t>=NF($D5058,"5 Document Type")</t>
  </si>
  <si>
    <t>=NF($D5059,"5 Document Type")</t>
  </si>
  <si>
    <t>=NF($D5060,"5 Document Type")</t>
  </si>
  <si>
    <t>=NF($D5061,"5 Document Type")</t>
  </si>
  <si>
    <t>=NF($D5062,"5 Document Type")</t>
  </si>
  <si>
    <t>=NF($D5063,"5 Document Type")</t>
  </si>
  <si>
    <t>=NF($D5064,"5 Document Type")</t>
  </si>
  <si>
    <t>=NF($D5065,"5 Document Type")</t>
  </si>
  <si>
    <t>=NF($D5066,"5 Document Type")</t>
  </si>
  <si>
    <t>=NF($D5067,"5 Document Type")</t>
  </si>
  <si>
    <t>=NF($D5068,"5 Document Type")</t>
  </si>
  <si>
    <t>=NF($D5034,"6 Document No.")</t>
  </si>
  <si>
    <t>=NF($D5035,"6 Document No.")</t>
  </si>
  <si>
    <t>=NF($D5036,"6 Document No.")</t>
  </si>
  <si>
    <t>=NF($D5037,"6 Document No.")</t>
  </si>
  <si>
    <t>=NF($D5038,"6 Document No.")</t>
  </si>
  <si>
    <t>=NF($D5039,"6 Document No.")</t>
  </si>
  <si>
    <t>=NF($D5040,"6 Document No.")</t>
  </si>
  <si>
    <t>=NF($D5041,"6 Document No.")</t>
  </si>
  <si>
    <t>=NF($D5042,"6 Document No.")</t>
  </si>
  <si>
    <t>=NF($D5043,"6 Document No.")</t>
  </si>
  <si>
    <t>=NF($D5044,"6 Document No.")</t>
  </si>
  <si>
    <t>=NF($D5045,"6 Document No.")</t>
  </si>
  <si>
    <t>=NF($D5046,"6 Document No.")</t>
  </si>
  <si>
    <t>=NF($D5047,"6 Document No.")</t>
  </si>
  <si>
    <t>=NF($D5048,"6 Document No.")</t>
  </si>
  <si>
    <t>=NF($D5049,"6 Document No.")</t>
  </si>
  <si>
    <t>=NF($D5050,"6 Document No.")</t>
  </si>
  <si>
    <t>=NF($D5051,"6 Document No.")</t>
  </si>
  <si>
    <t>=NF($D5052,"6 Document No.")</t>
  </si>
  <si>
    <t>=NF($D5053,"6 Document No.")</t>
  </si>
  <si>
    <t>=NF($D5054,"6 Document No.")</t>
  </si>
  <si>
    <t>=NF($D5055,"6 Document No.")</t>
  </si>
  <si>
    <t>=NF($D5056,"6 Document No.")</t>
  </si>
  <si>
    <t>=NF($D5057,"6 Document No.")</t>
  </si>
  <si>
    <t>=NF($D5058,"6 Document No.")</t>
  </si>
  <si>
    <t>=NF($D5059,"6 Document No.")</t>
  </si>
  <si>
    <t>=NF($D5060,"6 Document No.")</t>
  </si>
  <si>
    <t>=NF($D5061,"6 Document No.")</t>
  </si>
  <si>
    <t>=NF($D5062,"6 Document No.")</t>
  </si>
  <si>
    <t>=NF($D5063,"6 Document No.")</t>
  </si>
  <si>
    <t>=NF($D5064,"6 Document No.")</t>
  </si>
  <si>
    <t>=NF($D5065,"6 Document No.")</t>
  </si>
  <si>
    <t>=NF($D5066,"6 Document No.")</t>
  </si>
  <si>
    <t>=NF($D5067,"6 Document No.")</t>
  </si>
  <si>
    <t>=NF($D5068,"6 Document No.")</t>
  </si>
  <si>
    <t>=NF($D5034,"37 Due Date")</t>
  </si>
  <si>
    <t>=NF($D5035,"37 Due Date")</t>
  </si>
  <si>
    <t>=NF($D5036,"37 Due Date")</t>
  </si>
  <si>
    <t>=NF($D5037,"37 Due Date")</t>
  </si>
  <si>
    <t>=NF($D5038,"37 Due Date")</t>
  </si>
  <si>
    <t>=NF($D5039,"37 Due Date")</t>
  </si>
  <si>
    <t>=NF($D5040,"37 Due Date")</t>
  </si>
  <si>
    <t>=NF($D5041,"37 Due Date")</t>
  </si>
  <si>
    <t>=NF($D5042,"37 Due Date")</t>
  </si>
  <si>
    <t>=NF($D5043,"37 Due Date")</t>
  </si>
  <si>
    <t>=NF($D5044,"37 Due Date")</t>
  </si>
  <si>
    <t>=NF($D5045,"37 Due Date")</t>
  </si>
  <si>
    <t>=NF($D5046,"37 Due Date")</t>
  </si>
  <si>
    <t>=NF($D5047,"37 Due Date")</t>
  </si>
  <si>
    <t>=NF($D5048,"37 Due Date")</t>
  </si>
  <si>
    <t>=NF($D5049,"37 Due Date")</t>
  </si>
  <si>
    <t>=NF($D5050,"37 Due Date")</t>
  </si>
  <si>
    <t>=NF($D5051,"37 Due Date")</t>
  </si>
  <si>
    <t>=NF($D5052,"37 Due Date")</t>
  </si>
  <si>
    <t>=NF($D5053,"37 Due Date")</t>
  </si>
  <si>
    <t>=NF($D5054,"37 Due Date")</t>
  </si>
  <si>
    <t>=NF($D5055,"37 Due Date")</t>
  </si>
  <si>
    <t>=NF($D5056,"37 Due Date")</t>
  </si>
  <si>
    <t>=NF($D5057,"37 Due Date")</t>
  </si>
  <si>
    <t>=NF($D5058,"37 Due Date")</t>
  </si>
  <si>
    <t>=NF($D5059,"37 Due Date")</t>
  </si>
  <si>
    <t>=NF($D5060,"37 Due Date")</t>
  </si>
  <si>
    <t>=NF($D5061,"37 Due Date")</t>
  </si>
  <si>
    <t>=NF($D5062,"37 Due Date")</t>
  </si>
  <si>
    <t>=NF($D5063,"37 Due Date")</t>
  </si>
  <si>
    <t>=NF($D5064,"37 Due Date")</t>
  </si>
  <si>
    <t>=NF($D5065,"37 Due Date")</t>
  </si>
  <si>
    <t>=NF($D5066,"37 Due Date")</t>
  </si>
  <si>
    <t>=NF($D5067,"37 Due Date")</t>
  </si>
  <si>
    <t>=NF($D5068,"37 Due Date")</t>
  </si>
  <si>
    <t>=NF($D5034,"16 Remaining Amt. (LCY)")</t>
  </si>
  <si>
    <t>=NF($D5035,"16 Remaining Amt. (LCY)")</t>
  </si>
  <si>
    <t>=NF($D5036,"16 Remaining Amt. (LCY)")</t>
  </si>
  <si>
    <t>=NF($D5037,"16 Remaining Amt. (LCY)")</t>
  </si>
  <si>
    <t>=NF($D5038,"16 Remaining Amt. (LCY)")</t>
  </si>
  <si>
    <t>=NF($D5039,"16 Remaining Amt. (LCY)")</t>
  </si>
  <si>
    <t>=NF($D5040,"16 Remaining Amt. (LCY)")</t>
  </si>
  <si>
    <t>=NF($D5041,"16 Remaining Amt. (LCY)")</t>
  </si>
  <si>
    <t>=NF($D5042,"16 Remaining Amt. (LCY)")</t>
  </si>
  <si>
    <t>=NF($D5043,"16 Remaining Amt. (LCY)")</t>
  </si>
  <si>
    <t>=NF($D5044,"16 Remaining Amt. (LCY)")</t>
  </si>
  <si>
    <t>=NF($D5045,"16 Remaining Amt. (LCY)")</t>
  </si>
  <si>
    <t>=NF($D5046,"16 Remaining Amt. (LCY)")</t>
  </si>
  <si>
    <t>=NF($D5047,"16 Remaining Amt. (LCY)")</t>
  </si>
  <si>
    <t>=NF($D5048,"16 Remaining Amt. (LCY)")</t>
  </si>
  <si>
    <t>=NF($D5049,"16 Remaining Amt. (LCY)")</t>
  </si>
  <si>
    <t>=NF($D5050,"16 Remaining Amt. (LCY)")</t>
  </si>
  <si>
    <t>=NF($D5051,"16 Remaining Amt. (LCY)")</t>
  </si>
  <si>
    <t>=NF($D5052,"16 Remaining Amt. (LCY)")</t>
  </si>
  <si>
    <t>=NF($D5053,"16 Remaining Amt. (LCY)")</t>
  </si>
  <si>
    <t>=NF($D5054,"16 Remaining Amt. (LCY)")</t>
  </si>
  <si>
    <t>=NF($D5055,"16 Remaining Amt. (LCY)")</t>
  </si>
  <si>
    <t>=NF($D5056,"16 Remaining Amt. (LCY)")</t>
  </si>
  <si>
    <t>=NF($D5057,"16 Remaining Amt. (LCY)")</t>
  </si>
  <si>
    <t>=NF($D5058,"16 Remaining Amt. (LCY)")</t>
  </si>
  <si>
    <t>=NF($D5059,"16 Remaining Amt. (LCY)")</t>
  </si>
  <si>
    <t>=NF($D5060,"16 Remaining Amt. (LCY)")</t>
  </si>
  <si>
    <t>=NF($D5061,"16 Remaining Amt. (LCY)")</t>
  </si>
  <si>
    <t>=NF($D5062,"16 Remaining Amt. (LCY)")</t>
  </si>
  <si>
    <t>=NF($D5063,"16 Remaining Amt. (LCY)")</t>
  </si>
  <si>
    <t>=NF($D5064,"16 Remaining Amt. (LCY)")</t>
  </si>
  <si>
    <t>=NF($D5065,"16 Remaining Amt. (LCY)")</t>
  </si>
  <si>
    <t>=NF($D5066,"16 Remaining Amt. (LCY)")</t>
  </si>
  <si>
    <t>=NF($D5067,"16 Remaining Amt. (LCY)")</t>
  </si>
  <si>
    <t>=NF($D5068,"16 Remaining Amt. (LCY)")</t>
  </si>
  <si>
    <t>=NF($D4942,"5 Document Type")</t>
  </si>
  <si>
    <t>=NF($D4943,"5 Document Type")</t>
  </si>
  <si>
    <t>=NF($D4944,"5 Document Type")</t>
  </si>
  <si>
    <t>=NF($D4945,"5 Document Type")</t>
  </si>
  <si>
    <t>=NF($D4946,"5 Document Type")</t>
  </si>
  <si>
    <t>=NF($D4947,"5 Document Type")</t>
  </si>
  <si>
    <t>=NF($D4948,"5 Document Type")</t>
  </si>
  <si>
    <t>=NF($D4949,"5 Document Type")</t>
  </si>
  <si>
    <t>=NF($D4950,"5 Document Type")</t>
  </si>
  <si>
    <t>=NF($D4951,"5 Document Type")</t>
  </si>
  <si>
    <t>=NF($D4952,"5 Document Type")</t>
  </si>
  <si>
    <t>=NF($D4953,"5 Document Type")</t>
  </si>
  <si>
    <t>=NF($D4954,"5 Document Type")</t>
  </si>
  <si>
    <t>=NF($D4955,"5 Document Type")</t>
  </si>
  <si>
    <t>=NF($D4956,"5 Document Type")</t>
  </si>
  <si>
    <t>=NF($D4957,"5 Document Type")</t>
  </si>
  <si>
    <t>=NF($D4958,"5 Document Type")</t>
  </si>
  <si>
    <t>=NF($D4959,"5 Document Type")</t>
  </si>
  <si>
    <t>=NF($D4960,"5 Document Type")</t>
  </si>
  <si>
    <t>=NF($D4961,"5 Document Type")</t>
  </si>
  <si>
    <t>=NF($D4962,"5 Document Type")</t>
  </si>
  <si>
    <t>=NF($D4963,"5 Document Type")</t>
  </si>
  <si>
    <t>=NF($D4964,"5 Document Type")</t>
  </si>
  <si>
    <t>=NF($D4965,"5 Document Type")</t>
  </si>
  <si>
    <t>=NF($D4966,"5 Document Type")</t>
  </si>
  <si>
    <t>=NF($D4967,"5 Document Type")</t>
  </si>
  <si>
    <t>=NF($D4968,"5 Document Type")</t>
  </si>
  <si>
    <t>=NF($D4969,"5 Document Type")</t>
  </si>
  <si>
    <t>=NF($D4970,"5 Document Type")</t>
  </si>
  <si>
    <t>=NF($D4971,"5 Document Type")</t>
  </si>
  <si>
    <t>=NF($D4972,"5 Document Type")</t>
  </si>
  <si>
    <t>=NF($D4973,"5 Document Type")</t>
  </si>
  <si>
    <t>=NF($D4974,"5 Document Type")</t>
  </si>
  <si>
    <t>=NF($D4975,"5 Document Type")</t>
  </si>
  <si>
    <t>=NF($D4976,"5 Document Type")</t>
  </si>
  <si>
    <t>=NF($D4977,"5 Document Type")</t>
  </si>
  <si>
    <t>=NF($D4978,"5 Document Type")</t>
  </si>
  <si>
    <t>=NF($D4979,"5 Document Type")</t>
  </si>
  <si>
    <t>=NF($D4980,"5 Document Type")</t>
  </si>
  <si>
    <t>=NF($D4981,"5 Document Type")</t>
  </si>
  <si>
    <t>=NF($D4982,"5 Document Type")</t>
  </si>
  <si>
    <t>=NF($D4983,"5 Document Type")</t>
  </si>
  <si>
    <t>=NF($D4984,"5 Document Type")</t>
  </si>
  <si>
    <t>=NF($D4985,"5 Document Type")</t>
  </si>
  <si>
    <t>=NF($D4986,"5 Document Type")</t>
  </si>
  <si>
    <t>=NF($D4987,"5 Document Type")</t>
  </si>
  <si>
    <t>=NF($D4988,"5 Document Type")</t>
  </si>
  <si>
    <t>=NF($D4989,"5 Document Type")</t>
  </si>
  <si>
    <t>=NF($D4990,"5 Document Type")</t>
  </si>
  <si>
    <t>=NF($D4991,"5 Document Type")</t>
  </si>
  <si>
    <t>=NF($D4992,"5 Document Type")</t>
  </si>
  <si>
    <t>=NF($D4993,"5 Document Type")</t>
  </si>
  <si>
    <t>=NF($D4994,"5 Document Type")</t>
  </si>
  <si>
    <t>=NF($D4995,"5 Document Type")</t>
  </si>
  <si>
    <t>=NF($D4996,"5 Document Type")</t>
  </si>
  <si>
    <t>=NF($D4997,"5 Document Type")</t>
  </si>
  <si>
    <t>=NF($D4998,"5 Document Type")</t>
  </si>
  <si>
    <t>=NF($D4999,"5 Document Type")</t>
  </si>
  <si>
    <t>=NF($D5000,"5 Document Type")</t>
  </si>
  <si>
    <t>=NF($D5001,"5 Document Type")</t>
  </si>
  <si>
    <t>=NF($D5002,"5 Document Type")</t>
  </si>
  <si>
    <t>=NF($D5003,"5 Document Type")</t>
  </si>
  <si>
    <t>=NF($D5004,"5 Document Type")</t>
  </si>
  <si>
    <t>=NF($D5005,"5 Document Type")</t>
  </si>
  <si>
    <t>=NF($D5006,"5 Document Type")</t>
  </si>
  <si>
    <t>=NF($D5007,"5 Document Type")</t>
  </si>
  <si>
    <t>=NF($D5008,"5 Document Type")</t>
  </si>
  <si>
    <t>=NF($D5009,"5 Document Type")</t>
  </si>
  <si>
    <t>=NF($D5010,"5 Document Type")</t>
  </si>
  <si>
    <t>=NF($D5011,"5 Document Type")</t>
  </si>
  <si>
    <t>=NF($D5012,"5 Document Type")</t>
  </si>
  <si>
    <t>=NF($D5013,"5 Document Type")</t>
  </si>
  <si>
    <t>=NF($D5014,"5 Document Type")</t>
  </si>
  <si>
    <t>=NF($D5015,"5 Document Type")</t>
  </si>
  <si>
    <t>=NF($D5016,"5 Document Type")</t>
  </si>
  <si>
    <t>=NF($D5017,"5 Document Type")</t>
  </si>
  <si>
    <t>=NF($D5018,"5 Document Type")</t>
  </si>
  <si>
    <t>=NF($D5019,"5 Document Type")</t>
  </si>
  <si>
    <t>=NF($D5020,"5 Document Type")</t>
  </si>
  <si>
    <t>=NF($D5021,"5 Document Type")</t>
  </si>
  <si>
    <t>=NF($D5022,"5 Document Type")</t>
  </si>
  <si>
    <t>=NF($D5023,"5 Document Type")</t>
  </si>
  <si>
    <t>=NF($D5024,"5 Document Type")</t>
  </si>
  <si>
    <t>=NF($D5025,"5 Document Type")</t>
  </si>
  <si>
    <t>=NF($D5026,"5 Document Type")</t>
  </si>
  <si>
    <t>=NF($D5027,"5 Document Type")</t>
  </si>
  <si>
    <t>=NF($D4942,"6 Document No.")</t>
  </si>
  <si>
    <t>=NF($D4943,"6 Document No.")</t>
  </si>
  <si>
    <t>=NF($D4944,"6 Document No.")</t>
  </si>
  <si>
    <t>=NF($D4945,"6 Document No.")</t>
  </si>
  <si>
    <t>=NF($D4946,"6 Document No.")</t>
  </si>
  <si>
    <t>=NF($D4947,"6 Document No.")</t>
  </si>
  <si>
    <t>=NF($D4948,"6 Document No.")</t>
  </si>
  <si>
    <t>=NF($D4949,"6 Document No.")</t>
  </si>
  <si>
    <t>=NF($D4950,"6 Document No.")</t>
  </si>
  <si>
    <t>=NF($D4951,"6 Document No.")</t>
  </si>
  <si>
    <t>=NF($D4952,"6 Document No.")</t>
  </si>
  <si>
    <t>=NF($D4953,"6 Document No.")</t>
  </si>
  <si>
    <t>=NF($D4954,"6 Document No.")</t>
  </si>
  <si>
    <t>=NF($D4955,"6 Document No.")</t>
  </si>
  <si>
    <t>=NF($D4956,"6 Document No.")</t>
  </si>
  <si>
    <t>=NF($D4957,"6 Document No.")</t>
  </si>
  <si>
    <t>=NF($D4958,"6 Document No.")</t>
  </si>
  <si>
    <t>=NF($D4959,"6 Document No.")</t>
  </si>
  <si>
    <t>=NF($D4960,"6 Document No.")</t>
  </si>
  <si>
    <t>=NF($D4961,"6 Document No.")</t>
  </si>
  <si>
    <t>=NF($D4962,"6 Document No.")</t>
  </si>
  <si>
    <t>=NF($D4963,"6 Document No.")</t>
  </si>
  <si>
    <t>=NF($D4964,"6 Document No.")</t>
  </si>
  <si>
    <t>=NF($D4965,"6 Document No.")</t>
  </si>
  <si>
    <t>=NF($D4966,"6 Document No.")</t>
  </si>
  <si>
    <t>=NF($D4967,"6 Document No.")</t>
  </si>
  <si>
    <t>=NF($D4968,"6 Document No.")</t>
  </si>
  <si>
    <t>=NF($D4969,"6 Document No.")</t>
  </si>
  <si>
    <t>=NF($D4970,"6 Document No.")</t>
  </si>
  <si>
    <t>=NF($D4971,"6 Document No.")</t>
  </si>
  <si>
    <t>=NF($D4972,"6 Document No.")</t>
  </si>
  <si>
    <t>=NF($D4973,"6 Document No.")</t>
  </si>
  <si>
    <t>=NF($D4974,"6 Document No.")</t>
  </si>
  <si>
    <t>=NF($D4975,"6 Document No.")</t>
  </si>
  <si>
    <t>=NF($D4976,"6 Document No.")</t>
  </si>
  <si>
    <t>=NF($D4977,"6 Document No.")</t>
  </si>
  <si>
    <t>=NF($D4978,"6 Document No.")</t>
  </si>
  <si>
    <t>=NF($D4979,"6 Document No.")</t>
  </si>
  <si>
    <t>=NF($D4980,"6 Document No.")</t>
  </si>
  <si>
    <t>=NF($D4981,"6 Document No.")</t>
  </si>
  <si>
    <t>=NF($D4982,"6 Document No.")</t>
  </si>
  <si>
    <t>=NF($D4983,"6 Document No.")</t>
  </si>
  <si>
    <t>=NF($D4984,"6 Document No.")</t>
  </si>
  <si>
    <t>=NF($D4985,"6 Document No.")</t>
  </si>
  <si>
    <t>=NF($D4986,"6 Document No.")</t>
  </si>
  <si>
    <t>=NF($D4987,"6 Document No.")</t>
  </si>
  <si>
    <t>=NF($D4988,"6 Document No.")</t>
  </si>
  <si>
    <t>=NF($D4989,"6 Document No.")</t>
  </si>
  <si>
    <t>=NF($D4990,"6 Document No.")</t>
  </si>
  <si>
    <t>=NF($D4991,"6 Document No.")</t>
  </si>
  <si>
    <t>=NF($D4992,"6 Document No.")</t>
  </si>
  <si>
    <t>=NF($D4993,"6 Document No.")</t>
  </si>
  <si>
    <t>=NF($D4994,"6 Document No.")</t>
  </si>
  <si>
    <t>=NF($D4995,"6 Document No.")</t>
  </si>
  <si>
    <t>=NF($D4996,"6 Document No.")</t>
  </si>
  <si>
    <t>=NF($D4997,"6 Document No.")</t>
  </si>
  <si>
    <t>=NF($D4998,"6 Document No.")</t>
  </si>
  <si>
    <t>=NF($D4999,"6 Document No.")</t>
  </si>
  <si>
    <t>=NF($D5000,"6 Document No.")</t>
  </si>
  <si>
    <t>=NF($D5001,"6 Document No.")</t>
  </si>
  <si>
    <t>=NF($D5002,"6 Document No.")</t>
  </si>
  <si>
    <t>=NF($D5003,"6 Document No.")</t>
  </si>
  <si>
    <t>=NF($D5004,"6 Document No.")</t>
  </si>
  <si>
    <t>=NF($D5005,"6 Document No.")</t>
  </si>
  <si>
    <t>=NF($D5006,"6 Document No.")</t>
  </si>
  <si>
    <t>=NF($D5007,"6 Document No.")</t>
  </si>
  <si>
    <t>=NF($D5008,"6 Document No.")</t>
  </si>
  <si>
    <t>=NF($D5009,"6 Document No.")</t>
  </si>
  <si>
    <t>=NF($D5010,"6 Document No.")</t>
  </si>
  <si>
    <t>=NF($D5011,"6 Document No.")</t>
  </si>
  <si>
    <t>=NF($D5012,"6 Document No.")</t>
  </si>
  <si>
    <t>=NF($D5013,"6 Document No.")</t>
  </si>
  <si>
    <t>=NF($D5014,"6 Document No.")</t>
  </si>
  <si>
    <t>=NF($D5015,"6 Document No.")</t>
  </si>
  <si>
    <t>=NF($D5016,"6 Document No.")</t>
  </si>
  <si>
    <t>=NF($D5017,"6 Document No.")</t>
  </si>
  <si>
    <t>=NF($D5018,"6 Document No.")</t>
  </si>
  <si>
    <t>=NF($D5019,"6 Document No.")</t>
  </si>
  <si>
    <t>=NF($D5020,"6 Document No.")</t>
  </si>
  <si>
    <t>=NF($D5021,"6 Document No.")</t>
  </si>
  <si>
    <t>=NF($D5022,"6 Document No.")</t>
  </si>
  <si>
    <t>=NF($D5023,"6 Document No.")</t>
  </si>
  <si>
    <t>=NF($D5024,"6 Document No.")</t>
  </si>
  <si>
    <t>=NF($D5025,"6 Document No.")</t>
  </si>
  <si>
    <t>=NF($D5026,"6 Document No.")</t>
  </si>
  <si>
    <t>=NF($D5027,"6 Document No.")</t>
  </si>
  <si>
    <t>=NF($D4942,"37 Due Date")</t>
  </si>
  <si>
    <t>=NF($D4943,"37 Due Date")</t>
  </si>
  <si>
    <t>=NF($D4944,"37 Due Date")</t>
  </si>
  <si>
    <t>=NF($D4945,"37 Due Date")</t>
  </si>
  <si>
    <t>=NF($D4946,"37 Due Date")</t>
  </si>
  <si>
    <t>=NF($D4947,"37 Due Date")</t>
  </si>
  <si>
    <t>=NF($D4948,"37 Due Date")</t>
  </si>
  <si>
    <t>=NF($D4949,"37 Due Date")</t>
  </si>
  <si>
    <t>=NF($D4950,"37 Due Date")</t>
  </si>
  <si>
    <t>=NF($D4951,"37 Due Date")</t>
  </si>
  <si>
    <t>=NF($D4952,"37 Due Date")</t>
  </si>
  <si>
    <t>=NF($D4953,"37 Due Date")</t>
  </si>
  <si>
    <t>=NF($D4954,"37 Due Date")</t>
  </si>
  <si>
    <t>=NF($D4955,"37 Due Date")</t>
  </si>
  <si>
    <t>=NF($D4956,"37 Due Date")</t>
  </si>
  <si>
    <t>=NF($D4957,"37 Due Date")</t>
  </si>
  <si>
    <t>=NF($D4958,"37 Due Date")</t>
  </si>
  <si>
    <t>=NF($D4959,"37 Due Date")</t>
  </si>
  <si>
    <t>=NF($D4960,"37 Due Date")</t>
  </si>
  <si>
    <t>=NF($D4961,"37 Due Date")</t>
  </si>
  <si>
    <t>=NF($D4962,"37 Due Date")</t>
  </si>
  <si>
    <t>=NF($D4963,"37 Due Date")</t>
  </si>
  <si>
    <t>=NF($D4964,"37 Due Date")</t>
  </si>
  <si>
    <t>=NF($D4965,"37 Due Date")</t>
  </si>
  <si>
    <t>=NF($D4966,"37 Due Date")</t>
  </si>
  <si>
    <t>=NF($D4967,"37 Due Date")</t>
  </si>
  <si>
    <t>=NF($D4968,"37 Due Date")</t>
  </si>
  <si>
    <t>=NF($D4969,"37 Due Date")</t>
  </si>
  <si>
    <t>=NF($D4970,"37 Due Date")</t>
  </si>
  <si>
    <t>=NF($D4971,"37 Due Date")</t>
  </si>
  <si>
    <t>=NF($D4972,"37 Due Date")</t>
  </si>
  <si>
    <t>=NF($D4973,"37 Due Date")</t>
  </si>
  <si>
    <t>=NF($D4974,"37 Due Date")</t>
  </si>
  <si>
    <t>=NF($D4975,"37 Due Date")</t>
  </si>
  <si>
    <t>=NF($D4976,"37 Due Date")</t>
  </si>
  <si>
    <t>=NF($D4977,"37 Due Date")</t>
  </si>
  <si>
    <t>=NF($D4978,"37 Due Date")</t>
  </si>
  <si>
    <t>=NF($D4979,"37 Due Date")</t>
  </si>
  <si>
    <t>=NF($D4980,"37 Due Date")</t>
  </si>
  <si>
    <t>=NF($D4981,"37 Due Date")</t>
  </si>
  <si>
    <t>=NF($D4982,"37 Due Date")</t>
  </si>
  <si>
    <t>=NF($D4983,"37 Due Date")</t>
  </si>
  <si>
    <t>=NF($D4984,"37 Due Date")</t>
  </si>
  <si>
    <t>=NF($D4985,"37 Due Date")</t>
  </si>
  <si>
    <t>=NF($D4986,"37 Due Date")</t>
  </si>
  <si>
    <t>=NF($D4987,"37 Due Date")</t>
  </si>
  <si>
    <t>=NF($D4988,"37 Due Date")</t>
  </si>
  <si>
    <t>=NF($D4989,"37 Due Date")</t>
  </si>
  <si>
    <t>=NF($D4990,"37 Due Date")</t>
  </si>
  <si>
    <t>=NF($D4991,"37 Due Date")</t>
  </si>
  <si>
    <t>=NF($D4992,"37 Due Date")</t>
  </si>
  <si>
    <t>=NF($D4993,"37 Due Date")</t>
  </si>
  <si>
    <t>=NF($D4994,"37 Due Date")</t>
  </si>
  <si>
    <t>=NF($D4995,"37 Due Date")</t>
  </si>
  <si>
    <t>=NF($D4996,"37 Due Date")</t>
  </si>
  <si>
    <t>=NF($D4997,"37 Due Date")</t>
  </si>
  <si>
    <t>=NF($D4998,"37 Due Date")</t>
  </si>
  <si>
    <t>=NF($D4999,"37 Due Date")</t>
  </si>
  <si>
    <t>=NF($D5000,"37 Due Date")</t>
  </si>
  <si>
    <t>=NF($D5001,"37 Due Date")</t>
  </si>
  <si>
    <t>=NF($D5002,"37 Due Date")</t>
  </si>
  <si>
    <t>=NF($D5003,"37 Due Date")</t>
  </si>
  <si>
    <t>=NF($D5004,"37 Due Date")</t>
  </si>
  <si>
    <t>=NF($D5005,"37 Due Date")</t>
  </si>
  <si>
    <t>=NF($D5006,"37 Due Date")</t>
  </si>
  <si>
    <t>=NF($D5007,"37 Due Date")</t>
  </si>
  <si>
    <t>=NF($D5008,"37 Due Date")</t>
  </si>
  <si>
    <t>=NF($D5009,"37 Due Date")</t>
  </si>
  <si>
    <t>=NF($D5010,"37 Due Date")</t>
  </si>
  <si>
    <t>=NF($D5011,"37 Due Date")</t>
  </si>
  <si>
    <t>=NF($D5012,"37 Due Date")</t>
  </si>
  <si>
    <t>=NF($D5013,"37 Due Date")</t>
  </si>
  <si>
    <t>=NF($D5014,"37 Due Date")</t>
  </si>
  <si>
    <t>=NF($D5015,"37 Due Date")</t>
  </si>
  <si>
    <t>=NF($D5016,"37 Due Date")</t>
  </si>
  <si>
    <t>=NF($D5017,"37 Due Date")</t>
  </si>
  <si>
    <t>=NF($D5018,"37 Due Date")</t>
  </si>
  <si>
    <t>=NF($D5019,"37 Due Date")</t>
  </si>
  <si>
    <t>=NF($D5020,"37 Due Date")</t>
  </si>
  <si>
    <t>=NF($D5021,"37 Due Date")</t>
  </si>
  <si>
    <t>=NF($D5022,"37 Due Date")</t>
  </si>
  <si>
    <t>=NF($D5023,"37 Due Date")</t>
  </si>
  <si>
    <t>=NF($D5024,"37 Due Date")</t>
  </si>
  <si>
    <t>=NF($D5025,"37 Due Date")</t>
  </si>
  <si>
    <t>=NF($D5026,"37 Due Date")</t>
  </si>
  <si>
    <t>=NF($D5027,"37 Due Date")</t>
  </si>
  <si>
    <t>=NF($D4942,"16 Remaining Amt. (LCY)")</t>
  </si>
  <si>
    <t>=NF($D4943,"16 Remaining Amt. (LCY)")</t>
  </si>
  <si>
    <t>=NF($D4944,"16 Remaining Amt. (LCY)")</t>
  </si>
  <si>
    <t>=NF($D4945,"16 Remaining Amt. (LCY)")</t>
  </si>
  <si>
    <t>=NF($D4946,"16 Remaining Amt. (LCY)")</t>
  </si>
  <si>
    <t>=NF($D4947,"16 Remaining Amt. (LCY)")</t>
  </si>
  <si>
    <t>=NF($D4948,"16 Remaining Amt. (LCY)")</t>
  </si>
  <si>
    <t>=NF($D4949,"16 Remaining Amt. (LCY)")</t>
  </si>
  <si>
    <t>=NF($D4950,"16 Remaining Amt. (LCY)")</t>
  </si>
  <si>
    <t>=NF($D4951,"16 Remaining Amt. (LCY)")</t>
  </si>
  <si>
    <t>=NF($D4952,"16 Remaining Amt. (LCY)")</t>
  </si>
  <si>
    <t>=NF($D4953,"16 Remaining Amt. (LCY)")</t>
  </si>
  <si>
    <t>=NF($D4954,"16 Remaining Amt. (LCY)")</t>
  </si>
  <si>
    <t>=NF($D4955,"16 Remaining Amt. (LCY)")</t>
  </si>
  <si>
    <t>=NF($D4956,"16 Remaining Amt. (LCY)")</t>
  </si>
  <si>
    <t>=NF($D4957,"16 Remaining Amt. (LCY)")</t>
  </si>
  <si>
    <t>=NF($D4958,"16 Remaining Amt. (LCY)")</t>
  </si>
  <si>
    <t>=NF($D4959,"16 Remaining Amt. (LCY)")</t>
  </si>
  <si>
    <t>=NF($D4960,"16 Remaining Amt. (LCY)")</t>
  </si>
  <si>
    <t>=NF($D4961,"16 Remaining Amt. (LCY)")</t>
  </si>
  <si>
    <t>=NF($D4962,"16 Remaining Amt. (LCY)")</t>
  </si>
  <si>
    <t>=NF($D4963,"16 Remaining Amt. (LCY)")</t>
  </si>
  <si>
    <t>=NF($D4964,"16 Remaining Amt. (LCY)")</t>
  </si>
  <si>
    <t>=NF($D4965,"16 Remaining Amt. (LCY)")</t>
  </si>
  <si>
    <t>=NF($D4966,"16 Remaining Amt. (LCY)")</t>
  </si>
  <si>
    <t>=NF($D4967,"16 Remaining Amt. (LCY)")</t>
  </si>
  <si>
    <t>=NF($D4968,"16 Remaining Amt. (LCY)")</t>
  </si>
  <si>
    <t>=NF($D4969,"16 Remaining Amt. (LCY)")</t>
  </si>
  <si>
    <t>=NF($D4970,"16 Remaining Amt. (LCY)")</t>
  </si>
  <si>
    <t>=NF($D4971,"16 Remaining Amt. (LCY)")</t>
  </si>
  <si>
    <t>=NF($D4972,"16 Remaining Amt. (LCY)")</t>
  </si>
  <si>
    <t>=NF($D4973,"16 Remaining Amt. (LCY)")</t>
  </si>
  <si>
    <t>=NF($D4974,"16 Remaining Amt. (LCY)")</t>
  </si>
  <si>
    <t>=NF($D4975,"16 Remaining Amt. (LCY)")</t>
  </si>
  <si>
    <t>=NF($D4976,"16 Remaining Amt. (LCY)")</t>
  </si>
  <si>
    <t>=NF($D4977,"16 Remaining Amt. (LCY)")</t>
  </si>
  <si>
    <t>=NF($D4978,"16 Remaining Amt. (LCY)")</t>
  </si>
  <si>
    <t>=NF($D4979,"16 Remaining Amt. (LCY)")</t>
  </si>
  <si>
    <t>=NF($D4980,"16 Remaining Amt. (LCY)")</t>
  </si>
  <si>
    <t>=NF($D4981,"16 Remaining Amt. (LCY)")</t>
  </si>
  <si>
    <t>=NF($D4982,"16 Remaining Amt. (LCY)")</t>
  </si>
  <si>
    <t>=NF($D4983,"16 Remaining Amt. (LCY)")</t>
  </si>
  <si>
    <t>=NF($D4984,"16 Remaining Amt. (LCY)")</t>
  </si>
  <si>
    <t>=NF($D4985,"16 Remaining Amt. (LCY)")</t>
  </si>
  <si>
    <t>=NF($D4986,"16 Remaining Amt. (LCY)")</t>
  </si>
  <si>
    <t>=NF($D4987,"16 Remaining Amt. (LCY)")</t>
  </si>
  <si>
    <t>=NF($D4988,"16 Remaining Amt. (LCY)")</t>
  </si>
  <si>
    <t>=NF($D4989,"16 Remaining Amt. (LCY)")</t>
  </si>
  <si>
    <t>=NF($D4990,"16 Remaining Amt. (LCY)")</t>
  </si>
  <si>
    <t>=NF($D4991,"16 Remaining Amt. (LCY)")</t>
  </si>
  <si>
    <t>=NF($D4992,"16 Remaining Amt. (LCY)")</t>
  </si>
  <si>
    <t>=NF($D4993,"16 Remaining Amt. (LCY)")</t>
  </si>
  <si>
    <t>=NF($D4994,"16 Remaining Amt. (LCY)")</t>
  </si>
  <si>
    <t>=NF($D4995,"16 Remaining Amt. (LCY)")</t>
  </si>
  <si>
    <t>=NF($D4996,"16 Remaining Amt. (LCY)")</t>
  </si>
  <si>
    <t>=NF($D4997,"16 Remaining Amt. (LCY)")</t>
  </si>
  <si>
    <t>=NF($D4998,"16 Remaining Amt. (LCY)")</t>
  </si>
  <si>
    <t>=NF($D4999,"16 Remaining Amt. (LCY)")</t>
  </si>
  <si>
    <t>=NF($D5000,"16 Remaining Amt. (LCY)")</t>
  </si>
  <si>
    <t>=NF($D5001,"16 Remaining Amt. (LCY)")</t>
  </si>
  <si>
    <t>=NF($D5002,"16 Remaining Amt. (LCY)")</t>
  </si>
  <si>
    <t>=NF($D5003,"16 Remaining Amt. (LCY)")</t>
  </si>
  <si>
    <t>=NF($D5004,"16 Remaining Amt. (LCY)")</t>
  </si>
  <si>
    <t>=NF($D5005,"16 Remaining Amt. (LCY)")</t>
  </si>
  <si>
    <t>=NF($D5006,"16 Remaining Amt. (LCY)")</t>
  </si>
  <si>
    <t>=NF($D5007,"16 Remaining Amt. (LCY)")</t>
  </si>
  <si>
    <t>=NF($D5008,"16 Remaining Amt. (LCY)")</t>
  </si>
  <si>
    <t>=NF($D5009,"16 Remaining Amt. (LCY)")</t>
  </si>
  <si>
    <t>=NF($D5010,"16 Remaining Amt. (LCY)")</t>
  </si>
  <si>
    <t>=NF($D5011,"16 Remaining Amt. (LCY)")</t>
  </si>
  <si>
    <t>=NF($D5012,"16 Remaining Amt. (LCY)")</t>
  </si>
  <si>
    <t>=NF($D5013,"16 Remaining Amt. (LCY)")</t>
  </si>
  <si>
    <t>=NF($D5014,"16 Remaining Amt. (LCY)")</t>
  </si>
  <si>
    <t>=NF($D5015,"16 Remaining Amt. (LCY)")</t>
  </si>
  <si>
    <t>=NF($D5016,"16 Remaining Amt. (LCY)")</t>
  </si>
  <si>
    <t>=NF($D5017,"16 Remaining Amt. (LCY)")</t>
  </si>
  <si>
    <t>=NF($D5018,"16 Remaining Amt. (LCY)")</t>
  </si>
  <si>
    <t>=NF($D5019,"16 Remaining Amt. (LCY)")</t>
  </si>
  <si>
    <t>=NF($D5020,"16 Remaining Amt. (LCY)")</t>
  </si>
  <si>
    <t>=NF($D5021,"16 Remaining Amt. (LCY)")</t>
  </si>
  <si>
    <t>=NF($D5022,"16 Remaining Amt. (LCY)")</t>
  </si>
  <si>
    <t>=NF($D5023,"16 Remaining Amt. (LCY)")</t>
  </si>
  <si>
    <t>=NF($D5024,"16 Remaining Amt. (LCY)")</t>
  </si>
  <si>
    <t>=NF($D5025,"16 Remaining Amt. (LCY)")</t>
  </si>
  <si>
    <t>=NF($D5026,"16 Remaining Amt. (LCY)")</t>
  </si>
  <si>
    <t>=NF($D5027,"16 Remaining Amt. (LCY)")</t>
  </si>
  <si>
    <t>=NF($D4893,"5 Document Type")</t>
  </si>
  <si>
    <t>=NF($D4894,"5 Document Type")</t>
  </si>
  <si>
    <t>=NF($D4895,"5 Document Type")</t>
  </si>
  <si>
    <t>=NF($D4896,"5 Document Type")</t>
  </si>
  <si>
    <t>=NF($D4897,"5 Document Type")</t>
  </si>
  <si>
    <t>=NF($D4898,"5 Document Type")</t>
  </si>
  <si>
    <t>=NF($D4899,"5 Document Type")</t>
  </si>
  <si>
    <t>=NF($D4900,"5 Document Type")</t>
  </si>
  <si>
    <t>=NF($D4901,"5 Document Type")</t>
  </si>
  <si>
    <t>=NF($D4902,"5 Document Type")</t>
  </si>
  <si>
    <t>=NF($D4903,"5 Document Type")</t>
  </si>
  <si>
    <t>=NF($D4904,"5 Document Type")</t>
  </si>
  <si>
    <t>=NF($D4905,"5 Document Type")</t>
  </si>
  <si>
    <t>=NF($D4906,"5 Document Type")</t>
  </si>
  <si>
    <t>=NF($D4907,"5 Document Type")</t>
  </si>
  <si>
    <t>=NF($D4908,"5 Document Type")</t>
  </si>
  <si>
    <t>=NF($D4909,"5 Document Type")</t>
  </si>
  <si>
    <t>=NF($D4910,"5 Document Type")</t>
  </si>
  <si>
    <t>=NF($D4911,"5 Document Type")</t>
  </si>
  <si>
    <t>=NF($D4912,"5 Document Type")</t>
  </si>
  <si>
    <t>=NF($D4913,"5 Document Type")</t>
  </si>
  <si>
    <t>=NF($D4914,"5 Document Type")</t>
  </si>
  <si>
    <t>=NF($D4915,"5 Document Type")</t>
  </si>
  <si>
    <t>=NF($D4916,"5 Document Type")</t>
  </si>
  <si>
    <t>=NF($D4917,"5 Document Type")</t>
  </si>
  <si>
    <t>=NF($D4918,"5 Document Type")</t>
  </si>
  <si>
    <t>=NF($D4919,"5 Document Type")</t>
  </si>
  <si>
    <t>=NF($D4920,"5 Document Type")</t>
  </si>
  <si>
    <t>=NF($D4921,"5 Document Type")</t>
  </si>
  <si>
    <t>=NF($D4922,"5 Document Type")</t>
  </si>
  <si>
    <t>=NF($D4923,"5 Document Type")</t>
  </si>
  <si>
    <t>=NF($D4924,"5 Document Type")</t>
  </si>
  <si>
    <t>=NF($D4925,"5 Document Type")</t>
  </si>
  <si>
    <t>=NF($D4926,"5 Document Type")</t>
  </si>
  <si>
    <t>=NF($D4927,"5 Document Type")</t>
  </si>
  <si>
    <t>=NF($D4928,"5 Document Type")</t>
  </si>
  <si>
    <t>=NF($D4929,"5 Document Type")</t>
  </si>
  <si>
    <t>=NF($D4930,"5 Document Type")</t>
  </si>
  <si>
    <t>=NF($D4931,"5 Document Type")</t>
  </si>
  <si>
    <t>=NF($D4932,"5 Document Type")</t>
  </si>
  <si>
    <t>=NF($D4933,"5 Document Type")</t>
  </si>
  <si>
    <t>=NF($D4934,"5 Document Type")</t>
  </si>
  <si>
    <t>=NF($D4935,"5 Document Type")</t>
  </si>
  <si>
    <t>=NF($D4893,"6 Document No.")</t>
  </si>
  <si>
    <t>=NF($D4894,"6 Document No.")</t>
  </si>
  <si>
    <t>=NF($D4895,"6 Document No.")</t>
  </si>
  <si>
    <t>=NF($D4896,"6 Document No.")</t>
  </si>
  <si>
    <t>=NF($D4897,"6 Document No.")</t>
  </si>
  <si>
    <t>=NF($D4898,"6 Document No.")</t>
  </si>
  <si>
    <t>=NF($D4899,"6 Document No.")</t>
  </si>
  <si>
    <t>=NF($D4900,"6 Document No.")</t>
  </si>
  <si>
    <t>=NF($D4901,"6 Document No.")</t>
  </si>
  <si>
    <t>=NF($D4902,"6 Document No.")</t>
  </si>
  <si>
    <t>=NF($D4903,"6 Document No.")</t>
  </si>
  <si>
    <t>=NF($D4904,"6 Document No.")</t>
  </si>
  <si>
    <t>=NF($D4905,"6 Document No.")</t>
  </si>
  <si>
    <t>=NF($D4906,"6 Document No.")</t>
  </si>
  <si>
    <t>=NF($D4907,"6 Document No.")</t>
  </si>
  <si>
    <t>=NF($D4908,"6 Document No.")</t>
  </si>
  <si>
    <t>=NF($D4909,"6 Document No.")</t>
  </si>
  <si>
    <t>=NF($D4910,"6 Document No.")</t>
  </si>
  <si>
    <t>=NF($D4911,"6 Document No.")</t>
  </si>
  <si>
    <t>=NF($D4912,"6 Document No.")</t>
  </si>
  <si>
    <t>=NF($D4913,"6 Document No.")</t>
  </si>
  <si>
    <t>=NF($D4914,"6 Document No.")</t>
  </si>
  <si>
    <t>=NF($D4915,"6 Document No.")</t>
  </si>
  <si>
    <t>=NF($D4916,"6 Document No.")</t>
  </si>
  <si>
    <t>=NF($D4917,"6 Document No.")</t>
  </si>
  <si>
    <t>=NF($D4918,"6 Document No.")</t>
  </si>
  <si>
    <t>=NF($D4919,"6 Document No.")</t>
  </si>
  <si>
    <t>=NF($D4920,"6 Document No.")</t>
  </si>
  <si>
    <t>=NF($D4921,"6 Document No.")</t>
  </si>
  <si>
    <t>=NF($D4922,"6 Document No.")</t>
  </si>
  <si>
    <t>=NF($D4923,"6 Document No.")</t>
  </si>
  <si>
    <t>=NF($D4924,"6 Document No.")</t>
  </si>
  <si>
    <t>=NF($D4925,"6 Document No.")</t>
  </si>
  <si>
    <t>=NF($D4926,"6 Document No.")</t>
  </si>
  <si>
    <t>=NF($D4927,"6 Document No.")</t>
  </si>
  <si>
    <t>=NF($D4928,"6 Document No.")</t>
  </si>
  <si>
    <t>=NF($D4929,"6 Document No.")</t>
  </si>
  <si>
    <t>=NF($D4930,"6 Document No.")</t>
  </si>
  <si>
    <t>=NF($D4931,"6 Document No.")</t>
  </si>
  <si>
    <t>=NF($D4932,"6 Document No.")</t>
  </si>
  <si>
    <t>=NF($D4933,"6 Document No.")</t>
  </si>
  <si>
    <t>=NF($D4934,"6 Document No.")</t>
  </si>
  <si>
    <t>=NF($D4935,"6 Document No.")</t>
  </si>
  <si>
    <t>=NF($D4893,"37 Due Date")</t>
  </si>
  <si>
    <t>=NF($D4894,"37 Due Date")</t>
  </si>
  <si>
    <t>=NF($D4895,"37 Due Date")</t>
  </si>
  <si>
    <t>=NF($D4896,"37 Due Date")</t>
  </si>
  <si>
    <t>=NF($D4897,"37 Due Date")</t>
  </si>
  <si>
    <t>=NF($D4898,"37 Due Date")</t>
  </si>
  <si>
    <t>=NF($D4899,"37 Due Date")</t>
  </si>
  <si>
    <t>=NF($D4900,"37 Due Date")</t>
  </si>
  <si>
    <t>=NF($D4901,"37 Due Date")</t>
  </si>
  <si>
    <t>=NF($D4902,"37 Due Date")</t>
  </si>
  <si>
    <t>=NF($D4903,"37 Due Date")</t>
  </si>
  <si>
    <t>=NF($D4904,"37 Due Date")</t>
  </si>
  <si>
    <t>=NF($D4905,"37 Due Date")</t>
  </si>
  <si>
    <t>=NF($D4906,"37 Due Date")</t>
  </si>
  <si>
    <t>=NF($D4907,"37 Due Date")</t>
  </si>
  <si>
    <t>=NF($D4908,"37 Due Date")</t>
  </si>
  <si>
    <t>=NF($D4909,"37 Due Date")</t>
  </si>
  <si>
    <t>=NF($D4910,"37 Due Date")</t>
  </si>
  <si>
    <t>=NF($D4911,"37 Due Date")</t>
  </si>
  <si>
    <t>=NF($D4912,"37 Due Date")</t>
  </si>
  <si>
    <t>=NF($D4913,"37 Due Date")</t>
  </si>
  <si>
    <t>=NF($D4914,"37 Due Date")</t>
  </si>
  <si>
    <t>=NF($D4915,"37 Due Date")</t>
  </si>
  <si>
    <t>=NF($D4916,"37 Due Date")</t>
  </si>
  <si>
    <t>=NF($D4917,"37 Due Date")</t>
  </si>
  <si>
    <t>=NF($D4918,"37 Due Date")</t>
  </si>
  <si>
    <t>=NF($D4919,"37 Due Date")</t>
  </si>
  <si>
    <t>=NF($D4920,"37 Due Date")</t>
  </si>
  <si>
    <t>=NF($D4921,"37 Due Date")</t>
  </si>
  <si>
    <t>=NF($D4922,"37 Due Date")</t>
  </si>
  <si>
    <t>=NF($D4923,"37 Due Date")</t>
  </si>
  <si>
    <t>=NF($D4924,"37 Due Date")</t>
  </si>
  <si>
    <t>=NF($D4925,"37 Due Date")</t>
  </si>
  <si>
    <t>=NF($D4926,"37 Due Date")</t>
  </si>
  <si>
    <t>=NF($D4927,"37 Due Date")</t>
  </si>
  <si>
    <t>=NF($D4928,"37 Due Date")</t>
  </si>
  <si>
    <t>=NF($D4929,"37 Due Date")</t>
  </si>
  <si>
    <t>=NF($D4930,"37 Due Date")</t>
  </si>
  <si>
    <t>=NF($D4931,"37 Due Date")</t>
  </si>
  <si>
    <t>=NF($D4932,"37 Due Date")</t>
  </si>
  <si>
    <t>=NF($D4933,"37 Due Date")</t>
  </si>
  <si>
    <t>=NF($D4934,"37 Due Date")</t>
  </si>
  <si>
    <t>=NF($D4935,"37 Due Date")</t>
  </si>
  <si>
    <t>=NF($D4893,"16 Remaining Amt. (LCY)")</t>
  </si>
  <si>
    <t>=NF($D4894,"16 Remaining Amt. (LCY)")</t>
  </si>
  <si>
    <t>=NF($D4895,"16 Remaining Amt. (LCY)")</t>
  </si>
  <si>
    <t>=NF($D4896,"16 Remaining Amt. (LCY)")</t>
  </si>
  <si>
    <t>=NF($D4897,"16 Remaining Amt. (LCY)")</t>
  </si>
  <si>
    <t>=NF($D4898,"16 Remaining Amt. (LCY)")</t>
  </si>
  <si>
    <t>=NF($D4899,"16 Remaining Amt. (LCY)")</t>
  </si>
  <si>
    <t>=NF($D4900,"16 Remaining Amt. (LCY)")</t>
  </si>
  <si>
    <t>=NF($D4901,"16 Remaining Amt. (LCY)")</t>
  </si>
  <si>
    <t>=NF($D4902,"16 Remaining Amt. (LCY)")</t>
  </si>
  <si>
    <t>=NF($D4903,"16 Remaining Amt. (LCY)")</t>
  </si>
  <si>
    <t>=NF($D4904,"16 Remaining Amt. (LCY)")</t>
  </si>
  <si>
    <t>=NF($D4905,"16 Remaining Amt. (LCY)")</t>
  </si>
  <si>
    <t>=NF($D4906,"16 Remaining Amt. (LCY)")</t>
  </si>
  <si>
    <t>=NF($D4907,"16 Remaining Amt. (LCY)")</t>
  </si>
  <si>
    <t>=NF($D4908,"16 Remaining Amt. (LCY)")</t>
  </si>
  <si>
    <t>=NF($D4909,"16 Remaining Amt. (LCY)")</t>
  </si>
  <si>
    <t>=NF($D4910,"16 Remaining Amt. (LCY)")</t>
  </si>
  <si>
    <t>=NF($D4911,"16 Remaining Amt. (LCY)")</t>
  </si>
  <si>
    <t>=NF($D4912,"16 Remaining Amt. (LCY)")</t>
  </si>
  <si>
    <t>=NF($D4913,"16 Remaining Amt. (LCY)")</t>
  </si>
  <si>
    <t>=NF($D4914,"16 Remaining Amt. (LCY)")</t>
  </si>
  <si>
    <t>=NF($D4915,"16 Remaining Amt. (LCY)")</t>
  </si>
  <si>
    <t>=NF($D4916,"16 Remaining Amt. (LCY)")</t>
  </si>
  <si>
    <t>=NF($D4917,"16 Remaining Amt. (LCY)")</t>
  </si>
  <si>
    <t>=NF($D4918,"16 Remaining Amt. (LCY)")</t>
  </si>
  <si>
    <t>=NF($D4919,"16 Remaining Amt. (LCY)")</t>
  </si>
  <si>
    <t>=NF($D4920,"16 Remaining Amt. (LCY)")</t>
  </si>
  <si>
    <t>=NF($D4921,"16 Remaining Amt. (LCY)")</t>
  </si>
  <si>
    <t>=NF($D4922,"16 Remaining Amt. (LCY)")</t>
  </si>
  <si>
    <t>=NF($D4923,"16 Remaining Amt. (LCY)")</t>
  </si>
  <si>
    <t>=NF($D4924,"16 Remaining Amt. (LCY)")</t>
  </si>
  <si>
    <t>=NF($D4925,"16 Remaining Amt. (LCY)")</t>
  </si>
  <si>
    <t>=NF($D4926,"16 Remaining Amt. (LCY)")</t>
  </si>
  <si>
    <t>=NF($D4927,"16 Remaining Amt. (LCY)")</t>
  </si>
  <si>
    <t>=NF($D4928,"16 Remaining Amt. (LCY)")</t>
  </si>
  <si>
    <t>=NF($D4929,"16 Remaining Amt. (LCY)")</t>
  </si>
  <si>
    <t>=NF($D4930,"16 Remaining Amt. (LCY)")</t>
  </si>
  <si>
    <t>=NF($D4931,"16 Remaining Amt. (LCY)")</t>
  </si>
  <si>
    <t>=NF($D4932,"16 Remaining Amt. (LCY)")</t>
  </si>
  <si>
    <t>=NF($D4933,"16 Remaining Amt. (LCY)")</t>
  </si>
  <si>
    <t>=NF($D4934,"16 Remaining Amt. (LCY)")</t>
  </si>
  <si>
    <t>=NF($D4935,"16 Remaining Amt. (LCY)")</t>
  </si>
  <si>
    <t>=NF($D4814,"5 Document Type")</t>
  </si>
  <si>
    <t>=NF($D4815,"5 Document Type")</t>
  </si>
  <si>
    <t>=NF($D4816,"5 Document Type")</t>
  </si>
  <si>
    <t>=NF($D4817,"5 Document Type")</t>
  </si>
  <si>
    <t>=NF($D4818,"5 Document Type")</t>
  </si>
  <si>
    <t>=NF($D4819,"5 Document Type")</t>
  </si>
  <si>
    <t>=NF($D4820,"5 Document Type")</t>
  </si>
  <si>
    <t>=NF($D4821,"5 Document Type")</t>
  </si>
  <si>
    <t>=NF($D4822,"5 Document Type")</t>
  </si>
  <si>
    <t>=NF($D4823,"5 Document Type")</t>
  </si>
  <si>
    <t>=NF($D4824,"5 Document Type")</t>
  </si>
  <si>
    <t>=NF($D4825,"5 Document Type")</t>
  </si>
  <si>
    <t>=NF($D4826,"5 Document Type")</t>
  </si>
  <si>
    <t>=NF($D4827,"5 Document Type")</t>
  </si>
  <si>
    <t>=NF($D4828,"5 Document Type")</t>
  </si>
  <si>
    <t>=NF($D4829,"5 Document Type")</t>
  </si>
  <si>
    <t>=NF($D4830,"5 Document Type")</t>
  </si>
  <si>
    <t>=NF($D4831,"5 Document Type")</t>
  </si>
  <si>
    <t>=NF($D4832,"5 Document Type")</t>
  </si>
  <si>
    <t>=NF($D4833,"5 Document Type")</t>
  </si>
  <si>
    <t>=NF($D4834,"5 Document Type")</t>
  </si>
  <si>
    <t>=NF($D4835,"5 Document Type")</t>
  </si>
  <si>
    <t>=NF($D4836,"5 Document Type")</t>
  </si>
  <si>
    <t>=NF($D4837,"5 Document Type")</t>
  </si>
  <si>
    <t>=NF($D4838,"5 Document Type")</t>
  </si>
  <si>
    <t>=NF($D4839,"5 Document Type")</t>
  </si>
  <si>
    <t>=NF($D4840,"5 Document Type")</t>
  </si>
  <si>
    <t>=NF($D4841,"5 Document Type")</t>
  </si>
  <si>
    <t>=NF($D4842,"5 Document Type")</t>
  </si>
  <si>
    <t>=NF($D4843,"5 Document Type")</t>
  </si>
  <si>
    <t>=NF($D4844,"5 Document Type")</t>
  </si>
  <si>
    <t>=NF($D4845,"5 Document Type")</t>
  </si>
  <si>
    <t>=NF($D4846,"5 Document Type")</t>
  </si>
  <si>
    <t>=NF($D4847,"5 Document Type")</t>
  </si>
  <si>
    <t>=NF($D4848,"5 Document Type")</t>
  </si>
  <si>
    <t>=NF($D4849,"5 Document Type")</t>
  </si>
  <si>
    <t>=NF($D4850,"5 Document Type")</t>
  </si>
  <si>
    <t>=NF($D4851,"5 Document Type")</t>
  </si>
  <si>
    <t>=NF($D4852,"5 Document Type")</t>
  </si>
  <si>
    <t>=NF($D4853,"5 Document Type")</t>
  </si>
  <si>
    <t>=NF($D4854,"5 Document Type")</t>
  </si>
  <si>
    <t>=NF($D4855,"5 Document Type")</t>
  </si>
  <si>
    <t>=NF($D4856,"5 Document Type")</t>
  </si>
  <si>
    <t>=NF($D4857,"5 Document Type")</t>
  </si>
  <si>
    <t>=NF($D4858,"5 Document Type")</t>
  </si>
  <si>
    <t>=NF($D4859,"5 Document Type")</t>
  </si>
  <si>
    <t>=NF($D4860,"5 Document Type")</t>
  </si>
  <si>
    <t>=NF($D4861,"5 Document Type")</t>
  </si>
  <si>
    <t>=NF($D4862,"5 Document Type")</t>
  </si>
  <si>
    <t>=NF($D4863,"5 Document Type")</t>
  </si>
  <si>
    <t>=NF($D4864,"5 Document Type")</t>
  </si>
  <si>
    <t>=NF($D4865,"5 Document Type")</t>
  </si>
  <si>
    <t>=NF($D4866,"5 Document Type")</t>
  </si>
  <si>
    <t>=NF($D4867,"5 Document Type")</t>
  </si>
  <si>
    <t>=NF($D4868,"5 Document Type")</t>
  </si>
  <si>
    <t>=NF($D4869,"5 Document Type")</t>
  </si>
  <si>
    <t>=NF($D4870,"5 Document Type")</t>
  </si>
  <si>
    <t>=NF($D4871,"5 Document Type")</t>
  </si>
  <si>
    <t>=NF($D4872,"5 Document Type")</t>
  </si>
  <si>
    <t>=NF($D4873,"5 Document Type")</t>
  </si>
  <si>
    <t>=NF($D4874,"5 Document Type")</t>
  </si>
  <si>
    <t>=NF($D4875,"5 Document Type")</t>
  </si>
  <si>
    <t>=NF($D4876,"5 Document Type")</t>
  </si>
  <si>
    <t>=NF($D4877,"5 Document Type")</t>
  </si>
  <si>
    <t>=NF($D4878,"5 Document Type")</t>
  </si>
  <si>
    <t>=NF($D4879,"5 Document Type")</t>
  </si>
  <si>
    <t>=NF($D4880,"5 Document Type")</t>
  </si>
  <si>
    <t>=NF($D4881,"5 Document Type")</t>
  </si>
  <si>
    <t>=NF($D4882,"5 Document Type")</t>
  </si>
  <si>
    <t>=NF($D4883,"5 Document Type")</t>
  </si>
  <si>
    <t>=NF($D4884,"5 Document Type")</t>
  </si>
  <si>
    <t>=NF($D4885,"5 Document Type")</t>
  </si>
  <si>
    <t>=NF($D4886,"5 Document Type")</t>
  </si>
  <si>
    <t>=NF($D4814,"6 Document No.")</t>
  </si>
  <si>
    <t>=NF($D4815,"6 Document No.")</t>
  </si>
  <si>
    <t>=NF($D4816,"6 Document No.")</t>
  </si>
  <si>
    <t>=NF($D4817,"6 Document No.")</t>
  </si>
  <si>
    <t>=NF($D4818,"6 Document No.")</t>
  </si>
  <si>
    <t>=NF($D4819,"6 Document No.")</t>
  </si>
  <si>
    <t>=NF($D4820,"6 Document No.")</t>
  </si>
  <si>
    <t>=NF($D4821,"6 Document No.")</t>
  </si>
  <si>
    <t>=NF($D4822,"6 Document No.")</t>
  </si>
  <si>
    <t>=NF($D4823,"6 Document No.")</t>
  </si>
  <si>
    <t>=NF($D4824,"6 Document No.")</t>
  </si>
  <si>
    <t>=NF($D4825,"6 Document No.")</t>
  </si>
  <si>
    <t>=NF($D4826,"6 Document No.")</t>
  </si>
  <si>
    <t>=NF($D4827,"6 Document No.")</t>
  </si>
  <si>
    <t>=NF($D4828,"6 Document No.")</t>
  </si>
  <si>
    <t>=NF($D4829,"6 Document No.")</t>
  </si>
  <si>
    <t>=NF($D4830,"6 Document No.")</t>
  </si>
  <si>
    <t>=NF($D4831,"6 Document No.")</t>
  </si>
  <si>
    <t>=NF($D4832,"6 Document No.")</t>
  </si>
  <si>
    <t>=NF($D4833,"6 Document No.")</t>
  </si>
  <si>
    <t>=NF($D4834,"6 Document No.")</t>
  </si>
  <si>
    <t>=NF($D4835,"6 Document No.")</t>
  </si>
  <si>
    <t>=NF($D4836,"6 Document No.")</t>
  </si>
  <si>
    <t>=NF($D4837,"6 Document No.")</t>
  </si>
  <si>
    <t>=NF($D4838,"6 Document No.")</t>
  </si>
  <si>
    <t>=NF($D4839,"6 Document No.")</t>
  </si>
  <si>
    <t>=NF($D4840,"6 Document No.")</t>
  </si>
  <si>
    <t>=NF($D4841,"6 Document No.")</t>
  </si>
  <si>
    <t>=NF($D4842,"6 Document No.")</t>
  </si>
  <si>
    <t>=NF($D4843,"6 Document No.")</t>
  </si>
  <si>
    <t>=NF($D4844,"6 Document No.")</t>
  </si>
  <si>
    <t>=NF($D4845,"6 Document No.")</t>
  </si>
  <si>
    <t>=NF($D4846,"6 Document No.")</t>
  </si>
  <si>
    <t>=NF($D4847,"6 Document No.")</t>
  </si>
  <si>
    <t>=NF($D4848,"6 Document No.")</t>
  </si>
  <si>
    <t>=NF($D4849,"6 Document No.")</t>
  </si>
  <si>
    <t>=NF($D4850,"6 Document No.")</t>
  </si>
  <si>
    <t>=NF($D4851,"6 Document No.")</t>
  </si>
  <si>
    <t>=NF($D4852,"6 Document No.")</t>
  </si>
  <si>
    <t>=NF($D4853,"6 Document No.")</t>
  </si>
  <si>
    <t>=NF($D4854,"6 Document No.")</t>
  </si>
  <si>
    <t>=NF($D4855,"6 Document No.")</t>
  </si>
  <si>
    <t>=NF($D4856,"6 Document No.")</t>
  </si>
  <si>
    <t>=NF($D4857,"6 Document No.")</t>
  </si>
  <si>
    <t>=NF($D4858,"6 Document No.")</t>
  </si>
  <si>
    <t>=NF($D4859,"6 Document No.")</t>
  </si>
  <si>
    <t>=NF($D4860,"6 Document No.")</t>
  </si>
  <si>
    <t>=NF($D4861,"6 Document No.")</t>
  </si>
  <si>
    <t>=NF($D4862,"6 Document No.")</t>
  </si>
  <si>
    <t>=NF($D4863,"6 Document No.")</t>
  </si>
  <si>
    <t>=NF($D4864,"6 Document No.")</t>
  </si>
  <si>
    <t>=NF($D4865,"6 Document No.")</t>
  </si>
  <si>
    <t>=NF($D4866,"6 Document No.")</t>
  </si>
  <si>
    <t>=NF($D4867,"6 Document No.")</t>
  </si>
  <si>
    <t>=NF($D4868,"6 Document No.")</t>
  </si>
  <si>
    <t>=NF($D4869,"6 Document No.")</t>
  </si>
  <si>
    <t>=NF($D4870,"6 Document No.")</t>
  </si>
  <si>
    <t>=NF($D4871,"6 Document No.")</t>
  </si>
  <si>
    <t>=NF($D4872,"6 Document No.")</t>
  </si>
  <si>
    <t>=NF($D4873,"6 Document No.")</t>
  </si>
  <si>
    <t>=NF($D4874,"6 Document No.")</t>
  </si>
  <si>
    <t>=NF($D4875,"6 Document No.")</t>
  </si>
  <si>
    <t>=NF($D4876,"6 Document No.")</t>
  </si>
  <si>
    <t>=NF($D4877,"6 Document No.")</t>
  </si>
  <si>
    <t>=NF($D4878,"6 Document No.")</t>
  </si>
  <si>
    <t>=NF($D4879,"6 Document No.")</t>
  </si>
  <si>
    <t>=NF($D4880,"6 Document No.")</t>
  </si>
  <si>
    <t>=NF($D4881,"6 Document No.")</t>
  </si>
  <si>
    <t>=NF($D4882,"6 Document No.")</t>
  </si>
  <si>
    <t>=NF($D4883,"6 Document No.")</t>
  </si>
  <si>
    <t>=NF($D4884,"6 Document No.")</t>
  </si>
  <si>
    <t>=NF($D4885,"6 Document No.")</t>
  </si>
  <si>
    <t>=NF($D4886,"6 Document No.")</t>
  </si>
  <si>
    <t>=NF($D4814,"37 Due Date")</t>
  </si>
  <si>
    <t>=NF($D4815,"37 Due Date")</t>
  </si>
  <si>
    <t>=NF($D4816,"37 Due Date")</t>
  </si>
  <si>
    <t>=NF($D4817,"37 Due Date")</t>
  </si>
  <si>
    <t>=NF($D4818,"37 Due Date")</t>
  </si>
  <si>
    <t>=NF($D4819,"37 Due Date")</t>
  </si>
  <si>
    <t>=NF($D4820,"37 Due Date")</t>
  </si>
  <si>
    <t>=NF($D4821,"37 Due Date")</t>
  </si>
  <si>
    <t>=NF($D4822,"37 Due Date")</t>
  </si>
  <si>
    <t>=NF($D4823,"37 Due Date")</t>
  </si>
  <si>
    <t>=NF($D4824,"37 Due Date")</t>
  </si>
  <si>
    <t>=NF($D4825,"37 Due Date")</t>
  </si>
  <si>
    <t>=NF($D4826,"37 Due Date")</t>
  </si>
  <si>
    <t>=NF($D4827,"37 Due Date")</t>
  </si>
  <si>
    <t>=NF($D4828,"37 Due Date")</t>
  </si>
  <si>
    <t>=NF($D4829,"37 Due Date")</t>
  </si>
  <si>
    <t>=NF($D4830,"37 Due Date")</t>
  </si>
  <si>
    <t>=NF($D4831,"37 Due Date")</t>
  </si>
  <si>
    <t>=NF($D4832,"37 Due Date")</t>
  </si>
  <si>
    <t>=NF($D4833,"37 Due Date")</t>
  </si>
  <si>
    <t>=NF($D4834,"37 Due Date")</t>
  </si>
  <si>
    <t>=NF($D4835,"37 Due Date")</t>
  </si>
  <si>
    <t>=NF($D4836,"37 Due Date")</t>
  </si>
  <si>
    <t>=NF($D4837,"37 Due Date")</t>
  </si>
  <si>
    <t>=NF($D4838,"37 Due Date")</t>
  </si>
  <si>
    <t>=NF($D4839,"37 Due Date")</t>
  </si>
  <si>
    <t>=NF($D4840,"37 Due Date")</t>
  </si>
  <si>
    <t>=NF($D4841,"37 Due Date")</t>
  </si>
  <si>
    <t>=NF($D4842,"37 Due Date")</t>
  </si>
  <si>
    <t>=NF($D4843,"37 Due Date")</t>
  </si>
  <si>
    <t>=NF($D4844,"37 Due Date")</t>
  </si>
  <si>
    <t>=NF($D4845,"37 Due Date")</t>
  </si>
  <si>
    <t>=NF($D4846,"37 Due Date")</t>
  </si>
  <si>
    <t>=NF($D4847,"37 Due Date")</t>
  </si>
  <si>
    <t>=NF($D4848,"37 Due Date")</t>
  </si>
  <si>
    <t>=NF($D4849,"37 Due Date")</t>
  </si>
  <si>
    <t>=NF($D4850,"37 Due Date")</t>
  </si>
  <si>
    <t>=NF($D4851,"37 Due Date")</t>
  </si>
  <si>
    <t>=NF($D4852,"37 Due Date")</t>
  </si>
  <si>
    <t>=NF($D4853,"37 Due Date")</t>
  </si>
  <si>
    <t>=NF($D4854,"37 Due Date")</t>
  </si>
  <si>
    <t>=NF($D4855,"37 Due Date")</t>
  </si>
  <si>
    <t>=NF($D4856,"37 Due Date")</t>
  </si>
  <si>
    <t>=NF($D4857,"37 Due Date")</t>
  </si>
  <si>
    <t>=NF($D4858,"37 Due Date")</t>
  </si>
  <si>
    <t>=NF($D4859,"37 Due Date")</t>
  </si>
  <si>
    <t>=NF($D4860,"37 Due Date")</t>
  </si>
  <si>
    <t>=NF($D4861,"37 Due Date")</t>
  </si>
  <si>
    <t>=NF($D4862,"37 Due Date")</t>
  </si>
  <si>
    <t>=NF($D4863,"37 Due Date")</t>
  </si>
  <si>
    <t>=NF($D4864,"37 Due Date")</t>
  </si>
  <si>
    <t>=NF($D4865,"37 Due Date")</t>
  </si>
  <si>
    <t>=NF($D4866,"37 Due Date")</t>
  </si>
  <si>
    <t>=NF($D4867,"37 Due Date")</t>
  </si>
  <si>
    <t>=NF($D4868,"37 Due Date")</t>
  </si>
  <si>
    <t>=NF($D4869,"37 Due Date")</t>
  </si>
  <si>
    <t>=NF($D4870,"37 Due Date")</t>
  </si>
  <si>
    <t>=NF($D4871,"37 Due Date")</t>
  </si>
  <si>
    <t>=NF($D4872,"37 Due Date")</t>
  </si>
  <si>
    <t>=NF($D4873,"37 Due Date")</t>
  </si>
  <si>
    <t>=NF($D4874,"37 Due Date")</t>
  </si>
  <si>
    <t>=NF($D4875,"37 Due Date")</t>
  </si>
  <si>
    <t>=NF($D4876,"37 Due Date")</t>
  </si>
  <si>
    <t>=NF($D4877,"37 Due Date")</t>
  </si>
  <si>
    <t>=NF($D4878,"37 Due Date")</t>
  </si>
  <si>
    <t>=NF($D4879,"37 Due Date")</t>
  </si>
  <si>
    <t>=NF($D4880,"37 Due Date")</t>
  </si>
  <si>
    <t>=NF($D4881,"37 Due Date")</t>
  </si>
  <si>
    <t>=NF($D4882,"37 Due Date")</t>
  </si>
  <si>
    <t>=NF($D4883,"37 Due Date")</t>
  </si>
  <si>
    <t>=NF($D4884,"37 Due Date")</t>
  </si>
  <si>
    <t>=NF($D4885,"37 Due Date")</t>
  </si>
  <si>
    <t>=NF($D4886,"37 Due Date")</t>
  </si>
  <si>
    <t>=NF($D4814,"16 Remaining Amt. (LCY)")</t>
  </si>
  <si>
    <t>=NF($D4815,"16 Remaining Amt. (LCY)")</t>
  </si>
  <si>
    <t>=NF($D4816,"16 Remaining Amt. (LCY)")</t>
  </si>
  <si>
    <t>=NF($D4817,"16 Remaining Amt. (LCY)")</t>
  </si>
  <si>
    <t>=NF($D4818,"16 Remaining Amt. (LCY)")</t>
  </si>
  <si>
    <t>=NF($D4819,"16 Remaining Amt. (LCY)")</t>
  </si>
  <si>
    <t>=NF($D4820,"16 Remaining Amt. (LCY)")</t>
  </si>
  <si>
    <t>=NF($D4821,"16 Remaining Amt. (LCY)")</t>
  </si>
  <si>
    <t>=NF($D4822,"16 Remaining Amt. (LCY)")</t>
  </si>
  <si>
    <t>=NF($D4823,"16 Remaining Amt. (LCY)")</t>
  </si>
  <si>
    <t>=NF($D4824,"16 Remaining Amt. (LCY)")</t>
  </si>
  <si>
    <t>=NF($D4825,"16 Remaining Amt. (LCY)")</t>
  </si>
  <si>
    <t>=NF($D4826,"16 Remaining Amt. (LCY)")</t>
  </si>
  <si>
    <t>=NF($D4827,"16 Remaining Amt. (LCY)")</t>
  </si>
  <si>
    <t>=NF($D4828,"16 Remaining Amt. (LCY)")</t>
  </si>
  <si>
    <t>=NF($D4829,"16 Remaining Amt. (LCY)")</t>
  </si>
  <si>
    <t>=NF($D4830,"16 Remaining Amt. (LCY)")</t>
  </si>
  <si>
    <t>=NF($D4831,"16 Remaining Amt. (LCY)")</t>
  </si>
  <si>
    <t>=NF($D4832,"16 Remaining Amt. (LCY)")</t>
  </si>
  <si>
    <t>=NF($D4833,"16 Remaining Amt. (LCY)")</t>
  </si>
  <si>
    <t>=NF($D4834,"16 Remaining Amt. (LCY)")</t>
  </si>
  <si>
    <t>=NF($D4835,"16 Remaining Amt. (LCY)")</t>
  </si>
  <si>
    <t>=NF($D4836,"16 Remaining Amt. (LCY)")</t>
  </si>
  <si>
    <t>=NF($D4837,"16 Remaining Amt. (LCY)")</t>
  </si>
  <si>
    <t>=NF($D4838,"16 Remaining Amt. (LCY)")</t>
  </si>
  <si>
    <t>=NF($D4839,"16 Remaining Amt. (LCY)")</t>
  </si>
  <si>
    <t>=NF($D4840,"16 Remaining Amt. (LCY)")</t>
  </si>
  <si>
    <t>=NF($D4841,"16 Remaining Amt. (LCY)")</t>
  </si>
  <si>
    <t>=NF($D4842,"16 Remaining Amt. (LCY)")</t>
  </si>
  <si>
    <t>=NF($D4843,"16 Remaining Amt. (LCY)")</t>
  </si>
  <si>
    <t>=NF($D4844,"16 Remaining Amt. (LCY)")</t>
  </si>
  <si>
    <t>=NF($D4845,"16 Remaining Amt. (LCY)")</t>
  </si>
  <si>
    <t>=NF($D4846,"16 Remaining Amt. (LCY)")</t>
  </si>
  <si>
    <t>=NF($D4847,"16 Remaining Amt. (LCY)")</t>
  </si>
  <si>
    <t>=NF($D4848,"16 Remaining Amt. (LCY)")</t>
  </si>
  <si>
    <t>=NF($D4849,"16 Remaining Amt. (LCY)")</t>
  </si>
  <si>
    <t>=NF($D4850,"16 Remaining Amt. (LCY)")</t>
  </si>
  <si>
    <t>=NF($D4851,"16 Remaining Amt. (LCY)")</t>
  </si>
  <si>
    <t>=NF($D4852,"16 Remaining Amt. (LCY)")</t>
  </si>
  <si>
    <t>=NF($D4853,"16 Remaining Amt. (LCY)")</t>
  </si>
  <si>
    <t>=NF($D4854,"16 Remaining Amt. (LCY)")</t>
  </si>
  <si>
    <t>=NF($D4855,"16 Remaining Amt. (LCY)")</t>
  </si>
  <si>
    <t>=NF($D4856,"16 Remaining Amt. (LCY)")</t>
  </si>
  <si>
    <t>=NF($D4857,"16 Remaining Amt. (LCY)")</t>
  </si>
  <si>
    <t>=NF($D4858,"16 Remaining Amt. (LCY)")</t>
  </si>
  <si>
    <t>=NF($D4859,"16 Remaining Amt. (LCY)")</t>
  </si>
  <si>
    <t>=NF($D4860,"16 Remaining Amt. (LCY)")</t>
  </si>
  <si>
    <t>=NF($D4861,"16 Remaining Amt. (LCY)")</t>
  </si>
  <si>
    <t>=NF($D4862,"16 Remaining Amt. (LCY)")</t>
  </si>
  <si>
    <t>=NF($D4863,"16 Remaining Amt. (LCY)")</t>
  </si>
  <si>
    <t>=NF($D4864,"16 Remaining Amt. (LCY)")</t>
  </si>
  <si>
    <t>=NF($D4865,"16 Remaining Amt. (LCY)")</t>
  </si>
  <si>
    <t>=NF($D4866,"16 Remaining Amt. (LCY)")</t>
  </si>
  <si>
    <t>=NF($D4867,"16 Remaining Amt. (LCY)")</t>
  </si>
  <si>
    <t>=NF($D4868,"16 Remaining Amt. (LCY)")</t>
  </si>
  <si>
    <t>=NF($D4869,"16 Remaining Amt. (LCY)")</t>
  </si>
  <si>
    <t>=NF($D4870,"16 Remaining Amt. (LCY)")</t>
  </si>
  <si>
    <t>=NF($D4871,"16 Remaining Amt. (LCY)")</t>
  </si>
  <si>
    <t>=NF($D4872,"16 Remaining Amt. (LCY)")</t>
  </si>
  <si>
    <t>=NF($D4873,"16 Remaining Amt. (LCY)")</t>
  </si>
  <si>
    <t>=NF($D4874,"16 Remaining Amt. (LCY)")</t>
  </si>
  <si>
    <t>=NF($D4875,"16 Remaining Amt. (LCY)")</t>
  </si>
  <si>
    <t>=NF($D4876,"16 Remaining Amt. (LCY)")</t>
  </si>
  <si>
    <t>=NF($D4877,"16 Remaining Amt. (LCY)")</t>
  </si>
  <si>
    <t>=NF($D4878,"16 Remaining Amt. (LCY)")</t>
  </si>
  <si>
    <t>=NF($D4879,"16 Remaining Amt. (LCY)")</t>
  </si>
  <si>
    <t>=NF($D4880,"16 Remaining Amt. (LCY)")</t>
  </si>
  <si>
    <t>=NF($D4881,"16 Remaining Amt. (LCY)")</t>
  </si>
  <si>
    <t>=NF($D4882,"16 Remaining Amt. (LCY)")</t>
  </si>
  <si>
    <t>=NF($D4883,"16 Remaining Amt. (LCY)")</t>
  </si>
  <si>
    <t>=NF($D4884,"16 Remaining Amt. (LCY)")</t>
  </si>
  <si>
    <t>=NF($D4885,"16 Remaining Amt. (LCY)")</t>
  </si>
  <si>
    <t>=NF($D4886,"16 Remaining Amt. (LCY)")</t>
  </si>
  <si>
    <t>=NF($D4741,"5 Document Type")</t>
  </si>
  <si>
    <t>=NF($D4742,"5 Document Type")</t>
  </si>
  <si>
    <t>=NF($D4743,"5 Document Type")</t>
  </si>
  <si>
    <t>=NF($D4744,"5 Document Type")</t>
  </si>
  <si>
    <t>=NF($D4745,"5 Document Type")</t>
  </si>
  <si>
    <t>=NF($D4746,"5 Document Type")</t>
  </si>
  <si>
    <t>=NF($D4747,"5 Document Type")</t>
  </si>
  <si>
    <t>=NF($D4748,"5 Document Type")</t>
  </si>
  <si>
    <t>=NF($D4749,"5 Document Type")</t>
  </si>
  <si>
    <t>=NF($D4750,"5 Document Type")</t>
  </si>
  <si>
    <t>=NF($D4751,"5 Document Type")</t>
  </si>
  <si>
    <t>=NF($D4752,"5 Document Type")</t>
  </si>
  <si>
    <t>=NF($D4753,"5 Document Type")</t>
  </si>
  <si>
    <t>=NF($D4754,"5 Document Type")</t>
  </si>
  <si>
    <t>=NF($D4755,"5 Document Type")</t>
  </si>
  <si>
    <t>=NF($D4756,"5 Document Type")</t>
  </si>
  <si>
    <t>=NF($D4757,"5 Document Type")</t>
  </si>
  <si>
    <t>=NF($D4758,"5 Document Type")</t>
  </si>
  <si>
    <t>=NF($D4759,"5 Document Type")</t>
  </si>
  <si>
    <t>=NF($D4760,"5 Document Type")</t>
  </si>
  <si>
    <t>=NF($D4761,"5 Document Type")</t>
  </si>
  <si>
    <t>=NF($D4762,"5 Document Type")</t>
  </si>
  <si>
    <t>=NF($D4763,"5 Document Type")</t>
  </si>
  <si>
    <t>=NF($D4764,"5 Document Type")</t>
  </si>
  <si>
    <t>=NF($D4765,"5 Document Type")</t>
  </si>
  <si>
    <t>=NF($D4766,"5 Document Type")</t>
  </si>
  <si>
    <t>=NF($D4767,"5 Document Type")</t>
  </si>
  <si>
    <t>=NF($D4768,"5 Document Type")</t>
  </si>
  <si>
    <t>=NF($D4769,"5 Document Type")</t>
  </si>
  <si>
    <t>=NF($D4770,"5 Document Type")</t>
  </si>
  <si>
    <t>=NF($D4771,"5 Document Type")</t>
  </si>
  <si>
    <t>=NF($D4772,"5 Document Type")</t>
  </si>
  <si>
    <t>=NF($D4773,"5 Document Type")</t>
  </si>
  <si>
    <t>=NF($D4774,"5 Document Type")</t>
  </si>
  <si>
    <t>=NF($D4775,"5 Document Type")</t>
  </si>
  <si>
    <t>=NF($D4776,"5 Document Type")</t>
  </si>
  <si>
    <t>=NF($D4777,"5 Document Type")</t>
  </si>
  <si>
    <t>=NF($D4778,"5 Document Type")</t>
  </si>
  <si>
    <t>=NF($D4779,"5 Document Type")</t>
  </si>
  <si>
    <t>=NF($D4780,"5 Document Type")</t>
  </si>
  <si>
    <t>=NF($D4781,"5 Document Type")</t>
  </si>
  <si>
    <t>=NF($D4782,"5 Document Type")</t>
  </si>
  <si>
    <t>=NF($D4783,"5 Document Type")</t>
  </si>
  <si>
    <t>=NF($D4784,"5 Document Type")</t>
  </si>
  <si>
    <t>=NF($D4785,"5 Document Type")</t>
  </si>
  <si>
    <t>=NF($D4786,"5 Document Type")</t>
  </si>
  <si>
    <t>=NF($D4787,"5 Document Type")</t>
  </si>
  <si>
    <t>=NF($D4788,"5 Document Type")</t>
  </si>
  <si>
    <t>=NF($D4789,"5 Document Type")</t>
  </si>
  <si>
    <t>=NF($D4790,"5 Document Type")</t>
  </si>
  <si>
    <t>=NF($D4791,"5 Document Type")</t>
  </si>
  <si>
    <t>=NF($D4792,"5 Document Type")</t>
  </si>
  <si>
    <t>=NF($D4793,"5 Document Type")</t>
  </si>
  <si>
    <t>=NF($D4794,"5 Document Type")</t>
  </si>
  <si>
    <t>=NF($D4795,"5 Document Type")</t>
  </si>
  <si>
    <t>=NF($D4796,"5 Document Type")</t>
  </si>
  <si>
    <t>=NF($D4797,"5 Document Type")</t>
  </si>
  <si>
    <t>=NF($D4798,"5 Document Type")</t>
  </si>
  <si>
    <t>=NF($D4799,"5 Document Type")</t>
  </si>
  <si>
    <t>=NF($D4800,"5 Document Type")</t>
  </si>
  <si>
    <t>=NF($D4801,"5 Document Type")</t>
  </si>
  <si>
    <t>=NF($D4802,"5 Document Type")</t>
  </si>
  <si>
    <t>=NF($D4803,"5 Document Type")</t>
  </si>
  <si>
    <t>=NF($D4804,"5 Document Type")</t>
  </si>
  <si>
    <t>=NF($D4805,"5 Document Type")</t>
  </si>
  <si>
    <t>=NF($D4806,"5 Document Type")</t>
  </si>
  <si>
    <t>=NF($D4807,"5 Document Type")</t>
  </si>
  <si>
    <t>=NF($D4741,"6 Document No.")</t>
  </si>
  <si>
    <t>=NF($D4742,"6 Document No.")</t>
  </si>
  <si>
    <t>=NF($D4743,"6 Document No.")</t>
  </si>
  <si>
    <t>=NF($D4744,"6 Document No.")</t>
  </si>
  <si>
    <t>=NF($D4745,"6 Document No.")</t>
  </si>
  <si>
    <t>=NF($D4746,"6 Document No.")</t>
  </si>
  <si>
    <t>=NF($D4747,"6 Document No.")</t>
  </si>
  <si>
    <t>=NF($D4748,"6 Document No.")</t>
  </si>
  <si>
    <t>=NF($D4749,"6 Document No.")</t>
  </si>
  <si>
    <t>=NF($D4750,"6 Document No.")</t>
  </si>
  <si>
    <t>=NF($D4751,"6 Document No.")</t>
  </si>
  <si>
    <t>=NF($D4752,"6 Document No.")</t>
  </si>
  <si>
    <t>=NF($D4753,"6 Document No.")</t>
  </si>
  <si>
    <t>=NF($D4754,"6 Document No.")</t>
  </si>
  <si>
    <t>=NF($D4755,"6 Document No.")</t>
  </si>
  <si>
    <t>=NF($D4756,"6 Document No.")</t>
  </si>
  <si>
    <t>=NF($D4757,"6 Document No.")</t>
  </si>
  <si>
    <t>=NF($D4758,"6 Document No.")</t>
  </si>
  <si>
    <t>=NF($D4759,"6 Document No.")</t>
  </si>
  <si>
    <t>=NF($D4760,"6 Document No.")</t>
  </si>
  <si>
    <t>=NF($D4761,"6 Document No.")</t>
  </si>
  <si>
    <t>=NF($D4762,"6 Document No.")</t>
  </si>
  <si>
    <t>=NF($D4763,"6 Document No.")</t>
  </si>
  <si>
    <t>=NF($D4764,"6 Document No.")</t>
  </si>
  <si>
    <t>=NF($D4765,"6 Document No.")</t>
  </si>
  <si>
    <t>=NF($D4766,"6 Document No.")</t>
  </si>
  <si>
    <t>=NF($D4767,"6 Document No.")</t>
  </si>
  <si>
    <t>=NF($D4768,"6 Document No.")</t>
  </si>
  <si>
    <t>=NF($D4769,"6 Document No.")</t>
  </si>
  <si>
    <t>=NF($D4770,"6 Document No.")</t>
  </si>
  <si>
    <t>=NF($D4771,"6 Document No.")</t>
  </si>
  <si>
    <t>=NF($D4772,"6 Document No.")</t>
  </si>
  <si>
    <t>=NF($D4773,"6 Document No.")</t>
  </si>
  <si>
    <t>=NF($D4774,"6 Document No.")</t>
  </si>
  <si>
    <t>=NF($D4775,"6 Document No.")</t>
  </si>
  <si>
    <t>=NF($D4776,"6 Document No.")</t>
  </si>
  <si>
    <t>=NF($D4777,"6 Document No.")</t>
  </si>
  <si>
    <t>=NF($D4778,"6 Document No.")</t>
  </si>
  <si>
    <t>=NF($D4779,"6 Document No.")</t>
  </si>
  <si>
    <t>=NF($D4780,"6 Document No.")</t>
  </si>
  <si>
    <t>=NF($D4781,"6 Document No.")</t>
  </si>
  <si>
    <t>=NF($D4782,"6 Document No.")</t>
  </si>
  <si>
    <t>=NF($D4783,"6 Document No.")</t>
  </si>
  <si>
    <t>=NF($D4784,"6 Document No.")</t>
  </si>
  <si>
    <t>=NF($D4785,"6 Document No.")</t>
  </si>
  <si>
    <t>=NF($D4786,"6 Document No.")</t>
  </si>
  <si>
    <t>=NF($D4787,"6 Document No.")</t>
  </si>
  <si>
    <t>=NF($D4788,"6 Document No.")</t>
  </si>
  <si>
    <t>=NF($D4789,"6 Document No.")</t>
  </si>
  <si>
    <t>=NF($D4790,"6 Document No.")</t>
  </si>
  <si>
    <t>=NF($D4791,"6 Document No.")</t>
  </si>
  <si>
    <t>=NF($D4792,"6 Document No.")</t>
  </si>
  <si>
    <t>=NF($D4793,"6 Document No.")</t>
  </si>
  <si>
    <t>=NF($D4794,"6 Document No.")</t>
  </si>
  <si>
    <t>=NF($D4795,"6 Document No.")</t>
  </si>
  <si>
    <t>=NF($D4796,"6 Document No.")</t>
  </si>
  <si>
    <t>=NF($D4797,"6 Document No.")</t>
  </si>
  <si>
    <t>=NF($D4798,"6 Document No.")</t>
  </si>
  <si>
    <t>=NF($D4799,"6 Document No.")</t>
  </si>
  <si>
    <t>=NF($D4800,"6 Document No.")</t>
  </si>
  <si>
    <t>=NF($D4801,"6 Document No.")</t>
  </si>
  <si>
    <t>=NF($D4802,"6 Document No.")</t>
  </si>
  <si>
    <t>=NF($D4803,"6 Document No.")</t>
  </si>
  <si>
    <t>=NF($D4804,"6 Document No.")</t>
  </si>
  <si>
    <t>=NF($D4805,"6 Document No.")</t>
  </si>
  <si>
    <t>=NF($D4806,"6 Document No.")</t>
  </si>
  <si>
    <t>=NF($D4807,"6 Document No.")</t>
  </si>
  <si>
    <t>=NF($D4741,"37 Due Date")</t>
  </si>
  <si>
    <t>=NF($D4742,"37 Due Date")</t>
  </si>
  <si>
    <t>=NF($D4743,"37 Due Date")</t>
  </si>
  <si>
    <t>=NF($D4744,"37 Due Date")</t>
  </si>
  <si>
    <t>=NF($D4745,"37 Due Date")</t>
  </si>
  <si>
    <t>=NF($D4746,"37 Due Date")</t>
  </si>
  <si>
    <t>=NF($D4747,"37 Due Date")</t>
  </si>
  <si>
    <t>=NF($D4748,"37 Due Date")</t>
  </si>
  <si>
    <t>=NF($D4749,"37 Due Date")</t>
  </si>
  <si>
    <t>=NF($D4750,"37 Due Date")</t>
  </si>
  <si>
    <t>=NF($D4751,"37 Due Date")</t>
  </si>
  <si>
    <t>=NF($D4752,"37 Due Date")</t>
  </si>
  <si>
    <t>=NF($D4753,"37 Due Date")</t>
  </si>
  <si>
    <t>=NF($D4754,"37 Due Date")</t>
  </si>
  <si>
    <t>=NF($D4755,"37 Due Date")</t>
  </si>
  <si>
    <t>=NF($D4756,"37 Due Date")</t>
  </si>
  <si>
    <t>=NF($D4757,"37 Due Date")</t>
  </si>
  <si>
    <t>=NF($D4758,"37 Due Date")</t>
  </si>
  <si>
    <t>=NF($D4759,"37 Due Date")</t>
  </si>
  <si>
    <t>=NF($D4760,"37 Due Date")</t>
  </si>
  <si>
    <t>=NF($D4761,"37 Due Date")</t>
  </si>
  <si>
    <t>=NF($D4762,"37 Due Date")</t>
  </si>
  <si>
    <t>=NF($D4763,"37 Due Date")</t>
  </si>
  <si>
    <t>=NF($D4764,"37 Due Date")</t>
  </si>
  <si>
    <t>=NF($D4765,"37 Due Date")</t>
  </si>
  <si>
    <t>=NF($D4766,"37 Due Date")</t>
  </si>
  <si>
    <t>=NF($D4767,"37 Due Date")</t>
  </si>
  <si>
    <t>=NF($D4768,"37 Due Date")</t>
  </si>
  <si>
    <t>=NF($D4769,"37 Due Date")</t>
  </si>
  <si>
    <t>=NF($D4770,"37 Due Date")</t>
  </si>
  <si>
    <t>=NF($D4771,"37 Due Date")</t>
  </si>
  <si>
    <t>=NF($D4772,"37 Due Date")</t>
  </si>
  <si>
    <t>=NF($D4773,"37 Due Date")</t>
  </si>
  <si>
    <t>=NF($D4774,"37 Due Date")</t>
  </si>
  <si>
    <t>=NF($D4775,"37 Due Date")</t>
  </si>
  <si>
    <t>=NF($D4776,"37 Due Date")</t>
  </si>
  <si>
    <t>=NF($D4777,"37 Due Date")</t>
  </si>
  <si>
    <t>=NF($D4778,"37 Due Date")</t>
  </si>
  <si>
    <t>=NF($D4779,"37 Due Date")</t>
  </si>
  <si>
    <t>=NF($D4780,"37 Due Date")</t>
  </si>
  <si>
    <t>=NF($D4781,"37 Due Date")</t>
  </si>
  <si>
    <t>=NF($D4782,"37 Due Date")</t>
  </si>
  <si>
    <t>=NF($D4783,"37 Due Date")</t>
  </si>
  <si>
    <t>=NF($D4784,"37 Due Date")</t>
  </si>
  <si>
    <t>=NF($D4785,"37 Due Date")</t>
  </si>
  <si>
    <t>=NF($D4786,"37 Due Date")</t>
  </si>
  <si>
    <t>=NF($D4787,"37 Due Date")</t>
  </si>
  <si>
    <t>=NF($D4788,"37 Due Date")</t>
  </si>
  <si>
    <t>=NF($D4789,"37 Due Date")</t>
  </si>
  <si>
    <t>=NF($D4790,"37 Due Date")</t>
  </si>
  <si>
    <t>=NF($D4791,"37 Due Date")</t>
  </si>
  <si>
    <t>=NF($D4792,"37 Due Date")</t>
  </si>
  <si>
    <t>=NF($D4793,"37 Due Date")</t>
  </si>
  <si>
    <t>=NF($D4794,"37 Due Date")</t>
  </si>
  <si>
    <t>=NF($D4795,"37 Due Date")</t>
  </si>
  <si>
    <t>=NF($D4796,"37 Due Date")</t>
  </si>
  <si>
    <t>=NF($D4797,"37 Due Date")</t>
  </si>
  <si>
    <t>=NF($D4798,"37 Due Date")</t>
  </si>
  <si>
    <t>=NF($D4799,"37 Due Date")</t>
  </si>
  <si>
    <t>=NF($D4800,"37 Due Date")</t>
  </si>
  <si>
    <t>=NF($D4801,"37 Due Date")</t>
  </si>
  <si>
    <t>=NF($D4802,"37 Due Date")</t>
  </si>
  <si>
    <t>=NF($D4803,"37 Due Date")</t>
  </si>
  <si>
    <t>=NF($D4804,"37 Due Date")</t>
  </si>
  <si>
    <t>=NF($D4805,"37 Due Date")</t>
  </si>
  <si>
    <t>=NF($D4806,"37 Due Date")</t>
  </si>
  <si>
    <t>=NF($D4807,"37 Due Date")</t>
  </si>
  <si>
    <t>=NF($D4741,"16 Remaining Amt. (LCY)")</t>
  </si>
  <si>
    <t>=NF($D4742,"16 Remaining Amt. (LCY)")</t>
  </si>
  <si>
    <t>=NF($D4743,"16 Remaining Amt. (LCY)")</t>
  </si>
  <si>
    <t>=NF($D4744,"16 Remaining Amt. (LCY)")</t>
  </si>
  <si>
    <t>=NF($D4745,"16 Remaining Amt. (LCY)")</t>
  </si>
  <si>
    <t>=NF($D4746,"16 Remaining Amt. (LCY)")</t>
  </si>
  <si>
    <t>=NF($D4747,"16 Remaining Amt. (LCY)")</t>
  </si>
  <si>
    <t>=NF($D4748,"16 Remaining Amt. (LCY)")</t>
  </si>
  <si>
    <t>=NF($D4749,"16 Remaining Amt. (LCY)")</t>
  </si>
  <si>
    <t>=NF($D4750,"16 Remaining Amt. (LCY)")</t>
  </si>
  <si>
    <t>=NF($D4751,"16 Remaining Amt. (LCY)")</t>
  </si>
  <si>
    <t>=NF($D4752,"16 Remaining Amt. (LCY)")</t>
  </si>
  <si>
    <t>=NF($D4753,"16 Remaining Amt. (LCY)")</t>
  </si>
  <si>
    <t>=NF($D4754,"16 Remaining Amt. (LCY)")</t>
  </si>
  <si>
    <t>=NF($D4755,"16 Remaining Amt. (LCY)")</t>
  </si>
  <si>
    <t>=NF($D4756,"16 Remaining Amt. (LCY)")</t>
  </si>
  <si>
    <t>=NF($D4757,"16 Remaining Amt. (LCY)")</t>
  </si>
  <si>
    <t>=NF($D4758,"16 Remaining Amt. (LCY)")</t>
  </si>
  <si>
    <t>=NF($D4759,"16 Remaining Amt. (LCY)")</t>
  </si>
  <si>
    <t>=NF($D4760,"16 Remaining Amt. (LCY)")</t>
  </si>
  <si>
    <t>=NF($D4761,"16 Remaining Amt. (LCY)")</t>
  </si>
  <si>
    <t>=NF($D4762,"16 Remaining Amt. (LCY)")</t>
  </si>
  <si>
    <t>=NF($D4763,"16 Remaining Amt. (LCY)")</t>
  </si>
  <si>
    <t>=NF($D4764,"16 Remaining Amt. (LCY)")</t>
  </si>
  <si>
    <t>=NF($D4765,"16 Remaining Amt. (LCY)")</t>
  </si>
  <si>
    <t>=NF($D4766,"16 Remaining Amt. (LCY)")</t>
  </si>
  <si>
    <t>=NF($D4767,"16 Remaining Amt. (LCY)")</t>
  </si>
  <si>
    <t>=NF($D4768,"16 Remaining Amt. (LCY)")</t>
  </si>
  <si>
    <t>=NF($D4769,"16 Remaining Amt. (LCY)")</t>
  </si>
  <si>
    <t>=NF($D4770,"16 Remaining Amt. (LCY)")</t>
  </si>
  <si>
    <t>=NF($D4771,"16 Remaining Amt. (LCY)")</t>
  </si>
  <si>
    <t>=NF($D4772,"16 Remaining Amt. (LCY)")</t>
  </si>
  <si>
    <t>=NF($D4773,"16 Remaining Amt. (LCY)")</t>
  </si>
  <si>
    <t>=NF($D4774,"16 Remaining Amt. (LCY)")</t>
  </si>
  <si>
    <t>=NF($D4775,"16 Remaining Amt. (LCY)")</t>
  </si>
  <si>
    <t>=NF($D4776,"16 Remaining Amt. (LCY)")</t>
  </si>
  <si>
    <t>=NF($D4777,"16 Remaining Amt. (LCY)")</t>
  </si>
  <si>
    <t>=NF($D4778,"16 Remaining Amt. (LCY)")</t>
  </si>
  <si>
    <t>=NF($D4779,"16 Remaining Amt. (LCY)")</t>
  </si>
  <si>
    <t>=NF($D4780,"16 Remaining Amt. (LCY)")</t>
  </si>
  <si>
    <t>=NF($D4781,"16 Remaining Amt. (LCY)")</t>
  </si>
  <si>
    <t>=NF($D4782,"16 Remaining Amt. (LCY)")</t>
  </si>
  <si>
    <t>=NF($D4783,"16 Remaining Amt. (LCY)")</t>
  </si>
  <si>
    <t>=NF($D4784,"16 Remaining Amt. (LCY)")</t>
  </si>
  <si>
    <t>=NF($D4785,"16 Remaining Amt. (LCY)")</t>
  </si>
  <si>
    <t>=NF($D4786,"16 Remaining Amt. (LCY)")</t>
  </si>
  <si>
    <t>=NF($D4787,"16 Remaining Amt. (LCY)")</t>
  </si>
  <si>
    <t>=NF($D4788,"16 Remaining Amt. (LCY)")</t>
  </si>
  <si>
    <t>=NF($D4789,"16 Remaining Amt. (LCY)")</t>
  </si>
  <si>
    <t>=NF($D4790,"16 Remaining Amt. (LCY)")</t>
  </si>
  <si>
    <t>=NF($D4791,"16 Remaining Amt. (LCY)")</t>
  </si>
  <si>
    <t>=NF($D4792,"16 Remaining Amt. (LCY)")</t>
  </si>
  <si>
    <t>=NF($D4793,"16 Remaining Amt. (LCY)")</t>
  </si>
  <si>
    <t>=NF($D4794,"16 Remaining Amt. (LCY)")</t>
  </si>
  <si>
    <t>=NF($D4795,"16 Remaining Amt. (LCY)")</t>
  </si>
  <si>
    <t>=NF($D4796,"16 Remaining Amt. (LCY)")</t>
  </si>
  <si>
    <t>=NF($D4797,"16 Remaining Amt. (LCY)")</t>
  </si>
  <si>
    <t>=NF($D4798,"16 Remaining Amt. (LCY)")</t>
  </si>
  <si>
    <t>=NF($D4799,"16 Remaining Amt. (LCY)")</t>
  </si>
  <si>
    <t>=NF($D4800,"16 Remaining Amt. (LCY)")</t>
  </si>
  <si>
    <t>=NF($D4801,"16 Remaining Amt. (LCY)")</t>
  </si>
  <si>
    <t>=NF($D4802,"16 Remaining Amt. (LCY)")</t>
  </si>
  <si>
    <t>=NF($D4803,"16 Remaining Amt. (LCY)")</t>
  </si>
  <si>
    <t>=NF($D4804,"16 Remaining Amt. (LCY)")</t>
  </si>
  <si>
    <t>=NF($D4805,"16 Remaining Amt. (LCY)")</t>
  </si>
  <si>
    <t>=NF($D4806,"16 Remaining Amt. (LCY)")</t>
  </si>
  <si>
    <t>=NF($D4807,"16 Remaining Amt. (LCY)")</t>
  </si>
  <si>
    <t>=NF($D4714,"5 Document Type")</t>
  </si>
  <si>
    <t>=NF($D4715,"5 Document Type")</t>
  </si>
  <si>
    <t>=NF($D4716,"5 Document Type")</t>
  </si>
  <si>
    <t>=NF($D4717,"5 Document Type")</t>
  </si>
  <si>
    <t>=NF($D4718,"5 Document Type")</t>
  </si>
  <si>
    <t>=NF($D4719,"5 Document Type")</t>
  </si>
  <si>
    <t>=NF($D4720,"5 Document Type")</t>
  </si>
  <si>
    <t>=NF($D4721,"5 Document Type")</t>
  </si>
  <si>
    <t>=NF($D4722,"5 Document Type")</t>
  </si>
  <si>
    <t>=NF($D4723,"5 Document Type")</t>
  </si>
  <si>
    <t>=NF($D4724,"5 Document Type")</t>
  </si>
  <si>
    <t>=NF($D4725,"5 Document Type")</t>
  </si>
  <si>
    <t>=NF($D4726,"5 Document Type")</t>
  </si>
  <si>
    <t>=NF($D4727,"5 Document Type")</t>
  </si>
  <si>
    <t>=NF($D4728,"5 Document Type")</t>
  </si>
  <si>
    <t>=NF($D4729,"5 Document Type")</t>
  </si>
  <si>
    <t>=NF($D4730,"5 Document Type")</t>
  </si>
  <si>
    <t>=NF($D4731,"5 Document Type")</t>
  </si>
  <si>
    <t>=NF($D4732,"5 Document Type")</t>
  </si>
  <si>
    <t>=NF($D4733,"5 Document Type")</t>
  </si>
  <si>
    <t>=NF($D4734,"5 Document Type")</t>
  </si>
  <si>
    <t>=NF($D4714,"6 Document No.")</t>
  </si>
  <si>
    <t>=NF($D4715,"6 Document No.")</t>
  </si>
  <si>
    <t>=NF($D4716,"6 Document No.")</t>
  </si>
  <si>
    <t>=NF($D4717,"6 Document No.")</t>
  </si>
  <si>
    <t>=NF($D4718,"6 Document No.")</t>
  </si>
  <si>
    <t>=NF($D4719,"6 Document No.")</t>
  </si>
  <si>
    <t>=NF($D4720,"6 Document No.")</t>
  </si>
  <si>
    <t>=NF($D4721,"6 Document No.")</t>
  </si>
  <si>
    <t>=NF($D4722,"6 Document No.")</t>
  </si>
  <si>
    <t>=NF($D4723,"6 Document No.")</t>
  </si>
  <si>
    <t>=NF($D4724,"6 Document No.")</t>
  </si>
  <si>
    <t>=NF($D4725,"6 Document No.")</t>
  </si>
  <si>
    <t>=NF($D4726,"6 Document No.")</t>
  </si>
  <si>
    <t>=NF($D4727,"6 Document No.")</t>
  </si>
  <si>
    <t>=NF($D4728,"6 Document No.")</t>
  </si>
  <si>
    <t>=NF($D4729,"6 Document No.")</t>
  </si>
  <si>
    <t>=NF($D4730,"6 Document No.")</t>
  </si>
  <si>
    <t>=NF($D4731,"6 Document No.")</t>
  </si>
  <si>
    <t>=NF($D4732,"6 Document No.")</t>
  </si>
  <si>
    <t>=NF($D4733,"6 Document No.")</t>
  </si>
  <si>
    <t>=NF($D4734,"6 Document No.")</t>
  </si>
  <si>
    <t>=NF($D4714,"37 Due Date")</t>
  </si>
  <si>
    <t>=NF($D4715,"37 Due Date")</t>
  </si>
  <si>
    <t>=NF($D4716,"37 Due Date")</t>
  </si>
  <si>
    <t>=NF($D4717,"37 Due Date")</t>
  </si>
  <si>
    <t>=NF($D4718,"37 Due Date")</t>
  </si>
  <si>
    <t>=NF($D4719,"37 Due Date")</t>
  </si>
  <si>
    <t>=NF($D4720,"37 Due Date")</t>
  </si>
  <si>
    <t>=NF($D4721,"37 Due Date")</t>
  </si>
  <si>
    <t>=NF($D4722,"37 Due Date")</t>
  </si>
  <si>
    <t>=NF($D4723,"37 Due Date")</t>
  </si>
  <si>
    <t>=NF($D4724,"37 Due Date")</t>
  </si>
  <si>
    <t>=NF($D4725,"37 Due Date")</t>
  </si>
  <si>
    <t>=NF($D4726,"37 Due Date")</t>
  </si>
  <si>
    <t>=NF($D4727,"37 Due Date")</t>
  </si>
  <si>
    <t>=NF($D4728,"37 Due Date")</t>
  </si>
  <si>
    <t>=NF($D4729,"37 Due Date")</t>
  </si>
  <si>
    <t>=NF($D4730,"37 Due Date")</t>
  </si>
  <si>
    <t>=NF($D4731,"37 Due Date")</t>
  </si>
  <si>
    <t>=NF($D4732,"37 Due Date")</t>
  </si>
  <si>
    <t>=NF($D4733,"37 Due Date")</t>
  </si>
  <si>
    <t>=NF($D4734,"37 Due Date")</t>
  </si>
  <si>
    <t>=NF($D4714,"16 Remaining Amt. (LCY)")</t>
  </si>
  <si>
    <t>=NF($D4715,"16 Remaining Amt. (LCY)")</t>
  </si>
  <si>
    <t>=NF($D4716,"16 Remaining Amt. (LCY)")</t>
  </si>
  <si>
    <t>=NF($D4717,"16 Remaining Amt. (LCY)")</t>
  </si>
  <si>
    <t>=NF($D4718,"16 Remaining Amt. (LCY)")</t>
  </si>
  <si>
    <t>=NF($D4719,"16 Remaining Amt. (LCY)")</t>
  </si>
  <si>
    <t>=NF($D4720,"16 Remaining Amt. (LCY)")</t>
  </si>
  <si>
    <t>=NF($D4721,"16 Remaining Amt. (LCY)")</t>
  </si>
  <si>
    <t>=NF($D4722,"16 Remaining Amt. (LCY)")</t>
  </si>
  <si>
    <t>=NF($D4723,"16 Remaining Amt. (LCY)")</t>
  </si>
  <si>
    <t>=NF($D4724,"16 Remaining Amt. (LCY)")</t>
  </si>
  <si>
    <t>=NF($D4725,"16 Remaining Amt. (LCY)")</t>
  </si>
  <si>
    <t>=NF($D4726,"16 Remaining Amt. (LCY)")</t>
  </si>
  <si>
    <t>=NF($D4727,"16 Remaining Amt. (LCY)")</t>
  </si>
  <si>
    <t>=NF($D4728,"16 Remaining Amt. (LCY)")</t>
  </si>
  <si>
    <t>=NF($D4729,"16 Remaining Amt. (LCY)")</t>
  </si>
  <si>
    <t>=NF($D4730,"16 Remaining Amt. (LCY)")</t>
  </si>
  <si>
    <t>=NF($D4731,"16 Remaining Amt. (LCY)")</t>
  </si>
  <si>
    <t>=NF($D4732,"16 Remaining Amt. (LCY)")</t>
  </si>
  <si>
    <t>=NF($D4733,"16 Remaining Amt. (LCY)")</t>
  </si>
  <si>
    <t>=NF($D4734,"16 Remaining Amt. (LCY)")</t>
  </si>
  <si>
    <t>=NF($D4669,"5 Document Type")</t>
  </si>
  <si>
    <t>=NF($D4670,"5 Document Type")</t>
  </si>
  <si>
    <t>=NF($D4671,"5 Document Type")</t>
  </si>
  <si>
    <t>=NF($D4672,"5 Document Type")</t>
  </si>
  <si>
    <t>=NF($D4673,"5 Document Type")</t>
  </si>
  <si>
    <t>=NF($D4674,"5 Document Type")</t>
  </si>
  <si>
    <t>=NF($D4675,"5 Document Type")</t>
  </si>
  <si>
    <t>=NF($D4676,"5 Document Type")</t>
  </si>
  <si>
    <t>=NF($D4677,"5 Document Type")</t>
  </si>
  <si>
    <t>=NF($D4678,"5 Document Type")</t>
  </si>
  <si>
    <t>=NF($D4679,"5 Document Type")</t>
  </si>
  <si>
    <t>=NF($D4680,"5 Document Type")</t>
  </si>
  <si>
    <t>=NF($D4681,"5 Document Type")</t>
  </si>
  <si>
    <t>=NF($D4682,"5 Document Type")</t>
  </si>
  <si>
    <t>=NF($D4683,"5 Document Type")</t>
  </si>
  <si>
    <t>=NF($D4684,"5 Document Type")</t>
  </si>
  <si>
    <t>=NF($D4685,"5 Document Type")</t>
  </si>
  <si>
    <t>=NF($D4686,"5 Document Type")</t>
  </si>
  <si>
    <t>=NF($D4687,"5 Document Type")</t>
  </si>
  <si>
    <t>=NF($D4688,"5 Document Type")</t>
  </si>
  <si>
    <t>=NF($D4689,"5 Document Type")</t>
  </si>
  <si>
    <t>=NF($D4690,"5 Document Type")</t>
  </si>
  <si>
    <t>=NF($D4691,"5 Document Type")</t>
  </si>
  <si>
    <t>=NF($D4692,"5 Document Type")</t>
  </si>
  <si>
    <t>=NF($D4693,"5 Document Type")</t>
  </si>
  <si>
    <t>=NF($D4694,"5 Document Type")</t>
  </si>
  <si>
    <t>=NF($D4695,"5 Document Type")</t>
  </si>
  <si>
    <t>=NF($D4696,"5 Document Type")</t>
  </si>
  <si>
    <t>=NF($D4697,"5 Document Type")</t>
  </si>
  <si>
    <t>=NF($D4698,"5 Document Type")</t>
  </si>
  <si>
    <t>=NF($D4699,"5 Document Type")</t>
  </si>
  <si>
    <t>=NF($D4700,"5 Document Type")</t>
  </si>
  <si>
    <t>=NF($D4701,"5 Document Type")</t>
  </si>
  <si>
    <t>=NF($D4702,"5 Document Type")</t>
  </si>
  <si>
    <t>=NF($D4703,"5 Document Type")</t>
  </si>
  <si>
    <t>=NF($D4704,"5 Document Type")</t>
  </si>
  <si>
    <t>=NF($D4705,"5 Document Type")</t>
  </si>
  <si>
    <t>=NF($D4706,"5 Document Type")</t>
  </si>
  <si>
    <t>=NF($D4707,"5 Document Type")</t>
  </si>
  <si>
    <t>=NF($D4669,"6 Document No.")</t>
  </si>
  <si>
    <t>=NF($D4670,"6 Document No.")</t>
  </si>
  <si>
    <t>=NF($D4671,"6 Document No.")</t>
  </si>
  <si>
    <t>=NF($D4672,"6 Document No.")</t>
  </si>
  <si>
    <t>=NF($D4673,"6 Document No.")</t>
  </si>
  <si>
    <t>=NF($D4674,"6 Document No.")</t>
  </si>
  <si>
    <t>=NF($D4675,"6 Document No.")</t>
  </si>
  <si>
    <t>=NF($D4676,"6 Document No.")</t>
  </si>
  <si>
    <t>=NF($D4677,"6 Document No.")</t>
  </si>
  <si>
    <t>=NF($D4678,"6 Document No.")</t>
  </si>
  <si>
    <t>=NF($D4679,"6 Document No.")</t>
  </si>
  <si>
    <t>=NF($D4680,"6 Document No.")</t>
  </si>
  <si>
    <t>=NF($D4681,"6 Document No.")</t>
  </si>
  <si>
    <t>=NF($D4682,"6 Document No.")</t>
  </si>
  <si>
    <t>=NF($D4683,"6 Document No.")</t>
  </si>
  <si>
    <t>=NF($D4684,"6 Document No.")</t>
  </si>
  <si>
    <t>=NF($D4685,"6 Document No.")</t>
  </si>
  <si>
    <t>=NF($D4686,"6 Document No.")</t>
  </si>
  <si>
    <t>=NF($D4687,"6 Document No.")</t>
  </si>
  <si>
    <t>=NF($D4688,"6 Document No.")</t>
  </si>
  <si>
    <t>=NF($D4689,"6 Document No.")</t>
  </si>
  <si>
    <t>=NF($D4690,"6 Document No.")</t>
  </si>
  <si>
    <t>=NF($D4691,"6 Document No.")</t>
  </si>
  <si>
    <t>=NF($D4692,"6 Document No.")</t>
  </si>
  <si>
    <t>=NF($D4693,"6 Document No.")</t>
  </si>
  <si>
    <t>=NF($D4694,"6 Document No.")</t>
  </si>
  <si>
    <t>=NF($D4695,"6 Document No.")</t>
  </si>
  <si>
    <t>=NF($D4696,"6 Document No.")</t>
  </si>
  <si>
    <t>=NF($D4697,"6 Document No.")</t>
  </si>
  <si>
    <t>=NF($D4698,"6 Document No.")</t>
  </si>
  <si>
    <t>=NF($D4699,"6 Document No.")</t>
  </si>
  <si>
    <t>=NF($D4700,"6 Document No.")</t>
  </si>
  <si>
    <t>=NF($D4701,"6 Document No.")</t>
  </si>
  <si>
    <t>=NF($D4702,"6 Document No.")</t>
  </si>
  <si>
    <t>=NF($D4703,"6 Document No.")</t>
  </si>
  <si>
    <t>=NF($D4704,"6 Document No.")</t>
  </si>
  <si>
    <t>=NF($D4705,"6 Document No.")</t>
  </si>
  <si>
    <t>=NF($D4706,"6 Document No.")</t>
  </si>
  <si>
    <t>=NF($D4707,"6 Document No.")</t>
  </si>
  <si>
    <t>=NF($D4669,"37 Due Date")</t>
  </si>
  <si>
    <t>=NF($D4670,"37 Due Date")</t>
  </si>
  <si>
    <t>=NF($D4671,"37 Due Date")</t>
  </si>
  <si>
    <t>=NF($D4672,"37 Due Date")</t>
  </si>
  <si>
    <t>=NF($D4673,"37 Due Date")</t>
  </si>
  <si>
    <t>=NF($D4674,"37 Due Date")</t>
  </si>
  <si>
    <t>=NF($D4675,"37 Due Date")</t>
  </si>
  <si>
    <t>=NF($D4676,"37 Due Date")</t>
  </si>
  <si>
    <t>=NF($D4677,"37 Due Date")</t>
  </si>
  <si>
    <t>=NF($D4678,"37 Due Date")</t>
  </si>
  <si>
    <t>=NF($D4679,"37 Due Date")</t>
  </si>
  <si>
    <t>=NF($D4680,"37 Due Date")</t>
  </si>
  <si>
    <t>=NF($D4681,"37 Due Date")</t>
  </si>
  <si>
    <t>=NF($D4682,"37 Due Date")</t>
  </si>
  <si>
    <t>=NF($D4683,"37 Due Date")</t>
  </si>
  <si>
    <t>=NF($D4684,"37 Due Date")</t>
  </si>
  <si>
    <t>=NF($D4685,"37 Due Date")</t>
  </si>
  <si>
    <t>=NF($D4686,"37 Due Date")</t>
  </si>
  <si>
    <t>=NF($D4687,"37 Due Date")</t>
  </si>
  <si>
    <t>=NF($D4688,"37 Due Date")</t>
  </si>
  <si>
    <t>=NF($D4689,"37 Due Date")</t>
  </si>
  <si>
    <t>=NF($D4690,"37 Due Date")</t>
  </si>
  <si>
    <t>=NF($D4691,"37 Due Date")</t>
  </si>
  <si>
    <t>=NF($D4692,"37 Due Date")</t>
  </si>
  <si>
    <t>=NF($D4693,"37 Due Date")</t>
  </si>
  <si>
    <t>=NF($D4694,"37 Due Date")</t>
  </si>
  <si>
    <t>=NF($D4695,"37 Due Date")</t>
  </si>
  <si>
    <t>=NF($D4696,"37 Due Date")</t>
  </si>
  <si>
    <t>=NF($D4697,"37 Due Date")</t>
  </si>
  <si>
    <t>=NF($D4698,"37 Due Date")</t>
  </si>
  <si>
    <t>=NF($D4699,"37 Due Date")</t>
  </si>
  <si>
    <t>=NF($D4700,"37 Due Date")</t>
  </si>
  <si>
    <t>=NF($D4701,"37 Due Date")</t>
  </si>
  <si>
    <t>=NF($D4702,"37 Due Date")</t>
  </si>
  <si>
    <t>=NF($D4703,"37 Due Date")</t>
  </si>
  <si>
    <t>=NF($D4704,"37 Due Date")</t>
  </si>
  <si>
    <t>=NF($D4705,"37 Due Date")</t>
  </si>
  <si>
    <t>=NF($D4706,"37 Due Date")</t>
  </si>
  <si>
    <t>=NF($D4707,"37 Due Date")</t>
  </si>
  <si>
    <t>=NF($D4669,"16 Remaining Amt. (LCY)")</t>
  </si>
  <si>
    <t>=NF($D4670,"16 Remaining Amt. (LCY)")</t>
  </si>
  <si>
    <t>=NF($D4671,"16 Remaining Amt. (LCY)")</t>
  </si>
  <si>
    <t>=NF($D4672,"16 Remaining Amt. (LCY)")</t>
  </si>
  <si>
    <t>=NF($D4673,"16 Remaining Amt. (LCY)")</t>
  </si>
  <si>
    <t>=NF($D4674,"16 Remaining Amt. (LCY)")</t>
  </si>
  <si>
    <t>=NF($D4675,"16 Remaining Amt. (LCY)")</t>
  </si>
  <si>
    <t>=NF($D4676,"16 Remaining Amt. (LCY)")</t>
  </si>
  <si>
    <t>=NF($D4677,"16 Remaining Amt. (LCY)")</t>
  </si>
  <si>
    <t>=NF($D4678,"16 Remaining Amt. (LCY)")</t>
  </si>
  <si>
    <t>=NF($D4679,"16 Remaining Amt. (LCY)")</t>
  </si>
  <si>
    <t>=NF($D4680,"16 Remaining Amt. (LCY)")</t>
  </si>
  <si>
    <t>=NF($D4681,"16 Remaining Amt. (LCY)")</t>
  </si>
  <si>
    <t>=NF($D4682,"16 Remaining Amt. (LCY)")</t>
  </si>
  <si>
    <t>=NF($D4683,"16 Remaining Amt. (LCY)")</t>
  </si>
  <si>
    <t>=NF($D4684,"16 Remaining Amt. (LCY)")</t>
  </si>
  <si>
    <t>=NF($D4685,"16 Remaining Amt. (LCY)")</t>
  </si>
  <si>
    <t>=NF($D4686,"16 Remaining Amt. (LCY)")</t>
  </si>
  <si>
    <t>=NF($D4687,"16 Remaining Amt. (LCY)")</t>
  </si>
  <si>
    <t>=NF($D4688,"16 Remaining Amt. (LCY)")</t>
  </si>
  <si>
    <t>=NF($D4689,"16 Remaining Amt. (LCY)")</t>
  </si>
  <si>
    <t>=NF($D4690,"16 Remaining Amt. (LCY)")</t>
  </si>
  <si>
    <t>=NF($D4691,"16 Remaining Amt. (LCY)")</t>
  </si>
  <si>
    <t>=NF($D4692,"16 Remaining Amt. (LCY)")</t>
  </si>
  <si>
    <t>=NF($D4693,"16 Remaining Amt. (LCY)")</t>
  </si>
  <si>
    <t>=NF($D4694,"16 Remaining Amt. (LCY)")</t>
  </si>
  <si>
    <t>=NF($D4695,"16 Remaining Amt. (LCY)")</t>
  </si>
  <si>
    <t>=NF($D4696,"16 Remaining Amt. (LCY)")</t>
  </si>
  <si>
    <t>=NF($D4697,"16 Remaining Amt. (LCY)")</t>
  </si>
  <si>
    <t>=NF($D4698,"16 Remaining Amt. (LCY)")</t>
  </si>
  <si>
    <t>=NF($D4699,"16 Remaining Amt. (LCY)")</t>
  </si>
  <si>
    <t>=NF($D4700,"16 Remaining Amt. (LCY)")</t>
  </si>
  <si>
    <t>=NF($D4701,"16 Remaining Amt. (LCY)")</t>
  </si>
  <si>
    <t>=NF($D4702,"16 Remaining Amt. (LCY)")</t>
  </si>
  <si>
    <t>=NF($D4703,"16 Remaining Amt. (LCY)")</t>
  </si>
  <si>
    <t>=NF($D4704,"16 Remaining Amt. (LCY)")</t>
  </si>
  <si>
    <t>=NF($D4705,"16 Remaining Amt. (LCY)")</t>
  </si>
  <si>
    <t>=NF($D4706,"16 Remaining Amt. (LCY)")</t>
  </si>
  <si>
    <t>=NF($D4707,"16 Remaining Amt. (LCY)")</t>
  </si>
  <si>
    <t>=NF($D4597,"5 Document Type")</t>
  </si>
  <si>
    <t>=NF($D4598,"5 Document Type")</t>
  </si>
  <si>
    <t>=NF($D4599,"5 Document Type")</t>
  </si>
  <si>
    <t>=NF($D4600,"5 Document Type")</t>
  </si>
  <si>
    <t>=NF($D4601,"5 Document Type")</t>
  </si>
  <si>
    <t>=NF($D4602,"5 Document Type")</t>
  </si>
  <si>
    <t>=NF($D4603,"5 Document Type")</t>
  </si>
  <si>
    <t>=NF($D4604,"5 Document Type")</t>
  </si>
  <si>
    <t>=NF($D4605,"5 Document Type")</t>
  </si>
  <si>
    <t>=NF($D4606,"5 Document Type")</t>
  </si>
  <si>
    <t>=NF($D4607,"5 Document Type")</t>
  </si>
  <si>
    <t>=NF($D4608,"5 Document Type")</t>
  </si>
  <si>
    <t>=NF($D4609,"5 Document Type")</t>
  </si>
  <si>
    <t>=NF($D4610,"5 Document Type")</t>
  </si>
  <si>
    <t>=NF($D4611,"5 Document Type")</t>
  </si>
  <si>
    <t>=NF($D4612,"5 Document Type")</t>
  </si>
  <si>
    <t>=NF($D4613,"5 Document Type")</t>
  </si>
  <si>
    <t>=NF($D4614,"5 Document Type")</t>
  </si>
  <si>
    <t>=NF($D4615,"5 Document Type")</t>
  </si>
  <si>
    <t>=NF($D4616,"5 Document Type")</t>
  </si>
  <si>
    <t>=NF($D4617,"5 Document Type")</t>
  </si>
  <si>
    <t>=NF($D4618,"5 Document Type")</t>
  </si>
  <si>
    <t>=NF($D4619,"5 Document Type")</t>
  </si>
  <si>
    <t>=NF($D4620,"5 Document Type")</t>
  </si>
  <si>
    <t>=NF($D4621,"5 Document Type")</t>
  </si>
  <si>
    <t>=NF($D4622,"5 Document Type")</t>
  </si>
  <si>
    <t>=NF($D4623,"5 Document Type")</t>
  </si>
  <si>
    <t>=NF($D4624,"5 Document Type")</t>
  </si>
  <si>
    <t>=NF($D4625,"5 Document Type")</t>
  </si>
  <si>
    <t>=NF($D4626,"5 Document Type")</t>
  </si>
  <si>
    <t>=NF($D4627,"5 Document Type")</t>
  </si>
  <si>
    <t>=NF($D4628,"5 Document Type")</t>
  </si>
  <si>
    <t>=NF($D4629,"5 Document Type")</t>
  </si>
  <si>
    <t>=NF($D4630,"5 Document Type")</t>
  </si>
  <si>
    <t>=NF($D4631,"5 Document Type")</t>
  </si>
  <si>
    <t>=NF($D4632,"5 Document Type")</t>
  </si>
  <si>
    <t>=NF($D4633,"5 Document Type")</t>
  </si>
  <si>
    <t>=NF($D4634,"5 Document Type")</t>
  </si>
  <si>
    <t>=NF($D4635,"5 Document Type")</t>
  </si>
  <si>
    <t>=NF($D4636,"5 Document Type")</t>
  </si>
  <si>
    <t>=NF($D4637,"5 Document Type")</t>
  </si>
  <si>
    <t>=NF($D4638,"5 Document Type")</t>
  </si>
  <si>
    <t>=NF($D4639,"5 Document Type")</t>
  </si>
  <si>
    <t>=NF($D4640,"5 Document Type")</t>
  </si>
  <si>
    <t>=NF($D4641,"5 Document Type")</t>
  </si>
  <si>
    <t>=NF($D4642,"5 Document Type")</t>
  </si>
  <si>
    <t>=NF($D4643,"5 Document Type")</t>
  </si>
  <si>
    <t>=NF($D4644,"5 Document Type")</t>
  </si>
  <si>
    <t>=NF($D4645,"5 Document Type")</t>
  </si>
  <si>
    <t>=NF($D4646,"5 Document Type")</t>
  </si>
  <si>
    <t>=NF($D4647,"5 Document Type")</t>
  </si>
  <si>
    <t>=NF($D4648,"5 Document Type")</t>
  </si>
  <si>
    <t>=NF($D4649,"5 Document Type")</t>
  </si>
  <si>
    <t>=NF($D4650,"5 Document Type")</t>
  </si>
  <si>
    <t>=NF($D4651,"5 Document Type")</t>
  </si>
  <si>
    <t>=NF($D4652,"5 Document Type")</t>
  </si>
  <si>
    <t>=NF($D4653,"5 Document Type")</t>
  </si>
  <si>
    <t>=NF($D4654,"5 Document Type")</t>
  </si>
  <si>
    <t>=NF($D4655,"5 Document Type")</t>
  </si>
  <si>
    <t>=NF($D4656,"5 Document Type")</t>
  </si>
  <si>
    <t>=NF($D4657,"5 Document Type")</t>
  </si>
  <si>
    <t>=NF($D4658,"5 Document Type")</t>
  </si>
  <si>
    <t>=NF($D4659,"5 Document Type")</t>
  </si>
  <si>
    <t>=NF($D4660,"5 Document Type")</t>
  </si>
  <si>
    <t>=NF($D4661,"5 Document Type")</t>
  </si>
  <si>
    <t>=NF($D4662,"5 Document Type")</t>
  </si>
  <si>
    <t>=NF($D4597,"6 Document No.")</t>
  </si>
  <si>
    <t>=NF($D4598,"6 Document No.")</t>
  </si>
  <si>
    <t>=NF($D4599,"6 Document No.")</t>
  </si>
  <si>
    <t>=NF($D4600,"6 Document No.")</t>
  </si>
  <si>
    <t>=NF($D4601,"6 Document No.")</t>
  </si>
  <si>
    <t>=NF($D4602,"6 Document No.")</t>
  </si>
  <si>
    <t>=NF($D4603,"6 Document No.")</t>
  </si>
  <si>
    <t>=NF($D4604,"6 Document No.")</t>
  </si>
  <si>
    <t>=NF($D4605,"6 Document No.")</t>
  </si>
  <si>
    <t>=NF($D4606,"6 Document No.")</t>
  </si>
  <si>
    <t>=NF($D4607,"6 Document No.")</t>
  </si>
  <si>
    <t>=NF($D4608,"6 Document No.")</t>
  </si>
  <si>
    <t>=NF($D4609,"6 Document No.")</t>
  </si>
  <si>
    <t>=NF($D4610,"6 Document No.")</t>
  </si>
  <si>
    <t>=NF($D4611,"6 Document No.")</t>
  </si>
  <si>
    <t>=NF($D4612,"6 Document No.")</t>
  </si>
  <si>
    <t>=NF($D4613,"6 Document No.")</t>
  </si>
  <si>
    <t>=NF($D4614,"6 Document No.")</t>
  </si>
  <si>
    <t>=NF($D4615,"6 Document No.")</t>
  </si>
  <si>
    <t>=NF($D4616,"6 Document No.")</t>
  </si>
  <si>
    <t>=NF($D4617,"6 Document No.")</t>
  </si>
  <si>
    <t>=NF($D4618,"6 Document No.")</t>
  </si>
  <si>
    <t>=NF($D4619,"6 Document No.")</t>
  </si>
  <si>
    <t>=NF($D4620,"6 Document No.")</t>
  </si>
  <si>
    <t>=NF($D4621,"6 Document No.")</t>
  </si>
  <si>
    <t>=NF($D4622,"6 Document No.")</t>
  </si>
  <si>
    <t>=NF($D4623,"6 Document No.")</t>
  </si>
  <si>
    <t>=NF($D4624,"6 Document No.")</t>
  </si>
  <si>
    <t>=NF($D4625,"6 Document No.")</t>
  </si>
  <si>
    <t>=NF($D4626,"6 Document No.")</t>
  </si>
  <si>
    <t>=NF($D4627,"6 Document No.")</t>
  </si>
  <si>
    <t>=NF($D4628,"6 Document No.")</t>
  </si>
  <si>
    <t>=NF($D4629,"6 Document No.")</t>
  </si>
  <si>
    <t>=NF($D4630,"6 Document No.")</t>
  </si>
  <si>
    <t>=NF($D4631,"6 Document No.")</t>
  </si>
  <si>
    <t>=NF($D4632,"6 Document No.")</t>
  </si>
  <si>
    <t>=NF($D4633,"6 Document No.")</t>
  </si>
  <si>
    <t>=NF($D4634,"6 Document No.")</t>
  </si>
  <si>
    <t>=NF($D4635,"6 Document No.")</t>
  </si>
  <si>
    <t>=NF($D4636,"6 Document No.")</t>
  </si>
  <si>
    <t>=NF($D4637,"6 Document No.")</t>
  </si>
  <si>
    <t>=NF($D4638,"6 Document No.")</t>
  </si>
  <si>
    <t>=NF($D4639,"6 Document No.")</t>
  </si>
  <si>
    <t>=NF($D4640,"6 Document No.")</t>
  </si>
  <si>
    <t>=NF($D4641,"6 Document No.")</t>
  </si>
  <si>
    <t>=NF($D4642,"6 Document No.")</t>
  </si>
  <si>
    <t>=NF($D4643,"6 Document No.")</t>
  </si>
  <si>
    <t>=NF($D4644,"6 Document No.")</t>
  </si>
  <si>
    <t>=NF($D4645,"6 Document No.")</t>
  </si>
  <si>
    <t>=NF($D4646,"6 Document No.")</t>
  </si>
  <si>
    <t>=NF($D4647,"6 Document No.")</t>
  </si>
  <si>
    <t>=NF($D4648,"6 Document No.")</t>
  </si>
  <si>
    <t>=NF($D4649,"6 Document No.")</t>
  </si>
  <si>
    <t>=NF($D4650,"6 Document No.")</t>
  </si>
  <si>
    <t>=NF($D4651,"6 Document No.")</t>
  </si>
  <si>
    <t>=NF($D4652,"6 Document No.")</t>
  </si>
  <si>
    <t>=NF($D4653,"6 Document No.")</t>
  </si>
  <si>
    <t>=NF($D4654,"6 Document No.")</t>
  </si>
  <si>
    <t>=NF($D4655,"6 Document No.")</t>
  </si>
  <si>
    <t>=NF($D4656,"6 Document No.")</t>
  </si>
  <si>
    <t>=NF($D4657,"6 Document No.")</t>
  </si>
  <si>
    <t>=NF($D4658,"6 Document No.")</t>
  </si>
  <si>
    <t>=NF($D4659,"6 Document No.")</t>
  </si>
  <si>
    <t>=NF($D4660,"6 Document No.")</t>
  </si>
  <si>
    <t>=NF($D4661,"6 Document No.")</t>
  </si>
  <si>
    <t>=NF($D4662,"6 Document No.")</t>
  </si>
  <si>
    <t>=NF($D4597,"37 Due Date")</t>
  </si>
  <si>
    <t>=NF($D4598,"37 Due Date")</t>
  </si>
  <si>
    <t>=NF($D4599,"37 Due Date")</t>
  </si>
  <si>
    <t>=NF($D4600,"37 Due Date")</t>
  </si>
  <si>
    <t>=NF($D4601,"37 Due Date")</t>
  </si>
  <si>
    <t>=NF($D4602,"37 Due Date")</t>
  </si>
  <si>
    <t>=NF($D4603,"37 Due Date")</t>
  </si>
  <si>
    <t>=NF($D4604,"37 Due Date")</t>
  </si>
  <si>
    <t>=NF($D4605,"37 Due Date")</t>
  </si>
  <si>
    <t>=NF($D4606,"37 Due Date")</t>
  </si>
  <si>
    <t>=NF($D4607,"37 Due Date")</t>
  </si>
  <si>
    <t>=NF($D4608,"37 Due Date")</t>
  </si>
  <si>
    <t>=NF($D4609,"37 Due Date")</t>
  </si>
  <si>
    <t>=NF($D4610,"37 Due Date")</t>
  </si>
  <si>
    <t>=NF($D4611,"37 Due Date")</t>
  </si>
  <si>
    <t>=NF($D4612,"37 Due Date")</t>
  </si>
  <si>
    <t>=NF($D4613,"37 Due Date")</t>
  </si>
  <si>
    <t>=NF($D4614,"37 Due Date")</t>
  </si>
  <si>
    <t>=NF($D4615,"37 Due Date")</t>
  </si>
  <si>
    <t>=NF($D4616,"37 Due Date")</t>
  </si>
  <si>
    <t>=NF($D4617,"37 Due Date")</t>
  </si>
  <si>
    <t>=NF($D4618,"37 Due Date")</t>
  </si>
  <si>
    <t>=NF($D4619,"37 Due Date")</t>
  </si>
  <si>
    <t>=NF($D4620,"37 Due Date")</t>
  </si>
  <si>
    <t>=NF($D4621,"37 Due Date")</t>
  </si>
  <si>
    <t>=NF($D4622,"37 Due Date")</t>
  </si>
  <si>
    <t>=NF($D4623,"37 Due Date")</t>
  </si>
  <si>
    <t>=NF($D4624,"37 Due Date")</t>
  </si>
  <si>
    <t>=NF($D4625,"37 Due Date")</t>
  </si>
  <si>
    <t>=NF($D4626,"37 Due Date")</t>
  </si>
  <si>
    <t>=NF($D4627,"37 Due Date")</t>
  </si>
  <si>
    <t>=NF($D4628,"37 Due Date")</t>
  </si>
  <si>
    <t>=NF($D4629,"37 Due Date")</t>
  </si>
  <si>
    <t>=NF($D4630,"37 Due Date")</t>
  </si>
  <si>
    <t>=NF($D4631,"37 Due Date")</t>
  </si>
  <si>
    <t>=NF($D4632,"37 Due Date")</t>
  </si>
  <si>
    <t>=NF($D4633,"37 Due Date")</t>
  </si>
  <si>
    <t>=NF($D4634,"37 Due Date")</t>
  </si>
  <si>
    <t>=NF($D4635,"37 Due Date")</t>
  </si>
  <si>
    <t>=NF($D4636,"37 Due Date")</t>
  </si>
  <si>
    <t>=NF($D4637,"37 Due Date")</t>
  </si>
  <si>
    <t>=NF($D4638,"37 Due Date")</t>
  </si>
  <si>
    <t>=NF($D4639,"37 Due Date")</t>
  </si>
  <si>
    <t>=NF($D4640,"37 Due Date")</t>
  </si>
  <si>
    <t>=NF($D4641,"37 Due Date")</t>
  </si>
  <si>
    <t>=NF($D4642,"37 Due Date")</t>
  </si>
  <si>
    <t>=NF($D4643,"37 Due Date")</t>
  </si>
  <si>
    <t>=NF($D4644,"37 Due Date")</t>
  </si>
  <si>
    <t>=NF($D4645,"37 Due Date")</t>
  </si>
  <si>
    <t>=NF($D4646,"37 Due Date")</t>
  </si>
  <si>
    <t>=NF($D4647,"37 Due Date")</t>
  </si>
  <si>
    <t>=NF($D4648,"37 Due Date")</t>
  </si>
  <si>
    <t>=NF($D4649,"37 Due Date")</t>
  </si>
  <si>
    <t>=NF($D4650,"37 Due Date")</t>
  </si>
  <si>
    <t>=NF($D4651,"37 Due Date")</t>
  </si>
  <si>
    <t>=NF($D4652,"37 Due Date")</t>
  </si>
  <si>
    <t>=NF($D4653,"37 Due Date")</t>
  </si>
  <si>
    <t>=NF($D4654,"37 Due Date")</t>
  </si>
  <si>
    <t>=NF($D4655,"37 Due Date")</t>
  </si>
  <si>
    <t>=NF($D4656,"37 Due Date")</t>
  </si>
  <si>
    <t>=NF($D4657,"37 Due Date")</t>
  </si>
  <si>
    <t>=NF($D4658,"37 Due Date")</t>
  </si>
  <si>
    <t>=NF($D4659,"37 Due Date")</t>
  </si>
  <si>
    <t>=NF($D4660,"37 Due Date")</t>
  </si>
  <si>
    <t>=NF($D4661,"37 Due Date")</t>
  </si>
  <si>
    <t>=NF($D4662,"37 Due Date")</t>
  </si>
  <si>
    <t>=NF($D4597,"16 Remaining Amt. (LCY)")</t>
  </si>
  <si>
    <t>=NF($D4598,"16 Remaining Amt. (LCY)")</t>
  </si>
  <si>
    <t>=NF($D4599,"16 Remaining Amt. (LCY)")</t>
  </si>
  <si>
    <t>=NF($D4600,"16 Remaining Amt. (LCY)")</t>
  </si>
  <si>
    <t>=NF($D4601,"16 Remaining Amt. (LCY)")</t>
  </si>
  <si>
    <t>=NF($D4602,"16 Remaining Amt. (LCY)")</t>
  </si>
  <si>
    <t>=NF($D4603,"16 Remaining Amt. (LCY)")</t>
  </si>
  <si>
    <t>=NF($D4604,"16 Remaining Amt. (LCY)")</t>
  </si>
  <si>
    <t>=NF($D4605,"16 Remaining Amt. (LCY)")</t>
  </si>
  <si>
    <t>=NF($D4606,"16 Remaining Amt. (LCY)")</t>
  </si>
  <si>
    <t>=NF($D4607,"16 Remaining Amt. (LCY)")</t>
  </si>
  <si>
    <t>=NF($D4608,"16 Remaining Amt. (LCY)")</t>
  </si>
  <si>
    <t>=NF($D4609,"16 Remaining Amt. (LCY)")</t>
  </si>
  <si>
    <t>=NF($D4610,"16 Remaining Amt. (LCY)")</t>
  </si>
  <si>
    <t>=NF($D4611,"16 Remaining Amt. (LCY)")</t>
  </si>
  <si>
    <t>=NF($D4612,"16 Remaining Amt. (LCY)")</t>
  </si>
  <si>
    <t>=NF($D4613,"16 Remaining Amt. (LCY)")</t>
  </si>
  <si>
    <t>=NF($D4614,"16 Remaining Amt. (LCY)")</t>
  </si>
  <si>
    <t>=NF($D4615,"16 Remaining Amt. (LCY)")</t>
  </si>
  <si>
    <t>=NF($D4616,"16 Remaining Amt. (LCY)")</t>
  </si>
  <si>
    <t>=NF($D4617,"16 Remaining Amt. (LCY)")</t>
  </si>
  <si>
    <t>=NF($D4618,"16 Remaining Amt. (LCY)")</t>
  </si>
  <si>
    <t>=NF($D4619,"16 Remaining Amt. (LCY)")</t>
  </si>
  <si>
    <t>=NF($D4620,"16 Remaining Amt. (LCY)")</t>
  </si>
  <si>
    <t>=NF($D4621,"16 Remaining Amt. (LCY)")</t>
  </si>
  <si>
    <t>=NF($D4622,"16 Remaining Amt. (LCY)")</t>
  </si>
  <si>
    <t>=NF($D4623,"16 Remaining Amt. (LCY)")</t>
  </si>
  <si>
    <t>=NF($D4624,"16 Remaining Amt. (LCY)")</t>
  </si>
  <si>
    <t>=NF($D4625,"16 Remaining Amt. (LCY)")</t>
  </si>
  <si>
    <t>=NF($D4626,"16 Remaining Amt. (LCY)")</t>
  </si>
  <si>
    <t>=NF($D4627,"16 Remaining Amt. (LCY)")</t>
  </si>
  <si>
    <t>=NF($D4628,"16 Remaining Amt. (LCY)")</t>
  </si>
  <si>
    <t>=NF($D4629,"16 Remaining Amt. (LCY)")</t>
  </si>
  <si>
    <t>=NF($D4630,"16 Remaining Amt. (LCY)")</t>
  </si>
  <si>
    <t>=NF($D4631,"16 Remaining Amt. (LCY)")</t>
  </si>
  <si>
    <t>=NF($D4632,"16 Remaining Amt. (LCY)")</t>
  </si>
  <si>
    <t>=NF($D4633,"16 Remaining Amt. (LCY)")</t>
  </si>
  <si>
    <t>=NF($D4634,"16 Remaining Amt. (LCY)")</t>
  </si>
  <si>
    <t>=NF($D4635,"16 Remaining Amt. (LCY)")</t>
  </si>
  <si>
    <t>=NF($D4636,"16 Remaining Amt. (LCY)")</t>
  </si>
  <si>
    <t>=NF($D4637,"16 Remaining Amt. (LCY)")</t>
  </si>
  <si>
    <t>=NF($D4638,"16 Remaining Amt. (LCY)")</t>
  </si>
  <si>
    <t>=NF($D4639,"16 Remaining Amt. (LCY)")</t>
  </si>
  <si>
    <t>=NF($D4640,"16 Remaining Amt. (LCY)")</t>
  </si>
  <si>
    <t>=NF($D4641,"16 Remaining Amt. (LCY)")</t>
  </si>
  <si>
    <t>=NF($D4642,"16 Remaining Amt. (LCY)")</t>
  </si>
  <si>
    <t>=NF($D4643,"16 Remaining Amt. (LCY)")</t>
  </si>
  <si>
    <t>=NF($D4644,"16 Remaining Amt. (LCY)")</t>
  </si>
  <si>
    <t>=NF($D4645,"16 Remaining Amt. (LCY)")</t>
  </si>
  <si>
    <t>=NF($D4646,"16 Remaining Amt. (LCY)")</t>
  </si>
  <si>
    <t>=NF($D4647,"16 Remaining Amt. (LCY)")</t>
  </si>
  <si>
    <t>=NF($D4648,"16 Remaining Amt. (LCY)")</t>
  </si>
  <si>
    <t>=NF($D4649,"16 Remaining Amt. (LCY)")</t>
  </si>
  <si>
    <t>=NF($D4650,"16 Remaining Amt. (LCY)")</t>
  </si>
  <si>
    <t>=NF($D4651,"16 Remaining Amt. (LCY)")</t>
  </si>
  <si>
    <t>=NF($D4652,"16 Remaining Amt. (LCY)")</t>
  </si>
  <si>
    <t>=NF($D4653,"16 Remaining Amt. (LCY)")</t>
  </si>
  <si>
    <t>=NF($D4654,"16 Remaining Amt. (LCY)")</t>
  </si>
  <si>
    <t>=NF($D4655,"16 Remaining Amt. (LCY)")</t>
  </si>
  <si>
    <t>=NF($D4656,"16 Remaining Amt. (LCY)")</t>
  </si>
  <si>
    <t>=NF($D4657,"16 Remaining Amt. (LCY)")</t>
  </si>
  <si>
    <t>=NF($D4658,"16 Remaining Amt. (LCY)")</t>
  </si>
  <si>
    <t>=NF($D4659,"16 Remaining Amt. (LCY)")</t>
  </si>
  <si>
    <t>=NF($D4660,"16 Remaining Amt. (LCY)")</t>
  </si>
  <si>
    <t>=NF($D4661,"16 Remaining Amt. (LCY)")</t>
  </si>
  <si>
    <t>=NF($D4662,"16 Remaining Amt. (LCY)")</t>
  </si>
  <si>
    <t>=NF($D4550,"5 Document Type")</t>
  </si>
  <si>
    <t>=NF($D4551,"5 Document Type")</t>
  </si>
  <si>
    <t>=NF($D4552,"5 Document Type")</t>
  </si>
  <si>
    <t>=NF($D4553,"5 Document Type")</t>
  </si>
  <si>
    <t>=NF($D4554,"5 Document Type")</t>
  </si>
  <si>
    <t>=NF($D4555,"5 Document Type")</t>
  </si>
  <si>
    <t>=NF($D4556,"5 Document Type")</t>
  </si>
  <si>
    <t>=NF($D4557,"5 Document Type")</t>
  </si>
  <si>
    <t>=NF($D4558,"5 Document Type")</t>
  </si>
  <si>
    <t>=NF($D4559,"5 Document Type")</t>
  </si>
  <si>
    <t>=NF($D4560,"5 Document Type")</t>
  </si>
  <si>
    <t>=NF($D4561,"5 Document Type")</t>
  </si>
  <si>
    <t>=NF($D4562,"5 Document Type")</t>
  </si>
  <si>
    <t>=NF($D4563,"5 Document Type")</t>
  </si>
  <si>
    <t>=NF($D4564,"5 Document Type")</t>
  </si>
  <si>
    <t>=NF($D4565,"5 Document Type")</t>
  </si>
  <si>
    <t>=NF($D4566,"5 Document Type")</t>
  </si>
  <si>
    <t>=NF($D4567,"5 Document Type")</t>
  </si>
  <si>
    <t>=NF($D4568,"5 Document Type")</t>
  </si>
  <si>
    <t>=NF($D4569,"5 Document Type")</t>
  </si>
  <si>
    <t>=NF($D4570,"5 Document Type")</t>
  </si>
  <si>
    <t>=NF($D4571,"5 Document Type")</t>
  </si>
  <si>
    <t>=NF($D4572,"5 Document Type")</t>
  </si>
  <si>
    <t>=NF($D4573,"5 Document Type")</t>
  </si>
  <si>
    <t>=NF($D4574,"5 Document Type")</t>
  </si>
  <si>
    <t>=NF($D4575,"5 Document Type")</t>
  </si>
  <si>
    <t>=NF($D4576,"5 Document Type")</t>
  </si>
  <si>
    <t>=NF($D4577,"5 Document Type")</t>
  </si>
  <si>
    <t>=NF($D4578,"5 Document Type")</t>
  </si>
  <si>
    <t>=NF($D4579,"5 Document Type")</t>
  </si>
  <si>
    <t>=NF($D4580,"5 Document Type")</t>
  </si>
  <si>
    <t>=NF($D4581,"5 Document Type")</t>
  </si>
  <si>
    <t>=NF($D4582,"5 Document Type")</t>
  </si>
  <si>
    <t>=NF($D4583,"5 Document Type")</t>
  </si>
  <si>
    <t>=NF($D4584,"5 Document Type")</t>
  </si>
  <si>
    <t>=NF($D4585,"5 Document Type")</t>
  </si>
  <si>
    <t>=NF($D4586,"5 Document Type")</t>
  </si>
  <si>
    <t>=NF($D4587,"5 Document Type")</t>
  </si>
  <si>
    <t>=NF($D4588,"5 Document Type")</t>
  </si>
  <si>
    <t>=NF($D4589,"5 Document Type")</t>
  </si>
  <si>
    <t>=NF($D4590,"5 Document Type")</t>
  </si>
  <si>
    <t>=NF($D4550,"6 Document No.")</t>
  </si>
  <si>
    <t>=NF($D4551,"6 Document No.")</t>
  </si>
  <si>
    <t>=NF($D4552,"6 Document No.")</t>
  </si>
  <si>
    <t>=NF($D4553,"6 Document No.")</t>
  </si>
  <si>
    <t>=NF($D4554,"6 Document No.")</t>
  </si>
  <si>
    <t>=NF($D4555,"6 Document No.")</t>
  </si>
  <si>
    <t>=NF($D4556,"6 Document No.")</t>
  </si>
  <si>
    <t>=NF($D4557,"6 Document No.")</t>
  </si>
  <si>
    <t>=NF($D4558,"6 Document No.")</t>
  </si>
  <si>
    <t>=NF($D4559,"6 Document No.")</t>
  </si>
  <si>
    <t>=NF($D4560,"6 Document No.")</t>
  </si>
  <si>
    <t>=NF($D4561,"6 Document No.")</t>
  </si>
  <si>
    <t>=NF($D4562,"6 Document No.")</t>
  </si>
  <si>
    <t>=NF($D4563,"6 Document No.")</t>
  </si>
  <si>
    <t>=NF($D4564,"6 Document No.")</t>
  </si>
  <si>
    <t>=NF($D4565,"6 Document No.")</t>
  </si>
  <si>
    <t>=NF($D4566,"6 Document No.")</t>
  </si>
  <si>
    <t>=NF($D4567,"6 Document No.")</t>
  </si>
  <si>
    <t>=NF($D4568,"6 Document No.")</t>
  </si>
  <si>
    <t>=NF($D4569,"6 Document No.")</t>
  </si>
  <si>
    <t>=NF($D4570,"6 Document No.")</t>
  </si>
  <si>
    <t>=NF($D4571,"6 Document No.")</t>
  </si>
  <si>
    <t>=NF($D4572,"6 Document No.")</t>
  </si>
  <si>
    <t>=NF($D4573,"6 Document No.")</t>
  </si>
  <si>
    <t>=NF($D4574,"6 Document No.")</t>
  </si>
  <si>
    <t>=NF($D4575,"6 Document No.")</t>
  </si>
  <si>
    <t>=NF($D4576,"6 Document No.")</t>
  </si>
  <si>
    <t>=NF($D4577,"6 Document No.")</t>
  </si>
  <si>
    <t>=NF($D4578,"6 Document No.")</t>
  </si>
  <si>
    <t>=NF($D4579,"6 Document No.")</t>
  </si>
  <si>
    <t>=NF($D4580,"6 Document No.")</t>
  </si>
  <si>
    <t>=NF($D4581,"6 Document No.")</t>
  </si>
  <si>
    <t>=NF($D4582,"6 Document No.")</t>
  </si>
  <si>
    <t>=NF($D4583,"6 Document No.")</t>
  </si>
  <si>
    <t>=NF($D4584,"6 Document No.")</t>
  </si>
  <si>
    <t>=NF($D4585,"6 Document No.")</t>
  </si>
  <si>
    <t>=NF($D4586,"6 Document No.")</t>
  </si>
  <si>
    <t>=NF($D4587,"6 Document No.")</t>
  </si>
  <si>
    <t>=NF($D4588,"6 Document No.")</t>
  </si>
  <si>
    <t>=NF($D4589,"6 Document No.")</t>
  </si>
  <si>
    <t>=NF($D4590,"6 Document No.")</t>
  </si>
  <si>
    <t>=NF($D4550,"37 Due Date")</t>
  </si>
  <si>
    <t>=NF($D4551,"37 Due Date")</t>
  </si>
  <si>
    <t>=NF($D4552,"37 Due Date")</t>
  </si>
  <si>
    <t>=NF($D4553,"37 Due Date")</t>
  </si>
  <si>
    <t>=NF($D4554,"37 Due Date")</t>
  </si>
  <si>
    <t>=NF($D4555,"37 Due Date")</t>
  </si>
  <si>
    <t>=NF($D4556,"37 Due Date")</t>
  </si>
  <si>
    <t>=NF($D4557,"37 Due Date")</t>
  </si>
  <si>
    <t>=NF($D4558,"37 Due Date")</t>
  </si>
  <si>
    <t>=NF($D4559,"37 Due Date")</t>
  </si>
  <si>
    <t>=NF($D4560,"37 Due Date")</t>
  </si>
  <si>
    <t>=NF($D4561,"37 Due Date")</t>
  </si>
  <si>
    <t>=NF($D4562,"37 Due Date")</t>
  </si>
  <si>
    <t>=NF($D4563,"37 Due Date")</t>
  </si>
  <si>
    <t>=NF($D4564,"37 Due Date")</t>
  </si>
  <si>
    <t>=NF($D4565,"37 Due Date")</t>
  </si>
  <si>
    <t>=NF($D4566,"37 Due Date")</t>
  </si>
  <si>
    <t>=NF($D4567,"37 Due Date")</t>
  </si>
  <si>
    <t>=NF($D4568,"37 Due Date")</t>
  </si>
  <si>
    <t>=NF($D4569,"37 Due Date")</t>
  </si>
  <si>
    <t>=NF($D4570,"37 Due Date")</t>
  </si>
  <si>
    <t>=NF($D4571,"37 Due Date")</t>
  </si>
  <si>
    <t>=NF($D4572,"37 Due Date")</t>
  </si>
  <si>
    <t>=NF($D4573,"37 Due Date")</t>
  </si>
  <si>
    <t>=NF($D4574,"37 Due Date")</t>
  </si>
  <si>
    <t>=NF($D4575,"37 Due Date")</t>
  </si>
  <si>
    <t>=NF($D4576,"37 Due Date")</t>
  </si>
  <si>
    <t>=NF($D4577,"37 Due Date")</t>
  </si>
  <si>
    <t>=NF($D4578,"37 Due Date")</t>
  </si>
  <si>
    <t>=NF($D4579,"37 Due Date")</t>
  </si>
  <si>
    <t>=NF($D4580,"37 Due Date")</t>
  </si>
  <si>
    <t>=NF($D4581,"37 Due Date")</t>
  </si>
  <si>
    <t>=NF($D4582,"37 Due Date")</t>
  </si>
  <si>
    <t>=NF($D4583,"37 Due Date")</t>
  </si>
  <si>
    <t>=NF($D4584,"37 Due Date")</t>
  </si>
  <si>
    <t>=NF($D4585,"37 Due Date")</t>
  </si>
  <si>
    <t>=NF($D4586,"37 Due Date")</t>
  </si>
  <si>
    <t>=NF($D4587,"37 Due Date")</t>
  </si>
  <si>
    <t>=NF($D4588,"37 Due Date")</t>
  </si>
  <si>
    <t>=NF($D4589,"37 Due Date")</t>
  </si>
  <si>
    <t>=NF($D4590,"37 Due Date")</t>
  </si>
  <si>
    <t>=NF($D4550,"16 Remaining Amt. (LCY)")</t>
  </si>
  <si>
    <t>=NF($D4551,"16 Remaining Amt. (LCY)")</t>
  </si>
  <si>
    <t>=NF($D4552,"16 Remaining Amt. (LCY)")</t>
  </si>
  <si>
    <t>=NF($D4553,"16 Remaining Amt. (LCY)")</t>
  </si>
  <si>
    <t>=NF($D4554,"16 Remaining Amt. (LCY)")</t>
  </si>
  <si>
    <t>=NF($D4555,"16 Remaining Amt. (LCY)")</t>
  </si>
  <si>
    <t>=NF($D4556,"16 Remaining Amt. (LCY)")</t>
  </si>
  <si>
    <t>=NF($D4557,"16 Remaining Amt. (LCY)")</t>
  </si>
  <si>
    <t>=NF($D4558,"16 Remaining Amt. (LCY)")</t>
  </si>
  <si>
    <t>=NF($D4559,"16 Remaining Amt. (LCY)")</t>
  </si>
  <si>
    <t>=NF($D4560,"16 Remaining Amt. (LCY)")</t>
  </si>
  <si>
    <t>=NF($D4561,"16 Remaining Amt. (LCY)")</t>
  </si>
  <si>
    <t>=NF($D4562,"16 Remaining Amt. (LCY)")</t>
  </si>
  <si>
    <t>=NF($D4563,"16 Remaining Amt. (LCY)")</t>
  </si>
  <si>
    <t>=NF($D4564,"16 Remaining Amt. (LCY)")</t>
  </si>
  <si>
    <t>=NF($D4565,"16 Remaining Amt. (LCY)")</t>
  </si>
  <si>
    <t>=NF($D4566,"16 Remaining Amt. (LCY)")</t>
  </si>
  <si>
    <t>=NF($D4567,"16 Remaining Amt. (LCY)")</t>
  </si>
  <si>
    <t>=NF($D4568,"16 Remaining Amt. (LCY)")</t>
  </si>
  <si>
    <t>=NF($D4569,"16 Remaining Amt. (LCY)")</t>
  </si>
  <si>
    <t>=NF($D4570,"16 Remaining Amt. (LCY)")</t>
  </si>
  <si>
    <t>=NF($D4571,"16 Remaining Amt. (LCY)")</t>
  </si>
  <si>
    <t>=NF($D4572,"16 Remaining Amt. (LCY)")</t>
  </si>
  <si>
    <t>=NF($D4573,"16 Remaining Amt. (LCY)")</t>
  </si>
  <si>
    <t>=NF($D4574,"16 Remaining Amt. (LCY)")</t>
  </si>
  <si>
    <t>=NF($D4575,"16 Remaining Amt. (LCY)")</t>
  </si>
  <si>
    <t>=NF($D4576,"16 Remaining Amt. (LCY)")</t>
  </si>
  <si>
    <t>=NF($D4577,"16 Remaining Amt. (LCY)")</t>
  </si>
  <si>
    <t>=NF($D4578,"16 Remaining Amt. (LCY)")</t>
  </si>
  <si>
    <t>=NF($D4579,"16 Remaining Amt. (LCY)")</t>
  </si>
  <si>
    <t>=NF($D4580,"16 Remaining Amt. (LCY)")</t>
  </si>
  <si>
    <t>=NF($D4581,"16 Remaining Amt. (LCY)")</t>
  </si>
  <si>
    <t>=NF($D4582,"16 Remaining Amt. (LCY)")</t>
  </si>
  <si>
    <t>=NF($D4583,"16 Remaining Amt. (LCY)")</t>
  </si>
  <si>
    <t>=NF($D4584,"16 Remaining Amt. (LCY)")</t>
  </si>
  <si>
    <t>=NF($D4585,"16 Remaining Amt. (LCY)")</t>
  </si>
  <si>
    <t>=NF($D4586,"16 Remaining Amt. (LCY)")</t>
  </si>
  <si>
    <t>=NF($D4587,"16 Remaining Amt. (LCY)")</t>
  </si>
  <si>
    <t>=NF($D4588,"16 Remaining Amt. (LCY)")</t>
  </si>
  <si>
    <t>=NF($D4589,"16 Remaining Amt. (LCY)")</t>
  </si>
  <si>
    <t>=NF($D4590,"16 Remaining Amt. (LCY)")</t>
  </si>
  <si>
    <t>=NF($D4526,"5 Document Type")</t>
  </si>
  <si>
    <t>=NF($D4527,"5 Document Type")</t>
  </si>
  <si>
    <t>=NF($D4528,"5 Document Type")</t>
  </si>
  <si>
    <t>=NF($D4529,"5 Document Type")</t>
  </si>
  <si>
    <t>=NF($D4530,"5 Document Type")</t>
  </si>
  <si>
    <t>=NF($D4531,"5 Document Type")</t>
  </si>
  <si>
    <t>=NF($D4532,"5 Document Type")</t>
  </si>
  <si>
    <t>=NF($D4533,"5 Document Type")</t>
  </si>
  <si>
    <t>=NF($D4534,"5 Document Type")</t>
  </si>
  <si>
    <t>=NF($D4535,"5 Document Type")</t>
  </si>
  <si>
    <t>=NF($D4536,"5 Document Type")</t>
  </si>
  <si>
    <t>=NF($D4537,"5 Document Type")</t>
  </si>
  <si>
    <t>=NF($D4538,"5 Document Type")</t>
  </si>
  <si>
    <t>=NF($D4539,"5 Document Type")</t>
  </si>
  <si>
    <t>=NF($D4540,"5 Document Type")</t>
  </si>
  <si>
    <t>=NF($D4541,"5 Document Type")</t>
  </si>
  <si>
    <t>=NF($D4542,"5 Document Type")</t>
  </si>
  <si>
    <t>=NF($D4543,"5 Document Type")</t>
  </si>
  <si>
    <t>=NF($D4526,"6 Document No.")</t>
  </si>
  <si>
    <t>=NF($D4527,"6 Document No.")</t>
  </si>
  <si>
    <t>=NF($D4528,"6 Document No.")</t>
  </si>
  <si>
    <t>=NF($D4529,"6 Document No.")</t>
  </si>
  <si>
    <t>=NF($D4530,"6 Document No.")</t>
  </si>
  <si>
    <t>=NF($D4531,"6 Document No.")</t>
  </si>
  <si>
    <t>=NF($D4532,"6 Document No.")</t>
  </si>
  <si>
    <t>=NF($D4533,"6 Document No.")</t>
  </si>
  <si>
    <t>=NF($D4534,"6 Document No.")</t>
  </si>
  <si>
    <t>=NF($D4535,"6 Document No.")</t>
  </si>
  <si>
    <t>=NF($D4536,"6 Document No.")</t>
  </si>
  <si>
    <t>=NF($D4537,"6 Document No.")</t>
  </si>
  <si>
    <t>=NF($D4538,"6 Document No.")</t>
  </si>
  <si>
    <t>=NF($D4539,"6 Document No.")</t>
  </si>
  <si>
    <t>=NF($D4540,"6 Document No.")</t>
  </si>
  <si>
    <t>=NF($D4541,"6 Document No.")</t>
  </si>
  <si>
    <t>=NF($D4542,"6 Document No.")</t>
  </si>
  <si>
    <t>=NF($D4543,"6 Document No.")</t>
  </si>
  <si>
    <t>=NF($D4526,"37 Due Date")</t>
  </si>
  <si>
    <t>=NF($D4527,"37 Due Date")</t>
  </si>
  <si>
    <t>=NF($D4528,"37 Due Date")</t>
  </si>
  <si>
    <t>=NF($D4529,"37 Due Date")</t>
  </si>
  <si>
    <t>=NF($D4530,"37 Due Date")</t>
  </si>
  <si>
    <t>=NF($D4531,"37 Due Date")</t>
  </si>
  <si>
    <t>=NF($D4532,"37 Due Date")</t>
  </si>
  <si>
    <t>=NF($D4533,"37 Due Date")</t>
  </si>
  <si>
    <t>=NF($D4534,"37 Due Date")</t>
  </si>
  <si>
    <t>=NF($D4535,"37 Due Date")</t>
  </si>
  <si>
    <t>=NF($D4536,"37 Due Date")</t>
  </si>
  <si>
    <t>=NF($D4537,"37 Due Date")</t>
  </si>
  <si>
    <t>=NF($D4538,"37 Due Date")</t>
  </si>
  <si>
    <t>=NF($D4539,"37 Due Date")</t>
  </si>
  <si>
    <t>=NF($D4540,"37 Due Date")</t>
  </si>
  <si>
    <t>=NF($D4541,"37 Due Date")</t>
  </si>
  <si>
    <t>=NF($D4542,"37 Due Date")</t>
  </si>
  <si>
    <t>=NF($D4543,"37 Due Date")</t>
  </si>
  <si>
    <t>=NF($D4526,"16 Remaining Amt. (LCY)")</t>
  </si>
  <si>
    <t>=NF($D4527,"16 Remaining Amt. (LCY)")</t>
  </si>
  <si>
    <t>=NF($D4528,"16 Remaining Amt. (LCY)")</t>
  </si>
  <si>
    <t>=NF($D4529,"16 Remaining Amt. (LCY)")</t>
  </si>
  <si>
    <t>=NF($D4530,"16 Remaining Amt. (LCY)")</t>
  </si>
  <si>
    <t>=NF($D4531,"16 Remaining Amt. (LCY)")</t>
  </si>
  <si>
    <t>=NF($D4532,"16 Remaining Amt. (LCY)")</t>
  </si>
  <si>
    <t>=NF($D4533,"16 Remaining Amt. (LCY)")</t>
  </si>
  <si>
    <t>=NF($D4534,"16 Remaining Amt. (LCY)")</t>
  </si>
  <si>
    <t>=NF($D4535,"16 Remaining Amt. (LCY)")</t>
  </si>
  <si>
    <t>=NF($D4536,"16 Remaining Amt. (LCY)")</t>
  </si>
  <si>
    <t>=NF($D4537,"16 Remaining Amt. (LCY)")</t>
  </si>
  <si>
    <t>=NF($D4538,"16 Remaining Amt. (LCY)")</t>
  </si>
  <si>
    <t>=NF($D4539,"16 Remaining Amt. (LCY)")</t>
  </si>
  <si>
    <t>=NF($D4540,"16 Remaining Amt. (LCY)")</t>
  </si>
  <si>
    <t>=NF($D4541,"16 Remaining Amt. (LCY)")</t>
  </si>
  <si>
    <t>=NF($D4542,"16 Remaining Amt. (LCY)")</t>
  </si>
  <si>
    <t>=NF($D4543,"16 Remaining Amt. (LCY)")</t>
  </si>
  <si>
    <t>=NF($D4477,"5 Document Type")</t>
  </si>
  <si>
    <t>=NF($D4478,"5 Document Type")</t>
  </si>
  <si>
    <t>=NF($D4479,"5 Document Type")</t>
  </si>
  <si>
    <t>=NF($D4480,"5 Document Type")</t>
  </si>
  <si>
    <t>=NF($D4481,"5 Document Type")</t>
  </si>
  <si>
    <t>=NF($D4482,"5 Document Type")</t>
  </si>
  <si>
    <t>=NF($D4483,"5 Document Type")</t>
  </si>
  <si>
    <t>=NF($D4484,"5 Document Type")</t>
  </si>
  <si>
    <t>=NF($D4485,"5 Document Type")</t>
  </si>
  <si>
    <t>=NF($D4486,"5 Document Type")</t>
  </si>
  <si>
    <t>=NF($D4487,"5 Document Type")</t>
  </si>
  <si>
    <t>=NF($D4488,"5 Document Type")</t>
  </si>
  <si>
    <t>=NF($D4489,"5 Document Type")</t>
  </si>
  <si>
    <t>=NF($D4490,"5 Document Type")</t>
  </si>
  <si>
    <t>=NF($D4491,"5 Document Type")</t>
  </si>
  <si>
    <t>=NF($D4492,"5 Document Type")</t>
  </si>
  <si>
    <t>=NF($D4493,"5 Document Type")</t>
  </si>
  <si>
    <t>=NF($D4494,"5 Document Type")</t>
  </si>
  <si>
    <t>=NF($D4495,"5 Document Type")</t>
  </si>
  <si>
    <t>=NF($D4496,"5 Document Type")</t>
  </si>
  <si>
    <t>=NF($D4497,"5 Document Type")</t>
  </si>
  <si>
    <t>=NF($D4498,"5 Document Type")</t>
  </si>
  <si>
    <t>=NF($D4499,"5 Document Type")</t>
  </si>
  <si>
    <t>=NF($D4500,"5 Document Type")</t>
  </si>
  <si>
    <t>=NF($D4501,"5 Document Type")</t>
  </si>
  <si>
    <t>=NF($D4502,"5 Document Type")</t>
  </si>
  <si>
    <t>=NF($D4503,"5 Document Type")</t>
  </si>
  <si>
    <t>=NF($D4504,"5 Document Type")</t>
  </si>
  <si>
    <t>=NF($D4505,"5 Document Type")</t>
  </si>
  <si>
    <t>=NF($D4506,"5 Document Type")</t>
  </si>
  <si>
    <t>=NF($D4507,"5 Document Type")</t>
  </si>
  <si>
    <t>=NF($D4508,"5 Document Type")</t>
  </si>
  <si>
    <t>=NF($D4509,"5 Document Type")</t>
  </si>
  <si>
    <t>=NF($D4510,"5 Document Type")</t>
  </si>
  <si>
    <t>=NF($D4511,"5 Document Type")</t>
  </si>
  <si>
    <t>=NF($D4512,"5 Document Type")</t>
  </si>
  <si>
    <t>=NF($D4513,"5 Document Type")</t>
  </si>
  <si>
    <t>=NF($D4514,"5 Document Type")</t>
  </si>
  <si>
    <t>=NF($D4515,"5 Document Type")</t>
  </si>
  <si>
    <t>=NF($D4516,"5 Document Type")</t>
  </si>
  <si>
    <t>=NF($D4517,"5 Document Type")</t>
  </si>
  <si>
    <t>=NF($D4518,"5 Document Type")</t>
  </si>
  <si>
    <t>=NF($D4519,"5 Document Type")</t>
  </si>
  <si>
    <t>=NF($D4477,"6 Document No.")</t>
  </si>
  <si>
    <t>=NF($D4478,"6 Document No.")</t>
  </si>
  <si>
    <t>=NF($D4479,"6 Document No.")</t>
  </si>
  <si>
    <t>=NF($D4480,"6 Document No.")</t>
  </si>
  <si>
    <t>=NF($D4481,"6 Document No.")</t>
  </si>
  <si>
    <t>=NF($D4482,"6 Document No.")</t>
  </si>
  <si>
    <t>=NF($D4483,"6 Document No.")</t>
  </si>
  <si>
    <t>=NF($D4484,"6 Document No.")</t>
  </si>
  <si>
    <t>=NF($D4485,"6 Document No.")</t>
  </si>
  <si>
    <t>=NF($D4486,"6 Document No.")</t>
  </si>
  <si>
    <t>=NF($D4487,"6 Document No.")</t>
  </si>
  <si>
    <t>=NF($D4488,"6 Document No.")</t>
  </si>
  <si>
    <t>=NF($D4489,"6 Document No.")</t>
  </si>
  <si>
    <t>=NF($D4490,"6 Document No.")</t>
  </si>
  <si>
    <t>=NF($D4491,"6 Document No.")</t>
  </si>
  <si>
    <t>=NF($D4492,"6 Document No.")</t>
  </si>
  <si>
    <t>=NF($D4493,"6 Document No.")</t>
  </si>
  <si>
    <t>=NF($D4494,"6 Document No.")</t>
  </si>
  <si>
    <t>=NF($D4495,"6 Document No.")</t>
  </si>
  <si>
    <t>=NF($D4496,"6 Document No.")</t>
  </si>
  <si>
    <t>=NF($D4497,"6 Document No.")</t>
  </si>
  <si>
    <t>=NF($D4498,"6 Document No.")</t>
  </si>
  <si>
    <t>=NF($D4499,"6 Document No.")</t>
  </si>
  <si>
    <t>=NF($D4500,"6 Document No.")</t>
  </si>
  <si>
    <t>=NF($D4501,"6 Document No.")</t>
  </si>
  <si>
    <t>=NF($D4502,"6 Document No.")</t>
  </si>
  <si>
    <t>=NF($D4503,"6 Document No.")</t>
  </si>
  <si>
    <t>=NF($D4504,"6 Document No.")</t>
  </si>
  <si>
    <t>=NF($D4505,"6 Document No.")</t>
  </si>
  <si>
    <t>=NF($D4506,"6 Document No.")</t>
  </si>
  <si>
    <t>=NF($D4507,"6 Document No.")</t>
  </si>
  <si>
    <t>=NF($D4508,"6 Document No.")</t>
  </si>
  <si>
    <t>=NF($D4509,"6 Document No.")</t>
  </si>
  <si>
    <t>=NF($D4510,"6 Document No.")</t>
  </si>
  <si>
    <t>=NF($D4511,"6 Document No.")</t>
  </si>
  <si>
    <t>=NF($D4512,"6 Document No.")</t>
  </si>
  <si>
    <t>=NF($D4513,"6 Document No.")</t>
  </si>
  <si>
    <t>=NF($D4514,"6 Document No.")</t>
  </si>
  <si>
    <t>=NF($D4515,"6 Document No.")</t>
  </si>
  <si>
    <t>=NF($D4516,"6 Document No.")</t>
  </si>
  <si>
    <t>=NF($D4517,"6 Document No.")</t>
  </si>
  <si>
    <t>=NF($D4518,"6 Document No.")</t>
  </si>
  <si>
    <t>=NF($D4519,"6 Document No.")</t>
  </si>
  <si>
    <t>=NF($D4477,"37 Due Date")</t>
  </si>
  <si>
    <t>=NF($D4478,"37 Due Date")</t>
  </si>
  <si>
    <t>=NF($D4479,"37 Due Date")</t>
  </si>
  <si>
    <t>=NF($D4480,"37 Due Date")</t>
  </si>
  <si>
    <t>=NF($D4481,"37 Due Date")</t>
  </si>
  <si>
    <t>=NF($D4482,"37 Due Date")</t>
  </si>
  <si>
    <t>=NF($D4483,"37 Due Date")</t>
  </si>
  <si>
    <t>=NF($D4484,"37 Due Date")</t>
  </si>
  <si>
    <t>=NF($D4485,"37 Due Date")</t>
  </si>
  <si>
    <t>=NF($D4486,"37 Due Date")</t>
  </si>
  <si>
    <t>=NF($D4487,"37 Due Date")</t>
  </si>
  <si>
    <t>=NF($D4488,"37 Due Date")</t>
  </si>
  <si>
    <t>=NF($D4489,"37 Due Date")</t>
  </si>
  <si>
    <t>=NF($D4490,"37 Due Date")</t>
  </si>
  <si>
    <t>=NF($D4491,"37 Due Date")</t>
  </si>
  <si>
    <t>=NF($D4492,"37 Due Date")</t>
  </si>
  <si>
    <t>=NF($D4493,"37 Due Date")</t>
  </si>
  <si>
    <t>=NF($D4494,"37 Due Date")</t>
  </si>
  <si>
    <t>=NF($D4495,"37 Due Date")</t>
  </si>
  <si>
    <t>=NF($D4496,"37 Due Date")</t>
  </si>
  <si>
    <t>=NF($D4497,"37 Due Date")</t>
  </si>
  <si>
    <t>=NF($D4498,"37 Due Date")</t>
  </si>
  <si>
    <t>=NF($D4499,"37 Due Date")</t>
  </si>
  <si>
    <t>=NF($D4500,"37 Due Date")</t>
  </si>
  <si>
    <t>=NF($D4501,"37 Due Date")</t>
  </si>
  <si>
    <t>=NF($D4502,"37 Due Date")</t>
  </si>
  <si>
    <t>=NF($D4503,"37 Due Date")</t>
  </si>
  <si>
    <t>=NF($D4504,"37 Due Date")</t>
  </si>
  <si>
    <t>=NF($D4505,"37 Due Date")</t>
  </si>
  <si>
    <t>=NF($D4506,"37 Due Date")</t>
  </si>
  <si>
    <t>=NF($D4507,"37 Due Date")</t>
  </si>
  <si>
    <t>=NF($D4508,"37 Due Date")</t>
  </si>
  <si>
    <t>=NF($D4509,"37 Due Date")</t>
  </si>
  <si>
    <t>=NF($D4510,"37 Due Date")</t>
  </si>
  <si>
    <t>=NF($D4511,"37 Due Date")</t>
  </si>
  <si>
    <t>=NF($D4512,"37 Due Date")</t>
  </si>
  <si>
    <t>=NF($D4513,"37 Due Date")</t>
  </si>
  <si>
    <t>=NF($D4514,"37 Due Date")</t>
  </si>
  <si>
    <t>=NF($D4515,"37 Due Date")</t>
  </si>
  <si>
    <t>=NF($D4516,"37 Due Date")</t>
  </si>
  <si>
    <t>=NF($D4517,"37 Due Date")</t>
  </si>
  <si>
    <t>=NF($D4518,"37 Due Date")</t>
  </si>
  <si>
    <t>=NF($D4519,"37 Due Date")</t>
  </si>
  <si>
    <t>=NF($D4477,"16 Remaining Amt. (LCY)")</t>
  </si>
  <si>
    <t>=NF($D4478,"16 Remaining Amt. (LCY)")</t>
  </si>
  <si>
    <t>=NF($D4479,"16 Remaining Amt. (LCY)")</t>
  </si>
  <si>
    <t>=NF($D4480,"16 Remaining Amt. (LCY)")</t>
  </si>
  <si>
    <t>=NF($D4481,"16 Remaining Amt. (LCY)")</t>
  </si>
  <si>
    <t>=NF($D4482,"16 Remaining Amt. (LCY)")</t>
  </si>
  <si>
    <t>=NF($D4483,"16 Remaining Amt. (LCY)")</t>
  </si>
  <si>
    <t>=NF($D4484,"16 Remaining Amt. (LCY)")</t>
  </si>
  <si>
    <t>=NF($D4485,"16 Remaining Amt. (LCY)")</t>
  </si>
  <si>
    <t>=NF($D4486,"16 Remaining Amt. (LCY)")</t>
  </si>
  <si>
    <t>=NF($D4487,"16 Remaining Amt. (LCY)")</t>
  </si>
  <si>
    <t>=NF($D4488,"16 Remaining Amt. (LCY)")</t>
  </si>
  <si>
    <t>=NF($D4489,"16 Remaining Amt. (LCY)")</t>
  </si>
  <si>
    <t>=NF($D4490,"16 Remaining Amt. (LCY)")</t>
  </si>
  <si>
    <t>=NF($D4491,"16 Remaining Amt. (LCY)")</t>
  </si>
  <si>
    <t>=NF($D4492,"16 Remaining Amt. (LCY)")</t>
  </si>
  <si>
    <t>=NF($D4493,"16 Remaining Amt. (LCY)")</t>
  </si>
  <si>
    <t>=NF($D4494,"16 Remaining Amt. (LCY)")</t>
  </si>
  <si>
    <t>=NF($D4495,"16 Remaining Amt. (LCY)")</t>
  </si>
  <si>
    <t>=NF($D4496,"16 Remaining Amt. (LCY)")</t>
  </si>
  <si>
    <t>=NF($D4497,"16 Remaining Amt. (LCY)")</t>
  </si>
  <si>
    <t>=NF($D4498,"16 Remaining Amt. (LCY)")</t>
  </si>
  <si>
    <t>=NF($D4499,"16 Remaining Amt. (LCY)")</t>
  </si>
  <si>
    <t>=NF($D4500,"16 Remaining Amt. (LCY)")</t>
  </si>
  <si>
    <t>=NF($D4501,"16 Remaining Amt. (LCY)")</t>
  </si>
  <si>
    <t>=NF($D4502,"16 Remaining Amt. (LCY)")</t>
  </si>
  <si>
    <t>=NF($D4503,"16 Remaining Amt. (LCY)")</t>
  </si>
  <si>
    <t>=NF($D4504,"16 Remaining Amt. (LCY)")</t>
  </si>
  <si>
    <t>=NF($D4505,"16 Remaining Amt. (LCY)")</t>
  </si>
  <si>
    <t>=NF($D4506,"16 Remaining Amt. (LCY)")</t>
  </si>
  <si>
    <t>=NF($D4507,"16 Remaining Amt. (LCY)")</t>
  </si>
  <si>
    <t>=NF($D4508,"16 Remaining Amt. (LCY)")</t>
  </si>
  <si>
    <t>=NF($D4509,"16 Remaining Amt. (LCY)")</t>
  </si>
  <si>
    <t>=NF($D4510,"16 Remaining Amt. (LCY)")</t>
  </si>
  <si>
    <t>=NF($D4511,"16 Remaining Amt. (LCY)")</t>
  </si>
  <si>
    <t>=NF($D4512,"16 Remaining Amt. (LCY)")</t>
  </si>
  <si>
    <t>=NF($D4513,"16 Remaining Amt. (LCY)")</t>
  </si>
  <si>
    <t>=NF($D4514,"16 Remaining Amt. (LCY)")</t>
  </si>
  <si>
    <t>=NF($D4515,"16 Remaining Amt. (LCY)")</t>
  </si>
  <si>
    <t>=NF($D4516,"16 Remaining Amt. (LCY)")</t>
  </si>
  <si>
    <t>=NF($D4517,"16 Remaining Amt. (LCY)")</t>
  </si>
  <si>
    <t>=NF($D4518,"16 Remaining Amt. (LCY)")</t>
  </si>
  <si>
    <t>=NF($D4519,"16 Remaining Amt. (LCY)")</t>
  </si>
  <si>
    <t>=NF($D4432,"5 Document Type")</t>
  </si>
  <si>
    <t>=NF($D4433,"5 Document Type")</t>
  </si>
  <si>
    <t>=NF($D4434,"5 Document Type")</t>
  </si>
  <si>
    <t>=NF($D4435,"5 Document Type")</t>
  </si>
  <si>
    <t>=NF($D4436,"5 Document Type")</t>
  </si>
  <si>
    <t>=NF($D4437,"5 Document Type")</t>
  </si>
  <si>
    <t>=NF($D4438,"5 Document Type")</t>
  </si>
  <si>
    <t>=NF($D4439,"5 Document Type")</t>
  </si>
  <si>
    <t>=NF($D4440,"5 Document Type")</t>
  </si>
  <si>
    <t>=NF($D4441,"5 Document Type")</t>
  </si>
  <si>
    <t>=NF($D4442,"5 Document Type")</t>
  </si>
  <si>
    <t>=NF($D4443,"5 Document Type")</t>
  </si>
  <si>
    <t>=NF($D4444,"5 Document Type")</t>
  </si>
  <si>
    <t>=NF($D4445,"5 Document Type")</t>
  </si>
  <si>
    <t>=NF($D4446,"5 Document Type")</t>
  </si>
  <si>
    <t>=NF($D4447,"5 Document Type")</t>
  </si>
  <si>
    <t>=NF($D4448,"5 Document Type")</t>
  </si>
  <si>
    <t>=NF($D4449,"5 Document Type")</t>
  </si>
  <si>
    <t>=NF($D4450,"5 Document Type")</t>
  </si>
  <si>
    <t>=NF($D4451,"5 Document Type")</t>
  </si>
  <si>
    <t>=NF($D4452,"5 Document Type")</t>
  </si>
  <si>
    <t>=NF($D4453,"5 Document Type")</t>
  </si>
  <si>
    <t>=NF($D4454,"5 Document Type")</t>
  </si>
  <si>
    <t>=NF($D4455,"5 Document Type")</t>
  </si>
  <si>
    <t>=NF($D4456,"5 Document Type")</t>
  </si>
  <si>
    <t>=NF($D4457,"5 Document Type")</t>
  </si>
  <si>
    <t>=NF($D4458,"5 Document Type")</t>
  </si>
  <si>
    <t>=NF($D4459,"5 Document Type")</t>
  </si>
  <si>
    <t>=NF($D4460,"5 Document Type")</t>
  </si>
  <si>
    <t>=NF($D4461,"5 Document Type")</t>
  </si>
  <si>
    <t>=NF($D4462,"5 Document Type")</t>
  </si>
  <si>
    <t>=NF($D4463,"5 Document Type")</t>
  </si>
  <si>
    <t>=NF($D4464,"5 Document Type")</t>
  </si>
  <si>
    <t>=NF($D4465,"5 Document Type")</t>
  </si>
  <si>
    <t>=NF($D4466,"5 Document Type")</t>
  </si>
  <si>
    <t>=NF($D4467,"5 Document Type")</t>
  </si>
  <si>
    <t>=NF($D4468,"5 Document Type")</t>
  </si>
  <si>
    <t>=NF($D4469,"5 Document Type")</t>
  </si>
  <si>
    <t>=NF($D4470,"5 Document Type")</t>
  </si>
  <si>
    <t>=NF($D4432,"6 Document No.")</t>
  </si>
  <si>
    <t>=NF($D4433,"6 Document No.")</t>
  </si>
  <si>
    <t>=NF($D4434,"6 Document No.")</t>
  </si>
  <si>
    <t>=NF($D4435,"6 Document No.")</t>
  </si>
  <si>
    <t>=NF($D4436,"6 Document No.")</t>
  </si>
  <si>
    <t>=NF($D4437,"6 Document No.")</t>
  </si>
  <si>
    <t>=NF($D4438,"6 Document No.")</t>
  </si>
  <si>
    <t>=NF($D4439,"6 Document No.")</t>
  </si>
  <si>
    <t>=NF($D4440,"6 Document No.")</t>
  </si>
  <si>
    <t>=NF($D4441,"6 Document No.")</t>
  </si>
  <si>
    <t>=NF($D4442,"6 Document No.")</t>
  </si>
  <si>
    <t>=NF($D4443,"6 Document No.")</t>
  </si>
  <si>
    <t>=NF($D4444,"6 Document No.")</t>
  </si>
  <si>
    <t>=NF($D4445,"6 Document No.")</t>
  </si>
  <si>
    <t>=NF($D4446,"6 Document No.")</t>
  </si>
  <si>
    <t>=NF($D4447,"6 Document No.")</t>
  </si>
  <si>
    <t>=NF($D4448,"6 Document No.")</t>
  </si>
  <si>
    <t>=NF($D4449,"6 Document No.")</t>
  </si>
  <si>
    <t>=NF($D4450,"6 Document No.")</t>
  </si>
  <si>
    <t>=NF($D4451,"6 Document No.")</t>
  </si>
  <si>
    <t>=NF($D4452,"6 Document No.")</t>
  </si>
  <si>
    <t>=NF($D4453,"6 Document No.")</t>
  </si>
  <si>
    <t>=NF($D4454,"6 Document No.")</t>
  </si>
  <si>
    <t>=NF($D4455,"6 Document No.")</t>
  </si>
  <si>
    <t>=NF($D4456,"6 Document No.")</t>
  </si>
  <si>
    <t>=NF($D4457,"6 Document No.")</t>
  </si>
  <si>
    <t>=NF($D4458,"6 Document No.")</t>
  </si>
  <si>
    <t>=NF($D4459,"6 Document No.")</t>
  </si>
  <si>
    <t>=NF($D4460,"6 Document No.")</t>
  </si>
  <si>
    <t>=NF($D4461,"6 Document No.")</t>
  </si>
  <si>
    <t>=NF($D4462,"6 Document No.")</t>
  </si>
  <si>
    <t>=NF($D4463,"6 Document No.")</t>
  </si>
  <si>
    <t>=NF($D4464,"6 Document No.")</t>
  </si>
  <si>
    <t>=NF($D4465,"6 Document No.")</t>
  </si>
  <si>
    <t>=NF($D4466,"6 Document No.")</t>
  </si>
  <si>
    <t>=NF($D4467,"6 Document No.")</t>
  </si>
  <si>
    <t>=NF($D4468,"6 Document No.")</t>
  </si>
  <si>
    <t>=NF($D4469,"6 Document No.")</t>
  </si>
  <si>
    <t>=NF($D4470,"6 Document No.")</t>
  </si>
  <si>
    <t>=NF($D4432,"37 Due Date")</t>
  </si>
  <si>
    <t>=NF($D4433,"37 Due Date")</t>
  </si>
  <si>
    <t>=NF($D4434,"37 Due Date")</t>
  </si>
  <si>
    <t>=NF($D4435,"37 Due Date")</t>
  </si>
  <si>
    <t>=NF($D4436,"37 Due Date")</t>
  </si>
  <si>
    <t>=NF($D4437,"37 Due Date")</t>
  </si>
  <si>
    <t>=NF($D4438,"37 Due Date")</t>
  </si>
  <si>
    <t>=NF($D4439,"37 Due Date")</t>
  </si>
  <si>
    <t>=NF($D4440,"37 Due Date")</t>
  </si>
  <si>
    <t>=NF($D4441,"37 Due Date")</t>
  </si>
  <si>
    <t>=NF($D4442,"37 Due Date")</t>
  </si>
  <si>
    <t>=NF($D4443,"37 Due Date")</t>
  </si>
  <si>
    <t>=NF($D4444,"37 Due Date")</t>
  </si>
  <si>
    <t>=NF($D4445,"37 Due Date")</t>
  </si>
  <si>
    <t>=NF($D4446,"37 Due Date")</t>
  </si>
  <si>
    <t>=NF($D4447,"37 Due Date")</t>
  </si>
  <si>
    <t>=NF($D4448,"37 Due Date")</t>
  </si>
  <si>
    <t>=NF($D4449,"37 Due Date")</t>
  </si>
  <si>
    <t>=NF($D4450,"37 Due Date")</t>
  </si>
  <si>
    <t>=NF($D4451,"37 Due Date")</t>
  </si>
  <si>
    <t>=NF($D4452,"37 Due Date")</t>
  </si>
  <si>
    <t>=NF($D4453,"37 Due Date")</t>
  </si>
  <si>
    <t>=NF($D4454,"37 Due Date")</t>
  </si>
  <si>
    <t>=NF($D4455,"37 Due Date")</t>
  </si>
  <si>
    <t>=NF($D4456,"37 Due Date")</t>
  </si>
  <si>
    <t>=NF($D4457,"37 Due Date")</t>
  </si>
  <si>
    <t>=NF($D4458,"37 Due Date")</t>
  </si>
  <si>
    <t>=NF($D4459,"37 Due Date")</t>
  </si>
  <si>
    <t>=NF($D4460,"37 Due Date")</t>
  </si>
  <si>
    <t>=NF($D4461,"37 Due Date")</t>
  </si>
  <si>
    <t>=NF($D4462,"37 Due Date")</t>
  </si>
  <si>
    <t>=NF($D4463,"37 Due Date")</t>
  </si>
  <si>
    <t>=NF($D4464,"37 Due Date")</t>
  </si>
  <si>
    <t>=NF($D4465,"37 Due Date")</t>
  </si>
  <si>
    <t>=NF($D4466,"37 Due Date")</t>
  </si>
  <si>
    <t>=NF($D4467,"37 Due Date")</t>
  </si>
  <si>
    <t>=NF($D4468,"37 Due Date")</t>
  </si>
  <si>
    <t>=NF($D4469,"37 Due Date")</t>
  </si>
  <si>
    <t>=NF($D4470,"37 Due Date")</t>
  </si>
  <si>
    <t>=NF($D4432,"16 Remaining Amt. (LCY)")</t>
  </si>
  <si>
    <t>=NF($D4433,"16 Remaining Amt. (LCY)")</t>
  </si>
  <si>
    <t>=NF($D4434,"16 Remaining Amt. (LCY)")</t>
  </si>
  <si>
    <t>=NF($D4435,"16 Remaining Amt. (LCY)")</t>
  </si>
  <si>
    <t>=NF($D4436,"16 Remaining Amt. (LCY)")</t>
  </si>
  <si>
    <t>=NF($D4437,"16 Remaining Amt. (LCY)")</t>
  </si>
  <si>
    <t>=NF($D4438,"16 Remaining Amt. (LCY)")</t>
  </si>
  <si>
    <t>=NF($D4439,"16 Remaining Amt. (LCY)")</t>
  </si>
  <si>
    <t>=NF($D4440,"16 Remaining Amt. (LCY)")</t>
  </si>
  <si>
    <t>=NF($D4441,"16 Remaining Amt. (LCY)")</t>
  </si>
  <si>
    <t>=NF($D4442,"16 Remaining Amt. (LCY)")</t>
  </si>
  <si>
    <t>=NF($D4443,"16 Remaining Amt. (LCY)")</t>
  </si>
  <si>
    <t>=NF($D4444,"16 Remaining Amt. (LCY)")</t>
  </si>
  <si>
    <t>=NF($D4445,"16 Remaining Amt. (LCY)")</t>
  </si>
  <si>
    <t>=NF($D4446,"16 Remaining Amt. (LCY)")</t>
  </si>
  <si>
    <t>=NF($D4447,"16 Remaining Amt. (LCY)")</t>
  </si>
  <si>
    <t>=NF($D4448,"16 Remaining Amt. (LCY)")</t>
  </si>
  <si>
    <t>=NF($D4449,"16 Remaining Amt. (LCY)")</t>
  </si>
  <si>
    <t>=NF($D4450,"16 Remaining Amt. (LCY)")</t>
  </si>
  <si>
    <t>=NF($D4451,"16 Remaining Amt. (LCY)")</t>
  </si>
  <si>
    <t>=NF($D4452,"16 Remaining Amt. (LCY)")</t>
  </si>
  <si>
    <t>=NF($D4453,"16 Remaining Amt. (LCY)")</t>
  </si>
  <si>
    <t>=NF($D4454,"16 Remaining Amt. (LCY)")</t>
  </si>
  <si>
    <t>=NF($D4455,"16 Remaining Amt. (LCY)")</t>
  </si>
  <si>
    <t>=NF($D4456,"16 Remaining Amt. (LCY)")</t>
  </si>
  <si>
    <t>=NF($D4457,"16 Remaining Amt. (LCY)")</t>
  </si>
  <si>
    <t>=NF($D4458,"16 Remaining Amt. (LCY)")</t>
  </si>
  <si>
    <t>=NF($D4459,"16 Remaining Amt. (LCY)")</t>
  </si>
  <si>
    <t>=NF($D4460,"16 Remaining Amt. (LCY)")</t>
  </si>
  <si>
    <t>=NF($D4461,"16 Remaining Amt. (LCY)")</t>
  </si>
  <si>
    <t>=NF($D4462,"16 Remaining Amt. (LCY)")</t>
  </si>
  <si>
    <t>=NF($D4463,"16 Remaining Amt. (LCY)")</t>
  </si>
  <si>
    <t>=NF($D4464,"16 Remaining Amt. (LCY)")</t>
  </si>
  <si>
    <t>=NF($D4465,"16 Remaining Amt. (LCY)")</t>
  </si>
  <si>
    <t>=NF($D4466,"16 Remaining Amt. (LCY)")</t>
  </si>
  <si>
    <t>=NF($D4467,"16 Remaining Amt. (LCY)")</t>
  </si>
  <si>
    <t>=NF($D4468,"16 Remaining Amt. (LCY)")</t>
  </si>
  <si>
    <t>=NF($D4469,"16 Remaining Amt. (LCY)")</t>
  </si>
  <si>
    <t>=NF($D4470,"16 Remaining Amt. (LCY)")</t>
  </si>
  <si>
    <t>=NF($D4408,"5 Document Type")</t>
  </si>
  <si>
    <t>=NF($D4409,"5 Document Type")</t>
  </si>
  <si>
    <t>=NF($D4410,"5 Document Type")</t>
  </si>
  <si>
    <t>=NF($D4411,"5 Document Type")</t>
  </si>
  <si>
    <t>=NF($D4412,"5 Document Type")</t>
  </si>
  <si>
    <t>=NF($D4413,"5 Document Type")</t>
  </si>
  <si>
    <t>=NF($D4414,"5 Document Type")</t>
  </si>
  <si>
    <t>=NF($D4415,"5 Document Type")</t>
  </si>
  <si>
    <t>=NF($D4416,"5 Document Type")</t>
  </si>
  <si>
    <t>=NF($D4417,"5 Document Type")</t>
  </si>
  <si>
    <t>=NF($D4418,"5 Document Type")</t>
  </si>
  <si>
    <t>=NF($D4419,"5 Document Type")</t>
  </si>
  <si>
    <t>=NF($D4420,"5 Document Type")</t>
  </si>
  <si>
    <t>=NF($D4421,"5 Document Type")</t>
  </si>
  <si>
    <t>=NF($D4422,"5 Document Type")</t>
  </si>
  <si>
    <t>=NF($D4423,"5 Document Type")</t>
  </si>
  <si>
    <t>=NF($D4424,"5 Document Type")</t>
  </si>
  <si>
    <t>=NF($D4425,"5 Document Type")</t>
  </si>
  <si>
    <t>=NF($D4408,"6 Document No.")</t>
  </si>
  <si>
    <t>=NF($D4409,"6 Document No.")</t>
  </si>
  <si>
    <t>=NF($D4410,"6 Document No.")</t>
  </si>
  <si>
    <t>=NF($D4411,"6 Document No.")</t>
  </si>
  <si>
    <t>=NF($D4412,"6 Document No.")</t>
  </si>
  <si>
    <t>=NF($D4413,"6 Document No.")</t>
  </si>
  <si>
    <t>=NF($D4414,"6 Document No.")</t>
  </si>
  <si>
    <t>=NF($D4415,"6 Document No.")</t>
  </si>
  <si>
    <t>=NF($D4416,"6 Document No.")</t>
  </si>
  <si>
    <t>=NF($D4417,"6 Document No.")</t>
  </si>
  <si>
    <t>=NF($D4418,"6 Document No.")</t>
  </si>
  <si>
    <t>=NF($D4419,"6 Document No.")</t>
  </si>
  <si>
    <t>=NF($D4420,"6 Document No.")</t>
  </si>
  <si>
    <t>=NF($D4421,"6 Document No.")</t>
  </si>
  <si>
    <t>=NF($D4422,"6 Document No.")</t>
  </si>
  <si>
    <t>=NF($D4423,"6 Document No.")</t>
  </si>
  <si>
    <t>=NF($D4424,"6 Document No.")</t>
  </si>
  <si>
    <t>=NF($D4425,"6 Document No.")</t>
  </si>
  <si>
    <t>=NF($D4408,"37 Due Date")</t>
  </si>
  <si>
    <t>=NF($D4409,"37 Due Date")</t>
  </si>
  <si>
    <t>=NF($D4410,"37 Due Date")</t>
  </si>
  <si>
    <t>=NF($D4411,"37 Due Date")</t>
  </si>
  <si>
    <t>=NF($D4412,"37 Due Date")</t>
  </si>
  <si>
    <t>=NF($D4413,"37 Due Date")</t>
  </si>
  <si>
    <t>=NF($D4414,"37 Due Date")</t>
  </si>
  <si>
    <t>=NF($D4415,"37 Due Date")</t>
  </si>
  <si>
    <t>=NF($D4416,"37 Due Date")</t>
  </si>
  <si>
    <t>=NF($D4417,"37 Due Date")</t>
  </si>
  <si>
    <t>=NF($D4418,"37 Due Date")</t>
  </si>
  <si>
    <t>=NF($D4419,"37 Due Date")</t>
  </si>
  <si>
    <t>=NF($D4420,"37 Due Date")</t>
  </si>
  <si>
    <t>=NF($D4421,"37 Due Date")</t>
  </si>
  <si>
    <t>=NF($D4422,"37 Due Date")</t>
  </si>
  <si>
    <t>=NF($D4423,"37 Due Date")</t>
  </si>
  <si>
    <t>=NF($D4424,"37 Due Date")</t>
  </si>
  <si>
    <t>=NF($D4425,"37 Due Date")</t>
  </si>
  <si>
    <t>=NF($D4408,"16 Remaining Amt. (LCY)")</t>
  </si>
  <si>
    <t>=NF($D4409,"16 Remaining Amt. (LCY)")</t>
  </si>
  <si>
    <t>=NF($D4410,"16 Remaining Amt. (LCY)")</t>
  </si>
  <si>
    <t>=NF($D4411,"16 Remaining Amt. (LCY)")</t>
  </si>
  <si>
    <t>=NF($D4412,"16 Remaining Amt. (LCY)")</t>
  </si>
  <si>
    <t>=NF($D4413,"16 Remaining Amt. (LCY)")</t>
  </si>
  <si>
    <t>=NF($D4414,"16 Remaining Amt. (LCY)")</t>
  </si>
  <si>
    <t>=NF($D4415,"16 Remaining Amt. (LCY)")</t>
  </si>
  <si>
    <t>=NF($D4416,"16 Remaining Amt. (LCY)")</t>
  </si>
  <si>
    <t>=NF($D4417,"16 Remaining Amt. (LCY)")</t>
  </si>
  <si>
    <t>=NF($D4418,"16 Remaining Amt. (LCY)")</t>
  </si>
  <si>
    <t>=NF($D4419,"16 Remaining Amt. (LCY)")</t>
  </si>
  <si>
    <t>=NF($D4420,"16 Remaining Amt. (LCY)")</t>
  </si>
  <si>
    <t>=NF($D4421,"16 Remaining Amt. (LCY)")</t>
  </si>
  <si>
    <t>=NF($D4422,"16 Remaining Amt. (LCY)")</t>
  </si>
  <si>
    <t>=NF($D4423,"16 Remaining Amt. (LCY)")</t>
  </si>
  <si>
    <t>=NF($D4424,"16 Remaining Amt. (LCY)")</t>
  </si>
  <si>
    <t>=NF($D4425,"16 Remaining Amt. (LCY)")</t>
  </si>
  <si>
    <t>=NF($D4388,"5 Document Type")</t>
  </si>
  <si>
    <t>=NF($D4389,"5 Document Type")</t>
  </si>
  <si>
    <t>=NF($D4390,"5 Document Type")</t>
  </si>
  <si>
    <t>=NF($D4391,"5 Document Type")</t>
  </si>
  <si>
    <t>=NF($D4392,"5 Document Type")</t>
  </si>
  <si>
    <t>=NF($D4393,"5 Document Type")</t>
  </si>
  <si>
    <t>=NF($D4394,"5 Document Type")</t>
  </si>
  <si>
    <t>=NF($D4395,"5 Document Type")</t>
  </si>
  <si>
    <t>=NF($D4396,"5 Document Type")</t>
  </si>
  <si>
    <t>=NF($D4397,"5 Document Type")</t>
  </si>
  <si>
    <t>=NF($D4398,"5 Document Type")</t>
  </si>
  <si>
    <t>=NF($D4399,"5 Document Type")</t>
  </si>
  <si>
    <t>=NF($D4400,"5 Document Type")</t>
  </si>
  <si>
    <t>=NF($D4401,"5 Document Type")</t>
  </si>
  <si>
    <t>=NF($D4388,"6 Document No.")</t>
  </si>
  <si>
    <t>=NF($D4389,"6 Document No.")</t>
  </si>
  <si>
    <t>=NF($D4390,"6 Document No.")</t>
  </si>
  <si>
    <t>=NF($D4391,"6 Document No.")</t>
  </si>
  <si>
    <t>=NF($D4392,"6 Document No.")</t>
  </si>
  <si>
    <t>=NF($D4393,"6 Document No.")</t>
  </si>
  <si>
    <t>=NF($D4394,"6 Document No.")</t>
  </si>
  <si>
    <t>=NF($D4395,"6 Document No.")</t>
  </si>
  <si>
    <t>=NF($D4396,"6 Document No.")</t>
  </si>
  <si>
    <t>=NF($D4397,"6 Document No.")</t>
  </si>
  <si>
    <t>=NF($D4398,"6 Document No.")</t>
  </si>
  <si>
    <t>=NF($D4399,"6 Document No.")</t>
  </si>
  <si>
    <t>=NF($D4400,"6 Document No.")</t>
  </si>
  <si>
    <t>=NF($D4401,"6 Document No.")</t>
  </si>
  <si>
    <t>=NF($D4388,"37 Due Date")</t>
  </si>
  <si>
    <t>=NF($D4389,"37 Due Date")</t>
  </si>
  <si>
    <t>=NF($D4390,"37 Due Date")</t>
  </si>
  <si>
    <t>=NF($D4391,"37 Due Date")</t>
  </si>
  <si>
    <t>=NF($D4392,"37 Due Date")</t>
  </si>
  <si>
    <t>=NF($D4393,"37 Due Date")</t>
  </si>
  <si>
    <t>=NF($D4394,"37 Due Date")</t>
  </si>
  <si>
    <t>=NF($D4395,"37 Due Date")</t>
  </si>
  <si>
    <t>=NF($D4396,"37 Due Date")</t>
  </si>
  <si>
    <t>=NF($D4397,"37 Due Date")</t>
  </si>
  <si>
    <t>=NF($D4398,"37 Due Date")</t>
  </si>
  <si>
    <t>=NF($D4399,"37 Due Date")</t>
  </si>
  <si>
    <t>=NF($D4400,"37 Due Date")</t>
  </si>
  <si>
    <t>=NF($D4401,"37 Due Date")</t>
  </si>
  <si>
    <t>=NF($D4388,"16 Remaining Amt. (LCY)")</t>
  </si>
  <si>
    <t>=NF($D4389,"16 Remaining Amt. (LCY)")</t>
  </si>
  <si>
    <t>=NF($D4390,"16 Remaining Amt. (LCY)")</t>
  </si>
  <si>
    <t>=NF($D4391,"16 Remaining Amt. (LCY)")</t>
  </si>
  <si>
    <t>=NF($D4392,"16 Remaining Amt. (LCY)")</t>
  </si>
  <si>
    <t>=NF($D4393,"16 Remaining Amt. (LCY)")</t>
  </si>
  <si>
    <t>=NF($D4394,"16 Remaining Amt. (LCY)")</t>
  </si>
  <si>
    <t>=NF($D4395,"16 Remaining Amt. (LCY)")</t>
  </si>
  <si>
    <t>=NF($D4396,"16 Remaining Amt. (LCY)")</t>
  </si>
  <si>
    <t>=NF($D4397,"16 Remaining Amt. (LCY)")</t>
  </si>
  <si>
    <t>=NF($D4398,"16 Remaining Amt. (LCY)")</t>
  </si>
  <si>
    <t>=NF($D4399,"16 Remaining Amt. (LCY)")</t>
  </si>
  <si>
    <t>=NF($D4400,"16 Remaining Amt. (LCY)")</t>
  </si>
  <si>
    <t>=NF($D4401,"16 Remaining Amt. (LCY)")</t>
  </si>
  <si>
    <t>=NF($D4357,"5 Document Type")</t>
  </si>
  <si>
    <t>=NF($D4358,"5 Document Type")</t>
  </si>
  <si>
    <t>=NF($D4359,"5 Document Type")</t>
  </si>
  <si>
    <t>=NF($D4360,"5 Document Type")</t>
  </si>
  <si>
    <t>=NF($D4361,"5 Document Type")</t>
  </si>
  <si>
    <t>=NF($D4362,"5 Document Type")</t>
  </si>
  <si>
    <t>=NF($D4363,"5 Document Type")</t>
  </si>
  <si>
    <t>=NF($D4364,"5 Document Type")</t>
  </si>
  <si>
    <t>=NF($D4365,"5 Document Type")</t>
  </si>
  <si>
    <t>=NF($D4366,"5 Document Type")</t>
  </si>
  <si>
    <t>=NF($D4367,"5 Document Type")</t>
  </si>
  <si>
    <t>=NF($D4368,"5 Document Type")</t>
  </si>
  <si>
    <t>=NF($D4369,"5 Document Type")</t>
  </si>
  <si>
    <t>=NF($D4370,"5 Document Type")</t>
  </si>
  <si>
    <t>=NF($D4371,"5 Document Type")</t>
  </si>
  <si>
    <t>=NF($D4372,"5 Document Type")</t>
  </si>
  <si>
    <t>=NF($D4373,"5 Document Type")</t>
  </si>
  <si>
    <t>=NF($D4374,"5 Document Type")</t>
  </si>
  <si>
    <t>=NF($D4375,"5 Document Type")</t>
  </si>
  <si>
    <t>=NF($D4376,"5 Document Type")</t>
  </si>
  <si>
    <t>=NF($D4377,"5 Document Type")</t>
  </si>
  <si>
    <t>=NF($D4378,"5 Document Type")</t>
  </si>
  <si>
    <t>=NF($D4379,"5 Document Type")</t>
  </si>
  <si>
    <t>=NF($D4380,"5 Document Type")</t>
  </si>
  <si>
    <t>=NF($D4381,"5 Document Type")</t>
  </si>
  <si>
    <t>=NF($D4357,"6 Document No.")</t>
  </si>
  <si>
    <t>=NF($D4358,"6 Document No.")</t>
  </si>
  <si>
    <t>=NF($D4359,"6 Document No.")</t>
  </si>
  <si>
    <t>=NF($D4360,"6 Document No.")</t>
  </si>
  <si>
    <t>=NF($D4361,"6 Document No.")</t>
  </si>
  <si>
    <t>=NF($D4362,"6 Document No.")</t>
  </si>
  <si>
    <t>=NF($D4363,"6 Document No.")</t>
  </si>
  <si>
    <t>=NF($D4364,"6 Document No.")</t>
  </si>
  <si>
    <t>=NF($D4365,"6 Document No.")</t>
  </si>
  <si>
    <t>=NF($D4366,"6 Document No.")</t>
  </si>
  <si>
    <t>=NF($D4367,"6 Document No.")</t>
  </si>
  <si>
    <t>=NF($D4368,"6 Document No.")</t>
  </si>
  <si>
    <t>=NF($D4369,"6 Document No.")</t>
  </si>
  <si>
    <t>=NF($D4370,"6 Document No.")</t>
  </si>
  <si>
    <t>=NF($D4371,"6 Document No.")</t>
  </si>
  <si>
    <t>=NF($D4372,"6 Document No.")</t>
  </si>
  <si>
    <t>=NF($D4373,"6 Document No.")</t>
  </si>
  <si>
    <t>=NF($D4374,"6 Document No.")</t>
  </si>
  <si>
    <t>=NF($D4375,"6 Document No.")</t>
  </si>
  <si>
    <t>=NF($D4376,"6 Document No.")</t>
  </si>
  <si>
    <t>=NF($D4377,"6 Document No.")</t>
  </si>
  <si>
    <t>=NF($D4378,"6 Document No.")</t>
  </si>
  <si>
    <t>=NF($D4379,"6 Document No.")</t>
  </si>
  <si>
    <t>=NF($D4380,"6 Document No.")</t>
  </si>
  <si>
    <t>=NF($D4381,"6 Document No.")</t>
  </si>
  <si>
    <t>=NF($D4357,"37 Due Date")</t>
  </si>
  <si>
    <t>=NF($D4358,"37 Due Date")</t>
  </si>
  <si>
    <t>=NF($D4359,"37 Due Date")</t>
  </si>
  <si>
    <t>=NF($D4360,"37 Due Date")</t>
  </si>
  <si>
    <t>=NF($D4361,"37 Due Date")</t>
  </si>
  <si>
    <t>=NF($D4362,"37 Due Date")</t>
  </si>
  <si>
    <t>=NF($D4363,"37 Due Date")</t>
  </si>
  <si>
    <t>=NF($D4364,"37 Due Date")</t>
  </si>
  <si>
    <t>=NF($D4365,"37 Due Date")</t>
  </si>
  <si>
    <t>=NF($D4366,"37 Due Date")</t>
  </si>
  <si>
    <t>=NF($D4367,"37 Due Date")</t>
  </si>
  <si>
    <t>=NF($D4368,"37 Due Date")</t>
  </si>
  <si>
    <t>=NF($D4369,"37 Due Date")</t>
  </si>
  <si>
    <t>=NF($D4370,"37 Due Date")</t>
  </si>
  <si>
    <t>=NF($D4371,"37 Due Date")</t>
  </si>
  <si>
    <t>=NF($D4372,"37 Due Date")</t>
  </si>
  <si>
    <t>=NF($D4373,"37 Due Date")</t>
  </si>
  <si>
    <t>=NF($D4374,"37 Due Date")</t>
  </si>
  <si>
    <t>=NF($D4375,"37 Due Date")</t>
  </si>
  <si>
    <t>=NF($D4376,"37 Due Date")</t>
  </si>
  <si>
    <t>=NF($D4377,"37 Due Date")</t>
  </si>
  <si>
    <t>=NF($D4378,"37 Due Date")</t>
  </si>
  <si>
    <t>=NF($D4379,"37 Due Date")</t>
  </si>
  <si>
    <t>=NF($D4380,"37 Due Date")</t>
  </si>
  <si>
    <t>=NF($D4381,"37 Due Date")</t>
  </si>
  <si>
    <t>=NF($D4357,"16 Remaining Amt. (LCY)")</t>
  </si>
  <si>
    <t>=NF($D4358,"16 Remaining Amt. (LCY)")</t>
  </si>
  <si>
    <t>=NF($D4359,"16 Remaining Amt. (LCY)")</t>
  </si>
  <si>
    <t>=NF($D4360,"16 Remaining Amt. (LCY)")</t>
  </si>
  <si>
    <t>=NF($D4361,"16 Remaining Amt. (LCY)")</t>
  </si>
  <si>
    <t>=NF($D4362,"16 Remaining Amt. (LCY)")</t>
  </si>
  <si>
    <t>=NF($D4363,"16 Remaining Amt. (LCY)")</t>
  </si>
  <si>
    <t>=NF($D4364,"16 Remaining Amt. (LCY)")</t>
  </si>
  <si>
    <t>=NF($D4365,"16 Remaining Amt. (LCY)")</t>
  </si>
  <si>
    <t>=NF($D4366,"16 Remaining Amt. (LCY)")</t>
  </si>
  <si>
    <t>=NF($D4367,"16 Remaining Amt. (LCY)")</t>
  </si>
  <si>
    <t>=NF($D4368,"16 Remaining Amt. (LCY)")</t>
  </si>
  <si>
    <t>=NF($D4369,"16 Remaining Amt. (LCY)")</t>
  </si>
  <si>
    <t>=NF($D4370,"16 Remaining Amt. (LCY)")</t>
  </si>
  <si>
    <t>=NF($D4371,"16 Remaining Amt. (LCY)")</t>
  </si>
  <si>
    <t>=NF($D4372,"16 Remaining Amt. (LCY)")</t>
  </si>
  <si>
    <t>=NF($D4373,"16 Remaining Amt. (LCY)")</t>
  </si>
  <si>
    <t>=NF($D4374,"16 Remaining Amt. (LCY)")</t>
  </si>
  <si>
    <t>=NF($D4375,"16 Remaining Amt. (LCY)")</t>
  </si>
  <si>
    <t>=NF($D4376,"16 Remaining Amt. (LCY)")</t>
  </si>
  <si>
    <t>=NF($D4377,"16 Remaining Amt. (LCY)")</t>
  </si>
  <si>
    <t>=NF($D4378,"16 Remaining Amt. (LCY)")</t>
  </si>
  <si>
    <t>=NF($D4379,"16 Remaining Amt. (LCY)")</t>
  </si>
  <si>
    <t>=NF($D4380,"16 Remaining Amt. (LCY)")</t>
  </si>
  <si>
    <t>=NF($D4381,"16 Remaining Amt. (LCY)")</t>
  </si>
  <si>
    <t>=NF($D4336,"5 Document Type")</t>
  </si>
  <si>
    <t>=NF($D4337,"5 Document Type")</t>
  </si>
  <si>
    <t>=NF($D4338,"5 Document Type")</t>
  </si>
  <si>
    <t>=NF($D4339,"5 Document Type")</t>
  </si>
  <si>
    <t>=NF($D4340,"5 Document Type")</t>
  </si>
  <si>
    <t>=NF($D4341,"5 Document Type")</t>
  </si>
  <si>
    <t>=NF($D4342,"5 Document Type")</t>
  </si>
  <si>
    <t>=NF($D4343,"5 Document Type")</t>
  </si>
  <si>
    <t>=NF($D4344,"5 Document Type")</t>
  </si>
  <si>
    <t>=NF($D4345,"5 Document Type")</t>
  </si>
  <si>
    <t>=NF($D4346,"5 Document Type")</t>
  </si>
  <si>
    <t>=NF($D4347,"5 Document Type")</t>
  </si>
  <si>
    <t>=NF($D4348,"5 Document Type")</t>
  </si>
  <si>
    <t>=NF($D4349,"5 Document Type")</t>
  </si>
  <si>
    <t>=NF($D4350,"5 Document Type")</t>
  </si>
  <si>
    <t>=NF($D4336,"6 Document No.")</t>
  </si>
  <si>
    <t>=NF($D4337,"6 Document No.")</t>
  </si>
  <si>
    <t>=NF($D4338,"6 Document No.")</t>
  </si>
  <si>
    <t>=NF($D4339,"6 Document No.")</t>
  </si>
  <si>
    <t>=NF($D4340,"6 Document No.")</t>
  </si>
  <si>
    <t>=NF($D4341,"6 Document No.")</t>
  </si>
  <si>
    <t>=NF($D4342,"6 Document No.")</t>
  </si>
  <si>
    <t>=NF($D4343,"6 Document No.")</t>
  </si>
  <si>
    <t>=NF($D4344,"6 Document No.")</t>
  </si>
  <si>
    <t>=NF($D4345,"6 Document No.")</t>
  </si>
  <si>
    <t>=NF($D4346,"6 Document No.")</t>
  </si>
  <si>
    <t>=NF($D4347,"6 Document No.")</t>
  </si>
  <si>
    <t>=NF($D4348,"6 Document No.")</t>
  </si>
  <si>
    <t>=NF($D4349,"6 Document No.")</t>
  </si>
  <si>
    <t>=NF($D4350,"6 Document No.")</t>
  </si>
  <si>
    <t>=NF($D4336,"37 Due Date")</t>
  </si>
  <si>
    <t>=NF($D4337,"37 Due Date")</t>
  </si>
  <si>
    <t>=NF($D4338,"37 Due Date")</t>
  </si>
  <si>
    <t>=NF($D4339,"37 Due Date")</t>
  </si>
  <si>
    <t>=NF($D4340,"37 Due Date")</t>
  </si>
  <si>
    <t>=NF($D4341,"37 Due Date")</t>
  </si>
  <si>
    <t>=NF($D4342,"37 Due Date")</t>
  </si>
  <si>
    <t>=NF($D4343,"37 Due Date")</t>
  </si>
  <si>
    <t>=NF($D4344,"37 Due Date")</t>
  </si>
  <si>
    <t>=NF($D4345,"37 Due Date")</t>
  </si>
  <si>
    <t>=NF($D4346,"37 Due Date")</t>
  </si>
  <si>
    <t>=NF($D4347,"37 Due Date")</t>
  </si>
  <si>
    <t>=NF($D4348,"37 Due Date")</t>
  </si>
  <si>
    <t>=NF($D4349,"37 Due Date")</t>
  </si>
  <si>
    <t>=NF($D4350,"37 Due Date")</t>
  </si>
  <si>
    <t>=NF($D4336,"16 Remaining Amt. (LCY)")</t>
  </si>
  <si>
    <t>=NF($D4337,"16 Remaining Amt. (LCY)")</t>
  </si>
  <si>
    <t>=NF($D4338,"16 Remaining Amt. (LCY)")</t>
  </si>
  <si>
    <t>=NF($D4339,"16 Remaining Amt. (LCY)")</t>
  </si>
  <si>
    <t>=NF($D4340,"16 Remaining Amt. (LCY)")</t>
  </si>
  <si>
    <t>=NF($D4341,"16 Remaining Amt. (LCY)")</t>
  </si>
  <si>
    <t>=NF($D4342,"16 Remaining Amt. (LCY)")</t>
  </si>
  <si>
    <t>=NF($D4343,"16 Remaining Amt. (LCY)")</t>
  </si>
  <si>
    <t>=NF($D4344,"16 Remaining Amt. (LCY)")</t>
  </si>
  <si>
    <t>=NF($D4345,"16 Remaining Amt. (LCY)")</t>
  </si>
  <si>
    <t>=NF($D4346,"16 Remaining Amt. (LCY)")</t>
  </si>
  <si>
    <t>=NF($D4347,"16 Remaining Amt. (LCY)")</t>
  </si>
  <si>
    <t>=NF($D4348,"16 Remaining Amt. (LCY)")</t>
  </si>
  <si>
    <t>=NF($D4349,"16 Remaining Amt. (LCY)")</t>
  </si>
  <si>
    <t>=NF($D4350,"16 Remaining Amt. (LCY)")</t>
  </si>
  <si>
    <t>=NF($D4270,"5 Document Type")</t>
  </si>
  <si>
    <t>=NF($D4271,"5 Document Type")</t>
  </si>
  <si>
    <t>=NF($D4272,"5 Document Type")</t>
  </si>
  <si>
    <t>=NF($D4273,"5 Document Type")</t>
  </si>
  <si>
    <t>=NF($D4274,"5 Document Type")</t>
  </si>
  <si>
    <t>=NF($D4275,"5 Document Type")</t>
  </si>
  <si>
    <t>=NF($D4276,"5 Document Type")</t>
  </si>
  <si>
    <t>=NF($D4277,"5 Document Type")</t>
  </si>
  <si>
    <t>=NF($D4278,"5 Document Type")</t>
  </si>
  <si>
    <t>=NF($D4279,"5 Document Type")</t>
  </si>
  <si>
    <t>=NF($D4280,"5 Document Type")</t>
  </si>
  <si>
    <t>=NF($D4281,"5 Document Type")</t>
  </si>
  <si>
    <t>=NF($D4282,"5 Document Type")</t>
  </si>
  <si>
    <t>=NF($D4283,"5 Document Type")</t>
  </si>
  <si>
    <t>=NF($D4284,"5 Document Type")</t>
  </si>
  <si>
    <t>=NF($D4285,"5 Document Type")</t>
  </si>
  <si>
    <t>=NF($D4286,"5 Document Type")</t>
  </si>
  <si>
    <t>=NF($D4287,"5 Document Type")</t>
  </si>
  <si>
    <t>=NF($D4288,"5 Document Type")</t>
  </si>
  <si>
    <t>=NF($D4289,"5 Document Type")</t>
  </si>
  <si>
    <t>=NF($D4290,"5 Document Type")</t>
  </si>
  <si>
    <t>=NF($D4291,"5 Document Type")</t>
  </si>
  <si>
    <t>=NF($D4292,"5 Document Type")</t>
  </si>
  <si>
    <t>=NF($D4293,"5 Document Type")</t>
  </si>
  <si>
    <t>=NF($D4294,"5 Document Type")</t>
  </si>
  <si>
    <t>=NF($D4295,"5 Document Type")</t>
  </si>
  <si>
    <t>=NF($D4296,"5 Document Type")</t>
  </si>
  <si>
    <t>=NF($D4297,"5 Document Type")</t>
  </si>
  <si>
    <t>=NF($D4298,"5 Document Type")</t>
  </si>
  <si>
    <t>=NF($D4299,"5 Document Type")</t>
  </si>
  <si>
    <t>=NF($D4300,"5 Document Type")</t>
  </si>
  <si>
    <t>=NF($D4301,"5 Document Type")</t>
  </si>
  <si>
    <t>=NF($D4302,"5 Document Type")</t>
  </si>
  <si>
    <t>=NF($D4303,"5 Document Type")</t>
  </si>
  <si>
    <t>=NF($D4304,"5 Document Type")</t>
  </si>
  <si>
    <t>=NF($D4305,"5 Document Type")</t>
  </si>
  <si>
    <t>=NF($D4306,"5 Document Type")</t>
  </si>
  <si>
    <t>=NF($D4307,"5 Document Type")</t>
  </si>
  <si>
    <t>=NF($D4308,"5 Document Type")</t>
  </si>
  <si>
    <t>=NF($D4309,"5 Document Type")</t>
  </si>
  <si>
    <t>=NF($D4310,"5 Document Type")</t>
  </si>
  <si>
    <t>=NF($D4311,"5 Document Type")</t>
  </si>
  <si>
    <t>=NF($D4312,"5 Document Type")</t>
  </si>
  <si>
    <t>=NF($D4313,"5 Document Type")</t>
  </si>
  <si>
    <t>=NF($D4314,"5 Document Type")</t>
  </si>
  <si>
    <t>=NF($D4315,"5 Document Type")</t>
  </si>
  <si>
    <t>=NF($D4316,"5 Document Type")</t>
  </si>
  <si>
    <t>=NF($D4317,"5 Document Type")</t>
  </si>
  <si>
    <t>=NF($D4318,"5 Document Type")</t>
  </si>
  <si>
    <t>=NF($D4319,"5 Document Type")</t>
  </si>
  <si>
    <t>=NF($D4320,"5 Document Type")</t>
  </si>
  <si>
    <t>=NF($D4321,"5 Document Type")</t>
  </si>
  <si>
    <t>=NF($D4322,"5 Document Type")</t>
  </si>
  <si>
    <t>=NF($D4323,"5 Document Type")</t>
  </si>
  <si>
    <t>=NF($D4324,"5 Document Type")</t>
  </si>
  <si>
    <t>=NF($D4325,"5 Document Type")</t>
  </si>
  <si>
    <t>=NF($D4326,"5 Document Type")</t>
  </si>
  <si>
    <t>=NF($D4327,"5 Document Type")</t>
  </si>
  <si>
    <t>=NF($D4328,"5 Document Type")</t>
  </si>
  <si>
    <t>=NF($D4329,"5 Document Type")</t>
  </si>
  <si>
    <t>=NF($D4270,"6 Document No.")</t>
  </si>
  <si>
    <t>=NF($D4271,"6 Document No.")</t>
  </si>
  <si>
    <t>=NF($D4272,"6 Document No.")</t>
  </si>
  <si>
    <t>=NF($D4273,"6 Document No.")</t>
  </si>
  <si>
    <t>=NF($D4274,"6 Document No.")</t>
  </si>
  <si>
    <t>=NF($D4275,"6 Document No.")</t>
  </si>
  <si>
    <t>=NF($D4276,"6 Document No.")</t>
  </si>
  <si>
    <t>=NF($D4277,"6 Document No.")</t>
  </si>
  <si>
    <t>=NF($D4278,"6 Document No.")</t>
  </si>
  <si>
    <t>=NF($D4279,"6 Document No.")</t>
  </si>
  <si>
    <t>=NF($D4280,"6 Document No.")</t>
  </si>
  <si>
    <t>=NF($D4281,"6 Document No.")</t>
  </si>
  <si>
    <t>=NF($D4282,"6 Document No.")</t>
  </si>
  <si>
    <t>=NF($D4283,"6 Document No.")</t>
  </si>
  <si>
    <t>=NF($D4284,"6 Document No.")</t>
  </si>
  <si>
    <t>=NF($D4285,"6 Document No.")</t>
  </si>
  <si>
    <t>=NF($D4286,"6 Document No.")</t>
  </si>
  <si>
    <t>=NF($D4287,"6 Document No.")</t>
  </si>
  <si>
    <t>=NF($D4288,"6 Document No.")</t>
  </si>
  <si>
    <t>=NF($D4289,"6 Document No.")</t>
  </si>
  <si>
    <t>=NF($D4290,"6 Document No.")</t>
  </si>
  <si>
    <t>=NF($D4291,"6 Document No.")</t>
  </si>
  <si>
    <t>=NF($D4292,"6 Document No.")</t>
  </si>
  <si>
    <t>=NF($D4293,"6 Document No.")</t>
  </si>
  <si>
    <t>=NF($D4294,"6 Document No.")</t>
  </si>
  <si>
    <t>=NF($D4295,"6 Document No.")</t>
  </si>
  <si>
    <t>=NF($D4296,"6 Document No.")</t>
  </si>
  <si>
    <t>=NF($D4297,"6 Document No.")</t>
  </si>
  <si>
    <t>=NF($D4298,"6 Document No.")</t>
  </si>
  <si>
    <t>=NF($D4299,"6 Document No.")</t>
  </si>
  <si>
    <t>=NF($D4300,"6 Document No.")</t>
  </si>
  <si>
    <t>=NF($D4301,"6 Document No.")</t>
  </si>
  <si>
    <t>=NF($D4302,"6 Document No.")</t>
  </si>
  <si>
    <t>=NF($D4303,"6 Document No.")</t>
  </si>
  <si>
    <t>=NF($D4304,"6 Document No.")</t>
  </si>
  <si>
    <t>=NF($D4305,"6 Document No.")</t>
  </si>
  <si>
    <t>=NF($D4306,"6 Document No.")</t>
  </si>
  <si>
    <t>=NF($D4307,"6 Document No.")</t>
  </si>
  <si>
    <t>=NF($D4308,"6 Document No.")</t>
  </si>
  <si>
    <t>=NF($D4309,"6 Document No.")</t>
  </si>
  <si>
    <t>=NF($D4310,"6 Document No.")</t>
  </si>
  <si>
    <t>=NF($D4311,"6 Document No.")</t>
  </si>
  <si>
    <t>=NF($D4312,"6 Document No.")</t>
  </si>
  <si>
    <t>=NF($D4313,"6 Document No.")</t>
  </si>
  <si>
    <t>=NF($D4314,"6 Document No.")</t>
  </si>
  <si>
    <t>=NF($D4315,"6 Document No.")</t>
  </si>
  <si>
    <t>=NF($D4316,"6 Document No.")</t>
  </si>
  <si>
    <t>=NF($D4317,"6 Document No.")</t>
  </si>
  <si>
    <t>=NF($D4318,"6 Document No.")</t>
  </si>
  <si>
    <t>=NF($D4319,"6 Document No.")</t>
  </si>
  <si>
    <t>=NF($D4320,"6 Document No.")</t>
  </si>
  <si>
    <t>=NF($D4321,"6 Document No.")</t>
  </si>
  <si>
    <t>=NF($D4322,"6 Document No.")</t>
  </si>
  <si>
    <t>=NF($D4323,"6 Document No.")</t>
  </si>
  <si>
    <t>=NF($D4324,"6 Document No.")</t>
  </si>
  <si>
    <t>=NF($D4325,"6 Document No.")</t>
  </si>
  <si>
    <t>=NF($D4326,"6 Document No.")</t>
  </si>
  <si>
    <t>=NF($D4327,"6 Document No.")</t>
  </si>
  <si>
    <t>=NF($D4328,"6 Document No.")</t>
  </si>
  <si>
    <t>=NF($D4329,"6 Document No.")</t>
  </si>
  <si>
    <t>=NF($D4270,"37 Due Date")</t>
  </si>
  <si>
    <t>=NF($D4271,"37 Due Date")</t>
  </si>
  <si>
    <t>=NF($D4272,"37 Due Date")</t>
  </si>
  <si>
    <t>=NF($D4273,"37 Due Date")</t>
  </si>
  <si>
    <t>=NF($D4274,"37 Due Date")</t>
  </si>
  <si>
    <t>=NF($D4275,"37 Due Date")</t>
  </si>
  <si>
    <t>=NF($D4276,"37 Due Date")</t>
  </si>
  <si>
    <t>=NF($D4277,"37 Due Date")</t>
  </si>
  <si>
    <t>=NF($D4278,"37 Due Date")</t>
  </si>
  <si>
    <t>=NF($D4279,"37 Due Date")</t>
  </si>
  <si>
    <t>=NF($D4280,"37 Due Date")</t>
  </si>
  <si>
    <t>=NF($D4281,"37 Due Date")</t>
  </si>
  <si>
    <t>=NF($D4282,"37 Due Date")</t>
  </si>
  <si>
    <t>=NF($D4283,"37 Due Date")</t>
  </si>
  <si>
    <t>=NF($D4284,"37 Due Date")</t>
  </si>
  <si>
    <t>=NF($D4285,"37 Due Date")</t>
  </si>
  <si>
    <t>=NF($D4286,"37 Due Date")</t>
  </si>
  <si>
    <t>=NF($D4287,"37 Due Date")</t>
  </si>
  <si>
    <t>=NF($D4288,"37 Due Date")</t>
  </si>
  <si>
    <t>=NF($D4289,"37 Due Date")</t>
  </si>
  <si>
    <t>=NF($D4290,"37 Due Date")</t>
  </si>
  <si>
    <t>=NF($D4291,"37 Due Date")</t>
  </si>
  <si>
    <t>=NF($D4292,"37 Due Date")</t>
  </si>
  <si>
    <t>=NF($D4293,"37 Due Date")</t>
  </si>
  <si>
    <t>=NF($D4294,"37 Due Date")</t>
  </si>
  <si>
    <t>=NF($D4295,"37 Due Date")</t>
  </si>
  <si>
    <t>=NF($D4296,"37 Due Date")</t>
  </si>
  <si>
    <t>=NF($D4297,"37 Due Date")</t>
  </si>
  <si>
    <t>=NF($D4298,"37 Due Date")</t>
  </si>
  <si>
    <t>=NF($D4299,"37 Due Date")</t>
  </si>
  <si>
    <t>=NF($D4300,"37 Due Date")</t>
  </si>
  <si>
    <t>=NF($D4301,"37 Due Date")</t>
  </si>
  <si>
    <t>=NF($D4302,"37 Due Date")</t>
  </si>
  <si>
    <t>=NF($D4303,"37 Due Date")</t>
  </si>
  <si>
    <t>=NF($D4304,"37 Due Date")</t>
  </si>
  <si>
    <t>=NF($D4305,"37 Due Date")</t>
  </si>
  <si>
    <t>=NF($D4306,"37 Due Date")</t>
  </si>
  <si>
    <t>=NF($D4307,"37 Due Date")</t>
  </si>
  <si>
    <t>=NF($D4308,"37 Due Date")</t>
  </si>
  <si>
    <t>=NF($D4309,"37 Due Date")</t>
  </si>
  <si>
    <t>=NF($D4310,"37 Due Date")</t>
  </si>
  <si>
    <t>=NF($D4311,"37 Due Date")</t>
  </si>
  <si>
    <t>=NF($D4312,"37 Due Date")</t>
  </si>
  <si>
    <t>=NF($D4313,"37 Due Date")</t>
  </si>
  <si>
    <t>=NF($D4314,"37 Due Date")</t>
  </si>
  <si>
    <t>=NF($D4315,"37 Due Date")</t>
  </si>
  <si>
    <t>=NF($D4316,"37 Due Date")</t>
  </si>
  <si>
    <t>=NF($D4317,"37 Due Date")</t>
  </si>
  <si>
    <t>=NF($D4318,"37 Due Date")</t>
  </si>
  <si>
    <t>=NF($D4319,"37 Due Date")</t>
  </si>
  <si>
    <t>=NF($D4320,"37 Due Date")</t>
  </si>
  <si>
    <t>=NF($D4321,"37 Due Date")</t>
  </si>
  <si>
    <t>=NF($D4322,"37 Due Date")</t>
  </si>
  <si>
    <t>=NF($D4323,"37 Due Date")</t>
  </si>
  <si>
    <t>=NF($D4324,"37 Due Date")</t>
  </si>
  <si>
    <t>=NF($D4325,"37 Due Date")</t>
  </si>
  <si>
    <t>=NF($D4326,"37 Due Date")</t>
  </si>
  <si>
    <t>=NF($D4327,"37 Due Date")</t>
  </si>
  <si>
    <t>=NF($D4328,"37 Due Date")</t>
  </si>
  <si>
    <t>=NF($D4329,"37 Due Date")</t>
  </si>
  <si>
    <t>=NF($D4270,"16 Remaining Amt. (LCY)")</t>
  </si>
  <si>
    <t>=NF($D4271,"16 Remaining Amt. (LCY)")</t>
  </si>
  <si>
    <t>=NF($D4272,"16 Remaining Amt. (LCY)")</t>
  </si>
  <si>
    <t>=NF($D4273,"16 Remaining Amt. (LCY)")</t>
  </si>
  <si>
    <t>=NF($D4274,"16 Remaining Amt. (LCY)")</t>
  </si>
  <si>
    <t>=NF($D4275,"16 Remaining Amt. (LCY)")</t>
  </si>
  <si>
    <t>=NF($D4276,"16 Remaining Amt. (LCY)")</t>
  </si>
  <si>
    <t>=NF($D4277,"16 Remaining Amt. (LCY)")</t>
  </si>
  <si>
    <t>=NF($D4278,"16 Remaining Amt. (LCY)")</t>
  </si>
  <si>
    <t>=NF($D4279,"16 Remaining Amt. (LCY)")</t>
  </si>
  <si>
    <t>=NF($D4280,"16 Remaining Amt. (LCY)")</t>
  </si>
  <si>
    <t>=NF($D4281,"16 Remaining Amt. (LCY)")</t>
  </si>
  <si>
    <t>=NF($D4282,"16 Remaining Amt. (LCY)")</t>
  </si>
  <si>
    <t>=NF($D4283,"16 Remaining Amt. (LCY)")</t>
  </si>
  <si>
    <t>=NF($D4284,"16 Remaining Amt. (LCY)")</t>
  </si>
  <si>
    <t>=NF($D4285,"16 Remaining Amt. (LCY)")</t>
  </si>
  <si>
    <t>=NF($D4286,"16 Remaining Amt. (LCY)")</t>
  </si>
  <si>
    <t>=NF($D4287,"16 Remaining Amt. (LCY)")</t>
  </si>
  <si>
    <t>=NF($D4288,"16 Remaining Amt. (LCY)")</t>
  </si>
  <si>
    <t>=NF($D4289,"16 Remaining Amt. (LCY)")</t>
  </si>
  <si>
    <t>=NF($D4290,"16 Remaining Amt. (LCY)")</t>
  </si>
  <si>
    <t>=NF($D4291,"16 Remaining Amt. (LCY)")</t>
  </si>
  <si>
    <t>=NF($D4292,"16 Remaining Amt. (LCY)")</t>
  </si>
  <si>
    <t>=NF($D4293,"16 Remaining Amt. (LCY)")</t>
  </si>
  <si>
    <t>=NF($D4294,"16 Remaining Amt. (LCY)")</t>
  </si>
  <si>
    <t>=NF($D4295,"16 Remaining Amt. (LCY)")</t>
  </si>
  <si>
    <t>=NF($D4296,"16 Remaining Amt. (LCY)")</t>
  </si>
  <si>
    <t>=NF($D4297,"16 Remaining Amt. (LCY)")</t>
  </si>
  <si>
    <t>=NF($D4298,"16 Remaining Amt. (LCY)")</t>
  </si>
  <si>
    <t>=NF($D4299,"16 Remaining Amt. (LCY)")</t>
  </si>
  <si>
    <t>=NF($D4300,"16 Remaining Amt. (LCY)")</t>
  </si>
  <si>
    <t>=NF($D4301,"16 Remaining Amt. (LCY)")</t>
  </si>
  <si>
    <t>=NF($D4302,"16 Remaining Amt. (LCY)")</t>
  </si>
  <si>
    <t>=NF($D4303,"16 Remaining Amt. (LCY)")</t>
  </si>
  <si>
    <t>=NF($D4304,"16 Remaining Amt. (LCY)")</t>
  </si>
  <si>
    <t>=NF($D4305,"16 Remaining Amt. (LCY)")</t>
  </si>
  <si>
    <t>=NF($D4306,"16 Remaining Amt. (LCY)")</t>
  </si>
  <si>
    <t>=NF($D4307,"16 Remaining Amt. (LCY)")</t>
  </si>
  <si>
    <t>=NF($D4308,"16 Remaining Amt. (LCY)")</t>
  </si>
  <si>
    <t>=NF($D4309,"16 Remaining Amt. (LCY)")</t>
  </si>
  <si>
    <t>=NF($D4310,"16 Remaining Amt. (LCY)")</t>
  </si>
  <si>
    <t>=NF($D4311,"16 Remaining Amt. (LCY)")</t>
  </si>
  <si>
    <t>=NF($D4312,"16 Remaining Amt. (LCY)")</t>
  </si>
  <si>
    <t>=NF($D4313,"16 Remaining Amt. (LCY)")</t>
  </si>
  <si>
    <t>=NF($D4314,"16 Remaining Amt. (LCY)")</t>
  </si>
  <si>
    <t>=NF($D4315,"16 Remaining Amt. (LCY)")</t>
  </si>
  <si>
    <t>=NF($D4316,"16 Remaining Amt. (LCY)")</t>
  </si>
  <si>
    <t>=NF($D4317,"16 Remaining Amt. (LCY)")</t>
  </si>
  <si>
    <t>=NF($D4318,"16 Remaining Amt. (LCY)")</t>
  </si>
  <si>
    <t>=NF($D4319,"16 Remaining Amt. (LCY)")</t>
  </si>
  <si>
    <t>=NF($D4320,"16 Remaining Amt. (LCY)")</t>
  </si>
  <si>
    <t>=NF($D4321,"16 Remaining Amt. (LCY)")</t>
  </si>
  <si>
    <t>=NF($D4322,"16 Remaining Amt. (LCY)")</t>
  </si>
  <si>
    <t>=NF($D4323,"16 Remaining Amt. (LCY)")</t>
  </si>
  <si>
    <t>=NF($D4324,"16 Remaining Amt. (LCY)")</t>
  </si>
  <si>
    <t>=NF($D4325,"16 Remaining Amt. (LCY)")</t>
  </si>
  <si>
    <t>=NF($D4326,"16 Remaining Amt. (LCY)")</t>
  </si>
  <si>
    <t>=NF($D4327,"16 Remaining Amt. (LCY)")</t>
  </si>
  <si>
    <t>=NF($D4328,"16 Remaining Amt. (LCY)")</t>
  </si>
  <si>
    <t>=NF($D4329,"16 Remaining Amt. (LCY)")</t>
  </si>
  <si>
    <t>=NF($D4216,"5 Document Type")</t>
  </si>
  <si>
    <t>=NF($D4217,"5 Document Type")</t>
  </si>
  <si>
    <t>=NF($D4218,"5 Document Type")</t>
  </si>
  <si>
    <t>=NF($D4219,"5 Document Type")</t>
  </si>
  <si>
    <t>=NF($D4220,"5 Document Type")</t>
  </si>
  <si>
    <t>=NF($D4221,"5 Document Type")</t>
  </si>
  <si>
    <t>=NF($D4222,"5 Document Type")</t>
  </si>
  <si>
    <t>=NF($D4223,"5 Document Type")</t>
  </si>
  <si>
    <t>=NF($D4224,"5 Document Type")</t>
  </si>
  <si>
    <t>=NF($D4225,"5 Document Type")</t>
  </si>
  <si>
    <t>=NF($D4226,"5 Document Type")</t>
  </si>
  <si>
    <t>=NF($D4227,"5 Document Type")</t>
  </si>
  <si>
    <t>=NF($D4228,"5 Document Type")</t>
  </si>
  <si>
    <t>=NF($D4229,"5 Document Type")</t>
  </si>
  <si>
    <t>=NF($D4230,"5 Document Type")</t>
  </si>
  <si>
    <t>=NF($D4231,"5 Document Type")</t>
  </si>
  <si>
    <t>=NF($D4232,"5 Document Type")</t>
  </si>
  <si>
    <t>=NF($D4233,"5 Document Type")</t>
  </si>
  <si>
    <t>=NF($D4234,"5 Document Type")</t>
  </si>
  <si>
    <t>=NF($D4235,"5 Document Type")</t>
  </si>
  <si>
    <t>=NF($D4236,"5 Document Type")</t>
  </si>
  <si>
    <t>=NF($D4237,"5 Document Type")</t>
  </si>
  <si>
    <t>=NF($D4238,"5 Document Type")</t>
  </si>
  <si>
    <t>=NF($D4239,"5 Document Type")</t>
  </si>
  <si>
    <t>=NF($D4240,"5 Document Type")</t>
  </si>
  <si>
    <t>=NF($D4241,"5 Document Type")</t>
  </si>
  <si>
    <t>=NF($D4242,"5 Document Type")</t>
  </si>
  <si>
    <t>=NF($D4243,"5 Document Type")</t>
  </si>
  <si>
    <t>=NF($D4244,"5 Document Type")</t>
  </si>
  <si>
    <t>=NF($D4245,"5 Document Type")</t>
  </si>
  <si>
    <t>=NF($D4246,"5 Document Type")</t>
  </si>
  <si>
    <t>=NF($D4247,"5 Document Type")</t>
  </si>
  <si>
    <t>=NF($D4248,"5 Document Type")</t>
  </si>
  <si>
    <t>=NF($D4249,"5 Document Type")</t>
  </si>
  <si>
    <t>=NF($D4250,"5 Document Type")</t>
  </si>
  <si>
    <t>=NF($D4251,"5 Document Type")</t>
  </si>
  <si>
    <t>=NF($D4252,"5 Document Type")</t>
  </si>
  <si>
    <t>=NF($D4253,"5 Document Type")</t>
  </si>
  <si>
    <t>=NF($D4254,"5 Document Type")</t>
  </si>
  <si>
    <t>=NF($D4255,"5 Document Type")</t>
  </si>
  <si>
    <t>=NF($D4256,"5 Document Type")</t>
  </si>
  <si>
    <t>=NF($D4257,"5 Document Type")</t>
  </si>
  <si>
    <t>=NF($D4258,"5 Document Type")</t>
  </si>
  <si>
    <t>=NF($D4259,"5 Document Type")</t>
  </si>
  <si>
    <t>=NF($D4260,"5 Document Type")</t>
  </si>
  <si>
    <t>=NF($D4261,"5 Document Type")</t>
  </si>
  <si>
    <t>=NF($D4262,"5 Document Type")</t>
  </si>
  <si>
    <t>=NF($D4263,"5 Document Type")</t>
  </si>
  <si>
    <t>=NF($D4216,"6 Document No.")</t>
  </si>
  <si>
    <t>=NF($D4217,"6 Document No.")</t>
  </si>
  <si>
    <t>=NF($D4218,"6 Document No.")</t>
  </si>
  <si>
    <t>=NF($D4219,"6 Document No.")</t>
  </si>
  <si>
    <t>=NF($D4220,"6 Document No.")</t>
  </si>
  <si>
    <t>=NF($D4221,"6 Document No.")</t>
  </si>
  <si>
    <t>=NF($D4222,"6 Document No.")</t>
  </si>
  <si>
    <t>=NF($D4223,"6 Document No.")</t>
  </si>
  <si>
    <t>=NF($D4224,"6 Document No.")</t>
  </si>
  <si>
    <t>=NF($D4225,"6 Document No.")</t>
  </si>
  <si>
    <t>=NF($D4226,"6 Document No.")</t>
  </si>
  <si>
    <t>=NF($D4227,"6 Document No.")</t>
  </si>
  <si>
    <t>=NF($D4228,"6 Document No.")</t>
  </si>
  <si>
    <t>=NF($D4229,"6 Document No.")</t>
  </si>
  <si>
    <t>=NF($D4230,"6 Document No.")</t>
  </si>
  <si>
    <t>=NF($D4231,"6 Document No.")</t>
  </si>
  <si>
    <t>=NF($D4232,"6 Document No.")</t>
  </si>
  <si>
    <t>=NF($D4233,"6 Document No.")</t>
  </si>
  <si>
    <t>=NF($D4234,"6 Document No.")</t>
  </si>
  <si>
    <t>=NF($D4235,"6 Document No.")</t>
  </si>
  <si>
    <t>=NF($D4236,"6 Document No.")</t>
  </si>
  <si>
    <t>=NF($D4237,"6 Document No.")</t>
  </si>
  <si>
    <t>=NF($D4238,"6 Document No.")</t>
  </si>
  <si>
    <t>=NF($D4239,"6 Document No.")</t>
  </si>
  <si>
    <t>=NF($D4240,"6 Document No.")</t>
  </si>
  <si>
    <t>=NF($D4241,"6 Document No.")</t>
  </si>
  <si>
    <t>=NF($D4242,"6 Document No.")</t>
  </si>
  <si>
    <t>=NF($D4243,"6 Document No.")</t>
  </si>
  <si>
    <t>=NF($D4244,"6 Document No.")</t>
  </si>
  <si>
    <t>=NF($D4245,"6 Document No.")</t>
  </si>
  <si>
    <t>=NF($D4246,"6 Document No.")</t>
  </si>
  <si>
    <t>=NF($D4247,"6 Document No.")</t>
  </si>
  <si>
    <t>=NF($D4248,"6 Document No.")</t>
  </si>
  <si>
    <t>=NF($D4249,"6 Document No.")</t>
  </si>
  <si>
    <t>=NF($D4250,"6 Document No.")</t>
  </si>
  <si>
    <t>=NF($D4251,"6 Document No.")</t>
  </si>
  <si>
    <t>=NF($D4252,"6 Document No.")</t>
  </si>
  <si>
    <t>=NF($D4253,"6 Document No.")</t>
  </si>
  <si>
    <t>=NF($D4254,"6 Document No.")</t>
  </si>
  <si>
    <t>=NF($D4255,"6 Document No.")</t>
  </si>
  <si>
    <t>=NF($D4256,"6 Document No.")</t>
  </si>
  <si>
    <t>=NF($D4257,"6 Document No.")</t>
  </si>
  <si>
    <t>=NF($D4258,"6 Document No.")</t>
  </si>
  <si>
    <t>=NF($D4259,"6 Document No.")</t>
  </si>
  <si>
    <t>=NF($D4260,"6 Document No.")</t>
  </si>
  <si>
    <t>=NF($D4261,"6 Document No.")</t>
  </si>
  <si>
    <t>=NF($D4262,"6 Document No.")</t>
  </si>
  <si>
    <t>=NF($D4263,"6 Document No.")</t>
  </si>
  <si>
    <t>=NF($D4216,"37 Due Date")</t>
  </si>
  <si>
    <t>=NF($D4217,"37 Due Date")</t>
  </si>
  <si>
    <t>=NF($D4218,"37 Due Date")</t>
  </si>
  <si>
    <t>=NF($D4219,"37 Due Date")</t>
  </si>
  <si>
    <t>=NF($D4220,"37 Due Date")</t>
  </si>
  <si>
    <t>=NF($D4221,"37 Due Date")</t>
  </si>
  <si>
    <t>=NF($D4222,"37 Due Date")</t>
  </si>
  <si>
    <t>=NF($D4223,"37 Due Date")</t>
  </si>
  <si>
    <t>=NF($D4224,"37 Due Date")</t>
  </si>
  <si>
    <t>=NF($D4225,"37 Due Date")</t>
  </si>
  <si>
    <t>=NF($D4226,"37 Due Date")</t>
  </si>
  <si>
    <t>=NF($D4227,"37 Due Date")</t>
  </si>
  <si>
    <t>=NF($D4228,"37 Due Date")</t>
  </si>
  <si>
    <t>=NF($D4229,"37 Due Date")</t>
  </si>
  <si>
    <t>=NF($D4230,"37 Due Date")</t>
  </si>
  <si>
    <t>=NF($D4231,"37 Due Date")</t>
  </si>
  <si>
    <t>=NF($D4232,"37 Due Date")</t>
  </si>
  <si>
    <t>=NF($D4233,"37 Due Date")</t>
  </si>
  <si>
    <t>=NF($D4234,"37 Due Date")</t>
  </si>
  <si>
    <t>=NF($D4235,"37 Due Date")</t>
  </si>
  <si>
    <t>=NF($D4236,"37 Due Date")</t>
  </si>
  <si>
    <t>=NF($D4237,"37 Due Date")</t>
  </si>
  <si>
    <t>=NF($D4238,"37 Due Date")</t>
  </si>
  <si>
    <t>=NF($D4239,"37 Due Date")</t>
  </si>
  <si>
    <t>=NF($D4240,"37 Due Date")</t>
  </si>
  <si>
    <t>=NF($D4241,"37 Due Date")</t>
  </si>
  <si>
    <t>=NF($D4242,"37 Due Date")</t>
  </si>
  <si>
    <t>=NF($D4243,"37 Due Date")</t>
  </si>
  <si>
    <t>=NF($D4244,"37 Due Date")</t>
  </si>
  <si>
    <t>=NF($D4245,"37 Due Date")</t>
  </si>
  <si>
    <t>=NF($D4246,"37 Due Date")</t>
  </si>
  <si>
    <t>=NF($D4247,"37 Due Date")</t>
  </si>
  <si>
    <t>=NF($D4248,"37 Due Date")</t>
  </si>
  <si>
    <t>=NF($D4249,"37 Due Date")</t>
  </si>
  <si>
    <t>=NF($D4250,"37 Due Date")</t>
  </si>
  <si>
    <t>=NF($D4251,"37 Due Date")</t>
  </si>
  <si>
    <t>=NF($D4252,"37 Due Date")</t>
  </si>
  <si>
    <t>=NF($D4253,"37 Due Date")</t>
  </si>
  <si>
    <t>=NF($D4254,"37 Due Date")</t>
  </si>
  <si>
    <t>=NF($D4255,"37 Due Date")</t>
  </si>
  <si>
    <t>=NF($D4256,"37 Due Date")</t>
  </si>
  <si>
    <t>=NF($D4257,"37 Due Date")</t>
  </si>
  <si>
    <t>=NF($D4258,"37 Due Date")</t>
  </si>
  <si>
    <t>=NF($D4259,"37 Due Date")</t>
  </si>
  <si>
    <t>=NF($D4260,"37 Due Date")</t>
  </si>
  <si>
    <t>=NF($D4261,"37 Due Date")</t>
  </si>
  <si>
    <t>=NF($D4262,"37 Due Date")</t>
  </si>
  <si>
    <t>=NF($D4263,"37 Due Date")</t>
  </si>
  <si>
    <t>=NF($D4216,"16 Remaining Amt. (LCY)")</t>
  </si>
  <si>
    <t>=NF($D4217,"16 Remaining Amt. (LCY)")</t>
  </si>
  <si>
    <t>=NF($D4218,"16 Remaining Amt. (LCY)")</t>
  </si>
  <si>
    <t>=NF($D4219,"16 Remaining Amt. (LCY)")</t>
  </si>
  <si>
    <t>=NF($D4220,"16 Remaining Amt. (LCY)")</t>
  </si>
  <si>
    <t>=NF($D4221,"16 Remaining Amt. (LCY)")</t>
  </si>
  <si>
    <t>=NF($D4222,"16 Remaining Amt. (LCY)")</t>
  </si>
  <si>
    <t>=NF($D4223,"16 Remaining Amt. (LCY)")</t>
  </si>
  <si>
    <t>=NF($D4224,"16 Remaining Amt. (LCY)")</t>
  </si>
  <si>
    <t>=NF($D4225,"16 Remaining Amt. (LCY)")</t>
  </si>
  <si>
    <t>=NF($D4226,"16 Remaining Amt. (LCY)")</t>
  </si>
  <si>
    <t>=NF($D4227,"16 Remaining Amt. (LCY)")</t>
  </si>
  <si>
    <t>=NF($D4228,"16 Remaining Amt. (LCY)")</t>
  </si>
  <si>
    <t>=NF($D4229,"16 Remaining Amt. (LCY)")</t>
  </si>
  <si>
    <t>=NF($D4230,"16 Remaining Amt. (LCY)")</t>
  </si>
  <si>
    <t>=NF($D4231,"16 Remaining Amt. (LCY)")</t>
  </si>
  <si>
    <t>=NF($D4232,"16 Remaining Amt. (LCY)")</t>
  </si>
  <si>
    <t>=NF($D4233,"16 Remaining Amt. (LCY)")</t>
  </si>
  <si>
    <t>=NF($D4234,"16 Remaining Amt. (LCY)")</t>
  </si>
  <si>
    <t>=NF($D4235,"16 Remaining Amt. (LCY)")</t>
  </si>
  <si>
    <t>=NF($D4236,"16 Remaining Amt. (LCY)")</t>
  </si>
  <si>
    <t>=NF($D4237,"16 Remaining Amt. (LCY)")</t>
  </si>
  <si>
    <t>=NF($D4238,"16 Remaining Amt. (LCY)")</t>
  </si>
  <si>
    <t>=NF($D4239,"16 Remaining Amt. (LCY)")</t>
  </si>
  <si>
    <t>=NF($D4240,"16 Remaining Amt. (LCY)")</t>
  </si>
  <si>
    <t>=NF($D4241,"16 Remaining Amt. (LCY)")</t>
  </si>
  <si>
    <t>=NF($D4242,"16 Remaining Amt. (LCY)")</t>
  </si>
  <si>
    <t>=NF($D4243,"16 Remaining Amt. (LCY)")</t>
  </si>
  <si>
    <t>=NF($D4244,"16 Remaining Amt. (LCY)")</t>
  </si>
  <si>
    <t>=NF($D4245,"16 Remaining Amt. (LCY)")</t>
  </si>
  <si>
    <t>=NF($D4246,"16 Remaining Amt. (LCY)")</t>
  </si>
  <si>
    <t>=NF($D4247,"16 Remaining Amt. (LCY)")</t>
  </si>
  <si>
    <t>=NF($D4248,"16 Remaining Amt. (LCY)")</t>
  </si>
  <si>
    <t>=NF($D4249,"16 Remaining Amt. (LCY)")</t>
  </si>
  <si>
    <t>=NF($D4250,"16 Remaining Amt. (LCY)")</t>
  </si>
  <si>
    <t>=NF($D4251,"16 Remaining Amt. (LCY)")</t>
  </si>
  <si>
    <t>=NF($D4252,"16 Remaining Amt. (LCY)")</t>
  </si>
  <si>
    <t>=NF($D4253,"16 Remaining Amt. (LCY)")</t>
  </si>
  <si>
    <t>=NF($D4254,"16 Remaining Amt. (LCY)")</t>
  </si>
  <si>
    <t>=NF($D4255,"16 Remaining Amt. (LCY)")</t>
  </si>
  <si>
    <t>=NF($D4256,"16 Remaining Amt. (LCY)")</t>
  </si>
  <si>
    <t>=NF($D4257,"16 Remaining Amt. (LCY)")</t>
  </si>
  <si>
    <t>=NF($D4258,"16 Remaining Amt. (LCY)")</t>
  </si>
  <si>
    <t>=NF($D4259,"16 Remaining Amt. (LCY)")</t>
  </si>
  <si>
    <t>=NF($D4260,"16 Remaining Amt. (LCY)")</t>
  </si>
  <si>
    <t>=NF($D4261,"16 Remaining Amt. (LCY)")</t>
  </si>
  <si>
    <t>=NF($D4262,"16 Remaining Amt. (LCY)")</t>
  </si>
  <si>
    <t>=NF($D4263,"16 Remaining Amt. (LCY)")</t>
  </si>
  <si>
    <t>=NF($D4172,"5 Document Type")</t>
  </si>
  <si>
    <t>=NF($D4173,"5 Document Type")</t>
  </si>
  <si>
    <t>=NF($D4174,"5 Document Type")</t>
  </si>
  <si>
    <t>=NF($D4175,"5 Document Type")</t>
  </si>
  <si>
    <t>=NF($D4176,"5 Document Type")</t>
  </si>
  <si>
    <t>=NF($D4177,"5 Document Type")</t>
  </si>
  <si>
    <t>=NF($D4178,"5 Document Type")</t>
  </si>
  <si>
    <t>=NF($D4179,"5 Document Type")</t>
  </si>
  <si>
    <t>=NF($D4180,"5 Document Type")</t>
  </si>
  <si>
    <t>=NF($D4181,"5 Document Type")</t>
  </si>
  <si>
    <t>=NF($D4182,"5 Document Type")</t>
  </si>
  <si>
    <t>=NF($D4183,"5 Document Type")</t>
  </si>
  <si>
    <t>=NF($D4184,"5 Document Type")</t>
  </si>
  <si>
    <t>=NF($D4185,"5 Document Type")</t>
  </si>
  <si>
    <t>=NF($D4186,"5 Document Type")</t>
  </si>
  <si>
    <t>=NF($D4187,"5 Document Type")</t>
  </si>
  <si>
    <t>=NF($D4188,"5 Document Type")</t>
  </si>
  <si>
    <t>=NF($D4189,"5 Document Type")</t>
  </si>
  <si>
    <t>=NF($D4190,"5 Document Type")</t>
  </si>
  <si>
    <t>=NF($D4191,"5 Document Type")</t>
  </si>
  <si>
    <t>=NF($D4192,"5 Document Type")</t>
  </si>
  <si>
    <t>=NF($D4193,"5 Document Type")</t>
  </si>
  <si>
    <t>=NF($D4194,"5 Document Type")</t>
  </si>
  <si>
    <t>=NF($D4195,"5 Document Type")</t>
  </si>
  <si>
    <t>=NF($D4196,"5 Document Type")</t>
  </si>
  <si>
    <t>=NF($D4197,"5 Document Type")</t>
  </si>
  <si>
    <t>=NF($D4198,"5 Document Type")</t>
  </si>
  <si>
    <t>=NF($D4199,"5 Document Type")</t>
  </si>
  <si>
    <t>=NF($D4200,"5 Document Type")</t>
  </si>
  <si>
    <t>=NF($D4201,"5 Document Type")</t>
  </si>
  <si>
    <t>=NF($D4202,"5 Document Type")</t>
  </si>
  <si>
    <t>=NF($D4203,"5 Document Type")</t>
  </si>
  <si>
    <t>=NF($D4204,"5 Document Type")</t>
  </si>
  <si>
    <t>=NF($D4205,"5 Document Type")</t>
  </si>
  <si>
    <t>=NF($D4206,"5 Document Type")</t>
  </si>
  <si>
    <t>=NF($D4207,"5 Document Type")</t>
  </si>
  <si>
    <t>=NF($D4208,"5 Document Type")</t>
  </si>
  <si>
    <t>=NF($D4209,"5 Document Type")</t>
  </si>
  <si>
    <t>=NF($D4172,"6 Document No.")</t>
  </si>
  <si>
    <t>=NF($D4173,"6 Document No.")</t>
  </si>
  <si>
    <t>=NF($D4174,"6 Document No.")</t>
  </si>
  <si>
    <t>=NF($D4175,"6 Document No.")</t>
  </si>
  <si>
    <t>=NF($D4176,"6 Document No.")</t>
  </si>
  <si>
    <t>=NF($D4177,"6 Document No.")</t>
  </si>
  <si>
    <t>=NF($D4178,"6 Document No.")</t>
  </si>
  <si>
    <t>=NF($D4179,"6 Document No.")</t>
  </si>
  <si>
    <t>=NF($D4180,"6 Document No.")</t>
  </si>
  <si>
    <t>=NF($D4181,"6 Document No.")</t>
  </si>
  <si>
    <t>=NF($D4182,"6 Document No.")</t>
  </si>
  <si>
    <t>=NF($D4183,"6 Document No.")</t>
  </si>
  <si>
    <t>=NF($D4184,"6 Document No.")</t>
  </si>
  <si>
    <t>=NF($D4185,"6 Document No.")</t>
  </si>
  <si>
    <t>=NF($D4186,"6 Document No.")</t>
  </si>
  <si>
    <t>=NF($D4187,"6 Document No.")</t>
  </si>
  <si>
    <t>=NF($D4188,"6 Document No.")</t>
  </si>
  <si>
    <t>=NF($D4189,"6 Document No.")</t>
  </si>
  <si>
    <t>=NF($D4190,"6 Document No.")</t>
  </si>
  <si>
    <t>=NF($D4191,"6 Document No.")</t>
  </si>
  <si>
    <t>=NF($D4192,"6 Document No.")</t>
  </si>
  <si>
    <t>=NF($D4193,"6 Document No.")</t>
  </si>
  <si>
    <t>=NF($D4194,"6 Document No.")</t>
  </si>
  <si>
    <t>=NF($D4195,"6 Document No.")</t>
  </si>
  <si>
    <t>=NF($D4196,"6 Document No.")</t>
  </si>
  <si>
    <t>=NF($D4197,"6 Document No.")</t>
  </si>
  <si>
    <t>=NF($D4198,"6 Document No.")</t>
  </si>
  <si>
    <t>=NF($D4199,"6 Document No.")</t>
  </si>
  <si>
    <t>=NF($D4200,"6 Document No.")</t>
  </si>
  <si>
    <t>=NF($D4201,"6 Document No.")</t>
  </si>
  <si>
    <t>=NF($D4202,"6 Document No.")</t>
  </si>
  <si>
    <t>=NF($D4203,"6 Document No.")</t>
  </si>
  <si>
    <t>=NF($D4204,"6 Document No.")</t>
  </si>
  <si>
    <t>=NF($D4205,"6 Document No.")</t>
  </si>
  <si>
    <t>=NF($D4206,"6 Document No.")</t>
  </si>
  <si>
    <t>=NF($D4207,"6 Document No.")</t>
  </si>
  <si>
    <t>=NF($D4208,"6 Document No.")</t>
  </si>
  <si>
    <t>=NF($D4209,"6 Document No.")</t>
  </si>
  <si>
    <t>=NF($D4172,"37 Due Date")</t>
  </si>
  <si>
    <t>=NF($D4173,"37 Due Date")</t>
  </si>
  <si>
    <t>=NF($D4174,"37 Due Date")</t>
  </si>
  <si>
    <t>=NF($D4175,"37 Due Date")</t>
  </si>
  <si>
    <t>=NF($D4176,"37 Due Date")</t>
  </si>
  <si>
    <t>=NF($D4177,"37 Due Date")</t>
  </si>
  <si>
    <t>=NF($D4178,"37 Due Date")</t>
  </si>
  <si>
    <t>=NF($D4179,"37 Due Date")</t>
  </si>
  <si>
    <t>=NF($D4180,"37 Due Date")</t>
  </si>
  <si>
    <t>=NF($D4181,"37 Due Date")</t>
  </si>
  <si>
    <t>=NF($D4182,"37 Due Date")</t>
  </si>
  <si>
    <t>=NF($D4183,"37 Due Date")</t>
  </si>
  <si>
    <t>=NF($D4184,"37 Due Date")</t>
  </si>
  <si>
    <t>=NF($D4185,"37 Due Date")</t>
  </si>
  <si>
    <t>=NF($D4186,"37 Due Date")</t>
  </si>
  <si>
    <t>=NF($D4187,"37 Due Date")</t>
  </si>
  <si>
    <t>=NF($D4188,"37 Due Date")</t>
  </si>
  <si>
    <t>=NF($D4189,"37 Due Date")</t>
  </si>
  <si>
    <t>=NF($D4190,"37 Due Date")</t>
  </si>
  <si>
    <t>=NF($D4191,"37 Due Date")</t>
  </si>
  <si>
    <t>=NF($D4192,"37 Due Date")</t>
  </si>
  <si>
    <t>=NF($D4193,"37 Due Date")</t>
  </si>
  <si>
    <t>=NF($D4194,"37 Due Date")</t>
  </si>
  <si>
    <t>=NF($D4195,"37 Due Date")</t>
  </si>
  <si>
    <t>=NF($D4196,"37 Due Date")</t>
  </si>
  <si>
    <t>=NF($D4197,"37 Due Date")</t>
  </si>
  <si>
    <t>=NF($D4198,"37 Due Date")</t>
  </si>
  <si>
    <t>=NF($D4199,"37 Due Date")</t>
  </si>
  <si>
    <t>=NF($D4200,"37 Due Date")</t>
  </si>
  <si>
    <t>=NF($D4201,"37 Due Date")</t>
  </si>
  <si>
    <t>=NF($D4202,"37 Due Date")</t>
  </si>
  <si>
    <t>=NF($D4203,"37 Due Date")</t>
  </si>
  <si>
    <t>=NF($D4204,"37 Due Date")</t>
  </si>
  <si>
    <t>=NF($D4205,"37 Due Date")</t>
  </si>
  <si>
    <t>=NF($D4206,"37 Due Date")</t>
  </si>
  <si>
    <t>=NF($D4207,"37 Due Date")</t>
  </si>
  <si>
    <t>=NF($D4208,"37 Due Date")</t>
  </si>
  <si>
    <t>=NF($D4209,"37 Due Date")</t>
  </si>
  <si>
    <t>=NF($D4172,"16 Remaining Amt. (LCY)")</t>
  </si>
  <si>
    <t>=NF($D4173,"16 Remaining Amt. (LCY)")</t>
  </si>
  <si>
    <t>=NF($D4174,"16 Remaining Amt. (LCY)")</t>
  </si>
  <si>
    <t>=NF($D4175,"16 Remaining Amt. (LCY)")</t>
  </si>
  <si>
    <t>=NF($D4176,"16 Remaining Amt. (LCY)")</t>
  </si>
  <si>
    <t>=NF($D4177,"16 Remaining Amt. (LCY)")</t>
  </si>
  <si>
    <t>=NF($D4178,"16 Remaining Amt. (LCY)")</t>
  </si>
  <si>
    <t>=NF($D4179,"16 Remaining Amt. (LCY)")</t>
  </si>
  <si>
    <t>=NF($D4180,"16 Remaining Amt. (LCY)")</t>
  </si>
  <si>
    <t>=NF($D4181,"16 Remaining Amt. (LCY)")</t>
  </si>
  <si>
    <t>=NF($D4182,"16 Remaining Amt. (LCY)")</t>
  </si>
  <si>
    <t>=NF($D4183,"16 Remaining Amt. (LCY)")</t>
  </si>
  <si>
    <t>=NF($D4184,"16 Remaining Amt. (LCY)")</t>
  </si>
  <si>
    <t>=NF($D4185,"16 Remaining Amt. (LCY)")</t>
  </si>
  <si>
    <t>=NF($D4186,"16 Remaining Amt. (LCY)")</t>
  </si>
  <si>
    <t>=NF($D4187,"16 Remaining Amt. (LCY)")</t>
  </si>
  <si>
    <t>=NF($D4188,"16 Remaining Amt. (LCY)")</t>
  </si>
  <si>
    <t>=NF($D4189,"16 Remaining Amt. (LCY)")</t>
  </si>
  <si>
    <t>=NF($D4190,"16 Remaining Amt. (LCY)")</t>
  </si>
  <si>
    <t>=NF($D4191,"16 Remaining Amt. (LCY)")</t>
  </si>
  <si>
    <t>=NF($D4192,"16 Remaining Amt. (LCY)")</t>
  </si>
  <si>
    <t>=NF($D4193,"16 Remaining Amt. (LCY)")</t>
  </si>
  <si>
    <t>=NF($D4194,"16 Remaining Amt. (LCY)")</t>
  </si>
  <si>
    <t>=NF($D4195,"16 Remaining Amt. (LCY)")</t>
  </si>
  <si>
    <t>=NF($D4196,"16 Remaining Amt. (LCY)")</t>
  </si>
  <si>
    <t>=NF($D4197,"16 Remaining Amt. (LCY)")</t>
  </si>
  <si>
    <t>=NF($D4198,"16 Remaining Amt. (LCY)")</t>
  </si>
  <si>
    <t>=NF($D4199,"16 Remaining Amt. (LCY)")</t>
  </si>
  <si>
    <t>=NF($D4200,"16 Remaining Amt. (LCY)")</t>
  </si>
  <si>
    <t>=NF($D4201,"16 Remaining Amt. (LCY)")</t>
  </si>
  <si>
    <t>=NF($D4202,"16 Remaining Amt. (LCY)")</t>
  </si>
  <si>
    <t>=NF($D4203,"16 Remaining Amt. (LCY)")</t>
  </si>
  <si>
    <t>=NF($D4204,"16 Remaining Amt. (LCY)")</t>
  </si>
  <si>
    <t>=NF($D4205,"16 Remaining Amt. (LCY)")</t>
  </si>
  <si>
    <t>=NF($D4206,"16 Remaining Amt. (LCY)")</t>
  </si>
  <si>
    <t>=NF($D4207,"16 Remaining Amt. (LCY)")</t>
  </si>
  <si>
    <t>=NF($D4208,"16 Remaining Amt. (LCY)")</t>
  </si>
  <si>
    <t>=NF($D4209,"16 Remaining Amt. (LCY)")</t>
  </si>
  <si>
    <t>=NF($D4149,"5 Document Type")</t>
  </si>
  <si>
    <t>=NF($D4150,"5 Document Type")</t>
  </si>
  <si>
    <t>=NF($D4151,"5 Document Type")</t>
  </si>
  <si>
    <t>=NF($D4152,"5 Document Type")</t>
  </si>
  <si>
    <t>=NF($D4153,"5 Document Type")</t>
  </si>
  <si>
    <t>=NF($D4154,"5 Document Type")</t>
  </si>
  <si>
    <t>=NF($D4155,"5 Document Type")</t>
  </si>
  <si>
    <t>=NF($D4156,"5 Document Type")</t>
  </si>
  <si>
    <t>=NF($D4157,"5 Document Type")</t>
  </si>
  <si>
    <t>=NF($D4158,"5 Document Type")</t>
  </si>
  <si>
    <t>=NF($D4159,"5 Document Type")</t>
  </si>
  <si>
    <t>=NF($D4160,"5 Document Type")</t>
  </si>
  <si>
    <t>=NF($D4161,"5 Document Type")</t>
  </si>
  <si>
    <t>=NF($D4162,"5 Document Type")</t>
  </si>
  <si>
    <t>=NF($D4163,"5 Document Type")</t>
  </si>
  <si>
    <t>=NF($D4164,"5 Document Type")</t>
  </si>
  <si>
    <t>=NF($D4165,"5 Document Type")</t>
  </si>
  <si>
    <t>=NF($D4149,"6 Document No.")</t>
  </si>
  <si>
    <t>=NF($D4150,"6 Document No.")</t>
  </si>
  <si>
    <t>=NF($D4151,"6 Document No.")</t>
  </si>
  <si>
    <t>=NF($D4152,"6 Document No.")</t>
  </si>
  <si>
    <t>=NF($D4153,"6 Document No.")</t>
  </si>
  <si>
    <t>=NF($D4154,"6 Document No.")</t>
  </si>
  <si>
    <t>=NF($D4155,"6 Document No.")</t>
  </si>
  <si>
    <t>=NF($D4156,"6 Document No.")</t>
  </si>
  <si>
    <t>=NF($D4157,"6 Document No.")</t>
  </si>
  <si>
    <t>=NF($D4158,"6 Document No.")</t>
  </si>
  <si>
    <t>=NF($D4159,"6 Document No.")</t>
  </si>
  <si>
    <t>=NF($D4160,"6 Document No.")</t>
  </si>
  <si>
    <t>=NF($D4161,"6 Document No.")</t>
  </si>
  <si>
    <t>=NF($D4162,"6 Document No.")</t>
  </si>
  <si>
    <t>=NF($D4163,"6 Document No.")</t>
  </si>
  <si>
    <t>=NF($D4164,"6 Document No.")</t>
  </si>
  <si>
    <t>=NF($D4165,"6 Document No.")</t>
  </si>
  <si>
    <t>=NF($D4149,"37 Due Date")</t>
  </si>
  <si>
    <t>=NF($D4150,"37 Due Date")</t>
  </si>
  <si>
    <t>=NF($D4151,"37 Due Date")</t>
  </si>
  <si>
    <t>=NF($D4152,"37 Due Date")</t>
  </si>
  <si>
    <t>=NF($D4153,"37 Due Date")</t>
  </si>
  <si>
    <t>=NF($D4154,"37 Due Date")</t>
  </si>
  <si>
    <t>=NF($D4155,"37 Due Date")</t>
  </si>
  <si>
    <t>=NF($D4156,"37 Due Date")</t>
  </si>
  <si>
    <t>=NF($D4157,"37 Due Date")</t>
  </si>
  <si>
    <t>=NF($D4158,"37 Due Date")</t>
  </si>
  <si>
    <t>=NF($D4159,"37 Due Date")</t>
  </si>
  <si>
    <t>=NF($D4160,"37 Due Date")</t>
  </si>
  <si>
    <t>=NF($D4161,"37 Due Date")</t>
  </si>
  <si>
    <t>=NF($D4162,"37 Due Date")</t>
  </si>
  <si>
    <t>=NF($D4163,"37 Due Date")</t>
  </si>
  <si>
    <t>=NF($D4164,"37 Due Date")</t>
  </si>
  <si>
    <t>=NF($D4165,"37 Due Date")</t>
  </si>
  <si>
    <t>=NF($D4149,"16 Remaining Amt. (LCY)")</t>
  </si>
  <si>
    <t>=NF($D4150,"16 Remaining Amt. (LCY)")</t>
  </si>
  <si>
    <t>=NF($D4151,"16 Remaining Amt. (LCY)")</t>
  </si>
  <si>
    <t>=NF($D4152,"16 Remaining Amt. (LCY)")</t>
  </si>
  <si>
    <t>=NF($D4153,"16 Remaining Amt. (LCY)")</t>
  </si>
  <si>
    <t>=NF($D4154,"16 Remaining Amt. (LCY)")</t>
  </si>
  <si>
    <t>=NF($D4155,"16 Remaining Amt. (LCY)")</t>
  </si>
  <si>
    <t>=NF($D4156,"16 Remaining Amt. (LCY)")</t>
  </si>
  <si>
    <t>=NF($D4157,"16 Remaining Amt. (LCY)")</t>
  </si>
  <si>
    <t>=NF($D4158,"16 Remaining Amt. (LCY)")</t>
  </si>
  <si>
    <t>=NF($D4159,"16 Remaining Amt. (LCY)")</t>
  </si>
  <si>
    <t>=NF($D4160,"16 Remaining Amt. (LCY)")</t>
  </si>
  <si>
    <t>=NF($D4161,"16 Remaining Amt. (LCY)")</t>
  </si>
  <si>
    <t>=NF($D4162,"16 Remaining Amt. (LCY)")</t>
  </si>
  <si>
    <t>=NF($D4163,"16 Remaining Amt. (LCY)")</t>
  </si>
  <si>
    <t>=NF($D4164,"16 Remaining Amt. (LCY)")</t>
  </si>
  <si>
    <t>=NF($D4165,"16 Remaining Amt. (LCY)")</t>
  </si>
  <si>
    <t>=NF($D4112,"5 Document Type")</t>
  </si>
  <si>
    <t>=NF($D4113,"5 Document Type")</t>
  </si>
  <si>
    <t>=NF($D4114,"5 Document Type")</t>
  </si>
  <si>
    <t>=NF($D4115,"5 Document Type")</t>
  </si>
  <si>
    <t>=NF($D4116,"5 Document Type")</t>
  </si>
  <si>
    <t>=NF($D4117,"5 Document Type")</t>
  </si>
  <si>
    <t>=NF($D4118,"5 Document Type")</t>
  </si>
  <si>
    <t>=NF($D4119,"5 Document Type")</t>
  </si>
  <si>
    <t>=NF($D4120,"5 Document Type")</t>
  </si>
  <si>
    <t>=NF($D4121,"5 Document Type")</t>
  </si>
  <si>
    <t>=NF($D4122,"5 Document Type")</t>
  </si>
  <si>
    <t>=NF($D4123,"5 Document Type")</t>
  </si>
  <si>
    <t>=NF($D4124,"5 Document Type")</t>
  </si>
  <si>
    <t>=NF($D4125,"5 Document Type")</t>
  </si>
  <si>
    <t>=NF($D4126,"5 Document Type")</t>
  </si>
  <si>
    <t>=NF($D4127,"5 Document Type")</t>
  </si>
  <si>
    <t>=NF($D4128,"5 Document Type")</t>
  </si>
  <si>
    <t>=NF($D4129,"5 Document Type")</t>
  </si>
  <si>
    <t>=NF($D4130,"5 Document Type")</t>
  </si>
  <si>
    <t>=NF($D4131,"5 Document Type")</t>
  </si>
  <si>
    <t>=NF($D4132,"5 Document Type")</t>
  </si>
  <si>
    <t>=NF($D4133,"5 Document Type")</t>
  </si>
  <si>
    <t>=NF($D4134,"5 Document Type")</t>
  </si>
  <si>
    <t>=NF($D4135,"5 Document Type")</t>
  </si>
  <si>
    <t>=NF($D4136,"5 Document Type")</t>
  </si>
  <si>
    <t>=NF($D4137,"5 Document Type")</t>
  </si>
  <si>
    <t>=NF($D4138,"5 Document Type")</t>
  </si>
  <si>
    <t>=NF($D4139,"5 Document Type")</t>
  </si>
  <si>
    <t>=NF($D4140,"5 Document Type")</t>
  </si>
  <si>
    <t>=NF($D4141,"5 Document Type")</t>
  </si>
  <si>
    <t>=NF($D4142,"5 Document Type")</t>
  </si>
  <si>
    <t>=NF($D4112,"6 Document No.")</t>
  </si>
  <si>
    <t>=NF($D4113,"6 Document No.")</t>
  </si>
  <si>
    <t>=NF($D4114,"6 Document No.")</t>
  </si>
  <si>
    <t>=NF($D4115,"6 Document No.")</t>
  </si>
  <si>
    <t>=NF($D4116,"6 Document No.")</t>
  </si>
  <si>
    <t>=NF($D4117,"6 Document No.")</t>
  </si>
  <si>
    <t>=NF($D4118,"6 Document No.")</t>
  </si>
  <si>
    <t>=NF($D4119,"6 Document No.")</t>
  </si>
  <si>
    <t>=NF($D4120,"6 Document No.")</t>
  </si>
  <si>
    <t>=NF($D4121,"6 Document No.")</t>
  </si>
  <si>
    <t>=NF($D4122,"6 Document No.")</t>
  </si>
  <si>
    <t>=NF($D4123,"6 Document No.")</t>
  </si>
  <si>
    <t>=NF($D4124,"6 Document No.")</t>
  </si>
  <si>
    <t>=NF($D4125,"6 Document No.")</t>
  </si>
  <si>
    <t>=NF($D4126,"6 Document No.")</t>
  </si>
  <si>
    <t>=NF($D4127,"6 Document No.")</t>
  </si>
  <si>
    <t>=NF($D4128,"6 Document No.")</t>
  </si>
  <si>
    <t>=NF($D4129,"6 Document No.")</t>
  </si>
  <si>
    <t>=NF($D4130,"6 Document No.")</t>
  </si>
  <si>
    <t>=NF($D4131,"6 Document No.")</t>
  </si>
  <si>
    <t>=NF($D4132,"6 Document No.")</t>
  </si>
  <si>
    <t>=NF($D4133,"6 Document No.")</t>
  </si>
  <si>
    <t>=NF($D4134,"6 Document No.")</t>
  </si>
  <si>
    <t>=NF($D4135,"6 Document No.")</t>
  </si>
  <si>
    <t>=NF($D4136,"6 Document No.")</t>
  </si>
  <si>
    <t>=NF($D4137,"6 Document No.")</t>
  </si>
  <si>
    <t>=NF($D4138,"6 Document No.")</t>
  </si>
  <si>
    <t>=NF($D4139,"6 Document No.")</t>
  </si>
  <si>
    <t>=NF($D4140,"6 Document No.")</t>
  </si>
  <si>
    <t>=NF($D4141,"6 Document No.")</t>
  </si>
  <si>
    <t>=NF($D4142,"6 Document No.")</t>
  </si>
  <si>
    <t>=NF($D4112,"37 Due Date")</t>
  </si>
  <si>
    <t>=NF($D4113,"37 Due Date")</t>
  </si>
  <si>
    <t>=NF($D4114,"37 Due Date")</t>
  </si>
  <si>
    <t>=NF($D4115,"37 Due Date")</t>
  </si>
  <si>
    <t>=NF($D4116,"37 Due Date")</t>
  </si>
  <si>
    <t>=NF($D4117,"37 Due Date")</t>
  </si>
  <si>
    <t>=NF($D4118,"37 Due Date")</t>
  </si>
  <si>
    <t>=NF($D4119,"37 Due Date")</t>
  </si>
  <si>
    <t>=NF($D4120,"37 Due Date")</t>
  </si>
  <si>
    <t>=NF($D4121,"37 Due Date")</t>
  </si>
  <si>
    <t>=NF($D4122,"37 Due Date")</t>
  </si>
  <si>
    <t>=NF($D4123,"37 Due Date")</t>
  </si>
  <si>
    <t>=NF($D4124,"37 Due Date")</t>
  </si>
  <si>
    <t>=NF($D4125,"37 Due Date")</t>
  </si>
  <si>
    <t>=NF($D4126,"37 Due Date")</t>
  </si>
  <si>
    <t>=NF($D4127,"37 Due Date")</t>
  </si>
  <si>
    <t>=NF($D4128,"37 Due Date")</t>
  </si>
  <si>
    <t>=NF($D4129,"37 Due Date")</t>
  </si>
  <si>
    <t>=NF($D4130,"37 Due Date")</t>
  </si>
  <si>
    <t>=NF($D4131,"37 Due Date")</t>
  </si>
  <si>
    <t>=NF($D4132,"37 Due Date")</t>
  </si>
  <si>
    <t>=NF($D4133,"37 Due Date")</t>
  </si>
  <si>
    <t>=NF($D4134,"37 Due Date")</t>
  </si>
  <si>
    <t>=NF($D4135,"37 Due Date")</t>
  </si>
  <si>
    <t>=NF($D4136,"37 Due Date")</t>
  </si>
  <si>
    <t>=NF($D4137,"37 Due Date")</t>
  </si>
  <si>
    <t>=NF($D4138,"37 Due Date")</t>
  </si>
  <si>
    <t>=NF($D4139,"37 Due Date")</t>
  </si>
  <si>
    <t>=NF($D4140,"37 Due Date")</t>
  </si>
  <si>
    <t>=NF($D4141,"37 Due Date")</t>
  </si>
  <si>
    <t>=NF($D4142,"37 Due Date")</t>
  </si>
  <si>
    <t>=NF($D4112,"16 Remaining Amt. (LCY)")</t>
  </si>
  <si>
    <t>=NF($D4113,"16 Remaining Amt. (LCY)")</t>
  </si>
  <si>
    <t>=NF($D4114,"16 Remaining Amt. (LCY)")</t>
  </si>
  <si>
    <t>=NF($D4115,"16 Remaining Amt. (LCY)")</t>
  </si>
  <si>
    <t>=NF($D4116,"16 Remaining Amt. (LCY)")</t>
  </si>
  <si>
    <t>=NF($D4117,"16 Remaining Amt. (LCY)")</t>
  </si>
  <si>
    <t>=NF($D4118,"16 Remaining Amt. (LCY)")</t>
  </si>
  <si>
    <t>=NF($D4119,"16 Remaining Amt. (LCY)")</t>
  </si>
  <si>
    <t>=NF($D4120,"16 Remaining Amt. (LCY)")</t>
  </si>
  <si>
    <t>=NF($D4121,"16 Remaining Amt. (LCY)")</t>
  </si>
  <si>
    <t>=NF($D4122,"16 Remaining Amt. (LCY)")</t>
  </si>
  <si>
    <t>=NF($D4123,"16 Remaining Amt. (LCY)")</t>
  </si>
  <si>
    <t>=NF($D4124,"16 Remaining Amt. (LCY)")</t>
  </si>
  <si>
    <t>=NF($D4125,"16 Remaining Amt. (LCY)")</t>
  </si>
  <si>
    <t>=NF($D4126,"16 Remaining Amt. (LCY)")</t>
  </si>
  <si>
    <t>=NF($D4127,"16 Remaining Amt. (LCY)")</t>
  </si>
  <si>
    <t>=NF($D4128,"16 Remaining Amt. (LCY)")</t>
  </si>
  <si>
    <t>=NF($D4129,"16 Remaining Amt. (LCY)")</t>
  </si>
  <si>
    <t>=NF($D4130,"16 Remaining Amt. (LCY)")</t>
  </si>
  <si>
    <t>=NF($D4131,"16 Remaining Amt. (LCY)")</t>
  </si>
  <si>
    <t>=NF($D4132,"16 Remaining Amt. (LCY)")</t>
  </si>
  <si>
    <t>=NF($D4133,"16 Remaining Amt. (LCY)")</t>
  </si>
  <si>
    <t>=NF($D4134,"16 Remaining Amt. (LCY)")</t>
  </si>
  <si>
    <t>=NF($D4135,"16 Remaining Amt. (LCY)")</t>
  </si>
  <si>
    <t>=NF($D4136,"16 Remaining Amt. (LCY)")</t>
  </si>
  <si>
    <t>=NF($D4137,"16 Remaining Amt. (LCY)")</t>
  </si>
  <si>
    <t>=NF($D4138,"16 Remaining Amt. (LCY)")</t>
  </si>
  <si>
    <t>=NF($D4139,"16 Remaining Amt. (LCY)")</t>
  </si>
  <si>
    <t>=NF($D4140,"16 Remaining Amt. (LCY)")</t>
  </si>
  <si>
    <t>=NF($D4141,"16 Remaining Amt. (LCY)")</t>
  </si>
  <si>
    <t>=NF($D4142,"16 Remaining Amt. (LCY)")</t>
  </si>
  <si>
    <t>=NF($D4061,"5 Document Type")</t>
  </si>
  <si>
    <t>=NF($D4062,"5 Document Type")</t>
  </si>
  <si>
    <t>=NF($D4063,"5 Document Type")</t>
  </si>
  <si>
    <t>=NF($D4064,"5 Document Type")</t>
  </si>
  <si>
    <t>=NF($D4065,"5 Document Type")</t>
  </si>
  <si>
    <t>=NF($D4066,"5 Document Type")</t>
  </si>
  <si>
    <t>=NF($D4067,"5 Document Type")</t>
  </si>
  <si>
    <t>=NF($D4068,"5 Document Type")</t>
  </si>
  <si>
    <t>=NF($D4069,"5 Document Type")</t>
  </si>
  <si>
    <t>=NF($D4070,"5 Document Type")</t>
  </si>
  <si>
    <t>=NF($D4071,"5 Document Type")</t>
  </si>
  <si>
    <t>=NF($D4072,"5 Document Type")</t>
  </si>
  <si>
    <t>=NF($D4073,"5 Document Type")</t>
  </si>
  <si>
    <t>=NF($D4074,"5 Document Type")</t>
  </si>
  <si>
    <t>=NF($D4075,"5 Document Type")</t>
  </si>
  <si>
    <t>=NF($D4076,"5 Document Type")</t>
  </si>
  <si>
    <t>=NF($D4077,"5 Document Type")</t>
  </si>
  <si>
    <t>=NF($D4078,"5 Document Type")</t>
  </si>
  <si>
    <t>=NF($D4079,"5 Document Type")</t>
  </si>
  <si>
    <t>=NF($D4080,"5 Document Type")</t>
  </si>
  <si>
    <t>=NF($D4081,"5 Document Type")</t>
  </si>
  <si>
    <t>=NF($D4082,"5 Document Type")</t>
  </si>
  <si>
    <t>=NF($D4083,"5 Document Type")</t>
  </si>
  <si>
    <t>=NF($D4084,"5 Document Type")</t>
  </si>
  <si>
    <t>=NF($D4085,"5 Document Type")</t>
  </si>
  <si>
    <t>=NF($D4086,"5 Document Type")</t>
  </si>
  <si>
    <t>=NF($D4087,"5 Document Type")</t>
  </si>
  <si>
    <t>=NF($D4088,"5 Document Type")</t>
  </si>
  <si>
    <t>=NF($D4089,"5 Document Type")</t>
  </si>
  <si>
    <t>=NF($D4090,"5 Document Type")</t>
  </si>
  <si>
    <t>=NF($D4091,"5 Document Type")</t>
  </si>
  <si>
    <t>=NF($D4092,"5 Document Type")</t>
  </si>
  <si>
    <t>=NF($D4093,"5 Document Type")</t>
  </si>
  <si>
    <t>=NF($D4094,"5 Document Type")</t>
  </si>
  <si>
    <t>=NF($D4095,"5 Document Type")</t>
  </si>
  <si>
    <t>=NF($D4096,"5 Document Type")</t>
  </si>
  <si>
    <t>=NF($D4097,"5 Document Type")</t>
  </si>
  <si>
    <t>=NF($D4098,"5 Document Type")</t>
  </si>
  <si>
    <t>=NF($D4099,"5 Document Type")</t>
  </si>
  <si>
    <t>=NF($D4100,"5 Document Type")</t>
  </si>
  <si>
    <t>=NF($D4101,"5 Document Type")</t>
  </si>
  <si>
    <t>=NF($D4102,"5 Document Type")</t>
  </si>
  <si>
    <t>=NF($D4103,"5 Document Type")</t>
  </si>
  <si>
    <t>=NF($D4104,"5 Document Type")</t>
  </si>
  <si>
    <t>=NF($D4105,"5 Document Type")</t>
  </si>
  <si>
    <t>=NF($D4061,"6 Document No.")</t>
  </si>
  <si>
    <t>=NF($D4062,"6 Document No.")</t>
  </si>
  <si>
    <t>=NF($D4063,"6 Document No.")</t>
  </si>
  <si>
    <t>=NF($D4064,"6 Document No.")</t>
  </si>
  <si>
    <t>=NF($D4065,"6 Document No.")</t>
  </si>
  <si>
    <t>=NF($D4066,"6 Document No.")</t>
  </si>
  <si>
    <t>=NF($D4067,"6 Document No.")</t>
  </si>
  <si>
    <t>=NF($D4068,"6 Document No.")</t>
  </si>
  <si>
    <t>=NF($D4069,"6 Document No.")</t>
  </si>
  <si>
    <t>=NF($D4070,"6 Document No.")</t>
  </si>
  <si>
    <t>=NF($D4071,"6 Document No.")</t>
  </si>
  <si>
    <t>=NF($D4072,"6 Document No.")</t>
  </si>
  <si>
    <t>=NF($D4073,"6 Document No.")</t>
  </si>
  <si>
    <t>=NF($D4074,"6 Document No.")</t>
  </si>
  <si>
    <t>=NF($D4075,"6 Document No.")</t>
  </si>
  <si>
    <t>=NF($D4076,"6 Document No.")</t>
  </si>
  <si>
    <t>=NF($D4077,"6 Document No.")</t>
  </si>
  <si>
    <t>=NF($D4078,"6 Document No.")</t>
  </si>
  <si>
    <t>=NF($D4079,"6 Document No.")</t>
  </si>
  <si>
    <t>=NF($D4080,"6 Document No.")</t>
  </si>
  <si>
    <t>=NF($D4081,"6 Document No.")</t>
  </si>
  <si>
    <t>=NF($D4082,"6 Document No.")</t>
  </si>
  <si>
    <t>=NF($D4083,"6 Document No.")</t>
  </si>
  <si>
    <t>=NF($D4084,"6 Document No.")</t>
  </si>
  <si>
    <t>=NF($D4085,"6 Document No.")</t>
  </si>
  <si>
    <t>=NF($D4086,"6 Document No.")</t>
  </si>
  <si>
    <t>=NF($D4087,"6 Document No.")</t>
  </si>
  <si>
    <t>=NF($D4088,"6 Document No.")</t>
  </si>
  <si>
    <t>=NF($D4089,"6 Document No.")</t>
  </si>
  <si>
    <t>=NF($D4090,"6 Document No.")</t>
  </si>
  <si>
    <t>=NF($D4091,"6 Document No.")</t>
  </si>
  <si>
    <t>=NF($D4092,"6 Document No.")</t>
  </si>
  <si>
    <t>=NF($D4093,"6 Document No.")</t>
  </si>
  <si>
    <t>=NF($D4094,"6 Document No.")</t>
  </si>
  <si>
    <t>=NF($D4095,"6 Document No.")</t>
  </si>
  <si>
    <t>=NF($D4096,"6 Document No.")</t>
  </si>
  <si>
    <t>=NF($D4097,"6 Document No.")</t>
  </si>
  <si>
    <t>=NF($D4098,"6 Document No.")</t>
  </si>
  <si>
    <t>=NF($D4099,"6 Document No.")</t>
  </si>
  <si>
    <t>=NF($D4100,"6 Document No.")</t>
  </si>
  <si>
    <t>=NF($D4101,"6 Document No.")</t>
  </si>
  <si>
    <t>=NF($D4102,"6 Document No.")</t>
  </si>
  <si>
    <t>=NF($D4103,"6 Document No.")</t>
  </si>
  <si>
    <t>=NF($D4104,"6 Document No.")</t>
  </si>
  <si>
    <t>=NF($D4105,"6 Document No.")</t>
  </si>
  <si>
    <t>=NF($D4061,"37 Due Date")</t>
  </si>
  <si>
    <t>=NF($D4062,"37 Due Date")</t>
  </si>
  <si>
    <t>=NF($D4063,"37 Due Date")</t>
  </si>
  <si>
    <t>=NF($D4064,"37 Due Date")</t>
  </si>
  <si>
    <t>=NF($D4065,"37 Due Date")</t>
  </si>
  <si>
    <t>=NF($D4066,"37 Due Date")</t>
  </si>
  <si>
    <t>=NF($D4067,"37 Due Date")</t>
  </si>
  <si>
    <t>=NF($D4068,"37 Due Date")</t>
  </si>
  <si>
    <t>=NF($D4069,"37 Due Date")</t>
  </si>
  <si>
    <t>=NF($D4070,"37 Due Date")</t>
  </si>
  <si>
    <t>=NF($D4071,"37 Due Date")</t>
  </si>
  <si>
    <t>=NF($D4072,"37 Due Date")</t>
  </si>
  <si>
    <t>=NF($D4073,"37 Due Date")</t>
  </si>
  <si>
    <t>=NF($D4074,"37 Due Date")</t>
  </si>
  <si>
    <t>=NF($D4075,"37 Due Date")</t>
  </si>
  <si>
    <t>=NF($D4076,"37 Due Date")</t>
  </si>
  <si>
    <t>=NF($D4077,"37 Due Date")</t>
  </si>
  <si>
    <t>=NF($D4078,"37 Due Date")</t>
  </si>
  <si>
    <t>=NF($D4079,"37 Due Date")</t>
  </si>
  <si>
    <t>=NF($D4080,"37 Due Date")</t>
  </si>
  <si>
    <t>=NF($D4081,"37 Due Date")</t>
  </si>
  <si>
    <t>=NF($D4082,"37 Due Date")</t>
  </si>
  <si>
    <t>=NF($D4083,"37 Due Date")</t>
  </si>
  <si>
    <t>=NF($D4084,"37 Due Date")</t>
  </si>
  <si>
    <t>=NF($D4085,"37 Due Date")</t>
  </si>
  <si>
    <t>=NF($D4086,"37 Due Date")</t>
  </si>
  <si>
    <t>=NF($D4087,"37 Due Date")</t>
  </si>
  <si>
    <t>=NF($D4088,"37 Due Date")</t>
  </si>
  <si>
    <t>=NF($D4089,"37 Due Date")</t>
  </si>
  <si>
    <t>=NF($D4090,"37 Due Date")</t>
  </si>
  <si>
    <t>=NF($D4091,"37 Due Date")</t>
  </si>
  <si>
    <t>=NF($D4092,"37 Due Date")</t>
  </si>
  <si>
    <t>=NF($D4093,"37 Due Date")</t>
  </si>
  <si>
    <t>=NF($D4094,"37 Due Date")</t>
  </si>
  <si>
    <t>=NF($D4095,"37 Due Date")</t>
  </si>
  <si>
    <t>=NF($D4096,"37 Due Date")</t>
  </si>
  <si>
    <t>=NF($D4097,"37 Due Date")</t>
  </si>
  <si>
    <t>=NF($D4098,"37 Due Date")</t>
  </si>
  <si>
    <t>=NF($D4099,"37 Due Date")</t>
  </si>
  <si>
    <t>=NF($D4100,"37 Due Date")</t>
  </si>
  <si>
    <t>=NF($D4101,"37 Due Date")</t>
  </si>
  <si>
    <t>=NF($D4102,"37 Due Date")</t>
  </si>
  <si>
    <t>=NF($D4103,"37 Due Date")</t>
  </si>
  <si>
    <t>=NF($D4104,"37 Due Date")</t>
  </si>
  <si>
    <t>=NF($D4105,"37 Due Date")</t>
  </si>
  <si>
    <t>=NF($D4061,"16 Remaining Amt. (LCY)")</t>
  </si>
  <si>
    <t>=NF($D4062,"16 Remaining Amt. (LCY)")</t>
  </si>
  <si>
    <t>=NF($D4063,"16 Remaining Amt. (LCY)")</t>
  </si>
  <si>
    <t>=NF($D4064,"16 Remaining Amt. (LCY)")</t>
  </si>
  <si>
    <t>=NF($D4065,"16 Remaining Amt. (LCY)")</t>
  </si>
  <si>
    <t>=NF($D4066,"16 Remaining Amt. (LCY)")</t>
  </si>
  <si>
    <t>=NF($D4067,"16 Remaining Amt. (LCY)")</t>
  </si>
  <si>
    <t>=NF($D4068,"16 Remaining Amt. (LCY)")</t>
  </si>
  <si>
    <t>=NF($D4069,"16 Remaining Amt. (LCY)")</t>
  </si>
  <si>
    <t>=NF($D4070,"16 Remaining Amt. (LCY)")</t>
  </si>
  <si>
    <t>=NF($D4071,"16 Remaining Amt. (LCY)")</t>
  </si>
  <si>
    <t>=NF($D4072,"16 Remaining Amt. (LCY)")</t>
  </si>
  <si>
    <t>=NF($D4073,"16 Remaining Amt. (LCY)")</t>
  </si>
  <si>
    <t>=NF($D4074,"16 Remaining Amt. (LCY)")</t>
  </si>
  <si>
    <t>=NF($D4075,"16 Remaining Amt. (LCY)")</t>
  </si>
  <si>
    <t>=NF($D4076,"16 Remaining Amt. (LCY)")</t>
  </si>
  <si>
    <t>=NF($D4077,"16 Remaining Amt. (LCY)")</t>
  </si>
  <si>
    <t>=NF($D4078,"16 Remaining Amt. (LCY)")</t>
  </si>
  <si>
    <t>=NF($D4079,"16 Remaining Amt. (LCY)")</t>
  </si>
  <si>
    <t>=NF($D4080,"16 Remaining Amt. (LCY)")</t>
  </si>
  <si>
    <t>=NF($D4081,"16 Remaining Amt. (LCY)")</t>
  </si>
  <si>
    <t>=NF($D4082,"16 Remaining Amt. (LCY)")</t>
  </si>
  <si>
    <t>=NF($D4083,"16 Remaining Amt. (LCY)")</t>
  </si>
  <si>
    <t>=NF($D4084,"16 Remaining Amt. (LCY)")</t>
  </si>
  <si>
    <t>=NF($D4085,"16 Remaining Amt. (LCY)")</t>
  </si>
  <si>
    <t>=NF($D4086,"16 Remaining Amt. (LCY)")</t>
  </si>
  <si>
    <t>=NF($D4087,"16 Remaining Amt. (LCY)")</t>
  </si>
  <si>
    <t>=NF($D4088,"16 Remaining Amt. (LCY)")</t>
  </si>
  <si>
    <t>=NF($D4089,"16 Remaining Amt. (LCY)")</t>
  </si>
  <si>
    <t>=NF($D4090,"16 Remaining Amt. (LCY)")</t>
  </si>
  <si>
    <t>=NF($D4091,"16 Remaining Amt. (LCY)")</t>
  </si>
  <si>
    <t>=NF($D4092,"16 Remaining Amt. (LCY)")</t>
  </si>
  <si>
    <t>=NF($D4093,"16 Remaining Amt. (LCY)")</t>
  </si>
  <si>
    <t>=NF($D4094,"16 Remaining Amt. (LCY)")</t>
  </si>
  <si>
    <t>=NF($D4095,"16 Remaining Amt. (LCY)")</t>
  </si>
  <si>
    <t>=NF($D4096,"16 Remaining Amt. (LCY)")</t>
  </si>
  <si>
    <t>=NF($D4097,"16 Remaining Amt. (LCY)")</t>
  </si>
  <si>
    <t>=NF($D4098,"16 Remaining Amt. (LCY)")</t>
  </si>
  <si>
    <t>=NF($D4099,"16 Remaining Amt. (LCY)")</t>
  </si>
  <si>
    <t>=NF($D4100,"16 Remaining Amt. (LCY)")</t>
  </si>
  <si>
    <t>=NF($D4101,"16 Remaining Amt. (LCY)")</t>
  </si>
  <si>
    <t>=NF($D4102,"16 Remaining Amt. (LCY)")</t>
  </si>
  <si>
    <t>=NF($D4103,"16 Remaining Amt. (LCY)")</t>
  </si>
  <si>
    <t>=NF($D4104,"16 Remaining Amt. (LCY)")</t>
  </si>
  <si>
    <t>=NF($D4105,"16 Remaining Amt. (LCY)")</t>
  </si>
  <si>
    <t>=NF($D4036,"5 Document Type")</t>
  </si>
  <si>
    <t>=NF($D4037,"5 Document Type")</t>
  </si>
  <si>
    <t>=NF($D4038,"5 Document Type")</t>
  </si>
  <si>
    <t>=NF($D4039,"5 Document Type")</t>
  </si>
  <si>
    <t>=NF($D4040,"5 Document Type")</t>
  </si>
  <si>
    <t>=NF($D4041,"5 Document Type")</t>
  </si>
  <si>
    <t>=NF($D4042,"5 Document Type")</t>
  </si>
  <si>
    <t>=NF($D4043,"5 Document Type")</t>
  </si>
  <si>
    <t>=NF($D4044,"5 Document Type")</t>
  </si>
  <si>
    <t>=NF($D4045,"5 Document Type")</t>
  </si>
  <si>
    <t>=NF($D4046,"5 Document Type")</t>
  </si>
  <si>
    <t>=NF($D4047,"5 Document Type")</t>
  </si>
  <si>
    <t>=NF($D4048,"5 Document Type")</t>
  </si>
  <si>
    <t>=NF($D4049,"5 Document Type")</t>
  </si>
  <si>
    <t>=NF($D4050,"5 Document Type")</t>
  </si>
  <si>
    <t>=NF($D4051,"5 Document Type")</t>
  </si>
  <si>
    <t>=NF($D4052,"5 Document Type")</t>
  </si>
  <si>
    <t>=NF($D4053,"5 Document Type")</t>
  </si>
  <si>
    <t>=NF($D4054,"5 Document Type")</t>
  </si>
  <si>
    <t>=NF($D4036,"6 Document No.")</t>
  </si>
  <si>
    <t>=NF($D4037,"6 Document No.")</t>
  </si>
  <si>
    <t>=NF($D4038,"6 Document No.")</t>
  </si>
  <si>
    <t>=NF($D4039,"6 Document No.")</t>
  </si>
  <si>
    <t>=NF($D4040,"6 Document No.")</t>
  </si>
  <si>
    <t>=NF($D4041,"6 Document No.")</t>
  </si>
  <si>
    <t>=NF($D4042,"6 Document No.")</t>
  </si>
  <si>
    <t>=NF($D4043,"6 Document No.")</t>
  </si>
  <si>
    <t>=NF($D4044,"6 Document No.")</t>
  </si>
  <si>
    <t>=NF($D4045,"6 Document No.")</t>
  </si>
  <si>
    <t>=NF($D4046,"6 Document No.")</t>
  </si>
  <si>
    <t>=NF($D4047,"6 Document No.")</t>
  </si>
  <si>
    <t>=NF($D4048,"6 Document No.")</t>
  </si>
  <si>
    <t>=NF($D4049,"6 Document No.")</t>
  </si>
  <si>
    <t>=NF($D4050,"6 Document No.")</t>
  </si>
  <si>
    <t>=NF($D4051,"6 Document No.")</t>
  </si>
  <si>
    <t>=NF($D4052,"6 Document No.")</t>
  </si>
  <si>
    <t>=NF($D4053,"6 Document No.")</t>
  </si>
  <si>
    <t>=NF($D4054,"6 Document No.")</t>
  </si>
  <si>
    <t>=NF($D4036,"37 Due Date")</t>
  </si>
  <si>
    <t>=NF($D4037,"37 Due Date")</t>
  </si>
  <si>
    <t>=NF($D4038,"37 Due Date")</t>
  </si>
  <si>
    <t>=NF($D4039,"37 Due Date")</t>
  </si>
  <si>
    <t>=NF($D4040,"37 Due Date")</t>
  </si>
  <si>
    <t>=NF($D4041,"37 Due Date")</t>
  </si>
  <si>
    <t>=NF($D4042,"37 Due Date")</t>
  </si>
  <si>
    <t>=NF($D4043,"37 Due Date")</t>
  </si>
  <si>
    <t>=NF($D4044,"37 Due Date")</t>
  </si>
  <si>
    <t>=NF($D4045,"37 Due Date")</t>
  </si>
  <si>
    <t>=NF($D4046,"37 Due Date")</t>
  </si>
  <si>
    <t>=NF($D4047,"37 Due Date")</t>
  </si>
  <si>
    <t>=NF($D4048,"37 Due Date")</t>
  </si>
  <si>
    <t>=NF($D4049,"37 Due Date")</t>
  </si>
  <si>
    <t>=NF($D4050,"37 Due Date")</t>
  </si>
  <si>
    <t>=NF($D4051,"37 Due Date")</t>
  </si>
  <si>
    <t>=NF($D4052,"37 Due Date")</t>
  </si>
  <si>
    <t>=NF($D4053,"37 Due Date")</t>
  </si>
  <si>
    <t>=NF($D4054,"37 Due Date")</t>
  </si>
  <si>
    <t>=NF($D4036,"16 Remaining Amt. (LCY)")</t>
  </si>
  <si>
    <t>=NF($D4037,"16 Remaining Amt. (LCY)")</t>
  </si>
  <si>
    <t>=NF($D4038,"16 Remaining Amt. (LCY)")</t>
  </si>
  <si>
    <t>=NF($D4039,"16 Remaining Amt. (LCY)")</t>
  </si>
  <si>
    <t>=NF($D4040,"16 Remaining Amt. (LCY)")</t>
  </si>
  <si>
    <t>=NF($D4041,"16 Remaining Amt. (LCY)")</t>
  </si>
  <si>
    <t>=NF($D4042,"16 Remaining Amt. (LCY)")</t>
  </si>
  <si>
    <t>=NF($D4043,"16 Remaining Amt. (LCY)")</t>
  </si>
  <si>
    <t>=NF($D4044,"16 Remaining Amt. (LCY)")</t>
  </si>
  <si>
    <t>=NF($D4045,"16 Remaining Amt. (LCY)")</t>
  </si>
  <si>
    <t>=NF($D4046,"16 Remaining Amt. (LCY)")</t>
  </si>
  <si>
    <t>=NF($D4047,"16 Remaining Amt. (LCY)")</t>
  </si>
  <si>
    <t>=NF($D4048,"16 Remaining Amt. (LCY)")</t>
  </si>
  <si>
    <t>=NF($D4049,"16 Remaining Amt. (LCY)")</t>
  </si>
  <si>
    <t>=NF($D4050,"16 Remaining Amt. (LCY)")</t>
  </si>
  <si>
    <t>=NF($D4051,"16 Remaining Amt. (LCY)")</t>
  </si>
  <si>
    <t>=NF($D4052,"16 Remaining Amt. (LCY)")</t>
  </si>
  <si>
    <t>=NF($D4053,"16 Remaining Amt. (LCY)")</t>
  </si>
  <si>
    <t>=NF($D4054,"16 Remaining Amt. (LCY)")</t>
  </si>
  <si>
    <t>=NF($D4000,"5 Document Type")</t>
  </si>
  <si>
    <t>=NF($D4001,"5 Document Type")</t>
  </si>
  <si>
    <t>=NF($D4002,"5 Document Type")</t>
  </si>
  <si>
    <t>=NF($D4003,"5 Document Type")</t>
  </si>
  <si>
    <t>=NF($D4004,"5 Document Type")</t>
  </si>
  <si>
    <t>=NF($D4005,"5 Document Type")</t>
  </si>
  <si>
    <t>=NF($D4006,"5 Document Type")</t>
  </si>
  <si>
    <t>=NF($D4007,"5 Document Type")</t>
  </si>
  <si>
    <t>=NF($D4008,"5 Document Type")</t>
  </si>
  <si>
    <t>=NF($D4009,"5 Document Type")</t>
  </si>
  <si>
    <t>=NF($D4010,"5 Document Type")</t>
  </si>
  <si>
    <t>=NF($D4011,"5 Document Type")</t>
  </si>
  <si>
    <t>=NF($D4012,"5 Document Type")</t>
  </si>
  <si>
    <t>=NF($D4013,"5 Document Type")</t>
  </si>
  <si>
    <t>=NF($D4014,"5 Document Type")</t>
  </si>
  <si>
    <t>=NF($D4015,"5 Document Type")</t>
  </si>
  <si>
    <t>=NF($D4016,"5 Document Type")</t>
  </si>
  <si>
    <t>=NF($D4017,"5 Document Type")</t>
  </si>
  <si>
    <t>=NF($D4018,"5 Document Type")</t>
  </si>
  <si>
    <t>=NF($D4019,"5 Document Type")</t>
  </si>
  <si>
    <t>=NF($D4020,"5 Document Type")</t>
  </si>
  <si>
    <t>=NF($D4021,"5 Document Type")</t>
  </si>
  <si>
    <t>=NF($D4022,"5 Document Type")</t>
  </si>
  <si>
    <t>=NF($D4023,"5 Document Type")</t>
  </si>
  <si>
    <t>=NF($D4024,"5 Document Type")</t>
  </si>
  <si>
    <t>=NF($D4025,"5 Document Type")</t>
  </si>
  <si>
    <t>=NF($D4026,"5 Document Type")</t>
  </si>
  <si>
    <t>=NF($D4027,"5 Document Type")</t>
  </si>
  <si>
    <t>=NF($D4028,"5 Document Type")</t>
  </si>
  <si>
    <t>=NF($D4029,"5 Document Type")</t>
  </si>
  <si>
    <t>=NF($D4000,"6 Document No.")</t>
  </si>
  <si>
    <t>=NF($D4001,"6 Document No.")</t>
  </si>
  <si>
    <t>=NF($D4002,"6 Document No.")</t>
  </si>
  <si>
    <t>=NF($D4003,"6 Document No.")</t>
  </si>
  <si>
    <t>=NF($D4004,"6 Document No.")</t>
  </si>
  <si>
    <t>=NF($D4005,"6 Document No.")</t>
  </si>
  <si>
    <t>=NF($D4006,"6 Document No.")</t>
  </si>
  <si>
    <t>=NF($D4007,"6 Document No.")</t>
  </si>
  <si>
    <t>=NF($D4008,"6 Document No.")</t>
  </si>
  <si>
    <t>=NF($D4009,"6 Document No.")</t>
  </si>
  <si>
    <t>=NF($D4010,"6 Document No.")</t>
  </si>
  <si>
    <t>=NF($D4011,"6 Document No.")</t>
  </si>
  <si>
    <t>=NF($D4012,"6 Document No.")</t>
  </si>
  <si>
    <t>=NF($D4013,"6 Document No.")</t>
  </si>
  <si>
    <t>=NF($D4014,"6 Document No.")</t>
  </si>
  <si>
    <t>=NF($D4015,"6 Document No.")</t>
  </si>
  <si>
    <t>=NF($D4016,"6 Document No.")</t>
  </si>
  <si>
    <t>=NF($D4017,"6 Document No.")</t>
  </si>
  <si>
    <t>=NF($D4018,"6 Document No.")</t>
  </si>
  <si>
    <t>=NF($D4019,"6 Document No.")</t>
  </si>
  <si>
    <t>=NF($D4020,"6 Document No.")</t>
  </si>
  <si>
    <t>=NF($D4021,"6 Document No.")</t>
  </si>
  <si>
    <t>=NF($D4022,"6 Document No.")</t>
  </si>
  <si>
    <t>=NF($D4023,"6 Document No.")</t>
  </si>
  <si>
    <t>=NF($D4024,"6 Document No.")</t>
  </si>
  <si>
    <t>=NF($D4025,"6 Document No.")</t>
  </si>
  <si>
    <t>=NF($D4026,"6 Document No.")</t>
  </si>
  <si>
    <t>=NF($D4027,"6 Document No.")</t>
  </si>
  <si>
    <t>=NF($D4028,"6 Document No.")</t>
  </si>
  <si>
    <t>=NF($D4029,"6 Document No.")</t>
  </si>
  <si>
    <t>=NF($D4000,"37 Due Date")</t>
  </si>
  <si>
    <t>=NF($D4001,"37 Due Date")</t>
  </si>
  <si>
    <t>=NF($D4002,"37 Due Date")</t>
  </si>
  <si>
    <t>=NF($D4003,"37 Due Date")</t>
  </si>
  <si>
    <t>=NF($D4004,"37 Due Date")</t>
  </si>
  <si>
    <t>=NF($D4005,"37 Due Date")</t>
  </si>
  <si>
    <t>=NF($D4006,"37 Due Date")</t>
  </si>
  <si>
    <t>=NF($D4007,"37 Due Date")</t>
  </si>
  <si>
    <t>=NF($D4008,"37 Due Date")</t>
  </si>
  <si>
    <t>=NF($D4009,"37 Due Date")</t>
  </si>
  <si>
    <t>=NF($D4010,"37 Due Date")</t>
  </si>
  <si>
    <t>=NF($D4011,"37 Due Date")</t>
  </si>
  <si>
    <t>=NF($D4012,"37 Due Date")</t>
  </si>
  <si>
    <t>=NF($D4013,"37 Due Date")</t>
  </si>
  <si>
    <t>=NF($D4014,"37 Due Date")</t>
  </si>
  <si>
    <t>=NF($D4015,"37 Due Date")</t>
  </si>
  <si>
    <t>=NF($D4016,"37 Due Date")</t>
  </si>
  <si>
    <t>=NF($D4017,"37 Due Date")</t>
  </si>
  <si>
    <t>=NF($D4018,"37 Due Date")</t>
  </si>
  <si>
    <t>=NF($D4019,"37 Due Date")</t>
  </si>
  <si>
    <t>=NF($D4020,"37 Due Date")</t>
  </si>
  <si>
    <t>=NF($D4021,"37 Due Date")</t>
  </si>
  <si>
    <t>=NF($D4022,"37 Due Date")</t>
  </si>
  <si>
    <t>=NF($D4023,"37 Due Date")</t>
  </si>
  <si>
    <t>=NF($D4024,"37 Due Date")</t>
  </si>
  <si>
    <t>=NF($D4025,"37 Due Date")</t>
  </si>
  <si>
    <t>=NF($D4026,"37 Due Date")</t>
  </si>
  <si>
    <t>=NF($D4027,"37 Due Date")</t>
  </si>
  <si>
    <t>=NF($D4028,"37 Due Date")</t>
  </si>
  <si>
    <t>=NF($D4029,"37 Due Date")</t>
  </si>
  <si>
    <t>=NF($D4000,"16 Remaining Amt. (LCY)")</t>
  </si>
  <si>
    <t>=NF($D4001,"16 Remaining Amt. (LCY)")</t>
  </si>
  <si>
    <t>=NF($D4002,"16 Remaining Amt. (LCY)")</t>
  </si>
  <si>
    <t>=NF($D4003,"16 Remaining Amt. (LCY)")</t>
  </si>
  <si>
    <t>=NF($D4004,"16 Remaining Amt. (LCY)")</t>
  </si>
  <si>
    <t>=NF($D4005,"16 Remaining Amt. (LCY)")</t>
  </si>
  <si>
    <t>=NF($D4006,"16 Remaining Amt. (LCY)")</t>
  </si>
  <si>
    <t>=NF($D4007,"16 Remaining Amt. (LCY)")</t>
  </si>
  <si>
    <t>=NF($D4008,"16 Remaining Amt. (LCY)")</t>
  </si>
  <si>
    <t>=NF($D4009,"16 Remaining Amt. (LCY)")</t>
  </si>
  <si>
    <t>=NF($D4010,"16 Remaining Amt. (LCY)")</t>
  </si>
  <si>
    <t>=NF($D4011,"16 Remaining Amt. (LCY)")</t>
  </si>
  <si>
    <t>=NF($D4012,"16 Remaining Amt. (LCY)")</t>
  </si>
  <si>
    <t>=NF($D4013,"16 Remaining Amt. (LCY)")</t>
  </si>
  <si>
    <t>=NF($D4014,"16 Remaining Amt. (LCY)")</t>
  </si>
  <si>
    <t>=NF($D4015,"16 Remaining Amt. (LCY)")</t>
  </si>
  <si>
    <t>=NF($D4016,"16 Remaining Amt. (LCY)")</t>
  </si>
  <si>
    <t>=NF($D4017,"16 Remaining Amt. (LCY)")</t>
  </si>
  <si>
    <t>=NF($D4018,"16 Remaining Amt. (LCY)")</t>
  </si>
  <si>
    <t>=NF($D4019,"16 Remaining Amt. (LCY)")</t>
  </si>
  <si>
    <t>=NF($D4020,"16 Remaining Amt. (LCY)")</t>
  </si>
  <si>
    <t>=NF($D4021,"16 Remaining Amt. (LCY)")</t>
  </si>
  <si>
    <t>=NF($D4022,"16 Remaining Amt. (LCY)")</t>
  </si>
  <si>
    <t>=NF($D4023,"16 Remaining Amt. (LCY)")</t>
  </si>
  <si>
    <t>=NF($D4024,"16 Remaining Amt. (LCY)")</t>
  </si>
  <si>
    <t>=NF($D4025,"16 Remaining Amt. (LCY)")</t>
  </si>
  <si>
    <t>=NF($D4026,"16 Remaining Amt. (LCY)")</t>
  </si>
  <si>
    <t>=NF($D4027,"16 Remaining Amt. (LCY)")</t>
  </si>
  <si>
    <t>=NF($D4028,"16 Remaining Amt. (LCY)")</t>
  </si>
  <si>
    <t>=NF($D4029,"16 Remaining Amt. (LCY)")</t>
  </si>
  <si>
    <t>=NF($D3926,"5 Document Type")</t>
  </si>
  <si>
    <t>=NF($D3927,"5 Document Type")</t>
  </si>
  <si>
    <t>=NF($D3928,"5 Document Type")</t>
  </si>
  <si>
    <t>=NF($D3929,"5 Document Type")</t>
  </si>
  <si>
    <t>=NF($D3930,"5 Document Type")</t>
  </si>
  <si>
    <t>=NF($D3931,"5 Document Type")</t>
  </si>
  <si>
    <t>=NF($D3932,"5 Document Type")</t>
  </si>
  <si>
    <t>=NF($D3933,"5 Document Type")</t>
  </si>
  <si>
    <t>=NF($D3934,"5 Document Type")</t>
  </si>
  <si>
    <t>=NF($D3935,"5 Document Type")</t>
  </si>
  <si>
    <t>=NF($D3936,"5 Document Type")</t>
  </si>
  <si>
    <t>=NF($D3937,"5 Document Type")</t>
  </si>
  <si>
    <t>=NF($D3938,"5 Document Type")</t>
  </si>
  <si>
    <t>=NF($D3939,"5 Document Type")</t>
  </si>
  <si>
    <t>=NF($D3940,"5 Document Type")</t>
  </si>
  <si>
    <t>=NF($D3941,"5 Document Type")</t>
  </si>
  <si>
    <t>=NF($D3942,"5 Document Type")</t>
  </si>
  <si>
    <t>=NF($D3943,"5 Document Type")</t>
  </si>
  <si>
    <t>=NF($D3944,"5 Document Type")</t>
  </si>
  <si>
    <t>=NF($D3945,"5 Document Type")</t>
  </si>
  <si>
    <t>=NF($D3946,"5 Document Type")</t>
  </si>
  <si>
    <t>=NF($D3947,"5 Document Type")</t>
  </si>
  <si>
    <t>=NF($D3948,"5 Document Type")</t>
  </si>
  <si>
    <t>=NF($D3949,"5 Document Type")</t>
  </si>
  <si>
    <t>=NF($D3950,"5 Document Type")</t>
  </si>
  <si>
    <t>=NF($D3951,"5 Document Type")</t>
  </si>
  <si>
    <t>=NF($D3952,"5 Document Type")</t>
  </si>
  <si>
    <t>=NF($D3953,"5 Document Type")</t>
  </si>
  <si>
    <t>=NF($D3954,"5 Document Type")</t>
  </si>
  <si>
    <t>=NF($D3955,"5 Document Type")</t>
  </si>
  <si>
    <t>=NF($D3956,"5 Document Type")</t>
  </si>
  <si>
    <t>=NF($D3957,"5 Document Type")</t>
  </si>
  <si>
    <t>=NF($D3958,"5 Document Type")</t>
  </si>
  <si>
    <t>=NF($D3959,"5 Document Type")</t>
  </si>
  <si>
    <t>=NF($D3960,"5 Document Type")</t>
  </si>
  <si>
    <t>=NF($D3961,"5 Document Type")</t>
  </si>
  <si>
    <t>=NF($D3962,"5 Document Type")</t>
  </si>
  <si>
    <t>=NF($D3963,"5 Document Type")</t>
  </si>
  <si>
    <t>=NF($D3964,"5 Document Type")</t>
  </si>
  <si>
    <t>=NF($D3965,"5 Document Type")</t>
  </si>
  <si>
    <t>=NF($D3966,"5 Document Type")</t>
  </si>
  <si>
    <t>=NF($D3967,"5 Document Type")</t>
  </si>
  <si>
    <t>=NF($D3968,"5 Document Type")</t>
  </si>
  <si>
    <t>=NF($D3969,"5 Document Type")</t>
  </si>
  <si>
    <t>=NF($D3970,"5 Document Type")</t>
  </si>
  <si>
    <t>=NF($D3971,"5 Document Type")</t>
  </si>
  <si>
    <t>=NF($D3972,"5 Document Type")</t>
  </si>
  <si>
    <t>=NF($D3973,"5 Document Type")</t>
  </si>
  <si>
    <t>=NF($D3974,"5 Document Type")</t>
  </si>
  <si>
    <t>=NF($D3975,"5 Document Type")</t>
  </si>
  <si>
    <t>=NF($D3976,"5 Document Type")</t>
  </si>
  <si>
    <t>=NF($D3977,"5 Document Type")</t>
  </si>
  <si>
    <t>=NF($D3978,"5 Document Type")</t>
  </si>
  <si>
    <t>=NF($D3979,"5 Document Type")</t>
  </si>
  <si>
    <t>=NF($D3980,"5 Document Type")</t>
  </si>
  <si>
    <t>=NF($D3981,"5 Document Type")</t>
  </si>
  <si>
    <t>=NF($D3982,"5 Document Type")</t>
  </si>
  <si>
    <t>=NF($D3983,"5 Document Type")</t>
  </si>
  <si>
    <t>=NF($D3984,"5 Document Type")</t>
  </si>
  <si>
    <t>=NF($D3985,"5 Document Type")</t>
  </si>
  <si>
    <t>=NF($D3986,"5 Document Type")</t>
  </si>
  <si>
    <t>=NF($D3987,"5 Document Type")</t>
  </si>
  <si>
    <t>=NF($D3988,"5 Document Type")</t>
  </si>
  <si>
    <t>=NF($D3989,"5 Document Type")</t>
  </si>
  <si>
    <t>=NF($D3990,"5 Document Type")</t>
  </si>
  <si>
    <t>=NF($D3991,"5 Document Type")</t>
  </si>
  <si>
    <t>=NF($D3992,"5 Document Type")</t>
  </si>
  <si>
    <t>=NF($D3993,"5 Document Type")</t>
  </si>
  <si>
    <t>=NF($D3926,"6 Document No.")</t>
  </si>
  <si>
    <t>=NF($D3927,"6 Document No.")</t>
  </si>
  <si>
    <t>=NF($D3928,"6 Document No.")</t>
  </si>
  <si>
    <t>=NF($D3929,"6 Document No.")</t>
  </si>
  <si>
    <t>=NF($D3930,"6 Document No.")</t>
  </si>
  <si>
    <t>=NF($D3931,"6 Document No.")</t>
  </si>
  <si>
    <t>=NF($D3932,"6 Document No.")</t>
  </si>
  <si>
    <t>=NF($D3933,"6 Document No.")</t>
  </si>
  <si>
    <t>=NF($D3934,"6 Document No.")</t>
  </si>
  <si>
    <t>=NF($D3935,"6 Document No.")</t>
  </si>
  <si>
    <t>=NF($D3936,"6 Document No.")</t>
  </si>
  <si>
    <t>=NF($D3937,"6 Document No.")</t>
  </si>
  <si>
    <t>=NF($D3938,"6 Document No.")</t>
  </si>
  <si>
    <t>=NF($D3939,"6 Document No.")</t>
  </si>
  <si>
    <t>=NF($D3940,"6 Document No.")</t>
  </si>
  <si>
    <t>=NF($D3941,"6 Document No.")</t>
  </si>
  <si>
    <t>=NF($D3942,"6 Document No.")</t>
  </si>
  <si>
    <t>=NF($D3943,"6 Document No.")</t>
  </si>
  <si>
    <t>=NF($D3944,"6 Document No.")</t>
  </si>
  <si>
    <t>=NF($D3945,"6 Document No.")</t>
  </si>
  <si>
    <t>=NF($D3946,"6 Document No.")</t>
  </si>
  <si>
    <t>=NF($D3947,"6 Document No.")</t>
  </si>
  <si>
    <t>=NF($D3948,"6 Document No.")</t>
  </si>
  <si>
    <t>=NF($D3949,"6 Document No.")</t>
  </si>
  <si>
    <t>=NF($D3950,"6 Document No.")</t>
  </si>
  <si>
    <t>=NF($D3951,"6 Document No.")</t>
  </si>
  <si>
    <t>=NF($D3952,"6 Document No.")</t>
  </si>
  <si>
    <t>=NF($D3953,"6 Document No.")</t>
  </si>
  <si>
    <t>=NF($D3954,"6 Document No.")</t>
  </si>
  <si>
    <t>=NF($D3955,"6 Document No.")</t>
  </si>
  <si>
    <t>=NF($D3956,"6 Document No.")</t>
  </si>
  <si>
    <t>=NF($D3957,"6 Document No.")</t>
  </si>
  <si>
    <t>=NF($D3958,"6 Document No.")</t>
  </si>
  <si>
    <t>=NF($D3959,"6 Document No.")</t>
  </si>
  <si>
    <t>=NF($D3960,"6 Document No.")</t>
  </si>
  <si>
    <t>=NF($D3961,"6 Document No.")</t>
  </si>
  <si>
    <t>=NF($D3962,"6 Document No.")</t>
  </si>
  <si>
    <t>=NF($D3963,"6 Document No.")</t>
  </si>
  <si>
    <t>=NF($D3964,"6 Document No.")</t>
  </si>
  <si>
    <t>=NF($D3965,"6 Document No.")</t>
  </si>
  <si>
    <t>=NF($D3966,"6 Document No.")</t>
  </si>
  <si>
    <t>=NF($D3967,"6 Document No.")</t>
  </si>
  <si>
    <t>=NF($D3968,"6 Document No.")</t>
  </si>
  <si>
    <t>=NF($D3969,"6 Document No.")</t>
  </si>
  <si>
    <t>=NF($D3970,"6 Document No.")</t>
  </si>
  <si>
    <t>=NF($D3971,"6 Document No.")</t>
  </si>
  <si>
    <t>=NF($D3972,"6 Document No.")</t>
  </si>
  <si>
    <t>=NF($D3973,"6 Document No.")</t>
  </si>
  <si>
    <t>=NF($D3974,"6 Document No.")</t>
  </si>
  <si>
    <t>=NF($D3975,"6 Document No.")</t>
  </si>
  <si>
    <t>=NF($D3976,"6 Document No.")</t>
  </si>
  <si>
    <t>=NF($D3977,"6 Document No.")</t>
  </si>
  <si>
    <t>=NF($D3978,"6 Document No.")</t>
  </si>
  <si>
    <t>=NF($D3979,"6 Document No.")</t>
  </si>
  <si>
    <t>=NF($D3980,"6 Document No.")</t>
  </si>
  <si>
    <t>=NF($D3981,"6 Document No.")</t>
  </si>
  <si>
    <t>=NF($D3982,"6 Document No.")</t>
  </si>
  <si>
    <t>=NF($D3983,"6 Document No.")</t>
  </si>
  <si>
    <t>=NF($D3984,"6 Document No.")</t>
  </si>
  <si>
    <t>=NF($D3985,"6 Document No.")</t>
  </si>
  <si>
    <t>=NF($D3986,"6 Document No.")</t>
  </si>
  <si>
    <t>=NF($D3987,"6 Document No.")</t>
  </si>
  <si>
    <t>=NF($D3988,"6 Document No.")</t>
  </si>
  <si>
    <t>=NF($D3989,"6 Document No.")</t>
  </si>
  <si>
    <t>=NF($D3990,"6 Document No.")</t>
  </si>
  <si>
    <t>=NF($D3991,"6 Document No.")</t>
  </si>
  <si>
    <t>=NF($D3992,"6 Document No.")</t>
  </si>
  <si>
    <t>=NF($D3993,"6 Document No.")</t>
  </si>
  <si>
    <t>=NF($D3926,"37 Due Date")</t>
  </si>
  <si>
    <t>=NF($D3927,"37 Due Date")</t>
  </si>
  <si>
    <t>=NF($D3928,"37 Due Date")</t>
  </si>
  <si>
    <t>=NF($D3929,"37 Due Date")</t>
  </si>
  <si>
    <t>=NF($D3930,"37 Due Date")</t>
  </si>
  <si>
    <t>=NF($D3931,"37 Due Date")</t>
  </si>
  <si>
    <t>=NF($D3932,"37 Due Date")</t>
  </si>
  <si>
    <t>=NF($D3933,"37 Due Date")</t>
  </si>
  <si>
    <t>=NF($D3934,"37 Due Date")</t>
  </si>
  <si>
    <t>=NF($D3935,"37 Due Date")</t>
  </si>
  <si>
    <t>=NF($D3936,"37 Due Date")</t>
  </si>
  <si>
    <t>=NF($D3937,"37 Due Date")</t>
  </si>
  <si>
    <t>=NF($D3938,"37 Due Date")</t>
  </si>
  <si>
    <t>=NF($D3939,"37 Due Date")</t>
  </si>
  <si>
    <t>=NF($D3940,"37 Due Date")</t>
  </si>
  <si>
    <t>=NF($D3941,"37 Due Date")</t>
  </si>
  <si>
    <t>=NF($D3942,"37 Due Date")</t>
  </si>
  <si>
    <t>=NF($D3943,"37 Due Date")</t>
  </si>
  <si>
    <t>=NF($D3944,"37 Due Date")</t>
  </si>
  <si>
    <t>=NF($D3945,"37 Due Date")</t>
  </si>
  <si>
    <t>=NF($D3946,"37 Due Date")</t>
  </si>
  <si>
    <t>=NF($D3947,"37 Due Date")</t>
  </si>
  <si>
    <t>=NF($D3948,"37 Due Date")</t>
  </si>
  <si>
    <t>=NF($D3949,"37 Due Date")</t>
  </si>
  <si>
    <t>=NF($D3950,"37 Due Date")</t>
  </si>
  <si>
    <t>=NF($D3951,"37 Due Date")</t>
  </si>
  <si>
    <t>=NF($D3952,"37 Due Date")</t>
  </si>
  <si>
    <t>=NF($D3953,"37 Due Date")</t>
  </si>
  <si>
    <t>=NF($D3954,"37 Due Date")</t>
  </si>
  <si>
    <t>=NF($D3955,"37 Due Date")</t>
  </si>
  <si>
    <t>=NF($D3956,"37 Due Date")</t>
  </si>
  <si>
    <t>=NF($D3957,"37 Due Date")</t>
  </si>
  <si>
    <t>=NF($D3958,"37 Due Date")</t>
  </si>
  <si>
    <t>=NF($D3959,"37 Due Date")</t>
  </si>
  <si>
    <t>=NF($D3960,"37 Due Date")</t>
  </si>
  <si>
    <t>=NF($D3961,"37 Due Date")</t>
  </si>
  <si>
    <t>=NF($D3962,"37 Due Date")</t>
  </si>
  <si>
    <t>=NF($D3963,"37 Due Date")</t>
  </si>
  <si>
    <t>=NF($D3964,"37 Due Date")</t>
  </si>
  <si>
    <t>=NF($D3965,"37 Due Date")</t>
  </si>
  <si>
    <t>=NF($D3966,"37 Due Date")</t>
  </si>
  <si>
    <t>=NF($D3967,"37 Due Date")</t>
  </si>
  <si>
    <t>=NF($D3968,"37 Due Date")</t>
  </si>
  <si>
    <t>=NF($D3969,"37 Due Date")</t>
  </si>
  <si>
    <t>=NF($D3970,"37 Due Date")</t>
  </si>
  <si>
    <t>=NF($D3971,"37 Due Date")</t>
  </si>
  <si>
    <t>=NF($D3972,"37 Due Date")</t>
  </si>
  <si>
    <t>=NF($D3973,"37 Due Date")</t>
  </si>
  <si>
    <t>=NF($D3974,"37 Due Date")</t>
  </si>
  <si>
    <t>=NF($D3975,"37 Due Date")</t>
  </si>
  <si>
    <t>=NF($D3976,"37 Due Date")</t>
  </si>
  <si>
    <t>=NF($D3977,"37 Due Date")</t>
  </si>
  <si>
    <t>=NF($D3978,"37 Due Date")</t>
  </si>
  <si>
    <t>=NF($D3979,"37 Due Date")</t>
  </si>
  <si>
    <t>=NF($D3980,"37 Due Date")</t>
  </si>
  <si>
    <t>=NF($D3981,"37 Due Date")</t>
  </si>
  <si>
    <t>=NF($D3982,"37 Due Date")</t>
  </si>
  <si>
    <t>=NF($D3983,"37 Due Date")</t>
  </si>
  <si>
    <t>=NF($D3984,"37 Due Date")</t>
  </si>
  <si>
    <t>=NF($D3985,"37 Due Date")</t>
  </si>
  <si>
    <t>=NF($D3986,"37 Due Date")</t>
  </si>
  <si>
    <t>=NF($D3987,"37 Due Date")</t>
  </si>
  <si>
    <t>=NF($D3988,"37 Due Date")</t>
  </si>
  <si>
    <t>=NF($D3989,"37 Due Date")</t>
  </si>
  <si>
    <t>=NF($D3990,"37 Due Date")</t>
  </si>
  <si>
    <t>=NF($D3991,"37 Due Date")</t>
  </si>
  <si>
    <t>=NF($D3992,"37 Due Date")</t>
  </si>
  <si>
    <t>=NF($D3993,"37 Due Date")</t>
  </si>
  <si>
    <t>=NF($D3926,"16 Remaining Amt. (LCY)")</t>
  </si>
  <si>
    <t>=NF($D3927,"16 Remaining Amt. (LCY)")</t>
  </si>
  <si>
    <t>=NF($D3928,"16 Remaining Amt. (LCY)")</t>
  </si>
  <si>
    <t>=NF($D3929,"16 Remaining Amt. (LCY)")</t>
  </si>
  <si>
    <t>=NF($D3930,"16 Remaining Amt. (LCY)")</t>
  </si>
  <si>
    <t>=NF($D3931,"16 Remaining Amt. (LCY)")</t>
  </si>
  <si>
    <t>=NF($D3932,"16 Remaining Amt. (LCY)")</t>
  </si>
  <si>
    <t>=NF($D3933,"16 Remaining Amt. (LCY)")</t>
  </si>
  <si>
    <t>=NF($D3934,"16 Remaining Amt. (LCY)")</t>
  </si>
  <si>
    <t>=NF($D3935,"16 Remaining Amt. (LCY)")</t>
  </si>
  <si>
    <t>=NF($D3936,"16 Remaining Amt. (LCY)")</t>
  </si>
  <si>
    <t>=NF($D3937,"16 Remaining Amt. (LCY)")</t>
  </si>
  <si>
    <t>=NF($D3938,"16 Remaining Amt. (LCY)")</t>
  </si>
  <si>
    <t>=NF($D3939,"16 Remaining Amt. (LCY)")</t>
  </si>
  <si>
    <t>=NF($D3940,"16 Remaining Amt. (LCY)")</t>
  </si>
  <si>
    <t>=NF($D3941,"16 Remaining Amt. (LCY)")</t>
  </si>
  <si>
    <t>=NF($D3942,"16 Remaining Amt. (LCY)")</t>
  </si>
  <si>
    <t>=NF($D3943,"16 Remaining Amt. (LCY)")</t>
  </si>
  <si>
    <t>=NF($D3944,"16 Remaining Amt. (LCY)")</t>
  </si>
  <si>
    <t>=NF($D3945,"16 Remaining Amt. (LCY)")</t>
  </si>
  <si>
    <t>=NF($D3946,"16 Remaining Amt. (LCY)")</t>
  </si>
  <si>
    <t>=NF($D3947,"16 Remaining Amt. (LCY)")</t>
  </si>
  <si>
    <t>=NF($D3948,"16 Remaining Amt. (LCY)")</t>
  </si>
  <si>
    <t>=NF($D3949,"16 Remaining Amt. (LCY)")</t>
  </si>
  <si>
    <t>=NF($D3950,"16 Remaining Amt. (LCY)")</t>
  </si>
  <si>
    <t>=NF($D3951,"16 Remaining Amt. (LCY)")</t>
  </si>
  <si>
    <t>=NF($D3952,"16 Remaining Amt. (LCY)")</t>
  </si>
  <si>
    <t>=NF($D3953,"16 Remaining Amt. (LCY)")</t>
  </si>
  <si>
    <t>=NF($D3954,"16 Remaining Amt. (LCY)")</t>
  </si>
  <si>
    <t>=NF($D3955,"16 Remaining Amt. (LCY)")</t>
  </si>
  <si>
    <t>=NF($D3956,"16 Remaining Amt. (LCY)")</t>
  </si>
  <si>
    <t>=NF($D3957,"16 Remaining Amt. (LCY)")</t>
  </si>
  <si>
    <t>=NF($D3958,"16 Remaining Amt. (LCY)")</t>
  </si>
  <si>
    <t>=NF($D3959,"16 Remaining Amt. (LCY)")</t>
  </si>
  <si>
    <t>=NF($D3960,"16 Remaining Amt. (LCY)")</t>
  </si>
  <si>
    <t>=NF($D3961,"16 Remaining Amt. (LCY)")</t>
  </si>
  <si>
    <t>=NF($D3962,"16 Remaining Amt. (LCY)")</t>
  </si>
  <si>
    <t>=NF($D3963,"16 Remaining Amt. (LCY)")</t>
  </si>
  <si>
    <t>=NF($D3964,"16 Remaining Amt. (LCY)")</t>
  </si>
  <si>
    <t>=NF($D3965,"16 Remaining Amt. (LCY)")</t>
  </si>
  <si>
    <t>=NF($D3966,"16 Remaining Amt. (LCY)")</t>
  </si>
  <si>
    <t>=NF($D3967,"16 Remaining Amt. (LCY)")</t>
  </si>
  <si>
    <t>=NF($D3968,"16 Remaining Amt. (LCY)")</t>
  </si>
  <si>
    <t>=NF($D3969,"16 Remaining Amt. (LCY)")</t>
  </si>
  <si>
    <t>=NF($D3970,"16 Remaining Amt. (LCY)")</t>
  </si>
  <si>
    <t>=NF($D3971,"16 Remaining Amt. (LCY)")</t>
  </si>
  <si>
    <t>=NF($D3972,"16 Remaining Amt. (LCY)")</t>
  </si>
  <si>
    <t>=NF($D3973,"16 Remaining Amt. (LCY)")</t>
  </si>
  <si>
    <t>=NF($D3974,"16 Remaining Amt. (LCY)")</t>
  </si>
  <si>
    <t>=NF($D3975,"16 Remaining Amt. (LCY)")</t>
  </si>
  <si>
    <t>=NF($D3976,"16 Remaining Amt. (LCY)")</t>
  </si>
  <si>
    <t>=NF($D3977,"16 Remaining Amt. (LCY)")</t>
  </si>
  <si>
    <t>=NF($D3978,"16 Remaining Amt. (LCY)")</t>
  </si>
  <si>
    <t>=NF($D3979,"16 Remaining Amt. (LCY)")</t>
  </si>
  <si>
    <t>=NF($D3980,"16 Remaining Amt. (LCY)")</t>
  </si>
  <si>
    <t>=NF($D3981,"16 Remaining Amt. (LCY)")</t>
  </si>
  <si>
    <t>=NF($D3982,"16 Remaining Amt. (LCY)")</t>
  </si>
  <si>
    <t>=NF($D3983,"16 Remaining Amt. (LCY)")</t>
  </si>
  <si>
    <t>=NF($D3984,"16 Remaining Amt. (LCY)")</t>
  </si>
  <si>
    <t>=NF($D3985,"16 Remaining Amt. (LCY)")</t>
  </si>
  <si>
    <t>=NF($D3986,"16 Remaining Amt. (LCY)")</t>
  </si>
  <si>
    <t>=NF($D3987,"16 Remaining Amt. (LCY)")</t>
  </si>
  <si>
    <t>=NF($D3988,"16 Remaining Amt. (LCY)")</t>
  </si>
  <si>
    <t>=NF($D3989,"16 Remaining Amt. (LCY)")</t>
  </si>
  <si>
    <t>=NF($D3990,"16 Remaining Amt. (LCY)")</t>
  </si>
  <si>
    <t>=NF($D3991,"16 Remaining Amt. (LCY)")</t>
  </si>
  <si>
    <t>=NF($D3992,"16 Remaining Amt. (LCY)")</t>
  </si>
  <si>
    <t>=NF($D3993,"16 Remaining Amt. (LCY)")</t>
  </si>
  <si>
    <t>=NF($D3906,"5 Document Type")</t>
  </si>
  <si>
    <t>=NF($D3907,"5 Document Type")</t>
  </si>
  <si>
    <t>=NF($D3908,"5 Document Type")</t>
  </si>
  <si>
    <t>=NF($D3909,"5 Document Type")</t>
  </si>
  <si>
    <t>=NF($D3910,"5 Document Type")</t>
  </si>
  <si>
    <t>=NF($D3911,"5 Document Type")</t>
  </si>
  <si>
    <t>=NF($D3912,"5 Document Type")</t>
  </si>
  <si>
    <t>=NF($D3913,"5 Document Type")</t>
  </si>
  <si>
    <t>=NF($D3914,"5 Document Type")</t>
  </si>
  <si>
    <t>=NF($D3915,"5 Document Type")</t>
  </si>
  <si>
    <t>=NF($D3916,"5 Document Type")</t>
  </si>
  <si>
    <t>=NF($D3917,"5 Document Type")</t>
  </si>
  <si>
    <t>=NF($D3918,"5 Document Type")</t>
  </si>
  <si>
    <t>=NF($D3919,"5 Document Type")</t>
  </si>
  <si>
    <t>=NF($D3906,"6 Document No.")</t>
  </si>
  <si>
    <t>=NF($D3907,"6 Document No.")</t>
  </si>
  <si>
    <t>=NF($D3908,"6 Document No.")</t>
  </si>
  <si>
    <t>=NF($D3909,"6 Document No.")</t>
  </si>
  <si>
    <t>=NF($D3910,"6 Document No.")</t>
  </si>
  <si>
    <t>=NF($D3911,"6 Document No.")</t>
  </si>
  <si>
    <t>=NF($D3912,"6 Document No.")</t>
  </si>
  <si>
    <t>=NF($D3913,"6 Document No.")</t>
  </si>
  <si>
    <t>=NF($D3914,"6 Document No.")</t>
  </si>
  <si>
    <t>=NF($D3915,"6 Document No.")</t>
  </si>
  <si>
    <t>=NF($D3916,"6 Document No.")</t>
  </si>
  <si>
    <t>=NF($D3917,"6 Document No.")</t>
  </si>
  <si>
    <t>=NF($D3918,"6 Document No.")</t>
  </si>
  <si>
    <t>=NF($D3919,"6 Document No.")</t>
  </si>
  <si>
    <t>=NF($D3906,"37 Due Date")</t>
  </si>
  <si>
    <t>=NF($D3907,"37 Due Date")</t>
  </si>
  <si>
    <t>=NF($D3908,"37 Due Date")</t>
  </si>
  <si>
    <t>=NF($D3909,"37 Due Date")</t>
  </si>
  <si>
    <t>=NF($D3910,"37 Due Date")</t>
  </si>
  <si>
    <t>=NF($D3911,"37 Due Date")</t>
  </si>
  <si>
    <t>=NF($D3912,"37 Due Date")</t>
  </si>
  <si>
    <t>=NF($D3913,"37 Due Date")</t>
  </si>
  <si>
    <t>=NF($D3914,"37 Due Date")</t>
  </si>
  <si>
    <t>=NF($D3915,"37 Due Date")</t>
  </si>
  <si>
    <t>=NF($D3916,"37 Due Date")</t>
  </si>
  <si>
    <t>=NF($D3917,"37 Due Date")</t>
  </si>
  <si>
    <t>=NF($D3918,"37 Due Date")</t>
  </si>
  <si>
    <t>=NF($D3919,"37 Due Date")</t>
  </si>
  <si>
    <t>=NF($D3906,"16 Remaining Amt. (LCY)")</t>
  </si>
  <si>
    <t>=NF($D3907,"16 Remaining Amt. (LCY)")</t>
  </si>
  <si>
    <t>=NF($D3908,"16 Remaining Amt. (LCY)")</t>
  </si>
  <si>
    <t>=NF($D3909,"16 Remaining Amt. (LCY)")</t>
  </si>
  <si>
    <t>=NF($D3910,"16 Remaining Amt. (LCY)")</t>
  </si>
  <si>
    <t>=NF($D3911,"16 Remaining Amt. (LCY)")</t>
  </si>
  <si>
    <t>=NF($D3912,"16 Remaining Amt. (LCY)")</t>
  </si>
  <si>
    <t>=NF($D3913,"16 Remaining Amt. (LCY)")</t>
  </si>
  <si>
    <t>=NF($D3914,"16 Remaining Amt. (LCY)")</t>
  </si>
  <si>
    <t>=NF($D3915,"16 Remaining Amt. (LCY)")</t>
  </si>
  <si>
    <t>=NF($D3916,"16 Remaining Amt. (LCY)")</t>
  </si>
  <si>
    <t>=NF($D3917,"16 Remaining Amt. (LCY)")</t>
  </si>
  <si>
    <t>=NF($D3918,"16 Remaining Amt. (LCY)")</t>
  </si>
  <si>
    <t>=NF($D3919,"16 Remaining Amt. (LCY)")</t>
  </si>
  <si>
    <t>=NF($D3841,"5 Document Type")</t>
  </si>
  <si>
    <t>=NF($D3842,"5 Document Type")</t>
  </si>
  <si>
    <t>=NF($D3843,"5 Document Type")</t>
  </si>
  <si>
    <t>=NF($D3844,"5 Document Type")</t>
  </si>
  <si>
    <t>=NF($D3845,"5 Document Type")</t>
  </si>
  <si>
    <t>=NF($D3846,"5 Document Type")</t>
  </si>
  <si>
    <t>=NF($D3847,"5 Document Type")</t>
  </si>
  <si>
    <t>=NF($D3848,"5 Document Type")</t>
  </si>
  <si>
    <t>=NF($D3849,"5 Document Type")</t>
  </si>
  <si>
    <t>=NF($D3850,"5 Document Type")</t>
  </si>
  <si>
    <t>=NF($D3851,"5 Document Type")</t>
  </si>
  <si>
    <t>=NF($D3852,"5 Document Type")</t>
  </si>
  <si>
    <t>=NF($D3853,"5 Document Type")</t>
  </si>
  <si>
    <t>=NF($D3854,"5 Document Type")</t>
  </si>
  <si>
    <t>=NF($D3855,"5 Document Type")</t>
  </si>
  <si>
    <t>=NF($D3856,"5 Document Type")</t>
  </si>
  <si>
    <t>=NF($D3857,"5 Document Type")</t>
  </si>
  <si>
    <t>=NF($D3858,"5 Document Type")</t>
  </si>
  <si>
    <t>=NF($D3859,"5 Document Type")</t>
  </si>
  <si>
    <t>=NF($D3860,"5 Document Type")</t>
  </si>
  <si>
    <t>=NF($D3861,"5 Document Type")</t>
  </si>
  <si>
    <t>=NF($D3862,"5 Document Type")</t>
  </si>
  <si>
    <t>=NF($D3863,"5 Document Type")</t>
  </si>
  <si>
    <t>=NF($D3864,"5 Document Type")</t>
  </si>
  <si>
    <t>=NF($D3865,"5 Document Type")</t>
  </si>
  <si>
    <t>=NF($D3866,"5 Document Type")</t>
  </si>
  <si>
    <t>=NF($D3867,"5 Document Type")</t>
  </si>
  <si>
    <t>=NF($D3868,"5 Document Type")</t>
  </si>
  <si>
    <t>=NF($D3869,"5 Document Type")</t>
  </si>
  <si>
    <t>=NF($D3870,"5 Document Type")</t>
  </si>
  <si>
    <t>=NF($D3871,"5 Document Type")</t>
  </si>
  <si>
    <t>=NF($D3872,"5 Document Type")</t>
  </si>
  <si>
    <t>=NF($D3873,"5 Document Type")</t>
  </si>
  <si>
    <t>=NF($D3874,"5 Document Type")</t>
  </si>
  <si>
    <t>=NF($D3875,"5 Document Type")</t>
  </si>
  <si>
    <t>=NF($D3876,"5 Document Type")</t>
  </si>
  <si>
    <t>=NF($D3877,"5 Document Type")</t>
  </si>
  <si>
    <t>=NF($D3878,"5 Document Type")</t>
  </si>
  <si>
    <t>=NF($D3879,"5 Document Type")</t>
  </si>
  <si>
    <t>=NF($D3880,"5 Document Type")</t>
  </si>
  <si>
    <t>=NF($D3881,"5 Document Type")</t>
  </si>
  <si>
    <t>=NF($D3882,"5 Document Type")</t>
  </si>
  <si>
    <t>=NF($D3883,"5 Document Type")</t>
  </si>
  <si>
    <t>=NF($D3884,"5 Document Type")</t>
  </si>
  <si>
    <t>=NF($D3885,"5 Document Type")</t>
  </si>
  <si>
    <t>=NF($D3886,"5 Document Type")</t>
  </si>
  <si>
    <t>=NF($D3887,"5 Document Type")</t>
  </si>
  <si>
    <t>=NF($D3888,"5 Document Type")</t>
  </si>
  <si>
    <t>=NF($D3889,"5 Document Type")</t>
  </si>
  <si>
    <t>=NF($D3890,"5 Document Type")</t>
  </si>
  <si>
    <t>=NF($D3891,"5 Document Type")</t>
  </si>
  <si>
    <t>=NF($D3892,"5 Document Type")</t>
  </si>
  <si>
    <t>=NF($D3893,"5 Document Type")</t>
  </si>
  <si>
    <t>=NF($D3894,"5 Document Type")</t>
  </si>
  <si>
    <t>=NF($D3895,"5 Document Type")</t>
  </si>
  <si>
    <t>=NF($D3896,"5 Document Type")</t>
  </si>
  <si>
    <t>=NF($D3897,"5 Document Type")</t>
  </si>
  <si>
    <t>=NF($D3898,"5 Document Type")</t>
  </si>
  <si>
    <t>=NF($D3899,"5 Document Type")</t>
  </si>
  <si>
    <t>=NF($D3841,"6 Document No.")</t>
  </si>
  <si>
    <t>=NF($D3842,"6 Document No.")</t>
  </si>
  <si>
    <t>=NF($D3843,"6 Document No.")</t>
  </si>
  <si>
    <t>=NF($D3844,"6 Document No.")</t>
  </si>
  <si>
    <t>=NF($D3845,"6 Document No.")</t>
  </si>
  <si>
    <t>=NF($D3846,"6 Document No.")</t>
  </si>
  <si>
    <t>=NF($D3847,"6 Document No.")</t>
  </si>
  <si>
    <t>=NF($D3848,"6 Document No.")</t>
  </si>
  <si>
    <t>=NF($D3849,"6 Document No.")</t>
  </si>
  <si>
    <t>=NF($D3850,"6 Document No.")</t>
  </si>
  <si>
    <t>=NF($D3851,"6 Document No.")</t>
  </si>
  <si>
    <t>=NF($D3852,"6 Document No.")</t>
  </si>
  <si>
    <t>=NF($D3853,"6 Document No.")</t>
  </si>
  <si>
    <t>=NF($D3854,"6 Document No.")</t>
  </si>
  <si>
    <t>=NF($D3855,"6 Document No.")</t>
  </si>
  <si>
    <t>=NF($D3856,"6 Document No.")</t>
  </si>
  <si>
    <t>=NF($D3857,"6 Document No.")</t>
  </si>
  <si>
    <t>=NF($D3858,"6 Document No.")</t>
  </si>
  <si>
    <t>=NF($D3859,"6 Document No.")</t>
  </si>
  <si>
    <t>=NF($D3860,"6 Document No.")</t>
  </si>
  <si>
    <t>=NF($D3861,"6 Document No.")</t>
  </si>
  <si>
    <t>=NF($D3862,"6 Document No.")</t>
  </si>
  <si>
    <t>=NF($D3863,"6 Document No.")</t>
  </si>
  <si>
    <t>=NF($D3864,"6 Document No.")</t>
  </si>
  <si>
    <t>=NF($D3865,"6 Document No.")</t>
  </si>
  <si>
    <t>=NF($D3866,"6 Document No.")</t>
  </si>
  <si>
    <t>=NF($D3867,"6 Document No.")</t>
  </si>
  <si>
    <t>=NF($D3868,"6 Document No.")</t>
  </si>
  <si>
    <t>=NF($D3869,"6 Document No.")</t>
  </si>
  <si>
    <t>=NF($D3870,"6 Document No.")</t>
  </si>
  <si>
    <t>=NF($D3871,"6 Document No.")</t>
  </si>
  <si>
    <t>=NF($D3872,"6 Document No.")</t>
  </si>
  <si>
    <t>=NF($D3873,"6 Document No.")</t>
  </si>
  <si>
    <t>=NF($D3874,"6 Document No.")</t>
  </si>
  <si>
    <t>=NF($D3875,"6 Document No.")</t>
  </si>
  <si>
    <t>=NF($D3876,"6 Document No.")</t>
  </si>
  <si>
    <t>=NF($D3877,"6 Document No.")</t>
  </si>
  <si>
    <t>=NF($D3878,"6 Document No.")</t>
  </si>
  <si>
    <t>=NF($D3879,"6 Document No.")</t>
  </si>
  <si>
    <t>=NF($D3880,"6 Document No.")</t>
  </si>
  <si>
    <t>=NF($D3881,"6 Document No.")</t>
  </si>
  <si>
    <t>=NF($D3882,"6 Document No.")</t>
  </si>
  <si>
    <t>=NF($D3883,"6 Document No.")</t>
  </si>
  <si>
    <t>=NF($D3884,"6 Document No.")</t>
  </si>
  <si>
    <t>=NF($D3885,"6 Document No.")</t>
  </si>
  <si>
    <t>=NF($D3886,"6 Document No.")</t>
  </si>
  <si>
    <t>=NF($D3887,"6 Document No.")</t>
  </si>
  <si>
    <t>=NF($D3888,"6 Document No.")</t>
  </si>
  <si>
    <t>=NF($D3889,"6 Document No.")</t>
  </si>
  <si>
    <t>=NF($D3890,"6 Document No.")</t>
  </si>
  <si>
    <t>=NF($D3891,"6 Document No.")</t>
  </si>
  <si>
    <t>=NF($D3892,"6 Document No.")</t>
  </si>
  <si>
    <t>=NF($D3893,"6 Document No.")</t>
  </si>
  <si>
    <t>=NF($D3894,"6 Document No.")</t>
  </si>
  <si>
    <t>=NF($D3895,"6 Document No.")</t>
  </si>
  <si>
    <t>=NF($D3896,"6 Document No.")</t>
  </si>
  <si>
    <t>=NF($D3897,"6 Document No.")</t>
  </si>
  <si>
    <t>=NF($D3898,"6 Document No.")</t>
  </si>
  <si>
    <t>=NF($D3899,"6 Document No.")</t>
  </si>
  <si>
    <t>=NF($D3841,"37 Due Date")</t>
  </si>
  <si>
    <t>=NF($D3842,"37 Due Date")</t>
  </si>
  <si>
    <t>=NF($D3843,"37 Due Date")</t>
  </si>
  <si>
    <t>=NF($D3844,"37 Due Date")</t>
  </si>
  <si>
    <t>=NF($D3845,"37 Due Date")</t>
  </si>
  <si>
    <t>=NF($D3846,"37 Due Date")</t>
  </si>
  <si>
    <t>=NF($D3847,"37 Due Date")</t>
  </si>
  <si>
    <t>=NF($D3848,"37 Due Date")</t>
  </si>
  <si>
    <t>=NF($D3849,"37 Due Date")</t>
  </si>
  <si>
    <t>=NF($D3850,"37 Due Date")</t>
  </si>
  <si>
    <t>=NF($D3851,"37 Due Date")</t>
  </si>
  <si>
    <t>=NF($D3852,"37 Due Date")</t>
  </si>
  <si>
    <t>=NF($D3853,"37 Due Date")</t>
  </si>
  <si>
    <t>=NF($D3854,"37 Due Date")</t>
  </si>
  <si>
    <t>=NF($D3855,"37 Due Date")</t>
  </si>
  <si>
    <t>=NF($D3856,"37 Due Date")</t>
  </si>
  <si>
    <t>=NF($D3857,"37 Due Date")</t>
  </si>
  <si>
    <t>=NF($D3858,"37 Due Date")</t>
  </si>
  <si>
    <t>=NF($D3859,"37 Due Date")</t>
  </si>
  <si>
    <t>=NF($D3860,"37 Due Date")</t>
  </si>
  <si>
    <t>=NF($D3861,"37 Due Date")</t>
  </si>
  <si>
    <t>=NF($D3862,"37 Due Date")</t>
  </si>
  <si>
    <t>=NF($D3863,"37 Due Date")</t>
  </si>
  <si>
    <t>=NF($D3864,"37 Due Date")</t>
  </si>
  <si>
    <t>=NF($D3865,"37 Due Date")</t>
  </si>
  <si>
    <t>=NF($D3866,"37 Due Date")</t>
  </si>
  <si>
    <t>=NF($D3867,"37 Due Date")</t>
  </si>
  <si>
    <t>=NF($D3868,"37 Due Date")</t>
  </si>
  <si>
    <t>=NF($D3869,"37 Due Date")</t>
  </si>
  <si>
    <t>=NF($D3870,"37 Due Date")</t>
  </si>
  <si>
    <t>=NF($D3871,"37 Due Date")</t>
  </si>
  <si>
    <t>=NF($D3872,"37 Due Date")</t>
  </si>
  <si>
    <t>=NF($D3873,"37 Due Date")</t>
  </si>
  <si>
    <t>=NF($D3874,"37 Due Date")</t>
  </si>
  <si>
    <t>=NF($D3875,"37 Due Date")</t>
  </si>
  <si>
    <t>=NF($D3876,"37 Due Date")</t>
  </si>
  <si>
    <t>=NF($D3877,"37 Due Date")</t>
  </si>
  <si>
    <t>=NF($D3878,"37 Due Date")</t>
  </si>
  <si>
    <t>=NF($D3879,"37 Due Date")</t>
  </si>
  <si>
    <t>=NF($D3880,"37 Due Date")</t>
  </si>
  <si>
    <t>=NF($D3881,"37 Due Date")</t>
  </si>
  <si>
    <t>=NF($D3882,"37 Due Date")</t>
  </si>
  <si>
    <t>=NF($D3883,"37 Due Date")</t>
  </si>
  <si>
    <t>=NF($D3884,"37 Due Date")</t>
  </si>
  <si>
    <t>=NF($D3885,"37 Due Date")</t>
  </si>
  <si>
    <t>=NF($D3886,"37 Due Date")</t>
  </si>
  <si>
    <t>=NF($D3887,"37 Due Date")</t>
  </si>
  <si>
    <t>=NF($D3888,"37 Due Date")</t>
  </si>
  <si>
    <t>=NF($D3889,"37 Due Date")</t>
  </si>
  <si>
    <t>=NF($D3890,"37 Due Date")</t>
  </si>
  <si>
    <t>=NF($D3891,"37 Due Date")</t>
  </si>
  <si>
    <t>=NF($D3892,"37 Due Date")</t>
  </si>
  <si>
    <t>=NF($D3893,"37 Due Date")</t>
  </si>
  <si>
    <t>=NF($D3894,"37 Due Date")</t>
  </si>
  <si>
    <t>=NF($D3895,"37 Due Date")</t>
  </si>
  <si>
    <t>=NF($D3896,"37 Due Date")</t>
  </si>
  <si>
    <t>=NF($D3897,"37 Due Date")</t>
  </si>
  <si>
    <t>=NF($D3898,"37 Due Date")</t>
  </si>
  <si>
    <t>=NF($D3899,"37 Due Date")</t>
  </si>
  <si>
    <t>=NF($D3841,"16 Remaining Amt. (LCY)")</t>
  </si>
  <si>
    <t>=NF($D3842,"16 Remaining Amt. (LCY)")</t>
  </si>
  <si>
    <t>=NF($D3843,"16 Remaining Amt. (LCY)")</t>
  </si>
  <si>
    <t>=NF($D3844,"16 Remaining Amt. (LCY)")</t>
  </si>
  <si>
    <t>=NF($D3845,"16 Remaining Amt. (LCY)")</t>
  </si>
  <si>
    <t>=NF($D3846,"16 Remaining Amt. (LCY)")</t>
  </si>
  <si>
    <t>=NF($D3847,"16 Remaining Amt. (LCY)")</t>
  </si>
  <si>
    <t>=NF($D3848,"16 Remaining Amt. (LCY)")</t>
  </si>
  <si>
    <t>=NF($D3849,"16 Remaining Amt. (LCY)")</t>
  </si>
  <si>
    <t>=NF($D3850,"16 Remaining Amt. (LCY)")</t>
  </si>
  <si>
    <t>=NF($D3851,"16 Remaining Amt. (LCY)")</t>
  </si>
  <si>
    <t>=NF($D3852,"16 Remaining Amt. (LCY)")</t>
  </si>
  <si>
    <t>=NF($D3853,"16 Remaining Amt. (LCY)")</t>
  </si>
  <si>
    <t>=NF($D3854,"16 Remaining Amt. (LCY)")</t>
  </si>
  <si>
    <t>=NF($D3855,"16 Remaining Amt. (LCY)")</t>
  </si>
  <si>
    <t>=NF($D3856,"16 Remaining Amt. (LCY)")</t>
  </si>
  <si>
    <t>=NF($D3857,"16 Remaining Amt. (LCY)")</t>
  </si>
  <si>
    <t>=NF($D3858,"16 Remaining Amt. (LCY)")</t>
  </si>
  <si>
    <t>=NF($D3859,"16 Remaining Amt. (LCY)")</t>
  </si>
  <si>
    <t>=NF($D3860,"16 Remaining Amt. (LCY)")</t>
  </si>
  <si>
    <t>=NF($D3861,"16 Remaining Amt. (LCY)")</t>
  </si>
  <si>
    <t>=NF($D3862,"16 Remaining Amt. (LCY)")</t>
  </si>
  <si>
    <t>=NF($D3863,"16 Remaining Amt. (LCY)")</t>
  </si>
  <si>
    <t>=NF($D3864,"16 Remaining Amt. (LCY)")</t>
  </si>
  <si>
    <t>=NF($D3865,"16 Remaining Amt. (LCY)")</t>
  </si>
  <si>
    <t>=NF($D3866,"16 Remaining Amt. (LCY)")</t>
  </si>
  <si>
    <t>=NF($D3867,"16 Remaining Amt. (LCY)")</t>
  </si>
  <si>
    <t>=NF($D3868,"16 Remaining Amt. (LCY)")</t>
  </si>
  <si>
    <t>=NF($D3869,"16 Remaining Amt. (LCY)")</t>
  </si>
  <si>
    <t>=NF($D3870,"16 Remaining Amt. (LCY)")</t>
  </si>
  <si>
    <t>=NF($D3871,"16 Remaining Amt. (LCY)")</t>
  </si>
  <si>
    <t>=NF($D3872,"16 Remaining Amt. (LCY)")</t>
  </si>
  <si>
    <t>=NF($D3873,"16 Remaining Amt. (LCY)")</t>
  </si>
  <si>
    <t>=NF($D3874,"16 Remaining Amt. (LCY)")</t>
  </si>
  <si>
    <t>=NF($D3875,"16 Remaining Amt. (LCY)")</t>
  </si>
  <si>
    <t>=NF($D3876,"16 Remaining Amt. (LCY)")</t>
  </si>
  <si>
    <t>=NF($D3877,"16 Remaining Amt. (LCY)")</t>
  </si>
  <si>
    <t>=NF($D3878,"16 Remaining Amt. (LCY)")</t>
  </si>
  <si>
    <t>=NF($D3879,"16 Remaining Amt. (LCY)")</t>
  </si>
  <si>
    <t>=NF($D3880,"16 Remaining Amt. (LCY)")</t>
  </si>
  <si>
    <t>=NF($D3881,"16 Remaining Amt. (LCY)")</t>
  </si>
  <si>
    <t>=NF($D3882,"16 Remaining Amt. (LCY)")</t>
  </si>
  <si>
    <t>=NF($D3883,"16 Remaining Amt. (LCY)")</t>
  </si>
  <si>
    <t>=NF($D3884,"16 Remaining Amt. (LCY)")</t>
  </si>
  <si>
    <t>=NF($D3885,"16 Remaining Amt. (LCY)")</t>
  </si>
  <si>
    <t>=NF($D3886,"16 Remaining Amt. (LCY)")</t>
  </si>
  <si>
    <t>=NF($D3887,"16 Remaining Amt. (LCY)")</t>
  </si>
  <si>
    <t>=NF($D3888,"16 Remaining Amt. (LCY)")</t>
  </si>
  <si>
    <t>=NF($D3889,"16 Remaining Amt. (LCY)")</t>
  </si>
  <si>
    <t>=NF($D3890,"16 Remaining Amt. (LCY)")</t>
  </si>
  <si>
    <t>=NF($D3891,"16 Remaining Amt. (LCY)")</t>
  </si>
  <si>
    <t>=NF($D3892,"16 Remaining Amt. (LCY)")</t>
  </si>
  <si>
    <t>=NF($D3893,"16 Remaining Amt. (LCY)")</t>
  </si>
  <si>
    <t>=NF($D3894,"16 Remaining Amt. (LCY)")</t>
  </si>
  <si>
    <t>=NF($D3895,"16 Remaining Amt. (LCY)")</t>
  </si>
  <si>
    <t>=NF($D3896,"16 Remaining Amt. (LCY)")</t>
  </si>
  <si>
    <t>=NF($D3897,"16 Remaining Amt. (LCY)")</t>
  </si>
  <si>
    <t>=NF($D3898,"16 Remaining Amt. (LCY)")</t>
  </si>
  <si>
    <t>=NF($D3899,"16 Remaining Amt. (LCY)")</t>
  </si>
  <si>
    <t>=NF($D3809,"5 Document Type")</t>
  </si>
  <si>
    <t>=NF($D3810,"5 Document Type")</t>
  </si>
  <si>
    <t>=NF($D3811,"5 Document Type")</t>
  </si>
  <si>
    <t>=NF($D3812,"5 Document Type")</t>
  </si>
  <si>
    <t>=NF($D3813,"5 Document Type")</t>
  </si>
  <si>
    <t>=NF($D3814,"5 Document Type")</t>
  </si>
  <si>
    <t>=NF($D3815,"5 Document Type")</t>
  </si>
  <si>
    <t>=NF($D3816,"5 Document Type")</t>
  </si>
  <si>
    <t>=NF($D3817,"5 Document Type")</t>
  </si>
  <si>
    <t>=NF($D3818,"5 Document Type")</t>
  </si>
  <si>
    <t>=NF($D3819,"5 Document Type")</t>
  </si>
  <si>
    <t>=NF($D3820,"5 Document Type")</t>
  </si>
  <si>
    <t>=NF($D3821,"5 Document Type")</t>
  </si>
  <si>
    <t>=NF($D3822,"5 Document Type")</t>
  </si>
  <si>
    <t>=NF($D3823,"5 Document Type")</t>
  </si>
  <si>
    <t>=NF($D3824,"5 Document Type")</t>
  </si>
  <si>
    <t>=NF($D3825,"5 Document Type")</t>
  </si>
  <si>
    <t>=NF($D3826,"5 Document Type")</t>
  </si>
  <si>
    <t>=NF($D3827,"5 Document Type")</t>
  </si>
  <si>
    <t>=NF($D3828,"5 Document Type")</t>
  </si>
  <si>
    <t>=NF($D3829,"5 Document Type")</t>
  </si>
  <si>
    <t>=NF($D3830,"5 Document Type")</t>
  </si>
  <si>
    <t>=NF($D3831,"5 Document Type")</t>
  </si>
  <si>
    <t>=NF($D3832,"5 Document Type")</t>
  </si>
  <si>
    <t>=NF($D3833,"5 Document Type")</t>
  </si>
  <si>
    <t>=NF($D3834,"5 Document Type")</t>
  </si>
  <si>
    <t>=NF($D3809,"6 Document No.")</t>
  </si>
  <si>
    <t>=NF($D3810,"6 Document No.")</t>
  </si>
  <si>
    <t>=NF($D3811,"6 Document No.")</t>
  </si>
  <si>
    <t>=NF($D3812,"6 Document No.")</t>
  </si>
  <si>
    <t>=NF($D3813,"6 Document No.")</t>
  </si>
  <si>
    <t>=NF($D3814,"6 Document No.")</t>
  </si>
  <si>
    <t>=NF($D3815,"6 Document No.")</t>
  </si>
  <si>
    <t>=NF($D3816,"6 Document No.")</t>
  </si>
  <si>
    <t>=NF($D3817,"6 Document No.")</t>
  </si>
  <si>
    <t>=NF($D3818,"6 Document No.")</t>
  </si>
  <si>
    <t>=NF($D3819,"6 Document No.")</t>
  </si>
  <si>
    <t>=NF($D3820,"6 Document No.")</t>
  </si>
  <si>
    <t>=NF($D3821,"6 Document No.")</t>
  </si>
  <si>
    <t>=NF($D3822,"6 Document No.")</t>
  </si>
  <si>
    <t>=NF($D3823,"6 Document No.")</t>
  </si>
  <si>
    <t>=NF($D3824,"6 Document No.")</t>
  </si>
  <si>
    <t>=NF($D3825,"6 Document No.")</t>
  </si>
  <si>
    <t>=NF($D3826,"6 Document No.")</t>
  </si>
  <si>
    <t>=NF($D3827,"6 Document No.")</t>
  </si>
  <si>
    <t>=NF($D3828,"6 Document No.")</t>
  </si>
  <si>
    <t>=NF($D3829,"6 Document No.")</t>
  </si>
  <si>
    <t>=NF($D3830,"6 Document No.")</t>
  </si>
  <si>
    <t>=NF($D3831,"6 Document No.")</t>
  </si>
  <si>
    <t>=NF($D3832,"6 Document No.")</t>
  </si>
  <si>
    <t>=NF($D3833,"6 Document No.")</t>
  </si>
  <si>
    <t>=NF($D3834,"6 Document No.")</t>
  </si>
  <si>
    <t>=NF($D3809,"37 Due Date")</t>
  </si>
  <si>
    <t>=NF($D3810,"37 Due Date")</t>
  </si>
  <si>
    <t>=NF($D3811,"37 Due Date")</t>
  </si>
  <si>
    <t>=NF($D3812,"37 Due Date")</t>
  </si>
  <si>
    <t>=NF($D3813,"37 Due Date")</t>
  </si>
  <si>
    <t>=NF($D3814,"37 Due Date")</t>
  </si>
  <si>
    <t>=NF($D3815,"37 Due Date")</t>
  </si>
  <si>
    <t>=NF($D3816,"37 Due Date")</t>
  </si>
  <si>
    <t>=NF($D3817,"37 Due Date")</t>
  </si>
  <si>
    <t>=NF($D3818,"37 Due Date")</t>
  </si>
  <si>
    <t>=NF($D3819,"37 Due Date")</t>
  </si>
  <si>
    <t>=NF($D3820,"37 Due Date")</t>
  </si>
  <si>
    <t>=NF($D3821,"37 Due Date")</t>
  </si>
  <si>
    <t>=NF($D3822,"37 Due Date")</t>
  </si>
  <si>
    <t>=NF($D3823,"37 Due Date")</t>
  </si>
  <si>
    <t>=NF($D3824,"37 Due Date")</t>
  </si>
  <si>
    <t>=NF($D3825,"37 Due Date")</t>
  </si>
  <si>
    <t>=NF($D3826,"37 Due Date")</t>
  </si>
  <si>
    <t>=NF($D3827,"37 Due Date")</t>
  </si>
  <si>
    <t>=NF($D3828,"37 Due Date")</t>
  </si>
  <si>
    <t>=NF($D3829,"37 Due Date")</t>
  </si>
  <si>
    <t>=NF($D3830,"37 Due Date")</t>
  </si>
  <si>
    <t>=NF($D3831,"37 Due Date")</t>
  </si>
  <si>
    <t>=NF($D3832,"37 Due Date")</t>
  </si>
  <si>
    <t>=NF($D3833,"37 Due Date")</t>
  </si>
  <si>
    <t>=NF($D3834,"37 Due Date")</t>
  </si>
  <si>
    <t>=NF($D3809,"16 Remaining Amt. (LCY)")</t>
  </si>
  <si>
    <t>=NF($D3810,"16 Remaining Amt. (LCY)")</t>
  </si>
  <si>
    <t>=NF($D3811,"16 Remaining Amt. (LCY)")</t>
  </si>
  <si>
    <t>=NF($D3812,"16 Remaining Amt. (LCY)")</t>
  </si>
  <si>
    <t>=NF($D3813,"16 Remaining Amt. (LCY)")</t>
  </si>
  <si>
    <t>=NF($D3814,"16 Remaining Amt. (LCY)")</t>
  </si>
  <si>
    <t>=NF($D3815,"16 Remaining Amt. (LCY)")</t>
  </si>
  <si>
    <t>=NF($D3816,"16 Remaining Amt. (LCY)")</t>
  </si>
  <si>
    <t>=NF($D3817,"16 Remaining Amt. (LCY)")</t>
  </si>
  <si>
    <t>=NF($D3818,"16 Remaining Amt. (LCY)")</t>
  </si>
  <si>
    <t>=NF($D3819,"16 Remaining Amt. (LCY)")</t>
  </si>
  <si>
    <t>=NF($D3820,"16 Remaining Amt. (LCY)")</t>
  </si>
  <si>
    <t>=NF($D3821,"16 Remaining Amt. (LCY)")</t>
  </si>
  <si>
    <t>=NF($D3822,"16 Remaining Amt. (LCY)")</t>
  </si>
  <si>
    <t>=NF($D3823,"16 Remaining Amt. (LCY)")</t>
  </si>
  <si>
    <t>=NF($D3824,"16 Remaining Amt. (LCY)")</t>
  </si>
  <si>
    <t>=NF($D3825,"16 Remaining Amt. (LCY)")</t>
  </si>
  <si>
    <t>=NF($D3826,"16 Remaining Amt. (LCY)")</t>
  </si>
  <si>
    <t>=NF($D3827,"16 Remaining Amt. (LCY)")</t>
  </si>
  <si>
    <t>=NF($D3828,"16 Remaining Amt. (LCY)")</t>
  </si>
  <si>
    <t>=NF($D3829,"16 Remaining Amt. (LCY)")</t>
  </si>
  <si>
    <t>=NF($D3830,"16 Remaining Amt. (LCY)")</t>
  </si>
  <si>
    <t>=NF($D3831,"16 Remaining Amt. (LCY)")</t>
  </si>
  <si>
    <t>=NF($D3832,"16 Remaining Amt. (LCY)")</t>
  </si>
  <si>
    <t>=NF($D3833,"16 Remaining Amt. (LCY)")</t>
  </si>
  <si>
    <t>=NF($D3834,"16 Remaining Amt. (LCY)")</t>
  </si>
  <si>
    <t>=NF($D3757,"5 Document Type")</t>
  </si>
  <si>
    <t>=NF($D3758,"5 Document Type")</t>
  </si>
  <si>
    <t>=NF($D3759,"5 Document Type")</t>
  </si>
  <si>
    <t>=NF($D3760,"5 Document Type")</t>
  </si>
  <si>
    <t>=NF($D3761,"5 Document Type")</t>
  </si>
  <si>
    <t>=NF($D3762,"5 Document Type")</t>
  </si>
  <si>
    <t>=NF($D3763,"5 Document Type")</t>
  </si>
  <si>
    <t>=NF($D3764,"5 Document Type")</t>
  </si>
  <si>
    <t>=NF($D3765,"5 Document Type")</t>
  </si>
  <si>
    <t>=NF($D3766,"5 Document Type")</t>
  </si>
  <si>
    <t>=NF($D3767,"5 Document Type")</t>
  </si>
  <si>
    <t>=NF($D3768,"5 Document Type")</t>
  </si>
  <si>
    <t>=NF($D3769,"5 Document Type")</t>
  </si>
  <si>
    <t>=NF($D3770,"5 Document Type")</t>
  </si>
  <si>
    <t>=NF($D3771,"5 Document Type")</t>
  </si>
  <si>
    <t>=NF($D3772,"5 Document Type")</t>
  </si>
  <si>
    <t>=NF($D3773,"5 Document Type")</t>
  </si>
  <si>
    <t>=NF($D3774,"5 Document Type")</t>
  </si>
  <si>
    <t>=NF($D3775,"5 Document Type")</t>
  </si>
  <si>
    <t>=NF($D3776,"5 Document Type")</t>
  </si>
  <si>
    <t>=NF($D3777,"5 Document Type")</t>
  </si>
  <si>
    <t>=NF($D3778,"5 Document Type")</t>
  </si>
  <si>
    <t>=NF($D3779,"5 Document Type")</t>
  </si>
  <si>
    <t>=NF($D3780,"5 Document Type")</t>
  </si>
  <si>
    <t>=NF($D3781,"5 Document Type")</t>
  </si>
  <si>
    <t>=NF($D3782,"5 Document Type")</t>
  </si>
  <si>
    <t>=NF($D3783,"5 Document Type")</t>
  </si>
  <si>
    <t>=NF($D3784,"5 Document Type")</t>
  </si>
  <si>
    <t>=NF($D3785,"5 Document Type")</t>
  </si>
  <si>
    <t>=NF($D3786,"5 Document Type")</t>
  </si>
  <si>
    <t>=NF($D3787,"5 Document Type")</t>
  </si>
  <si>
    <t>=NF($D3788,"5 Document Type")</t>
  </si>
  <si>
    <t>=NF($D3789,"5 Document Type")</t>
  </si>
  <si>
    <t>=NF($D3790,"5 Document Type")</t>
  </si>
  <si>
    <t>=NF($D3791,"5 Document Type")</t>
  </si>
  <si>
    <t>=NF($D3792,"5 Document Type")</t>
  </si>
  <si>
    <t>=NF($D3793,"5 Document Type")</t>
  </si>
  <si>
    <t>=NF($D3794,"5 Document Type")</t>
  </si>
  <si>
    <t>=NF($D3795,"5 Document Type")</t>
  </si>
  <si>
    <t>=NF($D3796,"5 Document Type")</t>
  </si>
  <si>
    <t>=NF($D3797,"5 Document Type")</t>
  </si>
  <si>
    <t>=NF($D3798,"5 Document Type")</t>
  </si>
  <si>
    <t>=NF($D3799,"5 Document Type")</t>
  </si>
  <si>
    <t>=NF($D3800,"5 Document Type")</t>
  </si>
  <si>
    <t>=NF($D3801,"5 Document Type")</t>
  </si>
  <si>
    <t>=NF($D3802,"5 Document Type")</t>
  </si>
  <si>
    <t>=NF($D3757,"6 Document No.")</t>
  </si>
  <si>
    <t>=NF($D3758,"6 Document No.")</t>
  </si>
  <si>
    <t>=NF($D3759,"6 Document No.")</t>
  </si>
  <si>
    <t>=NF($D3760,"6 Document No.")</t>
  </si>
  <si>
    <t>=NF($D3761,"6 Document No.")</t>
  </si>
  <si>
    <t>=NF($D3762,"6 Document No.")</t>
  </si>
  <si>
    <t>=NF($D3763,"6 Document No.")</t>
  </si>
  <si>
    <t>=NF($D3764,"6 Document No.")</t>
  </si>
  <si>
    <t>=NF($D3765,"6 Document No.")</t>
  </si>
  <si>
    <t>=NF($D3766,"6 Document No.")</t>
  </si>
  <si>
    <t>=NF($D3767,"6 Document No.")</t>
  </si>
  <si>
    <t>=NF($D3768,"6 Document No.")</t>
  </si>
  <si>
    <t>=NF($D3769,"6 Document No.")</t>
  </si>
  <si>
    <t>=NF($D3770,"6 Document No.")</t>
  </si>
  <si>
    <t>=NF($D3771,"6 Document No.")</t>
  </si>
  <si>
    <t>=NF($D3772,"6 Document No.")</t>
  </si>
  <si>
    <t>=NF($D3773,"6 Document No.")</t>
  </si>
  <si>
    <t>=NF($D3774,"6 Document No.")</t>
  </si>
  <si>
    <t>=NF($D3775,"6 Document No.")</t>
  </si>
  <si>
    <t>=NF($D3776,"6 Document No.")</t>
  </si>
  <si>
    <t>=NF($D3777,"6 Document No.")</t>
  </si>
  <si>
    <t>=NF($D3778,"6 Document No.")</t>
  </si>
  <si>
    <t>=NF($D3779,"6 Document No.")</t>
  </si>
  <si>
    <t>=NF($D3780,"6 Document No.")</t>
  </si>
  <si>
    <t>=NF($D3781,"6 Document No.")</t>
  </si>
  <si>
    <t>=NF($D3782,"6 Document No.")</t>
  </si>
  <si>
    <t>=NF($D3783,"6 Document No.")</t>
  </si>
  <si>
    <t>=NF($D3784,"6 Document No.")</t>
  </si>
  <si>
    <t>=NF($D3785,"6 Document No.")</t>
  </si>
  <si>
    <t>=NF($D3786,"6 Document No.")</t>
  </si>
  <si>
    <t>=NF($D3787,"6 Document No.")</t>
  </si>
  <si>
    <t>=NF($D3788,"6 Document No.")</t>
  </si>
  <si>
    <t>=NF($D3789,"6 Document No.")</t>
  </si>
  <si>
    <t>=NF($D3790,"6 Document No.")</t>
  </si>
  <si>
    <t>=NF($D3791,"6 Document No.")</t>
  </si>
  <si>
    <t>=NF($D3792,"6 Document No.")</t>
  </si>
  <si>
    <t>=NF($D3793,"6 Document No.")</t>
  </si>
  <si>
    <t>=NF($D3794,"6 Document No.")</t>
  </si>
  <si>
    <t>=NF($D3795,"6 Document No.")</t>
  </si>
  <si>
    <t>=NF($D3796,"6 Document No.")</t>
  </si>
  <si>
    <t>=NF($D3797,"6 Document No.")</t>
  </si>
  <si>
    <t>=NF($D3798,"6 Document No.")</t>
  </si>
  <si>
    <t>=NF($D3799,"6 Document No.")</t>
  </si>
  <si>
    <t>=NF($D3800,"6 Document No.")</t>
  </si>
  <si>
    <t>=NF($D3801,"6 Document No.")</t>
  </si>
  <si>
    <t>=NF($D3802,"6 Document No.")</t>
  </si>
  <si>
    <t>=NF($D3757,"37 Due Date")</t>
  </si>
  <si>
    <t>=NF($D3758,"37 Due Date")</t>
  </si>
  <si>
    <t>=NF($D3759,"37 Due Date")</t>
  </si>
  <si>
    <t>=NF($D3760,"37 Due Date")</t>
  </si>
  <si>
    <t>=NF($D3761,"37 Due Date")</t>
  </si>
  <si>
    <t>=NF($D3762,"37 Due Date")</t>
  </si>
  <si>
    <t>=NF($D3763,"37 Due Date")</t>
  </si>
  <si>
    <t>=NF($D3764,"37 Due Date")</t>
  </si>
  <si>
    <t>=NF($D3765,"37 Due Date")</t>
  </si>
  <si>
    <t>=NF($D3766,"37 Due Date")</t>
  </si>
  <si>
    <t>=NF($D3767,"37 Due Date")</t>
  </si>
  <si>
    <t>=NF($D3768,"37 Due Date")</t>
  </si>
  <si>
    <t>=NF($D3769,"37 Due Date")</t>
  </si>
  <si>
    <t>=NF($D3770,"37 Due Date")</t>
  </si>
  <si>
    <t>=NF($D3771,"37 Due Date")</t>
  </si>
  <si>
    <t>=NF($D3772,"37 Due Date")</t>
  </si>
  <si>
    <t>=NF($D3773,"37 Due Date")</t>
  </si>
  <si>
    <t>=NF($D3774,"37 Due Date")</t>
  </si>
  <si>
    <t>=NF($D3775,"37 Due Date")</t>
  </si>
  <si>
    <t>=NF($D3776,"37 Due Date")</t>
  </si>
  <si>
    <t>=NF($D3777,"37 Due Date")</t>
  </si>
  <si>
    <t>=NF($D3778,"37 Due Date")</t>
  </si>
  <si>
    <t>=NF($D3779,"37 Due Date")</t>
  </si>
  <si>
    <t>=NF($D3780,"37 Due Date")</t>
  </si>
  <si>
    <t>=NF($D3781,"37 Due Date")</t>
  </si>
  <si>
    <t>=NF($D3782,"37 Due Date")</t>
  </si>
  <si>
    <t>=NF($D3783,"37 Due Date")</t>
  </si>
  <si>
    <t>=NF($D3784,"37 Due Date")</t>
  </si>
  <si>
    <t>=NF($D3785,"37 Due Date")</t>
  </si>
  <si>
    <t>=NF($D3786,"37 Due Date")</t>
  </si>
  <si>
    <t>=NF($D3787,"37 Due Date")</t>
  </si>
  <si>
    <t>=NF($D3788,"37 Due Date")</t>
  </si>
  <si>
    <t>=NF($D3789,"37 Due Date")</t>
  </si>
  <si>
    <t>=NF($D3790,"37 Due Date")</t>
  </si>
  <si>
    <t>=NF($D3791,"37 Due Date")</t>
  </si>
  <si>
    <t>=NF($D3792,"37 Due Date")</t>
  </si>
  <si>
    <t>=NF($D3793,"37 Due Date")</t>
  </si>
  <si>
    <t>=NF($D3794,"37 Due Date")</t>
  </si>
  <si>
    <t>=NF($D3795,"37 Due Date")</t>
  </si>
  <si>
    <t>=NF($D3796,"37 Due Date")</t>
  </si>
  <si>
    <t>=NF($D3797,"37 Due Date")</t>
  </si>
  <si>
    <t>=NF($D3798,"37 Due Date")</t>
  </si>
  <si>
    <t>=NF($D3799,"37 Due Date")</t>
  </si>
  <si>
    <t>=NF($D3800,"37 Due Date")</t>
  </si>
  <si>
    <t>=NF($D3801,"37 Due Date")</t>
  </si>
  <si>
    <t>=NF($D3802,"37 Due Date")</t>
  </si>
  <si>
    <t>=NF($D3757,"16 Remaining Amt. (LCY)")</t>
  </si>
  <si>
    <t>=NF($D3758,"16 Remaining Amt. (LCY)")</t>
  </si>
  <si>
    <t>=NF($D3759,"16 Remaining Amt. (LCY)")</t>
  </si>
  <si>
    <t>=NF($D3760,"16 Remaining Amt. (LCY)")</t>
  </si>
  <si>
    <t>=NF($D3761,"16 Remaining Amt. (LCY)")</t>
  </si>
  <si>
    <t>=NF($D3762,"16 Remaining Amt. (LCY)")</t>
  </si>
  <si>
    <t>=NF($D3763,"16 Remaining Amt. (LCY)")</t>
  </si>
  <si>
    <t>=NF($D3764,"16 Remaining Amt. (LCY)")</t>
  </si>
  <si>
    <t>=NF($D3765,"16 Remaining Amt. (LCY)")</t>
  </si>
  <si>
    <t>=NF($D3766,"16 Remaining Amt. (LCY)")</t>
  </si>
  <si>
    <t>=NF($D3767,"16 Remaining Amt. (LCY)")</t>
  </si>
  <si>
    <t>=NF($D3768,"16 Remaining Amt. (LCY)")</t>
  </si>
  <si>
    <t>=NF($D3769,"16 Remaining Amt. (LCY)")</t>
  </si>
  <si>
    <t>=NF($D3770,"16 Remaining Amt. (LCY)")</t>
  </si>
  <si>
    <t>=NF($D3771,"16 Remaining Amt. (LCY)")</t>
  </si>
  <si>
    <t>=NF($D3772,"16 Remaining Amt. (LCY)")</t>
  </si>
  <si>
    <t>=NF($D3773,"16 Remaining Amt. (LCY)")</t>
  </si>
  <si>
    <t>=NF($D3774,"16 Remaining Amt. (LCY)")</t>
  </si>
  <si>
    <t>=NF($D3775,"16 Remaining Amt. (LCY)")</t>
  </si>
  <si>
    <t>=NF($D3776,"16 Remaining Amt. (LCY)")</t>
  </si>
  <si>
    <t>=NF($D3777,"16 Remaining Amt. (LCY)")</t>
  </si>
  <si>
    <t>=NF($D3778,"16 Remaining Amt. (LCY)")</t>
  </si>
  <si>
    <t>=NF($D3779,"16 Remaining Amt. (LCY)")</t>
  </si>
  <si>
    <t>=NF($D3780,"16 Remaining Amt. (LCY)")</t>
  </si>
  <si>
    <t>=NF($D3781,"16 Remaining Amt. (LCY)")</t>
  </si>
  <si>
    <t>=NF($D3782,"16 Remaining Amt. (LCY)")</t>
  </si>
  <si>
    <t>=NF($D3783,"16 Remaining Amt. (LCY)")</t>
  </si>
  <si>
    <t>=NF($D3784,"16 Remaining Amt. (LCY)")</t>
  </si>
  <si>
    <t>=NF($D3785,"16 Remaining Amt. (LCY)")</t>
  </si>
  <si>
    <t>=NF($D3786,"16 Remaining Amt. (LCY)")</t>
  </si>
  <si>
    <t>=NF($D3787,"16 Remaining Amt. (LCY)")</t>
  </si>
  <si>
    <t>=NF($D3788,"16 Remaining Amt. (LCY)")</t>
  </si>
  <si>
    <t>=NF($D3789,"16 Remaining Amt. (LCY)")</t>
  </si>
  <si>
    <t>=NF($D3790,"16 Remaining Amt. (LCY)")</t>
  </si>
  <si>
    <t>=NF($D3791,"16 Remaining Amt. (LCY)")</t>
  </si>
  <si>
    <t>=NF($D3792,"16 Remaining Amt. (LCY)")</t>
  </si>
  <si>
    <t>=NF($D3793,"16 Remaining Amt. (LCY)")</t>
  </si>
  <si>
    <t>=NF($D3794,"16 Remaining Amt. (LCY)")</t>
  </si>
  <si>
    <t>=NF($D3795,"16 Remaining Amt. (LCY)")</t>
  </si>
  <si>
    <t>=NF($D3796,"16 Remaining Amt. (LCY)")</t>
  </si>
  <si>
    <t>=NF($D3797,"16 Remaining Amt. (LCY)")</t>
  </si>
  <si>
    <t>=NF($D3798,"16 Remaining Amt. (LCY)")</t>
  </si>
  <si>
    <t>=NF($D3799,"16 Remaining Amt. (LCY)")</t>
  </si>
  <si>
    <t>=NF($D3800,"16 Remaining Amt. (LCY)")</t>
  </si>
  <si>
    <t>=NF($D3801,"16 Remaining Amt. (LCY)")</t>
  </si>
  <si>
    <t>=NF($D3802,"16 Remaining Amt. (LCY)")</t>
  </si>
  <si>
    <t>=NF($D3706,"5 Document Type")</t>
  </si>
  <si>
    <t>=NF($D3707,"5 Document Type")</t>
  </si>
  <si>
    <t>=NF($D3708,"5 Document Type")</t>
  </si>
  <si>
    <t>=NF($D3709,"5 Document Type")</t>
  </si>
  <si>
    <t>=NF($D3710,"5 Document Type")</t>
  </si>
  <si>
    <t>=NF($D3711,"5 Document Type")</t>
  </si>
  <si>
    <t>=NF($D3712,"5 Document Type")</t>
  </si>
  <si>
    <t>=NF($D3713,"5 Document Type")</t>
  </si>
  <si>
    <t>=NF($D3714,"5 Document Type")</t>
  </si>
  <si>
    <t>=NF($D3715,"5 Document Type")</t>
  </si>
  <si>
    <t>=NF($D3716,"5 Document Type")</t>
  </si>
  <si>
    <t>=NF($D3717,"5 Document Type")</t>
  </si>
  <si>
    <t>=NF($D3718,"5 Document Type")</t>
  </si>
  <si>
    <t>=NF($D3719,"5 Document Type")</t>
  </si>
  <si>
    <t>=NF($D3720,"5 Document Type")</t>
  </si>
  <si>
    <t>=NF($D3721,"5 Document Type")</t>
  </si>
  <si>
    <t>=NF($D3722,"5 Document Type")</t>
  </si>
  <si>
    <t>=NF($D3723,"5 Document Type")</t>
  </si>
  <si>
    <t>=NF($D3724,"5 Document Type")</t>
  </si>
  <si>
    <t>=NF($D3725,"5 Document Type")</t>
  </si>
  <si>
    <t>=NF($D3726,"5 Document Type")</t>
  </si>
  <si>
    <t>=NF($D3727,"5 Document Type")</t>
  </si>
  <si>
    <t>=NF($D3728,"5 Document Type")</t>
  </si>
  <si>
    <t>=NF($D3729,"5 Document Type")</t>
  </si>
  <si>
    <t>=NF($D3730,"5 Document Type")</t>
  </si>
  <si>
    <t>=NF($D3731,"5 Document Type")</t>
  </si>
  <si>
    <t>=NF($D3732,"5 Document Type")</t>
  </si>
  <si>
    <t>=NF($D3733,"5 Document Type")</t>
  </si>
  <si>
    <t>=NF($D3734,"5 Document Type")</t>
  </si>
  <si>
    <t>=NF($D3735,"5 Document Type")</t>
  </si>
  <si>
    <t>=NF($D3736,"5 Document Type")</t>
  </si>
  <si>
    <t>=NF($D3737,"5 Document Type")</t>
  </si>
  <si>
    <t>=NF($D3738,"5 Document Type")</t>
  </si>
  <si>
    <t>=NF($D3739,"5 Document Type")</t>
  </si>
  <si>
    <t>=NF($D3740,"5 Document Type")</t>
  </si>
  <si>
    <t>=NF($D3741,"5 Document Type")</t>
  </si>
  <si>
    <t>=NF($D3742,"5 Document Type")</t>
  </si>
  <si>
    <t>=NF($D3743,"5 Document Type")</t>
  </si>
  <si>
    <t>=NF($D3744,"5 Document Type")</t>
  </si>
  <si>
    <t>=NF($D3745,"5 Document Type")</t>
  </si>
  <si>
    <t>=NF($D3746,"5 Document Type")</t>
  </si>
  <si>
    <t>=NF($D3747,"5 Document Type")</t>
  </si>
  <si>
    <t>=NF($D3748,"5 Document Type")</t>
  </si>
  <si>
    <t>=NF($D3749,"5 Document Type")</t>
  </si>
  <si>
    <t>=NF($D3750,"5 Document Type")</t>
  </si>
  <si>
    <t>=NF($D3706,"6 Document No.")</t>
  </si>
  <si>
    <t>=NF($D3707,"6 Document No.")</t>
  </si>
  <si>
    <t>=NF($D3708,"6 Document No.")</t>
  </si>
  <si>
    <t>=NF($D3709,"6 Document No.")</t>
  </si>
  <si>
    <t>=NF($D3710,"6 Document No.")</t>
  </si>
  <si>
    <t>=NF($D3711,"6 Document No.")</t>
  </si>
  <si>
    <t>=NF($D3712,"6 Document No.")</t>
  </si>
  <si>
    <t>=NF($D3713,"6 Document No.")</t>
  </si>
  <si>
    <t>=NF($D3714,"6 Document No.")</t>
  </si>
  <si>
    <t>=NF($D3715,"6 Document No.")</t>
  </si>
  <si>
    <t>=NF($D3716,"6 Document No.")</t>
  </si>
  <si>
    <t>=NF($D3717,"6 Document No.")</t>
  </si>
  <si>
    <t>=NF($D3718,"6 Document No.")</t>
  </si>
  <si>
    <t>=NF($D3719,"6 Document No.")</t>
  </si>
  <si>
    <t>=NF($D3720,"6 Document No.")</t>
  </si>
  <si>
    <t>=NF($D3721,"6 Document No.")</t>
  </si>
  <si>
    <t>=NF($D3722,"6 Document No.")</t>
  </si>
  <si>
    <t>=NF($D3723,"6 Document No.")</t>
  </si>
  <si>
    <t>=NF($D3724,"6 Document No.")</t>
  </si>
  <si>
    <t>=NF($D3725,"6 Document No.")</t>
  </si>
  <si>
    <t>=NF($D3726,"6 Document No.")</t>
  </si>
  <si>
    <t>=NF($D3727,"6 Document No.")</t>
  </si>
  <si>
    <t>=NF($D3728,"6 Document No.")</t>
  </si>
  <si>
    <t>=NF($D3729,"6 Document No.")</t>
  </si>
  <si>
    <t>=NF($D3730,"6 Document No.")</t>
  </si>
  <si>
    <t>=NF($D3731,"6 Document No.")</t>
  </si>
  <si>
    <t>=NF($D3732,"6 Document No.")</t>
  </si>
  <si>
    <t>=NF($D3733,"6 Document No.")</t>
  </si>
  <si>
    <t>=NF($D3734,"6 Document No.")</t>
  </si>
  <si>
    <t>=NF($D3735,"6 Document No.")</t>
  </si>
  <si>
    <t>=NF($D3736,"6 Document No.")</t>
  </si>
  <si>
    <t>=NF($D3737,"6 Document No.")</t>
  </si>
  <si>
    <t>=NF($D3738,"6 Document No.")</t>
  </si>
  <si>
    <t>=NF($D3739,"6 Document No.")</t>
  </si>
  <si>
    <t>=NF($D3740,"6 Document No.")</t>
  </si>
  <si>
    <t>=NF($D3741,"6 Document No.")</t>
  </si>
  <si>
    <t>=NF($D3742,"6 Document No.")</t>
  </si>
  <si>
    <t>=NF($D3743,"6 Document No.")</t>
  </si>
  <si>
    <t>=NF($D3744,"6 Document No.")</t>
  </si>
  <si>
    <t>=NF($D3745,"6 Document No.")</t>
  </si>
  <si>
    <t>=NF($D3746,"6 Document No.")</t>
  </si>
  <si>
    <t>=NF($D3747,"6 Document No.")</t>
  </si>
  <si>
    <t>=NF($D3748,"6 Document No.")</t>
  </si>
  <si>
    <t>=NF($D3749,"6 Document No.")</t>
  </si>
  <si>
    <t>=NF($D3750,"6 Document No.")</t>
  </si>
  <si>
    <t>=NF($D3706,"37 Due Date")</t>
  </si>
  <si>
    <t>=NF($D3707,"37 Due Date")</t>
  </si>
  <si>
    <t>=NF($D3708,"37 Due Date")</t>
  </si>
  <si>
    <t>=NF($D3709,"37 Due Date")</t>
  </si>
  <si>
    <t>=NF($D3710,"37 Due Date")</t>
  </si>
  <si>
    <t>=NF($D3711,"37 Due Date")</t>
  </si>
  <si>
    <t>=NF($D3712,"37 Due Date")</t>
  </si>
  <si>
    <t>=NF($D3713,"37 Due Date")</t>
  </si>
  <si>
    <t>=NF($D3714,"37 Due Date")</t>
  </si>
  <si>
    <t>=NF($D3715,"37 Due Date")</t>
  </si>
  <si>
    <t>=NF($D3716,"37 Due Date")</t>
  </si>
  <si>
    <t>=NF($D3717,"37 Due Date")</t>
  </si>
  <si>
    <t>=NF($D3718,"37 Due Date")</t>
  </si>
  <si>
    <t>=NF($D3719,"37 Due Date")</t>
  </si>
  <si>
    <t>=NF($D3720,"37 Due Date")</t>
  </si>
  <si>
    <t>=NF($D3721,"37 Due Date")</t>
  </si>
  <si>
    <t>=NF($D3722,"37 Due Date")</t>
  </si>
  <si>
    <t>=NF($D3723,"37 Due Date")</t>
  </si>
  <si>
    <t>=NF($D3724,"37 Due Date")</t>
  </si>
  <si>
    <t>=NF($D3725,"37 Due Date")</t>
  </si>
  <si>
    <t>=NF($D3726,"37 Due Date")</t>
  </si>
  <si>
    <t>=NF($D3727,"37 Due Date")</t>
  </si>
  <si>
    <t>=NF($D3728,"37 Due Date")</t>
  </si>
  <si>
    <t>=NF($D3729,"37 Due Date")</t>
  </si>
  <si>
    <t>=NF($D3730,"37 Due Date")</t>
  </si>
  <si>
    <t>=NF($D3731,"37 Due Date")</t>
  </si>
  <si>
    <t>=NF($D3732,"37 Due Date")</t>
  </si>
  <si>
    <t>=NF($D3733,"37 Due Date")</t>
  </si>
  <si>
    <t>=NF($D3734,"37 Due Date")</t>
  </si>
  <si>
    <t>=NF($D3735,"37 Due Date")</t>
  </si>
  <si>
    <t>=NF($D3736,"37 Due Date")</t>
  </si>
  <si>
    <t>=NF($D3737,"37 Due Date")</t>
  </si>
  <si>
    <t>=NF($D3738,"37 Due Date")</t>
  </si>
  <si>
    <t>=NF($D3739,"37 Due Date")</t>
  </si>
  <si>
    <t>=NF($D3740,"37 Due Date")</t>
  </si>
  <si>
    <t>=NF($D3741,"37 Due Date")</t>
  </si>
  <si>
    <t>=NF($D3742,"37 Due Date")</t>
  </si>
  <si>
    <t>=NF($D3743,"37 Due Date")</t>
  </si>
  <si>
    <t>=NF($D3744,"37 Due Date")</t>
  </si>
  <si>
    <t>=NF($D3745,"37 Due Date")</t>
  </si>
  <si>
    <t>=NF($D3746,"37 Due Date")</t>
  </si>
  <si>
    <t>=NF($D3747,"37 Due Date")</t>
  </si>
  <si>
    <t>=NF($D3748,"37 Due Date")</t>
  </si>
  <si>
    <t>=NF($D3749,"37 Due Date")</t>
  </si>
  <si>
    <t>=NF($D3750,"37 Due Date")</t>
  </si>
  <si>
    <t>=NF($D3706,"16 Remaining Amt. (LCY)")</t>
  </si>
  <si>
    <t>=NF($D3707,"16 Remaining Amt. (LCY)")</t>
  </si>
  <si>
    <t>=NF($D3708,"16 Remaining Amt. (LCY)")</t>
  </si>
  <si>
    <t>=NF($D3709,"16 Remaining Amt. (LCY)")</t>
  </si>
  <si>
    <t>=NF($D3710,"16 Remaining Amt. (LCY)")</t>
  </si>
  <si>
    <t>=NF($D3711,"16 Remaining Amt. (LCY)")</t>
  </si>
  <si>
    <t>=NF($D3712,"16 Remaining Amt. (LCY)")</t>
  </si>
  <si>
    <t>=NF($D3713,"16 Remaining Amt. (LCY)")</t>
  </si>
  <si>
    <t>=NF($D3714,"16 Remaining Amt. (LCY)")</t>
  </si>
  <si>
    <t>=NF($D3715,"16 Remaining Amt. (LCY)")</t>
  </si>
  <si>
    <t>=NF($D3716,"16 Remaining Amt. (LCY)")</t>
  </si>
  <si>
    <t>=NF($D3717,"16 Remaining Amt. (LCY)")</t>
  </si>
  <si>
    <t>=NF($D3718,"16 Remaining Amt. (LCY)")</t>
  </si>
  <si>
    <t>=NF($D3719,"16 Remaining Amt. (LCY)")</t>
  </si>
  <si>
    <t>=NF($D3720,"16 Remaining Amt. (LCY)")</t>
  </si>
  <si>
    <t>=NF($D3721,"16 Remaining Amt. (LCY)")</t>
  </si>
  <si>
    <t>=NF($D3722,"16 Remaining Amt. (LCY)")</t>
  </si>
  <si>
    <t>=NF($D3723,"16 Remaining Amt. (LCY)")</t>
  </si>
  <si>
    <t>=NF($D3724,"16 Remaining Amt. (LCY)")</t>
  </si>
  <si>
    <t>=NF($D3725,"16 Remaining Amt. (LCY)")</t>
  </si>
  <si>
    <t>=NF($D3726,"16 Remaining Amt. (LCY)")</t>
  </si>
  <si>
    <t>=NF($D3727,"16 Remaining Amt. (LCY)")</t>
  </si>
  <si>
    <t>=NF($D3728,"16 Remaining Amt. (LCY)")</t>
  </si>
  <si>
    <t>=NF($D3729,"16 Remaining Amt. (LCY)")</t>
  </si>
  <si>
    <t>=NF($D3730,"16 Remaining Amt. (LCY)")</t>
  </si>
  <si>
    <t>=NF($D3731,"16 Remaining Amt. (LCY)")</t>
  </si>
  <si>
    <t>=NF($D3732,"16 Remaining Amt. (LCY)")</t>
  </si>
  <si>
    <t>=NF($D3733,"16 Remaining Amt. (LCY)")</t>
  </si>
  <si>
    <t>=NF($D3734,"16 Remaining Amt. (LCY)")</t>
  </si>
  <si>
    <t>=NF($D3735,"16 Remaining Amt. (LCY)")</t>
  </si>
  <si>
    <t>=NF($D3736,"16 Remaining Amt. (LCY)")</t>
  </si>
  <si>
    <t>=NF($D3737,"16 Remaining Amt. (LCY)")</t>
  </si>
  <si>
    <t>=NF($D3738,"16 Remaining Amt. (LCY)")</t>
  </si>
  <si>
    <t>=NF($D3739,"16 Remaining Amt. (LCY)")</t>
  </si>
  <si>
    <t>=NF($D3740,"16 Remaining Amt. (LCY)")</t>
  </si>
  <si>
    <t>=NF($D3741,"16 Remaining Amt. (LCY)")</t>
  </si>
  <si>
    <t>=NF($D3742,"16 Remaining Amt. (LCY)")</t>
  </si>
  <si>
    <t>=NF($D3743,"16 Remaining Amt. (LCY)")</t>
  </si>
  <si>
    <t>=NF($D3744,"16 Remaining Amt. (LCY)")</t>
  </si>
  <si>
    <t>=NF($D3745,"16 Remaining Amt. (LCY)")</t>
  </si>
  <si>
    <t>=NF($D3746,"16 Remaining Amt. (LCY)")</t>
  </si>
  <si>
    <t>=NF($D3747,"16 Remaining Amt. (LCY)")</t>
  </si>
  <si>
    <t>=NF($D3748,"16 Remaining Amt. (LCY)")</t>
  </si>
  <si>
    <t>=NF($D3749,"16 Remaining Amt. (LCY)")</t>
  </si>
  <si>
    <t>=NF($D3750,"16 Remaining Amt. (LCY)")</t>
  </si>
  <si>
    <t>=NF($D3647,"5 Document Type")</t>
  </si>
  <si>
    <t>=NF($D3648,"5 Document Type")</t>
  </si>
  <si>
    <t>=NF($D3649,"5 Document Type")</t>
  </si>
  <si>
    <t>=NF($D3650,"5 Document Type")</t>
  </si>
  <si>
    <t>=NF($D3651,"5 Document Type")</t>
  </si>
  <si>
    <t>=NF($D3652,"5 Document Type")</t>
  </si>
  <si>
    <t>=NF($D3653,"5 Document Type")</t>
  </si>
  <si>
    <t>=NF($D3654,"5 Document Type")</t>
  </si>
  <si>
    <t>=NF($D3655,"5 Document Type")</t>
  </si>
  <si>
    <t>=NF($D3656,"5 Document Type")</t>
  </si>
  <si>
    <t>=NF($D3657,"5 Document Type")</t>
  </si>
  <si>
    <t>=NF($D3658,"5 Document Type")</t>
  </si>
  <si>
    <t>=NF($D3659,"5 Document Type")</t>
  </si>
  <si>
    <t>=NF($D3660,"5 Document Type")</t>
  </si>
  <si>
    <t>=NF($D3661,"5 Document Type")</t>
  </si>
  <si>
    <t>=NF($D3662,"5 Document Type")</t>
  </si>
  <si>
    <t>=NF($D3663,"5 Document Type")</t>
  </si>
  <si>
    <t>=NF($D3664,"5 Document Type")</t>
  </si>
  <si>
    <t>=NF($D3665,"5 Document Type")</t>
  </si>
  <si>
    <t>=NF($D3666,"5 Document Type")</t>
  </si>
  <si>
    <t>=NF($D3667,"5 Document Type")</t>
  </si>
  <si>
    <t>=NF($D3668,"5 Document Type")</t>
  </si>
  <si>
    <t>=NF($D3669,"5 Document Type")</t>
  </si>
  <si>
    <t>=NF($D3670,"5 Document Type")</t>
  </si>
  <si>
    <t>=NF($D3671,"5 Document Type")</t>
  </si>
  <si>
    <t>=NF($D3672,"5 Document Type")</t>
  </si>
  <si>
    <t>=NF($D3673,"5 Document Type")</t>
  </si>
  <si>
    <t>=NF($D3674,"5 Document Type")</t>
  </si>
  <si>
    <t>=NF($D3675,"5 Document Type")</t>
  </si>
  <si>
    <t>=NF($D3676,"5 Document Type")</t>
  </si>
  <si>
    <t>=NF($D3677,"5 Document Type")</t>
  </si>
  <si>
    <t>=NF($D3678,"5 Document Type")</t>
  </si>
  <si>
    <t>=NF($D3679,"5 Document Type")</t>
  </si>
  <si>
    <t>=NF($D3680,"5 Document Type")</t>
  </si>
  <si>
    <t>=NF($D3681,"5 Document Type")</t>
  </si>
  <si>
    <t>=NF($D3682,"5 Document Type")</t>
  </si>
  <si>
    <t>=NF($D3683,"5 Document Type")</t>
  </si>
  <si>
    <t>=NF($D3684,"5 Document Type")</t>
  </si>
  <si>
    <t>=NF($D3685,"5 Document Type")</t>
  </si>
  <si>
    <t>=NF($D3686,"5 Document Type")</t>
  </si>
  <si>
    <t>=NF($D3687,"5 Document Type")</t>
  </si>
  <si>
    <t>=NF($D3688,"5 Document Type")</t>
  </si>
  <si>
    <t>=NF($D3689,"5 Document Type")</t>
  </si>
  <si>
    <t>=NF($D3690,"5 Document Type")</t>
  </si>
  <si>
    <t>=NF($D3691,"5 Document Type")</t>
  </si>
  <si>
    <t>=NF($D3692,"5 Document Type")</t>
  </si>
  <si>
    <t>=NF($D3693,"5 Document Type")</t>
  </si>
  <si>
    <t>=NF($D3694,"5 Document Type")</t>
  </si>
  <si>
    <t>=NF($D3695,"5 Document Type")</t>
  </si>
  <si>
    <t>=NF($D3696,"5 Document Type")</t>
  </si>
  <si>
    <t>=NF($D3697,"5 Document Type")</t>
  </si>
  <si>
    <t>=NF($D3698,"5 Document Type")</t>
  </si>
  <si>
    <t>=NF($D3699,"5 Document Type")</t>
  </si>
  <si>
    <t>=NF($D3647,"6 Document No.")</t>
  </si>
  <si>
    <t>=NF($D3648,"6 Document No.")</t>
  </si>
  <si>
    <t>=NF($D3649,"6 Document No.")</t>
  </si>
  <si>
    <t>=NF($D3650,"6 Document No.")</t>
  </si>
  <si>
    <t>=NF($D3651,"6 Document No.")</t>
  </si>
  <si>
    <t>=NF($D3652,"6 Document No.")</t>
  </si>
  <si>
    <t>=NF($D3653,"6 Document No.")</t>
  </si>
  <si>
    <t>=NF($D3654,"6 Document No.")</t>
  </si>
  <si>
    <t>=NF($D3655,"6 Document No.")</t>
  </si>
  <si>
    <t>=NF($D3656,"6 Document No.")</t>
  </si>
  <si>
    <t>=NF($D3657,"6 Document No.")</t>
  </si>
  <si>
    <t>=NF($D3658,"6 Document No.")</t>
  </si>
  <si>
    <t>=NF($D3659,"6 Document No.")</t>
  </si>
  <si>
    <t>=NF($D3660,"6 Document No.")</t>
  </si>
  <si>
    <t>=NF($D3661,"6 Document No.")</t>
  </si>
  <si>
    <t>=NF($D3662,"6 Document No.")</t>
  </si>
  <si>
    <t>=NF($D3663,"6 Document No.")</t>
  </si>
  <si>
    <t>=NF($D3664,"6 Document No.")</t>
  </si>
  <si>
    <t>=NF($D3665,"6 Document No.")</t>
  </si>
  <si>
    <t>=NF($D3666,"6 Document No.")</t>
  </si>
  <si>
    <t>=NF($D3667,"6 Document No.")</t>
  </si>
  <si>
    <t>=NF($D3668,"6 Document No.")</t>
  </si>
  <si>
    <t>=NF($D3669,"6 Document No.")</t>
  </si>
  <si>
    <t>=NF($D3670,"6 Document No.")</t>
  </si>
  <si>
    <t>=NF($D3671,"6 Document No.")</t>
  </si>
  <si>
    <t>=NF($D3672,"6 Document No.")</t>
  </si>
  <si>
    <t>=NF($D3673,"6 Document No.")</t>
  </si>
  <si>
    <t>=NF($D3674,"6 Document No.")</t>
  </si>
  <si>
    <t>=NF($D3675,"6 Document No.")</t>
  </si>
  <si>
    <t>=NF($D3676,"6 Document No.")</t>
  </si>
  <si>
    <t>=NF($D3677,"6 Document No.")</t>
  </si>
  <si>
    <t>=NF($D3678,"6 Document No.")</t>
  </si>
  <si>
    <t>=NF($D3679,"6 Document No.")</t>
  </si>
  <si>
    <t>=NF($D3680,"6 Document No.")</t>
  </si>
  <si>
    <t>=NF($D3681,"6 Document No.")</t>
  </si>
  <si>
    <t>=NF($D3682,"6 Document No.")</t>
  </si>
  <si>
    <t>=NF($D3683,"6 Document No.")</t>
  </si>
  <si>
    <t>=NF($D3684,"6 Document No.")</t>
  </si>
  <si>
    <t>=NF($D3685,"6 Document No.")</t>
  </si>
  <si>
    <t>=NF($D3686,"6 Document No.")</t>
  </si>
  <si>
    <t>=NF($D3687,"6 Document No.")</t>
  </si>
  <si>
    <t>=NF($D3688,"6 Document No.")</t>
  </si>
  <si>
    <t>=NF($D3689,"6 Document No.")</t>
  </si>
  <si>
    <t>=NF($D3690,"6 Document No.")</t>
  </si>
  <si>
    <t>=NF($D3691,"6 Document No.")</t>
  </si>
  <si>
    <t>=NF($D3692,"6 Document No.")</t>
  </si>
  <si>
    <t>=NF($D3693,"6 Document No.")</t>
  </si>
  <si>
    <t>=NF($D3694,"6 Document No.")</t>
  </si>
  <si>
    <t>=NF($D3695,"6 Document No.")</t>
  </si>
  <si>
    <t>=NF($D3696,"6 Document No.")</t>
  </si>
  <si>
    <t>=NF($D3697,"6 Document No.")</t>
  </si>
  <si>
    <t>=NF($D3698,"6 Document No.")</t>
  </si>
  <si>
    <t>=NF($D3699,"6 Document No.")</t>
  </si>
  <si>
    <t>=NF($D3647,"37 Due Date")</t>
  </si>
  <si>
    <t>=NF($D3648,"37 Due Date")</t>
  </si>
  <si>
    <t>=NF($D3649,"37 Due Date")</t>
  </si>
  <si>
    <t>=NF($D3650,"37 Due Date")</t>
  </si>
  <si>
    <t>=NF($D3651,"37 Due Date")</t>
  </si>
  <si>
    <t>=NF($D3652,"37 Due Date")</t>
  </si>
  <si>
    <t>=NF($D3653,"37 Due Date")</t>
  </si>
  <si>
    <t>=NF($D3654,"37 Due Date")</t>
  </si>
  <si>
    <t>=NF($D3655,"37 Due Date")</t>
  </si>
  <si>
    <t>=NF($D3656,"37 Due Date")</t>
  </si>
  <si>
    <t>=NF($D3657,"37 Due Date")</t>
  </si>
  <si>
    <t>=NF($D3658,"37 Due Date")</t>
  </si>
  <si>
    <t>=NF($D3659,"37 Due Date")</t>
  </si>
  <si>
    <t>=NF($D3660,"37 Due Date")</t>
  </si>
  <si>
    <t>=NF($D3661,"37 Due Date")</t>
  </si>
  <si>
    <t>=NF($D3662,"37 Due Date")</t>
  </si>
  <si>
    <t>=NF($D3663,"37 Due Date")</t>
  </si>
  <si>
    <t>=NF($D3664,"37 Due Date")</t>
  </si>
  <si>
    <t>=NF($D3665,"37 Due Date")</t>
  </si>
  <si>
    <t>=NF($D3666,"37 Due Date")</t>
  </si>
  <si>
    <t>=NF($D3667,"37 Due Date")</t>
  </si>
  <si>
    <t>=NF($D3668,"37 Due Date")</t>
  </si>
  <si>
    <t>=NF($D3669,"37 Due Date")</t>
  </si>
  <si>
    <t>=NF($D3670,"37 Due Date")</t>
  </si>
  <si>
    <t>=NF($D3671,"37 Due Date")</t>
  </si>
  <si>
    <t>=NF($D3672,"37 Due Date")</t>
  </si>
  <si>
    <t>=NF($D3673,"37 Due Date")</t>
  </si>
  <si>
    <t>=NF($D3674,"37 Due Date")</t>
  </si>
  <si>
    <t>=NF($D3675,"37 Due Date")</t>
  </si>
  <si>
    <t>=NF($D3676,"37 Due Date")</t>
  </si>
  <si>
    <t>=NF($D3677,"37 Due Date")</t>
  </si>
  <si>
    <t>=NF($D3678,"37 Due Date")</t>
  </si>
  <si>
    <t>=NF($D3679,"37 Due Date")</t>
  </si>
  <si>
    <t>=NF($D3680,"37 Due Date")</t>
  </si>
  <si>
    <t>=NF($D3681,"37 Due Date")</t>
  </si>
  <si>
    <t>=NF($D3682,"37 Due Date")</t>
  </si>
  <si>
    <t>=NF($D3683,"37 Due Date")</t>
  </si>
  <si>
    <t>=NF($D3684,"37 Due Date")</t>
  </si>
  <si>
    <t>=NF($D3685,"37 Due Date")</t>
  </si>
  <si>
    <t>=NF($D3686,"37 Due Date")</t>
  </si>
  <si>
    <t>=NF($D3687,"37 Due Date")</t>
  </si>
  <si>
    <t>=NF($D3688,"37 Due Date")</t>
  </si>
  <si>
    <t>=NF($D3689,"37 Due Date")</t>
  </si>
  <si>
    <t>=NF($D3690,"37 Due Date")</t>
  </si>
  <si>
    <t>=NF($D3691,"37 Due Date")</t>
  </si>
  <si>
    <t>=NF($D3692,"37 Due Date")</t>
  </si>
  <si>
    <t>=NF($D3693,"37 Due Date")</t>
  </si>
  <si>
    <t>=NF($D3694,"37 Due Date")</t>
  </si>
  <si>
    <t>=NF($D3695,"37 Due Date")</t>
  </si>
  <si>
    <t>=NF($D3696,"37 Due Date")</t>
  </si>
  <si>
    <t>=NF($D3697,"37 Due Date")</t>
  </si>
  <si>
    <t>=NF($D3698,"37 Due Date")</t>
  </si>
  <si>
    <t>=NF($D3699,"37 Due Date")</t>
  </si>
  <si>
    <t>=NF($D3647,"16 Remaining Amt. (LCY)")</t>
  </si>
  <si>
    <t>=NF($D3648,"16 Remaining Amt. (LCY)")</t>
  </si>
  <si>
    <t>=NF($D3649,"16 Remaining Amt. (LCY)")</t>
  </si>
  <si>
    <t>=NF($D3650,"16 Remaining Amt. (LCY)")</t>
  </si>
  <si>
    <t>=NF($D3651,"16 Remaining Amt. (LCY)")</t>
  </si>
  <si>
    <t>=NF($D3652,"16 Remaining Amt. (LCY)")</t>
  </si>
  <si>
    <t>=NF($D3653,"16 Remaining Amt. (LCY)")</t>
  </si>
  <si>
    <t>=NF($D3654,"16 Remaining Amt. (LCY)")</t>
  </si>
  <si>
    <t>=NF($D3655,"16 Remaining Amt. (LCY)")</t>
  </si>
  <si>
    <t>=NF($D3656,"16 Remaining Amt. (LCY)")</t>
  </si>
  <si>
    <t>=NF($D3657,"16 Remaining Amt. (LCY)")</t>
  </si>
  <si>
    <t>=NF($D3658,"16 Remaining Amt. (LCY)")</t>
  </si>
  <si>
    <t>=NF($D3659,"16 Remaining Amt. (LCY)")</t>
  </si>
  <si>
    <t>=NF($D3660,"16 Remaining Amt. (LCY)")</t>
  </si>
  <si>
    <t>=NF($D3661,"16 Remaining Amt. (LCY)")</t>
  </si>
  <si>
    <t>=NF($D3662,"16 Remaining Amt. (LCY)")</t>
  </si>
  <si>
    <t>=NF($D3663,"16 Remaining Amt. (LCY)")</t>
  </si>
  <si>
    <t>=NF($D3664,"16 Remaining Amt. (LCY)")</t>
  </si>
  <si>
    <t>=NF($D3665,"16 Remaining Amt. (LCY)")</t>
  </si>
  <si>
    <t>=NF($D3666,"16 Remaining Amt. (LCY)")</t>
  </si>
  <si>
    <t>=NF($D3667,"16 Remaining Amt. (LCY)")</t>
  </si>
  <si>
    <t>=NF($D3668,"16 Remaining Amt. (LCY)")</t>
  </si>
  <si>
    <t>=NF($D3669,"16 Remaining Amt. (LCY)")</t>
  </si>
  <si>
    <t>=NF($D3670,"16 Remaining Amt. (LCY)")</t>
  </si>
  <si>
    <t>=NF($D3671,"16 Remaining Amt. (LCY)")</t>
  </si>
  <si>
    <t>=NF($D3672,"16 Remaining Amt. (LCY)")</t>
  </si>
  <si>
    <t>=NF($D3673,"16 Remaining Amt. (LCY)")</t>
  </si>
  <si>
    <t>=NF($D3674,"16 Remaining Amt. (LCY)")</t>
  </si>
  <si>
    <t>=NF($D3675,"16 Remaining Amt. (LCY)")</t>
  </si>
  <si>
    <t>=NF($D3676,"16 Remaining Amt. (LCY)")</t>
  </si>
  <si>
    <t>=NF($D3677,"16 Remaining Amt. (LCY)")</t>
  </si>
  <si>
    <t>=NF($D3678,"16 Remaining Amt. (LCY)")</t>
  </si>
  <si>
    <t>=NF($D3679,"16 Remaining Amt. (LCY)")</t>
  </si>
  <si>
    <t>=NF($D3680,"16 Remaining Amt. (LCY)")</t>
  </si>
  <si>
    <t>=NF($D3681,"16 Remaining Amt. (LCY)")</t>
  </si>
  <si>
    <t>=NF($D3682,"16 Remaining Amt. (LCY)")</t>
  </si>
  <si>
    <t>=NF($D3683,"16 Remaining Amt. (LCY)")</t>
  </si>
  <si>
    <t>=NF($D3684,"16 Remaining Amt. (LCY)")</t>
  </si>
  <si>
    <t>=NF($D3685,"16 Remaining Amt. (LCY)")</t>
  </si>
  <si>
    <t>=NF($D3686,"16 Remaining Amt. (LCY)")</t>
  </si>
  <si>
    <t>=NF($D3687,"16 Remaining Amt. (LCY)")</t>
  </si>
  <si>
    <t>=NF($D3688,"16 Remaining Amt. (LCY)")</t>
  </si>
  <si>
    <t>=NF($D3689,"16 Remaining Amt. (LCY)")</t>
  </si>
  <si>
    <t>=NF($D3690,"16 Remaining Amt. (LCY)")</t>
  </si>
  <si>
    <t>=NF($D3691,"16 Remaining Amt. (LCY)")</t>
  </si>
  <si>
    <t>=NF($D3692,"16 Remaining Amt. (LCY)")</t>
  </si>
  <si>
    <t>=NF($D3693,"16 Remaining Amt. (LCY)")</t>
  </si>
  <si>
    <t>=NF($D3694,"16 Remaining Amt. (LCY)")</t>
  </si>
  <si>
    <t>=NF($D3695,"16 Remaining Amt. (LCY)")</t>
  </si>
  <si>
    <t>=NF($D3696,"16 Remaining Amt. (LCY)")</t>
  </si>
  <si>
    <t>=NF($D3697,"16 Remaining Amt. (LCY)")</t>
  </si>
  <si>
    <t>=NF($D3698,"16 Remaining Amt. (LCY)")</t>
  </si>
  <si>
    <t>=NF($D3699,"16 Remaining Amt. (LCY)")</t>
  </si>
  <si>
    <t>=NF($D3599,"5 Document Type")</t>
  </si>
  <si>
    <t>=NF($D3600,"5 Document Type")</t>
  </si>
  <si>
    <t>=NF($D3601,"5 Document Type")</t>
  </si>
  <si>
    <t>=NF($D3602,"5 Document Type")</t>
  </si>
  <si>
    <t>=NF($D3603,"5 Document Type")</t>
  </si>
  <si>
    <t>=NF($D3604,"5 Document Type")</t>
  </si>
  <si>
    <t>=NF($D3605,"5 Document Type")</t>
  </si>
  <si>
    <t>=NF($D3606,"5 Document Type")</t>
  </si>
  <si>
    <t>=NF($D3607,"5 Document Type")</t>
  </si>
  <si>
    <t>=NF($D3608,"5 Document Type")</t>
  </si>
  <si>
    <t>=NF($D3609,"5 Document Type")</t>
  </si>
  <si>
    <t>=NF($D3610,"5 Document Type")</t>
  </si>
  <si>
    <t>=NF($D3611,"5 Document Type")</t>
  </si>
  <si>
    <t>=NF($D3612,"5 Document Type")</t>
  </si>
  <si>
    <t>=NF($D3613,"5 Document Type")</t>
  </si>
  <si>
    <t>=NF($D3614,"5 Document Type")</t>
  </si>
  <si>
    <t>=NF($D3615,"5 Document Type")</t>
  </si>
  <si>
    <t>=NF($D3616,"5 Document Type")</t>
  </si>
  <si>
    <t>=NF($D3617,"5 Document Type")</t>
  </si>
  <si>
    <t>=NF($D3618,"5 Document Type")</t>
  </si>
  <si>
    <t>=NF($D3619,"5 Document Type")</t>
  </si>
  <si>
    <t>=NF($D3620,"5 Document Type")</t>
  </si>
  <si>
    <t>=NF($D3621,"5 Document Type")</t>
  </si>
  <si>
    <t>=NF($D3622,"5 Document Type")</t>
  </si>
  <si>
    <t>=NF($D3623,"5 Document Type")</t>
  </si>
  <si>
    <t>=NF($D3624,"5 Document Type")</t>
  </si>
  <si>
    <t>=NF($D3625,"5 Document Type")</t>
  </si>
  <si>
    <t>=NF($D3626,"5 Document Type")</t>
  </si>
  <si>
    <t>=NF($D3627,"5 Document Type")</t>
  </si>
  <si>
    <t>=NF($D3628,"5 Document Type")</t>
  </si>
  <si>
    <t>=NF($D3629,"5 Document Type")</t>
  </si>
  <si>
    <t>=NF($D3630,"5 Document Type")</t>
  </si>
  <si>
    <t>=NF($D3631,"5 Document Type")</t>
  </si>
  <si>
    <t>=NF($D3632,"5 Document Type")</t>
  </si>
  <si>
    <t>=NF($D3633,"5 Document Type")</t>
  </si>
  <si>
    <t>=NF($D3634,"5 Document Type")</t>
  </si>
  <si>
    <t>=NF($D3635,"5 Document Type")</t>
  </si>
  <si>
    <t>=NF($D3636,"5 Document Type")</t>
  </si>
  <si>
    <t>=NF($D3637,"5 Document Type")</t>
  </si>
  <si>
    <t>=NF($D3638,"5 Document Type")</t>
  </si>
  <si>
    <t>=NF($D3639,"5 Document Type")</t>
  </si>
  <si>
    <t>=NF($D3640,"5 Document Type")</t>
  </si>
  <si>
    <t>=NF($D3599,"6 Document No.")</t>
  </si>
  <si>
    <t>=NF($D3600,"6 Document No.")</t>
  </si>
  <si>
    <t>=NF($D3601,"6 Document No.")</t>
  </si>
  <si>
    <t>=NF($D3602,"6 Document No.")</t>
  </si>
  <si>
    <t>=NF($D3603,"6 Document No.")</t>
  </si>
  <si>
    <t>=NF($D3604,"6 Document No.")</t>
  </si>
  <si>
    <t>=NF($D3605,"6 Document No.")</t>
  </si>
  <si>
    <t>=NF($D3606,"6 Document No.")</t>
  </si>
  <si>
    <t>=NF($D3607,"6 Document No.")</t>
  </si>
  <si>
    <t>=NF($D3608,"6 Document No.")</t>
  </si>
  <si>
    <t>=NF($D3609,"6 Document No.")</t>
  </si>
  <si>
    <t>=NF($D3610,"6 Document No.")</t>
  </si>
  <si>
    <t>=NF($D3611,"6 Document No.")</t>
  </si>
  <si>
    <t>=NF($D3612,"6 Document No.")</t>
  </si>
  <si>
    <t>=NF($D3613,"6 Document No.")</t>
  </si>
  <si>
    <t>=NF($D3614,"6 Document No.")</t>
  </si>
  <si>
    <t>=NF($D3615,"6 Document No.")</t>
  </si>
  <si>
    <t>=NF($D3616,"6 Document No.")</t>
  </si>
  <si>
    <t>=NF($D3617,"6 Document No.")</t>
  </si>
  <si>
    <t>=NF($D3618,"6 Document No.")</t>
  </si>
  <si>
    <t>=NF($D3619,"6 Document No.")</t>
  </si>
  <si>
    <t>=NF($D3620,"6 Document No.")</t>
  </si>
  <si>
    <t>=NF($D3621,"6 Document No.")</t>
  </si>
  <si>
    <t>=NF($D3622,"6 Document No.")</t>
  </si>
  <si>
    <t>=NF($D3623,"6 Document No.")</t>
  </si>
  <si>
    <t>=NF($D3624,"6 Document No.")</t>
  </si>
  <si>
    <t>=NF($D3625,"6 Document No.")</t>
  </si>
  <si>
    <t>=NF($D3626,"6 Document No.")</t>
  </si>
  <si>
    <t>=NF($D3627,"6 Document No.")</t>
  </si>
  <si>
    <t>=NF($D3628,"6 Document No.")</t>
  </si>
  <si>
    <t>=NF($D3629,"6 Document No.")</t>
  </si>
  <si>
    <t>=NF($D3630,"6 Document No.")</t>
  </si>
  <si>
    <t>=NF($D3631,"6 Document No.")</t>
  </si>
  <si>
    <t>=NF($D3632,"6 Document No.")</t>
  </si>
  <si>
    <t>=NF($D3633,"6 Document No.")</t>
  </si>
  <si>
    <t>=NF($D3634,"6 Document No.")</t>
  </si>
  <si>
    <t>=NF($D3635,"6 Document No.")</t>
  </si>
  <si>
    <t>=NF($D3636,"6 Document No.")</t>
  </si>
  <si>
    <t>=NF($D3637,"6 Document No.")</t>
  </si>
  <si>
    <t>=NF($D3638,"6 Document No.")</t>
  </si>
  <si>
    <t>=NF($D3639,"6 Document No.")</t>
  </si>
  <si>
    <t>=NF($D3640,"6 Document No.")</t>
  </si>
  <si>
    <t>=NF($D3599,"37 Due Date")</t>
  </si>
  <si>
    <t>=NF($D3600,"37 Due Date")</t>
  </si>
  <si>
    <t>=NF($D3601,"37 Due Date")</t>
  </si>
  <si>
    <t>=NF($D3602,"37 Due Date")</t>
  </si>
  <si>
    <t>=NF($D3603,"37 Due Date")</t>
  </si>
  <si>
    <t>=NF($D3604,"37 Due Date")</t>
  </si>
  <si>
    <t>=NF($D3605,"37 Due Date")</t>
  </si>
  <si>
    <t>=NF($D3606,"37 Due Date")</t>
  </si>
  <si>
    <t>=NF($D3607,"37 Due Date")</t>
  </si>
  <si>
    <t>=NF($D3608,"37 Due Date")</t>
  </si>
  <si>
    <t>=NF($D3609,"37 Due Date")</t>
  </si>
  <si>
    <t>=NF($D3610,"37 Due Date")</t>
  </si>
  <si>
    <t>=NF($D3611,"37 Due Date")</t>
  </si>
  <si>
    <t>=NF($D3612,"37 Due Date")</t>
  </si>
  <si>
    <t>=NF($D3613,"37 Due Date")</t>
  </si>
  <si>
    <t>=NF($D3614,"37 Due Date")</t>
  </si>
  <si>
    <t>=NF($D3615,"37 Due Date")</t>
  </si>
  <si>
    <t>=NF($D3616,"37 Due Date")</t>
  </si>
  <si>
    <t>=NF($D3617,"37 Due Date")</t>
  </si>
  <si>
    <t>=NF($D3618,"37 Due Date")</t>
  </si>
  <si>
    <t>=NF($D3619,"37 Due Date")</t>
  </si>
  <si>
    <t>=NF($D3620,"37 Due Date")</t>
  </si>
  <si>
    <t>=NF($D3621,"37 Due Date")</t>
  </si>
  <si>
    <t>=NF($D3622,"37 Due Date")</t>
  </si>
  <si>
    <t>=NF($D3623,"37 Due Date")</t>
  </si>
  <si>
    <t>=NF($D3624,"37 Due Date")</t>
  </si>
  <si>
    <t>=NF($D3625,"37 Due Date")</t>
  </si>
  <si>
    <t>=NF($D3626,"37 Due Date")</t>
  </si>
  <si>
    <t>=NF($D3627,"37 Due Date")</t>
  </si>
  <si>
    <t>=NF($D3628,"37 Due Date")</t>
  </si>
  <si>
    <t>=NF($D3629,"37 Due Date")</t>
  </si>
  <si>
    <t>=NF($D3630,"37 Due Date")</t>
  </si>
  <si>
    <t>=NF($D3631,"37 Due Date")</t>
  </si>
  <si>
    <t>=NF($D3632,"37 Due Date")</t>
  </si>
  <si>
    <t>=NF($D3633,"37 Due Date")</t>
  </si>
  <si>
    <t>=NF($D3634,"37 Due Date")</t>
  </si>
  <si>
    <t>=NF($D3635,"37 Due Date")</t>
  </si>
  <si>
    <t>=NF($D3636,"37 Due Date")</t>
  </si>
  <si>
    <t>=NF($D3637,"37 Due Date")</t>
  </si>
  <si>
    <t>=NF($D3638,"37 Due Date")</t>
  </si>
  <si>
    <t>=NF($D3639,"37 Due Date")</t>
  </si>
  <si>
    <t>=NF($D3640,"37 Due Date")</t>
  </si>
  <si>
    <t>=NF($D3599,"16 Remaining Amt. (LCY)")</t>
  </si>
  <si>
    <t>=NF($D3600,"16 Remaining Amt. (LCY)")</t>
  </si>
  <si>
    <t>=NF($D3601,"16 Remaining Amt. (LCY)")</t>
  </si>
  <si>
    <t>=NF($D3602,"16 Remaining Amt. (LCY)")</t>
  </si>
  <si>
    <t>=NF($D3603,"16 Remaining Amt. (LCY)")</t>
  </si>
  <si>
    <t>=NF($D3604,"16 Remaining Amt. (LCY)")</t>
  </si>
  <si>
    <t>=NF($D3605,"16 Remaining Amt. (LCY)")</t>
  </si>
  <si>
    <t>=NF($D3606,"16 Remaining Amt. (LCY)")</t>
  </si>
  <si>
    <t>=NF($D3607,"16 Remaining Amt. (LCY)")</t>
  </si>
  <si>
    <t>=NF($D3608,"16 Remaining Amt. (LCY)")</t>
  </si>
  <si>
    <t>=NF($D3609,"16 Remaining Amt. (LCY)")</t>
  </si>
  <si>
    <t>=NF($D3610,"16 Remaining Amt. (LCY)")</t>
  </si>
  <si>
    <t>=NF($D3611,"16 Remaining Amt. (LCY)")</t>
  </si>
  <si>
    <t>=NF($D3612,"16 Remaining Amt. (LCY)")</t>
  </si>
  <si>
    <t>=NF($D3613,"16 Remaining Amt. (LCY)")</t>
  </si>
  <si>
    <t>=NF($D3614,"16 Remaining Amt. (LCY)")</t>
  </si>
  <si>
    <t>=NF($D3615,"16 Remaining Amt. (LCY)")</t>
  </si>
  <si>
    <t>=NF($D3616,"16 Remaining Amt. (LCY)")</t>
  </si>
  <si>
    <t>=NF($D3617,"16 Remaining Amt. (LCY)")</t>
  </si>
  <si>
    <t>=NF($D3618,"16 Remaining Amt. (LCY)")</t>
  </si>
  <si>
    <t>=NF($D3619,"16 Remaining Amt. (LCY)")</t>
  </si>
  <si>
    <t>=NF($D3620,"16 Remaining Amt. (LCY)")</t>
  </si>
  <si>
    <t>=NF($D3621,"16 Remaining Amt. (LCY)")</t>
  </si>
  <si>
    <t>=NF($D3622,"16 Remaining Amt. (LCY)")</t>
  </si>
  <si>
    <t>=NF($D3623,"16 Remaining Amt. (LCY)")</t>
  </si>
  <si>
    <t>=NF($D3624,"16 Remaining Amt. (LCY)")</t>
  </si>
  <si>
    <t>=NF($D3625,"16 Remaining Amt. (LCY)")</t>
  </si>
  <si>
    <t>=NF($D3626,"16 Remaining Amt. (LCY)")</t>
  </si>
  <si>
    <t>=NF($D3627,"16 Remaining Amt. (LCY)")</t>
  </si>
  <si>
    <t>=NF($D3628,"16 Remaining Amt. (LCY)")</t>
  </si>
  <si>
    <t>=NF($D3629,"16 Remaining Amt. (LCY)")</t>
  </si>
  <si>
    <t>=NF($D3630,"16 Remaining Amt. (LCY)")</t>
  </si>
  <si>
    <t>=NF($D3631,"16 Remaining Amt. (LCY)")</t>
  </si>
  <si>
    <t>=NF($D3632,"16 Remaining Amt. (LCY)")</t>
  </si>
  <si>
    <t>=NF($D3633,"16 Remaining Amt. (LCY)")</t>
  </si>
  <si>
    <t>=NF($D3634,"16 Remaining Amt. (LCY)")</t>
  </si>
  <si>
    <t>=NF($D3635,"16 Remaining Amt. (LCY)")</t>
  </si>
  <si>
    <t>=NF($D3636,"16 Remaining Amt. (LCY)")</t>
  </si>
  <si>
    <t>=NF($D3637,"16 Remaining Amt. (LCY)")</t>
  </si>
  <si>
    <t>=NF($D3638,"16 Remaining Amt. (LCY)")</t>
  </si>
  <si>
    <t>=NF($D3639,"16 Remaining Amt. (LCY)")</t>
  </si>
  <si>
    <t>=NF($D3640,"16 Remaining Amt. (LCY)")</t>
  </si>
  <si>
    <t>=NF($D3543,"5 Document Type")</t>
  </si>
  <si>
    <t>=NF($D3544,"5 Document Type")</t>
  </si>
  <si>
    <t>=NF($D3545,"5 Document Type")</t>
  </si>
  <si>
    <t>=NF($D3546,"5 Document Type")</t>
  </si>
  <si>
    <t>=NF($D3547,"5 Document Type")</t>
  </si>
  <si>
    <t>=NF($D3548,"5 Document Type")</t>
  </si>
  <si>
    <t>=NF($D3549,"5 Document Type")</t>
  </si>
  <si>
    <t>=NF($D3550,"5 Document Type")</t>
  </si>
  <si>
    <t>=NF($D3551,"5 Document Type")</t>
  </si>
  <si>
    <t>=NF($D3552,"5 Document Type")</t>
  </si>
  <si>
    <t>=NF($D3553,"5 Document Type")</t>
  </si>
  <si>
    <t>=NF($D3554,"5 Document Type")</t>
  </si>
  <si>
    <t>=NF($D3555,"5 Document Type")</t>
  </si>
  <si>
    <t>=NF($D3556,"5 Document Type")</t>
  </si>
  <si>
    <t>=NF($D3557,"5 Document Type")</t>
  </si>
  <si>
    <t>=NF($D3558,"5 Document Type")</t>
  </si>
  <si>
    <t>=NF($D3559,"5 Document Type")</t>
  </si>
  <si>
    <t>=NF($D3560,"5 Document Type")</t>
  </si>
  <si>
    <t>=NF($D3561,"5 Document Type")</t>
  </si>
  <si>
    <t>=NF($D3562,"5 Document Type")</t>
  </si>
  <si>
    <t>=NF($D3563,"5 Document Type")</t>
  </si>
  <si>
    <t>=NF($D3564,"5 Document Type")</t>
  </si>
  <si>
    <t>=NF($D3565,"5 Document Type")</t>
  </si>
  <si>
    <t>=NF($D3566,"5 Document Type")</t>
  </si>
  <si>
    <t>=NF($D3567,"5 Document Type")</t>
  </si>
  <si>
    <t>=NF($D3568,"5 Document Type")</t>
  </si>
  <si>
    <t>=NF($D3569,"5 Document Type")</t>
  </si>
  <si>
    <t>=NF($D3570,"5 Document Type")</t>
  </si>
  <si>
    <t>=NF($D3571,"5 Document Type")</t>
  </si>
  <si>
    <t>=NF($D3572,"5 Document Type")</t>
  </si>
  <si>
    <t>=NF($D3573,"5 Document Type")</t>
  </si>
  <si>
    <t>=NF($D3574,"5 Document Type")</t>
  </si>
  <si>
    <t>=NF($D3575,"5 Document Type")</t>
  </si>
  <si>
    <t>=NF($D3576,"5 Document Type")</t>
  </si>
  <si>
    <t>=NF($D3577,"5 Document Type")</t>
  </si>
  <si>
    <t>=NF($D3578,"5 Document Type")</t>
  </si>
  <si>
    <t>=NF($D3579,"5 Document Type")</t>
  </si>
  <si>
    <t>=NF($D3580,"5 Document Type")</t>
  </si>
  <si>
    <t>=NF($D3581,"5 Document Type")</t>
  </si>
  <si>
    <t>=NF($D3582,"5 Document Type")</t>
  </si>
  <si>
    <t>=NF($D3583,"5 Document Type")</t>
  </si>
  <si>
    <t>=NF($D3584,"5 Document Type")</t>
  </si>
  <si>
    <t>=NF($D3585,"5 Document Type")</t>
  </si>
  <si>
    <t>=NF($D3586,"5 Document Type")</t>
  </si>
  <si>
    <t>=NF($D3587,"5 Document Type")</t>
  </si>
  <si>
    <t>=NF($D3588,"5 Document Type")</t>
  </si>
  <si>
    <t>=NF($D3589,"5 Document Type")</t>
  </si>
  <si>
    <t>=NF($D3590,"5 Document Type")</t>
  </si>
  <si>
    <t>=NF($D3591,"5 Document Type")</t>
  </si>
  <si>
    <t>=NF($D3592,"5 Document Type")</t>
  </si>
  <si>
    <t>=NF($D3543,"6 Document No.")</t>
  </si>
  <si>
    <t>=NF($D3544,"6 Document No.")</t>
  </si>
  <si>
    <t>=NF($D3545,"6 Document No.")</t>
  </si>
  <si>
    <t>=NF($D3546,"6 Document No.")</t>
  </si>
  <si>
    <t>=NF($D3547,"6 Document No.")</t>
  </si>
  <si>
    <t>=NF($D3548,"6 Document No.")</t>
  </si>
  <si>
    <t>=NF($D3549,"6 Document No.")</t>
  </si>
  <si>
    <t>=NF($D3550,"6 Document No.")</t>
  </si>
  <si>
    <t>=NF($D3551,"6 Document No.")</t>
  </si>
  <si>
    <t>=NF($D3552,"6 Document No.")</t>
  </si>
  <si>
    <t>=NF($D3553,"6 Document No.")</t>
  </si>
  <si>
    <t>=NF($D3554,"6 Document No.")</t>
  </si>
  <si>
    <t>=NF($D3555,"6 Document No.")</t>
  </si>
  <si>
    <t>=NF($D3556,"6 Document No.")</t>
  </si>
  <si>
    <t>=NF($D3557,"6 Document No.")</t>
  </si>
  <si>
    <t>=NF($D3558,"6 Document No.")</t>
  </si>
  <si>
    <t>=NF($D3559,"6 Document No.")</t>
  </si>
  <si>
    <t>=NF($D3560,"6 Document No.")</t>
  </si>
  <si>
    <t>=NF($D3561,"6 Document No.")</t>
  </si>
  <si>
    <t>=NF($D3562,"6 Document No.")</t>
  </si>
  <si>
    <t>=NF($D3563,"6 Document No.")</t>
  </si>
  <si>
    <t>=NF($D3564,"6 Document No.")</t>
  </si>
  <si>
    <t>=NF($D3565,"6 Document No.")</t>
  </si>
  <si>
    <t>=NF($D3566,"6 Document No.")</t>
  </si>
  <si>
    <t>=NF($D3567,"6 Document No.")</t>
  </si>
  <si>
    <t>=NF($D3568,"6 Document No.")</t>
  </si>
  <si>
    <t>=NF($D3569,"6 Document No.")</t>
  </si>
  <si>
    <t>=NF($D3570,"6 Document No.")</t>
  </si>
  <si>
    <t>=NF($D3571,"6 Document No.")</t>
  </si>
  <si>
    <t>=NF($D3572,"6 Document No.")</t>
  </si>
  <si>
    <t>=NF($D3573,"6 Document No.")</t>
  </si>
  <si>
    <t>=NF($D3574,"6 Document No.")</t>
  </si>
  <si>
    <t>=NF($D3575,"6 Document No.")</t>
  </si>
  <si>
    <t>=NF($D3576,"6 Document No.")</t>
  </si>
  <si>
    <t>=NF($D3577,"6 Document No.")</t>
  </si>
  <si>
    <t>=NF($D3578,"6 Document No.")</t>
  </si>
  <si>
    <t>=NF($D3579,"6 Document No.")</t>
  </si>
  <si>
    <t>=NF($D3580,"6 Document No.")</t>
  </si>
  <si>
    <t>=NF($D3581,"6 Document No.")</t>
  </si>
  <si>
    <t>=NF($D3582,"6 Document No.")</t>
  </si>
  <si>
    <t>=NF($D3583,"6 Document No.")</t>
  </si>
  <si>
    <t>=NF($D3584,"6 Document No.")</t>
  </si>
  <si>
    <t>=NF($D3585,"6 Document No.")</t>
  </si>
  <si>
    <t>=NF($D3586,"6 Document No.")</t>
  </si>
  <si>
    <t>=NF($D3587,"6 Document No.")</t>
  </si>
  <si>
    <t>=NF($D3588,"6 Document No.")</t>
  </si>
  <si>
    <t>=NF($D3589,"6 Document No.")</t>
  </si>
  <si>
    <t>=NF($D3590,"6 Document No.")</t>
  </si>
  <si>
    <t>=NF($D3591,"6 Document No.")</t>
  </si>
  <si>
    <t>=NF($D3592,"6 Document No.")</t>
  </si>
  <si>
    <t>=NF($D3543,"37 Due Date")</t>
  </si>
  <si>
    <t>=NF($D3544,"37 Due Date")</t>
  </si>
  <si>
    <t>=NF($D3545,"37 Due Date")</t>
  </si>
  <si>
    <t>=NF($D3546,"37 Due Date")</t>
  </si>
  <si>
    <t>=NF($D3547,"37 Due Date")</t>
  </si>
  <si>
    <t>=NF($D3548,"37 Due Date")</t>
  </si>
  <si>
    <t>=NF($D3549,"37 Due Date")</t>
  </si>
  <si>
    <t>=NF($D3550,"37 Due Date")</t>
  </si>
  <si>
    <t>=NF($D3551,"37 Due Date")</t>
  </si>
  <si>
    <t>=NF($D3552,"37 Due Date")</t>
  </si>
  <si>
    <t>=NF($D3553,"37 Due Date")</t>
  </si>
  <si>
    <t>=NF($D3554,"37 Due Date")</t>
  </si>
  <si>
    <t>=NF($D3555,"37 Due Date")</t>
  </si>
  <si>
    <t>=NF($D3556,"37 Due Date")</t>
  </si>
  <si>
    <t>=NF($D3557,"37 Due Date")</t>
  </si>
  <si>
    <t>=NF($D3558,"37 Due Date")</t>
  </si>
  <si>
    <t>=NF($D3559,"37 Due Date")</t>
  </si>
  <si>
    <t>=NF($D3560,"37 Due Date")</t>
  </si>
  <si>
    <t>=NF($D3561,"37 Due Date")</t>
  </si>
  <si>
    <t>=NF($D3562,"37 Due Date")</t>
  </si>
  <si>
    <t>=NF($D3563,"37 Due Date")</t>
  </si>
  <si>
    <t>=NF($D3564,"37 Due Date")</t>
  </si>
  <si>
    <t>=NF($D3565,"37 Due Date")</t>
  </si>
  <si>
    <t>=NF($D3566,"37 Due Date")</t>
  </si>
  <si>
    <t>=NF($D3567,"37 Due Date")</t>
  </si>
  <si>
    <t>=NF($D3568,"37 Due Date")</t>
  </si>
  <si>
    <t>=NF($D3569,"37 Due Date")</t>
  </si>
  <si>
    <t>=NF($D3570,"37 Due Date")</t>
  </si>
  <si>
    <t>=NF($D3571,"37 Due Date")</t>
  </si>
  <si>
    <t>=NF($D3572,"37 Due Date")</t>
  </si>
  <si>
    <t>=NF($D3573,"37 Due Date")</t>
  </si>
  <si>
    <t>=NF($D3574,"37 Due Date")</t>
  </si>
  <si>
    <t>=NF($D3575,"37 Due Date")</t>
  </si>
  <si>
    <t>=NF($D3576,"37 Due Date")</t>
  </si>
  <si>
    <t>=NF($D3577,"37 Due Date")</t>
  </si>
  <si>
    <t>=NF($D3578,"37 Due Date")</t>
  </si>
  <si>
    <t>=NF($D3579,"37 Due Date")</t>
  </si>
  <si>
    <t>=NF($D3580,"37 Due Date")</t>
  </si>
  <si>
    <t>=NF($D3581,"37 Due Date")</t>
  </si>
  <si>
    <t>=NF($D3582,"37 Due Date")</t>
  </si>
  <si>
    <t>=NF($D3583,"37 Due Date")</t>
  </si>
  <si>
    <t>=NF($D3584,"37 Due Date")</t>
  </si>
  <si>
    <t>=NF($D3585,"37 Due Date")</t>
  </si>
  <si>
    <t>=NF($D3586,"37 Due Date")</t>
  </si>
  <si>
    <t>=NF($D3587,"37 Due Date")</t>
  </si>
  <si>
    <t>=NF($D3588,"37 Due Date")</t>
  </si>
  <si>
    <t>=NF($D3589,"37 Due Date")</t>
  </si>
  <si>
    <t>=NF($D3590,"37 Due Date")</t>
  </si>
  <si>
    <t>=NF($D3591,"37 Due Date")</t>
  </si>
  <si>
    <t>=NF($D3592,"37 Due Date")</t>
  </si>
  <si>
    <t>=NF($D3543,"16 Remaining Amt. (LCY)")</t>
  </si>
  <si>
    <t>=NF($D3544,"16 Remaining Amt. (LCY)")</t>
  </si>
  <si>
    <t>=NF($D3545,"16 Remaining Amt. (LCY)")</t>
  </si>
  <si>
    <t>=NF($D3546,"16 Remaining Amt. (LCY)")</t>
  </si>
  <si>
    <t>=NF($D3547,"16 Remaining Amt. (LCY)")</t>
  </si>
  <si>
    <t>=NF($D3548,"16 Remaining Amt. (LCY)")</t>
  </si>
  <si>
    <t>=NF($D3549,"16 Remaining Amt. (LCY)")</t>
  </si>
  <si>
    <t>=NF($D3550,"16 Remaining Amt. (LCY)")</t>
  </si>
  <si>
    <t>=NF($D3551,"16 Remaining Amt. (LCY)")</t>
  </si>
  <si>
    <t>=NF($D3552,"16 Remaining Amt. (LCY)")</t>
  </si>
  <si>
    <t>=NF($D3553,"16 Remaining Amt. (LCY)")</t>
  </si>
  <si>
    <t>=NF($D3554,"16 Remaining Amt. (LCY)")</t>
  </si>
  <si>
    <t>=NF($D3555,"16 Remaining Amt. (LCY)")</t>
  </si>
  <si>
    <t>=NF($D3556,"16 Remaining Amt. (LCY)")</t>
  </si>
  <si>
    <t>=NF($D3557,"16 Remaining Amt. (LCY)")</t>
  </si>
  <si>
    <t>=NF($D3558,"16 Remaining Amt. (LCY)")</t>
  </si>
  <si>
    <t>=NF($D3559,"16 Remaining Amt. (LCY)")</t>
  </si>
  <si>
    <t>=NF($D3560,"16 Remaining Amt. (LCY)")</t>
  </si>
  <si>
    <t>=NF($D3561,"16 Remaining Amt. (LCY)")</t>
  </si>
  <si>
    <t>=NF($D3562,"16 Remaining Amt. (LCY)")</t>
  </si>
  <si>
    <t>=NF($D3563,"16 Remaining Amt. (LCY)")</t>
  </si>
  <si>
    <t>=NF($D3564,"16 Remaining Amt. (LCY)")</t>
  </si>
  <si>
    <t>=NF($D3565,"16 Remaining Amt. (LCY)")</t>
  </si>
  <si>
    <t>=NF($D3566,"16 Remaining Amt. (LCY)")</t>
  </si>
  <si>
    <t>=NF($D3567,"16 Remaining Amt. (LCY)")</t>
  </si>
  <si>
    <t>=NF($D3568,"16 Remaining Amt. (LCY)")</t>
  </si>
  <si>
    <t>=NF($D3569,"16 Remaining Amt. (LCY)")</t>
  </si>
  <si>
    <t>=NF($D3570,"16 Remaining Amt. (LCY)")</t>
  </si>
  <si>
    <t>=NF($D3571,"16 Remaining Amt. (LCY)")</t>
  </si>
  <si>
    <t>=NF($D3572,"16 Remaining Amt. (LCY)")</t>
  </si>
  <si>
    <t>=NF($D3573,"16 Remaining Amt. (LCY)")</t>
  </si>
  <si>
    <t>=NF($D3574,"16 Remaining Amt. (LCY)")</t>
  </si>
  <si>
    <t>=NF($D3575,"16 Remaining Amt. (LCY)")</t>
  </si>
  <si>
    <t>=NF($D3576,"16 Remaining Amt. (LCY)")</t>
  </si>
  <si>
    <t>=NF($D3577,"16 Remaining Amt. (LCY)")</t>
  </si>
  <si>
    <t>=NF($D3578,"16 Remaining Amt. (LCY)")</t>
  </si>
  <si>
    <t>=NF($D3579,"16 Remaining Amt. (LCY)")</t>
  </si>
  <si>
    <t>=NF($D3580,"16 Remaining Amt. (LCY)")</t>
  </si>
  <si>
    <t>=NF($D3581,"16 Remaining Amt. (LCY)")</t>
  </si>
  <si>
    <t>=NF($D3582,"16 Remaining Amt. (LCY)")</t>
  </si>
  <si>
    <t>=NF($D3583,"16 Remaining Amt. (LCY)")</t>
  </si>
  <si>
    <t>=NF($D3584,"16 Remaining Amt. (LCY)")</t>
  </si>
  <si>
    <t>=NF($D3585,"16 Remaining Amt. (LCY)")</t>
  </si>
  <si>
    <t>=NF($D3586,"16 Remaining Amt. (LCY)")</t>
  </si>
  <si>
    <t>=NF($D3587,"16 Remaining Amt. (LCY)")</t>
  </si>
  <si>
    <t>=NF($D3588,"16 Remaining Amt. (LCY)")</t>
  </si>
  <si>
    <t>=NF($D3589,"16 Remaining Amt. (LCY)")</t>
  </si>
  <si>
    <t>=NF($D3590,"16 Remaining Amt. (LCY)")</t>
  </si>
  <si>
    <t>=NF($D3591,"16 Remaining Amt. (LCY)")</t>
  </si>
  <si>
    <t>=NF($D3592,"16 Remaining Amt. (LCY)")</t>
  </si>
  <si>
    <t>=NF($D3500,"5 Document Type")</t>
  </si>
  <si>
    <t>=NF($D3501,"5 Document Type")</t>
  </si>
  <si>
    <t>=NF($D3502,"5 Document Type")</t>
  </si>
  <si>
    <t>=NF($D3503,"5 Document Type")</t>
  </si>
  <si>
    <t>=NF($D3504,"5 Document Type")</t>
  </si>
  <si>
    <t>=NF($D3505,"5 Document Type")</t>
  </si>
  <si>
    <t>=NF($D3506,"5 Document Type")</t>
  </si>
  <si>
    <t>=NF($D3507,"5 Document Type")</t>
  </si>
  <si>
    <t>=NF($D3508,"5 Document Type")</t>
  </si>
  <si>
    <t>=NF($D3509,"5 Document Type")</t>
  </si>
  <si>
    <t>=NF($D3510,"5 Document Type")</t>
  </si>
  <si>
    <t>=NF($D3511,"5 Document Type")</t>
  </si>
  <si>
    <t>=NF($D3512,"5 Document Type")</t>
  </si>
  <si>
    <t>=NF($D3513,"5 Document Type")</t>
  </si>
  <si>
    <t>=NF($D3514,"5 Document Type")</t>
  </si>
  <si>
    <t>=NF($D3515,"5 Document Type")</t>
  </si>
  <si>
    <t>=NF($D3516,"5 Document Type")</t>
  </si>
  <si>
    <t>=NF($D3517,"5 Document Type")</t>
  </si>
  <si>
    <t>=NF($D3518,"5 Document Type")</t>
  </si>
  <si>
    <t>=NF($D3519,"5 Document Type")</t>
  </si>
  <si>
    <t>=NF($D3520,"5 Document Type")</t>
  </si>
  <si>
    <t>=NF($D3521,"5 Document Type")</t>
  </si>
  <si>
    <t>=NF($D3522,"5 Document Type")</t>
  </si>
  <si>
    <t>=NF($D3523,"5 Document Type")</t>
  </si>
  <si>
    <t>=NF($D3524,"5 Document Type")</t>
  </si>
  <si>
    <t>=NF($D3525,"5 Document Type")</t>
  </si>
  <si>
    <t>=NF($D3526,"5 Document Type")</t>
  </si>
  <si>
    <t>=NF($D3527,"5 Document Type")</t>
  </si>
  <si>
    <t>=NF($D3528,"5 Document Type")</t>
  </si>
  <si>
    <t>=NF($D3529,"5 Document Type")</t>
  </si>
  <si>
    <t>=NF($D3530,"5 Document Type")</t>
  </si>
  <si>
    <t>=NF($D3531,"5 Document Type")</t>
  </si>
  <si>
    <t>=NF($D3532,"5 Document Type")</t>
  </si>
  <si>
    <t>=NF($D3533,"5 Document Type")</t>
  </si>
  <si>
    <t>=NF($D3534,"5 Document Type")</t>
  </si>
  <si>
    <t>=NF($D3535,"5 Document Type")</t>
  </si>
  <si>
    <t>=NF($D3536,"5 Document Type")</t>
  </si>
  <si>
    <t>=NF($D3500,"6 Document No.")</t>
  </si>
  <si>
    <t>=NF($D3501,"6 Document No.")</t>
  </si>
  <si>
    <t>=NF($D3502,"6 Document No.")</t>
  </si>
  <si>
    <t>=NF($D3503,"6 Document No.")</t>
  </si>
  <si>
    <t>=NF($D3504,"6 Document No.")</t>
  </si>
  <si>
    <t>=NF($D3505,"6 Document No.")</t>
  </si>
  <si>
    <t>=NF($D3506,"6 Document No.")</t>
  </si>
  <si>
    <t>=NF($D3507,"6 Document No.")</t>
  </si>
  <si>
    <t>=NF($D3508,"6 Document No.")</t>
  </si>
  <si>
    <t>=NF($D3509,"6 Document No.")</t>
  </si>
  <si>
    <t>=NF($D3510,"6 Document No.")</t>
  </si>
  <si>
    <t>=NF($D3511,"6 Document No.")</t>
  </si>
  <si>
    <t>=NF($D3512,"6 Document No.")</t>
  </si>
  <si>
    <t>=NF($D3513,"6 Document No.")</t>
  </si>
  <si>
    <t>=NF($D3514,"6 Document No.")</t>
  </si>
  <si>
    <t>=NF($D3515,"6 Document No.")</t>
  </si>
  <si>
    <t>=NF($D3516,"6 Document No.")</t>
  </si>
  <si>
    <t>=NF($D3517,"6 Document No.")</t>
  </si>
  <si>
    <t>=NF($D3518,"6 Document No.")</t>
  </si>
  <si>
    <t>=NF($D3519,"6 Document No.")</t>
  </si>
  <si>
    <t>=NF($D3520,"6 Document No.")</t>
  </si>
  <si>
    <t>=NF($D3521,"6 Document No.")</t>
  </si>
  <si>
    <t>=NF($D3522,"6 Document No.")</t>
  </si>
  <si>
    <t>=NF($D3523,"6 Document No.")</t>
  </si>
  <si>
    <t>=NF($D3524,"6 Document No.")</t>
  </si>
  <si>
    <t>=NF($D3525,"6 Document No.")</t>
  </si>
  <si>
    <t>=NF($D3526,"6 Document No.")</t>
  </si>
  <si>
    <t>=NF($D3527,"6 Document No.")</t>
  </si>
  <si>
    <t>=NF($D3528,"6 Document No.")</t>
  </si>
  <si>
    <t>=NF($D3529,"6 Document No.")</t>
  </si>
  <si>
    <t>=NF($D3530,"6 Document No.")</t>
  </si>
  <si>
    <t>=NF($D3531,"6 Document No.")</t>
  </si>
  <si>
    <t>=NF($D3532,"6 Document No.")</t>
  </si>
  <si>
    <t>=NF($D3533,"6 Document No.")</t>
  </si>
  <si>
    <t>=NF($D3534,"6 Document No.")</t>
  </si>
  <si>
    <t>=NF($D3535,"6 Document No.")</t>
  </si>
  <si>
    <t>=NF($D3536,"6 Document No.")</t>
  </si>
  <si>
    <t>=NF($D3500,"37 Due Date")</t>
  </si>
  <si>
    <t>=NF($D3501,"37 Due Date")</t>
  </si>
  <si>
    <t>=NF($D3502,"37 Due Date")</t>
  </si>
  <si>
    <t>=NF($D3503,"37 Due Date")</t>
  </si>
  <si>
    <t>=NF($D3504,"37 Due Date")</t>
  </si>
  <si>
    <t>=NF($D3505,"37 Due Date")</t>
  </si>
  <si>
    <t>=NF($D3506,"37 Due Date")</t>
  </si>
  <si>
    <t>=NF($D3507,"37 Due Date")</t>
  </si>
  <si>
    <t>=NF($D3508,"37 Due Date")</t>
  </si>
  <si>
    <t>=NF($D3509,"37 Due Date")</t>
  </si>
  <si>
    <t>=NF($D3510,"37 Due Date")</t>
  </si>
  <si>
    <t>=NF($D3511,"37 Due Date")</t>
  </si>
  <si>
    <t>=NF($D3512,"37 Due Date")</t>
  </si>
  <si>
    <t>=NF($D3513,"37 Due Date")</t>
  </si>
  <si>
    <t>=NF($D3514,"37 Due Date")</t>
  </si>
  <si>
    <t>=NF($D3515,"37 Due Date")</t>
  </si>
  <si>
    <t>=NF($D3516,"37 Due Date")</t>
  </si>
  <si>
    <t>=NF($D3517,"37 Due Date")</t>
  </si>
  <si>
    <t>=NF($D3518,"37 Due Date")</t>
  </si>
  <si>
    <t>=NF($D3519,"37 Due Date")</t>
  </si>
  <si>
    <t>=NF($D3520,"37 Due Date")</t>
  </si>
  <si>
    <t>=NF($D3521,"37 Due Date")</t>
  </si>
  <si>
    <t>=NF($D3522,"37 Due Date")</t>
  </si>
  <si>
    <t>=NF($D3523,"37 Due Date")</t>
  </si>
  <si>
    <t>=NF($D3524,"37 Due Date")</t>
  </si>
  <si>
    <t>=NF($D3525,"37 Due Date")</t>
  </si>
  <si>
    <t>=NF($D3526,"37 Due Date")</t>
  </si>
  <si>
    <t>=NF($D3527,"37 Due Date")</t>
  </si>
  <si>
    <t>=NF($D3528,"37 Due Date")</t>
  </si>
  <si>
    <t>=NF($D3529,"37 Due Date")</t>
  </si>
  <si>
    <t>=NF($D3530,"37 Due Date")</t>
  </si>
  <si>
    <t>=NF($D3531,"37 Due Date")</t>
  </si>
  <si>
    <t>=NF($D3532,"37 Due Date")</t>
  </si>
  <si>
    <t>=NF($D3533,"37 Due Date")</t>
  </si>
  <si>
    <t>=NF($D3534,"37 Due Date")</t>
  </si>
  <si>
    <t>=NF($D3535,"37 Due Date")</t>
  </si>
  <si>
    <t>=NF($D3536,"37 Due Date")</t>
  </si>
  <si>
    <t>=NF($D3500,"16 Remaining Amt. (LCY)")</t>
  </si>
  <si>
    <t>=NF($D3501,"16 Remaining Amt. (LCY)")</t>
  </si>
  <si>
    <t>=NF($D3502,"16 Remaining Amt. (LCY)")</t>
  </si>
  <si>
    <t>=NF($D3503,"16 Remaining Amt. (LCY)")</t>
  </si>
  <si>
    <t>=NF($D3504,"16 Remaining Amt. (LCY)")</t>
  </si>
  <si>
    <t>=NF($D3505,"16 Remaining Amt. (LCY)")</t>
  </si>
  <si>
    <t>=NF($D3506,"16 Remaining Amt. (LCY)")</t>
  </si>
  <si>
    <t>=NF($D3507,"16 Remaining Amt. (LCY)")</t>
  </si>
  <si>
    <t>=NF($D3508,"16 Remaining Amt. (LCY)")</t>
  </si>
  <si>
    <t>=NF($D3509,"16 Remaining Amt. (LCY)")</t>
  </si>
  <si>
    <t>=NF($D3510,"16 Remaining Amt. (LCY)")</t>
  </si>
  <si>
    <t>=NF($D3511,"16 Remaining Amt. (LCY)")</t>
  </si>
  <si>
    <t>=NF($D3512,"16 Remaining Amt. (LCY)")</t>
  </si>
  <si>
    <t>=NF($D3513,"16 Remaining Amt. (LCY)")</t>
  </si>
  <si>
    <t>=NF($D3514,"16 Remaining Amt. (LCY)")</t>
  </si>
  <si>
    <t>=NF($D3515,"16 Remaining Amt. (LCY)")</t>
  </si>
  <si>
    <t>=NF($D3516,"16 Remaining Amt. (LCY)")</t>
  </si>
  <si>
    <t>=NF($D3517,"16 Remaining Amt. (LCY)")</t>
  </si>
  <si>
    <t>=NF($D3518,"16 Remaining Amt. (LCY)")</t>
  </si>
  <si>
    <t>=NF($D3519,"16 Remaining Amt. (LCY)")</t>
  </si>
  <si>
    <t>=NF($D3520,"16 Remaining Amt. (LCY)")</t>
  </si>
  <si>
    <t>=NF($D3521,"16 Remaining Amt. (LCY)")</t>
  </si>
  <si>
    <t>=NF($D3522,"16 Remaining Amt. (LCY)")</t>
  </si>
  <si>
    <t>=NF($D3523,"16 Remaining Amt. (LCY)")</t>
  </si>
  <si>
    <t>=NF($D3524,"16 Remaining Amt. (LCY)")</t>
  </si>
  <si>
    <t>=NF($D3525,"16 Remaining Amt. (LCY)")</t>
  </si>
  <si>
    <t>=NF($D3526,"16 Remaining Amt. (LCY)")</t>
  </si>
  <si>
    <t>=NF($D3527,"16 Remaining Amt. (LCY)")</t>
  </si>
  <si>
    <t>=NF($D3528,"16 Remaining Amt. (LCY)")</t>
  </si>
  <si>
    <t>=NF($D3529,"16 Remaining Amt. (LCY)")</t>
  </si>
  <si>
    <t>=NF($D3530,"16 Remaining Amt. (LCY)")</t>
  </si>
  <si>
    <t>=NF($D3531,"16 Remaining Amt. (LCY)")</t>
  </si>
  <si>
    <t>=NF($D3532,"16 Remaining Amt. (LCY)")</t>
  </si>
  <si>
    <t>=NF($D3533,"16 Remaining Amt. (LCY)")</t>
  </si>
  <si>
    <t>=NF($D3534,"16 Remaining Amt. (LCY)")</t>
  </si>
  <si>
    <t>=NF($D3535,"16 Remaining Amt. (LCY)")</t>
  </si>
  <si>
    <t>=NF($D3536,"16 Remaining Amt. (LCY)")</t>
  </si>
  <si>
    <t>=NF($D3456,"5 Document Type")</t>
  </si>
  <si>
    <t>=NF($D3457,"5 Document Type")</t>
  </si>
  <si>
    <t>=NF($D3458,"5 Document Type")</t>
  </si>
  <si>
    <t>=NF($D3459,"5 Document Type")</t>
  </si>
  <si>
    <t>=NF($D3460,"5 Document Type")</t>
  </si>
  <si>
    <t>=NF($D3461,"5 Document Type")</t>
  </si>
  <si>
    <t>=NF($D3462,"5 Document Type")</t>
  </si>
  <si>
    <t>=NF($D3463,"5 Document Type")</t>
  </si>
  <si>
    <t>=NF($D3464,"5 Document Type")</t>
  </si>
  <si>
    <t>=NF($D3465,"5 Document Type")</t>
  </si>
  <si>
    <t>=NF($D3466,"5 Document Type")</t>
  </si>
  <si>
    <t>=NF($D3467,"5 Document Type")</t>
  </si>
  <si>
    <t>=NF($D3468,"5 Document Type")</t>
  </si>
  <si>
    <t>=NF($D3469,"5 Document Type")</t>
  </si>
  <si>
    <t>=NF($D3470,"5 Document Type")</t>
  </si>
  <si>
    <t>=NF($D3471,"5 Document Type")</t>
  </si>
  <si>
    <t>=NF($D3472,"5 Document Type")</t>
  </si>
  <si>
    <t>=NF($D3473,"5 Document Type")</t>
  </si>
  <si>
    <t>=NF($D3474,"5 Document Type")</t>
  </si>
  <si>
    <t>=NF($D3475,"5 Document Type")</t>
  </si>
  <si>
    <t>=NF($D3476,"5 Document Type")</t>
  </si>
  <si>
    <t>=NF($D3477,"5 Document Type")</t>
  </si>
  <si>
    <t>=NF($D3478,"5 Document Type")</t>
  </si>
  <si>
    <t>=NF($D3479,"5 Document Type")</t>
  </si>
  <si>
    <t>=NF($D3480,"5 Document Type")</t>
  </si>
  <si>
    <t>=NF($D3481,"5 Document Type")</t>
  </si>
  <si>
    <t>=NF($D3482,"5 Document Type")</t>
  </si>
  <si>
    <t>=NF($D3483,"5 Document Type")</t>
  </si>
  <si>
    <t>=NF($D3484,"5 Document Type")</t>
  </si>
  <si>
    <t>=NF($D3485,"5 Document Type")</t>
  </si>
  <si>
    <t>=NF($D3486,"5 Document Type")</t>
  </si>
  <si>
    <t>=NF($D3487,"5 Document Type")</t>
  </si>
  <si>
    <t>=NF($D3488,"5 Document Type")</t>
  </si>
  <si>
    <t>=NF($D3489,"5 Document Type")</t>
  </si>
  <si>
    <t>=NF($D3490,"5 Document Type")</t>
  </si>
  <si>
    <t>=NF($D3491,"5 Document Type")</t>
  </si>
  <si>
    <t>=NF($D3492,"5 Document Type")</t>
  </si>
  <si>
    <t>=NF($D3493,"5 Document Type")</t>
  </si>
  <si>
    <t>=NF($D3456,"6 Document No.")</t>
  </si>
  <si>
    <t>=NF($D3457,"6 Document No.")</t>
  </si>
  <si>
    <t>=NF($D3458,"6 Document No.")</t>
  </si>
  <si>
    <t>=NF($D3459,"6 Document No.")</t>
  </si>
  <si>
    <t>=NF($D3460,"6 Document No.")</t>
  </si>
  <si>
    <t>=NF($D3461,"6 Document No.")</t>
  </si>
  <si>
    <t>=NF($D3462,"6 Document No.")</t>
  </si>
  <si>
    <t>=NF($D3463,"6 Document No.")</t>
  </si>
  <si>
    <t>=NF($D3464,"6 Document No.")</t>
  </si>
  <si>
    <t>=NF($D3465,"6 Document No.")</t>
  </si>
  <si>
    <t>=NF($D3466,"6 Document No.")</t>
  </si>
  <si>
    <t>=NF($D3467,"6 Document No.")</t>
  </si>
  <si>
    <t>=NF($D3468,"6 Document No.")</t>
  </si>
  <si>
    <t>=NF($D3469,"6 Document No.")</t>
  </si>
  <si>
    <t>=NF($D3470,"6 Document No.")</t>
  </si>
  <si>
    <t>=NF($D3471,"6 Document No.")</t>
  </si>
  <si>
    <t>=NF($D3472,"6 Document No.")</t>
  </si>
  <si>
    <t>=NF($D3473,"6 Document No.")</t>
  </si>
  <si>
    <t>=NF($D3474,"6 Document No.")</t>
  </si>
  <si>
    <t>=NF($D3475,"6 Document No.")</t>
  </si>
  <si>
    <t>=NF($D3476,"6 Document No.")</t>
  </si>
  <si>
    <t>=NF($D3477,"6 Document No.")</t>
  </si>
  <si>
    <t>=NF($D3478,"6 Document No.")</t>
  </si>
  <si>
    <t>=NF($D3479,"6 Document No.")</t>
  </si>
  <si>
    <t>=NF($D3480,"6 Document No.")</t>
  </si>
  <si>
    <t>=NF($D3481,"6 Document No.")</t>
  </si>
  <si>
    <t>=NF($D3482,"6 Document No.")</t>
  </si>
  <si>
    <t>=NF($D3483,"6 Document No.")</t>
  </si>
  <si>
    <t>=NF($D3484,"6 Document No.")</t>
  </si>
  <si>
    <t>=NF($D3485,"6 Document No.")</t>
  </si>
  <si>
    <t>=NF($D3486,"6 Document No.")</t>
  </si>
  <si>
    <t>=NF($D3487,"6 Document No.")</t>
  </si>
  <si>
    <t>=NF($D3488,"6 Document No.")</t>
  </si>
  <si>
    <t>=NF($D3489,"6 Document No.")</t>
  </si>
  <si>
    <t>=NF($D3490,"6 Document No.")</t>
  </si>
  <si>
    <t>=NF($D3491,"6 Document No.")</t>
  </si>
  <si>
    <t>=NF($D3492,"6 Document No.")</t>
  </si>
  <si>
    <t>=NF($D3493,"6 Document No.")</t>
  </si>
  <si>
    <t>=NF($D3456,"37 Due Date")</t>
  </si>
  <si>
    <t>=NF($D3457,"37 Due Date")</t>
  </si>
  <si>
    <t>=NF($D3458,"37 Due Date")</t>
  </si>
  <si>
    <t>=NF($D3459,"37 Due Date")</t>
  </si>
  <si>
    <t>=NF($D3460,"37 Due Date")</t>
  </si>
  <si>
    <t>=NF($D3461,"37 Due Date")</t>
  </si>
  <si>
    <t>=NF($D3462,"37 Due Date")</t>
  </si>
  <si>
    <t>=NF($D3463,"37 Due Date")</t>
  </si>
  <si>
    <t>=NF($D3464,"37 Due Date")</t>
  </si>
  <si>
    <t>=NF($D3465,"37 Due Date")</t>
  </si>
  <si>
    <t>=NF($D3466,"37 Due Date")</t>
  </si>
  <si>
    <t>=NF($D3467,"37 Due Date")</t>
  </si>
  <si>
    <t>=NF($D3468,"37 Due Date")</t>
  </si>
  <si>
    <t>=NF($D3469,"37 Due Date")</t>
  </si>
  <si>
    <t>=NF($D3470,"37 Due Date")</t>
  </si>
  <si>
    <t>=NF($D3471,"37 Due Date")</t>
  </si>
  <si>
    <t>=NF($D3472,"37 Due Date")</t>
  </si>
  <si>
    <t>=NF($D3473,"37 Due Date")</t>
  </si>
  <si>
    <t>=NF($D3474,"37 Due Date")</t>
  </si>
  <si>
    <t>=NF($D3475,"37 Due Date")</t>
  </si>
  <si>
    <t>=NF($D3476,"37 Due Date")</t>
  </si>
  <si>
    <t>=NF($D3477,"37 Due Date")</t>
  </si>
  <si>
    <t>=NF($D3478,"37 Due Date")</t>
  </si>
  <si>
    <t>=NF($D3479,"37 Due Date")</t>
  </si>
  <si>
    <t>=NF($D3480,"37 Due Date")</t>
  </si>
  <si>
    <t>=NF($D3481,"37 Due Date")</t>
  </si>
  <si>
    <t>=NF($D3482,"37 Due Date")</t>
  </si>
  <si>
    <t>=NF($D3483,"37 Due Date")</t>
  </si>
  <si>
    <t>=NF($D3484,"37 Due Date")</t>
  </si>
  <si>
    <t>=NF($D3485,"37 Due Date")</t>
  </si>
  <si>
    <t>=NF($D3486,"37 Due Date")</t>
  </si>
  <si>
    <t>=NF($D3487,"37 Due Date")</t>
  </si>
  <si>
    <t>=NF($D3488,"37 Due Date")</t>
  </si>
  <si>
    <t>=NF($D3489,"37 Due Date")</t>
  </si>
  <si>
    <t>=NF($D3490,"37 Due Date")</t>
  </si>
  <si>
    <t>=NF($D3491,"37 Due Date")</t>
  </si>
  <si>
    <t>=NF($D3492,"37 Due Date")</t>
  </si>
  <si>
    <t>=NF($D3493,"37 Due Date")</t>
  </si>
  <si>
    <t>=NF($D3456,"16 Remaining Amt. (LCY)")</t>
  </si>
  <si>
    <t>=NF($D3457,"16 Remaining Amt. (LCY)")</t>
  </si>
  <si>
    <t>=NF($D3458,"16 Remaining Amt. (LCY)")</t>
  </si>
  <si>
    <t>=NF($D3459,"16 Remaining Amt. (LCY)")</t>
  </si>
  <si>
    <t>=NF($D3460,"16 Remaining Amt. (LCY)")</t>
  </si>
  <si>
    <t>=NF($D3461,"16 Remaining Amt. (LCY)")</t>
  </si>
  <si>
    <t>=NF($D3462,"16 Remaining Amt. (LCY)")</t>
  </si>
  <si>
    <t>=NF($D3463,"16 Remaining Amt. (LCY)")</t>
  </si>
  <si>
    <t>=NF($D3464,"16 Remaining Amt. (LCY)")</t>
  </si>
  <si>
    <t>=NF($D3465,"16 Remaining Amt. (LCY)")</t>
  </si>
  <si>
    <t>=NF($D3466,"16 Remaining Amt. (LCY)")</t>
  </si>
  <si>
    <t>=NF($D3467,"16 Remaining Amt. (LCY)")</t>
  </si>
  <si>
    <t>=NF($D3468,"16 Remaining Amt. (LCY)")</t>
  </si>
  <si>
    <t>=NF($D3469,"16 Remaining Amt. (LCY)")</t>
  </si>
  <si>
    <t>=NF($D3470,"16 Remaining Amt. (LCY)")</t>
  </si>
  <si>
    <t>=NF($D3471,"16 Remaining Amt. (LCY)")</t>
  </si>
  <si>
    <t>=NF($D3472,"16 Remaining Amt. (LCY)")</t>
  </si>
  <si>
    <t>=NF($D3473,"16 Remaining Amt. (LCY)")</t>
  </si>
  <si>
    <t>=NF($D3474,"16 Remaining Amt. (LCY)")</t>
  </si>
  <si>
    <t>=NF($D3475,"16 Remaining Amt. (LCY)")</t>
  </si>
  <si>
    <t>=NF($D3476,"16 Remaining Amt. (LCY)")</t>
  </si>
  <si>
    <t>=NF($D3477,"16 Remaining Amt. (LCY)")</t>
  </si>
  <si>
    <t>=NF($D3478,"16 Remaining Amt. (LCY)")</t>
  </si>
  <si>
    <t>=NF($D3479,"16 Remaining Amt. (LCY)")</t>
  </si>
  <si>
    <t>=NF($D3480,"16 Remaining Amt. (LCY)")</t>
  </si>
  <si>
    <t>=NF($D3481,"16 Remaining Amt. (LCY)")</t>
  </si>
  <si>
    <t>=NF($D3482,"16 Remaining Amt. (LCY)")</t>
  </si>
  <si>
    <t>=NF($D3483,"16 Remaining Amt. (LCY)")</t>
  </si>
  <si>
    <t>=NF($D3484,"16 Remaining Amt. (LCY)")</t>
  </si>
  <si>
    <t>=NF($D3485,"16 Remaining Amt. (LCY)")</t>
  </si>
  <si>
    <t>=NF($D3486,"16 Remaining Amt. (LCY)")</t>
  </si>
  <si>
    <t>=NF($D3487,"16 Remaining Amt. (LCY)")</t>
  </si>
  <si>
    <t>=NF($D3488,"16 Remaining Amt. (LCY)")</t>
  </si>
  <si>
    <t>=NF($D3489,"16 Remaining Amt. (LCY)")</t>
  </si>
  <si>
    <t>=NF($D3490,"16 Remaining Amt. (LCY)")</t>
  </si>
  <si>
    <t>=NF($D3491,"16 Remaining Amt. (LCY)")</t>
  </si>
  <si>
    <t>=NF($D3492,"16 Remaining Amt. (LCY)")</t>
  </si>
  <si>
    <t>=NF($D3493,"16 Remaining Amt. (LCY)")</t>
  </si>
  <si>
    <t>=NF($D3250,"5 Document Type")</t>
  </si>
  <si>
    <t>=NF($D3251,"5 Document Type")</t>
  </si>
  <si>
    <t>=NF($D3252,"5 Document Type")</t>
  </si>
  <si>
    <t>=NF($D3253,"5 Document Type")</t>
  </si>
  <si>
    <t>=NF($D3254,"5 Document Type")</t>
  </si>
  <si>
    <t>=NF($D3255,"5 Document Type")</t>
  </si>
  <si>
    <t>=NF($D3256,"5 Document Type")</t>
  </si>
  <si>
    <t>=NF($D3257,"5 Document Type")</t>
  </si>
  <si>
    <t>=NF($D3258,"5 Document Type")</t>
  </si>
  <si>
    <t>=NF($D3259,"5 Document Type")</t>
  </si>
  <si>
    <t>=NF($D3260,"5 Document Type")</t>
  </si>
  <si>
    <t>=NF($D3261,"5 Document Type")</t>
  </si>
  <si>
    <t>=NF($D3262,"5 Document Type")</t>
  </si>
  <si>
    <t>=NF($D3263,"5 Document Type")</t>
  </si>
  <si>
    <t>=NF($D3264,"5 Document Type")</t>
  </si>
  <si>
    <t>=NF($D3265,"5 Document Type")</t>
  </si>
  <si>
    <t>=NF($D3266,"5 Document Type")</t>
  </si>
  <si>
    <t>=NF($D3267,"5 Document Type")</t>
  </si>
  <si>
    <t>=NF($D3268,"5 Document Type")</t>
  </si>
  <si>
    <t>=NF($D3269,"5 Document Type")</t>
  </si>
  <si>
    <t>=NF($D3270,"5 Document Type")</t>
  </si>
  <si>
    <t>=NF($D3271,"5 Document Type")</t>
  </si>
  <si>
    <t>=NF($D3272,"5 Document Type")</t>
  </si>
  <si>
    <t>=NF($D3273,"5 Document Type")</t>
  </si>
  <si>
    <t>=NF($D3274,"5 Document Type")</t>
  </si>
  <si>
    <t>=NF($D3275,"5 Document Type")</t>
  </si>
  <si>
    <t>=NF($D3276,"5 Document Type")</t>
  </si>
  <si>
    <t>=NF($D3277,"5 Document Type")</t>
  </si>
  <si>
    <t>=NF($D3278,"5 Document Type")</t>
  </si>
  <si>
    <t>=NF($D3279,"5 Document Type")</t>
  </si>
  <si>
    <t>=NF($D3280,"5 Document Type")</t>
  </si>
  <si>
    <t>=NF($D3281,"5 Document Type")</t>
  </si>
  <si>
    <t>=NF($D3282,"5 Document Type")</t>
  </si>
  <si>
    <t>=NF($D3283,"5 Document Type")</t>
  </si>
  <si>
    <t>=NF($D3284,"5 Document Type")</t>
  </si>
  <si>
    <t>=NF($D3285,"5 Document Type")</t>
  </si>
  <si>
    <t>=NF($D3286,"5 Document Type")</t>
  </si>
  <si>
    <t>=NF($D3287,"5 Document Type")</t>
  </si>
  <si>
    <t>=NF($D3288,"5 Document Type")</t>
  </si>
  <si>
    <t>=NF($D3289,"5 Document Type")</t>
  </si>
  <si>
    <t>=NF($D3290,"5 Document Type")</t>
  </si>
  <si>
    <t>=NF($D3291,"5 Document Type")</t>
  </si>
  <si>
    <t>=NF($D3292,"5 Document Type")</t>
  </si>
  <si>
    <t>=NF($D3293,"5 Document Type")</t>
  </si>
  <si>
    <t>=NF($D3294,"5 Document Type")</t>
  </si>
  <si>
    <t>=NF($D3295,"5 Document Type")</t>
  </si>
  <si>
    <t>=NF($D3296,"5 Document Type")</t>
  </si>
  <si>
    <t>=NF($D3297,"5 Document Type")</t>
  </si>
  <si>
    <t>=NF($D3298,"5 Document Type")</t>
  </si>
  <si>
    <t>=NF($D3299,"5 Document Type")</t>
  </si>
  <si>
    <t>=NF($D3300,"5 Document Type")</t>
  </si>
  <si>
    <t>=NF($D3301,"5 Document Type")</t>
  </si>
  <si>
    <t>=NF($D3302,"5 Document Type")</t>
  </si>
  <si>
    <t>=NF($D3303,"5 Document Type")</t>
  </si>
  <si>
    <t>=NF($D3304,"5 Document Type")</t>
  </si>
  <si>
    <t>=NF($D3305,"5 Document Type")</t>
  </si>
  <si>
    <t>=NF($D3306,"5 Document Type")</t>
  </si>
  <si>
    <t>=NF($D3307,"5 Document Type")</t>
  </si>
  <si>
    <t>=NF($D3308,"5 Document Type")</t>
  </si>
  <si>
    <t>=NF($D3309,"5 Document Type")</t>
  </si>
  <si>
    <t>=NF($D3310,"5 Document Type")</t>
  </si>
  <si>
    <t>=NF($D3311,"5 Document Type")</t>
  </si>
  <si>
    <t>=NF($D3312,"5 Document Type")</t>
  </si>
  <si>
    <t>=NF($D3313,"5 Document Type")</t>
  </si>
  <si>
    <t>=NF($D3314,"5 Document Type")</t>
  </si>
  <si>
    <t>=NF($D3315,"5 Document Type")</t>
  </si>
  <si>
    <t>=NF($D3316,"5 Document Type")</t>
  </si>
  <si>
    <t>=NF($D3317,"5 Document Type")</t>
  </si>
  <si>
    <t>=NF($D3318,"5 Document Type")</t>
  </si>
  <si>
    <t>=NF($D3319,"5 Document Type")</t>
  </si>
  <si>
    <t>=NF($D3320,"5 Document Type")</t>
  </si>
  <si>
    <t>=NF($D3321,"5 Document Type")</t>
  </si>
  <si>
    <t>=NF($D3322,"5 Document Type")</t>
  </si>
  <si>
    <t>=NF($D3323,"5 Document Type")</t>
  </si>
  <si>
    <t>=NF($D3324,"5 Document Type")</t>
  </si>
  <si>
    <t>=NF($D3325,"5 Document Type")</t>
  </si>
  <si>
    <t>=NF($D3326,"5 Document Type")</t>
  </si>
  <si>
    <t>=NF($D3327,"5 Document Type")</t>
  </si>
  <si>
    <t>=NF($D3328,"5 Document Type")</t>
  </si>
  <si>
    <t>=NF($D3329,"5 Document Type")</t>
  </si>
  <si>
    <t>=NF($D3330,"5 Document Type")</t>
  </si>
  <si>
    <t>=NF($D3331,"5 Document Type")</t>
  </si>
  <si>
    <t>=NF($D3332,"5 Document Type")</t>
  </si>
  <si>
    <t>=NF($D3333,"5 Document Type")</t>
  </si>
  <si>
    <t>=NF($D3334,"5 Document Type")</t>
  </si>
  <si>
    <t>=NF($D3335,"5 Document Type")</t>
  </si>
  <si>
    <t>=NF($D3336,"5 Document Type")</t>
  </si>
  <si>
    <t>=NF($D3337,"5 Document Type")</t>
  </si>
  <si>
    <t>=NF($D3338,"5 Document Type")</t>
  </si>
  <si>
    <t>=NF($D3339,"5 Document Type")</t>
  </si>
  <si>
    <t>=NF($D3340,"5 Document Type")</t>
  </si>
  <si>
    <t>=NF($D3341,"5 Document Type")</t>
  </si>
  <si>
    <t>=NF($D3342,"5 Document Type")</t>
  </si>
  <si>
    <t>=NF($D3343,"5 Document Type")</t>
  </si>
  <si>
    <t>=NF($D3344,"5 Document Type")</t>
  </si>
  <si>
    <t>=NF($D3345,"5 Document Type")</t>
  </si>
  <si>
    <t>=NF($D3346,"5 Document Type")</t>
  </si>
  <si>
    <t>=NF($D3347,"5 Document Type")</t>
  </si>
  <si>
    <t>=NF($D3348,"5 Document Type")</t>
  </si>
  <si>
    <t>=NF($D3349,"5 Document Type")</t>
  </si>
  <si>
    <t>=NF($D3350,"5 Document Type")</t>
  </si>
  <si>
    <t>=NF($D3351,"5 Document Type")</t>
  </si>
  <si>
    <t>=NF($D3352,"5 Document Type")</t>
  </si>
  <si>
    <t>=NF($D3353,"5 Document Type")</t>
  </si>
  <si>
    <t>=NF($D3354,"5 Document Type")</t>
  </si>
  <si>
    <t>=NF($D3355,"5 Document Type")</t>
  </si>
  <si>
    <t>=NF($D3356,"5 Document Type")</t>
  </si>
  <si>
    <t>=NF($D3357,"5 Document Type")</t>
  </si>
  <si>
    <t>=NF($D3358,"5 Document Type")</t>
  </si>
  <si>
    <t>=NF($D3359,"5 Document Type")</t>
  </si>
  <si>
    <t>=NF($D3360,"5 Document Type")</t>
  </si>
  <si>
    <t>=NF($D3361,"5 Document Type")</t>
  </si>
  <si>
    <t>=NF($D3362,"5 Document Type")</t>
  </si>
  <si>
    <t>=NF($D3363,"5 Document Type")</t>
  </si>
  <si>
    <t>=NF($D3364,"5 Document Type")</t>
  </si>
  <si>
    <t>=NF($D3365,"5 Document Type")</t>
  </si>
  <si>
    <t>=NF($D3366,"5 Document Type")</t>
  </si>
  <si>
    <t>=NF($D3367,"5 Document Type")</t>
  </si>
  <si>
    <t>=NF($D3368,"5 Document Type")</t>
  </si>
  <si>
    <t>=NF($D3369,"5 Document Type")</t>
  </si>
  <si>
    <t>=NF($D3370,"5 Document Type")</t>
  </si>
  <si>
    <t>=NF($D3371,"5 Document Type")</t>
  </si>
  <si>
    <t>=NF($D3372,"5 Document Type")</t>
  </si>
  <si>
    <t>=NF($D3373,"5 Document Type")</t>
  </si>
  <si>
    <t>=NF($D3374,"5 Document Type")</t>
  </si>
  <si>
    <t>=NF($D3375,"5 Document Type")</t>
  </si>
  <si>
    <t>=NF($D3376,"5 Document Type")</t>
  </si>
  <si>
    <t>=NF($D3377,"5 Document Type")</t>
  </si>
  <si>
    <t>=NF($D3378,"5 Document Type")</t>
  </si>
  <si>
    <t>=NF($D3379,"5 Document Type")</t>
  </si>
  <si>
    <t>=NF($D3380,"5 Document Type")</t>
  </si>
  <si>
    <t>=NF($D3381,"5 Document Type")</t>
  </si>
  <si>
    <t>=NF($D3382,"5 Document Type")</t>
  </si>
  <si>
    <t>=NF($D3383,"5 Document Type")</t>
  </si>
  <si>
    <t>=NF($D3384,"5 Document Type")</t>
  </si>
  <si>
    <t>=NF($D3385,"5 Document Type")</t>
  </si>
  <si>
    <t>=NF($D3386,"5 Document Type")</t>
  </si>
  <si>
    <t>=NF($D3387,"5 Document Type")</t>
  </si>
  <si>
    <t>=NF($D3388,"5 Document Type")</t>
  </si>
  <si>
    <t>=NF($D3389,"5 Document Type")</t>
  </si>
  <si>
    <t>=NF($D3390,"5 Document Type")</t>
  </si>
  <si>
    <t>=NF($D3391,"5 Document Type")</t>
  </si>
  <si>
    <t>=NF($D3392,"5 Document Type")</t>
  </si>
  <si>
    <t>=NF($D3393,"5 Document Type")</t>
  </si>
  <si>
    <t>=NF($D3394,"5 Document Type")</t>
  </si>
  <si>
    <t>=NF($D3395,"5 Document Type")</t>
  </si>
  <si>
    <t>=NF($D3396,"5 Document Type")</t>
  </si>
  <si>
    <t>=NF($D3397,"5 Document Type")</t>
  </si>
  <si>
    <t>=NF($D3398,"5 Document Type")</t>
  </si>
  <si>
    <t>=NF($D3399,"5 Document Type")</t>
  </si>
  <si>
    <t>=NF($D3400,"5 Document Type")</t>
  </si>
  <si>
    <t>=NF($D3401,"5 Document Type")</t>
  </si>
  <si>
    <t>=NF($D3402,"5 Document Type")</t>
  </si>
  <si>
    <t>=NF($D3403,"5 Document Type")</t>
  </si>
  <si>
    <t>=NF($D3404,"5 Document Type")</t>
  </si>
  <si>
    <t>=NF($D3405,"5 Document Type")</t>
  </si>
  <si>
    <t>=NF($D3406,"5 Document Type")</t>
  </si>
  <si>
    <t>=NF($D3407,"5 Document Type")</t>
  </si>
  <si>
    <t>=NF($D3408,"5 Document Type")</t>
  </si>
  <si>
    <t>=NF($D3409,"5 Document Type")</t>
  </si>
  <si>
    <t>=NF($D3410,"5 Document Type")</t>
  </si>
  <si>
    <t>=NF($D3411,"5 Document Type")</t>
  </si>
  <si>
    <t>=NF($D3412,"5 Document Type")</t>
  </si>
  <si>
    <t>=NF($D3413,"5 Document Type")</t>
  </si>
  <si>
    <t>=NF($D3414,"5 Document Type")</t>
  </si>
  <si>
    <t>=NF($D3415,"5 Document Type")</t>
  </si>
  <si>
    <t>=NF($D3416,"5 Document Type")</t>
  </si>
  <si>
    <t>=NF($D3417,"5 Document Type")</t>
  </si>
  <si>
    <t>=NF($D3418,"5 Document Type")</t>
  </si>
  <si>
    <t>=NF($D3419,"5 Document Type")</t>
  </si>
  <si>
    <t>=NF($D3420,"5 Document Type")</t>
  </si>
  <si>
    <t>=NF($D3421,"5 Document Type")</t>
  </si>
  <si>
    <t>=NF($D3422,"5 Document Type")</t>
  </si>
  <si>
    <t>=NF($D3423,"5 Document Type")</t>
  </si>
  <si>
    <t>=NF($D3424,"5 Document Type")</t>
  </si>
  <si>
    <t>=NF($D3425,"5 Document Type")</t>
  </si>
  <si>
    <t>=NF($D3426,"5 Document Type")</t>
  </si>
  <si>
    <t>=NF($D3427,"5 Document Type")</t>
  </si>
  <si>
    <t>=NF($D3428,"5 Document Type")</t>
  </si>
  <si>
    <t>=NF($D3429,"5 Document Type")</t>
  </si>
  <si>
    <t>=NF($D3430,"5 Document Type")</t>
  </si>
  <si>
    <t>=NF($D3431,"5 Document Type")</t>
  </si>
  <si>
    <t>=NF($D3432,"5 Document Type")</t>
  </si>
  <si>
    <t>=NF($D3433,"5 Document Type")</t>
  </si>
  <si>
    <t>=NF($D3434,"5 Document Type")</t>
  </si>
  <si>
    <t>=NF($D3435,"5 Document Type")</t>
  </si>
  <si>
    <t>=NF($D3436,"5 Document Type")</t>
  </si>
  <si>
    <t>=NF($D3437,"5 Document Type")</t>
  </si>
  <si>
    <t>=NF($D3438,"5 Document Type")</t>
  </si>
  <si>
    <t>=NF($D3439,"5 Document Type")</t>
  </si>
  <si>
    <t>=NF($D3440,"5 Document Type")</t>
  </si>
  <si>
    <t>=NF($D3441,"5 Document Type")</t>
  </si>
  <si>
    <t>=NF($D3442,"5 Document Type")</t>
  </si>
  <si>
    <t>=NF($D3443,"5 Document Type")</t>
  </si>
  <si>
    <t>=NF($D3444,"5 Document Type")</t>
  </si>
  <si>
    <t>=NF($D3445,"5 Document Type")</t>
  </si>
  <si>
    <t>=NF($D3446,"5 Document Type")</t>
  </si>
  <si>
    <t>=NF($D3447,"5 Document Type")</t>
  </si>
  <si>
    <t>=NF($D3448,"5 Document Type")</t>
  </si>
  <si>
    <t>=NF($D3449,"5 Document Type")</t>
  </si>
  <si>
    <t>=NF($D3250,"6 Document No.")</t>
  </si>
  <si>
    <t>=NF($D3251,"6 Document No.")</t>
  </si>
  <si>
    <t>=NF($D3252,"6 Document No.")</t>
  </si>
  <si>
    <t>=NF($D3253,"6 Document No.")</t>
  </si>
  <si>
    <t>=NF($D3254,"6 Document No.")</t>
  </si>
  <si>
    <t>=NF($D3255,"6 Document No.")</t>
  </si>
  <si>
    <t>=NF($D3256,"6 Document No.")</t>
  </si>
  <si>
    <t>=NF($D3257,"6 Document No.")</t>
  </si>
  <si>
    <t>=NF($D3258,"6 Document No.")</t>
  </si>
  <si>
    <t>=NF($D3259,"6 Document No.")</t>
  </si>
  <si>
    <t>=NF($D3260,"6 Document No.")</t>
  </si>
  <si>
    <t>=NF($D3261,"6 Document No.")</t>
  </si>
  <si>
    <t>=NF($D3262,"6 Document No.")</t>
  </si>
  <si>
    <t>=NF($D3263,"6 Document No.")</t>
  </si>
  <si>
    <t>=NF($D3264,"6 Document No.")</t>
  </si>
  <si>
    <t>=NF($D3265,"6 Document No.")</t>
  </si>
  <si>
    <t>=NF($D3266,"6 Document No.")</t>
  </si>
  <si>
    <t>=NF($D3267,"6 Document No.")</t>
  </si>
  <si>
    <t>=NF($D3268,"6 Document No.")</t>
  </si>
  <si>
    <t>=NF($D3269,"6 Document No.")</t>
  </si>
  <si>
    <t>=NF($D3270,"6 Document No.")</t>
  </si>
  <si>
    <t>=NF($D3271,"6 Document No.")</t>
  </si>
  <si>
    <t>=NF($D3272,"6 Document No.")</t>
  </si>
  <si>
    <t>=NF($D3273,"6 Document No.")</t>
  </si>
  <si>
    <t>=NF($D3274,"6 Document No.")</t>
  </si>
  <si>
    <t>=NF($D3275,"6 Document No.")</t>
  </si>
  <si>
    <t>=NF($D3276,"6 Document No.")</t>
  </si>
  <si>
    <t>=NF($D3277,"6 Document No.")</t>
  </si>
  <si>
    <t>=NF($D3278,"6 Document No.")</t>
  </si>
  <si>
    <t>=NF($D3279,"6 Document No.")</t>
  </si>
  <si>
    <t>=NF($D3280,"6 Document No.")</t>
  </si>
  <si>
    <t>=NF($D3281,"6 Document No.")</t>
  </si>
  <si>
    <t>=NF($D3282,"6 Document No.")</t>
  </si>
  <si>
    <t>=NF($D3283,"6 Document No.")</t>
  </si>
  <si>
    <t>=NF($D3284,"6 Document No.")</t>
  </si>
  <si>
    <t>=NF($D3285,"6 Document No.")</t>
  </si>
  <si>
    <t>=NF($D3286,"6 Document No.")</t>
  </si>
  <si>
    <t>=NF($D3287,"6 Document No.")</t>
  </si>
  <si>
    <t>=NF($D3288,"6 Document No.")</t>
  </si>
  <si>
    <t>=NF($D3289,"6 Document No.")</t>
  </si>
  <si>
    <t>=NF($D3290,"6 Document No.")</t>
  </si>
  <si>
    <t>=NF($D3291,"6 Document No.")</t>
  </si>
  <si>
    <t>=NF($D3292,"6 Document No.")</t>
  </si>
  <si>
    <t>=NF($D3293,"6 Document No.")</t>
  </si>
  <si>
    <t>=NF($D3294,"6 Document No.")</t>
  </si>
  <si>
    <t>=NF($D3295,"6 Document No.")</t>
  </si>
  <si>
    <t>=NF($D3296,"6 Document No.")</t>
  </si>
  <si>
    <t>=NF($D3297,"6 Document No.")</t>
  </si>
  <si>
    <t>=NF($D3298,"6 Document No.")</t>
  </si>
  <si>
    <t>=NF($D3299,"6 Document No.")</t>
  </si>
  <si>
    <t>=NF($D3300,"6 Document No.")</t>
  </si>
  <si>
    <t>=NF($D3301,"6 Document No.")</t>
  </si>
  <si>
    <t>=NF($D3302,"6 Document No.")</t>
  </si>
  <si>
    <t>=NF($D3303,"6 Document No.")</t>
  </si>
  <si>
    <t>=NF($D3304,"6 Document No.")</t>
  </si>
  <si>
    <t>=NF($D3305,"6 Document No.")</t>
  </si>
  <si>
    <t>=NF($D3306,"6 Document No.")</t>
  </si>
  <si>
    <t>=NF($D3307,"6 Document No.")</t>
  </si>
  <si>
    <t>=NF($D3308,"6 Document No.")</t>
  </si>
  <si>
    <t>=NF($D3309,"6 Document No.")</t>
  </si>
  <si>
    <t>=NF($D3310,"6 Document No.")</t>
  </si>
  <si>
    <t>=NF($D3311,"6 Document No.")</t>
  </si>
  <si>
    <t>=NF($D3312,"6 Document No.")</t>
  </si>
  <si>
    <t>=NF($D3313,"6 Document No.")</t>
  </si>
  <si>
    <t>=NF($D3314,"6 Document No.")</t>
  </si>
  <si>
    <t>=NF($D3315,"6 Document No.")</t>
  </si>
  <si>
    <t>=NF($D3316,"6 Document No.")</t>
  </si>
  <si>
    <t>=NF($D3317,"6 Document No.")</t>
  </si>
  <si>
    <t>=NF($D3318,"6 Document No.")</t>
  </si>
  <si>
    <t>=NF($D3319,"6 Document No.")</t>
  </si>
  <si>
    <t>=NF($D3320,"6 Document No.")</t>
  </si>
  <si>
    <t>=NF($D3321,"6 Document No.")</t>
  </si>
  <si>
    <t>=NF($D3322,"6 Document No.")</t>
  </si>
  <si>
    <t>=NF($D3323,"6 Document No.")</t>
  </si>
  <si>
    <t>=NF($D3324,"6 Document No.")</t>
  </si>
  <si>
    <t>=NF($D3325,"6 Document No.")</t>
  </si>
  <si>
    <t>=NF($D3326,"6 Document No.")</t>
  </si>
  <si>
    <t>=NF($D3327,"6 Document No.")</t>
  </si>
  <si>
    <t>=NF($D3328,"6 Document No.")</t>
  </si>
  <si>
    <t>=NF($D3329,"6 Document No.")</t>
  </si>
  <si>
    <t>=NF($D3330,"6 Document No.")</t>
  </si>
  <si>
    <t>=NF($D3331,"6 Document No.")</t>
  </si>
  <si>
    <t>=NF($D3332,"6 Document No.")</t>
  </si>
  <si>
    <t>=NF($D3333,"6 Document No.")</t>
  </si>
  <si>
    <t>=NF($D3334,"6 Document No.")</t>
  </si>
  <si>
    <t>=NF($D3335,"6 Document No.")</t>
  </si>
  <si>
    <t>=NF($D3336,"6 Document No.")</t>
  </si>
  <si>
    <t>=NF($D3337,"6 Document No.")</t>
  </si>
  <si>
    <t>=NF($D3338,"6 Document No.")</t>
  </si>
  <si>
    <t>=NF($D3339,"6 Document No.")</t>
  </si>
  <si>
    <t>=NF($D3340,"6 Document No.")</t>
  </si>
  <si>
    <t>=NF($D3341,"6 Document No.")</t>
  </si>
  <si>
    <t>=NF($D3342,"6 Document No.")</t>
  </si>
  <si>
    <t>=NF($D3343,"6 Document No.")</t>
  </si>
  <si>
    <t>=NF($D3344,"6 Document No.")</t>
  </si>
  <si>
    <t>=NF($D3345,"6 Document No.")</t>
  </si>
  <si>
    <t>=NF($D3346,"6 Document No.")</t>
  </si>
  <si>
    <t>=NF($D3347,"6 Document No.")</t>
  </si>
  <si>
    <t>=NF($D3348,"6 Document No.")</t>
  </si>
  <si>
    <t>=NF($D3349,"6 Document No.")</t>
  </si>
  <si>
    <t>=NF($D3350,"6 Document No.")</t>
  </si>
  <si>
    <t>=NF($D3351,"6 Document No.")</t>
  </si>
  <si>
    <t>=NF($D3352,"6 Document No.")</t>
  </si>
  <si>
    <t>=NF($D3353,"6 Document No.")</t>
  </si>
  <si>
    <t>=NF($D3354,"6 Document No.")</t>
  </si>
  <si>
    <t>=NF($D3355,"6 Document No.")</t>
  </si>
  <si>
    <t>=NF($D3356,"6 Document No.")</t>
  </si>
  <si>
    <t>=NF($D3357,"6 Document No.")</t>
  </si>
  <si>
    <t>=NF($D3358,"6 Document No.")</t>
  </si>
  <si>
    <t>=NF($D3359,"6 Document No.")</t>
  </si>
  <si>
    <t>=NF($D3360,"6 Document No.")</t>
  </si>
  <si>
    <t>=NF($D3361,"6 Document No.")</t>
  </si>
  <si>
    <t>=NF($D3362,"6 Document No.")</t>
  </si>
  <si>
    <t>=NF($D3363,"6 Document No.")</t>
  </si>
  <si>
    <t>=NF($D3364,"6 Document No.")</t>
  </si>
  <si>
    <t>=NF($D3365,"6 Document No.")</t>
  </si>
  <si>
    <t>=NF($D3366,"6 Document No.")</t>
  </si>
  <si>
    <t>=NF($D3367,"6 Document No.")</t>
  </si>
  <si>
    <t>=NF($D3368,"6 Document No.")</t>
  </si>
  <si>
    <t>=NF($D3369,"6 Document No.")</t>
  </si>
  <si>
    <t>=NF($D3370,"6 Document No.")</t>
  </si>
  <si>
    <t>=NF($D3371,"6 Document No.")</t>
  </si>
  <si>
    <t>=NF($D3372,"6 Document No.")</t>
  </si>
  <si>
    <t>=NF($D3373,"6 Document No.")</t>
  </si>
  <si>
    <t>=NF($D3374,"6 Document No.")</t>
  </si>
  <si>
    <t>=NF($D3375,"6 Document No.")</t>
  </si>
  <si>
    <t>=NF($D3376,"6 Document No.")</t>
  </si>
  <si>
    <t>=NF($D3377,"6 Document No.")</t>
  </si>
  <si>
    <t>=NF($D3378,"6 Document No.")</t>
  </si>
  <si>
    <t>=NF($D3379,"6 Document No.")</t>
  </si>
  <si>
    <t>=NF($D3380,"6 Document No.")</t>
  </si>
  <si>
    <t>=NF($D3381,"6 Document No.")</t>
  </si>
  <si>
    <t>=NF($D3382,"6 Document No.")</t>
  </si>
  <si>
    <t>=NF($D3383,"6 Document No.")</t>
  </si>
  <si>
    <t>=NF($D3384,"6 Document No.")</t>
  </si>
  <si>
    <t>=NF($D3385,"6 Document No.")</t>
  </si>
  <si>
    <t>=NF($D3386,"6 Document No.")</t>
  </si>
  <si>
    <t>=NF($D3387,"6 Document No.")</t>
  </si>
  <si>
    <t>=NF($D3388,"6 Document No.")</t>
  </si>
  <si>
    <t>=NF($D3389,"6 Document No.")</t>
  </si>
  <si>
    <t>=NF($D3390,"6 Document No.")</t>
  </si>
  <si>
    <t>=NF($D3391,"6 Document No.")</t>
  </si>
  <si>
    <t>=NF($D3392,"6 Document No.")</t>
  </si>
  <si>
    <t>=NF($D3393,"6 Document No.")</t>
  </si>
  <si>
    <t>=NF($D3394,"6 Document No.")</t>
  </si>
  <si>
    <t>=NF($D3395,"6 Document No.")</t>
  </si>
  <si>
    <t>=NF($D3396,"6 Document No.")</t>
  </si>
  <si>
    <t>=NF($D3397,"6 Document No.")</t>
  </si>
  <si>
    <t>=NF($D3398,"6 Document No.")</t>
  </si>
  <si>
    <t>=NF($D3399,"6 Document No.")</t>
  </si>
  <si>
    <t>=NF($D3400,"6 Document No.")</t>
  </si>
  <si>
    <t>=NF($D3401,"6 Document No.")</t>
  </si>
  <si>
    <t>=NF($D3402,"6 Document No.")</t>
  </si>
  <si>
    <t>=NF($D3403,"6 Document No.")</t>
  </si>
  <si>
    <t>=NF($D3404,"6 Document No.")</t>
  </si>
  <si>
    <t>=NF($D3405,"6 Document No.")</t>
  </si>
  <si>
    <t>=NF($D3406,"6 Document No.")</t>
  </si>
  <si>
    <t>=NF($D3407,"6 Document No.")</t>
  </si>
  <si>
    <t>=NF($D3408,"6 Document No.")</t>
  </si>
  <si>
    <t>=NF($D3409,"6 Document No.")</t>
  </si>
  <si>
    <t>=NF($D3410,"6 Document No.")</t>
  </si>
  <si>
    <t>=NF($D3411,"6 Document No.")</t>
  </si>
  <si>
    <t>=NF($D3412,"6 Document No.")</t>
  </si>
  <si>
    <t>=NF($D3413,"6 Document No.")</t>
  </si>
  <si>
    <t>=NF($D3414,"6 Document No.")</t>
  </si>
  <si>
    <t>=NF($D3415,"6 Document No.")</t>
  </si>
  <si>
    <t>=NF($D3416,"6 Document No.")</t>
  </si>
  <si>
    <t>=NF($D3417,"6 Document No.")</t>
  </si>
  <si>
    <t>=NF($D3418,"6 Document No.")</t>
  </si>
  <si>
    <t>=NF($D3419,"6 Document No.")</t>
  </si>
  <si>
    <t>=NF($D3420,"6 Document No.")</t>
  </si>
  <si>
    <t>=NF($D3421,"6 Document No.")</t>
  </si>
  <si>
    <t>=NF($D3422,"6 Document No.")</t>
  </si>
  <si>
    <t>=NF($D3423,"6 Document No.")</t>
  </si>
  <si>
    <t>=NF($D3424,"6 Document No.")</t>
  </si>
  <si>
    <t>=NF($D3425,"6 Document No.")</t>
  </si>
  <si>
    <t>=NF($D3426,"6 Document No.")</t>
  </si>
  <si>
    <t>=NF($D3427,"6 Document No.")</t>
  </si>
  <si>
    <t>=NF($D3428,"6 Document No.")</t>
  </si>
  <si>
    <t>=NF($D3429,"6 Document No.")</t>
  </si>
  <si>
    <t>=NF($D3430,"6 Document No.")</t>
  </si>
  <si>
    <t>=NF($D3431,"6 Document No.")</t>
  </si>
  <si>
    <t>=NF($D3432,"6 Document No.")</t>
  </si>
  <si>
    <t>=NF($D3433,"6 Document No.")</t>
  </si>
  <si>
    <t>=NF($D3434,"6 Document No.")</t>
  </si>
  <si>
    <t>=NF($D3435,"6 Document No.")</t>
  </si>
  <si>
    <t>=NF($D3436,"6 Document No.")</t>
  </si>
  <si>
    <t>=NF($D3437,"6 Document No.")</t>
  </si>
  <si>
    <t>=NF($D3438,"6 Document No.")</t>
  </si>
  <si>
    <t>=NF($D3439,"6 Document No.")</t>
  </si>
  <si>
    <t>=NF($D3440,"6 Document No.")</t>
  </si>
  <si>
    <t>=NF($D3441,"6 Document No.")</t>
  </si>
  <si>
    <t>=NF($D3442,"6 Document No.")</t>
  </si>
  <si>
    <t>=NF($D3443,"6 Document No.")</t>
  </si>
  <si>
    <t>=NF($D3444,"6 Document No.")</t>
  </si>
  <si>
    <t>=NF($D3445,"6 Document No.")</t>
  </si>
  <si>
    <t>=NF($D3446,"6 Document No.")</t>
  </si>
  <si>
    <t>=NF($D3447,"6 Document No.")</t>
  </si>
  <si>
    <t>=NF($D3448,"6 Document No.")</t>
  </si>
  <si>
    <t>=NF($D3449,"6 Document No.")</t>
  </si>
  <si>
    <t>=NF($D3250,"37 Due Date")</t>
  </si>
  <si>
    <t>=NF($D3251,"37 Due Date")</t>
  </si>
  <si>
    <t>=NF($D3252,"37 Due Date")</t>
  </si>
  <si>
    <t>=NF($D3253,"37 Due Date")</t>
  </si>
  <si>
    <t>=NF($D3254,"37 Due Date")</t>
  </si>
  <si>
    <t>=NF($D3255,"37 Due Date")</t>
  </si>
  <si>
    <t>=NF($D3256,"37 Due Date")</t>
  </si>
  <si>
    <t>=NF($D3257,"37 Due Date")</t>
  </si>
  <si>
    <t>=NF($D3258,"37 Due Date")</t>
  </si>
  <si>
    <t>=NF($D3259,"37 Due Date")</t>
  </si>
  <si>
    <t>=NF($D3260,"37 Due Date")</t>
  </si>
  <si>
    <t>=NF($D3261,"37 Due Date")</t>
  </si>
  <si>
    <t>=NF($D3262,"37 Due Date")</t>
  </si>
  <si>
    <t>=NF($D3263,"37 Due Date")</t>
  </si>
  <si>
    <t>=NF($D3264,"37 Due Date")</t>
  </si>
  <si>
    <t>=NF($D3265,"37 Due Date")</t>
  </si>
  <si>
    <t>=NF($D3266,"37 Due Date")</t>
  </si>
  <si>
    <t>=NF($D3267,"37 Due Date")</t>
  </si>
  <si>
    <t>=NF($D3268,"37 Due Date")</t>
  </si>
  <si>
    <t>=NF($D3269,"37 Due Date")</t>
  </si>
  <si>
    <t>=NF($D3270,"37 Due Date")</t>
  </si>
  <si>
    <t>=NF($D3271,"37 Due Date")</t>
  </si>
  <si>
    <t>=NF($D3272,"37 Due Date")</t>
  </si>
  <si>
    <t>=NF($D3273,"37 Due Date")</t>
  </si>
  <si>
    <t>=NF($D3274,"37 Due Date")</t>
  </si>
  <si>
    <t>=NF($D3275,"37 Due Date")</t>
  </si>
  <si>
    <t>=NF($D3276,"37 Due Date")</t>
  </si>
  <si>
    <t>=NF($D3277,"37 Due Date")</t>
  </si>
  <si>
    <t>=NF($D3278,"37 Due Date")</t>
  </si>
  <si>
    <t>=NF($D3279,"37 Due Date")</t>
  </si>
  <si>
    <t>=NF($D3280,"37 Due Date")</t>
  </si>
  <si>
    <t>=NF($D3281,"37 Due Date")</t>
  </si>
  <si>
    <t>=NF($D3282,"37 Due Date")</t>
  </si>
  <si>
    <t>=NF($D3283,"37 Due Date")</t>
  </si>
  <si>
    <t>=NF($D3284,"37 Due Date")</t>
  </si>
  <si>
    <t>=NF($D3285,"37 Due Date")</t>
  </si>
  <si>
    <t>=NF($D3286,"37 Due Date")</t>
  </si>
  <si>
    <t>=NF($D3287,"37 Due Date")</t>
  </si>
  <si>
    <t>=NF($D3288,"37 Due Date")</t>
  </si>
  <si>
    <t>=NF($D3289,"37 Due Date")</t>
  </si>
  <si>
    <t>=NF($D3290,"37 Due Date")</t>
  </si>
  <si>
    <t>=NF($D3291,"37 Due Date")</t>
  </si>
  <si>
    <t>=NF($D3292,"37 Due Date")</t>
  </si>
  <si>
    <t>=NF($D3293,"37 Due Date")</t>
  </si>
  <si>
    <t>=NF($D3294,"37 Due Date")</t>
  </si>
  <si>
    <t>=NF($D3295,"37 Due Date")</t>
  </si>
  <si>
    <t>=NF($D3296,"37 Due Date")</t>
  </si>
  <si>
    <t>=NF($D3297,"37 Due Date")</t>
  </si>
  <si>
    <t>=NF($D3298,"37 Due Date")</t>
  </si>
  <si>
    <t>=NF($D3299,"37 Due Date")</t>
  </si>
  <si>
    <t>=NF($D3300,"37 Due Date")</t>
  </si>
  <si>
    <t>=NF($D3301,"37 Due Date")</t>
  </si>
  <si>
    <t>=NF($D3302,"37 Due Date")</t>
  </si>
  <si>
    <t>=NF($D3303,"37 Due Date")</t>
  </si>
  <si>
    <t>=NF($D3304,"37 Due Date")</t>
  </si>
  <si>
    <t>=NF($D3305,"37 Due Date")</t>
  </si>
  <si>
    <t>=NF($D3306,"37 Due Date")</t>
  </si>
  <si>
    <t>=NF($D3307,"37 Due Date")</t>
  </si>
  <si>
    <t>=NF($D3308,"37 Due Date")</t>
  </si>
  <si>
    <t>=NF($D3309,"37 Due Date")</t>
  </si>
  <si>
    <t>=NF($D3310,"37 Due Date")</t>
  </si>
  <si>
    <t>=NF($D3311,"37 Due Date")</t>
  </si>
  <si>
    <t>=NF($D3312,"37 Due Date")</t>
  </si>
  <si>
    <t>=NF($D3313,"37 Due Date")</t>
  </si>
  <si>
    <t>=NF($D3314,"37 Due Date")</t>
  </si>
  <si>
    <t>=NF($D3315,"37 Due Date")</t>
  </si>
  <si>
    <t>=NF($D3316,"37 Due Date")</t>
  </si>
  <si>
    <t>=NF($D3317,"37 Due Date")</t>
  </si>
  <si>
    <t>=NF($D3318,"37 Due Date")</t>
  </si>
  <si>
    <t>=NF($D3319,"37 Due Date")</t>
  </si>
  <si>
    <t>=NF($D3320,"37 Due Date")</t>
  </si>
  <si>
    <t>=NF($D3321,"37 Due Date")</t>
  </si>
  <si>
    <t>=NF($D3322,"37 Due Date")</t>
  </si>
  <si>
    <t>=NF($D3323,"37 Due Date")</t>
  </si>
  <si>
    <t>=NF($D3324,"37 Due Date")</t>
  </si>
  <si>
    <t>=NF($D3325,"37 Due Date")</t>
  </si>
  <si>
    <t>=NF($D3326,"37 Due Date")</t>
  </si>
  <si>
    <t>=NF($D3327,"37 Due Date")</t>
  </si>
  <si>
    <t>=NF($D3328,"37 Due Date")</t>
  </si>
  <si>
    <t>=NF($D3329,"37 Due Date")</t>
  </si>
  <si>
    <t>=NF($D3330,"37 Due Date")</t>
  </si>
  <si>
    <t>=NF($D3331,"37 Due Date")</t>
  </si>
  <si>
    <t>=NF($D3332,"37 Due Date")</t>
  </si>
  <si>
    <t>=NF($D3333,"37 Due Date")</t>
  </si>
  <si>
    <t>=NF($D3334,"37 Due Date")</t>
  </si>
  <si>
    <t>=NF($D3335,"37 Due Date")</t>
  </si>
  <si>
    <t>=NF($D3336,"37 Due Date")</t>
  </si>
  <si>
    <t>=NF($D3337,"37 Due Date")</t>
  </si>
  <si>
    <t>=NF($D3338,"37 Due Date")</t>
  </si>
  <si>
    <t>=NF($D3339,"37 Due Date")</t>
  </si>
  <si>
    <t>=NF($D3340,"37 Due Date")</t>
  </si>
  <si>
    <t>=NF($D3341,"37 Due Date")</t>
  </si>
  <si>
    <t>=NF($D3342,"37 Due Date")</t>
  </si>
  <si>
    <t>=NF($D3343,"37 Due Date")</t>
  </si>
  <si>
    <t>=NF($D3344,"37 Due Date")</t>
  </si>
  <si>
    <t>=NF($D3345,"37 Due Date")</t>
  </si>
  <si>
    <t>=NF($D3346,"37 Due Date")</t>
  </si>
  <si>
    <t>=NF($D3347,"37 Due Date")</t>
  </si>
  <si>
    <t>=NF($D3348,"37 Due Date")</t>
  </si>
  <si>
    <t>=NF($D3349,"37 Due Date")</t>
  </si>
  <si>
    <t>=NF($D3350,"37 Due Date")</t>
  </si>
  <si>
    <t>=NF($D3351,"37 Due Date")</t>
  </si>
  <si>
    <t>=NF($D3352,"37 Due Date")</t>
  </si>
  <si>
    <t>=NF($D3353,"37 Due Date")</t>
  </si>
  <si>
    <t>=NF($D3354,"37 Due Date")</t>
  </si>
  <si>
    <t>=NF($D3355,"37 Due Date")</t>
  </si>
  <si>
    <t>=NF($D3356,"37 Due Date")</t>
  </si>
  <si>
    <t>=NF($D3357,"37 Due Date")</t>
  </si>
  <si>
    <t>=NF($D3358,"37 Due Date")</t>
  </si>
  <si>
    <t>=NF($D3359,"37 Due Date")</t>
  </si>
  <si>
    <t>=NF($D3360,"37 Due Date")</t>
  </si>
  <si>
    <t>=NF($D3361,"37 Due Date")</t>
  </si>
  <si>
    <t>=NF($D3362,"37 Due Date")</t>
  </si>
  <si>
    <t>=NF($D3363,"37 Due Date")</t>
  </si>
  <si>
    <t>=NF($D3364,"37 Due Date")</t>
  </si>
  <si>
    <t>=NF($D3365,"37 Due Date")</t>
  </si>
  <si>
    <t>=NF($D3366,"37 Due Date")</t>
  </si>
  <si>
    <t>=NF($D3367,"37 Due Date")</t>
  </si>
  <si>
    <t>=NF($D3368,"37 Due Date")</t>
  </si>
  <si>
    <t>=NF($D3369,"37 Due Date")</t>
  </si>
  <si>
    <t>=NF($D3370,"37 Due Date")</t>
  </si>
  <si>
    <t>=NF($D3371,"37 Due Date")</t>
  </si>
  <si>
    <t>=NF($D3372,"37 Due Date")</t>
  </si>
  <si>
    <t>=NF($D3373,"37 Due Date")</t>
  </si>
  <si>
    <t>=NF($D3374,"37 Due Date")</t>
  </si>
  <si>
    <t>=NF($D3375,"37 Due Date")</t>
  </si>
  <si>
    <t>=NF($D3376,"37 Due Date")</t>
  </si>
  <si>
    <t>=NF($D3377,"37 Due Date")</t>
  </si>
  <si>
    <t>=NF($D3378,"37 Due Date")</t>
  </si>
  <si>
    <t>=NF($D3379,"37 Due Date")</t>
  </si>
  <si>
    <t>=NF($D3380,"37 Due Date")</t>
  </si>
  <si>
    <t>=NF($D3381,"37 Due Date")</t>
  </si>
  <si>
    <t>=NF($D3382,"37 Due Date")</t>
  </si>
  <si>
    <t>=NF($D3383,"37 Due Date")</t>
  </si>
  <si>
    <t>=NF($D3384,"37 Due Date")</t>
  </si>
  <si>
    <t>=NF($D3385,"37 Due Date")</t>
  </si>
  <si>
    <t>=NF($D3386,"37 Due Date")</t>
  </si>
  <si>
    <t>=NF($D3387,"37 Due Date")</t>
  </si>
  <si>
    <t>=NF($D3388,"37 Due Date")</t>
  </si>
  <si>
    <t>=NF($D3389,"37 Due Date")</t>
  </si>
  <si>
    <t>=NF($D3390,"37 Due Date")</t>
  </si>
  <si>
    <t>=NF($D3391,"37 Due Date")</t>
  </si>
  <si>
    <t>=NF($D3392,"37 Due Date")</t>
  </si>
  <si>
    <t>=NF($D3393,"37 Due Date")</t>
  </si>
  <si>
    <t>=NF($D3394,"37 Due Date")</t>
  </si>
  <si>
    <t>=NF($D3395,"37 Due Date")</t>
  </si>
  <si>
    <t>=NF($D3396,"37 Due Date")</t>
  </si>
  <si>
    <t>=NF($D3397,"37 Due Date")</t>
  </si>
  <si>
    <t>=NF($D3398,"37 Due Date")</t>
  </si>
  <si>
    <t>=NF($D3399,"37 Due Date")</t>
  </si>
  <si>
    <t>=NF($D3400,"37 Due Date")</t>
  </si>
  <si>
    <t>=NF($D3401,"37 Due Date")</t>
  </si>
  <si>
    <t>=NF($D3402,"37 Due Date")</t>
  </si>
  <si>
    <t>=NF($D3403,"37 Due Date")</t>
  </si>
  <si>
    <t>=NF($D3404,"37 Due Date")</t>
  </si>
  <si>
    <t>=NF($D3405,"37 Due Date")</t>
  </si>
  <si>
    <t>=NF($D3406,"37 Due Date")</t>
  </si>
  <si>
    <t>=NF($D3407,"37 Due Date")</t>
  </si>
  <si>
    <t>=NF($D3408,"37 Due Date")</t>
  </si>
  <si>
    <t>=NF($D3409,"37 Due Date")</t>
  </si>
  <si>
    <t>=NF($D3410,"37 Due Date")</t>
  </si>
  <si>
    <t>=NF($D3411,"37 Due Date")</t>
  </si>
  <si>
    <t>=NF($D3412,"37 Due Date")</t>
  </si>
  <si>
    <t>=NF($D3413,"37 Due Date")</t>
  </si>
  <si>
    <t>=NF($D3414,"37 Due Date")</t>
  </si>
  <si>
    <t>=NF($D3415,"37 Due Date")</t>
  </si>
  <si>
    <t>=NF($D3416,"37 Due Date")</t>
  </si>
  <si>
    <t>=NF($D3417,"37 Due Date")</t>
  </si>
  <si>
    <t>=NF($D3418,"37 Due Date")</t>
  </si>
  <si>
    <t>=NF($D3419,"37 Due Date")</t>
  </si>
  <si>
    <t>=NF($D3420,"37 Due Date")</t>
  </si>
  <si>
    <t>=NF($D3421,"37 Due Date")</t>
  </si>
  <si>
    <t>=NF($D3422,"37 Due Date")</t>
  </si>
  <si>
    <t>=NF($D3423,"37 Due Date")</t>
  </si>
  <si>
    <t>=NF($D3424,"37 Due Date")</t>
  </si>
  <si>
    <t>=NF($D3425,"37 Due Date")</t>
  </si>
  <si>
    <t>=NF($D3426,"37 Due Date")</t>
  </si>
  <si>
    <t>=NF($D3427,"37 Due Date")</t>
  </si>
  <si>
    <t>=NF($D3428,"37 Due Date")</t>
  </si>
  <si>
    <t>=NF($D3429,"37 Due Date")</t>
  </si>
  <si>
    <t>=NF($D3430,"37 Due Date")</t>
  </si>
  <si>
    <t>=NF($D3431,"37 Due Date")</t>
  </si>
  <si>
    <t>=NF($D3432,"37 Due Date")</t>
  </si>
  <si>
    <t>=NF($D3433,"37 Due Date")</t>
  </si>
  <si>
    <t>=NF($D3434,"37 Due Date")</t>
  </si>
  <si>
    <t>=NF($D3435,"37 Due Date")</t>
  </si>
  <si>
    <t>=NF($D3436,"37 Due Date")</t>
  </si>
  <si>
    <t>=NF($D3437,"37 Due Date")</t>
  </si>
  <si>
    <t>=NF($D3438,"37 Due Date")</t>
  </si>
  <si>
    <t>=NF($D3439,"37 Due Date")</t>
  </si>
  <si>
    <t>=NF($D3440,"37 Due Date")</t>
  </si>
  <si>
    <t>=NF($D3441,"37 Due Date")</t>
  </si>
  <si>
    <t>=NF($D3442,"37 Due Date")</t>
  </si>
  <si>
    <t>=NF($D3443,"37 Due Date")</t>
  </si>
  <si>
    <t>=NF($D3444,"37 Due Date")</t>
  </si>
  <si>
    <t>=NF($D3445,"37 Due Date")</t>
  </si>
  <si>
    <t>=NF($D3446,"37 Due Date")</t>
  </si>
  <si>
    <t>=NF($D3447,"37 Due Date")</t>
  </si>
  <si>
    <t>=NF($D3448,"37 Due Date")</t>
  </si>
  <si>
    <t>=NF($D3449,"37 Due Date")</t>
  </si>
  <si>
    <t>=NF($D3250,"16 Remaining Amt. (LCY)")</t>
  </si>
  <si>
    <t>=NF($D3251,"16 Remaining Amt. (LCY)")</t>
  </si>
  <si>
    <t>=NF($D3252,"16 Remaining Amt. (LCY)")</t>
  </si>
  <si>
    <t>=NF($D3253,"16 Remaining Amt. (LCY)")</t>
  </si>
  <si>
    <t>=NF($D3254,"16 Remaining Amt. (LCY)")</t>
  </si>
  <si>
    <t>=NF($D3255,"16 Remaining Amt. (LCY)")</t>
  </si>
  <si>
    <t>=NF($D3256,"16 Remaining Amt. (LCY)")</t>
  </si>
  <si>
    <t>=NF($D3257,"16 Remaining Amt. (LCY)")</t>
  </si>
  <si>
    <t>=NF($D3258,"16 Remaining Amt. (LCY)")</t>
  </si>
  <si>
    <t>=NF($D3259,"16 Remaining Amt. (LCY)")</t>
  </si>
  <si>
    <t>=NF($D3260,"16 Remaining Amt. (LCY)")</t>
  </si>
  <si>
    <t>=NF($D3261,"16 Remaining Amt. (LCY)")</t>
  </si>
  <si>
    <t>=NF($D3262,"16 Remaining Amt. (LCY)")</t>
  </si>
  <si>
    <t>=NF($D3263,"16 Remaining Amt. (LCY)")</t>
  </si>
  <si>
    <t>=NF($D3264,"16 Remaining Amt. (LCY)")</t>
  </si>
  <si>
    <t>=NF($D3265,"16 Remaining Amt. (LCY)")</t>
  </si>
  <si>
    <t>=NF($D3266,"16 Remaining Amt. (LCY)")</t>
  </si>
  <si>
    <t>=NF($D3267,"16 Remaining Amt. (LCY)")</t>
  </si>
  <si>
    <t>=NF($D3268,"16 Remaining Amt. (LCY)")</t>
  </si>
  <si>
    <t>=NF($D3269,"16 Remaining Amt. (LCY)")</t>
  </si>
  <si>
    <t>=NF($D3270,"16 Remaining Amt. (LCY)")</t>
  </si>
  <si>
    <t>=NF($D3271,"16 Remaining Amt. (LCY)")</t>
  </si>
  <si>
    <t>=NF($D3272,"16 Remaining Amt. (LCY)")</t>
  </si>
  <si>
    <t>=NF($D3273,"16 Remaining Amt. (LCY)")</t>
  </si>
  <si>
    <t>=NF($D3274,"16 Remaining Amt. (LCY)")</t>
  </si>
  <si>
    <t>=NF($D3275,"16 Remaining Amt. (LCY)")</t>
  </si>
  <si>
    <t>=NF($D3276,"16 Remaining Amt. (LCY)")</t>
  </si>
  <si>
    <t>=NF($D3277,"16 Remaining Amt. (LCY)")</t>
  </si>
  <si>
    <t>=NF($D3278,"16 Remaining Amt. (LCY)")</t>
  </si>
  <si>
    <t>=NF($D3279,"16 Remaining Amt. (LCY)")</t>
  </si>
  <si>
    <t>=NF($D3280,"16 Remaining Amt. (LCY)")</t>
  </si>
  <si>
    <t>=NF($D3281,"16 Remaining Amt. (LCY)")</t>
  </si>
  <si>
    <t>=NF($D3282,"16 Remaining Amt. (LCY)")</t>
  </si>
  <si>
    <t>=NF($D3283,"16 Remaining Amt. (LCY)")</t>
  </si>
  <si>
    <t>=NF($D3284,"16 Remaining Amt. (LCY)")</t>
  </si>
  <si>
    <t>=NF($D3285,"16 Remaining Amt. (LCY)")</t>
  </si>
  <si>
    <t>=NF($D3286,"16 Remaining Amt. (LCY)")</t>
  </si>
  <si>
    <t>=NF($D3287,"16 Remaining Amt. (LCY)")</t>
  </si>
  <si>
    <t>=NF($D3288,"16 Remaining Amt. (LCY)")</t>
  </si>
  <si>
    <t>=NF($D3289,"16 Remaining Amt. (LCY)")</t>
  </si>
  <si>
    <t>=NF($D3290,"16 Remaining Amt. (LCY)")</t>
  </si>
  <si>
    <t>=NF($D3291,"16 Remaining Amt. (LCY)")</t>
  </si>
  <si>
    <t>=NF($D3292,"16 Remaining Amt. (LCY)")</t>
  </si>
  <si>
    <t>=NF($D3293,"16 Remaining Amt. (LCY)")</t>
  </si>
  <si>
    <t>=NF($D3294,"16 Remaining Amt. (LCY)")</t>
  </si>
  <si>
    <t>=NF($D3295,"16 Remaining Amt. (LCY)")</t>
  </si>
  <si>
    <t>=NF($D3296,"16 Remaining Amt. (LCY)")</t>
  </si>
  <si>
    <t>=NF($D3297,"16 Remaining Amt. (LCY)")</t>
  </si>
  <si>
    <t>=NF($D3298,"16 Remaining Amt. (LCY)")</t>
  </si>
  <si>
    <t>=NF($D3299,"16 Remaining Amt. (LCY)")</t>
  </si>
  <si>
    <t>=NF($D3300,"16 Remaining Amt. (LCY)")</t>
  </si>
  <si>
    <t>=NF($D3301,"16 Remaining Amt. (LCY)")</t>
  </si>
  <si>
    <t>=NF($D3302,"16 Remaining Amt. (LCY)")</t>
  </si>
  <si>
    <t>=NF($D3303,"16 Remaining Amt. (LCY)")</t>
  </si>
  <si>
    <t>=NF($D3304,"16 Remaining Amt. (LCY)")</t>
  </si>
  <si>
    <t>=NF($D3305,"16 Remaining Amt. (LCY)")</t>
  </si>
  <si>
    <t>=NF($D3306,"16 Remaining Amt. (LCY)")</t>
  </si>
  <si>
    <t>=NF($D3307,"16 Remaining Amt. (LCY)")</t>
  </si>
  <si>
    <t>=NF($D3308,"16 Remaining Amt. (LCY)")</t>
  </si>
  <si>
    <t>=NF($D3309,"16 Remaining Amt. (LCY)")</t>
  </si>
  <si>
    <t>=NF($D3310,"16 Remaining Amt. (LCY)")</t>
  </si>
  <si>
    <t>=NF($D3311,"16 Remaining Amt. (LCY)")</t>
  </si>
  <si>
    <t>=NF($D3312,"16 Remaining Amt. (LCY)")</t>
  </si>
  <si>
    <t>=NF($D3313,"16 Remaining Amt. (LCY)")</t>
  </si>
  <si>
    <t>=NF($D3314,"16 Remaining Amt. (LCY)")</t>
  </si>
  <si>
    <t>=NF($D3315,"16 Remaining Amt. (LCY)")</t>
  </si>
  <si>
    <t>=NF($D3316,"16 Remaining Amt. (LCY)")</t>
  </si>
  <si>
    <t>=NF($D3317,"16 Remaining Amt. (LCY)")</t>
  </si>
  <si>
    <t>=NF($D3318,"16 Remaining Amt. (LCY)")</t>
  </si>
  <si>
    <t>=NF($D3319,"16 Remaining Amt. (LCY)")</t>
  </si>
  <si>
    <t>=NF($D3320,"16 Remaining Amt. (LCY)")</t>
  </si>
  <si>
    <t>=NF($D3321,"16 Remaining Amt. (LCY)")</t>
  </si>
  <si>
    <t>=NF($D3322,"16 Remaining Amt. (LCY)")</t>
  </si>
  <si>
    <t>=NF($D3323,"16 Remaining Amt. (LCY)")</t>
  </si>
  <si>
    <t>=NF($D3324,"16 Remaining Amt. (LCY)")</t>
  </si>
  <si>
    <t>=NF($D3325,"16 Remaining Amt. (LCY)")</t>
  </si>
  <si>
    <t>=NF($D3326,"16 Remaining Amt. (LCY)")</t>
  </si>
  <si>
    <t>=NF($D3327,"16 Remaining Amt. (LCY)")</t>
  </si>
  <si>
    <t>=NF($D3328,"16 Remaining Amt. (LCY)")</t>
  </si>
  <si>
    <t>=NF($D3329,"16 Remaining Amt. (LCY)")</t>
  </si>
  <si>
    <t>=NF($D3330,"16 Remaining Amt. (LCY)")</t>
  </si>
  <si>
    <t>=NF($D3331,"16 Remaining Amt. (LCY)")</t>
  </si>
  <si>
    <t>=NF($D3332,"16 Remaining Amt. (LCY)")</t>
  </si>
  <si>
    <t>=NF($D3333,"16 Remaining Amt. (LCY)")</t>
  </si>
  <si>
    <t>=NF($D3334,"16 Remaining Amt. (LCY)")</t>
  </si>
  <si>
    <t>=NF($D3335,"16 Remaining Amt. (LCY)")</t>
  </si>
  <si>
    <t>=NF($D3336,"16 Remaining Amt. (LCY)")</t>
  </si>
  <si>
    <t>=NF($D3337,"16 Remaining Amt. (LCY)")</t>
  </si>
  <si>
    <t>=NF($D3338,"16 Remaining Amt. (LCY)")</t>
  </si>
  <si>
    <t>=NF($D3339,"16 Remaining Amt. (LCY)")</t>
  </si>
  <si>
    <t>=NF($D3340,"16 Remaining Amt. (LCY)")</t>
  </si>
  <si>
    <t>=NF($D3341,"16 Remaining Amt. (LCY)")</t>
  </si>
  <si>
    <t>=NF($D3342,"16 Remaining Amt. (LCY)")</t>
  </si>
  <si>
    <t>=NF($D3343,"16 Remaining Amt. (LCY)")</t>
  </si>
  <si>
    <t>=NF($D3344,"16 Remaining Amt. (LCY)")</t>
  </si>
  <si>
    <t>=NF($D3345,"16 Remaining Amt. (LCY)")</t>
  </si>
  <si>
    <t>=NF($D3346,"16 Remaining Amt. (LCY)")</t>
  </si>
  <si>
    <t>=NF($D3347,"16 Remaining Amt. (LCY)")</t>
  </si>
  <si>
    <t>=NF($D3348,"16 Remaining Amt. (LCY)")</t>
  </si>
  <si>
    <t>=NF($D3349,"16 Remaining Amt. (LCY)")</t>
  </si>
  <si>
    <t>=NF($D3350,"16 Remaining Amt. (LCY)")</t>
  </si>
  <si>
    <t>=NF($D3351,"16 Remaining Amt. (LCY)")</t>
  </si>
  <si>
    <t>=NF($D3352,"16 Remaining Amt. (LCY)")</t>
  </si>
  <si>
    <t>=NF($D3353,"16 Remaining Amt. (LCY)")</t>
  </si>
  <si>
    <t>=NF($D3354,"16 Remaining Amt. (LCY)")</t>
  </si>
  <si>
    <t>=NF($D3355,"16 Remaining Amt. (LCY)")</t>
  </si>
  <si>
    <t>=NF($D3356,"16 Remaining Amt. (LCY)")</t>
  </si>
  <si>
    <t>=NF($D3357,"16 Remaining Amt. (LCY)")</t>
  </si>
  <si>
    <t>=NF($D3358,"16 Remaining Amt. (LCY)")</t>
  </si>
  <si>
    <t>=NF($D3359,"16 Remaining Amt. (LCY)")</t>
  </si>
  <si>
    <t>=NF($D3360,"16 Remaining Amt. (LCY)")</t>
  </si>
  <si>
    <t>=NF($D3361,"16 Remaining Amt. (LCY)")</t>
  </si>
  <si>
    <t>=NF($D3362,"16 Remaining Amt. (LCY)")</t>
  </si>
  <si>
    <t>=NF($D3363,"16 Remaining Amt. (LCY)")</t>
  </si>
  <si>
    <t>=NF($D3364,"16 Remaining Amt. (LCY)")</t>
  </si>
  <si>
    <t>=NF($D3365,"16 Remaining Amt. (LCY)")</t>
  </si>
  <si>
    <t>=NF($D3366,"16 Remaining Amt. (LCY)")</t>
  </si>
  <si>
    <t>=NF($D3367,"16 Remaining Amt. (LCY)")</t>
  </si>
  <si>
    <t>=NF($D3368,"16 Remaining Amt. (LCY)")</t>
  </si>
  <si>
    <t>=NF($D3369,"16 Remaining Amt. (LCY)")</t>
  </si>
  <si>
    <t>=NF($D3370,"16 Remaining Amt. (LCY)")</t>
  </si>
  <si>
    <t>=NF($D3371,"16 Remaining Amt. (LCY)")</t>
  </si>
  <si>
    <t>=NF($D3372,"16 Remaining Amt. (LCY)")</t>
  </si>
  <si>
    <t>=NF($D3373,"16 Remaining Amt. (LCY)")</t>
  </si>
  <si>
    <t>=NF($D3374,"16 Remaining Amt. (LCY)")</t>
  </si>
  <si>
    <t>=NF($D3375,"16 Remaining Amt. (LCY)")</t>
  </si>
  <si>
    <t>=NF($D3376,"16 Remaining Amt. (LCY)")</t>
  </si>
  <si>
    <t>=NF($D3377,"16 Remaining Amt. (LCY)")</t>
  </si>
  <si>
    <t>=NF($D3378,"16 Remaining Amt. (LCY)")</t>
  </si>
  <si>
    <t>=NF($D3379,"16 Remaining Amt. (LCY)")</t>
  </si>
  <si>
    <t>=NF($D3380,"16 Remaining Amt. (LCY)")</t>
  </si>
  <si>
    <t>=NF($D3381,"16 Remaining Amt. (LCY)")</t>
  </si>
  <si>
    <t>=NF($D3382,"16 Remaining Amt. (LCY)")</t>
  </si>
  <si>
    <t>=NF($D3383,"16 Remaining Amt. (LCY)")</t>
  </si>
  <si>
    <t>=NF($D3384,"16 Remaining Amt. (LCY)")</t>
  </si>
  <si>
    <t>=NF($D3385,"16 Remaining Amt. (LCY)")</t>
  </si>
  <si>
    <t>=NF($D3386,"16 Remaining Amt. (LCY)")</t>
  </si>
  <si>
    <t>=NF($D3387,"16 Remaining Amt. (LCY)")</t>
  </si>
  <si>
    <t>=NF($D3388,"16 Remaining Amt. (LCY)")</t>
  </si>
  <si>
    <t>=NF($D3389,"16 Remaining Amt. (LCY)")</t>
  </si>
  <si>
    <t>=NF($D3390,"16 Remaining Amt. (LCY)")</t>
  </si>
  <si>
    <t>=NF($D3391,"16 Remaining Amt. (LCY)")</t>
  </si>
  <si>
    <t>=NF($D3392,"16 Remaining Amt. (LCY)")</t>
  </si>
  <si>
    <t>=NF($D3393,"16 Remaining Amt. (LCY)")</t>
  </si>
  <si>
    <t>=NF($D3394,"16 Remaining Amt. (LCY)")</t>
  </si>
  <si>
    <t>=NF($D3395,"16 Remaining Amt. (LCY)")</t>
  </si>
  <si>
    <t>=NF($D3396,"16 Remaining Amt. (LCY)")</t>
  </si>
  <si>
    <t>=NF($D3397,"16 Remaining Amt. (LCY)")</t>
  </si>
  <si>
    <t>=NF($D3398,"16 Remaining Amt. (LCY)")</t>
  </si>
  <si>
    <t>=NF($D3399,"16 Remaining Amt. (LCY)")</t>
  </si>
  <si>
    <t>=NF($D3400,"16 Remaining Amt. (LCY)")</t>
  </si>
  <si>
    <t>=NF($D3401,"16 Remaining Amt. (LCY)")</t>
  </si>
  <si>
    <t>=NF($D3402,"16 Remaining Amt. (LCY)")</t>
  </si>
  <si>
    <t>=NF($D3403,"16 Remaining Amt. (LCY)")</t>
  </si>
  <si>
    <t>=NF($D3404,"16 Remaining Amt. (LCY)")</t>
  </si>
  <si>
    <t>=NF($D3405,"16 Remaining Amt. (LCY)")</t>
  </si>
  <si>
    <t>=NF($D3406,"16 Remaining Amt. (LCY)")</t>
  </si>
  <si>
    <t>=NF($D3407,"16 Remaining Amt. (LCY)")</t>
  </si>
  <si>
    <t>=NF($D3408,"16 Remaining Amt. (LCY)")</t>
  </si>
  <si>
    <t>=NF($D3409,"16 Remaining Amt. (LCY)")</t>
  </si>
  <si>
    <t>=NF($D3410,"16 Remaining Amt. (LCY)")</t>
  </si>
  <si>
    <t>=NF($D3411,"16 Remaining Amt. (LCY)")</t>
  </si>
  <si>
    <t>=NF($D3412,"16 Remaining Amt. (LCY)")</t>
  </si>
  <si>
    <t>=NF($D3413,"16 Remaining Amt. (LCY)")</t>
  </si>
  <si>
    <t>=NF($D3414,"16 Remaining Amt. (LCY)")</t>
  </si>
  <si>
    <t>=NF($D3415,"16 Remaining Amt. (LCY)")</t>
  </si>
  <si>
    <t>=NF($D3416,"16 Remaining Amt. (LCY)")</t>
  </si>
  <si>
    <t>=NF($D3417,"16 Remaining Amt. (LCY)")</t>
  </si>
  <si>
    <t>=NF($D3418,"16 Remaining Amt. (LCY)")</t>
  </si>
  <si>
    <t>=NF($D3419,"16 Remaining Amt. (LCY)")</t>
  </si>
  <si>
    <t>=NF($D3420,"16 Remaining Amt. (LCY)")</t>
  </si>
  <si>
    <t>=NF($D3421,"16 Remaining Amt. (LCY)")</t>
  </si>
  <si>
    <t>=NF($D3422,"16 Remaining Amt. (LCY)")</t>
  </si>
  <si>
    <t>=NF($D3423,"16 Remaining Amt. (LCY)")</t>
  </si>
  <si>
    <t>=NF($D3424,"16 Remaining Amt. (LCY)")</t>
  </si>
  <si>
    <t>=NF($D3425,"16 Remaining Amt. (LCY)")</t>
  </si>
  <si>
    <t>=NF($D3426,"16 Remaining Amt. (LCY)")</t>
  </si>
  <si>
    <t>=NF($D3427,"16 Remaining Amt. (LCY)")</t>
  </si>
  <si>
    <t>=NF($D3428,"16 Remaining Amt. (LCY)")</t>
  </si>
  <si>
    <t>=NF($D3429,"16 Remaining Amt. (LCY)")</t>
  </si>
  <si>
    <t>=NF($D3430,"16 Remaining Amt. (LCY)")</t>
  </si>
  <si>
    <t>=NF($D3431,"16 Remaining Amt. (LCY)")</t>
  </si>
  <si>
    <t>=NF($D3432,"16 Remaining Amt. (LCY)")</t>
  </si>
  <si>
    <t>=NF($D3433,"16 Remaining Amt. (LCY)")</t>
  </si>
  <si>
    <t>=NF($D3434,"16 Remaining Amt. (LCY)")</t>
  </si>
  <si>
    <t>=NF($D3435,"16 Remaining Amt. (LCY)")</t>
  </si>
  <si>
    <t>=NF($D3436,"16 Remaining Amt. (LCY)")</t>
  </si>
  <si>
    <t>=NF($D3437,"16 Remaining Amt. (LCY)")</t>
  </si>
  <si>
    <t>=NF($D3438,"16 Remaining Amt. (LCY)")</t>
  </si>
  <si>
    <t>=NF($D3439,"16 Remaining Amt. (LCY)")</t>
  </si>
  <si>
    <t>=NF($D3440,"16 Remaining Amt. (LCY)")</t>
  </si>
  <si>
    <t>=NF($D3441,"16 Remaining Amt. (LCY)")</t>
  </si>
  <si>
    <t>=NF($D3442,"16 Remaining Amt. (LCY)")</t>
  </si>
  <si>
    <t>=NF($D3443,"16 Remaining Amt. (LCY)")</t>
  </si>
  <si>
    <t>=NF($D3444,"16 Remaining Amt. (LCY)")</t>
  </si>
  <si>
    <t>=NF($D3445,"16 Remaining Amt. (LCY)")</t>
  </si>
  <si>
    <t>=NF($D3446,"16 Remaining Amt. (LCY)")</t>
  </si>
  <si>
    <t>=NF($D3447,"16 Remaining Amt. (LCY)")</t>
  </si>
  <si>
    <t>=NF($D3448,"16 Remaining Amt. (LCY)")</t>
  </si>
  <si>
    <t>=NF($D3449,"16 Remaining Amt. (LCY)")</t>
  </si>
  <si>
    <t>=NF($D3192,"5 Document Type")</t>
  </si>
  <si>
    <t>=NF($D3193,"5 Document Type")</t>
  </si>
  <si>
    <t>=NF($D3194,"5 Document Type")</t>
  </si>
  <si>
    <t>=NF($D3195,"5 Document Type")</t>
  </si>
  <si>
    <t>=NF($D3196,"5 Document Type")</t>
  </si>
  <si>
    <t>=NF($D3197,"5 Document Type")</t>
  </si>
  <si>
    <t>=NF($D3198,"5 Document Type")</t>
  </si>
  <si>
    <t>=NF($D3199,"5 Document Type")</t>
  </si>
  <si>
    <t>=NF($D3200,"5 Document Type")</t>
  </si>
  <si>
    <t>=NF($D3201,"5 Document Type")</t>
  </si>
  <si>
    <t>=NF($D3202,"5 Document Type")</t>
  </si>
  <si>
    <t>=NF($D3203,"5 Document Type")</t>
  </si>
  <si>
    <t>=NF($D3204,"5 Document Type")</t>
  </si>
  <si>
    <t>=NF($D3205,"5 Document Type")</t>
  </si>
  <si>
    <t>=NF($D3206,"5 Document Type")</t>
  </si>
  <si>
    <t>=NF($D3207,"5 Document Type")</t>
  </si>
  <si>
    <t>=NF($D3208,"5 Document Type")</t>
  </si>
  <si>
    <t>=NF($D3209,"5 Document Type")</t>
  </si>
  <si>
    <t>=NF($D3210,"5 Document Type")</t>
  </si>
  <si>
    <t>=NF($D3211,"5 Document Type")</t>
  </si>
  <si>
    <t>=NF($D3212,"5 Document Type")</t>
  </si>
  <si>
    <t>=NF($D3213,"5 Document Type")</t>
  </si>
  <si>
    <t>=NF($D3214,"5 Document Type")</t>
  </si>
  <si>
    <t>=NF($D3215,"5 Document Type")</t>
  </si>
  <si>
    <t>=NF($D3216,"5 Document Type")</t>
  </si>
  <si>
    <t>=NF($D3217,"5 Document Type")</t>
  </si>
  <si>
    <t>=NF($D3218,"5 Document Type")</t>
  </si>
  <si>
    <t>=NF($D3219,"5 Document Type")</t>
  </si>
  <si>
    <t>=NF($D3220,"5 Document Type")</t>
  </si>
  <si>
    <t>=NF($D3221,"5 Document Type")</t>
  </si>
  <si>
    <t>=NF($D3222,"5 Document Type")</t>
  </si>
  <si>
    <t>=NF($D3223,"5 Document Type")</t>
  </si>
  <si>
    <t>=NF($D3224,"5 Document Type")</t>
  </si>
  <si>
    <t>=NF($D3225,"5 Document Type")</t>
  </si>
  <si>
    <t>=NF($D3226,"5 Document Type")</t>
  </si>
  <si>
    <t>=NF($D3227,"5 Document Type")</t>
  </si>
  <si>
    <t>=NF($D3228,"5 Document Type")</t>
  </si>
  <si>
    <t>=NF($D3229,"5 Document Type")</t>
  </si>
  <si>
    <t>=NF($D3230,"5 Document Type")</t>
  </si>
  <si>
    <t>=NF($D3231,"5 Document Type")</t>
  </si>
  <si>
    <t>=NF($D3232,"5 Document Type")</t>
  </si>
  <si>
    <t>=NF($D3233,"5 Document Type")</t>
  </si>
  <si>
    <t>=NF($D3234,"5 Document Type")</t>
  </si>
  <si>
    <t>=NF($D3235,"5 Document Type")</t>
  </si>
  <si>
    <t>=NF($D3236,"5 Document Type")</t>
  </si>
  <si>
    <t>=NF($D3237,"5 Document Type")</t>
  </si>
  <si>
    <t>=NF($D3238,"5 Document Type")</t>
  </si>
  <si>
    <t>=NF($D3239,"5 Document Type")</t>
  </si>
  <si>
    <t>=NF($D3240,"5 Document Type")</t>
  </si>
  <si>
    <t>=NF($D3241,"5 Document Type")</t>
  </si>
  <si>
    <t>=NF($D3242,"5 Document Type")</t>
  </si>
  <si>
    <t>=NF($D3243,"5 Document Type")</t>
  </si>
  <si>
    <t>=NF($D3192,"6 Document No.")</t>
  </si>
  <si>
    <t>=NF($D3193,"6 Document No.")</t>
  </si>
  <si>
    <t>=NF($D3194,"6 Document No.")</t>
  </si>
  <si>
    <t>=NF($D3195,"6 Document No.")</t>
  </si>
  <si>
    <t>=NF($D3196,"6 Document No.")</t>
  </si>
  <si>
    <t>=NF($D3197,"6 Document No.")</t>
  </si>
  <si>
    <t>=NF($D3198,"6 Document No.")</t>
  </si>
  <si>
    <t>=NF($D3199,"6 Document No.")</t>
  </si>
  <si>
    <t>=NF($D3200,"6 Document No.")</t>
  </si>
  <si>
    <t>=NF($D3201,"6 Document No.")</t>
  </si>
  <si>
    <t>=NF($D3202,"6 Document No.")</t>
  </si>
  <si>
    <t>=NF($D3203,"6 Document No.")</t>
  </si>
  <si>
    <t>=NF($D3204,"6 Document No.")</t>
  </si>
  <si>
    <t>=NF($D3205,"6 Document No.")</t>
  </si>
  <si>
    <t>=NF($D3206,"6 Document No.")</t>
  </si>
  <si>
    <t>=NF($D3207,"6 Document No.")</t>
  </si>
  <si>
    <t>=NF($D3208,"6 Document No.")</t>
  </si>
  <si>
    <t>=NF($D3209,"6 Document No.")</t>
  </si>
  <si>
    <t>=NF($D3210,"6 Document No.")</t>
  </si>
  <si>
    <t>=NF($D3211,"6 Document No.")</t>
  </si>
  <si>
    <t>=NF($D3212,"6 Document No.")</t>
  </si>
  <si>
    <t>=NF($D3213,"6 Document No.")</t>
  </si>
  <si>
    <t>=NF($D3214,"6 Document No.")</t>
  </si>
  <si>
    <t>=NF($D3215,"6 Document No.")</t>
  </si>
  <si>
    <t>=NF($D3216,"6 Document No.")</t>
  </si>
  <si>
    <t>=NF($D3217,"6 Document No.")</t>
  </si>
  <si>
    <t>=NF($D3218,"6 Document No.")</t>
  </si>
  <si>
    <t>=NF($D3219,"6 Document No.")</t>
  </si>
  <si>
    <t>=NF($D3220,"6 Document No.")</t>
  </si>
  <si>
    <t>=NF($D3221,"6 Document No.")</t>
  </si>
  <si>
    <t>=NF($D3222,"6 Document No.")</t>
  </si>
  <si>
    <t>=NF($D3223,"6 Document No.")</t>
  </si>
  <si>
    <t>=NF($D3224,"6 Document No.")</t>
  </si>
  <si>
    <t>=NF($D3225,"6 Document No.")</t>
  </si>
  <si>
    <t>=NF($D3226,"6 Document No.")</t>
  </si>
  <si>
    <t>=NF($D3227,"6 Document No.")</t>
  </si>
  <si>
    <t>=NF($D3228,"6 Document No.")</t>
  </si>
  <si>
    <t>=NF($D3229,"6 Document No.")</t>
  </si>
  <si>
    <t>=NF($D3230,"6 Document No.")</t>
  </si>
  <si>
    <t>=NF($D3231,"6 Document No.")</t>
  </si>
  <si>
    <t>=NF($D3232,"6 Document No.")</t>
  </si>
  <si>
    <t>=NF($D3233,"6 Document No.")</t>
  </si>
  <si>
    <t>=NF($D3234,"6 Document No.")</t>
  </si>
  <si>
    <t>=NF($D3235,"6 Document No.")</t>
  </si>
  <si>
    <t>=NF($D3236,"6 Document No.")</t>
  </si>
  <si>
    <t>=NF($D3237,"6 Document No.")</t>
  </si>
  <si>
    <t>=NF($D3238,"6 Document No.")</t>
  </si>
  <si>
    <t>=NF($D3239,"6 Document No.")</t>
  </si>
  <si>
    <t>=NF($D3240,"6 Document No.")</t>
  </si>
  <si>
    <t>=NF($D3241,"6 Document No.")</t>
  </si>
  <si>
    <t>=NF($D3242,"6 Document No.")</t>
  </si>
  <si>
    <t>=NF($D3243,"6 Document No.")</t>
  </si>
  <si>
    <t>=NF($D3192,"37 Due Date")</t>
  </si>
  <si>
    <t>=NF($D3193,"37 Due Date")</t>
  </si>
  <si>
    <t>=NF($D3194,"37 Due Date")</t>
  </si>
  <si>
    <t>=NF($D3195,"37 Due Date")</t>
  </si>
  <si>
    <t>=NF($D3196,"37 Due Date")</t>
  </si>
  <si>
    <t>=NF($D3197,"37 Due Date")</t>
  </si>
  <si>
    <t>=NF($D3198,"37 Due Date")</t>
  </si>
  <si>
    <t>=NF($D3199,"37 Due Date")</t>
  </si>
  <si>
    <t>=NF($D3200,"37 Due Date")</t>
  </si>
  <si>
    <t>=NF($D3201,"37 Due Date")</t>
  </si>
  <si>
    <t>=NF($D3202,"37 Due Date")</t>
  </si>
  <si>
    <t>=NF($D3203,"37 Due Date")</t>
  </si>
  <si>
    <t>=NF($D3204,"37 Due Date")</t>
  </si>
  <si>
    <t>=NF($D3205,"37 Due Date")</t>
  </si>
  <si>
    <t>=NF($D3206,"37 Due Date")</t>
  </si>
  <si>
    <t>=NF($D3207,"37 Due Date")</t>
  </si>
  <si>
    <t>=NF($D3208,"37 Due Date")</t>
  </si>
  <si>
    <t>=NF($D3209,"37 Due Date")</t>
  </si>
  <si>
    <t>=NF($D3210,"37 Due Date")</t>
  </si>
  <si>
    <t>=NF($D3211,"37 Due Date")</t>
  </si>
  <si>
    <t>=NF($D3212,"37 Due Date")</t>
  </si>
  <si>
    <t>=NF($D3213,"37 Due Date")</t>
  </si>
  <si>
    <t>=NF($D3214,"37 Due Date")</t>
  </si>
  <si>
    <t>=NF($D3215,"37 Due Date")</t>
  </si>
  <si>
    <t>=NF($D3216,"37 Due Date")</t>
  </si>
  <si>
    <t>=NF($D3217,"37 Due Date")</t>
  </si>
  <si>
    <t>=NF($D3218,"37 Due Date")</t>
  </si>
  <si>
    <t>=NF($D3219,"37 Due Date")</t>
  </si>
  <si>
    <t>=NF($D3220,"37 Due Date")</t>
  </si>
  <si>
    <t>=NF($D3221,"37 Due Date")</t>
  </si>
  <si>
    <t>=NF($D3222,"37 Due Date")</t>
  </si>
  <si>
    <t>=NF($D3223,"37 Due Date")</t>
  </si>
  <si>
    <t>=NF($D3224,"37 Due Date")</t>
  </si>
  <si>
    <t>=NF($D3225,"37 Due Date")</t>
  </si>
  <si>
    <t>=NF($D3226,"37 Due Date")</t>
  </si>
  <si>
    <t>=NF($D3227,"37 Due Date")</t>
  </si>
  <si>
    <t>=NF($D3228,"37 Due Date")</t>
  </si>
  <si>
    <t>=NF($D3229,"37 Due Date")</t>
  </si>
  <si>
    <t>=NF($D3230,"37 Due Date")</t>
  </si>
  <si>
    <t>=NF($D3231,"37 Due Date")</t>
  </si>
  <si>
    <t>=NF($D3232,"37 Due Date")</t>
  </si>
  <si>
    <t>=NF($D3233,"37 Due Date")</t>
  </si>
  <si>
    <t>=NF($D3234,"37 Due Date")</t>
  </si>
  <si>
    <t>=NF($D3235,"37 Due Date")</t>
  </si>
  <si>
    <t>=NF($D3236,"37 Due Date")</t>
  </si>
  <si>
    <t>=NF($D3237,"37 Due Date")</t>
  </si>
  <si>
    <t>=NF($D3238,"37 Due Date")</t>
  </si>
  <si>
    <t>=NF($D3239,"37 Due Date")</t>
  </si>
  <si>
    <t>=NF($D3240,"37 Due Date")</t>
  </si>
  <si>
    <t>=NF($D3241,"37 Due Date")</t>
  </si>
  <si>
    <t>=NF($D3242,"37 Due Date")</t>
  </si>
  <si>
    <t>=NF($D3243,"37 Due Date")</t>
  </si>
  <si>
    <t>=NF($D3192,"16 Remaining Amt. (LCY)")</t>
  </si>
  <si>
    <t>=NF($D3193,"16 Remaining Amt. (LCY)")</t>
  </si>
  <si>
    <t>=NF($D3194,"16 Remaining Amt. (LCY)")</t>
  </si>
  <si>
    <t>=NF($D3195,"16 Remaining Amt. (LCY)")</t>
  </si>
  <si>
    <t>=NF($D3196,"16 Remaining Amt. (LCY)")</t>
  </si>
  <si>
    <t>=NF($D3197,"16 Remaining Amt. (LCY)")</t>
  </si>
  <si>
    <t>=NF($D3198,"16 Remaining Amt. (LCY)")</t>
  </si>
  <si>
    <t>=NF($D3199,"16 Remaining Amt. (LCY)")</t>
  </si>
  <si>
    <t>=NF($D3200,"16 Remaining Amt. (LCY)")</t>
  </si>
  <si>
    <t>=NF($D3201,"16 Remaining Amt. (LCY)")</t>
  </si>
  <si>
    <t>=NF($D3202,"16 Remaining Amt. (LCY)")</t>
  </si>
  <si>
    <t>=NF($D3203,"16 Remaining Amt. (LCY)")</t>
  </si>
  <si>
    <t>=NF($D3204,"16 Remaining Amt. (LCY)")</t>
  </si>
  <si>
    <t>=NF($D3205,"16 Remaining Amt. (LCY)")</t>
  </si>
  <si>
    <t>=NF($D3206,"16 Remaining Amt. (LCY)")</t>
  </si>
  <si>
    <t>=NF($D3207,"16 Remaining Amt. (LCY)")</t>
  </si>
  <si>
    <t>=NF($D3208,"16 Remaining Amt. (LCY)")</t>
  </si>
  <si>
    <t>=NF($D3209,"16 Remaining Amt. (LCY)")</t>
  </si>
  <si>
    <t>=NF($D3210,"16 Remaining Amt. (LCY)")</t>
  </si>
  <si>
    <t>=NF($D3211,"16 Remaining Amt. (LCY)")</t>
  </si>
  <si>
    <t>=NF($D3212,"16 Remaining Amt. (LCY)")</t>
  </si>
  <si>
    <t>=NF($D3213,"16 Remaining Amt. (LCY)")</t>
  </si>
  <si>
    <t>=NF($D3214,"16 Remaining Amt. (LCY)")</t>
  </si>
  <si>
    <t>=NF($D3215,"16 Remaining Amt. (LCY)")</t>
  </si>
  <si>
    <t>=NF($D3216,"16 Remaining Amt. (LCY)")</t>
  </si>
  <si>
    <t>=NF($D3217,"16 Remaining Amt. (LCY)")</t>
  </si>
  <si>
    <t>=NF($D3218,"16 Remaining Amt. (LCY)")</t>
  </si>
  <si>
    <t>=NF($D3219,"16 Remaining Amt. (LCY)")</t>
  </si>
  <si>
    <t>=NF($D3220,"16 Remaining Amt. (LCY)")</t>
  </si>
  <si>
    <t>=NF($D3221,"16 Remaining Amt. (LCY)")</t>
  </si>
  <si>
    <t>=NF($D3222,"16 Remaining Amt. (LCY)")</t>
  </si>
  <si>
    <t>=NF($D3223,"16 Remaining Amt. (LCY)")</t>
  </si>
  <si>
    <t>=NF($D3224,"16 Remaining Amt. (LCY)")</t>
  </si>
  <si>
    <t>=NF($D3225,"16 Remaining Amt. (LCY)")</t>
  </si>
  <si>
    <t>=NF($D3226,"16 Remaining Amt. (LCY)")</t>
  </si>
  <si>
    <t>=NF($D3227,"16 Remaining Amt. (LCY)")</t>
  </si>
  <si>
    <t>=NF($D3228,"16 Remaining Amt. (LCY)")</t>
  </si>
  <si>
    <t>=NF($D3229,"16 Remaining Amt. (LCY)")</t>
  </si>
  <si>
    <t>=NF($D3230,"16 Remaining Amt. (LCY)")</t>
  </si>
  <si>
    <t>=NF($D3231,"16 Remaining Amt. (LCY)")</t>
  </si>
  <si>
    <t>=NF($D3232,"16 Remaining Amt. (LCY)")</t>
  </si>
  <si>
    <t>=NF($D3233,"16 Remaining Amt. (LCY)")</t>
  </si>
  <si>
    <t>=NF($D3234,"16 Remaining Amt. (LCY)")</t>
  </si>
  <si>
    <t>=NF($D3235,"16 Remaining Amt. (LCY)")</t>
  </si>
  <si>
    <t>=NF($D3236,"16 Remaining Amt. (LCY)")</t>
  </si>
  <si>
    <t>=NF($D3237,"16 Remaining Amt. (LCY)")</t>
  </si>
  <si>
    <t>=NF($D3238,"16 Remaining Amt. (LCY)")</t>
  </si>
  <si>
    <t>=NF($D3239,"16 Remaining Amt. (LCY)")</t>
  </si>
  <si>
    <t>=NF($D3240,"16 Remaining Amt. (LCY)")</t>
  </si>
  <si>
    <t>=NF($D3241,"16 Remaining Amt. (LCY)")</t>
  </si>
  <si>
    <t>=NF($D3242,"16 Remaining Amt. (LCY)")</t>
  </si>
  <si>
    <t>=NF($D3243,"16 Remaining Amt. (LCY)")</t>
  </si>
  <si>
    <t>=NF($D3130,"5 Document Type")</t>
  </si>
  <si>
    <t>=NF($D3131,"5 Document Type")</t>
  </si>
  <si>
    <t>=NF($D3132,"5 Document Type")</t>
  </si>
  <si>
    <t>=NF($D3133,"5 Document Type")</t>
  </si>
  <si>
    <t>=NF($D3134,"5 Document Type")</t>
  </si>
  <si>
    <t>=NF($D3135,"5 Document Type")</t>
  </si>
  <si>
    <t>=NF($D3136,"5 Document Type")</t>
  </si>
  <si>
    <t>=NF($D3137,"5 Document Type")</t>
  </si>
  <si>
    <t>=NF($D3138,"5 Document Type")</t>
  </si>
  <si>
    <t>=NF($D3139,"5 Document Type")</t>
  </si>
  <si>
    <t>=NF($D3140,"5 Document Type")</t>
  </si>
  <si>
    <t>=NF($D3141,"5 Document Type")</t>
  </si>
  <si>
    <t>=NF($D3142,"5 Document Type")</t>
  </si>
  <si>
    <t>=NF($D3143,"5 Document Type")</t>
  </si>
  <si>
    <t>=NF($D3144,"5 Document Type")</t>
  </si>
  <si>
    <t>=NF($D3145,"5 Document Type")</t>
  </si>
  <si>
    <t>=NF($D3146,"5 Document Type")</t>
  </si>
  <si>
    <t>=NF($D3147,"5 Document Type")</t>
  </si>
  <si>
    <t>=NF($D3148,"5 Document Type")</t>
  </si>
  <si>
    <t>=NF($D3149,"5 Document Type")</t>
  </si>
  <si>
    <t>=NF($D3150,"5 Document Type")</t>
  </si>
  <si>
    <t>=NF($D3151,"5 Document Type")</t>
  </si>
  <si>
    <t>=NF($D3152,"5 Document Type")</t>
  </si>
  <si>
    <t>=NF($D3153,"5 Document Type")</t>
  </si>
  <si>
    <t>=NF($D3154,"5 Document Type")</t>
  </si>
  <si>
    <t>=NF($D3155,"5 Document Type")</t>
  </si>
  <si>
    <t>=NF($D3156,"5 Document Type")</t>
  </si>
  <si>
    <t>=NF($D3157,"5 Document Type")</t>
  </si>
  <si>
    <t>=NF($D3158,"5 Document Type")</t>
  </si>
  <si>
    <t>=NF($D3159,"5 Document Type")</t>
  </si>
  <si>
    <t>=NF($D3160,"5 Document Type")</t>
  </si>
  <si>
    <t>=NF($D3161,"5 Document Type")</t>
  </si>
  <si>
    <t>=NF($D3162,"5 Document Type")</t>
  </si>
  <si>
    <t>=NF($D3163,"5 Document Type")</t>
  </si>
  <si>
    <t>=NF($D3164,"5 Document Type")</t>
  </si>
  <si>
    <t>=NF($D3165,"5 Document Type")</t>
  </si>
  <si>
    <t>=NF($D3166,"5 Document Type")</t>
  </si>
  <si>
    <t>=NF($D3167,"5 Document Type")</t>
  </si>
  <si>
    <t>=NF($D3168,"5 Document Type")</t>
  </si>
  <si>
    <t>=NF($D3169,"5 Document Type")</t>
  </si>
  <si>
    <t>=NF($D3170,"5 Document Type")</t>
  </si>
  <si>
    <t>=NF($D3171,"5 Document Type")</t>
  </si>
  <si>
    <t>=NF($D3172,"5 Document Type")</t>
  </si>
  <si>
    <t>=NF($D3173,"5 Document Type")</t>
  </si>
  <si>
    <t>=NF($D3174,"5 Document Type")</t>
  </si>
  <si>
    <t>=NF($D3175,"5 Document Type")</t>
  </si>
  <si>
    <t>=NF($D3176,"5 Document Type")</t>
  </si>
  <si>
    <t>=NF($D3177,"5 Document Type")</t>
  </si>
  <si>
    <t>=NF($D3178,"5 Document Type")</t>
  </si>
  <si>
    <t>=NF($D3179,"5 Document Type")</t>
  </si>
  <si>
    <t>=NF($D3180,"5 Document Type")</t>
  </si>
  <si>
    <t>=NF($D3181,"5 Document Type")</t>
  </si>
  <si>
    <t>=NF($D3182,"5 Document Type")</t>
  </si>
  <si>
    <t>=NF($D3183,"5 Document Type")</t>
  </si>
  <si>
    <t>=NF($D3184,"5 Document Type")</t>
  </si>
  <si>
    <t>=NF($D3185,"5 Document Type")</t>
  </si>
  <si>
    <t>=NF($D3130,"6 Document No.")</t>
  </si>
  <si>
    <t>=NF($D3131,"6 Document No.")</t>
  </si>
  <si>
    <t>=NF($D3132,"6 Document No.")</t>
  </si>
  <si>
    <t>=NF($D3133,"6 Document No.")</t>
  </si>
  <si>
    <t>=NF($D3134,"6 Document No.")</t>
  </si>
  <si>
    <t>=NF($D3135,"6 Document No.")</t>
  </si>
  <si>
    <t>=NF($D3136,"6 Document No.")</t>
  </si>
  <si>
    <t>=NF($D3137,"6 Document No.")</t>
  </si>
  <si>
    <t>=NF($D3138,"6 Document No.")</t>
  </si>
  <si>
    <t>=NF($D3139,"6 Document No.")</t>
  </si>
  <si>
    <t>=NF($D3140,"6 Document No.")</t>
  </si>
  <si>
    <t>=NF($D3141,"6 Document No.")</t>
  </si>
  <si>
    <t>=NF($D3142,"6 Document No.")</t>
  </si>
  <si>
    <t>=NF($D3143,"6 Document No.")</t>
  </si>
  <si>
    <t>=NF($D3144,"6 Document No.")</t>
  </si>
  <si>
    <t>=NF($D3145,"6 Document No.")</t>
  </si>
  <si>
    <t>=NF($D3146,"6 Document No.")</t>
  </si>
  <si>
    <t>=NF($D3147,"6 Document No.")</t>
  </si>
  <si>
    <t>=NF($D3148,"6 Document No.")</t>
  </si>
  <si>
    <t>=NF($D3149,"6 Document No.")</t>
  </si>
  <si>
    <t>=NF($D3150,"6 Document No.")</t>
  </si>
  <si>
    <t>=NF($D3151,"6 Document No.")</t>
  </si>
  <si>
    <t>=NF($D3152,"6 Document No.")</t>
  </si>
  <si>
    <t>=NF($D3153,"6 Document No.")</t>
  </si>
  <si>
    <t>=NF($D3154,"6 Document No.")</t>
  </si>
  <si>
    <t>=NF($D3155,"6 Document No.")</t>
  </si>
  <si>
    <t>=NF($D3156,"6 Document No.")</t>
  </si>
  <si>
    <t>=NF($D3157,"6 Document No.")</t>
  </si>
  <si>
    <t>=NF($D3158,"6 Document No.")</t>
  </si>
  <si>
    <t>=NF($D3159,"6 Document No.")</t>
  </si>
  <si>
    <t>=NF($D3160,"6 Document No.")</t>
  </si>
  <si>
    <t>=NF($D3161,"6 Document No.")</t>
  </si>
  <si>
    <t>=NF($D3162,"6 Document No.")</t>
  </si>
  <si>
    <t>=NF($D3163,"6 Document No.")</t>
  </si>
  <si>
    <t>=NF($D3164,"6 Document No.")</t>
  </si>
  <si>
    <t>=NF($D3165,"6 Document No.")</t>
  </si>
  <si>
    <t>=NF($D3166,"6 Document No.")</t>
  </si>
  <si>
    <t>=NF($D3167,"6 Document No.")</t>
  </si>
  <si>
    <t>=NF($D3168,"6 Document No.")</t>
  </si>
  <si>
    <t>=NF($D3169,"6 Document No.")</t>
  </si>
  <si>
    <t>=NF($D3170,"6 Document No.")</t>
  </si>
  <si>
    <t>=NF($D3171,"6 Document No.")</t>
  </si>
  <si>
    <t>=NF($D3172,"6 Document No.")</t>
  </si>
  <si>
    <t>=NF($D3173,"6 Document No.")</t>
  </si>
  <si>
    <t>=NF($D3174,"6 Document No.")</t>
  </si>
  <si>
    <t>=NF($D3175,"6 Document No.")</t>
  </si>
  <si>
    <t>=NF($D3176,"6 Document No.")</t>
  </si>
  <si>
    <t>=NF($D3177,"6 Document No.")</t>
  </si>
  <si>
    <t>=NF($D3178,"6 Document No.")</t>
  </si>
  <si>
    <t>=NF($D3179,"6 Document No.")</t>
  </si>
  <si>
    <t>=NF($D3180,"6 Document No.")</t>
  </si>
  <si>
    <t>=NF($D3181,"6 Document No.")</t>
  </si>
  <si>
    <t>=NF($D3182,"6 Document No.")</t>
  </si>
  <si>
    <t>=NF($D3183,"6 Document No.")</t>
  </si>
  <si>
    <t>=NF($D3184,"6 Document No.")</t>
  </si>
  <si>
    <t>=NF($D3185,"6 Document No.")</t>
  </si>
  <si>
    <t>=NF($D3130,"37 Due Date")</t>
  </si>
  <si>
    <t>=NF($D3131,"37 Due Date")</t>
  </si>
  <si>
    <t>=NF($D3132,"37 Due Date")</t>
  </si>
  <si>
    <t>=NF($D3133,"37 Due Date")</t>
  </si>
  <si>
    <t>=NF($D3134,"37 Due Date")</t>
  </si>
  <si>
    <t>=NF($D3135,"37 Due Date")</t>
  </si>
  <si>
    <t>=NF($D3136,"37 Due Date")</t>
  </si>
  <si>
    <t>=NF($D3137,"37 Due Date")</t>
  </si>
  <si>
    <t>=NF($D3138,"37 Due Date")</t>
  </si>
  <si>
    <t>=NF($D3139,"37 Due Date")</t>
  </si>
  <si>
    <t>=NF($D3140,"37 Due Date")</t>
  </si>
  <si>
    <t>=NF($D3141,"37 Due Date")</t>
  </si>
  <si>
    <t>=NF($D3142,"37 Due Date")</t>
  </si>
  <si>
    <t>=NF($D3143,"37 Due Date")</t>
  </si>
  <si>
    <t>=NF($D3144,"37 Due Date")</t>
  </si>
  <si>
    <t>=NF($D3145,"37 Due Date")</t>
  </si>
  <si>
    <t>=NF($D3146,"37 Due Date")</t>
  </si>
  <si>
    <t>=NF($D3147,"37 Due Date")</t>
  </si>
  <si>
    <t>=NF($D3148,"37 Due Date")</t>
  </si>
  <si>
    <t>=NF($D3149,"37 Due Date")</t>
  </si>
  <si>
    <t>=NF($D3150,"37 Due Date")</t>
  </si>
  <si>
    <t>=NF($D3151,"37 Due Date")</t>
  </si>
  <si>
    <t>=NF($D3152,"37 Due Date")</t>
  </si>
  <si>
    <t>=NF($D3153,"37 Due Date")</t>
  </si>
  <si>
    <t>=NF($D3154,"37 Due Date")</t>
  </si>
  <si>
    <t>=NF($D3155,"37 Due Date")</t>
  </si>
  <si>
    <t>=NF($D3156,"37 Due Date")</t>
  </si>
  <si>
    <t>=NF($D3157,"37 Due Date")</t>
  </si>
  <si>
    <t>=NF($D3158,"37 Due Date")</t>
  </si>
  <si>
    <t>=NF($D3159,"37 Due Date")</t>
  </si>
  <si>
    <t>=NF($D3160,"37 Due Date")</t>
  </si>
  <si>
    <t>=NF($D3161,"37 Due Date")</t>
  </si>
  <si>
    <t>=NF($D3162,"37 Due Date")</t>
  </si>
  <si>
    <t>=NF($D3163,"37 Due Date")</t>
  </si>
  <si>
    <t>=NF($D3164,"37 Due Date")</t>
  </si>
  <si>
    <t>=NF($D3165,"37 Due Date")</t>
  </si>
  <si>
    <t>=NF($D3166,"37 Due Date")</t>
  </si>
  <si>
    <t>=NF($D3167,"37 Due Date")</t>
  </si>
  <si>
    <t>=NF($D3168,"37 Due Date")</t>
  </si>
  <si>
    <t>=NF($D3169,"37 Due Date")</t>
  </si>
  <si>
    <t>=NF($D3170,"37 Due Date")</t>
  </si>
  <si>
    <t>=NF($D3171,"37 Due Date")</t>
  </si>
  <si>
    <t>=NF($D3172,"37 Due Date")</t>
  </si>
  <si>
    <t>=NF($D3173,"37 Due Date")</t>
  </si>
  <si>
    <t>=NF($D3174,"37 Due Date")</t>
  </si>
  <si>
    <t>=NF($D3175,"37 Due Date")</t>
  </si>
  <si>
    <t>=NF($D3176,"37 Due Date")</t>
  </si>
  <si>
    <t>=NF($D3177,"37 Due Date")</t>
  </si>
  <si>
    <t>=NF($D3178,"37 Due Date")</t>
  </si>
  <si>
    <t>=NF($D3179,"37 Due Date")</t>
  </si>
  <si>
    <t>=NF($D3180,"37 Due Date")</t>
  </si>
  <si>
    <t>=NF($D3181,"37 Due Date")</t>
  </si>
  <si>
    <t>=NF($D3182,"37 Due Date")</t>
  </si>
  <si>
    <t>=NF($D3183,"37 Due Date")</t>
  </si>
  <si>
    <t>=NF($D3184,"37 Due Date")</t>
  </si>
  <si>
    <t>=NF($D3185,"37 Due Date")</t>
  </si>
  <si>
    <t>=NF($D3130,"16 Remaining Amt. (LCY)")</t>
  </si>
  <si>
    <t>=NF($D3131,"16 Remaining Amt. (LCY)")</t>
  </si>
  <si>
    <t>=NF($D3132,"16 Remaining Amt. (LCY)")</t>
  </si>
  <si>
    <t>=NF($D3133,"16 Remaining Amt. (LCY)")</t>
  </si>
  <si>
    <t>=NF($D3134,"16 Remaining Amt. (LCY)")</t>
  </si>
  <si>
    <t>=NF($D3135,"16 Remaining Amt. (LCY)")</t>
  </si>
  <si>
    <t>=NF($D3136,"16 Remaining Amt. (LCY)")</t>
  </si>
  <si>
    <t>=NF($D3137,"16 Remaining Amt. (LCY)")</t>
  </si>
  <si>
    <t>=NF($D3138,"16 Remaining Amt. (LCY)")</t>
  </si>
  <si>
    <t>=NF($D3139,"16 Remaining Amt. (LCY)")</t>
  </si>
  <si>
    <t>=NF($D3140,"16 Remaining Amt. (LCY)")</t>
  </si>
  <si>
    <t>=NF($D3141,"16 Remaining Amt. (LCY)")</t>
  </si>
  <si>
    <t>=NF($D3142,"16 Remaining Amt. (LCY)")</t>
  </si>
  <si>
    <t>=NF($D3143,"16 Remaining Amt. (LCY)")</t>
  </si>
  <si>
    <t>=NF($D3144,"16 Remaining Amt. (LCY)")</t>
  </si>
  <si>
    <t>=NF($D3145,"16 Remaining Amt. (LCY)")</t>
  </si>
  <si>
    <t>=NF($D3146,"16 Remaining Amt. (LCY)")</t>
  </si>
  <si>
    <t>=NF($D3147,"16 Remaining Amt. (LCY)")</t>
  </si>
  <si>
    <t>=NF($D3148,"16 Remaining Amt. (LCY)")</t>
  </si>
  <si>
    <t>=NF($D3149,"16 Remaining Amt. (LCY)")</t>
  </si>
  <si>
    <t>=NF($D3150,"16 Remaining Amt. (LCY)")</t>
  </si>
  <si>
    <t>=NF($D3151,"16 Remaining Amt. (LCY)")</t>
  </si>
  <si>
    <t>=NF($D3152,"16 Remaining Amt. (LCY)")</t>
  </si>
  <si>
    <t>=NF($D3153,"16 Remaining Amt. (LCY)")</t>
  </si>
  <si>
    <t>=NF($D3154,"16 Remaining Amt. (LCY)")</t>
  </si>
  <si>
    <t>=NF($D3155,"16 Remaining Amt. (LCY)")</t>
  </si>
  <si>
    <t>=NF($D3156,"16 Remaining Amt. (LCY)")</t>
  </si>
  <si>
    <t>=NF($D3157,"16 Remaining Amt. (LCY)")</t>
  </si>
  <si>
    <t>=NF($D3158,"16 Remaining Amt. (LCY)")</t>
  </si>
  <si>
    <t>=NF($D3159,"16 Remaining Amt. (LCY)")</t>
  </si>
  <si>
    <t>=NF($D3160,"16 Remaining Amt. (LCY)")</t>
  </si>
  <si>
    <t>=NF($D3161,"16 Remaining Amt. (LCY)")</t>
  </si>
  <si>
    <t>=NF($D3162,"16 Remaining Amt. (LCY)")</t>
  </si>
  <si>
    <t>=NF($D3163,"16 Remaining Amt. (LCY)")</t>
  </si>
  <si>
    <t>=NF($D3164,"16 Remaining Amt. (LCY)")</t>
  </si>
  <si>
    <t>=NF($D3165,"16 Remaining Amt. (LCY)")</t>
  </si>
  <si>
    <t>=NF($D3166,"16 Remaining Amt. (LCY)")</t>
  </si>
  <si>
    <t>=NF($D3167,"16 Remaining Amt. (LCY)")</t>
  </si>
  <si>
    <t>=NF($D3168,"16 Remaining Amt. (LCY)")</t>
  </si>
  <si>
    <t>=NF($D3169,"16 Remaining Amt. (LCY)")</t>
  </si>
  <si>
    <t>=NF($D3170,"16 Remaining Amt. (LCY)")</t>
  </si>
  <si>
    <t>=NF($D3171,"16 Remaining Amt. (LCY)")</t>
  </si>
  <si>
    <t>=NF($D3172,"16 Remaining Amt. (LCY)")</t>
  </si>
  <si>
    <t>=NF($D3173,"16 Remaining Amt. (LCY)")</t>
  </si>
  <si>
    <t>=NF($D3174,"16 Remaining Amt. (LCY)")</t>
  </si>
  <si>
    <t>=NF($D3175,"16 Remaining Amt. (LCY)")</t>
  </si>
  <si>
    <t>=NF($D3176,"16 Remaining Amt. (LCY)")</t>
  </si>
  <si>
    <t>=NF($D3177,"16 Remaining Amt. (LCY)")</t>
  </si>
  <si>
    <t>=NF($D3178,"16 Remaining Amt. (LCY)")</t>
  </si>
  <si>
    <t>=NF($D3179,"16 Remaining Amt. (LCY)")</t>
  </si>
  <si>
    <t>=NF($D3180,"16 Remaining Amt. (LCY)")</t>
  </si>
  <si>
    <t>=NF($D3181,"16 Remaining Amt. (LCY)")</t>
  </si>
  <si>
    <t>=NF($D3182,"16 Remaining Amt. (LCY)")</t>
  </si>
  <si>
    <t>=NF($D3183,"16 Remaining Amt. (LCY)")</t>
  </si>
  <si>
    <t>=NF($D3184,"16 Remaining Amt. (LCY)")</t>
  </si>
  <si>
    <t>=NF($D3185,"16 Remaining Amt. (LCY)")</t>
  </si>
  <si>
    <t>=NF($D3085,"5 Document Type")</t>
  </si>
  <si>
    <t>=NF($D3086,"5 Document Type")</t>
  </si>
  <si>
    <t>=NF($D3087,"5 Document Type")</t>
  </si>
  <si>
    <t>=NF($D3088,"5 Document Type")</t>
  </si>
  <si>
    <t>=NF($D3089,"5 Document Type")</t>
  </si>
  <si>
    <t>=NF($D3090,"5 Document Type")</t>
  </si>
  <si>
    <t>=NF($D3091,"5 Document Type")</t>
  </si>
  <si>
    <t>=NF($D3092,"5 Document Type")</t>
  </si>
  <si>
    <t>=NF($D3093,"5 Document Type")</t>
  </si>
  <si>
    <t>=NF($D3094,"5 Document Type")</t>
  </si>
  <si>
    <t>=NF($D3095,"5 Document Type")</t>
  </si>
  <si>
    <t>=NF($D3096,"5 Document Type")</t>
  </si>
  <si>
    <t>=NF($D3097,"5 Document Type")</t>
  </si>
  <si>
    <t>=NF($D3098,"5 Document Type")</t>
  </si>
  <si>
    <t>=NF($D3099,"5 Document Type")</t>
  </si>
  <si>
    <t>=NF($D3100,"5 Document Type")</t>
  </si>
  <si>
    <t>=NF($D3101,"5 Document Type")</t>
  </si>
  <si>
    <t>=NF($D3102,"5 Document Type")</t>
  </si>
  <si>
    <t>=NF($D3103,"5 Document Type")</t>
  </si>
  <si>
    <t>=NF($D3104,"5 Document Type")</t>
  </si>
  <si>
    <t>=NF($D3105,"5 Document Type")</t>
  </si>
  <si>
    <t>=NF($D3106,"5 Document Type")</t>
  </si>
  <si>
    <t>=NF($D3107,"5 Document Type")</t>
  </si>
  <si>
    <t>=NF($D3108,"5 Document Type")</t>
  </si>
  <si>
    <t>=NF($D3109,"5 Document Type")</t>
  </si>
  <si>
    <t>=NF($D3110,"5 Document Type")</t>
  </si>
  <si>
    <t>=NF($D3111,"5 Document Type")</t>
  </si>
  <si>
    <t>=NF($D3112,"5 Document Type")</t>
  </si>
  <si>
    <t>=NF($D3113,"5 Document Type")</t>
  </si>
  <si>
    <t>=NF($D3114,"5 Document Type")</t>
  </si>
  <si>
    <t>=NF($D3115,"5 Document Type")</t>
  </si>
  <si>
    <t>=NF($D3116,"5 Document Type")</t>
  </si>
  <si>
    <t>=NF($D3117,"5 Document Type")</t>
  </si>
  <si>
    <t>=NF($D3118,"5 Document Type")</t>
  </si>
  <si>
    <t>=NF($D3119,"5 Document Type")</t>
  </si>
  <si>
    <t>=NF($D3120,"5 Document Type")</t>
  </si>
  <si>
    <t>=NF($D3121,"5 Document Type")</t>
  </si>
  <si>
    <t>=NF($D3122,"5 Document Type")</t>
  </si>
  <si>
    <t>=NF($D3123,"5 Document Type")</t>
  </si>
  <si>
    <t>=NF($D3085,"6 Document No.")</t>
  </si>
  <si>
    <t>=NF($D3086,"6 Document No.")</t>
  </si>
  <si>
    <t>=NF($D3087,"6 Document No.")</t>
  </si>
  <si>
    <t>=NF($D3088,"6 Document No.")</t>
  </si>
  <si>
    <t>=NF($D3089,"6 Document No.")</t>
  </si>
  <si>
    <t>=NF($D3090,"6 Document No.")</t>
  </si>
  <si>
    <t>=NF($D3091,"6 Document No.")</t>
  </si>
  <si>
    <t>=NF($D3092,"6 Document No.")</t>
  </si>
  <si>
    <t>=NF($D3093,"6 Document No.")</t>
  </si>
  <si>
    <t>=NF($D3094,"6 Document No.")</t>
  </si>
  <si>
    <t>=NF($D3095,"6 Document No.")</t>
  </si>
  <si>
    <t>=NF($D3096,"6 Document No.")</t>
  </si>
  <si>
    <t>=NF($D3097,"6 Document No.")</t>
  </si>
  <si>
    <t>=NF($D3098,"6 Document No.")</t>
  </si>
  <si>
    <t>=NF($D3099,"6 Document No.")</t>
  </si>
  <si>
    <t>=NF($D3100,"6 Document No.")</t>
  </si>
  <si>
    <t>=NF($D3101,"6 Document No.")</t>
  </si>
  <si>
    <t>=NF($D3102,"6 Document No.")</t>
  </si>
  <si>
    <t>=NF($D3103,"6 Document No.")</t>
  </si>
  <si>
    <t>=NF($D3104,"6 Document No.")</t>
  </si>
  <si>
    <t>=NF($D3105,"6 Document No.")</t>
  </si>
  <si>
    <t>=NF($D3106,"6 Document No.")</t>
  </si>
  <si>
    <t>=NF($D3107,"6 Document No.")</t>
  </si>
  <si>
    <t>=NF($D3108,"6 Document No.")</t>
  </si>
  <si>
    <t>=NF($D3109,"6 Document No.")</t>
  </si>
  <si>
    <t>=NF($D3110,"6 Document No.")</t>
  </si>
  <si>
    <t>=NF($D3111,"6 Document No.")</t>
  </si>
  <si>
    <t>=NF($D3112,"6 Document No.")</t>
  </si>
  <si>
    <t>=NF($D3113,"6 Document No.")</t>
  </si>
  <si>
    <t>=NF($D3114,"6 Document No.")</t>
  </si>
  <si>
    <t>=NF($D3115,"6 Document No.")</t>
  </si>
  <si>
    <t>=NF($D3116,"6 Document No.")</t>
  </si>
  <si>
    <t>=NF($D3117,"6 Document No.")</t>
  </si>
  <si>
    <t>=NF($D3118,"6 Document No.")</t>
  </si>
  <si>
    <t>=NF($D3119,"6 Document No.")</t>
  </si>
  <si>
    <t>=NF($D3120,"6 Document No.")</t>
  </si>
  <si>
    <t>=NF($D3121,"6 Document No.")</t>
  </si>
  <si>
    <t>=NF($D3122,"6 Document No.")</t>
  </si>
  <si>
    <t>=NF($D3123,"6 Document No.")</t>
  </si>
  <si>
    <t>=NF($D3085,"37 Due Date")</t>
  </si>
  <si>
    <t>=NF($D3086,"37 Due Date")</t>
  </si>
  <si>
    <t>=NF($D3087,"37 Due Date")</t>
  </si>
  <si>
    <t>=NF($D3088,"37 Due Date")</t>
  </si>
  <si>
    <t>=NF($D3089,"37 Due Date")</t>
  </si>
  <si>
    <t>=NF($D3090,"37 Due Date")</t>
  </si>
  <si>
    <t>=NF($D3091,"37 Due Date")</t>
  </si>
  <si>
    <t>=NF($D3092,"37 Due Date")</t>
  </si>
  <si>
    <t>=NF($D3093,"37 Due Date")</t>
  </si>
  <si>
    <t>=NF($D3094,"37 Due Date")</t>
  </si>
  <si>
    <t>=NF($D3095,"37 Due Date")</t>
  </si>
  <si>
    <t>=NF($D3096,"37 Due Date")</t>
  </si>
  <si>
    <t>=NF($D3097,"37 Due Date")</t>
  </si>
  <si>
    <t>=NF($D3098,"37 Due Date")</t>
  </si>
  <si>
    <t>=NF($D3099,"37 Due Date")</t>
  </si>
  <si>
    <t>=NF($D3100,"37 Due Date")</t>
  </si>
  <si>
    <t>=NF($D3101,"37 Due Date")</t>
  </si>
  <si>
    <t>=NF($D3102,"37 Due Date")</t>
  </si>
  <si>
    <t>=NF($D3103,"37 Due Date")</t>
  </si>
  <si>
    <t>=NF($D3104,"37 Due Date")</t>
  </si>
  <si>
    <t>=NF($D3105,"37 Due Date")</t>
  </si>
  <si>
    <t>=NF($D3106,"37 Due Date")</t>
  </si>
  <si>
    <t>=NF($D3107,"37 Due Date")</t>
  </si>
  <si>
    <t>=NF($D3108,"37 Due Date")</t>
  </si>
  <si>
    <t>=NF($D3109,"37 Due Date")</t>
  </si>
  <si>
    <t>=NF($D3110,"37 Due Date")</t>
  </si>
  <si>
    <t>=NF($D3111,"37 Due Date")</t>
  </si>
  <si>
    <t>=NF($D3112,"37 Due Date")</t>
  </si>
  <si>
    <t>=NF($D3113,"37 Due Date")</t>
  </si>
  <si>
    <t>=NF($D3114,"37 Due Date")</t>
  </si>
  <si>
    <t>=NF($D3115,"37 Due Date")</t>
  </si>
  <si>
    <t>=NF($D3116,"37 Due Date")</t>
  </si>
  <si>
    <t>=NF($D3117,"37 Due Date")</t>
  </si>
  <si>
    <t>=NF($D3118,"37 Due Date")</t>
  </si>
  <si>
    <t>=NF($D3119,"37 Due Date")</t>
  </si>
  <si>
    <t>=NF($D3120,"37 Due Date")</t>
  </si>
  <si>
    <t>=NF($D3121,"37 Due Date")</t>
  </si>
  <si>
    <t>=NF($D3122,"37 Due Date")</t>
  </si>
  <si>
    <t>=NF($D3123,"37 Due Date")</t>
  </si>
  <si>
    <t>=NF($D3085,"16 Remaining Amt. (LCY)")</t>
  </si>
  <si>
    <t>=NF($D3086,"16 Remaining Amt. (LCY)")</t>
  </si>
  <si>
    <t>=NF($D3087,"16 Remaining Amt. (LCY)")</t>
  </si>
  <si>
    <t>=NF($D3088,"16 Remaining Amt. (LCY)")</t>
  </si>
  <si>
    <t>=NF($D3089,"16 Remaining Amt. (LCY)")</t>
  </si>
  <si>
    <t>=NF($D3090,"16 Remaining Amt. (LCY)")</t>
  </si>
  <si>
    <t>=NF($D3091,"16 Remaining Amt. (LCY)")</t>
  </si>
  <si>
    <t>=NF($D3092,"16 Remaining Amt. (LCY)")</t>
  </si>
  <si>
    <t>=NF($D3093,"16 Remaining Amt. (LCY)")</t>
  </si>
  <si>
    <t>=NF($D3094,"16 Remaining Amt. (LCY)")</t>
  </si>
  <si>
    <t>=NF($D3095,"16 Remaining Amt. (LCY)")</t>
  </si>
  <si>
    <t>=NF($D3096,"16 Remaining Amt. (LCY)")</t>
  </si>
  <si>
    <t>=NF($D3097,"16 Remaining Amt. (LCY)")</t>
  </si>
  <si>
    <t>=NF($D3098,"16 Remaining Amt. (LCY)")</t>
  </si>
  <si>
    <t>=NF($D3099,"16 Remaining Amt. (LCY)")</t>
  </si>
  <si>
    <t>=NF($D3100,"16 Remaining Amt. (LCY)")</t>
  </si>
  <si>
    <t>=NF($D3101,"16 Remaining Amt. (LCY)")</t>
  </si>
  <si>
    <t>=NF($D3102,"16 Remaining Amt. (LCY)")</t>
  </si>
  <si>
    <t>=NF($D3103,"16 Remaining Amt. (LCY)")</t>
  </si>
  <si>
    <t>=NF($D3104,"16 Remaining Amt. (LCY)")</t>
  </si>
  <si>
    <t>=NF($D3105,"16 Remaining Amt. (LCY)")</t>
  </si>
  <si>
    <t>=NF($D3106,"16 Remaining Amt. (LCY)")</t>
  </si>
  <si>
    <t>=NF($D3107,"16 Remaining Amt. (LCY)")</t>
  </si>
  <si>
    <t>=NF($D3108,"16 Remaining Amt. (LCY)")</t>
  </si>
  <si>
    <t>=NF($D3109,"16 Remaining Amt. (LCY)")</t>
  </si>
  <si>
    <t>=NF($D3110,"16 Remaining Amt. (LCY)")</t>
  </si>
  <si>
    <t>=NF($D3111,"16 Remaining Amt. (LCY)")</t>
  </si>
  <si>
    <t>=NF($D3112,"16 Remaining Amt. (LCY)")</t>
  </si>
  <si>
    <t>=NF($D3113,"16 Remaining Amt. (LCY)")</t>
  </si>
  <si>
    <t>=NF($D3114,"16 Remaining Amt. (LCY)")</t>
  </si>
  <si>
    <t>=NF($D3115,"16 Remaining Amt. (LCY)")</t>
  </si>
  <si>
    <t>=NF($D3116,"16 Remaining Amt. (LCY)")</t>
  </si>
  <si>
    <t>=NF($D3117,"16 Remaining Amt. (LCY)")</t>
  </si>
  <si>
    <t>=NF($D3118,"16 Remaining Amt. (LCY)")</t>
  </si>
  <si>
    <t>=NF($D3119,"16 Remaining Amt. (LCY)")</t>
  </si>
  <si>
    <t>=NF($D3120,"16 Remaining Amt. (LCY)")</t>
  </si>
  <si>
    <t>=NF($D3121,"16 Remaining Amt. (LCY)")</t>
  </si>
  <si>
    <t>=NF($D3122,"16 Remaining Amt. (LCY)")</t>
  </si>
  <si>
    <t>=NF($D3123,"16 Remaining Amt. (LCY)")</t>
  </si>
  <si>
    <t>=NF($D3023,"5 Document Type")</t>
  </si>
  <si>
    <t>=NF($D3024,"5 Document Type")</t>
  </si>
  <si>
    <t>=NF($D3025,"5 Document Type")</t>
  </si>
  <si>
    <t>=NF($D3026,"5 Document Type")</t>
  </si>
  <si>
    <t>=NF($D3027,"5 Document Type")</t>
  </si>
  <si>
    <t>=NF($D3028,"5 Document Type")</t>
  </si>
  <si>
    <t>=NF($D3029,"5 Document Type")</t>
  </si>
  <si>
    <t>=NF($D3030,"5 Document Type")</t>
  </si>
  <si>
    <t>=NF($D3031,"5 Document Type")</t>
  </si>
  <si>
    <t>=NF($D3032,"5 Document Type")</t>
  </si>
  <si>
    <t>=NF($D3033,"5 Document Type")</t>
  </si>
  <si>
    <t>=NF($D3034,"5 Document Type")</t>
  </si>
  <si>
    <t>=NF($D3035,"5 Document Type")</t>
  </si>
  <si>
    <t>=NF($D3036,"5 Document Type")</t>
  </si>
  <si>
    <t>=NF($D3037,"5 Document Type")</t>
  </si>
  <si>
    <t>=NF($D3038,"5 Document Type")</t>
  </si>
  <si>
    <t>=NF($D3039,"5 Document Type")</t>
  </si>
  <si>
    <t>=NF($D3040,"5 Document Type")</t>
  </si>
  <si>
    <t>=NF($D3041,"5 Document Type")</t>
  </si>
  <si>
    <t>=NF($D3042,"5 Document Type")</t>
  </si>
  <si>
    <t>=NF($D3043,"5 Document Type")</t>
  </si>
  <si>
    <t>=NF($D3044,"5 Document Type")</t>
  </si>
  <si>
    <t>=NF($D3045,"5 Document Type")</t>
  </si>
  <si>
    <t>=NF($D3046,"5 Document Type")</t>
  </si>
  <si>
    <t>=NF($D3047,"5 Document Type")</t>
  </si>
  <si>
    <t>=NF($D3048,"5 Document Type")</t>
  </si>
  <si>
    <t>=NF($D3049,"5 Document Type")</t>
  </si>
  <si>
    <t>=NF($D3050,"5 Document Type")</t>
  </si>
  <si>
    <t>=NF($D3051,"5 Document Type")</t>
  </si>
  <si>
    <t>=NF($D3052,"5 Document Type")</t>
  </si>
  <si>
    <t>=NF($D3053,"5 Document Type")</t>
  </si>
  <si>
    <t>=NF($D3054,"5 Document Type")</t>
  </si>
  <si>
    <t>=NF($D3055,"5 Document Type")</t>
  </si>
  <si>
    <t>=NF($D3056,"5 Document Type")</t>
  </si>
  <si>
    <t>=NF($D3057,"5 Document Type")</t>
  </si>
  <si>
    <t>=NF($D3058,"5 Document Type")</t>
  </si>
  <si>
    <t>=NF($D3059,"5 Document Type")</t>
  </si>
  <si>
    <t>=NF($D3060,"5 Document Type")</t>
  </si>
  <si>
    <t>=NF($D3061,"5 Document Type")</t>
  </si>
  <si>
    <t>=NF($D3062,"5 Document Type")</t>
  </si>
  <si>
    <t>=NF($D3063,"5 Document Type")</t>
  </si>
  <si>
    <t>=NF($D3064,"5 Document Type")</t>
  </si>
  <si>
    <t>=NF($D3065,"5 Document Type")</t>
  </si>
  <si>
    <t>=NF($D3066,"5 Document Type")</t>
  </si>
  <si>
    <t>=NF($D3067,"5 Document Type")</t>
  </si>
  <si>
    <t>=NF($D3068,"5 Document Type")</t>
  </si>
  <si>
    <t>=NF($D3069,"5 Document Type")</t>
  </si>
  <si>
    <t>=NF($D3070,"5 Document Type")</t>
  </si>
  <si>
    <t>=NF($D3071,"5 Document Type")</t>
  </si>
  <si>
    <t>=NF($D3072,"5 Document Type")</t>
  </si>
  <si>
    <t>=NF($D3073,"5 Document Type")</t>
  </si>
  <si>
    <t>=NF($D3074,"5 Document Type")</t>
  </si>
  <si>
    <t>=NF($D3075,"5 Document Type")</t>
  </si>
  <si>
    <t>=NF($D3076,"5 Document Type")</t>
  </si>
  <si>
    <t>=NF($D3077,"5 Document Type")</t>
  </si>
  <si>
    <t>=NF($D3078,"5 Document Type")</t>
  </si>
  <si>
    <t>=NF($D3023,"6 Document No.")</t>
  </si>
  <si>
    <t>=NF($D3024,"6 Document No.")</t>
  </si>
  <si>
    <t>=NF($D3025,"6 Document No.")</t>
  </si>
  <si>
    <t>=NF($D3026,"6 Document No.")</t>
  </si>
  <si>
    <t>=NF($D3027,"6 Document No.")</t>
  </si>
  <si>
    <t>=NF($D3028,"6 Document No.")</t>
  </si>
  <si>
    <t>=NF($D3029,"6 Document No.")</t>
  </si>
  <si>
    <t>=NF($D3030,"6 Document No.")</t>
  </si>
  <si>
    <t>=NF($D3031,"6 Document No.")</t>
  </si>
  <si>
    <t>=NF($D3032,"6 Document No.")</t>
  </si>
  <si>
    <t>=NF($D3033,"6 Document No.")</t>
  </si>
  <si>
    <t>=NF($D3034,"6 Document No.")</t>
  </si>
  <si>
    <t>=NF($D3035,"6 Document No.")</t>
  </si>
  <si>
    <t>=NF($D3036,"6 Document No.")</t>
  </si>
  <si>
    <t>=NF($D3037,"6 Document No.")</t>
  </si>
  <si>
    <t>=NF($D3038,"6 Document No.")</t>
  </si>
  <si>
    <t>=NF($D3039,"6 Document No.")</t>
  </si>
  <si>
    <t>=NF($D3040,"6 Document No.")</t>
  </si>
  <si>
    <t>=NF($D3041,"6 Document No.")</t>
  </si>
  <si>
    <t>=NF($D3042,"6 Document No.")</t>
  </si>
  <si>
    <t>=NF($D3043,"6 Document No.")</t>
  </si>
  <si>
    <t>=NF($D3044,"6 Document No.")</t>
  </si>
  <si>
    <t>=NF($D3045,"6 Document No.")</t>
  </si>
  <si>
    <t>=NF($D3046,"6 Document No.")</t>
  </si>
  <si>
    <t>=NF($D3047,"6 Document No.")</t>
  </si>
  <si>
    <t>=NF($D3048,"6 Document No.")</t>
  </si>
  <si>
    <t>=NF($D3049,"6 Document No.")</t>
  </si>
  <si>
    <t>=NF($D3050,"6 Document No.")</t>
  </si>
  <si>
    <t>=NF($D3051,"6 Document No.")</t>
  </si>
  <si>
    <t>=NF($D3052,"6 Document No.")</t>
  </si>
  <si>
    <t>=NF($D3053,"6 Document No.")</t>
  </si>
  <si>
    <t>=NF($D3054,"6 Document No.")</t>
  </si>
  <si>
    <t>=NF($D3055,"6 Document No.")</t>
  </si>
  <si>
    <t>=NF($D3056,"6 Document No.")</t>
  </si>
  <si>
    <t>=NF($D3057,"6 Document No.")</t>
  </si>
  <si>
    <t>=NF($D3058,"6 Document No.")</t>
  </si>
  <si>
    <t>=NF($D3059,"6 Document No.")</t>
  </si>
  <si>
    <t>=NF($D3060,"6 Document No.")</t>
  </si>
  <si>
    <t>=NF($D3061,"6 Document No.")</t>
  </si>
  <si>
    <t>=NF($D3062,"6 Document No.")</t>
  </si>
  <si>
    <t>=NF($D3063,"6 Document No.")</t>
  </si>
  <si>
    <t>=NF($D3064,"6 Document No.")</t>
  </si>
  <si>
    <t>=NF($D3065,"6 Document No.")</t>
  </si>
  <si>
    <t>=NF($D3066,"6 Document No.")</t>
  </si>
  <si>
    <t>=NF($D3067,"6 Document No.")</t>
  </si>
  <si>
    <t>=NF($D3068,"6 Document No.")</t>
  </si>
  <si>
    <t>=NF($D3069,"6 Document No.")</t>
  </si>
  <si>
    <t>=NF($D3070,"6 Document No.")</t>
  </si>
  <si>
    <t>=NF($D3071,"6 Document No.")</t>
  </si>
  <si>
    <t>=NF($D3072,"6 Document No.")</t>
  </si>
  <si>
    <t>=NF($D3073,"6 Document No.")</t>
  </si>
  <si>
    <t>=NF($D3074,"6 Document No.")</t>
  </si>
  <si>
    <t>=NF($D3075,"6 Document No.")</t>
  </si>
  <si>
    <t>=NF($D3076,"6 Document No.")</t>
  </si>
  <si>
    <t>=NF($D3077,"6 Document No.")</t>
  </si>
  <si>
    <t>=NF($D3078,"6 Document No.")</t>
  </si>
  <si>
    <t>=NF($D3023,"37 Due Date")</t>
  </si>
  <si>
    <t>=NF($D3024,"37 Due Date")</t>
  </si>
  <si>
    <t>=NF($D3025,"37 Due Date")</t>
  </si>
  <si>
    <t>=NF($D3026,"37 Due Date")</t>
  </si>
  <si>
    <t>=NF($D3027,"37 Due Date")</t>
  </si>
  <si>
    <t>=NF($D3028,"37 Due Date")</t>
  </si>
  <si>
    <t>=NF($D3029,"37 Due Date")</t>
  </si>
  <si>
    <t>=NF($D3030,"37 Due Date")</t>
  </si>
  <si>
    <t>=NF($D3031,"37 Due Date")</t>
  </si>
  <si>
    <t>=NF($D3032,"37 Due Date")</t>
  </si>
  <si>
    <t>=NF($D3033,"37 Due Date")</t>
  </si>
  <si>
    <t>=NF($D3034,"37 Due Date")</t>
  </si>
  <si>
    <t>=NF($D3035,"37 Due Date")</t>
  </si>
  <si>
    <t>=NF($D3036,"37 Due Date")</t>
  </si>
  <si>
    <t>=NF($D3037,"37 Due Date")</t>
  </si>
  <si>
    <t>=NF($D3038,"37 Due Date")</t>
  </si>
  <si>
    <t>=NF($D3039,"37 Due Date")</t>
  </si>
  <si>
    <t>=NF($D3040,"37 Due Date")</t>
  </si>
  <si>
    <t>=NF($D3041,"37 Due Date")</t>
  </si>
  <si>
    <t>=NF($D3042,"37 Due Date")</t>
  </si>
  <si>
    <t>=NF($D3043,"37 Due Date")</t>
  </si>
  <si>
    <t>=NF($D3044,"37 Due Date")</t>
  </si>
  <si>
    <t>=NF($D3045,"37 Due Date")</t>
  </si>
  <si>
    <t>=NF($D3046,"37 Due Date")</t>
  </si>
  <si>
    <t>=NF($D3047,"37 Due Date")</t>
  </si>
  <si>
    <t>=NF($D3048,"37 Due Date")</t>
  </si>
  <si>
    <t>=NF($D3049,"37 Due Date")</t>
  </si>
  <si>
    <t>=NF($D3050,"37 Due Date")</t>
  </si>
  <si>
    <t>=NF($D3051,"37 Due Date")</t>
  </si>
  <si>
    <t>=NF($D3052,"37 Due Date")</t>
  </si>
  <si>
    <t>=NF($D3053,"37 Due Date")</t>
  </si>
  <si>
    <t>=NF($D3054,"37 Due Date")</t>
  </si>
  <si>
    <t>=NF($D3055,"37 Due Date")</t>
  </si>
  <si>
    <t>=NF($D3056,"37 Due Date")</t>
  </si>
  <si>
    <t>=NF($D3057,"37 Due Date")</t>
  </si>
  <si>
    <t>=NF($D3058,"37 Due Date")</t>
  </si>
  <si>
    <t>=NF($D3059,"37 Due Date")</t>
  </si>
  <si>
    <t>=NF($D3060,"37 Due Date")</t>
  </si>
  <si>
    <t>=NF($D3061,"37 Due Date")</t>
  </si>
  <si>
    <t>=NF($D3062,"37 Due Date")</t>
  </si>
  <si>
    <t>=NF($D3063,"37 Due Date")</t>
  </si>
  <si>
    <t>=NF($D3064,"37 Due Date")</t>
  </si>
  <si>
    <t>=NF($D3065,"37 Due Date")</t>
  </si>
  <si>
    <t>=NF($D3066,"37 Due Date")</t>
  </si>
  <si>
    <t>=NF($D3067,"37 Due Date")</t>
  </si>
  <si>
    <t>=NF($D3068,"37 Due Date")</t>
  </si>
  <si>
    <t>=NF($D3069,"37 Due Date")</t>
  </si>
  <si>
    <t>=NF($D3070,"37 Due Date")</t>
  </si>
  <si>
    <t>=NF($D3071,"37 Due Date")</t>
  </si>
  <si>
    <t>=NF($D3072,"37 Due Date")</t>
  </si>
  <si>
    <t>=NF($D3073,"37 Due Date")</t>
  </si>
  <si>
    <t>=NF($D3074,"37 Due Date")</t>
  </si>
  <si>
    <t>=NF($D3075,"37 Due Date")</t>
  </si>
  <si>
    <t>=NF($D3076,"37 Due Date")</t>
  </si>
  <si>
    <t>=NF($D3077,"37 Due Date")</t>
  </si>
  <si>
    <t>=NF($D3078,"37 Due Date")</t>
  </si>
  <si>
    <t>=NF($D3023,"16 Remaining Amt. (LCY)")</t>
  </si>
  <si>
    <t>=NF($D3024,"16 Remaining Amt. (LCY)")</t>
  </si>
  <si>
    <t>=NF($D3025,"16 Remaining Amt. (LCY)")</t>
  </si>
  <si>
    <t>=NF($D3026,"16 Remaining Amt. (LCY)")</t>
  </si>
  <si>
    <t>=NF($D3027,"16 Remaining Amt. (LCY)")</t>
  </si>
  <si>
    <t>=NF($D3028,"16 Remaining Amt. (LCY)")</t>
  </si>
  <si>
    <t>=NF($D3029,"16 Remaining Amt. (LCY)")</t>
  </si>
  <si>
    <t>=NF($D3030,"16 Remaining Amt. (LCY)")</t>
  </si>
  <si>
    <t>=NF($D3031,"16 Remaining Amt. (LCY)")</t>
  </si>
  <si>
    <t>=NF($D3032,"16 Remaining Amt. (LCY)")</t>
  </si>
  <si>
    <t>=NF($D3033,"16 Remaining Amt. (LCY)")</t>
  </si>
  <si>
    <t>=NF($D3034,"16 Remaining Amt. (LCY)")</t>
  </si>
  <si>
    <t>=NF($D3035,"16 Remaining Amt. (LCY)")</t>
  </si>
  <si>
    <t>=NF($D3036,"16 Remaining Amt. (LCY)")</t>
  </si>
  <si>
    <t>=NF($D3037,"16 Remaining Amt. (LCY)")</t>
  </si>
  <si>
    <t>=NF($D3038,"16 Remaining Amt. (LCY)")</t>
  </si>
  <si>
    <t>=NF($D3039,"16 Remaining Amt. (LCY)")</t>
  </si>
  <si>
    <t>=NF($D3040,"16 Remaining Amt. (LCY)")</t>
  </si>
  <si>
    <t>=NF($D3041,"16 Remaining Amt. (LCY)")</t>
  </si>
  <si>
    <t>=NF($D3042,"16 Remaining Amt. (LCY)")</t>
  </si>
  <si>
    <t>=NF($D3043,"16 Remaining Amt. (LCY)")</t>
  </si>
  <si>
    <t>=NF($D3044,"16 Remaining Amt. (LCY)")</t>
  </si>
  <si>
    <t>=NF($D3045,"16 Remaining Amt. (LCY)")</t>
  </si>
  <si>
    <t>=NF($D3046,"16 Remaining Amt. (LCY)")</t>
  </si>
  <si>
    <t>=NF($D3047,"16 Remaining Amt. (LCY)")</t>
  </si>
  <si>
    <t>=NF($D3048,"16 Remaining Amt. (LCY)")</t>
  </si>
  <si>
    <t>=NF($D3049,"16 Remaining Amt. (LCY)")</t>
  </si>
  <si>
    <t>=NF($D3050,"16 Remaining Amt. (LCY)")</t>
  </si>
  <si>
    <t>=NF($D3051,"16 Remaining Amt. (LCY)")</t>
  </si>
  <si>
    <t>=NF($D3052,"16 Remaining Amt. (LCY)")</t>
  </si>
  <si>
    <t>=NF($D3053,"16 Remaining Amt. (LCY)")</t>
  </si>
  <si>
    <t>=NF($D3054,"16 Remaining Amt. (LCY)")</t>
  </si>
  <si>
    <t>=NF($D3055,"16 Remaining Amt. (LCY)")</t>
  </si>
  <si>
    <t>=NF($D3056,"16 Remaining Amt. (LCY)")</t>
  </si>
  <si>
    <t>=NF($D3057,"16 Remaining Amt. (LCY)")</t>
  </si>
  <si>
    <t>=NF($D3058,"16 Remaining Amt. (LCY)")</t>
  </si>
  <si>
    <t>=NF($D3059,"16 Remaining Amt. (LCY)")</t>
  </si>
  <si>
    <t>=NF($D3060,"16 Remaining Amt. (LCY)")</t>
  </si>
  <si>
    <t>=NF($D3061,"16 Remaining Amt. (LCY)")</t>
  </si>
  <si>
    <t>=NF($D3062,"16 Remaining Amt. (LCY)")</t>
  </si>
  <si>
    <t>=NF($D3063,"16 Remaining Amt. (LCY)")</t>
  </si>
  <si>
    <t>=NF($D3064,"16 Remaining Amt. (LCY)")</t>
  </si>
  <si>
    <t>=NF($D3065,"16 Remaining Amt. (LCY)")</t>
  </si>
  <si>
    <t>=NF($D3066,"16 Remaining Amt. (LCY)")</t>
  </si>
  <si>
    <t>=NF($D3067,"16 Remaining Amt. (LCY)")</t>
  </si>
  <si>
    <t>=NF($D3068,"16 Remaining Amt. (LCY)")</t>
  </si>
  <si>
    <t>=NF($D3069,"16 Remaining Amt. (LCY)")</t>
  </si>
  <si>
    <t>=NF($D3070,"16 Remaining Amt. (LCY)")</t>
  </si>
  <si>
    <t>=NF($D3071,"16 Remaining Amt. (LCY)")</t>
  </si>
  <si>
    <t>=NF($D3072,"16 Remaining Amt. (LCY)")</t>
  </si>
  <si>
    <t>=NF($D3073,"16 Remaining Amt. (LCY)")</t>
  </si>
  <si>
    <t>=NF($D3074,"16 Remaining Amt. (LCY)")</t>
  </si>
  <si>
    <t>=NF($D3075,"16 Remaining Amt. (LCY)")</t>
  </si>
  <si>
    <t>=NF($D3076,"16 Remaining Amt. (LCY)")</t>
  </si>
  <si>
    <t>=NF($D3077,"16 Remaining Amt. (LCY)")</t>
  </si>
  <si>
    <t>=NF($D3078,"16 Remaining Amt. (LCY)")</t>
  </si>
  <si>
    <t>=NF($D3006,"5 Document Type")</t>
  </si>
  <si>
    <t>=NF($D3007,"5 Document Type")</t>
  </si>
  <si>
    <t>=NF($D3008,"5 Document Type")</t>
  </si>
  <si>
    <t>=NF($D3009,"5 Document Type")</t>
  </si>
  <si>
    <t>=NF($D3010,"5 Document Type")</t>
  </si>
  <si>
    <t>=NF($D3011,"5 Document Type")</t>
  </si>
  <si>
    <t>=NF($D3012,"5 Document Type")</t>
  </si>
  <si>
    <t>=NF($D3013,"5 Document Type")</t>
  </si>
  <si>
    <t>=NF($D3014,"5 Document Type")</t>
  </si>
  <si>
    <t>=NF($D3015,"5 Document Type")</t>
  </si>
  <si>
    <t>=NF($D3016,"5 Document Type")</t>
  </si>
  <si>
    <t>=NF($D3006,"6 Document No.")</t>
  </si>
  <si>
    <t>=NF($D3007,"6 Document No.")</t>
  </si>
  <si>
    <t>=NF($D3008,"6 Document No.")</t>
  </si>
  <si>
    <t>=NF($D3009,"6 Document No.")</t>
  </si>
  <si>
    <t>=NF($D3010,"6 Document No.")</t>
  </si>
  <si>
    <t>=NF($D3011,"6 Document No.")</t>
  </si>
  <si>
    <t>=NF($D3012,"6 Document No.")</t>
  </si>
  <si>
    <t>=NF($D3013,"6 Document No.")</t>
  </si>
  <si>
    <t>=NF($D3014,"6 Document No.")</t>
  </si>
  <si>
    <t>=NF($D3015,"6 Document No.")</t>
  </si>
  <si>
    <t>=NF($D3016,"6 Document No.")</t>
  </si>
  <si>
    <t>=NF($D3006,"37 Due Date")</t>
  </si>
  <si>
    <t>=NF($D3007,"37 Due Date")</t>
  </si>
  <si>
    <t>=NF($D3008,"37 Due Date")</t>
  </si>
  <si>
    <t>=NF($D3009,"37 Due Date")</t>
  </si>
  <si>
    <t>=NF($D3010,"37 Due Date")</t>
  </si>
  <si>
    <t>=NF($D3011,"37 Due Date")</t>
  </si>
  <si>
    <t>=NF($D3012,"37 Due Date")</t>
  </si>
  <si>
    <t>=NF($D3013,"37 Due Date")</t>
  </si>
  <si>
    <t>=NF($D3014,"37 Due Date")</t>
  </si>
  <si>
    <t>=NF($D3015,"37 Due Date")</t>
  </si>
  <si>
    <t>=NF($D3016,"37 Due Date")</t>
  </si>
  <si>
    <t>=NF($D3006,"16 Remaining Amt. (LCY)")</t>
  </si>
  <si>
    <t>=NF($D3007,"16 Remaining Amt. (LCY)")</t>
  </si>
  <si>
    <t>=NF($D3008,"16 Remaining Amt. (LCY)")</t>
  </si>
  <si>
    <t>=NF($D3009,"16 Remaining Amt. (LCY)")</t>
  </si>
  <si>
    <t>=NF($D3010,"16 Remaining Amt. (LCY)")</t>
  </si>
  <si>
    <t>=NF($D3011,"16 Remaining Amt. (LCY)")</t>
  </si>
  <si>
    <t>=NF($D3012,"16 Remaining Amt. (LCY)")</t>
  </si>
  <si>
    <t>=NF($D3013,"16 Remaining Amt. (LCY)")</t>
  </si>
  <si>
    <t>=NF($D3014,"16 Remaining Amt. (LCY)")</t>
  </si>
  <si>
    <t>=NF($D3015,"16 Remaining Amt. (LCY)")</t>
  </si>
  <si>
    <t>=NF($D3016,"16 Remaining Amt. (LCY)")</t>
  </si>
  <si>
    <t>=NF($D2983,"5 Document Type")</t>
  </si>
  <si>
    <t>=NF($D2984,"5 Document Type")</t>
  </si>
  <si>
    <t>=NF($D2985,"5 Document Type")</t>
  </si>
  <si>
    <t>=NF($D2986,"5 Document Type")</t>
  </si>
  <si>
    <t>=NF($D2987,"5 Document Type")</t>
  </si>
  <si>
    <t>=NF($D2988,"5 Document Type")</t>
  </si>
  <si>
    <t>=NF($D2989,"5 Document Type")</t>
  </si>
  <si>
    <t>=NF($D2990,"5 Document Type")</t>
  </si>
  <si>
    <t>=NF($D2991,"5 Document Type")</t>
  </si>
  <si>
    <t>=NF($D2992,"5 Document Type")</t>
  </si>
  <si>
    <t>=NF($D2993,"5 Document Type")</t>
  </si>
  <si>
    <t>=NF($D2994,"5 Document Type")</t>
  </si>
  <si>
    <t>=NF($D2995,"5 Document Type")</t>
  </si>
  <si>
    <t>=NF($D2996,"5 Document Type")</t>
  </si>
  <si>
    <t>=NF($D2997,"5 Document Type")</t>
  </si>
  <si>
    <t>=NF($D2998,"5 Document Type")</t>
  </si>
  <si>
    <t>=NF($D2999,"5 Document Type")</t>
  </si>
  <si>
    <t>=NF($D2983,"6 Document No.")</t>
  </si>
  <si>
    <t>=NF($D2984,"6 Document No.")</t>
  </si>
  <si>
    <t>=NF($D2985,"6 Document No.")</t>
  </si>
  <si>
    <t>=NF($D2986,"6 Document No.")</t>
  </si>
  <si>
    <t>=NF($D2987,"6 Document No.")</t>
  </si>
  <si>
    <t>=NF($D2988,"6 Document No.")</t>
  </si>
  <si>
    <t>=NF($D2989,"6 Document No.")</t>
  </si>
  <si>
    <t>=NF($D2990,"6 Document No.")</t>
  </si>
  <si>
    <t>=NF($D2991,"6 Document No.")</t>
  </si>
  <si>
    <t>=NF($D2992,"6 Document No.")</t>
  </si>
  <si>
    <t>=NF($D2993,"6 Document No.")</t>
  </si>
  <si>
    <t>=NF($D2994,"6 Document No.")</t>
  </si>
  <si>
    <t>=NF($D2995,"6 Document No.")</t>
  </si>
  <si>
    <t>=NF($D2996,"6 Document No.")</t>
  </si>
  <si>
    <t>=NF($D2997,"6 Document No.")</t>
  </si>
  <si>
    <t>=NF($D2998,"6 Document No.")</t>
  </si>
  <si>
    <t>=NF($D2999,"6 Document No.")</t>
  </si>
  <si>
    <t>=NF($D2983,"37 Due Date")</t>
  </si>
  <si>
    <t>=NF($D2984,"37 Due Date")</t>
  </si>
  <si>
    <t>=NF($D2985,"37 Due Date")</t>
  </si>
  <si>
    <t>=NF($D2986,"37 Due Date")</t>
  </si>
  <si>
    <t>=NF($D2987,"37 Due Date")</t>
  </si>
  <si>
    <t>=NF($D2988,"37 Due Date")</t>
  </si>
  <si>
    <t>=NF($D2989,"37 Due Date")</t>
  </si>
  <si>
    <t>=NF($D2990,"37 Due Date")</t>
  </si>
  <si>
    <t>=NF($D2991,"37 Due Date")</t>
  </si>
  <si>
    <t>=NF($D2992,"37 Due Date")</t>
  </si>
  <si>
    <t>=NF($D2993,"37 Due Date")</t>
  </si>
  <si>
    <t>=NF($D2994,"37 Due Date")</t>
  </si>
  <si>
    <t>=NF($D2995,"37 Due Date")</t>
  </si>
  <si>
    <t>=NF($D2996,"37 Due Date")</t>
  </si>
  <si>
    <t>=NF($D2997,"37 Due Date")</t>
  </si>
  <si>
    <t>=NF($D2998,"37 Due Date")</t>
  </si>
  <si>
    <t>=NF($D2999,"37 Due Date")</t>
  </si>
  <si>
    <t>=NF($D2983,"16 Remaining Amt. (LCY)")</t>
  </si>
  <si>
    <t>=NF($D2984,"16 Remaining Amt. (LCY)")</t>
  </si>
  <si>
    <t>=NF($D2985,"16 Remaining Amt. (LCY)")</t>
  </si>
  <si>
    <t>=NF($D2986,"16 Remaining Amt. (LCY)")</t>
  </si>
  <si>
    <t>=NF($D2987,"16 Remaining Amt. (LCY)")</t>
  </si>
  <si>
    <t>=NF($D2988,"16 Remaining Amt. (LCY)")</t>
  </si>
  <si>
    <t>=NF($D2989,"16 Remaining Amt. (LCY)")</t>
  </si>
  <si>
    <t>=NF($D2990,"16 Remaining Amt. (LCY)")</t>
  </si>
  <si>
    <t>=NF($D2991,"16 Remaining Amt. (LCY)")</t>
  </si>
  <si>
    <t>=NF($D2992,"16 Remaining Amt. (LCY)")</t>
  </si>
  <si>
    <t>=NF($D2993,"16 Remaining Amt. (LCY)")</t>
  </si>
  <si>
    <t>=NF($D2994,"16 Remaining Amt. (LCY)")</t>
  </si>
  <si>
    <t>=NF($D2995,"16 Remaining Amt. (LCY)")</t>
  </si>
  <si>
    <t>=NF($D2996,"16 Remaining Amt. (LCY)")</t>
  </si>
  <si>
    <t>=NF($D2997,"16 Remaining Amt. (LCY)")</t>
  </si>
  <si>
    <t>=NF($D2998,"16 Remaining Amt. (LCY)")</t>
  </si>
  <si>
    <t>=NF($D2999,"16 Remaining Amt. (LCY)")</t>
  </si>
  <si>
    <t>=NF($D2934,"5 Document Type")</t>
  </si>
  <si>
    <t>=NF($D2935,"5 Document Type")</t>
  </si>
  <si>
    <t>=NF($D2936,"5 Document Type")</t>
  </si>
  <si>
    <t>=NF($D2937,"5 Document Type")</t>
  </si>
  <si>
    <t>=NF($D2938,"5 Document Type")</t>
  </si>
  <si>
    <t>=NF($D2939,"5 Document Type")</t>
  </si>
  <si>
    <t>=NF($D2940,"5 Document Type")</t>
  </si>
  <si>
    <t>=NF($D2941,"5 Document Type")</t>
  </si>
  <si>
    <t>=NF($D2942,"5 Document Type")</t>
  </si>
  <si>
    <t>=NF($D2943,"5 Document Type")</t>
  </si>
  <si>
    <t>=NF($D2944,"5 Document Type")</t>
  </si>
  <si>
    <t>=NF($D2945,"5 Document Type")</t>
  </si>
  <si>
    <t>=NF($D2946,"5 Document Type")</t>
  </si>
  <si>
    <t>=NF($D2947,"5 Document Type")</t>
  </si>
  <si>
    <t>=NF($D2948,"5 Document Type")</t>
  </si>
  <si>
    <t>=NF($D2949,"5 Document Type")</t>
  </si>
  <si>
    <t>=NF($D2950,"5 Document Type")</t>
  </si>
  <si>
    <t>=NF($D2951,"5 Document Type")</t>
  </si>
  <si>
    <t>=NF($D2952,"5 Document Type")</t>
  </si>
  <si>
    <t>=NF($D2953,"5 Document Type")</t>
  </si>
  <si>
    <t>=NF($D2954,"5 Document Type")</t>
  </si>
  <si>
    <t>=NF($D2955,"5 Document Type")</t>
  </si>
  <si>
    <t>=NF($D2956,"5 Document Type")</t>
  </si>
  <si>
    <t>=NF($D2957,"5 Document Type")</t>
  </si>
  <si>
    <t>=NF($D2958,"5 Document Type")</t>
  </si>
  <si>
    <t>=NF($D2959,"5 Document Type")</t>
  </si>
  <si>
    <t>=NF($D2960,"5 Document Type")</t>
  </si>
  <si>
    <t>=NF($D2961,"5 Document Type")</t>
  </si>
  <si>
    <t>=NF($D2962,"5 Document Type")</t>
  </si>
  <si>
    <t>=NF($D2963,"5 Document Type")</t>
  </si>
  <si>
    <t>=NF($D2964,"5 Document Type")</t>
  </si>
  <si>
    <t>=NF($D2965,"5 Document Type")</t>
  </si>
  <si>
    <t>=NF($D2966,"5 Document Type")</t>
  </si>
  <si>
    <t>=NF($D2967,"5 Document Type")</t>
  </si>
  <si>
    <t>=NF($D2968,"5 Document Type")</t>
  </si>
  <si>
    <t>=NF($D2969,"5 Document Type")</t>
  </si>
  <si>
    <t>=NF($D2970,"5 Document Type")</t>
  </si>
  <si>
    <t>=NF($D2971,"5 Document Type")</t>
  </si>
  <si>
    <t>=NF($D2972,"5 Document Type")</t>
  </si>
  <si>
    <t>=NF($D2973,"5 Document Type")</t>
  </si>
  <si>
    <t>=NF($D2974,"5 Document Type")</t>
  </si>
  <si>
    <t>=NF($D2975,"5 Document Type")</t>
  </si>
  <si>
    <t>=NF($D2976,"5 Document Type")</t>
  </si>
  <si>
    <t>=NF($D2934,"6 Document No.")</t>
  </si>
  <si>
    <t>=NF($D2935,"6 Document No.")</t>
  </si>
  <si>
    <t>=NF($D2936,"6 Document No.")</t>
  </si>
  <si>
    <t>=NF($D2937,"6 Document No.")</t>
  </si>
  <si>
    <t>=NF($D2938,"6 Document No.")</t>
  </si>
  <si>
    <t>=NF($D2939,"6 Document No.")</t>
  </si>
  <si>
    <t>=NF($D2940,"6 Document No.")</t>
  </si>
  <si>
    <t>=NF($D2941,"6 Document No.")</t>
  </si>
  <si>
    <t>=NF($D2942,"6 Document No.")</t>
  </si>
  <si>
    <t>=NF($D2943,"6 Document No.")</t>
  </si>
  <si>
    <t>=NF($D2944,"6 Document No.")</t>
  </si>
  <si>
    <t>=NF($D2945,"6 Document No.")</t>
  </si>
  <si>
    <t>=NF($D2946,"6 Document No.")</t>
  </si>
  <si>
    <t>=NF($D2947,"6 Document No.")</t>
  </si>
  <si>
    <t>=NF($D2948,"6 Document No.")</t>
  </si>
  <si>
    <t>=NF($D2949,"6 Document No.")</t>
  </si>
  <si>
    <t>=NF($D2950,"6 Document No.")</t>
  </si>
  <si>
    <t>=NF($D2951,"6 Document No.")</t>
  </si>
  <si>
    <t>=NF($D2952,"6 Document No.")</t>
  </si>
  <si>
    <t>=NF($D2953,"6 Document No.")</t>
  </si>
  <si>
    <t>=NF($D2954,"6 Document No.")</t>
  </si>
  <si>
    <t>=NF($D2955,"6 Document No.")</t>
  </si>
  <si>
    <t>=NF($D2956,"6 Document No.")</t>
  </si>
  <si>
    <t>=NF($D2957,"6 Document No.")</t>
  </si>
  <si>
    <t>=NF($D2958,"6 Document No.")</t>
  </si>
  <si>
    <t>=NF($D2959,"6 Document No.")</t>
  </si>
  <si>
    <t>=NF($D2960,"6 Document No.")</t>
  </si>
  <si>
    <t>=NF($D2961,"6 Document No.")</t>
  </si>
  <si>
    <t>=NF($D2962,"6 Document No.")</t>
  </si>
  <si>
    <t>=NF($D2963,"6 Document No.")</t>
  </si>
  <si>
    <t>=NF($D2964,"6 Document No.")</t>
  </si>
  <si>
    <t>=NF($D2965,"6 Document No.")</t>
  </si>
  <si>
    <t>=NF($D2966,"6 Document No.")</t>
  </si>
  <si>
    <t>=NF($D2967,"6 Document No.")</t>
  </si>
  <si>
    <t>=NF($D2968,"6 Document No.")</t>
  </si>
  <si>
    <t>=NF($D2969,"6 Document No.")</t>
  </si>
  <si>
    <t>=NF($D2970,"6 Document No.")</t>
  </si>
  <si>
    <t>=NF($D2971,"6 Document No.")</t>
  </si>
  <si>
    <t>=NF($D2972,"6 Document No.")</t>
  </si>
  <si>
    <t>=NF($D2973,"6 Document No.")</t>
  </si>
  <si>
    <t>=NF($D2974,"6 Document No.")</t>
  </si>
  <si>
    <t>=NF($D2975,"6 Document No.")</t>
  </si>
  <si>
    <t>=NF($D2976,"6 Document No.")</t>
  </si>
  <si>
    <t>=NF($D2934,"37 Due Date")</t>
  </si>
  <si>
    <t>=NF($D2935,"37 Due Date")</t>
  </si>
  <si>
    <t>=NF($D2936,"37 Due Date")</t>
  </si>
  <si>
    <t>=NF($D2937,"37 Due Date")</t>
  </si>
  <si>
    <t>=NF($D2938,"37 Due Date")</t>
  </si>
  <si>
    <t>=NF($D2939,"37 Due Date")</t>
  </si>
  <si>
    <t>=NF($D2940,"37 Due Date")</t>
  </si>
  <si>
    <t>=NF($D2941,"37 Due Date")</t>
  </si>
  <si>
    <t>=NF($D2942,"37 Due Date")</t>
  </si>
  <si>
    <t>=NF($D2943,"37 Due Date")</t>
  </si>
  <si>
    <t>=NF($D2944,"37 Due Date")</t>
  </si>
  <si>
    <t>=NF($D2945,"37 Due Date")</t>
  </si>
  <si>
    <t>=NF($D2946,"37 Due Date")</t>
  </si>
  <si>
    <t>=NF($D2947,"37 Due Date")</t>
  </si>
  <si>
    <t>=NF($D2948,"37 Due Date")</t>
  </si>
  <si>
    <t>=NF($D2949,"37 Due Date")</t>
  </si>
  <si>
    <t>=NF($D2950,"37 Due Date")</t>
  </si>
  <si>
    <t>=NF($D2951,"37 Due Date")</t>
  </si>
  <si>
    <t>=NF($D2952,"37 Due Date")</t>
  </si>
  <si>
    <t>=NF($D2953,"37 Due Date")</t>
  </si>
  <si>
    <t>=NF($D2954,"37 Due Date")</t>
  </si>
  <si>
    <t>=NF($D2955,"37 Due Date")</t>
  </si>
  <si>
    <t>=NF($D2956,"37 Due Date")</t>
  </si>
  <si>
    <t>=NF($D2957,"37 Due Date")</t>
  </si>
  <si>
    <t>=NF($D2958,"37 Due Date")</t>
  </si>
  <si>
    <t>=NF($D2959,"37 Due Date")</t>
  </si>
  <si>
    <t>=NF($D2960,"37 Due Date")</t>
  </si>
  <si>
    <t>=NF($D2961,"37 Due Date")</t>
  </si>
  <si>
    <t>=NF($D2962,"37 Due Date")</t>
  </si>
  <si>
    <t>=NF($D2963,"37 Due Date")</t>
  </si>
  <si>
    <t>=NF($D2964,"37 Due Date")</t>
  </si>
  <si>
    <t>=NF($D2965,"37 Due Date")</t>
  </si>
  <si>
    <t>=NF($D2966,"37 Due Date")</t>
  </si>
  <si>
    <t>=NF($D2967,"37 Due Date")</t>
  </si>
  <si>
    <t>=NF($D2968,"37 Due Date")</t>
  </si>
  <si>
    <t>=NF($D2969,"37 Due Date")</t>
  </si>
  <si>
    <t>=NF($D2970,"37 Due Date")</t>
  </si>
  <si>
    <t>=NF($D2971,"37 Due Date")</t>
  </si>
  <si>
    <t>=NF($D2972,"37 Due Date")</t>
  </si>
  <si>
    <t>=NF($D2973,"37 Due Date")</t>
  </si>
  <si>
    <t>=NF($D2974,"37 Due Date")</t>
  </si>
  <si>
    <t>=NF($D2975,"37 Due Date")</t>
  </si>
  <si>
    <t>=NF($D2976,"37 Due Date")</t>
  </si>
  <si>
    <t>=NF($D2934,"16 Remaining Amt. (LCY)")</t>
  </si>
  <si>
    <t>=NF($D2935,"16 Remaining Amt. (LCY)")</t>
  </si>
  <si>
    <t>=NF($D2936,"16 Remaining Amt. (LCY)")</t>
  </si>
  <si>
    <t>=NF($D2937,"16 Remaining Amt. (LCY)")</t>
  </si>
  <si>
    <t>=NF($D2938,"16 Remaining Amt. (LCY)")</t>
  </si>
  <si>
    <t>=NF($D2939,"16 Remaining Amt. (LCY)")</t>
  </si>
  <si>
    <t>=NF($D2940,"16 Remaining Amt. (LCY)")</t>
  </si>
  <si>
    <t>=NF($D2941,"16 Remaining Amt. (LCY)")</t>
  </si>
  <si>
    <t>=NF($D2942,"16 Remaining Amt. (LCY)")</t>
  </si>
  <si>
    <t>=NF($D2943,"16 Remaining Amt. (LCY)")</t>
  </si>
  <si>
    <t>=NF($D2944,"16 Remaining Amt. (LCY)")</t>
  </si>
  <si>
    <t>=NF($D2945,"16 Remaining Amt. (LCY)")</t>
  </si>
  <si>
    <t>=NF($D2946,"16 Remaining Amt. (LCY)")</t>
  </si>
  <si>
    <t>=NF($D2947,"16 Remaining Amt. (LCY)")</t>
  </si>
  <si>
    <t>=NF($D2948,"16 Remaining Amt. (LCY)")</t>
  </si>
  <si>
    <t>=NF($D2949,"16 Remaining Amt. (LCY)")</t>
  </si>
  <si>
    <t>=NF($D2950,"16 Remaining Amt. (LCY)")</t>
  </si>
  <si>
    <t>=NF($D2951,"16 Remaining Amt. (LCY)")</t>
  </si>
  <si>
    <t>=NF($D2952,"16 Remaining Amt. (LCY)")</t>
  </si>
  <si>
    <t>=NF($D2953,"16 Remaining Amt. (LCY)")</t>
  </si>
  <si>
    <t>=NF($D2954,"16 Remaining Amt. (LCY)")</t>
  </si>
  <si>
    <t>=NF($D2955,"16 Remaining Amt. (LCY)")</t>
  </si>
  <si>
    <t>=NF($D2956,"16 Remaining Amt. (LCY)")</t>
  </si>
  <si>
    <t>=NF($D2957,"16 Remaining Amt. (LCY)")</t>
  </si>
  <si>
    <t>=NF($D2958,"16 Remaining Amt. (LCY)")</t>
  </si>
  <si>
    <t>=NF($D2959,"16 Remaining Amt. (LCY)")</t>
  </si>
  <si>
    <t>=NF($D2960,"16 Remaining Amt. (LCY)")</t>
  </si>
  <si>
    <t>=NF($D2961,"16 Remaining Amt. (LCY)")</t>
  </si>
  <si>
    <t>=NF($D2962,"16 Remaining Amt. (LCY)")</t>
  </si>
  <si>
    <t>=NF($D2963,"16 Remaining Amt. (LCY)")</t>
  </si>
  <si>
    <t>=NF($D2964,"16 Remaining Amt. (LCY)")</t>
  </si>
  <si>
    <t>=NF($D2965,"16 Remaining Amt. (LCY)")</t>
  </si>
  <si>
    <t>=NF($D2966,"16 Remaining Amt. (LCY)")</t>
  </si>
  <si>
    <t>=NF($D2967,"16 Remaining Amt. (LCY)")</t>
  </si>
  <si>
    <t>=NF($D2968,"16 Remaining Amt. (LCY)")</t>
  </si>
  <si>
    <t>=NF($D2969,"16 Remaining Amt. (LCY)")</t>
  </si>
  <si>
    <t>=NF($D2970,"16 Remaining Amt. (LCY)")</t>
  </si>
  <si>
    <t>=NF($D2971,"16 Remaining Amt. (LCY)")</t>
  </si>
  <si>
    <t>=NF($D2972,"16 Remaining Amt. (LCY)")</t>
  </si>
  <si>
    <t>=NF($D2973,"16 Remaining Amt. (LCY)")</t>
  </si>
  <si>
    <t>=NF($D2974,"16 Remaining Amt. (LCY)")</t>
  </si>
  <si>
    <t>=NF($D2975,"16 Remaining Amt. (LCY)")</t>
  </si>
  <si>
    <t>=NF($D2976,"16 Remaining Amt. (LCY)")</t>
  </si>
  <si>
    <t>=NF($D2860,"5 Document Type")</t>
  </si>
  <si>
    <t>=NF($D2861,"5 Document Type")</t>
  </si>
  <si>
    <t>=NF($D2862,"5 Document Type")</t>
  </si>
  <si>
    <t>=NF($D2863,"5 Document Type")</t>
  </si>
  <si>
    <t>=NF($D2864,"5 Document Type")</t>
  </si>
  <si>
    <t>=NF($D2865,"5 Document Type")</t>
  </si>
  <si>
    <t>=NF($D2866,"5 Document Type")</t>
  </si>
  <si>
    <t>=NF($D2867,"5 Document Type")</t>
  </si>
  <si>
    <t>=NF($D2868,"5 Document Type")</t>
  </si>
  <si>
    <t>=NF($D2869,"5 Document Type")</t>
  </si>
  <si>
    <t>=NF($D2870,"5 Document Type")</t>
  </si>
  <si>
    <t>=NF($D2871,"5 Document Type")</t>
  </si>
  <si>
    <t>=NF($D2872,"5 Document Type")</t>
  </si>
  <si>
    <t>=NF($D2873,"5 Document Type")</t>
  </si>
  <si>
    <t>=NF($D2874,"5 Document Type")</t>
  </si>
  <si>
    <t>=NF($D2875,"5 Document Type")</t>
  </si>
  <si>
    <t>=NF($D2876,"5 Document Type")</t>
  </si>
  <si>
    <t>=NF($D2877,"5 Document Type")</t>
  </si>
  <si>
    <t>=NF($D2878,"5 Document Type")</t>
  </si>
  <si>
    <t>=NF($D2879,"5 Document Type")</t>
  </si>
  <si>
    <t>=NF($D2880,"5 Document Type")</t>
  </si>
  <si>
    <t>=NF($D2881,"5 Document Type")</t>
  </si>
  <si>
    <t>=NF($D2882,"5 Document Type")</t>
  </si>
  <si>
    <t>=NF($D2883,"5 Document Type")</t>
  </si>
  <si>
    <t>=NF($D2884,"5 Document Type")</t>
  </si>
  <si>
    <t>=NF($D2885,"5 Document Type")</t>
  </si>
  <si>
    <t>=NF($D2886,"5 Document Type")</t>
  </si>
  <si>
    <t>=NF($D2887,"5 Document Type")</t>
  </si>
  <si>
    <t>=NF($D2888,"5 Document Type")</t>
  </si>
  <si>
    <t>=NF($D2889,"5 Document Type")</t>
  </si>
  <si>
    <t>=NF($D2890,"5 Document Type")</t>
  </si>
  <si>
    <t>=NF($D2891,"5 Document Type")</t>
  </si>
  <si>
    <t>=NF($D2892,"5 Document Type")</t>
  </si>
  <si>
    <t>=NF($D2893,"5 Document Type")</t>
  </si>
  <si>
    <t>=NF($D2894,"5 Document Type")</t>
  </si>
  <si>
    <t>=NF($D2895,"5 Document Type")</t>
  </si>
  <si>
    <t>=NF($D2896,"5 Document Type")</t>
  </si>
  <si>
    <t>=NF($D2897,"5 Document Type")</t>
  </si>
  <si>
    <t>=NF($D2898,"5 Document Type")</t>
  </si>
  <si>
    <t>=NF($D2899,"5 Document Type")</t>
  </si>
  <si>
    <t>=NF($D2900,"5 Document Type")</t>
  </si>
  <si>
    <t>=NF($D2901,"5 Document Type")</t>
  </si>
  <si>
    <t>=NF($D2902,"5 Document Type")</t>
  </si>
  <si>
    <t>=NF($D2903,"5 Document Type")</t>
  </si>
  <si>
    <t>=NF($D2904,"5 Document Type")</t>
  </si>
  <si>
    <t>=NF($D2905,"5 Document Type")</t>
  </si>
  <si>
    <t>=NF($D2906,"5 Document Type")</t>
  </si>
  <si>
    <t>=NF($D2907,"5 Document Type")</t>
  </si>
  <si>
    <t>=NF($D2908,"5 Document Type")</t>
  </si>
  <si>
    <t>=NF($D2909,"5 Document Type")</t>
  </si>
  <si>
    <t>=NF($D2910,"5 Document Type")</t>
  </si>
  <si>
    <t>=NF($D2911,"5 Document Type")</t>
  </si>
  <si>
    <t>=NF($D2912,"5 Document Type")</t>
  </si>
  <si>
    <t>=NF($D2913,"5 Document Type")</t>
  </si>
  <si>
    <t>=NF($D2914,"5 Document Type")</t>
  </si>
  <si>
    <t>=NF($D2915,"5 Document Type")</t>
  </si>
  <si>
    <t>=NF($D2916,"5 Document Type")</t>
  </si>
  <si>
    <t>=NF($D2917,"5 Document Type")</t>
  </si>
  <si>
    <t>=NF($D2918,"5 Document Type")</t>
  </si>
  <si>
    <t>=NF($D2919,"5 Document Type")</t>
  </si>
  <si>
    <t>=NF($D2920,"5 Document Type")</t>
  </si>
  <si>
    <t>=NF($D2921,"5 Document Type")</t>
  </si>
  <si>
    <t>=NF($D2922,"5 Document Type")</t>
  </si>
  <si>
    <t>=NF($D2923,"5 Document Type")</t>
  </si>
  <si>
    <t>=NF($D2924,"5 Document Type")</t>
  </si>
  <si>
    <t>=NF($D2925,"5 Document Type")</t>
  </si>
  <si>
    <t>=NF($D2926,"5 Document Type")</t>
  </si>
  <si>
    <t>=NF($D2927,"5 Document Type")</t>
  </si>
  <si>
    <t>=NF($D2860,"6 Document No.")</t>
  </si>
  <si>
    <t>=NF($D2861,"6 Document No.")</t>
  </si>
  <si>
    <t>=NF($D2862,"6 Document No.")</t>
  </si>
  <si>
    <t>=NF($D2863,"6 Document No.")</t>
  </si>
  <si>
    <t>=NF($D2864,"6 Document No.")</t>
  </si>
  <si>
    <t>=NF($D2865,"6 Document No.")</t>
  </si>
  <si>
    <t>=NF($D2866,"6 Document No.")</t>
  </si>
  <si>
    <t>=NF($D2867,"6 Document No.")</t>
  </si>
  <si>
    <t>=NF($D2868,"6 Document No.")</t>
  </si>
  <si>
    <t>=NF($D2869,"6 Document No.")</t>
  </si>
  <si>
    <t>=NF($D2870,"6 Document No.")</t>
  </si>
  <si>
    <t>=NF($D2871,"6 Document No.")</t>
  </si>
  <si>
    <t>=NF($D2872,"6 Document No.")</t>
  </si>
  <si>
    <t>=NF($D2873,"6 Document No.")</t>
  </si>
  <si>
    <t>=NF($D2874,"6 Document No.")</t>
  </si>
  <si>
    <t>=NF($D2875,"6 Document No.")</t>
  </si>
  <si>
    <t>=NF($D2876,"6 Document No.")</t>
  </si>
  <si>
    <t>=NF($D2877,"6 Document No.")</t>
  </si>
  <si>
    <t>=NF($D2878,"6 Document No.")</t>
  </si>
  <si>
    <t>=NF($D2879,"6 Document No.")</t>
  </si>
  <si>
    <t>=NF($D2880,"6 Document No.")</t>
  </si>
  <si>
    <t>=NF($D2881,"6 Document No.")</t>
  </si>
  <si>
    <t>=NF($D2882,"6 Document No.")</t>
  </si>
  <si>
    <t>=NF($D2883,"6 Document No.")</t>
  </si>
  <si>
    <t>=NF($D2884,"6 Document No.")</t>
  </si>
  <si>
    <t>=NF($D2885,"6 Document No.")</t>
  </si>
  <si>
    <t>=NF($D2886,"6 Document No.")</t>
  </si>
  <si>
    <t>=NF($D2887,"6 Document No.")</t>
  </si>
  <si>
    <t>=NF($D2888,"6 Document No.")</t>
  </si>
  <si>
    <t>=NF($D2889,"6 Document No.")</t>
  </si>
  <si>
    <t>=NF($D2890,"6 Document No.")</t>
  </si>
  <si>
    <t>=NF($D2891,"6 Document No.")</t>
  </si>
  <si>
    <t>=NF($D2892,"6 Document No.")</t>
  </si>
  <si>
    <t>=NF($D2893,"6 Document No.")</t>
  </si>
  <si>
    <t>=NF($D2894,"6 Document No.")</t>
  </si>
  <si>
    <t>=NF($D2895,"6 Document No.")</t>
  </si>
  <si>
    <t>=NF($D2896,"6 Document No.")</t>
  </si>
  <si>
    <t>=NF($D2897,"6 Document No.")</t>
  </si>
  <si>
    <t>=NF($D2898,"6 Document No.")</t>
  </si>
  <si>
    <t>=NF($D2899,"6 Document No.")</t>
  </si>
  <si>
    <t>=NF($D2900,"6 Document No.")</t>
  </si>
  <si>
    <t>=NF($D2901,"6 Document No.")</t>
  </si>
  <si>
    <t>=NF($D2902,"6 Document No.")</t>
  </si>
  <si>
    <t>=NF($D2903,"6 Document No.")</t>
  </si>
  <si>
    <t>=NF($D2904,"6 Document No.")</t>
  </si>
  <si>
    <t>=NF($D2905,"6 Document No.")</t>
  </si>
  <si>
    <t>=NF($D2906,"6 Document No.")</t>
  </si>
  <si>
    <t>=NF($D2907,"6 Document No.")</t>
  </si>
  <si>
    <t>=NF($D2908,"6 Document No.")</t>
  </si>
  <si>
    <t>=NF($D2909,"6 Document No.")</t>
  </si>
  <si>
    <t>=NF($D2910,"6 Document No.")</t>
  </si>
  <si>
    <t>=NF($D2911,"6 Document No.")</t>
  </si>
  <si>
    <t>=NF($D2912,"6 Document No.")</t>
  </si>
  <si>
    <t>=NF($D2913,"6 Document No.")</t>
  </si>
  <si>
    <t>=NF($D2914,"6 Document No.")</t>
  </si>
  <si>
    <t>=NF($D2915,"6 Document No.")</t>
  </si>
  <si>
    <t>=NF($D2916,"6 Document No.")</t>
  </si>
  <si>
    <t>=NF($D2917,"6 Document No.")</t>
  </si>
  <si>
    <t>=NF($D2918,"6 Document No.")</t>
  </si>
  <si>
    <t>=NF($D2919,"6 Document No.")</t>
  </si>
  <si>
    <t>=NF($D2920,"6 Document No.")</t>
  </si>
  <si>
    <t>=NF($D2921,"6 Document No.")</t>
  </si>
  <si>
    <t>=NF($D2922,"6 Document No.")</t>
  </si>
  <si>
    <t>=NF($D2923,"6 Document No.")</t>
  </si>
  <si>
    <t>=NF($D2924,"6 Document No.")</t>
  </si>
  <si>
    <t>=NF($D2925,"6 Document No.")</t>
  </si>
  <si>
    <t>=NF($D2926,"6 Document No.")</t>
  </si>
  <si>
    <t>=NF($D2927,"6 Document No.")</t>
  </si>
  <si>
    <t>=NF($D2860,"37 Due Date")</t>
  </si>
  <si>
    <t>=NF($D2861,"37 Due Date")</t>
  </si>
  <si>
    <t>=NF($D2862,"37 Due Date")</t>
  </si>
  <si>
    <t>=NF($D2863,"37 Due Date")</t>
  </si>
  <si>
    <t>=NF($D2864,"37 Due Date")</t>
  </si>
  <si>
    <t>=NF($D2865,"37 Due Date")</t>
  </si>
  <si>
    <t>=NF($D2866,"37 Due Date")</t>
  </si>
  <si>
    <t>=NF($D2867,"37 Due Date")</t>
  </si>
  <si>
    <t>=NF($D2868,"37 Due Date")</t>
  </si>
  <si>
    <t>=NF($D2869,"37 Due Date")</t>
  </si>
  <si>
    <t>=NF($D2870,"37 Due Date")</t>
  </si>
  <si>
    <t>=NF($D2871,"37 Due Date")</t>
  </si>
  <si>
    <t>=NF($D2872,"37 Due Date")</t>
  </si>
  <si>
    <t>=NF($D2873,"37 Due Date")</t>
  </si>
  <si>
    <t>=NF($D2874,"37 Due Date")</t>
  </si>
  <si>
    <t>=NF($D2875,"37 Due Date")</t>
  </si>
  <si>
    <t>=NF($D2876,"37 Due Date")</t>
  </si>
  <si>
    <t>=NF($D2877,"37 Due Date")</t>
  </si>
  <si>
    <t>=NF($D2878,"37 Due Date")</t>
  </si>
  <si>
    <t>=NF($D2879,"37 Due Date")</t>
  </si>
  <si>
    <t>=NF($D2880,"37 Due Date")</t>
  </si>
  <si>
    <t>=NF($D2881,"37 Due Date")</t>
  </si>
  <si>
    <t>=NF($D2882,"37 Due Date")</t>
  </si>
  <si>
    <t>=NF($D2883,"37 Due Date")</t>
  </si>
  <si>
    <t>=NF($D2884,"37 Due Date")</t>
  </si>
  <si>
    <t>=NF($D2885,"37 Due Date")</t>
  </si>
  <si>
    <t>=NF($D2886,"37 Due Date")</t>
  </si>
  <si>
    <t>=NF($D2887,"37 Due Date")</t>
  </si>
  <si>
    <t>=NF($D2888,"37 Due Date")</t>
  </si>
  <si>
    <t>=NF($D2889,"37 Due Date")</t>
  </si>
  <si>
    <t>=NF($D2890,"37 Due Date")</t>
  </si>
  <si>
    <t>=NF($D2891,"37 Due Date")</t>
  </si>
  <si>
    <t>=NF($D2892,"37 Due Date")</t>
  </si>
  <si>
    <t>=NF($D2893,"37 Due Date")</t>
  </si>
  <si>
    <t>=NF($D2894,"37 Due Date")</t>
  </si>
  <si>
    <t>=NF($D2895,"37 Due Date")</t>
  </si>
  <si>
    <t>=NF($D2896,"37 Due Date")</t>
  </si>
  <si>
    <t>=NF($D2897,"37 Due Date")</t>
  </si>
  <si>
    <t>=NF($D2898,"37 Due Date")</t>
  </si>
  <si>
    <t>=NF($D2899,"37 Due Date")</t>
  </si>
  <si>
    <t>=NF($D2900,"37 Due Date")</t>
  </si>
  <si>
    <t>=NF($D2901,"37 Due Date")</t>
  </si>
  <si>
    <t>=NF($D2902,"37 Due Date")</t>
  </si>
  <si>
    <t>=NF($D2903,"37 Due Date")</t>
  </si>
  <si>
    <t>=NF($D2904,"37 Due Date")</t>
  </si>
  <si>
    <t>=NF($D2905,"37 Due Date")</t>
  </si>
  <si>
    <t>=NF($D2906,"37 Due Date")</t>
  </si>
  <si>
    <t>=NF($D2907,"37 Due Date")</t>
  </si>
  <si>
    <t>=NF($D2908,"37 Due Date")</t>
  </si>
  <si>
    <t>=NF($D2909,"37 Due Date")</t>
  </si>
  <si>
    <t>=NF($D2910,"37 Due Date")</t>
  </si>
  <si>
    <t>=NF($D2911,"37 Due Date")</t>
  </si>
  <si>
    <t>=NF($D2912,"37 Due Date")</t>
  </si>
  <si>
    <t>=NF($D2913,"37 Due Date")</t>
  </si>
  <si>
    <t>=NF($D2914,"37 Due Date")</t>
  </si>
  <si>
    <t>=NF($D2915,"37 Due Date")</t>
  </si>
  <si>
    <t>=NF($D2916,"37 Due Date")</t>
  </si>
  <si>
    <t>=NF($D2917,"37 Due Date")</t>
  </si>
  <si>
    <t>=NF($D2918,"37 Due Date")</t>
  </si>
  <si>
    <t>=NF($D2919,"37 Due Date")</t>
  </si>
  <si>
    <t>=NF($D2920,"37 Due Date")</t>
  </si>
  <si>
    <t>=NF($D2921,"37 Due Date")</t>
  </si>
  <si>
    <t>=NF($D2922,"37 Due Date")</t>
  </si>
  <si>
    <t>=NF($D2923,"37 Due Date")</t>
  </si>
  <si>
    <t>=NF($D2924,"37 Due Date")</t>
  </si>
  <si>
    <t>=NF($D2925,"37 Due Date")</t>
  </si>
  <si>
    <t>=NF($D2926,"37 Due Date")</t>
  </si>
  <si>
    <t>=NF($D2927,"37 Due Date")</t>
  </si>
  <si>
    <t>=NF($D2860,"16 Remaining Amt. (LCY)")</t>
  </si>
  <si>
    <t>=NF($D2861,"16 Remaining Amt. (LCY)")</t>
  </si>
  <si>
    <t>=NF($D2862,"16 Remaining Amt. (LCY)")</t>
  </si>
  <si>
    <t>=NF($D2863,"16 Remaining Amt. (LCY)")</t>
  </si>
  <si>
    <t>=NF($D2864,"16 Remaining Amt. (LCY)")</t>
  </si>
  <si>
    <t>=NF($D2865,"16 Remaining Amt. (LCY)")</t>
  </si>
  <si>
    <t>=NF($D2866,"16 Remaining Amt. (LCY)")</t>
  </si>
  <si>
    <t>=NF($D2867,"16 Remaining Amt. (LCY)")</t>
  </si>
  <si>
    <t>=NF($D2868,"16 Remaining Amt. (LCY)")</t>
  </si>
  <si>
    <t>=NF($D2869,"16 Remaining Amt. (LCY)")</t>
  </si>
  <si>
    <t>=NF($D2870,"16 Remaining Amt. (LCY)")</t>
  </si>
  <si>
    <t>=NF($D2871,"16 Remaining Amt. (LCY)")</t>
  </si>
  <si>
    <t>=NF($D2872,"16 Remaining Amt. (LCY)")</t>
  </si>
  <si>
    <t>=NF($D2873,"16 Remaining Amt. (LCY)")</t>
  </si>
  <si>
    <t>=NF($D2874,"16 Remaining Amt. (LCY)")</t>
  </si>
  <si>
    <t>=NF($D2875,"16 Remaining Amt. (LCY)")</t>
  </si>
  <si>
    <t>=NF($D2876,"16 Remaining Amt. (LCY)")</t>
  </si>
  <si>
    <t>=NF($D2877,"16 Remaining Amt. (LCY)")</t>
  </si>
  <si>
    <t>=NF($D2878,"16 Remaining Amt. (LCY)")</t>
  </si>
  <si>
    <t>=NF($D2879,"16 Remaining Amt. (LCY)")</t>
  </si>
  <si>
    <t>=NF($D2880,"16 Remaining Amt. (LCY)")</t>
  </si>
  <si>
    <t>=NF($D2881,"16 Remaining Amt. (LCY)")</t>
  </si>
  <si>
    <t>=NF($D2882,"16 Remaining Amt. (LCY)")</t>
  </si>
  <si>
    <t>=NF($D2883,"16 Remaining Amt. (LCY)")</t>
  </si>
  <si>
    <t>=NF($D2884,"16 Remaining Amt. (LCY)")</t>
  </si>
  <si>
    <t>=NF($D2885,"16 Remaining Amt. (LCY)")</t>
  </si>
  <si>
    <t>=NF($D2886,"16 Remaining Amt. (LCY)")</t>
  </si>
  <si>
    <t>=NF($D2887,"16 Remaining Amt. (LCY)")</t>
  </si>
  <si>
    <t>=NF($D2888,"16 Remaining Amt. (LCY)")</t>
  </si>
  <si>
    <t>=NF($D2889,"16 Remaining Amt. (LCY)")</t>
  </si>
  <si>
    <t>=NF($D2890,"16 Remaining Amt. (LCY)")</t>
  </si>
  <si>
    <t>=NF($D2891,"16 Remaining Amt. (LCY)")</t>
  </si>
  <si>
    <t>=NF($D2892,"16 Remaining Amt. (LCY)")</t>
  </si>
  <si>
    <t>=NF($D2893,"16 Remaining Amt. (LCY)")</t>
  </si>
  <si>
    <t>=NF($D2894,"16 Remaining Amt. (LCY)")</t>
  </si>
  <si>
    <t>=NF($D2895,"16 Remaining Amt. (LCY)")</t>
  </si>
  <si>
    <t>=NF($D2896,"16 Remaining Amt. (LCY)")</t>
  </si>
  <si>
    <t>=NF($D2897,"16 Remaining Amt. (LCY)")</t>
  </si>
  <si>
    <t>=NF($D2898,"16 Remaining Amt. (LCY)")</t>
  </si>
  <si>
    <t>=NF($D2899,"16 Remaining Amt. (LCY)")</t>
  </si>
  <si>
    <t>=NF($D2900,"16 Remaining Amt. (LCY)")</t>
  </si>
  <si>
    <t>=NF($D2901,"16 Remaining Amt. (LCY)")</t>
  </si>
  <si>
    <t>=NF($D2902,"16 Remaining Amt. (LCY)")</t>
  </si>
  <si>
    <t>=NF($D2903,"16 Remaining Amt. (LCY)")</t>
  </si>
  <si>
    <t>=NF($D2904,"16 Remaining Amt. (LCY)")</t>
  </si>
  <si>
    <t>=NF($D2905,"16 Remaining Amt. (LCY)")</t>
  </si>
  <si>
    <t>=NF($D2906,"16 Remaining Amt. (LCY)")</t>
  </si>
  <si>
    <t>=NF($D2907,"16 Remaining Amt. (LCY)")</t>
  </si>
  <si>
    <t>=NF($D2908,"16 Remaining Amt. (LCY)")</t>
  </si>
  <si>
    <t>=NF($D2909,"16 Remaining Amt. (LCY)")</t>
  </si>
  <si>
    <t>=NF($D2910,"16 Remaining Amt. (LCY)")</t>
  </si>
  <si>
    <t>=NF($D2911,"16 Remaining Amt. (LCY)")</t>
  </si>
  <si>
    <t>=NF($D2912,"16 Remaining Amt. (LCY)")</t>
  </si>
  <si>
    <t>=NF($D2913,"16 Remaining Amt. (LCY)")</t>
  </si>
  <si>
    <t>=NF($D2914,"16 Remaining Amt. (LCY)")</t>
  </si>
  <si>
    <t>=NF($D2915,"16 Remaining Amt. (LCY)")</t>
  </si>
  <si>
    <t>=NF($D2916,"16 Remaining Amt. (LCY)")</t>
  </si>
  <si>
    <t>=NF($D2917,"16 Remaining Amt. (LCY)")</t>
  </si>
  <si>
    <t>=NF($D2918,"16 Remaining Amt. (LCY)")</t>
  </si>
  <si>
    <t>=NF($D2919,"16 Remaining Amt. (LCY)")</t>
  </si>
  <si>
    <t>=NF($D2920,"16 Remaining Amt. (LCY)")</t>
  </si>
  <si>
    <t>=NF($D2921,"16 Remaining Amt. (LCY)")</t>
  </si>
  <si>
    <t>=NF($D2922,"16 Remaining Amt. (LCY)")</t>
  </si>
  <si>
    <t>=NF($D2923,"16 Remaining Amt. (LCY)")</t>
  </si>
  <si>
    <t>=NF($D2924,"16 Remaining Amt. (LCY)")</t>
  </si>
  <si>
    <t>=NF($D2925,"16 Remaining Amt. (LCY)")</t>
  </si>
  <si>
    <t>=NF($D2926,"16 Remaining Amt. (LCY)")</t>
  </si>
  <si>
    <t>=NF($D2927,"16 Remaining Amt. (LCY)")</t>
  </si>
  <si>
    <t>=NF($D2727,"5 Document Type")</t>
  </si>
  <si>
    <t>=NF($D2728,"5 Document Type")</t>
  </si>
  <si>
    <t>=NF($D2729,"5 Document Type")</t>
  </si>
  <si>
    <t>=NF($D2730,"5 Document Type")</t>
  </si>
  <si>
    <t>=NF($D2731,"5 Document Type")</t>
  </si>
  <si>
    <t>=NF($D2732,"5 Document Type")</t>
  </si>
  <si>
    <t>=NF($D2733,"5 Document Type")</t>
  </si>
  <si>
    <t>=NF($D2734,"5 Document Type")</t>
  </si>
  <si>
    <t>=NF($D2735,"5 Document Type")</t>
  </si>
  <si>
    <t>=NF($D2736,"5 Document Type")</t>
  </si>
  <si>
    <t>=NF($D2737,"5 Document Type")</t>
  </si>
  <si>
    <t>=NF($D2738,"5 Document Type")</t>
  </si>
  <si>
    <t>=NF($D2739,"5 Document Type")</t>
  </si>
  <si>
    <t>=NF($D2740,"5 Document Type")</t>
  </si>
  <si>
    <t>=NF($D2741,"5 Document Type")</t>
  </si>
  <si>
    <t>=NF($D2742,"5 Document Type")</t>
  </si>
  <si>
    <t>=NF($D2743,"5 Document Type")</t>
  </si>
  <si>
    <t>=NF($D2744,"5 Document Type")</t>
  </si>
  <si>
    <t>=NF($D2745,"5 Document Type")</t>
  </si>
  <si>
    <t>=NF($D2746,"5 Document Type")</t>
  </si>
  <si>
    <t>=NF($D2747,"5 Document Type")</t>
  </si>
  <si>
    <t>=NF($D2748,"5 Document Type")</t>
  </si>
  <si>
    <t>=NF($D2749,"5 Document Type")</t>
  </si>
  <si>
    <t>=NF($D2750,"5 Document Type")</t>
  </si>
  <si>
    <t>=NF($D2751,"5 Document Type")</t>
  </si>
  <si>
    <t>=NF($D2752,"5 Document Type")</t>
  </si>
  <si>
    <t>=NF($D2753,"5 Document Type")</t>
  </si>
  <si>
    <t>=NF($D2754,"5 Document Type")</t>
  </si>
  <si>
    <t>=NF($D2755,"5 Document Type")</t>
  </si>
  <si>
    <t>=NF($D2756,"5 Document Type")</t>
  </si>
  <si>
    <t>=NF($D2757,"5 Document Type")</t>
  </si>
  <si>
    <t>=NF($D2758,"5 Document Type")</t>
  </si>
  <si>
    <t>=NF($D2759,"5 Document Type")</t>
  </si>
  <si>
    <t>=NF($D2760,"5 Document Type")</t>
  </si>
  <si>
    <t>=NF($D2761,"5 Document Type")</t>
  </si>
  <si>
    <t>=NF($D2762,"5 Document Type")</t>
  </si>
  <si>
    <t>=NF($D2763,"5 Document Type")</t>
  </si>
  <si>
    <t>=NF($D2764,"5 Document Type")</t>
  </si>
  <si>
    <t>=NF($D2765,"5 Document Type")</t>
  </si>
  <si>
    <t>=NF($D2766,"5 Document Type")</t>
  </si>
  <si>
    <t>=NF($D2767,"5 Document Type")</t>
  </si>
  <si>
    <t>=NF($D2768,"5 Document Type")</t>
  </si>
  <si>
    <t>=NF($D2769,"5 Document Type")</t>
  </si>
  <si>
    <t>=NF($D2770,"5 Document Type")</t>
  </si>
  <si>
    <t>=NF($D2771,"5 Document Type")</t>
  </si>
  <si>
    <t>=NF($D2772,"5 Document Type")</t>
  </si>
  <si>
    <t>=NF($D2773,"5 Document Type")</t>
  </si>
  <si>
    <t>=NF($D2774,"5 Document Type")</t>
  </si>
  <si>
    <t>=NF($D2775,"5 Document Type")</t>
  </si>
  <si>
    <t>=NF($D2776,"5 Document Type")</t>
  </si>
  <si>
    <t>=NF($D2777,"5 Document Type")</t>
  </si>
  <si>
    <t>=NF($D2778,"5 Document Type")</t>
  </si>
  <si>
    <t>=NF($D2779,"5 Document Type")</t>
  </si>
  <si>
    <t>=NF($D2780,"5 Document Type")</t>
  </si>
  <si>
    <t>=NF($D2781,"5 Document Type")</t>
  </si>
  <si>
    <t>=NF($D2782,"5 Document Type")</t>
  </si>
  <si>
    <t>=NF($D2783,"5 Document Type")</t>
  </si>
  <si>
    <t>=NF($D2784,"5 Document Type")</t>
  </si>
  <si>
    <t>=NF($D2785,"5 Document Type")</t>
  </si>
  <si>
    <t>=NF($D2786,"5 Document Type")</t>
  </si>
  <si>
    <t>=NF($D2787,"5 Document Type")</t>
  </si>
  <si>
    <t>=NF($D2788,"5 Document Type")</t>
  </si>
  <si>
    <t>=NF($D2789,"5 Document Type")</t>
  </si>
  <si>
    <t>=NF($D2790,"5 Document Type")</t>
  </si>
  <si>
    <t>=NF($D2791,"5 Document Type")</t>
  </si>
  <si>
    <t>=NF($D2792,"5 Document Type")</t>
  </si>
  <si>
    <t>=NF($D2793,"5 Document Type")</t>
  </si>
  <si>
    <t>=NF($D2794,"5 Document Type")</t>
  </si>
  <si>
    <t>=NF($D2795,"5 Document Type")</t>
  </si>
  <si>
    <t>=NF($D2796,"5 Document Type")</t>
  </si>
  <si>
    <t>=NF($D2797,"5 Document Type")</t>
  </si>
  <si>
    <t>=NF($D2798,"5 Document Type")</t>
  </si>
  <si>
    <t>=NF($D2799,"5 Document Type")</t>
  </si>
  <si>
    <t>=NF($D2800,"5 Document Type")</t>
  </si>
  <si>
    <t>=NF($D2801,"5 Document Type")</t>
  </si>
  <si>
    <t>=NF($D2802,"5 Document Type")</t>
  </si>
  <si>
    <t>=NF($D2803,"5 Document Type")</t>
  </si>
  <si>
    <t>=NF($D2804,"5 Document Type")</t>
  </si>
  <si>
    <t>=NF($D2805,"5 Document Type")</t>
  </si>
  <si>
    <t>=NF($D2806,"5 Document Type")</t>
  </si>
  <si>
    <t>=NF($D2807,"5 Document Type")</t>
  </si>
  <si>
    <t>=NF($D2808,"5 Document Type")</t>
  </si>
  <si>
    <t>=NF($D2809,"5 Document Type")</t>
  </si>
  <si>
    <t>=NF($D2810,"5 Document Type")</t>
  </si>
  <si>
    <t>=NF($D2811,"5 Document Type")</t>
  </si>
  <si>
    <t>=NF($D2812,"5 Document Type")</t>
  </si>
  <si>
    <t>=NF($D2813,"5 Document Type")</t>
  </si>
  <si>
    <t>=NF($D2814,"5 Document Type")</t>
  </si>
  <si>
    <t>=NF($D2815,"5 Document Type")</t>
  </si>
  <si>
    <t>=NF($D2816,"5 Document Type")</t>
  </si>
  <si>
    <t>=NF($D2817,"5 Document Type")</t>
  </si>
  <si>
    <t>=NF($D2818,"5 Document Type")</t>
  </si>
  <si>
    <t>=NF($D2819,"5 Document Type")</t>
  </si>
  <si>
    <t>=NF($D2820,"5 Document Type")</t>
  </si>
  <si>
    <t>=NF($D2821,"5 Document Type")</t>
  </si>
  <si>
    <t>=NF($D2822,"5 Document Type")</t>
  </si>
  <si>
    <t>=NF($D2823,"5 Document Type")</t>
  </si>
  <si>
    <t>=NF($D2824,"5 Document Type")</t>
  </si>
  <si>
    <t>=NF($D2825,"5 Document Type")</t>
  </si>
  <si>
    <t>=NF($D2826,"5 Document Type")</t>
  </si>
  <si>
    <t>=NF($D2827,"5 Document Type")</t>
  </si>
  <si>
    <t>=NF($D2828,"5 Document Type")</t>
  </si>
  <si>
    <t>=NF($D2829,"5 Document Type")</t>
  </si>
  <si>
    <t>=NF($D2830,"5 Document Type")</t>
  </si>
  <si>
    <t>=NF($D2831,"5 Document Type")</t>
  </si>
  <si>
    <t>=NF($D2832,"5 Document Type")</t>
  </si>
  <si>
    <t>=NF($D2833,"5 Document Type")</t>
  </si>
  <si>
    <t>=NF($D2834,"5 Document Type")</t>
  </si>
  <si>
    <t>=NF($D2835,"5 Document Type")</t>
  </si>
  <si>
    <t>=NF($D2836,"5 Document Type")</t>
  </si>
  <si>
    <t>=NF($D2837,"5 Document Type")</t>
  </si>
  <si>
    <t>=NF($D2838,"5 Document Type")</t>
  </si>
  <si>
    <t>=NF($D2839,"5 Document Type")</t>
  </si>
  <si>
    <t>=NF($D2840,"5 Document Type")</t>
  </si>
  <si>
    <t>=NF($D2841,"5 Document Type")</t>
  </si>
  <si>
    <t>=NF($D2842,"5 Document Type")</t>
  </si>
  <si>
    <t>=NF($D2843,"5 Document Type")</t>
  </si>
  <si>
    <t>=NF($D2844,"5 Document Type")</t>
  </si>
  <si>
    <t>=NF($D2845,"5 Document Type")</t>
  </si>
  <si>
    <t>=NF($D2846,"5 Document Type")</t>
  </si>
  <si>
    <t>=NF($D2847,"5 Document Type")</t>
  </si>
  <si>
    <t>=NF($D2848,"5 Document Type")</t>
  </si>
  <si>
    <t>=NF($D2849,"5 Document Type")</t>
  </si>
  <si>
    <t>=NF($D2850,"5 Document Type")</t>
  </si>
  <si>
    <t>=NF($D2851,"5 Document Type")</t>
  </si>
  <si>
    <t>=NF($D2852,"5 Document Type")</t>
  </si>
  <si>
    <t>=NF($D2853,"5 Document Type")</t>
  </si>
  <si>
    <t>=NF($D2727,"6 Document No.")</t>
  </si>
  <si>
    <t>=NF($D2728,"6 Document No.")</t>
  </si>
  <si>
    <t>=NF($D2729,"6 Document No.")</t>
  </si>
  <si>
    <t>=NF($D2730,"6 Document No.")</t>
  </si>
  <si>
    <t>=NF($D2731,"6 Document No.")</t>
  </si>
  <si>
    <t>=NF($D2732,"6 Document No.")</t>
  </si>
  <si>
    <t>=NF($D2733,"6 Document No.")</t>
  </si>
  <si>
    <t>=NF($D2734,"6 Document No.")</t>
  </si>
  <si>
    <t>=NF($D2735,"6 Document No.")</t>
  </si>
  <si>
    <t>=NF($D2736,"6 Document No.")</t>
  </si>
  <si>
    <t>=NF($D2737,"6 Document No.")</t>
  </si>
  <si>
    <t>=NF($D2738,"6 Document No.")</t>
  </si>
  <si>
    <t>=NF($D2739,"6 Document No.")</t>
  </si>
  <si>
    <t>=NF($D2740,"6 Document No.")</t>
  </si>
  <si>
    <t>=NF($D2741,"6 Document No.")</t>
  </si>
  <si>
    <t>=NF($D2742,"6 Document No.")</t>
  </si>
  <si>
    <t>=NF($D2743,"6 Document No.")</t>
  </si>
  <si>
    <t>=NF($D2744,"6 Document No.")</t>
  </si>
  <si>
    <t>=NF($D2745,"6 Document No.")</t>
  </si>
  <si>
    <t>=NF($D2746,"6 Document No.")</t>
  </si>
  <si>
    <t>=NF($D2747,"6 Document No.")</t>
  </si>
  <si>
    <t>=NF($D2748,"6 Document No.")</t>
  </si>
  <si>
    <t>=NF($D2749,"6 Document No.")</t>
  </si>
  <si>
    <t>=NF($D2750,"6 Document No.")</t>
  </si>
  <si>
    <t>=NF($D2751,"6 Document No.")</t>
  </si>
  <si>
    <t>=NF($D2752,"6 Document No.")</t>
  </si>
  <si>
    <t>=NF($D2753,"6 Document No.")</t>
  </si>
  <si>
    <t>=NF($D2754,"6 Document No.")</t>
  </si>
  <si>
    <t>=NF($D2755,"6 Document No.")</t>
  </si>
  <si>
    <t>=NF($D2756,"6 Document No.")</t>
  </si>
  <si>
    <t>=NF($D2757,"6 Document No.")</t>
  </si>
  <si>
    <t>=NF($D2758,"6 Document No.")</t>
  </si>
  <si>
    <t>=NF($D2759,"6 Document No.")</t>
  </si>
  <si>
    <t>=NF($D2760,"6 Document No.")</t>
  </si>
  <si>
    <t>=NF($D2761,"6 Document No.")</t>
  </si>
  <si>
    <t>=NF($D2762,"6 Document No.")</t>
  </si>
  <si>
    <t>=NF($D2763,"6 Document No.")</t>
  </si>
  <si>
    <t>=NF($D2764,"6 Document No.")</t>
  </si>
  <si>
    <t>=NF($D2765,"6 Document No.")</t>
  </si>
  <si>
    <t>=NF($D2766,"6 Document No.")</t>
  </si>
  <si>
    <t>=NF($D2767,"6 Document No.")</t>
  </si>
  <si>
    <t>=NF($D2768,"6 Document No.")</t>
  </si>
  <si>
    <t>=NF($D2769,"6 Document No.")</t>
  </si>
  <si>
    <t>=NF($D2770,"6 Document No.")</t>
  </si>
  <si>
    <t>=NF($D2771,"6 Document No.")</t>
  </si>
  <si>
    <t>=NF($D2772,"6 Document No.")</t>
  </si>
  <si>
    <t>=NF($D2773,"6 Document No.")</t>
  </si>
  <si>
    <t>=NF($D2774,"6 Document No.")</t>
  </si>
  <si>
    <t>=NF($D2775,"6 Document No.")</t>
  </si>
  <si>
    <t>=NF($D2776,"6 Document No.")</t>
  </si>
  <si>
    <t>=NF($D2777,"6 Document No.")</t>
  </si>
  <si>
    <t>=NF($D2778,"6 Document No.")</t>
  </si>
  <si>
    <t>=NF($D2779,"6 Document No.")</t>
  </si>
  <si>
    <t>=NF($D2780,"6 Document No.")</t>
  </si>
  <si>
    <t>=NF($D2781,"6 Document No.")</t>
  </si>
  <si>
    <t>=NF($D2782,"6 Document No.")</t>
  </si>
  <si>
    <t>=NF($D2783,"6 Document No.")</t>
  </si>
  <si>
    <t>=NF($D2784,"6 Document No.")</t>
  </si>
  <si>
    <t>=NF($D2785,"6 Document No.")</t>
  </si>
  <si>
    <t>=NF($D2786,"6 Document No.")</t>
  </si>
  <si>
    <t>=NF($D2787,"6 Document No.")</t>
  </si>
  <si>
    <t>=NF($D2788,"6 Document No.")</t>
  </si>
  <si>
    <t>=NF($D2789,"6 Document No.")</t>
  </si>
  <si>
    <t>=NF($D2790,"6 Document No.")</t>
  </si>
  <si>
    <t>=NF($D2791,"6 Document No.")</t>
  </si>
  <si>
    <t>=NF($D2792,"6 Document No.")</t>
  </si>
  <si>
    <t>=NF($D2793,"6 Document No.")</t>
  </si>
  <si>
    <t>=NF($D2794,"6 Document No.")</t>
  </si>
  <si>
    <t>=NF($D2795,"6 Document No.")</t>
  </si>
  <si>
    <t>=NF($D2796,"6 Document No.")</t>
  </si>
  <si>
    <t>=NF($D2797,"6 Document No.")</t>
  </si>
  <si>
    <t>=NF($D2798,"6 Document No.")</t>
  </si>
  <si>
    <t>=NF($D2799,"6 Document No.")</t>
  </si>
  <si>
    <t>=NF($D2800,"6 Document No.")</t>
  </si>
  <si>
    <t>=NF($D2801,"6 Document No.")</t>
  </si>
  <si>
    <t>=NF($D2802,"6 Document No.")</t>
  </si>
  <si>
    <t>=NF($D2803,"6 Document No.")</t>
  </si>
  <si>
    <t>=NF($D2804,"6 Document No.")</t>
  </si>
  <si>
    <t>=NF($D2805,"6 Document No.")</t>
  </si>
  <si>
    <t>=NF($D2806,"6 Document No.")</t>
  </si>
  <si>
    <t>=NF($D2807,"6 Document No.")</t>
  </si>
  <si>
    <t>=NF($D2808,"6 Document No.")</t>
  </si>
  <si>
    <t>=NF($D2809,"6 Document No.")</t>
  </si>
  <si>
    <t>=NF($D2810,"6 Document No.")</t>
  </si>
  <si>
    <t>=NF($D2811,"6 Document No.")</t>
  </si>
  <si>
    <t>=NF($D2812,"6 Document No.")</t>
  </si>
  <si>
    <t>=NF($D2813,"6 Document No.")</t>
  </si>
  <si>
    <t>=NF($D2814,"6 Document No.")</t>
  </si>
  <si>
    <t>=NF($D2815,"6 Document No.")</t>
  </si>
  <si>
    <t>=NF($D2816,"6 Document No.")</t>
  </si>
  <si>
    <t>=NF($D2817,"6 Document No.")</t>
  </si>
  <si>
    <t>=NF($D2818,"6 Document No.")</t>
  </si>
  <si>
    <t>=NF($D2819,"6 Document No.")</t>
  </si>
  <si>
    <t>=NF($D2820,"6 Document No.")</t>
  </si>
  <si>
    <t>=NF($D2821,"6 Document No.")</t>
  </si>
  <si>
    <t>=NF($D2822,"6 Document No.")</t>
  </si>
  <si>
    <t>=NF($D2823,"6 Document No.")</t>
  </si>
  <si>
    <t>=NF($D2824,"6 Document No.")</t>
  </si>
  <si>
    <t>=NF($D2825,"6 Document No.")</t>
  </si>
  <si>
    <t>=NF($D2826,"6 Document No.")</t>
  </si>
  <si>
    <t>=NF($D2827,"6 Document No.")</t>
  </si>
  <si>
    <t>=NF($D2828,"6 Document No.")</t>
  </si>
  <si>
    <t>=NF($D2829,"6 Document No.")</t>
  </si>
  <si>
    <t>=NF($D2830,"6 Document No.")</t>
  </si>
  <si>
    <t>=NF($D2831,"6 Document No.")</t>
  </si>
  <si>
    <t>=NF($D2832,"6 Document No.")</t>
  </si>
  <si>
    <t>=NF($D2833,"6 Document No.")</t>
  </si>
  <si>
    <t>=NF($D2834,"6 Document No.")</t>
  </si>
  <si>
    <t>=NF($D2835,"6 Document No.")</t>
  </si>
  <si>
    <t>=NF($D2836,"6 Document No.")</t>
  </si>
  <si>
    <t>=NF($D2837,"6 Document No.")</t>
  </si>
  <si>
    <t>=NF($D2838,"6 Document No.")</t>
  </si>
  <si>
    <t>=NF($D2839,"6 Document No.")</t>
  </si>
  <si>
    <t>=NF($D2840,"6 Document No.")</t>
  </si>
  <si>
    <t>=NF($D2841,"6 Document No.")</t>
  </si>
  <si>
    <t>=NF($D2842,"6 Document No.")</t>
  </si>
  <si>
    <t>=NF($D2843,"6 Document No.")</t>
  </si>
  <si>
    <t>=NF($D2844,"6 Document No.")</t>
  </si>
  <si>
    <t>=NF($D2845,"6 Document No.")</t>
  </si>
  <si>
    <t>=NF($D2846,"6 Document No.")</t>
  </si>
  <si>
    <t>=NF($D2847,"6 Document No.")</t>
  </si>
  <si>
    <t>=NF($D2848,"6 Document No.")</t>
  </si>
  <si>
    <t>=NF($D2849,"6 Document No.")</t>
  </si>
  <si>
    <t>=NF($D2850,"6 Document No.")</t>
  </si>
  <si>
    <t>=NF($D2851,"6 Document No.")</t>
  </si>
  <si>
    <t>=NF($D2852,"6 Document No.")</t>
  </si>
  <si>
    <t>=NF($D2853,"6 Document No.")</t>
  </si>
  <si>
    <t>=NF($D2727,"37 Due Date")</t>
  </si>
  <si>
    <t>=NF($D2728,"37 Due Date")</t>
  </si>
  <si>
    <t>=NF($D2729,"37 Due Date")</t>
  </si>
  <si>
    <t>=NF($D2730,"37 Due Date")</t>
  </si>
  <si>
    <t>=NF($D2731,"37 Due Date")</t>
  </si>
  <si>
    <t>=NF($D2732,"37 Due Date")</t>
  </si>
  <si>
    <t>=NF($D2733,"37 Due Date")</t>
  </si>
  <si>
    <t>=NF($D2734,"37 Due Date")</t>
  </si>
  <si>
    <t>=NF($D2735,"37 Due Date")</t>
  </si>
  <si>
    <t>=NF($D2736,"37 Due Date")</t>
  </si>
  <si>
    <t>=NF($D2737,"37 Due Date")</t>
  </si>
  <si>
    <t>=NF($D2738,"37 Due Date")</t>
  </si>
  <si>
    <t>=NF($D2739,"37 Due Date")</t>
  </si>
  <si>
    <t>=NF($D2740,"37 Due Date")</t>
  </si>
  <si>
    <t>=NF($D2741,"37 Due Date")</t>
  </si>
  <si>
    <t>=NF($D2742,"37 Due Date")</t>
  </si>
  <si>
    <t>=NF($D2743,"37 Due Date")</t>
  </si>
  <si>
    <t>=NF($D2744,"37 Due Date")</t>
  </si>
  <si>
    <t>=NF($D2745,"37 Due Date")</t>
  </si>
  <si>
    <t>=NF($D2746,"37 Due Date")</t>
  </si>
  <si>
    <t>=NF($D2747,"37 Due Date")</t>
  </si>
  <si>
    <t>=NF($D2748,"37 Due Date")</t>
  </si>
  <si>
    <t>=NF($D2749,"37 Due Date")</t>
  </si>
  <si>
    <t>=NF($D2750,"37 Due Date")</t>
  </si>
  <si>
    <t>=NF($D2751,"37 Due Date")</t>
  </si>
  <si>
    <t>=NF($D2752,"37 Due Date")</t>
  </si>
  <si>
    <t>=NF($D2753,"37 Due Date")</t>
  </si>
  <si>
    <t>=NF($D2754,"37 Due Date")</t>
  </si>
  <si>
    <t>=NF($D2755,"37 Due Date")</t>
  </si>
  <si>
    <t>=NF($D2756,"37 Due Date")</t>
  </si>
  <si>
    <t>=NF($D2757,"37 Due Date")</t>
  </si>
  <si>
    <t>=NF($D2758,"37 Due Date")</t>
  </si>
  <si>
    <t>=NF($D2759,"37 Due Date")</t>
  </si>
  <si>
    <t>=NF($D2760,"37 Due Date")</t>
  </si>
  <si>
    <t>=NF($D2761,"37 Due Date")</t>
  </si>
  <si>
    <t>=NF($D2762,"37 Due Date")</t>
  </si>
  <si>
    <t>=NF($D2763,"37 Due Date")</t>
  </si>
  <si>
    <t>=NF($D2764,"37 Due Date")</t>
  </si>
  <si>
    <t>=NF($D2765,"37 Due Date")</t>
  </si>
  <si>
    <t>=NF($D2766,"37 Due Date")</t>
  </si>
  <si>
    <t>=NF($D2767,"37 Due Date")</t>
  </si>
  <si>
    <t>=NF($D2768,"37 Due Date")</t>
  </si>
  <si>
    <t>=NF($D2769,"37 Due Date")</t>
  </si>
  <si>
    <t>=NF($D2770,"37 Due Date")</t>
  </si>
  <si>
    <t>=NF($D2771,"37 Due Date")</t>
  </si>
  <si>
    <t>=NF($D2772,"37 Due Date")</t>
  </si>
  <si>
    <t>=NF($D2773,"37 Due Date")</t>
  </si>
  <si>
    <t>=NF($D2774,"37 Due Date")</t>
  </si>
  <si>
    <t>=NF($D2775,"37 Due Date")</t>
  </si>
  <si>
    <t>=NF($D2776,"37 Due Date")</t>
  </si>
  <si>
    <t>=NF($D2777,"37 Due Date")</t>
  </si>
  <si>
    <t>=NF($D2778,"37 Due Date")</t>
  </si>
  <si>
    <t>=NF($D2779,"37 Due Date")</t>
  </si>
  <si>
    <t>=NF($D2780,"37 Due Date")</t>
  </si>
  <si>
    <t>=NF($D2781,"37 Due Date")</t>
  </si>
  <si>
    <t>=NF($D2782,"37 Due Date")</t>
  </si>
  <si>
    <t>=NF($D2783,"37 Due Date")</t>
  </si>
  <si>
    <t>=NF($D2784,"37 Due Date")</t>
  </si>
  <si>
    <t>=NF($D2785,"37 Due Date")</t>
  </si>
  <si>
    <t>=NF($D2786,"37 Due Date")</t>
  </si>
  <si>
    <t>=NF($D2787,"37 Due Date")</t>
  </si>
  <si>
    <t>=NF($D2788,"37 Due Date")</t>
  </si>
  <si>
    <t>=NF($D2789,"37 Due Date")</t>
  </si>
  <si>
    <t>=NF($D2790,"37 Due Date")</t>
  </si>
  <si>
    <t>=NF($D2791,"37 Due Date")</t>
  </si>
  <si>
    <t>=NF($D2792,"37 Due Date")</t>
  </si>
  <si>
    <t>=NF($D2793,"37 Due Date")</t>
  </si>
  <si>
    <t>=NF($D2794,"37 Due Date")</t>
  </si>
  <si>
    <t>=NF($D2795,"37 Due Date")</t>
  </si>
  <si>
    <t>=NF($D2796,"37 Due Date")</t>
  </si>
  <si>
    <t>=NF($D2797,"37 Due Date")</t>
  </si>
  <si>
    <t>=NF($D2798,"37 Due Date")</t>
  </si>
  <si>
    <t>=NF($D2799,"37 Due Date")</t>
  </si>
  <si>
    <t>=NF($D2800,"37 Due Date")</t>
  </si>
  <si>
    <t>=NF($D2801,"37 Due Date")</t>
  </si>
  <si>
    <t>=NF($D2802,"37 Due Date")</t>
  </si>
  <si>
    <t>=NF($D2803,"37 Due Date")</t>
  </si>
  <si>
    <t>=NF($D2804,"37 Due Date")</t>
  </si>
  <si>
    <t>=NF($D2805,"37 Due Date")</t>
  </si>
  <si>
    <t>=NF($D2806,"37 Due Date")</t>
  </si>
  <si>
    <t>=NF($D2807,"37 Due Date")</t>
  </si>
  <si>
    <t>=NF($D2808,"37 Due Date")</t>
  </si>
  <si>
    <t>=NF($D2809,"37 Due Date")</t>
  </si>
  <si>
    <t>=NF($D2810,"37 Due Date")</t>
  </si>
  <si>
    <t>=NF($D2811,"37 Due Date")</t>
  </si>
  <si>
    <t>=NF($D2812,"37 Due Date")</t>
  </si>
  <si>
    <t>=NF($D2813,"37 Due Date")</t>
  </si>
  <si>
    <t>=NF($D2814,"37 Due Date")</t>
  </si>
  <si>
    <t>=NF($D2815,"37 Due Date")</t>
  </si>
  <si>
    <t>=NF($D2816,"37 Due Date")</t>
  </si>
  <si>
    <t>=NF($D2817,"37 Due Date")</t>
  </si>
  <si>
    <t>=NF($D2818,"37 Due Date")</t>
  </si>
  <si>
    <t>=NF($D2819,"37 Due Date")</t>
  </si>
  <si>
    <t>=NF($D2820,"37 Due Date")</t>
  </si>
  <si>
    <t>=NF($D2821,"37 Due Date")</t>
  </si>
  <si>
    <t>=NF($D2822,"37 Due Date")</t>
  </si>
  <si>
    <t>=NF($D2823,"37 Due Date")</t>
  </si>
  <si>
    <t>=NF($D2824,"37 Due Date")</t>
  </si>
  <si>
    <t>=NF($D2825,"37 Due Date")</t>
  </si>
  <si>
    <t>=NF($D2826,"37 Due Date")</t>
  </si>
  <si>
    <t>=NF($D2827,"37 Due Date")</t>
  </si>
  <si>
    <t>=NF($D2828,"37 Due Date")</t>
  </si>
  <si>
    <t>=NF($D2829,"37 Due Date")</t>
  </si>
  <si>
    <t>=NF($D2830,"37 Due Date")</t>
  </si>
  <si>
    <t>=NF($D2831,"37 Due Date")</t>
  </si>
  <si>
    <t>=NF($D2832,"37 Due Date")</t>
  </si>
  <si>
    <t>=NF($D2833,"37 Due Date")</t>
  </si>
  <si>
    <t>=NF($D2834,"37 Due Date")</t>
  </si>
  <si>
    <t>=NF($D2835,"37 Due Date")</t>
  </si>
  <si>
    <t>=NF($D2836,"37 Due Date")</t>
  </si>
  <si>
    <t>=NF($D2837,"37 Due Date")</t>
  </si>
  <si>
    <t>=NF($D2838,"37 Due Date")</t>
  </si>
  <si>
    <t>=NF($D2839,"37 Due Date")</t>
  </si>
  <si>
    <t>=NF($D2840,"37 Due Date")</t>
  </si>
  <si>
    <t>=NF($D2841,"37 Due Date")</t>
  </si>
  <si>
    <t>=NF($D2842,"37 Due Date")</t>
  </si>
  <si>
    <t>=NF($D2843,"37 Due Date")</t>
  </si>
  <si>
    <t>=NF($D2844,"37 Due Date")</t>
  </si>
  <si>
    <t>=NF($D2845,"37 Due Date")</t>
  </si>
  <si>
    <t>=NF($D2846,"37 Due Date")</t>
  </si>
  <si>
    <t>=NF($D2847,"37 Due Date")</t>
  </si>
  <si>
    <t>=NF($D2848,"37 Due Date")</t>
  </si>
  <si>
    <t>=NF($D2849,"37 Due Date")</t>
  </si>
  <si>
    <t>=NF($D2850,"37 Due Date")</t>
  </si>
  <si>
    <t>=NF($D2851,"37 Due Date")</t>
  </si>
  <si>
    <t>=NF($D2852,"37 Due Date")</t>
  </si>
  <si>
    <t>=NF($D2853,"37 Due Date")</t>
  </si>
  <si>
    <t>=NF($D2727,"16 Remaining Amt. (LCY)")</t>
  </si>
  <si>
    <t>=NF($D2728,"16 Remaining Amt. (LCY)")</t>
  </si>
  <si>
    <t>=NF($D2729,"16 Remaining Amt. (LCY)")</t>
  </si>
  <si>
    <t>=NF($D2730,"16 Remaining Amt. (LCY)")</t>
  </si>
  <si>
    <t>=NF($D2731,"16 Remaining Amt. (LCY)")</t>
  </si>
  <si>
    <t>=NF($D2732,"16 Remaining Amt. (LCY)")</t>
  </si>
  <si>
    <t>=NF($D2733,"16 Remaining Amt. (LCY)")</t>
  </si>
  <si>
    <t>=NF($D2734,"16 Remaining Amt. (LCY)")</t>
  </si>
  <si>
    <t>=NF($D2735,"16 Remaining Amt. (LCY)")</t>
  </si>
  <si>
    <t>=NF($D2736,"16 Remaining Amt. (LCY)")</t>
  </si>
  <si>
    <t>=NF($D2737,"16 Remaining Amt. (LCY)")</t>
  </si>
  <si>
    <t>=NF($D2738,"16 Remaining Amt. (LCY)")</t>
  </si>
  <si>
    <t>=NF($D2739,"16 Remaining Amt. (LCY)")</t>
  </si>
  <si>
    <t>=NF($D2740,"16 Remaining Amt. (LCY)")</t>
  </si>
  <si>
    <t>=NF($D2741,"16 Remaining Amt. (LCY)")</t>
  </si>
  <si>
    <t>=NF($D2742,"16 Remaining Amt. (LCY)")</t>
  </si>
  <si>
    <t>=NF($D2743,"16 Remaining Amt. (LCY)")</t>
  </si>
  <si>
    <t>=NF($D2744,"16 Remaining Amt. (LCY)")</t>
  </si>
  <si>
    <t>=NF($D2745,"16 Remaining Amt. (LCY)")</t>
  </si>
  <si>
    <t>=NF($D2746,"16 Remaining Amt. (LCY)")</t>
  </si>
  <si>
    <t>=NF($D2747,"16 Remaining Amt. (LCY)")</t>
  </si>
  <si>
    <t>=NF($D2748,"16 Remaining Amt. (LCY)")</t>
  </si>
  <si>
    <t>=NF($D2749,"16 Remaining Amt. (LCY)")</t>
  </si>
  <si>
    <t>=NF($D2750,"16 Remaining Amt. (LCY)")</t>
  </si>
  <si>
    <t>=NF($D2751,"16 Remaining Amt. (LCY)")</t>
  </si>
  <si>
    <t>=NF($D2752,"16 Remaining Amt. (LCY)")</t>
  </si>
  <si>
    <t>=NF($D2753,"16 Remaining Amt. (LCY)")</t>
  </si>
  <si>
    <t>=NF($D2754,"16 Remaining Amt. (LCY)")</t>
  </si>
  <si>
    <t>=NF($D2755,"16 Remaining Amt. (LCY)")</t>
  </si>
  <si>
    <t>=NF($D2756,"16 Remaining Amt. (LCY)")</t>
  </si>
  <si>
    <t>=NF($D2757,"16 Remaining Amt. (LCY)")</t>
  </si>
  <si>
    <t>=NF($D2758,"16 Remaining Amt. (LCY)")</t>
  </si>
  <si>
    <t>=NF($D2759,"16 Remaining Amt. (LCY)")</t>
  </si>
  <si>
    <t>=NF($D2760,"16 Remaining Amt. (LCY)")</t>
  </si>
  <si>
    <t>=NF($D2761,"16 Remaining Amt. (LCY)")</t>
  </si>
  <si>
    <t>=NF($D2762,"16 Remaining Amt. (LCY)")</t>
  </si>
  <si>
    <t>=NF($D2763,"16 Remaining Amt. (LCY)")</t>
  </si>
  <si>
    <t>=NF($D2764,"16 Remaining Amt. (LCY)")</t>
  </si>
  <si>
    <t>=NF($D2765,"16 Remaining Amt. (LCY)")</t>
  </si>
  <si>
    <t>=NF($D2766,"16 Remaining Amt. (LCY)")</t>
  </si>
  <si>
    <t>=NF($D2767,"16 Remaining Amt. (LCY)")</t>
  </si>
  <si>
    <t>=NF($D2768,"16 Remaining Amt. (LCY)")</t>
  </si>
  <si>
    <t>=NF($D2769,"16 Remaining Amt. (LCY)")</t>
  </si>
  <si>
    <t>=NF($D2770,"16 Remaining Amt. (LCY)")</t>
  </si>
  <si>
    <t>=NF($D2771,"16 Remaining Amt. (LCY)")</t>
  </si>
  <si>
    <t>=NF($D2772,"16 Remaining Amt. (LCY)")</t>
  </si>
  <si>
    <t>=NF($D2773,"16 Remaining Amt. (LCY)")</t>
  </si>
  <si>
    <t>=NF($D2774,"16 Remaining Amt. (LCY)")</t>
  </si>
  <si>
    <t>=NF($D2775,"16 Remaining Amt. (LCY)")</t>
  </si>
  <si>
    <t>=NF($D2776,"16 Remaining Amt. (LCY)")</t>
  </si>
  <si>
    <t>=NF($D2777,"16 Remaining Amt. (LCY)")</t>
  </si>
  <si>
    <t>=NF($D2778,"16 Remaining Amt. (LCY)")</t>
  </si>
  <si>
    <t>=NF($D2779,"16 Remaining Amt. (LCY)")</t>
  </si>
  <si>
    <t>=NF($D2780,"16 Remaining Amt. (LCY)")</t>
  </si>
  <si>
    <t>=NF($D2781,"16 Remaining Amt. (LCY)")</t>
  </si>
  <si>
    <t>=NF($D2782,"16 Remaining Amt. (LCY)")</t>
  </si>
  <si>
    <t>=NF($D2783,"16 Remaining Amt. (LCY)")</t>
  </si>
  <si>
    <t>=NF($D2784,"16 Remaining Amt. (LCY)")</t>
  </si>
  <si>
    <t>=NF($D2785,"16 Remaining Amt. (LCY)")</t>
  </si>
  <si>
    <t>=NF($D2786,"16 Remaining Amt. (LCY)")</t>
  </si>
  <si>
    <t>=NF($D2787,"16 Remaining Amt. (LCY)")</t>
  </si>
  <si>
    <t>=NF($D2788,"16 Remaining Amt. (LCY)")</t>
  </si>
  <si>
    <t>=NF($D2789,"16 Remaining Amt. (LCY)")</t>
  </si>
  <si>
    <t>=NF($D2790,"16 Remaining Amt. (LCY)")</t>
  </si>
  <si>
    <t>=NF($D2791,"16 Remaining Amt. (LCY)")</t>
  </si>
  <si>
    <t>=NF($D2792,"16 Remaining Amt. (LCY)")</t>
  </si>
  <si>
    <t>=NF($D2793,"16 Remaining Amt. (LCY)")</t>
  </si>
  <si>
    <t>=NF($D2794,"16 Remaining Amt. (LCY)")</t>
  </si>
  <si>
    <t>=NF($D2795,"16 Remaining Amt. (LCY)")</t>
  </si>
  <si>
    <t>=NF($D2796,"16 Remaining Amt. (LCY)")</t>
  </si>
  <si>
    <t>=NF($D2797,"16 Remaining Amt. (LCY)")</t>
  </si>
  <si>
    <t>=NF($D2798,"16 Remaining Amt. (LCY)")</t>
  </si>
  <si>
    <t>=NF($D2799,"16 Remaining Amt. (LCY)")</t>
  </si>
  <si>
    <t>=NF($D2800,"16 Remaining Amt. (LCY)")</t>
  </si>
  <si>
    <t>=NF($D2801,"16 Remaining Amt. (LCY)")</t>
  </si>
  <si>
    <t>=NF($D2802,"16 Remaining Amt. (LCY)")</t>
  </si>
  <si>
    <t>=NF($D2803,"16 Remaining Amt. (LCY)")</t>
  </si>
  <si>
    <t>=NF($D2804,"16 Remaining Amt. (LCY)")</t>
  </si>
  <si>
    <t>=NF($D2805,"16 Remaining Amt. (LCY)")</t>
  </si>
  <si>
    <t>=NF($D2806,"16 Remaining Amt. (LCY)")</t>
  </si>
  <si>
    <t>=NF($D2807,"16 Remaining Amt. (LCY)")</t>
  </si>
  <si>
    <t>=NF($D2808,"16 Remaining Amt. (LCY)")</t>
  </si>
  <si>
    <t>=NF($D2809,"16 Remaining Amt. (LCY)")</t>
  </si>
  <si>
    <t>=NF($D2810,"16 Remaining Amt. (LCY)")</t>
  </si>
  <si>
    <t>=NF($D2811,"16 Remaining Amt. (LCY)")</t>
  </si>
  <si>
    <t>=NF($D2812,"16 Remaining Amt. (LCY)")</t>
  </si>
  <si>
    <t>=NF($D2813,"16 Remaining Amt. (LCY)")</t>
  </si>
  <si>
    <t>=NF($D2814,"16 Remaining Amt. (LCY)")</t>
  </si>
  <si>
    <t>=NF($D2815,"16 Remaining Amt. (LCY)")</t>
  </si>
  <si>
    <t>=NF($D2816,"16 Remaining Amt. (LCY)")</t>
  </si>
  <si>
    <t>=NF($D2817,"16 Remaining Amt. (LCY)")</t>
  </si>
  <si>
    <t>=NF($D2818,"16 Remaining Amt. (LCY)")</t>
  </si>
  <si>
    <t>=NF($D2819,"16 Remaining Amt. (LCY)")</t>
  </si>
  <si>
    <t>=NF($D2820,"16 Remaining Amt. (LCY)")</t>
  </si>
  <si>
    <t>=NF($D2821,"16 Remaining Amt. (LCY)")</t>
  </si>
  <si>
    <t>=NF($D2822,"16 Remaining Amt. (LCY)")</t>
  </si>
  <si>
    <t>=NF($D2823,"16 Remaining Amt. (LCY)")</t>
  </si>
  <si>
    <t>=NF($D2824,"16 Remaining Amt. (LCY)")</t>
  </si>
  <si>
    <t>=NF($D2825,"16 Remaining Amt. (LCY)")</t>
  </si>
  <si>
    <t>=NF($D2826,"16 Remaining Amt. (LCY)")</t>
  </si>
  <si>
    <t>=NF($D2827,"16 Remaining Amt. (LCY)")</t>
  </si>
  <si>
    <t>=NF($D2828,"16 Remaining Amt. (LCY)")</t>
  </si>
  <si>
    <t>=NF($D2829,"16 Remaining Amt. (LCY)")</t>
  </si>
  <si>
    <t>=NF($D2830,"16 Remaining Amt. (LCY)")</t>
  </si>
  <si>
    <t>=NF($D2831,"16 Remaining Amt. (LCY)")</t>
  </si>
  <si>
    <t>=NF($D2832,"16 Remaining Amt. (LCY)")</t>
  </si>
  <si>
    <t>=NF($D2833,"16 Remaining Amt. (LCY)")</t>
  </si>
  <si>
    <t>=NF($D2834,"16 Remaining Amt. (LCY)")</t>
  </si>
  <si>
    <t>=NF($D2835,"16 Remaining Amt. (LCY)")</t>
  </si>
  <si>
    <t>=NF($D2836,"16 Remaining Amt. (LCY)")</t>
  </si>
  <si>
    <t>=NF($D2837,"16 Remaining Amt. (LCY)")</t>
  </si>
  <si>
    <t>=NF($D2838,"16 Remaining Amt. (LCY)")</t>
  </si>
  <si>
    <t>=NF($D2839,"16 Remaining Amt. (LCY)")</t>
  </si>
  <si>
    <t>=NF($D2840,"16 Remaining Amt. (LCY)")</t>
  </si>
  <si>
    <t>=NF($D2841,"16 Remaining Amt. (LCY)")</t>
  </si>
  <si>
    <t>=NF($D2842,"16 Remaining Amt. (LCY)")</t>
  </si>
  <si>
    <t>=NF($D2843,"16 Remaining Amt. (LCY)")</t>
  </si>
  <si>
    <t>=NF($D2844,"16 Remaining Amt. (LCY)")</t>
  </si>
  <si>
    <t>=NF($D2845,"16 Remaining Amt. (LCY)")</t>
  </si>
  <si>
    <t>=NF($D2846,"16 Remaining Amt. (LCY)")</t>
  </si>
  <si>
    <t>=NF($D2847,"16 Remaining Amt. (LCY)")</t>
  </si>
  <si>
    <t>=NF($D2848,"16 Remaining Amt. (LCY)")</t>
  </si>
  <si>
    <t>=NF($D2849,"16 Remaining Amt. (LCY)")</t>
  </si>
  <si>
    <t>=NF($D2850,"16 Remaining Amt. (LCY)")</t>
  </si>
  <si>
    <t>=NF($D2851,"16 Remaining Amt. (LCY)")</t>
  </si>
  <si>
    <t>=NF($D2852,"16 Remaining Amt. (LCY)")</t>
  </si>
  <si>
    <t>=NF($D2853,"16 Remaining Amt. (LCY)")</t>
  </si>
  <si>
    <t>=NF($D2704,"5 Document Type")</t>
  </si>
  <si>
    <t>=NF($D2705,"5 Document Type")</t>
  </si>
  <si>
    <t>=NF($D2706,"5 Document Type")</t>
  </si>
  <si>
    <t>=NF($D2707,"5 Document Type")</t>
  </si>
  <si>
    <t>=NF($D2708,"5 Document Type")</t>
  </si>
  <si>
    <t>=NF($D2709,"5 Document Type")</t>
  </si>
  <si>
    <t>=NF($D2710,"5 Document Type")</t>
  </si>
  <si>
    <t>=NF($D2711,"5 Document Type")</t>
  </si>
  <si>
    <t>=NF($D2712,"5 Document Type")</t>
  </si>
  <si>
    <t>=NF($D2713,"5 Document Type")</t>
  </si>
  <si>
    <t>=NF($D2714,"5 Document Type")</t>
  </si>
  <si>
    <t>=NF($D2715,"5 Document Type")</t>
  </si>
  <si>
    <t>=NF($D2716,"5 Document Type")</t>
  </si>
  <si>
    <t>=NF($D2717,"5 Document Type")</t>
  </si>
  <si>
    <t>=NF($D2718,"5 Document Type")</t>
  </si>
  <si>
    <t>=NF($D2719,"5 Document Type")</t>
  </si>
  <si>
    <t>=NF($D2720,"5 Document Type")</t>
  </si>
  <si>
    <t>=NF($D2704,"6 Document No.")</t>
  </si>
  <si>
    <t>=NF($D2705,"6 Document No.")</t>
  </si>
  <si>
    <t>=NF($D2706,"6 Document No.")</t>
  </si>
  <si>
    <t>=NF($D2707,"6 Document No.")</t>
  </si>
  <si>
    <t>=NF($D2708,"6 Document No.")</t>
  </si>
  <si>
    <t>=NF($D2709,"6 Document No.")</t>
  </si>
  <si>
    <t>=NF($D2710,"6 Document No.")</t>
  </si>
  <si>
    <t>=NF($D2711,"6 Document No.")</t>
  </si>
  <si>
    <t>=NF($D2712,"6 Document No.")</t>
  </si>
  <si>
    <t>=NF($D2713,"6 Document No.")</t>
  </si>
  <si>
    <t>=NF($D2714,"6 Document No.")</t>
  </si>
  <si>
    <t>=NF($D2715,"6 Document No.")</t>
  </si>
  <si>
    <t>=NF($D2716,"6 Document No.")</t>
  </si>
  <si>
    <t>=NF($D2717,"6 Document No.")</t>
  </si>
  <si>
    <t>=NF($D2718,"6 Document No.")</t>
  </si>
  <si>
    <t>=NF($D2719,"6 Document No.")</t>
  </si>
  <si>
    <t>=NF($D2720,"6 Document No.")</t>
  </si>
  <si>
    <t>=NF($D2704,"37 Due Date")</t>
  </si>
  <si>
    <t>=NF($D2705,"37 Due Date")</t>
  </si>
  <si>
    <t>=NF($D2706,"37 Due Date")</t>
  </si>
  <si>
    <t>=NF($D2707,"37 Due Date")</t>
  </si>
  <si>
    <t>=NF($D2708,"37 Due Date")</t>
  </si>
  <si>
    <t>=NF($D2709,"37 Due Date")</t>
  </si>
  <si>
    <t>=NF($D2710,"37 Due Date")</t>
  </si>
  <si>
    <t>=NF($D2711,"37 Due Date")</t>
  </si>
  <si>
    <t>=NF($D2712,"37 Due Date")</t>
  </si>
  <si>
    <t>=NF($D2713,"37 Due Date")</t>
  </si>
  <si>
    <t>=NF($D2714,"37 Due Date")</t>
  </si>
  <si>
    <t>=NF($D2715,"37 Due Date")</t>
  </si>
  <si>
    <t>=NF($D2716,"37 Due Date")</t>
  </si>
  <si>
    <t>=NF($D2717,"37 Due Date")</t>
  </si>
  <si>
    <t>=NF($D2718,"37 Due Date")</t>
  </si>
  <si>
    <t>=NF($D2719,"37 Due Date")</t>
  </si>
  <si>
    <t>=NF($D2720,"37 Due Date")</t>
  </si>
  <si>
    <t>=NF($D2704,"16 Remaining Amt. (LCY)")</t>
  </si>
  <si>
    <t>=NF($D2705,"16 Remaining Amt. (LCY)")</t>
  </si>
  <si>
    <t>=NF($D2706,"16 Remaining Amt. (LCY)")</t>
  </si>
  <si>
    <t>=NF($D2707,"16 Remaining Amt. (LCY)")</t>
  </si>
  <si>
    <t>=NF($D2708,"16 Remaining Amt. (LCY)")</t>
  </si>
  <si>
    <t>=NF($D2709,"16 Remaining Amt. (LCY)")</t>
  </si>
  <si>
    <t>=NF($D2710,"16 Remaining Amt. (LCY)")</t>
  </si>
  <si>
    <t>=NF($D2711,"16 Remaining Amt. (LCY)")</t>
  </si>
  <si>
    <t>=NF($D2712,"16 Remaining Amt. (LCY)")</t>
  </si>
  <si>
    <t>=NF($D2713,"16 Remaining Amt. (LCY)")</t>
  </si>
  <si>
    <t>=NF($D2714,"16 Remaining Amt. (LCY)")</t>
  </si>
  <si>
    <t>=NF($D2715,"16 Remaining Amt. (LCY)")</t>
  </si>
  <si>
    <t>=NF($D2716,"16 Remaining Amt. (LCY)")</t>
  </si>
  <si>
    <t>=NF($D2717,"16 Remaining Amt. (LCY)")</t>
  </si>
  <si>
    <t>=NF($D2718,"16 Remaining Amt. (LCY)")</t>
  </si>
  <si>
    <t>=NF($D2719,"16 Remaining Amt. (LCY)")</t>
  </si>
  <si>
    <t>=NF($D2720,"16 Remaining Amt. (LCY)")</t>
  </si>
  <si>
    <t>=NF($D2654,"5 Document Type")</t>
  </si>
  <si>
    <t>=NF($D2655,"5 Document Type")</t>
  </si>
  <si>
    <t>=NF($D2656,"5 Document Type")</t>
  </si>
  <si>
    <t>=NF($D2657,"5 Document Type")</t>
  </si>
  <si>
    <t>=NF($D2658,"5 Document Type")</t>
  </si>
  <si>
    <t>=NF($D2659,"5 Document Type")</t>
  </si>
  <si>
    <t>=NF($D2660,"5 Document Type")</t>
  </si>
  <si>
    <t>=NF($D2661,"5 Document Type")</t>
  </si>
  <si>
    <t>=NF($D2662,"5 Document Type")</t>
  </si>
  <si>
    <t>=NF($D2663,"5 Document Type")</t>
  </si>
  <si>
    <t>=NF($D2664,"5 Document Type")</t>
  </si>
  <si>
    <t>=NF($D2665,"5 Document Type")</t>
  </si>
  <si>
    <t>=NF($D2666,"5 Document Type")</t>
  </si>
  <si>
    <t>=NF($D2667,"5 Document Type")</t>
  </si>
  <si>
    <t>=NF($D2668,"5 Document Type")</t>
  </si>
  <si>
    <t>=NF($D2669,"5 Document Type")</t>
  </si>
  <si>
    <t>=NF($D2670,"5 Document Type")</t>
  </si>
  <si>
    <t>=NF($D2671,"5 Document Type")</t>
  </si>
  <si>
    <t>=NF($D2672,"5 Document Type")</t>
  </si>
  <si>
    <t>=NF($D2673,"5 Document Type")</t>
  </si>
  <si>
    <t>=NF($D2674,"5 Document Type")</t>
  </si>
  <si>
    <t>=NF($D2675,"5 Document Type")</t>
  </si>
  <si>
    <t>=NF($D2676,"5 Document Type")</t>
  </si>
  <si>
    <t>=NF($D2677,"5 Document Type")</t>
  </si>
  <si>
    <t>=NF($D2678,"5 Document Type")</t>
  </si>
  <si>
    <t>=NF($D2679,"5 Document Type")</t>
  </si>
  <si>
    <t>=NF($D2680,"5 Document Type")</t>
  </si>
  <si>
    <t>=NF($D2681,"5 Document Type")</t>
  </si>
  <si>
    <t>=NF($D2682,"5 Document Type")</t>
  </si>
  <si>
    <t>=NF($D2683,"5 Document Type")</t>
  </si>
  <si>
    <t>=NF($D2684,"5 Document Type")</t>
  </si>
  <si>
    <t>=NF($D2685,"5 Document Type")</t>
  </si>
  <si>
    <t>=NF($D2686,"5 Document Type")</t>
  </si>
  <si>
    <t>=NF($D2687,"5 Document Type")</t>
  </si>
  <si>
    <t>=NF($D2688,"5 Document Type")</t>
  </si>
  <si>
    <t>=NF($D2689,"5 Document Type")</t>
  </si>
  <si>
    <t>=NF($D2690,"5 Document Type")</t>
  </si>
  <si>
    <t>=NF($D2691,"5 Document Type")</t>
  </si>
  <si>
    <t>=NF($D2692,"5 Document Type")</t>
  </si>
  <si>
    <t>=NF($D2693,"5 Document Type")</t>
  </si>
  <si>
    <t>=NF($D2694,"5 Document Type")</t>
  </si>
  <si>
    <t>=NF($D2695,"5 Document Type")</t>
  </si>
  <si>
    <t>=NF($D2696,"5 Document Type")</t>
  </si>
  <si>
    <t>=NF($D2697,"5 Document Type")</t>
  </si>
  <si>
    <t>=NF($D2654,"6 Document No.")</t>
  </si>
  <si>
    <t>=NF($D2655,"6 Document No.")</t>
  </si>
  <si>
    <t>=NF($D2656,"6 Document No.")</t>
  </si>
  <si>
    <t>=NF($D2657,"6 Document No.")</t>
  </si>
  <si>
    <t>=NF($D2658,"6 Document No.")</t>
  </si>
  <si>
    <t>=NF($D2659,"6 Document No.")</t>
  </si>
  <si>
    <t>=NF($D2660,"6 Document No.")</t>
  </si>
  <si>
    <t>=NF($D2661,"6 Document No.")</t>
  </si>
  <si>
    <t>=NF($D2662,"6 Document No.")</t>
  </si>
  <si>
    <t>=NF($D2663,"6 Document No.")</t>
  </si>
  <si>
    <t>=NF($D2664,"6 Document No.")</t>
  </si>
  <si>
    <t>=NF($D2665,"6 Document No.")</t>
  </si>
  <si>
    <t>=NF($D2666,"6 Document No.")</t>
  </si>
  <si>
    <t>=NF($D2667,"6 Document No.")</t>
  </si>
  <si>
    <t>=NF($D2668,"6 Document No.")</t>
  </si>
  <si>
    <t>=NF($D2669,"6 Document No.")</t>
  </si>
  <si>
    <t>=NF($D2670,"6 Document No.")</t>
  </si>
  <si>
    <t>=NF($D2671,"6 Document No.")</t>
  </si>
  <si>
    <t>=NF($D2672,"6 Document No.")</t>
  </si>
  <si>
    <t>=NF($D2673,"6 Document No.")</t>
  </si>
  <si>
    <t>=NF($D2674,"6 Document No.")</t>
  </si>
  <si>
    <t>=NF($D2675,"6 Document No.")</t>
  </si>
  <si>
    <t>=NF($D2676,"6 Document No.")</t>
  </si>
  <si>
    <t>=NF($D2677,"6 Document No.")</t>
  </si>
  <si>
    <t>=NF($D2678,"6 Document No.")</t>
  </si>
  <si>
    <t>=NF($D2679,"6 Document No.")</t>
  </si>
  <si>
    <t>=NF($D2680,"6 Document No.")</t>
  </si>
  <si>
    <t>=NF($D2681,"6 Document No.")</t>
  </si>
  <si>
    <t>=NF($D2682,"6 Document No.")</t>
  </si>
  <si>
    <t>=NF($D2683,"6 Document No.")</t>
  </si>
  <si>
    <t>=NF($D2684,"6 Document No.")</t>
  </si>
  <si>
    <t>=NF($D2685,"6 Document No.")</t>
  </si>
  <si>
    <t>=NF($D2686,"6 Document No.")</t>
  </si>
  <si>
    <t>=NF($D2687,"6 Document No.")</t>
  </si>
  <si>
    <t>=NF($D2688,"6 Document No.")</t>
  </si>
  <si>
    <t>=NF($D2689,"6 Document No.")</t>
  </si>
  <si>
    <t>=NF($D2690,"6 Document No.")</t>
  </si>
  <si>
    <t>=NF($D2691,"6 Document No.")</t>
  </si>
  <si>
    <t>=NF($D2692,"6 Document No.")</t>
  </si>
  <si>
    <t>=NF($D2693,"6 Document No.")</t>
  </si>
  <si>
    <t>=NF($D2694,"6 Document No.")</t>
  </si>
  <si>
    <t>=NF($D2695,"6 Document No.")</t>
  </si>
  <si>
    <t>=NF($D2696,"6 Document No.")</t>
  </si>
  <si>
    <t>=NF($D2697,"6 Document No.")</t>
  </si>
  <si>
    <t>=NF($D2654,"37 Due Date")</t>
  </si>
  <si>
    <t>=NF($D2655,"37 Due Date")</t>
  </si>
  <si>
    <t>=NF($D2656,"37 Due Date")</t>
  </si>
  <si>
    <t>=NF($D2657,"37 Due Date")</t>
  </si>
  <si>
    <t>=NF($D2658,"37 Due Date")</t>
  </si>
  <si>
    <t>=NF($D2659,"37 Due Date")</t>
  </si>
  <si>
    <t>=NF($D2660,"37 Due Date")</t>
  </si>
  <si>
    <t>=NF($D2661,"37 Due Date")</t>
  </si>
  <si>
    <t>=NF($D2662,"37 Due Date")</t>
  </si>
  <si>
    <t>=NF($D2663,"37 Due Date")</t>
  </si>
  <si>
    <t>=NF($D2664,"37 Due Date")</t>
  </si>
  <si>
    <t>=NF($D2665,"37 Due Date")</t>
  </si>
  <si>
    <t>=NF($D2666,"37 Due Date")</t>
  </si>
  <si>
    <t>=NF($D2667,"37 Due Date")</t>
  </si>
  <si>
    <t>=NF($D2668,"37 Due Date")</t>
  </si>
  <si>
    <t>=NF($D2669,"37 Due Date")</t>
  </si>
  <si>
    <t>=NF($D2670,"37 Due Date")</t>
  </si>
  <si>
    <t>=NF($D2671,"37 Due Date")</t>
  </si>
  <si>
    <t>=NF($D2672,"37 Due Date")</t>
  </si>
  <si>
    <t>=NF($D2673,"37 Due Date")</t>
  </si>
  <si>
    <t>=NF($D2674,"37 Due Date")</t>
  </si>
  <si>
    <t>=NF($D2675,"37 Due Date")</t>
  </si>
  <si>
    <t>=NF($D2676,"37 Due Date")</t>
  </si>
  <si>
    <t>=NF($D2677,"37 Due Date")</t>
  </si>
  <si>
    <t>=NF($D2678,"37 Due Date")</t>
  </si>
  <si>
    <t>=NF($D2679,"37 Due Date")</t>
  </si>
  <si>
    <t>=NF($D2680,"37 Due Date")</t>
  </si>
  <si>
    <t>=NF($D2681,"37 Due Date")</t>
  </si>
  <si>
    <t>=NF($D2682,"37 Due Date")</t>
  </si>
  <si>
    <t>=NF($D2683,"37 Due Date")</t>
  </si>
  <si>
    <t>=NF($D2684,"37 Due Date")</t>
  </si>
  <si>
    <t>=NF($D2685,"37 Due Date")</t>
  </si>
  <si>
    <t>=NF($D2686,"37 Due Date")</t>
  </si>
  <si>
    <t>=NF($D2687,"37 Due Date")</t>
  </si>
  <si>
    <t>=NF($D2688,"37 Due Date")</t>
  </si>
  <si>
    <t>=NF($D2689,"37 Due Date")</t>
  </si>
  <si>
    <t>=NF($D2690,"37 Due Date")</t>
  </si>
  <si>
    <t>=NF($D2691,"37 Due Date")</t>
  </si>
  <si>
    <t>=NF($D2692,"37 Due Date")</t>
  </si>
  <si>
    <t>=NF($D2693,"37 Due Date")</t>
  </si>
  <si>
    <t>=NF($D2694,"37 Due Date")</t>
  </si>
  <si>
    <t>=NF($D2695,"37 Due Date")</t>
  </si>
  <si>
    <t>=NF($D2696,"37 Due Date")</t>
  </si>
  <si>
    <t>=NF($D2697,"37 Due Date")</t>
  </si>
  <si>
    <t>=NF($D2654,"16 Remaining Amt. (LCY)")</t>
  </si>
  <si>
    <t>=NF($D2655,"16 Remaining Amt. (LCY)")</t>
  </si>
  <si>
    <t>=NF($D2656,"16 Remaining Amt. (LCY)")</t>
  </si>
  <si>
    <t>=NF($D2657,"16 Remaining Amt. (LCY)")</t>
  </si>
  <si>
    <t>=NF($D2658,"16 Remaining Amt. (LCY)")</t>
  </si>
  <si>
    <t>=NF($D2659,"16 Remaining Amt. (LCY)")</t>
  </si>
  <si>
    <t>=NF($D2660,"16 Remaining Amt. (LCY)")</t>
  </si>
  <si>
    <t>=NF($D2661,"16 Remaining Amt. (LCY)")</t>
  </si>
  <si>
    <t>=NF($D2662,"16 Remaining Amt. (LCY)")</t>
  </si>
  <si>
    <t>=NF($D2663,"16 Remaining Amt. (LCY)")</t>
  </si>
  <si>
    <t>=NF($D2664,"16 Remaining Amt. (LCY)")</t>
  </si>
  <si>
    <t>=NF($D2665,"16 Remaining Amt. (LCY)")</t>
  </si>
  <si>
    <t>=NF($D2666,"16 Remaining Amt. (LCY)")</t>
  </si>
  <si>
    <t>=NF($D2667,"16 Remaining Amt. (LCY)")</t>
  </si>
  <si>
    <t>=NF($D2668,"16 Remaining Amt. (LCY)")</t>
  </si>
  <si>
    <t>=NF($D2669,"16 Remaining Amt. (LCY)")</t>
  </si>
  <si>
    <t>=NF($D2670,"16 Remaining Amt. (LCY)")</t>
  </si>
  <si>
    <t>=NF($D2671,"16 Remaining Amt. (LCY)")</t>
  </si>
  <si>
    <t>=NF($D2672,"16 Remaining Amt. (LCY)")</t>
  </si>
  <si>
    <t>=NF($D2673,"16 Remaining Amt. (LCY)")</t>
  </si>
  <si>
    <t>=NF($D2674,"16 Remaining Amt. (LCY)")</t>
  </si>
  <si>
    <t>=NF($D2675,"16 Remaining Amt. (LCY)")</t>
  </si>
  <si>
    <t>=NF($D2676,"16 Remaining Amt. (LCY)")</t>
  </si>
  <si>
    <t>=NF($D2677,"16 Remaining Amt. (LCY)")</t>
  </si>
  <si>
    <t>=NF($D2678,"16 Remaining Amt. (LCY)")</t>
  </si>
  <si>
    <t>=NF($D2679,"16 Remaining Amt. (LCY)")</t>
  </si>
  <si>
    <t>=NF($D2680,"16 Remaining Amt. (LCY)")</t>
  </si>
  <si>
    <t>=NF($D2681,"16 Remaining Amt. (LCY)")</t>
  </si>
  <si>
    <t>=NF($D2682,"16 Remaining Amt. (LCY)")</t>
  </si>
  <si>
    <t>=NF($D2683,"16 Remaining Amt. (LCY)")</t>
  </si>
  <si>
    <t>=NF($D2684,"16 Remaining Amt. (LCY)")</t>
  </si>
  <si>
    <t>=NF($D2685,"16 Remaining Amt. (LCY)")</t>
  </si>
  <si>
    <t>=NF($D2686,"16 Remaining Amt. (LCY)")</t>
  </si>
  <si>
    <t>=NF($D2687,"16 Remaining Amt. (LCY)")</t>
  </si>
  <si>
    <t>=NF($D2688,"16 Remaining Amt. (LCY)")</t>
  </si>
  <si>
    <t>=NF($D2689,"16 Remaining Amt. (LCY)")</t>
  </si>
  <si>
    <t>=NF($D2690,"16 Remaining Amt. (LCY)")</t>
  </si>
  <si>
    <t>=NF($D2691,"16 Remaining Amt. (LCY)")</t>
  </si>
  <si>
    <t>=NF($D2692,"16 Remaining Amt. (LCY)")</t>
  </si>
  <si>
    <t>=NF($D2693,"16 Remaining Amt. (LCY)")</t>
  </si>
  <si>
    <t>=NF($D2694,"16 Remaining Amt. (LCY)")</t>
  </si>
  <si>
    <t>=NF($D2695,"16 Remaining Amt. (LCY)")</t>
  </si>
  <si>
    <t>=NF($D2696,"16 Remaining Amt. (LCY)")</t>
  </si>
  <si>
    <t>=NF($D2697,"16 Remaining Amt. (LCY)")</t>
  </si>
  <si>
    <t>=NF($D2500,"5 Document Type")</t>
  </si>
  <si>
    <t>=NF($D2501,"5 Document Type")</t>
  </si>
  <si>
    <t>=NF($D2502,"5 Document Type")</t>
  </si>
  <si>
    <t>=NF($D2503,"5 Document Type")</t>
  </si>
  <si>
    <t>=NF($D2504,"5 Document Type")</t>
  </si>
  <si>
    <t>=NF($D2505,"5 Document Type")</t>
  </si>
  <si>
    <t>=NF($D2506,"5 Document Type")</t>
  </si>
  <si>
    <t>=NF($D2507,"5 Document Type")</t>
  </si>
  <si>
    <t>=NF($D2508,"5 Document Type")</t>
  </si>
  <si>
    <t>=NF($D2509,"5 Document Type")</t>
  </si>
  <si>
    <t>=NF($D2510,"5 Document Type")</t>
  </si>
  <si>
    <t>=NF($D2511,"5 Document Type")</t>
  </si>
  <si>
    <t>=NF($D2512,"5 Document Type")</t>
  </si>
  <si>
    <t>=NF($D2513,"5 Document Type")</t>
  </si>
  <si>
    <t>=NF($D2514,"5 Document Type")</t>
  </si>
  <si>
    <t>=NF($D2515,"5 Document Type")</t>
  </si>
  <si>
    <t>=NF($D2516,"5 Document Type")</t>
  </si>
  <si>
    <t>=NF($D2517,"5 Document Type")</t>
  </si>
  <si>
    <t>=NF($D2518,"5 Document Type")</t>
  </si>
  <si>
    <t>=NF($D2519,"5 Document Type")</t>
  </si>
  <si>
    <t>=NF($D2520,"5 Document Type")</t>
  </si>
  <si>
    <t>=NF($D2521,"5 Document Type")</t>
  </si>
  <si>
    <t>=NF($D2522,"5 Document Type")</t>
  </si>
  <si>
    <t>=NF($D2523,"5 Document Type")</t>
  </si>
  <si>
    <t>=NF($D2524,"5 Document Type")</t>
  </si>
  <si>
    <t>=NF($D2525,"5 Document Type")</t>
  </si>
  <si>
    <t>=NF($D2526,"5 Document Type")</t>
  </si>
  <si>
    <t>=NF($D2527,"5 Document Type")</t>
  </si>
  <si>
    <t>=NF($D2528,"5 Document Type")</t>
  </si>
  <si>
    <t>=NF($D2529,"5 Document Type")</t>
  </si>
  <si>
    <t>=NF($D2530,"5 Document Type")</t>
  </si>
  <si>
    <t>=NF($D2531,"5 Document Type")</t>
  </si>
  <si>
    <t>=NF($D2532,"5 Document Type")</t>
  </si>
  <si>
    <t>=NF($D2533,"5 Document Type")</t>
  </si>
  <si>
    <t>=NF($D2534,"5 Document Type")</t>
  </si>
  <si>
    <t>=NF($D2535,"5 Document Type")</t>
  </si>
  <si>
    <t>=NF($D2536,"5 Document Type")</t>
  </si>
  <si>
    <t>=NF($D2537,"5 Document Type")</t>
  </si>
  <si>
    <t>=NF($D2538,"5 Document Type")</t>
  </si>
  <si>
    <t>=NF($D2539,"5 Document Type")</t>
  </si>
  <si>
    <t>=NF($D2540,"5 Document Type")</t>
  </si>
  <si>
    <t>=NF($D2541,"5 Document Type")</t>
  </si>
  <si>
    <t>=NF($D2542,"5 Document Type")</t>
  </si>
  <si>
    <t>=NF($D2543,"5 Document Type")</t>
  </si>
  <si>
    <t>=NF($D2544,"5 Document Type")</t>
  </si>
  <si>
    <t>=NF($D2545,"5 Document Type")</t>
  </si>
  <si>
    <t>=NF($D2546,"5 Document Type")</t>
  </si>
  <si>
    <t>=NF($D2547,"5 Document Type")</t>
  </si>
  <si>
    <t>=NF($D2548,"5 Document Type")</t>
  </si>
  <si>
    <t>=NF($D2549,"5 Document Type")</t>
  </si>
  <si>
    <t>=NF($D2550,"5 Document Type")</t>
  </si>
  <si>
    <t>=NF($D2551,"5 Document Type")</t>
  </si>
  <si>
    <t>=NF($D2552,"5 Document Type")</t>
  </si>
  <si>
    <t>=NF($D2553,"5 Document Type")</t>
  </si>
  <si>
    <t>=NF($D2554,"5 Document Type")</t>
  </si>
  <si>
    <t>=NF($D2555,"5 Document Type")</t>
  </si>
  <si>
    <t>=NF($D2556,"5 Document Type")</t>
  </si>
  <si>
    <t>=NF($D2557,"5 Document Type")</t>
  </si>
  <si>
    <t>=NF($D2558,"5 Document Type")</t>
  </si>
  <si>
    <t>=NF($D2559,"5 Document Type")</t>
  </si>
  <si>
    <t>=NF($D2560,"5 Document Type")</t>
  </si>
  <si>
    <t>=NF($D2561,"5 Document Type")</t>
  </si>
  <si>
    <t>=NF($D2562,"5 Document Type")</t>
  </si>
  <si>
    <t>=NF($D2563,"5 Document Type")</t>
  </si>
  <si>
    <t>=NF($D2564,"5 Document Type")</t>
  </si>
  <si>
    <t>=NF($D2565,"5 Document Type")</t>
  </si>
  <si>
    <t>=NF($D2566,"5 Document Type")</t>
  </si>
  <si>
    <t>=NF($D2567,"5 Document Type")</t>
  </si>
  <si>
    <t>=NF($D2568,"5 Document Type")</t>
  </si>
  <si>
    <t>=NF($D2569,"5 Document Type")</t>
  </si>
  <si>
    <t>=NF($D2570,"5 Document Type")</t>
  </si>
  <si>
    <t>=NF($D2571,"5 Document Type")</t>
  </si>
  <si>
    <t>=NF($D2572,"5 Document Type")</t>
  </si>
  <si>
    <t>=NF($D2573,"5 Document Type")</t>
  </si>
  <si>
    <t>=NF($D2574,"5 Document Type")</t>
  </si>
  <si>
    <t>=NF($D2575,"5 Document Type")</t>
  </si>
  <si>
    <t>=NF($D2576,"5 Document Type")</t>
  </si>
  <si>
    <t>=NF($D2577,"5 Document Type")</t>
  </si>
  <si>
    <t>=NF($D2578,"5 Document Type")</t>
  </si>
  <si>
    <t>=NF($D2579,"5 Document Type")</t>
  </si>
  <si>
    <t>=NF($D2580,"5 Document Type")</t>
  </si>
  <si>
    <t>=NF($D2581,"5 Document Type")</t>
  </si>
  <si>
    <t>=NF($D2582,"5 Document Type")</t>
  </si>
  <si>
    <t>=NF($D2583,"5 Document Type")</t>
  </si>
  <si>
    <t>=NF($D2584,"5 Document Type")</t>
  </si>
  <si>
    <t>=NF($D2585,"5 Document Type")</t>
  </si>
  <si>
    <t>=NF($D2586,"5 Document Type")</t>
  </si>
  <si>
    <t>=NF($D2587,"5 Document Type")</t>
  </si>
  <si>
    <t>=NF($D2588,"5 Document Type")</t>
  </si>
  <si>
    <t>=NF($D2589,"5 Document Type")</t>
  </si>
  <si>
    <t>=NF($D2590,"5 Document Type")</t>
  </si>
  <si>
    <t>=NF($D2591,"5 Document Type")</t>
  </si>
  <si>
    <t>=NF($D2592,"5 Document Type")</t>
  </si>
  <si>
    <t>=NF($D2593,"5 Document Type")</t>
  </si>
  <si>
    <t>=NF($D2594,"5 Document Type")</t>
  </si>
  <si>
    <t>=NF($D2595,"5 Document Type")</t>
  </si>
  <si>
    <t>=NF($D2596,"5 Document Type")</t>
  </si>
  <si>
    <t>=NF($D2597,"5 Document Type")</t>
  </si>
  <si>
    <t>=NF($D2598,"5 Document Type")</t>
  </si>
  <si>
    <t>=NF($D2599,"5 Document Type")</t>
  </si>
  <si>
    <t>=NF($D2600,"5 Document Type")</t>
  </si>
  <si>
    <t>=NF($D2601,"5 Document Type")</t>
  </si>
  <si>
    <t>=NF($D2602,"5 Document Type")</t>
  </si>
  <si>
    <t>=NF($D2603,"5 Document Type")</t>
  </si>
  <si>
    <t>=NF($D2604,"5 Document Type")</t>
  </si>
  <si>
    <t>=NF($D2605,"5 Document Type")</t>
  </si>
  <si>
    <t>=NF($D2606,"5 Document Type")</t>
  </si>
  <si>
    <t>=NF($D2607,"5 Document Type")</t>
  </si>
  <si>
    <t>=NF($D2608,"5 Document Type")</t>
  </si>
  <si>
    <t>=NF($D2609,"5 Document Type")</t>
  </si>
  <si>
    <t>=NF($D2610,"5 Document Type")</t>
  </si>
  <si>
    <t>=NF($D2611,"5 Document Type")</t>
  </si>
  <si>
    <t>=NF($D2612,"5 Document Type")</t>
  </si>
  <si>
    <t>=NF($D2613,"5 Document Type")</t>
  </si>
  <si>
    <t>=NF($D2614,"5 Document Type")</t>
  </si>
  <si>
    <t>=NF($D2615,"5 Document Type")</t>
  </si>
  <si>
    <t>=NF($D2616,"5 Document Type")</t>
  </si>
  <si>
    <t>=NF($D2617,"5 Document Type")</t>
  </si>
  <si>
    <t>=NF($D2618,"5 Document Type")</t>
  </si>
  <si>
    <t>=NF($D2619,"5 Document Type")</t>
  </si>
  <si>
    <t>=NF($D2620,"5 Document Type")</t>
  </si>
  <si>
    <t>=NF($D2621,"5 Document Type")</t>
  </si>
  <si>
    <t>=NF($D2622,"5 Document Type")</t>
  </si>
  <si>
    <t>=NF($D2623,"5 Document Type")</t>
  </si>
  <si>
    <t>=NF($D2624,"5 Document Type")</t>
  </si>
  <si>
    <t>=NF($D2625,"5 Document Type")</t>
  </si>
  <si>
    <t>=NF($D2626,"5 Document Type")</t>
  </si>
  <si>
    <t>=NF($D2627,"5 Document Type")</t>
  </si>
  <si>
    <t>=NF($D2628,"5 Document Type")</t>
  </si>
  <si>
    <t>=NF($D2629,"5 Document Type")</t>
  </si>
  <si>
    <t>=NF($D2630,"5 Document Type")</t>
  </si>
  <si>
    <t>=NF($D2631,"5 Document Type")</t>
  </si>
  <si>
    <t>=NF($D2632,"5 Document Type")</t>
  </si>
  <si>
    <t>=NF($D2633,"5 Document Type")</t>
  </si>
  <si>
    <t>=NF($D2634,"5 Document Type")</t>
  </si>
  <si>
    <t>=NF($D2635,"5 Document Type")</t>
  </si>
  <si>
    <t>=NF($D2636,"5 Document Type")</t>
  </si>
  <si>
    <t>=NF($D2637,"5 Document Type")</t>
  </si>
  <si>
    <t>=NF($D2638,"5 Document Type")</t>
  </si>
  <si>
    <t>=NF($D2639,"5 Document Type")</t>
  </si>
  <si>
    <t>=NF($D2640,"5 Document Type")</t>
  </si>
  <si>
    <t>=NF($D2641,"5 Document Type")</t>
  </si>
  <si>
    <t>=NF($D2642,"5 Document Type")</t>
  </si>
  <si>
    <t>=NF($D2643,"5 Document Type")</t>
  </si>
  <si>
    <t>=NF($D2644,"5 Document Type")</t>
  </si>
  <si>
    <t>=NF($D2645,"5 Document Type")</t>
  </si>
  <si>
    <t>=NF($D2646,"5 Document Type")</t>
  </si>
  <si>
    <t>=NF($D2647,"5 Document Type")</t>
  </si>
  <si>
    <t>=NF($D2500,"6 Document No.")</t>
  </si>
  <si>
    <t>=NF($D2501,"6 Document No.")</t>
  </si>
  <si>
    <t>=NF($D2502,"6 Document No.")</t>
  </si>
  <si>
    <t>=NF($D2503,"6 Document No.")</t>
  </si>
  <si>
    <t>=NF($D2504,"6 Document No.")</t>
  </si>
  <si>
    <t>=NF($D2505,"6 Document No.")</t>
  </si>
  <si>
    <t>=NF($D2506,"6 Document No.")</t>
  </si>
  <si>
    <t>=NF($D2507,"6 Document No.")</t>
  </si>
  <si>
    <t>=NF($D2508,"6 Document No.")</t>
  </si>
  <si>
    <t>=NF($D2509,"6 Document No.")</t>
  </si>
  <si>
    <t>=NF($D2510,"6 Document No.")</t>
  </si>
  <si>
    <t>=NF($D2511,"6 Document No.")</t>
  </si>
  <si>
    <t>=NF($D2512,"6 Document No.")</t>
  </si>
  <si>
    <t>=NF($D2513,"6 Document No.")</t>
  </si>
  <si>
    <t>=NF($D2514,"6 Document No.")</t>
  </si>
  <si>
    <t>=NF($D2515,"6 Document No.")</t>
  </si>
  <si>
    <t>=NF($D2516,"6 Document No.")</t>
  </si>
  <si>
    <t>=NF($D2517,"6 Document No.")</t>
  </si>
  <si>
    <t>=NF($D2518,"6 Document No.")</t>
  </si>
  <si>
    <t>=NF($D2519,"6 Document No.")</t>
  </si>
  <si>
    <t>=NF($D2520,"6 Document No.")</t>
  </si>
  <si>
    <t>=NF($D2521,"6 Document No.")</t>
  </si>
  <si>
    <t>=NF($D2522,"6 Document No.")</t>
  </si>
  <si>
    <t>=NF($D2523,"6 Document No.")</t>
  </si>
  <si>
    <t>=NF($D2524,"6 Document No.")</t>
  </si>
  <si>
    <t>=NF($D2525,"6 Document No.")</t>
  </si>
  <si>
    <t>=NF($D2526,"6 Document No.")</t>
  </si>
  <si>
    <t>=NF($D2527,"6 Document No.")</t>
  </si>
  <si>
    <t>=NF($D2528,"6 Document No.")</t>
  </si>
  <si>
    <t>=NF($D2529,"6 Document No.")</t>
  </si>
  <si>
    <t>=NF($D2530,"6 Document No.")</t>
  </si>
  <si>
    <t>=NF($D2531,"6 Document No.")</t>
  </si>
  <si>
    <t>=NF($D2532,"6 Document No.")</t>
  </si>
  <si>
    <t>=NF($D2533,"6 Document No.")</t>
  </si>
  <si>
    <t>=NF($D2534,"6 Document No.")</t>
  </si>
  <si>
    <t>=NF($D2535,"6 Document No.")</t>
  </si>
  <si>
    <t>=NF($D2536,"6 Document No.")</t>
  </si>
  <si>
    <t>=NF($D2537,"6 Document No.")</t>
  </si>
  <si>
    <t>=NF($D2538,"6 Document No.")</t>
  </si>
  <si>
    <t>=NF($D2539,"6 Document No.")</t>
  </si>
  <si>
    <t>=NF($D2540,"6 Document No.")</t>
  </si>
  <si>
    <t>=NF($D2541,"6 Document No.")</t>
  </si>
  <si>
    <t>=NF($D2542,"6 Document No.")</t>
  </si>
  <si>
    <t>=NF($D2543,"6 Document No.")</t>
  </si>
  <si>
    <t>=NF($D2544,"6 Document No.")</t>
  </si>
  <si>
    <t>=NF($D2545,"6 Document No.")</t>
  </si>
  <si>
    <t>=NF($D2546,"6 Document No.")</t>
  </si>
  <si>
    <t>=NF($D2547,"6 Document No.")</t>
  </si>
  <si>
    <t>=NF($D2548,"6 Document No.")</t>
  </si>
  <si>
    <t>=NF($D2549,"6 Document No.")</t>
  </si>
  <si>
    <t>=NF($D2550,"6 Document No.")</t>
  </si>
  <si>
    <t>=NF($D2551,"6 Document No.")</t>
  </si>
  <si>
    <t>=NF($D2552,"6 Document No.")</t>
  </si>
  <si>
    <t>=NF($D2553,"6 Document No.")</t>
  </si>
  <si>
    <t>=NF($D2554,"6 Document No.")</t>
  </si>
  <si>
    <t>=NF($D2555,"6 Document No.")</t>
  </si>
  <si>
    <t>=NF($D2556,"6 Document No.")</t>
  </si>
  <si>
    <t>=NF($D2557,"6 Document No.")</t>
  </si>
  <si>
    <t>=NF($D2558,"6 Document No.")</t>
  </si>
  <si>
    <t>=NF($D2559,"6 Document No.")</t>
  </si>
  <si>
    <t>=NF($D2560,"6 Document No.")</t>
  </si>
  <si>
    <t>=NF($D2561,"6 Document No.")</t>
  </si>
  <si>
    <t>=NF($D2562,"6 Document No.")</t>
  </si>
  <si>
    <t>=NF($D2563,"6 Document No.")</t>
  </si>
  <si>
    <t>=NF($D2564,"6 Document No.")</t>
  </si>
  <si>
    <t>=NF($D2565,"6 Document No.")</t>
  </si>
  <si>
    <t>=NF($D2566,"6 Document No.")</t>
  </si>
  <si>
    <t>=NF($D2567,"6 Document No.")</t>
  </si>
  <si>
    <t>=NF($D2568,"6 Document No.")</t>
  </si>
  <si>
    <t>=NF($D2569,"6 Document No.")</t>
  </si>
  <si>
    <t>=NF($D2570,"6 Document No.")</t>
  </si>
  <si>
    <t>=NF($D2571,"6 Document No.")</t>
  </si>
  <si>
    <t>=NF($D2572,"6 Document No.")</t>
  </si>
  <si>
    <t>=NF($D2573,"6 Document No.")</t>
  </si>
  <si>
    <t>=NF($D2574,"6 Document No.")</t>
  </si>
  <si>
    <t>=NF($D2575,"6 Document No.")</t>
  </si>
  <si>
    <t>=NF($D2576,"6 Document No.")</t>
  </si>
  <si>
    <t>=NF($D2577,"6 Document No.")</t>
  </si>
  <si>
    <t>=NF($D2578,"6 Document No.")</t>
  </si>
  <si>
    <t>=NF($D2579,"6 Document No.")</t>
  </si>
  <si>
    <t>=NF($D2580,"6 Document No.")</t>
  </si>
  <si>
    <t>=NF($D2581,"6 Document No.")</t>
  </si>
  <si>
    <t>=NF($D2582,"6 Document No.")</t>
  </si>
  <si>
    <t>=NF($D2583,"6 Document No.")</t>
  </si>
  <si>
    <t>=NF($D2584,"6 Document No.")</t>
  </si>
  <si>
    <t>=NF($D2585,"6 Document No.")</t>
  </si>
  <si>
    <t>=NF($D2586,"6 Document No.")</t>
  </si>
  <si>
    <t>=NF($D2587,"6 Document No.")</t>
  </si>
  <si>
    <t>=NF($D2588,"6 Document No.")</t>
  </si>
  <si>
    <t>=NF($D2589,"6 Document No.")</t>
  </si>
  <si>
    <t>=NF($D2590,"6 Document No.")</t>
  </si>
  <si>
    <t>=NF($D2591,"6 Document No.")</t>
  </si>
  <si>
    <t>=NF($D2592,"6 Document No.")</t>
  </si>
  <si>
    <t>=NF($D2593,"6 Document No.")</t>
  </si>
  <si>
    <t>=NF($D2594,"6 Document No.")</t>
  </si>
  <si>
    <t>=NF($D2595,"6 Document No.")</t>
  </si>
  <si>
    <t>=NF($D2596,"6 Document No.")</t>
  </si>
  <si>
    <t>=NF($D2597,"6 Document No.")</t>
  </si>
  <si>
    <t>=NF($D2598,"6 Document No.")</t>
  </si>
  <si>
    <t>=NF($D2599,"6 Document No.")</t>
  </si>
  <si>
    <t>=NF($D2600,"6 Document No.")</t>
  </si>
  <si>
    <t>=NF($D2601,"6 Document No.")</t>
  </si>
  <si>
    <t>=NF($D2602,"6 Document No.")</t>
  </si>
  <si>
    <t>=NF($D2603,"6 Document No.")</t>
  </si>
  <si>
    <t>=NF($D2604,"6 Document No.")</t>
  </si>
  <si>
    <t>=NF($D2605,"6 Document No.")</t>
  </si>
  <si>
    <t>=NF($D2606,"6 Document No.")</t>
  </si>
  <si>
    <t>=NF($D2607,"6 Document No.")</t>
  </si>
  <si>
    <t>=NF($D2608,"6 Document No.")</t>
  </si>
  <si>
    <t>=NF($D2609,"6 Document No.")</t>
  </si>
  <si>
    <t>=NF($D2610,"6 Document No.")</t>
  </si>
  <si>
    <t>=NF($D2611,"6 Document No.")</t>
  </si>
  <si>
    <t>=NF($D2612,"6 Document No.")</t>
  </si>
  <si>
    <t>=NF($D2613,"6 Document No.")</t>
  </si>
  <si>
    <t>=NF($D2614,"6 Document No.")</t>
  </si>
  <si>
    <t>=NF($D2615,"6 Document No.")</t>
  </si>
  <si>
    <t>=NF($D2616,"6 Document No.")</t>
  </si>
  <si>
    <t>=NF($D2617,"6 Document No.")</t>
  </si>
  <si>
    <t>=NF($D2618,"6 Document No.")</t>
  </si>
  <si>
    <t>=NF($D2619,"6 Document No.")</t>
  </si>
  <si>
    <t>=NF($D2620,"6 Document No.")</t>
  </si>
  <si>
    <t>=NF($D2621,"6 Document No.")</t>
  </si>
  <si>
    <t>=NF($D2622,"6 Document No.")</t>
  </si>
  <si>
    <t>=NF($D2623,"6 Document No.")</t>
  </si>
  <si>
    <t>=NF($D2624,"6 Document No.")</t>
  </si>
  <si>
    <t>=NF($D2625,"6 Document No.")</t>
  </si>
  <si>
    <t>=NF($D2626,"6 Document No.")</t>
  </si>
  <si>
    <t>=NF($D2627,"6 Document No.")</t>
  </si>
  <si>
    <t>=NF($D2628,"6 Document No.")</t>
  </si>
  <si>
    <t>=NF($D2629,"6 Document No.")</t>
  </si>
  <si>
    <t>=NF($D2630,"6 Document No.")</t>
  </si>
  <si>
    <t>=NF($D2631,"6 Document No.")</t>
  </si>
  <si>
    <t>=NF($D2632,"6 Document No.")</t>
  </si>
  <si>
    <t>=NF($D2633,"6 Document No.")</t>
  </si>
  <si>
    <t>=NF($D2634,"6 Document No.")</t>
  </si>
  <si>
    <t>=NF($D2635,"6 Document No.")</t>
  </si>
  <si>
    <t>=NF($D2636,"6 Document No.")</t>
  </si>
  <si>
    <t>=NF($D2637,"6 Document No.")</t>
  </si>
  <si>
    <t>=NF($D2638,"6 Document No.")</t>
  </si>
  <si>
    <t>=NF($D2639,"6 Document No.")</t>
  </si>
  <si>
    <t>=NF($D2640,"6 Document No.")</t>
  </si>
  <si>
    <t>=NF($D2641,"6 Document No.")</t>
  </si>
  <si>
    <t>=NF($D2642,"6 Document No.")</t>
  </si>
  <si>
    <t>=NF($D2643,"6 Document No.")</t>
  </si>
  <si>
    <t>=NF($D2644,"6 Document No.")</t>
  </si>
  <si>
    <t>=NF($D2645,"6 Document No.")</t>
  </si>
  <si>
    <t>=NF($D2646,"6 Document No.")</t>
  </si>
  <si>
    <t>=NF($D2647,"6 Document No.")</t>
  </si>
  <si>
    <t>=NF($D2500,"37 Due Date")</t>
  </si>
  <si>
    <t>=NF($D2501,"37 Due Date")</t>
  </si>
  <si>
    <t>=NF($D2502,"37 Due Date")</t>
  </si>
  <si>
    <t>=NF($D2503,"37 Due Date")</t>
  </si>
  <si>
    <t>=NF($D2504,"37 Due Date")</t>
  </si>
  <si>
    <t>=NF($D2505,"37 Due Date")</t>
  </si>
  <si>
    <t>=NF($D2506,"37 Due Date")</t>
  </si>
  <si>
    <t>=NF($D2507,"37 Due Date")</t>
  </si>
  <si>
    <t>=NF($D2508,"37 Due Date")</t>
  </si>
  <si>
    <t>=NF($D2509,"37 Due Date")</t>
  </si>
  <si>
    <t>=NF($D2510,"37 Due Date")</t>
  </si>
  <si>
    <t>=NF($D2511,"37 Due Date")</t>
  </si>
  <si>
    <t>=NF($D2512,"37 Due Date")</t>
  </si>
  <si>
    <t>=NF($D2513,"37 Due Date")</t>
  </si>
  <si>
    <t>=NF($D2514,"37 Due Date")</t>
  </si>
  <si>
    <t>=NF($D2515,"37 Due Date")</t>
  </si>
  <si>
    <t>=NF($D2516,"37 Due Date")</t>
  </si>
  <si>
    <t>=NF($D2517,"37 Due Date")</t>
  </si>
  <si>
    <t>=NF($D2518,"37 Due Date")</t>
  </si>
  <si>
    <t>=NF($D2519,"37 Due Date")</t>
  </si>
  <si>
    <t>=NF($D2520,"37 Due Date")</t>
  </si>
  <si>
    <t>=NF($D2521,"37 Due Date")</t>
  </si>
  <si>
    <t>=NF($D2522,"37 Due Date")</t>
  </si>
  <si>
    <t>=NF($D2523,"37 Due Date")</t>
  </si>
  <si>
    <t>=NF($D2524,"37 Due Date")</t>
  </si>
  <si>
    <t>=NF($D2525,"37 Due Date")</t>
  </si>
  <si>
    <t>=NF($D2526,"37 Due Date")</t>
  </si>
  <si>
    <t>=NF($D2527,"37 Due Date")</t>
  </si>
  <si>
    <t>=NF($D2528,"37 Due Date")</t>
  </si>
  <si>
    <t>=NF($D2529,"37 Due Date")</t>
  </si>
  <si>
    <t>=NF($D2530,"37 Due Date")</t>
  </si>
  <si>
    <t>=NF($D2531,"37 Due Date")</t>
  </si>
  <si>
    <t>=NF($D2532,"37 Due Date")</t>
  </si>
  <si>
    <t>=NF($D2533,"37 Due Date")</t>
  </si>
  <si>
    <t>=NF($D2534,"37 Due Date")</t>
  </si>
  <si>
    <t>=NF($D2535,"37 Due Date")</t>
  </si>
  <si>
    <t>=NF($D2536,"37 Due Date")</t>
  </si>
  <si>
    <t>=NF($D2537,"37 Due Date")</t>
  </si>
  <si>
    <t>=NF($D2538,"37 Due Date")</t>
  </si>
  <si>
    <t>=NF($D2539,"37 Due Date")</t>
  </si>
  <si>
    <t>=NF($D2540,"37 Due Date")</t>
  </si>
  <si>
    <t>=NF($D2541,"37 Due Date")</t>
  </si>
  <si>
    <t>=NF($D2542,"37 Due Date")</t>
  </si>
  <si>
    <t>=NF($D2543,"37 Due Date")</t>
  </si>
  <si>
    <t>=NF($D2544,"37 Due Date")</t>
  </si>
  <si>
    <t>=NF($D2545,"37 Due Date")</t>
  </si>
  <si>
    <t>=NF($D2546,"37 Due Date")</t>
  </si>
  <si>
    <t>=NF($D2547,"37 Due Date")</t>
  </si>
  <si>
    <t>=NF($D2548,"37 Due Date")</t>
  </si>
  <si>
    <t>=NF($D2549,"37 Due Date")</t>
  </si>
  <si>
    <t>=NF($D2550,"37 Due Date")</t>
  </si>
  <si>
    <t>=NF($D2551,"37 Due Date")</t>
  </si>
  <si>
    <t>=NF($D2552,"37 Due Date")</t>
  </si>
  <si>
    <t>=NF($D2553,"37 Due Date")</t>
  </si>
  <si>
    <t>=NF($D2554,"37 Due Date")</t>
  </si>
  <si>
    <t>=NF($D2555,"37 Due Date")</t>
  </si>
  <si>
    <t>=NF($D2556,"37 Due Date")</t>
  </si>
  <si>
    <t>=NF($D2557,"37 Due Date")</t>
  </si>
  <si>
    <t>=NF($D2558,"37 Due Date")</t>
  </si>
  <si>
    <t>=NF($D2559,"37 Due Date")</t>
  </si>
  <si>
    <t>=NF($D2560,"37 Due Date")</t>
  </si>
  <si>
    <t>=NF($D2561,"37 Due Date")</t>
  </si>
  <si>
    <t>=NF($D2562,"37 Due Date")</t>
  </si>
  <si>
    <t>=NF($D2563,"37 Due Date")</t>
  </si>
  <si>
    <t>=NF($D2564,"37 Due Date")</t>
  </si>
  <si>
    <t>=NF($D2565,"37 Due Date")</t>
  </si>
  <si>
    <t>=NF($D2566,"37 Due Date")</t>
  </si>
  <si>
    <t>=NF($D2567,"37 Due Date")</t>
  </si>
  <si>
    <t>=NF($D2568,"37 Due Date")</t>
  </si>
  <si>
    <t>=NF($D2569,"37 Due Date")</t>
  </si>
  <si>
    <t>=NF($D2570,"37 Due Date")</t>
  </si>
  <si>
    <t>=NF($D2571,"37 Due Date")</t>
  </si>
  <si>
    <t>=NF($D2572,"37 Due Date")</t>
  </si>
  <si>
    <t>=NF($D2573,"37 Due Date")</t>
  </si>
  <si>
    <t>=NF($D2574,"37 Due Date")</t>
  </si>
  <si>
    <t>=NF($D2575,"37 Due Date")</t>
  </si>
  <si>
    <t>=NF($D2576,"37 Due Date")</t>
  </si>
  <si>
    <t>=NF($D2577,"37 Due Date")</t>
  </si>
  <si>
    <t>=NF($D2578,"37 Due Date")</t>
  </si>
  <si>
    <t>=NF($D2579,"37 Due Date")</t>
  </si>
  <si>
    <t>=NF($D2580,"37 Due Date")</t>
  </si>
  <si>
    <t>=NF($D2581,"37 Due Date")</t>
  </si>
  <si>
    <t>=NF($D2582,"37 Due Date")</t>
  </si>
  <si>
    <t>=NF($D2583,"37 Due Date")</t>
  </si>
  <si>
    <t>=NF($D2584,"37 Due Date")</t>
  </si>
  <si>
    <t>=NF($D2585,"37 Due Date")</t>
  </si>
  <si>
    <t>=NF($D2586,"37 Due Date")</t>
  </si>
  <si>
    <t>=NF($D2587,"37 Due Date")</t>
  </si>
  <si>
    <t>=NF($D2588,"37 Due Date")</t>
  </si>
  <si>
    <t>=NF($D2589,"37 Due Date")</t>
  </si>
  <si>
    <t>=NF($D2590,"37 Due Date")</t>
  </si>
  <si>
    <t>=NF($D2591,"37 Due Date")</t>
  </si>
  <si>
    <t>=NF($D2592,"37 Due Date")</t>
  </si>
  <si>
    <t>=NF($D2593,"37 Due Date")</t>
  </si>
  <si>
    <t>=NF($D2594,"37 Due Date")</t>
  </si>
  <si>
    <t>=NF($D2595,"37 Due Date")</t>
  </si>
  <si>
    <t>=NF($D2596,"37 Due Date")</t>
  </si>
  <si>
    <t>=NF($D2597,"37 Due Date")</t>
  </si>
  <si>
    <t>=NF($D2598,"37 Due Date")</t>
  </si>
  <si>
    <t>=NF($D2599,"37 Due Date")</t>
  </si>
  <si>
    <t>=NF($D2600,"37 Due Date")</t>
  </si>
  <si>
    <t>=NF($D2601,"37 Due Date")</t>
  </si>
  <si>
    <t>=NF($D2602,"37 Due Date")</t>
  </si>
  <si>
    <t>=NF($D2603,"37 Due Date")</t>
  </si>
  <si>
    <t>=NF($D2604,"37 Due Date")</t>
  </si>
  <si>
    <t>=NF($D2605,"37 Due Date")</t>
  </si>
  <si>
    <t>=NF($D2606,"37 Due Date")</t>
  </si>
  <si>
    <t>=NF($D2607,"37 Due Date")</t>
  </si>
  <si>
    <t>=NF($D2608,"37 Due Date")</t>
  </si>
  <si>
    <t>=NF($D2609,"37 Due Date")</t>
  </si>
  <si>
    <t>=NF($D2610,"37 Due Date")</t>
  </si>
  <si>
    <t>=NF($D2611,"37 Due Date")</t>
  </si>
  <si>
    <t>=NF($D2612,"37 Due Date")</t>
  </si>
  <si>
    <t>=NF($D2613,"37 Due Date")</t>
  </si>
  <si>
    <t>=NF($D2614,"37 Due Date")</t>
  </si>
  <si>
    <t>=NF($D2615,"37 Due Date")</t>
  </si>
  <si>
    <t>=NF($D2616,"37 Due Date")</t>
  </si>
  <si>
    <t>=NF($D2617,"37 Due Date")</t>
  </si>
  <si>
    <t>=NF($D2618,"37 Due Date")</t>
  </si>
  <si>
    <t>=NF($D2619,"37 Due Date")</t>
  </si>
  <si>
    <t>=NF($D2620,"37 Due Date")</t>
  </si>
  <si>
    <t>=NF($D2621,"37 Due Date")</t>
  </si>
  <si>
    <t>=NF($D2622,"37 Due Date")</t>
  </si>
  <si>
    <t>=NF($D2623,"37 Due Date")</t>
  </si>
  <si>
    <t>=NF($D2624,"37 Due Date")</t>
  </si>
  <si>
    <t>=NF($D2625,"37 Due Date")</t>
  </si>
  <si>
    <t>=NF($D2626,"37 Due Date")</t>
  </si>
  <si>
    <t>=NF($D2627,"37 Due Date")</t>
  </si>
  <si>
    <t>=NF($D2628,"37 Due Date")</t>
  </si>
  <si>
    <t>=NF($D2629,"37 Due Date")</t>
  </si>
  <si>
    <t>=NF($D2630,"37 Due Date")</t>
  </si>
  <si>
    <t>=NF($D2631,"37 Due Date")</t>
  </si>
  <si>
    <t>=NF($D2632,"37 Due Date")</t>
  </si>
  <si>
    <t>=NF($D2633,"37 Due Date")</t>
  </si>
  <si>
    <t>=NF($D2634,"37 Due Date")</t>
  </si>
  <si>
    <t>=NF($D2635,"37 Due Date")</t>
  </si>
  <si>
    <t>=NF($D2636,"37 Due Date")</t>
  </si>
  <si>
    <t>=NF($D2637,"37 Due Date")</t>
  </si>
  <si>
    <t>=NF($D2638,"37 Due Date")</t>
  </si>
  <si>
    <t>=NF($D2639,"37 Due Date")</t>
  </si>
  <si>
    <t>=NF($D2640,"37 Due Date")</t>
  </si>
  <si>
    <t>=NF($D2641,"37 Due Date")</t>
  </si>
  <si>
    <t>=NF($D2642,"37 Due Date")</t>
  </si>
  <si>
    <t>=NF($D2643,"37 Due Date")</t>
  </si>
  <si>
    <t>=NF($D2644,"37 Due Date")</t>
  </si>
  <si>
    <t>=NF($D2645,"37 Due Date")</t>
  </si>
  <si>
    <t>=NF($D2646,"37 Due Date")</t>
  </si>
  <si>
    <t>=NF($D2647,"37 Due Date")</t>
  </si>
  <si>
    <t>=NF($D2500,"16 Remaining Amt. (LCY)")</t>
  </si>
  <si>
    <t>=NF($D2501,"16 Remaining Amt. (LCY)")</t>
  </si>
  <si>
    <t>=NF($D2502,"16 Remaining Amt. (LCY)")</t>
  </si>
  <si>
    <t>=NF($D2503,"16 Remaining Amt. (LCY)")</t>
  </si>
  <si>
    <t>=NF($D2504,"16 Remaining Amt. (LCY)")</t>
  </si>
  <si>
    <t>=NF($D2505,"16 Remaining Amt. (LCY)")</t>
  </si>
  <si>
    <t>=NF($D2506,"16 Remaining Amt. (LCY)")</t>
  </si>
  <si>
    <t>=NF($D2507,"16 Remaining Amt. (LCY)")</t>
  </si>
  <si>
    <t>=NF($D2508,"16 Remaining Amt. (LCY)")</t>
  </si>
  <si>
    <t>=NF($D2509,"16 Remaining Amt. (LCY)")</t>
  </si>
  <si>
    <t>=NF($D2510,"16 Remaining Amt. (LCY)")</t>
  </si>
  <si>
    <t>=NF($D2511,"16 Remaining Amt. (LCY)")</t>
  </si>
  <si>
    <t>=NF($D2512,"16 Remaining Amt. (LCY)")</t>
  </si>
  <si>
    <t>=NF($D2513,"16 Remaining Amt. (LCY)")</t>
  </si>
  <si>
    <t>=NF($D2514,"16 Remaining Amt. (LCY)")</t>
  </si>
  <si>
    <t>=NF($D2515,"16 Remaining Amt. (LCY)")</t>
  </si>
  <si>
    <t>=NF($D2516,"16 Remaining Amt. (LCY)")</t>
  </si>
  <si>
    <t>=NF($D2517,"16 Remaining Amt. (LCY)")</t>
  </si>
  <si>
    <t>=NF($D2518,"16 Remaining Amt. (LCY)")</t>
  </si>
  <si>
    <t>=NF($D2519,"16 Remaining Amt. (LCY)")</t>
  </si>
  <si>
    <t>=NF($D2520,"16 Remaining Amt. (LCY)")</t>
  </si>
  <si>
    <t>=NF($D2521,"16 Remaining Amt. (LCY)")</t>
  </si>
  <si>
    <t>=NF($D2522,"16 Remaining Amt. (LCY)")</t>
  </si>
  <si>
    <t>=NF($D2523,"16 Remaining Amt. (LCY)")</t>
  </si>
  <si>
    <t>=NF($D2524,"16 Remaining Amt. (LCY)")</t>
  </si>
  <si>
    <t>=NF($D2525,"16 Remaining Amt. (LCY)")</t>
  </si>
  <si>
    <t>=NF($D2526,"16 Remaining Amt. (LCY)")</t>
  </si>
  <si>
    <t>=NF($D2527,"16 Remaining Amt. (LCY)")</t>
  </si>
  <si>
    <t>=NF($D2528,"16 Remaining Amt. (LCY)")</t>
  </si>
  <si>
    <t>=NF($D2529,"16 Remaining Amt. (LCY)")</t>
  </si>
  <si>
    <t>=NF($D2530,"16 Remaining Amt. (LCY)")</t>
  </si>
  <si>
    <t>=NF($D2531,"16 Remaining Amt. (LCY)")</t>
  </si>
  <si>
    <t>=NF($D2532,"16 Remaining Amt. (LCY)")</t>
  </si>
  <si>
    <t>=NF($D2533,"16 Remaining Amt. (LCY)")</t>
  </si>
  <si>
    <t>=NF($D2534,"16 Remaining Amt. (LCY)")</t>
  </si>
  <si>
    <t>=NF($D2535,"16 Remaining Amt. (LCY)")</t>
  </si>
  <si>
    <t>=NF($D2536,"16 Remaining Amt. (LCY)")</t>
  </si>
  <si>
    <t>=NF($D2537,"16 Remaining Amt. (LCY)")</t>
  </si>
  <si>
    <t>=NF($D2538,"16 Remaining Amt. (LCY)")</t>
  </si>
  <si>
    <t>=NF($D2539,"16 Remaining Amt. (LCY)")</t>
  </si>
  <si>
    <t>=NF($D2540,"16 Remaining Amt. (LCY)")</t>
  </si>
  <si>
    <t>=NF($D2541,"16 Remaining Amt. (LCY)")</t>
  </si>
  <si>
    <t>=NF($D2542,"16 Remaining Amt. (LCY)")</t>
  </si>
  <si>
    <t>=NF($D2543,"16 Remaining Amt. (LCY)")</t>
  </si>
  <si>
    <t>=NF($D2544,"16 Remaining Amt. (LCY)")</t>
  </si>
  <si>
    <t>=NF($D2545,"16 Remaining Amt. (LCY)")</t>
  </si>
  <si>
    <t>=NF($D2546,"16 Remaining Amt. (LCY)")</t>
  </si>
  <si>
    <t>=NF($D2547,"16 Remaining Amt. (LCY)")</t>
  </si>
  <si>
    <t>=NF($D2548,"16 Remaining Amt. (LCY)")</t>
  </si>
  <si>
    <t>=NF($D2549,"16 Remaining Amt. (LCY)")</t>
  </si>
  <si>
    <t>=NF($D2550,"16 Remaining Amt. (LCY)")</t>
  </si>
  <si>
    <t>=NF($D2551,"16 Remaining Amt. (LCY)")</t>
  </si>
  <si>
    <t>=NF($D2552,"16 Remaining Amt. (LCY)")</t>
  </si>
  <si>
    <t>=NF($D2553,"16 Remaining Amt. (LCY)")</t>
  </si>
  <si>
    <t>=NF($D2554,"16 Remaining Amt. (LCY)")</t>
  </si>
  <si>
    <t>=NF($D2555,"16 Remaining Amt. (LCY)")</t>
  </si>
  <si>
    <t>=NF($D2556,"16 Remaining Amt. (LCY)")</t>
  </si>
  <si>
    <t>=NF($D2557,"16 Remaining Amt. (LCY)")</t>
  </si>
  <si>
    <t>=NF($D2558,"16 Remaining Amt. (LCY)")</t>
  </si>
  <si>
    <t>=NF($D2559,"16 Remaining Amt. (LCY)")</t>
  </si>
  <si>
    <t>=NF($D2560,"16 Remaining Amt. (LCY)")</t>
  </si>
  <si>
    <t>=NF($D2561,"16 Remaining Amt. (LCY)")</t>
  </si>
  <si>
    <t>=NF($D2562,"16 Remaining Amt. (LCY)")</t>
  </si>
  <si>
    <t>=NF($D2563,"16 Remaining Amt. (LCY)")</t>
  </si>
  <si>
    <t>=NF($D2564,"16 Remaining Amt. (LCY)")</t>
  </si>
  <si>
    <t>=NF($D2565,"16 Remaining Amt. (LCY)")</t>
  </si>
  <si>
    <t>=NF($D2566,"16 Remaining Amt. (LCY)")</t>
  </si>
  <si>
    <t>=NF($D2567,"16 Remaining Amt. (LCY)")</t>
  </si>
  <si>
    <t>=NF($D2568,"16 Remaining Amt. (LCY)")</t>
  </si>
  <si>
    <t>=NF($D2569,"16 Remaining Amt. (LCY)")</t>
  </si>
  <si>
    <t>=NF($D2570,"16 Remaining Amt. (LCY)")</t>
  </si>
  <si>
    <t>=NF($D2571,"16 Remaining Amt. (LCY)")</t>
  </si>
  <si>
    <t>=NF($D2572,"16 Remaining Amt. (LCY)")</t>
  </si>
  <si>
    <t>=NF($D2573,"16 Remaining Amt. (LCY)")</t>
  </si>
  <si>
    <t>=NF($D2574,"16 Remaining Amt. (LCY)")</t>
  </si>
  <si>
    <t>=NF($D2575,"16 Remaining Amt. (LCY)")</t>
  </si>
  <si>
    <t>=NF($D2576,"16 Remaining Amt. (LCY)")</t>
  </si>
  <si>
    <t>=NF($D2577,"16 Remaining Amt. (LCY)")</t>
  </si>
  <si>
    <t>=NF($D2578,"16 Remaining Amt. (LCY)")</t>
  </si>
  <si>
    <t>=NF($D2579,"16 Remaining Amt. (LCY)")</t>
  </si>
  <si>
    <t>=NF($D2580,"16 Remaining Amt. (LCY)")</t>
  </si>
  <si>
    <t>=NF($D2581,"16 Remaining Amt. (LCY)")</t>
  </si>
  <si>
    <t>=NF($D2582,"16 Remaining Amt. (LCY)")</t>
  </si>
  <si>
    <t>=NF($D2583,"16 Remaining Amt. (LCY)")</t>
  </si>
  <si>
    <t>=NF($D2584,"16 Remaining Amt. (LCY)")</t>
  </si>
  <si>
    <t>=NF($D2585,"16 Remaining Amt. (LCY)")</t>
  </si>
  <si>
    <t>=NF($D2586,"16 Remaining Amt. (LCY)")</t>
  </si>
  <si>
    <t>=NF($D2587,"16 Remaining Amt. (LCY)")</t>
  </si>
  <si>
    <t>=NF($D2588,"16 Remaining Amt. (LCY)")</t>
  </si>
  <si>
    <t>=NF($D2589,"16 Remaining Amt. (LCY)")</t>
  </si>
  <si>
    <t>=NF($D2590,"16 Remaining Amt. (LCY)")</t>
  </si>
  <si>
    <t>=NF($D2591,"16 Remaining Amt. (LCY)")</t>
  </si>
  <si>
    <t>=NF($D2592,"16 Remaining Amt. (LCY)")</t>
  </si>
  <si>
    <t>=NF($D2593,"16 Remaining Amt. (LCY)")</t>
  </si>
  <si>
    <t>=NF($D2594,"16 Remaining Amt. (LCY)")</t>
  </si>
  <si>
    <t>=NF($D2595,"16 Remaining Amt. (LCY)")</t>
  </si>
  <si>
    <t>=NF($D2596,"16 Remaining Amt. (LCY)")</t>
  </si>
  <si>
    <t>=NF($D2597,"16 Remaining Amt. (LCY)")</t>
  </si>
  <si>
    <t>=NF($D2598,"16 Remaining Amt. (LCY)")</t>
  </si>
  <si>
    <t>=NF($D2599,"16 Remaining Amt. (LCY)")</t>
  </si>
  <si>
    <t>=NF($D2600,"16 Remaining Amt. (LCY)")</t>
  </si>
  <si>
    <t>=NF($D2601,"16 Remaining Amt. (LCY)")</t>
  </si>
  <si>
    <t>=NF($D2602,"16 Remaining Amt. (LCY)")</t>
  </si>
  <si>
    <t>=NF($D2603,"16 Remaining Amt. (LCY)")</t>
  </si>
  <si>
    <t>=NF($D2604,"16 Remaining Amt. (LCY)")</t>
  </si>
  <si>
    <t>=NF($D2605,"16 Remaining Amt. (LCY)")</t>
  </si>
  <si>
    <t>=NF($D2606,"16 Remaining Amt. (LCY)")</t>
  </si>
  <si>
    <t>=NF($D2607,"16 Remaining Amt. (LCY)")</t>
  </si>
  <si>
    <t>=NF($D2608,"16 Remaining Amt. (LCY)")</t>
  </si>
  <si>
    <t>=NF($D2609,"16 Remaining Amt. (LCY)")</t>
  </si>
  <si>
    <t>=NF($D2610,"16 Remaining Amt. (LCY)")</t>
  </si>
  <si>
    <t>=NF($D2611,"16 Remaining Amt. (LCY)")</t>
  </si>
  <si>
    <t>=NF($D2612,"16 Remaining Amt. (LCY)")</t>
  </si>
  <si>
    <t>=NF($D2613,"16 Remaining Amt. (LCY)")</t>
  </si>
  <si>
    <t>=NF($D2614,"16 Remaining Amt. (LCY)")</t>
  </si>
  <si>
    <t>=NF($D2615,"16 Remaining Amt. (LCY)")</t>
  </si>
  <si>
    <t>=NF($D2616,"16 Remaining Amt. (LCY)")</t>
  </si>
  <si>
    <t>=NF($D2617,"16 Remaining Amt. (LCY)")</t>
  </si>
  <si>
    <t>=NF($D2618,"16 Remaining Amt. (LCY)")</t>
  </si>
  <si>
    <t>=NF($D2619,"16 Remaining Amt. (LCY)")</t>
  </si>
  <si>
    <t>=NF($D2620,"16 Remaining Amt. (LCY)")</t>
  </si>
  <si>
    <t>=NF($D2621,"16 Remaining Amt. (LCY)")</t>
  </si>
  <si>
    <t>=NF($D2622,"16 Remaining Amt. (LCY)")</t>
  </si>
  <si>
    <t>=NF($D2623,"16 Remaining Amt. (LCY)")</t>
  </si>
  <si>
    <t>=NF($D2624,"16 Remaining Amt. (LCY)")</t>
  </si>
  <si>
    <t>=NF($D2625,"16 Remaining Amt. (LCY)")</t>
  </si>
  <si>
    <t>=NF($D2626,"16 Remaining Amt. (LCY)")</t>
  </si>
  <si>
    <t>=NF($D2627,"16 Remaining Amt. (LCY)")</t>
  </si>
  <si>
    <t>=NF($D2628,"16 Remaining Amt. (LCY)")</t>
  </si>
  <si>
    <t>=NF($D2629,"16 Remaining Amt. (LCY)")</t>
  </si>
  <si>
    <t>=NF($D2630,"16 Remaining Amt. (LCY)")</t>
  </si>
  <si>
    <t>=NF($D2631,"16 Remaining Amt. (LCY)")</t>
  </si>
  <si>
    <t>=NF($D2632,"16 Remaining Amt. (LCY)")</t>
  </si>
  <si>
    <t>=NF($D2633,"16 Remaining Amt. (LCY)")</t>
  </si>
  <si>
    <t>=NF($D2634,"16 Remaining Amt. (LCY)")</t>
  </si>
  <si>
    <t>=NF($D2635,"16 Remaining Amt. (LCY)")</t>
  </si>
  <si>
    <t>=NF($D2636,"16 Remaining Amt. (LCY)")</t>
  </si>
  <si>
    <t>=NF($D2637,"16 Remaining Amt. (LCY)")</t>
  </si>
  <si>
    <t>=NF($D2638,"16 Remaining Amt. (LCY)")</t>
  </si>
  <si>
    <t>=NF($D2639,"16 Remaining Amt. (LCY)")</t>
  </si>
  <si>
    <t>=NF($D2640,"16 Remaining Amt. (LCY)")</t>
  </si>
  <si>
    <t>=NF($D2641,"16 Remaining Amt. (LCY)")</t>
  </si>
  <si>
    <t>=NF($D2642,"16 Remaining Amt. (LCY)")</t>
  </si>
  <si>
    <t>=NF($D2643,"16 Remaining Amt. (LCY)")</t>
  </si>
  <si>
    <t>=NF($D2644,"16 Remaining Amt. (LCY)")</t>
  </si>
  <si>
    <t>=NF($D2645,"16 Remaining Amt. (LCY)")</t>
  </si>
  <si>
    <t>=NF($D2646,"16 Remaining Amt. (LCY)")</t>
  </si>
  <si>
    <t>=NF($D2647,"16 Remaining Amt. (LCY)")</t>
  </si>
  <si>
    <t>=NF($D2435,"5 Document Type")</t>
  </si>
  <si>
    <t>=NF($D2436,"5 Document Type")</t>
  </si>
  <si>
    <t>=NF($D2437,"5 Document Type")</t>
  </si>
  <si>
    <t>=NF($D2438,"5 Document Type")</t>
  </si>
  <si>
    <t>=NF($D2439,"5 Document Type")</t>
  </si>
  <si>
    <t>=NF($D2440,"5 Document Type")</t>
  </si>
  <si>
    <t>=NF($D2441,"5 Document Type")</t>
  </si>
  <si>
    <t>=NF($D2442,"5 Document Type")</t>
  </si>
  <si>
    <t>=NF($D2443,"5 Document Type")</t>
  </si>
  <si>
    <t>=NF($D2444,"5 Document Type")</t>
  </si>
  <si>
    <t>=NF($D2445,"5 Document Type")</t>
  </si>
  <si>
    <t>=NF($D2446,"5 Document Type")</t>
  </si>
  <si>
    <t>=NF($D2447,"5 Document Type")</t>
  </si>
  <si>
    <t>=NF($D2448,"5 Document Type")</t>
  </si>
  <si>
    <t>=NF($D2449,"5 Document Type")</t>
  </si>
  <si>
    <t>=NF($D2450,"5 Document Type")</t>
  </si>
  <si>
    <t>=NF($D2451,"5 Document Type")</t>
  </si>
  <si>
    <t>=NF($D2452,"5 Document Type")</t>
  </si>
  <si>
    <t>=NF($D2453,"5 Document Type")</t>
  </si>
  <si>
    <t>=NF($D2454,"5 Document Type")</t>
  </si>
  <si>
    <t>=NF($D2455,"5 Document Type")</t>
  </si>
  <si>
    <t>=NF($D2456,"5 Document Type")</t>
  </si>
  <si>
    <t>=NF($D2457,"5 Document Type")</t>
  </si>
  <si>
    <t>=NF($D2458,"5 Document Type")</t>
  </si>
  <si>
    <t>=NF($D2459,"5 Document Type")</t>
  </si>
  <si>
    <t>=NF($D2460,"5 Document Type")</t>
  </si>
  <si>
    <t>=NF($D2461,"5 Document Type")</t>
  </si>
  <si>
    <t>=NF($D2462,"5 Document Type")</t>
  </si>
  <si>
    <t>=NF($D2463,"5 Document Type")</t>
  </si>
  <si>
    <t>=NF($D2464,"5 Document Type")</t>
  </si>
  <si>
    <t>=NF($D2465,"5 Document Type")</t>
  </si>
  <si>
    <t>=NF($D2466,"5 Document Type")</t>
  </si>
  <si>
    <t>=NF($D2467,"5 Document Type")</t>
  </si>
  <si>
    <t>=NF($D2468,"5 Document Type")</t>
  </si>
  <si>
    <t>=NF($D2469,"5 Document Type")</t>
  </si>
  <si>
    <t>=NF($D2470,"5 Document Type")</t>
  </si>
  <si>
    <t>=NF($D2471,"5 Document Type")</t>
  </si>
  <si>
    <t>=NF($D2472,"5 Document Type")</t>
  </si>
  <si>
    <t>=NF($D2473,"5 Document Type")</t>
  </si>
  <si>
    <t>=NF($D2474,"5 Document Type")</t>
  </si>
  <si>
    <t>=NF($D2475,"5 Document Type")</t>
  </si>
  <si>
    <t>=NF($D2476,"5 Document Type")</t>
  </si>
  <si>
    <t>=NF($D2477,"5 Document Type")</t>
  </si>
  <si>
    <t>=NF($D2478,"5 Document Type")</t>
  </si>
  <si>
    <t>=NF($D2479,"5 Document Type")</t>
  </si>
  <si>
    <t>=NF($D2480,"5 Document Type")</t>
  </si>
  <si>
    <t>=NF($D2481,"5 Document Type")</t>
  </si>
  <si>
    <t>=NF($D2482,"5 Document Type")</t>
  </si>
  <si>
    <t>=NF($D2483,"5 Document Type")</t>
  </si>
  <si>
    <t>=NF($D2484,"5 Document Type")</t>
  </si>
  <si>
    <t>=NF($D2485,"5 Document Type")</t>
  </si>
  <si>
    <t>=NF($D2486,"5 Document Type")</t>
  </si>
  <si>
    <t>=NF($D2487,"5 Document Type")</t>
  </si>
  <si>
    <t>=NF($D2488,"5 Document Type")</t>
  </si>
  <si>
    <t>=NF($D2489,"5 Document Type")</t>
  </si>
  <si>
    <t>=NF($D2490,"5 Document Type")</t>
  </si>
  <si>
    <t>=NF($D2491,"5 Document Type")</t>
  </si>
  <si>
    <t>=NF($D2492,"5 Document Type")</t>
  </si>
  <si>
    <t>=NF($D2493,"5 Document Type")</t>
  </si>
  <si>
    <t>=NF($D2435,"6 Document No.")</t>
  </si>
  <si>
    <t>=NF($D2436,"6 Document No.")</t>
  </si>
  <si>
    <t>=NF($D2437,"6 Document No.")</t>
  </si>
  <si>
    <t>=NF($D2438,"6 Document No.")</t>
  </si>
  <si>
    <t>=NF($D2439,"6 Document No.")</t>
  </si>
  <si>
    <t>=NF($D2440,"6 Document No.")</t>
  </si>
  <si>
    <t>=NF($D2441,"6 Document No.")</t>
  </si>
  <si>
    <t>=NF($D2442,"6 Document No.")</t>
  </si>
  <si>
    <t>=NF($D2443,"6 Document No.")</t>
  </si>
  <si>
    <t>=NF($D2444,"6 Document No.")</t>
  </si>
  <si>
    <t>=NF($D2445,"6 Document No.")</t>
  </si>
  <si>
    <t>=NF($D2446,"6 Document No.")</t>
  </si>
  <si>
    <t>=NF($D2447,"6 Document No.")</t>
  </si>
  <si>
    <t>=NF($D2448,"6 Document No.")</t>
  </si>
  <si>
    <t>=NF($D2449,"6 Document No.")</t>
  </si>
  <si>
    <t>=NF($D2450,"6 Document No.")</t>
  </si>
  <si>
    <t>=NF($D2451,"6 Document No.")</t>
  </si>
  <si>
    <t>=NF($D2452,"6 Document No.")</t>
  </si>
  <si>
    <t>=NF($D2453,"6 Document No.")</t>
  </si>
  <si>
    <t>=NF($D2454,"6 Document No.")</t>
  </si>
  <si>
    <t>=NF($D2455,"6 Document No.")</t>
  </si>
  <si>
    <t>=NF($D2456,"6 Document No.")</t>
  </si>
  <si>
    <t>=NF($D2457,"6 Document No.")</t>
  </si>
  <si>
    <t>=NF($D2458,"6 Document No.")</t>
  </si>
  <si>
    <t>=NF($D2459,"6 Document No.")</t>
  </si>
  <si>
    <t>=NF($D2460,"6 Document No.")</t>
  </si>
  <si>
    <t>=NF($D2461,"6 Document No.")</t>
  </si>
  <si>
    <t>=NF($D2462,"6 Document No.")</t>
  </si>
  <si>
    <t>=NF($D2463,"6 Document No.")</t>
  </si>
  <si>
    <t>=NF($D2464,"6 Document No.")</t>
  </si>
  <si>
    <t>=NF($D2465,"6 Document No.")</t>
  </si>
  <si>
    <t>=NF($D2466,"6 Document No.")</t>
  </si>
  <si>
    <t>=NF($D2467,"6 Document No.")</t>
  </si>
  <si>
    <t>=NF($D2468,"6 Document No.")</t>
  </si>
  <si>
    <t>=NF($D2469,"6 Document No.")</t>
  </si>
  <si>
    <t>=NF($D2470,"6 Document No.")</t>
  </si>
  <si>
    <t>=NF($D2471,"6 Document No.")</t>
  </si>
  <si>
    <t>=NF($D2472,"6 Document No.")</t>
  </si>
  <si>
    <t>=NF($D2473,"6 Document No.")</t>
  </si>
  <si>
    <t>=NF($D2474,"6 Document No.")</t>
  </si>
  <si>
    <t>=NF($D2475,"6 Document No.")</t>
  </si>
  <si>
    <t>=NF($D2476,"6 Document No.")</t>
  </si>
  <si>
    <t>=NF($D2477,"6 Document No.")</t>
  </si>
  <si>
    <t>=NF($D2478,"6 Document No.")</t>
  </si>
  <si>
    <t>=NF($D2479,"6 Document No.")</t>
  </si>
  <si>
    <t>=NF($D2480,"6 Document No.")</t>
  </si>
  <si>
    <t>=NF($D2481,"6 Document No.")</t>
  </si>
  <si>
    <t>=NF($D2482,"6 Document No.")</t>
  </si>
  <si>
    <t>=NF($D2483,"6 Document No.")</t>
  </si>
  <si>
    <t>=NF($D2484,"6 Document No.")</t>
  </si>
  <si>
    <t>=NF($D2485,"6 Document No.")</t>
  </si>
  <si>
    <t>=NF($D2486,"6 Document No.")</t>
  </si>
  <si>
    <t>=NF($D2487,"6 Document No.")</t>
  </si>
  <si>
    <t>=NF($D2488,"6 Document No.")</t>
  </si>
  <si>
    <t>=NF($D2489,"6 Document No.")</t>
  </si>
  <si>
    <t>=NF($D2490,"6 Document No.")</t>
  </si>
  <si>
    <t>=NF($D2491,"6 Document No.")</t>
  </si>
  <si>
    <t>=NF($D2492,"6 Document No.")</t>
  </si>
  <si>
    <t>=NF($D2493,"6 Document No.")</t>
  </si>
  <si>
    <t>=NF($D2435,"37 Due Date")</t>
  </si>
  <si>
    <t>=NF($D2436,"37 Due Date")</t>
  </si>
  <si>
    <t>=NF($D2437,"37 Due Date")</t>
  </si>
  <si>
    <t>=NF($D2438,"37 Due Date")</t>
  </si>
  <si>
    <t>=NF($D2439,"37 Due Date")</t>
  </si>
  <si>
    <t>=NF($D2440,"37 Due Date")</t>
  </si>
  <si>
    <t>=NF($D2441,"37 Due Date")</t>
  </si>
  <si>
    <t>=NF($D2442,"37 Due Date")</t>
  </si>
  <si>
    <t>=NF($D2443,"37 Due Date")</t>
  </si>
  <si>
    <t>=NF($D2444,"37 Due Date")</t>
  </si>
  <si>
    <t>=NF($D2445,"37 Due Date")</t>
  </si>
  <si>
    <t>=NF($D2446,"37 Due Date")</t>
  </si>
  <si>
    <t>=NF($D2447,"37 Due Date")</t>
  </si>
  <si>
    <t>=NF($D2448,"37 Due Date")</t>
  </si>
  <si>
    <t>=NF($D2449,"37 Due Date")</t>
  </si>
  <si>
    <t>=NF($D2450,"37 Due Date")</t>
  </si>
  <si>
    <t>=NF($D2451,"37 Due Date")</t>
  </si>
  <si>
    <t>=NF($D2452,"37 Due Date")</t>
  </si>
  <si>
    <t>=NF($D2453,"37 Due Date")</t>
  </si>
  <si>
    <t>=NF($D2454,"37 Due Date")</t>
  </si>
  <si>
    <t>=NF($D2455,"37 Due Date")</t>
  </si>
  <si>
    <t>=NF($D2456,"37 Due Date")</t>
  </si>
  <si>
    <t>=NF($D2457,"37 Due Date")</t>
  </si>
  <si>
    <t>=NF($D2458,"37 Due Date")</t>
  </si>
  <si>
    <t>=NF($D2459,"37 Due Date")</t>
  </si>
  <si>
    <t>=NF($D2460,"37 Due Date")</t>
  </si>
  <si>
    <t>=NF($D2461,"37 Due Date")</t>
  </si>
  <si>
    <t>=NF($D2462,"37 Due Date")</t>
  </si>
  <si>
    <t>=NF($D2463,"37 Due Date")</t>
  </si>
  <si>
    <t>=NF($D2464,"37 Due Date")</t>
  </si>
  <si>
    <t>=NF($D2465,"37 Due Date")</t>
  </si>
  <si>
    <t>=NF($D2466,"37 Due Date")</t>
  </si>
  <si>
    <t>=NF($D2467,"37 Due Date")</t>
  </si>
  <si>
    <t>=NF($D2468,"37 Due Date")</t>
  </si>
  <si>
    <t>=NF($D2469,"37 Due Date")</t>
  </si>
  <si>
    <t>=NF($D2470,"37 Due Date")</t>
  </si>
  <si>
    <t>=NF($D2471,"37 Due Date")</t>
  </si>
  <si>
    <t>=NF($D2472,"37 Due Date")</t>
  </si>
  <si>
    <t>=NF($D2473,"37 Due Date")</t>
  </si>
  <si>
    <t>=NF($D2474,"37 Due Date")</t>
  </si>
  <si>
    <t>=NF($D2475,"37 Due Date")</t>
  </si>
  <si>
    <t>=NF($D2476,"37 Due Date")</t>
  </si>
  <si>
    <t>=NF($D2477,"37 Due Date")</t>
  </si>
  <si>
    <t>=NF($D2478,"37 Due Date")</t>
  </si>
  <si>
    <t>=NF($D2479,"37 Due Date")</t>
  </si>
  <si>
    <t>=NF($D2480,"37 Due Date")</t>
  </si>
  <si>
    <t>=NF($D2481,"37 Due Date")</t>
  </si>
  <si>
    <t>=NF($D2482,"37 Due Date")</t>
  </si>
  <si>
    <t>=NF($D2483,"37 Due Date")</t>
  </si>
  <si>
    <t>=NF($D2484,"37 Due Date")</t>
  </si>
  <si>
    <t>=NF($D2485,"37 Due Date")</t>
  </si>
  <si>
    <t>=NF($D2486,"37 Due Date")</t>
  </si>
  <si>
    <t>=NF($D2487,"37 Due Date")</t>
  </si>
  <si>
    <t>=NF($D2488,"37 Due Date")</t>
  </si>
  <si>
    <t>=NF($D2489,"37 Due Date")</t>
  </si>
  <si>
    <t>=NF($D2490,"37 Due Date")</t>
  </si>
  <si>
    <t>=NF($D2491,"37 Due Date")</t>
  </si>
  <si>
    <t>=NF($D2492,"37 Due Date")</t>
  </si>
  <si>
    <t>=NF($D2493,"37 Due Date")</t>
  </si>
  <si>
    <t>=NF($D2435,"16 Remaining Amt. (LCY)")</t>
  </si>
  <si>
    <t>=NF($D2436,"16 Remaining Amt. (LCY)")</t>
  </si>
  <si>
    <t>=NF($D2437,"16 Remaining Amt. (LCY)")</t>
  </si>
  <si>
    <t>=NF($D2438,"16 Remaining Amt. (LCY)")</t>
  </si>
  <si>
    <t>=NF($D2439,"16 Remaining Amt. (LCY)")</t>
  </si>
  <si>
    <t>=NF($D2440,"16 Remaining Amt. (LCY)")</t>
  </si>
  <si>
    <t>=NF($D2441,"16 Remaining Amt. (LCY)")</t>
  </si>
  <si>
    <t>=NF($D2442,"16 Remaining Amt. (LCY)")</t>
  </si>
  <si>
    <t>=NF($D2443,"16 Remaining Amt. (LCY)")</t>
  </si>
  <si>
    <t>=NF($D2444,"16 Remaining Amt. (LCY)")</t>
  </si>
  <si>
    <t>=NF($D2445,"16 Remaining Amt. (LCY)")</t>
  </si>
  <si>
    <t>=NF($D2446,"16 Remaining Amt. (LCY)")</t>
  </si>
  <si>
    <t>=NF($D2447,"16 Remaining Amt. (LCY)")</t>
  </si>
  <si>
    <t>=NF($D2448,"16 Remaining Amt. (LCY)")</t>
  </si>
  <si>
    <t>=NF($D2449,"16 Remaining Amt. (LCY)")</t>
  </si>
  <si>
    <t>=NF($D2450,"16 Remaining Amt. (LCY)")</t>
  </si>
  <si>
    <t>=NF($D2451,"16 Remaining Amt. (LCY)")</t>
  </si>
  <si>
    <t>=NF($D2452,"16 Remaining Amt. (LCY)")</t>
  </si>
  <si>
    <t>=NF($D2453,"16 Remaining Amt. (LCY)")</t>
  </si>
  <si>
    <t>=NF($D2454,"16 Remaining Amt. (LCY)")</t>
  </si>
  <si>
    <t>=NF($D2455,"16 Remaining Amt. (LCY)")</t>
  </si>
  <si>
    <t>=NF($D2456,"16 Remaining Amt. (LCY)")</t>
  </si>
  <si>
    <t>=NF($D2457,"16 Remaining Amt. (LCY)")</t>
  </si>
  <si>
    <t>=NF($D2458,"16 Remaining Amt. (LCY)")</t>
  </si>
  <si>
    <t>=NF($D2459,"16 Remaining Amt. (LCY)")</t>
  </si>
  <si>
    <t>=NF($D2460,"16 Remaining Amt. (LCY)")</t>
  </si>
  <si>
    <t>=NF($D2461,"16 Remaining Amt. (LCY)")</t>
  </si>
  <si>
    <t>=NF($D2462,"16 Remaining Amt. (LCY)")</t>
  </si>
  <si>
    <t>=NF($D2463,"16 Remaining Amt. (LCY)")</t>
  </si>
  <si>
    <t>=NF($D2464,"16 Remaining Amt. (LCY)")</t>
  </si>
  <si>
    <t>=NF($D2465,"16 Remaining Amt. (LCY)")</t>
  </si>
  <si>
    <t>=NF($D2466,"16 Remaining Amt. (LCY)")</t>
  </si>
  <si>
    <t>=NF($D2467,"16 Remaining Amt. (LCY)")</t>
  </si>
  <si>
    <t>=NF($D2468,"16 Remaining Amt. (LCY)")</t>
  </si>
  <si>
    <t>=NF($D2469,"16 Remaining Amt. (LCY)")</t>
  </si>
  <si>
    <t>=NF($D2470,"16 Remaining Amt. (LCY)")</t>
  </si>
  <si>
    <t>=NF($D2471,"16 Remaining Amt. (LCY)")</t>
  </si>
  <si>
    <t>=NF($D2472,"16 Remaining Amt. (LCY)")</t>
  </si>
  <si>
    <t>=NF($D2473,"16 Remaining Amt. (LCY)")</t>
  </si>
  <si>
    <t>=NF($D2474,"16 Remaining Amt. (LCY)")</t>
  </si>
  <si>
    <t>=NF($D2475,"16 Remaining Amt. (LCY)")</t>
  </si>
  <si>
    <t>=NF($D2476,"16 Remaining Amt. (LCY)")</t>
  </si>
  <si>
    <t>=NF($D2477,"16 Remaining Amt. (LCY)")</t>
  </si>
  <si>
    <t>=NF($D2478,"16 Remaining Amt. (LCY)")</t>
  </si>
  <si>
    <t>=NF($D2479,"16 Remaining Amt. (LCY)")</t>
  </si>
  <si>
    <t>=NF($D2480,"16 Remaining Amt. (LCY)")</t>
  </si>
  <si>
    <t>=NF($D2481,"16 Remaining Amt. (LCY)")</t>
  </si>
  <si>
    <t>=NF($D2482,"16 Remaining Amt. (LCY)")</t>
  </si>
  <si>
    <t>=NF($D2483,"16 Remaining Amt. (LCY)")</t>
  </si>
  <si>
    <t>=NF($D2484,"16 Remaining Amt. (LCY)")</t>
  </si>
  <si>
    <t>=NF($D2485,"16 Remaining Amt. (LCY)")</t>
  </si>
  <si>
    <t>=NF($D2486,"16 Remaining Amt. (LCY)")</t>
  </si>
  <si>
    <t>=NF($D2487,"16 Remaining Amt. (LCY)")</t>
  </si>
  <si>
    <t>=NF($D2488,"16 Remaining Amt. (LCY)")</t>
  </si>
  <si>
    <t>=NF($D2489,"16 Remaining Amt. (LCY)")</t>
  </si>
  <si>
    <t>=NF($D2490,"16 Remaining Amt. (LCY)")</t>
  </si>
  <si>
    <t>=NF($D2491,"16 Remaining Amt. (LCY)")</t>
  </si>
  <si>
    <t>=NF($D2492,"16 Remaining Amt. (LCY)")</t>
  </si>
  <si>
    <t>=NF($D2493,"16 Remaining Amt. (LCY)")</t>
  </si>
  <si>
    <t>=NF($D2412,"5 Document Type")</t>
  </si>
  <si>
    <t>=NF($D2413,"5 Document Type")</t>
  </si>
  <si>
    <t>=NF($D2414,"5 Document Type")</t>
  </si>
  <si>
    <t>=NF($D2415,"5 Document Type")</t>
  </si>
  <si>
    <t>=NF($D2416,"5 Document Type")</t>
  </si>
  <si>
    <t>=NF($D2417,"5 Document Type")</t>
  </si>
  <si>
    <t>=NF($D2418,"5 Document Type")</t>
  </si>
  <si>
    <t>=NF($D2419,"5 Document Type")</t>
  </si>
  <si>
    <t>=NF($D2420,"5 Document Type")</t>
  </si>
  <si>
    <t>=NF($D2421,"5 Document Type")</t>
  </si>
  <si>
    <t>=NF($D2422,"5 Document Type")</t>
  </si>
  <si>
    <t>=NF($D2423,"5 Document Type")</t>
  </si>
  <si>
    <t>=NF($D2424,"5 Document Type")</t>
  </si>
  <si>
    <t>=NF($D2425,"5 Document Type")</t>
  </si>
  <si>
    <t>=NF($D2426,"5 Document Type")</t>
  </si>
  <si>
    <t>=NF($D2427,"5 Document Type")</t>
  </si>
  <si>
    <t>=NF($D2428,"5 Document Type")</t>
  </si>
  <si>
    <t>=NF($D2412,"6 Document No.")</t>
  </si>
  <si>
    <t>=NF($D2413,"6 Document No.")</t>
  </si>
  <si>
    <t>=NF($D2414,"6 Document No.")</t>
  </si>
  <si>
    <t>=NF($D2415,"6 Document No.")</t>
  </si>
  <si>
    <t>=NF($D2416,"6 Document No.")</t>
  </si>
  <si>
    <t>=NF($D2417,"6 Document No.")</t>
  </si>
  <si>
    <t>=NF($D2418,"6 Document No.")</t>
  </si>
  <si>
    <t>=NF($D2419,"6 Document No.")</t>
  </si>
  <si>
    <t>=NF($D2420,"6 Document No.")</t>
  </si>
  <si>
    <t>=NF($D2421,"6 Document No.")</t>
  </si>
  <si>
    <t>=NF($D2422,"6 Document No.")</t>
  </si>
  <si>
    <t>=NF($D2423,"6 Document No.")</t>
  </si>
  <si>
    <t>=NF($D2424,"6 Document No.")</t>
  </si>
  <si>
    <t>=NF($D2425,"6 Document No.")</t>
  </si>
  <si>
    <t>=NF($D2426,"6 Document No.")</t>
  </si>
  <si>
    <t>=NF($D2427,"6 Document No.")</t>
  </si>
  <si>
    <t>=NF($D2428,"6 Document No.")</t>
  </si>
  <si>
    <t>=NF($D2412,"37 Due Date")</t>
  </si>
  <si>
    <t>=NF($D2413,"37 Due Date")</t>
  </si>
  <si>
    <t>=NF($D2414,"37 Due Date")</t>
  </si>
  <si>
    <t>=NF($D2415,"37 Due Date")</t>
  </si>
  <si>
    <t>=NF($D2416,"37 Due Date")</t>
  </si>
  <si>
    <t>=NF($D2417,"37 Due Date")</t>
  </si>
  <si>
    <t>=NF($D2418,"37 Due Date")</t>
  </si>
  <si>
    <t>=NF($D2419,"37 Due Date")</t>
  </si>
  <si>
    <t>=NF($D2420,"37 Due Date")</t>
  </si>
  <si>
    <t>=NF($D2421,"37 Due Date")</t>
  </si>
  <si>
    <t>=NF($D2422,"37 Due Date")</t>
  </si>
  <si>
    <t>=NF($D2423,"37 Due Date")</t>
  </si>
  <si>
    <t>=NF($D2424,"37 Due Date")</t>
  </si>
  <si>
    <t>=NF($D2425,"37 Due Date")</t>
  </si>
  <si>
    <t>=NF($D2426,"37 Due Date")</t>
  </si>
  <si>
    <t>=NF($D2427,"37 Due Date")</t>
  </si>
  <si>
    <t>=NF($D2428,"37 Due Date")</t>
  </si>
  <si>
    <t>=NF($D2412,"16 Remaining Amt. (LCY)")</t>
  </si>
  <si>
    <t>=NF($D2413,"16 Remaining Amt. (LCY)")</t>
  </si>
  <si>
    <t>=NF($D2414,"16 Remaining Amt. (LCY)")</t>
  </si>
  <si>
    <t>=NF($D2415,"16 Remaining Amt. (LCY)")</t>
  </si>
  <si>
    <t>=NF($D2416,"16 Remaining Amt. (LCY)")</t>
  </si>
  <si>
    <t>=NF($D2417,"16 Remaining Amt. (LCY)")</t>
  </si>
  <si>
    <t>=NF($D2418,"16 Remaining Amt. (LCY)")</t>
  </si>
  <si>
    <t>=NF($D2419,"16 Remaining Amt. (LCY)")</t>
  </si>
  <si>
    <t>=NF($D2420,"16 Remaining Amt. (LCY)")</t>
  </si>
  <si>
    <t>=NF($D2421,"16 Remaining Amt. (LCY)")</t>
  </si>
  <si>
    <t>=NF($D2422,"16 Remaining Amt. (LCY)")</t>
  </si>
  <si>
    <t>=NF($D2423,"16 Remaining Amt. (LCY)")</t>
  </si>
  <si>
    <t>=NF($D2424,"16 Remaining Amt. (LCY)")</t>
  </si>
  <si>
    <t>=NF($D2425,"16 Remaining Amt. (LCY)")</t>
  </si>
  <si>
    <t>=NF($D2426,"16 Remaining Amt. (LCY)")</t>
  </si>
  <si>
    <t>=NF($D2427,"16 Remaining Amt. (LCY)")</t>
  </si>
  <si>
    <t>=NF($D2428,"16 Remaining Amt. (LCY)")</t>
  </si>
  <si>
    <t>=NF($D2349,"5 Document Type")</t>
  </si>
  <si>
    <t>=NF($D2350,"5 Document Type")</t>
  </si>
  <si>
    <t>=NF($D2351,"5 Document Type")</t>
  </si>
  <si>
    <t>=NF($D2352,"5 Document Type")</t>
  </si>
  <si>
    <t>=NF($D2353,"5 Document Type")</t>
  </si>
  <si>
    <t>=NF($D2354,"5 Document Type")</t>
  </si>
  <si>
    <t>=NF($D2355,"5 Document Type")</t>
  </si>
  <si>
    <t>=NF($D2356,"5 Document Type")</t>
  </si>
  <si>
    <t>=NF($D2357,"5 Document Type")</t>
  </si>
  <si>
    <t>=NF($D2358,"5 Document Type")</t>
  </si>
  <si>
    <t>=NF($D2359,"5 Document Type")</t>
  </si>
  <si>
    <t>=NF($D2360,"5 Document Type")</t>
  </si>
  <si>
    <t>=NF($D2361,"5 Document Type")</t>
  </si>
  <si>
    <t>=NF($D2362,"5 Document Type")</t>
  </si>
  <si>
    <t>=NF($D2363,"5 Document Type")</t>
  </si>
  <si>
    <t>=NF($D2364,"5 Document Type")</t>
  </si>
  <si>
    <t>=NF($D2365,"5 Document Type")</t>
  </si>
  <si>
    <t>=NF($D2366,"5 Document Type")</t>
  </si>
  <si>
    <t>=NF($D2367,"5 Document Type")</t>
  </si>
  <si>
    <t>=NF($D2368,"5 Document Type")</t>
  </si>
  <si>
    <t>=NF($D2369,"5 Document Type")</t>
  </si>
  <si>
    <t>=NF($D2370,"5 Document Type")</t>
  </si>
  <si>
    <t>=NF($D2371,"5 Document Type")</t>
  </si>
  <si>
    <t>=NF($D2372,"5 Document Type")</t>
  </si>
  <si>
    <t>=NF($D2373,"5 Document Type")</t>
  </si>
  <si>
    <t>=NF($D2374,"5 Document Type")</t>
  </si>
  <si>
    <t>=NF($D2375,"5 Document Type")</t>
  </si>
  <si>
    <t>=NF($D2376,"5 Document Type")</t>
  </si>
  <si>
    <t>=NF($D2377,"5 Document Type")</t>
  </si>
  <si>
    <t>=NF($D2378,"5 Document Type")</t>
  </si>
  <si>
    <t>=NF($D2379,"5 Document Type")</t>
  </si>
  <si>
    <t>=NF($D2380,"5 Document Type")</t>
  </si>
  <si>
    <t>=NF($D2381,"5 Document Type")</t>
  </si>
  <si>
    <t>=NF($D2382,"5 Document Type")</t>
  </si>
  <si>
    <t>=NF($D2383,"5 Document Type")</t>
  </si>
  <si>
    <t>=NF($D2384,"5 Document Type")</t>
  </si>
  <si>
    <t>=NF($D2385,"5 Document Type")</t>
  </si>
  <si>
    <t>=NF($D2386,"5 Document Type")</t>
  </si>
  <si>
    <t>=NF($D2387,"5 Document Type")</t>
  </si>
  <si>
    <t>=NF($D2388,"5 Document Type")</t>
  </si>
  <si>
    <t>=NF($D2389,"5 Document Type")</t>
  </si>
  <si>
    <t>=NF($D2390,"5 Document Type")</t>
  </si>
  <si>
    <t>=NF($D2391,"5 Document Type")</t>
  </si>
  <si>
    <t>=NF($D2392,"5 Document Type")</t>
  </si>
  <si>
    <t>=NF($D2393,"5 Document Type")</t>
  </si>
  <si>
    <t>=NF($D2394,"5 Document Type")</t>
  </si>
  <si>
    <t>=NF($D2395,"5 Document Type")</t>
  </si>
  <si>
    <t>=NF($D2396,"5 Document Type")</t>
  </si>
  <si>
    <t>=NF($D2397,"5 Document Type")</t>
  </si>
  <si>
    <t>=NF($D2398,"5 Document Type")</t>
  </si>
  <si>
    <t>=NF($D2399,"5 Document Type")</t>
  </si>
  <si>
    <t>=NF($D2400,"5 Document Type")</t>
  </si>
  <si>
    <t>=NF($D2401,"5 Document Type")</t>
  </si>
  <si>
    <t>=NF($D2402,"5 Document Type")</t>
  </si>
  <si>
    <t>=NF($D2403,"5 Document Type")</t>
  </si>
  <si>
    <t>=NF($D2404,"5 Document Type")</t>
  </si>
  <si>
    <t>=NF($D2405,"5 Document Type")</t>
  </si>
  <si>
    <t>=NF($D2349,"6 Document No.")</t>
  </si>
  <si>
    <t>=NF($D2350,"6 Document No.")</t>
  </si>
  <si>
    <t>=NF($D2351,"6 Document No.")</t>
  </si>
  <si>
    <t>=NF($D2352,"6 Document No.")</t>
  </si>
  <si>
    <t>=NF($D2353,"6 Document No.")</t>
  </si>
  <si>
    <t>=NF($D2354,"6 Document No.")</t>
  </si>
  <si>
    <t>=NF($D2355,"6 Document No.")</t>
  </si>
  <si>
    <t>=NF($D2356,"6 Document No.")</t>
  </si>
  <si>
    <t>=NF($D2357,"6 Document No.")</t>
  </si>
  <si>
    <t>=NF($D2358,"6 Document No.")</t>
  </si>
  <si>
    <t>=NF($D2359,"6 Document No.")</t>
  </si>
  <si>
    <t>=NF($D2360,"6 Document No.")</t>
  </si>
  <si>
    <t>=NF($D2361,"6 Document No.")</t>
  </si>
  <si>
    <t>=NF($D2362,"6 Document No.")</t>
  </si>
  <si>
    <t>=NF($D2363,"6 Document No.")</t>
  </si>
  <si>
    <t>=NF($D2364,"6 Document No.")</t>
  </si>
  <si>
    <t>=NF($D2365,"6 Document No.")</t>
  </si>
  <si>
    <t>=NF($D2366,"6 Document No.")</t>
  </si>
  <si>
    <t>=NF($D2367,"6 Document No.")</t>
  </si>
  <si>
    <t>=NF($D2368,"6 Document No.")</t>
  </si>
  <si>
    <t>=NF($D2369,"6 Document No.")</t>
  </si>
  <si>
    <t>=NF($D2370,"6 Document No.")</t>
  </si>
  <si>
    <t>=NF($D2371,"6 Document No.")</t>
  </si>
  <si>
    <t>=NF($D2372,"6 Document No.")</t>
  </si>
  <si>
    <t>=NF($D2373,"6 Document No.")</t>
  </si>
  <si>
    <t>=NF($D2374,"6 Document No.")</t>
  </si>
  <si>
    <t>=NF($D2375,"6 Document No.")</t>
  </si>
  <si>
    <t>=NF($D2376,"6 Document No.")</t>
  </si>
  <si>
    <t>=NF($D2377,"6 Document No.")</t>
  </si>
  <si>
    <t>=NF($D2378,"6 Document No.")</t>
  </si>
  <si>
    <t>=NF($D2379,"6 Document No.")</t>
  </si>
  <si>
    <t>=NF($D2380,"6 Document No.")</t>
  </si>
  <si>
    <t>=NF($D2381,"6 Document No.")</t>
  </si>
  <si>
    <t>=NF($D2382,"6 Document No.")</t>
  </si>
  <si>
    <t>=NF($D2383,"6 Document No.")</t>
  </si>
  <si>
    <t>=NF($D2384,"6 Document No.")</t>
  </si>
  <si>
    <t>=NF($D2385,"6 Document No.")</t>
  </si>
  <si>
    <t>=NF($D2386,"6 Document No.")</t>
  </si>
  <si>
    <t>=NF($D2387,"6 Document No.")</t>
  </si>
  <si>
    <t>=NF($D2388,"6 Document No.")</t>
  </si>
  <si>
    <t>=NF($D2389,"6 Document No.")</t>
  </si>
  <si>
    <t>=NF($D2390,"6 Document No.")</t>
  </si>
  <si>
    <t>=NF($D2391,"6 Document No.")</t>
  </si>
  <si>
    <t>=NF($D2392,"6 Document No.")</t>
  </si>
  <si>
    <t>=NF($D2393,"6 Document No.")</t>
  </si>
  <si>
    <t>=NF($D2394,"6 Document No.")</t>
  </si>
  <si>
    <t>=NF($D2395,"6 Document No.")</t>
  </si>
  <si>
    <t>=NF($D2396,"6 Document No.")</t>
  </si>
  <si>
    <t>=NF($D2397,"6 Document No.")</t>
  </si>
  <si>
    <t>=NF($D2398,"6 Document No.")</t>
  </si>
  <si>
    <t>=NF($D2399,"6 Document No.")</t>
  </si>
  <si>
    <t>=NF($D2400,"6 Document No.")</t>
  </si>
  <si>
    <t>=NF($D2401,"6 Document No.")</t>
  </si>
  <si>
    <t>=NF($D2402,"6 Document No.")</t>
  </si>
  <si>
    <t>=NF($D2403,"6 Document No.")</t>
  </si>
  <si>
    <t>=NF($D2404,"6 Document No.")</t>
  </si>
  <si>
    <t>=NF($D2405,"6 Document No.")</t>
  </si>
  <si>
    <t>=NF($D2349,"37 Due Date")</t>
  </si>
  <si>
    <t>=NF($D2350,"37 Due Date")</t>
  </si>
  <si>
    <t>=NF($D2351,"37 Due Date")</t>
  </si>
  <si>
    <t>=NF($D2352,"37 Due Date")</t>
  </si>
  <si>
    <t>=NF($D2353,"37 Due Date")</t>
  </si>
  <si>
    <t>=NF($D2354,"37 Due Date")</t>
  </si>
  <si>
    <t>=NF($D2355,"37 Due Date")</t>
  </si>
  <si>
    <t>=NF($D2356,"37 Due Date")</t>
  </si>
  <si>
    <t>=NF($D2357,"37 Due Date")</t>
  </si>
  <si>
    <t>=NF($D2358,"37 Due Date")</t>
  </si>
  <si>
    <t>=NF($D2359,"37 Due Date")</t>
  </si>
  <si>
    <t>=NF($D2360,"37 Due Date")</t>
  </si>
  <si>
    <t>=NF($D2361,"37 Due Date")</t>
  </si>
  <si>
    <t>=NF($D2362,"37 Due Date")</t>
  </si>
  <si>
    <t>=NF($D2363,"37 Due Date")</t>
  </si>
  <si>
    <t>=NF($D2364,"37 Due Date")</t>
  </si>
  <si>
    <t>=NF($D2365,"37 Due Date")</t>
  </si>
  <si>
    <t>=NF($D2366,"37 Due Date")</t>
  </si>
  <si>
    <t>=NF($D2367,"37 Due Date")</t>
  </si>
  <si>
    <t>=NF($D2368,"37 Due Date")</t>
  </si>
  <si>
    <t>=NF($D2369,"37 Due Date")</t>
  </si>
  <si>
    <t>=NF($D2370,"37 Due Date")</t>
  </si>
  <si>
    <t>=NF($D2371,"37 Due Date")</t>
  </si>
  <si>
    <t>=NF($D2372,"37 Due Date")</t>
  </si>
  <si>
    <t>=NF($D2373,"37 Due Date")</t>
  </si>
  <si>
    <t>=NF($D2374,"37 Due Date")</t>
  </si>
  <si>
    <t>=NF($D2375,"37 Due Date")</t>
  </si>
  <si>
    <t>=NF($D2376,"37 Due Date")</t>
  </si>
  <si>
    <t>=NF($D2377,"37 Due Date")</t>
  </si>
  <si>
    <t>=NF($D2378,"37 Due Date")</t>
  </si>
  <si>
    <t>=NF($D2379,"37 Due Date")</t>
  </si>
  <si>
    <t>=NF($D2380,"37 Due Date")</t>
  </si>
  <si>
    <t>=NF($D2381,"37 Due Date")</t>
  </si>
  <si>
    <t>=NF($D2382,"37 Due Date")</t>
  </si>
  <si>
    <t>=NF($D2383,"37 Due Date")</t>
  </si>
  <si>
    <t>=NF($D2384,"37 Due Date")</t>
  </si>
  <si>
    <t>=NF($D2385,"37 Due Date")</t>
  </si>
  <si>
    <t>=NF($D2386,"37 Due Date")</t>
  </si>
  <si>
    <t>=NF($D2387,"37 Due Date")</t>
  </si>
  <si>
    <t>=NF($D2388,"37 Due Date")</t>
  </si>
  <si>
    <t>=NF($D2389,"37 Due Date")</t>
  </si>
  <si>
    <t>=NF($D2390,"37 Due Date")</t>
  </si>
  <si>
    <t>=NF($D2391,"37 Due Date")</t>
  </si>
  <si>
    <t>=NF($D2392,"37 Due Date")</t>
  </si>
  <si>
    <t>=NF($D2393,"37 Due Date")</t>
  </si>
  <si>
    <t>=NF($D2394,"37 Due Date")</t>
  </si>
  <si>
    <t>=NF($D2395,"37 Due Date")</t>
  </si>
  <si>
    <t>=NF($D2396,"37 Due Date")</t>
  </si>
  <si>
    <t>=NF($D2397,"37 Due Date")</t>
  </si>
  <si>
    <t>=NF($D2398,"37 Due Date")</t>
  </si>
  <si>
    <t>=NF($D2399,"37 Due Date")</t>
  </si>
  <si>
    <t>=NF($D2400,"37 Due Date")</t>
  </si>
  <si>
    <t>=NF($D2401,"37 Due Date")</t>
  </si>
  <si>
    <t>=NF($D2402,"37 Due Date")</t>
  </si>
  <si>
    <t>=NF($D2403,"37 Due Date")</t>
  </si>
  <si>
    <t>=NF($D2404,"37 Due Date")</t>
  </si>
  <si>
    <t>=NF($D2405,"37 Due Date")</t>
  </si>
  <si>
    <t>=NF($D2349,"16 Remaining Amt. (LCY)")</t>
  </si>
  <si>
    <t>=NF($D2350,"16 Remaining Amt. (LCY)")</t>
  </si>
  <si>
    <t>=NF($D2351,"16 Remaining Amt. (LCY)")</t>
  </si>
  <si>
    <t>=NF($D2352,"16 Remaining Amt. (LCY)")</t>
  </si>
  <si>
    <t>=NF($D2353,"16 Remaining Amt. (LCY)")</t>
  </si>
  <si>
    <t>=NF($D2354,"16 Remaining Amt. (LCY)")</t>
  </si>
  <si>
    <t>=NF($D2355,"16 Remaining Amt. (LCY)")</t>
  </si>
  <si>
    <t>=NF($D2356,"16 Remaining Amt. (LCY)")</t>
  </si>
  <si>
    <t>=NF($D2357,"16 Remaining Amt. (LCY)")</t>
  </si>
  <si>
    <t>=NF($D2358,"16 Remaining Amt. (LCY)")</t>
  </si>
  <si>
    <t>=NF($D2359,"16 Remaining Amt. (LCY)")</t>
  </si>
  <si>
    <t>=NF($D2360,"16 Remaining Amt. (LCY)")</t>
  </si>
  <si>
    <t>=NF($D2361,"16 Remaining Amt. (LCY)")</t>
  </si>
  <si>
    <t>=NF($D2362,"16 Remaining Amt. (LCY)")</t>
  </si>
  <si>
    <t>=NF($D2363,"16 Remaining Amt. (LCY)")</t>
  </si>
  <si>
    <t>=NF($D2364,"16 Remaining Amt. (LCY)")</t>
  </si>
  <si>
    <t>=NF($D2365,"16 Remaining Amt. (LCY)")</t>
  </si>
  <si>
    <t>=NF($D2366,"16 Remaining Amt. (LCY)")</t>
  </si>
  <si>
    <t>=NF($D2367,"16 Remaining Amt. (LCY)")</t>
  </si>
  <si>
    <t>=NF($D2368,"16 Remaining Amt. (LCY)")</t>
  </si>
  <si>
    <t>=NF($D2369,"16 Remaining Amt. (LCY)")</t>
  </si>
  <si>
    <t>=NF($D2370,"16 Remaining Amt. (LCY)")</t>
  </si>
  <si>
    <t>=NF($D2371,"16 Remaining Amt. (LCY)")</t>
  </si>
  <si>
    <t>=NF($D2372,"16 Remaining Amt. (LCY)")</t>
  </si>
  <si>
    <t>=NF($D2373,"16 Remaining Amt. (LCY)")</t>
  </si>
  <si>
    <t>=NF($D2374,"16 Remaining Amt. (LCY)")</t>
  </si>
  <si>
    <t>=NF($D2375,"16 Remaining Amt. (LCY)")</t>
  </si>
  <si>
    <t>=NF($D2376,"16 Remaining Amt. (LCY)")</t>
  </si>
  <si>
    <t>=NF($D2377,"16 Remaining Amt. (LCY)")</t>
  </si>
  <si>
    <t>=NF($D2378,"16 Remaining Amt. (LCY)")</t>
  </si>
  <si>
    <t>=NF($D2379,"16 Remaining Amt. (LCY)")</t>
  </si>
  <si>
    <t>=NF($D2380,"16 Remaining Amt. (LCY)")</t>
  </si>
  <si>
    <t>=NF($D2381,"16 Remaining Amt. (LCY)")</t>
  </si>
  <si>
    <t>=NF($D2382,"16 Remaining Amt. (LCY)")</t>
  </si>
  <si>
    <t>=NF($D2383,"16 Remaining Amt. (LCY)")</t>
  </si>
  <si>
    <t>=NF($D2384,"16 Remaining Amt. (LCY)")</t>
  </si>
  <si>
    <t>=NF($D2385,"16 Remaining Amt. (LCY)")</t>
  </si>
  <si>
    <t>=NF($D2386,"16 Remaining Amt. (LCY)")</t>
  </si>
  <si>
    <t>=NF($D2387,"16 Remaining Amt. (LCY)")</t>
  </si>
  <si>
    <t>=NF($D2388,"16 Remaining Amt. (LCY)")</t>
  </si>
  <si>
    <t>=NF($D2389,"16 Remaining Amt. (LCY)")</t>
  </si>
  <si>
    <t>=NF($D2390,"16 Remaining Amt. (LCY)")</t>
  </si>
  <si>
    <t>=NF($D2391,"16 Remaining Amt. (LCY)")</t>
  </si>
  <si>
    <t>=NF($D2392,"16 Remaining Amt. (LCY)")</t>
  </si>
  <si>
    <t>=NF($D2393,"16 Remaining Amt. (LCY)")</t>
  </si>
  <si>
    <t>=NF($D2394,"16 Remaining Amt. (LCY)")</t>
  </si>
  <si>
    <t>=NF($D2395,"16 Remaining Amt. (LCY)")</t>
  </si>
  <si>
    <t>=NF($D2396,"16 Remaining Amt. (LCY)")</t>
  </si>
  <si>
    <t>=NF($D2397,"16 Remaining Amt. (LCY)")</t>
  </si>
  <si>
    <t>=NF($D2398,"16 Remaining Amt. (LCY)")</t>
  </si>
  <si>
    <t>=NF($D2399,"16 Remaining Amt. (LCY)")</t>
  </si>
  <si>
    <t>=NF($D2400,"16 Remaining Amt. (LCY)")</t>
  </si>
  <si>
    <t>=NF($D2401,"16 Remaining Amt. (LCY)")</t>
  </si>
  <si>
    <t>=NF($D2402,"16 Remaining Amt. (LCY)")</t>
  </si>
  <si>
    <t>=NF($D2403,"16 Remaining Amt. (LCY)")</t>
  </si>
  <si>
    <t>=NF($D2404,"16 Remaining Amt. (LCY)")</t>
  </si>
  <si>
    <t>=NF($D2405,"16 Remaining Amt. (LCY)")</t>
  </si>
  <si>
    <t>=NF($D2247,"5 Document Type")</t>
  </si>
  <si>
    <t>=NF($D2248,"5 Document Type")</t>
  </si>
  <si>
    <t>=NF($D2249,"5 Document Type")</t>
  </si>
  <si>
    <t>=NF($D2250,"5 Document Type")</t>
  </si>
  <si>
    <t>=NF($D2251,"5 Document Type")</t>
  </si>
  <si>
    <t>=NF($D2252,"5 Document Type")</t>
  </si>
  <si>
    <t>=NF($D2253,"5 Document Type")</t>
  </si>
  <si>
    <t>=NF($D2254,"5 Document Type")</t>
  </si>
  <si>
    <t>=NF($D2255,"5 Document Type")</t>
  </si>
  <si>
    <t>=NF($D2256,"5 Document Type")</t>
  </si>
  <si>
    <t>=NF($D2257,"5 Document Type")</t>
  </si>
  <si>
    <t>=NF($D2258,"5 Document Type")</t>
  </si>
  <si>
    <t>=NF($D2259,"5 Document Type")</t>
  </si>
  <si>
    <t>=NF($D2260,"5 Document Type")</t>
  </si>
  <si>
    <t>=NF($D2261,"5 Document Type")</t>
  </si>
  <si>
    <t>=NF($D2262,"5 Document Type")</t>
  </si>
  <si>
    <t>=NF($D2263,"5 Document Type")</t>
  </si>
  <si>
    <t>=NF($D2264,"5 Document Type")</t>
  </si>
  <si>
    <t>=NF($D2265,"5 Document Type")</t>
  </si>
  <si>
    <t>=NF($D2266,"5 Document Type")</t>
  </si>
  <si>
    <t>=NF($D2267,"5 Document Type")</t>
  </si>
  <si>
    <t>=NF($D2268,"5 Document Type")</t>
  </si>
  <si>
    <t>=NF($D2269,"5 Document Type")</t>
  </si>
  <si>
    <t>=NF($D2270,"5 Document Type")</t>
  </si>
  <si>
    <t>=NF($D2271,"5 Document Type")</t>
  </si>
  <si>
    <t>=NF($D2272,"5 Document Type")</t>
  </si>
  <si>
    <t>=NF($D2273,"5 Document Type")</t>
  </si>
  <si>
    <t>=NF($D2274,"5 Document Type")</t>
  </si>
  <si>
    <t>=NF($D2275,"5 Document Type")</t>
  </si>
  <si>
    <t>=NF($D2276,"5 Document Type")</t>
  </si>
  <si>
    <t>=NF($D2277,"5 Document Type")</t>
  </si>
  <si>
    <t>=NF($D2278,"5 Document Type")</t>
  </si>
  <si>
    <t>=NF($D2279,"5 Document Type")</t>
  </si>
  <si>
    <t>=NF($D2280,"5 Document Type")</t>
  </si>
  <si>
    <t>=NF($D2281,"5 Document Type")</t>
  </si>
  <si>
    <t>=NF($D2282,"5 Document Type")</t>
  </si>
  <si>
    <t>=NF($D2283,"5 Document Type")</t>
  </si>
  <si>
    <t>=NF($D2284,"5 Document Type")</t>
  </si>
  <si>
    <t>=NF($D2285,"5 Document Type")</t>
  </si>
  <si>
    <t>=NF($D2286,"5 Document Type")</t>
  </si>
  <si>
    <t>=NF($D2287,"5 Document Type")</t>
  </si>
  <si>
    <t>=NF($D2288,"5 Document Type")</t>
  </si>
  <si>
    <t>=NF($D2289,"5 Document Type")</t>
  </si>
  <si>
    <t>=NF($D2290,"5 Document Type")</t>
  </si>
  <si>
    <t>=NF($D2291,"5 Document Type")</t>
  </si>
  <si>
    <t>=NF($D2292,"5 Document Type")</t>
  </si>
  <si>
    <t>=NF($D2293,"5 Document Type")</t>
  </si>
  <si>
    <t>=NF($D2294,"5 Document Type")</t>
  </si>
  <si>
    <t>=NF($D2295,"5 Document Type")</t>
  </si>
  <si>
    <t>=NF($D2296,"5 Document Type")</t>
  </si>
  <si>
    <t>=NF($D2297,"5 Document Type")</t>
  </si>
  <si>
    <t>=NF($D2298,"5 Document Type")</t>
  </si>
  <si>
    <t>=NF($D2299,"5 Document Type")</t>
  </si>
  <si>
    <t>=NF($D2300,"5 Document Type")</t>
  </si>
  <si>
    <t>=NF($D2301,"5 Document Type")</t>
  </si>
  <si>
    <t>=NF($D2302,"5 Document Type")</t>
  </si>
  <si>
    <t>=NF($D2303,"5 Document Type")</t>
  </si>
  <si>
    <t>=NF($D2304,"5 Document Type")</t>
  </si>
  <si>
    <t>=NF($D2305,"5 Document Type")</t>
  </si>
  <si>
    <t>=NF($D2306,"5 Document Type")</t>
  </si>
  <si>
    <t>=NF($D2307,"5 Document Type")</t>
  </si>
  <si>
    <t>=NF($D2308,"5 Document Type")</t>
  </si>
  <si>
    <t>=NF($D2309,"5 Document Type")</t>
  </si>
  <si>
    <t>=NF($D2310,"5 Document Type")</t>
  </si>
  <si>
    <t>=NF($D2311,"5 Document Type")</t>
  </si>
  <si>
    <t>=NF($D2312,"5 Document Type")</t>
  </si>
  <si>
    <t>=NF($D2313,"5 Document Type")</t>
  </si>
  <si>
    <t>=NF($D2314,"5 Document Type")</t>
  </si>
  <si>
    <t>=NF($D2315,"5 Document Type")</t>
  </si>
  <si>
    <t>=NF($D2316,"5 Document Type")</t>
  </si>
  <si>
    <t>=NF($D2317,"5 Document Type")</t>
  </si>
  <si>
    <t>=NF($D2318,"5 Document Type")</t>
  </si>
  <si>
    <t>=NF($D2319,"5 Document Type")</t>
  </si>
  <si>
    <t>=NF($D2320,"5 Document Type")</t>
  </si>
  <si>
    <t>=NF($D2321,"5 Document Type")</t>
  </si>
  <si>
    <t>=NF($D2322,"5 Document Type")</t>
  </si>
  <si>
    <t>=NF($D2323,"5 Document Type")</t>
  </si>
  <si>
    <t>=NF($D2324,"5 Document Type")</t>
  </si>
  <si>
    <t>=NF($D2325,"5 Document Type")</t>
  </si>
  <si>
    <t>=NF($D2326,"5 Document Type")</t>
  </si>
  <si>
    <t>=NF($D2327,"5 Document Type")</t>
  </si>
  <si>
    <t>=NF($D2328,"5 Document Type")</t>
  </si>
  <si>
    <t>=NF($D2329,"5 Document Type")</t>
  </si>
  <si>
    <t>=NF($D2330,"5 Document Type")</t>
  </si>
  <si>
    <t>=NF($D2331,"5 Document Type")</t>
  </si>
  <si>
    <t>=NF($D2332,"5 Document Type")</t>
  </si>
  <si>
    <t>=NF($D2333,"5 Document Type")</t>
  </si>
  <si>
    <t>=NF($D2334,"5 Document Type")</t>
  </si>
  <si>
    <t>=NF($D2335,"5 Document Type")</t>
  </si>
  <si>
    <t>=NF($D2336,"5 Document Type")</t>
  </si>
  <si>
    <t>=NF($D2337,"5 Document Type")</t>
  </si>
  <si>
    <t>=NF($D2338,"5 Document Type")</t>
  </si>
  <si>
    <t>=NF($D2339,"5 Document Type")</t>
  </si>
  <si>
    <t>=NF($D2340,"5 Document Type")</t>
  </si>
  <si>
    <t>=NF($D2341,"5 Document Type")</t>
  </si>
  <si>
    <t>=NF($D2342,"5 Document Type")</t>
  </si>
  <si>
    <t>=NF($D2247,"6 Document No.")</t>
  </si>
  <si>
    <t>=NF($D2248,"6 Document No.")</t>
  </si>
  <si>
    <t>=NF($D2249,"6 Document No.")</t>
  </si>
  <si>
    <t>=NF($D2250,"6 Document No.")</t>
  </si>
  <si>
    <t>=NF($D2251,"6 Document No.")</t>
  </si>
  <si>
    <t>=NF($D2252,"6 Document No.")</t>
  </si>
  <si>
    <t>=NF($D2253,"6 Document No.")</t>
  </si>
  <si>
    <t>=NF($D2254,"6 Document No.")</t>
  </si>
  <si>
    <t>=NF($D2255,"6 Document No.")</t>
  </si>
  <si>
    <t>=NF($D2256,"6 Document No.")</t>
  </si>
  <si>
    <t>=NF($D2257,"6 Document No.")</t>
  </si>
  <si>
    <t>=NF($D2258,"6 Document No.")</t>
  </si>
  <si>
    <t>=NF($D2259,"6 Document No.")</t>
  </si>
  <si>
    <t>=NF($D2260,"6 Document No.")</t>
  </si>
  <si>
    <t>=NF($D2261,"6 Document No.")</t>
  </si>
  <si>
    <t>=NF($D2262,"6 Document No.")</t>
  </si>
  <si>
    <t>=NF($D2263,"6 Document No.")</t>
  </si>
  <si>
    <t>=NF($D2264,"6 Document No.")</t>
  </si>
  <si>
    <t>=NF($D2265,"6 Document No.")</t>
  </si>
  <si>
    <t>=NF($D2266,"6 Document No.")</t>
  </si>
  <si>
    <t>=NF($D2267,"6 Document No.")</t>
  </si>
  <si>
    <t>=NF($D2268,"6 Document No.")</t>
  </si>
  <si>
    <t>=NF($D2269,"6 Document No.")</t>
  </si>
  <si>
    <t>=NF($D2270,"6 Document No.")</t>
  </si>
  <si>
    <t>=NF($D2271,"6 Document No.")</t>
  </si>
  <si>
    <t>=NF($D2272,"6 Document No.")</t>
  </si>
  <si>
    <t>=NF($D2273,"6 Document No.")</t>
  </si>
  <si>
    <t>=NF($D2274,"6 Document No.")</t>
  </si>
  <si>
    <t>=NF($D2275,"6 Document No.")</t>
  </si>
  <si>
    <t>=NF($D2276,"6 Document No.")</t>
  </si>
  <si>
    <t>=NF($D2277,"6 Document No.")</t>
  </si>
  <si>
    <t>=NF($D2278,"6 Document No.")</t>
  </si>
  <si>
    <t>=NF($D2279,"6 Document No.")</t>
  </si>
  <si>
    <t>=NF($D2280,"6 Document No.")</t>
  </si>
  <si>
    <t>=NF($D2281,"6 Document No.")</t>
  </si>
  <si>
    <t>=NF($D2282,"6 Document No.")</t>
  </si>
  <si>
    <t>=NF($D2283,"6 Document No.")</t>
  </si>
  <si>
    <t>=NF($D2284,"6 Document No.")</t>
  </si>
  <si>
    <t>=NF($D2285,"6 Document No.")</t>
  </si>
  <si>
    <t>=NF($D2286,"6 Document No.")</t>
  </si>
  <si>
    <t>=NF($D2287,"6 Document No.")</t>
  </si>
  <si>
    <t>=NF($D2288,"6 Document No.")</t>
  </si>
  <si>
    <t>=NF($D2289,"6 Document No.")</t>
  </si>
  <si>
    <t>=NF($D2290,"6 Document No.")</t>
  </si>
  <si>
    <t>=NF($D2291,"6 Document No.")</t>
  </si>
  <si>
    <t>=NF($D2292,"6 Document No.")</t>
  </si>
  <si>
    <t>=NF($D2293,"6 Document No.")</t>
  </si>
  <si>
    <t>=NF($D2294,"6 Document No.")</t>
  </si>
  <si>
    <t>=NF($D2295,"6 Document No.")</t>
  </si>
  <si>
    <t>=NF($D2296,"6 Document No.")</t>
  </si>
  <si>
    <t>=NF($D2297,"6 Document No.")</t>
  </si>
  <si>
    <t>=NF($D2298,"6 Document No.")</t>
  </si>
  <si>
    <t>=NF($D2299,"6 Document No.")</t>
  </si>
  <si>
    <t>=NF($D2300,"6 Document No.")</t>
  </si>
  <si>
    <t>=NF($D2301,"6 Document No.")</t>
  </si>
  <si>
    <t>=NF($D2302,"6 Document No.")</t>
  </si>
  <si>
    <t>=NF($D2303,"6 Document No.")</t>
  </si>
  <si>
    <t>=NF($D2304,"6 Document No.")</t>
  </si>
  <si>
    <t>=NF($D2305,"6 Document No.")</t>
  </si>
  <si>
    <t>=NF($D2306,"6 Document No.")</t>
  </si>
  <si>
    <t>=NF($D2307,"6 Document No.")</t>
  </si>
  <si>
    <t>=NF($D2308,"6 Document No.")</t>
  </si>
  <si>
    <t>=NF($D2309,"6 Document No.")</t>
  </si>
  <si>
    <t>=NF($D2310,"6 Document No.")</t>
  </si>
  <si>
    <t>=NF($D2311,"6 Document No.")</t>
  </si>
  <si>
    <t>=NF($D2312,"6 Document No.")</t>
  </si>
  <si>
    <t>=NF($D2313,"6 Document No.")</t>
  </si>
  <si>
    <t>=NF($D2314,"6 Document No.")</t>
  </si>
  <si>
    <t>=NF($D2315,"6 Document No.")</t>
  </si>
  <si>
    <t>=NF($D2316,"6 Document No.")</t>
  </si>
  <si>
    <t>=NF($D2317,"6 Document No.")</t>
  </si>
  <si>
    <t>=NF($D2318,"6 Document No.")</t>
  </si>
  <si>
    <t>=NF($D2319,"6 Document No.")</t>
  </si>
  <si>
    <t>=NF($D2320,"6 Document No.")</t>
  </si>
  <si>
    <t>=NF($D2321,"6 Document No.")</t>
  </si>
  <si>
    <t>=NF($D2322,"6 Document No.")</t>
  </si>
  <si>
    <t>=NF($D2323,"6 Document No.")</t>
  </si>
  <si>
    <t>=NF($D2324,"6 Document No.")</t>
  </si>
  <si>
    <t>=NF($D2325,"6 Document No.")</t>
  </si>
  <si>
    <t>=NF($D2326,"6 Document No.")</t>
  </si>
  <si>
    <t>=NF($D2327,"6 Document No.")</t>
  </si>
  <si>
    <t>=NF($D2328,"6 Document No.")</t>
  </si>
  <si>
    <t>=NF($D2329,"6 Document No.")</t>
  </si>
  <si>
    <t>=NF($D2330,"6 Document No.")</t>
  </si>
  <si>
    <t>=NF($D2331,"6 Document No.")</t>
  </si>
  <si>
    <t>=NF($D2332,"6 Document No.")</t>
  </si>
  <si>
    <t>=NF($D2333,"6 Document No.")</t>
  </si>
  <si>
    <t>=NF($D2334,"6 Document No.")</t>
  </si>
  <si>
    <t>=NF($D2335,"6 Document No.")</t>
  </si>
  <si>
    <t>=NF($D2336,"6 Document No.")</t>
  </si>
  <si>
    <t>=NF($D2337,"6 Document No.")</t>
  </si>
  <si>
    <t>=NF($D2338,"6 Document No.")</t>
  </si>
  <si>
    <t>=NF($D2339,"6 Document No.")</t>
  </si>
  <si>
    <t>=NF($D2340,"6 Document No.")</t>
  </si>
  <si>
    <t>=NF($D2341,"6 Document No.")</t>
  </si>
  <si>
    <t>=NF($D2342,"6 Document No.")</t>
  </si>
  <si>
    <t>=NF($D2247,"37 Due Date")</t>
  </si>
  <si>
    <t>=NF($D2248,"37 Due Date")</t>
  </si>
  <si>
    <t>=NF($D2249,"37 Due Date")</t>
  </si>
  <si>
    <t>=NF($D2250,"37 Due Date")</t>
  </si>
  <si>
    <t>=NF($D2251,"37 Due Date")</t>
  </si>
  <si>
    <t>=NF($D2252,"37 Due Date")</t>
  </si>
  <si>
    <t>=NF($D2253,"37 Due Date")</t>
  </si>
  <si>
    <t>=NF($D2254,"37 Due Date")</t>
  </si>
  <si>
    <t>=NF($D2255,"37 Due Date")</t>
  </si>
  <si>
    <t>=NF($D2256,"37 Due Date")</t>
  </si>
  <si>
    <t>=NF($D2257,"37 Due Date")</t>
  </si>
  <si>
    <t>=NF($D2258,"37 Due Date")</t>
  </si>
  <si>
    <t>=NF($D2259,"37 Due Date")</t>
  </si>
  <si>
    <t>=NF($D2260,"37 Due Date")</t>
  </si>
  <si>
    <t>=NF($D2261,"37 Due Date")</t>
  </si>
  <si>
    <t>=NF($D2262,"37 Due Date")</t>
  </si>
  <si>
    <t>=NF($D2263,"37 Due Date")</t>
  </si>
  <si>
    <t>=NF($D2264,"37 Due Date")</t>
  </si>
  <si>
    <t>=NF($D2265,"37 Due Date")</t>
  </si>
  <si>
    <t>=NF($D2266,"37 Due Date")</t>
  </si>
  <si>
    <t>=NF($D2267,"37 Due Date")</t>
  </si>
  <si>
    <t>=NF($D2268,"37 Due Date")</t>
  </si>
  <si>
    <t>=NF($D2269,"37 Due Date")</t>
  </si>
  <si>
    <t>=NF($D2270,"37 Due Date")</t>
  </si>
  <si>
    <t>=NF($D2271,"37 Due Date")</t>
  </si>
  <si>
    <t>=NF($D2272,"37 Due Date")</t>
  </si>
  <si>
    <t>=NF($D2273,"37 Due Date")</t>
  </si>
  <si>
    <t>=NF($D2274,"37 Due Date")</t>
  </si>
  <si>
    <t>=NF($D2275,"37 Due Date")</t>
  </si>
  <si>
    <t>=NF($D2276,"37 Due Date")</t>
  </si>
  <si>
    <t>=NF($D2277,"37 Due Date")</t>
  </si>
  <si>
    <t>=NF($D2278,"37 Due Date")</t>
  </si>
  <si>
    <t>=NF($D2279,"37 Due Date")</t>
  </si>
  <si>
    <t>=NF($D2280,"37 Due Date")</t>
  </si>
  <si>
    <t>=NF($D2281,"37 Due Date")</t>
  </si>
  <si>
    <t>=NF($D2282,"37 Due Date")</t>
  </si>
  <si>
    <t>=NF($D2283,"37 Due Date")</t>
  </si>
  <si>
    <t>=NF($D2284,"37 Due Date")</t>
  </si>
  <si>
    <t>=NF($D2285,"37 Due Date")</t>
  </si>
  <si>
    <t>=NF($D2286,"37 Due Date")</t>
  </si>
  <si>
    <t>=NF($D2287,"37 Due Date")</t>
  </si>
  <si>
    <t>=NF($D2288,"37 Due Date")</t>
  </si>
  <si>
    <t>=NF($D2289,"37 Due Date")</t>
  </si>
  <si>
    <t>=NF($D2290,"37 Due Date")</t>
  </si>
  <si>
    <t>=NF($D2291,"37 Due Date")</t>
  </si>
  <si>
    <t>=NF($D2292,"37 Due Date")</t>
  </si>
  <si>
    <t>=NF($D2293,"37 Due Date")</t>
  </si>
  <si>
    <t>=NF($D2294,"37 Due Date")</t>
  </si>
  <si>
    <t>=NF($D2295,"37 Due Date")</t>
  </si>
  <si>
    <t>=NF($D2296,"37 Due Date")</t>
  </si>
  <si>
    <t>=NF($D2297,"37 Due Date")</t>
  </si>
  <si>
    <t>=NF($D2298,"37 Due Date")</t>
  </si>
  <si>
    <t>=NF($D2299,"37 Due Date")</t>
  </si>
  <si>
    <t>=NF($D2300,"37 Due Date")</t>
  </si>
  <si>
    <t>=NF($D2301,"37 Due Date")</t>
  </si>
  <si>
    <t>=NF($D2302,"37 Due Date")</t>
  </si>
  <si>
    <t>=NF($D2303,"37 Due Date")</t>
  </si>
  <si>
    <t>=NF($D2304,"37 Due Date")</t>
  </si>
  <si>
    <t>=NF($D2305,"37 Due Date")</t>
  </si>
  <si>
    <t>=NF($D2306,"37 Due Date")</t>
  </si>
  <si>
    <t>=NF($D2307,"37 Due Date")</t>
  </si>
  <si>
    <t>=NF($D2308,"37 Due Date")</t>
  </si>
  <si>
    <t>=NF($D2309,"37 Due Date")</t>
  </si>
  <si>
    <t>=NF($D2310,"37 Due Date")</t>
  </si>
  <si>
    <t>=NF($D2311,"37 Due Date")</t>
  </si>
  <si>
    <t>=NF($D2312,"37 Due Date")</t>
  </si>
  <si>
    <t>=NF($D2313,"37 Due Date")</t>
  </si>
  <si>
    <t>=NF($D2314,"37 Due Date")</t>
  </si>
  <si>
    <t>=NF($D2315,"37 Due Date")</t>
  </si>
  <si>
    <t>=NF($D2316,"37 Due Date")</t>
  </si>
  <si>
    <t>=NF($D2317,"37 Due Date")</t>
  </si>
  <si>
    <t>=NF($D2318,"37 Due Date")</t>
  </si>
  <si>
    <t>=NF($D2319,"37 Due Date")</t>
  </si>
  <si>
    <t>=NF($D2320,"37 Due Date")</t>
  </si>
  <si>
    <t>=NF($D2321,"37 Due Date")</t>
  </si>
  <si>
    <t>=NF($D2322,"37 Due Date")</t>
  </si>
  <si>
    <t>=NF($D2323,"37 Due Date")</t>
  </si>
  <si>
    <t>=NF($D2324,"37 Due Date")</t>
  </si>
  <si>
    <t>=NF($D2325,"37 Due Date")</t>
  </si>
  <si>
    <t>=NF($D2326,"37 Due Date")</t>
  </si>
  <si>
    <t>=NF($D2327,"37 Due Date")</t>
  </si>
  <si>
    <t>=NF($D2328,"37 Due Date")</t>
  </si>
  <si>
    <t>=NF($D2329,"37 Due Date")</t>
  </si>
  <si>
    <t>=NF($D2330,"37 Due Date")</t>
  </si>
  <si>
    <t>=NF($D2331,"37 Due Date")</t>
  </si>
  <si>
    <t>=NF($D2332,"37 Due Date")</t>
  </si>
  <si>
    <t>=NF($D2333,"37 Due Date")</t>
  </si>
  <si>
    <t>=NF($D2334,"37 Due Date")</t>
  </si>
  <si>
    <t>=NF($D2335,"37 Due Date")</t>
  </si>
  <si>
    <t>=NF($D2336,"37 Due Date")</t>
  </si>
  <si>
    <t>=NF($D2337,"37 Due Date")</t>
  </si>
  <si>
    <t>=NF($D2338,"37 Due Date")</t>
  </si>
  <si>
    <t>=NF($D2339,"37 Due Date")</t>
  </si>
  <si>
    <t>=NF($D2340,"37 Due Date")</t>
  </si>
  <si>
    <t>=NF($D2341,"37 Due Date")</t>
  </si>
  <si>
    <t>=NF($D2342,"37 Due Date")</t>
  </si>
  <si>
    <t>=NF($D2247,"16 Remaining Amt. (LCY)")</t>
  </si>
  <si>
    <t>=NF($D2248,"16 Remaining Amt. (LCY)")</t>
  </si>
  <si>
    <t>=NF($D2249,"16 Remaining Amt. (LCY)")</t>
  </si>
  <si>
    <t>=NF($D2250,"16 Remaining Amt. (LCY)")</t>
  </si>
  <si>
    <t>=NF($D2251,"16 Remaining Amt. (LCY)")</t>
  </si>
  <si>
    <t>=NF($D2252,"16 Remaining Amt. (LCY)")</t>
  </si>
  <si>
    <t>=NF($D2253,"16 Remaining Amt. (LCY)")</t>
  </si>
  <si>
    <t>=NF($D2254,"16 Remaining Amt. (LCY)")</t>
  </si>
  <si>
    <t>=NF($D2255,"16 Remaining Amt. (LCY)")</t>
  </si>
  <si>
    <t>=NF($D2256,"16 Remaining Amt. (LCY)")</t>
  </si>
  <si>
    <t>=NF($D2257,"16 Remaining Amt. (LCY)")</t>
  </si>
  <si>
    <t>=NF($D2258,"16 Remaining Amt. (LCY)")</t>
  </si>
  <si>
    <t>=NF($D2259,"16 Remaining Amt. (LCY)")</t>
  </si>
  <si>
    <t>=NF($D2260,"16 Remaining Amt. (LCY)")</t>
  </si>
  <si>
    <t>=NF($D2261,"16 Remaining Amt. (LCY)")</t>
  </si>
  <si>
    <t>=NF($D2262,"16 Remaining Amt. (LCY)")</t>
  </si>
  <si>
    <t>=NF($D2263,"16 Remaining Amt. (LCY)")</t>
  </si>
  <si>
    <t>=NF($D2264,"16 Remaining Amt. (LCY)")</t>
  </si>
  <si>
    <t>=NF($D2265,"16 Remaining Amt. (LCY)")</t>
  </si>
  <si>
    <t>=NF($D2266,"16 Remaining Amt. (LCY)")</t>
  </si>
  <si>
    <t>=NF($D2267,"16 Remaining Amt. (LCY)")</t>
  </si>
  <si>
    <t>=NF($D2268,"16 Remaining Amt. (LCY)")</t>
  </si>
  <si>
    <t>=NF($D2269,"16 Remaining Amt. (LCY)")</t>
  </si>
  <si>
    <t>=NF($D2270,"16 Remaining Amt. (LCY)")</t>
  </si>
  <si>
    <t>=NF($D2271,"16 Remaining Amt. (LCY)")</t>
  </si>
  <si>
    <t>=NF($D2272,"16 Remaining Amt. (LCY)")</t>
  </si>
  <si>
    <t>=NF($D2273,"16 Remaining Amt. (LCY)")</t>
  </si>
  <si>
    <t>=NF($D2274,"16 Remaining Amt. (LCY)")</t>
  </si>
  <si>
    <t>=NF($D2275,"16 Remaining Amt. (LCY)")</t>
  </si>
  <si>
    <t>=NF($D2276,"16 Remaining Amt. (LCY)")</t>
  </si>
  <si>
    <t>=NF($D2277,"16 Remaining Amt. (LCY)")</t>
  </si>
  <si>
    <t>=NF($D2278,"16 Remaining Amt. (LCY)")</t>
  </si>
  <si>
    <t>=NF($D2279,"16 Remaining Amt. (LCY)")</t>
  </si>
  <si>
    <t>=NF($D2280,"16 Remaining Amt. (LCY)")</t>
  </si>
  <si>
    <t>=NF($D2281,"16 Remaining Amt. (LCY)")</t>
  </si>
  <si>
    <t>=NF($D2282,"16 Remaining Amt. (LCY)")</t>
  </si>
  <si>
    <t>=NF($D2283,"16 Remaining Amt. (LCY)")</t>
  </si>
  <si>
    <t>=NF($D2284,"16 Remaining Amt. (LCY)")</t>
  </si>
  <si>
    <t>=NF($D2285,"16 Remaining Amt. (LCY)")</t>
  </si>
  <si>
    <t>=NF($D2286,"16 Remaining Amt. (LCY)")</t>
  </si>
  <si>
    <t>=NF($D2287,"16 Remaining Amt. (LCY)")</t>
  </si>
  <si>
    <t>=NF($D2288,"16 Remaining Amt. (LCY)")</t>
  </si>
  <si>
    <t>=NF($D2289,"16 Remaining Amt. (LCY)")</t>
  </si>
  <si>
    <t>=NF($D2290,"16 Remaining Amt. (LCY)")</t>
  </si>
  <si>
    <t>=NF($D2291,"16 Remaining Amt. (LCY)")</t>
  </si>
  <si>
    <t>=NF($D2292,"16 Remaining Amt. (LCY)")</t>
  </si>
  <si>
    <t>=NF($D2293,"16 Remaining Amt. (LCY)")</t>
  </si>
  <si>
    <t>=NF($D2294,"16 Remaining Amt. (LCY)")</t>
  </si>
  <si>
    <t>=NF($D2295,"16 Remaining Amt. (LCY)")</t>
  </si>
  <si>
    <t>=NF($D2296,"16 Remaining Amt. (LCY)")</t>
  </si>
  <si>
    <t>=NF($D2297,"16 Remaining Amt. (LCY)")</t>
  </si>
  <si>
    <t>=NF($D2298,"16 Remaining Amt. (LCY)")</t>
  </si>
  <si>
    <t>=NF($D2299,"16 Remaining Amt. (LCY)")</t>
  </si>
  <si>
    <t>=NF($D2300,"16 Remaining Amt. (LCY)")</t>
  </si>
  <si>
    <t>=NF($D2301,"16 Remaining Amt. (LCY)")</t>
  </si>
  <si>
    <t>=NF($D2302,"16 Remaining Amt. (LCY)")</t>
  </si>
  <si>
    <t>=NF($D2303,"16 Remaining Amt. (LCY)")</t>
  </si>
  <si>
    <t>=NF($D2304,"16 Remaining Amt. (LCY)")</t>
  </si>
  <si>
    <t>=NF($D2305,"16 Remaining Amt. (LCY)")</t>
  </si>
  <si>
    <t>=NF($D2306,"16 Remaining Amt. (LCY)")</t>
  </si>
  <si>
    <t>=NF($D2307,"16 Remaining Amt. (LCY)")</t>
  </si>
  <si>
    <t>=NF($D2308,"16 Remaining Amt. (LCY)")</t>
  </si>
  <si>
    <t>=NF($D2309,"16 Remaining Amt. (LCY)")</t>
  </si>
  <si>
    <t>=NF($D2310,"16 Remaining Amt. (LCY)")</t>
  </si>
  <si>
    <t>=NF($D2311,"16 Remaining Amt. (LCY)")</t>
  </si>
  <si>
    <t>=NF($D2312,"16 Remaining Amt. (LCY)")</t>
  </si>
  <si>
    <t>=NF($D2313,"16 Remaining Amt. (LCY)")</t>
  </si>
  <si>
    <t>=NF($D2314,"16 Remaining Amt. (LCY)")</t>
  </si>
  <si>
    <t>=NF($D2315,"16 Remaining Amt. (LCY)")</t>
  </si>
  <si>
    <t>=NF($D2316,"16 Remaining Amt. (LCY)")</t>
  </si>
  <si>
    <t>=NF($D2317,"16 Remaining Amt. (LCY)")</t>
  </si>
  <si>
    <t>=NF($D2318,"16 Remaining Amt. (LCY)")</t>
  </si>
  <si>
    <t>=NF($D2319,"16 Remaining Amt. (LCY)")</t>
  </si>
  <si>
    <t>=NF($D2320,"16 Remaining Amt. (LCY)")</t>
  </si>
  <si>
    <t>=NF($D2321,"16 Remaining Amt. (LCY)")</t>
  </si>
  <si>
    <t>=NF($D2322,"16 Remaining Amt. (LCY)")</t>
  </si>
  <si>
    <t>=NF($D2323,"16 Remaining Amt. (LCY)")</t>
  </si>
  <si>
    <t>=NF($D2324,"16 Remaining Amt. (LCY)")</t>
  </si>
  <si>
    <t>=NF($D2325,"16 Remaining Amt. (LCY)")</t>
  </si>
  <si>
    <t>=NF($D2326,"16 Remaining Amt. (LCY)")</t>
  </si>
  <si>
    <t>=NF($D2327,"16 Remaining Amt. (LCY)")</t>
  </si>
  <si>
    <t>=NF($D2328,"16 Remaining Amt. (LCY)")</t>
  </si>
  <si>
    <t>=NF($D2329,"16 Remaining Amt. (LCY)")</t>
  </si>
  <si>
    <t>=NF($D2330,"16 Remaining Amt. (LCY)")</t>
  </si>
  <si>
    <t>=NF($D2331,"16 Remaining Amt. (LCY)")</t>
  </si>
  <si>
    <t>=NF($D2332,"16 Remaining Amt. (LCY)")</t>
  </si>
  <si>
    <t>=NF($D2333,"16 Remaining Amt. (LCY)")</t>
  </si>
  <si>
    <t>=NF($D2334,"16 Remaining Amt. (LCY)")</t>
  </si>
  <si>
    <t>=NF($D2335,"16 Remaining Amt. (LCY)")</t>
  </si>
  <si>
    <t>=NF($D2336,"16 Remaining Amt. (LCY)")</t>
  </si>
  <si>
    <t>=NF($D2337,"16 Remaining Amt. (LCY)")</t>
  </si>
  <si>
    <t>=NF($D2338,"16 Remaining Amt. (LCY)")</t>
  </si>
  <si>
    <t>=NF($D2339,"16 Remaining Amt. (LCY)")</t>
  </si>
  <si>
    <t>=NF($D2340,"16 Remaining Amt. (LCY)")</t>
  </si>
  <si>
    <t>=NF($D2341,"16 Remaining Amt. (LCY)")</t>
  </si>
  <si>
    <t>=NF($D2342,"16 Remaining Amt. (LCY)")</t>
  </si>
  <si>
    <t>=NF($D2221,"5 Document Type")</t>
  </si>
  <si>
    <t>=NF($D2222,"5 Document Type")</t>
  </si>
  <si>
    <t>=NF($D2223,"5 Document Type")</t>
  </si>
  <si>
    <t>=NF($D2224,"5 Document Type")</t>
  </si>
  <si>
    <t>=NF($D2225,"5 Document Type")</t>
  </si>
  <si>
    <t>=NF($D2226,"5 Document Type")</t>
  </si>
  <si>
    <t>=NF($D2227,"5 Document Type")</t>
  </si>
  <si>
    <t>=NF($D2228,"5 Document Type")</t>
  </si>
  <si>
    <t>=NF($D2229,"5 Document Type")</t>
  </si>
  <si>
    <t>=NF($D2230,"5 Document Type")</t>
  </si>
  <si>
    <t>=NF($D2231,"5 Document Type")</t>
  </si>
  <si>
    <t>=NF($D2232,"5 Document Type")</t>
  </si>
  <si>
    <t>=NF($D2233,"5 Document Type")</t>
  </si>
  <si>
    <t>=NF($D2234,"5 Document Type")</t>
  </si>
  <si>
    <t>=NF($D2235,"5 Document Type")</t>
  </si>
  <si>
    <t>=NF($D2236,"5 Document Type")</t>
  </si>
  <si>
    <t>=NF($D2237,"5 Document Type")</t>
  </si>
  <si>
    <t>=NF($D2238,"5 Document Type")</t>
  </si>
  <si>
    <t>=NF($D2239,"5 Document Type")</t>
  </si>
  <si>
    <t>=NF($D2240,"5 Document Type")</t>
  </si>
  <si>
    <t>=NF($D2221,"6 Document No.")</t>
  </si>
  <si>
    <t>=NF($D2222,"6 Document No.")</t>
  </si>
  <si>
    <t>=NF($D2223,"6 Document No.")</t>
  </si>
  <si>
    <t>=NF($D2224,"6 Document No.")</t>
  </si>
  <si>
    <t>=NF($D2225,"6 Document No.")</t>
  </si>
  <si>
    <t>=NF($D2226,"6 Document No.")</t>
  </si>
  <si>
    <t>=NF($D2227,"6 Document No.")</t>
  </si>
  <si>
    <t>=NF($D2228,"6 Document No.")</t>
  </si>
  <si>
    <t>=NF($D2229,"6 Document No.")</t>
  </si>
  <si>
    <t>=NF($D2230,"6 Document No.")</t>
  </si>
  <si>
    <t>=NF($D2231,"6 Document No.")</t>
  </si>
  <si>
    <t>=NF($D2232,"6 Document No.")</t>
  </si>
  <si>
    <t>=NF($D2233,"6 Document No.")</t>
  </si>
  <si>
    <t>=NF($D2234,"6 Document No.")</t>
  </si>
  <si>
    <t>=NF($D2235,"6 Document No.")</t>
  </si>
  <si>
    <t>=NF($D2236,"6 Document No.")</t>
  </si>
  <si>
    <t>=NF($D2237,"6 Document No.")</t>
  </si>
  <si>
    <t>=NF($D2238,"6 Document No.")</t>
  </si>
  <si>
    <t>=NF($D2239,"6 Document No.")</t>
  </si>
  <si>
    <t>=NF($D2240,"6 Document No.")</t>
  </si>
  <si>
    <t>=NF($D2221,"37 Due Date")</t>
  </si>
  <si>
    <t>=NF($D2222,"37 Due Date")</t>
  </si>
  <si>
    <t>=NF($D2223,"37 Due Date")</t>
  </si>
  <si>
    <t>=NF($D2224,"37 Due Date")</t>
  </si>
  <si>
    <t>=NF($D2225,"37 Due Date")</t>
  </si>
  <si>
    <t>=NF($D2226,"37 Due Date")</t>
  </si>
  <si>
    <t>=NF($D2227,"37 Due Date")</t>
  </si>
  <si>
    <t>=NF($D2228,"37 Due Date")</t>
  </si>
  <si>
    <t>=NF($D2229,"37 Due Date")</t>
  </si>
  <si>
    <t>=NF($D2230,"37 Due Date")</t>
  </si>
  <si>
    <t>=NF($D2231,"37 Due Date")</t>
  </si>
  <si>
    <t>=NF($D2232,"37 Due Date")</t>
  </si>
  <si>
    <t>=NF($D2233,"37 Due Date")</t>
  </si>
  <si>
    <t>=NF($D2234,"37 Due Date")</t>
  </si>
  <si>
    <t>=NF($D2235,"37 Due Date")</t>
  </si>
  <si>
    <t>=NF($D2236,"37 Due Date")</t>
  </si>
  <si>
    <t>=NF($D2237,"37 Due Date")</t>
  </si>
  <si>
    <t>=NF($D2238,"37 Due Date")</t>
  </si>
  <si>
    <t>=NF($D2239,"37 Due Date")</t>
  </si>
  <si>
    <t>=NF($D2240,"37 Due Date")</t>
  </si>
  <si>
    <t>=NF($D2221,"16 Remaining Amt. (LCY)")</t>
  </si>
  <si>
    <t>=NF($D2222,"16 Remaining Amt. (LCY)")</t>
  </si>
  <si>
    <t>=NF($D2223,"16 Remaining Amt. (LCY)")</t>
  </si>
  <si>
    <t>=NF($D2224,"16 Remaining Amt. (LCY)")</t>
  </si>
  <si>
    <t>=NF($D2225,"16 Remaining Amt. (LCY)")</t>
  </si>
  <si>
    <t>=NF($D2226,"16 Remaining Amt. (LCY)")</t>
  </si>
  <si>
    <t>=NF($D2227,"16 Remaining Amt. (LCY)")</t>
  </si>
  <si>
    <t>=NF($D2228,"16 Remaining Amt. (LCY)")</t>
  </si>
  <si>
    <t>=NF($D2229,"16 Remaining Amt. (LCY)")</t>
  </si>
  <si>
    <t>=NF($D2230,"16 Remaining Amt. (LCY)")</t>
  </si>
  <si>
    <t>=NF($D2231,"16 Remaining Amt. (LCY)")</t>
  </si>
  <si>
    <t>=NF($D2232,"16 Remaining Amt. (LCY)")</t>
  </si>
  <si>
    <t>=NF($D2233,"16 Remaining Amt. (LCY)")</t>
  </si>
  <si>
    <t>=NF($D2234,"16 Remaining Amt. (LCY)")</t>
  </si>
  <si>
    <t>=NF($D2235,"16 Remaining Amt. (LCY)")</t>
  </si>
  <si>
    <t>=NF($D2236,"16 Remaining Amt. (LCY)")</t>
  </si>
  <si>
    <t>=NF($D2237,"16 Remaining Amt. (LCY)")</t>
  </si>
  <si>
    <t>=NF($D2238,"16 Remaining Amt. (LCY)")</t>
  </si>
  <si>
    <t>=NF($D2239,"16 Remaining Amt. (LCY)")</t>
  </si>
  <si>
    <t>=NF($D2240,"16 Remaining Amt. (LCY)")</t>
  </si>
  <si>
    <t>=NF($D2164,"5 Document Type")</t>
  </si>
  <si>
    <t>=NF($D2165,"5 Document Type")</t>
  </si>
  <si>
    <t>=NF($D2166,"5 Document Type")</t>
  </si>
  <si>
    <t>=NF($D2167,"5 Document Type")</t>
  </si>
  <si>
    <t>=NF($D2168,"5 Document Type")</t>
  </si>
  <si>
    <t>=NF($D2169,"5 Document Type")</t>
  </si>
  <si>
    <t>=NF($D2170,"5 Document Type")</t>
  </si>
  <si>
    <t>=NF($D2171,"5 Document Type")</t>
  </si>
  <si>
    <t>=NF($D2172,"5 Document Type")</t>
  </si>
  <si>
    <t>=NF($D2173,"5 Document Type")</t>
  </si>
  <si>
    <t>=NF($D2174,"5 Document Type")</t>
  </si>
  <si>
    <t>=NF($D2175,"5 Document Type")</t>
  </si>
  <si>
    <t>=NF($D2176,"5 Document Type")</t>
  </si>
  <si>
    <t>=NF($D2177,"5 Document Type")</t>
  </si>
  <si>
    <t>=NF($D2178,"5 Document Type")</t>
  </si>
  <si>
    <t>=NF($D2179,"5 Document Type")</t>
  </si>
  <si>
    <t>=NF($D2180,"5 Document Type")</t>
  </si>
  <si>
    <t>=NF($D2181,"5 Document Type")</t>
  </si>
  <si>
    <t>=NF($D2182,"5 Document Type")</t>
  </si>
  <si>
    <t>=NF($D2183,"5 Document Type")</t>
  </si>
  <si>
    <t>=NF($D2184,"5 Document Type")</t>
  </si>
  <si>
    <t>=NF($D2185,"5 Document Type")</t>
  </si>
  <si>
    <t>=NF($D2186,"5 Document Type")</t>
  </si>
  <si>
    <t>=NF($D2187,"5 Document Type")</t>
  </si>
  <si>
    <t>=NF($D2188,"5 Document Type")</t>
  </si>
  <si>
    <t>=NF($D2189,"5 Document Type")</t>
  </si>
  <si>
    <t>=NF($D2190,"5 Document Type")</t>
  </si>
  <si>
    <t>=NF($D2191,"5 Document Type")</t>
  </si>
  <si>
    <t>=NF($D2192,"5 Document Type")</t>
  </si>
  <si>
    <t>=NF($D2193,"5 Document Type")</t>
  </si>
  <si>
    <t>=NF($D2194,"5 Document Type")</t>
  </si>
  <si>
    <t>=NF($D2195,"5 Document Type")</t>
  </si>
  <si>
    <t>=NF($D2196,"5 Document Type")</t>
  </si>
  <si>
    <t>=NF($D2197,"5 Document Type")</t>
  </si>
  <si>
    <t>=NF($D2198,"5 Document Type")</t>
  </si>
  <si>
    <t>=NF($D2199,"5 Document Type")</t>
  </si>
  <si>
    <t>=NF($D2200,"5 Document Type")</t>
  </si>
  <si>
    <t>=NF($D2201,"5 Document Type")</t>
  </si>
  <si>
    <t>=NF($D2202,"5 Document Type")</t>
  </si>
  <si>
    <t>=NF($D2203,"5 Document Type")</t>
  </si>
  <si>
    <t>=NF($D2204,"5 Document Type")</t>
  </si>
  <si>
    <t>=NF($D2205,"5 Document Type")</t>
  </si>
  <si>
    <t>=NF($D2206,"5 Document Type")</t>
  </si>
  <si>
    <t>=NF($D2207,"5 Document Type")</t>
  </si>
  <si>
    <t>=NF($D2208,"5 Document Type")</t>
  </si>
  <si>
    <t>=NF($D2209,"5 Document Type")</t>
  </si>
  <si>
    <t>=NF($D2210,"5 Document Type")</t>
  </si>
  <si>
    <t>=NF($D2211,"5 Document Type")</t>
  </si>
  <si>
    <t>=NF($D2212,"5 Document Type")</t>
  </si>
  <si>
    <t>=NF($D2213,"5 Document Type")</t>
  </si>
  <si>
    <t>=NF($D2214,"5 Document Type")</t>
  </si>
  <si>
    <t>=NF($D2164,"6 Document No.")</t>
  </si>
  <si>
    <t>=NF($D2165,"6 Document No.")</t>
  </si>
  <si>
    <t>=NF($D2166,"6 Document No.")</t>
  </si>
  <si>
    <t>=NF($D2167,"6 Document No.")</t>
  </si>
  <si>
    <t>=NF($D2168,"6 Document No.")</t>
  </si>
  <si>
    <t>=NF($D2169,"6 Document No.")</t>
  </si>
  <si>
    <t>=NF($D2170,"6 Document No.")</t>
  </si>
  <si>
    <t>=NF($D2171,"6 Document No.")</t>
  </si>
  <si>
    <t>=NF($D2172,"6 Document No.")</t>
  </si>
  <si>
    <t>=NF($D2173,"6 Document No.")</t>
  </si>
  <si>
    <t>=NF($D2174,"6 Document No.")</t>
  </si>
  <si>
    <t>=NF($D2175,"6 Document No.")</t>
  </si>
  <si>
    <t>=NF($D2176,"6 Document No.")</t>
  </si>
  <si>
    <t>=NF($D2177,"6 Document No.")</t>
  </si>
  <si>
    <t>=NF($D2178,"6 Document No.")</t>
  </si>
  <si>
    <t>=NF($D2179,"6 Document No.")</t>
  </si>
  <si>
    <t>=NF($D2180,"6 Document No.")</t>
  </si>
  <si>
    <t>=NF($D2181,"6 Document No.")</t>
  </si>
  <si>
    <t>=NF($D2182,"6 Document No.")</t>
  </si>
  <si>
    <t>=NF($D2183,"6 Document No.")</t>
  </si>
  <si>
    <t>=NF($D2184,"6 Document No.")</t>
  </si>
  <si>
    <t>=NF($D2185,"6 Document No.")</t>
  </si>
  <si>
    <t>=NF($D2186,"6 Document No.")</t>
  </si>
  <si>
    <t>=NF($D2187,"6 Document No.")</t>
  </si>
  <si>
    <t>=NF($D2188,"6 Document No.")</t>
  </si>
  <si>
    <t>=NF($D2189,"6 Document No.")</t>
  </si>
  <si>
    <t>=NF($D2190,"6 Document No.")</t>
  </si>
  <si>
    <t>=NF($D2191,"6 Document No.")</t>
  </si>
  <si>
    <t>=NF($D2192,"6 Document No.")</t>
  </si>
  <si>
    <t>=NF($D2193,"6 Document No.")</t>
  </si>
  <si>
    <t>=NF($D2194,"6 Document No.")</t>
  </si>
  <si>
    <t>=NF($D2195,"6 Document No.")</t>
  </si>
  <si>
    <t>=NF($D2196,"6 Document No.")</t>
  </si>
  <si>
    <t>=NF($D2197,"6 Document No.")</t>
  </si>
  <si>
    <t>=NF($D2198,"6 Document No.")</t>
  </si>
  <si>
    <t>=NF($D2199,"6 Document No.")</t>
  </si>
  <si>
    <t>=NF($D2200,"6 Document No.")</t>
  </si>
  <si>
    <t>=NF($D2201,"6 Document No.")</t>
  </si>
  <si>
    <t>=NF($D2202,"6 Document No.")</t>
  </si>
  <si>
    <t>=NF($D2203,"6 Document No.")</t>
  </si>
  <si>
    <t>=NF($D2204,"6 Document No.")</t>
  </si>
  <si>
    <t>=NF($D2205,"6 Document No.")</t>
  </si>
  <si>
    <t>=NF($D2206,"6 Document No.")</t>
  </si>
  <si>
    <t>=NF($D2207,"6 Document No.")</t>
  </si>
  <si>
    <t>=NF($D2208,"6 Document No.")</t>
  </si>
  <si>
    <t>=NF($D2209,"6 Document No.")</t>
  </si>
  <si>
    <t>=NF($D2210,"6 Document No.")</t>
  </si>
  <si>
    <t>=NF($D2211,"6 Document No.")</t>
  </si>
  <si>
    <t>=NF($D2212,"6 Document No.")</t>
  </si>
  <si>
    <t>=NF($D2213,"6 Document No.")</t>
  </si>
  <si>
    <t>=NF($D2214,"6 Document No.")</t>
  </si>
  <si>
    <t>=NF($D2164,"37 Due Date")</t>
  </si>
  <si>
    <t>=NF($D2165,"37 Due Date")</t>
  </si>
  <si>
    <t>=NF($D2166,"37 Due Date")</t>
  </si>
  <si>
    <t>=NF($D2167,"37 Due Date")</t>
  </si>
  <si>
    <t>=NF($D2168,"37 Due Date")</t>
  </si>
  <si>
    <t>=NF($D2169,"37 Due Date")</t>
  </si>
  <si>
    <t>=NF($D2170,"37 Due Date")</t>
  </si>
  <si>
    <t>=NF($D2171,"37 Due Date")</t>
  </si>
  <si>
    <t>=NF($D2172,"37 Due Date")</t>
  </si>
  <si>
    <t>=NF($D2173,"37 Due Date")</t>
  </si>
  <si>
    <t>=NF($D2174,"37 Due Date")</t>
  </si>
  <si>
    <t>=NF($D2175,"37 Due Date")</t>
  </si>
  <si>
    <t>=NF($D2176,"37 Due Date")</t>
  </si>
  <si>
    <t>=NF($D2177,"37 Due Date")</t>
  </si>
  <si>
    <t>=NF($D2178,"37 Due Date")</t>
  </si>
  <si>
    <t>=NF($D2179,"37 Due Date")</t>
  </si>
  <si>
    <t>=NF($D2180,"37 Due Date")</t>
  </si>
  <si>
    <t>=NF($D2181,"37 Due Date")</t>
  </si>
  <si>
    <t>=NF($D2182,"37 Due Date")</t>
  </si>
  <si>
    <t>=NF($D2183,"37 Due Date")</t>
  </si>
  <si>
    <t>=NF($D2184,"37 Due Date")</t>
  </si>
  <si>
    <t>=NF($D2185,"37 Due Date")</t>
  </si>
  <si>
    <t>=NF($D2186,"37 Due Date")</t>
  </si>
  <si>
    <t>=NF($D2187,"37 Due Date")</t>
  </si>
  <si>
    <t>=NF($D2188,"37 Due Date")</t>
  </si>
  <si>
    <t>=NF($D2189,"37 Due Date")</t>
  </si>
  <si>
    <t>=NF($D2190,"37 Due Date")</t>
  </si>
  <si>
    <t>=NF($D2191,"37 Due Date")</t>
  </si>
  <si>
    <t>=NF($D2192,"37 Due Date")</t>
  </si>
  <si>
    <t>=NF($D2193,"37 Due Date")</t>
  </si>
  <si>
    <t>=NF($D2194,"37 Due Date")</t>
  </si>
  <si>
    <t>=NF($D2195,"37 Due Date")</t>
  </si>
  <si>
    <t>=NF($D2196,"37 Due Date")</t>
  </si>
  <si>
    <t>=NF($D2197,"37 Due Date")</t>
  </si>
  <si>
    <t>=NF($D2198,"37 Due Date")</t>
  </si>
  <si>
    <t>=NF($D2199,"37 Due Date")</t>
  </si>
  <si>
    <t>=NF($D2200,"37 Due Date")</t>
  </si>
  <si>
    <t>=NF($D2201,"37 Due Date")</t>
  </si>
  <si>
    <t>=NF($D2202,"37 Due Date")</t>
  </si>
  <si>
    <t>=NF($D2203,"37 Due Date")</t>
  </si>
  <si>
    <t>=NF($D2204,"37 Due Date")</t>
  </si>
  <si>
    <t>=NF($D2205,"37 Due Date")</t>
  </si>
  <si>
    <t>=NF($D2206,"37 Due Date")</t>
  </si>
  <si>
    <t>=NF($D2207,"37 Due Date")</t>
  </si>
  <si>
    <t>=NF($D2208,"37 Due Date")</t>
  </si>
  <si>
    <t>=NF($D2209,"37 Due Date")</t>
  </si>
  <si>
    <t>=NF($D2210,"37 Due Date")</t>
  </si>
  <si>
    <t>=NF($D2211,"37 Due Date")</t>
  </si>
  <si>
    <t>=NF($D2212,"37 Due Date")</t>
  </si>
  <si>
    <t>=NF($D2213,"37 Due Date")</t>
  </si>
  <si>
    <t>=NF($D2214,"37 Due Date")</t>
  </si>
  <si>
    <t>=NF($D2164,"16 Remaining Amt. (LCY)")</t>
  </si>
  <si>
    <t>=NF($D2165,"16 Remaining Amt. (LCY)")</t>
  </si>
  <si>
    <t>=NF($D2166,"16 Remaining Amt. (LCY)")</t>
  </si>
  <si>
    <t>=NF($D2167,"16 Remaining Amt. (LCY)")</t>
  </si>
  <si>
    <t>=NF($D2168,"16 Remaining Amt. (LCY)")</t>
  </si>
  <si>
    <t>=NF($D2169,"16 Remaining Amt. (LCY)")</t>
  </si>
  <si>
    <t>=NF($D2170,"16 Remaining Amt. (LCY)")</t>
  </si>
  <si>
    <t>=NF($D2171,"16 Remaining Amt. (LCY)")</t>
  </si>
  <si>
    <t>=NF($D2172,"16 Remaining Amt. (LCY)")</t>
  </si>
  <si>
    <t>=NF($D2173,"16 Remaining Amt. (LCY)")</t>
  </si>
  <si>
    <t>=NF($D2174,"16 Remaining Amt. (LCY)")</t>
  </si>
  <si>
    <t>=NF($D2175,"16 Remaining Amt. (LCY)")</t>
  </si>
  <si>
    <t>=NF($D2176,"16 Remaining Amt. (LCY)")</t>
  </si>
  <si>
    <t>=NF($D2177,"16 Remaining Amt. (LCY)")</t>
  </si>
  <si>
    <t>=NF($D2178,"16 Remaining Amt. (LCY)")</t>
  </si>
  <si>
    <t>=NF($D2179,"16 Remaining Amt. (LCY)")</t>
  </si>
  <si>
    <t>=NF($D2180,"16 Remaining Amt. (LCY)")</t>
  </si>
  <si>
    <t>=NF($D2181,"16 Remaining Amt. (LCY)")</t>
  </si>
  <si>
    <t>=NF($D2182,"16 Remaining Amt. (LCY)")</t>
  </si>
  <si>
    <t>=NF($D2183,"16 Remaining Amt. (LCY)")</t>
  </si>
  <si>
    <t>=NF($D2184,"16 Remaining Amt. (LCY)")</t>
  </si>
  <si>
    <t>=NF($D2185,"16 Remaining Amt. (LCY)")</t>
  </si>
  <si>
    <t>=NF($D2186,"16 Remaining Amt. (LCY)")</t>
  </si>
  <si>
    <t>=NF($D2187,"16 Remaining Amt. (LCY)")</t>
  </si>
  <si>
    <t>=NF($D2188,"16 Remaining Amt. (LCY)")</t>
  </si>
  <si>
    <t>=NF($D2189,"16 Remaining Amt. (LCY)")</t>
  </si>
  <si>
    <t>=NF($D2190,"16 Remaining Amt. (LCY)")</t>
  </si>
  <si>
    <t>=NF($D2191,"16 Remaining Amt. (LCY)")</t>
  </si>
  <si>
    <t>=NF($D2192,"16 Remaining Amt. (LCY)")</t>
  </si>
  <si>
    <t>=NF($D2193,"16 Remaining Amt. (LCY)")</t>
  </si>
  <si>
    <t>=NF($D2194,"16 Remaining Amt. (LCY)")</t>
  </si>
  <si>
    <t>=NF($D2195,"16 Remaining Amt. (LCY)")</t>
  </si>
  <si>
    <t>=NF($D2196,"16 Remaining Amt. (LCY)")</t>
  </si>
  <si>
    <t>=NF($D2197,"16 Remaining Amt. (LCY)")</t>
  </si>
  <si>
    <t>=NF($D2198,"16 Remaining Amt. (LCY)")</t>
  </si>
  <si>
    <t>=NF($D2199,"16 Remaining Amt. (LCY)")</t>
  </si>
  <si>
    <t>=NF($D2200,"16 Remaining Amt. (LCY)")</t>
  </si>
  <si>
    <t>=NF($D2201,"16 Remaining Amt. (LCY)")</t>
  </si>
  <si>
    <t>=NF($D2202,"16 Remaining Amt. (LCY)")</t>
  </si>
  <si>
    <t>=NF($D2203,"16 Remaining Amt. (LCY)")</t>
  </si>
  <si>
    <t>=NF($D2204,"16 Remaining Amt. (LCY)")</t>
  </si>
  <si>
    <t>=NF($D2205,"16 Remaining Amt. (LCY)")</t>
  </si>
  <si>
    <t>=NF($D2206,"16 Remaining Amt. (LCY)")</t>
  </si>
  <si>
    <t>=NF($D2207,"16 Remaining Amt. (LCY)")</t>
  </si>
  <si>
    <t>=NF($D2208,"16 Remaining Amt. (LCY)")</t>
  </si>
  <si>
    <t>=NF($D2209,"16 Remaining Amt. (LCY)")</t>
  </si>
  <si>
    <t>=NF($D2210,"16 Remaining Amt. (LCY)")</t>
  </si>
  <si>
    <t>=NF($D2211,"16 Remaining Amt. (LCY)")</t>
  </si>
  <si>
    <t>=NF($D2212,"16 Remaining Amt. (LCY)")</t>
  </si>
  <si>
    <t>=NF($D2213,"16 Remaining Amt. (LCY)")</t>
  </si>
  <si>
    <t>=NF($D2214,"16 Remaining Amt. (LCY)")</t>
  </si>
  <si>
    <t>=NF($D2126,"5 Document Type")</t>
  </si>
  <si>
    <t>=NF($D2127,"5 Document Type")</t>
  </si>
  <si>
    <t>=NF($D2128,"5 Document Type")</t>
  </si>
  <si>
    <t>=NF($D2129,"5 Document Type")</t>
  </si>
  <si>
    <t>=NF($D2130,"5 Document Type")</t>
  </si>
  <si>
    <t>=NF($D2131,"5 Document Type")</t>
  </si>
  <si>
    <t>=NF($D2132,"5 Document Type")</t>
  </si>
  <si>
    <t>=NF($D2133,"5 Document Type")</t>
  </si>
  <si>
    <t>=NF($D2134,"5 Document Type")</t>
  </si>
  <si>
    <t>=NF($D2135,"5 Document Type")</t>
  </si>
  <si>
    <t>=NF($D2136,"5 Document Type")</t>
  </si>
  <si>
    <t>=NF($D2137,"5 Document Type")</t>
  </si>
  <si>
    <t>=NF($D2138,"5 Document Type")</t>
  </si>
  <si>
    <t>=NF($D2139,"5 Document Type")</t>
  </si>
  <si>
    <t>=NF($D2140,"5 Document Type")</t>
  </si>
  <si>
    <t>=NF($D2141,"5 Document Type")</t>
  </si>
  <si>
    <t>=NF($D2142,"5 Document Type")</t>
  </si>
  <si>
    <t>=NF($D2143,"5 Document Type")</t>
  </si>
  <si>
    <t>=NF($D2144,"5 Document Type")</t>
  </si>
  <si>
    <t>=NF($D2145,"5 Document Type")</t>
  </si>
  <si>
    <t>=NF($D2146,"5 Document Type")</t>
  </si>
  <si>
    <t>=NF($D2147,"5 Document Type")</t>
  </si>
  <si>
    <t>=NF($D2148,"5 Document Type")</t>
  </si>
  <si>
    <t>=NF($D2149,"5 Document Type")</t>
  </si>
  <si>
    <t>=NF($D2150,"5 Document Type")</t>
  </si>
  <si>
    <t>=NF($D2151,"5 Document Type")</t>
  </si>
  <si>
    <t>=NF($D2152,"5 Document Type")</t>
  </si>
  <si>
    <t>=NF($D2153,"5 Document Type")</t>
  </si>
  <si>
    <t>=NF($D2154,"5 Document Type")</t>
  </si>
  <si>
    <t>=NF($D2155,"5 Document Type")</t>
  </si>
  <si>
    <t>=NF($D2156,"5 Document Type")</t>
  </si>
  <si>
    <t>=NF($D2157,"5 Document Type")</t>
  </si>
  <si>
    <t>=NF($D2126,"6 Document No.")</t>
  </si>
  <si>
    <t>=NF($D2127,"6 Document No.")</t>
  </si>
  <si>
    <t>=NF($D2128,"6 Document No.")</t>
  </si>
  <si>
    <t>=NF($D2129,"6 Document No.")</t>
  </si>
  <si>
    <t>=NF($D2130,"6 Document No.")</t>
  </si>
  <si>
    <t>=NF($D2131,"6 Document No.")</t>
  </si>
  <si>
    <t>=NF($D2132,"6 Document No.")</t>
  </si>
  <si>
    <t>=NF($D2133,"6 Document No.")</t>
  </si>
  <si>
    <t>=NF($D2134,"6 Document No.")</t>
  </si>
  <si>
    <t>=NF($D2135,"6 Document No.")</t>
  </si>
  <si>
    <t>=NF($D2136,"6 Document No.")</t>
  </si>
  <si>
    <t>=NF($D2137,"6 Document No.")</t>
  </si>
  <si>
    <t>=NF($D2138,"6 Document No.")</t>
  </si>
  <si>
    <t>=NF($D2139,"6 Document No.")</t>
  </si>
  <si>
    <t>=NF($D2140,"6 Document No.")</t>
  </si>
  <si>
    <t>=NF($D2141,"6 Document No.")</t>
  </si>
  <si>
    <t>=NF($D2142,"6 Document No.")</t>
  </si>
  <si>
    <t>=NF($D2143,"6 Document No.")</t>
  </si>
  <si>
    <t>=NF($D2144,"6 Document No.")</t>
  </si>
  <si>
    <t>=NF($D2145,"6 Document No.")</t>
  </si>
  <si>
    <t>=NF($D2146,"6 Document No.")</t>
  </si>
  <si>
    <t>=NF($D2147,"6 Document No.")</t>
  </si>
  <si>
    <t>=NF($D2148,"6 Document No.")</t>
  </si>
  <si>
    <t>=NF($D2149,"6 Document No.")</t>
  </si>
  <si>
    <t>=NF($D2150,"6 Document No.")</t>
  </si>
  <si>
    <t>=NF($D2151,"6 Document No.")</t>
  </si>
  <si>
    <t>=NF($D2152,"6 Document No.")</t>
  </si>
  <si>
    <t>=NF($D2153,"6 Document No.")</t>
  </si>
  <si>
    <t>=NF($D2154,"6 Document No.")</t>
  </si>
  <si>
    <t>=NF($D2155,"6 Document No.")</t>
  </si>
  <si>
    <t>=NF($D2156,"6 Document No.")</t>
  </si>
  <si>
    <t>=NF($D2157,"6 Document No.")</t>
  </si>
  <si>
    <t>=NF($D2126,"37 Due Date")</t>
  </si>
  <si>
    <t>=NF($D2127,"37 Due Date")</t>
  </si>
  <si>
    <t>=NF($D2128,"37 Due Date")</t>
  </si>
  <si>
    <t>=NF($D2129,"37 Due Date")</t>
  </si>
  <si>
    <t>=NF($D2130,"37 Due Date")</t>
  </si>
  <si>
    <t>=NF($D2131,"37 Due Date")</t>
  </si>
  <si>
    <t>=NF($D2132,"37 Due Date")</t>
  </si>
  <si>
    <t>=NF($D2133,"37 Due Date")</t>
  </si>
  <si>
    <t>=NF($D2134,"37 Due Date")</t>
  </si>
  <si>
    <t>=NF($D2135,"37 Due Date")</t>
  </si>
  <si>
    <t>=NF($D2136,"37 Due Date")</t>
  </si>
  <si>
    <t>=NF($D2137,"37 Due Date")</t>
  </si>
  <si>
    <t>=NF($D2138,"37 Due Date")</t>
  </si>
  <si>
    <t>=NF($D2139,"37 Due Date")</t>
  </si>
  <si>
    <t>=NF($D2140,"37 Due Date")</t>
  </si>
  <si>
    <t>=NF($D2141,"37 Due Date")</t>
  </si>
  <si>
    <t>=NF($D2142,"37 Due Date")</t>
  </si>
  <si>
    <t>=NF($D2143,"37 Due Date")</t>
  </si>
  <si>
    <t>=NF($D2144,"37 Due Date")</t>
  </si>
  <si>
    <t>=NF($D2145,"37 Due Date")</t>
  </si>
  <si>
    <t>=NF($D2146,"37 Due Date")</t>
  </si>
  <si>
    <t>=NF($D2147,"37 Due Date")</t>
  </si>
  <si>
    <t>=NF($D2148,"37 Due Date")</t>
  </si>
  <si>
    <t>=NF($D2149,"37 Due Date")</t>
  </si>
  <si>
    <t>=NF($D2150,"37 Due Date")</t>
  </si>
  <si>
    <t>=NF($D2151,"37 Due Date")</t>
  </si>
  <si>
    <t>=NF($D2152,"37 Due Date")</t>
  </si>
  <si>
    <t>=NF($D2153,"37 Due Date")</t>
  </si>
  <si>
    <t>=NF($D2154,"37 Due Date")</t>
  </si>
  <si>
    <t>=NF($D2155,"37 Due Date")</t>
  </si>
  <si>
    <t>=NF($D2156,"37 Due Date")</t>
  </si>
  <si>
    <t>=NF($D2157,"37 Due Date")</t>
  </si>
  <si>
    <t>=NF($D2126,"16 Remaining Amt. (LCY)")</t>
  </si>
  <si>
    <t>=NF($D2127,"16 Remaining Amt. (LCY)")</t>
  </si>
  <si>
    <t>=NF($D2128,"16 Remaining Amt. (LCY)")</t>
  </si>
  <si>
    <t>=NF($D2129,"16 Remaining Amt. (LCY)")</t>
  </si>
  <si>
    <t>=NF($D2130,"16 Remaining Amt. (LCY)")</t>
  </si>
  <si>
    <t>=NF($D2131,"16 Remaining Amt. (LCY)")</t>
  </si>
  <si>
    <t>=NF($D2132,"16 Remaining Amt. (LCY)")</t>
  </si>
  <si>
    <t>=NF($D2133,"16 Remaining Amt. (LCY)")</t>
  </si>
  <si>
    <t>=NF($D2134,"16 Remaining Amt. (LCY)")</t>
  </si>
  <si>
    <t>=NF($D2135,"16 Remaining Amt. (LCY)")</t>
  </si>
  <si>
    <t>=NF($D2136,"16 Remaining Amt. (LCY)")</t>
  </si>
  <si>
    <t>=NF($D2137,"16 Remaining Amt. (LCY)")</t>
  </si>
  <si>
    <t>=NF($D2138,"16 Remaining Amt. (LCY)")</t>
  </si>
  <si>
    <t>=NF($D2139,"16 Remaining Amt. (LCY)")</t>
  </si>
  <si>
    <t>=NF($D2140,"16 Remaining Amt. (LCY)")</t>
  </si>
  <si>
    <t>=NF($D2141,"16 Remaining Amt. (LCY)")</t>
  </si>
  <si>
    <t>=NF($D2142,"16 Remaining Amt. (LCY)")</t>
  </si>
  <si>
    <t>=NF($D2143,"16 Remaining Amt. (LCY)")</t>
  </si>
  <si>
    <t>=NF($D2144,"16 Remaining Amt. (LCY)")</t>
  </si>
  <si>
    <t>=NF($D2145,"16 Remaining Amt. (LCY)")</t>
  </si>
  <si>
    <t>=NF($D2146,"16 Remaining Amt. (LCY)")</t>
  </si>
  <si>
    <t>=NF($D2147,"16 Remaining Amt. (LCY)")</t>
  </si>
  <si>
    <t>=NF($D2148,"16 Remaining Amt. (LCY)")</t>
  </si>
  <si>
    <t>=NF($D2149,"16 Remaining Amt. (LCY)")</t>
  </si>
  <si>
    <t>=NF($D2150,"16 Remaining Amt. (LCY)")</t>
  </si>
  <si>
    <t>=NF($D2151,"16 Remaining Amt. (LCY)")</t>
  </si>
  <si>
    <t>=NF($D2152,"16 Remaining Amt. (LCY)")</t>
  </si>
  <si>
    <t>=NF($D2153,"16 Remaining Amt. (LCY)")</t>
  </si>
  <si>
    <t>=NF($D2154,"16 Remaining Amt. (LCY)")</t>
  </si>
  <si>
    <t>=NF($D2155,"16 Remaining Amt. (LCY)")</t>
  </si>
  <si>
    <t>=NF($D2156,"16 Remaining Amt. (LCY)")</t>
  </si>
  <si>
    <t>=NF($D2157,"16 Remaining Amt. (LCY)")</t>
  </si>
  <si>
    <t>=NF($D2089,"5 Document Type")</t>
  </si>
  <si>
    <t>=NF($D2090,"5 Document Type")</t>
  </si>
  <si>
    <t>=NF($D2091,"5 Document Type")</t>
  </si>
  <si>
    <t>=NF($D2092,"5 Document Type")</t>
  </si>
  <si>
    <t>=NF($D2093,"5 Document Type")</t>
  </si>
  <si>
    <t>=NF($D2094,"5 Document Type")</t>
  </si>
  <si>
    <t>=NF($D2095,"5 Document Type")</t>
  </si>
  <si>
    <t>=NF($D2096,"5 Document Type")</t>
  </si>
  <si>
    <t>=NF($D2097,"5 Document Type")</t>
  </si>
  <si>
    <t>=NF($D2098,"5 Document Type")</t>
  </si>
  <si>
    <t>=NF($D2099,"5 Document Type")</t>
  </si>
  <si>
    <t>=NF($D2100,"5 Document Type")</t>
  </si>
  <si>
    <t>=NF($D2101,"5 Document Type")</t>
  </si>
  <si>
    <t>=NF($D2102,"5 Document Type")</t>
  </si>
  <si>
    <t>=NF($D2103,"5 Document Type")</t>
  </si>
  <si>
    <t>=NF($D2104,"5 Document Type")</t>
  </si>
  <si>
    <t>=NF($D2105,"5 Document Type")</t>
  </si>
  <si>
    <t>=NF($D2106,"5 Document Type")</t>
  </si>
  <si>
    <t>=NF($D2107,"5 Document Type")</t>
  </si>
  <si>
    <t>=NF($D2108,"5 Document Type")</t>
  </si>
  <si>
    <t>=NF($D2109,"5 Document Type")</t>
  </si>
  <si>
    <t>=NF($D2110,"5 Document Type")</t>
  </si>
  <si>
    <t>=NF($D2111,"5 Document Type")</t>
  </si>
  <si>
    <t>=NF($D2112,"5 Document Type")</t>
  </si>
  <si>
    <t>=NF($D2113,"5 Document Type")</t>
  </si>
  <si>
    <t>=NF($D2114,"5 Document Type")</t>
  </si>
  <si>
    <t>=NF($D2115,"5 Document Type")</t>
  </si>
  <si>
    <t>=NF($D2116,"5 Document Type")</t>
  </si>
  <si>
    <t>=NF($D2117,"5 Document Type")</t>
  </si>
  <si>
    <t>=NF($D2118,"5 Document Type")</t>
  </si>
  <si>
    <t>=NF($D2119,"5 Document Type")</t>
  </si>
  <si>
    <t>=NF($D2089,"6 Document No.")</t>
  </si>
  <si>
    <t>=NF($D2090,"6 Document No.")</t>
  </si>
  <si>
    <t>=NF($D2091,"6 Document No.")</t>
  </si>
  <si>
    <t>=NF($D2092,"6 Document No.")</t>
  </si>
  <si>
    <t>=NF($D2093,"6 Document No.")</t>
  </si>
  <si>
    <t>=NF($D2094,"6 Document No.")</t>
  </si>
  <si>
    <t>=NF($D2095,"6 Document No.")</t>
  </si>
  <si>
    <t>=NF($D2096,"6 Document No.")</t>
  </si>
  <si>
    <t>=NF($D2097,"6 Document No.")</t>
  </si>
  <si>
    <t>=NF($D2098,"6 Document No.")</t>
  </si>
  <si>
    <t>=NF($D2099,"6 Document No.")</t>
  </si>
  <si>
    <t>=NF($D2100,"6 Document No.")</t>
  </si>
  <si>
    <t>=NF($D2101,"6 Document No.")</t>
  </si>
  <si>
    <t>=NF($D2102,"6 Document No.")</t>
  </si>
  <si>
    <t>=NF($D2103,"6 Document No.")</t>
  </si>
  <si>
    <t>=NF($D2104,"6 Document No.")</t>
  </si>
  <si>
    <t>=NF($D2105,"6 Document No.")</t>
  </si>
  <si>
    <t>=NF($D2106,"6 Document No.")</t>
  </si>
  <si>
    <t>=NF($D2107,"6 Document No.")</t>
  </si>
  <si>
    <t>=NF($D2108,"6 Document No.")</t>
  </si>
  <si>
    <t>=NF($D2109,"6 Document No.")</t>
  </si>
  <si>
    <t>=NF($D2110,"6 Document No.")</t>
  </si>
  <si>
    <t>=NF($D2111,"6 Document No.")</t>
  </si>
  <si>
    <t>=NF($D2112,"6 Document No.")</t>
  </si>
  <si>
    <t>=NF($D2113,"6 Document No.")</t>
  </si>
  <si>
    <t>=NF($D2114,"6 Document No.")</t>
  </si>
  <si>
    <t>=NF($D2115,"6 Document No.")</t>
  </si>
  <si>
    <t>=NF($D2116,"6 Document No.")</t>
  </si>
  <si>
    <t>=NF($D2117,"6 Document No.")</t>
  </si>
  <si>
    <t>=NF($D2118,"6 Document No.")</t>
  </si>
  <si>
    <t>=NF($D2119,"6 Document No.")</t>
  </si>
  <si>
    <t>=NF($D2089,"37 Due Date")</t>
  </si>
  <si>
    <t>=NF($D2090,"37 Due Date")</t>
  </si>
  <si>
    <t>=NF($D2091,"37 Due Date")</t>
  </si>
  <si>
    <t>=NF($D2092,"37 Due Date")</t>
  </si>
  <si>
    <t>=NF($D2093,"37 Due Date")</t>
  </si>
  <si>
    <t>=NF($D2094,"37 Due Date")</t>
  </si>
  <si>
    <t>=NF($D2095,"37 Due Date")</t>
  </si>
  <si>
    <t>=NF($D2096,"37 Due Date")</t>
  </si>
  <si>
    <t>=NF($D2097,"37 Due Date")</t>
  </si>
  <si>
    <t>=NF($D2098,"37 Due Date")</t>
  </si>
  <si>
    <t>=NF($D2099,"37 Due Date")</t>
  </si>
  <si>
    <t>=NF($D2100,"37 Due Date")</t>
  </si>
  <si>
    <t>=NF($D2101,"37 Due Date")</t>
  </si>
  <si>
    <t>=NF($D2102,"37 Due Date")</t>
  </si>
  <si>
    <t>=NF($D2103,"37 Due Date")</t>
  </si>
  <si>
    <t>=NF($D2104,"37 Due Date")</t>
  </si>
  <si>
    <t>=NF($D2105,"37 Due Date")</t>
  </si>
  <si>
    <t>=NF($D2106,"37 Due Date")</t>
  </si>
  <si>
    <t>=NF($D2107,"37 Due Date")</t>
  </si>
  <si>
    <t>=NF($D2108,"37 Due Date")</t>
  </si>
  <si>
    <t>=NF($D2109,"37 Due Date")</t>
  </si>
  <si>
    <t>=NF($D2110,"37 Due Date")</t>
  </si>
  <si>
    <t>=NF($D2111,"37 Due Date")</t>
  </si>
  <si>
    <t>=NF($D2112,"37 Due Date")</t>
  </si>
  <si>
    <t>=NF($D2113,"37 Due Date")</t>
  </si>
  <si>
    <t>=NF($D2114,"37 Due Date")</t>
  </si>
  <si>
    <t>=NF($D2115,"37 Due Date")</t>
  </si>
  <si>
    <t>=NF($D2116,"37 Due Date")</t>
  </si>
  <si>
    <t>=NF($D2117,"37 Due Date")</t>
  </si>
  <si>
    <t>=NF($D2118,"37 Due Date")</t>
  </si>
  <si>
    <t>=NF($D2119,"37 Due Date")</t>
  </si>
  <si>
    <t>=NF($D2089,"16 Remaining Amt. (LCY)")</t>
  </si>
  <si>
    <t>=NF($D2090,"16 Remaining Amt. (LCY)")</t>
  </si>
  <si>
    <t>=NF($D2091,"16 Remaining Amt. (LCY)")</t>
  </si>
  <si>
    <t>=NF($D2092,"16 Remaining Amt. (LCY)")</t>
  </si>
  <si>
    <t>=NF($D2093,"16 Remaining Amt. (LCY)")</t>
  </si>
  <si>
    <t>=NF($D2094,"16 Remaining Amt. (LCY)")</t>
  </si>
  <si>
    <t>=NF($D2095,"16 Remaining Amt. (LCY)")</t>
  </si>
  <si>
    <t>=NF($D2096,"16 Remaining Amt. (LCY)")</t>
  </si>
  <si>
    <t>=NF($D2097,"16 Remaining Amt. (LCY)")</t>
  </si>
  <si>
    <t>=NF($D2098,"16 Remaining Amt. (LCY)")</t>
  </si>
  <si>
    <t>=NF($D2099,"16 Remaining Amt. (LCY)")</t>
  </si>
  <si>
    <t>=NF($D2100,"16 Remaining Amt. (LCY)")</t>
  </si>
  <si>
    <t>=NF($D2101,"16 Remaining Amt. (LCY)")</t>
  </si>
  <si>
    <t>=NF($D2102,"16 Remaining Amt. (LCY)")</t>
  </si>
  <si>
    <t>=NF($D2103,"16 Remaining Amt. (LCY)")</t>
  </si>
  <si>
    <t>=NF($D2104,"16 Remaining Amt. (LCY)")</t>
  </si>
  <si>
    <t>=NF($D2105,"16 Remaining Amt. (LCY)")</t>
  </si>
  <si>
    <t>=NF($D2106,"16 Remaining Amt. (LCY)")</t>
  </si>
  <si>
    <t>=NF($D2107,"16 Remaining Amt. (LCY)")</t>
  </si>
  <si>
    <t>=NF($D2108,"16 Remaining Amt. (LCY)")</t>
  </si>
  <si>
    <t>=NF($D2109,"16 Remaining Amt. (LCY)")</t>
  </si>
  <si>
    <t>=NF($D2110,"16 Remaining Amt. (LCY)")</t>
  </si>
  <si>
    <t>=NF($D2111,"16 Remaining Amt. (LCY)")</t>
  </si>
  <si>
    <t>=NF($D2112,"16 Remaining Amt. (LCY)")</t>
  </si>
  <si>
    <t>=NF($D2113,"16 Remaining Amt. (LCY)")</t>
  </si>
  <si>
    <t>=NF($D2114,"16 Remaining Amt. (LCY)")</t>
  </si>
  <si>
    <t>=NF($D2115,"16 Remaining Amt. (LCY)")</t>
  </si>
  <si>
    <t>=NF($D2116,"16 Remaining Amt. (LCY)")</t>
  </si>
  <si>
    <t>=NF($D2117,"16 Remaining Amt. (LCY)")</t>
  </si>
  <si>
    <t>=NF($D2118,"16 Remaining Amt. (LCY)")</t>
  </si>
  <si>
    <t>=NF($D2119,"16 Remaining Amt. (LCY)")</t>
  </si>
  <si>
    <t>=NF($D2072,"5 Document Type")</t>
  </si>
  <si>
    <t>=NF($D2073,"5 Document Type")</t>
  </si>
  <si>
    <t>=NF($D2074,"5 Document Type")</t>
  </si>
  <si>
    <t>=NF($D2075,"5 Document Type")</t>
  </si>
  <si>
    <t>=NF($D2076,"5 Document Type")</t>
  </si>
  <si>
    <t>=NF($D2077,"5 Document Type")</t>
  </si>
  <si>
    <t>=NF($D2078,"5 Document Type")</t>
  </si>
  <si>
    <t>=NF($D2079,"5 Document Type")</t>
  </si>
  <si>
    <t>=NF($D2080,"5 Document Type")</t>
  </si>
  <si>
    <t>=NF($D2081,"5 Document Type")</t>
  </si>
  <si>
    <t>=NF($D2082,"5 Document Type")</t>
  </si>
  <si>
    <t>=NF($D2072,"6 Document No.")</t>
  </si>
  <si>
    <t>=NF($D2073,"6 Document No.")</t>
  </si>
  <si>
    <t>=NF($D2074,"6 Document No.")</t>
  </si>
  <si>
    <t>=NF($D2075,"6 Document No.")</t>
  </si>
  <si>
    <t>=NF($D2076,"6 Document No.")</t>
  </si>
  <si>
    <t>=NF($D2077,"6 Document No.")</t>
  </si>
  <si>
    <t>=NF($D2078,"6 Document No.")</t>
  </si>
  <si>
    <t>=NF($D2079,"6 Document No.")</t>
  </si>
  <si>
    <t>=NF($D2080,"6 Document No.")</t>
  </si>
  <si>
    <t>=NF($D2081,"6 Document No.")</t>
  </si>
  <si>
    <t>=NF($D2082,"6 Document No.")</t>
  </si>
  <si>
    <t>=NF($D2072,"37 Due Date")</t>
  </si>
  <si>
    <t>=NF($D2073,"37 Due Date")</t>
  </si>
  <si>
    <t>=NF($D2074,"37 Due Date")</t>
  </si>
  <si>
    <t>=NF($D2075,"37 Due Date")</t>
  </si>
  <si>
    <t>=NF($D2076,"37 Due Date")</t>
  </si>
  <si>
    <t>=NF($D2077,"37 Due Date")</t>
  </si>
  <si>
    <t>=NF($D2078,"37 Due Date")</t>
  </si>
  <si>
    <t>=NF($D2079,"37 Due Date")</t>
  </si>
  <si>
    <t>=NF($D2080,"37 Due Date")</t>
  </si>
  <si>
    <t>=NF($D2081,"37 Due Date")</t>
  </si>
  <si>
    <t>=NF($D2082,"37 Due Date")</t>
  </si>
  <si>
    <t>=NF($D2072,"16 Remaining Amt. (LCY)")</t>
  </si>
  <si>
    <t>=NF($D2073,"16 Remaining Amt. (LCY)")</t>
  </si>
  <si>
    <t>=NF($D2074,"16 Remaining Amt. (LCY)")</t>
  </si>
  <si>
    <t>=NF($D2075,"16 Remaining Amt. (LCY)")</t>
  </si>
  <si>
    <t>=NF($D2076,"16 Remaining Amt. (LCY)")</t>
  </si>
  <si>
    <t>=NF($D2077,"16 Remaining Amt. (LCY)")</t>
  </si>
  <si>
    <t>=NF($D2078,"16 Remaining Amt. (LCY)")</t>
  </si>
  <si>
    <t>=NF($D2079,"16 Remaining Amt. (LCY)")</t>
  </si>
  <si>
    <t>=NF($D2080,"16 Remaining Amt. (LCY)")</t>
  </si>
  <si>
    <t>=NF($D2081,"16 Remaining Amt. (LCY)")</t>
  </si>
  <si>
    <t>=NF($D2082,"16 Remaining Amt. (LCY)")</t>
  </si>
  <si>
    <t>=NF($D1923,"5 Document Type")</t>
  </si>
  <si>
    <t>=NF($D1924,"5 Document Type")</t>
  </si>
  <si>
    <t>=NF($D1925,"5 Document Type")</t>
  </si>
  <si>
    <t>=NF($D1926,"5 Document Type")</t>
  </si>
  <si>
    <t>=NF($D1927,"5 Document Type")</t>
  </si>
  <si>
    <t>=NF($D1928,"5 Document Type")</t>
  </si>
  <si>
    <t>=NF($D1929,"5 Document Type")</t>
  </si>
  <si>
    <t>=NF($D1930,"5 Document Type")</t>
  </si>
  <si>
    <t>=NF($D1931,"5 Document Type")</t>
  </si>
  <si>
    <t>=NF($D1932,"5 Document Type")</t>
  </si>
  <si>
    <t>=NF($D1933,"5 Document Type")</t>
  </si>
  <si>
    <t>=NF($D1934,"5 Document Type")</t>
  </si>
  <si>
    <t>=NF($D1935,"5 Document Type")</t>
  </si>
  <si>
    <t>=NF($D1936,"5 Document Type")</t>
  </si>
  <si>
    <t>=NF($D1937,"5 Document Type")</t>
  </si>
  <si>
    <t>=NF($D1938,"5 Document Type")</t>
  </si>
  <si>
    <t>=NF($D1939,"5 Document Type")</t>
  </si>
  <si>
    <t>=NF($D1940,"5 Document Type")</t>
  </si>
  <si>
    <t>=NF($D1941,"5 Document Type")</t>
  </si>
  <si>
    <t>=NF($D1942,"5 Document Type")</t>
  </si>
  <si>
    <t>=NF($D1943,"5 Document Type")</t>
  </si>
  <si>
    <t>=NF($D1944,"5 Document Type")</t>
  </si>
  <si>
    <t>=NF($D1945,"5 Document Type")</t>
  </si>
  <si>
    <t>=NF($D1946,"5 Document Type")</t>
  </si>
  <si>
    <t>=NF($D1947,"5 Document Type")</t>
  </si>
  <si>
    <t>=NF($D1948,"5 Document Type")</t>
  </si>
  <si>
    <t>=NF($D1949,"5 Document Type")</t>
  </si>
  <si>
    <t>=NF($D1950,"5 Document Type")</t>
  </si>
  <si>
    <t>=NF($D1951,"5 Document Type")</t>
  </si>
  <si>
    <t>=NF($D1952,"5 Document Type")</t>
  </si>
  <si>
    <t>=NF($D1953,"5 Document Type")</t>
  </si>
  <si>
    <t>=NF($D1954,"5 Document Type")</t>
  </si>
  <si>
    <t>=NF($D1955,"5 Document Type")</t>
  </si>
  <si>
    <t>=NF($D1956,"5 Document Type")</t>
  </si>
  <si>
    <t>=NF($D1957,"5 Document Type")</t>
  </si>
  <si>
    <t>=NF($D1958,"5 Document Type")</t>
  </si>
  <si>
    <t>=NF($D1959,"5 Document Type")</t>
  </si>
  <si>
    <t>=NF($D1960,"5 Document Type")</t>
  </si>
  <si>
    <t>=NF($D1961,"5 Document Type")</t>
  </si>
  <si>
    <t>=NF($D1962,"5 Document Type")</t>
  </si>
  <si>
    <t>=NF($D1963,"5 Document Type")</t>
  </si>
  <si>
    <t>=NF($D1964,"5 Document Type")</t>
  </si>
  <si>
    <t>=NF($D1965,"5 Document Type")</t>
  </si>
  <si>
    <t>=NF($D1966,"5 Document Type")</t>
  </si>
  <si>
    <t>=NF($D1967,"5 Document Type")</t>
  </si>
  <si>
    <t>=NF($D1968,"5 Document Type")</t>
  </si>
  <si>
    <t>=NF($D1969,"5 Document Type")</t>
  </si>
  <si>
    <t>=NF($D1970,"5 Document Type")</t>
  </si>
  <si>
    <t>=NF($D1971,"5 Document Type")</t>
  </si>
  <si>
    <t>=NF($D1972,"5 Document Type")</t>
  </si>
  <si>
    <t>=NF($D1973,"5 Document Type")</t>
  </si>
  <si>
    <t>=NF($D1974,"5 Document Type")</t>
  </si>
  <si>
    <t>=NF($D1975,"5 Document Type")</t>
  </si>
  <si>
    <t>=NF($D1976,"5 Document Type")</t>
  </si>
  <si>
    <t>=NF($D1977,"5 Document Type")</t>
  </si>
  <si>
    <t>=NF($D1978,"5 Document Type")</t>
  </si>
  <si>
    <t>=NF($D1979,"5 Document Type")</t>
  </si>
  <si>
    <t>=NF($D1980,"5 Document Type")</t>
  </si>
  <si>
    <t>=NF($D1981,"5 Document Type")</t>
  </si>
  <si>
    <t>=NF($D1982,"5 Document Type")</t>
  </si>
  <si>
    <t>=NF($D1983,"5 Document Type")</t>
  </si>
  <si>
    <t>=NF($D1984,"5 Document Type")</t>
  </si>
  <si>
    <t>=NF($D1985,"5 Document Type")</t>
  </si>
  <si>
    <t>=NF($D1986,"5 Document Type")</t>
  </si>
  <si>
    <t>=NF($D1987,"5 Document Type")</t>
  </si>
  <si>
    <t>=NF($D1988,"5 Document Type")</t>
  </si>
  <si>
    <t>=NF($D1989,"5 Document Type")</t>
  </si>
  <si>
    <t>=NF($D1990,"5 Document Type")</t>
  </si>
  <si>
    <t>=NF($D1991,"5 Document Type")</t>
  </si>
  <si>
    <t>=NF($D1992,"5 Document Type")</t>
  </si>
  <si>
    <t>=NF($D1993,"5 Document Type")</t>
  </si>
  <si>
    <t>=NF($D1994,"5 Document Type")</t>
  </si>
  <si>
    <t>=NF($D1995,"5 Document Type")</t>
  </si>
  <si>
    <t>=NF($D1996,"5 Document Type")</t>
  </si>
  <si>
    <t>=NF($D1997,"5 Document Type")</t>
  </si>
  <si>
    <t>=NF($D1998,"5 Document Type")</t>
  </si>
  <si>
    <t>=NF($D1999,"5 Document Type")</t>
  </si>
  <si>
    <t>=NF($D2000,"5 Document Type")</t>
  </si>
  <si>
    <t>=NF($D2001,"5 Document Type")</t>
  </si>
  <si>
    <t>=NF($D2002,"5 Document Type")</t>
  </si>
  <si>
    <t>=NF($D2003,"5 Document Type")</t>
  </si>
  <si>
    <t>=NF($D2004,"5 Document Type")</t>
  </si>
  <si>
    <t>=NF($D2005,"5 Document Type")</t>
  </si>
  <si>
    <t>=NF($D2006,"5 Document Type")</t>
  </si>
  <si>
    <t>=NF($D2007,"5 Document Type")</t>
  </si>
  <si>
    <t>=NF($D2008,"5 Document Type")</t>
  </si>
  <si>
    <t>=NF($D2009,"5 Document Type")</t>
  </si>
  <si>
    <t>=NF($D2010,"5 Document Type")</t>
  </si>
  <si>
    <t>=NF($D2011,"5 Document Type")</t>
  </si>
  <si>
    <t>=NF($D2012,"5 Document Type")</t>
  </si>
  <si>
    <t>=NF($D2013,"5 Document Type")</t>
  </si>
  <si>
    <t>=NF($D2014,"5 Document Type")</t>
  </si>
  <si>
    <t>=NF($D2015,"5 Document Type")</t>
  </si>
  <si>
    <t>=NF($D2016,"5 Document Type")</t>
  </si>
  <si>
    <t>=NF($D2017,"5 Document Type")</t>
  </si>
  <si>
    <t>=NF($D2018,"5 Document Type")</t>
  </si>
  <si>
    <t>=NF($D2019,"5 Document Type")</t>
  </si>
  <si>
    <t>=NF($D2020,"5 Document Type")</t>
  </si>
  <si>
    <t>=NF($D2021,"5 Document Type")</t>
  </si>
  <si>
    <t>=NF($D2022,"5 Document Type")</t>
  </si>
  <si>
    <t>=NF($D2023,"5 Document Type")</t>
  </si>
  <si>
    <t>=NF($D2024,"5 Document Type")</t>
  </si>
  <si>
    <t>=NF($D2025,"5 Document Type")</t>
  </si>
  <si>
    <t>=NF($D2026,"5 Document Type")</t>
  </si>
  <si>
    <t>=NF($D2027,"5 Document Type")</t>
  </si>
  <si>
    <t>=NF($D2028,"5 Document Type")</t>
  </si>
  <si>
    <t>=NF($D2029,"5 Document Type")</t>
  </si>
  <si>
    <t>=NF($D2030,"5 Document Type")</t>
  </si>
  <si>
    <t>=NF($D2031,"5 Document Type")</t>
  </si>
  <si>
    <t>=NF($D2032,"5 Document Type")</t>
  </si>
  <si>
    <t>=NF($D2033,"5 Document Type")</t>
  </si>
  <si>
    <t>=NF($D2034,"5 Document Type")</t>
  </si>
  <si>
    <t>=NF($D2035,"5 Document Type")</t>
  </si>
  <si>
    <t>=NF($D2036,"5 Document Type")</t>
  </si>
  <si>
    <t>=NF($D2037,"5 Document Type")</t>
  </si>
  <si>
    <t>=NF($D2038,"5 Document Type")</t>
  </si>
  <si>
    <t>=NF($D2039,"5 Document Type")</t>
  </si>
  <si>
    <t>=NF($D2040,"5 Document Type")</t>
  </si>
  <si>
    <t>=NF($D2041,"5 Document Type")</t>
  </si>
  <si>
    <t>=NF($D2042,"5 Document Type")</t>
  </si>
  <si>
    <t>=NF($D2043,"5 Document Type")</t>
  </si>
  <si>
    <t>=NF($D2044,"5 Document Type")</t>
  </si>
  <si>
    <t>=NF($D2045,"5 Document Type")</t>
  </si>
  <si>
    <t>=NF($D2046,"5 Document Type")</t>
  </si>
  <si>
    <t>=NF($D2047,"5 Document Type")</t>
  </si>
  <si>
    <t>=NF($D2048,"5 Document Type")</t>
  </si>
  <si>
    <t>=NF($D2049,"5 Document Type")</t>
  </si>
  <si>
    <t>=NF($D2050,"5 Document Type")</t>
  </si>
  <si>
    <t>=NF($D2051,"5 Document Type")</t>
  </si>
  <si>
    <t>=NF($D2052,"5 Document Type")</t>
  </si>
  <si>
    <t>=NF($D2053,"5 Document Type")</t>
  </si>
  <si>
    <t>=NF($D2054,"5 Document Type")</t>
  </si>
  <si>
    <t>=NF($D2055,"5 Document Type")</t>
  </si>
  <si>
    <t>=NF($D2056,"5 Document Type")</t>
  </si>
  <si>
    <t>=NF($D2057,"5 Document Type")</t>
  </si>
  <si>
    <t>=NF($D2058,"5 Document Type")</t>
  </si>
  <si>
    <t>=NF($D2059,"5 Document Type")</t>
  </si>
  <si>
    <t>=NF($D2060,"5 Document Type")</t>
  </si>
  <si>
    <t>=NF($D2061,"5 Document Type")</t>
  </si>
  <si>
    <t>=NF($D2062,"5 Document Type")</t>
  </si>
  <si>
    <t>=NF($D2063,"5 Document Type")</t>
  </si>
  <si>
    <t>=NF($D2064,"5 Document Type")</t>
  </si>
  <si>
    <t>=NF($D2065,"5 Document Type")</t>
  </si>
  <si>
    <t>=NF($D1923,"6 Document No.")</t>
  </si>
  <si>
    <t>=NF($D1924,"6 Document No.")</t>
  </si>
  <si>
    <t>=NF($D1925,"6 Document No.")</t>
  </si>
  <si>
    <t>=NF($D1926,"6 Document No.")</t>
  </si>
  <si>
    <t>=NF($D1927,"6 Document No.")</t>
  </si>
  <si>
    <t>=NF($D1928,"6 Document No.")</t>
  </si>
  <si>
    <t>=NF($D1929,"6 Document No.")</t>
  </si>
  <si>
    <t>=NF($D1930,"6 Document No.")</t>
  </si>
  <si>
    <t>=NF($D1931,"6 Document No.")</t>
  </si>
  <si>
    <t>=NF($D1932,"6 Document No.")</t>
  </si>
  <si>
    <t>=NF($D1933,"6 Document No.")</t>
  </si>
  <si>
    <t>=NF($D1934,"6 Document No.")</t>
  </si>
  <si>
    <t>=NF($D1935,"6 Document No.")</t>
  </si>
  <si>
    <t>=NF($D1936,"6 Document No.")</t>
  </si>
  <si>
    <t>=NF($D1937,"6 Document No.")</t>
  </si>
  <si>
    <t>=NF($D1938,"6 Document No.")</t>
  </si>
  <si>
    <t>=NF($D1939,"6 Document No.")</t>
  </si>
  <si>
    <t>=NF($D1940,"6 Document No.")</t>
  </si>
  <si>
    <t>=NF($D1941,"6 Document No.")</t>
  </si>
  <si>
    <t>=NF($D1942,"6 Document No.")</t>
  </si>
  <si>
    <t>=NF($D1943,"6 Document No.")</t>
  </si>
  <si>
    <t>=NF($D1944,"6 Document No.")</t>
  </si>
  <si>
    <t>=NF($D1945,"6 Document No.")</t>
  </si>
  <si>
    <t>=NF($D1946,"6 Document No.")</t>
  </si>
  <si>
    <t>=NF($D1947,"6 Document No.")</t>
  </si>
  <si>
    <t>=NF($D1948,"6 Document No.")</t>
  </si>
  <si>
    <t>=NF($D1949,"6 Document No.")</t>
  </si>
  <si>
    <t>=NF($D1950,"6 Document No.")</t>
  </si>
  <si>
    <t>=NF($D1951,"6 Document No.")</t>
  </si>
  <si>
    <t>=NF($D1952,"6 Document No.")</t>
  </si>
  <si>
    <t>=NF($D1953,"6 Document No.")</t>
  </si>
  <si>
    <t>=NF($D1954,"6 Document No.")</t>
  </si>
  <si>
    <t>=NF($D1955,"6 Document No.")</t>
  </si>
  <si>
    <t>=NF($D1956,"6 Document No.")</t>
  </si>
  <si>
    <t>=NF($D1957,"6 Document No.")</t>
  </si>
  <si>
    <t>=NF($D1958,"6 Document No.")</t>
  </si>
  <si>
    <t>=NF($D1959,"6 Document No.")</t>
  </si>
  <si>
    <t>=NF($D1960,"6 Document No.")</t>
  </si>
  <si>
    <t>=NF($D1961,"6 Document No.")</t>
  </si>
  <si>
    <t>=NF($D1962,"6 Document No.")</t>
  </si>
  <si>
    <t>=NF($D1963,"6 Document No.")</t>
  </si>
  <si>
    <t>=NF($D1964,"6 Document No.")</t>
  </si>
  <si>
    <t>=NF($D1965,"6 Document No.")</t>
  </si>
  <si>
    <t>=NF($D1966,"6 Document No.")</t>
  </si>
  <si>
    <t>=NF($D1967,"6 Document No.")</t>
  </si>
  <si>
    <t>=NF($D1968,"6 Document No.")</t>
  </si>
  <si>
    <t>=NF($D1969,"6 Document No.")</t>
  </si>
  <si>
    <t>=NF($D1970,"6 Document No.")</t>
  </si>
  <si>
    <t>=NF($D1971,"6 Document No.")</t>
  </si>
  <si>
    <t>=NF($D1972,"6 Document No.")</t>
  </si>
  <si>
    <t>=NF($D1973,"6 Document No.")</t>
  </si>
  <si>
    <t>=NF($D1974,"6 Document No.")</t>
  </si>
  <si>
    <t>=NF($D1975,"6 Document No.")</t>
  </si>
  <si>
    <t>=NF($D1976,"6 Document No.")</t>
  </si>
  <si>
    <t>=NF($D1977,"6 Document No.")</t>
  </si>
  <si>
    <t>=NF($D1978,"6 Document No.")</t>
  </si>
  <si>
    <t>=NF($D1979,"6 Document No.")</t>
  </si>
  <si>
    <t>=NF($D1980,"6 Document No.")</t>
  </si>
  <si>
    <t>=NF($D1981,"6 Document No.")</t>
  </si>
  <si>
    <t>=NF($D1982,"6 Document No.")</t>
  </si>
  <si>
    <t>=NF($D1983,"6 Document No.")</t>
  </si>
  <si>
    <t>=NF($D1984,"6 Document No.")</t>
  </si>
  <si>
    <t>=NF($D1985,"6 Document No.")</t>
  </si>
  <si>
    <t>=NF($D1986,"6 Document No.")</t>
  </si>
  <si>
    <t>=NF($D1987,"6 Document No.")</t>
  </si>
  <si>
    <t>=NF($D1988,"6 Document No.")</t>
  </si>
  <si>
    <t>=NF($D1989,"6 Document No.")</t>
  </si>
  <si>
    <t>=NF($D1990,"6 Document No.")</t>
  </si>
  <si>
    <t>=NF($D1991,"6 Document No.")</t>
  </si>
  <si>
    <t>=NF($D1992,"6 Document No.")</t>
  </si>
  <si>
    <t>=NF($D1993,"6 Document No.")</t>
  </si>
  <si>
    <t>=NF($D1994,"6 Document No.")</t>
  </si>
  <si>
    <t>=NF($D1995,"6 Document No.")</t>
  </si>
  <si>
    <t>=NF($D1996,"6 Document No.")</t>
  </si>
  <si>
    <t>=NF($D1997,"6 Document No.")</t>
  </si>
  <si>
    <t>=NF($D1998,"6 Document No.")</t>
  </si>
  <si>
    <t>=NF($D1999,"6 Document No.")</t>
  </si>
  <si>
    <t>=NF($D2000,"6 Document No.")</t>
  </si>
  <si>
    <t>=NF($D2001,"6 Document No.")</t>
  </si>
  <si>
    <t>=NF($D2002,"6 Document No.")</t>
  </si>
  <si>
    <t>=NF($D2003,"6 Document No.")</t>
  </si>
  <si>
    <t>=NF($D2004,"6 Document No.")</t>
  </si>
  <si>
    <t>=NF($D2005,"6 Document No.")</t>
  </si>
  <si>
    <t>=NF($D2006,"6 Document No.")</t>
  </si>
  <si>
    <t>=NF($D2007,"6 Document No.")</t>
  </si>
  <si>
    <t>=NF($D2008,"6 Document No.")</t>
  </si>
  <si>
    <t>=NF($D2009,"6 Document No.")</t>
  </si>
  <si>
    <t>=NF($D2010,"6 Document No.")</t>
  </si>
  <si>
    <t>=NF($D2011,"6 Document No.")</t>
  </si>
  <si>
    <t>=NF($D2012,"6 Document No.")</t>
  </si>
  <si>
    <t>=NF($D2013,"6 Document No.")</t>
  </si>
  <si>
    <t>=NF($D2014,"6 Document No.")</t>
  </si>
  <si>
    <t>=NF($D2015,"6 Document No.")</t>
  </si>
  <si>
    <t>=NF($D2016,"6 Document No.")</t>
  </si>
  <si>
    <t>=NF($D2017,"6 Document No.")</t>
  </si>
  <si>
    <t>=NF($D2018,"6 Document No.")</t>
  </si>
  <si>
    <t>=NF($D2019,"6 Document No.")</t>
  </si>
  <si>
    <t>=NF($D2020,"6 Document No.")</t>
  </si>
  <si>
    <t>=NF($D2021,"6 Document No.")</t>
  </si>
  <si>
    <t>=NF($D2022,"6 Document No.")</t>
  </si>
  <si>
    <t>=NF($D2023,"6 Document No.")</t>
  </si>
  <si>
    <t>=NF($D2024,"6 Document No.")</t>
  </si>
  <si>
    <t>=NF($D2025,"6 Document No.")</t>
  </si>
  <si>
    <t>=NF($D2026,"6 Document No.")</t>
  </si>
  <si>
    <t>=NF($D2027,"6 Document No.")</t>
  </si>
  <si>
    <t>=NF($D2028,"6 Document No.")</t>
  </si>
  <si>
    <t>=NF($D2029,"6 Document No.")</t>
  </si>
  <si>
    <t>=NF($D2030,"6 Document No.")</t>
  </si>
  <si>
    <t>=NF($D2031,"6 Document No.")</t>
  </si>
  <si>
    <t>=NF($D2032,"6 Document No.")</t>
  </si>
  <si>
    <t>=NF($D2033,"6 Document No.")</t>
  </si>
  <si>
    <t>=NF($D2034,"6 Document No.")</t>
  </si>
  <si>
    <t>=NF($D2035,"6 Document No.")</t>
  </si>
  <si>
    <t>=NF($D2036,"6 Document No.")</t>
  </si>
  <si>
    <t>=NF($D2037,"6 Document No.")</t>
  </si>
  <si>
    <t>=NF($D2038,"6 Document No.")</t>
  </si>
  <si>
    <t>=NF($D2039,"6 Document No.")</t>
  </si>
  <si>
    <t>=NF($D2040,"6 Document No.")</t>
  </si>
  <si>
    <t>=NF($D2041,"6 Document No.")</t>
  </si>
  <si>
    <t>=NF($D2042,"6 Document No.")</t>
  </si>
  <si>
    <t>=NF($D2043,"6 Document No.")</t>
  </si>
  <si>
    <t>=NF($D2044,"6 Document No.")</t>
  </si>
  <si>
    <t>=NF($D2045,"6 Document No.")</t>
  </si>
  <si>
    <t>=NF($D2046,"6 Document No.")</t>
  </si>
  <si>
    <t>=NF($D2047,"6 Document No.")</t>
  </si>
  <si>
    <t>=NF($D2048,"6 Document No.")</t>
  </si>
  <si>
    <t>=NF($D2049,"6 Document No.")</t>
  </si>
  <si>
    <t>=NF($D2050,"6 Document No.")</t>
  </si>
  <si>
    <t>=NF($D2051,"6 Document No.")</t>
  </si>
  <si>
    <t>=NF($D2052,"6 Document No.")</t>
  </si>
  <si>
    <t>=NF($D2053,"6 Document No.")</t>
  </si>
  <si>
    <t>=NF($D2054,"6 Document No.")</t>
  </si>
  <si>
    <t>=NF($D2055,"6 Document No.")</t>
  </si>
  <si>
    <t>=NF($D2056,"6 Document No.")</t>
  </si>
  <si>
    <t>=NF($D2057,"6 Document No.")</t>
  </si>
  <si>
    <t>=NF($D2058,"6 Document No.")</t>
  </si>
  <si>
    <t>=NF($D2059,"6 Document No.")</t>
  </si>
  <si>
    <t>=NF($D2060,"6 Document No.")</t>
  </si>
  <si>
    <t>=NF($D2061,"6 Document No.")</t>
  </si>
  <si>
    <t>=NF($D2062,"6 Document No.")</t>
  </si>
  <si>
    <t>=NF($D2063,"6 Document No.")</t>
  </si>
  <si>
    <t>=NF($D2064,"6 Document No.")</t>
  </si>
  <si>
    <t>=NF($D2065,"6 Document No.")</t>
  </si>
  <si>
    <t>=NF($D1923,"37 Due Date")</t>
  </si>
  <si>
    <t>=NF($D1924,"37 Due Date")</t>
  </si>
  <si>
    <t>=NF($D1925,"37 Due Date")</t>
  </si>
  <si>
    <t>=NF($D1926,"37 Due Date")</t>
  </si>
  <si>
    <t>=NF($D1927,"37 Due Date")</t>
  </si>
  <si>
    <t>=NF($D1928,"37 Due Date")</t>
  </si>
  <si>
    <t>=NF($D1929,"37 Due Date")</t>
  </si>
  <si>
    <t>=NF($D1930,"37 Due Date")</t>
  </si>
  <si>
    <t>=NF($D1931,"37 Due Date")</t>
  </si>
  <si>
    <t>=NF($D1932,"37 Due Date")</t>
  </si>
  <si>
    <t>=NF($D1933,"37 Due Date")</t>
  </si>
  <si>
    <t>=NF($D1934,"37 Due Date")</t>
  </si>
  <si>
    <t>=NF($D1935,"37 Due Date")</t>
  </si>
  <si>
    <t>=NF($D1936,"37 Due Date")</t>
  </si>
  <si>
    <t>=NF($D1937,"37 Due Date")</t>
  </si>
  <si>
    <t>=NF($D1938,"37 Due Date")</t>
  </si>
  <si>
    <t>=NF($D1939,"37 Due Date")</t>
  </si>
  <si>
    <t>=NF($D1940,"37 Due Date")</t>
  </si>
  <si>
    <t>=NF($D1941,"37 Due Date")</t>
  </si>
  <si>
    <t>=NF($D1942,"37 Due Date")</t>
  </si>
  <si>
    <t>=NF($D1943,"37 Due Date")</t>
  </si>
  <si>
    <t>=NF($D1944,"37 Due Date")</t>
  </si>
  <si>
    <t>=NF($D1945,"37 Due Date")</t>
  </si>
  <si>
    <t>=NF($D1946,"37 Due Date")</t>
  </si>
  <si>
    <t>=NF($D1947,"37 Due Date")</t>
  </si>
  <si>
    <t>=NF($D1948,"37 Due Date")</t>
  </si>
  <si>
    <t>=NF($D1949,"37 Due Date")</t>
  </si>
  <si>
    <t>=NF($D1950,"37 Due Date")</t>
  </si>
  <si>
    <t>=NF($D1951,"37 Due Date")</t>
  </si>
  <si>
    <t>=NF($D1952,"37 Due Date")</t>
  </si>
  <si>
    <t>=NF($D1953,"37 Due Date")</t>
  </si>
  <si>
    <t>=NF($D1954,"37 Due Date")</t>
  </si>
  <si>
    <t>=NF($D1955,"37 Due Date")</t>
  </si>
  <si>
    <t>=NF($D1956,"37 Due Date")</t>
  </si>
  <si>
    <t>=NF($D1957,"37 Due Date")</t>
  </si>
  <si>
    <t>=NF($D1958,"37 Due Date")</t>
  </si>
  <si>
    <t>=NF($D1959,"37 Due Date")</t>
  </si>
  <si>
    <t>=NF($D1960,"37 Due Date")</t>
  </si>
  <si>
    <t>=NF($D1961,"37 Due Date")</t>
  </si>
  <si>
    <t>=NF($D1962,"37 Due Date")</t>
  </si>
  <si>
    <t>=NF($D1963,"37 Due Date")</t>
  </si>
  <si>
    <t>=NF($D1964,"37 Due Date")</t>
  </si>
  <si>
    <t>=NF($D1965,"37 Due Date")</t>
  </si>
  <si>
    <t>=NF($D1966,"37 Due Date")</t>
  </si>
  <si>
    <t>=NF($D1967,"37 Due Date")</t>
  </si>
  <si>
    <t>=NF($D1968,"37 Due Date")</t>
  </si>
  <si>
    <t>=NF($D1969,"37 Due Date")</t>
  </si>
  <si>
    <t>=NF($D1970,"37 Due Date")</t>
  </si>
  <si>
    <t>=NF($D1971,"37 Due Date")</t>
  </si>
  <si>
    <t>=NF($D1972,"37 Due Date")</t>
  </si>
  <si>
    <t>=NF($D1973,"37 Due Date")</t>
  </si>
  <si>
    <t>=NF($D1974,"37 Due Date")</t>
  </si>
  <si>
    <t>=NF($D1975,"37 Due Date")</t>
  </si>
  <si>
    <t>=NF($D1976,"37 Due Date")</t>
  </si>
  <si>
    <t>=NF($D1977,"37 Due Date")</t>
  </si>
  <si>
    <t>=NF($D1978,"37 Due Date")</t>
  </si>
  <si>
    <t>=NF($D1979,"37 Due Date")</t>
  </si>
  <si>
    <t>=NF($D1980,"37 Due Date")</t>
  </si>
  <si>
    <t>=NF($D1981,"37 Due Date")</t>
  </si>
  <si>
    <t>=NF($D1982,"37 Due Date")</t>
  </si>
  <si>
    <t>=NF($D1983,"37 Due Date")</t>
  </si>
  <si>
    <t>=NF($D1984,"37 Due Date")</t>
  </si>
  <si>
    <t>=NF($D1985,"37 Due Date")</t>
  </si>
  <si>
    <t>=NF($D1986,"37 Due Date")</t>
  </si>
  <si>
    <t>=NF($D1987,"37 Due Date")</t>
  </si>
  <si>
    <t>=NF($D1988,"37 Due Date")</t>
  </si>
  <si>
    <t>=NF($D1989,"37 Due Date")</t>
  </si>
  <si>
    <t>=NF($D1990,"37 Due Date")</t>
  </si>
  <si>
    <t>=NF($D1991,"37 Due Date")</t>
  </si>
  <si>
    <t>=NF($D1992,"37 Due Date")</t>
  </si>
  <si>
    <t>=NF($D1993,"37 Due Date")</t>
  </si>
  <si>
    <t>=NF($D1994,"37 Due Date")</t>
  </si>
  <si>
    <t>=NF($D1995,"37 Due Date")</t>
  </si>
  <si>
    <t>=NF($D1996,"37 Due Date")</t>
  </si>
  <si>
    <t>=NF($D1997,"37 Due Date")</t>
  </si>
  <si>
    <t>=NF($D1998,"37 Due Date")</t>
  </si>
  <si>
    <t>=NF($D1999,"37 Due Date")</t>
  </si>
  <si>
    <t>=NF($D2000,"37 Due Date")</t>
  </si>
  <si>
    <t>=NF($D2001,"37 Due Date")</t>
  </si>
  <si>
    <t>=NF($D2002,"37 Due Date")</t>
  </si>
  <si>
    <t>=NF($D2003,"37 Due Date")</t>
  </si>
  <si>
    <t>=NF($D2004,"37 Due Date")</t>
  </si>
  <si>
    <t>=NF($D2005,"37 Due Date")</t>
  </si>
  <si>
    <t>=NF($D2006,"37 Due Date")</t>
  </si>
  <si>
    <t>=NF($D2007,"37 Due Date")</t>
  </si>
  <si>
    <t>=NF($D2008,"37 Due Date")</t>
  </si>
  <si>
    <t>=NF($D2009,"37 Due Date")</t>
  </si>
  <si>
    <t>=NF($D2010,"37 Due Date")</t>
  </si>
  <si>
    <t>=NF($D2011,"37 Due Date")</t>
  </si>
  <si>
    <t>=NF($D2012,"37 Due Date")</t>
  </si>
  <si>
    <t>=NF($D2013,"37 Due Date")</t>
  </si>
  <si>
    <t>=NF($D2014,"37 Due Date")</t>
  </si>
  <si>
    <t>=NF($D2015,"37 Due Date")</t>
  </si>
  <si>
    <t>=NF($D2016,"37 Due Date")</t>
  </si>
  <si>
    <t>=NF($D2017,"37 Due Date")</t>
  </si>
  <si>
    <t>=NF($D2018,"37 Due Date")</t>
  </si>
  <si>
    <t>=NF($D2019,"37 Due Date")</t>
  </si>
  <si>
    <t>=NF($D2020,"37 Due Date")</t>
  </si>
  <si>
    <t>=NF($D2021,"37 Due Date")</t>
  </si>
  <si>
    <t>=NF($D2022,"37 Due Date")</t>
  </si>
  <si>
    <t>=NF($D2023,"37 Due Date")</t>
  </si>
  <si>
    <t>=NF($D2024,"37 Due Date")</t>
  </si>
  <si>
    <t>=NF($D2025,"37 Due Date")</t>
  </si>
  <si>
    <t>=NF($D2026,"37 Due Date")</t>
  </si>
  <si>
    <t>=NF($D2027,"37 Due Date")</t>
  </si>
  <si>
    <t>=NF($D2028,"37 Due Date")</t>
  </si>
  <si>
    <t>=NF($D2029,"37 Due Date")</t>
  </si>
  <si>
    <t>=NF($D2030,"37 Due Date")</t>
  </si>
  <si>
    <t>=NF($D2031,"37 Due Date")</t>
  </si>
  <si>
    <t>=NF($D2032,"37 Due Date")</t>
  </si>
  <si>
    <t>=NF($D2033,"37 Due Date")</t>
  </si>
  <si>
    <t>=NF($D2034,"37 Due Date")</t>
  </si>
  <si>
    <t>=NF($D2035,"37 Due Date")</t>
  </si>
  <si>
    <t>=NF($D2036,"37 Due Date")</t>
  </si>
  <si>
    <t>=NF($D2037,"37 Due Date")</t>
  </si>
  <si>
    <t>=NF($D2038,"37 Due Date")</t>
  </si>
  <si>
    <t>=NF($D2039,"37 Due Date")</t>
  </si>
  <si>
    <t>=NF($D2040,"37 Due Date")</t>
  </si>
  <si>
    <t>=NF($D2041,"37 Due Date")</t>
  </si>
  <si>
    <t>=NF($D2042,"37 Due Date")</t>
  </si>
  <si>
    <t>=NF($D2043,"37 Due Date")</t>
  </si>
  <si>
    <t>=NF($D2044,"37 Due Date")</t>
  </si>
  <si>
    <t>=NF($D2045,"37 Due Date")</t>
  </si>
  <si>
    <t>=NF($D2046,"37 Due Date")</t>
  </si>
  <si>
    <t>=NF($D2047,"37 Due Date")</t>
  </si>
  <si>
    <t>=NF($D2048,"37 Due Date")</t>
  </si>
  <si>
    <t>=NF($D2049,"37 Due Date")</t>
  </si>
  <si>
    <t>=NF($D2050,"37 Due Date")</t>
  </si>
  <si>
    <t>=NF($D2051,"37 Due Date")</t>
  </si>
  <si>
    <t>=NF($D2052,"37 Due Date")</t>
  </si>
  <si>
    <t>=NF($D2053,"37 Due Date")</t>
  </si>
  <si>
    <t>=NF($D2054,"37 Due Date")</t>
  </si>
  <si>
    <t>=NF($D2055,"37 Due Date")</t>
  </si>
  <si>
    <t>=NF($D2056,"37 Due Date")</t>
  </si>
  <si>
    <t>=NF($D2057,"37 Due Date")</t>
  </si>
  <si>
    <t>=NF($D2058,"37 Due Date")</t>
  </si>
  <si>
    <t>=NF($D2059,"37 Due Date")</t>
  </si>
  <si>
    <t>=NF($D2060,"37 Due Date")</t>
  </si>
  <si>
    <t>=NF($D2061,"37 Due Date")</t>
  </si>
  <si>
    <t>=NF($D2062,"37 Due Date")</t>
  </si>
  <si>
    <t>=NF($D2063,"37 Due Date")</t>
  </si>
  <si>
    <t>=NF($D2064,"37 Due Date")</t>
  </si>
  <si>
    <t>=NF($D2065,"37 Due Date")</t>
  </si>
  <si>
    <t>=NF($D1923,"16 Remaining Amt. (LCY)")</t>
  </si>
  <si>
    <t>=NF($D1924,"16 Remaining Amt. (LCY)")</t>
  </si>
  <si>
    <t>=NF($D1925,"16 Remaining Amt. (LCY)")</t>
  </si>
  <si>
    <t>=NF($D1926,"16 Remaining Amt. (LCY)")</t>
  </si>
  <si>
    <t>=NF($D1927,"16 Remaining Amt. (LCY)")</t>
  </si>
  <si>
    <t>=NF($D1928,"16 Remaining Amt. (LCY)")</t>
  </si>
  <si>
    <t>=NF($D1929,"16 Remaining Amt. (LCY)")</t>
  </si>
  <si>
    <t>=NF($D1930,"16 Remaining Amt. (LCY)")</t>
  </si>
  <si>
    <t>=NF($D1931,"16 Remaining Amt. (LCY)")</t>
  </si>
  <si>
    <t>=NF($D1932,"16 Remaining Amt. (LCY)")</t>
  </si>
  <si>
    <t>=NF($D1933,"16 Remaining Amt. (LCY)")</t>
  </si>
  <si>
    <t>=NF($D1934,"16 Remaining Amt. (LCY)")</t>
  </si>
  <si>
    <t>=NF($D1935,"16 Remaining Amt. (LCY)")</t>
  </si>
  <si>
    <t>=NF($D1936,"16 Remaining Amt. (LCY)")</t>
  </si>
  <si>
    <t>=NF($D1937,"16 Remaining Amt. (LCY)")</t>
  </si>
  <si>
    <t>=NF($D1938,"16 Remaining Amt. (LCY)")</t>
  </si>
  <si>
    <t>=NF($D1939,"16 Remaining Amt. (LCY)")</t>
  </si>
  <si>
    <t>=NF($D1940,"16 Remaining Amt. (LCY)")</t>
  </si>
  <si>
    <t>=NF($D1941,"16 Remaining Amt. (LCY)")</t>
  </si>
  <si>
    <t>=NF($D1942,"16 Remaining Amt. (LCY)")</t>
  </si>
  <si>
    <t>=NF($D1943,"16 Remaining Amt. (LCY)")</t>
  </si>
  <si>
    <t>=NF($D1944,"16 Remaining Amt. (LCY)")</t>
  </si>
  <si>
    <t>=NF($D1945,"16 Remaining Amt. (LCY)")</t>
  </si>
  <si>
    <t>=NF($D1946,"16 Remaining Amt. (LCY)")</t>
  </si>
  <si>
    <t>=NF($D1947,"16 Remaining Amt. (LCY)")</t>
  </si>
  <si>
    <t>=NF($D1948,"16 Remaining Amt. (LCY)")</t>
  </si>
  <si>
    <t>=NF($D1949,"16 Remaining Amt. (LCY)")</t>
  </si>
  <si>
    <t>=NF($D1950,"16 Remaining Amt. (LCY)")</t>
  </si>
  <si>
    <t>=NF($D1951,"16 Remaining Amt. (LCY)")</t>
  </si>
  <si>
    <t>=NF($D1952,"16 Remaining Amt. (LCY)")</t>
  </si>
  <si>
    <t>=NF($D1953,"16 Remaining Amt. (LCY)")</t>
  </si>
  <si>
    <t>=NF($D1954,"16 Remaining Amt. (LCY)")</t>
  </si>
  <si>
    <t>=NF($D1955,"16 Remaining Amt. (LCY)")</t>
  </si>
  <si>
    <t>=NF($D1956,"16 Remaining Amt. (LCY)")</t>
  </si>
  <si>
    <t>=NF($D1957,"16 Remaining Amt. (LCY)")</t>
  </si>
  <si>
    <t>=NF($D1958,"16 Remaining Amt. (LCY)")</t>
  </si>
  <si>
    <t>=NF($D1959,"16 Remaining Amt. (LCY)")</t>
  </si>
  <si>
    <t>=NF($D1960,"16 Remaining Amt. (LCY)")</t>
  </si>
  <si>
    <t>=NF($D1961,"16 Remaining Amt. (LCY)")</t>
  </si>
  <si>
    <t>=NF($D1962,"16 Remaining Amt. (LCY)")</t>
  </si>
  <si>
    <t>=NF($D1963,"16 Remaining Amt. (LCY)")</t>
  </si>
  <si>
    <t>=NF($D1964,"16 Remaining Amt. (LCY)")</t>
  </si>
  <si>
    <t>=NF($D1965,"16 Remaining Amt. (LCY)")</t>
  </si>
  <si>
    <t>=NF($D1966,"16 Remaining Amt. (LCY)")</t>
  </si>
  <si>
    <t>=NF($D1967,"16 Remaining Amt. (LCY)")</t>
  </si>
  <si>
    <t>=NF($D1968,"16 Remaining Amt. (LCY)")</t>
  </si>
  <si>
    <t>=NF($D1969,"16 Remaining Amt. (LCY)")</t>
  </si>
  <si>
    <t>=NF($D1970,"16 Remaining Amt. (LCY)")</t>
  </si>
  <si>
    <t>=NF($D1971,"16 Remaining Amt. (LCY)")</t>
  </si>
  <si>
    <t>=NF($D1972,"16 Remaining Amt. (LCY)")</t>
  </si>
  <si>
    <t>=NF($D1973,"16 Remaining Amt. (LCY)")</t>
  </si>
  <si>
    <t>=NF($D1974,"16 Remaining Amt. (LCY)")</t>
  </si>
  <si>
    <t>=NF($D1975,"16 Remaining Amt. (LCY)")</t>
  </si>
  <si>
    <t>=NF($D1976,"16 Remaining Amt. (LCY)")</t>
  </si>
  <si>
    <t>=NF($D1977,"16 Remaining Amt. (LCY)")</t>
  </si>
  <si>
    <t>=NF($D1978,"16 Remaining Amt. (LCY)")</t>
  </si>
  <si>
    <t>=NF($D1979,"16 Remaining Amt. (LCY)")</t>
  </si>
  <si>
    <t>=NF($D1980,"16 Remaining Amt. (LCY)")</t>
  </si>
  <si>
    <t>=NF($D1981,"16 Remaining Amt. (LCY)")</t>
  </si>
  <si>
    <t>=NF($D1982,"16 Remaining Amt. (LCY)")</t>
  </si>
  <si>
    <t>=NF($D1983,"16 Remaining Amt. (LCY)")</t>
  </si>
  <si>
    <t>=NF($D1984,"16 Remaining Amt. (LCY)")</t>
  </si>
  <si>
    <t>=NF($D1985,"16 Remaining Amt. (LCY)")</t>
  </si>
  <si>
    <t>=NF($D1986,"16 Remaining Amt. (LCY)")</t>
  </si>
  <si>
    <t>=NF($D1987,"16 Remaining Amt. (LCY)")</t>
  </si>
  <si>
    <t>=NF($D1988,"16 Remaining Amt. (LCY)")</t>
  </si>
  <si>
    <t>=NF($D1989,"16 Remaining Amt. (LCY)")</t>
  </si>
  <si>
    <t>=NF($D1990,"16 Remaining Amt. (LCY)")</t>
  </si>
  <si>
    <t>=NF($D1991,"16 Remaining Amt. (LCY)")</t>
  </si>
  <si>
    <t>=NF($D1992,"16 Remaining Amt. (LCY)")</t>
  </si>
  <si>
    <t>=NF($D1993,"16 Remaining Amt. (LCY)")</t>
  </si>
  <si>
    <t>=NF($D1994,"16 Remaining Amt. (LCY)")</t>
  </si>
  <si>
    <t>=NF($D1995,"16 Remaining Amt. (LCY)")</t>
  </si>
  <si>
    <t>=NF($D1996,"16 Remaining Amt. (LCY)")</t>
  </si>
  <si>
    <t>=NF($D1997,"16 Remaining Amt. (LCY)")</t>
  </si>
  <si>
    <t>=NF($D1998,"16 Remaining Amt. (LCY)")</t>
  </si>
  <si>
    <t>=NF($D1999,"16 Remaining Amt. (LCY)")</t>
  </si>
  <si>
    <t>=NF($D2000,"16 Remaining Amt. (LCY)")</t>
  </si>
  <si>
    <t>=NF($D2001,"16 Remaining Amt. (LCY)")</t>
  </si>
  <si>
    <t>=NF($D2002,"16 Remaining Amt. (LCY)")</t>
  </si>
  <si>
    <t>=NF($D2003,"16 Remaining Amt. (LCY)")</t>
  </si>
  <si>
    <t>=NF($D2004,"16 Remaining Amt. (LCY)")</t>
  </si>
  <si>
    <t>=NF($D2005,"16 Remaining Amt. (LCY)")</t>
  </si>
  <si>
    <t>=NF($D2006,"16 Remaining Amt. (LCY)")</t>
  </si>
  <si>
    <t>=NF($D2007,"16 Remaining Amt. (LCY)")</t>
  </si>
  <si>
    <t>=NF($D2008,"16 Remaining Amt. (LCY)")</t>
  </si>
  <si>
    <t>=NF($D2009,"16 Remaining Amt. (LCY)")</t>
  </si>
  <si>
    <t>=NF($D2010,"16 Remaining Amt. (LCY)")</t>
  </si>
  <si>
    <t>=NF($D2011,"16 Remaining Amt. (LCY)")</t>
  </si>
  <si>
    <t>=NF($D2012,"16 Remaining Amt. (LCY)")</t>
  </si>
  <si>
    <t>=NF($D2013,"16 Remaining Amt. (LCY)")</t>
  </si>
  <si>
    <t>=NF($D2014,"16 Remaining Amt. (LCY)")</t>
  </si>
  <si>
    <t>=NF($D2015,"16 Remaining Amt. (LCY)")</t>
  </si>
  <si>
    <t>=NF($D2016,"16 Remaining Amt. (LCY)")</t>
  </si>
  <si>
    <t>=NF($D2017,"16 Remaining Amt. (LCY)")</t>
  </si>
  <si>
    <t>=NF($D2018,"16 Remaining Amt. (LCY)")</t>
  </si>
  <si>
    <t>=NF($D2019,"16 Remaining Amt. (LCY)")</t>
  </si>
  <si>
    <t>=NF($D2020,"16 Remaining Amt. (LCY)")</t>
  </si>
  <si>
    <t>=NF($D2021,"16 Remaining Amt. (LCY)")</t>
  </si>
  <si>
    <t>=NF($D2022,"16 Remaining Amt. (LCY)")</t>
  </si>
  <si>
    <t>=NF($D2023,"16 Remaining Amt. (LCY)")</t>
  </si>
  <si>
    <t>=NF($D2024,"16 Remaining Amt. (LCY)")</t>
  </si>
  <si>
    <t>=NF($D2025,"16 Remaining Amt. (LCY)")</t>
  </si>
  <si>
    <t>=NF($D2026,"16 Remaining Amt. (LCY)")</t>
  </si>
  <si>
    <t>=NF($D2027,"16 Remaining Amt. (LCY)")</t>
  </si>
  <si>
    <t>=NF($D2028,"16 Remaining Amt. (LCY)")</t>
  </si>
  <si>
    <t>=NF($D2029,"16 Remaining Amt. (LCY)")</t>
  </si>
  <si>
    <t>=NF($D2030,"16 Remaining Amt. (LCY)")</t>
  </si>
  <si>
    <t>=NF($D2031,"16 Remaining Amt. (LCY)")</t>
  </si>
  <si>
    <t>=NF($D2032,"16 Remaining Amt. (LCY)")</t>
  </si>
  <si>
    <t>=NF($D2033,"16 Remaining Amt. (LCY)")</t>
  </si>
  <si>
    <t>=NF($D2034,"16 Remaining Amt. (LCY)")</t>
  </si>
  <si>
    <t>=NF($D2035,"16 Remaining Amt. (LCY)")</t>
  </si>
  <si>
    <t>=NF($D2036,"16 Remaining Amt. (LCY)")</t>
  </si>
  <si>
    <t>=NF($D2037,"16 Remaining Amt. (LCY)")</t>
  </si>
  <si>
    <t>=NF($D2038,"16 Remaining Amt. (LCY)")</t>
  </si>
  <si>
    <t>=NF($D2039,"16 Remaining Amt. (LCY)")</t>
  </si>
  <si>
    <t>=NF($D2040,"16 Remaining Amt. (LCY)")</t>
  </si>
  <si>
    <t>=NF($D2041,"16 Remaining Amt. (LCY)")</t>
  </si>
  <si>
    <t>=NF($D2042,"16 Remaining Amt. (LCY)")</t>
  </si>
  <si>
    <t>=NF($D2043,"16 Remaining Amt. (LCY)")</t>
  </si>
  <si>
    <t>=NF($D2044,"16 Remaining Amt. (LCY)")</t>
  </si>
  <si>
    <t>=NF($D2045,"16 Remaining Amt. (LCY)")</t>
  </si>
  <si>
    <t>=NF($D2046,"16 Remaining Amt. (LCY)")</t>
  </si>
  <si>
    <t>=NF($D2047,"16 Remaining Amt. (LCY)")</t>
  </si>
  <si>
    <t>=NF($D2048,"16 Remaining Amt. (LCY)")</t>
  </si>
  <si>
    <t>=NF($D2049,"16 Remaining Amt. (LCY)")</t>
  </si>
  <si>
    <t>=NF($D2050,"16 Remaining Amt. (LCY)")</t>
  </si>
  <si>
    <t>=NF($D2051,"16 Remaining Amt. (LCY)")</t>
  </si>
  <si>
    <t>=NF($D2052,"16 Remaining Amt. (LCY)")</t>
  </si>
  <si>
    <t>=NF($D2053,"16 Remaining Amt. (LCY)")</t>
  </si>
  <si>
    <t>=NF($D2054,"16 Remaining Amt. (LCY)")</t>
  </si>
  <si>
    <t>=NF($D2055,"16 Remaining Amt. (LCY)")</t>
  </si>
  <si>
    <t>=NF($D2056,"16 Remaining Amt. (LCY)")</t>
  </si>
  <si>
    <t>=NF($D2057,"16 Remaining Amt. (LCY)")</t>
  </si>
  <si>
    <t>=NF($D2058,"16 Remaining Amt. (LCY)")</t>
  </si>
  <si>
    <t>=NF($D2059,"16 Remaining Amt. (LCY)")</t>
  </si>
  <si>
    <t>=NF($D2060,"16 Remaining Amt. (LCY)")</t>
  </si>
  <si>
    <t>=NF($D2061,"16 Remaining Amt. (LCY)")</t>
  </si>
  <si>
    <t>=NF($D2062,"16 Remaining Amt. (LCY)")</t>
  </si>
  <si>
    <t>=NF($D2063,"16 Remaining Amt. (LCY)")</t>
  </si>
  <si>
    <t>=NF($D2064,"16 Remaining Amt. (LCY)")</t>
  </si>
  <si>
    <t>=NF($D2065,"16 Remaining Amt. (LCY)")</t>
  </si>
  <si>
    <t>=NF($D1902,"5 Document Type")</t>
  </si>
  <si>
    <t>=NF($D1903,"5 Document Type")</t>
  </si>
  <si>
    <t>=NF($D1904,"5 Document Type")</t>
  </si>
  <si>
    <t>=NF($D1905,"5 Document Type")</t>
  </si>
  <si>
    <t>=NF($D1906,"5 Document Type")</t>
  </si>
  <si>
    <t>=NF($D1907,"5 Document Type")</t>
  </si>
  <si>
    <t>=NF($D1908,"5 Document Type")</t>
  </si>
  <si>
    <t>=NF($D1909,"5 Document Type")</t>
  </si>
  <si>
    <t>=NF($D1910,"5 Document Type")</t>
  </si>
  <si>
    <t>=NF($D1911,"5 Document Type")</t>
  </si>
  <si>
    <t>=NF($D1912,"5 Document Type")</t>
  </si>
  <si>
    <t>=NF($D1913,"5 Document Type")</t>
  </si>
  <si>
    <t>=NF($D1914,"5 Document Type")</t>
  </si>
  <si>
    <t>=NF($D1915,"5 Document Type")</t>
  </si>
  <si>
    <t>=NF($D1916,"5 Document Type")</t>
  </si>
  <si>
    <t>=NF($D1902,"6 Document No.")</t>
  </si>
  <si>
    <t>=NF($D1903,"6 Document No.")</t>
  </si>
  <si>
    <t>=NF($D1904,"6 Document No.")</t>
  </si>
  <si>
    <t>=NF($D1905,"6 Document No.")</t>
  </si>
  <si>
    <t>=NF($D1906,"6 Document No.")</t>
  </si>
  <si>
    <t>=NF($D1907,"6 Document No.")</t>
  </si>
  <si>
    <t>=NF($D1908,"6 Document No.")</t>
  </si>
  <si>
    <t>=NF($D1909,"6 Document No.")</t>
  </si>
  <si>
    <t>=NF($D1910,"6 Document No.")</t>
  </si>
  <si>
    <t>=NF($D1911,"6 Document No.")</t>
  </si>
  <si>
    <t>=NF($D1912,"6 Document No.")</t>
  </si>
  <si>
    <t>=NF($D1913,"6 Document No.")</t>
  </si>
  <si>
    <t>=NF($D1914,"6 Document No.")</t>
  </si>
  <si>
    <t>=NF($D1915,"6 Document No.")</t>
  </si>
  <si>
    <t>=NF($D1916,"6 Document No.")</t>
  </si>
  <si>
    <t>=NF($D1902,"37 Due Date")</t>
  </si>
  <si>
    <t>=NF($D1903,"37 Due Date")</t>
  </si>
  <si>
    <t>=NF($D1904,"37 Due Date")</t>
  </si>
  <si>
    <t>=NF($D1905,"37 Due Date")</t>
  </si>
  <si>
    <t>=NF($D1906,"37 Due Date")</t>
  </si>
  <si>
    <t>=NF($D1907,"37 Due Date")</t>
  </si>
  <si>
    <t>=NF($D1908,"37 Due Date")</t>
  </si>
  <si>
    <t>=NF($D1909,"37 Due Date")</t>
  </si>
  <si>
    <t>=NF($D1910,"37 Due Date")</t>
  </si>
  <si>
    <t>=NF($D1911,"37 Due Date")</t>
  </si>
  <si>
    <t>=NF($D1912,"37 Due Date")</t>
  </si>
  <si>
    <t>=NF($D1913,"37 Due Date")</t>
  </si>
  <si>
    <t>=NF($D1914,"37 Due Date")</t>
  </si>
  <si>
    <t>=NF($D1915,"37 Due Date")</t>
  </si>
  <si>
    <t>=NF($D1916,"37 Due Date")</t>
  </si>
  <si>
    <t>=NF($D1902,"16 Remaining Amt. (LCY)")</t>
  </si>
  <si>
    <t>=NF($D1903,"16 Remaining Amt. (LCY)")</t>
  </si>
  <si>
    <t>=NF($D1904,"16 Remaining Amt. (LCY)")</t>
  </si>
  <si>
    <t>=NF($D1905,"16 Remaining Amt. (LCY)")</t>
  </si>
  <si>
    <t>=NF($D1906,"16 Remaining Amt. (LCY)")</t>
  </si>
  <si>
    <t>=NF($D1907,"16 Remaining Amt. (LCY)")</t>
  </si>
  <si>
    <t>=NF($D1908,"16 Remaining Amt. (LCY)")</t>
  </si>
  <si>
    <t>=NF($D1909,"16 Remaining Amt. (LCY)")</t>
  </si>
  <si>
    <t>=NF($D1910,"16 Remaining Amt. (LCY)")</t>
  </si>
  <si>
    <t>=NF($D1911,"16 Remaining Amt. (LCY)")</t>
  </si>
  <si>
    <t>=NF($D1912,"16 Remaining Amt. (LCY)")</t>
  </si>
  <si>
    <t>=NF($D1913,"16 Remaining Amt. (LCY)")</t>
  </si>
  <si>
    <t>=NF($D1914,"16 Remaining Amt. (LCY)")</t>
  </si>
  <si>
    <t>=NF($D1915,"16 Remaining Amt. (LCY)")</t>
  </si>
  <si>
    <t>=NF($D1916,"16 Remaining Amt. (LCY)")</t>
  </si>
  <si>
    <t>=NF($D1823,"5 Document Type")</t>
  </si>
  <si>
    <t>=NF($D1824,"5 Document Type")</t>
  </si>
  <si>
    <t>=NF($D1825,"5 Document Type")</t>
  </si>
  <si>
    <t>=NF($D1826,"5 Document Type")</t>
  </si>
  <si>
    <t>=NF($D1827,"5 Document Type")</t>
  </si>
  <si>
    <t>=NF($D1828,"5 Document Type")</t>
  </si>
  <si>
    <t>=NF($D1829,"5 Document Type")</t>
  </si>
  <si>
    <t>=NF($D1830,"5 Document Type")</t>
  </si>
  <si>
    <t>=NF($D1831,"5 Document Type")</t>
  </si>
  <si>
    <t>=NF($D1832,"5 Document Type")</t>
  </si>
  <si>
    <t>=NF($D1833,"5 Document Type")</t>
  </si>
  <si>
    <t>=NF($D1834,"5 Document Type")</t>
  </si>
  <si>
    <t>=NF($D1835,"5 Document Type")</t>
  </si>
  <si>
    <t>=NF($D1836,"5 Document Type")</t>
  </si>
  <si>
    <t>=NF($D1837,"5 Document Type")</t>
  </si>
  <si>
    <t>=NF($D1838,"5 Document Type")</t>
  </si>
  <si>
    <t>=NF($D1839,"5 Document Type")</t>
  </si>
  <si>
    <t>=NF($D1840,"5 Document Type")</t>
  </si>
  <si>
    <t>=NF($D1841,"5 Document Type")</t>
  </si>
  <si>
    <t>=NF($D1842,"5 Document Type")</t>
  </si>
  <si>
    <t>=NF($D1843,"5 Document Type")</t>
  </si>
  <si>
    <t>=NF($D1844,"5 Document Type")</t>
  </si>
  <si>
    <t>=NF($D1845,"5 Document Type")</t>
  </si>
  <si>
    <t>=NF($D1846,"5 Document Type")</t>
  </si>
  <si>
    <t>=NF($D1847,"5 Document Type")</t>
  </si>
  <si>
    <t>=NF($D1848,"5 Document Type")</t>
  </si>
  <si>
    <t>=NF($D1849,"5 Document Type")</t>
  </si>
  <si>
    <t>=NF($D1850,"5 Document Type")</t>
  </si>
  <si>
    <t>=NF($D1851,"5 Document Type")</t>
  </si>
  <si>
    <t>=NF($D1852,"5 Document Type")</t>
  </si>
  <si>
    <t>=NF($D1853,"5 Document Type")</t>
  </si>
  <si>
    <t>=NF($D1854,"5 Document Type")</t>
  </si>
  <si>
    <t>=NF($D1855,"5 Document Type")</t>
  </si>
  <si>
    <t>=NF($D1856,"5 Document Type")</t>
  </si>
  <si>
    <t>=NF($D1857,"5 Document Type")</t>
  </si>
  <si>
    <t>=NF($D1858,"5 Document Type")</t>
  </si>
  <si>
    <t>=NF($D1859,"5 Document Type")</t>
  </si>
  <si>
    <t>=NF($D1860,"5 Document Type")</t>
  </si>
  <si>
    <t>=NF($D1861,"5 Document Type")</t>
  </si>
  <si>
    <t>=NF($D1862,"5 Document Type")</t>
  </si>
  <si>
    <t>=NF($D1863,"5 Document Type")</t>
  </si>
  <si>
    <t>=NF($D1864,"5 Document Type")</t>
  </si>
  <si>
    <t>=NF($D1865,"5 Document Type")</t>
  </si>
  <si>
    <t>=NF($D1866,"5 Document Type")</t>
  </si>
  <si>
    <t>=NF($D1867,"5 Document Type")</t>
  </si>
  <si>
    <t>=NF($D1868,"5 Document Type")</t>
  </si>
  <si>
    <t>=NF($D1869,"5 Document Type")</t>
  </si>
  <si>
    <t>=NF($D1870,"5 Document Type")</t>
  </si>
  <si>
    <t>=NF($D1871,"5 Document Type")</t>
  </si>
  <si>
    <t>=NF($D1872,"5 Document Type")</t>
  </si>
  <si>
    <t>=NF($D1873,"5 Document Type")</t>
  </si>
  <si>
    <t>=NF($D1874,"5 Document Type")</t>
  </si>
  <si>
    <t>=NF($D1875,"5 Document Type")</t>
  </si>
  <si>
    <t>=NF($D1876,"5 Document Type")</t>
  </si>
  <si>
    <t>=NF($D1877,"5 Document Type")</t>
  </si>
  <si>
    <t>=NF($D1878,"5 Document Type")</t>
  </si>
  <si>
    <t>=NF($D1879,"5 Document Type")</t>
  </si>
  <si>
    <t>=NF($D1880,"5 Document Type")</t>
  </si>
  <si>
    <t>=NF($D1881,"5 Document Type")</t>
  </si>
  <si>
    <t>=NF($D1882,"5 Document Type")</t>
  </si>
  <si>
    <t>=NF($D1883,"5 Document Type")</t>
  </si>
  <si>
    <t>=NF($D1884,"5 Document Type")</t>
  </si>
  <si>
    <t>=NF($D1885,"5 Document Type")</t>
  </si>
  <si>
    <t>=NF($D1886,"5 Document Type")</t>
  </si>
  <si>
    <t>=NF($D1887,"5 Document Type")</t>
  </si>
  <si>
    <t>=NF($D1888,"5 Document Type")</t>
  </si>
  <si>
    <t>=NF($D1889,"5 Document Type")</t>
  </si>
  <si>
    <t>=NF($D1890,"5 Document Type")</t>
  </si>
  <si>
    <t>=NF($D1891,"5 Document Type")</t>
  </si>
  <si>
    <t>=NF($D1892,"5 Document Type")</t>
  </si>
  <si>
    <t>=NF($D1893,"5 Document Type")</t>
  </si>
  <si>
    <t>=NF($D1894,"5 Document Type")</t>
  </si>
  <si>
    <t>=NF($D1895,"5 Document Type")</t>
  </si>
  <si>
    <t>=NF($D1823,"6 Document No.")</t>
  </si>
  <si>
    <t>=NF($D1824,"6 Document No.")</t>
  </si>
  <si>
    <t>=NF($D1825,"6 Document No.")</t>
  </si>
  <si>
    <t>=NF($D1826,"6 Document No.")</t>
  </si>
  <si>
    <t>=NF($D1827,"6 Document No.")</t>
  </si>
  <si>
    <t>=NF($D1828,"6 Document No.")</t>
  </si>
  <si>
    <t>=NF($D1829,"6 Document No.")</t>
  </si>
  <si>
    <t>=NF($D1830,"6 Document No.")</t>
  </si>
  <si>
    <t>=NF($D1831,"6 Document No.")</t>
  </si>
  <si>
    <t>=NF($D1832,"6 Document No.")</t>
  </si>
  <si>
    <t>=NF($D1833,"6 Document No.")</t>
  </si>
  <si>
    <t>=NF($D1834,"6 Document No.")</t>
  </si>
  <si>
    <t>=NF($D1835,"6 Document No.")</t>
  </si>
  <si>
    <t>=NF($D1836,"6 Document No.")</t>
  </si>
  <si>
    <t>=NF($D1837,"6 Document No.")</t>
  </si>
  <si>
    <t>=NF($D1838,"6 Document No.")</t>
  </si>
  <si>
    <t>=NF($D1839,"6 Document No.")</t>
  </si>
  <si>
    <t>=NF($D1840,"6 Document No.")</t>
  </si>
  <si>
    <t>=NF($D1841,"6 Document No.")</t>
  </si>
  <si>
    <t>=NF($D1842,"6 Document No.")</t>
  </si>
  <si>
    <t>=NF($D1843,"6 Document No.")</t>
  </si>
  <si>
    <t>=NF($D1844,"6 Document No.")</t>
  </si>
  <si>
    <t>=NF($D1845,"6 Document No.")</t>
  </si>
  <si>
    <t>=NF($D1846,"6 Document No.")</t>
  </si>
  <si>
    <t>=NF($D1847,"6 Document No.")</t>
  </si>
  <si>
    <t>=NF($D1848,"6 Document No.")</t>
  </si>
  <si>
    <t>=NF($D1849,"6 Document No.")</t>
  </si>
  <si>
    <t>=NF($D1850,"6 Document No.")</t>
  </si>
  <si>
    <t>=NF($D1851,"6 Document No.")</t>
  </si>
  <si>
    <t>=NF($D1852,"6 Document No.")</t>
  </si>
  <si>
    <t>=NF($D1853,"6 Document No.")</t>
  </si>
  <si>
    <t>=NF($D1854,"6 Document No.")</t>
  </si>
  <si>
    <t>=NF($D1855,"6 Document No.")</t>
  </si>
  <si>
    <t>=NF($D1856,"6 Document No.")</t>
  </si>
  <si>
    <t>=NF($D1857,"6 Document No.")</t>
  </si>
  <si>
    <t>=NF($D1858,"6 Document No.")</t>
  </si>
  <si>
    <t>=NF($D1859,"6 Document No.")</t>
  </si>
  <si>
    <t>=NF($D1860,"6 Document No.")</t>
  </si>
  <si>
    <t>=NF($D1861,"6 Document No.")</t>
  </si>
  <si>
    <t>=NF($D1862,"6 Document No.")</t>
  </si>
  <si>
    <t>=NF($D1863,"6 Document No.")</t>
  </si>
  <si>
    <t>=NF($D1864,"6 Document No.")</t>
  </si>
  <si>
    <t>=NF($D1865,"6 Document No.")</t>
  </si>
  <si>
    <t>=NF($D1866,"6 Document No.")</t>
  </si>
  <si>
    <t>=NF($D1867,"6 Document No.")</t>
  </si>
  <si>
    <t>=NF($D1868,"6 Document No.")</t>
  </si>
  <si>
    <t>=NF($D1869,"6 Document No.")</t>
  </si>
  <si>
    <t>=NF($D1870,"6 Document No.")</t>
  </si>
  <si>
    <t>=NF($D1871,"6 Document No.")</t>
  </si>
  <si>
    <t>=NF($D1872,"6 Document No.")</t>
  </si>
  <si>
    <t>=NF($D1873,"6 Document No.")</t>
  </si>
  <si>
    <t>=NF($D1874,"6 Document No.")</t>
  </si>
  <si>
    <t>=NF($D1875,"6 Document No.")</t>
  </si>
  <si>
    <t>=NF($D1876,"6 Document No.")</t>
  </si>
  <si>
    <t>=NF($D1877,"6 Document No.")</t>
  </si>
  <si>
    <t>=NF($D1878,"6 Document No.")</t>
  </si>
  <si>
    <t>=NF($D1879,"6 Document No.")</t>
  </si>
  <si>
    <t>=NF($D1880,"6 Document No.")</t>
  </si>
  <si>
    <t>=NF($D1881,"6 Document No.")</t>
  </si>
  <si>
    <t>=NF($D1882,"6 Document No.")</t>
  </si>
  <si>
    <t>=NF($D1883,"6 Document No.")</t>
  </si>
  <si>
    <t>=NF($D1884,"6 Document No.")</t>
  </si>
  <si>
    <t>=NF($D1885,"6 Document No.")</t>
  </si>
  <si>
    <t>=NF($D1886,"6 Document No.")</t>
  </si>
  <si>
    <t>=NF($D1887,"6 Document No.")</t>
  </si>
  <si>
    <t>=NF($D1888,"6 Document No.")</t>
  </si>
  <si>
    <t>=NF($D1889,"6 Document No.")</t>
  </si>
  <si>
    <t>=NF($D1890,"6 Document No.")</t>
  </si>
  <si>
    <t>=NF($D1891,"6 Document No.")</t>
  </si>
  <si>
    <t>=NF($D1892,"6 Document No.")</t>
  </si>
  <si>
    <t>=NF($D1893,"6 Document No.")</t>
  </si>
  <si>
    <t>=NF($D1894,"6 Document No.")</t>
  </si>
  <si>
    <t>=NF($D1895,"6 Document No.")</t>
  </si>
  <si>
    <t>=NF($D1823,"37 Due Date")</t>
  </si>
  <si>
    <t>=NF($D1824,"37 Due Date")</t>
  </si>
  <si>
    <t>=NF($D1825,"37 Due Date")</t>
  </si>
  <si>
    <t>=NF($D1826,"37 Due Date")</t>
  </si>
  <si>
    <t>=NF($D1827,"37 Due Date")</t>
  </si>
  <si>
    <t>=NF($D1828,"37 Due Date")</t>
  </si>
  <si>
    <t>=NF($D1829,"37 Due Date")</t>
  </si>
  <si>
    <t>=NF($D1830,"37 Due Date")</t>
  </si>
  <si>
    <t>=NF($D1831,"37 Due Date")</t>
  </si>
  <si>
    <t>=NF($D1832,"37 Due Date")</t>
  </si>
  <si>
    <t>=NF($D1833,"37 Due Date")</t>
  </si>
  <si>
    <t>=NF($D1834,"37 Due Date")</t>
  </si>
  <si>
    <t>=NF($D1835,"37 Due Date")</t>
  </si>
  <si>
    <t>=NF($D1836,"37 Due Date")</t>
  </si>
  <si>
    <t>=NF($D1837,"37 Due Date")</t>
  </si>
  <si>
    <t>=NF($D1838,"37 Due Date")</t>
  </si>
  <si>
    <t>=NF($D1839,"37 Due Date")</t>
  </si>
  <si>
    <t>=NF($D1840,"37 Due Date")</t>
  </si>
  <si>
    <t>=NF($D1841,"37 Due Date")</t>
  </si>
  <si>
    <t>=NF($D1842,"37 Due Date")</t>
  </si>
  <si>
    <t>=NF($D1843,"37 Due Date")</t>
  </si>
  <si>
    <t>=NF($D1844,"37 Due Date")</t>
  </si>
  <si>
    <t>=NF($D1845,"37 Due Date")</t>
  </si>
  <si>
    <t>=NF($D1846,"37 Due Date")</t>
  </si>
  <si>
    <t>=NF($D1847,"37 Due Date")</t>
  </si>
  <si>
    <t>=NF($D1848,"37 Due Date")</t>
  </si>
  <si>
    <t>=NF($D1849,"37 Due Date")</t>
  </si>
  <si>
    <t>=NF($D1850,"37 Due Date")</t>
  </si>
  <si>
    <t>=NF($D1851,"37 Due Date")</t>
  </si>
  <si>
    <t>=NF($D1852,"37 Due Date")</t>
  </si>
  <si>
    <t>=NF($D1853,"37 Due Date")</t>
  </si>
  <si>
    <t>=NF($D1854,"37 Due Date")</t>
  </si>
  <si>
    <t>=NF($D1855,"37 Due Date")</t>
  </si>
  <si>
    <t>=NF($D1856,"37 Due Date")</t>
  </si>
  <si>
    <t>=NF($D1857,"37 Due Date")</t>
  </si>
  <si>
    <t>=NF($D1858,"37 Due Date")</t>
  </si>
  <si>
    <t>=NF($D1859,"37 Due Date")</t>
  </si>
  <si>
    <t>=NF($D1860,"37 Due Date")</t>
  </si>
  <si>
    <t>=NF($D1861,"37 Due Date")</t>
  </si>
  <si>
    <t>=NF($D1862,"37 Due Date")</t>
  </si>
  <si>
    <t>=NF($D1863,"37 Due Date")</t>
  </si>
  <si>
    <t>=NF($D1864,"37 Due Date")</t>
  </si>
  <si>
    <t>=NF($D1865,"37 Due Date")</t>
  </si>
  <si>
    <t>=NF($D1866,"37 Due Date")</t>
  </si>
  <si>
    <t>=NF($D1867,"37 Due Date")</t>
  </si>
  <si>
    <t>=NF($D1868,"37 Due Date")</t>
  </si>
  <si>
    <t>=NF($D1869,"37 Due Date")</t>
  </si>
  <si>
    <t>=NF($D1870,"37 Due Date")</t>
  </si>
  <si>
    <t>=NF($D1871,"37 Due Date")</t>
  </si>
  <si>
    <t>=NF($D1872,"37 Due Date")</t>
  </si>
  <si>
    <t>=NF($D1873,"37 Due Date")</t>
  </si>
  <si>
    <t>=NF($D1874,"37 Due Date")</t>
  </si>
  <si>
    <t>=NF($D1875,"37 Due Date")</t>
  </si>
  <si>
    <t>=NF($D1876,"37 Due Date")</t>
  </si>
  <si>
    <t>=NF($D1877,"37 Due Date")</t>
  </si>
  <si>
    <t>=NF($D1878,"37 Due Date")</t>
  </si>
  <si>
    <t>=NF($D1879,"37 Due Date")</t>
  </si>
  <si>
    <t>=NF($D1880,"37 Due Date")</t>
  </si>
  <si>
    <t>=NF($D1881,"37 Due Date")</t>
  </si>
  <si>
    <t>=NF($D1882,"37 Due Date")</t>
  </si>
  <si>
    <t>=NF($D1883,"37 Due Date")</t>
  </si>
  <si>
    <t>=NF($D1884,"37 Due Date")</t>
  </si>
  <si>
    <t>=NF($D1885,"37 Due Date")</t>
  </si>
  <si>
    <t>=NF($D1886,"37 Due Date")</t>
  </si>
  <si>
    <t>=NF($D1887,"37 Due Date")</t>
  </si>
  <si>
    <t>=NF($D1888,"37 Due Date")</t>
  </si>
  <si>
    <t>=NF($D1889,"37 Due Date")</t>
  </si>
  <si>
    <t>=NF($D1890,"37 Due Date")</t>
  </si>
  <si>
    <t>=NF($D1891,"37 Due Date")</t>
  </si>
  <si>
    <t>=NF($D1892,"37 Due Date")</t>
  </si>
  <si>
    <t>=NF($D1893,"37 Due Date")</t>
  </si>
  <si>
    <t>=NF($D1894,"37 Due Date")</t>
  </si>
  <si>
    <t>=NF($D1895,"37 Due Date")</t>
  </si>
  <si>
    <t>=NF($D1823,"16 Remaining Amt. (LCY)")</t>
  </si>
  <si>
    <t>=NF($D1824,"16 Remaining Amt. (LCY)")</t>
  </si>
  <si>
    <t>=NF($D1825,"16 Remaining Amt. (LCY)")</t>
  </si>
  <si>
    <t>=NF($D1826,"16 Remaining Amt. (LCY)")</t>
  </si>
  <si>
    <t>=NF($D1827,"16 Remaining Amt. (LCY)")</t>
  </si>
  <si>
    <t>=NF($D1828,"16 Remaining Amt. (LCY)")</t>
  </si>
  <si>
    <t>=NF($D1829,"16 Remaining Amt. (LCY)")</t>
  </si>
  <si>
    <t>=NF($D1830,"16 Remaining Amt. (LCY)")</t>
  </si>
  <si>
    <t>=NF($D1831,"16 Remaining Amt. (LCY)")</t>
  </si>
  <si>
    <t>=NF($D1832,"16 Remaining Amt. (LCY)")</t>
  </si>
  <si>
    <t>=NF($D1833,"16 Remaining Amt. (LCY)")</t>
  </si>
  <si>
    <t>=NF($D1834,"16 Remaining Amt. (LCY)")</t>
  </si>
  <si>
    <t>=NF($D1835,"16 Remaining Amt. (LCY)")</t>
  </si>
  <si>
    <t>=NF($D1836,"16 Remaining Amt. (LCY)")</t>
  </si>
  <si>
    <t>=NF($D1837,"16 Remaining Amt. (LCY)")</t>
  </si>
  <si>
    <t>=NF($D1838,"16 Remaining Amt. (LCY)")</t>
  </si>
  <si>
    <t>=NF($D1839,"16 Remaining Amt. (LCY)")</t>
  </si>
  <si>
    <t>=NF($D1840,"16 Remaining Amt. (LCY)")</t>
  </si>
  <si>
    <t>=NF($D1841,"16 Remaining Amt. (LCY)")</t>
  </si>
  <si>
    <t>=NF($D1842,"16 Remaining Amt. (LCY)")</t>
  </si>
  <si>
    <t>=NF($D1843,"16 Remaining Amt. (LCY)")</t>
  </si>
  <si>
    <t>=NF($D1844,"16 Remaining Amt. (LCY)")</t>
  </si>
  <si>
    <t>=NF($D1845,"16 Remaining Amt. (LCY)")</t>
  </si>
  <si>
    <t>=NF($D1846,"16 Remaining Amt. (LCY)")</t>
  </si>
  <si>
    <t>=NF($D1847,"16 Remaining Amt. (LCY)")</t>
  </si>
  <si>
    <t>=NF($D1848,"16 Remaining Amt. (LCY)")</t>
  </si>
  <si>
    <t>=NF($D1849,"16 Remaining Amt. (LCY)")</t>
  </si>
  <si>
    <t>=NF($D1850,"16 Remaining Amt. (LCY)")</t>
  </si>
  <si>
    <t>=NF($D1851,"16 Remaining Amt. (LCY)")</t>
  </si>
  <si>
    <t>=NF($D1852,"16 Remaining Amt. (LCY)")</t>
  </si>
  <si>
    <t>=NF($D1853,"16 Remaining Amt. (LCY)")</t>
  </si>
  <si>
    <t>=NF($D1854,"16 Remaining Amt. (LCY)")</t>
  </si>
  <si>
    <t>=NF($D1855,"16 Remaining Amt. (LCY)")</t>
  </si>
  <si>
    <t>=NF($D1856,"16 Remaining Amt. (LCY)")</t>
  </si>
  <si>
    <t>=NF($D1857,"16 Remaining Amt. (LCY)")</t>
  </si>
  <si>
    <t>=NF($D1858,"16 Remaining Amt. (LCY)")</t>
  </si>
  <si>
    <t>=NF($D1859,"16 Remaining Amt. (LCY)")</t>
  </si>
  <si>
    <t>=NF($D1860,"16 Remaining Amt. (LCY)")</t>
  </si>
  <si>
    <t>=NF($D1861,"16 Remaining Amt. (LCY)")</t>
  </si>
  <si>
    <t>=NF($D1862,"16 Remaining Amt. (LCY)")</t>
  </si>
  <si>
    <t>=NF($D1863,"16 Remaining Amt. (LCY)")</t>
  </si>
  <si>
    <t>=NF($D1864,"16 Remaining Amt. (LCY)")</t>
  </si>
  <si>
    <t>=NF($D1865,"16 Remaining Amt. (LCY)")</t>
  </si>
  <si>
    <t>=NF($D1866,"16 Remaining Amt. (LCY)")</t>
  </si>
  <si>
    <t>=NF($D1867,"16 Remaining Amt. (LCY)")</t>
  </si>
  <si>
    <t>=NF($D1868,"16 Remaining Amt. (LCY)")</t>
  </si>
  <si>
    <t>=NF($D1869,"16 Remaining Amt. (LCY)")</t>
  </si>
  <si>
    <t>=NF($D1870,"16 Remaining Amt. (LCY)")</t>
  </si>
  <si>
    <t>=NF($D1871,"16 Remaining Amt. (LCY)")</t>
  </si>
  <si>
    <t>=NF($D1872,"16 Remaining Amt. (LCY)")</t>
  </si>
  <si>
    <t>=NF($D1873,"16 Remaining Amt. (LCY)")</t>
  </si>
  <si>
    <t>=NF($D1874,"16 Remaining Amt. (LCY)")</t>
  </si>
  <si>
    <t>=NF($D1875,"16 Remaining Amt. (LCY)")</t>
  </si>
  <si>
    <t>=NF($D1876,"16 Remaining Amt. (LCY)")</t>
  </si>
  <si>
    <t>=NF($D1877,"16 Remaining Amt. (LCY)")</t>
  </si>
  <si>
    <t>=NF($D1878,"16 Remaining Amt. (LCY)")</t>
  </si>
  <si>
    <t>=NF($D1879,"16 Remaining Amt. (LCY)")</t>
  </si>
  <si>
    <t>=NF($D1880,"16 Remaining Amt. (LCY)")</t>
  </si>
  <si>
    <t>=NF($D1881,"16 Remaining Amt. (LCY)")</t>
  </si>
  <si>
    <t>=NF($D1882,"16 Remaining Amt. (LCY)")</t>
  </si>
  <si>
    <t>=NF($D1883,"16 Remaining Amt. (LCY)")</t>
  </si>
  <si>
    <t>=NF($D1884,"16 Remaining Amt. (LCY)")</t>
  </si>
  <si>
    <t>=NF($D1885,"16 Remaining Amt. (LCY)")</t>
  </si>
  <si>
    <t>=NF($D1886,"16 Remaining Amt. (LCY)")</t>
  </si>
  <si>
    <t>=NF($D1887,"16 Remaining Amt. (LCY)")</t>
  </si>
  <si>
    <t>=NF($D1888,"16 Remaining Amt. (LCY)")</t>
  </si>
  <si>
    <t>=NF($D1889,"16 Remaining Amt. (LCY)")</t>
  </si>
  <si>
    <t>=NF($D1890,"16 Remaining Amt. (LCY)")</t>
  </si>
  <si>
    <t>=NF($D1891,"16 Remaining Amt. (LCY)")</t>
  </si>
  <si>
    <t>=NF($D1892,"16 Remaining Amt. (LCY)")</t>
  </si>
  <si>
    <t>=NF($D1893,"16 Remaining Amt. (LCY)")</t>
  </si>
  <si>
    <t>=NF($D1894,"16 Remaining Amt. (LCY)")</t>
  </si>
  <si>
    <t>=NF($D1895,"16 Remaining Amt. (LCY)")</t>
  </si>
  <si>
    <t>=NF($D1802,"5 Document Type")</t>
  </si>
  <si>
    <t>=NF($D1803,"5 Document Type")</t>
  </si>
  <si>
    <t>=NF($D1804,"5 Document Type")</t>
  </si>
  <si>
    <t>=NF($D1805,"5 Document Type")</t>
  </si>
  <si>
    <t>=NF($D1806,"5 Document Type")</t>
  </si>
  <si>
    <t>=NF($D1807,"5 Document Type")</t>
  </si>
  <si>
    <t>=NF($D1808,"5 Document Type")</t>
  </si>
  <si>
    <t>=NF($D1809,"5 Document Type")</t>
  </si>
  <si>
    <t>=NF($D1810,"5 Document Type")</t>
  </si>
  <si>
    <t>=NF($D1811,"5 Document Type")</t>
  </si>
  <si>
    <t>=NF($D1812,"5 Document Type")</t>
  </si>
  <si>
    <t>=NF($D1813,"5 Document Type")</t>
  </si>
  <si>
    <t>=NF($D1814,"5 Document Type")</t>
  </si>
  <si>
    <t>=NF($D1815,"5 Document Type")</t>
  </si>
  <si>
    <t>=NF($D1816,"5 Document Type")</t>
  </si>
  <si>
    <t>=NF($D1802,"6 Document No.")</t>
  </si>
  <si>
    <t>=NF($D1803,"6 Document No.")</t>
  </si>
  <si>
    <t>=NF($D1804,"6 Document No.")</t>
  </si>
  <si>
    <t>=NF($D1805,"6 Document No.")</t>
  </si>
  <si>
    <t>=NF($D1806,"6 Document No.")</t>
  </si>
  <si>
    <t>=NF($D1807,"6 Document No.")</t>
  </si>
  <si>
    <t>=NF($D1808,"6 Document No.")</t>
  </si>
  <si>
    <t>=NF($D1809,"6 Document No.")</t>
  </si>
  <si>
    <t>=NF($D1810,"6 Document No.")</t>
  </si>
  <si>
    <t>=NF($D1811,"6 Document No.")</t>
  </si>
  <si>
    <t>=NF($D1812,"6 Document No.")</t>
  </si>
  <si>
    <t>=NF($D1813,"6 Document No.")</t>
  </si>
  <si>
    <t>=NF($D1814,"6 Document No.")</t>
  </si>
  <si>
    <t>=NF($D1815,"6 Document No.")</t>
  </si>
  <si>
    <t>=NF($D1816,"6 Document No.")</t>
  </si>
  <si>
    <t>=NF($D1802,"37 Due Date")</t>
  </si>
  <si>
    <t>=NF($D1803,"37 Due Date")</t>
  </si>
  <si>
    <t>=NF($D1804,"37 Due Date")</t>
  </si>
  <si>
    <t>=NF($D1805,"37 Due Date")</t>
  </si>
  <si>
    <t>=NF($D1806,"37 Due Date")</t>
  </si>
  <si>
    <t>=NF($D1807,"37 Due Date")</t>
  </si>
  <si>
    <t>=NF($D1808,"37 Due Date")</t>
  </si>
  <si>
    <t>=NF($D1809,"37 Due Date")</t>
  </si>
  <si>
    <t>=NF($D1810,"37 Due Date")</t>
  </si>
  <si>
    <t>=NF($D1811,"37 Due Date")</t>
  </si>
  <si>
    <t>=NF($D1812,"37 Due Date")</t>
  </si>
  <si>
    <t>=NF($D1813,"37 Due Date")</t>
  </si>
  <si>
    <t>=NF($D1814,"37 Due Date")</t>
  </si>
  <si>
    <t>=NF($D1815,"37 Due Date")</t>
  </si>
  <si>
    <t>=NF($D1816,"37 Due Date")</t>
  </si>
  <si>
    <t>=NF($D1802,"16 Remaining Amt. (LCY)")</t>
  </si>
  <si>
    <t>=NF($D1803,"16 Remaining Amt. (LCY)")</t>
  </si>
  <si>
    <t>=NF($D1804,"16 Remaining Amt. (LCY)")</t>
  </si>
  <si>
    <t>=NF($D1805,"16 Remaining Amt. (LCY)")</t>
  </si>
  <si>
    <t>=NF($D1806,"16 Remaining Amt. (LCY)")</t>
  </si>
  <si>
    <t>=NF($D1807,"16 Remaining Amt. (LCY)")</t>
  </si>
  <si>
    <t>=NF($D1808,"16 Remaining Amt. (LCY)")</t>
  </si>
  <si>
    <t>=NF($D1809,"16 Remaining Amt. (LCY)")</t>
  </si>
  <si>
    <t>=NF($D1810,"16 Remaining Amt. (LCY)")</t>
  </si>
  <si>
    <t>=NF($D1811,"16 Remaining Amt. (LCY)")</t>
  </si>
  <si>
    <t>=NF($D1812,"16 Remaining Amt. (LCY)")</t>
  </si>
  <si>
    <t>=NF($D1813,"16 Remaining Amt. (LCY)")</t>
  </si>
  <si>
    <t>=NF($D1814,"16 Remaining Amt. (LCY)")</t>
  </si>
  <si>
    <t>=NF($D1815,"16 Remaining Amt. (LCY)")</t>
  </si>
  <si>
    <t>=NF($D1816,"16 Remaining Amt. (LCY)")</t>
  </si>
  <si>
    <t>=NF($D1776,"5 Document Type")</t>
  </si>
  <si>
    <t>=NF($D1777,"5 Document Type")</t>
  </si>
  <si>
    <t>=NF($D1778,"5 Document Type")</t>
  </si>
  <si>
    <t>=NF($D1779,"5 Document Type")</t>
  </si>
  <si>
    <t>=NF($D1780,"5 Document Type")</t>
  </si>
  <si>
    <t>=NF($D1781,"5 Document Type")</t>
  </si>
  <si>
    <t>=NF($D1782,"5 Document Type")</t>
  </si>
  <si>
    <t>=NF($D1783,"5 Document Type")</t>
  </si>
  <si>
    <t>=NF($D1784,"5 Document Type")</t>
  </si>
  <si>
    <t>=NF($D1785,"5 Document Type")</t>
  </si>
  <si>
    <t>=NF($D1786,"5 Document Type")</t>
  </si>
  <si>
    <t>=NF($D1787,"5 Document Type")</t>
  </si>
  <si>
    <t>=NF($D1788,"5 Document Type")</t>
  </si>
  <si>
    <t>=NF($D1789,"5 Document Type")</t>
  </si>
  <si>
    <t>=NF($D1790,"5 Document Type")</t>
  </si>
  <si>
    <t>=NF($D1791,"5 Document Type")</t>
  </si>
  <si>
    <t>=NF($D1792,"5 Document Type")</t>
  </si>
  <si>
    <t>=NF($D1793,"5 Document Type")</t>
  </si>
  <si>
    <t>=NF($D1794,"5 Document Type")</t>
  </si>
  <si>
    <t>=NF($D1795,"5 Document Type")</t>
  </si>
  <si>
    <t>=NF($D1776,"6 Document No.")</t>
  </si>
  <si>
    <t>=NF($D1777,"6 Document No.")</t>
  </si>
  <si>
    <t>=NF($D1778,"6 Document No.")</t>
  </si>
  <si>
    <t>=NF($D1779,"6 Document No.")</t>
  </si>
  <si>
    <t>=NF($D1780,"6 Document No.")</t>
  </si>
  <si>
    <t>=NF($D1781,"6 Document No.")</t>
  </si>
  <si>
    <t>=NF($D1782,"6 Document No.")</t>
  </si>
  <si>
    <t>=NF($D1783,"6 Document No.")</t>
  </si>
  <si>
    <t>=NF($D1784,"6 Document No.")</t>
  </si>
  <si>
    <t>=NF($D1785,"6 Document No.")</t>
  </si>
  <si>
    <t>=NF($D1786,"6 Document No.")</t>
  </si>
  <si>
    <t>=NF($D1787,"6 Document No.")</t>
  </si>
  <si>
    <t>=NF($D1788,"6 Document No.")</t>
  </si>
  <si>
    <t>=NF($D1789,"6 Document No.")</t>
  </si>
  <si>
    <t>=NF($D1790,"6 Document No.")</t>
  </si>
  <si>
    <t>=NF($D1791,"6 Document No.")</t>
  </si>
  <si>
    <t>=NF($D1792,"6 Document No.")</t>
  </si>
  <si>
    <t>=NF($D1793,"6 Document No.")</t>
  </si>
  <si>
    <t>=NF($D1794,"6 Document No.")</t>
  </si>
  <si>
    <t>=NF($D1795,"6 Document No.")</t>
  </si>
  <si>
    <t>=NF($D1776,"37 Due Date")</t>
  </si>
  <si>
    <t>=NF($D1777,"37 Due Date")</t>
  </si>
  <si>
    <t>=NF($D1778,"37 Due Date")</t>
  </si>
  <si>
    <t>=NF($D1779,"37 Due Date")</t>
  </si>
  <si>
    <t>=NF($D1780,"37 Due Date")</t>
  </si>
  <si>
    <t>=NF($D1781,"37 Due Date")</t>
  </si>
  <si>
    <t>=NF($D1782,"37 Due Date")</t>
  </si>
  <si>
    <t>=NF($D1783,"37 Due Date")</t>
  </si>
  <si>
    <t>=NF($D1784,"37 Due Date")</t>
  </si>
  <si>
    <t>=NF($D1785,"37 Due Date")</t>
  </si>
  <si>
    <t>=NF($D1786,"37 Due Date")</t>
  </si>
  <si>
    <t>=NF($D1787,"37 Due Date")</t>
  </si>
  <si>
    <t>=NF($D1788,"37 Due Date")</t>
  </si>
  <si>
    <t>=NF($D1789,"37 Due Date")</t>
  </si>
  <si>
    <t>=NF($D1790,"37 Due Date")</t>
  </si>
  <si>
    <t>=NF($D1791,"37 Due Date")</t>
  </si>
  <si>
    <t>=NF($D1792,"37 Due Date")</t>
  </si>
  <si>
    <t>=NF($D1793,"37 Due Date")</t>
  </si>
  <si>
    <t>=NF($D1794,"37 Due Date")</t>
  </si>
  <si>
    <t>=NF($D1795,"37 Due Date")</t>
  </si>
  <si>
    <t>=NF($D1776,"16 Remaining Amt. (LCY)")</t>
  </si>
  <si>
    <t>=NF($D1777,"16 Remaining Amt. (LCY)")</t>
  </si>
  <si>
    <t>=NF($D1778,"16 Remaining Amt. (LCY)")</t>
  </si>
  <si>
    <t>=NF($D1779,"16 Remaining Amt. (LCY)")</t>
  </si>
  <si>
    <t>=NF($D1780,"16 Remaining Amt. (LCY)")</t>
  </si>
  <si>
    <t>=NF($D1781,"16 Remaining Amt. (LCY)")</t>
  </si>
  <si>
    <t>=NF($D1782,"16 Remaining Amt. (LCY)")</t>
  </si>
  <si>
    <t>=NF($D1783,"16 Remaining Amt. (LCY)")</t>
  </si>
  <si>
    <t>=NF($D1784,"16 Remaining Amt. (LCY)")</t>
  </si>
  <si>
    <t>=NF($D1785,"16 Remaining Amt. (LCY)")</t>
  </si>
  <si>
    <t>=NF($D1786,"16 Remaining Amt. (LCY)")</t>
  </si>
  <si>
    <t>=NF($D1787,"16 Remaining Amt. (LCY)")</t>
  </si>
  <si>
    <t>=NF($D1788,"16 Remaining Amt. (LCY)")</t>
  </si>
  <si>
    <t>=NF($D1789,"16 Remaining Amt. (LCY)")</t>
  </si>
  <si>
    <t>=NF($D1790,"16 Remaining Amt. (LCY)")</t>
  </si>
  <si>
    <t>=NF($D1791,"16 Remaining Amt. (LCY)")</t>
  </si>
  <si>
    <t>=NF($D1792,"16 Remaining Amt. (LCY)")</t>
  </si>
  <si>
    <t>=NF($D1793,"16 Remaining Amt. (LCY)")</t>
  </si>
  <si>
    <t>=NF($D1794,"16 Remaining Amt. (LCY)")</t>
  </si>
  <si>
    <t>=NF($D1795,"16 Remaining Amt. (LCY)")</t>
  </si>
  <si>
    <t>=NF($D1732,"5 Document Type")</t>
  </si>
  <si>
    <t>=NF($D1733,"5 Document Type")</t>
  </si>
  <si>
    <t>=NF($D1734,"5 Document Type")</t>
  </si>
  <si>
    <t>=NF($D1735,"5 Document Type")</t>
  </si>
  <si>
    <t>=NF($D1736,"5 Document Type")</t>
  </si>
  <si>
    <t>=NF($D1737,"5 Document Type")</t>
  </si>
  <si>
    <t>=NF($D1738,"5 Document Type")</t>
  </si>
  <si>
    <t>=NF($D1739,"5 Document Type")</t>
  </si>
  <si>
    <t>=NF($D1740,"5 Document Type")</t>
  </si>
  <si>
    <t>=NF($D1741,"5 Document Type")</t>
  </si>
  <si>
    <t>=NF($D1742,"5 Document Type")</t>
  </si>
  <si>
    <t>=NF($D1743,"5 Document Type")</t>
  </si>
  <si>
    <t>=NF($D1744,"5 Document Type")</t>
  </si>
  <si>
    <t>=NF($D1745,"5 Document Type")</t>
  </si>
  <si>
    <t>=NF($D1746,"5 Document Type")</t>
  </si>
  <si>
    <t>=NF($D1747,"5 Document Type")</t>
  </si>
  <si>
    <t>=NF($D1748,"5 Document Type")</t>
  </si>
  <si>
    <t>=NF($D1749,"5 Document Type")</t>
  </si>
  <si>
    <t>=NF($D1750,"5 Document Type")</t>
  </si>
  <si>
    <t>=NF($D1751,"5 Document Type")</t>
  </si>
  <si>
    <t>=NF($D1752,"5 Document Type")</t>
  </si>
  <si>
    <t>=NF($D1753,"5 Document Type")</t>
  </si>
  <si>
    <t>=NF($D1754,"5 Document Type")</t>
  </si>
  <si>
    <t>=NF($D1755,"5 Document Type")</t>
  </si>
  <si>
    <t>=NF($D1756,"5 Document Type")</t>
  </si>
  <si>
    <t>=NF($D1757,"5 Document Type")</t>
  </si>
  <si>
    <t>=NF($D1758,"5 Document Type")</t>
  </si>
  <si>
    <t>=NF($D1759,"5 Document Type")</t>
  </si>
  <si>
    <t>=NF($D1760,"5 Document Type")</t>
  </si>
  <si>
    <t>=NF($D1761,"5 Document Type")</t>
  </si>
  <si>
    <t>=NF($D1762,"5 Document Type")</t>
  </si>
  <si>
    <t>=NF($D1763,"5 Document Type")</t>
  </si>
  <si>
    <t>=NF($D1764,"5 Document Type")</t>
  </si>
  <si>
    <t>=NF($D1765,"5 Document Type")</t>
  </si>
  <si>
    <t>=NF($D1766,"5 Document Type")</t>
  </si>
  <si>
    <t>=NF($D1767,"5 Document Type")</t>
  </si>
  <si>
    <t>=NF($D1768,"5 Document Type")</t>
  </si>
  <si>
    <t>=NF($D1769,"5 Document Type")</t>
  </si>
  <si>
    <t>=NF($D1732,"6 Document No.")</t>
  </si>
  <si>
    <t>=NF($D1733,"6 Document No.")</t>
  </si>
  <si>
    <t>=NF($D1734,"6 Document No.")</t>
  </si>
  <si>
    <t>=NF($D1735,"6 Document No.")</t>
  </si>
  <si>
    <t>=NF($D1736,"6 Document No.")</t>
  </si>
  <si>
    <t>=NF($D1737,"6 Document No.")</t>
  </si>
  <si>
    <t>=NF($D1738,"6 Document No.")</t>
  </si>
  <si>
    <t>=NF($D1739,"6 Document No.")</t>
  </si>
  <si>
    <t>=NF($D1740,"6 Document No.")</t>
  </si>
  <si>
    <t>=NF($D1741,"6 Document No.")</t>
  </si>
  <si>
    <t>=NF($D1742,"6 Document No.")</t>
  </si>
  <si>
    <t>=NF($D1743,"6 Document No.")</t>
  </si>
  <si>
    <t>=NF($D1744,"6 Document No.")</t>
  </si>
  <si>
    <t>=NF($D1745,"6 Document No.")</t>
  </si>
  <si>
    <t>=NF($D1746,"6 Document No.")</t>
  </si>
  <si>
    <t>=NF($D1747,"6 Document No.")</t>
  </si>
  <si>
    <t>=NF($D1748,"6 Document No.")</t>
  </si>
  <si>
    <t>=NF($D1749,"6 Document No.")</t>
  </si>
  <si>
    <t>=NF($D1750,"6 Document No.")</t>
  </si>
  <si>
    <t>=NF($D1751,"6 Document No.")</t>
  </si>
  <si>
    <t>=NF($D1752,"6 Document No.")</t>
  </si>
  <si>
    <t>=NF($D1753,"6 Document No.")</t>
  </si>
  <si>
    <t>=NF($D1754,"6 Document No.")</t>
  </si>
  <si>
    <t>=NF($D1755,"6 Document No.")</t>
  </si>
  <si>
    <t>=NF($D1756,"6 Document No.")</t>
  </si>
  <si>
    <t>=NF($D1757,"6 Document No.")</t>
  </si>
  <si>
    <t>=NF($D1758,"6 Document No.")</t>
  </si>
  <si>
    <t>=NF($D1759,"6 Document No.")</t>
  </si>
  <si>
    <t>=NF($D1760,"6 Document No.")</t>
  </si>
  <si>
    <t>=NF($D1761,"6 Document No.")</t>
  </si>
  <si>
    <t>=NF($D1762,"6 Document No.")</t>
  </si>
  <si>
    <t>=NF($D1763,"6 Document No.")</t>
  </si>
  <si>
    <t>=NF($D1764,"6 Document No.")</t>
  </si>
  <si>
    <t>=NF($D1765,"6 Document No.")</t>
  </si>
  <si>
    <t>=NF($D1766,"6 Document No.")</t>
  </si>
  <si>
    <t>=NF($D1767,"6 Document No.")</t>
  </si>
  <si>
    <t>=NF($D1768,"6 Document No.")</t>
  </si>
  <si>
    <t>=NF($D1769,"6 Document No.")</t>
  </si>
  <si>
    <t>=NF($D1732,"37 Due Date")</t>
  </si>
  <si>
    <t>=NF($D1733,"37 Due Date")</t>
  </si>
  <si>
    <t>=NF($D1734,"37 Due Date")</t>
  </si>
  <si>
    <t>=NF($D1735,"37 Due Date")</t>
  </si>
  <si>
    <t>=NF($D1736,"37 Due Date")</t>
  </si>
  <si>
    <t>=NF($D1737,"37 Due Date")</t>
  </si>
  <si>
    <t>=NF($D1738,"37 Due Date")</t>
  </si>
  <si>
    <t>=NF($D1739,"37 Due Date")</t>
  </si>
  <si>
    <t>=NF($D1740,"37 Due Date")</t>
  </si>
  <si>
    <t>=NF($D1741,"37 Due Date")</t>
  </si>
  <si>
    <t>=NF($D1742,"37 Due Date")</t>
  </si>
  <si>
    <t>=NF($D1743,"37 Due Date")</t>
  </si>
  <si>
    <t>=NF($D1744,"37 Due Date")</t>
  </si>
  <si>
    <t>=NF($D1745,"37 Due Date")</t>
  </si>
  <si>
    <t>=NF($D1746,"37 Due Date")</t>
  </si>
  <si>
    <t>=NF($D1747,"37 Due Date")</t>
  </si>
  <si>
    <t>=NF($D1748,"37 Due Date")</t>
  </si>
  <si>
    <t>=NF($D1749,"37 Due Date")</t>
  </si>
  <si>
    <t>=NF($D1750,"37 Due Date")</t>
  </si>
  <si>
    <t>=NF($D1751,"37 Due Date")</t>
  </si>
  <si>
    <t>=NF($D1752,"37 Due Date")</t>
  </si>
  <si>
    <t>=NF($D1753,"37 Due Date")</t>
  </si>
  <si>
    <t>=NF($D1754,"37 Due Date")</t>
  </si>
  <si>
    <t>=NF($D1755,"37 Due Date")</t>
  </si>
  <si>
    <t>=NF($D1756,"37 Due Date")</t>
  </si>
  <si>
    <t>=NF($D1757,"37 Due Date")</t>
  </si>
  <si>
    <t>=NF($D1758,"37 Due Date")</t>
  </si>
  <si>
    <t>=NF($D1759,"37 Due Date")</t>
  </si>
  <si>
    <t>=NF($D1760,"37 Due Date")</t>
  </si>
  <si>
    <t>=NF($D1761,"37 Due Date")</t>
  </si>
  <si>
    <t>=NF($D1762,"37 Due Date")</t>
  </si>
  <si>
    <t>=NF($D1763,"37 Due Date")</t>
  </si>
  <si>
    <t>=NF($D1764,"37 Due Date")</t>
  </si>
  <si>
    <t>=NF($D1765,"37 Due Date")</t>
  </si>
  <si>
    <t>=NF($D1766,"37 Due Date")</t>
  </si>
  <si>
    <t>=NF($D1767,"37 Due Date")</t>
  </si>
  <si>
    <t>=NF($D1768,"37 Due Date")</t>
  </si>
  <si>
    <t>=NF($D1769,"37 Due Date")</t>
  </si>
  <si>
    <t>=NF($D1732,"16 Remaining Amt. (LCY)")</t>
  </si>
  <si>
    <t>=NF($D1733,"16 Remaining Amt. (LCY)")</t>
  </si>
  <si>
    <t>=NF($D1734,"16 Remaining Amt. (LCY)")</t>
  </si>
  <si>
    <t>=NF($D1735,"16 Remaining Amt. (LCY)")</t>
  </si>
  <si>
    <t>=NF($D1736,"16 Remaining Amt. (LCY)")</t>
  </si>
  <si>
    <t>=NF($D1737,"16 Remaining Amt. (LCY)")</t>
  </si>
  <si>
    <t>=NF($D1738,"16 Remaining Amt. (LCY)")</t>
  </si>
  <si>
    <t>=NF($D1739,"16 Remaining Amt. (LCY)")</t>
  </si>
  <si>
    <t>=NF($D1740,"16 Remaining Amt. (LCY)")</t>
  </si>
  <si>
    <t>=NF($D1741,"16 Remaining Amt. (LCY)")</t>
  </si>
  <si>
    <t>=NF($D1742,"16 Remaining Amt. (LCY)")</t>
  </si>
  <si>
    <t>=NF($D1743,"16 Remaining Amt. (LCY)")</t>
  </si>
  <si>
    <t>=NF($D1744,"16 Remaining Amt. (LCY)")</t>
  </si>
  <si>
    <t>=NF($D1745,"16 Remaining Amt. (LCY)")</t>
  </si>
  <si>
    <t>=NF($D1746,"16 Remaining Amt. (LCY)")</t>
  </si>
  <si>
    <t>=NF($D1747,"16 Remaining Amt. (LCY)")</t>
  </si>
  <si>
    <t>=NF($D1748,"16 Remaining Amt. (LCY)")</t>
  </si>
  <si>
    <t>=NF($D1749,"16 Remaining Amt. (LCY)")</t>
  </si>
  <si>
    <t>=NF($D1750,"16 Remaining Amt. (LCY)")</t>
  </si>
  <si>
    <t>=NF($D1751,"16 Remaining Amt. (LCY)")</t>
  </si>
  <si>
    <t>=NF($D1752,"16 Remaining Amt. (LCY)")</t>
  </si>
  <si>
    <t>=NF($D1753,"16 Remaining Amt. (LCY)")</t>
  </si>
  <si>
    <t>=NF($D1754,"16 Remaining Amt. (LCY)")</t>
  </si>
  <si>
    <t>=NF($D1755,"16 Remaining Amt. (LCY)")</t>
  </si>
  <si>
    <t>=NF($D1756,"16 Remaining Amt. (LCY)")</t>
  </si>
  <si>
    <t>=NF($D1757,"16 Remaining Amt. (LCY)")</t>
  </si>
  <si>
    <t>=NF($D1758,"16 Remaining Amt. (LCY)")</t>
  </si>
  <si>
    <t>=NF($D1759,"16 Remaining Amt. (LCY)")</t>
  </si>
  <si>
    <t>=NF($D1760,"16 Remaining Amt. (LCY)")</t>
  </si>
  <si>
    <t>=NF($D1761,"16 Remaining Amt. (LCY)")</t>
  </si>
  <si>
    <t>=NF($D1762,"16 Remaining Amt. (LCY)")</t>
  </si>
  <si>
    <t>=NF($D1763,"16 Remaining Amt. (LCY)")</t>
  </si>
  <si>
    <t>=NF($D1764,"16 Remaining Amt. (LCY)")</t>
  </si>
  <si>
    <t>=NF($D1765,"16 Remaining Amt. (LCY)")</t>
  </si>
  <si>
    <t>=NF($D1766,"16 Remaining Amt. (LCY)")</t>
  </si>
  <si>
    <t>=NF($D1767,"16 Remaining Amt. (LCY)")</t>
  </si>
  <si>
    <t>=NF($D1768,"16 Remaining Amt. (LCY)")</t>
  </si>
  <si>
    <t>=NF($D1769,"16 Remaining Amt. (LCY)")</t>
  </si>
  <si>
    <t>=NF($D1651,"5 Document Type")</t>
  </si>
  <si>
    <t>=NF($D1652,"5 Document Type")</t>
  </si>
  <si>
    <t>=NF($D1653,"5 Document Type")</t>
  </si>
  <si>
    <t>=NF($D1654,"5 Document Type")</t>
  </si>
  <si>
    <t>=NF($D1655,"5 Document Type")</t>
  </si>
  <si>
    <t>=NF($D1656,"5 Document Type")</t>
  </si>
  <si>
    <t>=NF($D1657,"5 Document Type")</t>
  </si>
  <si>
    <t>=NF($D1658,"5 Document Type")</t>
  </si>
  <si>
    <t>=NF($D1659,"5 Document Type")</t>
  </si>
  <si>
    <t>=NF($D1660,"5 Document Type")</t>
  </si>
  <si>
    <t>=NF($D1661,"5 Document Type")</t>
  </si>
  <si>
    <t>=NF($D1662,"5 Document Type")</t>
  </si>
  <si>
    <t>=NF($D1663,"5 Document Type")</t>
  </si>
  <si>
    <t>=NF($D1664,"5 Document Type")</t>
  </si>
  <si>
    <t>=NF($D1665,"5 Document Type")</t>
  </si>
  <si>
    <t>=NF($D1666,"5 Document Type")</t>
  </si>
  <si>
    <t>=NF($D1667,"5 Document Type")</t>
  </si>
  <si>
    <t>=NF($D1668,"5 Document Type")</t>
  </si>
  <si>
    <t>=NF($D1669,"5 Document Type")</t>
  </si>
  <si>
    <t>=NF($D1670,"5 Document Type")</t>
  </si>
  <si>
    <t>=NF($D1671,"5 Document Type")</t>
  </si>
  <si>
    <t>=NF($D1672,"5 Document Type")</t>
  </si>
  <si>
    <t>=NF($D1673,"5 Document Type")</t>
  </si>
  <si>
    <t>=NF($D1674,"5 Document Type")</t>
  </si>
  <si>
    <t>=NF($D1675,"5 Document Type")</t>
  </si>
  <si>
    <t>=NF($D1676,"5 Document Type")</t>
  </si>
  <si>
    <t>=NF($D1677,"5 Document Type")</t>
  </si>
  <si>
    <t>=NF($D1678,"5 Document Type")</t>
  </si>
  <si>
    <t>=NF($D1679,"5 Document Type")</t>
  </si>
  <si>
    <t>=NF($D1680,"5 Document Type")</t>
  </si>
  <si>
    <t>=NF($D1681,"5 Document Type")</t>
  </si>
  <si>
    <t>=NF($D1682,"5 Document Type")</t>
  </si>
  <si>
    <t>=NF($D1683,"5 Document Type")</t>
  </si>
  <si>
    <t>=NF($D1684,"5 Document Type")</t>
  </si>
  <si>
    <t>=NF($D1685,"5 Document Type")</t>
  </si>
  <si>
    <t>=NF($D1686,"5 Document Type")</t>
  </si>
  <si>
    <t>=NF($D1687,"5 Document Type")</t>
  </si>
  <si>
    <t>=NF($D1688,"5 Document Type")</t>
  </si>
  <si>
    <t>=NF($D1689,"5 Document Type")</t>
  </si>
  <si>
    <t>=NF($D1690,"5 Document Type")</t>
  </si>
  <si>
    <t>=NF($D1691,"5 Document Type")</t>
  </si>
  <si>
    <t>=NF($D1692,"5 Document Type")</t>
  </si>
  <si>
    <t>=NF($D1693,"5 Document Type")</t>
  </si>
  <si>
    <t>=NF($D1694,"5 Document Type")</t>
  </si>
  <si>
    <t>=NF($D1695,"5 Document Type")</t>
  </si>
  <si>
    <t>=NF($D1696,"5 Document Type")</t>
  </si>
  <si>
    <t>=NF($D1697,"5 Document Type")</t>
  </si>
  <si>
    <t>=NF($D1698,"5 Document Type")</t>
  </si>
  <si>
    <t>=NF($D1699,"5 Document Type")</t>
  </si>
  <si>
    <t>=NF($D1700,"5 Document Type")</t>
  </si>
  <si>
    <t>=NF($D1701,"5 Document Type")</t>
  </si>
  <si>
    <t>=NF($D1702,"5 Document Type")</t>
  </si>
  <si>
    <t>=NF($D1703,"5 Document Type")</t>
  </si>
  <si>
    <t>=NF($D1704,"5 Document Type")</t>
  </si>
  <si>
    <t>=NF($D1705,"5 Document Type")</t>
  </si>
  <si>
    <t>=NF($D1706,"5 Document Type")</t>
  </si>
  <si>
    <t>=NF($D1707,"5 Document Type")</t>
  </si>
  <si>
    <t>=NF($D1708,"5 Document Type")</t>
  </si>
  <si>
    <t>=NF($D1709,"5 Document Type")</t>
  </si>
  <si>
    <t>=NF($D1710,"5 Document Type")</t>
  </si>
  <si>
    <t>=NF($D1711,"5 Document Type")</t>
  </si>
  <si>
    <t>=NF($D1712,"5 Document Type")</t>
  </si>
  <si>
    <t>=NF($D1713,"5 Document Type")</t>
  </si>
  <si>
    <t>=NF($D1714,"5 Document Type")</t>
  </si>
  <si>
    <t>=NF($D1715,"5 Document Type")</t>
  </si>
  <si>
    <t>=NF($D1716,"5 Document Type")</t>
  </si>
  <si>
    <t>=NF($D1717,"5 Document Type")</t>
  </si>
  <si>
    <t>=NF($D1718,"5 Document Type")</t>
  </si>
  <si>
    <t>=NF($D1719,"5 Document Type")</t>
  </si>
  <si>
    <t>=NF($D1720,"5 Document Type")</t>
  </si>
  <si>
    <t>=NF($D1721,"5 Document Type")</t>
  </si>
  <si>
    <t>=NF($D1722,"5 Document Type")</t>
  </si>
  <si>
    <t>=NF($D1723,"5 Document Type")</t>
  </si>
  <si>
    <t>=NF($D1724,"5 Document Type")</t>
  </si>
  <si>
    <t>=NF($D1725,"5 Document Type")</t>
  </si>
  <si>
    <t>=NF($D1651,"6 Document No.")</t>
  </si>
  <si>
    <t>=NF($D1652,"6 Document No.")</t>
  </si>
  <si>
    <t>=NF($D1653,"6 Document No.")</t>
  </si>
  <si>
    <t>=NF($D1654,"6 Document No.")</t>
  </si>
  <si>
    <t>=NF($D1655,"6 Document No.")</t>
  </si>
  <si>
    <t>=NF($D1656,"6 Document No.")</t>
  </si>
  <si>
    <t>=NF($D1657,"6 Document No.")</t>
  </si>
  <si>
    <t>=NF($D1658,"6 Document No.")</t>
  </si>
  <si>
    <t>=NF($D1659,"6 Document No.")</t>
  </si>
  <si>
    <t>=NF($D1660,"6 Document No.")</t>
  </si>
  <si>
    <t>=NF($D1661,"6 Document No.")</t>
  </si>
  <si>
    <t>=NF($D1662,"6 Document No.")</t>
  </si>
  <si>
    <t>=NF($D1663,"6 Document No.")</t>
  </si>
  <si>
    <t>=NF($D1664,"6 Document No.")</t>
  </si>
  <si>
    <t>=NF($D1665,"6 Document No.")</t>
  </si>
  <si>
    <t>=NF($D1666,"6 Document No.")</t>
  </si>
  <si>
    <t>=NF($D1667,"6 Document No.")</t>
  </si>
  <si>
    <t>=NF($D1668,"6 Document No.")</t>
  </si>
  <si>
    <t>=NF($D1669,"6 Document No.")</t>
  </si>
  <si>
    <t>=NF($D1670,"6 Document No.")</t>
  </si>
  <si>
    <t>=NF($D1671,"6 Document No.")</t>
  </si>
  <si>
    <t>=NF($D1672,"6 Document No.")</t>
  </si>
  <si>
    <t>=NF($D1673,"6 Document No.")</t>
  </si>
  <si>
    <t>=NF($D1674,"6 Document No.")</t>
  </si>
  <si>
    <t>=NF($D1675,"6 Document No.")</t>
  </si>
  <si>
    <t>=NF($D1676,"6 Document No.")</t>
  </si>
  <si>
    <t>=NF($D1677,"6 Document No.")</t>
  </si>
  <si>
    <t>=NF($D1678,"6 Document No.")</t>
  </si>
  <si>
    <t>=NF($D1679,"6 Document No.")</t>
  </si>
  <si>
    <t>=NF($D1680,"6 Document No.")</t>
  </si>
  <si>
    <t>=NF($D1681,"6 Document No.")</t>
  </si>
  <si>
    <t>=NF($D1682,"6 Document No.")</t>
  </si>
  <si>
    <t>=NF($D1683,"6 Document No.")</t>
  </si>
  <si>
    <t>=NF($D1684,"6 Document No.")</t>
  </si>
  <si>
    <t>=NF($D1685,"6 Document No.")</t>
  </si>
  <si>
    <t>=NF($D1686,"6 Document No.")</t>
  </si>
  <si>
    <t>=NF($D1687,"6 Document No.")</t>
  </si>
  <si>
    <t>=NF($D1688,"6 Document No.")</t>
  </si>
  <si>
    <t>=NF($D1689,"6 Document No.")</t>
  </si>
  <si>
    <t>=NF($D1690,"6 Document No.")</t>
  </si>
  <si>
    <t>=NF($D1691,"6 Document No.")</t>
  </si>
  <si>
    <t>=NF($D1692,"6 Document No.")</t>
  </si>
  <si>
    <t>=NF($D1693,"6 Document No.")</t>
  </si>
  <si>
    <t>=NF($D1694,"6 Document No.")</t>
  </si>
  <si>
    <t>=NF($D1695,"6 Document No.")</t>
  </si>
  <si>
    <t>=NF($D1696,"6 Document No.")</t>
  </si>
  <si>
    <t>=NF($D1697,"6 Document No.")</t>
  </si>
  <si>
    <t>=NF($D1698,"6 Document No.")</t>
  </si>
  <si>
    <t>=NF($D1699,"6 Document No.")</t>
  </si>
  <si>
    <t>=NF($D1700,"6 Document No.")</t>
  </si>
  <si>
    <t>=NF($D1701,"6 Document No.")</t>
  </si>
  <si>
    <t>=NF($D1702,"6 Document No.")</t>
  </si>
  <si>
    <t>=NF($D1703,"6 Document No.")</t>
  </si>
  <si>
    <t>=NF($D1704,"6 Document No.")</t>
  </si>
  <si>
    <t>=NF($D1705,"6 Document No.")</t>
  </si>
  <si>
    <t>=NF($D1706,"6 Document No.")</t>
  </si>
  <si>
    <t>=NF($D1707,"6 Document No.")</t>
  </si>
  <si>
    <t>=NF($D1708,"6 Document No.")</t>
  </si>
  <si>
    <t>=NF($D1709,"6 Document No.")</t>
  </si>
  <si>
    <t>=NF($D1710,"6 Document No.")</t>
  </si>
  <si>
    <t>=NF($D1711,"6 Document No.")</t>
  </si>
  <si>
    <t>=NF($D1712,"6 Document No.")</t>
  </si>
  <si>
    <t>=NF($D1713,"6 Document No.")</t>
  </si>
  <si>
    <t>=NF($D1714,"6 Document No.")</t>
  </si>
  <si>
    <t>=NF($D1715,"6 Document No.")</t>
  </si>
  <si>
    <t>=NF($D1716,"6 Document No.")</t>
  </si>
  <si>
    <t>=NF($D1717,"6 Document No.")</t>
  </si>
  <si>
    <t>=NF($D1718,"6 Document No.")</t>
  </si>
  <si>
    <t>=NF($D1719,"6 Document No.")</t>
  </si>
  <si>
    <t>=NF($D1720,"6 Document No.")</t>
  </si>
  <si>
    <t>=NF($D1721,"6 Document No.")</t>
  </si>
  <si>
    <t>=NF($D1722,"6 Document No.")</t>
  </si>
  <si>
    <t>=NF($D1723,"6 Document No.")</t>
  </si>
  <si>
    <t>=NF($D1724,"6 Document No.")</t>
  </si>
  <si>
    <t>=NF($D1725,"6 Document No.")</t>
  </si>
  <si>
    <t>=NF($D1651,"37 Due Date")</t>
  </si>
  <si>
    <t>=NF($D1652,"37 Due Date")</t>
  </si>
  <si>
    <t>=NF($D1653,"37 Due Date")</t>
  </si>
  <si>
    <t>=NF($D1654,"37 Due Date")</t>
  </si>
  <si>
    <t>=NF($D1655,"37 Due Date")</t>
  </si>
  <si>
    <t>=NF($D1656,"37 Due Date")</t>
  </si>
  <si>
    <t>=NF($D1657,"37 Due Date")</t>
  </si>
  <si>
    <t>=NF($D1658,"37 Due Date")</t>
  </si>
  <si>
    <t>=NF($D1659,"37 Due Date")</t>
  </si>
  <si>
    <t>=NF($D1660,"37 Due Date")</t>
  </si>
  <si>
    <t>=NF($D1661,"37 Due Date")</t>
  </si>
  <si>
    <t>=NF($D1662,"37 Due Date")</t>
  </si>
  <si>
    <t>=NF($D1663,"37 Due Date")</t>
  </si>
  <si>
    <t>=NF($D1664,"37 Due Date")</t>
  </si>
  <si>
    <t>=NF($D1665,"37 Due Date")</t>
  </si>
  <si>
    <t>=NF($D1666,"37 Due Date")</t>
  </si>
  <si>
    <t>=NF($D1667,"37 Due Date")</t>
  </si>
  <si>
    <t>=NF($D1668,"37 Due Date")</t>
  </si>
  <si>
    <t>=NF($D1669,"37 Due Date")</t>
  </si>
  <si>
    <t>=NF($D1670,"37 Due Date")</t>
  </si>
  <si>
    <t>=NF($D1671,"37 Due Date")</t>
  </si>
  <si>
    <t>=NF($D1672,"37 Due Date")</t>
  </si>
  <si>
    <t>=NF($D1673,"37 Due Date")</t>
  </si>
  <si>
    <t>=NF($D1674,"37 Due Date")</t>
  </si>
  <si>
    <t>=NF($D1675,"37 Due Date")</t>
  </si>
  <si>
    <t>=NF($D1676,"37 Due Date")</t>
  </si>
  <si>
    <t>=NF($D1677,"37 Due Date")</t>
  </si>
  <si>
    <t>=NF($D1678,"37 Due Date")</t>
  </si>
  <si>
    <t>=NF($D1679,"37 Due Date")</t>
  </si>
  <si>
    <t>=NF($D1680,"37 Due Date")</t>
  </si>
  <si>
    <t>=NF($D1681,"37 Due Date")</t>
  </si>
  <si>
    <t>=NF($D1682,"37 Due Date")</t>
  </si>
  <si>
    <t>=NF($D1683,"37 Due Date")</t>
  </si>
  <si>
    <t>=NF($D1684,"37 Due Date")</t>
  </si>
  <si>
    <t>=NF($D1685,"37 Due Date")</t>
  </si>
  <si>
    <t>=NF($D1686,"37 Due Date")</t>
  </si>
  <si>
    <t>=NF($D1687,"37 Due Date")</t>
  </si>
  <si>
    <t>=NF($D1688,"37 Due Date")</t>
  </si>
  <si>
    <t>=NF($D1689,"37 Due Date")</t>
  </si>
  <si>
    <t>=NF($D1690,"37 Due Date")</t>
  </si>
  <si>
    <t>=NF($D1691,"37 Due Date")</t>
  </si>
  <si>
    <t>=NF($D1692,"37 Due Date")</t>
  </si>
  <si>
    <t>=NF($D1693,"37 Due Date")</t>
  </si>
  <si>
    <t>=NF($D1694,"37 Due Date")</t>
  </si>
  <si>
    <t>=NF($D1695,"37 Due Date")</t>
  </si>
  <si>
    <t>=NF($D1696,"37 Due Date")</t>
  </si>
  <si>
    <t>=NF($D1697,"37 Due Date")</t>
  </si>
  <si>
    <t>=NF($D1698,"37 Due Date")</t>
  </si>
  <si>
    <t>=NF($D1699,"37 Due Date")</t>
  </si>
  <si>
    <t>=NF($D1700,"37 Due Date")</t>
  </si>
  <si>
    <t>=NF($D1701,"37 Due Date")</t>
  </si>
  <si>
    <t>=NF($D1702,"37 Due Date")</t>
  </si>
  <si>
    <t>=NF($D1703,"37 Due Date")</t>
  </si>
  <si>
    <t>=NF($D1704,"37 Due Date")</t>
  </si>
  <si>
    <t>=NF($D1705,"37 Due Date")</t>
  </si>
  <si>
    <t>=NF($D1706,"37 Due Date")</t>
  </si>
  <si>
    <t>=NF($D1707,"37 Due Date")</t>
  </si>
  <si>
    <t>=NF($D1708,"37 Due Date")</t>
  </si>
  <si>
    <t>=NF($D1709,"37 Due Date")</t>
  </si>
  <si>
    <t>=NF($D1710,"37 Due Date")</t>
  </si>
  <si>
    <t>=NF($D1711,"37 Due Date")</t>
  </si>
  <si>
    <t>=NF($D1712,"37 Due Date")</t>
  </si>
  <si>
    <t>=NF($D1713,"37 Due Date")</t>
  </si>
  <si>
    <t>=NF($D1714,"37 Due Date")</t>
  </si>
  <si>
    <t>=NF($D1715,"37 Due Date")</t>
  </si>
  <si>
    <t>=NF($D1716,"37 Due Date")</t>
  </si>
  <si>
    <t>=NF($D1717,"37 Due Date")</t>
  </si>
  <si>
    <t>=NF($D1718,"37 Due Date")</t>
  </si>
  <si>
    <t>=NF($D1719,"37 Due Date")</t>
  </si>
  <si>
    <t>=NF($D1720,"37 Due Date")</t>
  </si>
  <si>
    <t>=NF($D1721,"37 Due Date")</t>
  </si>
  <si>
    <t>=NF($D1722,"37 Due Date")</t>
  </si>
  <si>
    <t>=NF($D1723,"37 Due Date")</t>
  </si>
  <si>
    <t>=NF($D1724,"37 Due Date")</t>
  </si>
  <si>
    <t>=NF($D1725,"37 Due Date")</t>
  </si>
  <si>
    <t>=NF($D1651,"16 Remaining Amt. (LCY)")</t>
  </si>
  <si>
    <t>=NF($D1652,"16 Remaining Amt. (LCY)")</t>
  </si>
  <si>
    <t>=NF($D1653,"16 Remaining Amt. (LCY)")</t>
  </si>
  <si>
    <t>=NF($D1654,"16 Remaining Amt. (LCY)")</t>
  </si>
  <si>
    <t>=NF($D1655,"16 Remaining Amt. (LCY)")</t>
  </si>
  <si>
    <t>=NF($D1656,"16 Remaining Amt. (LCY)")</t>
  </si>
  <si>
    <t>=NF($D1657,"16 Remaining Amt. (LCY)")</t>
  </si>
  <si>
    <t>=NF($D1658,"16 Remaining Amt. (LCY)")</t>
  </si>
  <si>
    <t>=NF($D1659,"16 Remaining Amt. (LCY)")</t>
  </si>
  <si>
    <t>=NF($D1660,"16 Remaining Amt. (LCY)")</t>
  </si>
  <si>
    <t>=NF($D1661,"16 Remaining Amt. (LCY)")</t>
  </si>
  <si>
    <t>=NF($D1662,"16 Remaining Amt. (LCY)")</t>
  </si>
  <si>
    <t>=NF($D1663,"16 Remaining Amt. (LCY)")</t>
  </si>
  <si>
    <t>=NF($D1664,"16 Remaining Amt. (LCY)")</t>
  </si>
  <si>
    <t>=NF($D1665,"16 Remaining Amt. (LCY)")</t>
  </si>
  <si>
    <t>=NF($D1666,"16 Remaining Amt. (LCY)")</t>
  </si>
  <si>
    <t>=NF($D1667,"16 Remaining Amt. (LCY)")</t>
  </si>
  <si>
    <t>=NF($D1668,"16 Remaining Amt. (LCY)")</t>
  </si>
  <si>
    <t>=NF($D1669,"16 Remaining Amt. (LCY)")</t>
  </si>
  <si>
    <t>=NF($D1670,"16 Remaining Amt. (LCY)")</t>
  </si>
  <si>
    <t>=NF($D1671,"16 Remaining Amt. (LCY)")</t>
  </si>
  <si>
    <t>=NF($D1672,"16 Remaining Amt. (LCY)")</t>
  </si>
  <si>
    <t>=NF($D1673,"16 Remaining Amt. (LCY)")</t>
  </si>
  <si>
    <t>=NF($D1674,"16 Remaining Amt. (LCY)")</t>
  </si>
  <si>
    <t>=NF($D1675,"16 Remaining Amt. (LCY)")</t>
  </si>
  <si>
    <t>=NF($D1676,"16 Remaining Amt. (LCY)")</t>
  </si>
  <si>
    <t>=NF($D1677,"16 Remaining Amt. (LCY)")</t>
  </si>
  <si>
    <t>=NF($D1678,"16 Remaining Amt. (LCY)")</t>
  </si>
  <si>
    <t>=NF($D1679,"16 Remaining Amt. (LCY)")</t>
  </si>
  <si>
    <t>=NF($D1680,"16 Remaining Amt. (LCY)")</t>
  </si>
  <si>
    <t>=NF($D1681,"16 Remaining Amt. (LCY)")</t>
  </si>
  <si>
    <t>=NF($D1682,"16 Remaining Amt. (LCY)")</t>
  </si>
  <si>
    <t>=NF($D1683,"16 Remaining Amt. (LCY)")</t>
  </si>
  <si>
    <t>=NF($D1684,"16 Remaining Amt. (LCY)")</t>
  </si>
  <si>
    <t>=NF($D1685,"16 Remaining Amt. (LCY)")</t>
  </si>
  <si>
    <t>=NF($D1686,"16 Remaining Amt. (LCY)")</t>
  </si>
  <si>
    <t>=NF($D1687,"16 Remaining Amt. (LCY)")</t>
  </si>
  <si>
    <t>=NF($D1688,"16 Remaining Amt. (LCY)")</t>
  </si>
  <si>
    <t>=NF($D1689,"16 Remaining Amt. (LCY)")</t>
  </si>
  <si>
    <t>=NF($D1690,"16 Remaining Amt. (LCY)")</t>
  </si>
  <si>
    <t>=NF($D1691,"16 Remaining Amt. (LCY)")</t>
  </si>
  <si>
    <t>=NF($D1692,"16 Remaining Amt. (LCY)")</t>
  </si>
  <si>
    <t>=NF($D1693,"16 Remaining Amt. (LCY)")</t>
  </si>
  <si>
    <t>=NF($D1694,"16 Remaining Amt. (LCY)")</t>
  </si>
  <si>
    <t>=NF($D1695,"16 Remaining Amt. (LCY)")</t>
  </si>
  <si>
    <t>=NF($D1696,"16 Remaining Amt. (LCY)")</t>
  </si>
  <si>
    <t>=NF($D1697,"16 Remaining Amt. (LCY)")</t>
  </si>
  <si>
    <t>=NF($D1698,"16 Remaining Amt. (LCY)")</t>
  </si>
  <si>
    <t>=NF($D1699,"16 Remaining Amt. (LCY)")</t>
  </si>
  <si>
    <t>=NF($D1700,"16 Remaining Amt. (LCY)")</t>
  </si>
  <si>
    <t>=NF($D1701,"16 Remaining Amt. (LCY)")</t>
  </si>
  <si>
    <t>=NF($D1702,"16 Remaining Amt. (LCY)")</t>
  </si>
  <si>
    <t>=NF($D1703,"16 Remaining Amt. (LCY)")</t>
  </si>
  <si>
    <t>=NF($D1704,"16 Remaining Amt. (LCY)")</t>
  </si>
  <si>
    <t>=NF($D1705,"16 Remaining Amt. (LCY)")</t>
  </si>
  <si>
    <t>=NF($D1706,"16 Remaining Amt. (LCY)")</t>
  </si>
  <si>
    <t>=NF($D1707,"16 Remaining Amt. (LCY)")</t>
  </si>
  <si>
    <t>=NF($D1708,"16 Remaining Amt. (LCY)")</t>
  </si>
  <si>
    <t>=NF($D1709,"16 Remaining Amt. (LCY)")</t>
  </si>
  <si>
    <t>=NF($D1710,"16 Remaining Amt. (LCY)")</t>
  </si>
  <si>
    <t>=NF($D1711,"16 Remaining Amt. (LCY)")</t>
  </si>
  <si>
    <t>=NF($D1712,"16 Remaining Amt. (LCY)")</t>
  </si>
  <si>
    <t>=NF($D1713,"16 Remaining Amt. (LCY)")</t>
  </si>
  <si>
    <t>=NF($D1714,"16 Remaining Amt. (LCY)")</t>
  </si>
  <si>
    <t>=NF($D1715,"16 Remaining Amt. (LCY)")</t>
  </si>
  <si>
    <t>=NF($D1716,"16 Remaining Amt. (LCY)")</t>
  </si>
  <si>
    <t>=NF($D1717,"16 Remaining Amt. (LCY)")</t>
  </si>
  <si>
    <t>=NF($D1718,"16 Remaining Amt. (LCY)")</t>
  </si>
  <si>
    <t>=NF($D1719,"16 Remaining Amt. (LCY)")</t>
  </si>
  <si>
    <t>=NF($D1720,"16 Remaining Amt. (LCY)")</t>
  </si>
  <si>
    <t>=NF($D1721,"16 Remaining Amt. (LCY)")</t>
  </si>
  <si>
    <t>=NF($D1722,"16 Remaining Amt. (LCY)")</t>
  </si>
  <si>
    <t>=NF($D1723,"16 Remaining Amt. (LCY)")</t>
  </si>
  <si>
    <t>=NF($D1724,"16 Remaining Amt. (LCY)")</t>
  </si>
  <si>
    <t>=NF($D1725,"16 Remaining Amt. (LCY)")</t>
  </si>
  <si>
    <t>=NF($D1631,"5 Document Type")</t>
  </si>
  <si>
    <t>=NF($D1632,"5 Document Type")</t>
  </si>
  <si>
    <t>=NF($D1633,"5 Document Type")</t>
  </si>
  <si>
    <t>=NF($D1634,"5 Document Type")</t>
  </si>
  <si>
    <t>=NF($D1635,"5 Document Type")</t>
  </si>
  <si>
    <t>=NF($D1636,"5 Document Type")</t>
  </si>
  <si>
    <t>=NF($D1637,"5 Document Type")</t>
  </si>
  <si>
    <t>=NF($D1638,"5 Document Type")</t>
  </si>
  <si>
    <t>=NF($D1639,"5 Document Type")</t>
  </si>
  <si>
    <t>=NF($D1640,"5 Document Type")</t>
  </si>
  <si>
    <t>=NF($D1641,"5 Document Type")</t>
  </si>
  <si>
    <t>=NF($D1642,"5 Document Type")</t>
  </si>
  <si>
    <t>=NF($D1643,"5 Document Type")</t>
  </si>
  <si>
    <t>=NF($D1644,"5 Document Type")</t>
  </si>
  <si>
    <t>=NF($D1631,"6 Document No.")</t>
  </si>
  <si>
    <t>=NF($D1632,"6 Document No.")</t>
  </si>
  <si>
    <t>=NF($D1633,"6 Document No.")</t>
  </si>
  <si>
    <t>=NF($D1634,"6 Document No.")</t>
  </si>
  <si>
    <t>=NF($D1635,"6 Document No.")</t>
  </si>
  <si>
    <t>=NF($D1636,"6 Document No.")</t>
  </si>
  <si>
    <t>=NF($D1637,"6 Document No.")</t>
  </si>
  <si>
    <t>=NF($D1638,"6 Document No.")</t>
  </si>
  <si>
    <t>=NF($D1639,"6 Document No.")</t>
  </si>
  <si>
    <t>=NF($D1640,"6 Document No.")</t>
  </si>
  <si>
    <t>=NF($D1641,"6 Document No.")</t>
  </si>
  <si>
    <t>=NF($D1642,"6 Document No.")</t>
  </si>
  <si>
    <t>=NF($D1643,"6 Document No.")</t>
  </si>
  <si>
    <t>=NF($D1644,"6 Document No.")</t>
  </si>
  <si>
    <t>=NF($D1631,"37 Due Date")</t>
  </si>
  <si>
    <t>=NF($D1632,"37 Due Date")</t>
  </si>
  <si>
    <t>=NF($D1633,"37 Due Date")</t>
  </si>
  <si>
    <t>=NF($D1634,"37 Due Date")</t>
  </si>
  <si>
    <t>=NF($D1635,"37 Due Date")</t>
  </si>
  <si>
    <t>=NF($D1636,"37 Due Date")</t>
  </si>
  <si>
    <t>=NF($D1637,"37 Due Date")</t>
  </si>
  <si>
    <t>=NF($D1638,"37 Due Date")</t>
  </si>
  <si>
    <t>=NF($D1639,"37 Due Date")</t>
  </si>
  <si>
    <t>=NF($D1640,"37 Due Date")</t>
  </si>
  <si>
    <t>=NF($D1641,"37 Due Date")</t>
  </si>
  <si>
    <t>=NF($D1642,"37 Due Date")</t>
  </si>
  <si>
    <t>=NF($D1643,"37 Due Date")</t>
  </si>
  <si>
    <t>=NF($D1644,"37 Due Date")</t>
  </si>
  <si>
    <t>=NF($D1631,"16 Remaining Amt. (LCY)")</t>
  </si>
  <si>
    <t>=NF($D1632,"16 Remaining Amt. (LCY)")</t>
  </si>
  <si>
    <t>=NF($D1633,"16 Remaining Amt. (LCY)")</t>
  </si>
  <si>
    <t>=NF($D1634,"16 Remaining Amt. (LCY)")</t>
  </si>
  <si>
    <t>=NF($D1635,"16 Remaining Amt. (LCY)")</t>
  </si>
  <si>
    <t>=NF($D1636,"16 Remaining Amt. (LCY)")</t>
  </si>
  <si>
    <t>=NF($D1637,"16 Remaining Amt. (LCY)")</t>
  </si>
  <si>
    <t>=NF($D1638,"16 Remaining Amt. (LCY)")</t>
  </si>
  <si>
    <t>=NF($D1639,"16 Remaining Amt. (LCY)")</t>
  </si>
  <si>
    <t>=NF($D1640,"16 Remaining Amt. (LCY)")</t>
  </si>
  <si>
    <t>=NF($D1641,"16 Remaining Amt. (LCY)")</t>
  </si>
  <si>
    <t>=NF($D1642,"16 Remaining Amt. (LCY)")</t>
  </si>
  <si>
    <t>=NF($D1643,"16 Remaining Amt. (LCY)")</t>
  </si>
  <si>
    <t>=NF($D1644,"16 Remaining Amt. (LCY)")</t>
  </si>
  <si>
    <t>=NF($D1607,"5 Document Type")</t>
  </si>
  <si>
    <t>=NF($D1608,"5 Document Type")</t>
  </si>
  <si>
    <t>=NF($D1609,"5 Document Type")</t>
  </si>
  <si>
    <t>=NF($D1610,"5 Document Type")</t>
  </si>
  <si>
    <t>=NF($D1611,"5 Document Type")</t>
  </si>
  <si>
    <t>=NF($D1612,"5 Document Type")</t>
  </si>
  <si>
    <t>=NF($D1613,"5 Document Type")</t>
  </si>
  <si>
    <t>=NF($D1614,"5 Document Type")</t>
  </si>
  <si>
    <t>=NF($D1615,"5 Document Type")</t>
  </si>
  <si>
    <t>=NF($D1616,"5 Document Type")</t>
  </si>
  <si>
    <t>=NF($D1617,"5 Document Type")</t>
  </si>
  <si>
    <t>=NF($D1618,"5 Document Type")</t>
  </si>
  <si>
    <t>=NF($D1619,"5 Document Type")</t>
  </si>
  <si>
    <t>=NF($D1620,"5 Document Type")</t>
  </si>
  <si>
    <t>=NF($D1621,"5 Document Type")</t>
  </si>
  <si>
    <t>=NF($D1622,"5 Document Type")</t>
  </si>
  <si>
    <t>=NF($D1623,"5 Document Type")</t>
  </si>
  <si>
    <t>=NF($D1624,"5 Document Type")</t>
  </si>
  <si>
    <t>=NF($D1607,"6 Document No.")</t>
  </si>
  <si>
    <t>=NF($D1608,"6 Document No.")</t>
  </si>
  <si>
    <t>=NF($D1609,"6 Document No.")</t>
  </si>
  <si>
    <t>=NF($D1610,"6 Document No.")</t>
  </si>
  <si>
    <t>=NF($D1611,"6 Document No.")</t>
  </si>
  <si>
    <t>=NF($D1612,"6 Document No.")</t>
  </si>
  <si>
    <t>=NF($D1613,"6 Document No.")</t>
  </si>
  <si>
    <t>=NF($D1614,"6 Document No.")</t>
  </si>
  <si>
    <t>=NF($D1615,"6 Document No.")</t>
  </si>
  <si>
    <t>=NF($D1616,"6 Document No.")</t>
  </si>
  <si>
    <t>=NF($D1617,"6 Document No.")</t>
  </si>
  <si>
    <t>=NF($D1618,"6 Document No.")</t>
  </si>
  <si>
    <t>=NF($D1619,"6 Document No.")</t>
  </si>
  <si>
    <t>=NF($D1620,"6 Document No.")</t>
  </si>
  <si>
    <t>=NF($D1621,"6 Document No.")</t>
  </si>
  <si>
    <t>=NF($D1622,"6 Document No.")</t>
  </si>
  <si>
    <t>=NF($D1623,"6 Document No.")</t>
  </si>
  <si>
    <t>=NF($D1624,"6 Document No.")</t>
  </si>
  <si>
    <t>=NF($D1607,"37 Due Date")</t>
  </si>
  <si>
    <t>=NF($D1608,"37 Due Date")</t>
  </si>
  <si>
    <t>=NF($D1609,"37 Due Date")</t>
  </si>
  <si>
    <t>=NF($D1610,"37 Due Date")</t>
  </si>
  <si>
    <t>=NF($D1611,"37 Due Date")</t>
  </si>
  <si>
    <t>=NF($D1612,"37 Due Date")</t>
  </si>
  <si>
    <t>=NF($D1613,"37 Due Date")</t>
  </si>
  <si>
    <t>=NF($D1614,"37 Due Date")</t>
  </si>
  <si>
    <t>=NF($D1615,"37 Due Date")</t>
  </si>
  <si>
    <t>=NF($D1616,"37 Due Date")</t>
  </si>
  <si>
    <t>=NF($D1617,"37 Due Date")</t>
  </si>
  <si>
    <t>=NF($D1618,"37 Due Date")</t>
  </si>
  <si>
    <t>=NF($D1619,"37 Due Date")</t>
  </si>
  <si>
    <t>=NF($D1620,"37 Due Date")</t>
  </si>
  <si>
    <t>=NF($D1621,"37 Due Date")</t>
  </si>
  <si>
    <t>=NF($D1622,"37 Due Date")</t>
  </si>
  <si>
    <t>=NF($D1623,"37 Due Date")</t>
  </si>
  <si>
    <t>=NF($D1624,"37 Due Date")</t>
  </si>
  <si>
    <t>=NF($D1607,"16 Remaining Amt. (LCY)")</t>
  </si>
  <si>
    <t>=NF($D1608,"16 Remaining Amt. (LCY)")</t>
  </si>
  <si>
    <t>=NF($D1609,"16 Remaining Amt. (LCY)")</t>
  </si>
  <si>
    <t>=NF($D1610,"16 Remaining Amt. (LCY)")</t>
  </si>
  <si>
    <t>=NF($D1611,"16 Remaining Amt. (LCY)")</t>
  </si>
  <si>
    <t>=NF($D1612,"16 Remaining Amt. (LCY)")</t>
  </si>
  <si>
    <t>=NF($D1613,"16 Remaining Amt. (LCY)")</t>
  </si>
  <si>
    <t>=NF($D1614,"16 Remaining Amt. (LCY)")</t>
  </si>
  <si>
    <t>=NF($D1615,"16 Remaining Amt. (LCY)")</t>
  </si>
  <si>
    <t>=NF($D1616,"16 Remaining Amt. (LCY)")</t>
  </si>
  <si>
    <t>=NF($D1617,"16 Remaining Amt. (LCY)")</t>
  </si>
  <si>
    <t>=NF($D1618,"16 Remaining Amt. (LCY)")</t>
  </si>
  <si>
    <t>=NF($D1619,"16 Remaining Amt. (LCY)")</t>
  </si>
  <si>
    <t>=NF($D1620,"16 Remaining Amt. (LCY)")</t>
  </si>
  <si>
    <t>=NF($D1621,"16 Remaining Amt. (LCY)")</t>
  </si>
  <si>
    <t>=NF($D1622,"16 Remaining Amt. (LCY)")</t>
  </si>
  <si>
    <t>=NF($D1623,"16 Remaining Amt. (LCY)")</t>
  </si>
  <si>
    <t>=NF($D1624,"16 Remaining Amt. (LCY)")</t>
  </si>
  <si>
    <t>=NF($D1549,"5 Document Type")</t>
  </si>
  <si>
    <t>=NF($D1550,"5 Document Type")</t>
  </si>
  <si>
    <t>=NF($D1551,"5 Document Type")</t>
  </si>
  <si>
    <t>=NF($D1552,"5 Document Type")</t>
  </si>
  <si>
    <t>=NF($D1553,"5 Document Type")</t>
  </si>
  <si>
    <t>=NF($D1554,"5 Document Type")</t>
  </si>
  <si>
    <t>=NF($D1555,"5 Document Type")</t>
  </si>
  <si>
    <t>=NF($D1556,"5 Document Type")</t>
  </si>
  <si>
    <t>=NF($D1557,"5 Document Type")</t>
  </si>
  <si>
    <t>=NF($D1558,"5 Document Type")</t>
  </si>
  <si>
    <t>=NF($D1559,"5 Document Type")</t>
  </si>
  <si>
    <t>=NF($D1560,"5 Document Type")</t>
  </si>
  <si>
    <t>=NF($D1561,"5 Document Type")</t>
  </si>
  <si>
    <t>=NF($D1562,"5 Document Type")</t>
  </si>
  <si>
    <t>=NF($D1563,"5 Document Type")</t>
  </si>
  <si>
    <t>=NF($D1564,"5 Document Type")</t>
  </si>
  <si>
    <t>=NF($D1565,"5 Document Type")</t>
  </si>
  <si>
    <t>=NF($D1566,"5 Document Type")</t>
  </si>
  <si>
    <t>=NF($D1567,"5 Document Type")</t>
  </si>
  <si>
    <t>=NF($D1568,"5 Document Type")</t>
  </si>
  <si>
    <t>=NF($D1569,"5 Document Type")</t>
  </si>
  <si>
    <t>=NF($D1570,"5 Document Type")</t>
  </si>
  <si>
    <t>=NF($D1571,"5 Document Type")</t>
  </si>
  <si>
    <t>=NF($D1572,"5 Document Type")</t>
  </si>
  <si>
    <t>=NF($D1573,"5 Document Type")</t>
  </si>
  <si>
    <t>=NF($D1574,"5 Document Type")</t>
  </si>
  <si>
    <t>=NF($D1575,"5 Document Type")</t>
  </si>
  <si>
    <t>=NF($D1576,"5 Document Type")</t>
  </si>
  <si>
    <t>=NF($D1577,"5 Document Type")</t>
  </si>
  <si>
    <t>=NF($D1578,"5 Document Type")</t>
  </si>
  <si>
    <t>=NF($D1579,"5 Document Type")</t>
  </si>
  <si>
    <t>=NF($D1580,"5 Document Type")</t>
  </si>
  <si>
    <t>=NF($D1581,"5 Document Type")</t>
  </si>
  <si>
    <t>=NF($D1582,"5 Document Type")</t>
  </si>
  <si>
    <t>=NF($D1583,"5 Document Type")</t>
  </si>
  <si>
    <t>=NF($D1584,"5 Document Type")</t>
  </si>
  <si>
    <t>=NF($D1585,"5 Document Type")</t>
  </si>
  <si>
    <t>=NF($D1586,"5 Document Type")</t>
  </si>
  <si>
    <t>=NF($D1587,"5 Document Type")</t>
  </si>
  <si>
    <t>=NF($D1588,"5 Document Type")</t>
  </si>
  <si>
    <t>=NF($D1589,"5 Document Type")</t>
  </si>
  <si>
    <t>=NF($D1590,"5 Document Type")</t>
  </si>
  <si>
    <t>=NF($D1591,"5 Document Type")</t>
  </si>
  <si>
    <t>=NF($D1592,"5 Document Type")</t>
  </si>
  <si>
    <t>=NF($D1593,"5 Document Type")</t>
  </si>
  <si>
    <t>=NF($D1594,"5 Document Type")</t>
  </si>
  <si>
    <t>=NF($D1595,"5 Document Type")</t>
  </si>
  <si>
    <t>=NF($D1596,"5 Document Type")</t>
  </si>
  <si>
    <t>=NF($D1597,"5 Document Type")</t>
  </si>
  <si>
    <t>=NF($D1598,"5 Document Type")</t>
  </si>
  <si>
    <t>=NF($D1599,"5 Document Type")</t>
  </si>
  <si>
    <t>=NF($D1600,"5 Document Type")</t>
  </si>
  <si>
    <t>=NF($D1549,"6 Document No.")</t>
  </si>
  <si>
    <t>=NF($D1550,"6 Document No.")</t>
  </si>
  <si>
    <t>=NF($D1551,"6 Document No.")</t>
  </si>
  <si>
    <t>=NF($D1552,"6 Document No.")</t>
  </si>
  <si>
    <t>=NF($D1553,"6 Document No.")</t>
  </si>
  <si>
    <t>=NF($D1554,"6 Document No.")</t>
  </si>
  <si>
    <t>=NF($D1555,"6 Document No.")</t>
  </si>
  <si>
    <t>=NF($D1556,"6 Document No.")</t>
  </si>
  <si>
    <t>=NF($D1557,"6 Document No.")</t>
  </si>
  <si>
    <t>=NF($D1558,"6 Document No.")</t>
  </si>
  <si>
    <t>=NF($D1559,"6 Document No.")</t>
  </si>
  <si>
    <t>=NF($D1560,"6 Document No.")</t>
  </si>
  <si>
    <t>=NF($D1561,"6 Document No.")</t>
  </si>
  <si>
    <t>=NF($D1562,"6 Document No.")</t>
  </si>
  <si>
    <t>=NF($D1563,"6 Document No.")</t>
  </si>
  <si>
    <t>=NF($D1564,"6 Document No.")</t>
  </si>
  <si>
    <t>=NF($D1565,"6 Document No.")</t>
  </si>
  <si>
    <t>=NF($D1566,"6 Document No.")</t>
  </si>
  <si>
    <t>=NF($D1567,"6 Document No.")</t>
  </si>
  <si>
    <t>=NF($D1568,"6 Document No.")</t>
  </si>
  <si>
    <t>=NF($D1569,"6 Document No.")</t>
  </si>
  <si>
    <t>=NF($D1570,"6 Document No.")</t>
  </si>
  <si>
    <t>=NF($D1571,"6 Document No.")</t>
  </si>
  <si>
    <t>=NF($D1572,"6 Document No.")</t>
  </si>
  <si>
    <t>=NF($D1573,"6 Document No.")</t>
  </si>
  <si>
    <t>=NF($D1574,"6 Document No.")</t>
  </si>
  <si>
    <t>=NF($D1575,"6 Document No.")</t>
  </si>
  <si>
    <t>=NF($D1576,"6 Document No.")</t>
  </si>
  <si>
    <t>=NF($D1577,"6 Document No.")</t>
  </si>
  <si>
    <t>=NF($D1578,"6 Document No.")</t>
  </si>
  <si>
    <t>=NF($D1579,"6 Document No.")</t>
  </si>
  <si>
    <t>=NF($D1580,"6 Document No.")</t>
  </si>
  <si>
    <t>=NF($D1581,"6 Document No.")</t>
  </si>
  <si>
    <t>=NF($D1582,"6 Document No.")</t>
  </si>
  <si>
    <t>=NF($D1583,"6 Document No.")</t>
  </si>
  <si>
    <t>=NF($D1584,"6 Document No.")</t>
  </si>
  <si>
    <t>=NF($D1585,"6 Document No.")</t>
  </si>
  <si>
    <t>=NF($D1586,"6 Document No.")</t>
  </si>
  <si>
    <t>=NF($D1587,"6 Document No.")</t>
  </si>
  <si>
    <t>=NF($D1588,"6 Document No.")</t>
  </si>
  <si>
    <t>=NF($D1589,"6 Document No.")</t>
  </si>
  <si>
    <t>=NF($D1590,"6 Document No.")</t>
  </si>
  <si>
    <t>=NF($D1591,"6 Document No.")</t>
  </si>
  <si>
    <t>=NF($D1592,"6 Document No.")</t>
  </si>
  <si>
    <t>=NF($D1593,"6 Document No.")</t>
  </si>
  <si>
    <t>=NF($D1594,"6 Document No.")</t>
  </si>
  <si>
    <t>=NF($D1595,"6 Document No.")</t>
  </si>
  <si>
    <t>=NF($D1596,"6 Document No.")</t>
  </si>
  <si>
    <t>=NF($D1597,"6 Document No.")</t>
  </si>
  <si>
    <t>=NF($D1598,"6 Document No.")</t>
  </si>
  <si>
    <t>=NF($D1599,"6 Document No.")</t>
  </si>
  <si>
    <t>=NF($D1600,"6 Document No.")</t>
  </si>
  <si>
    <t>=NF($D1549,"37 Due Date")</t>
  </si>
  <si>
    <t>=NF($D1550,"37 Due Date")</t>
  </si>
  <si>
    <t>=NF($D1551,"37 Due Date")</t>
  </si>
  <si>
    <t>=NF($D1552,"37 Due Date")</t>
  </si>
  <si>
    <t>=NF($D1553,"37 Due Date")</t>
  </si>
  <si>
    <t>=NF($D1554,"37 Due Date")</t>
  </si>
  <si>
    <t>=NF($D1555,"37 Due Date")</t>
  </si>
  <si>
    <t>=NF($D1556,"37 Due Date")</t>
  </si>
  <si>
    <t>=NF($D1557,"37 Due Date")</t>
  </si>
  <si>
    <t>=NF($D1558,"37 Due Date")</t>
  </si>
  <si>
    <t>=NF($D1559,"37 Due Date")</t>
  </si>
  <si>
    <t>=NF($D1560,"37 Due Date")</t>
  </si>
  <si>
    <t>=NF($D1561,"37 Due Date")</t>
  </si>
  <si>
    <t>=NF($D1562,"37 Due Date")</t>
  </si>
  <si>
    <t>=NF($D1563,"37 Due Date")</t>
  </si>
  <si>
    <t>=NF($D1564,"37 Due Date")</t>
  </si>
  <si>
    <t>=NF($D1565,"37 Due Date")</t>
  </si>
  <si>
    <t>=NF($D1566,"37 Due Date")</t>
  </si>
  <si>
    <t>=NF($D1567,"37 Due Date")</t>
  </si>
  <si>
    <t>=NF($D1568,"37 Due Date")</t>
  </si>
  <si>
    <t>=NF($D1569,"37 Due Date")</t>
  </si>
  <si>
    <t>=NF($D1570,"37 Due Date")</t>
  </si>
  <si>
    <t>=NF($D1571,"37 Due Date")</t>
  </si>
  <si>
    <t>=NF($D1572,"37 Due Date")</t>
  </si>
  <si>
    <t>=NF($D1573,"37 Due Date")</t>
  </si>
  <si>
    <t>=NF($D1574,"37 Due Date")</t>
  </si>
  <si>
    <t>=NF($D1575,"37 Due Date")</t>
  </si>
  <si>
    <t>=NF($D1576,"37 Due Date")</t>
  </si>
  <si>
    <t>=NF($D1577,"37 Due Date")</t>
  </si>
  <si>
    <t>=NF($D1578,"37 Due Date")</t>
  </si>
  <si>
    <t>=NF($D1579,"37 Due Date")</t>
  </si>
  <si>
    <t>=NF($D1580,"37 Due Date")</t>
  </si>
  <si>
    <t>=NF($D1581,"37 Due Date")</t>
  </si>
  <si>
    <t>=NF($D1582,"37 Due Date")</t>
  </si>
  <si>
    <t>=NF($D1583,"37 Due Date")</t>
  </si>
  <si>
    <t>=NF($D1584,"37 Due Date")</t>
  </si>
  <si>
    <t>=NF($D1585,"37 Due Date")</t>
  </si>
  <si>
    <t>=NF($D1586,"37 Due Date")</t>
  </si>
  <si>
    <t>=NF($D1587,"37 Due Date")</t>
  </si>
  <si>
    <t>=NF($D1588,"37 Due Date")</t>
  </si>
  <si>
    <t>=NF($D1589,"37 Due Date")</t>
  </si>
  <si>
    <t>=NF($D1590,"37 Due Date")</t>
  </si>
  <si>
    <t>=NF($D1591,"37 Due Date")</t>
  </si>
  <si>
    <t>=NF($D1592,"37 Due Date")</t>
  </si>
  <si>
    <t>=NF($D1593,"37 Due Date")</t>
  </si>
  <si>
    <t>=NF($D1594,"37 Due Date")</t>
  </si>
  <si>
    <t>=NF($D1595,"37 Due Date")</t>
  </si>
  <si>
    <t>=NF($D1596,"37 Due Date")</t>
  </si>
  <si>
    <t>=NF($D1597,"37 Due Date")</t>
  </si>
  <si>
    <t>=NF($D1598,"37 Due Date")</t>
  </si>
  <si>
    <t>=NF($D1599,"37 Due Date")</t>
  </si>
  <si>
    <t>=NF($D1600,"37 Due Date")</t>
  </si>
  <si>
    <t>=NF($D1549,"16 Remaining Amt. (LCY)")</t>
  </si>
  <si>
    <t>=NF($D1550,"16 Remaining Amt. (LCY)")</t>
  </si>
  <si>
    <t>=NF($D1551,"16 Remaining Amt. (LCY)")</t>
  </si>
  <si>
    <t>=NF($D1552,"16 Remaining Amt. (LCY)")</t>
  </si>
  <si>
    <t>=NF($D1553,"16 Remaining Amt. (LCY)")</t>
  </si>
  <si>
    <t>=NF($D1554,"16 Remaining Amt. (LCY)")</t>
  </si>
  <si>
    <t>=NF($D1555,"16 Remaining Amt. (LCY)")</t>
  </si>
  <si>
    <t>=NF($D1556,"16 Remaining Amt. (LCY)")</t>
  </si>
  <si>
    <t>=NF($D1557,"16 Remaining Amt. (LCY)")</t>
  </si>
  <si>
    <t>=NF($D1558,"16 Remaining Amt. (LCY)")</t>
  </si>
  <si>
    <t>=NF($D1559,"16 Remaining Amt. (LCY)")</t>
  </si>
  <si>
    <t>=NF($D1560,"16 Remaining Amt. (LCY)")</t>
  </si>
  <si>
    <t>=NF($D1561,"16 Remaining Amt. (LCY)")</t>
  </si>
  <si>
    <t>=NF($D1562,"16 Remaining Amt. (LCY)")</t>
  </si>
  <si>
    <t>=NF($D1563,"16 Remaining Amt. (LCY)")</t>
  </si>
  <si>
    <t>=NF($D1564,"16 Remaining Amt. (LCY)")</t>
  </si>
  <si>
    <t>=NF($D1565,"16 Remaining Amt. (LCY)")</t>
  </si>
  <si>
    <t>=NF($D1566,"16 Remaining Amt. (LCY)")</t>
  </si>
  <si>
    <t>=NF($D1567,"16 Remaining Amt. (LCY)")</t>
  </si>
  <si>
    <t>=NF($D1568,"16 Remaining Amt. (LCY)")</t>
  </si>
  <si>
    <t>=NF($D1569,"16 Remaining Amt. (LCY)")</t>
  </si>
  <si>
    <t>=NF($D1570,"16 Remaining Amt. (LCY)")</t>
  </si>
  <si>
    <t>=NF($D1571,"16 Remaining Amt. (LCY)")</t>
  </si>
  <si>
    <t>=NF($D1572,"16 Remaining Amt. (LCY)")</t>
  </si>
  <si>
    <t>=NF($D1573,"16 Remaining Amt. (LCY)")</t>
  </si>
  <si>
    <t>=NF($D1574,"16 Remaining Amt. (LCY)")</t>
  </si>
  <si>
    <t>=NF($D1575,"16 Remaining Amt. (LCY)")</t>
  </si>
  <si>
    <t>=NF($D1576,"16 Remaining Amt. (LCY)")</t>
  </si>
  <si>
    <t>=NF($D1577,"16 Remaining Amt. (LCY)")</t>
  </si>
  <si>
    <t>=NF($D1578,"16 Remaining Amt. (LCY)")</t>
  </si>
  <si>
    <t>=NF($D1579,"16 Remaining Amt. (LCY)")</t>
  </si>
  <si>
    <t>=NF($D1580,"16 Remaining Amt. (LCY)")</t>
  </si>
  <si>
    <t>=NF($D1581,"16 Remaining Amt. (LCY)")</t>
  </si>
  <si>
    <t>=NF($D1582,"16 Remaining Amt. (LCY)")</t>
  </si>
  <si>
    <t>=NF($D1583,"16 Remaining Amt. (LCY)")</t>
  </si>
  <si>
    <t>=NF($D1584,"16 Remaining Amt. (LCY)")</t>
  </si>
  <si>
    <t>=NF($D1585,"16 Remaining Amt. (LCY)")</t>
  </si>
  <si>
    <t>=NF($D1586,"16 Remaining Amt. (LCY)")</t>
  </si>
  <si>
    <t>=NF($D1587,"16 Remaining Amt. (LCY)")</t>
  </si>
  <si>
    <t>=NF($D1588,"16 Remaining Amt. (LCY)")</t>
  </si>
  <si>
    <t>=NF($D1589,"16 Remaining Amt. (LCY)")</t>
  </si>
  <si>
    <t>=NF($D1590,"16 Remaining Amt. (LCY)")</t>
  </si>
  <si>
    <t>=NF($D1591,"16 Remaining Amt. (LCY)")</t>
  </si>
  <si>
    <t>=NF($D1592,"16 Remaining Amt. (LCY)")</t>
  </si>
  <si>
    <t>=NF($D1593,"16 Remaining Amt. (LCY)")</t>
  </si>
  <si>
    <t>=NF($D1594,"16 Remaining Amt. (LCY)")</t>
  </si>
  <si>
    <t>=NF($D1595,"16 Remaining Amt. (LCY)")</t>
  </si>
  <si>
    <t>=NF($D1596,"16 Remaining Amt. (LCY)")</t>
  </si>
  <si>
    <t>=NF($D1597,"16 Remaining Amt. (LCY)")</t>
  </si>
  <si>
    <t>=NF($D1598,"16 Remaining Amt. (LCY)")</t>
  </si>
  <si>
    <t>=NF($D1599,"16 Remaining Amt. (LCY)")</t>
  </si>
  <si>
    <t>=NF($D1600,"16 Remaining Amt. (LCY)")</t>
  </si>
  <si>
    <t>=NF($D1479,"5 Document Type")</t>
  </si>
  <si>
    <t>=NF($D1480,"5 Document Type")</t>
  </si>
  <si>
    <t>=NF($D1481,"5 Document Type")</t>
  </si>
  <si>
    <t>=NF($D1482,"5 Document Type")</t>
  </si>
  <si>
    <t>=NF($D1483,"5 Document Type")</t>
  </si>
  <si>
    <t>=NF($D1484,"5 Document Type")</t>
  </si>
  <si>
    <t>=NF($D1485,"5 Document Type")</t>
  </si>
  <si>
    <t>=NF($D1486,"5 Document Type")</t>
  </si>
  <si>
    <t>=NF($D1487,"5 Document Type")</t>
  </si>
  <si>
    <t>=NF($D1488,"5 Document Type")</t>
  </si>
  <si>
    <t>=NF($D1489,"5 Document Type")</t>
  </si>
  <si>
    <t>=NF($D1490,"5 Document Type")</t>
  </si>
  <si>
    <t>=NF($D1491,"5 Document Type")</t>
  </si>
  <si>
    <t>=NF($D1492,"5 Document Type")</t>
  </si>
  <si>
    <t>=NF($D1493,"5 Document Type")</t>
  </si>
  <si>
    <t>=NF($D1494,"5 Document Type")</t>
  </si>
  <si>
    <t>=NF($D1495,"5 Document Type")</t>
  </si>
  <si>
    <t>=NF($D1496,"5 Document Type")</t>
  </si>
  <si>
    <t>=NF($D1497,"5 Document Type")</t>
  </si>
  <si>
    <t>=NF($D1498,"5 Document Type")</t>
  </si>
  <si>
    <t>=NF($D1499,"5 Document Type")</t>
  </si>
  <si>
    <t>=NF($D1500,"5 Document Type")</t>
  </si>
  <si>
    <t>=NF($D1501,"5 Document Type")</t>
  </si>
  <si>
    <t>=NF($D1502,"5 Document Type")</t>
  </si>
  <si>
    <t>=NF($D1503,"5 Document Type")</t>
  </si>
  <si>
    <t>=NF($D1504,"5 Document Type")</t>
  </si>
  <si>
    <t>=NF($D1505,"5 Document Type")</t>
  </si>
  <si>
    <t>=NF($D1506,"5 Document Type")</t>
  </si>
  <si>
    <t>=NF($D1507,"5 Document Type")</t>
  </si>
  <si>
    <t>=NF($D1508,"5 Document Type")</t>
  </si>
  <si>
    <t>=NF($D1509,"5 Document Type")</t>
  </si>
  <si>
    <t>=NF($D1510,"5 Document Type")</t>
  </si>
  <si>
    <t>=NF($D1511,"5 Document Type")</t>
  </si>
  <si>
    <t>=NF($D1512,"5 Document Type")</t>
  </si>
  <si>
    <t>=NF($D1513,"5 Document Type")</t>
  </si>
  <si>
    <t>=NF($D1514,"5 Document Type")</t>
  </si>
  <si>
    <t>=NF($D1515,"5 Document Type")</t>
  </si>
  <si>
    <t>=NF($D1516,"5 Document Type")</t>
  </si>
  <si>
    <t>=NF($D1517,"5 Document Type")</t>
  </si>
  <si>
    <t>=NF($D1518,"5 Document Type")</t>
  </si>
  <si>
    <t>=NF($D1519,"5 Document Type")</t>
  </si>
  <si>
    <t>=NF($D1520,"5 Document Type")</t>
  </si>
  <si>
    <t>=NF($D1521,"5 Document Type")</t>
  </si>
  <si>
    <t>=NF($D1522,"5 Document Type")</t>
  </si>
  <si>
    <t>=NF($D1523,"5 Document Type")</t>
  </si>
  <si>
    <t>=NF($D1524,"5 Document Type")</t>
  </si>
  <si>
    <t>=NF($D1525,"5 Document Type")</t>
  </si>
  <si>
    <t>=NF($D1526,"5 Document Type")</t>
  </si>
  <si>
    <t>=NF($D1527,"5 Document Type")</t>
  </si>
  <si>
    <t>=NF($D1528,"5 Document Type")</t>
  </si>
  <si>
    <t>=NF($D1529,"5 Document Type")</t>
  </si>
  <si>
    <t>=NF($D1530,"5 Document Type")</t>
  </si>
  <si>
    <t>=NF($D1531,"5 Document Type")</t>
  </si>
  <si>
    <t>=NF($D1532,"5 Document Type")</t>
  </si>
  <si>
    <t>=NF($D1533,"5 Document Type")</t>
  </si>
  <si>
    <t>=NF($D1534,"5 Document Type")</t>
  </si>
  <si>
    <t>=NF($D1535,"5 Document Type")</t>
  </si>
  <si>
    <t>=NF($D1536,"5 Document Type")</t>
  </si>
  <si>
    <t>=NF($D1537,"5 Document Type")</t>
  </si>
  <si>
    <t>=NF($D1538,"5 Document Type")</t>
  </si>
  <si>
    <t>=NF($D1539,"5 Document Type")</t>
  </si>
  <si>
    <t>=NF($D1540,"5 Document Type")</t>
  </si>
  <si>
    <t>=NF($D1541,"5 Document Type")</t>
  </si>
  <si>
    <t>=NF($D1542,"5 Document Type")</t>
  </si>
  <si>
    <t>=NF($D1479,"6 Document No.")</t>
  </si>
  <si>
    <t>=NF($D1480,"6 Document No.")</t>
  </si>
  <si>
    <t>=NF($D1481,"6 Document No.")</t>
  </si>
  <si>
    <t>=NF($D1482,"6 Document No.")</t>
  </si>
  <si>
    <t>=NF($D1483,"6 Document No.")</t>
  </si>
  <si>
    <t>=NF($D1484,"6 Document No.")</t>
  </si>
  <si>
    <t>=NF($D1485,"6 Document No.")</t>
  </si>
  <si>
    <t>=NF($D1486,"6 Document No.")</t>
  </si>
  <si>
    <t>=NF($D1487,"6 Document No.")</t>
  </si>
  <si>
    <t>=NF($D1488,"6 Document No.")</t>
  </si>
  <si>
    <t>=NF($D1489,"6 Document No.")</t>
  </si>
  <si>
    <t>=NF($D1490,"6 Document No.")</t>
  </si>
  <si>
    <t>=NF($D1491,"6 Document No.")</t>
  </si>
  <si>
    <t>=NF($D1492,"6 Document No.")</t>
  </si>
  <si>
    <t>=NF($D1493,"6 Document No.")</t>
  </si>
  <si>
    <t>=NF($D1494,"6 Document No.")</t>
  </si>
  <si>
    <t>=NF($D1495,"6 Document No.")</t>
  </si>
  <si>
    <t>=NF($D1496,"6 Document No.")</t>
  </si>
  <si>
    <t>=NF($D1497,"6 Document No.")</t>
  </si>
  <si>
    <t>=NF($D1498,"6 Document No.")</t>
  </si>
  <si>
    <t>=NF($D1499,"6 Document No.")</t>
  </si>
  <si>
    <t>=NF($D1500,"6 Document No.")</t>
  </si>
  <si>
    <t>=NF($D1501,"6 Document No.")</t>
  </si>
  <si>
    <t>=NF($D1502,"6 Document No.")</t>
  </si>
  <si>
    <t>=NF($D1503,"6 Document No.")</t>
  </si>
  <si>
    <t>=NF($D1504,"6 Document No.")</t>
  </si>
  <si>
    <t>=NF($D1505,"6 Document No.")</t>
  </si>
  <si>
    <t>=NF($D1506,"6 Document No.")</t>
  </si>
  <si>
    <t>=NF($D1507,"6 Document No.")</t>
  </si>
  <si>
    <t>=NF($D1508,"6 Document No.")</t>
  </si>
  <si>
    <t>=NF($D1509,"6 Document No.")</t>
  </si>
  <si>
    <t>=NF($D1510,"6 Document No.")</t>
  </si>
  <si>
    <t>=NF($D1511,"6 Document No.")</t>
  </si>
  <si>
    <t>=NF($D1512,"6 Document No.")</t>
  </si>
  <si>
    <t>=NF($D1513,"6 Document No.")</t>
  </si>
  <si>
    <t>=NF($D1514,"6 Document No.")</t>
  </si>
  <si>
    <t>=NF($D1515,"6 Document No.")</t>
  </si>
  <si>
    <t>=NF($D1516,"6 Document No.")</t>
  </si>
  <si>
    <t>=NF($D1517,"6 Document No.")</t>
  </si>
  <si>
    <t>=NF($D1518,"6 Document No.")</t>
  </si>
  <si>
    <t>=NF($D1519,"6 Document No.")</t>
  </si>
  <si>
    <t>=NF($D1520,"6 Document No.")</t>
  </si>
  <si>
    <t>=NF($D1521,"6 Document No.")</t>
  </si>
  <si>
    <t>=NF($D1522,"6 Document No.")</t>
  </si>
  <si>
    <t>=NF($D1523,"6 Document No.")</t>
  </si>
  <si>
    <t>=NF($D1524,"6 Document No.")</t>
  </si>
  <si>
    <t>=NF($D1525,"6 Document No.")</t>
  </si>
  <si>
    <t>=NF($D1526,"6 Document No.")</t>
  </si>
  <si>
    <t>=NF($D1527,"6 Document No.")</t>
  </si>
  <si>
    <t>=NF($D1528,"6 Document No.")</t>
  </si>
  <si>
    <t>=NF($D1529,"6 Document No.")</t>
  </si>
  <si>
    <t>=NF($D1530,"6 Document No.")</t>
  </si>
  <si>
    <t>=NF($D1531,"6 Document No.")</t>
  </si>
  <si>
    <t>=NF($D1532,"6 Document No.")</t>
  </si>
  <si>
    <t>=NF($D1533,"6 Document No.")</t>
  </si>
  <si>
    <t>=NF($D1534,"6 Document No.")</t>
  </si>
  <si>
    <t>=NF($D1535,"6 Document No.")</t>
  </si>
  <si>
    <t>=NF($D1536,"6 Document No.")</t>
  </si>
  <si>
    <t>=NF($D1537,"6 Document No.")</t>
  </si>
  <si>
    <t>=NF($D1538,"6 Document No.")</t>
  </si>
  <si>
    <t>=NF($D1539,"6 Document No.")</t>
  </si>
  <si>
    <t>=NF($D1540,"6 Document No.")</t>
  </si>
  <si>
    <t>=NF($D1541,"6 Document No.")</t>
  </si>
  <si>
    <t>=NF($D1542,"6 Document No.")</t>
  </si>
  <si>
    <t>=NF($D1479,"37 Due Date")</t>
  </si>
  <si>
    <t>=NF($D1480,"37 Due Date")</t>
  </si>
  <si>
    <t>=NF($D1481,"37 Due Date")</t>
  </si>
  <si>
    <t>=NF($D1482,"37 Due Date")</t>
  </si>
  <si>
    <t>=NF($D1483,"37 Due Date")</t>
  </si>
  <si>
    <t>=NF($D1484,"37 Due Date")</t>
  </si>
  <si>
    <t>=NF($D1485,"37 Due Date")</t>
  </si>
  <si>
    <t>=NF($D1486,"37 Due Date")</t>
  </si>
  <si>
    <t>=NF($D1487,"37 Due Date")</t>
  </si>
  <si>
    <t>=NF($D1488,"37 Due Date")</t>
  </si>
  <si>
    <t>=NF($D1489,"37 Due Date")</t>
  </si>
  <si>
    <t>=NF($D1490,"37 Due Date")</t>
  </si>
  <si>
    <t>=NF($D1491,"37 Due Date")</t>
  </si>
  <si>
    <t>=NF($D1492,"37 Due Date")</t>
  </si>
  <si>
    <t>=NF($D1493,"37 Due Date")</t>
  </si>
  <si>
    <t>=NF($D1494,"37 Due Date")</t>
  </si>
  <si>
    <t>=NF($D1495,"37 Due Date")</t>
  </si>
  <si>
    <t>=NF($D1496,"37 Due Date")</t>
  </si>
  <si>
    <t>=NF($D1497,"37 Due Date")</t>
  </si>
  <si>
    <t>=NF($D1498,"37 Due Date")</t>
  </si>
  <si>
    <t>=NF($D1499,"37 Due Date")</t>
  </si>
  <si>
    <t>=NF($D1500,"37 Due Date")</t>
  </si>
  <si>
    <t>=NF($D1501,"37 Due Date")</t>
  </si>
  <si>
    <t>=NF($D1502,"37 Due Date")</t>
  </si>
  <si>
    <t>=NF($D1503,"37 Due Date")</t>
  </si>
  <si>
    <t>=NF($D1504,"37 Due Date")</t>
  </si>
  <si>
    <t>=NF($D1505,"37 Due Date")</t>
  </si>
  <si>
    <t>=NF($D1506,"37 Due Date")</t>
  </si>
  <si>
    <t>=NF($D1507,"37 Due Date")</t>
  </si>
  <si>
    <t>=NF($D1508,"37 Due Date")</t>
  </si>
  <si>
    <t>=NF($D1509,"37 Due Date")</t>
  </si>
  <si>
    <t>=NF($D1510,"37 Due Date")</t>
  </si>
  <si>
    <t>=NF($D1511,"37 Due Date")</t>
  </si>
  <si>
    <t>=NF($D1512,"37 Due Date")</t>
  </si>
  <si>
    <t>=NF($D1513,"37 Due Date")</t>
  </si>
  <si>
    <t>=NF($D1514,"37 Due Date")</t>
  </si>
  <si>
    <t>=NF($D1515,"37 Due Date")</t>
  </si>
  <si>
    <t>=NF($D1516,"37 Due Date")</t>
  </si>
  <si>
    <t>=NF($D1517,"37 Due Date")</t>
  </si>
  <si>
    <t>=NF($D1518,"37 Due Date")</t>
  </si>
  <si>
    <t>=NF($D1519,"37 Due Date")</t>
  </si>
  <si>
    <t>=NF($D1520,"37 Due Date")</t>
  </si>
  <si>
    <t>=NF($D1521,"37 Due Date")</t>
  </si>
  <si>
    <t>=NF($D1522,"37 Due Date")</t>
  </si>
  <si>
    <t>=NF($D1523,"37 Due Date")</t>
  </si>
  <si>
    <t>=NF($D1524,"37 Due Date")</t>
  </si>
  <si>
    <t>=NF($D1525,"37 Due Date")</t>
  </si>
  <si>
    <t>=NF($D1526,"37 Due Date")</t>
  </si>
  <si>
    <t>=NF($D1527,"37 Due Date")</t>
  </si>
  <si>
    <t>=NF($D1528,"37 Due Date")</t>
  </si>
  <si>
    <t>=NF($D1529,"37 Due Date")</t>
  </si>
  <si>
    <t>=NF($D1530,"37 Due Date")</t>
  </si>
  <si>
    <t>=NF($D1531,"37 Due Date")</t>
  </si>
  <si>
    <t>=NF($D1532,"37 Due Date")</t>
  </si>
  <si>
    <t>=NF($D1533,"37 Due Date")</t>
  </si>
  <si>
    <t>=NF($D1534,"37 Due Date")</t>
  </si>
  <si>
    <t>=NF($D1535,"37 Due Date")</t>
  </si>
  <si>
    <t>=NF($D1536,"37 Due Date")</t>
  </si>
  <si>
    <t>=NF($D1537,"37 Due Date")</t>
  </si>
  <si>
    <t>=NF($D1538,"37 Due Date")</t>
  </si>
  <si>
    <t>=NF($D1539,"37 Due Date")</t>
  </si>
  <si>
    <t>=NF($D1540,"37 Due Date")</t>
  </si>
  <si>
    <t>=NF($D1541,"37 Due Date")</t>
  </si>
  <si>
    <t>=NF($D1542,"37 Due Date")</t>
  </si>
  <si>
    <t>=NF($D1479,"16 Remaining Amt. (LCY)")</t>
  </si>
  <si>
    <t>=NF($D1480,"16 Remaining Amt. (LCY)")</t>
  </si>
  <si>
    <t>=NF($D1481,"16 Remaining Amt. (LCY)")</t>
  </si>
  <si>
    <t>=NF($D1482,"16 Remaining Amt. (LCY)")</t>
  </si>
  <si>
    <t>=NF($D1483,"16 Remaining Amt. (LCY)")</t>
  </si>
  <si>
    <t>=NF($D1484,"16 Remaining Amt. (LCY)")</t>
  </si>
  <si>
    <t>=NF($D1485,"16 Remaining Amt. (LCY)")</t>
  </si>
  <si>
    <t>=NF($D1486,"16 Remaining Amt. (LCY)")</t>
  </si>
  <si>
    <t>=NF($D1487,"16 Remaining Amt. (LCY)")</t>
  </si>
  <si>
    <t>=NF($D1488,"16 Remaining Amt. (LCY)")</t>
  </si>
  <si>
    <t>=NF($D1489,"16 Remaining Amt. (LCY)")</t>
  </si>
  <si>
    <t>=NF($D1490,"16 Remaining Amt. (LCY)")</t>
  </si>
  <si>
    <t>=NF($D1491,"16 Remaining Amt. (LCY)")</t>
  </si>
  <si>
    <t>=NF($D1492,"16 Remaining Amt. (LCY)")</t>
  </si>
  <si>
    <t>=NF($D1493,"16 Remaining Amt. (LCY)")</t>
  </si>
  <si>
    <t>=NF($D1494,"16 Remaining Amt. (LCY)")</t>
  </si>
  <si>
    <t>=NF($D1495,"16 Remaining Amt. (LCY)")</t>
  </si>
  <si>
    <t>=NF($D1496,"16 Remaining Amt. (LCY)")</t>
  </si>
  <si>
    <t>=NF($D1497,"16 Remaining Amt. (LCY)")</t>
  </si>
  <si>
    <t>=NF($D1498,"16 Remaining Amt. (LCY)")</t>
  </si>
  <si>
    <t>=NF($D1499,"16 Remaining Amt. (LCY)")</t>
  </si>
  <si>
    <t>=NF($D1500,"16 Remaining Amt. (LCY)")</t>
  </si>
  <si>
    <t>=NF($D1501,"16 Remaining Amt. (LCY)")</t>
  </si>
  <si>
    <t>=NF($D1502,"16 Remaining Amt. (LCY)")</t>
  </si>
  <si>
    <t>=NF($D1503,"16 Remaining Amt. (LCY)")</t>
  </si>
  <si>
    <t>=NF($D1504,"16 Remaining Amt. (LCY)")</t>
  </si>
  <si>
    <t>=NF($D1505,"16 Remaining Amt. (LCY)")</t>
  </si>
  <si>
    <t>=NF($D1506,"16 Remaining Amt. (LCY)")</t>
  </si>
  <si>
    <t>=NF($D1507,"16 Remaining Amt. (LCY)")</t>
  </si>
  <si>
    <t>=NF($D1508,"16 Remaining Amt. (LCY)")</t>
  </si>
  <si>
    <t>=NF($D1509,"16 Remaining Amt. (LCY)")</t>
  </si>
  <si>
    <t>=NF($D1510,"16 Remaining Amt. (LCY)")</t>
  </si>
  <si>
    <t>=NF($D1511,"16 Remaining Amt. (LCY)")</t>
  </si>
  <si>
    <t>=NF($D1512,"16 Remaining Amt. (LCY)")</t>
  </si>
  <si>
    <t>=NF($D1513,"16 Remaining Amt. (LCY)")</t>
  </si>
  <si>
    <t>=NF($D1514,"16 Remaining Amt. (LCY)")</t>
  </si>
  <si>
    <t>=NF($D1515,"16 Remaining Amt. (LCY)")</t>
  </si>
  <si>
    <t>=NF($D1516,"16 Remaining Amt. (LCY)")</t>
  </si>
  <si>
    <t>=NF($D1517,"16 Remaining Amt. (LCY)")</t>
  </si>
  <si>
    <t>=NF($D1518,"16 Remaining Amt. (LCY)")</t>
  </si>
  <si>
    <t>=NF($D1519,"16 Remaining Amt. (LCY)")</t>
  </si>
  <si>
    <t>=NF($D1520,"16 Remaining Amt. (LCY)")</t>
  </si>
  <si>
    <t>=NF($D1521,"16 Remaining Amt. (LCY)")</t>
  </si>
  <si>
    <t>=NF($D1522,"16 Remaining Amt. (LCY)")</t>
  </si>
  <si>
    <t>=NF($D1523,"16 Remaining Amt. (LCY)")</t>
  </si>
  <si>
    <t>=NF($D1524,"16 Remaining Amt. (LCY)")</t>
  </si>
  <si>
    <t>=NF($D1525,"16 Remaining Amt. (LCY)")</t>
  </si>
  <si>
    <t>=NF($D1526,"16 Remaining Amt. (LCY)")</t>
  </si>
  <si>
    <t>=NF($D1527,"16 Remaining Amt. (LCY)")</t>
  </si>
  <si>
    <t>=NF($D1528,"16 Remaining Amt. (LCY)")</t>
  </si>
  <si>
    <t>=NF($D1529,"16 Remaining Amt. (LCY)")</t>
  </si>
  <si>
    <t>=NF($D1530,"16 Remaining Amt. (LCY)")</t>
  </si>
  <si>
    <t>=NF($D1531,"16 Remaining Amt. (LCY)")</t>
  </si>
  <si>
    <t>=NF($D1532,"16 Remaining Amt. (LCY)")</t>
  </si>
  <si>
    <t>=NF($D1533,"16 Remaining Amt. (LCY)")</t>
  </si>
  <si>
    <t>=NF($D1534,"16 Remaining Amt. (LCY)")</t>
  </si>
  <si>
    <t>=NF($D1535,"16 Remaining Amt. (LCY)")</t>
  </si>
  <si>
    <t>=NF($D1536,"16 Remaining Amt. (LCY)")</t>
  </si>
  <si>
    <t>=NF($D1537,"16 Remaining Amt. (LCY)")</t>
  </si>
  <si>
    <t>=NF($D1538,"16 Remaining Amt. (LCY)")</t>
  </si>
  <si>
    <t>=NF($D1539,"16 Remaining Amt. (LCY)")</t>
  </si>
  <si>
    <t>=NF($D1540,"16 Remaining Amt. (LCY)")</t>
  </si>
  <si>
    <t>=NF($D1541,"16 Remaining Amt. (LCY)")</t>
  </si>
  <si>
    <t>=NF($D1542,"16 Remaining Amt. (LCY)")</t>
  </si>
  <si>
    <t>=NF($D1454,"5 Document Type")</t>
  </si>
  <si>
    <t>=NF($D1455,"5 Document Type")</t>
  </si>
  <si>
    <t>=NF($D1456,"5 Document Type")</t>
  </si>
  <si>
    <t>=NF($D1457,"5 Document Type")</t>
  </si>
  <si>
    <t>=NF($D1458,"5 Document Type")</t>
  </si>
  <si>
    <t>=NF($D1459,"5 Document Type")</t>
  </si>
  <si>
    <t>=NF($D1460,"5 Document Type")</t>
  </si>
  <si>
    <t>=NF($D1461,"5 Document Type")</t>
  </si>
  <si>
    <t>=NF($D1462,"5 Document Type")</t>
  </si>
  <si>
    <t>=NF($D1463,"5 Document Type")</t>
  </si>
  <si>
    <t>=NF($D1464,"5 Document Type")</t>
  </si>
  <si>
    <t>=NF($D1465,"5 Document Type")</t>
  </si>
  <si>
    <t>=NF($D1466,"5 Document Type")</t>
  </si>
  <si>
    <t>=NF($D1467,"5 Document Type")</t>
  </si>
  <si>
    <t>=NF($D1468,"5 Document Type")</t>
  </si>
  <si>
    <t>=NF($D1469,"5 Document Type")</t>
  </si>
  <si>
    <t>=NF($D1470,"5 Document Type")</t>
  </si>
  <si>
    <t>=NF($D1471,"5 Document Type")</t>
  </si>
  <si>
    <t>=NF($D1472,"5 Document Type")</t>
  </si>
  <si>
    <t>=NF($D1454,"6 Document No.")</t>
  </si>
  <si>
    <t>=NF($D1455,"6 Document No.")</t>
  </si>
  <si>
    <t>=NF($D1456,"6 Document No.")</t>
  </si>
  <si>
    <t>=NF($D1457,"6 Document No.")</t>
  </si>
  <si>
    <t>=NF($D1458,"6 Document No.")</t>
  </si>
  <si>
    <t>=NF($D1459,"6 Document No.")</t>
  </si>
  <si>
    <t>=NF($D1460,"6 Document No.")</t>
  </si>
  <si>
    <t>=NF($D1461,"6 Document No.")</t>
  </si>
  <si>
    <t>=NF($D1462,"6 Document No.")</t>
  </si>
  <si>
    <t>=NF($D1463,"6 Document No.")</t>
  </si>
  <si>
    <t>=NF($D1464,"6 Document No.")</t>
  </si>
  <si>
    <t>=NF($D1465,"6 Document No.")</t>
  </si>
  <si>
    <t>=NF($D1466,"6 Document No.")</t>
  </si>
  <si>
    <t>=NF($D1467,"6 Document No.")</t>
  </si>
  <si>
    <t>=NF($D1468,"6 Document No.")</t>
  </si>
  <si>
    <t>=NF($D1469,"6 Document No.")</t>
  </si>
  <si>
    <t>=NF($D1470,"6 Document No.")</t>
  </si>
  <si>
    <t>=NF($D1471,"6 Document No.")</t>
  </si>
  <si>
    <t>=NF($D1472,"6 Document No.")</t>
  </si>
  <si>
    <t>=NF($D1454,"37 Due Date")</t>
  </si>
  <si>
    <t>=NF($D1455,"37 Due Date")</t>
  </si>
  <si>
    <t>=NF($D1456,"37 Due Date")</t>
  </si>
  <si>
    <t>=NF($D1457,"37 Due Date")</t>
  </si>
  <si>
    <t>=NF($D1458,"37 Due Date")</t>
  </si>
  <si>
    <t>=NF($D1459,"37 Due Date")</t>
  </si>
  <si>
    <t>=NF($D1460,"37 Due Date")</t>
  </si>
  <si>
    <t>=NF($D1461,"37 Due Date")</t>
  </si>
  <si>
    <t>=NF($D1462,"37 Due Date")</t>
  </si>
  <si>
    <t>=NF($D1463,"37 Due Date")</t>
  </si>
  <si>
    <t>=NF($D1464,"37 Due Date")</t>
  </si>
  <si>
    <t>=NF($D1465,"37 Due Date")</t>
  </si>
  <si>
    <t>=NF($D1466,"37 Due Date")</t>
  </si>
  <si>
    <t>=NF($D1467,"37 Due Date")</t>
  </si>
  <si>
    <t>=NF($D1468,"37 Due Date")</t>
  </si>
  <si>
    <t>=NF($D1469,"37 Due Date")</t>
  </si>
  <si>
    <t>=NF($D1470,"37 Due Date")</t>
  </si>
  <si>
    <t>=NF($D1471,"37 Due Date")</t>
  </si>
  <si>
    <t>=NF($D1472,"37 Due Date")</t>
  </si>
  <si>
    <t>=NF($D1454,"16 Remaining Amt. (LCY)")</t>
  </si>
  <si>
    <t>=NF($D1455,"16 Remaining Amt. (LCY)")</t>
  </si>
  <si>
    <t>=NF($D1456,"16 Remaining Amt. (LCY)")</t>
  </si>
  <si>
    <t>=NF($D1457,"16 Remaining Amt. (LCY)")</t>
  </si>
  <si>
    <t>=NF($D1458,"16 Remaining Amt. (LCY)")</t>
  </si>
  <si>
    <t>=NF($D1459,"16 Remaining Amt. (LCY)")</t>
  </si>
  <si>
    <t>=NF($D1460,"16 Remaining Amt. (LCY)")</t>
  </si>
  <si>
    <t>=NF($D1461,"16 Remaining Amt. (LCY)")</t>
  </si>
  <si>
    <t>=NF($D1462,"16 Remaining Amt. (LCY)")</t>
  </si>
  <si>
    <t>=NF($D1463,"16 Remaining Amt. (LCY)")</t>
  </si>
  <si>
    <t>=NF($D1464,"16 Remaining Amt. (LCY)")</t>
  </si>
  <si>
    <t>=NF($D1465,"16 Remaining Amt. (LCY)")</t>
  </si>
  <si>
    <t>=NF($D1466,"16 Remaining Amt. (LCY)")</t>
  </si>
  <si>
    <t>=NF($D1467,"16 Remaining Amt. (LCY)")</t>
  </si>
  <si>
    <t>=NF($D1468,"16 Remaining Amt. (LCY)")</t>
  </si>
  <si>
    <t>=NF($D1469,"16 Remaining Amt. (LCY)")</t>
  </si>
  <si>
    <t>=NF($D1470,"16 Remaining Amt. (LCY)")</t>
  </si>
  <si>
    <t>=NF($D1471,"16 Remaining Amt. (LCY)")</t>
  </si>
  <si>
    <t>=NF($D1472,"16 Remaining Amt. (LCY)")</t>
  </si>
  <si>
    <t>=NF($D1425,"5 Document Type")</t>
  </si>
  <si>
    <t>=NF($D1426,"5 Document Type")</t>
  </si>
  <si>
    <t>=NF($D1427,"5 Document Type")</t>
  </si>
  <si>
    <t>=NF($D1428,"5 Document Type")</t>
  </si>
  <si>
    <t>=NF($D1429,"5 Document Type")</t>
  </si>
  <si>
    <t>=NF($D1430,"5 Document Type")</t>
  </si>
  <si>
    <t>=NF($D1431,"5 Document Type")</t>
  </si>
  <si>
    <t>=NF($D1432,"5 Document Type")</t>
  </si>
  <si>
    <t>=NF($D1433,"5 Document Type")</t>
  </si>
  <si>
    <t>=NF($D1434,"5 Document Type")</t>
  </si>
  <si>
    <t>=NF($D1435,"5 Document Type")</t>
  </si>
  <si>
    <t>=NF($D1436,"5 Document Type")</t>
  </si>
  <si>
    <t>=NF($D1437,"5 Document Type")</t>
  </si>
  <si>
    <t>=NF($D1438,"5 Document Type")</t>
  </si>
  <si>
    <t>=NF($D1439,"5 Document Type")</t>
  </si>
  <si>
    <t>=NF($D1440,"5 Document Type")</t>
  </si>
  <si>
    <t>=NF($D1441,"5 Document Type")</t>
  </si>
  <si>
    <t>=NF($D1442,"5 Document Type")</t>
  </si>
  <si>
    <t>=NF($D1443,"5 Document Type")</t>
  </si>
  <si>
    <t>=NF($D1444,"5 Document Type")</t>
  </si>
  <si>
    <t>=NF($D1445,"5 Document Type")</t>
  </si>
  <si>
    <t>=NF($D1446,"5 Document Type")</t>
  </si>
  <si>
    <t>=NF($D1447,"5 Document Type")</t>
  </si>
  <si>
    <t>=NF($D1425,"6 Document No.")</t>
  </si>
  <si>
    <t>=NF($D1426,"6 Document No.")</t>
  </si>
  <si>
    <t>=NF($D1427,"6 Document No.")</t>
  </si>
  <si>
    <t>=NF($D1428,"6 Document No.")</t>
  </si>
  <si>
    <t>=NF($D1429,"6 Document No.")</t>
  </si>
  <si>
    <t>=NF($D1430,"6 Document No.")</t>
  </si>
  <si>
    <t>=NF($D1431,"6 Document No.")</t>
  </si>
  <si>
    <t>=NF($D1432,"6 Document No.")</t>
  </si>
  <si>
    <t>=NF($D1433,"6 Document No.")</t>
  </si>
  <si>
    <t>=NF($D1434,"6 Document No.")</t>
  </si>
  <si>
    <t>=NF($D1435,"6 Document No.")</t>
  </si>
  <si>
    <t>=NF($D1436,"6 Document No.")</t>
  </si>
  <si>
    <t>=NF($D1437,"6 Document No.")</t>
  </si>
  <si>
    <t>=NF($D1438,"6 Document No.")</t>
  </si>
  <si>
    <t>=NF($D1439,"6 Document No.")</t>
  </si>
  <si>
    <t>=NF($D1440,"6 Document No.")</t>
  </si>
  <si>
    <t>=NF($D1441,"6 Document No.")</t>
  </si>
  <si>
    <t>=NF($D1442,"6 Document No.")</t>
  </si>
  <si>
    <t>=NF($D1443,"6 Document No.")</t>
  </si>
  <si>
    <t>=NF($D1444,"6 Document No.")</t>
  </si>
  <si>
    <t>=NF($D1445,"6 Document No.")</t>
  </si>
  <si>
    <t>=NF($D1446,"6 Document No.")</t>
  </si>
  <si>
    <t>=NF($D1447,"6 Document No.")</t>
  </si>
  <si>
    <t>=NF($D1425,"37 Due Date")</t>
  </si>
  <si>
    <t>=NF($D1426,"37 Due Date")</t>
  </si>
  <si>
    <t>=NF($D1427,"37 Due Date")</t>
  </si>
  <si>
    <t>=NF($D1428,"37 Due Date")</t>
  </si>
  <si>
    <t>=NF($D1429,"37 Due Date")</t>
  </si>
  <si>
    <t>=NF($D1430,"37 Due Date")</t>
  </si>
  <si>
    <t>=NF($D1431,"37 Due Date")</t>
  </si>
  <si>
    <t>=NF($D1432,"37 Due Date")</t>
  </si>
  <si>
    <t>=NF($D1433,"37 Due Date")</t>
  </si>
  <si>
    <t>=NF($D1434,"37 Due Date")</t>
  </si>
  <si>
    <t>=NF($D1435,"37 Due Date")</t>
  </si>
  <si>
    <t>=NF($D1436,"37 Due Date")</t>
  </si>
  <si>
    <t>=NF($D1437,"37 Due Date")</t>
  </si>
  <si>
    <t>=NF($D1438,"37 Due Date")</t>
  </si>
  <si>
    <t>=NF($D1439,"37 Due Date")</t>
  </si>
  <si>
    <t>=NF($D1440,"37 Due Date")</t>
  </si>
  <si>
    <t>=NF($D1441,"37 Due Date")</t>
  </si>
  <si>
    <t>=NF($D1442,"37 Due Date")</t>
  </si>
  <si>
    <t>=NF($D1443,"37 Due Date")</t>
  </si>
  <si>
    <t>=NF($D1444,"37 Due Date")</t>
  </si>
  <si>
    <t>=NF($D1445,"37 Due Date")</t>
  </si>
  <si>
    <t>=NF($D1446,"37 Due Date")</t>
  </si>
  <si>
    <t>=NF($D1447,"37 Due Date")</t>
  </si>
  <si>
    <t>=NF($D1425,"16 Remaining Amt. (LCY)")</t>
  </si>
  <si>
    <t>=NF($D1426,"16 Remaining Amt. (LCY)")</t>
  </si>
  <si>
    <t>=NF($D1427,"16 Remaining Amt. (LCY)")</t>
  </si>
  <si>
    <t>=NF($D1428,"16 Remaining Amt. (LCY)")</t>
  </si>
  <si>
    <t>=NF($D1429,"16 Remaining Amt. (LCY)")</t>
  </si>
  <si>
    <t>=NF($D1430,"16 Remaining Amt. (LCY)")</t>
  </si>
  <si>
    <t>=NF($D1431,"16 Remaining Amt. (LCY)")</t>
  </si>
  <si>
    <t>=NF($D1432,"16 Remaining Amt. (LCY)")</t>
  </si>
  <si>
    <t>=NF($D1433,"16 Remaining Amt. (LCY)")</t>
  </si>
  <si>
    <t>=NF($D1434,"16 Remaining Amt. (LCY)")</t>
  </si>
  <si>
    <t>=NF($D1435,"16 Remaining Amt. (LCY)")</t>
  </si>
  <si>
    <t>=NF($D1436,"16 Remaining Amt. (LCY)")</t>
  </si>
  <si>
    <t>=NF($D1437,"16 Remaining Amt. (LCY)")</t>
  </si>
  <si>
    <t>=NF($D1438,"16 Remaining Amt. (LCY)")</t>
  </si>
  <si>
    <t>=NF($D1439,"16 Remaining Amt. (LCY)")</t>
  </si>
  <si>
    <t>=NF($D1440,"16 Remaining Amt. (LCY)")</t>
  </si>
  <si>
    <t>=NF($D1441,"16 Remaining Amt. (LCY)")</t>
  </si>
  <si>
    <t>=NF($D1442,"16 Remaining Amt. (LCY)")</t>
  </si>
  <si>
    <t>=NF($D1443,"16 Remaining Amt. (LCY)")</t>
  </si>
  <si>
    <t>=NF($D1444,"16 Remaining Amt. (LCY)")</t>
  </si>
  <si>
    <t>=NF($D1445,"16 Remaining Amt. (LCY)")</t>
  </si>
  <si>
    <t>=NF($D1446,"16 Remaining Amt. (LCY)")</t>
  </si>
  <si>
    <t>=NF($D1447,"16 Remaining Amt. (LCY)")</t>
  </si>
  <si>
    <t>=NF($D1373,"5 Document Type")</t>
  </si>
  <si>
    <t>=NF($D1374,"5 Document Type")</t>
  </si>
  <si>
    <t>=NF($D1375,"5 Document Type")</t>
  </si>
  <si>
    <t>=NF($D1376,"5 Document Type")</t>
  </si>
  <si>
    <t>=NF($D1377,"5 Document Type")</t>
  </si>
  <si>
    <t>=NF($D1378,"5 Document Type")</t>
  </si>
  <si>
    <t>=NF($D1379,"5 Document Type")</t>
  </si>
  <si>
    <t>=NF($D1380,"5 Document Type")</t>
  </si>
  <si>
    <t>=NF($D1381,"5 Document Type")</t>
  </si>
  <si>
    <t>=NF($D1382,"5 Document Type")</t>
  </si>
  <si>
    <t>=NF($D1383,"5 Document Type")</t>
  </si>
  <si>
    <t>=NF($D1384,"5 Document Type")</t>
  </si>
  <si>
    <t>=NF($D1385,"5 Document Type")</t>
  </si>
  <si>
    <t>=NF($D1386,"5 Document Type")</t>
  </si>
  <si>
    <t>=NF($D1387,"5 Document Type")</t>
  </si>
  <si>
    <t>=NF($D1388,"5 Document Type")</t>
  </si>
  <si>
    <t>=NF($D1389,"5 Document Type")</t>
  </si>
  <si>
    <t>=NF($D1390,"5 Document Type")</t>
  </si>
  <si>
    <t>=NF($D1391,"5 Document Type")</t>
  </si>
  <si>
    <t>=NF($D1392,"5 Document Type")</t>
  </si>
  <si>
    <t>=NF($D1393,"5 Document Type")</t>
  </si>
  <si>
    <t>=NF($D1394,"5 Document Type")</t>
  </si>
  <si>
    <t>=NF($D1395,"5 Document Type")</t>
  </si>
  <si>
    <t>=NF($D1396,"5 Document Type")</t>
  </si>
  <si>
    <t>=NF($D1397,"5 Document Type")</t>
  </si>
  <si>
    <t>=NF($D1398,"5 Document Type")</t>
  </si>
  <si>
    <t>=NF($D1399,"5 Document Type")</t>
  </si>
  <si>
    <t>=NF($D1400,"5 Document Type")</t>
  </si>
  <si>
    <t>=NF($D1401,"5 Document Type")</t>
  </si>
  <si>
    <t>=NF($D1402,"5 Document Type")</t>
  </si>
  <si>
    <t>=NF($D1403,"5 Document Type")</t>
  </si>
  <si>
    <t>=NF($D1404,"5 Document Type")</t>
  </si>
  <si>
    <t>=NF($D1405,"5 Document Type")</t>
  </si>
  <si>
    <t>=NF($D1406,"5 Document Type")</t>
  </si>
  <si>
    <t>=NF($D1407,"5 Document Type")</t>
  </si>
  <si>
    <t>=NF($D1408,"5 Document Type")</t>
  </si>
  <si>
    <t>=NF($D1409,"5 Document Type")</t>
  </si>
  <si>
    <t>=NF($D1410,"5 Document Type")</t>
  </si>
  <si>
    <t>=NF($D1411,"5 Document Type")</t>
  </si>
  <si>
    <t>=NF($D1412,"5 Document Type")</t>
  </si>
  <si>
    <t>=NF($D1413,"5 Document Type")</t>
  </si>
  <si>
    <t>=NF($D1414,"5 Document Type")</t>
  </si>
  <si>
    <t>=NF($D1415,"5 Document Type")</t>
  </si>
  <si>
    <t>=NF($D1416,"5 Document Type")</t>
  </si>
  <si>
    <t>=NF($D1417,"5 Document Type")</t>
  </si>
  <si>
    <t>=NF($D1418,"5 Document Type")</t>
  </si>
  <si>
    <t>=NF($D1373,"6 Document No.")</t>
  </si>
  <si>
    <t>=NF($D1374,"6 Document No.")</t>
  </si>
  <si>
    <t>=NF($D1375,"6 Document No.")</t>
  </si>
  <si>
    <t>=NF($D1376,"6 Document No.")</t>
  </si>
  <si>
    <t>=NF($D1377,"6 Document No.")</t>
  </si>
  <si>
    <t>=NF($D1378,"6 Document No.")</t>
  </si>
  <si>
    <t>=NF($D1379,"6 Document No.")</t>
  </si>
  <si>
    <t>=NF($D1380,"6 Document No.")</t>
  </si>
  <si>
    <t>=NF($D1381,"6 Document No.")</t>
  </si>
  <si>
    <t>=NF($D1382,"6 Document No.")</t>
  </si>
  <si>
    <t>=NF($D1383,"6 Document No.")</t>
  </si>
  <si>
    <t>=NF($D1384,"6 Document No.")</t>
  </si>
  <si>
    <t>=NF($D1385,"6 Document No.")</t>
  </si>
  <si>
    <t>=NF($D1386,"6 Document No.")</t>
  </si>
  <si>
    <t>=NF($D1387,"6 Document No.")</t>
  </si>
  <si>
    <t>=NF($D1388,"6 Document No.")</t>
  </si>
  <si>
    <t>=NF($D1389,"6 Document No.")</t>
  </si>
  <si>
    <t>=NF($D1390,"6 Document No.")</t>
  </si>
  <si>
    <t>=NF($D1391,"6 Document No.")</t>
  </si>
  <si>
    <t>=NF($D1392,"6 Document No.")</t>
  </si>
  <si>
    <t>=NF($D1393,"6 Document No.")</t>
  </si>
  <si>
    <t>=NF($D1394,"6 Document No.")</t>
  </si>
  <si>
    <t>=NF($D1395,"6 Document No.")</t>
  </si>
  <si>
    <t>=NF($D1396,"6 Document No.")</t>
  </si>
  <si>
    <t>=NF($D1397,"6 Document No.")</t>
  </si>
  <si>
    <t>=NF($D1398,"6 Document No.")</t>
  </si>
  <si>
    <t>=NF($D1399,"6 Document No.")</t>
  </si>
  <si>
    <t>=NF($D1400,"6 Document No.")</t>
  </si>
  <si>
    <t>=NF($D1401,"6 Document No.")</t>
  </si>
  <si>
    <t>=NF($D1402,"6 Document No.")</t>
  </si>
  <si>
    <t>=NF($D1403,"6 Document No.")</t>
  </si>
  <si>
    <t>=NF($D1404,"6 Document No.")</t>
  </si>
  <si>
    <t>=NF($D1405,"6 Document No.")</t>
  </si>
  <si>
    <t>=NF($D1406,"6 Document No.")</t>
  </si>
  <si>
    <t>=NF($D1407,"6 Document No.")</t>
  </si>
  <si>
    <t>=NF($D1408,"6 Document No.")</t>
  </si>
  <si>
    <t>=NF($D1409,"6 Document No.")</t>
  </si>
  <si>
    <t>=NF($D1410,"6 Document No.")</t>
  </si>
  <si>
    <t>=NF($D1411,"6 Document No.")</t>
  </si>
  <si>
    <t>=NF($D1412,"6 Document No.")</t>
  </si>
  <si>
    <t>=NF($D1413,"6 Document No.")</t>
  </si>
  <si>
    <t>=NF($D1414,"6 Document No.")</t>
  </si>
  <si>
    <t>=NF($D1415,"6 Document No.")</t>
  </si>
  <si>
    <t>=NF($D1416,"6 Document No.")</t>
  </si>
  <si>
    <t>=NF($D1417,"6 Document No.")</t>
  </si>
  <si>
    <t>=NF($D1418,"6 Document No.")</t>
  </si>
  <si>
    <t>=NF($D1373,"37 Due Date")</t>
  </si>
  <si>
    <t>=NF($D1374,"37 Due Date")</t>
  </si>
  <si>
    <t>=NF($D1375,"37 Due Date")</t>
  </si>
  <si>
    <t>=NF($D1376,"37 Due Date")</t>
  </si>
  <si>
    <t>=NF($D1377,"37 Due Date")</t>
  </si>
  <si>
    <t>=NF($D1378,"37 Due Date")</t>
  </si>
  <si>
    <t>=NF($D1379,"37 Due Date")</t>
  </si>
  <si>
    <t>=NF($D1380,"37 Due Date")</t>
  </si>
  <si>
    <t>=NF($D1381,"37 Due Date")</t>
  </si>
  <si>
    <t>=NF($D1382,"37 Due Date")</t>
  </si>
  <si>
    <t>=NF($D1383,"37 Due Date")</t>
  </si>
  <si>
    <t>=NF($D1384,"37 Due Date")</t>
  </si>
  <si>
    <t>=NF($D1385,"37 Due Date")</t>
  </si>
  <si>
    <t>=NF($D1386,"37 Due Date")</t>
  </si>
  <si>
    <t>=NF($D1387,"37 Due Date")</t>
  </si>
  <si>
    <t>=NF($D1388,"37 Due Date")</t>
  </si>
  <si>
    <t>=NF($D1389,"37 Due Date")</t>
  </si>
  <si>
    <t>=NF($D1390,"37 Due Date")</t>
  </si>
  <si>
    <t>=NF($D1391,"37 Due Date")</t>
  </si>
  <si>
    <t>=NF($D1392,"37 Due Date")</t>
  </si>
  <si>
    <t>=NF($D1393,"37 Due Date")</t>
  </si>
  <si>
    <t>=NF($D1394,"37 Due Date")</t>
  </si>
  <si>
    <t>=NF($D1395,"37 Due Date")</t>
  </si>
  <si>
    <t>=NF($D1396,"37 Due Date")</t>
  </si>
  <si>
    <t>=NF($D1397,"37 Due Date")</t>
  </si>
  <si>
    <t>=NF($D1398,"37 Due Date")</t>
  </si>
  <si>
    <t>=NF($D1399,"37 Due Date")</t>
  </si>
  <si>
    <t>=NF($D1400,"37 Due Date")</t>
  </si>
  <si>
    <t>=NF($D1401,"37 Due Date")</t>
  </si>
  <si>
    <t>=NF($D1402,"37 Due Date")</t>
  </si>
  <si>
    <t>=NF($D1403,"37 Due Date")</t>
  </si>
  <si>
    <t>=NF($D1404,"37 Due Date")</t>
  </si>
  <si>
    <t>=NF($D1405,"37 Due Date")</t>
  </si>
  <si>
    <t>=NF($D1406,"37 Due Date")</t>
  </si>
  <si>
    <t>=NF($D1407,"37 Due Date")</t>
  </si>
  <si>
    <t>=NF($D1408,"37 Due Date")</t>
  </si>
  <si>
    <t>=NF($D1409,"37 Due Date")</t>
  </si>
  <si>
    <t>=NF($D1410,"37 Due Date")</t>
  </si>
  <si>
    <t>=NF($D1411,"37 Due Date")</t>
  </si>
  <si>
    <t>=NF($D1412,"37 Due Date")</t>
  </si>
  <si>
    <t>=NF($D1413,"37 Due Date")</t>
  </si>
  <si>
    <t>=NF($D1414,"37 Due Date")</t>
  </si>
  <si>
    <t>=NF($D1415,"37 Due Date")</t>
  </si>
  <si>
    <t>=NF($D1416,"37 Due Date")</t>
  </si>
  <si>
    <t>=NF($D1417,"37 Due Date")</t>
  </si>
  <si>
    <t>=NF($D1418,"37 Due Date")</t>
  </si>
  <si>
    <t>=NF($D1373,"16 Remaining Amt. (LCY)")</t>
  </si>
  <si>
    <t>=NF($D1374,"16 Remaining Amt. (LCY)")</t>
  </si>
  <si>
    <t>=NF($D1375,"16 Remaining Amt. (LCY)")</t>
  </si>
  <si>
    <t>=NF($D1376,"16 Remaining Amt. (LCY)")</t>
  </si>
  <si>
    <t>=NF($D1377,"16 Remaining Amt. (LCY)")</t>
  </si>
  <si>
    <t>=NF($D1378,"16 Remaining Amt. (LCY)")</t>
  </si>
  <si>
    <t>=NF($D1379,"16 Remaining Amt. (LCY)")</t>
  </si>
  <si>
    <t>=NF($D1380,"16 Remaining Amt. (LCY)")</t>
  </si>
  <si>
    <t>=NF($D1381,"16 Remaining Amt. (LCY)")</t>
  </si>
  <si>
    <t>=NF($D1382,"16 Remaining Amt. (LCY)")</t>
  </si>
  <si>
    <t>=NF($D1383,"16 Remaining Amt. (LCY)")</t>
  </si>
  <si>
    <t>=NF($D1384,"16 Remaining Amt. (LCY)")</t>
  </si>
  <si>
    <t>=NF($D1385,"16 Remaining Amt. (LCY)")</t>
  </si>
  <si>
    <t>=NF($D1386,"16 Remaining Amt. (LCY)")</t>
  </si>
  <si>
    <t>=NF($D1387,"16 Remaining Amt. (LCY)")</t>
  </si>
  <si>
    <t>=NF($D1388,"16 Remaining Amt. (LCY)")</t>
  </si>
  <si>
    <t>=NF($D1389,"16 Remaining Amt. (LCY)")</t>
  </si>
  <si>
    <t>=NF($D1390,"16 Remaining Amt. (LCY)")</t>
  </si>
  <si>
    <t>=NF($D1391,"16 Remaining Amt. (LCY)")</t>
  </si>
  <si>
    <t>=NF($D1392,"16 Remaining Amt. (LCY)")</t>
  </si>
  <si>
    <t>=NF($D1393,"16 Remaining Amt. (LCY)")</t>
  </si>
  <si>
    <t>=NF($D1394,"16 Remaining Amt. (LCY)")</t>
  </si>
  <si>
    <t>=NF($D1395,"16 Remaining Amt. (LCY)")</t>
  </si>
  <si>
    <t>=NF($D1396,"16 Remaining Amt. (LCY)")</t>
  </si>
  <si>
    <t>=NF($D1397,"16 Remaining Amt. (LCY)")</t>
  </si>
  <si>
    <t>=NF($D1398,"16 Remaining Amt. (LCY)")</t>
  </si>
  <si>
    <t>=NF($D1399,"16 Remaining Amt. (LCY)")</t>
  </si>
  <si>
    <t>=NF($D1400,"16 Remaining Amt. (LCY)")</t>
  </si>
  <si>
    <t>=NF($D1401,"16 Remaining Amt. (LCY)")</t>
  </si>
  <si>
    <t>=NF($D1402,"16 Remaining Amt. (LCY)")</t>
  </si>
  <si>
    <t>=NF($D1403,"16 Remaining Amt. (LCY)")</t>
  </si>
  <si>
    <t>=NF($D1404,"16 Remaining Amt. (LCY)")</t>
  </si>
  <si>
    <t>=NF($D1405,"16 Remaining Amt. (LCY)")</t>
  </si>
  <si>
    <t>=NF($D1406,"16 Remaining Amt. (LCY)")</t>
  </si>
  <si>
    <t>=NF($D1407,"16 Remaining Amt. (LCY)")</t>
  </si>
  <si>
    <t>=NF($D1408,"16 Remaining Amt. (LCY)")</t>
  </si>
  <si>
    <t>=NF($D1409,"16 Remaining Amt. (LCY)")</t>
  </si>
  <si>
    <t>=NF($D1410,"16 Remaining Amt. (LCY)")</t>
  </si>
  <si>
    <t>=NF($D1411,"16 Remaining Amt. (LCY)")</t>
  </si>
  <si>
    <t>=NF($D1412,"16 Remaining Amt. (LCY)")</t>
  </si>
  <si>
    <t>=NF($D1413,"16 Remaining Amt. (LCY)")</t>
  </si>
  <si>
    <t>=NF($D1414,"16 Remaining Amt. (LCY)")</t>
  </si>
  <si>
    <t>=NF($D1415,"16 Remaining Amt. (LCY)")</t>
  </si>
  <si>
    <t>=NF($D1416,"16 Remaining Amt. (LCY)")</t>
  </si>
  <si>
    <t>=NF($D1417,"16 Remaining Amt. (LCY)")</t>
  </si>
  <si>
    <t>=NF($D1418,"16 Remaining Amt. (LCY)")</t>
  </si>
  <si>
    <t>=NF($D1336,"5 Document Type")</t>
  </si>
  <si>
    <t>=NF($D1337,"5 Document Type")</t>
  </si>
  <si>
    <t>=NF($D1338,"5 Document Type")</t>
  </si>
  <si>
    <t>=NF($D1339,"5 Document Type")</t>
  </si>
  <si>
    <t>=NF($D1340,"5 Document Type")</t>
  </si>
  <si>
    <t>=NF($D1341,"5 Document Type")</t>
  </si>
  <si>
    <t>=NF($D1342,"5 Document Type")</t>
  </si>
  <si>
    <t>=NF($D1343,"5 Document Type")</t>
  </si>
  <si>
    <t>=NF($D1344,"5 Document Type")</t>
  </si>
  <si>
    <t>=NF($D1345,"5 Document Type")</t>
  </si>
  <si>
    <t>=NF($D1346,"5 Document Type")</t>
  </si>
  <si>
    <t>=NF($D1347,"5 Document Type")</t>
  </si>
  <si>
    <t>=NF($D1348,"5 Document Type")</t>
  </si>
  <si>
    <t>=NF($D1349,"5 Document Type")</t>
  </si>
  <si>
    <t>=NF($D1350,"5 Document Type")</t>
  </si>
  <si>
    <t>=NF($D1351,"5 Document Type")</t>
  </si>
  <si>
    <t>=NF($D1352,"5 Document Type")</t>
  </si>
  <si>
    <t>=NF($D1353,"5 Document Type")</t>
  </si>
  <si>
    <t>=NF($D1354,"5 Document Type")</t>
  </si>
  <si>
    <t>=NF($D1355,"5 Document Type")</t>
  </si>
  <si>
    <t>=NF($D1356,"5 Document Type")</t>
  </si>
  <si>
    <t>=NF($D1357,"5 Document Type")</t>
  </si>
  <si>
    <t>=NF($D1358,"5 Document Type")</t>
  </si>
  <si>
    <t>=NF($D1359,"5 Document Type")</t>
  </si>
  <si>
    <t>=NF($D1360,"5 Document Type")</t>
  </si>
  <si>
    <t>=NF($D1361,"5 Document Type")</t>
  </si>
  <si>
    <t>=NF($D1362,"5 Document Type")</t>
  </si>
  <si>
    <t>=NF($D1363,"5 Document Type")</t>
  </si>
  <si>
    <t>=NF($D1364,"5 Document Type")</t>
  </si>
  <si>
    <t>=NF($D1365,"5 Document Type")</t>
  </si>
  <si>
    <t>=NF($D1366,"5 Document Type")</t>
  </si>
  <si>
    <t>=NF($D1336,"6 Document No.")</t>
  </si>
  <si>
    <t>=NF($D1337,"6 Document No.")</t>
  </si>
  <si>
    <t>=NF($D1338,"6 Document No.")</t>
  </si>
  <si>
    <t>=NF($D1339,"6 Document No.")</t>
  </si>
  <si>
    <t>=NF($D1340,"6 Document No.")</t>
  </si>
  <si>
    <t>=NF($D1341,"6 Document No.")</t>
  </si>
  <si>
    <t>=NF($D1342,"6 Document No.")</t>
  </si>
  <si>
    <t>=NF($D1343,"6 Document No.")</t>
  </si>
  <si>
    <t>=NF($D1344,"6 Document No.")</t>
  </si>
  <si>
    <t>=NF($D1345,"6 Document No.")</t>
  </si>
  <si>
    <t>=NF($D1346,"6 Document No.")</t>
  </si>
  <si>
    <t>=NF($D1347,"6 Document No.")</t>
  </si>
  <si>
    <t>=NF($D1348,"6 Document No.")</t>
  </si>
  <si>
    <t>=NF($D1349,"6 Document No.")</t>
  </si>
  <si>
    <t>=NF($D1350,"6 Document No.")</t>
  </si>
  <si>
    <t>=NF($D1351,"6 Document No.")</t>
  </si>
  <si>
    <t>=NF($D1352,"6 Document No.")</t>
  </si>
  <si>
    <t>=NF($D1353,"6 Document No.")</t>
  </si>
  <si>
    <t>=NF($D1354,"6 Document No.")</t>
  </si>
  <si>
    <t>=NF($D1355,"6 Document No.")</t>
  </si>
  <si>
    <t>=NF($D1356,"6 Document No.")</t>
  </si>
  <si>
    <t>=NF($D1357,"6 Document No.")</t>
  </si>
  <si>
    <t>=NF($D1358,"6 Document No.")</t>
  </si>
  <si>
    <t>=NF($D1359,"6 Document No.")</t>
  </si>
  <si>
    <t>=NF($D1360,"6 Document No.")</t>
  </si>
  <si>
    <t>=NF($D1361,"6 Document No.")</t>
  </si>
  <si>
    <t>=NF($D1362,"6 Document No.")</t>
  </si>
  <si>
    <t>=NF($D1363,"6 Document No.")</t>
  </si>
  <si>
    <t>=NF($D1364,"6 Document No.")</t>
  </si>
  <si>
    <t>=NF($D1365,"6 Document No.")</t>
  </si>
  <si>
    <t>=NF($D1366,"6 Document No.")</t>
  </si>
  <si>
    <t>=NF($D1336,"37 Due Date")</t>
  </si>
  <si>
    <t>=NF($D1337,"37 Due Date")</t>
  </si>
  <si>
    <t>=NF($D1338,"37 Due Date")</t>
  </si>
  <si>
    <t>=NF($D1339,"37 Due Date")</t>
  </si>
  <si>
    <t>=NF($D1340,"37 Due Date")</t>
  </si>
  <si>
    <t>=NF($D1341,"37 Due Date")</t>
  </si>
  <si>
    <t>=NF($D1342,"37 Due Date")</t>
  </si>
  <si>
    <t>=NF($D1343,"37 Due Date")</t>
  </si>
  <si>
    <t>=NF($D1344,"37 Due Date")</t>
  </si>
  <si>
    <t>=NF($D1345,"37 Due Date")</t>
  </si>
  <si>
    <t>=NF($D1346,"37 Due Date")</t>
  </si>
  <si>
    <t>=NF($D1347,"37 Due Date")</t>
  </si>
  <si>
    <t>=NF($D1348,"37 Due Date")</t>
  </si>
  <si>
    <t>=NF($D1349,"37 Due Date")</t>
  </si>
  <si>
    <t>=NF($D1350,"37 Due Date")</t>
  </si>
  <si>
    <t>=NF($D1351,"37 Due Date")</t>
  </si>
  <si>
    <t>=NF($D1352,"37 Due Date")</t>
  </si>
  <si>
    <t>=NF($D1353,"37 Due Date")</t>
  </si>
  <si>
    <t>=NF($D1354,"37 Due Date")</t>
  </si>
  <si>
    <t>=NF($D1355,"37 Due Date")</t>
  </si>
  <si>
    <t>=NF($D1356,"37 Due Date")</t>
  </si>
  <si>
    <t>=NF($D1357,"37 Due Date")</t>
  </si>
  <si>
    <t>=NF($D1358,"37 Due Date")</t>
  </si>
  <si>
    <t>=NF($D1359,"37 Due Date")</t>
  </si>
  <si>
    <t>=NF($D1360,"37 Due Date")</t>
  </si>
  <si>
    <t>=NF($D1361,"37 Due Date")</t>
  </si>
  <si>
    <t>=NF($D1362,"37 Due Date")</t>
  </si>
  <si>
    <t>=NF($D1363,"37 Due Date")</t>
  </si>
  <si>
    <t>=NF($D1364,"37 Due Date")</t>
  </si>
  <si>
    <t>=NF($D1365,"37 Due Date")</t>
  </si>
  <si>
    <t>=NF($D1366,"37 Due Date")</t>
  </si>
  <si>
    <t>=NF($D1336,"16 Remaining Amt. (LCY)")</t>
  </si>
  <si>
    <t>=NF($D1337,"16 Remaining Amt. (LCY)")</t>
  </si>
  <si>
    <t>=NF($D1338,"16 Remaining Amt. (LCY)")</t>
  </si>
  <si>
    <t>=NF($D1339,"16 Remaining Amt. (LCY)")</t>
  </si>
  <si>
    <t>=NF($D1340,"16 Remaining Amt. (LCY)")</t>
  </si>
  <si>
    <t>=NF($D1341,"16 Remaining Amt. (LCY)")</t>
  </si>
  <si>
    <t>=NF($D1342,"16 Remaining Amt. (LCY)")</t>
  </si>
  <si>
    <t>=NF($D1343,"16 Remaining Amt. (LCY)")</t>
  </si>
  <si>
    <t>=NF($D1344,"16 Remaining Amt. (LCY)")</t>
  </si>
  <si>
    <t>=NF($D1345,"16 Remaining Amt. (LCY)")</t>
  </si>
  <si>
    <t>=NF($D1346,"16 Remaining Amt. (LCY)")</t>
  </si>
  <si>
    <t>=NF($D1347,"16 Remaining Amt. (LCY)")</t>
  </si>
  <si>
    <t>=NF($D1348,"16 Remaining Amt. (LCY)")</t>
  </si>
  <si>
    <t>=NF($D1349,"16 Remaining Amt. (LCY)")</t>
  </si>
  <si>
    <t>=NF($D1350,"16 Remaining Amt. (LCY)")</t>
  </si>
  <si>
    <t>=NF($D1351,"16 Remaining Amt. (LCY)")</t>
  </si>
  <si>
    <t>=NF($D1352,"16 Remaining Amt. (LCY)")</t>
  </si>
  <si>
    <t>=NF($D1353,"16 Remaining Amt. (LCY)")</t>
  </si>
  <si>
    <t>=NF($D1354,"16 Remaining Amt. (LCY)")</t>
  </si>
  <si>
    <t>=NF($D1355,"16 Remaining Amt. (LCY)")</t>
  </si>
  <si>
    <t>=NF($D1356,"16 Remaining Amt. (LCY)")</t>
  </si>
  <si>
    <t>=NF($D1357,"16 Remaining Amt. (LCY)")</t>
  </si>
  <si>
    <t>=NF($D1358,"16 Remaining Amt. (LCY)")</t>
  </si>
  <si>
    <t>=NF($D1359,"16 Remaining Amt. (LCY)")</t>
  </si>
  <si>
    <t>=NF($D1360,"16 Remaining Amt. (LCY)")</t>
  </si>
  <si>
    <t>=NF($D1361,"16 Remaining Amt. (LCY)")</t>
  </si>
  <si>
    <t>=NF($D1362,"16 Remaining Amt. (LCY)")</t>
  </si>
  <si>
    <t>=NF($D1363,"16 Remaining Amt. (LCY)")</t>
  </si>
  <si>
    <t>=NF($D1364,"16 Remaining Amt. (LCY)")</t>
  </si>
  <si>
    <t>=NF($D1365,"16 Remaining Amt. (LCY)")</t>
  </si>
  <si>
    <t>=NF($D1366,"16 Remaining Amt. (LCY)")</t>
  </si>
  <si>
    <t>=NF($D1292,"5 Document Type")</t>
  </si>
  <si>
    <t>=NF($D1293,"5 Document Type")</t>
  </si>
  <si>
    <t>=NF($D1294,"5 Document Type")</t>
  </si>
  <si>
    <t>=NF($D1295,"5 Document Type")</t>
  </si>
  <si>
    <t>=NF($D1296,"5 Document Type")</t>
  </si>
  <si>
    <t>=NF($D1297,"5 Document Type")</t>
  </si>
  <si>
    <t>=NF($D1298,"5 Document Type")</t>
  </si>
  <si>
    <t>=NF($D1299,"5 Document Type")</t>
  </si>
  <si>
    <t>=NF($D1300,"5 Document Type")</t>
  </si>
  <si>
    <t>=NF($D1301,"5 Document Type")</t>
  </si>
  <si>
    <t>=NF($D1302,"5 Document Type")</t>
  </si>
  <si>
    <t>=NF($D1303,"5 Document Type")</t>
  </si>
  <si>
    <t>=NF($D1304,"5 Document Type")</t>
  </si>
  <si>
    <t>=NF($D1305,"5 Document Type")</t>
  </si>
  <si>
    <t>=NF($D1306,"5 Document Type")</t>
  </si>
  <si>
    <t>=NF($D1307,"5 Document Type")</t>
  </si>
  <si>
    <t>=NF($D1308,"5 Document Type")</t>
  </si>
  <si>
    <t>=NF($D1309,"5 Document Type")</t>
  </si>
  <si>
    <t>=NF($D1310,"5 Document Type")</t>
  </si>
  <si>
    <t>=NF($D1311,"5 Document Type")</t>
  </si>
  <si>
    <t>=NF($D1312,"5 Document Type")</t>
  </si>
  <si>
    <t>=NF($D1313,"5 Document Type")</t>
  </si>
  <si>
    <t>=NF($D1314,"5 Document Type")</t>
  </si>
  <si>
    <t>=NF($D1315,"5 Document Type")</t>
  </si>
  <si>
    <t>=NF($D1316,"5 Document Type")</t>
  </si>
  <si>
    <t>=NF($D1317,"5 Document Type")</t>
  </si>
  <si>
    <t>=NF($D1318,"5 Document Type")</t>
  </si>
  <si>
    <t>=NF($D1319,"5 Document Type")</t>
  </si>
  <si>
    <t>=NF($D1320,"5 Document Type")</t>
  </si>
  <si>
    <t>=NF($D1321,"5 Document Type")</t>
  </si>
  <si>
    <t>=NF($D1322,"5 Document Type")</t>
  </si>
  <si>
    <t>=NF($D1323,"5 Document Type")</t>
  </si>
  <si>
    <t>=NF($D1324,"5 Document Type")</t>
  </si>
  <si>
    <t>=NF($D1325,"5 Document Type")</t>
  </si>
  <si>
    <t>=NF($D1326,"5 Document Type")</t>
  </si>
  <si>
    <t>=NF($D1327,"5 Document Type")</t>
  </si>
  <si>
    <t>=NF($D1328,"5 Document Type")</t>
  </si>
  <si>
    <t>=NF($D1329,"5 Document Type")</t>
  </si>
  <si>
    <t>=NF($D1292,"6 Document No.")</t>
  </si>
  <si>
    <t>=NF($D1293,"6 Document No.")</t>
  </si>
  <si>
    <t>=NF($D1294,"6 Document No.")</t>
  </si>
  <si>
    <t>=NF($D1295,"6 Document No.")</t>
  </si>
  <si>
    <t>=NF($D1296,"6 Document No.")</t>
  </si>
  <si>
    <t>=NF($D1297,"6 Document No.")</t>
  </si>
  <si>
    <t>=NF($D1298,"6 Document No.")</t>
  </si>
  <si>
    <t>=NF($D1299,"6 Document No.")</t>
  </si>
  <si>
    <t>=NF($D1300,"6 Document No.")</t>
  </si>
  <si>
    <t>=NF($D1301,"6 Document No.")</t>
  </si>
  <si>
    <t>=NF($D1302,"6 Document No.")</t>
  </si>
  <si>
    <t>=NF($D1303,"6 Document No.")</t>
  </si>
  <si>
    <t>=NF($D1304,"6 Document No.")</t>
  </si>
  <si>
    <t>=NF($D1305,"6 Document No.")</t>
  </si>
  <si>
    <t>=NF($D1306,"6 Document No.")</t>
  </si>
  <si>
    <t>=NF($D1307,"6 Document No.")</t>
  </si>
  <si>
    <t>=NF($D1308,"6 Document No.")</t>
  </si>
  <si>
    <t>=NF($D1309,"6 Document No.")</t>
  </si>
  <si>
    <t>=NF($D1310,"6 Document No.")</t>
  </si>
  <si>
    <t>=NF($D1311,"6 Document No.")</t>
  </si>
  <si>
    <t>=NF($D1312,"6 Document No.")</t>
  </si>
  <si>
    <t>=NF($D1313,"6 Document No.")</t>
  </si>
  <si>
    <t>=NF($D1314,"6 Document No.")</t>
  </si>
  <si>
    <t>=NF($D1315,"6 Document No.")</t>
  </si>
  <si>
    <t>=NF($D1316,"6 Document No.")</t>
  </si>
  <si>
    <t>=NF($D1317,"6 Document No.")</t>
  </si>
  <si>
    <t>=NF($D1318,"6 Document No.")</t>
  </si>
  <si>
    <t>=NF($D1319,"6 Document No.")</t>
  </si>
  <si>
    <t>=NF($D1320,"6 Document No.")</t>
  </si>
  <si>
    <t>=NF($D1321,"6 Document No.")</t>
  </si>
  <si>
    <t>=NF($D1322,"6 Document No.")</t>
  </si>
  <si>
    <t>=NF($D1323,"6 Document No.")</t>
  </si>
  <si>
    <t>=NF($D1324,"6 Document No.")</t>
  </si>
  <si>
    <t>=NF($D1325,"6 Document No.")</t>
  </si>
  <si>
    <t>=NF($D1326,"6 Document No.")</t>
  </si>
  <si>
    <t>=NF($D1327,"6 Document No.")</t>
  </si>
  <si>
    <t>=NF($D1328,"6 Document No.")</t>
  </si>
  <si>
    <t>=NF($D1329,"6 Document No.")</t>
  </si>
  <si>
    <t>=NF($D1292,"37 Due Date")</t>
  </si>
  <si>
    <t>=NF($D1293,"37 Due Date")</t>
  </si>
  <si>
    <t>=NF($D1294,"37 Due Date")</t>
  </si>
  <si>
    <t>=NF($D1295,"37 Due Date")</t>
  </si>
  <si>
    <t>=NF($D1296,"37 Due Date")</t>
  </si>
  <si>
    <t>=NF($D1297,"37 Due Date")</t>
  </si>
  <si>
    <t>=NF($D1298,"37 Due Date")</t>
  </si>
  <si>
    <t>=NF($D1299,"37 Due Date")</t>
  </si>
  <si>
    <t>=NF($D1300,"37 Due Date")</t>
  </si>
  <si>
    <t>=NF($D1301,"37 Due Date")</t>
  </si>
  <si>
    <t>=NF($D1302,"37 Due Date")</t>
  </si>
  <si>
    <t>=NF($D1303,"37 Due Date")</t>
  </si>
  <si>
    <t>=NF($D1304,"37 Due Date")</t>
  </si>
  <si>
    <t>=NF($D1305,"37 Due Date")</t>
  </si>
  <si>
    <t>=NF($D1306,"37 Due Date")</t>
  </si>
  <si>
    <t>=NF($D1307,"37 Due Date")</t>
  </si>
  <si>
    <t>=NF($D1308,"37 Due Date")</t>
  </si>
  <si>
    <t>=NF($D1309,"37 Due Date")</t>
  </si>
  <si>
    <t>=NF($D1310,"37 Due Date")</t>
  </si>
  <si>
    <t>=NF($D1311,"37 Due Date")</t>
  </si>
  <si>
    <t>=NF($D1312,"37 Due Date")</t>
  </si>
  <si>
    <t>=NF($D1313,"37 Due Date")</t>
  </si>
  <si>
    <t>=NF($D1314,"37 Due Date")</t>
  </si>
  <si>
    <t>=NF($D1315,"37 Due Date")</t>
  </si>
  <si>
    <t>=NF($D1316,"37 Due Date")</t>
  </si>
  <si>
    <t>=NF($D1317,"37 Due Date")</t>
  </si>
  <si>
    <t>=NF($D1318,"37 Due Date")</t>
  </si>
  <si>
    <t>=NF($D1319,"37 Due Date")</t>
  </si>
  <si>
    <t>=NF($D1320,"37 Due Date")</t>
  </si>
  <si>
    <t>=NF($D1321,"37 Due Date")</t>
  </si>
  <si>
    <t>=NF($D1322,"37 Due Date")</t>
  </si>
  <si>
    <t>=NF($D1323,"37 Due Date")</t>
  </si>
  <si>
    <t>=NF($D1324,"37 Due Date")</t>
  </si>
  <si>
    <t>=NF($D1325,"37 Due Date")</t>
  </si>
  <si>
    <t>=NF($D1326,"37 Due Date")</t>
  </si>
  <si>
    <t>=NF($D1327,"37 Due Date")</t>
  </si>
  <si>
    <t>=NF($D1328,"37 Due Date")</t>
  </si>
  <si>
    <t>=NF($D1329,"37 Due Date")</t>
  </si>
  <si>
    <t>=NF($D1292,"16 Remaining Amt. (LCY)")</t>
  </si>
  <si>
    <t>=NF($D1293,"16 Remaining Amt. (LCY)")</t>
  </si>
  <si>
    <t>=NF($D1294,"16 Remaining Amt. (LCY)")</t>
  </si>
  <si>
    <t>=NF($D1295,"16 Remaining Amt. (LCY)")</t>
  </si>
  <si>
    <t>=NF($D1296,"16 Remaining Amt. (LCY)")</t>
  </si>
  <si>
    <t>=NF($D1297,"16 Remaining Amt. (LCY)")</t>
  </si>
  <si>
    <t>=NF($D1298,"16 Remaining Amt. (LCY)")</t>
  </si>
  <si>
    <t>=NF($D1299,"16 Remaining Amt. (LCY)")</t>
  </si>
  <si>
    <t>=NF($D1300,"16 Remaining Amt. (LCY)")</t>
  </si>
  <si>
    <t>=NF($D1301,"16 Remaining Amt. (LCY)")</t>
  </si>
  <si>
    <t>=NF($D1302,"16 Remaining Amt. (LCY)")</t>
  </si>
  <si>
    <t>=NF($D1303,"16 Remaining Amt. (LCY)")</t>
  </si>
  <si>
    <t>=NF($D1304,"16 Remaining Amt. (LCY)")</t>
  </si>
  <si>
    <t>=NF($D1305,"16 Remaining Amt. (LCY)")</t>
  </si>
  <si>
    <t>=NF($D1306,"16 Remaining Amt. (LCY)")</t>
  </si>
  <si>
    <t>=NF($D1307,"16 Remaining Amt. (LCY)")</t>
  </si>
  <si>
    <t>=NF($D1308,"16 Remaining Amt. (LCY)")</t>
  </si>
  <si>
    <t>=NF($D1309,"16 Remaining Amt. (LCY)")</t>
  </si>
  <si>
    <t>=NF($D1310,"16 Remaining Amt. (LCY)")</t>
  </si>
  <si>
    <t>=NF($D1311,"16 Remaining Amt. (LCY)")</t>
  </si>
  <si>
    <t>=NF($D1312,"16 Remaining Amt. (LCY)")</t>
  </si>
  <si>
    <t>=NF($D1313,"16 Remaining Amt. (LCY)")</t>
  </si>
  <si>
    <t>=NF($D1314,"16 Remaining Amt. (LCY)")</t>
  </si>
  <si>
    <t>=NF($D1315,"16 Remaining Amt. (LCY)")</t>
  </si>
  <si>
    <t>=NF($D1316,"16 Remaining Amt. (LCY)")</t>
  </si>
  <si>
    <t>=NF($D1317,"16 Remaining Amt. (LCY)")</t>
  </si>
  <si>
    <t>=NF($D1318,"16 Remaining Amt. (LCY)")</t>
  </si>
  <si>
    <t>=NF($D1319,"16 Remaining Amt. (LCY)")</t>
  </si>
  <si>
    <t>=NF($D1320,"16 Remaining Amt. (LCY)")</t>
  </si>
  <si>
    <t>=NF($D1321,"16 Remaining Amt. (LCY)")</t>
  </si>
  <si>
    <t>=NF($D1322,"16 Remaining Amt. (LCY)")</t>
  </si>
  <si>
    <t>=NF($D1323,"16 Remaining Amt. (LCY)")</t>
  </si>
  <si>
    <t>=NF($D1324,"16 Remaining Amt. (LCY)")</t>
  </si>
  <si>
    <t>=NF($D1325,"16 Remaining Amt. (LCY)")</t>
  </si>
  <si>
    <t>=NF($D1326,"16 Remaining Amt. (LCY)")</t>
  </si>
  <si>
    <t>=NF($D1327,"16 Remaining Amt. (LCY)")</t>
  </si>
  <si>
    <t>=NF($D1328,"16 Remaining Amt. (LCY)")</t>
  </si>
  <si>
    <t>=NF($D1329,"16 Remaining Amt. (LCY)")</t>
  </si>
  <si>
    <t>=NF($D1258,"5 Document Type")</t>
  </si>
  <si>
    <t>=NF($D1259,"5 Document Type")</t>
  </si>
  <si>
    <t>=NF($D1260,"5 Document Type")</t>
  </si>
  <si>
    <t>=NF($D1261,"5 Document Type")</t>
  </si>
  <si>
    <t>=NF($D1262,"5 Document Type")</t>
  </si>
  <si>
    <t>=NF($D1263,"5 Document Type")</t>
  </si>
  <si>
    <t>=NF($D1264,"5 Document Type")</t>
  </si>
  <si>
    <t>=NF($D1265,"5 Document Type")</t>
  </si>
  <si>
    <t>=NF($D1266,"5 Document Type")</t>
  </si>
  <si>
    <t>=NF($D1267,"5 Document Type")</t>
  </si>
  <si>
    <t>=NF($D1268,"5 Document Type")</t>
  </si>
  <si>
    <t>=NF($D1269,"5 Document Type")</t>
  </si>
  <si>
    <t>=NF($D1270,"5 Document Type")</t>
  </si>
  <si>
    <t>=NF($D1271,"5 Document Type")</t>
  </si>
  <si>
    <t>=NF($D1272,"5 Document Type")</t>
  </si>
  <si>
    <t>=NF($D1273,"5 Document Type")</t>
  </si>
  <si>
    <t>=NF($D1274,"5 Document Type")</t>
  </si>
  <si>
    <t>=NF($D1275,"5 Document Type")</t>
  </si>
  <si>
    <t>=NF($D1276,"5 Document Type")</t>
  </si>
  <si>
    <t>=NF($D1277,"5 Document Type")</t>
  </si>
  <si>
    <t>=NF($D1278,"5 Document Type")</t>
  </si>
  <si>
    <t>=NF($D1279,"5 Document Type")</t>
  </si>
  <si>
    <t>=NF($D1280,"5 Document Type")</t>
  </si>
  <si>
    <t>=NF($D1281,"5 Document Type")</t>
  </si>
  <si>
    <t>=NF($D1282,"5 Document Type")</t>
  </si>
  <si>
    <t>=NF($D1283,"5 Document Type")</t>
  </si>
  <si>
    <t>=NF($D1284,"5 Document Type")</t>
  </si>
  <si>
    <t>=NF($D1285,"5 Document Type")</t>
  </si>
  <si>
    <t>=NF($D1258,"6 Document No.")</t>
  </si>
  <si>
    <t>=NF($D1259,"6 Document No.")</t>
  </si>
  <si>
    <t>=NF($D1260,"6 Document No.")</t>
  </si>
  <si>
    <t>=NF($D1261,"6 Document No.")</t>
  </si>
  <si>
    <t>=NF($D1262,"6 Document No.")</t>
  </si>
  <si>
    <t>=NF($D1263,"6 Document No.")</t>
  </si>
  <si>
    <t>=NF($D1264,"6 Document No.")</t>
  </si>
  <si>
    <t>=NF($D1265,"6 Document No.")</t>
  </si>
  <si>
    <t>=NF($D1266,"6 Document No.")</t>
  </si>
  <si>
    <t>=NF($D1267,"6 Document No.")</t>
  </si>
  <si>
    <t>=NF($D1268,"6 Document No.")</t>
  </si>
  <si>
    <t>=NF($D1269,"6 Document No.")</t>
  </si>
  <si>
    <t>=NF($D1270,"6 Document No.")</t>
  </si>
  <si>
    <t>=NF($D1271,"6 Document No.")</t>
  </si>
  <si>
    <t>=NF($D1272,"6 Document No.")</t>
  </si>
  <si>
    <t>=NF($D1273,"6 Document No.")</t>
  </si>
  <si>
    <t>=NF($D1274,"6 Document No.")</t>
  </si>
  <si>
    <t>=NF($D1275,"6 Document No.")</t>
  </si>
  <si>
    <t>=NF($D1276,"6 Document No.")</t>
  </si>
  <si>
    <t>=NF($D1277,"6 Document No.")</t>
  </si>
  <si>
    <t>=NF($D1278,"6 Document No.")</t>
  </si>
  <si>
    <t>=NF($D1279,"6 Document No.")</t>
  </si>
  <si>
    <t>=NF($D1280,"6 Document No.")</t>
  </si>
  <si>
    <t>=NF($D1281,"6 Document No.")</t>
  </si>
  <si>
    <t>=NF($D1282,"6 Document No.")</t>
  </si>
  <si>
    <t>=NF($D1283,"6 Document No.")</t>
  </si>
  <si>
    <t>=NF($D1284,"6 Document No.")</t>
  </si>
  <si>
    <t>=NF($D1285,"6 Document No.")</t>
  </si>
  <si>
    <t>=NF($D1258,"37 Due Date")</t>
  </si>
  <si>
    <t>=NF($D1259,"37 Due Date")</t>
  </si>
  <si>
    <t>=NF($D1260,"37 Due Date")</t>
  </si>
  <si>
    <t>=NF($D1261,"37 Due Date")</t>
  </si>
  <si>
    <t>=NF($D1262,"37 Due Date")</t>
  </si>
  <si>
    <t>=NF($D1263,"37 Due Date")</t>
  </si>
  <si>
    <t>=NF($D1264,"37 Due Date")</t>
  </si>
  <si>
    <t>=NF($D1265,"37 Due Date")</t>
  </si>
  <si>
    <t>=NF($D1266,"37 Due Date")</t>
  </si>
  <si>
    <t>=NF($D1267,"37 Due Date")</t>
  </si>
  <si>
    <t>=NF($D1268,"37 Due Date")</t>
  </si>
  <si>
    <t>=NF($D1269,"37 Due Date")</t>
  </si>
  <si>
    <t>=NF($D1270,"37 Due Date")</t>
  </si>
  <si>
    <t>=NF($D1271,"37 Due Date")</t>
  </si>
  <si>
    <t>=NF($D1272,"37 Due Date")</t>
  </si>
  <si>
    <t>=NF($D1273,"37 Due Date")</t>
  </si>
  <si>
    <t>=NF($D1274,"37 Due Date")</t>
  </si>
  <si>
    <t>=NF($D1275,"37 Due Date")</t>
  </si>
  <si>
    <t>=NF($D1276,"37 Due Date")</t>
  </si>
  <si>
    <t>=NF($D1277,"37 Due Date")</t>
  </si>
  <si>
    <t>=NF($D1278,"37 Due Date")</t>
  </si>
  <si>
    <t>=NF($D1279,"37 Due Date")</t>
  </si>
  <si>
    <t>=NF($D1280,"37 Due Date")</t>
  </si>
  <si>
    <t>=NF($D1281,"37 Due Date")</t>
  </si>
  <si>
    <t>=NF($D1282,"37 Due Date")</t>
  </si>
  <si>
    <t>=NF($D1283,"37 Due Date")</t>
  </si>
  <si>
    <t>=NF($D1284,"37 Due Date")</t>
  </si>
  <si>
    <t>=NF($D1285,"37 Due Date")</t>
  </si>
  <si>
    <t>=NF($D1258,"16 Remaining Amt. (LCY)")</t>
  </si>
  <si>
    <t>=NF($D1259,"16 Remaining Amt. (LCY)")</t>
  </si>
  <si>
    <t>=NF($D1260,"16 Remaining Amt. (LCY)")</t>
  </si>
  <si>
    <t>=NF($D1261,"16 Remaining Amt. (LCY)")</t>
  </si>
  <si>
    <t>=NF($D1262,"16 Remaining Amt. (LCY)")</t>
  </si>
  <si>
    <t>=NF($D1263,"16 Remaining Amt. (LCY)")</t>
  </si>
  <si>
    <t>=NF($D1264,"16 Remaining Amt. (LCY)")</t>
  </si>
  <si>
    <t>=NF($D1265,"16 Remaining Amt. (LCY)")</t>
  </si>
  <si>
    <t>=NF($D1266,"16 Remaining Amt. (LCY)")</t>
  </si>
  <si>
    <t>=NF($D1267,"16 Remaining Amt. (LCY)")</t>
  </si>
  <si>
    <t>=NF($D1268,"16 Remaining Amt. (LCY)")</t>
  </si>
  <si>
    <t>=NF($D1269,"16 Remaining Amt. (LCY)")</t>
  </si>
  <si>
    <t>=NF($D1270,"16 Remaining Amt. (LCY)")</t>
  </si>
  <si>
    <t>=NF($D1271,"16 Remaining Amt. (LCY)")</t>
  </si>
  <si>
    <t>=NF($D1272,"16 Remaining Amt. (LCY)")</t>
  </si>
  <si>
    <t>=NF($D1273,"16 Remaining Amt. (LCY)")</t>
  </si>
  <si>
    <t>=NF($D1274,"16 Remaining Amt. (LCY)")</t>
  </si>
  <si>
    <t>=NF($D1275,"16 Remaining Amt. (LCY)")</t>
  </si>
  <si>
    <t>=NF($D1276,"16 Remaining Amt. (LCY)")</t>
  </si>
  <si>
    <t>=NF($D1277,"16 Remaining Amt. (LCY)")</t>
  </si>
  <si>
    <t>=NF($D1278,"16 Remaining Amt. (LCY)")</t>
  </si>
  <si>
    <t>=NF($D1279,"16 Remaining Amt. (LCY)")</t>
  </si>
  <si>
    <t>=NF($D1280,"16 Remaining Amt. (LCY)")</t>
  </si>
  <si>
    <t>=NF($D1281,"16 Remaining Amt. (LCY)")</t>
  </si>
  <si>
    <t>=NF($D1282,"16 Remaining Amt. (LCY)")</t>
  </si>
  <si>
    <t>=NF($D1283,"16 Remaining Amt. (LCY)")</t>
  </si>
  <si>
    <t>=NF($D1284,"16 Remaining Amt. (LCY)")</t>
  </si>
  <si>
    <t>=NF($D1285,"16 Remaining Amt. (LCY)")</t>
  </si>
  <si>
    <t>=NF($D1221,"5 Document Type")</t>
  </si>
  <si>
    <t>=NF($D1222,"5 Document Type")</t>
  </si>
  <si>
    <t>=NF($D1223,"5 Document Type")</t>
  </si>
  <si>
    <t>=NF($D1224,"5 Document Type")</t>
  </si>
  <si>
    <t>=NF($D1225,"5 Document Type")</t>
  </si>
  <si>
    <t>=NF($D1226,"5 Document Type")</t>
  </si>
  <si>
    <t>=NF($D1227,"5 Document Type")</t>
  </si>
  <si>
    <t>=NF($D1228,"5 Document Type")</t>
  </si>
  <si>
    <t>=NF($D1229,"5 Document Type")</t>
  </si>
  <si>
    <t>=NF($D1230,"5 Document Type")</t>
  </si>
  <si>
    <t>=NF($D1231,"5 Document Type")</t>
  </si>
  <si>
    <t>=NF($D1232,"5 Document Type")</t>
  </si>
  <si>
    <t>=NF($D1233,"5 Document Type")</t>
  </si>
  <si>
    <t>=NF($D1234,"5 Document Type")</t>
  </si>
  <si>
    <t>=NF($D1235,"5 Document Type")</t>
  </si>
  <si>
    <t>=NF($D1236,"5 Document Type")</t>
  </si>
  <si>
    <t>=NF($D1237,"5 Document Type")</t>
  </si>
  <si>
    <t>=NF($D1238,"5 Document Type")</t>
  </si>
  <si>
    <t>=NF($D1239,"5 Document Type")</t>
  </si>
  <si>
    <t>=NF($D1240,"5 Document Type")</t>
  </si>
  <si>
    <t>=NF($D1241,"5 Document Type")</t>
  </si>
  <si>
    <t>=NF($D1242,"5 Document Type")</t>
  </si>
  <si>
    <t>=NF($D1243,"5 Document Type")</t>
  </si>
  <si>
    <t>=NF($D1244,"5 Document Type")</t>
  </si>
  <si>
    <t>=NF($D1245,"5 Document Type")</t>
  </si>
  <si>
    <t>=NF($D1246,"5 Document Type")</t>
  </si>
  <si>
    <t>=NF($D1247,"5 Document Type")</t>
  </si>
  <si>
    <t>=NF($D1248,"5 Document Type")</t>
  </si>
  <si>
    <t>=NF($D1249,"5 Document Type")</t>
  </si>
  <si>
    <t>=NF($D1250,"5 Document Type")</t>
  </si>
  <si>
    <t>=NF($D1251,"5 Document Type")</t>
  </si>
  <si>
    <t>=NF($D1221,"6 Document No.")</t>
  </si>
  <si>
    <t>=NF($D1222,"6 Document No.")</t>
  </si>
  <si>
    <t>=NF($D1223,"6 Document No.")</t>
  </si>
  <si>
    <t>=NF($D1224,"6 Document No.")</t>
  </si>
  <si>
    <t>=NF($D1225,"6 Document No.")</t>
  </si>
  <si>
    <t>=NF($D1226,"6 Document No.")</t>
  </si>
  <si>
    <t>=NF($D1227,"6 Document No.")</t>
  </si>
  <si>
    <t>=NF($D1228,"6 Document No.")</t>
  </si>
  <si>
    <t>=NF($D1229,"6 Document No.")</t>
  </si>
  <si>
    <t>=NF($D1230,"6 Document No.")</t>
  </si>
  <si>
    <t>=NF($D1231,"6 Document No.")</t>
  </si>
  <si>
    <t>=NF($D1232,"6 Document No.")</t>
  </si>
  <si>
    <t>=NF($D1233,"6 Document No.")</t>
  </si>
  <si>
    <t>=NF($D1234,"6 Document No.")</t>
  </si>
  <si>
    <t>=NF($D1235,"6 Document No.")</t>
  </si>
  <si>
    <t>=NF($D1236,"6 Document No.")</t>
  </si>
  <si>
    <t>=NF($D1237,"6 Document No.")</t>
  </si>
  <si>
    <t>=NF($D1238,"6 Document No.")</t>
  </si>
  <si>
    <t>=NF($D1239,"6 Document No.")</t>
  </si>
  <si>
    <t>=NF($D1240,"6 Document No.")</t>
  </si>
  <si>
    <t>=NF($D1241,"6 Document No.")</t>
  </si>
  <si>
    <t>=NF($D1242,"6 Document No.")</t>
  </si>
  <si>
    <t>=NF($D1243,"6 Document No.")</t>
  </si>
  <si>
    <t>=NF($D1244,"6 Document No.")</t>
  </si>
  <si>
    <t>=NF($D1245,"6 Document No.")</t>
  </si>
  <si>
    <t>=NF($D1246,"6 Document No.")</t>
  </si>
  <si>
    <t>=NF($D1247,"6 Document No.")</t>
  </si>
  <si>
    <t>=NF($D1248,"6 Document No.")</t>
  </si>
  <si>
    <t>=NF($D1249,"6 Document No.")</t>
  </si>
  <si>
    <t>=NF($D1250,"6 Document No.")</t>
  </si>
  <si>
    <t>=NF($D1251,"6 Document No.")</t>
  </si>
  <si>
    <t>=NF($D1221,"37 Due Date")</t>
  </si>
  <si>
    <t>=NF($D1222,"37 Due Date")</t>
  </si>
  <si>
    <t>=NF($D1223,"37 Due Date")</t>
  </si>
  <si>
    <t>=NF($D1224,"37 Due Date")</t>
  </si>
  <si>
    <t>=NF($D1225,"37 Due Date")</t>
  </si>
  <si>
    <t>=NF($D1226,"37 Due Date")</t>
  </si>
  <si>
    <t>=NF($D1227,"37 Due Date")</t>
  </si>
  <si>
    <t>=NF($D1228,"37 Due Date")</t>
  </si>
  <si>
    <t>=NF($D1229,"37 Due Date")</t>
  </si>
  <si>
    <t>=NF($D1230,"37 Due Date")</t>
  </si>
  <si>
    <t>=NF($D1231,"37 Due Date")</t>
  </si>
  <si>
    <t>=NF($D1232,"37 Due Date")</t>
  </si>
  <si>
    <t>=NF($D1233,"37 Due Date")</t>
  </si>
  <si>
    <t>=NF($D1234,"37 Due Date")</t>
  </si>
  <si>
    <t>=NF($D1235,"37 Due Date")</t>
  </si>
  <si>
    <t>=NF($D1236,"37 Due Date")</t>
  </si>
  <si>
    <t>=NF($D1237,"37 Due Date")</t>
  </si>
  <si>
    <t>=NF($D1238,"37 Due Date")</t>
  </si>
  <si>
    <t>=NF($D1239,"37 Due Date")</t>
  </si>
  <si>
    <t>=NF($D1240,"37 Due Date")</t>
  </si>
  <si>
    <t>=NF($D1241,"37 Due Date")</t>
  </si>
  <si>
    <t>=NF($D1242,"37 Due Date")</t>
  </si>
  <si>
    <t>=NF($D1243,"37 Due Date")</t>
  </si>
  <si>
    <t>=NF($D1244,"37 Due Date")</t>
  </si>
  <si>
    <t>=NF($D1245,"37 Due Date")</t>
  </si>
  <si>
    <t>=NF($D1246,"37 Due Date")</t>
  </si>
  <si>
    <t>=NF($D1247,"37 Due Date")</t>
  </si>
  <si>
    <t>=NF($D1248,"37 Due Date")</t>
  </si>
  <si>
    <t>=NF($D1249,"37 Due Date")</t>
  </si>
  <si>
    <t>=NF($D1250,"37 Due Date")</t>
  </si>
  <si>
    <t>=NF($D1251,"37 Due Date")</t>
  </si>
  <si>
    <t>=NF($D1221,"16 Remaining Amt. (LCY)")</t>
  </si>
  <si>
    <t>=NF($D1222,"16 Remaining Amt. (LCY)")</t>
  </si>
  <si>
    <t>=NF($D1223,"16 Remaining Amt. (LCY)")</t>
  </si>
  <si>
    <t>=NF($D1224,"16 Remaining Amt. (LCY)")</t>
  </si>
  <si>
    <t>=NF($D1225,"16 Remaining Amt. (LCY)")</t>
  </si>
  <si>
    <t>=NF($D1226,"16 Remaining Amt. (LCY)")</t>
  </si>
  <si>
    <t>=NF($D1227,"16 Remaining Amt. (LCY)")</t>
  </si>
  <si>
    <t>=NF($D1228,"16 Remaining Amt. (LCY)")</t>
  </si>
  <si>
    <t>=NF($D1229,"16 Remaining Amt. (LCY)")</t>
  </si>
  <si>
    <t>=NF($D1230,"16 Remaining Amt. (LCY)")</t>
  </si>
  <si>
    <t>=NF($D1231,"16 Remaining Amt. (LCY)")</t>
  </si>
  <si>
    <t>=NF($D1232,"16 Remaining Amt. (LCY)")</t>
  </si>
  <si>
    <t>=NF($D1233,"16 Remaining Amt. (LCY)")</t>
  </si>
  <si>
    <t>=NF($D1234,"16 Remaining Amt. (LCY)")</t>
  </si>
  <si>
    <t>=NF($D1235,"16 Remaining Amt. (LCY)")</t>
  </si>
  <si>
    <t>=NF($D1236,"16 Remaining Amt. (LCY)")</t>
  </si>
  <si>
    <t>=NF($D1237,"16 Remaining Amt. (LCY)")</t>
  </si>
  <si>
    <t>=NF($D1238,"16 Remaining Amt. (LCY)")</t>
  </si>
  <si>
    <t>=NF($D1239,"16 Remaining Amt. (LCY)")</t>
  </si>
  <si>
    <t>=NF($D1240,"16 Remaining Amt. (LCY)")</t>
  </si>
  <si>
    <t>=NF($D1241,"16 Remaining Amt. (LCY)")</t>
  </si>
  <si>
    <t>=NF($D1242,"16 Remaining Amt. (LCY)")</t>
  </si>
  <si>
    <t>=NF($D1243,"16 Remaining Amt. (LCY)")</t>
  </si>
  <si>
    <t>=NF($D1244,"16 Remaining Amt. (LCY)")</t>
  </si>
  <si>
    <t>=NF($D1245,"16 Remaining Amt. (LCY)")</t>
  </si>
  <si>
    <t>=NF($D1246,"16 Remaining Amt. (LCY)")</t>
  </si>
  <si>
    <t>=NF($D1247,"16 Remaining Amt. (LCY)")</t>
  </si>
  <si>
    <t>=NF($D1248,"16 Remaining Amt. (LCY)")</t>
  </si>
  <si>
    <t>=NF($D1249,"16 Remaining Amt. (LCY)")</t>
  </si>
  <si>
    <t>=NF($D1250,"16 Remaining Amt. (LCY)")</t>
  </si>
  <si>
    <t>=NF($D1251,"16 Remaining Amt. (LCY)")</t>
  </si>
  <si>
    <t>=NF($D1181,"5 Document Type")</t>
  </si>
  <si>
    <t>=NF($D1182,"5 Document Type")</t>
  </si>
  <si>
    <t>=NF($D1183,"5 Document Type")</t>
  </si>
  <si>
    <t>=NF($D1184,"5 Document Type")</t>
  </si>
  <si>
    <t>=NF($D1185,"5 Document Type")</t>
  </si>
  <si>
    <t>=NF($D1186,"5 Document Type")</t>
  </si>
  <si>
    <t>=NF($D1187,"5 Document Type")</t>
  </si>
  <si>
    <t>=NF($D1188,"5 Document Type")</t>
  </si>
  <si>
    <t>=NF($D1189,"5 Document Type")</t>
  </si>
  <si>
    <t>=NF($D1190,"5 Document Type")</t>
  </si>
  <si>
    <t>=NF($D1191,"5 Document Type")</t>
  </si>
  <si>
    <t>=NF($D1192,"5 Document Type")</t>
  </si>
  <si>
    <t>=NF($D1193,"5 Document Type")</t>
  </si>
  <si>
    <t>=NF($D1194,"5 Document Type")</t>
  </si>
  <si>
    <t>=NF($D1195,"5 Document Type")</t>
  </si>
  <si>
    <t>=NF($D1196,"5 Document Type")</t>
  </si>
  <si>
    <t>=NF($D1197,"5 Document Type")</t>
  </si>
  <si>
    <t>=NF($D1198,"5 Document Type")</t>
  </si>
  <si>
    <t>=NF($D1199,"5 Document Type")</t>
  </si>
  <si>
    <t>=NF($D1200,"5 Document Type")</t>
  </si>
  <si>
    <t>=NF($D1201,"5 Document Type")</t>
  </si>
  <si>
    <t>=NF($D1202,"5 Document Type")</t>
  </si>
  <si>
    <t>=NF($D1203,"5 Document Type")</t>
  </si>
  <si>
    <t>=NF($D1204,"5 Document Type")</t>
  </si>
  <si>
    <t>=NF($D1205,"5 Document Type")</t>
  </si>
  <si>
    <t>=NF($D1206,"5 Document Type")</t>
  </si>
  <si>
    <t>=NF($D1207,"5 Document Type")</t>
  </si>
  <si>
    <t>=NF($D1208,"5 Document Type")</t>
  </si>
  <si>
    <t>=NF($D1209,"5 Document Type")</t>
  </si>
  <si>
    <t>=NF($D1210,"5 Document Type")</t>
  </si>
  <si>
    <t>=NF($D1211,"5 Document Type")</t>
  </si>
  <si>
    <t>=NF($D1212,"5 Document Type")</t>
  </si>
  <si>
    <t>=NF($D1213,"5 Document Type")</t>
  </si>
  <si>
    <t>=NF($D1214,"5 Document Type")</t>
  </si>
  <si>
    <t>=NF($D1181,"6 Document No.")</t>
  </si>
  <si>
    <t>=NF($D1182,"6 Document No.")</t>
  </si>
  <si>
    <t>=NF($D1183,"6 Document No.")</t>
  </si>
  <si>
    <t>=NF($D1184,"6 Document No.")</t>
  </si>
  <si>
    <t>=NF($D1185,"6 Document No.")</t>
  </si>
  <si>
    <t>=NF($D1186,"6 Document No.")</t>
  </si>
  <si>
    <t>=NF($D1187,"6 Document No.")</t>
  </si>
  <si>
    <t>=NF($D1188,"6 Document No.")</t>
  </si>
  <si>
    <t>=NF($D1189,"6 Document No.")</t>
  </si>
  <si>
    <t>=NF($D1190,"6 Document No.")</t>
  </si>
  <si>
    <t>=NF($D1191,"6 Document No.")</t>
  </si>
  <si>
    <t>=NF($D1192,"6 Document No.")</t>
  </si>
  <si>
    <t>=NF($D1193,"6 Document No.")</t>
  </si>
  <si>
    <t>=NF($D1194,"6 Document No.")</t>
  </si>
  <si>
    <t>=NF($D1195,"6 Document No.")</t>
  </si>
  <si>
    <t>=NF($D1196,"6 Document No.")</t>
  </si>
  <si>
    <t>=NF($D1197,"6 Document No.")</t>
  </si>
  <si>
    <t>=NF($D1198,"6 Document No.")</t>
  </si>
  <si>
    <t>=NF($D1199,"6 Document No.")</t>
  </si>
  <si>
    <t>=NF($D1200,"6 Document No.")</t>
  </si>
  <si>
    <t>=NF($D1201,"6 Document No.")</t>
  </si>
  <si>
    <t>=NF($D1202,"6 Document No.")</t>
  </si>
  <si>
    <t>=NF($D1203,"6 Document No.")</t>
  </si>
  <si>
    <t>=NF($D1204,"6 Document No.")</t>
  </si>
  <si>
    <t>=NF($D1205,"6 Document No.")</t>
  </si>
  <si>
    <t>=NF($D1206,"6 Document No.")</t>
  </si>
  <si>
    <t>=NF($D1207,"6 Document No.")</t>
  </si>
  <si>
    <t>=NF($D1208,"6 Document No.")</t>
  </si>
  <si>
    <t>=NF($D1209,"6 Document No.")</t>
  </si>
  <si>
    <t>=NF($D1210,"6 Document No.")</t>
  </si>
  <si>
    <t>=NF($D1211,"6 Document No.")</t>
  </si>
  <si>
    <t>=NF($D1212,"6 Document No.")</t>
  </si>
  <si>
    <t>=NF($D1213,"6 Document No.")</t>
  </si>
  <si>
    <t>=NF($D1214,"6 Document No.")</t>
  </si>
  <si>
    <t>=NF($D1181,"37 Due Date")</t>
  </si>
  <si>
    <t>=NF($D1182,"37 Due Date")</t>
  </si>
  <si>
    <t>=NF($D1183,"37 Due Date")</t>
  </si>
  <si>
    <t>=NF($D1184,"37 Due Date")</t>
  </si>
  <si>
    <t>=NF($D1185,"37 Due Date")</t>
  </si>
  <si>
    <t>=NF($D1186,"37 Due Date")</t>
  </si>
  <si>
    <t>=NF($D1187,"37 Due Date")</t>
  </si>
  <si>
    <t>=NF($D1188,"37 Due Date")</t>
  </si>
  <si>
    <t>=NF($D1189,"37 Due Date")</t>
  </si>
  <si>
    <t>=NF($D1190,"37 Due Date")</t>
  </si>
  <si>
    <t>=NF($D1191,"37 Due Date")</t>
  </si>
  <si>
    <t>=NF($D1192,"37 Due Date")</t>
  </si>
  <si>
    <t>=NF($D1193,"37 Due Date")</t>
  </si>
  <si>
    <t>=NF($D1194,"37 Due Date")</t>
  </si>
  <si>
    <t>=NF($D1195,"37 Due Date")</t>
  </si>
  <si>
    <t>=NF($D1196,"37 Due Date")</t>
  </si>
  <si>
    <t>=NF($D1197,"37 Due Date")</t>
  </si>
  <si>
    <t>=NF($D1198,"37 Due Date")</t>
  </si>
  <si>
    <t>=NF($D1199,"37 Due Date")</t>
  </si>
  <si>
    <t>=NF($D1200,"37 Due Date")</t>
  </si>
  <si>
    <t>=NF($D1201,"37 Due Date")</t>
  </si>
  <si>
    <t>=NF($D1202,"37 Due Date")</t>
  </si>
  <si>
    <t>=NF($D1203,"37 Due Date")</t>
  </si>
  <si>
    <t>=NF($D1204,"37 Due Date")</t>
  </si>
  <si>
    <t>=NF($D1205,"37 Due Date")</t>
  </si>
  <si>
    <t>=NF($D1206,"37 Due Date")</t>
  </si>
  <si>
    <t>=NF($D1207,"37 Due Date")</t>
  </si>
  <si>
    <t>=NF($D1208,"37 Due Date")</t>
  </si>
  <si>
    <t>=NF($D1209,"37 Due Date")</t>
  </si>
  <si>
    <t>=NF($D1210,"37 Due Date")</t>
  </si>
  <si>
    <t>=NF($D1211,"37 Due Date")</t>
  </si>
  <si>
    <t>=NF($D1212,"37 Due Date")</t>
  </si>
  <si>
    <t>=NF($D1213,"37 Due Date")</t>
  </si>
  <si>
    <t>=NF($D1214,"37 Due Date")</t>
  </si>
  <si>
    <t>=NF($D1181,"16 Remaining Amt. (LCY)")</t>
  </si>
  <si>
    <t>=NF($D1182,"16 Remaining Amt. (LCY)")</t>
  </si>
  <si>
    <t>=NF($D1183,"16 Remaining Amt. (LCY)")</t>
  </si>
  <si>
    <t>=NF($D1184,"16 Remaining Amt. (LCY)")</t>
  </si>
  <si>
    <t>=NF($D1185,"16 Remaining Amt. (LCY)")</t>
  </si>
  <si>
    <t>=NF($D1186,"16 Remaining Amt. (LCY)")</t>
  </si>
  <si>
    <t>=NF($D1187,"16 Remaining Amt. (LCY)")</t>
  </si>
  <si>
    <t>=NF($D1188,"16 Remaining Amt. (LCY)")</t>
  </si>
  <si>
    <t>=NF($D1189,"16 Remaining Amt. (LCY)")</t>
  </si>
  <si>
    <t>=NF($D1190,"16 Remaining Amt. (LCY)")</t>
  </si>
  <si>
    <t>=NF($D1191,"16 Remaining Amt. (LCY)")</t>
  </si>
  <si>
    <t>=NF($D1192,"16 Remaining Amt. (LCY)")</t>
  </si>
  <si>
    <t>=NF($D1193,"16 Remaining Amt. (LCY)")</t>
  </si>
  <si>
    <t>=NF($D1194,"16 Remaining Amt. (LCY)")</t>
  </si>
  <si>
    <t>=NF($D1195,"16 Remaining Amt. (LCY)")</t>
  </si>
  <si>
    <t>=NF($D1196,"16 Remaining Amt. (LCY)")</t>
  </si>
  <si>
    <t>=NF($D1197,"16 Remaining Amt. (LCY)")</t>
  </si>
  <si>
    <t>=NF($D1198,"16 Remaining Amt. (LCY)")</t>
  </si>
  <si>
    <t>=NF($D1199,"16 Remaining Amt. (LCY)")</t>
  </si>
  <si>
    <t>=NF($D1200,"16 Remaining Amt. (LCY)")</t>
  </si>
  <si>
    <t>=NF($D1201,"16 Remaining Amt. (LCY)")</t>
  </si>
  <si>
    <t>=NF($D1202,"16 Remaining Amt. (LCY)")</t>
  </si>
  <si>
    <t>=NF($D1203,"16 Remaining Amt. (LCY)")</t>
  </si>
  <si>
    <t>=NF($D1204,"16 Remaining Amt. (LCY)")</t>
  </si>
  <si>
    <t>=NF($D1205,"16 Remaining Amt. (LCY)")</t>
  </si>
  <si>
    <t>=NF($D1206,"16 Remaining Amt. (LCY)")</t>
  </si>
  <si>
    <t>=NF($D1207,"16 Remaining Amt. (LCY)")</t>
  </si>
  <si>
    <t>=NF($D1208,"16 Remaining Amt. (LCY)")</t>
  </si>
  <si>
    <t>=NF($D1209,"16 Remaining Amt. (LCY)")</t>
  </si>
  <si>
    <t>=NF($D1210,"16 Remaining Amt. (LCY)")</t>
  </si>
  <si>
    <t>=NF($D1211,"16 Remaining Amt. (LCY)")</t>
  </si>
  <si>
    <t>=NF($D1212,"16 Remaining Amt. (LCY)")</t>
  </si>
  <si>
    <t>=NF($D1213,"16 Remaining Amt. (LCY)")</t>
  </si>
  <si>
    <t>=NF($D1214,"16 Remaining Amt. (LCY)")</t>
  </si>
  <si>
    <t>=NF($D1113,"5 Document Type")</t>
  </si>
  <si>
    <t>=NF($D1114,"5 Document Type")</t>
  </si>
  <si>
    <t>=NF($D1115,"5 Document Type")</t>
  </si>
  <si>
    <t>=NF($D1116,"5 Document Type")</t>
  </si>
  <si>
    <t>=NF($D1117,"5 Document Type")</t>
  </si>
  <si>
    <t>=NF($D1118,"5 Document Type")</t>
  </si>
  <si>
    <t>=NF($D1119,"5 Document Type")</t>
  </si>
  <si>
    <t>=NF($D1120,"5 Document Type")</t>
  </si>
  <si>
    <t>=NF($D1121,"5 Document Type")</t>
  </si>
  <si>
    <t>=NF($D1122,"5 Document Type")</t>
  </si>
  <si>
    <t>=NF($D1123,"5 Document Type")</t>
  </si>
  <si>
    <t>=NF($D1124,"5 Document Type")</t>
  </si>
  <si>
    <t>=NF($D1125,"5 Document Type")</t>
  </si>
  <si>
    <t>=NF($D1126,"5 Document Type")</t>
  </si>
  <si>
    <t>=NF($D1127,"5 Document Type")</t>
  </si>
  <si>
    <t>=NF($D1128,"5 Document Type")</t>
  </si>
  <si>
    <t>=NF($D1129,"5 Document Type")</t>
  </si>
  <si>
    <t>=NF($D1130,"5 Document Type")</t>
  </si>
  <si>
    <t>=NF($D1131,"5 Document Type")</t>
  </si>
  <si>
    <t>=NF($D1132,"5 Document Type")</t>
  </si>
  <si>
    <t>=NF($D1133,"5 Document Type")</t>
  </si>
  <si>
    <t>=NF($D1134,"5 Document Type")</t>
  </si>
  <si>
    <t>=NF($D1135,"5 Document Type")</t>
  </si>
  <si>
    <t>=NF($D1136,"5 Document Type")</t>
  </si>
  <si>
    <t>=NF($D1137,"5 Document Type")</t>
  </si>
  <si>
    <t>=NF($D1138,"5 Document Type")</t>
  </si>
  <si>
    <t>=NF($D1139,"5 Document Type")</t>
  </si>
  <si>
    <t>=NF($D1140,"5 Document Type")</t>
  </si>
  <si>
    <t>=NF($D1141,"5 Document Type")</t>
  </si>
  <si>
    <t>=NF($D1142,"5 Document Type")</t>
  </si>
  <si>
    <t>=NF($D1143,"5 Document Type")</t>
  </si>
  <si>
    <t>=NF($D1144,"5 Document Type")</t>
  </si>
  <si>
    <t>=NF($D1145,"5 Document Type")</t>
  </si>
  <si>
    <t>=NF($D1146,"5 Document Type")</t>
  </si>
  <si>
    <t>=NF($D1147,"5 Document Type")</t>
  </si>
  <si>
    <t>=NF($D1148,"5 Document Type")</t>
  </si>
  <si>
    <t>=NF($D1149,"5 Document Type")</t>
  </si>
  <si>
    <t>=NF($D1150,"5 Document Type")</t>
  </si>
  <si>
    <t>=NF($D1151,"5 Document Type")</t>
  </si>
  <si>
    <t>=NF($D1152,"5 Document Type")</t>
  </si>
  <si>
    <t>=NF($D1153,"5 Document Type")</t>
  </si>
  <si>
    <t>=NF($D1154,"5 Document Type")</t>
  </si>
  <si>
    <t>=NF($D1155,"5 Document Type")</t>
  </si>
  <si>
    <t>=NF($D1156,"5 Document Type")</t>
  </si>
  <si>
    <t>=NF($D1157,"5 Document Type")</t>
  </si>
  <si>
    <t>=NF($D1158,"5 Document Type")</t>
  </si>
  <si>
    <t>=NF($D1159,"5 Document Type")</t>
  </si>
  <si>
    <t>=NF($D1160,"5 Document Type")</t>
  </si>
  <si>
    <t>=NF($D1161,"5 Document Type")</t>
  </si>
  <si>
    <t>=NF($D1162,"5 Document Type")</t>
  </si>
  <si>
    <t>=NF($D1163,"5 Document Type")</t>
  </si>
  <si>
    <t>=NF($D1164,"5 Document Type")</t>
  </si>
  <si>
    <t>=NF($D1165,"5 Document Type")</t>
  </si>
  <si>
    <t>=NF($D1166,"5 Document Type")</t>
  </si>
  <si>
    <t>=NF($D1167,"5 Document Type")</t>
  </si>
  <si>
    <t>=NF($D1168,"5 Document Type")</t>
  </si>
  <si>
    <t>=NF($D1169,"5 Document Type")</t>
  </si>
  <si>
    <t>=NF($D1170,"5 Document Type")</t>
  </si>
  <si>
    <t>=NF($D1171,"5 Document Type")</t>
  </si>
  <si>
    <t>=NF($D1172,"5 Document Type")</t>
  </si>
  <si>
    <t>=NF($D1173,"5 Document Type")</t>
  </si>
  <si>
    <t>=NF($D1174,"5 Document Type")</t>
  </si>
  <si>
    <t>=NF($D1113,"6 Document No.")</t>
  </si>
  <si>
    <t>=NF($D1114,"6 Document No.")</t>
  </si>
  <si>
    <t>=NF($D1115,"6 Document No.")</t>
  </si>
  <si>
    <t>=NF($D1116,"6 Document No.")</t>
  </si>
  <si>
    <t>=NF($D1117,"6 Document No.")</t>
  </si>
  <si>
    <t>=NF($D1118,"6 Document No.")</t>
  </si>
  <si>
    <t>=NF($D1119,"6 Document No.")</t>
  </si>
  <si>
    <t>=NF($D1120,"6 Document No.")</t>
  </si>
  <si>
    <t>=NF($D1121,"6 Document No.")</t>
  </si>
  <si>
    <t>=NF($D1122,"6 Document No.")</t>
  </si>
  <si>
    <t>=NF($D1123,"6 Document No.")</t>
  </si>
  <si>
    <t>=NF($D1124,"6 Document No.")</t>
  </si>
  <si>
    <t>=NF($D1125,"6 Document No.")</t>
  </si>
  <si>
    <t>=NF($D1126,"6 Document No.")</t>
  </si>
  <si>
    <t>=NF($D1127,"6 Document No.")</t>
  </si>
  <si>
    <t>=NF($D1128,"6 Document No.")</t>
  </si>
  <si>
    <t>=NF($D1129,"6 Document No.")</t>
  </si>
  <si>
    <t>=NF($D1130,"6 Document No.")</t>
  </si>
  <si>
    <t>=NF($D1131,"6 Document No.")</t>
  </si>
  <si>
    <t>=NF($D1132,"6 Document No.")</t>
  </si>
  <si>
    <t>=NF($D1133,"6 Document No.")</t>
  </si>
  <si>
    <t>=NF($D1134,"6 Document No.")</t>
  </si>
  <si>
    <t>=NF($D1135,"6 Document No.")</t>
  </si>
  <si>
    <t>=NF($D1136,"6 Document No.")</t>
  </si>
  <si>
    <t>=NF($D1137,"6 Document No.")</t>
  </si>
  <si>
    <t>=NF($D1138,"6 Document No.")</t>
  </si>
  <si>
    <t>=NF($D1139,"6 Document No.")</t>
  </si>
  <si>
    <t>=NF($D1140,"6 Document No.")</t>
  </si>
  <si>
    <t>=NF($D1141,"6 Document No.")</t>
  </si>
  <si>
    <t>=NF($D1142,"6 Document No.")</t>
  </si>
  <si>
    <t>=NF($D1143,"6 Document No.")</t>
  </si>
  <si>
    <t>=NF($D1144,"6 Document No.")</t>
  </si>
  <si>
    <t>=NF($D1145,"6 Document No.")</t>
  </si>
  <si>
    <t>=NF($D1146,"6 Document No.")</t>
  </si>
  <si>
    <t>=NF($D1147,"6 Document No.")</t>
  </si>
  <si>
    <t>=NF($D1148,"6 Document No.")</t>
  </si>
  <si>
    <t>=NF($D1149,"6 Document No.")</t>
  </si>
  <si>
    <t>=NF($D1150,"6 Document No.")</t>
  </si>
  <si>
    <t>=NF($D1151,"6 Document No.")</t>
  </si>
  <si>
    <t>=NF($D1152,"6 Document No.")</t>
  </si>
  <si>
    <t>=NF($D1153,"6 Document No.")</t>
  </si>
  <si>
    <t>=NF($D1154,"6 Document No.")</t>
  </si>
  <si>
    <t>=NF($D1155,"6 Document No.")</t>
  </si>
  <si>
    <t>=NF($D1156,"6 Document No.")</t>
  </si>
  <si>
    <t>=NF($D1157,"6 Document No.")</t>
  </si>
  <si>
    <t>=NF($D1158,"6 Document No.")</t>
  </si>
  <si>
    <t>=NF($D1159,"6 Document No.")</t>
  </si>
  <si>
    <t>=NF($D1160,"6 Document No.")</t>
  </si>
  <si>
    <t>=NF($D1161,"6 Document No.")</t>
  </si>
  <si>
    <t>=NF($D1162,"6 Document No.")</t>
  </si>
  <si>
    <t>=NF($D1163,"6 Document No.")</t>
  </si>
  <si>
    <t>=NF($D1164,"6 Document No.")</t>
  </si>
  <si>
    <t>=NF($D1165,"6 Document No.")</t>
  </si>
  <si>
    <t>=NF($D1166,"6 Document No.")</t>
  </si>
  <si>
    <t>=NF($D1167,"6 Document No.")</t>
  </si>
  <si>
    <t>=NF($D1168,"6 Document No.")</t>
  </si>
  <si>
    <t>=NF($D1169,"6 Document No.")</t>
  </si>
  <si>
    <t>=NF($D1170,"6 Document No.")</t>
  </si>
  <si>
    <t>=NF($D1171,"6 Document No.")</t>
  </si>
  <si>
    <t>=NF($D1172,"6 Document No.")</t>
  </si>
  <si>
    <t>=NF($D1173,"6 Document No.")</t>
  </si>
  <si>
    <t>=NF($D1174,"6 Document No.")</t>
  </si>
  <si>
    <t>=NF($D1113,"37 Due Date")</t>
  </si>
  <si>
    <t>=NF($D1114,"37 Due Date")</t>
  </si>
  <si>
    <t>=NF($D1115,"37 Due Date")</t>
  </si>
  <si>
    <t>=NF($D1116,"37 Due Date")</t>
  </si>
  <si>
    <t>=NF($D1117,"37 Due Date")</t>
  </si>
  <si>
    <t>=NF($D1118,"37 Due Date")</t>
  </si>
  <si>
    <t>=NF($D1119,"37 Due Date")</t>
  </si>
  <si>
    <t>=NF($D1120,"37 Due Date")</t>
  </si>
  <si>
    <t>=NF($D1121,"37 Due Date")</t>
  </si>
  <si>
    <t>=NF($D1122,"37 Due Date")</t>
  </si>
  <si>
    <t>=NF($D1123,"37 Due Date")</t>
  </si>
  <si>
    <t>=NF($D1124,"37 Due Date")</t>
  </si>
  <si>
    <t>=NF($D1125,"37 Due Date")</t>
  </si>
  <si>
    <t>=NF($D1126,"37 Due Date")</t>
  </si>
  <si>
    <t>=NF($D1127,"37 Due Date")</t>
  </si>
  <si>
    <t>=NF($D1128,"37 Due Date")</t>
  </si>
  <si>
    <t>=NF($D1129,"37 Due Date")</t>
  </si>
  <si>
    <t>=NF($D1130,"37 Due Date")</t>
  </si>
  <si>
    <t>=NF($D1131,"37 Due Date")</t>
  </si>
  <si>
    <t>=NF($D1132,"37 Due Date")</t>
  </si>
  <si>
    <t>=NF($D1133,"37 Due Date")</t>
  </si>
  <si>
    <t>=NF($D1134,"37 Due Date")</t>
  </si>
  <si>
    <t>=NF($D1135,"37 Due Date")</t>
  </si>
  <si>
    <t>=NF($D1136,"37 Due Date")</t>
  </si>
  <si>
    <t>=NF($D1137,"37 Due Date")</t>
  </si>
  <si>
    <t>=NF($D1138,"37 Due Date")</t>
  </si>
  <si>
    <t>=NF($D1139,"37 Due Date")</t>
  </si>
  <si>
    <t>=NF($D1140,"37 Due Date")</t>
  </si>
  <si>
    <t>=NF($D1141,"37 Due Date")</t>
  </si>
  <si>
    <t>=NF($D1142,"37 Due Date")</t>
  </si>
  <si>
    <t>=NF($D1143,"37 Due Date")</t>
  </si>
  <si>
    <t>=NF($D1144,"37 Due Date")</t>
  </si>
  <si>
    <t>=NF($D1145,"37 Due Date")</t>
  </si>
  <si>
    <t>=NF($D1146,"37 Due Date")</t>
  </si>
  <si>
    <t>=NF($D1147,"37 Due Date")</t>
  </si>
  <si>
    <t>=NF($D1148,"37 Due Date")</t>
  </si>
  <si>
    <t>=NF($D1149,"37 Due Date")</t>
  </si>
  <si>
    <t>=NF($D1150,"37 Due Date")</t>
  </si>
  <si>
    <t>=NF($D1151,"37 Due Date")</t>
  </si>
  <si>
    <t>=NF($D1152,"37 Due Date")</t>
  </si>
  <si>
    <t>=NF($D1153,"37 Due Date")</t>
  </si>
  <si>
    <t>=NF($D1154,"37 Due Date")</t>
  </si>
  <si>
    <t>=NF($D1155,"37 Due Date")</t>
  </si>
  <si>
    <t>=NF($D1156,"37 Due Date")</t>
  </si>
  <si>
    <t>=NF($D1157,"37 Due Date")</t>
  </si>
  <si>
    <t>=NF($D1158,"37 Due Date")</t>
  </si>
  <si>
    <t>=NF($D1159,"37 Due Date")</t>
  </si>
  <si>
    <t>=NF($D1160,"37 Due Date")</t>
  </si>
  <si>
    <t>=NF($D1161,"37 Due Date")</t>
  </si>
  <si>
    <t>=NF($D1162,"37 Due Date")</t>
  </si>
  <si>
    <t>=NF($D1163,"37 Due Date")</t>
  </si>
  <si>
    <t>=NF($D1164,"37 Due Date")</t>
  </si>
  <si>
    <t>=NF($D1165,"37 Due Date")</t>
  </si>
  <si>
    <t>=NF($D1166,"37 Due Date")</t>
  </si>
  <si>
    <t>=NF($D1167,"37 Due Date")</t>
  </si>
  <si>
    <t>=NF($D1168,"37 Due Date")</t>
  </si>
  <si>
    <t>=NF($D1169,"37 Due Date")</t>
  </si>
  <si>
    <t>=NF($D1170,"37 Due Date")</t>
  </si>
  <si>
    <t>=NF($D1171,"37 Due Date")</t>
  </si>
  <si>
    <t>=NF($D1172,"37 Due Date")</t>
  </si>
  <si>
    <t>=NF($D1173,"37 Due Date")</t>
  </si>
  <si>
    <t>=NF($D1174,"37 Due Date")</t>
  </si>
  <si>
    <t>=NF($D1113,"16 Remaining Amt. (LCY)")</t>
  </si>
  <si>
    <t>=NF($D1114,"16 Remaining Amt. (LCY)")</t>
  </si>
  <si>
    <t>=NF($D1115,"16 Remaining Amt. (LCY)")</t>
  </si>
  <si>
    <t>=NF($D1116,"16 Remaining Amt. (LCY)")</t>
  </si>
  <si>
    <t>=NF($D1117,"16 Remaining Amt. (LCY)")</t>
  </si>
  <si>
    <t>=NF($D1118,"16 Remaining Amt. (LCY)")</t>
  </si>
  <si>
    <t>=NF($D1119,"16 Remaining Amt. (LCY)")</t>
  </si>
  <si>
    <t>=NF($D1120,"16 Remaining Amt. (LCY)")</t>
  </si>
  <si>
    <t>=NF($D1121,"16 Remaining Amt. (LCY)")</t>
  </si>
  <si>
    <t>=NF($D1122,"16 Remaining Amt. (LCY)")</t>
  </si>
  <si>
    <t>=NF($D1123,"16 Remaining Amt. (LCY)")</t>
  </si>
  <si>
    <t>=NF($D1124,"16 Remaining Amt. (LCY)")</t>
  </si>
  <si>
    <t>=NF($D1125,"16 Remaining Amt. (LCY)")</t>
  </si>
  <si>
    <t>=NF($D1126,"16 Remaining Amt. (LCY)")</t>
  </si>
  <si>
    <t>=NF($D1127,"16 Remaining Amt. (LCY)")</t>
  </si>
  <si>
    <t>=NF($D1128,"16 Remaining Amt. (LCY)")</t>
  </si>
  <si>
    <t>=NF($D1129,"16 Remaining Amt. (LCY)")</t>
  </si>
  <si>
    <t>=NF($D1130,"16 Remaining Amt. (LCY)")</t>
  </si>
  <si>
    <t>=NF($D1131,"16 Remaining Amt. (LCY)")</t>
  </si>
  <si>
    <t>=NF($D1132,"16 Remaining Amt. (LCY)")</t>
  </si>
  <si>
    <t>=NF($D1133,"16 Remaining Amt. (LCY)")</t>
  </si>
  <si>
    <t>=NF($D1134,"16 Remaining Amt. (LCY)")</t>
  </si>
  <si>
    <t>=NF($D1135,"16 Remaining Amt. (LCY)")</t>
  </si>
  <si>
    <t>=NF($D1136,"16 Remaining Amt. (LCY)")</t>
  </si>
  <si>
    <t>=NF($D1137,"16 Remaining Amt. (LCY)")</t>
  </si>
  <si>
    <t>=NF($D1138,"16 Remaining Amt. (LCY)")</t>
  </si>
  <si>
    <t>=NF($D1139,"16 Remaining Amt. (LCY)")</t>
  </si>
  <si>
    <t>=NF($D1140,"16 Remaining Amt. (LCY)")</t>
  </si>
  <si>
    <t>=NF($D1141,"16 Remaining Amt. (LCY)")</t>
  </si>
  <si>
    <t>=NF($D1142,"16 Remaining Amt. (LCY)")</t>
  </si>
  <si>
    <t>=NF($D1143,"16 Remaining Amt. (LCY)")</t>
  </si>
  <si>
    <t>=NF($D1144,"16 Remaining Amt. (LCY)")</t>
  </si>
  <si>
    <t>=NF($D1145,"16 Remaining Amt. (LCY)")</t>
  </si>
  <si>
    <t>=NF($D1146,"16 Remaining Amt. (LCY)")</t>
  </si>
  <si>
    <t>=NF($D1147,"16 Remaining Amt. (LCY)")</t>
  </si>
  <si>
    <t>=NF($D1148,"16 Remaining Amt. (LCY)")</t>
  </si>
  <si>
    <t>=NF($D1149,"16 Remaining Amt. (LCY)")</t>
  </si>
  <si>
    <t>=NF($D1150,"16 Remaining Amt. (LCY)")</t>
  </si>
  <si>
    <t>=NF($D1151,"16 Remaining Amt. (LCY)")</t>
  </si>
  <si>
    <t>=NF($D1152,"16 Remaining Amt. (LCY)")</t>
  </si>
  <si>
    <t>=NF($D1153,"16 Remaining Amt. (LCY)")</t>
  </si>
  <si>
    <t>=NF($D1154,"16 Remaining Amt. (LCY)")</t>
  </si>
  <si>
    <t>=NF($D1155,"16 Remaining Amt. (LCY)")</t>
  </si>
  <si>
    <t>=NF($D1156,"16 Remaining Amt. (LCY)")</t>
  </si>
  <si>
    <t>=NF($D1157,"16 Remaining Amt. (LCY)")</t>
  </si>
  <si>
    <t>=NF($D1158,"16 Remaining Amt. (LCY)")</t>
  </si>
  <si>
    <t>=NF($D1159,"16 Remaining Amt. (LCY)")</t>
  </si>
  <si>
    <t>=NF($D1160,"16 Remaining Amt. (LCY)")</t>
  </si>
  <si>
    <t>=NF($D1161,"16 Remaining Amt. (LCY)")</t>
  </si>
  <si>
    <t>=NF($D1162,"16 Remaining Amt. (LCY)")</t>
  </si>
  <si>
    <t>=NF($D1163,"16 Remaining Amt. (LCY)")</t>
  </si>
  <si>
    <t>=NF($D1164,"16 Remaining Amt. (LCY)")</t>
  </si>
  <si>
    <t>=NF($D1165,"16 Remaining Amt. (LCY)")</t>
  </si>
  <si>
    <t>=NF($D1166,"16 Remaining Amt. (LCY)")</t>
  </si>
  <si>
    <t>=NF($D1167,"16 Remaining Amt. (LCY)")</t>
  </si>
  <si>
    <t>=NF($D1168,"16 Remaining Amt. (LCY)")</t>
  </si>
  <si>
    <t>=NF($D1169,"16 Remaining Amt. (LCY)")</t>
  </si>
  <si>
    <t>=NF($D1170,"16 Remaining Amt. (LCY)")</t>
  </si>
  <si>
    <t>=NF($D1171,"16 Remaining Amt. (LCY)")</t>
  </si>
  <si>
    <t>=NF($D1172,"16 Remaining Amt. (LCY)")</t>
  </si>
  <si>
    <t>=NF($D1173,"16 Remaining Amt. (LCY)")</t>
  </si>
  <si>
    <t>=NF($D1174,"16 Remaining Amt. (LCY)")</t>
  </si>
  <si>
    <t>=NF($D1054,"5 Document Type")</t>
  </si>
  <si>
    <t>=NF($D1055,"5 Document Type")</t>
  </si>
  <si>
    <t>=NF($D1056,"5 Document Type")</t>
  </si>
  <si>
    <t>=NF($D1057,"5 Document Type")</t>
  </si>
  <si>
    <t>=NF($D1058,"5 Document Type")</t>
  </si>
  <si>
    <t>=NF($D1059,"5 Document Type")</t>
  </si>
  <si>
    <t>=NF($D1060,"5 Document Type")</t>
  </si>
  <si>
    <t>=NF($D1061,"5 Document Type")</t>
  </si>
  <si>
    <t>=NF($D1062,"5 Document Type")</t>
  </si>
  <si>
    <t>=NF($D1063,"5 Document Type")</t>
  </si>
  <si>
    <t>=NF($D1064,"5 Document Type")</t>
  </si>
  <si>
    <t>=NF($D1065,"5 Document Type")</t>
  </si>
  <si>
    <t>=NF($D1066,"5 Document Type")</t>
  </si>
  <si>
    <t>=NF($D1067,"5 Document Type")</t>
  </si>
  <si>
    <t>=NF($D1068,"5 Document Type")</t>
  </si>
  <si>
    <t>=NF($D1069,"5 Document Type")</t>
  </si>
  <si>
    <t>=NF($D1070,"5 Document Type")</t>
  </si>
  <si>
    <t>=NF($D1071,"5 Document Type")</t>
  </si>
  <si>
    <t>=NF($D1072,"5 Document Type")</t>
  </si>
  <si>
    <t>=NF($D1073,"5 Document Type")</t>
  </si>
  <si>
    <t>=NF($D1074,"5 Document Type")</t>
  </si>
  <si>
    <t>=NF($D1075,"5 Document Type")</t>
  </si>
  <si>
    <t>=NF($D1076,"5 Document Type")</t>
  </si>
  <si>
    <t>=NF($D1077,"5 Document Type")</t>
  </si>
  <si>
    <t>=NF($D1078,"5 Document Type")</t>
  </si>
  <si>
    <t>=NF($D1079,"5 Document Type")</t>
  </si>
  <si>
    <t>=NF($D1080,"5 Document Type")</t>
  </si>
  <si>
    <t>=NF($D1081,"5 Document Type")</t>
  </si>
  <si>
    <t>=NF($D1082,"5 Document Type")</t>
  </si>
  <si>
    <t>=NF($D1083,"5 Document Type")</t>
  </si>
  <si>
    <t>=NF($D1084,"5 Document Type")</t>
  </si>
  <si>
    <t>=NF($D1085,"5 Document Type")</t>
  </si>
  <si>
    <t>=NF($D1086,"5 Document Type")</t>
  </si>
  <si>
    <t>=NF($D1087,"5 Document Type")</t>
  </si>
  <si>
    <t>=NF($D1088,"5 Document Type")</t>
  </si>
  <si>
    <t>=NF($D1089,"5 Document Type")</t>
  </si>
  <si>
    <t>=NF($D1090,"5 Document Type")</t>
  </si>
  <si>
    <t>=NF($D1091,"5 Document Type")</t>
  </si>
  <si>
    <t>=NF($D1092,"5 Document Type")</t>
  </si>
  <si>
    <t>=NF($D1093,"5 Document Type")</t>
  </si>
  <si>
    <t>=NF($D1094,"5 Document Type")</t>
  </si>
  <si>
    <t>=NF($D1095,"5 Document Type")</t>
  </si>
  <si>
    <t>=NF($D1096,"5 Document Type")</t>
  </si>
  <si>
    <t>=NF($D1097,"5 Document Type")</t>
  </si>
  <si>
    <t>=NF($D1098,"5 Document Type")</t>
  </si>
  <si>
    <t>=NF($D1099,"5 Document Type")</t>
  </si>
  <si>
    <t>=NF($D1100,"5 Document Type")</t>
  </si>
  <si>
    <t>=NF($D1101,"5 Document Type")</t>
  </si>
  <si>
    <t>=NF($D1102,"5 Document Type")</t>
  </si>
  <si>
    <t>=NF($D1103,"5 Document Type")</t>
  </si>
  <si>
    <t>=NF($D1104,"5 Document Type")</t>
  </si>
  <si>
    <t>=NF($D1105,"5 Document Type")</t>
  </si>
  <si>
    <t>=NF($D1106,"5 Document Type")</t>
  </si>
  <si>
    <t>=NF($D1054,"6 Document No.")</t>
  </si>
  <si>
    <t>=NF($D1055,"6 Document No.")</t>
  </si>
  <si>
    <t>=NF($D1056,"6 Document No.")</t>
  </si>
  <si>
    <t>=NF($D1057,"6 Document No.")</t>
  </si>
  <si>
    <t>=NF($D1058,"6 Document No.")</t>
  </si>
  <si>
    <t>=NF($D1059,"6 Document No.")</t>
  </si>
  <si>
    <t>=NF($D1060,"6 Document No.")</t>
  </si>
  <si>
    <t>=NF($D1061,"6 Document No.")</t>
  </si>
  <si>
    <t>=NF($D1062,"6 Document No.")</t>
  </si>
  <si>
    <t>=NF($D1063,"6 Document No.")</t>
  </si>
  <si>
    <t>=NF($D1064,"6 Document No.")</t>
  </si>
  <si>
    <t>=NF($D1065,"6 Document No.")</t>
  </si>
  <si>
    <t>=NF($D1066,"6 Document No.")</t>
  </si>
  <si>
    <t>=NF($D1067,"6 Document No.")</t>
  </si>
  <si>
    <t>=NF($D1068,"6 Document No.")</t>
  </si>
  <si>
    <t>=NF($D1069,"6 Document No.")</t>
  </si>
  <si>
    <t>=NF($D1070,"6 Document No.")</t>
  </si>
  <si>
    <t>=NF($D1071,"6 Document No.")</t>
  </si>
  <si>
    <t>=NF($D1072,"6 Document No.")</t>
  </si>
  <si>
    <t>=NF($D1073,"6 Document No.")</t>
  </si>
  <si>
    <t>=NF($D1074,"6 Document No.")</t>
  </si>
  <si>
    <t>=NF($D1075,"6 Document No.")</t>
  </si>
  <si>
    <t>=NF($D1076,"6 Document No.")</t>
  </si>
  <si>
    <t>=NF($D1077,"6 Document No.")</t>
  </si>
  <si>
    <t>=NF($D1078,"6 Document No.")</t>
  </si>
  <si>
    <t>=NF($D1079,"6 Document No.")</t>
  </si>
  <si>
    <t>=NF($D1080,"6 Document No.")</t>
  </si>
  <si>
    <t>=NF($D1081,"6 Document No.")</t>
  </si>
  <si>
    <t>=NF($D1082,"6 Document No.")</t>
  </si>
  <si>
    <t>=NF($D1083,"6 Document No.")</t>
  </si>
  <si>
    <t>=NF($D1084,"6 Document No.")</t>
  </si>
  <si>
    <t>=NF($D1085,"6 Document No.")</t>
  </si>
  <si>
    <t>=NF($D1086,"6 Document No.")</t>
  </si>
  <si>
    <t>=NF($D1087,"6 Document No.")</t>
  </si>
  <si>
    <t>=NF($D1088,"6 Document No.")</t>
  </si>
  <si>
    <t>=NF($D1089,"6 Document No.")</t>
  </si>
  <si>
    <t>=NF($D1090,"6 Document No.")</t>
  </si>
  <si>
    <t>=NF($D1091,"6 Document No.")</t>
  </si>
  <si>
    <t>=NF($D1092,"6 Document No.")</t>
  </si>
  <si>
    <t>=NF($D1093,"6 Document No.")</t>
  </si>
  <si>
    <t>=NF($D1094,"6 Document No.")</t>
  </si>
  <si>
    <t>=NF($D1095,"6 Document No.")</t>
  </si>
  <si>
    <t>=NF($D1096,"6 Document No.")</t>
  </si>
  <si>
    <t>=NF($D1097,"6 Document No.")</t>
  </si>
  <si>
    <t>=NF($D1098,"6 Document No.")</t>
  </si>
  <si>
    <t>=NF($D1099,"6 Document No.")</t>
  </si>
  <si>
    <t>=NF($D1100,"6 Document No.")</t>
  </si>
  <si>
    <t>=NF($D1101,"6 Document No.")</t>
  </si>
  <si>
    <t>=NF($D1102,"6 Document No.")</t>
  </si>
  <si>
    <t>=NF($D1103,"6 Document No.")</t>
  </si>
  <si>
    <t>=NF($D1104,"6 Document No.")</t>
  </si>
  <si>
    <t>=NF($D1105,"6 Document No.")</t>
  </si>
  <si>
    <t>=NF($D1106,"6 Document No.")</t>
  </si>
  <si>
    <t>=NF($D1054,"37 Due Date")</t>
  </si>
  <si>
    <t>=NF($D1055,"37 Due Date")</t>
  </si>
  <si>
    <t>=NF($D1056,"37 Due Date")</t>
  </si>
  <si>
    <t>=NF($D1057,"37 Due Date")</t>
  </si>
  <si>
    <t>=NF($D1058,"37 Due Date")</t>
  </si>
  <si>
    <t>=NF($D1059,"37 Due Date")</t>
  </si>
  <si>
    <t>=NF($D1060,"37 Due Date")</t>
  </si>
  <si>
    <t>=NF($D1061,"37 Due Date")</t>
  </si>
  <si>
    <t>=NF($D1062,"37 Due Date")</t>
  </si>
  <si>
    <t>=NF($D1063,"37 Due Date")</t>
  </si>
  <si>
    <t>=NF($D1064,"37 Due Date")</t>
  </si>
  <si>
    <t>=NF($D1065,"37 Due Date")</t>
  </si>
  <si>
    <t>=NF($D1066,"37 Due Date")</t>
  </si>
  <si>
    <t>=NF($D1067,"37 Due Date")</t>
  </si>
  <si>
    <t>=NF($D1068,"37 Due Date")</t>
  </si>
  <si>
    <t>=NF($D1069,"37 Due Date")</t>
  </si>
  <si>
    <t>=NF($D1070,"37 Due Date")</t>
  </si>
  <si>
    <t>=NF($D1071,"37 Due Date")</t>
  </si>
  <si>
    <t>=NF($D1072,"37 Due Date")</t>
  </si>
  <si>
    <t>=NF($D1073,"37 Due Date")</t>
  </si>
  <si>
    <t>=NF($D1074,"37 Due Date")</t>
  </si>
  <si>
    <t>=NF($D1075,"37 Due Date")</t>
  </si>
  <si>
    <t>=NF($D1076,"37 Due Date")</t>
  </si>
  <si>
    <t>=NF($D1077,"37 Due Date")</t>
  </si>
  <si>
    <t>=NF($D1078,"37 Due Date")</t>
  </si>
  <si>
    <t>=NF($D1079,"37 Due Date")</t>
  </si>
  <si>
    <t>=NF($D1080,"37 Due Date")</t>
  </si>
  <si>
    <t>=NF($D1081,"37 Due Date")</t>
  </si>
  <si>
    <t>=NF($D1082,"37 Due Date")</t>
  </si>
  <si>
    <t>=NF($D1083,"37 Due Date")</t>
  </si>
  <si>
    <t>=NF($D1084,"37 Due Date")</t>
  </si>
  <si>
    <t>=NF($D1085,"37 Due Date")</t>
  </si>
  <si>
    <t>=NF($D1086,"37 Due Date")</t>
  </si>
  <si>
    <t>=NF($D1087,"37 Due Date")</t>
  </si>
  <si>
    <t>=NF($D1088,"37 Due Date")</t>
  </si>
  <si>
    <t>=NF($D1089,"37 Due Date")</t>
  </si>
  <si>
    <t>=NF($D1090,"37 Due Date")</t>
  </si>
  <si>
    <t>=NF($D1091,"37 Due Date")</t>
  </si>
  <si>
    <t>=NF($D1092,"37 Due Date")</t>
  </si>
  <si>
    <t>=NF($D1093,"37 Due Date")</t>
  </si>
  <si>
    <t>=NF($D1094,"37 Due Date")</t>
  </si>
  <si>
    <t>=NF($D1095,"37 Due Date")</t>
  </si>
  <si>
    <t>=NF($D1096,"37 Due Date")</t>
  </si>
  <si>
    <t>=NF($D1097,"37 Due Date")</t>
  </si>
  <si>
    <t>=NF($D1098,"37 Due Date")</t>
  </si>
  <si>
    <t>=NF($D1099,"37 Due Date")</t>
  </si>
  <si>
    <t>=NF($D1100,"37 Due Date")</t>
  </si>
  <si>
    <t>=NF($D1101,"37 Due Date")</t>
  </si>
  <si>
    <t>=NF($D1102,"37 Due Date")</t>
  </si>
  <si>
    <t>=NF($D1103,"37 Due Date")</t>
  </si>
  <si>
    <t>=NF($D1104,"37 Due Date")</t>
  </si>
  <si>
    <t>=NF($D1105,"37 Due Date")</t>
  </si>
  <si>
    <t>=NF($D1106,"37 Due Date")</t>
  </si>
  <si>
    <t>=NF($D1054,"16 Remaining Amt. (LCY)")</t>
  </si>
  <si>
    <t>=NF($D1055,"16 Remaining Amt. (LCY)")</t>
  </si>
  <si>
    <t>=NF($D1056,"16 Remaining Amt. (LCY)")</t>
  </si>
  <si>
    <t>=NF($D1057,"16 Remaining Amt. (LCY)")</t>
  </si>
  <si>
    <t>=NF($D1058,"16 Remaining Amt. (LCY)")</t>
  </si>
  <si>
    <t>=NF($D1059,"16 Remaining Amt. (LCY)")</t>
  </si>
  <si>
    <t>=NF($D1060,"16 Remaining Amt. (LCY)")</t>
  </si>
  <si>
    <t>=NF($D1061,"16 Remaining Amt. (LCY)")</t>
  </si>
  <si>
    <t>=NF($D1062,"16 Remaining Amt. (LCY)")</t>
  </si>
  <si>
    <t>=NF($D1063,"16 Remaining Amt. (LCY)")</t>
  </si>
  <si>
    <t>=NF($D1064,"16 Remaining Amt. (LCY)")</t>
  </si>
  <si>
    <t>=NF($D1065,"16 Remaining Amt. (LCY)")</t>
  </si>
  <si>
    <t>=NF($D1066,"16 Remaining Amt. (LCY)")</t>
  </si>
  <si>
    <t>=NF($D1067,"16 Remaining Amt. (LCY)")</t>
  </si>
  <si>
    <t>=NF($D1068,"16 Remaining Amt. (LCY)")</t>
  </si>
  <si>
    <t>=NF($D1069,"16 Remaining Amt. (LCY)")</t>
  </si>
  <si>
    <t>=NF($D1070,"16 Remaining Amt. (LCY)")</t>
  </si>
  <si>
    <t>=NF($D1071,"16 Remaining Amt. (LCY)")</t>
  </si>
  <si>
    <t>=NF($D1072,"16 Remaining Amt. (LCY)")</t>
  </si>
  <si>
    <t>=NF($D1073,"16 Remaining Amt. (LCY)")</t>
  </si>
  <si>
    <t>=NF($D1074,"16 Remaining Amt. (LCY)")</t>
  </si>
  <si>
    <t>=NF($D1075,"16 Remaining Amt. (LCY)")</t>
  </si>
  <si>
    <t>=NF($D1076,"16 Remaining Amt. (LCY)")</t>
  </si>
  <si>
    <t>=NF($D1077,"16 Remaining Amt. (LCY)")</t>
  </si>
  <si>
    <t>=NF($D1078,"16 Remaining Amt. (LCY)")</t>
  </si>
  <si>
    <t>=NF($D1079,"16 Remaining Amt. (LCY)")</t>
  </si>
  <si>
    <t>=NF($D1080,"16 Remaining Amt. (LCY)")</t>
  </si>
  <si>
    <t>=NF($D1081,"16 Remaining Amt. (LCY)")</t>
  </si>
  <si>
    <t>=NF($D1082,"16 Remaining Amt. (LCY)")</t>
  </si>
  <si>
    <t>=NF($D1083,"16 Remaining Amt. (LCY)")</t>
  </si>
  <si>
    <t>=NF($D1084,"16 Remaining Amt. (LCY)")</t>
  </si>
  <si>
    <t>=NF($D1085,"16 Remaining Amt. (LCY)")</t>
  </si>
  <si>
    <t>=NF($D1086,"16 Remaining Amt. (LCY)")</t>
  </si>
  <si>
    <t>=NF($D1087,"16 Remaining Amt. (LCY)")</t>
  </si>
  <si>
    <t>=NF($D1088,"16 Remaining Amt. (LCY)")</t>
  </si>
  <si>
    <t>=NF($D1089,"16 Remaining Amt. (LCY)")</t>
  </si>
  <si>
    <t>=NF($D1090,"16 Remaining Amt. (LCY)")</t>
  </si>
  <si>
    <t>=NF($D1091,"16 Remaining Amt. (LCY)")</t>
  </si>
  <si>
    <t>=NF($D1092,"16 Remaining Amt. (LCY)")</t>
  </si>
  <si>
    <t>=NF($D1093,"16 Remaining Amt. (LCY)")</t>
  </si>
  <si>
    <t>=NF($D1094,"16 Remaining Amt. (LCY)")</t>
  </si>
  <si>
    <t>=NF($D1095,"16 Remaining Amt. (LCY)")</t>
  </si>
  <si>
    <t>=NF($D1096,"16 Remaining Amt. (LCY)")</t>
  </si>
  <si>
    <t>=NF($D1097,"16 Remaining Amt. (LCY)")</t>
  </si>
  <si>
    <t>=NF($D1098,"16 Remaining Amt. (LCY)")</t>
  </si>
  <si>
    <t>=NF($D1099,"16 Remaining Amt. (LCY)")</t>
  </si>
  <si>
    <t>=NF($D1100,"16 Remaining Amt. (LCY)")</t>
  </si>
  <si>
    <t>=NF($D1101,"16 Remaining Amt. (LCY)")</t>
  </si>
  <si>
    <t>=NF($D1102,"16 Remaining Amt. (LCY)")</t>
  </si>
  <si>
    <t>=NF($D1103,"16 Remaining Amt. (LCY)")</t>
  </si>
  <si>
    <t>=NF($D1104,"16 Remaining Amt. (LCY)")</t>
  </si>
  <si>
    <t>=NF($D1105,"16 Remaining Amt. (LCY)")</t>
  </si>
  <si>
    <t>=NF($D1106,"16 Remaining Amt. (LCY)")</t>
  </si>
  <si>
    <t>=NF($D1031,"5 Document Type")</t>
  </si>
  <si>
    <t>=NF($D1032,"5 Document Type")</t>
  </si>
  <si>
    <t>=NF($D1033,"5 Document Type")</t>
  </si>
  <si>
    <t>=NF($D1034,"5 Document Type")</t>
  </si>
  <si>
    <t>=NF($D1035,"5 Document Type")</t>
  </si>
  <si>
    <t>=NF($D1036,"5 Document Type")</t>
  </si>
  <si>
    <t>=NF($D1037,"5 Document Type")</t>
  </si>
  <si>
    <t>=NF($D1038,"5 Document Type")</t>
  </si>
  <si>
    <t>=NF($D1039,"5 Document Type")</t>
  </si>
  <si>
    <t>=NF($D1040,"5 Document Type")</t>
  </si>
  <si>
    <t>=NF($D1041,"5 Document Type")</t>
  </si>
  <si>
    <t>=NF($D1042,"5 Document Type")</t>
  </si>
  <si>
    <t>=NF($D1043,"5 Document Type")</t>
  </si>
  <si>
    <t>=NF($D1044,"5 Document Type")</t>
  </si>
  <si>
    <t>=NF($D1045,"5 Document Type")</t>
  </si>
  <si>
    <t>=NF($D1046,"5 Document Type")</t>
  </si>
  <si>
    <t>=NF($D1047,"5 Document Type")</t>
  </si>
  <si>
    <t>=NF($D1031,"6 Document No.")</t>
  </si>
  <si>
    <t>=NF($D1032,"6 Document No.")</t>
  </si>
  <si>
    <t>=NF($D1033,"6 Document No.")</t>
  </si>
  <si>
    <t>=NF($D1034,"6 Document No.")</t>
  </si>
  <si>
    <t>=NF($D1035,"6 Document No.")</t>
  </si>
  <si>
    <t>=NF($D1036,"6 Document No.")</t>
  </si>
  <si>
    <t>=NF($D1037,"6 Document No.")</t>
  </si>
  <si>
    <t>=NF($D1038,"6 Document No.")</t>
  </si>
  <si>
    <t>=NF($D1039,"6 Document No.")</t>
  </si>
  <si>
    <t>=NF($D1040,"6 Document No.")</t>
  </si>
  <si>
    <t>=NF($D1041,"6 Document No.")</t>
  </si>
  <si>
    <t>=NF($D1042,"6 Document No.")</t>
  </si>
  <si>
    <t>=NF($D1043,"6 Document No.")</t>
  </si>
  <si>
    <t>=NF($D1044,"6 Document No.")</t>
  </si>
  <si>
    <t>=NF($D1045,"6 Document No.")</t>
  </si>
  <si>
    <t>=NF($D1046,"6 Document No.")</t>
  </si>
  <si>
    <t>=NF($D1047,"6 Document No.")</t>
  </si>
  <si>
    <t>=NF($D1031,"37 Due Date")</t>
  </si>
  <si>
    <t>=NF($D1032,"37 Due Date")</t>
  </si>
  <si>
    <t>=NF($D1033,"37 Due Date")</t>
  </si>
  <si>
    <t>=NF($D1034,"37 Due Date")</t>
  </si>
  <si>
    <t>=NF($D1035,"37 Due Date")</t>
  </si>
  <si>
    <t>=NF($D1036,"37 Due Date")</t>
  </si>
  <si>
    <t>=NF($D1037,"37 Due Date")</t>
  </si>
  <si>
    <t>=NF($D1038,"37 Due Date")</t>
  </si>
  <si>
    <t>=NF($D1039,"37 Due Date")</t>
  </si>
  <si>
    <t>=NF($D1040,"37 Due Date")</t>
  </si>
  <si>
    <t>=NF($D1041,"37 Due Date")</t>
  </si>
  <si>
    <t>=NF($D1042,"37 Due Date")</t>
  </si>
  <si>
    <t>=NF($D1043,"37 Due Date")</t>
  </si>
  <si>
    <t>=NF($D1044,"37 Due Date")</t>
  </si>
  <si>
    <t>=NF($D1045,"37 Due Date")</t>
  </si>
  <si>
    <t>=NF($D1046,"37 Due Date")</t>
  </si>
  <si>
    <t>=NF($D1047,"37 Due Date")</t>
  </si>
  <si>
    <t>=NF($D1031,"16 Remaining Amt. (LCY)")</t>
  </si>
  <si>
    <t>=NF($D1032,"16 Remaining Amt. (LCY)")</t>
  </si>
  <si>
    <t>=NF($D1033,"16 Remaining Amt. (LCY)")</t>
  </si>
  <si>
    <t>=NF($D1034,"16 Remaining Amt. (LCY)")</t>
  </si>
  <si>
    <t>=NF($D1035,"16 Remaining Amt. (LCY)")</t>
  </si>
  <si>
    <t>=NF($D1036,"16 Remaining Amt. (LCY)")</t>
  </si>
  <si>
    <t>=NF($D1037,"16 Remaining Amt. (LCY)")</t>
  </si>
  <si>
    <t>=NF($D1038,"16 Remaining Amt. (LCY)")</t>
  </si>
  <si>
    <t>=NF($D1039,"16 Remaining Amt. (LCY)")</t>
  </si>
  <si>
    <t>=NF($D1040,"16 Remaining Amt. (LCY)")</t>
  </si>
  <si>
    <t>=NF($D1041,"16 Remaining Amt. (LCY)")</t>
  </si>
  <si>
    <t>=NF($D1042,"16 Remaining Amt. (LCY)")</t>
  </si>
  <si>
    <t>=NF($D1043,"16 Remaining Amt. (LCY)")</t>
  </si>
  <si>
    <t>=NF($D1044,"16 Remaining Amt. (LCY)")</t>
  </si>
  <si>
    <t>=NF($D1045,"16 Remaining Amt. (LCY)")</t>
  </si>
  <si>
    <t>=NF($D1046,"16 Remaining Amt. (LCY)")</t>
  </si>
  <si>
    <t>=NF($D1047,"16 Remaining Amt. (LCY)")</t>
  </si>
  <si>
    <t>=NF($D924,"5 Document Type")</t>
  </si>
  <si>
    <t>=NF($D925,"5 Document Type")</t>
  </si>
  <si>
    <t>=NF($D926,"5 Document Type")</t>
  </si>
  <si>
    <t>=NF($D927,"5 Document Type")</t>
  </si>
  <si>
    <t>=NF($D928,"5 Document Type")</t>
  </si>
  <si>
    <t>=NF($D929,"5 Document Type")</t>
  </si>
  <si>
    <t>=NF($D930,"5 Document Type")</t>
  </si>
  <si>
    <t>=NF($D931,"5 Document Type")</t>
  </si>
  <si>
    <t>=NF($D932,"5 Document Type")</t>
  </si>
  <si>
    <t>=NF($D933,"5 Document Type")</t>
  </si>
  <si>
    <t>=NF($D934,"5 Document Type")</t>
  </si>
  <si>
    <t>=NF($D935,"5 Document Type")</t>
  </si>
  <si>
    <t>=NF($D936,"5 Document Type")</t>
  </si>
  <si>
    <t>=NF($D937,"5 Document Type")</t>
  </si>
  <si>
    <t>=NF($D938,"5 Document Type")</t>
  </si>
  <si>
    <t>=NF($D939,"5 Document Type")</t>
  </si>
  <si>
    <t>=NF($D940,"5 Document Type")</t>
  </si>
  <si>
    <t>=NF($D941,"5 Document Type")</t>
  </si>
  <si>
    <t>=NF($D942,"5 Document Type")</t>
  </si>
  <si>
    <t>=NF($D943,"5 Document Type")</t>
  </si>
  <si>
    <t>=NF($D944,"5 Document Type")</t>
  </si>
  <si>
    <t>=NF($D945,"5 Document Type")</t>
  </si>
  <si>
    <t>=NF($D946,"5 Document Type")</t>
  </si>
  <si>
    <t>=NF($D947,"5 Document Type")</t>
  </si>
  <si>
    <t>=NF($D948,"5 Document Type")</t>
  </si>
  <si>
    <t>=NF($D949,"5 Document Type")</t>
  </si>
  <si>
    <t>=NF($D950,"5 Document Type")</t>
  </si>
  <si>
    <t>=NF($D951,"5 Document Type")</t>
  </si>
  <si>
    <t>=NF($D952,"5 Document Type")</t>
  </si>
  <si>
    <t>=NF($D953,"5 Document Type")</t>
  </si>
  <si>
    <t>=NF($D954,"5 Document Type")</t>
  </si>
  <si>
    <t>=NF($D955,"5 Document Type")</t>
  </si>
  <si>
    <t>=NF($D956,"5 Document Type")</t>
  </si>
  <si>
    <t>=NF($D957,"5 Document Type")</t>
  </si>
  <si>
    <t>=NF($D958,"5 Document Type")</t>
  </si>
  <si>
    <t>=NF($D959,"5 Document Type")</t>
  </si>
  <si>
    <t>=NF($D960,"5 Document Type")</t>
  </si>
  <si>
    <t>=NF($D961,"5 Document Type")</t>
  </si>
  <si>
    <t>=NF($D962,"5 Document Type")</t>
  </si>
  <si>
    <t>=NF($D963,"5 Document Type")</t>
  </si>
  <si>
    <t>=NF($D964,"5 Document Type")</t>
  </si>
  <si>
    <t>=NF($D965,"5 Document Type")</t>
  </si>
  <si>
    <t>=NF($D966,"5 Document Type")</t>
  </si>
  <si>
    <t>=NF($D967,"5 Document Type")</t>
  </si>
  <si>
    <t>=NF($D968,"5 Document Type")</t>
  </si>
  <si>
    <t>=NF($D969,"5 Document Type")</t>
  </si>
  <si>
    <t>=NF($D970,"5 Document Type")</t>
  </si>
  <si>
    <t>=NF($D971,"5 Document Type")</t>
  </si>
  <si>
    <t>=NF($D972,"5 Document Type")</t>
  </si>
  <si>
    <t>=NF($D973,"5 Document Type")</t>
  </si>
  <si>
    <t>=NF($D974,"5 Document Type")</t>
  </si>
  <si>
    <t>=NF($D975,"5 Document Type")</t>
  </si>
  <si>
    <t>=NF($D976,"5 Document Type")</t>
  </si>
  <si>
    <t>=NF($D977,"5 Document Type")</t>
  </si>
  <si>
    <t>=NF($D978,"5 Document Type")</t>
  </si>
  <si>
    <t>=NF($D979,"5 Document Type")</t>
  </si>
  <si>
    <t>=NF($D980,"5 Document Type")</t>
  </si>
  <si>
    <t>=NF($D981,"5 Document Type")</t>
  </si>
  <si>
    <t>=NF($D982,"5 Document Type")</t>
  </si>
  <si>
    <t>=NF($D983,"5 Document Type")</t>
  </si>
  <si>
    <t>=NF($D984,"5 Document Type")</t>
  </si>
  <si>
    <t>=NF($D985,"5 Document Type")</t>
  </si>
  <si>
    <t>=NF($D986,"5 Document Type")</t>
  </si>
  <si>
    <t>=NF($D987,"5 Document Type")</t>
  </si>
  <si>
    <t>=NF($D988,"5 Document Type")</t>
  </si>
  <si>
    <t>=NF($D989,"5 Document Type")</t>
  </si>
  <si>
    <t>=NF($D990,"5 Document Type")</t>
  </si>
  <si>
    <t>=NF($D991,"5 Document Type")</t>
  </si>
  <si>
    <t>=NF($D992,"5 Document Type")</t>
  </si>
  <si>
    <t>=NF($D993,"5 Document Type")</t>
  </si>
  <si>
    <t>=NF($D994,"5 Document Type")</t>
  </si>
  <si>
    <t>=NF($D995,"5 Document Type")</t>
  </si>
  <si>
    <t>=NF($D996,"5 Document Type")</t>
  </si>
  <si>
    <t>=NF($D997,"5 Document Type")</t>
  </si>
  <si>
    <t>=NF($D998,"5 Document Type")</t>
  </si>
  <si>
    <t>=NF($D999,"5 Document Type")</t>
  </si>
  <si>
    <t>=NF($D1000,"5 Document Type")</t>
  </si>
  <si>
    <t>=NF($D1001,"5 Document Type")</t>
  </si>
  <si>
    <t>=NF($D1002,"5 Document Type")</t>
  </si>
  <si>
    <t>=NF($D1003,"5 Document Type")</t>
  </si>
  <si>
    <t>=NF($D1004,"5 Document Type")</t>
  </si>
  <si>
    <t>=NF($D1005,"5 Document Type")</t>
  </si>
  <si>
    <t>=NF($D1006,"5 Document Type")</t>
  </si>
  <si>
    <t>=NF($D1007,"5 Document Type")</t>
  </si>
  <si>
    <t>=NF($D1008,"5 Document Type")</t>
  </si>
  <si>
    <t>=NF($D1009,"5 Document Type")</t>
  </si>
  <si>
    <t>=NF($D1010,"5 Document Type")</t>
  </si>
  <si>
    <t>=NF($D1011,"5 Document Type")</t>
  </si>
  <si>
    <t>=NF($D1012,"5 Document Type")</t>
  </si>
  <si>
    <t>=NF($D1013,"5 Document Type")</t>
  </si>
  <si>
    <t>=NF($D1014,"5 Document Type")</t>
  </si>
  <si>
    <t>=NF($D1015,"5 Document Type")</t>
  </si>
  <si>
    <t>=NF($D1016,"5 Document Type")</t>
  </si>
  <si>
    <t>=NF($D1017,"5 Document Type")</t>
  </si>
  <si>
    <t>=NF($D1018,"5 Document Type")</t>
  </si>
  <si>
    <t>=NF($D1019,"5 Document Type")</t>
  </si>
  <si>
    <t>=NF($D1020,"5 Document Type")</t>
  </si>
  <si>
    <t>=NF($D1021,"5 Document Type")</t>
  </si>
  <si>
    <t>=NF($D1022,"5 Document Type")</t>
  </si>
  <si>
    <t>=NF($D1023,"5 Document Type")</t>
  </si>
  <si>
    <t>=NF($D1024,"5 Document Type")</t>
  </si>
  <si>
    <t>=NF($D924,"6 Document No.")</t>
  </si>
  <si>
    <t>=NF($D925,"6 Document No.")</t>
  </si>
  <si>
    <t>=NF($D926,"6 Document No.")</t>
  </si>
  <si>
    <t>=NF($D927,"6 Document No.")</t>
  </si>
  <si>
    <t>=NF($D928,"6 Document No.")</t>
  </si>
  <si>
    <t>=NF($D929,"6 Document No.")</t>
  </si>
  <si>
    <t>=NF($D930,"6 Document No.")</t>
  </si>
  <si>
    <t>=NF($D931,"6 Document No.")</t>
  </si>
  <si>
    <t>=NF($D932,"6 Document No.")</t>
  </si>
  <si>
    <t>=NF($D933,"6 Document No.")</t>
  </si>
  <si>
    <t>=NF($D934,"6 Document No.")</t>
  </si>
  <si>
    <t>=NF($D935,"6 Document No.")</t>
  </si>
  <si>
    <t>=NF($D936,"6 Document No.")</t>
  </si>
  <si>
    <t>=NF($D937,"6 Document No.")</t>
  </si>
  <si>
    <t>=NF($D938,"6 Document No.")</t>
  </si>
  <si>
    <t>=NF($D939,"6 Document No.")</t>
  </si>
  <si>
    <t>=NF($D940,"6 Document No.")</t>
  </si>
  <si>
    <t>=NF($D941,"6 Document No.")</t>
  </si>
  <si>
    <t>=NF($D942,"6 Document No.")</t>
  </si>
  <si>
    <t>=NF($D943,"6 Document No.")</t>
  </si>
  <si>
    <t>=NF($D944,"6 Document No.")</t>
  </si>
  <si>
    <t>=NF($D945,"6 Document No.")</t>
  </si>
  <si>
    <t>=NF($D946,"6 Document No.")</t>
  </si>
  <si>
    <t>=NF($D947,"6 Document No.")</t>
  </si>
  <si>
    <t>=NF($D948,"6 Document No.")</t>
  </si>
  <si>
    <t>=NF($D949,"6 Document No.")</t>
  </si>
  <si>
    <t>=NF($D950,"6 Document No.")</t>
  </si>
  <si>
    <t>=NF($D951,"6 Document No.")</t>
  </si>
  <si>
    <t>=NF($D952,"6 Document No.")</t>
  </si>
  <si>
    <t>=NF($D953,"6 Document No.")</t>
  </si>
  <si>
    <t>=NF($D954,"6 Document No.")</t>
  </si>
  <si>
    <t>=NF($D955,"6 Document No.")</t>
  </si>
  <si>
    <t>=NF($D956,"6 Document No.")</t>
  </si>
  <si>
    <t>=NF($D957,"6 Document No.")</t>
  </si>
  <si>
    <t>=NF($D958,"6 Document No.")</t>
  </si>
  <si>
    <t>=NF($D959,"6 Document No.")</t>
  </si>
  <si>
    <t>=NF($D960,"6 Document No.")</t>
  </si>
  <si>
    <t>=NF($D961,"6 Document No.")</t>
  </si>
  <si>
    <t>=NF($D962,"6 Document No.")</t>
  </si>
  <si>
    <t>=NF($D963,"6 Document No.")</t>
  </si>
  <si>
    <t>=NF($D964,"6 Document No.")</t>
  </si>
  <si>
    <t>=NF($D965,"6 Document No.")</t>
  </si>
  <si>
    <t>=NF($D966,"6 Document No.")</t>
  </si>
  <si>
    <t>=NF($D967,"6 Document No.")</t>
  </si>
  <si>
    <t>=NF($D968,"6 Document No.")</t>
  </si>
  <si>
    <t>=NF($D969,"6 Document No.")</t>
  </si>
  <si>
    <t>=NF($D970,"6 Document No.")</t>
  </si>
  <si>
    <t>=NF($D971,"6 Document No.")</t>
  </si>
  <si>
    <t>=NF($D972,"6 Document No.")</t>
  </si>
  <si>
    <t>=NF($D973,"6 Document No.")</t>
  </si>
  <si>
    <t>=NF($D974,"6 Document No.")</t>
  </si>
  <si>
    <t>=NF($D975,"6 Document No.")</t>
  </si>
  <si>
    <t>=NF($D976,"6 Document No.")</t>
  </si>
  <si>
    <t>=NF($D977,"6 Document No.")</t>
  </si>
  <si>
    <t>=NF($D978,"6 Document No.")</t>
  </si>
  <si>
    <t>=NF($D979,"6 Document No.")</t>
  </si>
  <si>
    <t>=NF($D980,"6 Document No.")</t>
  </si>
  <si>
    <t>=NF($D981,"6 Document No.")</t>
  </si>
  <si>
    <t>=NF($D982,"6 Document No.")</t>
  </si>
  <si>
    <t>=NF($D983,"6 Document No.")</t>
  </si>
  <si>
    <t>=NF($D984,"6 Document No.")</t>
  </si>
  <si>
    <t>=NF($D985,"6 Document No.")</t>
  </si>
  <si>
    <t>=NF($D986,"6 Document No.")</t>
  </si>
  <si>
    <t>=NF($D987,"6 Document No.")</t>
  </si>
  <si>
    <t>=NF($D988,"6 Document No.")</t>
  </si>
  <si>
    <t>=NF($D989,"6 Document No.")</t>
  </si>
  <si>
    <t>=NF($D990,"6 Document No.")</t>
  </si>
  <si>
    <t>=NF($D991,"6 Document No.")</t>
  </si>
  <si>
    <t>=NF($D992,"6 Document No.")</t>
  </si>
  <si>
    <t>=NF($D993,"6 Document No.")</t>
  </si>
  <si>
    <t>=NF($D994,"6 Document No.")</t>
  </si>
  <si>
    <t>=NF($D995,"6 Document No.")</t>
  </si>
  <si>
    <t>=NF($D996,"6 Document No.")</t>
  </si>
  <si>
    <t>=NF($D997,"6 Document No.")</t>
  </si>
  <si>
    <t>=NF($D998,"6 Document No.")</t>
  </si>
  <si>
    <t>=NF($D999,"6 Document No.")</t>
  </si>
  <si>
    <t>=NF($D1000,"6 Document No.")</t>
  </si>
  <si>
    <t>=NF($D1001,"6 Document No.")</t>
  </si>
  <si>
    <t>=NF($D1002,"6 Document No.")</t>
  </si>
  <si>
    <t>=NF($D1003,"6 Document No.")</t>
  </si>
  <si>
    <t>=NF($D1004,"6 Document No.")</t>
  </si>
  <si>
    <t>=NF($D1005,"6 Document No.")</t>
  </si>
  <si>
    <t>=NF($D1006,"6 Document No.")</t>
  </si>
  <si>
    <t>=NF($D1007,"6 Document No.")</t>
  </si>
  <si>
    <t>=NF($D1008,"6 Document No.")</t>
  </si>
  <si>
    <t>=NF($D1009,"6 Document No.")</t>
  </si>
  <si>
    <t>=NF($D1010,"6 Document No.")</t>
  </si>
  <si>
    <t>=NF($D1011,"6 Document No.")</t>
  </si>
  <si>
    <t>=NF($D1012,"6 Document No.")</t>
  </si>
  <si>
    <t>=NF($D1013,"6 Document No.")</t>
  </si>
  <si>
    <t>=NF($D1014,"6 Document No.")</t>
  </si>
  <si>
    <t>=NF($D1015,"6 Document No.")</t>
  </si>
  <si>
    <t>=NF($D1016,"6 Document No.")</t>
  </si>
  <si>
    <t>=NF($D1017,"6 Document No.")</t>
  </si>
  <si>
    <t>=NF($D1018,"6 Document No.")</t>
  </si>
  <si>
    <t>=NF($D1019,"6 Document No.")</t>
  </si>
  <si>
    <t>=NF($D1020,"6 Document No.")</t>
  </si>
  <si>
    <t>=NF($D1021,"6 Document No.")</t>
  </si>
  <si>
    <t>=NF($D1022,"6 Document No.")</t>
  </si>
  <si>
    <t>=NF($D1023,"6 Document No.")</t>
  </si>
  <si>
    <t>=NF($D1024,"6 Document No.")</t>
  </si>
  <si>
    <t>=NF($D924,"37 Due Date")</t>
  </si>
  <si>
    <t>=NF($D925,"37 Due Date")</t>
  </si>
  <si>
    <t>=NF($D926,"37 Due Date")</t>
  </si>
  <si>
    <t>=NF($D927,"37 Due Date")</t>
  </si>
  <si>
    <t>=NF($D928,"37 Due Date")</t>
  </si>
  <si>
    <t>=NF($D929,"37 Due Date")</t>
  </si>
  <si>
    <t>=NF($D930,"37 Due Date")</t>
  </si>
  <si>
    <t>=NF($D931,"37 Due Date")</t>
  </si>
  <si>
    <t>=NF($D932,"37 Due Date")</t>
  </si>
  <si>
    <t>=NF($D933,"37 Due Date")</t>
  </si>
  <si>
    <t>=NF($D934,"37 Due Date")</t>
  </si>
  <si>
    <t>=NF($D935,"37 Due Date")</t>
  </si>
  <si>
    <t>=NF($D936,"37 Due Date")</t>
  </si>
  <si>
    <t>=NF($D937,"37 Due Date")</t>
  </si>
  <si>
    <t>=NF($D938,"37 Due Date")</t>
  </si>
  <si>
    <t>=NF($D939,"37 Due Date")</t>
  </si>
  <si>
    <t>=NF($D940,"37 Due Date")</t>
  </si>
  <si>
    <t>=NF($D941,"37 Due Date")</t>
  </si>
  <si>
    <t>=NF($D942,"37 Due Date")</t>
  </si>
  <si>
    <t>=NF($D943,"37 Due Date")</t>
  </si>
  <si>
    <t>=NF($D944,"37 Due Date")</t>
  </si>
  <si>
    <t>=NF($D945,"37 Due Date")</t>
  </si>
  <si>
    <t>=NF($D946,"37 Due Date")</t>
  </si>
  <si>
    <t>=NF($D947,"37 Due Date")</t>
  </si>
  <si>
    <t>=NF($D948,"37 Due Date")</t>
  </si>
  <si>
    <t>=NF($D949,"37 Due Date")</t>
  </si>
  <si>
    <t>=NF($D950,"37 Due Date")</t>
  </si>
  <si>
    <t>=NF($D951,"37 Due Date")</t>
  </si>
  <si>
    <t>=NF($D952,"37 Due Date")</t>
  </si>
  <si>
    <t>=NF($D953,"37 Due Date")</t>
  </si>
  <si>
    <t>=NF($D954,"37 Due Date")</t>
  </si>
  <si>
    <t>=NF($D955,"37 Due Date")</t>
  </si>
  <si>
    <t>=NF($D956,"37 Due Date")</t>
  </si>
  <si>
    <t>=NF($D957,"37 Due Date")</t>
  </si>
  <si>
    <t>=NF($D958,"37 Due Date")</t>
  </si>
  <si>
    <t>=NF($D959,"37 Due Date")</t>
  </si>
  <si>
    <t>=NF($D960,"37 Due Date")</t>
  </si>
  <si>
    <t>=NF($D961,"37 Due Date")</t>
  </si>
  <si>
    <t>=NF($D962,"37 Due Date")</t>
  </si>
  <si>
    <t>=NF($D963,"37 Due Date")</t>
  </si>
  <si>
    <t>=NF($D964,"37 Due Date")</t>
  </si>
  <si>
    <t>=NF($D965,"37 Due Date")</t>
  </si>
  <si>
    <t>=NF($D966,"37 Due Date")</t>
  </si>
  <si>
    <t>=NF($D967,"37 Due Date")</t>
  </si>
  <si>
    <t>=NF($D968,"37 Due Date")</t>
  </si>
  <si>
    <t>=NF($D969,"37 Due Date")</t>
  </si>
  <si>
    <t>=NF($D970,"37 Due Date")</t>
  </si>
  <si>
    <t>=NF($D971,"37 Due Date")</t>
  </si>
  <si>
    <t>=NF($D972,"37 Due Date")</t>
  </si>
  <si>
    <t>=NF($D973,"37 Due Date")</t>
  </si>
  <si>
    <t>=NF($D974,"37 Due Date")</t>
  </si>
  <si>
    <t>=NF($D975,"37 Due Date")</t>
  </si>
  <si>
    <t>=NF($D976,"37 Due Date")</t>
  </si>
  <si>
    <t>=NF($D977,"37 Due Date")</t>
  </si>
  <si>
    <t>=NF($D978,"37 Due Date")</t>
  </si>
  <si>
    <t>=NF($D979,"37 Due Date")</t>
  </si>
  <si>
    <t>=NF($D980,"37 Due Date")</t>
  </si>
  <si>
    <t>=NF($D981,"37 Due Date")</t>
  </si>
  <si>
    <t>=NF($D982,"37 Due Date")</t>
  </si>
  <si>
    <t>=NF($D983,"37 Due Date")</t>
  </si>
  <si>
    <t>=NF($D984,"37 Due Date")</t>
  </si>
  <si>
    <t>=NF($D985,"37 Due Date")</t>
  </si>
  <si>
    <t>=NF($D986,"37 Due Date")</t>
  </si>
  <si>
    <t>=NF($D987,"37 Due Date")</t>
  </si>
  <si>
    <t>=NF($D988,"37 Due Date")</t>
  </si>
  <si>
    <t>=NF($D989,"37 Due Date")</t>
  </si>
  <si>
    <t>=NF($D990,"37 Due Date")</t>
  </si>
  <si>
    <t>=NF($D991,"37 Due Date")</t>
  </si>
  <si>
    <t>=NF($D992,"37 Due Date")</t>
  </si>
  <si>
    <t>=NF($D993,"37 Due Date")</t>
  </si>
  <si>
    <t>=NF($D994,"37 Due Date")</t>
  </si>
  <si>
    <t>=NF($D995,"37 Due Date")</t>
  </si>
  <si>
    <t>=NF($D996,"37 Due Date")</t>
  </si>
  <si>
    <t>=NF($D997,"37 Due Date")</t>
  </si>
  <si>
    <t>=NF($D998,"37 Due Date")</t>
  </si>
  <si>
    <t>=NF($D999,"37 Due Date")</t>
  </si>
  <si>
    <t>=NF($D1000,"37 Due Date")</t>
  </si>
  <si>
    <t>=NF($D1001,"37 Due Date")</t>
  </si>
  <si>
    <t>=NF($D1002,"37 Due Date")</t>
  </si>
  <si>
    <t>=NF($D1003,"37 Due Date")</t>
  </si>
  <si>
    <t>=NF($D1004,"37 Due Date")</t>
  </si>
  <si>
    <t>=NF($D1005,"37 Due Date")</t>
  </si>
  <si>
    <t>=NF($D1006,"37 Due Date")</t>
  </si>
  <si>
    <t>=NF($D1007,"37 Due Date")</t>
  </si>
  <si>
    <t>=NF($D1008,"37 Due Date")</t>
  </si>
  <si>
    <t>=NF($D1009,"37 Due Date")</t>
  </si>
  <si>
    <t>=NF($D1010,"37 Due Date")</t>
  </si>
  <si>
    <t>=NF($D1011,"37 Due Date")</t>
  </si>
  <si>
    <t>=NF($D1012,"37 Due Date")</t>
  </si>
  <si>
    <t>=NF($D1013,"37 Due Date")</t>
  </si>
  <si>
    <t>=NF($D1014,"37 Due Date")</t>
  </si>
  <si>
    <t>=NF($D1015,"37 Due Date")</t>
  </si>
  <si>
    <t>=NF($D1016,"37 Due Date")</t>
  </si>
  <si>
    <t>=NF($D1017,"37 Due Date")</t>
  </si>
  <si>
    <t>=NF($D1018,"37 Due Date")</t>
  </si>
  <si>
    <t>=NF($D1019,"37 Due Date")</t>
  </si>
  <si>
    <t>=NF($D1020,"37 Due Date")</t>
  </si>
  <si>
    <t>=NF($D1021,"37 Due Date")</t>
  </si>
  <si>
    <t>=NF($D1022,"37 Due Date")</t>
  </si>
  <si>
    <t>=NF($D1023,"37 Due Date")</t>
  </si>
  <si>
    <t>=NF($D1024,"37 Due Date")</t>
  </si>
  <si>
    <t>=NF($D924,"16 Remaining Amt. (LCY)")</t>
  </si>
  <si>
    <t>=NF($D925,"16 Remaining Amt. (LCY)")</t>
  </si>
  <si>
    <t>=NF($D926,"16 Remaining Amt. (LCY)")</t>
  </si>
  <si>
    <t>=NF($D927,"16 Remaining Amt. (LCY)")</t>
  </si>
  <si>
    <t>=NF($D928,"16 Remaining Amt. (LCY)")</t>
  </si>
  <si>
    <t>=NF($D929,"16 Remaining Amt. (LCY)")</t>
  </si>
  <si>
    <t>=NF($D930,"16 Remaining Amt. (LCY)")</t>
  </si>
  <si>
    <t>=NF($D931,"16 Remaining Amt. (LCY)")</t>
  </si>
  <si>
    <t>=NF($D932,"16 Remaining Amt. (LCY)")</t>
  </si>
  <si>
    <t>=NF($D933,"16 Remaining Amt. (LCY)")</t>
  </si>
  <si>
    <t>=NF($D934,"16 Remaining Amt. (LCY)")</t>
  </si>
  <si>
    <t>=NF($D935,"16 Remaining Amt. (LCY)")</t>
  </si>
  <si>
    <t>=NF($D936,"16 Remaining Amt. (LCY)")</t>
  </si>
  <si>
    <t>=NF($D937,"16 Remaining Amt. (LCY)")</t>
  </si>
  <si>
    <t>=NF($D938,"16 Remaining Amt. (LCY)")</t>
  </si>
  <si>
    <t>=NF($D939,"16 Remaining Amt. (LCY)")</t>
  </si>
  <si>
    <t>=NF($D940,"16 Remaining Amt. (LCY)")</t>
  </si>
  <si>
    <t>=NF($D941,"16 Remaining Amt. (LCY)")</t>
  </si>
  <si>
    <t>=NF($D942,"16 Remaining Amt. (LCY)")</t>
  </si>
  <si>
    <t>=NF($D943,"16 Remaining Amt. (LCY)")</t>
  </si>
  <si>
    <t>=NF($D944,"16 Remaining Amt. (LCY)")</t>
  </si>
  <si>
    <t>=NF($D945,"16 Remaining Amt. (LCY)")</t>
  </si>
  <si>
    <t>=NF($D946,"16 Remaining Amt. (LCY)")</t>
  </si>
  <si>
    <t>=NF($D947,"16 Remaining Amt. (LCY)")</t>
  </si>
  <si>
    <t>=NF($D948,"16 Remaining Amt. (LCY)")</t>
  </si>
  <si>
    <t>=NF($D949,"16 Remaining Amt. (LCY)")</t>
  </si>
  <si>
    <t>=NF($D950,"16 Remaining Amt. (LCY)")</t>
  </si>
  <si>
    <t>=NF($D951,"16 Remaining Amt. (LCY)")</t>
  </si>
  <si>
    <t>=NF($D952,"16 Remaining Amt. (LCY)")</t>
  </si>
  <si>
    <t>=NF($D953,"16 Remaining Amt. (LCY)")</t>
  </si>
  <si>
    <t>=NF($D954,"16 Remaining Amt. (LCY)")</t>
  </si>
  <si>
    <t>=NF($D955,"16 Remaining Amt. (LCY)")</t>
  </si>
  <si>
    <t>=NF($D956,"16 Remaining Amt. (LCY)")</t>
  </si>
  <si>
    <t>=NF($D957,"16 Remaining Amt. (LCY)")</t>
  </si>
  <si>
    <t>=NF($D958,"16 Remaining Amt. (LCY)")</t>
  </si>
  <si>
    <t>=NF($D959,"16 Remaining Amt. (LCY)")</t>
  </si>
  <si>
    <t>=NF($D960,"16 Remaining Amt. (LCY)")</t>
  </si>
  <si>
    <t>=NF($D961,"16 Remaining Amt. (LCY)")</t>
  </si>
  <si>
    <t>=NF($D962,"16 Remaining Amt. (LCY)")</t>
  </si>
  <si>
    <t>=NF($D963,"16 Remaining Amt. (LCY)")</t>
  </si>
  <si>
    <t>=NF($D964,"16 Remaining Amt. (LCY)")</t>
  </si>
  <si>
    <t>=NF($D965,"16 Remaining Amt. (LCY)")</t>
  </si>
  <si>
    <t>=NF($D966,"16 Remaining Amt. (LCY)")</t>
  </si>
  <si>
    <t>=NF($D967,"16 Remaining Amt. (LCY)")</t>
  </si>
  <si>
    <t>=NF($D968,"16 Remaining Amt. (LCY)")</t>
  </si>
  <si>
    <t>=NF($D969,"16 Remaining Amt. (LCY)")</t>
  </si>
  <si>
    <t>=NF($D970,"16 Remaining Amt. (LCY)")</t>
  </si>
  <si>
    <t>=NF($D971,"16 Remaining Amt. (LCY)")</t>
  </si>
  <si>
    <t>=NF($D972,"16 Remaining Amt. (LCY)")</t>
  </si>
  <si>
    <t>=NF($D973,"16 Remaining Amt. (LCY)")</t>
  </si>
  <si>
    <t>=NF($D974,"16 Remaining Amt. (LCY)")</t>
  </si>
  <si>
    <t>=NF($D975,"16 Remaining Amt. (LCY)")</t>
  </si>
  <si>
    <t>=NF($D976,"16 Remaining Amt. (LCY)")</t>
  </si>
  <si>
    <t>=NF($D977,"16 Remaining Amt. (LCY)")</t>
  </si>
  <si>
    <t>=NF($D978,"16 Remaining Amt. (LCY)")</t>
  </si>
  <si>
    <t>=NF($D979,"16 Remaining Amt. (LCY)")</t>
  </si>
  <si>
    <t>=NF($D980,"16 Remaining Amt. (LCY)")</t>
  </si>
  <si>
    <t>=NF($D981,"16 Remaining Amt. (LCY)")</t>
  </si>
  <si>
    <t>=NF($D982,"16 Remaining Amt. (LCY)")</t>
  </si>
  <si>
    <t>=NF($D983,"16 Remaining Amt. (LCY)")</t>
  </si>
  <si>
    <t>=NF($D984,"16 Remaining Amt. (LCY)")</t>
  </si>
  <si>
    <t>=NF($D985,"16 Remaining Amt. (LCY)")</t>
  </si>
  <si>
    <t>=NF($D986,"16 Remaining Amt. (LCY)")</t>
  </si>
  <si>
    <t>=NF($D987,"16 Remaining Amt. (LCY)")</t>
  </si>
  <si>
    <t>=NF($D988,"16 Remaining Amt. (LCY)")</t>
  </si>
  <si>
    <t>=NF($D989,"16 Remaining Amt. (LCY)")</t>
  </si>
  <si>
    <t>=NF($D990,"16 Remaining Amt. (LCY)")</t>
  </si>
  <si>
    <t>=NF($D991,"16 Remaining Amt. (LCY)")</t>
  </si>
  <si>
    <t>=NF($D992,"16 Remaining Amt. (LCY)")</t>
  </si>
  <si>
    <t>=NF($D993,"16 Remaining Amt. (LCY)")</t>
  </si>
  <si>
    <t>=NF($D994,"16 Remaining Amt. (LCY)")</t>
  </si>
  <si>
    <t>=NF($D995,"16 Remaining Amt. (LCY)")</t>
  </si>
  <si>
    <t>=NF($D996,"16 Remaining Amt. (LCY)")</t>
  </si>
  <si>
    <t>=NF($D997,"16 Remaining Amt. (LCY)")</t>
  </si>
  <si>
    <t>=NF($D998,"16 Remaining Amt. (LCY)")</t>
  </si>
  <si>
    <t>=NF($D999,"16 Remaining Amt. (LCY)")</t>
  </si>
  <si>
    <t>=NF($D1000,"16 Remaining Amt. (LCY)")</t>
  </si>
  <si>
    <t>=NF($D1001,"16 Remaining Amt. (LCY)")</t>
  </si>
  <si>
    <t>=NF($D1002,"16 Remaining Amt. (LCY)")</t>
  </si>
  <si>
    <t>=NF($D1003,"16 Remaining Amt. (LCY)")</t>
  </si>
  <si>
    <t>=NF($D1004,"16 Remaining Amt. (LCY)")</t>
  </si>
  <si>
    <t>=NF($D1005,"16 Remaining Amt. (LCY)")</t>
  </si>
  <si>
    <t>=NF($D1006,"16 Remaining Amt. (LCY)")</t>
  </si>
  <si>
    <t>=NF($D1007,"16 Remaining Amt. (LCY)")</t>
  </si>
  <si>
    <t>=NF($D1008,"16 Remaining Amt. (LCY)")</t>
  </si>
  <si>
    <t>=NF($D1009,"16 Remaining Amt. (LCY)")</t>
  </si>
  <si>
    <t>=NF($D1010,"16 Remaining Amt. (LCY)")</t>
  </si>
  <si>
    <t>=NF($D1011,"16 Remaining Amt. (LCY)")</t>
  </si>
  <si>
    <t>=NF($D1012,"16 Remaining Amt. (LCY)")</t>
  </si>
  <si>
    <t>=NF($D1013,"16 Remaining Amt. (LCY)")</t>
  </si>
  <si>
    <t>=NF($D1014,"16 Remaining Amt. (LCY)")</t>
  </si>
  <si>
    <t>=NF($D1015,"16 Remaining Amt. (LCY)")</t>
  </si>
  <si>
    <t>=NF($D1016,"16 Remaining Amt. (LCY)")</t>
  </si>
  <si>
    <t>=NF($D1017,"16 Remaining Amt. (LCY)")</t>
  </si>
  <si>
    <t>=NF($D1018,"16 Remaining Amt. (LCY)")</t>
  </si>
  <si>
    <t>=NF($D1019,"16 Remaining Amt. (LCY)")</t>
  </si>
  <si>
    <t>=NF($D1020,"16 Remaining Amt. (LCY)")</t>
  </si>
  <si>
    <t>=NF($D1021,"16 Remaining Amt. (LCY)")</t>
  </si>
  <si>
    <t>=NF($D1022,"16 Remaining Amt. (LCY)")</t>
  </si>
  <si>
    <t>=NF($D1023,"16 Remaining Amt. (LCY)")</t>
  </si>
  <si>
    <t>=NF($D1024,"16 Remaining Amt. (LCY)")</t>
  </si>
  <si>
    <t>=NF($D896,"5 Document Type")</t>
  </si>
  <si>
    <t>=NF($D897,"5 Document Type")</t>
  </si>
  <si>
    <t>=NF($D898,"5 Document Type")</t>
  </si>
  <si>
    <t>=NF($D899,"5 Document Type")</t>
  </si>
  <si>
    <t>=NF($D900,"5 Document Type")</t>
  </si>
  <si>
    <t>=NF($D901,"5 Document Type")</t>
  </si>
  <si>
    <t>=NF($D902,"5 Document Type")</t>
  </si>
  <si>
    <t>=NF($D903,"5 Document Type")</t>
  </si>
  <si>
    <t>=NF($D904,"5 Document Type")</t>
  </si>
  <si>
    <t>=NF($D905,"5 Document Type")</t>
  </si>
  <si>
    <t>=NF($D906,"5 Document Type")</t>
  </si>
  <si>
    <t>=NF($D907,"5 Document Type")</t>
  </si>
  <si>
    <t>=NF($D908,"5 Document Type")</t>
  </si>
  <si>
    <t>=NF($D909,"5 Document Type")</t>
  </si>
  <si>
    <t>=NF($D910,"5 Document Type")</t>
  </si>
  <si>
    <t>=NF($D911,"5 Document Type")</t>
  </si>
  <si>
    <t>=NF($D912,"5 Document Type")</t>
  </si>
  <si>
    <t>=NF($D913,"5 Document Type")</t>
  </si>
  <si>
    <t>=NF($D914,"5 Document Type")</t>
  </si>
  <si>
    <t>=NF($D915,"5 Document Type")</t>
  </si>
  <si>
    <t>=NF($D916,"5 Document Type")</t>
  </si>
  <si>
    <t>=NF($D917,"5 Document Type")</t>
  </si>
  <si>
    <t>=NF($D896,"6 Document No.")</t>
  </si>
  <si>
    <t>=NF($D897,"6 Document No.")</t>
  </si>
  <si>
    <t>=NF($D898,"6 Document No.")</t>
  </si>
  <si>
    <t>=NF($D899,"6 Document No.")</t>
  </si>
  <si>
    <t>=NF($D900,"6 Document No.")</t>
  </si>
  <si>
    <t>=NF($D901,"6 Document No.")</t>
  </si>
  <si>
    <t>=NF($D902,"6 Document No.")</t>
  </si>
  <si>
    <t>=NF($D903,"6 Document No.")</t>
  </si>
  <si>
    <t>=NF($D904,"6 Document No.")</t>
  </si>
  <si>
    <t>=NF($D905,"6 Document No.")</t>
  </si>
  <si>
    <t>=NF($D906,"6 Document No.")</t>
  </si>
  <si>
    <t>=NF($D907,"6 Document No.")</t>
  </si>
  <si>
    <t>=NF($D908,"6 Document No.")</t>
  </si>
  <si>
    <t>=NF($D909,"6 Document No.")</t>
  </si>
  <si>
    <t>=NF($D910,"6 Document No.")</t>
  </si>
  <si>
    <t>=NF($D911,"6 Document No.")</t>
  </si>
  <si>
    <t>=NF($D912,"6 Document No.")</t>
  </si>
  <si>
    <t>=NF($D913,"6 Document No.")</t>
  </si>
  <si>
    <t>=NF($D914,"6 Document No.")</t>
  </si>
  <si>
    <t>=NF($D915,"6 Document No.")</t>
  </si>
  <si>
    <t>=NF($D916,"6 Document No.")</t>
  </si>
  <si>
    <t>=NF($D917,"6 Document No.")</t>
  </si>
  <si>
    <t>=NF($D896,"37 Due Date")</t>
  </si>
  <si>
    <t>=NF($D897,"37 Due Date")</t>
  </si>
  <si>
    <t>=NF($D898,"37 Due Date")</t>
  </si>
  <si>
    <t>=NF($D899,"37 Due Date")</t>
  </si>
  <si>
    <t>=NF($D900,"37 Due Date")</t>
  </si>
  <si>
    <t>=NF($D901,"37 Due Date")</t>
  </si>
  <si>
    <t>=NF($D902,"37 Due Date")</t>
  </si>
  <si>
    <t>=NF($D903,"37 Due Date")</t>
  </si>
  <si>
    <t>=NF($D904,"37 Due Date")</t>
  </si>
  <si>
    <t>=NF($D905,"37 Due Date")</t>
  </si>
  <si>
    <t>=NF($D906,"37 Due Date")</t>
  </si>
  <si>
    <t>=NF($D907,"37 Due Date")</t>
  </si>
  <si>
    <t>=NF($D908,"37 Due Date")</t>
  </si>
  <si>
    <t>=NF($D909,"37 Due Date")</t>
  </si>
  <si>
    <t>=NF($D910,"37 Due Date")</t>
  </si>
  <si>
    <t>=NF($D911,"37 Due Date")</t>
  </si>
  <si>
    <t>=NF($D912,"37 Due Date")</t>
  </si>
  <si>
    <t>=NF($D913,"37 Due Date")</t>
  </si>
  <si>
    <t>=NF($D914,"37 Due Date")</t>
  </si>
  <si>
    <t>=NF($D915,"37 Due Date")</t>
  </si>
  <si>
    <t>=NF($D916,"37 Due Date")</t>
  </si>
  <si>
    <t>=NF($D917,"37 Due Date")</t>
  </si>
  <si>
    <t>=NF($D896,"16 Remaining Amt. (LCY)")</t>
  </si>
  <si>
    <t>=NF($D897,"16 Remaining Amt. (LCY)")</t>
  </si>
  <si>
    <t>=NF($D898,"16 Remaining Amt. (LCY)")</t>
  </si>
  <si>
    <t>=NF($D899,"16 Remaining Amt. (LCY)")</t>
  </si>
  <si>
    <t>=NF($D900,"16 Remaining Amt. (LCY)")</t>
  </si>
  <si>
    <t>=NF($D901,"16 Remaining Amt. (LCY)")</t>
  </si>
  <si>
    <t>=NF($D902,"16 Remaining Amt. (LCY)")</t>
  </si>
  <si>
    <t>=NF($D903,"16 Remaining Amt. (LCY)")</t>
  </si>
  <si>
    <t>=NF($D904,"16 Remaining Amt. (LCY)")</t>
  </si>
  <si>
    <t>=NF($D905,"16 Remaining Amt. (LCY)")</t>
  </si>
  <si>
    <t>=NF($D906,"16 Remaining Amt. (LCY)")</t>
  </si>
  <si>
    <t>=NF($D907,"16 Remaining Amt. (LCY)")</t>
  </si>
  <si>
    <t>=NF($D908,"16 Remaining Amt. (LCY)")</t>
  </si>
  <si>
    <t>=NF($D909,"16 Remaining Amt. (LCY)")</t>
  </si>
  <si>
    <t>=NF($D910,"16 Remaining Amt. (LCY)")</t>
  </si>
  <si>
    <t>=NF($D911,"16 Remaining Amt. (LCY)")</t>
  </si>
  <si>
    <t>=NF($D912,"16 Remaining Amt. (LCY)")</t>
  </si>
  <si>
    <t>=NF($D913,"16 Remaining Amt. (LCY)")</t>
  </si>
  <si>
    <t>=NF($D914,"16 Remaining Amt. (LCY)")</t>
  </si>
  <si>
    <t>=NF($D915,"16 Remaining Amt. (LCY)")</t>
  </si>
  <si>
    <t>=NF($D916,"16 Remaining Amt. (LCY)")</t>
  </si>
  <si>
    <t>=NF($D917,"16 Remaining Amt. (LCY)")</t>
  </si>
  <si>
    <t>=NF($D845,"5 Document Type")</t>
  </si>
  <si>
    <t>=NF($D846,"5 Document Type")</t>
  </si>
  <si>
    <t>=NF($D847,"5 Document Type")</t>
  </si>
  <si>
    <t>=NF($D848,"5 Document Type")</t>
  </si>
  <si>
    <t>=NF($D849,"5 Document Type")</t>
  </si>
  <si>
    <t>=NF($D850,"5 Document Type")</t>
  </si>
  <si>
    <t>=NF($D851,"5 Document Type")</t>
  </si>
  <si>
    <t>=NF($D852,"5 Document Type")</t>
  </si>
  <si>
    <t>=NF($D853,"5 Document Type")</t>
  </si>
  <si>
    <t>=NF($D854,"5 Document Type")</t>
  </si>
  <si>
    <t>=NF($D855,"5 Document Type")</t>
  </si>
  <si>
    <t>=NF($D856,"5 Document Type")</t>
  </si>
  <si>
    <t>=NF($D857,"5 Document Type")</t>
  </si>
  <si>
    <t>=NF($D858,"5 Document Type")</t>
  </si>
  <si>
    <t>=NF($D859,"5 Document Type")</t>
  </si>
  <si>
    <t>=NF($D860,"5 Document Type")</t>
  </si>
  <si>
    <t>=NF($D861,"5 Document Type")</t>
  </si>
  <si>
    <t>=NF($D862,"5 Document Type")</t>
  </si>
  <si>
    <t>=NF($D863,"5 Document Type")</t>
  </si>
  <si>
    <t>=NF($D864,"5 Document Type")</t>
  </si>
  <si>
    <t>=NF($D865,"5 Document Type")</t>
  </si>
  <si>
    <t>=NF($D866,"5 Document Type")</t>
  </si>
  <si>
    <t>=NF($D867,"5 Document Type")</t>
  </si>
  <si>
    <t>=NF($D868,"5 Document Type")</t>
  </si>
  <si>
    <t>=NF($D869,"5 Document Type")</t>
  </si>
  <si>
    <t>=NF($D870,"5 Document Type")</t>
  </si>
  <si>
    <t>=NF($D871,"5 Document Type")</t>
  </si>
  <si>
    <t>=NF($D872,"5 Document Type")</t>
  </si>
  <si>
    <t>=NF($D873,"5 Document Type")</t>
  </si>
  <si>
    <t>=NF($D874,"5 Document Type")</t>
  </si>
  <si>
    <t>=NF($D875,"5 Document Type")</t>
  </si>
  <si>
    <t>=NF($D876,"5 Document Type")</t>
  </si>
  <si>
    <t>=NF($D877,"5 Document Type")</t>
  </si>
  <si>
    <t>=NF($D878,"5 Document Type")</t>
  </si>
  <si>
    <t>=NF($D879,"5 Document Type")</t>
  </si>
  <si>
    <t>=NF($D880,"5 Document Type")</t>
  </si>
  <si>
    <t>=NF($D881,"5 Document Type")</t>
  </si>
  <si>
    <t>=NF($D882,"5 Document Type")</t>
  </si>
  <si>
    <t>=NF($D883,"5 Document Type")</t>
  </si>
  <si>
    <t>=NF($D884,"5 Document Type")</t>
  </si>
  <si>
    <t>=NF($D885,"5 Document Type")</t>
  </si>
  <si>
    <t>=NF($D886,"5 Document Type")</t>
  </si>
  <si>
    <t>=NF($D887,"5 Document Type")</t>
  </si>
  <si>
    <t>=NF($D888,"5 Document Type")</t>
  </si>
  <si>
    <t>=NF($D889,"5 Document Type")</t>
  </si>
  <si>
    <t>=NF($D845,"6 Document No.")</t>
  </si>
  <si>
    <t>=NF($D846,"6 Document No.")</t>
  </si>
  <si>
    <t>=NF($D847,"6 Document No.")</t>
  </si>
  <si>
    <t>=NF($D848,"6 Document No.")</t>
  </si>
  <si>
    <t>=NF($D849,"6 Document No.")</t>
  </si>
  <si>
    <t>=NF($D850,"6 Document No.")</t>
  </si>
  <si>
    <t>=NF($D851,"6 Document No.")</t>
  </si>
  <si>
    <t>=NF($D852,"6 Document No.")</t>
  </si>
  <si>
    <t>=NF($D853,"6 Document No.")</t>
  </si>
  <si>
    <t>=NF($D854,"6 Document No.")</t>
  </si>
  <si>
    <t>=NF($D855,"6 Document No.")</t>
  </si>
  <si>
    <t>=NF($D856,"6 Document No.")</t>
  </si>
  <si>
    <t>=NF($D857,"6 Document No.")</t>
  </si>
  <si>
    <t>=NF($D858,"6 Document No.")</t>
  </si>
  <si>
    <t>=NF($D859,"6 Document No.")</t>
  </si>
  <si>
    <t>=NF($D860,"6 Document No.")</t>
  </si>
  <si>
    <t>=NF($D861,"6 Document No.")</t>
  </si>
  <si>
    <t>=NF($D862,"6 Document No.")</t>
  </si>
  <si>
    <t>=NF($D863,"6 Document No.")</t>
  </si>
  <si>
    <t>=NF($D864,"6 Document No.")</t>
  </si>
  <si>
    <t>=NF($D865,"6 Document No.")</t>
  </si>
  <si>
    <t>=NF($D866,"6 Document No.")</t>
  </si>
  <si>
    <t>=NF($D867,"6 Document No.")</t>
  </si>
  <si>
    <t>=NF($D868,"6 Document No.")</t>
  </si>
  <si>
    <t>=NF($D869,"6 Document No.")</t>
  </si>
  <si>
    <t>=NF($D870,"6 Document No.")</t>
  </si>
  <si>
    <t>=NF($D871,"6 Document No.")</t>
  </si>
  <si>
    <t>=NF($D872,"6 Document No.")</t>
  </si>
  <si>
    <t>=NF($D873,"6 Document No.")</t>
  </si>
  <si>
    <t>=NF($D874,"6 Document No.")</t>
  </si>
  <si>
    <t>=NF($D875,"6 Document No.")</t>
  </si>
  <si>
    <t>=NF($D876,"6 Document No.")</t>
  </si>
  <si>
    <t>=NF($D877,"6 Document No.")</t>
  </si>
  <si>
    <t>=NF($D878,"6 Document No.")</t>
  </si>
  <si>
    <t>=NF($D879,"6 Document No.")</t>
  </si>
  <si>
    <t>=NF($D880,"6 Document No.")</t>
  </si>
  <si>
    <t>=NF($D881,"6 Document No.")</t>
  </si>
  <si>
    <t>=NF($D882,"6 Document No.")</t>
  </si>
  <si>
    <t>=NF($D883,"6 Document No.")</t>
  </si>
  <si>
    <t>=NF($D884,"6 Document No.")</t>
  </si>
  <si>
    <t>=NF($D885,"6 Document No.")</t>
  </si>
  <si>
    <t>=NF($D886,"6 Document No.")</t>
  </si>
  <si>
    <t>=NF($D887,"6 Document No.")</t>
  </si>
  <si>
    <t>=NF($D888,"6 Document No.")</t>
  </si>
  <si>
    <t>=NF($D889,"6 Document No.")</t>
  </si>
  <si>
    <t>=NF($D845,"37 Due Date")</t>
  </si>
  <si>
    <t>=NF($D846,"37 Due Date")</t>
  </si>
  <si>
    <t>=NF($D847,"37 Due Date")</t>
  </si>
  <si>
    <t>=NF($D848,"37 Due Date")</t>
  </si>
  <si>
    <t>=NF($D849,"37 Due Date")</t>
  </si>
  <si>
    <t>=NF($D850,"37 Due Date")</t>
  </si>
  <si>
    <t>=NF($D851,"37 Due Date")</t>
  </si>
  <si>
    <t>=NF($D852,"37 Due Date")</t>
  </si>
  <si>
    <t>=NF($D853,"37 Due Date")</t>
  </si>
  <si>
    <t>=NF($D854,"37 Due Date")</t>
  </si>
  <si>
    <t>=NF($D855,"37 Due Date")</t>
  </si>
  <si>
    <t>=NF($D856,"37 Due Date")</t>
  </si>
  <si>
    <t>=NF($D857,"37 Due Date")</t>
  </si>
  <si>
    <t>=NF($D858,"37 Due Date")</t>
  </si>
  <si>
    <t>=NF($D859,"37 Due Date")</t>
  </si>
  <si>
    <t>=NF($D860,"37 Due Date")</t>
  </si>
  <si>
    <t>=NF($D861,"37 Due Date")</t>
  </si>
  <si>
    <t>=NF($D862,"37 Due Date")</t>
  </si>
  <si>
    <t>=NF($D863,"37 Due Date")</t>
  </si>
  <si>
    <t>=NF($D864,"37 Due Date")</t>
  </si>
  <si>
    <t>=NF($D865,"37 Due Date")</t>
  </si>
  <si>
    <t>=NF($D866,"37 Due Date")</t>
  </si>
  <si>
    <t>=NF($D867,"37 Due Date")</t>
  </si>
  <si>
    <t>=NF($D868,"37 Due Date")</t>
  </si>
  <si>
    <t>=NF($D869,"37 Due Date")</t>
  </si>
  <si>
    <t>=NF($D870,"37 Due Date")</t>
  </si>
  <si>
    <t>=NF($D871,"37 Due Date")</t>
  </si>
  <si>
    <t>=NF($D872,"37 Due Date")</t>
  </si>
  <si>
    <t>=NF($D873,"37 Due Date")</t>
  </si>
  <si>
    <t>=NF($D874,"37 Due Date")</t>
  </si>
  <si>
    <t>=NF($D875,"37 Due Date")</t>
  </si>
  <si>
    <t>=NF($D876,"37 Due Date")</t>
  </si>
  <si>
    <t>=NF($D877,"37 Due Date")</t>
  </si>
  <si>
    <t>=NF($D878,"37 Due Date")</t>
  </si>
  <si>
    <t>=NF($D879,"37 Due Date")</t>
  </si>
  <si>
    <t>=NF($D880,"37 Due Date")</t>
  </si>
  <si>
    <t>=NF($D881,"37 Due Date")</t>
  </si>
  <si>
    <t>=NF($D882,"37 Due Date")</t>
  </si>
  <si>
    <t>=NF($D883,"37 Due Date")</t>
  </si>
  <si>
    <t>=NF($D884,"37 Due Date")</t>
  </si>
  <si>
    <t>=NF($D885,"37 Due Date")</t>
  </si>
  <si>
    <t>=NF($D886,"37 Due Date")</t>
  </si>
  <si>
    <t>=NF($D887,"37 Due Date")</t>
  </si>
  <si>
    <t>=NF($D888,"37 Due Date")</t>
  </si>
  <si>
    <t>=NF($D889,"37 Due Date")</t>
  </si>
  <si>
    <t>=NF($D845,"16 Remaining Amt. (LCY)")</t>
  </si>
  <si>
    <t>=NF($D846,"16 Remaining Amt. (LCY)")</t>
  </si>
  <si>
    <t>=NF($D847,"16 Remaining Amt. (LCY)")</t>
  </si>
  <si>
    <t>=NF($D848,"16 Remaining Amt. (LCY)")</t>
  </si>
  <si>
    <t>=NF($D849,"16 Remaining Amt. (LCY)")</t>
  </si>
  <si>
    <t>=NF($D850,"16 Remaining Amt. (LCY)")</t>
  </si>
  <si>
    <t>=NF($D851,"16 Remaining Amt. (LCY)")</t>
  </si>
  <si>
    <t>=NF($D852,"16 Remaining Amt. (LCY)")</t>
  </si>
  <si>
    <t>=NF($D853,"16 Remaining Amt. (LCY)")</t>
  </si>
  <si>
    <t>=NF($D854,"16 Remaining Amt. (LCY)")</t>
  </si>
  <si>
    <t>=NF($D855,"16 Remaining Amt. (LCY)")</t>
  </si>
  <si>
    <t>=NF($D856,"16 Remaining Amt. (LCY)")</t>
  </si>
  <si>
    <t>=NF($D857,"16 Remaining Amt. (LCY)")</t>
  </si>
  <si>
    <t>=NF($D858,"16 Remaining Amt. (LCY)")</t>
  </si>
  <si>
    <t>=NF($D859,"16 Remaining Amt. (LCY)")</t>
  </si>
  <si>
    <t>=NF($D860,"16 Remaining Amt. (LCY)")</t>
  </si>
  <si>
    <t>=NF($D861,"16 Remaining Amt. (LCY)")</t>
  </si>
  <si>
    <t>=NF($D862,"16 Remaining Amt. (LCY)")</t>
  </si>
  <si>
    <t>=NF($D863,"16 Remaining Amt. (LCY)")</t>
  </si>
  <si>
    <t>=NF($D864,"16 Remaining Amt. (LCY)")</t>
  </si>
  <si>
    <t>=NF($D865,"16 Remaining Amt. (LCY)")</t>
  </si>
  <si>
    <t>=NF($D866,"16 Remaining Amt. (LCY)")</t>
  </si>
  <si>
    <t>=NF($D867,"16 Remaining Amt. (LCY)")</t>
  </si>
  <si>
    <t>=NF($D868,"16 Remaining Amt. (LCY)")</t>
  </si>
  <si>
    <t>=NF($D869,"16 Remaining Amt. (LCY)")</t>
  </si>
  <si>
    <t>=NF($D870,"16 Remaining Amt. (LCY)")</t>
  </si>
  <si>
    <t>=NF($D871,"16 Remaining Amt. (LCY)")</t>
  </si>
  <si>
    <t>=NF($D872,"16 Remaining Amt. (LCY)")</t>
  </si>
  <si>
    <t>=NF($D873,"16 Remaining Amt. (LCY)")</t>
  </si>
  <si>
    <t>=NF($D874,"16 Remaining Amt. (LCY)")</t>
  </si>
  <si>
    <t>=NF($D875,"16 Remaining Amt. (LCY)")</t>
  </si>
  <si>
    <t>=NF($D876,"16 Remaining Amt. (LCY)")</t>
  </si>
  <si>
    <t>=NF($D877,"16 Remaining Amt. (LCY)")</t>
  </si>
  <si>
    <t>=NF($D878,"16 Remaining Amt. (LCY)")</t>
  </si>
  <si>
    <t>=NF($D879,"16 Remaining Amt. (LCY)")</t>
  </si>
  <si>
    <t>=NF($D880,"16 Remaining Amt. (LCY)")</t>
  </si>
  <si>
    <t>=NF($D881,"16 Remaining Amt. (LCY)")</t>
  </si>
  <si>
    <t>=NF($D882,"16 Remaining Amt. (LCY)")</t>
  </si>
  <si>
    <t>=NF($D883,"16 Remaining Amt. (LCY)")</t>
  </si>
  <si>
    <t>=NF($D884,"16 Remaining Amt. (LCY)")</t>
  </si>
  <si>
    <t>=NF($D885,"16 Remaining Amt. (LCY)")</t>
  </si>
  <si>
    <t>=NF($D886,"16 Remaining Amt. (LCY)")</t>
  </si>
  <si>
    <t>=NF($D887,"16 Remaining Amt. (LCY)")</t>
  </si>
  <si>
    <t>=NF($D888,"16 Remaining Amt. (LCY)")</t>
  </si>
  <si>
    <t>=NF($D889,"16 Remaining Amt. (LCY)")</t>
  </si>
  <si>
    <t>=NF($D778,"5 Document Type")</t>
  </si>
  <si>
    <t>=NF($D779,"5 Document Type")</t>
  </si>
  <si>
    <t>=NF($D780,"5 Document Type")</t>
  </si>
  <si>
    <t>=NF($D781,"5 Document Type")</t>
  </si>
  <si>
    <t>=NF($D782,"5 Document Type")</t>
  </si>
  <si>
    <t>=NF($D783,"5 Document Type")</t>
  </si>
  <si>
    <t>=NF($D784,"5 Document Type")</t>
  </si>
  <si>
    <t>=NF($D785,"5 Document Type")</t>
  </si>
  <si>
    <t>=NF($D786,"5 Document Type")</t>
  </si>
  <si>
    <t>=NF($D787,"5 Document Type")</t>
  </si>
  <si>
    <t>=NF($D788,"5 Document Type")</t>
  </si>
  <si>
    <t>=NF($D789,"5 Document Type")</t>
  </si>
  <si>
    <t>=NF($D790,"5 Document Type")</t>
  </si>
  <si>
    <t>=NF($D791,"5 Document Type")</t>
  </si>
  <si>
    <t>=NF($D792,"5 Document Type")</t>
  </si>
  <si>
    <t>=NF($D793,"5 Document Type")</t>
  </si>
  <si>
    <t>=NF($D794,"5 Document Type")</t>
  </si>
  <si>
    <t>=NF($D795,"5 Document Type")</t>
  </si>
  <si>
    <t>=NF($D796,"5 Document Type")</t>
  </si>
  <si>
    <t>=NF($D797,"5 Document Type")</t>
  </si>
  <si>
    <t>=NF($D798,"5 Document Type")</t>
  </si>
  <si>
    <t>=NF($D799,"5 Document Type")</t>
  </si>
  <si>
    <t>=NF($D800,"5 Document Type")</t>
  </si>
  <si>
    <t>=NF($D801,"5 Document Type")</t>
  </si>
  <si>
    <t>=NF($D802,"5 Document Type")</t>
  </si>
  <si>
    <t>=NF($D803,"5 Document Type")</t>
  </si>
  <si>
    <t>=NF($D804,"5 Document Type")</t>
  </si>
  <si>
    <t>=NF($D805,"5 Document Type")</t>
  </si>
  <si>
    <t>=NF($D806,"5 Document Type")</t>
  </si>
  <si>
    <t>=NF($D807,"5 Document Type")</t>
  </si>
  <si>
    <t>=NF($D808,"5 Document Type")</t>
  </si>
  <si>
    <t>=NF($D809,"5 Document Type")</t>
  </si>
  <si>
    <t>=NF($D810,"5 Document Type")</t>
  </si>
  <si>
    <t>=NF($D811,"5 Document Type")</t>
  </si>
  <si>
    <t>=NF($D812,"5 Document Type")</t>
  </si>
  <si>
    <t>=NF($D813,"5 Document Type")</t>
  </si>
  <si>
    <t>=NF($D814,"5 Document Type")</t>
  </si>
  <si>
    <t>=NF($D815,"5 Document Type")</t>
  </si>
  <si>
    <t>=NF($D816,"5 Document Type")</t>
  </si>
  <si>
    <t>=NF($D817,"5 Document Type")</t>
  </si>
  <si>
    <t>=NF($D818,"5 Document Type")</t>
  </si>
  <si>
    <t>=NF($D819,"5 Document Type")</t>
  </si>
  <si>
    <t>=NF($D820,"5 Document Type")</t>
  </si>
  <si>
    <t>=NF($D821,"5 Document Type")</t>
  </si>
  <si>
    <t>=NF($D822,"5 Document Type")</t>
  </si>
  <si>
    <t>=NF($D823,"5 Document Type")</t>
  </si>
  <si>
    <t>=NF($D824,"5 Document Type")</t>
  </si>
  <si>
    <t>=NF($D825,"5 Document Type")</t>
  </si>
  <si>
    <t>=NF($D826,"5 Document Type")</t>
  </si>
  <si>
    <t>=NF($D827,"5 Document Type")</t>
  </si>
  <si>
    <t>=NF($D828,"5 Document Type")</t>
  </si>
  <si>
    <t>=NF($D829,"5 Document Type")</t>
  </si>
  <si>
    <t>=NF($D830,"5 Document Type")</t>
  </si>
  <si>
    <t>=NF($D831,"5 Document Type")</t>
  </si>
  <si>
    <t>=NF($D832,"5 Document Type")</t>
  </si>
  <si>
    <t>=NF($D833,"5 Document Type")</t>
  </si>
  <si>
    <t>=NF($D834,"5 Document Type")</t>
  </si>
  <si>
    <t>=NF($D835,"5 Document Type")</t>
  </si>
  <si>
    <t>=NF($D836,"5 Document Type")</t>
  </si>
  <si>
    <t>=NF($D837,"5 Document Type")</t>
  </si>
  <si>
    <t>=NF($D838,"5 Document Type")</t>
  </si>
  <si>
    <t>=NF($D778,"6 Document No.")</t>
  </si>
  <si>
    <t>=NF($D779,"6 Document No.")</t>
  </si>
  <si>
    <t>=NF($D780,"6 Document No.")</t>
  </si>
  <si>
    <t>=NF($D781,"6 Document No.")</t>
  </si>
  <si>
    <t>=NF($D782,"6 Document No.")</t>
  </si>
  <si>
    <t>=NF($D783,"6 Document No.")</t>
  </si>
  <si>
    <t>=NF($D784,"6 Document No.")</t>
  </si>
  <si>
    <t>=NF($D785,"6 Document No.")</t>
  </si>
  <si>
    <t>=NF($D786,"6 Document No.")</t>
  </si>
  <si>
    <t>=NF($D787,"6 Document No.")</t>
  </si>
  <si>
    <t>=NF($D788,"6 Document No.")</t>
  </si>
  <si>
    <t>=NF($D789,"6 Document No.")</t>
  </si>
  <si>
    <t>=NF($D790,"6 Document No.")</t>
  </si>
  <si>
    <t>=NF($D791,"6 Document No.")</t>
  </si>
  <si>
    <t>=NF($D792,"6 Document No.")</t>
  </si>
  <si>
    <t>=NF($D793,"6 Document No.")</t>
  </si>
  <si>
    <t>=NF($D794,"6 Document No.")</t>
  </si>
  <si>
    <t>=NF($D795,"6 Document No.")</t>
  </si>
  <si>
    <t>=NF($D796,"6 Document No.")</t>
  </si>
  <si>
    <t>=NF($D797,"6 Document No.")</t>
  </si>
  <si>
    <t>=NF($D798,"6 Document No.")</t>
  </si>
  <si>
    <t>=NF($D799,"6 Document No.")</t>
  </si>
  <si>
    <t>=NF($D800,"6 Document No.")</t>
  </si>
  <si>
    <t>=NF($D801,"6 Document No.")</t>
  </si>
  <si>
    <t>=NF($D802,"6 Document No.")</t>
  </si>
  <si>
    <t>=NF($D803,"6 Document No.")</t>
  </si>
  <si>
    <t>=NF($D804,"6 Document No.")</t>
  </si>
  <si>
    <t>=NF($D805,"6 Document No.")</t>
  </si>
  <si>
    <t>=NF($D806,"6 Document No.")</t>
  </si>
  <si>
    <t>=NF($D807,"6 Document No.")</t>
  </si>
  <si>
    <t>=NF($D808,"6 Document No.")</t>
  </si>
  <si>
    <t>=NF($D809,"6 Document No.")</t>
  </si>
  <si>
    <t>=NF($D810,"6 Document No.")</t>
  </si>
  <si>
    <t>=NF($D811,"6 Document No.")</t>
  </si>
  <si>
    <t>=NF($D812,"6 Document No.")</t>
  </si>
  <si>
    <t>=NF($D813,"6 Document No.")</t>
  </si>
  <si>
    <t>=NF($D814,"6 Document No.")</t>
  </si>
  <si>
    <t>=NF($D815,"6 Document No.")</t>
  </si>
  <si>
    <t>=NF($D816,"6 Document No.")</t>
  </si>
  <si>
    <t>=NF($D817,"6 Document No.")</t>
  </si>
  <si>
    <t>=NF($D818,"6 Document No.")</t>
  </si>
  <si>
    <t>=NF($D819,"6 Document No.")</t>
  </si>
  <si>
    <t>=NF($D820,"6 Document No.")</t>
  </si>
  <si>
    <t>=NF($D821,"6 Document No.")</t>
  </si>
  <si>
    <t>=NF($D822,"6 Document No.")</t>
  </si>
  <si>
    <t>=NF($D823,"6 Document No.")</t>
  </si>
  <si>
    <t>=NF($D824,"6 Document No.")</t>
  </si>
  <si>
    <t>=NF($D825,"6 Document No.")</t>
  </si>
  <si>
    <t>=NF($D826,"6 Document No.")</t>
  </si>
  <si>
    <t>=NF($D827,"6 Document No.")</t>
  </si>
  <si>
    <t>=NF($D828,"6 Document No.")</t>
  </si>
  <si>
    <t>=NF($D829,"6 Document No.")</t>
  </si>
  <si>
    <t>=NF($D830,"6 Document No.")</t>
  </si>
  <si>
    <t>=NF($D831,"6 Document No.")</t>
  </si>
  <si>
    <t>=NF($D832,"6 Document No.")</t>
  </si>
  <si>
    <t>=NF($D833,"6 Document No.")</t>
  </si>
  <si>
    <t>=NF($D834,"6 Document No.")</t>
  </si>
  <si>
    <t>=NF($D835,"6 Document No.")</t>
  </si>
  <si>
    <t>=NF($D836,"6 Document No.")</t>
  </si>
  <si>
    <t>=NF($D837,"6 Document No.")</t>
  </si>
  <si>
    <t>=NF($D838,"6 Document No.")</t>
  </si>
  <si>
    <t>=NF($D778,"37 Due Date")</t>
  </si>
  <si>
    <t>=NF($D779,"37 Due Date")</t>
  </si>
  <si>
    <t>=NF($D780,"37 Due Date")</t>
  </si>
  <si>
    <t>=NF($D781,"37 Due Date")</t>
  </si>
  <si>
    <t>=NF($D782,"37 Due Date")</t>
  </si>
  <si>
    <t>=NF($D783,"37 Due Date")</t>
  </si>
  <si>
    <t>=NF($D784,"37 Due Date")</t>
  </si>
  <si>
    <t>=NF($D785,"37 Due Date")</t>
  </si>
  <si>
    <t>=NF($D786,"37 Due Date")</t>
  </si>
  <si>
    <t>=NF($D787,"37 Due Date")</t>
  </si>
  <si>
    <t>=NF($D788,"37 Due Date")</t>
  </si>
  <si>
    <t>=NF($D789,"37 Due Date")</t>
  </si>
  <si>
    <t>=NF($D790,"37 Due Date")</t>
  </si>
  <si>
    <t>=NF($D791,"37 Due Date")</t>
  </si>
  <si>
    <t>=NF($D792,"37 Due Date")</t>
  </si>
  <si>
    <t>=NF($D793,"37 Due Date")</t>
  </si>
  <si>
    <t>=NF($D794,"37 Due Date")</t>
  </si>
  <si>
    <t>=NF($D795,"37 Due Date")</t>
  </si>
  <si>
    <t>=NF($D796,"37 Due Date")</t>
  </si>
  <si>
    <t>=NF($D797,"37 Due Date")</t>
  </si>
  <si>
    <t>=NF($D798,"37 Due Date")</t>
  </si>
  <si>
    <t>=NF($D799,"37 Due Date")</t>
  </si>
  <si>
    <t>=NF($D800,"37 Due Date")</t>
  </si>
  <si>
    <t>=NF($D801,"37 Due Date")</t>
  </si>
  <si>
    <t>=NF($D802,"37 Due Date")</t>
  </si>
  <si>
    <t>=NF($D803,"37 Due Date")</t>
  </si>
  <si>
    <t>=NF($D804,"37 Due Date")</t>
  </si>
  <si>
    <t>=NF($D805,"37 Due Date")</t>
  </si>
  <si>
    <t>=NF($D806,"37 Due Date")</t>
  </si>
  <si>
    <t>=NF($D807,"37 Due Date")</t>
  </si>
  <si>
    <t>=NF($D808,"37 Due Date")</t>
  </si>
  <si>
    <t>=NF($D809,"37 Due Date")</t>
  </si>
  <si>
    <t>=NF($D810,"37 Due Date")</t>
  </si>
  <si>
    <t>=NF($D811,"37 Due Date")</t>
  </si>
  <si>
    <t>=NF($D812,"37 Due Date")</t>
  </si>
  <si>
    <t>=NF($D813,"37 Due Date")</t>
  </si>
  <si>
    <t>=NF($D814,"37 Due Date")</t>
  </si>
  <si>
    <t>=NF($D815,"37 Due Date")</t>
  </si>
  <si>
    <t>=NF($D816,"37 Due Date")</t>
  </si>
  <si>
    <t>=NF($D817,"37 Due Date")</t>
  </si>
  <si>
    <t>=NF($D818,"37 Due Date")</t>
  </si>
  <si>
    <t>=NF($D819,"37 Due Date")</t>
  </si>
  <si>
    <t>=NF($D820,"37 Due Date")</t>
  </si>
  <si>
    <t>=NF($D821,"37 Due Date")</t>
  </si>
  <si>
    <t>=NF($D822,"37 Due Date")</t>
  </si>
  <si>
    <t>=NF($D823,"37 Due Date")</t>
  </si>
  <si>
    <t>=NF($D824,"37 Due Date")</t>
  </si>
  <si>
    <t>=NF($D825,"37 Due Date")</t>
  </si>
  <si>
    <t>=NF($D826,"37 Due Date")</t>
  </si>
  <si>
    <t>=NF($D827,"37 Due Date")</t>
  </si>
  <si>
    <t>=NF($D828,"37 Due Date")</t>
  </si>
  <si>
    <t>=NF($D829,"37 Due Date")</t>
  </si>
  <si>
    <t>=NF($D830,"37 Due Date")</t>
  </si>
  <si>
    <t>=NF($D831,"37 Due Date")</t>
  </si>
  <si>
    <t>=NF($D832,"37 Due Date")</t>
  </si>
  <si>
    <t>=NF($D833,"37 Due Date")</t>
  </si>
  <si>
    <t>=NF($D834,"37 Due Date")</t>
  </si>
  <si>
    <t>=NF($D835,"37 Due Date")</t>
  </si>
  <si>
    <t>=NF($D836,"37 Due Date")</t>
  </si>
  <si>
    <t>=NF($D837,"37 Due Date")</t>
  </si>
  <si>
    <t>=NF($D838,"37 Due Date")</t>
  </si>
  <si>
    <t>=NF($D778,"16 Remaining Amt. (LCY)")</t>
  </si>
  <si>
    <t>=NF($D779,"16 Remaining Amt. (LCY)")</t>
  </si>
  <si>
    <t>=NF($D780,"16 Remaining Amt. (LCY)")</t>
  </si>
  <si>
    <t>=NF($D781,"16 Remaining Amt. (LCY)")</t>
  </si>
  <si>
    <t>=NF($D782,"16 Remaining Amt. (LCY)")</t>
  </si>
  <si>
    <t>=NF($D783,"16 Remaining Amt. (LCY)")</t>
  </si>
  <si>
    <t>=NF($D784,"16 Remaining Amt. (LCY)")</t>
  </si>
  <si>
    <t>=NF($D785,"16 Remaining Amt. (LCY)")</t>
  </si>
  <si>
    <t>=NF($D786,"16 Remaining Amt. (LCY)")</t>
  </si>
  <si>
    <t>=NF($D787,"16 Remaining Amt. (LCY)")</t>
  </si>
  <si>
    <t>=NF($D788,"16 Remaining Amt. (LCY)")</t>
  </si>
  <si>
    <t>=NF($D789,"16 Remaining Amt. (LCY)")</t>
  </si>
  <si>
    <t>=NF($D790,"16 Remaining Amt. (LCY)")</t>
  </si>
  <si>
    <t>=NF($D791,"16 Remaining Amt. (LCY)")</t>
  </si>
  <si>
    <t>=NF($D792,"16 Remaining Amt. (LCY)")</t>
  </si>
  <si>
    <t>=NF($D793,"16 Remaining Amt. (LCY)")</t>
  </si>
  <si>
    <t>=NF($D794,"16 Remaining Amt. (LCY)")</t>
  </si>
  <si>
    <t>=NF($D795,"16 Remaining Amt. (LCY)")</t>
  </si>
  <si>
    <t>=NF($D796,"16 Remaining Amt. (LCY)")</t>
  </si>
  <si>
    <t>=NF($D797,"16 Remaining Amt. (LCY)")</t>
  </si>
  <si>
    <t>=NF($D798,"16 Remaining Amt. (LCY)")</t>
  </si>
  <si>
    <t>=NF($D799,"16 Remaining Amt. (LCY)")</t>
  </si>
  <si>
    <t>=NF($D800,"16 Remaining Amt. (LCY)")</t>
  </si>
  <si>
    <t>=NF($D801,"16 Remaining Amt. (LCY)")</t>
  </si>
  <si>
    <t>=NF($D802,"16 Remaining Amt. (LCY)")</t>
  </si>
  <si>
    <t>=NF($D803,"16 Remaining Amt. (LCY)")</t>
  </si>
  <si>
    <t>=NF($D804,"16 Remaining Amt. (LCY)")</t>
  </si>
  <si>
    <t>=NF($D805,"16 Remaining Amt. (LCY)")</t>
  </si>
  <si>
    <t>=NF($D806,"16 Remaining Amt. (LCY)")</t>
  </si>
  <si>
    <t>=NF($D807,"16 Remaining Amt. (LCY)")</t>
  </si>
  <si>
    <t>=NF($D808,"16 Remaining Amt. (LCY)")</t>
  </si>
  <si>
    <t>=NF($D809,"16 Remaining Amt. (LCY)")</t>
  </si>
  <si>
    <t>=NF($D810,"16 Remaining Amt. (LCY)")</t>
  </si>
  <si>
    <t>=NF($D811,"16 Remaining Amt. (LCY)")</t>
  </si>
  <si>
    <t>=NF($D812,"16 Remaining Amt. (LCY)")</t>
  </si>
  <si>
    <t>=NF($D813,"16 Remaining Amt. (LCY)")</t>
  </si>
  <si>
    <t>=NF($D814,"16 Remaining Amt. (LCY)")</t>
  </si>
  <si>
    <t>=NF($D815,"16 Remaining Amt. (LCY)")</t>
  </si>
  <si>
    <t>=NF($D816,"16 Remaining Amt. (LCY)")</t>
  </si>
  <si>
    <t>=NF($D817,"16 Remaining Amt. (LCY)")</t>
  </si>
  <si>
    <t>=NF($D818,"16 Remaining Amt. (LCY)")</t>
  </si>
  <si>
    <t>=NF($D819,"16 Remaining Amt. (LCY)")</t>
  </si>
  <si>
    <t>=NF($D820,"16 Remaining Amt. (LCY)")</t>
  </si>
  <si>
    <t>=NF($D821,"16 Remaining Amt. (LCY)")</t>
  </si>
  <si>
    <t>=NF($D822,"16 Remaining Amt. (LCY)")</t>
  </si>
  <si>
    <t>=NF($D823,"16 Remaining Amt. (LCY)")</t>
  </si>
  <si>
    <t>=NF($D824,"16 Remaining Amt. (LCY)")</t>
  </si>
  <si>
    <t>=NF($D825,"16 Remaining Amt. (LCY)")</t>
  </si>
  <si>
    <t>=NF($D826,"16 Remaining Amt. (LCY)")</t>
  </si>
  <si>
    <t>=NF($D827,"16 Remaining Amt. (LCY)")</t>
  </si>
  <si>
    <t>=NF($D828,"16 Remaining Amt. (LCY)")</t>
  </si>
  <si>
    <t>=NF($D829,"16 Remaining Amt. (LCY)")</t>
  </si>
  <si>
    <t>=NF($D830,"16 Remaining Amt. (LCY)")</t>
  </si>
  <si>
    <t>=NF($D831,"16 Remaining Amt. (LCY)")</t>
  </si>
  <si>
    <t>=NF($D832,"16 Remaining Amt. (LCY)")</t>
  </si>
  <si>
    <t>=NF($D833,"16 Remaining Amt. (LCY)")</t>
  </si>
  <si>
    <t>=NF($D834,"16 Remaining Amt. (LCY)")</t>
  </si>
  <si>
    <t>=NF($D835,"16 Remaining Amt. (LCY)")</t>
  </si>
  <si>
    <t>=NF($D836,"16 Remaining Amt. (LCY)")</t>
  </si>
  <si>
    <t>=NF($D837,"16 Remaining Amt. (LCY)")</t>
  </si>
  <si>
    <t>=NF($D838,"16 Remaining Amt. (LCY)")</t>
  </si>
  <si>
    <t>=NF($D747,"5 Document Type")</t>
  </si>
  <si>
    <t>=NF($D748,"5 Document Type")</t>
  </si>
  <si>
    <t>=NF($D749,"5 Document Type")</t>
  </si>
  <si>
    <t>=NF($D750,"5 Document Type")</t>
  </si>
  <si>
    <t>=NF($D751,"5 Document Type")</t>
  </si>
  <si>
    <t>=NF($D752,"5 Document Type")</t>
  </si>
  <si>
    <t>=NF($D753,"5 Document Type")</t>
  </si>
  <si>
    <t>=NF($D754,"5 Document Type")</t>
  </si>
  <si>
    <t>=NF($D755,"5 Document Type")</t>
  </si>
  <si>
    <t>=NF($D756,"5 Document Type")</t>
  </si>
  <si>
    <t>=NF($D757,"5 Document Type")</t>
  </si>
  <si>
    <t>=NF($D758,"5 Document Type")</t>
  </si>
  <si>
    <t>=NF($D759,"5 Document Type")</t>
  </si>
  <si>
    <t>=NF($D760,"5 Document Type")</t>
  </si>
  <si>
    <t>=NF($D761,"5 Document Type")</t>
  </si>
  <si>
    <t>=NF($D762,"5 Document Type")</t>
  </si>
  <si>
    <t>=NF($D763,"5 Document Type")</t>
  </si>
  <si>
    <t>=NF($D764,"5 Document Type")</t>
  </si>
  <si>
    <t>=NF($D765,"5 Document Type")</t>
  </si>
  <si>
    <t>=NF($D766,"5 Document Type")</t>
  </si>
  <si>
    <t>=NF($D767,"5 Document Type")</t>
  </si>
  <si>
    <t>=NF($D768,"5 Document Type")</t>
  </si>
  <si>
    <t>=NF($D769,"5 Document Type")</t>
  </si>
  <si>
    <t>=NF($D770,"5 Document Type")</t>
  </si>
  <si>
    <t>=NF($D771,"5 Document Type")</t>
  </si>
  <si>
    <t>=NF($D747,"6 Document No.")</t>
  </si>
  <si>
    <t>=NF($D748,"6 Document No.")</t>
  </si>
  <si>
    <t>=NF($D749,"6 Document No.")</t>
  </si>
  <si>
    <t>=NF($D750,"6 Document No.")</t>
  </si>
  <si>
    <t>=NF($D751,"6 Document No.")</t>
  </si>
  <si>
    <t>=NF($D752,"6 Document No.")</t>
  </si>
  <si>
    <t>=NF($D753,"6 Document No.")</t>
  </si>
  <si>
    <t>=NF($D754,"6 Document No.")</t>
  </si>
  <si>
    <t>=NF($D755,"6 Document No.")</t>
  </si>
  <si>
    <t>=NF($D756,"6 Document No.")</t>
  </si>
  <si>
    <t>=NF($D757,"6 Document No.")</t>
  </si>
  <si>
    <t>=NF($D758,"6 Document No.")</t>
  </si>
  <si>
    <t>=NF($D759,"6 Document No.")</t>
  </si>
  <si>
    <t>=NF($D760,"6 Document No.")</t>
  </si>
  <si>
    <t>=NF($D761,"6 Document No.")</t>
  </si>
  <si>
    <t>=NF($D762,"6 Document No.")</t>
  </si>
  <si>
    <t>=NF($D763,"6 Document No.")</t>
  </si>
  <si>
    <t>=NF($D764,"6 Document No.")</t>
  </si>
  <si>
    <t>=NF($D765,"6 Document No.")</t>
  </si>
  <si>
    <t>=NF($D766,"6 Document No.")</t>
  </si>
  <si>
    <t>=NF($D767,"6 Document No.")</t>
  </si>
  <si>
    <t>=NF($D768,"6 Document No.")</t>
  </si>
  <si>
    <t>=NF($D769,"6 Document No.")</t>
  </si>
  <si>
    <t>=NF($D770,"6 Document No.")</t>
  </si>
  <si>
    <t>=NF($D771,"6 Document No.")</t>
  </si>
  <si>
    <t>=NF($D747,"37 Due Date")</t>
  </si>
  <si>
    <t>=NF($D748,"37 Due Date")</t>
  </si>
  <si>
    <t>=NF($D749,"37 Due Date")</t>
  </si>
  <si>
    <t>=NF($D750,"37 Due Date")</t>
  </si>
  <si>
    <t>=NF($D751,"37 Due Date")</t>
  </si>
  <si>
    <t>=NF($D752,"37 Due Date")</t>
  </si>
  <si>
    <t>=NF($D753,"37 Due Date")</t>
  </si>
  <si>
    <t>=NF($D754,"37 Due Date")</t>
  </si>
  <si>
    <t>=NF($D755,"37 Due Date")</t>
  </si>
  <si>
    <t>=NF($D756,"37 Due Date")</t>
  </si>
  <si>
    <t>=NF($D757,"37 Due Date")</t>
  </si>
  <si>
    <t>=NF($D758,"37 Due Date")</t>
  </si>
  <si>
    <t>=NF($D759,"37 Due Date")</t>
  </si>
  <si>
    <t>=NF($D760,"37 Due Date")</t>
  </si>
  <si>
    <t>=NF($D761,"37 Due Date")</t>
  </si>
  <si>
    <t>=NF($D762,"37 Due Date")</t>
  </si>
  <si>
    <t>=NF($D763,"37 Due Date")</t>
  </si>
  <si>
    <t>=NF($D764,"37 Due Date")</t>
  </si>
  <si>
    <t>=NF($D765,"37 Due Date")</t>
  </si>
  <si>
    <t>=NF($D766,"37 Due Date")</t>
  </si>
  <si>
    <t>=NF($D767,"37 Due Date")</t>
  </si>
  <si>
    <t>=NF($D768,"37 Due Date")</t>
  </si>
  <si>
    <t>=NF($D769,"37 Due Date")</t>
  </si>
  <si>
    <t>=NF($D770,"37 Due Date")</t>
  </si>
  <si>
    <t>=NF($D771,"37 Due Date")</t>
  </si>
  <si>
    <t>=NF($D747,"16 Remaining Amt. (LCY)")</t>
  </si>
  <si>
    <t>=NF($D748,"16 Remaining Amt. (LCY)")</t>
  </si>
  <si>
    <t>=NF($D749,"16 Remaining Amt. (LCY)")</t>
  </si>
  <si>
    <t>=NF($D750,"16 Remaining Amt. (LCY)")</t>
  </si>
  <si>
    <t>=NF($D751,"16 Remaining Amt. (LCY)")</t>
  </si>
  <si>
    <t>=NF($D752,"16 Remaining Amt. (LCY)")</t>
  </si>
  <si>
    <t>=NF($D753,"16 Remaining Amt. (LCY)")</t>
  </si>
  <si>
    <t>=NF($D754,"16 Remaining Amt. (LCY)")</t>
  </si>
  <si>
    <t>=NF($D755,"16 Remaining Amt. (LCY)")</t>
  </si>
  <si>
    <t>=NF($D756,"16 Remaining Amt. (LCY)")</t>
  </si>
  <si>
    <t>=NF($D757,"16 Remaining Amt. (LCY)")</t>
  </si>
  <si>
    <t>=NF($D758,"16 Remaining Amt. (LCY)")</t>
  </si>
  <si>
    <t>=NF($D759,"16 Remaining Amt. (LCY)")</t>
  </si>
  <si>
    <t>=NF($D760,"16 Remaining Amt. (LCY)")</t>
  </si>
  <si>
    <t>=NF($D761,"16 Remaining Amt. (LCY)")</t>
  </si>
  <si>
    <t>=NF($D762,"16 Remaining Amt. (LCY)")</t>
  </si>
  <si>
    <t>=NF($D763,"16 Remaining Amt. (LCY)")</t>
  </si>
  <si>
    <t>=NF($D764,"16 Remaining Amt. (LCY)")</t>
  </si>
  <si>
    <t>=NF($D765,"16 Remaining Amt. (LCY)")</t>
  </si>
  <si>
    <t>=NF($D766,"16 Remaining Amt. (LCY)")</t>
  </si>
  <si>
    <t>=NF($D767,"16 Remaining Amt. (LCY)")</t>
  </si>
  <si>
    <t>=NF($D768,"16 Remaining Amt. (LCY)")</t>
  </si>
  <si>
    <t>=NF($D769,"16 Remaining Amt. (LCY)")</t>
  </si>
  <si>
    <t>=NF($D770,"16 Remaining Amt. (LCY)")</t>
  </si>
  <si>
    <t>=NF($D771,"16 Remaining Amt. (LCY)")</t>
  </si>
  <si>
    <t>=NF($D699,"5 Document Type")</t>
  </si>
  <si>
    <t>=NF($D700,"5 Document Type")</t>
  </si>
  <si>
    <t>=NF($D701,"5 Document Type")</t>
  </si>
  <si>
    <t>=NF($D702,"5 Document Type")</t>
  </si>
  <si>
    <t>=NF($D703,"5 Document Type")</t>
  </si>
  <si>
    <t>=NF($D704,"5 Document Type")</t>
  </si>
  <si>
    <t>=NF($D705,"5 Document Type")</t>
  </si>
  <si>
    <t>=NF($D706,"5 Document Type")</t>
  </si>
  <si>
    <t>=NF($D707,"5 Document Type")</t>
  </si>
  <si>
    <t>=NF($D708,"5 Document Type")</t>
  </si>
  <si>
    <t>=NF($D709,"5 Document Type")</t>
  </si>
  <si>
    <t>=NF($D710,"5 Document Type")</t>
  </si>
  <si>
    <t>=NF($D711,"5 Document Type")</t>
  </si>
  <si>
    <t>=NF($D712,"5 Document Type")</t>
  </si>
  <si>
    <t>=NF($D713,"5 Document Type")</t>
  </si>
  <si>
    <t>=NF($D714,"5 Document Type")</t>
  </si>
  <si>
    <t>=NF($D715,"5 Document Type")</t>
  </si>
  <si>
    <t>=NF($D716,"5 Document Type")</t>
  </si>
  <si>
    <t>=NF($D717,"5 Document Type")</t>
  </si>
  <si>
    <t>=NF($D718,"5 Document Type")</t>
  </si>
  <si>
    <t>=NF($D719,"5 Document Type")</t>
  </si>
  <si>
    <t>=NF($D720,"5 Document Type")</t>
  </si>
  <si>
    <t>=NF($D721,"5 Document Type")</t>
  </si>
  <si>
    <t>=NF($D722,"5 Document Type")</t>
  </si>
  <si>
    <t>=NF($D723,"5 Document Type")</t>
  </si>
  <si>
    <t>=NF($D724,"5 Document Type")</t>
  </si>
  <si>
    <t>=NF($D725,"5 Document Type")</t>
  </si>
  <si>
    <t>=NF($D726,"5 Document Type")</t>
  </si>
  <si>
    <t>=NF($D727,"5 Document Type")</t>
  </si>
  <si>
    <t>=NF($D728,"5 Document Type")</t>
  </si>
  <si>
    <t>=NF($D729,"5 Document Type")</t>
  </si>
  <si>
    <t>=NF($D730,"5 Document Type")</t>
  </si>
  <si>
    <t>=NF($D731,"5 Document Type")</t>
  </si>
  <si>
    <t>=NF($D732,"5 Document Type")</t>
  </si>
  <si>
    <t>=NF($D733,"5 Document Type")</t>
  </si>
  <si>
    <t>=NF($D734,"5 Document Type")</t>
  </si>
  <si>
    <t>=NF($D735,"5 Document Type")</t>
  </si>
  <si>
    <t>=NF($D736,"5 Document Type")</t>
  </si>
  <si>
    <t>=NF($D737,"5 Document Type")</t>
  </si>
  <si>
    <t>=NF($D738,"5 Document Type")</t>
  </si>
  <si>
    <t>=NF($D739,"5 Document Type")</t>
  </si>
  <si>
    <t>=NF($D740,"5 Document Type")</t>
  </si>
  <si>
    <t>=NF($D699,"6 Document No.")</t>
  </si>
  <si>
    <t>=NF($D700,"6 Document No.")</t>
  </si>
  <si>
    <t>=NF($D701,"6 Document No.")</t>
  </si>
  <si>
    <t>=NF($D702,"6 Document No.")</t>
  </si>
  <si>
    <t>=NF($D703,"6 Document No.")</t>
  </si>
  <si>
    <t>=NF($D704,"6 Document No.")</t>
  </si>
  <si>
    <t>=NF($D705,"6 Document No.")</t>
  </si>
  <si>
    <t>=NF($D706,"6 Document No.")</t>
  </si>
  <si>
    <t>=NF($D707,"6 Document No.")</t>
  </si>
  <si>
    <t>=NF($D708,"6 Document No.")</t>
  </si>
  <si>
    <t>=NF($D709,"6 Document No.")</t>
  </si>
  <si>
    <t>=NF($D710,"6 Document No.")</t>
  </si>
  <si>
    <t>=NF($D711,"6 Document No.")</t>
  </si>
  <si>
    <t>=NF($D712,"6 Document No.")</t>
  </si>
  <si>
    <t>=NF($D713,"6 Document No.")</t>
  </si>
  <si>
    <t>=NF($D714,"6 Document No.")</t>
  </si>
  <si>
    <t>=NF($D715,"6 Document No.")</t>
  </si>
  <si>
    <t>=NF($D716,"6 Document No.")</t>
  </si>
  <si>
    <t>=NF($D717,"6 Document No.")</t>
  </si>
  <si>
    <t>=NF($D718,"6 Document No.")</t>
  </si>
  <si>
    <t>=NF($D719,"6 Document No.")</t>
  </si>
  <si>
    <t>=NF($D720,"6 Document No.")</t>
  </si>
  <si>
    <t>=NF($D721,"6 Document No.")</t>
  </si>
  <si>
    <t>=NF($D722,"6 Document No.")</t>
  </si>
  <si>
    <t>=NF($D723,"6 Document No.")</t>
  </si>
  <si>
    <t>=NF($D724,"6 Document No.")</t>
  </si>
  <si>
    <t>=NF($D725,"6 Document No.")</t>
  </si>
  <si>
    <t>=NF($D726,"6 Document No.")</t>
  </si>
  <si>
    <t>=NF($D727,"6 Document No.")</t>
  </si>
  <si>
    <t>=NF($D728,"6 Document No.")</t>
  </si>
  <si>
    <t>=NF($D729,"6 Document No.")</t>
  </si>
  <si>
    <t>=NF($D730,"6 Document No.")</t>
  </si>
  <si>
    <t>=NF($D731,"6 Document No.")</t>
  </si>
  <si>
    <t>=NF($D732,"6 Document No.")</t>
  </si>
  <si>
    <t>=NF($D733,"6 Document No.")</t>
  </si>
  <si>
    <t>=NF($D734,"6 Document No.")</t>
  </si>
  <si>
    <t>=NF($D735,"6 Document No.")</t>
  </si>
  <si>
    <t>=NF($D736,"6 Document No.")</t>
  </si>
  <si>
    <t>=NF($D737,"6 Document No.")</t>
  </si>
  <si>
    <t>=NF($D738,"6 Document No.")</t>
  </si>
  <si>
    <t>=NF($D739,"6 Document No.")</t>
  </si>
  <si>
    <t>=NF($D740,"6 Document No.")</t>
  </si>
  <si>
    <t>=NF($D699,"37 Due Date")</t>
  </si>
  <si>
    <t>=NF($D700,"37 Due Date")</t>
  </si>
  <si>
    <t>=NF($D701,"37 Due Date")</t>
  </si>
  <si>
    <t>=NF($D702,"37 Due Date")</t>
  </si>
  <si>
    <t>=NF($D703,"37 Due Date")</t>
  </si>
  <si>
    <t>=NF($D704,"37 Due Date")</t>
  </si>
  <si>
    <t>=NF($D705,"37 Due Date")</t>
  </si>
  <si>
    <t>=NF($D706,"37 Due Date")</t>
  </si>
  <si>
    <t>=NF($D707,"37 Due Date")</t>
  </si>
  <si>
    <t>=NF($D708,"37 Due Date")</t>
  </si>
  <si>
    <t>=NF($D709,"37 Due Date")</t>
  </si>
  <si>
    <t>=NF($D710,"37 Due Date")</t>
  </si>
  <si>
    <t>=NF($D711,"37 Due Date")</t>
  </si>
  <si>
    <t>=NF($D712,"37 Due Date")</t>
  </si>
  <si>
    <t>=NF($D713,"37 Due Date")</t>
  </si>
  <si>
    <t>=NF($D714,"37 Due Date")</t>
  </si>
  <si>
    <t>=NF($D715,"37 Due Date")</t>
  </si>
  <si>
    <t>=NF($D716,"37 Due Date")</t>
  </si>
  <si>
    <t>=NF($D717,"37 Due Date")</t>
  </si>
  <si>
    <t>=NF($D718,"37 Due Date")</t>
  </si>
  <si>
    <t>=NF($D719,"37 Due Date")</t>
  </si>
  <si>
    <t>=NF($D720,"37 Due Date")</t>
  </si>
  <si>
    <t>=NF($D721,"37 Due Date")</t>
  </si>
  <si>
    <t>=NF($D722,"37 Due Date")</t>
  </si>
  <si>
    <t>=NF($D723,"37 Due Date")</t>
  </si>
  <si>
    <t>=NF($D724,"37 Due Date")</t>
  </si>
  <si>
    <t>=NF($D725,"37 Due Date")</t>
  </si>
  <si>
    <t>=NF($D726,"37 Due Date")</t>
  </si>
  <si>
    <t>=NF($D727,"37 Due Date")</t>
  </si>
  <si>
    <t>=NF($D728,"37 Due Date")</t>
  </si>
  <si>
    <t>=NF($D729,"37 Due Date")</t>
  </si>
  <si>
    <t>=NF($D730,"37 Due Date")</t>
  </si>
  <si>
    <t>=NF($D731,"37 Due Date")</t>
  </si>
  <si>
    <t>=NF($D732,"37 Due Date")</t>
  </si>
  <si>
    <t>=NF($D733,"37 Due Date")</t>
  </si>
  <si>
    <t>=NF($D734,"37 Due Date")</t>
  </si>
  <si>
    <t>=NF($D735,"37 Due Date")</t>
  </si>
  <si>
    <t>=NF($D736,"37 Due Date")</t>
  </si>
  <si>
    <t>=NF($D737,"37 Due Date")</t>
  </si>
  <si>
    <t>=NF($D738,"37 Due Date")</t>
  </si>
  <si>
    <t>=NF($D739,"37 Due Date")</t>
  </si>
  <si>
    <t>=NF($D740,"37 Due Date")</t>
  </si>
  <si>
    <t>=NF($D699,"16 Remaining Amt. (LCY)")</t>
  </si>
  <si>
    <t>=NF($D700,"16 Remaining Amt. (LCY)")</t>
  </si>
  <si>
    <t>=NF($D701,"16 Remaining Amt. (LCY)")</t>
  </si>
  <si>
    <t>=NF($D702,"16 Remaining Amt. (LCY)")</t>
  </si>
  <si>
    <t>=NF($D703,"16 Remaining Amt. (LCY)")</t>
  </si>
  <si>
    <t>=NF($D704,"16 Remaining Amt. (LCY)")</t>
  </si>
  <si>
    <t>=NF($D705,"16 Remaining Amt. (LCY)")</t>
  </si>
  <si>
    <t>=NF($D706,"16 Remaining Amt. (LCY)")</t>
  </si>
  <si>
    <t>=NF($D707,"16 Remaining Amt. (LCY)")</t>
  </si>
  <si>
    <t>=NF($D708,"16 Remaining Amt. (LCY)")</t>
  </si>
  <si>
    <t>=NF($D709,"16 Remaining Amt. (LCY)")</t>
  </si>
  <si>
    <t>=NF($D710,"16 Remaining Amt. (LCY)")</t>
  </si>
  <si>
    <t>=NF($D711,"16 Remaining Amt. (LCY)")</t>
  </si>
  <si>
    <t>=NF($D712,"16 Remaining Amt. (LCY)")</t>
  </si>
  <si>
    <t>=NF($D713,"16 Remaining Amt. (LCY)")</t>
  </si>
  <si>
    <t>=NF($D714,"16 Remaining Amt. (LCY)")</t>
  </si>
  <si>
    <t>=NF($D715,"16 Remaining Amt. (LCY)")</t>
  </si>
  <si>
    <t>=NF($D716,"16 Remaining Amt. (LCY)")</t>
  </si>
  <si>
    <t>=NF($D717,"16 Remaining Amt. (LCY)")</t>
  </si>
  <si>
    <t>=NF($D718,"16 Remaining Amt. (LCY)")</t>
  </si>
  <si>
    <t>=NF($D719,"16 Remaining Amt. (LCY)")</t>
  </si>
  <si>
    <t>=NF($D720,"16 Remaining Amt. (LCY)")</t>
  </si>
  <si>
    <t>=NF($D721,"16 Remaining Amt. (LCY)")</t>
  </si>
  <si>
    <t>=NF($D722,"16 Remaining Amt. (LCY)")</t>
  </si>
  <si>
    <t>=NF($D723,"16 Remaining Amt. (LCY)")</t>
  </si>
  <si>
    <t>=NF($D724,"16 Remaining Amt. (LCY)")</t>
  </si>
  <si>
    <t>=NF($D725,"16 Remaining Amt. (LCY)")</t>
  </si>
  <si>
    <t>=NF($D726,"16 Remaining Amt. (LCY)")</t>
  </si>
  <si>
    <t>=NF($D727,"16 Remaining Amt. (LCY)")</t>
  </si>
  <si>
    <t>=NF($D728,"16 Remaining Amt. (LCY)")</t>
  </si>
  <si>
    <t>=NF($D729,"16 Remaining Amt. (LCY)")</t>
  </si>
  <si>
    <t>=NF($D730,"16 Remaining Amt. (LCY)")</t>
  </si>
  <si>
    <t>=NF($D731,"16 Remaining Amt. (LCY)")</t>
  </si>
  <si>
    <t>=NF($D732,"16 Remaining Amt. (LCY)")</t>
  </si>
  <si>
    <t>=NF($D733,"16 Remaining Amt. (LCY)")</t>
  </si>
  <si>
    <t>=NF($D734,"16 Remaining Amt. (LCY)")</t>
  </si>
  <si>
    <t>=NF($D735,"16 Remaining Amt. (LCY)")</t>
  </si>
  <si>
    <t>=NF($D736,"16 Remaining Amt. (LCY)")</t>
  </si>
  <si>
    <t>=NF($D737,"16 Remaining Amt. (LCY)")</t>
  </si>
  <si>
    <t>=NF($D738,"16 Remaining Amt. (LCY)")</t>
  </si>
  <si>
    <t>=NF($D739,"16 Remaining Amt. (LCY)")</t>
  </si>
  <si>
    <t>=NF($D740,"16 Remaining Amt. (LCY)")</t>
  </si>
  <si>
    <t>=NF($D627,"5 Document Type")</t>
  </si>
  <si>
    <t>=NF($D628,"5 Document Type")</t>
  </si>
  <si>
    <t>=NF($D629,"5 Document Type")</t>
  </si>
  <si>
    <t>=NF($D630,"5 Document Type")</t>
  </si>
  <si>
    <t>=NF($D631,"5 Document Type")</t>
  </si>
  <si>
    <t>=NF($D632,"5 Document Type")</t>
  </si>
  <si>
    <t>=NF($D633,"5 Document Type")</t>
  </si>
  <si>
    <t>=NF($D634,"5 Document Type")</t>
  </si>
  <si>
    <t>=NF($D635,"5 Document Type")</t>
  </si>
  <si>
    <t>=NF($D636,"5 Document Type")</t>
  </si>
  <si>
    <t>=NF($D637,"5 Document Type")</t>
  </si>
  <si>
    <t>=NF($D638,"5 Document Type")</t>
  </si>
  <si>
    <t>=NF($D639,"5 Document Type")</t>
  </si>
  <si>
    <t>=NF($D640,"5 Document Type")</t>
  </si>
  <si>
    <t>=NF($D641,"5 Document Type")</t>
  </si>
  <si>
    <t>=NF($D642,"5 Document Type")</t>
  </si>
  <si>
    <t>=NF($D643,"5 Document Type")</t>
  </si>
  <si>
    <t>=NF($D644,"5 Document Type")</t>
  </si>
  <si>
    <t>=NF($D645,"5 Document Type")</t>
  </si>
  <si>
    <t>=NF($D646,"5 Document Type")</t>
  </si>
  <si>
    <t>=NF($D647,"5 Document Type")</t>
  </si>
  <si>
    <t>=NF($D648,"5 Document Type")</t>
  </si>
  <si>
    <t>=NF($D649,"5 Document Type")</t>
  </si>
  <si>
    <t>=NF($D650,"5 Document Type")</t>
  </si>
  <si>
    <t>=NF($D651,"5 Document Type")</t>
  </si>
  <si>
    <t>=NF($D652,"5 Document Type")</t>
  </si>
  <si>
    <t>=NF($D653,"5 Document Type")</t>
  </si>
  <si>
    <t>=NF($D654,"5 Document Type")</t>
  </si>
  <si>
    <t>=NF($D655,"5 Document Type")</t>
  </si>
  <si>
    <t>=NF($D656,"5 Document Type")</t>
  </si>
  <si>
    <t>=NF($D657,"5 Document Type")</t>
  </si>
  <si>
    <t>=NF($D658,"5 Document Type")</t>
  </si>
  <si>
    <t>=NF($D659,"5 Document Type")</t>
  </si>
  <si>
    <t>=NF($D660,"5 Document Type")</t>
  </si>
  <si>
    <t>=NF($D661,"5 Document Type")</t>
  </si>
  <si>
    <t>=NF($D662,"5 Document Type")</t>
  </si>
  <si>
    <t>=NF($D663,"5 Document Type")</t>
  </si>
  <si>
    <t>=NF($D664,"5 Document Type")</t>
  </si>
  <si>
    <t>=NF($D665,"5 Document Type")</t>
  </si>
  <si>
    <t>=NF($D666,"5 Document Type")</t>
  </si>
  <si>
    <t>=NF($D667,"5 Document Type")</t>
  </si>
  <si>
    <t>=NF($D668,"5 Document Type")</t>
  </si>
  <si>
    <t>=NF($D669,"5 Document Type")</t>
  </si>
  <si>
    <t>=NF($D670,"5 Document Type")</t>
  </si>
  <si>
    <t>=NF($D671,"5 Document Type")</t>
  </si>
  <si>
    <t>=NF($D672,"5 Document Type")</t>
  </si>
  <si>
    <t>=NF($D673,"5 Document Type")</t>
  </si>
  <si>
    <t>=NF($D674,"5 Document Type")</t>
  </si>
  <si>
    <t>=NF($D675,"5 Document Type")</t>
  </si>
  <si>
    <t>=NF($D676,"5 Document Type")</t>
  </si>
  <si>
    <t>=NF($D677,"5 Document Type")</t>
  </si>
  <si>
    <t>=NF($D678,"5 Document Type")</t>
  </si>
  <si>
    <t>=NF($D679,"5 Document Type")</t>
  </si>
  <si>
    <t>=NF($D680,"5 Document Type")</t>
  </si>
  <si>
    <t>=NF($D681,"5 Document Type")</t>
  </si>
  <si>
    <t>=NF($D682,"5 Document Type")</t>
  </si>
  <si>
    <t>=NF($D683,"5 Document Type")</t>
  </si>
  <si>
    <t>=NF($D684,"5 Document Type")</t>
  </si>
  <si>
    <t>=NF($D685,"5 Document Type")</t>
  </si>
  <si>
    <t>=NF($D686,"5 Document Type")</t>
  </si>
  <si>
    <t>=NF($D687,"5 Document Type")</t>
  </si>
  <si>
    <t>=NF($D688,"5 Document Type")</t>
  </si>
  <si>
    <t>=NF($D689,"5 Document Type")</t>
  </si>
  <si>
    <t>=NF($D690,"5 Document Type")</t>
  </si>
  <si>
    <t>=NF($D691,"5 Document Type")</t>
  </si>
  <si>
    <t>=NF($D692,"5 Document Type")</t>
  </si>
  <si>
    <t>=NF($D627,"6 Document No.")</t>
  </si>
  <si>
    <t>=NF($D628,"6 Document No.")</t>
  </si>
  <si>
    <t>=NF($D629,"6 Document No.")</t>
  </si>
  <si>
    <t>=NF($D630,"6 Document No.")</t>
  </si>
  <si>
    <t>=NF($D631,"6 Document No.")</t>
  </si>
  <si>
    <t>=NF($D632,"6 Document No.")</t>
  </si>
  <si>
    <t>=NF($D633,"6 Document No.")</t>
  </si>
  <si>
    <t>=NF($D634,"6 Document No.")</t>
  </si>
  <si>
    <t>=NF($D635,"6 Document No.")</t>
  </si>
  <si>
    <t>=NF($D636,"6 Document No.")</t>
  </si>
  <si>
    <t>=NF($D637,"6 Document No.")</t>
  </si>
  <si>
    <t>=NF($D638,"6 Document No.")</t>
  </si>
  <si>
    <t>=NF($D639,"6 Document No.")</t>
  </si>
  <si>
    <t>=NF($D640,"6 Document No.")</t>
  </si>
  <si>
    <t>=NF($D641,"6 Document No.")</t>
  </si>
  <si>
    <t>=NF($D642,"6 Document No.")</t>
  </si>
  <si>
    <t>=NF($D643,"6 Document No.")</t>
  </si>
  <si>
    <t>=NF($D644,"6 Document No.")</t>
  </si>
  <si>
    <t>=NF($D645,"6 Document No.")</t>
  </si>
  <si>
    <t>=NF($D646,"6 Document No.")</t>
  </si>
  <si>
    <t>=NF($D647,"6 Document No.")</t>
  </si>
  <si>
    <t>=NF($D648,"6 Document No.")</t>
  </si>
  <si>
    <t>=NF($D649,"6 Document No.")</t>
  </si>
  <si>
    <t>=NF($D650,"6 Document No.")</t>
  </si>
  <si>
    <t>=NF($D651,"6 Document No.")</t>
  </si>
  <si>
    <t>=NF($D652,"6 Document No.")</t>
  </si>
  <si>
    <t>=NF($D653,"6 Document No.")</t>
  </si>
  <si>
    <t>=NF($D654,"6 Document No.")</t>
  </si>
  <si>
    <t>=NF($D655,"6 Document No.")</t>
  </si>
  <si>
    <t>=NF($D656,"6 Document No.")</t>
  </si>
  <si>
    <t>=NF($D657,"6 Document No.")</t>
  </si>
  <si>
    <t>=NF($D658,"6 Document No.")</t>
  </si>
  <si>
    <t>=NF($D659,"6 Document No.")</t>
  </si>
  <si>
    <t>=NF($D660,"6 Document No.")</t>
  </si>
  <si>
    <t>=NF($D661,"6 Document No.")</t>
  </si>
  <si>
    <t>=NF($D662,"6 Document No.")</t>
  </si>
  <si>
    <t>=NF($D663,"6 Document No.")</t>
  </si>
  <si>
    <t>=NF($D664,"6 Document No.")</t>
  </si>
  <si>
    <t>=NF($D665,"6 Document No.")</t>
  </si>
  <si>
    <t>=NF($D666,"6 Document No.")</t>
  </si>
  <si>
    <t>=NF($D667,"6 Document No.")</t>
  </si>
  <si>
    <t>=NF($D668,"6 Document No.")</t>
  </si>
  <si>
    <t>=NF($D669,"6 Document No.")</t>
  </si>
  <si>
    <t>=NF($D670,"6 Document No.")</t>
  </si>
  <si>
    <t>=NF($D671,"6 Document No.")</t>
  </si>
  <si>
    <t>=NF($D672,"6 Document No.")</t>
  </si>
  <si>
    <t>=NF($D673,"6 Document No.")</t>
  </si>
  <si>
    <t>=NF($D674,"6 Document No.")</t>
  </si>
  <si>
    <t>=NF($D675,"6 Document No.")</t>
  </si>
  <si>
    <t>=NF($D676,"6 Document No.")</t>
  </si>
  <si>
    <t>=NF($D677,"6 Document No.")</t>
  </si>
  <si>
    <t>=NF($D678,"6 Document No.")</t>
  </si>
  <si>
    <t>=NF($D679,"6 Document No.")</t>
  </si>
  <si>
    <t>=NF($D680,"6 Document No.")</t>
  </si>
  <si>
    <t>=NF($D681,"6 Document No.")</t>
  </si>
  <si>
    <t>=NF($D682,"6 Document No.")</t>
  </si>
  <si>
    <t>=NF($D683,"6 Document No.")</t>
  </si>
  <si>
    <t>=NF($D684,"6 Document No.")</t>
  </si>
  <si>
    <t>=NF($D685,"6 Document No.")</t>
  </si>
  <si>
    <t>=NF($D686,"6 Document No.")</t>
  </si>
  <si>
    <t>=NF($D687,"6 Document No.")</t>
  </si>
  <si>
    <t>=NF($D688,"6 Document No.")</t>
  </si>
  <si>
    <t>=NF($D689,"6 Document No.")</t>
  </si>
  <si>
    <t>=NF($D690,"6 Document No.")</t>
  </si>
  <si>
    <t>=NF($D691,"6 Document No.")</t>
  </si>
  <si>
    <t>=NF($D692,"6 Document No.")</t>
  </si>
  <si>
    <t>=NF($D627,"37 Due Date")</t>
  </si>
  <si>
    <t>=NF($D628,"37 Due Date")</t>
  </si>
  <si>
    <t>=NF($D629,"37 Due Date")</t>
  </si>
  <si>
    <t>=NF($D630,"37 Due Date")</t>
  </si>
  <si>
    <t>=NF($D631,"37 Due Date")</t>
  </si>
  <si>
    <t>=NF($D632,"37 Due Date")</t>
  </si>
  <si>
    <t>=NF($D633,"37 Due Date")</t>
  </si>
  <si>
    <t>=NF($D634,"37 Due Date")</t>
  </si>
  <si>
    <t>=NF($D635,"37 Due Date")</t>
  </si>
  <si>
    <t>=NF($D636,"37 Due Date")</t>
  </si>
  <si>
    <t>=NF($D637,"37 Due Date")</t>
  </si>
  <si>
    <t>=NF($D638,"37 Due Date")</t>
  </si>
  <si>
    <t>=NF($D639,"37 Due Date")</t>
  </si>
  <si>
    <t>=NF($D640,"37 Due Date")</t>
  </si>
  <si>
    <t>=NF($D641,"37 Due Date")</t>
  </si>
  <si>
    <t>=NF($D642,"37 Due Date")</t>
  </si>
  <si>
    <t>=NF($D643,"37 Due Date")</t>
  </si>
  <si>
    <t>=NF($D644,"37 Due Date")</t>
  </si>
  <si>
    <t>=NF($D645,"37 Due Date")</t>
  </si>
  <si>
    <t>=NF($D646,"37 Due Date")</t>
  </si>
  <si>
    <t>=NF($D647,"37 Due Date")</t>
  </si>
  <si>
    <t>=NF($D648,"37 Due Date")</t>
  </si>
  <si>
    <t>=NF($D649,"37 Due Date")</t>
  </si>
  <si>
    <t>=NF($D650,"37 Due Date")</t>
  </si>
  <si>
    <t>=NF($D651,"37 Due Date")</t>
  </si>
  <si>
    <t>=NF($D652,"37 Due Date")</t>
  </si>
  <si>
    <t>=NF($D653,"37 Due Date")</t>
  </si>
  <si>
    <t>=NF($D654,"37 Due Date")</t>
  </si>
  <si>
    <t>=NF($D655,"37 Due Date")</t>
  </si>
  <si>
    <t>=NF($D656,"37 Due Date")</t>
  </si>
  <si>
    <t>=NF($D657,"37 Due Date")</t>
  </si>
  <si>
    <t>=NF($D658,"37 Due Date")</t>
  </si>
  <si>
    <t>=NF($D659,"37 Due Date")</t>
  </si>
  <si>
    <t>=NF($D660,"37 Due Date")</t>
  </si>
  <si>
    <t>=NF($D661,"37 Due Date")</t>
  </si>
  <si>
    <t>=NF($D662,"37 Due Date")</t>
  </si>
  <si>
    <t>=NF($D663,"37 Due Date")</t>
  </si>
  <si>
    <t>=NF($D664,"37 Due Date")</t>
  </si>
  <si>
    <t>=NF($D665,"37 Due Date")</t>
  </si>
  <si>
    <t>=NF($D666,"37 Due Date")</t>
  </si>
  <si>
    <t>=NF($D667,"37 Due Date")</t>
  </si>
  <si>
    <t>=NF($D668,"37 Due Date")</t>
  </si>
  <si>
    <t>=NF($D669,"37 Due Date")</t>
  </si>
  <si>
    <t>=NF($D670,"37 Due Date")</t>
  </si>
  <si>
    <t>=NF($D671,"37 Due Date")</t>
  </si>
  <si>
    <t>=NF($D672,"37 Due Date")</t>
  </si>
  <si>
    <t>=NF($D673,"37 Due Date")</t>
  </si>
  <si>
    <t>=NF($D674,"37 Due Date")</t>
  </si>
  <si>
    <t>=NF($D675,"37 Due Date")</t>
  </si>
  <si>
    <t>=NF($D676,"37 Due Date")</t>
  </si>
  <si>
    <t>=NF($D677,"37 Due Date")</t>
  </si>
  <si>
    <t>=NF($D678,"37 Due Date")</t>
  </si>
  <si>
    <t>=NF($D679,"37 Due Date")</t>
  </si>
  <si>
    <t>=NF($D680,"37 Due Date")</t>
  </si>
  <si>
    <t>=NF($D681,"37 Due Date")</t>
  </si>
  <si>
    <t>=NF($D682,"37 Due Date")</t>
  </si>
  <si>
    <t>=NF($D683,"37 Due Date")</t>
  </si>
  <si>
    <t>=NF($D684,"37 Due Date")</t>
  </si>
  <si>
    <t>=NF($D685,"37 Due Date")</t>
  </si>
  <si>
    <t>=NF($D686,"37 Due Date")</t>
  </si>
  <si>
    <t>=NF($D687,"37 Due Date")</t>
  </si>
  <si>
    <t>=NF($D688,"37 Due Date")</t>
  </si>
  <si>
    <t>=NF($D689,"37 Due Date")</t>
  </si>
  <si>
    <t>=NF($D690,"37 Due Date")</t>
  </si>
  <si>
    <t>=NF($D691,"37 Due Date")</t>
  </si>
  <si>
    <t>=NF($D692,"37 Due Date")</t>
  </si>
  <si>
    <t>=NF($D627,"16 Remaining Amt. (LCY)")</t>
  </si>
  <si>
    <t>=NF($D628,"16 Remaining Amt. (LCY)")</t>
  </si>
  <si>
    <t>=NF($D629,"16 Remaining Amt. (LCY)")</t>
  </si>
  <si>
    <t>=NF($D630,"16 Remaining Amt. (LCY)")</t>
  </si>
  <si>
    <t>=NF($D631,"16 Remaining Amt. (LCY)")</t>
  </si>
  <si>
    <t>=NF($D632,"16 Remaining Amt. (LCY)")</t>
  </si>
  <si>
    <t>=NF($D633,"16 Remaining Amt. (LCY)")</t>
  </si>
  <si>
    <t>=NF($D634,"16 Remaining Amt. (LCY)")</t>
  </si>
  <si>
    <t>=NF($D635,"16 Remaining Amt. (LCY)")</t>
  </si>
  <si>
    <t>=NF($D636,"16 Remaining Amt. (LCY)")</t>
  </si>
  <si>
    <t>=NF($D637,"16 Remaining Amt. (LCY)")</t>
  </si>
  <si>
    <t>=NF($D638,"16 Remaining Amt. (LCY)")</t>
  </si>
  <si>
    <t>=NF($D639,"16 Remaining Amt. (LCY)")</t>
  </si>
  <si>
    <t>=NF($D640,"16 Remaining Amt. (LCY)")</t>
  </si>
  <si>
    <t>=NF($D641,"16 Remaining Amt. (LCY)")</t>
  </si>
  <si>
    <t>=NF($D642,"16 Remaining Amt. (LCY)")</t>
  </si>
  <si>
    <t>=NF($D643,"16 Remaining Amt. (LCY)")</t>
  </si>
  <si>
    <t>=NF($D644,"16 Remaining Amt. (LCY)")</t>
  </si>
  <si>
    <t>=NF($D645,"16 Remaining Amt. (LCY)")</t>
  </si>
  <si>
    <t>=NF($D646,"16 Remaining Amt. (LCY)")</t>
  </si>
  <si>
    <t>=NF($D647,"16 Remaining Amt. (LCY)")</t>
  </si>
  <si>
    <t>=NF($D648,"16 Remaining Amt. (LCY)")</t>
  </si>
  <si>
    <t>=NF($D649,"16 Remaining Amt. (LCY)")</t>
  </si>
  <si>
    <t>=NF($D650,"16 Remaining Amt. (LCY)")</t>
  </si>
  <si>
    <t>=NF($D651,"16 Remaining Amt. (LCY)")</t>
  </si>
  <si>
    <t>=NF($D652,"16 Remaining Amt. (LCY)")</t>
  </si>
  <si>
    <t>=NF($D653,"16 Remaining Amt. (LCY)")</t>
  </si>
  <si>
    <t>=NF($D654,"16 Remaining Amt. (LCY)")</t>
  </si>
  <si>
    <t>=NF($D655,"16 Remaining Amt. (LCY)")</t>
  </si>
  <si>
    <t>=NF($D656,"16 Remaining Amt. (LCY)")</t>
  </si>
  <si>
    <t>=NF($D657,"16 Remaining Amt. (LCY)")</t>
  </si>
  <si>
    <t>=NF($D658,"16 Remaining Amt. (LCY)")</t>
  </si>
  <si>
    <t>=NF($D659,"16 Remaining Amt. (LCY)")</t>
  </si>
  <si>
    <t>=NF($D660,"16 Remaining Amt. (LCY)")</t>
  </si>
  <si>
    <t>=NF($D661,"16 Remaining Amt. (LCY)")</t>
  </si>
  <si>
    <t>=NF($D662,"16 Remaining Amt. (LCY)")</t>
  </si>
  <si>
    <t>=NF($D663,"16 Remaining Amt. (LCY)")</t>
  </si>
  <si>
    <t>=NF($D664,"16 Remaining Amt. (LCY)")</t>
  </si>
  <si>
    <t>=NF($D665,"16 Remaining Amt. (LCY)")</t>
  </si>
  <si>
    <t>=NF($D666,"16 Remaining Amt. (LCY)")</t>
  </si>
  <si>
    <t>=NF($D667,"16 Remaining Amt. (LCY)")</t>
  </si>
  <si>
    <t>=NF($D668,"16 Remaining Amt. (LCY)")</t>
  </si>
  <si>
    <t>=NF($D669,"16 Remaining Amt. (LCY)")</t>
  </si>
  <si>
    <t>=NF($D670,"16 Remaining Amt. (LCY)")</t>
  </si>
  <si>
    <t>=NF($D671,"16 Remaining Amt. (LCY)")</t>
  </si>
  <si>
    <t>=NF($D672,"16 Remaining Amt. (LCY)")</t>
  </si>
  <si>
    <t>=NF($D673,"16 Remaining Amt. (LCY)")</t>
  </si>
  <si>
    <t>=NF($D674,"16 Remaining Amt. (LCY)")</t>
  </si>
  <si>
    <t>=NF($D675,"16 Remaining Amt. (LCY)")</t>
  </si>
  <si>
    <t>=NF($D676,"16 Remaining Amt. (LCY)")</t>
  </si>
  <si>
    <t>=NF($D677,"16 Remaining Amt. (LCY)")</t>
  </si>
  <si>
    <t>=NF($D678,"16 Remaining Amt. (LCY)")</t>
  </si>
  <si>
    <t>=NF($D679,"16 Remaining Amt. (LCY)")</t>
  </si>
  <si>
    <t>=NF($D680,"16 Remaining Amt. (LCY)")</t>
  </si>
  <si>
    <t>=NF($D681,"16 Remaining Amt. (LCY)")</t>
  </si>
  <si>
    <t>=NF($D682,"16 Remaining Amt. (LCY)")</t>
  </si>
  <si>
    <t>=NF($D683,"16 Remaining Amt. (LCY)")</t>
  </si>
  <si>
    <t>=NF($D684,"16 Remaining Amt. (LCY)")</t>
  </si>
  <si>
    <t>=NF($D685,"16 Remaining Amt. (LCY)")</t>
  </si>
  <si>
    <t>=NF($D686,"16 Remaining Amt. (LCY)")</t>
  </si>
  <si>
    <t>=NF($D687,"16 Remaining Amt. (LCY)")</t>
  </si>
  <si>
    <t>=NF($D688,"16 Remaining Amt. (LCY)")</t>
  </si>
  <si>
    <t>=NF($D689,"16 Remaining Amt. (LCY)")</t>
  </si>
  <si>
    <t>=NF($D690,"16 Remaining Amt. (LCY)")</t>
  </si>
  <si>
    <t>=NF($D691,"16 Remaining Amt. (LCY)")</t>
  </si>
  <si>
    <t>=NF($D692,"16 Remaining Amt. (LCY)")</t>
  </si>
  <si>
    <t>=NF($D567,"5 Document Type")</t>
  </si>
  <si>
    <t>=NF($D568,"5 Document Type")</t>
  </si>
  <si>
    <t>=NF($D569,"5 Document Type")</t>
  </si>
  <si>
    <t>=NF($D570,"5 Document Type")</t>
  </si>
  <si>
    <t>=NF($D571,"5 Document Type")</t>
  </si>
  <si>
    <t>=NF($D572,"5 Document Type")</t>
  </si>
  <si>
    <t>=NF($D573,"5 Document Type")</t>
  </si>
  <si>
    <t>=NF($D574,"5 Document Type")</t>
  </si>
  <si>
    <t>=NF($D575,"5 Document Type")</t>
  </si>
  <si>
    <t>=NF($D576,"5 Document Type")</t>
  </si>
  <si>
    <t>=NF($D577,"5 Document Type")</t>
  </si>
  <si>
    <t>=NF($D578,"5 Document Type")</t>
  </si>
  <si>
    <t>=NF($D579,"5 Document Type")</t>
  </si>
  <si>
    <t>=NF($D580,"5 Document Type")</t>
  </si>
  <si>
    <t>=NF($D581,"5 Document Type")</t>
  </si>
  <si>
    <t>=NF($D582,"5 Document Type")</t>
  </si>
  <si>
    <t>=NF($D583,"5 Document Type")</t>
  </si>
  <si>
    <t>=NF($D584,"5 Document Type")</t>
  </si>
  <si>
    <t>=NF($D585,"5 Document Type")</t>
  </si>
  <si>
    <t>=NF($D586,"5 Document Type")</t>
  </si>
  <si>
    <t>=NF($D587,"5 Document Type")</t>
  </si>
  <si>
    <t>=NF($D588,"5 Document Type")</t>
  </si>
  <si>
    <t>=NF($D589,"5 Document Type")</t>
  </si>
  <si>
    <t>=NF($D590,"5 Document Type")</t>
  </si>
  <si>
    <t>=NF($D591,"5 Document Type")</t>
  </si>
  <si>
    <t>=NF($D592,"5 Document Type")</t>
  </si>
  <si>
    <t>=NF($D593,"5 Document Type")</t>
  </si>
  <si>
    <t>=NF($D594,"5 Document Type")</t>
  </si>
  <si>
    <t>=NF($D595,"5 Document Type")</t>
  </si>
  <si>
    <t>=NF($D596,"5 Document Type")</t>
  </si>
  <si>
    <t>=NF($D597,"5 Document Type")</t>
  </si>
  <si>
    <t>=NF($D598,"5 Document Type")</t>
  </si>
  <si>
    <t>=NF($D599,"5 Document Type")</t>
  </si>
  <si>
    <t>=NF($D600,"5 Document Type")</t>
  </si>
  <si>
    <t>=NF($D601,"5 Document Type")</t>
  </si>
  <si>
    <t>=NF($D602,"5 Document Type")</t>
  </si>
  <si>
    <t>=NF($D603,"5 Document Type")</t>
  </si>
  <si>
    <t>=NF($D604,"5 Document Type")</t>
  </si>
  <si>
    <t>=NF($D605,"5 Document Type")</t>
  </si>
  <si>
    <t>=NF($D606,"5 Document Type")</t>
  </si>
  <si>
    <t>=NF($D607,"5 Document Type")</t>
  </si>
  <si>
    <t>=NF($D608,"5 Document Type")</t>
  </si>
  <si>
    <t>=NF($D609,"5 Document Type")</t>
  </si>
  <si>
    <t>=NF($D610,"5 Document Type")</t>
  </si>
  <si>
    <t>=NF($D611,"5 Document Type")</t>
  </si>
  <si>
    <t>=NF($D612,"5 Document Type")</t>
  </si>
  <si>
    <t>=NF($D613,"5 Document Type")</t>
  </si>
  <si>
    <t>=NF($D614,"5 Document Type")</t>
  </si>
  <si>
    <t>=NF($D615,"5 Document Type")</t>
  </si>
  <si>
    <t>=NF($D616,"5 Document Type")</t>
  </si>
  <si>
    <t>=NF($D617,"5 Document Type")</t>
  </si>
  <si>
    <t>=NF($D618,"5 Document Type")</t>
  </si>
  <si>
    <t>=NF($D619,"5 Document Type")</t>
  </si>
  <si>
    <t>=NF($D620,"5 Document Type")</t>
  </si>
  <si>
    <t>=NF($D567,"6 Document No.")</t>
  </si>
  <si>
    <t>=NF($D568,"6 Document No.")</t>
  </si>
  <si>
    <t>=NF($D569,"6 Document No.")</t>
  </si>
  <si>
    <t>=NF($D570,"6 Document No.")</t>
  </si>
  <si>
    <t>=NF($D571,"6 Document No.")</t>
  </si>
  <si>
    <t>=NF($D572,"6 Document No.")</t>
  </si>
  <si>
    <t>=NF($D573,"6 Document No.")</t>
  </si>
  <si>
    <t>=NF($D574,"6 Document No.")</t>
  </si>
  <si>
    <t>=NF($D575,"6 Document No.")</t>
  </si>
  <si>
    <t>=NF($D576,"6 Document No.")</t>
  </si>
  <si>
    <t>=NF($D577,"6 Document No.")</t>
  </si>
  <si>
    <t>=NF($D578,"6 Document No.")</t>
  </si>
  <si>
    <t>=NF($D579,"6 Document No.")</t>
  </si>
  <si>
    <t>=NF($D580,"6 Document No.")</t>
  </si>
  <si>
    <t>=NF($D581,"6 Document No.")</t>
  </si>
  <si>
    <t>=NF($D582,"6 Document No.")</t>
  </si>
  <si>
    <t>=NF($D583,"6 Document No.")</t>
  </si>
  <si>
    <t>=NF($D584,"6 Document No.")</t>
  </si>
  <si>
    <t>=NF($D585,"6 Document No.")</t>
  </si>
  <si>
    <t>=NF($D586,"6 Document No.")</t>
  </si>
  <si>
    <t>=NF($D587,"6 Document No.")</t>
  </si>
  <si>
    <t>=NF($D588,"6 Document No.")</t>
  </si>
  <si>
    <t>=NF($D589,"6 Document No.")</t>
  </si>
  <si>
    <t>=NF($D590,"6 Document No.")</t>
  </si>
  <si>
    <t>=NF($D591,"6 Document No.")</t>
  </si>
  <si>
    <t>=NF($D592,"6 Document No.")</t>
  </si>
  <si>
    <t>=NF($D593,"6 Document No.")</t>
  </si>
  <si>
    <t>=NF($D594,"6 Document No.")</t>
  </si>
  <si>
    <t>=NF($D595,"6 Document No.")</t>
  </si>
  <si>
    <t>=NF($D596,"6 Document No.")</t>
  </si>
  <si>
    <t>=NF($D597,"6 Document No.")</t>
  </si>
  <si>
    <t>=NF($D598,"6 Document No.")</t>
  </si>
  <si>
    <t>=NF($D599,"6 Document No.")</t>
  </si>
  <si>
    <t>=NF($D600,"6 Document No.")</t>
  </si>
  <si>
    <t>=NF($D601,"6 Document No.")</t>
  </si>
  <si>
    <t>=NF($D602,"6 Document No.")</t>
  </si>
  <si>
    <t>=NF($D603,"6 Document No.")</t>
  </si>
  <si>
    <t>=NF($D604,"6 Document No.")</t>
  </si>
  <si>
    <t>=NF($D605,"6 Document No.")</t>
  </si>
  <si>
    <t>=NF($D606,"6 Document No.")</t>
  </si>
  <si>
    <t>=NF($D607,"6 Document No.")</t>
  </si>
  <si>
    <t>=NF($D608,"6 Document No.")</t>
  </si>
  <si>
    <t>=NF($D609,"6 Document No.")</t>
  </si>
  <si>
    <t>=NF($D610,"6 Document No.")</t>
  </si>
  <si>
    <t>=NF($D611,"6 Document No.")</t>
  </si>
  <si>
    <t>=NF($D612,"6 Document No.")</t>
  </si>
  <si>
    <t>=NF($D613,"6 Document No.")</t>
  </si>
  <si>
    <t>=NF($D614,"6 Document No.")</t>
  </si>
  <si>
    <t>=NF($D615,"6 Document No.")</t>
  </si>
  <si>
    <t>=NF($D616,"6 Document No.")</t>
  </si>
  <si>
    <t>=NF($D617,"6 Document No.")</t>
  </si>
  <si>
    <t>=NF($D618,"6 Document No.")</t>
  </si>
  <si>
    <t>=NF($D619,"6 Document No.")</t>
  </si>
  <si>
    <t>=NF($D620,"6 Document No.")</t>
  </si>
  <si>
    <t>=NF($D567,"37 Due Date")</t>
  </si>
  <si>
    <t>=NF($D568,"37 Due Date")</t>
  </si>
  <si>
    <t>=NF($D569,"37 Due Date")</t>
  </si>
  <si>
    <t>=NF($D570,"37 Due Date")</t>
  </si>
  <si>
    <t>=NF($D571,"37 Due Date")</t>
  </si>
  <si>
    <t>=NF($D572,"37 Due Date")</t>
  </si>
  <si>
    <t>=NF($D573,"37 Due Date")</t>
  </si>
  <si>
    <t>=NF($D574,"37 Due Date")</t>
  </si>
  <si>
    <t>=NF($D575,"37 Due Date")</t>
  </si>
  <si>
    <t>=NF($D576,"37 Due Date")</t>
  </si>
  <si>
    <t>=NF($D577,"37 Due Date")</t>
  </si>
  <si>
    <t>=NF($D578,"37 Due Date")</t>
  </si>
  <si>
    <t>=NF($D579,"37 Due Date")</t>
  </si>
  <si>
    <t>=NF($D580,"37 Due Date")</t>
  </si>
  <si>
    <t>=NF($D581,"37 Due Date")</t>
  </si>
  <si>
    <t>=NF($D582,"37 Due Date")</t>
  </si>
  <si>
    <t>=NF($D583,"37 Due Date")</t>
  </si>
  <si>
    <t>=NF($D584,"37 Due Date")</t>
  </si>
  <si>
    <t>=NF($D585,"37 Due Date")</t>
  </si>
  <si>
    <t>=NF($D586,"37 Due Date")</t>
  </si>
  <si>
    <t>=NF($D587,"37 Due Date")</t>
  </si>
  <si>
    <t>=NF($D588,"37 Due Date")</t>
  </si>
  <si>
    <t>=NF($D589,"37 Due Date")</t>
  </si>
  <si>
    <t>=NF($D590,"37 Due Date")</t>
  </si>
  <si>
    <t>=NF($D591,"37 Due Date")</t>
  </si>
  <si>
    <t>=NF($D592,"37 Due Date")</t>
  </si>
  <si>
    <t>=NF($D593,"37 Due Date")</t>
  </si>
  <si>
    <t>=NF($D594,"37 Due Date")</t>
  </si>
  <si>
    <t>=NF($D595,"37 Due Date")</t>
  </si>
  <si>
    <t>=NF($D596,"37 Due Date")</t>
  </si>
  <si>
    <t>=NF($D597,"37 Due Date")</t>
  </si>
  <si>
    <t>=NF($D598,"37 Due Date")</t>
  </si>
  <si>
    <t>=NF($D599,"37 Due Date")</t>
  </si>
  <si>
    <t>=NF($D600,"37 Due Date")</t>
  </si>
  <si>
    <t>=NF($D601,"37 Due Date")</t>
  </si>
  <si>
    <t>=NF($D602,"37 Due Date")</t>
  </si>
  <si>
    <t>=NF($D603,"37 Due Date")</t>
  </si>
  <si>
    <t>=NF($D604,"37 Due Date")</t>
  </si>
  <si>
    <t>=NF($D605,"37 Due Date")</t>
  </si>
  <si>
    <t>=NF($D606,"37 Due Date")</t>
  </si>
  <si>
    <t>=NF($D607,"37 Due Date")</t>
  </si>
  <si>
    <t>=NF($D608,"37 Due Date")</t>
  </si>
  <si>
    <t>=NF($D609,"37 Due Date")</t>
  </si>
  <si>
    <t>=NF($D610,"37 Due Date")</t>
  </si>
  <si>
    <t>=NF($D611,"37 Due Date")</t>
  </si>
  <si>
    <t>=NF($D612,"37 Due Date")</t>
  </si>
  <si>
    <t>=NF($D613,"37 Due Date")</t>
  </si>
  <si>
    <t>=NF($D614,"37 Due Date")</t>
  </si>
  <si>
    <t>=NF($D615,"37 Due Date")</t>
  </si>
  <si>
    <t>=NF($D616,"37 Due Date")</t>
  </si>
  <si>
    <t>=NF($D617,"37 Due Date")</t>
  </si>
  <si>
    <t>=NF($D618,"37 Due Date")</t>
  </si>
  <si>
    <t>=NF($D619,"37 Due Date")</t>
  </si>
  <si>
    <t>=NF($D620,"37 Due Date")</t>
  </si>
  <si>
    <t>=NF($D567,"16 Remaining Amt. (LCY)")</t>
  </si>
  <si>
    <t>=NF($D568,"16 Remaining Amt. (LCY)")</t>
  </si>
  <si>
    <t>=NF($D569,"16 Remaining Amt. (LCY)")</t>
  </si>
  <si>
    <t>=NF($D570,"16 Remaining Amt. (LCY)")</t>
  </si>
  <si>
    <t>=NF($D571,"16 Remaining Amt. (LCY)")</t>
  </si>
  <si>
    <t>=NF($D572,"16 Remaining Amt. (LCY)")</t>
  </si>
  <si>
    <t>=NF($D573,"16 Remaining Amt. (LCY)")</t>
  </si>
  <si>
    <t>=NF($D574,"16 Remaining Amt. (LCY)")</t>
  </si>
  <si>
    <t>=NF($D575,"16 Remaining Amt. (LCY)")</t>
  </si>
  <si>
    <t>=NF($D576,"16 Remaining Amt. (LCY)")</t>
  </si>
  <si>
    <t>=NF($D577,"16 Remaining Amt. (LCY)")</t>
  </si>
  <si>
    <t>=NF($D578,"16 Remaining Amt. (LCY)")</t>
  </si>
  <si>
    <t>=NF($D579,"16 Remaining Amt. (LCY)")</t>
  </si>
  <si>
    <t>=NF($D580,"16 Remaining Amt. (LCY)")</t>
  </si>
  <si>
    <t>=NF($D581,"16 Remaining Amt. (LCY)")</t>
  </si>
  <si>
    <t>=NF($D582,"16 Remaining Amt. (LCY)")</t>
  </si>
  <si>
    <t>=NF($D583,"16 Remaining Amt. (LCY)")</t>
  </si>
  <si>
    <t>=NF($D584,"16 Remaining Amt. (LCY)")</t>
  </si>
  <si>
    <t>=NF($D585,"16 Remaining Amt. (LCY)")</t>
  </si>
  <si>
    <t>=NF($D586,"16 Remaining Amt. (LCY)")</t>
  </si>
  <si>
    <t>=NF($D587,"16 Remaining Amt. (LCY)")</t>
  </si>
  <si>
    <t>=NF($D588,"16 Remaining Amt. (LCY)")</t>
  </si>
  <si>
    <t>=NF($D589,"16 Remaining Amt. (LCY)")</t>
  </si>
  <si>
    <t>=NF($D590,"16 Remaining Amt. (LCY)")</t>
  </si>
  <si>
    <t>=NF($D591,"16 Remaining Amt. (LCY)")</t>
  </si>
  <si>
    <t>=NF($D592,"16 Remaining Amt. (LCY)")</t>
  </si>
  <si>
    <t>=NF($D593,"16 Remaining Amt. (LCY)")</t>
  </si>
  <si>
    <t>=NF($D594,"16 Remaining Amt. (LCY)")</t>
  </si>
  <si>
    <t>=NF($D595,"16 Remaining Amt. (LCY)")</t>
  </si>
  <si>
    <t>=NF($D596,"16 Remaining Amt. (LCY)")</t>
  </si>
  <si>
    <t>=NF($D597,"16 Remaining Amt. (LCY)")</t>
  </si>
  <si>
    <t>=NF($D598,"16 Remaining Amt. (LCY)")</t>
  </si>
  <si>
    <t>=NF($D599,"16 Remaining Amt. (LCY)")</t>
  </si>
  <si>
    <t>=NF($D600,"16 Remaining Amt. (LCY)")</t>
  </si>
  <si>
    <t>=NF($D601,"16 Remaining Amt. (LCY)")</t>
  </si>
  <si>
    <t>=NF($D602,"16 Remaining Amt. (LCY)")</t>
  </si>
  <si>
    <t>=NF($D603,"16 Remaining Amt. (LCY)")</t>
  </si>
  <si>
    <t>=NF($D604,"16 Remaining Amt. (LCY)")</t>
  </si>
  <si>
    <t>=NF($D605,"16 Remaining Amt. (LCY)")</t>
  </si>
  <si>
    <t>=NF($D606,"16 Remaining Amt. (LCY)")</t>
  </si>
  <si>
    <t>=NF($D607,"16 Remaining Amt. (LCY)")</t>
  </si>
  <si>
    <t>=NF($D608,"16 Remaining Amt. (LCY)")</t>
  </si>
  <si>
    <t>=NF($D609,"16 Remaining Amt. (LCY)")</t>
  </si>
  <si>
    <t>=NF($D610,"16 Remaining Amt. (LCY)")</t>
  </si>
  <si>
    <t>=NF($D611,"16 Remaining Amt. (LCY)")</t>
  </si>
  <si>
    <t>=NF($D612,"16 Remaining Amt. (LCY)")</t>
  </si>
  <si>
    <t>=NF($D613,"16 Remaining Amt. (LCY)")</t>
  </si>
  <si>
    <t>=NF($D614,"16 Remaining Amt. (LCY)")</t>
  </si>
  <si>
    <t>=NF($D615,"16 Remaining Amt. (LCY)")</t>
  </si>
  <si>
    <t>=NF($D616,"16 Remaining Amt. (LCY)")</t>
  </si>
  <si>
    <t>=NF($D617,"16 Remaining Amt. (LCY)")</t>
  </si>
  <si>
    <t>=NF($D618,"16 Remaining Amt. (LCY)")</t>
  </si>
  <si>
    <t>=NF($D619,"16 Remaining Amt. (LCY)")</t>
  </si>
  <si>
    <t>=NF($D620,"16 Remaining Amt. (LCY)")</t>
  </si>
  <si>
    <t>=NF($D518,"5 Document Type")</t>
  </si>
  <si>
    <t>=NF($D519,"5 Document Type")</t>
  </si>
  <si>
    <t>=NF($D520,"5 Document Type")</t>
  </si>
  <si>
    <t>=NF($D521,"5 Document Type")</t>
  </si>
  <si>
    <t>=NF($D522,"5 Document Type")</t>
  </si>
  <si>
    <t>=NF($D523,"5 Document Type")</t>
  </si>
  <si>
    <t>=NF($D524,"5 Document Type")</t>
  </si>
  <si>
    <t>=NF($D525,"5 Document Type")</t>
  </si>
  <si>
    <t>=NF($D526,"5 Document Type")</t>
  </si>
  <si>
    <t>=NF($D527,"5 Document Type")</t>
  </si>
  <si>
    <t>=NF($D528,"5 Document Type")</t>
  </si>
  <si>
    <t>=NF($D529,"5 Document Type")</t>
  </si>
  <si>
    <t>=NF($D530,"5 Document Type")</t>
  </si>
  <si>
    <t>=NF($D531,"5 Document Type")</t>
  </si>
  <si>
    <t>=NF($D532,"5 Document Type")</t>
  </si>
  <si>
    <t>=NF($D533,"5 Document Type")</t>
  </si>
  <si>
    <t>=NF($D534,"5 Document Type")</t>
  </si>
  <si>
    <t>=NF($D535,"5 Document Type")</t>
  </si>
  <si>
    <t>=NF($D536,"5 Document Type")</t>
  </si>
  <si>
    <t>=NF($D537,"5 Document Type")</t>
  </si>
  <si>
    <t>=NF($D538,"5 Document Type")</t>
  </si>
  <si>
    <t>=NF($D539,"5 Document Type")</t>
  </si>
  <si>
    <t>=NF($D540,"5 Document Type")</t>
  </si>
  <si>
    <t>=NF($D541,"5 Document Type")</t>
  </si>
  <si>
    <t>=NF($D542,"5 Document Type")</t>
  </si>
  <si>
    <t>=NF($D543,"5 Document Type")</t>
  </si>
  <si>
    <t>=NF($D544,"5 Document Type")</t>
  </si>
  <si>
    <t>=NF($D545,"5 Document Type")</t>
  </si>
  <si>
    <t>=NF($D546,"5 Document Type")</t>
  </si>
  <si>
    <t>=NF($D547,"5 Document Type")</t>
  </si>
  <si>
    <t>=NF($D548,"5 Document Type")</t>
  </si>
  <si>
    <t>=NF($D549,"5 Document Type")</t>
  </si>
  <si>
    <t>=NF($D550,"5 Document Type")</t>
  </si>
  <si>
    <t>=NF($D551,"5 Document Type")</t>
  </si>
  <si>
    <t>=NF($D552,"5 Document Type")</t>
  </si>
  <si>
    <t>=NF($D553,"5 Document Type")</t>
  </si>
  <si>
    <t>=NF($D554,"5 Document Type")</t>
  </si>
  <si>
    <t>=NF($D555,"5 Document Type")</t>
  </si>
  <si>
    <t>=NF($D556,"5 Document Type")</t>
  </si>
  <si>
    <t>=NF($D557,"5 Document Type")</t>
  </si>
  <si>
    <t>=NF($D558,"5 Document Type")</t>
  </si>
  <si>
    <t>=NF($D559,"5 Document Type")</t>
  </si>
  <si>
    <t>=NF($D560,"5 Document Type")</t>
  </si>
  <si>
    <t>=NF($D518,"6 Document No.")</t>
  </si>
  <si>
    <t>=NF($D519,"6 Document No.")</t>
  </si>
  <si>
    <t>=NF($D520,"6 Document No.")</t>
  </si>
  <si>
    <t>=NF($D521,"6 Document No.")</t>
  </si>
  <si>
    <t>=NF($D522,"6 Document No.")</t>
  </si>
  <si>
    <t>=NF($D523,"6 Document No.")</t>
  </si>
  <si>
    <t>=NF($D524,"6 Document No.")</t>
  </si>
  <si>
    <t>=NF($D525,"6 Document No.")</t>
  </si>
  <si>
    <t>=NF($D526,"6 Document No.")</t>
  </si>
  <si>
    <t>=NF($D527,"6 Document No.")</t>
  </si>
  <si>
    <t>=NF($D528,"6 Document No.")</t>
  </si>
  <si>
    <t>=NF($D529,"6 Document No.")</t>
  </si>
  <si>
    <t>=NF($D530,"6 Document No.")</t>
  </si>
  <si>
    <t>=NF($D531,"6 Document No.")</t>
  </si>
  <si>
    <t>=NF($D532,"6 Document No.")</t>
  </si>
  <si>
    <t>=NF($D533,"6 Document No.")</t>
  </si>
  <si>
    <t>=NF($D534,"6 Document No.")</t>
  </si>
  <si>
    <t>=NF($D535,"6 Document No.")</t>
  </si>
  <si>
    <t>=NF($D536,"6 Document No.")</t>
  </si>
  <si>
    <t>=NF($D537,"6 Document No.")</t>
  </si>
  <si>
    <t>=NF($D538,"6 Document No.")</t>
  </si>
  <si>
    <t>=NF($D539,"6 Document No.")</t>
  </si>
  <si>
    <t>=NF($D540,"6 Document No.")</t>
  </si>
  <si>
    <t>=NF($D541,"6 Document No.")</t>
  </si>
  <si>
    <t>=NF($D542,"6 Document No.")</t>
  </si>
  <si>
    <t>=NF($D543,"6 Document No.")</t>
  </si>
  <si>
    <t>=NF($D544,"6 Document No.")</t>
  </si>
  <si>
    <t>=NF($D545,"6 Document No.")</t>
  </si>
  <si>
    <t>=NF($D546,"6 Document No.")</t>
  </si>
  <si>
    <t>=NF($D547,"6 Document No.")</t>
  </si>
  <si>
    <t>=NF($D548,"6 Document No.")</t>
  </si>
  <si>
    <t>=NF($D549,"6 Document No.")</t>
  </si>
  <si>
    <t>=NF($D550,"6 Document No.")</t>
  </si>
  <si>
    <t>=NF($D551,"6 Document No.")</t>
  </si>
  <si>
    <t>=NF($D552,"6 Document No.")</t>
  </si>
  <si>
    <t>=NF($D553,"6 Document No.")</t>
  </si>
  <si>
    <t>=NF($D554,"6 Document No.")</t>
  </si>
  <si>
    <t>=NF($D555,"6 Document No.")</t>
  </si>
  <si>
    <t>=NF($D556,"6 Document No.")</t>
  </si>
  <si>
    <t>=NF($D557,"6 Document No.")</t>
  </si>
  <si>
    <t>=NF($D558,"6 Document No.")</t>
  </si>
  <si>
    <t>=NF($D559,"6 Document No.")</t>
  </si>
  <si>
    <t>=NF($D560,"6 Document No.")</t>
  </si>
  <si>
    <t>=NF($D518,"37 Due Date")</t>
  </si>
  <si>
    <t>=NF($D519,"37 Due Date")</t>
  </si>
  <si>
    <t>=NF($D520,"37 Due Date")</t>
  </si>
  <si>
    <t>=NF($D521,"37 Due Date")</t>
  </si>
  <si>
    <t>=NF($D522,"37 Due Date")</t>
  </si>
  <si>
    <t>=NF($D523,"37 Due Date")</t>
  </si>
  <si>
    <t>=NF($D524,"37 Due Date")</t>
  </si>
  <si>
    <t>=NF($D525,"37 Due Date")</t>
  </si>
  <si>
    <t>=NF($D526,"37 Due Date")</t>
  </si>
  <si>
    <t>=NF($D527,"37 Due Date")</t>
  </si>
  <si>
    <t>=NF($D528,"37 Due Date")</t>
  </si>
  <si>
    <t>=NF($D529,"37 Due Date")</t>
  </si>
  <si>
    <t>=NF($D530,"37 Due Date")</t>
  </si>
  <si>
    <t>=NF($D531,"37 Due Date")</t>
  </si>
  <si>
    <t>=NF($D532,"37 Due Date")</t>
  </si>
  <si>
    <t>=NF($D533,"37 Due Date")</t>
  </si>
  <si>
    <t>=NF($D534,"37 Due Date")</t>
  </si>
  <si>
    <t>=NF($D535,"37 Due Date")</t>
  </si>
  <si>
    <t>=NF($D536,"37 Due Date")</t>
  </si>
  <si>
    <t>=NF($D537,"37 Due Date")</t>
  </si>
  <si>
    <t>=NF($D538,"37 Due Date")</t>
  </si>
  <si>
    <t>=NF($D539,"37 Due Date")</t>
  </si>
  <si>
    <t>=NF($D540,"37 Due Date")</t>
  </si>
  <si>
    <t>=NF($D541,"37 Due Date")</t>
  </si>
  <si>
    <t>=NF($D542,"37 Due Date")</t>
  </si>
  <si>
    <t>=NF($D543,"37 Due Date")</t>
  </si>
  <si>
    <t>=NF($D544,"37 Due Date")</t>
  </si>
  <si>
    <t>=NF($D545,"37 Due Date")</t>
  </si>
  <si>
    <t>=NF($D546,"37 Due Date")</t>
  </si>
  <si>
    <t>=NF($D547,"37 Due Date")</t>
  </si>
  <si>
    <t>=NF($D548,"37 Due Date")</t>
  </si>
  <si>
    <t>=NF($D549,"37 Due Date")</t>
  </si>
  <si>
    <t>=NF($D550,"37 Due Date")</t>
  </si>
  <si>
    <t>=NF($D551,"37 Due Date")</t>
  </si>
  <si>
    <t>=NF($D552,"37 Due Date")</t>
  </si>
  <si>
    <t>=NF($D553,"37 Due Date")</t>
  </si>
  <si>
    <t>=NF($D554,"37 Due Date")</t>
  </si>
  <si>
    <t>=NF($D555,"37 Due Date")</t>
  </si>
  <si>
    <t>=NF($D556,"37 Due Date")</t>
  </si>
  <si>
    <t>=NF($D557,"37 Due Date")</t>
  </si>
  <si>
    <t>=NF($D558,"37 Due Date")</t>
  </si>
  <si>
    <t>=NF($D559,"37 Due Date")</t>
  </si>
  <si>
    <t>=NF($D560,"37 Due Date")</t>
  </si>
  <si>
    <t>=NF($D518,"16 Remaining Amt. (LCY)")</t>
  </si>
  <si>
    <t>=NF($D519,"16 Remaining Amt. (LCY)")</t>
  </si>
  <si>
    <t>=NF($D520,"16 Remaining Amt. (LCY)")</t>
  </si>
  <si>
    <t>=NF($D521,"16 Remaining Amt. (LCY)")</t>
  </si>
  <si>
    <t>=NF($D522,"16 Remaining Amt. (LCY)")</t>
  </si>
  <si>
    <t>=NF($D523,"16 Remaining Amt. (LCY)")</t>
  </si>
  <si>
    <t>=NF($D524,"16 Remaining Amt. (LCY)")</t>
  </si>
  <si>
    <t>=NF($D525,"16 Remaining Amt. (LCY)")</t>
  </si>
  <si>
    <t>=NF($D526,"16 Remaining Amt. (LCY)")</t>
  </si>
  <si>
    <t>=NF($D527,"16 Remaining Amt. (LCY)")</t>
  </si>
  <si>
    <t>=NF($D528,"16 Remaining Amt. (LCY)")</t>
  </si>
  <si>
    <t>=NF($D529,"16 Remaining Amt. (LCY)")</t>
  </si>
  <si>
    <t>=NF($D530,"16 Remaining Amt. (LCY)")</t>
  </si>
  <si>
    <t>=NF($D531,"16 Remaining Amt. (LCY)")</t>
  </si>
  <si>
    <t>=NF($D532,"16 Remaining Amt. (LCY)")</t>
  </si>
  <si>
    <t>=NF($D533,"16 Remaining Amt. (LCY)")</t>
  </si>
  <si>
    <t>=NF($D534,"16 Remaining Amt. (LCY)")</t>
  </si>
  <si>
    <t>=NF($D535,"16 Remaining Amt. (LCY)")</t>
  </si>
  <si>
    <t>=NF($D536,"16 Remaining Amt. (LCY)")</t>
  </si>
  <si>
    <t>=NF($D537,"16 Remaining Amt. (LCY)")</t>
  </si>
  <si>
    <t>=NF($D538,"16 Remaining Amt. (LCY)")</t>
  </si>
  <si>
    <t>=NF($D539,"16 Remaining Amt. (LCY)")</t>
  </si>
  <si>
    <t>=NF($D540,"16 Remaining Amt. (LCY)")</t>
  </si>
  <si>
    <t>=NF($D541,"16 Remaining Amt. (LCY)")</t>
  </si>
  <si>
    <t>=NF($D542,"16 Remaining Amt. (LCY)")</t>
  </si>
  <si>
    <t>=NF($D543,"16 Remaining Amt. (LCY)")</t>
  </si>
  <si>
    <t>=NF($D544,"16 Remaining Amt. (LCY)")</t>
  </si>
  <si>
    <t>=NF($D545,"16 Remaining Amt. (LCY)")</t>
  </si>
  <si>
    <t>=NF($D546,"16 Remaining Amt. (LCY)")</t>
  </si>
  <si>
    <t>=NF($D547,"16 Remaining Amt. (LCY)")</t>
  </si>
  <si>
    <t>=NF($D548,"16 Remaining Amt. (LCY)")</t>
  </si>
  <si>
    <t>=NF($D549,"16 Remaining Amt. (LCY)")</t>
  </si>
  <si>
    <t>=NF($D550,"16 Remaining Amt. (LCY)")</t>
  </si>
  <si>
    <t>=NF($D551,"16 Remaining Amt. (LCY)")</t>
  </si>
  <si>
    <t>=NF($D552,"16 Remaining Amt. (LCY)")</t>
  </si>
  <si>
    <t>=NF($D553,"16 Remaining Amt. (LCY)")</t>
  </si>
  <si>
    <t>=NF($D554,"16 Remaining Amt. (LCY)")</t>
  </si>
  <si>
    <t>=NF($D555,"16 Remaining Amt. (LCY)")</t>
  </si>
  <si>
    <t>=NF($D556,"16 Remaining Amt. (LCY)")</t>
  </si>
  <si>
    <t>=NF($D557,"16 Remaining Amt. (LCY)")</t>
  </si>
  <si>
    <t>=NF($D558,"16 Remaining Amt. (LCY)")</t>
  </si>
  <si>
    <t>=NF($D559,"16 Remaining Amt. (LCY)")</t>
  </si>
  <si>
    <t>=NF($D560,"16 Remaining Amt. (LCY)")</t>
  </si>
  <si>
    <t>=NF($D449,"5 Document Type")</t>
  </si>
  <si>
    <t>=NF($D450,"5 Document Type")</t>
  </si>
  <si>
    <t>=NF($D451,"5 Document Type")</t>
  </si>
  <si>
    <t>=NF($D452,"5 Document Type")</t>
  </si>
  <si>
    <t>=NF($D453,"5 Document Type")</t>
  </si>
  <si>
    <t>=NF($D454,"5 Document Type")</t>
  </si>
  <si>
    <t>=NF($D455,"5 Document Type")</t>
  </si>
  <si>
    <t>=NF($D456,"5 Document Type")</t>
  </si>
  <si>
    <t>=NF($D457,"5 Document Type")</t>
  </si>
  <si>
    <t>=NF($D458,"5 Document Type")</t>
  </si>
  <si>
    <t>=NF($D459,"5 Document Type")</t>
  </si>
  <si>
    <t>=NF($D460,"5 Document Type")</t>
  </si>
  <si>
    <t>=NF($D461,"5 Document Type")</t>
  </si>
  <si>
    <t>=NF($D462,"5 Document Type")</t>
  </si>
  <si>
    <t>=NF($D463,"5 Document Type")</t>
  </si>
  <si>
    <t>=NF($D464,"5 Document Type")</t>
  </si>
  <si>
    <t>=NF($D465,"5 Document Type")</t>
  </si>
  <si>
    <t>=NF($D466,"5 Document Type")</t>
  </si>
  <si>
    <t>=NF($D467,"5 Document Type")</t>
  </si>
  <si>
    <t>=NF($D468,"5 Document Type")</t>
  </si>
  <si>
    <t>=NF($D469,"5 Document Type")</t>
  </si>
  <si>
    <t>=NF($D470,"5 Document Type")</t>
  </si>
  <si>
    <t>=NF($D471,"5 Document Type")</t>
  </si>
  <si>
    <t>=NF($D472,"5 Document Type")</t>
  </si>
  <si>
    <t>=NF($D473,"5 Document Type")</t>
  </si>
  <si>
    <t>=NF($D474,"5 Document Type")</t>
  </si>
  <si>
    <t>=NF($D475,"5 Document Type")</t>
  </si>
  <si>
    <t>=NF($D476,"5 Document Type")</t>
  </si>
  <si>
    <t>=NF($D477,"5 Document Type")</t>
  </si>
  <si>
    <t>=NF($D478,"5 Document Type")</t>
  </si>
  <si>
    <t>=NF($D479,"5 Document Type")</t>
  </si>
  <si>
    <t>=NF($D480,"5 Document Type")</t>
  </si>
  <si>
    <t>=NF($D481,"5 Document Type")</t>
  </si>
  <si>
    <t>=NF($D482,"5 Document Type")</t>
  </si>
  <si>
    <t>=NF($D483,"5 Document Type")</t>
  </si>
  <si>
    <t>=NF($D484,"5 Document Type")</t>
  </si>
  <si>
    <t>=NF($D485,"5 Document Type")</t>
  </si>
  <si>
    <t>=NF($D486,"5 Document Type")</t>
  </si>
  <si>
    <t>=NF($D487,"5 Document Type")</t>
  </si>
  <si>
    <t>=NF($D488,"5 Document Type")</t>
  </si>
  <si>
    <t>=NF($D489,"5 Document Type")</t>
  </si>
  <si>
    <t>=NF($D490,"5 Document Type")</t>
  </si>
  <si>
    <t>=NF($D491,"5 Document Type")</t>
  </si>
  <si>
    <t>=NF($D492,"5 Document Type")</t>
  </si>
  <si>
    <t>=NF($D493,"5 Document Type")</t>
  </si>
  <si>
    <t>=NF($D494,"5 Document Type")</t>
  </si>
  <si>
    <t>=NF($D495,"5 Document Type")</t>
  </si>
  <si>
    <t>=NF($D496,"5 Document Type")</t>
  </si>
  <si>
    <t>=NF($D497,"5 Document Type")</t>
  </si>
  <si>
    <t>=NF($D498,"5 Document Type")</t>
  </si>
  <si>
    <t>=NF($D499,"5 Document Type")</t>
  </si>
  <si>
    <t>=NF($D500,"5 Document Type")</t>
  </si>
  <si>
    <t>=NF($D501,"5 Document Type")</t>
  </si>
  <si>
    <t>=NF($D502,"5 Document Type")</t>
  </si>
  <si>
    <t>=NF($D503,"5 Document Type")</t>
  </si>
  <si>
    <t>=NF($D504,"5 Document Type")</t>
  </si>
  <si>
    <t>=NF($D505,"5 Document Type")</t>
  </si>
  <si>
    <t>=NF($D506,"5 Document Type")</t>
  </si>
  <si>
    <t>=NF($D507,"5 Document Type")</t>
  </si>
  <si>
    <t>=NF($D508,"5 Document Type")</t>
  </si>
  <si>
    <t>=NF($D509,"5 Document Type")</t>
  </si>
  <si>
    <t>=NF($D510,"5 Document Type")</t>
  </si>
  <si>
    <t>=NF($D511,"5 Document Type")</t>
  </si>
  <si>
    <t>=NF($D449,"6 Document No.")</t>
  </si>
  <si>
    <t>=NF($D450,"6 Document No.")</t>
  </si>
  <si>
    <t>=NF($D451,"6 Document No.")</t>
  </si>
  <si>
    <t>=NF($D452,"6 Document No.")</t>
  </si>
  <si>
    <t>=NF($D453,"6 Document No.")</t>
  </si>
  <si>
    <t>=NF($D454,"6 Document No.")</t>
  </si>
  <si>
    <t>=NF($D455,"6 Document No.")</t>
  </si>
  <si>
    <t>=NF($D456,"6 Document No.")</t>
  </si>
  <si>
    <t>=NF($D457,"6 Document No.")</t>
  </si>
  <si>
    <t>=NF($D458,"6 Document No.")</t>
  </si>
  <si>
    <t>=NF($D459,"6 Document No.")</t>
  </si>
  <si>
    <t>=NF($D460,"6 Document No.")</t>
  </si>
  <si>
    <t>=NF($D461,"6 Document No.")</t>
  </si>
  <si>
    <t>=NF($D462,"6 Document No.")</t>
  </si>
  <si>
    <t>=NF($D463,"6 Document No.")</t>
  </si>
  <si>
    <t>=NF($D464,"6 Document No.")</t>
  </si>
  <si>
    <t>=NF($D465,"6 Document No.")</t>
  </si>
  <si>
    <t>=NF($D466,"6 Document No.")</t>
  </si>
  <si>
    <t>=NF($D467,"6 Document No.")</t>
  </si>
  <si>
    <t>=NF($D468,"6 Document No.")</t>
  </si>
  <si>
    <t>=NF($D469,"6 Document No.")</t>
  </si>
  <si>
    <t>=NF($D470,"6 Document No.")</t>
  </si>
  <si>
    <t>=NF($D471,"6 Document No.")</t>
  </si>
  <si>
    <t>=NF($D472,"6 Document No.")</t>
  </si>
  <si>
    <t>=NF($D473,"6 Document No.")</t>
  </si>
  <si>
    <t>=NF($D474,"6 Document No.")</t>
  </si>
  <si>
    <t>=NF($D475,"6 Document No.")</t>
  </si>
  <si>
    <t>=NF($D476,"6 Document No.")</t>
  </si>
  <si>
    <t>=NF($D477,"6 Document No.")</t>
  </si>
  <si>
    <t>=NF($D478,"6 Document No.")</t>
  </si>
  <si>
    <t>=NF($D479,"6 Document No.")</t>
  </si>
  <si>
    <t>=NF($D480,"6 Document No.")</t>
  </si>
  <si>
    <t>=NF($D481,"6 Document No.")</t>
  </si>
  <si>
    <t>=NF($D482,"6 Document No.")</t>
  </si>
  <si>
    <t>=NF($D483,"6 Document No.")</t>
  </si>
  <si>
    <t>=NF($D484,"6 Document No.")</t>
  </si>
  <si>
    <t>=NF($D485,"6 Document No.")</t>
  </si>
  <si>
    <t>=NF($D486,"6 Document No.")</t>
  </si>
  <si>
    <t>=NF($D487,"6 Document No.")</t>
  </si>
  <si>
    <t>=NF($D488,"6 Document No.")</t>
  </si>
  <si>
    <t>=NF($D489,"6 Document No.")</t>
  </si>
  <si>
    <t>=NF($D490,"6 Document No.")</t>
  </si>
  <si>
    <t>=NF($D491,"6 Document No.")</t>
  </si>
  <si>
    <t>=NF($D492,"6 Document No.")</t>
  </si>
  <si>
    <t>=NF($D493,"6 Document No.")</t>
  </si>
  <si>
    <t>=NF($D494,"6 Document No.")</t>
  </si>
  <si>
    <t>=NF($D495,"6 Document No.")</t>
  </si>
  <si>
    <t>=NF($D496,"6 Document No.")</t>
  </si>
  <si>
    <t>=NF($D497,"6 Document No.")</t>
  </si>
  <si>
    <t>=NF($D498,"6 Document No.")</t>
  </si>
  <si>
    <t>=NF($D499,"6 Document No.")</t>
  </si>
  <si>
    <t>=NF($D500,"6 Document No.")</t>
  </si>
  <si>
    <t>=NF($D501,"6 Document No.")</t>
  </si>
  <si>
    <t>=NF($D502,"6 Document No.")</t>
  </si>
  <si>
    <t>=NF($D503,"6 Document No.")</t>
  </si>
  <si>
    <t>=NF($D504,"6 Document No.")</t>
  </si>
  <si>
    <t>=NF($D505,"6 Document No.")</t>
  </si>
  <si>
    <t>=NF($D506,"6 Document No.")</t>
  </si>
  <si>
    <t>=NF($D507,"6 Document No.")</t>
  </si>
  <si>
    <t>=NF($D508,"6 Document No.")</t>
  </si>
  <si>
    <t>=NF($D509,"6 Document No.")</t>
  </si>
  <si>
    <t>=NF($D510,"6 Document No.")</t>
  </si>
  <si>
    <t>=NF($D511,"6 Document No.")</t>
  </si>
  <si>
    <t>=NF($D449,"37 Due Date")</t>
  </si>
  <si>
    <t>=NF($D450,"37 Due Date")</t>
  </si>
  <si>
    <t>=NF($D451,"37 Due Date")</t>
  </si>
  <si>
    <t>=NF($D452,"37 Due Date")</t>
  </si>
  <si>
    <t>=NF($D453,"37 Due Date")</t>
  </si>
  <si>
    <t>=NF($D454,"37 Due Date")</t>
  </si>
  <si>
    <t>=NF($D455,"37 Due Date")</t>
  </si>
  <si>
    <t>=NF($D456,"37 Due Date")</t>
  </si>
  <si>
    <t>=NF($D457,"37 Due Date")</t>
  </si>
  <si>
    <t>=NF($D458,"37 Due Date")</t>
  </si>
  <si>
    <t>=NF($D459,"37 Due Date")</t>
  </si>
  <si>
    <t>=NF($D460,"37 Due Date")</t>
  </si>
  <si>
    <t>=NF($D461,"37 Due Date")</t>
  </si>
  <si>
    <t>=NF($D462,"37 Due Date")</t>
  </si>
  <si>
    <t>=NF($D463,"37 Due Date")</t>
  </si>
  <si>
    <t>=NF($D464,"37 Due Date")</t>
  </si>
  <si>
    <t>=NF($D465,"37 Due Date")</t>
  </si>
  <si>
    <t>=NF($D466,"37 Due Date")</t>
  </si>
  <si>
    <t>=NF($D467,"37 Due Date")</t>
  </si>
  <si>
    <t>=NF($D468,"37 Due Date")</t>
  </si>
  <si>
    <t>=NF($D469,"37 Due Date")</t>
  </si>
  <si>
    <t>=NF($D470,"37 Due Date")</t>
  </si>
  <si>
    <t>=NF($D471,"37 Due Date")</t>
  </si>
  <si>
    <t>=NF($D472,"37 Due Date")</t>
  </si>
  <si>
    <t>=NF($D473,"37 Due Date")</t>
  </si>
  <si>
    <t>=NF($D474,"37 Due Date")</t>
  </si>
  <si>
    <t>=NF($D475,"37 Due Date")</t>
  </si>
  <si>
    <t>=NF($D476,"37 Due Date")</t>
  </si>
  <si>
    <t>=NF($D477,"37 Due Date")</t>
  </si>
  <si>
    <t>=NF($D478,"37 Due Date")</t>
  </si>
  <si>
    <t>=NF($D479,"37 Due Date")</t>
  </si>
  <si>
    <t>=NF($D480,"37 Due Date")</t>
  </si>
  <si>
    <t>=NF($D481,"37 Due Date")</t>
  </si>
  <si>
    <t>=NF($D482,"37 Due Date")</t>
  </si>
  <si>
    <t>=NF($D483,"37 Due Date")</t>
  </si>
  <si>
    <t>=NF($D484,"37 Due Date")</t>
  </si>
  <si>
    <t>=NF($D485,"37 Due Date")</t>
  </si>
  <si>
    <t>=NF($D486,"37 Due Date")</t>
  </si>
  <si>
    <t>=NF($D487,"37 Due Date")</t>
  </si>
  <si>
    <t>=NF($D488,"37 Due Date")</t>
  </si>
  <si>
    <t>=NF($D489,"37 Due Date")</t>
  </si>
  <si>
    <t>=NF($D490,"37 Due Date")</t>
  </si>
  <si>
    <t>=NF($D491,"37 Due Date")</t>
  </si>
  <si>
    <t>=NF($D492,"37 Due Date")</t>
  </si>
  <si>
    <t>=NF($D493,"37 Due Date")</t>
  </si>
  <si>
    <t>=NF($D494,"37 Due Date")</t>
  </si>
  <si>
    <t>=NF($D495,"37 Due Date")</t>
  </si>
  <si>
    <t>=NF($D496,"37 Due Date")</t>
  </si>
  <si>
    <t>=NF($D497,"37 Due Date")</t>
  </si>
  <si>
    <t>=NF($D498,"37 Due Date")</t>
  </si>
  <si>
    <t>=NF($D499,"37 Due Date")</t>
  </si>
  <si>
    <t>=NF($D500,"37 Due Date")</t>
  </si>
  <si>
    <t>=NF($D501,"37 Due Date")</t>
  </si>
  <si>
    <t>=NF($D502,"37 Due Date")</t>
  </si>
  <si>
    <t>=NF($D503,"37 Due Date")</t>
  </si>
  <si>
    <t>=NF($D504,"37 Due Date")</t>
  </si>
  <si>
    <t>=NF($D505,"37 Due Date")</t>
  </si>
  <si>
    <t>=NF($D506,"37 Due Date")</t>
  </si>
  <si>
    <t>=NF($D507,"37 Due Date")</t>
  </si>
  <si>
    <t>=NF($D508,"37 Due Date")</t>
  </si>
  <si>
    <t>=NF($D509,"37 Due Date")</t>
  </si>
  <si>
    <t>=NF($D510,"37 Due Date")</t>
  </si>
  <si>
    <t>=NF($D511,"37 Due Date")</t>
  </si>
  <si>
    <t>=NF($D449,"16 Remaining Amt. (LCY)")</t>
  </si>
  <si>
    <t>=NF($D450,"16 Remaining Amt. (LCY)")</t>
  </si>
  <si>
    <t>=NF($D451,"16 Remaining Amt. (LCY)")</t>
  </si>
  <si>
    <t>=NF($D452,"16 Remaining Amt. (LCY)")</t>
  </si>
  <si>
    <t>=NF($D453,"16 Remaining Amt. (LCY)")</t>
  </si>
  <si>
    <t>=NF($D454,"16 Remaining Amt. (LCY)")</t>
  </si>
  <si>
    <t>=NF($D455,"16 Remaining Amt. (LCY)")</t>
  </si>
  <si>
    <t>=NF($D456,"16 Remaining Amt. (LCY)")</t>
  </si>
  <si>
    <t>=NF($D457,"16 Remaining Amt. (LCY)")</t>
  </si>
  <si>
    <t>=NF($D458,"16 Remaining Amt. (LCY)")</t>
  </si>
  <si>
    <t>=NF($D459,"16 Remaining Amt. (LCY)")</t>
  </si>
  <si>
    <t>=NF($D460,"16 Remaining Amt. (LCY)")</t>
  </si>
  <si>
    <t>=NF($D461,"16 Remaining Amt. (LCY)")</t>
  </si>
  <si>
    <t>=NF($D462,"16 Remaining Amt. (LCY)")</t>
  </si>
  <si>
    <t>=NF($D463,"16 Remaining Amt. (LCY)")</t>
  </si>
  <si>
    <t>=NF($D464,"16 Remaining Amt. (LCY)")</t>
  </si>
  <si>
    <t>=NF($D465,"16 Remaining Amt. (LCY)")</t>
  </si>
  <si>
    <t>=NF($D466,"16 Remaining Amt. (LCY)")</t>
  </si>
  <si>
    <t>=NF($D467,"16 Remaining Amt. (LCY)")</t>
  </si>
  <si>
    <t>=NF($D468,"16 Remaining Amt. (LCY)")</t>
  </si>
  <si>
    <t>=NF($D469,"16 Remaining Amt. (LCY)")</t>
  </si>
  <si>
    <t>=NF($D470,"16 Remaining Amt. (LCY)")</t>
  </si>
  <si>
    <t>=NF($D471,"16 Remaining Amt. (LCY)")</t>
  </si>
  <si>
    <t>=NF($D472,"16 Remaining Amt. (LCY)")</t>
  </si>
  <si>
    <t>=NF($D473,"16 Remaining Amt. (LCY)")</t>
  </si>
  <si>
    <t>=NF($D474,"16 Remaining Amt. (LCY)")</t>
  </si>
  <si>
    <t>=NF($D475,"16 Remaining Amt. (LCY)")</t>
  </si>
  <si>
    <t>=NF($D476,"16 Remaining Amt. (LCY)")</t>
  </si>
  <si>
    <t>=NF($D477,"16 Remaining Amt. (LCY)")</t>
  </si>
  <si>
    <t>=NF($D478,"16 Remaining Amt. (LCY)")</t>
  </si>
  <si>
    <t>=NF($D479,"16 Remaining Amt. (LCY)")</t>
  </si>
  <si>
    <t>=NF($D480,"16 Remaining Amt. (LCY)")</t>
  </si>
  <si>
    <t>=NF($D481,"16 Remaining Amt. (LCY)")</t>
  </si>
  <si>
    <t>=NF($D482,"16 Remaining Amt. (LCY)")</t>
  </si>
  <si>
    <t>=NF($D483,"16 Remaining Amt. (LCY)")</t>
  </si>
  <si>
    <t>=NF($D484,"16 Remaining Amt. (LCY)")</t>
  </si>
  <si>
    <t>=NF($D485,"16 Remaining Amt. (LCY)")</t>
  </si>
  <si>
    <t>=NF($D486,"16 Remaining Amt. (LCY)")</t>
  </si>
  <si>
    <t>=NF($D487,"16 Remaining Amt. (LCY)")</t>
  </si>
  <si>
    <t>=NF($D488,"16 Remaining Amt. (LCY)")</t>
  </si>
  <si>
    <t>=NF($D489,"16 Remaining Amt. (LCY)")</t>
  </si>
  <si>
    <t>=NF($D490,"16 Remaining Amt. (LCY)")</t>
  </si>
  <si>
    <t>=NF($D491,"16 Remaining Amt. (LCY)")</t>
  </si>
  <si>
    <t>=NF($D492,"16 Remaining Amt. (LCY)")</t>
  </si>
  <si>
    <t>=NF($D493,"16 Remaining Amt. (LCY)")</t>
  </si>
  <si>
    <t>=NF($D494,"16 Remaining Amt. (LCY)")</t>
  </si>
  <si>
    <t>=NF($D495,"16 Remaining Amt. (LCY)")</t>
  </si>
  <si>
    <t>=NF($D496,"16 Remaining Amt. (LCY)")</t>
  </si>
  <si>
    <t>=NF($D497,"16 Remaining Amt. (LCY)")</t>
  </si>
  <si>
    <t>=NF($D498,"16 Remaining Amt. (LCY)")</t>
  </si>
  <si>
    <t>=NF($D499,"16 Remaining Amt. (LCY)")</t>
  </si>
  <si>
    <t>=NF($D500,"16 Remaining Amt. (LCY)")</t>
  </si>
  <si>
    <t>=NF($D501,"16 Remaining Amt. (LCY)")</t>
  </si>
  <si>
    <t>=NF($D502,"16 Remaining Amt. (LCY)")</t>
  </si>
  <si>
    <t>=NF($D503,"16 Remaining Amt. (LCY)")</t>
  </si>
  <si>
    <t>=NF($D504,"16 Remaining Amt. (LCY)")</t>
  </si>
  <si>
    <t>=NF($D505,"16 Remaining Amt. (LCY)")</t>
  </si>
  <si>
    <t>=NF($D506,"16 Remaining Amt. (LCY)")</t>
  </si>
  <si>
    <t>=NF($D507,"16 Remaining Amt. (LCY)")</t>
  </si>
  <si>
    <t>=NF($D508,"16 Remaining Amt. (LCY)")</t>
  </si>
  <si>
    <t>=NF($D509,"16 Remaining Amt. (LCY)")</t>
  </si>
  <si>
    <t>=NF($D510,"16 Remaining Amt. (LCY)")</t>
  </si>
  <si>
    <t>=NF($D511,"16 Remaining Amt. (LCY)")</t>
  </si>
  <si>
    <t>=NF($D379,"5 Document Type")</t>
  </si>
  <si>
    <t>=NF($D380,"5 Document Type")</t>
  </si>
  <si>
    <t>=NF($D381,"5 Document Type")</t>
  </si>
  <si>
    <t>=NF($D382,"5 Document Type")</t>
  </si>
  <si>
    <t>=NF($D383,"5 Document Type")</t>
  </si>
  <si>
    <t>=NF($D384,"5 Document Type")</t>
  </si>
  <si>
    <t>=NF($D385,"5 Document Type")</t>
  </si>
  <si>
    <t>=NF($D386,"5 Document Type")</t>
  </si>
  <si>
    <t>=NF($D387,"5 Document Type")</t>
  </si>
  <si>
    <t>=NF($D388,"5 Document Type")</t>
  </si>
  <si>
    <t>=NF($D389,"5 Document Type")</t>
  </si>
  <si>
    <t>=NF($D390,"5 Document Type")</t>
  </si>
  <si>
    <t>=NF($D391,"5 Document Type")</t>
  </si>
  <si>
    <t>=NF($D392,"5 Document Type")</t>
  </si>
  <si>
    <t>=NF($D393,"5 Document Type")</t>
  </si>
  <si>
    <t>=NF($D394,"5 Document Type")</t>
  </si>
  <si>
    <t>=NF($D395,"5 Document Type")</t>
  </si>
  <si>
    <t>=NF($D396,"5 Document Type")</t>
  </si>
  <si>
    <t>=NF($D397,"5 Document Type")</t>
  </si>
  <si>
    <t>=NF($D398,"5 Document Type")</t>
  </si>
  <si>
    <t>=NF($D399,"5 Document Type")</t>
  </si>
  <si>
    <t>=NF($D400,"5 Document Type")</t>
  </si>
  <si>
    <t>=NF($D401,"5 Document Type")</t>
  </si>
  <si>
    <t>=NF($D402,"5 Document Type")</t>
  </si>
  <si>
    <t>=NF($D403,"5 Document Type")</t>
  </si>
  <si>
    <t>=NF($D404,"5 Document Type")</t>
  </si>
  <si>
    <t>=NF($D405,"5 Document Type")</t>
  </si>
  <si>
    <t>=NF($D406,"5 Document Type")</t>
  </si>
  <si>
    <t>=NF($D407,"5 Document Type")</t>
  </si>
  <si>
    <t>=NF($D408,"5 Document Type")</t>
  </si>
  <si>
    <t>=NF($D409,"5 Document Type")</t>
  </si>
  <si>
    <t>=NF($D410,"5 Document Type")</t>
  </si>
  <si>
    <t>=NF($D411,"5 Document Type")</t>
  </si>
  <si>
    <t>=NF($D412,"5 Document Type")</t>
  </si>
  <si>
    <t>=NF($D413,"5 Document Type")</t>
  </si>
  <si>
    <t>=NF($D414,"5 Document Type")</t>
  </si>
  <si>
    <t>=NF($D415,"5 Document Type")</t>
  </si>
  <si>
    <t>=NF($D416,"5 Document Type")</t>
  </si>
  <si>
    <t>=NF($D417,"5 Document Type")</t>
  </si>
  <si>
    <t>=NF($D418,"5 Document Type")</t>
  </si>
  <si>
    <t>=NF($D419,"5 Document Type")</t>
  </si>
  <si>
    <t>=NF($D420,"5 Document Type")</t>
  </si>
  <si>
    <t>=NF($D421,"5 Document Type")</t>
  </si>
  <si>
    <t>=NF($D422,"5 Document Type")</t>
  </si>
  <si>
    <t>=NF($D423,"5 Document Type")</t>
  </si>
  <si>
    <t>=NF($D424,"5 Document Type")</t>
  </si>
  <si>
    <t>=NF($D425,"5 Document Type")</t>
  </si>
  <si>
    <t>=NF($D426,"5 Document Type")</t>
  </si>
  <si>
    <t>=NF($D427,"5 Document Type")</t>
  </si>
  <si>
    <t>=NF($D428,"5 Document Type")</t>
  </si>
  <si>
    <t>=NF($D429,"5 Document Type")</t>
  </si>
  <si>
    <t>=NF($D430,"5 Document Type")</t>
  </si>
  <si>
    <t>=NF($D431,"5 Document Type")</t>
  </si>
  <si>
    <t>=NF($D432,"5 Document Type")</t>
  </si>
  <si>
    <t>=NF($D433,"5 Document Type")</t>
  </si>
  <si>
    <t>=NF($D434,"5 Document Type")</t>
  </si>
  <si>
    <t>=NF($D435,"5 Document Type")</t>
  </si>
  <si>
    <t>=NF($D436,"5 Document Type")</t>
  </si>
  <si>
    <t>=NF($D437,"5 Document Type")</t>
  </si>
  <si>
    <t>=NF($D438,"5 Document Type")</t>
  </si>
  <si>
    <t>=NF($D439,"5 Document Type")</t>
  </si>
  <si>
    <t>=NF($D440,"5 Document Type")</t>
  </si>
  <si>
    <t>=NF($D441,"5 Document Type")</t>
  </si>
  <si>
    <t>=NF($D442,"5 Document Type")</t>
  </si>
  <si>
    <t>=NF($D379,"6 Document No.")</t>
  </si>
  <si>
    <t>=NF($D380,"6 Document No.")</t>
  </si>
  <si>
    <t>=NF($D381,"6 Document No.")</t>
  </si>
  <si>
    <t>=NF($D382,"6 Document No.")</t>
  </si>
  <si>
    <t>=NF($D383,"6 Document No.")</t>
  </si>
  <si>
    <t>=NF($D384,"6 Document No.")</t>
  </si>
  <si>
    <t>=NF($D385,"6 Document No.")</t>
  </si>
  <si>
    <t>=NF($D386,"6 Document No.")</t>
  </si>
  <si>
    <t>=NF($D387,"6 Document No.")</t>
  </si>
  <si>
    <t>=NF($D388,"6 Document No.")</t>
  </si>
  <si>
    <t>=NF($D389,"6 Document No.")</t>
  </si>
  <si>
    <t>=NF($D390,"6 Document No.")</t>
  </si>
  <si>
    <t>=NF($D391,"6 Document No.")</t>
  </si>
  <si>
    <t>=NF($D392,"6 Document No.")</t>
  </si>
  <si>
    <t>=NF($D393,"6 Document No.")</t>
  </si>
  <si>
    <t>=NF($D394,"6 Document No.")</t>
  </si>
  <si>
    <t>=NF($D395,"6 Document No.")</t>
  </si>
  <si>
    <t>=NF($D396,"6 Document No.")</t>
  </si>
  <si>
    <t>=NF($D397,"6 Document No.")</t>
  </si>
  <si>
    <t>=NF($D398,"6 Document No.")</t>
  </si>
  <si>
    <t>=NF($D399,"6 Document No.")</t>
  </si>
  <si>
    <t>=NF($D400,"6 Document No.")</t>
  </si>
  <si>
    <t>=NF($D401,"6 Document No.")</t>
  </si>
  <si>
    <t>=NF($D402,"6 Document No.")</t>
  </si>
  <si>
    <t>=NF($D403,"6 Document No.")</t>
  </si>
  <si>
    <t>=NF($D404,"6 Document No.")</t>
  </si>
  <si>
    <t>=NF($D405,"6 Document No.")</t>
  </si>
  <si>
    <t>=NF($D406,"6 Document No.")</t>
  </si>
  <si>
    <t>=NF($D407,"6 Document No.")</t>
  </si>
  <si>
    <t>=NF($D408,"6 Document No.")</t>
  </si>
  <si>
    <t>=NF($D409,"6 Document No.")</t>
  </si>
  <si>
    <t>=NF($D410,"6 Document No.")</t>
  </si>
  <si>
    <t>=NF($D411,"6 Document No.")</t>
  </si>
  <si>
    <t>=NF($D412,"6 Document No.")</t>
  </si>
  <si>
    <t>=NF($D413,"6 Document No.")</t>
  </si>
  <si>
    <t>=NF($D414,"6 Document No.")</t>
  </si>
  <si>
    <t>=NF($D415,"6 Document No.")</t>
  </si>
  <si>
    <t>=NF($D416,"6 Document No.")</t>
  </si>
  <si>
    <t>=NF($D417,"6 Document No.")</t>
  </si>
  <si>
    <t>=NF($D418,"6 Document No.")</t>
  </si>
  <si>
    <t>=NF($D419,"6 Document No.")</t>
  </si>
  <si>
    <t>=NF($D420,"6 Document No.")</t>
  </si>
  <si>
    <t>=NF($D421,"6 Document No.")</t>
  </si>
  <si>
    <t>=NF($D422,"6 Document No.")</t>
  </si>
  <si>
    <t>=NF($D423,"6 Document No.")</t>
  </si>
  <si>
    <t>=NF($D424,"6 Document No.")</t>
  </si>
  <si>
    <t>=NF($D425,"6 Document No.")</t>
  </si>
  <si>
    <t>=NF($D426,"6 Document No.")</t>
  </si>
  <si>
    <t>=NF($D427,"6 Document No.")</t>
  </si>
  <si>
    <t>=NF($D428,"6 Document No.")</t>
  </si>
  <si>
    <t>=NF($D429,"6 Document No.")</t>
  </si>
  <si>
    <t>=NF($D430,"6 Document No.")</t>
  </si>
  <si>
    <t>=NF($D431,"6 Document No.")</t>
  </si>
  <si>
    <t>=NF($D432,"6 Document No.")</t>
  </si>
  <si>
    <t>=NF($D433,"6 Document No.")</t>
  </si>
  <si>
    <t>=NF($D434,"6 Document No.")</t>
  </si>
  <si>
    <t>=NF($D435,"6 Document No.")</t>
  </si>
  <si>
    <t>=NF($D436,"6 Document No.")</t>
  </si>
  <si>
    <t>=NF($D437,"6 Document No.")</t>
  </si>
  <si>
    <t>=NF($D438,"6 Document No.")</t>
  </si>
  <si>
    <t>=NF($D439,"6 Document No.")</t>
  </si>
  <si>
    <t>=NF($D440,"6 Document No.")</t>
  </si>
  <si>
    <t>=NF($D441,"6 Document No.")</t>
  </si>
  <si>
    <t>=NF($D442,"6 Document No.")</t>
  </si>
  <si>
    <t>=NF($D379,"37 Due Date")</t>
  </si>
  <si>
    <t>=NF($D380,"37 Due Date")</t>
  </si>
  <si>
    <t>=NF($D381,"37 Due Date")</t>
  </si>
  <si>
    <t>=NF($D382,"37 Due Date")</t>
  </si>
  <si>
    <t>=NF($D383,"37 Due Date")</t>
  </si>
  <si>
    <t>=NF($D384,"37 Due Date")</t>
  </si>
  <si>
    <t>=NF($D385,"37 Due Date")</t>
  </si>
  <si>
    <t>=NF($D386,"37 Due Date")</t>
  </si>
  <si>
    <t>=NF($D387,"37 Due Date")</t>
  </si>
  <si>
    <t>=NF($D388,"37 Due Date")</t>
  </si>
  <si>
    <t>=NF($D389,"37 Due Date")</t>
  </si>
  <si>
    <t>=NF($D390,"37 Due Date")</t>
  </si>
  <si>
    <t>=NF($D391,"37 Due Date")</t>
  </si>
  <si>
    <t>=NF($D392,"37 Due Date")</t>
  </si>
  <si>
    <t>=NF($D393,"37 Due Date")</t>
  </si>
  <si>
    <t>=NF($D394,"37 Due Date")</t>
  </si>
  <si>
    <t>=NF($D395,"37 Due Date")</t>
  </si>
  <si>
    <t>=NF($D396,"37 Due Date")</t>
  </si>
  <si>
    <t>=NF($D397,"37 Due Date")</t>
  </si>
  <si>
    <t>=NF($D398,"37 Due Date")</t>
  </si>
  <si>
    <t>=NF($D399,"37 Due Date")</t>
  </si>
  <si>
    <t>=NF($D400,"37 Due Date")</t>
  </si>
  <si>
    <t>=NF($D401,"37 Due Date")</t>
  </si>
  <si>
    <t>=NF($D402,"37 Due Date")</t>
  </si>
  <si>
    <t>=NF($D403,"37 Due Date")</t>
  </si>
  <si>
    <t>=NF($D404,"37 Due Date")</t>
  </si>
  <si>
    <t>=NF($D405,"37 Due Date")</t>
  </si>
  <si>
    <t>=NF($D406,"37 Due Date")</t>
  </si>
  <si>
    <t>=NF($D407,"37 Due Date")</t>
  </si>
  <si>
    <t>=NF($D408,"37 Due Date")</t>
  </si>
  <si>
    <t>=NF($D409,"37 Due Date")</t>
  </si>
  <si>
    <t>=NF($D410,"37 Due Date")</t>
  </si>
  <si>
    <t>=NF($D411,"37 Due Date")</t>
  </si>
  <si>
    <t>=NF($D412,"37 Due Date")</t>
  </si>
  <si>
    <t>=NF($D413,"37 Due Date")</t>
  </si>
  <si>
    <t>=NF($D414,"37 Due Date")</t>
  </si>
  <si>
    <t>=NF($D415,"37 Due Date")</t>
  </si>
  <si>
    <t>=NF($D416,"37 Due Date")</t>
  </si>
  <si>
    <t>=NF($D417,"37 Due Date")</t>
  </si>
  <si>
    <t>=NF($D418,"37 Due Date")</t>
  </si>
  <si>
    <t>=NF($D419,"37 Due Date")</t>
  </si>
  <si>
    <t>=NF($D420,"37 Due Date")</t>
  </si>
  <si>
    <t>=NF($D421,"37 Due Date")</t>
  </si>
  <si>
    <t>=NF($D422,"37 Due Date")</t>
  </si>
  <si>
    <t>=NF($D423,"37 Due Date")</t>
  </si>
  <si>
    <t>=NF($D424,"37 Due Date")</t>
  </si>
  <si>
    <t>=NF($D425,"37 Due Date")</t>
  </si>
  <si>
    <t>=NF($D426,"37 Due Date")</t>
  </si>
  <si>
    <t>=NF($D427,"37 Due Date")</t>
  </si>
  <si>
    <t>=NF($D428,"37 Due Date")</t>
  </si>
  <si>
    <t>=NF($D429,"37 Due Date")</t>
  </si>
  <si>
    <t>=NF($D430,"37 Due Date")</t>
  </si>
  <si>
    <t>=NF($D431,"37 Due Date")</t>
  </si>
  <si>
    <t>=NF($D432,"37 Due Date")</t>
  </si>
  <si>
    <t>=NF($D433,"37 Due Date")</t>
  </si>
  <si>
    <t>=NF($D434,"37 Due Date")</t>
  </si>
  <si>
    <t>=NF($D435,"37 Due Date")</t>
  </si>
  <si>
    <t>=NF($D436,"37 Due Date")</t>
  </si>
  <si>
    <t>=NF($D437,"37 Due Date")</t>
  </si>
  <si>
    <t>=NF($D438,"37 Due Date")</t>
  </si>
  <si>
    <t>=NF($D439,"37 Due Date")</t>
  </si>
  <si>
    <t>=NF($D440,"37 Due Date")</t>
  </si>
  <si>
    <t>=NF($D441,"37 Due Date")</t>
  </si>
  <si>
    <t>=NF($D442,"37 Due Date")</t>
  </si>
  <si>
    <t>=NF($D379,"16 Remaining Amt. (LCY)")</t>
  </si>
  <si>
    <t>=NF($D380,"16 Remaining Amt. (LCY)")</t>
  </si>
  <si>
    <t>=NF($D381,"16 Remaining Amt. (LCY)")</t>
  </si>
  <si>
    <t>=NF($D382,"16 Remaining Amt. (LCY)")</t>
  </si>
  <si>
    <t>=NF($D383,"16 Remaining Amt. (LCY)")</t>
  </si>
  <si>
    <t>=NF($D384,"16 Remaining Amt. (LCY)")</t>
  </si>
  <si>
    <t>=NF($D385,"16 Remaining Amt. (LCY)")</t>
  </si>
  <si>
    <t>=NF($D386,"16 Remaining Amt. (LCY)")</t>
  </si>
  <si>
    <t>=NF($D387,"16 Remaining Amt. (LCY)")</t>
  </si>
  <si>
    <t>=NF($D388,"16 Remaining Amt. (LCY)")</t>
  </si>
  <si>
    <t>=NF($D389,"16 Remaining Amt. (LCY)")</t>
  </si>
  <si>
    <t>=NF($D390,"16 Remaining Amt. (LCY)")</t>
  </si>
  <si>
    <t>=NF($D391,"16 Remaining Amt. (LCY)")</t>
  </si>
  <si>
    <t>=NF($D392,"16 Remaining Amt. (LCY)")</t>
  </si>
  <si>
    <t>=NF($D393,"16 Remaining Amt. (LCY)")</t>
  </si>
  <si>
    <t>=NF($D394,"16 Remaining Amt. (LCY)")</t>
  </si>
  <si>
    <t>=NF($D395,"16 Remaining Amt. (LCY)")</t>
  </si>
  <si>
    <t>=NF($D396,"16 Remaining Amt. (LCY)")</t>
  </si>
  <si>
    <t>=NF($D397,"16 Remaining Amt. (LCY)")</t>
  </si>
  <si>
    <t>=NF($D398,"16 Remaining Amt. (LCY)")</t>
  </si>
  <si>
    <t>=NF($D399,"16 Remaining Amt. (LCY)")</t>
  </si>
  <si>
    <t>=NF($D400,"16 Remaining Amt. (LCY)")</t>
  </si>
  <si>
    <t>=NF($D401,"16 Remaining Amt. (LCY)")</t>
  </si>
  <si>
    <t>=NF($D402,"16 Remaining Amt. (LCY)")</t>
  </si>
  <si>
    <t>=NF($D403,"16 Remaining Amt. (LCY)")</t>
  </si>
  <si>
    <t>=NF($D404,"16 Remaining Amt. (LCY)")</t>
  </si>
  <si>
    <t>=NF($D405,"16 Remaining Amt. (LCY)")</t>
  </si>
  <si>
    <t>=NF($D406,"16 Remaining Amt. (LCY)")</t>
  </si>
  <si>
    <t>=NF($D407,"16 Remaining Amt. (LCY)")</t>
  </si>
  <si>
    <t>=NF($D408,"16 Remaining Amt. (LCY)")</t>
  </si>
  <si>
    <t>=NF($D409,"16 Remaining Amt. (LCY)")</t>
  </si>
  <si>
    <t>=NF($D410,"16 Remaining Amt. (LCY)")</t>
  </si>
  <si>
    <t>=NF($D411,"16 Remaining Amt. (LCY)")</t>
  </si>
  <si>
    <t>=NF($D412,"16 Remaining Amt. (LCY)")</t>
  </si>
  <si>
    <t>=NF($D413,"16 Remaining Amt. (LCY)")</t>
  </si>
  <si>
    <t>=NF($D414,"16 Remaining Amt. (LCY)")</t>
  </si>
  <si>
    <t>=NF($D415,"16 Remaining Amt. (LCY)")</t>
  </si>
  <si>
    <t>=NF($D416,"16 Remaining Amt. (LCY)")</t>
  </si>
  <si>
    <t>=NF($D417,"16 Remaining Amt. (LCY)")</t>
  </si>
  <si>
    <t>=NF($D418,"16 Remaining Amt. (LCY)")</t>
  </si>
  <si>
    <t>=NF($D419,"16 Remaining Amt. (LCY)")</t>
  </si>
  <si>
    <t>=NF($D420,"16 Remaining Amt. (LCY)")</t>
  </si>
  <si>
    <t>=NF($D421,"16 Remaining Amt. (LCY)")</t>
  </si>
  <si>
    <t>=NF($D422,"16 Remaining Amt. (LCY)")</t>
  </si>
  <si>
    <t>=NF($D423,"16 Remaining Amt. (LCY)")</t>
  </si>
  <si>
    <t>=NF($D424,"16 Remaining Amt. (LCY)")</t>
  </si>
  <si>
    <t>=NF($D425,"16 Remaining Amt. (LCY)")</t>
  </si>
  <si>
    <t>=NF($D426,"16 Remaining Amt. (LCY)")</t>
  </si>
  <si>
    <t>=NF($D427,"16 Remaining Amt. (LCY)")</t>
  </si>
  <si>
    <t>=NF($D428,"16 Remaining Amt. (LCY)")</t>
  </si>
  <si>
    <t>=NF($D429,"16 Remaining Amt. (LCY)")</t>
  </si>
  <si>
    <t>=NF($D430,"16 Remaining Amt. (LCY)")</t>
  </si>
  <si>
    <t>=NF($D431,"16 Remaining Amt. (LCY)")</t>
  </si>
  <si>
    <t>=NF($D432,"16 Remaining Amt. (LCY)")</t>
  </si>
  <si>
    <t>=NF($D433,"16 Remaining Amt. (LCY)")</t>
  </si>
  <si>
    <t>=NF($D434,"16 Remaining Amt. (LCY)")</t>
  </si>
  <si>
    <t>=NF($D435,"16 Remaining Amt. (LCY)")</t>
  </si>
  <si>
    <t>=NF($D436,"16 Remaining Amt. (LCY)")</t>
  </si>
  <si>
    <t>=NF($D437,"16 Remaining Amt. (LCY)")</t>
  </si>
  <si>
    <t>=NF($D438,"16 Remaining Amt. (LCY)")</t>
  </si>
  <si>
    <t>=NF($D439,"16 Remaining Amt. (LCY)")</t>
  </si>
  <si>
    <t>=NF($D440,"16 Remaining Amt. (LCY)")</t>
  </si>
  <si>
    <t>=NF($D441,"16 Remaining Amt. (LCY)")</t>
  </si>
  <si>
    <t>=NF($D442,"16 Remaining Amt. (LCY)")</t>
  </si>
  <si>
    <t>=NF($D363,"5 Document Type")</t>
  </si>
  <si>
    <t>=NF($D364,"5 Document Type")</t>
  </si>
  <si>
    <t>=NF($D365,"5 Document Type")</t>
  </si>
  <si>
    <t>=NF($D366,"5 Document Type")</t>
  </si>
  <si>
    <t>=NF($D367,"5 Document Type")</t>
  </si>
  <si>
    <t>=NF($D368,"5 Document Type")</t>
  </si>
  <si>
    <t>=NF($D369,"5 Document Type")</t>
  </si>
  <si>
    <t>=NF($D370,"5 Document Type")</t>
  </si>
  <si>
    <t>=NF($D371,"5 Document Type")</t>
  </si>
  <si>
    <t>=NF($D372,"5 Document Type")</t>
  </si>
  <si>
    <t>=NF($D363,"6 Document No.")</t>
  </si>
  <si>
    <t>=NF($D364,"6 Document No.")</t>
  </si>
  <si>
    <t>=NF($D365,"6 Document No.")</t>
  </si>
  <si>
    <t>=NF($D366,"6 Document No.")</t>
  </si>
  <si>
    <t>=NF($D367,"6 Document No.")</t>
  </si>
  <si>
    <t>=NF($D368,"6 Document No.")</t>
  </si>
  <si>
    <t>=NF($D369,"6 Document No.")</t>
  </si>
  <si>
    <t>=NF($D370,"6 Document No.")</t>
  </si>
  <si>
    <t>=NF($D371,"6 Document No.")</t>
  </si>
  <si>
    <t>=NF($D372,"6 Document No.")</t>
  </si>
  <si>
    <t>=NF($D363,"37 Due Date")</t>
  </si>
  <si>
    <t>=NF($D364,"37 Due Date")</t>
  </si>
  <si>
    <t>=NF($D365,"37 Due Date")</t>
  </si>
  <si>
    <t>=NF($D366,"37 Due Date")</t>
  </si>
  <si>
    <t>=NF($D367,"37 Due Date")</t>
  </si>
  <si>
    <t>=NF($D368,"37 Due Date")</t>
  </si>
  <si>
    <t>=NF($D369,"37 Due Date")</t>
  </si>
  <si>
    <t>=NF($D370,"37 Due Date")</t>
  </si>
  <si>
    <t>=NF($D371,"37 Due Date")</t>
  </si>
  <si>
    <t>=NF($D372,"37 Due Date")</t>
  </si>
  <si>
    <t>=NF($D363,"16 Remaining Amt. (LCY)")</t>
  </si>
  <si>
    <t>=NF($D364,"16 Remaining Amt. (LCY)")</t>
  </si>
  <si>
    <t>=NF($D365,"16 Remaining Amt. (LCY)")</t>
  </si>
  <si>
    <t>=NF($D366,"16 Remaining Amt. (LCY)")</t>
  </si>
  <si>
    <t>=NF($D367,"16 Remaining Amt. (LCY)")</t>
  </si>
  <si>
    <t>=NF($D368,"16 Remaining Amt. (LCY)")</t>
  </si>
  <si>
    <t>=NF($D369,"16 Remaining Amt. (LCY)")</t>
  </si>
  <si>
    <t>=NF($D370,"16 Remaining Amt. (LCY)")</t>
  </si>
  <si>
    <t>=NF($D371,"16 Remaining Amt. (LCY)")</t>
  </si>
  <si>
    <t>=NF($D372,"16 Remaining Amt. (LCY)")</t>
  </si>
  <si>
    <t>=NF($D330,"5 Document Type")</t>
  </si>
  <si>
    <t>=NF($D331,"5 Document Type")</t>
  </si>
  <si>
    <t>=NF($D332,"5 Document Type")</t>
  </si>
  <si>
    <t>=NF($D333,"5 Document Type")</t>
  </si>
  <si>
    <t>=NF($D334,"5 Document Type")</t>
  </si>
  <si>
    <t>=NF($D335,"5 Document Type")</t>
  </si>
  <si>
    <t>=NF($D336,"5 Document Type")</t>
  </si>
  <si>
    <t>=NF($D337,"5 Document Type")</t>
  </si>
  <si>
    <t>=NF($D338,"5 Document Type")</t>
  </si>
  <si>
    <t>=NF($D339,"5 Document Type")</t>
  </si>
  <si>
    <t>=NF($D340,"5 Document Type")</t>
  </si>
  <si>
    <t>=NF($D341,"5 Document Type")</t>
  </si>
  <si>
    <t>=NF($D342,"5 Document Type")</t>
  </si>
  <si>
    <t>=NF($D343,"5 Document Type")</t>
  </si>
  <si>
    <t>=NF($D344,"5 Document Type")</t>
  </si>
  <si>
    <t>=NF($D345,"5 Document Type")</t>
  </si>
  <si>
    <t>=NF($D346,"5 Document Type")</t>
  </si>
  <si>
    <t>=NF($D347,"5 Document Type")</t>
  </si>
  <si>
    <t>=NF($D348,"5 Document Type")</t>
  </si>
  <si>
    <t>=NF($D349,"5 Document Type")</t>
  </si>
  <si>
    <t>=NF($D350,"5 Document Type")</t>
  </si>
  <si>
    <t>=NF($D351,"5 Document Type")</t>
  </si>
  <si>
    <t>=NF($D352,"5 Document Type")</t>
  </si>
  <si>
    <t>=NF($D353,"5 Document Type")</t>
  </si>
  <si>
    <t>=NF($D354,"5 Document Type")</t>
  </si>
  <si>
    <t>=NF($D355,"5 Document Type")</t>
  </si>
  <si>
    <t>=NF($D356,"5 Document Type")</t>
  </si>
  <si>
    <t>=NF($D330,"6 Document No.")</t>
  </si>
  <si>
    <t>=NF($D331,"6 Document No.")</t>
  </si>
  <si>
    <t>=NF($D332,"6 Document No.")</t>
  </si>
  <si>
    <t>=NF($D333,"6 Document No.")</t>
  </si>
  <si>
    <t>=NF($D334,"6 Document No.")</t>
  </si>
  <si>
    <t>=NF($D335,"6 Document No.")</t>
  </si>
  <si>
    <t>=NF($D336,"6 Document No.")</t>
  </si>
  <si>
    <t>=NF($D337,"6 Document No.")</t>
  </si>
  <si>
    <t>=NF($D338,"6 Document No.")</t>
  </si>
  <si>
    <t>=NF($D339,"6 Document No.")</t>
  </si>
  <si>
    <t>=NF($D340,"6 Document No.")</t>
  </si>
  <si>
    <t>=NF($D341,"6 Document No.")</t>
  </si>
  <si>
    <t>=NF($D342,"6 Document No.")</t>
  </si>
  <si>
    <t>=NF($D343,"6 Document No.")</t>
  </si>
  <si>
    <t>=NF($D344,"6 Document No.")</t>
  </si>
  <si>
    <t>=NF($D345,"6 Document No.")</t>
  </si>
  <si>
    <t>=NF($D346,"6 Document No.")</t>
  </si>
  <si>
    <t>=NF($D347,"6 Document No.")</t>
  </si>
  <si>
    <t>=NF($D348,"6 Document No.")</t>
  </si>
  <si>
    <t>=NF($D349,"6 Document No.")</t>
  </si>
  <si>
    <t>=NF($D350,"6 Document No.")</t>
  </si>
  <si>
    <t>=NF($D351,"6 Document No.")</t>
  </si>
  <si>
    <t>=NF($D352,"6 Document No.")</t>
  </si>
  <si>
    <t>=NF($D353,"6 Document No.")</t>
  </si>
  <si>
    <t>=NF($D354,"6 Document No.")</t>
  </si>
  <si>
    <t>=NF($D355,"6 Document No.")</t>
  </si>
  <si>
    <t>=NF($D356,"6 Document No.")</t>
  </si>
  <si>
    <t>=NF($D330,"37 Due Date")</t>
  </si>
  <si>
    <t>=NF($D331,"37 Due Date")</t>
  </si>
  <si>
    <t>=NF($D332,"37 Due Date")</t>
  </si>
  <si>
    <t>=NF($D333,"37 Due Date")</t>
  </si>
  <si>
    <t>=NF($D334,"37 Due Date")</t>
  </si>
  <si>
    <t>=NF($D335,"37 Due Date")</t>
  </si>
  <si>
    <t>=NF($D336,"37 Due Date")</t>
  </si>
  <si>
    <t>=NF($D337,"37 Due Date")</t>
  </si>
  <si>
    <t>=NF($D338,"37 Due Date")</t>
  </si>
  <si>
    <t>=NF($D339,"37 Due Date")</t>
  </si>
  <si>
    <t>=NF($D340,"37 Due Date")</t>
  </si>
  <si>
    <t>=NF($D341,"37 Due Date")</t>
  </si>
  <si>
    <t>=NF($D342,"37 Due Date")</t>
  </si>
  <si>
    <t>=NF($D343,"37 Due Date")</t>
  </si>
  <si>
    <t>=NF($D344,"37 Due Date")</t>
  </si>
  <si>
    <t>=NF($D345,"37 Due Date")</t>
  </si>
  <si>
    <t>=NF($D346,"37 Due Date")</t>
  </si>
  <si>
    <t>=NF($D347,"37 Due Date")</t>
  </si>
  <si>
    <t>=NF($D348,"37 Due Date")</t>
  </si>
  <si>
    <t>=NF($D349,"37 Due Date")</t>
  </si>
  <si>
    <t>=NF($D350,"37 Due Date")</t>
  </si>
  <si>
    <t>=NF($D351,"37 Due Date")</t>
  </si>
  <si>
    <t>=NF($D352,"37 Due Date")</t>
  </si>
  <si>
    <t>=NF($D353,"37 Due Date")</t>
  </si>
  <si>
    <t>=NF($D354,"37 Due Date")</t>
  </si>
  <si>
    <t>=NF($D355,"37 Due Date")</t>
  </si>
  <si>
    <t>=NF($D356,"37 Due Date")</t>
  </si>
  <si>
    <t>=NF($D330,"16 Remaining Amt. (LCY)")</t>
  </si>
  <si>
    <t>=NF($D331,"16 Remaining Amt. (LCY)")</t>
  </si>
  <si>
    <t>=NF($D332,"16 Remaining Amt. (LCY)")</t>
  </si>
  <si>
    <t>=NF($D333,"16 Remaining Amt. (LCY)")</t>
  </si>
  <si>
    <t>=NF($D334,"16 Remaining Amt. (LCY)")</t>
  </si>
  <si>
    <t>=NF($D335,"16 Remaining Amt. (LCY)")</t>
  </si>
  <si>
    <t>=NF($D336,"16 Remaining Amt. (LCY)")</t>
  </si>
  <si>
    <t>=NF($D337,"16 Remaining Amt. (LCY)")</t>
  </si>
  <si>
    <t>=NF($D338,"16 Remaining Amt. (LCY)")</t>
  </si>
  <si>
    <t>=NF($D339,"16 Remaining Amt. (LCY)")</t>
  </si>
  <si>
    <t>=NF($D340,"16 Remaining Amt. (LCY)")</t>
  </si>
  <si>
    <t>=NF($D341,"16 Remaining Amt. (LCY)")</t>
  </si>
  <si>
    <t>=NF($D342,"16 Remaining Amt. (LCY)")</t>
  </si>
  <si>
    <t>=NF($D343,"16 Remaining Amt. (LCY)")</t>
  </si>
  <si>
    <t>=NF($D344,"16 Remaining Amt. (LCY)")</t>
  </si>
  <si>
    <t>=NF($D345,"16 Remaining Amt. (LCY)")</t>
  </si>
  <si>
    <t>=NF($D346,"16 Remaining Amt. (LCY)")</t>
  </si>
  <si>
    <t>=NF($D347,"16 Remaining Amt. (LCY)")</t>
  </si>
  <si>
    <t>=NF($D348,"16 Remaining Amt. (LCY)")</t>
  </si>
  <si>
    <t>=NF($D349,"16 Remaining Amt. (LCY)")</t>
  </si>
  <si>
    <t>=NF($D350,"16 Remaining Amt. (LCY)")</t>
  </si>
  <si>
    <t>=NF($D351,"16 Remaining Amt. (LCY)")</t>
  </si>
  <si>
    <t>=NF($D352,"16 Remaining Amt. (LCY)")</t>
  </si>
  <si>
    <t>=NF($D353,"16 Remaining Amt. (LCY)")</t>
  </si>
  <si>
    <t>=NF($D354,"16 Remaining Amt. (LCY)")</t>
  </si>
  <si>
    <t>=NF($D355,"16 Remaining Amt. (LCY)")</t>
  </si>
  <si>
    <t>=NF($D356,"16 Remaining Amt. (LCY)")</t>
  </si>
  <si>
    <t>=NF($D316,"5 Document Type")</t>
  </si>
  <si>
    <t>=NF($D317,"5 Document Type")</t>
  </si>
  <si>
    <t>=NF($D318,"5 Document Type")</t>
  </si>
  <si>
    <t>=NF($D319,"5 Document Type")</t>
  </si>
  <si>
    <t>=NF($D320,"5 Document Type")</t>
  </si>
  <si>
    <t>=NF($D321,"5 Document Type")</t>
  </si>
  <si>
    <t>=NF($D322,"5 Document Type")</t>
  </si>
  <si>
    <t>=NF($D323,"5 Document Type")</t>
  </si>
  <si>
    <t>=NF($D316,"6 Document No.")</t>
  </si>
  <si>
    <t>=NF($D317,"6 Document No.")</t>
  </si>
  <si>
    <t>=NF($D318,"6 Document No.")</t>
  </si>
  <si>
    <t>=NF($D319,"6 Document No.")</t>
  </si>
  <si>
    <t>=NF($D320,"6 Document No.")</t>
  </si>
  <si>
    <t>=NF($D321,"6 Document No.")</t>
  </si>
  <si>
    <t>=NF($D322,"6 Document No.")</t>
  </si>
  <si>
    <t>=NF($D323,"6 Document No.")</t>
  </si>
  <si>
    <t>=NF($D316,"37 Due Date")</t>
  </si>
  <si>
    <t>=NF($D317,"37 Due Date")</t>
  </si>
  <si>
    <t>=NF($D318,"37 Due Date")</t>
  </si>
  <si>
    <t>=NF($D319,"37 Due Date")</t>
  </si>
  <si>
    <t>=NF($D320,"37 Due Date")</t>
  </si>
  <si>
    <t>=NF($D321,"37 Due Date")</t>
  </si>
  <si>
    <t>=NF($D322,"37 Due Date")</t>
  </si>
  <si>
    <t>=NF($D323,"37 Due Date")</t>
  </si>
  <si>
    <t>=NF($D316,"16 Remaining Amt. (LCY)")</t>
  </si>
  <si>
    <t>=NF($D317,"16 Remaining Amt. (LCY)")</t>
  </si>
  <si>
    <t>=NF($D318,"16 Remaining Amt. (LCY)")</t>
  </si>
  <si>
    <t>=NF($D319,"16 Remaining Amt. (LCY)")</t>
  </si>
  <si>
    <t>=NF($D320,"16 Remaining Amt. (LCY)")</t>
  </si>
  <si>
    <t>=NF($D321,"16 Remaining Amt. (LCY)")</t>
  </si>
  <si>
    <t>=NF($D322,"16 Remaining Amt. (LCY)")</t>
  </si>
  <si>
    <t>=NF($D323,"16 Remaining Amt. (LCY)")</t>
  </si>
  <si>
    <t>=NF($D267,"5 Document Type")</t>
  </si>
  <si>
    <t>=NF($D268,"5 Document Type")</t>
  </si>
  <si>
    <t>=NF($D269,"5 Document Type")</t>
  </si>
  <si>
    <t>=NF($D270,"5 Document Type")</t>
  </si>
  <si>
    <t>=NF($D271,"5 Document Type")</t>
  </si>
  <si>
    <t>=NF($D272,"5 Document Type")</t>
  </si>
  <si>
    <t>=NF($D273,"5 Document Type")</t>
  </si>
  <si>
    <t>=NF($D274,"5 Document Type")</t>
  </si>
  <si>
    <t>=NF($D275,"5 Document Type")</t>
  </si>
  <si>
    <t>=NF($D276,"5 Document Type")</t>
  </si>
  <si>
    <t>=NF($D277,"5 Document Type")</t>
  </si>
  <si>
    <t>=NF($D278,"5 Document Type")</t>
  </si>
  <si>
    <t>=NF($D279,"5 Document Type")</t>
  </si>
  <si>
    <t>=NF($D280,"5 Document Type")</t>
  </si>
  <si>
    <t>=NF($D281,"5 Document Type")</t>
  </si>
  <si>
    <t>=NF($D282,"5 Document Type")</t>
  </si>
  <si>
    <t>=NF($D283,"5 Document Type")</t>
  </si>
  <si>
    <t>=NF($D284,"5 Document Type")</t>
  </si>
  <si>
    <t>=NF($D285,"5 Document Type")</t>
  </si>
  <si>
    <t>=NF($D286,"5 Document Type")</t>
  </si>
  <si>
    <t>=NF($D287,"5 Document Type")</t>
  </si>
  <si>
    <t>=NF($D288,"5 Document Type")</t>
  </si>
  <si>
    <t>=NF($D289,"5 Document Type")</t>
  </si>
  <si>
    <t>=NF($D290,"5 Document Type")</t>
  </si>
  <si>
    <t>=NF($D291,"5 Document Type")</t>
  </si>
  <si>
    <t>=NF($D292,"5 Document Type")</t>
  </si>
  <si>
    <t>=NF($D293,"5 Document Type")</t>
  </si>
  <si>
    <t>=NF($D294,"5 Document Type")</t>
  </si>
  <si>
    <t>=NF($D295,"5 Document Type")</t>
  </si>
  <si>
    <t>=NF($D296,"5 Document Type")</t>
  </si>
  <si>
    <t>=NF($D297,"5 Document Type")</t>
  </si>
  <si>
    <t>=NF($D298,"5 Document Type")</t>
  </si>
  <si>
    <t>=NF($D299,"5 Document Type")</t>
  </si>
  <si>
    <t>=NF($D300,"5 Document Type")</t>
  </si>
  <si>
    <t>=NF($D301,"5 Document Type")</t>
  </si>
  <si>
    <t>=NF($D302,"5 Document Type")</t>
  </si>
  <si>
    <t>=NF($D303,"5 Document Type")</t>
  </si>
  <si>
    <t>=NF($D304,"5 Document Type")</t>
  </si>
  <si>
    <t>=NF($D305,"5 Document Type")</t>
  </si>
  <si>
    <t>=NF($D306,"5 Document Type")</t>
  </si>
  <si>
    <t>=NF($D307,"5 Document Type")</t>
  </si>
  <si>
    <t>=NF($D308,"5 Document Type")</t>
  </si>
  <si>
    <t>=NF($D309,"5 Document Type")</t>
  </si>
  <si>
    <t>=NF($D267,"6 Document No.")</t>
  </si>
  <si>
    <t>=NF($D268,"6 Document No.")</t>
  </si>
  <si>
    <t>=NF($D269,"6 Document No.")</t>
  </si>
  <si>
    <t>=NF($D270,"6 Document No.")</t>
  </si>
  <si>
    <t>=NF($D271,"6 Document No.")</t>
  </si>
  <si>
    <t>=NF($D272,"6 Document No.")</t>
  </si>
  <si>
    <t>=NF($D273,"6 Document No.")</t>
  </si>
  <si>
    <t>=NF($D274,"6 Document No.")</t>
  </si>
  <si>
    <t>=NF($D275,"6 Document No.")</t>
  </si>
  <si>
    <t>=NF($D276,"6 Document No.")</t>
  </si>
  <si>
    <t>=NF($D277,"6 Document No.")</t>
  </si>
  <si>
    <t>=NF($D278,"6 Document No.")</t>
  </si>
  <si>
    <t>=NF($D279,"6 Document No.")</t>
  </si>
  <si>
    <t>=NF($D280,"6 Document No.")</t>
  </si>
  <si>
    <t>=NF($D281,"6 Document No.")</t>
  </si>
  <si>
    <t>=NF($D282,"6 Document No.")</t>
  </si>
  <si>
    <t>=NF($D283,"6 Document No.")</t>
  </si>
  <si>
    <t>=NF($D284,"6 Document No.")</t>
  </si>
  <si>
    <t>=NF($D285,"6 Document No.")</t>
  </si>
  <si>
    <t>=NF($D286,"6 Document No.")</t>
  </si>
  <si>
    <t>=NF($D287,"6 Document No.")</t>
  </si>
  <si>
    <t>=NF($D288,"6 Document No.")</t>
  </si>
  <si>
    <t>=NF($D289,"6 Document No.")</t>
  </si>
  <si>
    <t>=NF($D290,"6 Document No.")</t>
  </si>
  <si>
    <t>=NF($D291,"6 Document No.")</t>
  </si>
  <si>
    <t>=NF($D292,"6 Document No.")</t>
  </si>
  <si>
    <t>=NF($D293,"6 Document No.")</t>
  </si>
  <si>
    <t>=NF($D294,"6 Document No.")</t>
  </si>
  <si>
    <t>=NF($D295,"6 Document No.")</t>
  </si>
  <si>
    <t>=NF($D296,"6 Document No.")</t>
  </si>
  <si>
    <t>=NF($D297,"6 Document No.")</t>
  </si>
  <si>
    <t>=NF($D298,"6 Document No.")</t>
  </si>
  <si>
    <t>=NF($D299,"6 Document No.")</t>
  </si>
  <si>
    <t>=NF($D300,"6 Document No.")</t>
  </si>
  <si>
    <t>=NF($D301,"6 Document No.")</t>
  </si>
  <si>
    <t>=NF($D302,"6 Document No.")</t>
  </si>
  <si>
    <t>=NF($D303,"6 Document No.")</t>
  </si>
  <si>
    <t>=NF($D304,"6 Document No.")</t>
  </si>
  <si>
    <t>=NF($D305,"6 Document No.")</t>
  </si>
  <si>
    <t>=NF($D306,"6 Document No.")</t>
  </si>
  <si>
    <t>=NF($D307,"6 Document No.")</t>
  </si>
  <si>
    <t>=NF($D308,"6 Document No.")</t>
  </si>
  <si>
    <t>=NF($D309,"6 Document No.")</t>
  </si>
  <si>
    <t>=NF($D267,"37 Due Date")</t>
  </si>
  <si>
    <t>=NF($D268,"37 Due Date")</t>
  </si>
  <si>
    <t>=NF($D269,"37 Due Date")</t>
  </si>
  <si>
    <t>=NF($D270,"37 Due Date")</t>
  </si>
  <si>
    <t>=NF($D271,"37 Due Date")</t>
  </si>
  <si>
    <t>=NF($D272,"37 Due Date")</t>
  </si>
  <si>
    <t>=NF($D273,"37 Due Date")</t>
  </si>
  <si>
    <t>=NF($D274,"37 Due Date")</t>
  </si>
  <si>
    <t>=NF($D275,"37 Due Date")</t>
  </si>
  <si>
    <t>=NF($D276,"37 Due Date")</t>
  </si>
  <si>
    <t>=NF($D277,"37 Due Date")</t>
  </si>
  <si>
    <t>=NF($D278,"37 Due Date")</t>
  </si>
  <si>
    <t>=NF($D279,"37 Due Date")</t>
  </si>
  <si>
    <t>=NF($D280,"37 Due Date")</t>
  </si>
  <si>
    <t>=NF($D281,"37 Due Date")</t>
  </si>
  <si>
    <t>=NF($D282,"37 Due Date")</t>
  </si>
  <si>
    <t>=NF($D283,"37 Due Date")</t>
  </si>
  <si>
    <t>=NF($D284,"37 Due Date")</t>
  </si>
  <si>
    <t>=NF($D285,"37 Due Date")</t>
  </si>
  <si>
    <t>=NF($D286,"37 Due Date")</t>
  </si>
  <si>
    <t>=NF($D287,"37 Due Date")</t>
  </si>
  <si>
    <t>=NF($D288,"37 Due Date")</t>
  </si>
  <si>
    <t>=NF($D289,"37 Due Date")</t>
  </si>
  <si>
    <t>=NF($D290,"37 Due Date")</t>
  </si>
  <si>
    <t>=NF($D291,"37 Due Date")</t>
  </si>
  <si>
    <t>=NF($D292,"37 Due Date")</t>
  </si>
  <si>
    <t>=NF($D293,"37 Due Date")</t>
  </si>
  <si>
    <t>=NF($D294,"37 Due Date")</t>
  </si>
  <si>
    <t>=NF($D295,"37 Due Date")</t>
  </si>
  <si>
    <t>=NF($D296,"37 Due Date")</t>
  </si>
  <si>
    <t>=NF($D297,"37 Due Date")</t>
  </si>
  <si>
    <t>=NF($D298,"37 Due Date")</t>
  </si>
  <si>
    <t>=NF($D299,"37 Due Date")</t>
  </si>
  <si>
    <t>=NF($D300,"37 Due Date")</t>
  </si>
  <si>
    <t>=NF($D301,"37 Due Date")</t>
  </si>
  <si>
    <t>=NF($D302,"37 Due Date")</t>
  </si>
  <si>
    <t>=NF($D303,"37 Due Date")</t>
  </si>
  <si>
    <t>=NF($D304,"37 Due Date")</t>
  </si>
  <si>
    <t>=NF($D305,"37 Due Date")</t>
  </si>
  <si>
    <t>=NF($D306,"37 Due Date")</t>
  </si>
  <si>
    <t>=NF($D307,"37 Due Date")</t>
  </si>
  <si>
    <t>=NF($D308,"37 Due Date")</t>
  </si>
  <si>
    <t>=NF($D309,"37 Due Date")</t>
  </si>
  <si>
    <t>=NF($D267,"16 Remaining Amt. (LCY)")</t>
  </si>
  <si>
    <t>=NF($D268,"16 Remaining Amt. (LCY)")</t>
  </si>
  <si>
    <t>=NF($D269,"16 Remaining Amt. (LCY)")</t>
  </si>
  <si>
    <t>=NF($D270,"16 Remaining Amt. (LCY)")</t>
  </si>
  <si>
    <t>=NF($D271,"16 Remaining Amt. (LCY)")</t>
  </si>
  <si>
    <t>=NF($D272,"16 Remaining Amt. (LCY)")</t>
  </si>
  <si>
    <t>=NF($D273,"16 Remaining Amt. (LCY)")</t>
  </si>
  <si>
    <t>=NF($D274,"16 Remaining Amt. (LCY)")</t>
  </si>
  <si>
    <t>=NF($D275,"16 Remaining Amt. (LCY)")</t>
  </si>
  <si>
    <t>=NF($D276,"16 Remaining Amt. (LCY)")</t>
  </si>
  <si>
    <t>=NF($D277,"16 Remaining Amt. (LCY)")</t>
  </si>
  <si>
    <t>=NF($D278,"16 Remaining Amt. (LCY)")</t>
  </si>
  <si>
    <t>=NF($D279,"16 Remaining Amt. (LCY)")</t>
  </si>
  <si>
    <t>=NF($D280,"16 Remaining Amt. (LCY)")</t>
  </si>
  <si>
    <t>=NF($D281,"16 Remaining Amt. (LCY)")</t>
  </si>
  <si>
    <t>=NF($D282,"16 Remaining Amt. (LCY)")</t>
  </si>
  <si>
    <t>=NF($D283,"16 Remaining Amt. (LCY)")</t>
  </si>
  <si>
    <t>=NF($D284,"16 Remaining Amt. (LCY)")</t>
  </si>
  <si>
    <t>=NF($D285,"16 Remaining Amt. (LCY)")</t>
  </si>
  <si>
    <t>=NF($D286,"16 Remaining Amt. (LCY)")</t>
  </si>
  <si>
    <t>=NF($D287,"16 Remaining Amt. (LCY)")</t>
  </si>
  <si>
    <t>=NF($D288,"16 Remaining Amt. (LCY)")</t>
  </si>
  <si>
    <t>=NF($D289,"16 Remaining Amt. (LCY)")</t>
  </si>
  <si>
    <t>=NF($D290,"16 Remaining Amt. (LCY)")</t>
  </si>
  <si>
    <t>=NF($D291,"16 Remaining Amt. (LCY)")</t>
  </si>
  <si>
    <t>=NF($D292,"16 Remaining Amt. (LCY)")</t>
  </si>
  <si>
    <t>=NF($D293,"16 Remaining Amt. (LCY)")</t>
  </si>
  <si>
    <t>=NF($D294,"16 Remaining Amt. (LCY)")</t>
  </si>
  <si>
    <t>=NF($D295,"16 Remaining Amt. (LCY)")</t>
  </si>
  <si>
    <t>=NF($D296,"16 Remaining Amt. (LCY)")</t>
  </si>
  <si>
    <t>=NF($D297,"16 Remaining Amt. (LCY)")</t>
  </si>
  <si>
    <t>=NF($D298,"16 Remaining Amt. (LCY)")</t>
  </si>
  <si>
    <t>=NF($D299,"16 Remaining Amt. (LCY)")</t>
  </si>
  <si>
    <t>=NF($D300,"16 Remaining Amt. (LCY)")</t>
  </si>
  <si>
    <t>=NF($D301,"16 Remaining Amt. (LCY)")</t>
  </si>
  <si>
    <t>=NF($D302,"16 Remaining Amt. (LCY)")</t>
  </si>
  <si>
    <t>=NF($D303,"16 Remaining Amt. (LCY)")</t>
  </si>
  <si>
    <t>=NF($D304,"16 Remaining Amt. (LCY)")</t>
  </si>
  <si>
    <t>=NF($D305,"16 Remaining Amt. (LCY)")</t>
  </si>
  <si>
    <t>=NF($D306,"16 Remaining Amt. (LCY)")</t>
  </si>
  <si>
    <t>=NF($D307,"16 Remaining Amt. (LCY)")</t>
  </si>
  <si>
    <t>=NF($D308,"16 Remaining Amt. (LCY)")</t>
  </si>
  <si>
    <t>=NF($D309,"16 Remaining Amt. (LCY)")</t>
  </si>
  <si>
    <t>=NF($D238,"5 Document Type")</t>
  </si>
  <si>
    <t>=NF($D239,"5 Document Type")</t>
  </si>
  <si>
    <t>=NF($D240,"5 Document Type")</t>
  </si>
  <si>
    <t>=NF($D241,"5 Document Type")</t>
  </si>
  <si>
    <t>=NF($D242,"5 Document Type")</t>
  </si>
  <si>
    <t>=NF($D243,"5 Document Type")</t>
  </si>
  <si>
    <t>=NF($D244,"5 Document Type")</t>
  </si>
  <si>
    <t>=NF($D245,"5 Document Type")</t>
  </si>
  <si>
    <t>=NF($D246,"5 Document Type")</t>
  </si>
  <si>
    <t>=NF($D247,"5 Document Type")</t>
  </si>
  <si>
    <t>=NF($D248,"5 Document Type")</t>
  </si>
  <si>
    <t>=NF($D249,"5 Document Type")</t>
  </si>
  <si>
    <t>=NF($D250,"5 Document Type")</t>
  </si>
  <si>
    <t>=NF($D251,"5 Document Type")</t>
  </si>
  <si>
    <t>=NF($D252,"5 Document Type")</t>
  </si>
  <si>
    <t>=NF($D253,"5 Document Type")</t>
  </si>
  <si>
    <t>=NF($D254,"5 Document Type")</t>
  </si>
  <si>
    <t>=NF($D255,"5 Document Type")</t>
  </si>
  <si>
    <t>=NF($D256,"5 Document Type")</t>
  </si>
  <si>
    <t>=NF($D257,"5 Document Type")</t>
  </si>
  <si>
    <t>=NF($D258,"5 Document Type")</t>
  </si>
  <si>
    <t>=NF($D259,"5 Document Type")</t>
  </si>
  <si>
    <t>=NF($D260,"5 Document Type")</t>
  </si>
  <si>
    <t>=NF($D238,"6 Document No.")</t>
  </si>
  <si>
    <t>=NF($D239,"6 Document No.")</t>
  </si>
  <si>
    <t>=NF($D240,"6 Document No.")</t>
  </si>
  <si>
    <t>=NF($D241,"6 Document No.")</t>
  </si>
  <si>
    <t>=NF($D242,"6 Document No.")</t>
  </si>
  <si>
    <t>=NF($D243,"6 Document No.")</t>
  </si>
  <si>
    <t>=NF($D244,"6 Document No.")</t>
  </si>
  <si>
    <t>=NF($D245,"6 Document No.")</t>
  </si>
  <si>
    <t>=NF($D246,"6 Document No.")</t>
  </si>
  <si>
    <t>=NF($D247,"6 Document No.")</t>
  </si>
  <si>
    <t>=NF($D248,"6 Document No.")</t>
  </si>
  <si>
    <t>=NF($D249,"6 Document No.")</t>
  </si>
  <si>
    <t>=NF($D250,"6 Document No.")</t>
  </si>
  <si>
    <t>=NF($D251,"6 Document No.")</t>
  </si>
  <si>
    <t>=NF($D252,"6 Document No.")</t>
  </si>
  <si>
    <t>=NF($D253,"6 Document No.")</t>
  </si>
  <si>
    <t>=NF($D254,"6 Document No.")</t>
  </si>
  <si>
    <t>=NF($D255,"6 Document No.")</t>
  </si>
  <si>
    <t>=NF($D256,"6 Document No.")</t>
  </si>
  <si>
    <t>=NF($D257,"6 Document No.")</t>
  </si>
  <si>
    <t>=NF($D258,"6 Document No.")</t>
  </si>
  <si>
    <t>=NF($D259,"6 Document No.")</t>
  </si>
  <si>
    <t>=NF($D260,"6 Document No.")</t>
  </si>
  <si>
    <t>=NF($D238,"37 Due Date")</t>
  </si>
  <si>
    <t>=NF($D239,"37 Due Date")</t>
  </si>
  <si>
    <t>=NF($D240,"37 Due Date")</t>
  </si>
  <si>
    <t>=NF($D241,"37 Due Date")</t>
  </si>
  <si>
    <t>=NF($D242,"37 Due Date")</t>
  </si>
  <si>
    <t>=NF($D243,"37 Due Date")</t>
  </si>
  <si>
    <t>=NF($D244,"37 Due Date")</t>
  </si>
  <si>
    <t>=NF($D245,"37 Due Date")</t>
  </si>
  <si>
    <t>=NF($D246,"37 Due Date")</t>
  </si>
  <si>
    <t>=NF($D247,"37 Due Date")</t>
  </si>
  <si>
    <t>=NF($D248,"37 Due Date")</t>
  </si>
  <si>
    <t>=NF($D249,"37 Due Date")</t>
  </si>
  <si>
    <t>=NF($D250,"37 Due Date")</t>
  </si>
  <si>
    <t>=NF($D251,"37 Due Date")</t>
  </si>
  <si>
    <t>=NF($D252,"37 Due Date")</t>
  </si>
  <si>
    <t>=NF($D253,"37 Due Date")</t>
  </si>
  <si>
    <t>=NF($D254,"37 Due Date")</t>
  </si>
  <si>
    <t>=NF($D255,"37 Due Date")</t>
  </si>
  <si>
    <t>=NF($D256,"37 Due Date")</t>
  </si>
  <si>
    <t>=NF($D257,"37 Due Date")</t>
  </si>
  <si>
    <t>=NF($D258,"37 Due Date")</t>
  </si>
  <si>
    <t>=NF($D259,"37 Due Date")</t>
  </si>
  <si>
    <t>=NF($D260,"37 Due Date")</t>
  </si>
  <si>
    <t>=NF($D238,"16 Remaining Amt. (LCY)")</t>
  </si>
  <si>
    <t>=NF($D239,"16 Remaining Amt. (LCY)")</t>
  </si>
  <si>
    <t>=NF($D240,"16 Remaining Amt. (LCY)")</t>
  </si>
  <si>
    <t>=NF($D241,"16 Remaining Amt. (LCY)")</t>
  </si>
  <si>
    <t>=NF($D242,"16 Remaining Amt. (LCY)")</t>
  </si>
  <si>
    <t>=NF($D243,"16 Remaining Amt. (LCY)")</t>
  </si>
  <si>
    <t>=NF($D244,"16 Remaining Amt. (LCY)")</t>
  </si>
  <si>
    <t>=NF($D245,"16 Remaining Amt. (LCY)")</t>
  </si>
  <si>
    <t>=NF($D246,"16 Remaining Amt. (LCY)")</t>
  </si>
  <si>
    <t>=NF($D247,"16 Remaining Amt. (LCY)")</t>
  </si>
  <si>
    <t>=NF($D248,"16 Remaining Amt. (LCY)")</t>
  </si>
  <si>
    <t>=NF($D249,"16 Remaining Amt. (LCY)")</t>
  </si>
  <si>
    <t>=NF($D250,"16 Remaining Amt. (LCY)")</t>
  </si>
  <si>
    <t>=NF($D251,"16 Remaining Amt. (LCY)")</t>
  </si>
  <si>
    <t>=NF($D252,"16 Remaining Amt. (LCY)")</t>
  </si>
  <si>
    <t>=NF($D253,"16 Remaining Amt. (LCY)")</t>
  </si>
  <si>
    <t>=NF($D254,"16 Remaining Amt. (LCY)")</t>
  </si>
  <si>
    <t>=NF($D255,"16 Remaining Amt. (LCY)")</t>
  </si>
  <si>
    <t>=NF($D256,"16 Remaining Amt. (LCY)")</t>
  </si>
  <si>
    <t>=NF($D257,"16 Remaining Amt. (LCY)")</t>
  </si>
  <si>
    <t>=NF($D258,"16 Remaining Amt. (LCY)")</t>
  </si>
  <si>
    <t>=NF($D259,"16 Remaining Amt. (LCY)")</t>
  </si>
  <si>
    <t>=NF($D260,"16 Remaining Amt. (LCY)")</t>
  </si>
  <si>
    <t>=NF($D191,"5 Document Type")</t>
  </si>
  <si>
    <t>=NF($D192,"5 Document Type")</t>
  </si>
  <si>
    <t>=NF($D193,"5 Document Type")</t>
  </si>
  <si>
    <t>=NF($D194,"5 Document Type")</t>
  </si>
  <si>
    <t>=NF($D195,"5 Document Type")</t>
  </si>
  <si>
    <t>=NF($D196,"5 Document Type")</t>
  </si>
  <si>
    <t>=NF($D197,"5 Document Type")</t>
  </si>
  <si>
    <t>=NF($D198,"5 Document Type")</t>
  </si>
  <si>
    <t>=NF($D199,"5 Document Type")</t>
  </si>
  <si>
    <t>=NF($D200,"5 Document Type")</t>
  </si>
  <si>
    <t>=NF($D201,"5 Document Type")</t>
  </si>
  <si>
    <t>=NF($D202,"5 Document Type")</t>
  </si>
  <si>
    <t>=NF($D203,"5 Document Type")</t>
  </si>
  <si>
    <t>=NF($D204,"5 Document Type")</t>
  </si>
  <si>
    <t>=NF($D205,"5 Document Type")</t>
  </si>
  <si>
    <t>=NF($D206,"5 Document Type")</t>
  </si>
  <si>
    <t>=NF($D207,"5 Document Type")</t>
  </si>
  <si>
    <t>=NF($D208,"5 Document Type")</t>
  </si>
  <si>
    <t>=NF($D209,"5 Document Type")</t>
  </si>
  <si>
    <t>=NF($D210,"5 Document Type")</t>
  </si>
  <si>
    <t>=NF($D211,"5 Document Type")</t>
  </si>
  <si>
    <t>=NF($D212,"5 Document Type")</t>
  </si>
  <si>
    <t>=NF($D213,"5 Document Type")</t>
  </si>
  <si>
    <t>=NF($D214,"5 Document Type")</t>
  </si>
  <si>
    <t>=NF($D215,"5 Document Type")</t>
  </si>
  <si>
    <t>=NF($D216,"5 Document Type")</t>
  </si>
  <si>
    <t>=NF($D217,"5 Document Type")</t>
  </si>
  <si>
    <t>=NF($D218,"5 Document Type")</t>
  </si>
  <si>
    <t>=NF($D219,"5 Document Type")</t>
  </si>
  <si>
    <t>=NF($D220,"5 Document Type")</t>
  </si>
  <si>
    <t>=NF($D221,"5 Document Type")</t>
  </si>
  <si>
    <t>=NF($D222,"5 Document Type")</t>
  </si>
  <si>
    <t>=NF($D223,"5 Document Type")</t>
  </si>
  <si>
    <t>=NF($D224,"5 Document Type")</t>
  </si>
  <si>
    <t>=NF($D225,"5 Document Type")</t>
  </si>
  <si>
    <t>=NF($D226,"5 Document Type")</t>
  </si>
  <si>
    <t>=NF($D227,"5 Document Type")</t>
  </si>
  <si>
    <t>=NF($D228,"5 Document Type")</t>
  </si>
  <si>
    <t>=NF($D229,"5 Document Type")</t>
  </si>
  <si>
    <t>=NF($D230,"5 Document Type")</t>
  </si>
  <si>
    <t>=NF($D231,"5 Document Type")</t>
  </si>
  <si>
    <t>=NF($D191,"6 Document No.")</t>
  </si>
  <si>
    <t>=NF($D192,"6 Document No.")</t>
  </si>
  <si>
    <t>=NF($D193,"6 Document No.")</t>
  </si>
  <si>
    <t>=NF($D194,"6 Document No.")</t>
  </si>
  <si>
    <t>=NF($D195,"6 Document No.")</t>
  </si>
  <si>
    <t>=NF($D196,"6 Document No.")</t>
  </si>
  <si>
    <t>=NF($D197,"6 Document No.")</t>
  </si>
  <si>
    <t>=NF($D198,"6 Document No.")</t>
  </si>
  <si>
    <t>=NF($D199,"6 Document No.")</t>
  </si>
  <si>
    <t>=NF($D200,"6 Document No.")</t>
  </si>
  <si>
    <t>=NF($D201,"6 Document No.")</t>
  </si>
  <si>
    <t>=NF($D202,"6 Document No.")</t>
  </si>
  <si>
    <t>=NF($D203,"6 Document No.")</t>
  </si>
  <si>
    <t>=NF($D204,"6 Document No.")</t>
  </si>
  <si>
    <t>=NF($D205,"6 Document No.")</t>
  </si>
  <si>
    <t>=NF($D206,"6 Document No.")</t>
  </si>
  <si>
    <t>=NF($D207,"6 Document No.")</t>
  </si>
  <si>
    <t>=NF($D208,"6 Document No.")</t>
  </si>
  <si>
    <t>=NF($D209,"6 Document No.")</t>
  </si>
  <si>
    <t>=NF($D210,"6 Document No.")</t>
  </si>
  <si>
    <t>=NF($D211,"6 Document No.")</t>
  </si>
  <si>
    <t>=NF($D212,"6 Document No.")</t>
  </si>
  <si>
    <t>=NF($D213,"6 Document No.")</t>
  </si>
  <si>
    <t>=NF($D214,"6 Document No.")</t>
  </si>
  <si>
    <t>=NF($D215,"6 Document No.")</t>
  </si>
  <si>
    <t>=NF($D216,"6 Document No.")</t>
  </si>
  <si>
    <t>=NF($D217,"6 Document No.")</t>
  </si>
  <si>
    <t>=NF($D218,"6 Document No.")</t>
  </si>
  <si>
    <t>=NF($D219,"6 Document No.")</t>
  </si>
  <si>
    <t>=NF($D220,"6 Document No.")</t>
  </si>
  <si>
    <t>=NF($D221,"6 Document No.")</t>
  </si>
  <si>
    <t>=NF($D222,"6 Document No.")</t>
  </si>
  <si>
    <t>=NF($D223,"6 Document No.")</t>
  </si>
  <si>
    <t>=NF($D224,"6 Document No.")</t>
  </si>
  <si>
    <t>=NF($D225,"6 Document No.")</t>
  </si>
  <si>
    <t>=NF($D226,"6 Document No.")</t>
  </si>
  <si>
    <t>=NF($D227,"6 Document No.")</t>
  </si>
  <si>
    <t>=NF($D228,"6 Document No.")</t>
  </si>
  <si>
    <t>=NF($D229,"6 Document No.")</t>
  </si>
  <si>
    <t>=NF($D230,"6 Document No.")</t>
  </si>
  <si>
    <t>=NF($D231,"6 Document No.")</t>
  </si>
  <si>
    <t>=NF($D191,"37 Due Date")</t>
  </si>
  <si>
    <t>=NF($D192,"37 Due Date")</t>
  </si>
  <si>
    <t>=NF($D193,"37 Due Date")</t>
  </si>
  <si>
    <t>=NF($D194,"37 Due Date")</t>
  </si>
  <si>
    <t>=NF($D195,"37 Due Date")</t>
  </si>
  <si>
    <t>=NF($D196,"37 Due Date")</t>
  </si>
  <si>
    <t>=NF($D197,"37 Due Date")</t>
  </si>
  <si>
    <t>=NF($D198,"37 Due Date")</t>
  </si>
  <si>
    <t>=NF($D199,"37 Due Date")</t>
  </si>
  <si>
    <t>=NF($D200,"37 Due Date")</t>
  </si>
  <si>
    <t>=NF($D201,"37 Due Date")</t>
  </si>
  <si>
    <t>=NF($D202,"37 Due Date")</t>
  </si>
  <si>
    <t>=NF($D203,"37 Due Date")</t>
  </si>
  <si>
    <t>=NF($D204,"37 Due Date")</t>
  </si>
  <si>
    <t>=NF($D205,"37 Due Date")</t>
  </si>
  <si>
    <t>=NF($D206,"37 Due Date")</t>
  </si>
  <si>
    <t>=NF($D207,"37 Due Date")</t>
  </si>
  <si>
    <t>=NF($D208,"37 Due Date")</t>
  </si>
  <si>
    <t>=NF($D209,"37 Due Date")</t>
  </si>
  <si>
    <t>=NF($D210,"37 Due Date")</t>
  </si>
  <si>
    <t>=NF($D211,"37 Due Date")</t>
  </si>
  <si>
    <t>=NF($D212,"37 Due Date")</t>
  </si>
  <si>
    <t>=NF($D213,"37 Due Date")</t>
  </si>
  <si>
    <t>=NF($D214,"37 Due Date")</t>
  </si>
  <si>
    <t>=NF($D215,"37 Due Date")</t>
  </si>
  <si>
    <t>=NF($D216,"37 Due Date")</t>
  </si>
  <si>
    <t>=NF($D217,"37 Due Date")</t>
  </si>
  <si>
    <t>=NF($D218,"37 Due Date")</t>
  </si>
  <si>
    <t>=NF($D219,"37 Due Date")</t>
  </si>
  <si>
    <t>=NF($D220,"37 Due Date")</t>
  </si>
  <si>
    <t>=NF($D221,"37 Due Date")</t>
  </si>
  <si>
    <t>=NF($D222,"37 Due Date")</t>
  </si>
  <si>
    <t>=NF($D223,"37 Due Date")</t>
  </si>
  <si>
    <t>=NF($D224,"37 Due Date")</t>
  </si>
  <si>
    <t>=NF($D225,"37 Due Date")</t>
  </si>
  <si>
    <t>=NF($D226,"37 Due Date")</t>
  </si>
  <si>
    <t>=NF($D227,"37 Due Date")</t>
  </si>
  <si>
    <t>=NF($D228,"37 Due Date")</t>
  </si>
  <si>
    <t>=NF($D229,"37 Due Date")</t>
  </si>
  <si>
    <t>=NF($D230,"37 Due Date")</t>
  </si>
  <si>
    <t>=NF($D231,"37 Due Date")</t>
  </si>
  <si>
    <t>=NF($D191,"16 Remaining Amt. (LCY)")</t>
  </si>
  <si>
    <t>=NF($D192,"16 Remaining Amt. (LCY)")</t>
  </si>
  <si>
    <t>=NF($D193,"16 Remaining Amt. (LCY)")</t>
  </si>
  <si>
    <t>=NF($D194,"16 Remaining Amt. (LCY)")</t>
  </si>
  <si>
    <t>=NF($D195,"16 Remaining Amt. (LCY)")</t>
  </si>
  <si>
    <t>=NF($D196,"16 Remaining Amt. (LCY)")</t>
  </si>
  <si>
    <t>=NF($D197,"16 Remaining Amt. (LCY)")</t>
  </si>
  <si>
    <t>=NF($D198,"16 Remaining Amt. (LCY)")</t>
  </si>
  <si>
    <t>=NF($D199,"16 Remaining Amt. (LCY)")</t>
  </si>
  <si>
    <t>=NF($D200,"16 Remaining Amt. (LCY)")</t>
  </si>
  <si>
    <t>=NF($D201,"16 Remaining Amt. (LCY)")</t>
  </si>
  <si>
    <t>=NF($D202,"16 Remaining Amt. (LCY)")</t>
  </si>
  <si>
    <t>=NF($D203,"16 Remaining Amt. (LCY)")</t>
  </si>
  <si>
    <t>=NF($D204,"16 Remaining Amt. (LCY)")</t>
  </si>
  <si>
    <t>=NF($D205,"16 Remaining Amt. (LCY)")</t>
  </si>
  <si>
    <t>=NF($D206,"16 Remaining Amt. (LCY)")</t>
  </si>
  <si>
    <t>=NF($D207,"16 Remaining Amt. (LCY)")</t>
  </si>
  <si>
    <t>=NF($D208,"16 Remaining Amt. (LCY)")</t>
  </si>
  <si>
    <t>=NF($D209,"16 Remaining Amt. (LCY)")</t>
  </si>
  <si>
    <t>=NF($D210,"16 Remaining Amt. (LCY)")</t>
  </si>
  <si>
    <t>=NF($D211,"16 Remaining Amt. (LCY)")</t>
  </si>
  <si>
    <t>=NF($D212,"16 Remaining Amt. (LCY)")</t>
  </si>
  <si>
    <t>=NF($D213,"16 Remaining Amt. (LCY)")</t>
  </si>
  <si>
    <t>=NF($D214,"16 Remaining Amt. (LCY)")</t>
  </si>
  <si>
    <t>=NF($D215,"16 Remaining Amt. (LCY)")</t>
  </si>
  <si>
    <t>=NF($D216,"16 Remaining Amt. (LCY)")</t>
  </si>
  <si>
    <t>=NF($D217,"16 Remaining Amt. (LCY)")</t>
  </si>
  <si>
    <t>=NF($D218,"16 Remaining Amt. (LCY)")</t>
  </si>
  <si>
    <t>=NF($D219,"16 Remaining Amt. (LCY)")</t>
  </si>
  <si>
    <t>=NF($D220,"16 Remaining Amt. (LCY)")</t>
  </si>
  <si>
    <t>=NF($D221,"16 Remaining Amt. (LCY)")</t>
  </si>
  <si>
    <t>=NF($D222,"16 Remaining Amt. (LCY)")</t>
  </si>
  <si>
    <t>=NF($D223,"16 Remaining Amt. (LCY)")</t>
  </si>
  <si>
    <t>=NF($D224,"16 Remaining Amt. (LCY)")</t>
  </si>
  <si>
    <t>=NF($D225,"16 Remaining Amt. (LCY)")</t>
  </si>
  <si>
    <t>=NF($D226,"16 Remaining Amt. (LCY)")</t>
  </si>
  <si>
    <t>=NF($D227,"16 Remaining Amt. (LCY)")</t>
  </si>
  <si>
    <t>=NF($D228,"16 Remaining Amt. (LCY)")</t>
  </si>
  <si>
    <t>=NF($D229,"16 Remaining Amt. (LCY)")</t>
  </si>
  <si>
    <t>=NF($D230,"16 Remaining Amt. (LCY)")</t>
  </si>
  <si>
    <t>=NF($D231,"16 Remaining Amt. (LCY)")</t>
  </si>
  <si>
    <t>=NF($D166,"5 Document Type")</t>
  </si>
  <si>
    <t>=NF($D167,"5 Document Type")</t>
  </si>
  <si>
    <t>=NF($D168,"5 Document Type")</t>
  </si>
  <si>
    <t>=NF($D169,"5 Document Type")</t>
  </si>
  <si>
    <t>=NF($D170,"5 Document Type")</t>
  </si>
  <si>
    <t>=NF($D171,"5 Document Type")</t>
  </si>
  <si>
    <t>=NF($D172,"5 Document Type")</t>
  </si>
  <si>
    <t>=NF($D173,"5 Document Type")</t>
  </si>
  <si>
    <t>=NF($D174,"5 Document Type")</t>
  </si>
  <si>
    <t>=NF($D175,"5 Document Type")</t>
  </si>
  <si>
    <t>=NF($D176,"5 Document Type")</t>
  </si>
  <si>
    <t>=NF($D177,"5 Document Type")</t>
  </si>
  <si>
    <t>=NF($D178,"5 Document Type")</t>
  </si>
  <si>
    <t>=NF($D179,"5 Document Type")</t>
  </si>
  <si>
    <t>=NF($D180,"5 Document Type")</t>
  </si>
  <si>
    <t>=NF($D181,"5 Document Type")</t>
  </si>
  <si>
    <t>=NF($D182,"5 Document Type")</t>
  </si>
  <si>
    <t>=NF($D183,"5 Document Type")</t>
  </si>
  <si>
    <t>=NF($D184,"5 Document Type")</t>
  </si>
  <si>
    <t>=NF($D166,"6 Document No.")</t>
  </si>
  <si>
    <t>=NF($D167,"6 Document No.")</t>
  </si>
  <si>
    <t>=NF($D168,"6 Document No.")</t>
  </si>
  <si>
    <t>=NF($D169,"6 Document No.")</t>
  </si>
  <si>
    <t>=NF($D170,"6 Document No.")</t>
  </si>
  <si>
    <t>=NF($D171,"6 Document No.")</t>
  </si>
  <si>
    <t>=NF($D172,"6 Document No.")</t>
  </si>
  <si>
    <t>=NF($D173,"6 Document No.")</t>
  </si>
  <si>
    <t>=NF($D174,"6 Document No.")</t>
  </si>
  <si>
    <t>=NF($D175,"6 Document No.")</t>
  </si>
  <si>
    <t>=NF($D176,"6 Document No.")</t>
  </si>
  <si>
    <t>=NF($D177,"6 Document No.")</t>
  </si>
  <si>
    <t>=NF($D178,"6 Document No.")</t>
  </si>
  <si>
    <t>=NF($D179,"6 Document No.")</t>
  </si>
  <si>
    <t>=NF($D180,"6 Document No.")</t>
  </si>
  <si>
    <t>=NF($D181,"6 Document No.")</t>
  </si>
  <si>
    <t>=NF($D182,"6 Document No.")</t>
  </si>
  <si>
    <t>=NF($D183,"6 Document No.")</t>
  </si>
  <si>
    <t>=NF($D184,"6 Document No.")</t>
  </si>
  <si>
    <t>=NF($D166,"37 Due Date")</t>
  </si>
  <si>
    <t>=NF($D167,"37 Due Date")</t>
  </si>
  <si>
    <t>=NF($D168,"37 Due Date")</t>
  </si>
  <si>
    <t>=NF($D169,"37 Due Date")</t>
  </si>
  <si>
    <t>=NF($D170,"37 Due Date")</t>
  </si>
  <si>
    <t>=NF($D171,"37 Due Date")</t>
  </si>
  <si>
    <t>=NF($D172,"37 Due Date")</t>
  </si>
  <si>
    <t>=NF($D173,"37 Due Date")</t>
  </si>
  <si>
    <t>=NF($D174,"37 Due Date")</t>
  </si>
  <si>
    <t>=NF($D175,"37 Due Date")</t>
  </si>
  <si>
    <t>=NF($D176,"37 Due Date")</t>
  </si>
  <si>
    <t>=NF($D177,"37 Due Date")</t>
  </si>
  <si>
    <t>=NF($D178,"37 Due Date")</t>
  </si>
  <si>
    <t>=NF($D179,"37 Due Date")</t>
  </si>
  <si>
    <t>=NF($D180,"37 Due Date")</t>
  </si>
  <si>
    <t>=NF($D181,"37 Due Date")</t>
  </si>
  <si>
    <t>=NF($D182,"37 Due Date")</t>
  </si>
  <si>
    <t>=NF($D183,"37 Due Date")</t>
  </si>
  <si>
    <t>=NF($D184,"37 Due Date")</t>
  </si>
  <si>
    <t>=NF($D166,"16 Remaining Amt. (LCY)")</t>
  </si>
  <si>
    <t>=NF($D167,"16 Remaining Amt. (LCY)")</t>
  </si>
  <si>
    <t>=NF($D168,"16 Remaining Amt. (LCY)")</t>
  </si>
  <si>
    <t>=NF($D169,"16 Remaining Amt. (LCY)")</t>
  </si>
  <si>
    <t>=NF($D170,"16 Remaining Amt. (LCY)")</t>
  </si>
  <si>
    <t>=NF($D171,"16 Remaining Amt. (LCY)")</t>
  </si>
  <si>
    <t>=NF($D172,"16 Remaining Amt. (LCY)")</t>
  </si>
  <si>
    <t>=NF($D173,"16 Remaining Amt. (LCY)")</t>
  </si>
  <si>
    <t>=NF($D174,"16 Remaining Amt. (LCY)")</t>
  </si>
  <si>
    <t>=NF($D175,"16 Remaining Amt. (LCY)")</t>
  </si>
  <si>
    <t>=NF($D176,"16 Remaining Amt. (LCY)")</t>
  </si>
  <si>
    <t>=NF($D177,"16 Remaining Amt. (LCY)")</t>
  </si>
  <si>
    <t>=NF($D178,"16 Remaining Amt. (LCY)")</t>
  </si>
  <si>
    <t>=NF($D179,"16 Remaining Amt. (LCY)")</t>
  </si>
  <si>
    <t>=NF($D180,"16 Remaining Amt. (LCY)")</t>
  </si>
  <si>
    <t>=NF($D181,"16 Remaining Amt. (LCY)")</t>
  </si>
  <si>
    <t>=NF($D182,"16 Remaining Amt. (LCY)")</t>
  </si>
  <si>
    <t>=NF($D183,"16 Remaining Amt. (LCY)")</t>
  </si>
  <si>
    <t>=NF($D184,"16 Remaining Amt. (LCY)")</t>
  </si>
  <si>
    <t>=NF($D140,"5 Document Type")</t>
  </si>
  <si>
    <t>=NF($D141,"5 Document Type")</t>
  </si>
  <si>
    <t>=NF($D142,"5 Document Type")</t>
  </si>
  <si>
    <t>=NF($D143,"5 Document Type")</t>
  </si>
  <si>
    <t>=NF($D144,"5 Document Type")</t>
  </si>
  <si>
    <t>=NF($D145,"5 Document Type")</t>
  </si>
  <si>
    <t>=NF($D146,"5 Document Type")</t>
  </si>
  <si>
    <t>=NF($D147,"5 Document Type")</t>
  </si>
  <si>
    <t>=NF($D148,"5 Document Type")</t>
  </si>
  <si>
    <t>=NF($D149,"5 Document Type")</t>
  </si>
  <si>
    <t>=NF($D150,"5 Document Type")</t>
  </si>
  <si>
    <t>=NF($D151,"5 Document Type")</t>
  </si>
  <si>
    <t>=NF($D152,"5 Document Type")</t>
  </si>
  <si>
    <t>=NF($D153,"5 Document Type")</t>
  </si>
  <si>
    <t>=NF($D154,"5 Document Type")</t>
  </si>
  <si>
    <t>=NF($D155,"5 Document Type")</t>
  </si>
  <si>
    <t>=NF($D156,"5 Document Type")</t>
  </si>
  <si>
    <t>=NF($D157,"5 Document Type")</t>
  </si>
  <si>
    <t>=NF($D158,"5 Document Type")</t>
  </si>
  <si>
    <t>=NF($D159,"5 Document Type")</t>
  </si>
  <si>
    <t>=NF($D140,"6 Document No.")</t>
  </si>
  <si>
    <t>=NF($D141,"6 Document No.")</t>
  </si>
  <si>
    <t>=NF($D142,"6 Document No.")</t>
  </si>
  <si>
    <t>=NF($D143,"6 Document No.")</t>
  </si>
  <si>
    <t>=NF($D144,"6 Document No.")</t>
  </si>
  <si>
    <t>=NF($D145,"6 Document No.")</t>
  </si>
  <si>
    <t>=NF($D146,"6 Document No.")</t>
  </si>
  <si>
    <t>=NF($D147,"6 Document No.")</t>
  </si>
  <si>
    <t>=NF($D148,"6 Document No.")</t>
  </si>
  <si>
    <t>=NF($D149,"6 Document No.")</t>
  </si>
  <si>
    <t>=NF($D150,"6 Document No.")</t>
  </si>
  <si>
    <t>=NF($D151,"6 Document No.")</t>
  </si>
  <si>
    <t>=NF($D152,"6 Document No.")</t>
  </si>
  <si>
    <t>=NF($D153,"6 Document No.")</t>
  </si>
  <si>
    <t>=NF($D154,"6 Document No.")</t>
  </si>
  <si>
    <t>=NF($D155,"6 Document No.")</t>
  </si>
  <si>
    <t>=NF($D156,"6 Document No.")</t>
  </si>
  <si>
    <t>=NF($D157,"6 Document No.")</t>
  </si>
  <si>
    <t>=NF($D158,"6 Document No.")</t>
  </si>
  <si>
    <t>=NF($D159,"6 Document No.")</t>
  </si>
  <si>
    <t>=NF($D140,"37 Due Date")</t>
  </si>
  <si>
    <t>=NF($D141,"37 Due Date")</t>
  </si>
  <si>
    <t>=NF($D142,"37 Due Date")</t>
  </si>
  <si>
    <t>=NF($D143,"37 Due Date")</t>
  </si>
  <si>
    <t>=NF($D144,"37 Due Date")</t>
  </si>
  <si>
    <t>=NF($D145,"37 Due Date")</t>
  </si>
  <si>
    <t>=NF($D146,"37 Due Date")</t>
  </si>
  <si>
    <t>=NF($D147,"37 Due Date")</t>
  </si>
  <si>
    <t>=NF($D148,"37 Due Date")</t>
  </si>
  <si>
    <t>=NF($D149,"37 Due Date")</t>
  </si>
  <si>
    <t>=NF($D150,"37 Due Date")</t>
  </si>
  <si>
    <t>=NF($D151,"37 Due Date")</t>
  </si>
  <si>
    <t>=NF($D152,"37 Due Date")</t>
  </si>
  <si>
    <t>=NF($D153,"37 Due Date")</t>
  </si>
  <si>
    <t>=NF($D154,"37 Due Date")</t>
  </si>
  <si>
    <t>=NF($D155,"37 Due Date")</t>
  </si>
  <si>
    <t>=NF($D156,"37 Due Date")</t>
  </si>
  <si>
    <t>=NF($D157,"37 Due Date")</t>
  </si>
  <si>
    <t>=NF($D158,"37 Due Date")</t>
  </si>
  <si>
    <t>=NF($D159,"37 Due Date")</t>
  </si>
  <si>
    <t>=NF($D140,"16 Remaining Amt. (LCY)")</t>
  </si>
  <si>
    <t>=NF($D141,"16 Remaining Amt. (LCY)")</t>
  </si>
  <si>
    <t>=NF($D142,"16 Remaining Amt. (LCY)")</t>
  </si>
  <si>
    <t>=NF($D143,"16 Remaining Amt. (LCY)")</t>
  </si>
  <si>
    <t>=NF($D144,"16 Remaining Amt. (LCY)")</t>
  </si>
  <si>
    <t>=NF($D145,"16 Remaining Amt. (LCY)")</t>
  </si>
  <si>
    <t>=NF($D146,"16 Remaining Amt. (LCY)")</t>
  </si>
  <si>
    <t>=NF($D147,"16 Remaining Amt. (LCY)")</t>
  </si>
  <si>
    <t>=NF($D148,"16 Remaining Amt. (LCY)")</t>
  </si>
  <si>
    <t>=NF($D149,"16 Remaining Amt. (LCY)")</t>
  </si>
  <si>
    <t>=NF($D150,"16 Remaining Amt. (LCY)")</t>
  </si>
  <si>
    <t>=NF($D151,"16 Remaining Amt. (LCY)")</t>
  </si>
  <si>
    <t>=NF($D152,"16 Remaining Amt. (LCY)")</t>
  </si>
  <si>
    <t>=NF($D153,"16 Remaining Amt. (LCY)")</t>
  </si>
  <si>
    <t>=NF($D154,"16 Remaining Amt. (LCY)")</t>
  </si>
  <si>
    <t>=NF($D155,"16 Remaining Amt. (LCY)")</t>
  </si>
  <si>
    <t>=NF($D156,"16 Remaining Amt. (LCY)")</t>
  </si>
  <si>
    <t>=NF($D157,"16 Remaining Amt. (LCY)")</t>
  </si>
  <si>
    <t>=NF($D158,"16 Remaining Amt. (LCY)")</t>
  </si>
  <si>
    <t>=NF($D159,"16 Remaining Amt. (LCY)")</t>
  </si>
  <si>
    <t>=NF($D80,"5 Document Type")</t>
  </si>
  <si>
    <t>=NF($D81,"5 Document Type")</t>
  </si>
  <si>
    <t>=NF($D82,"5 Document Type")</t>
  </si>
  <si>
    <t>=NF($D83,"5 Document Type")</t>
  </si>
  <si>
    <t>=NF($D84,"5 Document Type")</t>
  </si>
  <si>
    <t>=NF($D85,"5 Document Type")</t>
  </si>
  <si>
    <t>=NF($D86,"5 Document Type")</t>
  </si>
  <si>
    <t>=NF($D87,"5 Document Type")</t>
  </si>
  <si>
    <t>=NF($D88,"5 Document Type")</t>
  </si>
  <si>
    <t>=NF($D89,"5 Document Type")</t>
  </si>
  <si>
    <t>=NF($D90,"5 Document Type")</t>
  </si>
  <si>
    <t>=NF($D91,"5 Document Type")</t>
  </si>
  <si>
    <t>=NF($D92,"5 Document Type")</t>
  </si>
  <si>
    <t>=NF($D93,"5 Document Type")</t>
  </si>
  <si>
    <t>=NF($D94,"5 Document Type")</t>
  </si>
  <si>
    <t>=NF($D95,"5 Document Type")</t>
  </si>
  <si>
    <t>=NF($D96,"5 Document Type")</t>
  </si>
  <si>
    <t>=NF($D97,"5 Document Type")</t>
  </si>
  <si>
    <t>=NF($D98,"5 Document Type")</t>
  </si>
  <si>
    <t>=NF($D99,"5 Document Type")</t>
  </si>
  <si>
    <t>=NF($D100,"5 Document Type")</t>
  </si>
  <si>
    <t>=NF($D101,"5 Document Type")</t>
  </si>
  <si>
    <t>=NF($D102,"5 Document Type")</t>
  </si>
  <si>
    <t>=NF($D103,"5 Document Type")</t>
  </si>
  <si>
    <t>=NF($D104,"5 Document Type")</t>
  </si>
  <si>
    <t>=NF($D105,"5 Document Type")</t>
  </si>
  <si>
    <t>=NF($D106,"5 Document Type")</t>
  </si>
  <si>
    <t>=NF($D107,"5 Document Type")</t>
  </si>
  <si>
    <t>=NF($D108,"5 Document Type")</t>
  </si>
  <si>
    <t>=NF($D109,"5 Document Type")</t>
  </si>
  <si>
    <t>=NF($D110,"5 Document Type")</t>
  </si>
  <si>
    <t>=NF($D111,"5 Document Type")</t>
  </si>
  <si>
    <t>=NF($D112,"5 Document Type")</t>
  </si>
  <si>
    <t>=NF($D113,"5 Document Type")</t>
  </si>
  <si>
    <t>=NF($D114,"5 Document Type")</t>
  </si>
  <si>
    <t>=NF($D115,"5 Document Type")</t>
  </si>
  <si>
    <t>=NF($D116,"5 Document Type")</t>
  </si>
  <si>
    <t>=NF($D117,"5 Document Type")</t>
  </si>
  <si>
    <t>=NF($D118,"5 Document Type")</t>
  </si>
  <si>
    <t>=NF($D119,"5 Document Type")</t>
  </si>
  <si>
    <t>=NF($D120,"5 Document Type")</t>
  </si>
  <si>
    <t>=NF($D121,"5 Document Type")</t>
  </si>
  <si>
    <t>=NF($D122,"5 Document Type")</t>
  </si>
  <si>
    <t>=NF($D123,"5 Document Type")</t>
  </si>
  <si>
    <t>=NF($D124,"5 Document Type")</t>
  </si>
  <si>
    <t>=NF($D125,"5 Document Type")</t>
  </si>
  <si>
    <t>=NF($D126,"5 Document Type")</t>
  </si>
  <si>
    <t>=NF($D127,"5 Document Type")</t>
  </si>
  <si>
    <t>=NF($D128,"5 Document Type")</t>
  </si>
  <si>
    <t>=NF($D129,"5 Document Type")</t>
  </si>
  <si>
    <t>=NF($D130,"5 Document Type")</t>
  </si>
  <si>
    <t>=NF($D131,"5 Document Type")</t>
  </si>
  <si>
    <t>=NF($D132,"5 Document Type")</t>
  </si>
  <si>
    <t>=NF($D133,"5 Document Type")</t>
  </si>
  <si>
    <t>=NF($D80,"6 Document No.")</t>
  </si>
  <si>
    <t>=NF($D81,"6 Document No.")</t>
  </si>
  <si>
    <t>=NF($D82,"6 Document No.")</t>
  </si>
  <si>
    <t>=NF($D83,"6 Document No.")</t>
  </si>
  <si>
    <t>=NF($D84,"6 Document No.")</t>
  </si>
  <si>
    <t>=NF($D85,"6 Document No.")</t>
  </si>
  <si>
    <t>=NF($D86,"6 Document No.")</t>
  </si>
  <si>
    <t>=NF($D87,"6 Document No.")</t>
  </si>
  <si>
    <t>=NF($D88,"6 Document No.")</t>
  </si>
  <si>
    <t>=NF($D89,"6 Document No.")</t>
  </si>
  <si>
    <t>=NF($D90,"6 Document No.")</t>
  </si>
  <si>
    <t>=NF($D91,"6 Document No.")</t>
  </si>
  <si>
    <t>=NF($D92,"6 Document No.")</t>
  </si>
  <si>
    <t>=NF($D93,"6 Document No.")</t>
  </si>
  <si>
    <t>=NF($D94,"6 Document No.")</t>
  </si>
  <si>
    <t>=NF($D95,"6 Document No.")</t>
  </si>
  <si>
    <t>=NF($D96,"6 Document No.")</t>
  </si>
  <si>
    <t>=NF($D97,"6 Document No.")</t>
  </si>
  <si>
    <t>=NF($D98,"6 Document No.")</t>
  </si>
  <si>
    <t>=NF($D99,"6 Document No.")</t>
  </si>
  <si>
    <t>=NF($D100,"6 Document No.")</t>
  </si>
  <si>
    <t>=NF($D101,"6 Document No.")</t>
  </si>
  <si>
    <t>=NF($D102,"6 Document No.")</t>
  </si>
  <si>
    <t>=NF($D103,"6 Document No.")</t>
  </si>
  <si>
    <t>=NF($D104,"6 Document No.")</t>
  </si>
  <si>
    <t>=NF($D105,"6 Document No.")</t>
  </si>
  <si>
    <t>=NF($D106,"6 Document No.")</t>
  </si>
  <si>
    <t>=NF($D107,"6 Document No.")</t>
  </si>
  <si>
    <t>=NF($D108,"6 Document No.")</t>
  </si>
  <si>
    <t>=NF($D109,"6 Document No.")</t>
  </si>
  <si>
    <t>=NF($D110,"6 Document No.")</t>
  </si>
  <si>
    <t>=NF($D111,"6 Document No.")</t>
  </si>
  <si>
    <t>=NF($D112,"6 Document No.")</t>
  </si>
  <si>
    <t>=NF($D113,"6 Document No.")</t>
  </si>
  <si>
    <t>=NF($D114,"6 Document No.")</t>
  </si>
  <si>
    <t>=NF($D115,"6 Document No.")</t>
  </si>
  <si>
    <t>=NF($D116,"6 Document No.")</t>
  </si>
  <si>
    <t>=NF($D117,"6 Document No.")</t>
  </si>
  <si>
    <t>=NF($D118,"6 Document No.")</t>
  </si>
  <si>
    <t>=NF($D119,"6 Document No.")</t>
  </si>
  <si>
    <t>=NF($D120,"6 Document No.")</t>
  </si>
  <si>
    <t>=NF($D121,"6 Document No.")</t>
  </si>
  <si>
    <t>=NF($D122,"6 Document No.")</t>
  </si>
  <si>
    <t>=NF($D123,"6 Document No.")</t>
  </si>
  <si>
    <t>=NF($D124,"6 Document No.")</t>
  </si>
  <si>
    <t>=NF($D125,"6 Document No.")</t>
  </si>
  <si>
    <t>=NF($D126,"6 Document No.")</t>
  </si>
  <si>
    <t>=NF($D127,"6 Document No.")</t>
  </si>
  <si>
    <t>=NF($D128,"6 Document No.")</t>
  </si>
  <si>
    <t>=NF($D129,"6 Document No.")</t>
  </si>
  <si>
    <t>=NF($D130,"6 Document No.")</t>
  </si>
  <si>
    <t>=NF($D131,"6 Document No.")</t>
  </si>
  <si>
    <t>=NF($D132,"6 Document No.")</t>
  </si>
  <si>
    <t>=NF($D133,"6 Document No.")</t>
  </si>
  <si>
    <t>=NF($D80,"37 Due Date")</t>
  </si>
  <si>
    <t>=NF($D81,"37 Due Date")</t>
  </si>
  <si>
    <t>=NF($D82,"37 Due Date")</t>
  </si>
  <si>
    <t>=NF($D83,"37 Due Date")</t>
  </si>
  <si>
    <t>=NF($D84,"37 Due Date")</t>
  </si>
  <si>
    <t>=NF($D85,"37 Due Date")</t>
  </si>
  <si>
    <t>=NF($D86,"37 Due Date")</t>
  </si>
  <si>
    <t>=NF($D87,"37 Due Date")</t>
  </si>
  <si>
    <t>=NF($D88,"37 Due Date")</t>
  </si>
  <si>
    <t>=NF($D89,"37 Due Date")</t>
  </si>
  <si>
    <t>=NF($D90,"37 Due Date")</t>
  </si>
  <si>
    <t>=NF($D91,"37 Due Date")</t>
  </si>
  <si>
    <t>=NF($D92,"37 Due Date")</t>
  </si>
  <si>
    <t>=NF($D93,"37 Due Date")</t>
  </si>
  <si>
    <t>=NF($D94,"37 Due Date")</t>
  </si>
  <si>
    <t>=NF($D95,"37 Due Date")</t>
  </si>
  <si>
    <t>=NF($D96,"37 Due Date")</t>
  </si>
  <si>
    <t>=NF($D97,"37 Due Date")</t>
  </si>
  <si>
    <t>=NF($D98,"37 Due Date")</t>
  </si>
  <si>
    <t>=NF($D99,"37 Due Date")</t>
  </si>
  <si>
    <t>=NF($D100,"37 Due Date")</t>
  </si>
  <si>
    <t>=NF($D101,"37 Due Date")</t>
  </si>
  <si>
    <t>=NF($D102,"37 Due Date")</t>
  </si>
  <si>
    <t>=NF($D103,"37 Due Date")</t>
  </si>
  <si>
    <t>=NF($D104,"37 Due Date")</t>
  </si>
  <si>
    <t>=NF($D105,"37 Due Date")</t>
  </si>
  <si>
    <t>=NF($D106,"37 Due Date")</t>
  </si>
  <si>
    <t>=NF($D107,"37 Due Date")</t>
  </si>
  <si>
    <t>=NF($D108,"37 Due Date")</t>
  </si>
  <si>
    <t>=NF($D109,"37 Due Date")</t>
  </si>
  <si>
    <t>=NF($D110,"37 Due Date")</t>
  </si>
  <si>
    <t>=NF($D111,"37 Due Date")</t>
  </si>
  <si>
    <t>=NF($D112,"37 Due Date")</t>
  </si>
  <si>
    <t>=NF($D113,"37 Due Date")</t>
  </si>
  <si>
    <t>=NF($D114,"37 Due Date")</t>
  </si>
  <si>
    <t>=NF($D115,"37 Due Date")</t>
  </si>
  <si>
    <t>=NF($D116,"37 Due Date")</t>
  </si>
  <si>
    <t>=NF($D117,"37 Due Date")</t>
  </si>
  <si>
    <t>=NF($D118,"37 Due Date")</t>
  </si>
  <si>
    <t>=NF($D119,"37 Due Date")</t>
  </si>
  <si>
    <t>=NF($D120,"37 Due Date")</t>
  </si>
  <si>
    <t>=NF($D121,"37 Due Date")</t>
  </si>
  <si>
    <t>=NF($D122,"37 Due Date")</t>
  </si>
  <si>
    <t>=NF($D123,"37 Due Date")</t>
  </si>
  <si>
    <t>=NF($D124,"37 Due Date")</t>
  </si>
  <si>
    <t>=NF($D125,"37 Due Date")</t>
  </si>
  <si>
    <t>=NF($D126,"37 Due Date")</t>
  </si>
  <si>
    <t>=NF($D127,"37 Due Date")</t>
  </si>
  <si>
    <t>=NF($D128,"37 Due Date")</t>
  </si>
  <si>
    <t>=NF($D129,"37 Due Date")</t>
  </si>
  <si>
    <t>=NF($D130,"37 Due Date")</t>
  </si>
  <si>
    <t>=NF($D131,"37 Due Date")</t>
  </si>
  <si>
    <t>=NF($D132,"37 Due Date")</t>
  </si>
  <si>
    <t>=NF($D133,"37 Due Date")</t>
  </si>
  <si>
    <t>=NF($D80,"16 Remaining Amt. (LCY)")</t>
  </si>
  <si>
    <t>=NF($D81,"16 Remaining Amt. (LCY)")</t>
  </si>
  <si>
    <t>=NF($D82,"16 Remaining Amt. (LCY)")</t>
  </si>
  <si>
    <t>=NF($D83,"16 Remaining Amt. (LCY)")</t>
  </si>
  <si>
    <t>=NF($D84,"16 Remaining Amt. (LCY)")</t>
  </si>
  <si>
    <t>=NF($D85,"16 Remaining Amt. (LCY)")</t>
  </si>
  <si>
    <t>=NF($D86,"16 Remaining Amt. (LCY)")</t>
  </si>
  <si>
    <t>=NF($D87,"16 Remaining Amt. (LCY)")</t>
  </si>
  <si>
    <t>=NF($D88,"16 Remaining Amt. (LCY)")</t>
  </si>
  <si>
    <t>=NF($D89,"16 Remaining Amt. (LCY)")</t>
  </si>
  <si>
    <t>=NF($D90,"16 Remaining Amt. (LCY)")</t>
  </si>
  <si>
    <t>=NF($D91,"16 Remaining Amt. (LCY)")</t>
  </si>
  <si>
    <t>=NF($D92,"16 Remaining Amt. (LCY)")</t>
  </si>
  <si>
    <t>=NF($D93,"16 Remaining Amt. (LCY)")</t>
  </si>
  <si>
    <t>=NF($D94,"16 Remaining Amt. (LCY)")</t>
  </si>
  <si>
    <t>=NF($D95,"16 Remaining Amt. (LCY)")</t>
  </si>
  <si>
    <t>=NF($D96,"16 Remaining Amt. (LCY)")</t>
  </si>
  <si>
    <t>=NF($D97,"16 Remaining Amt. (LCY)")</t>
  </si>
  <si>
    <t>=NF($D98,"16 Remaining Amt. (LCY)")</t>
  </si>
  <si>
    <t>=NF($D99,"16 Remaining Amt. (LCY)")</t>
  </si>
  <si>
    <t>=NF($D100,"16 Remaining Amt. (LCY)")</t>
  </si>
  <si>
    <t>=NF($D101,"16 Remaining Amt. (LCY)")</t>
  </si>
  <si>
    <t>=NF($D102,"16 Remaining Amt. (LCY)")</t>
  </si>
  <si>
    <t>=NF($D103,"16 Remaining Amt. (LCY)")</t>
  </si>
  <si>
    <t>=NF($D104,"16 Remaining Amt. (LCY)")</t>
  </si>
  <si>
    <t>=NF($D105,"16 Remaining Amt. (LCY)")</t>
  </si>
  <si>
    <t>=NF($D106,"16 Remaining Amt. (LCY)")</t>
  </si>
  <si>
    <t>=NF($D107,"16 Remaining Amt. (LCY)")</t>
  </si>
  <si>
    <t>=NF($D108,"16 Remaining Amt. (LCY)")</t>
  </si>
  <si>
    <t>=NF($D109,"16 Remaining Amt. (LCY)")</t>
  </si>
  <si>
    <t>=NF($D110,"16 Remaining Amt. (LCY)")</t>
  </si>
  <si>
    <t>=NF($D111,"16 Remaining Amt. (LCY)")</t>
  </si>
  <si>
    <t>=NF($D112,"16 Remaining Amt. (LCY)")</t>
  </si>
  <si>
    <t>=NF($D113,"16 Remaining Amt. (LCY)")</t>
  </si>
  <si>
    <t>=NF($D114,"16 Remaining Amt. (LCY)")</t>
  </si>
  <si>
    <t>=NF($D115,"16 Remaining Amt. (LCY)")</t>
  </si>
  <si>
    <t>=NF($D116,"16 Remaining Amt. (LCY)")</t>
  </si>
  <si>
    <t>=NF($D117,"16 Remaining Amt. (LCY)")</t>
  </si>
  <si>
    <t>=NF($D118,"16 Remaining Amt. (LCY)")</t>
  </si>
  <si>
    <t>=NF($D119,"16 Remaining Amt. (LCY)")</t>
  </si>
  <si>
    <t>=NF($D120,"16 Remaining Amt. (LCY)")</t>
  </si>
  <si>
    <t>=NF($D121,"16 Remaining Amt. (LCY)")</t>
  </si>
  <si>
    <t>=NF($D122,"16 Remaining Amt. (LCY)")</t>
  </si>
  <si>
    <t>=NF($D123,"16 Remaining Amt. (LCY)")</t>
  </si>
  <si>
    <t>=NF($D124,"16 Remaining Amt. (LCY)")</t>
  </si>
  <si>
    <t>=NF($D125,"16 Remaining Amt. (LCY)")</t>
  </si>
  <si>
    <t>=NF($D126,"16 Remaining Amt. (LCY)")</t>
  </si>
  <si>
    <t>=NF($D127,"16 Remaining Amt. (LCY)")</t>
  </si>
  <si>
    <t>=NF($D128,"16 Remaining Amt. (LCY)")</t>
  </si>
  <si>
    <t>=NF($D129,"16 Remaining Amt. (LCY)")</t>
  </si>
  <si>
    <t>=NF($D130,"16 Remaining Amt. (LCY)")</t>
  </si>
  <si>
    <t>=NF($D131,"16 Remaining Amt. (LCY)")</t>
  </si>
  <si>
    <t>=NF($D132,"16 Remaining Amt. (LCY)")</t>
  </si>
  <si>
    <t>=NF($D133,"16 Remaining Amt. (LCY)")</t>
  </si>
  <si>
    <t>="*"</t>
  </si>
  <si>
    <t>across all customers; does not use Customer No. filter</t>
  </si>
  <si>
    <t>=NL(,"18 Customer","2 Name","1 No.","@@"&amp;$F22)</t>
  </si>
  <si>
    <t>=NL(,"18 Customer","2 Name","1 No.","@@"&amp;$F28)</t>
  </si>
  <si>
    <t>=NL("Count","21 Cust. Ledger Entry",,"3 Customer No.",$J$9,"37 Due Date",$P$19,"16 Remaining Amt. (LCY)","&lt;&gt;0")</t>
  </si>
  <si>
    <t>=NL("Count","21 Cust. Ledger Entry",,"3 Customer No.",$J$9,"37 Due Date",$Q$19,"16 Remaining Amt. (LCY)","&lt;&gt;0")</t>
  </si>
  <si>
    <t>=NL("Count","21 Cust. Ledger Entry",,"3 Customer No.",$J$9,"37 Due Date",$R$19,"16 Remaining Amt. (LCY)","&lt;&gt;0")</t>
  </si>
  <si>
    <t>=NL("Count","21 Cust. Ledger Entry",,"3 Customer No.",$J$9,"Due Date",$S$19,"16 Remaining Amt. (LCY)","&lt;&gt;0")</t>
  </si>
  <si>
    <t>=NL("Count","21 Cust. Ledger Entry",,"3 Customer No.",$J$9,"Due Date",$T$19,"16 Remaining Amt. (LCY)","&lt;&gt;0")</t>
  </si>
  <si>
    <t>=NL("Rows","21 Cust. Ledger Entry",,"-16 Remaining Amt. (LCY)","&lt;&gt;0","Customer No.",$C$2,"Due Date",".."&amp;$C$4,"Limit=",8)</t>
  </si>
  <si>
    <t>=NL("Rows","21 Cust. Ledger Entry",,"+Posting Date","*","Remaining Amt. (LCY)","&lt;&gt;0","Limit=",8,"Customer No.",$C$2)</t>
  </si>
  <si>
    <t>=NL(,"18 Customer","2 Name","1 No.","@@"&amp;$F23)</t>
  </si>
  <si>
    <t>=NL(,"18 Customer","2 Name","1 No.","@@"&amp;$F24)</t>
  </si>
  <si>
    <t>=NL(,"18 Customer","2 Name","1 No.","@@"&amp;$F25)</t>
  </si>
  <si>
    <t>=NL(,"18 Customer","2 Name","1 No.","@@"&amp;$F26)</t>
  </si>
  <si>
    <t>=NL(,"18 Customer","2 Name","1 No.","@@"&amp;$F27)</t>
  </si>
  <si>
    <t>=NL(,"18 Customer","2 Name","1 No.","@@"&amp;$F29)</t>
  </si>
  <si>
    <t>=NL(,"18 Customer","2 Name","1 No.","@@"&amp;$F35)</t>
  </si>
  <si>
    <t>=NL(,"18 Customer","2 Name","1 No.","@@"&amp;$F36)</t>
  </si>
  <si>
    <t>=NL(,"18 Customer","2 Name","1 No.","@@"&amp;$F37)</t>
  </si>
  <si>
    <t>=NL(,"18 Customer","2 Name","1 No.","@@"&amp;$F38)</t>
  </si>
  <si>
    <t>=NL(,"18 Customer","2 Name","1 No.","@@"&amp;$F39)</t>
  </si>
  <si>
    <t>=NL(,"18 Customer","2 Name","1 No.","@@"&amp;$F40)</t>
  </si>
  <si>
    <t>=NL(,"18 Customer","2 Name","1 No.","@@"&amp;$F41)</t>
  </si>
  <si>
    <t>=NL(,"18 Customer","2 Name","1 No.","@@"&amp;$F42)</t>
  </si>
  <si>
    <t>For Customer(s)</t>
  </si>
  <si>
    <t>For ALL Customers</t>
  </si>
  <si>
    <t>="12/12/19"</t>
  </si>
  <si>
    <t>Auto+HideSheet+Values+Hide+Formulas=Sheet73,Sheet74+FormulasOnly</t>
  </si>
  <si>
    <t>=IF($C$2="*","ALL",$C$2)</t>
  </si>
  <si>
    <t>Auto+Hide+Values+Formulas=Sheet75,Sheet76+FormulasOnly</t>
  </si>
  <si>
    <t>Auto+Hide+Hidesheet+Formulas=Sheet77,Sheet78+FormulasOnly</t>
  </si>
  <si>
    <t>Auto+Hide+Values+Formulas=Sheet79,Sheet80+FormulasOnly</t>
  </si>
  <si>
    <t>Auto+HideSheet+Values+Hide+Formulas=Sheet81,Sheet73,Sheet74</t>
  </si>
  <si>
    <t>Auto+HideSheet+Values+Hide+Formulas=Sheet81,Sheet73,Sheet74+FormulasOnly</t>
  </si>
  <si>
    <t>Auto+Hide+Values+Formulas=Sheet82,Sheet75,Sheet76</t>
  </si>
  <si>
    <t>Auto+Hide+Values+Formulas=Sheet82,Sheet75,Sheet76+FormulasOnly</t>
  </si>
  <si>
    <t>Auto+Hide+Hidesheet+Formulas=Sheet83,Sheet77,Sheet78</t>
  </si>
  <si>
    <t>Auto+Hide+Hidesheet+Formulas=Sheet83,Sheet77,Sheet78+FormulasOnly</t>
  </si>
  <si>
    <t>Auto+Hide+Values+Formulas=Sheet84,Sheet79,Sheet80</t>
  </si>
  <si>
    <t>=SUM(P6567:T6567)</t>
  </si>
  <si>
    <t>Auto+Hide+Values+Formulas=Sheet84,Sheet79,Sheet80+FormulasOnly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</si>
</sst>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_(* #,##0.00_);_(* \(#,##0.00\);_(* &quot;-&quot;??_);_(@_)"/>
    <numFmt numFmtId="165" formatCode="mm/dd/yy;@"/>
    <numFmt numFmtId="166" formatCode="_(* #,##0_);_(* \(#,##0\);_(* &quot;-&quot;??_);_(@_)"/>
    <numFmt numFmtId="167" formatCode="_(* #,##0.0_);_(* \(#,##0.0\);_(* &quot;-&quot;??_);_(@_)"/>
    <numFmt numFmtId="168" formatCode="* &quot;-&quot;\ \ \ \ \ \ ;_(* \(#,##0.00\);_(* &quot;-&quot;??_);_(@_)"/>
    <numFmt numFmtId="169" formatCode="0.0%"/>
    <numFmt numFmtId="170" formatCode="0_);\(0\)"/>
    <numFmt numFmtId="171" formatCode="mmm"/>
    <numFmt numFmtId="172" formatCode="[$-409]d\-mmm\-yy;@"/>
    <numFmt numFmtId="173" formatCode="[$-409]dd\-mmm\-yy\ h:mm\ AM/PM;@"/>
  </numFmts>
  <fonts count="56" x14ac:knownFonts="1">
    <font>
      <sz val="10"/>
      <name val="Arial"/>
    </font>
    <font>
      <sz val="11"/>
      <color theme="1"/>
      <name val="Calibri"/>
      <family val="2"/>
      <scheme val="minor"/>
    </font>
    <font>
      <sz val="11"/>
      <color theme="1"/>
      <name val="Calibri"/>
      <family val="2"/>
      <scheme val="minor"/>
    </font>
    <font>
      <sz val="10"/>
      <name val="Arial"/>
      <family val="2"/>
    </font>
    <font>
      <i/>
      <sz val="10"/>
      <name val="Arial"/>
      <family val="2"/>
    </font>
    <font>
      <u/>
      <sz val="10"/>
      <color indexed="12"/>
      <name val="Arial"/>
      <family val="2"/>
    </font>
    <font>
      <u/>
      <sz val="8"/>
      <color indexed="12"/>
      <name val="Arial"/>
      <family val="2"/>
    </font>
    <font>
      <sz val="10"/>
      <color theme="1"/>
      <name val="Arial"/>
      <family val="2"/>
    </font>
    <font>
      <sz val="10"/>
      <name val="Arial"/>
      <family val="2"/>
    </font>
    <font>
      <b/>
      <sz val="10"/>
      <color theme="0"/>
      <name val="Arial"/>
      <family val="2"/>
    </font>
    <font>
      <sz val="10"/>
      <color theme="0"/>
      <name val="Arial"/>
      <family val="2"/>
    </font>
    <font>
      <b/>
      <sz val="12"/>
      <name val="Arial"/>
      <family val="2"/>
    </font>
    <font>
      <b/>
      <sz val="14"/>
      <name val="Arial"/>
      <family val="2"/>
    </font>
    <font>
      <sz val="12"/>
      <name val="Arial"/>
      <family val="2"/>
    </font>
    <font>
      <sz val="14"/>
      <color theme="0" tint="-0.34998626667073579"/>
      <name val="Arial"/>
      <family val="2"/>
    </font>
    <font>
      <sz val="14"/>
      <name val="Arial"/>
      <family val="2"/>
    </font>
    <font>
      <sz val="14"/>
      <color indexed="22"/>
      <name val="Arial"/>
      <family val="2"/>
    </font>
    <font>
      <b/>
      <sz val="14"/>
      <color theme="0" tint="-0.34998626667073579"/>
      <name val="Arial"/>
      <family val="2"/>
    </font>
    <font>
      <sz val="16"/>
      <name val="Arial"/>
      <family val="2"/>
    </font>
    <font>
      <b/>
      <sz val="16"/>
      <name val="Arial"/>
      <family val="2"/>
    </font>
    <font>
      <sz val="16"/>
      <color theme="0" tint="-0.34998626667073579"/>
      <name val="Arial"/>
      <family val="2"/>
    </font>
    <font>
      <b/>
      <sz val="16"/>
      <color theme="0" tint="-0.34998626667073579"/>
      <name val="Arial"/>
      <family val="2"/>
    </font>
    <font>
      <sz val="12"/>
      <color theme="0" tint="-0.34998626667073579"/>
      <name val="Arial"/>
      <family val="2"/>
    </font>
    <font>
      <b/>
      <sz val="12"/>
      <color theme="0" tint="-0.34998626667073579"/>
      <name val="Arial"/>
      <family val="2"/>
    </font>
    <font>
      <i/>
      <sz val="12"/>
      <color theme="0" tint="-0.34998626667073579"/>
      <name val="Arial"/>
      <family val="2"/>
    </font>
    <font>
      <b/>
      <sz val="12"/>
      <color rgb="FF0074AB"/>
      <name val="Arial"/>
      <family val="2"/>
    </font>
    <font>
      <b/>
      <i/>
      <sz val="12"/>
      <name val="Arial"/>
      <family val="2"/>
    </font>
    <font>
      <sz val="14"/>
      <name val="Segoe UI Semibold"/>
      <family val="2"/>
    </font>
    <font>
      <b/>
      <sz val="14"/>
      <color rgb="FF0074AB"/>
      <name val="Segoe UI Semibold"/>
      <family val="2"/>
    </font>
    <font>
      <b/>
      <sz val="16"/>
      <color indexed="45"/>
      <name val="Segoe UI Semibold"/>
      <family val="2"/>
    </font>
    <font>
      <b/>
      <sz val="14"/>
      <color indexed="45"/>
      <name val="Segoe UI Semibold"/>
      <family val="2"/>
    </font>
    <font>
      <sz val="16"/>
      <name val="Segoe UI Semibold"/>
      <family val="2"/>
    </font>
    <font>
      <b/>
      <sz val="16"/>
      <name val="Segoe UI Semibold"/>
      <family val="2"/>
    </font>
    <font>
      <b/>
      <sz val="16"/>
      <color indexed="8"/>
      <name val="Segoe UI Semibold"/>
      <family val="2"/>
    </font>
    <font>
      <b/>
      <sz val="14"/>
      <name val="Segoe UI Semibold"/>
      <family val="2"/>
    </font>
    <font>
      <b/>
      <sz val="14"/>
      <color theme="0" tint="-0.34998626667073579"/>
      <name val="Segoe UI Semibold"/>
      <family val="2"/>
    </font>
    <font>
      <sz val="14"/>
      <color theme="0" tint="-0.34998626667073579"/>
      <name val="Segoe UI Semibold"/>
      <family val="2"/>
    </font>
    <font>
      <b/>
      <sz val="16"/>
      <color indexed="9"/>
      <name val="Segoe UI Semibold"/>
      <family val="2"/>
    </font>
    <font>
      <b/>
      <sz val="14"/>
      <color indexed="22"/>
      <name val="Segoe UI Semibold"/>
      <family val="2"/>
    </font>
    <font>
      <b/>
      <i/>
      <sz val="14"/>
      <color indexed="9"/>
      <name val="Segoe UI Semibold"/>
      <family val="2"/>
    </font>
    <font>
      <sz val="16"/>
      <color indexed="22"/>
      <name val="Segoe UI Semibold"/>
      <family val="2"/>
    </font>
    <font>
      <b/>
      <sz val="12"/>
      <color rgb="FF0074AB"/>
      <name val="Segoe UI Semibold"/>
      <family val="2"/>
    </font>
    <font>
      <b/>
      <sz val="18"/>
      <color rgb="FF0074AB"/>
      <name val="Segoe UI Semibold"/>
      <family val="2"/>
    </font>
    <font>
      <b/>
      <u/>
      <sz val="16"/>
      <name val="Segoe UI Semibold"/>
      <family val="2"/>
    </font>
    <font>
      <sz val="10"/>
      <name val="Segoe UI Semibold"/>
      <family val="2"/>
    </font>
    <font>
      <b/>
      <sz val="12"/>
      <name val="Segoe UI Semibold"/>
      <family val="2"/>
    </font>
    <font>
      <b/>
      <sz val="10"/>
      <color theme="0"/>
      <name val="Segoe UI Semibold"/>
      <family val="2"/>
    </font>
    <font>
      <b/>
      <u/>
      <sz val="16"/>
      <color indexed="8"/>
      <name val="Segoe UI Semibold"/>
      <family val="2"/>
    </font>
    <font>
      <sz val="12"/>
      <name val="Segoe UI Semibold"/>
      <family val="2"/>
    </font>
    <font>
      <b/>
      <i/>
      <sz val="12"/>
      <name val="Segoe UI Semibold"/>
      <family val="2"/>
    </font>
    <font>
      <b/>
      <sz val="12"/>
      <color theme="0"/>
      <name val="Segoe UI Semibold"/>
      <family val="2"/>
    </font>
    <font>
      <b/>
      <sz val="18"/>
      <color rgb="FF0074AB"/>
      <name val="Segoe UI"/>
      <family val="2"/>
    </font>
    <font>
      <b/>
      <sz val="18"/>
      <color rgb="FF0070C0"/>
      <name val="Segoe UI"/>
      <family val="2"/>
    </font>
    <font>
      <b/>
      <sz val="14"/>
      <color indexed="81"/>
      <name val="Tahoma"/>
      <family val="2"/>
    </font>
    <font>
      <sz val="14"/>
      <color indexed="81"/>
      <name val="Tahoma"/>
      <family val="2"/>
    </font>
    <font>
      <i/>
      <sz val="12"/>
      <color theme="1" tint="0.499984740745262"/>
      <name val="Segoe UI Semibold"/>
      <family val="2"/>
    </font>
  </fonts>
  <fills count="10">
    <fill>
      <patternFill patternType="none"/>
    </fill>
    <fill>
      <patternFill patternType="gray125"/>
    </fill>
    <fill>
      <patternFill patternType="solid">
        <fgColor theme="0"/>
        <bgColor indexed="64"/>
      </patternFill>
    </fill>
    <fill>
      <patternFill patternType="solid">
        <fgColor rgb="FF0074AB"/>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249977111117893"/>
        <bgColor indexed="64"/>
      </patternFill>
    </fill>
  </fills>
  <borders count="22">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164" fontId="3"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8" fillId="0" borderId="0" applyFont="0" applyFill="0" applyBorder="0" applyAlignment="0" applyProtection="0"/>
    <xf numFmtId="0" fontId="3" fillId="0" borderId="0"/>
    <xf numFmtId="0" fontId="3" fillId="0" borderId="0"/>
    <xf numFmtId="0" fontId="3" fillId="0" borderId="0"/>
    <xf numFmtId="9" fontId="2" fillId="0" borderId="0" applyFont="0" applyFill="0" applyBorder="0" applyAlignment="0" applyProtection="0"/>
    <xf numFmtId="0" fontId="3" fillId="0" borderId="0"/>
    <xf numFmtId="164" fontId="3" fillId="0" borderId="0" applyFont="0" applyFill="0" applyBorder="0" applyAlignment="0" applyProtection="0"/>
    <xf numFmtId="164" fontId="2"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cellStyleXfs>
  <cellXfs count="229">
    <xf numFmtId="0" fontId="0" fillId="0" borderId="0" xfId="0"/>
    <xf numFmtId="0" fontId="3" fillId="2" borderId="0" xfId="0" applyFont="1" applyFill="1"/>
    <xf numFmtId="0" fontId="4" fillId="2" borderId="3" xfId="0" applyFont="1" applyFill="1" applyBorder="1" applyAlignment="1">
      <alignment horizontal="center"/>
    </xf>
    <xf numFmtId="0" fontId="3" fillId="2" borderId="3" xfId="0" applyFont="1" applyFill="1" applyBorder="1" applyAlignment="1">
      <alignment horizontal="center"/>
    </xf>
    <xf numFmtId="0" fontId="9" fillId="3" borderId="3" xfId="0" applyFont="1" applyFill="1" applyBorder="1"/>
    <xf numFmtId="0" fontId="10" fillId="3" borderId="3" xfId="0" applyFont="1" applyFill="1" applyBorder="1"/>
    <xf numFmtId="0" fontId="3" fillId="2" borderId="3" xfId="0" applyFont="1" applyFill="1" applyBorder="1" applyAlignment="1">
      <alignment horizontal="left"/>
    </xf>
    <xf numFmtId="0" fontId="3" fillId="2" borderId="0" xfId="6" applyFill="1"/>
    <xf numFmtId="0" fontId="3" fillId="2" borderId="0" xfId="6" applyFill="1" applyAlignment="1">
      <alignment wrapText="1"/>
    </xf>
    <xf numFmtId="166" fontId="3" fillId="2" borderId="0" xfId="6" applyNumberFormat="1" applyFill="1"/>
    <xf numFmtId="164" fontId="3" fillId="2" borderId="0" xfId="11" applyFont="1" applyFill="1"/>
    <xf numFmtId="14" fontId="4" fillId="2" borderId="3" xfId="0" applyNumberFormat="1" applyFont="1" applyFill="1" applyBorder="1" applyAlignment="1">
      <alignment horizontal="center"/>
    </xf>
    <xf numFmtId="0" fontId="14" fillId="2" borderId="0" xfId="5" applyFont="1" applyFill="1"/>
    <xf numFmtId="14" fontId="15" fillId="2" borderId="0" xfId="5" applyNumberFormat="1" applyFont="1" applyFill="1"/>
    <xf numFmtId="0" fontId="15" fillId="2" borderId="0" xfId="5" applyFont="1" applyFill="1"/>
    <xf numFmtId="0" fontId="16" fillId="2" borderId="0" xfId="5" applyFont="1" applyFill="1"/>
    <xf numFmtId="0" fontId="15" fillId="2" borderId="0" xfId="5" applyFont="1" applyFill="1" applyAlignment="1">
      <alignment horizontal="left"/>
    </xf>
    <xf numFmtId="0" fontId="17" fillId="2" borderId="0" xfId="5" applyFont="1" applyFill="1"/>
    <xf numFmtId="165" fontId="14" fillId="2" borderId="0" xfId="5" applyNumberFormat="1" applyFont="1" applyFill="1"/>
    <xf numFmtId="14" fontId="14" fillId="2" borderId="0" xfId="5" applyNumberFormat="1" applyFont="1" applyFill="1"/>
    <xf numFmtId="14" fontId="17" fillId="2" borderId="0" xfId="5" applyNumberFormat="1" applyFont="1" applyFill="1"/>
    <xf numFmtId="0" fontId="15" fillId="2" borderId="0" xfId="5" applyFont="1" applyFill="1" applyAlignment="1">
      <alignment wrapText="1"/>
    </xf>
    <xf numFmtId="0" fontId="12" fillId="2" borderId="0" xfId="5" applyFont="1" applyFill="1"/>
    <xf numFmtId="1" fontId="14" fillId="2" borderId="0" xfId="5" applyNumberFormat="1" applyFont="1" applyFill="1"/>
    <xf numFmtId="0" fontId="14" fillId="2" borderId="0" xfId="5" applyFont="1" applyFill="1" applyAlignment="1">
      <alignment vertical="center"/>
    </xf>
    <xf numFmtId="0" fontId="15" fillId="2" borderId="0" xfId="5" applyFont="1" applyFill="1" applyAlignment="1">
      <alignment vertical="center"/>
    </xf>
    <xf numFmtId="0" fontId="18" fillId="2" borderId="0" xfId="5" applyFont="1" applyFill="1"/>
    <xf numFmtId="0" fontId="20" fillId="2" borderId="0" xfId="5" applyFont="1" applyFill="1"/>
    <xf numFmtId="14" fontId="20" fillId="2" borderId="0" xfId="5" applyNumberFormat="1" applyFont="1" applyFill="1"/>
    <xf numFmtId="0" fontId="21" fillId="2" borderId="0" xfId="5" applyFont="1" applyFill="1"/>
    <xf numFmtId="0" fontId="19" fillId="2" borderId="0" xfId="5" applyFont="1" applyFill="1"/>
    <xf numFmtId="1" fontId="20" fillId="2" borderId="0" xfId="5" applyNumberFormat="1" applyFont="1" applyFill="1"/>
    <xf numFmtId="0" fontId="22" fillId="0" borderId="0" xfId="0" applyFont="1"/>
    <xf numFmtId="0" fontId="13" fillId="0" borderId="0" xfId="0" applyFont="1"/>
    <xf numFmtId="165" fontId="22" fillId="0" borderId="0" xfId="0" applyNumberFormat="1" applyFont="1" applyAlignment="1">
      <alignment horizontal="left"/>
    </xf>
    <xf numFmtId="14" fontId="22" fillId="0" borderId="0" xfId="0" applyNumberFormat="1" applyFont="1" applyAlignment="1">
      <alignment horizontal="left"/>
    </xf>
    <xf numFmtId="165" fontId="13" fillId="0" borderId="0" xfId="0" applyNumberFormat="1" applyFont="1"/>
    <xf numFmtId="0" fontId="23" fillId="0" borderId="0" xfId="0" applyFont="1"/>
    <xf numFmtId="172" fontId="24" fillId="0" borderId="0" xfId="0" applyNumberFormat="1" applyFont="1" applyAlignment="1">
      <alignment horizontal="center"/>
    </xf>
    <xf numFmtId="0" fontId="24" fillId="0" borderId="0" xfId="0" applyFont="1" applyAlignment="1">
      <alignment horizontal="center"/>
    </xf>
    <xf numFmtId="0" fontId="22" fillId="0" borderId="0" xfId="0" applyFont="1" applyAlignment="1">
      <alignment horizontal="left" indent="1"/>
    </xf>
    <xf numFmtId="14" fontId="24" fillId="0" borderId="0" xfId="0" applyNumberFormat="1" applyFont="1" applyAlignment="1">
      <alignment horizontal="center"/>
    </xf>
    <xf numFmtId="14" fontId="13" fillId="0" borderId="0" xfId="0" applyNumberFormat="1" applyFont="1"/>
    <xf numFmtId="14" fontId="22" fillId="0" borderId="0" xfId="0" applyNumberFormat="1" applyFont="1" applyAlignment="1">
      <alignment horizontal="center"/>
    </xf>
    <xf numFmtId="4" fontId="22" fillId="0" borderId="0" xfId="0" applyNumberFormat="1" applyFont="1" applyAlignment="1">
      <alignment horizontal="left"/>
    </xf>
    <xf numFmtId="0" fontId="22" fillId="0" borderId="0" xfId="0" applyFont="1" applyAlignment="1">
      <alignment horizontal="center"/>
    </xf>
    <xf numFmtId="0" fontId="11" fillId="0" borderId="0" xfId="0" applyFont="1"/>
    <xf numFmtId="0" fontId="25" fillId="0" borderId="0" xfId="0" applyFont="1" applyAlignment="1">
      <alignment horizontal="center" wrapText="1"/>
    </xf>
    <xf numFmtId="0" fontId="26" fillId="0" borderId="0" xfId="0" applyFont="1"/>
    <xf numFmtId="14" fontId="27" fillId="2" borderId="0" xfId="5" applyNumberFormat="1" applyFont="1" applyFill="1"/>
    <xf numFmtId="0" fontId="27" fillId="2" borderId="0" xfId="5" applyFont="1" applyFill="1"/>
    <xf numFmtId="0" fontId="27" fillId="2" borderId="0" xfId="5" applyFont="1" applyFill="1" applyAlignment="1">
      <alignment horizontal="left"/>
    </xf>
    <xf numFmtId="0" fontId="28" fillId="2" borderId="0" xfId="5" applyFont="1" applyFill="1"/>
    <xf numFmtId="0" fontId="29" fillId="2" borderId="0" xfId="5" applyFont="1" applyFill="1"/>
    <xf numFmtId="0" fontId="30" fillId="2" borderId="0" xfId="5" applyFont="1" applyFill="1"/>
    <xf numFmtId="14" fontId="31" fillId="2" borderId="0" xfId="5" applyNumberFormat="1" applyFont="1" applyFill="1"/>
    <xf numFmtId="0" fontId="32" fillId="2" borderId="0" xfId="5" applyFont="1" applyFill="1"/>
    <xf numFmtId="172" fontId="32" fillId="2" borderId="0" xfId="5" applyNumberFormat="1" applyFont="1" applyFill="1" applyAlignment="1">
      <alignment horizontal="left"/>
    </xf>
    <xf numFmtId="164" fontId="27" fillId="2" borderId="0" xfId="1" applyFont="1" applyFill="1"/>
    <xf numFmtId="0" fontId="32" fillId="2" borderId="0" xfId="5" applyFont="1" applyFill="1" applyAlignment="1">
      <alignment horizontal="left"/>
    </xf>
    <xf numFmtId="0" fontId="31" fillId="2" borderId="0" xfId="5" applyFont="1" applyFill="1"/>
    <xf numFmtId="0" fontId="34" fillId="2" borderId="0" xfId="5" applyFont="1" applyFill="1"/>
    <xf numFmtId="0" fontId="34" fillId="2" borderId="0" xfId="5" applyFont="1" applyFill="1" applyAlignment="1">
      <alignment horizontal="left"/>
    </xf>
    <xf numFmtId="0" fontId="35" fillId="2" borderId="0" xfId="5" applyFont="1" applyFill="1"/>
    <xf numFmtId="0" fontId="35" fillId="2" borderId="0" xfId="5" applyFont="1" applyFill="1" applyAlignment="1">
      <alignment horizontal="left"/>
    </xf>
    <xf numFmtId="0" fontId="36" fillId="2" borderId="0" xfId="5" applyFont="1" applyFill="1"/>
    <xf numFmtId="14" fontId="36" fillId="2" borderId="0" xfId="5" applyNumberFormat="1" applyFont="1" applyFill="1"/>
    <xf numFmtId="0" fontId="36" fillId="2" borderId="0" xfId="5" applyFont="1" applyFill="1" applyAlignment="1">
      <alignment horizontal="left"/>
    </xf>
    <xf numFmtId="14" fontId="36" fillId="2" borderId="0" xfId="5" applyNumberFormat="1" applyFont="1" applyFill="1" applyAlignment="1">
      <alignment horizontal="right"/>
    </xf>
    <xf numFmtId="14" fontId="35" fillId="2" borderId="0" xfId="5" applyNumberFormat="1" applyFont="1" applyFill="1"/>
    <xf numFmtId="0" fontId="35" fillId="2" borderId="0" xfId="5" applyFont="1" applyFill="1" applyAlignment="1">
      <alignment horizontal="center"/>
    </xf>
    <xf numFmtId="14" fontId="34" fillId="2" borderId="0" xfId="5" applyNumberFormat="1" applyFont="1" applyFill="1"/>
    <xf numFmtId="0" fontId="34" fillId="2" borderId="0" xfId="5" applyFont="1" applyFill="1" applyAlignment="1">
      <alignment horizontal="center"/>
    </xf>
    <xf numFmtId="14" fontId="27" fillId="2" borderId="0" xfId="5" applyNumberFormat="1" applyFont="1" applyFill="1" applyAlignment="1">
      <alignment horizontal="right"/>
    </xf>
    <xf numFmtId="0" fontId="38" fillId="2" borderId="0" xfId="5" applyFont="1" applyFill="1" applyAlignment="1">
      <alignment horizontal="right" vertical="center" wrapText="1"/>
    </xf>
    <xf numFmtId="0" fontId="38" fillId="2" borderId="0" xfId="5" applyFont="1" applyFill="1" applyAlignment="1">
      <alignment horizontal="right" wrapText="1"/>
    </xf>
    <xf numFmtId="14" fontId="39" fillId="2" borderId="0" xfId="5" applyNumberFormat="1" applyFont="1" applyFill="1" applyAlignment="1">
      <alignment horizontal="left" wrapText="1" indent="2"/>
    </xf>
    <xf numFmtId="14" fontId="39" fillId="2" borderId="0" xfId="5" applyNumberFormat="1" applyFont="1" applyFill="1" applyAlignment="1">
      <alignment horizontal="right" wrapText="1"/>
    </xf>
    <xf numFmtId="0" fontId="39" fillId="2" borderId="0" xfId="5" applyFont="1" applyFill="1" applyAlignment="1">
      <alignment horizontal="right" wrapText="1"/>
    </xf>
    <xf numFmtId="168" fontId="39" fillId="2" borderId="0" xfId="5" applyNumberFormat="1" applyFont="1" applyFill="1" applyAlignment="1">
      <alignment horizontal="right"/>
    </xf>
    <xf numFmtId="0" fontId="39" fillId="2" borderId="0" xfId="5" applyFont="1" applyFill="1" applyAlignment="1">
      <alignment horizontal="right"/>
    </xf>
    <xf numFmtId="0" fontId="31" fillId="2" borderId="0" xfId="5" applyFont="1" applyFill="1" applyAlignment="1">
      <alignment wrapText="1"/>
    </xf>
    <xf numFmtId="0" fontId="31" fillId="2" borderId="0" xfId="5" applyFont="1" applyFill="1" applyAlignment="1">
      <alignment horizontal="left" indent="2"/>
    </xf>
    <xf numFmtId="0" fontId="31" fillId="2" borderId="0" xfId="5" applyFont="1" applyFill="1" applyAlignment="1">
      <alignment horizontal="center"/>
    </xf>
    <xf numFmtId="172" fontId="31" fillId="2" borderId="0" xfId="5" applyNumberFormat="1" applyFont="1" applyFill="1" applyAlignment="1">
      <alignment horizontal="center"/>
    </xf>
    <xf numFmtId="170" fontId="31" fillId="2" borderId="0" xfId="1" applyNumberFormat="1" applyFont="1" applyFill="1" applyAlignment="1">
      <alignment horizontal="center"/>
    </xf>
    <xf numFmtId="164" fontId="31" fillId="2" borderId="0" xfId="5" applyNumberFormat="1" applyFont="1" applyFill="1"/>
    <xf numFmtId="164" fontId="40" fillId="2" borderId="0" xfId="5" applyNumberFormat="1" applyFont="1" applyFill="1"/>
    <xf numFmtId="14" fontId="27" fillId="2" borderId="0" xfId="5" applyNumberFormat="1" applyFont="1" applyFill="1" applyAlignment="1">
      <alignment wrapText="1"/>
    </xf>
    <xf numFmtId="0" fontId="27" fillId="2" borderId="0" xfId="5" applyFont="1" applyFill="1" applyAlignment="1">
      <alignment wrapText="1"/>
    </xf>
    <xf numFmtId="164" fontId="27" fillId="2" borderId="0" xfId="5" applyNumberFormat="1" applyFont="1" applyFill="1"/>
    <xf numFmtId="164" fontId="27" fillId="2" borderId="0" xfId="5" applyNumberFormat="1" applyFont="1" applyFill="1" applyAlignment="1">
      <alignment horizontal="left"/>
    </xf>
    <xf numFmtId="14" fontId="27" fillId="2" borderId="0" xfId="5" applyNumberFormat="1" applyFont="1" applyFill="1" applyAlignment="1">
      <alignment horizontal="right" wrapText="1"/>
    </xf>
    <xf numFmtId="164" fontId="27" fillId="2" borderId="0" xfId="1" applyFont="1" applyFill="1" applyBorder="1" applyAlignment="1">
      <alignment horizontal="left"/>
    </xf>
    <xf numFmtId="164" fontId="27" fillId="2" borderId="0" xfId="1" applyFont="1" applyFill="1" applyBorder="1"/>
    <xf numFmtId="14" fontId="32" fillId="2" borderId="0" xfId="5" applyNumberFormat="1" applyFont="1" applyFill="1"/>
    <xf numFmtId="0" fontId="32" fillId="2" borderId="10" xfId="5" applyFont="1" applyFill="1" applyBorder="1" applyAlignment="1">
      <alignment horizontal="center"/>
    </xf>
    <xf numFmtId="166" fontId="32" fillId="2" borderId="10" xfId="5" applyNumberFormat="1" applyFont="1" applyFill="1" applyBorder="1"/>
    <xf numFmtId="166" fontId="32" fillId="2" borderId="10" xfId="1" applyNumberFormat="1" applyFont="1" applyFill="1" applyBorder="1"/>
    <xf numFmtId="14" fontId="32" fillId="2" borderId="12" xfId="5" applyNumberFormat="1" applyFont="1" applyFill="1" applyBorder="1" applyAlignment="1">
      <alignment horizontal="right" wrapText="1"/>
    </xf>
    <xf numFmtId="169" fontId="32" fillId="2" borderId="0" xfId="4" applyNumberFormat="1" applyFont="1" applyFill="1" applyBorder="1" applyAlignment="1">
      <alignment horizontal="center"/>
    </xf>
    <xf numFmtId="164" fontId="31" fillId="2" borderId="0" xfId="5" applyNumberFormat="1" applyFont="1" applyFill="1" applyAlignment="1">
      <alignment horizontal="left"/>
    </xf>
    <xf numFmtId="166" fontId="32" fillId="2" borderId="0" xfId="5" applyNumberFormat="1" applyFont="1" applyFill="1"/>
    <xf numFmtId="164" fontId="32" fillId="2" borderId="0" xfId="5" applyNumberFormat="1" applyFont="1" applyFill="1"/>
    <xf numFmtId="0" fontId="32" fillId="2" borderId="0" xfId="5" applyFont="1" applyFill="1" applyAlignment="1">
      <alignment horizontal="center"/>
    </xf>
    <xf numFmtId="14" fontId="37" fillId="9" borderId="4" xfId="5" applyNumberFormat="1" applyFont="1" applyFill="1" applyBorder="1" applyAlignment="1">
      <alignment vertical="center" wrapText="1"/>
    </xf>
    <xf numFmtId="14" fontId="37" fillId="9" borderId="5" xfId="5" applyNumberFormat="1" applyFont="1" applyFill="1" applyBorder="1" applyAlignment="1">
      <alignment vertical="center" wrapText="1"/>
    </xf>
    <xf numFmtId="14" fontId="37" fillId="9" borderId="6" xfId="5" applyNumberFormat="1" applyFont="1" applyFill="1" applyBorder="1" applyAlignment="1">
      <alignment vertical="center" wrapText="1"/>
    </xf>
    <xf numFmtId="14" fontId="37" fillId="9" borderId="7" xfId="5" applyNumberFormat="1" applyFont="1" applyFill="1" applyBorder="1" applyAlignment="1">
      <alignment horizontal="left" wrapText="1" indent="2"/>
    </xf>
    <xf numFmtId="14" fontId="37" fillId="9" borderId="1" xfId="5" applyNumberFormat="1" applyFont="1" applyFill="1" applyBorder="1" applyAlignment="1">
      <alignment horizontal="left" wrapText="1" indent="2"/>
    </xf>
    <xf numFmtId="14" fontId="37" fillId="9" borderId="1" xfId="5" applyNumberFormat="1" applyFont="1" applyFill="1" applyBorder="1" applyAlignment="1">
      <alignment horizontal="right" wrapText="1"/>
    </xf>
    <xf numFmtId="0" fontId="37" fillId="9" borderId="1" xfId="5" applyFont="1" applyFill="1" applyBorder="1" applyAlignment="1">
      <alignment horizontal="center" wrapText="1"/>
    </xf>
    <xf numFmtId="0" fontId="37" fillId="9" borderId="1" xfId="5" applyFont="1" applyFill="1" applyBorder="1" applyAlignment="1">
      <alignment horizontal="right" wrapText="1"/>
    </xf>
    <xf numFmtId="168" fontId="37" fillId="9" borderId="1" xfId="5" applyNumberFormat="1" applyFont="1" applyFill="1" applyBorder="1" applyAlignment="1">
      <alignment horizontal="right"/>
    </xf>
    <xf numFmtId="0" fontId="37" fillId="9" borderId="1" xfId="5" applyFont="1" applyFill="1" applyBorder="1" applyAlignment="1">
      <alignment horizontal="right"/>
    </xf>
    <xf numFmtId="0" fontId="37" fillId="9" borderId="8" xfId="5" applyFont="1" applyFill="1" applyBorder="1" applyAlignment="1">
      <alignment horizontal="right" wrapText="1"/>
    </xf>
    <xf numFmtId="14" fontId="32" fillId="8" borderId="12" xfId="5" applyNumberFormat="1" applyFont="1" applyFill="1" applyBorder="1"/>
    <xf numFmtId="9" fontId="32" fillId="8" borderId="12" xfId="5" applyNumberFormat="1" applyFont="1" applyFill="1" applyBorder="1" applyAlignment="1">
      <alignment horizontal="center" wrapText="1"/>
    </xf>
    <xf numFmtId="0" fontId="32" fillId="8" borderId="12" xfId="5" applyFont="1" applyFill="1" applyBorder="1" applyAlignment="1">
      <alignment horizontal="left" wrapText="1"/>
    </xf>
    <xf numFmtId="0" fontId="32" fillId="8" borderId="12" xfId="1" applyNumberFormat="1" applyFont="1" applyFill="1" applyBorder="1" applyAlignment="1">
      <alignment horizontal="center" wrapText="1"/>
    </xf>
    <xf numFmtId="166" fontId="32" fillId="8" borderId="12" xfId="1" applyNumberFormat="1" applyFont="1" applyFill="1" applyBorder="1" applyAlignment="1">
      <alignment horizontal="left" wrapText="1"/>
    </xf>
    <xf numFmtId="14" fontId="31" fillId="8" borderId="0" xfId="5" applyNumberFormat="1" applyFont="1" applyFill="1"/>
    <xf numFmtId="14" fontId="31" fillId="8" borderId="0" xfId="5" applyNumberFormat="1" applyFont="1" applyFill="1" applyAlignment="1">
      <alignment horizontal="left" indent="2"/>
    </xf>
    <xf numFmtId="14" fontId="32" fillId="8" borderId="0" xfId="5" applyNumberFormat="1" applyFont="1" applyFill="1"/>
    <xf numFmtId="14" fontId="32" fillId="8" borderId="0" xfId="5" applyNumberFormat="1" applyFont="1" applyFill="1" applyAlignment="1">
      <alignment horizontal="left"/>
    </xf>
    <xf numFmtId="0" fontId="32" fillId="8" borderId="0" xfId="5" applyFont="1" applyFill="1" applyAlignment="1">
      <alignment horizontal="right" wrapText="1"/>
    </xf>
    <xf numFmtId="168" fontId="32" fillId="8" borderId="0" xfId="5" applyNumberFormat="1" applyFont="1" applyFill="1" applyAlignment="1">
      <alignment horizontal="right"/>
    </xf>
    <xf numFmtId="0" fontId="42" fillId="2" borderId="0" xfId="5" applyFont="1" applyFill="1"/>
    <xf numFmtId="0" fontId="43" fillId="2" borderId="0" xfId="5" applyFont="1" applyFill="1"/>
    <xf numFmtId="0" fontId="44" fillId="2" borderId="0" xfId="6" applyFont="1" applyFill="1"/>
    <xf numFmtId="165" fontId="44" fillId="2" borderId="0" xfId="0" applyNumberFormat="1" applyFont="1" applyFill="1"/>
    <xf numFmtId="165" fontId="44" fillId="2" borderId="0" xfId="6" applyNumberFormat="1" applyFont="1" applyFill="1"/>
    <xf numFmtId="0" fontId="44" fillId="2" borderId="19" xfId="6" applyFont="1" applyFill="1" applyBorder="1"/>
    <xf numFmtId="0" fontId="44" fillId="2" borderId="20" xfId="6" applyFont="1" applyFill="1" applyBorder="1"/>
    <xf numFmtId="0" fontId="45" fillId="4" borderId="11" xfId="6" applyFont="1" applyFill="1" applyBorder="1" applyAlignment="1">
      <alignment horizontal="center"/>
    </xf>
    <xf numFmtId="0" fontId="45" fillId="4" borderId="12" xfId="6" applyFont="1" applyFill="1" applyBorder="1" applyAlignment="1">
      <alignment horizontal="center"/>
    </xf>
    <xf numFmtId="0" fontId="44" fillId="2" borderId="0" xfId="6" applyFont="1" applyFill="1" applyAlignment="1">
      <alignment wrapText="1"/>
    </xf>
    <xf numFmtId="0" fontId="46" fillId="3" borderId="20" xfId="6" applyFont="1" applyFill="1" applyBorder="1" applyAlignment="1">
      <alignment horizontal="center" wrapText="1"/>
    </xf>
    <xf numFmtId="0" fontId="46" fillId="3" borderId="14" xfId="6" applyFont="1" applyFill="1" applyBorder="1" applyAlignment="1">
      <alignment horizontal="center" wrapText="1"/>
    </xf>
    <xf numFmtId="0" fontId="46" fillId="3" borderId="0" xfId="6" applyFont="1" applyFill="1" applyAlignment="1">
      <alignment horizontal="center" wrapText="1"/>
    </xf>
    <xf numFmtId="0" fontId="46" fillId="3" borderId="15" xfId="6" applyFont="1" applyFill="1" applyBorder="1" applyAlignment="1">
      <alignment horizontal="center" wrapText="1"/>
    </xf>
    <xf numFmtId="0" fontId="46" fillId="6" borderId="15" xfId="6" applyFont="1" applyFill="1" applyBorder="1" applyAlignment="1">
      <alignment horizontal="center" wrapText="1"/>
    </xf>
    <xf numFmtId="1" fontId="44" fillId="2" borderId="0" xfId="6" applyNumberFormat="1" applyFont="1" applyFill="1"/>
    <xf numFmtId="171" fontId="44" fillId="2" borderId="20" xfId="6" applyNumberFormat="1" applyFont="1" applyFill="1" applyBorder="1" applyAlignment="1">
      <alignment horizontal="center"/>
    </xf>
    <xf numFmtId="14" fontId="44" fillId="4" borderId="14" xfId="6" applyNumberFormat="1" applyFont="1" applyFill="1" applyBorder="1" applyAlignment="1">
      <alignment horizontal="center"/>
    </xf>
    <xf numFmtId="17" fontId="44" fillId="4" borderId="0" xfId="6" applyNumberFormat="1" applyFont="1" applyFill="1"/>
    <xf numFmtId="14" fontId="44" fillId="4" borderId="0" xfId="6" applyNumberFormat="1" applyFont="1" applyFill="1"/>
    <xf numFmtId="0" fontId="44" fillId="4" borderId="0" xfId="6" applyFont="1" applyFill="1" applyAlignment="1">
      <alignment horizontal="center"/>
    </xf>
    <xf numFmtId="14" fontId="44" fillId="4" borderId="0" xfId="6" applyNumberFormat="1" applyFont="1" applyFill="1" applyAlignment="1">
      <alignment horizontal="center"/>
    </xf>
    <xf numFmtId="166" fontId="44" fillId="4" borderId="14" xfId="10" applyNumberFormat="1" applyFont="1" applyFill="1" applyBorder="1" applyAlignment="1">
      <alignment horizontal="center"/>
    </xf>
    <xf numFmtId="166" fontId="44" fillId="4" borderId="0" xfId="10" applyNumberFormat="1" applyFont="1" applyFill="1" applyBorder="1" applyAlignment="1">
      <alignment horizontal="center"/>
    </xf>
    <xf numFmtId="166" fontId="44" fillId="4" borderId="2" xfId="10" applyNumberFormat="1" applyFont="1" applyFill="1" applyBorder="1" applyAlignment="1">
      <alignment horizontal="center"/>
    </xf>
    <xf numFmtId="1" fontId="44" fillId="4" borderId="15" xfId="10" applyNumberFormat="1" applyFont="1" applyFill="1" applyBorder="1" applyAlignment="1">
      <alignment horizontal="center" vertical="center"/>
    </xf>
    <xf numFmtId="166" fontId="44" fillId="5" borderId="0" xfId="1" applyNumberFormat="1" applyFont="1" applyFill="1" applyBorder="1" applyAlignment="1">
      <alignment horizontal="center"/>
    </xf>
    <xf numFmtId="167" fontId="44" fillId="5" borderId="0" xfId="1" applyNumberFormat="1" applyFont="1" applyFill="1" applyBorder="1" applyAlignment="1">
      <alignment horizontal="center"/>
    </xf>
    <xf numFmtId="171" fontId="44" fillId="2" borderId="21" xfId="6" applyNumberFormat="1" applyFont="1" applyFill="1" applyBorder="1" applyAlignment="1">
      <alignment horizontal="center"/>
    </xf>
    <xf numFmtId="14" fontId="44" fillId="4" borderId="16" xfId="6" applyNumberFormat="1" applyFont="1" applyFill="1" applyBorder="1" applyAlignment="1">
      <alignment horizontal="center"/>
    </xf>
    <xf numFmtId="17" fontId="44" fillId="4" borderId="2" xfId="6" applyNumberFormat="1" applyFont="1" applyFill="1" applyBorder="1"/>
    <xf numFmtId="14" fontId="44" fillId="4" borderId="2" xfId="6" applyNumberFormat="1" applyFont="1" applyFill="1" applyBorder="1"/>
    <xf numFmtId="0" fontId="44" fillId="4" borderId="2" xfId="6" applyFont="1" applyFill="1" applyBorder="1" applyAlignment="1">
      <alignment horizontal="center"/>
    </xf>
    <xf numFmtId="14" fontId="44" fillId="4" borderId="2" xfId="6" applyNumberFormat="1" applyFont="1" applyFill="1" applyBorder="1" applyAlignment="1">
      <alignment horizontal="center"/>
    </xf>
    <xf numFmtId="166" fontId="44" fillId="4" borderId="16" xfId="10" applyNumberFormat="1" applyFont="1" applyFill="1" applyBorder="1" applyAlignment="1">
      <alignment horizontal="center"/>
    </xf>
    <xf numFmtId="1" fontId="44" fillId="4" borderId="17" xfId="10" applyNumberFormat="1" applyFont="1" applyFill="1" applyBorder="1" applyAlignment="1">
      <alignment horizontal="center" vertical="center"/>
    </xf>
    <xf numFmtId="0" fontId="47" fillId="2" borderId="0" xfId="5" applyFont="1" applyFill="1" applyAlignment="1">
      <alignment horizontal="right"/>
    </xf>
    <xf numFmtId="0" fontId="48" fillId="0" borderId="0" xfId="0" applyFont="1"/>
    <xf numFmtId="165" fontId="48" fillId="0" borderId="0" xfId="0" applyNumberFormat="1" applyFont="1"/>
    <xf numFmtId="0" fontId="41" fillId="0" borderId="0" xfId="0" applyFont="1" applyAlignment="1">
      <alignment horizontal="center" wrapText="1"/>
    </xf>
    <xf numFmtId="0" fontId="49" fillId="0" borderId="0" xfId="0" applyFont="1"/>
    <xf numFmtId="0" fontId="50" fillId="7" borderId="11" xfId="0" applyFont="1" applyFill="1" applyBorder="1"/>
    <xf numFmtId="164" fontId="50" fillId="7" borderId="12" xfId="1" applyFont="1" applyFill="1" applyBorder="1" applyAlignment="1">
      <alignment horizontal="right"/>
    </xf>
    <xf numFmtId="0" fontId="50" fillId="7" borderId="12" xfId="0" applyFont="1" applyFill="1" applyBorder="1" applyAlignment="1">
      <alignment horizontal="right"/>
    </xf>
    <xf numFmtId="0" fontId="50" fillId="7" borderId="12" xfId="1" applyNumberFormat="1" applyFont="1" applyFill="1" applyBorder="1" applyAlignment="1">
      <alignment horizontal="center"/>
    </xf>
    <xf numFmtId="0" fontId="50" fillId="7" borderId="13" xfId="1" applyNumberFormat="1" applyFont="1" applyFill="1" applyBorder="1" applyAlignment="1">
      <alignment horizontal="right"/>
    </xf>
    <xf numFmtId="0" fontId="45" fillId="0" borderId="14" xfId="0" applyFont="1" applyBorder="1" applyAlignment="1">
      <alignment horizontal="left" indent="1"/>
    </xf>
    <xf numFmtId="166" fontId="48" fillId="0" borderId="0" xfId="1" applyNumberFormat="1" applyFont="1" applyFill="1" applyBorder="1"/>
    <xf numFmtId="9" fontId="48" fillId="0" borderId="0" xfId="4" applyFont="1" applyFill="1" applyBorder="1"/>
    <xf numFmtId="0" fontId="48" fillId="0" borderId="0" xfId="1" applyNumberFormat="1" applyFont="1" applyFill="1" applyBorder="1" applyAlignment="1">
      <alignment horizontal="center"/>
    </xf>
    <xf numFmtId="166" fontId="48" fillId="0" borderId="15" xfId="1" applyNumberFormat="1" applyFont="1" applyFill="1" applyBorder="1"/>
    <xf numFmtId="166" fontId="45" fillId="0" borderId="0" xfId="1" applyNumberFormat="1" applyFont="1" applyFill="1" applyBorder="1"/>
    <xf numFmtId="0" fontId="45" fillId="0" borderId="0" xfId="1" applyNumberFormat="1" applyFont="1" applyFill="1" applyBorder="1" applyAlignment="1">
      <alignment horizontal="center"/>
    </xf>
    <xf numFmtId="166" fontId="45" fillId="0" borderId="15" xfId="1" applyNumberFormat="1" applyFont="1" applyFill="1" applyBorder="1" applyAlignment="1">
      <alignment horizontal="center"/>
    </xf>
    <xf numFmtId="0" fontId="45" fillId="0" borderId="16" xfId="0" applyFont="1" applyBorder="1" applyAlignment="1">
      <alignment horizontal="left" indent="1"/>
    </xf>
    <xf numFmtId="166" fontId="45" fillId="0" borderId="2" xfId="1" applyNumberFormat="1" applyFont="1" applyFill="1" applyBorder="1"/>
    <xf numFmtId="9" fontId="48" fillId="0" borderId="2" xfId="4" applyFont="1" applyFill="1" applyBorder="1"/>
    <xf numFmtId="0" fontId="45" fillId="0" borderId="2" xfId="1" applyNumberFormat="1" applyFont="1" applyFill="1" applyBorder="1" applyAlignment="1">
      <alignment horizontal="center"/>
    </xf>
    <xf numFmtId="166" fontId="45" fillId="0" borderId="17" xfId="1" applyNumberFormat="1" applyFont="1" applyFill="1" applyBorder="1" applyAlignment="1">
      <alignment horizontal="center"/>
    </xf>
    <xf numFmtId="0" fontId="45" fillId="0" borderId="11" xfId="0" applyFont="1" applyBorder="1" applyAlignment="1">
      <alignment horizontal="left"/>
    </xf>
    <xf numFmtId="0" fontId="45" fillId="0" borderId="12" xfId="0" applyFont="1" applyBorder="1" applyAlignment="1">
      <alignment horizontal="left"/>
    </xf>
    <xf numFmtId="0" fontId="48" fillId="0" borderId="12" xfId="0" applyFont="1" applyBorder="1" applyAlignment="1">
      <alignment horizontal="left"/>
    </xf>
    <xf numFmtId="0" fontId="48" fillId="0" borderId="12" xfId="0" applyFont="1" applyBorder="1"/>
    <xf numFmtId="0" fontId="48" fillId="0" borderId="13" xfId="0" applyFont="1" applyBorder="1"/>
    <xf numFmtId="0" fontId="50" fillId="7" borderId="14" xfId="0" applyFont="1" applyFill="1" applyBorder="1"/>
    <xf numFmtId="164" fontId="50" fillId="7" borderId="0" xfId="1" applyFont="1" applyFill="1" applyBorder="1" applyAlignment="1"/>
    <xf numFmtId="0" fontId="50" fillId="7" borderId="0" xfId="0" applyFont="1" applyFill="1" applyAlignment="1">
      <alignment horizontal="left"/>
    </xf>
    <xf numFmtId="0" fontId="50" fillId="7" borderId="0" xfId="1" applyNumberFormat="1" applyFont="1" applyFill="1" applyBorder="1" applyAlignment="1">
      <alignment horizontal="center"/>
    </xf>
    <xf numFmtId="164" fontId="50" fillId="7" borderId="0" xfId="1" applyFont="1" applyFill="1" applyBorder="1" applyAlignment="1">
      <alignment horizontal="center"/>
    </xf>
    <xf numFmtId="0" fontId="50" fillId="7" borderId="15" xfId="0" applyFont="1" applyFill="1" applyBorder="1" applyAlignment="1">
      <alignment horizontal="right"/>
    </xf>
    <xf numFmtId="0" fontId="48" fillId="0" borderId="14" xfId="0" applyFont="1" applyBorder="1"/>
    <xf numFmtId="172" fontId="48" fillId="0" borderId="0" xfId="0" applyNumberFormat="1" applyFont="1" applyAlignment="1">
      <alignment horizontal="right"/>
    </xf>
    <xf numFmtId="172" fontId="48" fillId="0" borderId="0" xfId="0" applyNumberFormat="1" applyFont="1" applyAlignment="1">
      <alignment horizontal="center"/>
    </xf>
    <xf numFmtId="166" fontId="48" fillId="0" borderId="15" xfId="0" applyNumberFormat="1" applyFont="1" applyBorder="1"/>
    <xf numFmtId="0" fontId="45" fillId="0" borderId="0" xfId="0" applyFont="1" applyAlignment="1">
      <alignment horizontal="right"/>
    </xf>
    <xf numFmtId="166" fontId="45" fillId="0" borderId="15" xfId="0" applyNumberFormat="1" applyFont="1" applyBorder="1"/>
    <xf numFmtId="0" fontId="48" fillId="0" borderId="16" xfId="0" applyFont="1" applyBorder="1"/>
    <xf numFmtId="0" fontId="48" fillId="0" borderId="2" xfId="0" applyFont="1" applyBorder="1"/>
    <xf numFmtId="0" fontId="45" fillId="0" borderId="2" xfId="0" applyFont="1" applyBorder="1"/>
    <xf numFmtId="169" fontId="45" fillId="0" borderId="17" xfId="4" applyNumberFormat="1" applyFont="1" applyFill="1" applyBorder="1" applyAlignment="1">
      <alignment horizontal="center"/>
    </xf>
    <xf numFmtId="0" fontId="45" fillId="0" borderId="11" xfId="0" applyFont="1" applyBorder="1"/>
    <xf numFmtId="0" fontId="45" fillId="0" borderId="12" xfId="0" applyFont="1" applyBorder="1"/>
    <xf numFmtId="164" fontId="50" fillId="7" borderId="0" xfId="1" applyFont="1" applyFill="1" applyBorder="1" applyAlignment="1">
      <alignment horizontal="right"/>
    </xf>
    <xf numFmtId="0" fontId="52" fillId="0" borderId="0" xfId="0" applyFont="1"/>
    <xf numFmtId="0" fontId="3" fillId="0" borderId="0" xfId="5"/>
    <xf numFmtId="0" fontId="55" fillId="0" borderId="0" xfId="0" applyFont="1"/>
    <xf numFmtId="0" fontId="0" fillId="0" borderId="0" xfId="0" quotePrefix="1"/>
    <xf numFmtId="0" fontId="0" fillId="0" borderId="0" xfId="0" quotePrefix="1" applyAlignment="1">
      <alignment wrapText="1"/>
    </xf>
    <xf numFmtId="0" fontId="45" fillId="0" borderId="0" xfId="0" applyFont="1"/>
    <xf numFmtId="0" fontId="51" fillId="0" borderId="0" xfId="0" applyFont="1" applyAlignment="1">
      <alignment horizontal="left" wrapText="1"/>
    </xf>
    <xf numFmtId="0" fontId="48" fillId="0" borderId="0" xfId="0" applyFont="1" applyAlignment="1">
      <alignment horizontal="center"/>
    </xf>
    <xf numFmtId="0" fontId="45" fillId="4" borderId="9" xfId="6" applyFont="1" applyFill="1" applyBorder="1" applyAlignment="1">
      <alignment horizontal="center"/>
    </xf>
    <xf numFmtId="0" fontId="45" fillId="4" borderId="10" xfId="6" applyFont="1" applyFill="1" applyBorder="1" applyAlignment="1">
      <alignment horizontal="center"/>
    </xf>
    <xf numFmtId="0" fontId="45" fillId="4" borderId="18" xfId="6" applyFont="1" applyFill="1" applyBorder="1" applyAlignment="1">
      <alignment horizontal="center"/>
    </xf>
    <xf numFmtId="0" fontId="45" fillId="4" borderId="11" xfId="6" applyFont="1" applyFill="1" applyBorder="1" applyAlignment="1">
      <alignment horizontal="center"/>
    </xf>
    <xf numFmtId="0" fontId="45" fillId="4" borderId="12" xfId="6" applyFont="1" applyFill="1" applyBorder="1" applyAlignment="1">
      <alignment horizontal="center"/>
    </xf>
    <xf numFmtId="0" fontId="45" fillId="4" borderId="13" xfId="6" applyFont="1" applyFill="1" applyBorder="1" applyAlignment="1">
      <alignment horizontal="center"/>
    </xf>
    <xf numFmtId="0" fontId="34" fillId="2" borderId="0" xfId="6" applyFont="1" applyFill="1" applyAlignment="1">
      <alignment horizontal="center"/>
    </xf>
    <xf numFmtId="0" fontId="46" fillId="6" borderId="14" xfId="6" applyFont="1" applyFill="1" applyBorder="1" applyAlignment="1">
      <alignment horizontal="center" wrapText="1"/>
    </xf>
    <xf numFmtId="0" fontId="46" fillId="6" borderId="0" xfId="6" applyFont="1" applyFill="1" applyAlignment="1">
      <alignment horizontal="center" wrapText="1"/>
    </xf>
    <xf numFmtId="173" fontId="33" fillId="2" borderId="0" xfId="5" applyNumberFormat="1" applyFont="1" applyFill="1" applyAlignment="1">
      <alignment horizontal="center"/>
    </xf>
    <xf numFmtId="0" fontId="35" fillId="2" borderId="0" xfId="5" applyFont="1" applyFill="1" applyAlignment="1">
      <alignment horizontal="center"/>
    </xf>
  </cellXfs>
  <cellStyles count="14">
    <cellStyle name="Comma" xfId="1" builtinId="3"/>
    <cellStyle name="Comma 2 2" xfId="10" xr:uid="{00000000-0005-0000-0000-000001000000}"/>
    <cellStyle name="Comma 3" xfId="11" xr:uid="{00000000-0005-0000-0000-000002000000}"/>
    <cellStyle name="Hyperlink 2" xfId="2" xr:uid="{00000000-0005-0000-0000-000004000000}"/>
    <cellStyle name="Hyperlink 3" xfId="12" xr:uid="{00000000-0005-0000-0000-000005000000}"/>
    <cellStyle name="Normal" xfId="0" builtinId="0"/>
    <cellStyle name="Normal 2" xfId="3" xr:uid="{00000000-0005-0000-0000-000007000000}"/>
    <cellStyle name="Normal 2 2" xfId="6" xr:uid="{00000000-0005-0000-0000-000008000000}"/>
    <cellStyle name="Normal 2 3" xfId="7" xr:uid="{00000000-0005-0000-0000-000009000000}"/>
    <cellStyle name="Normal 2 4" xfId="9" xr:uid="{00000000-0005-0000-0000-00000A000000}"/>
    <cellStyle name="Normal 3" xfId="5" xr:uid="{00000000-0005-0000-0000-00000B000000}"/>
    <cellStyle name="Normal 4" xfId="13" xr:uid="{00000000-0005-0000-0000-00000C000000}"/>
    <cellStyle name="Percent" xfId="4" builtinId="5"/>
    <cellStyle name="Percent 2" xfId="8" xr:uid="{00000000-0005-0000-0000-00000E000000}"/>
  </cellStyles>
  <dxfs count="10">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ill>
        <patternFill>
          <bgColor theme="4" tint="0.79998168889431442"/>
        </patternFill>
      </fill>
    </dxf>
    <dxf>
      <fill>
        <patternFill>
          <bgColor theme="6" tint="0.39994506668294322"/>
        </patternFill>
      </fill>
    </dxf>
    <dxf>
      <fill>
        <patternFill>
          <bgColor theme="6" tint="0.59996337778862885"/>
        </patternFill>
      </fill>
    </dxf>
  </dxfs>
  <tableStyles count="2" defaultTableStyle="TableStyleMedium9" defaultPivotStyle="PivotStyleLight16">
    <tableStyle name="Table Style 1" pivot="0" count="1" xr9:uid="{00000000-0011-0000-FFFF-FFFF00000000}">
      <tableStyleElement type="firstRowStripe" dxfId="9"/>
    </tableStyle>
    <tableStyle name="Table Style 2" pivot="0" count="1" xr9:uid="{00000000-0011-0000-FFFF-FFFF01000000}">
      <tableStyleElement type="firstRowStripe" dxfId="8"/>
    </tableStyle>
  </tableStyles>
  <colors>
    <mruColors>
      <color rgb="FF0074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Days Sales Outstanding</a:t>
            </a:r>
          </a:p>
        </c:rich>
      </c:tx>
      <c:layout>
        <c:manualLayout>
          <c:xMode val="edge"/>
          <c:yMode val="edge"/>
          <c:x val="0.24195962803356774"/>
          <c:y val="4.544199114465642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9.8564591075364499E-2"/>
          <c:y val="0.18985735637563961"/>
          <c:w val="0.79941052974393878"/>
          <c:h val="0.58795460628184337"/>
        </c:manualLayout>
      </c:layout>
      <c:lineChart>
        <c:grouping val="standard"/>
        <c:varyColors val="0"/>
        <c:ser>
          <c:idx val="0"/>
          <c:order val="0"/>
          <c:tx>
            <c:v> </c:v>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'Collection Performance Index'!$C$11:$C$16</c:f>
              <c:numCache>
                <c:formatCode>mmm</c:formatCode>
                <c:ptCount val="6"/>
                <c:pt idx="0">
                  <c:v>43617</c:v>
                </c:pt>
                <c:pt idx="1">
                  <c:v>43647</c:v>
                </c:pt>
                <c:pt idx="2">
                  <c:v>43678</c:v>
                </c:pt>
                <c:pt idx="3">
                  <c:v>43709</c:v>
                </c:pt>
                <c:pt idx="4">
                  <c:v>43739</c:v>
                </c:pt>
                <c:pt idx="5">
                  <c:v>43770</c:v>
                </c:pt>
              </c:numCache>
            </c:numRef>
          </c:cat>
          <c:val>
            <c:numRef>
              <c:f>'Collection Performance Index'!$T$11:$T$16</c:f>
              <c:numCache>
                <c:formatCode>_(* #,##0.0_);_(* \(#,##0.0\);_(* "-"??_);_(@_)</c:formatCode>
                <c:ptCount val="6"/>
                <c:pt idx="0">
                  <c:v>371.57250201887604</c:v>
                </c:pt>
                <c:pt idx="1">
                  <c:v>551.43296726188487</c:v>
                </c:pt>
                <c:pt idx="2">
                  <c:v>566.47780104080005</c:v>
                </c:pt>
                <c:pt idx="3">
                  <c:v>560.31515699876536</c:v>
                </c:pt>
                <c:pt idx="4">
                  <c:v>551.7945400327792</c:v>
                </c:pt>
                <c:pt idx="5">
                  <c:v>448.89401557534723</c:v>
                </c:pt>
              </c:numCache>
            </c:numRef>
          </c:val>
          <c:smooth val="0"/>
          <c:extLst>
            <c:ext xmlns:c16="http://schemas.microsoft.com/office/drawing/2014/chart" uri="{C3380CC4-5D6E-409C-BE32-E72D297353CC}">
              <c16:uniqueId val="{00000000-D966-47CA-A9EB-96436EF12AD8}"/>
            </c:ext>
          </c:extLst>
        </c:ser>
        <c:dLbls>
          <c:dLblPos val="ctr"/>
          <c:showLegendKey val="0"/>
          <c:showVal val="1"/>
          <c:showCatName val="0"/>
          <c:showSerName val="0"/>
          <c:showPercent val="0"/>
          <c:showBubbleSize val="0"/>
        </c:dLbls>
        <c:marker val="1"/>
        <c:smooth val="0"/>
        <c:axId val="670788832"/>
        <c:axId val="670789616"/>
      </c:lineChart>
      <c:dateAx>
        <c:axId val="670788832"/>
        <c:scaling>
          <c:orientation val="minMax"/>
        </c:scaling>
        <c:delete val="1"/>
        <c:axPos val="b"/>
        <c:numFmt formatCode="[$-409]mmm\-yy;@" sourceLinked="0"/>
        <c:majorTickMark val="out"/>
        <c:minorTickMark val="none"/>
        <c:tickLblPos val="none"/>
        <c:crossAx val="670789616"/>
        <c:crosses val="autoZero"/>
        <c:auto val="1"/>
        <c:lblOffset val="100"/>
        <c:baseTimeUnit val="months"/>
      </c:dateAx>
      <c:valAx>
        <c:axId val="6707896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670788832"/>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2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Collection Performance Index</a:t>
            </a:r>
          </a:p>
        </c:rich>
      </c:tx>
      <c:layout>
        <c:manualLayout>
          <c:xMode val="edge"/>
          <c:yMode val="edge"/>
          <c:x val="0.18259411111304966"/>
          <c:y val="3.14815428626793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1136823862612023"/>
          <c:y val="0.18192735450248085"/>
          <c:w val="0.8029561451706928"/>
          <c:h val="0.55851038739845893"/>
        </c:manualLayout>
      </c:layout>
      <c:lineChart>
        <c:grouping val="standard"/>
        <c:varyColors val="0"/>
        <c:ser>
          <c:idx val="1"/>
          <c:order val="0"/>
          <c:tx>
            <c:v> </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'Collection Performance Index'!$C$11:$C$16</c:f>
              <c:numCache>
                <c:formatCode>mmm</c:formatCode>
                <c:ptCount val="6"/>
                <c:pt idx="0">
                  <c:v>43617</c:v>
                </c:pt>
                <c:pt idx="1">
                  <c:v>43647</c:v>
                </c:pt>
                <c:pt idx="2">
                  <c:v>43678</c:v>
                </c:pt>
                <c:pt idx="3">
                  <c:v>43709</c:v>
                </c:pt>
                <c:pt idx="4">
                  <c:v>43739</c:v>
                </c:pt>
                <c:pt idx="5">
                  <c:v>43770</c:v>
                </c:pt>
              </c:numCache>
            </c:numRef>
          </c:cat>
          <c:val>
            <c:numRef>
              <c:f>'Collection Performance Index'!$P$11:$P$16</c:f>
              <c:numCache>
                <c:formatCode>0</c:formatCode>
                <c:ptCount val="6"/>
                <c:pt idx="0">
                  <c:v>2.706445792297778</c:v>
                </c:pt>
                <c:pt idx="1">
                  <c:v>2.7974366932320449</c:v>
                </c:pt>
                <c:pt idx="2">
                  <c:v>2.8064660955293488</c:v>
                </c:pt>
                <c:pt idx="3">
                  <c:v>2.5981771011314208</c:v>
                </c:pt>
                <c:pt idx="4">
                  <c:v>2.0148769300352294</c:v>
                </c:pt>
                <c:pt idx="5">
                  <c:v>2.2076441895863943</c:v>
                </c:pt>
              </c:numCache>
            </c:numRef>
          </c:val>
          <c:smooth val="0"/>
          <c:extLst>
            <c:ext xmlns:c16="http://schemas.microsoft.com/office/drawing/2014/chart" uri="{C3380CC4-5D6E-409C-BE32-E72D297353CC}">
              <c16:uniqueId val="{00000000-E245-45C7-881A-1151C1C0FE18}"/>
            </c:ext>
          </c:extLst>
        </c:ser>
        <c:dLbls>
          <c:dLblPos val="ctr"/>
          <c:showLegendKey val="0"/>
          <c:showVal val="1"/>
          <c:showCatName val="0"/>
          <c:showSerName val="0"/>
          <c:showPercent val="0"/>
          <c:showBubbleSize val="0"/>
        </c:dLbls>
        <c:marker val="1"/>
        <c:smooth val="0"/>
        <c:axId val="670785304"/>
        <c:axId val="670792360"/>
      </c:lineChart>
      <c:dateAx>
        <c:axId val="670785304"/>
        <c:scaling>
          <c:orientation val="minMax"/>
        </c:scaling>
        <c:delete val="0"/>
        <c:axPos val="b"/>
        <c:numFmt formatCode="[$-409]mmm\-yy;@" sourceLinked="0"/>
        <c:majorTickMark val="none"/>
        <c:minorTickMark val="none"/>
        <c:tickLblPos val="none"/>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70792360"/>
        <c:crosses val="autoZero"/>
        <c:auto val="1"/>
        <c:lblOffset val="100"/>
        <c:baseTimeUnit val="months"/>
      </c:dateAx>
      <c:valAx>
        <c:axId val="670792360"/>
        <c:scaling>
          <c:orientation val="minMax"/>
          <c:max val="100"/>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crossAx val="670785304"/>
        <c:crosses val="autoZero"/>
        <c:crossBetween val="between"/>
        <c:majorUnit val="20"/>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2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000000000000411" l="0.70000000000000062" r="0.70000000000000062" t="0.7500000000000041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pieChart>
        <c:varyColors val="1"/>
        <c:ser>
          <c:idx val="0"/>
          <c:order val="0"/>
          <c:dPt>
            <c:idx val="0"/>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354-40EB-901C-CBFBDA10B39A}"/>
              </c:ext>
            </c:extLst>
          </c:dPt>
          <c:dPt>
            <c:idx val="1"/>
            <c:bubble3D val="0"/>
            <c:spPr>
              <a:solidFill>
                <a:schemeClr val="accent2">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354-40EB-901C-CBFBDA10B39A}"/>
              </c:ext>
            </c:extLst>
          </c:dPt>
          <c:dPt>
            <c:idx val="2"/>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354-40EB-901C-CBFBDA10B39A}"/>
              </c:ext>
            </c:extLst>
          </c:dPt>
          <c:dPt>
            <c:idx val="3"/>
            <c:bubble3D val="0"/>
            <c:spPr>
              <a:solidFill>
                <a:schemeClr val="accent2">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354-40EB-901C-CBFBDA10B39A}"/>
              </c:ext>
            </c:extLst>
          </c:dPt>
          <c:dPt>
            <c:idx val="4"/>
            <c:bubble3D val="0"/>
            <c:spPr>
              <a:solidFill>
                <a:schemeClr val="accent2">
                  <a:shade val="53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354-40EB-901C-CBFBDA10B39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'AR KPIs'!$H$11:$H$15</c:f>
              <c:strCache>
                <c:ptCount val="5"/>
                <c:pt idx="0">
                  <c:v>Current</c:v>
                </c:pt>
                <c:pt idx="1">
                  <c:v>1-30</c:v>
                </c:pt>
                <c:pt idx="2">
                  <c:v>31-60</c:v>
                </c:pt>
                <c:pt idx="3">
                  <c:v>61-90</c:v>
                </c:pt>
                <c:pt idx="4">
                  <c:v>Over 90</c:v>
                </c:pt>
              </c:strCache>
            </c:strRef>
          </c:cat>
          <c:val>
            <c:numRef>
              <c:f>'AR KPIs'!$I$11:$I$15</c:f>
              <c:numCache>
                <c:formatCode>_(* #,##0_);_(* \(#,##0\);_(* "-"??_);_(@_)</c:formatCode>
                <c:ptCount val="5"/>
                <c:pt idx="0">
                  <c:v>775948.55999999982</c:v>
                </c:pt>
                <c:pt idx="1">
                  <c:v>1139763.5</c:v>
                </c:pt>
                <c:pt idx="2">
                  <c:v>869599.64</c:v>
                </c:pt>
                <c:pt idx="3">
                  <c:v>793265.40999999992</c:v>
                </c:pt>
                <c:pt idx="4">
                  <c:v>48438335.150000177</c:v>
                </c:pt>
              </c:numCache>
            </c:numRef>
          </c:val>
          <c:extLst>
            <c:ext xmlns:c16="http://schemas.microsoft.com/office/drawing/2014/chart" uri="{C3380CC4-5D6E-409C-BE32-E72D297353CC}">
              <c16:uniqueId val="{0000000A-A354-40EB-901C-CBFBDA10B39A}"/>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12</xdr:col>
      <xdr:colOff>280147</xdr:colOff>
      <xdr:row>9</xdr:row>
      <xdr:rowOff>0</xdr:rowOff>
    </xdr:from>
    <xdr:to>
      <xdr:col>19</xdr:col>
      <xdr:colOff>238549</xdr:colOff>
      <xdr:row>23</xdr:row>
      <xdr:rowOff>199913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247463</xdr:colOff>
      <xdr:row>29</xdr:row>
      <xdr:rowOff>42022</xdr:rowOff>
    </xdr:from>
    <xdr:to>
      <xdr:col>19</xdr:col>
      <xdr:colOff>259987</xdr:colOff>
      <xdr:row>45</xdr:row>
      <xdr:rowOff>199913</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xdr:colOff>
      <xdr:row>8</xdr:row>
      <xdr:rowOff>61451</xdr:rowOff>
    </xdr:from>
    <xdr:to>
      <xdr:col>6</xdr:col>
      <xdr:colOff>1933014</xdr:colOff>
      <xdr:row>18</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ahoma"/>
        <a:font script="Hebr" typeface="Gisha"/>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ＭＳ ゴシック"/>
        <a:font script="Hang" typeface="맑은 고딕"/>
        <a:font script="Hans" typeface="宋体"/>
        <a:font script="Hant" typeface="新細明體"/>
        <a:font script="Arab" typeface="Tahoma"/>
        <a:font script="Hebr" typeface="Gisha"/>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
  <sheetViews>
    <sheetView topLeftCell="B2" workbookViewId="0"/>
  </sheetViews>
  <sheetFormatPr defaultColWidth="9.109375" defaultRowHeight="13.2" x14ac:dyDescent="0.25"/>
  <cols>
    <col min="1" max="1" width="9.109375" style="1" hidden="1" customWidth="1"/>
    <col min="2" max="2" width="30.6640625" style="1" customWidth="1"/>
    <col min="3" max="3" width="25.44140625" style="1" customWidth="1"/>
    <col min="4" max="4" width="20.33203125" style="1" customWidth="1"/>
    <col min="5" max="16384" width="9.109375" style="1"/>
  </cols>
  <sheetData>
    <row r="1" spans="1:5" hidden="1" x14ac:dyDescent="0.25">
      <c r="A1" s="1" t="s">
        <v>77403</v>
      </c>
      <c r="B1" s="1" t="s">
        <v>3</v>
      </c>
      <c r="C1" s="1" t="s">
        <v>4</v>
      </c>
      <c r="D1" s="1" t="s">
        <v>5</v>
      </c>
      <c r="E1" s="1" t="s">
        <v>75</v>
      </c>
    </row>
    <row r="5" spans="1:5" x14ac:dyDescent="0.25">
      <c r="B5" s="4" t="s">
        <v>0</v>
      </c>
      <c r="C5" s="5"/>
      <c r="D5" s="5"/>
    </row>
    <row r="6" spans="1:5" x14ac:dyDescent="0.25">
      <c r="A6" s="1" t="s">
        <v>6</v>
      </c>
      <c r="B6" s="6" t="str">
        <f>"Customer No."</f>
        <v>Customer No.</v>
      </c>
      <c r="C6" s="2" t="str">
        <f>"*"</f>
        <v>*</v>
      </c>
      <c r="D6" s="2" t="str">
        <f>"Lookup"</f>
        <v>Lookup</v>
      </c>
    </row>
    <row r="7" spans="1:5" x14ac:dyDescent="0.25">
      <c r="A7" s="1" t="s">
        <v>6</v>
      </c>
      <c r="B7" s="6" t="s">
        <v>62</v>
      </c>
      <c r="C7" s="11" t="str">
        <f>"12/12/19"</f>
        <v>12/12/19</v>
      </c>
      <c r="D7" s="2"/>
      <c r="E7" s="211" t="s">
        <v>76</v>
      </c>
    </row>
    <row r="8" spans="1:5" x14ac:dyDescent="0.25">
      <c r="A8" s="1" t="s">
        <v>6</v>
      </c>
      <c r="B8" s="6" t="s">
        <v>42</v>
      </c>
      <c r="C8" s="3">
        <v>30</v>
      </c>
      <c r="D8" s="2"/>
    </row>
  </sheetData>
  <phoneticPr fontId="0" type="noConversion"/>
  <pageMargins left="0.75" right="0.75" top="1" bottom="1" header="0.5" footer="0.5"/>
  <pageSetup orientation="landscape" r:id="rId1"/>
  <headerFooter alignWithMargins="0">
    <oddHeader>&amp;C&amp;12&amp;F
GSE Lining Technology&amp;R&amp;"Times New Roman,Regular"&amp;D &amp;T &amp;P</oddHeader>
    <oddFooter>&amp;L&amp;8&amp;Z&amp;F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16"/>
  <sheetViews>
    <sheetView workbookViewId="0"/>
  </sheetViews>
  <sheetFormatPr defaultRowHeight="13.2" x14ac:dyDescent="0.25"/>
  <sheetData>
    <row r="1" spans="1:20" x14ac:dyDescent="0.25">
      <c r="A1" s="213" t="s">
        <v>77401</v>
      </c>
    </row>
    <row r="2" spans="1:20" x14ac:dyDescent="0.25">
      <c r="C2" s="213" t="s">
        <v>142</v>
      </c>
    </row>
    <row r="4" spans="1:20" x14ac:dyDescent="0.25">
      <c r="D4" s="213" t="s">
        <v>49</v>
      </c>
    </row>
    <row r="5" spans="1:20" x14ac:dyDescent="0.25">
      <c r="I5" s="213" t="s">
        <v>77371</v>
      </c>
    </row>
    <row r="8" spans="1:20" x14ac:dyDescent="0.25">
      <c r="D8" s="213" t="s">
        <v>143</v>
      </c>
    </row>
    <row r="9" spans="1:20" x14ac:dyDescent="0.25">
      <c r="Q9" s="213" t="s">
        <v>59</v>
      </c>
    </row>
    <row r="10" spans="1:20" ht="52.8" x14ac:dyDescent="0.25">
      <c r="C10" s="213" t="s">
        <v>24</v>
      </c>
      <c r="D10" s="213" t="s">
        <v>26</v>
      </c>
      <c r="E10" s="214" t="s">
        <v>50</v>
      </c>
      <c r="F10" s="213" t="s">
        <v>27</v>
      </c>
      <c r="G10" s="213" t="s">
        <v>35</v>
      </c>
      <c r="H10" s="214" t="s">
        <v>51</v>
      </c>
      <c r="J10" s="213" t="s">
        <v>52</v>
      </c>
      <c r="K10" s="213" t="s">
        <v>8</v>
      </c>
      <c r="L10" s="214" t="s">
        <v>53</v>
      </c>
      <c r="M10" s="214" t="s">
        <v>54</v>
      </c>
      <c r="N10" s="214" t="s">
        <v>55</v>
      </c>
      <c r="O10" s="214" t="s">
        <v>56</v>
      </c>
      <c r="P10" s="214" t="s">
        <v>57</v>
      </c>
      <c r="Q10" s="213" t="s">
        <v>25</v>
      </c>
      <c r="R10" s="213" t="s">
        <v>36</v>
      </c>
      <c r="S10" s="213" t="s">
        <v>37</v>
      </c>
      <c r="T10" s="213" t="s">
        <v>144</v>
      </c>
    </row>
    <row r="11" spans="1:20" x14ac:dyDescent="0.25">
      <c r="B11" s="213" t="s">
        <v>145</v>
      </c>
      <c r="C11" s="213" t="s">
        <v>146</v>
      </c>
      <c r="D11" s="213" t="s">
        <v>147</v>
      </c>
      <c r="E11" s="213" t="s">
        <v>148</v>
      </c>
      <c r="F11" s="213" t="s">
        <v>149</v>
      </c>
      <c r="G11" s="213" t="s">
        <v>150</v>
      </c>
      <c r="H11" s="213" t="s">
        <v>151</v>
      </c>
      <c r="I11" s="213" t="s">
        <v>152</v>
      </c>
      <c r="J11" s="213" t="s">
        <v>153</v>
      </c>
      <c r="K11" s="213" t="s">
        <v>154</v>
      </c>
      <c r="L11" s="213" t="s">
        <v>78</v>
      </c>
      <c r="M11" s="213" t="s">
        <v>78</v>
      </c>
      <c r="N11" s="213" t="s">
        <v>78</v>
      </c>
      <c r="O11" s="213" t="s">
        <v>78</v>
      </c>
      <c r="P11" s="213" t="s">
        <v>155</v>
      </c>
      <c r="Q11" s="213" t="s">
        <v>78</v>
      </c>
      <c r="R11" s="213" t="s">
        <v>78</v>
      </c>
      <c r="S11" s="213" t="s">
        <v>156</v>
      </c>
      <c r="T11" s="213" t="s">
        <v>157</v>
      </c>
    </row>
    <row r="12" spans="1:20" x14ac:dyDescent="0.25">
      <c r="B12" s="213" t="s">
        <v>158</v>
      </c>
      <c r="C12" s="213" t="s">
        <v>159</v>
      </c>
      <c r="D12" s="213" t="s">
        <v>160</v>
      </c>
      <c r="E12" s="213" t="s">
        <v>161</v>
      </c>
      <c r="F12" s="213" t="s">
        <v>162</v>
      </c>
      <c r="G12" s="213" t="s">
        <v>163</v>
      </c>
      <c r="H12" s="213" t="s">
        <v>164</v>
      </c>
      <c r="I12" s="213" t="s">
        <v>165</v>
      </c>
      <c r="J12" s="213" t="s">
        <v>166</v>
      </c>
      <c r="K12" s="213" t="s">
        <v>167</v>
      </c>
      <c r="L12" s="213" t="s">
        <v>78</v>
      </c>
      <c r="M12" s="213" t="s">
        <v>78</v>
      </c>
      <c r="N12" s="213" t="s">
        <v>78</v>
      </c>
      <c r="O12" s="213" t="s">
        <v>78</v>
      </c>
      <c r="P12" s="213" t="s">
        <v>168</v>
      </c>
      <c r="Q12" s="213" t="s">
        <v>78</v>
      </c>
      <c r="R12" s="213" t="s">
        <v>78</v>
      </c>
      <c r="S12" s="213" t="s">
        <v>169</v>
      </c>
      <c r="T12" s="213" t="s">
        <v>170</v>
      </c>
    </row>
    <row r="13" spans="1:20" x14ac:dyDescent="0.25">
      <c r="B13" s="213" t="s">
        <v>171</v>
      </c>
      <c r="C13" s="213" t="s">
        <v>172</v>
      </c>
      <c r="D13" s="213" t="s">
        <v>173</v>
      </c>
      <c r="E13" s="213" t="s">
        <v>174</v>
      </c>
      <c r="F13" s="213" t="s">
        <v>175</v>
      </c>
      <c r="G13" s="213" t="s">
        <v>176</v>
      </c>
      <c r="H13" s="213" t="s">
        <v>177</v>
      </c>
      <c r="I13" s="213" t="s">
        <v>178</v>
      </c>
      <c r="J13" s="213" t="s">
        <v>179</v>
      </c>
      <c r="K13" s="213" t="s">
        <v>180</v>
      </c>
      <c r="L13" s="213" t="s">
        <v>78</v>
      </c>
      <c r="M13" s="213" t="s">
        <v>78</v>
      </c>
      <c r="N13" s="213" t="s">
        <v>78</v>
      </c>
      <c r="O13" s="213" t="s">
        <v>78</v>
      </c>
      <c r="P13" s="213" t="s">
        <v>181</v>
      </c>
      <c r="Q13" s="213" t="s">
        <v>78</v>
      </c>
      <c r="R13" s="213" t="s">
        <v>78</v>
      </c>
      <c r="S13" s="213" t="s">
        <v>182</v>
      </c>
      <c r="T13" s="213" t="s">
        <v>183</v>
      </c>
    </row>
    <row r="14" spans="1:20" x14ac:dyDescent="0.25">
      <c r="B14" s="213" t="s">
        <v>184</v>
      </c>
      <c r="C14" s="213" t="s">
        <v>185</v>
      </c>
      <c r="D14" s="213" t="s">
        <v>186</v>
      </c>
      <c r="E14" s="213" t="s">
        <v>187</v>
      </c>
      <c r="F14" s="213" t="s">
        <v>188</v>
      </c>
      <c r="G14" s="213" t="s">
        <v>189</v>
      </c>
      <c r="H14" s="213" t="s">
        <v>190</v>
      </c>
      <c r="I14" s="213" t="s">
        <v>191</v>
      </c>
      <c r="J14" s="213" t="s">
        <v>192</v>
      </c>
      <c r="K14" s="213" t="s">
        <v>193</v>
      </c>
      <c r="L14" s="213" t="s">
        <v>78</v>
      </c>
      <c r="M14" s="213" t="s">
        <v>78</v>
      </c>
      <c r="N14" s="213" t="s">
        <v>78</v>
      </c>
      <c r="O14" s="213" t="s">
        <v>78</v>
      </c>
      <c r="P14" s="213" t="s">
        <v>194</v>
      </c>
      <c r="Q14" s="213" t="s">
        <v>78</v>
      </c>
      <c r="R14" s="213" t="s">
        <v>78</v>
      </c>
      <c r="S14" s="213" t="s">
        <v>195</v>
      </c>
      <c r="T14" s="213" t="s">
        <v>196</v>
      </c>
    </row>
    <row r="15" spans="1:20" x14ac:dyDescent="0.25">
      <c r="B15" s="213" t="s">
        <v>197</v>
      </c>
      <c r="C15" s="213" t="s">
        <v>198</v>
      </c>
      <c r="D15" s="213" t="s">
        <v>199</v>
      </c>
      <c r="E15" s="213" t="s">
        <v>200</v>
      </c>
      <c r="F15" s="213" t="s">
        <v>201</v>
      </c>
      <c r="G15" s="213" t="s">
        <v>202</v>
      </c>
      <c r="H15" s="213" t="s">
        <v>203</v>
      </c>
      <c r="I15" s="213" t="s">
        <v>204</v>
      </c>
      <c r="J15" s="213" t="s">
        <v>205</v>
      </c>
      <c r="K15" s="213" t="s">
        <v>206</v>
      </c>
      <c r="L15" s="213" t="s">
        <v>78</v>
      </c>
      <c r="M15" s="213" t="s">
        <v>78</v>
      </c>
      <c r="N15" s="213" t="s">
        <v>78</v>
      </c>
      <c r="O15" s="213" t="s">
        <v>78</v>
      </c>
      <c r="P15" s="213" t="s">
        <v>207</v>
      </c>
      <c r="Q15" s="213" t="s">
        <v>78</v>
      </c>
      <c r="R15" s="213" t="s">
        <v>78</v>
      </c>
      <c r="S15" s="213" t="s">
        <v>208</v>
      </c>
      <c r="T15" s="213" t="s">
        <v>209</v>
      </c>
    </row>
    <row r="16" spans="1:20" x14ac:dyDescent="0.25">
      <c r="B16" s="213" t="s">
        <v>210</v>
      </c>
      <c r="C16" s="213" t="s">
        <v>211</v>
      </c>
      <c r="D16" s="213" t="s">
        <v>212</v>
      </c>
      <c r="E16" s="213" t="s">
        <v>213</v>
      </c>
      <c r="F16" s="213" t="s">
        <v>214</v>
      </c>
      <c r="G16" s="213" t="s">
        <v>215</v>
      </c>
      <c r="H16" s="213" t="s">
        <v>216</v>
      </c>
      <c r="I16" s="213" t="s">
        <v>217</v>
      </c>
      <c r="J16" s="213" t="s">
        <v>218</v>
      </c>
      <c r="K16" s="213" t="s">
        <v>219</v>
      </c>
      <c r="L16" s="213" t="s">
        <v>78</v>
      </c>
      <c r="M16" s="213" t="s">
        <v>78</v>
      </c>
      <c r="N16" s="213" t="s">
        <v>78</v>
      </c>
      <c r="O16" s="213" t="s">
        <v>78</v>
      </c>
      <c r="P16" s="213" t="s">
        <v>220</v>
      </c>
      <c r="Q16" s="213" t="s">
        <v>78</v>
      </c>
      <c r="R16" s="213" t="s">
        <v>78</v>
      </c>
      <c r="S16" s="213" t="s">
        <v>221</v>
      </c>
      <c r="T16" s="213" t="s">
        <v>222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5"/>
  <sheetViews>
    <sheetView workbookViewId="0"/>
  </sheetViews>
  <sheetFormatPr defaultRowHeight="13.2" x14ac:dyDescent="0.25"/>
  <sheetData>
    <row r="1" spans="1:21" x14ac:dyDescent="0.25">
      <c r="A1" s="213" t="s">
        <v>77402</v>
      </c>
      <c r="B1" s="213" t="s">
        <v>1</v>
      </c>
      <c r="C1" s="213" t="s">
        <v>1</v>
      </c>
      <c r="D1" s="213" t="s">
        <v>1</v>
      </c>
      <c r="E1" s="213" t="s">
        <v>1</v>
      </c>
      <c r="F1" s="213" t="s">
        <v>1</v>
      </c>
      <c r="H1" s="213" t="s">
        <v>1</v>
      </c>
      <c r="J1" s="213" t="s">
        <v>10</v>
      </c>
      <c r="K1" s="213" t="s">
        <v>60</v>
      </c>
      <c r="L1" s="213" t="s">
        <v>10</v>
      </c>
      <c r="M1" s="213" t="s">
        <v>10</v>
      </c>
      <c r="N1" s="213" t="s">
        <v>10</v>
      </c>
      <c r="O1" s="213" t="s">
        <v>10</v>
      </c>
      <c r="P1" s="213" t="s">
        <v>10</v>
      </c>
      <c r="Q1" s="213" t="s">
        <v>10</v>
      </c>
      <c r="R1" s="213" t="s">
        <v>10</v>
      </c>
      <c r="S1" s="213" t="s">
        <v>10</v>
      </c>
      <c r="T1" s="213" t="s">
        <v>10</v>
      </c>
      <c r="U1" s="213" t="s">
        <v>1</v>
      </c>
    </row>
    <row r="2" spans="1:21" x14ac:dyDescent="0.25">
      <c r="A2" s="213" t="s">
        <v>9</v>
      </c>
    </row>
    <row r="4" spans="1:21" x14ac:dyDescent="0.25">
      <c r="C4" s="213" t="s">
        <v>20</v>
      </c>
      <c r="D4" s="213" t="s">
        <v>223</v>
      </c>
    </row>
    <row r="5" spans="1:21" x14ac:dyDescent="0.25">
      <c r="I5" s="213" t="s">
        <v>61</v>
      </c>
    </row>
    <row r="6" spans="1:21" x14ac:dyDescent="0.25">
      <c r="I6" s="213" t="s">
        <v>28</v>
      </c>
    </row>
    <row r="8" spans="1:21" x14ac:dyDescent="0.25">
      <c r="I8" s="213" t="s">
        <v>62</v>
      </c>
      <c r="J8" s="213" t="s">
        <v>82</v>
      </c>
    </row>
    <row r="9" spans="1:21" x14ac:dyDescent="0.25">
      <c r="I9" s="213" t="s">
        <v>11</v>
      </c>
      <c r="J9" s="213" t="s">
        <v>224</v>
      </c>
    </row>
    <row r="10" spans="1:21" x14ac:dyDescent="0.25">
      <c r="I10" s="213" t="s">
        <v>21</v>
      </c>
      <c r="J10" s="213" t="s">
        <v>225</v>
      </c>
      <c r="Q10" s="213" t="s">
        <v>12</v>
      </c>
      <c r="R10" s="213" t="s">
        <v>226</v>
      </c>
    </row>
    <row r="14" spans="1:21" x14ac:dyDescent="0.25">
      <c r="A14" s="213" t="s">
        <v>1</v>
      </c>
    </row>
    <row r="15" spans="1:21" x14ac:dyDescent="0.25">
      <c r="A15" s="213" t="s">
        <v>1</v>
      </c>
      <c r="C15" s="213" t="s">
        <v>13</v>
      </c>
      <c r="D15" s="213" t="s">
        <v>291</v>
      </c>
    </row>
    <row r="16" spans="1:21" x14ac:dyDescent="0.25">
      <c r="A16" s="213" t="s">
        <v>1</v>
      </c>
      <c r="C16" s="213" t="s">
        <v>14</v>
      </c>
      <c r="D16" s="213" t="s">
        <v>292</v>
      </c>
      <c r="Q16" s="213" t="s">
        <v>227</v>
      </c>
      <c r="R16" s="213" t="s">
        <v>228</v>
      </c>
      <c r="S16" s="213" t="s">
        <v>229</v>
      </c>
    </row>
    <row r="17" spans="1:21" x14ac:dyDescent="0.25">
      <c r="A17" s="213" t="s">
        <v>1</v>
      </c>
      <c r="C17" s="213" t="s">
        <v>15</v>
      </c>
      <c r="D17" s="213" t="s">
        <v>230</v>
      </c>
    </row>
    <row r="18" spans="1:21" x14ac:dyDescent="0.25">
      <c r="A18" s="213" t="s">
        <v>1</v>
      </c>
      <c r="P18" s="213" t="s">
        <v>231</v>
      </c>
      <c r="Q18" s="213" t="s">
        <v>232</v>
      </c>
      <c r="R18" s="213" t="s">
        <v>233</v>
      </c>
      <c r="S18" s="213" t="s">
        <v>234</v>
      </c>
      <c r="T18" s="213" t="s">
        <v>235</v>
      </c>
    </row>
    <row r="19" spans="1:21" x14ac:dyDescent="0.25">
      <c r="A19" s="213" t="s">
        <v>1</v>
      </c>
      <c r="O19" s="213" t="s">
        <v>236</v>
      </c>
      <c r="P19" s="213" t="s">
        <v>237</v>
      </c>
      <c r="Q19" s="213" t="s">
        <v>238</v>
      </c>
      <c r="R19" s="213" t="s">
        <v>239</v>
      </c>
      <c r="S19" s="213" t="s">
        <v>240</v>
      </c>
      <c r="T19" s="213" t="s">
        <v>241</v>
      </c>
    </row>
    <row r="21" spans="1:21" x14ac:dyDescent="0.25">
      <c r="I21" s="213" t="s">
        <v>242</v>
      </c>
      <c r="J21" s="213" t="s">
        <v>68</v>
      </c>
      <c r="U21" s="213" t="s">
        <v>18</v>
      </c>
    </row>
    <row r="22" spans="1:21" x14ac:dyDescent="0.25">
      <c r="I22" s="213" t="s">
        <v>243</v>
      </c>
      <c r="K22" s="213" t="s">
        <v>70</v>
      </c>
      <c r="L22" s="213" t="s">
        <v>71</v>
      </c>
      <c r="M22" s="213" t="s">
        <v>2</v>
      </c>
      <c r="N22" s="213" t="s">
        <v>22</v>
      </c>
      <c r="O22" s="213" t="s">
        <v>16</v>
      </c>
      <c r="P22" s="213" t="s">
        <v>17</v>
      </c>
      <c r="Q22" s="213" t="s">
        <v>244</v>
      </c>
      <c r="R22" s="213" t="s">
        <v>245</v>
      </c>
      <c r="S22" s="213" t="s">
        <v>246</v>
      </c>
      <c r="T22" s="213" t="s">
        <v>247</v>
      </c>
    </row>
    <row r="24" spans="1:21" x14ac:dyDescent="0.25">
      <c r="C24" s="213" t="s">
        <v>248</v>
      </c>
      <c r="E24" s="213" t="s">
        <v>249</v>
      </c>
      <c r="H24" s="213" t="s">
        <v>250</v>
      </c>
      <c r="I24" s="213" t="s">
        <v>251</v>
      </c>
      <c r="J24" s="213" t="s">
        <v>252</v>
      </c>
      <c r="L24" s="213" t="s">
        <v>253</v>
      </c>
      <c r="O24" s="213" t="s">
        <v>254</v>
      </c>
      <c r="P24" s="213" t="s">
        <v>255</v>
      </c>
      <c r="Q24" s="213" t="s">
        <v>256</v>
      </c>
      <c r="R24" s="213" t="s">
        <v>257</v>
      </c>
      <c r="S24" s="213" t="s">
        <v>258</v>
      </c>
      <c r="T24" s="213" t="s">
        <v>259</v>
      </c>
    </row>
    <row r="25" spans="1:21" x14ac:dyDescent="0.25">
      <c r="C25" s="213" t="s">
        <v>260</v>
      </c>
      <c r="E25" s="213" t="s">
        <v>261</v>
      </c>
      <c r="I25" s="213" t="s">
        <v>262</v>
      </c>
    </row>
    <row r="26" spans="1:21" x14ac:dyDescent="0.25">
      <c r="C26" s="213" t="s">
        <v>263</v>
      </c>
      <c r="E26" s="213" t="s">
        <v>264</v>
      </c>
      <c r="I26" s="213" t="s">
        <v>265</v>
      </c>
    </row>
    <row r="27" spans="1:21" x14ac:dyDescent="0.25">
      <c r="A27" s="213" t="s">
        <v>1</v>
      </c>
    </row>
    <row r="28" spans="1:21" x14ac:dyDescent="0.25">
      <c r="D28" s="213" t="s">
        <v>266</v>
      </c>
      <c r="E28" s="213" t="s">
        <v>267</v>
      </c>
      <c r="K28" s="213" t="s">
        <v>268</v>
      </c>
      <c r="L28" s="213" t="s">
        <v>269</v>
      </c>
      <c r="M28" s="213" t="s">
        <v>270</v>
      </c>
      <c r="N28" s="213" t="s">
        <v>271</v>
      </c>
      <c r="O28" s="213" t="s">
        <v>272</v>
      </c>
      <c r="P28" s="213" t="s">
        <v>273</v>
      </c>
      <c r="Q28" s="213" t="s">
        <v>274</v>
      </c>
      <c r="R28" s="213" t="s">
        <v>275</v>
      </c>
      <c r="S28" s="213" t="s">
        <v>276</v>
      </c>
      <c r="T28" s="213" t="s">
        <v>277</v>
      </c>
      <c r="U28" s="213" t="s">
        <v>278</v>
      </c>
    </row>
    <row r="31" spans="1:21" x14ac:dyDescent="0.25">
      <c r="A31" s="213" t="s">
        <v>73</v>
      </c>
    </row>
    <row r="32" spans="1:21" x14ac:dyDescent="0.25">
      <c r="K32" s="213" t="s">
        <v>19</v>
      </c>
      <c r="O32" s="213" t="s">
        <v>279</v>
      </c>
      <c r="P32" s="213" t="s">
        <v>280</v>
      </c>
      <c r="Q32" s="213" t="s">
        <v>281</v>
      </c>
      <c r="R32" s="213" t="s">
        <v>282</v>
      </c>
      <c r="S32" s="213" t="s">
        <v>283</v>
      </c>
      <c r="T32" s="213" t="s">
        <v>284</v>
      </c>
    </row>
    <row r="33" spans="1:20" x14ac:dyDescent="0.25">
      <c r="O33" s="213" t="s">
        <v>69</v>
      </c>
      <c r="P33" s="213" t="s">
        <v>285</v>
      </c>
      <c r="Q33" s="213" t="s">
        <v>286</v>
      </c>
      <c r="R33" s="213" t="s">
        <v>287</v>
      </c>
      <c r="S33" s="213" t="s">
        <v>288</v>
      </c>
      <c r="T33" s="213" t="s">
        <v>289</v>
      </c>
    </row>
    <row r="34" spans="1:20" x14ac:dyDescent="0.25">
      <c r="A34" s="213" t="s">
        <v>1</v>
      </c>
      <c r="S34" s="213" t="s">
        <v>290</v>
      </c>
    </row>
    <row r="35" spans="1:20" x14ac:dyDescent="0.25">
      <c r="K35" s="213" t="s">
        <v>48</v>
      </c>
      <c r="L35" s="213" t="s">
        <v>492</v>
      </c>
      <c r="P35" s="213" t="s">
        <v>77374</v>
      </c>
      <c r="Q35" s="213" t="s">
        <v>77375</v>
      </c>
      <c r="R35" s="213" t="s">
        <v>77376</v>
      </c>
      <c r="S35" s="213" t="s">
        <v>77377</v>
      </c>
      <c r="T35" s="213" t="s">
        <v>77378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5"/>
  <sheetViews>
    <sheetView workbookViewId="0"/>
  </sheetViews>
  <sheetFormatPr defaultRowHeight="13.2" x14ac:dyDescent="0.25"/>
  <sheetData>
    <row r="1" spans="1:21" x14ac:dyDescent="0.25">
      <c r="A1" s="213" t="s">
        <v>77402</v>
      </c>
      <c r="B1" s="213" t="s">
        <v>1</v>
      </c>
      <c r="C1" s="213" t="s">
        <v>1</v>
      </c>
      <c r="D1" s="213" t="s">
        <v>1</v>
      </c>
      <c r="E1" s="213" t="s">
        <v>1</v>
      </c>
      <c r="F1" s="213" t="s">
        <v>1</v>
      </c>
      <c r="H1" s="213" t="s">
        <v>1</v>
      </c>
      <c r="J1" s="213" t="s">
        <v>10</v>
      </c>
      <c r="K1" s="213" t="s">
        <v>60</v>
      </c>
      <c r="L1" s="213" t="s">
        <v>10</v>
      </c>
      <c r="M1" s="213" t="s">
        <v>10</v>
      </c>
      <c r="N1" s="213" t="s">
        <v>10</v>
      </c>
      <c r="O1" s="213" t="s">
        <v>10</v>
      </c>
      <c r="P1" s="213" t="s">
        <v>10</v>
      </c>
      <c r="Q1" s="213" t="s">
        <v>10</v>
      </c>
      <c r="R1" s="213" t="s">
        <v>10</v>
      </c>
      <c r="S1" s="213" t="s">
        <v>10</v>
      </c>
      <c r="T1" s="213" t="s">
        <v>10</v>
      </c>
      <c r="U1" s="213" t="s">
        <v>1</v>
      </c>
    </row>
    <row r="2" spans="1:21" x14ac:dyDescent="0.25">
      <c r="A2" s="213" t="s">
        <v>9</v>
      </c>
    </row>
    <row r="4" spans="1:21" x14ac:dyDescent="0.25">
      <c r="C4" s="213" t="s">
        <v>20</v>
      </c>
      <c r="D4" s="213" t="s">
        <v>223</v>
      </c>
    </row>
    <row r="5" spans="1:21" x14ac:dyDescent="0.25">
      <c r="I5" s="213" t="s">
        <v>61</v>
      </c>
    </row>
    <row r="6" spans="1:21" x14ac:dyDescent="0.25">
      <c r="I6" s="213" t="s">
        <v>28</v>
      </c>
    </row>
    <row r="8" spans="1:21" x14ac:dyDescent="0.25">
      <c r="I8" s="213" t="s">
        <v>62</v>
      </c>
      <c r="J8" s="213" t="s">
        <v>82</v>
      </c>
    </row>
    <row r="9" spans="1:21" x14ac:dyDescent="0.25">
      <c r="I9" s="213" t="s">
        <v>11</v>
      </c>
      <c r="J9" s="213" t="s">
        <v>224</v>
      </c>
    </row>
    <row r="10" spans="1:21" x14ac:dyDescent="0.25">
      <c r="I10" s="213" t="s">
        <v>21</v>
      </c>
      <c r="J10" s="213" t="s">
        <v>225</v>
      </c>
      <c r="Q10" s="213" t="s">
        <v>12</v>
      </c>
      <c r="R10" s="213" t="s">
        <v>226</v>
      </c>
    </row>
    <row r="14" spans="1:21" x14ac:dyDescent="0.25">
      <c r="A14" s="213" t="s">
        <v>1</v>
      </c>
    </row>
    <row r="15" spans="1:21" x14ac:dyDescent="0.25">
      <c r="A15" s="213" t="s">
        <v>1</v>
      </c>
      <c r="C15" s="213" t="s">
        <v>13</v>
      </c>
      <c r="D15" s="213" t="s">
        <v>78</v>
      </c>
    </row>
    <row r="16" spans="1:21" x14ac:dyDescent="0.25">
      <c r="A16" s="213" t="s">
        <v>1</v>
      </c>
      <c r="C16" s="213" t="s">
        <v>14</v>
      </c>
      <c r="D16" s="213" t="s">
        <v>78</v>
      </c>
      <c r="Q16" s="213" t="s">
        <v>227</v>
      </c>
      <c r="R16" s="213" t="s">
        <v>228</v>
      </c>
      <c r="S16" s="213" t="s">
        <v>229</v>
      </c>
    </row>
    <row r="17" spans="1:21" x14ac:dyDescent="0.25">
      <c r="A17" s="213" t="s">
        <v>1</v>
      </c>
      <c r="C17" s="213" t="s">
        <v>15</v>
      </c>
      <c r="D17" s="213" t="s">
        <v>230</v>
      </c>
    </row>
    <row r="18" spans="1:21" x14ac:dyDescent="0.25">
      <c r="A18" s="213" t="s">
        <v>1</v>
      </c>
      <c r="P18" s="213" t="s">
        <v>231</v>
      </c>
      <c r="Q18" s="213" t="s">
        <v>232</v>
      </c>
      <c r="R18" s="213" t="s">
        <v>233</v>
      </c>
      <c r="S18" s="213" t="s">
        <v>234</v>
      </c>
      <c r="T18" s="213" t="s">
        <v>235</v>
      </c>
    </row>
    <row r="19" spans="1:21" x14ac:dyDescent="0.25">
      <c r="A19" s="213" t="s">
        <v>1</v>
      </c>
      <c r="O19" s="213" t="s">
        <v>236</v>
      </c>
      <c r="P19" s="213" t="s">
        <v>237</v>
      </c>
      <c r="Q19" s="213" t="s">
        <v>238</v>
      </c>
      <c r="R19" s="213" t="s">
        <v>239</v>
      </c>
      <c r="S19" s="213" t="s">
        <v>240</v>
      </c>
      <c r="T19" s="213" t="s">
        <v>241</v>
      </c>
    </row>
    <row r="21" spans="1:21" x14ac:dyDescent="0.25">
      <c r="I21" s="213" t="s">
        <v>242</v>
      </c>
      <c r="J21" s="213" t="s">
        <v>68</v>
      </c>
      <c r="U21" s="213" t="s">
        <v>18</v>
      </c>
    </row>
    <row r="22" spans="1:21" x14ac:dyDescent="0.25">
      <c r="I22" s="213" t="s">
        <v>243</v>
      </c>
      <c r="K22" s="213" t="s">
        <v>70</v>
      </c>
      <c r="L22" s="213" t="s">
        <v>71</v>
      </c>
      <c r="M22" s="213" t="s">
        <v>2</v>
      </c>
      <c r="N22" s="213" t="s">
        <v>22</v>
      </c>
      <c r="O22" s="213" t="s">
        <v>16</v>
      </c>
      <c r="P22" s="213" t="s">
        <v>17</v>
      </c>
      <c r="Q22" s="213" t="s">
        <v>244</v>
      </c>
      <c r="R22" s="213" t="s">
        <v>245</v>
      </c>
      <c r="S22" s="213" t="s">
        <v>246</v>
      </c>
      <c r="T22" s="213" t="s">
        <v>247</v>
      </c>
    </row>
    <row r="24" spans="1:21" x14ac:dyDescent="0.25">
      <c r="C24" s="213" t="s">
        <v>248</v>
      </c>
      <c r="E24" s="213" t="s">
        <v>249</v>
      </c>
      <c r="H24" s="213" t="s">
        <v>250</v>
      </c>
      <c r="I24" s="213" t="s">
        <v>251</v>
      </c>
      <c r="J24" s="213" t="s">
        <v>252</v>
      </c>
      <c r="L24" s="213" t="s">
        <v>253</v>
      </c>
      <c r="O24" s="213" t="s">
        <v>254</v>
      </c>
      <c r="P24" s="213" t="s">
        <v>255</v>
      </c>
      <c r="Q24" s="213" t="s">
        <v>256</v>
      </c>
      <c r="R24" s="213" t="s">
        <v>257</v>
      </c>
      <c r="S24" s="213" t="s">
        <v>258</v>
      </c>
      <c r="T24" s="213" t="s">
        <v>259</v>
      </c>
    </row>
    <row r="25" spans="1:21" x14ac:dyDescent="0.25">
      <c r="C25" s="213" t="s">
        <v>260</v>
      </c>
      <c r="E25" s="213" t="s">
        <v>261</v>
      </c>
      <c r="I25" s="213" t="s">
        <v>262</v>
      </c>
    </row>
    <row r="26" spans="1:21" x14ac:dyDescent="0.25">
      <c r="C26" s="213" t="s">
        <v>263</v>
      </c>
      <c r="E26" s="213" t="s">
        <v>264</v>
      </c>
      <c r="I26" s="213" t="s">
        <v>265</v>
      </c>
    </row>
    <row r="27" spans="1:21" x14ac:dyDescent="0.25">
      <c r="A27" s="213" t="s">
        <v>1</v>
      </c>
    </row>
    <row r="28" spans="1:21" x14ac:dyDescent="0.25">
      <c r="D28" s="213" t="s">
        <v>266</v>
      </c>
      <c r="E28" s="213" t="s">
        <v>267</v>
      </c>
      <c r="K28" s="213" t="s">
        <v>268</v>
      </c>
      <c r="L28" s="213" t="s">
        <v>269</v>
      </c>
      <c r="M28" s="213" t="s">
        <v>270</v>
      </c>
      <c r="N28" s="213" t="s">
        <v>271</v>
      </c>
      <c r="O28" s="213" t="s">
        <v>272</v>
      </c>
      <c r="P28" s="213" t="s">
        <v>273</v>
      </c>
      <c r="Q28" s="213" t="s">
        <v>274</v>
      </c>
      <c r="R28" s="213" t="s">
        <v>275</v>
      </c>
      <c r="S28" s="213" t="s">
        <v>276</v>
      </c>
      <c r="T28" s="213" t="s">
        <v>277</v>
      </c>
      <c r="U28" s="213" t="s">
        <v>278</v>
      </c>
    </row>
    <row r="31" spans="1:21" x14ac:dyDescent="0.25">
      <c r="A31" s="213" t="s">
        <v>73</v>
      </c>
    </row>
    <row r="32" spans="1:21" x14ac:dyDescent="0.25">
      <c r="K32" s="213" t="s">
        <v>19</v>
      </c>
      <c r="O32" s="213" t="s">
        <v>279</v>
      </c>
      <c r="P32" s="213" t="s">
        <v>280</v>
      </c>
      <c r="Q32" s="213" t="s">
        <v>281</v>
      </c>
      <c r="R32" s="213" t="s">
        <v>282</v>
      </c>
      <c r="S32" s="213" t="s">
        <v>283</v>
      </c>
      <c r="T32" s="213" t="s">
        <v>284</v>
      </c>
    </row>
    <row r="33" spans="1:20" x14ac:dyDescent="0.25">
      <c r="O33" s="213" t="s">
        <v>69</v>
      </c>
      <c r="P33" s="213" t="s">
        <v>285</v>
      </c>
      <c r="Q33" s="213" t="s">
        <v>286</v>
      </c>
      <c r="R33" s="213" t="s">
        <v>287</v>
      </c>
      <c r="S33" s="213" t="s">
        <v>288</v>
      </c>
      <c r="T33" s="213" t="s">
        <v>289</v>
      </c>
    </row>
    <row r="34" spans="1:20" x14ac:dyDescent="0.25">
      <c r="A34" s="213" t="s">
        <v>1</v>
      </c>
      <c r="S34" s="213" t="s">
        <v>290</v>
      </c>
    </row>
    <row r="35" spans="1:20" x14ac:dyDescent="0.25">
      <c r="K35" s="213" t="s">
        <v>48</v>
      </c>
      <c r="L35" s="213" t="s">
        <v>492</v>
      </c>
      <c r="P35" s="213" t="s">
        <v>77374</v>
      </c>
      <c r="Q35" s="213" t="s">
        <v>77375</v>
      </c>
      <c r="R35" s="213" t="s">
        <v>77376</v>
      </c>
      <c r="S35" s="213" t="s">
        <v>77377</v>
      </c>
      <c r="T35" s="213" t="s">
        <v>77378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
  <sheetViews>
    <sheetView workbookViewId="0"/>
  </sheetViews>
  <sheetFormatPr defaultRowHeight="13.2" x14ac:dyDescent="0.25"/>
  <sheetData>
    <row r="1" spans="1:5" x14ac:dyDescent="0.25">
      <c r="A1" s="213" t="s">
        <v>77404</v>
      </c>
      <c r="B1" s="213" t="s">
        <v>3</v>
      </c>
      <c r="C1" s="213" t="s">
        <v>4</v>
      </c>
      <c r="D1" s="213" t="s">
        <v>5</v>
      </c>
      <c r="E1" s="213" t="s">
        <v>75</v>
      </c>
    </row>
    <row r="5" spans="1:5" x14ac:dyDescent="0.25">
      <c r="B5" s="213" t="s">
        <v>0</v>
      </c>
    </row>
    <row r="6" spans="1:5" x14ac:dyDescent="0.25">
      <c r="A6" s="213" t="s">
        <v>6</v>
      </c>
      <c r="B6" s="213" t="s">
        <v>79</v>
      </c>
      <c r="C6" s="213" t="s">
        <v>77370</v>
      </c>
      <c r="D6" s="213" t="s">
        <v>80</v>
      </c>
    </row>
    <row r="7" spans="1:5" x14ac:dyDescent="0.25">
      <c r="A7" s="213" t="s">
        <v>6</v>
      </c>
      <c r="B7" s="213" t="s">
        <v>62</v>
      </c>
      <c r="C7" s="213" t="s">
        <v>77397</v>
      </c>
      <c r="E7" s="213" t="s">
        <v>76</v>
      </c>
    </row>
    <row r="8" spans="1:5" x14ac:dyDescent="0.25">
      <c r="A8" s="213" t="s">
        <v>6</v>
      </c>
      <c r="B8" s="213" t="s">
        <v>42</v>
      </c>
      <c r="C8" s="213" t="s">
        <v>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
  <sheetViews>
    <sheetView workbookViewId="0"/>
  </sheetViews>
  <sheetFormatPr defaultRowHeight="13.2" x14ac:dyDescent="0.25"/>
  <sheetData>
    <row r="1" spans="1:14" x14ac:dyDescent="0.25">
      <c r="A1" s="213" t="s">
        <v>77406</v>
      </c>
      <c r="B1" s="213" t="s">
        <v>1</v>
      </c>
      <c r="C1" s="213" t="s">
        <v>1</v>
      </c>
      <c r="D1" s="213" t="s">
        <v>1</v>
      </c>
      <c r="F1" s="213" t="s">
        <v>60</v>
      </c>
      <c r="G1" s="213" t="s">
        <v>10</v>
      </c>
      <c r="H1" s="213" t="s">
        <v>10</v>
      </c>
      <c r="I1" s="213" t="s">
        <v>10</v>
      </c>
      <c r="J1" s="213" t="s">
        <v>10</v>
      </c>
      <c r="K1" s="213" t="s">
        <v>10</v>
      </c>
      <c r="L1" s="213" t="s">
        <v>10</v>
      </c>
    </row>
    <row r="2" spans="1:14" x14ac:dyDescent="0.25">
      <c r="B2" s="213" t="s">
        <v>7</v>
      </c>
      <c r="C2" s="213" t="s">
        <v>224</v>
      </c>
    </row>
    <row r="3" spans="1:14" x14ac:dyDescent="0.25">
      <c r="A3" s="213" t="s">
        <v>73</v>
      </c>
    </row>
    <row r="4" spans="1:14" x14ac:dyDescent="0.25">
      <c r="A4" s="213" t="s">
        <v>73</v>
      </c>
      <c r="B4" s="213" t="s">
        <v>62</v>
      </c>
      <c r="C4" s="213" t="s">
        <v>82</v>
      </c>
    </row>
    <row r="5" spans="1:14" x14ac:dyDescent="0.25">
      <c r="A5" s="213" t="s">
        <v>73</v>
      </c>
      <c r="B5" s="213" t="s">
        <v>63</v>
      </c>
      <c r="C5" s="213" t="s">
        <v>83</v>
      </c>
    </row>
    <row r="6" spans="1:14" x14ac:dyDescent="0.25">
      <c r="A6" s="213" t="s">
        <v>73</v>
      </c>
      <c r="B6" s="213" t="s">
        <v>39</v>
      </c>
      <c r="C6" s="213" t="s">
        <v>41</v>
      </c>
    </row>
    <row r="7" spans="1:14" x14ac:dyDescent="0.25">
      <c r="B7" s="213" t="s">
        <v>26</v>
      </c>
      <c r="C7" s="213" t="s">
        <v>84</v>
      </c>
      <c r="F7" s="213" t="s">
        <v>29</v>
      </c>
    </row>
    <row r="8" spans="1:14" x14ac:dyDescent="0.25">
      <c r="B8" s="213" t="s">
        <v>27</v>
      </c>
      <c r="C8" s="213" t="s">
        <v>85</v>
      </c>
      <c r="F8" s="213" t="s">
        <v>86</v>
      </c>
      <c r="H8" s="213" t="s">
        <v>77395</v>
      </c>
      <c r="I8" s="213" t="s">
        <v>77399</v>
      </c>
      <c r="N8" s="213" t="s">
        <v>77396</v>
      </c>
    </row>
    <row r="9" spans="1:14" x14ac:dyDescent="0.25">
      <c r="B9" s="213" t="s">
        <v>8</v>
      </c>
      <c r="C9" s="213" t="s">
        <v>87</v>
      </c>
    </row>
    <row r="10" spans="1:14" x14ac:dyDescent="0.25">
      <c r="B10" s="213" t="s">
        <v>38</v>
      </c>
      <c r="C10" s="213" t="s">
        <v>88</v>
      </c>
      <c r="D10" s="213" t="s">
        <v>323</v>
      </c>
      <c r="H10" s="213" t="s">
        <v>47</v>
      </c>
      <c r="I10" s="213" t="s">
        <v>45</v>
      </c>
      <c r="J10" s="213" t="s">
        <v>66</v>
      </c>
      <c r="K10" s="213" t="s">
        <v>46</v>
      </c>
      <c r="L10" s="213" t="s">
        <v>44</v>
      </c>
    </row>
    <row r="11" spans="1:14" x14ac:dyDescent="0.25">
      <c r="B11" s="213" t="s">
        <v>23</v>
      </c>
      <c r="C11" s="213" t="s">
        <v>89</v>
      </c>
      <c r="D11" s="213" t="s">
        <v>324</v>
      </c>
      <c r="H11" s="213" t="s">
        <v>90</v>
      </c>
      <c r="I11" s="213" t="s">
        <v>329</v>
      </c>
      <c r="J11" s="213" t="s">
        <v>92</v>
      </c>
      <c r="K11" s="213" t="s">
        <v>330</v>
      </c>
      <c r="L11" s="213" t="s">
        <v>94</v>
      </c>
    </row>
    <row r="12" spans="1:14" x14ac:dyDescent="0.25">
      <c r="B12" s="213" t="s">
        <v>40</v>
      </c>
      <c r="H12" s="213" t="s">
        <v>95</v>
      </c>
      <c r="I12" s="213" t="s">
        <v>331</v>
      </c>
      <c r="J12" s="213" t="s">
        <v>97</v>
      </c>
      <c r="K12" s="213" t="s">
        <v>332</v>
      </c>
      <c r="L12" s="213" t="s">
        <v>99</v>
      </c>
    </row>
    <row r="13" spans="1:14" x14ac:dyDescent="0.25">
      <c r="B13" s="213" t="s">
        <v>26</v>
      </c>
      <c r="C13" s="213" t="s">
        <v>100</v>
      </c>
      <c r="H13" s="213" t="s">
        <v>101</v>
      </c>
      <c r="I13" s="213" t="s">
        <v>333</v>
      </c>
      <c r="J13" s="213" t="s">
        <v>103</v>
      </c>
      <c r="K13" s="213" t="s">
        <v>334</v>
      </c>
      <c r="L13" s="213" t="s">
        <v>105</v>
      </c>
    </row>
    <row r="14" spans="1:14" x14ac:dyDescent="0.25">
      <c r="B14" s="213" t="s">
        <v>27</v>
      </c>
      <c r="C14" s="213" t="s">
        <v>106</v>
      </c>
      <c r="H14" s="213" t="s">
        <v>107</v>
      </c>
      <c r="I14" s="213" t="s">
        <v>335</v>
      </c>
      <c r="J14" s="213" t="s">
        <v>109</v>
      </c>
      <c r="K14" s="213" t="s">
        <v>336</v>
      </c>
      <c r="L14" s="213" t="s">
        <v>111</v>
      </c>
    </row>
    <row r="15" spans="1:14" x14ac:dyDescent="0.25">
      <c r="B15" s="213" t="s">
        <v>8</v>
      </c>
      <c r="C15" s="213" t="s">
        <v>112</v>
      </c>
      <c r="H15" s="213" t="s">
        <v>113</v>
      </c>
      <c r="I15" s="213" t="s">
        <v>337</v>
      </c>
      <c r="J15" s="213" t="s">
        <v>115</v>
      </c>
      <c r="K15" s="213" t="s">
        <v>338</v>
      </c>
      <c r="L15" s="213" t="s">
        <v>117</v>
      </c>
    </row>
    <row r="16" spans="1:14" x14ac:dyDescent="0.25">
      <c r="B16" s="213" t="s">
        <v>38</v>
      </c>
      <c r="C16" s="213" t="s">
        <v>118</v>
      </c>
      <c r="D16" s="213" t="s">
        <v>325</v>
      </c>
    </row>
    <row r="17" spans="1:12" x14ac:dyDescent="0.25">
      <c r="B17" s="213" t="s">
        <v>23</v>
      </c>
      <c r="C17" s="213" t="s">
        <v>119</v>
      </c>
      <c r="D17" s="213" t="s">
        <v>326</v>
      </c>
      <c r="H17" s="213" t="s">
        <v>34</v>
      </c>
      <c r="I17" s="213" t="s">
        <v>120</v>
      </c>
      <c r="J17" s="213" t="s">
        <v>121</v>
      </c>
      <c r="K17" s="213" t="s">
        <v>122</v>
      </c>
      <c r="L17" s="213" t="s">
        <v>123</v>
      </c>
    </row>
    <row r="18" spans="1:12" x14ac:dyDescent="0.25">
      <c r="H18" s="213" t="s">
        <v>65</v>
      </c>
      <c r="I18" s="213" t="s">
        <v>339</v>
      </c>
      <c r="K18" s="213" t="s">
        <v>125</v>
      </c>
      <c r="L18" s="213" t="s">
        <v>126</v>
      </c>
    </row>
    <row r="20" spans="1:12" x14ac:dyDescent="0.25">
      <c r="F20" s="213" t="s">
        <v>72</v>
      </c>
    </row>
    <row r="21" spans="1:12" x14ac:dyDescent="0.25">
      <c r="F21" s="213" t="s">
        <v>30</v>
      </c>
      <c r="G21" s="213" t="s">
        <v>31</v>
      </c>
      <c r="I21" s="213" t="s">
        <v>71</v>
      </c>
      <c r="J21" s="213" t="s">
        <v>32</v>
      </c>
      <c r="K21" s="213" t="s">
        <v>2</v>
      </c>
      <c r="L21" s="213" t="s">
        <v>67</v>
      </c>
    </row>
    <row r="22" spans="1:12" x14ac:dyDescent="0.25">
      <c r="B22" s="213" t="s">
        <v>77379</v>
      </c>
      <c r="F22" s="213" t="s">
        <v>127</v>
      </c>
      <c r="G22" s="213" t="s">
        <v>77372</v>
      </c>
      <c r="I22" s="213" t="s">
        <v>128</v>
      </c>
      <c r="J22" s="213" t="s">
        <v>129</v>
      </c>
      <c r="K22" s="213" t="s">
        <v>130</v>
      </c>
      <c r="L22" s="213" t="s">
        <v>131</v>
      </c>
    </row>
    <row r="23" spans="1:12" x14ac:dyDescent="0.25">
      <c r="A23" s="213" t="s">
        <v>327</v>
      </c>
      <c r="B23" s="213" t="s">
        <v>340</v>
      </c>
      <c r="F23" s="213" t="s">
        <v>358</v>
      </c>
      <c r="G23" s="213" t="s">
        <v>77381</v>
      </c>
      <c r="I23" s="213" t="s">
        <v>364</v>
      </c>
      <c r="J23" s="213" t="s">
        <v>370</v>
      </c>
      <c r="K23" s="213" t="s">
        <v>376</v>
      </c>
      <c r="L23" s="213" t="s">
        <v>382</v>
      </c>
    </row>
    <row r="24" spans="1:12" x14ac:dyDescent="0.25">
      <c r="A24" s="213" t="s">
        <v>327</v>
      </c>
      <c r="B24" s="213" t="s">
        <v>341</v>
      </c>
      <c r="F24" s="213" t="s">
        <v>359</v>
      </c>
      <c r="G24" s="213" t="s">
        <v>77382</v>
      </c>
      <c r="I24" s="213" t="s">
        <v>365</v>
      </c>
      <c r="J24" s="213" t="s">
        <v>371</v>
      </c>
      <c r="K24" s="213" t="s">
        <v>377</v>
      </c>
      <c r="L24" s="213" t="s">
        <v>383</v>
      </c>
    </row>
    <row r="25" spans="1:12" x14ac:dyDescent="0.25">
      <c r="A25" s="213" t="s">
        <v>327</v>
      </c>
      <c r="B25" s="213" t="s">
        <v>342</v>
      </c>
      <c r="F25" s="213" t="s">
        <v>360</v>
      </c>
      <c r="G25" s="213" t="s">
        <v>77383</v>
      </c>
      <c r="I25" s="213" t="s">
        <v>366</v>
      </c>
      <c r="J25" s="213" t="s">
        <v>372</v>
      </c>
      <c r="K25" s="213" t="s">
        <v>378</v>
      </c>
      <c r="L25" s="213" t="s">
        <v>384</v>
      </c>
    </row>
    <row r="26" spans="1:12" x14ac:dyDescent="0.25">
      <c r="A26" s="213" t="s">
        <v>327</v>
      </c>
      <c r="B26" s="213" t="s">
        <v>343</v>
      </c>
      <c r="F26" s="213" t="s">
        <v>361</v>
      </c>
      <c r="G26" s="213" t="s">
        <v>77384</v>
      </c>
      <c r="I26" s="213" t="s">
        <v>367</v>
      </c>
      <c r="J26" s="213" t="s">
        <v>373</v>
      </c>
      <c r="K26" s="213" t="s">
        <v>379</v>
      </c>
      <c r="L26" s="213" t="s">
        <v>385</v>
      </c>
    </row>
    <row r="27" spans="1:12" x14ac:dyDescent="0.25">
      <c r="A27" s="213" t="s">
        <v>327</v>
      </c>
      <c r="B27" s="213" t="s">
        <v>344</v>
      </c>
      <c r="F27" s="213" t="s">
        <v>362</v>
      </c>
      <c r="G27" s="213" t="s">
        <v>77385</v>
      </c>
      <c r="I27" s="213" t="s">
        <v>368</v>
      </c>
      <c r="J27" s="213" t="s">
        <v>374</v>
      </c>
      <c r="K27" s="213" t="s">
        <v>380</v>
      </c>
      <c r="L27" s="213" t="s">
        <v>386</v>
      </c>
    </row>
    <row r="28" spans="1:12" x14ac:dyDescent="0.25">
      <c r="A28" s="213" t="s">
        <v>327</v>
      </c>
      <c r="B28" s="213" t="s">
        <v>345</v>
      </c>
      <c r="F28" s="213" t="s">
        <v>135</v>
      </c>
      <c r="G28" s="213" t="s">
        <v>77373</v>
      </c>
      <c r="I28" s="213" t="s">
        <v>136</v>
      </c>
      <c r="J28" s="213" t="s">
        <v>137</v>
      </c>
      <c r="K28" s="213" t="s">
        <v>138</v>
      </c>
      <c r="L28" s="213" t="s">
        <v>139</v>
      </c>
    </row>
    <row r="29" spans="1:12" x14ac:dyDescent="0.25">
      <c r="A29" s="213" t="s">
        <v>327</v>
      </c>
      <c r="B29" s="213" t="s">
        <v>346</v>
      </c>
      <c r="F29" s="213" t="s">
        <v>363</v>
      </c>
      <c r="G29" s="213" t="s">
        <v>77386</v>
      </c>
      <c r="I29" s="213" t="s">
        <v>369</v>
      </c>
      <c r="J29" s="213" t="s">
        <v>375</v>
      </c>
      <c r="K29" s="213" t="s">
        <v>381</v>
      </c>
      <c r="L29" s="213" t="s">
        <v>387</v>
      </c>
    </row>
    <row r="30" spans="1:12" x14ac:dyDescent="0.25">
      <c r="A30" s="213" t="s">
        <v>1</v>
      </c>
      <c r="G30" s="213" t="s">
        <v>77</v>
      </c>
      <c r="L30" s="213" t="s">
        <v>132</v>
      </c>
    </row>
    <row r="31" spans="1:12" x14ac:dyDescent="0.25">
      <c r="K31" s="213" t="s">
        <v>33</v>
      </c>
      <c r="L31" s="213" t="s">
        <v>347</v>
      </c>
    </row>
    <row r="32" spans="1:12" x14ac:dyDescent="0.25">
      <c r="J32" s="213" t="s">
        <v>43</v>
      </c>
      <c r="L32" s="213" t="s">
        <v>348</v>
      </c>
    </row>
    <row r="33" spans="1:15" x14ac:dyDescent="0.25">
      <c r="F33" s="213" t="s">
        <v>74</v>
      </c>
    </row>
    <row r="34" spans="1:15" x14ac:dyDescent="0.25">
      <c r="F34" s="213" t="s">
        <v>30</v>
      </c>
      <c r="G34" s="213" t="s">
        <v>31</v>
      </c>
      <c r="I34" s="213" t="s">
        <v>64</v>
      </c>
      <c r="J34" s="213" t="s">
        <v>32</v>
      </c>
      <c r="K34" s="213" t="s">
        <v>2</v>
      </c>
      <c r="L34" s="213" t="s">
        <v>67</v>
      </c>
    </row>
    <row r="35" spans="1:15" x14ac:dyDescent="0.25">
      <c r="B35" s="213" t="s">
        <v>77380</v>
      </c>
      <c r="F35" s="213" t="s">
        <v>388</v>
      </c>
      <c r="G35" s="213" t="s">
        <v>77387</v>
      </c>
      <c r="I35" s="213" t="s">
        <v>396</v>
      </c>
      <c r="J35" s="213" t="s">
        <v>404</v>
      </c>
      <c r="K35" s="213" t="s">
        <v>412</v>
      </c>
      <c r="L35" s="213" t="s">
        <v>420</v>
      </c>
    </row>
    <row r="36" spans="1:15" x14ac:dyDescent="0.25">
      <c r="A36" s="213" t="s">
        <v>327</v>
      </c>
      <c r="B36" s="213" t="s">
        <v>349</v>
      </c>
      <c r="F36" s="213" t="s">
        <v>389</v>
      </c>
      <c r="G36" s="213" t="s">
        <v>77388</v>
      </c>
      <c r="I36" s="213" t="s">
        <v>397</v>
      </c>
      <c r="J36" s="213" t="s">
        <v>405</v>
      </c>
      <c r="K36" s="213" t="s">
        <v>413</v>
      </c>
      <c r="L36" s="213" t="s">
        <v>421</v>
      </c>
    </row>
    <row r="37" spans="1:15" x14ac:dyDescent="0.25">
      <c r="A37" s="213" t="s">
        <v>327</v>
      </c>
      <c r="B37" s="213" t="s">
        <v>350</v>
      </c>
      <c r="F37" s="213" t="s">
        <v>390</v>
      </c>
      <c r="G37" s="213" t="s">
        <v>77389</v>
      </c>
      <c r="I37" s="213" t="s">
        <v>398</v>
      </c>
      <c r="J37" s="213" t="s">
        <v>406</v>
      </c>
      <c r="K37" s="213" t="s">
        <v>414</v>
      </c>
      <c r="L37" s="213" t="s">
        <v>422</v>
      </c>
    </row>
    <row r="38" spans="1:15" x14ac:dyDescent="0.25">
      <c r="A38" s="213" t="s">
        <v>327</v>
      </c>
      <c r="B38" s="213" t="s">
        <v>351</v>
      </c>
      <c r="F38" s="213" t="s">
        <v>391</v>
      </c>
      <c r="G38" s="213" t="s">
        <v>77390</v>
      </c>
      <c r="I38" s="213" t="s">
        <v>399</v>
      </c>
      <c r="J38" s="213" t="s">
        <v>407</v>
      </c>
      <c r="K38" s="213" t="s">
        <v>415</v>
      </c>
      <c r="L38" s="213" t="s">
        <v>423</v>
      </c>
    </row>
    <row r="39" spans="1:15" x14ac:dyDescent="0.25">
      <c r="A39" s="213" t="s">
        <v>327</v>
      </c>
      <c r="B39" s="213" t="s">
        <v>352</v>
      </c>
      <c r="F39" s="213" t="s">
        <v>392</v>
      </c>
      <c r="G39" s="213" t="s">
        <v>77391</v>
      </c>
      <c r="I39" s="213" t="s">
        <v>400</v>
      </c>
      <c r="J39" s="213" t="s">
        <v>408</v>
      </c>
      <c r="K39" s="213" t="s">
        <v>416</v>
      </c>
      <c r="L39" s="213" t="s">
        <v>424</v>
      </c>
    </row>
    <row r="40" spans="1:15" x14ac:dyDescent="0.25">
      <c r="A40" s="213" t="s">
        <v>327</v>
      </c>
      <c r="B40" s="213" t="s">
        <v>353</v>
      </c>
      <c r="F40" s="213" t="s">
        <v>393</v>
      </c>
      <c r="G40" s="213" t="s">
        <v>77392</v>
      </c>
      <c r="I40" s="213" t="s">
        <v>401</v>
      </c>
      <c r="J40" s="213" t="s">
        <v>409</v>
      </c>
      <c r="K40" s="213" t="s">
        <v>417</v>
      </c>
      <c r="L40" s="213" t="s">
        <v>425</v>
      </c>
    </row>
    <row r="41" spans="1:15" x14ac:dyDescent="0.25">
      <c r="A41" s="213" t="s">
        <v>327</v>
      </c>
      <c r="B41" s="213" t="s">
        <v>354</v>
      </c>
      <c r="F41" s="213" t="s">
        <v>394</v>
      </c>
      <c r="G41" s="213" t="s">
        <v>77393</v>
      </c>
      <c r="I41" s="213" t="s">
        <v>402</v>
      </c>
      <c r="J41" s="213" t="s">
        <v>410</v>
      </c>
      <c r="K41" s="213" t="s">
        <v>418</v>
      </c>
      <c r="L41" s="213" t="s">
        <v>426</v>
      </c>
    </row>
    <row r="42" spans="1:15" x14ac:dyDescent="0.25">
      <c r="A42" s="213" t="s">
        <v>327</v>
      </c>
      <c r="B42" s="213" t="s">
        <v>355</v>
      </c>
      <c r="F42" s="213" t="s">
        <v>395</v>
      </c>
      <c r="G42" s="213" t="s">
        <v>77394</v>
      </c>
      <c r="I42" s="213" t="s">
        <v>403</v>
      </c>
      <c r="J42" s="213" t="s">
        <v>411</v>
      </c>
      <c r="K42" s="213" t="s">
        <v>419</v>
      </c>
      <c r="L42" s="213" t="s">
        <v>427</v>
      </c>
    </row>
    <row r="43" spans="1:15" x14ac:dyDescent="0.25">
      <c r="A43" s="213" t="s">
        <v>1</v>
      </c>
      <c r="G43" s="213" t="s">
        <v>77</v>
      </c>
      <c r="L43" s="213" t="s">
        <v>132</v>
      </c>
    </row>
    <row r="44" spans="1:15" x14ac:dyDescent="0.25">
      <c r="K44" s="213" t="s">
        <v>33</v>
      </c>
      <c r="L44" s="213" t="s">
        <v>356</v>
      </c>
    </row>
    <row r="45" spans="1:15" x14ac:dyDescent="0.25">
      <c r="J45" s="213" t="s">
        <v>43</v>
      </c>
      <c r="L45" s="213" t="s">
        <v>357</v>
      </c>
      <c r="O45" s="213" t="s">
        <v>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16"/>
  <sheetViews>
    <sheetView workbookViewId="0"/>
  </sheetViews>
  <sheetFormatPr defaultRowHeight="13.2" x14ac:dyDescent="0.25"/>
  <sheetData>
    <row r="1" spans="1:20" x14ac:dyDescent="0.25">
      <c r="A1" s="213" t="s">
        <v>77408</v>
      </c>
    </row>
    <row r="2" spans="1:20" x14ac:dyDescent="0.25">
      <c r="C2" s="213" t="s">
        <v>142</v>
      </c>
    </row>
    <row r="4" spans="1:20" x14ac:dyDescent="0.25">
      <c r="D4" s="213" t="s">
        <v>49</v>
      </c>
    </row>
    <row r="5" spans="1:20" x14ac:dyDescent="0.25">
      <c r="I5" s="213" t="s">
        <v>77371</v>
      </c>
    </row>
    <row r="8" spans="1:20" x14ac:dyDescent="0.25">
      <c r="D8" s="213" t="s">
        <v>143</v>
      </c>
    </row>
    <row r="9" spans="1:20" x14ac:dyDescent="0.25">
      <c r="Q9" s="213" t="s">
        <v>59</v>
      </c>
    </row>
    <row r="10" spans="1:20" ht="52.8" x14ac:dyDescent="0.25">
      <c r="C10" s="213" t="s">
        <v>24</v>
      </c>
      <c r="D10" s="213" t="s">
        <v>26</v>
      </c>
      <c r="E10" s="214" t="s">
        <v>50</v>
      </c>
      <c r="F10" s="213" t="s">
        <v>27</v>
      </c>
      <c r="G10" s="213" t="s">
        <v>35</v>
      </c>
      <c r="H10" s="214" t="s">
        <v>51</v>
      </c>
      <c r="J10" s="213" t="s">
        <v>52</v>
      </c>
      <c r="K10" s="213" t="s">
        <v>8</v>
      </c>
      <c r="L10" s="214" t="s">
        <v>53</v>
      </c>
      <c r="M10" s="214" t="s">
        <v>54</v>
      </c>
      <c r="N10" s="214" t="s">
        <v>55</v>
      </c>
      <c r="O10" s="214" t="s">
        <v>56</v>
      </c>
      <c r="P10" s="214" t="s">
        <v>57</v>
      </c>
      <c r="Q10" s="213" t="s">
        <v>25</v>
      </c>
      <c r="R10" s="213" t="s">
        <v>36</v>
      </c>
      <c r="S10" s="213" t="s">
        <v>37</v>
      </c>
      <c r="T10" s="213" t="s">
        <v>144</v>
      </c>
    </row>
    <row r="11" spans="1:20" x14ac:dyDescent="0.25">
      <c r="B11" s="213" t="s">
        <v>145</v>
      </c>
      <c r="C11" s="213" t="s">
        <v>146</v>
      </c>
      <c r="D11" s="213" t="s">
        <v>147</v>
      </c>
      <c r="E11" s="213" t="s">
        <v>148</v>
      </c>
      <c r="F11" s="213" t="s">
        <v>149</v>
      </c>
      <c r="G11" s="213" t="s">
        <v>150</v>
      </c>
      <c r="H11" s="213" t="s">
        <v>151</v>
      </c>
      <c r="I11" s="213" t="s">
        <v>152</v>
      </c>
      <c r="J11" s="213" t="s">
        <v>153</v>
      </c>
      <c r="K11" s="213" t="s">
        <v>154</v>
      </c>
      <c r="L11" s="213" t="s">
        <v>293</v>
      </c>
      <c r="M11" s="213" t="s">
        <v>294</v>
      </c>
      <c r="N11" s="213" t="s">
        <v>295</v>
      </c>
      <c r="O11" s="213" t="s">
        <v>296</v>
      </c>
      <c r="P11" s="213" t="s">
        <v>155</v>
      </c>
      <c r="Q11" s="213" t="s">
        <v>297</v>
      </c>
      <c r="R11" s="213" t="s">
        <v>294</v>
      </c>
      <c r="S11" s="213" t="s">
        <v>156</v>
      </c>
      <c r="T11" s="213" t="s">
        <v>157</v>
      </c>
    </row>
    <row r="12" spans="1:20" x14ac:dyDescent="0.25">
      <c r="B12" s="213" t="s">
        <v>158</v>
      </c>
      <c r="C12" s="213" t="s">
        <v>159</v>
      </c>
      <c r="D12" s="213" t="s">
        <v>160</v>
      </c>
      <c r="E12" s="213" t="s">
        <v>161</v>
      </c>
      <c r="F12" s="213" t="s">
        <v>162</v>
      </c>
      <c r="G12" s="213" t="s">
        <v>163</v>
      </c>
      <c r="H12" s="213" t="s">
        <v>164</v>
      </c>
      <c r="I12" s="213" t="s">
        <v>165</v>
      </c>
      <c r="J12" s="213" t="s">
        <v>166</v>
      </c>
      <c r="K12" s="213" t="s">
        <v>167</v>
      </c>
      <c r="L12" s="213" t="s">
        <v>298</v>
      </c>
      <c r="M12" s="213" t="s">
        <v>299</v>
      </c>
      <c r="N12" s="213" t="s">
        <v>300</v>
      </c>
      <c r="O12" s="213" t="s">
        <v>301</v>
      </c>
      <c r="P12" s="213" t="s">
        <v>168</v>
      </c>
      <c r="Q12" s="213" t="s">
        <v>302</v>
      </c>
      <c r="R12" s="213" t="s">
        <v>299</v>
      </c>
      <c r="S12" s="213" t="s">
        <v>169</v>
      </c>
      <c r="T12" s="213" t="s">
        <v>170</v>
      </c>
    </row>
    <row r="13" spans="1:20" x14ac:dyDescent="0.25">
      <c r="B13" s="213" t="s">
        <v>171</v>
      </c>
      <c r="C13" s="213" t="s">
        <v>172</v>
      </c>
      <c r="D13" s="213" t="s">
        <v>173</v>
      </c>
      <c r="E13" s="213" t="s">
        <v>174</v>
      </c>
      <c r="F13" s="213" t="s">
        <v>175</v>
      </c>
      <c r="G13" s="213" t="s">
        <v>176</v>
      </c>
      <c r="H13" s="213" t="s">
        <v>177</v>
      </c>
      <c r="I13" s="213" t="s">
        <v>178</v>
      </c>
      <c r="J13" s="213" t="s">
        <v>179</v>
      </c>
      <c r="K13" s="213" t="s">
        <v>180</v>
      </c>
      <c r="L13" s="213" t="s">
        <v>303</v>
      </c>
      <c r="M13" s="213" t="s">
        <v>304</v>
      </c>
      <c r="N13" s="213" t="s">
        <v>305</v>
      </c>
      <c r="O13" s="213" t="s">
        <v>306</v>
      </c>
      <c r="P13" s="213" t="s">
        <v>181</v>
      </c>
      <c r="Q13" s="213" t="s">
        <v>307</v>
      </c>
      <c r="R13" s="213" t="s">
        <v>304</v>
      </c>
      <c r="S13" s="213" t="s">
        <v>182</v>
      </c>
      <c r="T13" s="213" t="s">
        <v>183</v>
      </c>
    </row>
    <row r="14" spans="1:20" x14ac:dyDescent="0.25">
      <c r="B14" s="213" t="s">
        <v>184</v>
      </c>
      <c r="C14" s="213" t="s">
        <v>185</v>
      </c>
      <c r="D14" s="213" t="s">
        <v>186</v>
      </c>
      <c r="E14" s="213" t="s">
        <v>187</v>
      </c>
      <c r="F14" s="213" t="s">
        <v>188</v>
      </c>
      <c r="G14" s="213" t="s">
        <v>189</v>
      </c>
      <c r="H14" s="213" t="s">
        <v>190</v>
      </c>
      <c r="I14" s="213" t="s">
        <v>191</v>
      </c>
      <c r="J14" s="213" t="s">
        <v>192</v>
      </c>
      <c r="K14" s="213" t="s">
        <v>193</v>
      </c>
      <c r="L14" s="213" t="s">
        <v>308</v>
      </c>
      <c r="M14" s="213" t="s">
        <v>309</v>
      </c>
      <c r="N14" s="213" t="s">
        <v>310</v>
      </c>
      <c r="O14" s="213" t="s">
        <v>311</v>
      </c>
      <c r="P14" s="213" t="s">
        <v>194</v>
      </c>
      <c r="Q14" s="213" t="s">
        <v>312</v>
      </c>
      <c r="R14" s="213" t="s">
        <v>309</v>
      </c>
      <c r="S14" s="213" t="s">
        <v>195</v>
      </c>
      <c r="T14" s="213" t="s">
        <v>196</v>
      </c>
    </row>
    <row r="15" spans="1:20" x14ac:dyDescent="0.25">
      <c r="B15" s="213" t="s">
        <v>197</v>
      </c>
      <c r="C15" s="213" t="s">
        <v>198</v>
      </c>
      <c r="D15" s="213" t="s">
        <v>199</v>
      </c>
      <c r="E15" s="213" t="s">
        <v>200</v>
      </c>
      <c r="F15" s="213" t="s">
        <v>201</v>
      </c>
      <c r="G15" s="213" t="s">
        <v>202</v>
      </c>
      <c r="H15" s="213" t="s">
        <v>203</v>
      </c>
      <c r="I15" s="213" t="s">
        <v>204</v>
      </c>
      <c r="J15" s="213" t="s">
        <v>205</v>
      </c>
      <c r="K15" s="213" t="s">
        <v>206</v>
      </c>
      <c r="L15" s="213" t="s">
        <v>313</v>
      </c>
      <c r="M15" s="213" t="s">
        <v>314</v>
      </c>
      <c r="N15" s="213" t="s">
        <v>315</v>
      </c>
      <c r="O15" s="213" t="s">
        <v>316</v>
      </c>
      <c r="P15" s="213" t="s">
        <v>207</v>
      </c>
      <c r="Q15" s="213" t="s">
        <v>317</v>
      </c>
      <c r="R15" s="213" t="s">
        <v>314</v>
      </c>
      <c r="S15" s="213" t="s">
        <v>208</v>
      </c>
      <c r="T15" s="213" t="s">
        <v>209</v>
      </c>
    </row>
    <row r="16" spans="1:20" x14ac:dyDescent="0.25">
      <c r="B16" s="213" t="s">
        <v>210</v>
      </c>
      <c r="C16" s="213" t="s">
        <v>211</v>
      </c>
      <c r="D16" s="213" t="s">
        <v>212</v>
      </c>
      <c r="E16" s="213" t="s">
        <v>213</v>
      </c>
      <c r="F16" s="213" t="s">
        <v>214</v>
      </c>
      <c r="G16" s="213" t="s">
        <v>215</v>
      </c>
      <c r="H16" s="213" t="s">
        <v>216</v>
      </c>
      <c r="I16" s="213" t="s">
        <v>217</v>
      </c>
      <c r="J16" s="213" t="s">
        <v>218</v>
      </c>
      <c r="K16" s="213" t="s">
        <v>219</v>
      </c>
      <c r="L16" s="213" t="s">
        <v>318</v>
      </c>
      <c r="M16" s="213" t="s">
        <v>319</v>
      </c>
      <c r="N16" s="213" t="s">
        <v>320</v>
      </c>
      <c r="O16" s="213" t="s">
        <v>321</v>
      </c>
      <c r="P16" s="213" t="s">
        <v>220</v>
      </c>
      <c r="Q16" s="213" t="s">
        <v>322</v>
      </c>
      <c r="R16" s="213" t="s">
        <v>319</v>
      </c>
      <c r="S16" s="213" t="s">
        <v>221</v>
      </c>
      <c r="T16" s="213" t="s">
        <v>222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6567"/>
  <sheetViews>
    <sheetView workbookViewId="0"/>
  </sheetViews>
  <sheetFormatPr defaultRowHeight="13.2" x14ac:dyDescent="0.25"/>
  <sheetData>
    <row r="1" spans="1:21" x14ac:dyDescent="0.25">
      <c r="A1" s="213" t="s">
        <v>77411</v>
      </c>
      <c r="B1" s="213" t="s">
        <v>1</v>
      </c>
      <c r="C1" s="213" t="s">
        <v>1</v>
      </c>
      <c r="D1" s="213" t="s">
        <v>1</v>
      </c>
      <c r="E1" s="213" t="s">
        <v>1</v>
      </c>
      <c r="F1" s="213" t="s">
        <v>1</v>
      </c>
      <c r="H1" s="213" t="s">
        <v>1</v>
      </c>
      <c r="J1" s="213" t="s">
        <v>10</v>
      </c>
      <c r="K1" s="213" t="s">
        <v>60</v>
      </c>
      <c r="L1" s="213" t="s">
        <v>10</v>
      </c>
      <c r="M1" s="213" t="s">
        <v>10</v>
      </c>
      <c r="N1" s="213" t="s">
        <v>10</v>
      </c>
      <c r="O1" s="213" t="s">
        <v>10</v>
      </c>
      <c r="P1" s="213" t="s">
        <v>10</v>
      </c>
      <c r="Q1" s="213" t="s">
        <v>10</v>
      </c>
      <c r="R1" s="213" t="s">
        <v>10</v>
      </c>
      <c r="S1" s="213" t="s">
        <v>10</v>
      </c>
      <c r="T1" s="213" t="s">
        <v>10</v>
      </c>
      <c r="U1" s="213" t="s">
        <v>1</v>
      </c>
    </row>
    <row r="2" spans="1:21" x14ac:dyDescent="0.25">
      <c r="A2" s="213" t="s">
        <v>9</v>
      </c>
    </row>
    <row r="4" spans="1:21" x14ac:dyDescent="0.25">
      <c r="C4" s="213" t="s">
        <v>20</v>
      </c>
      <c r="D4" s="213" t="s">
        <v>223</v>
      </c>
    </row>
    <row r="5" spans="1:21" x14ac:dyDescent="0.25">
      <c r="I5" s="213" t="s">
        <v>61</v>
      </c>
    </row>
    <row r="6" spans="1:21" x14ac:dyDescent="0.25">
      <c r="I6" s="213" t="s">
        <v>28</v>
      </c>
    </row>
    <row r="8" spans="1:21" x14ac:dyDescent="0.25">
      <c r="I8" s="213" t="s">
        <v>62</v>
      </c>
      <c r="J8" s="213" t="s">
        <v>82</v>
      </c>
    </row>
    <row r="9" spans="1:21" x14ac:dyDescent="0.25">
      <c r="I9" s="213" t="s">
        <v>11</v>
      </c>
      <c r="J9" s="213" t="s">
        <v>224</v>
      </c>
    </row>
    <row r="10" spans="1:21" x14ac:dyDescent="0.25">
      <c r="I10" s="213" t="s">
        <v>21</v>
      </c>
      <c r="J10" s="213" t="s">
        <v>225</v>
      </c>
      <c r="Q10" s="213" t="s">
        <v>12</v>
      </c>
      <c r="R10" s="213" t="s">
        <v>226</v>
      </c>
    </row>
    <row r="14" spans="1:21" x14ac:dyDescent="0.25">
      <c r="A14" s="213" t="s">
        <v>1</v>
      </c>
    </row>
    <row r="15" spans="1:21" x14ac:dyDescent="0.25">
      <c r="A15" s="213" t="s">
        <v>1</v>
      </c>
      <c r="C15" s="213" t="s">
        <v>13</v>
      </c>
      <c r="D15" s="213" t="s">
        <v>291</v>
      </c>
    </row>
    <row r="16" spans="1:21" x14ac:dyDescent="0.25">
      <c r="A16" s="213" t="s">
        <v>1</v>
      </c>
      <c r="C16" s="213" t="s">
        <v>14</v>
      </c>
      <c r="D16" s="213" t="s">
        <v>292</v>
      </c>
      <c r="Q16" s="213" t="s">
        <v>227</v>
      </c>
      <c r="R16" s="213" t="s">
        <v>228</v>
      </c>
      <c r="S16" s="213" t="s">
        <v>229</v>
      </c>
    </row>
    <row r="17" spans="1:21" x14ac:dyDescent="0.25">
      <c r="A17" s="213" t="s">
        <v>1</v>
      </c>
      <c r="C17" s="213" t="s">
        <v>15</v>
      </c>
      <c r="D17" s="213" t="s">
        <v>230</v>
      </c>
    </row>
    <row r="18" spans="1:21" x14ac:dyDescent="0.25">
      <c r="A18" s="213" t="s">
        <v>1</v>
      </c>
      <c r="P18" s="213" t="s">
        <v>231</v>
      </c>
      <c r="Q18" s="213" t="s">
        <v>232</v>
      </c>
      <c r="R18" s="213" t="s">
        <v>233</v>
      </c>
      <c r="S18" s="213" t="s">
        <v>234</v>
      </c>
      <c r="T18" s="213" t="s">
        <v>235</v>
      </c>
    </row>
    <row r="19" spans="1:21" x14ac:dyDescent="0.25">
      <c r="A19" s="213" t="s">
        <v>1</v>
      </c>
      <c r="O19" s="213" t="s">
        <v>236</v>
      </c>
      <c r="P19" s="213" t="s">
        <v>237</v>
      </c>
      <c r="Q19" s="213" t="s">
        <v>238</v>
      </c>
      <c r="R19" s="213" t="s">
        <v>239</v>
      </c>
      <c r="S19" s="213" t="s">
        <v>240</v>
      </c>
      <c r="T19" s="213" t="s">
        <v>241</v>
      </c>
    </row>
    <row r="21" spans="1:21" x14ac:dyDescent="0.25">
      <c r="I21" s="213" t="s">
        <v>242</v>
      </c>
      <c r="J21" s="213" t="s">
        <v>68</v>
      </c>
      <c r="U21" s="213" t="s">
        <v>18</v>
      </c>
    </row>
    <row r="22" spans="1:21" x14ac:dyDescent="0.25">
      <c r="I22" s="213" t="s">
        <v>243</v>
      </c>
      <c r="K22" s="213" t="s">
        <v>70</v>
      </c>
      <c r="L22" s="213" t="s">
        <v>71</v>
      </c>
      <c r="M22" s="213" t="s">
        <v>2</v>
      </c>
      <c r="N22" s="213" t="s">
        <v>22</v>
      </c>
      <c r="O22" s="213" t="s">
        <v>16</v>
      </c>
      <c r="P22" s="213" t="s">
        <v>17</v>
      </c>
      <c r="Q22" s="213" t="s">
        <v>244</v>
      </c>
      <c r="R22" s="213" t="s">
        <v>245</v>
      </c>
      <c r="S22" s="213" t="s">
        <v>246</v>
      </c>
      <c r="T22" s="213" t="s">
        <v>247</v>
      </c>
    </row>
    <row r="24" spans="1:21" x14ac:dyDescent="0.25">
      <c r="C24" s="213" t="s">
        <v>248</v>
      </c>
      <c r="E24" s="213" t="s">
        <v>249</v>
      </c>
      <c r="H24" s="213" t="s">
        <v>250</v>
      </c>
      <c r="I24" s="213" t="s">
        <v>251</v>
      </c>
      <c r="J24" s="213" t="s">
        <v>252</v>
      </c>
      <c r="L24" s="213" t="s">
        <v>428</v>
      </c>
      <c r="O24" s="213" t="s">
        <v>429</v>
      </c>
      <c r="P24" s="213" t="s">
        <v>430</v>
      </c>
      <c r="Q24" s="213" t="s">
        <v>431</v>
      </c>
      <c r="R24" s="213" t="s">
        <v>432</v>
      </c>
      <c r="S24" s="213" t="s">
        <v>433</v>
      </c>
      <c r="T24" s="213" t="s">
        <v>434</v>
      </c>
    </row>
    <row r="25" spans="1:21" x14ac:dyDescent="0.25">
      <c r="C25" s="213" t="s">
        <v>260</v>
      </c>
      <c r="E25" s="213" t="s">
        <v>261</v>
      </c>
      <c r="I25" s="213" t="s">
        <v>262</v>
      </c>
    </row>
    <row r="26" spans="1:21" x14ac:dyDescent="0.25">
      <c r="C26" s="213" t="s">
        <v>263</v>
      </c>
      <c r="E26" s="213" t="s">
        <v>264</v>
      </c>
      <c r="I26" s="213" t="s">
        <v>265</v>
      </c>
    </row>
    <row r="27" spans="1:21" x14ac:dyDescent="0.25">
      <c r="A27" s="213" t="s">
        <v>1</v>
      </c>
    </row>
    <row r="28" spans="1:21" x14ac:dyDescent="0.25">
      <c r="D28" s="213" t="s">
        <v>266</v>
      </c>
      <c r="E28" s="213" t="s">
        <v>267</v>
      </c>
      <c r="K28" s="213" t="s">
        <v>268</v>
      </c>
      <c r="L28" s="213" t="s">
        <v>269</v>
      </c>
      <c r="M28" s="213" t="s">
        <v>270</v>
      </c>
      <c r="N28" s="213" t="s">
        <v>271</v>
      </c>
      <c r="O28" s="213" t="s">
        <v>272</v>
      </c>
      <c r="P28" s="213" t="s">
        <v>273</v>
      </c>
      <c r="Q28" s="213" t="s">
        <v>274</v>
      </c>
      <c r="R28" s="213" t="s">
        <v>275</v>
      </c>
      <c r="S28" s="213" t="s">
        <v>276</v>
      </c>
      <c r="T28" s="213" t="s">
        <v>277</v>
      </c>
      <c r="U28" s="213" t="s">
        <v>278</v>
      </c>
    </row>
    <row r="29" spans="1:21" x14ac:dyDescent="0.25">
      <c r="A29" s="213" t="s">
        <v>327</v>
      </c>
      <c r="D29" s="213" t="s">
        <v>435</v>
      </c>
      <c r="E29" s="213" t="s">
        <v>436</v>
      </c>
      <c r="K29" s="213" t="s">
        <v>54434</v>
      </c>
      <c r="L29" s="213" t="s">
        <v>54479</v>
      </c>
      <c r="M29" s="213" t="s">
        <v>54524</v>
      </c>
      <c r="N29" s="213" t="s">
        <v>437</v>
      </c>
      <c r="O29" s="213" t="s">
        <v>438</v>
      </c>
      <c r="P29" s="213" t="s">
        <v>439</v>
      </c>
      <c r="Q29" s="213" t="s">
        <v>440</v>
      </c>
      <c r="R29" s="213" t="s">
        <v>441</v>
      </c>
      <c r="S29" s="213" t="s">
        <v>442</v>
      </c>
      <c r="T29" s="213" t="s">
        <v>443</v>
      </c>
      <c r="U29" s="213" t="s">
        <v>54569</v>
      </c>
    </row>
    <row r="30" spans="1:21" x14ac:dyDescent="0.25">
      <c r="A30" s="213" t="s">
        <v>327</v>
      </c>
      <c r="D30" s="213" t="s">
        <v>444</v>
      </c>
      <c r="E30" s="213" t="s">
        <v>445</v>
      </c>
      <c r="K30" s="213" t="s">
        <v>54435</v>
      </c>
      <c r="L30" s="213" t="s">
        <v>54480</v>
      </c>
      <c r="M30" s="213" t="s">
        <v>54525</v>
      </c>
      <c r="N30" s="213" t="s">
        <v>446</v>
      </c>
      <c r="O30" s="213" t="s">
        <v>447</v>
      </c>
      <c r="P30" s="213" t="s">
        <v>448</v>
      </c>
      <c r="Q30" s="213" t="s">
        <v>449</v>
      </c>
      <c r="R30" s="213" t="s">
        <v>450</v>
      </c>
      <c r="S30" s="213" t="s">
        <v>451</v>
      </c>
      <c r="T30" s="213" t="s">
        <v>452</v>
      </c>
      <c r="U30" s="213" t="s">
        <v>54570</v>
      </c>
    </row>
    <row r="31" spans="1:21" x14ac:dyDescent="0.25">
      <c r="A31" s="213" t="s">
        <v>327</v>
      </c>
      <c r="D31" s="213" t="s">
        <v>453</v>
      </c>
      <c r="E31" s="213" t="s">
        <v>454</v>
      </c>
      <c r="K31" s="213" t="s">
        <v>54436</v>
      </c>
      <c r="L31" s="213" t="s">
        <v>54481</v>
      </c>
      <c r="M31" s="213" t="s">
        <v>54526</v>
      </c>
      <c r="N31" s="213" t="s">
        <v>455</v>
      </c>
      <c r="O31" s="213" t="s">
        <v>456</v>
      </c>
      <c r="P31" s="213" t="s">
        <v>457</v>
      </c>
      <c r="Q31" s="213" t="s">
        <v>458</v>
      </c>
      <c r="R31" s="213" t="s">
        <v>459</v>
      </c>
      <c r="S31" s="213" t="s">
        <v>460</v>
      </c>
      <c r="T31" s="213" t="s">
        <v>461</v>
      </c>
      <c r="U31" s="213" t="s">
        <v>54571</v>
      </c>
    </row>
    <row r="32" spans="1:21" x14ac:dyDescent="0.25">
      <c r="A32" s="213" t="s">
        <v>327</v>
      </c>
      <c r="D32" s="213" t="s">
        <v>462</v>
      </c>
      <c r="E32" s="213" t="s">
        <v>463</v>
      </c>
      <c r="K32" s="213" t="s">
        <v>54437</v>
      </c>
      <c r="L32" s="213" t="s">
        <v>54482</v>
      </c>
      <c r="M32" s="213" t="s">
        <v>54527</v>
      </c>
      <c r="N32" s="213" t="s">
        <v>464</v>
      </c>
      <c r="O32" s="213" t="s">
        <v>465</v>
      </c>
      <c r="P32" s="213" t="s">
        <v>466</v>
      </c>
      <c r="Q32" s="213" t="s">
        <v>467</v>
      </c>
      <c r="R32" s="213" t="s">
        <v>468</v>
      </c>
      <c r="S32" s="213" t="s">
        <v>469</v>
      </c>
      <c r="T32" s="213" t="s">
        <v>470</v>
      </c>
      <c r="U32" s="213" t="s">
        <v>54572</v>
      </c>
    </row>
    <row r="33" spans="1:21" x14ac:dyDescent="0.25">
      <c r="A33" s="213" t="s">
        <v>327</v>
      </c>
      <c r="D33" s="213" t="s">
        <v>471</v>
      </c>
      <c r="E33" s="213" t="s">
        <v>472</v>
      </c>
      <c r="K33" s="213" t="s">
        <v>54438</v>
      </c>
      <c r="L33" s="213" t="s">
        <v>54483</v>
      </c>
      <c r="M33" s="213" t="s">
        <v>54528</v>
      </c>
      <c r="N33" s="213" t="s">
        <v>473</v>
      </c>
      <c r="O33" s="213" t="s">
        <v>474</v>
      </c>
      <c r="P33" s="213" t="s">
        <v>475</v>
      </c>
      <c r="Q33" s="213" t="s">
        <v>476</v>
      </c>
      <c r="R33" s="213" t="s">
        <v>477</v>
      </c>
      <c r="S33" s="213" t="s">
        <v>478</v>
      </c>
      <c r="T33" s="213" t="s">
        <v>479</v>
      </c>
      <c r="U33" s="213" t="s">
        <v>54573</v>
      </c>
    </row>
    <row r="34" spans="1:21" x14ac:dyDescent="0.25">
      <c r="A34" s="213" t="s">
        <v>327</v>
      </c>
      <c r="D34" s="213" t="s">
        <v>480</v>
      </c>
      <c r="E34" s="213" t="s">
        <v>481</v>
      </c>
      <c r="K34" s="213" t="s">
        <v>54439</v>
      </c>
      <c r="L34" s="213" t="s">
        <v>54484</v>
      </c>
      <c r="M34" s="213" t="s">
        <v>54529</v>
      </c>
      <c r="N34" s="213" t="s">
        <v>482</v>
      </c>
      <c r="O34" s="213" t="s">
        <v>483</v>
      </c>
      <c r="P34" s="213" t="s">
        <v>484</v>
      </c>
      <c r="Q34" s="213" t="s">
        <v>485</v>
      </c>
      <c r="R34" s="213" t="s">
        <v>486</v>
      </c>
      <c r="S34" s="213" t="s">
        <v>487</v>
      </c>
      <c r="T34" s="213" t="s">
        <v>488</v>
      </c>
      <c r="U34" s="213" t="s">
        <v>54574</v>
      </c>
    </row>
    <row r="35" spans="1:21" x14ac:dyDescent="0.25">
      <c r="A35" s="213" t="s">
        <v>327</v>
      </c>
      <c r="D35" s="213" t="s">
        <v>489</v>
      </c>
      <c r="E35" s="213" t="s">
        <v>490</v>
      </c>
      <c r="K35" s="213" t="s">
        <v>54440</v>
      </c>
      <c r="L35" s="213" t="s">
        <v>54485</v>
      </c>
      <c r="M35" s="213" t="s">
        <v>54530</v>
      </c>
      <c r="N35" s="213" t="s">
        <v>491</v>
      </c>
      <c r="O35" s="213" t="s">
        <v>492</v>
      </c>
      <c r="P35" s="213" t="s">
        <v>493</v>
      </c>
      <c r="Q35" s="213" t="s">
        <v>494</v>
      </c>
      <c r="R35" s="213" t="s">
        <v>495</v>
      </c>
      <c r="S35" s="213" t="s">
        <v>496</v>
      </c>
      <c r="T35" s="213" t="s">
        <v>497</v>
      </c>
      <c r="U35" s="213" t="s">
        <v>54575</v>
      </c>
    </row>
    <row r="36" spans="1:21" x14ac:dyDescent="0.25">
      <c r="A36" s="213" t="s">
        <v>327</v>
      </c>
      <c r="D36" s="213" t="s">
        <v>498</v>
      </c>
      <c r="E36" s="213" t="s">
        <v>499</v>
      </c>
      <c r="K36" s="213" t="s">
        <v>54441</v>
      </c>
      <c r="L36" s="213" t="s">
        <v>54486</v>
      </c>
      <c r="M36" s="213" t="s">
        <v>54531</v>
      </c>
      <c r="N36" s="213" t="s">
        <v>500</v>
      </c>
      <c r="O36" s="213" t="s">
        <v>501</v>
      </c>
      <c r="P36" s="213" t="s">
        <v>502</v>
      </c>
      <c r="Q36" s="213" t="s">
        <v>503</v>
      </c>
      <c r="R36" s="213" t="s">
        <v>504</v>
      </c>
      <c r="S36" s="213" t="s">
        <v>505</v>
      </c>
      <c r="T36" s="213" t="s">
        <v>506</v>
      </c>
      <c r="U36" s="213" t="s">
        <v>54576</v>
      </c>
    </row>
    <row r="37" spans="1:21" x14ac:dyDescent="0.25">
      <c r="A37" s="213" t="s">
        <v>327</v>
      </c>
      <c r="D37" s="213" t="s">
        <v>507</v>
      </c>
      <c r="E37" s="213" t="s">
        <v>508</v>
      </c>
      <c r="K37" s="213" t="s">
        <v>54442</v>
      </c>
      <c r="L37" s="213" t="s">
        <v>54487</v>
      </c>
      <c r="M37" s="213" t="s">
        <v>54532</v>
      </c>
      <c r="N37" s="213" t="s">
        <v>509</v>
      </c>
      <c r="O37" s="213" t="s">
        <v>510</v>
      </c>
      <c r="P37" s="213" t="s">
        <v>511</v>
      </c>
      <c r="Q37" s="213" t="s">
        <v>512</v>
      </c>
      <c r="R37" s="213" t="s">
        <v>513</v>
      </c>
      <c r="S37" s="213" t="s">
        <v>514</v>
      </c>
      <c r="T37" s="213" t="s">
        <v>515</v>
      </c>
      <c r="U37" s="213" t="s">
        <v>54577</v>
      </c>
    </row>
    <row r="38" spans="1:21" x14ac:dyDescent="0.25">
      <c r="A38" s="213" t="s">
        <v>327</v>
      </c>
      <c r="D38" s="213" t="s">
        <v>516</v>
      </c>
      <c r="E38" s="213" t="s">
        <v>517</v>
      </c>
      <c r="K38" s="213" t="s">
        <v>54443</v>
      </c>
      <c r="L38" s="213" t="s">
        <v>54488</v>
      </c>
      <c r="M38" s="213" t="s">
        <v>54533</v>
      </c>
      <c r="N38" s="213" t="s">
        <v>518</v>
      </c>
      <c r="O38" s="213" t="s">
        <v>519</v>
      </c>
      <c r="P38" s="213" t="s">
        <v>520</v>
      </c>
      <c r="Q38" s="213" t="s">
        <v>521</v>
      </c>
      <c r="R38" s="213" t="s">
        <v>522</v>
      </c>
      <c r="S38" s="213" t="s">
        <v>523</v>
      </c>
      <c r="T38" s="213" t="s">
        <v>524</v>
      </c>
      <c r="U38" s="213" t="s">
        <v>54578</v>
      </c>
    </row>
    <row r="39" spans="1:21" x14ac:dyDescent="0.25">
      <c r="A39" s="213" t="s">
        <v>327</v>
      </c>
      <c r="D39" s="213" t="s">
        <v>525</v>
      </c>
      <c r="E39" s="213" t="s">
        <v>526</v>
      </c>
      <c r="K39" s="213" t="s">
        <v>54444</v>
      </c>
      <c r="L39" s="213" t="s">
        <v>54489</v>
      </c>
      <c r="M39" s="213" t="s">
        <v>54534</v>
      </c>
      <c r="N39" s="213" t="s">
        <v>527</v>
      </c>
      <c r="O39" s="213" t="s">
        <v>528</v>
      </c>
      <c r="P39" s="213" t="s">
        <v>529</v>
      </c>
      <c r="Q39" s="213" t="s">
        <v>530</v>
      </c>
      <c r="R39" s="213" t="s">
        <v>531</v>
      </c>
      <c r="S39" s="213" t="s">
        <v>532</v>
      </c>
      <c r="T39" s="213" t="s">
        <v>533</v>
      </c>
      <c r="U39" s="213" t="s">
        <v>54579</v>
      </c>
    </row>
    <row r="40" spans="1:21" x14ac:dyDescent="0.25">
      <c r="A40" s="213" t="s">
        <v>327</v>
      </c>
      <c r="D40" s="213" t="s">
        <v>534</v>
      </c>
      <c r="E40" s="213" t="s">
        <v>535</v>
      </c>
      <c r="K40" s="213" t="s">
        <v>54445</v>
      </c>
      <c r="L40" s="213" t="s">
        <v>54490</v>
      </c>
      <c r="M40" s="213" t="s">
        <v>54535</v>
      </c>
      <c r="N40" s="213" t="s">
        <v>536</v>
      </c>
      <c r="O40" s="213" t="s">
        <v>537</v>
      </c>
      <c r="P40" s="213" t="s">
        <v>538</v>
      </c>
      <c r="Q40" s="213" t="s">
        <v>539</v>
      </c>
      <c r="R40" s="213" t="s">
        <v>540</v>
      </c>
      <c r="S40" s="213" t="s">
        <v>541</v>
      </c>
      <c r="T40" s="213" t="s">
        <v>542</v>
      </c>
      <c r="U40" s="213" t="s">
        <v>54580</v>
      </c>
    </row>
    <row r="41" spans="1:21" x14ac:dyDescent="0.25">
      <c r="A41" s="213" t="s">
        <v>327</v>
      </c>
      <c r="D41" s="213" t="s">
        <v>543</v>
      </c>
      <c r="E41" s="213" t="s">
        <v>544</v>
      </c>
      <c r="K41" s="213" t="s">
        <v>54446</v>
      </c>
      <c r="L41" s="213" t="s">
        <v>54491</v>
      </c>
      <c r="M41" s="213" t="s">
        <v>54536</v>
      </c>
      <c r="N41" s="213" t="s">
        <v>545</v>
      </c>
      <c r="O41" s="213" t="s">
        <v>546</v>
      </c>
      <c r="P41" s="213" t="s">
        <v>547</v>
      </c>
      <c r="Q41" s="213" t="s">
        <v>548</v>
      </c>
      <c r="R41" s="213" t="s">
        <v>549</v>
      </c>
      <c r="S41" s="213" t="s">
        <v>550</v>
      </c>
      <c r="T41" s="213" t="s">
        <v>551</v>
      </c>
      <c r="U41" s="213" t="s">
        <v>54581</v>
      </c>
    </row>
    <row r="42" spans="1:21" x14ac:dyDescent="0.25">
      <c r="A42" s="213" t="s">
        <v>327</v>
      </c>
      <c r="D42" s="213" t="s">
        <v>552</v>
      </c>
      <c r="E42" s="213" t="s">
        <v>553</v>
      </c>
      <c r="K42" s="213" t="s">
        <v>54447</v>
      </c>
      <c r="L42" s="213" t="s">
        <v>54492</v>
      </c>
      <c r="M42" s="213" t="s">
        <v>54537</v>
      </c>
      <c r="N42" s="213" t="s">
        <v>554</v>
      </c>
      <c r="O42" s="213" t="s">
        <v>555</v>
      </c>
      <c r="P42" s="213" t="s">
        <v>556</v>
      </c>
      <c r="Q42" s="213" t="s">
        <v>557</v>
      </c>
      <c r="R42" s="213" t="s">
        <v>558</v>
      </c>
      <c r="S42" s="213" t="s">
        <v>559</v>
      </c>
      <c r="T42" s="213" t="s">
        <v>560</v>
      </c>
      <c r="U42" s="213" t="s">
        <v>54582</v>
      </c>
    </row>
    <row r="43" spans="1:21" x14ac:dyDescent="0.25">
      <c r="A43" s="213" t="s">
        <v>327</v>
      </c>
      <c r="D43" s="213" t="s">
        <v>561</v>
      </c>
      <c r="E43" s="213" t="s">
        <v>562</v>
      </c>
      <c r="K43" s="213" t="s">
        <v>54448</v>
      </c>
      <c r="L43" s="213" t="s">
        <v>54493</v>
      </c>
      <c r="M43" s="213" t="s">
        <v>54538</v>
      </c>
      <c r="N43" s="213" t="s">
        <v>563</v>
      </c>
      <c r="O43" s="213" t="s">
        <v>564</v>
      </c>
      <c r="P43" s="213" t="s">
        <v>565</v>
      </c>
      <c r="Q43" s="213" t="s">
        <v>566</v>
      </c>
      <c r="R43" s="213" t="s">
        <v>567</v>
      </c>
      <c r="S43" s="213" t="s">
        <v>568</v>
      </c>
      <c r="T43" s="213" t="s">
        <v>569</v>
      </c>
      <c r="U43" s="213" t="s">
        <v>54583</v>
      </c>
    </row>
    <row r="44" spans="1:21" x14ac:dyDescent="0.25">
      <c r="A44" s="213" t="s">
        <v>327</v>
      </c>
      <c r="D44" s="213" t="s">
        <v>570</v>
      </c>
      <c r="E44" s="213" t="s">
        <v>571</v>
      </c>
      <c r="K44" s="213" t="s">
        <v>54449</v>
      </c>
      <c r="L44" s="213" t="s">
        <v>54494</v>
      </c>
      <c r="M44" s="213" t="s">
        <v>54539</v>
      </c>
      <c r="N44" s="213" t="s">
        <v>572</v>
      </c>
      <c r="O44" s="213" t="s">
        <v>573</v>
      </c>
      <c r="P44" s="213" t="s">
        <v>574</v>
      </c>
      <c r="Q44" s="213" t="s">
        <v>575</v>
      </c>
      <c r="R44" s="213" t="s">
        <v>576</v>
      </c>
      <c r="S44" s="213" t="s">
        <v>577</v>
      </c>
      <c r="T44" s="213" t="s">
        <v>578</v>
      </c>
      <c r="U44" s="213" t="s">
        <v>54584</v>
      </c>
    </row>
    <row r="45" spans="1:21" x14ac:dyDescent="0.25">
      <c r="A45" s="213" t="s">
        <v>327</v>
      </c>
      <c r="D45" s="213" t="s">
        <v>579</v>
      </c>
      <c r="E45" s="213" t="s">
        <v>580</v>
      </c>
      <c r="K45" s="213" t="s">
        <v>54450</v>
      </c>
      <c r="L45" s="213" t="s">
        <v>54495</v>
      </c>
      <c r="M45" s="213" t="s">
        <v>54540</v>
      </c>
      <c r="N45" s="213" t="s">
        <v>581</v>
      </c>
      <c r="O45" s="213" t="s">
        <v>582</v>
      </c>
      <c r="P45" s="213" t="s">
        <v>583</v>
      </c>
      <c r="Q45" s="213" t="s">
        <v>584</v>
      </c>
      <c r="R45" s="213" t="s">
        <v>585</v>
      </c>
      <c r="S45" s="213" t="s">
        <v>586</v>
      </c>
      <c r="T45" s="213" t="s">
        <v>587</v>
      </c>
      <c r="U45" s="213" t="s">
        <v>54585</v>
      </c>
    </row>
    <row r="46" spans="1:21" x14ac:dyDescent="0.25">
      <c r="A46" s="213" t="s">
        <v>327</v>
      </c>
      <c r="D46" s="213" t="s">
        <v>588</v>
      </c>
      <c r="E46" s="213" t="s">
        <v>589</v>
      </c>
      <c r="K46" s="213" t="s">
        <v>54451</v>
      </c>
      <c r="L46" s="213" t="s">
        <v>54496</v>
      </c>
      <c r="M46" s="213" t="s">
        <v>54541</v>
      </c>
      <c r="N46" s="213" t="s">
        <v>590</v>
      </c>
      <c r="O46" s="213" t="s">
        <v>591</v>
      </c>
      <c r="P46" s="213" t="s">
        <v>592</v>
      </c>
      <c r="Q46" s="213" t="s">
        <v>593</v>
      </c>
      <c r="R46" s="213" t="s">
        <v>594</v>
      </c>
      <c r="S46" s="213" t="s">
        <v>595</v>
      </c>
      <c r="T46" s="213" t="s">
        <v>596</v>
      </c>
      <c r="U46" s="213" t="s">
        <v>54586</v>
      </c>
    </row>
    <row r="47" spans="1:21" x14ac:dyDescent="0.25">
      <c r="A47" s="213" t="s">
        <v>327</v>
      </c>
      <c r="D47" s="213" t="s">
        <v>597</v>
      </c>
      <c r="E47" s="213" t="s">
        <v>598</v>
      </c>
      <c r="K47" s="213" t="s">
        <v>54452</v>
      </c>
      <c r="L47" s="213" t="s">
        <v>54497</v>
      </c>
      <c r="M47" s="213" t="s">
        <v>54542</v>
      </c>
      <c r="N47" s="213" t="s">
        <v>599</v>
      </c>
      <c r="O47" s="213" t="s">
        <v>600</v>
      </c>
      <c r="P47" s="213" t="s">
        <v>601</v>
      </c>
      <c r="Q47" s="213" t="s">
        <v>602</v>
      </c>
      <c r="R47" s="213" t="s">
        <v>603</v>
      </c>
      <c r="S47" s="213" t="s">
        <v>604</v>
      </c>
      <c r="T47" s="213" t="s">
        <v>605</v>
      </c>
      <c r="U47" s="213" t="s">
        <v>54587</v>
      </c>
    </row>
    <row r="48" spans="1:21" x14ac:dyDescent="0.25">
      <c r="A48" s="213" t="s">
        <v>327</v>
      </c>
      <c r="D48" s="213" t="s">
        <v>606</v>
      </c>
      <c r="E48" s="213" t="s">
        <v>607</v>
      </c>
      <c r="K48" s="213" t="s">
        <v>54453</v>
      </c>
      <c r="L48" s="213" t="s">
        <v>54498</v>
      </c>
      <c r="M48" s="213" t="s">
        <v>54543</v>
      </c>
      <c r="N48" s="213" t="s">
        <v>608</v>
      </c>
      <c r="O48" s="213" t="s">
        <v>609</v>
      </c>
      <c r="P48" s="213" t="s">
        <v>610</v>
      </c>
      <c r="Q48" s="213" t="s">
        <v>611</v>
      </c>
      <c r="R48" s="213" t="s">
        <v>612</v>
      </c>
      <c r="S48" s="213" t="s">
        <v>613</v>
      </c>
      <c r="T48" s="213" t="s">
        <v>614</v>
      </c>
      <c r="U48" s="213" t="s">
        <v>54588</v>
      </c>
    </row>
    <row r="49" spans="1:21" x14ac:dyDescent="0.25">
      <c r="A49" s="213" t="s">
        <v>327</v>
      </c>
      <c r="D49" s="213" t="s">
        <v>615</v>
      </c>
      <c r="E49" s="213" t="s">
        <v>616</v>
      </c>
      <c r="K49" s="213" t="s">
        <v>54454</v>
      </c>
      <c r="L49" s="213" t="s">
        <v>54499</v>
      </c>
      <c r="M49" s="213" t="s">
        <v>54544</v>
      </c>
      <c r="N49" s="213" t="s">
        <v>617</v>
      </c>
      <c r="O49" s="213" t="s">
        <v>618</v>
      </c>
      <c r="P49" s="213" t="s">
        <v>619</v>
      </c>
      <c r="Q49" s="213" t="s">
        <v>620</v>
      </c>
      <c r="R49" s="213" t="s">
        <v>621</v>
      </c>
      <c r="S49" s="213" t="s">
        <v>622</v>
      </c>
      <c r="T49" s="213" t="s">
        <v>623</v>
      </c>
      <c r="U49" s="213" t="s">
        <v>54589</v>
      </c>
    </row>
    <row r="50" spans="1:21" x14ac:dyDescent="0.25">
      <c r="A50" s="213" t="s">
        <v>327</v>
      </c>
      <c r="D50" s="213" t="s">
        <v>624</v>
      </c>
      <c r="E50" s="213" t="s">
        <v>625</v>
      </c>
      <c r="K50" s="213" t="s">
        <v>54455</v>
      </c>
      <c r="L50" s="213" t="s">
        <v>54500</v>
      </c>
      <c r="M50" s="213" t="s">
        <v>54545</v>
      </c>
      <c r="N50" s="213" t="s">
        <v>626</v>
      </c>
      <c r="O50" s="213" t="s">
        <v>627</v>
      </c>
      <c r="P50" s="213" t="s">
        <v>628</v>
      </c>
      <c r="Q50" s="213" t="s">
        <v>629</v>
      </c>
      <c r="R50" s="213" t="s">
        <v>630</v>
      </c>
      <c r="S50" s="213" t="s">
        <v>631</v>
      </c>
      <c r="T50" s="213" t="s">
        <v>632</v>
      </c>
      <c r="U50" s="213" t="s">
        <v>54590</v>
      </c>
    </row>
    <row r="51" spans="1:21" x14ac:dyDescent="0.25">
      <c r="A51" s="213" t="s">
        <v>327</v>
      </c>
      <c r="D51" s="213" t="s">
        <v>633</v>
      </c>
      <c r="E51" s="213" t="s">
        <v>634</v>
      </c>
      <c r="K51" s="213" t="s">
        <v>54456</v>
      </c>
      <c r="L51" s="213" t="s">
        <v>54501</v>
      </c>
      <c r="M51" s="213" t="s">
        <v>54546</v>
      </c>
      <c r="N51" s="213" t="s">
        <v>635</v>
      </c>
      <c r="O51" s="213" t="s">
        <v>636</v>
      </c>
      <c r="P51" s="213" t="s">
        <v>637</v>
      </c>
      <c r="Q51" s="213" t="s">
        <v>638</v>
      </c>
      <c r="R51" s="213" t="s">
        <v>639</v>
      </c>
      <c r="S51" s="213" t="s">
        <v>640</v>
      </c>
      <c r="T51" s="213" t="s">
        <v>641</v>
      </c>
      <c r="U51" s="213" t="s">
        <v>54591</v>
      </c>
    </row>
    <row r="52" spans="1:21" x14ac:dyDescent="0.25">
      <c r="A52" s="213" t="s">
        <v>327</v>
      </c>
      <c r="D52" s="213" t="s">
        <v>642</v>
      </c>
      <c r="E52" s="213" t="s">
        <v>643</v>
      </c>
      <c r="K52" s="213" t="s">
        <v>54457</v>
      </c>
      <c r="L52" s="213" t="s">
        <v>54502</v>
      </c>
      <c r="M52" s="213" t="s">
        <v>54547</v>
      </c>
      <c r="N52" s="213" t="s">
        <v>644</v>
      </c>
      <c r="O52" s="213" t="s">
        <v>645</v>
      </c>
      <c r="P52" s="213" t="s">
        <v>646</v>
      </c>
      <c r="Q52" s="213" t="s">
        <v>647</v>
      </c>
      <c r="R52" s="213" t="s">
        <v>648</v>
      </c>
      <c r="S52" s="213" t="s">
        <v>649</v>
      </c>
      <c r="T52" s="213" t="s">
        <v>650</v>
      </c>
      <c r="U52" s="213" t="s">
        <v>54592</v>
      </c>
    </row>
    <row r="53" spans="1:21" x14ac:dyDescent="0.25">
      <c r="A53" s="213" t="s">
        <v>327</v>
      </c>
      <c r="D53" s="213" t="s">
        <v>651</v>
      </c>
      <c r="E53" s="213" t="s">
        <v>652</v>
      </c>
      <c r="K53" s="213" t="s">
        <v>54458</v>
      </c>
      <c r="L53" s="213" t="s">
        <v>54503</v>
      </c>
      <c r="M53" s="213" t="s">
        <v>54548</v>
      </c>
      <c r="N53" s="213" t="s">
        <v>653</v>
      </c>
      <c r="O53" s="213" t="s">
        <v>654</v>
      </c>
      <c r="P53" s="213" t="s">
        <v>655</v>
      </c>
      <c r="Q53" s="213" t="s">
        <v>656</v>
      </c>
      <c r="R53" s="213" t="s">
        <v>657</v>
      </c>
      <c r="S53" s="213" t="s">
        <v>658</v>
      </c>
      <c r="T53" s="213" t="s">
        <v>659</v>
      </c>
      <c r="U53" s="213" t="s">
        <v>54593</v>
      </c>
    </row>
    <row r="54" spans="1:21" x14ac:dyDescent="0.25">
      <c r="A54" s="213" t="s">
        <v>327</v>
      </c>
      <c r="D54" s="213" t="s">
        <v>660</v>
      </c>
      <c r="E54" s="213" t="s">
        <v>661</v>
      </c>
      <c r="K54" s="213" t="s">
        <v>54459</v>
      </c>
      <c r="L54" s="213" t="s">
        <v>54504</v>
      </c>
      <c r="M54" s="213" t="s">
        <v>54549</v>
      </c>
      <c r="N54" s="213" t="s">
        <v>662</v>
      </c>
      <c r="O54" s="213" t="s">
        <v>663</v>
      </c>
      <c r="P54" s="213" t="s">
        <v>664</v>
      </c>
      <c r="Q54" s="213" t="s">
        <v>665</v>
      </c>
      <c r="R54" s="213" t="s">
        <v>666</v>
      </c>
      <c r="S54" s="213" t="s">
        <v>667</v>
      </c>
      <c r="T54" s="213" t="s">
        <v>668</v>
      </c>
      <c r="U54" s="213" t="s">
        <v>54594</v>
      </c>
    </row>
    <row r="55" spans="1:21" x14ac:dyDescent="0.25">
      <c r="A55" s="213" t="s">
        <v>327</v>
      </c>
      <c r="D55" s="213" t="s">
        <v>669</v>
      </c>
      <c r="E55" s="213" t="s">
        <v>670</v>
      </c>
      <c r="K55" s="213" t="s">
        <v>54460</v>
      </c>
      <c r="L55" s="213" t="s">
        <v>54505</v>
      </c>
      <c r="M55" s="213" t="s">
        <v>54550</v>
      </c>
      <c r="N55" s="213" t="s">
        <v>671</v>
      </c>
      <c r="O55" s="213" t="s">
        <v>672</v>
      </c>
      <c r="P55" s="213" t="s">
        <v>673</v>
      </c>
      <c r="Q55" s="213" t="s">
        <v>674</v>
      </c>
      <c r="R55" s="213" t="s">
        <v>675</v>
      </c>
      <c r="S55" s="213" t="s">
        <v>676</v>
      </c>
      <c r="T55" s="213" t="s">
        <v>677</v>
      </c>
      <c r="U55" s="213" t="s">
        <v>54595</v>
      </c>
    </row>
    <row r="56" spans="1:21" x14ac:dyDescent="0.25">
      <c r="A56" s="213" t="s">
        <v>327</v>
      </c>
      <c r="D56" s="213" t="s">
        <v>678</v>
      </c>
      <c r="E56" s="213" t="s">
        <v>679</v>
      </c>
      <c r="K56" s="213" t="s">
        <v>54461</v>
      </c>
      <c r="L56" s="213" t="s">
        <v>54506</v>
      </c>
      <c r="M56" s="213" t="s">
        <v>54551</v>
      </c>
      <c r="N56" s="213" t="s">
        <v>680</v>
      </c>
      <c r="O56" s="213" t="s">
        <v>681</v>
      </c>
      <c r="P56" s="213" t="s">
        <v>682</v>
      </c>
      <c r="Q56" s="213" t="s">
        <v>683</v>
      </c>
      <c r="R56" s="213" t="s">
        <v>684</v>
      </c>
      <c r="S56" s="213" t="s">
        <v>685</v>
      </c>
      <c r="T56" s="213" t="s">
        <v>686</v>
      </c>
      <c r="U56" s="213" t="s">
        <v>54596</v>
      </c>
    </row>
    <row r="57" spans="1:21" x14ac:dyDescent="0.25">
      <c r="A57" s="213" t="s">
        <v>327</v>
      </c>
      <c r="D57" s="213" t="s">
        <v>687</v>
      </c>
      <c r="E57" s="213" t="s">
        <v>688</v>
      </c>
      <c r="K57" s="213" t="s">
        <v>54462</v>
      </c>
      <c r="L57" s="213" t="s">
        <v>54507</v>
      </c>
      <c r="M57" s="213" t="s">
        <v>54552</v>
      </c>
      <c r="N57" s="213" t="s">
        <v>689</v>
      </c>
      <c r="O57" s="213" t="s">
        <v>690</v>
      </c>
      <c r="P57" s="213" t="s">
        <v>691</v>
      </c>
      <c r="Q57" s="213" t="s">
        <v>692</v>
      </c>
      <c r="R57" s="213" t="s">
        <v>693</v>
      </c>
      <c r="S57" s="213" t="s">
        <v>694</v>
      </c>
      <c r="T57" s="213" t="s">
        <v>695</v>
      </c>
      <c r="U57" s="213" t="s">
        <v>54597</v>
      </c>
    </row>
    <row r="58" spans="1:21" x14ac:dyDescent="0.25">
      <c r="A58" s="213" t="s">
        <v>327</v>
      </c>
      <c r="D58" s="213" t="s">
        <v>696</v>
      </c>
      <c r="E58" s="213" t="s">
        <v>697</v>
      </c>
      <c r="K58" s="213" t="s">
        <v>54463</v>
      </c>
      <c r="L58" s="213" t="s">
        <v>54508</v>
      </c>
      <c r="M58" s="213" t="s">
        <v>54553</v>
      </c>
      <c r="N58" s="213" t="s">
        <v>698</v>
      </c>
      <c r="O58" s="213" t="s">
        <v>699</v>
      </c>
      <c r="P58" s="213" t="s">
        <v>700</v>
      </c>
      <c r="Q58" s="213" t="s">
        <v>701</v>
      </c>
      <c r="R58" s="213" t="s">
        <v>702</v>
      </c>
      <c r="S58" s="213" t="s">
        <v>703</v>
      </c>
      <c r="T58" s="213" t="s">
        <v>704</v>
      </c>
      <c r="U58" s="213" t="s">
        <v>54598</v>
      </c>
    </row>
    <row r="59" spans="1:21" x14ac:dyDescent="0.25">
      <c r="A59" s="213" t="s">
        <v>327</v>
      </c>
      <c r="D59" s="213" t="s">
        <v>705</v>
      </c>
      <c r="E59" s="213" t="s">
        <v>706</v>
      </c>
      <c r="K59" s="213" t="s">
        <v>54464</v>
      </c>
      <c r="L59" s="213" t="s">
        <v>54509</v>
      </c>
      <c r="M59" s="213" t="s">
        <v>54554</v>
      </c>
      <c r="N59" s="213" t="s">
        <v>707</v>
      </c>
      <c r="O59" s="213" t="s">
        <v>708</v>
      </c>
      <c r="P59" s="213" t="s">
        <v>709</v>
      </c>
      <c r="Q59" s="213" t="s">
        <v>710</v>
      </c>
      <c r="R59" s="213" t="s">
        <v>711</v>
      </c>
      <c r="S59" s="213" t="s">
        <v>712</v>
      </c>
      <c r="T59" s="213" t="s">
        <v>713</v>
      </c>
      <c r="U59" s="213" t="s">
        <v>54599</v>
      </c>
    </row>
    <row r="60" spans="1:21" x14ac:dyDescent="0.25">
      <c r="A60" s="213" t="s">
        <v>327</v>
      </c>
      <c r="D60" s="213" t="s">
        <v>714</v>
      </c>
      <c r="E60" s="213" t="s">
        <v>715</v>
      </c>
      <c r="K60" s="213" t="s">
        <v>54465</v>
      </c>
      <c r="L60" s="213" t="s">
        <v>54510</v>
      </c>
      <c r="M60" s="213" t="s">
        <v>54555</v>
      </c>
      <c r="N60" s="213" t="s">
        <v>716</v>
      </c>
      <c r="O60" s="213" t="s">
        <v>717</v>
      </c>
      <c r="P60" s="213" t="s">
        <v>718</v>
      </c>
      <c r="Q60" s="213" t="s">
        <v>719</v>
      </c>
      <c r="R60" s="213" t="s">
        <v>720</v>
      </c>
      <c r="S60" s="213" t="s">
        <v>721</v>
      </c>
      <c r="T60" s="213" t="s">
        <v>722</v>
      </c>
      <c r="U60" s="213" t="s">
        <v>54600</v>
      </c>
    </row>
    <row r="61" spans="1:21" x14ac:dyDescent="0.25">
      <c r="A61" s="213" t="s">
        <v>327</v>
      </c>
      <c r="D61" s="213" t="s">
        <v>723</v>
      </c>
      <c r="E61" s="213" t="s">
        <v>724</v>
      </c>
      <c r="K61" s="213" t="s">
        <v>54466</v>
      </c>
      <c r="L61" s="213" t="s">
        <v>54511</v>
      </c>
      <c r="M61" s="213" t="s">
        <v>54556</v>
      </c>
      <c r="N61" s="213" t="s">
        <v>725</v>
      </c>
      <c r="O61" s="213" t="s">
        <v>726</v>
      </c>
      <c r="P61" s="213" t="s">
        <v>727</v>
      </c>
      <c r="Q61" s="213" t="s">
        <v>728</v>
      </c>
      <c r="R61" s="213" t="s">
        <v>729</v>
      </c>
      <c r="S61" s="213" t="s">
        <v>730</v>
      </c>
      <c r="T61" s="213" t="s">
        <v>731</v>
      </c>
      <c r="U61" s="213" t="s">
        <v>54601</v>
      </c>
    </row>
    <row r="62" spans="1:21" x14ac:dyDescent="0.25">
      <c r="A62" s="213" t="s">
        <v>327</v>
      </c>
      <c r="D62" s="213" t="s">
        <v>732</v>
      </c>
      <c r="E62" s="213" t="s">
        <v>733</v>
      </c>
      <c r="K62" s="213" t="s">
        <v>54467</v>
      </c>
      <c r="L62" s="213" t="s">
        <v>54512</v>
      </c>
      <c r="M62" s="213" t="s">
        <v>54557</v>
      </c>
      <c r="N62" s="213" t="s">
        <v>734</v>
      </c>
      <c r="O62" s="213" t="s">
        <v>735</v>
      </c>
      <c r="P62" s="213" t="s">
        <v>736</v>
      </c>
      <c r="Q62" s="213" t="s">
        <v>737</v>
      </c>
      <c r="R62" s="213" t="s">
        <v>738</v>
      </c>
      <c r="S62" s="213" t="s">
        <v>739</v>
      </c>
      <c r="T62" s="213" t="s">
        <v>740</v>
      </c>
      <c r="U62" s="213" t="s">
        <v>54602</v>
      </c>
    </row>
    <row r="63" spans="1:21" x14ac:dyDescent="0.25">
      <c r="A63" s="213" t="s">
        <v>327</v>
      </c>
      <c r="D63" s="213" t="s">
        <v>342</v>
      </c>
      <c r="E63" s="213" t="s">
        <v>741</v>
      </c>
      <c r="K63" s="213" t="s">
        <v>54468</v>
      </c>
      <c r="L63" s="213" t="s">
        <v>54513</v>
      </c>
      <c r="M63" s="213" t="s">
        <v>54558</v>
      </c>
      <c r="N63" s="213" t="s">
        <v>742</v>
      </c>
      <c r="O63" s="213" t="s">
        <v>743</v>
      </c>
      <c r="P63" s="213" t="s">
        <v>744</v>
      </c>
      <c r="Q63" s="213" t="s">
        <v>745</v>
      </c>
      <c r="R63" s="213" t="s">
        <v>746</v>
      </c>
      <c r="S63" s="213" t="s">
        <v>747</v>
      </c>
      <c r="T63" s="213" t="s">
        <v>748</v>
      </c>
      <c r="U63" s="213" t="s">
        <v>54603</v>
      </c>
    </row>
    <row r="64" spans="1:21" x14ac:dyDescent="0.25">
      <c r="A64" s="213" t="s">
        <v>327</v>
      </c>
      <c r="D64" s="213" t="s">
        <v>749</v>
      </c>
      <c r="E64" s="213" t="s">
        <v>750</v>
      </c>
      <c r="K64" s="213" t="s">
        <v>54469</v>
      </c>
      <c r="L64" s="213" t="s">
        <v>54514</v>
      </c>
      <c r="M64" s="213" t="s">
        <v>54559</v>
      </c>
      <c r="N64" s="213" t="s">
        <v>751</v>
      </c>
      <c r="O64" s="213" t="s">
        <v>752</v>
      </c>
      <c r="P64" s="213" t="s">
        <v>753</v>
      </c>
      <c r="Q64" s="213" t="s">
        <v>754</v>
      </c>
      <c r="R64" s="213" t="s">
        <v>755</v>
      </c>
      <c r="S64" s="213" t="s">
        <v>756</v>
      </c>
      <c r="T64" s="213" t="s">
        <v>757</v>
      </c>
      <c r="U64" s="213" t="s">
        <v>54604</v>
      </c>
    </row>
    <row r="65" spans="1:21" x14ac:dyDescent="0.25">
      <c r="A65" s="213" t="s">
        <v>327</v>
      </c>
      <c r="D65" s="213" t="s">
        <v>758</v>
      </c>
      <c r="E65" s="213" t="s">
        <v>759</v>
      </c>
      <c r="K65" s="213" t="s">
        <v>54470</v>
      </c>
      <c r="L65" s="213" t="s">
        <v>54515</v>
      </c>
      <c r="M65" s="213" t="s">
        <v>54560</v>
      </c>
      <c r="N65" s="213" t="s">
        <v>760</v>
      </c>
      <c r="O65" s="213" t="s">
        <v>761</v>
      </c>
      <c r="P65" s="213" t="s">
        <v>762</v>
      </c>
      <c r="Q65" s="213" t="s">
        <v>763</v>
      </c>
      <c r="R65" s="213" t="s">
        <v>764</v>
      </c>
      <c r="S65" s="213" t="s">
        <v>765</v>
      </c>
      <c r="T65" s="213" t="s">
        <v>766</v>
      </c>
      <c r="U65" s="213" t="s">
        <v>54605</v>
      </c>
    </row>
    <row r="66" spans="1:21" x14ac:dyDescent="0.25">
      <c r="A66" s="213" t="s">
        <v>327</v>
      </c>
      <c r="D66" s="213" t="s">
        <v>767</v>
      </c>
      <c r="E66" s="213" t="s">
        <v>768</v>
      </c>
      <c r="K66" s="213" t="s">
        <v>54471</v>
      </c>
      <c r="L66" s="213" t="s">
        <v>54516</v>
      </c>
      <c r="M66" s="213" t="s">
        <v>54561</v>
      </c>
      <c r="N66" s="213" t="s">
        <v>769</v>
      </c>
      <c r="O66" s="213" t="s">
        <v>770</v>
      </c>
      <c r="P66" s="213" t="s">
        <v>771</v>
      </c>
      <c r="Q66" s="213" t="s">
        <v>772</v>
      </c>
      <c r="R66" s="213" t="s">
        <v>773</v>
      </c>
      <c r="S66" s="213" t="s">
        <v>774</v>
      </c>
      <c r="T66" s="213" t="s">
        <v>775</v>
      </c>
      <c r="U66" s="213" t="s">
        <v>54606</v>
      </c>
    </row>
    <row r="67" spans="1:21" x14ac:dyDescent="0.25">
      <c r="A67" s="213" t="s">
        <v>327</v>
      </c>
      <c r="D67" s="213" t="s">
        <v>776</v>
      </c>
      <c r="E67" s="213" t="s">
        <v>777</v>
      </c>
      <c r="K67" s="213" t="s">
        <v>54472</v>
      </c>
      <c r="L67" s="213" t="s">
        <v>54517</v>
      </c>
      <c r="M67" s="213" t="s">
        <v>54562</v>
      </c>
      <c r="N67" s="213" t="s">
        <v>778</v>
      </c>
      <c r="O67" s="213" t="s">
        <v>779</v>
      </c>
      <c r="P67" s="213" t="s">
        <v>780</v>
      </c>
      <c r="Q67" s="213" t="s">
        <v>781</v>
      </c>
      <c r="R67" s="213" t="s">
        <v>782</v>
      </c>
      <c r="S67" s="213" t="s">
        <v>783</v>
      </c>
      <c r="T67" s="213" t="s">
        <v>784</v>
      </c>
      <c r="U67" s="213" t="s">
        <v>54607</v>
      </c>
    </row>
    <row r="68" spans="1:21" x14ac:dyDescent="0.25">
      <c r="A68" s="213" t="s">
        <v>327</v>
      </c>
      <c r="D68" s="213" t="s">
        <v>785</v>
      </c>
      <c r="E68" s="213" t="s">
        <v>786</v>
      </c>
      <c r="K68" s="213" t="s">
        <v>54473</v>
      </c>
      <c r="L68" s="213" t="s">
        <v>54518</v>
      </c>
      <c r="M68" s="213" t="s">
        <v>54563</v>
      </c>
      <c r="N68" s="213" t="s">
        <v>787</v>
      </c>
      <c r="O68" s="213" t="s">
        <v>788</v>
      </c>
      <c r="P68" s="213" t="s">
        <v>789</v>
      </c>
      <c r="Q68" s="213" t="s">
        <v>790</v>
      </c>
      <c r="R68" s="213" t="s">
        <v>791</v>
      </c>
      <c r="S68" s="213" t="s">
        <v>792</v>
      </c>
      <c r="T68" s="213" t="s">
        <v>793</v>
      </c>
      <c r="U68" s="213" t="s">
        <v>54608</v>
      </c>
    </row>
    <row r="69" spans="1:21" x14ac:dyDescent="0.25">
      <c r="A69" s="213" t="s">
        <v>327</v>
      </c>
      <c r="D69" s="213" t="s">
        <v>794</v>
      </c>
      <c r="E69" s="213" t="s">
        <v>795</v>
      </c>
      <c r="K69" s="213" t="s">
        <v>54474</v>
      </c>
      <c r="L69" s="213" t="s">
        <v>54519</v>
      </c>
      <c r="M69" s="213" t="s">
        <v>54564</v>
      </c>
      <c r="N69" s="213" t="s">
        <v>796</v>
      </c>
      <c r="O69" s="213" t="s">
        <v>797</v>
      </c>
      <c r="P69" s="213" t="s">
        <v>798</v>
      </c>
      <c r="Q69" s="213" t="s">
        <v>799</v>
      </c>
      <c r="R69" s="213" t="s">
        <v>800</v>
      </c>
      <c r="S69" s="213" t="s">
        <v>801</v>
      </c>
      <c r="T69" s="213" t="s">
        <v>802</v>
      </c>
      <c r="U69" s="213" t="s">
        <v>54609</v>
      </c>
    </row>
    <row r="70" spans="1:21" x14ac:dyDescent="0.25">
      <c r="A70" s="213" t="s">
        <v>327</v>
      </c>
      <c r="D70" s="213" t="s">
        <v>803</v>
      </c>
      <c r="E70" s="213" t="s">
        <v>804</v>
      </c>
      <c r="K70" s="213" t="s">
        <v>54475</v>
      </c>
      <c r="L70" s="213" t="s">
        <v>54520</v>
      </c>
      <c r="M70" s="213" t="s">
        <v>54565</v>
      </c>
      <c r="N70" s="213" t="s">
        <v>805</v>
      </c>
      <c r="O70" s="213" t="s">
        <v>806</v>
      </c>
      <c r="P70" s="213" t="s">
        <v>807</v>
      </c>
      <c r="Q70" s="213" t="s">
        <v>808</v>
      </c>
      <c r="R70" s="213" t="s">
        <v>809</v>
      </c>
      <c r="S70" s="213" t="s">
        <v>810</v>
      </c>
      <c r="T70" s="213" t="s">
        <v>811</v>
      </c>
      <c r="U70" s="213" t="s">
        <v>54610</v>
      </c>
    </row>
    <row r="71" spans="1:21" x14ac:dyDescent="0.25">
      <c r="A71" s="213" t="s">
        <v>327</v>
      </c>
      <c r="D71" s="213" t="s">
        <v>812</v>
      </c>
      <c r="E71" s="213" t="s">
        <v>813</v>
      </c>
      <c r="K71" s="213" t="s">
        <v>54476</v>
      </c>
      <c r="L71" s="213" t="s">
        <v>54521</v>
      </c>
      <c r="M71" s="213" t="s">
        <v>54566</v>
      </c>
      <c r="N71" s="213" t="s">
        <v>814</v>
      </c>
      <c r="O71" s="213" t="s">
        <v>815</v>
      </c>
      <c r="P71" s="213" t="s">
        <v>816</v>
      </c>
      <c r="Q71" s="213" t="s">
        <v>817</v>
      </c>
      <c r="R71" s="213" t="s">
        <v>818</v>
      </c>
      <c r="S71" s="213" t="s">
        <v>819</v>
      </c>
      <c r="T71" s="213" t="s">
        <v>820</v>
      </c>
      <c r="U71" s="213" t="s">
        <v>54611</v>
      </c>
    </row>
    <row r="72" spans="1:21" x14ac:dyDescent="0.25">
      <c r="A72" s="213" t="s">
        <v>327</v>
      </c>
      <c r="D72" s="213" t="s">
        <v>821</v>
      </c>
      <c r="E72" s="213" t="s">
        <v>822</v>
      </c>
      <c r="K72" s="213" t="s">
        <v>54477</v>
      </c>
      <c r="L72" s="213" t="s">
        <v>54522</v>
      </c>
      <c r="M72" s="213" t="s">
        <v>54567</v>
      </c>
      <c r="N72" s="213" t="s">
        <v>823</v>
      </c>
      <c r="O72" s="213" t="s">
        <v>824</v>
      </c>
      <c r="P72" s="213" t="s">
        <v>825</v>
      </c>
      <c r="Q72" s="213" t="s">
        <v>826</v>
      </c>
      <c r="R72" s="213" t="s">
        <v>827</v>
      </c>
      <c r="S72" s="213" t="s">
        <v>828</v>
      </c>
      <c r="T72" s="213" t="s">
        <v>829</v>
      </c>
      <c r="U72" s="213" t="s">
        <v>54612</v>
      </c>
    </row>
    <row r="73" spans="1:21" x14ac:dyDescent="0.25">
      <c r="A73" s="213" t="s">
        <v>327</v>
      </c>
      <c r="D73" s="213" t="s">
        <v>830</v>
      </c>
      <c r="E73" s="213" t="s">
        <v>831</v>
      </c>
      <c r="K73" s="213" t="s">
        <v>54478</v>
      </c>
      <c r="L73" s="213" t="s">
        <v>54523</v>
      </c>
      <c r="M73" s="213" t="s">
        <v>54568</v>
      </c>
      <c r="N73" s="213" t="s">
        <v>832</v>
      </c>
      <c r="O73" s="213" t="s">
        <v>833</v>
      </c>
      <c r="P73" s="213" t="s">
        <v>834</v>
      </c>
      <c r="Q73" s="213" t="s">
        <v>835</v>
      </c>
      <c r="R73" s="213" t="s">
        <v>836</v>
      </c>
      <c r="S73" s="213" t="s">
        <v>837</v>
      </c>
      <c r="T73" s="213" t="s">
        <v>838</v>
      </c>
      <c r="U73" s="213" t="s">
        <v>54613</v>
      </c>
    </row>
    <row r="76" spans="1:21" x14ac:dyDescent="0.25">
      <c r="A76" s="213" t="s">
        <v>327</v>
      </c>
      <c r="C76" s="213" t="s">
        <v>839</v>
      </c>
      <c r="E76" s="213" t="s">
        <v>840</v>
      </c>
      <c r="H76" s="213" t="s">
        <v>841</v>
      </c>
      <c r="I76" s="213" t="s">
        <v>842</v>
      </c>
      <c r="J76" s="213" t="s">
        <v>843</v>
      </c>
      <c r="L76" s="213" t="s">
        <v>844</v>
      </c>
      <c r="O76" s="213" t="s">
        <v>845</v>
      </c>
      <c r="P76" s="213" t="s">
        <v>846</v>
      </c>
      <c r="Q76" s="213" t="s">
        <v>847</v>
      </c>
      <c r="R76" s="213" t="s">
        <v>848</v>
      </c>
      <c r="S76" s="213" t="s">
        <v>849</v>
      </c>
      <c r="T76" s="213" t="s">
        <v>850</v>
      </c>
    </row>
    <row r="77" spans="1:21" x14ac:dyDescent="0.25">
      <c r="A77" s="213" t="s">
        <v>327</v>
      </c>
      <c r="C77" s="213" t="s">
        <v>851</v>
      </c>
      <c r="E77" s="213" t="s">
        <v>852</v>
      </c>
      <c r="I77" s="213" t="s">
        <v>853</v>
      </c>
    </row>
    <row r="78" spans="1:21" x14ac:dyDescent="0.25">
      <c r="A78" s="213" t="s">
        <v>327</v>
      </c>
      <c r="C78" s="213" t="s">
        <v>854</v>
      </c>
      <c r="E78" s="213" t="s">
        <v>855</v>
      </c>
      <c r="I78" s="213" t="s">
        <v>856</v>
      </c>
    </row>
    <row r="79" spans="1:21" x14ac:dyDescent="0.25">
      <c r="A79" s="213" t="s">
        <v>328</v>
      </c>
    </row>
    <row r="80" spans="1:21" x14ac:dyDescent="0.25">
      <c r="A80" s="213" t="s">
        <v>327</v>
      </c>
      <c r="D80" s="213" t="s">
        <v>857</v>
      </c>
      <c r="E80" s="213" t="s">
        <v>858</v>
      </c>
      <c r="K80" s="213" t="s">
        <v>77154</v>
      </c>
      <c r="L80" s="213" t="s">
        <v>77208</v>
      </c>
      <c r="M80" s="213" t="s">
        <v>77262</v>
      </c>
      <c r="N80" s="213" t="s">
        <v>859</v>
      </c>
      <c r="O80" s="213" t="s">
        <v>860</v>
      </c>
      <c r="P80" s="213" t="s">
        <v>861</v>
      </c>
      <c r="Q80" s="213" t="s">
        <v>862</v>
      </c>
      <c r="R80" s="213" t="s">
        <v>863</v>
      </c>
      <c r="S80" s="213" t="s">
        <v>864</v>
      </c>
      <c r="T80" s="213" t="s">
        <v>865</v>
      </c>
      <c r="U80" s="213" t="s">
        <v>77316</v>
      </c>
    </row>
    <row r="81" spans="1:21" x14ac:dyDescent="0.25">
      <c r="A81" s="213" t="s">
        <v>327</v>
      </c>
      <c r="D81" s="213" t="s">
        <v>866</v>
      </c>
      <c r="E81" s="213" t="s">
        <v>867</v>
      </c>
      <c r="K81" s="213" t="s">
        <v>77155</v>
      </c>
      <c r="L81" s="213" t="s">
        <v>77209</v>
      </c>
      <c r="M81" s="213" t="s">
        <v>77263</v>
      </c>
      <c r="N81" s="213" t="s">
        <v>868</v>
      </c>
      <c r="O81" s="213" t="s">
        <v>869</v>
      </c>
      <c r="P81" s="213" t="s">
        <v>870</v>
      </c>
      <c r="Q81" s="213" t="s">
        <v>871</v>
      </c>
      <c r="R81" s="213" t="s">
        <v>872</v>
      </c>
      <c r="S81" s="213" t="s">
        <v>873</v>
      </c>
      <c r="T81" s="213" t="s">
        <v>874</v>
      </c>
      <c r="U81" s="213" t="s">
        <v>77317</v>
      </c>
    </row>
    <row r="82" spans="1:21" x14ac:dyDescent="0.25">
      <c r="A82" s="213" t="s">
        <v>327</v>
      </c>
      <c r="D82" s="213" t="s">
        <v>875</v>
      </c>
      <c r="E82" s="213" t="s">
        <v>876</v>
      </c>
      <c r="K82" s="213" t="s">
        <v>77156</v>
      </c>
      <c r="L82" s="213" t="s">
        <v>77210</v>
      </c>
      <c r="M82" s="213" t="s">
        <v>77264</v>
      </c>
      <c r="N82" s="213" t="s">
        <v>877</v>
      </c>
      <c r="O82" s="213" t="s">
        <v>878</v>
      </c>
      <c r="P82" s="213" t="s">
        <v>879</v>
      </c>
      <c r="Q82" s="213" t="s">
        <v>880</v>
      </c>
      <c r="R82" s="213" t="s">
        <v>881</v>
      </c>
      <c r="S82" s="213" t="s">
        <v>882</v>
      </c>
      <c r="T82" s="213" t="s">
        <v>883</v>
      </c>
      <c r="U82" s="213" t="s">
        <v>77318</v>
      </c>
    </row>
    <row r="83" spans="1:21" x14ac:dyDescent="0.25">
      <c r="A83" s="213" t="s">
        <v>327</v>
      </c>
      <c r="D83" s="213" t="s">
        <v>884</v>
      </c>
      <c r="E83" s="213" t="s">
        <v>885</v>
      </c>
      <c r="K83" s="213" t="s">
        <v>77157</v>
      </c>
      <c r="L83" s="213" t="s">
        <v>77211</v>
      </c>
      <c r="M83" s="213" t="s">
        <v>77265</v>
      </c>
      <c r="N83" s="213" t="s">
        <v>886</v>
      </c>
      <c r="O83" s="213" t="s">
        <v>887</v>
      </c>
      <c r="P83" s="213" t="s">
        <v>888</v>
      </c>
      <c r="Q83" s="213" t="s">
        <v>889</v>
      </c>
      <c r="R83" s="213" t="s">
        <v>890</v>
      </c>
      <c r="S83" s="213" t="s">
        <v>891</v>
      </c>
      <c r="T83" s="213" t="s">
        <v>892</v>
      </c>
      <c r="U83" s="213" t="s">
        <v>77319</v>
      </c>
    </row>
    <row r="84" spans="1:21" x14ac:dyDescent="0.25">
      <c r="A84" s="213" t="s">
        <v>327</v>
      </c>
      <c r="D84" s="213" t="s">
        <v>893</v>
      </c>
      <c r="E84" s="213" t="s">
        <v>894</v>
      </c>
      <c r="K84" s="213" t="s">
        <v>77158</v>
      </c>
      <c r="L84" s="213" t="s">
        <v>77212</v>
      </c>
      <c r="M84" s="213" t="s">
        <v>77266</v>
      </c>
      <c r="N84" s="213" t="s">
        <v>895</v>
      </c>
      <c r="O84" s="213" t="s">
        <v>896</v>
      </c>
      <c r="P84" s="213" t="s">
        <v>897</v>
      </c>
      <c r="Q84" s="213" t="s">
        <v>898</v>
      </c>
      <c r="R84" s="213" t="s">
        <v>899</v>
      </c>
      <c r="S84" s="213" t="s">
        <v>900</v>
      </c>
      <c r="T84" s="213" t="s">
        <v>901</v>
      </c>
      <c r="U84" s="213" t="s">
        <v>77320</v>
      </c>
    </row>
    <row r="85" spans="1:21" x14ac:dyDescent="0.25">
      <c r="A85" s="213" t="s">
        <v>327</v>
      </c>
      <c r="D85" s="213" t="s">
        <v>902</v>
      </c>
      <c r="E85" s="213" t="s">
        <v>903</v>
      </c>
      <c r="K85" s="213" t="s">
        <v>77159</v>
      </c>
      <c r="L85" s="213" t="s">
        <v>77213</v>
      </c>
      <c r="M85" s="213" t="s">
        <v>77267</v>
      </c>
      <c r="N85" s="213" t="s">
        <v>904</v>
      </c>
      <c r="O85" s="213" t="s">
        <v>905</v>
      </c>
      <c r="P85" s="213" t="s">
        <v>906</v>
      </c>
      <c r="Q85" s="213" t="s">
        <v>907</v>
      </c>
      <c r="R85" s="213" t="s">
        <v>908</v>
      </c>
      <c r="S85" s="213" t="s">
        <v>909</v>
      </c>
      <c r="T85" s="213" t="s">
        <v>910</v>
      </c>
      <c r="U85" s="213" t="s">
        <v>77321</v>
      </c>
    </row>
    <row r="86" spans="1:21" x14ac:dyDescent="0.25">
      <c r="A86" s="213" t="s">
        <v>327</v>
      </c>
      <c r="D86" s="213" t="s">
        <v>911</v>
      </c>
      <c r="E86" s="213" t="s">
        <v>912</v>
      </c>
      <c r="K86" s="213" t="s">
        <v>77160</v>
      </c>
      <c r="L86" s="213" t="s">
        <v>77214</v>
      </c>
      <c r="M86" s="213" t="s">
        <v>77268</v>
      </c>
      <c r="N86" s="213" t="s">
        <v>913</v>
      </c>
      <c r="O86" s="213" t="s">
        <v>914</v>
      </c>
      <c r="P86" s="213" t="s">
        <v>915</v>
      </c>
      <c r="Q86" s="213" t="s">
        <v>916</v>
      </c>
      <c r="R86" s="213" t="s">
        <v>917</v>
      </c>
      <c r="S86" s="213" t="s">
        <v>918</v>
      </c>
      <c r="T86" s="213" t="s">
        <v>919</v>
      </c>
      <c r="U86" s="213" t="s">
        <v>77322</v>
      </c>
    </row>
    <row r="87" spans="1:21" x14ac:dyDescent="0.25">
      <c r="A87" s="213" t="s">
        <v>327</v>
      </c>
      <c r="D87" s="213" t="s">
        <v>920</v>
      </c>
      <c r="E87" s="213" t="s">
        <v>921</v>
      </c>
      <c r="K87" s="213" t="s">
        <v>77161</v>
      </c>
      <c r="L87" s="213" t="s">
        <v>77215</v>
      </c>
      <c r="M87" s="213" t="s">
        <v>77269</v>
      </c>
      <c r="N87" s="213" t="s">
        <v>922</v>
      </c>
      <c r="O87" s="213" t="s">
        <v>923</v>
      </c>
      <c r="P87" s="213" t="s">
        <v>924</v>
      </c>
      <c r="Q87" s="213" t="s">
        <v>925</v>
      </c>
      <c r="R87" s="213" t="s">
        <v>926</v>
      </c>
      <c r="S87" s="213" t="s">
        <v>927</v>
      </c>
      <c r="T87" s="213" t="s">
        <v>928</v>
      </c>
      <c r="U87" s="213" t="s">
        <v>77323</v>
      </c>
    </row>
    <row r="88" spans="1:21" x14ac:dyDescent="0.25">
      <c r="A88" s="213" t="s">
        <v>327</v>
      </c>
      <c r="D88" s="213" t="s">
        <v>929</v>
      </c>
      <c r="E88" s="213" t="s">
        <v>930</v>
      </c>
      <c r="K88" s="213" t="s">
        <v>77162</v>
      </c>
      <c r="L88" s="213" t="s">
        <v>77216</v>
      </c>
      <c r="M88" s="213" t="s">
        <v>77270</v>
      </c>
      <c r="N88" s="213" t="s">
        <v>931</v>
      </c>
      <c r="O88" s="213" t="s">
        <v>932</v>
      </c>
      <c r="P88" s="213" t="s">
        <v>933</v>
      </c>
      <c r="Q88" s="213" t="s">
        <v>934</v>
      </c>
      <c r="R88" s="213" t="s">
        <v>935</v>
      </c>
      <c r="S88" s="213" t="s">
        <v>936</v>
      </c>
      <c r="T88" s="213" t="s">
        <v>937</v>
      </c>
      <c r="U88" s="213" t="s">
        <v>77324</v>
      </c>
    </row>
    <row r="89" spans="1:21" x14ac:dyDescent="0.25">
      <c r="A89" s="213" t="s">
        <v>327</v>
      </c>
      <c r="D89" s="213" t="s">
        <v>938</v>
      </c>
      <c r="E89" s="213" t="s">
        <v>939</v>
      </c>
      <c r="K89" s="213" t="s">
        <v>77163</v>
      </c>
      <c r="L89" s="213" t="s">
        <v>77217</v>
      </c>
      <c r="M89" s="213" t="s">
        <v>77271</v>
      </c>
      <c r="N89" s="213" t="s">
        <v>940</v>
      </c>
      <c r="O89" s="213" t="s">
        <v>941</v>
      </c>
      <c r="P89" s="213" t="s">
        <v>942</v>
      </c>
      <c r="Q89" s="213" t="s">
        <v>943</v>
      </c>
      <c r="R89" s="213" t="s">
        <v>944</v>
      </c>
      <c r="S89" s="213" t="s">
        <v>945</v>
      </c>
      <c r="T89" s="213" t="s">
        <v>946</v>
      </c>
      <c r="U89" s="213" t="s">
        <v>77325</v>
      </c>
    </row>
    <row r="90" spans="1:21" x14ac:dyDescent="0.25">
      <c r="A90" s="213" t="s">
        <v>327</v>
      </c>
      <c r="D90" s="213" t="s">
        <v>947</v>
      </c>
      <c r="E90" s="213" t="s">
        <v>948</v>
      </c>
      <c r="K90" s="213" t="s">
        <v>77164</v>
      </c>
      <c r="L90" s="213" t="s">
        <v>77218</v>
      </c>
      <c r="M90" s="213" t="s">
        <v>77272</v>
      </c>
      <c r="N90" s="213" t="s">
        <v>949</v>
      </c>
      <c r="O90" s="213" t="s">
        <v>950</v>
      </c>
      <c r="P90" s="213" t="s">
        <v>951</v>
      </c>
      <c r="Q90" s="213" t="s">
        <v>952</v>
      </c>
      <c r="R90" s="213" t="s">
        <v>953</v>
      </c>
      <c r="S90" s="213" t="s">
        <v>954</v>
      </c>
      <c r="T90" s="213" t="s">
        <v>955</v>
      </c>
      <c r="U90" s="213" t="s">
        <v>77326</v>
      </c>
    </row>
    <row r="91" spans="1:21" x14ac:dyDescent="0.25">
      <c r="A91" s="213" t="s">
        <v>327</v>
      </c>
      <c r="D91" s="213" t="s">
        <v>956</v>
      </c>
      <c r="E91" s="213" t="s">
        <v>957</v>
      </c>
      <c r="K91" s="213" t="s">
        <v>77165</v>
      </c>
      <c r="L91" s="213" t="s">
        <v>77219</v>
      </c>
      <c r="M91" s="213" t="s">
        <v>77273</v>
      </c>
      <c r="N91" s="213" t="s">
        <v>958</v>
      </c>
      <c r="O91" s="213" t="s">
        <v>959</v>
      </c>
      <c r="P91" s="213" t="s">
        <v>960</v>
      </c>
      <c r="Q91" s="213" t="s">
        <v>961</v>
      </c>
      <c r="R91" s="213" t="s">
        <v>962</v>
      </c>
      <c r="S91" s="213" t="s">
        <v>963</v>
      </c>
      <c r="T91" s="213" t="s">
        <v>964</v>
      </c>
      <c r="U91" s="213" t="s">
        <v>77327</v>
      </c>
    </row>
    <row r="92" spans="1:21" x14ac:dyDescent="0.25">
      <c r="A92" s="213" t="s">
        <v>327</v>
      </c>
      <c r="D92" s="213" t="s">
        <v>965</v>
      </c>
      <c r="E92" s="213" t="s">
        <v>966</v>
      </c>
      <c r="K92" s="213" t="s">
        <v>77166</v>
      </c>
      <c r="L92" s="213" t="s">
        <v>77220</v>
      </c>
      <c r="M92" s="213" t="s">
        <v>77274</v>
      </c>
      <c r="N92" s="213" t="s">
        <v>967</v>
      </c>
      <c r="O92" s="213" t="s">
        <v>968</v>
      </c>
      <c r="P92" s="213" t="s">
        <v>969</v>
      </c>
      <c r="Q92" s="213" t="s">
        <v>970</v>
      </c>
      <c r="R92" s="213" t="s">
        <v>971</v>
      </c>
      <c r="S92" s="213" t="s">
        <v>972</v>
      </c>
      <c r="T92" s="213" t="s">
        <v>973</v>
      </c>
      <c r="U92" s="213" t="s">
        <v>77328</v>
      </c>
    </row>
    <row r="93" spans="1:21" x14ac:dyDescent="0.25">
      <c r="A93" s="213" t="s">
        <v>327</v>
      </c>
      <c r="D93" s="213" t="s">
        <v>974</v>
      </c>
      <c r="E93" s="213" t="s">
        <v>975</v>
      </c>
      <c r="K93" s="213" t="s">
        <v>77167</v>
      </c>
      <c r="L93" s="213" t="s">
        <v>77221</v>
      </c>
      <c r="M93" s="213" t="s">
        <v>77275</v>
      </c>
      <c r="N93" s="213" t="s">
        <v>976</v>
      </c>
      <c r="O93" s="213" t="s">
        <v>977</v>
      </c>
      <c r="P93" s="213" t="s">
        <v>978</v>
      </c>
      <c r="Q93" s="213" t="s">
        <v>979</v>
      </c>
      <c r="R93" s="213" t="s">
        <v>980</v>
      </c>
      <c r="S93" s="213" t="s">
        <v>981</v>
      </c>
      <c r="T93" s="213" t="s">
        <v>982</v>
      </c>
      <c r="U93" s="213" t="s">
        <v>77329</v>
      </c>
    </row>
    <row r="94" spans="1:21" x14ac:dyDescent="0.25">
      <c r="A94" s="213" t="s">
        <v>327</v>
      </c>
      <c r="D94" s="213" t="s">
        <v>983</v>
      </c>
      <c r="E94" s="213" t="s">
        <v>984</v>
      </c>
      <c r="K94" s="213" t="s">
        <v>77168</v>
      </c>
      <c r="L94" s="213" t="s">
        <v>77222</v>
      </c>
      <c r="M94" s="213" t="s">
        <v>77276</v>
      </c>
      <c r="N94" s="213" t="s">
        <v>985</v>
      </c>
      <c r="O94" s="213" t="s">
        <v>986</v>
      </c>
      <c r="P94" s="213" t="s">
        <v>987</v>
      </c>
      <c r="Q94" s="213" t="s">
        <v>988</v>
      </c>
      <c r="R94" s="213" t="s">
        <v>989</v>
      </c>
      <c r="S94" s="213" t="s">
        <v>990</v>
      </c>
      <c r="T94" s="213" t="s">
        <v>991</v>
      </c>
      <c r="U94" s="213" t="s">
        <v>77330</v>
      </c>
    </row>
    <row r="95" spans="1:21" x14ac:dyDescent="0.25">
      <c r="A95" s="213" t="s">
        <v>327</v>
      </c>
      <c r="D95" s="213" t="s">
        <v>992</v>
      </c>
      <c r="E95" s="213" t="s">
        <v>993</v>
      </c>
      <c r="K95" s="213" t="s">
        <v>77169</v>
      </c>
      <c r="L95" s="213" t="s">
        <v>77223</v>
      </c>
      <c r="M95" s="213" t="s">
        <v>77277</v>
      </c>
      <c r="N95" s="213" t="s">
        <v>994</v>
      </c>
      <c r="O95" s="213" t="s">
        <v>995</v>
      </c>
      <c r="P95" s="213" t="s">
        <v>996</v>
      </c>
      <c r="Q95" s="213" t="s">
        <v>997</v>
      </c>
      <c r="R95" s="213" t="s">
        <v>998</v>
      </c>
      <c r="S95" s="213" t="s">
        <v>999</v>
      </c>
      <c r="T95" s="213" t="s">
        <v>1000</v>
      </c>
      <c r="U95" s="213" t="s">
        <v>77331</v>
      </c>
    </row>
    <row r="96" spans="1:21" x14ac:dyDescent="0.25">
      <c r="A96" s="213" t="s">
        <v>327</v>
      </c>
      <c r="D96" s="213" t="s">
        <v>1001</v>
      </c>
      <c r="E96" s="213" t="s">
        <v>1002</v>
      </c>
      <c r="K96" s="213" t="s">
        <v>77170</v>
      </c>
      <c r="L96" s="213" t="s">
        <v>77224</v>
      </c>
      <c r="M96" s="213" t="s">
        <v>77278</v>
      </c>
      <c r="N96" s="213" t="s">
        <v>1003</v>
      </c>
      <c r="O96" s="213" t="s">
        <v>1004</v>
      </c>
      <c r="P96" s="213" t="s">
        <v>1005</v>
      </c>
      <c r="Q96" s="213" t="s">
        <v>1006</v>
      </c>
      <c r="R96" s="213" t="s">
        <v>1007</v>
      </c>
      <c r="S96" s="213" t="s">
        <v>1008</v>
      </c>
      <c r="T96" s="213" t="s">
        <v>1009</v>
      </c>
      <c r="U96" s="213" t="s">
        <v>77332</v>
      </c>
    </row>
    <row r="97" spans="1:21" x14ac:dyDescent="0.25">
      <c r="A97" s="213" t="s">
        <v>327</v>
      </c>
      <c r="D97" s="213" t="s">
        <v>1010</v>
      </c>
      <c r="E97" s="213" t="s">
        <v>1011</v>
      </c>
      <c r="K97" s="213" t="s">
        <v>77171</v>
      </c>
      <c r="L97" s="213" t="s">
        <v>77225</v>
      </c>
      <c r="M97" s="213" t="s">
        <v>77279</v>
      </c>
      <c r="N97" s="213" t="s">
        <v>1012</v>
      </c>
      <c r="O97" s="213" t="s">
        <v>1013</v>
      </c>
      <c r="P97" s="213" t="s">
        <v>1014</v>
      </c>
      <c r="Q97" s="213" t="s">
        <v>1015</v>
      </c>
      <c r="R97" s="213" t="s">
        <v>1016</v>
      </c>
      <c r="S97" s="213" t="s">
        <v>1017</v>
      </c>
      <c r="T97" s="213" t="s">
        <v>1018</v>
      </c>
      <c r="U97" s="213" t="s">
        <v>77333</v>
      </c>
    </row>
    <row r="98" spans="1:21" x14ac:dyDescent="0.25">
      <c r="A98" s="213" t="s">
        <v>327</v>
      </c>
      <c r="D98" s="213" t="s">
        <v>1019</v>
      </c>
      <c r="E98" s="213" t="s">
        <v>1020</v>
      </c>
      <c r="K98" s="213" t="s">
        <v>77172</v>
      </c>
      <c r="L98" s="213" t="s">
        <v>77226</v>
      </c>
      <c r="M98" s="213" t="s">
        <v>77280</v>
      </c>
      <c r="N98" s="213" t="s">
        <v>1021</v>
      </c>
      <c r="O98" s="213" t="s">
        <v>1022</v>
      </c>
      <c r="P98" s="213" t="s">
        <v>1023</v>
      </c>
      <c r="Q98" s="213" t="s">
        <v>1024</v>
      </c>
      <c r="R98" s="213" t="s">
        <v>1025</v>
      </c>
      <c r="S98" s="213" t="s">
        <v>1026</v>
      </c>
      <c r="T98" s="213" t="s">
        <v>1027</v>
      </c>
      <c r="U98" s="213" t="s">
        <v>77334</v>
      </c>
    </row>
    <row r="99" spans="1:21" x14ac:dyDescent="0.25">
      <c r="A99" s="213" t="s">
        <v>327</v>
      </c>
      <c r="D99" s="213" t="s">
        <v>1028</v>
      </c>
      <c r="E99" s="213" t="s">
        <v>1029</v>
      </c>
      <c r="K99" s="213" t="s">
        <v>77173</v>
      </c>
      <c r="L99" s="213" t="s">
        <v>77227</v>
      </c>
      <c r="M99" s="213" t="s">
        <v>77281</v>
      </c>
      <c r="N99" s="213" t="s">
        <v>1030</v>
      </c>
      <c r="O99" s="213" t="s">
        <v>1031</v>
      </c>
      <c r="P99" s="213" t="s">
        <v>1032</v>
      </c>
      <c r="Q99" s="213" t="s">
        <v>1033</v>
      </c>
      <c r="R99" s="213" t="s">
        <v>1034</v>
      </c>
      <c r="S99" s="213" t="s">
        <v>1035</v>
      </c>
      <c r="T99" s="213" t="s">
        <v>1036</v>
      </c>
      <c r="U99" s="213" t="s">
        <v>77335</v>
      </c>
    </row>
    <row r="100" spans="1:21" x14ac:dyDescent="0.25">
      <c r="A100" s="213" t="s">
        <v>327</v>
      </c>
      <c r="D100" s="213" t="s">
        <v>1037</v>
      </c>
      <c r="E100" s="213" t="s">
        <v>1038</v>
      </c>
      <c r="K100" s="213" t="s">
        <v>77174</v>
      </c>
      <c r="L100" s="213" t="s">
        <v>77228</v>
      </c>
      <c r="M100" s="213" t="s">
        <v>77282</v>
      </c>
      <c r="N100" s="213" t="s">
        <v>1039</v>
      </c>
      <c r="O100" s="213" t="s">
        <v>1040</v>
      </c>
      <c r="P100" s="213" t="s">
        <v>1041</v>
      </c>
      <c r="Q100" s="213" t="s">
        <v>1042</v>
      </c>
      <c r="R100" s="213" t="s">
        <v>1043</v>
      </c>
      <c r="S100" s="213" t="s">
        <v>1044</v>
      </c>
      <c r="T100" s="213" t="s">
        <v>1045</v>
      </c>
      <c r="U100" s="213" t="s">
        <v>77336</v>
      </c>
    </row>
    <row r="101" spans="1:21" x14ac:dyDescent="0.25">
      <c r="A101" s="213" t="s">
        <v>327</v>
      </c>
      <c r="D101" s="213" t="s">
        <v>1046</v>
      </c>
      <c r="E101" s="213" t="s">
        <v>1047</v>
      </c>
      <c r="K101" s="213" t="s">
        <v>77175</v>
      </c>
      <c r="L101" s="213" t="s">
        <v>77229</v>
      </c>
      <c r="M101" s="213" t="s">
        <v>77283</v>
      </c>
      <c r="N101" s="213" t="s">
        <v>1048</v>
      </c>
      <c r="O101" s="213" t="s">
        <v>1049</v>
      </c>
      <c r="P101" s="213" t="s">
        <v>1050</v>
      </c>
      <c r="Q101" s="213" t="s">
        <v>1051</v>
      </c>
      <c r="R101" s="213" t="s">
        <v>1052</v>
      </c>
      <c r="S101" s="213" t="s">
        <v>1053</v>
      </c>
      <c r="T101" s="213" t="s">
        <v>1054</v>
      </c>
      <c r="U101" s="213" t="s">
        <v>77337</v>
      </c>
    </row>
    <row r="102" spans="1:21" x14ac:dyDescent="0.25">
      <c r="A102" s="213" t="s">
        <v>327</v>
      </c>
      <c r="D102" s="213" t="s">
        <v>1055</v>
      </c>
      <c r="E102" s="213" t="s">
        <v>1056</v>
      </c>
      <c r="K102" s="213" t="s">
        <v>77176</v>
      </c>
      <c r="L102" s="213" t="s">
        <v>77230</v>
      </c>
      <c r="M102" s="213" t="s">
        <v>77284</v>
      </c>
      <c r="N102" s="213" t="s">
        <v>1057</v>
      </c>
      <c r="O102" s="213" t="s">
        <v>1058</v>
      </c>
      <c r="P102" s="213" t="s">
        <v>1059</v>
      </c>
      <c r="Q102" s="213" t="s">
        <v>1060</v>
      </c>
      <c r="R102" s="213" t="s">
        <v>1061</v>
      </c>
      <c r="S102" s="213" t="s">
        <v>1062</v>
      </c>
      <c r="T102" s="213" t="s">
        <v>1063</v>
      </c>
      <c r="U102" s="213" t="s">
        <v>77338</v>
      </c>
    </row>
    <row r="103" spans="1:21" x14ac:dyDescent="0.25">
      <c r="A103" s="213" t="s">
        <v>327</v>
      </c>
      <c r="D103" s="213" t="s">
        <v>1064</v>
      </c>
      <c r="E103" s="213" t="s">
        <v>1065</v>
      </c>
      <c r="K103" s="213" t="s">
        <v>77177</v>
      </c>
      <c r="L103" s="213" t="s">
        <v>77231</v>
      </c>
      <c r="M103" s="213" t="s">
        <v>77285</v>
      </c>
      <c r="N103" s="213" t="s">
        <v>1066</v>
      </c>
      <c r="O103" s="213" t="s">
        <v>1067</v>
      </c>
      <c r="P103" s="213" t="s">
        <v>1068</v>
      </c>
      <c r="Q103" s="213" t="s">
        <v>1069</v>
      </c>
      <c r="R103" s="213" t="s">
        <v>1070</v>
      </c>
      <c r="S103" s="213" t="s">
        <v>1071</v>
      </c>
      <c r="T103" s="213" t="s">
        <v>1072</v>
      </c>
      <c r="U103" s="213" t="s">
        <v>77339</v>
      </c>
    </row>
    <row r="104" spans="1:21" x14ac:dyDescent="0.25">
      <c r="A104" s="213" t="s">
        <v>327</v>
      </c>
      <c r="D104" s="213" t="s">
        <v>1073</v>
      </c>
      <c r="E104" s="213" t="s">
        <v>1074</v>
      </c>
      <c r="K104" s="213" t="s">
        <v>77178</v>
      </c>
      <c r="L104" s="213" t="s">
        <v>77232</v>
      </c>
      <c r="M104" s="213" t="s">
        <v>77286</v>
      </c>
      <c r="N104" s="213" t="s">
        <v>1075</v>
      </c>
      <c r="O104" s="213" t="s">
        <v>1076</v>
      </c>
      <c r="P104" s="213" t="s">
        <v>1077</v>
      </c>
      <c r="Q104" s="213" t="s">
        <v>1078</v>
      </c>
      <c r="R104" s="213" t="s">
        <v>1079</v>
      </c>
      <c r="S104" s="213" t="s">
        <v>1080</v>
      </c>
      <c r="T104" s="213" t="s">
        <v>1081</v>
      </c>
      <c r="U104" s="213" t="s">
        <v>77340</v>
      </c>
    </row>
    <row r="105" spans="1:21" x14ac:dyDescent="0.25">
      <c r="A105" s="213" t="s">
        <v>327</v>
      </c>
      <c r="D105" s="213" t="s">
        <v>1082</v>
      </c>
      <c r="E105" s="213" t="s">
        <v>1083</v>
      </c>
      <c r="K105" s="213" t="s">
        <v>77179</v>
      </c>
      <c r="L105" s="213" t="s">
        <v>77233</v>
      </c>
      <c r="M105" s="213" t="s">
        <v>77287</v>
      </c>
      <c r="N105" s="213" t="s">
        <v>1084</v>
      </c>
      <c r="O105" s="213" t="s">
        <v>1085</v>
      </c>
      <c r="P105" s="213" t="s">
        <v>1086</v>
      </c>
      <c r="Q105" s="213" t="s">
        <v>1087</v>
      </c>
      <c r="R105" s="213" t="s">
        <v>1088</v>
      </c>
      <c r="S105" s="213" t="s">
        <v>1089</v>
      </c>
      <c r="T105" s="213" t="s">
        <v>1090</v>
      </c>
      <c r="U105" s="213" t="s">
        <v>77341</v>
      </c>
    </row>
    <row r="106" spans="1:21" x14ac:dyDescent="0.25">
      <c r="A106" s="213" t="s">
        <v>327</v>
      </c>
      <c r="D106" s="213" t="s">
        <v>1091</v>
      </c>
      <c r="E106" s="213" t="s">
        <v>1092</v>
      </c>
      <c r="K106" s="213" t="s">
        <v>77180</v>
      </c>
      <c r="L106" s="213" t="s">
        <v>77234</v>
      </c>
      <c r="M106" s="213" t="s">
        <v>77288</v>
      </c>
      <c r="N106" s="213" t="s">
        <v>1093</v>
      </c>
      <c r="O106" s="213" t="s">
        <v>1094</v>
      </c>
      <c r="P106" s="213" t="s">
        <v>1095</v>
      </c>
      <c r="Q106" s="213" t="s">
        <v>1096</v>
      </c>
      <c r="R106" s="213" t="s">
        <v>1097</v>
      </c>
      <c r="S106" s="213" t="s">
        <v>1098</v>
      </c>
      <c r="T106" s="213" t="s">
        <v>1099</v>
      </c>
      <c r="U106" s="213" t="s">
        <v>77342</v>
      </c>
    </row>
    <row r="107" spans="1:21" x14ac:dyDescent="0.25">
      <c r="A107" s="213" t="s">
        <v>327</v>
      </c>
      <c r="D107" s="213" t="s">
        <v>1100</v>
      </c>
      <c r="E107" s="213" t="s">
        <v>1101</v>
      </c>
      <c r="K107" s="213" t="s">
        <v>77181</v>
      </c>
      <c r="L107" s="213" t="s">
        <v>77235</v>
      </c>
      <c r="M107" s="213" t="s">
        <v>77289</v>
      </c>
      <c r="N107" s="213" t="s">
        <v>1102</v>
      </c>
      <c r="O107" s="213" t="s">
        <v>1103</v>
      </c>
      <c r="P107" s="213" t="s">
        <v>1104</v>
      </c>
      <c r="Q107" s="213" t="s">
        <v>1105</v>
      </c>
      <c r="R107" s="213" t="s">
        <v>1106</v>
      </c>
      <c r="S107" s="213" t="s">
        <v>1107</v>
      </c>
      <c r="T107" s="213" t="s">
        <v>1108</v>
      </c>
      <c r="U107" s="213" t="s">
        <v>77343</v>
      </c>
    </row>
    <row r="108" spans="1:21" x14ac:dyDescent="0.25">
      <c r="A108" s="213" t="s">
        <v>327</v>
      </c>
      <c r="D108" s="213" t="s">
        <v>1109</v>
      </c>
      <c r="E108" s="213" t="s">
        <v>1110</v>
      </c>
      <c r="K108" s="213" t="s">
        <v>77182</v>
      </c>
      <c r="L108" s="213" t="s">
        <v>77236</v>
      </c>
      <c r="M108" s="213" t="s">
        <v>77290</v>
      </c>
      <c r="N108" s="213" t="s">
        <v>1111</v>
      </c>
      <c r="O108" s="213" t="s">
        <v>1112</v>
      </c>
      <c r="P108" s="213" t="s">
        <v>1113</v>
      </c>
      <c r="Q108" s="213" t="s">
        <v>1114</v>
      </c>
      <c r="R108" s="213" t="s">
        <v>1115</v>
      </c>
      <c r="S108" s="213" t="s">
        <v>1116</v>
      </c>
      <c r="T108" s="213" t="s">
        <v>1117</v>
      </c>
      <c r="U108" s="213" t="s">
        <v>77344</v>
      </c>
    </row>
    <row r="109" spans="1:21" x14ac:dyDescent="0.25">
      <c r="A109" s="213" t="s">
        <v>327</v>
      </c>
      <c r="D109" s="213" t="s">
        <v>1118</v>
      </c>
      <c r="E109" s="213" t="s">
        <v>1119</v>
      </c>
      <c r="K109" s="213" t="s">
        <v>77183</v>
      </c>
      <c r="L109" s="213" t="s">
        <v>77237</v>
      </c>
      <c r="M109" s="213" t="s">
        <v>77291</v>
      </c>
      <c r="N109" s="213" t="s">
        <v>1120</v>
      </c>
      <c r="O109" s="213" t="s">
        <v>1121</v>
      </c>
      <c r="P109" s="213" t="s">
        <v>1122</v>
      </c>
      <c r="Q109" s="213" t="s">
        <v>1123</v>
      </c>
      <c r="R109" s="213" t="s">
        <v>1124</v>
      </c>
      <c r="S109" s="213" t="s">
        <v>1125</v>
      </c>
      <c r="T109" s="213" t="s">
        <v>1126</v>
      </c>
      <c r="U109" s="213" t="s">
        <v>77345</v>
      </c>
    </row>
    <row r="110" spans="1:21" x14ac:dyDescent="0.25">
      <c r="A110" s="213" t="s">
        <v>327</v>
      </c>
      <c r="D110" s="213" t="s">
        <v>1127</v>
      </c>
      <c r="E110" s="213" t="s">
        <v>1128</v>
      </c>
      <c r="K110" s="213" t="s">
        <v>77184</v>
      </c>
      <c r="L110" s="213" t="s">
        <v>77238</v>
      </c>
      <c r="M110" s="213" t="s">
        <v>77292</v>
      </c>
      <c r="N110" s="213" t="s">
        <v>1129</v>
      </c>
      <c r="O110" s="213" t="s">
        <v>1130</v>
      </c>
      <c r="P110" s="213" t="s">
        <v>1131</v>
      </c>
      <c r="Q110" s="213" t="s">
        <v>1132</v>
      </c>
      <c r="R110" s="213" t="s">
        <v>1133</v>
      </c>
      <c r="S110" s="213" t="s">
        <v>1134</v>
      </c>
      <c r="T110" s="213" t="s">
        <v>1135</v>
      </c>
      <c r="U110" s="213" t="s">
        <v>77346</v>
      </c>
    </row>
    <row r="111" spans="1:21" x14ac:dyDescent="0.25">
      <c r="A111" s="213" t="s">
        <v>327</v>
      </c>
      <c r="D111" s="213" t="s">
        <v>1136</v>
      </c>
      <c r="E111" s="213" t="s">
        <v>1137</v>
      </c>
      <c r="K111" s="213" t="s">
        <v>77185</v>
      </c>
      <c r="L111" s="213" t="s">
        <v>77239</v>
      </c>
      <c r="M111" s="213" t="s">
        <v>77293</v>
      </c>
      <c r="N111" s="213" t="s">
        <v>1138</v>
      </c>
      <c r="O111" s="213" t="s">
        <v>1139</v>
      </c>
      <c r="P111" s="213" t="s">
        <v>1140</v>
      </c>
      <c r="Q111" s="213" t="s">
        <v>1141</v>
      </c>
      <c r="R111" s="213" t="s">
        <v>1142</v>
      </c>
      <c r="S111" s="213" t="s">
        <v>1143</v>
      </c>
      <c r="T111" s="213" t="s">
        <v>1144</v>
      </c>
      <c r="U111" s="213" t="s">
        <v>77347</v>
      </c>
    </row>
    <row r="112" spans="1:21" x14ac:dyDescent="0.25">
      <c r="A112" s="213" t="s">
        <v>327</v>
      </c>
      <c r="D112" s="213" t="s">
        <v>1145</v>
      </c>
      <c r="E112" s="213" t="s">
        <v>1146</v>
      </c>
      <c r="K112" s="213" t="s">
        <v>77186</v>
      </c>
      <c r="L112" s="213" t="s">
        <v>77240</v>
      </c>
      <c r="M112" s="213" t="s">
        <v>77294</v>
      </c>
      <c r="N112" s="213" t="s">
        <v>1147</v>
      </c>
      <c r="O112" s="213" t="s">
        <v>1148</v>
      </c>
      <c r="P112" s="213" t="s">
        <v>1149</v>
      </c>
      <c r="Q112" s="213" t="s">
        <v>1150</v>
      </c>
      <c r="R112" s="213" t="s">
        <v>1151</v>
      </c>
      <c r="S112" s="213" t="s">
        <v>1152</v>
      </c>
      <c r="T112" s="213" t="s">
        <v>1153</v>
      </c>
      <c r="U112" s="213" t="s">
        <v>77348</v>
      </c>
    </row>
    <row r="113" spans="1:21" x14ac:dyDescent="0.25">
      <c r="A113" s="213" t="s">
        <v>327</v>
      </c>
      <c r="D113" s="213" t="s">
        <v>1154</v>
      </c>
      <c r="E113" s="213" t="s">
        <v>1155</v>
      </c>
      <c r="K113" s="213" t="s">
        <v>77187</v>
      </c>
      <c r="L113" s="213" t="s">
        <v>77241</v>
      </c>
      <c r="M113" s="213" t="s">
        <v>77295</v>
      </c>
      <c r="N113" s="213" t="s">
        <v>1156</v>
      </c>
      <c r="O113" s="213" t="s">
        <v>1157</v>
      </c>
      <c r="P113" s="213" t="s">
        <v>1158</v>
      </c>
      <c r="Q113" s="213" t="s">
        <v>1159</v>
      </c>
      <c r="R113" s="213" t="s">
        <v>1160</v>
      </c>
      <c r="S113" s="213" t="s">
        <v>1161</v>
      </c>
      <c r="T113" s="213" t="s">
        <v>1162</v>
      </c>
      <c r="U113" s="213" t="s">
        <v>77349</v>
      </c>
    </row>
    <row r="114" spans="1:21" x14ac:dyDescent="0.25">
      <c r="A114" s="213" t="s">
        <v>327</v>
      </c>
      <c r="D114" s="213" t="s">
        <v>1163</v>
      </c>
      <c r="E114" s="213" t="s">
        <v>1164</v>
      </c>
      <c r="K114" s="213" t="s">
        <v>77188</v>
      </c>
      <c r="L114" s="213" t="s">
        <v>77242</v>
      </c>
      <c r="M114" s="213" t="s">
        <v>77296</v>
      </c>
      <c r="N114" s="213" t="s">
        <v>1165</v>
      </c>
      <c r="O114" s="213" t="s">
        <v>1166</v>
      </c>
      <c r="P114" s="213" t="s">
        <v>1167</v>
      </c>
      <c r="Q114" s="213" t="s">
        <v>1168</v>
      </c>
      <c r="R114" s="213" t="s">
        <v>1169</v>
      </c>
      <c r="S114" s="213" t="s">
        <v>1170</v>
      </c>
      <c r="T114" s="213" t="s">
        <v>1171</v>
      </c>
      <c r="U114" s="213" t="s">
        <v>77350</v>
      </c>
    </row>
    <row r="115" spans="1:21" x14ac:dyDescent="0.25">
      <c r="A115" s="213" t="s">
        <v>327</v>
      </c>
      <c r="D115" s="213" t="s">
        <v>1172</v>
      </c>
      <c r="E115" s="213" t="s">
        <v>1173</v>
      </c>
      <c r="K115" s="213" t="s">
        <v>77189</v>
      </c>
      <c r="L115" s="213" t="s">
        <v>77243</v>
      </c>
      <c r="M115" s="213" t="s">
        <v>77297</v>
      </c>
      <c r="N115" s="213" t="s">
        <v>1174</v>
      </c>
      <c r="O115" s="213" t="s">
        <v>1175</v>
      </c>
      <c r="P115" s="213" t="s">
        <v>1176</v>
      </c>
      <c r="Q115" s="213" t="s">
        <v>1177</v>
      </c>
      <c r="R115" s="213" t="s">
        <v>1178</v>
      </c>
      <c r="S115" s="213" t="s">
        <v>1179</v>
      </c>
      <c r="T115" s="213" t="s">
        <v>1180</v>
      </c>
      <c r="U115" s="213" t="s">
        <v>77351</v>
      </c>
    </row>
    <row r="116" spans="1:21" x14ac:dyDescent="0.25">
      <c r="A116" s="213" t="s">
        <v>327</v>
      </c>
      <c r="D116" s="213" t="s">
        <v>1181</v>
      </c>
      <c r="E116" s="213" t="s">
        <v>1182</v>
      </c>
      <c r="K116" s="213" t="s">
        <v>77190</v>
      </c>
      <c r="L116" s="213" t="s">
        <v>77244</v>
      </c>
      <c r="M116" s="213" t="s">
        <v>77298</v>
      </c>
      <c r="N116" s="213" t="s">
        <v>1183</v>
      </c>
      <c r="O116" s="213" t="s">
        <v>1184</v>
      </c>
      <c r="P116" s="213" t="s">
        <v>1185</v>
      </c>
      <c r="Q116" s="213" t="s">
        <v>1186</v>
      </c>
      <c r="R116" s="213" t="s">
        <v>1187</v>
      </c>
      <c r="S116" s="213" t="s">
        <v>1188</v>
      </c>
      <c r="T116" s="213" t="s">
        <v>1189</v>
      </c>
      <c r="U116" s="213" t="s">
        <v>77352</v>
      </c>
    </row>
    <row r="117" spans="1:21" x14ac:dyDescent="0.25">
      <c r="A117" s="213" t="s">
        <v>327</v>
      </c>
      <c r="D117" s="213" t="s">
        <v>1190</v>
      </c>
      <c r="E117" s="213" t="s">
        <v>1191</v>
      </c>
      <c r="K117" s="213" t="s">
        <v>77191</v>
      </c>
      <c r="L117" s="213" t="s">
        <v>77245</v>
      </c>
      <c r="M117" s="213" t="s">
        <v>77299</v>
      </c>
      <c r="N117" s="213" t="s">
        <v>1192</v>
      </c>
      <c r="O117" s="213" t="s">
        <v>1193</v>
      </c>
      <c r="P117" s="213" t="s">
        <v>1194</v>
      </c>
      <c r="Q117" s="213" t="s">
        <v>1195</v>
      </c>
      <c r="R117" s="213" t="s">
        <v>1196</v>
      </c>
      <c r="S117" s="213" t="s">
        <v>1197</v>
      </c>
      <c r="T117" s="213" t="s">
        <v>1198</v>
      </c>
      <c r="U117" s="213" t="s">
        <v>77353</v>
      </c>
    </row>
    <row r="118" spans="1:21" x14ac:dyDescent="0.25">
      <c r="A118" s="213" t="s">
        <v>327</v>
      </c>
      <c r="D118" s="213" t="s">
        <v>1199</v>
      </c>
      <c r="E118" s="213" t="s">
        <v>1200</v>
      </c>
      <c r="K118" s="213" t="s">
        <v>77192</v>
      </c>
      <c r="L118" s="213" t="s">
        <v>77246</v>
      </c>
      <c r="M118" s="213" t="s">
        <v>77300</v>
      </c>
      <c r="N118" s="213" t="s">
        <v>1201</v>
      </c>
      <c r="O118" s="213" t="s">
        <v>1202</v>
      </c>
      <c r="P118" s="213" t="s">
        <v>1203</v>
      </c>
      <c r="Q118" s="213" t="s">
        <v>1204</v>
      </c>
      <c r="R118" s="213" t="s">
        <v>1205</v>
      </c>
      <c r="S118" s="213" t="s">
        <v>1206</v>
      </c>
      <c r="T118" s="213" t="s">
        <v>1207</v>
      </c>
      <c r="U118" s="213" t="s">
        <v>77354</v>
      </c>
    </row>
    <row r="119" spans="1:21" x14ac:dyDescent="0.25">
      <c r="A119" s="213" t="s">
        <v>327</v>
      </c>
      <c r="D119" s="213" t="s">
        <v>1208</v>
      </c>
      <c r="E119" s="213" t="s">
        <v>1209</v>
      </c>
      <c r="K119" s="213" t="s">
        <v>77193</v>
      </c>
      <c r="L119" s="213" t="s">
        <v>77247</v>
      </c>
      <c r="M119" s="213" t="s">
        <v>77301</v>
      </c>
      <c r="N119" s="213" t="s">
        <v>1210</v>
      </c>
      <c r="O119" s="213" t="s">
        <v>1211</v>
      </c>
      <c r="P119" s="213" t="s">
        <v>1212</v>
      </c>
      <c r="Q119" s="213" t="s">
        <v>1213</v>
      </c>
      <c r="R119" s="213" t="s">
        <v>1214</v>
      </c>
      <c r="S119" s="213" t="s">
        <v>1215</v>
      </c>
      <c r="T119" s="213" t="s">
        <v>1216</v>
      </c>
      <c r="U119" s="213" t="s">
        <v>77355</v>
      </c>
    </row>
    <row r="120" spans="1:21" x14ac:dyDescent="0.25">
      <c r="A120" s="213" t="s">
        <v>327</v>
      </c>
      <c r="D120" s="213" t="s">
        <v>1217</v>
      </c>
      <c r="E120" s="213" t="s">
        <v>1218</v>
      </c>
      <c r="K120" s="213" t="s">
        <v>77194</v>
      </c>
      <c r="L120" s="213" t="s">
        <v>77248</v>
      </c>
      <c r="M120" s="213" t="s">
        <v>77302</v>
      </c>
      <c r="N120" s="213" t="s">
        <v>1219</v>
      </c>
      <c r="O120" s="213" t="s">
        <v>1220</v>
      </c>
      <c r="P120" s="213" t="s">
        <v>1221</v>
      </c>
      <c r="Q120" s="213" t="s">
        <v>1222</v>
      </c>
      <c r="R120" s="213" t="s">
        <v>1223</v>
      </c>
      <c r="S120" s="213" t="s">
        <v>1224</v>
      </c>
      <c r="T120" s="213" t="s">
        <v>1225</v>
      </c>
      <c r="U120" s="213" t="s">
        <v>77356</v>
      </c>
    </row>
    <row r="121" spans="1:21" x14ac:dyDescent="0.25">
      <c r="A121" s="213" t="s">
        <v>327</v>
      </c>
      <c r="D121" s="213" t="s">
        <v>1226</v>
      </c>
      <c r="E121" s="213" t="s">
        <v>1227</v>
      </c>
      <c r="K121" s="213" t="s">
        <v>77195</v>
      </c>
      <c r="L121" s="213" t="s">
        <v>77249</v>
      </c>
      <c r="M121" s="213" t="s">
        <v>77303</v>
      </c>
      <c r="N121" s="213" t="s">
        <v>1228</v>
      </c>
      <c r="O121" s="213" t="s">
        <v>1229</v>
      </c>
      <c r="P121" s="213" t="s">
        <v>1230</v>
      </c>
      <c r="Q121" s="213" t="s">
        <v>1231</v>
      </c>
      <c r="R121" s="213" t="s">
        <v>1232</v>
      </c>
      <c r="S121" s="213" t="s">
        <v>1233</v>
      </c>
      <c r="T121" s="213" t="s">
        <v>1234</v>
      </c>
      <c r="U121" s="213" t="s">
        <v>77357</v>
      </c>
    </row>
    <row r="122" spans="1:21" x14ac:dyDescent="0.25">
      <c r="A122" s="213" t="s">
        <v>327</v>
      </c>
      <c r="D122" s="213" t="s">
        <v>1235</v>
      </c>
      <c r="E122" s="213" t="s">
        <v>1236</v>
      </c>
      <c r="K122" s="213" t="s">
        <v>77196</v>
      </c>
      <c r="L122" s="213" t="s">
        <v>77250</v>
      </c>
      <c r="M122" s="213" t="s">
        <v>77304</v>
      </c>
      <c r="N122" s="213" t="s">
        <v>1237</v>
      </c>
      <c r="O122" s="213" t="s">
        <v>1238</v>
      </c>
      <c r="P122" s="213" t="s">
        <v>1239</v>
      </c>
      <c r="Q122" s="213" t="s">
        <v>1240</v>
      </c>
      <c r="R122" s="213" t="s">
        <v>1241</v>
      </c>
      <c r="S122" s="213" t="s">
        <v>1242</v>
      </c>
      <c r="T122" s="213" t="s">
        <v>1243</v>
      </c>
      <c r="U122" s="213" t="s">
        <v>77358</v>
      </c>
    </row>
    <row r="123" spans="1:21" x14ac:dyDescent="0.25">
      <c r="A123" s="213" t="s">
        <v>327</v>
      </c>
      <c r="D123" s="213" t="s">
        <v>1244</v>
      </c>
      <c r="E123" s="213" t="s">
        <v>1245</v>
      </c>
      <c r="K123" s="213" t="s">
        <v>77197</v>
      </c>
      <c r="L123" s="213" t="s">
        <v>77251</v>
      </c>
      <c r="M123" s="213" t="s">
        <v>77305</v>
      </c>
      <c r="N123" s="213" t="s">
        <v>1246</v>
      </c>
      <c r="O123" s="213" t="s">
        <v>1247</v>
      </c>
      <c r="P123" s="213" t="s">
        <v>1248</v>
      </c>
      <c r="Q123" s="213" t="s">
        <v>1249</v>
      </c>
      <c r="R123" s="213" t="s">
        <v>1250</v>
      </c>
      <c r="S123" s="213" t="s">
        <v>1251</v>
      </c>
      <c r="T123" s="213" t="s">
        <v>1252</v>
      </c>
      <c r="U123" s="213" t="s">
        <v>77359</v>
      </c>
    </row>
    <row r="124" spans="1:21" x14ac:dyDescent="0.25">
      <c r="A124" s="213" t="s">
        <v>327</v>
      </c>
      <c r="D124" s="213" t="s">
        <v>1253</v>
      </c>
      <c r="E124" s="213" t="s">
        <v>1254</v>
      </c>
      <c r="K124" s="213" t="s">
        <v>77198</v>
      </c>
      <c r="L124" s="213" t="s">
        <v>77252</v>
      </c>
      <c r="M124" s="213" t="s">
        <v>77306</v>
      </c>
      <c r="N124" s="213" t="s">
        <v>1255</v>
      </c>
      <c r="O124" s="213" t="s">
        <v>1256</v>
      </c>
      <c r="P124" s="213" t="s">
        <v>1257</v>
      </c>
      <c r="Q124" s="213" t="s">
        <v>1258</v>
      </c>
      <c r="R124" s="213" t="s">
        <v>1259</v>
      </c>
      <c r="S124" s="213" t="s">
        <v>1260</v>
      </c>
      <c r="T124" s="213" t="s">
        <v>1261</v>
      </c>
      <c r="U124" s="213" t="s">
        <v>77360</v>
      </c>
    </row>
    <row r="125" spans="1:21" x14ac:dyDescent="0.25">
      <c r="A125" s="213" t="s">
        <v>327</v>
      </c>
      <c r="D125" s="213" t="s">
        <v>1262</v>
      </c>
      <c r="E125" s="213" t="s">
        <v>1263</v>
      </c>
      <c r="K125" s="213" t="s">
        <v>77199</v>
      </c>
      <c r="L125" s="213" t="s">
        <v>77253</v>
      </c>
      <c r="M125" s="213" t="s">
        <v>77307</v>
      </c>
      <c r="N125" s="213" t="s">
        <v>1264</v>
      </c>
      <c r="O125" s="213" t="s">
        <v>1265</v>
      </c>
      <c r="P125" s="213" t="s">
        <v>1266</v>
      </c>
      <c r="Q125" s="213" t="s">
        <v>1267</v>
      </c>
      <c r="R125" s="213" t="s">
        <v>1268</v>
      </c>
      <c r="S125" s="213" t="s">
        <v>1269</v>
      </c>
      <c r="T125" s="213" t="s">
        <v>1270</v>
      </c>
      <c r="U125" s="213" t="s">
        <v>77361</v>
      </c>
    </row>
    <row r="126" spans="1:21" x14ac:dyDescent="0.25">
      <c r="A126" s="213" t="s">
        <v>327</v>
      </c>
      <c r="D126" s="213" t="s">
        <v>1271</v>
      </c>
      <c r="E126" s="213" t="s">
        <v>1272</v>
      </c>
      <c r="K126" s="213" t="s">
        <v>77200</v>
      </c>
      <c r="L126" s="213" t="s">
        <v>77254</v>
      </c>
      <c r="M126" s="213" t="s">
        <v>77308</v>
      </c>
      <c r="N126" s="213" t="s">
        <v>1273</v>
      </c>
      <c r="O126" s="213" t="s">
        <v>1274</v>
      </c>
      <c r="P126" s="213" t="s">
        <v>1275</v>
      </c>
      <c r="Q126" s="213" t="s">
        <v>1276</v>
      </c>
      <c r="R126" s="213" t="s">
        <v>1277</v>
      </c>
      <c r="S126" s="213" t="s">
        <v>1278</v>
      </c>
      <c r="T126" s="213" t="s">
        <v>1279</v>
      </c>
      <c r="U126" s="213" t="s">
        <v>77362</v>
      </c>
    </row>
    <row r="127" spans="1:21" x14ac:dyDescent="0.25">
      <c r="A127" s="213" t="s">
        <v>327</v>
      </c>
      <c r="D127" s="213" t="s">
        <v>1280</v>
      </c>
      <c r="E127" s="213" t="s">
        <v>1281</v>
      </c>
      <c r="K127" s="213" t="s">
        <v>77201</v>
      </c>
      <c r="L127" s="213" t="s">
        <v>77255</v>
      </c>
      <c r="M127" s="213" t="s">
        <v>77309</v>
      </c>
      <c r="N127" s="213" t="s">
        <v>1282</v>
      </c>
      <c r="O127" s="213" t="s">
        <v>1283</v>
      </c>
      <c r="P127" s="213" t="s">
        <v>1284</v>
      </c>
      <c r="Q127" s="213" t="s">
        <v>1285</v>
      </c>
      <c r="R127" s="213" t="s">
        <v>1286</v>
      </c>
      <c r="S127" s="213" t="s">
        <v>1287</v>
      </c>
      <c r="T127" s="213" t="s">
        <v>1288</v>
      </c>
      <c r="U127" s="213" t="s">
        <v>77363</v>
      </c>
    </row>
    <row r="128" spans="1:21" x14ac:dyDescent="0.25">
      <c r="A128" s="213" t="s">
        <v>327</v>
      </c>
      <c r="D128" s="213" t="s">
        <v>1289</v>
      </c>
      <c r="E128" s="213" t="s">
        <v>1290</v>
      </c>
      <c r="K128" s="213" t="s">
        <v>77202</v>
      </c>
      <c r="L128" s="213" t="s">
        <v>77256</v>
      </c>
      <c r="M128" s="213" t="s">
        <v>77310</v>
      </c>
      <c r="N128" s="213" t="s">
        <v>1291</v>
      </c>
      <c r="O128" s="213" t="s">
        <v>1292</v>
      </c>
      <c r="P128" s="213" t="s">
        <v>1293</v>
      </c>
      <c r="Q128" s="213" t="s">
        <v>1294</v>
      </c>
      <c r="R128" s="213" t="s">
        <v>1295</v>
      </c>
      <c r="S128" s="213" t="s">
        <v>1296</v>
      </c>
      <c r="T128" s="213" t="s">
        <v>1297</v>
      </c>
      <c r="U128" s="213" t="s">
        <v>77364</v>
      </c>
    </row>
    <row r="129" spans="1:21" x14ac:dyDescent="0.25">
      <c r="A129" s="213" t="s">
        <v>327</v>
      </c>
      <c r="D129" s="213" t="s">
        <v>1298</v>
      </c>
      <c r="E129" s="213" t="s">
        <v>1299</v>
      </c>
      <c r="K129" s="213" t="s">
        <v>77203</v>
      </c>
      <c r="L129" s="213" t="s">
        <v>77257</v>
      </c>
      <c r="M129" s="213" t="s">
        <v>77311</v>
      </c>
      <c r="N129" s="213" t="s">
        <v>1300</v>
      </c>
      <c r="O129" s="213" t="s">
        <v>1301</v>
      </c>
      <c r="P129" s="213" t="s">
        <v>1302</v>
      </c>
      <c r="Q129" s="213" t="s">
        <v>1303</v>
      </c>
      <c r="R129" s="213" t="s">
        <v>1304</v>
      </c>
      <c r="S129" s="213" t="s">
        <v>1305</v>
      </c>
      <c r="T129" s="213" t="s">
        <v>1306</v>
      </c>
      <c r="U129" s="213" t="s">
        <v>77365</v>
      </c>
    </row>
    <row r="130" spans="1:21" x14ac:dyDescent="0.25">
      <c r="A130" s="213" t="s">
        <v>327</v>
      </c>
      <c r="D130" s="213" t="s">
        <v>1307</v>
      </c>
      <c r="E130" s="213" t="s">
        <v>1308</v>
      </c>
      <c r="K130" s="213" t="s">
        <v>77204</v>
      </c>
      <c r="L130" s="213" t="s">
        <v>77258</v>
      </c>
      <c r="M130" s="213" t="s">
        <v>77312</v>
      </c>
      <c r="N130" s="213" t="s">
        <v>1309</v>
      </c>
      <c r="O130" s="213" t="s">
        <v>1310</v>
      </c>
      <c r="P130" s="213" t="s">
        <v>1311</v>
      </c>
      <c r="Q130" s="213" t="s">
        <v>1312</v>
      </c>
      <c r="R130" s="213" t="s">
        <v>1313</v>
      </c>
      <c r="S130" s="213" t="s">
        <v>1314</v>
      </c>
      <c r="T130" s="213" t="s">
        <v>1315</v>
      </c>
      <c r="U130" s="213" t="s">
        <v>77366</v>
      </c>
    </row>
    <row r="131" spans="1:21" x14ac:dyDescent="0.25">
      <c r="A131" s="213" t="s">
        <v>327</v>
      </c>
      <c r="D131" s="213" t="s">
        <v>1316</v>
      </c>
      <c r="E131" s="213" t="s">
        <v>1317</v>
      </c>
      <c r="K131" s="213" t="s">
        <v>77205</v>
      </c>
      <c r="L131" s="213" t="s">
        <v>77259</v>
      </c>
      <c r="M131" s="213" t="s">
        <v>77313</v>
      </c>
      <c r="N131" s="213" t="s">
        <v>1318</v>
      </c>
      <c r="O131" s="213" t="s">
        <v>1319</v>
      </c>
      <c r="P131" s="213" t="s">
        <v>1320</v>
      </c>
      <c r="Q131" s="213" t="s">
        <v>1321</v>
      </c>
      <c r="R131" s="213" t="s">
        <v>1322</v>
      </c>
      <c r="S131" s="213" t="s">
        <v>1323</v>
      </c>
      <c r="T131" s="213" t="s">
        <v>1324</v>
      </c>
      <c r="U131" s="213" t="s">
        <v>77367</v>
      </c>
    </row>
    <row r="132" spans="1:21" x14ac:dyDescent="0.25">
      <c r="A132" s="213" t="s">
        <v>327</v>
      </c>
      <c r="D132" s="213" t="s">
        <v>1325</v>
      </c>
      <c r="E132" s="213" t="s">
        <v>1326</v>
      </c>
      <c r="K132" s="213" t="s">
        <v>77206</v>
      </c>
      <c r="L132" s="213" t="s">
        <v>77260</v>
      </c>
      <c r="M132" s="213" t="s">
        <v>77314</v>
      </c>
      <c r="N132" s="213" t="s">
        <v>1327</v>
      </c>
      <c r="O132" s="213" t="s">
        <v>1328</v>
      </c>
      <c r="P132" s="213" t="s">
        <v>1329</v>
      </c>
      <c r="Q132" s="213" t="s">
        <v>1330</v>
      </c>
      <c r="R132" s="213" t="s">
        <v>1331</v>
      </c>
      <c r="S132" s="213" t="s">
        <v>1332</v>
      </c>
      <c r="T132" s="213" t="s">
        <v>1333</v>
      </c>
      <c r="U132" s="213" t="s">
        <v>77368</v>
      </c>
    </row>
    <row r="133" spans="1:21" x14ac:dyDescent="0.25">
      <c r="A133" s="213" t="s">
        <v>327</v>
      </c>
      <c r="D133" s="213" t="s">
        <v>1334</v>
      </c>
      <c r="E133" s="213" t="s">
        <v>1335</v>
      </c>
      <c r="K133" s="213" t="s">
        <v>77207</v>
      </c>
      <c r="L133" s="213" t="s">
        <v>77261</v>
      </c>
      <c r="M133" s="213" t="s">
        <v>77315</v>
      </c>
      <c r="N133" s="213" t="s">
        <v>1336</v>
      </c>
      <c r="O133" s="213" t="s">
        <v>1337</v>
      </c>
      <c r="P133" s="213" t="s">
        <v>1338</v>
      </c>
      <c r="Q133" s="213" t="s">
        <v>1339</v>
      </c>
      <c r="R133" s="213" t="s">
        <v>1340</v>
      </c>
      <c r="S133" s="213" t="s">
        <v>1341</v>
      </c>
      <c r="T133" s="213" t="s">
        <v>1342</v>
      </c>
      <c r="U133" s="213" t="s">
        <v>77369</v>
      </c>
    </row>
    <row r="134" spans="1:21" x14ac:dyDescent="0.25">
      <c r="A134" s="213" t="s">
        <v>327</v>
      </c>
    </row>
    <row r="135" spans="1:21" x14ac:dyDescent="0.25">
      <c r="A135" s="213" t="s">
        <v>327</v>
      </c>
    </row>
    <row r="136" spans="1:21" x14ac:dyDescent="0.25">
      <c r="A136" s="213" t="s">
        <v>327</v>
      </c>
      <c r="C136" s="213" t="s">
        <v>1343</v>
      </c>
      <c r="E136" s="213" t="s">
        <v>1344</v>
      </c>
      <c r="H136" s="213" t="s">
        <v>1345</v>
      </c>
      <c r="I136" s="213" t="s">
        <v>1346</v>
      </c>
      <c r="J136" s="213" t="s">
        <v>1347</v>
      </c>
      <c r="L136" s="213" t="s">
        <v>1348</v>
      </c>
      <c r="O136" s="213" t="s">
        <v>1349</v>
      </c>
      <c r="P136" s="213" t="s">
        <v>1350</v>
      </c>
      <c r="Q136" s="213" t="s">
        <v>1351</v>
      </c>
      <c r="R136" s="213" t="s">
        <v>1352</v>
      </c>
      <c r="S136" s="213" t="s">
        <v>1353</v>
      </c>
      <c r="T136" s="213" t="s">
        <v>1354</v>
      </c>
    </row>
    <row r="137" spans="1:21" x14ac:dyDescent="0.25">
      <c r="A137" s="213" t="s">
        <v>327</v>
      </c>
      <c r="C137" s="213" t="s">
        <v>1355</v>
      </c>
      <c r="E137" s="213" t="s">
        <v>1356</v>
      </c>
      <c r="I137" s="213" t="s">
        <v>1357</v>
      </c>
    </row>
    <row r="138" spans="1:21" x14ac:dyDescent="0.25">
      <c r="A138" s="213" t="s">
        <v>327</v>
      </c>
      <c r="C138" s="213" t="s">
        <v>1358</v>
      </c>
      <c r="E138" s="213" t="s">
        <v>1359</v>
      </c>
      <c r="I138" s="213" t="s">
        <v>1360</v>
      </c>
    </row>
    <row r="139" spans="1:21" x14ac:dyDescent="0.25">
      <c r="A139" s="213" t="s">
        <v>328</v>
      </c>
    </row>
    <row r="140" spans="1:21" x14ac:dyDescent="0.25">
      <c r="A140" s="213" t="s">
        <v>327</v>
      </c>
      <c r="D140" s="213" t="s">
        <v>1361</v>
      </c>
      <c r="E140" s="213" t="s">
        <v>1362</v>
      </c>
      <c r="K140" s="213" t="s">
        <v>77074</v>
      </c>
      <c r="L140" s="213" t="s">
        <v>77094</v>
      </c>
      <c r="M140" s="213" t="s">
        <v>77114</v>
      </c>
      <c r="N140" s="213" t="s">
        <v>1363</v>
      </c>
      <c r="O140" s="213" t="s">
        <v>1364</v>
      </c>
      <c r="P140" s="213" t="s">
        <v>1365</v>
      </c>
      <c r="Q140" s="213" t="s">
        <v>1366</v>
      </c>
      <c r="R140" s="213" t="s">
        <v>1367</v>
      </c>
      <c r="S140" s="213" t="s">
        <v>1368</v>
      </c>
      <c r="T140" s="213" t="s">
        <v>1369</v>
      </c>
      <c r="U140" s="213" t="s">
        <v>77134</v>
      </c>
    </row>
    <row r="141" spans="1:21" x14ac:dyDescent="0.25">
      <c r="A141" s="213" t="s">
        <v>327</v>
      </c>
      <c r="D141" s="213" t="s">
        <v>1370</v>
      </c>
      <c r="E141" s="213" t="s">
        <v>1371</v>
      </c>
      <c r="K141" s="213" t="s">
        <v>77075</v>
      </c>
      <c r="L141" s="213" t="s">
        <v>77095</v>
      </c>
      <c r="M141" s="213" t="s">
        <v>77115</v>
      </c>
      <c r="N141" s="213" t="s">
        <v>1372</v>
      </c>
      <c r="O141" s="213" t="s">
        <v>1373</v>
      </c>
      <c r="P141" s="213" t="s">
        <v>1374</v>
      </c>
      <c r="Q141" s="213" t="s">
        <v>1375</v>
      </c>
      <c r="R141" s="213" t="s">
        <v>1376</v>
      </c>
      <c r="S141" s="213" t="s">
        <v>1377</v>
      </c>
      <c r="T141" s="213" t="s">
        <v>1378</v>
      </c>
      <c r="U141" s="213" t="s">
        <v>77135</v>
      </c>
    </row>
    <row r="142" spans="1:21" x14ac:dyDescent="0.25">
      <c r="A142" s="213" t="s">
        <v>327</v>
      </c>
      <c r="D142" s="213" t="s">
        <v>1379</v>
      </c>
      <c r="E142" s="213" t="s">
        <v>1380</v>
      </c>
      <c r="K142" s="213" t="s">
        <v>77076</v>
      </c>
      <c r="L142" s="213" t="s">
        <v>77096</v>
      </c>
      <c r="M142" s="213" t="s">
        <v>77116</v>
      </c>
      <c r="N142" s="213" t="s">
        <v>1381</v>
      </c>
      <c r="O142" s="213" t="s">
        <v>1382</v>
      </c>
      <c r="P142" s="213" t="s">
        <v>1383</v>
      </c>
      <c r="Q142" s="213" t="s">
        <v>1384</v>
      </c>
      <c r="R142" s="213" t="s">
        <v>1385</v>
      </c>
      <c r="S142" s="213" t="s">
        <v>1386</v>
      </c>
      <c r="T142" s="213" t="s">
        <v>1387</v>
      </c>
      <c r="U142" s="213" t="s">
        <v>77136</v>
      </c>
    </row>
    <row r="143" spans="1:21" x14ac:dyDescent="0.25">
      <c r="A143" s="213" t="s">
        <v>327</v>
      </c>
      <c r="D143" s="213" t="s">
        <v>1388</v>
      </c>
      <c r="E143" s="213" t="s">
        <v>1389</v>
      </c>
      <c r="K143" s="213" t="s">
        <v>77077</v>
      </c>
      <c r="L143" s="213" t="s">
        <v>77097</v>
      </c>
      <c r="M143" s="213" t="s">
        <v>77117</v>
      </c>
      <c r="N143" s="213" t="s">
        <v>1390</v>
      </c>
      <c r="O143" s="213" t="s">
        <v>1391</v>
      </c>
      <c r="P143" s="213" t="s">
        <v>1392</v>
      </c>
      <c r="Q143" s="213" t="s">
        <v>1393</v>
      </c>
      <c r="R143" s="213" t="s">
        <v>1394</v>
      </c>
      <c r="S143" s="213" t="s">
        <v>1395</v>
      </c>
      <c r="T143" s="213" t="s">
        <v>1396</v>
      </c>
      <c r="U143" s="213" t="s">
        <v>77137</v>
      </c>
    </row>
    <row r="144" spans="1:21" x14ac:dyDescent="0.25">
      <c r="A144" s="213" t="s">
        <v>327</v>
      </c>
      <c r="D144" s="213" t="s">
        <v>1397</v>
      </c>
      <c r="E144" s="213" t="s">
        <v>1398</v>
      </c>
      <c r="K144" s="213" t="s">
        <v>77078</v>
      </c>
      <c r="L144" s="213" t="s">
        <v>77098</v>
      </c>
      <c r="M144" s="213" t="s">
        <v>77118</v>
      </c>
      <c r="N144" s="213" t="s">
        <v>1399</v>
      </c>
      <c r="O144" s="213" t="s">
        <v>1400</v>
      </c>
      <c r="P144" s="213" t="s">
        <v>1401</v>
      </c>
      <c r="Q144" s="213" t="s">
        <v>1402</v>
      </c>
      <c r="R144" s="213" t="s">
        <v>1403</v>
      </c>
      <c r="S144" s="213" t="s">
        <v>1404</v>
      </c>
      <c r="T144" s="213" t="s">
        <v>1405</v>
      </c>
      <c r="U144" s="213" t="s">
        <v>77138</v>
      </c>
    </row>
    <row r="145" spans="1:21" x14ac:dyDescent="0.25">
      <c r="A145" s="213" t="s">
        <v>327</v>
      </c>
      <c r="D145" s="213" t="s">
        <v>1406</v>
      </c>
      <c r="E145" s="213" t="s">
        <v>1407</v>
      </c>
      <c r="K145" s="213" t="s">
        <v>77079</v>
      </c>
      <c r="L145" s="213" t="s">
        <v>77099</v>
      </c>
      <c r="M145" s="213" t="s">
        <v>77119</v>
      </c>
      <c r="N145" s="213" t="s">
        <v>1408</v>
      </c>
      <c r="O145" s="213" t="s">
        <v>1409</v>
      </c>
      <c r="P145" s="213" t="s">
        <v>1410</v>
      </c>
      <c r="Q145" s="213" t="s">
        <v>1411</v>
      </c>
      <c r="R145" s="213" t="s">
        <v>1412</v>
      </c>
      <c r="S145" s="213" t="s">
        <v>1413</v>
      </c>
      <c r="T145" s="213" t="s">
        <v>1414</v>
      </c>
      <c r="U145" s="213" t="s">
        <v>77139</v>
      </c>
    </row>
    <row r="146" spans="1:21" x14ac:dyDescent="0.25">
      <c r="A146" s="213" t="s">
        <v>327</v>
      </c>
      <c r="D146" s="213" t="s">
        <v>1415</v>
      </c>
      <c r="E146" s="213" t="s">
        <v>1416</v>
      </c>
      <c r="K146" s="213" t="s">
        <v>77080</v>
      </c>
      <c r="L146" s="213" t="s">
        <v>77100</v>
      </c>
      <c r="M146" s="213" t="s">
        <v>77120</v>
      </c>
      <c r="N146" s="213" t="s">
        <v>1417</v>
      </c>
      <c r="O146" s="213" t="s">
        <v>1418</v>
      </c>
      <c r="P146" s="213" t="s">
        <v>1419</v>
      </c>
      <c r="Q146" s="213" t="s">
        <v>1420</v>
      </c>
      <c r="R146" s="213" t="s">
        <v>1421</v>
      </c>
      <c r="S146" s="213" t="s">
        <v>1422</v>
      </c>
      <c r="T146" s="213" t="s">
        <v>1423</v>
      </c>
      <c r="U146" s="213" t="s">
        <v>77140</v>
      </c>
    </row>
    <row r="147" spans="1:21" x14ac:dyDescent="0.25">
      <c r="A147" s="213" t="s">
        <v>327</v>
      </c>
      <c r="D147" s="213" t="s">
        <v>1424</v>
      </c>
      <c r="E147" s="213" t="s">
        <v>1425</v>
      </c>
      <c r="K147" s="213" t="s">
        <v>77081</v>
      </c>
      <c r="L147" s="213" t="s">
        <v>77101</v>
      </c>
      <c r="M147" s="213" t="s">
        <v>77121</v>
      </c>
      <c r="N147" s="213" t="s">
        <v>1426</v>
      </c>
      <c r="O147" s="213" t="s">
        <v>1427</v>
      </c>
      <c r="P147" s="213" t="s">
        <v>1428</v>
      </c>
      <c r="Q147" s="213" t="s">
        <v>1429</v>
      </c>
      <c r="R147" s="213" t="s">
        <v>1430</v>
      </c>
      <c r="S147" s="213" t="s">
        <v>1431</v>
      </c>
      <c r="T147" s="213" t="s">
        <v>1432</v>
      </c>
      <c r="U147" s="213" t="s">
        <v>77141</v>
      </c>
    </row>
    <row r="148" spans="1:21" x14ac:dyDescent="0.25">
      <c r="A148" s="213" t="s">
        <v>327</v>
      </c>
      <c r="D148" s="213" t="s">
        <v>1433</v>
      </c>
      <c r="E148" s="213" t="s">
        <v>1434</v>
      </c>
      <c r="K148" s="213" t="s">
        <v>77082</v>
      </c>
      <c r="L148" s="213" t="s">
        <v>77102</v>
      </c>
      <c r="M148" s="213" t="s">
        <v>77122</v>
      </c>
      <c r="N148" s="213" t="s">
        <v>1435</v>
      </c>
      <c r="O148" s="213" t="s">
        <v>1436</v>
      </c>
      <c r="P148" s="213" t="s">
        <v>1437</v>
      </c>
      <c r="Q148" s="213" t="s">
        <v>1438</v>
      </c>
      <c r="R148" s="213" t="s">
        <v>1439</v>
      </c>
      <c r="S148" s="213" t="s">
        <v>1440</v>
      </c>
      <c r="T148" s="213" t="s">
        <v>1441</v>
      </c>
      <c r="U148" s="213" t="s">
        <v>77142</v>
      </c>
    </row>
    <row r="149" spans="1:21" x14ac:dyDescent="0.25">
      <c r="A149" s="213" t="s">
        <v>327</v>
      </c>
      <c r="D149" s="213" t="s">
        <v>1442</v>
      </c>
      <c r="E149" s="213" t="s">
        <v>1443</v>
      </c>
      <c r="K149" s="213" t="s">
        <v>77083</v>
      </c>
      <c r="L149" s="213" t="s">
        <v>77103</v>
      </c>
      <c r="M149" s="213" t="s">
        <v>77123</v>
      </c>
      <c r="N149" s="213" t="s">
        <v>1444</v>
      </c>
      <c r="O149" s="213" t="s">
        <v>1445</v>
      </c>
      <c r="P149" s="213" t="s">
        <v>1446</v>
      </c>
      <c r="Q149" s="213" t="s">
        <v>1447</v>
      </c>
      <c r="R149" s="213" t="s">
        <v>1448</v>
      </c>
      <c r="S149" s="213" t="s">
        <v>1449</v>
      </c>
      <c r="T149" s="213" t="s">
        <v>1450</v>
      </c>
      <c r="U149" s="213" t="s">
        <v>77143</v>
      </c>
    </row>
    <row r="150" spans="1:21" x14ac:dyDescent="0.25">
      <c r="A150" s="213" t="s">
        <v>327</v>
      </c>
      <c r="D150" s="213" t="s">
        <v>1451</v>
      </c>
      <c r="E150" s="213" t="s">
        <v>1452</v>
      </c>
      <c r="K150" s="213" t="s">
        <v>77084</v>
      </c>
      <c r="L150" s="213" t="s">
        <v>77104</v>
      </c>
      <c r="M150" s="213" t="s">
        <v>77124</v>
      </c>
      <c r="N150" s="213" t="s">
        <v>1453</v>
      </c>
      <c r="O150" s="213" t="s">
        <v>1454</v>
      </c>
      <c r="P150" s="213" t="s">
        <v>1455</v>
      </c>
      <c r="Q150" s="213" t="s">
        <v>1456</v>
      </c>
      <c r="R150" s="213" t="s">
        <v>1457</v>
      </c>
      <c r="S150" s="213" t="s">
        <v>1458</v>
      </c>
      <c r="T150" s="213" t="s">
        <v>1459</v>
      </c>
      <c r="U150" s="213" t="s">
        <v>77144</v>
      </c>
    </row>
    <row r="151" spans="1:21" x14ac:dyDescent="0.25">
      <c r="A151" s="213" t="s">
        <v>327</v>
      </c>
      <c r="D151" s="213" t="s">
        <v>1460</v>
      </c>
      <c r="E151" s="213" t="s">
        <v>1461</v>
      </c>
      <c r="K151" s="213" t="s">
        <v>77085</v>
      </c>
      <c r="L151" s="213" t="s">
        <v>77105</v>
      </c>
      <c r="M151" s="213" t="s">
        <v>77125</v>
      </c>
      <c r="N151" s="213" t="s">
        <v>1462</v>
      </c>
      <c r="O151" s="213" t="s">
        <v>1463</v>
      </c>
      <c r="P151" s="213" t="s">
        <v>1464</v>
      </c>
      <c r="Q151" s="213" t="s">
        <v>1465</v>
      </c>
      <c r="R151" s="213" t="s">
        <v>1466</v>
      </c>
      <c r="S151" s="213" t="s">
        <v>1467</v>
      </c>
      <c r="T151" s="213" t="s">
        <v>1468</v>
      </c>
      <c r="U151" s="213" t="s">
        <v>77145</v>
      </c>
    </row>
    <row r="152" spans="1:21" x14ac:dyDescent="0.25">
      <c r="A152" s="213" t="s">
        <v>327</v>
      </c>
      <c r="D152" s="213" t="s">
        <v>1469</v>
      </c>
      <c r="E152" s="213" t="s">
        <v>1470</v>
      </c>
      <c r="K152" s="213" t="s">
        <v>77086</v>
      </c>
      <c r="L152" s="213" t="s">
        <v>77106</v>
      </c>
      <c r="M152" s="213" t="s">
        <v>77126</v>
      </c>
      <c r="N152" s="213" t="s">
        <v>1471</v>
      </c>
      <c r="O152" s="213" t="s">
        <v>1472</v>
      </c>
      <c r="P152" s="213" t="s">
        <v>1473</v>
      </c>
      <c r="Q152" s="213" t="s">
        <v>1474</v>
      </c>
      <c r="R152" s="213" t="s">
        <v>1475</v>
      </c>
      <c r="S152" s="213" t="s">
        <v>1476</v>
      </c>
      <c r="T152" s="213" t="s">
        <v>1477</v>
      </c>
      <c r="U152" s="213" t="s">
        <v>77146</v>
      </c>
    </row>
    <row r="153" spans="1:21" x14ac:dyDescent="0.25">
      <c r="A153" s="213" t="s">
        <v>327</v>
      </c>
      <c r="D153" s="213" t="s">
        <v>1478</v>
      </c>
      <c r="E153" s="213" t="s">
        <v>1479</v>
      </c>
      <c r="K153" s="213" t="s">
        <v>77087</v>
      </c>
      <c r="L153" s="213" t="s">
        <v>77107</v>
      </c>
      <c r="M153" s="213" t="s">
        <v>77127</v>
      </c>
      <c r="N153" s="213" t="s">
        <v>1480</v>
      </c>
      <c r="O153" s="213" t="s">
        <v>1481</v>
      </c>
      <c r="P153" s="213" t="s">
        <v>1482</v>
      </c>
      <c r="Q153" s="213" t="s">
        <v>1483</v>
      </c>
      <c r="R153" s="213" t="s">
        <v>1484</v>
      </c>
      <c r="S153" s="213" t="s">
        <v>1485</v>
      </c>
      <c r="T153" s="213" t="s">
        <v>1486</v>
      </c>
      <c r="U153" s="213" t="s">
        <v>77147</v>
      </c>
    </row>
    <row r="154" spans="1:21" x14ac:dyDescent="0.25">
      <c r="A154" s="213" t="s">
        <v>327</v>
      </c>
      <c r="D154" s="213" t="s">
        <v>1487</v>
      </c>
      <c r="E154" s="213" t="s">
        <v>1488</v>
      </c>
      <c r="K154" s="213" t="s">
        <v>77088</v>
      </c>
      <c r="L154" s="213" t="s">
        <v>77108</v>
      </c>
      <c r="M154" s="213" t="s">
        <v>77128</v>
      </c>
      <c r="N154" s="213" t="s">
        <v>1489</v>
      </c>
      <c r="O154" s="213" t="s">
        <v>1490</v>
      </c>
      <c r="P154" s="213" t="s">
        <v>1491</v>
      </c>
      <c r="Q154" s="213" t="s">
        <v>1492</v>
      </c>
      <c r="R154" s="213" t="s">
        <v>1493</v>
      </c>
      <c r="S154" s="213" t="s">
        <v>1494</v>
      </c>
      <c r="T154" s="213" t="s">
        <v>1495</v>
      </c>
      <c r="U154" s="213" t="s">
        <v>77148</v>
      </c>
    </row>
    <row r="155" spans="1:21" x14ac:dyDescent="0.25">
      <c r="A155" s="213" t="s">
        <v>327</v>
      </c>
      <c r="D155" s="213" t="s">
        <v>1496</v>
      </c>
      <c r="E155" s="213" t="s">
        <v>1497</v>
      </c>
      <c r="K155" s="213" t="s">
        <v>77089</v>
      </c>
      <c r="L155" s="213" t="s">
        <v>77109</v>
      </c>
      <c r="M155" s="213" t="s">
        <v>77129</v>
      </c>
      <c r="N155" s="213" t="s">
        <v>1498</v>
      </c>
      <c r="O155" s="213" t="s">
        <v>1499</v>
      </c>
      <c r="P155" s="213" t="s">
        <v>1500</v>
      </c>
      <c r="Q155" s="213" t="s">
        <v>1501</v>
      </c>
      <c r="R155" s="213" t="s">
        <v>1502</v>
      </c>
      <c r="S155" s="213" t="s">
        <v>1503</v>
      </c>
      <c r="T155" s="213" t="s">
        <v>1504</v>
      </c>
      <c r="U155" s="213" t="s">
        <v>77149</v>
      </c>
    </row>
    <row r="156" spans="1:21" x14ac:dyDescent="0.25">
      <c r="A156" s="213" t="s">
        <v>327</v>
      </c>
      <c r="D156" s="213" t="s">
        <v>1505</v>
      </c>
      <c r="E156" s="213" t="s">
        <v>1506</v>
      </c>
      <c r="K156" s="213" t="s">
        <v>77090</v>
      </c>
      <c r="L156" s="213" t="s">
        <v>77110</v>
      </c>
      <c r="M156" s="213" t="s">
        <v>77130</v>
      </c>
      <c r="N156" s="213" t="s">
        <v>1507</v>
      </c>
      <c r="O156" s="213" t="s">
        <v>1508</v>
      </c>
      <c r="P156" s="213" t="s">
        <v>1509</v>
      </c>
      <c r="Q156" s="213" t="s">
        <v>1510</v>
      </c>
      <c r="R156" s="213" t="s">
        <v>1511</v>
      </c>
      <c r="S156" s="213" t="s">
        <v>1512</v>
      </c>
      <c r="T156" s="213" t="s">
        <v>1513</v>
      </c>
      <c r="U156" s="213" t="s">
        <v>77150</v>
      </c>
    </row>
    <row r="157" spans="1:21" x14ac:dyDescent="0.25">
      <c r="A157" s="213" t="s">
        <v>327</v>
      </c>
      <c r="D157" s="213" t="s">
        <v>1514</v>
      </c>
      <c r="E157" s="213" t="s">
        <v>1515</v>
      </c>
      <c r="K157" s="213" t="s">
        <v>77091</v>
      </c>
      <c r="L157" s="213" t="s">
        <v>77111</v>
      </c>
      <c r="M157" s="213" t="s">
        <v>77131</v>
      </c>
      <c r="N157" s="213" t="s">
        <v>1516</v>
      </c>
      <c r="O157" s="213" t="s">
        <v>1517</v>
      </c>
      <c r="P157" s="213" t="s">
        <v>1518</v>
      </c>
      <c r="Q157" s="213" t="s">
        <v>1519</v>
      </c>
      <c r="R157" s="213" t="s">
        <v>1520</v>
      </c>
      <c r="S157" s="213" t="s">
        <v>1521</v>
      </c>
      <c r="T157" s="213" t="s">
        <v>1522</v>
      </c>
      <c r="U157" s="213" t="s">
        <v>77151</v>
      </c>
    </row>
    <row r="158" spans="1:21" x14ac:dyDescent="0.25">
      <c r="A158" s="213" t="s">
        <v>327</v>
      </c>
      <c r="D158" s="213" t="s">
        <v>1523</v>
      </c>
      <c r="E158" s="213" t="s">
        <v>1524</v>
      </c>
      <c r="K158" s="213" t="s">
        <v>77092</v>
      </c>
      <c r="L158" s="213" t="s">
        <v>77112</v>
      </c>
      <c r="M158" s="213" t="s">
        <v>77132</v>
      </c>
      <c r="N158" s="213" t="s">
        <v>1525</v>
      </c>
      <c r="O158" s="213" t="s">
        <v>1526</v>
      </c>
      <c r="P158" s="213" t="s">
        <v>1527</v>
      </c>
      <c r="Q158" s="213" t="s">
        <v>1528</v>
      </c>
      <c r="R158" s="213" t="s">
        <v>1529</v>
      </c>
      <c r="S158" s="213" t="s">
        <v>1530</v>
      </c>
      <c r="T158" s="213" t="s">
        <v>1531</v>
      </c>
      <c r="U158" s="213" t="s">
        <v>77152</v>
      </c>
    </row>
    <row r="159" spans="1:21" x14ac:dyDescent="0.25">
      <c r="A159" s="213" t="s">
        <v>327</v>
      </c>
      <c r="D159" s="213" t="s">
        <v>1532</v>
      </c>
      <c r="E159" s="213" t="s">
        <v>1533</v>
      </c>
      <c r="K159" s="213" t="s">
        <v>77093</v>
      </c>
      <c r="L159" s="213" t="s">
        <v>77113</v>
      </c>
      <c r="M159" s="213" t="s">
        <v>77133</v>
      </c>
      <c r="N159" s="213" t="s">
        <v>1534</v>
      </c>
      <c r="O159" s="213" t="s">
        <v>1535</v>
      </c>
      <c r="P159" s="213" t="s">
        <v>1536</v>
      </c>
      <c r="Q159" s="213" t="s">
        <v>1537</v>
      </c>
      <c r="R159" s="213" t="s">
        <v>1538</v>
      </c>
      <c r="S159" s="213" t="s">
        <v>1539</v>
      </c>
      <c r="T159" s="213" t="s">
        <v>1540</v>
      </c>
      <c r="U159" s="213" t="s">
        <v>77153</v>
      </c>
    </row>
    <row r="160" spans="1:21" x14ac:dyDescent="0.25">
      <c r="A160" s="213" t="s">
        <v>327</v>
      </c>
    </row>
    <row r="161" spans="1:21" x14ac:dyDescent="0.25">
      <c r="A161" s="213" t="s">
        <v>327</v>
      </c>
    </row>
    <row r="162" spans="1:21" x14ac:dyDescent="0.25">
      <c r="A162" s="213" t="s">
        <v>327</v>
      </c>
      <c r="C162" s="213" t="s">
        <v>1541</v>
      </c>
      <c r="E162" s="213" t="s">
        <v>1542</v>
      </c>
      <c r="H162" s="213" t="s">
        <v>1543</v>
      </c>
      <c r="I162" s="213" t="s">
        <v>1544</v>
      </c>
      <c r="J162" s="213" t="s">
        <v>1545</v>
      </c>
      <c r="L162" s="213" t="s">
        <v>1546</v>
      </c>
      <c r="O162" s="213" t="s">
        <v>1547</v>
      </c>
      <c r="P162" s="213" t="s">
        <v>1548</v>
      </c>
      <c r="Q162" s="213" t="s">
        <v>1549</v>
      </c>
      <c r="R162" s="213" t="s">
        <v>1550</v>
      </c>
      <c r="S162" s="213" t="s">
        <v>1551</v>
      </c>
      <c r="T162" s="213" t="s">
        <v>1552</v>
      </c>
    </row>
    <row r="163" spans="1:21" x14ac:dyDescent="0.25">
      <c r="A163" s="213" t="s">
        <v>327</v>
      </c>
      <c r="C163" s="213" t="s">
        <v>1553</v>
      </c>
      <c r="E163" s="213" t="s">
        <v>1554</v>
      </c>
      <c r="I163" s="213" t="s">
        <v>1555</v>
      </c>
    </row>
    <row r="164" spans="1:21" x14ac:dyDescent="0.25">
      <c r="A164" s="213" t="s">
        <v>327</v>
      </c>
      <c r="C164" s="213" t="s">
        <v>1556</v>
      </c>
      <c r="E164" s="213" t="s">
        <v>1557</v>
      </c>
      <c r="I164" s="213" t="s">
        <v>1558</v>
      </c>
    </row>
    <row r="165" spans="1:21" x14ac:dyDescent="0.25">
      <c r="A165" s="213" t="s">
        <v>328</v>
      </c>
    </row>
    <row r="166" spans="1:21" x14ac:dyDescent="0.25">
      <c r="A166" s="213" t="s">
        <v>327</v>
      </c>
      <c r="D166" s="213" t="s">
        <v>1559</v>
      </c>
      <c r="E166" s="213" t="s">
        <v>1560</v>
      </c>
      <c r="K166" s="213" t="s">
        <v>76998</v>
      </c>
      <c r="L166" s="213" t="s">
        <v>77017</v>
      </c>
      <c r="M166" s="213" t="s">
        <v>77036</v>
      </c>
      <c r="N166" s="213" t="s">
        <v>1561</v>
      </c>
      <c r="O166" s="213" t="s">
        <v>1562</v>
      </c>
      <c r="P166" s="213" t="s">
        <v>1563</v>
      </c>
      <c r="Q166" s="213" t="s">
        <v>1564</v>
      </c>
      <c r="R166" s="213" t="s">
        <v>1565</v>
      </c>
      <c r="S166" s="213" t="s">
        <v>1566</v>
      </c>
      <c r="T166" s="213" t="s">
        <v>1567</v>
      </c>
      <c r="U166" s="213" t="s">
        <v>77055</v>
      </c>
    </row>
    <row r="167" spans="1:21" x14ac:dyDescent="0.25">
      <c r="A167" s="213" t="s">
        <v>327</v>
      </c>
      <c r="D167" s="213" t="s">
        <v>1568</v>
      </c>
      <c r="E167" s="213" t="s">
        <v>1569</v>
      </c>
      <c r="K167" s="213" t="s">
        <v>76999</v>
      </c>
      <c r="L167" s="213" t="s">
        <v>77018</v>
      </c>
      <c r="M167" s="213" t="s">
        <v>77037</v>
      </c>
      <c r="N167" s="213" t="s">
        <v>1570</v>
      </c>
      <c r="O167" s="213" t="s">
        <v>1571</v>
      </c>
      <c r="P167" s="213" t="s">
        <v>1572</v>
      </c>
      <c r="Q167" s="213" t="s">
        <v>1573</v>
      </c>
      <c r="R167" s="213" t="s">
        <v>1574</v>
      </c>
      <c r="S167" s="213" t="s">
        <v>1575</v>
      </c>
      <c r="T167" s="213" t="s">
        <v>1576</v>
      </c>
      <c r="U167" s="213" t="s">
        <v>77056</v>
      </c>
    </row>
    <row r="168" spans="1:21" x14ac:dyDescent="0.25">
      <c r="A168" s="213" t="s">
        <v>327</v>
      </c>
      <c r="D168" s="213" t="s">
        <v>1577</v>
      </c>
      <c r="E168" s="213" t="s">
        <v>1578</v>
      </c>
      <c r="K168" s="213" t="s">
        <v>77000</v>
      </c>
      <c r="L168" s="213" t="s">
        <v>77019</v>
      </c>
      <c r="M168" s="213" t="s">
        <v>77038</v>
      </c>
      <c r="N168" s="213" t="s">
        <v>1579</v>
      </c>
      <c r="O168" s="213" t="s">
        <v>1580</v>
      </c>
      <c r="P168" s="213" t="s">
        <v>1581</v>
      </c>
      <c r="Q168" s="213" t="s">
        <v>1582</v>
      </c>
      <c r="R168" s="213" t="s">
        <v>1583</v>
      </c>
      <c r="S168" s="213" t="s">
        <v>1584</v>
      </c>
      <c r="T168" s="213" t="s">
        <v>1585</v>
      </c>
      <c r="U168" s="213" t="s">
        <v>77057</v>
      </c>
    </row>
    <row r="169" spans="1:21" x14ac:dyDescent="0.25">
      <c r="A169" s="213" t="s">
        <v>327</v>
      </c>
      <c r="D169" s="213" t="s">
        <v>1586</v>
      </c>
      <c r="E169" s="213" t="s">
        <v>1587</v>
      </c>
      <c r="K169" s="213" t="s">
        <v>77001</v>
      </c>
      <c r="L169" s="213" t="s">
        <v>77020</v>
      </c>
      <c r="M169" s="213" t="s">
        <v>77039</v>
      </c>
      <c r="N169" s="213" t="s">
        <v>1588</v>
      </c>
      <c r="O169" s="213" t="s">
        <v>1589</v>
      </c>
      <c r="P169" s="213" t="s">
        <v>1590</v>
      </c>
      <c r="Q169" s="213" t="s">
        <v>1591</v>
      </c>
      <c r="R169" s="213" t="s">
        <v>1592</v>
      </c>
      <c r="S169" s="213" t="s">
        <v>1593</v>
      </c>
      <c r="T169" s="213" t="s">
        <v>1594</v>
      </c>
      <c r="U169" s="213" t="s">
        <v>77058</v>
      </c>
    </row>
    <row r="170" spans="1:21" x14ac:dyDescent="0.25">
      <c r="A170" s="213" t="s">
        <v>327</v>
      </c>
      <c r="D170" s="213" t="s">
        <v>1595</v>
      </c>
      <c r="E170" s="213" t="s">
        <v>1596</v>
      </c>
      <c r="K170" s="213" t="s">
        <v>77002</v>
      </c>
      <c r="L170" s="213" t="s">
        <v>77021</v>
      </c>
      <c r="M170" s="213" t="s">
        <v>77040</v>
      </c>
      <c r="N170" s="213" t="s">
        <v>1597</v>
      </c>
      <c r="O170" s="213" t="s">
        <v>1598</v>
      </c>
      <c r="P170" s="213" t="s">
        <v>1599</v>
      </c>
      <c r="Q170" s="213" t="s">
        <v>1600</v>
      </c>
      <c r="R170" s="213" t="s">
        <v>1601</v>
      </c>
      <c r="S170" s="213" t="s">
        <v>1602</v>
      </c>
      <c r="T170" s="213" t="s">
        <v>1603</v>
      </c>
      <c r="U170" s="213" t="s">
        <v>77059</v>
      </c>
    </row>
    <row r="171" spans="1:21" x14ac:dyDescent="0.25">
      <c r="A171" s="213" t="s">
        <v>327</v>
      </c>
      <c r="D171" s="213" t="s">
        <v>1604</v>
      </c>
      <c r="E171" s="213" t="s">
        <v>1605</v>
      </c>
      <c r="K171" s="213" t="s">
        <v>77003</v>
      </c>
      <c r="L171" s="213" t="s">
        <v>77022</v>
      </c>
      <c r="M171" s="213" t="s">
        <v>77041</v>
      </c>
      <c r="N171" s="213" t="s">
        <v>1606</v>
      </c>
      <c r="O171" s="213" t="s">
        <v>1607</v>
      </c>
      <c r="P171" s="213" t="s">
        <v>1608</v>
      </c>
      <c r="Q171" s="213" t="s">
        <v>1609</v>
      </c>
      <c r="R171" s="213" t="s">
        <v>1610</v>
      </c>
      <c r="S171" s="213" t="s">
        <v>1611</v>
      </c>
      <c r="T171" s="213" t="s">
        <v>1612</v>
      </c>
      <c r="U171" s="213" t="s">
        <v>77060</v>
      </c>
    </row>
    <row r="172" spans="1:21" x14ac:dyDescent="0.25">
      <c r="A172" s="213" t="s">
        <v>327</v>
      </c>
      <c r="D172" s="213" t="s">
        <v>1613</v>
      </c>
      <c r="E172" s="213" t="s">
        <v>1614</v>
      </c>
      <c r="K172" s="213" t="s">
        <v>77004</v>
      </c>
      <c r="L172" s="213" t="s">
        <v>77023</v>
      </c>
      <c r="M172" s="213" t="s">
        <v>77042</v>
      </c>
      <c r="N172" s="213" t="s">
        <v>1615</v>
      </c>
      <c r="O172" s="213" t="s">
        <v>1616</v>
      </c>
      <c r="P172" s="213" t="s">
        <v>1617</v>
      </c>
      <c r="Q172" s="213" t="s">
        <v>1618</v>
      </c>
      <c r="R172" s="213" t="s">
        <v>1619</v>
      </c>
      <c r="S172" s="213" t="s">
        <v>1620</v>
      </c>
      <c r="T172" s="213" t="s">
        <v>1621</v>
      </c>
      <c r="U172" s="213" t="s">
        <v>77061</v>
      </c>
    </row>
    <row r="173" spans="1:21" x14ac:dyDescent="0.25">
      <c r="A173" s="213" t="s">
        <v>327</v>
      </c>
      <c r="D173" s="213" t="s">
        <v>1622</v>
      </c>
      <c r="E173" s="213" t="s">
        <v>1623</v>
      </c>
      <c r="K173" s="213" t="s">
        <v>77005</v>
      </c>
      <c r="L173" s="213" t="s">
        <v>77024</v>
      </c>
      <c r="M173" s="213" t="s">
        <v>77043</v>
      </c>
      <c r="N173" s="213" t="s">
        <v>1624</v>
      </c>
      <c r="O173" s="213" t="s">
        <v>1625</v>
      </c>
      <c r="P173" s="213" t="s">
        <v>1626</v>
      </c>
      <c r="Q173" s="213" t="s">
        <v>1627</v>
      </c>
      <c r="R173" s="213" t="s">
        <v>1628</v>
      </c>
      <c r="S173" s="213" t="s">
        <v>1629</v>
      </c>
      <c r="T173" s="213" t="s">
        <v>1630</v>
      </c>
      <c r="U173" s="213" t="s">
        <v>77062</v>
      </c>
    </row>
    <row r="174" spans="1:21" x14ac:dyDescent="0.25">
      <c r="A174" s="213" t="s">
        <v>327</v>
      </c>
      <c r="D174" s="213" t="s">
        <v>1631</v>
      </c>
      <c r="E174" s="213" t="s">
        <v>1632</v>
      </c>
      <c r="K174" s="213" t="s">
        <v>77006</v>
      </c>
      <c r="L174" s="213" t="s">
        <v>77025</v>
      </c>
      <c r="M174" s="213" t="s">
        <v>77044</v>
      </c>
      <c r="N174" s="213" t="s">
        <v>1633</v>
      </c>
      <c r="O174" s="213" t="s">
        <v>1634</v>
      </c>
      <c r="P174" s="213" t="s">
        <v>1635</v>
      </c>
      <c r="Q174" s="213" t="s">
        <v>1636</v>
      </c>
      <c r="R174" s="213" t="s">
        <v>1637</v>
      </c>
      <c r="S174" s="213" t="s">
        <v>1638</v>
      </c>
      <c r="T174" s="213" t="s">
        <v>1639</v>
      </c>
      <c r="U174" s="213" t="s">
        <v>77063</v>
      </c>
    </row>
    <row r="175" spans="1:21" x14ac:dyDescent="0.25">
      <c r="A175" s="213" t="s">
        <v>327</v>
      </c>
      <c r="D175" s="213" t="s">
        <v>1640</v>
      </c>
      <c r="E175" s="213" t="s">
        <v>1641</v>
      </c>
      <c r="K175" s="213" t="s">
        <v>77007</v>
      </c>
      <c r="L175" s="213" t="s">
        <v>77026</v>
      </c>
      <c r="M175" s="213" t="s">
        <v>77045</v>
      </c>
      <c r="N175" s="213" t="s">
        <v>1642</v>
      </c>
      <c r="O175" s="213" t="s">
        <v>1643</v>
      </c>
      <c r="P175" s="213" t="s">
        <v>1644</v>
      </c>
      <c r="Q175" s="213" t="s">
        <v>1645</v>
      </c>
      <c r="R175" s="213" t="s">
        <v>1646</v>
      </c>
      <c r="S175" s="213" t="s">
        <v>1647</v>
      </c>
      <c r="T175" s="213" t="s">
        <v>1648</v>
      </c>
      <c r="U175" s="213" t="s">
        <v>77064</v>
      </c>
    </row>
    <row r="176" spans="1:21" x14ac:dyDescent="0.25">
      <c r="A176" s="213" t="s">
        <v>327</v>
      </c>
      <c r="D176" s="213" t="s">
        <v>1649</v>
      </c>
      <c r="E176" s="213" t="s">
        <v>1650</v>
      </c>
      <c r="K176" s="213" t="s">
        <v>77008</v>
      </c>
      <c r="L176" s="213" t="s">
        <v>77027</v>
      </c>
      <c r="M176" s="213" t="s">
        <v>77046</v>
      </c>
      <c r="N176" s="213" t="s">
        <v>1651</v>
      </c>
      <c r="O176" s="213" t="s">
        <v>1652</v>
      </c>
      <c r="P176" s="213" t="s">
        <v>1653</v>
      </c>
      <c r="Q176" s="213" t="s">
        <v>1654</v>
      </c>
      <c r="R176" s="213" t="s">
        <v>1655</v>
      </c>
      <c r="S176" s="213" t="s">
        <v>1656</v>
      </c>
      <c r="T176" s="213" t="s">
        <v>1657</v>
      </c>
      <c r="U176" s="213" t="s">
        <v>77065</v>
      </c>
    </row>
    <row r="177" spans="1:21" x14ac:dyDescent="0.25">
      <c r="A177" s="213" t="s">
        <v>327</v>
      </c>
      <c r="D177" s="213" t="s">
        <v>1658</v>
      </c>
      <c r="E177" s="213" t="s">
        <v>1659</v>
      </c>
      <c r="K177" s="213" t="s">
        <v>77009</v>
      </c>
      <c r="L177" s="213" t="s">
        <v>77028</v>
      </c>
      <c r="M177" s="213" t="s">
        <v>77047</v>
      </c>
      <c r="N177" s="213" t="s">
        <v>1660</v>
      </c>
      <c r="O177" s="213" t="s">
        <v>1661</v>
      </c>
      <c r="P177" s="213" t="s">
        <v>1662</v>
      </c>
      <c r="Q177" s="213" t="s">
        <v>1663</v>
      </c>
      <c r="R177" s="213" t="s">
        <v>1664</v>
      </c>
      <c r="S177" s="213" t="s">
        <v>1665</v>
      </c>
      <c r="T177" s="213" t="s">
        <v>1666</v>
      </c>
      <c r="U177" s="213" t="s">
        <v>77066</v>
      </c>
    </row>
    <row r="178" spans="1:21" x14ac:dyDescent="0.25">
      <c r="A178" s="213" t="s">
        <v>327</v>
      </c>
      <c r="D178" s="213" t="s">
        <v>341</v>
      </c>
      <c r="E178" s="213" t="s">
        <v>1667</v>
      </c>
      <c r="K178" s="213" t="s">
        <v>77010</v>
      </c>
      <c r="L178" s="213" t="s">
        <v>77029</v>
      </c>
      <c r="M178" s="213" t="s">
        <v>77048</v>
      </c>
      <c r="N178" s="213" t="s">
        <v>1668</v>
      </c>
      <c r="O178" s="213" t="s">
        <v>1669</v>
      </c>
      <c r="P178" s="213" t="s">
        <v>1670</v>
      </c>
      <c r="Q178" s="213" t="s">
        <v>1671</v>
      </c>
      <c r="R178" s="213" t="s">
        <v>1672</v>
      </c>
      <c r="S178" s="213" t="s">
        <v>1673</v>
      </c>
      <c r="T178" s="213" t="s">
        <v>1674</v>
      </c>
      <c r="U178" s="213" t="s">
        <v>77067</v>
      </c>
    </row>
    <row r="179" spans="1:21" x14ac:dyDescent="0.25">
      <c r="A179" s="213" t="s">
        <v>327</v>
      </c>
      <c r="D179" s="213" t="s">
        <v>1675</v>
      </c>
      <c r="E179" s="213" t="s">
        <v>1676</v>
      </c>
      <c r="K179" s="213" t="s">
        <v>77011</v>
      </c>
      <c r="L179" s="213" t="s">
        <v>77030</v>
      </c>
      <c r="M179" s="213" t="s">
        <v>77049</v>
      </c>
      <c r="N179" s="213" t="s">
        <v>1677</v>
      </c>
      <c r="O179" s="213" t="s">
        <v>1678</v>
      </c>
      <c r="P179" s="213" t="s">
        <v>1679</v>
      </c>
      <c r="Q179" s="213" t="s">
        <v>1680</v>
      </c>
      <c r="R179" s="213" t="s">
        <v>1681</v>
      </c>
      <c r="S179" s="213" t="s">
        <v>1682</v>
      </c>
      <c r="T179" s="213" t="s">
        <v>1683</v>
      </c>
      <c r="U179" s="213" t="s">
        <v>77068</v>
      </c>
    </row>
    <row r="180" spans="1:21" x14ac:dyDescent="0.25">
      <c r="A180" s="213" t="s">
        <v>327</v>
      </c>
      <c r="D180" s="213" t="s">
        <v>1684</v>
      </c>
      <c r="E180" s="213" t="s">
        <v>1685</v>
      </c>
      <c r="K180" s="213" t="s">
        <v>77012</v>
      </c>
      <c r="L180" s="213" t="s">
        <v>77031</v>
      </c>
      <c r="M180" s="213" t="s">
        <v>77050</v>
      </c>
      <c r="N180" s="213" t="s">
        <v>1686</v>
      </c>
      <c r="O180" s="213" t="s">
        <v>1687</v>
      </c>
      <c r="P180" s="213" t="s">
        <v>1688</v>
      </c>
      <c r="Q180" s="213" t="s">
        <v>1689</v>
      </c>
      <c r="R180" s="213" t="s">
        <v>1690</v>
      </c>
      <c r="S180" s="213" t="s">
        <v>1691</v>
      </c>
      <c r="T180" s="213" t="s">
        <v>1692</v>
      </c>
      <c r="U180" s="213" t="s">
        <v>77069</v>
      </c>
    </row>
    <row r="181" spans="1:21" x14ac:dyDescent="0.25">
      <c r="A181" s="213" t="s">
        <v>327</v>
      </c>
      <c r="D181" s="213" t="s">
        <v>1693</v>
      </c>
      <c r="E181" s="213" t="s">
        <v>1694</v>
      </c>
      <c r="K181" s="213" t="s">
        <v>77013</v>
      </c>
      <c r="L181" s="213" t="s">
        <v>77032</v>
      </c>
      <c r="M181" s="213" t="s">
        <v>77051</v>
      </c>
      <c r="N181" s="213" t="s">
        <v>1695</v>
      </c>
      <c r="O181" s="213" t="s">
        <v>1696</v>
      </c>
      <c r="P181" s="213" t="s">
        <v>1697</v>
      </c>
      <c r="Q181" s="213" t="s">
        <v>1698</v>
      </c>
      <c r="R181" s="213" t="s">
        <v>1699</v>
      </c>
      <c r="S181" s="213" t="s">
        <v>1700</v>
      </c>
      <c r="T181" s="213" t="s">
        <v>1701</v>
      </c>
      <c r="U181" s="213" t="s">
        <v>77070</v>
      </c>
    </row>
    <row r="182" spans="1:21" x14ac:dyDescent="0.25">
      <c r="A182" s="213" t="s">
        <v>327</v>
      </c>
      <c r="D182" s="213" t="s">
        <v>1702</v>
      </c>
      <c r="E182" s="213" t="s">
        <v>1703</v>
      </c>
      <c r="K182" s="213" t="s">
        <v>77014</v>
      </c>
      <c r="L182" s="213" t="s">
        <v>77033</v>
      </c>
      <c r="M182" s="213" t="s">
        <v>77052</v>
      </c>
      <c r="N182" s="213" t="s">
        <v>1704</v>
      </c>
      <c r="O182" s="213" t="s">
        <v>1705</v>
      </c>
      <c r="P182" s="213" t="s">
        <v>1706</v>
      </c>
      <c r="Q182" s="213" t="s">
        <v>1707</v>
      </c>
      <c r="R182" s="213" t="s">
        <v>1708</v>
      </c>
      <c r="S182" s="213" t="s">
        <v>1709</v>
      </c>
      <c r="T182" s="213" t="s">
        <v>1710</v>
      </c>
      <c r="U182" s="213" t="s">
        <v>77071</v>
      </c>
    </row>
    <row r="183" spans="1:21" x14ac:dyDescent="0.25">
      <c r="A183" s="213" t="s">
        <v>327</v>
      </c>
      <c r="D183" s="213" t="s">
        <v>1711</v>
      </c>
      <c r="E183" s="213" t="s">
        <v>1712</v>
      </c>
      <c r="K183" s="213" t="s">
        <v>77015</v>
      </c>
      <c r="L183" s="213" t="s">
        <v>77034</v>
      </c>
      <c r="M183" s="213" t="s">
        <v>77053</v>
      </c>
      <c r="N183" s="213" t="s">
        <v>1713</v>
      </c>
      <c r="O183" s="213" t="s">
        <v>1714</v>
      </c>
      <c r="P183" s="213" t="s">
        <v>1715</v>
      </c>
      <c r="Q183" s="213" t="s">
        <v>1716</v>
      </c>
      <c r="R183" s="213" t="s">
        <v>1717</v>
      </c>
      <c r="S183" s="213" t="s">
        <v>1718</v>
      </c>
      <c r="T183" s="213" t="s">
        <v>1719</v>
      </c>
      <c r="U183" s="213" t="s">
        <v>77072</v>
      </c>
    </row>
    <row r="184" spans="1:21" x14ac:dyDescent="0.25">
      <c r="A184" s="213" t="s">
        <v>327</v>
      </c>
      <c r="D184" s="213" t="s">
        <v>1720</v>
      </c>
      <c r="E184" s="213" t="s">
        <v>1721</v>
      </c>
      <c r="K184" s="213" t="s">
        <v>77016</v>
      </c>
      <c r="L184" s="213" t="s">
        <v>77035</v>
      </c>
      <c r="M184" s="213" t="s">
        <v>77054</v>
      </c>
      <c r="N184" s="213" t="s">
        <v>1722</v>
      </c>
      <c r="O184" s="213" t="s">
        <v>1723</v>
      </c>
      <c r="P184" s="213" t="s">
        <v>1724</v>
      </c>
      <c r="Q184" s="213" t="s">
        <v>1725</v>
      </c>
      <c r="R184" s="213" t="s">
        <v>1726</v>
      </c>
      <c r="S184" s="213" t="s">
        <v>1727</v>
      </c>
      <c r="T184" s="213" t="s">
        <v>1728</v>
      </c>
      <c r="U184" s="213" t="s">
        <v>77073</v>
      </c>
    </row>
    <row r="185" spans="1:21" x14ac:dyDescent="0.25">
      <c r="A185" s="213" t="s">
        <v>327</v>
      </c>
    </row>
    <row r="186" spans="1:21" x14ac:dyDescent="0.25">
      <c r="A186" s="213" t="s">
        <v>327</v>
      </c>
    </row>
    <row r="187" spans="1:21" x14ac:dyDescent="0.25">
      <c r="A187" s="213" t="s">
        <v>327</v>
      </c>
      <c r="C187" s="213" t="s">
        <v>1729</v>
      </c>
      <c r="E187" s="213" t="s">
        <v>1730</v>
      </c>
      <c r="H187" s="213" t="s">
        <v>1731</v>
      </c>
      <c r="I187" s="213" t="s">
        <v>1732</v>
      </c>
      <c r="J187" s="213" t="s">
        <v>1733</v>
      </c>
      <c r="L187" s="213" t="s">
        <v>1734</v>
      </c>
      <c r="O187" s="213" t="s">
        <v>1735</v>
      </c>
      <c r="P187" s="213" t="s">
        <v>1736</v>
      </c>
      <c r="Q187" s="213" t="s">
        <v>1737</v>
      </c>
      <c r="R187" s="213" t="s">
        <v>1738</v>
      </c>
      <c r="S187" s="213" t="s">
        <v>1739</v>
      </c>
      <c r="T187" s="213" t="s">
        <v>1740</v>
      </c>
    </row>
    <row r="188" spans="1:21" x14ac:dyDescent="0.25">
      <c r="A188" s="213" t="s">
        <v>327</v>
      </c>
      <c r="C188" s="213" t="s">
        <v>1741</v>
      </c>
      <c r="E188" s="213" t="s">
        <v>1742</v>
      </c>
      <c r="I188" s="213" t="s">
        <v>1743</v>
      </c>
    </row>
    <row r="189" spans="1:21" x14ac:dyDescent="0.25">
      <c r="A189" s="213" t="s">
        <v>327</v>
      </c>
      <c r="C189" s="213" t="s">
        <v>1744</v>
      </c>
      <c r="E189" s="213" t="s">
        <v>1745</v>
      </c>
      <c r="I189" s="213" t="s">
        <v>1746</v>
      </c>
    </row>
    <row r="190" spans="1:21" x14ac:dyDescent="0.25">
      <c r="A190" s="213" t="s">
        <v>328</v>
      </c>
    </row>
    <row r="191" spans="1:21" x14ac:dyDescent="0.25">
      <c r="A191" s="213" t="s">
        <v>327</v>
      </c>
      <c r="D191" s="213" t="s">
        <v>1747</v>
      </c>
      <c r="E191" s="213" t="s">
        <v>1748</v>
      </c>
      <c r="K191" s="213" t="s">
        <v>76834</v>
      </c>
      <c r="L191" s="213" t="s">
        <v>76875</v>
      </c>
      <c r="M191" s="213" t="s">
        <v>76916</v>
      </c>
      <c r="N191" s="213" t="s">
        <v>1749</v>
      </c>
      <c r="O191" s="213" t="s">
        <v>1750</v>
      </c>
      <c r="P191" s="213" t="s">
        <v>1751</v>
      </c>
      <c r="Q191" s="213" t="s">
        <v>1752</v>
      </c>
      <c r="R191" s="213" t="s">
        <v>1753</v>
      </c>
      <c r="S191" s="213" t="s">
        <v>1754</v>
      </c>
      <c r="T191" s="213" t="s">
        <v>1755</v>
      </c>
      <c r="U191" s="213" t="s">
        <v>76957</v>
      </c>
    </row>
    <row r="192" spans="1:21" x14ac:dyDescent="0.25">
      <c r="A192" s="213" t="s">
        <v>327</v>
      </c>
      <c r="D192" s="213" t="s">
        <v>1756</v>
      </c>
      <c r="E192" s="213" t="s">
        <v>1757</v>
      </c>
      <c r="K192" s="213" t="s">
        <v>76835</v>
      </c>
      <c r="L192" s="213" t="s">
        <v>76876</v>
      </c>
      <c r="M192" s="213" t="s">
        <v>76917</v>
      </c>
      <c r="N192" s="213" t="s">
        <v>1758</v>
      </c>
      <c r="O192" s="213" t="s">
        <v>1759</v>
      </c>
      <c r="P192" s="213" t="s">
        <v>1760</v>
      </c>
      <c r="Q192" s="213" t="s">
        <v>1761</v>
      </c>
      <c r="R192" s="213" t="s">
        <v>1762</v>
      </c>
      <c r="S192" s="213" t="s">
        <v>1763</v>
      </c>
      <c r="T192" s="213" t="s">
        <v>1764</v>
      </c>
      <c r="U192" s="213" t="s">
        <v>76958</v>
      </c>
    </row>
    <row r="193" spans="1:21" x14ac:dyDescent="0.25">
      <c r="A193" s="213" t="s">
        <v>327</v>
      </c>
      <c r="D193" s="213" t="s">
        <v>1765</v>
      </c>
      <c r="E193" s="213" t="s">
        <v>1766</v>
      </c>
      <c r="K193" s="213" t="s">
        <v>76836</v>
      </c>
      <c r="L193" s="213" t="s">
        <v>76877</v>
      </c>
      <c r="M193" s="213" t="s">
        <v>76918</v>
      </c>
      <c r="N193" s="213" t="s">
        <v>1767</v>
      </c>
      <c r="O193" s="213" t="s">
        <v>1768</v>
      </c>
      <c r="P193" s="213" t="s">
        <v>1769</v>
      </c>
      <c r="Q193" s="213" t="s">
        <v>1770</v>
      </c>
      <c r="R193" s="213" t="s">
        <v>1771</v>
      </c>
      <c r="S193" s="213" t="s">
        <v>1772</v>
      </c>
      <c r="T193" s="213" t="s">
        <v>1773</v>
      </c>
      <c r="U193" s="213" t="s">
        <v>76959</v>
      </c>
    </row>
    <row r="194" spans="1:21" x14ac:dyDescent="0.25">
      <c r="A194" s="213" t="s">
        <v>327</v>
      </c>
      <c r="D194" s="213" t="s">
        <v>1774</v>
      </c>
      <c r="E194" s="213" t="s">
        <v>1775</v>
      </c>
      <c r="K194" s="213" t="s">
        <v>76837</v>
      </c>
      <c r="L194" s="213" t="s">
        <v>76878</v>
      </c>
      <c r="M194" s="213" t="s">
        <v>76919</v>
      </c>
      <c r="N194" s="213" t="s">
        <v>1776</v>
      </c>
      <c r="O194" s="213" t="s">
        <v>1777</v>
      </c>
      <c r="P194" s="213" t="s">
        <v>1778</v>
      </c>
      <c r="Q194" s="213" t="s">
        <v>1779</v>
      </c>
      <c r="R194" s="213" t="s">
        <v>1780</v>
      </c>
      <c r="S194" s="213" t="s">
        <v>1781</v>
      </c>
      <c r="T194" s="213" t="s">
        <v>1782</v>
      </c>
      <c r="U194" s="213" t="s">
        <v>76960</v>
      </c>
    </row>
    <row r="195" spans="1:21" x14ac:dyDescent="0.25">
      <c r="A195" s="213" t="s">
        <v>327</v>
      </c>
      <c r="D195" s="213" t="s">
        <v>1783</v>
      </c>
      <c r="E195" s="213" t="s">
        <v>1784</v>
      </c>
      <c r="K195" s="213" t="s">
        <v>76838</v>
      </c>
      <c r="L195" s="213" t="s">
        <v>76879</v>
      </c>
      <c r="M195" s="213" t="s">
        <v>76920</v>
      </c>
      <c r="N195" s="213" t="s">
        <v>1785</v>
      </c>
      <c r="O195" s="213" t="s">
        <v>1786</v>
      </c>
      <c r="P195" s="213" t="s">
        <v>1787</v>
      </c>
      <c r="Q195" s="213" t="s">
        <v>1788</v>
      </c>
      <c r="R195" s="213" t="s">
        <v>1789</v>
      </c>
      <c r="S195" s="213" t="s">
        <v>1790</v>
      </c>
      <c r="T195" s="213" t="s">
        <v>1791</v>
      </c>
      <c r="U195" s="213" t="s">
        <v>76961</v>
      </c>
    </row>
    <row r="196" spans="1:21" x14ac:dyDescent="0.25">
      <c r="A196" s="213" t="s">
        <v>327</v>
      </c>
      <c r="D196" s="213" t="s">
        <v>1792</v>
      </c>
      <c r="E196" s="213" t="s">
        <v>1793</v>
      </c>
      <c r="K196" s="213" t="s">
        <v>76839</v>
      </c>
      <c r="L196" s="213" t="s">
        <v>76880</v>
      </c>
      <c r="M196" s="213" t="s">
        <v>76921</v>
      </c>
      <c r="N196" s="213" t="s">
        <v>1794</v>
      </c>
      <c r="O196" s="213" t="s">
        <v>1795</v>
      </c>
      <c r="P196" s="213" t="s">
        <v>1796</v>
      </c>
      <c r="Q196" s="213" t="s">
        <v>1797</v>
      </c>
      <c r="R196" s="213" t="s">
        <v>1798</v>
      </c>
      <c r="S196" s="213" t="s">
        <v>1799</v>
      </c>
      <c r="T196" s="213" t="s">
        <v>1800</v>
      </c>
      <c r="U196" s="213" t="s">
        <v>76962</v>
      </c>
    </row>
    <row r="197" spans="1:21" x14ac:dyDescent="0.25">
      <c r="A197" s="213" t="s">
        <v>327</v>
      </c>
      <c r="D197" s="213" t="s">
        <v>1801</v>
      </c>
      <c r="E197" s="213" t="s">
        <v>1802</v>
      </c>
      <c r="K197" s="213" t="s">
        <v>76840</v>
      </c>
      <c r="L197" s="213" t="s">
        <v>76881</v>
      </c>
      <c r="M197" s="213" t="s">
        <v>76922</v>
      </c>
      <c r="N197" s="213" t="s">
        <v>1803</v>
      </c>
      <c r="O197" s="213" t="s">
        <v>1804</v>
      </c>
      <c r="P197" s="213" t="s">
        <v>1805</v>
      </c>
      <c r="Q197" s="213" t="s">
        <v>1806</v>
      </c>
      <c r="R197" s="213" t="s">
        <v>1807</v>
      </c>
      <c r="S197" s="213" t="s">
        <v>1808</v>
      </c>
      <c r="T197" s="213" t="s">
        <v>1809</v>
      </c>
      <c r="U197" s="213" t="s">
        <v>76963</v>
      </c>
    </row>
    <row r="198" spans="1:21" x14ac:dyDescent="0.25">
      <c r="A198" s="213" t="s">
        <v>327</v>
      </c>
      <c r="D198" s="213" t="s">
        <v>1810</v>
      </c>
      <c r="E198" s="213" t="s">
        <v>1811</v>
      </c>
      <c r="K198" s="213" t="s">
        <v>76841</v>
      </c>
      <c r="L198" s="213" t="s">
        <v>76882</v>
      </c>
      <c r="M198" s="213" t="s">
        <v>76923</v>
      </c>
      <c r="N198" s="213" t="s">
        <v>1812</v>
      </c>
      <c r="O198" s="213" t="s">
        <v>1813</v>
      </c>
      <c r="P198" s="213" t="s">
        <v>1814</v>
      </c>
      <c r="Q198" s="213" t="s">
        <v>1815</v>
      </c>
      <c r="R198" s="213" t="s">
        <v>1816</v>
      </c>
      <c r="S198" s="213" t="s">
        <v>1817</v>
      </c>
      <c r="T198" s="213" t="s">
        <v>1818</v>
      </c>
      <c r="U198" s="213" t="s">
        <v>76964</v>
      </c>
    </row>
    <row r="199" spans="1:21" x14ac:dyDescent="0.25">
      <c r="A199" s="213" t="s">
        <v>327</v>
      </c>
      <c r="D199" s="213" t="s">
        <v>1819</v>
      </c>
      <c r="E199" s="213" t="s">
        <v>1820</v>
      </c>
      <c r="K199" s="213" t="s">
        <v>76842</v>
      </c>
      <c r="L199" s="213" t="s">
        <v>76883</v>
      </c>
      <c r="M199" s="213" t="s">
        <v>76924</v>
      </c>
      <c r="N199" s="213" t="s">
        <v>1821</v>
      </c>
      <c r="O199" s="213" t="s">
        <v>1822</v>
      </c>
      <c r="P199" s="213" t="s">
        <v>1823</v>
      </c>
      <c r="Q199" s="213" t="s">
        <v>1824</v>
      </c>
      <c r="R199" s="213" t="s">
        <v>1825</v>
      </c>
      <c r="S199" s="213" t="s">
        <v>1826</v>
      </c>
      <c r="T199" s="213" t="s">
        <v>1827</v>
      </c>
      <c r="U199" s="213" t="s">
        <v>76965</v>
      </c>
    </row>
    <row r="200" spans="1:21" x14ac:dyDescent="0.25">
      <c r="A200" s="213" t="s">
        <v>327</v>
      </c>
      <c r="D200" s="213" t="s">
        <v>1828</v>
      </c>
      <c r="E200" s="213" t="s">
        <v>1829</v>
      </c>
      <c r="K200" s="213" t="s">
        <v>76843</v>
      </c>
      <c r="L200" s="213" t="s">
        <v>76884</v>
      </c>
      <c r="M200" s="213" t="s">
        <v>76925</v>
      </c>
      <c r="N200" s="213" t="s">
        <v>1830</v>
      </c>
      <c r="O200" s="213" t="s">
        <v>1831</v>
      </c>
      <c r="P200" s="213" t="s">
        <v>1832</v>
      </c>
      <c r="Q200" s="213" t="s">
        <v>1833</v>
      </c>
      <c r="R200" s="213" t="s">
        <v>1834</v>
      </c>
      <c r="S200" s="213" t="s">
        <v>1835</v>
      </c>
      <c r="T200" s="213" t="s">
        <v>1836</v>
      </c>
      <c r="U200" s="213" t="s">
        <v>76966</v>
      </c>
    </row>
    <row r="201" spans="1:21" x14ac:dyDescent="0.25">
      <c r="A201" s="213" t="s">
        <v>327</v>
      </c>
      <c r="D201" s="213" t="s">
        <v>1837</v>
      </c>
      <c r="E201" s="213" t="s">
        <v>1838</v>
      </c>
      <c r="K201" s="213" t="s">
        <v>76844</v>
      </c>
      <c r="L201" s="213" t="s">
        <v>76885</v>
      </c>
      <c r="M201" s="213" t="s">
        <v>76926</v>
      </c>
      <c r="N201" s="213" t="s">
        <v>1839</v>
      </c>
      <c r="O201" s="213" t="s">
        <v>1840</v>
      </c>
      <c r="P201" s="213" t="s">
        <v>1841</v>
      </c>
      <c r="Q201" s="213" t="s">
        <v>1842</v>
      </c>
      <c r="R201" s="213" t="s">
        <v>1843</v>
      </c>
      <c r="S201" s="213" t="s">
        <v>1844</v>
      </c>
      <c r="T201" s="213" t="s">
        <v>1845</v>
      </c>
      <c r="U201" s="213" t="s">
        <v>76967</v>
      </c>
    </row>
    <row r="202" spans="1:21" x14ac:dyDescent="0.25">
      <c r="A202" s="213" t="s">
        <v>327</v>
      </c>
      <c r="D202" s="213" t="s">
        <v>1846</v>
      </c>
      <c r="E202" s="213" t="s">
        <v>1847</v>
      </c>
      <c r="K202" s="213" t="s">
        <v>76845</v>
      </c>
      <c r="L202" s="213" t="s">
        <v>76886</v>
      </c>
      <c r="M202" s="213" t="s">
        <v>76927</v>
      </c>
      <c r="N202" s="213" t="s">
        <v>1848</v>
      </c>
      <c r="O202" s="213" t="s">
        <v>1849</v>
      </c>
      <c r="P202" s="213" t="s">
        <v>1850</v>
      </c>
      <c r="Q202" s="213" t="s">
        <v>1851</v>
      </c>
      <c r="R202" s="213" t="s">
        <v>1852</v>
      </c>
      <c r="S202" s="213" t="s">
        <v>1853</v>
      </c>
      <c r="T202" s="213" t="s">
        <v>1854</v>
      </c>
      <c r="U202" s="213" t="s">
        <v>76968</v>
      </c>
    </row>
    <row r="203" spans="1:21" x14ac:dyDescent="0.25">
      <c r="A203" s="213" t="s">
        <v>327</v>
      </c>
      <c r="D203" s="213" t="s">
        <v>1855</v>
      </c>
      <c r="E203" s="213" t="s">
        <v>1856</v>
      </c>
      <c r="K203" s="213" t="s">
        <v>76846</v>
      </c>
      <c r="L203" s="213" t="s">
        <v>76887</v>
      </c>
      <c r="M203" s="213" t="s">
        <v>76928</v>
      </c>
      <c r="N203" s="213" t="s">
        <v>1857</v>
      </c>
      <c r="O203" s="213" t="s">
        <v>1858</v>
      </c>
      <c r="P203" s="213" t="s">
        <v>1859</v>
      </c>
      <c r="Q203" s="213" t="s">
        <v>1860</v>
      </c>
      <c r="R203" s="213" t="s">
        <v>1861</v>
      </c>
      <c r="S203" s="213" t="s">
        <v>1862</v>
      </c>
      <c r="T203" s="213" t="s">
        <v>1863</v>
      </c>
      <c r="U203" s="213" t="s">
        <v>76969</v>
      </c>
    </row>
    <row r="204" spans="1:21" x14ac:dyDescent="0.25">
      <c r="A204" s="213" t="s">
        <v>327</v>
      </c>
      <c r="D204" s="213" t="s">
        <v>1864</v>
      </c>
      <c r="E204" s="213" t="s">
        <v>1865</v>
      </c>
      <c r="K204" s="213" t="s">
        <v>76847</v>
      </c>
      <c r="L204" s="213" t="s">
        <v>76888</v>
      </c>
      <c r="M204" s="213" t="s">
        <v>76929</v>
      </c>
      <c r="N204" s="213" t="s">
        <v>1866</v>
      </c>
      <c r="O204" s="213" t="s">
        <v>1867</v>
      </c>
      <c r="P204" s="213" t="s">
        <v>1868</v>
      </c>
      <c r="Q204" s="213" t="s">
        <v>1869</v>
      </c>
      <c r="R204" s="213" t="s">
        <v>1870</v>
      </c>
      <c r="S204" s="213" t="s">
        <v>1871</v>
      </c>
      <c r="T204" s="213" t="s">
        <v>1872</v>
      </c>
      <c r="U204" s="213" t="s">
        <v>76970</v>
      </c>
    </row>
    <row r="205" spans="1:21" x14ac:dyDescent="0.25">
      <c r="A205" s="213" t="s">
        <v>327</v>
      </c>
      <c r="D205" s="213" t="s">
        <v>1873</v>
      </c>
      <c r="E205" s="213" t="s">
        <v>1874</v>
      </c>
      <c r="K205" s="213" t="s">
        <v>76848</v>
      </c>
      <c r="L205" s="213" t="s">
        <v>76889</v>
      </c>
      <c r="M205" s="213" t="s">
        <v>76930</v>
      </c>
      <c r="N205" s="213" t="s">
        <v>1875</v>
      </c>
      <c r="O205" s="213" t="s">
        <v>1876</v>
      </c>
      <c r="P205" s="213" t="s">
        <v>1877</v>
      </c>
      <c r="Q205" s="213" t="s">
        <v>1878</v>
      </c>
      <c r="R205" s="213" t="s">
        <v>1879</v>
      </c>
      <c r="S205" s="213" t="s">
        <v>1880</v>
      </c>
      <c r="T205" s="213" t="s">
        <v>1881</v>
      </c>
      <c r="U205" s="213" t="s">
        <v>76971</v>
      </c>
    </row>
    <row r="206" spans="1:21" x14ac:dyDescent="0.25">
      <c r="A206" s="213" t="s">
        <v>327</v>
      </c>
      <c r="D206" s="213" t="s">
        <v>1882</v>
      </c>
      <c r="E206" s="213" t="s">
        <v>1883</v>
      </c>
      <c r="K206" s="213" t="s">
        <v>76849</v>
      </c>
      <c r="L206" s="213" t="s">
        <v>76890</v>
      </c>
      <c r="M206" s="213" t="s">
        <v>76931</v>
      </c>
      <c r="N206" s="213" t="s">
        <v>1884</v>
      </c>
      <c r="O206" s="213" t="s">
        <v>1885</v>
      </c>
      <c r="P206" s="213" t="s">
        <v>1886</v>
      </c>
      <c r="Q206" s="213" t="s">
        <v>1887</v>
      </c>
      <c r="R206" s="213" t="s">
        <v>1888</v>
      </c>
      <c r="S206" s="213" t="s">
        <v>1889</v>
      </c>
      <c r="T206" s="213" t="s">
        <v>1890</v>
      </c>
      <c r="U206" s="213" t="s">
        <v>76972</v>
      </c>
    </row>
    <row r="207" spans="1:21" x14ac:dyDescent="0.25">
      <c r="A207" s="213" t="s">
        <v>327</v>
      </c>
      <c r="D207" s="213" t="s">
        <v>1891</v>
      </c>
      <c r="E207" s="213" t="s">
        <v>1892</v>
      </c>
      <c r="K207" s="213" t="s">
        <v>76850</v>
      </c>
      <c r="L207" s="213" t="s">
        <v>76891</v>
      </c>
      <c r="M207" s="213" t="s">
        <v>76932</v>
      </c>
      <c r="N207" s="213" t="s">
        <v>1893</v>
      </c>
      <c r="O207" s="213" t="s">
        <v>1894</v>
      </c>
      <c r="P207" s="213" t="s">
        <v>1895</v>
      </c>
      <c r="Q207" s="213" t="s">
        <v>1896</v>
      </c>
      <c r="R207" s="213" t="s">
        <v>1897</v>
      </c>
      <c r="S207" s="213" t="s">
        <v>1898</v>
      </c>
      <c r="T207" s="213" t="s">
        <v>1899</v>
      </c>
      <c r="U207" s="213" t="s">
        <v>76973</v>
      </c>
    </row>
    <row r="208" spans="1:21" x14ac:dyDescent="0.25">
      <c r="A208" s="213" t="s">
        <v>327</v>
      </c>
      <c r="D208" s="213" t="s">
        <v>1900</v>
      </c>
      <c r="E208" s="213" t="s">
        <v>1901</v>
      </c>
      <c r="K208" s="213" t="s">
        <v>76851</v>
      </c>
      <c r="L208" s="213" t="s">
        <v>76892</v>
      </c>
      <c r="M208" s="213" t="s">
        <v>76933</v>
      </c>
      <c r="N208" s="213" t="s">
        <v>1902</v>
      </c>
      <c r="O208" s="213" t="s">
        <v>1903</v>
      </c>
      <c r="P208" s="213" t="s">
        <v>1904</v>
      </c>
      <c r="Q208" s="213" t="s">
        <v>1905</v>
      </c>
      <c r="R208" s="213" t="s">
        <v>1906</v>
      </c>
      <c r="S208" s="213" t="s">
        <v>1907</v>
      </c>
      <c r="T208" s="213" t="s">
        <v>1908</v>
      </c>
      <c r="U208" s="213" t="s">
        <v>76974</v>
      </c>
    </row>
    <row r="209" spans="1:21" x14ac:dyDescent="0.25">
      <c r="A209" s="213" t="s">
        <v>327</v>
      </c>
      <c r="D209" s="213" t="s">
        <v>1909</v>
      </c>
      <c r="E209" s="213" t="s">
        <v>1910</v>
      </c>
      <c r="K209" s="213" t="s">
        <v>76852</v>
      </c>
      <c r="L209" s="213" t="s">
        <v>76893</v>
      </c>
      <c r="M209" s="213" t="s">
        <v>76934</v>
      </c>
      <c r="N209" s="213" t="s">
        <v>1911</v>
      </c>
      <c r="O209" s="213" t="s">
        <v>1912</v>
      </c>
      <c r="P209" s="213" t="s">
        <v>1913</v>
      </c>
      <c r="Q209" s="213" t="s">
        <v>1914</v>
      </c>
      <c r="R209" s="213" t="s">
        <v>1915</v>
      </c>
      <c r="S209" s="213" t="s">
        <v>1916</v>
      </c>
      <c r="T209" s="213" t="s">
        <v>1917</v>
      </c>
      <c r="U209" s="213" t="s">
        <v>76975</v>
      </c>
    </row>
    <row r="210" spans="1:21" x14ac:dyDescent="0.25">
      <c r="A210" s="213" t="s">
        <v>327</v>
      </c>
      <c r="D210" s="213" t="s">
        <v>1918</v>
      </c>
      <c r="E210" s="213" t="s">
        <v>1919</v>
      </c>
      <c r="K210" s="213" t="s">
        <v>76853</v>
      </c>
      <c r="L210" s="213" t="s">
        <v>76894</v>
      </c>
      <c r="M210" s="213" t="s">
        <v>76935</v>
      </c>
      <c r="N210" s="213" t="s">
        <v>1920</v>
      </c>
      <c r="O210" s="213" t="s">
        <v>1921</v>
      </c>
      <c r="P210" s="213" t="s">
        <v>1922</v>
      </c>
      <c r="Q210" s="213" t="s">
        <v>1923</v>
      </c>
      <c r="R210" s="213" t="s">
        <v>1924</v>
      </c>
      <c r="S210" s="213" t="s">
        <v>1925</v>
      </c>
      <c r="T210" s="213" t="s">
        <v>1926</v>
      </c>
      <c r="U210" s="213" t="s">
        <v>76976</v>
      </c>
    </row>
    <row r="211" spans="1:21" x14ac:dyDescent="0.25">
      <c r="A211" s="213" t="s">
        <v>327</v>
      </c>
      <c r="D211" s="213" t="s">
        <v>1927</v>
      </c>
      <c r="E211" s="213" t="s">
        <v>1928</v>
      </c>
      <c r="K211" s="213" t="s">
        <v>76854</v>
      </c>
      <c r="L211" s="213" t="s">
        <v>76895</v>
      </c>
      <c r="M211" s="213" t="s">
        <v>76936</v>
      </c>
      <c r="N211" s="213" t="s">
        <v>1929</v>
      </c>
      <c r="O211" s="213" t="s">
        <v>1930</v>
      </c>
      <c r="P211" s="213" t="s">
        <v>1931</v>
      </c>
      <c r="Q211" s="213" t="s">
        <v>1932</v>
      </c>
      <c r="R211" s="213" t="s">
        <v>1933</v>
      </c>
      <c r="S211" s="213" t="s">
        <v>1934</v>
      </c>
      <c r="T211" s="213" t="s">
        <v>1935</v>
      </c>
      <c r="U211" s="213" t="s">
        <v>76977</v>
      </c>
    </row>
    <row r="212" spans="1:21" x14ac:dyDescent="0.25">
      <c r="A212" s="213" t="s">
        <v>327</v>
      </c>
      <c r="D212" s="213" t="s">
        <v>1936</v>
      </c>
      <c r="E212" s="213" t="s">
        <v>1937</v>
      </c>
      <c r="K212" s="213" t="s">
        <v>76855</v>
      </c>
      <c r="L212" s="213" t="s">
        <v>76896</v>
      </c>
      <c r="M212" s="213" t="s">
        <v>76937</v>
      </c>
      <c r="N212" s="213" t="s">
        <v>1938</v>
      </c>
      <c r="O212" s="213" t="s">
        <v>1939</v>
      </c>
      <c r="P212" s="213" t="s">
        <v>1940</v>
      </c>
      <c r="Q212" s="213" t="s">
        <v>1941</v>
      </c>
      <c r="R212" s="213" t="s">
        <v>1942</v>
      </c>
      <c r="S212" s="213" t="s">
        <v>1943</v>
      </c>
      <c r="T212" s="213" t="s">
        <v>1944</v>
      </c>
      <c r="U212" s="213" t="s">
        <v>76978</v>
      </c>
    </row>
    <row r="213" spans="1:21" x14ac:dyDescent="0.25">
      <c r="A213" s="213" t="s">
        <v>327</v>
      </c>
      <c r="D213" s="213" t="s">
        <v>1945</v>
      </c>
      <c r="E213" s="213" t="s">
        <v>1946</v>
      </c>
      <c r="K213" s="213" t="s">
        <v>76856</v>
      </c>
      <c r="L213" s="213" t="s">
        <v>76897</v>
      </c>
      <c r="M213" s="213" t="s">
        <v>76938</v>
      </c>
      <c r="N213" s="213" t="s">
        <v>1947</v>
      </c>
      <c r="O213" s="213" t="s">
        <v>1948</v>
      </c>
      <c r="P213" s="213" t="s">
        <v>1949</v>
      </c>
      <c r="Q213" s="213" t="s">
        <v>1950</v>
      </c>
      <c r="R213" s="213" t="s">
        <v>1951</v>
      </c>
      <c r="S213" s="213" t="s">
        <v>1952</v>
      </c>
      <c r="T213" s="213" t="s">
        <v>1953</v>
      </c>
      <c r="U213" s="213" t="s">
        <v>76979</v>
      </c>
    </row>
    <row r="214" spans="1:21" x14ac:dyDescent="0.25">
      <c r="A214" s="213" t="s">
        <v>327</v>
      </c>
      <c r="D214" s="213" t="s">
        <v>1954</v>
      </c>
      <c r="E214" s="213" t="s">
        <v>1955</v>
      </c>
      <c r="K214" s="213" t="s">
        <v>76857</v>
      </c>
      <c r="L214" s="213" t="s">
        <v>76898</v>
      </c>
      <c r="M214" s="213" t="s">
        <v>76939</v>
      </c>
      <c r="N214" s="213" t="s">
        <v>1956</v>
      </c>
      <c r="O214" s="213" t="s">
        <v>1957</v>
      </c>
      <c r="P214" s="213" t="s">
        <v>1958</v>
      </c>
      <c r="Q214" s="213" t="s">
        <v>1959</v>
      </c>
      <c r="R214" s="213" t="s">
        <v>1960</v>
      </c>
      <c r="S214" s="213" t="s">
        <v>1961</v>
      </c>
      <c r="T214" s="213" t="s">
        <v>1962</v>
      </c>
      <c r="U214" s="213" t="s">
        <v>76980</v>
      </c>
    </row>
    <row r="215" spans="1:21" x14ac:dyDescent="0.25">
      <c r="A215" s="213" t="s">
        <v>327</v>
      </c>
      <c r="D215" s="213" t="s">
        <v>1963</v>
      </c>
      <c r="E215" s="213" t="s">
        <v>1964</v>
      </c>
      <c r="K215" s="213" t="s">
        <v>76858</v>
      </c>
      <c r="L215" s="213" t="s">
        <v>76899</v>
      </c>
      <c r="M215" s="213" t="s">
        <v>76940</v>
      </c>
      <c r="N215" s="213" t="s">
        <v>1965</v>
      </c>
      <c r="O215" s="213" t="s">
        <v>1966</v>
      </c>
      <c r="P215" s="213" t="s">
        <v>1967</v>
      </c>
      <c r="Q215" s="213" t="s">
        <v>1968</v>
      </c>
      <c r="R215" s="213" t="s">
        <v>1969</v>
      </c>
      <c r="S215" s="213" t="s">
        <v>1970</v>
      </c>
      <c r="T215" s="213" t="s">
        <v>1971</v>
      </c>
      <c r="U215" s="213" t="s">
        <v>76981</v>
      </c>
    </row>
    <row r="216" spans="1:21" x14ac:dyDescent="0.25">
      <c r="A216" s="213" t="s">
        <v>327</v>
      </c>
      <c r="D216" s="213" t="s">
        <v>1972</v>
      </c>
      <c r="E216" s="213" t="s">
        <v>1973</v>
      </c>
      <c r="K216" s="213" t="s">
        <v>76859</v>
      </c>
      <c r="L216" s="213" t="s">
        <v>76900</v>
      </c>
      <c r="M216" s="213" t="s">
        <v>76941</v>
      </c>
      <c r="N216" s="213" t="s">
        <v>1974</v>
      </c>
      <c r="O216" s="213" t="s">
        <v>1975</v>
      </c>
      <c r="P216" s="213" t="s">
        <v>1976</v>
      </c>
      <c r="Q216" s="213" t="s">
        <v>1977</v>
      </c>
      <c r="R216" s="213" t="s">
        <v>1978</v>
      </c>
      <c r="S216" s="213" t="s">
        <v>1979</v>
      </c>
      <c r="T216" s="213" t="s">
        <v>1980</v>
      </c>
      <c r="U216" s="213" t="s">
        <v>76982</v>
      </c>
    </row>
    <row r="217" spans="1:21" x14ac:dyDescent="0.25">
      <c r="A217" s="213" t="s">
        <v>327</v>
      </c>
      <c r="D217" s="213" t="s">
        <v>1981</v>
      </c>
      <c r="E217" s="213" t="s">
        <v>1982</v>
      </c>
      <c r="K217" s="213" t="s">
        <v>76860</v>
      </c>
      <c r="L217" s="213" t="s">
        <v>76901</v>
      </c>
      <c r="M217" s="213" t="s">
        <v>76942</v>
      </c>
      <c r="N217" s="213" t="s">
        <v>1983</v>
      </c>
      <c r="O217" s="213" t="s">
        <v>1984</v>
      </c>
      <c r="P217" s="213" t="s">
        <v>1985</v>
      </c>
      <c r="Q217" s="213" t="s">
        <v>1986</v>
      </c>
      <c r="R217" s="213" t="s">
        <v>1987</v>
      </c>
      <c r="S217" s="213" t="s">
        <v>1988</v>
      </c>
      <c r="T217" s="213" t="s">
        <v>1989</v>
      </c>
      <c r="U217" s="213" t="s">
        <v>76983</v>
      </c>
    </row>
    <row r="218" spans="1:21" x14ac:dyDescent="0.25">
      <c r="A218" s="213" t="s">
        <v>327</v>
      </c>
      <c r="D218" s="213" t="s">
        <v>1990</v>
      </c>
      <c r="E218" s="213" t="s">
        <v>1991</v>
      </c>
      <c r="K218" s="213" t="s">
        <v>76861</v>
      </c>
      <c r="L218" s="213" t="s">
        <v>76902</v>
      </c>
      <c r="M218" s="213" t="s">
        <v>76943</v>
      </c>
      <c r="N218" s="213" t="s">
        <v>1992</v>
      </c>
      <c r="O218" s="213" t="s">
        <v>1993</v>
      </c>
      <c r="P218" s="213" t="s">
        <v>1994</v>
      </c>
      <c r="Q218" s="213" t="s">
        <v>1995</v>
      </c>
      <c r="R218" s="213" t="s">
        <v>1996</v>
      </c>
      <c r="S218" s="213" t="s">
        <v>1997</v>
      </c>
      <c r="T218" s="213" t="s">
        <v>1998</v>
      </c>
      <c r="U218" s="213" t="s">
        <v>76984</v>
      </c>
    </row>
    <row r="219" spans="1:21" x14ac:dyDescent="0.25">
      <c r="A219" s="213" t="s">
        <v>327</v>
      </c>
      <c r="D219" s="213" t="s">
        <v>1999</v>
      </c>
      <c r="E219" s="213" t="s">
        <v>2000</v>
      </c>
      <c r="K219" s="213" t="s">
        <v>76862</v>
      </c>
      <c r="L219" s="213" t="s">
        <v>76903</v>
      </c>
      <c r="M219" s="213" t="s">
        <v>76944</v>
      </c>
      <c r="N219" s="213" t="s">
        <v>2001</v>
      </c>
      <c r="O219" s="213" t="s">
        <v>2002</v>
      </c>
      <c r="P219" s="213" t="s">
        <v>2003</v>
      </c>
      <c r="Q219" s="213" t="s">
        <v>2004</v>
      </c>
      <c r="R219" s="213" t="s">
        <v>2005</v>
      </c>
      <c r="S219" s="213" t="s">
        <v>2006</v>
      </c>
      <c r="T219" s="213" t="s">
        <v>2007</v>
      </c>
      <c r="U219" s="213" t="s">
        <v>76985</v>
      </c>
    </row>
    <row r="220" spans="1:21" x14ac:dyDescent="0.25">
      <c r="A220" s="213" t="s">
        <v>327</v>
      </c>
      <c r="D220" s="213" t="s">
        <v>2008</v>
      </c>
      <c r="E220" s="213" t="s">
        <v>2009</v>
      </c>
      <c r="K220" s="213" t="s">
        <v>76863</v>
      </c>
      <c r="L220" s="213" t="s">
        <v>76904</v>
      </c>
      <c r="M220" s="213" t="s">
        <v>76945</v>
      </c>
      <c r="N220" s="213" t="s">
        <v>2010</v>
      </c>
      <c r="O220" s="213" t="s">
        <v>2011</v>
      </c>
      <c r="P220" s="213" t="s">
        <v>2012</v>
      </c>
      <c r="Q220" s="213" t="s">
        <v>2013</v>
      </c>
      <c r="R220" s="213" t="s">
        <v>2014</v>
      </c>
      <c r="S220" s="213" t="s">
        <v>2015</v>
      </c>
      <c r="T220" s="213" t="s">
        <v>2016</v>
      </c>
      <c r="U220" s="213" t="s">
        <v>76986</v>
      </c>
    </row>
    <row r="221" spans="1:21" x14ac:dyDescent="0.25">
      <c r="A221" s="213" t="s">
        <v>327</v>
      </c>
      <c r="D221" s="213" t="s">
        <v>2017</v>
      </c>
      <c r="E221" s="213" t="s">
        <v>2018</v>
      </c>
      <c r="K221" s="213" t="s">
        <v>76864</v>
      </c>
      <c r="L221" s="213" t="s">
        <v>76905</v>
      </c>
      <c r="M221" s="213" t="s">
        <v>76946</v>
      </c>
      <c r="N221" s="213" t="s">
        <v>2019</v>
      </c>
      <c r="O221" s="213" t="s">
        <v>2020</v>
      </c>
      <c r="P221" s="213" t="s">
        <v>2021</v>
      </c>
      <c r="Q221" s="213" t="s">
        <v>2022</v>
      </c>
      <c r="R221" s="213" t="s">
        <v>2023</v>
      </c>
      <c r="S221" s="213" t="s">
        <v>2024</v>
      </c>
      <c r="T221" s="213" t="s">
        <v>2025</v>
      </c>
      <c r="U221" s="213" t="s">
        <v>76987</v>
      </c>
    </row>
    <row r="222" spans="1:21" x14ac:dyDescent="0.25">
      <c r="A222" s="213" t="s">
        <v>327</v>
      </c>
      <c r="D222" s="213" t="s">
        <v>2026</v>
      </c>
      <c r="E222" s="213" t="s">
        <v>2027</v>
      </c>
      <c r="K222" s="213" t="s">
        <v>76865</v>
      </c>
      <c r="L222" s="213" t="s">
        <v>76906</v>
      </c>
      <c r="M222" s="213" t="s">
        <v>76947</v>
      </c>
      <c r="N222" s="213" t="s">
        <v>2028</v>
      </c>
      <c r="O222" s="213" t="s">
        <v>2029</v>
      </c>
      <c r="P222" s="213" t="s">
        <v>2030</v>
      </c>
      <c r="Q222" s="213" t="s">
        <v>2031</v>
      </c>
      <c r="R222" s="213" t="s">
        <v>2032</v>
      </c>
      <c r="S222" s="213" t="s">
        <v>2033</v>
      </c>
      <c r="T222" s="213" t="s">
        <v>2034</v>
      </c>
      <c r="U222" s="213" t="s">
        <v>76988</v>
      </c>
    </row>
    <row r="223" spans="1:21" x14ac:dyDescent="0.25">
      <c r="A223" s="213" t="s">
        <v>327</v>
      </c>
      <c r="D223" s="213" t="s">
        <v>2035</v>
      </c>
      <c r="E223" s="213" t="s">
        <v>2036</v>
      </c>
      <c r="K223" s="213" t="s">
        <v>76866</v>
      </c>
      <c r="L223" s="213" t="s">
        <v>76907</v>
      </c>
      <c r="M223" s="213" t="s">
        <v>76948</v>
      </c>
      <c r="N223" s="213" t="s">
        <v>2037</v>
      </c>
      <c r="O223" s="213" t="s">
        <v>2038</v>
      </c>
      <c r="P223" s="213" t="s">
        <v>2039</v>
      </c>
      <c r="Q223" s="213" t="s">
        <v>2040</v>
      </c>
      <c r="R223" s="213" t="s">
        <v>2041</v>
      </c>
      <c r="S223" s="213" t="s">
        <v>2042</v>
      </c>
      <c r="T223" s="213" t="s">
        <v>2043</v>
      </c>
      <c r="U223" s="213" t="s">
        <v>76989</v>
      </c>
    </row>
    <row r="224" spans="1:21" x14ac:dyDescent="0.25">
      <c r="A224" s="213" t="s">
        <v>327</v>
      </c>
      <c r="D224" s="213" t="s">
        <v>2044</v>
      </c>
      <c r="E224" s="213" t="s">
        <v>2045</v>
      </c>
      <c r="K224" s="213" t="s">
        <v>76867</v>
      </c>
      <c r="L224" s="213" t="s">
        <v>76908</v>
      </c>
      <c r="M224" s="213" t="s">
        <v>76949</v>
      </c>
      <c r="N224" s="213" t="s">
        <v>2046</v>
      </c>
      <c r="O224" s="213" t="s">
        <v>2047</v>
      </c>
      <c r="P224" s="213" t="s">
        <v>2048</v>
      </c>
      <c r="Q224" s="213" t="s">
        <v>2049</v>
      </c>
      <c r="R224" s="213" t="s">
        <v>2050</v>
      </c>
      <c r="S224" s="213" t="s">
        <v>2051</v>
      </c>
      <c r="T224" s="213" t="s">
        <v>2052</v>
      </c>
      <c r="U224" s="213" t="s">
        <v>76990</v>
      </c>
    </row>
    <row r="225" spans="1:21" x14ac:dyDescent="0.25">
      <c r="A225" s="213" t="s">
        <v>327</v>
      </c>
      <c r="D225" s="213" t="s">
        <v>2053</v>
      </c>
      <c r="E225" s="213" t="s">
        <v>2054</v>
      </c>
      <c r="K225" s="213" t="s">
        <v>76868</v>
      </c>
      <c r="L225" s="213" t="s">
        <v>76909</v>
      </c>
      <c r="M225" s="213" t="s">
        <v>76950</v>
      </c>
      <c r="N225" s="213" t="s">
        <v>2055</v>
      </c>
      <c r="O225" s="213" t="s">
        <v>2056</v>
      </c>
      <c r="P225" s="213" t="s">
        <v>2057</v>
      </c>
      <c r="Q225" s="213" t="s">
        <v>2058</v>
      </c>
      <c r="R225" s="213" t="s">
        <v>2059</v>
      </c>
      <c r="S225" s="213" t="s">
        <v>2060</v>
      </c>
      <c r="T225" s="213" t="s">
        <v>2061</v>
      </c>
      <c r="U225" s="213" t="s">
        <v>76991</v>
      </c>
    </row>
    <row r="226" spans="1:21" x14ac:dyDescent="0.25">
      <c r="A226" s="213" t="s">
        <v>327</v>
      </c>
      <c r="D226" s="213" t="s">
        <v>2062</v>
      </c>
      <c r="E226" s="213" t="s">
        <v>2063</v>
      </c>
      <c r="K226" s="213" t="s">
        <v>76869</v>
      </c>
      <c r="L226" s="213" t="s">
        <v>76910</v>
      </c>
      <c r="M226" s="213" t="s">
        <v>76951</v>
      </c>
      <c r="N226" s="213" t="s">
        <v>2064</v>
      </c>
      <c r="O226" s="213" t="s">
        <v>2065</v>
      </c>
      <c r="P226" s="213" t="s">
        <v>2066</v>
      </c>
      <c r="Q226" s="213" t="s">
        <v>2067</v>
      </c>
      <c r="R226" s="213" t="s">
        <v>2068</v>
      </c>
      <c r="S226" s="213" t="s">
        <v>2069</v>
      </c>
      <c r="T226" s="213" t="s">
        <v>2070</v>
      </c>
      <c r="U226" s="213" t="s">
        <v>76992</v>
      </c>
    </row>
    <row r="227" spans="1:21" x14ac:dyDescent="0.25">
      <c r="A227" s="213" t="s">
        <v>327</v>
      </c>
      <c r="D227" s="213" t="s">
        <v>2071</v>
      </c>
      <c r="E227" s="213" t="s">
        <v>2072</v>
      </c>
      <c r="K227" s="213" t="s">
        <v>76870</v>
      </c>
      <c r="L227" s="213" t="s">
        <v>76911</v>
      </c>
      <c r="M227" s="213" t="s">
        <v>76952</v>
      </c>
      <c r="N227" s="213" t="s">
        <v>2073</v>
      </c>
      <c r="O227" s="213" t="s">
        <v>2074</v>
      </c>
      <c r="P227" s="213" t="s">
        <v>2075</v>
      </c>
      <c r="Q227" s="213" t="s">
        <v>2076</v>
      </c>
      <c r="R227" s="213" t="s">
        <v>2077</v>
      </c>
      <c r="S227" s="213" t="s">
        <v>2078</v>
      </c>
      <c r="T227" s="213" t="s">
        <v>2079</v>
      </c>
      <c r="U227" s="213" t="s">
        <v>76993</v>
      </c>
    </row>
    <row r="228" spans="1:21" x14ac:dyDescent="0.25">
      <c r="A228" s="213" t="s">
        <v>327</v>
      </c>
      <c r="D228" s="213" t="s">
        <v>2080</v>
      </c>
      <c r="E228" s="213" t="s">
        <v>2081</v>
      </c>
      <c r="K228" s="213" t="s">
        <v>76871</v>
      </c>
      <c r="L228" s="213" t="s">
        <v>76912</v>
      </c>
      <c r="M228" s="213" t="s">
        <v>76953</v>
      </c>
      <c r="N228" s="213" t="s">
        <v>2082</v>
      </c>
      <c r="O228" s="213" t="s">
        <v>2083</v>
      </c>
      <c r="P228" s="213" t="s">
        <v>2084</v>
      </c>
      <c r="Q228" s="213" t="s">
        <v>2085</v>
      </c>
      <c r="R228" s="213" t="s">
        <v>2086</v>
      </c>
      <c r="S228" s="213" t="s">
        <v>2087</v>
      </c>
      <c r="T228" s="213" t="s">
        <v>2088</v>
      </c>
      <c r="U228" s="213" t="s">
        <v>76994</v>
      </c>
    </row>
    <row r="229" spans="1:21" x14ac:dyDescent="0.25">
      <c r="A229" s="213" t="s">
        <v>327</v>
      </c>
      <c r="D229" s="213" t="s">
        <v>2089</v>
      </c>
      <c r="E229" s="213" t="s">
        <v>2090</v>
      </c>
      <c r="K229" s="213" t="s">
        <v>76872</v>
      </c>
      <c r="L229" s="213" t="s">
        <v>76913</v>
      </c>
      <c r="M229" s="213" t="s">
        <v>76954</v>
      </c>
      <c r="N229" s="213" t="s">
        <v>2091</v>
      </c>
      <c r="O229" s="213" t="s">
        <v>2092</v>
      </c>
      <c r="P229" s="213" t="s">
        <v>2093</v>
      </c>
      <c r="Q229" s="213" t="s">
        <v>2094</v>
      </c>
      <c r="R229" s="213" t="s">
        <v>2095</v>
      </c>
      <c r="S229" s="213" t="s">
        <v>2096</v>
      </c>
      <c r="T229" s="213" t="s">
        <v>2097</v>
      </c>
      <c r="U229" s="213" t="s">
        <v>76995</v>
      </c>
    </row>
    <row r="230" spans="1:21" x14ac:dyDescent="0.25">
      <c r="A230" s="213" t="s">
        <v>327</v>
      </c>
      <c r="D230" s="213" t="s">
        <v>2098</v>
      </c>
      <c r="E230" s="213" t="s">
        <v>2099</v>
      </c>
      <c r="K230" s="213" t="s">
        <v>76873</v>
      </c>
      <c r="L230" s="213" t="s">
        <v>76914</v>
      </c>
      <c r="M230" s="213" t="s">
        <v>76955</v>
      </c>
      <c r="N230" s="213" t="s">
        <v>2100</v>
      </c>
      <c r="O230" s="213" t="s">
        <v>2101</v>
      </c>
      <c r="P230" s="213" t="s">
        <v>2102</v>
      </c>
      <c r="Q230" s="213" t="s">
        <v>2103</v>
      </c>
      <c r="R230" s="213" t="s">
        <v>2104</v>
      </c>
      <c r="S230" s="213" t="s">
        <v>2105</v>
      </c>
      <c r="T230" s="213" t="s">
        <v>2106</v>
      </c>
      <c r="U230" s="213" t="s">
        <v>76996</v>
      </c>
    </row>
    <row r="231" spans="1:21" x14ac:dyDescent="0.25">
      <c r="A231" s="213" t="s">
        <v>327</v>
      </c>
      <c r="D231" s="213" t="s">
        <v>2107</v>
      </c>
      <c r="E231" s="213" t="s">
        <v>2108</v>
      </c>
      <c r="K231" s="213" t="s">
        <v>76874</v>
      </c>
      <c r="L231" s="213" t="s">
        <v>76915</v>
      </c>
      <c r="M231" s="213" t="s">
        <v>76956</v>
      </c>
      <c r="N231" s="213" t="s">
        <v>2109</v>
      </c>
      <c r="O231" s="213" t="s">
        <v>2110</v>
      </c>
      <c r="P231" s="213" t="s">
        <v>2111</v>
      </c>
      <c r="Q231" s="213" t="s">
        <v>2112</v>
      </c>
      <c r="R231" s="213" t="s">
        <v>2113</v>
      </c>
      <c r="S231" s="213" t="s">
        <v>2114</v>
      </c>
      <c r="T231" s="213" t="s">
        <v>2115</v>
      </c>
      <c r="U231" s="213" t="s">
        <v>76997</v>
      </c>
    </row>
    <row r="232" spans="1:21" x14ac:dyDescent="0.25">
      <c r="A232" s="213" t="s">
        <v>327</v>
      </c>
    </row>
    <row r="233" spans="1:21" x14ac:dyDescent="0.25">
      <c r="A233" s="213" t="s">
        <v>327</v>
      </c>
    </row>
    <row r="234" spans="1:21" x14ac:dyDescent="0.25">
      <c r="A234" s="213" t="s">
        <v>327</v>
      </c>
      <c r="C234" s="213" t="s">
        <v>2116</v>
      </c>
      <c r="E234" s="213" t="s">
        <v>2117</v>
      </c>
      <c r="H234" s="213" t="s">
        <v>2118</v>
      </c>
      <c r="I234" s="213" t="s">
        <v>2119</v>
      </c>
      <c r="J234" s="213" t="s">
        <v>2120</v>
      </c>
      <c r="L234" s="213" t="s">
        <v>2121</v>
      </c>
      <c r="O234" s="213" t="s">
        <v>2122</v>
      </c>
      <c r="P234" s="213" t="s">
        <v>2123</v>
      </c>
      <c r="Q234" s="213" t="s">
        <v>2124</v>
      </c>
      <c r="R234" s="213" t="s">
        <v>2125</v>
      </c>
      <c r="S234" s="213" t="s">
        <v>2126</v>
      </c>
      <c r="T234" s="213" t="s">
        <v>2127</v>
      </c>
    </row>
    <row r="235" spans="1:21" x14ac:dyDescent="0.25">
      <c r="A235" s="213" t="s">
        <v>327</v>
      </c>
      <c r="C235" s="213" t="s">
        <v>2128</v>
      </c>
      <c r="E235" s="213" t="s">
        <v>2129</v>
      </c>
      <c r="I235" s="213" t="s">
        <v>2130</v>
      </c>
    </row>
    <row r="236" spans="1:21" x14ac:dyDescent="0.25">
      <c r="A236" s="213" t="s">
        <v>327</v>
      </c>
      <c r="C236" s="213" t="s">
        <v>2131</v>
      </c>
      <c r="E236" s="213" t="s">
        <v>2132</v>
      </c>
      <c r="I236" s="213" t="s">
        <v>2133</v>
      </c>
    </row>
    <row r="237" spans="1:21" x14ac:dyDescent="0.25">
      <c r="A237" s="213" t="s">
        <v>328</v>
      </c>
    </row>
    <row r="238" spans="1:21" x14ac:dyDescent="0.25">
      <c r="A238" s="213" t="s">
        <v>327</v>
      </c>
      <c r="D238" s="213" t="s">
        <v>2134</v>
      </c>
      <c r="E238" s="213" t="s">
        <v>2135</v>
      </c>
      <c r="K238" s="213" t="s">
        <v>76742</v>
      </c>
      <c r="L238" s="213" t="s">
        <v>76765</v>
      </c>
      <c r="M238" s="213" t="s">
        <v>76788</v>
      </c>
      <c r="N238" s="213" t="s">
        <v>2136</v>
      </c>
      <c r="O238" s="213" t="s">
        <v>2137</v>
      </c>
      <c r="P238" s="213" t="s">
        <v>2138</v>
      </c>
      <c r="Q238" s="213" t="s">
        <v>2139</v>
      </c>
      <c r="R238" s="213" t="s">
        <v>2140</v>
      </c>
      <c r="S238" s="213" t="s">
        <v>2141</v>
      </c>
      <c r="T238" s="213" t="s">
        <v>2142</v>
      </c>
      <c r="U238" s="213" t="s">
        <v>76811</v>
      </c>
    </row>
    <row r="239" spans="1:21" x14ac:dyDescent="0.25">
      <c r="A239" s="213" t="s">
        <v>327</v>
      </c>
      <c r="D239" s="213" t="s">
        <v>2143</v>
      </c>
      <c r="E239" s="213" t="s">
        <v>2144</v>
      </c>
      <c r="K239" s="213" t="s">
        <v>76743</v>
      </c>
      <c r="L239" s="213" t="s">
        <v>76766</v>
      </c>
      <c r="M239" s="213" t="s">
        <v>76789</v>
      </c>
      <c r="N239" s="213" t="s">
        <v>2145</v>
      </c>
      <c r="O239" s="213" t="s">
        <v>2146</v>
      </c>
      <c r="P239" s="213" t="s">
        <v>2147</v>
      </c>
      <c r="Q239" s="213" t="s">
        <v>2148</v>
      </c>
      <c r="R239" s="213" t="s">
        <v>2149</v>
      </c>
      <c r="S239" s="213" t="s">
        <v>2150</v>
      </c>
      <c r="T239" s="213" t="s">
        <v>2151</v>
      </c>
      <c r="U239" s="213" t="s">
        <v>76812</v>
      </c>
    </row>
    <row r="240" spans="1:21" x14ac:dyDescent="0.25">
      <c r="A240" s="213" t="s">
        <v>327</v>
      </c>
      <c r="D240" s="213" t="s">
        <v>2152</v>
      </c>
      <c r="E240" s="213" t="s">
        <v>2153</v>
      </c>
      <c r="K240" s="213" t="s">
        <v>76744</v>
      </c>
      <c r="L240" s="213" t="s">
        <v>76767</v>
      </c>
      <c r="M240" s="213" t="s">
        <v>76790</v>
      </c>
      <c r="N240" s="213" t="s">
        <v>2154</v>
      </c>
      <c r="O240" s="213" t="s">
        <v>2155</v>
      </c>
      <c r="P240" s="213" t="s">
        <v>2156</v>
      </c>
      <c r="Q240" s="213" t="s">
        <v>2157</v>
      </c>
      <c r="R240" s="213" t="s">
        <v>2158</v>
      </c>
      <c r="S240" s="213" t="s">
        <v>2159</v>
      </c>
      <c r="T240" s="213" t="s">
        <v>2160</v>
      </c>
      <c r="U240" s="213" t="s">
        <v>76813</v>
      </c>
    </row>
    <row r="241" spans="1:21" x14ac:dyDescent="0.25">
      <c r="A241" s="213" t="s">
        <v>327</v>
      </c>
      <c r="D241" s="213" t="s">
        <v>2161</v>
      </c>
      <c r="E241" s="213" t="s">
        <v>2162</v>
      </c>
      <c r="K241" s="213" t="s">
        <v>76745</v>
      </c>
      <c r="L241" s="213" t="s">
        <v>76768</v>
      </c>
      <c r="M241" s="213" t="s">
        <v>76791</v>
      </c>
      <c r="N241" s="213" t="s">
        <v>2163</v>
      </c>
      <c r="O241" s="213" t="s">
        <v>2164</v>
      </c>
      <c r="P241" s="213" t="s">
        <v>2165</v>
      </c>
      <c r="Q241" s="213" t="s">
        <v>2166</v>
      </c>
      <c r="R241" s="213" t="s">
        <v>2167</v>
      </c>
      <c r="S241" s="213" t="s">
        <v>2168</v>
      </c>
      <c r="T241" s="213" t="s">
        <v>2169</v>
      </c>
      <c r="U241" s="213" t="s">
        <v>76814</v>
      </c>
    </row>
    <row r="242" spans="1:21" x14ac:dyDescent="0.25">
      <c r="A242" s="213" t="s">
        <v>327</v>
      </c>
      <c r="D242" s="213" t="s">
        <v>2170</v>
      </c>
      <c r="E242" s="213" t="s">
        <v>2171</v>
      </c>
      <c r="K242" s="213" t="s">
        <v>76746</v>
      </c>
      <c r="L242" s="213" t="s">
        <v>76769</v>
      </c>
      <c r="M242" s="213" t="s">
        <v>76792</v>
      </c>
      <c r="N242" s="213" t="s">
        <v>2172</v>
      </c>
      <c r="O242" s="213" t="s">
        <v>2173</v>
      </c>
      <c r="P242" s="213" t="s">
        <v>2174</v>
      </c>
      <c r="Q242" s="213" t="s">
        <v>2175</v>
      </c>
      <c r="R242" s="213" t="s">
        <v>2176</v>
      </c>
      <c r="S242" s="213" t="s">
        <v>2177</v>
      </c>
      <c r="T242" s="213" t="s">
        <v>2178</v>
      </c>
      <c r="U242" s="213" t="s">
        <v>76815</v>
      </c>
    </row>
    <row r="243" spans="1:21" x14ac:dyDescent="0.25">
      <c r="A243" s="213" t="s">
        <v>327</v>
      </c>
      <c r="D243" s="213" t="s">
        <v>2179</v>
      </c>
      <c r="E243" s="213" t="s">
        <v>2180</v>
      </c>
      <c r="K243" s="213" t="s">
        <v>76747</v>
      </c>
      <c r="L243" s="213" t="s">
        <v>76770</v>
      </c>
      <c r="M243" s="213" t="s">
        <v>76793</v>
      </c>
      <c r="N243" s="213" t="s">
        <v>2181</v>
      </c>
      <c r="O243" s="213" t="s">
        <v>2182</v>
      </c>
      <c r="P243" s="213" t="s">
        <v>2183</v>
      </c>
      <c r="Q243" s="213" t="s">
        <v>2184</v>
      </c>
      <c r="R243" s="213" t="s">
        <v>2185</v>
      </c>
      <c r="S243" s="213" t="s">
        <v>2186</v>
      </c>
      <c r="T243" s="213" t="s">
        <v>2187</v>
      </c>
      <c r="U243" s="213" t="s">
        <v>76816</v>
      </c>
    </row>
    <row r="244" spans="1:21" x14ac:dyDescent="0.25">
      <c r="A244" s="213" t="s">
        <v>327</v>
      </c>
      <c r="D244" s="213" t="s">
        <v>2188</v>
      </c>
      <c r="E244" s="213" t="s">
        <v>2189</v>
      </c>
      <c r="K244" s="213" t="s">
        <v>76748</v>
      </c>
      <c r="L244" s="213" t="s">
        <v>76771</v>
      </c>
      <c r="M244" s="213" t="s">
        <v>76794</v>
      </c>
      <c r="N244" s="213" t="s">
        <v>2190</v>
      </c>
      <c r="O244" s="213" t="s">
        <v>2191</v>
      </c>
      <c r="P244" s="213" t="s">
        <v>2192</v>
      </c>
      <c r="Q244" s="213" t="s">
        <v>2193</v>
      </c>
      <c r="R244" s="213" t="s">
        <v>2194</v>
      </c>
      <c r="S244" s="213" t="s">
        <v>2195</v>
      </c>
      <c r="T244" s="213" t="s">
        <v>2196</v>
      </c>
      <c r="U244" s="213" t="s">
        <v>76817</v>
      </c>
    </row>
    <row r="245" spans="1:21" x14ac:dyDescent="0.25">
      <c r="A245" s="213" t="s">
        <v>327</v>
      </c>
      <c r="D245" s="213" t="s">
        <v>2197</v>
      </c>
      <c r="E245" s="213" t="s">
        <v>2198</v>
      </c>
      <c r="K245" s="213" t="s">
        <v>76749</v>
      </c>
      <c r="L245" s="213" t="s">
        <v>76772</v>
      </c>
      <c r="M245" s="213" t="s">
        <v>76795</v>
      </c>
      <c r="N245" s="213" t="s">
        <v>2199</v>
      </c>
      <c r="O245" s="213" t="s">
        <v>2200</v>
      </c>
      <c r="P245" s="213" t="s">
        <v>2201</v>
      </c>
      <c r="Q245" s="213" t="s">
        <v>2202</v>
      </c>
      <c r="R245" s="213" t="s">
        <v>2203</v>
      </c>
      <c r="S245" s="213" t="s">
        <v>2204</v>
      </c>
      <c r="T245" s="213" t="s">
        <v>2205</v>
      </c>
      <c r="U245" s="213" t="s">
        <v>76818</v>
      </c>
    </row>
    <row r="246" spans="1:21" x14ac:dyDescent="0.25">
      <c r="A246" s="213" t="s">
        <v>327</v>
      </c>
      <c r="D246" s="213" t="s">
        <v>2206</v>
      </c>
      <c r="E246" s="213" t="s">
        <v>2207</v>
      </c>
      <c r="K246" s="213" t="s">
        <v>76750</v>
      </c>
      <c r="L246" s="213" t="s">
        <v>76773</v>
      </c>
      <c r="M246" s="213" t="s">
        <v>76796</v>
      </c>
      <c r="N246" s="213" t="s">
        <v>2208</v>
      </c>
      <c r="O246" s="213" t="s">
        <v>2209</v>
      </c>
      <c r="P246" s="213" t="s">
        <v>2210</v>
      </c>
      <c r="Q246" s="213" t="s">
        <v>2211</v>
      </c>
      <c r="R246" s="213" t="s">
        <v>2212</v>
      </c>
      <c r="S246" s="213" t="s">
        <v>2213</v>
      </c>
      <c r="T246" s="213" t="s">
        <v>2214</v>
      </c>
      <c r="U246" s="213" t="s">
        <v>76819</v>
      </c>
    </row>
    <row r="247" spans="1:21" x14ac:dyDescent="0.25">
      <c r="A247" s="213" t="s">
        <v>327</v>
      </c>
      <c r="D247" s="213" t="s">
        <v>2215</v>
      </c>
      <c r="E247" s="213" t="s">
        <v>2216</v>
      </c>
      <c r="K247" s="213" t="s">
        <v>76751</v>
      </c>
      <c r="L247" s="213" t="s">
        <v>76774</v>
      </c>
      <c r="M247" s="213" t="s">
        <v>76797</v>
      </c>
      <c r="N247" s="213" t="s">
        <v>2217</v>
      </c>
      <c r="O247" s="213" t="s">
        <v>2218</v>
      </c>
      <c r="P247" s="213" t="s">
        <v>2219</v>
      </c>
      <c r="Q247" s="213" t="s">
        <v>2220</v>
      </c>
      <c r="R247" s="213" t="s">
        <v>2221</v>
      </c>
      <c r="S247" s="213" t="s">
        <v>2222</v>
      </c>
      <c r="T247" s="213" t="s">
        <v>2223</v>
      </c>
      <c r="U247" s="213" t="s">
        <v>76820</v>
      </c>
    </row>
    <row r="248" spans="1:21" x14ac:dyDescent="0.25">
      <c r="A248" s="213" t="s">
        <v>327</v>
      </c>
      <c r="D248" s="213" t="s">
        <v>2224</v>
      </c>
      <c r="E248" s="213" t="s">
        <v>2225</v>
      </c>
      <c r="K248" s="213" t="s">
        <v>76752</v>
      </c>
      <c r="L248" s="213" t="s">
        <v>76775</v>
      </c>
      <c r="M248" s="213" t="s">
        <v>76798</v>
      </c>
      <c r="N248" s="213" t="s">
        <v>2226</v>
      </c>
      <c r="O248" s="213" t="s">
        <v>2227</v>
      </c>
      <c r="P248" s="213" t="s">
        <v>2228</v>
      </c>
      <c r="Q248" s="213" t="s">
        <v>2229</v>
      </c>
      <c r="R248" s="213" t="s">
        <v>2230</v>
      </c>
      <c r="S248" s="213" t="s">
        <v>2231</v>
      </c>
      <c r="T248" s="213" t="s">
        <v>2232</v>
      </c>
      <c r="U248" s="213" t="s">
        <v>76821</v>
      </c>
    </row>
    <row r="249" spans="1:21" x14ac:dyDescent="0.25">
      <c r="A249" s="213" t="s">
        <v>327</v>
      </c>
      <c r="D249" s="213" t="s">
        <v>2233</v>
      </c>
      <c r="E249" s="213" t="s">
        <v>2234</v>
      </c>
      <c r="K249" s="213" t="s">
        <v>76753</v>
      </c>
      <c r="L249" s="213" t="s">
        <v>76776</v>
      </c>
      <c r="M249" s="213" t="s">
        <v>76799</v>
      </c>
      <c r="N249" s="213" t="s">
        <v>2235</v>
      </c>
      <c r="O249" s="213" t="s">
        <v>2236</v>
      </c>
      <c r="P249" s="213" t="s">
        <v>2237</v>
      </c>
      <c r="Q249" s="213" t="s">
        <v>2238</v>
      </c>
      <c r="R249" s="213" t="s">
        <v>2239</v>
      </c>
      <c r="S249" s="213" t="s">
        <v>2240</v>
      </c>
      <c r="T249" s="213" t="s">
        <v>2241</v>
      </c>
      <c r="U249" s="213" t="s">
        <v>76822</v>
      </c>
    </row>
    <row r="250" spans="1:21" x14ac:dyDescent="0.25">
      <c r="A250" s="213" t="s">
        <v>327</v>
      </c>
      <c r="D250" s="213" t="s">
        <v>2242</v>
      </c>
      <c r="E250" s="213" t="s">
        <v>2243</v>
      </c>
      <c r="K250" s="213" t="s">
        <v>76754</v>
      </c>
      <c r="L250" s="213" t="s">
        <v>76777</v>
      </c>
      <c r="M250" s="213" t="s">
        <v>76800</v>
      </c>
      <c r="N250" s="213" t="s">
        <v>2244</v>
      </c>
      <c r="O250" s="213" t="s">
        <v>2245</v>
      </c>
      <c r="P250" s="213" t="s">
        <v>2246</v>
      </c>
      <c r="Q250" s="213" t="s">
        <v>2247</v>
      </c>
      <c r="R250" s="213" t="s">
        <v>2248</v>
      </c>
      <c r="S250" s="213" t="s">
        <v>2249</v>
      </c>
      <c r="T250" s="213" t="s">
        <v>2250</v>
      </c>
      <c r="U250" s="213" t="s">
        <v>76823</v>
      </c>
    </row>
    <row r="251" spans="1:21" x14ac:dyDescent="0.25">
      <c r="A251" s="213" t="s">
        <v>327</v>
      </c>
      <c r="D251" s="213" t="s">
        <v>2251</v>
      </c>
      <c r="E251" s="213" t="s">
        <v>2252</v>
      </c>
      <c r="K251" s="213" t="s">
        <v>76755</v>
      </c>
      <c r="L251" s="213" t="s">
        <v>76778</v>
      </c>
      <c r="M251" s="213" t="s">
        <v>76801</v>
      </c>
      <c r="N251" s="213" t="s">
        <v>2253</v>
      </c>
      <c r="O251" s="213" t="s">
        <v>2254</v>
      </c>
      <c r="P251" s="213" t="s">
        <v>2255</v>
      </c>
      <c r="Q251" s="213" t="s">
        <v>2256</v>
      </c>
      <c r="R251" s="213" t="s">
        <v>2257</v>
      </c>
      <c r="S251" s="213" t="s">
        <v>2258</v>
      </c>
      <c r="T251" s="213" t="s">
        <v>2259</v>
      </c>
      <c r="U251" s="213" t="s">
        <v>76824</v>
      </c>
    </row>
    <row r="252" spans="1:21" x14ac:dyDescent="0.25">
      <c r="A252" s="213" t="s">
        <v>327</v>
      </c>
      <c r="D252" s="213" t="s">
        <v>2260</v>
      </c>
      <c r="E252" s="213" t="s">
        <v>2261</v>
      </c>
      <c r="K252" s="213" t="s">
        <v>76756</v>
      </c>
      <c r="L252" s="213" t="s">
        <v>76779</v>
      </c>
      <c r="M252" s="213" t="s">
        <v>76802</v>
      </c>
      <c r="N252" s="213" t="s">
        <v>2262</v>
      </c>
      <c r="O252" s="213" t="s">
        <v>2263</v>
      </c>
      <c r="P252" s="213" t="s">
        <v>2264</v>
      </c>
      <c r="Q252" s="213" t="s">
        <v>2265</v>
      </c>
      <c r="R252" s="213" t="s">
        <v>2266</v>
      </c>
      <c r="S252" s="213" t="s">
        <v>2267</v>
      </c>
      <c r="T252" s="213" t="s">
        <v>2268</v>
      </c>
      <c r="U252" s="213" t="s">
        <v>76825</v>
      </c>
    </row>
    <row r="253" spans="1:21" x14ac:dyDescent="0.25">
      <c r="A253" s="213" t="s">
        <v>327</v>
      </c>
      <c r="D253" s="213" t="s">
        <v>2269</v>
      </c>
      <c r="E253" s="213" t="s">
        <v>2270</v>
      </c>
      <c r="K253" s="213" t="s">
        <v>76757</v>
      </c>
      <c r="L253" s="213" t="s">
        <v>76780</v>
      </c>
      <c r="M253" s="213" t="s">
        <v>76803</v>
      </c>
      <c r="N253" s="213" t="s">
        <v>2271</v>
      </c>
      <c r="O253" s="213" t="s">
        <v>2272</v>
      </c>
      <c r="P253" s="213" t="s">
        <v>2273</v>
      </c>
      <c r="Q253" s="213" t="s">
        <v>2274</v>
      </c>
      <c r="R253" s="213" t="s">
        <v>2275</v>
      </c>
      <c r="S253" s="213" t="s">
        <v>2276</v>
      </c>
      <c r="T253" s="213" t="s">
        <v>2277</v>
      </c>
      <c r="U253" s="213" t="s">
        <v>76826</v>
      </c>
    </row>
    <row r="254" spans="1:21" x14ac:dyDescent="0.25">
      <c r="A254" s="213" t="s">
        <v>327</v>
      </c>
      <c r="D254" s="213" t="s">
        <v>2278</v>
      </c>
      <c r="E254" s="213" t="s">
        <v>2279</v>
      </c>
      <c r="K254" s="213" t="s">
        <v>76758</v>
      </c>
      <c r="L254" s="213" t="s">
        <v>76781</v>
      </c>
      <c r="M254" s="213" t="s">
        <v>76804</v>
      </c>
      <c r="N254" s="213" t="s">
        <v>2280</v>
      </c>
      <c r="O254" s="213" t="s">
        <v>2281</v>
      </c>
      <c r="P254" s="213" t="s">
        <v>2282</v>
      </c>
      <c r="Q254" s="213" t="s">
        <v>2283</v>
      </c>
      <c r="R254" s="213" t="s">
        <v>2284</v>
      </c>
      <c r="S254" s="213" t="s">
        <v>2285</v>
      </c>
      <c r="T254" s="213" t="s">
        <v>2286</v>
      </c>
      <c r="U254" s="213" t="s">
        <v>76827</v>
      </c>
    </row>
    <row r="255" spans="1:21" x14ac:dyDescent="0.25">
      <c r="A255" s="213" t="s">
        <v>327</v>
      </c>
      <c r="D255" s="213" t="s">
        <v>2287</v>
      </c>
      <c r="E255" s="213" t="s">
        <v>2288</v>
      </c>
      <c r="K255" s="213" t="s">
        <v>76759</v>
      </c>
      <c r="L255" s="213" t="s">
        <v>76782</v>
      </c>
      <c r="M255" s="213" t="s">
        <v>76805</v>
      </c>
      <c r="N255" s="213" t="s">
        <v>2289</v>
      </c>
      <c r="O255" s="213" t="s">
        <v>2290</v>
      </c>
      <c r="P255" s="213" t="s">
        <v>2291</v>
      </c>
      <c r="Q255" s="213" t="s">
        <v>2292</v>
      </c>
      <c r="R255" s="213" t="s">
        <v>2293</v>
      </c>
      <c r="S255" s="213" t="s">
        <v>2294</v>
      </c>
      <c r="T255" s="213" t="s">
        <v>2295</v>
      </c>
      <c r="U255" s="213" t="s">
        <v>76828</v>
      </c>
    </row>
    <row r="256" spans="1:21" x14ac:dyDescent="0.25">
      <c r="A256" s="213" t="s">
        <v>327</v>
      </c>
      <c r="D256" s="213" t="s">
        <v>2296</v>
      </c>
      <c r="E256" s="213" t="s">
        <v>2297</v>
      </c>
      <c r="K256" s="213" t="s">
        <v>76760</v>
      </c>
      <c r="L256" s="213" t="s">
        <v>76783</v>
      </c>
      <c r="M256" s="213" t="s">
        <v>76806</v>
      </c>
      <c r="N256" s="213" t="s">
        <v>2298</v>
      </c>
      <c r="O256" s="213" t="s">
        <v>2299</v>
      </c>
      <c r="P256" s="213" t="s">
        <v>2300</v>
      </c>
      <c r="Q256" s="213" t="s">
        <v>2301</v>
      </c>
      <c r="R256" s="213" t="s">
        <v>2302</v>
      </c>
      <c r="S256" s="213" t="s">
        <v>2303</v>
      </c>
      <c r="T256" s="213" t="s">
        <v>2304</v>
      </c>
      <c r="U256" s="213" t="s">
        <v>76829</v>
      </c>
    </row>
    <row r="257" spans="1:21" x14ac:dyDescent="0.25">
      <c r="A257" s="213" t="s">
        <v>327</v>
      </c>
      <c r="D257" s="213" t="s">
        <v>2305</v>
      </c>
      <c r="E257" s="213" t="s">
        <v>2306</v>
      </c>
      <c r="K257" s="213" t="s">
        <v>76761</v>
      </c>
      <c r="L257" s="213" t="s">
        <v>76784</v>
      </c>
      <c r="M257" s="213" t="s">
        <v>76807</v>
      </c>
      <c r="N257" s="213" t="s">
        <v>2307</v>
      </c>
      <c r="O257" s="213" t="s">
        <v>2308</v>
      </c>
      <c r="P257" s="213" t="s">
        <v>2309</v>
      </c>
      <c r="Q257" s="213" t="s">
        <v>2310</v>
      </c>
      <c r="R257" s="213" t="s">
        <v>2311</v>
      </c>
      <c r="S257" s="213" t="s">
        <v>2312</v>
      </c>
      <c r="T257" s="213" t="s">
        <v>2313</v>
      </c>
      <c r="U257" s="213" t="s">
        <v>76830</v>
      </c>
    </row>
    <row r="258" spans="1:21" x14ac:dyDescent="0.25">
      <c r="A258" s="213" t="s">
        <v>327</v>
      </c>
      <c r="D258" s="213" t="s">
        <v>2314</v>
      </c>
      <c r="E258" s="213" t="s">
        <v>2315</v>
      </c>
      <c r="K258" s="213" t="s">
        <v>76762</v>
      </c>
      <c r="L258" s="213" t="s">
        <v>76785</v>
      </c>
      <c r="M258" s="213" t="s">
        <v>76808</v>
      </c>
      <c r="N258" s="213" t="s">
        <v>2316</v>
      </c>
      <c r="O258" s="213" t="s">
        <v>2317</v>
      </c>
      <c r="P258" s="213" t="s">
        <v>2318</v>
      </c>
      <c r="Q258" s="213" t="s">
        <v>2319</v>
      </c>
      <c r="R258" s="213" t="s">
        <v>2320</v>
      </c>
      <c r="S258" s="213" t="s">
        <v>2321</v>
      </c>
      <c r="T258" s="213" t="s">
        <v>2322</v>
      </c>
      <c r="U258" s="213" t="s">
        <v>76831</v>
      </c>
    </row>
    <row r="259" spans="1:21" x14ac:dyDescent="0.25">
      <c r="A259" s="213" t="s">
        <v>327</v>
      </c>
      <c r="D259" s="213" t="s">
        <v>2323</v>
      </c>
      <c r="E259" s="213" t="s">
        <v>2324</v>
      </c>
      <c r="K259" s="213" t="s">
        <v>76763</v>
      </c>
      <c r="L259" s="213" t="s">
        <v>76786</v>
      </c>
      <c r="M259" s="213" t="s">
        <v>76809</v>
      </c>
      <c r="N259" s="213" t="s">
        <v>2325</v>
      </c>
      <c r="O259" s="213" t="s">
        <v>2326</v>
      </c>
      <c r="P259" s="213" t="s">
        <v>2327</v>
      </c>
      <c r="Q259" s="213" t="s">
        <v>2328</v>
      </c>
      <c r="R259" s="213" t="s">
        <v>2329</v>
      </c>
      <c r="S259" s="213" t="s">
        <v>2330</v>
      </c>
      <c r="T259" s="213" t="s">
        <v>2331</v>
      </c>
      <c r="U259" s="213" t="s">
        <v>76832</v>
      </c>
    </row>
    <row r="260" spans="1:21" x14ac:dyDescent="0.25">
      <c r="A260" s="213" t="s">
        <v>327</v>
      </c>
      <c r="D260" s="213" t="s">
        <v>2332</v>
      </c>
      <c r="E260" s="213" t="s">
        <v>2333</v>
      </c>
      <c r="K260" s="213" t="s">
        <v>76764</v>
      </c>
      <c r="L260" s="213" t="s">
        <v>76787</v>
      </c>
      <c r="M260" s="213" t="s">
        <v>76810</v>
      </c>
      <c r="N260" s="213" t="s">
        <v>2334</v>
      </c>
      <c r="O260" s="213" t="s">
        <v>2335</v>
      </c>
      <c r="P260" s="213" t="s">
        <v>2336</v>
      </c>
      <c r="Q260" s="213" t="s">
        <v>2337</v>
      </c>
      <c r="R260" s="213" t="s">
        <v>2338</v>
      </c>
      <c r="S260" s="213" t="s">
        <v>2339</v>
      </c>
      <c r="T260" s="213" t="s">
        <v>2340</v>
      </c>
      <c r="U260" s="213" t="s">
        <v>76833</v>
      </c>
    </row>
    <row r="261" spans="1:21" x14ac:dyDescent="0.25">
      <c r="A261" s="213" t="s">
        <v>327</v>
      </c>
    </row>
    <row r="262" spans="1:21" x14ac:dyDescent="0.25">
      <c r="A262" s="213" t="s">
        <v>327</v>
      </c>
    </row>
    <row r="263" spans="1:21" x14ac:dyDescent="0.25">
      <c r="A263" s="213" t="s">
        <v>327</v>
      </c>
      <c r="C263" s="213" t="s">
        <v>2341</v>
      </c>
      <c r="E263" s="213" t="s">
        <v>2342</v>
      </c>
      <c r="H263" s="213" t="s">
        <v>2343</v>
      </c>
      <c r="I263" s="213" t="s">
        <v>2344</v>
      </c>
      <c r="J263" s="213" t="s">
        <v>2345</v>
      </c>
      <c r="L263" s="213" t="s">
        <v>2346</v>
      </c>
      <c r="O263" s="213" t="s">
        <v>2347</v>
      </c>
      <c r="P263" s="213" t="s">
        <v>2348</v>
      </c>
      <c r="Q263" s="213" t="s">
        <v>2349</v>
      </c>
      <c r="R263" s="213" t="s">
        <v>2350</v>
      </c>
      <c r="S263" s="213" t="s">
        <v>2351</v>
      </c>
      <c r="T263" s="213" t="s">
        <v>2352</v>
      </c>
    </row>
    <row r="264" spans="1:21" x14ac:dyDescent="0.25">
      <c r="A264" s="213" t="s">
        <v>327</v>
      </c>
      <c r="C264" s="213" t="s">
        <v>2353</v>
      </c>
      <c r="E264" s="213" t="s">
        <v>2354</v>
      </c>
      <c r="I264" s="213" t="s">
        <v>2355</v>
      </c>
    </row>
    <row r="265" spans="1:21" x14ac:dyDescent="0.25">
      <c r="A265" s="213" t="s">
        <v>327</v>
      </c>
      <c r="C265" s="213" t="s">
        <v>2356</v>
      </c>
      <c r="E265" s="213" t="s">
        <v>2357</v>
      </c>
      <c r="I265" s="213" t="s">
        <v>2358</v>
      </c>
    </row>
    <row r="266" spans="1:21" x14ac:dyDescent="0.25">
      <c r="A266" s="213" t="s">
        <v>328</v>
      </c>
    </row>
    <row r="267" spans="1:21" x14ac:dyDescent="0.25">
      <c r="A267" s="213" t="s">
        <v>327</v>
      </c>
      <c r="D267" s="213" t="s">
        <v>2359</v>
      </c>
      <c r="E267" s="213" t="s">
        <v>2360</v>
      </c>
      <c r="K267" s="213" t="s">
        <v>76570</v>
      </c>
      <c r="L267" s="213" t="s">
        <v>76613</v>
      </c>
      <c r="M267" s="213" t="s">
        <v>76656</v>
      </c>
      <c r="N267" s="213" t="s">
        <v>2361</v>
      </c>
      <c r="O267" s="213" t="s">
        <v>2362</v>
      </c>
      <c r="P267" s="213" t="s">
        <v>2363</v>
      </c>
      <c r="Q267" s="213" t="s">
        <v>2364</v>
      </c>
      <c r="R267" s="213" t="s">
        <v>2365</v>
      </c>
      <c r="S267" s="213" t="s">
        <v>2366</v>
      </c>
      <c r="T267" s="213" t="s">
        <v>2367</v>
      </c>
      <c r="U267" s="213" t="s">
        <v>76699</v>
      </c>
    </row>
    <row r="268" spans="1:21" x14ac:dyDescent="0.25">
      <c r="A268" s="213" t="s">
        <v>327</v>
      </c>
      <c r="D268" s="213" t="s">
        <v>2368</v>
      </c>
      <c r="E268" s="213" t="s">
        <v>2369</v>
      </c>
      <c r="K268" s="213" t="s">
        <v>76571</v>
      </c>
      <c r="L268" s="213" t="s">
        <v>76614</v>
      </c>
      <c r="M268" s="213" t="s">
        <v>76657</v>
      </c>
      <c r="N268" s="213" t="s">
        <v>2370</v>
      </c>
      <c r="O268" s="213" t="s">
        <v>2371</v>
      </c>
      <c r="P268" s="213" t="s">
        <v>2372</v>
      </c>
      <c r="Q268" s="213" t="s">
        <v>2373</v>
      </c>
      <c r="R268" s="213" t="s">
        <v>2374</v>
      </c>
      <c r="S268" s="213" t="s">
        <v>2375</v>
      </c>
      <c r="T268" s="213" t="s">
        <v>2376</v>
      </c>
      <c r="U268" s="213" t="s">
        <v>76700</v>
      </c>
    </row>
    <row r="269" spans="1:21" x14ac:dyDescent="0.25">
      <c r="A269" s="213" t="s">
        <v>327</v>
      </c>
      <c r="D269" s="213" t="s">
        <v>2377</v>
      </c>
      <c r="E269" s="213" t="s">
        <v>2378</v>
      </c>
      <c r="K269" s="213" t="s">
        <v>76572</v>
      </c>
      <c r="L269" s="213" t="s">
        <v>76615</v>
      </c>
      <c r="M269" s="213" t="s">
        <v>76658</v>
      </c>
      <c r="N269" s="213" t="s">
        <v>2379</v>
      </c>
      <c r="O269" s="213" t="s">
        <v>2380</v>
      </c>
      <c r="P269" s="213" t="s">
        <v>2381</v>
      </c>
      <c r="Q269" s="213" t="s">
        <v>2382</v>
      </c>
      <c r="R269" s="213" t="s">
        <v>2383</v>
      </c>
      <c r="S269" s="213" t="s">
        <v>2384</v>
      </c>
      <c r="T269" s="213" t="s">
        <v>2385</v>
      </c>
      <c r="U269" s="213" t="s">
        <v>76701</v>
      </c>
    </row>
    <row r="270" spans="1:21" x14ac:dyDescent="0.25">
      <c r="A270" s="213" t="s">
        <v>327</v>
      </c>
      <c r="D270" s="213" t="s">
        <v>2386</v>
      </c>
      <c r="E270" s="213" t="s">
        <v>2387</v>
      </c>
      <c r="K270" s="213" t="s">
        <v>76573</v>
      </c>
      <c r="L270" s="213" t="s">
        <v>76616</v>
      </c>
      <c r="M270" s="213" t="s">
        <v>76659</v>
      </c>
      <c r="N270" s="213" t="s">
        <v>2388</v>
      </c>
      <c r="O270" s="213" t="s">
        <v>2389</v>
      </c>
      <c r="P270" s="213" t="s">
        <v>2390</v>
      </c>
      <c r="Q270" s="213" t="s">
        <v>2391</v>
      </c>
      <c r="R270" s="213" t="s">
        <v>2392</v>
      </c>
      <c r="S270" s="213" t="s">
        <v>2393</v>
      </c>
      <c r="T270" s="213" t="s">
        <v>2394</v>
      </c>
      <c r="U270" s="213" t="s">
        <v>76702</v>
      </c>
    </row>
    <row r="271" spans="1:21" x14ac:dyDescent="0.25">
      <c r="A271" s="213" t="s">
        <v>327</v>
      </c>
      <c r="D271" s="213" t="s">
        <v>2395</v>
      </c>
      <c r="E271" s="213" t="s">
        <v>2396</v>
      </c>
      <c r="K271" s="213" t="s">
        <v>76574</v>
      </c>
      <c r="L271" s="213" t="s">
        <v>76617</v>
      </c>
      <c r="M271" s="213" t="s">
        <v>76660</v>
      </c>
      <c r="N271" s="213" t="s">
        <v>2397</v>
      </c>
      <c r="O271" s="213" t="s">
        <v>2398</v>
      </c>
      <c r="P271" s="213" t="s">
        <v>2399</v>
      </c>
      <c r="Q271" s="213" t="s">
        <v>2400</v>
      </c>
      <c r="R271" s="213" t="s">
        <v>2401</v>
      </c>
      <c r="S271" s="213" t="s">
        <v>2402</v>
      </c>
      <c r="T271" s="213" t="s">
        <v>2403</v>
      </c>
      <c r="U271" s="213" t="s">
        <v>76703</v>
      </c>
    </row>
    <row r="272" spans="1:21" x14ac:dyDescent="0.25">
      <c r="A272" s="213" t="s">
        <v>327</v>
      </c>
      <c r="D272" s="213" t="s">
        <v>2404</v>
      </c>
      <c r="E272" s="213" t="s">
        <v>2405</v>
      </c>
      <c r="K272" s="213" t="s">
        <v>76575</v>
      </c>
      <c r="L272" s="213" t="s">
        <v>76618</v>
      </c>
      <c r="M272" s="213" t="s">
        <v>76661</v>
      </c>
      <c r="N272" s="213" t="s">
        <v>2406</v>
      </c>
      <c r="O272" s="213" t="s">
        <v>2407</v>
      </c>
      <c r="P272" s="213" t="s">
        <v>2408</v>
      </c>
      <c r="Q272" s="213" t="s">
        <v>2409</v>
      </c>
      <c r="R272" s="213" t="s">
        <v>2410</v>
      </c>
      <c r="S272" s="213" t="s">
        <v>2411</v>
      </c>
      <c r="T272" s="213" t="s">
        <v>2412</v>
      </c>
      <c r="U272" s="213" t="s">
        <v>76704</v>
      </c>
    </row>
    <row r="273" spans="1:21" x14ac:dyDescent="0.25">
      <c r="A273" s="213" t="s">
        <v>327</v>
      </c>
      <c r="D273" s="213" t="s">
        <v>2413</v>
      </c>
      <c r="E273" s="213" t="s">
        <v>2414</v>
      </c>
      <c r="K273" s="213" t="s">
        <v>76576</v>
      </c>
      <c r="L273" s="213" t="s">
        <v>76619</v>
      </c>
      <c r="M273" s="213" t="s">
        <v>76662</v>
      </c>
      <c r="N273" s="213" t="s">
        <v>2415</v>
      </c>
      <c r="O273" s="213" t="s">
        <v>2416</v>
      </c>
      <c r="P273" s="213" t="s">
        <v>2417</v>
      </c>
      <c r="Q273" s="213" t="s">
        <v>2418</v>
      </c>
      <c r="R273" s="213" t="s">
        <v>2419</v>
      </c>
      <c r="S273" s="213" t="s">
        <v>2420</v>
      </c>
      <c r="T273" s="213" t="s">
        <v>2421</v>
      </c>
      <c r="U273" s="213" t="s">
        <v>76705</v>
      </c>
    </row>
    <row r="274" spans="1:21" x14ac:dyDescent="0.25">
      <c r="A274" s="213" t="s">
        <v>327</v>
      </c>
      <c r="D274" s="213" t="s">
        <v>2422</v>
      </c>
      <c r="E274" s="213" t="s">
        <v>2423</v>
      </c>
      <c r="K274" s="213" t="s">
        <v>76577</v>
      </c>
      <c r="L274" s="213" t="s">
        <v>76620</v>
      </c>
      <c r="M274" s="213" t="s">
        <v>76663</v>
      </c>
      <c r="N274" s="213" t="s">
        <v>2424</v>
      </c>
      <c r="O274" s="213" t="s">
        <v>2425</v>
      </c>
      <c r="P274" s="213" t="s">
        <v>2426</v>
      </c>
      <c r="Q274" s="213" t="s">
        <v>2427</v>
      </c>
      <c r="R274" s="213" t="s">
        <v>2428</v>
      </c>
      <c r="S274" s="213" t="s">
        <v>2429</v>
      </c>
      <c r="T274" s="213" t="s">
        <v>2430</v>
      </c>
      <c r="U274" s="213" t="s">
        <v>76706</v>
      </c>
    </row>
    <row r="275" spans="1:21" x14ac:dyDescent="0.25">
      <c r="A275" s="213" t="s">
        <v>327</v>
      </c>
      <c r="D275" s="213" t="s">
        <v>2431</v>
      </c>
      <c r="E275" s="213" t="s">
        <v>2432</v>
      </c>
      <c r="K275" s="213" t="s">
        <v>76578</v>
      </c>
      <c r="L275" s="213" t="s">
        <v>76621</v>
      </c>
      <c r="M275" s="213" t="s">
        <v>76664</v>
      </c>
      <c r="N275" s="213" t="s">
        <v>2433</v>
      </c>
      <c r="O275" s="213" t="s">
        <v>2434</v>
      </c>
      <c r="P275" s="213" t="s">
        <v>2435</v>
      </c>
      <c r="Q275" s="213" t="s">
        <v>2436</v>
      </c>
      <c r="R275" s="213" t="s">
        <v>2437</v>
      </c>
      <c r="S275" s="213" t="s">
        <v>2438</v>
      </c>
      <c r="T275" s="213" t="s">
        <v>2439</v>
      </c>
      <c r="U275" s="213" t="s">
        <v>76707</v>
      </c>
    </row>
    <row r="276" spans="1:21" x14ac:dyDescent="0.25">
      <c r="A276" s="213" t="s">
        <v>327</v>
      </c>
      <c r="D276" s="213" t="s">
        <v>2440</v>
      </c>
      <c r="E276" s="213" t="s">
        <v>2441</v>
      </c>
      <c r="K276" s="213" t="s">
        <v>76579</v>
      </c>
      <c r="L276" s="213" t="s">
        <v>76622</v>
      </c>
      <c r="M276" s="213" t="s">
        <v>76665</v>
      </c>
      <c r="N276" s="213" t="s">
        <v>2442</v>
      </c>
      <c r="O276" s="213" t="s">
        <v>2443</v>
      </c>
      <c r="P276" s="213" t="s">
        <v>2444</v>
      </c>
      <c r="Q276" s="213" t="s">
        <v>2445</v>
      </c>
      <c r="R276" s="213" t="s">
        <v>2446</v>
      </c>
      <c r="S276" s="213" t="s">
        <v>2447</v>
      </c>
      <c r="T276" s="213" t="s">
        <v>2448</v>
      </c>
      <c r="U276" s="213" t="s">
        <v>76708</v>
      </c>
    </row>
    <row r="277" spans="1:21" x14ac:dyDescent="0.25">
      <c r="A277" s="213" t="s">
        <v>327</v>
      </c>
      <c r="D277" s="213" t="s">
        <v>2449</v>
      </c>
      <c r="E277" s="213" t="s">
        <v>2450</v>
      </c>
      <c r="K277" s="213" t="s">
        <v>76580</v>
      </c>
      <c r="L277" s="213" t="s">
        <v>76623</v>
      </c>
      <c r="M277" s="213" t="s">
        <v>76666</v>
      </c>
      <c r="N277" s="213" t="s">
        <v>2451</v>
      </c>
      <c r="O277" s="213" t="s">
        <v>2452</v>
      </c>
      <c r="P277" s="213" t="s">
        <v>2453</v>
      </c>
      <c r="Q277" s="213" t="s">
        <v>2454</v>
      </c>
      <c r="R277" s="213" t="s">
        <v>2455</v>
      </c>
      <c r="S277" s="213" t="s">
        <v>2456</v>
      </c>
      <c r="T277" s="213" t="s">
        <v>2457</v>
      </c>
      <c r="U277" s="213" t="s">
        <v>76709</v>
      </c>
    </row>
    <row r="278" spans="1:21" x14ac:dyDescent="0.25">
      <c r="A278" s="213" t="s">
        <v>327</v>
      </c>
      <c r="D278" s="213" t="s">
        <v>2458</v>
      </c>
      <c r="E278" s="213" t="s">
        <v>2459</v>
      </c>
      <c r="K278" s="213" t="s">
        <v>76581</v>
      </c>
      <c r="L278" s="213" t="s">
        <v>76624</v>
      </c>
      <c r="M278" s="213" t="s">
        <v>76667</v>
      </c>
      <c r="N278" s="213" t="s">
        <v>2460</v>
      </c>
      <c r="O278" s="213" t="s">
        <v>2461</v>
      </c>
      <c r="P278" s="213" t="s">
        <v>2462</v>
      </c>
      <c r="Q278" s="213" t="s">
        <v>2463</v>
      </c>
      <c r="R278" s="213" t="s">
        <v>2464</v>
      </c>
      <c r="S278" s="213" t="s">
        <v>2465</v>
      </c>
      <c r="T278" s="213" t="s">
        <v>2466</v>
      </c>
      <c r="U278" s="213" t="s">
        <v>76710</v>
      </c>
    </row>
    <row r="279" spans="1:21" x14ac:dyDescent="0.25">
      <c r="A279" s="213" t="s">
        <v>327</v>
      </c>
      <c r="D279" s="213" t="s">
        <v>2467</v>
      </c>
      <c r="E279" s="213" t="s">
        <v>2468</v>
      </c>
      <c r="K279" s="213" t="s">
        <v>76582</v>
      </c>
      <c r="L279" s="213" t="s">
        <v>76625</v>
      </c>
      <c r="M279" s="213" t="s">
        <v>76668</v>
      </c>
      <c r="N279" s="213" t="s">
        <v>2469</v>
      </c>
      <c r="O279" s="213" t="s">
        <v>2470</v>
      </c>
      <c r="P279" s="213" t="s">
        <v>2471</v>
      </c>
      <c r="Q279" s="213" t="s">
        <v>2472</v>
      </c>
      <c r="R279" s="213" t="s">
        <v>2473</v>
      </c>
      <c r="S279" s="213" t="s">
        <v>2474</v>
      </c>
      <c r="T279" s="213" t="s">
        <v>2475</v>
      </c>
      <c r="U279" s="213" t="s">
        <v>76711</v>
      </c>
    </row>
    <row r="280" spans="1:21" x14ac:dyDescent="0.25">
      <c r="A280" s="213" t="s">
        <v>327</v>
      </c>
      <c r="D280" s="213" t="s">
        <v>2476</v>
      </c>
      <c r="E280" s="213" t="s">
        <v>2477</v>
      </c>
      <c r="K280" s="213" t="s">
        <v>76583</v>
      </c>
      <c r="L280" s="213" t="s">
        <v>76626</v>
      </c>
      <c r="M280" s="213" t="s">
        <v>76669</v>
      </c>
      <c r="N280" s="213" t="s">
        <v>2478</v>
      </c>
      <c r="O280" s="213" t="s">
        <v>2479</v>
      </c>
      <c r="P280" s="213" t="s">
        <v>2480</v>
      </c>
      <c r="Q280" s="213" t="s">
        <v>2481</v>
      </c>
      <c r="R280" s="213" t="s">
        <v>2482</v>
      </c>
      <c r="S280" s="213" t="s">
        <v>2483</v>
      </c>
      <c r="T280" s="213" t="s">
        <v>2484</v>
      </c>
      <c r="U280" s="213" t="s">
        <v>76712</v>
      </c>
    </row>
    <row r="281" spans="1:21" x14ac:dyDescent="0.25">
      <c r="A281" s="213" t="s">
        <v>327</v>
      </c>
      <c r="D281" s="213" t="s">
        <v>2485</v>
      </c>
      <c r="E281" s="213" t="s">
        <v>2486</v>
      </c>
      <c r="K281" s="213" t="s">
        <v>76584</v>
      </c>
      <c r="L281" s="213" t="s">
        <v>76627</v>
      </c>
      <c r="M281" s="213" t="s">
        <v>76670</v>
      </c>
      <c r="N281" s="213" t="s">
        <v>2487</v>
      </c>
      <c r="O281" s="213" t="s">
        <v>2488</v>
      </c>
      <c r="P281" s="213" t="s">
        <v>2489</v>
      </c>
      <c r="Q281" s="213" t="s">
        <v>2490</v>
      </c>
      <c r="R281" s="213" t="s">
        <v>2491</v>
      </c>
      <c r="S281" s="213" t="s">
        <v>2492</v>
      </c>
      <c r="T281" s="213" t="s">
        <v>2493</v>
      </c>
      <c r="U281" s="213" t="s">
        <v>76713</v>
      </c>
    </row>
    <row r="282" spans="1:21" x14ac:dyDescent="0.25">
      <c r="A282" s="213" t="s">
        <v>327</v>
      </c>
      <c r="D282" s="213" t="s">
        <v>2494</v>
      </c>
      <c r="E282" s="213" t="s">
        <v>2495</v>
      </c>
      <c r="K282" s="213" t="s">
        <v>76585</v>
      </c>
      <c r="L282" s="213" t="s">
        <v>76628</v>
      </c>
      <c r="M282" s="213" t="s">
        <v>76671</v>
      </c>
      <c r="N282" s="213" t="s">
        <v>2496</v>
      </c>
      <c r="O282" s="213" t="s">
        <v>2497</v>
      </c>
      <c r="P282" s="213" t="s">
        <v>2498</v>
      </c>
      <c r="Q282" s="213" t="s">
        <v>2499</v>
      </c>
      <c r="R282" s="213" t="s">
        <v>2500</v>
      </c>
      <c r="S282" s="213" t="s">
        <v>2501</v>
      </c>
      <c r="T282" s="213" t="s">
        <v>2502</v>
      </c>
      <c r="U282" s="213" t="s">
        <v>76714</v>
      </c>
    </row>
    <row r="283" spans="1:21" x14ac:dyDescent="0.25">
      <c r="A283" s="213" t="s">
        <v>327</v>
      </c>
      <c r="D283" s="213" t="s">
        <v>2503</v>
      </c>
      <c r="E283" s="213" t="s">
        <v>2504</v>
      </c>
      <c r="K283" s="213" t="s">
        <v>76586</v>
      </c>
      <c r="L283" s="213" t="s">
        <v>76629</v>
      </c>
      <c r="M283" s="213" t="s">
        <v>76672</v>
      </c>
      <c r="N283" s="213" t="s">
        <v>2505</v>
      </c>
      <c r="O283" s="213" t="s">
        <v>2506</v>
      </c>
      <c r="P283" s="213" t="s">
        <v>2507</v>
      </c>
      <c r="Q283" s="213" t="s">
        <v>2508</v>
      </c>
      <c r="R283" s="213" t="s">
        <v>2509</v>
      </c>
      <c r="S283" s="213" t="s">
        <v>2510</v>
      </c>
      <c r="T283" s="213" t="s">
        <v>2511</v>
      </c>
      <c r="U283" s="213" t="s">
        <v>76715</v>
      </c>
    </row>
    <row r="284" spans="1:21" x14ac:dyDescent="0.25">
      <c r="A284" s="213" t="s">
        <v>327</v>
      </c>
      <c r="D284" s="213" t="s">
        <v>2512</v>
      </c>
      <c r="E284" s="213" t="s">
        <v>2513</v>
      </c>
      <c r="K284" s="213" t="s">
        <v>76587</v>
      </c>
      <c r="L284" s="213" t="s">
        <v>76630</v>
      </c>
      <c r="M284" s="213" t="s">
        <v>76673</v>
      </c>
      <c r="N284" s="213" t="s">
        <v>2514</v>
      </c>
      <c r="O284" s="213" t="s">
        <v>2515</v>
      </c>
      <c r="P284" s="213" t="s">
        <v>2516</v>
      </c>
      <c r="Q284" s="213" t="s">
        <v>2517</v>
      </c>
      <c r="R284" s="213" t="s">
        <v>2518</v>
      </c>
      <c r="S284" s="213" t="s">
        <v>2519</v>
      </c>
      <c r="T284" s="213" t="s">
        <v>2520</v>
      </c>
      <c r="U284" s="213" t="s">
        <v>76716</v>
      </c>
    </row>
    <row r="285" spans="1:21" x14ac:dyDescent="0.25">
      <c r="A285" s="213" t="s">
        <v>327</v>
      </c>
      <c r="D285" s="213" t="s">
        <v>2521</v>
      </c>
      <c r="E285" s="213" t="s">
        <v>2522</v>
      </c>
      <c r="K285" s="213" t="s">
        <v>76588</v>
      </c>
      <c r="L285" s="213" t="s">
        <v>76631</v>
      </c>
      <c r="M285" s="213" t="s">
        <v>76674</v>
      </c>
      <c r="N285" s="213" t="s">
        <v>2523</v>
      </c>
      <c r="O285" s="213" t="s">
        <v>2524</v>
      </c>
      <c r="P285" s="213" t="s">
        <v>2525</v>
      </c>
      <c r="Q285" s="213" t="s">
        <v>2526</v>
      </c>
      <c r="R285" s="213" t="s">
        <v>2527</v>
      </c>
      <c r="S285" s="213" t="s">
        <v>2528</v>
      </c>
      <c r="T285" s="213" t="s">
        <v>2529</v>
      </c>
      <c r="U285" s="213" t="s">
        <v>76717</v>
      </c>
    </row>
    <row r="286" spans="1:21" x14ac:dyDescent="0.25">
      <c r="A286" s="213" t="s">
        <v>327</v>
      </c>
      <c r="D286" s="213" t="s">
        <v>2530</v>
      </c>
      <c r="E286" s="213" t="s">
        <v>2531</v>
      </c>
      <c r="K286" s="213" t="s">
        <v>76589</v>
      </c>
      <c r="L286" s="213" t="s">
        <v>76632</v>
      </c>
      <c r="M286" s="213" t="s">
        <v>76675</v>
      </c>
      <c r="N286" s="213" t="s">
        <v>2532</v>
      </c>
      <c r="O286" s="213" t="s">
        <v>2533</v>
      </c>
      <c r="P286" s="213" t="s">
        <v>2534</v>
      </c>
      <c r="Q286" s="213" t="s">
        <v>2535</v>
      </c>
      <c r="R286" s="213" t="s">
        <v>2536</v>
      </c>
      <c r="S286" s="213" t="s">
        <v>2537</v>
      </c>
      <c r="T286" s="213" t="s">
        <v>2538</v>
      </c>
      <c r="U286" s="213" t="s">
        <v>76718</v>
      </c>
    </row>
    <row r="287" spans="1:21" x14ac:dyDescent="0.25">
      <c r="A287" s="213" t="s">
        <v>327</v>
      </c>
      <c r="D287" s="213" t="s">
        <v>2539</v>
      </c>
      <c r="E287" s="213" t="s">
        <v>2540</v>
      </c>
      <c r="K287" s="213" t="s">
        <v>76590</v>
      </c>
      <c r="L287" s="213" t="s">
        <v>76633</v>
      </c>
      <c r="M287" s="213" t="s">
        <v>76676</v>
      </c>
      <c r="N287" s="213" t="s">
        <v>2541</v>
      </c>
      <c r="O287" s="213" t="s">
        <v>2542</v>
      </c>
      <c r="P287" s="213" t="s">
        <v>2543</v>
      </c>
      <c r="Q287" s="213" t="s">
        <v>2544</v>
      </c>
      <c r="R287" s="213" t="s">
        <v>2545</v>
      </c>
      <c r="S287" s="213" t="s">
        <v>2546</v>
      </c>
      <c r="T287" s="213" t="s">
        <v>2547</v>
      </c>
      <c r="U287" s="213" t="s">
        <v>76719</v>
      </c>
    </row>
    <row r="288" spans="1:21" x14ac:dyDescent="0.25">
      <c r="A288" s="213" t="s">
        <v>327</v>
      </c>
      <c r="D288" s="213" t="s">
        <v>2548</v>
      </c>
      <c r="E288" s="213" t="s">
        <v>2549</v>
      </c>
      <c r="K288" s="213" t="s">
        <v>76591</v>
      </c>
      <c r="L288" s="213" t="s">
        <v>76634</v>
      </c>
      <c r="M288" s="213" t="s">
        <v>76677</v>
      </c>
      <c r="N288" s="213" t="s">
        <v>2550</v>
      </c>
      <c r="O288" s="213" t="s">
        <v>2551</v>
      </c>
      <c r="P288" s="213" t="s">
        <v>2552</v>
      </c>
      <c r="Q288" s="213" t="s">
        <v>2553</v>
      </c>
      <c r="R288" s="213" t="s">
        <v>2554</v>
      </c>
      <c r="S288" s="213" t="s">
        <v>2555</v>
      </c>
      <c r="T288" s="213" t="s">
        <v>2556</v>
      </c>
      <c r="U288" s="213" t="s">
        <v>76720</v>
      </c>
    </row>
    <row r="289" spans="1:21" x14ac:dyDescent="0.25">
      <c r="A289" s="213" t="s">
        <v>327</v>
      </c>
      <c r="D289" s="213" t="s">
        <v>2557</v>
      </c>
      <c r="E289" s="213" t="s">
        <v>2558</v>
      </c>
      <c r="K289" s="213" t="s">
        <v>76592</v>
      </c>
      <c r="L289" s="213" t="s">
        <v>76635</v>
      </c>
      <c r="M289" s="213" t="s">
        <v>76678</v>
      </c>
      <c r="N289" s="213" t="s">
        <v>2559</v>
      </c>
      <c r="O289" s="213" t="s">
        <v>2560</v>
      </c>
      <c r="P289" s="213" t="s">
        <v>2561</v>
      </c>
      <c r="Q289" s="213" t="s">
        <v>2562</v>
      </c>
      <c r="R289" s="213" t="s">
        <v>2563</v>
      </c>
      <c r="S289" s="213" t="s">
        <v>2564</v>
      </c>
      <c r="T289" s="213" t="s">
        <v>2565</v>
      </c>
      <c r="U289" s="213" t="s">
        <v>76721</v>
      </c>
    </row>
    <row r="290" spans="1:21" x14ac:dyDescent="0.25">
      <c r="A290" s="213" t="s">
        <v>327</v>
      </c>
      <c r="D290" s="213" t="s">
        <v>2566</v>
      </c>
      <c r="E290" s="213" t="s">
        <v>2567</v>
      </c>
      <c r="K290" s="213" t="s">
        <v>76593</v>
      </c>
      <c r="L290" s="213" t="s">
        <v>76636</v>
      </c>
      <c r="M290" s="213" t="s">
        <v>76679</v>
      </c>
      <c r="N290" s="213" t="s">
        <v>2568</v>
      </c>
      <c r="O290" s="213" t="s">
        <v>2569</v>
      </c>
      <c r="P290" s="213" t="s">
        <v>2570</v>
      </c>
      <c r="Q290" s="213" t="s">
        <v>2571</v>
      </c>
      <c r="R290" s="213" t="s">
        <v>2572</v>
      </c>
      <c r="S290" s="213" t="s">
        <v>2573</v>
      </c>
      <c r="T290" s="213" t="s">
        <v>2574</v>
      </c>
      <c r="U290" s="213" t="s">
        <v>76722</v>
      </c>
    </row>
    <row r="291" spans="1:21" x14ac:dyDescent="0.25">
      <c r="A291" s="213" t="s">
        <v>327</v>
      </c>
      <c r="D291" s="213" t="s">
        <v>2575</v>
      </c>
      <c r="E291" s="213" t="s">
        <v>2576</v>
      </c>
      <c r="K291" s="213" t="s">
        <v>76594</v>
      </c>
      <c r="L291" s="213" t="s">
        <v>76637</v>
      </c>
      <c r="M291" s="213" t="s">
        <v>76680</v>
      </c>
      <c r="N291" s="213" t="s">
        <v>2577</v>
      </c>
      <c r="O291" s="213" t="s">
        <v>2578</v>
      </c>
      <c r="P291" s="213" t="s">
        <v>2579</v>
      </c>
      <c r="Q291" s="213" t="s">
        <v>2580</v>
      </c>
      <c r="R291" s="213" t="s">
        <v>2581</v>
      </c>
      <c r="S291" s="213" t="s">
        <v>2582</v>
      </c>
      <c r="T291" s="213" t="s">
        <v>2583</v>
      </c>
      <c r="U291" s="213" t="s">
        <v>76723</v>
      </c>
    </row>
    <row r="292" spans="1:21" x14ac:dyDescent="0.25">
      <c r="A292" s="213" t="s">
        <v>327</v>
      </c>
      <c r="D292" s="213" t="s">
        <v>2584</v>
      </c>
      <c r="E292" s="213" t="s">
        <v>2585</v>
      </c>
      <c r="K292" s="213" t="s">
        <v>76595</v>
      </c>
      <c r="L292" s="213" t="s">
        <v>76638</v>
      </c>
      <c r="M292" s="213" t="s">
        <v>76681</v>
      </c>
      <c r="N292" s="213" t="s">
        <v>2586</v>
      </c>
      <c r="O292" s="213" t="s">
        <v>2587</v>
      </c>
      <c r="P292" s="213" t="s">
        <v>2588</v>
      </c>
      <c r="Q292" s="213" t="s">
        <v>2589</v>
      </c>
      <c r="R292" s="213" t="s">
        <v>2590</v>
      </c>
      <c r="S292" s="213" t="s">
        <v>2591</v>
      </c>
      <c r="T292" s="213" t="s">
        <v>2592</v>
      </c>
      <c r="U292" s="213" t="s">
        <v>76724</v>
      </c>
    </row>
    <row r="293" spans="1:21" x14ac:dyDescent="0.25">
      <c r="A293" s="213" t="s">
        <v>327</v>
      </c>
      <c r="D293" s="213" t="s">
        <v>2593</v>
      </c>
      <c r="E293" s="213" t="s">
        <v>2594</v>
      </c>
      <c r="K293" s="213" t="s">
        <v>76596</v>
      </c>
      <c r="L293" s="213" t="s">
        <v>76639</v>
      </c>
      <c r="M293" s="213" t="s">
        <v>76682</v>
      </c>
      <c r="N293" s="213" t="s">
        <v>2595</v>
      </c>
      <c r="O293" s="213" t="s">
        <v>2596</v>
      </c>
      <c r="P293" s="213" t="s">
        <v>2597</v>
      </c>
      <c r="Q293" s="213" t="s">
        <v>2598</v>
      </c>
      <c r="R293" s="213" t="s">
        <v>2599</v>
      </c>
      <c r="S293" s="213" t="s">
        <v>2600</v>
      </c>
      <c r="T293" s="213" t="s">
        <v>2601</v>
      </c>
      <c r="U293" s="213" t="s">
        <v>76725</v>
      </c>
    </row>
    <row r="294" spans="1:21" x14ac:dyDescent="0.25">
      <c r="A294" s="213" t="s">
        <v>327</v>
      </c>
      <c r="D294" s="213" t="s">
        <v>2602</v>
      </c>
      <c r="E294" s="213" t="s">
        <v>2603</v>
      </c>
      <c r="K294" s="213" t="s">
        <v>76597</v>
      </c>
      <c r="L294" s="213" t="s">
        <v>76640</v>
      </c>
      <c r="M294" s="213" t="s">
        <v>76683</v>
      </c>
      <c r="N294" s="213" t="s">
        <v>2604</v>
      </c>
      <c r="O294" s="213" t="s">
        <v>2605</v>
      </c>
      <c r="P294" s="213" t="s">
        <v>2606</v>
      </c>
      <c r="Q294" s="213" t="s">
        <v>2607</v>
      </c>
      <c r="R294" s="213" t="s">
        <v>2608</v>
      </c>
      <c r="S294" s="213" t="s">
        <v>2609</v>
      </c>
      <c r="T294" s="213" t="s">
        <v>2610</v>
      </c>
      <c r="U294" s="213" t="s">
        <v>76726</v>
      </c>
    </row>
    <row r="295" spans="1:21" x14ac:dyDescent="0.25">
      <c r="A295" s="213" t="s">
        <v>327</v>
      </c>
      <c r="D295" s="213" t="s">
        <v>2611</v>
      </c>
      <c r="E295" s="213" t="s">
        <v>2612</v>
      </c>
      <c r="K295" s="213" t="s">
        <v>76598</v>
      </c>
      <c r="L295" s="213" t="s">
        <v>76641</v>
      </c>
      <c r="M295" s="213" t="s">
        <v>76684</v>
      </c>
      <c r="N295" s="213" t="s">
        <v>2613</v>
      </c>
      <c r="O295" s="213" t="s">
        <v>2614</v>
      </c>
      <c r="P295" s="213" t="s">
        <v>2615</v>
      </c>
      <c r="Q295" s="213" t="s">
        <v>2616</v>
      </c>
      <c r="R295" s="213" t="s">
        <v>2617</v>
      </c>
      <c r="S295" s="213" t="s">
        <v>2618</v>
      </c>
      <c r="T295" s="213" t="s">
        <v>2619</v>
      </c>
      <c r="U295" s="213" t="s">
        <v>76727</v>
      </c>
    </row>
    <row r="296" spans="1:21" x14ac:dyDescent="0.25">
      <c r="A296" s="213" t="s">
        <v>327</v>
      </c>
      <c r="D296" s="213" t="s">
        <v>2620</v>
      </c>
      <c r="E296" s="213" t="s">
        <v>2621</v>
      </c>
      <c r="K296" s="213" t="s">
        <v>76599</v>
      </c>
      <c r="L296" s="213" t="s">
        <v>76642</v>
      </c>
      <c r="M296" s="213" t="s">
        <v>76685</v>
      </c>
      <c r="N296" s="213" t="s">
        <v>2622</v>
      </c>
      <c r="O296" s="213" t="s">
        <v>2623</v>
      </c>
      <c r="P296" s="213" t="s">
        <v>2624</v>
      </c>
      <c r="Q296" s="213" t="s">
        <v>2625</v>
      </c>
      <c r="R296" s="213" t="s">
        <v>2626</v>
      </c>
      <c r="S296" s="213" t="s">
        <v>2627</v>
      </c>
      <c r="T296" s="213" t="s">
        <v>2628</v>
      </c>
      <c r="U296" s="213" t="s">
        <v>76728</v>
      </c>
    </row>
    <row r="297" spans="1:21" x14ac:dyDescent="0.25">
      <c r="A297" s="213" t="s">
        <v>327</v>
      </c>
      <c r="D297" s="213" t="s">
        <v>2629</v>
      </c>
      <c r="E297" s="213" t="s">
        <v>2630</v>
      </c>
      <c r="K297" s="213" t="s">
        <v>76600</v>
      </c>
      <c r="L297" s="213" t="s">
        <v>76643</v>
      </c>
      <c r="M297" s="213" t="s">
        <v>76686</v>
      </c>
      <c r="N297" s="213" t="s">
        <v>2631</v>
      </c>
      <c r="O297" s="213" t="s">
        <v>2632</v>
      </c>
      <c r="P297" s="213" t="s">
        <v>2633</v>
      </c>
      <c r="Q297" s="213" t="s">
        <v>2634</v>
      </c>
      <c r="R297" s="213" t="s">
        <v>2635</v>
      </c>
      <c r="S297" s="213" t="s">
        <v>2636</v>
      </c>
      <c r="T297" s="213" t="s">
        <v>2637</v>
      </c>
      <c r="U297" s="213" t="s">
        <v>76729</v>
      </c>
    </row>
    <row r="298" spans="1:21" x14ac:dyDescent="0.25">
      <c r="A298" s="213" t="s">
        <v>327</v>
      </c>
      <c r="D298" s="213" t="s">
        <v>2638</v>
      </c>
      <c r="E298" s="213" t="s">
        <v>2639</v>
      </c>
      <c r="K298" s="213" t="s">
        <v>76601</v>
      </c>
      <c r="L298" s="213" t="s">
        <v>76644</v>
      </c>
      <c r="M298" s="213" t="s">
        <v>76687</v>
      </c>
      <c r="N298" s="213" t="s">
        <v>2640</v>
      </c>
      <c r="O298" s="213" t="s">
        <v>2641</v>
      </c>
      <c r="P298" s="213" t="s">
        <v>2642</v>
      </c>
      <c r="Q298" s="213" t="s">
        <v>2643</v>
      </c>
      <c r="R298" s="213" t="s">
        <v>2644</v>
      </c>
      <c r="S298" s="213" t="s">
        <v>2645</v>
      </c>
      <c r="T298" s="213" t="s">
        <v>2646</v>
      </c>
      <c r="U298" s="213" t="s">
        <v>76730</v>
      </c>
    </row>
    <row r="299" spans="1:21" x14ac:dyDescent="0.25">
      <c r="A299" s="213" t="s">
        <v>327</v>
      </c>
      <c r="D299" s="213" t="s">
        <v>2647</v>
      </c>
      <c r="E299" s="213" t="s">
        <v>2648</v>
      </c>
      <c r="K299" s="213" t="s">
        <v>76602</v>
      </c>
      <c r="L299" s="213" t="s">
        <v>76645</v>
      </c>
      <c r="M299" s="213" t="s">
        <v>76688</v>
      </c>
      <c r="N299" s="213" t="s">
        <v>2649</v>
      </c>
      <c r="O299" s="213" t="s">
        <v>2650</v>
      </c>
      <c r="P299" s="213" t="s">
        <v>2651</v>
      </c>
      <c r="Q299" s="213" t="s">
        <v>2652</v>
      </c>
      <c r="R299" s="213" t="s">
        <v>2653</v>
      </c>
      <c r="S299" s="213" t="s">
        <v>2654</v>
      </c>
      <c r="T299" s="213" t="s">
        <v>2655</v>
      </c>
      <c r="U299" s="213" t="s">
        <v>76731</v>
      </c>
    </row>
    <row r="300" spans="1:21" x14ac:dyDescent="0.25">
      <c r="A300" s="213" t="s">
        <v>327</v>
      </c>
      <c r="D300" s="213" t="s">
        <v>2656</v>
      </c>
      <c r="E300" s="213" t="s">
        <v>2657</v>
      </c>
      <c r="K300" s="213" t="s">
        <v>76603</v>
      </c>
      <c r="L300" s="213" t="s">
        <v>76646</v>
      </c>
      <c r="M300" s="213" t="s">
        <v>76689</v>
      </c>
      <c r="N300" s="213" t="s">
        <v>2658</v>
      </c>
      <c r="O300" s="213" t="s">
        <v>2659</v>
      </c>
      <c r="P300" s="213" t="s">
        <v>2660</v>
      </c>
      <c r="Q300" s="213" t="s">
        <v>2661</v>
      </c>
      <c r="R300" s="213" t="s">
        <v>2662</v>
      </c>
      <c r="S300" s="213" t="s">
        <v>2663</v>
      </c>
      <c r="T300" s="213" t="s">
        <v>2664</v>
      </c>
      <c r="U300" s="213" t="s">
        <v>76732</v>
      </c>
    </row>
    <row r="301" spans="1:21" x14ac:dyDescent="0.25">
      <c r="A301" s="213" t="s">
        <v>327</v>
      </c>
      <c r="D301" s="213" t="s">
        <v>2665</v>
      </c>
      <c r="E301" s="213" t="s">
        <v>2666</v>
      </c>
      <c r="K301" s="213" t="s">
        <v>76604</v>
      </c>
      <c r="L301" s="213" t="s">
        <v>76647</v>
      </c>
      <c r="M301" s="213" t="s">
        <v>76690</v>
      </c>
      <c r="N301" s="213" t="s">
        <v>2667</v>
      </c>
      <c r="O301" s="213" t="s">
        <v>2668</v>
      </c>
      <c r="P301" s="213" t="s">
        <v>2669</v>
      </c>
      <c r="Q301" s="213" t="s">
        <v>2670</v>
      </c>
      <c r="R301" s="213" t="s">
        <v>2671</v>
      </c>
      <c r="S301" s="213" t="s">
        <v>2672</v>
      </c>
      <c r="T301" s="213" t="s">
        <v>2673</v>
      </c>
      <c r="U301" s="213" t="s">
        <v>76733</v>
      </c>
    </row>
    <row r="302" spans="1:21" x14ac:dyDescent="0.25">
      <c r="A302" s="213" t="s">
        <v>327</v>
      </c>
      <c r="D302" s="213" t="s">
        <v>2674</v>
      </c>
      <c r="E302" s="213" t="s">
        <v>2675</v>
      </c>
      <c r="K302" s="213" t="s">
        <v>76605</v>
      </c>
      <c r="L302" s="213" t="s">
        <v>76648</v>
      </c>
      <c r="M302" s="213" t="s">
        <v>76691</v>
      </c>
      <c r="N302" s="213" t="s">
        <v>2676</v>
      </c>
      <c r="O302" s="213" t="s">
        <v>2677</v>
      </c>
      <c r="P302" s="213" t="s">
        <v>2678</v>
      </c>
      <c r="Q302" s="213" t="s">
        <v>2679</v>
      </c>
      <c r="R302" s="213" t="s">
        <v>2680</v>
      </c>
      <c r="S302" s="213" t="s">
        <v>2681</v>
      </c>
      <c r="T302" s="213" t="s">
        <v>2682</v>
      </c>
      <c r="U302" s="213" t="s">
        <v>76734</v>
      </c>
    </row>
    <row r="303" spans="1:21" x14ac:dyDescent="0.25">
      <c r="A303" s="213" t="s">
        <v>327</v>
      </c>
      <c r="D303" s="213" t="s">
        <v>2683</v>
      </c>
      <c r="E303" s="213" t="s">
        <v>2684</v>
      </c>
      <c r="K303" s="213" t="s">
        <v>76606</v>
      </c>
      <c r="L303" s="213" t="s">
        <v>76649</v>
      </c>
      <c r="M303" s="213" t="s">
        <v>76692</v>
      </c>
      <c r="N303" s="213" t="s">
        <v>2685</v>
      </c>
      <c r="O303" s="213" t="s">
        <v>2686</v>
      </c>
      <c r="P303" s="213" t="s">
        <v>2687</v>
      </c>
      <c r="Q303" s="213" t="s">
        <v>2688</v>
      </c>
      <c r="R303" s="213" t="s">
        <v>2689</v>
      </c>
      <c r="S303" s="213" t="s">
        <v>2690</v>
      </c>
      <c r="T303" s="213" t="s">
        <v>2691</v>
      </c>
      <c r="U303" s="213" t="s">
        <v>76735</v>
      </c>
    </row>
    <row r="304" spans="1:21" x14ac:dyDescent="0.25">
      <c r="A304" s="213" t="s">
        <v>327</v>
      </c>
      <c r="D304" s="213" t="s">
        <v>2692</v>
      </c>
      <c r="E304" s="213" t="s">
        <v>2693</v>
      </c>
      <c r="K304" s="213" t="s">
        <v>76607</v>
      </c>
      <c r="L304" s="213" t="s">
        <v>76650</v>
      </c>
      <c r="M304" s="213" t="s">
        <v>76693</v>
      </c>
      <c r="N304" s="213" t="s">
        <v>2694</v>
      </c>
      <c r="O304" s="213" t="s">
        <v>2695</v>
      </c>
      <c r="P304" s="213" t="s">
        <v>2696</v>
      </c>
      <c r="Q304" s="213" t="s">
        <v>2697</v>
      </c>
      <c r="R304" s="213" t="s">
        <v>2698</v>
      </c>
      <c r="S304" s="213" t="s">
        <v>2699</v>
      </c>
      <c r="T304" s="213" t="s">
        <v>2700</v>
      </c>
      <c r="U304" s="213" t="s">
        <v>76736</v>
      </c>
    </row>
    <row r="305" spans="1:21" x14ac:dyDescent="0.25">
      <c r="A305" s="213" t="s">
        <v>327</v>
      </c>
      <c r="D305" s="213" t="s">
        <v>2701</v>
      </c>
      <c r="E305" s="213" t="s">
        <v>2702</v>
      </c>
      <c r="K305" s="213" t="s">
        <v>76608</v>
      </c>
      <c r="L305" s="213" t="s">
        <v>76651</v>
      </c>
      <c r="M305" s="213" t="s">
        <v>76694</v>
      </c>
      <c r="N305" s="213" t="s">
        <v>2703</v>
      </c>
      <c r="O305" s="213" t="s">
        <v>2704</v>
      </c>
      <c r="P305" s="213" t="s">
        <v>2705</v>
      </c>
      <c r="Q305" s="213" t="s">
        <v>2706</v>
      </c>
      <c r="R305" s="213" t="s">
        <v>2707</v>
      </c>
      <c r="S305" s="213" t="s">
        <v>2708</v>
      </c>
      <c r="T305" s="213" t="s">
        <v>2709</v>
      </c>
      <c r="U305" s="213" t="s">
        <v>76737</v>
      </c>
    </row>
    <row r="306" spans="1:21" x14ac:dyDescent="0.25">
      <c r="A306" s="213" t="s">
        <v>327</v>
      </c>
      <c r="D306" s="213" t="s">
        <v>2710</v>
      </c>
      <c r="E306" s="213" t="s">
        <v>2711</v>
      </c>
      <c r="K306" s="213" t="s">
        <v>76609</v>
      </c>
      <c r="L306" s="213" t="s">
        <v>76652</v>
      </c>
      <c r="M306" s="213" t="s">
        <v>76695</v>
      </c>
      <c r="N306" s="213" t="s">
        <v>2712</v>
      </c>
      <c r="O306" s="213" t="s">
        <v>2713</v>
      </c>
      <c r="P306" s="213" t="s">
        <v>2714</v>
      </c>
      <c r="Q306" s="213" t="s">
        <v>2715</v>
      </c>
      <c r="R306" s="213" t="s">
        <v>2716</v>
      </c>
      <c r="S306" s="213" t="s">
        <v>2717</v>
      </c>
      <c r="T306" s="213" t="s">
        <v>2718</v>
      </c>
      <c r="U306" s="213" t="s">
        <v>76738</v>
      </c>
    </row>
    <row r="307" spans="1:21" x14ac:dyDescent="0.25">
      <c r="A307" s="213" t="s">
        <v>327</v>
      </c>
      <c r="D307" s="213" t="s">
        <v>2719</v>
      </c>
      <c r="E307" s="213" t="s">
        <v>2720</v>
      </c>
      <c r="K307" s="213" t="s">
        <v>76610</v>
      </c>
      <c r="L307" s="213" t="s">
        <v>76653</v>
      </c>
      <c r="M307" s="213" t="s">
        <v>76696</v>
      </c>
      <c r="N307" s="213" t="s">
        <v>2721</v>
      </c>
      <c r="O307" s="213" t="s">
        <v>2722</v>
      </c>
      <c r="P307" s="213" t="s">
        <v>2723</v>
      </c>
      <c r="Q307" s="213" t="s">
        <v>2724</v>
      </c>
      <c r="R307" s="213" t="s">
        <v>2725</v>
      </c>
      <c r="S307" s="213" t="s">
        <v>2726</v>
      </c>
      <c r="T307" s="213" t="s">
        <v>2727</v>
      </c>
      <c r="U307" s="213" t="s">
        <v>76739</v>
      </c>
    </row>
    <row r="308" spans="1:21" x14ac:dyDescent="0.25">
      <c r="A308" s="213" t="s">
        <v>327</v>
      </c>
      <c r="D308" s="213" t="s">
        <v>2728</v>
      </c>
      <c r="E308" s="213" t="s">
        <v>2729</v>
      </c>
      <c r="K308" s="213" t="s">
        <v>76611</v>
      </c>
      <c r="L308" s="213" t="s">
        <v>76654</v>
      </c>
      <c r="M308" s="213" t="s">
        <v>76697</v>
      </c>
      <c r="N308" s="213" t="s">
        <v>2730</v>
      </c>
      <c r="O308" s="213" t="s">
        <v>2731</v>
      </c>
      <c r="P308" s="213" t="s">
        <v>2732</v>
      </c>
      <c r="Q308" s="213" t="s">
        <v>2733</v>
      </c>
      <c r="R308" s="213" t="s">
        <v>2734</v>
      </c>
      <c r="S308" s="213" t="s">
        <v>2735</v>
      </c>
      <c r="T308" s="213" t="s">
        <v>2736</v>
      </c>
      <c r="U308" s="213" t="s">
        <v>76740</v>
      </c>
    </row>
    <row r="309" spans="1:21" x14ac:dyDescent="0.25">
      <c r="A309" s="213" t="s">
        <v>327</v>
      </c>
      <c r="D309" s="213" t="s">
        <v>2737</v>
      </c>
      <c r="E309" s="213" t="s">
        <v>2738</v>
      </c>
      <c r="K309" s="213" t="s">
        <v>76612</v>
      </c>
      <c r="L309" s="213" t="s">
        <v>76655</v>
      </c>
      <c r="M309" s="213" t="s">
        <v>76698</v>
      </c>
      <c r="N309" s="213" t="s">
        <v>2739</v>
      </c>
      <c r="O309" s="213" t="s">
        <v>2740</v>
      </c>
      <c r="P309" s="213" t="s">
        <v>2741</v>
      </c>
      <c r="Q309" s="213" t="s">
        <v>2742</v>
      </c>
      <c r="R309" s="213" t="s">
        <v>2743</v>
      </c>
      <c r="S309" s="213" t="s">
        <v>2744</v>
      </c>
      <c r="T309" s="213" t="s">
        <v>2745</v>
      </c>
      <c r="U309" s="213" t="s">
        <v>76741</v>
      </c>
    </row>
    <row r="310" spans="1:21" x14ac:dyDescent="0.25">
      <c r="A310" s="213" t="s">
        <v>327</v>
      </c>
    </row>
    <row r="311" spans="1:21" x14ac:dyDescent="0.25">
      <c r="A311" s="213" t="s">
        <v>327</v>
      </c>
    </row>
    <row r="312" spans="1:21" x14ac:dyDescent="0.25">
      <c r="A312" s="213" t="s">
        <v>327</v>
      </c>
      <c r="C312" s="213" t="s">
        <v>2746</v>
      </c>
      <c r="E312" s="213" t="s">
        <v>2747</v>
      </c>
      <c r="H312" s="213" t="s">
        <v>2748</v>
      </c>
      <c r="I312" s="213" t="s">
        <v>2749</v>
      </c>
      <c r="J312" s="213" t="s">
        <v>2750</v>
      </c>
      <c r="L312" s="213" t="s">
        <v>2751</v>
      </c>
      <c r="O312" s="213" t="s">
        <v>2752</v>
      </c>
      <c r="P312" s="213" t="s">
        <v>2753</v>
      </c>
      <c r="Q312" s="213" t="s">
        <v>2754</v>
      </c>
      <c r="R312" s="213" t="s">
        <v>2755</v>
      </c>
      <c r="S312" s="213" t="s">
        <v>2756</v>
      </c>
      <c r="T312" s="213" t="s">
        <v>2757</v>
      </c>
    </row>
    <row r="313" spans="1:21" x14ac:dyDescent="0.25">
      <c r="A313" s="213" t="s">
        <v>327</v>
      </c>
      <c r="C313" s="213" t="s">
        <v>2758</v>
      </c>
      <c r="E313" s="213" t="s">
        <v>2759</v>
      </c>
      <c r="I313" s="213" t="s">
        <v>2760</v>
      </c>
    </row>
    <row r="314" spans="1:21" x14ac:dyDescent="0.25">
      <c r="A314" s="213" t="s">
        <v>327</v>
      </c>
      <c r="C314" s="213" t="s">
        <v>2761</v>
      </c>
      <c r="E314" s="213" t="s">
        <v>2762</v>
      </c>
      <c r="I314" s="213" t="s">
        <v>2763</v>
      </c>
    </row>
    <row r="315" spans="1:21" x14ac:dyDescent="0.25">
      <c r="A315" s="213" t="s">
        <v>328</v>
      </c>
    </row>
    <row r="316" spans="1:21" x14ac:dyDescent="0.25">
      <c r="A316" s="213" t="s">
        <v>327</v>
      </c>
      <c r="D316" s="213" t="s">
        <v>2764</v>
      </c>
      <c r="E316" s="213" t="s">
        <v>2765</v>
      </c>
      <c r="K316" s="213" t="s">
        <v>76538</v>
      </c>
      <c r="L316" s="213" t="s">
        <v>76546</v>
      </c>
      <c r="M316" s="213" t="s">
        <v>76554</v>
      </c>
      <c r="N316" s="213" t="s">
        <v>2766</v>
      </c>
      <c r="O316" s="213" t="s">
        <v>2767</v>
      </c>
      <c r="P316" s="213" t="s">
        <v>2768</v>
      </c>
      <c r="Q316" s="213" t="s">
        <v>2769</v>
      </c>
      <c r="R316" s="213" t="s">
        <v>2770</v>
      </c>
      <c r="S316" s="213" t="s">
        <v>2771</v>
      </c>
      <c r="T316" s="213" t="s">
        <v>2772</v>
      </c>
      <c r="U316" s="213" t="s">
        <v>76562</v>
      </c>
    </row>
    <row r="317" spans="1:21" x14ac:dyDescent="0.25">
      <c r="A317" s="213" t="s">
        <v>327</v>
      </c>
      <c r="D317" s="213" t="s">
        <v>2773</v>
      </c>
      <c r="E317" s="213" t="s">
        <v>2774</v>
      </c>
      <c r="K317" s="213" t="s">
        <v>76539</v>
      </c>
      <c r="L317" s="213" t="s">
        <v>76547</v>
      </c>
      <c r="M317" s="213" t="s">
        <v>76555</v>
      </c>
      <c r="N317" s="213" t="s">
        <v>2775</v>
      </c>
      <c r="O317" s="213" t="s">
        <v>2776</v>
      </c>
      <c r="P317" s="213" t="s">
        <v>2777</v>
      </c>
      <c r="Q317" s="213" t="s">
        <v>2778</v>
      </c>
      <c r="R317" s="213" t="s">
        <v>2779</v>
      </c>
      <c r="S317" s="213" t="s">
        <v>2780</v>
      </c>
      <c r="T317" s="213" t="s">
        <v>2781</v>
      </c>
      <c r="U317" s="213" t="s">
        <v>76563</v>
      </c>
    </row>
    <row r="318" spans="1:21" x14ac:dyDescent="0.25">
      <c r="A318" s="213" t="s">
        <v>327</v>
      </c>
      <c r="D318" s="213" t="s">
        <v>2782</v>
      </c>
      <c r="E318" s="213" t="s">
        <v>2783</v>
      </c>
      <c r="K318" s="213" t="s">
        <v>76540</v>
      </c>
      <c r="L318" s="213" t="s">
        <v>76548</v>
      </c>
      <c r="M318" s="213" t="s">
        <v>76556</v>
      </c>
      <c r="N318" s="213" t="s">
        <v>2784</v>
      </c>
      <c r="O318" s="213" t="s">
        <v>2785</v>
      </c>
      <c r="P318" s="213" t="s">
        <v>2786</v>
      </c>
      <c r="Q318" s="213" t="s">
        <v>2787</v>
      </c>
      <c r="R318" s="213" t="s">
        <v>2788</v>
      </c>
      <c r="S318" s="213" t="s">
        <v>2789</v>
      </c>
      <c r="T318" s="213" t="s">
        <v>2790</v>
      </c>
      <c r="U318" s="213" t="s">
        <v>76564</v>
      </c>
    </row>
    <row r="319" spans="1:21" x14ac:dyDescent="0.25">
      <c r="A319" s="213" t="s">
        <v>327</v>
      </c>
      <c r="D319" s="213" t="s">
        <v>2791</v>
      </c>
      <c r="E319" s="213" t="s">
        <v>2792</v>
      </c>
      <c r="K319" s="213" t="s">
        <v>76541</v>
      </c>
      <c r="L319" s="213" t="s">
        <v>76549</v>
      </c>
      <c r="M319" s="213" t="s">
        <v>76557</v>
      </c>
      <c r="N319" s="213" t="s">
        <v>2793</v>
      </c>
      <c r="O319" s="213" t="s">
        <v>2794</v>
      </c>
      <c r="P319" s="213" t="s">
        <v>2795</v>
      </c>
      <c r="Q319" s="213" t="s">
        <v>2796</v>
      </c>
      <c r="R319" s="213" t="s">
        <v>2797</v>
      </c>
      <c r="S319" s="213" t="s">
        <v>2798</v>
      </c>
      <c r="T319" s="213" t="s">
        <v>2799</v>
      </c>
      <c r="U319" s="213" t="s">
        <v>76565</v>
      </c>
    </row>
    <row r="320" spans="1:21" x14ac:dyDescent="0.25">
      <c r="A320" s="213" t="s">
        <v>327</v>
      </c>
      <c r="D320" s="213" t="s">
        <v>2800</v>
      </c>
      <c r="E320" s="213" t="s">
        <v>2801</v>
      </c>
      <c r="K320" s="213" t="s">
        <v>76542</v>
      </c>
      <c r="L320" s="213" t="s">
        <v>76550</v>
      </c>
      <c r="M320" s="213" t="s">
        <v>76558</v>
      </c>
      <c r="N320" s="213" t="s">
        <v>2802</v>
      </c>
      <c r="O320" s="213" t="s">
        <v>2803</v>
      </c>
      <c r="P320" s="213" t="s">
        <v>2804</v>
      </c>
      <c r="Q320" s="213" t="s">
        <v>2805</v>
      </c>
      <c r="R320" s="213" t="s">
        <v>2806</v>
      </c>
      <c r="S320" s="213" t="s">
        <v>2807</v>
      </c>
      <c r="T320" s="213" t="s">
        <v>2808</v>
      </c>
      <c r="U320" s="213" t="s">
        <v>76566</v>
      </c>
    </row>
    <row r="321" spans="1:21" x14ac:dyDescent="0.25">
      <c r="A321" s="213" t="s">
        <v>327</v>
      </c>
      <c r="D321" s="213" t="s">
        <v>2809</v>
      </c>
      <c r="E321" s="213" t="s">
        <v>2810</v>
      </c>
      <c r="K321" s="213" t="s">
        <v>76543</v>
      </c>
      <c r="L321" s="213" t="s">
        <v>76551</v>
      </c>
      <c r="M321" s="213" t="s">
        <v>76559</v>
      </c>
      <c r="N321" s="213" t="s">
        <v>2811</v>
      </c>
      <c r="O321" s="213" t="s">
        <v>2812</v>
      </c>
      <c r="P321" s="213" t="s">
        <v>2813</v>
      </c>
      <c r="Q321" s="213" t="s">
        <v>2814</v>
      </c>
      <c r="R321" s="213" t="s">
        <v>2815</v>
      </c>
      <c r="S321" s="213" t="s">
        <v>2816</v>
      </c>
      <c r="T321" s="213" t="s">
        <v>2817</v>
      </c>
      <c r="U321" s="213" t="s">
        <v>76567</v>
      </c>
    </row>
    <row r="322" spans="1:21" x14ac:dyDescent="0.25">
      <c r="A322" s="213" t="s">
        <v>327</v>
      </c>
      <c r="D322" s="213" t="s">
        <v>2818</v>
      </c>
      <c r="E322" s="213" t="s">
        <v>2819</v>
      </c>
      <c r="K322" s="213" t="s">
        <v>76544</v>
      </c>
      <c r="L322" s="213" t="s">
        <v>76552</v>
      </c>
      <c r="M322" s="213" t="s">
        <v>76560</v>
      </c>
      <c r="N322" s="213" t="s">
        <v>2820</v>
      </c>
      <c r="O322" s="213" t="s">
        <v>2821</v>
      </c>
      <c r="P322" s="213" t="s">
        <v>2822</v>
      </c>
      <c r="Q322" s="213" t="s">
        <v>2823</v>
      </c>
      <c r="R322" s="213" t="s">
        <v>2824</v>
      </c>
      <c r="S322" s="213" t="s">
        <v>2825</v>
      </c>
      <c r="T322" s="213" t="s">
        <v>2826</v>
      </c>
      <c r="U322" s="213" t="s">
        <v>76568</v>
      </c>
    </row>
    <row r="323" spans="1:21" x14ac:dyDescent="0.25">
      <c r="A323" s="213" t="s">
        <v>327</v>
      </c>
      <c r="D323" s="213" t="s">
        <v>2827</v>
      </c>
      <c r="E323" s="213" t="s">
        <v>2828</v>
      </c>
      <c r="K323" s="213" t="s">
        <v>76545</v>
      </c>
      <c r="L323" s="213" t="s">
        <v>76553</v>
      </c>
      <c r="M323" s="213" t="s">
        <v>76561</v>
      </c>
      <c r="N323" s="213" t="s">
        <v>2829</v>
      </c>
      <c r="O323" s="213" t="s">
        <v>2830</v>
      </c>
      <c r="P323" s="213" t="s">
        <v>2831</v>
      </c>
      <c r="Q323" s="213" t="s">
        <v>2832</v>
      </c>
      <c r="R323" s="213" t="s">
        <v>2833</v>
      </c>
      <c r="S323" s="213" t="s">
        <v>2834</v>
      </c>
      <c r="T323" s="213" t="s">
        <v>2835</v>
      </c>
      <c r="U323" s="213" t="s">
        <v>76569</v>
      </c>
    </row>
    <row r="324" spans="1:21" x14ac:dyDescent="0.25">
      <c r="A324" s="213" t="s">
        <v>327</v>
      </c>
    </row>
    <row r="325" spans="1:21" x14ac:dyDescent="0.25">
      <c r="A325" s="213" t="s">
        <v>327</v>
      </c>
    </row>
    <row r="326" spans="1:21" x14ac:dyDescent="0.25">
      <c r="A326" s="213" t="s">
        <v>327</v>
      </c>
      <c r="C326" s="213" t="s">
        <v>2836</v>
      </c>
      <c r="E326" s="213" t="s">
        <v>2837</v>
      </c>
      <c r="H326" s="213" t="s">
        <v>2838</v>
      </c>
      <c r="I326" s="213" t="s">
        <v>2839</v>
      </c>
      <c r="J326" s="213" t="s">
        <v>2840</v>
      </c>
      <c r="L326" s="213" t="s">
        <v>2841</v>
      </c>
      <c r="O326" s="213" t="s">
        <v>2842</v>
      </c>
      <c r="P326" s="213" t="s">
        <v>2843</v>
      </c>
      <c r="Q326" s="213" t="s">
        <v>2844</v>
      </c>
      <c r="R326" s="213" t="s">
        <v>2845</v>
      </c>
      <c r="S326" s="213" t="s">
        <v>2846</v>
      </c>
      <c r="T326" s="213" t="s">
        <v>2847</v>
      </c>
    </row>
    <row r="327" spans="1:21" x14ac:dyDescent="0.25">
      <c r="A327" s="213" t="s">
        <v>327</v>
      </c>
      <c r="C327" s="213" t="s">
        <v>2848</v>
      </c>
      <c r="E327" s="213" t="s">
        <v>2849</v>
      </c>
      <c r="I327" s="213" t="s">
        <v>2850</v>
      </c>
    </row>
    <row r="328" spans="1:21" x14ac:dyDescent="0.25">
      <c r="A328" s="213" t="s">
        <v>327</v>
      </c>
      <c r="C328" s="213" t="s">
        <v>2851</v>
      </c>
      <c r="E328" s="213" t="s">
        <v>2852</v>
      </c>
      <c r="I328" s="213" t="s">
        <v>2853</v>
      </c>
    </row>
    <row r="329" spans="1:21" x14ac:dyDescent="0.25">
      <c r="A329" s="213" t="s">
        <v>328</v>
      </c>
    </row>
    <row r="330" spans="1:21" x14ac:dyDescent="0.25">
      <c r="A330" s="213" t="s">
        <v>327</v>
      </c>
      <c r="D330" s="213" t="s">
        <v>2854</v>
      </c>
      <c r="E330" s="213" t="s">
        <v>2855</v>
      </c>
      <c r="K330" s="213" t="s">
        <v>76430</v>
      </c>
      <c r="L330" s="213" t="s">
        <v>76457</v>
      </c>
      <c r="M330" s="213" t="s">
        <v>76484</v>
      </c>
      <c r="N330" s="213" t="s">
        <v>2856</v>
      </c>
      <c r="O330" s="213" t="s">
        <v>2857</v>
      </c>
      <c r="P330" s="213" t="s">
        <v>2858</v>
      </c>
      <c r="Q330" s="213" t="s">
        <v>2859</v>
      </c>
      <c r="R330" s="213" t="s">
        <v>2860</v>
      </c>
      <c r="S330" s="213" t="s">
        <v>2861</v>
      </c>
      <c r="T330" s="213" t="s">
        <v>2862</v>
      </c>
      <c r="U330" s="213" t="s">
        <v>76511</v>
      </c>
    </row>
    <row r="331" spans="1:21" x14ac:dyDescent="0.25">
      <c r="A331" s="213" t="s">
        <v>327</v>
      </c>
      <c r="D331" s="213" t="s">
        <v>2863</v>
      </c>
      <c r="E331" s="213" t="s">
        <v>2864</v>
      </c>
      <c r="K331" s="213" t="s">
        <v>76431</v>
      </c>
      <c r="L331" s="213" t="s">
        <v>76458</v>
      </c>
      <c r="M331" s="213" t="s">
        <v>76485</v>
      </c>
      <c r="N331" s="213" t="s">
        <v>2865</v>
      </c>
      <c r="O331" s="213" t="s">
        <v>2866</v>
      </c>
      <c r="P331" s="213" t="s">
        <v>2867</v>
      </c>
      <c r="Q331" s="213" t="s">
        <v>2868</v>
      </c>
      <c r="R331" s="213" t="s">
        <v>2869</v>
      </c>
      <c r="S331" s="213" t="s">
        <v>2870</v>
      </c>
      <c r="T331" s="213" t="s">
        <v>2871</v>
      </c>
      <c r="U331" s="213" t="s">
        <v>76512</v>
      </c>
    </row>
    <row r="332" spans="1:21" x14ac:dyDescent="0.25">
      <c r="A332" s="213" t="s">
        <v>327</v>
      </c>
      <c r="D332" s="213" t="s">
        <v>2872</v>
      </c>
      <c r="E332" s="213" t="s">
        <v>2873</v>
      </c>
      <c r="K332" s="213" t="s">
        <v>76432</v>
      </c>
      <c r="L332" s="213" t="s">
        <v>76459</v>
      </c>
      <c r="M332" s="213" t="s">
        <v>76486</v>
      </c>
      <c r="N332" s="213" t="s">
        <v>2874</v>
      </c>
      <c r="O332" s="213" t="s">
        <v>2875</v>
      </c>
      <c r="P332" s="213" t="s">
        <v>2876</v>
      </c>
      <c r="Q332" s="213" t="s">
        <v>2877</v>
      </c>
      <c r="R332" s="213" t="s">
        <v>2878</v>
      </c>
      <c r="S332" s="213" t="s">
        <v>2879</v>
      </c>
      <c r="T332" s="213" t="s">
        <v>2880</v>
      </c>
      <c r="U332" s="213" t="s">
        <v>76513</v>
      </c>
    </row>
    <row r="333" spans="1:21" x14ac:dyDescent="0.25">
      <c r="A333" s="213" t="s">
        <v>327</v>
      </c>
      <c r="D333" s="213" t="s">
        <v>2881</v>
      </c>
      <c r="E333" s="213" t="s">
        <v>2882</v>
      </c>
      <c r="K333" s="213" t="s">
        <v>76433</v>
      </c>
      <c r="L333" s="213" t="s">
        <v>76460</v>
      </c>
      <c r="M333" s="213" t="s">
        <v>76487</v>
      </c>
      <c r="N333" s="213" t="s">
        <v>2883</v>
      </c>
      <c r="O333" s="213" t="s">
        <v>2884</v>
      </c>
      <c r="P333" s="213" t="s">
        <v>2885</v>
      </c>
      <c r="Q333" s="213" t="s">
        <v>2886</v>
      </c>
      <c r="R333" s="213" t="s">
        <v>2887</v>
      </c>
      <c r="S333" s="213" t="s">
        <v>2888</v>
      </c>
      <c r="T333" s="213" t="s">
        <v>2889</v>
      </c>
      <c r="U333" s="213" t="s">
        <v>76514</v>
      </c>
    </row>
    <row r="334" spans="1:21" x14ac:dyDescent="0.25">
      <c r="A334" s="213" t="s">
        <v>327</v>
      </c>
      <c r="D334" s="213" t="s">
        <v>2890</v>
      </c>
      <c r="E334" s="213" t="s">
        <v>2891</v>
      </c>
      <c r="K334" s="213" t="s">
        <v>76434</v>
      </c>
      <c r="L334" s="213" t="s">
        <v>76461</v>
      </c>
      <c r="M334" s="213" t="s">
        <v>76488</v>
      </c>
      <c r="N334" s="213" t="s">
        <v>2892</v>
      </c>
      <c r="O334" s="213" t="s">
        <v>2893</v>
      </c>
      <c r="P334" s="213" t="s">
        <v>2894</v>
      </c>
      <c r="Q334" s="213" t="s">
        <v>2895</v>
      </c>
      <c r="R334" s="213" t="s">
        <v>2896</v>
      </c>
      <c r="S334" s="213" t="s">
        <v>2897</v>
      </c>
      <c r="T334" s="213" t="s">
        <v>2898</v>
      </c>
      <c r="U334" s="213" t="s">
        <v>76515</v>
      </c>
    </row>
    <row r="335" spans="1:21" x14ac:dyDescent="0.25">
      <c r="A335" s="213" t="s">
        <v>327</v>
      </c>
      <c r="D335" s="213" t="s">
        <v>2899</v>
      </c>
      <c r="E335" s="213" t="s">
        <v>2900</v>
      </c>
      <c r="K335" s="213" t="s">
        <v>76435</v>
      </c>
      <c r="L335" s="213" t="s">
        <v>76462</v>
      </c>
      <c r="M335" s="213" t="s">
        <v>76489</v>
      </c>
      <c r="N335" s="213" t="s">
        <v>2901</v>
      </c>
      <c r="O335" s="213" t="s">
        <v>2902</v>
      </c>
      <c r="P335" s="213" t="s">
        <v>2903</v>
      </c>
      <c r="Q335" s="213" t="s">
        <v>2904</v>
      </c>
      <c r="R335" s="213" t="s">
        <v>2905</v>
      </c>
      <c r="S335" s="213" t="s">
        <v>2906</v>
      </c>
      <c r="T335" s="213" t="s">
        <v>2907</v>
      </c>
      <c r="U335" s="213" t="s">
        <v>76516</v>
      </c>
    </row>
    <row r="336" spans="1:21" x14ac:dyDescent="0.25">
      <c r="A336" s="213" t="s">
        <v>327</v>
      </c>
      <c r="D336" s="213" t="s">
        <v>2908</v>
      </c>
      <c r="E336" s="213" t="s">
        <v>2909</v>
      </c>
      <c r="K336" s="213" t="s">
        <v>76436</v>
      </c>
      <c r="L336" s="213" t="s">
        <v>76463</v>
      </c>
      <c r="M336" s="213" t="s">
        <v>76490</v>
      </c>
      <c r="N336" s="213" t="s">
        <v>2910</v>
      </c>
      <c r="O336" s="213" t="s">
        <v>2911</v>
      </c>
      <c r="P336" s="213" t="s">
        <v>2912</v>
      </c>
      <c r="Q336" s="213" t="s">
        <v>2913</v>
      </c>
      <c r="R336" s="213" t="s">
        <v>2914</v>
      </c>
      <c r="S336" s="213" t="s">
        <v>2915</v>
      </c>
      <c r="T336" s="213" t="s">
        <v>2916</v>
      </c>
      <c r="U336" s="213" t="s">
        <v>76517</v>
      </c>
    </row>
    <row r="337" spans="1:21" x14ac:dyDescent="0.25">
      <c r="A337" s="213" t="s">
        <v>327</v>
      </c>
      <c r="D337" s="213" t="s">
        <v>2917</v>
      </c>
      <c r="E337" s="213" t="s">
        <v>2918</v>
      </c>
      <c r="K337" s="213" t="s">
        <v>76437</v>
      </c>
      <c r="L337" s="213" t="s">
        <v>76464</v>
      </c>
      <c r="M337" s="213" t="s">
        <v>76491</v>
      </c>
      <c r="N337" s="213" t="s">
        <v>2919</v>
      </c>
      <c r="O337" s="213" t="s">
        <v>2920</v>
      </c>
      <c r="P337" s="213" t="s">
        <v>2921</v>
      </c>
      <c r="Q337" s="213" t="s">
        <v>2922</v>
      </c>
      <c r="R337" s="213" t="s">
        <v>2923</v>
      </c>
      <c r="S337" s="213" t="s">
        <v>2924</v>
      </c>
      <c r="T337" s="213" t="s">
        <v>2925</v>
      </c>
      <c r="U337" s="213" t="s">
        <v>76518</v>
      </c>
    </row>
    <row r="338" spans="1:21" x14ac:dyDescent="0.25">
      <c r="A338" s="213" t="s">
        <v>327</v>
      </c>
      <c r="D338" s="213" t="s">
        <v>2926</v>
      </c>
      <c r="E338" s="213" t="s">
        <v>2927</v>
      </c>
      <c r="K338" s="213" t="s">
        <v>76438</v>
      </c>
      <c r="L338" s="213" t="s">
        <v>76465</v>
      </c>
      <c r="M338" s="213" t="s">
        <v>76492</v>
      </c>
      <c r="N338" s="213" t="s">
        <v>2928</v>
      </c>
      <c r="O338" s="213" t="s">
        <v>2929</v>
      </c>
      <c r="P338" s="213" t="s">
        <v>2930</v>
      </c>
      <c r="Q338" s="213" t="s">
        <v>2931</v>
      </c>
      <c r="R338" s="213" t="s">
        <v>2932</v>
      </c>
      <c r="S338" s="213" t="s">
        <v>2933</v>
      </c>
      <c r="T338" s="213" t="s">
        <v>2934</v>
      </c>
      <c r="U338" s="213" t="s">
        <v>76519</v>
      </c>
    </row>
    <row r="339" spans="1:21" x14ac:dyDescent="0.25">
      <c r="A339" s="213" t="s">
        <v>327</v>
      </c>
      <c r="D339" s="213" t="s">
        <v>2935</v>
      </c>
      <c r="E339" s="213" t="s">
        <v>2936</v>
      </c>
      <c r="K339" s="213" t="s">
        <v>76439</v>
      </c>
      <c r="L339" s="213" t="s">
        <v>76466</v>
      </c>
      <c r="M339" s="213" t="s">
        <v>76493</v>
      </c>
      <c r="N339" s="213" t="s">
        <v>2937</v>
      </c>
      <c r="O339" s="213" t="s">
        <v>2938</v>
      </c>
      <c r="P339" s="213" t="s">
        <v>2939</v>
      </c>
      <c r="Q339" s="213" t="s">
        <v>2940</v>
      </c>
      <c r="R339" s="213" t="s">
        <v>2941</v>
      </c>
      <c r="S339" s="213" t="s">
        <v>2942</v>
      </c>
      <c r="T339" s="213" t="s">
        <v>2943</v>
      </c>
      <c r="U339" s="213" t="s">
        <v>76520</v>
      </c>
    </row>
    <row r="340" spans="1:21" x14ac:dyDescent="0.25">
      <c r="A340" s="213" t="s">
        <v>327</v>
      </c>
      <c r="D340" s="213" t="s">
        <v>2944</v>
      </c>
      <c r="E340" s="213" t="s">
        <v>2945</v>
      </c>
      <c r="K340" s="213" t="s">
        <v>76440</v>
      </c>
      <c r="L340" s="213" t="s">
        <v>76467</v>
      </c>
      <c r="M340" s="213" t="s">
        <v>76494</v>
      </c>
      <c r="N340" s="213" t="s">
        <v>2946</v>
      </c>
      <c r="O340" s="213" t="s">
        <v>2947</v>
      </c>
      <c r="P340" s="213" t="s">
        <v>2948</v>
      </c>
      <c r="Q340" s="213" t="s">
        <v>2949</v>
      </c>
      <c r="R340" s="213" t="s">
        <v>2950</v>
      </c>
      <c r="S340" s="213" t="s">
        <v>2951</v>
      </c>
      <c r="T340" s="213" t="s">
        <v>2952</v>
      </c>
      <c r="U340" s="213" t="s">
        <v>76521</v>
      </c>
    </row>
    <row r="341" spans="1:21" x14ac:dyDescent="0.25">
      <c r="A341" s="213" t="s">
        <v>327</v>
      </c>
      <c r="D341" s="213" t="s">
        <v>2953</v>
      </c>
      <c r="E341" s="213" t="s">
        <v>2954</v>
      </c>
      <c r="K341" s="213" t="s">
        <v>76441</v>
      </c>
      <c r="L341" s="213" t="s">
        <v>76468</v>
      </c>
      <c r="M341" s="213" t="s">
        <v>76495</v>
      </c>
      <c r="N341" s="213" t="s">
        <v>2955</v>
      </c>
      <c r="O341" s="213" t="s">
        <v>2956</v>
      </c>
      <c r="P341" s="213" t="s">
        <v>2957</v>
      </c>
      <c r="Q341" s="213" t="s">
        <v>2958</v>
      </c>
      <c r="R341" s="213" t="s">
        <v>2959</v>
      </c>
      <c r="S341" s="213" t="s">
        <v>2960</v>
      </c>
      <c r="T341" s="213" t="s">
        <v>2961</v>
      </c>
      <c r="U341" s="213" t="s">
        <v>76522</v>
      </c>
    </row>
    <row r="342" spans="1:21" x14ac:dyDescent="0.25">
      <c r="A342" s="213" t="s">
        <v>327</v>
      </c>
      <c r="D342" s="213" t="s">
        <v>2962</v>
      </c>
      <c r="E342" s="213" t="s">
        <v>2963</v>
      </c>
      <c r="K342" s="213" t="s">
        <v>76442</v>
      </c>
      <c r="L342" s="213" t="s">
        <v>76469</v>
      </c>
      <c r="M342" s="213" t="s">
        <v>76496</v>
      </c>
      <c r="N342" s="213" t="s">
        <v>2964</v>
      </c>
      <c r="O342" s="213" t="s">
        <v>2965</v>
      </c>
      <c r="P342" s="213" t="s">
        <v>2966</v>
      </c>
      <c r="Q342" s="213" t="s">
        <v>2967</v>
      </c>
      <c r="R342" s="213" t="s">
        <v>2968</v>
      </c>
      <c r="S342" s="213" t="s">
        <v>2969</v>
      </c>
      <c r="T342" s="213" t="s">
        <v>2970</v>
      </c>
      <c r="U342" s="213" t="s">
        <v>76523</v>
      </c>
    </row>
    <row r="343" spans="1:21" x14ac:dyDescent="0.25">
      <c r="A343" s="213" t="s">
        <v>327</v>
      </c>
      <c r="D343" s="213" t="s">
        <v>2971</v>
      </c>
      <c r="E343" s="213" t="s">
        <v>2972</v>
      </c>
      <c r="K343" s="213" t="s">
        <v>76443</v>
      </c>
      <c r="L343" s="213" t="s">
        <v>76470</v>
      </c>
      <c r="M343" s="213" t="s">
        <v>76497</v>
      </c>
      <c r="N343" s="213" t="s">
        <v>2973</v>
      </c>
      <c r="O343" s="213" t="s">
        <v>2974</v>
      </c>
      <c r="P343" s="213" t="s">
        <v>2975</v>
      </c>
      <c r="Q343" s="213" t="s">
        <v>2976</v>
      </c>
      <c r="R343" s="213" t="s">
        <v>2977</v>
      </c>
      <c r="S343" s="213" t="s">
        <v>2978</v>
      </c>
      <c r="T343" s="213" t="s">
        <v>2979</v>
      </c>
      <c r="U343" s="213" t="s">
        <v>76524</v>
      </c>
    </row>
    <row r="344" spans="1:21" x14ac:dyDescent="0.25">
      <c r="A344" s="213" t="s">
        <v>327</v>
      </c>
      <c r="D344" s="213" t="s">
        <v>2980</v>
      </c>
      <c r="E344" s="213" t="s">
        <v>2981</v>
      </c>
      <c r="K344" s="213" t="s">
        <v>76444</v>
      </c>
      <c r="L344" s="213" t="s">
        <v>76471</v>
      </c>
      <c r="M344" s="213" t="s">
        <v>76498</v>
      </c>
      <c r="N344" s="213" t="s">
        <v>2982</v>
      </c>
      <c r="O344" s="213" t="s">
        <v>2983</v>
      </c>
      <c r="P344" s="213" t="s">
        <v>2984</v>
      </c>
      <c r="Q344" s="213" t="s">
        <v>2985</v>
      </c>
      <c r="R344" s="213" t="s">
        <v>2986</v>
      </c>
      <c r="S344" s="213" t="s">
        <v>2987</v>
      </c>
      <c r="T344" s="213" t="s">
        <v>2988</v>
      </c>
      <c r="U344" s="213" t="s">
        <v>76525</v>
      </c>
    </row>
    <row r="345" spans="1:21" x14ac:dyDescent="0.25">
      <c r="A345" s="213" t="s">
        <v>327</v>
      </c>
      <c r="D345" s="213" t="s">
        <v>2989</v>
      </c>
      <c r="E345" s="213" t="s">
        <v>2990</v>
      </c>
      <c r="K345" s="213" t="s">
        <v>76445</v>
      </c>
      <c r="L345" s="213" t="s">
        <v>76472</v>
      </c>
      <c r="M345" s="213" t="s">
        <v>76499</v>
      </c>
      <c r="N345" s="213" t="s">
        <v>2991</v>
      </c>
      <c r="O345" s="213" t="s">
        <v>2992</v>
      </c>
      <c r="P345" s="213" t="s">
        <v>2993</v>
      </c>
      <c r="Q345" s="213" t="s">
        <v>2994</v>
      </c>
      <c r="R345" s="213" t="s">
        <v>2995</v>
      </c>
      <c r="S345" s="213" t="s">
        <v>2996</v>
      </c>
      <c r="T345" s="213" t="s">
        <v>2997</v>
      </c>
      <c r="U345" s="213" t="s">
        <v>76526</v>
      </c>
    </row>
    <row r="346" spans="1:21" x14ac:dyDescent="0.25">
      <c r="A346" s="213" t="s">
        <v>327</v>
      </c>
      <c r="D346" s="213" t="s">
        <v>2998</v>
      </c>
      <c r="E346" s="213" t="s">
        <v>2999</v>
      </c>
      <c r="K346" s="213" t="s">
        <v>76446</v>
      </c>
      <c r="L346" s="213" t="s">
        <v>76473</v>
      </c>
      <c r="M346" s="213" t="s">
        <v>76500</v>
      </c>
      <c r="N346" s="213" t="s">
        <v>3000</v>
      </c>
      <c r="O346" s="213" t="s">
        <v>3001</v>
      </c>
      <c r="P346" s="213" t="s">
        <v>3002</v>
      </c>
      <c r="Q346" s="213" t="s">
        <v>3003</v>
      </c>
      <c r="R346" s="213" t="s">
        <v>3004</v>
      </c>
      <c r="S346" s="213" t="s">
        <v>3005</v>
      </c>
      <c r="T346" s="213" t="s">
        <v>3006</v>
      </c>
      <c r="U346" s="213" t="s">
        <v>76527</v>
      </c>
    </row>
    <row r="347" spans="1:21" x14ac:dyDescent="0.25">
      <c r="A347" s="213" t="s">
        <v>327</v>
      </c>
      <c r="D347" s="213" t="s">
        <v>3007</v>
      </c>
      <c r="E347" s="213" t="s">
        <v>3008</v>
      </c>
      <c r="K347" s="213" t="s">
        <v>76447</v>
      </c>
      <c r="L347" s="213" t="s">
        <v>76474</v>
      </c>
      <c r="M347" s="213" t="s">
        <v>76501</v>
      </c>
      <c r="N347" s="213" t="s">
        <v>3009</v>
      </c>
      <c r="O347" s="213" t="s">
        <v>3010</v>
      </c>
      <c r="P347" s="213" t="s">
        <v>3011</v>
      </c>
      <c r="Q347" s="213" t="s">
        <v>3012</v>
      </c>
      <c r="R347" s="213" t="s">
        <v>3013</v>
      </c>
      <c r="S347" s="213" t="s">
        <v>3014</v>
      </c>
      <c r="T347" s="213" t="s">
        <v>3015</v>
      </c>
      <c r="U347" s="213" t="s">
        <v>76528</v>
      </c>
    </row>
    <row r="348" spans="1:21" x14ac:dyDescent="0.25">
      <c r="A348" s="213" t="s">
        <v>327</v>
      </c>
      <c r="D348" s="213" t="s">
        <v>3016</v>
      </c>
      <c r="E348" s="213" t="s">
        <v>3017</v>
      </c>
      <c r="K348" s="213" t="s">
        <v>76448</v>
      </c>
      <c r="L348" s="213" t="s">
        <v>76475</v>
      </c>
      <c r="M348" s="213" t="s">
        <v>76502</v>
      </c>
      <c r="N348" s="213" t="s">
        <v>3018</v>
      </c>
      <c r="O348" s="213" t="s">
        <v>3019</v>
      </c>
      <c r="P348" s="213" t="s">
        <v>3020</v>
      </c>
      <c r="Q348" s="213" t="s">
        <v>3021</v>
      </c>
      <c r="R348" s="213" t="s">
        <v>3022</v>
      </c>
      <c r="S348" s="213" t="s">
        <v>3023</v>
      </c>
      <c r="T348" s="213" t="s">
        <v>3024</v>
      </c>
      <c r="U348" s="213" t="s">
        <v>76529</v>
      </c>
    </row>
    <row r="349" spans="1:21" x14ac:dyDescent="0.25">
      <c r="A349" s="213" t="s">
        <v>327</v>
      </c>
      <c r="D349" s="213" t="s">
        <v>3025</v>
      </c>
      <c r="E349" s="213" t="s">
        <v>3026</v>
      </c>
      <c r="K349" s="213" t="s">
        <v>76449</v>
      </c>
      <c r="L349" s="213" t="s">
        <v>76476</v>
      </c>
      <c r="M349" s="213" t="s">
        <v>76503</v>
      </c>
      <c r="N349" s="213" t="s">
        <v>3027</v>
      </c>
      <c r="O349" s="213" t="s">
        <v>3028</v>
      </c>
      <c r="P349" s="213" t="s">
        <v>3029</v>
      </c>
      <c r="Q349" s="213" t="s">
        <v>3030</v>
      </c>
      <c r="R349" s="213" t="s">
        <v>3031</v>
      </c>
      <c r="S349" s="213" t="s">
        <v>3032</v>
      </c>
      <c r="T349" s="213" t="s">
        <v>3033</v>
      </c>
      <c r="U349" s="213" t="s">
        <v>76530</v>
      </c>
    </row>
    <row r="350" spans="1:21" x14ac:dyDescent="0.25">
      <c r="A350" s="213" t="s">
        <v>327</v>
      </c>
      <c r="D350" s="213" t="s">
        <v>3034</v>
      </c>
      <c r="E350" s="213" t="s">
        <v>3035</v>
      </c>
      <c r="K350" s="213" t="s">
        <v>76450</v>
      </c>
      <c r="L350" s="213" t="s">
        <v>76477</v>
      </c>
      <c r="M350" s="213" t="s">
        <v>76504</v>
      </c>
      <c r="N350" s="213" t="s">
        <v>3036</v>
      </c>
      <c r="O350" s="213" t="s">
        <v>3037</v>
      </c>
      <c r="P350" s="213" t="s">
        <v>3038</v>
      </c>
      <c r="Q350" s="213" t="s">
        <v>3039</v>
      </c>
      <c r="R350" s="213" t="s">
        <v>3040</v>
      </c>
      <c r="S350" s="213" t="s">
        <v>3041</v>
      </c>
      <c r="T350" s="213" t="s">
        <v>3042</v>
      </c>
      <c r="U350" s="213" t="s">
        <v>76531</v>
      </c>
    </row>
    <row r="351" spans="1:21" x14ac:dyDescent="0.25">
      <c r="A351" s="213" t="s">
        <v>327</v>
      </c>
      <c r="D351" s="213" t="s">
        <v>3043</v>
      </c>
      <c r="E351" s="213" t="s">
        <v>3044</v>
      </c>
      <c r="K351" s="213" t="s">
        <v>76451</v>
      </c>
      <c r="L351" s="213" t="s">
        <v>76478</v>
      </c>
      <c r="M351" s="213" t="s">
        <v>76505</v>
      </c>
      <c r="N351" s="213" t="s">
        <v>3045</v>
      </c>
      <c r="O351" s="213" t="s">
        <v>3046</v>
      </c>
      <c r="P351" s="213" t="s">
        <v>3047</v>
      </c>
      <c r="Q351" s="213" t="s">
        <v>3048</v>
      </c>
      <c r="R351" s="213" t="s">
        <v>3049</v>
      </c>
      <c r="S351" s="213" t="s">
        <v>3050</v>
      </c>
      <c r="T351" s="213" t="s">
        <v>3051</v>
      </c>
      <c r="U351" s="213" t="s">
        <v>76532</v>
      </c>
    </row>
    <row r="352" spans="1:21" x14ac:dyDescent="0.25">
      <c r="A352" s="213" t="s">
        <v>327</v>
      </c>
      <c r="D352" s="213" t="s">
        <v>3052</v>
      </c>
      <c r="E352" s="213" t="s">
        <v>3053</v>
      </c>
      <c r="K352" s="213" t="s">
        <v>76452</v>
      </c>
      <c r="L352" s="213" t="s">
        <v>76479</v>
      </c>
      <c r="M352" s="213" t="s">
        <v>76506</v>
      </c>
      <c r="N352" s="213" t="s">
        <v>3054</v>
      </c>
      <c r="O352" s="213" t="s">
        <v>3055</v>
      </c>
      <c r="P352" s="213" t="s">
        <v>3056</v>
      </c>
      <c r="Q352" s="213" t="s">
        <v>3057</v>
      </c>
      <c r="R352" s="213" t="s">
        <v>3058</v>
      </c>
      <c r="S352" s="213" t="s">
        <v>3059</v>
      </c>
      <c r="T352" s="213" t="s">
        <v>3060</v>
      </c>
      <c r="U352" s="213" t="s">
        <v>76533</v>
      </c>
    </row>
    <row r="353" spans="1:21" x14ac:dyDescent="0.25">
      <c r="A353" s="213" t="s">
        <v>327</v>
      </c>
      <c r="D353" s="213" t="s">
        <v>3061</v>
      </c>
      <c r="E353" s="213" t="s">
        <v>3062</v>
      </c>
      <c r="K353" s="213" t="s">
        <v>76453</v>
      </c>
      <c r="L353" s="213" t="s">
        <v>76480</v>
      </c>
      <c r="M353" s="213" t="s">
        <v>76507</v>
      </c>
      <c r="N353" s="213" t="s">
        <v>3063</v>
      </c>
      <c r="O353" s="213" t="s">
        <v>3064</v>
      </c>
      <c r="P353" s="213" t="s">
        <v>3065</v>
      </c>
      <c r="Q353" s="213" t="s">
        <v>3066</v>
      </c>
      <c r="R353" s="213" t="s">
        <v>3067</v>
      </c>
      <c r="S353" s="213" t="s">
        <v>3068</v>
      </c>
      <c r="T353" s="213" t="s">
        <v>3069</v>
      </c>
      <c r="U353" s="213" t="s">
        <v>76534</v>
      </c>
    </row>
    <row r="354" spans="1:21" x14ac:dyDescent="0.25">
      <c r="A354" s="213" t="s">
        <v>327</v>
      </c>
      <c r="D354" s="213" t="s">
        <v>3070</v>
      </c>
      <c r="E354" s="213" t="s">
        <v>3071</v>
      </c>
      <c r="K354" s="213" t="s">
        <v>76454</v>
      </c>
      <c r="L354" s="213" t="s">
        <v>76481</v>
      </c>
      <c r="M354" s="213" t="s">
        <v>76508</v>
      </c>
      <c r="N354" s="213" t="s">
        <v>3072</v>
      </c>
      <c r="O354" s="213" t="s">
        <v>3073</v>
      </c>
      <c r="P354" s="213" t="s">
        <v>3074</v>
      </c>
      <c r="Q354" s="213" t="s">
        <v>3075</v>
      </c>
      <c r="R354" s="213" t="s">
        <v>3076</v>
      </c>
      <c r="S354" s="213" t="s">
        <v>3077</v>
      </c>
      <c r="T354" s="213" t="s">
        <v>3078</v>
      </c>
      <c r="U354" s="213" t="s">
        <v>76535</v>
      </c>
    </row>
    <row r="355" spans="1:21" x14ac:dyDescent="0.25">
      <c r="A355" s="213" t="s">
        <v>327</v>
      </c>
      <c r="D355" s="213" t="s">
        <v>3079</v>
      </c>
      <c r="E355" s="213" t="s">
        <v>3080</v>
      </c>
      <c r="K355" s="213" t="s">
        <v>76455</v>
      </c>
      <c r="L355" s="213" t="s">
        <v>76482</v>
      </c>
      <c r="M355" s="213" t="s">
        <v>76509</v>
      </c>
      <c r="N355" s="213" t="s">
        <v>3081</v>
      </c>
      <c r="O355" s="213" t="s">
        <v>3082</v>
      </c>
      <c r="P355" s="213" t="s">
        <v>3083</v>
      </c>
      <c r="Q355" s="213" t="s">
        <v>3084</v>
      </c>
      <c r="R355" s="213" t="s">
        <v>3085</v>
      </c>
      <c r="S355" s="213" t="s">
        <v>3086</v>
      </c>
      <c r="T355" s="213" t="s">
        <v>3087</v>
      </c>
      <c r="U355" s="213" t="s">
        <v>76536</v>
      </c>
    </row>
    <row r="356" spans="1:21" x14ac:dyDescent="0.25">
      <c r="A356" s="213" t="s">
        <v>327</v>
      </c>
      <c r="D356" s="213" t="s">
        <v>3088</v>
      </c>
      <c r="E356" s="213" t="s">
        <v>3089</v>
      </c>
      <c r="K356" s="213" t="s">
        <v>76456</v>
      </c>
      <c r="L356" s="213" t="s">
        <v>76483</v>
      </c>
      <c r="M356" s="213" t="s">
        <v>76510</v>
      </c>
      <c r="N356" s="213" t="s">
        <v>3090</v>
      </c>
      <c r="O356" s="213" t="s">
        <v>3091</v>
      </c>
      <c r="P356" s="213" t="s">
        <v>3092</v>
      </c>
      <c r="Q356" s="213" t="s">
        <v>3093</v>
      </c>
      <c r="R356" s="213" t="s">
        <v>3094</v>
      </c>
      <c r="S356" s="213" t="s">
        <v>3095</v>
      </c>
      <c r="T356" s="213" t="s">
        <v>3096</v>
      </c>
      <c r="U356" s="213" t="s">
        <v>76537</v>
      </c>
    </row>
    <row r="357" spans="1:21" x14ac:dyDescent="0.25">
      <c r="A357" s="213" t="s">
        <v>327</v>
      </c>
    </row>
    <row r="358" spans="1:21" x14ac:dyDescent="0.25">
      <c r="A358" s="213" t="s">
        <v>327</v>
      </c>
    </row>
    <row r="359" spans="1:21" x14ac:dyDescent="0.25">
      <c r="A359" s="213" t="s">
        <v>327</v>
      </c>
      <c r="C359" s="213" t="s">
        <v>3097</v>
      </c>
      <c r="E359" s="213" t="s">
        <v>3098</v>
      </c>
      <c r="H359" s="213" t="s">
        <v>3099</v>
      </c>
      <c r="I359" s="213" t="s">
        <v>3100</v>
      </c>
      <c r="J359" s="213" t="s">
        <v>3101</v>
      </c>
      <c r="L359" s="213" t="s">
        <v>3102</v>
      </c>
      <c r="O359" s="213" t="s">
        <v>3103</v>
      </c>
      <c r="P359" s="213" t="s">
        <v>3104</v>
      </c>
      <c r="Q359" s="213" t="s">
        <v>3105</v>
      </c>
      <c r="R359" s="213" t="s">
        <v>3106</v>
      </c>
      <c r="S359" s="213" t="s">
        <v>3107</v>
      </c>
      <c r="T359" s="213" t="s">
        <v>3108</v>
      </c>
    </row>
    <row r="360" spans="1:21" x14ac:dyDescent="0.25">
      <c r="A360" s="213" t="s">
        <v>327</v>
      </c>
      <c r="C360" s="213" t="s">
        <v>3109</v>
      </c>
      <c r="E360" s="213" t="s">
        <v>3110</v>
      </c>
      <c r="I360" s="213" t="s">
        <v>3111</v>
      </c>
    </row>
    <row r="361" spans="1:21" x14ac:dyDescent="0.25">
      <c r="A361" s="213" t="s">
        <v>327</v>
      </c>
      <c r="C361" s="213" t="s">
        <v>3112</v>
      </c>
      <c r="E361" s="213" t="s">
        <v>3113</v>
      </c>
      <c r="I361" s="213" t="s">
        <v>3114</v>
      </c>
    </row>
    <row r="362" spans="1:21" x14ac:dyDescent="0.25">
      <c r="A362" s="213" t="s">
        <v>328</v>
      </c>
    </row>
    <row r="363" spans="1:21" x14ac:dyDescent="0.25">
      <c r="A363" s="213" t="s">
        <v>327</v>
      </c>
      <c r="D363" s="213" t="s">
        <v>3115</v>
      </c>
      <c r="E363" s="213" t="s">
        <v>3116</v>
      </c>
      <c r="K363" s="213" t="s">
        <v>76390</v>
      </c>
      <c r="L363" s="213" t="s">
        <v>76400</v>
      </c>
      <c r="M363" s="213" t="s">
        <v>76410</v>
      </c>
      <c r="N363" s="213" t="s">
        <v>3117</v>
      </c>
      <c r="O363" s="213" t="s">
        <v>3118</v>
      </c>
      <c r="P363" s="213" t="s">
        <v>3119</v>
      </c>
      <c r="Q363" s="213" t="s">
        <v>3120</v>
      </c>
      <c r="R363" s="213" t="s">
        <v>3121</v>
      </c>
      <c r="S363" s="213" t="s">
        <v>3122</v>
      </c>
      <c r="T363" s="213" t="s">
        <v>3123</v>
      </c>
      <c r="U363" s="213" t="s">
        <v>76420</v>
      </c>
    </row>
    <row r="364" spans="1:21" x14ac:dyDescent="0.25">
      <c r="A364" s="213" t="s">
        <v>327</v>
      </c>
      <c r="D364" s="213" t="s">
        <v>3124</v>
      </c>
      <c r="E364" s="213" t="s">
        <v>3125</v>
      </c>
      <c r="K364" s="213" t="s">
        <v>76391</v>
      </c>
      <c r="L364" s="213" t="s">
        <v>76401</v>
      </c>
      <c r="M364" s="213" t="s">
        <v>76411</v>
      </c>
      <c r="N364" s="213" t="s">
        <v>3126</v>
      </c>
      <c r="O364" s="213" t="s">
        <v>3127</v>
      </c>
      <c r="P364" s="213" t="s">
        <v>3128</v>
      </c>
      <c r="Q364" s="213" t="s">
        <v>3129</v>
      </c>
      <c r="R364" s="213" t="s">
        <v>3130</v>
      </c>
      <c r="S364" s="213" t="s">
        <v>3131</v>
      </c>
      <c r="T364" s="213" t="s">
        <v>3132</v>
      </c>
      <c r="U364" s="213" t="s">
        <v>76421</v>
      </c>
    </row>
    <row r="365" spans="1:21" x14ac:dyDescent="0.25">
      <c r="A365" s="213" t="s">
        <v>327</v>
      </c>
      <c r="D365" s="213" t="s">
        <v>3133</v>
      </c>
      <c r="E365" s="213" t="s">
        <v>3134</v>
      </c>
      <c r="K365" s="213" t="s">
        <v>76392</v>
      </c>
      <c r="L365" s="213" t="s">
        <v>76402</v>
      </c>
      <c r="M365" s="213" t="s">
        <v>76412</v>
      </c>
      <c r="N365" s="213" t="s">
        <v>3135</v>
      </c>
      <c r="O365" s="213" t="s">
        <v>3136</v>
      </c>
      <c r="P365" s="213" t="s">
        <v>3137</v>
      </c>
      <c r="Q365" s="213" t="s">
        <v>3138</v>
      </c>
      <c r="R365" s="213" t="s">
        <v>3139</v>
      </c>
      <c r="S365" s="213" t="s">
        <v>3140</v>
      </c>
      <c r="T365" s="213" t="s">
        <v>3141</v>
      </c>
      <c r="U365" s="213" t="s">
        <v>76422</v>
      </c>
    </row>
    <row r="366" spans="1:21" x14ac:dyDescent="0.25">
      <c r="A366" s="213" t="s">
        <v>327</v>
      </c>
      <c r="D366" s="213" t="s">
        <v>3142</v>
      </c>
      <c r="E366" s="213" t="s">
        <v>3143</v>
      </c>
      <c r="K366" s="213" t="s">
        <v>76393</v>
      </c>
      <c r="L366" s="213" t="s">
        <v>76403</v>
      </c>
      <c r="M366" s="213" t="s">
        <v>76413</v>
      </c>
      <c r="N366" s="213" t="s">
        <v>3144</v>
      </c>
      <c r="O366" s="213" t="s">
        <v>3145</v>
      </c>
      <c r="P366" s="213" t="s">
        <v>3146</v>
      </c>
      <c r="Q366" s="213" t="s">
        <v>3147</v>
      </c>
      <c r="R366" s="213" t="s">
        <v>3148</v>
      </c>
      <c r="S366" s="213" t="s">
        <v>3149</v>
      </c>
      <c r="T366" s="213" t="s">
        <v>3150</v>
      </c>
      <c r="U366" s="213" t="s">
        <v>76423</v>
      </c>
    </row>
    <row r="367" spans="1:21" x14ac:dyDescent="0.25">
      <c r="A367" s="213" t="s">
        <v>327</v>
      </c>
      <c r="D367" s="213" t="s">
        <v>3151</v>
      </c>
      <c r="E367" s="213" t="s">
        <v>3152</v>
      </c>
      <c r="K367" s="213" t="s">
        <v>76394</v>
      </c>
      <c r="L367" s="213" t="s">
        <v>76404</v>
      </c>
      <c r="M367" s="213" t="s">
        <v>76414</v>
      </c>
      <c r="N367" s="213" t="s">
        <v>3153</v>
      </c>
      <c r="O367" s="213" t="s">
        <v>3154</v>
      </c>
      <c r="P367" s="213" t="s">
        <v>3155</v>
      </c>
      <c r="Q367" s="213" t="s">
        <v>3156</v>
      </c>
      <c r="R367" s="213" t="s">
        <v>3157</v>
      </c>
      <c r="S367" s="213" t="s">
        <v>3158</v>
      </c>
      <c r="T367" s="213" t="s">
        <v>3159</v>
      </c>
      <c r="U367" s="213" t="s">
        <v>76424</v>
      </c>
    </row>
    <row r="368" spans="1:21" x14ac:dyDescent="0.25">
      <c r="A368" s="213" t="s">
        <v>327</v>
      </c>
      <c r="D368" s="213" t="s">
        <v>3160</v>
      </c>
      <c r="E368" s="213" t="s">
        <v>3161</v>
      </c>
      <c r="K368" s="213" t="s">
        <v>76395</v>
      </c>
      <c r="L368" s="213" t="s">
        <v>76405</v>
      </c>
      <c r="M368" s="213" t="s">
        <v>76415</v>
      </c>
      <c r="N368" s="213" t="s">
        <v>3162</v>
      </c>
      <c r="O368" s="213" t="s">
        <v>3163</v>
      </c>
      <c r="P368" s="213" t="s">
        <v>3164</v>
      </c>
      <c r="Q368" s="213" t="s">
        <v>3165</v>
      </c>
      <c r="R368" s="213" t="s">
        <v>3166</v>
      </c>
      <c r="S368" s="213" t="s">
        <v>3167</v>
      </c>
      <c r="T368" s="213" t="s">
        <v>3168</v>
      </c>
      <c r="U368" s="213" t="s">
        <v>76425</v>
      </c>
    </row>
    <row r="369" spans="1:21" x14ac:dyDescent="0.25">
      <c r="A369" s="213" t="s">
        <v>327</v>
      </c>
      <c r="D369" s="213" t="s">
        <v>3169</v>
      </c>
      <c r="E369" s="213" t="s">
        <v>3170</v>
      </c>
      <c r="K369" s="213" t="s">
        <v>76396</v>
      </c>
      <c r="L369" s="213" t="s">
        <v>76406</v>
      </c>
      <c r="M369" s="213" t="s">
        <v>76416</v>
      </c>
      <c r="N369" s="213" t="s">
        <v>3171</v>
      </c>
      <c r="O369" s="213" t="s">
        <v>3172</v>
      </c>
      <c r="P369" s="213" t="s">
        <v>3173</v>
      </c>
      <c r="Q369" s="213" t="s">
        <v>3174</v>
      </c>
      <c r="R369" s="213" t="s">
        <v>3175</v>
      </c>
      <c r="S369" s="213" t="s">
        <v>3176</v>
      </c>
      <c r="T369" s="213" t="s">
        <v>3177</v>
      </c>
      <c r="U369" s="213" t="s">
        <v>76426</v>
      </c>
    </row>
    <row r="370" spans="1:21" x14ac:dyDescent="0.25">
      <c r="A370" s="213" t="s">
        <v>327</v>
      </c>
      <c r="D370" s="213" t="s">
        <v>3178</v>
      </c>
      <c r="E370" s="213" t="s">
        <v>3179</v>
      </c>
      <c r="K370" s="213" t="s">
        <v>76397</v>
      </c>
      <c r="L370" s="213" t="s">
        <v>76407</v>
      </c>
      <c r="M370" s="213" t="s">
        <v>76417</v>
      </c>
      <c r="N370" s="213" t="s">
        <v>3180</v>
      </c>
      <c r="O370" s="213" t="s">
        <v>3181</v>
      </c>
      <c r="P370" s="213" t="s">
        <v>3182</v>
      </c>
      <c r="Q370" s="213" t="s">
        <v>3183</v>
      </c>
      <c r="R370" s="213" t="s">
        <v>3184</v>
      </c>
      <c r="S370" s="213" t="s">
        <v>3185</v>
      </c>
      <c r="T370" s="213" t="s">
        <v>3186</v>
      </c>
      <c r="U370" s="213" t="s">
        <v>76427</v>
      </c>
    </row>
    <row r="371" spans="1:21" x14ac:dyDescent="0.25">
      <c r="A371" s="213" t="s">
        <v>327</v>
      </c>
      <c r="D371" s="213" t="s">
        <v>3187</v>
      </c>
      <c r="E371" s="213" t="s">
        <v>3188</v>
      </c>
      <c r="K371" s="213" t="s">
        <v>76398</v>
      </c>
      <c r="L371" s="213" t="s">
        <v>76408</v>
      </c>
      <c r="M371" s="213" t="s">
        <v>76418</v>
      </c>
      <c r="N371" s="213" t="s">
        <v>3189</v>
      </c>
      <c r="O371" s="213" t="s">
        <v>3190</v>
      </c>
      <c r="P371" s="213" t="s">
        <v>3191</v>
      </c>
      <c r="Q371" s="213" t="s">
        <v>3192</v>
      </c>
      <c r="R371" s="213" t="s">
        <v>3193</v>
      </c>
      <c r="S371" s="213" t="s">
        <v>3194</v>
      </c>
      <c r="T371" s="213" t="s">
        <v>3195</v>
      </c>
      <c r="U371" s="213" t="s">
        <v>76428</v>
      </c>
    </row>
    <row r="372" spans="1:21" x14ac:dyDescent="0.25">
      <c r="A372" s="213" t="s">
        <v>327</v>
      </c>
      <c r="D372" s="213" t="s">
        <v>3196</v>
      </c>
      <c r="E372" s="213" t="s">
        <v>3197</v>
      </c>
      <c r="K372" s="213" t="s">
        <v>76399</v>
      </c>
      <c r="L372" s="213" t="s">
        <v>76409</v>
      </c>
      <c r="M372" s="213" t="s">
        <v>76419</v>
      </c>
      <c r="N372" s="213" t="s">
        <v>3198</v>
      </c>
      <c r="O372" s="213" t="s">
        <v>3199</v>
      </c>
      <c r="P372" s="213" t="s">
        <v>3200</v>
      </c>
      <c r="Q372" s="213" t="s">
        <v>3201</v>
      </c>
      <c r="R372" s="213" t="s">
        <v>3202</v>
      </c>
      <c r="S372" s="213" t="s">
        <v>3203</v>
      </c>
      <c r="T372" s="213" t="s">
        <v>3204</v>
      </c>
      <c r="U372" s="213" t="s">
        <v>76429</v>
      </c>
    </row>
    <row r="373" spans="1:21" x14ac:dyDescent="0.25">
      <c r="A373" s="213" t="s">
        <v>327</v>
      </c>
    </row>
    <row r="374" spans="1:21" x14ac:dyDescent="0.25">
      <c r="A374" s="213" t="s">
        <v>327</v>
      </c>
    </row>
    <row r="375" spans="1:21" x14ac:dyDescent="0.25">
      <c r="A375" s="213" t="s">
        <v>327</v>
      </c>
      <c r="C375" s="213" t="s">
        <v>3205</v>
      </c>
      <c r="E375" s="213" t="s">
        <v>3206</v>
      </c>
      <c r="H375" s="213" t="s">
        <v>3207</v>
      </c>
      <c r="I375" s="213" t="s">
        <v>3208</v>
      </c>
      <c r="J375" s="213" t="s">
        <v>3209</v>
      </c>
      <c r="L375" s="213" t="s">
        <v>3210</v>
      </c>
      <c r="O375" s="213" t="s">
        <v>3211</v>
      </c>
      <c r="P375" s="213" t="s">
        <v>3212</v>
      </c>
      <c r="Q375" s="213" t="s">
        <v>3213</v>
      </c>
      <c r="R375" s="213" t="s">
        <v>3214</v>
      </c>
      <c r="S375" s="213" t="s">
        <v>3215</v>
      </c>
      <c r="T375" s="213" t="s">
        <v>3216</v>
      </c>
    </row>
    <row r="376" spans="1:21" x14ac:dyDescent="0.25">
      <c r="A376" s="213" t="s">
        <v>327</v>
      </c>
      <c r="C376" s="213" t="s">
        <v>3217</v>
      </c>
      <c r="E376" s="213" t="s">
        <v>3218</v>
      </c>
      <c r="I376" s="213" t="s">
        <v>3219</v>
      </c>
    </row>
    <row r="377" spans="1:21" x14ac:dyDescent="0.25">
      <c r="A377" s="213" t="s">
        <v>327</v>
      </c>
      <c r="C377" s="213" t="s">
        <v>3220</v>
      </c>
      <c r="E377" s="213" t="s">
        <v>3221</v>
      </c>
      <c r="I377" s="213" t="s">
        <v>3222</v>
      </c>
    </row>
    <row r="378" spans="1:21" x14ac:dyDescent="0.25">
      <c r="A378" s="213" t="s">
        <v>328</v>
      </c>
    </row>
    <row r="379" spans="1:21" x14ac:dyDescent="0.25">
      <c r="A379" s="213" t="s">
        <v>327</v>
      </c>
      <c r="D379" s="213" t="s">
        <v>3223</v>
      </c>
      <c r="E379" s="213" t="s">
        <v>3224</v>
      </c>
      <c r="K379" s="213" t="s">
        <v>76134</v>
      </c>
      <c r="L379" s="213" t="s">
        <v>76198</v>
      </c>
      <c r="M379" s="213" t="s">
        <v>76262</v>
      </c>
      <c r="N379" s="213" t="s">
        <v>3225</v>
      </c>
      <c r="O379" s="213" t="s">
        <v>3226</v>
      </c>
      <c r="P379" s="213" t="s">
        <v>3227</v>
      </c>
      <c r="Q379" s="213" t="s">
        <v>3228</v>
      </c>
      <c r="R379" s="213" t="s">
        <v>3229</v>
      </c>
      <c r="S379" s="213" t="s">
        <v>3230</v>
      </c>
      <c r="T379" s="213" t="s">
        <v>3231</v>
      </c>
      <c r="U379" s="213" t="s">
        <v>76326</v>
      </c>
    </row>
    <row r="380" spans="1:21" x14ac:dyDescent="0.25">
      <c r="A380" s="213" t="s">
        <v>327</v>
      </c>
      <c r="D380" s="213" t="s">
        <v>3232</v>
      </c>
      <c r="E380" s="213" t="s">
        <v>3233</v>
      </c>
      <c r="K380" s="213" t="s">
        <v>76135</v>
      </c>
      <c r="L380" s="213" t="s">
        <v>76199</v>
      </c>
      <c r="M380" s="213" t="s">
        <v>76263</v>
      </c>
      <c r="N380" s="213" t="s">
        <v>3234</v>
      </c>
      <c r="O380" s="213" t="s">
        <v>3235</v>
      </c>
      <c r="P380" s="213" t="s">
        <v>3236</v>
      </c>
      <c r="Q380" s="213" t="s">
        <v>3237</v>
      </c>
      <c r="R380" s="213" t="s">
        <v>3238</v>
      </c>
      <c r="S380" s="213" t="s">
        <v>3239</v>
      </c>
      <c r="T380" s="213" t="s">
        <v>3240</v>
      </c>
      <c r="U380" s="213" t="s">
        <v>76327</v>
      </c>
    </row>
    <row r="381" spans="1:21" x14ac:dyDescent="0.25">
      <c r="A381" s="213" t="s">
        <v>327</v>
      </c>
      <c r="D381" s="213" t="s">
        <v>3241</v>
      </c>
      <c r="E381" s="213" t="s">
        <v>3242</v>
      </c>
      <c r="K381" s="213" t="s">
        <v>76136</v>
      </c>
      <c r="L381" s="213" t="s">
        <v>76200</v>
      </c>
      <c r="M381" s="213" t="s">
        <v>76264</v>
      </c>
      <c r="N381" s="213" t="s">
        <v>3243</v>
      </c>
      <c r="O381" s="213" t="s">
        <v>3244</v>
      </c>
      <c r="P381" s="213" t="s">
        <v>3245</v>
      </c>
      <c r="Q381" s="213" t="s">
        <v>3246</v>
      </c>
      <c r="R381" s="213" t="s">
        <v>3247</v>
      </c>
      <c r="S381" s="213" t="s">
        <v>3248</v>
      </c>
      <c r="T381" s="213" t="s">
        <v>3249</v>
      </c>
      <c r="U381" s="213" t="s">
        <v>76328</v>
      </c>
    </row>
    <row r="382" spans="1:21" x14ac:dyDescent="0.25">
      <c r="A382" s="213" t="s">
        <v>327</v>
      </c>
      <c r="D382" s="213" t="s">
        <v>3250</v>
      </c>
      <c r="E382" s="213" t="s">
        <v>3251</v>
      </c>
      <c r="K382" s="213" t="s">
        <v>76137</v>
      </c>
      <c r="L382" s="213" t="s">
        <v>76201</v>
      </c>
      <c r="M382" s="213" t="s">
        <v>76265</v>
      </c>
      <c r="N382" s="213" t="s">
        <v>3252</v>
      </c>
      <c r="O382" s="213" t="s">
        <v>3253</v>
      </c>
      <c r="P382" s="213" t="s">
        <v>3254</v>
      </c>
      <c r="Q382" s="213" t="s">
        <v>3255</v>
      </c>
      <c r="R382" s="213" t="s">
        <v>3256</v>
      </c>
      <c r="S382" s="213" t="s">
        <v>3257</v>
      </c>
      <c r="T382" s="213" t="s">
        <v>3258</v>
      </c>
      <c r="U382" s="213" t="s">
        <v>76329</v>
      </c>
    </row>
    <row r="383" spans="1:21" x14ac:dyDescent="0.25">
      <c r="A383" s="213" t="s">
        <v>327</v>
      </c>
      <c r="D383" s="213" t="s">
        <v>3259</v>
      </c>
      <c r="E383" s="213" t="s">
        <v>3260</v>
      </c>
      <c r="K383" s="213" t="s">
        <v>76138</v>
      </c>
      <c r="L383" s="213" t="s">
        <v>76202</v>
      </c>
      <c r="M383" s="213" t="s">
        <v>76266</v>
      </c>
      <c r="N383" s="213" t="s">
        <v>3261</v>
      </c>
      <c r="O383" s="213" t="s">
        <v>3262</v>
      </c>
      <c r="P383" s="213" t="s">
        <v>3263</v>
      </c>
      <c r="Q383" s="213" t="s">
        <v>3264</v>
      </c>
      <c r="R383" s="213" t="s">
        <v>3265</v>
      </c>
      <c r="S383" s="213" t="s">
        <v>3266</v>
      </c>
      <c r="T383" s="213" t="s">
        <v>3267</v>
      </c>
      <c r="U383" s="213" t="s">
        <v>76330</v>
      </c>
    </row>
    <row r="384" spans="1:21" x14ac:dyDescent="0.25">
      <c r="A384" s="213" t="s">
        <v>327</v>
      </c>
      <c r="D384" s="213" t="s">
        <v>3268</v>
      </c>
      <c r="E384" s="213" t="s">
        <v>3269</v>
      </c>
      <c r="K384" s="213" t="s">
        <v>76139</v>
      </c>
      <c r="L384" s="213" t="s">
        <v>76203</v>
      </c>
      <c r="M384" s="213" t="s">
        <v>76267</v>
      </c>
      <c r="N384" s="213" t="s">
        <v>3270</v>
      </c>
      <c r="O384" s="213" t="s">
        <v>3271</v>
      </c>
      <c r="P384" s="213" t="s">
        <v>3272</v>
      </c>
      <c r="Q384" s="213" t="s">
        <v>3273</v>
      </c>
      <c r="R384" s="213" t="s">
        <v>3274</v>
      </c>
      <c r="S384" s="213" t="s">
        <v>3275</v>
      </c>
      <c r="T384" s="213" t="s">
        <v>3276</v>
      </c>
      <c r="U384" s="213" t="s">
        <v>76331</v>
      </c>
    </row>
    <row r="385" spans="1:21" x14ac:dyDescent="0.25">
      <c r="A385" s="213" t="s">
        <v>327</v>
      </c>
      <c r="D385" s="213" t="s">
        <v>3277</v>
      </c>
      <c r="E385" s="213" t="s">
        <v>3278</v>
      </c>
      <c r="K385" s="213" t="s">
        <v>76140</v>
      </c>
      <c r="L385" s="213" t="s">
        <v>76204</v>
      </c>
      <c r="M385" s="213" t="s">
        <v>76268</v>
      </c>
      <c r="N385" s="213" t="s">
        <v>3279</v>
      </c>
      <c r="O385" s="213" t="s">
        <v>3280</v>
      </c>
      <c r="P385" s="213" t="s">
        <v>3281</v>
      </c>
      <c r="Q385" s="213" t="s">
        <v>3282</v>
      </c>
      <c r="R385" s="213" t="s">
        <v>3283</v>
      </c>
      <c r="S385" s="213" t="s">
        <v>3284</v>
      </c>
      <c r="T385" s="213" t="s">
        <v>3285</v>
      </c>
      <c r="U385" s="213" t="s">
        <v>76332</v>
      </c>
    </row>
    <row r="386" spans="1:21" x14ac:dyDescent="0.25">
      <c r="A386" s="213" t="s">
        <v>327</v>
      </c>
      <c r="D386" s="213" t="s">
        <v>3286</v>
      </c>
      <c r="E386" s="213" t="s">
        <v>3287</v>
      </c>
      <c r="K386" s="213" t="s">
        <v>76141</v>
      </c>
      <c r="L386" s="213" t="s">
        <v>76205</v>
      </c>
      <c r="M386" s="213" t="s">
        <v>76269</v>
      </c>
      <c r="N386" s="213" t="s">
        <v>3288</v>
      </c>
      <c r="O386" s="213" t="s">
        <v>3289</v>
      </c>
      <c r="P386" s="213" t="s">
        <v>3290</v>
      </c>
      <c r="Q386" s="213" t="s">
        <v>3291</v>
      </c>
      <c r="R386" s="213" t="s">
        <v>3292</v>
      </c>
      <c r="S386" s="213" t="s">
        <v>3293</v>
      </c>
      <c r="T386" s="213" t="s">
        <v>3294</v>
      </c>
      <c r="U386" s="213" t="s">
        <v>76333</v>
      </c>
    </row>
    <row r="387" spans="1:21" x14ac:dyDescent="0.25">
      <c r="A387" s="213" t="s">
        <v>327</v>
      </c>
      <c r="D387" s="213" t="s">
        <v>3295</v>
      </c>
      <c r="E387" s="213" t="s">
        <v>3296</v>
      </c>
      <c r="K387" s="213" t="s">
        <v>76142</v>
      </c>
      <c r="L387" s="213" t="s">
        <v>76206</v>
      </c>
      <c r="M387" s="213" t="s">
        <v>76270</v>
      </c>
      <c r="N387" s="213" t="s">
        <v>3297</v>
      </c>
      <c r="O387" s="213" t="s">
        <v>3298</v>
      </c>
      <c r="P387" s="213" t="s">
        <v>3299</v>
      </c>
      <c r="Q387" s="213" t="s">
        <v>3300</v>
      </c>
      <c r="R387" s="213" t="s">
        <v>3301</v>
      </c>
      <c r="S387" s="213" t="s">
        <v>3302</v>
      </c>
      <c r="T387" s="213" t="s">
        <v>3303</v>
      </c>
      <c r="U387" s="213" t="s">
        <v>76334</v>
      </c>
    </row>
    <row r="388" spans="1:21" x14ac:dyDescent="0.25">
      <c r="A388" s="213" t="s">
        <v>327</v>
      </c>
      <c r="D388" s="213" t="s">
        <v>3304</v>
      </c>
      <c r="E388" s="213" t="s">
        <v>3305</v>
      </c>
      <c r="K388" s="213" t="s">
        <v>76143</v>
      </c>
      <c r="L388" s="213" t="s">
        <v>76207</v>
      </c>
      <c r="M388" s="213" t="s">
        <v>76271</v>
      </c>
      <c r="N388" s="213" t="s">
        <v>3306</v>
      </c>
      <c r="O388" s="213" t="s">
        <v>3307</v>
      </c>
      <c r="P388" s="213" t="s">
        <v>3308</v>
      </c>
      <c r="Q388" s="213" t="s">
        <v>3309</v>
      </c>
      <c r="R388" s="213" t="s">
        <v>3310</v>
      </c>
      <c r="S388" s="213" t="s">
        <v>3311</v>
      </c>
      <c r="T388" s="213" t="s">
        <v>3312</v>
      </c>
      <c r="U388" s="213" t="s">
        <v>76335</v>
      </c>
    </row>
    <row r="389" spans="1:21" x14ac:dyDescent="0.25">
      <c r="A389" s="213" t="s">
        <v>327</v>
      </c>
      <c r="D389" s="213" t="s">
        <v>3313</v>
      </c>
      <c r="E389" s="213" t="s">
        <v>3314</v>
      </c>
      <c r="K389" s="213" t="s">
        <v>76144</v>
      </c>
      <c r="L389" s="213" t="s">
        <v>76208</v>
      </c>
      <c r="M389" s="213" t="s">
        <v>76272</v>
      </c>
      <c r="N389" s="213" t="s">
        <v>3315</v>
      </c>
      <c r="O389" s="213" t="s">
        <v>3316</v>
      </c>
      <c r="P389" s="213" t="s">
        <v>3317</v>
      </c>
      <c r="Q389" s="213" t="s">
        <v>3318</v>
      </c>
      <c r="R389" s="213" t="s">
        <v>3319</v>
      </c>
      <c r="S389" s="213" t="s">
        <v>3320</v>
      </c>
      <c r="T389" s="213" t="s">
        <v>3321</v>
      </c>
      <c r="U389" s="213" t="s">
        <v>76336</v>
      </c>
    </row>
    <row r="390" spans="1:21" x14ac:dyDescent="0.25">
      <c r="A390" s="213" t="s">
        <v>327</v>
      </c>
      <c r="D390" s="213" t="s">
        <v>3322</v>
      </c>
      <c r="E390" s="213" t="s">
        <v>3323</v>
      </c>
      <c r="K390" s="213" t="s">
        <v>76145</v>
      </c>
      <c r="L390" s="213" t="s">
        <v>76209</v>
      </c>
      <c r="M390" s="213" t="s">
        <v>76273</v>
      </c>
      <c r="N390" s="213" t="s">
        <v>3324</v>
      </c>
      <c r="O390" s="213" t="s">
        <v>3325</v>
      </c>
      <c r="P390" s="213" t="s">
        <v>3326</v>
      </c>
      <c r="Q390" s="213" t="s">
        <v>3327</v>
      </c>
      <c r="R390" s="213" t="s">
        <v>3328</v>
      </c>
      <c r="S390" s="213" t="s">
        <v>3329</v>
      </c>
      <c r="T390" s="213" t="s">
        <v>3330</v>
      </c>
      <c r="U390" s="213" t="s">
        <v>76337</v>
      </c>
    </row>
    <row r="391" spans="1:21" x14ac:dyDescent="0.25">
      <c r="A391" s="213" t="s">
        <v>327</v>
      </c>
      <c r="D391" s="213" t="s">
        <v>3331</v>
      </c>
      <c r="E391" s="213" t="s">
        <v>3332</v>
      </c>
      <c r="K391" s="213" t="s">
        <v>76146</v>
      </c>
      <c r="L391" s="213" t="s">
        <v>76210</v>
      </c>
      <c r="M391" s="213" t="s">
        <v>76274</v>
      </c>
      <c r="N391" s="213" t="s">
        <v>3333</v>
      </c>
      <c r="O391" s="213" t="s">
        <v>3334</v>
      </c>
      <c r="P391" s="213" t="s">
        <v>3335</v>
      </c>
      <c r="Q391" s="213" t="s">
        <v>3336</v>
      </c>
      <c r="R391" s="213" t="s">
        <v>3337</v>
      </c>
      <c r="S391" s="213" t="s">
        <v>3338</v>
      </c>
      <c r="T391" s="213" t="s">
        <v>3339</v>
      </c>
      <c r="U391" s="213" t="s">
        <v>76338</v>
      </c>
    </row>
    <row r="392" spans="1:21" x14ac:dyDescent="0.25">
      <c r="A392" s="213" t="s">
        <v>327</v>
      </c>
      <c r="D392" s="213" t="s">
        <v>3340</v>
      </c>
      <c r="E392" s="213" t="s">
        <v>3341</v>
      </c>
      <c r="K392" s="213" t="s">
        <v>76147</v>
      </c>
      <c r="L392" s="213" t="s">
        <v>76211</v>
      </c>
      <c r="M392" s="213" t="s">
        <v>76275</v>
      </c>
      <c r="N392" s="213" t="s">
        <v>3342</v>
      </c>
      <c r="O392" s="213" t="s">
        <v>3343</v>
      </c>
      <c r="P392" s="213" t="s">
        <v>3344</v>
      </c>
      <c r="Q392" s="213" t="s">
        <v>3345</v>
      </c>
      <c r="R392" s="213" t="s">
        <v>3346</v>
      </c>
      <c r="S392" s="213" t="s">
        <v>3347</v>
      </c>
      <c r="T392" s="213" t="s">
        <v>3348</v>
      </c>
      <c r="U392" s="213" t="s">
        <v>76339</v>
      </c>
    </row>
    <row r="393" spans="1:21" x14ac:dyDescent="0.25">
      <c r="A393" s="213" t="s">
        <v>327</v>
      </c>
      <c r="D393" s="213" t="s">
        <v>3349</v>
      </c>
      <c r="E393" s="213" t="s">
        <v>3350</v>
      </c>
      <c r="K393" s="213" t="s">
        <v>76148</v>
      </c>
      <c r="L393" s="213" t="s">
        <v>76212</v>
      </c>
      <c r="M393" s="213" t="s">
        <v>76276</v>
      </c>
      <c r="N393" s="213" t="s">
        <v>3351</v>
      </c>
      <c r="O393" s="213" t="s">
        <v>3352</v>
      </c>
      <c r="P393" s="213" t="s">
        <v>3353</v>
      </c>
      <c r="Q393" s="213" t="s">
        <v>3354</v>
      </c>
      <c r="R393" s="213" t="s">
        <v>3355</v>
      </c>
      <c r="S393" s="213" t="s">
        <v>3356</v>
      </c>
      <c r="T393" s="213" t="s">
        <v>3357</v>
      </c>
      <c r="U393" s="213" t="s">
        <v>76340</v>
      </c>
    </row>
    <row r="394" spans="1:21" x14ac:dyDescent="0.25">
      <c r="A394" s="213" t="s">
        <v>327</v>
      </c>
      <c r="D394" s="213" t="s">
        <v>3358</v>
      </c>
      <c r="E394" s="213" t="s">
        <v>3359</v>
      </c>
      <c r="K394" s="213" t="s">
        <v>76149</v>
      </c>
      <c r="L394" s="213" t="s">
        <v>76213</v>
      </c>
      <c r="M394" s="213" t="s">
        <v>76277</v>
      </c>
      <c r="N394" s="213" t="s">
        <v>3360</v>
      </c>
      <c r="O394" s="213" t="s">
        <v>3361</v>
      </c>
      <c r="P394" s="213" t="s">
        <v>3362</v>
      </c>
      <c r="Q394" s="213" t="s">
        <v>3363</v>
      </c>
      <c r="R394" s="213" t="s">
        <v>3364</v>
      </c>
      <c r="S394" s="213" t="s">
        <v>3365</v>
      </c>
      <c r="T394" s="213" t="s">
        <v>3366</v>
      </c>
      <c r="U394" s="213" t="s">
        <v>76341</v>
      </c>
    </row>
    <row r="395" spans="1:21" x14ac:dyDescent="0.25">
      <c r="A395" s="213" t="s">
        <v>327</v>
      </c>
      <c r="D395" s="213" t="s">
        <v>3367</v>
      </c>
      <c r="E395" s="213" t="s">
        <v>3368</v>
      </c>
      <c r="K395" s="213" t="s">
        <v>76150</v>
      </c>
      <c r="L395" s="213" t="s">
        <v>76214</v>
      </c>
      <c r="M395" s="213" t="s">
        <v>76278</v>
      </c>
      <c r="N395" s="213" t="s">
        <v>3369</v>
      </c>
      <c r="O395" s="213" t="s">
        <v>3370</v>
      </c>
      <c r="P395" s="213" t="s">
        <v>3371</v>
      </c>
      <c r="Q395" s="213" t="s">
        <v>3372</v>
      </c>
      <c r="R395" s="213" t="s">
        <v>3373</v>
      </c>
      <c r="S395" s="213" t="s">
        <v>3374</v>
      </c>
      <c r="T395" s="213" t="s">
        <v>3375</v>
      </c>
      <c r="U395" s="213" t="s">
        <v>76342</v>
      </c>
    </row>
    <row r="396" spans="1:21" x14ac:dyDescent="0.25">
      <c r="A396" s="213" t="s">
        <v>327</v>
      </c>
      <c r="D396" s="213" t="s">
        <v>3376</v>
      </c>
      <c r="E396" s="213" t="s">
        <v>3377</v>
      </c>
      <c r="K396" s="213" t="s">
        <v>76151</v>
      </c>
      <c r="L396" s="213" t="s">
        <v>76215</v>
      </c>
      <c r="M396" s="213" t="s">
        <v>76279</v>
      </c>
      <c r="N396" s="213" t="s">
        <v>3378</v>
      </c>
      <c r="O396" s="213" t="s">
        <v>3379</v>
      </c>
      <c r="P396" s="213" t="s">
        <v>3380</v>
      </c>
      <c r="Q396" s="213" t="s">
        <v>3381</v>
      </c>
      <c r="R396" s="213" t="s">
        <v>3382</v>
      </c>
      <c r="S396" s="213" t="s">
        <v>3383</v>
      </c>
      <c r="T396" s="213" t="s">
        <v>3384</v>
      </c>
      <c r="U396" s="213" t="s">
        <v>76343</v>
      </c>
    </row>
    <row r="397" spans="1:21" x14ac:dyDescent="0.25">
      <c r="A397" s="213" t="s">
        <v>327</v>
      </c>
      <c r="D397" s="213" t="s">
        <v>3385</v>
      </c>
      <c r="E397" s="213" t="s">
        <v>3386</v>
      </c>
      <c r="K397" s="213" t="s">
        <v>76152</v>
      </c>
      <c r="L397" s="213" t="s">
        <v>76216</v>
      </c>
      <c r="M397" s="213" t="s">
        <v>76280</v>
      </c>
      <c r="N397" s="213" t="s">
        <v>3387</v>
      </c>
      <c r="O397" s="213" t="s">
        <v>3388</v>
      </c>
      <c r="P397" s="213" t="s">
        <v>3389</v>
      </c>
      <c r="Q397" s="213" t="s">
        <v>3390</v>
      </c>
      <c r="R397" s="213" t="s">
        <v>3391</v>
      </c>
      <c r="S397" s="213" t="s">
        <v>3392</v>
      </c>
      <c r="T397" s="213" t="s">
        <v>3393</v>
      </c>
      <c r="U397" s="213" t="s">
        <v>76344</v>
      </c>
    </row>
    <row r="398" spans="1:21" x14ac:dyDescent="0.25">
      <c r="A398" s="213" t="s">
        <v>327</v>
      </c>
      <c r="D398" s="213" t="s">
        <v>3394</v>
      </c>
      <c r="E398" s="213" t="s">
        <v>3395</v>
      </c>
      <c r="K398" s="213" t="s">
        <v>76153</v>
      </c>
      <c r="L398" s="213" t="s">
        <v>76217</v>
      </c>
      <c r="M398" s="213" t="s">
        <v>76281</v>
      </c>
      <c r="N398" s="213" t="s">
        <v>3396</v>
      </c>
      <c r="O398" s="213" t="s">
        <v>3397</v>
      </c>
      <c r="P398" s="213" t="s">
        <v>3398</v>
      </c>
      <c r="Q398" s="213" t="s">
        <v>3399</v>
      </c>
      <c r="R398" s="213" t="s">
        <v>3400</v>
      </c>
      <c r="S398" s="213" t="s">
        <v>3401</v>
      </c>
      <c r="T398" s="213" t="s">
        <v>3402</v>
      </c>
      <c r="U398" s="213" t="s">
        <v>76345</v>
      </c>
    </row>
    <row r="399" spans="1:21" x14ac:dyDescent="0.25">
      <c r="A399" s="213" t="s">
        <v>327</v>
      </c>
      <c r="D399" s="213" t="s">
        <v>3403</v>
      </c>
      <c r="E399" s="213" t="s">
        <v>3404</v>
      </c>
      <c r="K399" s="213" t="s">
        <v>76154</v>
      </c>
      <c r="L399" s="213" t="s">
        <v>76218</v>
      </c>
      <c r="M399" s="213" t="s">
        <v>76282</v>
      </c>
      <c r="N399" s="213" t="s">
        <v>3405</v>
      </c>
      <c r="O399" s="213" t="s">
        <v>3406</v>
      </c>
      <c r="P399" s="213" t="s">
        <v>3407</v>
      </c>
      <c r="Q399" s="213" t="s">
        <v>3408</v>
      </c>
      <c r="R399" s="213" t="s">
        <v>3409</v>
      </c>
      <c r="S399" s="213" t="s">
        <v>3410</v>
      </c>
      <c r="T399" s="213" t="s">
        <v>3411</v>
      </c>
      <c r="U399" s="213" t="s">
        <v>76346</v>
      </c>
    </row>
    <row r="400" spans="1:21" x14ac:dyDescent="0.25">
      <c r="A400" s="213" t="s">
        <v>327</v>
      </c>
      <c r="D400" s="213" t="s">
        <v>3412</v>
      </c>
      <c r="E400" s="213" t="s">
        <v>3413</v>
      </c>
      <c r="K400" s="213" t="s">
        <v>76155</v>
      </c>
      <c r="L400" s="213" t="s">
        <v>76219</v>
      </c>
      <c r="M400" s="213" t="s">
        <v>76283</v>
      </c>
      <c r="N400" s="213" t="s">
        <v>3414</v>
      </c>
      <c r="O400" s="213" t="s">
        <v>3415</v>
      </c>
      <c r="P400" s="213" t="s">
        <v>3416</v>
      </c>
      <c r="Q400" s="213" t="s">
        <v>3417</v>
      </c>
      <c r="R400" s="213" t="s">
        <v>3418</v>
      </c>
      <c r="S400" s="213" t="s">
        <v>3419</v>
      </c>
      <c r="T400" s="213" t="s">
        <v>3420</v>
      </c>
      <c r="U400" s="213" t="s">
        <v>76347</v>
      </c>
    </row>
    <row r="401" spans="1:21" x14ac:dyDescent="0.25">
      <c r="A401" s="213" t="s">
        <v>327</v>
      </c>
      <c r="D401" s="213" t="s">
        <v>3421</v>
      </c>
      <c r="E401" s="213" t="s">
        <v>3422</v>
      </c>
      <c r="K401" s="213" t="s">
        <v>76156</v>
      </c>
      <c r="L401" s="213" t="s">
        <v>76220</v>
      </c>
      <c r="M401" s="213" t="s">
        <v>76284</v>
      </c>
      <c r="N401" s="213" t="s">
        <v>3423</v>
      </c>
      <c r="O401" s="213" t="s">
        <v>3424</v>
      </c>
      <c r="P401" s="213" t="s">
        <v>3425</v>
      </c>
      <c r="Q401" s="213" t="s">
        <v>3426</v>
      </c>
      <c r="R401" s="213" t="s">
        <v>3427</v>
      </c>
      <c r="S401" s="213" t="s">
        <v>3428</v>
      </c>
      <c r="T401" s="213" t="s">
        <v>3429</v>
      </c>
      <c r="U401" s="213" t="s">
        <v>76348</v>
      </c>
    </row>
    <row r="402" spans="1:21" x14ac:dyDescent="0.25">
      <c r="A402" s="213" t="s">
        <v>327</v>
      </c>
      <c r="D402" s="213" t="s">
        <v>3430</v>
      </c>
      <c r="E402" s="213" t="s">
        <v>3431</v>
      </c>
      <c r="K402" s="213" t="s">
        <v>76157</v>
      </c>
      <c r="L402" s="213" t="s">
        <v>76221</v>
      </c>
      <c r="M402" s="213" t="s">
        <v>76285</v>
      </c>
      <c r="N402" s="213" t="s">
        <v>3432</v>
      </c>
      <c r="O402" s="213" t="s">
        <v>3433</v>
      </c>
      <c r="P402" s="213" t="s">
        <v>3434</v>
      </c>
      <c r="Q402" s="213" t="s">
        <v>3435</v>
      </c>
      <c r="R402" s="213" t="s">
        <v>3436</v>
      </c>
      <c r="S402" s="213" t="s">
        <v>3437</v>
      </c>
      <c r="T402" s="213" t="s">
        <v>3438</v>
      </c>
      <c r="U402" s="213" t="s">
        <v>76349</v>
      </c>
    </row>
    <row r="403" spans="1:21" x14ac:dyDescent="0.25">
      <c r="A403" s="213" t="s">
        <v>327</v>
      </c>
      <c r="D403" s="213" t="s">
        <v>3439</v>
      </c>
      <c r="E403" s="213" t="s">
        <v>3440</v>
      </c>
      <c r="K403" s="213" t="s">
        <v>76158</v>
      </c>
      <c r="L403" s="213" t="s">
        <v>76222</v>
      </c>
      <c r="M403" s="213" t="s">
        <v>76286</v>
      </c>
      <c r="N403" s="213" t="s">
        <v>3441</v>
      </c>
      <c r="O403" s="213" t="s">
        <v>3442</v>
      </c>
      <c r="P403" s="213" t="s">
        <v>3443</v>
      </c>
      <c r="Q403" s="213" t="s">
        <v>3444</v>
      </c>
      <c r="R403" s="213" t="s">
        <v>3445</v>
      </c>
      <c r="S403" s="213" t="s">
        <v>3446</v>
      </c>
      <c r="T403" s="213" t="s">
        <v>3447</v>
      </c>
      <c r="U403" s="213" t="s">
        <v>76350</v>
      </c>
    </row>
    <row r="404" spans="1:21" x14ac:dyDescent="0.25">
      <c r="A404" s="213" t="s">
        <v>327</v>
      </c>
      <c r="D404" s="213" t="s">
        <v>3448</v>
      </c>
      <c r="E404" s="213" t="s">
        <v>3449</v>
      </c>
      <c r="K404" s="213" t="s">
        <v>76159</v>
      </c>
      <c r="L404" s="213" t="s">
        <v>76223</v>
      </c>
      <c r="M404" s="213" t="s">
        <v>76287</v>
      </c>
      <c r="N404" s="213" t="s">
        <v>3450</v>
      </c>
      <c r="O404" s="213" t="s">
        <v>3451</v>
      </c>
      <c r="P404" s="213" t="s">
        <v>3452</v>
      </c>
      <c r="Q404" s="213" t="s">
        <v>3453</v>
      </c>
      <c r="R404" s="213" t="s">
        <v>3454</v>
      </c>
      <c r="S404" s="213" t="s">
        <v>3455</v>
      </c>
      <c r="T404" s="213" t="s">
        <v>3456</v>
      </c>
      <c r="U404" s="213" t="s">
        <v>76351</v>
      </c>
    </row>
    <row r="405" spans="1:21" x14ac:dyDescent="0.25">
      <c r="A405" s="213" t="s">
        <v>327</v>
      </c>
      <c r="D405" s="213" t="s">
        <v>3457</v>
      </c>
      <c r="E405" s="213" t="s">
        <v>3458</v>
      </c>
      <c r="K405" s="213" t="s">
        <v>76160</v>
      </c>
      <c r="L405" s="213" t="s">
        <v>76224</v>
      </c>
      <c r="M405" s="213" t="s">
        <v>76288</v>
      </c>
      <c r="N405" s="213" t="s">
        <v>3459</v>
      </c>
      <c r="O405" s="213" t="s">
        <v>3460</v>
      </c>
      <c r="P405" s="213" t="s">
        <v>3461</v>
      </c>
      <c r="Q405" s="213" t="s">
        <v>3462</v>
      </c>
      <c r="R405" s="213" t="s">
        <v>3463</v>
      </c>
      <c r="S405" s="213" t="s">
        <v>3464</v>
      </c>
      <c r="T405" s="213" t="s">
        <v>3465</v>
      </c>
      <c r="U405" s="213" t="s">
        <v>76352</v>
      </c>
    </row>
    <row r="406" spans="1:21" x14ac:dyDescent="0.25">
      <c r="A406" s="213" t="s">
        <v>327</v>
      </c>
      <c r="D406" s="213" t="s">
        <v>3466</v>
      </c>
      <c r="E406" s="213" t="s">
        <v>3467</v>
      </c>
      <c r="K406" s="213" t="s">
        <v>76161</v>
      </c>
      <c r="L406" s="213" t="s">
        <v>76225</v>
      </c>
      <c r="M406" s="213" t="s">
        <v>76289</v>
      </c>
      <c r="N406" s="213" t="s">
        <v>3468</v>
      </c>
      <c r="O406" s="213" t="s">
        <v>3469</v>
      </c>
      <c r="P406" s="213" t="s">
        <v>3470</v>
      </c>
      <c r="Q406" s="213" t="s">
        <v>3471</v>
      </c>
      <c r="R406" s="213" t="s">
        <v>3472</v>
      </c>
      <c r="S406" s="213" t="s">
        <v>3473</v>
      </c>
      <c r="T406" s="213" t="s">
        <v>3474</v>
      </c>
      <c r="U406" s="213" t="s">
        <v>76353</v>
      </c>
    </row>
    <row r="407" spans="1:21" x14ac:dyDescent="0.25">
      <c r="A407" s="213" t="s">
        <v>327</v>
      </c>
      <c r="D407" s="213" t="s">
        <v>3475</v>
      </c>
      <c r="E407" s="213" t="s">
        <v>3476</v>
      </c>
      <c r="K407" s="213" t="s">
        <v>76162</v>
      </c>
      <c r="L407" s="213" t="s">
        <v>76226</v>
      </c>
      <c r="M407" s="213" t="s">
        <v>76290</v>
      </c>
      <c r="N407" s="213" t="s">
        <v>3477</v>
      </c>
      <c r="O407" s="213" t="s">
        <v>3478</v>
      </c>
      <c r="P407" s="213" t="s">
        <v>3479</v>
      </c>
      <c r="Q407" s="213" t="s">
        <v>3480</v>
      </c>
      <c r="R407" s="213" t="s">
        <v>3481</v>
      </c>
      <c r="S407" s="213" t="s">
        <v>3482</v>
      </c>
      <c r="T407" s="213" t="s">
        <v>3483</v>
      </c>
      <c r="U407" s="213" t="s">
        <v>76354</v>
      </c>
    </row>
    <row r="408" spans="1:21" x14ac:dyDescent="0.25">
      <c r="A408" s="213" t="s">
        <v>327</v>
      </c>
      <c r="D408" s="213" t="s">
        <v>3484</v>
      </c>
      <c r="E408" s="213" t="s">
        <v>3485</v>
      </c>
      <c r="K408" s="213" t="s">
        <v>76163</v>
      </c>
      <c r="L408" s="213" t="s">
        <v>76227</v>
      </c>
      <c r="M408" s="213" t="s">
        <v>76291</v>
      </c>
      <c r="N408" s="213" t="s">
        <v>3486</v>
      </c>
      <c r="O408" s="213" t="s">
        <v>3487</v>
      </c>
      <c r="P408" s="213" t="s">
        <v>3488</v>
      </c>
      <c r="Q408" s="213" t="s">
        <v>3489</v>
      </c>
      <c r="R408" s="213" t="s">
        <v>3490</v>
      </c>
      <c r="S408" s="213" t="s">
        <v>3491</v>
      </c>
      <c r="T408" s="213" t="s">
        <v>3492</v>
      </c>
      <c r="U408" s="213" t="s">
        <v>76355</v>
      </c>
    </row>
    <row r="409" spans="1:21" x14ac:dyDescent="0.25">
      <c r="A409" s="213" t="s">
        <v>327</v>
      </c>
      <c r="D409" s="213" t="s">
        <v>3493</v>
      </c>
      <c r="E409" s="213" t="s">
        <v>3494</v>
      </c>
      <c r="K409" s="213" t="s">
        <v>76164</v>
      </c>
      <c r="L409" s="213" t="s">
        <v>76228</v>
      </c>
      <c r="M409" s="213" t="s">
        <v>76292</v>
      </c>
      <c r="N409" s="213" t="s">
        <v>3495</v>
      </c>
      <c r="O409" s="213" t="s">
        <v>3496</v>
      </c>
      <c r="P409" s="213" t="s">
        <v>3497</v>
      </c>
      <c r="Q409" s="213" t="s">
        <v>3498</v>
      </c>
      <c r="R409" s="213" t="s">
        <v>3499</v>
      </c>
      <c r="S409" s="213" t="s">
        <v>3500</v>
      </c>
      <c r="T409" s="213" t="s">
        <v>3501</v>
      </c>
      <c r="U409" s="213" t="s">
        <v>76356</v>
      </c>
    </row>
    <row r="410" spans="1:21" x14ac:dyDescent="0.25">
      <c r="A410" s="213" t="s">
        <v>327</v>
      </c>
      <c r="D410" s="213" t="s">
        <v>3502</v>
      </c>
      <c r="E410" s="213" t="s">
        <v>3503</v>
      </c>
      <c r="K410" s="213" t="s">
        <v>76165</v>
      </c>
      <c r="L410" s="213" t="s">
        <v>76229</v>
      </c>
      <c r="M410" s="213" t="s">
        <v>76293</v>
      </c>
      <c r="N410" s="213" t="s">
        <v>3504</v>
      </c>
      <c r="O410" s="213" t="s">
        <v>3505</v>
      </c>
      <c r="P410" s="213" t="s">
        <v>3506</v>
      </c>
      <c r="Q410" s="213" t="s">
        <v>3507</v>
      </c>
      <c r="R410" s="213" t="s">
        <v>3508</v>
      </c>
      <c r="S410" s="213" t="s">
        <v>3509</v>
      </c>
      <c r="T410" s="213" t="s">
        <v>3510</v>
      </c>
      <c r="U410" s="213" t="s">
        <v>76357</v>
      </c>
    </row>
    <row r="411" spans="1:21" x14ac:dyDescent="0.25">
      <c r="A411" s="213" t="s">
        <v>327</v>
      </c>
      <c r="D411" s="213" t="s">
        <v>3511</v>
      </c>
      <c r="E411" s="213" t="s">
        <v>3512</v>
      </c>
      <c r="K411" s="213" t="s">
        <v>76166</v>
      </c>
      <c r="L411" s="213" t="s">
        <v>76230</v>
      </c>
      <c r="M411" s="213" t="s">
        <v>76294</v>
      </c>
      <c r="N411" s="213" t="s">
        <v>3513</v>
      </c>
      <c r="O411" s="213" t="s">
        <v>3514</v>
      </c>
      <c r="P411" s="213" t="s">
        <v>3515</v>
      </c>
      <c r="Q411" s="213" t="s">
        <v>3516</v>
      </c>
      <c r="R411" s="213" t="s">
        <v>3517</v>
      </c>
      <c r="S411" s="213" t="s">
        <v>3518</v>
      </c>
      <c r="T411" s="213" t="s">
        <v>3519</v>
      </c>
      <c r="U411" s="213" t="s">
        <v>76358</v>
      </c>
    </row>
    <row r="412" spans="1:21" x14ac:dyDescent="0.25">
      <c r="A412" s="213" t="s">
        <v>327</v>
      </c>
      <c r="D412" s="213" t="s">
        <v>3520</v>
      </c>
      <c r="E412" s="213" t="s">
        <v>3521</v>
      </c>
      <c r="K412" s="213" t="s">
        <v>76167</v>
      </c>
      <c r="L412" s="213" t="s">
        <v>76231</v>
      </c>
      <c r="M412" s="213" t="s">
        <v>76295</v>
      </c>
      <c r="N412" s="213" t="s">
        <v>3522</v>
      </c>
      <c r="O412" s="213" t="s">
        <v>3523</v>
      </c>
      <c r="P412" s="213" t="s">
        <v>3524</v>
      </c>
      <c r="Q412" s="213" t="s">
        <v>3525</v>
      </c>
      <c r="R412" s="213" t="s">
        <v>3526</v>
      </c>
      <c r="S412" s="213" t="s">
        <v>3527</v>
      </c>
      <c r="T412" s="213" t="s">
        <v>3528</v>
      </c>
      <c r="U412" s="213" t="s">
        <v>76359</v>
      </c>
    </row>
    <row r="413" spans="1:21" x14ac:dyDescent="0.25">
      <c r="A413" s="213" t="s">
        <v>327</v>
      </c>
      <c r="D413" s="213" t="s">
        <v>3529</v>
      </c>
      <c r="E413" s="213" t="s">
        <v>3530</v>
      </c>
      <c r="K413" s="213" t="s">
        <v>76168</v>
      </c>
      <c r="L413" s="213" t="s">
        <v>76232</v>
      </c>
      <c r="M413" s="213" t="s">
        <v>76296</v>
      </c>
      <c r="N413" s="213" t="s">
        <v>3531</v>
      </c>
      <c r="O413" s="213" t="s">
        <v>3532</v>
      </c>
      <c r="P413" s="213" t="s">
        <v>3533</v>
      </c>
      <c r="Q413" s="213" t="s">
        <v>3534</v>
      </c>
      <c r="R413" s="213" t="s">
        <v>3535</v>
      </c>
      <c r="S413" s="213" t="s">
        <v>3536</v>
      </c>
      <c r="T413" s="213" t="s">
        <v>3537</v>
      </c>
      <c r="U413" s="213" t="s">
        <v>76360</v>
      </c>
    </row>
    <row r="414" spans="1:21" x14ac:dyDescent="0.25">
      <c r="A414" s="213" t="s">
        <v>327</v>
      </c>
      <c r="D414" s="213" t="s">
        <v>3538</v>
      </c>
      <c r="E414" s="213" t="s">
        <v>3539</v>
      </c>
      <c r="K414" s="213" t="s">
        <v>76169</v>
      </c>
      <c r="L414" s="213" t="s">
        <v>76233</v>
      </c>
      <c r="M414" s="213" t="s">
        <v>76297</v>
      </c>
      <c r="N414" s="213" t="s">
        <v>3540</v>
      </c>
      <c r="O414" s="213" t="s">
        <v>3541</v>
      </c>
      <c r="P414" s="213" t="s">
        <v>3542</v>
      </c>
      <c r="Q414" s="213" t="s">
        <v>3543</v>
      </c>
      <c r="R414" s="213" t="s">
        <v>3544</v>
      </c>
      <c r="S414" s="213" t="s">
        <v>3545</v>
      </c>
      <c r="T414" s="213" t="s">
        <v>3546</v>
      </c>
      <c r="U414" s="213" t="s">
        <v>76361</v>
      </c>
    </row>
    <row r="415" spans="1:21" x14ac:dyDescent="0.25">
      <c r="A415" s="213" t="s">
        <v>327</v>
      </c>
      <c r="D415" s="213" t="s">
        <v>3547</v>
      </c>
      <c r="E415" s="213" t="s">
        <v>3548</v>
      </c>
      <c r="K415" s="213" t="s">
        <v>76170</v>
      </c>
      <c r="L415" s="213" t="s">
        <v>76234</v>
      </c>
      <c r="M415" s="213" t="s">
        <v>76298</v>
      </c>
      <c r="N415" s="213" t="s">
        <v>3549</v>
      </c>
      <c r="O415" s="213" t="s">
        <v>3550</v>
      </c>
      <c r="P415" s="213" t="s">
        <v>3551</v>
      </c>
      <c r="Q415" s="213" t="s">
        <v>3552</v>
      </c>
      <c r="R415" s="213" t="s">
        <v>3553</v>
      </c>
      <c r="S415" s="213" t="s">
        <v>3554</v>
      </c>
      <c r="T415" s="213" t="s">
        <v>3555</v>
      </c>
      <c r="U415" s="213" t="s">
        <v>76362</v>
      </c>
    </row>
    <row r="416" spans="1:21" x14ac:dyDescent="0.25">
      <c r="A416" s="213" t="s">
        <v>327</v>
      </c>
      <c r="D416" s="213" t="s">
        <v>3556</v>
      </c>
      <c r="E416" s="213" t="s">
        <v>3557</v>
      </c>
      <c r="K416" s="213" t="s">
        <v>76171</v>
      </c>
      <c r="L416" s="213" t="s">
        <v>76235</v>
      </c>
      <c r="M416" s="213" t="s">
        <v>76299</v>
      </c>
      <c r="N416" s="213" t="s">
        <v>3558</v>
      </c>
      <c r="O416" s="213" t="s">
        <v>3559</v>
      </c>
      <c r="P416" s="213" t="s">
        <v>3560</v>
      </c>
      <c r="Q416" s="213" t="s">
        <v>3561</v>
      </c>
      <c r="R416" s="213" t="s">
        <v>3562</v>
      </c>
      <c r="S416" s="213" t="s">
        <v>3563</v>
      </c>
      <c r="T416" s="213" t="s">
        <v>3564</v>
      </c>
      <c r="U416" s="213" t="s">
        <v>76363</v>
      </c>
    </row>
    <row r="417" spans="1:21" x14ac:dyDescent="0.25">
      <c r="A417" s="213" t="s">
        <v>327</v>
      </c>
      <c r="D417" s="213" t="s">
        <v>3565</v>
      </c>
      <c r="E417" s="213" t="s">
        <v>3566</v>
      </c>
      <c r="K417" s="213" t="s">
        <v>76172</v>
      </c>
      <c r="L417" s="213" t="s">
        <v>76236</v>
      </c>
      <c r="M417" s="213" t="s">
        <v>76300</v>
      </c>
      <c r="N417" s="213" t="s">
        <v>3567</v>
      </c>
      <c r="O417" s="213" t="s">
        <v>3568</v>
      </c>
      <c r="P417" s="213" t="s">
        <v>3569</v>
      </c>
      <c r="Q417" s="213" t="s">
        <v>3570</v>
      </c>
      <c r="R417" s="213" t="s">
        <v>3571</v>
      </c>
      <c r="S417" s="213" t="s">
        <v>3572</v>
      </c>
      <c r="T417" s="213" t="s">
        <v>3573</v>
      </c>
      <c r="U417" s="213" t="s">
        <v>76364</v>
      </c>
    </row>
    <row r="418" spans="1:21" x14ac:dyDescent="0.25">
      <c r="A418" s="213" t="s">
        <v>327</v>
      </c>
      <c r="D418" s="213" t="s">
        <v>3574</v>
      </c>
      <c r="E418" s="213" t="s">
        <v>3575</v>
      </c>
      <c r="K418" s="213" t="s">
        <v>76173</v>
      </c>
      <c r="L418" s="213" t="s">
        <v>76237</v>
      </c>
      <c r="M418" s="213" t="s">
        <v>76301</v>
      </c>
      <c r="N418" s="213" t="s">
        <v>3576</v>
      </c>
      <c r="O418" s="213" t="s">
        <v>3577</v>
      </c>
      <c r="P418" s="213" t="s">
        <v>3578</v>
      </c>
      <c r="Q418" s="213" t="s">
        <v>3579</v>
      </c>
      <c r="R418" s="213" t="s">
        <v>3580</v>
      </c>
      <c r="S418" s="213" t="s">
        <v>3581</v>
      </c>
      <c r="T418" s="213" t="s">
        <v>3582</v>
      </c>
      <c r="U418" s="213" t="s">
        <v>76365</v>
      </c>
    </row>
    <row r="419" spans="1:21" x14ac:dyDescent="0.25">
      <c r="A419" s="213" t="s">
        <v>327</v>
      </c>
      <c r="D419" s="213" t="s">
        <v>3583</v>
      </c>
      <c r="E419" s="213" t="s">
        <v>3584</v>
      </c>
      <c r="K419" s="213" t="s">
        <v>76174</v>
      </c>
      <c r="L419" s="213" t="s">
        <v>76238</v>
      </c>
      <c r="M419" s="213" t="s">
        <v>76302</v>
      </c>
      <c r="N419" s="213" t="s">
        <v>3585</v>
      </c>
      <c r="O419" s="213" t="s">
        <v>3586</v>
      </c>
      <c r="P419" s="213" t="s">
        <v>3587</v>
      </c>
      <c r="Q419" s="213" t="s">
        <v>3588</v>
      </c>
      <c r="R419" s="213" t="s">
        <v>3589</v>
      </c>
      <c r="S419" s="213" t="s">
        <v>3590</v>
      </c>
      <c r="T419" s="213" t="s">
        <v>3591</v>
      </c>
      <c r="U419" s="213" t="s">
        <v>76366</v>
      </c>
    </row>
    <row r="420" spans="1:21" x14ac:dyDescent="0.25">
      <c r="A420" s="213" t="s">
        <v>327</v>
      </c>
      <c r="D420" s="213" t="s">
        <v>3592</v>
      </c>
      <c r="E420" s="213" t="s">
        <v>3593</v>
      </c>
      <c r="K420" s="213" t="s">
        <v>76175</v>
      </c>
      <c r="L420" s="213" t="s">
        <v>76239</v>
      </c>
      <c r="M420" s="213" t="s">
        <v>76303</v>
      </c>
      <c r="N420" s="213" t="s">
        <v>3594</v>
      </c>
      <c r="O420" s="213" t="s">
        <v>3595</v>
      </c>
      <c r="P420" s="213" t="s">
        <v>3596</v>
      </c>
      <c r="Q420" s="213" t="s">
        <v>3597</v>
      </c>
      <c r="R420" s="213" t="s">
        <v>3598</v>
      </c>
      <c r="S420" s="213" t="s">
        <v>3599</v>
      </c>
      <c r="T420" s="213" t="s">
        <v>3600</v>
      </c>
      <c r="U420" s="213" t="s">
        <v>76367</v>
      </c>
    </row>
    <row r="421" spans="1:21" x14ac:dyDescent="0.25">
      <c r="A421" s="213" t="s">
        <v>327</v>
      </c>
      <c r="D421" s="213" t="s">
        <v>3601</v>
      </c>
      <c r="E421" s="213" t="s">
        <v>3602</v>
      </c>
      <c r="K421" s="213" t="s">
        <v>76176</v>
      </c>
      <c r="L421" s="213" t="s">
        <v>76240</v>
      </c>
      <c r="M421" s="213" t="s">
        <v>76304</v>
      </c>
      <c r="N421" s="213" t="s">
        <v>3603</v>
      </c>
      <c r="O421" s="213" t="s">
        <v>3604</v>
      </c>
      <c r="P421" s="213" t="s">
        <v>3605</v>
      </c>
      <c r="Q421" s="213" t="s">
        <v>3606</v>
      </c>
      <c r="R421" s="213" t="s">
        <v>3607</v>
      </c>
      <c r="S421" s="213" t="s">
        <v>3608</v>
      </c>
      <c r="T421" s="213" t="s">
        <v>3609</v>
      </c>
      <c r="U421" s="213" t="s">
        <v>76368</v>
      </c>
    </row>
    <row r="422" spans="1:21" x14ac:dyDescent="0.25">
      <c r="A422" s="213" t="s">
        <v>327</v>
      </c>
      <c r="D422" s="213" t="s">
        <v>3610</v>
      </c>
      <c r="E422" s="213" t="s">
        <v>3611</v>
      </c>
      <c r="K422" s="213" t="s">
        <v>76177</v>
      </c>
      <c r="L422" s="213" t="s">
        <v>76241</v>
      </c>
      <c r="M422" s="213" t="s">
        <v>76305</v>
      </c>
      <c r="N422" s="213" t="s">
        <v>3612</v>
      </c>
      <c r="O422" s="213" t="s">
        <v>3613</v>
      </c>
      <c r="P422" s="213" t="s">
        <v>3614</v>
      </c>
      <c r="Q422" s="213" t="s">
        <v>3615</v>
      </c>
      <c r="R422" s="213" t="s">
        <v>3616</v>
      </c>
      <c r="S422" s="213" t="s">
        <v>3617</v>
      </c>
      <c r="T422" s="213" t="s">
        <v>3618</v>
      </c>
      <c r="U422" s="213" t="s">
        <v>76369</v>
      </c>
    </row>
    <row r="423" spans="1:21" x14ac:dyDescent="0.25">
      <c r="A423" s="213" t="s">
        <v>327</v>
      </c>
      <c r="D423" s="213" t="s">
        <v>3619</v>
      </c>
      <c r="E423" s="213" t="s">
        <v>3620</v>
      </c>
      <c r="K423" s="213" t="s">
        <v>76178</v>
      </c>
      <c r="L423" s="213" t="s">
        <v>76242</v>
      </c>
      <c r="M423" s="213" t="s">
        <v>76306</v>
      </c>
      <c r="N423" s="213" t="s">
        <v>3621</v>
      </c>
      <c r="O423" s="213" t="s">
        <v>3622</v>
      </c>
      <c r="P423" s="213" t="s">
        <v>3623</v>
      </c>
      <c r="Q423" s="213" t="s">
        <v>3624</v>
      </c>
      <c r="R423" s="213" t="s">
        <v>3625</v>
      </c>
      <c r="S423" s="213" t="s">
        <v>3626</v>
      </c>
      <c r="T423" s="213" t="s">
        <v>3627</v>
      </c>
      <c r="U423" s="213" t="s">
        <v>76370</v>
      </c>
    </row>
    <row r="424" spans="1:21" x14ac:dyDescent="0.25">
      <c r="A424" s="213" t="s">
        <v>327</v>
      </c>
      <c r="D424" s="213" t="s">
        <v>3628</v>
      </c>
      <c r="E424" s="213" t="s">
        <v>3629</v>
      </c>
      <c r="K424" s="213" t="s">
        <v>76179</v>
      </c>
      <c r="L424" s="213" t="s">
        <v>76243</v>
      </c>
      <c r="M424" s="213" t="s">
        <v>76307</v>
      </c>
      <c r="N424" s="213" t="s">
        <v>3630</v>
      </c>
      <c r="O424" s="213" t="s">
        <v>3631</v>
      </c>
      <c r="P424" s="213" t="s">
        <v>3632</v>
      </c>
      <c r="Q424" s="213" t="s">
        <v>3633</v>
      </c>
      <c r="R424" s="213" t="s">
        <v>3634</v>
      </c>
      <c r="S424" s="213" t="s">
        <v>3635</v>
      </c>
      <c r="T424" s="213" t="s">
        <v>3636</v>
      </c>
      <c r="U424" s="213" t="s">
        <v>76371</v>
      </c>
    </row>
    <row r="425" spans="1:21" x14ac:dyDescent="0.25">
      <c r="A425" s="213" t="s">
        <v>327</v>
      </c>
      <c r="D425" s="213" t="s">
        <v>3637</v>
      </c>
      <c r="E425" s="213" t="s">
        <v>3638</v>
      </c>
      <c r="K425" s="213" t="s">
        <v>76180</v>
      </c>
      <c r="L425" s="213" t="s">
        <v>76244</v>
      </c>
      <c r="M425" s="213" t="s">
        <v>76308</v>
      </c>
      <c r="N425" s="213" t="s">
        <v>3639</v>
      </c>
      <c r="O425" s="213" t="s">
        <v>3640</v>
      </c>
      <c r="P425" s="213" t="s">
        <v>3641</v>
      </c>
      <c r="Q425" s="213" t="s">
        <v>3642</v>
      </c>
      <c r="R425" s="213" t="s">
        <v>3643</v>
      </c>
      <c r="S425" s="213" t="s">
        <v>3644</v>
      </c>
      <c r="T425" s="213" t="s">
        <v>3645</v>
      </c>
      <c r="U425" s="213" t="s">
        <v>76372</v>
      </c>
    </row>
    <row r="426" spans="1:21" x14ac:dyDescent="0.25">
      <c r="A426" s="213" t="s">
        <v>327</v>
      </c>
      <c r="D426" s="213" t="s">
        <v>3646</v>
      </c>
      <c r="E426" s="213" t="s">
        <v>3647</v>
      </c>
      <c r="K426" s="213" t="s">
        <v>76181</v>
      </c>
      <c r="L426" s="213" t="s">
        <v>76245</v>
      </c>
      <c r="M426" s="213" t="s">
        <v>76309</v>
      </c>
      <c r="N426" s="213" t="s">
        <v>3648</v>
      </c>
      <c r="O426" s="213" t="s">
        <v>3649</v>
      </c>
      <c r="P426" s="213" t="s">
        <v>3650</v>
      </c>
      <c r="Q426" s="213" t="s">
        <v>3651</v>
      </c>
      <c r="R426" s="213" t="s">
        <v>3652</v>
      </c>
      <c r="S426" s="213" t="s">
        <v>3653</v>
      </c>
      <c r="T426" s="213" t="s">
        <v>3654</v>
      </c>
      <c r="U426" s="213" t="s">
        <v>76373</v>
      </c>
    </row>
    <row r="427" spans="1:21" x14ac:dyDescent="0.25">
      <c r="A427" s="213" t="s">
        <v>327</v>
      </c>
      <c r="D427" s="213" t="s">
        <v>3655</v>
      </c>
      <c r="E427" s="213" t="s">
        <v>3656</v>
      </c>
      <c r="K427" s="213" t="s">
        <v>76182</v>
      </c>
      <c r="L427" s="213" t="s">
        <v>76246</v>
      </c>
      <c r="M427" s="213" t="s">
        <v>76310</v>
      </c>
      <c r="N427" s="213" t="s">
        <v>3657</v>
      </c>
      <c r="O427" s="213" t="s">
        <v>3658</v>
      </c>
      <c r="P427" s="213" t="s">
        <v>3659</v>
      </c>
      <c r="Q427" s="213" t="s">
        <v>3660</v>
      </c>
      <c r="R427" s="213" t="s">
        <v>3661</v>
      </c>
      <c r="S427" s="213" t="s">
        <v>3662</v>
      </c>
      <c r="T427" s="213" t="s">
        <v>3663</v>
      </c>
      <c r="U427" s="213" t="s">
        <v>76374</v>
      </c>
    </row>
    <row r="428" spans="1:21" x14ac:dyDescent="0.25">
      <c r="A428" s="213" t="s">
        <v>327</v>
      </c>
      <c r="D428" s="213" t="s">
        <v>3664</v>
      </c>
      <c r="E428" s="213" t="s">
        <v>3665</v>
      </c>
      <c r="K428" s="213" t="s">
        <v>76183</v>
      </c>
      <c r="L428" s="213" t="s">
        <v>76247</v>
      </c>
      <c r="M428" s="213" t="s">
        <v>76311</v>
      </c>
      <c r="N428" s="213" t="s">
        <v>3666</v>
      </c>
      <c r="O428" s="213" t="s">
        <v>3667</v>
      </c>
      <c r="P428" s="213" t="s">
        <v>3668</v>
      </c>
      <c r="Q428" s="213" t="s">
        <v>3669</v>
      </c>
      <c r="R428" s="213" t="s">
        <v>3670</v>
      </c>
      <c r="S428" s="213" t="s">
        <v>3671</v>
      </c>
      <c r="T428" s="213" t="s">
        <v>3672</v>
      </c>
      <c r="U428" s="213" t="s">
        <v>76375</v>
      </c>
    </row>
    <row r="429" spans="1:21" x14ac:dyDescent="0.25">
      <c r="A429" s="213" t="s">
        <v>327</v>
      </c>
      <c r="D429" s="213" t="s">
        <v>3673</v>
      </c>
      <c r="E429" s="213" t="s">
        <v>3674</v>
      </c>
      <c r="K429" s="213" t="s">
        <v>76184</v>
      </c>
      <c r="L429" s="213" t="s">
        <v>76248</v>
      </c>
      <c r="M429" s="213" t="s">
        <v>76312</v>
      </c>
      <c r="N429" s="213" t="s">
        <v>3675</v>
      </c>
      <c r="O429" s="213" t="s">
        <v>3676</v>
      </c>
      <c r="P429" s="213" t="s">
        <v>3677</v>
      </c>
      <c r="Q429" s="213" t="s">
        <v>3678</v>
      </c>
      <c r="R429" s="213" t="s">
        <v>3679</v>
      </c>
      <c r="S429" s="213" t="s">
        <v>3680</v>
      </c>
      <c r="T429" s="213" t="s">
        <v>3681</v>
      </c>
      <c r="U429" s="213" t="s">
        <v>76376</v>
      </c>
    </row>
    <row r="430" spans="1:21" x14ac:dyDescent="0.25">
      <c r="A430" s="213" t="s">
        <v>327</v>
      </c>
      <c r="D430" s="213" t="s">
        <v>3682</v>
      </c>
      <c r="E430" s="213" t="s">
        <v>3683</v>
      </c>
      <c r="K430" s="213" t="s">
        <v>76185</v>
      </c>
      <c r="L430" s="213" t="s">
        <v>76249</v>
      </c>
      <c r="M430" s="213" t="s">
        <v>76313</v>
      </c>
      <c r="N430" s="213" t="s">
        <v>3684</v>
      </c>
      <c r="O430" s="213" t="s">
        <v>3685</v>
      </c>
      <c r="P430" s="213" t="s">
        <v>3686</v>
      </c>
      <c r="Q430" s="213" t="s">
        <v>3687</v>
      </c>
      <c r="R430" s="213" t="s">
        <v>3688</v>
      </c>
      <c r="S430" s="213" t="s">
        <v>3689</v>
      </c>
      <c r="T430" s="213" t="s">
        <v>3690</v>
      </c>
      <c r="U430" s="213" t="s">
        <v>76377</v>
      </c>
    </row>
    <row r="431" spans="1:21" x14ac:dyDescent="0.25">
      <c r="A431" s="213" t="s">
        <v>327</v>
      </c>
      <c r="D431" s="213" t="s">
        <v>3691</v>
      </c>
      <c r="E431" s="213" t="s">
        <v>3692</v>
      </c>
      <c r="K431" s="213" t="s">
        <v>76186</v>
      </c>
      <c r="L431" s="213" t="s">
        <v>76250</v>
      </c>
      <c r="M431" s="213" t="s">
        <v>76314</v>
      </c>
      <c r="N431" s="213" t="s">
        <v>3693</v>
      </c>
      <c r="O431" s="213" t="s">
        <v>3694</v>
      </c>
      <c r="P431" s="213" t="s">
        <v>3695</v>
      </c>
      <c r="Q431" s="213" t="s">
        <v>3696</v>
      </c>
      <c r="R431" s="213" t="s">
        <v>3697</v>
      </c>
      <c r="S431" s="213" t="s">
        <v>3698</v>
      </c>
      <c r="T431" s="213" t="s">
        <v>3699</v>
      </c>
      <c r="U431" s="213" t="s">
        <v>76378</v>
      </c>
    </row>
    <row r="432" spans="1:21" x14ac:dyDescent="0.25">
      <c r="A432" s="213" t="s">
        <v>327</v>
      </c>
      <c r="D432" s="213" t="s">
        <v>3700</v>
      </c>
      <c r="E432" s="213" t="s">
        <v>3701</v>
      </c>
      <c r="K432" s="213" t="s">
        <v>76187</v>
      </c>
      <c r="L432" s="213" t="s">
        <v>76251</v>
      </c>
      <c r="M432" s="213" t="s">
        <v>76315</v>
      </c>
      <c r="N432" s="213" t="s">
        <v>3702</v>
      </c>
      <c r="O432" s="213" t="s">
        <v>3703</v>
      </c>
      <c r="P432" s="213" t="s">
        <v>3704</v>
      </c>
      <c r="Q432" s="213" t="s">
        <v>3705</v>
      </c>
      <c r="R432" s="213" t="s">
        <v>3706</v>
      </c>
      <c r="S432" s="213" t="s">
        <v>3707</v>
      </c>
      <c r="T432" s="213" t="s">
        <v>3708</v>
      </c>
      <c r="U432" s="213" t="s">
        <v>76379</v>
      </c>
    </row>
    <row r="433" spans="1:21" x14ac:dyDescent="0.25">
      <c r="A433" s="213" t="s">
        <v>327</v>
      </c>
      <c r="D433" s="213" t="s">
        <v>3709</v>
      </c>
      <c r="E433" s="213" t="s">
        <v>3710</v>
      </c>
      <c r="K433" s="213" t="s">
        <v>76188</v>
      </c>
      <c r="L433" s="213" t="s">
        <v>76252</v>
      </c>
      <c r="M433" s="213" t="s">
        <v>76316</v>
      </c>
      <c r="N433" s="213" t="s">
        <v>3711</v>
      </c>
      <c r="O433" s="213" t="s">
        <v>3712</v>
      </c>
      <c r="P433" s="213" t="s">
        <v>3713</v>
      </c>
      <c r="Q433" s="213" t="s">
        <v>3714</v>
      </c>
      <c r="R433" s="213" t="s">
        <v>3715</v>
      </c>
      <c r="S433" s="213" t="s">
        <v>3716</v>
      </c>
      <c r="T433" s="213" t="s">
        <v>3717</v>
      </c>
      <c r="U433" s="213" t="s">
        <v>76380</v>
      </c>
    </row>
    <row r="434" spans="1:21" x14ac:dyDescent="0.25">
      <c r="A434" s="213" t="s">
        <v>327</v>
      </c>
      <c r="D434" s="213" t="s">
        <v>3718</v>
      </c>
      <c r="E434" s="213" t="s">
        <v>3719</v>
      </c>
      <c r="K434" s="213" t="s">
        <v>76189</v>
      </c>
      <c r="L434" s="213" t="s">
        <v>76253</v>
      </c>
      <c r="M434" s="213" t="s">
        <v>76317</v>
      </c>
      <c r="N434" s="213" t="s">
        <v>3720</v>
      </c>
      <c r="O434" s="213" t="s">
        <v>3721</v>
      </c>
      <c r="P434" s="213" t="s">
        <v>3722</v>
      </c>
      <c r="Q434" s="213" t="s">
        <v>3723</v>
      </c>
      <c r="R434" s="213" t="s">
        <v>3724</v>
      </c>
      <c r="S434" s="213" t="s">
        <v>3725</v>
      </c>
      <c r="T434" s="213" t="s">
        <v>3726</v>
      </c>
      <c r="U434" s="213" t="s">
        <v>76381</v>
      </c>
    </row>
    <row r="435" spans="1:21" x14ac:dyDescent="0.25">
      <c r="A435" s="213" t="s">
        <v>327</v>
      </c>
      <c r="D435" s="213" t="s">
        <v>3727</v>
      </c>
      <c r="E435" s="213" t="s">
        <v>3728</v>
      </c>
      <c r="K435" s="213" t="s">
        <v>76190</v>
      </c>
      <c r="L435" s="213" t="s">
        <v>76254</v>
      </c>
      <c r="M435" s="213" t="s">
        <v>76318</v>
      </c>
      <c r="N435" s="213" t="s">
        <v>3729</v>
      </c>
      <c r="O435" s="213" t="s">
        <v>3730</v>
      </c>
      <c r="P435" s="213" t="s">
        <v>3731</v>
      </c>
      <c r="Q435" s="213" t="s">
        <v>3732</v>
      </c>
      <c r="R435" s="213" t="s">
        <v>3733</v>
      </c>
      <c r="S435" s="213" t="s">
        <v>3734</v>
      </c>
      <c r="T435" s="213" t="s">
        <v>3735</v>
      </c>
      <c r="U435" s="213" t="s">
        <v>76382</v>
      </c>
    </row>
    <row r="436" spans="1:21" x14ac:dyDescent="0.25">
      <c r="A436" s="213" t="s">
        <v>327</v>
      </c>
      <c r="D436" s="213" t="s">
        <v>3736</v>
      </c>
      <c r="E436" s="213" t="s">
        <v>3737</v>
      </c>
      <c r="K436" s="213" t="s">
        <v>76191</v>
      </c>
      <c r="L436" s="213" t="s">
        <v>76255</v>
      </c>
      <c r="M436" s="213" t="s">
        <v>76319</v>
      </c>
      <c r="N436" s="213" t="s">
        <v>3738</v>
      </c>
      <c r="O436" s="213" t="s">
        <v>3739</v>
      </c>
      <c r="P436" s="213" t="s">
        <v>3740</v>
      </c>
      <c r="Q436" s="213" t="s">
        <v>3741</v>
      </c>
      <c r="R436" s="213" t="s">
        <v>3742</v>
      </c>
      <c r="S436" s="213" t="s">
        <v>3743</v>
      </c>
      <c r="T436" s="213" t="s">
        <v>3744</v>
      </c>
      <c r="U436" s="213" t="s">
        <v>76383</v>
      </c>
    </row>
    <row r="437" spans="1:21" x14ac:dyDescent="0.25">
      <c r="A437" s="213" t="s">
        <v>327</v>
      </c>
      <c r="D437" s="213" t="s">
        <v>3745</v>
      </c>
      <c r="E437" s="213" t="s">
        <v>3746</v>
      </c>
      <c r="K437" s="213" t="s">
        <v>76192</v>
      </c>
      <c r="L437" s="213" t="s">
        <v>76256</v>
      </c>
      <c r="M437" s="213" t="s">
        <v>76320</v>
      </c>
      <c r="N437" s="213" t="s">
        <v>3747</v>
      </c>
      <c r="O437" s="213" t="s">
        <v>3748</v>
      </c>
      <c r="P437" s="213" t="s">
        <v>3749</v>
      </c>
      <c r="Q437" s="213" t="s">
        <v>3750</v>
      </c>
      <c r="R437" s="213" t="s">
        <v>3751</v>
      </c>
      <c r="S437" s="213" t="s">
        <v>3752</v>
      </c>
      <c r="T437" s="213" t="s">
        <v>3753</v>
      </c>
      <c r="U437" s="213" t="s">
        <v>76384</v>
      </c>
    </row>
    <row r="438" spans="1:21" x14ac:dyDescent="0.25">
      <c r="A438" s="213" t="s">
        <v>327</v>
      </c>
      <c r="D438" s="213" t="s">
        <v>3754</v>
      </c>
      <c r="E438" s="213" t="s">
        <v>3755</v>
      </c>
      <c r="K438" s="213" t="s">
        <v>76193</v>
      </c>
      <c r="L438" s="213" t="s">
        <v>76257</v>
      </c>
      <c r="M438" s="213" t="s">
        <v>76321</v>
      </c>
      <c r="N438" s="213" t="s">
        <v>3756</v>
      </c>
      <c r="O438" s="213" t="s">
        <v>3757</v>
      </c>
      <c r="P438" s="213" t="s">
        <v>3758</v>
      </c>
      <c r="Q438" s="213" t="s">
        <v>3759</v>
      </c>
      <c r="R438" s="213" t="s">
        <v>3760</v>
      </c>
      <c r="S438" s="213" t="s">
        <v>3761</v>
      </c>
      <c r="T438" s="213" t="s">
        <v>3762</v>
      </c>
      <c r="U438" s="213" t="s">
        <v>76385</v>
      </c>
    </row>
    <row r="439" spans="1:21" x14ac:dyDescent="0.25">
      <c r="A439" s="213" t="s">
        <v>327</v>
      </c>
      <c r="D439" s="213" t="s">
        <v>3763</v>
      </c>
      <c r="E439" s="213" t="s">
        <v>3764</v>
      </c>
      <c r="K439" s="213" t="s">
        <v>76194</v>
      </c>
      <c r="L439" s="213" t="s">
        <v>76258</v>
      </c>
      <c r="M439" s="213" t="s">
        <v>76322</v>
      </c>
      <c r="N439" s="213" t="s">
        <v>3765</v>
      </c>
      <c r="O439" s="213" t="s">
        <v>3766</v>
      </c>
      <c r="P439" s="213" t="s">
        <v>3767</v>
      </c>
      <c r="Q439" s="213" t="s">
        <v>3768</v>
      </c>
      <c r="R439" s="213" t="s">
        <v>3769</v>
      </c>
      <c r="S439" s="213" t="s">
        <v>3770</v>
      </c>
      <c r="T439" s="213" t="s">
        <v>3771</v>
      </c>
      <c r="U439" s="213" t="s">
        <v>76386</v>
      </c>
    </row>
    <row r="440" spans="1:21" x14ac:dyDescent="0.25">
      <c r="A440" s="213" t="s">
        <v>327</v>
      </c>
      <c r="D440" s="213" t="s">
        <v>3772</v>
      </c>
      <c r="E440" s="213" t="s">
        <v>3773</v>
      </c>
      <c r="K440" s="213" t="s">
        <v>76195</v>
      </c>
      <c r="L440" s="213" t="s">
        <v>76259</v>
      </c>
      <c r="M440" s="213" t="s">
        <v>76323</v>
      </c>
      <c r="N440" s="213" t="s">
        <v>3774</v>
      </c>
      <c r="O440" s="213" t="s">
        <v>3775</v>
      </c>
      <c r="P440" s="213" t="s">
        <v>3776</v>
      </c>
      <c r="Q440" s="213" t="s">
        <v>3777</v>
      </c>
      <c r="R440" s="213" t="s">
        <v>3778</v>
      </c>
      <c r="S440" s="213" t="s">
        <v>3779</v>
      </c>
      <c r="T440" s="213" t="s">
        <v>3780</v>
      </c>
      <c r="U440" s="213" t="s">
        <v>76387</v>
      </c>
    </row>
    <row r="441" spans="1:21" x14ac:dyDescent="0.25">
      <c r="A441" s="213" t="s">
        <v>327</v>
      </c>
      <c r="D441" s="213" t="s">
        <v>3781</v>
      </c>
      <c r="E441" s="213" t="s">
        <v>3782</v>
      </c>
      <c r="K441" s="213" t="s">
        <v>76196</v>
      </c>
      <c r="L441" s="213" t="s">
        <v>76260</v>
      </c>
      <c r="M441" s="213" t="s">
        <v>76324</v>
      </c>
      <c r="N441" s="213" t="s">
        <v>3783</v>
      </c>
      <c r="O441" s="213" t="s">
        <v>3784</v>
      </c>
      <c r="P441" s="213" t="s">
        <v>3785</v>
      </c>
      <c r="Q441" s="213" t="s">
        <v>3786</v>
      </c>
      <c r="R441" s="213" t="s">
        <v>3787</v>
      </c>
      <c r="S441" s="213" t="s">
        <v>3788</v>
      </c>
      <c r="T441" s="213" t="s">
        <v>3789</v>
      </c>
      <c r="U441" s="213" t="s">
        <v>76388</v>
      </c>
    </row>
    <row r="442" spans="1:21" x14ac:dyDescent="0.25">
      <c r="A442" s="213" t="s">
        <v>327</v>
      </c>
      <c r="D442" s="213" t="s">
        <v>3790</v>
      </c>
      <c r="E442" s="213" t="s">
        <v>3791</v>
      </c>
      <c r="K442" s="213" t="s">
        <v>76197</v>
      </c>
      <c r="L442" s="213" t="s">
        <v>76261</v>
      </c>
      <c r="M442" s="213" t="s">
        <v>76325</v>
      </c>
      <c r="N442" s="213" t="s">
        <v>3792</v>
      </c>
      <c r="O442" s="213" t="s">
        <v>3793</v>
      </c>
      <c r="P442" s="213" t="s">
        <v>3794</v>
      </c>
      <c r="Q442" s="213" t="s">
        <v>3795</v>
      </c>
      <c r="R442" s="213" t="s">
        <v>3796</v>
      </c>
      <c r="S442" s="213" t="s">
        <v>3797</v>
      </c>
      <c r="T442" s="213" t="s">
        <v>3798</v>
      </c>
      <c r="U442" s="213" t="s">
        <v>76389</v>
      </c>
    </row>
    <row r="443" spans="1:21" x14ac:dyDescent="0.25">
      <c r="A443" s="213" t="s">
        <v>327</v>
      </c>
    </row>
    <row r="444" spans="1:21" x14ac:dyDescent="0.25">
      <c r="A444" s="213" t="s">
        <v>327</v>
      </c>
    </row>
    <row r="445" spans="1:21" x14ac:dyDescent="0.25">
      <c r="A445" s="213" t="s">
        <v>327</v>
      </c>
      <c r="C445" s="213" t="s">
        <v>3799</v>
      </c>
      <c r="E445" s="213" t="s">
        <v>3800</v>
      </c>
      <c r="H445" s="213" t="s">
        <v>3801</v>
      </c>
      <c r="I445" s="213" t="s">
        <v>3802</v>
      </c>
      <c r="J445" s="213" t="s">
        <v>3803</v>
      </c>
      <c r="L445" s="213" t="s">
        <v>3804</v>
      </c>
      <c r="O445" s="213" t="s">
        <v>3805</v>
      </c>
      <c r="P445" s="213" t="s">
        <v>3806</v>
      </c>
      <c r="Q445" s="213" t="s">
        <v>3807</v>
      </c>
      <c r="R445" s="213" t="s">
        <v>3808</v>
      </c>
      <c r="S445" s="213" t="s">
        <v>3809</v>
      </c>
      <c r="T445" s="213" t="s">
        <v>3810</v>
      </c>
    </row>
    <row r="446" spans="1:21" x14ac:dyDescent="0.25">
      <c r="A446" s="213" t="s">
        <v>327</v>
      </c>
      <c r="C446" s="213" t="s">
        <v>3811</v>
      </c>
      <c r="E446" s="213" t="s">
        <v>3812</v>
      </c>
      <c r="I446" s="213" t="s">
        <v>3813</v>
      </c>
    </row>
    <row r="447" spans="1:21" x14ac:dyDescent="0.25">
      <c r="A447" s="213" t="s">
        <v>327</v>
      </c>
      <c r="C447" s="213" t="s">
        <v>3814</v>
      </c>
      <c r="E447" s="213" t="s">
        <v>3815</v>
      </c>
      <c r="I447" s="213" t="s">
        <v>3816</v>
      </c>
    </row>
    <row r="448" spans="1:21" x14ac:dyDescent="0.25">
      <c r="A448" s="213" t="s">
        <v>328</v>
      </c>
    </row>
    <row r="449" spans="1:21" x14ac:dyDescent="0.25">
      <c r="A449" s="213" t="s">
        <v>327</v>
      </c>
      <c r="D449" s="213" t="s">
        <v>3817</v>
      </c>
      <c r="E449" s="213" t="s">
        <v>3818</v>
      </c>
      <c r="K449" s="213" t="s">
        <v>75882</v>
      </c>
      <c r="L449" s="213" t="s">
        <v>75945</v>
      </c>
      <c r="M449" s="213" t="s">
        <v>76008</v>
      </c>
      <c r="N449" s="213" t="s">
        <v>3819</v>
      </c>
      <c r="O449" s="213" t="s">
        <v>3820</v>
      </c>
      <c r="P449" s="213" t="s">
        <v>3821</v>
      </c>
      <c r="Q449" s="213" t="s">
        <v>3822</v>
      </c>
      <c r="R449" s="213" t="s">
        <v>3823</v>
      </c>
      <c r="S449" s="213" t="s">
        <v>3824</v>
      </c>
      <c r="T449" s="213" t="s">
        <v>3825</v>
      </c>
      <c r="U449" s="213" t="s">
        <v>76071</v>
      </c>
    </row>
    <row r="450" spans="1:21" x14ac:dyDescent="0.25">
      <c r="A450" s="213" t="s">
        <v>327</v>
      </c>
      <c r="D450" s="213" t="s">
        <v>3826</v>
      </c>
      <c r="E450" s="213" t="s">
        <v>3827</v>
      </c>
      <c r="K450" s="213" t="s">
        <v>75883</v>
      </c>
      <c r="L450" s="213" t="s">
        <v>75946</v>
      </c>
      <c r="M450" s="213" t="s">
        <v>76009</v>
      </c>
      <c r="N450" s="213" t="s">
        <v>3828</v>
      </c>
      <c r="O450" s="213" t="s">
        <v>3829</v>
      </c>
      <c r="P450" s="213" t="s">
        <v>3830</v>
      </c>
      <c r="Q450" s="213" t="s">
        <v>3831</v>
      </c>
      <c r="R450" s="213" t="s">
        <v>3832</v>
      </c>
      <c r="S450" s="213" t="s">
        <v>3833</v>
      </c>
      <c r="T450" s="213" t="s">
        <v>3834</v>
      </c>
      <c r="U450" s="213" t="s">
        <v>76072</v>
      </c>
    </row>
    <row r="451" spans="1:21" x14ac:dyDescent="0.25">
      <c r="A451" s="213" t="s">
        <v>327</v>
      </c>
      <c r="D451" s="213" t="s">
        <v>3835</v>
      </c>
      <c r="E451" s="213" t="s">
        <v>3836</v>
      </c>
      <c r="K451" s="213" t="s">
        <v>75884</v>
      </c>
      <c r="L451" s="213" t="s">
        <v>75947</v>
      </c>
      <c r="M451" s="213" t="s">
        <v>76010</v>
      </c>
      <c r="N451" s="213" t="s">
        <v>3837</v>
      </c>
      <c r="O451" s="213" t="s">
        <v>3838</v>
      </c>
      <c r="P451" s="213" t="s">
        <v>3839</v>
      </c>
      <c r="Q451" s="213" t="s">
        <v>3840</v>
      </c>
      <c r="R451" s="213" t="s">
        <v>3841</v>
      </c>
      <c r="S451" s="213" t="s">
        <v>3842</v>
      </c>
      <c r="T451" s="213" t="s">
        <v>3843</v>
      </c>
      <c r="U451" s="213" t="s">
        <v>76073</v>
      </c>
    </row>
    <row r="452" spans="1:21" x14ac:dyDescent="0.25">
      <c r="A452" s="213" t="s">
        <v>327</v>
      </c>
      <c r="D452" s="213" t="s">
        <v>3844</v>
      </c>
      <c r="E452" s="213" t="s">
        <v>3845</v>
      </c>
      <c r="K452" s="213" t="s">
        <v>75885</v>
      </c>
      <c r="L452" s="213" t="s">
        <v>75948</v>
      </c>
      <c r="M452" s="213" t="s">
        <v>76011</v>
      </c>
      <c r="N452" s="213" t="s">
        <v>3846</v>
      </c>
      <c r="O452" s="213" t="s">
        <v>3847</v>
      </c>
      <c r="P452" s="213" t="s">
        <v>3848</v>
      </c>
      <c r="Q452" s="213" t="s">
        <v>3849</v>
      </c>
      <c r="R452" s="213" t="s">
        <v>3850</v>
      </c>
      <c r="S452" s="213" t="s">
        <v>3851</v>
      </c>
      <c r="T452" s="213" t="s">
        <v>3852</v>
      </c>
      <c r="U452" s="213" t="s">
        <v>76074</v>
      </c>
    </row>
    <row r="453" spans="1:21" x14ac:dyDescent="0.25">
      <c r="A453" s="213" t="s">
        <v>327</v>
      </c>
      <c r="D453" s="213" t="s">
        <v>3853</v>
      </c>
      <c r="E453" s="213" t="s">
        <v>3854</v>
      </c>
      <c r="K453" s="213" t="s">
        <v>75886</v>
      </c>
      <c r="L453" s="213" t="s">
        <v>75949</v>
      </c>
      <c r="M453" s="213" t="s">
        <v>76012</v>
      </c>
      <c r="N453" s="213" t="s">
        <v>3855</v>
      </c>
      <c r="O453" s="213" t="s">
        <v>3856</v>
      </c>
      <c r="P453" s="213" t="s">
        <v>3857</v>
      </c>
      <c r="Q453" s="213" t="s">
        <v>3858</v>
      </c>
      <c r="R453" s="213" t="s">
        <v>3859</v>
      </c>
      <c r="S453" s="213" t="s">
        <v>3860</v>
      </c>
      <c r="T453" s="213" t="s">
        <v>3861</v>
      </c>
      <c r="U453" s="213" t="s">
        <v>76075</v>
      </c>
    </row>
    <row r="454" spans="1:21" x14ac:dyDescent="0.25">
      <c r="A454" s="213" t="s">
        <v>327</v>
      </c>
      <c r="D454" s="213" t="s">
        <v>3862</v>
      </c>
      <c r="E454" s="213" t="s">
        <v>3863</v>
      </c>
      <c r="K454" s="213" t="s">
        <v>75887</v>
      </c>
      <c r="L454" s="213" t="s">
        <v>75950</v>
      </c>
      <c r="M454" s="213" t="s">
        <v>76013</v>
      </c>
      <c r="N454" s="213" t="s">
        <v>3864</v>
      </c>
      <c r="O454" s="213" t="s">
        <v>3865</v>
      </c>
      <c r="P454" s="213" t="s">
        <v>3866</v>
      </c>
      <c r="Q454" s="213" t="s">
        <v>3867</v>
      </c>
      <c r="R454" s="213" t="s">
        <v>3868</v>
      </c>
      <c r="S454" s="213" t="s">
        <v>3869</v>
      </c>
      <c r="T454" s="213" t="s">
        <v>3870</v>
      </c>
      <c r="U454" s="213" t="s">
        <v>76076</v>
      </c>
    </row>
    <row r="455" spans="1:21" x14ac:dyDescent="0.25">
      <c r="A455" s="213" t="s">
        <v>327</v>
      </c>
      <c r="D455" s="213" t="s">
        <v>3871</v>
      </c>
      <c r="E455" s="213" t="s">
        <v>3872</v>
      </c>
      <c r="K455" s="213" t="s">
        <v>75888</v>
      </c>
      <c r="L455" s="213" t="s">
        <v>75951</v>
      </c>
      <c r="M455" s="213" t="s">
        <v>76014</v>
      </c>
      <c r="N455" s="213" t="s">
        <v>3873</v>
      </c>
      <c r="O455" s="213" t="s">
        <v>3874</v>
      </c>
      <c r="P455" s="213" t="s">
        <v>3875</v>
      </c>
      <c r="Q455" s="213" t="s">
        <v>3876</v>
      </c>
      <c r="R455" s="213" t="s">
        <v>3877</v>
      </c>
      <c r="S455" s="213" t="s">
        <v>3878</v>
      </c>
      <c r="T455" s="213" t="s">
        <v>3879</v>
      </c>
      <c r="U455" s="213" t="s">
        <v>76077</v>
      </c>
    </row>
    <row r="456" spans="1:21" x14ac:dyDescent="0.25">
      <c r="A456" s="213" t="s">
        <v>327</v>
      </c>
      <c r="D456" s="213" t="s">
        <v>3880</v>
      </c>
      <c r="E456" s="213" t="s">
        <v>3881</v>
      </c>
      <c r="K456" s="213" t="s">
        <v>75889</v>
      </c>
      <c r="L456" s="213" t="s">
        <v>75952</v>
      </c>
      <c r="M456" s="213" t="s">
        <v>76015</v>
      </c>
      <c r="N456" s="213" t="s">
        <v>3882</v>
      </c>
      <c r="O456" s="213" t="s">
        <v>3883</v>
      </c>
      <c r="P456" s="213" t="s">
        <v>3884</v>
      </c>
      <c r="Q456" s="213" t="s">
        <v>3885</v>
      </c>
      <c r="R456" s="213" t="s">
        <v>3886</v>
      </c>
      <c r="S456" s="213" t="s">
        <v>3887</v>
      </c>
      <c r="T456" s="213" t="s">
        <v>3888</v>
      </c>
      <c r="U456" s="213" t="s">
        <v>76078</v>
      </c>
    </row>
    <row r="457" spans="1:21" x14ac:dyDescent="0.25">
      <c r="A457" s="213" t="s">
        <v>327</v>
      </c>
      <c r="D457" s="213" t="s">
        <v>3889</v>
      </c>
      <c r="E457" s="213" t="s">
        <v>3890</v>
      </c>
      <c r="K457" s="213" t="s">
        <v>75890</v>
      </c>
      <c r="L457" s="213" t="s">
        <v>75953</v>
      </c>
      <c r="M457" s="213" t="s">
        <v>76016</v>
      </c>
      <c r="N457" s="213" t="s">
        <v>3891</v>
      </c>
      <c r="O457" s="213" t="s">
        <v>3892</v>
      </c>
      <c r="P457" s="213" t="s">
        <v>3893</v>
      </c>
      <c r="Q457" s="213" t="s">
        <v>3894</v>
      </c>
      <c r="R457" s="213" t="s">
        <v>3895</v>
      </c>
      <c r="S457" s="213" t="s">
        <v>3896</v>
      </c>
      <c r="T457" s="213" t="s">
        <v>3897</v>
      </c>
      <c r="U457" s="213" t="s">
        <v>76079</v>
      </c>
    </row>
    <row r="458" spans="1:21" x14ac:dyDescent="0.25">
      <c r="A458" s="213" t="s">
        <v>327</v>
      </c>
      <c r="D458" s="213" t="s">
        <v>3898</v>
      </c>
      <c r="E458" s="213" t="s">
        <v>3899</v>
      </c>
      <c r="K458" s="213" t="s">
        <v>75891</v>
      </c>
      <c r="L458" s="213" t="s">
        <v>75954</v>
      </c>
      <c r="M458" s="213" t="s">
        <v>76017</v>
      </c>
      <c r="N458" s="213" t="s">
        <v>3900</v>
      </c>
      <c r="O458" s="213" t="s">
        <v>3901</v>
      </c>
      <c r="P458" s="213" t="s">
        <v>3902</v>
      </c>
      <c r="Q458" s="213" t="s">
        <v>3903</v>
      </c>
      <c r="R458" s="213" t="s">
        <v>3904</v>
      </c>
      <c r="S458" s="213" t="s">
        <v>3905</v>
      </c>
      <c r="T458" s="213" t="s">
        <v>3906</v>
      </c>
      <c r="U458" s="213" t="s">
        <v>76080</v>
      </c>
    </row>
    <row r="459" spans="1:21" x14ac:dyDescent="0.25">
      <c r="A459" s="213" t="s">
        <v>327</v>
      </c>
      <c r="D459" s="213" t="s">
        <v>3907</v>
      </c>
      <c r="E459" s="213" t="s">
        <v>3908</v>
      </c>
      <c r="K459" s="213" t="s">
        <v>75892</v>
      </c>
      <c r="L459" s="213" t="s">
        <v>75955</v>
      </c>
      <c r="M459" s="213" t="s">
        <v>76018</v>
      </c>
      <c r="N459" s="213" t="s">
        <v>3909</v>
      </c>
      <c r="O459" s="213" t="s">
        <v>3910</v>
      </c>
      <c r="P459" s="213" t="s">
        <v>3911</v>
      </c>
      <c r="Q459" s="213" t="s">
        <v>3912</v>
      </c>
      <c r="R459" s="213" t="s">
        <v>3913</v>
      </c>
      <c r="S459" s="213" t="s">
        <v>3914</v>
      </c>
      <c r="T459" s="213" t="s">
        <v>3915</v>
      </c>
      <c r="U459" s="213" t="s">
        <v>76081</v>
      </c>
    </row>
    <row r="460" spans="1:21" x14ac:dyDescent="0.25">
      <c r="A460" s="213" t="s">
        <v>327</v>
      </c>
      <c r="D460" s="213" t="s">
        <v>3916</v>
      </c>
      <c r="E460" s="213" t="s">
        <v>3917</v>
      </c>
      <c r="K460" s="213" t="s">
        <v>75893</v>
      </c>
      <c r="L460" s="213" t="s">
        <v>75956</v>
      </c>
      <c r="M460" s="213" t="s">
        <v>76019</v>
      </c>
      <c r="N460" s="213" t="s">
        <v>3918</v>
      </c>
      <c r="O460" s="213" t="s">
        <v>3919</v>
      </c>
      <c r="P460" s="213" t="s">
        <v>3920</v>
      </c>
      <c r="Q460" s="213" t="s">
        <v>3921</v>
      </c>
      <c r="R460" s="213" t="s">
        <v>3922</v>
      </c>
      <c r="S460" s="213" t="s">
        <v>3923</v>
      </c>
      <c r="T460" s="213" t="s">
        <v>3924</v>
      </c>
      <c r="U460" s="213" t="s">
        <v>76082</v>
      </c>
    </row>
    <row r="461" spans="1:21" x14ac:dyDescent="0.25">
      <c r="A461" s="213" t="s">
        <v>327</v>
      </c>
      <c r="D461" s="213" t="s">
        <v>3925</v>
      </c>
      <c r="E461" s="213" t="s">
        <v>3926</v>
      </c>
      <c r="K461" s="213" t="s">
        <v>75894</v>
      </c>
      <c r="L461" s="213" t="s">
        <v>75957</v>
      </c>
      <c r="M461" s="213" t="s">
        <v>76020</v>
      </c>
      <c r="N461" s="213" t="s">
        <v>3927</v>
      </c>
      <c r="O461" s="213" t="s">
        <v>3928</v>
      </c>
      <c r="P461" s="213" t="s">
        <v>3929</v>
      </c>
      <c r="Q461" s="213" t="s">
        <v>3930</v>
      </c>
      <c r="R461" s="213" t="s">
        <v>3931</v>
      </c>
      <c r="S461" s="213" t="s">
        <v>3932</v>
      </c>
      <c r="T461" s="213" t="s">
        <v>3933</v>
      </c>
      <c r="U461" s="213" t="s">
        <v>76083</v>
      </c>
    </row>
    <row r="462" spans="1:21" x14ac:dyDescent="0.25">
      <c r="A462" s="213" t="s">
        <v>327</v>
      </c>
      <c r="D462" s="213" t="s">
        <v>3934</v>
      </c>
      <c r="E462" s="213" t="s">
        <v>3935</v>
      </c>
      <c r="K462" s="213" t="s">
        <v>75895</v>
      </c>
      <c r="L462" s="213" t="s">
        <v>75958</v>
      </c>
      <c r="M462" s="213" t="s">
        <v>76021</v>
      </c>
      <c r="N462" s="213" t="s">
        <v>3936</v>
      </c>
      <c r="O462" s="213" t="s">
        <v>3937</v>
      </c>
      <c r="P462" s="213" t="s">
        <v>3938</v>
      </c>
      <c r="Q462" s="213" t="s">
        <v>3939</v>
      </c>
      <c r="R462" s="213" t="s">
        <v>3940</v>
      </c>
      <c r="S462" s="213" t="s">
        <v>3941</v>
      </c>
      <c r="T462" s="213" t="s">
        <v>3942</v>
      </c>
      <c r="U462" s="213" t="s">
        <v>76084</v>
      </c>
    </row>
    <row r="463" spans="1:21" x14ac:dyDescent="0.25">
      <c r="A463" s="213" t="s">
        <v>327</v>
      </c>
      <c r="D463" s="213" t="s">
        <v>3943</v>
      </c>
      <c r="E463" s="213" t="s">
        <v>3944</v>
      </c>
      <c r="K463" s="213" t="s">
        <v>75896</v>
      </c>
      <c r="L463" s="213" t="s">
        <v>75959</v>
      </c>
      <c r="M463" s="213" t="s">
        <v>76022</v>
      </c>
      <c r="N463" s="213" t="s">
        <v>3945</v>
      </c>
      <c r="O463" s="213" t="s">
        <v>3946</v>
      </c>
      <c r="P463" s="213" t="s">
        <v>3947</v>
      </c>
      <c r="Q463" s="213" t="s">
        <v>3948</v>
      </c>
      <c r="R463" s="213" t="s">
        <v>3949</v>
      </c>
      <c r="S463" s="213" t="s">
        <v>3950</v>
      </c>
      <c r="T463" s="213" t="s">
        <v>3951</v>
      </c>
      <c r="U463" s="213" t="s">
        <v>76085</v>
      </c>
    </row>
    <row r="464" spans="1:21" x14ac:dyDescent="0.25">
      <c r="A464" s="213" t="s">
        <v>327</v>
      </c>
      <c r="D464" s="213" t="s">
        <v>3952</v>
      </c>
      <c r="E464" s="213" t="s">
        <v>3953</v>
      </c>
      <c r="K464" s="213" t="s">
        <v>75897</v>
      </c>
      <c r="L464" s="213" t="s">
        <v>75960</v>
      </c>
      <c r="M464" s="213" t="s">
        <v>76023</v>
      </c>
      <c r="N464" s="213" t="s">
        <v>3954</v>
      </c>
      <c r="O464" s="213" t="s">
        <v>3955</v>
      </c>
      <c r="P464" s="213" t="s">
        <v>3956</v>
      </c>
      <c r="Q464" s="213" t="s">
        <v>3957</v>
      </c>
      <c r="R464" s="213" t="s">
        <v>3958</v>
      </c>
      <c r="S464" s="213" t="s">
        <v>3959</v>
      </c>
      <c r="T464" s="213" t="s">
        <v>3960</v>
      </c>
      <c r="U464" s="213" t="s">
        <v>76086</v>
      </c>
    </row>
    <row r="465" spans="1:21" x14ac:dyDescent="0.25">
      <c r="A465" s="213" t="s">
        <v>327</v>
      </c>
      <c r="D465" s="213" t="s">
        <v>3961</v>
      </c>
      <c r="E465" s="213" t="s">
        <v>3962</v>
      </c>
      <c r="K465" s="213" t="s">
        <v>75898</v>
      </c>
      <c r="L465" s="213" t="s">
        <v>75961</v>
      </c>
      <c r="M465" s="213" t="s">
        <v>76024</v>
      </c>
      <c r="N465" s="213" t="s">
        <v>3963</v>
      </c>
      <c r="O465" s="213" t="s">
        <v>3964</v>
      </c>
      <c r="P465" s="213" t="s">
        <v>3965</v>
      </c>
      <c r="Q465" s="213" t="s">
        <v>3966</v>
      </c>
      <c r="R465" s="213" t="s">
        <v>3967</v>
      </c>
      <c r="S465" s="213" t="s">
        <v>3968</v>
      </c>
      <c r="T465" s="213" t="s">
        <v>3969</v>
      </c>
      <c r="U465" s="213" t="s">
        <v>76087</v>
      </c>
    </row>
    <row r="466" spans="1:21" x14ac:dyDescent="0.25">
      <c r="A466" s="213" t="s">
        <v>327</v>
      </c>
      <c r="D466" s="213" t="s">
        <v>3970</v>
      </c>
      <c r="E466" s="213" t="s">
        <v>3971</v>
      </c>
      <c r="K466" s="213" t="s">
        <v>75899</v>
      </c>
      <c r="L466" s="213" t="s">
        <v>75962</v>
      </c>
      <c r="M466" s="213" t="s">
        <v>76025</v>
      </c>
      <c r="N466" s="213" t="s">
        <v>3972</v>
      </c>
      <c r="O466" s="213" t="s">
        <v>3973</v>
      </c>
      <c r="P466" s="213" t="s">
        <v>3974</v>
      </c>
      <c r="Q466" s="213" t="s">
        <v>3975</v>
      </c>
      <c r="R466" s="213" t="s">
        <v>3976</v>
      </c>
      <c r="S466" s="213" t="s">
        <v>3977</v>
      </c>
      <c r="T466" s="213" t="s">
        <v>3978</v>
      </c>
      <c r="U466" s="213" t="s">
        <v>76088</v>
      </c>
    </row>
    <row r="467" spans="1:21" x14ac:dyDescent="0.25">
      <c r="A467" s="213" t="s">
        <v>327</v>
      </c>
      <c r="D467" s="213" t="s">
        <v>3979</v>
      </c>
      <c r="E467" s="213" t="s">
        <v>3980</v>
      </c>
      <c r="K467" s="213" t="s">
        <v>75900</v>
      </c>
      <c r="L467" s="213" t="s">
        <v>75963</v>
      </c>
      <c r="M467" s="213" t="s">
        <v>76026</v>
      </c>
      <c r="N467" s="213" t="s">
        <v>3981</v>
      </c>
      <c r="O467" s="213" t="s">
        <v>3982</v>
      </c>
      <c r="P467" s="213" t="s">
        <v>3983</v>
      </c>
      <c r="Q467" s="213" t="s">
        <v>3984</v>
      </c>
      <c r="R467" s="213" t="s">
        <v>3985</v>
      </c>
      <c r="S467" s="213" t="s">
        <v>3986</v>
      </c>
      <c r="T467" s="213" t="s">
        <v>3987</v>
      </c>
      <c r="U467" s="213" t="s">
        <v>76089</v>
      </c>
    </row>
    <row r="468" spans="1:21" x14ac:dyDescent="0.25">
      <c r="A468" s="213" t="s">
        <v>327</v>
      </c>
      <c r="D468" s="213" t="s">
        <v>3988</v>
      </c>
      <c r="E468" s="213" t="s">
        <v>3989</v>
      </c>
      <c r="K468" s="213" t="s">
        <v>75901</v>
      </c>
      <c r="L468" s="213" t="s">
        <v>75964</v>
      </c>
      <c r="M468" s="213" t="s">
        <v>76027</v>
      </c>
      <c r="N468" s="213" t="s">
        <v>3990</v>
      </c>
      <c r="O468" s="213" t="s">
        <v>3991</v>
      </c>
      <c r="P468" s="213" t="s">
        <v>3992</v>
      </c>
      <c r="Q468" s="213" t="s">
        <v>3993</v>
      </c>
      <c r="R468" s="213" t="s">
        <v>3994</v>
      </c>
      <c r="S468" s="213" t="s">
        <v>3995</v>
      </c>
      <c r="T468" s="213" t="s">
        <v>3996</v>
      </c>
      <c r="U468" s="213" t="s">
        <v>76090</v>
      </c>
    </row>
    <row r="469" spans="1:21" x14ac:dyDescent="0.25">
      <c r="A469" s="213" t="s">
        <v>327</v>
      </c>
      <c r="D469" s="213" t="s">
        <v>3997</v>
      </c>
      <c r="E469" s="213" t="s">
        <v>3998</v>
      </c>
      <c r="K469" s="213" t="s">
        <v>75902</v>
      </c>
      <c r="L469" s="213" t="s">
        <v>75965</v>
      </c>
      <c r="M469" s="213" t="s">
        <v>76028</v>
      </c>
      <c r="N469" s="213" t="s">
        <v>3999</v>
      </c>
      <c r="O469" s="213" t="s">
        <v>4000</v>
      </c>
      <c r="P469" s="213" t="s">
        <v>4001</v>
      </c>
      <c r="Q469" s="213" t="s">
        <v>4002</v>
      </c>
      <c r="R469" s="213" t="s">
        <v>4003</v>
      </c>
      <c r="S469" s="213" t="s">
        <v>4004</v>
      </c>
      <c r="T469" s="213" t="s">
        <v>4005</v>
      </c>
      <c r="U469" s="213" t="s">
        <v>76091</v>
      </c>
    </row>
    <row r="470" spans="1:21" x14ac:dyDescent="0.25">
      <c r="A470" s="213" t="s">
        <v>327</v>
      </c>
      <c r="D470" s="213" t="s">
        <v>4006</v>
      </c>
      <c r="E470" s="213" t="s">
        <v>4007</v>
      </c>
      <c r="K470" s="213" t="s">
        <v>75903</v>
      </c>
      <c r="L470" s="213" t="s">
        <v>75966</v>
      </c>
      <c r="M470" s="213" t="s">
        <v>76029</v>
      </c>
      <c r="N470" s="213" t="s">
        <v>4008</v>
      </c>
      <c r="O470" s="213" t="s">
        <v>4009</v>
      </c>
      <c r="P470" s="213" t="s">
        <v>4010</v>
      </c>
      <c r="Q470" s="213" t="s">
        <v>4011</v>
      </c>
      <c r="R470" s="213" t="s">
        <v>4012</v>
      </c>
      <c r="S470" s="213" t="s">
        <v>4013</v>
      </c>
      <c r="T470" s="213" t="s">
        <v>4014</v>
      </c>
      <c r="U470" s="213" t="s">
        <v>76092</v>
      </c>
    </row>
    <row r="471" spans="1:21" x14ac:dyDescent="0.25">
      <c r="A471" s="213" t="s">
        <v>327</v>
      </c>
      <c r="D471" s="213" t="s">
        <v>4015</v>
      </c>
      <c r="E471" s="213" t="s">
        <v>4016</v>
      </c>
      <c r="K471" s="213" t="s">
        <v>75904</v>
      </c>
      <c r="L471" s="213" t="s">
        <v>75967</v>
      </c>
      <c r="M471" s="213" t="s">
        <v>76030</v>
      </c>
      <c r="N471" s="213" t="s">
        <v>4017</v>
      </c>
      <c r="O471" s="213" t="s">
        <v>4018</v>
      </c>
      <c r="P471" s="213" t="s">
        <v>4019</v>
      </c>
      <c r="Q471" s="213" t="s">
        <v>4020</v>
      </c>
      <c r="R471" s="213" t="s">
        <v>4021</v>
      </c>
      <c r="S471" s="213" t="s">
        <v>4022</v>
      </c>
      <c r="T471" s="213" t="s">
        <v>4023</v>
      </c>
      <c r="U471" s="213" t="s">
        <v>76093</v>
      </c>
    </row>
    <row r="472" spans="1:21" x14ac:dyDescent="0.25">
      <c r="A472" s="213" t="s">
        <v>327</v>
      </c>
      <c r="D472" s="213" t="s">
        <v>4024</v>
      </c>
      <c r="E472" s="213" t="s">
        <v>4025</v>
      </c>
      <c r="K472" s="213" t="s">
        <v>75905</v>
      </c>
      <c r="L472" s="213" t="s">
        <v>75968</v>
      </c>
      <c r="M472" s="213" t="s">
        <v>76031</v>
      </c>
      <c r="N472" s="213" t="s">
        <v>4026</v>
      </c>
      <c r="O472" s="213" t="s">
        <v>4027</v>
      </c>
      <c r="P472" s="213" t="s">
        <v>4028</v>
      </c>
      <c r="Q472" s="213" t="s">
        <v>4029</v>
      </c>
      <c r="R472" s="213" t="s">
        <v>4030</v>
      </c>
      <c r="S472" s="213" t="s">
        <v>4031</v>
      </c>
      <c r="T472" s="213" t="s">
        <v>4032</v>
      </c>
      <c r="U472" s="213" t="s">
        <v>76094</v>
      </c>
    </row>
    <row r="473" spans="1:21" x14ac:dyDescent="0.25">
      <c r="A473" s="213" t="s">
        <v>327</v>
      </c>
      <c r="D473" s="213" t="s">
        <v>4033</v>
      </c>
      <c r="E473" s="213" t="s">
        <v>4034</v>
      </c>
      <c r="K473" s="213" t="s">
        <v>75906</v>
      </c>
      <c r="L473" s="213" t="s">
        <v>75969</v>
      </c>
      <c r="M473" s="213" t="s">
        <v>76032</v>
      </c>
      <c r="N473" s="213" t="s">
        <v>4035</v>
      </c>
      <c r="O473" s="213" t="s">
        <v>4036</v>
      </c>
      <c r="P473" s="213" t="s">
        <v>4037</v>
      </c>
      <c r="Q473" s="213" t="s">
        <v>4038</v>
      </c>
      <c r="R473" s="213" t="s">
        <v>4039</v>
      </c>
      <c r="S473" s="213" t="s">
        <v>4040</v>
      </c>
      <c r="T473" s="213" t="s">
        <v>4041</v>
      </c>
      <c r="U473" s="213" t="s">
        <v>76095</v>
      </c>
    </row>
    <row r="474" spans="1:21" x14ac:dyDescent="0.25">
      <c r="A474" s="213" t="s">
        <v>327</v>
      </c>
      <c r="D474" s="213" t="s">
        <v>4042</v>
      </c>
      <c r="E474" s="213" t="s">
        <v>4043</v>
      </c>
      <c r="K474" s="213" t="s">
        <v>75907</v>
      </c>
      <c r="L474" s="213" t="s">
        <v>75970</v>
      </c>
      <c r="M474" s="213" t="s">
        <v>76033</v>
      </c>
      <c r="N474" s="213" t="s">
        <v>4044</v>
      </c>
      <c r="O474" s="213" t="s">
        <v>4045</v>
      </c>
      <c r="P474" s="213" t="s">
        <v>4046</v>
      </c>
      <c r="Q474" s="213" t="s">
        <v>4047</v>
      </c>
      <c r="R474" s="213" t="s">
        <v>4048</v>
      </c>
      <c r="S474" s="213" t="s">
        <v>4049</v>
      </c>
      <c r="T474" s="213" t="s">
        <v>4050</v>
      </c>
      <c r="U474" s="213" t="s">
        <v>76096</v>
      </c>
    </row>
    <row r="475" spans="1:21" x14ac:dyDescent="0.25">
      <c r="A475" s="213" t="s">
        <v>327</v>
      </c>
      <c r="D475" s="213" t="s">
        <v>4051</v>
      </c>
      <c r="E475" s="213" t="s">
        <v>4052</v>
      </c>
      <c r="K475" s="213" t="s">
        <v>75908</v>
      </c>
      <c r="L475" s="213" t="s">
        <v>75971</v>
      </c>
      <c r="M475" s="213" t="s">
        <v>76034</v>
      </c>
      <c r="N475" s="213" t="s">
        <v>4053</v>
      </c>
      <c r="O475" s="213" t="s">
        <v>4054</v>
      </c>
      <c r="P475" s="213" t="s">
        <v>4055</v>
      </c>
      <c r="Q475" s="213" t="s">
        <v>4056</v>
      </c>
      <c r="R475" s="213" t="s">
        <v>4057</v>
      </c>
      <c r="S475" s="213" t="s">
        <v>4058</v>
      </c>
      <c r="T475" s="213" t="s">
        <v>4059</v>
      </c>
      <c r="U475" s="213" t="s">
        <v>76097</v>
      </c>
    </row>
    <row r="476" spans="1:21" x14ac:dyDescent="0.25">
      <c r="A476" s="213" t="s">
        <v>327</v>
      </c>
      <c r="D476" s="213" t="s">
        <v>4060</v>
      </c>
      <c r="E476" s="213" t="s">
        <v>4061</v>
      </c>
      <c r="K476" s="213" t="s">
        <v>75909</v>
      </c>
      <c r="L476" s="213" t="s">
        <v>75972</v>
      </c>
      <c r="M476" s="213" t="s">
        <v>76035</v>
      </c>
      <c r="N476" s="213" t="s">
        <v>4062</v>
      </c>
      <c r="O476" s="213" t="s">
        <v>4063</v>
      </c>
      <c r="P476" s="213" t="s">
        <v>4064</v>
      </c>
      <c r="Q476" s="213" t="s">
        <v>4065</v>
      </c>
      <c r="R476" s="213" t="s">
        <v>4066</v>
      </c>
      <c r="S476" s="213" t="s">
        <v>4067</v>
      </c>
      <c r="T476" s="213" t="s">
        <v>4068</v>
      </c>
      <c r="U476" s="213" t="s">
        <v>76098</v>
      </c>
    </row>
    <row r="477" spans="1:21" x14ac:dyDescent="0.25">
      <c r="A477" s="213" t="s">
        <v>327</v>
      </c>
      <c r="D477" s="213" t="s">
        <v>4069</v>
      </c>
      <c r="E477" s="213" t="s">
        <v>4070</v>
      </c>
      <c r="K477" s="213" t="s">
        <v>75910</v>
      </c>
      <c r="L477" s="213" t="s">
        <v>75973</v>
      </c>
      <c r="M477" s="213" t="s">
        <v>76036</v>
      </c>
      <c r="N477" s="213" t="s">
        <v>4071</v>
      </c>
      <c r="O477" s="213" t="s">
        <v>4072</v>
      </c>
      <c r="P477" s="213" t="s">
        <v>4073</v>
      </c>
      <c r="Q477" s="213" t="s">
        <v>4074</v>
      </c>
      <c r="R477" s="213" t="s">
        <v>4075</v>
      </c>
      <c r="S477" s="213" t="s">
        <v>4076</v>
      </c>
      <c r="T477" s="213" t="s">
        <v>4077</v>
      </c>
      <c r="U477" s="213" t="s">
        <v>76099</v>
      </c>
    </row>
    <row r="478" spans="1:21" x14ac:dyDescent="0.25">
      <c r="A478" s="213" t="s">
        <v>327</v>
      </c>
      <c r="D478" s="213" t="s">
        <v>4078</v>
      </c>
      <c r="E478" s="213" t="s">
        <v>4079</v>
      </c>
      <c r="K478" s="213" t="s">
        <v>75911</v>
      </c>
      <c r="L478" s="213" t="s">
        <v>75974</v>
      </c>
      <c r="M478" s="213" t="s">
        <v>76037</v>
      </c>
      <c r="N478" s="213" t="s">
        <v>4080</v>
      </c>
      <c r="O478" s="213" t="s">
        <v>4081</v>
      </c>
      <c r="P478" s="213" t="s">
        <v>4082</v>
      </c>
      <c r="Q478" s="213" t="s">
        <v>4083</v>
      </c>
      <c r="R478" s="213" t="s">
        <v>4084</v>
      </c>
      <c r="S478" s="213" t="s">
        <v>4085</v>
      </c>
      <c r="T478" s="213" t="s">
        <v>4086</v>
      </c>
      <c r="U478" s="213" t="s">
        <v>76100</v>
      </c>
    </row>
    <row r="479" spans="1:21" x14ac:dyDescent="0.25">
      <c r="A479" s="213" t="s">
        <v>327</v>
      </c>
      <c r="D479" s="213" t="s">
        <v>4087</v>
      </c>
      <c r="E479" s="213" t="s">
        <v>4088</v>
      </c>
      <c r="K479" s="213" t="s">
        <v>75912</v>
      </c>
      <c r="L479" s="213" t="s">
        <v>75975</v>
      </c>
      <c r="M479" s="213" t="s">
        <v>76038</v>
      </c>
      <c r="N479" s="213" t="s">
        <v>4089</v>
      </c>
      <c r="O479" s="213" t="s">
        <v>4090</v>
      </c>
      <c r="P479" s="213" t="s">
        <v>4091</v>
      </c>
      <c r="Q479" s="213" t="s">
        <v>4092</v>
      </c>
      <c r="R479" s="213" t="s">
        <v>4093</v>
      </c>
      <c r="S479" s="213" t="s">
        <v>4094</v>
      </c>
      <c r="T479" s="213" t="s">
        <v>4095</v>
      </c>
      <c r="U479" s="213" t="s">
        <v>76101</v>
      </c>
    </row>
    <row r="480" spans="1:21" x14ac:dyDescent="0.25">
      <c r="A480" s="213" t="s">
        <v>327</v>
      </c>
      <c r="D480" s="213" t="s">
        <v>4096</v>
      </c>
      <c r="E480" s="213" t="s">
        <v>4097</v>
      </c>
      <c r="K480" s="213" t="s">
        <v>75913</v>
      </c>
      <c r="L480" s="213" t="s">
        <v>75976</v>
      </c>
      <c r="M480" s="213" t="s">
        <v>76039</v>
      </c>
      <c r="N480" s="213" t="s">
        <v>4098</v>
      </c>
      <c r="O480" s="213" t="s">
        <v>4099</v>
      </c>
      <c r="P480" s="213" t="s">
        <v>4100</v>
      </c>
      <c r="Q480" s="213" t="s">
        <v>4101</v>
      </c>
      <c r="R480" s="213" t="s">
        <v>4102</v>
      </c>
      <c r="S480" s="213" t="s">
        <v>4103</v>
      </c>
      <c r="T480" s="213" t="s">
        <v>4104</v>
      </c>
      <c r="U480" s="213" t="s">
        <v>76102</v>
      </c>
    </row>
    <row r="481" spans="1:21" x14ac:dyDescent="0.25">
      <c r="A481" s="213" t="s">
        <v>327</v>
      </c>
      <c r="D481" s="213" t="s">
        <v>4105</v>
      </c>
      <c r="E481" s="213" t="s">
        <v>4106</v>
      </c>
      <c r="K481" s="213" t="s">
        <v>75914</v>
      </c>
      <c r="L481" s="213" t="s">
        <v>75977</v>
      </c>
      <c r="M481" s="213" t="s">
        <v>76040</v>
      </c>
      <c r="N481" s="213" t="s">
        <v>4107</v>
      </c>
      <c r="O481" s="213" t="s">
        <v>4108</v>
      </c>
      <c r="P481" s="213" t="s">
        <v>4109</v>
      </c>
      <c r="Q481" s="213" t="s">
        <v>4110</v>
      </c>
      <c r="R481" s="213" t="s">
        <v>4111</v>
      </c>
      <c r="S481" s="213" t="s">
        <v>4112</v>
      </c>
      <c r="T481" s="213" t="s">
        <v>4113</v>
      </c>
      <c r="U481" s="213" t="s">
        <v>76103</v>
      </c>
    </row>
    <row r="482" spans="1:21" x14ac:dyDescent="0.25">
      <c r="A482" s="213" t="s">
        <v>327</v>
      </c>
      <c r="D482" s="213" t="s">
        <v>4114</v>
      </c>
      <c r="E482" s="213" t="s">
        <v>4115</v>
      </c>
      <c r="K482" s="213" t="s">
        <v>75915</v>
      </c>
      <c r="L482" s="213" t="s">
        <v>75978</v>
      </c>
      <c r="M482" s="213" t="s">
        <v>76041</v>
      </c>
      <c r="N482" s="213" t="s">
        <v>4116</v>
      </c>
      <c r="O482" s="213" t="s">
        <v>4117</v>
      </c>
      <c r="P482" s="213" t="s">
        <v>4118</v>
      </c>
      <c r="Q482" s="213" t="s">
        <v>4119</v>
      </c>
      <c r="R482" s="213" t="s">
        <v>4120</v>
      </c>
      <c r="S482" s="213" t="s">
        <v>4121</v>
      </c>
      <c r="T482" s="213" t="s">
        <v>4122</v>
      </c>
      <c r="U482" s="213" t="s">
        <v>76104</v>
      </c>
    </row>
    <row r="483" spans="1:21" x14ac:dyDescent="0.25">
      <c r="A483" s="213" t="s">
        <v>327</v>
      </c>
      <c r="D483" s="213" t="s">
        <v>4123</v>
      </c>
      <c r="E483" s="213" t="s">
        <v>4124</v>
      </c>
      <c r="K483" s="213" t="s">
        <v>75916</v>
      </c>
      <c r="L483" s="213" t="s">
        <v>75979</v>
      </c>
      <c r="M483" s="213" t="s">
        <v>76042</v>
      </c>
      <c r="N483" s="213" t="s">
        <v>4125</v>
      </c>
      <c r="O483" s="213" t="s">
        <v>4126</v>
      </c>
      <c r="P483" s="213" t="s">
        <v>4127</v>
      </c>
      <c r="Q483" s="213" t="s">
        <v>4128</v>
      </c>
      <c r="R483" s="213" t="s">
        <v>4129</v>
      </c>
      <c r="S483" s="213" t="s">
        <v>4130</v>
      </c>
      <c r="T483" s="213" t="s">
        <v>4131</v>
      </c>
      <c r="U483" s="213" t="s">
        <v>76105</v>
      </c>
    </row>
    <row r="484" spans="1:21" x14ac:dyDescent="0.25">
      <c r="A484" s="213" t="s">
        <v>327</v>
      </c>
      <c r="D484" s="213" t="s">
        <v>4132</v>
      </c>
      <c r="E484" s="213" t="s">
        <v>4133</v>
      </c>
      <c r="K484" s="213" t="s">
        <v>75917</v>
      </c>
      <c r="L484" s="213" t="s">
        <v>75980</v>
      </c>
      <c r="M484" s="213" t="s">
        <v>76043</v>
      </c>
      <c r="N484" s="213" t="s">
        <v>4134</v>
      </c>
      <c r="O484" s="213" t="s">
        <v>4135</v>
      </c>
      <c r="P484" s="213" t="s">
        <v>4136</v>
      </c>
      <c r="Q484" s="213" t="s">
        <v>4137</v>
      </c>
      <c r="R484" s="213" t="s">
        <v>4138</v>
      </c>
      <c r="S484" s="213" t="s">
        <v>4139</v>
      </c>
      <c r="T484" s="213" t="s">
        <v>4140</v>
      </c>
      <c r="U484" s="213" t="s">
        <v>76106</v>
      </c>
    </row>
    <row r="485" spans="1:21" x14ac:dyDescent="0.25">
      <c r="A485" s="213" t="s">
        <v>327</v>
      </c>
      <c r="D485" s="213" t="s">
        <v>4141</v>
      </c>
      <c r="E485" s="213" t="s">
        <v>4142</v>
      </c>
      <c r="K485" s="213" t="s">
        <v>75918</v>
      </c>
      <c r="L485" s="213" t="s">
        <v>75981</v>
      </c>
      <c r="M485" s="213" t="s">
        <v>76044</v>
      </c>
      <c r="N485" s="213" t="s">
        <v>4143</v>
      </c>
      <c r="O485" s="213" t="s">
        <v>4144</v>
      </c>
      <c r="P485" s="213" t="s">
        <v>4145</v>
      </c>
      <c r="Q485" s="213" t="s">
        <v>4146</v>
      </c>
      <c r="R485" s="213" t="s">
        <v>4147</v>
      </c>
      <c r="S485" s="213" t="s">
        <v>4148</v>
      </c>
      <c r="T485" s="213" t="s">
        <v>4149</v>
      </c>
      <c r="U485" s="213" t="s">
        <v>76107</v>
      </c>
    </row>
    <row r="486" spans="1:21" x14ac:dyDescent="0.25">
      <c r="A486" s="213" t="s">
        <v>327</v>
      </c>
      <c r="D486" s="213" t="s">
        <v>4150</v>
      </c>
      <c r="E486" s="213" t="s">
        <v>4151</v>
      </c>
      <c r="K486" s="213" t="s">
        <v>75919</v>
      </c>
      <c r="L486" s="213" t="s">
        <v>75982</v>
      </c>
      <c r="M486" s="213" t="s">
        <v>76045</v>
      </c>
      <c r="N486" s="213" t="s">
        <v>4152</v>
      </c>
      <c r="O486" s="213" t="s">
        <v>4153</v>
      </c>
      <c r="P486" s="213" t="s">
        <v>4154</v>
      </c>
      <c r="Q486" s="213" t="s">
        <v>4155</v>
      </c>
      <c r="R486" s="213" t="s">
        <v>4156</v>
      </c>
      <c r="S486" s="213" t="s">
        <v>4157</v>
      </c>
      <c r="T486" s="213" t="s">
        <v>4158</v>
      </c>
      <c r="U486" s="213" t="s">
        <v>76108</v>
      </c>
    </row>
    <row r="487" spans="1:21" x14ac:dyDescent="0.25">
      <c r="A487" s="213" t="s">
        <v>327</v>
      </c>
      <c r="D487" s="213" t="s">
        <v>4159</v>
      </c>
      <c r="E487" s="213" t="s">
        <v>4160</v>
      </c>
      <c r="K487" s="213" t="s">
        <v>75920</v>
      </c>
      <c r="L487" s="213" t="s">
        <v>75983</v>
      </c>
      <c r="M487" s="213" t="s">
        <v>76046</v>
      </c>
      <c r="N487" s="213" t="s">
        <v>4161</v>
      </c>
      <c r="O487" s="213" t="s">
        <v>4162</v>
      </c>
      <c r="P487" s="213" t="s">
        <v>4163</v>
      </c>
      <c r="Q487" s="213" t="s">
        <v>4164</v>
      </c>
      <c r="R487" s="213" t="s">
        <v>4165</v>
      </c>
      <c r="S487" s="213" t="s">
        <v>4166</v>
      </c>
      <c r="T487" s="213" t="s">
        <v>4167</v>
      </c>
      <c r="U487" s="213" t="s">
        <v>76109</v>
      </c>
    </row>
    <row r="488" spans="1:21" x14ac:dyDescent="0.25">
      <c r="A488" s="213" t="s">
        <v>327</v>
      </c>
      <c r="D488" s="213" t="s">
        <v>4168</v>
      </c>
      <c r="E488" s="213" t="s">
        <v>4169</v>
      </c>
      <c r="K488" s="213" t="s">
        <v>75921</v>
      </c>
      <c r="L488" s="213" t="s">
        <v>75984</v>
      </c>
      <c r="M488" s="213" t="s">
        <v>76047</v>
      </c>
      <c r="N488" s="213" t="s">
        <v>4170</v>
      </c>
      <c r="O488" s="213" t="s">
        <v>4171</v>
      </c>
      <c r="P488" s="213" t="s">
        <v>4172</v>
      </c>
      <c r="Q488" s="213" t="s">
        <v>4173</v>
      </c>
      <c r="R488" s="213" t="s">
        <v>4174</v>
      </c>
      <c r="S488" s="213" t="s">
        <v>4175</v>
      </c>
      <c r="T488" s="213" t="s">
        <v>4176</v>
      </c>
      <c r="U488" s="213" t="s">
        <v>76110</v>
      </c>
    </row>
    <row r="489" spans="1:21" x14ac:dyDescent="0.25">
      <c r="A489" s="213" t="s">
        <v>327</v>
      </c>
      <c r="D489" s="213" t="s">
        <v>4177</v>
      </c>
      <c r="E489" s="213" t="s">
        <v>4178</v>
      </c>
      <c r="K489" s="213" t="s">
        <v>75922</v>
      </c>
      <c r="L489" s="213" t="s">
        <v>75985</v>
      </c>
      <c r="M489" s="213" t="s">
        <v>76048</v>
      </c>
      <c r="N489" s="213" t="s">
        <v>4179</v>
      </c>
      <c r="O489" s="213" t="s">
        <v>4180</v>
      </c>
      <c r="P489" s="213" t="s">
        <v>4181</v>
      </c>
      <c r="Q489" s="213" t="s">
        <v>4182</v>
      </c>
      <c r="R489" s="213" t="s">
        <v>4183</v>
      </c>
      <c r="S489" s="213" t="s">
        <v>4184</v>
      </c>
      <c r="T489" s="213" t="s">
        <v>4185</v>
      </c>
      <c r="U489" s="213" t="s">
        <v>76111</v>
      </c>
    </row>
    <row r="490" spans="1:21" x14ac:dyDescent="0.25">
      <c r="A490" s="213" t="s">
        <v>327</v>
      </c>
      <c r="D490" s="213" t="s">
        <v>4186</v>
      </c>
      <c r="E490" s="213" t="s">
        <v>4187</v>
      </c>
      <c r="K490" s="213" t="s">
        <v>75923</v>
      </c>
      <c r="L490" s="213" t="s">
        <v>75986</v>
      </c>
      <c r="M490" s="213" t="s">
        <v>76049</v>
      </c>
      <c r="N490" s="213" t="s">
        <v>4188</v>
      </c>
      <c r="O490" s="213" t="s">
        <v>4189</v>
      </c>
      <c r="P490" s="213" t="s">
        <v>4190</v>
      </c>
      <c r="Q490" s="213" t="s">
        <v>4191</v>
      </c>
      <c r="R490" s="213" t="s">
        <v>4192</v>
      </c>
      <c r="S490" s="213" t="s">
        <v>4193</v>
      </c>
      <c r="T490" s="213" t="s">
        <v>4194</v>
      </c>
      <c r="U490" s="213" t="s">
        <v>76112</v>
      </c>
    </row>
    <row r="491" spans="1:21" x14ac:dyDescent="0.25">
      <c r="A491" s="213" t="s">
        <v>327</v>
      </c>
      <c r="D491" s="213" t="s">
        <v>4195</v>
      </c>
      <c r="E491" s="213" t="s">
        <v>4196</v>
      </c>
      <c r="K491" s="213" t="s">
        <v>75924</v>
      </c>
      <c r="L491" s="213" t="s">
        <v>75987</v>
      </c>
      <c r="M491" s="213" t="s">
        <v>76050</v>
      </c>
      <c r="N491" s="213" t="s">
        <v>4197</v>
      </c>
      <c r="O491" s="213" t="s">
        <v>4198</v>
      </c>
      <c r="P491" s="213" t="s">
        <v>4199</v>
      </c>
      <c r="Q491" s="213" t="s">
        <v>4200</v>
      </c>
      <c r="R491" s="213" t="s">
        <v>4201</v>
      </c>
      <c r="S491" s="213" t="s">
        <v>4202</v>
      </c>
      <c r="T491" s="213" t="s">
        <v>4203</v>
      </c>
      <c r="U491" s="213" t="s">
        <v>76113</v>
      </c>
    </row>
    <row r="492" spans="1:21" x14ac:dyDescent="0.25">
      <c r="A492" s="213" t="s">
        <v>327</v>
      </c>
      <c r="D492" s="213" t="s">
        <v>4204</v>
      </c>
      <c r="E492" s="213" t="s">
        <v>4205</v>
      </c>
      <c r="K492" s="213" t="s">
        <v>75925</v>
      </c>
      <c r="L492" s="213" t="s">
        <v>75988</v>
      </c>
      <c r="M492" s="213" t="s">
        <v>76051</v>
      </c>
      <c r="N492" s="213" t="s">
        <v>4206</v>
      </c>
      <c r="O492" s="213" t="s">
        <v>4207</v>
      </c>
      <c r="P492" s="213" t="s">
        <v>4208</v>
      </c>
      <c r="Q492" s="213" t="s">
        <v>4209</v>
      </c>
      <c r="R492" s="213" t="s">
        <v>4210</v>
      </c>
      <c r="S492" s="213" t="s">
        <v>4211</v>
      </c>
      <c r="T492" s="213" t="s">
        <v>4212</v>
      </c>
      <c r="U492" s="213" t="s">
        <v>76114</v>
      </c>
    </row>
    <row r="493" spans="1:21" x14ac:dyDescent="0.25">
      <c r="A493" s="213" t="s">
        <v>327</v>
      </c>
      <c r="D493" s="213" t="s">
        <v>4213</v>
      </c>
      <c r="E493" s="213" t="s">
        <v>4214</v>
      </c>
      <c r="K493" s="213" t="s">
        <v>75926</v>
      </c>
      <c r="L493" s="213" t="s">
        <v>75989</v>
      </c>
      <c r="M493" s="213" t="s">
        <v>76052</v>
      </c>
      <c r="N493" s="213" t="s">
        <v>4215</v>
      </c>
      <c r="O493" s="213" t="s">
        <v>4216</v>
      </c>
      <c r="P493" s="213" t="s">
        <v>4217</v>
      </c>
      <c r="Q493" s="213" t="s">
        <v>4218</v>
      </c>
      <c r="R493" s="213" t="s">
        <v>4219</v>
      </c>
      <c r="S493" s="213" t="s">
        <v>4220</v>
      </c>
      <c r="T493" s="213" t="s">
        <v>4221</v>
      </c>
      <c r="U493" s="213" t="s">
        <v>76115</v>
      </c>
    </row>
    <row r="494" spans="1:21" x14ac:dyDescent="0.25">
      <c r="A494" s="213" t="s">
        <v>327</v>
      </c>
      <c r="D494" s="213" t="s">
        <v>4222</v>
      </c>
      <c r="E494" s="213" t="s">
        <v>4223</v>
      </c>
      <c r="K494" s="213" t="s">
        <v>75927</v>
      </c>
      <c r="L494" s="213" t="s">
        <v>75990</v>
      </c>
      <c r="M494" s="213" t="s">
        <v>76053</v>
      </c>
      <c r="N494" s="213" t="s">
        <v>4224</v>
      </c>
      <c r="O494" s="213" t="s">
        <v>4225</v>
      </c>
      <c r="P494" s="213" t="s">
        <v>4226</v>
      </c>
      <c r="Q494" s="213" t="s">
        <v>4227</v>
      </c>
      <c r="R494" s="213" t="s">
        <v>4228</v>
      </c>
      <c r="S494" s="213" t="s">
        <v>4229</v>
      </c>
      <c r="T494" s="213" t="s">
        <v>4230</v>
      </c>
      <c r="U494" s="213" t="s">
        <v>76116</v>
      </c>
    </row>
    <row r="495" spans="1:21" x14ac:dyDescent="0.25">
      <c r="A495" s="213" t="s">
        <v>327</v>
      </c>
      <c r="D495" s="213" t="s">
        <v>4231</v>
      </c>
      <c r="E495" s="213" t="s">
        <v>4232</v>
      </c>
      <c r="K495" s="213" t="s">
        <v>75928</v>
      </c>
      <c r="L495" s="213" t="s">
        <v>75991</v>
      </c>
      <c r="M495" s="213" t="s">
        <v>76054</v>
      </c>
      <c r="N495" s="213" t="s">
        <v>4233</v>
      </c>
      <c r="O495" s="213" t="s">
        <v>4234</v>
      </c>
      <c r="P495" s="213" t="s">
        <v>4235</v>
      </c>
      <c r="Q495" s="213" t="s">
        <v>4236</v>
      </c>
      <c r="R495" s="213" t="s">
        <v>4237</v>
      </c>
      <c r="S495" s="213" t="s">
        <v>4238</v>
      </c>
      <c r="T495" s="213" t="s">
        <v>4239</v>
      </c>
      <c r="U495" s="213" t="s">
        <v>76117</v>
      </c>
    </row>
    <row r="496" spans="1:21" x14ac:dyDescent="0.25">
      <c r="A496" s="213" t="s">
        <v>327</v>
      </c>
      <c r="D496" s="213" t="s">
        <v>4240</v>
      </c>
      <c r="E496" s="213" t="s">
        <v>4241</v>
      </c>
      <c r="K496" s="213" t="s">
        <v>75929</v>
      </c>
      <c r="L496" s="213" t="s">
        <v>75992</v>
      </c>
      <c r="M496" s="213" t="s">
        <v>76055</v>
      </c>
      <c r="N496" s="213" t="s">
        <v>4242</v>
      </c>
      <c r="O496" s="213" t="s">
        <v>4243</v>
      </c>
      <c r="P496" s="213" t="s">
        <v>4244</v>
      </c>
      <c r="Q496" s="213" t="s">
        <v>4245</v>
      </c>
      <c r="R496" s="213" t="s">
        <v>4246</v>
      </c>
      <c r="S496" s="213" t="s">
        <v>4247</v>
      </c>
      <c r="T496" s="213" t="s">
        <v>4248</v>
      </c>
      <c r="U496" s="213" t="s">
        <v>76118</v>
      </c>
    </row>
    <row r="497" spans="1:21" x14ac:dyDescent="0.25">
      <c r="A497" s="213" t="s">
        <v>327</v>
      </c>
      <c r="D497" s="213" t="s">
        <v>4249</v>
      </c>
      <c r="E497" s="213" t="s">
        <v>4250</v>
      </c>
      <c r="K497" s="213" t="s">
        <v>75930</v>
      </c>
      <c r="L497" s="213" t="s">
        <v>75993</v>
      </c>
      <c r="M497" s="213" t="s">
        <v>76056</v>
      </c>
      <c r="N497" s="213" t="s">
        <v>4251</v>
      </c>
      <c r="O497" s="213" t="s">
        <v>4252</v>
      </c>
      <c r="P497" s="213" t="s">
        <v>4253</v>
      </c>
      <c r="Q497" s="213" t="s">
        <v>4254</v>
      </c>
      <c r="R497" s="213" t="s">
        <v>4255</v>
      </c>
      <c r="S497" s="213" t="s">
        <v>4256</v>
      </c>
      <c r="T497" s="213" t="s">
        <v>4257</v>
      </c>
      <c r="U497" s="213" t="s">
        <v>76119</v>
      </c>
    </row>
    <row r="498" spans="1:21" x14ac:dyDescent="0.25">
      <c r="A498" s="213" t="s">
        <v>327</v>
      </c>
      <c r="D498" s="213" t="s">
        <v>4258</v>
      </c>
      <c r="E498" s="213" t="s">
        <v>4259</v>
      </c>
      <c r="K498" s="213" t="s">
        <v>75931</v>
      </c>
      <c r="L498" s="213" t="s">
        <v>75994</v>
      </c>
      <c r="M498" s="213" t="s">
        <v>76057</v>
      </c>
      <c r="N498" s="213" t="s">
        <v>4260</v>
      </c>
      <c r="O498" s="213" t="s">
        <v>4261</v>
      </c>
      <c r="P498" s="213" t="s">
        <v>4262</v>
      </c>
      <c r="Q498" s="213" t="s">
        <v>4263</v>
      </c>
      <c r="R498" s="213" t="s">
        <v>4264</v>
      </c>
      <c r="S498" s="213" t="s">
        <v>4265</v>
      </c>
      <c r="T498" s="213" t="s">
        <v>4266</v>
      </c>
      <c r="U498" s="213" t="s">
        <v>76120</v>
      </c>
    </row>
    <row r="499" spans="1:21" x14ac:dyDescent="0.25">
      <c r="A499" s="213" t="s">
        <v>327</v>
      </c>
      <c r="D499" s="213" t="s">
        <v>4267</v>
      </c>
      <c r="E499" s="213" t="s">
        <v>4268</v>
      </c>
      <c r="K499" s="213" t="s">
        <v>75932</v>
      </c>
      <c r="L499" s="213" t="s">
        <v>75995</v>
      </c>
      <c r="M499" s="213" t="s">
        <v>76058</v>
      </c>
      <c r="N499" s="213" t="s">
        <v>4269</v>
      </c>
      <c r="O499" s="213" t="s">
        <v>4270</v>
      </c>
      <c r="P499" s="213" t="s">
        <v>4271</v>
      </c>
      <c r="Q499" s="213" t="s">
        <v>4272</v>
      </c>
      <c r="R499" s="213" t="s">
        <v>4273</v>
      </c>
      <c r="S499" s="213" t="s">
        <v>4274</v>
      </c>
      <c r="T499" s="213" t="s">
        <v>4275</v>
      </c>
      <c r="U499" s="213" t="s">
        <v>76121</v>
      </c>
    </row>
    <row r="500" spans="1:21" x14ac:dyDescent="0.25">
      <c r="A500" s="213" t="s">
        <v>327</v>
      </c>
      <c r="D500" s="213" t="s">
        <v>4276</v>
      </c>
      <c r="E500" s="213" t="s">
        <v>4277</v>
      </c>
      <c r="K500" s="213" t="s">
        <v>75933</v>
      </c>
      <c r="L500" s="213" t="s">
        <v>75996</v>
      </c>
      <c r="M500" s="213" t="s">
        <v>76059</v>
      </c>
      <c r="N500" s="213" t="s">
        <v>4278</v>
      </c>
      <c r="O500" s="213" t="s">
        <v>4279</v>
      </c>
      <c r="P500" s="213" t="s">
        <v>4280</v>
      </c>
      <c r="Q500" s="213" t="s">
        <v>4281</v>
      </c>
      <c r="R500" s="213" t="s">
        <v>4282</v>
      </c>
      <c r="S500" s="213" t="s">
        <v>4283</v>
      </c>
      <c r="T500" s="213" t="s">
        <v>4284</v>
      </c>
      <c r="U500" s="213" t="s">
        <v>76122</v>
      </c>
    </row>
    <row r="501" spans="1:21" x14ac:dyDescent="0.25">
      <c r="A501" s="213" t="s">
        <v>327</v>
      </c>
      <c r="D501" s="213" t="s">
        <v>4285</v>
      </c>
      <c r="E501" s="213" t="s">
        <v>4286</v>
      </c>
      <c r="K501" s="213" t="s">
        <v>75934</v>
      </c>
      <c r="L501" s="213" t="s">
        <v>75997</v>
      </c>
      <c r="M501" s="213" t="s">
        <v>76060</v>
      </c>
      <c r="N501" s="213" t="s">
        <v>4287</v>
      </c>
      <c r="O501" s="213" t="s">
        <v>4288</v>
      </c>
      <c r="P501" s="213" t="s">
        <v>4289</v>
      </c>
      <c r="Q501" s="213" t="s">
        <v>4290</v>
      </c>
      <c r="R501" s="213" t="s">
        <v>4291</v>
      </c>
      <c r="S501" s="213" t="s">
        <v>4292</v>
      </c>
      <c r="T501" s="213" t="s">
        <v>4293</v>
      </c>
      <c r="U501" s="213" t="s">
        <v>76123</v>
      </c>
    </row>
    <row r="502" spans="1:21" x14ac:dyDescent="0.25">
      <c r="A502" s="213" t="s">
        <v>327</v>
      </c>
      <c r="D502" s="213" t="s">
        <v>4294</v>
      </c>
      <c r="E502" s="213" t="s">
        <v>4295</v>
      </c>
      <c r="K502" s="213" t="s">
        <v>75935</v>
      </c>
      <c r="L502" s="213" t="s">
        <v>75998</v>
      </c>
      <c r="M502" s="213" t="s">
        <v>76061</v>
      </c>
      <c r="N502" s="213" t="s">
        <v>4296</v>
      </c>
      <c r="O502" s="213" t="s">
        <v>4297</v>
      </c>
      <c r="P502" s="213" t="s">
        <v>4298</v>
      </c>
      <c r="Q502" s="213" t="s">
        <v>4299</v>
      </c>
      <c r="R502" s="213" t="s">
        <v>4300</v>
      </c>
      <c r="S502" s="213" t="s">
        <v>4301</v>
      </c>
      <c r="T502" s="213" t="s">
        <v>4302</v>
      </c>
      <c r="U502" s="213" t="s">
        <v>76124</v>
      </c>
    </row>
    <row r="503" spans="1:21" x14ac:dyDescent="0.25">
      <c r="A503" s="213" t="s">
        <v>327</v>
      </c>
      <c r="D503" s="213" t="s">
        <v>4303</v>
      </c>
      <c r="E503" s="213" t="s">
        <v>4304</v>
      </c>
      <c r="K503" s="213" t="s">
        <v>75936</v>
      </c>
      <c r="L503" s="213" t="s">
        <v>75999</v>
      </c>
      <c r="M503" s="213" t="s">
        <v>76062</v>
      </c>
      <c r="N503" s="213" t="s">
        <v>4305</v>
      </c>
      <c r="O503" s="213" t="s">
        <v>4306</v>
      </c>
      <c r="P503" s="213" t="s">
        <v>4307</v>
      </c>
      <c r="Q503" s="213" t="s">
        <v>4308</v>
      </c>
      <c r="R503" s="213" t="s">
        <v>4309</v>
      </c>
      <c r="S503" s="213" t="s">
        <v>4310</v>
      </c>
      <c r="T503" s="213" t="s">
        <v>4311</v>
      </c>
      <c r="U503" s="213" t="s">
        <v>76125</v>
      </c>
    </row>
    <row r="504" spans="1:21" x14ac:dyDescent="0.25">
      <c r="A504" s="213" t="s">
        <v>327</v>
      </c>
      <c r="D504" s="213" t="s">
        <v>4312</v>
      </c>
      <c r="E504" s="213" t="s">
        <v>4313</v>
      </c>
      <c r="K504" s="213" t="s">
        <v>75937</v>
      </c>
      <c r="L504" s="213" t="s">
        <v>76000</v>
      </c>
      <c r="M504" s="213" t="s">
        <v>76063</v>
      </c>
      <c r="N504" s="213" t="s">
        <v>4314</v>
      </c>
      <c r="O504" s="213" t="s">
        <v>4315</v>
      </c>
      <c r="P504" s="213" t="s">
        <v>4316</v>
      </c>
      <c r="Q504" s="213" t="s">
        <v>4317</v>
      </c>
      <c r="R504" s="213" t="s">
        <v>4318</v>
      </c>
      <c r="S504" s="213" t="s">
        <v>4319</v>
      </c>
      <c r="T504" s="213" t="s">
        <v>4320</v>
      </c>
      <c r="U504" s="213" t="s">
        <v>76126</v>
      </c>
    </row>
    <row r="505" spans="1:21" x14ac:dyDescent="0.25">
      <c r="A505" s="213" t="s">
        <v>327</v>
      </c>
      <c r="D505" s="213" t="s">
        <v>4321</v>
      </c>
      <c r="E505" s="213" t="s">
        <v>4322</v>
      </c>
      <c r="K505" s="213" t="s">
        <v>75938</v>
      </c>
      <c r="L505" s="213" t="s">
        <v>76001</v>
      </c>
      <c r="M505" s="213" t="s">
        <v>76064</v>
      </c>
      <c r="N505" s="213" t="s">
        <v>4323</v>
      </c>
      <c r="O505" s="213" t="s">
        <v>4324</v>
      </c>
      <c r="P505" s="213" t="s">
        <v>4325</v>
      </c>
      <c r="Q505" s="213" t="s">
        <v>4326</v>
      </c>
      <c r="R505" s="213" t="s">
        <v>4327</v>
      </c>
      <c r="S505" s="213" t="s">
        <v>4328</v>
      </c>
      <c r="T505" s="213" t="s">
        <v>4329</v>
      </c>
      <c r="U505" s="213" t="s">
        <v>76127</v>
      </c>
    </row>
    <row r="506" spans="1:21" x14ac:dyDescent="0.25">
      <c r="A506" s="213" t="s">
        <v>327</v>
      </c>
      <c r="D506" s="213" t="s">
        <v>4330</v>
      </c>
      <c r="E506" s="213" t="s">
        <v>4331</v>
      </c>
      <c r="K506" s="213" t="s">
        <v>75939</v>
      </c>
      <c r="L506" s="213" t="s">
        <v>76002</v>
      </c>
      <c r="M506" s="213" t="s">
        <v>76065</v>
      </c>
      <c r="N506" s="213" t="s">
        <v>4332</v>
      </c>
      <c r="O506" s="213" t="s">
        <v>4333</v>
      </c>
      <c r="P506" s="213" t="s">
        <v>4334</v>
      </c>
      <c r="Q506" s="213" t="s">
        <v>4335</v>
      </c>
      <c r="R506" s="213" t="s">
        <v>4336</v>
      </c>
      <c r="S506" s="213" t="s">
        <v>4337</v>
      </c>
      <c r="T506" s="213" t="s">
        <v>4338</v>
      </c>
      <c r="U506" s="213" t="s">
        <v>76128</v>
      </c>
    </row>
    <row r="507" spans="1:21" x14ac:dyDescent="0.25">
      <c r="A507" s="213" t="s">
        <v>327</v>
      </c>
      <c r="D507" s="213" t="s">
        <v>4339</v>
      </c>
      <c r="E507" s="213" t="s">
        <v>4340</v>
      </c>
      <c r="K507" s="213" t="s">
        <v>75940</v>
      </c>
      <c r="L507" s="213" t="s">
        <v>76003</v>
      </c>
      <c r="M507" s="213" t="s">
        <v>76066</v>
      </c>
      <c r="N507" s="213" t="s">
        <v>4341</v>
      </c>
      <c r="O507" s="213" t="s">
        <v>4342</v>
      </c>
      <c r="P507" s="213" t="s">
        <v>4343</v>
      </c>
      <c r="Q507" s="213" t="s">
        <v>4344</v>
      </c>
      <c r="R507" s="213" t="s">
        <v>4345</v>
      </c>
      <c r="S507" s="213" t="s">
        <v>4346</v>
      </c>
      <c r="T507" s="213" t="s">
        <v>4347</v>
      </c>
      <c r="U507" s="213" t="s">
        <v>76129</v>
      </c>
    </row>
    <row r="508" spans="1:21" x14ac:dyDescent="0.25">
      <c r="A508" s="213" t="s">
        <v>327</v>
      </c>
      <c r="D508" s="213" t="s">
        <v>4348</v>
      </c>
      <c r="E508" s="213" t="s">
        <v>4349</v>
      </c>
      <c r="K508" s="213" t="s">
        <v>75941</v>
      </c>
      <c r="L508" s="213" t="s">
        <v>76004</v>
      </c>
      <c r="M508" s="213" t="s">
        <v>76067</v>
      </c>
      <c r="N508" s="213" t="s">
        <v>4350</v>
      </c>
      <c r="O508" s="213" t="s">
        <v>4351</v>
      </c>
      <c r="P508" s="213" t="s">
        <v>4352</v>
      </c>
      <c r="Q508" s="213" t="s">
        <v>4353</v>
      </c>
      <c r="R508" s="213" t="s">
        <v>4354</v>
      </c>
      <c r="S508" s="213" t="s">
        <v>4355</v>
      </c>
      <c r="T508" s="213" t="s">
        <v>4356</v>
      </c>
      <c r="U508" s="213" t="s">
        <v>76130</v>
      </c>
    </row>
    <row r="509" spans="1:21" x14ac:dyDescent="0.25">
      <c r="A509" s="213" t="s">
        <v>327</v>
      </c>
      <c r="D509" s="213" t="s">
        <v>4357</v>
      </c>
      <c r="E509" s="213" t="s">
        <v>4358</v>
      </c>
      <c r="K509" s="213" t="s">
        <v>75942</v>
      </c>
      <c r="L509" s="213" t="s">
        <v>76005</v>
      </c>
      <c r="M509" s="213" t="s">
        <v>76068</v>
      </c>
      <c r="N509" s="213" t="s">
        <v>4359</v>
      </c>
      <c r="O509" s="213" t="s">
        <v>4360</v>
      </c>
      <c r="P509" s="213" t="s">
        <v>4361</v>
      </c>
      <c r="Q509" s="213" t="s">
        <v>4362</v>
      </c>
      <c r="R509" s="213" t="s">
        <v>4363</v>
      </c>
      <c r="S509" s="213" t="s">
        <v>4364</v>
      </c>
      <c r="T509" s="213" t="s">
        <v>4365</v>
      </c>
      <c r="U509" s="213" t="s">
        <v>76131</v>
      </c>
    </row>
    <row r="510" spans="1:21" x14ac:dyDescent="0.25">
      <c r="A510" s="213" t="s">
        <v>327</v>
      </c>
      <c r="D510" s="213" t="s">
        <v>4366</v>
      </c>
      <c r="E510" s="213" t="s">
        <v>4367</v>
      </c>
      <c r="K510" s="213" t="s">
        <v>75943</v>
      </c>
      <c r="L510" s="213" t="s">
        <v>76006</v>
      </c>
      <c r="M510" s="213" t="s">
        <v>76069</v>
      </c>
      <c r="N510" s="213" t="s">
        <v>4368</v>
      </c>
      <c r="O510" s="213" t="s">
        <v>4369</v>
      </c>
      <c r="P510" s="213" t="s">
        <v>4370</v>
      </c>
      <c r="Q510" s="213" t="s">
        <v>4371</v>
      </c>
      <c r="R510" s="213" t="s">
        <v>4372</v>
      </c>
      <c r="S510" s="213" t="s">
        <v>4373</v>
      </c>
      <c r="T510" s="213" t="s">
        <v>4374</v>
      </c>
      <c r="U510" s="213" t="s">
        <v>76132</v>
      </c>
    </row>
    <row r="511" spans="1:21" x14ac:dyDescent="0.25">
      <c r="A511" s="213" t="s">
        <v>327</v>
      </c>
      <c r="D511" s="213" t="s">
        <v>4375</v>
      </c>
      <c r="E511" s="213" t="s">
        <v>4376</v>
      </c>
      <c r="K511" s="213" t="s">
        <v>75944</v>
      </c>
      <c r="L511" s="213" t="s">
        <v>76007</v>
      </c>
      <c r="M511" s="213" t="s">
        <v>76070</v>
      </c>
      <c r="N511" s="213" t="s">
        <v>4377</v>
      </c>
      <c r="O511" s="213" t="s">
        <v>4378</v>
      </c>
      <c r="P511" s="213" t="s">
        <v>4379</v>
      </c>
      <c r="Q511" s="213" t="s">
        <v>4380</v>
      </c>
      <c r="R511" s="213" t="s">
        <v>4381</v>
      </c>
      <c r="S511" s="213" t="s">
        <v>4382</v>
      </c>
      <c r="T511" s="213" t="s">
        <v>4383</v>
      </c>
      <c r="U511" s="213" t="s">
        <v>76133</v>
      </c>
    </row>
    <row r="512" spans="1:21" x14ac:dyDescent="0.25">
      <c r="A512" s="213" t="s">
        <v>327</v>
      </c>
    </row>
    <row r="513" spans="1:21" x14ac:dyDescent="0.25">
      <c r="A513" s="213" t="s">
        <v>327</v>
      </c>
    </row>
    <row r="514" spans="1:21" x14ac:dyDescent="0.25">
      <c r="A514" s="213" t="s">
        <v>327</v>
      </c>
      <c r="C514" s="213" t="s">
        <v>4384</v>
      </c>
      <c r="E514" s="213" t="s">
        <v>4385</v>
      </c>
      <c r="H514" s="213" t="s">
        <v>4386</v>
      </c>
      <c r="I514" s="213" t="s">
        <v>4387</v>
      </c>
      <c r="J514" s="213" t="s">
        <v>4388</v>
      </c>
      <c r="L514" s="213" t="s">
        <v>4389</v>
      </c>
      <c r="O514" s="213" t="s">
        <v>4390</v>
      </c>
      <c r="P514" s="213" t="s">
        <v>4391</v>
      </c>
      <c r="Q514" s="213" t="s">
        <v>4392</v>
      </c>
      <c r="R514" s="213" t="s">
        <v>4393</v>
      </c>
      <c r="S514" s="213" t="s">
        <v>4394</v>
      </c>
      <c r="T514" s="213" t="s">
        <v>4395</v>
      </c>
    </row>
    <row r="515" spans="1:21" x14ac:dyDescent="0.25">
      <c r="A515" s="213" t="s">
        <v>327</v>
      </c>
      <c r="C515" s="213" t="s">
        <v>4396</v>
      </c>
      <c r="E515" s="213" t="s">
        <v>4397</v>
      </c>
      <c r="I515" s="213" t="s">
        <v>4398</v>
      </c>
    </row>
    <row r="516" spans="1:21" x14ac:dyDescent="0.25">
      <c r="A516" s="213" t="s">
        <v>327</v>
      </c>
      <c r="C516" s="213" t="s">
        <v>4399</v>
      </c>
      <c r="E516" s="213" t="s">
        <v>4400</v>
      </c>
      <c r="I516" s="213" t="s">
        <v>4401</v>
      </c>
    </row>
    <row r="517" spans="1:21" x14ac:dyDescent="0.25">
      <c r="A517" s="213" t="s">
        <v>328</v>
      </c>
    </row>
    <row r="518" spans="1:21" x14ac:dyDescent="0.25">
      <c r="A518" s="213" t="s">
        <v>327</v>
      </c>
      <c r="D518" s="213" t="s">
        <v>4402</v>
      </c>
      <c r="E518" s="213" t="s">
        <v>4403</v>
      </c>
      <c r="K518" s="213" t="s">
        <v>75710</v>
      </c>
      <c r="L518" s="213" t="s">
        <v>75753</v>
      </c>
      <c r="M518" s="213" t="s">
        <v>75796</v>
      </c>
      <c r="N518" s="213" t="s">
        <v>4404</v>
      </c>
      <c r="O518" s="213" t="s">
        <v>4405</v>
      </c>
      <c r="P518" s="213" t="s">
        <v>4406</v>
      </c>
      <c r="Q518" s="213" t="s">
        <v>4407</v>
      </c>
      <c r="R518" s="213" t="s">
        <v>4408</v>
      </c>
      <c r="S518" s="213" t="s">
        <v>4409</v>
      </c>
      <c r="T518" s="213" t="s">
        <v>4410</v>
      </c>
      <c r="U518" s="213" t="s">
        <v>75839</v>
      </c>
    </row>
    <row r="519" spans="1:21" x14ac:dyDescent="0.25">
      <c r="A519" s="213" t="s">
        <v>327</v>
      </c>
      <c r="D519" s="213" t="s">
        <v>4411</v>
      </c>
      <c r="E519" s="213" t="s">
        <v>4412</v>
      </c>
      <c r="K519" s="213" t="s">
        <v>75711</v>
      </c>
      <c r="L519" s="213" t="s">
        <v>75754</v>
      </c>
      <c r="M519" s="213" t="s">
        <v>75797</v>
      </c>
      <c r="N519" s="213" t="s">
        <v>4413</v>
      </c>
      <c r="O519" s="213" t="s">
        <v>4414</v>
      </c>
      <c r="P519" s="213" t="s">
        <v>4415</v>
      </c>
      <c r="Q519" s="213" t="s">
        <v>4416</v>
      </c>
      <c r="R519" s="213" t="s">
        <v>4417</v>
      </c>
      <c r="S519" s="213" t="s">
        <v>4418</v>
      </c>
      <c r="T519" s="213" t="s">
        <v>4419</v>
      </c>
      <c r="U519" s="213" t="s">
        <v>75840</v>
      </c>
    </row>
    <row r="520" spans="1:21" x14ac:dyDescent="0.25">
      <c r="A520" s="213" t="s">
        <v>327</v>
      </c>
      <c r="D520" s="213" t="s">
        <v>352</v>
      </c>
      <c r="E520" s="213" t="s">
        <v>4420</v>
      </c>
      <c r="K520" s="213" t="s">
        <v>75712</v>
      </c>
      <c r="L520" s="213" t="s">
        <v>75755</v>
      </c>
      <c r="M520" s="213" t="s">
        <v>75798</v>
      </c>
      <c r="N520" s="213" t="s">
        <v>4421</v>
      </c>
      <c r="O520" s="213" t="s">
        <v>4422</v>
      </c>
      <c r="P520" s="213" t="s">
        <v>4423</v>
      </c>
      <c r="Q520" s="213" t="s">
        <v>4424</v>
      </c>
      <c r="R520" s="213" t="s">
        <v>4425</v>
      </c>
      <c r="S520" s="213" t="s">
        <v>4426</v>
      </c>
      <c r="T520" s="213" t="s">
        <v>4427</v>
      </c>
      <c r="U520" s="213" t="s">
        <v>75841</v>
      </c>
    </row>
    <row r="521" spans="1:21" x14ac:dyDescent="0.25">
      <c r="A521" s="213" t="s">
        <v>327</v>
      </c>
      <c r="D521" s="213" t="s">
        <v>4428</v>
      </c>
      <c r="E521" s="213" t="s">
        <v>4429</v>
      </c>
      <c r="K521" s="213" t="s">
        <v>75713</v>
      </c>
      <c r="L521" s="213" t="s">
        <v>75756</v>
      </c>
      <c r="M521" s="213" t="s">
        <v>75799</v>
      </c>
      <c r="N521" s="213" t="s">
        <v>4430</v>
      </c>
      <c r="O521" s="213" t="s">
        <v>4431</v>
      </c>
      <c r="P521" s="213" t="s">
        <v>4432</v>
      </c>
      <c r="Q521" s="213" t="s">
        <v>4433</v>
      </c>
      <c r="R521" s="213" t="s">
        <v>4434</v>
      </c>
      <c r="S521" s="213" t="s">
        <v>4435</v>
      </c>
      <c r="T521" s="213" t="s">
        <v>4436</v>
      </c>
      <c r="U521" s="213" t="s">
        <v>75842</v>
      </c>
    </row>
    <row r="522" spans="1:21" x14ac:dyDescent="0.25">
      <c r="A522" s="213" t="s">
        <v>327</v>
      </c>
      <c r="D522" s="213" t="s">
        <v>4437</v>
      </c>
      <c r="E522" s="213" t="s">
        <v>4438</v>
      </c>
      <c r="K522" s="213" t="s">
        <v>75714</v>
      </c>
      <c r="L522" s="213" t="s">
        <v>75757</v>
      </c>
      <c r="M522" s="213" t="s">
        <v>75800</v>
      </c>
      <c r="N522" s="213" t="s">
        <v>4439</v>
      </c>
      <c r="O522" s="213" t="s">
        <v>4440</v>
      </c>
      <c r="P522" s="213" t="s">
        <v>4441</v>
      </c>
      <c r="Q522" s="213" t="s">
        <v>4442</v>
      </c>
      <c r="R522" s="213" t="s">
        <v>4443</v>
      </c>
      <c r="S522" s="213" t="s">
        <v>4444</v>
      </c>
      <c r="T522" s="213" t="s">
        <v>4445</v>
      </c>
      <c r="U522" s="213" t="s">
        <v>75843</v>
      </c>
    </row>
    <row r="523" spans="1:21" x14ac:dyDescent="0.25">
      <c r="A523" s="213" t="s">
        <v>327</v>
      </c>
      <c r="D523" s="213" t="s">
        <v>4446</v>
      </c>
      <c r="E523" s="213" t="s">
        <v>4447</v>
      </c>
      <c r="K523" s="213" t="s">
        <v>75715</v>
      </c>
      <c r="L523" s="213" t="s">
        <v>75758</v>
      </c>
      <c r="M523" s="213" t="s">
        <v>75801</v>
      </c>
      <c r="N523" s="213" t="s">
        <v>4448</v>
      </c>
      <c r="O523" s="213" t="s">
        <v>4449</v>
      </c>
      <c r="P523" s="213" t="s">
        <v>4450</v>
      </c>
      <c r="Q523" s="213" t="s">
        <v>4451</v>
      </c>
      <c r="R523" s="213" t="s">
        <v>4452</v>
      </c>
      <c r="S523" s="213" t="s">
        <v>4453</v>
      </c>
      <c r="T523" s="213" t="s">
        <v>4454</v>
      </c>
      <c r="U523" s="213" t="s">
        <v>75844</v>
      </c>
    </row>
    <row r="524" spans="1:21" x14ac:dyDescent="0.25">
      <c r="A524" s="213" t="s">
        <v>327</v>
      </c>
      <c r="D524" s="213" t="s">
        <v>4455</v>
      </c>
      <c r="E524" s="213" t="s">
        <v>4456</v>
      </c>
      <c r="K524" s="213" t="s">
        <v>75716</v>
      </c>
      <c r="L524" s="213" t="s">
        <v>75759</v>
      </c>
      <c r="M524" s="213" t="s">
        <v>75802</v>
      </c>
      <c r="N524" s="213" t="s">
        <v>4457</v>
      </c>
      <c r="O524" s="213" t="s">
        <v>4458</v>
      </c>
      <c r="P524" s="213" t="s">
        <v>4459</v>
      </c>
      <c r="Q524" s="213" t="s">
        <v>4460</v>
      </c>
      <c r="R524" s="213" t="s">
        <v>4461</v>
      </c>
      <c r="S524" s="213" t="s">
        <v>4462</v>
      </c>
      <c r="T524" s="213" t="s">
        <v>4463</v>
      </c>
      <c r="U524" s="213" t="s">
        <v>75845</v>
      </c>
    </row>
    <row r="525" spans="1:21" x14ac:dyDescent="0.25">
      <c r="A525" s="213" t="s">
        <v>327</v>
      </c>
      <c r="D525" s="213" t="s">
        <v>4464</v>
      </c>
      <c r="E525" s="213" t="s">
        <v>4465</v>
      </c>
      <c r="K525" s="213" t="s">
        <v>75717</v>
      </c>
      <c r="L525" s="213" t="s">
        <v>75760</v>
      </c>
      <c r="M525" s="213" t="s">
        <v>75803</v>
      </c>
      <c r="N525" s="213" t="s">
        <v>4466</v>
      </c>
      <c r="O525" s="213" t="s">
        <v>4467</v>
      </c>
      <c r="P525" s="213" t="s">
        <v>4468</v>
      </c>
      <c r="Q525" s="213" t="s">
        <v>4469</v>
      </c>
      <c r="R525" s="213" t="s">
        <v>4470</v>
      </c>
      <c r="S525" s="213" t="s">
        <v>4471</v>
      </c>
      <c r="T525" s="213" t="s">
        <v>4472</v>
      </c>
      <c r="U525" s="213" t="s">
        <v>75846</v>
      </c>
    </row>
    <row r="526" spans="1:21" x14ac:dyDescent="0.25">
      <c r="A526" s="213" t="s">
        <v>327</v>
      </c>
      <c r="D526" s="213" t="s">
        <v>4473</v>
      </c>
      <c r="E526" s="213" t="s">
        <v>4474</v>
      </c>
      <c r="K526" s="213" t="s">
        <v>75718</v>
      </c>
      <c r="L526" s="213" t="s">
        <v>75761</v>
      </c>
      <c r="M526" s="213" t="s">
        <v>75804</v>
      </c>
      <c r="N526" s="213" t="s">
        <v>4475</v>
      </c>
      <c r="O526" s="213" t="s">
        <v>4476</v>
      </c>
      <c r="P526" s="213" t="s">
        <v>4477</v>
      </c>
      <c r="Q526" s="213" t="s">
        <v>4478</v>
      </c>
      <c r="R526" s="213" t="s">
        <v>4479</v>
      </c>
      <c r="S526" s="213" t="s">
        <v>4480</v>
      </c>
      <c r="T526" s="213" t="s">
        <v>4481</v>
      </c>
      <c r="U526" s="213" t="s">
        <v>75847</v>
      </c>
    </row>
    <row r="527" spans="1:21" x14ac:dyDescent="0.25">
      <c r="A527" s="213" t="s">
        <v>327</v>
      </c>
      <c r="D527" s="213" t="s">
        <v>4482</v>
      </c>
      <c r="E527" s="213" t="s">
        <v>4483</v>
      </c>
      <c r="K527" s="213" t="s">
        <v>75719</v>
      </c>
      <c r="L527" s="213" t="s">
        <v>75762</v>
      </c>
      <c r="M527" s="213" t="s">
        <v>75805</v>
      </c>
      <c r="N527" s="213" t="s">
        <v>4484</v>
      </c>
      <c r="O527" s="213" t="s">
        <v>4485</v>
      </c>
      <c r="P527" s="213" t="s">
        <v>4486</v>
      </c>
      <c r="Q527" s="213" t="s">
        <v>4487</v>
      </c>
      <c r="R527" s="213" t="s">
        <v>4488</v>
      </c>
      <c r="S527" s="213" t="s">
        <v>4489</v>
      </c>
      <c r="T527" s="213" t="s">
        <v>4490</v>
      </c>
      <c r="U527" s="213" t="s">
        <v>75848</v>
      </c>
    </row>
    <row r="528" spans="1:21" x14ac:dyDescent="0.25">
      <c r="A528" s="213" t="s">
        <v>327</v>
      </c>
      <c r="D528" s="213" t="s">
        <v>4491</v>
      </c>
      <c r="E528" s="213" t="s">
        <v>4492</v>
      </c>
      <c r="K528" s="213" t="s">
        <v>75720</v>
      </c>
      <c r="L528" s="213" t="s">
        <v>75763</v>
      </c>
      <c r="M528" s="213" t="s">
        <v>75806</v>
      </c>
      <c r="N528" s="213" t="s">
        <v>4493</v>
      </c>
      <c r="O528" s="213" t="s">
        <v>4494</v>
      </c>
      <c r="P528" s="213" t="s">
        <v>4495</v>
      </c>
      <c r="Q528" s="213" t="s">
        <v>4496</v>
      </c>
      <c r="R528" s="213" t="s">
        <v>4497</v>
      </c>
      <c r="S528" s="213" t="s">
        <v>4498</v>
      </c>
      <c r="T528" s="213" t="s">
        <v>4499</v>
      </c>
      <c r="U528" s="213" t="s">
        <v>75849</v>
      </c>
    </row>
    <row r="529" spans="1:21" x14ac:dyDescent="0.25">
      <c r="A529" s="213" t="s">
        <v>327</v>
      </c>
      <c r="D529" s="213" t="s">
        <v>4500</v>
      </c>
      <c r="E529" s="213" t="s">
        <v>4501</v>
      </c>
      <c r="K529" s="213" t="s">
        <v>75721</v>
      </c>
      <c r="L529" s="213" t="s">
        <v>75764</v>
      </c>
      <c r="M529" s="213" t="s">
        <v>75807</v>
      </c>
      <c r="N529" s="213" t="s">
        <v>4502</v>
      </c>
      <c r="O529" s="213" t="s">
        <v>4503</v>
      </c>
      <c r="P529" s="213" t="s">
        <v>4504</v>
      </c>
      <c r="Q529" s="213" t="s">
        <v>4505</v>
      </c>
      <c r="R529" s="213" t="s">
        <v>4506</v>
      </c>
      <c r="S529" s="213" t="s">
        <v>4507</v>
      </c>
      <c r="T529" s="213" t="s">
        <v>4508</v>
      </c>
      <c r="U529" s="213" t="s">
        <v>75850</v>
      </c>
    </row>
    <row r="530" spans="1:21" x14ac:dyDescent="0.25">
      <c r="A530" s="213" t="s">
        <v>327</v>
      </c>
      <c r="D530" s="213" t="s">
        <v>4509</v>
      </c>
      <c r="E530" s="213" t="s">
        <v>4510</v>
      </c>
      <c r="K530" s="213" t="s">
        <v>75722</v>
      </c>
      <c r="L530" s="213" t="s">
        <v>75765</v>
      </c>
      <c r="M530" s="213" t="s">
        <v>75808</v>
      </c>
      <c r="N530" s="213" t="s">
        <v>4511</v>
      </c>
      <c r="O530" s="213" t="s">
        <v>4512</v>
      </c>
      <c r="P530" s="213" t="s">
        <v>4513</v>
      </c>
      <c r="Q530" s="213" t="s">
        <v>4514</v>
      </c>
      <c r="R530" s="213" t="s">
        <v>4515</v>
      </c>
      <c r="S530" s="213" t="s">
        <v>4516</v>
      </c>
      <c r="T530" s="213" t="s">
        <v>4517</v>
      </c>
      <c r="U530" s="213" t="s">
        <v>75851</v>
      </c>
    </row>
    <row r="531" spans="1:21" x14ac:dyDescent="0.25">
      <c r="A531" s="213" t="s">
        <v>327</v>
      </c>
      <c r="D531" s="213" t="s">
        <v>4518</v>
      </c>
      <c r="E531" s="213" t="s">
        <v>4519</v>
      </c>
      <c r="K531" s="213" t="s">
        <v>75723</v>
      </c>
      <c r="L531" s="213" t="s">
        <v>75766</v>
      </c>
      <c r="M531" s="213" t="s">
        <v>75809</v>
      </c>
      <c r="N531" s="213" t="s">
        <v>4520</v>
      </c>
      <c r="O531" s="213" t="s">
        <v>4521</v>
      </c>
      <c r="P531" s="213" t="s">
        <v>4522</v>
      </c>
      <c r="Q531" s="213" t="s">
        <v>4523</v>
      </c>
      <c r="R531" s="213" t="s">
        <v>4524</v>
      </c>
      <c r="S531" s="213" t="s">
        <v>4525</v>
      </c>
      <c r="T531" s="213" t="s">
        <v>4526</v>
      </c>
      <c r="U531" s="213" t="s">
        <v>75852</v>
      </c>
    </row>
    <row r="532" spans="1:21" x14ac:dyDescent="0.25">
      <c r="A532" s="213" t="s">
        <v>327</v>
      </c>
      <c r="D532" s="213" t="s">
        <v>4527</v>
      </c>
      <c r="E532" s="213" t="s">
        <v>4528</v>
      </c>
      <c r="K532" s="213" t="s">
        <v>75724</v>
      </c>
      <c r="L532" s="213" t="s">
        <v>75767</v>
      </c>
      <c r="M532" s="213" t="s">
        <v>75810</v>
      </c>
      <c r="N532" s="213" t="s">
        <v>4529</v>
      </c>
      <c r="O532" s="213" t="s">
        <v>4530</v>
      </c>
      <c r="P532" s="213" t="s">
        <v>4531</v>
      </c>
      <c r="Q532" s="213" t="s">
        <v>4532</v>
      </c>
      <c r="R532" s="213" t="s">
        <v>4533</v>
      </c>
      <c r="S532" s="213" t="s">
        <v>4534</v>
      </c>
      <c r="T532" s="213" t="s">
        <v>4535</v>
      </c>
      <c r="U532" s="213" t="s">
        <v>75853</v>
      </c>
    </row>
    <row r="533" spans="1:21" x14ac:dyDescent="0.25">
      <c r="A533" s="213" t="s">
        <v>327</v>
      </c>
      <c r="D533" s="213" t="s">
        <v>4536</v>
      </c>
      <c r="E533" s="213" t="s">
        <v>4537</v>
      </c>
      <c r="K533" s="213" t="s">
        <v>75725</v>
      </c>
      <c r="L533" s="213" t="s">
        <v>75768</v>
      </c>
      <c r="M533" s="213" t="s">
        <v>75811</v>
      </c>
      <c r="N533" s="213" t="s">
        <v>4538</v>
      </c>
      <c r="O533" s="213" t="s">
        <v>4539</v>
      </c>
      <c r="P533" s="213" t="s">
        <v>4540</v>
      </c>
      <c r="Q533" s="213" t="s">
        <v>4541</v>
      </c>
      <c r="R533" s="213" t="s">
        <v>4542</v>
      </c>
      <c r="S533" s="213" t="s">
        <v>4543</v>
      </c>
      <c r="T533" s="213" t="s">
        <v>4544</v>
      </c>
      <c r="U533" s="213" t="s">
        <v>75854</v>
      </c>
    </row>
    <row r="534" spans="1:21" x14ac:dyDescent="0.25">
      <c r="A534" s="213" t="s">
        <v>327</v>
      </c>
      <c r="D534" s="213" t="s">
        <v>4545</v>
      </c>
      <c r="E534" s="213" t="s">
        <v>4546</v>
      </c>
      <c r="K534" s="213" t="s">
        <v>75726</v>
      </c>
      <c r="L534" s="213" t="s">
        <v>75769</v>
      </c>
      <c r="M534" s="213" t="s">
        <v>75812</v>
      </c>
      <c r="N534" s="213" t="s">
        <v>4547</v>
      </c>
      <c r="O534" s="213" t="s">
        <v>4548</v>
      </c>
      <c r="P534" s="213" t="s">
        <v>4549</v>
      </c>
      <c r="Q534" s="213" t="s">
        <v>4550</v>
      </c>
      <c r="R534" s="213" t="s">
        <v>4551</v>
      </c>
      <c r="S534" s="213" t="s">
        <v>4552</v>
      </c>
      <c r="T534" s="213" t="s">
        <v>4553</v>
      </c>
      <c r="U534" s="213" t="s">
        <v>75855</v>
      </c>
    </row>
    <row r="535" spans="1:21" x14ac:dyDescent="0.25">
      <c r="A535" s="213" t="s">
        <v>327</v>
      </c>
      <c r="D535" s="213" t="s">
        <v>4554</v>
      </c>
      <c r="E535" s="213" t="s">
        <v>4555</v>
      </c>
      <c r="K535" s="213" t="s">
        <v>75727</v>
      </c>
      <c r="L535" s="213" t="s">
        <v>75770</v>
      </c>
      <c r="M535" s="213" t="s">
        <v>75813</v>
      </c>
      <c r="N535" s="213" t="s">
        <v>4556</v>
      </c>
      <c r="O535" s="213" t="s">
        <v>4557</v>
      </c>
      <c r="P535" s="213" t="s">
        <v>4558</v>
      </c>
      <c r="Q535" s="213" t="s">
        <v>4559</v>
      </c>
      <c r="R535" s="213" t="s">
        <v>4560</v>
      </c>
      <c r="S535" s="213" t="s">
        <v>4561</v>
      </c>
      <c r="T535" s="213" t="s">
        <v>4562</v>
      </c>
      <c r="U535" s="213" t="s">
        <v>75856</v>
      </c>
    </row>
    <row r="536" spans="1:21" x14ac:dyDescent="0.25">
      <c r="A536" s="213" t="s">
        <v>327</v>
      </c>
      <c r="D536" s="213" t="s">
        <v>4563</v>
      </c>
      <c r="E536" s="213" t="s">
        <v>4564</v>
      </c>
      <c r="K536" s="213" t="s">
        <v>75728</v>
      </c>
      <c r="L536" s="213" t="s">
        <v>75771</v>
      </c>
      <c r="M536" s="213" t="s">
        <v>75814</v>
      </c>
      <c r="N536" s="213" t="s">
        <v>4565</v>
      </c>
      <c r="O536" s="213" t="s">
        <v>4566</v>
      </c>
      <c r="P536" s="213" t="s">
        <v>4567</v>
      </c>
      <c r="Q536" s="213" t="s">
        <v>4568</v>
      </c>
      <c r="R536" s="213" t="s">
        <v>4569</v>
      </c>
      <c r="S536" s="213" t="s">
        <v>4570</v>
      </c>
      <c r="T536" s="213" t="s">
        <v>4571</v>
      </c>
      <c r="U536" s="213" t="s">
        <v>75857</v>
      </c>
    </row>
    <row r="537" spans="1:21" x14ac:dyDescent="0.25">
      <c r="A537" s="213" t="s">
        <v>327</v>
      </c>
      <c r="D537" s="213" t="s">
        <v>4572</v>
      </c>
      <c r="E537" s="213" t="s">
        <v>4573</v>
      </c>
      <c r="K537" s="213" t="s">
        <v>75729</v>
      </c>
      <c r="L537" s="213" t="s">
        <v>75772</v>
      </c>
      <c r="M537" s="213" t="s">
        <v>75815</v>
      </c>
      <c r="N537" s="213" t="s">
        <v>4574</v>
      </c>
      <c r="O537" s="213" t="s">
        <v>4575</v>
      </c>
      <c r="P537" s="213" t="s">
        <v>4576</v>
      </c>
      <c r="Q537" s="213" t="s">
        <v>4577</v>
      </c>
      <c r="R537" s="213" t="s">
        <v>4578</v>
      </c>
      <c r="S537" s="213" t="s">
        <v>4579</v>
      </c>
      <c r="T537" s="213" t="s">
        <v>4580</v>
      </c>
      <c r="U537" s="213" t="s">
        <v>75858</v>
      </c>
    </row>
    <row r="538" spans="1:21" x14ac:dyDescent="0.25">
      <c r="A538" s="213" t="s">
        <v>327</v>
      </c>
      <c r="D538" s="213" t="s">
        <v>4581</v>
      </c>
      <c r="E538" s="213" t="s">
        <v>4582</v>
      </c>
      <c r="K538" s="213" t="s">
        <v>75730</v>
      </c>
      <c r="L538" s="213" t="s">
        <v>75773</v>
      </c>
      <c r="M538" s="213" t="s">
        <v>75816</v>
      </c>
      <c r="N538" s="213" t="s">
        <v>4583</v>
      </c>
      <c r="O538" s="213" t="s">
        <v>4584</v>
      </c>
      <c r="P538" s="213" t="s">
        <v>4585</v>
      </c>
      <c r="Q538" s="213" t="s">
        <v>4586</v>
      </c>
      <c r="R538" s="213" t="s">
        <v>4587</v>
      </c>
      <c r="S538" s="213" t="s">
        <v>4588</v>
      </c>
      <c r="T538" s="213" t="s">
        <v>4589</v>
      </c>
      <c r="U538" s="213" t="s">
        <v>75859</v>
      </c>
    </row>
    <row r="539" spans="1:21" x14ac:dyDescent="0.25">
      <c r="A539" s="213" t="s">
        <v>327</v>
      </c>
      <c r="D539" s="213" t="s">
        <v>4590</v>
      </c>
      <c r="E539" s="213" t="s">
        <v>4591</v>
      </c>
      <c r="K539" s="213" t="s">
        <v>75731</v>
      </c>
      <c r="L539" s="213" t="s">
        <v>75774</v>
      </c>
      <c r="M539" s="213" t="s">
        <v>75817</v>
      </c>
      <c r="N539" s="213" t="s">
        <v>4592</v>
      </c>
      <c r="O539" s="213" t="s">
        <v>4593</v>
      </c>
      <c r="P539" s="213" t="s">
        <v>4594</v>
      </c>
      <c r="Q539" s="213" t="s">
        <v>4595</v>
      </c>
      <c r="R539" s="213" t="s">
        <v>4596</v>
      </c>
      <c r="S539" s="213" t="s">
        <v>4597</v>
      </c>
      <c r="T539" s="213" t="s">
        <v>4598</v>
      </c>
      <c r="U539" s="213" t="s">
        <v>75860</v>
      </c>
    </row>
    <row r="540" spans="1:21" x14ac:dyDescent="0.25">
      <c r="A540" s="213" t="s">
        <v>327</v>
      </c>
      <c r="D540" s="213" t="s">
        <v>4599</v>
      </c>
      <c r="E540" s="213" t="s">
        <v>4600</v>
      </c>
      <c r="K540" s="213" t="s">
        <v>75732</v>
      </c>
      <c r="L540" s="213" t="s">
        <v>75775</v>
      </c>
      <c r="M540" s="213" t="s">
        <v>75818</v>
      </c>
      <c r="N540" s="213" t="s">
        <v>4601</v>
      </c>
      <c r="O540" s="213" t="s">
        <v>4602</v>
      </c>
      <c r="P540" s="213" t="s">
        <v>4603</v>
      </c>
      <c r="Q540" s="213" t="s">
        <v>4604</v>
      </c>
      <c r="R540" s="213" t="s">
        <v>4605</v>
      </c>
      <c r="S540" s="213" t="s">
        <v>4606</v>
      </c>
      <c r="T540" s="213" t="s">
        <v>4607</v>
      </c>
      <c r="U540" s="213" t="s">
        <v>75861</v>
      </c>
    </row>
    <row r="541" spans="1:21" x14ac:dyDescent="0.25">
      <c r="A541" s="213" t="s">
        <v>327</v>
      </c>
      <c r="D541" s="213" t="s">
        <v>4608</v>
      </c>
      <c r="E541" s="213" t="s">
        <v>4609</v>
      </c>
      <c r="K541" s="213" t="s">
        <v>75733</v>
      </c>
      <c r="L541" s="213" t="s">
        <v>75776</v>
      </c>
      <c r="M541" s="213" t="s">
        <v>75819</v>
      </c>
      <c r="N541" s="213" t="s">
        <v>4610</v>
      </c>
      <c r="O541" s="213" t="s">
        <v>4611</v>
      </c>
      <c r="P541" s="213" t="s">
        <v>4612</v>
      </c>
      <c r="Q541" s="213" t="s">
        <v>4613</v>
      </c>
      <c r="R541" s="213" t="s">
        <v>4614</v>
      </c>
      <c r="S541" s="213" t="s">
        <v>4615</v>
      </c>
      <c r="T541" s="213" t="s">
        <v>4616</v>
      </c>
      <c r="U541" s="213" t="s">
        <v>75862</v>
      </c>
    </row>
    <row r="542" spans="1:21" x14ac:dyDescent="0.25">
      <c r="A542" s="213" t="s">
        <v>327</v>
      </c>
      <c r="D542" s="213" t="s">
        <v>340</v>
      </c>
      <c r="E542" s="213" t="s">
        <v>4617</v>
      </c>
      <c r="K542" s="213" t="s">
        <v>75734</v>
      </c>
      <c r="L542" s="213" t="s">
        <v>75777</v>
      </c>
      <c r="M542" s="213" t="s">
        <v>75820</v>
      </c>
      <c r="N542" s="213" t="s">
        <v>4618</v>
      </c>
      <c r="O542" s="213" t="s">
        <v>4619</v>
      </c>
      <c r="P542" s="213" t="s">
        <v>4620</v>
      </c>
      <c r="Q542" s="213" t="s">
        <v>4621</v>
      </c>
      <c r="R542" s="213" t="s">
        <v>4622</v>
      </c>
      <c r="S542" s="213" t="s">
        <v>4623</v>
      </c>
      <c r="T542" s="213" t="s">
        <v>4624</v>
      </c>
      <c r="U542" s="213" t="s">
        <v>75863</v>
      </c>
    </row>
    <row r="543" spans="1:21" x14ac:dyDescent="0.25">
      <c r="A543" s="213" t="s">
        <v>327</v>
      </c>
      <c r="D543" s="213" t="s">
        <v>4625</v>
      </c>
      <c r="E543" s="213" t="s">
        <v>4626</v>
      </c>
      <c r="K543" s="213" t="s">
        <v>75735</v>
      </c>
      <c r="L543" s="213" t="s">
        <v>75778</v>
      </c>
      <c r="M543" s="213" t="s">
        <v>75821</v>
      </c>
      <c r="N543" s="213" t="s">
        <v>4627</v>
      </c>
      <c r="O543" s="213" t="s">
        <v>4628</v>
      </c>
      <c r="P543" s="213" t="s">
        <v>4629</v>
      </c>
      <c r="Q543" s="213" t="s">
        <v>4630</v>
      </c>
      <c r="R543" s="213" t="s">
        <v>4631</v>
      </c>
      <c r="S543" s="213" t="s">
        <v>4632</v>
      </c>
      <c r="T543" s="213" t="s">
        <v>4633</v>
      </c>
      <c r="U543" s="213" t="s">
        <v>75864</v>
      </c>
    </row>
    <row r="544" spans="1:21" x14ac:dyDescent="0.25">
      <c r="A544" s="213" t="s">
        <v>327</v>
      </c>
      <c r="D544" s="213" t="s">
        <v>4634</v>
      </c>
      <c r="E544" s="213" t="s">
        <v>4635</v>
      </c>
      <c r="K544" s="213" t="s">
        <v>75736</v>
      </c>
      <c r="L544" s="213" t="s">
        <v>75779</v>
      </c>
      <c r="M544" s="213" t="s">
        <v>75822</v>
      </c>
      <c r="N544" s="213" t="s">
        <v>4636</v>
      </c>
      <c r="O544" s="213" t="s">
        <v>4637</v>
      </c>
      <c r="P544" s="213" t="s">
        <v>4638</v>
      </c>
      <c r="Q544" s="213" t="s">
        <v>4639</v>
      </c>
      <c r="R544" s="213" t="s">
        <v>4640</v>
      </c>
      <c r="S544" s="213" t="s">
        <v>4641</v>
      </c>
      <c r="T544" s="213" t="s">
        <v>4642</v>
      </c>
      <c r="U544" s="213" t="s">
        <v>75865</v>
      </c>
    </row>
    <row r="545" spans="1:21" x14ac:dyDescent="0.25">
      <c r="A545" s="213" t="s">
        <v>327</v>
      </c>
      <c r="D545" s="213" t="s">
        <v>4643</v>
      </c>
      <c r="E545" s="213" t="s">
        <v>4644</v>
      </c>
      <c r="K545" s="213" t="s">
        <v>75737</v>
      </c>
      <c r="L545" s="213" t="s">
        <v>75780</v>
      </c>
      <c r="M545" s="213" t="s">
        <v>75823</v>
      </c>
      <c r="N545" s="213" t="s">
        <v>4645</v>
      </c>
      <c r="O545" s="213" t="s">
        <v>4646</v>
      </c>
      <c r="P545" s="213" t="s">
        <v>4647</v>
      </c>
      <c r="Q545" s="213" t="s">
        <v>4648</v>
      </c>
      <c r="R545" s="213" t="s">
        <v>4649</v>
      </c>
      <c r="S545" s="213" t="s">
        <v>4650</v>
      </c>
      <c r="T545" s="213" t="s">
        <v>4651</v>
      </c>
      <c r="U545" s="213" t="s">
        <v>75866</v>
      </c>
    </row>
    <row r="546" spans="1:21" x14ac:dyDescent="0.25">
      <c r="A546" s="213" t="s">
        <v>327</v>
      </c>
      <c r="D546" s="213" t="s">
        <v>4652</v>
      </c>
      <c r="E546" s="213" t="s">
        <v>4653</v>
      </c>
      <c r="K546" s="213" t="s">
        <v>75738</v>
      </c>
      <c r="L546" s="213" t="s">
        <v>75781</v>
      </c>
      <c r="M546" s="213" t="s">
        <v>75824</v>
      </c>
      <c r="N546" s="213" t="s">
        <v>4654</v>
      </c>
      <c r="O546" s="213" t="s">
        <v>4655</v>
      </c>
      <c r="P546" s="213" t="s">
        <v>4656</v>
      </c>
      <c r="Q546" s="213" t="s">
        <v>4657</v>
      </c>
      <c r="R546" s="213" t="s">
        <v>4658</v>
      </c>
      <c r="S546" s="213" t="s">
        <v>4659</v>
      </c>
      <c r="T546" s="213" t="s">
        <v>4660</v>
      </c>
      <c r="U546" s="213" t="s">
        <v>75867</v>
      </c>
    </row>
    <row r="547" spans="1:21" x14ac:dyDescent="0.25">
      <c r="A547" s="213" t="s">
        <v>327</v>
      </c>
      <c r="D547" s="213" t="s">
        <v>4661</v>
      </c>
      <c r="E547" s="213" t="s">
        <v>4662</v>
      </c>
      <c r="K547" s="213" t="s">
        <v>75739</v>
      </c>
      <c r="L547" s="213" t="s">
        <v>75782</v>
      </c>
      <c r="M547" s="213" t="s">
        <v>75825</v>
      </c>
      <c r="N547" s="213" t="s">
        <v>4663</v>
      </c>
      <c r="O547" s="213" t="s">
        <v>4664</v>
      </c>
      <c r="P547" s="213" t="s">
        <v>4665</v>
      </c>
      <c r="Q547" s="213" t="s">
        <v>4666</v>
      </c>
      <c r="R547" s="213" t="s">
        <v>4667</v>
      </c>
      <c r="S547" s="213" t="s">
        <v>4668</v>
      </c>
      <c r="T547" s="213" t="s">
        <v>4669</v>
      </c>
      <c r="U547" s="213" t="s">
        <v>75868</v>
      </c>
    </row>
    <row r="548" spans="1:21" x14ac:dyDescent="0.25">
      <c r="A548" s="213" t="s">
        <v>327</v>
      </c>
      <c r="D548" s="213" t="s">
        <v>4670</v>
      </c>
      <c r="E548" s="213" t="s">
        <v>4671</v>
      </c>
      <c r="K548" s="213" t="s">
        <v>75740</v>
      </c>
      <c r="L548" s="213" t="s">
        <v>75783</v>
      </c>
      <c r="M548" s="213" t="s">
        <v>75826</v>
      </c>
      <c r="N548" s="213" t="s">
        <v>4672</v>
      </c>
      <c r="O548" s="213" t="s">
        <v>4673</v>
      </c>
      <c r="P548" s="213" t="s">
        <v>4674</v>
      </c>
      <c r="Q548" s="213" t="s">
        <v>4675</v>
      </c>
      <c r="R548" s="213" t="s">
        <v>4676</v>
      </c>
      <c r="S548" s="213" t="s">
        <v>4677</v>
      </c>
      <c r="T548" s="213" t="s">
        <v>4678</v>
      </c>
      <c r="U548" s="213" t="s">
        <v>75869</v>
      </c>
    </row>
    <row r="549" spans="1:21" x14ac:dyDescent="0.25">
      <c r="A549" s="213" t="s">
        <v>327</v>
      </c>
      <c r="D549" s="213" t="s">
        <v>4679</v>
      </c>
      <c r="E549" s="213" t="s">
        <v>4680</v>
      </c>
      <c r="K549" s="213" t="s">
        <v>75741</v>
      </c>
      <c r="L549" s="213" t="s">
        <v>75784</v>
      </c>
      <c r="M549" s="213" t="s">
        <v>75827</v>
      </c>
      <c r="N549" s="213" t="s">
        <v>4681</v>
      </c>
      <c r="O549" s="213" t="s">
        <v>4682</v>
      </c>
      <c r="P549" s="213" t="s">
        <v>4683</v>
      </c>
      <c r="Q549" s="213" t="s">
        <v>4684</v>
      </c>
      <c r="R549" s="213" t="s">
        <v>4685</v>
      </c>
      <c r="S549" s="213" t="s">
        <v>4686</v>
      </c>
      <c r="T549" s="213" t="s">
        <v>4687</v>
      </c>
      <c r="U549" s="213" t="s">
        <v>75870</v>
      </c>
    </row>
    <row r="550" spans="1:21" x14ac:dyDescent="0.25">
      <c r="A550" s="213" t="s">
        <v>327</v>
      </c>
      <c r="D550" s="213" t="s">
        <v>4688</v>
      </c>
      <c r="E550" s="213" t="s">
        <v>4689</v>
      </c>
      <c r="K550" s="213" t="s">
        <v>75742</v>
      </c>
      <c r="L550" s="213" t="s">
        <v>75785</v>
      </c>
      <c r="M550" s="213" t="s">
        <v>75828</v>
      </c>
      <c r="N550" s="213" t="s">
        <v>4690</v>
      </c>
      <c r="O550" s="213" t="s">
        <v>4691</v>
      </c>
      <c r="P550" s="213" t="s">
        <v>4692</v>
      </c>
      <c r="Q550" s="213" t="s">
        <v>4693</v>
      </c>
      <c r="R550" s="213" t="s">
        <v>4694</v>
      </c>
      <c r="S550" s="213" t="s">
        <v>4695</v>
      </c>
      <c r="T550" s="213" t="s">
        <v>4696</v>
      </c>
      <c r="U550" s="213" t="s">
        <v>75871</v>
      </c>
    </row>
    <row r="551" spans="1:21" x14ac:dyDescent="0.25">
      <c r="A551" s="213" t="s">
        <v>327</v>
      </c>
      <c r="D551" s="213" t="s">
        <v>4697</v>
      </c>
      <c r="E551" s="213" t="s">
        <v>4698</v>
      </c>
      <c r="K551" s="213" t="s">
        <v>75743</v>
      </c>
      <c r="L551" s="213" t="s">
        <v>75786</v>
      </c>
      <c r="M551" s="213" t="s">
        <v>75829</v>
      </c>
      <c r="N551" s="213" t="s">
        <v>4699</v>
      </c>
      <c r="O551" s="213" t="s">
        <v>4700</v>
      </c>
      <c r="P551" s="213" t="s">
        <v>4701</v>
      </c>
      <c r="Q551" s="213" t="s">
        <v>4702</v>
      </c>
      <c r="R551" s="213" t="s">
        <v>4703</v>
      </c>
      <c r="S551" s="213" t="s">
        <v>4704</v>
      </c>
      <c r="T551" s="213" t="s">
        <v>4705</v>
      </c>
      <c r="U551" s="213" t="s">
        <v>75872</v>
      </c>
    </row>
    <row r="552" spans="1:21" x14ac:dyDescent="0.25">
      <c r="A552" s="213" t="s">
        <v>327</v>
      </c>
      <c r="D552" s="213" t="s">
        <v>4706</v>
      </c>
      <c r="E552" s="213" t="s">
        <v>4707</v>
      </c>
      <c r="K552" s="213" t="s">
        <v>75744</v>
      </c>
      <c r="L552" s="213" t="s">
        <v>75787</v>
      </c>
      <c r="M552" s="213" t="s">
        <v>75830</v>
      </c>
      <c r="N552" s="213" t="s">
        <v>4708</v>
      </c>
      <c r="O552" s="213" t="s">
        <v>4709</v>
      </c>
      <c r="P552" s="213" t="s">
        <v>4710</v>
      </c>
      <c r="Q552" s="213" t="s">
        <v>4711</v>
      </c>
      <c r="R552" s="213" t="s">
        <v>4712</v>
      </c>
      <c r="S552" s="213" t="s">
        <v>4713</v>
      </c>
      <c r="T552" s="213" t="s">
        <v>4714</v>
      </c>
      <c r="U552" s="213" t="s">
        <v>75873</v>
      </c>
    </row>
    <row r="553" spans="1:21" x14ac:dyDescent="0.25">
      <c r="A553" s="213" t="s">
        <v>327</v>
      </c>
      <c r="D553" s="213" t="s">
        <v>4715</v>
      </c>
      <c r="E553" s="213" t="s">
        <v>4716</v>
      </c>
      <c r="K553" s="213" t="s">
        <v>75745</v>
      </c>
      <c r="L553" s="213" t="s">
        <v>75788</v>
      </c>
      <c r="M553" s="213" t="s">
        <v>75831</v>
      </c>
      <c r="N553" s="213" t="s">
        <v>4717</v>
      </c>
      <c r="O553" s="213" t="s">
        <v>4718</v>
      </c>
      <c r="P553" s="213" t="s">
        <v>4719</v>
      </c>
      <c r="Q553" s="213" t="s">
        <v>4720</v>
      </c>
      <c r="R553" s="213" t="s">
        <v>4721</v>
      </c>
      <c r="S553" s="213" t="s">
        <v>4722</v>
      </c>
      <c r="T553" s="213" t="s">
        <v>4723</v>
      </c>
      <c r="U553" s="213" t="s">
        <v>75874</v>
      </c>
    </row>
    <row r="554" spans="1:21" x14ac:dyDescent="0.25">
      <c r="A554" s="213" t="s">
        <v>327</v>
      </c>
      <c r="D554" s="213" t="s">
        <v>4724</v>
      </c>
      <c r="E554" s="213" t="s">
        <v>4725</v>
      </c>
      <c r="K554" s="213" t="s">
        <v>75746</v>
      </c>
      <c r="L554" s="213" t="s">
        <v>75789</v>
      </c>
      <c r="M554" s="213" t="s">
        <v>75832</v>
      </c>
      <c r="N554" s="213" t="s">
        <v>4726</v>
      </c>
      <c r="O554" s="213" t="s">
        <v>4727</v>
      </c>
      <c r="P554" s="213" t="s">
        <v>4728</v>
      </c>
      <c r="Q554" s="213" t="s">
        <v>4729</v>
      </c>
      <c r="R554" s="213" t="s">
        <v>4730</v>
      </c>
      <c r="S554" s="213" t="s">
        <v>4731</v>
      </c>
      <c r="T554" s="213" t="s">
        <v>4732</v>
      </c>
      <c r="U554" s="213" t="s">
        <v>75875</v>
      </c>
    </row>
    <row r="555" spans="1:21" x14ac:dyDescent="0.25">
      <c r="A555" s="213" t="s">
        <v>327</v>
      </c>
      <c r="D555" s="213" t="s">
        <v>4733</v>
      </c>
      <c r="E555" s="213" t="s">
        <v>4734</v>
      </c>
      <c r="K555" s="213" t="s">
        <v>75747</v>
      </c>
      <c r="L555" s="213" t="s">
        <v>75790</v>
      </c>
      <c r="M555" s="213" t="s">
        <v>75833</v>
      </c>
      <c r="N555" s="213" t="s">
        <v>4735</v>
      </c>
      <c r="O555" s="213" t="s">
        <v>4736</v>
      </c>
      <c r="P555" s="213" t="s">
        <v>4737</v>
      </c>
      <c r="Q555" s="213" t="s">
        <v>4738</v>
      </c>
      <c r="R555" s="213" t="s">
        <v>4739</v>
      </c>
      <c r="S555" s="213" t="s">
        <v>4740</v>
      </c>
      <c r="T555" s="213" t="s">
        <v>4741</v>
      </c>
      <c r="U555" s="213" t="s">
        <v>75876</v>
      </c>
    </row>
    <row r="556" spans="1:21" x14ac:dyDescent="0.25">
      <c r="A556" s="213" t="s">
        <v>327</v>
      </c>
      <c r="D556" s="213" t="s">
        <v>4742</v>
      </c>
      <c r="E556" s="213" t="s">
        <v>4743</v>
      </c>
      <c r="K556" s="213" t="s">
        <v>75748</v>
      </c>
      <c r="L556" s="213" t="s">
        <v>75791</v>
      </c>
      <c r="M556" s="213" t="s">
        <v>75834</v>
      </c>
      <c r="N556" s="213" t="s">
        <v>4744</v>
      </c>
      <c r="O556" s="213" t="s">
        <v>4745</v>
      </c>
      <c r="P556" s="213" t="s">
        <v>4746</v>
      </c>
      <c r="Q556" s="213" t="s">
        <v>4747</v>
      </c>
      <c r="R556" s="213" t="s">
        <v>4748</v>
      </c>
      <c r="S556" s="213" t="s">
        <v>4749</v>
      </c>
      <c r="T556" s="213" t="s">
        <v>4750</v>
      </c>
      <c r="U556" s="213" t="s">
        <v>75877</v>
      </c>
    </row>
    <row r="557" spans="1:21" x14ac:dyDescent="0.25">
      <c r="A557" s="213" t="s">
        <v>327</v>
      </c>
      <c r="D557" s="213" t="s">
        <v>4751</v>
      </c>
      <c r="E557" s="213" t="s">
        <v>4752</v>
      </c>
      <c r="K557" s="213" t="s">
        <v>75749</v>
      </c>
      <c r="L557" s="213" t="s">
        <v>75792</v>
      </c>
      <c r="M557" s="213" t="s">
        <v>75835</v>
      </c>
      <c r="N557" s="213" t="s">
        <v>4753</v>
      </c>
      <c r="O557" s="213" t="s">
        <v>4754</v>
      </c>
      <c r="P557" s="213" t="s">
        <v>4755</v>
      </c>
      <c r="Q557" s="213" t="s">
        <v>4756</v>
      </c>
      <c r="R557" s="213" t="s">
        <v>4757</v>
      </c>
      <c r="S557" s="213" t="s">
        <v>4758</v>
      </c>
      <c r="T557" s="213" t="s">
        <v>4759</v>
      </c>
      <c r="U557" s="213" t="s">
        <v>75878</v>
      </c>
    </row>
    <row r="558" spans="1:21" x14ac:dyDescent="0.25">
      <c r="A558" s="213" t="s">
        <v>327</v>
      </c>
      <c r="D558" s="213" t="s">
        <v>4760</v>
      </c>
      <c r="E558" s="213" t="s">
        <v>4761</v>
      </c>
      <c r="K558" s="213" t="s">
        <v>75750</v>
      </c>
      <c r="L558" s="213" t="s">
        <v>75793</v>
      </c>
      <c r="M558" s="213" t="s">
        <v>75836</v>
      </c>
      <c r="N558" s="213" t="s">
        <v>4762</v>
      </c>
      <c r="O558" s="213" t="s">
        <v>4763</v>
      </c>
      <c r="P558" s="213" t="s">
        <v>4764</v>
      </c>
      <c r="Q558" s="213" t="s">
        <v>4765</v>
      </c>
      <c r="R558" s="213" t="s">
        <v>4766</v>
      </c>
      <c r="S558" s="213" t="s">
        <v>4767</v>
      </c>
      <c r="T558" s="213" t="s">
        <v>4768</v>
      </c>
      <c r="U558" s="213" t="s">
        <v>75879</v>
      </c>
    </row>
    <row r="559" spans="1:21" x14ac:dyDescent="0.25">
      <c r="A559" s="213" t="s">
        <v>327</v>
      </c>
      <c r="D559" s="213" t="s">
        <v>4769</v>
      </c>
      <c r="E559" s="213" t="s">
        <v>4770</v>
      </c>
      <c r="K559" s="213" t="s">
        <v>75751</v>
      </c>
      <c r="L559" s="213" t="s">
        <v>75794</v>
      </c>
      <c r="M559" s="213" t="s">
        <v>75837</v>
      </c>
      <c r="N559" s="213" t="s">
        <v>4771</v>
      </c>
      <c r="O559" s="213" t="s">
        <v>4772</v>
      </c>
      <c r="P559" s="213" t="s">
        <v>4773</v>
      </c>
      <c r="Q559" s="213" t="s">
        <v>4774</v>
      </c>
      <c r="R559" s="213" t="s">
        <v>4775</v>
      </c>
      <c r="S559" s="213" t="s">
        <v>4776</v>
      </c>
      <c r="T559" s="213" t="s">
        <v>4777</v>
      </c>
      <c r="U559" s="213" t="s">
        <v>75880</v>
      </c>
    </row>
    <row r="560" spans="1:21" x14ac:dyDescent="0.25">
      <c r="A560" s="213" t="s">
        <v>327</v>
      </c>
      <c r="D560" s="213" t="s">
        <v>4778</v>
      </c>
      <c r="E560" s="213" t="s">
        <v>4779</v>
      </c>
      <c r="K560" s="213" t="s">
        <v>75752</v>
      </c>
      <c r="L560" s="213" t="s">
        <v>75795</v>
      </c>
      <c r="M560" s="213" t="s">
        <v>75838</v>
      </c>
      <c r="N560" s="213" t="s">
        <v>4780</v>
      </c>
      <c r="O560" s="213" t="s">
        <v>4781</v>
      </c>
      <c r="P560" s="213" t="s">
        <v>4782</v>
      </c>
      <c r="Q560" s="213" t="s">
        <v>4783</v>
      </c>
      <c r="R560" s="213" t="s">
        <v>4784</v>
      </c>
      <c r="S560" s="213" t="s">
        <v>4785</v>
      </c>
      <c r="T560" s="213" t="s">
        <v>4786</v>
      </c>
      <c r="U560" s="213" t="s">
        <v>75881</v>
      </c>
    </row>
    <row r="561" spans="1:21" x14ac:dyDescent="0.25">
      <c r="A561" s="213" t="s">
        <v>327</v>
      </c>
    </row>
    <row r="562" spans="1:21" x14ac:dyDescent="0.25">
      <c r="A562" s="213" t="s">
        <v>327</v>
      </c>
    </row>
    <row r="563" spans="1:21" x14ac:dyDescent="0.25">
      <c r="A563" s="213" t="s">
        <v>327</v>
      </c>
      <c r="C563" s="213" t="s">
        <v>4787</v>
      </c>
      <c r="E563" s="213" t="s">
        <v>4788</v>
      </c>
      <c r="H563" s="213" t="s">
        <v>4789</v>
      </c>
      <c r="I563" s="213" t="s">
        <v>4790</v>
      </c>
      <c r="J563" s="213" t="s">
        <v>4791</v>
      </c>
      <c r="L563" s="213" t="s">
        <v>4792</v>
      </c>
      <c r="O563" s="213" t="s">
        <v>4793</v>
      </c>
      <c r="P563" s="213" t="s">
        <v>4794</v>
      </c>
      <c r="Q563" s="213" t="s">
        <v>4795</v>
      </c>
      <c r="R563" s="213" t="s">
        <v>4796</v>
      </c>
      <c r="S563" s="213" t="s">
        <v>4797</v>
      </c>
      <c r="T563" s="213" t="s">
        <v>4798</v>
      </c>
    </row>
    <row r="564" spans="1:21" x14ac:dyDescent="0.25">
      <c r="A564" s="213" t="s">
        <v>327</v>
      </c>
      <c r="C564" s="213" t="s">
        <v>4799</v>
      </c>
      <c r="E564" s="213" t="s">
        <v>4800</v>
      </c>
      <c r="I564" s="213" t="s">
        <v>4801</v>
      </c>
    </row>
    <row r="565" spans="1:21" x14ac:dyDescent="0.25">
      <c r="A565" s="213" t="s">
        <v>327</v>
      </c>
      <c r="C565" s="213" t="s">
        <v>4802</v>
      </c>
      <c r="E565" s="213" t="s">
        <v>4803</v>
      </c>
      <c r="I565" s="213" t="s">
        <v>4804</v>
      </c>
    </row>
    <row r="566" spans="1:21" x14ac:dyDescent="0.25">
      <c r="A566" s="213" t="s">
        <v>328</v>
      </c>
    </row>
    <row r="567" spans="1:21" x14ac:dyDescent="0.25">
      <c r="A567" s="213" t="s">
        <v>327</v>
      </c>
      <c r="D567" s="213" t="s">
        <v>4805</v>
      </c>
      <c r="E567" s="213" t="s">
        <v>4806</v>
      </c>
      <c r="K567" s="213" t="s">
        <v>75494</v>
      </c>
      <c r="L567" s="213" t="s">
        <v>75548</v>
      </c>
      <c r="M567" s="213" t="s">
        <v>75602</v>
      </c>
      <c r="N567" s="213" t="s">
        <v>4807</v>
      </c>
      <c r="O567" s="213" t="s">
        <v>4808</v>
      </c>
      <c r="P567" s="213" t="s">
        <v>4809</v>
      </c>
      <c r="Q567" s="213" t="s">
        <v>4810</v>
      </c>
      <c r="R567" s="213" t="s">
        <v>4811</v>
      </c>
      <c r="S567" s="213" t="s">
        <v>4812</v>
      </c>
      <c r="T567" s="213" t="s">
        <v>4813</v>
      </c>
      <c r="U567" s="213" t="s">
        <v>75656</v>
      </c>
    </row>
    <row r="568" spans="1:21" x14ac:dyDescent="0.25">
      <c r="A568" s="213" t="s">
        <v>327</v>
      </c>
      <c r="D568" s="213" t="s">
        <v>4814</v>
      </c>
      <c r="E568" s="213" t="s">
        <v>4815</v>
      </c>
      <c r="K568" s="213" t="s">
        <v>75495</v>
      </c>
      <c r="L568" s="213" t="s">
        <v>75549</v>
      </c>
      <c r="M568" s="213" t="s">
        <v>75603</v>
      </c>
      <c r="N568" s="213" t="s">
        <v>4816</v>
      </c>
      <c r="O568" s="213" t="s">
        <v>4817</v>
      </c>
      <c r="P568" s="213" t="s">
        <v>4818</v>
      </c>
      <c r="Q568" s="213" t="s">
        <v>4819</v>
      </c>
      <c r="R568" s="213" t="s">
        <v>4820</v>
      </c>
      <c r="S568" s="213" t="s">
        <v>4821</v>
      </c>
      <c r="T568" s="213" t="s">
        <v>4822</v>
      </c>
      <c r="U568" s="213" t="s">
        <v>75657</v>
      </c>
    </row>
    <row r="569" spans="1:21" x14ac:dyDescent="0.25">
      <c r="A569" s="213" t="s">
        <v>327</v>
      </c>
      <c r="D569" s="213" t="s">
        <v>4823</v>
      </c>
      <c r="E569" s="213" t="s">
        <v>4824</v>
      </c>
      <c r="K569" s="213" t="s">
        <v>75496</v>
      </c>
      <c r="L569" s="213" t="s">
        <v>75550</v>
      </c>
      <c r="M569" s="213" t="s">
        <v>75604</v>
      </c>
      <c r="N569" s="213" t="s">
        <v>4825</v>
      </c>
      <c r="O569" s="213" t="s">
        <v>4826</v>
      </c>
      <c r="P569" s="213" t="s">
        <v>4827</v>
      </c>
      <c r="Q569" s="213" t="s">
        <v>4828</v>
      </c>
      <c r="R569" s="213" t="s">
        <v>4829</v>
      </c>
      <c r="S569" s="213" t="s">
        <v>4830</v>
      </c>
      <c r="T569" s="213" t="s">
        <v>4831</v>
      </c>
      <c r="U569" s="213" t="s">
        <v>75658</v>
      </c>
    </row>
    <row r="570" spans="1:21" x14ac:dyDescent="0.25">
      <c r="A570" s="213" t="s">
        <v>327</v>
      </c>
      <c r="D570" s="213" t="s">
        <v>4832</v>
      </c>
      <c r="E570" s="213" t="s">
        <v>4833</v>
      </c>
      <c r="K570" s="213" t="s">
        <v>75497</v>
      </c>
      <c r="L570" s="213" t="s">
        <v>75551</v>
      </c>
      <c r="M570" s="213" t="s">
        <v>75605</v>
      </c>
      <c r="N570" s="213" t="s">
        <v>4834</v>
      </c>
      <c r="O570" s="213" t="s">
        <v>4835</v>
      </c>
      <c r="P570" s="213" t="s">
        <v>4836</v>
      </c>
      <c r="Q570" s="213" t="s">
        <v>4837</v>
      </c>
      <c r="R570" s="213" t="s">
        <v>4838</v>
      </c>
      <c r="S570" s="213" t="s">
        <v>4839</v>
      </c>
      <c r="T570" s="213" t="s">
        <v>4840</v>
      </c>
      <c r="U570" s="213" t="s">
        <v>75659</v>
      </c>
    </row>
    <row r="571" spans="1:21" x14ac:dyDescent="0.25">
      <c r="A571" s="213" t="s">
        <v>327</v>
      </c>
      <c r="D571" s="213" t="s">
        <v>4841</v>
      </c>
      <c r="E571" s="213" t="s">
        <v>4842</v>
      </c>
      <c r="K571" s="213" t="s">
        <v>75498</v>
      </c>
      <c r="L571" s="213" t="s">
        <v>75552</v>
      </c>
      <c r="M571" s="213" t="s">
        <v>75606</v>
      </c>
      <c r="N571" s="213" t="s">
        <v>4843</v>
      </c>
      <c r="O571" s="213" t="s">
        <v>4844</v>
      </c>
      <c r="P571" s="213" t="s">
        <v>4845</v>
      </c>
      <c r="Q571" s="213" t="s">
        <v>4846</v>
      </c>
      <c r="R571" s="213" t="s">
        <v>4847</v>
      </c>
      <c r="S571" s="213" t="s">
        <v>4848</v>
      </c>
      <c r="T571" s="213" t="s">
        <v>4849</v>
      </c>
      <c r="U571" s="213" t="s">
        <v>75660</v>
      </c>
    </row>
    <row r="572" spans="1:21" x14ac:dyDescent="0.25">
      <c r="A572" s="213" t="s">
        <v>327</v>
      </c>
      <c r="D572" s="213" t="s">
        <v>4850</v>
      </c>
      <c r="E572" s="213" t="s">
        <v>4851</v>
      </c>
      <c r="K572" s="213" t="s">
        <v>75499</v>
      </c>
      <c r="L572" s="213" t="s">
        <v>75553</v>
      </c>
      <c r="M572" s="213" t="s">
        <v>75607</v>
      </c>
      <c r="N572" s="213" t="s">
        <v>4852</v>
      </c>
      <c r="O572" s="213" t="s">
        <v>4853</v>
      </c>
      <c r="P572" s="213" t="s">
        <v>4854</v>
      </c>
      <c r="Q572" s="213" t="s">
        <v>4855</v>
      </c>
      <c r="R572" s="213" t="s">
        <v>4856</v>
      </c>
      <c r="S572" s="213" t="s">
        <v>4857</v>
      </c>
      <c r="T572" s="213" t="s">
        <v>4858</v>
      </c>
      <c r="U572" s="213" t="s">
        <v>75661</v>
      </c>
    </row>
    <row r="573" spans="1:21" x14ac:dyDescent="0.25">
      <c r="A573" s="213" t="s">
        <v>327</v>
      </c>
      <c r="D573" s="213" t="s">
        <v>4859</v>
      </c>
      <c r="E573" s="213" t="s">
        <v>4860</v>
      </c>
      <c r="K573" s="213" t="s">
        <v>75500</v>
      </c>
      <c r="L573" s="213" t="s">
        <v>75554</v>
      </c>
      <c r="M573" s="213" t="s">
        <v>75608</v>
      </c>
      <c r="N573" s="213" t="s">
        <v>4861</v>
      </c>
      <c r="O573" s="213" t="s">
        <v>4862</v>
      </c>
      <c r="P573" s="213" t="s">
        <v>4863</v>
      </c>
      <c r="Q573" s="213" t="s">
        <v>4864</v>
      </c>
      <c r="R573" s="213" t="s">
        <v>4865</v>
      </c>
      <c r="S573" s="213" t="s">
        <v>4866</v>
      </c>
      <c r="T573" s="213" t="s">
        <v>4867</v>
      </c>
      <c r="U573" s="213" t="s">
        <v>75662</v>
      </c>
    </row>
    <row r="574" spans="1:21" x14ac:dyDescent="0.25">
      <c r="A574" s="213" t="s">
        <v>327</v>
      </c>
      <c r="D574" s="213" t="s">
        <v>4868</v>
      </c>
      <c r="E574" s="213" t="s">
        <v>4869</v>
      </c>
      <c r="K574" s="213" t="s">
        <v>75501</v>
      </c>
      <c r="L574" s="213" t="s">
        <v>75555</v>
      </c>
      <c r="M574" s="213" t="s">
        <v>75609</v>
      </c>
      <c r="N574" s="213" t="s">
        <v>4870</v>
      </c>
      <c r="O574" s="213" t="s">
        <v>4871</v>
      </c>
      <c r="P574" s="213" t="s">
        <v>4872</v>
      </c>
      <c r="Q574" s="213" t="s">
        <v>4873</v>
      </c>
      <c r="R574" s="213" t="s">
        <v>4874</v>
      </c>
      <c r="S574" s="213" t="s">
        <v>4875</v>
      </c>
      <c r="T574" s="213" t="s">
        <v>4876</v>
      </c>
      <c r="U574" s="213" t="s">
        <v>75663</v>
      </c>
    </row>
    <row r="575" spans="1:21" x14ac:dyDescent="0.25">
      <c r="A575" s="213" t="s">
        <v>327</v>
      </c>
      <c r="D575" s="213" t="s">
        <v>4877</v>
      </c>
      <c r="E575" s="213" t="s">
        <v>4878</v>
      </c>
      <c r="K575" s="213" t="s">
        <v>75502</v>
      </c>
      <c r="L575" s="213" t="s">
        <v>75556</v>
      </c>
      <c r="M575" s="213" t="s">
        <v>75610</v>
      </c>
      <c r="N575" s="213" t="s">
        <v>4879</v>
      </c>
      <c r="O575" s="213" t="s">
        <v>4880</v>
      </c>
      <c r="P575" s="213" t="s">
        <v>4881</v>
      </c>
      <c r="Q575" s="213" t="s">
        <v>4882</v>
      </c>
      <c r="R575" s="213" t="s">
        <v>4883</v>
      </c>
      <c r="S575" s="213" t="s">
        <v>4884</v>
      </c>
      <c r="T575" s="213" t="s">
        <v>4885</v>
      </c>
      <c r="U575" s="213" t="s">
        <v>75664</v>
      </c>
    </row>
    <row r="576" spans="1:21" x14ac:dyDescent="0.25">
      <c r="A576" s="213" t="s">
        <v>327</v>
      </c>
      <c r="D576" s="213" t="s">
        <v>4886</v>
      </c>
      <c r="E576" s="213" t="s">
        <v>4887</v>
      </c>
      <c r="K576" s="213" t="s">
        <v>75503</v>
      </c>
      <c r="L576" s="213" t="s">
        <v>75557</v>
      </c>
      <c r="M576" s="213" t="s">
        <v>75611</v>
      </c>
      <c r="N576" s="213" t="s">
        <v>4888</v>
      </c>
      <c r="O576" s="213" t="s">
        <v>4889</v>
      </c>
      <c r="P576" s="213" t="s">
        <v>4890</v>
      </c>
      <c r="Q576" s="213" t="s">
        <v>4891</v>
      </c>
      <c r="R576" s="213" t="s">
        <v>4892</v>
      </c>
      <c r="S576" s="213" t="s">
        <v>4893</v>
      </c>
      <c r="T576" s="213" t="s">
        <v>4894</v>
      </c>
      <c r="U576" s="213" t="s">
        <v>75665</v>
      </c>
    </row>
    <row r="577" spans="1:21" x14ac:dyDescent="0.25">
      <c r="A577" s="213" t="s">
        <v>327</v>
      </c>
      <c r="D577" s="213" t="s">
        <v>4895</v>
      </c>
      <c r="E577" s="213" t="s">
        <v>4896</v>
      </c>
      <c r="K577" s="213" t="s">
        <v>75504</v>
      </c>
      <c r="L577" s="213" t="s">
        <v>75558</v>
      </c>
      <c r="M577" s="213" t="s">
        <v>75612</v>
      </c>
      <c r="N577" s="213" t="s">
        <v>4897</v>
      </c>
      <c r="O577" s="213" t="s">
        <v>4898</v>
      </c>
      <c r="P577" s="213" t="s">
        <v>4899</v>
      </c>
      <c r="Q577" s="213" t="s">
        <v>4900</v>
      </c>
      <c r="R577" s="213" t="s">
        <v>4901</v>
      </c>
      <c r="S577" s="213" t="s">
        <v>4902</v>
      </c>
      <c r="T577" s="213" t="s">
        <v>4903</v>
      </c>
      <c r="U577" s="213" t="s">
        <v>75666</v>
      </c>
    </row>
    <row r="578" spans="1:21" x14ac:dyDescent="0.25">
      <c r="A578" s="213" t="s">
        <v>327</v>
      </c>
      <c r="D578" s="213" t="s">
        <v>4904</v>
      </c>
      <c r="E578" s="213" t="s">
        <v>4905</v>
      </c>
      <c r="K578" s="213" t="s">
        <v>75505</v>
      </c>
      <c r="L578" s="213" t="s">
        <v>75559</v>
      </c>
      <c r="M578" s="213" t="s">
        <v>75613</v>
      </c>
      <c r="N578" s="213" t="s">
        <v>4906</v>
      </c>
      <c r="O578" s="213" t="s">
        <v>4907</v>
      </c>
      <c r="P578" s="213" t="s">
        <v>4908</v>
      </c>
      <c r="Q578" s="213" t="s">
        <v>4909</v>
      </c>
      <c r="R578" s="213" t="s">
        <v>4910</v>
      </c>
      <c r="S578" s="213" t="s">
        <v>4911</v>
      </c>
      <c r="T578" s="213" t="s">
        <v>4912</v>
      </c>
      <c r="U578" s="213" t="s">
        <v>75667</v>
      </c>
    </row>
    <row r="579" spans="1:21" x14ac:dyDescent="0.25">
      <c r="A579" s="213" t="s">
        <v>327</v>
      </c>
      <c r="D579" s="213" t="s">
        <v>4913</v>
      </c>
      <c r="E579" s="213" t="s">
        <v>4914</v>
      </c>
      <c r="K579" s="213" t="s">
        <v>75506</v>
      </c>
      <c r="L579" s="213" t="s">
        <v>75560</v>
      </c>
      <c r="M579" s="213" t="s">
        <v>75614</v>
      </c>
      <c r="N579" s="213" t="s">
        <v>4915</v>
      </c>
      <c r="O579" s="213" t="s">
        <v>4916</v>
      </c>
      <c r="P579" s="213" t="s">
        <v>4917</v>
      </c>
      <c r="Q579" s="213" t="s">
        <v>4918</v>
      </c>
      <c r="R579" s="213" t="s">
        <v>4919</v>
      </c>
      <c r="S579" s="213" t="s">
        <v>4920</v>
      </c>
      <c r="T579" s="213" t="s">
        <v>4921</v>
      </c>
      <c r="U579" s="213" t="s">
        <v>75668</v>
      </c>
    </row>
    <row r="580" spans="1:21" x14ac:dyDescent="0.25">
      <c r="A580" s="213" t="s">
        <v>327</v>
      </c>
      <c r="D580" s="213" t="s">
        <v>4922</v>
      </c>
      <c r="E580" s="213" t="s">
        <v>4923</v>
      </c>
      <c r="K580" s="213" t="s">
        <v>75507</v>
      </c>
      <c r="L580" s="213" t="s">
        <v>75561</v>
      </c>
      <c r="M580" s="213" t="s">
        <v>75615</v>
      </c>
      <c r="N580" s="213" t="s">
        <v>4924</v>
      </c>
      <c r="O580" s="213" t="s">
        <v>4925</v>
      </c>
      <c r="P580" s="213" t="s">
        <v>4926</v>
      </c>
      <c r="Q580" s="213" t="s">
        <v>4927</v>
      </c>
      <c r="R580" s="213" t="s">
        <v>4928</v>
      </c>
      <c r="S580" s="213" t="s">
        <v>4929</v>
      </c>
      <c r="T580" s="213" t="s">
        <v>4930</v>
      </c>
      <c r="U580" s="213" t="s">
        <v>75669</v>
      </c>
    </row>
    <row r="581" spans="1:21" x14ac:dyDescent="0.25">
      <c r="A581" s="213" t="s">
        <v>327</v>
      </c>
      <c r="D581" s="213" t="s">
        <v>4931</v>
      </c>
      <c r="E581" s="213" t="s">
        <v>4932</v>
      </c>
      <c r="K581" s="213" t="s">
        <v>75508</v>
      </c>
      <c r="L581" s="213" t="s">
        <v>75562</v>
      </c>
      <c r="M581" s="213" t="s">
        <v>75616</v>
      </c>
      <c r="N581" s="213" t="s">
        <v>4933</v>
      </c>
      <c r="O581" s="213" t="s">
        <v>4934</v>
      </c>
      <c r="P581" s="213" t="s">
        <v>4935</v>
      </c>
      <c r="Q581" s="213" t="s">
        <v>4936</v>
      </c>
      <c r="R581" s="213" t="s">
        <v>4937</v>
      </c>
      <c r="S581" s="213" t="s">
        <v>4938</v>
      </c>
      <c r="T581" s="213" t="s">
        <v>4939</v>
      </c>
      <c r="U581" s="213" t="s">
        <v>75670</v>
      </c>
    </row>
    <row r="582" spans="1:21" x14ac:dyDescent="0.25">
      <c r="A582" s="213" t="s">
        <v>327</v>
      </c>
      <c r="D582" s="213" t="s">
        <v>4940</v>
      </c>
      <c r="E582" s="213" t="s">
        <v>4941</v>
      </c>
      <c r="K582" s="213" t="s">
        <v>75509</v>
      </c>
      <c r="L582" s="213" t="s">
        <v>75563</v>
      </c>
      <c r="M582" s="213" t="s">
        <v>75617</v>
      </c>
      <c r="N582" s="213" t="s">
        <v>4942</v>
      </c>
      <c r="O582" s="213" t="s">
        <v>4943</v>
      </c>
      <c r="P582" s="213" t="s">
        <v>4944</v>
      </c>
      <c r="Q582" s="213" t="s">
        <v>4945</v>
      </c>
      <c r="R582" s="213" t="s">
        <v>4946</v>
      </c>
      <c r="S582" s="213" t="s">
        <v>4947</v>
      </c>
      <c r="T582" s="213" t="s">
        <v>4948</v>
      </c>
      <c r="U582" s="213" t="s">
        <v>75671</v>
      </c>
    </row>
    <row r="583" spans="1:21" x14ac:dyDescent="0.25">
      <c r="A583" s="213" t="s">
        <v>327</v>
      </c>
      <c r="D583" s="213" t="s">
        <v>4949</v>
      </c>
      <c r="E583" s="213" t="s">
        <v>4950</v>
      </c>
      <c r="K583" s="213" t="s">
        <v>75510</v>
      </c>
      <c r="L583" s="213" t="s">
        <v>75564</v>
      </c>
      <c r="M583" s="213" t="s">
        <v>75618</v>
      </c>
      <c r="N583" s="213" t="s">
        <v>4951</v>
      </c>
      <c r="O583" s="213" t="s">
        <v>4952</v>
      </c>
      <c r="P583" s="213" t="s">
        <v>4953</v>
      </c>
      <c r="Q583" s="213" t="s">
        <v>4954</v>
      </c>
      <c r="R583" s="213" t="s">
        <v>4955</v>
      </c>
      <c r="S583" s="213" t="s">
        <v>4956</v>
      </c>
      <c r="T583" s="213" t="s">
        <v>4957</v>
      </c>
      <c r="U583" s="213" t="s">
        <v>75672</v>
      </c>
    </row>
    <row r="584" spans="1:21" x14ac:dyDescent="0.25">
      <c r="A584" s="213" t="s">
        <v>327</v>
      </c>
      <c r="D584" s="213" t="s">
        <v>4958</v>
      </c>
      <c r="E584" s="213" t="s">
        <v>4959</v>
      </c>
      <c r="K584" s="213" t="s">
        <v>75511</v>
      </c>
      <c r="L584" s="213" t="s">
        <v>75565</v>
      </c>
      <c r="M584" s="213" t="s">
        <v>75619</v>
      </c>
      <c r="N584" s="213" t="s">
        <v>4960</v>
      </c>
      <c r="O584" s="213" t="s">
        <v>4961</v>
      </c>
      <c r="P584" s="213" t="s">
        <v>4962</v>
      </c>
      <c r="Q584" s="213" t="s">
        <v>4963</v>
      </c>
      <c r="R584" s="213" t="s">
        <v>4964</v>
      </c>
      <c r="S584" s="213" t="s">
        <v>4965</v>
      </c>
      <c r="T584" s="213" t="s">
        <v>4966</v>
      </c>
      <c r="U584" s="213" t="s">
        <v>75673</v>
      </c>
    </row>
    <row r="585" spans="1:21" x14ac:dyDescent="0.25">
      <c r="A585" s="213" t="s">
        <v>327</v>
      </c>
      <c r="D585" s="213" t="s">
        <v>4967</v>
      </c>
      <c r="E585" s="213" t="s">
        <v>4968</v>
      </c>
      <c r="K585" s="213" t="s">
        <v>75512</v>
      </c>
      <c r="L585" s="213" t="s">
        <v>75566</v>
      </c>
      <c r="M585" s="213" t="s">
        <v>75620</v>
      </c>
      <c r="N585" s="213" t="s">
        <v>4969</v>
      </c>
      <c r="O585" s="213" t="s">
        <v>4970</v>
      </c>
      <c r="P585" s="213" t="s">
        <v>4971</v>
      </c>
      <c r="Q585" s="213" t="s">
        <v>4972</v>
      </c>
      <c r="R585" s="213" t="s">
        <v>4973</v>
      </c>
      <c r="S585" s="213" t="s">
        <v>4974</v>
      </c>
      <c r="T585" s="213" t="s">
        <v>4975</v>
      </c>
      <c r="U585" s="213" t="s">
        <v>75674</v>
      </c>
    </row>
    <row r="586" spans="1:21" x14ac:dyDescent="0.25">
      <c r="A586" s="213" t="s">
        <v>327</v>
      </c>
      <c r="D586" s="213" t="s">
        <v>4976</v>
      </c>
      <c r="E586" s="213" t="s">
        <v>4977</v>
      </c>
      <c r="K586" s="213" t="s">
        <v>75513</v>
      </c>
      <c r="L586" s="213" t="s">
        <v>75567</v>
      </c>
      <c r="M586" s="213" t="s">
        <v>75621</v>
      </c>
      <c r="N586" s="213" t="s">
        <v>4978</v>
      </c>
      <c r="O586" s="213" t="s">
        <v>4979</v>
      </c>
      <c r="P586" s="213" t="s">
        <v>4980</v>
      </c>
      <c r="Q586" s="213" t="s">
        <v>4981</v>
      </c>
      <c r="R586" s="213" t="s">
        <v>4982</v>
      </c>
      <c r="S586" s="213" t="s">
        <v>4983</v>
      </c>
      <c r="T586" s="213" t="s">
        <v>4984</v>
      </c>
      <c r="U586" s="213" t="s">
        <v>75675</v>
      </c>
    </row>
    <row r="587" spans="1:21" x14ac:dyDescent="0.25">
      <c r="A587" s="213" t="s">
        <v>327</v>
      </c>
      <c r="D587" s="213" t="s">
        <v>4985</v>
      </c>
      <c r="E587" s="213" t="s">
        <v>4986</v>
      </c>
      <c r="K587" s="213" t="s">
        <v>75514</v>
      </c>
      <c r="L587" s="213" t="s">
        <v>75568</v>
      </c>
      <c r="M587" s="213" t="s">
        <v>75622</v>
      </c>
      <c r="N587" s="213" t="s">
        <v>4987</v>
      </c>
      <c r="O587" s="213" t="s">
        <v>4988</v>
      </c>
      <c r="P587" s="213" t="s">
        <v>4989</v>
      </c>
      <c r="Q587" s="213" t="s">
        <v>4990</v>
      </c>
      <c r="R587" s="213" t="s">
        <v>4991</v>
      </c>
      <c r="S587" s="213" t="s">
        <v>4992</v>
      </c>
      <c r="T587" s="213" t="s">
        <v>4993</v>
      </c>
      <c r="U587" s="213" t="s">
        <v>75676</v>
      </c>
    </row>
    <row r="588" spans="1:21" x14ac:dyDescent="0.25">
      <c r="A588" s="213" t="s">
        <v>327</v>
      </c>
      <c r="D588" s="213" t="s">
        <v>4994</v>
      </c>
      <c r="E588" s="213" t="s">
        <v>4995</v>
      </c>
      <c r="K588" s="213" t="s">
        <v>75515</v>
      </c>
      <c r="L588" s="213" t="s">
        <v>75569</v>
      </c>
      <c r="M588" s="213" t="s">
        <v>75623</v>
      </c>
      <c r="N588" s="213" t="s">
        <v>4996</v>
      </c>
      <c r="O588" s="213" t="s">
        <v>4997</v>
      </c>
      <c r="P588" s="213" t="s">
        <v>4998</v>
      </c>
      <c r="Q588" s="213" t="s">
        <v>4999</v>
      </c>
      <c r="R588" s="213" t="s">
        <v>5000</v>
      </c>
      <c r="S588" s="213" t="s">
        <v>5001</v>
      </c>
      <c r="T588" s="213" t="s">
        <v>5002</v>
      </c>
      <c r="U588" s="213" t="s">
        <v>75677</v>
      </c>
    </row>
    <row r="589" spans="1:21" x14ac:dyDescent="0.25">
      <c r="A589" s="213" t="s">
        <v>327</v>
      </c>
      <c r="D589" s="213" t="s">
        <v>5003</v>
      </c>
      <c r="E589" s="213" t="s">
        <v>5004</v>
      </c>
      <c r="K589" s="213" t="s">
        <v>75516</v>
      </c>
      <c r="L589" s="213" t="s">
        <v>75570</v>
      </c>
      <c r="M589" s="213" t="s">
        <v>75624</v>
      </c>
      <c r="N589" s="213" t="s">
        <v>5005</v>
      </c>
      <c r="O589" s="213" t="s">
        <v>5006</v>
      </c>
      <c r="P589" s="213" t="s">
        <v>5007</v>
      </c>
      <c r="Q589" s="213" t="s">
        <v>5008</v>
      </c>
      <c r="R589" s="213" t="s">
        <v>5009</v>
      </c>
      <c r="S589" s="213" t="s">
        <v>5010</v>
      </c>
      <c r="T589" s="213" t="s">
        <v>5011</v>
      </c>
      <c r="U589" s="213" t="s">
        <v>75678</v>
      </c>
    </row>
    <row r="590" spans="1:21" x14ac:dyDescent="0.25">
      <c r="A590" s="213" t="s">
        <v>327</v>
      </c>
      <c r="D590" s="213" t="s">
        <v>5012</v>
      </c>
      <c r="E590" s="213" t="s">
        <v>5013</v>
      </c>
      <c r="K590" s="213" t="s">
        <v>75517</v>
      </c>
      <c r="L590" s="213" t="s">
        <v>75571</v>
      </c>
      <c r="M590" s="213" t="s">
        <v>75625</v>
      </c>
      <c r="N590" s="213" t="s">
        <v>5014</v>
      </c>
      <c r="O590" s="213" t="s">
        <v>5015</v>
      </c>
      <c r="P590" s="213" t="s">
        <v>5016</v>
      </c>
      <c r="Q590" s="213" t="s">
        <v>5017</v>
      </c>
      <c r="R590" s="213" t="s">
        <v>5018</v>
      </c>
      <c r="S590" s="213" t="s">
        <v>5019</v>
      </c>
      <c r="T590" s="213" t="s">
        <v>5020</v>
      </c>
      <c r="U590" s="213" t="s">
        <v>75679</v>
      </c>
    </row>
    <row r="591" spans="1:21" x14ac:dyDescent="0.25">
      <c r="A591" s="213" t="s">
        <v>327</v>
      </c>
      <c r="D591" s="213" t="s">
        <v>5021</v>
      </c>
      <c r="E591" s="213" t="s">
        <v>5022</v>
      </c>
      <c r="K591" s="213" t="s">
        <v>75518</v>
      </c>
      <c r="L591" s="213" t="s">
        <v>75572</v>
      </c>
      <c r="M591" s="213" t="s">
        <v>75626</v>
      </c>
      <c r="N591" s="213" t="s">
        <v>5023</v>
      </c>
      <c r="O591" s="213" t="s">
        <v>5024</v>
      </c>
      <c r="P591" s="213" t="s">
        <v>5025</v>
      </c>
      <c r="Q591" s="213" t="s">
        <v>5026</v>
      </c>
      <c r="R591" s="213" t="s">
        <v>5027</v>
      </c>
      <c r="S591" s="213" t="s">
        <v>5028</v>
      </c>
      <c r="T591" s="213" t="s">
        <v>5029</v>
      </c>
      <c r="U591" s="213" t="s">
        <v>75680</v>
      </c>
    </row>
    <row r="592" spans="1:21" x14ac:dyDescent="0.25">
      <c r="A592" s="213" t="s">
        <v>327</v>
      </c>
      <c r="D592" s="213" t="s">
        <v>5030</v>
      </c>
      <c r="E592" s="213" t="s">
        <v>5031</v>
      </c>
      <c r="K592" s="213" t="s">
        <v>75519</v>
      </c>
      <c r="L592" s="213" t="s">
        <v>75573</v>
      </c>
      <c r="M592" s="213" t="s">
        <v>75627</v>
      </c>
      <c r="N592" s="213" t="s">
        <v>5032</v>
      </c>
      <c r="O592" s="213" t="s">
        <v>5033</v>
      </c>
      <c r="P592" s="213" t="s">
        <v>5034</v>
      </c>
      <c r="Q592" s="213" t="s">
        <v>5035</v>
      </c>
      <c r="R592" s="213" t="s">
        <v>5036</v>
      </c>
      <c r="S592" s="213" t="s">
        <v>5037</v>
      </c>
      <c r="T592" s="213" t="s">
        <v>5038</v>
      </c>
      <c r="U592" s="213" t="s">
        <v>75681</v>
      </c>
    </row>
    <row r="593" spans="1:21" x14ac:dyDescent="0.25">
      <c r="A593" s="213" t="s">
        <v>327</v>
      </c>
      <c r="D593" s="213" t="s">
        <v>5039</v>
      </c>
      <c r="E593" s="213" t="s">
        <v>5040</v>
      </c>
      <c r="K593" s="213" t="s">
        <v>75520</v>
      </c>
      <c r="L593" s="213" t="s">
        <v>75574</v>
      </c>
      <c r="M593" s="213" t="s">
        <v>75628</v>
      </c>
      <c r="N593" s="213" t="s">
        <v>5041</v>
      </c>
      <c r="O593" s="213" t="s">
        <v>5042</v>
      </c>
      <c r="P593" s="213" t="s">
        <v>5043</v>
      </c>
      <c r="Q593" s="213" t="s">
        <v>5044</v>
      </c>
      <c r="R593" s="213" t="s">
        <v>5045</v>
      </c>
      <c r="S593" s="213" t="s">
        <v>5046</v>
      </c>
      <c r="T593" s="213" t="s">
        <v>5047</v>
      </c>
      <c r="U593" s="213" t="s">
        <v>75682</v>
      </c>
    </row>
    <row r="594" spans="1:21" x14ac:dyDescent="0.25">
      <c r="A594" s="213" t="s">
        <v>327</v>
      </c>
      <c r="D594" s="213" t="s">
        <v>5048</v>
      </c>
      <c r="E594" s="213" t="s">
        <v>5049</v>
      </c>
      <c r="K594" s="213" t="s">
        <v>75521</v>
      </c>
      <c r="L594" s="213" t="s">
        <v>75575</v>
      </c>
      <c r="M594" s="213" t="s">
        <v>75629</v>
      </c>
      <c r="N594" s="213" t="s">
        <v>5050</v>
      </c>
      <c r="O594" s="213" t="s">
        <v>5051</v>
      </c>
      <c r="P594" s="213" t="s">
        <v>5052</v>
      </c>
      <c r="Q594" s="213" t="s">
        <v>5053</v>
      </c>
      <c r="R594" s="213" t="s">
        <v>5054</v>
      </c>
      <c r="S594" s="213" t="s">
        <v>5055</v>
      </c>
      <c r="T594" s="213" t="s">
        <v>5056</v>
      </c>
      <c r="U594" s="213" t="s">
        <v>75683</v>
      </c>
    </row>
    <row r="595" spans="1:21" x14ac:dyDescent="0.25">
      <c r="A595" s="213" t="s">
        <v>327</v>
      </c>
      <c r="D595" s="213" t="s">
        <v>5057</v>
      </c>
      <c r="E595" s="213" t="s">
        <v>5058</v>
      </c>
      <c r="K595" s="213" t="s">
        <v>75522</v>
      </c>
      <c r="L595" s="213" t="s">
        <v>75576</v>
      </c>
      <c r="M595" s="213" t="s">
        <v>75630</v>
      </c>
      <c r="N595" s="213" t="s">
        <v>5059</v>
      </c>
      <c r="O595" s="213" t="s">
        <v>5060</v>
      </c>
      <c r="P595" s="213" t="s">
        <v>5061</v>
      </c>
      <c r="Q595" s="213" t="s">
        <v>5062</v>
      </c>
      <c r="R595" s="213" t="s">
        <v>5063</v>
      </c>
      <c r="S595" s="213" t="s">
        <v>5064</v>
      </c>
      <c r="T595" s="213" t="s">
        <v>5065</v>
      </c>
      <c r="U595" s="213" t="s">
        <v>75684</v>
      </c>
    </row>
    <row r="596" spans="1:21" x14ac:dyDescent="0.25">
      <c r="A596" s="213" t="s">
        <v>327</v>
      </c>
      <c r="D596" s="213" t="s">
        <v>5066</v>
      </c>
      <c r="E596" s="213" t="s">
        <v>5067</v>
      </c>
      <c r="K596" s="213" t="s">
        <v>75523</v>
      </c>
      <c r="L596" s="213" t="s">
        <v>75577</v>
      </c>
      <c r="M596" s="213" t="s">
        <v>75631</v>
      </c>
      <c r="N596" s="213" t="s">
        <v>5068</v>
      </c>
      <c r="O596" s="213" t="s">
        <v>5069</v>
      </c>
      <c r="P596" s="213" t="s">
        <v>5070</v>
      </c>
      <c r="Q596" s="213" t="s">
        <v>5071</v>
      </c>
      <c r="R596" s="213" t="s">
        <v>5072</v>
      </c>
      <c r="S596" s="213" t="s">
        <v>5073</v>
      </c>
      <c r="T596" s="213" t="s">
        <v>5074</v>
      </c>
      <c r="U596" s="213" t="s">
        <v>75685</v>
      </c>
    </row>
    <row r="597" spans="1:21" x14ac:dyDescent="0.25">
      <c r="A597" s="213" t="s">
        <v>327</v>
      </c>
      <c r="D597" s="213" t="s">
        <v>5075</v>
      </c>
      <c r="E597" s="213" t="s">
        <v>5076</v>
      </c>
      <c r="K597" s="213" t="s">
        <v>75524</v>
      </c>
      <c r="L597" s="213" t="s">
        <v>75578</v>
      </c>
      <c r="M597" s="213" t="s">
        <v>75632</v>
      </c>
      <c r="N597" s="213" t="s">
        <v>5077</v>
      </c>
      <c r="O597" s="213" t="s">
        <v>5078</v>
      </c>
      <c r="P597" s="213" t="s">
        <v>5079</v>
      </c>
      <c r="Q597" s="213" t="s">
        <v>5080</v>
      </c>
      <c r="R597" s="213" t="s">
        <v>5081</v>
      </c>
      <c r="S597" s="213" t="s">
        <v>5082</v>
      </c>
      <c r="T597" s="213" t="s">
        <v>5083</v>
      </c>
      <c r="U597" s="213" t="s">
        <v>75686</v>
      </c>
    </row>
    <row r="598" spans="1:21" x14ac:dyDescent="0.25">
      <c r="A598" s="213" t="s">
        <v>327</v>
      </c>
      <c r="D598" s="213" t="s">
        <v>5084</v>
      </c>
      <c r="E598" s="213" t="s">
        <v>5085</v>
      </c>
      <c r="K598" s="213" t="s">
        <v>75525</v>
      </c>
      <c r="L598" s="213" t="s">
        <v>75579</v>
      </c>
      <c r="M598" s="213" t="s">
        <v>75633</v>
      </c>
      <c r="N598" s="213" t="s">
        <v>5086</v>
      </c>
      <c r="O598" s="213" t="s">
        <v>5087</v>
      </c>
      <c r="P598" s="213" t="s">
        <v>5088</v>
      </c>
      <c r="Q598" s="213" t="s">
        <v>5089</v>
      </c>
      <c r="R598" s="213" t="s">
        <v>5090</v>
      </c>
      <c r="S598" s="213" t="s">
        <v>5091</v>
      </c>
      <c r="T598" s="213" t="s">
        <v>5092</v>
      </c>
      <c r="U598" s="213" t="s">
        <v>75687</v>
      </c>
    </row>
    <row r="599" spans="1:21" x14ac:dyDescent="0.25">
      <c r="A599" s="213" t="s">
        <v>327</v>
      </c>
      <c r="D599" s="213" t="s">
        <v>5093</v>
      </c>
      <c r="E599" s="213" t="s">
        <v>5094</v>
      </c>
      <c r="K599" s="213" t="s">
        <v>75526</v>
      </c>
      <c r="L599" s="213" t="s">
        <v>75580</v>
      </c>
      <c r="M599" s="213" t="s">
        <v>75634</v>
      </c>
      <c r="N599" s="213" t="s">
        <v>5095</v>
      </c>
      <c r="O599" s="213" t="s">
        <v>5096</v>
      </c>
      <c r="P599" s="213" t="s">
        <v>5097</v>
      </c>
      <c r="Q599" s="213" t="s">
        <v>5098</v>
      </c>
      <c r="R599" s="213" t="s">
        <v>5099</v>
      </c>
      <c r="S599" s="213" t="s">
        <v>5100</v>
      </c>
      <c r="T599" s="213" t="s">
        <v>5101</v>
      </c>
      <c r="U599" s="213" t="s">
        <v>75688</v>
      </c>
    </row>
    <row r="600" spans="1:21" x14ac:dyDescent="0.25">
      <c r="A600" s="213" t="s">
        <v>327</v>
      </c>
      <c r="D600" s="213" t="s">
        <v>5102</v>
      </c>
      <c r="E600" s="213" t="s">
        <v>5103</v>
      </c>
      <c r="K600" s="213" t="s">
        <v>75527</v>
      </c>
      <c r="L600" s="213" t="s">
        <v>75581</v>
      </c>
      <c r="M600" s="213" t="s">
        <v>75635</v>
      </c>
      <c r="N600" s="213" t="s">
        <v>5104</v>
      </c>
      <c r="O600" s="213" t="s">
        <v>5105</v>
      </c>
      <c r="P600" s="213" t="s">
        <v>5106</v>
      </c>
      <c r="Q600" s="213" t="s">
        <v>5107</v>
      </c>
      <c r="R600" s="213" t="s">
        <v>5108</v>
      </c>
      <c r="S600" s="213" t="s">
        <v>5109</v>
      </c>
      <c r="T600" s="213" t="s">
        <v>5110</v>
      </c>
      <c r="U600" s="213" t="s">
        <v>75689</v>
      </c>
    </row>
    <row r="601" spans="1:21" x14ac:dyDescent="0.25">
      <c r="A601" s="213" t="s">
        <v>327</v>
      </c>
      <c r="D601" s="213" t="s">
        <v>5111</v>
      </c>
      <c r="E601" s="213" t="s">
        <v>5112</v>
      </c>
      <c r="K601" s="213" t="s">
        <v>75528</v>
      </c>
      <c r="L601" s="213" t="s">
        <v>75582</v>
      </c>
      <c r="M601" s="213" t="s">
        <v>75636</v>
      </c>
      <c r="N601" s="213" t="s">
        <v>5113</v>
      </c>
      <c r="O601" s="213" t="s">
        <v>5114</v>
      </c>
      <c r="P601" s="213" t="s">
        <v>5115</v>
      </c>
      <c r="Q601" s="213" t="s">
        <v>5116</v>
      </c>
      <c r="R601" s="213" t="s">
        <v>5117</v>
      </c>
      <c r="S601" s="213" t="s">
        <v>5118</v>
      </c>
      <c r="T601" s="213" t="s">
        <v>5119</v>
      </c>
      <c r="U601" s="213" t="s">
        <v>75690</v>
      </c>
    </row>
    <row r="602" spans="1:21" x14ac:dyDescent="0.25">
      <c r="A602" s="213" t="s">
        <v>327</v>
      </c>
      <c r="D602" s="213" t="s">
        <v>5120</v>
      </c>
      <c r="E602" s="213" t="s">
        <v>5121</v>
      </c>
      <c r="K602" s="213" t="s">
        <v>75529</v>
      </c>
      <c r="L602" s="213" t="s">
        <v>75583</v>
      </c>
      <c r="M602" s="213" t="s">
        <v>75637</v>
      </c>
      <c r="N602" s="213" t="s">
        <v>5122</v>
      </c>
      <c r="O602" s="213" t="s">
        <v>5123</v>
      </c>
      <c r="P602" s="213" t="s">
        <v>5124</v>
      </c>
      <c r="Q602" s="213" t="s">
        <v>5125</v>
      </c>
      <c r="R602" s="213" t="s">
        <v>5126</v>
      </c>
      <c r="S602" s="213" t="s">
        <v>5127</v>
      </c>
      <c r="T602" s="213" t="s">
        <v>5128</v>
      </c>
      <c r="U602" s="213" t="s">
        <v>75691</v>
      </c>
    </row>
    <row r="603" spans="1:21" x14ac:dyDescent="0.25">
      <c r="A603" s="213" t="s">
        <v>327</v>
      </c>
      <c r="D603" s="213" t="s">
        <v>5129</v>
      </c>
      <c r="E603" s="213" t="s">
        <v>5130</v>
      </c>
      <c r="K603" s="213" t="s">
        <v>75530</v>
      </c>
      <c r="L603" s="213" t="s">
        <v>75584</v>
      </c>
      <c r="M603" s="213" t="s">
        <v>75638</v>
      </c>
      <c r="N603" s="213" t="s">
        <v>5131</v>
      </c>
      <c r="O603" s="213" t="s">
        <v>5132</v>
      </c>
      <c r="P603" s="213" t="s">
        <v>5133</v>
      </c>
      <c r="Q603" s="213" t="s">
        <v>5134</v>
      </c>
      <c r="R603" s="213" t="s">
        <v>5135</v>
      </c>
      <c r="S603" s="213" t="s">
        <v>5136</v>
      </c>
      <c r="T603" s="213" t="s">
        <v>5137</v>
      </c>
      <c r="U603" s="213" t="s">
        <v>75692</v>
      </c>
    </row>
    <row r="604" spans="1:21" x14ac:dyDescent="0.25">
      <c r="A604" s="213" t="s">
        <v>327</v>
      </c>
      <c r="D604" s="213" t="s">
        <v>5138</v>
      </c>
      <c r="E604" s="213" t="s">
        <v>5139</v>
      </c>
      <c r="K604" s="213" t="s">
        <v>75531</v>
      </c>
      <c r="L604" s="213" t="s">
        <v>75585</v>
      </c>
      <c r="M604" s="213" t="s">
        <v>75639</v>
      </c>
      <c r="N604" s="213" t="s">
        <v>5140</v>
      </c>
      <c r="O604" s="213" t="s">
        <v>5141</v>
      </c>
      <c r="P604" s="213" t="s">
        <v>5142</v>
      </c>
      <c r="Q604" s="213" t="s">
        <v>5143</v>
      </c>
      <c r="R604" s="213" t="s">
        <v>5144</v>
      </c>
      <c r="S604" s="213" t="s">
        <v>5145</v>
      </c>
      <c r="T604" s="213" t="s">
        <v>5146</v>
      </c>
      <c r="U604" s="213" t="s">
        <v>75693</v>
      </c>
    </row>
    <row r="605" spans="1:21" x14ac:dyDescent="0.25">
      <c r="A605" s="213" t="s">
        <v>327</v>
      </c>
      <c r="D605" s="213" t="s">
        <v>5147</v>
      </c>
      <c r="E605" s="213" t="s">
        <v>5148</v>
      </c>
      <c r="K605" s="213" t="s">
        <v>75532</v>
      </c>
      <c r="L605" s="213" t="s">
        <v>75586</v>
      </c>
      <c r="M605" s="213" t="s">
        <v>75640</v>
      </c>
      <c r="N605" s="213" t="s">
        <v>5149</v>
      </c>
      <c r="O605" s="213" t="s">
        <v>5150</v>
      </c>
      <c r="P605" s="213" t="s">
        <v>5151</v>
      </c>
      <c r="Q605" s="213" t="s">
        <v>5152</v>
      </c>
      <c r="R605" s="213" t="s">
        <v>5153</v>
      </c>
      <c r="S605" s="213" t="s">
        <v>5154</v>
      </c>
      <c r="T605" s="213" t="s">
        <v>5155</v>
      </c>
      <c r="U605" s="213" t="s">
        <v>75694</v>
      </c>
    </row>
    <row r="606" spans="1:21" x14ac:dyDescent="0.25">
      <c r="A606" s="213" t="s">
        <v>327</v>
      </c>
      <c r="D606" s="213" t="s">
        <v>5156</v>
      </c>
      <c r="E606" s="213" t="s">
        <v>5157</v>
      </c>
      <c r="K606" s="213" t="s">
        <v>75533</v>
      </c>
      <c r="L606" s="213" t="s">
        <v>75587</v>
      </c>
      <c r="M606" s="213" t="s">
        <v>75641</v>
      </c>
      <c r="N606" s="213" t="s">
        <v>5158</v>
      </c>
      <c r="O606" s="213" t="s">
        <v>5159</v>
      </c>
      <c r="P606" s="213" t="s">
        <v>5160</v>
      </c>
      <c r="Q606" s="213" t="s">
        <v>5161</v>
      </c>
      <c r="R606" s="213" t="s">
        <v>5162</v>
      </c>
      <c r="S606" s="213" t="s">
        <v>5163</v>
      </c>
      <c r="T606" s="213" t="s">
        <v>5164</v>
      </c>
      <c r="U606" s="213" t="s">
        <v>75695</v>
      </c>
    </row>
    <row r="607" spans="1:21" x14ac:dyDescent="0.25">
      <c r="A607" s="213" t="s">
        <v>327</v>
      </c>
      <c r="D607" s="213" t="s">
        <v>5165</v>
      </c>
      <c r="E607" s="213" t="s">
        <v>5166</v>
      </c>
      <c r="K607" s="213" t="s">
        <v>75534</v>
      </c>
      <c r="L607" s="213" t="s">
        <v>75588</v>
      </c>
      <c r="M607" s="213" t="s">
        <v>75642</v>
      </c>
      <c r="N607" s="213" t="s">
        <v>5167</v>
      </c>
      <c r="O607" s="213" t="s">
        <v>5168</v>
      </c>
      <c r="P607" s="213" t="s">
        <v>5169</v>
      </c>
      <c r="Q607" s="213" t="s">
        <v>5170</v>
      </c>
      <c r="R607" s="213" t="s">
        <v>5171</v>
      </c>
      <c r="S607" s="213" t="s">
        <v>5172</v>
      </c>
      <c r="T607" s="213" t="s">
        <v>5173</v>
      </c>
      <c r="U607" s="213" t="s">
        <v>75696</v>
      </c>
    </row>
    <row r="608" spans="1:21" x14ac:dyDescent="0.25">
      <c r="A608" s="213" t="s">
        <v>327</v>
      </c>
      <c r="D608" s="213" t="s">
        <v>5174</v>
      </c>
      <c r="E608" s="213" t="s">
        <v>5175</v>
      </c>
      <c r="K608" s="213" t="s">
        <v>75535</v>
      </c>
      <c r="L608" s="213" t="s">
        <v>75589</v>
      </c>
      <c r="M608" s="213" t="s">
        <v>75643</v>
      </c>
      <c r="N608" s="213" t="s">
        <v>5176</v>
      </c>
      <c r="O608" s="213" t="s">
        <v>5177</v>
      </c>
      <c r="P608" s="213" t="s">
        <v>5178</v>
      </c>
      <c r="Q608" s="213" t="s">
        <v>5179</v>
      </c>
      <c r="R608" s="213" t="s">
        <v>5180</v>
      </c>
      <c r="S608" s="213" t="s">
        <v>5181</v>
      </c>
      <c r="T608" s="213" t="s">
        <v>5182</v>
      </c>
      <c r="U608" s="213" t="s">
        <v>75697</v>
      </c>
    </row>
    <row r="609" spans="1:21" x14ac:dyDescent="0.25">
      <c r="A609" s="213" t="s">
        <v>327</v>
      </c>
      <c r="D609" s="213" t="s">
        <v>5183</v>
      </c>
      <c r="E609" s="213" t="s">
        <v>5184</v>
      </c>
      <c r="K609" s="213" t="s">
        <v>75536</v>
      </c>
      <c r="L609" s="213" t="s">
        <v>75590</v>
      </c>
      <c r="M609" s="213" t="s">
        <v>75644</v>
      </c>
      <c r="N609" s="213" t="s">
        <v>5185</v>
      </c>
      <c r="O609" s="213" t="s">
        <v>5186</v>
      </c>
      <c r="P609" s="213" t="s">
        <v>5187</v>
      </c>
      <c r="Q609" s="213" t="s">
        <v>5188</v>
      </c>
      <c r="R609" s="213" t="s">
        <v>5189</v>
      </c>
      <c r="S609" s="213" t="s">
        <v>5190</v>
      </c>
      <c r="T609" s="213" t="s">
        <v>5191</v>
      </c>
      <c r="U609" s="213" t="s">
        <v>75698</v>
      </c>
    </row>
    <row r="610" spans="1:21" x14ac:dyDescent="0.25">
      <c r="A610" s="213" t="s">
        <v>327</v>
      </c>
      <c r="D610" s="213" t="s">
        <v>5192</v>
      </c>
      <c r="E610" s="213" t="s">
        <v>5193</v>
      </c>
      <c r="K610" s="213" t="s">
        <v>75537</v>
      </c>
      <c r="L610" s="213" t="s">
        <v>75591</v>
      </c>
      <c r="M610" s="213" t="s">
        <v>75645</v>
      </c>
      <c r="N610" s="213" t="s">
        <v>5194</v>
      </c>
      <c r="O610" s="213" t="s">
        <v>5195</v>
      </c>
      <c r="P610" s="213" t="s">
        <v>5196</v>
      </c>
      <c r="Q610" s="213" t="s">
        <v>5197</v>
      </c>
      <c r="R610" s="213" t="s">
        <v>5198</v>
      </c>
      <c r="S610" s="213" t="s">
        <v>5199</v>
      </c>
      <c r="T610" s="213" t="s">
        <v>5200</v>
      </c>
      <c r="U610" s="213" t="s">
        <v>75699</v>
      </c>
    </row>
    <row r="611" spans="1:21" x14ac:dyDescent="0.25">
      <c r="A611" s="213" t="s">
        <v>327</v>
      </c>
      <c r="D611" s="213" t="s">
        <v>5201</v>
      </c>
      <c r="E611" s="213" t="s">
        <v>5202</v>
      </c>
      <c r="K611" s="213" t="s">
        <v>75538</v>
      </c>
      <c r="L611" s="213" t="s">
        <v>75592</v>
      </c>
      <c r="M611" s="213" t="s">
        <v>75646</v>
      </c>
      <c r="N611" s="213" t="s">
        <v>5203</v>
      </c>
      <c r="O611" s="213" t="s">
        <v>5204</v>
      </c>
      <c r="P611" s="213" t="s">
        <v>5205</v>
      </c>
      <c r="Q611" s="213" t="s">
        <v>5206</v>
      </c>
      <c r="R611" s="213" t="s">
        <v>5207</v>
      </c>
      <c r="S611" s="213" t="s">
        <v>5208</v>
      </c>
      <c r="T611" s="213" t="s">
        <v>5209</v>
      </c>
      <c r="U611" s="213" t="s">
        <v>75700</v>
      </c>
    </row>
    <row r="612" spans="1:21" x14ac:dyDescent="0.25">
      <c r="A612" s="213" t="s">
        <v>327</v>
      </c>
      <c r="D612" s="213" t="s">
        <v>5210</v>
      </c>
      <c r="E612" s="213" t="s">
        <v>5211</v>
      </c>
      <c r="K612" s="213" t="s">
        <v>75539</v>
      </c>
      <c r="L612" s="213" t="s">
        <v>75593</v>
      </c>
      <c r="M612" s="213" t="s">
        <v>75647</v>
      </c>
      <c r="N612" s="213" t="s">
        <v>5212</v>
      </c>
      <c r="O612" s="213" t="s">
        <v>5213</v>
      </c>
      <c r="P612" s="213" t="s">
        <v>5214</v>
      </c>
      <c r="Q612" s="213" t="s">
        <v>5215</v>
      </c>
      <c r="R612" s="213" t="s">
        <v>5216</v>
      </c>
      <c r="S612" s="213" t="s">
        <v>5217</v>
      </c>
      <c r="T612" s="213" t="s">
        <v>5218</v>
      </c>
      <c r="U612" s="213" t="s">
        <v>75701</v>
      </c>
    </row>
    <row r="613" spans="1:21" x14ac:dyDescent="0.25">
      <c r="A613" s="213" t="s">
        <v>327</v>
      </c>
      <c r="D613" s="213" t="s">
        <v>5219</v>
      </c>
      <c r="E613" s="213" t="s">
        <v>5220</v>
      </c>
      <c r="K613" s="213" t="s">
        <v>75540</v>
      </c>
      <c r="L613" s="213" t="s">
        <v>75594</v>
      </c>
      <c r="M613" s="213" t="s">
        <v>75648</v>
      </c>
      <c r="N613" s="213" t="s">
        <v>5221</v>
      </c>
      <c r="O613" s="213" t="s">
        <v>5222</v>
      </c>
      <c r="P613" s="213" t="s">
        <v>5223</v>
      </c>
      <c r="Q613" s="213" t="s">
        <v>5224</v>
      </c>
      <c r="R613" s="213" t="s">
        <v>5225</v>
      </c>
      <c r="S613" s="213" t="s">
        <v>5226</v>
      </c>
      <c r="T613" s="213" t="s">
        <v>5227</v>
      </c>
      <c r="U613" s="213" t="s">
        <v>75702</v>
      </c>
    </row>
    <row r="614" spans="1:21" x14ac:dyDescent="0.25">
      <c r="A614" s="213" t="s">
        <v>327</v>
      </c>
      <c r="D614" s="213" t="s">
        <v>5228</v>
      </c>
      <c r="E614" s="213" t="s">
        <v>5229</v>
      </c>
      <c r="K614" s="213" t="s">
        <v>75541</v>
      </c>
      <c r="L614" s="213" t="s">
        <v>75595</v>
      </c>
      <c r="M614" s="213" t="s">
        <v>75649</v>
      </c>
      <c r="N614" s="213" t="s">
        <v>5230</v>
      </c>
      <c r="O614" s="213" t="s">
        <v>5231</v>
      </c>
      <c r="P614" s="213" t="s">
        <v>5232</v>
      </c>
      <c r="Q614" s="213" t="s">
        <v>5233</v>
      </c>
      <c r="R614" s="213" t="s">
        <v>5234</v>
      </c>
      <c r="S614" s="213" t="s">
        <v>5235</v>
      </c>
      <c r="T614" s="213" t="s">
        <v>5236</v>
      </c>
      <c r="U614" s="213" t="s">
        <v>75703</v>
      </c>
    </row>
    <row r="615" spans="1:21" x14ac:dyDescent="0.25">
      <c r="A615" s="213" t="s">
        <v>327</v>
      </c>
      <c r="D615" s="213" t="s">
        <v>5237</v>
      </c>
      <c r="E615" s="213" t="s">
        <v>5238</v>
      </c>
      <c r="K615" s="213" t="s">
        <v>75542</v>
      </c>
      <c r="L615" s="213" t="s">
        <v>75596</v>
      </c>
      <c r="M615" s="213" t="s">
        <v>75650</v>
      </c>
      <c r="N615" s="213" t="s">
        <v>5239</v>
      </c>
      <c r="O615" s="213" t="s">
        <v>5240</v>
      </c>
      <c r="P615" s="213" t="s">
        <v>5241</v>
      </c>
      <c r="Q615" s="213" t="s">
        <v>5242</v>
      </c>
      <c r="R615" s="213" t="s">
        <v>5243</v>
      </c>
      <c r="S615" s="213" t="s">
        <v>5244</v>
      </c>
      <c r="T615" s="213" t="s">
        <v>5245</v>
      </c>
      <c r="U615" s="213" t="s">
        <v>75704</v>
      </c>
    </row>
    <row r="616" spans="1:21" x14ac:dyDescent="0.25">
      <c r="A616" s="213" t="s">
        <v>327</v>
      </c>
      <c r="D616" s="213" t="s">
        <v>5246</v>
      </c>
      <c r="E616" s="213" t="s">
        <v>5247</v>
      </c>
      <c r="K616" s="213" t="s">
        <v>75543</v>
      </c>
      <c r="L616" s="213" t="s">
        <v>75597</v>
      </c>
      <c r="M616" s="213" t="s">
        <v>75651</v>
      </c>
      <c r="N616" s="213" t="s">
        <v>5248</v>
      </c>
      <c r="O616" s="213" t="s">
        <v>5249</v>
      </c>
      <c r="P616" s="213" t="s">
        <v>5250</v>
      </c>
      <c r="Q616" s="213" t="s">
        <v>5251</v>
      </c>
      <c r="R616" s="213" t="s">
        <v>5252</v>
      </c>
      <c r="S616" s="213" t="s">
        <v>5253</v>
      </c>
      <c r="T616" s="213" t="s">
        <v>5254</v>
      </c>
      <c r="U616" s="213" t="s">
        <v>75705</v>
      </c>
    </row>
    <row r="617" spans="1:21" x14ac:dyDescent="0.25">
      <c r="A617" s="213" t="s">
        <v>327</v>
      </c>
      <c r="D617" s="213" t="s">
        <v>5255</v>
      </c>
      <c r="E617" s="213" t="s">
        <v>5256</v>
      </c>
      <c r="K617" s="213" t="s">
        <v>75544</v>
      </c>
      <c r="L617" s="213" t="s">
        <v>75598</v>
      </c>
      <c r="M617" s="213" t="s">
        <v>75652</v>
      </c>
      <c r="N617" s="213" t="s">
        <v>5257</v>
      </c>
      <c r="O617" s="213" t="s">
        <v>5258</v>
      </c>
      <c r="P617" s="213" t="s">
        <v>5259</v>
      </c>
      <c r="Q617" s="213" t="s">
        <v>5260</v>
      </c>
      <c r="R617" s="213" t="s">
        <v>5261</v>
      </c>
      <c r="S617" s="213" t="s">
        <v>5262</v>
      </c>
      <c r="T617" s="213" t="s">
        <v>5263</v>
      </c>
      <c r="U617" s="213" t="s">
        <v>75706</v>
      </c>
    </row>
    <row r="618" spans="1:21" x14ac:dyDescent="0.25">
      <c r="A618" s="213" t="s">
        <v>327</v>
      </c>
      <c r="D618" s="213" t="s">
        <v>5264</v>
      </c>
      <c r="E618" s="213" t="s">
        <v>5265</v>
      </c>
      <c r="K618" s="213" t="s">
        <v>75545</v>
      </c>
      <c r="L618" s="213" t="s">
        <v>75599</v>
      </c>
      <c r="M618" s="213" t="s">
        <v>75653</v>
      </c>
      <c r="N618" s="213" t="s">
        <v>5266</v>
      </c>
      <c r="O618" s="213" t="s">
        <v>5267</v>
      </c>
      <c r="P618" s="213" t="s">
        <v>5268</v>
      </c>
      <c r="Q618" s="213" t="s">
        <v>5269</v>
      </c>
      <c r="R618" s="213" t="s">
        <v>5270</v>
      </c>
      <c r="S618" s="213" t="s">
        <v>5271</v>
      </c>
      <c r="T618" s="213" t="s">
        <v>5272</v>
      </c>
      <c r="U618" s="213" t="s">
        <v>75707</v>
      </c>
    </row>
    <row r="619" spans="1:21" x14ac:dyDescent="0.25">
      <c r="A619" s="213" t="s">
        <v>327</v>
      </c>
      <c r="D619" s="213" t="s">
        <v>5273</v>
      </c>
      <c r="E619" s="213" t="s">
        <v>5274</v>
      </c>
      <c r="K619" s="213" t="s">
        <v>75546</v>
      </c>
      <c r="L619" s="213" t="s">
        <v>75600</v>
      </c>
      <c r="M619" s="213" t="s">
        <v>75654</v>
      </c>
      <c r="N619" s="213" t="s">
        <v>5275</v>
      </c>
      <c r="O619" s="213" t="s">
        <v>5276</v>
      </c>
      <c r="P619" s="213" t="s">
        <v>5277</v>
      </c>
      <c r="Q619" s="213" t="s">
        <v>5278</v>
      </c>
      <c r="R619" s="213" t="s">
        <v>5279</v>
      </c>
      <c r="S619" s="213" t="s">
        <v>5280</v>
      </c>
      <c r="T619" s="213" t="s">
        <v>5281</v>
      </c>
      <c r="U619" s="213" t="s">
        <v>75708</v>
      </c>
    </row>
    <row r="620" spans="1:21" x14ac:dyDescent="0.25">
      <c r="A620" s="213" t="s">
        <v>327</v>
      </c>
      <c r="D620" s="213" t="s">
        <v>5282</v>
      </c>
      <c r="E620" s="213" t="s">
        <v>5283</v>
      </c>
      <c r="K620" s="213" t="s">
        <v>75547</v>
      </c>
      <c r="L620" s="213" t="s">
        <v>75601</v>
      </c>
      <c r="M620" s="213" t="s">
        <v>75655</v>
      </c>
      <c r="N620" s="213" t="s">
        <v>5284</v>
      </c>
      <c r="O620" s="213" t="s">
        <v>5285</v>
      </c>
      <c r="P620" s="213" t="s">
        <v>5286</v>
      </c>
      <c r="Q620" s="213" t="s">
        <v>5287</v>
      </c>
      <c r="R620" s="213" t="s">
        <v>5288</v>
      </c>
      <c r="S620" s="213" t="s">
        <v>5289</v>
      </c>
      <c r="T620" s="213" t="s">
        <v>5290</v>
      </c>
      <c r="U620" s="213" t="s">
        <v>75709</v>
      </c>
    </row>
    <row r="621" spans="1:21" x14ac:dyDescent="0.25">
      <c r="A621" s="213" t="s">
        <v>327</v>
      </c>
    </row>
    <row r="622" spans="1:21" x14ac:dyDescent="0.25">
      <c r="A622" s="213" t="s">
        <v>327</v>
      </c>
    </row>
    <row r="623" spans="1:21" x14ac:dyDescent="0.25">
      <c r="A623" s="213" t="s">
        <v>327</v>
      </c>
      <c r="C623" s="213" t="s">
        <v>5291</v>
      </c>
      <c r="E623" s="213" t="s">
        <v>5292</v>
      </c>
      <c r="H623" s="213" t="s">
        <v>5293</v>
      </c>
      <c r="I623" s="213" t="s">
        <v>5294</v>
      </c>
      <c r="J623" s="213" t="s">
        <v>5295</v>
      </c>
      <c r="L623" s="213" t="s">
        <v>5296</v>
      </c>
      <c r="O623" s="213" t="s">
        <v>5297</v>
      </c>
      <c r="P623" s="213" t="s">
        <v>5298</v>
      </c>
      <c r="Q623" s="213" t="s">
        <v>5299</v>
      </c>
      <c r="R623" s="213" t="s">
        <v>5300</v>
      </c>
      <c r="S623" s="213" t="s">
        <v>5301</v>
      </c>
      <c r="T623" s="213" t="s">
        <v>5302</v>
      </c>
    </row>
    <row r="624" spans="1:21" x14ac:dyDescent="0.25">
      <c r="A624" s="213" t="s">
        <v>327</v>
      </c>
      <c r="C624" s="213" t="s">
        <v>5303</v>
      </c>
      <c r="E624" s="213" t="s">
        <v>5304</v>
      </c>
      <c r="I624" s="213" t="s">
        <v>5305</v>
      </c>
    </row>
    <row r="625" spans="1:21" x14ac:dyDescent="0.25">
      <c r="A625" s="213" t="s">
        <v>327</v>
      </c>
      <c r="C625" s="213" t="s">
        <v>5306</v>
      </c>
      <c r="E625" s="213" t="s">
        <v>5307</v>
      </c>
      <c r="I625" s="213" t="s">
        <v>5308</v>
      </c>
    </row>
    <row r="626" spans="1:21" x14ac:dyDescent="0.25">
      <c r="A626" s="213" t="s">
        <v>328</v>
      </c>
    </row>
    <row r="627" spans="1:21" x14ac:dyDescent="0.25">
      <c r="A627" s="213" t="s">
        <v>327</v>
      </c>
      <c r="D627" s="213" t="s">
        <v>5309</v>
      </c>
      <c r="E627" s="213" t="s">
        <v>5310</v>
      </c>
      <c r="K627" s="213" t="s">
        <v>75230</v>
      </c>
      <c r="L627" s="213" t="s">
        <v>75296</v>
      </c>
      <c r="M627" s="213" t="s">
        <v>75362</v>
      </c>
      <c r="N627" s="213" t="s">
        <v>5311</v>
      </c>
      <c r="O627" s="213" t="s">
        <v>5312</v>
      </c>
      <c r="P627" s="213" t="s">
        <v>5313</v>
      </c>
      <c r="Q627" s="213" t="s">
        <v>5314</v>
      </c>
      <c r="R627" s="213" t="s">
        <v>5315</v>
      </c>
      <c r="S627" s="213" t="s">
        <v>5316</v>
      </c>
      <c r="T627" s="213" t="s">
        <v>5317</v>
      </c>
      <c r="U627" s="213" t="s">
        <v>75428</v>
      </c>
    </row>
    <row r="628" spans="1:21" x14ac:dyDescent="0.25">
      <c r="A628" s="213" t="s">
        <v>327</v>
      </c>
      <c r="D628" s="213" t="s">
        <v>5318</v>
      </c>
      <c r="E628" s="213" t="s">
        <v>5319</v>
      </c>
      <c r="K628" s="213" t="s">
        <v>75231</v>
      </c>
      <c r="L628" s="213" t="s">
        <v>75297</v>
      </c>
      <c r="M628" s="213" t="s">
        <v>75363</v>
      </c>
      <c r="N628" s="213" t="s">
        <v>5320</v>
      </c>
      <c r="O628" s="213" t="s">
        <v>5321</v>
      </c>
      <c r="P628" s="213" t="s">
        <v>5322</v>
      </c>
      <c r="Q628" s="213" t="s">
        <v>5323</v>
      </c>
      <c r="R628" s="213" t="s">
        <v>5324</v>
      </c>
      <c r="S628" s="213" t="s">
        <v>5325</v>
      </c>
      <c r="T628" s="213" t="s">
        <v>5326</v>
      </c>
      <c r="U628" s="213" t="s">
        <v>75429</v>
      </c>
    </row>
    <row r="629" spans="1:21" x14ac:dyDescent="0.25">
      <c r="A629" s="213" t="s">
        <v>327</v>
      </c>
      <c r="D629" s="213" t="s">
        <v>5327</v>
      </c>
      <c r="E629" s="213" t="s">
        <v>5328</v>
      </c>
      <c r="K629" s="213" t="s">
        <v>75232</v>
      </c>
      <c r="L629" s="213" t="s">
        <v>75298</v>
      </c>
      <c r="M629" s="213" t="s">
        <v>75364</v>
      </c>
      <c r="N629" s="213" t="s">
        <v>5329</v>
      </c>
      <c r="O629" s="213" t="s">
        <v>5330</v>
      </c>
      <c r="P629" s="213" t="s">
        <v>5331</v>
      </c>
      <c r="Q629" s="213" t="s">
        <v>5332</v>
      </c>
      <c r="R629" s="213" t="s">
        <v>5333</v>
      </c>
      <c r="S629" s="213" t="s">
        <v>5334</v>
      </c>
      <c r="T629" s="213" t="s">
        <v>5335</v>
      </c>
      <c r="U629" s="213" t="s">
        <v>75430</v>
      </c>
    </row>
    <row r="630" spans="1:21" x14ac:dyDescent="0.25">
      <c r="A630" s="213" t="s">
        <v>327</v>
      </c>
      <c r="D630" s="213" t="s">
        <v>5336</v>
      </c>
      <c r="E630" s="213" t="s">
        <v>5337</v>
      </c>
      <c r="K630" s="213" t="s">
        <v>75233</v>
      </c>
      <c r="L630" s="213" t="s">
        <v>75299</v>
      </c>
      <c r="M630" s="213" t="s">
        <v>75365</v>
      </c>
      <c r="N630" s="213" t="s">
        <v>5338</v>
      </c>
      <c r="O630" s="213" t="s">
        <v>5339</v>
      </c>
      <c r="P630" s="213" t="s">
        <v>5340</v>
      </c>
      <c r="Q630" s="213" t="s">
        <v>5341</v>
      </c>
      <c r="R630" s="213" t="s">
        <v>5342</v>
      </c>
      <c r="S630" s="213" t="s">
        <v>5343</v>
      </c>
      <c r="T630" s="213" t="s">
        <v>5344</v>
      </c>
      <c r="U630" s="213" t="s">
        <v>75431</v>
      </c>
    </row>
    <row r="631" spans="1:21" x14ac:dyDescent="0.25">
      <c r="A631" s="213" t="s">
        <v>327</v>
      </c>
      <c r="D631" s="213" t="s">
        <v>5345</v>
      </c>
      <c r="E631" s="213" t="s">
        <v>5346</v>
      </c>
      <c r="K631" s="213" t="s">
        <v>75234</v>
      </c>
      <c r="L631" s="213" t="s">
        <v>75300</v>
      </c>
      <c r="M631" s="213" t="s">
        <v>75366</v>
      </c>
      <c r="N631" s="213" t="s">
        <v>5347</v>
      </c>
      <c r="O631" s="213" t="s">
        <v>5348</v>
      </c>
      <c r="P631" s="213" t="s">
        <v>5349</v>
      </c>
      <c r="Q631" s="213" t="s">
        <v>5350</v>
      </c>
      <c r="R631" s="213" t="s">
        <v>5351</v>
      </c>
      <c r="S631" s="213" t="s">
        <v>5352</v>
      </c>
      <c r="T631" s="213" t="s">
        <v>5353</v>
      </c>
      <c r="U631" s="213" t="s">
        <v>75432</v>
      </c>
    </row>
    <row r="632" spans="1:21" x14ac:dyDescent="0.25">
      <c r="A632" s="213" t="s">
        <v>327</v>
      </c>
      <c r="D632" s="213" t="s">
        <v>5354</v>
      </c>
      <c r="E632" s="213" t="s">
        <v>5355</v>
      </c>
      <c r="K632" s="213" t="s">
        <v>75235</v>
      </c>
      <c r="L632" s="213" t="s">
        <v>75301</v>
      </c>
      <c r="M632" s="213" t="s">
        <v>75367</v>
      </c>
      <c r="N632" s="213" t="s">
        <v>5356</v>
      </c>
      <c r="O632" s="213" t="s">
        <v>5357</v>
      </c>
      <c r="P632" s="213" t="s">
        <v>5358</v>
      </c>
      <c r="Q632" s="213" t="s">
        <v>5359</v>
      </c>
      <c r="R632" s="213" t="s">
        <v>5360</v>
      </c>
      <c r="S632" s="213" t="s">
        <v>5361</v>
      </c>
      <c r="T632" s="213" t="s">
        <v>5362</v>
      </c>
      <c r="U632" s="213" t="s">
        <v>75433</v>
      </c>
    </row>
    <row r="633" spans="1:21" x14ac:dyDescent="0.25">
      <c r="A633" s="213" t="s">
        <v>327</v>
      </c>
      <c r="D633" s="213" t="s">
        <v>5363</v>
      </c>
      <c r="E633" s="213" t="s">
        <v>5364</v>
      </c>
      <c r="K633" s="213" t="s">
        <v>75236</v>
      </c>
      <c r="L633" s="213" t="s">
        <v>75302</v>
      </c>
      <c r="M633" s="213" t="s">
        <v>75368</v>
      </c>
      <c r="N633" s="213" t="s">
        <v>5365</v>
      </c>
      <c r="O633" s="213" t="s">
        <v>5366</v>
      </c>
      <c r="P633" s="213" t="s">
        <v>5367</v>
      </c>
      <c r="Q633" s="213" t="s">
        <v>5368</v>
      </c>
      <c r="R633" s="213" t="s">
        <v>5369</v>
      </c>
      <c r="S633" s="213" t="s">
        <v>5370</v>
      </c>
      <c r="T633" s="213" t="s">
        <v>5371</v>
      </c>
      <c r="U633" s="213" t="s">
        <v>75434</v>
      </c>
    </row>
    <row r="634" spans="1:21" x14ac:dyDescent="0.25">
      <c r="A634" s="213" t="s">
        <v>327</v>
      </c>
      <c r="D634" s="213" t="s">
        <v>5372</v>
      </c>
      <c r="E634" s="213" t="s">
        <v>5373</v>
      </c>
      <c r="K634" s="213" t="s">
        <v>75237</v>
      </c>
      <c r="L634" s="213" t="s">
        <v>75303</v>
      </c>
      <c r="M634" s="213" t="s">
        <v>75369</v>
      </c>
      <c r="N634" s="213" t="s">
        <v>5374</v>
      </c>
      <c r="O634" s="213" t="s">
        <v>5375</v>
      </c>
      <c r="P634" s="213" t="s">
        <v>5376</v>
      </c>
      <c r="Q634" s="213" t="s">
        <v>5377</v>
      </c>
      <c r="R634" s="213" t="s">
        <v>5378</v>
      </c>
      <c r="S634" s="213" t="s">
        <v>5379</v>
      </c>
      <c r="T634" s="213" t="s">
        <v>5380</v>
      </c>
      <c r="U634" s="213" t="s">
        <v>75435</v>
      </c>
    </row>
    <row r="635" spans="1:21" x14ac:dyDescent="0.25">
      <c r="A635" s="213" t="s">
        <v>327</v>
      </c>
      <c r="D635" s="213" t="s">
        <v>5381</v>
      </c>
      <c r="E635" s="213" t="s">
        <v>5382</v>
      </c>
      <c r="K635" s="213" t="s">
        <v>75238</v>
      </c>
      <c r="L635" s="213" t="s">
        <v>75304</v>
      </c>
      <c r="M635" s="213" t="s">
        <v>75370</v>
      </c>
      <c r="N635" s="213" t="s">
        <v>5383</v>
      </c>
      <c r="O635" s="213" t="s">
        <v>5384</v>
      </c>
      <c r="P635" s="213" t="s">
        <v>5385</v>
      </c>
      <c r="Q635" s="213" t="s">
        <v>5386</v>
      </c>
      <c r="R635" s="213" t="s">
        <v>5387</v>
      </c>
      <c r="S635" s="213" t="s">
        <v>5388</v>
      </c>
      <c r="T635" s="213" t="s">
        <v>5389</v>
      </c>
      <c r="U635" s="213" t="s">
        <v>75436</v>
      </c>
    </row>
    <row r="636" spans="1:21" x14ac:dyDescent="0.25">
      <c r="A636" s="213" t="s">
        <v>327</v>
      </c>
      <c r="D636" s="213" t="s">
        <v>5390</v>
      </c>
      <c r="E636" s="213" t="s">
        <v>5391</v>
      </c>
      <c r="K636" s="213" t="s">
        <v>75239</v>
      </c>
      <c r="L636" s="213" t="s">
        <v>75305</v>
      </c>
      <c r="M636" s="213" t="s">
        <v>75371</v>
      </c>
      <c r="N636" s="213" t="s">
        <v>5392</v>
      </c>
      <c r="O636" s="213" t="s">
        <v>5393</v>
      </c>
      <c r="P636" s="213" t="s">
        <v>5394</v>
      </c>
      <c r="Q636" s="213" t="s">
        <v>5395</v>
      </c>
      <c r="R636" s="213" t="s">
        <v>5396</v>
      </c>
      <c r="S636" s="213" t="s">
        <v>5397</v>
      </c>
      <c r="T636" s="213" t="s">
        <v>5398</v>
      </c>
      <c r="U636" s="213" t="s">
        <v>75437</v>
      </c>
    </row>
    <row r="637" spans="1:21" x14ac:dyDescent="0.25">
      <c r="A637" s="213" t="s">
        <v>327</v>
      </c>
      <c r="D637" s="213" t="s">
        <v>5399</v>
      </c>
      <c r="E637" s="213" t="s">
        <v>5400</v>
      </c>
      <c r="K637" s="213" t="s">
        <v>75240</v>
      </c>
      <c r="L637" s="213" t="s">
        <v>75306</v>
      </c>
      <c r="M637" s="213" t="s">
        <v>75372</v>
      </c>
      <c r="N637" s="213" t="s">
        <v>5401</v>
      </c>
      <c r="O637" s="213" t="s">
        <v>5402</v>
      </c>
      <c r="P637" s="213" t="s">
        <v>5403</v>
      </c>
      <c r="Q637" s="213" t="s">
        <v>5404</v>
      </c>
      <c r="R637" s="213" t="s">
        <v>5405</v>
      </c>
      <c r="S637" s="213" t="s">
        <v>5406</v>
      </c>
      <c r="T637" s="213" t="s">
        <v>5407</v>
      </c>
      <c r="U637" s="213" t="s">
        <v>75438</v>
      </c>
    </row>
    <row r="638" spans="1:21" x14ac:dyDescent="0.25">
      <c r="A638" s="213" t="s">
        <v>327</v>
      </c>
      <c r="D638" s="213" t="s">
        <v>5408</v>
      </c>
      <c r="E638" s="213" t="s">
        <v>5409</v>
      </c>
      <c r="K638" s="213" t="s">
        <v>75241</v>
      </c>
      <c r="L638" s="213" t="s">
        <v>75307</v>
      </c>
      <c r="M638" s="213" t="s">
        <v>75373</v>
      </c>
      <c r="N638" s="213" t="s">
        <v>5410</v>
      </c>
      <c r="O638" s="213" t="s">
        <v>5411</v>
      </c>
      <c r="P638" s="213" t="s">
        <v>5412</v>
      </c>
      <c r="Q638" s="213" t="s">
        <v>5413</v>
      </c>
      <c r="R638" s="213" t="s">
        <v>5414</v>
      </c>
      <c r="S638" s="213" t="s">
        <v>5415</v>
      </c>
      <c r="T638" s="213" t="s">
        <v>5416</v>
      </c>
      <c r="U638" s="213" t="s">
        <v>75439</v>
      </c>
    </row>
    <row r="639" spans="1:21" x14ac:dyDescent="0.25">
      <c r="A639" s="213" t="s">
        <v>327</v>
      </c>
      <c r="D639" s="213" t="s">
        <v>5417</v>
      </c>
      <c r="E639" s="213" t="s">
        <v>5418</v>
      </c>
      <c r="K639" s="213" t="s">
        <v>75242</v>
      </c>
      <c r="L639" s="213" t="s">
        <v>75308</v>
      </c>
      <c r="M639" s="213" t="s">
        <v>75374</v>
      </c>
      <c r="N639" s="213" t="s">
        <v>5419</v>
      </c>
      <c r="O639" s="213" t="s">
        <v>5420</v>
      </c>
      <c r="P639" s="213" t="s">
        <v>5421</v>
      </c>
      <c r="Q639" s="213" t="s">
        <v>5422</v>
      </c>
      <c r="R639" s="213" t="s">
        <v>5423</v>
      </c>
      <c r="S639" s="213" t="s">
        <v>5424</v>
      </c>
      <c r="T639" s="213" t="s">
        <v>5425</v>
      </c>
      <c r="U639" s="213" t="s">
        <v>75440</v>
      </c>
    </row>
    <row r="640" spans="1:21" x14ac:dyDescent="0.25">
      <c r="A640" s="213" t="s">
        <v>327</v>
      </c>
      <c r="D640" s="213" t="s">
        <v>5426</v>
      </c>
      <c r="E640" s="213" t="s">
        <v>5427</v>
      </c>
      <c r="K640" s="213" t="s">
        <v>75243</v>
      </c>
      <c r="L640" s="213" t="s">
        <v>75309</v>
      </c>
      <c r="M640" s="213" t="s">
        <v>75375</v>
      </c>
      <c r="N640" s="213" t="s">
        <v>5428</v>
      </c>
      <c r="O640" s="213" t="s">
        <v>5429</v>
      </c>
      <c r="P640" s="213" t="s">
        <v>5430</v>
      </c>
      <c r="Q640" s="213" t="s">
        <v>5431</v>
      </c>
      <c r="R640" s="213" t="s">
        <v>5432</v>
      </c>
      <c r="S640" s="213" t="s">
        <v>5433</v>
      </c>
      <c r="T640" s="213" t="s">
        <v>5434</v>
      </c>
      <c r="U640" s="213" t="s">
        <v>75441</v>
      </c>
    </row>
    <row r="641" spans="1:21" x14ac:dyDescent="0.25">
      <c r="A641" s="213" t="s">
        <v>327</v>
      </c>
      <c r="D641" s="213" t="s">
        <v>5435</v>
      </c>
      <c r="E641" s="213" t="s">
        <v>5436</v>
      </c>
      <c r="K641" s="213" t="s">
        <v>75244</v>
      </c>
      <c r="L641" s="213" t="s">
        <v>75310</v>
      </c>
      <c r="M641" s="213" t="s">
        <v>75376</v>
      </c>
      <c r="N641" s="213" t="s">
        <v>5437</v>
      </c>
      <c r="O641" s="213" t="s">
        <v>5438</v>
      </c>
      <c r="P641" s="213" t="s">
        <v>5439</v>
      </c>
      <c r="Q641" s="213" t="s">
        <v>5440</v>
      </c>
      <c r="R641" s="213" t="s">
        <v>5441</v>
      </c>
      <c r="S641" s="213" t="s">
        <v>5442</v>
      </c>
      <c r="T641" s="213" t="s">
        <v>5443</v>
      </c>
      <c r="U641" s="213" t="s">
        <v>75442</v>
      </c>
    </row>
    <row r="642" spans="1:21" x14ac:dyDescent="0.25">
      <c r="A642" s="213" t="s">
        <v>327</v>
      </c>
      <c r="D642" s="213" t="s">
        <v>5444</v>
      </c>
      <c r="E642" s="213" t="s">
        <v>5445</v>
      </c>
      <c r="K642" s="213" t="s">
        <v>75245</v>
      </c>
      <c r="L642" s="213" t="s">
        <v>75311</v>
      </c>
      <c r="M642" s="213" t="s">
        <v>75377</v>
      </c>
      <c r="N642" s="213" t="s">
        <v>5446</v>
      </c>
      <c r="O642" s="213" t="s">
        <v>5447</v>
      </c>
      <c r="P642" s="213" t="s">
        <v>5448</v>
      </c>
      <c r="Q642" s="213" t="s">
        <v>5449</v>
      </c>
      <c r="R642" s="213" t="s">
        <v>5450</v>
      </c>
      <c r="S642" s="213" t="s">
        <v>5451</v>
      </c>
      <c r="T642" s="213" t="s">
        <v>5452</v>
      </c>
      <c r="U642" s="213" t="s">
        <v>75443</v>
      </c>
    </row>
    <row r="643" spans="1:21" x14ac:dyDescent="0.25">
      <c r="A643" s="213" t="s">
        <v>327</v>
      </c>
      <c r="D643" s="213" t="s">
        <v>5453</v>
      </c>
      <c r="E643" s="213" t="s">
        <v>5454</v>
      </c>
      <c r="K643" s="213" t="s">
        <v>75246</v>
      </c>
      <c r="L643" s="213" t="s">
        <v>75312</v>
      </c>
      <c r="M643" s="213" t="s">
        <v>75378</v>
      </c>
      <c r="N643" s="213" t="s">
        <v>5455</v>
      </c>
      <c r="O643" s="213" t="s">
        <v>5456</v>
      </c>
      <c r="P643" s="213" t="s">
        <v>5457</v>
      </c>
      <c r="Q643" s="213" t="s">
        <v>5458</v>
      </c>
      <c r="R643" s="213" t="s">
        <v>5459</v>
      </c>
      <c r="S643" s="213" t="s">
        <v>5460</v>
      </c>
      <c r="T643" s="213" t="s">
        <v>5461</v>
      </c>
      <c r="U643" s="213" t="s">
        <v>75444</v>
      </c>
    </row>
    <row r="644" spans="1:21" x14ac:dyDescent="0.25">
      <c r="A644" s="213" t="s">
        <v>327</v>
      </c>
      <c r="D644" s="213" t="s">
        <v>5462</v>
      </c>
      <c r="E644" s="213" t="s">
        <v>5463</v>
      </c>
      <c r="K644" s="213" t="s">
        <v>75247</v>
      </c>
      <c r="L644" s="213" t="s">
        <v>75313</v>
      </c>
      <c r="M644" s="213" t="s">
        <v>75379</v>
      </c>
      <c r="N644" s="213" t="s">
        <v>5464</v>
      </c>
      <c r="O644" s="213" t="s">
        <v>5465</v>
      </c>
      <c r="P644" s="213" t="s">
        <v>5466</v>
      </c>
      <c r="Q644" s="213" t="s">
        <v>5467</v>
      </c>
      <c r="R644" s="213" t="s">
        <v>5468</v>
      </c>
      <c r="S644" s="213" t="s">
        <v>5469</v>
      </c>
      <c r="T644" s="213" t="s">
        <v>5470</v>
      </c>
      <c r="U644" s="213" t="s">
        <v>75445</v>
      </c>
    </row>
    <row r="645" spans="1:21" x14ac:dyDescent="0.25">
      <c r="A645" s="213" t="s">
        <v>327</v>
      </c>
      <c r="D645" s="213" t="s">
        <v>5471</v>
      </c>
      <c r="E645" s="213" t="s">
        <v>5472</v>
      </c>
      <c r="K645" s="213" t="s">
        <v>75248</v>
      </c>
      <c r="L645" s="213" t="s">
        <v>75314</v>
      </c>
      <c r="M645" s="213" t="s">
        <v>75380</v>
      </c>
      <c r="N645" s="213" t="s">
        <v>5473</v>
      </c>
      <c r="O645" s="213" t="s">
        <v>5474</v>
      </c>
      <c r="P645" s="213" t="s">
        <v>5475</v>
      </c>
      <c r="Q645" s="213" t="s">
        <v>5476</v>
      </c>
      <c r="R645" s="213" t="s">
        <v>5477</v>
      </c>
      <c r="S645" s="213" t="s">
        <v>5478</v>
      </c>
      <c r="T645" s="213" t="s">
        <v>5479</v>
      </c>
      <c r="U645" s="213" t="s">
        <v>75446</v>
      </c>
    </row>
    <row r="646" spans="1:21" x14ac:dyDescent="0.25">
      <c r="A646" s="213" t="s">
        <v>327</v>
      </c>
      <c r="D646" s="213" t="s">
        <v>5480</v>
      </c>
      <c r="E646" s="213" t="s">
        <v>5481</v>
      </c>
      <c r="K646" s="213" t="s">
        <v>75249</v>
      </c>
      <c r="L646" s="213" t="s">
        <v>75315</v>
      </c>
      <c r="M646" s="213" t="s">
        <v>75381</v>
      </c>
      <c r="N646" s="213" t="s">
        <v>5482</v>
      </c>
      <c r="O646" s="213" t="s">
        <v>5483</v>
      </c>
      <c r="P646" s="213" t="s">
        <v>5484</v>
      </c>
      <c r="Q646" s="213" t="s">
        <v>5485</v>
      </c>
      <c r="R646" s="213" t="s">
        <v>5486</v>
      </c>
      <c r="S646" s="213" t="s">
        <v>5487</v>
      </c>
      <c r="T646" s="213" t="s">
        <v>5488</v>
      </c>
      <c r="U646" s="213" t="s">
        <v>75447</v>
      </c>
    </row>
    <row r="647" spans="1:21" x14ac:dyDescent="0.25">
      <c r="A647" s="213" t="s">
        <v>327</v>
      </c>
      <c r="D647" s="213" t="s">
        <v>5489</v>
      </c>
      <c r="E647" s="213" t="s">
        <v>5490</v>
      </c>
      <c r="K647" s="213" t="s">
        <v>75250</v>
      </c>
      <c r="L647" s="213" t="s">
        <v>75316</v>
      </c>
      <c r="M647" s="213" t="s">
        <v>75382</v>
      </c>
      <c r="N647" s="213" t="s">
        <v>5491</v>
      </c>
      <c r="O647" s="213" t="s">
        <v>5492</v>
      </c>
      <c r="P647" s="213" t="s">
        <v>5493</v>
      </c>
      <c r="Q647" s="213" t="s">
        <v>5494</v>
      </c>
      <c r="R647" s="213" t="s">
        <v>5495</v>
      </c>
      <c r="S647" s="213" t="s">
        <v>5496</v>
      </c>
      <c r="T647" s="213" t="s">
        <v>5497</v>
      </c>
      <c r="U647" s="213" t="s">
        <v>75448</v>
      </c>
    </row>
    <row r="648" spans="1:21" x14ac:dyDescent="0.25">
      <c r="A648" s="213" t="s">
        <v>327</v>
      </c>
      <c r="D648" s="213" t="s">
        <v>5498</v>
      </c>
      <c r="E648" s="213" t="s">
        <v>5499</v>
      </c>
      <c r="K648" s="213" t="s">
        <v>75251</v>
      </c>
      <c r="L648" s="213" t="s">
        <v>75317</v>
      </c>
      <c r="M648" s="213" t="s">
        <v>75383</v>
      </c>
      <c r="N648" s="213" t="s">
        <v>5500</v>
      </c>
      <c r="O648" s="213" t="s">
        <v>5501</v>
      </c>
      <c r="P648" s="213" t="s">
        <v>5502</v>
      </c>
      <c r="Q648" s="213" t="s">
        <v>5503</v>
      </c>
      <c r="R648" s="213" t="s">
        <v>5504</v>
      </c>
      <c r="S648" s="213" t="s">
        <v>5505</v>
      </c>
      <c r="T648" s="213" t="s">
        <v>5506</v>
      </c>
      <c r="U648" s="213" t="s">
        <v>75449</v>
      </c>
    </row>
    <row r="649" spans="1:21" x14ac:dyDescent="0.25">
      <c r="A649" s="213" t="s">
        <v>327</v>
      </c>
      <c r="D649" s="213" t="s">
        <v>5507</v>
      </c>
      <c r="E649" s="213" t="s">
        <v>5508</v>
      </c>
      <c r="K649" s="213" t="s">
        <v>75252</v>
      </c>
      <c r="L649" s="213" t="s">
        <v>75318</v>
      </c>
      <c r="M649" s="213" t="s">
        <v>75384</v>
      </c>
      <c r="N649" s="213" t="s">
        <v>5509</v>
      </c>
      <c r="O649" s="213" t="s">
        <v>5510</v>
      </c>
      <c r="P649" s="213" t="s">
        <v>5511</v>
      </c>
      <c r="Q649" s="213" t="s">
        <v>5512</v>
      </c>
      <c r="R649" s="213" t="s">
        <v>5513</v>
      </c>
      <c r="S649" s="213" t="s">
        <v>5514</v>
      </c>
      <c r="T649" s="213" t="s">
        <v>5515</v>
      </c>
      <c r="U649" s="213" t="s">
        <v>75450</v>
      </c>
    </row>
    <row r="650" spans="1:21" x14ac:dyDescent="0.25">
      <c r="A650" s="213" t="s">
        <v>327</v>
      </c>
      <c r="D650" s="213" t="s">
        <v>5516</v>
      </c>
      <c r="E650" s="213" t="s">
        <v>5517</v>
      </c>
      <c r="K650" s="213" t="s">
        <v>75253</v>
      </c>
      <c r="L650" s="213" t="s">
        <v>75319</v>
      </c>
      <c r="M650" s="213" t="s">
        <v>75385</v>
      </c>
      <c r="N650" s="213" t="s">
        <v>5518</v>
      </c>
      <c r="O650" s="213" t="s">
        <v>5519</v>
      </c>
      <c r="P650" s="213" t="s">
        <v>5520</v>
      </c>
      <c r="Q650" s="213" t="s">
        <v>5521</v>
      </c>
      <c r="R650" s="213" t="s">
        <v>5522</v>
      </c>
      <c r="S650" s="213" t="s">
        <v>5523</v>
      </c>
      <c r="T650" s="213" t="s">
        <v>5524</v>
      </c>
      <c r="U650" s="213" t="s">
        <v>75451</v>
      </c>
    </row>
    <row r="651" spans="1:21" x14ac:dyDescent="0.25">
      <c r="A651" s="213" t="s">
        <v>327</v>
      </c>
      <c r="D651" s="213" t="s">
        <v>5525</v>
      </c>
      <c r="E651" s="213" t="s">
        <v>5526</v>
      </c>
      <c r="K651" s="213" t="s">
        <v>75254</v>
      </c>
      <c r="L651" s="213" t="s">
        <v>75320</v>
      </c>
      <c r="M651" s="213" t="s">
        <v>75386</v>
      </c>
      <c r="N651" s="213" t="s">
        <v>5527</v>
      </c>
      <c r="O651" s="213" t="s">
        <v>5528</v>
      </c>
      <c r="P651" s="213" t="s">
        <v>5529</v>
      </c>
      <c r="Q651" s="213" t="s">
        <v>5530</v>
      </c>
      <c r="R651" s="213" t="s">
        <v>5531</v>
      </c>
      <c r="S651" s="213" t="s">
        <v>5532</v>
      </c>
      <c r="T651" s="213" t="s">
        <v>5533</v>
      </c>
      <c r="U651" s="213" t="s">
        <v>75452</v>
      </c>
    </row>
    <row r="652" spans="1:21" x14ac:dyDescent="0.25">
      <c r="A652" s="213" t="s">
        <v>327</v>
      </c>
      <c r="D652" s="213" t="s">
        <v>5534</v>
      </c>
      <c r="E652" s="213" t="s">
        <v>5535</v>
      </c>
      <c r="K652" s="213" t="s">
        <v>75255</v>
      </c>
      <c r="L652" s="213" t="s">
        <v>75321</v>
      </c>
      <c r="M652" s="213" t="s">
        <v>75387</v>
      </c>
      <c r="N652" s="213" t="s">
        <v>5536</v>
      </c>
      <c r="O652" s="213" t="s">
        <v>5537</v>
      </c>
      <c r="P652" s="213" t="s">
        <v>5538</v>
      </c>
      <c r="Q652" s="213" t="s">
        <v>5539</v>
      </c>
      <c r="R652" s="213" t="s">
        <v>5540</v>
      </c>
      <c r="S652" s="213" t="s">
        <v>5541</v>
      </c>
      <c r="T652" s="213" t="s">
        <v>5542</v>
      </c>
      <c r="U652" s="213" t="s">
        <v>75453</v>
      </c>
    </row>
    <row r="653" spans="1:21" x14ac:dyDescent="0.25">
      <c r="A653" s="213" t="s">
        <v>327</v>
      </c>
      <c r="D653" s="213" t="s">
        <v>5543</v>
      </c>
      <c r="E653" s="213" t="s">
        <v>5544</v>
      </c>
      <c r="K653" s="213" t="s">
        <v>75256</v>
      </c>
      <c r="L653" s="213" t="s">
        <v>75322</v>
      </c>
      <c r="M653" s="213" t="s">
        <v>75388</v>
      </c>
      <c r="N653" s="213" t="s">
        <v>5545</v>
      </c>
      <c r="O653" s="213" t="s">
        <v>5546</v>
      </c>
      <c r="P653" s="213" t="s">
        <v>5547</v>
      </c>
      <c r="Q653" s="213" t="s">
        <v>5548</v>
      </c>
      <c r="R653" s="213" t="s">
        <v>5549</v>
      </c>
      <c r="S653" s="213" t="s">
        <v>5550</v>
      </c>
      <c r="T653" s="213" t="s">
        <v>5551</v>
      </c>
      <c r="U653" s="213" t="s">
        <v>75454</v>
      </c>
    </row>
    <row r="654" spans="1:21" x14ac:dyDescent="0.25">
      <c r="A654" s="213" t="s">
        <v>327</v>
      </c>
      <c r="D654" s="213" t="s">
        <v>5552</v>
      </c>
      <c r="E654" s="213" t="s">
        <v>5553</v>
      </c>
      <c r="K654" s="213" t="s">
        <v>75257</v>
      </c>
      <c r="L654" s="213" t="s">
        <v>75323</v>
      </c>
      <c r="M654" s="213" t="s">
        <v>75389</v>
      </c>
      <c r="N654" s="213" t="s">
        <v>5554</v>
      </c>
      <c r="O654" s="213" t="s">
        <v>5555</v>
      </c>
      <c r="P654" s="213" t="s">
        <v>5556</v>
      </c>
      <c r="Q654" s="213" t="s">
        <v>5557</v>
      </c>
      <c r="R654" s="213" t="s">
        <v>5558</v>
      </c>
      <c r="S654" s="213" t="s">
        <v>5559</v>
      </c>
      <c r="T654" s="213" t="s">
        <v>5560</v>
      </c>
      <c r="U654" s="213" t="s">
        <v>75455</v>
      </c>
    </row>
    <row r="655" spans="1:21" x14ac:dyDescent="0.25">
      <c r="A655" s="213" t="s">
        <v>327</v>
      </c>
      <c r="D655" s="213" t="s">
        <v>5561</v>
      </c>
      <c r="E655" s="213" t="s">
        <v>5562</v>
      </c>
      <c r="K655" s="213" t="s">
        <v>75258</v>
      </c>
      <c r="L655" s="213" t="s">
        <v>75324</v>
      </c>
      <c r="M655" s="213" t="s">
        <v>75390</v>
      </c>
      <c r="N655" s="213" t="s">
        <v>5563</v>
      </c>
      <c r="O655" s="213" t="s">
        <v>5564</v>
      </c>
      <c r="P655" s="213" t="s">
        <v>5565</v>
      </c>
      <c r="Q655" s="213" t="s">
        <v>5566</v>
      </c>
      <c r="R655" s="213" t="s">
        <v>5567</v>
      </c>
      <c r="S655" s="213" t="s">
        <v>5568</v>
      </c>
      <c r="T655" s="213" t="s">
        <v>5569</v>
      </c>
      <c r="U655" s="213" t="s">
        <v>75456</v>
      </c>
    </row>
    <row r="656" spans="1:21" x14ac:dyDescent="0.25">
      <c r="A656" s="213" t="s">
        <v>327</v>
      </c>
      <c r="D656" s="213" t="s">
        <v>5570</v>
      </c>
      <c r="E656" s="213" t="s">
        <v>5571</v>
      </c>
      <c r="K656" s="213" t="s">
        <v>75259</v>
      </c>
      <c r="L656" s="213" t="s">
        <v>75325</v>
      </c>
      <c r="M656" s="213" t="s">
        <v>75391</v>
      </c>
      <c r="N656" s="213" t="s">
        <v>5572</v>
      </c>
      <c r="O656" s="213" t="s">
        <v>5573</v>
      </c>
      <c r="P656" s="213" t="s">
        <v>5574</v>
      </c>
      <c r="Q656" s="213" t="s">
        <v>5575</v>
      </c>
      <c r="R656" s="213" t="s">
        <v>5576</v>
      </c>
      <c r="S656" s="213" t="s">
        <v>5577</v>
      </c>
      <c r="T656" s="213" t="s">
        <v>5578</v>
      </c>
      <c r="U656" s="213" t="s">
        <v>75457</v>
      </c>
    </row>
    <row r="657" spans="1:21" x14ac:dyDescent="0.25">
      <c r="A657" s="213" t="s">
        <v>327</v>
      </c>
      <c r="D657" s="213" t="s">
        <v>5579</v>
      </c>
      <c r="E657" s="213" t="s">
        <v>5580</v>
      </c>
      <c r="K657" s="213" t="s">
        <v>75260</v>
      </c>
      <c r="L657" s="213" t="s">
        <v>75326</v>
      </c>
      <c r="M657" s="213" t="s">
        <v>75392</v>
      </c>
      <c r="N657" s="213" t="s">
        <v>5581</v>
      </c>
      <c r="O657" s="213" t="s">
        <v>5582</v>
      </c>
      <c r="P657" s="213" t="s">
        <v>5583</v>
      </c>
      <c r="Q657" s="213" t="s">
        <v>5584</v>
      </c>
      <c r="R657" s="213" t="s">
        <v>5585</v>
      </c>
      <c r="S657" s="213" t="s">
        <v>5586</v>
      </c>
      <c r="T657" s="213" t="s">
        <v>5587</v>
      </c>
      <c r="U657" s="213" t="s">
        <v>75458</v>
      </c>
    </row>
    <row r="658" spans="1:21" x14ac:dyDescent="0.25">
      <c r="A658" s="213" t="s">
        <v>327</v>
      </c>
      <c r="D658" s="213" t="s">
        <v>5588</v>
      </c>
      <c r="E658" s="213" t="s">
        <v>5589</v>
      </c>
      <c r="K658" s="213" t="s">
        <v>75261</v>
      </c>
      <c r="L658" s="213" t="s">
        <v>75327</v>
      </c>
      <c r="M658" s="213" t="s">
        <v>75393</v>
      </c>
      <c r="N658" s="213" t="s">
        <v>5590</v>
      </c>
      <c r="O658" s="213" t="s">
        <v>5591</v>
      </c>
      <c r="P658" s="213" t="s">
        <v>5592</v>
      </c>
      <c r="Q658" s="213" t="s">
        <v>5593</v>
      </c>
      <c r="R658" s="213" t="s">
        <v>5594</v>
      </c>
      <c r="S658" s="213" t="s">
        <v>5595</v>
      </c>
      <c r="T658" s="213" t="s">
        <v>5596</v>
      </c>
      <c r="U658" s="213" t="s">
        <v>75459</v>
      </c>
    </row>
    <row r="659" spans="1:21" x14ac:dyDescent="0.25">
      <c r="A659" s="213" t="s">
        <v>327</v>
      </c>
      <c r="D659" s="213" t="s">
        <v>5597</v>
      </c>
      <c r="E659" s="213" t="s">
        <v>5598</v>
      </c>
      <c r="K659" s="213" t="s">
        <v>75262</v>
      </c>
      <c r="L659" s="213" t="s">
        <v>75328</v>
      </c>
      <c r="M659" s="213" t="s">
        <v>75394</v>
      </c>
      <c r="N659" s="213" t="s">
        <v>5599</v>
      </c>
      <c r="O659" s="213" t="s">
        <v>5600</v>
      </c>
      <c r="P659" s="213" t="s">
        <v>5601</v>
      </c>
      <c r="Q659" s="213" t="s">
        <v>5602</v>
      </c>
      <c r="R659" s="213" t="s">
        <v>5603</v>
      </c>
      <c r="S659" s="213" t="s">
        <v>5604</v>
      </c>
      <c r="T659" s="213" t="s">
        <v>5605</v>
      </c>
      <c r="U659" s="213" t="s">
        <v>75460</v>
      </c>
    </row>
    <row r="660" spans="1:21" x14ac:dyDescent="0.25">
      <c r="A660" s="213" t="s">
        <v>327</v>
      </c>
      <c r="D660" s="213" t="s">
        <v>5606</v>
      </c>
      <c r="E660" s="213" t="s">
        <v>5607</v>
      </c>
      <c r="K660" s="213" t="s">
        <v>75263</v>
      </c>
      <c r="L660" s="213" t="s">
        <v>75329</v>
      </c>
      <c r="M660" s="213" t="s">
        <v>75395</v>
      </c>
      <c r="N660" s="213" t="s">
        <v>5608</v>
      </c>
      <c r="O660" s="213" t="s">
        <v>5609</v>
      </c>
      <c r="P660" s="213" t="s">
        <v>5610</v>
      </c>
      <c r="Q660" s="213" t="s">
        <v>5611</v>
      </c>
      <c r="R660" s="213" t="s">
        <v>5612</v>
      </c>
      <c r="S660" s="213" t="s">
        <v>5613</v>
      </c>
      <c r="T660" s="213" t="s">
        <v>5614</v>
      </c>
      <c r="U660" s="213" t="s">
        <v>75461</v>
      </c>
    </row>
    <row r="661" spans="1:21" x14ac:dyDescent="0.25">
      <c r="A661" s="213" t="s">
        <v>327</v>
      </c>
      <c r="D661" s="213" t="s">
        <v>5615</v>
      </c>
      <c r="E661" s="213" t="s">
        <v>5616</v>
      </c>
      <c r="K661" s="213" t="s">
        <v>75264</v>
      </c>
      <c r="L661" s="213" t="s">
        <v>75330</v>
      </c>
      <c r="M661" s="213" t="s">
        <v>75396</v>
      </c>
      <c r="N661" s="213" t="s">
        <v>5617</v>
      </c>
      <c r="O661" s="213" t="s">
        <v>5618</v>
      </c>
      <c r="P661" s="213" t="s">
        <v>5619</v>
      </c>
      <c r="Q661" s="213" t="s">
        <v>5620</v>
      </c>
      <c r="R661" s="213" t="s">
        <v>5621</v>
      </c>
      <c r="S661" s="213" t="s">
        <v>5622</v>
      </c>
      <c r="T661" s="213" t="s">
        <v>5623</v>
      </c>
      <c r="U661" s="213" t="s">
        <v>75462</v>
      </c>
    </row>
    <row r="662" spans="1:21" x14ac:dyDescent="0.25">
      <c r="A662" s="213" t="s">
        <v>327</v>
      </c>
      <c r="D662" s="213" t="s">
        <v>5624</v>
      </c>
      <c r="E662" s="213" t="s">
        <v>5625</v>
      </c>
      <c r="K662" s="213" t="s">
        <v>75265</v>
      </c>
      <c r="L662" s="213" t="s">
        <v>75331</v>
      </c>
      <c r="M662" s="213" t="s">
        <v>75397</v>
      </c>
      <c r="N662" s="213" t="s">
        <v>5626</v>
      </c>
      <c r="O662" s="213" t="s">
        <v>5627</v>
      </c>
      <c r="P662" s="213" t="s">
        <v>5628</v>
      </c>
      <c r="Q662" s="213" t="s">
        <v>5629</v>
      </c>
      <c r="R662" s="213" t="s">
        <v>5630</v>
      </c>
      <c r="S662" s="213" t="s">
        <v>5631</v>
      </c>
      <c r="T662" s="213" t="s">
        <v>5632</v>
      </c>
      <c r="U662" s="213" t="s">
        <v>75463</v>
      </c>
    </row>
    <row r="663" spans="1:21" x14ac:dyDescent="0.25">
      <c r="A663" s="213" t="s">
        <v>327</v>
      </c>
      <c r="D663" s="213" t="s">
        <v>5633</v>
      </c>
      <c r="E663" s="213" t="s">
        <v>5634</v>
      </c>
      <c r="K663" s="213" t="s">
        <v>75266</v>
      </c>
      <c r="L663" s="213" t="s">
        <v>75332</v>
      </c>
      <c r="M663" s="213" t="s">
        <v>75398</v>
      </c>
      <c r="N663" s="213" t="s">
        <v>5635</v>
      </c>
      <c r="O663" s="213" t="s">
        <v>5636</v>
      </c>
      <c r="P663" s="213" t="s">
        <v>5637</v>
      </c>
      <c r="Q663" s="213" t="s">
        <v>5638</v>
      </c>
      <c r="R663" s="213" t="s">
        <v>5639</v>
      </c>
      <c r="S663" s="213" t="s">
        <v>5640</v>
      </c>
      <c r="T663" s="213" t="s">
        <v>5641</v>
      </c>
      <c r="U663" s="213" t="s">
        <v>75464</v>
      </c>
    </row>
    <row r="664" spans="1:21" x14ac:dyDescent="0.25">
      <c r="A664" s="213" t="s">
        <v>327</v>
      </c>
      <c r="D664" s="213" t="s">
        <v>5642</v>
      </c>
      <c r="E664" s="213" t="s">
        <v>5643</v>
      </c>
      <c r="K664" s="213" t="s">
        <v>75267</v>
      </c>
      <c r="L664" s="213" t="s">
        <v>75333</v>
      </c>
      <c r="M664" s="213" t="s">
        <v>75399</v>
      </c>
      <c r="N664" s="213" t="s">
        <v>5644</v>
      </c>
      <c r="O664" s="213" t="s">
        <v>5645</v>
      </c>
      <c r="P664" s="213" t="s">
        <v>5646</v>
      </c>
      <c r="Q664" s="213" t="s">
        <v>5647</v>
      </c>
      <c r="R664" s="213" t="s">
        <v>5648</v>
      </c>
      <c r="S664" s="213" t="s">
        <v>5649</v>
      </c>
      <c r="T664" s="213" t="s">
        <v>5650</v>
      </c>
      <c r="U664" s="213" t="s">
        <v>75465</v>
      </c>
    </row>
    <row r="665" spans="1:21" x14ac:dyDescent="0.25">
      <c r="A665" s="213" t="s">
        <v>327</v>
      </c>
      <c r="D665" s="213" t="s">
        <v>5651</v>
      </c>
      <c r="E665" s="213" t="s">
        <v>5652</v>
      </c>
      <c r="K665" s="213" t="s">
        <v>75268</v>
      </c>
      <c r="L665" s="213" t="s">
        <v>75334</v>
      </c>
      <c r="M665" s="213" t="s">
        <v>75400</v>
      </c>
      <c r="N665" s="213" t="s">
        <v>5653</v>
      </c>
      <c r="O665" s="213" t="s">
        <v>5654</v>
      </c>
      <c r="P665" s="213" t="s">
        <v>5655</v>
      </c>
      <c r="Q665" s="213" t="s">
        <v>5656</v>
      </c>
      <c r="R665" s="213" t="s">
        <v>5657</v>
      </c>
      <c r="S665" s="213" t="s">
        <v>5658</v>
      </c>
      <c r="T665" s="213" t="s">
        <v>5659</v>
      </c>
      <c r="U665" s="213" t="s">
        <v>75466</v>
      </c>
    </row>
    <row r="666" spans="1:21" x14ac:dyDescent="0.25">
      <c r="A666" s="213" t="s">
        <v>327</v>
      </c>
      <c r="D666" s="213" t="s">
        <v>5660</v>
      </c>
      <c r="E666" s="213" t="s">
        <v>5661</v>
      </c>
      <c r="K666" s="213" t="s">
        <v>75269</v>
      </c>
      <c r="L666" s="213" t="s">
        <v>75335</v>
      </c>
      <c r="M666" s="213" t="s">
        <v>75401</v>
      </c>
      <c r="N666" s="213" t="s">
        <v>5662</v>
      </c>
      <c r="O666" s="213" t="s">
        <v>5663</v>
      </c>
      <c r="P666" s="213" t="s">
        <v>5664</v>
      </c>
      <c r="Q666" s="213" t="s">
        <v>5665</v>
      </c>
      <c r="R666" s="213" t="s">
        <v>5666</v>
      </c>
      <c r="S666" s="213" t="s">
        <v>5667</v>
      </c>
      <c r="T666" s="213" t="s">
        <v>5668</v>
      </c>
      <c r="U666" s="213" t="s">
        <v>75467</v>
      </c>
    </row>
    <row r="667" spans="1:21" x14ac:dyDescent="0.25">
      <c r="A667" s="213" t="s">
        <v>327</v>
      </c>
      <c r="D667" s="213" t="s">
        <v>5669</v>
      </c>
      <c r="E667" s="213" t="s">
        <v>5670</v>
      </c>
      <c r="K667" s="213" t="s">
        <v>75270</v>
      </c>
      <c r="L667" s="213" t="s">
        <v>75336</v>
      </c>
      <c r="M667" s="213" t="s">
        <v>75402</v>
      </c>
      <c r="N667" s="213" t="s">
        <v>5671</v>
      </c>
      <c r="O667" s="213" t="s">
        <v>5672</v>
      </c>
      <c r="P667" s="213" t="s">
        <v>5673</v>
      </c>
      <c r="Q667" s="213" t="s">
        <v>5674</v>
      </c>
      <c r="R667" s="213" t="s">
        <v>5675</v>
      </c>
      <c r="S667" s="213" t="s">
        <v>5676</v>
      </c>
      <c r="T667" s="213" t="s">
        <v>5677</v>
      </c>
      <c r="U667" s="213" t="s">
        <v>75468</v>
      </c>
    </row>
    <row r="668" spans="1:21" x14ac:dyDescent="0.25">
      <c r="A668" s="213" t="s">
        <v>327</v>
      </c>
      <c r="D668" s="213" t="s">
        <v>5678</v>
      </c>
      <c r="E668" s="213" t="s">
        <v>5679</v>
      </c>
      <c r="K668" s="213" t="s">
        <v>75271</v>
      </c>
      <c r="L668" s="213" t="s">
        <v>75337</v>
      </c>
      <c r="M668" s="213" t="s">
        <v>75403</v>
      </c>
      <c r="N668" s="213" t="s">
        <v>5680</v>
      </c>
      <c r="O668" s="213" t="s">
        <v>5681</v>
      </c>
      <c r="P668" s="213" t="s">
        <v>5682</v>
      </c>
      <c r="Q668" s="213" t="s">
        <v>5683</v>
      </c>
      <c r="R668" s="213" t="s">
        <v>5684</v>
      </c>
      <c r="S668" s="213" t="s">
        <v>5685</v>
      </c>
      <c r="T668" s="213" t="s">
        <v>5686</v>
      </c>
      <c r="U668" s="213" t="s">
        <v>75469</v>
      </c>
    </row>
    <row r="669" spans="1:21" x14ac:dyDescent="0.25">
      <c r="A669" s="213" t="s">
        <v>327</v>
      </c>
      <c r="D669" s="213" t="s">
        <v>5687</v>
      </c>
      <c r="E669" s="213" t="s">
        <v>5688</v>
      </c>
      <c r="K669" s="213" t="s">
        <v>75272</v>
      </c>
      <c r="L669" s="213" t="s">
        <v>75338</v>
      </c>
      <c r="M669" s="213" t="s">
        <v>75404</v>
      </c>
      <c r="N669" s="213" t="s">
        <v>5689</v>
      </c>
      <c r="O669" s="213" t="s">
        <v>5690</v>
      </c>
      <c r="P669" s="213" t="s">
        <v>5691</v>
      </c>
      <c r="Q669" s="213" t="s">
        <v>5692</v>
      </c>
      <c r="R669" s="213" t="s">
        <v>5693</v>
      </c>
      <c r="S669" s="213" t="s">
        <v>5694</v>
      </c>
      <c r="T669" s="213" t="s">
        <v>5695</v>
      </c>
      <c r="U669" s="213" t="s">
        <v>75470</v>
      </c>
    </row>
    <row r="670" spans="1:21" x14ac:dyDescent="0.25">
      <c r="A670" s="213" t="s">
        <v>327</v>
      </c>
      <c r="D670" s="213" t="s">
        <v>5696</v>
      </c>
      <c r="E670" s="213" t="s">
        <v>5697</v>
      </c>
      <c r="K670" s="213" t="s">
        <v>75273</v>
      </c>
      <c r="L670" s="213" t="s">
        <v>75339</v>
      </c>
      <c r="M670" s="213" t="s">
        <v>75405</v>
      </c>
      <c r="N670" s="213" t="s">
        <v>5698</v>
      </c>
      <c r="O670" s="213" t="s">
        <v>5699</v>
      </c>
      <c r="P670" s="213" t="s">
        <v>5700</v>
      </c>
      <c r="Q670" s="213" t="s">
        <v>5701</v>
      </c>
      <c r="R670" s="213" t="s">
        <v>5702</v>
      </c>
      <c r="S670" s="213" t="s">
        <v>5703</v>
      </c>
      <c r="T670" s="213" t="s">
        <v>5704</v>
      </c>
      <c r="U670" s="213" t="s">
        <v>75471</v>
      </c>
    </row>
    <row r="671" spans="1:21" x14ac:dyDescent="0.25">
      <c r="A671" s="213" t="s">
        <v>327</v>
      </c>
      <c r="D671" s="213" t="s">
        <v>5705</v>
      </c>
      <c r="E671" s="213" t="s">
        <v>5706</v>
      </c>
      <c r="K671" s="213" t="s">
        <v>75274</v>
      </c>
      <c r="L671" s="213" t="s">
        <v>75340</v>
      </c>
      <c r="M671" s="213" t="s">
        <v>75406</v>
      </c>
      <c r="N671" s="213" t="s">
        <v>5707</v>
      </c>
      <c r="O671" s="213" t="s">
        <v>5708</v>
      </c>
      <c r="P671" s="213" t="s">
        <v>5709</v>
      </c>
      <c r="Q671" s="213" t="s">
        <v>5710</v>
      </c>
      <c r="R671" s="213" t="s">
        <v>5711</v>
      </c>
      <c r="S671" s="213" t="s">
        <v>5712</v>
      </c>
      <c r="T671" s="213" t="s">
        <v>5713</v>
      </c>
      <c r="U671" s="213" t="s">
        <v>75472</v>
      </c>
    </row>
    <row r="672" spans="1:21" x14ac:dyDescent="0.25">
      <c r="A672" s="213" t="s">
        <v>327</v>
      </c>
      <c r="D672" s="213" t="s">
        <v>5714</v>
      </c>
      <c r="E672" s="213" t="s">
        <v>5715</v>
      </c>
      <c r="K672" s="213" t="s">
        <v>75275</v>
      </c>
      <c r="L672" s="213" t="s">
        <v>75341</v>
      </c>
      <c r="M672" s="213" t="s">
        <v>75407</v>
      </c>
      <c r="N672" s="213" t="s">
        <v>5716</v>
      </c>
      <c r="O672" s="213" t="s">
        <v>5717</v>
      </c>
      <c r="P672" s="213" t="s">
        <v>5718</v>
      </c>
      <c r="Q672" s="213" t="s">
        <v>5719</v>
      </c>
      <c r="R672" s="213" t="s">
        <v>5720</v>
      </c>
      <c r="S672" s="213" t="s">
        <v>5721</v>
      </c>
      <c r="T672" s="213" t="s">
        <v>5722</v>
      </c>
      <c r="U672" s="213" t="s">
        <v>75473</v>
      </c>
    </row>
    <row r="673" spans="1:21" x14ac:dyDescent="0.25">
      <c r="A673" s="213" t="s">
        <v>327</v>
      </c>
      <c r="D673" s="213" t="s">
        <v>5723</v>
      </c>
      <c r="E673" s="213" t="s">
        <v>5724</v>
      </c>
      <c r="K673" s="213" t="s">
        <v>75276</v>
      </c>
      <c r="L673" s="213" t="s">
        <v>75342</v>
      </c>
      <c r="M673" s="213" t="s">
        <v>75408</v>
      </c>
      <c r="N673" s="213" t="s">
        <v>5725</v>
      </c>
      <c r="O673" s="213" t="s">
        <v>5726</v>
      </c>
      <c r="P673" s="213" t="s">
        <v>5727</v>
      </c>
      <c r="Q673" s="213" t="s">
        <v>5728</v>
      </c>
      <c r="R673" s="213" t="s">
        <v>5729</v>
      </c>
      <c r="S673" s="213" t="s">
        <v>5730</v>
      </c>
      <c r="T673" s="213" t="s">
        <v>5731</v>
      </c>
      <c r="U673" s="213" t="s">
        <v>75474</v>
      </c>
    </row>
    <row r="674" spans="1:21" x14ac:dyDescent="0.25">
      <c r="A674" s="213" t="s">
        <v>327</v>
      </c>
      <c r="D674" s="213" t="s">
        <v>5732</v>
      </c>
      <c r="E674" s="213" t="s">
        <v>5733</v>
      </c>
      <c r="K674" s="213" t="s">
        <v>75277</v>
      </c>
      <c r="L674" s="213" t="s">
        <v>75343</v>
      </c>
      <c r="M674" s="213" t="s">
        <v>75409</v>
      </c>
      <c r="N674" s="213" t="s">
        <v>5734</v>
      </c>
      <c r="O674" s="213" t="s">
        <v>5735</v>
      </c>
      <c r="P674" s="213" t="s">
        <v>5736</v>
      </c>
      <c r="Q674" s="213" t="s">
        <v>5737</v>
      </c>
      <c r="R674" s="213" t="s">
        <v>5738</v>
      </c>
      <c r="S674" s="213" t="s">
        <v>5739</v>
      </c>
      <c r="T674" s="213" t="s">
        <v>5740</v>
      </c>
      <c r="U674" s="213" t="s">
        <v>75475</v>
      </c>
    </row>
    <row r="675" spans="1:21" x14ac:dyDescent="0.25">
      <c r="A675" s="213" t="s">
        <v>327</v>
      </c>
      <c r="D675" s="213" t="s">
        <v>5741</v>
      </c>
      <c r="E675" s="213" t="s">
        <v>5742</v>
      </c>
      <c r="K675" s="213" t="s">
        <v>75278</v>
      </c>
      <c r="L675" s="213" t="s">
        <v>75344</v>
      </c>
      <c r="M675" s="213" t="s">
        <v>75410</v>
      </c>
      <c r="N675" s="213" t="s">
        <v>5743</v>
      </c>
      <c r="O675" s="213" t="s">
        <v>5744</v>
      </c>
      <c r="P675" s="213" t="s">
        <v>5745</v>
      </c>
      <c r="Q675" s="213" t="s">
        <v>5746</v>
      </c>
      <c r="R675" s="213" t="s">
        <v>5747</v>
      </c>
      <c r="S675" s="213" t="s">
        <v>5748</v>
      </c>
      <c r="T675" s="213" t="s">
        <v>5749</v>
      </c>
      <c r="U675" s="213" t="s">
        <v>75476</v>
      </c>
    </row>
    <row r="676" spans="1:21" x14ac:dyDescent="0.25">
      <c r="A676" s="213" t="s">
        <v>327</v>
      </c>
      <c r="D676" s="213" t="s">
        <v>5750</v>
      </c>
      <c r="E676" s="213" t="s">
        <v>5751</v>
      </c>
      <c r="K676" s="213" t="s">
        <v>75279</v>
      </c>
      <c r="L676" s="213" t="s">
        <v>75345</v>
      </c>
      <c r="M676" s="213" t="s">
        <v>75411</v>
      </c>
      <c r="N676" s="213" t="s">
        <v>5752</v>
      </c>
      <c r="O676" s="213" t="s">
        <v>5753</v>
      </c>
      <c r="P676" s="213" t="s">
        <v>5754</v>
      </c>
      <c r="Q676" s="213" t="s">
        <v>5755</v>
      </c>
      <c r="R676" s="213" t="s">
        <v>5756</v>
      </c>
      <c r="S676" s="213" t="s">
        <v>5757</v>
      </c>
      <c r="T676" s="213" t="s">
        <v>5758</v>
      </c>
      <c r="U676" s="213" t="s">
        <v>75477</v>
      </c>
    </row>
    <row r="677" spans="1:21" x14ac:dyDescent="0.25">
      <c r="A677" s="213" t="s">
        <v>327</v>
      </c>
      <c r="D677" s="213" t="s">
        <v>5759</v>
      </c>
      <c r="E677" s="213" t="s">
        <v>5760</v>
      </c>
      <c r="K677" s="213" t="s">
        <v>75280</v>
      </c>
      <c r="L677" s="213" t="s">
        <v>75346</v>
      </c>
      <c r="M677" s="213" t="s">
        <v>75412</v>
      </c>
      <c r="N677" s="213" t="s">
        <v>5761</v>
      </c>
      <c r="O677" s="213" t="s">
        <v>5762</v>
      </c>
      <c r="P677" s="213" t="s">
        <v>5763</v>
      </c>
      <c r="Q677" s="213" t="s">
        <v>5764</v>
      </c>
      <c r="R677" s="213" t="s">
        <v>5765</v>
      </c>
      <c r="S677" s="213" t="s">
        <v>5766</v>
      </c>
      <c r="T677" s="213" t="s">
        <v>5767</v>
      </c>
      <c r="U677" s="213" t="s">
        <v>75478</v>
      </c>
    </row>
    <row r="678" spans="1:21" x14ac:dyDescent="0.25">
      <c r="A678" s="213" t="s">
        <v>327</v>
      </c>
      <c r="D678" s="213" t="s">
        <v>5768</v>
      </c>
      <c r="E678" s="213" t="s">
        <v>5769</v>
      </c>
      <c r="K678" s="213" t="s">
        <v>75281</v>
      </c>
      <c r="L678" s="213" t="s">
        <v>75347</v>
      </c>
      <c r="M678" s="213" t="s">
        <v>75413</v>
      </c>
      <c r="N678" s="213" t="s">
        <v>5770</v>
      </c>
      <c r="O678" s="213" t="s">
        <v>5771</v>
      </c>
      <c r="P678" s="213" t="s">
        <v>5772</v>
      </c>
      <c r="Q678" s="213" t="s">
        <v>5773</v>
      </c>
      <c r="R678" s="213" t="s">
        <v>5774</v>
      </c>
      <c r="S678" s="213" t="s">
        <v>5775</v>
      </c>
      <c r="T678" s="213" t="s">
        <v>5776</v>
      </c>
      <c r="U678" s="213" t="s">
        <v>75479</v>
      </c>
    </row>
    <row r="679" spans="1:21" x14ac:dyDescent="0.25">
      <c r="A679" s="213" t="s">
        <v>327</v>
      </c>
      <c r="D679" s="213" t="s">
        <v>5777</v>
      </c>
      <c r="E679" s="213" t="s">
        <v>5778</v>
      </c>
      <c r="K679" s="213" t="s">
        <v>75282</v>
      </c>
      <c r="L679" s="213" t="s">
        <v>75348</v>
      </c>
      <c r="M679" s="213" t="s">
        <v>75414</v>
      </c>
      <c r="N679" s="213" t="s">
        <v>5779</v>
      </c>
      <c r="O679" s="213" t="s">
        <v>5780</v>
      </c>
      <c r="P679" s="213" t="s">
        <v>5781</v>
      </c>
      <c r="Q679" s="213" t="s">
        <v>5782</v>
      </c>
      <c r="R679" s="213" t="s">
        <v>5783</v>
      </c>
      <c r="S679" s="213" t="s">
        <v>5784</v>
      </c>
      <c r="T679" s="213" t="s">
        <v>5785</v>
      </c>
      <c r="U679" s="213" t="s">
        <v>75480</v>
      </c>
    </row>
    <row r="680" spans="1:21" x14ac:dyDescent="0.25">
      <c r="A680" s="213" t="s">
        <v>327</v>
      </c>
      <c r="D680" s="213" t="s">
        <v>5786</v>
      </c>
      <c r="E680" s="213" t="s">
        <v>5787</v>
      </c>
      <c r="K680" s="213" t="s">
        <v>75283</v>
      </c>
      <c r="L680" s="213" t="s">
        <v>75349</v>
      </c>
      <c r="M680" s="213" t="s">
        <v>75415</v>
      </c>
      <c r="N680" s="213" t="s">
        <v>5788</v>
      </c>
      <c r="O680" s="213" t="s">
        <v>5789</v>
      </c>
      <c r="P680" s="213" t="s">
        <v>5790</v>
      </c>
      <c r="Q680" s="213" t="s">
        <v>5791</v>
      </c>
      <c r="R680" s="213" t="s">
        <v>5792</v>
      </c>
      <c r="S680" s="213" t="s">
        <v>5793</v>
      </c>
      <c r="T680" s="213" t="s">
        <v>5794</v>
      </c>
      <c r="U680" s="213" t="s">
        <v>75481</v>
      </c>
    </row>
    <row r="681" spans="1:21" x14ac:dyDescent="0.25">
      <c r="A681" s="213" t="s">
        <v>327</v>
      </c>
      <c r="D681" s="213" t="s">
        <v>5795</v>
      </c>
      <c r="E681" s="213" t="s">
        <v>5796</v>
      </c>
      <c r="K681" s="213" t="s">
        <v>75284</v>
      </c>
      <c r="L681" s="213" t="s">
        <v>75350</v>
      </c>
      <c r="M681" s="213" t="s">
        <v>75416</v>
      </c>
      <c r="N681" s="213" t="s">
        <v>5797</v>
      </c>
      <c r="O681" s="213" t="s">
        <v>5798</v>
      </c>
      <c r="P681" s="213" t="s">
        <v>5799</v>
      </c>
      <c r="Q681" s="213" t="s">
        <v>5800</v>
      </c>
      <c r="R681" s="213" t="s">
        <v>5801</v>
      </c>
      <c r="S681" s="213" t="s">
        <v>5802</v>
      </c>
      <c r="T681" s="213" t="s">
        <v>5803</v>
      </c>
      <c r="U681" s="213" t="s">
        <v>75482</v>
      </c>
    </row>
    <row r="682" spans="1:21" x14ac:dyDescent="0.25">
      <c r="A682" s="213" t="s">
        <v>327</v>
      </c>
      <c r="D682" s="213" t="s">
        <v>5804</v>
      </c>
      <c r="E682" s="213" t="s">
        <v>5805</v>
      </c>
      <c r="K682" s="213" t="s">
        <v>75285</v>
      </c>
      <c r="L682" s="213" t="s">
        <v>75351</v>
      </c>
      <c r="M682" s="213" t="s">
        <v>75417</v>
      </c>
      <c r="N682" s="213" t="s">
        <v>5806</v>
      </c>
      <c r="O682" s="213" t="s">
        <v>5807</v>
      </c>
      <c r="P682" s="213" t="s">
        <v>5808</v>
      </c>
      <c r="Q682" s="213" t="s">
        <v>5809</v>
      </c>
      <c r="R682" s="213" t="s">
        <v>5810</v>
      </c>
      <c r="S682" s="213" t="s">
        <v>5811</v>
      </c>
      <c r="T682" s="213" t="s">
        <v>5812</v>
      </c>
      <c r="U682" s="213" t="s">
        <v>75483</v>
      </c>
    </row>
    <row r="683" spans="1:21" x14ac:dyDescent="0.25">
      <c r="A683" s="213" t="s">
        <v>327</v>
      </c>
      <c r="D683" s="213" t="s">
        <v>5813</v>
      </c>
      <c r="E683" s="213" t="s">
        <v>5814</v>
      </c>
      <c r="K683" s="213" t="s">
        <v>75286</v>
      </c>
      <c r="L683" s="213" t="s">
        <v>75352</v>
      </c>
      <c r="M683" s="213" t="s">
        <v>75418</v>
      </c>
      <c r="N683" s="213" t="s">
        <v>5815</v>
      </c>
      <c r="O683" s="213" t="s">
        <v>5816</v>
      </c>
      <c r="P683" s="213" t="s">
        <v>5817</v>
      </c>
      <c r="Q683" s="213" t="s">
        <v>5818</v>
      </c>
      <c r="R683" s="213" t="s">
        <v>5819</v>
      </c>
      <c r="S683" s="213" t="s">
        <v>5820</v>
      </c>
      <c r="T683" s="213" t="s">
        <v>5821</v>
      </c>
      <c r="U683" s="213" t="s">
        <v>75484</v>
      </c>
    </row>
    <row r="684" spans="1:21" x14ac:dyDescent="0.25">
      <c r="A684" s="213" t="s">
        <v>327</v>
      </c>
      <c r="D684" s="213" t="s">
        <v>5822</v>
      </c>
      <c r="E684" s="213" t="s">
        <v>5823</v>
      </c>
      <c r="K684" s="213" t="s">
        <v>75287</v>
      </c>
      <c r="L684" s="213" t="s">
        <v>75353</v>
      </c>
      <c r="M684" s="213" t="s">
        <v>75419</v>
      </c>
      <c r="N684" s="213" t="s">
        <v>5824</v>
      </c>
      <c r="O684" s="213" t="s">
        <v>5825</v>
      </c>
      <c r="P684" s="213" t="s">
        <v>5826</v>
      </c>
      <c r="Q684" s="213" t="s">
        <v>5827</v>
      </c>
      <c r="R684" s="213" t="s">
        <v>5828</v>
      </c>
      <c r="S684" s="213" t="s">
        <v>5829</v>
      </c>
      <c r="T684" s="213" t="s">
        <v>5830</v>
      </c>
      <c r="U684" s="213" t="s">
        <v>75485</v>
      </c>
    </row>
    <row r="685" spans="1:21" x14ac:dyDescent="0.25">
      <c r="A685" s="213" t="s">
        <v>327</v>
      </c>
      <c r="D685" s="213" t="s">
        <v>5831</v>
      </c>
      <c r="E685" s="213" t="s">
        <v>5832</v>
      </c>
      <c r="K685" s="213" t="s">
        <v>75288</v>
      </c>
      <c r="L685" s="213" t="s">
        <v>75354</v>
      </c>
      <c r="M685" s="213" t="s">
        <v>75420</v>
      </c>
      <c r="N685" s="213" t="s">
        <v>5833</v>
      </c>
      <c r="O685" s="213" t="s">
        <v>5834</v>
      </c>
      <c r="P685" s="213" t="s">
        <v>5835</v>
      </c>
      <c r="Q685" s="213" t="s">
        <v>5836</v>
      </c>
      <c r="R685" s="213" t="s">
        <v>5837</v>
      </c>
      <c r="S685" s="213" t="s">
        <v>5838</v>
      </c>
      <c r="T685" s="213" t="s">
        <v>5839</v>
      </c>
      <c r="U685" s="213" t="s">
        <v>75486</v>
      </c>
    </row>
    <row r="686" spans="1:21" x14ac:dyDescent="0.25">
      <c r="A686" s="213" t="s">
        <v>327</v>
      </c>
      <c r="D686" s="213" t="s">
        <v>5840</v>
      </c>
      <c r="E686" s="213" t="s">
        <v>5841</v>
      </c>
      <c r="K686" s="213" t="s">
        <v>75289</v>
      </c>
      <c r="L686" s="213" t="s">
        <v>75355</v>
      </c>
      <c r="M686" s="213" t="s">
        <v>75421</v>
      </c>
      <c r="N686" s="213" t="s">
        <v>5842</v>
      </c>
      <c r="O686" s="213" t="s">
        <v>5843</v>
      </c>
      <c r="P686" s="213" t="s">
        <v>5844</v>
      </c>
      <c r="Q686" s="213" t="s">
        <v>5845</v>
      </c>
      <c r="R686" s="213" t="s">
        <v>5846</v>
      </c>
      <c r="S686" s="213" t="s">
        <v>5847</v>
      </c>
      <c r="T686" s="213" t="s">
        <v>5848</v>
      </c>
      <c r="U686" s="213" t="s">
        <v>75487</v>
      </c>
    </row>
    <row r="687" spans="1:21" x14ac:dyDescent="0.25">
      <c r="A687" s="213" t="s">
        <v>327</v>
      </c>
      <c r="D687" s="213" t="s">
        <v>5849</v>
      </c>
      <c r="E687" s="213" t="s">
        <v>5850</v>
      </c>
      <c r="K687" s="213" t="s">
        <v>75290</v>
      </c>
      <c r="L687" s="213" t="s">
        <v>75356</v>
      </c>
      <c r="M687" s="213" t="s">
        <v>75422</v>
      </c>
      <c r="N687" s="213" t="s">
        <v>5851</v>
      </c>
      <c r="O687" s="213" t="s">
        <v>5852</v>
      </c>
      <c r="P687" s="213" t="s">
        <v>5853</v>
      </c>
      <c r="Q687" s="213" t="s">
        <v>5854</v>
      </c>
      <c r="R687" s="213" t="s">
        <v>5855</v>
      </c>
      <c r="S687" s="213" t="s">
        <v>5856</v>
      </c>
      <c r="T687" s="213" t="s">
        <v>5857</v>
      </c>
      <c r="U687" s="213" t="s">
        <v>75488</v>
      </c>
    </row>
    <row r="688" spans="1:21" x14ac:dyDescent="0.25">
      <c r="A688" s="213" t="s">
        <v>327</v>
      </c>
      <c r="D688" s="213" t="s">
        <v>5858</v>
      </c>
      <c r="E688" s="213" t="s">
        <v>5859</v>
      </c>
      <c r="K688" s="213" t="s">
        <v>75291</v>
      </c>
      <c r="L688" s="213" t="s">
        <v>75357</v>
      </c>
      <c r="M688" s="213" t="s">
        <v>75423</v>
      </c>
      <c r="N688" s="213" t="s">
        <v>5860</v>
      </c>
      <c r="O688" s="213" t="s">
        <v>5861</v>
      </c>
      <c r="P688" s="213" t="s">
        <v>5862</v>
      </c>
      <c r="Q688" s="213" t="s">
        <v>5863</v>
      </c>
      <c r="R688" s="213" t="s">
        <v>5864</v>
      </c>
      <c r="S688" s="213" t="s">
        <v>5865</v>
      </c>
      <c r="T688" s="213" t="s">
        <v>5866</v>
      </c>
      <c r="U688" s="213" t="s">
        <v>75489</v>
      </c>
    </row>
    <row r="689" spans="1:21" x14ac:dyDescent="0.25">
      <c r="A689" s="213" t="s">
        <v>327</v>
      </c>
      <c r="D689" s="213" t="s">
        <v>5867</v>
      </c>
      <c r="E689" s="213" t="s">
        <v>5868</v>
      </c>
      <c r="K689" s="213" t="s">
        <v>75292</v>
      </c>
      <c r="L689" s="213" t="s">
        <v>75358</v>
      </c>
      <c r="M689" s="213" t="s">
        <v>75424</v>
      </c>
      <c r="N689" s="213" t="s">
        <v>5869</v>
      </c>
      <c r="O689" s="213" t="s">
        <v>5870</v>
      </c>
      <c r="P689" s="213" t="s">
        <v>5871</v>
      </c>
      <c r="Q689" s="213" t="s">
        <v>5872</v>
      </c>
      <c r="R689" s="213" t="s">
        <v>5873</v>
      </c>
      <c r="S689" s="213" t="s">
        <v>5874</v>
      </c>
      <c r="T689" s="213" t="s">
        <v>5875</v>
      </c>
      <c r="U689" s="213" t="s">
        <v>75490</v>
      </c>
    </row>
    <row r="690" spans="1:21" x14ac:dyDescent="0.25">
      <c r="A690" s="213" t="s">
        <v>327</v>
      </c>
      <c r="D690" s="213" t="s">
        <v>5876</v>
      </c>
      <c r="E690" s="213" t="s">
        <v>5877</v>
      </c>
      <c r="K690" s="213" t="s">
        <v>75293</v>
      </c>
      <c r="L690" s="213" t="s">
        <v>75359</v>
      </c>
      <c r="M690" s="213" t="s">
        <v>75425</v>
      </c>
      <c r="N690" s="213" t="s">
        <v>5878</v>
      </c>
      <c r="O690" s="213" t="s">
        <v>5879</v>
      </c>
      <c r="P690" s="213" t="s">
        <v>5880</v>
      </c>
      <c r="Q690" s="213" t="s">
        <v>5881</v>
      </c>
      <c r="R690" s="213" t="s">
        <v>5882</v>
      </c>
      <c r="S690" s="213" t="s">
        <v>5883</v>
      </c>
      <c r="T690" s="213" t="s">
        <v>5884</v>
      </c>
      <c r="U690" s="213" t="s">
        <v>75491</v>
      </c>
    </row>
    <row r="691" spans="1:21" x14ac:dyDescent="0.25">
      <c r="A691" s="213" t="s">
        <v>327</v>
      </c>
      <c r="D691" s="213" t="s">
        <v>5885</v>
      </c>
      <c r="E691" s="213" t="s">
        <v>5886</v>
      </c>
      <c r="K691" s="213" t="s">
        <v>75294</v>
      </c>
      <c r="L691" s="213" t="s">
        <v>75360</v>
      </c>
      <c r="M691" s="213" t="s">
        <v>75426</v>
      </c>
      <c r="N691" s="213" t="s">
        <v>5887</v>
      </c>
      <c r="O691" s="213" t="s">
        <v>5888</v>
      </c>
      <c r="P691" s="213" t="s">
        <v>5889</v>
      </c>
      <c r="Q691" s="213" t="s">
        <v>5890</v>
      </c>
      <c r="R691" s="213" t="s">
        <v>5891</v>
      </c>
      <c r="S691" s="213" t="s">
        <v>5892</v>
      </c>
      <c r="T691" s="213" t="s">
        <v>5893</v>
      </c>
      <c r="U691" s="213" t="s">
        <v>75492</v>
      </c>
    </row>
    <row r="692" spans="1:21" x14ac:dyDescent="0.25">
      <c r="A692" s="213" t="s">
        <v>327</v>
      </c>
      <c r="D692" s="213" t="s">
        <v>5894</v>
      </c>
      <c r="E692" s="213" t="s">
        <v>5895</v>
      </c>
      <c r="K692" s="213" t="s">
        <v>75295</v>
      </c>
      <c r="L692" s="213" t="s">
        <v>75361</v>
      </c>
      <c r="M692" s="213" t="s">
        <v>75427</v>
      </c>
      <c r="N692" s="213" t="s">
        <v>5896</v>
      </c>
      <c r="O692" s="213" t="s">
        <v>5897</v>
      </c>
      <c r="P692" s="213" t="s">
        <v>5898</v>
      </c>
      <c r="Q692" s="213" t="s">
        <v>5899</v>
      </c>
      <c r="R692" s="213" t="s">
        <v>5900</v>
      </c>
      <c r="S692" s="213" t="s">
        <v>5901</v>
      </c>
      <c r="T692" s="213" t="s">
        <v>5902</v>
      </c>
      <c r="U692" s="213" t="s">
        <v>75493</v>
      </c>
    </row>
    <row r="693" spans="1:21" x14ac:dyDescent="0.25">
      <c r="A693" s="213" t="s">
        <v>327</v>
      </c>
    </row>
    <row r="694" spans="1:21" x14ac:dyDescent="0.25">
      <c r="A694" s="213" t="s">
        <v>327</v>
      </c>
    </row>
    <row r="695" spans="1:21" x14ac:dyDescent="0.25">
      <c r="A695" s="213" t="s">
        <v>327</v>
      </c>
      <c r="C695" s="213" t="s">
        <v>5903</v>
      </c>
      <c r="E695" s="213" t="s">
        <v>5904</v>
      </c>
      <c r="H695" s="213" t="s">
        <v>5905</v>
      </c>
      <c r="I695" s="213" t="s">
        <v>5906</v>
      </c>
      <c r="J695" s="213" t="s">
        <v>5907</v>
      </c>
      <c r="L695" s="213" t="s">
        <v>5908</v>
      </c>
      <c r="O695" s="213" t="s">
        <v>5909</v>
      </c>
      <c r="P695" s="213" t="s">
        <v>5910</v>
      </c>
      <c r="Q695" s="213" t="s">
        <v>5911</v>
      </c>
      <c r="R695" s="213" t="s">
        <v>5912</v>
      </c>
      <c r="S695" s="213" t="s">
        <v>5913</v>
      </c>
      <c r="T695" s="213" t="s">
        <v>5914</v>
      </c>
    </row>
    <row r="696" spans="1:21" x14ac:dyDescent="0.25">
      <c r="A696" s="213" t="s">
        <v>327</v>
      </c>
      <c r="C696" s="213" t="s">
        <v>5915</v>
      </c>
      <c r="E696" s="213" t="s">
        <v>5916</v>
      </c>
      <c r="I696" s="213" t="s">
        <v>5917</v>
      </c>
    </row>
    <row r="697" spans="1:21" x14ac:dyDescent="0.25">
      <c r="A697" s="213" t="s">
        <v>327</v>
      </c>
      <c r="C697" s="213" t="s">
        <v>5918</v>
      </c>
      <c r="E697" s="213" t="s">
        <v>5919</v>
      </c>
      <c r="I697" s="213" t="s">
        <v>5920</v>
      </c>
    </row>
    <row r="698" spans="1:21" x14ac:dyDescent="0.25">
      <c r="A698" s="213" t="s">
        <v>328</v>
      </c>
    </row>
    <row r="699" spans="1:21" x14ac:dyDescent="0.25">
      <c r="A699" s="213" t="s">
        <v>327</v>
      </c>
      <c r="D699" s="213" t="s">
        <v>5921</v>
      </c>
      <c r="E699" s="213" t="s">
        <v>5922</v>
      </c>
      <c r="K699" s="213" t="s">
        <v>75062</v>
      </c>
      <c r="L699" s="213" t="s">
        <v>75104</v>
      </c>
      <c r="M699" s="213" t="s">
        <v>75146</v>
      </c>
      <c r="N699" s="213" t="s">
        <v>5923</v>
      </c>
      <c r="O699" s="213" t="s">
        <v>5924</v>
      </c>
      <c r="P699" s="213" t="s">
        <v>5925</v>
      </c>
      <c r="Q699" s="213" t="s">
        <v>5926</v>
      </c>
      <c r="R699" s="213" t="s">
        <v>5927</v>
      </c>
      <c r="S699" s="213" t="s">
        <v>5928</v>
      </c>
      <c r="T699" s="213" t="s">
        <v>5929</v>
      </c>
      <c r="U699" s="213" t="s">
        <v>75188</v>
      </c>
    </row>
    <row r="700" spans="1:21" x14ac:dyDescent="0.25">
      <c r="A700" s="213" t="s">
        <v>327</v>
      </c>
      <c r="D700" s="213" t="s">
        <v>5930</v>
      </c>
      <c r="E700" s="213" t="s">
        <v>5931</v>
      </c>
      <c r="K700" s="213" t="s">
        <v>75063</v>
      </c>
      <c r="L700" s="213" t="s">
        <v>75105</v>
      </c>
      <c r="M700" s="213" t="s">
        <v>75147</v>
      </c>
      <c r="N700" s="213" t="s">
        <v>5932</v>
      </c>
      <c r="O700" s="213" t="s">
        <v>5933</v>
      </c>
      <c r="P700" s="213" t="s">
        <v>5934</v>
      </c>
      <c r="Q700" s="213" t="s">
        <v>5935</v>
      </c>
      <c r="R700" s="213" t="s">
        <v>5936</v>
      </c>
      <c r="S700" s="213" t="s">
        <v>5937</v>
      </c>
      <c r="T700" s="213" t="s">
        <v>5938</v>
      </c>
      <c r="U700" s="213" t="s">
        <v>75189</v>
      </c>
    </row>
    <row r="701" spans="1:21" x14ac:dyDescent="0.25">
      <c r="A701" s="213" t="s">
        <v>327</v>
      </c>
      <c r="D701" s="213" t="s">
        <v>5939</v>
      </c>
      <c r="E701" s="213" t="s">
        <v>5940</v>
      </c>
      <c r="K701" s="213" t="s">
        <v>75064</v>
      </c>
      <c r="L701" s="213" t="s">
        <v>75106</v>
      </c>
      <c r="M701" s="213" t="s">
        <v>75148</v>
      </c>
      <c r="N701" s="213" t="s">
        <v>5941</v>
      </c>
      <c r="O701" s="213" t="s">
        <v>5942</v>
      </c>
      <c r="P701" s="213" t="s">
        <v>5943</v>
      </c>
      <c r="Q701" s="213" t="s">
        <v>5944</v>
      </c>
      <c r="R701" s="213" t="s">
        <v>5945</v>
      </c>
      <c r="S701" s="213" t="s">
        <v>5946</v>
      </c>
      <c r="T701" s="213" t="s">
        <v>5947</v>
      </c>
      <c r="U701" s="213" t="s">
        <v>75190</v>
      </c>
    </row>
    <row r="702" spans="1:21" x14ac:dyDescent="0.25">
      <c r="A702" s="213" t="s">
        <v>327</v>
      </c>
      <c r="D702" s="213" t="s">
        <v>5948</v>
      </c>
      <c r="E702" s="213" t="s">
        <v>5949</v>
      </c>
      <c r="K702" s="213" t="s">
        <v>75065</v>
      </c>
      <c r="L702" s="213" t="s">
        <v>75107</v>
      </c>
      <c r="M702" s="213" t="s">
        <v>75149</v>
      </c>
      <c r="N702" s="213" t="s">
        <v>5950</v>
      </c>
      <c r="O702" s="213" t="s">
        <v>5951</v>
      </c>
      <c r="P702" s="213" t="s">
        <v>5952</v>
      </c>
      <c r="Q702" s="213" t="s">
        <v>5953</v>
      </c>
      <c r="R702" s="213" t="s">
        <v>5954</v>
      </c>
      <c r="S702" s="213" t="s">
        <v>5955</v>
      </c>
      <c r="T702" s="213" t="s">
        <v>5956</v>
      </c>
      <c r="U702" s="213" t="s">
        <v>75191</v>
      </c>
    </row>
    <row r="703" spans="1:21" x14ac:dyDescent="0.25">
      <c r="A703" s="213" t="s">
        <v>327</v>
      </c>
      <c r="D703" s="213" t="s">
        <v>5957</v>
      </c>
      <c r="E703" s="213" t="s">
        <v>5958</v>
      </c>
      <c r="K703" s="213" t="s">
        <v>75066</v>
      </c>
      <c r="L703" s="213" t="s">
        <v>75108</v>
      </c>
      <c r="M703" s="213" t="s">
        <v>75150</v>
      </c>
      <c r="N703" s="213" t="s">
        <v>5959</v>
      </c>
      <c r="O703" s="213" t="s">
        <v>5960</v>
      </c>
      <c r="P703" s="213" t="s">
        <v>5961</v>
      </c>
      <c r="Q703" s="213" t="s">
        <v>5962</v>
      </c>
      <c r="R703" s="213" t="s">
        <v>5963</v>
      </c>
      <c r="S703" s="213" t="s">
        <v>5964</v>
      </c>
      <c r="T703" s="213" t="s">
        <v>5965</v>
      </c>
      <c r="U703" s="213" t="s">
        <v>75192</v>
      </c>
    </row>
    <row r="704" spans="1:21" x14ac:dyDescent="0.25">
      <c r="A704" s="213" t="s">
        <v>327</v>
      </c>
      <c r="D704" s="213" t="s">
        <v>5966</v>
      </c>
      <c r="E704" s="213" t="s">
        <v>5967</v>
      </c>
      <c r="K704" s="213" t="s">
        <v>75067</v>
      </c>
      <c r="L704" s="213" t="s">
        <v>75109</v>
      </c>
      <c r="M704" s="213" t="s">
        <v>75151</v>
      </c>
      <c r="N704" s="213" t="s">
        <v>5968</v>
      </c>
      <c r="O704" s="213" t="s">
        <v>5969</v>
      </c>
      <c r="P704" s="213" t="s">
        <v>5970</v>
      </c>
      <c r="Q704" s="213" t="s">
        <v>5971</v>
      </c>
      <c r="R704" s="213" t="s">
        <v>5972</v>
      </c>
      <c r="S704" s="213" t="s">
        <v>5973</v>
      </c>
      <c r="T704" s="213" t="s">
        <v>5974</v>
      </c>
      <c r="U704" s="213" t="s">
        <v>75193</v>
      </c>
    </row>
    <row r="705" spans="1:21" x14ac:dyDescent="0.25">
      <c r="A705" s="213" t="s">
        <v>327</v>
      </c>
      <c r="D705" s="213" t="s">
        <v>5975</v>
      </c>
      <c r="E705" s="213" t="s">
        <v>5976</v>
      </c>
      <c r="K705" s="213" t="s">
        <v>75068</v>
      </c>
      <c r="L705" s="213" t="s">
        <v>75110</v>
      </c>
      <c r="M705" s="213" t="s">
        <v>75152</v>
      </c>
      <c r="N705" s="213" t="s">
        <v>5977</v>
      </c>
      <c r="O705" s="213" t="s">
        <v>5978</v>
      </c>
      <c r="P705" s="213" t="s">
        <v>5979</v>
      </c>
      <c r="Q705" s="213" t="s">
        <v>5980</v>
      </c>
      <c r="R705" s="213" t="s">
        <v>5981</v>
      </c>
      <c r="S705" s="213" t="s">
        <v>5982</v>
      </c>
      <c r="T705" s="213" t="s">
        <v>5983</v>
      </c>
      <c r="U705" s="213" t="s">
        <v>75194</v>
      </c>
    </row>
    <row r="706" spans="1:21" x14ac:dyDescent="0.25">
      <c r="A706" s="213" t="s">
        <v>327</v>
      </c>
      <c r="D706" s="213" t="s">
        <v>5984</v>
      </c>
      <c r="E706" s="213" t="s">
        <v>5985</v>
      </c>
      <c r="K706" s="213" t="s">
        <v>75069</v>
      </c>
      <c r="L706" s="213" t="s">
        <v>75111</v>
      </c>
      <c r="M706" s="213" t="s">
        <v>75153</v>
      </c>
      <c r="N706" s="213" t="s">
        <v>5986</v>
      </c>
      <c r="O706" s="213" t="s">
        <v>5987</v>
      </c>
      <c r="P706" s="213" t="s">
        <v>5988</v>
      </c>
      <c r="Q706" s="213" t="s">
        <v>5989</v>
      </c>
      <c r="R706" s="213" t="s">
        <v>5990</v>
      </c>
      <c r="S706" s="213" t="s">
        <v>5991</v>
      </c>
      <c r="T706" s="213" t="s">
        <v>5992</v>
      </c>
      <c r="U706" s="213" t="s">
        <v>75195</v>
      </c>
    </row>
    <row r="707" spans="1:21" x14ac:dyDescent="0.25">
      <c r="A707" s="213" t="s">
        <v>327</v>
      </c>
      <c r="D707" s="213" t="s">
        <v>5993</v>
      </c>
      <c r="E707" s="213" t="s">
        <v>5994</v>
      </c>
      <c r="K707" s="213" t="s">
        <v>75070</v>
      </c>
      <c r="L707" s="213" t="s">
        <v>75112</v>
      </c>
      <c r="M707" s="213" t="s">
        <v>75154</v>
      </c>
      <c r="N707" s="213" t="s">
        <v>5995</v>
      </c>
      <c r="O707" s="213" t="s">
        <v>5996</v>
      </c>
      <c r="P707" s="213" t="s">
        <v>5997</v>
      </c>
      <c r="Q707" s="213" t="s">
        <v>5998</v>
      </c>
      <c r="R707" s="213" t="s">
        <v>5999</v>
      </c>
      <c r="S707" s="213" t="s">
        <v>6000</v>
      </c>
      <c r="T707" s="213" t="s">
        <v>6001</v>
      </c>
      <c r="U707" s="213" t="s">
        <v>75196</v>
      </c>
    </row>
    <row r="708" spans="1:21" x14ac:dyDescent="0.25">
      <c r="A708" s="213" t="s">
        <v>327</v>
      </c>
      <c r="D708" s="213" t="s">
        <v>6002</v>
      </c>
      <c r="E708" s="213" t="s">
        <v>6003</v>
      </c>
      <c r="K708" s="213" t="s">
        <v>75071</v>
      </c>
      <c r="L708" s="213" t="s">
        <v>75113</v>
      </c>
      <c r="M708" s="213" t="s">
        <v>75155</v>
      </c>
      <c r="N708" s="213" t="s">
        <v>6004</v>
      </c>
      <c r="O708" s="213" t="s">
        <v>6005</v>
      </c>
      <c r="P708" s="213" t="s">
        <v>6006</v>
      </c>
      <c r="Q708" s="213" t="s">
        <v>6007</v>
      </c>
      <c r="R708" s="213" t="s">
        <v>6008</v>
      </c>
      <c r="S708" s="213" t="s">
        <v>6009</v>
      </c>
      <c r="T708" s="213" t="s">
        <v>6010</v>
      </c>
      <c r="U708" s="213" t="s">
        <v>75197</v>
      </c>
    </row>
    <row r="709" spans="1:21" x14ac:dyDescent="0.25">
      <c r="A709" s="213" t="s">
        <v>327</v>
      </c>
      <c r="D709" s="213" t="s">
        <v>6011</v>
      </c>
      <c r="E709" s="213" t="s">
        <v>6012</v>
      </c>
      <c r="K709" s="213" t="s">
        <v>75072</v>
      </c>
      <c r="L709" s="213" t="s">
        <v>75114</v>
      </c>
      <c r="M709" s="213" t="s">
        <v>75156</v>
      </c>
      <c r="N709" s="213" t="s">
        <v>6013</v>
      </c>
      <c r="O709" s="213" t="s">
        <v>6014</v>
      </c>
      <c r="P709" s="213" t="s">
        <v>6015</v>
      </c>
      <c r="Q709" s="213" t="s">
        <v>6016</v>
      </c>
      <c r="R709" s="213" t="s">
        <v>6017</v>
      </c>
      <c r="S709" s="213" t="s">
        <v>6018</v>
      </c>
      <c r="T709" s="213" t="s">
        <v>6019</v>
      </c>
      <c r="U709" s="213" t="s">
        <v>75198</v>
      </c>
    </row>
    <row r="710" spans="1:21" x14ac:dyDescent="0.25">
      <c r="A710" s="213" t="s">
        <v>327</v>
      </c>
      <c r="D710" s="213" t="s">
        <v>6020</v>
      </c>
      <c r="E710" s="213" t="s">
        <v>6021</v>
      </c>
      <c r="K710" s="213" t="s">
        <v>75073</v>
      </c>
      <c r="L710" s="213" t="s">
        <v>75115</v>
      </c>
      <c r="M710" s="213" t="s">
        <v>75157</v>
      </c>
      <c r="N710" s="213" t="s">
        <v>6022</v>
      </c>
      <c r="O710" s="213" t="s">
        <v>6023</v>
      </c>
      <c r="P710" s="213" t="s">
        <v>6024</v>
      </c>
      <c r="Q710" s="213" t="s">
        <v>6025</v>
      </c>
      <c r="R710" s="213" t="s">
        <v>6026</v>
      </c>
      <c r="S710" s="213" t="s">
        <v>6027</v>
      </c>
      <c r="T710" s="213" t="s">
        <v>6028</v>
      </c>
      <c r="U710" s="213" t="s">
        <v>75199</v>
      </c>
    </row>
    <row r="711" spans="1:21" x14ac:dyDescent="0.25">
      <c r="A711" s="213" t="s">
        <v>327</v>
      </c>
      <c r="D711" s="213" t="s">
        <v>6029</v>
      </c>
      <c r="E711" s="213" t="s">
        <v>6030</v>
      </c>
      <c r="K711" s="213" t="s">
        <v>75074</v>
      </c>
      <c r="L711" s="213" t="s">
        <v>75116</v>
      </c>
      <c r="M711" s="213" t="s">
        <v>75158</v>
      </c>
      <c r="N711" s="213" t="s">
        <v>6031</v>
      </c>
      <c r="O711" s="213" t="s">
        <v>6032</v>
      </c>
      <c r="P711" s="213" t="s">
        <v>6033</v>
      </c>
      <c r="Q711" s="213" t="s">
        <v>6034</v>
      </c>
      <c r="R711" s="213" t="s">
        <v>6035</v>
      </c>
      <c r="S711" s="213" t="s">
        <v>6036</v>
      </c>
      <c r="T711" s="213" t="s">
        <v>6037</v>
      </c>
      <c r="U711" s="213" t="s">
        <v>75200</v>
      </c>
    </row>
    <row r="712" spans="1:21" x14ac:dyDescent="0.25">
      <c r="A712" s="213" t="s">
        <v>327</v>
      </c>
      <c r="D712" s="213" t="s">
        <v>6038</v>
      </c>
      <c r="E712" s="213" t="s">
        <v>6039</v>
      </c>
      <c r="K712" s="213" t="s">
        <v>75075</v>
      </c>
      <c r="L712" s="213" t="s">
        <v>75117</v>
      </c>
      <c r="M712" s="213" t="s">
        <v>75159</v>
      </c>
      <c r="N712" s="213" t="s">
        <v>6040</v>
      </c>
      <c r="O712" s="213" t="s">
        <v>6041</v>
      </c>
      <c r="P712" s="213" t="s">
        <v>6042</v>
      </c>
      <c r="Q712" s="213" t="s">
        <v>6043</v>
      </c>
      <c r="R712" s="213" t="s">
        <v>6044</v>
      </c>
      <c r="S712" s="213" t="s">
        <v>6045</v>
      </c>
      <c r="T712" s="213" t="s">
        <v>6046</v>
      </c>
      <c r="U712" s="213" t="s">
        <v>75201</v>
      </c>
    </row>
    <row r="713" spans="1:21" x14ac:dyDescent="0.25">
      <c r="A713" s="213" t="s">
        <v>327</v>
      </c>
      <c r="D713" s="213" t="s">
        <v>6047</v>
      </c>
      <c r="E713" s="213" t="s">
        <v>6048</v>
      </c>
      <c r="K713" s="213" t="s">
        <v>75076</v>
      </c>
      <c r="L713" s="213" t="s">
        <v>75118</v>
      </c>
      <c r="M713" s="213" t="s">
        <v>75160</v>
      </c>
      <c r="N713" s="213" t="s">
        <v>6049</v>
      </c>
      <c r="O713" s="213" t="s">
        <v>6050</v>
      </c>
      <c r="P713" s="213" t="s">
        <v>6051</v>
      </c>
      <c r="Q713" s="213" t="s">
        <v>6052</v>
      </c>
      <c r="R713" s="213" t="s">
        <v>6053</v>
      </c>
      <c r="S713" s="213" t="s">
        <v>6054</v>
      </c>
      <c r="T713" s="213" t="s">
        <v>6055</v>
      </c>
      <c r="U713" s="213" t="s">
        <v>75202</v>
      </c>
    </row>
    <row r="714" spans="1:21" x14ac:dyDescent="0.25">
      <c r="A714" s="213" t="s">
        <v>327</v>
      </c>
      <c r="D714" s="213" t="s">
        <v>6056</v>
      </c>
      <c r="E714" s="213" t="s">
        <v>6057</v>
      </c>
      <c r="K714" s="213" t="s">
        <v>75077</v>
      </c>
      <c r="L714" s="213" t="s">
        <v>75119</v>
      </c>
      <c r="M714" s="213" t="s">
        <v>75161</v>
      </c>
      <c r="N714" s="213" t="s">
        <v>6058</v>
      </c>
      <c r="O714" s="213" t="s">
        <v>6059</v>
      </c>
      <c r="P714" s="213" t="s">
        <v>6060</v>
      </c>
      <c r="Q714" s="213" t="s">
        <v>6061</v>
      </c>
      <c r="R714" s="213" t="s">
        <v>6062</v>
      </c>
      <c r="S714" s="213" t="s">
        <v>6063</v>
      </c>
      <c r="T714" s="213" t="s">
        <v>6064</v>
      </c>
      <c r="U714" s="213" t="s">
        <v>75203</v>
      </c>
    </row>
    <row r="715" spans="1:21" x14ac:dyDescent="0.25">
      <c r="A715" s="213" t="s">
        <v>327</v>
      </c>
      <c r="D715" s="213" t="s">
        <v>6065</v>
      </c>
      <c r="E715" s="213" t="s">
        <v>6066</v>
      </c>
      <c r="K715" s="213" t="s">
        <v>75078</v>
      </c>
      <c r="L715" s="213" t="s">
        <v>75120</v>
      </c>
      <c r="M715" s="213" t="s">
        <v>75162</v>
      </c>
      <c r="N715" s="213" t="s">
        <v>6067</v>
      </c>
      <c r="O715" s="213" t="s">
        <v>6068</v>
      </c>
      <c r="P715" s="213" t="s">
        <v>6069</v>
      </c>
      <c r="Q715" s="213" t="s">
        <v>6070</v>
      </c>
      <c r="R715" s="213" t="s">
        <v>6071</v>
      </c>
      <c r="S715" s="213" t="s">
        <v>6072</v>
      </c>
      <c r="T715" s="213" t="s">
        <v>6073</v>
      </c>
      <c r="U715" s="213" t="s">
        <v>75204</v>
      </c>
    </row>
    <row r="716" spans="1:21" x14ac:dyDescent="0.25">
      <c r="A716" s="213" t="s">
        <v>327</v>
      </c>
      <c r="D716" s="213" t="s">
        <v>6074</v>
      </c>
      <c r="E716" s="213" t="s">
        <v>6075</v>
      </c>
      <c r="K716" s="213" t="s">
        <v>75079</v>
      </c>
      <c r="L716" s="213" t="s">
        <v>75121</v>
      </c>
      <c r="M716" s="213" t="s">
        <v>75163</v>
      </c>
      <c r="N716" s="213" t="s">
        <v>6076</v>
      </c>
      <c r="O716" s="213" t="s">
        <v>6077</v>
      </c>
      <c r="P716" s="213" t="s">
        <v>6078</v>
      </c>
      <c r="Q716" s="213" t="s">
        <v>6079</v>
      </c>
      <c r="R716" s="213" t="s">
        <v>6080</v>
      </c>
      <c r="S716" s="213" t="s">
        <v>6081</v>
      </c>
      <c r="T716" s="213" t="s">
        <v>6082</v>
      </c>
      <c r="U716" s="213" t="s">
        <v>75205</v>
      </c>
    </row>
    <row r="717" spans="1:21" x14ac:dyDescent="0.25">
      <c r="A717" s="213" t="s">
        <v>327</v>
      </c>
      <c r="D717" s="213" t="s">
        <v>6083</v>
      </c>
      <c r="E717" s="213" t="s">
        <v>6084</v>
      </c>
      <c r="K717" s="213" t="s">
        <v>75080</v>
      </c>
      <c r="L717" s="213" t="s">
        <v>75122</v>
      </c>
      <c r="M717" s="213" t="s">
        <v>75164</v>
      </c>
      <c r="N717" s="213" t="s">
        <v>6085</v>
      </c>
      <c r="O717" s="213" t="s">
        <v>6086</v>
      </c>
      <c r="P717" s="213" t="s">
        <v>6087</v>
      </c>
      <c r="Q717" s="213" t="s">
        <v>6088</v>
      </c>
      <c r="R717" s="213" t="s">
        <v>6089</v>
      </c>
      <c r="S717" s="213" t="s">
        <v>6090</v>
      </c>
      <c r="T717" s="213" t="s">
        <v>6091</v>
      </c>
      <c r="U717" s="213" t="s">
        <v>75206</v>
      </c>
    </row>
    <row r="718" spans="1:21" x14ac:dyDescent="0.25">
      <c r="A718" s="213" t="s">
        <v>327</v>
      </c>
      <c r="D718" s="213" t="s">
        <v>6092</v>
      </c>
      <c r="E718" s="213" t="s">
        <v>6093</v>
      </c>
      <c r="K718" s="213" t="s">
        <v>75081</v>
      </c>
      <c r="L718" s="213" t="s">
        <v>75123</v>
      </c>
      <c r="M718" s="213" t="s">
        <v>75165</v>
      </c>
      <c r="N718" s="213" t="s">
        <v>6094</v>
      </c>
      <c r="O718" s="213" t="s">
        <v>6095</v>
      </c>
      <c r="P718" s="213" t="s">
        <v>6096</v>
      </c>
      <c r="Q718" s="213" t="s">
        <v>6097</v>
      </c>
      <c r="R718" s="213" t="s">
        <v>6098</v>
      </c>
      <c r="S718" s="213" t="s">
        <v>6099</v>
      </c>
      <c r="T718" s="213" t="s">
        <v>6100</v>
      </c>
      <c r="U718" s="213" t="s">
        <v>75207</v>
      </c>
    </row>
    <row r="719" spans="1:21" x14ac:dyDescent="0.25">
      <c r="A719" s="213" t="s">
        <v>327</v>
      </c>
      <c r="D719" s="213" t="s">
        <v>6101</v>
      </c>
      <c r="E719" s="213" t="s">
        <v>6102</v>
      </c>
      <c r="K719" s="213" t="s">
        <v>75082</v>
      </c>
      <c r="L719" s="213" t="s">
        <v>75124</v>
      </c>
      <c r="M719" s="213" t="s">
        <v>75166</v>
      </c>
      <c r="N719" s="213" t="s">
        <v>6103</v>
      </c>
      <c r="O719" s="213" t="s">
        <v>6104</v>
      </c>
      <c r="P719" s="213" t="s">
        <v>6105</v>
      </c>
      <c r="Q719" s="213" t="s">
        <v>6106</v>
      </c>
      <c r="R719" s="213" t="s">
        <v>6107</v>
      </c>
      <c r="S719" s="213" t="s">
        <v>6108</v>
      </c>
      <c r="T719" s="213" t="s">
        <v>6109</v>
      </c>
      <c r="U719" s="213" t="s">
        <v>75208</v>
      </c>
    </row>
    <row r="720" spans="1:21" x14ac:dyDescent="0.25">
      <c r="A720" s="213" t="s">
        <v>327</v>
      </c>
      <c r="D720" s="213" t="s">
        <v>6110</v>
      </c>
      <c r="E720" s="213" t="s">
        <v>6111</v>
      </c>
      <c r="K720" s="213" t="s">
        <v>75083</v>
      </c>
      <c r="L720" s="213" t="s">
        <v>75125</v>
      </c>
      <c r="M720" s="213" t="s">
        <v>75167</v>
      </c>
      <c r="N720" s="213" t="s">
        <v>6112</v>
      </c>
      <c r="O720" s="213" t="s">
        <v>6113</v>
      </c>
      <c r="P720" s="213" t="s">
        <v>6114</v>
      </c>
      <c r="Q720" s="213" t="s">
        <v>6115</v>
      </c>
      <c r="R720" s="213" t="s">
        <v>6116</v>
      </c>
      <c r="S720" s="213" t="s">
        <v>6117</v>
      </c>
      <c r="T720" s="213" t="s">
        <v>6118</v>
      </c>
      <c r="U720" s="213" t="s">
        <v>75209</v>
      </c>
    </row>
    <row r="721" spans="1:21" x14ac:dyDescent="0.25">
      <c r="A721" s="213" t="s">
        <v>327</v>
      </c>
      <c r="D721" s="213" t="s">
        <v>6119</v>
      </c>
      <c r="E721" s="213" t="s">
        <v>6120</v>
      </c>
      <c r="K721" s="213" t="s">
        <v>75084</v>
      </c>
      <c r="L721" s="213" t="s">
        <v>75126</v>
      </c>
      <c r="M721" s="213" t="s">
        <v>75168</v>
      </c>
      <c r="N721" s="213" t="s">
        <v>6121</v>
      </c>
      <c r="O721" s="213" t="s">
        <v>6122</v>
      </c>
      <c r="P721" s="213" t="s">
        <v>6123</v>
      </c>
      <c r="Q721" s="213" t="s">
        <v>6124</v>
      </c>
      <c r="R721" s="213" t="s">
        <v>6125</v>
      </c>
      <c r="S721" s="213" t="s">
        <v>6126</v>
      </c>
      <c r="T721" s="213" t="s">
        <v>6127</v>
      </c>
      <c r="U721" s="213" t="s">
        <v>75210</v>
      </c>
    </row>
    <row r="722" spans="1:21" x14ac:dyDescent="0.25">
      <c r="A722" s="213" t="s">
        <v>327</v>
      </c>
      <c r="D722" s="213" t="s">
        <v>6128</v>
      </c>
      <c r="E722" s="213" t="s">
        <v>6129</v>
      </c>
      <c r="K722" s="213" t="s">
        <v>75085</v>
      </c>
      <c r="L722" s="213" t="s">
        <v>75127</v>
      </c>
      <c r="M722" s="213" t="s">
        <v>75169</v>
      </c>
      <c r="N722" s="213" t="s">
        <v>6130</v>
      </c>
      <c r="O722" s="213" t="s">
        <v>6131</v>
      </c>
      <c r="P722" s="213" t="s">
        <v>6132</v>
      </c>
      <c r="Q722" s="213" t="s">
        <v>6133</v>
      </c>
      <c r="R722" s="213" t="s">
        <v>6134</v>
      </c>
      <c r="S722" s="213" t="s">
        <v>6135</v>
      </c>
      <c r="T722" s="213" t="s">
        <v>6136</v>
      </c>
      <c r="U722" s="213" t="s">
        <v>75211</v>
      </c>
    </row>
    <row r="723" spans="1:21" x14ac:dyDescent="0.25">
      <c r="A723" s="213" t="s">
        <v>327</v>
      </c>
      <c r="D723" s="213" t="s">
        <v>6137</v>
      </c>
      <c r="E723" s="213" t="s">
        <v>6138</v>
      </c>
      <c r="K723" s="213" t="s">
        <v>75086</v>
      </c>
      <c r="L723" s="213" t="s">
        <v>75128</v>
      </c>
      <c r="M723" s="213" t="s">
        <v>75170</v>
      </c>
      <c r="N723" s="213" t="s">
        <v>6139</v>
      </c>
      <c r="O723" s="213" t="s">
        <v>6140</v>
      </c>
      <c r="P723" s="213" t="s">
        <v>6141</v>
      </c>
      <c r="Q723" s="213" t="s">
        <v>6142</v>
      </c>
      <c r="R723" s="213" t="s">
        <v>6143</v>
      </c>
      <c r="S723" s="213" t="s">
        <v>6144</v>
      </c>
      <c r="T723" s="213" t="s">
        <v>6145</v>
      </c>
      <c r="U723" s="213" t="s">
        <v>75212</v>
      </c>
    </row>
    <row r="724" spans="1:21" x14ac:dyDescent="0.25">
      <c r="A724" s="213" t="s">
        <v>327</v>
      </c>
      <c r="D724" s="213" t="s">
        <v>6146</v>
      </c>
      <c r="E724" s="213" t="s">
        <v>6147</v>
      </c>
      <c r="K724" s="213" t="s">
        <v>75087</v>
      </c>
      <c r="L724" s="213" t="s">
        <v>75129</v>
      </c>
      <c r="M724" s="213" t="s">
        <v>75171</v>
      </c>
      <c r="N724" s="213" t="s">
        <v>6148</v>
      </c>
      <c r="O724" s="213" t="s">
        <v>6149</v>
      </c>
      <c r="P724" s="213" t="s">
        <v>6150</v>
      </c>
      <c r="Q724" s="213" t="s">
        <v>6151</v>
      </c>
      <c r="R724" s="213" t="s">
        <v>6152</v>
      </c>
      <c r="S724" s="213" t="s">
        <v>6153</v>
      </c>
      <c r="T724" s="213" t="s">
        <v>6154</v>
      </c>
      <c r="U724" s="213" t="s">
        <v>75213</v>
      </c>
    </row>
    <row r="725" spans="1:21" x14ac:dyDescent="0.25">
      <c r="A725" s="213" t="s">
        <v>327</v>
      </c>
      <c r="D725" s="213" t="s">
        <v>6155</v>
      </c>
      <c r="E725" s="213" t="s">
        <v>6156</v>
      </c>
      <c r="K725" s="213" t="s">
        <v>75088</v>
      </c>
      <c r="L725" s="213" t="s">
        <v>75130</v>
      </c>
      <c r="M725" s="213" t="s">
        <v>75172</v>
      </c>
      <c r="N725" s="213" t="s">
        <v>6157</v>
      </c>
      <c r="O725" s="213" t="s">
        <v>6158</v>
      </c>
      <c r="P725" s="213" t="s">
        <v>6159</v>
      </c>
      <c r="Q725" s="213" t="s">
        <v>6160</v>
      </c>
      <c r="R725" s="213" t="s">
        <v>6161</v>
      </c>
      <c r="S725" s="213" t="s">
        <v>6162</v>
      </c>
      <c r="T725" s="213" t="s">
        <v>6163</v>
      </c>
      <c r="U725" s="213" t="s">
        <v>75214</v>
      </c>
    </row>
    <row r="726" spans="1:21" x14ac:dyDescent="0.25">
      <c r="A726" s="213" t="s">
        <v>327</v>
      </c>
      <c r="D726" s="213" t="s">
        <v>6164</v>
      </c>
      <c r="E726" s="213" t="s">
        <v>6165</v>
      </c>
      <c r="K726" s="213" t="s">
        <v>75089</v>
      </c>
      <c r="L726" s="213" t="s">
        <v>75131</v>
      </c>
      <c r="M726" s="213" t="s">
        <v>75173</v>
      </c>
      <c r="N726" s="213" t="s">
        <v>6166</v>
      </c>
      <c r="O726" s="213" t="s">
        <v>6167</v>
      </c>
      <c r="P726" s="213" t="s">
        <v>6168</v>
      </c>
      <c r="Q726" s="213" t="s">
        <v>6169</v>
      </c>
      <c r="R726" s="213" t="s">
        <v>6170</v>
      </c>
      <c r="S726" s="213" t="s">
        <v>6171</v>
      </c>
      <c r="T726" s="213" t="s">
        <v>6172</v>
      </c>
      <c r="U726" s="213" t="s">
        <v>75215</v>
      </c>
    </row>
    <row r="727" spans="1:21" x14ac:dyDescent="0.25">
      <c r="A727" s="213" t="s">
        <v>327</v>
      </c>
      <c r="D727" s="213" t="s">
        <v>6173</v>
      </c>
      <c r="E727" s="213" t="s">
        <v>6174</v>
      </c>
      <c r="K727" s="213" t="s">
        <v>75090</v>
      </c>
      <c r="L727" s="213" t="s">
        <v>75132</v>
      </c>
      <c r="M727" s="213" t="s">
        <v>75174</v>
      </c>
      <c r="N727" s="213" t="s">
        <v>6175</v>
      </c>
      <c r="O727" s="213" t="s">
        <v>6176</v>
      </c>
      <c r="P727" s="213" t="s">
        <v>6177</v>
      </c>
      <c r="Q727" s="213" t="s">
        <v>6178</v>
      </c>
      <c r="R727" s="213" t="s">
        <v>6179</v>
      </c>
      <c r="S727" s="213" t="s">
        <v>6180</v>
      </c>
      <c r="T727" s="213" t="s">
        <v>6181</v>
      </c>
      <c r="U727" s="213" t="s">
        <v>75216</v>
      </c>
    </row>
    <row r="728" spans="1:21" x14ac:dyDescent="0.25">
      <c r="A728" s="213" t="s">
        <v>327</v>
      </c>
      <c r="D728" s="213" t="s">
        <v>6182</v>
      </c>
      <c r="E728" s="213" t="s">
        <v>6183</v>
      </c>
      <c r="K728" s="213" t="s">
        <v>75091</v>
      </c>
      <c r="L728" s="213" t="s">
        <v>75133</v>
      </c>
      <c r="M728" s="213" t="s">
        <v>75175</v>
      </c>
      <c r="N728" s="213" t="s">
        <v>6184</v>
      </c>
      <c r="O728" s="213" t="s">
        <v>6185</v>
      </c>
      <c r="P728" s="213" t="s">
        <v>6186</v>
      </c>
      <c r="Q728" s="213" t="s">
        <v>6187</v>
      </c>
      <c r="R728" s="213" t="s">
        <v>6188</v>
      </c>
      <c r="S728" s="213" t="s">
        <v>6189</v>
      </c>
      <c r="T728" s="213" t="s">
        <v>6190</v>
      </c>
      <c r="U728" s="213" t="s">
        <v>75217</v>
      </c>
    </row>
    <row r="729" spans="1:21" x14ac:dyDescent="0.25">
      <c r="A729" s="213" t="s">
        <v>327</v>
      </c>
      <c r="D729" s="213" t="s">
        <v>6191</v>
      </c>
      <c r="E729" s="213" t="s">
        <v>6192</v>
      </c>
      <c r="K729" s="213" t="s">
        <v>75092</v>
      </c>
      <c r="L729" s="213" t="s">
        <v>75134</v>
      </c>
      <c r="M729" s="213" t="s">
        <v>75176</v>
      </c>
      <c r="N729" s="213" t="s">
        <v>6193</v>
      </c>
      <c r="O729" s="213" t="s">
        <v>6194</v>
      </c>
      <c r="P729" s="213" t="s">
        <v>6195</v>
      </c>
      <c r="Q729" s="213" t="s">
        <v>6196</v>
      </c>
      <c r="R729" s="213" t="s">
        <v>6197</v>
      </c>
      <c r="S729" s="213" t="s">
        <v>6198</v>
      </c>
      <c r="T729" s="213" t="s">
        <v>6199</v>
      </c>
      <c r="U729" s="213" t="s">
        <v>75218</v>
      </c>
    </row>
    <row r="730" spans="1:21" x14ac:dyDescent="0.25">
      <c r="A730" s="213" t="s">
        <v>327</v>
      </c>
      <c r="D730" s="213" t="s">
        <v>6200</v>
      </c>
      <c r="E730" s="213" t="s">
        <v>6201</v>
      </c>
      <c r="K730" s="213" t="s">
        <v>75093</v>
      </c>
      <c r="L730" s="213" t="s">
        <v>75135</v>
      </c>
      <c r="M730" s="213" t="s">
        <v>75177</v>
      </c>
      <c r="N730" s="213" t="s">
        <v>6202</v>
      </c>
      <c r="O730" s="213" t="s">
        <v>6203</v>
      </c>
      <c r="P730" s="213" t="s">
        <v>6204</v>
      </c>
      <c r="Q730" s="213" t="s">
        <v>6205</v>
      </c>
      <c r="R730" s="213" t="s">
        <v>6206</v>
      </c>
      <c r="S730" s="213" t="s">
        <v>6207</v>
      </c>
      <c r="T730" s="213" t="s">
        <v>6208</v>
      </c>
      <c r="U730" s="213" t="s">
        <v>75219</v>
      </c>
    </row>
    <row r="731" spans="1:21" x14ac:dyDescent="0.25">
      <c r="A731" s="213" t="s">
        <v>327</v>
      </c>
      <c r="D731" s="213" t="s">
        <v>6209</v>
      </c>
      <c r="E731" s="213" t="s">
        <v>6210</v>
      </c>
      <c r="K731" s="213" t="s">
        <v>75094</v>
      </c>
      <c r="L731" s="213" t="s">
        <v>75136</v>
      </c>
      <c r="M731" s="213" t="s">
        <v>75178</v>
      </c>
      <c r="N731" s="213" t="s">
        <v>6211</v>
      </c>
      <c r="O731" s="213" t="s">
        <v>6212</v>
      </c>
      <c r="P731" s="213" t="s">
        <v>6213</v>
      </c>
      <c r="Q731" s="213" t="s">
        <v>6214</v>
      </c>
      <c r="R731" s="213" t="s">
        <v>6215</v>
      </c>
      <c r="S731" s="213" t="s">
        <v>6216</v>
      </c>
      <c r="T731" s="213" t="s">
        <v>6217</v>
      </c>
      <c r="U731" s="213" t="s">
        <v>75220</v>
      </c>
    </row>
    <row r="732" spans="1:21" x14ac:dyDescent="0.25">
      <c r="A732" s="213" t="s">
        <v>327</v>
      </c>
      <c r="D732" s="213" t="s">
        <v>6218</v>
      </c>
      <c r="E732" s="213" t="s">
        <v>6219</v>
      </c>
      <c r="K732" s="213" t="s">
        <v>75095</v>
      </c>
      <c r="L732" s="213" t="s">
        <v>75137</v>
      </c>
      <c r="M732" s="213" t="s">
        <v>75179</v>
      </c>
      <c r="N732" s="213" t="s">
        <v>6220</v>
      </c>
      <c r="O732" s="213" t="s">
        <v>6221</v>
      </c>
      <c r="P732" s="213" t="s">
        <v>6222</v>
      </c>
      <c r="Q732" s="213" t="s">
        <v>6223</v>
      </c>
      <c r="R732" s="213" t="s">
        <v>6224</v>
      </c>
      <c r="S732" s="213" t="s">
        <v>6225</v>
      </c>
      <c r="T732" s="213" t="s">
        <v>6226</v>
      </c>
      <c r="U732" s="213" t="s">
        <v>75221</v>
      </c>
    </row>
    <row r="733" spans="1:21" x14ac:dyDescent="0.25">
      <c r="A733" s="213" t="s">
        <v>327</v>
      </c>
      <c r="D733" s="213" t="s">
        <v>6227</v>
      </c>
      <c r="E733" s="213" t="s">
        <v>6228</v>
      </c>
      <c r="K733" s="213" t="s">
        <v>75096</v>
      </c>
      <c r="L733" s="213" t="s">
        <v>75138</v>
      </c>
      <c r="M733" s="213" t="s">
        <v>75180</v>
      </c>
      <c r="N733" s="213" t="s">
        <v>6229</v>
      </c>
      <c r="O733" s="213" t="s">
        <v>6230</v>
      </c>
      <c r="P733" s="213" t="s">
        <v>6231</v>
      </c>
      <c r="Q733" s="213" t="s">
        <v>6232</v>
      </c>
      <c r="R733" s="213" t="s">
        <v>6233</v>
      </c>
      <c r="S733" s="213" t="s">
        <v>6234</v>
      </c>
      <c r="T733" s="213" t="s">
        <v>6235</v>
      </c>
      <c r="U733" s="213" t="s">
        <v>75222</v>
      </c>
    </row>
    <row r="734" spans="1:21" x14ac:dyDescent="0.25">
      <c r="A734" s="213" t="s">
        <v>327</v>
      </c>
      <c r="D734" s="213" t="s">
        <v>6236</v>
      </c>
      <c r="E734" s="213" t="s">
        <v>6237</v>
      </c>
      <c r="K734" s="213" t="s">
        <v>75097</v>
      </c>
      <c r="L734" s="213" t="s">
        <v>75139</v>
      </c>
      <c r="M734" s="213" t="s">
        <v>75181</v>
      </c>
      <c r="N734" s="213" t="s">
        <v>6238</v>
      </c>
      <c r="O734" s="213" t="s">
        <v>6239</v>
      </c>
      <c r="P734" s="213" t="s">
        <v>6240</v>
      </c>
      <c r="Q734" s="213" t="s">
        <v>6241</v>
      </c>
      <c r="R734" s="213" t="s">
        <v>6242</v>
      </c>
      <c r="S734" s="213" t="s">
        <v>6243</v>
      </c>
      <c r="T734" s="213" t="s">
        <v>6244</v>
      </c>
      <c r="U734" s="213" t="s">
        <v>75223</v>
      </c>
    </row>
    <row r="735" spans="1:21" x14ac:dyDescent="0.25">
      <c r="A735" s="213" t="s">
        <v>327</v>
      </c>
      <c r="D735" s="213" t="s">
        <v>6245</v>
      </c>
      <c r="E735" s="213" t="s">
        <v>6246</v>
      </c>
      <c r="K735" s="213" t="s">
        <v>75098</v>
      </c>
      <c r="L735" s="213" t="s">
        <v>75140</v>
      </c>
      <c r="M735" s="213" t="s">
        <v>75182</v>
      </c>
      <c r="N735" s="213" t="s">
        <v>6247</v>
      </c>
      <c r="O735" s="213" t="s">
        <v>6248</v>
      </c>
      <c r="P735" s="213" t="s">
        <v>6249</v>
      </c>
      <c r="Q735" s="213" t="s">
        <v>6250</v>
      </c>
      <c r="R735" s="213" t="s">
        <v>6251</v>
      </c>
      <c r="S735" s="213" t="s">
        <v>6252</v>
      </c>
      <c r="T735" s="213" t="s">
        <v>6253</v>
      </c>
      <c r="U735" s="213" t="s">
        <v>75224</v>
      </c>
    </row>
    <row r="736" spans="1:21" x14ac:dyDescent="0.25">
      <c r="A736" s="213" t="s">
        <v>327</v>
      </c>
      <c r="D736" s="213" t="s">
        <v>6254</v>
      </c>
      <c r="E736" s="213" t="s">
        <v>6255</v>
      </c>
      <c r="K736" s="213" t="s">
        <v>75099</v>
      </c>
      <c r="L736" s="213" t="s">
        <v>75141</v>
      </c>
      <c r="M736" s="213" t="s">
        <v>75183</v>
      </c>
      <c r="N736" s="213" t="s">
        <v>6256</v>
      </c>
      <c r="O736" s="213" t="s">
        <v>6257</v>
      </c>
      <c r="P736" s="213" t="s">
        <v>6258</v>
      </c>
      <c r="Q736" s="213" t="s">
        <v>6259</v>
      </c>
      <c r="R736" s="213" t="s">
        <v>6260</v>
      </c>
      <c r="S736" s="213" t="s">
        <v>6261</v>
      </c>
      <c r="T736" s="213" t="s">
        <v>6262</v>
      </c>
      <c r="U736" s="213" t="s">
        <v>75225</v>
      </c>
    </row>
    <row r="737" spans="1:21" x14ac:dyDescent="0.25">
      <c r="A737" s="213" t="s">
        <v>327</v>
      </c>
      <c r="D737" s="213" t="s">
        <v>6263</v>
      </c>
      <c r="E737" s="213" t="s">
        <v>6264</v>
      </c>
      <c r="K737" s="213" t="s">
        <v>75100</v>
      </c>
      <c r="L737" s="213" t="s">
        <v>75142</v>
      </c>
      <c r="M737" s="213" t="s">
        <v>75184</v>
      </c>
      <c r="N737" s="213" t="s">
        <v>6265</v>
      </c>
      <c r="O737" s="213" t="s">
        <v>6266</v>
      </c>
      <c r="P737" s="213" t="s">
        <v>6267</v>
      </c>
      <c r="Q737" s="213" t="s">
        <v>6268</v>
      </c>
      <c r="R737" s="213" t="s">
        <v>6269</v>
      </c>
      <c r="S737" s="213" t="s">
        <v>6270</v>
      </c>
      <c r="T737" s="213" t="s">
        <v>6271</v>
      </c>
      <c r="U737" s="213" t="s">
        <v>75226</v>
      </c>
    </row>
    <row r="738" spans="1:21" x14ac:dyDescent="0.25">
      <c r="A738" s="213" t="s">
        <v>327</v>
      </c>
      <c r="D738" s="213" t="s">
        <v>6272</v>
      </c>
      <c r="E738" s="213" t="s">
        <v>6273</v>
      </c>
      <c r="K738" s="213" t="s">
        <v>75101</v>
      </c>
      <c r="L738" s="213" t="s">
        <v>75143</v>
      </c>
      <c r="M738" s="213" t="s">
        <v>75185</v>
      </c>
      <c r="N738" s="213" t="s">
        <v>6274</v>
      </c>
      <c r="O738" s="213" t="s">
        <v>6275</v>
      </c>
      <c r="P738" s="213" t="s">
        <v>6276</v>
      </c>
      <c r="Q738" s="213" t="s">
        <v>6277</v>
      </c>
      <c r="R738" s="213" t="s">
        <v>6278</v>
      </c>
      <c r="S738" s="213" t="s">
        <v>6279</v>
      </c>
      <c r="T738" s="213" t="s">
        <v>6280</v>
      </c>
      <c r="U738" s="213" t="s">
        <v>75227</v>
      </c>
    </row>
    <row r="739" spans="1:21" x14ac:dyDescent="0.25">
      <c r="A739" s="213" t="s">
        <v>327</v>
      </c>
      <c r="D739" s="213" t="s">
        <v>6281</v>
      </c>
      <c r="E739" s="213" t="s">
        <v>6282</v>
      </c>
      <c r="K739" s="213" t="s">
        <v>75102</v>
      </c>
      <c r="L739" s="213" t="s">
        <v>75144</v>
      </c>
      <c r="M739" s="213" t="s">
        <v>75186</v>
      </c>
      <c r="N739" s="213" t="s">
        <v>6283</v>
      </c>
      <c r="O739" s="213" t="s">
        <v>6284</v>
      </c>
      <c r="P739" s="213" t="s">
        <v>6285</v>
      </c>
      <c r="Q739" s="213" t="s">
        <v>6286</v>
      </c>
      <c r="R739" s="213" t="s">
        <v>6287</v>
      </c>
      <c r="S739" s="213" t="s">
        <v>6288</v>
      </c>
      <c r="T739" s="213" t="s">
        <v>6289</v>
      </c>
      <c r="U739" s="213" t="s">
        <v>75228</v>
      </c>
    </row>
    <row r="740" spans="1:21" x14ac:dyDescent="0.25">
      <c r="A740" s="213" t="s">
        <v>327</v>
      </c>
      <c r="D740" s="213" t="s">
        <v>6290</v>
      </c>
      <c r="E740" s="213" t="s">
        <v>6291</v>
      </c>
      <c r="K740" s="213" t="s">
        <v>75103</v>
      </c>
      <c r="L740" s="213" t="s">
        <v>75145</v>
      </c>
      <c r="M740" s="213" t="s">
        <v>75187</v>
      </c>
      <c r="N740" s="213" t="s">
        <v>6292</v>
      </c>
      <c r="O740" s="213" t="s">
        <v>6293</v>
      </c>
      <c r="P740" s="213" t="s">
        <v>6294</v>
      </c>
      <c r="Q740" s="213" t="s">
        <v>6295</v>
      </c>
      <c r="R740" s="213" t="s">
        <v>6296</v>
      </c>
      <c r="S740" s="213" t="s">
        <v>6297</v>
      </c>
      <c r="T740" s="213" t="s">
        <v>6298</v>
      </c>
      <c r="U740" s="213" t="s">
        <v>75229</v>
      </c>
    </row>
    <row r="741" spans="1:21" x14ac:dyDescent="0.25">
      <c r="A741" s="213" t="s">
        <v>327</v>
      </c>
    </row>
    <row r="742" spans="1:21" x14ac:dyDescent="0.25">
      <c r="A742" s="213" t="s">
        <v>327</v>
      </c>
    </row>
    <row r="743" spans="1:21" x14ac:dyDescent="0.25">
      <c r="A743" s="213" t="s">
        <v>327</v>
      </c>
      <c r="C743" s="213" t="s">
        <v>6299</v>
      </c>
      <c r="E743" s="213" t="s">
        <v>6300</v>
      </c>
      <c r="H743" s="213" t="s">
        <v>6301</v>
      </c>
      <c r="I743" s="213" t="s">
        <v>6302</v>
      </c>
      <c r="J743" s="213" t="s">
        <v>6303</v>
      </c>
      <c r="L743" s="213" t="s">
        <v>6304</v>
      </c>
      <c r="O743" s="213" t="s">
        <v>6305</v>
      </c>
      <c r="P743" s="213" t="s">
        <v>6306</v>
      </c>
      <c r="Q743" s="213" t="s">
        <v>6307</v>
      </c>
      <c r="R743" s="213" t="s">
        <v>6308</v>
      </c>
      <c r="S743" s="213" t="s">
        <v>6309</v>
      </c>
      <c r="T743" s="213" t="s">
        <v>6310</v>
      </c>
    </row>
    <row r="744" spans="1:21" x14ac:dyDescent="0.25">
      <c r="A744" s="213" t="s">
        <v>327</v>
      </c>
      <c r="C744" s="213" t="s">
        <v>6311</v>
      </c>
      <c r="E744" s="213" t="s">
        <v>6312</v>
      </c>
      <c r="I744" s="213" t="s">
        <v>6313</v>
      </c>
    </row>
    <row r="745" spans="1:21" x14ac:dyDescent="0.25">
      <c r="A745" s="213" t="s">
        <v>327</v>
      </c>
      <c r="C745" s="213" t="s">
        <v>6314</v>
      </c>
      <c r="E745" s="213" t="s">
        <v>6315</v>
      </c>
      <c r="I745" s="213" t="s">
        <v>6316</v>
      </c>
    </row>
    <row r="746" spans="1:21" x14ac:dyDescent="0.25">
      <c r="A746" s="213" t="s">
        <v>328</v>
      </c>
    </row>
    <row r="747" spans="1:21" x14ac:dyDescent="0.25">
      <c r="A747" s="213" t="s">
        <v>327</v>
      </c>
      <c r="D747" s="213" t="s">
        <v>6317</v>
      </c>
      <c r="E747" s="213" t="s">
        <v>6318</v>
      </c>
      <c r="K747" s="213" t="s">
        <v>74962</v>
      </c>
      <c r="L747" s="213" t="s">
        <v>74987</v>
      </c>
      <c r="M747" s="213" t="s">
        <v>75012</v>
      </c>
      <c r="N747" s="213" t="s">
        <v>6319</v>
      </c>
      <c r="O747" s="213" t="s">
        <v>6320</v>
      </c>
      <c r="P747" s="213" t="s">
        <v>6321</v>
      </c>
      <c r="Q747" s="213" t="s">
        <v>6322</v>
      </c>
      <c r="R747" s="213" t="s">
        <v>6323</v>
      </c>
      <c r="S747" s="213" t="s">
        <v>6324</v>
      </c>
      <c r="T747" s="213" t="s">
        <v>6325</v>
      </c>
      <c r="U747" s="213" t="s">
        <v>75037</v>
      </c>
    </row>
    <row r="748" spans="1:21" x14ac:dyDescent="0.25">
      <c r="A748" s="213" t="s">
        <v>327</v>
      </c>
      <c r="D748" s="213" t="s">
        <v>6326</v>
      </c>
      <c r="E748" s="213" t="s">
        <v>6327</v>
      </c>
      <c r="K748" s="213" t="s">
        <v>74963</v>
      </c>
      <c r="L748" s="213" t="s">
        <v>74988</v>
      </c>
      <c r="M748" s="213" t="s">
        <v>75013</v>
      </c>
      <c r="N748" s="213" t="s">
        <v>6328</v>
      </c>
      <c r="O748" s="213" t="s">
        <v>6329</v>
      </c>
      <c r="P748" s="213" t="s">
        <v>6330</v>
      </c>
      <c r="Q748" s="213" t="s">
        <v>6331</v>
      </c>
      <c r="R748" s="213" t="s">
        <v>6332</v>
      </c>
      <c r="S748" s="213" t="s">
        <v>6333</v>
      </c>
      <c r="T748" s="213" t="s">
        <v>6334</v>
      </c>
      <c r="U748" s="213" t="s">
        <v>75038</v>
      </c>
    </row>
    <row r="749" spans="1:21" x14ac:dyDescent="0.25">
      <c r="A749" s="213" t="s">
        <v>327</v>
      </c>
      <c r="D749" s="213" t="s">
        <v>6335</v>
      </c>
      <c r="E749" s="213" t="s">
        <v>6336</v>
      </c>
      <c r="K749" s="213" t="s">
        <v>74964</v>
      </c>
      <c r="L749" s="213" t="s">
        <v>74989</v>
      </c>
      <c r="M749" s="213" t="s">
        <v>75014</v>
      </c>
      <c r="N749" s="213" t="s">
        <v>6337</v>
      </c>
      <c r="O749" s="213" t="s">
        <v>6338</v>
      </c>
      <c r="P749" s="213" t="s">
        <v>6339</v>
      </c>
      <c r="Q749" s="213" t="s">
        <v>6340</v>
      </c>
      <c r="R749" s="213" t="s">
        <v>6341</v>
      </c>
      <c r="S749" s="213" t="s">
        <v>6342</v>
      </c>
      <c r="T749" s="213" t="s">
        <v>6343</v>
      </c>
      <c r="U749" s="213" t="s">
        <v>75039</v>
      </c>
    </row>
    <row r="750" spans="1:21" x14ac:dyDescent="0.25">
      <c r="A750" s="213" t="s">
        <v>327</v>
      </c>
      <c r="D750" s="213" t="s">
        <v>6344</v>
      </c>
      <c r="E750" s="213" t="s">
        <v>6345</v>
      </c>
      <c r="K750" s="213" t="s">
        <v>74965</v>
      </c>
      <c r="L750" s="213" t="s">
        <v>74990</v>
      </c>
      <c r="M750" s="213" t="s">
        <v>75015</v>
      </c>
      <c r="N750" s="213" t="s">
        <v>6346</v>
      </c>
      <c r="O750" s="213" t="s">
        <v>6347</v>
      </c>
      <c r="P750" s="213" t="s">
        <v>6348</v>
      </c>
      <c r="Q750" s="213" t="s">
        <v>6349</v>
      </c>
      <c r="R750" s="213" t="s">
        <v>6350</v>
      </c>
      <c r="S750" s="213" t="s">
        <v>6351</v>
      </c>
      <c r="T750" s="213" t="s">
        <v>6352</v>
      </c>
      <c r="U750" s="213" t="s">
        <v>75040</v>
      </c>
    </row>
    <row r="751" spans="1:21" x14ac:dyDescent="0.25">
      <c r="A751" s="213" t="s">
        <v>327</v>
      </c>
      <c r="D751" s="213" t="s">
        <v>6353</v>
      </c>
      <c r="E751" s="213" t="s">
        <v>6354</v>
      </c>
      <c r="K751" s="213" t="s">
        <v>74966</v>
      </c>
      <c r="L751" s="213" t="s">
        <v>74991</v>
      </c>
      <c r="M751" s="213" t="s">
        <v>75016</v>
      </c>
      <c r="N751" s="213" t="s">
        <v>6355</v>
      </c>
      <c r="O751" s="213" t="s">
        <v>6356</v>
      </c>
      <c r="P751" s="213" t="s">
        <v>6357</v>
      </c>
      <c r="Q751" s="213" t="s">
        <v>6358</v>
      </c>
      <c r="R751" s="213" t="s">
        <v>6359</v>
      </c>
      <c r="S751" s="213" t="s">
        <v>6360</v>
      </c>
      <c r="T751" s="213" t="s">
        <v>6361</v>
      </c>
      <c r="U751" s="213" t="s">
        <v>75041</v>
      </c>
    </row>
    <row r="752" spans="1:21" x14ac:dyDescent="0.25">
      <c r="A752" s="213" t="s">
        <v>327</v>
      </c>
      <c r="D752" s="213" t="s">
        <v>6362</v>
      </c>
      <c r="E752" s="213" t="s">
        <v>6363</v>
      </c>
      <c r="K752" s="213" t="s">
        <v>74967</v>
      </c>
      <c r="L752" s="213" t="s">
        <v>74992</v>
      </c>
      <c r="M752" s="213" t="s">
        <v>75017</v>
      </c>
      <c r="N752" s="213" t="s">
        <v>6364</v>
      </c>
      <c r="O752" s="213" t="s">
        <v>6365</v>
      </c>
      <c r="P752" s="213" t="s">
        <v>6366</v>
      </c>
      <c r="Q752" s="213" t="s">
        <v>6367</v>
      </c>
      <c r="R752" s="213" t="s">
        <v>6368</v>
      </c>
      <c r="S752" s="213" t="s">
        <v>6369</v>
      </c>
      <c r="T752" s="213" t="s">
        <v>6370</v>
      </c>
      <c r="U752" s="213" t="s">
        <v>75042</v>
      </c>
    </row>
    <row r="753" spans="1:21" x14ac:dyDescent="0.25">
      <c r="A753" s="213" t="s">
        <v>327</v>
      </c>
      <c r="D753" s="213" t="s">
        <v>6371</v>
      </c>
      <c r="E753" s="213" t="s">
        <v>6372</v>
      </c>
      <c r="K753" s="213" t="s">
        <v>74968</v>
      </c>
      <c r="L753" s="213" t="s">
        <v>74993</v>
      </c>
      <c r="M753" s="213" t="s">
        <v>75018</v>
      </c>
      <c r="N753" s="213" t="s">
        <v>6373</v>
      </c>
      <c r="O753" s="213" t="s">
        <v>6374</v>
      </c>
      <c r="P753" s="213" t="s">
        <v>6375</v>
      </c>
      <c r="Q753" s="213" t="s">
        <v>6376</v>
      </c>
      <c r="R753" s="213" t="s">
        <v>6377</v>
      </c>
      <c r="S753" s="213" t="s">
        <v>6378</v>
      </c>
      <c r="T753" s="213" t="s">
        <v>6379</v>
      </c>
      <c r="U753" s="213" t="s">
        <v>75043</v>
      </c>
    </row>
    <row r="754" spans="1:21" x14ac:dyDescent="0.25">
      <c r="A754" s="213" t="s">
        <v>327</v>
      </c>
      <c r="D754" s="213" t="s">
        <v>6380</v>
      </c>
      <c r="E754" s="213" t="s">
        <v>6381</v>
      </c>
      <c r="K754" s="213" t="s">
        <v>74969</v>
      </c>
      <c r="L754" s="213" t="s">
        <v>74994</v>
      </c>
      <c r="M754" s="213" t="s">
        <v>75019</v>
      </c>
      <c r="N754" s="213" t="s">
        <v>6382</v>
      </c>
      <c r="O754" s="213" t="s">
        <v>6383</v>
      </c>
      <c r="P754" s="213" t="s">
        <v>6384</v>
      </c>
      <c r="Q754" s="213" t="s">
        <v>6385</v>
      </c>
      <c r="R754" s="213" t="s">
        <v>6386</v>
      </c>
      <c r="S754" s="213" t="s">
        <v>6387</v>
      </c>
      <c r="T754" s="213" t="s">
        <v>6388</v>
      </c>
      <c r="U754" s="213" t="s">
        <v>75044</v>
      </c>
    </row>
    <row r="755" spans="1:21" x14ac:dyDescent="0.25">
      <c r="A755" s="213" t="s">
        <v>327</v>
      </c>
      <c r="D755" s="213" t="s">
        <v>6389</v>
      </c>
      <c r="E755" s="213" t="s">
        <v>6390</v>
      </c>
      <c r="K755" s="213" t="s">
        <v>74970</v>
      </c>
      <c r="L755" s="213" t="s">
        <v>74995</v>
      </c>
      <c r="M755" s="213" t="s">
        <v>75020</v>
      </c>
      <c r="N755" s="213" t="s">
        <v>6391</v>
      </c>
      <c r="O755" s="213" t="s">
        <v>6392</v>
      </c>
      <c r="P755" s="213" t="s">
        <v>6393</v>
      </c>
      <c r="Q755" s="213" t="s">
        <v>6394</v>
      </c>
      <c r="R755" s="213" t="s">
        <v>6395</v>
      </c>
      <c r="S755" s="213" t="s">
        <v>6396</v>
      </c>
      <c r="T755" s="213" t="s">
        <v>6397</v>
      </c>
      <c r="U755" s="213" t="s">
        <v>75045</v>
      </c>
    </row>
    <row r="756" spans="1:21" x14ac:dyDescent="0.25">
      <c r="A756" s="213" t="s">
        <v>327</v>
      </c>
      <c r="D756" s="213" t="s">
        <v>6398</v>
      </c>
      <c r="E756" s="213" t="s">
        <v>6399</v>
      </c>
      <c r="K756" s="213" t="s">
        <v>74971</v>
      </c>
      <c r="L756" s="213" t="s">
        <v>74996</v>
      </c>
      <c r="M756" s="213" t="s">
        <v>75021</v>
      </c>
      <c r="N756" s="213" t="s">
        <v>6400</v>
      </c>
      <c r="O756" s="213" t="s">
        <v>6401</v>
      </c>
      <c r="P756" s="213" t="s">
        <v>6402</v>
      </c>
      <c r="Q756" s="213" t="s">
        <v>6403</v>
      </c>
      <c r="R756" s="213" t="s">
        <v>6404</v>
      </c>
      <c r="S756" s="213" t="s">
        <v>6405</v>
      </c>
      <c r="T756" s="213" t="s">
        <v>6406</v>
      </c>
      <c r="U756" s="213" t="s">
        <v>75046</v>
      </c>
    </row>
    <row r="757" spans="1:21" x14ac:dyDescent="0.25">
      <c r="A757" s="213" t="s">
        <v>327</v>
      </c>
      <c r="D757" s="213" t="s">
        <v>6407</v>
      </c>
      <c r="E757" s="213" t="s">
        <v>6408</v>
      </c>
      <c r="K757" s="213" t="s">
        <v>74972</v>
      </c>
      <c r="L757" s="213" t="s">
        <v>74997</v>
      </c>
      <c r="M757" s="213" t="s">
        <v>75022</v>
      </c>
      <c r="N757" s="213" t="s">
        <v>6409</v>
      </c>
      <c r="O757" s="213" t="s">
        <v>6410</v>
      </c>
      <c r="P757" s="213" t="s">
        <v>6411</v>
      </c>
      <c r="Q757" s="213" t="s">
        <v>6412</v>
      </c>
      <c r="R757" s="213" t="s">
        <v>6413</v>
      </c>
      <c r="S757" s="213" t="s">
        <v>6414</v>
      </c>
      <c r="T757" s="213" t="s">
        <v>6415</v>
      </c>
      <c r="U757" s="213" t="s">
        <v>75047</v>
      </c>
    </row>
    <row r="758" spans="1:21" x14ac:dyDescent="0.25">
      <c r="A758" s="213" t="s">
        <v>327</v>
      </c>
      <c r="D758" s="213" t="s">
        <v>6416</v>
      </c>
      <c r="E758" s="213" t="s">
        <v>6417</v>
      </c>
      <c r="K758" s="213" t="s">
        <v>74973</v>
      </c>
      <c r="L758" s="213" t="s">
        <v>74998</v>
      </c>
      <c r="M758" s="213" t="s">
        <v>75023</v>
      </c>
      <c r="N758" s="213" t="s">
        <v>6418</v>
      </c>
      <c r="O758" s="213" t="s">
        <v>6419</v>
      </c>
      <c r="P758" s="213" t="s">
        <v>6420</v>
      </c>
      <c r="Q758" s="213" t="s">
        <v>6421</v>
      </c>
      <c r="R758" s="213" t="s">
        <v>6422</v>
      </c>
      <c r="S758" s="213" t="s">
        <v>6423</v>
      </c>
      <c r="T758" s="213" t="s">
        <v>6424</v>
      </c>
      <c r="U758" s="213" t="s">
        <v>75048</v>
      </c>
    </row>
    <row r="759" spans="1:21" x14ac:dyDescent="0.25">
      <c r="A759" s="213" t="s">
        <v>327</v>
      </c>
      <c r="D759" s="213" t="s">
        <v>6425</v>
      </c>
      <c r="E759" s="213" t="s">
        <v>6426</v>
      </c>
      <c r="K759" s="213" t="s">
        <v>74974</v>
      </c>
      <c r="L759" s="213" t="s">
        <v>74999</v>
      </c>
      <c r="M759" s="213" t="s">
        <v>75024</v>
      </c>
      <c r="N759" s="213" t="s">
        <v>6427</v>
      </c>
      <c r="O759" s="213" t="s">
        <v>6428</v>
      </c>
      <c r="P759" s="213" t="s">
        <v>6429</v>
      </c>
      <c r="Q759" s="213" t="s">
        <v>6430</v>
      </c>
      <c r="R759" s="213" t="s">
        <v>6431</v>
      </c>
      <c r="S759" s="213" t="s">
        <v>6432</v>
      </c>
      <c r="T759" s="213" t="s">
        <v>6433</v>
      </c>
      <c r="U759" s="213" t="s">
        <v>75049</v>
      </c>
    </row>
    <row r="760" spans="1:21" x14ac:dyDescent="0.25">
      <c r="A760" s="213" t="s">
        <v>327</v>
      </c>
      <c r="D760" s="213" t="s">
        <v>6434</v>
      </c>
      <c r="E760" s="213" t="s">
        <v>6435</v>
      </c>
      <c r="K760" s="213" t="s">
        <v>74975</v>
      </c>
      <c r="L760" s="213" t="s">
        <v>75000</v>
      </c>
      <c r="M760" s="213" t="s">
        <v>75025</v>
      </c>
      <c r="N760" s="213" t="s">
        <v>6436</v>
      </c>
      <c r="O760" s="213" t="s">
        <v>6437</v>
      </c>
      <c r="P760" s="213" t="s">
        <v>6438</v>
      </c>
      <c r="Q760" s="213" t="s">
        <v>6439</v>
      </c>
      <c r="R760" s="213" t="s">
        <v>6440</v>
      </c>
      <c r="S760" s="213" t="s">
        <v>6441</v>
      </c>
      <c r="T760" s="213" t="s">
        <v>6442</v>
      </c>
      <c r="U760" s="213" t="s">
        <v>75050</v>
      </c>
    </row>
    <row r="761" spans="1:21" x14ac:dyDescent="0.25">
      <c r="A761" s="213" t="s">
        <v>327</v>
      </c>
      <c r="D761" s="213" t="s">
        <v>6443</v>
      </c>
      <c r="E761" s="213" t="s">
        <v>6444</v>
      </c>
      <c r="K761" s="213" t="s">
        <v>74976</v>
      </c>
      <c r="L761" s="213" t="s">
        <v>75001</v>
      </c>
      <c r="M761" s="213" t="s">
        <v>75026</v>
      </c>
      <c r="N761" s="213" t="s">
        <v>6445</v>
      </c>
      <c r="O761" s="213" t="s">
        <v>6446</v>
      </c>
      <c r="P761" s="213" t="s">
        <v>6447</v>
      </c>
      <c r="Q761" s="213" t="s">
        <v>6448</v>
      </c>
      <c r="R761" s="213" t="s">
        <v>6449</v>
      </c>
      <c r="S761" s="213" t="s">
        <v>6450</v>
      </c>
      <c r="T761" s="213" t="s">
        <v>6451</v>
      </c>
      <c r="U761" s="213" t="s">
        <v>75051</v>
      </c>
    </row>
    <row r="762" spans="1:21" x14ac:dyDescent="0.25">
      <c r="A762" s="213" t="s">
        <v>327</v>
      </c>
      <c r="D762" s="213" t="s">
        <v>6452</v>
      </c>
      <c r="E762" s="213" t="s">
        <v>6453</v>
      </c>
      <c r="K762" s="213" t="s">
        <v>74977</v>
      </c>
      <c r="L762" s="213" t="s">
        <v>75002</v>
      </c>
      <c r="M762" s="213" t="s">
        <v>75027</v>
      </c>
      <c r="N762" s="213" t="s">
        <v>6454</v>
      </c>
      <c r="O762" s="213" t="s">
        <v>6455</v>
      </c>
      <c r="P762" s="213" t="s">
        <v>6456</v>
      </c>
      <c r="Q762" s="213" t="s">
        <v>6457</v>
      </c>
      <c r="R762" s="213" t="s">
        <v>6458</v>
      </c>
      <c r="S762" s="213" t="s">
        <v>6459</v>
      </c>
      <c r="T762" s="213" t="s">
        <v>6460</v>
      </c>
      <c r="U762" s="213" t="s">
        <v>75052</v>
      </c>
    </row>
    <row r="763" spans="1:21" x14ac:dyDescent="0.25">
      <c r="A763" s="213" t="s">
        <v>327</v>
      </c>
      <c r="D763" s="213" t="s">
        <v>6461</v>
      </c>
      <c r="E763" s="213" t="s">
        <v>6462</v>
      </c>
      <c r="K763" s="213" t="s">
        <v>74978</v>
      </c>
      <c r="L763" s="213" t="s">
        <v>75003</v>
      </c>
      <c r="M763" s="213" t="s">
        <v>75028</v>
      </c>
      <c r="N763" s="213" t="s">
        <v>6463</v>
      </c>
      <c r="O763" s="213" t="s">
        <v>6464</v>
      </c>
      <c r="P763" s="213" t="s">
        <v>6465</v>
      </c>
      <c r="Q763" s="213" t="s">
        <v>6466</v>
      </c>
      <c r="R763" s="213" t="s">
        <v>6467</v>
      </c>
      <c r="S763" s="213" t="s">
        <v>6468</v>
      </c>
      <c r="T763" s="213" t="s">
        <v>6469</v>
      </c>
      <c r="U763" s="213" t="s">
        <v>75053</v>
      </c>
    </row>
    <row r="764" spans="1:21" x14ac:dyDescent="0.25">
      <c r="A764" s="213" t="s">
        <v>327</v>
      </c>
      <c r="D764" s="213" t="s">
        <v>6470</v>
      </c>
      <c r="E764" s="213" t="s">
        <v>6471</v>
      </c>
      <c r="K764" s="213" t="s">
        <v>74979</v>
      </c>
      <c r="L764" s="213" t="s">
        <v>75004</v>
      </c>
      <c r="M764" s="213" t="s">
        <v>75029</v>
      </c>
      <c r="N764" s="213" t="s">
        <v>6472</v>
      </c>
      <c r="O764" s="213" t="s">
        <v>6473</v>
      </c>
      <c r="P764" s="213" t="s">
        <v>6474</v>
      </c>
      <c r="Q764" s="213" t="s">
        <v>6475</v>
      </c>
      <c r="R764" s="213" t="s">
        <v>6476</v>
      </c>
      <c r="S764" s="213" t="s">
        <v>6477</v>
      </c>
      <c r="T764" s="213" t="s">
        <v>6478</v>
      </c>
      <c r="U764" s="213" t="s">
        <v>75054</v>
      </c>
    </row>
    <row r="765" spans="1:21" x14ac:dyDescent="0.25">
      <c r="A765" s="213" t="s">
        <v>327</v>
      </c>
      <c r="D765" s="213" t="s">
        <v>6479</v>
      </c>
      <c r="E765" s="213" t="s">
        <v>6480</v>
      </c>
      <c r="K765" s="213" t="s">
        <v>74980</v>
      </c>
      <c r="L765" s="213" t="s">
        <v>75005</v>
      </c>
      <c r="M765" s="213" t="s">
        <v>75030</v>
      </c>
      <c r="N765" s="213" t="s">
        <v>6481</v>
      </c>
      <c r="O765" s="213" t="s">
        <v>6482</v>
      </c>
      <c r="P765" s="213" t="s">
        <v>6483</v>
      </c>
      <c r="Q765" s="213" t="s">
        <v>6484</v>
      </c>
      <c r="R765" s="213" t="s">
        <v>6485</v>
      </c>
      <c r="S765" s="213" t="s">
        <v>6486</v>
      </c>
      <c r="T765" s="213" t="s">
        <v>6487</v>
      </c>
      <c r="U765" s="213" t="s">
        <v>75055</v>
      </c>
    </row>
    <row r="766" spans="1:21" x14ac:dyDescent="0.25">
      <c r="A766" s="213" t="s">
        <v>327</v>
      </c>
      <c r="D766" s="213" t="s">
        <v>6488</v>
      </c>
      <c r="E766" s="213" t="s">
        <v>6489</v>
      </c>
      <c r="K766" s="213" t="s">
        <v>74981</v>
      </c>
      <c r="L766" s="213" t="s">
        <v>75006</v>
      </c>
      <c r="M766" s="213" t="s">
        <v>75031</v>
      </c>
      <c r="N766" s="213" t="s">
        <v>6490</v>
      </c>
      <c r="O766" s="213" t="s">
        <v>6491</v>
      </c>
      <c r="P766" s="213" t="s">
        <v>6492</v>
      </c>
      <c r="Q766" s="213" t="s">
        <v>6493</v>
      </c>
      <c r="R766" s="213" t="s">
        <v>6494</v>
      </c>
      <c r="S766" s="213" t="s">
        <v>6495</v>
      </c>
      <c r="T766" s="213" t="s">
        <v>6496</v>
      </c>
      <c r="U766" s="213" t="s">
        <v>75056</v>
      </c>
    </row>
    <row r="767" spans="1:21" x14ac:dyDescent="0.25">
      <c r="A767" s="213" t="s">
        <v>327</v>
      </c>
      <c r="D767" s="213" t="s">
        <v>6497</v>
      </c>
      <c r="E767" s="213" t="s">
        <v>6498</v>
      </c>
      <c r="K767" s="213" t="s">
        <v>74982</v>
      </c>
      <c r="L767" s="213" t="s">
        <v>75007</v>
      </c>
      <c r="M767" s="213" t="s">
        <v>75032</v>
      </c>
      <c r="N767" s="213" t="s">
        <v>6499</v>
      </c>
      <c r="O767" s="213" t="s">
        <v>6500</v>
      </c>
      <c r="P767" s="213" t="s">
        <v>6501</v>
      </c>
      <c r="Q767" s="213" t="s">
        <v>6502</v>
      </c>
      <c r="R767" s="213" t="s">
        <v>6503</v>
      </c>
      <c r="S767" s="213" t="s">
        <v>6504</v>
      </c>
      <c r="T767" s="213" t="s">
        <v>6505</v>
      </c>
      <c r="U767" s="213" t="s">
        <v>75057</v>
      </c>
    </row>
    <row r="768" spans="1:21" x14ac:dyDescent="0.25">
      <c r="A768" s="213" t="s">
        <v>327</v>
      </c>
      <c r="D768" s="213" t="s">
        <v>6506</v>
      </c>
      <c r="E768" s="213" t="s">
        <v>6507</v>
      </c>
      <c r="K768" s="213" t="s">
        <v>74983</v>
      </c>
      <c r="L768" s="213" t="s">
        <v>75008</v>
      </c>
      <c r="M768" s="213" t="s">
        <v>75033</v>
      </c>
      <c r="N768" s="213" t="s">
        <v>6508</v>
      </c>
      <c r="O768" s="213" t="s">
        <v>6509</v>
      </c>
      <c r="P768" s="213" t="s">
        <v>6510</v>
      </c>
      <c r="Q768" s="213" t="s">
        <v>6511</v>
      </c>
      <c r="R768" s="213" t="s">
        <v>6512</v>
      </c>
      <c r="S768" s="213" t="s">
        <v>6513</v>
      </c>
      <c r="T768" s="213" t="s">
        <v>6514</v>
      </c>
      <c r="U768" s="213" t="s">
        <v>75058</v>
      </c>
    </row>
    <row r="769" spans="1:21" x14ac:dyDescent="0.25">
      <c r="A769" s="213" t="s">
        <v>327</v>
      </c>
      <c r="D769" s="213" t="s">
        <v>6515</v>
      </c>
      <c r="E769" s="213" t="s">
        <v>6516</v>
      </c>
      <c r="K769" s="213" t="s">
        <v>74984</v>
      </c>
      <c r="L769" s="213" t="s">
        <v>75009</v>
      </c>
      <c r="M769" s="213" t="s">
        <v>75034</v>
      </c>
      <c r="N769" s="213" t="s">
        <v>6517</v>
      </c>
      <c r="O769" s="213" t="s">
        <v>6518</v>
      </c>
      <c r="P769" s="213" t="s">
        <v>6519</v>
      </c>
      <c r="Q769" s="213" t="s">
        <v>6520</v>
      </c>
      <c r="R769" s="213" t="s">
        <v>6521</v>
      </c>
      <c r="S769" s="213" t="s">
        <v>6522</v>
      </c>
      <c r="T769" s="213" t="s">
        <v>6523</v>
      </c>
      <c r="U769" s="213" t="s">
        <v>75059</v>
      </c>
    </row>
    <row r="770" spans="1:21" x14ac:dyDescent="0.25">
      <c r="A770" s="213" t="s">
        <v>327</v>
      </c>
      <c r="D770" s="213" t="s">
        <v>6524</v>
      </c>
      <c r="E770" s="213" t="s">
        <v>6525</v>
      </c>
      <c r="K770" s="213" t="s">
        <v>74985</v>
      </c>
      <c r="L770" s="213" t="s">
        <v>75010</v>
      </c>
      <c r="M770" s="213" t="s">
        <v>75035</v>
      </c>
      <c r="N770" s="213" t="s">
        <v>6526</v>
      </c>
      <c r="O770" s="213" t="s">
        <v>6527</v>
      </c>
      <c r="P770" s="213" t="s">
        <v>6528</v>
      </c>
      <c r="Q770" s="213" t="s">
        <v>6529</v>
      </c>
      <c r="R770" s="213" t="s">
        <v>6530</v>
      </c>
      <c r="S770" s="213" t="s">
        <v>6531</v>
      </c>
      <c r="T770" s="213" t="s">
        <v>6532</v>
      </c>
      <c r="U770" s="213" t="s">
        <v>75060</v>
      </c>
    </row>
    <row r="771" spans="1:21" x14ac:dyDescent="0.25">
      <c r="A771" s="213" t="s">
        <v>327</v>
      </c>
      <c r="D771" s="213" t="s">
        <v>6533</v>
      </c>
      <c r="E771" s="213" t="s">
        <v>6534</v>
      </c>
      <c r="K771" s="213" t="s">
        <v>74986</v>
      </c>
      <c r="L771" s="213" t="s">
        <v>75011</v>
      </c>
      <c r="M771" s="213" t="s">
        <v>75036</v>
      </c>
      <c r="N771" s="213" t="s">
        <v>6535</v>
      </c>
      <c r="O771" s="213" t="s">
        <v>6536</v>
      </c>
      <c r="P771" s="213" t="s">
        <v>6537</v>
      </c>
      <c r="Q771" s="213" t="s">
        <v>6538</v>
      </c>
      <c r="R771" s="213" t="s">
        <v>6539</v>
      </c>
      <c r="S771" s="213" t="s">
        <v>6540</v>
      </c>
      <c r="T771" s="213" t="s">
        <v>6541</v>
      </c>
      <c r="U771" s="213" t="s">
        <v>75061</v>
      </c>
    </row>
    <row r="772" spans="1:21" x14ac:dyDescent="0.25">
      <c r="A772" s="213" t="s">
        <v>327</v>
      </c>
    </row>
    <row r="773" spans="1:21" x14ac:dyDescent="0.25">
      <c r="A773" s="213" t="s">
        <v>327</v>
      </c>
    </row>
    <row r="774" spans="1:21" x14ac:dyDescent="0.25">
      <c r="A774" s="213" t="s">
        <v>327</v>
      </c>
      <c r="C774" s="213" t="s">
        <v>6542</v>
      </c>
      <c r="E774" s="213" t="s">
        <v>6543</v>
      </c>
      <c r="H774" s="213" t="s">
        <v>6544</v>
      </c>
      <c r="I774" s="213" t="s">
        <v>6545</v>
      </c>
      <c r="J774" s="213" t="s">
        <v>6546</v>
      </c>
      <c r="L774" s="213" t="s">
        <v>6547</v>
      </c>
      <c r="O774" s="213" t="s">
        <v>6548</v>
      </c>
      <c r="P774" s="213" t="s">
        <v>6549</v>
      </c>
      <c r="Q774" s="213" t="s">
        <v>6550</v>
      </c>
      <c r="R774" s="213" t="s">
        <v>6551</v>
      </c>
      <c r="S774" s="213" t="s">
        <v>6552</v>
      </c>
      <c r="T774" s="213" t="s">
        <v>6553</v>
      </c>
    </row>
    <row r="775" spans="1:21" x14ac:dyDescent="0.25">
      <c r="A775" s="213" t="s">
        <v>327</v>
      </c>
      <c r="C775" s="213" t="s">
        <v>6554</v>
      </c>
      <c r="E775" s="213" t="s">
        <v>6555</v>
      </c>
      <c r="I775" s="213" t="s">
        <v>6556</v>
      </c>
    </row>
    <row r="776" spans="1:21" x14ac:dyDescent="0.25">
      <c r="A776" s="213" t="s">
        <v>327</v>
      </c>
      <c r="C776" s="213" t="s">
        <v>6557</v>
      </c>
      <c r="E776" s="213" t="s">
        <v>6558</v>
      </c>
      <c r="I776" s="213" t="s">
        <v>6559</v>
      </c>
    </row>
    <row r="777" spans="1:21" x14ac:dyDescent="0.25">
      <c r="A777" s="213" t="s">
        <v>328</v>
      </c>
    </row>
    <row r="778" spans="1:21" x14ac:dyDescent="0.25">
      <c r="A778" s="213" t="s">
        <v>327</v>
      </c>
      <c r="D778" s="213" t="s">
        <v>6560</v>
      </c>
      <c r="E778" s="213" t="s">
        <v>6561</v>
      </c>
      <c r="K778" s="213" t="s">
        <v>74718</v>
      </c>
      <c r="L778" s="213" t="s">
        <v>74779</v>
      </c>
      <c r="M778" s="213" t="s">
        <v>74840</v>
      </c>
      <c r="N778" s="213" t="s">
        <v>6562</v>
      </c>
      <c r="O778" s="213" t="s">
        <v>6563</v>
      </c>
      <c r="P778" s="213" t="s">
        <v>6564</v>
      </c>
      <c r="Q778" s="213" t="s">
        <v>6565</v>
      </c>
      <c r="R778" s="213" t="s">
        <v>6566</v>
      </c>
      <c r="S778" s="213" t="s">
        <v>6567</v>
      </c>
      <c r="T778" s="213" t="s">
        <v>6568</v>
      </c>
      <c r="U778" s="213" t="s">
        <v>74901</v>
      </c>
    </row>
    <row r="779" spans="1:21" x14ac:dyDescent="0.25">
      <c r="A779" s="213" t="s">
        <v>327</v>
      </c>
      <c r="D779" s="213" t="s">
        <v>6569</v>
      </c>
      <c r="E779" s="213" t="s">
        <v>6570</v>
      </c>
      <c r="K779" s="213" t="s">
        <v>74719</v>
      </c>
      <c r="L779" s="213" t="s">
        <v>74780</v>
      </c>
      <c r="M779" s="213" t="s">
        <v>74841</v>
      </c>
      <c r="N779" s="213" t="s">
        <v>6571</v>
      </c>
      <c r="O779" s="213" t="s">
        <v>6572</v>
      </c>
      <c r="P779" s="213" t="s">
        <v>6573</v>
      </c>
      <c r="Q779" s="213" t="s">
        <v>6574</v>
      </c>
      <c r="R779" s="213" t="s">
        <v>6575</v>
      </c>
      <c r="S779" s="213" t="s">
        <v>6576</v>
      </c>
      <c r="T779" s="213" t="s">
        <v>6577</v>
      </c>
      <c r="U779" s="213" t="s">
        <v>74902</v>
      </c>
    </row>
    <row r="780" spans="1:21" x14ac:dyDescent="0.25">
      <c r="A780" s="213" t="s">
        <v>327</v>
      </c>
      <c r="D780" s="213" t="s">
        <v>6578</v>
      </c>
      <c r="E780" s="213" t="s">
        <v>6579</v>
      </c>
      <c r="K780" s="213" t="s">
        <v>74720</v>
      </c>
      <c r="L780" s="213" t="s">
        <v>74781</v>
      </c>
      <c r="M780" s="213" t="s">
        <v>74842</v>
      </c>
      <c r="N780" s="213" t="s">
        <v>6580</v>
      </c>
      <c r="O780" s="213" t="s">
        <v>6581</v>
      </c>
      <c r="P780" s="213" t="s">
        <v>6582</v>
      </c>
      <c r="Q780" s="213" t="s">
        <v>6583</v>
      </c>
      <c r="R780" s="213" t="s">
        <v>6584</v>
      </c>
      <c r="S780" s="213" t="s">
        <v>6585</v>
      </c>
      <c r="T780" s="213" t="s">
        <v>6586</v>
      </c>
      <c r="U780" s="213" t="s">
        <v>74903</v>
      </c>
    </row>
    <row r="781" spans="1:21" x14ac:dyDescent="0.25">
      <c r="A781" s="213" t="s">
        <v>327</v>
      </c>
      <c r="D781" s="213" t="s">
        <v>6587</v>
      </c>
      <c r="E781" s="213" t="s">
        <v>6588</v>
      </c>
      <c r="K781" s="213" t="s">
        <v>74721</v>
      </c>
      <c r="L781" s="213" t="s">
        <v>74782</v>
      </c>
      <c r="M781" s="213" t="s">
        <v>74843</v>
      </c>
      <c r="N781" s="213" t="s">
        <v>6589</v>
      </c>
      <c r="O781" s="213" t="s">
        <v>6590</v>
      </c>
      <c r="P781" s="213" t="s">
        <v>6591</v>
      </c>
      <c r="Q781" s="213" t="s">
        <v>6592</v>
      </c>
      <c r="R781" s="213" t="s">
        <v>6593</v>
      </c>
      <c r="S781" s="213" t="s">
        <v>6594</v>
      </c>
      <c r="T781" s="213" t="s">
        <v>6595</v>
      </c>
      <c r="U781" s="213" t="s">
        <v>74904</v>
      </c>
    </row>
    <row r="782" spans="1:21" x14ac:dyDescent="0.25">
      <c r="A782" s="213" t="s">
        <v>327</v>
      </c>
      <c r="D782" s="213" t="s">
        <v>6596</v>
      </c>
      <c r="E782" s="213" t="s">
        <v>6597</v>
      </c>
      <c r="K782" s="213" t="s">
        <v>74722</v>
      </c>
      <c r="L782" s="213" t="s">
        <v>74783</v>
      </c>
      <c r="M782" s="213" t="s">
        <v>74844</v>
      </c>
      <c r="N782" s="213" t="s">
        <v>6598</v>
      </c>
      <c r="O782" s="213" t="s">
        <v>6599</v>
      </c>
      <c r="P782" s="213" t="s">
        <v>6600</v>
      </c>
      <c r="Q782" s="213" t="s">
        <v>6601</v>
      </c>
      <c r="R782" s="213" t="s">
        <v>6602</v>
      </c>
      <c r="S782" s="213" t="s">
        <v>6603</v>
      </c>
      <c r="T782" s="213" t="s">
        <v>6604</v>
      </c>
      <c r="U782" s="213" t="s">
        <v>74905</v>
      </c>
    </row>
    <row r="783" spans="1:21" x14ac:dyDescent="0.25">
      <c r="A783" s="213" t="s">
        <v>327</v>
      </c>
      <c r="D783" s="213" t="s">
        <v>6605</v>
      </c>
      <c r="E783" s="213" t="s">
        <v>6606</v>
      </c>
      <c r="K783" s="213" t="s">
        <v>74723</v>
      </c>
      <c r="L783" s="213" t="s">
        <v>74784</v>
      </c>
      <c r="M783" s="213" t="s">
        <v>74845</v>
      </c>
      <c r="N783" s="213" t="s">
        <v>6607</v>
      </c>
      <c r="O783" s="213" t="s">
        <v>6608</v>
      </c>
      <c r="P783" s="213" t="s">
        <v>6609</v>
      </c>
      <c r="Q783" s="213" t="s">
        <v>6610</v>
      </c>
      <c r="R783" s="213" t="s">
        <v>6611</v>
      </c>
      <c r="S783" s="213" t="s">
        <v>6612</v>
      </c>
      <c r="T783" s="213" t="s">
        <v>6613</v>
      </c>
      <c r="U783" s="213" t="s">
        <v>74906</v>
      </c>
    </row>
    <row r="784" spans="1:21" x14ac:dyDescent="0.25">
      <c r="A784" s="213" t="s">
        <v>327</v>
      </c>
      <c r="D784" s="213" t="s">
        <v>6614</v>
      </c>
      <c r="E784" s="213" t="s">
        <v>6615</v>
      </c>
      <c r="K784" s="213" t="s">
        <v>74724</v>
      </c>
      <c r="L784" s="213" t="s">
        <v>74785</v>
      </c>
      <c r="M784" s="213" t="s">
        <v>74846</v>
      </c>
      <c r="N784" s="213" t="s">
        <v>6616</v>
      </c>
      <c r="O784" s="213" t="s">
        <v>6617</v>
      </c>
      <c r="P784" s="213" t="s">
        <v>6618</v>
      </c>
      <c r="Q784" s="213" t="s">
        <v>6619</v>
      </c>
      <c r="R784" s="213" t="s">
        <v>6620</v>
      </c>
      <c r="S784" s="213" t="s">
        <v>6621</v>
      </c>
      <c r="T784" s="213" t="s">
        <v>6622</v>
      </c>
      <c r="U784" s="213" t="s">
        <v>74907</v>
      </c>
    </row>
    <row r="785" spans="1:21" x14ac:dyDescent="0.25">
      <c r="A785" s="213" t="s">
        <v>327</v>
      </c>
      <c r="D785" s="213" t="s">
        <v>6623</v>
      </c>
      <c r="E785" s="213" t="s">
        <v>6624</v>
      </c>
      <c r="K785" s="213" t="s">
        <v>74725</v>
      </c>
      <c r="L785" s="213" t="s">
        <v>74786</v>
      </c>
      <c r="M785" s="213" t="s">
        <v>74847</v>
      </c>
      <c r="N785" s="213" t="s">
        <v>6625</v>
      </c>
      <c r="O785" s="213" t="s">
        <v>6626</v>
      </c>
      <c r="P785" s="213" t="s">
        <v>6627</v>
      </c>
      <c r="Q785" s="213" t="s">
        <v>6628</v>
      </c>
      <c r="R785" s="213" t="s">
        <v>6629</v>
      </c>
      <c r="S785" s="213" t="s">
        <v>6630</v>
      </c>
      <c r="T785" s="213" t="s">
        <v>6631</v>
      </c>
      <c r="U785" s="213" t="s">
        <v>74908</v>
      </c>
    </row>
    <row r="786" spans="1:21" x14ac:dyDescent="0.25">
      <c r="A786" s="213" t="s">
        <v>327</v>
      </c>
      <c r="D786" s="213" t="s">
        <v>6632</v>
      </c>
      <c r="E786" s="213" t="s">
        <v>6633</v>
      </c>
      <c r="K786" s="213" t="s">
        <v>74726</v>
      </c>
      <c r="L786" s="213" t="s">
        <v>74787</v>
      </c>
      <c r="M786" s="213" t="s">
        <v>74848</v>
      </c>
      <c r="N786" s="213" t="s">
        <v>6634</v>
      </c>
      <c r="O786" s="213" t="s">
        <v>6635</v>
      </c>
      <c r="P786" s="213" t="s">
        <v>6636</v>
      </c>
      <c r="Q786" s="213" t="s">
        <v>6637</v>
      </c>
      <c r="R786" s="213" t="s">
        <v>6638</v>
      </c>
      <c r="S786" s="213" t="s">
        <v>6639</v>
      </c>
      <c r="T786" s="213" t="s">
        <v>6640</v>
      </c>
      <c r="U786" s="213" t="s">
        <v>74909</v>
      </c>
    </row>
    <row r="787" spans="1:21" x14ac:dyDescent="0.25">
      <c r="A787" s="213" t="s">
        <v>327</v>
      </c>
      <c r="D787" s="213" t="s">
        <v>6641</v>
      </c>
      <c r="E787" s="213" t="s">
        <v>6642</v>
      </c>
      <c r="K787" s="213" t="s">
        <v>74727</v>
      </c>
      <c r="L787" s="213" t="s">
        <v>74788</v>
      </c>
      <c r="M787" s="213" t="s">
        <v>74849</v>
      </c>
      <c r="N787" s="213" t="s">
        <v>6643</v>
      </c>
      <c r="O787" s="213" t="s">
        <v>6644</v>
      </c>
      <c r="P787" s="213" t="s">
        <v>6645</v>
      </c>
      <c r="Q787" s="213" t="s">
        <v>6646</v>
      </c>
      <c r="R787" s="213" t="s">
        <v>6647</v>
      </c>
      <c r="S787" s="213" t="s">
        <v>6648</v>
      </c>
      <c r="T787" s="213" t="s">
        <v>6649</v>
      </c>
      <c r="U787" s="213" t="s">
        <v>74910</v>
      </c>
    </row>
    <row r="788" spans="1:21" x14ac:dyDescent="0.25">
      <c r="A788" s="213" t="s">
        <v>327</v>
      </c>
      <c r="D788" s="213" t="s">
        <v>6650</v>
      </c>
      <c r="E788" s="213" t="s">
        <v>6651</v>
      </c>
      <c r="K788" s="213" t="s">
        <v>74728</v>
      </c>
      <c r="L788" s="213" t="s">
        <v>74789</v>
      </c>
      <c r="M788" s="213" t="s">
        <v>74850</v>
      </c>
      <c r="N788" s="213" t="s">
        <v>6652</v>
      </c>
      <c r="O788" s="213" t="s">
        <v>6653</v>
      </c>
      <c r="P788" s="213" t="s">
        <v>6654</v>
      </c>
      <c r="Q788" s="213" t="s">
        <v>6655</v>
      </c>
      <c r="R788" s="213" t="s">
        <v>6656</v>
      </c>
      <c r="S788" s="213" t="s">
        <v>6657</v>
      </c>
      <c r="T788" s="213" t="s">
        <v>6658</v>
      </c>
      <c r="U788" s="213" t="s">
        <v>74911</v>
      </c>
    </row>
    <row r="789" spans="1:21" x14ac:dyDescent="0.25">
      <c r="A789" s="213" t="s">
        <v>327</v>
      </c>
      <c r="D789" s="213" t="s">
        <v>6659</v>
      </c>
      <c r="E789" s="213" t="s">
        <v>6660</v>
      </c>
      <c r="K789" s="213" t="s">
        <v>74729</v>
      </c>
      <c r="L789" s="213" t="s">
        <v>74790</v>
      </c>
      <c r="M789" s="213" t="s">
        <v>74851</v>
      </c>
      <c r="N789" s="213" t="s">
        <v>6661</v>
      </c>
      <c r="O789" s="213" t="s">
        <v>6662</v>
      </c>
      <c r="P789" s="213" t="s">
        <v>6663</v>
      </c>
      <c r="Q789" s="213" t="s">
        <v>6664</v>
      </c>
      <c r="R789" s="213" t="s">
        <v>6665</v>
      </c>
      <c r="S789" s="213" t="s">
        <v>6666</v>
      </c>
      <c r="T789" s="213" t="s">
        <v>6667</v>
      </c>
      <c r="U789" s="213" t="s">
        <v>74912</v>
      </c>
    </row>
    <row r="790" spans="1:21" x14ac:dyDescent="0.25">
      <c r="A790" s="213" t="s">
        <v>327</v>
      </c>
      <c r="D790" s="213" t="s">
        <v>6668</v>
      </c>
      <c r="E790" s="213" t="s">
        <v>6669</v>
      </c>
      <c r="K790" s="213" t="s">
        <v>74730</v>
      </c>
      <c r="L790" s="213" t="s">
        <v>74791</v>
      </c>
      <c r="M790" s="213" t="s">
        <v>74852</v>
      </c>
      <c r="N790" s="213" t="s">
        <v>6670</v>
      </c>
      <c r="O790" s="213" t="s">
        <v>6671</v>
      </c>
      <c r="P790" s="213" t="s">
        <v>6672</v>
      </c>
      <c r="Q790" s="213" t="s">
        <v>6673</v>
      </c>
      <c r="R790" s="213" t="s">
        <v>6674</v>
      </c>
      <c r="S790" s="213" t="s">
        <v>6675</v>
      </c>
      <c r="T790" s="213" t="s">
        <v>6676</v>
      </c>
      <c r="U790" s="213" t="s">
        <v>74913</v>
      </c>
    </row>
    <row r="791" spans="1:21" x14ac:dyDescent="0.25">
      <c r="A791" s="213" t="s">
        <v>327</v>
      </c>
      <c r="D791" s="213" t="s">
        <v>6677</v>
      </c>
      <c r="E791" s="213" t="s">
        <v>6678</v>
      </c>
      <c r="K791" s="213" t="s">
        <v>74731</v>
      </c>
      <c r="L791" s="213" t="s">
        <v>74792</v>
      </c>
      <c r="M791" s="213" t="s">
        <v>74853</v>
      </c>
      <c r="N791" s="213" t="s">
        <v>6679</v>
      </c>
      <c r="O791" s="213" t="s">
        <v>6680</v>
      </c>
      <c r="P791" s="213" t="s">
        <v>6681</v>
      </c>
      <c r="Q791" s="213" t="s">
        <v>6682</v>
      </c>
      <c r="R791" s="213" t="s">
        <v>6683</v>
      </c>
      <c r="S791" s="213" t="s">
        <v>6684</v>
      </c>
      <c r="T791" s="213" t="s">
        <v>6685</v>
      </c>
      <c r="U791" s="213" t="s">
        <v>74914</v>
      </c>
    </row>
    <row r="792" spans="1:21" x14ac:dyDescent="0.25">
      <c r="A792" s="213" t="s">
        <v>327</v>
      </c>
      <c r="D792" s="213" t="s">
        <v>6686</v>
      </c>
      <c r="E792" s="213" t="s">
        <v>6687</v>
      </c>
      <c r="K792" s="213" t="s">
        <v>74732</v>
      </c>
      <c r="L792" s="213" t="s">
        <v>74793</v>
      </c>
      <c r="M792" s="213" t="s">
        <v>74854</v>
      </c>
      <c r="N792" s="213" t="s">
        <v>6688</v>
      </c>
      <c r="O792" s="213" t="s">
        <v>6689</v>
      </c>
      <c r="P792" s="213" t="s">
        <v>6690</v>
      </c>
      <c r="Q792" s="213" t="s">
        <v>6691</v>
      </c>
      <c r="R792" s="213" t="s">
        <v>6692</v>
      </c>
      <c r="S792" s="213" t="s">
        <v>6693</v>
      </c>
      <c r="T792" s="213" t="s">
        <v>6694</v>
      </c>
      <c r="U792" s="213" t="s">
        <v>74915</v>
      </c>
    </row>
    <row r="793" spans="1:21" x14ac:dyDescent="0.25">
      <c r="A793" s="213" t="s">
        <v>327</v>
      </c>
      <c r="D793" s="213" t="s">
        <v>6695</v>
      </c>
      <c r="E793" s="213" t="s">
        <v>6696</v>
      </c>
      <c r="K793" s="213" t="s">
        <v>74733</v>
      </c>
      <c r="L793" s="213" t="s">
        <v>74794</v>
      </c>
      <c r="M793" s="213" t="s">
        <v>74855</v>
      </c>
      <c r="N793" s="213" t="s">
        <v>6697</v>
      </c>
      <c r="O793" s="213" t="s">
        <v>6698</v>
      </c>
      <c r="P793" s="213" t="s">
        <v>6699</v>
      </c>
      <c r="Q793" s="213" t="s">
        <v>6700</v>
      </c>
      <c r="R793" s="213" t="s">
        <v>6701</v>
      </c>
      <c r="S793" s="213" t="s">
        <v>6702</v>
      </c>
      <c r="T793" s="213" t="s">
        <v>6703</v>
      </c>
      <c r="U793" s="213" t="s">
        <v>74916</v>
      </c>
    </row>
    <row r="794" spans="1:21" x14ac:dyDescent="0.25">
      <c r="A794" s="213" t="s">
        <v>327</v>
      </c>
      <c r="D794" s="213" t="s">
        <v>6704</v>
      </c>
      <c r="E794" s="213" t="s">
        <v>6705</v>
      </c>
      <c r="K794" s="213" t="s">
        <v>74734</v>
      </c>
      <c r="L794" s="213" t="s">
        <v>74795</v>
      </c>
      <c r="M794" s="213" t="s">
        <v>74856</v>
      </c>
      <c r="N794" s="213" t="s">
        <v>6706</v>
      </c>
      <c r="O794" s="213" t="s">
        <v>6707</v>
      </c>
      <c r="P794" s="213" t="s">
        <v>6708</v>
      </c>
      <c r="Q794" s="213" t="s">
        <v>6709</v>
      </c>
      <c r="R794" s="213" t="s">
        <v>6710</v>
      </c>
      <c r="S794" s="213" t="s">
        <v>6711</v>
      </c>
      <c r="T794" s="213" t="s">
        <v>6712</v>
      </c>
      <c r="U794" s="213" t="s">
        <v>74917</v>
      </c>
    </row>
    <row r="795" spans="1:21" x14ac:dyDescent="0.25">
      <c r="A795" s="213" t="s">
        <v>327</v>
      </c>
      <c r="D795" s="213" t="s">
        <v>6713</v>
      </c>
      <c r="E795" s="213" t="s">
        <v>6714</v>
      </c>
      <c r="K795" s="213" t="s">
        <v>74735</v>
      </c>
      <c r="L795" s="213" t="s">
        <v>74796</v>
      </c>
      <c r="M795" s="213" t="s">
        <v>74857</v>
      </c>
      <c r="N795" s="213" t="s">
        <v>6715</v>
      </c>
      <c r="O795" s="213" t="s">
        <v>6716</v>
      </c>
      <c r="P795" s="213" t="s">
        <v>6717</v>
      </c>
      <c r="Q795" s="213" t="s">
        <v>6718</v>
      </c>
      <c r="R795" s="213" t="s">
        <v>6719</v>
      </c>
      <c r="S795" s="213" t="s">
        <v>6720</v>
      </c>
      <c r="T795" s="213" t="s">
        <v>6721</v>
      </c>
      <c r="U795" s="213" t="s">
        <v>74918</v>
      </c>
    </row>
    <row r="796" spans="1:21" x14ac:dyDescent="0.25">
      <c r="A796" s="213" t="s">
        <v>327</v>
      </c>
      <c r="D796" s="213" t="s">
        <v>6722</v>
      </c>
      <c r="E796" s="213" t="s">
        <v>6723</v>
      </c>
      <c r="K796" s="213" t="s">
        <v>74736</v>
      </c>
      <c r="L796" s="213" t="s">
        <v>74797</v>
      </c>
      <c r="M796" s="213" t="s">
        <v>74858</v>
      </c>
      <c r="N796" s="213" t="s">
        <v>6724</v>
      </c>
      <c r="O796" s="213" t="s">
        <v>6725</v>
      </c>
      <c r="P796" s="213" t="s">
        <v>6726</v>
      </c>
      <c r="Q796" s="213" t="s">
        <v>6727</v>
      </c>
      <c r="R796" s="213" t="s">
        <v>6728</v>
      </c>
      <c r="S796" s="213" t="s">
        <v>6729</v>
      </c>
      <c r="T796" s="213" t="s">
        <v>6730</v>
      </c>
      <c r="U796" s="213" t="s">
        <v>74919</v>
      </c>
    </row>
    <row r="797" spans="1:21" x14ac:dyDescent="0.25">
      <c r="A797" s="213" t="s">
        <v>327</v>
      </c>
      <c r="D797" s="213" t="s">
        <v>6731</v>
      </c>
      <c r="E797" s="213" t="s">
        <v>6732</v>
      </c>
      <c r="K797" s="213" t="s">
        <v>74737</v>
      </c>
      <c r="L797" s="213" t="s">
        <v>74798</v>
      </c>
      <c r="M797" s="213" t="s">
        <v>74859</v>
      </c>
      <c r="N797" s="213" t="s">
        <v>6733</v>
      </c>
      <c r="O797" s="213" t="s">
        <v>6734</v>
      </c>
      <c r="P797" s="213" t="s">
        <v>6735</v>
      </c>
      <c r="Q797" s="213" t="s">
        <v>6736</v>
      </c>
      <c r="R797" s="213" t="s">
        <v>6737</v>
      </c>
      <c r="S797" s="213" t="s">
        <v>6738</v>
      </c>
      <c r="T797" s="213" t="s">
        <v>6739</v>
      </c>
      <c r="U797" s="213" t="s">
        <v>74920</v>
      </c>
    </row>
    <row r="798" spans="1:21" x14ac:dyDescent="0.25">
      <c r="A798" s="213" t="s">
        <v>327</v>
      </c>
      <c r="D798" s="213" t="s">
        <v>6740</v>
      </c>
      <c r="E798" s="213" t="s">
        <v>6741</v>
      </c>
      <c r="K798" s="213" t="s">
        <v>74738</v>
      </c>
      <c r="L798" s="213" t="s">
        <v>74799</v>
      </c>
      <c r="M798" s="213" t="s">
        <v>74860</v>
      </c>
      <c r="N798" s="213" t="s">
        <v>6742</v>
      </c>
      <c r="O798" s="213" t="s">
        <v>6743</v>
      </c>
      <c r="P798" s="213" t="s">
        <v>6744</v>
      </c>
      <c r="Q798" s="213" t="s">
        <v>6745</v>
      </c>
      <c r="R798" s="213" t="s">
        <v>6746</v>
      </c>
      <c r="S798" s="213" t="s">
        <v>6747</v>
      </c>
      <c r="T798" s="213" t="s">
        <v>6748</v>
      </c>
      <c r="U798" s="213" t="s">
        <v>74921</v>
      </c>
    </row>
    <row r="799" spans="1:21" x14ac:dyDescent="0.25">
      <c r="A799" s="213" t="s">
        <v>327</v>
      </c>
      <c r="D799" s="213" t="s">
        <v>6749</v>
      </c>
      <c r="E799" s="213" t="s">
        <v>6750</v>
      </c>
      <c r="K799" s="213" t="s">
        <v>74739</v>
      </c>
      <c r="L799" s="213" t="s">
        <v>74800</v>
      </c>
      <c r="M799" s="213" t="s">
        <v>74861</v>
      </c>
      <c r="N799" s="213" t="s">
        <v>6751</v>
      </c>
      <c r="O799" s="213" t="s">
        <v>6752</v>
      </c>
      <c r="P799" s="213" t="s">
        <v>6753</v>
      </c>
      <c r="Q799" s="213" t="s">
        <v>6754</v>
      </c>
      <c r="R799" s="213" t="s">
        <v>6755</v>
      </c>
      <c r="S799" s="213" t="s">
        <v>6756</v>
      </c>
      <c r="T799" s="213" t="s">
        <v>6757</v>
      </c>
      <c r="U799" s="213" t="s">
        <v>74922</v>
      </c>
    </row>
    <row r="800" spans="1:21" x14ac:dyDescent="0.25">
      <c r="A800" s="213" t="s">
        <v>327</v>
      </c>
      <c r="D800" s="213" t="s">
        <v>6758</v>
      </c>
      <c r="E800" s="213" t="s">
        <v>6759</v>
      </c>
      <c r="K800" s="213" t="s">
        <v>74740</v>
      </c>
      <c r="L800" s="213" t="s">
        <v>74801</v>
      </c>
      <c r="M800" s="213" t="s">
        <v>74862</v>
      </c>
      <c r="N800" s="213" t="s">
        <v>6760</v>
      </c>
      <c r="O800" s="213" t="s">
        <v>6761</v>
      </c>
      <c r="P800" s="213" t="s">
        <v>6762</v>
      </c>
      <c r="Q800" s="213" t="s">
        <v>6763</v>
      </c>
      <c r="R800" s="213" t="s">
        <v>6764</v>
      </c>
      <c r="S800" s="213" t="s">
        <v>6765</v>
      </c>
      <c r="T800" s="213" t="s">
        <v>6766</v>
      </c>
      <c r="U800" s="213" t="s">
        <v>74923</v>
      </c>
    </row>
    <row r="801" spans="1:21" x14ac:dyDescent="0.25">
      <c r="A801" s="213" t="s">
        <v>327</v>
      </c>
      <c r="D801" s="213" t="s">
        <v>6767</v>
      </c>
      <c r="E801" s="213" t="s">
        <v>6768</v>
      </c>
      <c r="K801" s="213" t="s">
        <v>74741</v>
      </c>
      <c r="L801" s="213" t="s">
        <v>74802</v>
      </c>
      <c r="M801" s="213" t="s">
        <v>74863</v>
      </c>
      <c r="N801" s="213" t="s">
        <v>6769</v>
      </c>
      <c r="O801" s="213" t="s">
        <v>6770</v>
      </c>
      <c r="P801" s="213" t="s">
        <v>6771</v>
      </c>
      <c r="Q801" s="213" t="s">
        <v>6772</v>
      </c>
      <c r="R801" s="213" t="s">
        <v>6773</v>
      </c>
      <c r="S801" s="213" t="s">
        <v>6774</v>
      </c>
      <c r="T801" s="213" t="s">
        <v>6775</v>
      </c>
      <c r="U801" s="213" t="s">
        <v>74924</v>
      </c>
    </row>
    <row r="802" spans="1:21" x14ac:dyDescent="0.25">
      <c r="A802" s="213" t="s">
        <v>327</v>
      </c>
      <c r="D802" s="213" t="s">
        <v>6776</v>
      </c>
      <c r="E802" s="213" t="s">
        <v>6777</v>
      </c>
      <c r="K802" s="213" t="s">
        <v>74742</v>
      </c>
      <c r="L802" s="213" t="s">
        <v>74803</v>
      </c>
      <c r="M802" s="213" t="s">
        <v>74864</v>
      </c>
      <c r="N802" s="213" t="s">
        <v>6778</v>
      </c>
      <c r="O802" s="213" t="s">
        <v>6779</v>
      </c>
      <c r="P802" s="213" t="s">
        <v>6780</v>
      </c>
      <c r="Q802" s="213" t="s">
        <v>6781</v>
      </c>
      <c r="R802" s="213" t="s">
        <v>6782</v>
      </c>
      <c r="S802" s="213" t="s">
        <v>6783</v>
      </c>
      <c r="T802" s="213" t="s">
        <v>6784</v>
      </c>
      <c r="U802" s="213" t="s">
        <v>74925</v>
      </c>
    </row>
    <row r="803" spans="1:21" x14ac:dyDescent="0.25">
      <c r="A803" s="213" t="s">
        <v>327</v>
      </c>
      <c r="D803" s="213" t="s">
        <v>6785</v>
      </c>
      <c r="E803" s="213" t="s">
        <v>6786</v>
      </c>
      <c r="K803" s="213" t="s">
        <v>74743</v>
      </c>
      <c r="L803" s="213" t="s">
        <v>74804</v>
      </c>
      <c r="M803" s="213" t="s">
        <v>74865</v>
      </c>
      <c r="N803" s="213" t="s">
        <v>6787</v>
      </c>
      <c r="O803" s="213" t="s">
        <v>6788</v>
      </c>
      <c r="P803" s="213" t="s">
        <v>6789</v>
      </c>
      <c r="Q803" s="213" t="s">
        <v>6790</v>
      </c>
      <c r="R803" s="213" t="s">
        <v>6791</v>
      </c>
      <c r="S803" s="213" t="s">
        <v>6792</v>
      </c>
      <c r="T803" s="213" t="s">
        <v>6793</v>
      </c>
      <c r="U803" s="213" t="s">
        <v>74926</v>
      </c>
    </row>
    <row r="804" spans="1:21" x14ac:dyDescent="0.25">
      <c r="A804" s="213" t="s">
        <v>327</v>
      </c>
      <c r="D804" s="213" t="s">
        <v>6794</v>
      </c>
      <c r="E804" s="213" t="s">
        <v>6795</v>
      </c>
      <c r="K804" s="213" t="s">
        <v>74744</v>
      </c>
      <c r="L804" s="213" t="s">
        <v>74805</v>
      </c>
      <c r="M804" s="213" t="s">
        <v>74866</v>
      </c>
      <c r="N804" s="213" t="s">
        <v>6796</v>
      </c>
      <c r="O804" s="213" t="s">
        <v>6797</v>
      </c>
      <c r="P804" s="213" t="s">
        <v>6798</v>
      </c>
      <c r="Q804" s="213" t="s">
        <v>6799</v>
      </c>
      <c r="R804" s="213" t="s">
        <v>6800</v>
      </c>
      <c r="S804" s="213" t="s">
        <v>6801</v>
      </c>
      <c r="T804" s="213" t="s">
        <v>6802</v>
      </c>
      <c r="U804" s="213" t="s">
        <v>74927</v>
      </c>
    </row>
    <row r="805" spans="1:21" x14ac:dyDescent="0.25">
      <c r="A805" s="213" t="s">
        <v>327</v>
      </c>
      <c r="D805" s="213" t="s">
        <v>6803</v>
      </c>
      <c r="E805" s="213" t="s">
        <v>6804</v>
      </c>
      <c r="K805" s="213" t="s">
        <v>74745</v>
      </c>
      <c r="L805" s="213" t="s">
        <v>74806</v>
      </c>
      <c r="M805" s="213" t="s">
        <v>74867</v>
      </c>
      <c r="N805" s="213" t="s">
        <v>6805</v>
      </c>
      <c r="O805" s="213" t="s">
        <v>6806</v>
      </c>
      <c r="P805" s="213" t="s">
        <v>6807</v>
      </c>
      <c r="Q805" s="213" t="s">
        <v>6808</v>
      </c>
      <c r="R805" s="213" t="s">
        <v>6809</v>
      </c>
      <c r="S805" s="213" t="s">
        <v>6810</v>
      </c>
      <c r="T805" s="213" t="s">
        <v>6811</v>
      </c>
      <c r="U805" s="213" t="s">
        <v>74928</v>
      </c>
    </row>
    <row r="806" spans="1:21" x14ac:dyDescent="0.25">
      <c r="A806" s="213" t="s">
        <v>327</v>
      </c>
      <c r="D806" s="213" t="s">
        <v>6812</v>
      </c>
      <c r="E806" s="213" t="s">
        <v>6813</v>
      </c>
      <c r="K806" s="213" t="s">
        <v>74746</v>
      </c>
      <c r="L806" s="213" t="s">
        <v>74807</v>
      </c>
      <c r="M806" s="213" t="s">
        <v>74868</v>
      </c>
      <c r="N806" s="213" t="s">
        <v>6814</v>
      </c>
      <c r="O806" s="213" t="s">
        <v>6815</v>
      </c>
      <c r="P806" s="213" t="s">
        <v>6816</v>
      </c>
      <c r="Q806" s="213" t="s">
        <v>6817</v>
      </c>
      <c r="R806" s="213" t="s">
        <v>6818</v>
      </c>
      <c r="S806" s="213" t="s">
        <v>6819</v>
      </c>
      <c r="T806" s="213" t="s">
        <v>6820</v>
      </c>
      <c r="U806" s="213" t="s">
        <v>74929</v>
      </c>
    </row>
    <row r="807" spans="1:21" x14ac:dyDescent="0.25">
      <c r="A807" s="213" t="s">
        <v>327</v>
      </c>
      <c r="D807" s="213" t="s">
        <v>6821</v>
      </c>
      <c r="E807" s="213" t="s">
        <v>6822</v>
      </c>
      <c r="K807" s="213" t="s">
        <v>74747</v>
      </c>
      <c r="L807" s="213" t="s">
        <v>74808</v>
      </c>
      <c r="M807" s="213" t="s">
        <v>74869</v>
      </c>
      <c r="N807" s="213" t="s">
        <v>6823</v>
      </c>
      <c r="O807" s="213" t="s">
        <v>6824</v>
      </c>
      <c r="P807" s="213" t="s">
        <v>6825</v>
      </c>
      <c r="Q807" s="213" t="s">
        <v>6826</v>
      </c>
      <c r="R807" s="213" t="s">
        <v>6827</v>
      </c>
      <c r="S807" s="213" t="s">
        <v>6828</v>
      </c>
      <c r="T807" s="213" t="s">
        <v>6829</v>
      </c>
      <c r="U807" s="213" t="s">
        <v>74930</v>
      </c>
    </row>
    <row r="808" spans="1:21" x14ac:dyDescent="0.25">
      <c r="A808" s="213" t="s">
        <v>327</v>
      </c>
      <c r="D808" s="213" t="s">
        <v>6830</v>
      </c>
      <c r="E808" s="213" t="s">
        <v>6831</v>
      </c>
      <c r="K808" s="213" t="s">
        <v>74748</v>
      </c>
      <c r="L808" s="213" t="s">
        <v>74809</v>
      </c>
      <c r="M808" s="213" t="s">
        <v>74870</v>
      </c>
      <c r="N808" s="213" t="s">
        <v>6832</v>
      </c>
      <c r="O808" s="213" t="s">
        <v>6833</v>
      </c>
      <c r="P808" s="213" t="s">
        <v>6834</v>
      </c>
      <c r="Q808" s="213" t="s">
        <v>6835</v>
      </c>
      <c r="R808" s="213" t="s">
        <v>6836</v>
      </c>
      <c r="S808" s="213" t="s">
        <v>6837</v>
      </c>
      <c r="T808" s="213" t="s">
        <v>6838</v>
      </c>
      <c r="U808" s="213" t="s">
        <v>74931</v>
      </c>
    </row>
    <row r="809" spans="1:21" x14ac:dyDescent="0.25">
      <c r="A809" s="213" t="s">
        <v>327</v>
      </c>
      <c r="D809" s="213" t="s">
        <v>6839</v>
      </c>
      <c r="E809" s="213" t="s">
        <v>6840</v>
      </c>
      <c r="K809" s="213" t="s">
        <v>74749</v>
      </c>
      <c r="L809" s="213" t="s">
        <v>74810</v>
      </c>
      <c r="M809" s="213" t="s">
        <v>74871</v>
      </c>
      <c r="N809" s="213" t="s">
        <v>6841</v>
      </c>
      <c r="O809" s="213" t="s">
        <v>6842</v>
      </c>
      <c r="P809" s="213" t="s">
        <v>6843</v>
      </c>
      <c r="Q809" s="213" t="s">
        <v>6844</v>
      </c>
      <c r="R809" s="213" t="s">
        <v>6845</v>
      </c>
      <c r="S809" s="213" t="s">
        <v>6846</v>
      </c>
      <c r="T809" s="213" t="s">
        <v>6847</v>
      </c>
      <c r="U809" s="213" t="s">
        <v>74932</v>
      </c>
    </row>
    <row r="810" spans="1:21" x14ac:dyDescent="0.25">
      <c r="A810" s="213" t="s">
        <v>327</v>
      </c>
      <c r="D810" s="213" t="s">
        <v>6848</v>
      </c>
      <c r="E810" s="213" t="s">
        <v>6849</v>
      </c>
      <c r="K810" s="213" t="s">
        <v>74750</v>
      </c>
      <c r="L810" s="213" t="s">
        <v>74811</v>
      </c>
      <c r="M810" s="213" t="s">
        <v>74872</v>
      </c>
      <c r="N810" s="213" t="s">
        <v>6850</v>
      </c>
      <c r="O810" s="213" t="s">
        <v>6851</v>
      </c>
      <c r="P810" s="213" t="s">
        <v>6852</v>
      </c>
      <c r="Q810" s="213" t="s">
        <v>6853</v>
      </c>
      <c r="R810" s="213" t="s">
        <v>6854</v>
      </c>
      <c r="S810" s="213" t="s">
        <v>6855</v>
      </c>
      <c r="T810" s="213" t="s">
        <v>6856</v>
      </c>
      <c r="U810" s="213" t="s">
        <v>74933</v>
      </c>
    </row>
    <row r="811" spans="1:21" x14ac:dyDescent="0.25">
      <c r="A811" s="213" t="s">
        <v>327</v>
      </c>
      <c r="D811" s="213" t="s">
        <v>6857</v>
      </c>
      <c r="E811" s="213" t="s">
        <v>6858</v>
      </c>
      <c r="K811" s="213" t="s">
        <v>74751</v>
      </c>
      <c r="L811" s="213" t="s">
        <v>74812</v>
      </c>
      <c r="M811" s="213" t="s">
        <v>74873</v>
      </c>
      <c r="N811" s="213" t="s">
        <v>6859</v>
      </c>
      <c r="O811" s="213" t="s">
        <v>6860</v>
      </c>
      <c r="P811" s="213" t="s">
        <v>6861</v>
      </c>
      <c r="Q811" s="213" t="s">
        <v>6862</v>
      </c>
      <c r="R811" s="213" t="s">
        <v>6863</v>
      </c>
      <c r="S811" s="213" t="s">
        <v>6864</v>
      </c>
      <c r="T811" s="213" t="s">
        <v>6865</v>
      </c>
      <c r="U811" s="213" t="s">
        <v>74934</v>
      </c>
    </row>
    <row r="812" spans="1:21" x14ac:dyDescent="0.25">
      <c r="A812" s="213" t="s">
        <v>327</v>
      </c>
      <c r="D812" s="213" t="s">
        <v>6866</v>
      </c>
      <c r="E812" s="213" t="s">
        <v>6867</v>
      </c>
      <c r="K812" s="213" t="s">
        <v>74752</v>
      </c>
      <c r="L812" s="213" t="s">
        <v>74813</v>
      </c>
      <c r="M812" s="213" t="s">
        <v>74874</v>
      </c>
      <c r="N812" s="213" t="s">
        <v>6868</v>
      </c>
      <c r="O812" s="213" t="s">
        <v>6869</v>
      </c>
      <c r="P812" s="213" t="s">
        <v>6870</v>
      </c>
      <c r="Q812" s="213" t="s">
        <v>6871</v>
      </c>
      <c r="R812" s="213" t="s">
        <v>6872</v>
      </c>
      <c r="S812" s="213" t="s">
        <v>6873</v>
      </c>
      <c r="T812" s="213" t="s">
        <v>6874</v>
      </c>
      <c r="U812" s="213" t="s">
        <v>74935</v>
      </c>
    </row>
    <row r="813" spans="1:21" x14ac:dyDescent="0.25">
      <c r="A813" s="213" t="s">
        <v>327</v>
      </c>
      <c r="D813" s="213" t="s">
        <v>6875</v>
      </c>
      <c r="E813" s="213" t="s">
        <v>6876</v>
      </c>
      <c r="K813" s="213" t="s">
        <v>74753</v>
      </c>
      <c r="L813" s="213" t="s">
        <v>74814</v>
      </c>
      <c r="M813" s="213" t="s">
        <v>74875</v>
      </c>
      <c r="N813" s="213" t="s">
        <v>6877</v>
      </c>
      <c r="O813" s="213" t="s">
        <v>6878</v>
      </c>
      <c r="P813" s="213" t="s">
        <v>6879</v>
      </c>
      <c r="Q813" s="213" t="s">
        <v>6880</v>
      </c>
      <c r="R813" s="213" t="s">
        <v>6881</v>
      </c>
      <c r="S813" s="213" t="s">
        <v>6882</v>
      </c>
      <c r="T813" s="213" t="s">
        <v>6883</v>
      </c>
      <c r="U813" s="213" t="s">
        <v>74936</v>
      </c>
    </row>
    <row r="814" spans="1:21" x14ac:dyDescent="0.25">
      <c r="A814" s="213" t="s">
        <v>327</v>
      </c>
      <c r="D814" s="213" t="s">
        <v>6884</v>
      </c>
      <c r="E814" s="213" t="s">
        <v>6885</v>
      </c>
      <c r="K814" s="213" t="s">
        <v>74754</v>
      </c>
      <c r="L814" s="213" t="s">
        <v>74815</v>
      </c>
      <c r="M814" s="213" t="s">
        <v>74876</v>
      </c>
      <c r="N814" s="213" t="s">
        <v>6886</v>
      </c>
      <c r="O814" s="213" t="s">
        <v>6887</v>
      </c>
      <c r="P814" s="213" t="s">
        <v>6888</v>
      </c>
      <c r="Q814" s="213" t="s">
        <v>6889</v>
      </c>
      <c r="R814" s="213" t="s">
        <v>6890</v>
      </c>
      <c r="S814" s="213" t="s">
        <v>6891</v>
      </c>
      <c r="T814" s="213" t="s">
        <v>6892</v>
      </c>
      <c r="U814" s="213" t="s">
        <v>74937</v>
      </c>
    </row>
    <row r="815" spans="1:21" x14ac:dyDescent="0.25">
      <c r="A815" s="213" t="s">
        <v>327</v>
      </c>
      <c r="D815" s="213" t="s">
        <v>6893</v>
      </c>
      <c r="E815" s="213" t="s">
        <v>6894</v>
      </c>
      <c r="K815" s="213" t="s">
        <v>74755</v>
      </c>
      <c r="L815" s="213" t="s">
        <v>74816</v>
      </c>
      <c r="M815" s="213" t="s">
        <v>74877</v>
      </c>
      <c r="N815" s="213" t="s">
        <v>6895</v>
      </c>
      <c r="O815" s="213" t="s">
        <v>6896</v>
      </c>
      <c r="P815" s="213" t="s">
        <v>6897</v>
      </c>
      <c r="Q815" s="213" t="s">
        <v>6898</v>
      </c>
      <c r="R815" s="213" t="s">
        <v>6899</v>
      </c>
      <c r="S815" s="213" t="s">
        <v>6900</v>
      </c>
      <c r="T815" s="213" t="s">
        <v>6901</v>
      </c>
      <c r="U815" s="213" t="s">
        <v>74938</v>
      </c>
    </row>
    <row r="816" spans="1:21" x14ac:dyDescent="0.25">
      <c r="A816" s="213" t="s">
        <v>327</v>
      </c>
      <c r="D816" s="213" t="s">
        <v>6902</v>
      </c>
      <c r="E816" s="213" t="s">
        <v>6903</v>
      </c>
      <c r="K816" s="213" t="s">
        <v>74756</v>
      </c>
      <c r="L816" s="213" t="s">
        <v>74817</v>
      </c>
      <c r="M816" s="213" t="s">
        <v>74878</v>
      </c>
      <c r="N816" s="213" t="s">
        <v>6904</v>
      </c>
      <c r="O816" s="213" t="s">
        <v>6905</v>
      </c>
      <c r="P816" s="213" t="s">
        <v>6906</v>
      </c>
      <c r="Q816" s="213" t="s">
        <v>6907</v>
      </c>
      <c r="R816" s="213" t="s">
        <v>6908</v>
      </c>
      <c r="S816" s="213" t="s">
        <v>6909</v>
      </c>
      <c r="T816" s="213" t="s">
        <v>6910</v>
      </c>
      <c r="U816" s="213" t="s">
        <v>74939</v>
      </c>
    </row>
    <row r="817" spans="1:21" x14ac:dyDescent="0.25">
      <c r="A817" s="213" t="s">
        <v>327</v>
      </c>
      <c r="D817" s="213" t="s">
        <v>6911</v>
      </c>
      <c r="E817" s="213" t="s">
        <v>6912</v>
      </c>
      <c r="K817" s="213" t="s">
        <v>74757</v>
      </c>
      <c r="L817" s="213" t="s">
        <v>74818</v>
      </c>
      <c r="M817" s="213" t="s">
        <v>74879</v>
      </c>
      <c r="N817" s="213" t="s">
        <v>6913</v>
      </c>
      <c r="O817" s="213" t="s">
        <v>6914</v>
      </c>
      <c r="P817" s="213" t="s">
        <v>6915</v>
      </c>
      <c r="Q817" s="213" t="s">
        <v>6916</v>
      </c>
      <c r="R817" s="213" t="s">
        <v>6917</v>
      </c>
      <c r="S817" s="213" t="s">
        <v>6918</v>
      </c>
      <c r="T817" s="213" t="s">
        <v>6919</v>
      </c>
      <c r="U817" s="213" t="s">
        <v>74940</v>
      </c>
    </row>
    <row r="818" spans="1:21" x14ac:dyDescent="0.25">
      <c r="A818" s="213" t="s">
        <v>327</v>
      </c>
      <c r="D818" s="213" t="s">
        <v>6920</v>
      </c>
      <c r="E818" s="213" t="s">
        <v>6921</v>
      </c>
      <c r="K818" s="213" t="s">
        <v>74758</v>
      </c>
      <c r="L818" s="213" t="s">
        <v>74819</v>
      </c>
      <c r="M818" s="213" t="s">
        <v>74880</v>
      </c>
      <c r="N818" s="213" t="s">
        <v>6922</v>
      </c>
      <c r="O818" s="213" t="s">
        <v>6923</v>
      </c>
      <c r="P818" s="213" t="s">
        <v>6924</v>
      </c>
      <c r="Q818" s="213" t="s">
        <v>6925</v>
      </c>
      <c r="R818" s="213" t="s">
        <v>6926</v>
      </c>
      <c r="S818" s="213" t="s">
        <v>6927</v>
      </c>
      <c r="T818" s="213" t="s">
        <v>6928</v>
      </c>
      <c r="U818" s="213" t="s">
        <v>74941</v>
      </c>
    </row>
    <row r="819" spans="1:21" x14ac:dyDescent="0.25">
      <c r="A819" s="213" t="s">
        <v>327</v>
      </c>
      <c r="D819" s="213" t="s">
        <v>6929</v>
      </c>
      <c r="E819" s="213" t="s">
        <v>6930</v>
      </c>
      <c r="K819" s="213" t="s">
        <v>74759</v>
      </c>
      <c r="L819" s="213" t="s">
        <v>74820</v>
      </c>
      <c r="M819" s="213" t="s">
        <v>74881</v>
      </c>
      <c r="N819" s="213" t="s">
        <v>6931</v>
      </c>
      <c r="O819" s="213" t="s">
        <v>6932</v>
      </c>
      <c r="P819" s="213" t="s">
        <v>6933</v>
      </c>
      <c r="Q819" s="213" t="s">
        <v>6934</v>
      </c>
      <c r="R819" s="213" t="s">
        <v>6935</v>
      </c>
      <c r="S819" s="213" t="s">
        <v>6936</v>
      </c>
      <c r="T819" s="213" t="s">
        <v>6937</v>
      </c>
      <c r="U819" s="213" t="s">
        <v>74942</v>
      </c>
    </row>
    <row r="820" spans="1:21" x14ac:dyDescent="0.25">
      <c r="A820" s="213" t="s">
        <v>327</v>
      </c>
      <c r="D820" s="213" t="s">
        <v>6938</v>
      </c>
      <c r="E820" s="213" t="s">
        <v>6939</v>
      </c>
      <c r="K820" s="213" t="s">
        <v>74760</v>
      </c>
      <c r="L820" s="213" t="s">
        <v>74821</v>
      </c>
      <c r="M820" s="213" t="s">
        <v>74882</v>
      </c>
      <c r="N820" s="213" t="s">
        <v>6940</v>
      </c>
      <c r="O820" s="213" t="s">
        <v>6941</v>
      </c>
      <c r="P820" s="213" t="s">
        <v>6942</v>
      </c>
      <c r="Q820" s="213" t="s">
        <v>6943</v>
      </c>
      <c r="R820" s="213" t="s">
        <v>6944</v>
      </c>
      <c r="S820" s="213" t="s">
        <v>6945</v>
      </c>
      <c r="T820" s="213" t="s">
        <v>6946</v>
      </c>
      <c r="U820" s="213" t="s">
        <v>74943</v>
      </c>
    </row>
    <row r="821" spans="1:21" x14ac:dyDescent="0.25">
      <c r="A821" s="213" t="s">
        <v>327</v>
      </c>
      <c r="D821" s="213" t="s">
        <v>6947</v>
      </c>
      <c r="E821" s="213" t="s">
        <v>6948</v>
      </c>
      <c r="K821" s="213" t="s">
        <v>74761</v>
      </c>
      <c r="L821" s="213" t="s">
        <v>74822</v>
      </c>
      <c r="M821" s="213" t="s">
        <v>74883</v>
      </c>
      <c r="N821" s="213" t="s">
        <v>6949</v>
      </c>
      <c r="O821" s="213" t="s">
        <v>6950</v>
      </c>
      <c r="P821" s="213" t="s">
        <v>6951</v>
      </c>
      <c r="Q821" s="213" t="s">
        <v>6952</v>
      </c>
      <c r="R821" s="213" t="s">
        <v>6953</v>
      </c>
      <c r="S821" s="213" t="s">
        <v>6954</v>
      </c>
      <c r="T821" s="213" t="s">
        <v>6955</v>
      </c>
      <c r="U821" s="213" t="s">
        <v>74944</v>
      </c>
    </row>
    <row r="822" spans="1:21" x14ac:dyDescent="0.25">
      <c r="A822" s="213" t="s">
        <v>327</v>
      </c>
      <c r="D822" s="213" t="s">
        <v>6956</v>
      </c>
      <c r="E822" s="213" t="s">
        <v>6957</v>
      </c>
      <c r="K822" s="213" t="s">
        <v>74762</v>
      </c>
      <c r="L822" s="213" t="s">
        <v>74823</v>
      </c>
      <c r="M822" s="213" t="s">
        <v>74884</v>
      </c>
      <c r="N822" s="213" t="s">
        <v>6958</v>
      </c>
      <c r="O822" s="213" t="s">
        <v>6959</v>
      </c>
      <c r="P822" s="213" t="s">
        <v>6960</v>
      </c>
      <c r="Q822" s="213" t="s">
        <v>6961</v>
      </c>
      <c r="R822" s="213" t="s">
        <v>6962</v>
      </c>
      <c r="S822" s="213" t="s">
        <v>6963</v>
      </c>
      <c r="T822" s="213" t="s">
        <v>6964</v>
      </c>
      <c r="U822" s="213" t="s">
        <v>74945</v>
      </c>
    </row>
    <row r="823" spans="1:21" x14ac:dyDescent="0.25">
      <c r="A823" s="213" t="s">
        <v>327</v>
      </c>
      <c r="D823" s="213" t="s">
        <v>6965</v>
      </c>
      <c r="E823" s="213" t="s">
        <v>6966</v>
      </c>
      <c r="K823" s="213" t="s">
        <v>74763</v>
      </c>
      <c r="L823" s="213" t="s">
        <v>74824</v>
      </c>
      <c r="M823" s="213" t="s">
        <v>74885</v>
      </c>
      <c r="N823" s="213" t="s">
        <v>6967</v>
      </c>
      <c r="O823" s="213" t="s">
        <v>6968</v>
      </c>
      <c r="P823" s="213" t="s">
        <v>6969</v>
      </c>
      <c r="Q823" s="213" t="s">
        <v>6970</v>
      </c>
      <c r="R823" s="213" t="s">
        <v>6971</v>
      </c>
      <c r="S823" s="213" t="s">
        <v>6972</v>
      </c>
      <c r="T823" s="213" t="s">
        <v>6973</v>
      </c>
      <c r="U823" s="213" t="s">
        <v>74946</v>
      </c>
    </row>
    <row r="824" spans="1:21" x14ac:dyDescent="0.25">
      <c r="A824" s="213" t="s">
        <v>327</v>
      </c>
      <c r="D824" s="213" t="s">
        <v>6974</v>
      </c>
      <c r="E824" s="213" t="s">
        <v>6975</v>
      </c>
      <c r="K824" s="213" t="s">
        <v>74764</v>
      </c>
      <c r="L824" s="213" t="s">
        <v>74825</v>
      </c>
      <c r="M824" s="213" t="s">
        <v>74886</v>
      </c>
      <c r="N824" s="213" t="s">
        <v>6976</v>
      </c>
      <c r="O824" s="213" t="s">
        <v>6977</v>
      </c>
      <c r="P824" s="213" t="s">
        <v>6978</v>
      </c>
      <c r="Q824" s="213" t="s">
        <v>6979</v>
      </c>
      <c r="R824" s="213" t="s">
        <v>6980</v>
      </c>
      <c r="S824" s="213" t="s">
        <v>6981</v>
      </c>
      <c r="T824" s="213" t="s">
        <v>6982</v>
      </c>
      <c r="U824" s="213" t="s">
        <v>74947</v>
      </c>
    </row>
    <row r="825" spans="1:21" x14ac:dyDescent="0.25">
      <c r="A825" s="213" t="s">
        <v>327</v>
      </c>
      <c r="D825" s="213" t="s">
        <v>6983</v>
      </c>
      <c r="E825" s="213" t="s">
        <v>6984</v>
      </c>
      <c r="K825" s="213" t="s">
        <v>74765</v>
      </c>
      <c r="L825" s="213" t="s">
        <v>74826</v>
      </c>
      <c r="M825" s="213" t="s">
        <v>74887</v>
      </c>
      <c r="N825" s="213" t="s">
        <v>6985</v>
      </c>
      <c r="O825" s="213" t="s">
        <v>6986</v>
      </c>
      <c r="P825" s="213" t="s">
        <v>6987</v>
      </c>
      <c r="Q825" s="213" t="s">
        <v>6988</v>
      </c>
      <c r="R825" s="213" t="s">
        <v>6989</v>
      </c>
      <c r="S825" s="213" t="s">
        <v>6990</v>
      </c>
      <c r="T825" s="213" t="s">
        <v>6991</v>
      </c>
      <c r="U825" s="213" t="s">
        <v>74948</v>
      </c>
    </row>
    <row r="826" spans="1:21" x14ac:dyDescent="0.25">
      <c r="A826" s="213" t="s">
        <v>327</v>
      </c>
      <c r="D826" s="213" t="s">
        <v>6992</v>
      </c>
      <c r="E826" s="213" t="s">
        <v>6993</v>
      </c>
      <c r="K826" s="213" t="s">
        <v>74766</v>
      </c>
      <c r="L826" s="213" t="s">
        <v>74827</v>
      </c>
      <c r="M826" s="213" t="s">
        <v>74888</v>
      </c>
      <c r="N826" s="213" t="s">
        <v>6994</v>
      </c>
      <c r="O826" s="213" t="s">
        <v>6995</v>
      </c>
      <c r="P826" s="213" t="s">
        <v>6996</v>
      </c>
      <c r="Q826" s="213" t="s">
        <v>6997</v>
      </c>
      <c r="R826" s="213" t="s">
        <v>6998</v>
      </c>
      <c r="S826" s="213" t="s">
        <v>6999</v>
      </c>
      <c r="T826" s="213" t="s">
        <v>7000</v>
      </c>
      <c r="U826" s="213" t="s">
        <v>74949</v>
      </c>
    </row>
    <row r="827" spans="1:21" x14ac:dyDescent="0.25">
      <c r="A827" s="213" t="s">
        <v>327</v>
      </c>
      <c r="D827" s="213" t="s">
        <v>7001</v>
      </c>
      <c r="E827" s="213" t="s">
        <v>7002</v>
      </c>
      <c r="K827" s="213" t="s">
        <v>74767</v>
      </c>
      <c r="L827" s="213" t="s">
        <v>74828</v>
      </c>
      <c r="M827" s="213" t="s">
        <v>74889</v>
      </c>
      <c r="N827" s="213" t="s">
        <v>7003</v>
      </c>
      <c r="O827" s="213" t="s">
        <v>7004</v>
      </c>
      <c r="P827" s="213" t="s">
        <v>7005</v>
      </c>
      <c r="Q827" s="213" t="s">
        <v>7006</v>
      </c>
      <c r="R827" s="213" t="s">
        <v>7007</v>
      </c>
      <c r="S827" s="213" t="s">
        <v>7008</v>
      </c>
      <c r="T827" s="213" t="s">
        <v>7009</v>
      </c>
      <c r="U827" s="213" t="s">
        <v>74950</v>
      </c>
    </row>
    <row r="828" spans="1:21" x14ac:dyDescent="0.25">
      <c r="A828" s="213" t="s">
        <v>327</v>
      </c>
      <c r="D828" s="213" t="s">
        <v>7010</v>
      </c>
      <c r="E828" s="213" t="s">
        <v>7011</v>
      </c>
      <c r="K828" s="213" t="s">
        <v>74768</v>
      </c>
      <c r="L828" s="213" t="s">
        <v>74829</v>
      </c>
      <c r="M828" s="213" t="s">
        <v>74890</v>
      </c>
      <c r="N828" s="213" t="s">
        <v>7012</v>
      </c>
      <c r="O828" s="213" t="s">
        <v>7013</v>
      </c>
      <c r="P828" s="213" t="s">
        <v>7014</v>
      </c>
      <c r="Q828" s="213" t="s">
        <v>7015</v>
      </c>
      <c r="R828" s="213" t="s">
        <v>7016</v>
      </c>
      <c r="S828" s="213" t="s">
        <v>7017</v>
      </c>
      <c r="T828" s="213" t="s">
        <v>7018</v>
      </c>
      <c r="U828" s="213" t="s">
        <v>74951</v>
      </c>
    </row>
    <row r="829" spans="1:21" x14ac:dyDescent="0.25">
      <c r="A829" s="213" t="s">
        <v>327</v>
      </c>
      <c r="D829" s="213" t="s">
        <v>7019</v>
      </c>
      <c r="E829" s="213" t="s">
        <v>7020</v>
      </c>
      <c r="K829" s="213" t="s">
        <v>74769</v>
      </c>
      <c r="L829" s="213" t="s">
        <v>74830</v>
      </c>
      <c r="M829" s="213" t="s">
        <v>74891</v>
      </c>
      <c r="N829" s="213" t="s">
        <v>7021</v>
      </c>
      <c r="O829" s="213" t="s">
        <v>7022</v>
      </c>
      <c r="P829" s="213" t="s">
        <v>7023</v>
      </c>
      <c r="Q829" s="213" t="s">
        <v>7024</v>
      </c>
      <c r="R829" s="213" t="s">
        <v>7025</v>
      </c>
      <c r="S829" s="213" t="s">
        <v>7026</v>
      </c>
      <c r="T829" s="213" t="s">
        <v>7027</v>
      </c>
      <c r="U829" s="213" t="s">
        <v>74952</v>
      </c>
    </row>
    <row r="830" spans="1:21" x14ac:dyDescent="0.25">
      <c r="A830" s="213" t="s">
        <v>327</v>
      </c>
      <c r="D830" s="213" t="s">
        <v>7028</v>
      </c>
      <c r="E830" s="213" t="s">
        <v>7029</v>
      </c>
      <c r="K830" s="213" t="s">
        <v>74770</v>
      </c>
      <c r="L830" s="213" t="s">
        <v>74831</v>
      </c>
      <c r="M830" s="213" t="s">
        <v>74892</v>
      </c>
      <c r="N830" s="213" t="s">
        <v>7030</v>
      </c>
      <c r="O830" s="213" t="s">
        <v>7031</v>
      </c>
      <c r="P830" s="213" t="s">
        <v>7032</v>
      </c>
      <c r="Q830" s="213" t="s">
        <v>7033</v>
      </c>
      <c r="R830" s="213" t="s">
        <v>7034</v>
      </c>
      <c r="S830" s="213" t="s">
        <v>7035</v>
      </c>
      <c r="T830" s="213" t="s">
        <v>7036</v>
      </c>
      <c r="U830" s="213" t="s">
        <v>74953</v>
      </c>
    </row>
    <row r="831" spans="1:21" x14ac:dyDescent="0.25">
      <c r="A831" s="213" t="s">
        <v>327</v>
      </c>
      <c r="D831" s="213" t="s">
        <v>7037</v>
      </c>
      <c r="E831" s="213" t="s">
        <v>7038</v>
      </c>
      <c r="K831" s="213" t="s">
        <v>74771</v>
      </c>
      <c r="L831" s="213" t="s">
        <v>74832</v>
      </c>
      <c r="M831" s="213" t="s">
        <v>74893</v>
      </c>
      <c r="N831" s="213" t="s">
        <v>7039</v>
      </c>
      <c r="O831" s="213" t="s">
        <v>7040</v>
      </c>
      <c r="P831" s="213" t="s">
        <v>7041</v>
      </c>
      <c r="Q831" s="213" t="s">
        <v>7042</v>
      </c>
      <c r="R831" s="213" t="s">
        <v>7043</v>
      </c>
      <c r="S831" s="213" t="s">
        <v>7044</v>
      </c>
      <c r="T831" s="213" t="s">
        <v>7045</v>
      </c>
      <c r="U831" s="213" t="s">
        <v>74954</v>
      </c>
    </row>
    <row r="832" spans="1:21" x14ac:dyDescent="0.25">
      <c r="A832" s="213" t="s">
        <v>327</v>
      </c>
      <c r="D832" s="213" t="s">
        <v>7046</v>
      </c>
      <c r="E832" s="213" t="s">
        <v>7047</v>
      </c>
      <c r="K832" s="213" t="s">
        <v>74772</v>
      </c>
      <c r="L832" s="213" t="s">
        <v>74833</v>
      </c>
      <c r="M832" s="213" t="s">
        <v>74894</v>
      </c>
      <c r="N832" s="213" t="s">
        <v>7048</v>
      </c>
      <c r="O832" s="213" t="s">
        <v>7049</v>
      </c>
      <c r="P832" s="213" t="s">
        <v>7050</v>
      </c>
      <c r="Q832" s="213" t="s">
        <v>7051</v>
      </c>
      <c r="R832" s="213" t="s">
        <v>7052</v>
      </c>
      <c r="S832" s="213" t="s">
        <v>7053</v>
      </c>
      <c r="T832" s="213" t="s">
        <v>7054</v>
      </c>
      <c r="U832" s="213" t="s">
        <v>74955</v>
      </c>
    </row>
    <row r="833" spans="1:21" x14ac:dyDescent="0.25">
      <c r="A833" s="213" t="s">
        <v>327</v>
      </c>
      <c r="D833" s="213" t="s">
        <v>7055</v>
      </c>
      <c r="E833" s="213" t="s">
        <v>7056</v>
      </c>
      <c r="K833" s="213" t="s">
        <v>74773</v>
      </c>
      <c r="L833" s="213" t="s">
        <v>74834</v>
      </c>
      <c r="M833" s="213" t="s">
        <v>74895</v>
      </c>
      <c r="N833" s="213" t="s">
        <v>7057</v>
      </c>
      <c r="O833" s="213" t="s">
        <v>7058</v>
      </c>
      <c r="P833" s="213" t="s">
        <v>7059</v>
      </c>
      <c r="Q833" s="213" t="s">
        <v>7060</v>
      </c>
      <c r="R833" s="213" t="s">
        <v>7061</v>
      </c>
      <c r="S833" s="213" t="s">
        <v>7062</v>
      </c>
      <c r="T833" s="213" t="s">
        <v>7063</v>
      </c>
      <c r="U833" s="213" t="s">
        <v>74956</v>
      </c>
    </row>
    <row r="834" spans="1:21" x14ac:dyDescent="0.25">
      <c r="A834" s="213" t="s">
        <v>327</v>
      </c>
      <c r="D834" s="213" t="s">
        <v>7064</v>
      </c>
      <c r="E834" s="213" t="s">
        <v>7065</v>
      </c>
      <c r="K834" s="213" t="s">
        <v>74774</v>
      </c>
      <c r="L834" s="213" t="s">
        <v>74835</v>
      </c>
      <c r="M834" s="213" t="s">
        <v>74896</v>
      </c>
      <c r="N834" s="213" t="s">
        <v>7066</v>
      </c>
      <c r="O834" s="213" t="s">
        <v>7067</v>
      </c>
      <c r="P834" s="213" t="s">
        <v>7068</v>
      </c>
      <c r="Q834" s="213" t="s">
        <v>7069</v>
      </c>
      <c r="R834" s="213" t="s">
        <v>7070</v>
      </c>
      <c r="S834" s="213" t="s">
        <v>7071</v>
      </c>
      <c r="T834" s="213" t="s">
        <v>7072</v>
      </c>
      <c r="U834" s="213" t="s">
        <v>74957</v>
      </c>
    </row>
    <row r="835" spans="1:21" x14ac:dyDescent="0.25">
      <c r="A835" s="213" t="s">
        <v>327</v>
      </c>
      <c r="D835" s="213" t="s">
        <v>7073</v>
      </c>
      <c r="E835" s="213" t="s">
        <v>7074</v>
      </c>
      <c r="K835" s="213" t="s">
        <v>74775</v>
      </c>
      <c r="L835" s="213" t="s">
        <v>74836</v>
      </c>
      <c r="M835" s="213" t="s">
        <v>74897</v>
      </c>
      <c r="N835" s="213" t="s">
        <v>7075</v>
      </c>
      <c r="O835" s="213" t="s">
        <v>7076</v>
      </c>
      <c r="P835" s="213" t="s">
        <v>7077</v>
      </c>
      <c r="Q835" s="213" t="s">
        <v>7078</v>
      </c>
      <c r="R835" s="213" t="s">
        <v>7079</v>
      </c>
      <c r="S835" s="213" t="s">
        <v>7080</v>
      </c>
      <c r="T835" s="213" t="s">
        <v>7081</v>
      </c>
      <c r="U835" s="213" t="s">
        <v>74958</v>
      </c>
    </row>
    <row r="836" spans="1:21" x14ac:dyDescent="0.25">
      <c r="A836" s="213" t="s">
        <v>327</v>
      </c>
      <c r="D836" s="213" t="s">
        <v>7082</v>
      </c>
      <c r="E836" s="213" t="s">
        <v>7083</v>
      </c>
      <c r="K836" s="213" t="s">
        <v>74776</v>
      </c>
      <c r="L836" s="213" t="s">
        <v>74837</v>
      </c>
      <c r="M836" s="213" t="s">
        <v>74898</v>
      </c>
      <c r="N836" s="213" t="s">
        <v>7084</v>
      </c>
      <c r="O836" s="213" t="s">
        <v>7085</v>
      </c>
      <c r="P836" s="213" t="s">
        <v>7086</v>
      </c>
      <c r="Q836" s="213" t="s">
        <v>7087</v>
      </c>
      <c r="R836" s="213" t="s">
        <v>7088</v>
      </c>
      <c r="S836" s="213" t="s">
        <v>7089</v>
      </c>
      <c r="T836" s="213" t="s">
        <v>7090</v>
      </c>
      <c r="U836" s="213" t="s">
        <v>74959</v>
      </c>
    </row>
    <row r="837" spans="1:21" x14ac:dyDescent="0.25">
      <c r="A837" s="213" t="s">
        <v>327</v>
      </c>
      <c r="D837" s="213" t="s">
        <v>7091</v>
      </c>
      <c r="E837" s="213" t="s">
        <v>7092</v>
      </c>
      <c r="K837" s="213" t="s">
        <v>74777</v>
      </c>
      <c r="L837" s="213" t="s">
        <v>74838</v>
      </c>
      <c r="M837" s="213" t="s">
        <v>74899</v>
      </c>
      <c r="N837" s="213" t="s">
        <v>7093</v>
      </c>
      <c r="O837" s="213" t="s">
        <v>7094</v>
      </c>
      <c r="P837" s="213" t="s">
        <v>7095</v>
      </c>
      <c r="Q837" s="213" t="s">
        <v>7096</v>
      </c>
      <c r="R837" s="213" t="s">
        <v>7097</v>
      </c>
      <c r="S837" s="213" t="s">
        <v>7098</v>
      </c>
      <c r="T837" s="213" t="s">
        <v>7099</v>
      </c>
      <c r="U837" s="213" t="s">
        <v>74960</v>
      </c>
    </row>
    <row r="838" spans="1:21" x14ac:dyDescent="0.25">
      <c r="A838" s="213" t="s">
        <v>327</v>
      </c>
      <c r="D838" s="213" t="s">
        <v>7100</v>
      </c>
      <c r="E838" s="213" t="s">
        <v>7101</v>
      </c>
      <c r="K838" s="213" t="s">
        <v>74778</v>
      </c>
      <c r="L838" s="213" t="s">
        <v>74839</v>
      </c>
      <c r="M838" s="213" t="s">
        <v>74900</v>
      </c>
      <c r="N838" s="213" t="s">
        <v>7102</v>
      </c>
      <c r="O838" s="213" t="s">
        <v>7103</v>
      </c>
      <c r="P838" s="213" t="s">
        <v>7104</v>
      </c>
      <c r="Q838" s="213" t="s">
        <v>7105</v>
      </c>
      <c r="R838" s="213" t="s">
        <v>7106</v>
      </c>
      <c r="S838" s="213" t="s">
        <v>7107</v>
      </c>
      <c r="T838" s="213" t="s">
        <v>7108</v>
      </c>
      <c r="U838" s="213" t="s">
        <v>74961</v>
      </c>
    </row>
    <row r="839" spans="1:21" x14ac:dyDescent="0.25">
      <c r="A839" s="213" t="s">
        <v>327</v>
      </c>
    </row>
    <row r="840" spans="1:21" x14ac:dyDescent="0.25">
      <c r="A840" s="213" t="s">
        <v>327</v>
      </c>
    </row>
    <row r="841" spans="1:21" x14ac:dyDescent="0.25">
      <c r="A841" s="213" t="s">
        <v>327</v>
      </c>
      <c r="C841" s="213" t="s">
        <v>7109</v>
      </c>
      <c r="E841" s="213" t="s">
        <v>7110</v>
      </c>
      <c r="H841" s="213" t="s">
        <v>7111</v>
      </c>
      <c r="I841" s="213" t="s">
        <v>7112</v>
      </c>
      <c r="J841" s="213" t="s">
        <v>7113</v>
      </c>
      <c r="L841" s="213" t="s">
        <v>7114</v>
      </c>
      <c r="O841" s="213" t="s">
        <v>7115</v>
      </c>
      <c r="P841" s="213" t="s">
        <v>7116</v>
      </c>
      <c r="Q841" s="213" t="s">
        <v>7117</v>
      </c>
      <c r="R841" s="213" t="s">
        <v>7118</v>
      </c>
      <c r="S841" s="213" t="s">
        <v>7119</v>
      </c>
      <c r="T841" s="213" t="s">
        <v>7120</v>
      </c>
    </row>
    <row r="842" spans="1:21" x14ac:dyDescent="0.25">
      <c r="A842" s="213" t="s">
        <v>327</v>
      </c>
      <c r="C842" s="213" t="s">
        <v>7121</v>
      </c>
      <c r="E842" s="213" t="s">
        <v>7122</v>
      </c>
      <c r="I842" s="213" t="s">
        <v>7123</v>
      </c>
    </row>
    <row r="843" spans="1:21" x14ac:dyDescent="0.25">
      <c r="A843" s="213" t="s">
        <v>327</v>
      </c>
      <c r="C843" s="213" t="s">
        <v>7124</v>
      </c>
      <c r="E843" s="213" t="s">
        <v>7125</v>
      </c>
      <c r="I843" s="213" t="s">
        <v>7126</v>
      </c>
    </row>
    <row r="844" spans="1:21" x14ac:dyDescent="0.25">
      <c r="A844" s="213" t="s">
        <v>328</v>
      </c>
    </row>
    <row r="845" spans="1:21" x14ac:dyDescent="0.25">
      <c r="A845" s="213" t="s">
        <v>327</v>
      </c>
      <c r="D845" s="213" t="s">
        <v>7127</v>
      </c>
      <c r="E845" s="213" t="s">
        <v>7128</v>
      </c>
      <c r="K845" s="213" t="s">
        <v>74538</v>
      </c>
      <c r="L845" s="213" t="s">
        <v>74583</v>
      </c>
      <c r="M845" s="213" t="s">
        <v>74628</v>
      </c>
      <c r="N845" s="213" t="s">
        <v>7129</v>
      </c>
      <c r="O845" s="213" t="s">
        <v>7130</v>
      </c>
      <c r="P845" s="213" t="s">
        <v>7131</v>
      </c>
      <c r="Q845" s="213" t="s">
        <v>7132</v>
      </c>
      <c r="R845" s="213" t="s">
        <v>7133</v>
      </c>
      <c r="S845" s="213" t="s">
        <v>7134</v>
      </c>
      <c r="T845" s="213" t="s">
        <v>7135</v>
      </c>
      <c r="U845" s="213" t="s">
        <v>74673</v>
      </c>
    </row>
    <row r="846" spans="1:21" x14ac:dyDescent="0.25">
      <c r="A846" s="213" t="s">
        <v>327</v>
      </c>
      <c r="D846" s="213" t="s">
        <v>7136</v>
      </c>
      <c r="E846" s="213" t="s">
        <v>7137</v>
      </c>
      <c r="K846" s="213" t="s">
        <v>74539</v>
      </c>
      <c r="L846" s="213" t="s">
        <v>74584</v>
      </c>
      <c r="M846" s="213" t="s">
        <v>74629</v>
      </c>
      <c r="N846" s="213" t="s">
        <v>7138</v>
      </c>
      <c r="O846" s="213" t="s">
        <v>7139</v>
      </c>
      <c r="P846" s="213" t="s">
        <v>7140</v>
      </c>
      <c r="Q846" s="213" t="s">
        <v>7141</v>
      </c>
      <c r="R846" s="213" t="s">
        <v>7142</v>
      </c>
      <c r="S846" s="213" t="s">
        <v>7143</v>
      </c>
      <c r="T846" s="213" t="s">
        <v>7144</v>
      </c>
      <c r="U846" s="213" t="s">
        <v>74674</v>
      </c>
    </row>
    <row r="847" spans="1:21" x14ac:dyDescent="0.25">
      <c r="A847" s="213" t="s">
        <v>327</v>
      </c>
      <c r="D847" s="213" t="s">
        <v>7145</v>
      </c>
      <c r="E847" s="213" t="s">
        <v>7146</v>
      </c>
      <c r="K847" s="213" t="s">
        <v>74540</v>
      </c>
      <c r="L847" s="213" t="s">
        <v>74585</v>
      </c>
      <c r="M847" s="213" t="s">
        <v>74630</v>
      </c>
      <c r="N847" s="213" t="s">
        <v>7147</v>
      </c>
      <c r="O847" s="213" t="s">
        <v>7148</v>
      </c>
      <c r="P847" s="213" t="s">
        <v>7149</v>
      </c>
      <c r="Q847" s="213" t="s">
        <v>7150</v>
      </c>
      <c r="R847" s="213" t="s">
        <v>7151</v>
      </c>
      <c r="S847" s="213" t="s">
        <v>7152</v>
      </c>
      <c r="T847" s="213" t="s">
        <v>7153</v>
      </c>
      <c r="U847" s="213" t="s">
        <v>74675</v>
      </c>
    </row>
    <row r="848" spans="1:21" x14ac:dyDescent="0.25">
      <c r="A848" s="213" t="s">
        <v>327</v>
      </c>
      <c r="D848" s="213" t="s">
        <v>7154</v>
      </c>
      <c r="E848" s="213" t="s">
        <v>7155</v>
      </c>
      <c r="K848" s="213" t="s">
        <v>74541</v>
      </c>
      <c r="L848" s="213" t="s">
        <v>74586</v>
      </c>
      <c r="M848" s="213" t="s">
        <v>74631</v>
      </c>
      <c r="N848" s="213" t="s">
        <v>7156</v>
      </c>
      <c r="O848" s="213" t="s">
        <v>7157</v>
      </c>
      <c r="P848" s="213" t="s">
        <v>7158</v>
      </c>
      <c r="Q848" s="213" t="s">
        <v>7159</v>
      </c>
      <c r="R848" s="213" t="s">
        <v>7160</v>
      </c>
      <c r="S848" s="213" t="s">
        <v>7161</v>
      </c>
      <c r="T848" s="213" t="s">
        <v>7162</v>
      </c>
      <c r="U848" s="213" t="s">
        <v>74676</v>
      </c>
    </row>
    <row r="849" spans="1:21" x14ac:dyDescent="0.25">
      <c r="A849" s="213" t="s">
        <v>327</v>
      </c>
      <c r="D849" s="213" t="s">
        <v>7163</v>
      </c>
      <c r="E849" s="213" t="s">
        <v>7164</v>
      </c>
      <c r="K849" s="213" t="s">
        <v>74542</v>
      </c>
      <c r="L849" s="213" t="s">
        <v>74587</v>
      </c>
      <c r="M849" s="213" t="s">
        <v>74632</v>
      </c>
      <c r="N849" s="213" t="s">
        <v>7165</v>
      </c>
      <c r="O849" s="213" t="s">
        <v>7166</v>
      </c>
      <c r="P849" s="213" t="s">
        <v>7167</v>
      </c>
      <c r="Q849" s="213" t="s">
        <v>7168</v>
      </c>
      <c r="R849" s="213" t="s">
        <v>7169</v>
      </c>
      <c r="S849" s="213" t="s">
        <v>7170</v>
      </c>
      <c r="T849" s="213" t="s">
        <v>7171</v>
      </c>
      <c r="U849" s="213" t="s">
        <v>74677</v>
      </c>
    </row>
    <row r="850" spans="1:21" x14ac:dyDescent="0.25">
      <c r="A850" s="213" t="s">
        <v>327</v>
      </c>
      <c r="D850" s="213" t="s">
        <v>7172</v>
      </c>
      <c r="E850" s="213" t="s">
        <v>7173</v>
      </c>
      <c r="K850" s="213" t="s">
        <v>74543</v>
      </c>
      <c r="L850" s="213" t="s">
        <v>74588</v>
      </c>
      <c r="M850" s="213" t="s">
        <v>74633</v>
      </c>
      <c r="N850" s="213" t="s">
        <v>7174</v>
      </c>
      <c r="O850" s="213" t="s">
        <v>7175</v>
      </c>
      <c r="P850" s="213" t="s">
        <v>7176</v>
      </c>
      <c r="Q850" s="213" t="s">
        <v>7177</v>
      </c>
      <c r="R850" s="213" t="s">
        <v>7178</v>
      </c>
      <c r="S850" s="213" t="s">
        <v>7179</v>
      </c>
      <c r="T850" s="213" t="s">
        <v>7180</v>
      </c>
      <c r="U850" s="213" t="s">
        <v>74678</v>
      </c>
    </row>
    <row r="851" spans="1:21" x14ac:dyDescent="0.25">
      <c r="A851" s="213" t="s">
        <v>327</v>
      </c>
      <c r="D851" s="213" t="s">
        <v>7181</v>
      </c>
      <c r="E851" s="213" t="s">
        <v>7182</v>
      </c>
      <c r="K851" s="213" t="s">
        <v>74544</v>
      </c>
      <c r="L851" s="213" t="s">
        <v>74589</v>
      </c>
      <c r="M851" s="213" t="s">
        <v>74634</v>
      </c>
      <c r="N851" s="213" t="s">
        <v>7183</v>
      </c>
      <c r="O851" s="213" t="s">
        <v>7184</v>
      </c>
      <c r="P851" s="213" t="s">
        <v>7185</v>
      </c>
      <c r="Q851" s="213" t="s">
        <v>7186</v>
      </c>
      <c r="R851" s="213" t="s">
        <v>7187</v>
      </c>
      <c r="S851" s="213" t="s">
        <v>7188</v>
      </c>
      <c r="T851" s="213" t="s">
        <v>7189</v>
      </c>
      <c r="U851" s="213" t="s">
        <v>74679</v>
      </c>
    </row>
    <row r="852" spans="1:21" x14ac:dyDescent="0.25">
      <c r="A852" s="213" t="s">
        <v>327</v>
      </c>
      <c r="D852" s="213" t="s">
        <v>7190</v>
      </c>
      <c r="E852" s="213" t="s">
        <v>7191</v>
      </c>
      <c r="K852" s="213" t="s">
        <v>74545</v>
      </c>
      <c r="L852" s="213" t="s">
        <v>74590</v>
      </c>
      <c r="M852" s="213" t="s">
        <v>74635</v>
      </c>
      <c r="N852" s="213" t="s">
        <v>7192</v>
      </c>
      <c r="O852" s="213" t="s">
        <v>7193</v>
      </c>
      <c r="P852" s="213" t="s">
        <v>7194</v>
      </c>
      <c r="Q852" s="213" t="s">
        <v>7195</v>
      </c>
      <c r="R852" s="213" t="s">
        <v>7196</v>
      </c>
      <c r="S852" s="213" t="s">
        <v>7197</v>
      </c>
      <c r="T852" s="213" t="s">
        <v>7198</v>
      </c>
      <c r="U852" s="213" t="s">
        <v>74680</v>
      </c>
    </row>
    <row r="853" spans="1:21" x14ac:dyDescent="0.25">
      <c r="A853" s="213" t="s">
        <v>327</v>
      </c>
      <c r="D853" s="213" t="s">
        <v>7199</v>
      </c>
      <c r="E853" s="213" t="s">
        <v>7200</v>
      </c>
      <c r="K853" s="213" t="s">
        <v>74546</v>
      </c>
      <c r="L853" s="213" t="s">
        <v>74591</v>
      </c>
      <c r="M853" s="213" t="s">
        <v>74636</v>
      </c>
      <c r="N853" s="213" t="s">
        <v>7201</v>
      </c>
      <c r="O853" s="213" t="s">
        <v>7202</v>
      </c>
      <c r="P853" s="213" t="s">
        <v>7203</v>
      </c>
      <c r="Q853" s="213" t="s">
        <v>7204</v>
      </c>
      <c r="R853" s="213" t="s">
        <v>7205</v>
      </c>
      <c r="S853" s="213" t="s">
        <v>7206</v>
      </c>
      <c r="T853" s="213" t="s">
        <v>7207</v>
      </c>
      <c r="U853" s="213" t="s">
        <v>74681</v>
      </c>
    </row>
    <row r="854" spans="1:21" x14ac:dyDescent="0.25">
      <c r="A854" s="213" t="s">
        <v>327</v>
      </c>
      <c r="D854" s="213" t="s">
        <v>7208</v>
      </c>
      <c r="E854" s="213" t="s">
        <v>7209</v>
      </c>
      <c r="K854" s="213" t="s">
        <v>74547</v>
      </c>
      <c r="L854" s="213" t="s">
        <v>74592</v>
      </c>
      <c r="M854" s="213" t="s">
        <v>74637</v>
      </c>
      <c r="N854" s="213" t="s">
        <v>7210</v>
      </c>
      <c r="O854" s="213" t="s">
        <v>7211</v>
      </c>
      <c r="P854" s="213" t="s">
        <v>7212</v>
      </c>
      <c r="Q854" s="213" t="s">
        <v>7213</v>
      </c>
      <c r="R854" s="213" t="s">
        <v>7214</v>
      </c>
      <c r="S854" s="213" t="s">
        <v>7215</v>
      </c>
      <c r="T854" s="213" t="s">
        <v>7216</v>
      </c>
      <c r="U854" s="213" t="s">
        <v>74682</v>
      </c>
    </row>
    <row r="855" spans="1:21" x14ac:dyDescent="0.25">
      <c r="A855" s="213" t="s">
        <v>327</v>
      </c>
      <c r="D855" s="213" t="s">
        <v>7217</v>
      </c>
      <c r="E855" s="213" t="s">
        <v>7218</v>
      </c>
      <c r="K855" s="213" t="s">
        <v>74548</v>
      </c>
      <c r="L855" s="213" t="s">
        <v>74593</v>
      </c>
      <c r="M855" s="213" t="s">
        <v>74638</v>
      </c>
      <c r="N855" s="213" t="s">
        <v>7219</v>
      </c>
      <c r="O855" s="213" t="s">
        <v>7220</v>
      </c>
      <c r="P855" s="213" t="s">
        <v>7221</v>
      </c>
      <c r="Q855" s="213" t="s">
        <v>7222</v>
      </c>
      <c r="R855" s="213" t="s">
        <v>7223</v>
      </c>
      <c r="S855" s="213" t="s">
        <v>7224</v>
      </c>
      <c r="T855" s="213" t="s">
        <v>7225</v>
      </c>
      <c r="U855" s="213" t="s">
        <v>74683</v>
      </c>
    </row>
    <row r="856" spans="1:21" x14ac:dyDescent="0.25">
      <c r="A856" s="213" t="s">
        <v>327</v>
      </c>
      <c r="D856" s="213" t="s">
        <v>7226</v>
      </c>
      <c r="E856" s="213" t="s">
        <v>7227</v>
      </c>
      <c r="K856" s="213" t="s">
        <v>74549</v>
      </c>
      <c r="L856" s="213" t="s">
        <v>74594</v>
      </c>
      <c r="M856" s="213" t="s">
        <v>74639</v>
      </c>
      <c r="N856" s="213" t="s">
        <v>7228</v>
      </c>
      <c r="O856" s="213" t="s">
        <v>7229</v>
      </c>
      <c r="P856" s="213" t="s">
        <v>7230</v>
      </c>
      <c r="Q856" s="213" t="s">
        <v>7231</v>
      </c>
      <c r="R856" s="213" t="s">
        <v>7232</v>
      </c>
      <c r="S856" s="213" t="s">
        <v>7233</v>
      </c>
      <c r="T856" s="213" t="s">
        <v>7234</v>
      </c>
      <c r="U856" s="213" t="s">
        <v>74684</v>
      </c>
    </row>
    <row r="857" spans="1:21" x14ac:dyDescent="0.25">
      <c r="A857" s="213" t="s">
        <v>327</v>
      </c>
      <c r="D857" s="213" t="s">
        <v>7235</v>
      </c>
      <c r="E857" s="213" t="s">
        <v>7236</v>
      </c>
      <c r="K857" s="213" t="s">
        <v>74550</v>
      </c>
      <c r="L857" s="213" t="s">
        <v>74595</v>
      </c>
      <c r="M857" s="213" t="s">
        <v>74640</v>
      </c>
      <c r="N857" s="213" t="s">
        <v>7237</v>
      </c>
      <c r="O857" s="213" t="s">
        <v>7238</v>
      </c>
      <c r="P857" s="213" t="s">
        <v>7239</v>
      </c>
      <c r="Q857" s="213" t="s">
        <v>7240</v>
      </c>
      <c r="R857" s="213" t="s">
        <v>7241</v>
      </c>
      <c r="S857" s="213" t="s">
        <v>7242</v>
      </c>
      <c r="T857" s="213" t="s">
        <v>7243</v>
      </c>
      <c r="U857" s="213" t="s">
        <v>74685</v>
      </c>
    </row>
    <row r="858" spans="1:21" x14ac:dyDescent="0.25">
      <c r="A858" s="213" t="s">
        <v>327</v>
      </c>
      <c r="D858" s="213" t="s">
        <v>7244</v>
      </c>
      <c r="E858" s="213" t="s">
        <v>7245</v>
      </c>
      <c r="K858" s="213" t="s">
        <v>74551</v>
      </c>
      <c r="L858" s="213" t="s">
        <v>74596</v>
      </c>
      <c r="M858" s="213" t="s">
        <v>74641</v>
      </c>
      <c r="N858" s="213" t="s">
        <v>7246</v>
      </c>
      <c r="O858" s="213" t="s">
        <v>7247</v>
      </c>
      <c r="P858" s="213" t="s">
        <v>7248</v>
      </c>
      <c r="Q858" s="213" t="s">
        <v>7249</v>
      </c>
      <c r="R858" s="213" t="s">
        <v>7250</v>
      </c>
      <c r="S858" s="213" t="s">
        <v>7251</v>
      </c>
      <c r="T858" s="213" t="s">
        <v>7252</v>
      </c>
      <c r="U858" s="213" t="s">
        <v>74686</v>
      </c>
    </row>
    <row r="859" spans="1:21" x14ac:dyDescent="0.25">
      <c r="A859" s="213" t="s">
        <v>327</v>
      </c>
      <c r="D859" s="213" t="s">
        <v>7253</v>
      </c>
      <c r="E859" s="213" t="s">
        <v>7254</v>
      </c>
      <c r="K859" s="213" t="s">
        <v>74552</v>
      </c>
      <c r="L859" s="213" t="s">
        <v>74597</v>
      </c>
      <c r="M859" s="213" t="s">
        <v>74642</v>
      </c>
      <c r="N859" s="213" t="s">
        <v>7255</v>
      </c>
      <c r="O859" s="213" t="s">
        <v>7256</v>
      </c>
      <c r="P859" s="213" t="s">
        <v>7257</v>
      </c>
      <c r="Q859" s="213" t="s">
        <v>7258</v>
      </c>
      <c r="R859" s="213" t="s">
        <v>7259</v>
      </c>
      <c r="S859" s="213" t="s">
        <v>7260</v>
      </c>
      <c r="T859" s="213" t="s">
        <v>7261</v>
      </c>
      <c r="U859" s="213" t="s">
        <v>74687</v>
      </c>
    </row>
    <row r="860" spans="1:21" x14ac:dyDescent="0.25">
      <c r="A860" s="213" t="s">
        <v>327</v>
      </c>
      <c r="D860" s="213" t="s">
        <v>7262</v>
      </c>
      <c r="E860" s="213" t="s">
        <v>7263</v>
      </c>
      <c r="K860" s="213" t="s">
        <v>74553</v>
      </c>
      <c r="L860" s="213" t="s">
        <v>74598</v>
      </c>
      <c r="M860" s="213" t="s">
        <v>74643</v>
      </c>
      <c r="N860" s="213" t="s">
        <v>7264</v>
      </c>
      <c r="O860" s="213" t="s">
        <v>7265</v>
      </c>
      <c r="P860" s="213" t="s">
        <v>7266</v>
      </c>
      <c r="Q860" s="213" t="s">
        <v>7267</v>
      </c>
      <c r="R860" s="213" t="s">
        <v>7268</v>
      </c>
      <c r="S860" s="213" t="s">
        <v>7269</v>
      </c>
      <c r="T860" s="213" t="s">
        <v>7270</v>
      </c>
      <c r="U860" s="213" t="s">
        <v>74688</v>
      </c>
    </row>
    <row r="861" spans="1:21" x14ac:dyDescent="0.25">
      <c r="A861" s="213" t="s">
        <v>327</v>
      </c>
      <c r="D861" s="213" t="s">
        <v>7271</v>
      </c>
      <c r="E861" s="213" t="s">
        <v>7272</v>
      </c>
      <c r="K861" s="213" t="s">
        <v>74554</v>
      </c>
      <c r="L861" s="213" t="s">
        <v>74599</v>
      </c>
      <c r="M861" s="213" t="s">
        <v>74644</v>
      </c>
      <c r="N861" s="213" t="s">
        <v>7273</v>
      </c>
      <c r="O861" s="213" t="s">
        <v>7274</v>
      </c>
      <c r="P861" s="213" t="s">
        <v>7275</v>
      </c>
      <c r="Q861" s="213" t="s">
        <v>7276</v>
      </c>
      <c r="R861" s="213" t="s">
        <v>7277</v>
      </c>
      <c r="S861" s="213" t="s">
        <v>7278</v>
      </c>
      <c r="T861" s="213" t="s">
        <v>7279</v>
      </c>
      <c r="U861" s="213" t="s">
        <v>74689</v>
      </c>
    </row>
    <row r="862" spans="1:21" x14ac:dyDescent="0.25">
      <c r="A862" s="213" t="s">
        <v>327</v>
      </c>
      <c r="D862" s="213" t="s">
        <v>7280</v>
      </c>
      <c r="E862" s="213" t="s">
        <v>7281</v>
      </c>
      <c r="K862" s="213" t="s">
        <v>74555</v>
      </c>
      <c r="L862" s="213" t="s">
        <v>74600</v>
      </c>
      <c r="M862" s="213" t="s">
        <v>74645</v>
      </c>
      <c r="N862" s="213" t="s">
        <v>7282</v>
      </c>
      <c r="O862" s="213" t="s">
        <v>7283</v>
      </c>
      <c r="P862" s="213" t="s">
        <v>7284</v>
      </c>
      <c r="Q862" s="213" t="s">
        <v>7285</v>
      </c>
      <c r="R862" s="213" t="s">
        <v>7286</v>
      </c>
      <c r="S862" s="213" t="s">
        <v>7287</v>
      </c>
      <c r="T862" s="213" t="s">
        <v>7288</v>
      </c>
      <c r="U862" s="213" t="s">
        <v>74690</v>
      </c>
    </row>
    <row r="863" spans="1:21" x14ac:dyDescent="0.25">
      <c r="A863" s="213" t="s">
        <v>327</v>
      </c>
      <c r="D863" s="213" t="s">
        <v>7289</v>
      </c>
      <c r="E863" s="213" t="s">
        <v>7290</v>
      </c>
      <c r="K863" s="213" t="s">
        <v>74556</v>
      </c>
      <c r="L863" s="213" t="s">
        <v>74601</v>
      </c>
      <c r="M863" s="213" t="s">
        <v>74646</v>
      </c>
      <c r="N863" s="213" t="s">
        <v>7291</v>
      </c>
      <c r="O863" s="213" t="s">
        <v>7292</v>
      </c>
      <c r="P863" s="213" t="s">
        <v>7293</v>
      </c>
      <c r="Q863" s="213" t="s">
        <v>7294</v>
      </c>
      <c r="R863" s="213" t="s">
        <v>7295</v>
      </c>
      <c r="S863" s="213" t="s">
        <v>7296</v>
      </c>
      <c r="T863" s="213" t="s">
        <v>7297</v>
      </c>
      <c r="U863" s="213" t="s">
        <v>74691</v>
      </c>
    </row>
    <row r="864" spans="1:21" x14ac:dyDescent="0.25">
      <c r="A864" s="213" t="s">
        <v>327</v>
      </c>
      <c r="D864" s="213" t="s">
        <v>7298</v>
      </c>
      <c r="E864" s="213" t="s">
        <v>7299</v>
      </c>
      <c r="K864" s="213" t="s">
        <v>74557</v>
      </c>
      <c r="L864" s="213" t="s">
        <v>74602</v>
      </c>
      <c r="M864" s="213" t="s">
        <v>74647</v>
      </c>
      <c r="N864" s="213" t="s">
        <v>7300</v>
      </c>
      <c r="O864" s="213" t="s">
        <v>7301</v>
      </c>
      <c r="P864" s="213" t="s">
        <v>7302</v>
      </c>
      <c r="Q864" s="213" t="s">
        <v>7303</v>
      </c>
      <c r="R864" s="213" t="s">
        <v>7304</v>
      </c>
      <c r="S864" s="213" t="s">
        <v>7305</v>
      </c>
      <c r="T864" s="213" t="s">
        <v>7306</v>
      </c>
      <c r="U864" s="213" t="s">
        <v>74692</v>
      </c>
    </row>
    <row r="865" spans="1:21" x14ac:dyDescent="0.25">
      <c r="A865" s="213" t="s">
        <v>327</v>
      </c>
      <c r="D865" s="213" t="s">
        <v>7307</v>
      </c>
      <c r="E865" s="213" t="s">
        <v>7308</v>
      </c>
      <c r="K865" s="213" t="s">
        <v>74558</v>
      </c>
      <c r="L865" s="213" t="s">
        <v>74603</v>
      </c>
      <c r="M865" s="213" t="s">
        <v>74648</v>
      </c>
      <c r="N865" s="213" t="s">
        <v>7309</v>
      </c>
      <c r="O865" s="213" t="s">
        <v>7310</v>
      </c>
      <c r="P865" s="213" t="s">
        <v>7311</v>
      </c>
      <c r="Q865" s="213" t="s">
        <v>7312</v>
      </c>
      <c r="R865" s="213" t="s">
        <v>7313</v>
      </c>
      <c r="S865" s="213" t="s">
        <v>7314</v>
      </c>
      <c r="T865" s="213" t="s">
        <v>7315</v>
      </c>
      <c r="U865" s="213" t="s">
        <v>74693</v>
      </c>
    </row>
    <row r="866" spans="1:21" x14ac:dyDescent="0.25">
      <c r="A866" s="213" t="s">
        <v>327</v>
      </c>
      <c r="D866" s="213" t="s">
        <v>7316</v>
      </c>
      <c r="E866" s="213" t="s">
        <v>7317</v>
      </c>
      <c r="K866" s="213" t="s">
        <v>74559</v>
      </c>
      <c r="L866" s="213" t="s">
        <v>74604</v>
      </c>
      <c r="M866" s="213" t="s">
        <v>74649</v>
      </c>
      <c r="N866" s="213" t="s">
        <v>7318</v>
      </c>
      <c r="O866" s="213" t="s">
        <v>7319</v>
      </c>
      <c r="P866" s="213" t="s">
        <v>7320</v>
      </c>
      <c r="Q866" s="213" t="s">
        <v>7321</v>
      </c>
      <c r="R866" s="213" t="s">
        <v>7322</v>
      </c>
      <c r="S866" s="213" t="s">
        <v>7323</v>
      </c>
      <c r="T866" s="213" t="s">
        <v>7324</v>
      </c>
      <c r="U866" s="213" t="s">
        <v>74694</v>
      </c>
    </row>
    <row r="867" spans="1:21" x14ac:dyDescent="0.25">
      <c r="A867" s="213" t="s">
        <v>327</v>
      </c>
      <c r="D867" s="213" t="s">
        <v>7325</v>
      </c>
      <c r="E867" s="213" t="s">
        <v>7326</v>
      </c>
      <c r="K867" s="213" t="s">
        <v>74560</v>
      </c>
      <c r="L867" s="213" t="s">
        <v>74605</v>
      </c>
      <c r="M867" s="213" t="s">
        <v>74650</v>
      </c>
      <c r="N867" s="213" t="s">
        <v>7327</v>
      </c>
      <c r="O867" s="213" t="s">
        <v>7328</v>
      </c>
      <c r="P867" s="213" t="s">
        <v>7329</v>
      </c>
      <c r="Q867" s="213" t="s">
        <v>7330</v>
      </c>
      <c r="R867" s="213" t="s">
        <v>7331</v>
      </c>
      <c r="S867" s="213" t="s">
        <v>7332</v>
      </c>
      <c r="T867" s="213" t="s">
        <v>7333</v>
      </c>
      <c r="U867" s="213" t="s">
        <v>74695</v>
      </c>
    </row>
    <row r="868" spans="1:21" x14ac:dyDescent="0.25">
      <c r="A868" s="213" t="s">
        <v>327</v>
      </c>
      <c r="D868" s="213" t="s">
        <v>7334</v>
      </c>
      <c r="E868" s="213" t="s">
        <v>7335</v>
      </c>
      <c r="K868" s="213" t="s">
        <v>74561</v>
      </c>
      <c r="L868" s="213" t="s">
        <v>74606</v>
      </c>
      <c r="M868" s="213" t="s">
        <v>74651</v>
      </c>
      <c r="N868" s="213" t="s">
        <v>7336</v>
      </c>
      <c r="O868" s="213" t="s">
        <v>7337</v>
      </c>
      <c r="P868" s="213" t="s">
        <v>7338</v>
      </c>
      <c r="Q868" s="213" t="s">
        <v>7339</v>
      </c>
      <c r="R868" s="213" t="s">
        <v>7340</v>
      </c>
      <c r="S868" s="213" t="s">
        <v>7341</v>
      </c>
      <c r="T868" s="213" t="s">
        <v>7342</v>
      </c>
      <c r="U868" s="213" t="s">
        <v>74696</v>
      </c>
    </row>
    <row r="869" spans="1:21" x14ac:dyDescent="0.25">
      <c r="A869" s="213" t="s">
        <v>327</v>
      </c>
      <c r="D869" s="213" t="s">
        <v>7343</v>
      </c>
      <c r="E869" s="213" t="s">
        <v>7344</v>
      </c>
      <c r="K869" s="213" t="s">
        <v>74562</v>
      </c>
      <c r="L869" s="213" t="s">
        <v>74607</v>
      </c>
      <c r="M869" s="213" t="s">
        <v>74652</v>
      </c>
      <c r="N869" s="213" t="s">
        <v>7345</v>
      </c>
      <c r="O869" s="213" t="s">
        <v>7346</v>
      </c>
      <c r="P869" s="213" t="s">
        <v>7347</v>
      </c>
      <c r="Q869" s="213" t="s">
        <v>7348</v>
      </c>
      <c r="R869" s="213" t="s">
        <v>7349</v>
      </c>
      <c r="S869" s="213" t="s">
        <v>7350</v>
      </c>
      <c r="T869" s="213" t="s">
        <v>7351</v>
      </c>
      <c r="U869" s="213" t="s">
        <v>74697</v>
      </c>
    </row>
    <row r="870" spans="1:21" x14ac:dyDescent="0.25">
      <c r="A870" s="213" t="s">
        <v>327</v>
      </c>
      <c r="D870" s="213" t="s">
        <v>7352</v>
      </c>
      <c r="E870" s="213" t="s">
        <v>7353</v>
      </c>
      <c r="K870" s="213" t="s">
        <v>74563</v>
      </c>
      <c r="L870" s="213" t="s">
        <v>74608</v>
      </c>
      <c r="M870" s="213" t="s">
        <v>74653</v>
      </c>
      <c r="N870" s="213" t="s">
        <v>7354</v>
      </c>
      <c r="O870" s="213" t="s">
        <v>7355</v>
      </c>
      <c r="P870" s="213" t="s">
        <v>7356</v>
      </c>
      <c r="Q870" s="213" t="s">
        <v>7357</v>
      </c>
      <c r="R870" s="213" t="s">
        <v>7358</v>
      </c>
      <c r="S870" s="213" t="s">
        <v>7359</v>
      </c>
      <c r="T870" s="213" t="s">
        <v>7360</v>
      </c>
      <c r="U870" s="213" t="s">
        <v>74698</v>
      </c>
    </row>
    <row r="871" spans="1:21" x14ac:dyDescent="0.25">
      <c r="A871" s="213" t="s">
        <v>327</v>
      </c>
      <c r="D871" s="213" t="s">
        <v>7361</v>
      </c>
      <c r="E871" s="213" t="s">
        <v>7362</v>
      </c>
      <c r="K871" s="213" t="s">
        <v>74564</v>
      </c>
      <c r="L871" s="213" t="s">
        <v>74609</v>
      </c>
      <c r="M871" s="213" t="s">
        <v>74654</v>
      </c>
      <c r="N871" s="213" t="s">
        <v>7363</v>
      </c>
      <c r="O871" s="213" t="s">
        <v>7364</v>
      </c>
      <c r="P871" s="213" t="s">
        <v>7365</v>
      </c>
      <c r="Q871" s="213" t="s">
        <v>7366</v>
      </c>
      <c r="R871" s="213" t="s">
        <v>7367</v>
      </c>
      <c r="S871" s="213" t="s">
        <v>7368</v>
      </c>
      <c r="T871" s="213" t="s">
        <v>7369</v>
      </c>
      <c r="U871" s="213" t="s">
        <v>74699</v>
      </c>
    </row>
    <row r="872" spans="1:21" x14ac:dyDescent="0.25">
      <c r="A872" s="213" t="s">
        <v>327</v>
      </c>
      <c r="D872" s="213" t="s">
        <v>7370</v>
      </c>
      <c r="E872" s="213" t="s">
        <v>7371</v>
      </c>
      <c r="K872" s="213" t="s">
        <v>74565</v>
      </c>
      <c r="L872" s="213" t="s">
        <v>74610</v>
      </c>
      <c r="M872" s="213" t="s">
        <v>74655</v>
      </c>
      <c r="N872" s="213" t="s">
        <v>7372</v>
      </c>
      <c r="O872" s="213" t="s">
        <v>7373</v>
      </c>
      <c r="P872" s="213" t="s">
        <v>7374</v>
      </c>
      <c r="Q872" s="213" t="s">
        <v>7375</v>
      </c>
      <c r="R872" s="213" t="s">
        <v>7376</v>
      </c>
      <c r="S872" s="213" t="s">
        <v>7377</v>
      </c>
      <c r="T872" s="213" t="s">
        <v>7378</v>
      </c>
      <c r="U872" s="213" t="s">
        <v>74700</v>
      </c>
    </row>
    <row r="873" spans="1:21" x14ac:dyDescent="0.25">
      <c r="A873" s="213" t="s">
        <v>327</v>
      </c>
      <c r="D873" s="213" t="s">
        <v>7379</v>
      </c>
      <c r="E873" s="213" t="s">
        <v>7380</v>
      </c>
      <c r="K873" s="213" t="s">
        <v>74566</v>
      </c>
      <c r="L873" s="213" t="s">
        <v>74611</v>
      </c>
      <c r="M873" s="213" t="s">
        <v>74656</v>
      </c>
      <c r="N873" s="213" t="s">
        <v>7381</v>
      </c>
      <c r="O873" s="213" t="s">
        <v>7382</v>
      </c>
      <c r="P873" s="213" t="s">
        <v>7383</v>
      </c>
      <c r="Q873" s="213" t="s">
        <v>7384</v>
      </c>
      <c r="R873" s="213" t="s">
        <v>7385</v>
      </c>
      <c r="S873" s="213" t="s">
        <v>7386</v>
      </c>
      <c r="T873" s="213" t="s">
        <v>7387</v>
      </c>
      <c r="U873" s="213" t="s">
        <v>74701</v>
      </c>
    </row>
    <row r="874" spans="1:21" x14ac:dyDescent="0.25">
      <c r="A874" s="213" t="s">
        <v>327</v>
      </c>
      <c r="D874" s="213" t="s">
        <v>7388</v>
      </c>
      <c r="E874" s="213" t="s">
        <v>7389</v>
      </c>
      <c r="K874" s="213" t="s">
        <v>74567</v>
      </c>
      <c r="L874" s="213" t="s">
        <v>74612</v>
      </c>
      <c r="M874" s="213" t="s">
        <v>74657</v>
      </c>
      <c r="N874" s="213" t="s">
        <v>7390</v>
      </c>
      <c r="O874" s="213" t="s">
        <v>7391</v>
      </c>
      <c r="P874" s="213" t="s">
        <v>7392</v>
      </c>
      <c r="Q874" s="213" t="s">
        <v>7393</v>
      </c>
      <c r="R874" s="213" t="s">
        <v>7394</v>
      </c>
      <c r="S874" s="213" t="s">
        <v>7395</v>
      </c>
      <c r="T874" s="213" t="s">
        <v>7396</v>
      </c>
      <c r="U874" s="213" t="s">
        <v>74702</v>
      </c>
    </row>
    <row r="875" spans="1:21" x14ac:dyDescent="0.25">
      <c r="A875" s="213" t="s">
        <v>327</v>
      </c>
      <c r="D875" s="213" t="s">
        <v>7397</v>
      </c>
      <c r="E875" s="213" t="s">
        <v>7398</v>
      </c>
      <c r="K875" s="213" t="s">
        <v>74568</v>
      </c>
      <c r="L875" s="213" t="s">
        <v>74613</v>
      </c>
      <c r="M875" s="213" t="s">
        <v>74658</v>
      </c>
      <c r="N875" s="213" t="s">
        <v>7399</v>
      </c>
      <c r="O875" s="213" t="s">
        <v>7400</v>
      </c>
      <c r="P875" s="213" t="s">
        <v>7401</v>
      </c>
      <c r="Q875" s="213" t="s">
        <v>7402</v>
      </c>
      <c r="R875" s="213" t="s">
        <v>7403</v>
      </c>
      <c r="S875" s="213" t="s">
        <v>7404</v>
      </c>
      <c r="T875" s="213" t="s">
        <v>7405</v>
      </c>
      <c r="U875" s="213" t="s">
        <v>74703</v>
      </c>
    </row>
    <row r="876" spans="1:21" x14ac:dyDescent="0.25">
      <c r="A876" s="213" t="s">
        <v>327</v>
      </c>
      <c r="D876" s="213" t="s">
        <v>7406</v>
      </c>
      <c r="E876" s="213" t="s">
        <v>7407</v>
      </c>
      <c r="K876" s="213" t="s">
        <v>74569</v>
      </c>
      <c r="L876" s="213" t="s">
        <v>74614</v>
      </c>
      <c r="M876" s="213" t="s">
        <v>74659</v>
      </c>
      <c r="N876" s="213" t="s">
        <v>7408</v>
      </c>
      <c r="O876" s="213" t="s">
        <v>7409</v>
      </c>
      <c r="P876" s="213" t="s">
        <v>7410</v>
      </c>
      <c r="Q876" s="213" t="s">
        <v>7411</v>
      </c>
      <c r="R876" s="213" t="s">
        <v>7412</v>
      </c>
      <c r="S876" s="213" t="s">
        <v>7413</v>
      </c>
      <c r="T876" s="213" t="s">
        <v>7414</v>
      </c>
      <c r="U876" s="213" t="s">
        <v>74704</v>
      </c>
    </row>
    <row r="877" spans="1:21" x14ac:dyDescent="0.25">
      <c r="A877" s="213" t="s">
        <v>327</v>
      </c>
      <c r="D877" s="213" t="s">
        <v>7415</v>
      </c>
      <c r="E877" s="213" t="s">
        <v>7416</v>
      </c>
      <c r="K877" s="213" t="s">
        <v>74570</v>
      </c>
      <c r="L877" s="213" t="s">
        <v>74615</v>
      </c>
      <c r="M877" s="213" t="s">
        <v>74660</v>
      </c>
      <c r="N877" s="213" t="s">
        <v>7417</v>
      </c>
      <c r="O877" s="213" t="s">
        <v>7418</v>
      </c>
      <c r="P877" s="213" t="s">
        <v>7419</v>
      </c>
      <c r="Q877" s="213" t="s">
        <v>7420</v>
      </c>
      <c r="R877" s="213" t="s">
        <v>7421</v>
      </c>
      <c r="S877" s="213" t="s">
        <v>7422</v>
      </c>
      <c r="T877" s="213" t="s">
        <v>7423</v>
      </c>
      <c r="U877" s="213" t="s">
        <v>74705</v>
      </c>
    </row>
    <row r="878" spans="1:21" x14ac:dyDescent="0.25">
      <c r="A878" s="213" t="s">
        <v>327</v>
      </c>
      <c r="D878" s="213" t="s">
        <v>7424</v>
      </c>
      <c r="E878" s="213" t="s">
        <v>7425</v>
      </c>
      <c r="K878" s="213" t="s">
        <v>74571</v>
      </c>
      <c r="L878" s="213" t="s">
        <v>74616</v>
      </c>
      <c r="M878" s="213" t="s">
        <v>74661</v>
      </c>
      <c r="N878" s="213" t="s">
        <v>7426</v>
      </c>
      <c r="O878" s="213" t="s">
        <v>7427</v>
      </c>
      <c r="P878" s="213" t="s">
        <v>7428</v>
      </c>
      <c r="Q878" s="213" t="s">
        <v>7429</v>
      </c>
      <c r="R878" s="213" t="s">
        <v>7430</v>
      </c>
      <c r="S878" s="213" t="s">
        <v>7431</v>
      </c>
      <c r="T878" s="213" t="s">
        <v>7432</v>
      </c>
      <c r="U878" s="213" t="s">
        <v>74706</v>
      </c>
    </row>
    <row r="879" spans="1:21" x14ac:dyDescent="0.25">
      <c r="A879" s="213" t="s">
        <v>327</v>
      </c>
      <c r="D879" s="213" t="s">
        <v>7433</v>
      </c>
      <c r="E879" s="213" t="s">
        <v>7434</v>
      </c>
      <c r="K879" s="213" t="s">
        <v>74572</v>
      </c>
      <c r="L879" s="213" t="s">
        <v>74617</v>
      </c>
      <c r="M879" s="213" t="s">
        <v>74662</v>
      </c>
      <c r="N879" s="213" t="s">
        <v>7435</v>
      </c>
      <c r="O879" s="213" t="s">
        <v>7436</v>
      </c>
      <c r="P879" s="213" t="s">
        <v>7437</v>
      </c>
      <c r="Q879" s="213" t="s">
        <v>7438</v>
      </c>
      <c r="R879" s="213" t="s">
        <v>7439</v>
      </c>
      <c r="S879" s="213" t="s">
        <v>7440</v>
      </c>
      <c r="T879" s="213" t="s">
        <v>7441</v>
      </c>
      <c r="U879" s="213" t="s">
        <v>74707</v>
      </c>
    </row>
    <row r="880" spans="1:21" x14ac:dyDescent="0.25">
      <c r="A880" s="213" t="s">
        <v>327</v>
      </c>
      <c r="D880" s="213" t="s">
        <v>7442</v>
      </c>
      <c r="E880" s="213" t="s">
        <v>7443</v>
      </c>
      <c r="K880" s="213" t="s">
        <v>74573</v>
      </c>
      <c r="L880" s="213" t="s">
        <v>74618</v>
      </c>
      <c r="M880" s="213" t="s">
        <v>74663</v>
      </c>
      <c r="N880" s="213" t="s">
        <v>7444</v>
      </c>
      <c r="O880" s="213" t="s">
        <v>7445</v>
      </c>
      <c r="P880" s="213" t="s">
        <v>7446</v>
      </c>
      <c r="Q880" s="213" t="s">
        <v>7447</v>
      </c>
      <c r="R880" s="213" t="s">
        <v>7448</v>
      </c>
      <c r="S880" s="213" t="s">
        <v>7449</v>
      </c>
      <c r="T880" s="213" t="s">
        <v>7450</v>
      </c>
      <c r="U880" s="213" t="s">
        <v>74708</v>
      </c>
    </row>
    <row r="881" spans="1:21" x14ac:dyDescent="0.25">
      <c r="A881" s="213" t="s">
        <v>327</v>
      </c>
      <c r="D881" s="213" t="s">
        <v>7451</v>
      </c>
      <c r="E881" s="213" t="s">
        <v>7452</v>
      </c>
      <c r="K881" s="213" t="s">
        <v>74574</v>
      </c>
      <c r="L881" s="213" t="s">
        <v>74619</v>
      </c>
      <c r="M881" s="213" t="s">
        <v>74664</v>
      </c>
      <c r="N881" s="213" t="s">
        <v>7453</v>
      </c>
      <c r="O881" s="213" t="s">
        <v>7454</v>
      </c>
      <c r="P881" s="213" t="s">
        <v>7455</v>
      </c>
      <c r="Q881" s="213" t="s">
        <v>7456</v>
      </c>
      <c r="R881" s="213" t="s">
        <v>7457</v>
      </c>
      <c r="S881" s="213" t="s">
        <v>7458</v>
      </c>
      <c r="T881" s="213" t="s">
        <v>7459</v>
      </c>
      <c r="U881" s="213" t="s">
        <v>74709</v>
      </c>
    </row>
    <row r="882" spans="1:21" x14ac:dyDescent="0.25">
      <c r="A882" s="213" t="s">
        <v>327</v>
      </c>
      <c r="D882" s="213" t="s">
        <v>7460</v>
      </c>
      <c r="E882" s="213" t="s">
        <v>7461</v>
      </c>
      <c r="K882" s="213" t="s">
        <v>74575</v>
      </c>
      <c r="L882" s="213" t="s">
        <v>74620</v>
      </c>
      <c r="M882" s="213" t="s">
        <v>74665</v>
      </c>
      <c r="N882" s="213" t="s">
        <v>7462</v>
      </c>
      <c r="O882" s="213" t="s">
        <v>7463</v>
      </c>
      <c r="P882" s="213" t="s">
        <v>7464</v>
      </c>
      <c r="Q882" s="213" t="s">
        <v>7465</v>
      </c>
      <c r="R882" s="213" t="s">
        <v>7466</v>
      </c>
      <c r="S882" s="213" t="s">
        <v>7467</v>
      </c>
      <c r="T882" s="213" t="s">
        <v>7468</v>
      </c>
      <c r="U882" s="213" t="s">
        <v>74710</v>
      </c>
    </row>
    <row r="883" spans="1:21" x14ac:dyDescent="0.25">
      <c r="A883" s="213" t="s">
        <v>327</v>
      </c>
      <c r="D883" s="213" t="s">
        <v>7469</v>
      </c>
      <c r="E883" s="213" t="s">
        <v>7470</v>
      </c>
      <c r="K883" s="213" t="s">
        <v>74576</v>
      </c>
      <c r="L883" s="213" t="s">
        <v>74621</v>
      </c>
      <c r="M883" s="213" t="s">
        <v>74666</v>
      </c>
      <c r="N883" s="213" t="s">
        <v>7471</v>
      </c>
      <c r="O883" s="213" t="s">
        <v>7472</v>
      </c>
      <c r="P883" s="213" t="s">
        <v>7473</v>
      </c>
      <c r="Q883" s="213" t="s">
        <v>7474</v>
      </c>
      <c r="R883" s="213" t="s">
        <v>7475</v>
      </c>
      <c r="S883" s="213" t="s">
        <v>7476</v>
      </c>
      <c r="T883" s="213" t="s">
        <v>7477</v>
      </c>
      <c r="U883" s="213" t="s">
        <v>74711</v>
      </c>
    </row>
    <row r="884" spans="1:21" x14ac:dyDescent="0.25">
      <c r="A884" s="213" t="s">
        <v>327</v>
      </c>
      <c r="D884" s="213" t="s">
        <v>7478</v>
      </c>
      <c r="E884" s="213" t="s">
        <v>7479</v>
      </c>
      <c r="K884" s="213" t="s">
        <v>74577</v>
      </c>
      <c r="L884" s="213" t="s">
        <v>74622</v>
      </c>
      <c r="M884" s="213" t="s">
        <v>74667</v>
      </c>
      <c r="N884" s="213" t="s">
        <v>7480</v>
      </c>
      <c r="O884" s="213" t="s">
        <v>7481</v>
      </c>
      <c r="P884" s="213" t="s">
        <v>7482</v>
      </c>
      <c r="Q884" s="213" t="s">
        <v>7483</v>
      </c>
      <c r="R884" s="213" t="s">
        <v>7484</v>
      </c>
      <c r="S884" s="213" t="s">
        <v>7485</v>
      </c>
      <c r="T884" s="213" t="s">
        <v>7486</v>
      </c>
      <c r="U884" s="213" t="s">
        <v>74712</v>
      </c>
    </row>
    <row r="885" spans="1:21" x14ac:dyDescent="0.25">
      <c r="A885" s="213" t="s">
        <v>327</v>
      </c>
      <c r="D885" s="213" t="s">
        <v>7487</v>
      </c>
      <c r="E885" s="213" t="s">
        <v>7488</v>
      </c>
      <c r="K885" s="213" t="s">
        <v>74578</v>
      </c>
      <c r="L885" s="213" t="s">
        <v>74623</v>
      </c>
      <c r="M885" s="213" t="s">
        <v>74668</v>
      </c>
      <c r="N885" s="213" t="s">
        <v>7489</v>
      </c>
      <c r="O885" s="213" t="s">
        <v>7490</v>
      </c>
      <c r="P885" s="213" t="s">
        <v>7491</v>
      </c>
      <c r="Q885" s="213" t="s">
        <v>7492</v>
      </c>
      <c r="R885" s="213" t="s">
        <v>7493</v>
      </c>
      <c r="S885" s="213" t="s">
        <v>7494</v>
      </c>
      <c r="T885" s="213" t="s">
        <v>7495</v>
      </c>
      <c r="U885" s="213" t="s">
        <v>74713</v>
      </c>
    </row>
    <row r="886" spans="1:21" x14ac:dyDescent="0.25">
      <c r="A886" s="213" t="s">
        <v>327</v>
      </c>
      <c r="D886" s="213" t="s">
        <v>7496</v>
      </c>
      <c r="E886" s="213" t="s">
        <v>7497</v>
      </c>
      <c r="K886" s="213" t="s">
        <v>74579</v>
      </c>
      <c r="L886" s="213" t="s">
        <v>74624</v>
      </c>
      <c r="M886" s="213" t="s">
        <v>74669</v>
      </c>
      <c r="N886" s="213" t="s">
        <v>7498</v>
      </c>
      <c r="O886" s="213" t="s">
        <v>7499</v>
      </c>
      <c r="P886" s="213" t="s">
        <v>7500</v>
      </c>
      <c r="Q886" s="213" t="s">
        <v>7501</v>
      </c>
      <c r="R886" s="213" t="s">
        <v>7502</v>
      </c>
      <c r="S886" s="213" t="s">
        <v>7503</v>
      </c>
      <c r="T886" s="213" t="s">
        <v>7504</v>
      </c>
      <c r="U886" s="213" t="s">
        <v>74714</v>
      </c>
    </row>
    <row r="887" spans="1:21" x14ac:dyDescent="0.25">
      <c r="A887" s="213" t="s">
        <v>327</v>
      </c>
      <c r="D887" s="213" t="s">
        <v>7505</v>
      </c>
      <c r="E887" s="213" t="s">
        <v>7506</v>
      </c>
      <c r="K887" s="213" t="s">
        <v>74580</v>
      </c>
      <c r="L887" s="213" t="s">
        <v>74625</v>
      </c>
      <c r="M887" s="213" t="s">
        <v>74670</v>
      </c>
      <c r="N887" s="213" t="s">
        <v>7507</v>
      </c>
      <c r="O887" s="213" t="s">
        <v>7508</v>
      </c>
      <c r="P887" s="213" t="s">
        <v>7509</v>
      </c>
      <c r="Q887" s="213" t="s">
        <v>7510</v>
      </c>
      <c r="R887" s="213" t="s">
        <v>7511</v>
      </c>
      <c r="S887" s="213" t="s">
        <v>7512</v>
      </c>
      <c r="T887" s="213" t="s">
        <v>7513</v>
      </c>
      <c r="U887" s="213" t="s">
        <v>74715</v>
      </c>
    </row>
    <row r="888" spans="1:21" x14ac:dyDescent="0.25">
      <c r="A888" s="213" t="s">
        <v>327</v>
      </c>
      <c r="D888" s="213" t="s">
        <v>7514</v>
      </c>
      <c r="E888" s="213" t="s">
        <v>7515</v>
      </c>
      <c r="K888" s="213" t="s">
        <v>74581</v>
      </c>
      <c r="L888" s="213" t="s">
        <v>74626</v>
      </c>
      <c r="M888" s="213" t="s">
        <v>74671</v>
      </c>
      <c r="N888" s="213" t="s">
        <v>7516</v>
      </c>
      <c r="O888" s="213" t="s">
        <v>7517</v>
      </c>
      <c r="P888" s="213" t="s">
        <v>7518</v>
      </c>
      <c r="Q888" s="213" t="s">
        <v>7519</v>
      </c>
      <c r="R888" s="213" t="s">
        <v>7520</v>
      </c>
      <c r="S888" s="213" t="s">
        <v>7521</v>
      </c>
      <c r="T888" s="213" t="s">
        <v>7522</v>
      </c>
      <c r="U888" s="213" t="s">
        <v>74716</v>
      </c>
    </row>
    <row r="889" spans="1:21" x14ac:dyDescent="0.25">
      <c r="A889" s="213" t="s">
        <v>327</v>
      </c>
      <c r="D889" s="213" t="s">
        <v>7523</v>
      </c>
      <c r="E889" s="213" t="s">
        <v>7524</v>
      </c>
      <c r="K889" s="213" t="s">
        <v>74582</v>
      </c>
      <c r="L889" s="213" t="s">
        <v>74627</v>
      </c>
      <c r="M889" s="213" t="s">
        <v>74672</v>
      </c>
      <c r="N889" s="213" t="s">
        <v>7525</v>
      </c>
      <c r="O889" s="213" t="s">
        <v>7526</v>
      </c>
      <c r="P889" s="213" t="s">
        <v>7527</v>
      </c>
      <c r="Q889" s="213" t="s">
        <v>7528</v>
      </c>
      <c r="R889" s="213" t="s">
        <v>7529</v>
      </c>
      <c r="S889" s="213" t="s">
        <v>7530</v>
      </c>
      <c r="T889" s="213" t="s">
        <v>7531</v>
      </c>
      <c r="U889" s="213" t="s">
        <v>74717</v>
      </c>
    </row>
    <row r="890" spans="1:21" x14ac:dyDescent="0.25">
      <c r="A890" s="213" t="s">
        <v>327</v>
      </c>
    </row>
    <row r="891" spans="1:21" x14ac:dyDescent="0.25">
      <c r="A891" s="213" t="s">
        <v>327</v>
      </c>
    </row>
    <row r="892" spans="1:21" x14ac:dyDescent="0.25">
      <c r="A892" s="213" t="s">
        <v>327</v>
      </c>
      <c r="C892" s="213" t="s">
        <v>7532</v>
      </c>
      <c r="E892" s="213" t="s">
        <v>7533</v>
      </c>
      <c r="H892" s="213" t="s">
        <v>7534</v>
      </c>
      <c r="I892" s="213" t="s">
        <v>7535</v>
      </c>
      <c r="J892" s="213" t="s">
        <v>7536</v>
      </c>
      <c r="L892" s="213" t="s">
        <v>7537</v>
      </c>
      <c r="O892" s="213" t="s">
        <v>7538</v>
      </c>
      <c r="P892" s="213" t="s">
        <v>7539</v>
      </c>
      <c r="Q892" s="213" t="s">
        <v>7540</v>
      </c>
      <c r="R892" s="213" t="s">
        <v>7541</v>
      </c>
      <c r="S892" s="213" t="s">
        <v>7542</v>
      </c>
      <c r="T892" s="213" t="s">
        <v>7543</v>
      </c>
    </row>
    <row r="893" spans="1:21" x14ac:dyDescent="0.25">
      <c r="A893" s="213" t="s">
        <v>327</v>
      </c>
      <c r="C893" s="213" t="s">
        <v>7544</v>
      </c>
      <c r="E893" s="213" t="s">
        <v>7545</v>
      </c>
      <c r="I893" s="213" t="s">
        <v>7546</v>
      </c>
    </row>
    <row r="894" spans="1:21" x14ac:dyDescent="0.25">
      <c r="A894" s="213" t="s">
        <v>327</v>
      </c>
      <c r="C894" s="213" t="s">
        <v>7547</v>
      </c>
      <c r="E894" s="213" t="s">
        <v>7548</v>
      </c>
      <c r="I894" s="213" t="s">
        <v>7549</v>
      </c>
    </row>
    <row r="895" spans="1:21" x14ac:dyDescent="0.25">
      <c r="A895" s="213" t="s">
        <v>328</v>
      </c>
    </row>
    <row r="896" spans="1:21" x14ac:dyDescent="0.25">
      <c r="A896" s="213" t="s">
        <v>327</v>
      </c>
      <c r="D896" s="213" t="s">
        <v>7550</v>
      </c>
      <c r="E896" s="213" t="s">
        <v>7551</v>
      </c>
      <c r="K896" s="213" t="s">
        <v>74450</v>
      </c>
      <c r="L896" s="213" t="s">
        <v>74472</v>
      </c>
      <c r="M896" s="213" t="s">
        <v>74494</v>
      </c>
      <c r="N896" s="213" t="s">
        <v>7552</v>
      </c>
      <c r="O896" s="213" t="s">
        <v>7553</v>
      </c>
      <c r="P896" s="213" t="s">
        <v>7554</v>
      </c>
      <c r="Q896" s="213" t="s">
        <v>7555</v>
      </c>
      <c r="R896" s="213" t="s">
        <v>7556</v>
      </c>
      <c r="S896" s="213" t="s">
        <v>7557</v>
      </c>
      <c r="T896" s="213" t="s">
        <v>7558</v>
      </c>
      <c r="U896" s="213" t="s">
        <v>74516</v>
      </c>
    </row>
    <row r="897" spans="1:21" x14ac:dyDescent="0.25">
      <c r="A897" s="213" t="s">
        <v>327</v>
      </c>
      <c r="D897" s="213" t="s">
        <v>7559</v>
      </c>
      <c r="E897" s="213" t="s">
        <v>7560</v>
      </c>
      <c r="K897" s="213" t="s">
        <v>74451</v>
      </c>
      <c r="L897" s="213" t="s">
        <v>74473</v>
      </c>
      <c r="M897" s="213" t="s">
        <v>74495</v>
      </c>
      <c r="N897" s="213" t="s">
        <v>7561</v>
      </c>
      <c r="O897" s="213" t="s">
        <v>7562</v>
      </c>
      <c r="P897" s="213" t="s">
        <v>7563</v>
      </c>
      <c r="Q897" s="213" t="s">
        <v>7564</v>
      </c>
      <c r="R897" s="213" t="s">
        <v>7565</v>
      </c>
      <c r="S897" s="213" t="s">
        <v>7566</v>
      </c>
      <c r="T897" s="213" t="s">
        <v>7567</v>
      </c>
      <c r="U897" s="213" t="s">
        <v>74517</v>
      </c>
    </row>
    <row r="898" spans="1:21" x14ac:dyDescent="0.25">
      <c r="A898" s="213" t="s">
        <v>327</v>
      </c>
      <c r="D898" s="213" t="s">
        <v>7568</v>
      </c>
      <c r="E898" s="213" t="s">
        <v>7569</v>
      </c>
      <c r="K898" s="213" t="s">
        <v>74452</v>
      </c>
      <c r="L898" s="213" t="s">
        <v>74474</v>
      </c>
      <c r="M898" s="213" t="s">
        <v>74496</v>
      </c>
      <c r="N898" s="213" t="s">
        <v>7570</v>
      </c>
      <c r="O898" s="213" t="s">
        <v>7571</v>
      </c>
      <c r="P898" s="213" t="s">
        <v>7572</v>
      </c>
      <c r="Q898" s="213" t="s">
        <v>7573</v>
      </c>
      <c r="R898" s="213" t="s">
        <v>7574</v>
      </c>
      <c r="S898" s="213" t="s">
        <v>7575</v>
      </c>
      <c r="T898" s="213" t="s">
        <v>7576</v>
      </c>
      <c r="U898" s="213" t="s">
        <v>74518</v>
      </c>
    </row>
    <row r="899" spans="1:21" x14ac:dyDescent="0.25">
      <c r="A899" s="213" t="s">
        <v>327</v>
      </c>
      <c r="D899" s="213" t="s">
        <v>7577</v>
      </c>
      <c r="E899" s="213" t="s">
        <v>7578</v>
      </c>
      <c r="K899" s="213" t="s">
        <v>74453</v>
      </c>
      <c r="L899" s="213" t="s">
        <v>74475</v>
      </c>
      <c r="M899" s="213" t="s">
        <v>74497</v>
      </c>
      <c r="N899" s="213" t="s">
        <v>7579</v>
      </c>
      <c r="O899" s="213" t="s">
        <v>7580</v>
      </c>
      <c r="P899" s="213" t="s">
        <v>7581</v>
      </c>
      <c r="Q899" s="213" t="s">
        <v>7582</v>
      </c>
      <c r="R899" s="213" t="s">
        <v>7583</v>
      </c>
      <c r="S899" s="213" t="s">
        <v>7584</v>
      </c>
      <c r="T899" s="213" t="s">
        <v>7585</v>
      </c>
      <c r="U899" s="213" t="s">
        <v>74519</v>
      </c>
    </row>
    <row r="900" spans="1:21" x14ac:dyDescent="0.25">
      <c r="A900" s="213" t="s">
        <v>327</v>
      </c>
      <c r="D900" s="213" t="s">
        <v>7586</v>
      </c>
      <c r="E900" s="213" t="s">
        <v>7587</v>
      </c>
      <c r="K900" s="213" t="s">
        <v>74454</v>
      </c>
      <c r="L900" s="213" t="s">
        <v>74476</v>
      </c>
      <c r="M900" s="213" t="s">
        <v>74498</v>
      </c>
      <c r="N900" s="213" t="s">
        <v>7588</v>
      </c>
      <c r="O900" s="213" t="s">
        <v>7589</v>
      </c>
      <c r="P900" s="213" t="s">
        <v>7590</v>
      </c>
      <c r="Q900" s="213" t="s">
        <v>7591</v>
      </c>
      <c r="R900" s="213" t="s">
        <v>7592</v>
      </c>
      <c r="S900" s="213" t="s">
        <v>7593</v>
      </c>
      <c r="T900" s="213" t="s">
        <v>7594</v>
      </c>
      <c r="U900" s="213" t="s">
        <v>74520</v>
      </c>
    </row>
    <row r="901" spans="1:21" x14ac:dyDescent="0.25">
      <c r="A901" s="213" t="s">
        <v>327</v>
      </c>
      <c r="D901" s="213" t="s">
        <v>7595</v>
      </c>
      <c r="E901" s="213" t="s">
        <v>7596</v>
      </c>
      <c r="K901" s="213" t="s">
        <v>74455</v>
      </c>
      <c r="L901" s="213" t="s">
        <v>74477</v>
      </c>
      <c r="M901" s="213" t="s">
        <v>74499</v>
      </c>
      <c r="N901" s="213" t="s">
        <v>7597</v>
      </c>
      <c r="O901" s="213" t="s">
        <v>7598</v>
      </c>
      <c r="P901" s="213" t="s">
        <v>7599</v>
      </c>
      <c r="Q901" s="213" t="s">
        <v>7600</v>
      </c>
      <c r="R901" s="213" t="s">
        <v>7601</v>
      </c>
      <c r="S901" s="213" t="s">
        <v>7602</v>
      </c>
      <c r="T901" s="213" t="s">
        <v>7603</v>
      </c>
      <c r="U901" s="213" t="s">
        <v>74521</v>
      </c>
    </row>
    <row r="902" spans="1:21" x14ac:dyDescent="0.25">
      <c r="A902" s="213" t="s">
        <v>327</v>
      </c>
      <c r="D902" s="213" t="s">
        <v>7604</v>
      </c>
      <c r="E902" s="213" t="s">
        <v>7605</v>
      </c>
      <c r="K902" s="213" t="s">
        <v>74456</v>
      </c>
      <c r="L902" s="213" t="s">
        <v>74478</v>
      </c>
      <c r="M902" s="213" t="s">
        <v>74500</v>
      </c>
      <c r="N902" s="213" t="s">
        <v>7606</v>
      </c>
      <c r="O902" s="213" t="s">
        <v>7607</v>
      </c>
      <c r="P902" s="213" t="s">
        <v>7608</v>
      </c>
      <c r="Q902" s="213" t="s">
        <v>7609</v>
      </c>
      <c r="R902" s="213" t="s">
        <v>7610</v>
      </c>
      <c r="S902" s="213" t="s">
        <v>7611</v>
      </c>
      <c r="T902" s="213" t="s">
        <v>7612</v>
      </c>
      <c r="U902" s="213" t="s">
        <v>74522</v>
      </c>
    </row>
    <row r="903" spans="1:21" x14ac:dyDescent="0.25">
      <c r="A903" s="213" t="s">
        <v>327</v>
      </c>
      <c r="D903" s="213" t="s">
        <v>7613</v>
      </c>
      <c r="E903" s="213" t="s">
        <v>7614</v>
      </c>
      <c r="K903" s="213" t="s">
        <v>74457</v>
      </c>
      <c r="L903" s="213" t="s">
        <v>74479</v>
      </c>
      <c r="M903" s="213" t="s">
        <v>74501</v>
      </c>
      <c r="N903" s="213" t="s">
        <v>7615</v>
      </c>
      <c r="O903" s="213" t="s">
        <v>7616</v>
      </c>
      <c r="P903" s="213" t="s">
        <v>7617</v>
      </c>
      <c r="Q903" s="213" t="s">
        <v>7618</v>
      </c>
      <c r="R903" s="213" t="s">
        <v>7619</v>
      </c>
      <c r="S903" s="213" t="s">
        <v>7620</v>
      </c>
      <c r="T903" s="213" t="s">
        <v>7621</v>
      </c>
      <c r="U903" s="213" t="s">
        <v>74523</v>
      </c>
    </row>
    <row r="904" spans="1:21" x14ac:dyDescent="0.25">
      <c r="A904" s="213" t="s">
        <v>327</v>
      </c>
      <c r="D904" s="213" t="s">
        <v>7622</v>
      </c>
      <c r="E904" s="213" t="s">
        <v>7623</v>
      </c>
      <c r="K904" s="213" t="s">
        <v>74458</v>
      </c>
      <c r="L904" s="213" t="s">
        <v>74480</v>
      </c>
      <c r="M904" s="213" t="s">
        <v>74502</v>
      </c>
      <c r="N904" s="213" t="s">
        <v>7624</v>
      </c>
      <c r="O904" s="213" t="s">
        <v>7625</v>
      </c>
      <c r="P904" s="213" t="s">
        <v>7626</v>
      </c>
      <c r="Q904" s="213" t="s">
        <v>7627</v>
      </c>
      <c r="R904" s="213" t="s">
        <v>7628</v>
      </c>
      <c r="S904" s="213" t="s">
        <v>7629</v>
      </c>
      <c r="T904" s="213" t="s">
        <v>7630</v>
      </c>
      <c r="U904" s="213" t="s">
        <v>74524</v>
      </c>
    </row>
    <row r="905" spans="1:21" x14ac:dyDescent="0.25">
      <c r="A905" s="213" t="s">
        <v>327</v>
      </c>
      <c r="D905" s="213" t="s">
        <v>7631</v>
      </c>
      <c r="E905" s="213" t="s">
        <v>7632</v>
      </c>
      <c r="K905" s="213" t="s">
        <v>74459</v>
      </c>
      <c r="L905" s="213" t="s">
        <v>74481</v>
      </c>
      <c r="M905" s="213" t="s">
        <v>74503</v>
      </c>
      <c r="N905" s="213" t="s">
        <v>7633</v>
      </c>
      <c r="O905" s="213" t="s">
        <v>7634</v>
      </c>
      <c r="P905" s="213" t="s">
        <v>7635</v>
      </c>
      <c r="Q905" s="213" t="s">
        <v>7636</v>
      </c>
      <c r="R905" s="213" t="s">
        <v>7637</v>
      </c>
      <c r="S905" s="213" t="s">
        <v>7638</v>
      </c>
      <c r="T905" s="213" t="s">
        <v>7639</v>
      </c>
      <c r="U905" s="213" t="s">
        <v>74525</v>
      </c>
    </row>
    <row r="906" spans="1:21" x14ac:dyDescent="0.25">
      <c r="A906" s="213" t="s">
        <v>327</v>
      </c>
      <c r="D906" s="213" t="s">
        <v>7640</v>
      </c>
      <c r="E906" s="213" t="s">
        <v>7641</v>
      </c>
      <c r="K906" s="213" t="s">
        <v>74460</v>
      </c>
      <c r="L906" s="213" t="s">
        <v>74482</v>
      </c>
      <c r="M906" s="213" t="s">
        <v>74504</v>
      </c>
      <c r="N906" s="213" t="s">
        <v>7642</v>
      </c>
      <c r="O906" s="213" t="s">
        <v>7643</v>
      </c>
      <c r="P906" s="213" t="s">
        <v>7644</v>
      </c>
      <c r="Q906" s="213" t="s">
        <v>7645</v>
      </c>
      <c r="R906" s="213" t="s">
        <v>7646</v>
      </c>
      <c r="S906" s="213" t="s">
        <v>7647</v>
      </c>
      <c r="T906" s="213" t="s">
        <v>7648</v>
      </c>
      <c r="U906" s="213" t="s">
        <v>74526</v>
      </c>
    </row>
    <row r="907" spans="1:21" x14ac:dyDescent="0.25">
      <c r="A907" s="213" t="s">
        <v>327</v>
      </c>
      <c r="D907" s="213" t="s">
        <v>7649</v>
      </c>
      <c r="E907" s="213" t="s">
        <v>7650</v>
      </c>
      <c r="K907" s="213" t="s">
        <v>74461</v>
      </c>
      <c r="L907" s="213" t="s">
        <v>74483</v>
      </c>
      <c r="M907" s="213" t="s">
        <v>74505</v>
      </c>
      <c r="N907" s="213" t="s">
        <v>7651</v>
      </c>
      <c r="O907" s="213" t="s">
        <v>7652</v>
      </c>
      <c r="P907" s="213" t="s">
        <v>7653</v>
      </c>
      <c r="Q907" s="213" t="s">
        <v>7654</v>
      </c>
      <c r="R907" s="213" t="s">
        <v>7655</v>
      </c>
      <c r="S907" s="213" t="s">
        <v>7656</v>
      </c>
      <c r="T907" s="213" t="s">
        <v>7657</v>
      </c>
      <c r="U907" s="213" t="s">
        <v>74527</v>
      </c>
    </row>
    <row r="908" spans="1:21" x14ac:dyDescent="0.25">
      <c r="A908" s="213" t="s">
        <v>327</v>
      </c>
      <c r="D908" s="213" t="s">
        <v>7658</v>
      </c>
      <c r="E908" s="213" t="s">
        <v>7659</v>
      </c>
      <c r="K908" s="213" t="s">
        <v>74462</v>
      </c>
      <c r="L908" s="213" t="s">
        <v>74484</v>
      </c>
      <c r="M908" s="213" t="s">
        <v>74506</v>
      </c>
      <c r="N908" s="213" t="s">
        <v>7660</v>
      </c>
      <c r="O908" s="213" t="s">
        <v>7661</v>
      </c>
      <c r="P908" s="213" t="s">
        <v>7662</v>
      </c>
      <c r="Q908" s="213" t="s">
        <v>7663</v>
      </c>
      <c r="R908" s="213" t="s">
        <v>7664</v>
      </c>
      <c r="S908" s="213" t="s">
        <v>7665</v>
      </c>
      <c r="T908" s="213" t="s">
        <v>7666</v>
      </c>
      <c r="U908" s="213" t="s">
        <v>74528</v>
      </c>
    </row>
    <row r="909" spans="1:21" x14ac:dyDescent="0.25">
      <c r="A909" s="213" t="s">
        <v>327</v>
      </c>
      <c r="D909" s="213" t="s">
        <v>7667</v>
      </c>
      <c r="E909" s="213" t="s">
        <v>7668</v>
      </c>
      <c r="K909" s="213" t="s">
        <v>74463</v>
      </c>
      <c r="L909" s="213" t="s">
        <v>74485</v>
      </c>
      <c r="M909" s="213" t="s">
        <v>74507</v>
      </c>
      <c r="N909" s="213" t="s">
        <v>7669</v>
      </c>
      <c r="O909" s="213" t="s">
        <v>7670</v>
      </c>
      <c r="P909" s="213" t="s">
        <v>7671</v>
      </c>
      <c r="Q909" s="213" t="s">
        <v>7672</v>
      </c>
      <c r="R909" s="213" t="s">
        <v>7673</v>
      </c>
      <c r="S909" s="213" t="s">
        <v>7674</v>
      </c>
      <c r="T909" s="213" t="s">
        <v>7675</v>
      </c>
      <c r="U909" s="213" t="s">
        <v>74529</v>
      </c>
    </row>
    <row r="910" spans="1:21" x14ac:dyDescent="0.25">
      <c r="A910" s="213" t="s">
        <v>327</v>
      </c>
      <c r="D910" s="213" t="s">
        <v>7676</v>
      </c>
      <c r="E910" s="213" t="s">
        <v>7677</v>
      </c>
      <c r="K910" s="213" t="s">
        <v>74464</v>
      </c>
      <c r="L910" s="213" t="s">
        <v>74486</v>
      </c>
      <c r="M910" s="213" t="s">
        <v>74508</v>
      </c>
      <c r="N910" s="213" t="s">
        <v>7678</v>
      </c>
      <c r="O910" s="213" t="s">
        <v>7679</v>
      </c>
      <c r="P910" s="213" t="s">
        <v>7680</v>
      </c>
      <c r="Q910" s="213" t="s">
        <v>7681</v>
      </c>
      <c r="R910" s="213" t="s">
        <v>7682</v>
      </c>
      <c r="S910" s="213" t="s">
        <v>7683</v>
      </c>
      <c r="T910" s="213" t="s">
        <v>7684</v>
      </c>
      <c r="U910" s="213" t="s">
        <v>74530</v>
      </c>
    </row>
    <row r="911" spans="1:21" x14ac:dyDescent="0.25">
      <c r="A911" s="213" t="s">
        <v>327</v>
      </c>
      <c r="D911" s="213" t="s">
        <v>7685</v>
      </c>
      <c r="E911" s="213" t="s">
        <v>7686</v>
      </c>
      <c r="K911" s="213" t="s">
        <v>74465</v>
      </c>
      <c r="L911" s="213" t="s">
        <v>74487</v>
      </c>
      <c r="M911" s="213" t="s">
        <v>74509</v>
      </c>
      <c r="N911" s="213" t="s">
        <v>7687</v>
      </c>
      <c r="O911" s="213" t="s">
        <v>7688</v>
      </c>
      <c r="P911" s="213" t="s">
        <v>7689</v>
      </c>
      <c r="Q911" s="213" t="s">
        <v>7690</v>
      </c>
      <c r="R911" s="213" t="s">
        <v>7691</v>
      </c>
      <c r="S911" s="213" t="s">
        <v>7692</v>
      </c>
      <c r="T911" s="213" t="s">
        <v>7693</v>
      </c>
      <c r="U911" s="213" t="s">
        <v>74531</v>
      </c>
    </row>
    <row r="912" spans="1:21" x14ac:dyDescent="0.25">
      <c r="A912" s="213" t="s">
        <v>327</v>
      </c>
      <c r="D912" s="213" t="s">
        <v>7694</v>
      </c>
      <c r="E912" s="213" t="s">
        <v>7695</v>
      </c>
      <c r="K912" s="213" t="s">
        <v>74466</v>
      </c>
      <c r="L912" s="213" t="s">
        <v>74488</v>
      </c>
      <c r="M912" s="213" t="s">
        <v>74510</v>
      </c>
      <c r="N912" s="213" t="s">
        <v>7696</v>
      </c>
      <c r="O912" s="213" t="s">
        <v>7697</v>
      </c>
      <c r="P912" s="213" t="s">
        <v>7698</v>
      </c>
      <c r="Q912" s="213" t="s">
        <v>7699</v>
      </c>
      <c r="R912" s="213" t="s">
        <v>7700</v>
      </c>
      <c r="S912" s="213" t="s">
        <v>7701</v>
      </c>
      <c r="T912" s="213" t="s">
        <v>7702</v>
      </c>
      <c r="U912" s="213" t="s">
        <v>74532</v>
      </c>
    </row>
    <row r="913" spans="1:21" x14ac:dyDescent="0.25">
      <c r="A913" s="213" t="s">
        <v>327</v>
      </c>
      <c r="D913" s="213" t="s">
        <v>7703</v>
      </c>
      <c r="E913" s="213" t="s">
        <v>7704</v>
      </c>
      <c r="K913" s="213" t="s">
        <v>74467</v>
      </c>
      <c r="L913" s="213" t="s">
        <v>74489</v>
      </c>
      <c r="M913" s="213" t="s">
        <v>74511</v>
      </c>
      <c r="N913" s="213" t="s">
        <v>7705</v>
      </c>
      <c r="O913" s="213" t="s">
        <v>7706</v>
      </c>
      <c r="P913" s="213" t="s">
        <v>7707</v>
      </c>
      <c r="Q913" s="213" t="s">
        <v>7708</v>
      </c>
      <c r="R913" s="213" t="s">
        <v>7709</v>
      </c>
      <c r="S913" s="213" t="s">
        <v>7710</v>
      </c>
      <c r="T913" s="213" t="s">
        <v>7711</v>
      </c>
      <c r="U913" s="213" t="s">
        <v>74533</v>
      </c>
    </row>
    <row r="914" spans="1:21" x14ac:dyDescent="0.25">
      <c r="A914" s="213" t="s">
        <v>327</v>
      </c>
      <c r="D914" s="213" t="s">
        <v>7712</v>
      </c>
      <c r="E914" s="213" t="s">
        <v>7713</v>
      </c>
      <c r="K914" s="213" t="s">
        <v>74468</v>
      </c>
      <c r="L914" s="213" t="s">
        <v>74490</v>
      </c>
      <c r="M914" s="213" t="s">
        <v>74512</v>
      </c>
      <c r="N914" s="213" t="s">
        <v>7714</v>
      </c>
      <c r="O914" s="213" t="s">
        <v>7715</v>
      </c>
      <c r="P914" s="213" t="s">
        <v>7716</v>
      </c>
      <c r="Q914" s="213" t="s">
        <v>7717</v>
      </c>
      <c r="R914" s="213" t="s">
        <v>7718</v>
      </c>
      <c r="S914" s="213" t="s">
        <v>7719</v>
      </c>
      <c r="T914" s="213" t="s">
        <v>7720</v>
      </c>
      <c r="U914" s="213" t="s">
        <v>74534</v>
      </c>
    </row>
    <row r="915" spans="1:21" x14ac:dyDescent="0.25">
      <c r="A915" s="213" t="s">
        <v>327</v>
      </c>
      <c r="D915" s="213" t="s">
        <v>7721</v>
      </c>
      <c r="E915" s="213" t="s">
        <v>7722</v>
      </c>
      <c r="K915" s="213" t="s">
        <v>74469</v>
      </c>
      <c r="L915" s="213" t="s">
        <v>74491</v>
      </c>
      <c r="M915" s="213" t="s">
        <v>74513</v>
      </c>
      <c r="N915" s="213" t="s">
        <v>7723</v>
      </c>
      <c r="O915" s="213" t="s">
        <v>7724</v>
      </c>
      <c r="P915" s="213" t="s">
        <v>7725</v>
      </c>
      <c r="Q915" s="213" t="s">
        <v>7726</v>
      </c>
      <c r="R915" s="213" t="s">
        <v>7727</v>
      </c>
      <c r="S915" s="213" t="s">
        <v>7728</v>
      </c>
      <c r="T915" s="213" t="s">
        <v>7729</v>
      </c>
      <c r="U915" s="213" t="s">
        <v>74535</v>
      </c>
    </row>
    <row r="916" spans="1:21" x14ac:dyDescent="0.25">
      <c r="A916" s="213" t="s">
        <v>327</v>
      </c>
      <c r="D916" s="213" t="s">
        <v>7730</v>
      </c>
      <c r="E916" s="213" t="s">
        <v>7731</v>
      </c>
      <c r="K916" s="213" t="s">
        <v>74470</v>
      </c>
      <c r="L916" s="213" t="s">
        <v>74492</v>
      </c>
      <c r="M916" s="213" t="s">
        <v>74514</v>
      </c>
      <c r="N916" s="213" t="s">
        <v>7732</v>
      </c>
      <c r="O916" s="213" t="s">
        <v>7733</v>
      </c>
      <c r="P916" s="213" t="s">
        <v>7734</v>
      </c>
      <c r="Q916" s="213" t="s">
        <v>7735</v>
      </c>
      <c r="R916" s="213" t="s">
        <v>7736</v>
      </c>
      <c r="S916" s="213" t="s">
        <v>7737</v>
      </c>
      <c r="T916" s="213" t="s">
        <v>7738</v>
      </c>
      <c r="U916" s="213" t="s">
        <v>74536</v>
      </c>
    </row>
    <row r="917" spans="1:21" x14ac:dyDescent="0.25">
      <c r="A917" s="213" t="s">
        <v>327</v>
      </c>
      <c r="D917" s="213" t="s">
        <v>7739</v>
      </c>
      <c r="E917" s="213" t="s">
        <v>7740</v>
      </c>
      <c r="K917" s="213" t="s">
        <v>74471</v>
      </c>
      <c r="L917" s="213" t="s">
        <v>74493</v>
      </c>
      <c r="M917" s="213" t="s">
        <v>74515</v>
      </c>
      <c r="N917" s="213" t="s">
        <v>7741</v>
      </c>
      <c r="O917" s="213" t="s">
        <v>7742</v>
      </c>
      <c r="P917" s="213" t="s">
        <v>7743</v>
      </c>
      <c r="Q917" s="213" t="s">
        <v>7744</v>
      </c>
      <c r="R917" s="213" t="s">
        <v>7745</v>
      </c>
      <c r="S917" s="213" t="s">
        <v>7746</v>
      </c>
      <c r="T917" s="213" t="s">
        <v>7747</v>
      </c>
      <c r="U917" s="213" t="s">
        <v>74537</v>
      </c>
    </row>
    <row r="918" spans="1:21" x14ac:dyDescent="0.25">
      <c r="A918" s="213" t="s">
        <v>327</v>
      </c>
    </row>
    <row r="919" spans="1:21" x14ac:dyDescent="0.25">
      <c r="A919" s="213" t="s">
        <v>327</v>
      </c>
    </row>
    <row r="920" spans="1:21" x14ac:dyDescent="0.25">
      <c r="A920" s="213" t="s">
        <v>327</v>
      </c>
      <c r="C920" s="213" t="s">
        <v>7748</v>
      </c>
      <c r="E920" s="213" t="s">
        <v>7749</v>
      </c>
      <c r="H920" s="213" t="s">
        <v>7750</v>
      </c>
      <c r="I920" s="213" t="s">
        <v>7751</v>
      </c>
      <c r="J920" s="213" t="s">
        <v>7752</v>
      </c>
      <c r="L920" s="213" t="s">
        <v>7753</v>
      </c>
      <c r="O920" s="213" t="s">
        <v>7754</v>
      </c>
      <c r="P920" s="213" t="s">
        <v>7755</v>
      </c>
      <c r="Q920" s="213" t="s">
        <v>7756</v>
      </c>
      <c r="R920" s="213" t="s">
        <v>7757</v>
      </c>
      <c r="S920" s="213" t="s">
        <v>7758</v>
      </c>
      <c r="T920" s="213" t="s">
        <v>7759</v>
      </c>
    </row>
    <row r="921" spans="1:21" x14ac:dyDescent="0.25">
      <c r="A921" s="213" t="s">
        <v>327</v>
      </c>
      <c r="C921" s="213" t="s">
        <v>7760</v>
      </c>
      <c r="E921" s="213" t="s">
        <v>7761</v>
      </c>
      <c r="I921" s="213" t="s">
        <v>7762</v>
      </c>
    </row>
    <row r="922" spans="1:21" x14ac:dyDescent="0.25">
      <c r="A922" s="213" t="s">
        <v>327</v>
      </c>
      <c r="C922" s="213" t="s">
        <v>7763</v>
      </c>
      <c r="E922" s="213" t="s">
        <v>7764</v>
      </c>
      <c r="I922" s="213" t="s">
        <v>7765</v>
      </c>
    </row>
    <row r="923" spans="1:21" x14ac:dyDescent="0.25">
      <c r="A923" s="213" t="s">
        <v>328</v>
      </c>
    </row>
    <row r="924" spans="1:21" x14ac:dyDescent="0.25">
      <c r="A924" s="213" t="s">
        <v>327</v>
      </c>
      <c r="D924" s="213" t="s">
        <v>7766</v>
      </c>
      <c r="E924" s="213" t="s">
        <v>7767</v>
      </c>
      <c r="K924" s="213" t="s">
        <v>74046</v>
      </c>
      <c r="L924" s="213" t="s">
        <v>74147</v>
      </c>
      <c r="M924" s="213" t="s">
        <v>74248</v>
      </c>
      <c r="N924" s="213" t="s">
        <v>7768</v>
      </c>
      <c r="O924" s="213" t="s">
        <v>7769</v>
      </c>
      <c r="P924" s="213" t="s">
        <v>7770</v>
      </c>
      <c r="Q924" s="213" t="s">
        <v>7771</v>
      </c>
      <c r="R924" s="213" t="s">
        <v>7772</v>
      </c>
      <c r="S924" s="213" t="s">
        <v>7773</v>
      </c>
      <c r="T924" s="213" t="s">
        <v>7774</v>
      </c>
      <c r="U924" s="213" t="s">
        <v>74349</v>
      </c>
    </row>
    <row r="925" spans="1:21" x14ac:dyDescent="0.25">
      <c r="A925" s="213" t="s">
        <v>327</v>
      </c>
      <c r="D925" s="213" t="s">
        <v>7775</v>
      </c>
      <c r="E925" s="213" t="s">
        <v>7776</v>
      </c>
      <c r="K925" s="213" t="s">
        <v>74047</v>
      </c>
      <c r="L925" s="213" t="s">
        <v>74148</v>
      </c>
      <c r="M925" s="213" t="s">
        <v>74249</v>
      </c>
      <c r="N925" s="213" t="s">
        <v>7777</v>
      </c>
      <c r="O925" s="213" t="s">
        <v>7778</v>
      </c>
      <c r="P925" s="213" t="s">
        <v>7779</v>
      </c>
      <c r="Q925" s="213" t="s">
        <v>7780</v>
      </c>
      <c r="R925" s="213" t="s">
        <v>7781</v>
      </c>
      <c r="S925" s="213" t="s">
        <v>7782</v>
      </c>
      <c r="T925" s="213" t="s">
        <v>7783</v>
      </c>
      <c r="U925" s="213" t="s">
        <v>74350</v>
      </c>
    </row>
    <row r="926" spans="1:21" x14ac:dyDescent="0.25">
      <c r="A926" s="213" t="s">
        <v>327</v>
      </c>
      <c r="D926" s="213" t="s">
        <v>7784</v>
      </c>
      <c r="E926" s="213" t="s">
        <v>7785</v>
      </c>
      <c r="K926" s="213" t="s">
        <v>74048</v>
      </c>
      <c r="L926" s="213" t="s">
        <v>74149</v>
      </c>
      <c r="M926" s="213" t="s">
        <v>74250</v>
      </c>
      <c r="N926" s="213" t="s">
        <v>7786</v>
      </c>
      <c r="O926" s="213" t="s">
        <v>7787</v>
      </c>
      <c r="P926" s="213" t="s">
        <v>7788</v>
      </c>
      <c r="Q926" s="213" t="s">
        <v>7789</v>
      </c>
      <c r="R926" s="213" t="s">
        <v>7790</v>
      </c>
      <c r="S926" s="213" t="s">
        <v>7791</v>
      </c>
      <c r="T926" s="213" t="s">
        <v>7792</v>
      </c>
      <c r="U926" s="213" t="s">
        <v>74351</v>
      </c>
    </row>
    <row r="927" spans="1:21" x14ac:dyDescent="0.25">
      <c r="A927" s="213" t="s">
        <v>327</v>
      </c>
      <c r="D927" s="213" t="s">
        <v>7793</v>
      </c>
      <c r="E927" s="213" t="s">
        <v>7794</v>
      </c>
      <c r="K927" s="213" t="s">
        <v>74049</v>
      </c>
      <c r="L927" s="213" t="s">
        <v>74150</v>
      </c>
      <c r="M927" s="213" t="s">
        <v>74251</v>
      </c>
      <c r="N927" s="213" t="s">
        <v>7795</v>
      </c>
      <c r="O927" s="213" t="s">
        <v>7796</v>
      </c>
      <c r="P927" s="213" t="s">
        <v>7797</v>
      </c>
      <c r="Q927" s="213" t="s">
        <v>7798</v>
      </c>
      <c r="R927" s="213" t="s">
        <v>7799</v>
      </c>
      <c r="S927" s="213" t="s">
        <v>7800</v>
      </c>
      <c r="T927" s="213" t="s">
        <v>7801</v>
      </c>
      <c r="U927" s="213" t="s">
        <v>74352</v>
      </c>
    </row>
    <row r="928" spans="1:21" x14ac:dyDescent="0.25">
      <c r="A928" s="213" t="s">
        <v>327</v>
      </c>
      <c r="D928" s="213" t="s">
        <v>7802</v>
      </c>
      <c r="E928" s="213" t="s">
        <v>7803</v>
      </c>
      <c r="K928" s="213" t="s">
        <v>74050</v>
      </c>
      <c r="L928" s="213" t="s">
        <v>74151</v>
      </c>
      <c r="M928" s="213" t="s">
        <v>74252</v>
      </c>
      <c r="N928" s="213" t="s">
        <v>7804</v>
      </c>
      <c r="O928" s="213" t="s">
        <v>7805</v>
      </c>
      <c r="P928" s="213" t="s">
        <v>7806</v>
      </c>
      <c r="Q928" s="213" t="s">
        <v>7807</v>
      </c>
      <c r="R928" s="213" t="s">
        <v>7808</v>
      </c>
      <c r="S928" s="213" t="s">
        <v>7809</v>
      </c>
      <c r="T928" s="213" t="s">
        <v>7810</v>
      </c>
      <c r="U928" s="213" t="s">
        <v>74353</v>
      </c>
    </row>
    <row r="929" spans="1:21" x14ac:dyDescent="0.25">
      <c r="A929" s="213" t="s">
        <v>327</v>
      </c>
      <c r="D929" s="213" t="s">
        <v>7811</v>
      </c>
      <c r="E929" s="213" t="s">
        <v>7812</v>
      </c>
      <c r="K929" s="213" t="s">
        <v>74051</v>
      </c>
      <c r="L929" s="213" t="s">
        <v>74152</v>
      </c>
      <c r="M929" s="213" t="s">
        <v>74253</v>
      </c>
      <c r="N929" s="213" t="s">
        <v>7813</v>
      </c>
      <c r="O929" s="213" t="s">
        <v>7814</v>
      </c>
      <c r="P929" s="213" t="s">
        <v>7815</v>
      </c>
      <c r="Q929" s="213" t="s">
        <v>7816</v>
      </c>
      <c r="R929" s="213" t="s">
        <v>7817</v>
      </c>
      <c r="S929" s="213" t="s">
        <v>7818</v>
      </c>
      <c r="T929" s="213" t="s">
        <v>7819</v>
      </c>
      <c r="U929" s="213" t="s">
        <v>74354</v>
      </c>
    </row>
    <row r="930" spans="1:21" x14ac:dyDescent="0.25">
      <c r="A930" s="213" t="s">
        <v>327</v>
      </c>
      <c r="D930" s="213" t="s">
        <v>7820</v>
      </c>
      <c r="E930" s="213" t="s">
        <v>7821</v>
      </c>
      <c r="K930" s="213" t="s">
        <v>74052</v>
      </c>
      <c r="L930" s="213" t="s">
        <v>74153</v>
      </c>
      <c r="M930" s="213" t="s">
        <v>74254</v>
      </c>
      <c r="N930" s="213" t="s">
        <v>7822</v>
      </c>
      <c r="O930" s="213" t="s">
        <v>7823</v>
      </c>
      <c r="P930" s="213" t="s">
        <v>7824</v>
      </c>
      <c r="Q930" s="213" t="s">
        <v>7825</v>
      </c>
      <c r="R930" s="213" t="s">
        <v>7826</v>
      </c>
      <c r="S930" s="213" t="s">
        <v>7827</v>
      </c>
      <c r="T930" s="213" t="s">
        <v>7828</v>
      </c>
      <c r="U930" s="213" t="s">
        <v>74355</v>
      </c>
    </row>
    <row r="931" spans="1:21" x14ac:dyDescent="0.25">
      <c r="A931" s="213" t="s">
        <v>327</v>
      </c>
      <c r="D931" s="213" t="s">
        <v>7829</v>
      </c>
      <c r="E931" s="213" t="s">
        <v>7830</v>
      </c>
      <c r="K931" s="213" t="s">
        <v>74053</v>
      </c>
      <c r="L931" s="213" t="s">
        <v>74154</v>
      </c>
      <c r="M931" s="213" t="s">
        <v>74255</v>
      </c>
      <c r="N931" s="213" t="s">
        <v>7831</v>
      </c>
      <c r="O931" s="213" t="s">
        <v>7832</v>
      </c>
      <c r="P931" s="213" t="s">
        <v>7833</v>
      </c>
      <c r="Q931" s="213" t="s">
        <v>7834</v>
      </c>
      <c r="R931" s="213" t="s">
        <v>7835</v>
      </c>
      <c r="S931" s="213" t="s">
        <v>7836</v>
      </c>
      <c r="T931" s="213" t="s">
        <v>7837</v>
      </c>
      <c r="U931" s="213" t="s">
        <v>74356</v>
      </c>
    </row>
    <row r="932" spans="1:21" x14ac:dyDescent="0.25">
      <c r="A932" s="213" t="s">
        <v>327</v>
      </c>
      <c r="D932" s="213" t="s">
        <v>7838</v>
      </c>
      <c r="E932" s="213" t="s">
        <v>7839</v>
      </c>
      <c r="K932" s="213" t="s">
        <v>74054</v>
      </c>
      <c r="L932" s="213" t="s">
        <v>74155</v>
      </c>
      <c r="M932" s="213" t="s">
        <v>74256</v>
      </c>
      <c r="N932" s="213" t="s">
        <v>7840</v>
      </c>
      <c r="O932" s="213" t="s">
        <v>7841</v>
      </c>
      <c r="P932" s="213" t="s">
        <v>7842</v>
      </c>
      <c r="Q932" s="213" t="s">
        <v>7843</v>
      </c>
      <c r="R932" s="213" t="s">
        <v>7844</v>
      </c>
      <c r="S932" s="213" t="s">
        <v>7845</v>
      </c>
      <c r="T932" s="213" t="s">
        <v>7846</v>
      </c>
      <c r="U932" s="213" t="s">
        <v>74357</v>
      </c>
    </row>
    <row r="933" spans="1:21" x14ac:dyDescent="0.25">
      <c r="A933" s="213" t="s">
        <v>327</v>
      </c>
      <c r="D933" s="213" t="s">
        <v>7847</v>
      </c>
      <c r="E933" s="213" t="s">
        <v>7848</v>
      </c>
      <c r="K933" s="213" t="s">
        <v>74055</v>
      </c>
      <c r="L933" s="213" t="s">
        <v>74156</v>
      </c>
      <c r="M933" s="213" t="s">
        <v>74257</v>
      </c>
      <c r="N933" s="213" t="s">
        <v>7849</v>
      </c>
      <c r="O933" s="213" t="s">
        <v>7850</v>
      </c>
      <c r="P933" s="213" t="s">
        <v>7851</v>
      </c>
      <c r="Q933" s="213" t="s">
        <v>7852</v>
      </c>
      <c r="R933" s="213" t="s">
        <v>7853</v>
      </c>
      <c r="S933" s="213" t="s">
        <v>7854</v>
      </c>
      <c r="T933" s="213" t="s">
        <v>7855</v>
      </c>
      <c r="U933" s="213" t="s">
        <v>74358</v>
      </c>
    </row>
    <row r="934" spans="1:21" x14ac:dyDescent="0.25">
      <c r="A934" s="213" t="s">
        <v>327</v>
      </c>
      <c r="D934" s="213" t="s">
        <v>7856</v>
      </c>
      <c r="E934" s="213" t="s">
        <v>7857</v>
      </c>
      <c r="K934" s="213" t="s">
        <v>74056</v>
      </c>
      <c r="L934" s="213" t="s">
        <v>74157</v>
      </c>
      <c r="M934" s="213" t="s">
        <v>74258</v>
      </c>
      <c r="N934" s="213" t="s">
        <v>7858</v>
      </c>
      <c r="O934" s="213" t="s">
        <v>7859</v>
      </c>
      <c r="P934" s="213" t="s">
        <v>7860</v>
      </c>
      <c r="Q934" s="213" t="s">
        <v>7861</v>
      </c>
      <c r="R934" s="213" t="s">
        <v>7862</v>
      </c>
      <c r="S934" s="213" t="s">
        <v>7863</v>
      </c>
      <c r="T934" s="213" t="s">
        <v>7864</v>
      </c>
      <c r="U934" s="213" t="s">
        <v>74359</v>
      </c>
    </row>
    <row r="935" spans="1:21" x14ac:dyDescent="0.25">
      <c r="A935" s="213" t="s">
        <v>327</v>
      </c>
      <c r="D935" s="213" t="s">
        <v>7865</v>
      </c>
      <c r="E935" s="213" t="s">
        <v>7866</v>
      </c>
      <c r="K935" s="213" t="s">
        <v>74057</v>
      </c>
      <c r="L935" s="213" t="s">
        <v>74158</v>
      </c>
      <c r="M935" s="213" t="s">
        <v>74259</v>
      </c>
      <c r="N935" s="213" t="s">
        <v>7867</v>
      </c>
      <c r="O935" s="213" t="s">
        <v>7868</v>
      </c>
      <c r="P935" s="213" t="s">
        <v>7869</v>
      </c>
      <c r="Q935" s="213" t="s">
        <v>7870</v>
      </c>
      <c r="R935" s="213" t="s">
        <v>7871</v>
      </c>
      <c r="S935" s="213" t="s">
        <v>7872</v>
      </c>
      <c r="T935" s="213" t="s">
        <v>7873</v>
      </c>
      <c r="U935" s="213" t="s">
        <v>74360</v>
      </c>
    </row>
    <row r="936" spans="1:21" x14ac:dyDescent="0.25">
      <c r="A936" s="213" t="s">
        <v>327</v>
      </c>
      <c r="D936" s="213" t="s">
        <v>7874</v>
      </c>
      <c r="E936" s="213" t="s">
        <v>7875</v>
      </c>
      <c r="K936" s="213" t="s">
        <v>74058</v>
      </c>
      <c r="L936" s="213" t="s">
        <v>74159</v>
      </c>
      <c r="M936" s="213" t="s">
        <v>74260</v>
      </c>
      <c r="N936" s="213" t="s">
        <v>7876</v>
      </c>
      <c r="O936" s="213" t="s">
        <v>7877</v>
      </c>
      <c r="P936" s="213" t="s">
        <v>7878</v>
      </c>
      <c r="Q936" s="213" t="s">
        <v>7879</v>
      </c>
      <c r="R936" s="213" t="s">
        <v>7880</v>
      </c>
      <c r="S936" s="213" t="s">
        <v>7881</v>
      </c>
      <c r="T936" s="213" t="s">
        <v>7882</v>
      </c>
      <c r="U936" s="213" t="s">
        <v>74361</v>
      </c>
    </row>
    <row r="937" spans="1:21" x14ac:dyDescent="0.25">
      <c r="A937" s="213" t="s">
        <v>327</v>
      </c>
      <c r="D937" s="213" t="s">
        <v>7883</v>
      </c>
      <c r="E937" s="213" t="s">
        <v>7884</v>
      </c>
      <c r="K937" s="213" t="s">
        <v>74059</v>
      </c>
      <c r="L937" s="213" t="s">
        <v>74160</v>
      </c>
      <c r="M937" s="213" t="s">
        <v>74261</v>
      </c>
      <c r="N937" s="213" t="s">
        <v>7885</v>
      </c>
      <c r="O937" s="213" t="s">
        <v>7886</v>
      </c>
      <c r="P937" s="213" t="s">
        <v>7887</v>
      </c>
      <c r="Q937" s="213" t="s">
        <v>7888</v>
      </c>
      <c r="R937" s="213" t="s">
        <v>7889</v>
      </c>
      <c r="S937" s="213" t="s">
        <v>7890</v>
      </c>
      <c r="T937" s="213" t="s">
        <v>7891</v>
      </c>
      <c r="U937" s="213" t="s">
        <v>74362</v>
      </c>
    </row>
    <row r="938" spans="1:21" x14ac:dyDescent="0.25">
      <c r="A938" s="213" t="s">
        <v>327</v>
      </c>
      <c r="D938" s="213" t="s">
        <v>7892</v>
      </c>
      <c r="E938" s="213" t="s">
        <v>7893</v>
      </c>
      <c r="K938" s="213" t="s">
        <v>74060</v>
      </c>
      <c r="L938" s="213" t="s">
        <v>74161</v>
      </c>
      <c r="M938" s="213" t="s">
        <v>74262</v>
      </c>
      <c r="N938" s="213" t="s">
        <v>7894</v>
      </c>
      <c r="O938" s="213" t="s">
        <v>7895</v>
      </c>
      <c r="P938" s="213" t="s">
        <v>7896</v>
      </c>
      <c r="Q938" s="213" t="s">
        <v>7897</v>
      </c>
      <c r="R938" s="213" t="s">
        <v>7898</v>
      </c>
      <c r="S938" s="213" t="s">
        <v>7899</v>
      </c>
      <c r="T938" s="213" t="s">
        <v>7900</v>
      </c>
      <c r="U938" s="213" t="s">
        <v>74363</v>
      </c>
    </row>
    <row r="939" spans="1:21" x14ac:dyDescent="0.25">
      <c r="A939" s="213" t="s">
        <v>327</v>
      </c>
      <c r="D939" s="213" t="s">
        <v>7901</v>
      </c>
      <c r="E939" s="213" t="s">
        <v>7902</v>
      </c>
      <c r="K939" s="213" t="s">
        <v>74061</v>
      </c>
      <c r="L939" s="213" t="s">
        <v>74162</v>
      </c>
      <c r="M939" s="213" t="s">
        <v>74263</v>
      </c>
      <c r="N939" s="213" t="s">
        <v>7903</v>
      </c>
      <c r="O939" s="213" t="s">
        <v>7904</v>
      </c>
      <c r="P939" s="213" t="s">
        <v>7905</v>
      </c>
      <c r="Q939" s="213" t="s">
        <v>7906</v>
      </c>
      <c r="R939" s="213" t="s">
        <v>7907</v>
      </c>
      <c r="S939" s="213" t="s">
        <v>7908</v>
      </c>
      <c r="T939" s="213" t="s">
        <v>7909</v>
      </c>
      <c r="U939" s="213" t="s">
        <v>74364</v>
      </c>
    </row>
    <row r="940" spans="1:21" x14ac:dyDescent="0.25">
      <c r="A940" s="213" t="s">
        <v>327</v>
      </c>
      <c r="D940" s="213" t="s">
        <v>7910</v>
      </c>
      <c r="E940" s="213" t="s">
        <v>7911</v>
      </c>
      <c r="K940" s="213" t="s">
        <v>74062</v>
      </c>
      <c r="L940" s="213" t="s">
        <v>74163</v>
      </c>
      <c r="M940" s="213" t="s">
        <v>74264</v>
      </c>
      <c r="N940" s="213" t="s">
        <v>7912</v>
      </c>
      <c r="O940" s="213" t="s">
        <v>7913</v>
      </c>
      <c r="P940" s="213" t="s">
        <v>7914</v>
      </c>
      <c r="Q940" s="213" t="s">
        <v>7915</v>
      </c>
      <c r="R940" s="213" t="s">
        <v>7916</v>
      </c>
      <c r="S940" s="213" t="s">
        <v>7917</v>
      </c>
      <c r="T940" s="213" t="s">
        <v>7918</v>
      </c>
      <c r="U940" s="213" t="s">
        <v>74365</v>
      </c>
    </row>
    <row r="941" spans="1:21" x14ac:dyDescent="0.25">
      <c r="A941" s="213" t="s">
        <v>327</v>
      </c>
      <c r="D941" s="213" t="s">
        <v>7919</v>
      </c>
      <c r="E941" s="213" t="s">
        <v>7920</v>
      </c>
      <c r="K941" s="213" t="s">
        <v>74063</v>
      </c>
      <c r="L941" s="213" t="s">
        <v>74164</v>
      </c>
      <c r="M941" s="213" t="s">
        <v>74265</v>
      </c>
      <c r="N941" s="213" t="s">
        <v>7921</v>
      </c>
      <c r="O941" s="213" t="s">
        <v>7922</v>
      </c>
      <c r="P941" s="213" t="s">
        <v>7923</v>
      </c>
      <c r="Q941" s="213" t="s">
        <v>7924</v>
      </c>
      <c r="R941" s="213" t="s">
        <v>7925</v>
      </c>
      <c r="S941" s="213" t="s">
        <v>7926</v>
      </c>
      <c r="T941" s="213" t="s">
        <v>7927</v>
      </c>
      <c r="U941" s="213" t="s">
        <v>74366</v>
      </c>
    </row>
    <row r="942" spans="1:21" x14ac:dyDescent="0.25">
      <c r="A942" s="213" t="s">
        <v>327</v>
      </c>
      <c r="D942" s="213" t="s">
        <v>7928</v>
      </c>
      <c r="E942" s="213" t="s">
        <v>7929</v>
      </c>
      <c r="K942" s="213" t="s">
        <v>74064</v>
      </c>
      <c r="L942" s="213" t="s">
        <v>74165</v>
      </c>
      <c r="M942" s="213" t="s">
        <v>74266</v>
      </c>
      <c r="N942" s="213" t="s">
        <v>7930</v>
      </c>
      <c r="O942" s="213" t="s">
        <v>7931</v>
      </c>
      <c r="P942" s="213" t="s">
        <v>7932</v>
      </c>
      <c r="Q942" s="213" t="s">
        <v>7933</v>
      </c>
      <c r="R942" s="213" t="s">
        <v>7934</v>
      </c>
      <c r="S942" s="213" t="s">
        <v>7935</v>
      </c>
      <c r="T942" s="213" t="s">
        <v>7936</v>
      </c>
      <c r="U942" s="213" t="s">
        <v>74367</v>
      </c>
    </row>
    <row r="943" spans="1:21" x14ac:dyDescent="0.25">
      <c r="A943" s="213" t="s">
        <v>327</v>
      </c>
      <c r="D943" s="213" t="s">
        <v>7937</v>
      </c>
      <c r="E943" s="213" t="s">
        <v>7938</v>
      </c>
      <c r="K943" s="213" t="s">
        <v>74065</v>
      </c>
      <c r="L943" s="213" t="s">
        <v>74166</v>
      </c>
      <c r="M943" s="213" t="s">
        <v>74267</v>
      </c>
      <c r="N943" s="213" t="s">
        <v>7939</v>
      </c>
      <c r="O943" s="213" t="s">
        <v>7940</v>
      </c>
      <c r="P943" s="213" t="s">
        <v>7941</v>
      </c>
      <c r="Q943" s="213" t="s">
        <v>7942</v>
      </c>
      <c r="R943" s="213" t="s">
        <v>7943</v>
      </c>
      <c r="S943" s="213" t="s">
        <v>7944</v>
      </c>
      <c r="T943" s="213" t="s">
        <v>7945</v>
      </c>
      <c r="U943" s="213" t="s">
        <v>74368</v>
      </c>
    </row>
    <row r="944" spans="1:21" x14ac:dyDescent="0.25">
      <c r="A944" s="213" t="s">
        <v>327</v>
      </c>
      <c r="D944" s="213" t="s">
        <v>7946</v>
      </c>
      <c r="E944" s="213" t="s">
        <v>7947</v>
      </c>
      <c r="K944" s="213" t="s">
        <v>74066</v>
      </c>
      <c r="L944" s="213" t="s">
        <v>74167</v>
      </c>
      <c r="M944" s="213" t="s">
        <v>74268</v>
      </c>
      <c r="N944" s="213" t="s">
        <v>7948</v>
      </c>
      <c r="O944" s="213" t="s">
        <v>7949</v>
      </c>
      <c r="P944" s="213" t="s">
        <v>7950</v>
      </c>
      <c r="Q944" s="213" t="s">
        <v>7951</v>
      </c>
      <c r="R944" s="213" t="s">
        <v>7952</v>
      </c>
      <c r="S944" s="213" t="s">
        <v>7953</v>
      </c>
      <c r="T944" s="213" t="s">
        <v>7954</v>
      </c>
      <c r="U944" s="213" t="s">
        <v>74369</v>
      </c>
    </row>
    <row r="945" spans="1:21" x14ac:dyDescent="0.25">
      <c r="A945" s="213" t="s">
        <v>327</v>
      </c>
      <c r="D945" s="213" t="s">
        <v>7955</v>
      </c>
      <c r="E945" s="213" t="s">
        <v>7956</v>
      </c>
      <c r="K945" s="213" t="s">
        <v>74067</v>
      </c>
      <c r="L945" s="213" t="s">
        <v>74168</v>
      </c>
      <c r="M945" s="213" t="s">
        <v>74269</v>
      </c>
      <c r="N945" s="213" t="s">
        <v>7957</v>
      </c>
      <c r="O945" s="213" t="s">
        <v>7958</v>
      </c>
      <c r="P945" s="213" t="s">
        <v>7959</v>
      </c>
      <c r="Q945" s="213" t="s">
        <v>7960</v>
      </c>
      <c r="R945" s="213" t="s">
        <v>7961</v>
      </c>
      <c r="S945" s="213" t="s">
        <v>7962</v>
      </c>
      <c r="T945" s="213" t="s">
        <v>7963</v>
      </c>
      <c r="U945" s="213" t="s">
        <v>74370</v>
      </c>
    </row>
    <row r="946" spans="1:21" x14ac:dyDescent="0.25">
      <c r="A946" s="213" t="s">
        <v>327</v>
      </c>
      <c r="D946" s="213" t="s">
        <v>7964</v>
      </c>
      <c r="E946" s="213" t="s">
        <v>7965</v>
      </c>
      <c r="K946" s="213" t="s">
        <v>74068</v>
      </c>
      <c r="L946" s="213" t="s">
        <v>74169</v>
      </c>
      <c r="M946" s="213" t="s">
        <v>74270</v>
      </c>
      <c r="N946" s="213" t="s">
        <v>7966</v>
      </c>
      <c r="O946" s="213" t="s">
        <v>7967</v>
      </c>
      <c r="P946" s="213" t="s">
        <v>7968</v>
      </c>
      <c r="Q946" s="213" t="s">
        <v>7969</v>
      </c>
      <c r="R946" s="213" t="s">
        <v>7970</v>
      </c>
      <c r="S946" s="213" t="s">
        <v>7971</v>
      </c>
      <c r="T946" s="213" t="s">
        <v>7972</v>
      </c>
      <c r="U946" s="213" t="s">
        <v>74371</v>
      </c>
    </row>
    <row r="947" spans="1:21" x14ac:dyDescent="0.25">
      <c r="A947" s="213" t="s">
        <v>327</v>
      </c>
      <c r="D947" s="213" t="s">
        <v>7973</v>
      </c>
      <c r="E947" s="213" t="s">
        <v>7974</v>
      </c>
      <c r="K947" s="213" t="s">
        <v>74069</v>
      </c>
      <c r="L947" s="213" t="s">
        <v>74170</v>
      </c>
      <c r="M947" s="213" t="s">
        <v>74271</v>
      </c>
      <c r="N947" s="213" t="s">
        <v>7975</v>
      </c>
      <c r="O947" s="213" t="s">
        <v>7976</v>
      </c>
      <c r="P947" s="213" t="s">
        <v>7977</v>
      </c>
      <c r="Q947" s="213" t="s">
        <v>7978</v>
      </c>
      <c r="R947" s="213" t="s">
        <v>7979</v>
      </c>
      <c r="S947" s="213" t="s">
        <v>7980</v>
      </c>
      <c r="T947" s="213" t="s">
        <v>7981</v>
      </c>
      <c r="U947" s="213" t="s">
        <v>74372</v>
      </c>
    </row>
    <row r="948" spans="1:21" x14ac:dyDescent="0.25">
      <c r="A948" s="213" t="s">
        <v>327</v>
      </c>
      <c r="D948" s="213" t="s">
        <v>7982</v>
      </c>
      <c r="E948" s="213" t="s">
        <v>7983</v>
      </c>
      <c r="K948" s="213" t="s">
        <v>74070</v>
      </c>
      <c r="L948" s="213" t="s">
        <v>74171</v>
      </c>
      <c r="M948" s="213" t="s">
        <v>74272</v>
      </c>
      <c r="N948" s="213" t="s">
        <v>7984</v>
      </c>
      <c r="O948" s="213" t="s">
        <v>7985</v>
      </c>
      <c r="P948" s="213" t="s">
        <v>7986</v>
      </c>
      <c r="Q948" s="213" t="s">
        <v>7987</v>
      </c>
      <c r="R948" s="213" t="s">
        <v>7988</v>
      </c>
      <c r="S948" s="213" t="s">
        <v>7989</v>
      </c>
      <c r="T948" s="213" t="s">
        <v>7990</v>
      </c>
      <c r="U948" s="213" t="s">
        <v>74373</v>
      </c>
    </row>
    <row r="949" spans="1:21" x14ac:dyDescent="0.25">
      <c r="A949" s="213" t="s">
        <v>327</v>
      </c>
      <c r="D949" s="213" t="s">
        <v>7991</v>
      </c>
      <c r="E949" s="213" t="s">
        <v>7992</v>
      </c>
      <c r="K949" s="213" t="s">
        <v>74071</v>
      </c>
      <c r="L949" s="213" t="s">
        <v>74172</v>
      </c>
      <c r="M949" s="213" t="s">
        <v>74273</v>
      </c>
      <c r="N949" s="213" t="s">
        <v>7993</v>
      </c>
      <c r="O949" s="213" t="s">
        <v>7994</v>
      </c>
      <c r="P949" s="213" t="s">
        <v>7995</v>
      </c>
      <c r="Q949" s="213" t="s">
        <v>7996</v>
      </c>
      <c r="R949" s="213" t="s">
        <v>7997</v>
      </c>
      <c r="S949" s="213" t="s">
        <v>7998</v>
      </c>
      <c r="T949" s="213" t="s">
        <v>7999</v>
      </c>
      <c r="U949" s="213" t="s">
        <v>74374</v>
      </c>
    </row>
    <row r="950" spans="1:21" x14ac:dyDescent="0.25">
      <c r="A950" s="213" t="s">
        <v>327</v>
      </c>
      <c r="D950" s="213" t="s">
        <v>8000</v>
      </c>
      <c r="E950" s="213" t="s">
        <v>8001</v>
      </c>
      <c r="K950" s="213" t="s">
        <v>74072</v>
      </c>
      <c r="L950" s="213" t="s">
        <v>74173</v>
      </c>
      <c r="M950" s="213" t="s">
        <v>74274</v>
      </c>
      <c r="N950" s="213" t="s">
        <v>8002</v>
      </c>
      <c r="O950" s="213" t="s">
        <v>8003</v>
      </c>
      <c r="P950" s="213" t="s">
        <v>8004</v>
      </c>
      <c r="Q950" s="213" t="s">
        <v>8005</v>
      </c>
      <c r="R950" s="213" t="s">
        <v>8006</v>
      </c>
      <c r="S950" s="213" t="s">
        <v>8007</v>
      </c>
      <c r="T950" s="213" t="s">
        <v>8008</v>
      </c>
      <c r="U950" s="213" t="s">
        <v>74375</v>
      </c>
    </row>
    <row r="951" spans="1:21" x14ac:dyDescent="0.25">
      <c r="A951" s="213" t="s">
        <v>327</v>
      </c>
      <c r="D951" s="213" t="s">
        <v>8009</v>
      </c>
      <c r="E951" s="213" t="s">
        <v>8010</v>
      </c>
      <c r="K951" s="213" t="s">
        <v>74073</v>
      </c>
      <c r="L951" s="213" t="s">
        <v>74174</v>
      </c>
      <c r="M951" s="213" t="s">
        <v>74275</v>
      </c>
      <c r="N951" s="213" t="s">
        <v>8011</v>
      </c>
      <c r="O951" s="213" t="s">
        <v>8012</v>
      </c>
      <c r="P951" s="213" t="s">
        <v>8013</v>
      </c>
      <c r="Q951" s="213" t="s">
        <v>8014</v>
      </c>
      <c r="R951" s="213" t="s">
        <v>8015</v>
      </c>
      <c r="S951" s="213" t="s">
        <v>8016</v>
      </c>
      <c r="T951" s="213" t="s">
        <v>8017</v>
      </c>
      <c r="U951" s="213" t="s">
        <v>74376</v>
      </c>
    </row>
    <row r="952" spans="1:21" x14ac:dyDescent="0.25">
      <c r="A952" s="213" t="s">
        <v>327</v>
      </c>
      <c r="D952" s="213" t="s">
        <v>8018</v>
      </c>
      <c r="E952" s="213" t="s">
        <v>8019</v>
      </c>
      <c r="K952" s="213" t="s">
        <v>74074</v>
      </c>
      <c r="L952" s="213" t="s">
        <v>74175</v>
      </c>
      <c r="M952" s="213" t="s">
        <v>74276</v>
      </c>
      <c r="N952" s="213" t="s">
        <v>8020</v>
      </c>
      <c r="O952" s="213" t="s">
        <v>8021</v>
      </c>
      <c r="P952" s="213" t="s">
        <v>8022</v>
      </c>
      <c r="Q952" s="213" t="s">
        <v>8023</v>
      </c>
      <c r="R952" s="213" t="s">
        <v>8024</v>
      </c>
      <c r="S952" s="213" t="s">
        <v>8025</v>
      </c>
      <c r="T952" s="213" t="s">
        <v>8026</v>
      </c>
      <c r="U952" s="213" t="s">
        <v>74377</v>
      </c>
    </row>
    <row r="953" spans="1:21" x14ac:dyDescent="0.25">
      <c r="A953" s="213" t="s">
        <v>327</v>
      </c>
      <c r="D953" s="213" t="s">
        <v>8027</v>
      </c>
      <c r="E953" s="213" t="s">
        <v>8028</v>
      </c>
      <c r="K953" s="213" t="s">
        <v>74075</v>
      </c>
      <c r="L953" s="213" t="s">
        <v>74176</v>
      </c>
      <c r="M953" s="213" t="s">
        <v>74277</v>
      </c>
      <c r="N953" s="213" t="s">
        <v>8029</v>
      </c>
      <c r="O953" s="213" t="s">
        <v>8030</v>
      </c>
      <c r="P953" s="213" t="s">
        <v>8031</v>
      </c>
      <c r="Q953" s="213" t="s">
        <v>8032</v>
      </c>
      <c r="R953" s="213" t="s">
        <v>8033</v>
      </c>
      <c r="S953" s="213" t="s">
        <v>8034</v>
      </c>
      <c r="T953" s="213" t="s">
        <v>8035</v>
      </c>
      <c r="U953" s="213" t="s">
        <v>74378</v>
      </c>
    </row>
    <row r="954" spans="1:21" x14ac:dyDescent="0.25">
      <c r="A954" s="213" t="s">
        <v>327</v>
      </c>
      <c r="D954" s="213" t="s">
        <v>8036</v>
      </c>
      <c r="E954" s="213" t="s">
        <v>8037</v>
      </c>
      <c r="K954" s="213" t="s">
        <v>74076</v>
      </c>
      <c r="L954" s="213" t="s">
        <v>74177</v>
      </c>
      <c r="M954" s="213" t="s">
        <v>74278</v>
      </c>
      <c r="N954" s="213" t="s">
        <v>8038</v>
      </c>
      <c r="O954" s="213" t="s">
        <v>8039</v>
      </c>
      <c r="P954" s="213" t="s">
        <v>8040</v>
      </c>
      <c r="Q954" s="213" t="s">
        <v>8041</v>
      </c>
      <c r="R954" s="213" t="s">
        <v>8042</v>
      </c>
      <c r="S954" s="213" t="s">
        <v>8043</v>
      </c>
      <c r="T954" s="213" t="s">
        <v>8044</v>
      </c>
      <c r="U954" s="213" t="s">
        <v>74379</v>
      </c>
    </row>
    <row r="955" spans="1:21" x14ac:dyDescent="0.25">
      <c r="A955" s="213" t="s">
        <v>327</v>
      </c>
      <c r="D955" s="213" t="s">
        <v>8045</v>
      </c>
      <c r="E955" s="213" t="s">
        <v>8046</v>
      </c>
      <c r="K955" s="213" t="s">
        <v>74077</v>
      </c>
      <c r="L955" s="213" t="s">
        <v>74178</v>
      </c>
      <c r="M955" s="213" t="s">
        <v>74279</v>
      </c>
      <c r="N955" s="213" t="s">
        <v>8047</v>
      </c>
      <c r="O955" s="213" t="s">
        <v>8048</v>
      </c>
      <c r="P955" s="213" t="s">
        <v>8049</v>
      </c>
      <c r="Q955" s="213" t="s">
        <v>8050</v>
      </c>
      <c r="R955" s="213" t="s">
        <v>8051</v>
      </c>
      <c r="S955" s="213" t="s">
        <v>8052</v>
      </c>
      <c r="T955" s="213" t="s">
        <v>8053</v>
      </c>
      <c r="U955" s="213" t="s">
        <v>74380</v>
      </c>
    </row>
    <row r="956" spans="1:21" x14ac:dyDescent="0.25">
      <c r="A956" s="213" t="s">
        <v>327</v>
      </c>
      <c r="D956" s="213" t="s">
        <v>8054</v>
      </c>
      <c r="E956" s="213" t="s">
        <v>8055</v>
      </c>
      <c r="K956" s="213" t="s">
        <v>74078</v>
      </c>
      <c r="L956" s="213" t="s">
        <v>74179</v>
      </c>
      <c r="M956" s="213" t="s">
        <v>74280</v>
      </c>
      <c r="N956" s="213" t="s">
        <v>8056</v>
      </c>
      <c r="O956" s="213" t="s">
        <v>8057</v>
      </c>
      <c r="P956" s="213" t="s">
        <v>8058</v>
      </c>
      <c r="Q956" s="213" t="s">
        <v>8059</v>
      </c>
      <c r="R956" s="213" t="s">
        <v>8060</v>
      </c>
      <c r="S956" s="213" t="s">
        <v>8061</v>
      </c>
      <c r="T956" s="213" t="s">
        <v>8062</v>
      </c>
      <c r="U956" s="213" t="s">
        <v>74381</v>
      </c>
    </row>
    <row r="957" spans="1:21" x14ac:dyDescent="0.25">
      <c r="A957" s="213" t="s">
        <v>327</v>
      </c>
      <c r="D957" s="213" t="s">
        <v>8063</v>
      </c>
      <c r="E957" s="213" t="s">
        <v>8064</v>
      </c>
      <c r="K957" s="213" t="s">
        <v>74079</v>
      </c>
      <c r="L957" s="213" t="s">
        <v>74180</v>
      </c>
      <c r="M957" s="213" t="s">
        <v>74281</v>
      </c>
      <c r="N957" s="213" t="s">
        <v>8065</v>
      </c>
      <c r="O957" s="213" t="s">
        <v>8066</v>
      </c>
      <c r="P957" s="213" t="s">
        <v>8067</v>
      </c>
      <c r="Q957" s="213" t="s">
        <v>8068</v>
      </c>
      <c r="R957" s="213" t="s">
        <v>8069</v>
      </c>
      <c r="S957" s="213" t="s">
        <v>8070</v>
      </c>
      <c r="T957" s="213" t="s">
        <v>8071</v>
      </c>
      <c r="U957" s="213" t="s">
        <v>74382</v>
      </c>
    </row>
    <row r="958" spans="1:21" x14ac:dyDescent="0.25">
      <c r="A958" s="213" t="s">
        <v>327</v>
      </c>
      <c r="D958" s="213" t="s">
        <v>8072</v>
      </c>
      <c r="E958" s="213" t="s">
        <v>8073</v>
      </c>
      <c r="K958" s="213" t="s">
        <v>74080</v>
      </c>
      <c r="L958" s="213" t="s">
        <v>74181</v>
      </c>
      <c r="M958" s="213" t="s">
        <v>74282</v>
      </c>
      <c r="N958" s="213" t="s">
        <v>8074</v>
      </c>
      <c r="O958" s="213" t="s">
        <v>8075</v>
      </c>
      <c r="P958" s="213" t="s">
        <v>8076</v>
      </c>
      <c r="Q958" s="213" t="s">
        <v>8077</v>
      </c>
      <c r="R958" s="213" t="s">
        <v>8078</v>
      </c>
      <c r="S958" s="213" t="s">
        <v>8079</v>
      </c>
      <c r="T958" s="213" t="s">
        <v>8080</v>
      </c>
      <c r="U958" s="213" t="s">
        <v>74383</v>
      </c>
    </row>
    <row r="959" spans="1:21" x14ac:dyDescent="0.25">
      <c r="A959" s="213" t="s">
        <v>327</v>
      </c>
      <c r="D959" s="213" t="s">
        <v>8081</v>
      </c>
      <c r="E959" s="213" t="s">
        <v>8082</v>
      </c>
      <c r="K959" s="213" t="s">
        <v>74081</v>
      </c>
      <c r="L959" s="213" t="s">
        <v>74182</v>
      </c>
      <c r="M959" s="213" t="s">
        <v>74283</v>
      </c>
      <c r="N959" s="213" t="s">
        <v>8083</v>
      </c>
      <c r="O959" s="213" t="s">
        <v>8084</v>
      </c>
      <c r="P959" s="213" t="s">
        <v>8085</v>
      </c>
      <c r="Q959" s="213" t="s">
        <v>8086</v>
      </c>
      <c r="R959" s="213" t="s">
        <v>8087</v>
      </c>
      <c r="S959" s="213" t="s">
        <v>8088</v>
      </c>
      <c r="T959" s="213" t="s">
        <v>8089</v>
      </c>
      <c r="U959" s="213" t="s">
        <v>74384</v>
      </c>
    </row>
    <row r="960" spans="1:21" x14ac:dyDescent="0.25">
      <c r="A960" s="213" t="s">
        <v>327</v>
      </c>
      <c r="D960" s="213" t="s">
        <v>8090</v>
      </c>
      <c r="E960" s="213" t="s">
        <v>8091</v>
      </c>
      <c r="K960" s="213" t="s">
        <v>74082</v>
      </c>
      <c r="L960" s="213" t="s">
        <v>74183</v>
      </c>
      <c r="M960" s="213" t="s">
        <v>74284</v>
      </c>
      <c r="N960" s="213" t="s">
        <v>8092</v>
      </c>
      <c r="O960" s="213" t="s">
        <v>8093</v>
      </c>
      <c r="P960" s="213" t="s">
        <v>8094</v>
      </c>
      <c r="Q960" s="213" t="s">
        <v>8095</v>
      </c>
      <c r="R960" s="213" t="s">
        <v>8096</v>
      </c>
      <c r="S960" s="213" t="s">
        <v>8097</v>
      </c>
      <c r="T960" s="213" t="s">
        <v>8098</v>
      </c>
      <c r="U960" s="213" t="s">
        <v>74385</v>
      </c>
    </row>
    <row r="961" spans="1:21" x14ac:dyDescent="0.25">
      <c r="A961" s="213" t="s">
        <v>327</v>
      </c>
      <c r="D961" s="213" t="s">
        <v>8099</v>
      </c>
      <c r="E961" s="213" t="s">
        <v>8100</v>
      </c>
      <c r="K961" s="213" t="s">
        <v>74083</v>
      </c>
      <c r="L961" s="213" t="s">
        <v>74184</v>
      </c>
      <c r="M961" s="213" t="s">
        <v>74285</v>
      </c>
      <c r="N961" s="213" t="s">
        <v>8101</v>
      </c>
      <c r="O961" s="213" t="s">
        <v>8102</v>
      </c>
      <c r="P961" s="213" t="s">
        <v>8103</v>
      </c>
      <c r="Q961" s="213" t="s">
        <v>8104</v>
      </c>
      <c r="R961" s="213" t="s">
        <v>8105</v>
      </c>
      <c r="S961" s="213" t="s">
        <v>8106</v>
      </c>
      <c r="T961" s="213" t="s">
        <v>8107</v>
      </c>
      <c r="U961" s="213" t="s">
        <v>74386</v>
      </c>
    </row>
    <row r="962" spans="1:21" x14ac:dyDescent="0.25">
      <c r="A962" s="213" t="s">
        <v>327</v>
      </c>
      <c r="D962" s="213" t="s">
        <v>8108</v>
      </c>
      <c r="E962" s="213" t="s">
        <v>8109</v>
      </c>
      <c r="K962" s="213" t="s">
        <v>74084</v>
      </c>
      <c r="L962" s="213" t="s">
        <v>74185</v>
      </c>
      <c r="M962" s="213" t="s">
        <v>74286</v>
      </c>
      <c r="N962" s="213" t="s">
        <v>8110</v>
      </c>
      <c r="O962" s="213" t="s">
        <v>8111</v>
      </c>
      <c r="P962" s="213" t="s">
        <v>8112</v>
      </c>
      <c r="Q962" s="213" t="s">
        <v>8113</v>
      </c>
      <c r="R962" s="213" t="s">
        <v>8114</v>
      </c>
      <c r="S962" s="213" t="s">
        <v>8115</v>
      </c>
      <c r="T962" s="213" t="s">
        <v>8116</v>
      </c>
      <c r="U962" s="213" t="s">
        <v>74387</v>
      </c>
    </row>
    <row r="963" spans="1:21" x14ac:dyDescent="0.25">
      <c r="A963" s="213" t="s">
        <v>327</v>
      </c>
      <c r="D963" s="213" t="s">
        <v>8117</v>
      </c>
      <c r="E963" s="213" t="s">
        <v>8118</v>
      </c>
      <c r="K963" s="213" t="s">
        <v>74085</v>
      </c>
      <c r="L963" s="213" t="s">
        <v>74186</v>
      </c>
      <c r="M963" s="213" t="s">
        <v>74287</v>
      </c>
      <c r="N963" s="213" t="s">
        <v>8119</v>
      </c>
      <c r="O963" s="213" t="s">
        <v>8120</v>
      </c>
      <c r="P963" s="213" t="s">
        <v>8121</v>
      </c>
      <c r="Q963" s="213" t="s">
        <v>8122</v>
      </c>
      <c r="R963" s="213" t="s">
        <v>8123</v>
      </c>
      <c r="S963" s="213" t="s">
        <v>8124</v>
      </c>
      <c r="T963" s="213" t="s">
        <v>8125</v>
      </c>
      <c r="U963" s="213" t="s">
        <v>74388</v>
      </c>
    </row>
    <row r="964" spans="1:21" x14ac:dyDescent="0.25">
      <c r="A964" s="213" t="s">
        <v>327</v>
      </c>
      <c r="D964" s="213" t="s">
        <v>8126</v>
      </c>
      <c r="E964" s="213" t="s">
        <v>8127</v>
      </c>
      <c r="K964" s="213" t="s">
        <v>74086</v>
      </c>
      <c r="L964" s="213" t="s">
        <v>74187</v>
      </c>
      <c r="M964" s="213" t="s">
        <v>74288</v>
      </c>
      <c r="N964" s="213" t="s">
        <v>8128</v>
      </c>
      <c r="O964" s="213" t="s">
        <v>8129</v>
      </c>
      <c r="P964" s="213" t="s">
        <v>8130</v>
      </c>
      <c r="Q964" s="213" t="s">
        <v>8131</v>
      </c>
      <c r="R964" s="213" t="s">
        <v>8132</v>
      </c>
      <c r="S964" s="213" t="s">
        <v>8133</v>
      </c>
      <c r="T964" s="213" t="s">
        <v>8134</v>
      </c>
      <c r="U964" s="213" t="s">
        <v>74389</v>
      </c>
    </row>
    <row r="965" spans="1:21" x14ac:dyDescent="0.25">
      <c r="A965" s="213" t="s">
        <v>327</v>
      </c>
      <c r="D965" s="213" t="s">
        <v>8135</v>
      </c>
      <c r="E965" s="213" t="s">
        <v>8136</v>
      </c>
      <c r="K965" s="213" t="s">
        <v>74087</v>
      </c>
      <c r="L965" s="213" t="s">
        <v>74188</v>
      </c>
      <c r="M965" s="213" t="s">
        <v>74289</v>
      </c>
      <c r="N965" s="213" t="s">
        <v>8137</v>
      </c>
      <c r="O965" s="213" t="s">
        <v>8138</v>
      </c>
      <c r="P965" s="213" t="s">
        <v>8139</v>
      </c>
      <c r="Q965" s="213" t="s">
        <v>8140</v>
      </c>
      <c r="R965" s="213" t="s">
        <v>8141</v>
      </c>
      <c r="S965" s="213" t="s">
        <v>8142</v>
      </c>
      <c r="T965" s="213" t="s">
        <v>8143</v>
      </c>
      <c r="U965" s="213" t="s">
        <v>74390</v>
      </c>
    </row>
    <row r="966" spans="1:21" x14ac:dyDescent="0.25">
      <c r="A966" s="213" t="s">
        <v>327</v>
      </c>
      <c r="D966" s="213" t="s">
        <v>8144</v>
      </c>
      <c r="E966" s="213" t="s">
        <v>8145</v>
      </c>
      <c r="K966" s="213" t="s">
        <v>74088</v>
      </c>
      <c r="L966" s="213" t="s">
        <v>74189</v>
      </c>
      <c r="M966" s="213" t="s">
        <v>74290</v>
      </c>
      <c r="N966" s="213" t="s">
        <v>8146</v>
      </c>
      <c r="O966" s="213" t="s">
        <v>8147</v>
      </c>
      <c r="P966" s="213" t="s">
        <v>8148</v>
      </c>
      <c r="Q966" s="213" t="s">
        <v>8149</v>
      </c>
      <c r="R966" s="213" t="s">
        <v>8150</v>
      </c>
      <c r="S966" s="213" t="s">
        <v>8151</v>
      </c>
      <c r="T966" s="213" t="s">
        <v>8152</v>
      </c>
      <c r="U966" s="213" t="s">
        <v>74391</v>
      </c>
    </row>
    <row r="967" spans="1:21" x14ac:dyDescent="0.25">
      <c r="A967" s="213" t="s">
        <v>327</v>
      </c>
      <c r="D967" s="213" t="s">
        <v>8153</v>
      </c>
      <c r="E967" s="213" t="s">
        <v>8154</v>
      </c>
      <c r="K967" s="213" t="s">
        <v>74089</v>
      </c>
      <c r="L967" s="213" t="s">
        <v>74190</v>
      </c>
      <c r="M967" s="213" t="s">
        <v>74291</v>
      </c>
      <c r="N967" s="213" t="s">
        <v>8155</v>
      </c>
      <c r="O967" s="213" t="s">
        <v>8156</v>
      </c>
      <c r="P967" s="213" t="s">
        <v>8157</v>
      </c>
      <c r="Q967" s="213" t="s">
        <v>8158</v>
      </c>
      <c r="R967" s="213" t="s">
        <v>8159</v>
      </c>
      <c r="S967" s="213" t="s">
        <v>8160</v>
      </c>
      <c r="T967" s="213" t="s">
        <v>8161</v>
      </c>
      <c r="U967" s="213" t="s">
        <v>74392</v>
      </c>
    </row>
    <row r="968" spans="1:21" x14ac:dyDescent="0.25">
      <c r="A968" s="213" t="s">
        <v>327</v>
      </c>
      <c r="D968" s="213" t="s">
        <v>8162</v>
      </c>
      <c r="E968" s="213" t="s">
        <v>8163</v>
      </c>
      <c r="K968" s="213" t="s">
        <v>74090</v>
      </c>
      <c r="L968" s="213" t="s">
        <v>74191</v>
      </c>
      <c r="M968" s="213" t="s">
        <v>74292</v>
      </c>
      <c r="N968" s="213" t="s">
        <v>8164</v>
      </c>
      <c r="O968" s="213" t="s">
        <v>8165</v>
      </c>
      <c r="P968" s="213" t="s">
        <v>8166</v>
      </c>
      <c r="Q968" s="213" t="s">
        <v>8167</v>
      </c>
      <c r="R968" s="213" t="s">
        <v>8168</v>
      </c>
      <c r="S968" s="213" t="s">
        <v>8169</v>
      </c>
      <c r="T968" s="213" t="s">
        <v>8170</v>
      </c>
      <c r="U968" s="213" t="s">
        <v>74393</v>
      </c>
    </row>
    <row r="969" spans="1:21" x14ac:dyDescent="0.25">
      <c r="A969" s="213" t="s">
        <v>327</v>
      </c>
      <c r="D969" s="213" t="s">
        <v>8171</v>
      </c>
      <c r="E969" s="213" t="s">
        <v>8172</v>
      </c>
      <c r="K969" s="213" t="s">
        <v>74091</v>
      </c>
      <c r="L969" s="213" t="s">
        <v>74192</v>
      </c>
      <c r="M969" s="213" t="s">
        <v>74293</v>
      </c>
      <c r="N969" s="213" t="s">
        <v>8173</v>
      </c>
      <c r="O969" s="213" t="s">
        <v>8174</v>
      </c>
      <c r="P969" s="213" t="s">
        <v>8175</v>
      </c>
      <c r="Q969" s="213" t="s">
        <v>8176</v>
      </c>
      <c r="R969" s="213" t="s">
        <v>8177</v>
      </c>
      <c r="S969" s="213" t="s">
        <v>8178</v>
      </c>
      <c r="T969" s="213" t="s">
        <v>8179</v>
      </c>
      <c r="U969" s="213" t="s">
        <v>74394</v>
      </c>
    </row>
    <row r="970" spans="1:21" x14ac:dyDescent="0.25">
      <c r="A970" s="213" t="s">
        <v>327</v>
      </c>
      <c r="D970" s="213" t="s">
        <v>8180</v>
      </c>
      <c r="E970" s="213" t="s">
        <v>8181</v>
      </c>
      <c r="K970" s="213" t="s">
        <v>74092</v>
      </c>
      <c r="L970" s="213" t="s">
        <v>74193</v>
      </c>
      <c r="M970" s="213" t="s">
        <v>74294</v>
      </c>
      <c r="N970" s="213" t="s">
        <v>8182</v>
      </c>
      <c r="O970" s="213" t="s">
        <v>8183</v>
      </c>
      <c r="P970" s="213" t="s">
        <v>8184</v>
      </c>
      <c r="Q970" s="213" t="s">
        <v>8185</v>
      </c>
      <c r="R970" s="213" t="s">
        <v>8186</v>
      </c>
      <c r="S970" s="213" t="s">
        <v>8187</v>
      </c>
      <c r="T970" s="213" t="s">
        <v>8188</v>
      </c>
      <c r="U970" s="213" t="s">
        <v>74395</v>
      </c>
    </row>
    <row r="971" spans="1:21" x14ac:dyDescent="0.25">
      <c r="A971" s="213" t="s">
        <v>327</v>
      </c>
      <c r="D971" s="213" t="s">
        <v>8189</v>
      </c>
      <c r="E971" s="213" t="s">
        <v>8190</v>
      </c>
      <c r="K971" s="213" t="s">
        <v>74093</v>
      </c>
      <c r="L971" s="213" t="s">
        <v>74194</v>
      </c>
      <c r="M971" s="213" t="s">
        <v>74295</v>
      </c>
      <c r="N971" s="213" t="s">
        <v>8191</v>
      </c>
      <c r="O971" s="213" t="s">
        <v>8192</v>
      </c>
      <c r="P971" s="213" t="s">
        <v>8193</v>
      </c>
      <c r="Q971" s="213" t="s">
        <v>8194</v>
      </c>
      <c r="R971" s="213" t="s">
        <v>8195</v>
      </c>
      <c r="S971" s="213" t="s">
        <v>8196</v>
      </c>
      <c r="T971" s="213" t="s">
        <v>8197</v>
      </c>
      <c r="U971" s="213" t="s">
        <v>74396</v>
      </c>
    </row>
    <row r="972" spans="1:21" x14ac:dyDescent="0.25">
      <c r="A972" s="213" t="s">
        <v>327</v>
      </c>
      <c r="D972" s="213" t="s">
        <v>8198</v>
      </c>
      <c r="E972" s="213" t="s">
        <v>8199</v>
      </c>
      <c r="K972" s="213" t="s">
        <v>74094</v>
      </c>
      <c r="L972" s="213" t="s">
        <v>74195</v>
      </c>
      <c r="M972" s="213" t="s">
        <v>74296</v>
      </c>
      <c r="N972" s="213" t="s">
        <v>8200</v>
      </c>
      <c r="O972" s="213" t="s">
        <v>8201</v>
      </c>
      <c r="P972" s="213" t="s">
        <v>8202</v>
      </c>
      <c r="Q972" s="213" t="s">
        <v>8203</v>
      </c>
      <c r="R972" s="213" t="s">
        <v>8204</v>
      </c>
      <c r="S972" s="213" t="s">
        <v>8205</v>
      </c>
      <c r="T972" s="213" t="s">
        <v>8206</v>
      </c>
      <c r="U972" s="213" t="s">
        <v>74397</v>
      </c>
    </row>
    <row r="973" spans="1:21" x14ac:dyDescent="0.25">
      <c r="A973" s="213" t="s">
        <v>327</v>
      </c>
      <c r="D973" s="213" t="s">
        <v>8207</v>
      </c>
      <c r="E973" s="213" t="s">
        <v>8208</v>
      </c>
      <c r="K973" s="213" t="s">
        <v>74095</v>
      </c>
      <c r="L973" s="213" t="s">
        <v>74196</v>
      </c>
      <c r="M973" s="213" t="s">
        <v>74297</v>
      </c>
      <c r="N973" s="213" t="s">
        <v>8209</v>
      </c>
      <c r="O973" s="213" t="s">
        <v>8210</v>
      </c>
      <c r="P973" s="213" t="s">
        <v>8211</v>
      </c>
      <c r="Q973" s="213" t="s">
        <v>8212</v>
      </c>
      <c r="R973" s="213" t="s">
        <v>8213</v>
      </c>
      <c r="S973" s="213" t="s">
        <v>8214</v>
      </c>
      <c r="T973" s="213" t="s">
        <v>8215</v>
      </c>
      <c r="U973" s="213" t="s">
        <v>74398</v>
      </c>
    </row>
    <row r="974" spans="1:21" x14ac:dyDescent="0.25">
      <c r="A974" s="213" t="s">
        <v>327</v>
      </c>
      <c r="D974" s="213" t="s">
        <v>8216</v>
      </c>
      <c r="E974" s="213" t="s">
        <v>8217</v>
      </c>
      <c r="K974" s="213" t="s">
        <v>74096</v>
      </c>
      <c r="L974" s="213" t="s">
        <v>74197</v>
      </c>
      <c r="M974" s="213" t="s">
        <v>74298</v>
      </c>
      <c r="N974" s="213" t="s">
        <v>8218</v>
      </c>
      <c r="O974" s="213" t="s">
        <v>8219</v>
      </c>
      <c r="P974" s="213" t="s">
        <v>8220</v>
      </c>
      <c r="Q974" s="213" t="s">
        <v>8221</v>
      </c>
      <c r="R974" s="213" t="s">
        <v>8222</v>
      </c>
      <c r="S974" s="213" t="s">
        <v>8223</v>
      </c>
      <c r="T974" s="213" t="s">
        <v>8224</v>
      </c>
      <c r="U974" s="213" t="s">
        <v>74399</v>
      </c>
    </row>
    <row r="975" spans="1:21" x14ac:dyDescent="0.25">
      <c r="A975" s="213" t="s">
        <v>327</v>
      </c>
      <c r="D975" s="213" t="s">
        <v>8225</v>
      </c>
      <c r="E975" s="213" t="s">
        <v>8226</v>
      </c>
      <c r="K975" s="213" t="s">
        <v>74097</v>
      </c>
      <c r="L975" s="213" t="s">
        <v>74198</v>
      </c>
      <c r="M975" s="213" t="s">
        <v>74299</v>
      </c>
      <c r="N975" s="213" t="s">
        <v>8227</v>
      </c>
      <c r="O975" s="213" t="s">
        <v>8228</v>
      </c>
      <c r="P975" s="213" t="s">
        <v>8229</v>
      </c>
      <c r="Q975" s="213" t="s">
        <v>8230</v>
      </c>
      <c r="R975" s="213" t="s">
        <v>8231</v>
      </c>
      <c r="S975" s="213" t="s">
        <v>8232</v>
      </c>
      <c r="T975" s="213" t="s">
        <v>8233</v>
      </c>
      <c r="U975" s="213" t="s">
        <v>74400</v>
      </c>
    </row>
    <row r="976" spans="1:21" x14ac:dyDescent="0.25">
      <c r="A976" s="213" t="s">
        <v>327</v>
      </c>
      <c r="D976" s="213" t="s">
        <v>8234</v>
      </c>
      <c r="E976" s="213" t="s">
        <v>8235</v>
      </c>
      <c r="K976" s="213" t="s">
        <v>74098</v>
      </c>
      <c r="L976" s="213" t="s">
        <v>74199</v>
      </c>
      <c r="M976" s="213" t="s">
        <v>74300</v>
      </c>
      <c r="N976" s="213" t="s">
        <v>8236</v>
      </c>
      <c r="O976" s="213" t="s">
        <v>8237</v>
      </c>
      <c r="P976" s="213" t="s">
        <v>8238</v>
      </c>
      <c r="Q976" s="213" t="s">
        <v>8239</v>
      </c>
      <c r="R976" s="213" t="s">
        <v>8240</v>
      </c>
      <c r="S976" s="213" t="s">
        <v>8241</v>
      </c>
      <c r="T976" s="213" t="s">
        <v>8242</v>
      </c>
      <c r="U976" s="213" t="s">
        <v>74401</v>
      </c>
    </row>
    <row r="977" spans="1:21" x14ac:dyDescent="0.25">
      <c r="A977" s="213" t="s">
        <v>327</v>
      </c>
      <c r="D977" s="213" t="s">
        <v>8243</v>
      </c>
      <c r="E977" s="213" t="s">
        <v>8244</v>
      </c>
      <c r="K977" s="213" t="s">
        <v>74099</v>
      </c>
      <c r="L977" s="213" t="s">
        <v>74200</v>
      </c>
      <c r="M977" s="213" t="s">
        <v>74301</v>
      </c>
      <c r="N977" s="213" t="s">
        <v>8245</v>
      </c>
      <c r="O977" s="213" t="s">
        <v>8246</v>
      </c>
      <c r="P977" s="213" t="s">
        <v>8247</v>
      </c>
      <c r="Q977" s="213" t="s">
        <v>8248</v>
      </c>
      <c r="R977" s="213" t="s">
        <v>8249</v>
      </c>
      <c r="S977" s="213" t="s">
        <v>8250</v>
      </c>
      <c r="T977" s="213" t="s">
        <v>8251</v>
      </c>
      <c r="U977" s="213" t="s">
        <v>74402</v>
      </c>
    </row>
    <row r="978" spans="1:21" x14ac:dyDescent="0.25">
      <c r="A978" s="213" t="s">
        <v>327</v>
      </c>
      <c r="D978" s="213" t="s">
        <v>8252</v>
      </c>
      <c r="E978" s="213" t="s">
        <v>8253</v>
      </c>
      <c r="K978" s="213" t="s">
        <v>74100</v>
      </c>
      <c r="L978" s="213" t="s">
        <v>74201</v>
      </c>
      <c r="M978" s="213" t="s">
        <v>74302</v>
      </c>
      <c r="N978" s="213" t="s">
        <v>8254</v>
      </c>
      <c r="O978" s="213" t="s">
        <v>8255</v>
      </c>
      <c r="P978" s="213" t="s">
        <v>8256</v>
      </c>
      <c r="Q978" s="213" t="s">
        <v>8257</v>
      </c>
      <c r="R978" s="213" t="s">
        <v>8258</v>
      </c>
      <c r="S978" s="213" t="s">
        <v>8259</v>
      </c>
      <c r="T978" s="213" t="s">
        <v>8260</v>
      </c>
      <c r="U978" s="213" t="s">
        <v>74403</v>
      </c>
    </row>
    <row r="979" spans="1:21" x14ac:dyDescent="0.25">
      <c r="A979" s="213" t="s">
        <v>327</v>
      </c>
      <c r="D979" s="213" t="s">
        <v>8261</v>
      </c>
      <c r="E979" s="213" t="s">
        <v>8262</v>
      </c>
      <c r="K979" s="213" t="s">
        <v>74101</v>
      </c>
      <c r="L979" s="213" t="s">
        <v>74202</v>
      </c>
      <c r="M979" s="213" t="s">
        <v>74303</v>
      </c>
      <c r="N979" s="213" t="s">
        <v>8263</v>
      </c>
      <c r="O979" s="213" t="s">
        <v>8264</v>
      </c>
      <c r="P979" s="213" t="s">
        <v>8265</v>
      </c>
      <c r="Q979" s="213" t="s">
        <v>8266</v>
      </c>
      <c r="R979" s="213" t="s">
        <v>8267</v>
      </c>
      <c r="S979" s="213" t="s">
        <v>8268</v>
      </c>
      <c r="T979" s="213" t="s">
        <v>8269</v>
      </c>
      <c r="U979" s="213" t="s">
        <v>74404</v>
      </c>
    </row>
    <row r="980" spans="1:21" x14ac:dyDescent="0.25">
      <c r="A980" s="213" t="s">
        <v>327</v>
      </c>
      <c r="D980" s="213" t="s">
        <v>8270</v>
      </c>
      <c r="E980" s="213" t="s">
        <v>8271</v>
      </c>
      <c r="K980" s="213" t="s">
        <v>74102</v>
      </c>
      <c r="L980" s="213" t="s">
        <v>74203</v>
      </c>
      <c r="M980" s="213" t="s">
        <v>74304</v>
      </c>
      <c r="N980" s="213" t="s">
        <v>8272</v>
      </c>
      <c r="O980" s="213" t="s">
        <v>8273</v>
      </c>
      <c r="P980" s="213" t="s">
        <v>8274</v>
      </c>
      <c r="Q980" s="213" t="s">
        <v>8275</v>
      </c>
      <c r="R980" s="213" t="s">
        <v>8276</v>
      </c>
      <c r="S980" s="213" t="s">
        <v>8277</v>
      </c>
      <c r="T980" s="213" t="s">
        <v>8278</v>
      </c>
      <c r="U980" s="213" t="s">
        <v>74405</v>
      </c>
    </row>
    <row r="981" spans="1:21" x14ac:dyDescent="0.25">
      <c r="A981" s="213" t="s">
        <v>327</v>
      </c>
      <c r="D981" s="213" t="s">
        <v>8279</v>
      </c>
      <c r="E981" s="213" t="s">
        <v>8280</v>
      </c>
      <c r="K981" s="213" t="s">
        <v>74103</v>
      </c>
      <c r="L981" s="213" t="s">
        <v>74204</v>
      </c>
      <c r="M981" s="213" t="s">
        <v>74305</v>
      </c>
      <c r="N981" s="213" t="s">
        <v>8281</v>
      </c>
      <c r="O981" s="213" t="s">
        <v>8282</v>
      </c>
      <c r="P981" s="213" t="s">
        <v>8283</v>
      </c>
      <c r="Q981" s="213" t="s">
        <v>8284</v>
      </c>
      <c r="R981" s="213" t="s">
        <v>8285</v>
      </c>
      <c r="S981" s="213" t="s">
        <v>8286</v>
      </c>
      <c r="T981" s="213" t="s">
        <v>8287</v>
      </c>
      <c r="U981" s="213" t="s">
        <v>74406</v>
      </c>
    </row>
    <row r="982" spans="1:21" x14ac:dyDescent="0.25">
      <c r="A982" s="213" t="s">
        <v>327</v>
      </c>
      <c r="D982" s="213" t="s">
        <v>8288</v>
      </c>
      <c r="E982" s="213" t="s">
        <v>8289</v>
      </c>
      <c r="K982" s="213" t="s">
        <v>74104</v>
      </c>
      <c r="L982" s="213" t="s">
        <v>74205</v>
      </c>
      <c r="M982" s="213" t="s">
        <v>74306</v>
      </c>
      <c r="N982" s="213" t="s">
        <v>8290</v>
      </c>
      <c r="O982" s="213" t="s">
        <v>8291</v>
      </c>
      <c r="P982" s="213" t="s">
        <v>8292</v>
      </c>
      <c r="Q982" s="213" t="s">
        <v>8293</v>
      </c>
      <c r="R982" s="213" t="s">
        <v>8294</v>
      </c>
      <c r="S982" s="213" t="s">
        <v>8295</v>
      </c>
      <c r="T982" s="213" t="s">
        <v>8296</v>
      </c>
      <c r="U982" s="213" t="s">
        <v>74407</v>
      </c>
    </row>
    <row r="983" spans="1:21" x14ac:dyDescent="0.25">
      <c r="A983" s="213" t="s">
        <v>327</v>
      </c>
      <c r="D983" s="213" t="s">
        <v>8297</v>
      </c>
      <c r="E983" s="213" t="s">
        <v>8298</v>
      </c>
      <c r="K983" s="213" t="s">
        <v>74105</v>
      </c>
      <c r="L983" s="213" t="s">
        <v>74206</v>
      </c>
      <c r="M983" s="213" t="s">
        <v>74307</v>
      </c>
      <c r="N983" s="213" t="s">
        <v>8299</v>
      </c>
      <c r="O983" s="213" t="s">
        <v>8300</v>
      </c>
      <c r="P983" s="213" t="s">
        <v>8301</v>
      </c>
      <c r="Q983" s="213" t="s">
        <v>8302</v>
      </c>
      <c r="R983" s="213" t="s">
        <v>8303</v>
      </c>
      <c r="S983" s="213" t="s">
        <v>8304</v>
      </c>
      <c r="T983" s="213" t="s">
        <v>8305</v>
      </c>
      <c r="U983" s="213" t="s">
        <v>74408</v>
      </c>
    </row>
    <row r="984" spans="1:21" x14ac:dyDescent="0.25">
      <c r="A984" s="213" t="s">
        <v>327</v>
      </c>
      <c r="D984" s="213" t="s">
        <v>8306</v>
      </c>
      <c r="E984" s="213" t="s">
        <v>8307</v>
      </c>
      <c r="K984" s="213" t="s">
        <v>74106</v>
      </c>
      <c r="L984" s="213" t="s">
        <v>74207</v>
      </c>
      <c r="M984" s="213" t="s">
        <v>74308</v>
      </c>
      <c r="N984" s="213" t="s">
        <v>8308</v>
      </c>
      <c r="O984" s="213" t="s">
        <v>8309</v>
      </c>
      <c r="P984" s="213" t="s">
        <v>8310</v>
      </c>
      <c r="Q984" s="213" t="s">
        <v>8311</v>
      </c>
      <c r="R984" s="213" t="s">
        <v>8312</v>
      </c>
      <c r="S984" s="213" t="s">
        <v>8313</v>
      </c>
      <c r="T984" s="213" t="s">
        <v>8314</v>
      </c>
      <c r="U984" s="213" t="s">
        <v>74409</v>
      </c>
    </row>
    <row r="985" spans="1:21" x14ac:dyDescent="0.25">
      <c r="A985" s="213" t="s">
        <v>327</v>
      </c>
      <c r="D985" s="213" t="s">
        <v>8315</v>
      </c>
      <c r="E985" s="213" t="s">
        <v>8316</v>
      </c>
      <c r="K985" s="213" t="s">
        <v>74107</v>
      </c>
      <c r="L985" s="213" t="s">
        <v>74208</v>
      </c>
      <c r="M985" s="213" t="s">
        <v>74309</v>
      </c>
      <c r="N985" s="213" t="s">
        <v>8317</v>
      </c>
      <c r="O985" s="213" t="s">
        <v>8318</v>
      </c>
      <c r="P985" s="213" t="s">
        <v>8319</v>
      </c>
      <c r="Q985" s="213" t="s">
        <v>8320</v>
      </c>
      <c r="R985" s="213" t="s">
        <v>8321</v>
      </c>
      <c r="S985" s="213" t="s">
        <v>8322</v>
      </c>
      <c r="T985" s="213" t="s">
        <v>8323</v>
      </c>
      <c r="U985" s="213" t="s">
        <v>74410</v>
      </c>
    </row>
    <row r="986" spans="1:21" x14ac:dyDescent="0.25">
      <c r="A986" s="213" t="s">
        <v>327</v>
      </c>
      <c r="D986" s="213" t="s">
        <v>8324</v>
      </c>
      <c r="E986" s="213" t="s">
        <v>8325</v>
      </c>
      <c r="K986" s="213" t="s">
        <v>74108</v>
      </c>
      <c r="L986" s="213" t="s">
        <v>74209</v>
      </c>
      <c r="M986" s="213" t="s">
        <v>74310</v>
      </c>
      <c r="N986" s="213" t="s">
        <v>8326</v>
      </c>
      <c r="O986" s="213" t="s">
        <v>8327</v>
      </c>
      <c r="P986" s="213" t="s">
        <v>8328</v>
      </c>
      <c r="Q986" s="213" t="s">
        <v>8329</v>
      </c>
      <c r="R986" s="213" t="s">
        <v>8330</v>
      </c>
      <c r="S986" s="213" t="s">
        <v>8331</v>
      </c>
      <c r="T986" s="213" t="s">
        <v>8332</v>
      </c>
      <c r="U986" s="213" t="s">
        <v>74411</v>
      </c>
    </row>
    <row r="987" spans="1:21" x14ac:dyDescent="0.25">
      <c r="A987" s="213" t="s">
        <v>327</v>
      </c>
      <c r="D987" s="213" t="s">
        <v>8333</v>
      </c>
      <c r="E987" s="213" t="s">
        <v>8334</v>
      </c>
      <c r="K987" s="213" t="s">
        <v>74109</v>
      </c>
      <c r="L987" s="213" t="s">
        <v>74210</v>
      </c>
      <c r="M987" s="213" t="s">
        <v>74311</v>
      </c>
      <c r="N987" s="213" t="s">
        <v>8335</v>
      </c>
      <c r="O987" s="213" t="s">
        <v>8336</v>
      </c>
      <c r="P987" s="213" t="s">
        <v>8337</v>
      </c>
      <c r="Q987" s="213" t="s">
        <v>8338</v>
      </c>
      <c r="R987" s="213" t="s">
        <v>8339</v>
      </c>
      <c r="S987" s="213" t="s">
        <v>8340</v>
      </c>
      <c r="T987" s="213" t="s">
        <v>8341</v>
      </c>
      <c r="U987" s="213" t="s">
        <v>74412</v>
      </c>
    </row>
    <row r="988" spans="1:21" x14ac:dyDescent="0.25">
      <c r="A988" s="213" t="s">
        <v>327</v>
      </c>
      <c r="D988" s="213" t="s">
        <v>8342</v>
      </c>
      <c r="E988" s="213" t="s">
        <v>8343</v>
      </c>
      <c r="K988" s="213" t="s">
        <v>74110</v>
      </c>
      <c r="L988" s="213" t="s">
        <v>74211</v>
      </c>
      <c r="M988" s="213" t="s">
        <v>74312</v>
      </c>
      <c r="N988" s="213" t="s">
        <v>8344</v>
      </c>
      <c r="O988" s="213" t="s">
        <v>8345</v>
      </c>
      <c r="P988" s="213" t="s">
        <v>8346</v>
      </c>
      <c r="Q988" s="213" t="s">
        <v>8347</v>
      </c>
      <c r="R988" s="213" t="s">
        <v>8348</v>
      </c>
      <c r="S988" s="213" t="s">
        <v>8349</v>
      </c>
      <c r="T988" s="213" t="s">
        <v>8350</v>
      </c>
      <c r="U988" s="213" t="s">
        <v>74413</v>
      </c>
    </row>
    <row r="989" spans="1:21" x14ac:dyDescent="0.25">
      <c r="A989" s="213" t="s">
        <v>327</v>
      </c>
      <c r="D989" s="213" t="s">
        <v>8351</v>
      </c>
      <c r="E989" s="213" t="s">
        <v>8352</v>
      </c>
      <c r="K989" s="213" t="s">
        <v>74111</v>
      </c>
      <c r="L989" s="213" t="s">
        <v>74212</v>
      </c>
      <c r="M989" s="213" t="s">
        <v>74313</v>
      </c>
      <c r="N989" s="213" t="s">
        <v>8353</v>
      </c>
      <c r="O989" s="213" t="s">
        <v>8354</v>
      </c>
      <c r="P989" s="213" t="s">
        <v>8355</v>
      </c>
      <c r="Q989" s="213" t="s">
        <v>8356</v>
      </c>
      <c r="R989" s="213" t="s">
        <v>8357</v>
      </c>
      <c r="S989" s="213" t="s">
        <v>8358</v>
      </c>
      <c r="T989" s="213" t="s">
        <v>8359</v>
      </c>
      <c r="U989" s="213" t="s">
        <v>74414</v>
      </c>
    </row>
    <row r="990" spans="1:21" x14ac:dyDescent="0.25">
      <c r="A990" s="213" t="s">
        <v>327</v>
      </c>
      <c r="D990" s="213" t="s">
        <v>8360</v>
      </c>
      <c r="E990" s="213" t="s">
        <v>8361</v>
      </c>
      <c r="K990" s="213" t="s">
        <v>74112</v>
      </c>
      <c r="L990" s="213" t="s">
        <v>74213</v>
      </c>
      <c r="M990" s="213" t="s">
        <v>74314</v>
      </c>
      <c r="N990" s="213" t="s">
        <v>8362</v>
      </c>
      <c r="O990" s="213" t="s">
        <v>8363</v>
      </c>
      <c r="P990" s="213" t="s">
        <v>8364</v>
      </c>
      <c r="Q990" s="213" t="s">
        <v>8365</v>
      </c>
      <c r="R990" s="213" t="s">
        <v>8366</v>
      </c>
      <c r="S990" s="213" t="s">
        <v>8367</v>
      </c>
      <c r="T990" s="213" t="s">
        <v>8368</v>
      </c>
      <c r="U990" s="213" t="s">
        <v>74415</v>
      </c>
    </row>
    <row r="991" spans="1:21" x14ac:dyDescent="0.25">
      <c r="A991" s="213" t="s">
        <v>327</v>
      </c>
      <c r="D991" s="213" t="s">
        <v>8369</v>
      </c>
      <c r="E991" s="213" t="s">
        <v>8370</v>
      </c>
      <c r="K991" s="213" t="s">
        <v>74113</v>
      </c>
      <c r="L991" s="213" t="s">
        <v>74214</v>
      </c>
      <c r="M991" s="213" t="s">
        <v>74315</v>
      </c>
      <c r="N991" s="213" t="s">
        <v>8371</v>
      </c>
      <c r="O991" s="213" t="s">
        <v>8372</v>
      </c>
      <c r="P991" s="213" t="s">
        <v>8373</v>
      </c>
      <c r="Q991" s="213" t="s">
        <v>8374</v>
      </c>
      <c r="R991" s="213" t="s">
        <v>8375</v>
      </c>
      <c r="S991" s="213" t="s">
        <v>8376</v>
      </c>
      <c r="T991" s="213" t="s">
        <v>8377</v>
      </c>
      <c r="U991" s="213" t="s">
        <v>74416</v>
      </c>
    </row>
    <row r="992" spans="1:21" x14ac:dyDescent="0.25">
      <c r="A992" s="213" t="s">
        <v>327</v>
      </c>
      <c r="D992" s="213" t="s">
        <v>8378</v>
      </c>
      <c r="E992" s="213" t="s">
        <v>8379</v>
      </c>
      <c r="K992" s="213" t="s">
        <v>74114</v>
      </c>
      <c r="L992" s="213" t="s">
        <v>74215</v>
      </c>
      <c r="M992" s="213" t="s">
        <v>74316</v>
      </c>
      <c r="N992" s="213" t="s">
        <v>8380</v>
      </c>
      <c r="O992" s="213" t="s">
        <v>8381</v>
      </c>
      <c r="P992" s="213" t="s">
        <v>8382</v>
      </c>
      <c r="Q992" s="213" t="s">
        <v>8383</v>
      </c>
      <c r="R992" s="213" t="s">
        <v>8384</v>
      </c>
      <c r="S992" s="213" t="s">
        <v>8385</v>
      </c>
      <c r="T992" s="213" t="s">
        <v>8386</v>
      </c>
      <c r="U992" s="213" t="s">
        <v>74417</v>
      </c>
    </row>
    <row r="993" spans="1:21" x14ac:dyDescent="0.25">
      <c r="A993" s="213" t="s">
        <v>327</v>
      </c>
      <c r="D993" s="213" t="s">
        <v>8387</v>
      </c>
      <c r="E993" s="213" t="s">
        <v>8388</v>
      </c>
      <c r="K993" s="213" t="s">
        <v>74115</v>
      </c>
      <c r="L993" s="213" t="s">
        <v>74216</v>
      </c>
      <c r="M993" s="213" t="s">
        <v>74317</v>
      </c>
      <c r="N993" s="213" t="s">
        <v>8389</v>
      </c>
      <c r="O993" s="213" t="s">
        <v>8390</v>
      </c>
      <c r="P993" s="213" t="s">
        <v>8391</v>
      </c>
      <c r="Q993" s="213" t="s">
        <v>8392</v>
      </c>
      <c r="R993" s="213" t="s">
        <v>8393</v>
      </c>
      <c r="S993" s="213" t="s">
        <v>8394</v>
      </c>
      <c r="T993" s="213" t="s">
        <v>8395</v>
      </c>
      <c r="U993" s="213" t="s">
        <v>74418</v>
      </c>
    </row>
    <row r="994" spans="1:21" x14ac:dyDescent="0.25">
      <c r="A994" s="213" t="s">
        <v>327</v>
      </c>
      <c r="D994" s="213" t="s">
        <v>8396</v>
      </c>
      <c r="E994" s="213" t="s">
        <v>8397</v>
      </c>
      <c r="K994" s="213" t="s">
        <v>74116</v>
      </c>
      <c r="L994" s="213" t="s">
        <v>74217</v>
      </c>
      <c r="M994" s="213" t="s">
        <v>74318</v>
      </c>
      <c r="N994" s="213" t="s">
        <v>8398</v>
      </c>
      <c r="O994" s="213" t="s">
        <v>8399</v>
      </c>
      <c r="P994" s="213" t="s">
        <v>8400</v>
      </c>
      <c r="Q994" s="213" t="s">
        <v>8401</v>
      </c>
      <c r="R994" s="213" t="s">
        <v>8402</v>
      </c>
      <c r="S994" s="213" t="s">
        <v>8403</v>
      </c>
      <c r="T994" s="213" t="s">
        <v>8404</v>
      </c>
      <c r="U994" s="213" t="s">
        <v>74419</v>
      </c>
    </row>
    <row r="995" spans="1:21" x14ac:dyDescent="0.25">
      <c r="A995" s="213" t="s">
        <v>327</v>
      </c>
      <c r="D995" s="213" t="s">
        <v>8405</v>
      </c>
      <c r="E995" s="213" t="s">
        <v>8406</v>
      </c>
      <c r="K995" s="213" t="s">
        <v>74117</v>
      </c>
      <c r="L995" s="213" t="s">
        <v>74218</v>
      </c>
      <c r="M995" s="213" t="s">
        <v>74319</v>
      </c>
      <c r="N995" s="213" t="s">
        <v>8407</v>
      </c>
      <c r="O995" s="213" t="s">
        <v>8408</v>
      </c>
      <c r="P995" s="213" t="s">
        <v>8409</v>
      </c>
      <c r="Q995" s="213" t="s">
        <v>8410</v>
      </c>
      <c r="R995" s="213" t="s">
        <v>8411</v>
      </c>
      <c r="S995" s="213" t="s">
        <v>8412</v>
      </c>
      <c r="T995" s="213" t="s">
        <v>8413</v>
      </c>
      <c r="U995" s="213" t="s">
        <v>74420</v>
      </c>
    </row>
    <row r="996" spans="1:21" x14ac:dyDescent="0.25">
      <c r="A996" s="213" t="s">
        <v>327</v>
      </c>
      <c r="D996" s="213" t="s">
        <v>8414</v>
      </c>
      <c r="E996" s="213" t="s">
        <v>8415</v>
      </c>
      <c r="K996" s="213" t="s">
        <v>74118</v>
      </c>
      <c r="L996" s="213" t="s">
        <v>74219</v>
      </c>
      <c r="M996" s="213" t="s">
        <v>74320</v>
      </c>
      <c r="N996" s="213" t="s">
        <v>8416</v>
      </c>
      <c r="O996" s="213" t="s">
        <v>8417</v>
      </c>
      <c r="P996" s="213" t="s">
        <v>8418</v>
      </c>
      <c r="Q996" s="213" t="s">
        <v>8419</v>
      </c>
      <c r="R996" s="213" t="s">
        <v>8420</v>
      </c>
      <c r="S996" s="213" t="s">
        <v>8421</v>
      </c>
      <c r="T996" s="213" t="s">
        <v>8422</v>
      </c>
      <c r="U996" s="213" t="s">
        <v>74421</v>
      </c>
    </row>
    <row r="997" spans="1:21" x14ac:dyDescent="0.25">
      <c r="A997" s="213" t="s">
        <v>327</v>
      </c>
      <c r="D997" s="213" t="s">
        <v>8423</v>
      </c>
      <c r="E997" s="213" t="s">
        <v>8424</v>
      </c>
      <c r="K997" s="213" t="s">
        <v>74119</v>
      </c>
      <c r="L997" s="213" t="s">
        <v>74220</v>
      </c>
      <c r="M997" s="213" t="s">
        <v>74321</v>
      </c>
      <c r="N997" s="213" t="s">
        <v>8425</v>
      </c>
      <c r="O997" s="213" t="s">
        <v>8426</v>
      </c>
      <c r="P997" s="213" t="s">
        <v>8427</v>
      </c>
      <c r="Q997" s="213" t="s">
        <v>8428</v>
      </c>
      <c r="R997" s="213" t="s">
        <v>8429</v>
      </c>
      <c r="S997" s="213" t="s">
        <v>8430</v>
      </c>
      <c r="T997" s="213" t="s">
        <v>8431</v>
      </c>
      <c r="U997" s="213" t="s">
        <v>74422</v>
      </c>
    </row>
    <row r="998" spans="1:21" x14ac:dyDescent="0.25">
      <c r="A998" s="213" t="s">
        <v>327</v>
      </c>
      <c r="D998" s="213" t="s">
        <v>8432</v>
      </c>
      <c r="E998" s="213" t="s">
        <v>8433</v>
      </c>
      <c r="K998" s="213" t="s">
        <v>74120</v>
      </c>
      <c r="L998" s="213" t="s">
        <v>74221</v>
      </c>
      <c r="M998" s="213" t="s">
        <v>74322</v>
      </c>
      <c r="N998" s="213" t="s">
        <v>8434</v>
      </c>
      <c r="O998" s="213" t="s">
        <v>8435</v>
      </c>
      <c r="P998" s="213" t="s">
        <v>8436</v>
      </c>
      <c r="Q998" s="213" t="s">
        <v>8437</v>
      </c>
      <c r="R998" s="213" t="s">
        <v>8438</v>
      </c>
      <c r="S998" s="213" t="s">
        <v>8439</v>
      </c>
      <c r="T998" s="213" t="s">
        <v>8440</v>
      </c>
      <c r="U998" s="213" t="s">
        <v>74423</v>
      </c>
    </row>
    <row r="999" spans="1:21" x14ac:dyDescent="0.25">
      <c r="A999" s="213" t="s">
        <v>327</v>
      </c>
      <c r="D999" s="213" t="s">
        <v>8441</v>
      </c>
      <c r="E999" s="213" t="s">
        <v>8442</v>
      </c>
      <c r="K999" s="213" t="s">
        <v>74121</v>
      </c>
      <c r="L999" s="213" t="s">
        <v>74222</v>
      </c>
      <c r="M999" s="213" t="s">
        <v>74323</v>
      </c>
      <c r="N999" s="213" t="s">
        <v>8443</v>
      </c>
      <c r="O999" s="213" t="s">
        <v>8444</v>
      </c>
      <c r="P999" s="213" t="s">
        <v>8445</v>
      </c>
      <c r="Q999" s="213" t="s">
        <v>8446</v>
      </c>
      <c r="R999" s="213" t="s">
        <v>8447</v>
      </c>
      <c r="S999" s="213" t="s">
        <v>8448</v>
      </c>
      <c r="T999" s="213" t="s">
        <v>8449</v>
      </c>
      <c r="U999" s="213" t="s">
        <v>74424</v>
      </c>
    </row>
    <row r="1000" spans="1:21" x14ac:dyDescent="0.25">
      <c r="A1000" s="213" t="s">
        <v>327</v>
      </c>
      <c r="D1000" s="213" t="s">
        <v>8450</v>
      </c>
      <c r="E1000" s="213" t="s">
        <v>8451</v>
      </c>
      <c r="K1000" s="213" t="s">
        <v>74122</v>
      </c>
      <c r="L1000" s="213" t="s">
        <v>74223</v>
      </c>
      <c r="M1000" s="213" t="s">
        <v>74324</v>
      </c>
      <c r="N1000" s="213" t="s">
        <v>8452</v>
      </c>
      <c r="O1000" s="213" t="s">
        <v>8453</v>
      </c>
      <c r="P1000" s="213" t="s">
        <v>8454</v>
      </c>
      <c r="Q1000" s="213" t="s">
        <v>8455</v>
      </c>
      <c r="R1000" s="213" t="s">
        <v>8456</v>
      </c>
      <c r="S1000" s="213" t="s">
        <v>8457</v>
      </c>
      <c r="T1000" s="213" t="s">
        <v>8458</v>
      </c>
      <c r="U1000" s="213" t="s">
        <v>74425</v>
      </c>
    </row>
    <row r="1001" spans="1:21" x14ac:dyDescent="0.25">
      <c r="A1001" s="213" t="s">
        <v>327</v>
      </c>
      <c r="D1001" s="213" t="s">
        <v>8459</v>
      </c>
      <c r="E1001" s="213" t="s">
        <v>8460</v>
      </c>
      <c r="K1001" s="213" t="s">
        <v>74123</v>
      </c>
      <c r="L1001" s="213" t="s">
        <v>74224</v>
      </c>
      <c r="M1001" s="213" t="s">
        <v>74325</v>
      </c>
      <c r="N1001" s="213" t="s">
        <v>8461</v>
      </c>
      <c r="O1001" s="213" t="s">
        <v>8462</v>
      </c>
      <c r="P1001" s="213" t="s">
        <v>8463</v>
      </c>
      <c r="Q1001" s="213" t="s">
        <v>8464</v>
      </c>
      <c r="R1001" s="213" t="s">
        <v>8465</v>
      </c>
      <c r="S1001" s="213" t="s">
        <v>8466</v>
      </c>
      <c r="T1001" s="213" t="s">
        <v>8467</v>
      </c>
      <c r="U1001" s="213" t="s">
        <v>74426</v>
      </c>
    </row>
    <row r="1002" spans="1:21" x14ac:dyDescent="0.25">
      <c r="A1002" s="213" t="s">
        <v>327</v>
      </c>
      <c r="D1002" s="213" t="s">
        <v>8468</v>
      </c>
      <c r="E1002" s="213" t="s">
        <v>8469</v>
      </c>
      <c r="K1002" s="213" t="s">
        <v>74124</v>
      </c>
      <c r="L1002" s="213" t="s">
        <v>74225</v>
      </c>
      <c r="M1002" s="213" t="s">
        <v>74326</v>
      </c>
      <c r="N1002" s="213" t="s">
        <v>8470</v>
      </c>
      <c r="O1002" s="213" t="s">
        <v>8471</v>
      </c>
      <c r="P1002" s="213" t="s">
        <v>8472</v>
      </c>
      <c r="Q1002" s="213" t="s">
        <v>8473</v>
      </c>
      <c r="R1002" s="213" t="s">
        <v>8474</v>
      </c>
      <c r="S1002" s="213" t="s">
        <v>8475</v>
      </c>
      <c r="T1002" s="213" t="s">
        <v>8476</v>
      </c>
      <c r="U1002" s="213" t="s">
        <v>74427</v>
      </c>
    </row>
    <row r="1003" spans="1:21" x14ac:dyDescent="0.25">
      <c r="A1003" s="213" t="s">
        <v>327</v>
      </c>
      <c r="D1003" s="213" t="s">
        <v>8477</v>
      </c>
      <c r="E1003" s="213" t="s">
        <v>8478</v>
      </c>
      <c r="K1003" s="213" t="s">
        <v>74125</v>
      </c>
      <c r="L1003" s="213" t="s">
        <v>74226</v>
      </c>
      <c r="M1003" s="213" t="s">
        <v>74327</v>
      </c>
      <c r="N1003" s="213" t="s">
        <v>8479</v>
      </c>
      <c r="O1003" s="213" t="s">
        <v>8480</v>
      </c>
      <c r="P1003" s="213" t="s">
        <v>8481</v>
      </c>
      <c r="Q1003" s="213" t="s">
        <v>8482</v>
      </c>
      <c r="R1003" s="213" t="s">
        <v>8483</v>
      </c>
      <c r="S1003" s="213" t="s">
        <v>8484</v>
      </c>
      <c r="T1003" s="213" t="s">
        <v>8485</v>
      </c>
      <c r="U1003" s="213" t="s">
        <v>74428</v>
      </c>
    </row>
    <row r="1004" spans="1:21" x14ac:dyDescent="0.25">
      <c r="A1004" s="213" t="s">
        <v>327</v>
      </c>
      <c r="D1004" s="213" t="s">
        <v>8486</v>
      </c>
      <c r="E1004" s="213" t="s">
        <v>8487</v>
      </c>
      <c r="K1004" s="213" t="s">
        <v>74126</v>
      </c>
      <c r="L1004" s="213" t="s">
        <v>74227</v>
      </c>
      <c r="M1004" s="213" t="s">
        <v>74328</v>
      </c>
      <c r="N1004" s="213" t="s">
        <v>8488</v>
      </c>
      <c r="O1004" s="213" t="s">
        <v>8489</v>
      </c>
      <c r="P1004" s="213" t="s">
        <v>8490</v>
      </c>
      <c r="Q1004" s="213" t="s">
        <v>8491</v>
      </c>
      <c r="R1004" s="213" t="s">
        <v>8492</v>
      </c>
      <c r="S1004" s="213" t="s">
        <v>8493</v>
      </c>
      <c r="T1004" s="213" t="s">
        <v>8494</v>
      </c>
      <c r="U1004" s="213" t="s">
        <v>74429</v>
      </c>
    </row>
    <row r="1005" spans="1:21" x14ac:dyDescent="0.25">
      <c r="A1005" s="213" t="s">
        <v>327</v>
      </c>
      <c r="D1005" s="213" t="s">
        <v>8495</v>
      </c>
      <c r="E1005" s="213" t="s">
        <v>8496</v>
      </c>
      <c r="K1005" s="213" t="s">
        <v>74127</v>
      </c>
      <c r="L1005" s="213" t="s">
        <v>74228</v>
      </c>
      <c r="M1005" s="213" t="s">
        <v>74329</v>
      </c>
      <c r="N1005" s="213" t="s">
        <v>8497</v>
      </c>
      <c r="O1005" s="213" t="s">
        <v>8498</v>
      </c>
      <c r="P1005" s="213" t="s">
        <v>8499</v>
      </c>
      <c r="Q1005" s="213" t="s">
        <v>8500</v>
      </c>
      <c r="R1005" s="213" t="s">
        <v>8501</v>
      </c>
      <c r="S1005" s="213" t="s">
        <v>8502</v>
      </c>
      <c r="T1005" s="213" t="s">
        <v>8503</v>
      </c>
      <c r="U1005" s="213" t="s">
        <v>74430</v>
      </c>
    </row>
    <row r="1006" spans="1:21" x14ac:dyDescent="0.25">
      <c r="A1006" s="213" t="s">
        <v>327</v>
      </c>
      <c r="D1006" s="213" t="s">
        <v>8504</v>
      </c>
      <c r="E1006" s="213" t="s">
        <v>8505</v>
      </c>
      <c r="K1006" s="213" t="s">
        <v>74128</v>
      </c>
      <c r="L1006" s="213" t="s">
        <v>74229</v>
      </c>
      <c r="M1006" s="213" t="s">
        <v>74330</v>
      </c>
      <c r="N1006" s="213" t="s">
        <v>8506</v>
      </c>
      <c r="O1006" s="213" t="s">
        <v>8507</v>
      </c>
      <c r="P1006" s="213" t="s">
        <v>8508</v>
      </c>
      <c r="Q1006" s="213" t="s">
        <v>8509</v>
      </c>
      <c r="R1006" s="213" t="s">
        <v>8510</v>
      </c>
      <c r="S1006" s="213" t="s">
        <v>8511</v>
      </c>
      <c r="T1006" s="213" t="s">
        <v>8512</v>
      </c>
      <c r="U1006" s="213" t="s">
        <v>74431</v>
      </c>
    </row>
    <row r="1007" spans="1:21" x14ac:dyDescent="0.25">
      <c r="A1007" s="213" t="s">
        <v>327</v>
      </c>
      <c r="D1007" s="213" t="s">
        <v>8513</v>
      </c>
      <c r="E1007" s="213" t="s">
        <v>8514</v>
      </c>
      <c r="K1007" s="213" t="s">
        <v>74129</v>
      </c>
      <c r="L1007" s="213" t="s">
        <v>74230</v>
      </c>
      <c r="M1007" s="213" t="s">
        <v>74331</v>
      </c>
      <c r="N1007" s="213" t="s">
        <v>8515</v>
      </c>
      <c r="O1007" s="213" t="s">
        <v>8516</v>
      </c>
      <c r="P1007" s="213" t="s">
        <v>8517</v>
      </c>
      <c r="Q1007" s="213" t="s">
        <v>8518</v>
      </c>
      <c r="R1007" s="213" t="s">
        <v>8519</v>
      </c>
      <c r="S1007" s="213" t="s">
        <v>8520</v>
      </c>
      <c r="T1007" s="213" t="s">
        <v>8521</v>
      </c>
      <c r="U1007" s="213" t="s">
        <v>74432</v>
      </c>
    </row>
    <row r="1008" spans="1:21" x14ac:dyDescent="0.25">
      <c r="A1008" s="213" t="s">
        <v>327</v>
      </c>
      <c r="D1008" s="213" t="s">
        <v>8522</v>
      </c>
      <c r="E1008" s="213" t="s">
        <v>8523</v>
      </c>
      <c r="K1008" s="213" t="s">
        <v>74130</v>
      </c>
      <c r="L1008" s="213" t="s">
        <v>74231</v>
      </c>
      <c r="M1008" s="213" t="s">
        <v>74332</v>
      </c>
      <c r="N1008" s="213" t="s">
        <v>8524</v>
      </c>
      <c r="O1008" s="213" t="s">
        <v>8525</v>
      </c>
      <c r="P1008" s="213" t="s">
        <v>8526</v>
      </c>
      <c r="Q1008" s="213" t="s">
        <v>8527</v>
      </c>
      <c r="R1008" s="213" t="s">
        <v>8528</v>
      </c>
      <c r="S1008" s="213" t="s">
        <v>8529</v>
      </c>
      <c r="T1008" s="213" t="s">
        <v>8530</v>
      </c>
      <c r="U1008" s="213" t="s">
        <v>74433</v>
      </c>
    </row>
    <row r="1009" spans="1:21" x14ac:dyDescent="0.25">
      <c r="A1009" s="213" t="s">
        <v>327</v>
      </c>
      <c r="D1009" s="213" t="s">
        <v>8531</v>
      </c>
      <c r="E1009" s="213" t="s">
        <v>8532</v>
      </c>
      <c r="K1009" s="213" t="s">
        <v>74131</v>
      </c>
      <c r="L1009" s="213" t="s">
        <v>74232</v>
      </c>
      <c r="M1009" s="213" t="s">
        <v>74333</v>
      </c>
      <c r="N1009" s="213" t="s">
        <v>8533</v>
      </c>
      <c r="O1009" s="213" t="s">
        <v>8534</v>
      </c>
      <c r="P1009" s="213" t="s">
        <v>8535</v>
      </c>
      <c r="Q1009" s="213" t="s">
        <v>8536</v>
      </c>
      <c r="R1009" s="213" t="s">
        <v>8537</v>
      </c>
      <c r="S1009" s="213" t="s">
        <v>8538</v>
      </c>
      <c r="T1009" s="213" t="s">
        <v>8539</v>
      </c>
      <c r="U1009" s="213" t="s">
        <v>74434</v>
      </c>
    </row>
    <row r="1010" spans="1:21" x14ac:dyDescent="0.25">
      <c r="A1010" s="213" t="s">
        <v>327</v>
      </c>
      <c r="D1010" s="213" t="s">
        <v>8540</v>
      </c>
      <c r="E1010" s="213" t="s">
        <v>8541</v>
      </c>
      <c r="K1010" s="213" t="s">
        <v>74132</v>
      </c>
      <c r="L1010" s="213" t="s">
        <v>74233</v>
      </c>
      <c r="M1010" s="213" t="s">
        <v>74334</v>
      </c>
      <c r="N1010" s="213" t="s">
        <v>8542</v>
      </c>
      <c r="O1010" s="213" t="s">
        <v>8543</v>
      </c>
      <c r="P1010" s="213" t="s">
        <v>8544</v>
      </c>
      <c r="Q1010" s="213" t="s">
        <v>8545</v>
      </c>
      <c r="R1010" s="213" t="s">
        <v>8546</v>
      </c>
      <c r="S1010" s="213" t="s">
        <v>8547</v>
      </c>
      <c r="T1010" s="213" t="s">
        <v>8548</v>
      </c>
      <c r="U1010" s="213" t="s">
        <v>74435</v>
      </c>
    </row>
    <row r="1011" spans="1:21" x14ac:dyDescent="0.25">
      <c r="A1011" s="213" t="s">
        <v>327</v>
      </c>
      <c r="D1011" s="213" t="s">
        <v>8549</v>
      </c>
      <c r="E1011" s="213" t="s">
        <v>8550</v>
      </c>
      <c r="K1011" s="213" t="s">
        <v>74133</v>
      </c>
      <c r="L1011" s="213" t="s">
        <v>74234</v>
      </c>
      <c r="M1011" s="213" t="s">
        <v>74335</v>
      </c>
      <c r="N1011" s="213" t="s">
        <v>8551</v>
      </c>
      <c r="O1011" s="213" t="s">
        <v>8552</v>
      </c>
      <c r="P1011" s="213" t="s">
        <v>8553</v>
      </c>
      <c r="Q1011" s="213" t="s">
        <v>8554</v>
      </c>
      <c r="R1011" s="213" t="s">
        <v>8555</v>
      </c>
      <c r="S1011" s="213" t="s">
        <v>8556</v>
      </c>
      <c r="T1011" s="213" t="s">
        <v>8557</v>
      </c>
      <c r="U1011" s="213" t="s">
        <v>74436</v>
      </c>
    </row>
    <row r="1012" spans="1:21" x14ac:dyDescent="0.25">
      <c r="A1012" s="213" t="s">
        <v>327</v>
      </c>
      <c r="D1012" s="213" t="s">
        <v>8558</v>
      </c>
      <c r="E1012" s="213" t="s">
        <v>8559</v>
      </c>
      <c r="K1012" s="213" t="s">
        <v>74134</v>
      </c>
      <c r="L1012" s="213" t="s">
        <v>74235</v>
      </c>
      <c r="M1012" s="213" t="s">
        <v>74336</v>
      </c>
      <c r="N1012" s="213" t="s">
        <v>8560</v>
      </c>
      <c r="O1012" s="213" t="s">
        <v>8561</v>
      </c>
      <c r="P1012" s="213" t="s">
        <v>8562</v>
      </c>
      <c r="Q1012" s="213" t="s">
        <v>8563</v>
      </c>
      <c r="R1012" s="213" t="s">
        <v>8564</v>
      </c>
      <c r="S1012" s="213" t="s">
        <v>8565</v>
      </c>
      <c r="T1012" s="213" t="s">
        <v>8566</v>
      </c>
      <c r="U1012" s="213" t="s">
        <v>74437</v>
      </c>
    </row>
    <row r="1013" spans="1:21" x14ac:dyDescent="0.25">
      <c r="A1013" s="213" t="s">
        <v>327</v>
      </c>
      <c r="D1013" s="213" t="s">
        <v>8567</v>
      </c>
      <c r="E1013" s="213" t="s">
        <v>8568</v>
      </c>
      <c r="K1013" s="213" t="s">
        <v>74135</v>
      </c>
      <c r="L1013" s="213" t="s">
        <v>74236</v>
      </c>
      <c r="M1013" s="213" t="s">
        <v>74337</v>
      </c>
      <c r="N1013" s="213" t="s">
        <v>8569</v>
      </c>
      <c r="O1013" s="213" t="s">
        <v>8570</v>
      </c>
      <c r="P1013" s="213" t="s">
        <v>8571</v>
      </c>
      <c r="Q1013" s="213" t="s">
        <v>8572</v>
      </c>
      <c r="R1013" s="213" t="s">
        <v>8573</v>
      </c>
      <c r="S1013" s="213" t="s">
        <v>8574</v>
      </c>
      <c r="T1013" s="213" t="s">
        <v>8575</v>
      </c>
      <c r="U1013" s="213" t="s">
        <v>74438</v>
      </c>
    </row>
    <row r="1014" spans="1:21" x14ac:dyDescent="0.25">
      <c r="A1014" s="213" t="s">
        <v>327</v>
      </c>
      <c r="D1014" s="213" t="s">
        <v>8576</v>
      </c>
      <c r="E1014" s="213" t="s">
        <v>8577</v>
      </c>
      <c r="K1014" s="213" t="s">
        <v>74136</v>
      </c>
      <c r="L1014" s="213" t="s">
        <v>74237</v>
      </c>
      <c r="M1014" s="213" t="s">
        <v>74338</v>
      </c>
      <c r="N1014" s="213" t="s">
        <v>8578</v>
      </c>
      <c r="O1014" s="213" t="s">
        <v>8579</v>
      </c>
      <c r="P1014" s="213" t="s">
        <v>8580</v>
      </c>
      <c r="Q1014" s="213" t="s">
        <v>8581</v>
      </c>
      <c r="R1014" s="213" t="s">
        <v>8582</v>
      </c>
      <c r="S1014" s="213" t="s">
        <v>8583</v>
      </c>
      <c r="T1014" s="213" t="s">
        <v>8584</v>
      </c>
      <c r="U1014" s="213" t="s">
        <v>74439</v>
      </c>
    </row>
    <row r="1015" spans="1:21" x14ac:dyDescent="0.25">
      <c r="A1015" s="213" t="s">
        <v>327</v>
      </c>
      <c r="D1015" s="213" t="s">
        <v>8585</v>
      </c>
      <c r="E1015" s="213" t="s">
        <v>8586</v>
      </c>
      <c r="K1015" s="213" t="s">
        <v>74137</v>
      </c>
      <c r="L1015" s="213" t="s">
        <v>74238</v>
      </c>
      <c r="M1015" s="213" t="s">
        <v>74339</v>
      </c>
      <c r="N1015" s="213" t="s">
        <v>8587</v>
      </c>
      <c r="O1015" s="213" t="s">
        <v>8588</v>
      </c>
      <c r="P1015" s="213" t="s">
        <v>8589</v>
      </c>
      <c r="Q1015" s="213" t="s">
        <v>8590</v>
      </c>
      <c r="R1015" s="213" t="s">
        <v>8591</v>
      </c>
      <c r="S1015" s="213" t="s">
        <v>8592</v>
      </c>
      <c r="T1015" s="213" t="s">
        <v>8593</v>
      </c>
      <c r="U1015" s="213" t="s">
        <v>74440</v>
      </c>
    </row>
    <row r="1016" spans="1:21" x14ac:dyDescent="0.25">
      <c r="A1016" s="213" t="s">
        <v>327</v>
      </c>
      <c r="D1016" s="213" t="s">
        <v>8594</v>
      </c>
      <c r="E1016" s="213" t="s">
        <v>8595</v>
      </c>
      <c r="K1016" s="213" t="s">
        <v>74138</v>
      </c>
      <c r="L1016" s="213" t="s">
        <v>74239</v>
      </c>
      <c r="M1016" s="213" t="s">
        <v>74340</v>
      </c>
      <c r="N1016" s="213" t="s">
        <v>8596</v>
      </c>
      <c r="O1016" s="213" t="s">
        <v>8597</v>
      </c>
      <c r="P1016" s="213" t="s">
        <v>8598</v>
      </c>
      <c r="Q1016" s="213" t="s">
        <v>8599</v>
      </c>
      <c r="R1016" s="213" t="s">
        <v>8600</v>
      </c>
      <c r="S1016" s="213" t="s">
        <v>8601</v>
      </c>
      <c r="T1016" s="213" t="s">
        <v>8602</v>
      </c>
      <c r="U1016" s="213" t="s">
        <v>74441</v>
      </c>
    </row>
    <row r="1017" spans="1:21" x14ac:dyDescent="0.25">
      <c r="A1017" s="213" t="s">
        <v>327</v>
      </c>
      <c r="D1017" s="213" t="s">
        <v>8603</v>
      </c>
      <c r="E1017" s="213" t="s">
        <v>8604</v>
      </c>
      <c r="K1017" s="213" t="s">
        <v>74139</v>
      </c>
      <c r="L1017" s="213" t="s">
        <v>74240</v>
      </c>
      <c r="M1017" s="213" t="s">
        <v>74341</v>
      </c>
      <c r="N1017" s="213" t="s">
        <v>8605</v>
      </c>
      <c r="O1017" s="213" t="s">
        <v>8606</v>
      </c>
      <c r="P1017" s="213" t="s">
        <v>8607</v>
      </c>
      <c r="Q1017" s="213" t="s">
        <v>8608</v>
      </c>
      <c r="R1017" s="213" t="s">
        <v>8609</v>
      </c>
      <c r="S1017" s="213" t="s">
        <v>8610</v>
      </c>
      <c r="T1017" s="213" t="s">
        <v>8611</v>
      </c>
      <c r="U1017" s="213" t="s">
        <v>74442</v>
      </c>
    </row>
    <row r="1018" spans="1:21" x14ac:dyDescent="0.25">
      <c r="A1018" s="213" t="s">
        <v>327</v>
      </c>
      <c r="D1018" s="213" t="s">
        <v>8612</v>
      </c>
      <c r="E1018" s="213" t="s">
        <v>8613</v>
      </c>
      <c r="K1018" s="213" t="s">
        <v>74140</v>
      </c>
      <c r="L1018" s="213" t="s">
        <v>74241</v>
      </c>
      <c r="M1018" s="213" t="s">
        <v>74342</v>
      </c>
      <c r="N1018" s="213" t="s">
        <v>8614</v>
      </c>
      <c r="O1018" s="213" t="s">
        <v>8615</v>
      </c>
      <c r="P1018" s="213" t="s">
        <v>8616</v>
      </c>
      <c r="Q1018" s="213" t="s">
        <v>8617</v>
      </c>
      <c r="R1018" s="213" t="s">
        <v>8618</v>
      </c>
      <c r="S1018" s="213" t="s">
        <v>8619</v>
      </c>
      <c r="T1018" s="213" t="s">
        <v>8620</v>
      </c>
      <c r="U1018" s="213" t="s">
        <v>74443</v>
      </c>
    </row>
    <row r="1019" spans="1:21" x14ac:dyDescent="0.25">
      <c r="A1019" s="213" t="s">
        <v>327</v>
      </c>
      <c r="D1019" s="213" t="s">
        <v>8621</v>
      </c>
      <c r="E1019" s="213" t="s">
        <v>8622</v>
      </c>
      <c r="K1019" s="213" t="s">
        <v>74141</v>
      </c>
      <c r="L1019" s="213" t="s">
        <v>74242</v>
      </c>
      <c r="M1019" s="213" t="s">
        <v>74343</v>
      </c>
      <c r="N1019" s="213" t="s">
        <v>8623</v>
      </c>
      <c r="O1019" s="213" t="s">
        <v>8624</v>
      </c>
      <c r="P1019" s="213" t="s">
        <v>8625</v>
      </c>
      <c r="Q1019" s="213" t="s">
        <v>8626</v>
      </c>
      <c r="R1019" s="213" t="s">
        <v>8627</v>
      </c>
      <c r="S1019" s="213" t="s">
        <v>8628</v>
      </c>
      <c r="T1019" s="213" t="s">
        <v>8629</v>
      </c>
      <c r="U1019" s="213" t="s">
        <v>74444</v>
      </c>
    </row>
    <row r="1020" spans="1:21" x14ac:dyDescent="0.25">
      <c r="A1020" s="213" t="s">
        <v>327</v>
      </c>
      <c r="D1020" s="213" t="s">
        <v>8630</v>
      </c>
      <c r="E1020" s="213" t="s">
        <v>8631</v>
      </c>
      <c r="K1020" s="213" t="s">
        <v>74142</v>
      </c>
      <c r="L1020" s="213" t="s">
        <v>74243</v>
      </c>
      <c r="M1020" s="213" t="s">
        <v>74344</v>
      </c>
      <c r="N1020" s="213" t="s">
        <v>8632</v>
      </c>
      <c r="O1020" s="213" t="s">
        <v>8633</v>
      </c>
      <c r="P1020" s="213" t="s">
        <v>8634</v>
      </c>
      <c r="Q1020" s="213" t="s">
        <v>8635</v>
      </c>
      <c r="R1020" s="213" t="s">
        <v>8636</v>
      </c>
      <c r="S1020" s="213" t="s">
        <v>8637</v>
      </c>
      <c r="T1020" s="213" t="s">
        <v>8638</v>
      </c>
      <c r="U1020" s="213" t="s">
        <v>74445</v>
      </c>
    </row>
    <row r="1021" spans="1:21" x14ac:dyDescent="0.25">
      <c r="A1021" s="213" t="s">
        <v>327</v>
      </c>
      <c r="D1021" s="213" t="s">
        <v>8639</v>
      </c>
      <c r="E1021" s="213" t="s">
        <v>8640</v>
      </c>
      <c r="K1021" s="213" t="s">
        <v>74143</v>
      </c>
      <c r="L1021" s="213" t="s">
        <v>74244</v>
      </c>
      <c r="M1021" s="213" t="s">
        <v>74345</v>
      </c>
      <c r="N1021" s="213" t="s">
        <v>8641</v>
      </c>
      <c r="O1021" s="213" t="s">
        <v>8642</v>
      </c>
      <c r="P1021" s="213" t="s">
        <v>8643</v>
      </c>
      <c r="Q1021" s="213" t="s">
        <v>8644</v>
      </c>
      <c r="R1021" s="213" t="s">
        <v>8645</v>
      </c>
      <c r="S1021" s="213" t="s">
        <v>8646</v>
      </c>
      <c r="T1021" s="213" t="s">
        <v>8647</v>
      </c>
      <c r="U1021" s="213" t="s">
        <v>74446</v>
      </c>
    </row>
    <row r="1022" spans="1:21" x14ac:dyDescent="0.25">
      <c r="A1022" s="213" t="s">
        <v>327</v>
      </c>
      <c r="D1022" s="213" t="s">
        <v>8648</v>
      </c>
      <c r="E1022" s="213" t="s">
        <v>8649</v>
      </c>
      <c r="K1022" s="213" t="s">
        <v>74144</v>
      </c>
      <c r="L1022" s="213" t="s">
        <v>74245</v>
      </c>
      <c r="M1022" s="213" t="s">
        <v>74346</v>
      </c>
      <c r="N1022" s="213" t="s">
        <v>8650</v>
      </c>
      <c r="O1022" s="213" t="s">
        <v>8651</v>
      </c>
      <c r="P1022" s="213" t="s">
        <v>8652</v>
      </c>
      <c r="Q1022" s="213" t="s">
        <v>8653</v>
      </c>
      <c r="R1022" s="213" t="s">
        <v>8654</v>
      </c>
      <c r="S1022" s="213" t="s">
        <v>8655</v>
      </c>
      <c r="T1022" s="213" t="s">
        <v>8656</v>
      </c>
      <c r="U1022" s="213" t="s">
        <v>74447</v>
      </c>
    </row>
    <row r="1023" spans="1:21" x14ac:dyDescent="0.25">
      <c r="A1023" s="213" t="s">
        <v>327</v>
      </c>
      <c r="D1023" s="213" t="s">
        <v>8657</v>
      </c>
      <c r="E1023" s="213" t="s">
        <v>8658</v>
      </c>
      <c r="K1023" s="213" t="s">
        <v>74145</v>
      </c>
      <c r="L1023" s="213" t="s">
        <v>74246</v>
      </c>
      <c r="M1023" s="213" t="s">
        <v>74347</v>
      </c>
      <c r="N1023" s="213" t="s">
        <v>8659</v>
      </c>
      <c r="O1023" s="213" t="s">
        <v>8660</v>
      </c>
      <c r="P1023" s="213" t="s">
        <v>8661</v>
      </c>
      <c r="Q1023" s="213" t="s">
        <v>8662</v>
      </c>
      <c r="R1023" s="213" t="s">
        <v>8663</v>
      </c>
      <c r="S1023" s="213" t="s">
        <v>8664</v>
      </c>
      <c r="T1023" s="213" t="s">
        <v>8665</v>
      </c>
      <c r="U1023" s="213" t="s">
        <v>74448</v>
      </c>
    </row>
    <row r="1024" spans="1:21" x14ac:dyDescent="0.25">
      <c r="A1024" s="213" t="s">
        <v>327</v>
      </c>
      <c r="D1024" s="213" t="s">
        <v>8666</v>
      </c>
      <c r="E1024" s="213" t="s">
        <v>8667</v>
      </c>
      <c r="K1024" s="213" t="s">
        <v>74146</v>
      </c>
      <c r="L1024" s="213" t="s">
        <v>74247</v>
      </c>
      <c r="M1024" s="213" t="s">
        <v>74348</v>
      </c>
      <c r="N1024" s="213" t="s">
        <v>8668</v>
      </c>
      <c r="O1024" s="213" t="s">
        <v>8669</v>
      </c>
      <c r="P1024" s="213" t="s">
        <v>8670</v>
      </c>
      <c r="Q1024" s="213" t="s">
        <v>8671</v>
      </c>
      <c r="R1024" s="213" t="s">
        <v>8672</v>
      </c>
      <c r="S1024" s="213" t="s">
        <v>8673</v>
      </c>
      <c r="T1024" s="213" t="s">
        <v>8674</v>
      </c>
      <c r="U1024" s="213" t="s">
        <v>74449</v>
      </c>
    </row>
    <row r="1025" spans="1:21" x14ac:dyDescent="0.25">
      <c r="A1025" s="213" t="s">
        <v>327</v>
      </c>
    </row>
    <row r="1026" spans="1:21" x14ac:dyDescent="0.25">
      <c r="A1026" s="213" t="s">
        <v>327</v>
      </c>
    </row>
    <row r="1027" spans="1:21" x14ac:dyDescent="0.25">
      <c r="A1027" s="213" t="s">
        <v>327</v>
      </c>
      <c r="C1027" s="213" t="s">
        <v>8675</v>
      </c>
      <c r="E1027" s="213" t="s">
        <v>8676</v>
      </c>
      <c r="H1027" s="213" t="s">
        <v>8677</v>
      </c>
      <c r="I1027" s="213" t="s">
        <v>8678</v>
      </c>
      <c r="J1027" s="213" t="s">
        <v>8679</v>
      </c>
      <c r="L1027" s="213" t="s">
        <v>8680</v>
      </c>
      <c r="O1027" s="213" t="s">
        <v>8681</v>
      </c>
      <c r="P1027" s="213" t="s">
        <v>8682</v>
      </c>
      <c r="Q1027" s="213" t="s">
        <v>8683</v>
      </c>
      <c r="R1027" s="213" t="s">
        <v>8684</v>
      </c>
      <c r="S1027" s="213" t="s">
        <v>8685</v>
      </c>
      <c r="T1027" s="213" t="s">
        <v>8686</v>
      </c>
    </row>
    <row r="1028" spans="1:21" x14ac:dyDescent="0.25">
      <c r="A1028" s="213" t="s">
        <v>327</v>
      </c>
      <c r="C1028" s="213" t="s">
        <v>8687</v>
      </c>
      <c r="E1028" s="213" t="s">
        <v>8688</v>
      </c>
      <c r="I1028" s="213" t="s">
        <v>8689</v>
      </c>
    </row>
    <row r="1029" spans="1:21" x14ac:dyDescent="0.25">
      <c r="A1029" s="213" t="s">
        <v>327</v>
      </c>
      <c r="C1029" s="213" t="s">
        <v>8690</v>
      </c>
      <c r="E1029" s="213" t="s">
        <v>8691</v>
      </c>
      <c r="I1029" s="213" t="s">
        <v>8692</v>
      </c>
    </row>
    <row r="1030" spans="1:21" x14ac:dyDescent="0.25">
      <c r="A1030" s="213" t="s">
        <v>328</v>
      </c>
    </row>
    <row r="1031" spans="1:21" x14ac:dyDescent="0.25">
      <c r="A1031" s="213" t="s">
        <v>327</v>
      </c>
      <c r="D1031" s="213" t="s">
        <v>8693</v>
      </c>
      <c r="E1031" s="213" t="s">
        <v>8694</v>
      </c>
      <c r="K1031" s="213" t="s">
        <v>73978</v>
      </c>
      <c r="L1031" s="213" t="s">
        <v>73995</v>
      </c>
      <c r="M1031" s="213" t="s">
        <v>74012</v>
      </c>
      <c r="N1031" s="213" t="s">
        <v>8695</v>
      </c>
      <c r="O1031" s="213" t="s">
        <v>8696</v>
      </c>
      <c r="P1031" s="213" t="s">
        <v>8697</v>
      </c>
      <c r="Q1031" s="213" t="s">
        <v>8698</v>
      </c>
      <c r="R1031" s="213" t="s">
        <v>8699</v>
      </c>
      <c r="S1031" s="213" t="s">
        <v>8700</v>
      </c>
      <c r="T1031" s="213" t="s">
        <v>8701</v>
      </c>
      <c r="U1031" s="213" t="s">
        <v>74029</v>
      </c>
    </row>
    <row r="1032" spans="1:21" x14ac:dyDescent="0.25">
      <c r="A1032" s="213" t="s">
        <v>327</v>
      </c>
      <c r="D1032" s="213" t="s">
        <v>8702</v>
      </c>
      <c r="E1032" s="213" t="s">
        <v>8703</v>
      </c>
      <c r="K1032" s="213" t="s">
        <v>73979</v>
      </c>
      <c r="L1032" s="213" t="s">
        <v>73996</v>
      </c>
      <c r="M1032" s="213" t="s">
        <v>74013</v>
      </c>
      <c r="N1032" s="213" t="s">
        <v>8704</v>
      </c>
      <c r="O1032" s="213" t="s">
        <v>8705</v>
      </c>
      <c r="P1032" s="213" t="s">
        <v>8706</v>
      </c>
      <c r="Q1032" s="213" t="s">
        <v>8707</v>
      </c>
      <c r="R1032" s="213" t="s">
        <v>8708</v>
      </c>
      <c r="S1032" s="213" t="s">
        <v>8709</v>
      </c>
      <c r="T1032" s="213" t="s">
        <v>8710</v>
      </c>
      <c r="U1032" s="213" t="s">
        <v>74030</v>
      </c>
    </row>
    <row r="1033" spans="1:21" x14ac:dyDescent="0.25">
      <c r="A1033" s="213" t="s">
        <v>327</v>
      </c>
      <c r="D1033" s="213" t="s">
        <v>8711</v>
      </c>
      <c r="E1033" s="213" t="s">
        <v>8712</v>
      </c>
      <c r="K1033" s="213" t="s">
        <v>73980</v>
      </c>
      <c r="L1033" s="213" t="s">
        <v>73997</v>
      </c>
      <c r="M1033" s="213" t="s">
        <v>74014</v>
      </c>
      <c r="N1033" s="213" t="s">
        <v>8713</v>
      </c>
      <c r="O1033" s="213" t="s">
        <v>8714</v>
      </c>
      <c r="P1033" s="213" t="s">
        <v>8715</v>
      </c>
      <c r="Q1033" s="213" t="s">
        <v>8716</v>
      </c>
      <c r="R1033" s="213" t="s">
        <v>8717</v>
      </c>
      <c r="S1033" s="213" t="s">
        <v>8718</v>
      </c>
      <c r="T1033" s="213" t="s">
        <v>8719</v>
      </c>
      <c r="U1033" s="213" t="s">
        <v>74031</v>
      </c>
    </row>
    <row r="1034" spans="1:21" x14ac:dyDescent="0.25">
      <c r="A1034" s="213" t="s">
        <v>327</v>
      </c>
      <c r="D1034" s="213" t="s">
        <v>8720</v>
      </c>
      <c r="E1034" s="213" t="s">
        <v>8721</v>
      </c>
      <c r="K1034" s="213" t="s">
        <v>73981</v>
      </c>
      <c r="L1034" s="213" t="s">
        <v>73998</v>
      </c>
      <c r="M1034" s="213" t="s">
        <v>74015</v>
      </c>
      <c r="N1034" s="213" t="s">
        <v>8722</v>
      </c>
      <c r="O1034" s="213" t="s">
        <v>8723</v>
      </c>
      <c r="P1034" s="213" t="s">
        <v>8724</v>
      </c>
      <c r="Q1034" s="213" t="s">
        <v>8725</v>
      </c>
      <c r="R1034" s="213" t="s">
        <v>8726</v>
      </c>
      <c r="S1034" s="213" t="s">
        <v>8727</v>
      </c>
      <c r="T1034" s="213" t="s">
        <v>8728</v>
      </c>
      <c r="U1034" s="213" t="s">
        <v>74032</v>
      </c>
    </row>
    <row r="1035" spans="1:21" x14ac:dyDescent="0.25">
      <c r="A1035" s="213" t="s">
        <v>327</v>
      </c>
      <c r="D1035" s="213" t="s">
        <v>8729</v>
      </c>
      <c r="E1035" s="213" t="s">
        <v>8730</v>
      </c>
      <c r="K1035" s="213" t="s">
        <v>73982</v>
      </c>
      <c r="L1035" s="213" t="s">
        <v>73999</v>
      </c>
      <c r="M1035" s="213" t="s">
        <v>74016</v>
      </c>
      <c r="N1035" s="213" t="s">
        <v>8731</v>
      </c>
      <c r="O1035" s="213" t="s">
        <v>8732</v>
      </c>
      <c r="P1035" s="213" t="s">
        <v>8733</v>
      </c>
      <c r="Q1035" s="213" t="s">
        <v>8734</v>
      </c>
      <c r="R1035" s="213" t="s">
        <v>8735</v>
      </c>
      <c r="S1035" s="213" t="s">
        <v>8736</v>
      </c>
      <c r="T1035" s="213" t="s">
        <v>8737</v>
      </c>
      <c r="U1035" s="213" t="s">
        <v>74033</v>
      </c>
    </row>
    <row r="1036" spans="1:21" x14ac:dyDescent="0.25">
      <c r="A1036" s="213" t="s">
        <v>327</v>
      </c>
      <c r="D1036" s="213" t="s">
        <v>8738</v>
      </c>
      <c r="E1036" s="213" t="s">
        <v>8739</v>
      </c>
      <c r="K1036" s="213" t="s">
        <v>73983</v>
      </c>
      <c r="L1036" s="213" t="s">
        <v>74000</v>
      </c>
      <c r="M1036" s="213" t="s">
        <v>74017</v>
      </c>
      <c r="N1036" s="213" t="s">
        <v>8740</v>
      </c>
      <c r="O1036" s="213" t="s">
        <v>8741</v>
      </c>
      <c r="P1036" s="213" t="s">
        <v>8742</v>
      </c>
      <c r="Q1036" s="213" t="s">
        <v>8743</v>
      </c>
      <c r="R1036" s="213" t="s">
        <v>8744</v>
      </c>
      <c r="S1036" s="213" t="s">
        <v>8745</v>
      </c>
      <c r="T1036" s="213" t="s">
        <v>8746</v>
      </c>
      <c r="U1036" s="213" t="s">
        <v>74034</v>
      </c>
    </row>
    <row r="1037" spans="1:21" x14ac:dyDescent="0.25">
      <c r="A1037" s="213" t="s">
        <v>327</v>
      </c>
      <c r="D1037" s="213" t="s">
        <v>8747</v>
      </c>
      <c r="E1037" s="213" t="s">
        <v>8748</v>
      </c>
      <c r="K1037" s="213" t="s">
        <v>73984</v>
      </c>
      <c r="L1037" s="213" t="s">
        <v>74001</v>
      </c>
      <c r="M1037" s="213" t="s">
        <v>74018</v>
      </c>
      <c r="N1037" s="213" t="s">
        <v>8749</v>
      </c>
      <c r="O1037" s="213" t="s">
        <v>8750</v>
      </c>
      <c r="P1037" s="213" t="s">
        <v>8751</v>
      </c>
      <c r="Q1037" s="213" t="s">
        <v>8752</v>
      </c>
      <c r="R1037" s="213" t="s">
        <v>8753</v>
      </c>
      <c r="S1037" s="213" t="s">
        <v>8754</v>
      </c>
      <c r="T1037" s="213" t="s">
        <v>8755</v>
      </c>
      <c r="U1037" s="213" t="s">
        <v>74035</v>
      </c>
    </row>
    <row r="1038" spans="1:21" x14ac:dyDescent="0.25">
      <c r="A1038" s="213" t="s">
        <v>327</v>
      </c>
      <c r="D1038" s="213" t="s">
        <v>8756</v>
      </c>
      <c r="E1038" s="213" t="s">
        <v>8757</v>
      </c>
      <c r="K1038" s="213" t="s">
        <v>73985</v>
      </c>
      <c r="L1038" s="213" t="s">
        <v>74002</v>
      </c>
      <c r="M1038" s="213" t="s">
        <v>74019</v>
      </c>
      <c r="N1038" s="213" t="s">
        <v>8758</v>
      </c>
      <c r="O1038" s="213" t="s">
        <v>8759</v>
      </c>
      <c r="P1038" s="213" t="s">
        <v>8760</v>
      </c>
      <c r="Q1038" s="213" t="s">
        <v>8761</v>
      </c>
      <c r="R1038" s="213" t="s">
        <v>8762</v>
      </c>
      <c r="S1038" s="213" t="s">
        <v>8763</v>
      </c>
      <c r="T1038" s="213" t="s">
        <v>8764</v>
      </c>
      <c r="U1038" s="213" t="s">
        <v>74036</v>
      </c>
    </row>
    <row r="1039" spans="1:21" x14ac:dyDescent="0.25">
      <c r="A1039" s="213" t="s">
        <v>327</v>
      </c>
      <c r="D1039" s="213" t="s">
        <v>8765</v>
      </c>
      <c r="E1039" s="213" t="s">
        <v>8766</v>
      </c>
      <c r="K1039" s="213" t="s">
        <v>73986</v>
      </c>
      <c r="L1039" s="213" t="s">
        <v>74003</v>
      </c>
      <c r="M1039" s="213" t="s">
        <v>74020</v>
      </c>
      <c r="N1039" s="213" t="s">
        <v>8767</v>
      </c>
      <c r="O1039" s="213" t="s">
        <v>8768</v>
      </c>
      <c r="P1039" s="213" t="s">
        <v>8769</v>
      </c>
      <c r="Q1039" s="213" t="s">
        <v>8770</v>
      </c>
      <c r="R1039" s="213" t="s">
        <v>8771</v>
      </c>
      <c r="S1039" s="213" t="s">
        <v>8772</v>
      </c>
      <c r="T1039" s="213" t="s">
        <v>8773</v>
      </c>
      <c r="U1039" s="213" t="s">
        <v>74037</v>
      </c>
    </row>
    <row r="1040" spans="1:21" x14ac:dyDescent="0.25">
      <c r="A1040" s="213" t="s">
        <v>327</v>
      </c>
      <c r="D1040" s="213" t="s">
        <v>8774</v>
      </c>
      <c r="E1040" s="213" t="s">
        <v>8775</v>
      </c>
      <c r="K1040" s="213" t="s">
        <v>73987</v>
      </c>
      <c r="L1040" s="213" t="s">
        <v>74004</v>
      </c>
      <c r="M1040" s="213" t="s">
        <v>74021</v>
      </c>
      <c r="N1040" s="213" t="s">
        <v>8776</v>
      </c>
      <c r="O1040" s="213" t="s">
        <v>8777</v>
      </c>
      <c r="P1040" s="213" t="s">
        <v>8778</v>
      </c>
      <c r="Q1040" s="213" t="s">
        <v>8779</v>
      </c>
      <c r="R1040" s="213" t="s">
        <v>8780</v>
      </c>
      <c r="S1040" s="213" t="s">
        <v>8781</v>
      </c>
      <c r="T1040" s="213" t="s">
        <v>8782</v>
      </c>
      <c r="U1040" s="213" t="s">
        <v>74038</v>
      </c>
    </row>
    <row r="1041" spans="1:21" x14ac:dyDescent="0.25">
      <c r="A1041" s="213" t="s">
        <v>327</v>
      </c>
      <c r="D1041" s="213" t="s">
        <v>8783</v>
      </c>
      <c r="E1041" s="213" t="s">
        <v>8784</v>
      </c>
      <c r="K1041" s="213" t="s">
        <v>73988</v>
      </c>
      <c r="L1041" s="213" t="s">
        <v>74005</v>
      </c>
      <c r="M1041" s="213" t="s">
        <v>74022</v>
      </c>
      <c r="N1041" s="213" t="s">
        <v>8785</v>
      </c>
      <c r="O1041" s="213" t="s">
        <v>8786</v>
      </c>
      <c r="P1041" s="213" t="s">
        <v>8787</v>
      </c>
      <c r="Q1041" s="213" t="s">
        <v>8788</v>
      </c>
      <c r="R1041" s="213" t="s">
        <v>8789</v>
      </c>
      <c r="S1041" s="213" t="s">
        <v>8790</v>
      </c>
      <c r="T1041" s="213" t="s">
        <v>8791</v>
      </c>
      <c r="U1041" s="213" t="s">
        <v>74039</v>
      </c>
    </row>
    <row r="1042" spans="1:21" x14ac:dyDescent="0.25">
      <c r="A1042" s="213" t="s">
        <v>327</v>
      </c>
      <c r="D1042" s="213" t="s">
        <v>8792</v>
      </c>
      <c r="E1042" s="213" t="s">
        <v>8793</v>
      </c>
      <c r="K1042" s="213" t="s">
        <v>73989</v>
      </c>
      <c r="L1042" s="213" t="s">
        <v>74006</v>
      </c>
      <c r="M1042" s="213" t="s">
        <v>74023</v>
      </c>
      <c r="N1042" s="213" t="s">
        <v>8794</v>
      </c>
      <c r="O1042" s="213" t="s">
        <v>8795</v>
      </c>
      <c r="P1042" s="213" t="s">
        <v>8796</v>
      </c>
      <c r="Q1042" s="213" t="s">
        <v>8797</v>
      </c>
      <c r="R1042" s="213" t="s">
        <v>8798</v>
      </c>
      <c r="S1042" s="213" t="s">
        <v>8799</v>
      </c>
      <c r="T1042" s="213" t="s">
        <v>8800</v>
      </c>
      <c r="U1042" s="213" t="s">
        <v>74040</v>
      </c>
    </row>
    <row r="1043" spans="1:21" x14ac:dyDescent="0.25">
      <c r="A1043" s="213" t="s">
        <v>327</v>
      </c>
      <c r="D1043" s="213" t="s">
        <v>8801</v>
      </c>
      <c r="E1043" s="213" t="s">
        <v>8802</v>
      </c>
      <c r="K1043" s="213" t="s">
        <v>73990</v>
      </c>
      <c r="L1043" s="213" t="s">
        <v>74007</v>
      </c>
      <c r="M1043" s="213" t="s">
        <v>74024</v>
      </c>
      <c r="N1043" s="213" t="s">
        <v>8803</v>
      </c>
      <c r="O1043" s="213" t="s">
        <v>8804</v>
      </c>
      <c r="P1043" s="213" t="s">
        <v>8805</v>
      </c>
      <c r="Q1043" s="213" t="s">
        <v>8806</v>
      </c>
      <c r="R1043" s="213" t="s">
        <v>8807</v>
      </c>
      <c r="S1043" s="213" t="s">
        <v>8808</v>
      </c>
      <c r="T1043" s="213" t="s">
        <v>8809</v>
      </c>
      <c r="U1043" s="213" t="s">
        <v>74041</v>
      </c>
    </row>
    <row r="1044" spans="1:21" x14ac:dyDescent="0.25">
      <c r="A1044" s="213" t="s">
        <v>327</v>
      </c>
      <c r="D1044" s="213" t="s">
        <v>8810</v>
      </c>
      <c r="E1044" s="213" t="s">
        <v>8811</v>
      </c>
      <c r="K1044" s="213" t="s">
        <v>73991</v>
      </c>
      <c r="L1044" s="213" t="s">
        <v>74008</v>
      </c>
      <c r="M1044" s="213" t="s">
        <v>74025</v>
      </c>
      <c r="N1044" s="213" t="s">
        <v>8812</v>
      </c>
      <c r="O1044" s="213" t="s">
        <v>8813</v>
      </c>
      <c r="P1044" s="213" t="s">
        <v>8814</v>
      </c>
      <c r="Q1044" s="213" t="s">
        <v>8815</v>
      </c>
      <c r="R1044" s="213" t="s">
        <v>8816</v>
      </c>
      <c r="S1044" s="213" t="s">
        <v>8817</v>
      </c>
      <c r="T1044" s="213" t="s">
        <v>8818</v>
      </c>
      <c r="U1044" s="213" t="s">
        <v>74042</v>
      </c>
    </row>
    <row r="1045" spans="1:21" x14ac:dyDescent="0.25">
      <c r="A1045" s="213" t="s">
        <v>327</v>
      </c>
      <c r="D1045" s="213" t="s">
        <v>8819</v>
      </c>
      <c r="E1045" s="213" t="s">
        <v>8820</v>
      </c>
      <c r="K1045" s="213" t="s">
        <v>73992</v>
      </c>
      <c r="L1045" s="213" t="s">
        <v>74009</v>
      </c>
      <c r="M1045" s="213" t="s">
        <v>74026</v>
      </c>
      <c r="N1045" s="213" t="s">
        <v>8821</v>
      </c>
      <c r="O1045" s="213" t="s">
        <v>8822</v>
      </c>
      <c r="P1045" s="213" t="s">
        <v>8823</v>
      </c>
      <c r="Q1045" s="213" t="s">
        <v>8824</v>
      </c>
      <c r="R1045" s="213" t="s">
        <v>8825</v>
      </c>
      <c r="S1045" s="213" t="s">
        <v>8826</v>
      </c>
      <c r="T1045" s="213" t="s">
        <v>8827</v>
      </c>
      <c r="U1045" s="213" t="s">
        <v>74043</v>
      </c>
    </row>
    <row r="1046" spans="1:21" x14ac:dyDescent="0.25">
      <c r="A1046" s="213" t="s">
        <v>327</v>
      </c>
      <c r="D1046" s="213" t="s">
        <v>8828</v>
      </c>
      <c r="E1046" s="213" t="s">
        <v>8829</v>
      </c>
      <c r="K1046" s="213" t="s">
        <v>73993</v>
      </c>
      <c r="L1046" s="213" t="s">
        <v>74010</v>
      </c>
      <c r="M1046" s="213" t="s">
        <v>74027</v>
      </c>
      <c r="N1046" s="213" t="s">
        <v>8830</v>
      </c>
      <c r="O1046" s="213" t="s">
        <v>8831</v>
      </c>
      <c r="P1046" s="213" t="s">
        <v>8832</v>
      </c>
      <c r="Q1046" s="213" t="s">
        <v>8833</v>
      </c>
      <c r="R1046" s="213" t="s">
        <v>8834</v>
      </c>
      <c r="S1046" s="213" t="s">
        <v>8835</v>
      </c>
      <c r="T1046" s="213" t="s">
        <v>8836</v>
      </c>
      <c r="U1046" s="213" t="s">
        <v>74044</v>
      </c>
    </row>
    <row r="1047" spans="1:21" x14ac:dyDescent="0.25">
      <c r="A1047" s="213" t="s">
        <v>327</v>
      </c>
      <c r="D1047" s="213" t="s">
        <v>8837</v>
      </c>
      <c r="E1047" s="213" t="s">
        <v>8838</v>
      </c>
      <c r="K1047" s="213" t="s">
        <v>73994</v>
      </c>
      <c r="L1047" s="213" t="s">
        <v>74011</v>
      </c>
      <c r="M1047" s="213" t="s">
        <v>74028</v>
      </c>
      <c r="N1047" s="213" t="s">
        <v>8839</v>
      </c>
      <c r="O1047" s="213" t="s">
        <v>8840</v>
      </c>
      <c r="P1047" s="213" t="s">
        <v>8841</v>
      </c>
      <c r="Q1047" s="213" t="s">
        <v>8842</v>
      </c>
      <c r="R1047" s="213" t="s">
        <v>8843</v>
      </c>
      <c r="S1047" s="213" t="s">
        <v>8844</v>
      </c>
      <c r="T1047" s="213" t="s">
        <v>8845</v>
      </c>
      <c r="U1047" s="213" t="s">
        <v>74045</v>
      </c>
    </row>
    <row r="1048" spans="1:21" x14ac:dyDescent="0.25">
      <c r="A1048" s="213" t="s">
        <v>327</v>
      </c>
    </row>
    <row r="1049" spans="1:21" x14ac:dyDescent="0.25">
      <c r="A1049" s="213" t="s">
        <v>327</v>
      </c>
    </row>
    <row r="1050" spans="1:21" x14ac:dyDescent="0.25">
      <c r="A1050" s="213" t="s">
        <v>327</v>
      </c>
      <c r="C1050" s="213" t="s">
        <v>8846</v>
      </c>
      <c r="E1050" s="213" t="s">
        <v>8847</v>
      </c>
      <c r="H1050" s="213" t="s">
        <v>8848</v>
      </c>
      <c r="I1050" s="213" t="s">
        <v>8849</v>
      </c>
      <c r="J1050" s="213" t="s">
        <v>8850</v>
      </c>
      <c r="L1050" s="213" t="s">
        <v>8851</v>
      </c>
      <c r="O1050" s="213" t="s">
        <v>8852</v>
      </c>
      <c r="P1050" s="213" t="s">
        <v>8853</v>
      </c>
      <c r="Q1050" s="213" t="s">
        <v>8854</v>
      </c>
      <c r="R1050" s="213" t="s">
        <v>8855</v>
      </c>
      <c r="S1050" s="213" t="s">
        <v>8856</v>
      </c>
      <c r="T1050" s="213" t="s">
        <v>8857</v>
      </c>
    </row>
    <row r="1051" spans="1:21" x14ac:dyDescent="0.25">
      <c r="A1051" s="213" t="s">
        <v>327</v>
      </c>
      <c r="C1051" s="213" t="s">
        <v>8858</v>
      </c>
      <c r="E1051" s="213" t="s">
        <v>8859</v>
      </c>
      <c r="I1051" s="213" t="s">
        <v>8860</v>
      </c>
    </row>
    <row r="1052" spans="1:21" x14ac:dyDescent="0.25">
      <c r="A1052" s="213" t="s">
        <v>327</v>
      </c>
      <c r="C1052" s="213" t="s">
        <v>8861</v>
      </c>
      <c r="E1052" s="213" t="s">
        <v>8862</v>
      </c>
      <c r="I1052" s="213" t="s">
        <v>8863</v>
      </c>
    </row>
    <row r="1053" spans="1:21" x14ac:dyDescent="0.25">
      <c r="A1053" s="213" t="s">
        <v>328</v>
      </c>
    </row>
    <row r="1054" spans="1:21" x14ac:dyDescent="0.25">
      <c r="A1054" s="213" t="s">
        <v>327</v>
      </c>
      <c r="D1054" s="213" t="s">
        <v>8864</v>
      </c>
      <c r="E1054" s="213" t="s">
        <v>8865</v>
      </c>
      <c r="K1054" s="213" t="s">
        <v>73766</v>
      </c>
      <c r="L1054" s="213" t="s">
        <v>73819</v>
      </c>
      <c r="M1054" s="213" t="s">
        <v>73872</v>
      </c>
      <c r="N1054" s="213" t="s">
        <v>8866</v>
      </c>
      <c r="O1054" s="213" t="s">
        <v>8867</v>
      </c>
      <c r="P1054" s="213" t="s">
        <v>8868</v>
      </c>
      <c r="Q1054" s="213" t="s">
        <v>8869</v>
      </c>
      <c r="R1054" s="213" t="s">
        <v>8870</v>
      </c>
      <c r="S1054" s="213" t="s">
        <v>8871</v>
      </c>
      <c r="T1054" s="213" t="s">
        <v>8872</v>
      </c>
      <c r="U1054" s="213" t="s">
        <v>73925</v>
      </c>
    </row>
    <row r="1055" spans="1:21" x14ac:dyDescent="0.25">
      <c r="A1055" s="213" t="s">
        <v>327</v>
      </c>
      <c r="D1055" s="213" t="s">
        <v>8873</v>
      </c>
      <c r="E1055" s="213" t="s">
        <v>8874</v>
      </c>
      <c r="K1055" s="213" t="s">
        <v>73767</v>
      </c>
      <c r="L1055" s="213" t="s">
        <v>73820</v>
      </c>
      <c r="M1055" s="213" t="s">
        <v>73873</v>
      </c>
      <c r="N1055" s="213" t="s">
        <v>8875</v>
      </c>
      <c r="O1055" s="213" t="s">
        <v>8876</v>
      </c>
      <c r="P1055" s="213" t="s">
        <v>8877</v>
      </c>
      <c r="Q1055" s="213" t="s">
        <v>8878</v>
      </c>
      <c r="R1055" s="213" t="s">
        <v>8879</v>
      </c>
      <c r="S1055" s="213" t="s">
        <v>8880</v>
      </c>
      <c r="T1055" s="213" t="s">
        <v>8881</v>
      </c>
      <c r="U1055" s="213" t="s">
        <v>73926</v>
      </c>
    </row>
    <row r="1056" spans="1:21" x14ac:dyDescent="0.25">
      <c r="A1056" s="213" t="s">
        <v>327</v>
      </c>
      <c r="D1056" s="213" t="s">
        <v>8882</v>
      </c>
      <c r="E1056" s="213" t="s">
        <v>8883</v>
      </c>
      <c r="K1056" s="213" t="s">
        <v>73768</v>
      </c>
      <c r="L1056" s="213" t="s">
        <v>73821</v>
      </c>
      <c r="M1056" s="213" t="s">
        <v>73874</v>
      </c>
      <c r="N1056" s="213" t="s">
        <v>8884</v>
      </c>
      <c r="O1056" s="213" t="s">
        <v>8885</v>
      </c>
      <c r="P1056" s="213" t="s">
        <v>8886</v>
      </c>
      <c r="Q1056" s="213" t="s">
        <v>8887</v>
      </c>
      <c r="R1056" s="213" t="s">
        <v>8888</v>
      </c>
      <c r="S1056" s="213" t="s">
        <v>8889</v>
      </c>
      <c r="T1056" s="213" t="s">
        <v>8890</v>
      </c>
      <c r="U1056" s="213" t="s">
        <v>73927</v>
      </c>
    </row>
    <row r="1057" spans="1:21" x14ac:dyDescent="0.25">
      <c r="A1057" s="213" t="s">
        <v>327</v>
      </c>
      <c r="D1057" s="213" t="s">
        <v>8891</v>
      </c>
      <c r="E1057" s="213" t="s">
        <v>8892</v>
      </c>
      <c r="K1057" s="213" t="s">
        <v>73769</v>
      </c>
      <c r="L1057" s="213" t="s">
        <v>73822</v>
      </c>
      <c r="M1057" s="213" t="s">
        <v>73875</v>
      </c>
      <c r="N1057" s="213" t="s">
        <v>8893</v>
      </c>
      <c r="O1057" s="213" t="s">
        <v>8894</v>
      </c>
      <c r="P1057" s="213" t="s">
        <v>8895</v>
      </c>
      <c r="Q1057" s="213" t="s">
        <v>8896</v>
      </c>
      <c r="R1057" s="213" t="s">
        <v>8897</v>
      </c>
      <c r="S1057" s="213" t="s">
        <v>8898</v>
      </c>
      <c r="T1057" s="213" t="s">
        <v>8899</v>
      </c>
      <c r="U1057" s="213" t="s">
        <v>73928</v>
      </c>
    </row>
    <row r="1058" spans="1:21" x14ac:dyDescent="0.25">
      <c r="A1058" s="213" t="s">
        <v>327</v>
      </c>
      <c r="D1058" s="213" t="s">
        <v>8900</v>
      </c>
      <c r="E1058" s="213" t="s">
        <v>8901</v>
      </c>
      <c r="K1058" s="213" t="s">
        <v>73770</v>
      </c>
      <c r="L1058" s="213" t="s">
        <v>73823</v>
      </c>
      <c r="M1058" s="213" t="s">
        <v>73876</v>
      </c>
      <c r="N1058" s="213" t="s">
        <v>8902</v>
      </c>
      <c r="O1058" s="213" t="s">
        <v>8903</v>
      </c>
      <c r="P1058" s="213" t="s">
        <v>8904</v>
      </c>
      <c r="Q1058" s="213" t="s">
        <v>8905</v>
      </c>
      <c r="R1058" s="213" t="s">
        <v>8906</v>
      </c>
      <c r="S1058" s="213" t="s">
        <v>8907</v>
      </c>
      <c r="T1058" s="213" t="s">
        <v>8908</v>
      </c>
      <c r="U1058" s="213" t="s">
        <v>73929</v>
      </c>
    </row>
    <row r="1059" spans="1:21" x14ac:dyDescent="0.25">
      <c r="A1059" s="213" t="s">
        <v>327</v>
      </c>
      <c r="D1059" s="213" t="s">
        <v>8909</v>
      </c>
      <c r="E1059" s="213" t="s">
        <v>8910</v>
      </c>
      <c r="K1059" s="213" t="s">
        <v>73771</v>
      </c>
      <c r="L1059" s="213" t="s">
        <v>73824</v>
      </c>
      <c r="M1059" s="213" t="s">
        <v>73877</v>
      </c>
      <c r="N1059" s="213" t="s">
        <v>8911</v>
      </c>
      <c r="O1059" s="213" t="s">
        <v>8912</v>
      </c>
      <c r="P1059" s="213" t="s">
        <v>8913</v>
      </c>
      <c r="Q1059" s="213" t="s">
        <v>8914</v>
      </c>
      <c r="R1059" s="213" t="s">
        <v>8915</v>
      </c>
      <c r="S1059" s="213" t="s">
        <v>8916</v>
      </c>
      <c r="T1059" s="213" t="s">
        <v>8917</v>
      </c>
      <c r="U1059" s="213" t="s">
        <v>73930</v>
      </c>
    </row>
    <row r="1060" spans="1:21" x14ac:dyDescent="0.25">
      <c r="A1060" s="213" t="s">
        <v>327</v>
      </c>
      <c r="D1060" s="213" t="s">
        <v>8918</v>
      </c>
      <c r="E1060" s="213" t="s">
        <v>8919</v>
      </c>
      <c r="K1060" s="213" t="s">
        <v>73772</v>
      </c>
      <c r="L1060" s="213" t="s">
        <v>73825</v>
      </c>
      <c r="M1060" s="213" t="s">
        <v>73878</v>
      </c>
      <c r="N1060" s="213" t="s">
        <v>8920</v>
      </c>
      <c r="O1060" s="213" t="s">
        <v>8921</v>
      </c>
      <c r="P1060" s="213" t="s">
        <v>8922</v>
      </c>
      <c r="Q1060" s="213" t="s">
        <v>8923</v>
      </c>
      <c r="R1060" s="213" t="s">
        <v>8924</v>
      </c>
      <c r="S1060" s="213" t="s">
        <v>8925</v>
      </c>
      <c r="T1060" s="213" t="s">
        <v>8926</v>
      </c>
      <c r="U1060" s="213" t="s">
        <v>73931</v>
      </c>
    </row>
    <row r="1061" spans="1:21" x14ac:dyDescent="0.25">
      <c r="A1061" s="213" t="s">
        <v>327</v>
      </c>
      <c r="D1061" s="213" t="s">
        <v>8927</v>
      </c>
      <c r="E1061" s="213" t="s">
        <v>8928</v>
      </c>
      <c r="K1061" s="213" t="s">
        <v>73773</v>
      </c>
      <c r="L1061" s="213" t="s">
        <v>73826</v>
      </c>
      <c r="M1061" s="213" t="s">
        <v>73879</v>
      </c>
      <c r="N1061" s="213" t="s">
        <v>8929</v>
      </c>
      <c r="O1061" s="213" t="s">
        <v>8930</v>
      </c>
      <c r="P1061" s="213" t="s">
        <v>8931</v>
      </c>
      <c r="Q1061" s="213" t="s">
        <v>8932</v>
      </c>
      <c r="R1061" s="213" t="s">
        <v>8933</v>
      </c>
      <c r="S1061" s="213" t="s">
        <v>8934</v>
      </c>
      <c r="T1061" s="213" t="s">
        <v>8935</v>
      </c>
      <c r="U1061" s="213" t="s">
        <v>73932</v>
      </c>
    </row>
    <row r="1062" spans="1:21" x14ac:dyDescent="0.25">
      <c r="A1062" s="213" t="s">
        <v>327</v>
      </c>
      <c r="D1062" s="213" t="s">
        <v>8936</v>
      </c>
      <c r="E1062" s="213" t="s">
        <v>8937</v>
      </c>
      <c r="K1062" s="213" t="s">
        <v>73774</v>
      </c>
      <c r="L1062" s="213" t="s">
        <v>73827</v>
      </c>
      <c r="M1062" s="213" t="s">
        <v>73880</v>
      </c>
      <c r="N1062" s="213" t="s">
        <v>8938</v>
      </c>
      <c r="O1062" s="213" t="s">
        <v>8939</v>
      </c>
      <c r="P1062" s="213" t="s">
        <v>8940</v>
      </c>
      <c r="Q1062" s="213" t="s">
        <v>8941</v>
      </c>
      <c r="R1062" s="213" t="s">
        <v>8942</v>
      </c>
      <c r="S1062" s="213" t="s">
        <v>8943</v>
      </c>
      <c r="T1062" s="213" t="s">
        <v>8944</v>
      </c>
      <c r="U1062" s="213" t="s">
        <v>73933</v>
      </c>
    </row>
    <row r="1063" spans="1:21" x14ac:dyDescent="0.25">
      <c r="A1063" s="213" t="s">
        <v>327</v>
      </c>
      <c r="D1063" s="213" t="s">
        <v>8945</v>
      </c>
      <c r="E1063" s="213" t="s">
        <v>8946</v>
      </c>
      <c r="K1063" s="213" t="s">
        <v>73775</v>
      </c>
      <c r="L1063" s="213" t="s">
        <v>73828</v>
      </c>
      <c r="M1063" s="213" t="s">
        <v>73881</v>
      </c>
      <c r="N1063" s="213" t="s">
        <v>8947</v>
      </c>
      <c r="O1063" s="213" t="s">
        <v>8948</v>
      </c>
      <c r="P1063" s="213" t="s">
        <v>8949</v>
      </c>
      <c r="Q1063" s="213" t="s">
        <v>8950</v>
      </c>
      <c r="R1063" s="213" t="s">
        <v>8951</v>
      </c>
      <c r="S1063" s="213" t="s">
        <v>8952</v>
      </c>
      <c r="T1063" s="213" t="s">
        <v>8953</v>
      </c>
      <c r="U1063" s="213" t="s">
        <v>73934</v>
      </c>
    </row>
    <row r="1064" spans="1:21" x14ac:dyDescent="0.25">
      <c r="A1064" s="213" t="s">
        <v>327</v>
      </c>
      <c r="D1064" s="213" t="s">
        <v>8954</v>
      </c>
      <c r="E1064" s="213" t="s">
        <v>8955</v>
      </c>
      <c r="K1064" s="213" t="s">
        <v>73776</v>
      </c>
      <c r="L1064" s="213" t="s">
        <v>73829</v>
      </c>
      <c r="M1064" s="213" t="s">
        <v>73882</v>
      </c>
      <c r="N1064" s="213" t="s">
        <v>8956</v>
      </c>
      <c r="O1064" s="213" t="s">
        <v>8957</v>
      </c>
      <c r="P1064" s="213" t="s">
        <v>8958</v>
      </c>
      <c r="Q1064" s="213" t="s">
        <v>8959</v>
      </c>
      <c r="R1064" s="213" t="s">
        <v>8960</v>
      </c>
      <c r="S1064" s="213" t="s">
        <v>8961</v>
      </c>
      <c r="T1064" s="213" t="s">
        <v>8962</v>
      </c>
      <c r="U1064" s="213" t="s">
        <v>73935</v>
      </c>
    </row>
    <row r="1065" spans="1:21" x14ac:dyDescent="0.25">
      <c r="A1065" s="213" t="s">
        <v>327</v>
      </c>
      <c r="D1065" s="213" t="s">
        <v>8963</v>
      </c>
      <c r="E1065" s="213" t="s">
        <v>8964</v>
      </c>
      <c r="K1065" s="213" t="s">
        <v>73777</v>
      </c>
      <c r="L1065" s="213" t="s">
        <v>73830</v>
      </c>
      <c r="M1065" s="213" t="s">
        <v>73883</v>
      </c>
      <c r="N1065" s="213" t="s">
        <v>8965</v>
      </c>
      <c r="O1065" s="213" t="s">
        <v>8966</v>
      </c>
      <c r="P1065" s="213" t="s">
        <v>8967</v>
      </c>
      <c r="Q1065" s="213" t="s">
        <v>8968</v>
      </c>
      <c r="R1065" s="213" t="s">
        <v>8969</v>
      </c>
      <c r="S1065" s="213" t="s">
        <v>8970</v>
      </c>
      <c r="T1065" s="213" t="s">
        <v>8971</v>
      </c>
      <c r="U1065" s="213" t="s">
        <v>73936</v>
      </c>
    </row>
    <row r="1066" spans="1:21" x14ac:dyDescent="0.25">
      <c r="A1066" s="213" t="s">
        <v>327</v>
      </c>
      <c r="D1066" s="213" t="s">
        <v>8972</v>
      </c>
      <c r="E1066" s="213" t="s">
        <v>8973</v>
      </c>
      <c r="K1066" s="213" t="s">
        <v>73778</v>
      </c>
      <c r="L1066" s="213" t="s">
        <v>73831</v>
      </c>
      <c r="M1066" s="213" t="s">
        <v>73884</v>
      </c>
      <c r="N1066" s="213" t="s">
        <v>8974</v>
      </c>
      <c r="O1066" s="213" t="s">
        <v>8975</v>
      </c>
      <c r="P1066" s="213" t="s">
        <v>8976</v>
      </c>
      <c r="Q1066" s="213" t="s">
        <v>8977</v>
      </c>
      <c r="R1066" s="213" t="s">
        <v>8978</v>
      </c>
      <c r="S1066" s="213" t="s">
        <v>8979</v>
      </c>
      <c r="T1066" s="213" t="s">
        <v>8980</v>
      </c>
      <c r="U1066" s="213" t="s">
        <v>73937</v>
      </c>
    </row>
    <row r="1067" spans="1:21" x14ac:dyDescent="0.25">
      <c r="A1067" s="213" t="s">
        <v>327</v>
      </c>
      <c r="D1067" s="213" t="s">
        <v>8981</v>
      </c>
      <c r="E1067" s="213" t="s">
        <v>8982</v>
      </c>
      <c r="K1067" s="213" t="s">
        <v>73779</v>
      </c>
      <c r="L1067" s="213" t="s">
        <v>73832</v>
      </c>
      <c r="M1067" s="213" t="s">
        <v>73885</v>
      </c>
      <c r="N1067" s="213" t="s">
        <v>8983</v>
      </c>
      <c r="O1067" s="213" t="s">
        <v>8984</v>
      </c>
      <c r="P1067" s="213" t="s">
        <v>8985</v>
      </c>
      <c r="Q1067" s="213" t="s">
        <v>8986</v>
      </c>
      <c r="R1067" s="213" t="s">
        <v>8987</v>
      </c>
      <c r="S1067" s="213" t="s">
        <v>8988</v>
      </c>
      <c r="T1067" s="213" t="s">
        <v>8989</v>
      </c>
      <c r="U1067" s="213" t="s">
        <v>73938</v>
      </c>
    </row>
    <row r="1068" spans="1:21" x14ac:dyDescent="0.25">
      <c r="A1068" s="213" t="s">
        <v>327</v>
      </c>
      <c r="D1068" s="213" t="s">
        <v>8990</v>
      </c>
      <c r="E1068" s="213" t="s">
        <v>8991</v>
      </c>
      <c r="K1068" s="213" t="s">
        <v>73780</v>
      </c>
      <c r="L1068" s="213" t="s">
        <v>73833</v>
      </c>
      <c r="M1068" s="213" t="s">
        <v>73886</v>
      </c>
      <c r="N1068" s="213" t="s">
        <v>8992</v>
      </c>
      <c r="O1068" s="213" t="s">
        <v>8993</v>
      </c>
      <c r="P1068" s="213" t="s">
        <v>8994</v>
      </c>
      <c r="Q1068" s="213" t="s">
        <v>8995</v>
      </c>
      <c r="R1068" s="213" t="s">
        <v>8996</v>
      </c>
      <c r="S1068" s="213" t="s">
        <v>8997</v>
      </c>
      <c r="T1068" s="213" t="s">
        <v>8998</v>
      </c>
      <c r="U1068" s="213" t="s">
        <v>73939</v>
      </c>
    </row>
    <row r="1069" spans="1:21" x14ac:dyDescent="0.25">
      <c r="A1069" s="213" t="s">
        <v>327</v>
      </c>
      <c r="D1069" s="213" t="s">
        <v>8999</v>
      </c>
      <c r="E1069" s="213" t="s">
        <v>9000</v>
      </c>
      <c r="K1069" s="213" t="s">
        <v>73781</v>
      </c>
      <c r="L1069" s="213" t="s">
        <v>73834</v>
      </c>
      <c r="M1069" s="213" t="s">
        <v>73887</v>
      </c>
      <c r="N1069" s="213" t="s">
        <v>9001</v>
      </c>
      <c r="O1069" s="213" t="s">
        <v>9002</v>
      </c>
      <c r="P1069" s="213" t="s">
        <v>9003</v>
      </c>
      <c r="Q1069" s="213" t="s">
        <v>9004</v>
      </c>
      <c r="R1069" s="213" t="s">
        <v>9005</v>
      </c>
      <c r="S1069" s="213" t="s">
        <v>9006</v>
      </c>
      <c r="T1069" s="213" t="s">
        <v>9007</v>
      </c>
      <c r="U1069" s="213" t="s">
        <v>73940</v>
      </c>
    </row>
    <row r="1070" spans="1:21" x14ac:dyDescent="0.25">
      <c r="A1070" s="213" t="s">
        <v>327</v>
      </c>
      <c r="D1070" s="213" t="s">
        <v>9008</v>
      </c>
      <c r="E1070" s="213" t="s">
        <v>9009</v>
      </c>
      <c r="K1070" s="213" t="s">
        <v>73782</v>
      </c>
      <c r="L1070" s="213" t="s">
        <v>73835</v>
      </c>
      <c r="M1070" s="213" t="s">
        <v>73888</v>
      </c>
      <c r="N1070" s="213" t="s">
        <v>9010</v>
      </c>
      <c r="O1070" s="213" t="s">
        <v>9011</v>
      </c>
      <c r="P1070" s="213" t="s">
        <v>9012</v>
      </c>
      <c r="Q1070" s="213" t="s">
        <v>9013</v>
      </c>
      <c r="R1070" s="213" t="s">
        <v>9014</v>
      </c>
      <c r="S1070" s="213" t="s">
        <v>9015</v>
      </c>
      <c r="T1070" s="213" t="s">
        <v>9016</v>
      </c>
      <c r="U1070" s="213" t="s">
        <v>73941</v>
      </c>
    </row>
    <row r="1071" spans="1:21" x14ac:dyDescent="0.25">
      <c r="A1071" s="213" t="s">
        <v>327</v>
      </c>
      <c r="D1071" s="213" t="s">
        <v>9017</v>
      </c>
      <c r="E1071" s="213" t="s">
        <v>9018</v>
      </c>
      <c r="K1071" s="213" t="s">
        <v>73783</v>
      </c>
      <c r="L1071" s="213" t="s">
        <v>73836</v>
      </c>
      <c r="M1071" s="213" t="s">
        <v>73889</v>
      </c>
      <c r="N1071" s="213" t="s">
        <v>9019</v>
      </c>
      <c r="O1071" s="213" t="s">
        <v>9020</v>
      </c>
      <c r="P1071" s="213" t="s">
        <v>9021</v>
      </c>
      <c r="Q1071" s="213" t="s">
        <v>9022</v>
      </c>
      <c r="R1071" s="213" t="s">
        <v>9023</v>
      </c>
      <c r="S1071" s="213" t="s">
        <v>9024</v>
      </c>
      <c r="T1071" s="213" t="s">
        <v>9025</v>
      </c>
      <c r="U1071" s="213" t="s">
        <v>73942</v>
      </c>
    </row>
    <row r="1072" spans="1:21" x14ac:dyDescent="0.25">
      <c r="A1072" s="213" t="s">
        <v>327</v>
      </c>
      <c r="D1072" s="213" t="s">
        <v>9026</v>
      </c>
      <c r="E1072" s="213" t="s">
        <v>9027</v>
      </c>
      <c r="K1072" s="213" t="s">
        <v>73784</v>
      </c>
      <c r="L1072" s="213" t="s">
        <v>73837</v>
      </c>
      <c r="M1072" s="213" t="s">
        <v>73890</v>
      </c>
      <c r="N1072" s="213" t="s">
        <v>9028</v>
      </c>
      <c r="O1072" s="213" t="s">
        <v>9029</v>
      </c>
      <c r="P1072" s="213" t="s">
        <v>9030</v>
      </c>
      <c r="Q1072" s="213" t="s">
        <v>9031</v>
      </c>
      <c r="R1072" s="213" t="s">
        <v>9032</v>
      </c>
      <c r="S1072" s="213" t="s">
        <v>9033</v>
      </c>
      <c r="T1072" s="213" t="s">
        <v>9034</v>
      </c>
      <c r="U1072" s="213" t="s">
        <v>73943</v>
      </c>
    </row>
    <row r="1073" spans="1:21" x14ac:dyDescent="0.25">
      <c r="A1073" s="213" t="s">
        <v>327</v>
      </c>
      <c r="D1073" s="213" t="s">
        <v>9035</v>
      </c>
      <c r="E1073" s="213" t="s">
        <v>9036</v>
      </c>
      <c r="K1073" s="213" t="s">
        <v>73785</v>
      </c>
      <c r="L1073" s="213" t="s">
        <v>73838</v>
      </c>
      <c r="M1073" s="213" t="s">
        <v>73891</v>
      </c>
      <c r="N1073" s="213" t="s">
        <v>9037</v>
      </c>
      <c r="O1073" s="213" t="s">
        <v>9038</v>
      </c>
      <c r="P1073" s="213" t="s">
        <v>9039</v>
      </c>
      <c r="Q1073" s="213" t="s">
        <v>9040</v>
      </c>
      <c r="R1073" s="213" t="s">
        <v>9041</v>
      </c>
      <c r="S1073" s="213" t="s">
        <v>9042</v>
      </c>
      <c r="T1073" s="213" t="s">
        <v>9043</v>
      </c>
      <c r="U1073" s="213" t="s">
        <v>73944</v>
      </c>
    </row>
    <row r="1074" spans="1:21" x14ac:dyDescent="0.25">
      <c r="A1074" s="213" t="s">
        <v>327</v>
      </c>
      <c r="D1074" s="213" t="s">
        <v>9044</v>
      </c>
      <c r="E1074" s="213" t="s">
        <v>9045</v>
      </c>
      <c r="K1074" s="213" t="s">
        <v>73786</v>
      </c>
      <c r="L1074" s="213" t="s">
        <v>73839</v>
      </c>
      <c r="M1074" s="213" t="s">
        <v>73892</v>
      </c>
      <c r="N1074" s="213" t="s">
        <v>9046</v>
      </c>
      <c r="O1074" s="213" t="s">
        <v>9047</v>
      </c>
      <c r="P1074" s="213" t="s">
        <v>9048</v>
      </c>
      <c r="Q1074" s="213" t="s">
        <v>9049</v>
      </c>
      <c r="R1074" s="213" t="s">
        <v>9050</v>
      </c>
      <c r="S1074" s="213" t="s">
        <v>9051</v>
      </c>
      <c r="T1074" s="213" t="s">
        <v>9052</v>
      </c>
      <c r="U1074" s="213" t="s">
        <v>73945</v>
      </c>
    </row>
    <row r="1075" spans="1:21" x14ac:dyDescent="0.25">
      <c r="A1075" s="213" t="s">
        <v>327</v>
      </c>
      <c r="D1075" s="213" t="s">
        <v>9053</v>
      </c>
      <c r="E1075" s="213" t="s">
        <v>9054</v>
      </c>
      <c r="K1075" s="213" t="s">
        <v>73787</v>
      </c>
      <c r="L1075" s="213" t="s">
        <v>73840</v>
      </c>
      <c r="M1075" s="213" t="s">
        <v>73893</v>
      </c>
      <c r="N1075" s="213" t="s">
        <v>9055</v>
      </c>
      <c r="O1075" s="213" t="s">
        <v>9056</v>
      </c>
      <c r="P1075" s="213" t="s">
        <v>9057</v>
      </c>
      <c r="Q1075" s="213" t="s">
        <v>9058</v>
      </c>
      <c r="R1075" s="213" t="s">
        <v>9059</v>
      </c>
      <c r="S1075" s="213" t="s">
        <v>9060</v>
      </c>
      <c r="T1075" s="213" t="s">
        <v>9061</v>
      </c>
      <c r="U1075" s="213" t="s">
        <v>73946</v>
      </c>
    </row>
    <row r="1076" spans="1:21" x14ac:dyDescent="0.25">
      <c r="A1076" s="213" t="s">
        <v>327</v>
      </c>
      <c r="D1076" s="213" t="s">
        <v>9062</v>
      </c>
      <c r="E1076" s="213" t="s">
        <v>9063</v>
      </c>
      <c r="K1076" s="213" t="s">
        <v>73788</v>
      </c>
      <c r="L1076" s="213" t="s">
        <v>73841</v>
      </c>
      <c r="M1076" s="213" t="s">
        <v>73894</v>
      </c>
      <c r="N1076" s="213" t="s">
        <v>9064</v>
      </c>
      <c r="O1076" s="213" t="s">
        <v>9065</v>
      </c>
      <c r="P1076" s="213" t="s">
        <v>9066</v>
      </c>
      <c r="Q1076" s="213" t="s">
        <v>9067</v>
      </c>
      <c r="R1076" s="213" t="s">
        <v>9068</v>
      </c>
      <c r="S1076" s="213" t="s">
        <v>9069</v>
      </c>
      <c r="T1076" s="213" t="s">
        <v>9070</v>
      </c>
      <c r="U1076" s="213" t="s">
        <v>73947</v>
      </c>
    </row>
    <row r="1077" spans="1:21" x14ac:dyDescent="0.25">
      <c r="A1077" s="213" t="s">
        <v>327</v>
      </c>
      <c r="D1077" s="213" t="s">
        <v>9071</v>
      </c>
      <c r="E1077" s="213" t="s">
        <v>9072</v>
      </c>
      <c r="K1077" s="213" t="s">
        <v>73789</v>
      </c>
      <c r="L1077" s="213" t="s">
        <v>73842</v>
      </c>
      <c r="M1077" s="213" t="s">
        <v>73895</v>
      </c>
      <c r="N1077" s="213" t="s">
        <v>9073</v>
      </c>
      <c r="O1077" s="213" t="s">
        <v>9074</v>
      </c>
      <c r="P1077" s="213" t="s">
        <v>9075</v>
      </c>
      <c r="Q1077" s="213" t="s">
        <v>9076</v>
      </c>
      <c r="R1077" s="213" t="s">
        <v>9077</v>
      </c>
      <c r="S1077" s="213" t="s">
        <v>9078</v>
      </c>
      <c r="T1077" s="213" t="s">
        <v>9079</v>
      </c>
      <c r="U1077" s="213" t="s">
        <v>73948</v>
      </c>
    </row>
    <row r="1078" spans="1:21" x14ac:dyDescent="0.25">
      <c r="A1078" s="213" t="s">
        <v>327</v>
      </c>
      <c r="D1078" s="213" t="s">
        <v>9080</v>
      </c>
      <c r="E1078" s="213" t="s">
        <v>9081</v>
      </c>
      <c r="K1078" s="213" t="s">
        <v>73790</v>
      </c>
      <c r="L1078" s="213" t="s">
        <v>73843</v>
      </c>
      <c r="M1078" s="213" t="s">
        <v>73896</v>
      </c>
      <c r="N1078" s="213" t="s">
        <v>9082</v>
      </c>
      <c r="O1078" s="213" t="s">
        <v>9083</v>
      </c>
      <c r="P1078" s="213" t="s">
        <v>9084</v>
      </c>
      <c r="Q1078" s="213" t="s">
        <v>9085</v>
      </c>
      <c r="R1078" s="213" t="s">
        <v>9086</v>
      </c>
      <c r="S1078" s="213" t="s">
        <v>9087</v>
      </c>
      <c r="T1078" s="213" t="s">
        <v>9088</v>
      </c>
      <c r="U1078" s="213" t="s">
        <v>73949</v>
      </c>
    </row>
    <row r="1079" spans="1:21" x14ac:dyDescent="0.25">
      <c r="A1079" s="213" t="s">
        <v>327</v>
      </c>
      <c r="D1079" s="213" t="s">
        <v>9089</v>
      </c>
      <c r="E1079" s="213" t="s">
        <v>9090</v>
      </c>
      <c r="K1079" s="213" t="s">
        <v>73791</v>
      </c>
      <c r="L1079" s="213" t="s">
        <v>73844</v>
      </c>
      <c r="M1079" s="213" t="s">
        <v>73897</v>
      </c>
      <c r="N1079" s="213" t="s">
        <v>9091</v>
      </c>
      <c r="O1079" s="213" t="s">
        <v>9092</v>
      </c>
      <c r="P1079" s="213" t="s">
        <v>9093</v>
      </c>
      <c r="Q1079" s="213" t="s">
        <v>9094</v>
      </c>
      <c r="R1079" s="213" t="s">
        <v>9095</v>
      </c>
      <c r="S1079" s="213" t="s">
        <v>9096</v>
      </c>
      <c r="T1079" s="213" t="s">
        <v>9097</v>
      </c>
      <c r="U1079" s="213" t="s">
        <v>73950</v>
      </c>
    </row>
    <row r="1080" spans="1:21" x14ac:dyDescent="0.25">
      <c r="A1080" s="213" t="s">
        <v>327</v>
      </c>
      <c r="D1080" s="213" t="s">
        <v>9098</v>
      </c>
      <c r="E1080" s="213" t="s">
        <v>9099</v>
      </c>
      <c r="K1080" s="213" t="s">
        <v>73792</v>
      </c>
      <c r="L1080" s="213" t="s">
        <v>73845</v>
      </c>
      <c r="M1080" s="213" t="s">
        <v>73898</v>
      </c>
      <c r="N1080" s="213" t="s">
        <v>9100</v>
      </c>
      <c r="O1080" s="213" t="s">
        <v>9101</v>
      </c>
      <c r="P1080" s="213" t="s">
        <v>9102</v>
      </c>
      <c r="Q1080" s="213" t="s">
        <v>9103</v>
      </c>
      <c r="R1080" s="213" t="s">
        <v>9104</v>
      </c>
      <c r="S1080" s="213" t="s">
        <v>9105</v>
      </c>
      <c r="T1080" s="213" t="s">
        <v>9106</v>
      </c>
      <c r="U1080" s="213" t="s">
        <v>73951</v>
      </c>
    </row>
    <row r="1081" spans="1:21" x14ac:dyDescent="0.25">
      <c r="A1081" s="213" t="s">
        <v>327</v>
      </c>
      <c r="D1081" s="213" t="s">
        <v>9107</v>
      </c>
      <c r="E1081" s="213" t="s">
        <v>9108</v>
      </c>
      <c r="K1081" s="213" t="s">
        <v>73793</v>
      </c>
      <c r="L1081" s="213" t="s">
        <v>73846</v>
      </c>
      <c r="M1081" s="213" t="s">
        <v>73899</v>
      </c>
      <c r="N1081" s="213" t="s">
        <v>9109</v>
      </c>
      <c r="O1081" s="213" t="s">
        <v>9110</v>
      </c>
      <c r="P1081" s="213" t="s">
        <v>9111</v>
      </c>
      <c r="Q1081" s="213" t="s">
        <v>9112</v>
      </c>
      <c r="R1081" s="213" t="s">
        <v>9113</v>
      </c>
      <c r="S1081" s="213" t="s">
        <v>9114</v>
      </c>
      <c r="T1081" s="213" t="s">
        <v>9115</v>
      </c>
      <c r="U1081" s="213" t="s">
        <v>73952</v>
      </c>
    </row>
    <row r="1082" spans="1:21" x14ac:dyDescent="0.25">
      <c r="A1082" s="213" t="s">
        <v>327</v>
      </c>
      <c r="D1082" s="213" t="s">
        <v>9116</v>
      </c>
      <c r="E1082" s="213" t="s">
        <v>9117</v>
      </c>
      <c r="K1082" s="213" t="s">
        <v>73794</v>
      </c>
      <c r="L1082" s="213" t="s">
        <v>73847</v>
      </c>
      <c r="M1082" s="213" t="s">
        <v>73900</v>
      </c>
      <c r="N1082" s="213" t="s">
        <v>9118</v>
      </c>
      <c r="O1082" s="213" t="s">
        <v>9119</v>
      </c>
      <c r="P1082" s="213" t="s">
        <v>9120</v>
      </c>
      <c r="Q1082" s="213" t="s">
        <v>9121</v>
      </c>
      <c r="R1082" s="213" t="s">
        <v>9122</v>
      </c>
      <c r="S1082" s="213" t="s">
        <v>9123</v>
      </c>
      <c r="T1082" s="213" t="s">
        <v>9124</v>
      </c>
      <c r="U1082" s="213" t="s">
        <v>73953</v>
      </c>
    </row>
    <row r="1083" spans="1:21" x14ac:dyDescent="0.25">
      <c r="A1083" s="213" t="s">
        <v>327</v>
      </c>
      <c r="D1083" s="213" t="s">
        <v>9125</v>
      </c>
      <c r="E1083" s="213" t="s">
        <v>9126</v>
      </c>
      <c r="K1083" s="213" t="s">
        <v>73795</v>
      </c>
      <c r="L1083" s="213" t="s">
        <v>73848</v>
      </c>
      <c r="M1083" s="213" t="s">
        <v>73901</v>
      </c>
      <c r="N1083" s="213" t="s">
        <v>9127</v>
      </c>
      <c r="O1083" s="213" t="s">
        <v>9128</v>
      </c>
      <c r="P1083" s="213" t="s">
        <v>9129</v>
      </c>
      <c r="Q1083" s="213" t="s">
        <v>9130</v>
      </c>
      <c r="R1083" s="213" t="s">
        <v>9131</v>
      </c>
      <c r="S1083" s="213" t="s">
        <v>9132</v>
      </c>
      <c r="T1083" s="213" t="s">
        <v>9133</v>
      </c>
      <c r="U1083" s="213" t="s">
        <v>73954</v>
      </c>
    </row>
    <row r="1084" spans="1:21" x14ac:dyDescent="0.25">
      <c r="A1084" s="213" t="s">
        <v>327</v>
      </c>
      <c r="D1084" s="213" t="s">
        <v>9134</v>
      </c>
      <c r="E1084" s="213" t="s">
        <v>9135</v>
      </c>
      <c r="K1084" s="213" t="s">
        <v>73796</v>
      </c>
      <c r="L1084" s="213" t="s">
        <v>73849</v>
      </c>
      <c r="M1084" s="213" t="s">
        <v>73902</v>
      </c>
      <c r="N1084" s="213" t="s">
        <v>9136</v>
      </c>
      <c r="O1084" s="213" t="s">
        <v>9137</v>
      </c>
      <c r="P1084" s="213" t="s">
        <v>9138</v>
      </c>
      <c r="Q1084" s="213" t="s">
        <v>9139</v>
      </c>
      <c r="R1084" s="213" t="s">
        <v>9140</v>
      </c>
      <c r="S1084" s="213" t="s">
        <v>9141</v>
      </c>
      <c r="T1084" s="213" t="s">
        <v>9142</v>
      </c>
      <c r="U1084" s="213" t="s">
        <v>73955</v>
      </c>
    </row>
    <row r="1085" spans="1:21" x14ac:dyDescent="0.25">
      <c r="A1085" s="213" t="s">
        <v>327</v>
      </c>
      <c r="D1085" s="213" t="s">
        <v>9143</v>
      </c>
      <c r="E1085" s="213" t="s">
        <v>9144</v>
      </c>
      <c r="K1085" s="213" t="s">
        <v>73797</v>
      </c>
      <c r="L1085" s="213" t="s">
        <v>73850</v>
      </c>
      <c r="M1085" s="213" t="s">
        <v>73903</v>
      </c>
      <c r="N1085" s="213" t="s">
        <v>9145</v>
      </c>
      <c r="O1085" s="213" t="s">
        <v>9146</v>
      </c>
      <c r="P1085" s="213" t="s">
        <v>9147</v>
      </c>
      <c r="Q1085" s="213" t="s">
        <v>9148</v>
      </c>
      <c r="R1085" s="213" t="s">
        <v>9149</v>
      </c>
      <c r="S1085" s="213" t="s">
        <v>9150</v>
      </c>
      <c r="T1085" s="213" t="s">
        <v>9151</v>
      </c>
      <c r="U1085" s="213" t="s">
        <v>73956</v>
      </c>
    </row>
    <row r="1086" spans="1:21" x14ac:dyDescent="0.25">
      <c r="A1086" s="213" t="s">
        <v>327</v>
      </c>
      <c r="D1086" s="213" t="s">
        <v>9152</v>
      </c>
      <c r="E1086" s="213" t="s">
        <v>9153</v>
      </c>
      <c r="K1086" s="213" t="s">
        <v>73798</v>
      </c>
      <c r="L1086" s="213" t="s">
        <v>73851</v>
      </c>
      <c r="M1086" s="213" t="s">
        <v>73904</v>
      </c>
      <c r="N1086" s="213" t="s">
        <v>9154</v>
      </c>
      <c r="O1086" s="213" t="s">
        <v>9155</v>
      </c>
      <c r="P1086" s="213" t="s">
        <v>9156</v>
      </c>
      <c r="Q1086" s="213" t="s">
        <v>9157</v>
      </c>
      <c r="R1086" s="213" t="s">
        <v>9158</v>
      </c>
      <c r="S1086" s="213" t="s">
        <v>9159</v>
      </c>
      <c r="T1086" s="213" t="s">
        <v>9160</v>
      </c>
      <c r="U1086" s="213" t="s">
        <v>73957</v>
      </c>
    </row>
    <row r="1087" spans="1:21" x14ac:dyDescent="0.25">
      <c r="A1087" s="213" t="s">
        <v>327</v>
      </c>
      <c r="D1087" s="213" t="s">
        <v>9161</v>
      </c>
      <c r="E1087" s="213" t="s">
        <v>9162</v>
      </c>
      <c r="K1087" s="213" t="s">
        <v>73799</v>
      </c>
      <c r="L1087" s="213" t="s">
        <v>73852</v>
      </c>
      <c r="M1087" s="213" t="s">
        <v>73905</v>
      </c>
      <c r="N1087" s="213" t="s">
        <v>9163</v>
      </c>
      <c r="O1087" s="213" t="s">
        <v>9164</v>
      </c>
      <c r="P1087" s="213" t="s">
        <v>9165</v>
      </c>
      <c r="Q1087" s="213" t="s">
        <v>9166</v>
      </c>
      <c r="R1087" s="213" t="s">
        <v>9167</v>
      </c>
      <c r="S1087" s="213" t="s">
        <v>9168</v>
      </c>
      <c r="T1087" s="213" t="s">
        <v>9169</v>
      </c>
      <c r="U1087" s="213" t="s">
        <v>73958</v>
      </c>
    </row>
    <row r="1088" spans="1:21" x14ac:dyDescent="0.25">
      <c r="A1088" s="213" t="s">
        <v>327</v>
      </c>
      <c r="D1088" s="213" t="s">
        <v>9170</v>
      </c>
      <c r="E1088" s="213" t="s">
        <v>9171</v>
      </c>
      <c r="K1088" s="213" t="s">
        <v>73800</v>
      </c>
      <c r="L1088" s="213" t="s">
        <v>73853</v>
      </c>
      <c r="M1088" s="213" t="s">
        <v>73906</v>
      </c>
      <c r="N1088" s="213" t="s">
        <v>9172</v>
      </c>
      <c r="O1088" s="213" t="s">
        <v>9173</v>
      </c>
      <c r="P1088" s="213" t="s">
        <v>9174</v>
      </c>
      <c r="Q1088" s="213" t="s">
        <v>9175</v>
      </c>
      <c r="R1088" s="213" t="s">
        <v>9176</v>
      </c>
      <c r="S1088" s="213" t="s">
        <v>9177</v>
      </c>
      <c r="T1088" s="213" t="s">
        <v>9178</v>
      </c>
      <c r="U1088" s="213" t="s">
        <v>73959</v>
      </c>
    </row>
    <row r="1089" spans="1:21" x14ac:dyDescent="0.25">
      <c r="A1089" s="213" t="s">
        <v>327</v>
      </c>
      <c r="D1089" s="213" t="s">
        <v>9179</v>
      </c>
      <c r="E1089" s="213" t="s">
        <v>9180</v>
      </c>
      <c r="K1089" s="213" t="s">
        <v>73801</v>
      </c>
      <c r="L1089" s="213" t="s">
        <v>73854</v>
      </c>
      <c r="M1089" s="213" t="s">
        <v>73907</v>
      </c>
      <c r="N1089" s="213" t="s">
        <v>9181</v>
      </c>
      <c r="O1089" s="213" t="s">
        <v>9182</v>
      </c>
      <c r="P1089" s="213" t="s">
        <v>9183</v>
      </c>
      <c r="Q1089" s="213" t="s">
        <v>9184</v>
      </c>
      <c r="R1089" s="213" t="s">
        <v>9185</v>
      </c>
      <c r="S1089" s="213" t="s">
        <v>9186</v>
      </c>
      <c r="T1089" s="213" t="s">
        <v>9187</v>
      </c>
      <c r="U1089" s="213" t="s">
        <v>73960</v>
      </c>
    </row>
    <row r="1090" spans="1:21" x14ac:dyDescent="0.25">
      <c r="A1090" s="213" t="s">
        <v>327</v>
      </c>
      <c r="D1090" s="213" t="s">
        <v>9188</v>
      </c>
      <c r="E1090" s="213" t="s">
        <v>9189</v>
      </c>
      <c r="K1090" s="213" t="s">
        <v>73802</v>
      </c>
      <c r="L1090" s="213" t="s">
        <v>73855</v>
      </c>
      <c r="M1090" s="213" t="s">
        <v>73908</v>
      </c>
      <c r="N1090" s="213" t="s">
        <v>9190</v>
      </c>
      <c r="O1090" s="213" t="s">
        <v>9191</v>
      </c>
      <c r="P1090" s="213" t="s">
        <v>9192</v>
      </c>
      <c r="Q1090" s="213" t="s">
        <v>9193</v>
      </c>
      <c r="R1090" s="213" t="s">
        <v>9194</v>
      </c>
      <c r="S1090" s="213" t="s">
        <v>9195</v>
      </c>
      <c r="T1090" s="213" t="s">
        <v>9196</v>
      </c>
      <c r="U1090" s="213" t="s">
        <v>73961</v>
      </c>
    </row>
    <row r="1091" spans="1:21" x14ac:dyDescent="0.25">
      <c r="A1091" s="213" t="s">
        <v>327</v>
      </c>
      <c r="D1091" s="213" t="s">
        <v>9197</v>
      </c>
      <c r="E1091" s="213" t="s">
        <v>9198</v>
      </c>
      <c r="K1091" s="213" t="s">
        <v>73803</v>
      </c>
      <c r="L1091" s="213" t="s">
        <v>73856</v>
      </c>
      <c r="M1091" s="213" t="s">
        <v>73909</v>
      </c>
      <c r="N1091" s="213" t="s">
        <v>9199</v>
      </c>
      <c r="O1091" s="213" t="s">
        <v>9200</v>
      </c>
      <c r="P1091" s="213" t="s">
        <v>9201</v>
      </c>
      <c r="Q1091" s="213" t="s">
        <v>9202</v>
      </c>
      <c r="R1091" s="213" t="s">
        <v>9203</v>
      </c>
      <c r="S1091" s="213" t="s">
        <v>9204</v>
      </c>
      <c r="T1091" s="213" t="s">
        <v>9205</v>
      </c>
      <c r="U1091" s="213" t="s">
        <v>73962</v>
      </c>
    </row>
    <row r="1092" spans="1:21" x14ac:dyDescent="0.25">
      <c r="A1092" s="213" t="s">
        <v>327</v>
      </c>
      <c r="D1092" s="213" t="s">
        <v>9206</v>
      </c>
      <c r="E1092" s="213" t="s">
        <v>9207</v>
      </c>
      <c r="K1092" s="213" t="s">
        <v>73804</v>
      </c>
      <c r="L1092" s="213" t="s">
        <v>73857</v>
      </c>
      <c r="M1092" s="213" t="s">
        <v>73910</v>
      </c>
      <c r="N1092" s="213" t="s">
        <v>9208</v>
      </c>
      <c r="O1092" s="213" t="s">
        <v>9209</v>
      </c>
      <c r="P1092" s="213" t="s">
        <v>9210</v>
      </c>
      <c r="Q1092" s="213" t="s">
        <v>9211</v>
      </c>
      <c r="R1092" s="213" t="s">
        <v>9212</v>
      </c>
      <c r="S1092" s="213" t="s">
        <v>9213</v>
      </c>
      <c r="T1092" s="213" t="s">
        <v>9214</v>
      </c>
      <c r="U1092" s="213" t="s">
        <v>73963</v>
      </c>
    </row>
    <row r="1093" spans="1:21" x14ac:dyDescent="0.25">
      <c r="A1093" s="213" t="s">
        <v>327</v>
      </c>
      <c r="D1093" s="213" t="s">
        <v>9215</v>
      </c>
      <c r="E1093" s="213" t="s">
        <v>9216</v>
      </c>
      <c r="K1093" s="213" t="s">
        <v>73805</v>
      </c>
      <c r="L1093" s="213" t="s">
        <v>73858</v>
      </c>
      <c r="M1093" s="213" t="s">
        <v>73911</v>
      </c>
      <c r="N1093" s="213" t="s">
        <v>9217</v>
      </c>
      <c r="O1093" s="213" t="s">
        <v>9218</v>
      </c>
      <c r="P1093" s="213" t="s">
        <v>9219</v>
      </c>
      <c r="Q1093" s="213" t="s">
        <v>9220</v>
      </c>
      <c r="R1093" s="213" t="s">
        <v>9221</v>
      </c>
      <c r="S1093" s="213" t="s">
        <v>9222</v>
      </c>
      <c r="T1093" s="213" t="s">
        <v>9223</v>
      </c>
      <c r="U1093" s="213" t="s">
        <v>73964</v>
      </c>
    </row>
    <row r="1094" spans="1:21" x14ac:dyDescent="0.25">
      <c r="A1094" s="213" t="s">
        <v>327</v>
      </c>
      <c r="D1094" s="213" t="s">
        <v>9224</v>
      </c>
      <c r="E1094" s="213" t="s">
        <v>9225</v>
      </c>
      <c r="K1094" s="213" t="s">
        <v>73806</v>
      </c>
      <c r="L1094" s="213" t="s">
        <v>73859</v>
      </c>
      <c r="M1094" s="213" t="s">
        <v>73912</v>
      </c>
      <c r="N1094" s="213" t="s">
        <v>9226</v>
      </c>
      <c r="O1094" s="213" t="s">
        <v>9227</v>
      </c>
      <c r="P1094" s="213" t="s">
        <v>9228</v>
      </c>
      <c r="Q1094" s="213" t="s">
        <v>9229</v>
      </c>
      <c r="R1094" s="213" t="s">
        <v>9230</v>
      </c>
      <c r="S1094" s="213" t="s">
        <v>9231</v>
      </c>
      <c r="T1094" s="213" t="s">
        <v>9232</v>
      </c>
      <c r="U1094" s="213" t="s">
        <v>73965</v>
      </c>
    </row>
    <row r="1095" spans="1:21" x14ac:dyDescent="0.25">
      <c r="A1095" s="213" t="s">
        <v>327</v>
      </c>
      <c r="D1095" s="213" t="s">
        <v>9233</v>
      </c>
      <c r="E1095" s="213" t="s">
        <v>9234</v>
      </c>
      <c r="K1095" s="213" t="s">
        <v>73807</v>
      </c>
      <c r="L1095" s="213" t="s">
        <v>73860</v>
      </c>
      <c r="M1095" s="213" t="s">
        <v>73913</v>
      </c>
      <c r="N1095" s="213" t="s">
        <v>9235</v>
      </c>
      <c r="O1095" s="213" t="s">
        <v>9236</v>
      </c>
      <c r="P1095" s="213" t="s">
        <v>9237</v>
      </c>
      <c r="Q1095" s="213" t="s">
        <v>9238</v>
      </c>
      <c r="R1095" s="213" t="s">
        <v>9239</v>
      </c>
      <c r="S1095" s="213" t="s">
        <v>9240</v>
      </c>
      <c r="T1095" s="213" t="s">
        <v>9241</v>
      </c>
      <c r="U1095" s="213" t="s">
        <v>73966</v>
      </c>
    </row>
    <row r="1096" spans="1:21" x14ac:dyDescent="0.25">
      <c r="A1096" s="213" t="s">
        <v>327</v>
      </c>
      <c r="D1096" s="213" t="s">
        <v>9242</v>
      </c>
      <c r="E1096" s="213" t="s">
        <v>9243</v>
      </c>
      <c r="K1096" s="213" t="s">
        <v>73808</v>
      </c>
      <c r="L1096" s="213" t="s">
        <v>73861</v>
      </c>
      <c r="M1096" s="213" t="s">
        <v>73914</v>
      </c>
      <c r="N1096" s="213" t="s">
        <v>9244</v>
      </c>
      <c r="O1096" s="213" t="s">
        <v>9245</v>
      </c>
      <c r="P1096" s="213" t="s">
        <v>9246</v>
      </c>
      <c r="Q1096" s="213" t="s">
        <v>9247</v>
      </c>
      <c r="R1096" s="213" t="s">
        <v>9248</v>
      </c>
      <c r="S1096" s="213" t="s">
        <v>9249</v>
      </c>
      <c r="T1096" s="213" t="s">
        <v>9250</v>
      </c>
      <c r="U1096" s="213" t="s">
        <v>73967</v>
      </c>
    </row>
    <row r="1097" spans="1:21" x14ac:dyDescent="0.25">
      <c r="A1097" s="213" t="s">
        <v>327</v>
      </c>
      <c r="D1097" s="213" t="s">
        <v>9251</v>
      </c>
      <c r="E1097" s="213" t="s">
        <v>9252</v>
      </c>
      <c r="K1097" s="213" t="s">
        <v>73809</v>
      </c>
      <c r="L1097" s="213" t="s">
        <v>73862</v>
      </c>
      <c r="M1097" s="213" t="s">
        <v>73915</v>
      </c>
      <c r="N1097" s="213" t="s">
        <v>9253</v>
      </c>
      <c r="O1097" s="213" t="s">
        <v>9254</v>
      </c>
      <c r="P1097" s="213" t="s">
        <v>9255</v>
      </c>
      <c r="Q1097" s="213" t="s">
        <v>9256</v>
      </c>
      <c r="R1097" s="213" t="s">
        <v>9257</v>
      </c>
      <c r="S1097" s="213" t="s">
        <v>9258</v>
      </c>
      <c r="T1097" s="213" t="s">
        <v>9259</v>
      </c>
      <c r="U1097" s="213" t="s">
        <v>73968</v>
      </c>
    </row>
    <row r="1098" spans="1:21" x14ac:dyDescent="0.25">
      <c r="A1098" s="213" t="s">
        <v>327</v>
      </c>
      <c r="D1098" s="213" t="s">
        <v>9260</v>
      </c>
      <c r="E1098" s="213" t="s">
        <v>9261</v>
      </c>
      <c r="K1098" s="213" t="s">
        <v>73810</v>
      </c>
      <c r="L1098" s="213" t="s">
        <v>73863</v>
      </c>
      <c r="M1098" s="213" t="s">
        <v>73916</v>
      </c>
      <c r="N1098" s="213" t="s">
        <v>9262</v>
      </c>
      <c r="O1098" s="213" t="s">
        <v>9263</v>
      </c>
      <c r="P1098" s="213" t="s">
        <v>9264</v>
      </c>
      <c r="Q1098" s="213" t="s">
        <v>9265</v>
      </c>
      <c r="R1098" s="213" t="s">
        <v>9266</v>
      </c>
      <c r="S1098" s="213" t="s">
        <v>9267</v>
      </c>
      <c r="T1098" s="213" t="s">
        <v>9268</v>
      </c>
      <c r="U1098" s="213" t="s">
        <v>73969</v>
      </c>
    </row>
    <row r="1099" spans="1:21" x14ac:dyDescent="0.25">
      <c r="A1099" s="213" t="s">
        <v>327</v>
      </c>
      <c r="D1099" s="213" t="s">
        <v>9269</v>
      </c>
      <c r="E1099" s="213" t="s">
        <v>9270</v>
      </c>
      <c r="K1099" s="213" t="s">
        <v>73811</v>
      </c>
      <c r="L1099" s="213" t="s">
        <v>73864</v>
      </c>
      <c r="M1099" s="213" t="s">
        <v>73917</v>
      </c>
      <c r="N1099" s="213" t="s">
        <v>9271</v>
      </c>
      <c r="O1099" s="213" t="s">
        <v>9272</v>
      </c>
      <c r="P1099" s="213" t="s">
        <v>9273</v>
      </c>
      <c r="Q1099" s="213" t="s">
        <v>9274</v>
      </c>
      <c r="R1099" s="213" t="s">
        <v>9275</v>
      </c>
      <c r="S1099" s="213" t="s">
        <v>9276</v>
      </c>
      <c r="T1099" s="213" t="s">
        <v>9277</v>
      </c>
      <c r="U1099" s="213" t="s">
        <v>73970</v>
      </c>
    </row>
    <row r="1100" spans="1:21" x14ac:dyDescent="0.25">
      <c r="A1100" s="213" t="s">
        <v>327</v>
      </c>
      <c r="D1100" s="213" t="s">
        <v>9278</v>
      </c>
      <c r="E1100" s="213" t="s">
        <v>9279</v>
      </c>
      <c r="K1100" s="213" t="s">
        <v>73812</v>
      </c>
      <c r="L1100" s="213" t="s">
        <v>73865</v>
      </c>
      <c r="M1100" s="213" t="s">
        <v>73918</v>
      </c>
      <c r="N1100" s="213" t="s">
        <v>9280</v>
      </c>
      <c r="O1100" s="213" t="s">
        <v>9281</v>
      </c>
      <c r="P1100" s="213" t="s">
        <v>9282</v>
      </c>
      <c r="Q1100" s="213" t="s">
        <v>9283</v>
      </c>
      <c r="R1100" s="213" t="s">
        <v>9284</v>
      </c>
      <c r="S1100" s="213" t="s">
        <v>9285</v>
      </c>
      <c r="T1100" s="213" t="s">
        <v>9286</v>
      </c>
      <c r="U1100" s="213" t="s">
        <v>73971</v>
      </c>
    </row>
    <row r="1101" spans="1:21" x14ac:dyDescent="0.25">
      <c r="A1101" s="213" t="s">
        <v>327</v>
      </c>
      <c r="D1101" s="213" t="s">
        <v>9287</v>
      </c>
      <c r="E1101" s="213" t="s">
        <v>9288</v>
      </c>
      <c r="K1101" s="213" t="s">
        <v>73813</v>
      </c>
      <c r="L1101" s="213" t="s">
        <v>73866</v>
      </c>
      <c r="M1101" s="213" t="s">
        <v>73919</v>
      </c>
      <c r="N1101" s="213" t="s">
        <v>9289</v>
      </c>
      <c r="O1101" s="213" t="s">
        <v>9290</v>
      </c>
      <c r="P1101" s="213" t="s">
        <v>9291</v>
      </c>
      <c r="Q1101" s="213" t="s">
        <v>9292</v>
      </c>
      <c r="R1101" s="213" t="s">
        <v>9293</v>
      </c>
      <c r="S1101" s="213" t="s">
        <v>9294</v>
      </c>
      <c r="T1101" s="213" t="s">
        <v>9295</v>
      </c>
      <c r="U1101" s="213" t="s">
        <v>73972</v>
      </c>
    </row>
    <row r="1102" spans="1:21" x14ac:dyDescent="0.25">
      <c r="A1102" s="213" t="s">
        <v>327</v>
      </c>
      <c r="D1102" s="213" t="s">
        <v>9296</v>
      </c>
      <c r="E1102" s="213" t="s">
        <v>9297</v>
      </c>
      <c r="K1102" s="213" t="s">
        <v>73814</v>
      </c>
      <c r="L1102" s="213" t="s">
        <v>73867</v>
      </c>
      <c r="M1102" s="213" t="s">
        <v>73920</v>
      </c>
      <c r="N1102" s="213" t="s">
        <v>9298</v>
      </c>
      <c r="O1102" s="213" t="s">
        <v>9299</v>
      </c>
      <c r="P1102" s="213" t="s">
        <v>9300</v>
      </c>
      <c r="Q1102" s="213" t="s">
        <v>9301</v>
      </c>
      <c r="R1102" s="213" t="s">
        <v>9302</v>
      </c>
      <c r="S1102" s="213" t="s">
        <v>9303</v>
      </c>
      <c r="T1102" s="213" t="s">
        <v>9304</v>
      </c>
      <c r="U1102" s="213" t="s">
        <v>73973</v>
      </c>
    </row>
    <row r="1103" spans="1:21" x14ac:dyDescent="0.25">
      <c r="A1103" s="213" t="s">
        <v>327</v>
      </c>
      <c r="D1103" s="213" t="s">
        <v>9305</v>
      </c>
      <c r="E1103" s="213" t="s">
        <v>9306</v>
      </c>
      <c r="K1103" s="213" t="s">
        <v>73815</v>
      </c>
      <c r="L1103" s="213" t="s">
        <v>73868</v>
      </c>
      <c r="M1103" s="213" t="s">
        <v>73921</v>
      </c>
      <c r="N1103" s="213" t="s">
        <v>9307</v>
      </c>
      <c r="O1103" s="213" t="s">
        <v>9308</v>
      </c>
      <c r="P1103" s="213" t="s">
        <v>9309</v>
      </c>
      <c r="Q1103" s="213" t="s">
        <v>9310</v>
      </c>
      <c r="R1103" s="213" t="s">
        <v>9311</v>
      </c>
      <c r="S1103" s="213" t="s">
        <v>9312</v>
      </c>
      <c r="T1103" s="213" t="s">
        <v>9313</v>
      </c>
      <c r="U1103" s="213" t="s">
        <v>73974</v>
      </c>
    </row>
    <row r="1104" spans="1:21" x14ac:dyDescent="0.25">
      <c r="A1104" s="213" t="s">
        <v>327</v>
      </c>
      <c r="D1104" s="213" t="s">
        <v>9314</v>
      </c>
      <c r="E1104" s="213" t="s">
        <v>9315</v>
      </c>
      <c r="K1104" s="213" t="s">
        <v>73816</v>
      </c>
      <c r="L1104" s="213" t="s">
        <v>73869</v>
      </c>
      <c r="M1104" s="213" t="s">
        <v>73922</v>
      </c>
      <c r="N1104" s="213" t="s">
        <v>9316</v>
      </c>
      <c r="O1104" s="213" t="s">
        <v>9317</v>
      </c>
      <c r="P1104" s="213" t="s">
        <v>9318</v>
      </c>
      <c r="Q1104" s="213" t="s">
        <v>9319</v>
      </c>
      <c r="R1104" s="213" t="s">
        <v>9320</v>
      </c>
      <c r="S1104" s="213" t="s">
        <v>9321</v>
      </c>
      <c r="T1104" s="213" t="s">
        <v>9322</v>
      </c>
      <c r="U1104" s="213" t="s">
        <v>73975</v>
      </c>
    </row>
    <row r="1105" spans="1:21" x14ac:dyDescent="0.25">
      <c r="A1105" s="213" t="s">
        <v>327</v>
      </c>
      <c r="D1105" s="213" t="s">
        <v>9323</v>
      </c>
      <c r="E1105" s="213" t="s">
        <v>9324</v>
      </c>
      <c r="K1105" s="213" t="s">
        <v>73817</v>
      </c>
      <c r="L1105" s="213" t="s">
        <v>73870</v>
      </c>
      <c r="M1105" s="213" t="s">
        <v>73923</v>
      </c>
      <c r="N1105" s="213" t="s">
        <v>9325</v>
      </c>
      <c r="O1105" s="213" t="s">
        <v>9326</v>
      </c>
      <c r="P1105" s="213" t="s">
        <v>9327</v>
      </c>
      <c r="Q1105" s="213" t="s">
        <v>9328</v>
      </c>
      <c r="R1105" s="213" t="s">
        <v>9329</v>
      </c>
      <c r="S1105" s="213" t="s">
        <v>9330</v>
      </c>
      <c r="T1105" s="213" t="s">
        <v>9331</v>
      </c>
      <c r="U1105" s="213" t="s">
        <v>73976</v>
      </c>
    </row>
    <row r="1106" spans="1:21" x14ac:dyDescent="0.25">
      <c r="A1106" s="213" t="s">
        <v>327</v>
      </c>
      <c r="D1106" s="213" t="s">
        <v>9332</v>
      </c>
      <c r="E1106" s="213" t="s">
        <v>9333</v>
      </c>
      <c r="K1106" s="213" t="s">
        <v>73818</v>
      </c>
      <c r="L1106" s="213" t="s">
        <v>73871</v>
      </c>
      <c r="M1106" s="213" t="s">
        <v>73924</v>
      </c>
      <c r="N1106" s="213" t="s">
        <v>9334</v>
      </c>
      <c r="O1106" s="213" t="s">
        <v>9335</v>
      </c>
      <c r="P1106" s="213" t="s">
        <v>9336</v>
      </c>
      <c r="Q1106" s="213" t="s">
        <v>9337</v>
      </c>
      <c r="R1106" s="213" t="s">
        <v>9338</v>
      </c>
      <c r="S1106" s="213" t="s">
        <v>9339</v>
      </c>
      <c r="T1106" s="213" t="s">
        <v>9340</v>
      </c>
      <c r="U1106" s="213" t="s">
        <v>73977</v>
      </c>
    </row>
    <row r="1107" spans="1:21" x14ac:dyDescent="0.25">
      <c r="A1107" s="213" t="s">
        <v>327</v>
      </c>
    </row>
    <row r="1108" spans="1:21" x14ac:dyDescent="0.25">
      <c r="A1108" s="213" t="s">
        <v>327</v>
      </c>
    </row>
    <row r="1109" spans="1:21" x14ac:dyDescent="0.25">
      <c r="A1109" s="213" t="s">
        <v>327</v>
      </c>
      <c r="C1109" s="213" t="s">
        <v>9341</v>
      </c>
      <c r="E1109" s="213" t="s">
        <v>9342</v>
      </c>
      <c r="H1109" s="213" t="s">
        <v>9343</v>
      </c>
      <c r="I1109" s="213" t="s">
        <v>9344</v>
      </c>
      <c r="J1109" s="213" t="s">
        <v>9345</v>
      </c>
      <c r="L1109" s="213" t="s">
        <v>9346</v>
      </c>
      <c r="O1109" s="213" t="s">
        <v>9347</v>
      </c>
      <c r="P1109" s="213" t="s">
        <v>9348</v>
      </c>
      <c r="Q1109" s="213" t="s">
        <v>9349</v>
      </c>
      <c r="R1109" s="213" t="s">
        <v>9350</v>
      </c>
      <c r="S1109" s="213" t="s">
        <v>9351</v>
      </c>
      <c r="T1109" s="213" t="s">
        <v>9352</v>
      </c>
    </row>
    <row r="1110" spans="1:21" x14ac:dyDescent="0.25">
      <c r="A1110" s="213" t="s">
        <v>327</v>
      </c>
      <c r="C1110" s="213" t="s">
        <v>9353</v>
      </c>
      <c r="E1110" s="213" t="s">
        <v>9354</v>
      </c>
      <c r="I1110" s="213" t="s">
        <v>9355</v>
      </c>
    </row>
    <row r="1111" spans="1:21" x14ac:dyDescent="0.25">
      <c r="A1111" s="213" t="s">
        <v>327</v>
      </c>
      <c r="C1111" s="213" t="s">
        <v>9356</v>
      </c>
      <c r="E1111" s="213" t="s">
        <v>9357</v>
      </c>
      <c r="I1111" s="213" t="s">
        <v>9358</v>
      </c>
    </row>
    <row r="1112" spans="1:21" x14ac:dyDescent="0.25">
      <c r="A1112" s="213" t="s">
        <v>328</v>
      </c>
    </row>
    <row r="1113" spans="1:21" x14ac:dyDescent="0.25">
      <c r="A1113" s="213" t="s">
        <v>327</v>
      </c>
      <c r="D1113" s="213" t="s">
        <v>9359</v>
      </c>
      <c r="E1113" s="213" t="s">
        <v>9360</v>
      </c>
      <c r="K1113" s="213" t="s">
        <v>73518</v>
      </c>
      <c r="L1113" s="213" t="s">
        <v>73580</v>
      </c>
      <c r="M1113" s="213" t="s">
        <v>73642</v>
      </c>
      <c r="N1113" s="213" t="s">
        <v>9361</v>
      </c>
      <c r="O1113" s="213" t="s">
        <v>9362</v>
      </c>
      <c r="P1113" s="213" t="s">
        <v>9363</v>
      </c>
      <c r="Q1113" s="213" t="s">
        <v>9364</v>
      </c>
      <c r="R1113" s="213" t="s">
        <v>9365</v>
      </c>
      <c r="S1113" s="213" t="s">
        <v>9366</v>
      </c>
      <c r="T1113" s="213" t="s">
        <v>9367</v>
      </c>
      <c r="U1113" s="213" t="s">
        <v>73704</v>
      </c>
    </row>
    <row r="1114" spans="1:21" x14ac:dyDescent="0.25">
      <c r="A1114" s="213" t="s">
        <v>327</v>
      </c>
      <c r="D1114" s="213" t="s">
        <v>9368</v>
      </c>
      <c r="E1114" s="213" t="s">
        <v>9369</v>
      </c>
      <c r="K1114" s="213" t="s">
        <v>73519</v>
      </c>
      <c r="L1114" s="213" t="s">
        <v>73581</v>
      </c>
      <c r="M1114" s="213" t="s">
        <v>73643</v>
      </c>
      <c r="N1114" s="213" t="s">
        <v>9370</v>
      </c>
      <c r="O1114" s="213" t="s">
        <v>9371</v>
      </c>
      <c r="P1114" s="213" t="s">
        <v>9372</v>
      </c>
      <c r="Q1114" s="213" t="s">
        <v>9373</v>
      </c>
      <c r="R1114" s="213" t="s">
        <v>9374</v>
      </c>
      <c r="S1114" s="213" t="s">
        <v>9375</v>
      </c>
      <c r="T1114" s="213" t="s">
        <v>9376</v>
      </c>
      <c r="U1114" s="213" t="s">
        <v>73705</v>
      </c>
    </row>
    <row r="1115" spans="1:21" x14ac:dyDescent="0.25">
      <c r="A1115" s="213" t="s">
        <v>327</v>
      </c>
      <c r="D1115" s="213" t="s">
        <v>9377</v>
      </c>
      <c r="E1115" s="213" t="s">
        <v>9378</v>
      </c>
      <c r="K1115" s="213" t="s">
        <v>73520</v>
      </c>
      <c r="L1115" s="213" t="s">
        <v>73582</v>
      </c>
      <c r="M1115" s="213" t="s">
        <v>73644</v>
      </c>
      <c r="N1115" s="213" t="s">
        <v>9379</v>
      </c>
      <c r="O1115" s="213" t="s">
        <v>9380</v>
      </c>
      <c r="P1115" s="213" t="s">
        <v>9381</v>
      </c>
      <c r="Q1115" s="213" t="s">
        <v>9382</v>
      </c>
      <c r="R1115" s="213" t="s">
        <v>9383</v>
      </c>
      <c r="S1115" s="213" t="s">
        <v>9384</v>
      </c>
      <c r="T1115" s="213" t="s">
        <v>9385</v>
      </c>
      <c r="U1115" s="213" t="s">
        <v>73706</v>
      </c>
    </row>
    <row r="1116" spans="1:21" x14ac:dyDescent="0.25">
      <c r="A1116" s="213" t="s">
        <v>327</v>
      </c>
      <c r="D1116" s="213" t="s">
        <v>9386</v>
      </c>
      <c r="E1116" s="213" t="s">
        <v>9387</v>
      </c>
      <c r="K1116" s="213" t="s">
        <v>73521</v>
      </c>
      <c r="L1116" s="213" t="s">
        <v>73583</v>
      </c>
      <c r="M1116" s="213" t="s">
        <v>73645</v>
      </c>
      <c r="N1116" s="213" t="s">
        <v>9388</v>
      </c>
      <c r="O1116" s="213" t="s">
        <v>9389</v>
      </c>
      <c r="P1116" s="213" t="s">
        <v>9390</v>
      </c>
      <c r="Q1116" s="213" t="s">
        <v>9391</v>
      </c>
      <c r="R1116" s="213" t="s">
        <v>9392</v>
      </c>
      <c r="S1116" s="213" t="s">
        <v>9393</v>
      </c>
      <c r="T1116" s="213" t="s">
        <v>9394</v>
      </c>
      <c r="U1116" s="213" t="s">
        <v>73707</v>
      </c>
    </row>
    <row r="1117" spans="1:21" x14ac:dyDescent="0.25">
      <c r="A1117" s="213" t="s">
        <v>327</v>
      </c>
      <c r="D1117" s="213" t="s">
        <v>9395</v>
      </c>
      <c r="E1117" s="213" t="s">
        <v>9396</v>
      </c>
      <c r="K1117" s="213" t="s">
        <v>73522</v>
      </c>
      <c r="L1117" s="213" t="s">
        <v>73584</v>
      </c>
      <c r="M1117" s="213" t="s">
        <v>73646</v>
      </c>
      <c r="N1117" s="213" t="s">
        <v>9397</v>
      </c>
      <c r="O1117" s="213" t="s">
        <v>9398</v>
      </c>
      <c r="P1117" s="213" t="s">
        <v>9399</v>
      </c>
      <c r="Q1117" s="213" t="s">
        <v>9400</v>
      </c>
      <c r="R1117" s="213" t="s">
        <v>9401</v>
      </c>
      <c r="S1117" s="213" t="s">
        <v>9402</v>
      </c>
      <c r="T1117" s="213" t="s">
        <v>9403</v>
      </c>
      <c r="U1117" s="213" t="s">
        <v>73708</v>
      </c>
    </row>
    <row r="1118" spans="1:21" x14ac:dyDescent="0.25">
      <c r="A1118" s="213" t="s">
        <v>327</v>
      </c>
      <c r="D1118" s="213" t="s">
        <v>9404</v>
      </c>
      <c r="E1118" s="213" t="s">
        <v>9405</v>
      </c>
      <c r="K1118" s="213" t="s">
        <v>73523</v>
      </c>
      <c r="L1118" s="213" t="s">
        <v>73585</v>
      </c>
      <c r="M1118" s="213" t="s">
        <v>73647</v>
      </c>
      <c r="N1118" s="213" t="s">
        <v>9406</v>
      </c>
      <c r="O1118" s="213" t="s">
        <v>9407</v>
      </c>
      <c r="P1118" s="213" t="s">
        <v>9408</v>
      </c>
      <c r="Q1118" s="213" t="s">
        <v>9409</v>
      </c>
      <c r="R1118" s="213" t="s">
        <v>9410</v>
      </c>
      <c r="S1118" s="213" t="s">
        <v>9411</v>
      </c>
      <c r="T1118" s="213" t="s">
        <v>9412</v>
      </c>
      <c r="U1118" s="213" t="s">
        <v>73709</v>
      </c>
    </row>
    <row r="1119" spans="1:21" x14ac:dyDescent="0.25">
      <c r="A1119" s="213" t="s">
        <v>327</v>
      </c>
      <c r="D1119" s="213" t="s">
        <v>9413</v>
      </c>
      <c r="E1119" s="213" t="s">
        <v>9414</v>
      </c>
      <c r="K1119" s="213" t="s">
        <v>73524</v>
      </c>
      <c r="L1119" s="213" t="s">
        <v>73586</v>
      </c>
      <c r="M1119" s="213" t="s">
        <v>73648</v>
      </c>
      <c r="N1119" s="213" t="s">
        <v>9415</v>
      </c>
      <c r="O1119" s="213" t="s">
        <v>9416</v>
      </c>
      <c r="P1119" s="213" t="s">
        <v>9417</v>
      </c>
      <c r="Q1119" s="213" t="s">
        <v>9418</v>
      </c>
      <c r="R1119" s="213" t="s">
        <v>9419</v>
      </c>
      <c r="S1119" s="213" t="s">
        <v>9420</v>
      </c>
      <c r="T1119" s="213" t="s">
        <v>9421</v>
      </c>
      <c r="U1119" s="213" t="s">
        <v>73710</v>
      </c>
    </row>
    <row r="1120" spans="1:21" x14ac:dyDescent="0.25">
      <c r="A1120" s="213" t="s">
        <v>327</v>
      </c>
      <c r="D1120" s="213" t="s">
        <v>9422</v>
      </c>
      <c r="E1120" s="213" t="s">
        <v>9423</v>
      </c>
      <c r="K1120" s="213" t="s">
        <v>73525</v>
      </c>
      <c r="L1120" s="213" t="s">
        <v>73587</v>
      </c>
      <c r="M1120" s="213" t="s">
        <v>73649</v>
      </c>
      <c r="N1120" s="213" t="s">
        <v>9424</v>
      </c>
      <c r="O1120" s="213" t="s">
        <v>9425</v>
      </c>
      <c r="P1120" s="213" t="s">
        <v>9426</v>
      </c>
      <c r="Q1120" s="213" t="s">
        <v>9427</v>
      </c>
      <c r="R1120" s="213" t="s">
        <v>9428</v>
      </c>
      <c r="S1120" s="213" t="s">
        <v>9429</v>
      </c>
      <c r="T1120" s="213" t="s">
        <v>9430</v>
      </c>
      <c r="U1120" s="213" t="s">
        <v>73711</v>
      </c>
    </row>
    <row r="1121" spans="1:21" x14ac:dyDescent="0.25">
      <c r="A1121" s="213" t="s">
        <v>327</v>
      </c>
      <c r="D1121" s="213" t="s">
        <v>9431</v>
      </c>
      <c r="E1121" s="213" t="s">
        <v>9432</v>
      </c>
      <c r="K1121" s="213" t="s">
        <v>73526</v>
      </c>
      <c r="L1121" s="213" t="s">
        <v>73588</v>
      </c>
      <c r="M1121" s="213" t="s">
        <v>73650</v>
      </c>
      <c r="N1121" s="213" t="s">
        <v>9433</v>
      </c>
      <c r="O1121" s="213" t="s">
        <v>9434</v>
      </c>
      <c r="P1121" s="213" t="s">
        <v>9435</v>
      </c>
      <c r="Q1121" s="213" t="s">
        <v>9436</v>
      </c>
      <c r="R1121" s="213" t="s">
        <v>9437</v>
      </c>
      <c r="S1121" s="213" t="s">
        <v>9438</v>
      </c>
      <c r="T1121" s="213" t="s">
        <v>9439</v>
      </c>
      <c r="U1121" s="213" t="s">
        <v>73712</v>
      </c>
    </row>
    <row r="1122" spans="1:21" x14ac:dyDescent="0.25">
      <c r="A1122" s="213" t="s">
        <v>327</v>
      </c>
      <c r="D1122" s="213" t="s">
        <v>9440</v>
      </c>
      <c r="E1122" s="213" t="s">
        <v>9441</v>
      </c>
      <c r="K1122" s="213" t="s">
        <v>73527</v>
      </c>
      <c r="L1122" s="213" t="s">
        <v>73589</v>
      </c>
      <c r="M1122" s="213" t="s">
        <v>73651</v>
      </c>
      <c r="N1122" s="213" t="s">
        <v>9442</v>
      </c>
      <c r="O1122" s="213" t="s">
        <v>9443</v>
      </c>
      <c r="P1122" s="213" t="s">
        <v>9444</v>
      </c>
      <c r="Q1122" s="213" t="s">
        <v>9445</v>
      </c>
      <c r="R1122" s="213" t="s">
        <v>9446</v>
      </c>
      <c r="S1122" s="213" t="s">
        <v>9447</v>
      </c>
      <c r="T1122" s="213" t="s">
        <v>9448</v>
      </c>
      <c r="U1122" s="213" t="s">
        <v>73713</v>
      </c>
    </row>
    <row r="1123" spans="1:21" x14ac:dyDescent="0.25">
      <c r="A1123" s="213" t="s">
        <v>327</v>
      </c>
      <c r="D1123" s="213" t="s">
        <v>9449</v>
      </c>
      <c r="E1123" s="213" t="s">
        <v>9450</v>
      </c>
      <c r="K1123" s="213" t="s">
        <v>73528</v>
      </c>
      <c r="L1123" s="213" t="s">
        <v>73590</v>
      </c>
      <c r="M1123" s="213" t="s">
        <v>73652</v>
      </c>
      <c r="N1123" s="213" t="s">
        <v>9451</v>
      </c>
      <c r="O1123" s="213" t="s">
        <v>9452</v>
      </c>
      <c r="P1123" s="213" t="s">
        <v>9453</v>
      </c>
      <c r="Q1123" s="213" t="s">
        <v>9454</v>
      </c>
      <c r="R1123" s="213" t="s">
        <v>9455</v>
      </c>
      <c r="S1123" s="213" t="s">
        <v>9456</v>
      </c>
      <c r="T1123" s="213" t="s">
        <v>9457</v>
      </c>
      <c r="U1123" s="213" t="s">
        <v>73714</v>
      </c>
    </row>
    <row r="1124" spans="1:21" x14ac:dyDescent="0.25">
      <c r="A1124" s="213" t="s">
        <v>327</v>
      </c>
      <c r="D1124" s="213" t="s">
        <v>9458</v>
      </c>
      <c r="E1124" s="213" t="s">
        <v>9459</v>
      </c>
      <c r="K1124" s="213" t="s">
        <v>73529</v>
      </c>
      <c r="L1124" s="213" t="s">
        <v>73591</v>
      </c>
      <c r="M1124" s="213" t="s">
        <v>73653</v>
      </c>
      <c r="N1124" s="213" t="s">
        <v>9460</v>
      </c>
      <c r="O1124" s="213" t="s">
        <v>9461</v>
      </c>
      <c r="P1124" s="213" t="s">
        <v>9462</v>
      </c>
      <c r="Q1124" s="213" t="s">
        <v>9463</v>
      </c>
      <c r="R1124" s="213" t="s">
        <v>9464</v>
      </c>
      <c r="S1124" s="213" t="s">
        <v>9465</v>
      </c>
      <c r="T1124" s="213" t="s">
        <v>9466</v>
      </c>
      <c r="U1124" s="213" t="s">
        <v>73715</v>
      </c>
    </row>
    <row r="1125" spans="1:21" x14ac:dyDescent="0.25">
      <c r="A1125" s="213" t="s">
        <v>327</v>
      </c>
      <c r="D1125" s="213" t="s">
        <v>9467</v>
      </c>
      <c r="E1125" s="213" t="s">
        <v>9468</v>
      </c>
      <c r="K1125" s="213" t="s">
        <v>73530</v>
      </c>
      <c r="L1125" s="213" t="s">
        <v>73592</v>
      </c>
      <c r="M1125" s="213" t="s">
        <v>73654</v>
      </c>
      <c r="N1125" s="213" t="s">
        <v>9469</v>
      </c>
      <c r="O1125" s="213" t="s">
        <v>9470</v>
      </c>
      <c r="P1125" s="213" t="s">
        <v>9471</v>
      </c>
      <c r="Q1125" s="213" t="s">
        <v>9472</v>
      </c>
      <c r="R1125" s="213" t="s">
        <v>9473</v>
      </c>
      <c r="S1125" s="213" t="s">
        <v>9474</v>
      </c>
      <c r="T1125" s="213" t="s">
        <v>9475</v>
      </c>
      <c r="U1125" s="213" t="s">
        <v>73716</v>
      </c>
    </row>
    <row r="1126" spans="1:21" x14ac:dyDescent="0.25">
      <c r="A1126" s="213" t="s">
        <v>327</v>
      </c>
      <c r="D1126" s="213" t="s">
        <v>9476</v>
      </c>
      <c r="E1126" s="213" t="s">
        <v>9477</v>
      </c>
      <c r="K1126" s="213" t="s">
        <v>73531</v>
      </c>
      <c r="L1126" s="213" t="s">
        <v>73593</v>
      </c>
      <c r="M1126" s="213" t="s">
        <v>73655</v>
      </c>
      <c r="N1126" s="213" t="s">
        <v>9478</v>
      </c>
      <c r="O1126" s="213" t="s">
        <v>9479</v>
      </c>
      <c r="P1126" s="213" t="s">
        <v>9480</v>
      </c>
      <c r="Q1126" s="213" t="s">
        <v>9481</v>
      </c>
      <c r="R1126" s="213" t="s">
        <v>9482</v>
      </c>
      <c r="S1126" s="213" t="s">
        <v>9483</v>
      </c>
      <c r="T1126" s="213" t="s">
        <v>9484</v>
      </c>
      <c r="U1126" s="213" t="s">
        <v>73717</v>
      </c>
    </row>
    <row r="1127" spans="1:21" x14ac:dyDescent="0.25">
      <c r="A1127" s="213" t="s">
        <v>327</v>
      </c>
      <c r="D1127" s="213" t="s">
        <v>9485</v>
      </c>
      <c r="E1127" s="213" t="s">
        <v>9486</v>
      </c>
      <c r="K1127" s="213" t="s">
        <v>73532</v>
      </c>
      <c r="L1127" s="213" t="s">
        <v>73594</v>
      </c>
      <c r="M1127" s="213" t="s">
        <v>73656</v>
      </c>
      <c r="N1127" s="213" t="s">
        <v>9487</v>
      </c>
      <c r="O1127" s="213" t="s">
        <v>9488</v>
      </c>
      <c r="P1127" s="213" t="s">
        <v>9489</v>
      </c>
      <c r="Q1127" s="213" t="s">
        <v>9490</v>
      </c>
      <c r="R1127" s="213" t="s">
        <v>9491</v>
      </c>
      <c r="S1127" s="213" t="s">
        <v>9492</v>
      </c>
      <c r="T1127" s="213" t="s">
        <v>9493</v>
      </c>
      <c r="U1127" s="213" t="s">
        <v>73718</v>
      </c>
    </row>
    <row r="1128" spans="1:21" x14ac:dyDescent="0.25">
      <c r="A1128" s="213" t="s">
        <v>327</v>
      </c>
      <c r="D1128" s="213" t="s">
        <v>9494</v>
      </c>
      <c r="E1128" s="213" t="s">
        <v>9495</v>
      </c>
      <c r="K1128" s="213" t="s">
        <v>73533</v>
      </c>
      <c r="L1128" s="213" t="s">
        <v>73595</v>
      </c>
      <c r="M1128" s="213" t="s">
        <v>73657</v>
      </c>
      <c r="N1128" s="213" t="s">
        <v>9496</v>
      </c>
      <c r="O1128" s="213" t="s">
        <v>9497</v>
      </c>
      <c r="P1128" s="213" t="s">
        <v>9498</v>
      </c>
      <c r="Q1128" s="213" t="s">
        <v>9499</v>
      </c>
      <c r="R1128" s="213" t="s">
        <v>9500</v>
      </c>
      <c r="S1128" s="213" t="s">
        <v>9501</v>
      </c>
      <c r="T1128" s="213" t="s">
        <v>9502</v>
      </c>
      <c r="U1128" s="213" t="s">
        <v>73719</v>
      </c>
    </row>
    <row r="1129" spans="1:21" x14ac:dyDescent="0.25">
      <c r="A1129" s="213" t="s">
        <v>327</v>
      </c>
      <c r="D1129" s="213" t="s">
        <v>9503</v>
      </c>
      <c r="E1129" s="213" t="s">
        <v>9504</v>
      </c>
      <c r="K1129" s="213" t="s">
        <v>73534</v>
      </c>
      <c r="L1129" s="213" t="s">
        <v>73596</v>
      </c>
      <c r="M1129" s="213" t="s">
        <v>73658</v>
      </c>
      <c r="N1129" s="213" t="s">
        <v>9505</v>
      </c>
      <c r="O1129" s="213" t="s">
        <v>9506</v>
      </c>
      <c r="P1129" s="213" t="s">
        <v>9507</v>
      </c>
      <c r="Q1129" s="213" t="s">
        <v>9508</v>
      </c>
      <c r="R1129" s="213" t="s">
        <v>9509</v>
      </c>
      <c r="S1129" s="213" t="s">
        <v>9510</v>
      </c>
      <c r="T1129" s="213" t="s">
        <v>9511</v>
      </c>
      <c r="U1129" s="213" t="s">
        <v>73720</v>
      </c>
    </row>
    <row r="1130" spans="1:21" x14ac:dyDescent="0.25">
      <c r="A1130" s="213" t="s">
        <v>327</v>
      </c>
      <c r="D1130" s="213" t="s">
        <v>9512</v>
      </c>
      <c r="E1130" s="213" t="s">
        <v>9513</v>
      </c>
      <c r="K1130" s="213" t="s">
        <v>73535</v>
      </c>
      <c r="L1130" s="213" t="s">
        <v>73597</v>
      </c>
      <c r="M1130" s="213" t="s">
        <v>73659</v>
      </c>
      <c r="N1130" s="213" t="s">
        <v>9514</v>
      </c>
      <c r="O1130" s="213" t="s">
        <v>9515</v>
      </c>
      <c r="P1130" s="213" t="s">
        <v>9516</v>
      </c>
      <c r="Q1130" s="213" t="s">
        <v>9517</v>
      </c>
      <c r="R1130" s="213" t="s">
        <v>9518</v>
      </c>
      <c r="S1130" s="213" t="s">
        <v>9519</v>
      </c>
      <c r="T1130" s="213" t="s">
        <v>9520</v>
      </c>
      <c r="U1130" s="213" t="s">
        <v>73721</v>
      </c>
    </row>
    <row r="1131" spans="1:21" x14ac:dyDescent="0.25">
      <c r="A1131" s="213" t="s">
        <v>327</v>
      </c>
      <c r="D1131" s="213" t="s">
        <v>9521</v>
      </c>
      <c r="E1131" s="213" t="s">
        <v>9522</v>
      </c>
      <c r="K1131" s="213" t="s">
        <v>73536</v>
      </c>
      <c r="L1131" s="213" t="s">
        <v>73598</v>
      </c>
      <c r="M1131" s="213" t="s">
        <v>73660</v>
      </c>
      <c r="N1131" s="213" t="s">
        <v>9523</v>
      </c>
      <c r="O1131" s="213" t="s">
        <v>9524</v>
      </c>
      <c r="P1131" s="213" t="s">
        <v>9525</v>
      </c>
      <c r="Q1131" s="213" t="s">
        <v>9526</v>
      </c>
      <c r="R1131" s="213" t="s">
        <v>9527</v>
      </c>
      <c r="S1131" s="213" t="s">
        <v>9528</v>
      </c>
      <c r="T1131" s="213" t="s">
        <v>9529</v>
      </c>
      <c r="U1131" s="213" t="s">
        <v>73722</v>
      </c>
    </row>
    <row r="1132" spans="1:21" x14ac:dyDescent="0.25">
      <c r="A1132" s="213" t="s">
        <v>327</v>
      </c>
      <c r="D1132" s="213" t="s">
        <v>9530</v>
      </c>
      <c r="E1132" s="213" t="s">
        <v>9531</v>
      </c>
      <c r="K1132" s="213" t="s">
        <v>73537</v>
      </c>
      <c r="L1132" s="213" t="s">
        <v>73599</v>
      </c>
      <c r="M1132" s="213" t="s">
        <v>73661</v>
      </c>
      <c r="N1132" s="213" t="s">
        <v>9532</v>
      </c>
      <c r="O1132" s="213" t="s">
        <v>9533</v>
      </c>
      <c r="P1132" s="213" t="s">
        <v>9534</v>
      </c>
      <c r="Q1132" s="213" t="s">
        <v>9535</v>
      </c>
      <c r="R1132" s="213" t="s">
        <v>9536</v>
      </c>
      <c r="S1132" s="213" t="s">
        <v>9537</v>
      </c>
      <c r="T1132" s="213" t="s">
        <v>9538</v>
      </c>
      <c r="U1132" s="213" t="s">
        <v>73723</v>
      </c>
    </row>
    <row r="1133" spans="1:21" x14ac:dyDescent="0.25">
      <c r="A1133" s="213" t="s">
        <v>327</v>
      </c>
      <c r="D1133" s="213" t="s">
        <v>9539</v>
      </c>
      <c r="E1133" s="213" t="s">
        <v>9540</v>
      </c>
      <c r="K1133" s="213" t="s">
        <v>73538</v>
      </c>
      <c r="L1133" s="213" t="s">
        <v>73600</v>
      </c>
      <c r="M1133" s="213" t="s">
        <v>73662</v>
      </c>
      <c r="N1133" s="213" t="s">
        <v>9541</v>
      </c>
      <c r="O1133" s="213" t="s">
        <v>9542</v>
      </c>
      <c r="P1133" s="213" t="s">
        <v>9543</v>
      </c>
      <c r="Q1133" s="213" t="s">
        <v>9544</v>
      </c>
      <c r="R1133" s="213" t="s">
        <v>9545</v>
      </c>
      <c r="S1133" s="213" t="s">
        <v>9546</v>
      </c>
      <c r="T1133" s="213" t="s">
        <v>9547</v>
      </c>
      <c r="U1133" s="213" t="s">
        <v>73724</v>
      </c>
    </row>
    <row r="1134" spans="1:21" x14ac:dyDescent="0.25">
      <c r="A1134" s="213" t="s">
        <v>327</v>
      </c>
      <c r="D1134" s="213" t="s">
        <v>9548</v>
      </c>
      <c r="E1134" s="213" t="s">
        <v>9549</v>
      </c>
      <c r="K1134" s="213" t="s">
        <v>73539</v>
      </c>
      <c r="L1134" s="213" t="s">
        <v>73601</v>
      </c>
      <c r="M1134" s="213" t="s">
        <v>73663</v>
      </c>
      <c r="N1134" s="213" t="s">
        <v>9550</v>
      </c>
      <c r="O1134" s="213" t="s">
        <v>9551</v>
      </c>
      <c r="P1134" s="213" t="s">
        <v>9552</v>
      </c>
      <c r="Q1134" s="213" t="s">
        <v>9553</v>
      </c>
      <c r="R1134" s="213" t="s">
        <v>9554</v>
      </c>
      <c r="S1134" s="213" t="s">
        <v>9555</v>
      </c>
      <c r="T1134" s="213" t="s">
        <v>9556</v>
      </c>
      <c r="U1134" s="213" t="s">
        <v>73725</v>
      </c>
    </row>
    <row r="1135" spans="1:21" x14ac:dyDescent="0.25">
      <c r="A1135" s="213" t="s">
        <v>327</v>
      </c>
      <c r="D1135" s="213" t="s">
        <v>9557</v>
      </c>
      <c r="E1135" s="213" t="s">
        <v>9558</v>
      </c>
      <c r="K1135" s="213" t="s">
        <v>73540</v>
      </c>
      <c r="L1135" s="213" t="s">
        <v>73602</v>
      </c>
      <c r="M1135" s="213" t="s">
        <v>73664</v>
      </c>
      <c r="N1135" s="213" t="s">
        <v>9559</v>
      </c>
      <c r="O1135" s="213" t="s">
        <v>9560</v>
      </c>
      <c r="P1135" s="213" t="s">
        <v>9561</v>
      </c>
      <c r="Q1135" s="213" t="s">
        <v>9562</v>
      </c>
      <c r="R1135" s="213" t="s">
        <v>9563</v>
      </c>
      <c r="S1135" s="213" t="s">
        <v>9564</v>
      </c>
      <c r="T1135" s="213" t="s">
        <v>9565</v>
      </c>
      <c r="U1135" s="213" t="s">
        <v>73726</v>
      </c>
    </row>
    <row r="1136" spans="1:21" x14ac:dyDescent="0.25">
      <c r="A1136" s="213" t="s">
        <v>327</v>
      </c>
      <c r="D1136" s="213" t="s">
        <v>9566</v>
      </c>
      <c r="E1136" s="213" t="s">
        <v>9567</v>
      </c>
      <c r="K1136" s="213" t="s">
        <v>73541</v>
      </c>
      <c r="L1136" s="213" t="s">
        <v>73603</v>
      </c>
      <c r="M1136" s="213" t="s">
        <v>73665</v>
      </c>
      <c r="N1136" s="213" t="s">
        <v>9568</v>
      </c>
      <c r="O1136" s="213" t="s">
        <v>9569</v>
      </c>
      <c r="P1136" s="213" t="s">
        <v>9570</v>
      </c>
      <c r="Q1136" s="213" t="s">
        <v>9571</v>
      </c>
      <c r="R1136" s="213" t="s">
        <v>9572</v>
      </c>
      <c r="S1136" s="213" t="s">
        <v>9573</v>
      </c>
      <c r="T1136" s="213" t="s">
        <v>9574</v>
      </c>
      <c r="U1136" s="213" t="s">
        <v>73727</v>
      </c>
    </row>
    <row r="1137" spans="1:21" x14ac:dyDescent="0.25">
      <c r="A1137" s="213" t="s">
        <v>327</v>
      </c>
      <c r="D1137" s="213" t="s">
        <v>9575</v>
      </c>
      <c r="E1137" s="213" t="s">
        <v>9576</v>
      </c>
      <c r="K1137" s="213" t="s">
        <v>73542</v>
      </c>
      <c r="L1137" s="213" t="s">
        <v>73604</v>
      </c>
      <c r="M1137" s="213" t="s">
        <v>73666</v>
      </c>
      <c r="N1137" s="213" t="s">
        <v>9577</v>
      </c>
      <c r="O1137" s="213" t="s">
        <v>9578</v>
      </c>
      <c r="P1137" s="213" t="s">
        <v>9579</v>
      </c>
      <c r="Q1137" s="213" t="s">
        <v>9580</v>
      </c>
      <c r="R1137" s="213" t="s">
        <v>9581</v>
      </c>
      <c r="S1137" s="213" t="s">
        <v>9582</v>
      </c>
      <c r="T1137" s="213" t="s">
        <v>9583</v>
      </c>
      <c r="U1137" s="213" t="s">
        <v>73728</v>
      </c>
    </row>
    <row r="1138" spans="1:21" x14ac:dyDescent="0.25">
      <c r="A1138" s="213" t="s">
        <v>327</v>
      </c>
      <c r="D1138" s="213" t="s">
        <v>9584</v>
      </c>
      <c r="E1138" s="213" t="s">
        <v>9585</v>
      </c>
      <c r="K1138" s="213" t="s">
        <v>73543</v>
      </c>
      <c r="L1138" s="213" t="s">
        <v>73605</v>
      </c>
      <c r="M1138" s="213" t="s">
        <v>73667</v>
      </c>
      <c r="N1138" s="213" t="s">
        <v>9586</v>
      </c>
      <c r="O1138" s="213" t="s">
        <v>9587</v>
      </c>
      <c r="P1138" s="213" t="s">
        <v>9588</v>
      </c>
      <c r="Q1138" s="213" t="s">
        <v>9589</v>
      </c>
      <c r="R1138" s="213" t="s">
        <v>9590</v>
      </c>
      <c r="S1138" s="213" t="s">
        <v>9591</v>
      </c>
      <c r="T1138" s="213" t="s">
        <v>9592</v>
      </c>
      <c r="U1138" s="213" t="s">
        <v>73729</v>
      </c>
    </row>
    <row r="1139" spans="1:21" x14ac:dyDescent="0.25">
      <c r="A1139" s="213" t="s">
        <v>327</v>
      </c>
      <c r="D1139" s="213" t="s">
        <v>9593</v>
      </c>
      <c r="E1139" s="213" t="s">
        <v>9594</v>
      </c>
      <c r="K1139" s="213" t="s">
        <v>73544</v>
      </c>
      <c r="L1139" s="213" t="s">
        <v>73606</v>
      </c>
      <c r="M1139" s="213" t="s">
        <v>73668</v>
      </c>
      <c r="N1139" s="213" t="s">
        <v>9595</v>
      </c>
      <c r="O1139" s="213" t="s">
        <v>9596</v>
      </c>
      <c r="P1139" s="213" t="s">
        <v>9597</v>
      </c>
      <c r="Q1139" s="213" t="s">
        <v>9598</v>
      </c>
      <c r="R1139" s="213" t="s">
        <v>9599</v>
      </c>
      <c r="S1139" s="213" t="s">
        <v>9600</v>
      </c>
      <c r="T1139" s="213" t="s">
        <v>9601</v>
      </c>
      <c r="U1139" s="213" t="s">
        <v>73730</v>
      </c>
    </row>
    <row r="1140" spans="1:21" x14ac:dyDescent="0.25">
      <c r="A1140" s="213" t="s">
        <v>327</v>
      </c>
      <c r="D1140" s="213" t="s">
        <v>9602</v>
      </c>
      <c r="E1140" s="213" t="s">
        <v>9603</v>
      </c>
      <c r="K1140" s="213" t="s">
        <v>73545</v>
      </c>
      <c r="L1140" s="213" t="s">
        <v>73607</v>
      </c>
      <c r="M1140" s="213" t="s">
        <v>73669</v>
      </c>
      <c r="N1140" s="213" t="s">
        <v>9604</v>
      </c>
      <c r="O1140" s="213" t="s">
        <v>9605</v>
      </c>
      <c r="P1140" s="213" t="s">
        <v>9606</v>
      </c>
      <c r="Q1140" s="213" t="s">
        <v>9607</v>
      </c>
      <c r="R1140" s="213" t="s">
        <v>9608</v>
      </c>
      <c r="S1140" s="213" t="s">
        <v>9609</v>
      </c>
      <c r="T1140" s="213" t="s">
        <v>9610</v>
      </c>
      <c r="U1140" s="213" t="s">
        <v>73731</v>
      </c>
    </row>
    <row r="1141" spans="1:21" x14ac:dyDescent="0.25">
      <c r="A1141" s="213" t="s">
        <v>327</v>
      </c>
      <c r="D1141" s="213" t="s">
        <v>9611</v>
      </c>
      <c r="E1141" s="213" t="s">
        <v>9612</v>
      </c>
      <c r="K1141" s="213" t="s">
        <v>73546</v>
      </c>
      <c r="L1141" s="213" t="s">
        <v>73608</v>
      </c>
      <c r="M1141" s="213" t="s">
        <v>73670</v>
      </c>
      <c r="N1141" s="213" t="s">
        <v>9613</v>
      </c>
      <c r="O1141" s="213" t="s">
        <v>9614</v>
      </c>
      <c r="P1141" s="213" t="s">
        <v>9615</v>
      </c>
      <c r="Q1141" s="213" t="s">
        <v>9616</v>
      </c>
      <c r="R1141" s="213" t="s">
        <v>9617</v>
      </c>
      <c r="S1141" s="213" t="s">
        <v>9618</v>
      </c>
      <c r="T1141" s="213" t="s">
        <v>9619</v>
      </c>
      <c r="U1141" s="213" t="s">
        <v>73732</v>
      </c>
    </row>
    <row r="1142" spans="1:21" x14ac:dyDescent="0.25">
      <c r="A1142" s="213" t="s">
        <v>327</v>
      </c>
      <c r="D1142" s="213" t="s">
        <v>9620</v>
      </c>
      <c r="E1142" s="213" t="s">
        <v>9621</v>
      </c>
      <c r="K1142" s="213" t="s">
        <v>73547</v>
      </c>
      <c r="L1142" s="213" t="s">
        <v>73609</v>
      </c>
      <c r="M1142" s="213" t="s">
        <v>73671</v>
      </c>
      <c r="N1142" s="213" t="s">
        <v>9622</v>
      </c>
      <c r="O1142" s="213" t="s">
        <v>9623</v>
      </c>
      <c r="P1142" s="213" t="s">
        <v>9624</v>
      </c>
      <c r="Q1142" s="213" t="s">
        <v>9625</v>
      </c>
      <c r="R1142" s="213" t="s">
        <v>9626</v>
      </c>
      <c r="S1142" s="213" t="s">
        <v>9627</v>
      </c>
      <c r="T1142" s="213" t="s">
        <v>9628</v>
      </c>
      <c r="U1142" s="213" t="s">
        <v>73733</v>
      </c>
    </row>
    <row r="1143" spans="1:21" x14ac:dyDescent="0.25">
      <c r="A1143" s="213" t="s">
        <v>327</v>
      </c>
      <c r="D1143" s="213" t="s">
        <v>9629</v>
      </c>
      <c r="E1143" s="213" t="s">
        <v>9630</v>
      </c>
      <c r="K1143" s="213" t="s">
        <v>73548</v>
      </c>
      <c r="L1143" s="213" t="s">
        <v>73610</v>
      </c>
      <c r="M1143" s="213" t="s">
        <v>73672</v>
      </c>
      <c r="N1143" s="213" t="s">
        <v>9631</v>
      </c>
      <c r="O1143" s="213" t="s">
        <v>9632</v>
      </c>
      <c r="P1143" s="213" t="s">
        <v>9633</v>
      </c>
      <c r="Q1143" s="213" t="s">
        <v>9634</v>
      </c>
      <c r="R1143" s="213" t="s">
        <v>9635</v>
      </c>
      <c r="S1143" s="213" t="s">
        <v>9636</v>
      </c>
      <c r="T1143" s="213" t="s">
        <v>9637</v>
      </c>
      <c r="U1143" s="213" t="s">
        <v>73734</v>
      </c>
    </row>
    <row r="1144" spans="1:21" x14ac:dyDescent="0.25">
      <c r="A1144" s="213" t="s">
        <v>327</v>
      </c>
      <c r="D1144" s="213" t="s">
        <v>9638</v>
      </c>
      <c r="E1144" s="213" t="s">
        <v>9639</v>
      </c>
      <c r="K1144" s="213" t="s">
        <v>73549</v>
      </c>
      <c r="L1144" s="213" t="s">
        <v>73611</v>
      </c>
      <c r="M1144" s="213" t="s">
        <v>73673</v>
      </c>
      <c r="N1144" s="213" t="s">
        <v>9640</v>
      </c>
      <c r="O1144" s="213" t="s">
        <v>9641</v>
      </c>
      <c r="P1144" s="213" t="s">
        <v>9642</v>
      </c>
      <c r="Q1144" s="213" t="s">
        <v>9643</v>
      </c>
      <c r="R1144" s="213" t="s">
        <v>9644</v>
      </c>
      <c r="S1144" s="213" t="s">
        <v>9645</v>
      </c>
      <c r="T1144" s="213" t="s">
        <v>9646</v>
      </c>
      <c r="U1144" s="213" t="s">
        <v>73735</v>
      </c>
    </row>
    <row r="1145" spans="1:21" x14ac:dyDescent="0.25">
      <c r="A1145" s="213" t="s">
        <v>327</v>
      </c>
      <c r="D1145" s="213" t="s">
        <v>9647</v>
      </c>
      <c r="E1145" s="213" t="s">
        <v>9648</v>
      </c>
      <c r="K1145" s="213" t="s">
        <v>73550</v>
      </c>
      <c r="L1145" s="213" t="s">
        <v>73612</v>
      </c>
      <c r="M1145" s="213" t="s">
        <v>73674</v>
      </c>
      <c r="N1145" s="213" t="s">
        <v>9649</v>
      </c>
      <c r="O1145" s="213" t="s">
        <v>9650</v>
      </c>
      <c r="P1145" s="213" t="s">
        <v>9651</v>
      </c>
      <c r="Q1145" s="213" t="s">
        <v>9652</v>
      </c>
      <c r="R1145" s="213" t="s">
        <v>9653</v>
      </c>
      <c r="S1145" s="213" t="s">
        <v>9654</v>
      </c>
      <c r="T1145" s="213" t="s">
        <v>9655</v>
      </c>
      <c r="U1145" s="213" t="s">
        <v>73736</v>
      </c>
    </row>
    <row r="1146" spans="1:21" x14ac:dyDescent="0.25">
      <c r="A1146" s="213" t="s">
        <v>327</v>
      </c>
      <c r="D1146" s="213" t="s">
        <v>9656</v>
      </c>
      <c r="E1146" s="213" t="s">
        <v>9657</v>
      </c>
      <c r="K1146" s="213" t="s">
        <v>73551</v>
      </c>
      <c r="L1146" s="213" t="s">
        <v>73613</v>
      </c>
      <c r="M1146" s="213" t="s">
        <v>73675</v>
      </c>
      <c r="N1146" s="213" t="s">
        <v>9658</v>
      </c>
      <c r="O1146" s="213" t="s">
        <v>9659</v>
      </c>
      <c r="P1146" s="213" t="s">
        <v>9660</v>
      </c>
      <c r="Q1146" s="213" t="s">
        <v>9661</v>
      </c>
      <c r="R1146" s="213" t="s">
        <v>9662</v>
      </c>
      <c r="S1146" s="213" t="s">
        <v>9663</v>
      </c>
      <c r="T1146" s="213" t="s">
        <v>9664</v>
      </c>
      <c r="U1146" s="213" t="s">
        <v>73737</v>
      </c>
    </row>
    <row r="1147" spans="1:21" x14ac:dyDescent="0.25">
      <c r="A1147" s="213" t="s">
        <v>327</v>
      </c>
      <c r="D1147" s="213" t="s">
        <v>9665</v>
      </c>
      <c r="E1147" s="213" t="s">
        <v>9666</v>
      </c>
      <c r="K1147" s="213" t="s">
        <v>73552</v>
      </c>
      <c r="L1147" s="213" t="s">
        <v>73614</v>
      </c>
      <c r="M1147" s="213" t="s">
        <v>73676</v>
      </c>
      <c r="N1147" s="213" t="s">
        <v>9667</v>
      </c>
      <c r="O1147" s="213" t="s">
        <v>9668</v>
      </c>
      <c r="P1147" s="213" t="s">
        <v>9669</v>
      </c>
      <c r="Q1147" s="213" t="s">
        <v>9670</v>
      </c>
      <c r="R1147" s="213" t="s">
        <v>9671</v>
      </c>
      <c r="S1147" s="213" t="s">
        <v>9672</v>
      </c>
      <c r="T1147" s="213" t="s">
        <v>9673</v>
      </c>
      <c r="U1147" s="213" t="s">
        <v>73738</v>
      </c>
    </row>
    <row r="1148" spans="1:21" x14ac:dyDescent="0.25">
      <c r="A1148" s="213" t="s">
        <v>327</v>
      </c>
      <c r="D1148" s="213" t="s">
        <v>9674</v>
      </c>
      <c r="E1148" s="213" t="s">
        <v>9675</v>
      </c>
      <c r="K1148" s="213" t="s">
        <v>73553</v>
      </c>
      <c r="L1148" s="213" t="s">
        <v>73615</v>
      </c>
      <c r="M1148" s="213" t="s">
        <v>73677</v>
      </c>
      <c r="N1148" s="213" t="s">
        <v>9676</v>
      </c>
      <c r="O1148" s="213" t="s">
        <v>9677</v>
      </c>
      <c r="P1148" s="213" t="s">
        <v>9678</v>
      </c>
      <c r="Q1148" s="213" t="s">
        <v>9679</v>
      </c>
      <c r="R1148" s="213" t="s">
        <v>9680</v>
      </c>
      <c r="S1148" s="213" t="s">
        <v>9681</v>
      </c>
      <c r="T1148" s="213" t="s">
        <v>9682</v>
      </c>
      <c r="U1148" s="213" t="s">
        <v>73739</v>
      </c>
    </row>
    <row r="1149" spans="1:21" x14ac:dyDescent="0.25">
      <c r="A1149" s="213" t="s">
        <v>327</v>
      </c>
      <c r="D1149" s="213" t="s">
        <v>9683</v>
      </c>
      <c r="E1149" s="213" t="s">
        <v>9684</v>
      </c>
      <c r="K1149" s="213" t="s">
        <v>73554</v>
      </c>
      <c r="L1149" s="213" t="s">
        <v>73616</v>
      </c>
      <c r="M1149" s="213" t="s">
        <v>73678</v>
      </c>
      <c r="N1149" s="213" t="s">
        <v>9685</v>
      </c>
      <c r="O1149" s="213" t="s">
        <v>9686</v>
      </c>
      <c r="P1149" s="213" t="s">
        <v>9687</v>
      </c>
      <c r="Q1149" s="213" t="s">
        <v>9688</v>
      </c>
      <c r="R1149" s="213" t="s">
        <v>9689</v>
      </c>
      <c r="S1149" s="213" t="s">
        <v>9690</v>
      </c>
      <c r="T1149" s="213" t="s">
        <v>9691</v>
      </c>
      <c r="U1149" s="213" t="s">
        <v>73740</v>
      </c>
    </row>
    <row r="1150" spans="1:21" x14ac:dyDescent="0.25">
      <c r="A1150" s="213" t="s">
        <v>327</v>
      </c>
      <c r="D1150" s="213" t="s">
        <v>9692</v>
      </c>
      <c r="E1150" s="213" t="s">
        <v>9693</v>
      </c>
      <c r="K1150" s="213" t="s">
        <v>73555</v>
      </c>
      <c r="L1150" s="213" t="s">
        <v>73617</v>
      </c>
      <c r="M1150" s="213" t="s">
        <v>73679</v>
      </c>
      <c r="N1150" s="213" t="s">
        <v>9694</v>
      </c>
      <c r="O1150" s="213" t="s">
        <v>9695</v>
      </c>
      <c r="P1150" s="213" t="s">
        <v>9696</v>
      </c>
      <c r="Q1150" s="213" t="s">
        <v>9697</v>
      </c>
      <c r="R1150" s="213" t="s">
        <v>9698</v>
      </c>
      <c r="S1150" s="213" t="s">
        <v>9699</v>
      </c>
      <c r="T1150" s="213" t="s">
        <v>9700</v>
      </c>
      <c r="U1150" s="213" t="s">
        <v>73741</v>
      </c>
    </row>
    <row r="1151" spans="1:21" x14ac:dyDescent="0.25">
      <c r="A1151" s="213" t="s">
        <v>327</v>
      </c>
      <c r="D1151" s="213" t="s">
        <v>9701</v>
      </c>
      <c r="E1151" s="213" t="s">
        <v>9702</v>
      </c>
      <c r="K1151" s="213" t="s">
        <v>73556</v>
      </c>
      <c r="L1151" s="213" t="s">
        <v>73618</v>
      </c>
      <c r="M1151" s="213" t="s">
        <v>73680</v>
      </c>
      <c r="N1151" s="213" t="s">
        <v>9703</v>
      </c>
      <c r="O1151" s="213" t="s">
        <v>9704</v>
      </c>
      <c r="P1151" s="213" t="s">
        <v>9705</v>
      </c>
      <c r="Q1151" s="213" t="s">
        <v>9706</v>
      </c>
      <c r="R1151" s="213" t="s">
        <v>9707</v>
      </c>
      <c r="S1151" s="213" t="s">
        <v>9708</v>
      </c>
      <c r="T1151" s="213" t="s">
        <v>9709</v>
      </c>
      <c r="U1151" s="213" t="s">
        <v>73742</v>
      </c>
    </row>
    <row r="1152" spans="1:21" x14ac:dyDescent="0.25">
      <c r="A1152" s="213" t="s">
        <v>327</v>
      </c>
      <c r="D1152" s="213" t="s">
        <v>9710</v>
      </c>
      <c r="E1152" s="213" t="s">
        <v>9711</v>
      </c>
      <c r="K1152" s="213" t="s">
        <v>73557</v>
      </c>
      <c r="L1152" s="213" t="s">
        <v>73619</v>
      </c>
      <c r="M1152" s="213" t="s">
        <v>73681</v>
      </c>
      <c r="N1152" s="213" t="s">
        <v>9712</v>
      </c>
      <c r="O1152" s="213" t="s">
        <v>9713</v>
      </c>
      <c r="P1152" s="213" t="s">
        <v>9714</v>
      </c>
      <c r="Q1152" s="213" t="s">
        <v>9715</v>
      </c>
      <c r="R1152" s="213" t="s">
        <v>9716</v>
      </c>
      <c r="S1152" s="213" t="s">
        <v>9717</v>
      </c>
      <c r="T1152" s="213" t="s">
        <v>9718</v>
      </c>
      <c r="U1152" s="213" t="s">
        <v>73743</v>
      </c>
    </row>
    <row r="1153" spans="1:21" x14ac:dyDescent="0.25">
      <c r="A1153" s="213" t="s">
        <v>327</v>
      </c>
      <c r="D1153" s="213" t="s">
        <v>9719</v>
      </c>
      <c r="E1153" s="213" t="s">
        <v>9720</v>
      </c>
      <c r="K1153" s="213" t="s">
        <v>73558</v>
      </c>
      <c r="L1153" s="213" t="s">
        <v>73620</v>
      </c>
      <c r="M1153" s="213" t="s">
        <v>73682</v>
      </c>
      <c r="N1153" s="213" t="s">
        <v>9721</v>
      </c>
      <c r="O1153" s="213" t="s">
        <v>9722</v>
      </c>
      <c r="P1153" s="213" t="s">
        <v>9723</v>
      </c>
      <c r="Q1153" s="213" t="s">
        <v>9724</v>
      </c>
      <c r="R1153" s="213" t="s">
        <v>9725</v>
      </c>
      <c r="S1153" s="213" t="s">
        <v>9726</v>
      </c>
      <c r="T1153" s="213" t="s">
        <v>9727</v>
      </c>
      <c r="U1153" s="213" t="s">
        <v>73744</v>
      </c>
    </row>
    <row r="1154" spans="1:21" x14ac:dyDescent="0.25">
      <c r="A1154" s="213" t="s">
        <v>327</v>
      </c>
      <c r="D1154" s="213" t="s">
        <v>9728</v>
      </c>
      <c r="E1154" s="213" t="s">
        <v>9729</v>
      </c>
      <c r="K1154" s="213" t="s">
        <v>73559</v>
      </c>
      <c r="L1154" s="213" t="s">
        <v>73621</v>
      </c>
      <c r="M1154" s="213" t="s">
        <v>73683</v>
      </c>
      <c r="N1154" s="213" t="s">
        <v>9730</v>
      </c>
      <c r="O1154" s="213" t="s">
        <v>9731</v>
      </c>
      <c r="P1154" s="213" t="s">
        <v>9732</v>
      </c>
      <c r="Q1154" s="213" t="s">
        <v>9733</v>
      </c>
      <c r="R1154" s="213" t="s">
        <v>9734</v>
      </c>
      <c r="S1154" s="213" t="s">
        <v>9735</v>
      </c>
      <c r="T1154" s="213" t="s">
        <v>9736</v>
      </c>
      <c r="U1154" s="213" t="s">
        <v>73745</v>
      </c>
    </row>
    <row r="1155" spans="1:21" x14ac:dyDescent="0.25">
      <c r="A1155" s="213" t="s">
        <v>327</v>
      </c>
      <c r="D1155" s="213" t="s">
        <v>9737</v>
      </c>
      <c r="E1155" s="213" t="s">
        <v>9738</v>
      </c>
      <c r="K1155" s="213" t="s">
        <v>73560</v>
      </c>
      <c r="L1155" s="213" t="s">
        <v>73622</v>
      </c>
      <c r="M1155" s="213" t="s">
        <v>73684</v>
      </c>
      <c r="N1155" s="213" t="s">
        <v>9739</v>
      </c>
      <c r="O1155" s="213" t="s">
        <v>9740</v>
      </c>
      <c r="P1155" s="213" t="s">
        <v>9741</v>
      </c>
      <c r="Q1155" s="213" t="s">
        <v>9742</v>
      </c>
      <c r="R1155" s="213" t="s">
        <v>9743</v>
      </c>
      <c r="S1155" s="213" t="s">
        <v>9744</v>
      </c>
      <c r="T1155" s="213" t="s">
        <v>9745</v>
      </c>
      <c r="U1155" s="213" t="s">
        <v>73746</v>
      </c>
    </row>
    <row r="1156" spans="1:21" x14ac:dyDescent="0.25">
      <c r="A1156" s="213" t="s">
        <v>327</v>
      </c>
      <c r="D1156" s="213" t="s">
        <v>9746</v>
      </c>
      <c r="E1156" s="213" t="s">
        <v>9747</v>
      </c>
      <c r="K1156" s="213" t="s">
        <v>73561</v>
      </c>
      <c r="L1156" s="213" t="s">
        <v>73623</v>
      </c>
      <c r="M1156" s="213" t="s">
        <v>73685</v>
      </c>
      <c r="N1156" s="213" t="s">
        <v>9748</v>
      </c>
      <c r="O1156" s="213" t="s">
        <v>9749</v>
      </c>
      <c r="P1156" s="213" t="s">
        <v>9750</v>
      </c>
      <c r="Q1156" s="213" t="s">
        <v>9751</v>
      </c>
      <c r="R1156" s="213" t="s">
        <v>9752</v>
      </c>
      <c r="S1156" s="213" t="s">
        <v>9753</v>
      </c>
      <c r="T1156" s="213" t="s">
        <v>9754</v>
      </c>
      <c r="U1156" s="213" t="s">
        <v>73747</v>
      </c>
    </row>
    <row r="1157" spans="1:21" x14ac:dyDescent="0.25">
      <c r="A1157" s="213" t="s">
        <v>327</v>
      </c>
      <c r="D1157" s="213" t="s">
        <v>9755</v>
      </c>
      <c r="E1157" s="213" t="s">
        <v>9756</v>
      </c>
      <c r="K1157" s="213" t="s">
        <v>73562</v>
      </c>
      <c r="L1157" s="213" t="s">
        <v>73624</v>
      </c>
      <c r="M1157" s="213" t="s">
        <v>73686</v>
      </c>
      <c r="N1157" s="213" t="s">
        <v>9757</v>
      </c>
      <c r="O1157" s="213" t="s">
        <v>9758</v>
      </c>
      <c r="P1157" s="213" t="s">
        <v>9759</v>
      </c>
      <c r="Q1157" s="213" t="s">
        <v>9760</v>
      </c>
      <c r="R1157" s="213" t="s">
        <v>9761</v>
      </c>
      <c r="S1157" s="213" t="s">
        <v>9762</v>
      </c>
      <c r="T1157" s="213" t="s">
        <v>9763</v>
      </c>
      <c r="U1157" s="213" t="s">
        <v>73748</v>
      </c>
    </row>
    <row r="1158" spans="1:21" x14ac:dyDescent="0.25">
      <c r="A1158" s="213" t="s">
        <v>327</v>
      </c>
      <c r="D1158" s="213" t="s">
        <v>9764</v>
      </c>
      <c r="E1158" s="213" t="s">
        <v>9765</v>
      </c>
      <c r="K1158" s="213" t="s">
        <v>73563</v>
      </c>
      <c r="L1158" s="213" t="s">
        <v>73625</v>
      </c>
      <c r="M1158" s="213" t="s">
        <v>73687</v>
      </c>
      <c r="N1158" s="213" t="s">
        <v>9766</v>
      </c>
      <c r="O1158" s="213" t="s">
        <v>9767</v>
      </c>
      <c r="P1158" s="213" t="s">
        <v>9768</v>
      </c>
      <c r="Q1158" s="213" t="s">
        <v>9769</v>
      </c>
      <c r="R1158" s="213" t="s">
        <v>9770</v>
      </c>
      <c r="S1158" s="213" t="s">
        <v>9771</v>
      </c>
      <c r="T1158" s="213" t="s">
        <v>9772</v>
      </c>
      <c r="U1158" s="213" t="s">
        <v>73749</v>
      </c>
    </row>
    <row r="1159" spans="1:21" x14ac:dyDescent="0.25">
      <c r="A1159" s="213" t="s">
        <v>327</v>
      </c>
      <c r="D1159" s="213" t="s">
        <v>9773</v>
      </c>
      <c r="E1159" s="213" t="s">
        <v>9774</v>
      </c>
      <c r="K1159" s="213" t="s">
        <v>73564</v>
      </c>
      <c r="L1159" s="213" t="s">
        <v>73626</v>
      </c>
      <c r="M1159" s="213" t="s">
        <v>73688</v>
      </c>
      <c r="N1159" s="213" t="s">
        <v>9775</v>
      </c>
      <c r="O1159" s="213" t="s">
        <v>9776</v>
      </c>
      <c r="P1159" s="213" t="s">
        <v>9777</v>
      </c>
      <c r="Q1159" s="213" t="s">
        <v>9778</v>
      </c>
      <c r="R1159" s="213" t="s">
        <v>9779</v>
      </c>
      <c r="S1159" s="213" t="s">
        <v>9780</v>
      </c>
      <c r="T1159" s="213" t="s">
        <v>9781</v>
      </c>
      <c r="U1159" s="213" t="s">
        <v>73750</v>
      </c>
    </row>
    <row r="1160" spans="1:21" x14ac:dyDescent="0.25">
      <c r="A1160" s="213" t="s">
        <v>327</v>
      </c>
      <c r="D1160" s="213" t="s">
        <v>9782</v>
      </c>
      <c r="E1160" s="213" t="s">
        <v>9783</v>
      </c>
      <c r="K1160" s="213" t="s">
        <v>73565</v>
      </c>
      <c r="L1160" s="213" t="s">
        <v>73627</v>
      </c>
      <c r="M1160" s="213" t="s">
        <v>73689</v>
      </c>
      <c r="N1160" s="213" t="s">
        <v>9784</v>
      </c>
      <c r="O1160" s="213" t="s">
        <v>9785</v>
      </c>
      <c r="P1160" s="213" t="s">
        <v>9786</v>
      </c>
      <c r="Q1160" s="213" t="s">
        <v>9787</v>
      </c>
      <c r="R1160" s="213" t="s">
        <v>9788</v>
      </c>
      <c r="S1160" s="213" t="s">
        <v>9789</v>
      </c>
      <c r="T1160" s="213" t="s">
        <v>9790</v>
      </c>
      <c r="U1160" s="213" t="s">
        <v>73751</v>
      </c>
    </row>
    <row r="1161" spans="1:21" x14ac:dyDescent="0.25">
      <c r="A1161" s="213" t="s">
        <v>327</v>
      </c>
      <c r="D1161" s="213" t="s">
        <v>9791</v>
      </c>
      <c r="E1161" s="213" t="s">
        <v>9792</v>
      </c>
      <c r="K1161" s="213" t="s">
        <v>73566</v>
      </c>
      <c r="L1161" s="213" t="s">
        <v>73628</v>
      </c>
      <c r="M1161" s="213" t="s">
        <v>73690</v>
      </c>
      <c r="N1161" s="213" t="s">
        <v>9793</v>
      </c>
      <c r="O1161" s="213" t="s">
        <v>9794</v>
      </c>
      <c r="P1161" s="213" t="s">
        <v>9795</v>
      </c>
      <c r="Q1161" s="213" t="s">
        <v>9796</v>
      </c>
      <c r="R1161" s="213" t="s">
        <v>9797</v>
      </c>
      <c r="S1161" s="213" t="s">
        <v>9798</v>
      </c>
      <c r="T1161" s="213" t="s">
        <v>9799</v>
      </c>
      <c r="U1161" s="213" t="s">
        <v>73752</v>
      </c>
    </row>
    <row r="1162" spans="1:21" x14ac:dyDescent="0.25">
      <c r="A1162" s="213" t="s">
        <v>327</v>
      </c>
      <c r="D1162" s="213" t="s">
        <v>9800</v>
      </c>
      <c r="E1162" s="213" t="s">
        <v>9801</v>
      </c>
      <c r="K1162" s="213" t="s">
        <v>73567</v>
      </c>
      <c r="L1162" s="213" t="s">
        <v>73629</v>
      </c>
      <c r="M1162" s="213" t="s">
        <v>73691</v>
      </c>
      <c r="N1162" s="213" t="s">
        <v>9802</v>
      </c>
      <c r="O1162" s="213" t="s">
        <v>9803</v>
      </c>
      <c r="P1162" s="213" t="s">
        <v>9804</v>
      </c>
      <c r="Q1162" s="213" t="s">
        <v>9805</v>
      </c>
      <c r="R1162" s="213" t="s">
        <v>9806</v>
      </c>
      <c r="S1162" s="213" t="s">
        <v>9807</v>
      </c>
      <c r="T1162" s="213" t="s">
        <v>9808</v>
      </c>
      <c r="U1162" s="213" t="s">
        <v>73753</v>
      </c>
    </row>
    <row r="1163" spans="1:21" x14ac:dyDescent="0.25">
      <c r="A1163" s="213" t="s">
        <v>327</v>
      </c>
      <c r="D1163" s="213" t="s">
        <v>9809</v>
      </c>
      <c r="E1163" s="213" t="s">
        <v>9810</v>
      </c>
      <c r="K1163" s="213" t="s">
        <v>73568</v>
      </c>
      <c r="L1163" s="213" t="s">
        <v>73630</v>
      </c>
      <c r="M1163" s="213" t="s">
        <v>73692</v>
      </c>
      <c r="N1163" s="213" t="s">
        <v>9811</v>
      </c>
      <c r="O1163" s="213" t="s">
        <v>9812</v>
      </c>
      <c r="P1163" s="213" t="s">
        <v>9813</v>
      </c>
      <c r="Q1163" s="213" t="s">
        <v>9814</v>
      </c>
      <c r="R1163" s="213" t="s">
        <v>9815</v>
      </c>
      <c r="S1163" s="213" t="s">
        <v>9816</v>
      </c>
      <c r="T1163" s="213" t="s">
        <v>9817</v>
      </c>
      <c r="U1163" s="213" t="s">
        <v>73754</v>
      </c>
    </row>
    <row r="1164" spans="1:21" x14ac:dyDescent="0.25">
      <c r="A1164" s="213" t="s">
        <v>327</v>
      </c>
      <c r="D1164" s="213" t="s">
        <v>9818</v>
      </c>
      <c r="E1164" s="213" t="s">
        <v>9819</v>
      </c>
      <c r="K1164" s="213" t="s">
        <v>73569</v>
      </c>
      <c r="L1164" s="213" t="s">
        <v>73631</v>
      </c>
      <c r="M1164" s="213" t="s">
        <v>73693</v>
      </c>
      <c r="N1164" s="213" t="s">
        <v>9820</v>
      </c>
      <c r="O1164" s="213" t="s">
        <v>9821</v>
      </c>
      <c r="P1164" s="213" t="s">
        <v>9822</v>
      </c>
      <c r="Q1164" s="213" t="s">
        <v>9823</v>
      </c>
      <c r="R1164" s="213" t="s">
        <v>9824</v>
      </c>
      <c r="S1164" s="213" t="s">
        <v>9825</v>
      </c>
      <c r="T1164" s="213" t="s">
        <v>9826</v>
      </c>
      <c r="U1164" s="213" t="s">
        <v>73755</v>
      </c>
    </row>
    <row r="1165" spans="1:21" x14ac:dyDescent="0.25">
      <c r="A1165" s="213" t="s">
        <v>327</v>
      </c>
      <c r="D1165" s="213" t="s">
        <v>9827</v>
      </c>
      <c r="E1165" s="213" t="s">
        <v>9828</v>
      </c>
      <c r="K1165" s="213" t="s">
        <v>73570</v>
      </c>
      <c r="L1165" s="213" t="s">
        <v>73632</v>
      </c>
      <c r="M1165" s="213" t="s">
        <v>73694</v>
      </c>
      <c r="N1165" s="213" t="s">
        <v>9829</v>
      </c>
      <c r="O1165" s="213" t="s">
        <v>9830</v>
      </c>
      <c r="P1165" s="213" t="s">
        <v>9831</v>
      </c>
      <c r="Q1165" s="213" t="s">
        <v>9832</v>
      </c>
      <c r="R1165" s="213" t="s">
        <v>9833</v>
      </c>
      <c r="S1165" s="213" t="s">
        <v>9834</v>
      </c>
      <c r="T1165" s="213" t="s">
        <v>9835</v>
      </c>
      <c r="U1165" s="213" t="s">
        <v>73756</v>
      </c>
    </row>
    <row r="1166" spans="1:21" x14ac:dyDescent="0.25">
      <c r="A1166" s="213" t="s">
        <v>327</v>
      </c>
      <c r="D1166" s="213" t="s">
        <v>9836</v>
      </c>
      <c r="E1166" s="213" t="s">
        <v>9837</v>
      </c>
      <c r="K1166" s="213" t="s">
        <v>73571</v>
      </c>
      <c r="L1166" s="213" t="s">
        <v>73633</v>
      </c>
      <c r="M1166" s="213" t="s">
        <v>73695</v>
      </c>
      <c r="N1166" s="213" t="s">
        <v>9838</v>
      </c>
      <c r="O1166" s="213" t="s">
        <v>9839</v>
      </c>
      <c r="P1166" s="213" t="s">
        <v>9840</v>
      </c>
      <c r="Q1166" s="213" t="s">
        <v>9841</v>
      </c>
      <c r="R1166" s="213" t="s">
        <v>9842</v>
      </c>
      <c r="S1166" s="213" t="s">
        <v>9843</v>
      </c>
      <c r="T1166" s="213" t="s">
        <v>9844</v>
      </c>
      <c r="U1166" s="213" t="s">
        <v>73757</v>
      </c>
    </row>
    <row r="1167" spans="1:21" x14ac:dyDescent="0.25">
      <c r="A1167" s="213" t="s">
        <v>327</v>
      </c>
      <c r="D1167" s="213" t="s">
        <v>9845</v>
      </c>
      <c r="E1167" s="213" t="s">
        <v>9846</v>
      </c>
      <c r="K1167" s="213" t="s">
        <v>73572</v>
      </c>
      <c r="L1167" s="213" t="s">
        <v>73634</v>
      </c>
      <c r="M1167" s="213" t="s">
        <v>73696</v>
      </c>
      <c r="N1167" s="213" t="s">
        <v>9847</v>
      </c>
      <c r="O1167" s="213" t="s">
        <v>9848</v>
      </c>
      <c r="P1167" s="213" t="s">
        <v>9849</v>
      </c>
      <c r="Q1167" s="213" t="s">
        <v>9850</v>
      </c>
      <c r="R1167" s="213" t="s">
        <v>9851</v>
      </c>
      <c r="S1167" s="213" t="s">
        <v>9852</v>
      </c>
      <c r="T1167" s="213" t="s">
        <v>9853</v>
      </c>
      <c r="U1167" s="213" t="s">
        <v>73758</v>
      </c>
    </row>
    <row r="1168" spans="1:21" x14ac:dyDescent="0.25">
      <c r="A1168" s="213" t="s">
        <v>327</v>
      </c>
      <c r="D1168" s="213" t="s">
        <v>9854</v>
      </c>
      <c r="E1168" s="213" t="s">
        <v>9855</v>
      </c>
      <c r="K1168" s="213" t="s">
        <v>73573</v>
      </c>
      <c r="L1168" s="213" t="s">
        <v>73635</v>
      </c>
      <c r="M1168" s="213" t="s">
        <v>73697</v>
      </c>
      <c r="N1168" s="213" t="s">
        <v>9856</v>
      </c>
      <c r="O1168" s="213" t="s">
        <v>9857</v>
      </c>
      <c r="P1168" s="213" t="s">
        <v>9858</v>
      </c>
      <c r="Q1168" s="213" t="s">
        <v>9859</v>
      </c>
      <c r="R1168" s="213" t="s">
        <v>9860</v>
      </c>
      <c r="S1168" s="213" t="s">
        <v>9861</v>
      </c>
      <c r="T1168" s="213" t="s">
        <v>9862</v>
      </c>
      <c r="U1168" s="213" t="s">
        <v>73759</v>
      </c>
    </row>
    <row r="1169" spans="1:21" x14ac:dyDescent="0.25">
      <c r="A1169" s="213" t="s">
        <v>327</v>
      </c>
      <c r="D1169" s="213" t="s">
        <v>9863</v>
      </c>
      <c r="E1169" s="213" t="s">
        <v>9864</v>
      </c>
      <c r="K1169" s="213" t="s">
        <v>73574</v>
      </c>
      <c r="L1169" s="213" t="s">
        <v>73636</v>
      </c>
      <c r="M1169" s="213" t="s">
        <v>73698</v>
      </c>
      <c r="N1169" s="213" t="s">
        <v>9865</v>
      </c>
      <c r="O1169" s="213" t="s">
        <v>9866</v>
      </c>
      <c r="P1169" s="213" t="s">
        <v>9867</v>
      </c>
      <c r="Q1169" s="213" t="s">
        <v>9868</v>
      </c>
      <c r="R1169" s="213" t="s">
        <v>9869</v>
      </c>
      <c r="S1169" s="213" t="s">
        <v>9870</v>
      </c>
      <c r="T1169" s="213" t="s">
        <v>9871</v>
      </c>
      <c r="U1169" s="213" t="s">
        <v>73760</v>
      </c>
    </row>
    <row r="1170" spans="1:21" x14ac:dyDescent="0.25">
      <c r="A1170" s="213" t="s">
        <v>327</v>
      </c>
      <c r="D1170" s="213" t="s">
        <v>9872</v>
      </c>
      <c r="E1170" s="213" t="s">
        <v>9873</v>
      </c>
      <c r="K1170" s="213" t="s">
        <v>73575</v>
      </c>
      <c r="L1170" s="213" t="s">
        <v>73637</v>
      </c>
      <c r="M1170" s="213" t="s">
        <v>73699</v>
      </c>
      <c r="N1170" s="213" t="s">
        <v>9874</v>
      </c>
      <c r="O1170" s="213" t="s">
        <v>9875</v>
      </c>
      <c r="P1170" s="213" t="s">
        <v>9876</v>
      </c>
      <c r="Q1170" s="213" t="s">
        <v>9877</v>
      </c>
      <c r="R1170" s="213" t="s">
        <v>9878</v>
      </c>
      <c r="S1170" s="213" t="s">
        <v>9879</v>
      </c>
      <c r="T1170" s="213" t="s">
        <v>9880</v>
      </c>
      <c r="U1170" s="213" t="s">
        <v>73761</v>
      </c>
    </row>
    <row r="1171" spans="1:21" x14ac:dyDescent="0.25">
      <c r="A1171" s="213" t="s">
        <v>327</v>
      </c>
      <c r="D1171" s="213" t="s">
        <v>9881</v>
      </c>
      <c r="E1171" s="213" t="s">
        <v>9882</v>
      </c>
      <c r="K1171" s="213" t="s">
        <v>73576</v>
      </c>
      <c r="L1171" s="213" t="s">
        <v>73638</v>
      </c>
      <c r="M1171" s="213" t="s">
        <v>73700</v>
      </c>
      <c r="N1171" s="213" t="s">
        <v>9883</v>
      </c>
      <c r="O1171" s="213" t="s">
        <v>9884</v>
      </c>
      <c r="P1171" s="213" t="s">
        <v>9885</v>
      </c>
      <c r="Q1171" s="213" t="s">
        <v>9886</v>
      </c>
      <c r="R1171" s="213" t="s">
        <v>9887</v>
      </c>
      <c r="S1171" s="213" t="s">
        <v>9888</v>
      </c>
      <c r="T1171" s="213" t="s">
        <v>9889</v>
      </c>
      <c r="U1171" s="213" t="s">
        <v>73762</v>
      </c>
    </row>
    <row r="1172" spans="1:21" x14ac:dyDescent="0.25">
      <c r="A1172" s="213" t="s">
        <v>327</v>
      </c>
      <c r="D1172" s="213" t="s">
        <v>9890</v>
      </c>
      <c r="E1172" s="213" t="s">
        <v>9891</v>
      </c>
      <c r="K1172" s="213" t="s">
        <v>73577</v>
      </c>
      <c r="L1172" s="213" t="s">
        <v>73639</v>
      </c>
      <c r="M1172" s="213" t="s">
        <v>73701</v>
      </c>
      <c r="N1172" s="213" t="s">
        <v>9892</v>
      </c>
      <c r="O1172" s="213" t="s">
        <v>9893</v>
      </c>
      <c r="P1172" s="213" t="s">
        <v>9894</v>
      </c>
      <c r="Q1172" s="213" t="s">
        <v>9895</v>
      </c>
      <c r="R1172" s="213" t="s">
        <v>9896</v>
      </c>
      <c r="S1172" s="213" t="s">
        <v>9897</v>
      </c>
      <c r="T1172" s="213" t="s">
        <v>9898</v>
      </c>
      <c r="U1172" s="213" t="s">
        <v>73763</v>
      </c>
    </row>
    <row r="1173" spans="1:21" x14ac:dyDescent="0.25">
      <c r="A1173" s="213" t="s">
        <v>327</v>
      </c>
      <c r="D1173" s="213" t="s">
        <v>9899</v>
      </c>
      <c r="E1173" s="213" t="s">
        <v>9900</v>
      </c>
      <c r="K1173" s="213" t="s">
        <v>73578</v>
      </c>
      <c r="L1173" s="213" t="s">
        <v>73640</v>
      </c>
      <c r="M1173" s="213" t="s">
        <v>73702</v>
      </c>
      <c r="N1173" s="213" t="s">
        <v>9901</v>
      </c>
      <c r="O1173" s="213" t="s">
        <v>9902</v>
      </c>
      <c r="P1173" s="213" t="s">
        <v>9903</v>
      </c>
      <c r="Q1173" s="213" t="s">
        <v>9904</v>
      </c>
      <c r="R1173" s="213" t="s">
        <v>9905</v>
      </c>
      <c r="S1173" s="213" t="s">
        <v>9906</v>
      </c>
      <c r="T1173" s="213" t="s">
        <v>9907</v>
      </c>
      <c r="U1173" s="213" t="s">
        <v>73764</v>
      </c>
    </row>
    <row r="1174" spans="1:21" x14ac:dyDescent="0.25">
      <c r="A1174" s="213" t="s">
        <v>327</v>
      </c>
      <c r="D1174" s="213" t="s">
        <v>9908</v>
      </c>
      <c r="E1174" s="213" t="s">
        <v>9909</v>
      </c>
      <c r="K1174" s="213" t="s">
        <v>73579</v>
      </c>
      <c r="L1174" s="213" t="s">
        <v>73641</v>
      </c>
      <c r="M1174" s="213" t="s">
        <v>73703</v>
      </c>
      <c r="N1174" s="213" t="s">
        <v>9910</v>
      </c>
      <c r="O1174" s="213" t="s">
        <v>9911</v>
      </c>
      <c r="P1174" s="213" t="s">
        <v>9912</v>
      </c>
      <c r="Q1174" s="213" t="s">
        <v>9913</v>
      </c>
      <c r="R1174" s="213" t="s">
        <v>9914</v>
      </c>
      <c r="S1174" s="213" t="s">
        <v>9915</v>
      </c>
      <c r="T1174" s="213" t="s">
        <v>9916</v>
      </c>
      <c r="U1174" s="213" t="s">
        <v>73765</v>
      </c>
    </row>
    <row r="1175" spans="1:21" x14ac:dyDescent="0.25">
      <c r="A1175" s="213" t="s">
        <v>327</v>
      </c>
    </row>
    <row r="1176" spans="1:21" x14ac:dyDescent="0.25">
      <c r="A1176" s="213" t="s">
        <v>327</v>
      </c>
    </row>
    <row r="1177" spans="1:21" x14ac:dyDescent="0.25">
      <c r="A1177" s="213" t="s">
        <v>327</v>
      </c>
      <c r="C1177" s="213" t="s">
        <v>9917</v>
      </c>
      <c r="E1177" s="213" t="s">
        <v>9918</v>
      </c>
      <c r="H1177" s="213" t="s">
        <v>9919</v>
      </c>
      <c r="I1177" s="213" t="s">
        <v>9920</v>
      </c>
      <c r="J1177" s="213" t="s">
        <v>9921</v>
      </c>
      <c r="L1177" s="213" t="s">
        <v>9922</v>
      </c>
      <c r="O1177" s="213" t="s">
        <v>9923</v>
      </c>
      <c r="P1177" s="213" t="s">
        <v>9924</v>
      </c>
      <c r="Q1177" s="213" t="s">
        <v>9925</v>
      </c>
      <c r="R1177" s="213" t="s">
        <v>9926</v>
      </c>
      <c r="S1177" s="213" t="s">
        <v>9927</v>
      </c>
      <c r="T1177" s="213" t="s">
        <v>9928</v>
      </c>
    </row>
    <row r="1178" spans="1:21" x14ac:dyDescent="0.25">
      <c r="A1178" s="213" t="s">
        <v>327</v>
      </c>
      <c r="C1178" s="213" t="s">
        <v>9929</v>
      </c>
      <c r="E1178" s="213" t="s">
        <v>9930</v>
      </c>
      <c r="I1178" s="213" t="s">
        <v>9931</v>
      </c>
    </row>
    <row r="1179" spans="1:21" x14ac:dyDescent="0.25">
      <c r="A1179" s="213" t="s">
        <v>327</v>
      </c>
      <c r="C1179" s="213" t="s">
        <v>9932</v>
      </c>
      <c r="E1179" s="213" t="s">
        <v>9933</v>
      </c>
      <c r="I1179" s="213" t="s">
        <v>9934</v>
      </c>
    </row>
    <row r="1180" spans="1:21" x14ac:dyDescent="0.25">
      <c r="A1180" s="213" t="s">
        <v>328</v>
      </c>
    </row>
    <row r="1181" spans="1:21" x14ac:dyDescent="0.25">
      <c r="A1181" s="213" t="s">
        <v>327</v>
      </c>
      <c r="D1181" s="213" t="s">
        <v>9935</v>
      </c>
      <c r="E1181" s="213" t="s">
        <v>9936</v>
      </c>
      <c r="K1181" s="213" t="s">
        <v>73382</v>
      </c>
      <c r="L1181" s="213" t="s">
        <v>73416</v>
      </c>
      <c r="M1181" s="213" t="s">
        <v>73450</v>
      </c>
      <c r="N1181" s="213" t="s">
        <v>9937</v>
      </c>
      <c r="O1181" s="213" t="s">
        <v>9938</v>
      </c>
      <c r="P1181" s="213" t="s">
        <v>9939</v>
      </c>
      <c r="Q1181" s="213" t="s">
        <v>9940</v>
      </c>
      <c r="R1181" s="213" t="s">
        <v>9941</v>
      </c>
      <c r="S1181" s="213" t="s">
        <v>9942</v>
      </c>
      <c r="T1181" s="213" t="s">
        <v>9943</v>
      </c>
      <c r="U1181" s="213" t="s">
        <v>73484</v>
      </c>
    </row>
    <row r="1182" spans="1:21" x14ac:dyDescent="0.25">
      <c r="A1182" s="213" t="s">
        <v>327</v>
      </c>
      <c r="D1182" s="213" t="s">
        <v>9944</v>
      </c>
      <c r="E1182" s="213" t="s">
        <v>9945</v>
      </c>
      <c r="K1182" s="213" t="s">
        <v>73383</v>
      </c>
      <c r="L1182" s="213" t="s">
        <v>73417</v>
      </c>
      <c r="M1182" s="213" t="s">
        <v>73451</v>
      </c>
      <c r="N1182" s="213" t="s">
        <v>9946</v>
      </c>
      <c r="O1182" s="213" t="s">
        <v>9947</v>
      </c>
      <c r="P1182" s="213" t="s">
        <v>9948</v>
      </c>
      <c r="Q1182" s="213" t="s">
        <v>9949</v>
      </c>
      <c r="R1182" s="213" t="s">
        <v>9950</v>
      </c>
      <c r="S1182" s="213" t="s">
        <v>9951</v>
      </c>
      <c r="T1182" s="213" t="s">
        <v>9952</v>
      </c>
      <c r="U1182" s="213" t="s">
        <v>73485</v>
      </c>
    </row>
    <row r="1183" spans="1:21" x14ac:dyDescent="0.25">
      <c r="A1183" s="213" t="s">
        <v>327</v>
      </c>
      <c r="D1183" s="213" t="s">
        <v>9953</v>
      </c>
      <c r="E1183" s="213" t="s">
        <v>9954</v>
      </c>
      <c r="K1183" s="213" t="s">
        <v>73384</v>
      </c>
      <c r="L1183" s="213" t="s">
        <v>73418</v>
      </c>
      <c r="M1183" s="213" t="s">
        <v>73452</v>
      </c>
      <c r="N1183" s="213" t="s">
        <v>9955</v>
      </c>
      <c r="O1183" s="213" t="s">
        <v>9956</v>
      </c>
      <c r="P1183" s="213" t="s">
        <v>9957</v>
      </c>
      <c r="Q1183" s="213" t="s">
        <v>9958</v>
      </c>
      <c r="R1183" s="213" t="s">
        <v>9959</v>
      </c>
      <c r="S1183" s="213" t="s">
        <v>9960</v>
      </c>
      <c r="T1183" s="213" t="s">
        <v>9961</v>
      </c>
      <c r="U1183" s="213" t="s">
        <v>73486</v>
      </c>
    </row>
    <row r="1184" spans="1:21" x14ac:dyDescent="0.25">
      <c r="A1184" s="213" t="s">
        <v>327</v>
      </c>
      <c r="D1184" s="213" t="s">
        <v>9962</v>
      </c>
      <c r="E1184" s="213" t="s">
        <v>9963</v>
      </c>
      <c r="K1184" s="213" t="s">
        <v>73385</v>
      </c>
      <c r="L1184" s="213" t="s">
        <v>73419</v>
      </c>
      <c r="M1184" s="213" t="s">
        <v>73453</v>
      </c>
      <c r="N1184" s="213" t="s">
        <v>9964</v>
      </c>
      <c r="O1184" s="213" t="s">
        <v>9965</v>
      </c>
      <c r="P1184" s="213" t="s">
        <v>9966</v>
      </c>
      <c r="Q1184" s="213" t="s">
        <v>9967</v>
      </c>
      <c r="R1184" s="213" t="s">
        <v>9968</v>
      </c>
      <c r="S1184" s="213" t="s">
        <v>9969</v>
      </c>
      <c r="T1184" s="213" t="s">
        <v>9970</v>
      </c>
      <c r="U1184" s="213" t="s">
        <v>73487</v>
      </c>
    </row>
    <row r="1185" spans="1:21" x14ac:dyDescent="0.25">
      <c r="A1185" s="213" t="s">
        <v>327</v>
      </c>
      <c r="D1185" s="213" t="s">
        <v>9971</v>
      </c>
      <c r="E1185" s="213" t="s">
        <v>9972</v>
      </c>
      <c r="K1185" s="213" t="s">
        <v>73386</v>
      </c>
      <c r="L1185" s="213" t="s">
        <v>73420</v>
      </c>
      <c r="M1185" s="213" t="s">
        <v>73454</v>
      </c>
      <c r="N1185" s="213" t="s">
        <v>9973</v>
      </c>
      <c r="O1185" s="213" t="s">
        <v>9974</v>
      </c>
      <c r="P1185" s="213" t="s">
        <v>9975</v>
      </c>
      <c r="Q1185" s="213" t="s">
        <v>9976</v>
      </c>
      <c r="R1185" s="213" t="s">
        <v>9977</v>
      </c>
      <c r="S1185" s="213" t="s">
        <v>9978</v>
      </c>
      <c r="T1185" s="213" t="s">
        <v>9979</v>
      </c>
      <c r="U1185" s="213" t="s">
        <v>73488</v>
      </c>
    </row>
    <row r="1186" spans="1:21" x14ac:dyDescent="0.25">
      <c r="A1186" s="213" t="s">
        <v>327</v>
      </c>
      <c r="D1186" s="213" t="s">
        <v>9980</v>
      </c>
      <c r="E1186" s="213" t="s">
        <v>9981</v>
      </c>
      <c r="K1186" s="213" t="s">
        <v>73387</v>
      </c>
      <c r="L1186" s="213" t="s">
        <v>73421</v>
      </c>
      <c r="M1186" s="213" t="s">
        <v>73455</v>
      </c>
      <c r="N1186" s="213" t="s">
        <v>9982</v>
      </c>
      <c r="O1186" s="213" t="s">
        <v>9983</v>
      </c>
      <c r="P1186" s="213" t="s">
        <v>9984</v>
      </c>
      <c r="Q1186" s="213" t="s">
        <v>9985</v>
      </c>
      <c r="R1186" s="213" t="s">
        <v>9986</v>
      </c>
      <c r="S1186" s="213" t="s">
        <v>9987</v>
      </c>
      <c r="T1186" s="213" t="s">
        <v>9988</v>
      </c>
      <c r="U1186" s="213" t="s">
        <v>73489</v>
      </c>
    </row>
    <row r="1187" spans="1:21" x14ac:dyDescent="0.25">
      <c r="A1187" s="213" t="s">
        <v>327</v>
      </c>
      <c r="D1187" s="213" t="s">
        <v>9989</v>
      </c>
      <c r="E1187" s="213" t="s">
        <v>9990</v>
      </c>
      <c r="K1187" s="213" t="s">
        <v>73388</v>
      </c>
      <c r="L1187" s="213" t="s">
        <v>73422</v>
      </c>
      <c r="M1187" s="213" t="s">
        <v>73456</v>
      </c>
      <c r="N1187" s="213" t="s">
        <v>9991</v>
      </c>
      <c r="O1187" s="213" t="s">
        <v>9992</v>
      </c>
      <c r="P1187" s="213" t="s">
        <v>9993</v>
      </c>
      <c r="Q1187" s="213" t="s">
        <v>9994</v>
      </c>
      <c r="R1187" s="213" t="s">
        <v>9995</v>
      </c>
      <c r="S1187" s="213" t="s">
        <v>9996</v>
      </c>
      <c r="T1187" s="213" t="s">
        <v>9997</v>
      </c>
      <c r="U1187" s="213" t="s">
        <v>73490</v>
      </c>
    </row>
    <row r="1188" spans="1:21" x14ac:dyDescent="0.25">
      <c r="A1188" s="213" t="s">
        <v>327</v>
      </c>
      <c r="D1188" s="213" t="s">
        <v>9998</v>
      </c>
      <c r="E1188" s="213" t="s">
        <v>9999</v>
      </c>
      <c r="K1188" s="213" t="s">
        <v>73389</v>
      </c>
      <c r="L1188" s="213" t="s">
        <v>73423</v>
      </c>
      <c r="M1188" s="213" t="s">
        <v>73457</v>
      </c>
      <c r="N1188" s="213" t="s">
        <v>10000</v>
      </c>
      <c r="O1188" s="213" t="s">
        <v>10001</v>
      </c>
      <c r="P1188" s="213" t="s">
        <v>10002</v>
      </c>
      <c r="Q1188" s="213" t="s">
        <v>10003</v>
      </c>
      <c r="R1188" s="213" t="s">
        <v>10004</v>
      </c>
      <c r="S1188" s="213" t="s">
        <v>10005</v>
      </c>
      <c r="T1188" s="213" t="s">
        <v>10006</v>
      </c>
      <c r="U1188" s="213" t="s">
        <v>73491</v>
      </c>
    </row>
    <row r="1189" spans="1:21" x14ac:dyDescent="0.25">
      <c r="A1189" s="213" t="s">
        <v>327</v>
      </c>
      <c r="D1189" s="213" t="s">
        <v>10007</v>
      </c>
      <c r="E1189" s="213" t="s">
        <v>10008</v>
      </c>
      <c r="K1189" s="213" t="s">
        <v>73390</v>
      </c>
      <c r="L1189" s="213" t="s">
        <v>73424</v>
      </c>
      <c r="M1189" s="213" t="s">
        <v>73458</v>
      </c>
      <c r="N1189" s="213" t="s">
        <v>10009</v>
      </c>
      <c r="O1189" s="213" t="s">
        <v>10010</v>
      </c>
      <c r="P1189" s="213" t="s">
        <v>10011</v>
      </c>
      <c r="Q1189" s="213" t="s">
        <v>10012</v>
      </c>
      <c r="R1189" s="213" t="s">
        <v>10013</v>
      </c>
      <c r="S1189" s="213" t="s">
        <v>10014</v>
      </c>
      <c r="T1189" s="213" t="s">
        <v>10015</v>
      </c>
      <c r="U1189" s="213" t="s">
        <v>73492</v>
      </c>
    </row>
    <row r="1190" spans="1:21" x14ac:dyDescent="0.25">
      <c r="A1190" s="213" t="s">
        <v>327</v>
      </c>
      <c r="D1190" s="213" t="s">
        <v>10016</v>
      </c>
      <c r="E1190" s="213" t="s">
        <v>10017</v>
      </c>
      <c r="K1190" s="213" t="s">
        <v>73391</v>
      </c>
      <c r="L1190" s="213" t="s">
        <v>73425</v>
      </c>
      <c r="M1190" s="213" t="s">
        <v>73459</v>
      </c>
      <c r="N1190" s="213" t="s">
        <v>10018</v>
      </c>
      <c r="O1190" s="213" t="s">
        <v>10019</v>
      </c>
      <c r="P1190" s="213" t="s">
        <v>10020</v>
      </c>
      <c r="Q1190" s="213" t="s">
        <v>10021</v>
      </c>
      <c r="R1190" s="213" t="s">
        <v>10022</v>
      </c>
      <c r="S1190" s="213" t="s">
        <v>10023</v>
      </c>
      <c r="T1190" s="213" t="s">
        <v>10024</v>
      </c>
      <c r="U1190" s="213" t="s">
        <v>73493</v>
      </c>
    </row>
    <row r="1191" spans="1:21" x14ac:dyDescent="0.25">
      <c r="A1191" s="213" t="s">
        <v>327</v>
      </c>
      <c r="D1191" s="213" t="s">
        <v>10025</v>
      </c>
      <c r="E1191" s="213" t="s">
        <v>10026</v>
      </c>
      <c r="K1191" s="213" t="s">
        <v>73392</v>
      </c>
      <c r="L1191" s="213" t="s">
        <v>73426</v>
      </c>
      <c r="M1191" s="213" t="s">
        <v>73460</v>
      </c>
      <c r="N1191" s="213" t="s">
        <v>10027</v>
      </c>
      <c r="O1191" s="213" t="s">
        <v>10028</v>
      </c>
      <c r="P1191" s="213" t="s">
        <v>10029</v>
      </c>
      <c r="Q1191" s="213" t="s">
        <v>10030</v>
      </c>
      <c r="R1191" s="213" t="s">
        <v>10031</v>
      </c>
      <c r="S1191" s="213" t="s">
        <v>10032</v>
      </c>
      <c r="T1191" s="213" t="s">
        <v>10033</v>
      </c>
      <c r="U1191" s="213" t="s">
        <v>73494</v>
      </c>
    </row>
    <row r="1192" spans="1:21" x14ac:dyDescent="0.25">
      <c r="A1192" s="213" t="s">
        <v>327</v>
      </c>
      <c r="D1192" s="213" t="s">
        <v>10034</v>
      </c>
      <c r="E1192" s="213" t="s">
        <v>10035</v>
      </c>
      <c r="K1192" s="213" t="s">
        <v>73393</v>
      </c>
      <c r="L1192" s="213" t="s">
        <v>73427</v>
      </c>
      <c r="M1192" s="213" t="s">
        <v>73461</v>
      </c>
      <c r="N1192" s="213" t="s">
        <v>10036</v>
      </c>
      <c r="O1192" s="213" t="s">
        <v>10037</v>
      </c>
      <c r="P1192" s="213" t="s">
        <v>10038</v>
      </c>
      <c r="Q1192" s="213" t="s">
        <v>10039</v>
      </c>
      <c r="R1192" s="213" t="s">
        <v>10040</v>
      </c>
      <c r="S1192" s="213" t="s">
        <v>10041</v>
      </c>
      <c r="T1192" s="213" t="s">
        <v>10042</v>
      </c>
      <c r="U1192" s="213" t="s">
        <v>73495</v>
      </c>
    </row>
    <row r="1193" spans="1:21" x14ac:dyDescent="0.25">
      <c r="A1193" s="213" t="s">
        <v>327</v>
      </c>
      <c r="D1193" s="213" t="s">
        <v>10043</v>
      </c>
      <c r="E1193" s="213" t="s">
        <v>10044</v>
      </c>
      <c r="K1193" s="213" t="s">
        <v>73394</v>
      </c>
      <c r="L1193" s="213" t="s">
        <v>73428</v>
      </c>
      <c r="M1193" s="213" t="s">
        <v>73462</v>
      </c>
      <c r="N1193" s="213" t="s">
        <v>10045</v>
      </c>
      <c r="O1193" s="213" t="s">
        <v>10046</v>
      </c>
      <c r="P1193" s="213" t="s">
        <v>10047</v>
      </c>
      <c r="Q1193" s="213" t="s">
        <v>10048</v>
      </c>
      <c r="R1193" s="213" t="s">
        <v>10049</v>
      </c>
      <c r="S1193" s="213" t="s">
        <v>10050</v>
      </c>
      <c r="T1193" s="213" t="s">
        <v>10051</v>
      </c>
      <c r="U1193" s="213" t="s">
        <v>73496</v>
      </c>
    </row>
    <row r="1194" spans="1:21" x14ac:dyDescent="0.25">
      <c r="A1194" s="213" t="s">
        <v>327</v>
      </c>
      <c r="D1194" s="213" t="s">
        <v>10052</v>
      </c>
      <c r="E1194" s="213" t="s">
        <v>10053</v>
      </c>
      <c r="K1194" s="213" t="s">
        <v>73395</v>
      </c>
      <c r="L1194" s="213" t="s">
        <v>73429</v>
      </c>
      <c r="M1194" s="213" t="s">
        <v>73463</v>
      </c>
      <c r="N1194" s="213" t="s">
        <v>10054</v>
      </c>
      <c r="O1194" s="213" t="s">
        <v>10055</v>
      </c>
      <c r="P1194" s="213" t="s">
        <v>10056</v>
      </c>
      <c r="Q1194" s="213" t="s">
        <v>10057</v>
      </c>
      <c r="R1194" s="213" t="s">
        <v>10058</v>
      </c>
      <c r="S1194" s="213" t="s">
        <v>10059</v>
      </c>
      <c r="T1194" s="213" t="s">
        <v>10060</v>
      </c>
      <c r="U1194" s="213" t="s">
        <v>73497</v>
      </c>
    </row>
    <row r="1195" spans="1:21" x14ac:dyDescent="0.25">
      <c r="A1195" s="213" t="s">
        <v>327</v>
      </c>
      <c r="D1195" s="213" t="s">
        <v>10061</v>
      </c>
      <c r="E1195" s="213" t="s">
        <v>10062</v>
      </c>
      <c r="K1195" s="213" t="s">
        <v>73396</v>
      </c>
      <c r="L1195" s="213" t="s">
        <v>73430</v>
      </c>
      <c r="M1195" s="213" t="s">
        <v>73464</v>
      </c>
      <c r="N1195" s="213" t="s">
        <v>10063</v>
      </c>
      <c r="O1195" s="213" t="s">
        <v>10064</v>
      </c>
      <c r="P1195" s="213" t="s">
        <v>10065</v>
      </c>
      <c r="Q1195" s="213" t="s">
        <v>10066</v>
      </c>
      <c r="R1195" s="213" t="s">
        <v>10067</v>
      </c>
      <c r="S1195" s="213" t="s">
        <v>10068</v>
      </c>
      <c r="T1195" s="213" t="s">
        <v>10069</v>
      </c>
      <c r="U1195" s="213" t="s">
        <v>73498</v>
      </c>
    </row>
    <row r="1196" spans="1:21" x14ac:dyDescent="0.25">
      <c r="A1196" s="213" t="s">
        <v>327</v>
      </c>
      <c r="D1196" s="213" t="s">
        <v>10070</v>
      </c>
      <c r="E1196" s="213" t="s">
        <v>10071</v>
      </c>
      <c r="K1196" s="213" t="s">
        <v>73397</v>
      </c>
      <c r="L1196" s="213" t="s">
        <v>73431</v>
      </c>
      <c r="M1196" s="213" t="s">
        <v>73465</v>
      </c>
      <c r="N1196" s="213" t="s">
        <v>10072</v>
      </c>
      <c r="O1196" s="213" t="s">
        <v>10073</v>
      </c>
      <c r="P1196" s="213" t="s">
        <v>10074</v>
      </c>
      <c r="Q1196" s="213" t="s">
        <v>10075</v>
      </c>
      <c r="R1196" s="213" t="s">
        <v>10076</v>
      </c>
      <c r="S1196" s="213" t="s">
        <v>10077</v>
      </c>
      <c r="T1196" s="213" t="s">
        <v>10078</v>
      </c>
      <c r="U1196" s="213" t="s">
        <v>73499</v>
      </c>
    </row>
    <row r="1197" spans="1:21" x14ac:dyDescent="0.25">
      <c r="A1197" s="213" t="s">
        <v>327</v>
      </c>
      <c r="D1197" s="213" t="s">
        <v>10079</v>
      </c>
      <c r="E1197" s="213" t="s">
        <v>10080</v>
      </c>
      <c r="K1197" s="213" t="s">
        <v>73398</v>
      </c>
      <c r="L1197" s="213" t="s">
        <v>73432</v>
      </c>
      <c r="M1197" s="213" t="s">
        <v>73466</v>
      </c>
      <c r="N1197" s="213" t="s">
        <v>10081</v>
      </c>
      <c r="O1197" s="213" t="s">
        <v>10082</v>
      </c>
      <c r="P1197" s="213" t="s">
        <v>10083</v>
      </c>
      <c r="Q1197" s="213" t="s">
        <v>10084</v>
      </c>
      <c r="R1197" s="213" t="s">
        <v>10085</v>
      </c>
      <c r="S1197" s="213" t="s">
        <v>10086</v>
      </c>
      <c r="T1197" s="213" t="s">
        <v>10087</v>
      </c>
      <c r="U1197" s="213" t="s">
        <v>73500</v>
      </c>
    </row>
    <row r="1198" spans="1:21" x14ac:dyDescent="0.25">
      <c r="A1198" s="213" t="s">
        <v>327</v>
      </c>
      <c r="D1198" s="213" t="s">
        <v>10088</v>
      </c>
      <c r="E1198" s="213" t="s">
        <v>10089</v>
      </c>
      <c r="K1198" s="213" t="s">
        <v>73399</v>
      </c>
      <c r="L1198" s="213" t="s">
        <v>73433</v>
      </c>
      <c r="M1198" s="213" t="s">
        <v>73467</v>
      </c>
      <c r="N1198" s="213" t="s">
        <v>10090</v>
      </c>
      <c r="O1198" s="213" t="s">
        <v>10091</v>
      </c>
      <c r="P1198" s="213" t="s">
        <v>10092</v>
      </c>
      <c r="Q1198" s="213" t="s">
        <v>10093</v>
      </c>
      <c r="R1198" s="213" t="s">
        <v>10094</v>
      </c>
      <c r="S1198" s="213" t="s">
        <v>10095</v>
      </c>
      <c r="T1198" s="213" t="s">
        <v>10096</v>
      </c>
      <c r="U1198" s="213" t="s">
        <v>73501</v>
      </c>
    </row>
    <row r="1199" spans="1:21" x14ac:dyDescent="0.25">
      <c r="A1199" s="213" t="s">
        <v>327</v>
      </c>
      <c r="D1199" s="213" t="s">
        <v>10097</v>
      </c>
      <c r="E1199" s="213" t="s">
        <v>10098</v>
      </c>
      <c r="K1199" s="213" t="s">
        <v>73400</v>
      </c>
      <c r="L1199" s="213" t="s">
        <v>73434</v>
      </c>
      <c r="M1199" s="213" t="s">
        <v>73468</v>
      </c>
      <c r="N1199" s="213" t="s">
        <v>10099</v>
      </c>
      <c r="O1199" s="213" t="s">
        <v>10100</v>
      </c>
      <c r="P1199" s="213" t="s">
        <v>10101</v>
      </c>
      <c r="Q1199" s="213" t="s">
        <v>10102</v>
      </c>
      <c r="R1199" s="213" t="s">
        <v>10103</v>
      </c>
      <c r="S1199" s="213" t="s">
        <v>10104</v>
      </c>
      <c r="T1199" s="213" t="s">
        <v>10105</v>
      </c>
      <c r="U1199" s="213" t="s">
        <v>73502</v>
      </c>
    </row>
    <row r="1200" spans="1:21" x14ac:dyDescent="0.25">
      <c r="A1200" s="213" t="s">
        <v>327</v>
      </c>
      <c r="D1200" s="213" t="s">
        <v>10106</v>
      </c>
      <c r="E1200" s="213" t="s">
        <v>10107</v>
      </c>
      <c r="K1200" s="213" t="s">
        <v>73401</v>
      </c>
      <c r="L1200" s="213" t="s">
        <v>73435</v>
      </c>
      <c r="M1200" s="213" t="s">
        <v>73469</v>
      </c>
      <c r="N1200" s="213" t="s">
        <v>10108</v>
      </c>
      <c r="O1200" s="213" t="s">
        <v>10109</v>
      </c>
      <c r="P1200" s="213" t="s">
        <v>10110</v>
      </c>
      <c r="Q1200" s="213" t="s">
        <v>10111</v>
      </c>
      <c r="R1200" s="213" t="s">
        <v>10112</v>
      </c>
      <c r="S1200" s="213" t="s">
        <v>10113</v>
      </c>
      <c r="T1200" s="213" t="s">
        <v>10114</v>
      </c>
      <c r="U1200" s="213" t="s">
        <v>73503</v>
      </c>
    </row>
    <row r="1201" spans="1:21" x14ac:dyDescent="0.25">
      <c r="A1201" s="213" t="s">
        <v>327</v>
      </c>
      <c r="D1201" s="213" t="s">
        <v>10115</v>
      </c>
      <c r="E1201" s="213" t="s">
        <v>10116</v>
      </c>
      <c r="K1201" s="213" t="s">
        <v>73402</v>
      </c>
      <c r="L1201" s="213" t="s">
        <v>73436</v>
      </c>
      <c r="M1201" s="213" t="s">
        <v>73470</v>
      </c>
      <c r="N1201" s="213" t="s">
        <v>10117</v>
      </c>
      <c r="O1201" s="213" t="s">
        <v>10118</v>
      </c>
      <c r="P1201" s="213" t="s">
        <v>10119</v>
      </c>
      <c r="Q1201" s="213" t="s">
        <v>10120</v>
      </c>
      <c r="R1201" s="213" t="s">
        <v>10121</v>
      </c>
      <c r="S1201" s="213" t="s">
        <v>10122</v>
      </c>
      <c r="T1201" s="213" t="s">
        <v>10123</v>
      </c>
      <c r="U1201" s="213" t="s">
        <v>73504</v>
      </c>
    </row>
    <row r="1202" spans="1:21" x14ac:dyDescent="0.25">
      <c r="A1202" s="213" t="s">
        <v>327</v>
      </c>
      <c r="D1202" s="213" t="s">
        <v>10124</v>
      </c>
      <c r="E1202" s="213" t="s">
        <v>10125</v>
      </c>
      <c r="K1202" s="213" t="s">
        <v>73403</v>
      </c>
      <c r="L1202" s="213" t="s">
        <v>73437</v>
      </c>
      <c r="M1202" s="213" t="s">
        <v>73471</v>
      </c>
      <c r="N1202" s="213" t="s">
        <v>10126</v>
      </c>
      <c r="O1202" s="213" t="s">
        <v>10127</v>
      </c>
      <c r="P1202" s="213" t="s">
        <v>10128</v>
      </c>
      <c r="Q1202" s="213" t="s">
        <v>10129</v>
      </c>
      <c r="R1202" s="213" t="s">
        <v>10130</v>
      </c>
      <c r="S1202" s="213" t="s">
        <v>10131</v>
      </c>
      <c r="T1202" s="213" t="s">
        <v>10132</v>
      </c>
      <c r="U1202" s="213" t="s">
        <v>73505</v>
      </c>
    </row>
    <row r="1203" spans="1:21" x14ac:dyDescent="0.25">
      <c r="A1203" s="213" t="s">
        <v>327</v>
      </c>
      <c r="D1203" s="213" t="s">
        <v>10133</v>
      </c>
      <c r="E1203" s="213" t="s">
        <v>10134</v>
      </c>
      <c r="K1203" s="213" t="s">
        <v>73404</v>
      </c>
      <c r="L1203" s="213" t="s">
        <v>73438</v>
      </c>
      <c r="M1203" s="213" t="s">
        <v>73472</v>
      </c>
      <c r="N1203" s="213" t="s">
        <v>10135</v>
      </c>
      <c r="O1203" s="213" t="s">
        <v>10136</v>
      </c>
      <c r="P1203" s="213" t="s">
        <v>10137</v>
      </c>
      <c r="Q1203" s="213" t="s">
        <v>10138</v>
      </c>
      <c r="R1203" s="213" t="s">
        <v>10139</v>
      </c>
      <c r="S1203" s="213" t="s">
        <v>10140</v>
      </c>
      <c r="T1203" s="213" t="s">
        <v>10141</v>
      </c>
      <c r="U1203" s="213" t="s">
        <v>73506</v>
      </c>
    </row>
    <row r="1204" spans="1:21" x14ac:dyDescent="0.25">
      <c r="A1204" s="213" t="s">
        <v>327</v>
      </c>
      <c r="D1204" s="213" t="s">
        <v>10142</v>
      </c>
      <c r="E1204" s="213" t="s">
        <v>10143</v>
      </c>
      <c r="K1204" s="213" t="s">
        <v>73405</v>
      </c>
      <c r="L1204" s="213" t="s">
        <v>73439</v>
      </c>
      <c r="M1204" s="213" t="s">
        <v>73473</v>
      </c>
      <c r="N1204" s="213" t="s">
        <v>10144</v>
      </c>
      <c r="O1204" s="213" t="s">
        <v>10145</v>
      </c>
      <c r="P1204" s="213" t="s">
        <v>10146</v>
      </c>
      <c r="Q1204" s="213" t="s">
        <v>10147</v>
      </c>
      <c r="R1204" s="213" t="s">
        <v>10148</v>
      </c>
      <c r="S1204" s="213" t="s">
        <v>10149</v>
      </c>
      <c r="T1204" s="213" t="s">
        <v>10150</v>
      </c>
      <c r="U1204" s="213" t="s">
        <v>73507</v>
      </c>
    </row>
    <row r="1205" spans="1:21" x14ac:dyDescent="0.25">
      <c r="A1205" s="213" t="s">
        <v>327</v>
      </c>
      <c r="D1205" s="213" t="s">
        <v>10151</v>
      </c>
      <c r="E1205" s="213" t="s">
        <v>10152</v>
      </c>
      <c r="K1205" s="213" t="s">
        <v>73406</v>
      </c>
      <c r="L1205" s="213" t="s">
        <v>73440</v>
      </c>
      <c r="M1205" s="213" t="s">
        <v>73474</v>
      </c>
      <c r="N1205" s="213" t="s">
        <v>10153</v>
      </c>
      <c r="O1205" s="213" t="s">
        <v>10154</v>
      </c>
      <c r="P1205" s="213" t="s">
        <v>10155</v>
      </c>
      <c r="Q1205" s="213" t="s">
        <v>10156</v>
      </c>
      <c r="R1205" s="213" t="s">
        <v>10157</v>
      </c>
      <c r="S1205" s="213" t="s">
        <v>10158</v>
      </c>
      <c r="T1205" s="213" t="s">
        <v>10159</v>
      </c>
      <c r="U1205" s="213" t="s">
        <v>73508</v>
      </c>
    </row>
    <row r="1206" spans="1:21" x14ac:dyDescent="0.25">
      <c r="A1206" s="213" t="s">
        <v>327</v>
      </c>
      <c r="D1206" s="213" t="s">
        <v>10160</v>
      </c>
      <c r="E1206" s="213" t="s">
        <v>10161</v>
      </c>
      <c r="K1206" s="213" t="s">
        <v>73407</v>
      </c>
      <c r="L1206" s="213" t="s">
        <v>73441</v>
      </c>
      <c r="M1206" s="213" t="s">
        <v>73475</v>
      </c>
      <c r="N1206" s="213" t="s">
        <v>10162</v>
      </c>
      <c r="O1206" s="213" t="s">
        <v>10163</v>
      </c>
      <c r="P1206" s="213" t="s">
        <v>10164</v>
      </c>
      <c r="Q1206" s="213" t="s">
        <v>10165</v>
      </c>
      <c r="R1206" s="213" t="s">
        <v>10166</v>
      </c>
      <c r="S1206" s="213" t="s">
        <v>10167</v>
      </c>
      <c r="T1206" s="213" t="s">
        <v>10168</v>
      </c>
      <c r="U1206" s="213" t="s">
        <v>73509</v>
      </c>
    </row>
    <row r="1207" spans="1:21" x14ac:dyDescent="0.25">
      <c r="A1207" s="213" t="s">
        <v>327</v>
      </c>
      <c r="D1207" s="213" t="s">
        <v>10169</v>
      </c>
      <c r="E1207" s="213" t="s">
        <v>10170</v>
      </c>
      <c r="K1207" s="213" t="s">
        <v>73408</v>
      </c>
      <c r="L1207" s="213" t="s">
        <v>73442</v>
      </c>
      <c r="M1207" s="213" t="s">
        <v>73476</v>
      </c>
      <c r="N1207" s="213" t="s">
        <v>10171</v>
      </c>
      <c r="O1207" s="213" t="s">
        <v>10172</v>
      </c>
      <c r="P1207" s="213" t="s">
        <v>10173</v>
      </c>
      <c r="Q1207" s="213" t="s">
        <v>10174</v>
      </c>
      <c r="R1207" s="213" t="s">
        <v>10175</v>
      </c>
      <c r="S1207" s="213" t="s">
        <v>10176</v>
      </c>
      <c r="T1207" s="213" t="s">
        <v>10177</v>
      </c>
      <c r="U1207" s="213" t="s">
        <v>73510</v>
      </c>
    </row>
    <row r="1208" spans="1:21" x14ac:dyDescent="0.25">
      <c r="A1208" s="213" t="s">
        <v>327</v>
      </c>
      <c r="D1208" s="213" t="s">
        <v>10178</v>
      </c>
      <c r="E1208" s="213" t="s">
        <v>10179</v>
      </c>
      <c r="K1208" s="213" t="s">
        <v>73409</v>
      </c>
      <c r="L1208" s="213" t="s">
        <v>73443</v>
      </c>
      <c r="M1208" s="213" t="s">
        <v>73477</v>
      </c>
      <c r="N1208" s="213" t="s">
        <v>10180</v>
      </c>
      <c r="O1208" s="213" t="s">
        <v>10181</v>
      </c>
      <c r="P1208" s="213" t="s">
        <v>10182</v>
      </c>
      <c r="Q1208" s="213" t="s">
        <v>10183</v>
      </c>
      <c r="R1208" s="213" t="s">
        <v>10184</v>
      </c>
      <c r="S1208" s="213" t="s">
        <v>10185</v>
      </c>
      <c r="T1208" s="213" t="s">
        <v>10186</v>
      </c>
      <c r="U1208" s="213" t="s">
        <v>73511</v>
      </c>
    </row>
    <row r="1209" spans="1:21" x14ac:dyDescent="0.25">
      <c r="A1209" s="213" t="s">
        <v>327</v>
      </c>
      <c r="D1209" s="213" t="s">
        <v>10187</v>
      </c>
      <c r="E1209" s="213" t="s">
        <v>10188</v>
      </c>
      <c r="K1209" s="213" t="s">
        <v>73410</v>
      </c>
      <c r="L1209" s="213" t="s">
        <v>73444</v>
      </c>
      <c r="M1209" s="213" t="s">
        <v>73478</v>
      </c>
      <c r="N1209" s="213" t="s">
        <v>10189</v>
      </c>
      <c r="O1209" s="213" t="s">
        <v>10190</v>
      </c>
      <c r="P1209" s="213" t="s">
        <v>10191</v>
      </c>
      <c r="Q1209" s="213" t="s">
        <v>10192</v>
      </c>
      <c r="R1209" s="213" t="s">
        <v>10193</v>
      </c>
      <c r="S1209" s="213" t="s">
        <v>10194</v>
      </c>
      <c r="T1209" s="213" t="s">
        <v>10195</v>
      </c>
      <c r="U1209" s="213" t="s">
        <v>73512</v>
      </c>
    </row>
    <row r="1210" spans="1:21" x14ac:dyDescent="0.25">
      <c r="A1210" s="213" t="s">
        <v>327</v>
      </c>
      <c r="D1210" s="213" t="s">
        <v>10196</v>
      </c>
      <c r="E1210" s="213" t="s">
        <v>10197</v>
      </c>
      <c r="K1210" s="213" t="s">
        <v>73411</v>
      </c>
      <c r="L1210" s="213" t="s">
        <v>73445</v>
      </c>
      <c r="M1210" s="213" t="s">
        <v>73479</v>
      </c>
      <c r="N1210" s="213" t="s">
        <v>10198</v>
      </c>
      <c r="O1210" s="213" t="s">
        <v>10199</v>
      </c>
      <c r="P1210" s="213" t="s">
        <v>10200</v>
      </c>
      <c r="Q1210" s="213" t="s">
        <v>10201</v>
      </c>
      <c r="R1210" s="213" t="s">
        <v>10202</v>
      </c>
      <c r="S1210" s="213" t="s">
        <v>10203</v>
      </c>
      <c r="T1210" s="213" t="s">
        <v>10204</v>
      </c>
      <c r="U1210" s="213" t="s">
        <v>73513</v>
      </c>
    </row>
    <row r="1211" spans="1:21" x14ac:dyDescent="0.25">
      <c r="A1211" s="213" t="s">
        <v>327</v>
      </c>
      <c r="D1211" s="213" t="s">
        <v>10205</v>
      </c>
      <c r="E1211" s="213" t="s">
        <v>10206</v>
      </c>
      <c r="K1211" s="213" t="s">
        <v>73412</v>
      </c>
      <c r="L1211" s="213" t="s">
        <v>73446</v>
      </c>
      <c r="M1211" s="213" t="s">
        <v>73480</v>
      </c>
      <c r="N1211" s="213" t="s">
        <v>10207</v>
      </c>
      <c r="O1211" s="213" t="s">
        <v>10208</v>
      </c>
      <c r="P1211" s="213" t="s">
        <v>10209</v>
      </c>
      <c r="Q1211" s="213" t="s">
        <v>10210</v>
      </c>
      <c r="R1211" s="213" t="s">
        <v>10211</v>
      </c>
      <c r="S1211" s="213" t="s">
        <v>10212</v>
      </c>
      <c r="T1211" s="213" t="s">
        <v>10213</v>
      </c>
      <c r="U1211" s="213" t="s">
        <v>73514</v>
      </c>
    </row>
    <row r="1212" spans="1:21" x14ac:dyDescent="0.25">
      <c r="A1212" s="213" t="s">
        <v>327</v>
      </c>
      <c r="D1212" s="213" t="s">
        <v>10214</v>
      </c>
      <c r="E1212" s="213" t="s">
        <v>10215</v>
      </c>
      <c r="K1212" s="213" t="s">
        <v>73413</v>
      </c>
      <c r="L1212" s="213" t="s">
        <v>73447</v>
      </c>
      <c r="M1212" s="213" t="s">
        <v>73481</v>
      </c>
      <c r="N1212" s="213" t="s">
        <v>10216</v>
      </c>
      <c r="O1212" s="213" t="s">
        <v>10217</v>
      </c>
      <c r="P1212" s="213" t="s">
        <v>10218</v>
      </c>
      <c r="Q1212" s="213" t="s">
        <v>10219</v>
      </c>
      <c r="R1212" s="213" t="s">
        <v>10220</v>
      </c>
      <c r="S1212" s="213" t="s">
        <v>10221</v>
      </c>
      <c r="T1212" s="213" t="s">
        <v>10222</v>
      </c>
      <c r="U1212" s="213" t="s">
        <v>73515</v>
      </c>
    </row>
    <row r="1213" spans="1:21" x14ac:dyDescent="0.25">
      <c r="A1213" s="213" t="s">
        <v>327</v>
      </c>
      <c r="D1213" s="213" t="s">
        <v>10223</v>
      </c>
      <c r="E1213" s="213" t="s">
        <v>10224</v>
      </c>
      <c r="K1213" s="213" t="s">
        <v>73414</v>
      </c>
      <c r="L1213" s="213" t="s">
        <v>73448</v>
      </c>
      <c r="M1213" s="213" t="s">
        <v>73482</v>
      </c>
      <c r="N1213" s="213" t="s">
        <v>10225</v>
      </c>
      <c r="O1213" s="213" t="s">
        <v>10226</v>
      </c>
      <c r="P1213" s="213" t="s">
        <v>10227</v>
      </c>
      <c r="Q1213" s="213" t="s">
        <v>10228</v>
      </c>
      <c r="R1213" s="213" t="s">
        <v>10229</v>
      </c>
      <c r="S1213" s="213" t="s">
        <v>10230</v>
      </c>
      <c r="T1213" s="213" t="s">
        <v>10231</v>
      </c>
      <c r="U1213" s="213" t="s">
        <v>73516</v>
      </c>
    </row>
    <row r="1214" spans="1:21" x14ac:dyDescent="0.25">
      <c r="A1214" s="213" t="s">
        <v>327</v>
      </c>
      <c r="D1214" s="213" t="s">
        <v>10232</v>
      </c>
      <c r="E1214" s="213" t="s">
        <v>10233</v>
      </c>
      <c r="K1214" s="213" t="s">
        <v>73415</v>
      </c>
      <c r="L1214" s="213" t="s">
        <v>73449</v>
      </c>
      <c r="M1214" s="213" t="s">
        <v>73483</v>
      </c>
      <c r="N1214" s="213" t="s">
        <v>10234</v>
      </c>
      <c r="O1214" s="213" t="s">
        <v>10235</v>
      </c>
      <c r="P1214" s="213" t="s">
        <v>10236</v>
      </c>
      <c r="Q1214" s="213" t="s">
        <v>10237</v>
      </c>
      <c r="R1214" s="213" t="s">
        <v>10238</v>
      </c>
      <c r="S1214" s="213" t="s">
        <v>10239</v>
      </c>
      <c r="T1214" s="213" t="s">
        <v>10240</v>
      </c>
      <c r="U1214" s="213" t="s">
        <v>73517</v>
      </c>
    </row>
    <row r="1215" spans="1:21" x14ac:dyDescent="0.25">
      <c r="A1215" s="213" t="s">
        <v>327</v>
      </c>
    </row>
    <row r="1216" spans="1:21" x14ac:dyDescent="0.25">
      <c r="A1216" s="213" t="s">
        <v>327</v>
      </c>
    </row>
    <row r="1217" spans="1:21" x14ac:dyDescent="0.25">
      <c r="A1217" s="213" t="s">
        <v>327</v>
      </c>
      <c r="C1217" s="213" t="s">
        <v>10241</v>
      </c>
      <c r="E1217" s="213" t="s">
        <v>10242</v>
      </c>
      <c r="H1217" s="213" t="s">
        <v>10243</v>
      </c>
      <c r="I1217" s="213" t="s">
        <v>10244</v>
      </c>
      <c r="J1217" s="213" t="s">
        <v>10245</v>
      </c>
      <c r="L1217" s="213" t="s">
        <v>10246</v>
      </c>
      <c r="O1217" s="213" t="s">
        <v>10247</v>
      </c>
      <c r="P1217" s="213" t="s">
        <v>10248</v>
      </c>
      <c r="Q1217" s="213" t="s">
        <v>10249</v>
      </c>
      <c r="R1217" s="213" t="s">
        <v>10250</v>
      </c>
      <c r="S1217" s="213" t="s">
        <v>10251</v>
      </c>
      <c r="T1217" s="213" t="s">
        <v>10252</v>
      </c>
    </row>
    <row r="1218" spans="1:21" x14ac:dyDescent="0.25">
      <c r="A1218" s="213" t="s">
        <v>327</v>
      </c>
      <c r="C1218" s="213" t="s">
        <v>10253</v>
      </c>
      <c r="E1218" s="213" t="s">
        <v>10254</v>
      </c>
      <c r="I1218" s="213" t="s">
        <v>10255</v>
      </c>
    </row>
    <row r="1219" spans="1:21" x14ac:dyDescent="0.25">
      <c r="A1219" s="213" t="s">
        <v>327</v>
      </c>
      <c r="C1219" s="213" t="s">
        <v>10256</v>
      </c>
      <c r="E1219" s="213" t="s">
        <v>10257</v>
      </c>
      <c r="I1219" s="213" t="s">
        <v>10258</v>
      </c>
    </row>
    <row r="1220" spans="1:21" x14ac:dyDescent="0.25">
      <c r="A1220" s="213" t="s">
        <v>328</v>
      </c>
    </row>
    <row r="1221" spans="1:21" x14ac:dyDescent="0.25">
      <c r="A1221" s="213" t="s">
        <v>327</v>
      </c>
      <c r="D1221" s="213" t="s">
        <v>10259</v>
      </c>
      <c r="E1221" s="213" t="s">
        <v>10260</v>
      </c>
      <c r="K1221" s="213" t="s">
        <v>73258</v>
      </c>
      <c r="L1221" s="213" t="s">
        <v>73289</v>
      </c>
      <c r="M1221" s="213" t="s">
        <v>73320</v>
      </c>
      <c r="N1221" s="213" t="s">
        <v>10261</v>
      </c>
      <c r="O1221" s="213" t="s">
        <v>10262</v>
      </c>
      <c r="P1221" s="213" t="s">
        <v>10263</v>
      </c>
      <c r="Q1221" s="213" t="s">
        <v>10264</v>
      </c>
      <c r="R1221" s="213" t="s">
        <v>10265</v>
      </c>
      <c r="S1221" s="213" t="s">
        <v>10266</v>
      </c>
      <c r="T1221" s="213" t="s">
        <v>10267</v>
      </c>
      <c r="U1221" s="213" t="s">
        <v>73351</v>
      </c>
    </row>
    <row r="1222" spans="1:21" x14ac:dyDescent="0.25">
      <c r="A1222" s="213" t="s">
        <v>327</v>
      </c>
      <c r="D1222" s="213" t="s">
        <v>10268</v>
      </c>
      <c r="E1222" s="213" t="s">
        <v>10269</v>
      </c>
      <c r="K1222" s="213" t="s">
        <v>73259</v>
      </c>
      <c r="L1222" s="213" t="s">
        <v>73290</v>
      </c>
      <c r="M1222" s="213" t="s">
        <v>73321</v>
      </c>
      <c r="N1222" s="213" t="s">
        <v>10270</v>
      </c>
      <c r="O1222" s="213" t="s">
        <v>10271</v>
      </c>
      <c r="P1222" s="213" t="s">
        <v>10272</v>
      </c>
      <c r="Q1222" s="213" t="s">
        <v>10273</v>
      </c>
      <c r="R1222" s="213" t="s">
        <v>10274</v>
      </c>
      <c r="S1222" s="213" t="s">
        <v>10275</v>
      </c>
      <c r="T1222" s="213" t="s">
        <v>10276</v>
      </c>
      <c r="U1222" s="213" t="s">
        <v>73352</v>
      </c>
    </row>
    <row r="1223" spans="1:21" x14ac:dyDescent="0.25">
      <c r="A1223" s="213" t="s">
        <v>327</v>
      </c>
      <c r="D1223" s="213" t="s">
        <v>10277</v>
      </c>
      <c r="E1223" s="213" t="s">
        <v>10278</v>
      </c>
      <c r="K1223" s="213" t="s">
        <v>73260</v>
      </c>
      <c r="L1223" s="213" t="s">
        <v>73291</v>
      </c>
      <c r="M1223" s="213" t="s">
        <v>73322</v>
      </c>
      <c r="N1223" s="213" t="s">
        <v>10279</v>
      </c>
      <c r="O1223" s="213" t="s">
        <v>10280</v>
      </c>
      <c r="P1223" s="213" t="s">
        <v>10281</v>
      </c>
      <c r="Q1223" s="213" t="s">
        <v>10282</v>
      </c>
      <c r="R1223" s="213" t="s">
        <v>10283</v>
      </c>
      <c r="S1223" s="213" t="s">
        <v>10284</v>
      </c>
      <c r="T1223" s="213" t="s">
        <v>10285</v>
      </c>
      <c r="U1223" s="213" t="s">
        <v>73353</v>
      </c>
    </row>
    <row r="1224" spans="1:21" x14ac:dyDescent="0.25">
      <c r="A1224" s="213" t="s">
        <v>327</v>
      </c>
      <c r="D1224" s="213" t="s">
        <v>10286</v>
      </c>
      <c r="E1224" s="213" t="s">
        <v>10287</v>
      </c>
      <c r="K1224" s="213" t="s">
        <v>73261</v>
      </c>
      <c r="L1224" s="213" t="s">
        <v>73292</v>
      </c>
      <c r="M1224" s="213" t="s">
        <v>73323</v>
      </c>
      <c r="N1224" s="213" t="s">
        <v>10288</v>
      </c>
      <c r="O1224" s="213" t="s">
        <v>10289</v>
      </c>
      <c r="P1224" s="213" t="s">
        <v>10290</v>
      </c>
      <c r="Q1224" s="213" t="s">
        <v>10291</v>
      </c>
      <c r="R1224" s="213" t="s">
        <v>10292</v>
      </c>
      <c r="S1224" s="213" t="s">
        <v>10293</v>
      </c>
      <c r="T1224" s="213" t="s">
        <v>10294</v>
      </c>
      <c r="U1224" s="213" t="s">
        <v>73354</v>
      </c>
    </row>
    <row r="1225" spans="1:21" x14ac:dyDescent="0.25">
      <c r="A1225" s="213" t="s">
        <v>327</v>
      </c>
      <c r="D1225" s="213" t="s">
        <v>10295</v>
      </c>
      <c r="E1225" s="213" t="s">
        <v>10296</v>
      </c>
      <c r="K1225" s="213" t="s">
        <v>73262</v>
      </c>
      <c r="L1225" s="213" t="s">
        <v>73293</v>
      </c>
      <c r="M1225" s="213" t="s">
        <v>73324</v>
      </c>
      <c r="N1225" s="213" t="s">
        <v>10297</v>
      </c>
      <c r="O1225" s="213" t="s">
        <v>10298</v>
      </c>
      <c r="P1225" s="213" t="s">
        <v>10299</v>
      </c>
      <c r="Q1225" s="213" t="s">
        <v>10300</v>
      </c>
      <c r="R1225" s="213" t="s">
        <v>10301</v>
      </c>
      <c r="S1225" s="213" t="s">
        <v>10302</v>
      </c>
      <c r="T1225" s="213" t="s">
        <v>10303</v>
      </c>
      <c r="U1225" s="213" t="s">
        <v>73355</v>
      </c>
    </row>
    <row r="1226" spans="1:21" x14ac:dyDescent="0.25">
      <c r="A1226" s="213" t="s">
        <v>327</v>
      </c>
      <c r="D1226" s="213" t="s">
        <v>10304</v>
      </c>
      <c r="E1226" s="213" t="s">
        <v>10305</v>
      </c>
      <c r="K1226" s="213" t="s">
        <v>73263</v>
      </c>
      <c r="L1226" s="213" t="s">
        <v>73294</v>
      </c>
      <c r="M1226" s="213" t="s">
        <v>73325</v>
      </c>
      <c r="N1226" s="213" t="s">
        <v>10306</v>
      </c>
      <c r="O1226" s="213" t="s">
        <v>10307</v>
      </c>
      <c r="P1226" s="213" t="s">
        <v>10308</v>
      </c>
      <c r="Q1226" s="213" t="s">
        <v>10309</v>
      </c>
      <c r="R1226" s="213" t="s">
        <v>10310</v>
      </c>
      <c r="S1226" s="213" t="s">
        <v>10311</v>
      </c>
      <c r="T1226" s="213" t="s">
        <v>10312</v>
      </c>
      <c r="U1226" s="213" t="s">
        <v>73356</v>
      </c>
    </row>
    <row r="1227" spans="1:21" x14ac:dyDescent="0.25">
      <c r="A1227" s="213" t="s">
        <v>327</v>
      </c>
      <c r="D1227" s="213" t="s">
        <v>10313</v>
      </c>
      <c r="E1227" s="213" t="s">
        <v>10314</v>
      </c>
      <c r="K1227" s="213" t="s">
        <v>73264</v>
      </c>
      <c r="L1227" s="213" t="s">
        <v>73295</v>
      </c>
      <c r="M1227" s="213" t="s">
        <v>73326</v>
      </c>
      <c r="N1227" s="213" t="s">
        <v>10315</v>
      </c>
      <c r="O1227" s="213" t="s">
        <v>10316</v>
      </c>
      <c r="P1227" s="213" t="s">
        <v>10317</v>
      </c>
      <c r="Q1227" s="213" t="s">
        <v>10318</v>
      </c>
      <c r="R1227" s="213" t="s">
        <v>10319</v>
      </c>
      <c r="S1227" s="213" t="s">
        <v>10320</v>
      </c>
      <c r="T1227" s="213" t="s">
        <v>10321</v>
      </c>
      <c r="U1227" s="213" t="s">
        <v>73357</v>
      </c>
    </row>
    <row r="1228" spans="1:21" x14ac:dyDescent="0.25">
      <c r="A1228" s="213" t="s">
        <v>327</v>
      </c>
      <c r="D1228" s="213" t="s">
        <v>10322</v>
      </c>
      <c r="E1228" s="213" t="s">
        <v>10323</v>
      </c>
      <c r="K1228" s="213" t="s">
        <v>73265</v>
      </c>
      <c r="L1228" s="213" t="s">
        <v>73296</v>
      </c>
      <c r="M1228" s="213" t="s">
        <v>73327</v>
      </c>
      <c r="N1228" s="213" t="s">
        <v>10324</v>
      </c>
      <c r="O1228" s="213" t="s">
        <v>10325</v>
      </c>
      <c r="P1228" s="213" t="s">
        <v>10326</v>
      </c>
      <c r="Q1228" s="213" t="s">
        <v>10327</v>
      </c>
      <c r="R1228" s="213" t="s">
        <v>10328</v>
      </c>
      <c r="S1228" s="213" t="s">
        <v>10329</v>
      </c>
      <c r="T1228" s="213" t="s">
        <v>10330</v>
      </c>
      <c r="U1228" s="213" t="s">
        <v>73358</v>
      </c>
    </row>
    <row r="1229" spans="1:21" x14ac:dyDescent="0.25">
      <c r="A1229" s="213" t="s">
        <v>327</v>
      </c>
      <c r="D1229" s="213" t="s">
        <v>10331</v>
      </c>
      <c r="E1229" s="213" t="s">
        <v>10332</v>
      </c>
      <c r="K1229" s="213" t="s">
        <v>73266</v>
      </c>
      <c r="L1229" s="213" t="s">
        <v>73297</v>
      </c>
      <c r="M1229" s="213" t="s">
        <v>73328</v>
      </c>
      <c r="N1229" s="213" t="s">
        <v>10333</v>
      </c>
      <c r="O1229" s="213" t="s">
        <v>10334</v>
      </c>
      <c r="P1229" s="213" t="s">
        <v>10335</v>
      </c>
      <c r="Q1229" s="213" t="s">
        <v>10336</v>
      </c>
      <c r="R1229" s="213" t="s">
        <v>10337</v>
      </c>
      <c r="S1229" s="213" t="s">
        <v>10338</v>
      </c>
      <c r="T1229" s="213" t="s">
        <v>10339</v>
      </c>
      <c r="U1229" s="213" t="s">
        <v>73359</v>
      </c>
    </row>
    <row r="1230" spans="1:21" x14ac:dyDescent="0.25">
      <c r="A1230" s="213" t="s">
        <v>327</v>
      </c>
      <c r="D1230" s="213" t="s">
        <v>10340</v>
      </c>
      <c r="E1230" s="213" t="s">
        <v>10341</v>
      </c>
      <c r="K1230" s="213" t="s">
        <v>73267</v>
      </c>
      <c r="L1230" s="213" t="s">
        <v>73298</v>
      </c>
      <c r="M1230" s="213" t="s">
        <v>73329</v>
      </c>
      <c r="N1230" s="213" t="s">
        <v>10342</v>
      </c>
      <c r="O1230" s="213" t="s">
        <v>10343</v>
      </c>
      <c r="P1230" s="213" t="s">
        <v>10344</v>
      </c>
      <c r="Q1230" s="213" t="s">
        <v>10345</v>
      </c>
      <c r="R1230" s="213" t="s">
        <v>10346</v>
      </c>
      <c r="S1230" s="213" t="s">
        <v>10347</v>
      </c>
      <c r="T1230" s="213" t="s">
        <v>10348</v>
      </c>
      <c r="U1230" s="213" t="s">
        <v>73360</v>
      </c>
    </row>
    <row r="1231" spans="1:21" x14ac:dyDescent="0.25">
      <c r="A1231" s="213" t="s">
        <v>327</v>
      </c>
      <c r="D1231" s="213" t="s">
        <v>10349</v>
      </c>
      <c r="E1231" s="213" t="s">
        <v>10350</v>
      </c>
      <c r="K1231" s="213" t="s">
        <v>73268</v>
      </c>
      <c r="L1231" s="213" t="s">
        <v>73299</v>
      </c>
      <c r="M1231" s="213" t="s">
        <v>73330</v>
      </c>
      <c r="N1231" s="213" t="s">
        <v>10351</v>
      </c>
      <c r="O1231" s="213" t="s">
        <v>10352</v>
      </c>
      <c r="P1231" s="213" t="s">
        <v>10353</v>
      </c>
      <c r="Q1231" s="213" t="s">
        <v>10354</v>
      </c>
      <c r="R1231" s="213" t="s">
        <v>10355</v>
      </c>
      <c r="S1231" s="213" t="s">
        <v>10356</v>
      </c>
      <c r="T1231" s="213" t="s">
        <v>10357</v>
      </c>
      <c r="U1231" s="213" t="s">
        <v>73361</v>
      </c>
    </row>
    <row r="1232" spans="1:21" x14ac:dyDescent="0.25">
      <c r="A1232" s="213" t="s">
        <v>327</v>
      </c>
      <c r="D1232" s="213" t="s">
        <v>10358</v>
      </c>
      <c r="E1232" s="213" t="s">
        <v>10359</v>
      </c>
      <c r="K1232" s="213" t="s">
        <v>73269</v>
      </c>
      <c r="L1232" s="213" t="s">
        <v>73300</v>
      </c>
      <c r="M1232" s="213" t="s">
        <v>73331</v>
      </c>
      <c r="N1232" s="213" t="s">
        <v>10360</v>
      </c>
      <c r="O1232" s="213" t="s">
        <v>10361</v>
      </c>
      <c r="P1232" s="213" t="s">
        <v>10362</v>
      </c>
      <c r="Q1232" s="213" t="s">
        <v>10363</v>
      </c>
      <c r="R1232" s="213" t="s">
        <v>10364</v>
      </c>
      <c r="S1232" s="213" t="s">
        <v>10365</v>
      </c>
      <c r="T1232" s="213" t="s">
        <v>10366</v>
      </c>
      <c r="U1232" s="213" t="s">
        <v>73362</v>
      </c>
    </row>
    <row r="1233" spans="1:21" x14ac:dyDescent="0.25">
      <c r="A1233" s="213" t="s">
        <v>327</v>
      </c>
      <c r="D1233" s="213" t="s">
        <v>10367</v>
      </c>
      <c r="E1233" s="213" t="s">
        <v>10368</v>
      </c>
      <c r="K1233" s="213" t="s">
        <v>73270</v>
      </c>
      <c r="L1233" s="213" t="s">
        <v>73301</v>
      </c>
      <c r="M1233" s="213" t="s">
        <v>73332</v>
      </c>
      <c r="N1233" s="213" t="s">
        <v>10369</v>
      </c>
      <c r="O1233" s="213" t="s">
        <v>10370</v>
      </c>
      <c r="P1233" s="213" t="s">
        <v>10371</v>
      </c>
      <c r="Q1233" s="213" t="s">
        <v>10372</v>
      </c>
      <c r="R1233" s="213" t="s">
        <v>10373</v>
      </c>
      <c r="S1233" s="213" t="s">
        <v>10374</v>
      </c>
      <c r="T1233" s="213" t="s">
        <v>10375</v>
      </c>
      <c r="U1233" s="213" t="s">
        <v>73363</v>
      </c>
    </row>
    <row r="1234" spans="1:21" x14ac:dyDescent="0.25">
      <c r="A1234" s="213" t="s">
        <v>327</v>
      </c>
      <c r="D1234" s="213" t="s">
        <v>10376</v>
      </c>
      <c r="E1234" s="213" t="s">
        <v>10377</v>
      </c>
      <c r="K1234" s="213" t="s">
        <v>73271</v>
      </c>
      <c r="L1234" s="213" t="s">
        <v>73302</v>
      </c>
      <c r="M1234" s="213" t="s">
        <v>73333</v>
      </c>
      <c r="N1234" s="213" t="s">
        <v>10378</v>
      </c>
      <c r="O1234" s="213" t="s">
        <v>10379</v>
      </c>
      <c r="P1234" s="213" t="s">
        <v>10380</v>
      </c>
      <c r="Q1234" s="213" t="s">
        <v>10381</v>
      </c>
      <c r="R1234" s="213" t="s">
        <v>10382</v>
      </c>
      <c r="S1234" s="213" t="s">
        <v>10383</v>
      </c>
      <c r="T1234" s="213" t="s">
        <v>10384</v>
      </c>
      <c r="U1234" s="213" t="s">
        <v>73364</v>
      </c>
    </row>
    <row r="1235" spans="1:21" x14ac:dyDescent="0.25">
      <c r="A1235" s="213" t="s">
        <v>327</v>
      </c>
      <c r="D1235" s="213" t="s">
        <v>10385</v>
      </c>
      <c r="E1235" s="213" t="s">
        <v>10386</v>
      </c>
      <c r="K1235" s="213" t="s">
        <v>73272</v>
      </c>
      <c r="L1235" s="213" t="s">
        <v>73303</v>
      </c>
      <c r="M1235" s="213" t="s">
        <v>73334</v>
      </c>
      <c r="N1235" s="213" t="s">
        <v>10387</v>
      </c>
      <c r="O1235" s="213" t="s">
        <v>10388</v>
      </c>
      <c r="P1235" s="213" t="s">
        <v>10389</v>
      </c>
      <c r="Q1235" s="213" t="s">
        <v>10390</v>
      </c>
      <c r="R1235" s="213" t="s">
        <v>10391</v>
      </c>
      <c r="S1235" s="213" t="s">
        <v>10392</v>
      </c>
      <c r="T1235" s="213" t="s">
        <v>10393</v>
      </c>
      <c r="U1235" s="213" t="s">
        <v>73365</v>
      </c>
    </row>
    <row r="1236" spans="1:21" x14ac:dyDescent="0.25">
      <c r="A1236" s="213" t="s">
        <v>327</v>
      </c>
      <c r="D1236" s="213" t="s">
        <v>10394</v>
      </c>
      <c r="E1236" s="213" t="s">
        <v>10395</v>
      </c>
      <c r="K1236" s="213" t="s">
        <v>73273</v>
      </c>
      <c r="L1236" s="213" t="s">
        <v>73304</v>
      </c>
      <c r="M1236" s="213" t="s">
        <v>73335</v>
      </c>
      <c r="N1236" s="213" t="s">
        <v>10396</v>
      </c>
      <c r="O1236" s="213" t="s">
        <v>10397</v>
      </c>
      <c r="P1236" s="213" t="s">
        <v>10398</v>
      </c>
      <c r="Q1236" s="213" t="s">
        <v>10399</v>
      </c>
      <c r="R1236" s="213" t="s">
        <v>10400</v>
      </c>
      <c r="S1236" s="213" t="s">
        <v>10401</v>
      </c>
      <c r="T1236" s="213" t="s">
        <v>10402</v>
      </c>
      <c r="U1236" s="213" t="s">
        <v>73366</v>
      </c>
    </row>
    <row r="1237" spans="1:21" x14ac:dyDescent="0.25">
      <c r="A1237" s="213" t="s">
        <v>327</v>
      </c>
      <c r="D1237" s="213" t="s">
        <v>10403</v>
      </c>
      <c r="E1237" s="213" t="s">
        <v>10404</v>
      </c>
      <c r="K1237" s="213" t="s">
        <v>73274</v>
      </c>
      <c r="L1237" s="213" t="s">
        <v>73305</v>
      </c>
      <c r="M1237" s="213" t="s">
        <v>73336</v>
      </c>
      <c r="N1237" s="213" t="s">
        <v>10405</v>
      </c>
      <c r="O1237" s="213" t="s">
        <v>10406</v>
      </c>
      <c r="P1237" s="213" t="s">
        <v>10407</v>
      </c>
      <c r="Q1237" s="213" t="s">
        <v>10408</v>
      </c>
      <c r="R1237" s="213" t="s">
        <v>10409</v>
      </c>
      <c r="S1237" s="213" t="s">
        <v>10410</v>
      </c>
      <c r="T1237" s="213" t="s">
        <v>10411</v>
      </c>
      <c r="U1237" s="213" t="s">
        <v>73367</v>
      </c>
    </row>
    <row r="1238" spans="1:21" x14ac:dyDescent="0.25">
      <c r="A1238" s="213" t="s">
        <v>327</v>
      </c>
      <c r="D1238" s="213" t="s">
        <v>10412</v>
      </c>
      <c r="E1238" s="213" t="s">
        <v>10413</v>
      </c>
      <c r="K1238" s="213" t="s">
        <v>73275</v>
      </c>
      <c r="L1238" s="213" t="s">
        <v>73306</v>
      </c>
      <c r="M1238" s="213" t="s">
        <v>73337</v>
      </c>
      <c r="N1238" s="213" t="s">
        <v>10414</v>
      </c>
      <c r="O1238" s="213" t="s">
        <v>10415</v>
      </c>
      <c r="P1238" s="213" t="s">
        <v>10416</v>
      </c>
      <c r="Q1238" s="213" t="s">
        <v>10417</v>
      </c>
      <c r="R1238" s="213" t="s">
        <v>10418</v>
      </c>
      <c r="S1238" s="213" t="s">
        <v>10419</v>
      </c>
      <c r="T1238" s="213" t="s">
        <v>10420</v>
      </c>
      <c r="U1238" s="213" t="s">
        <v>73368</v>
      </c>
    </row>
    <row r="1239" spans="1:21" x14ac:dyDescent="0.25">
      <c r="A1239" s="213" t="s">
        <v>327</v>
      </c>
      <c r="D1239" s="213" t="s">
        <v>10421</v>
      </c>
      <c r="E1239" s="213" t="s">
        <v>10422</v>
      </c>
      <c r="K1239" s="213" t="s">
        <v>73276</v>
      </c>
      <c r="L1239" s="213" t="s">
        <v>73307</v>
      </c>
      <c r="M1239" s="213" t="s">
        <v>73338</v>
      </c>
      <c r="N1239" s="213" t="s">
        <v>10423</v>
      </c>
      <c r="O1239" s="213" t="s">
        <v>10424</v>
      </c>
      <c r="P1239" s="213" t="s">
        <v>10425</v>
      </c>
      <c r="Q1239" s="213" t="s">
        <v>10426</v>
      </c>
      <c r="R1239" s="213" t="s">
        <v>10427</v>
      </c>
      <c r="S1239" s="213" t="s">
        <v>10428</v>
      </c>
      <c r="T1239" s="213" t="s">
        <v>10429</v>
      </c>
      <c r="U1239" s="213" t="s">
        <v>73369</v>
      </c>
    </row>
    <row r="1240" spans="1:21" x14ac:dyDescent="0.25">
      <c r="A1240" s="213" t="s">
        <v>327</v>
      </c>
      <c r="D1240" s="213" t="s">
        <v>10430</v>
      </c>
      <c r="E1240" s="213" t="s">
        <v>10431</v>
      </c>
      <c r="K1240" s="213" t="s">
        <v>73277</v>
      </c>
      <c r="L1240" s="213" t="s">
        <v>73308</v>
      </c>
      <c r="M1240" s="213" t="s">
        <v>73339</v>
      </c>
      <c r="N1240" s="213" t="s">
        <v>10432</v>
      </c>
      <c r="O1240" s="213" t="s">
        <v>10433</v>
      </c>
      <c r="P1240" s="213" t="s">
        <v>10434</v>
      </c>
      <c r="Q1240" s="213" t="s">
        <v>10435</v>
      </c>
      <c r="R1240" s="213" t="s">
        <v>10436</v>
      </c>
      <c r="S1240" s="213" t="s">
        <v>10437</v>
      </c>
      <c r="T1240" s="213" t="s">
        <v>10438</v>
      </c>
      <c r="U1240" s="213" t="s">
        <v>73370</v>
      </c>
    </row>
    <row r="1241" spans="1:21" x14ac:dyDescent="0.25">
      <c r="A1241" s="213" t="s">
        <v>327</v>
      </c>
      <c r="D1241" s="213" t="s">
        <v>10439</v>
      </c>
      <c r="E1241" s="213" t="s">
        <v>10440</v>
      </c>
      <c r="K1241" s="213" t="s">
        <v>73278</v>
      </c>
      <c r="L1241" s="213" t="s">
        <v>73309</v>
      </c>
      <c r="M1241" s="213" t="s">
        <v>73340</v>
      </c>
      <c r="N1241" s="213" t="s">
        <v>10441</v>
      </c>
      <c r="O1241" s="213" t="s">
        <v>10442</v>
      </c>
      <c r="P1241" s="213" t="s">
        <v>10443</v>
      </c>
      <c r="Q1241" s="213" t="s">
        <v>10444</v>
      </c>
      <c r="R1241" s="213" t="s">
        <v>10445</v>
      </c>
      <c r="S1241" s="213" t="s">
        <v>10446</v>
      </c>
      <c r="T1241" s="213" t="s">
        <v>10447</v>
      </c>
      <c r="U1241" s="213" t="s">
        <v>73371</v>
      </c>
    </row>
    <row r="1242" spans="1:21" x14ac:dyDescent="0.25">
      <c r="A1242" s="213" t="s">
        <v>327</v>
      </c>
      <c r="D1242" s="213" t="s">
        <v>10448</v>
      </c>
      <c r="E1242" s="213" t="s">
        <v>10449</v>
      </c>
      <c r="K1242" s="213" t="s">
        <v>73279</v>
      </c>
      <c r="L1242" s="213" t="s">
        <v>73310</v>
      </c>
      <c r="M1242" s="213" t="s">
        <v>73341</v>
      </c>
      <c r="N1242" s="213" t="s">
        <v>10450</v>
      </c>
      <c r="O1242" s="213" t="s">
        <v>10451</v>
      </c>
      <c r="P1242" s="213" t="s">
        <v>10452</v>
      </c>
      <c r="Q1242" s="213" t="s">
        <v>10453</v>
      </c>
      <c r="R1242" s="213" t="s">
        <v>10454</v>
      </c>
      <c r="S1242" s="213" t="s">
        <v>10455</v>
      </c>
      <c r="T1242" s="213" t="s">
        <v>10456</v>
      </c>
      <c r="U1242" s="213" t="s">
        <v>73372</v>
      </c>
    </row>
    <row r="1243" spans="1:21" x14ac:dyDescent="0.25">
      <c r="A1243" s="213" t="s">
        <v>327</v>
      </c>
      <c r="D1243" s="213" t="s">
        <v>10457</v>
      </c>
      <c r="E1243" s="213" t="s">
        <v>10458</v>
      </c>
      <c r="K1243" s="213" t="s">
        <v>73280</v>
      </c>
      <c r="L1243" s="213" t="s">
        <v>73311</v>
      </c>
      <c r="M1243" s="213" t="s">
        <v>73342</v>
      </c>
      <c r="N1243" s="213" t="s">
        <v>10459</v>
      </c>
      <c r="O1243" s="213" t="s">
        <v>10460</v>
      </c>
      <c r="P1243" s="213" t="s">
        <v>10461</v>
      </c>
      <c r="Q1243" s="213" t="s">
        <v>10462</v>
      </c>
      <c r="R1243" s="213" t="s">
        <v>10463</v>
      </c>
      <c r="S1243" s="213" t="s">
        <v>10464</v>
      </c>
      <c r="T1243" s="213" t="s">
        <v>10465</v>
      </c>
      <c r="U1243" s="213" t="s">
        <v>73373</v>
      </c>
    </row>
    <row r="1244" spans="1:21" x14ac:dyDescent="0.25">
      <c r="A1244" s="213" t="s">
        <v>327</v>
      </c>
      <c r="D1244" s="213" t="s">
        <v>10466</v>
      </c>
      <c r="E1244" s="213" t="s">
        <v>10467</v>
      </c>
      <c r="K1244" s="213" t="s">
        <v>73281</v>
      </c>
      <c r="L1244" s="213" t="s">
        <v>73312</v>
      </c>
      <c r="M1244" s="213" t="s">
        <v>73343</v>
      </c>
      <c r="N1244" s="213" t="s">
        <v>10468</v>
      </c>
      <c r="O1244" s="213" t="s">
        <v>10469</v>
      </c>
      <c r="P1244" s="213" t="s">
        <v>10470</v>
      </c>
      <c r="Q1244" s="213" t="s">
        <v>10471</v>
      </c>
      <c r="R1244" s="213" t="s">
        <v>10472</v>
      </c>
      <c r="S1244" s="213" t="s">
        <v>10473</v>
      </c>
      <c r="T1244" s="213" t="s">
        <v>10474</v>
      </c>
      <c r="U1244" s="213" t="s">
        <v>73374</v>
      </c>
    </row>
    <row r="1245" spans="1:21" x14ac:dyDescent="0.25">
      <c r="A1245" s="213" t="s">
        <v>327</v>
      </c>
      <c r="D1245" s="213" t="s">
        <v>10475</v>
      </c>
      <c r="E1245" s="213" t="s">
        <v>10476</v>
      </c>
      <c r="K1245" s="213" t="s">
        <v>73282</v>
      </c>
      <c r="L1245" s="213" t="s">
        <v>73313</v>
      </c>
      <c r="M1245" s="213" t="s">
        <v>73344</v>
      </c>
      <c r="N1245" s="213" t="s">
        <v>10477</v>
      </c>
      <c r="O1245" s="213" t="s">
        <v>10478</v>
      </c>
      <c r="P1245" s="213" t="s">
        <v>10479</v>
      </c>
      <c r="Q1245" s="213" t="s">
        <v>10480</v>
      </c>
      <c r="R1245" s="213" t="s">
        <v>10481</v>
      </c>
      <c r="S1245" s="213" t="s">
        <v>10482</v>
      </c>
      <c r="T1245" s="213" t="s">
        <v>10483</v>
      </c>
      <c r="U1245" s="213" t="s">
        <v>73375</v>
      </c>
    </row>
    <row r="1246" spans="1:21" x14ac:dyDescent="0.25">
      <c r="A1246" s="213" t="s">
        <v>327</v>
      </c>
      <c r="D1246" s="213" t="s">
        <v>10484</v>
      </c>
      <c r="E1246" s="213" t="s">
        <v>10485</v>
      </c>
      <c r="K1246" s="213" t="s">
        <v>73283</v>
      </c>
      <c r="L1246" s="213" t="s">
        <v>73314</v>
      </c>
      <c r="M1246" s="213" t="s">
        <v>73345</v>
      </c>
      <c r="N1246" s="213" t="s">
        <v>10486</v>
      </c>
      <c r="O1246" s="213" t="s">
        <v>10487</v>
      </c>
      <c r="P1246" s="213" t="s">
        <v>10488</v>
      </c>
      <c r="Q1246" s="213" t="s">
        <v>10489</v>
      </c>
      <c r="R1246" s="213" t="s">
        <v>10490</v>
      </c>
      <c r="S1246" s="213" t="s">
        <v>10491</v>
      </c>
      <c r="T1246" s="213" t="s">
        <v>10492</v>
      </c>
      <c r="U1246" s="213" t="s">
        <v>73376</v>
      </c>
    </row>
    <row r="1247" spans="1:21" x14ac:dyDescent="0.25">
      <c r="A1247" s="213" t="s">
        <v>327</v>
      </c>
      <c r="D1247" s="213" t="s">
        <v>10493</v>
      </c>
      <c r="E1247" s="213" t="s">
        <v>10494</v>
      </c>
      <c r="K1247" s="213" t="s">
        <v>73284</v>
      </c>
      <c r="L1247" s="213" t="s">
        <v>73315</v>
      </c>
      <c r="M1247" s="213" t="s">
        <v>73346</v>
      </c>
      <c r="N1247" s="213" t="s">
        <v>10495</v>
      </c>
      <c r="O1247" s="213" t="s">
        <v>10496</v>
      </c>
      <c r="P1247" s="213" t="s">
        <v>10497</v>
      </c>
      <c r="Q1247" s="213" t="s">
        <v>10498</v>
      </c>
      <c r="R1247" s="213" t="s">
        <v>10499</v>
      </c>
      <c r="S1247" s="213" t="s">
        <v>10500</v>
      </c>
      <c r="T1247" s="213" t="s">
        <v>10501</v>
      </c>
      <c r="U1247" s="213" t="s">
        <v>73377</v>
      </c>
    </row>
    <row r="1248" spans="1:21" x14ac:dyDescent="0.25">
      <c r="A1248" s="213" t="s">
        <v>327</v>
      </c>
      <c r="D1248" s="213" t="s">
        <v>10502</v>
      </c>
      <c r="E1248" s="213" t="s">
        <v>10503</v>
      </c>
      <c r="K1248" s="213" t="s">
        <v>73285</v>
      </c>
      <c r="L1248" s="213" t="s">
        <v>73316</v>
      </c>
      <c r="M1248" s="213" t="s">
        <v>73347</v>
      </c>
      <c r="N1248" s="213" t="s">
        <v>10504</v>
      </c>
      <c r="O1248" s="213" t="s">
        <v>10505</v>
      </c>
      <c r="P1248" s="213" t="s">
        <v>10506</v>
      </c>
      <c r="Q1248" s="213" t="s">
        <v>10507</v>
      </c>
      <c r="R1248" s="213" t="s">
        <v>10508</v>
      </c>
      <c r="S1248" s="213" t="s">
        <v>10509</v>
      </c>
      <c r="T1248" s="213" t="s">
        <v>10510</v>
      </c>
      <c r="U1248" s="213" t="s">
        <v>73378</v>
      </c>
    </row>
    <row r="1249" spans="1:21" x14ac:dyDescent="0.25">
      <c r="A1249" s="213" t="s">
        <v>327</v>
      </c>
      <c r="D1249" s="213" t="s">
        <v>10511</v>
      </c>
      <c r="E1249" s="213" t="s">
        <v>10512</v>
      </c>
      <c r="K1249" s="213" t="s">
        <v>73286</v>
      </c>
      <c r="L1249" s="213" t="s">
        <v>73317</v>
      </c>
      <c r="M1249" s="213" t="s">
        <v>73348</v>
      </c>
      <c r="N1249" s="213" t="s">
        <v>10513</v>
      </c>
      <c r="O1249" s="213" t="s">
        <v>10514</v>
      </c>
      <c r="P1249" s="213" t="s">
        <v>10515</v>
      </c>
      <c r="Q1249" s="213" t="s">
        <v>10516</v>
      </c>
      <c r="R1249" s="213" t="s">
        <v>10517</v>
      </c>
      <c r="S1249" s="213" t="s">
        <v>10518</v>
      </c>
      <c r="T1249" s="213" t="s">
        <v>10519</v>
      </c>
      <c r="U1249" s="213" t="s">
        <v>73379</v>
      </c>
    </row>
    <row r="1250" spans="1:21" x14ac:dyDescent="0.25">
      <c r="A1250" s="213" t="s">
        <v>327</v>
      </c>
      <c r="D1250" s="213" t="s">
        <v>10520</v>
      </c>
      <c r="E1250" s="213" t="s">
        <v>10521</v>
      </c>
      <c r="K1250" s="213" t="s">
        <v>73287</v>
      </c>
      <c r="L1250" s="213" t="s">
        <v>73318</v>
      </c>
      <c r="M1250" s="213" t="s">
        <v>73349</v>
      </c>
      <c r="N1250" s="213" t="s">
        <v>10522</v>
      </c>
      <c r="O1250" s="213" t="s">
        <v>10523</v>
      </c>
      <c r="P1250" s="213" t="s">
        <v>10524</v>
      </c>
      <c r="Q1250" s="213" t="s">
        <v>10525</v>
      </c>
      <c r="R1250" s="213" t="s">
        <v>10526</v>
      </c>
      <c r="S1250" s="213" t="s">
        <v>10527</v>
      </c>
      <c r="T1250" s="213" t="s">
        <v>10528</v>
      </c>
      <c r="U1250" s="213" t="s">
        <v>73380</v>
      </c>
    </row>
    <row r="1251" spans="1:21" x14ac:dyDescent="0.25">
      <c r="A1251" s="213" t="s">
        <v>327</v>
      </c>
      <c r="D1251" s="213" t="s">
        <v>10529</v>
      </c>
      <c r="E1251" s="213" t="s">
        <v>10530</v>
      </c>
      <c r="K1251" s="213" t="s">
        <v>73288</v>
      </c>
      <c r="L1251" s="213" t="s">
        <v>73319</v>
      </c>
      <c r="M1251" s="213" t="s">
        <v>73350</v>
      </c>
      <c r="N1251" s="213" t="s">
        <v>10531</v>
      </c>
      <c r="O1251" s="213" t="s">
        <v>10532</v>
      </c>
      <c r="P1251" s="213" t="s">
        <v>10533</v>
      </c>
      <c r="Q1251" s="213" t="s">
        <v>10534</v>
      </c>
      <c r="R1251" s="213" t="s">
        <v>10535</v>
      </c>
      <c r="S1251" s="213" t="s">
        <v>10536</v>
      </c>
      <c r="T1251" s="213" t="s">
        <v>10537</v>
      </c>
      <c r="U1251" s="213" t="s">
        <v>73381</v>
      </c>
    </row>
    <row r="1252" spans="1:21" x14ac:dyDescent="0.25">
      <c r="A1252" s="213" t="s">
        <v>327</v>
      </c>
    </row>
    <row r="1253" spans="1:21" x14ac:dyDescent="0.25">
      <c r="A1253" s="213" t="s">
        <v>327</v>
      </c>
    </row>
    <row r="1254" spans="1:21" x14ac:dyDescent="0.25">
      <c r="A1254" s="213" t="s">
        <v>327</v>
      </c>
      <c r="C1254" s="213" t="s">
        <v>10538</v>
      </c>
      <c r="E1254" s="213" t="s">
        <v>10539</v>
      </c>
      <c r="H1254" s="213" t="s">
        <v>10540</v>
      </c>
      <c r="I1254" s="213" t="s">
        <v>10541</v>
      </c>
      <c r="J1254" s="213" t="s">
        <v>10542</v>
      </c>
      <c r="L1254" s="213" t="s">
        <v>10543</v>
      </c>
      <c r="O1254" s="213" t="s">
        <v>10544</v>
      </c>
      <c r="P1254" s="213" t="s">
        <v>10545</v>
      </c>
      <c r="Q1254" s="213" t="s">
        <v>10546</v>
      </c>
      <c r="R1254" s="213" t="s">
        <v>10547</v>
      </c>
      <c r="S1254" s="213" t="s">
        <v>10548</v>
      </c>
      <c r="T1254" s="213" t="s">
        <v>10549</v>
      </c>
    </row>
    <row r="1255" spans="1:21" x14ac:dyDescent="0.25">
      <c r="A1255" s="213" t="s">
        <v>327</v>
      </c>
      <c r="C1255" s="213" t="s">
        <v>10550</v>
      </c>
      <c r="E1255" s="213" t="s">
        <v>10551</v>
      </c>
      <c r="I1255" s="213" t="s">
        <v>10552</v>
      </c>
    </row>
    <row r="1256" spans="1:21" x14ac:dyDescent="0.25">
      <c r="A1256" s="213" t="s">
        <v>327</v>
      </c>
      <c r="C1256" s="213" t="s">
        <v>10553</v>
      </c>
      <c r="E1256" s="213" t="s">
        <v>10554</v>
      </c>
      <c r="I1256" s="213" t="s">
        <v>10555</v>
      </c>
    </row>
    <row r="1257" spans="1:21" x14ac:dyDescent="0.25">
      <c r="A1257" s="213" t="s">
        <v>328</v>
      </c>
    </row>
    <row r="1258" spans="1:21" x14ac:dyDescent="0.25">
      <c r="A1258" s="213" t="s">
        <v>327</v>
      </c>
      <c r="D1258" s="213" t="s">
        <v>10556</v>
      </c>
      <c r="E1258" s="213" t="s">
        <v>10557</v>
      </c>
      <c r="K1258" s="213" t="s">
        <v>73146</v>
      </c>
      <c r="L1258" s="213" t="s">
        <v>73174</v>
      </c>
      <c r="M1258" s="213" t="s">
        <v>73202</v>
      </c>
      <c r="N1258" s="213" t="s">
        <v>10558</v>
      </c>
      <c r="O1258" s="213" t="s">
        <v>10559</v>
      </c>
      <c r="P1258" s="213" t="s">
        <v>10560</v>
      </c>
      <c r="Q1258" s="213" t="s">
        <v>10561</v>
      </c>
      <c r="R1258" s="213" t="s">
        <v>10562</v>
      </c>
      <c r="S1258" s="213" t="s">
        <v>10563</v>
      </c>
      <c r="T1258" s="213" t="s">
        <v>10564</v>
      </c>
      <c r="U1258" s="213" t="s">
        <v>73230</v>
      </c>
    </row>
    <row r="1259" spans="1:21" x14ac:dyDescent="0.25">
      <c r="A1259" s="213" t="s">
        <v>327</v>
      </c>
      <c r="D1259" s="213" t="s">
        <v>10565</v>
      </c>
      <c r="E1259" s="213" t="s">
        <v>10566</v>
      </c>
      <c r="K1259" s="213" t="s">
        <v>73147</v>
      </c>
      <c r="L1259" s="213" t="s">
        <v>73175</v>
      </c>
      <c r="M1259" s="213" t="s">
        <v>73203</v>
      </c>
      <c r="N1259" s="213" t="s">
        <v>10567</v>
      </c>
      <c r="O1259" s="213" t="s">
        <v>10568</v>
      </c>
      <c r="P1259" s="213" t="s">
        <v>10569</v>
      </c>
      <c r="Q1259" s="213" t="s">
        <v>10570</v>
      </c>
      <c r="R1259" s="213" t="s">
        <v>10571</v>
      </c>
      <c r="S1259" s="213" t="s">
        <v>10572</v>
      </c>
      <c r="T1259" s="213" t="s">
        <v>10573</v>
      </c>
      <c r="U1259" s="213" t="s">
        <v>73231</v>
      </c>
    </row>
    <row r="1260" spans="1:21" x14ac:dyDescent="0.25">
      <c r="A1260" s="213" t="s">
        <v>327</v>
      </c>
      <c r="D1260" s="213" t="s">
        <v>10574</v>
      </c>
      <c r="E1260" s="213" t="s">
        <v>10575</v>
      </c>
      <c r="K1260" s="213" t="s">
        <v>73148</v>
      </c>
      <c r="L1260" s="213" t="s">
        <v>73176</v>
      </c>
      <c r="M1260" s="213" t="s">
        <v>73204</v>
      </c>
      <c r="N1260" s="213" t="s">
        <v>10576</v>
      </c>
      <c r="O1260" s="213" t="s">
        <v>10577</v>
      </c>
      <c r="P1260" s="213" t="s">
        <v>10578</v>
      </c>
      <c r="Q1260" s="213" t="s">
        <v>10579</v>
      </c>
      <c r="R1260" s="213" t="s">
        <v>10580</v>
      </c>
      <c r="S1260" s="213" t="s">
        <v>10581</v>
      </c>
      <c r="T1260" s="213" t="s">
        <v>10582</v>
      </c>
      <c r="U1260" s="213" t="s">
        <v>73232</v>
      </c>
    </row>
    <row r="1261" spans="1:21" x14ac:dyDescent="0.25">
      <c r="A1261" s="213" t="s">
        <v>327</v>
      </c>
      <c r="D1261" s="213" t="s">
        <v>10583</v>
      </c>
      <c r="E1261" s="213" t="s">
        <v>10584</v>
      </c>
      <c r="K1261" s="213" t="s">
        <v>73149</v>
      </c>
      <c r="L1261" s="213" t="s">
        <v>73177</v>
      </c>
      <c r="M1261" s="213" t="s">
        <v>73205</v>
      </c>
      <c r="N1261" s="213" t="s">
        <v>10585</v>
      </c>
      <c r="O1261" s="213" t="s">
        <v>10586</v>
      </c>
      <c r="P1261" s="213" t="s">
        <v>10587</v>
      </c>
      <c r="Q1261" s="213" t="s">
        <v>10588</v>
      </c>
      <c r="R1261" s="213" t="s">
        <v>10589</v>
      </c>
      <c r="S1261" s="213" t="s">
        <v>10590</v>
      </c>
      <c r="T1261" s="213" t="s">
        <v>10591</v>
      </c>
      <c r="U1261" s="213" t="s">
        <v>73233</v>
      </c>
    </row>
    <row r="1262" spans="1:21" x14ac:dyDescent="0.25">
      <c r="A1262" s="213" t="s">
        <v>327</v>
      </c>
      <c r="D1262" s="213" t="s">
        <v>10592</v>
      </c>
      <c r="E1262" s="213" t="s">
        <v>10593</v>
      </c>
      <c r="K1262" s="213" t="s">
        <v>73150</v>
      </c>
      <c r="L1262" s="213" t="s">
        <v>73178</v>
      </c>
      <c r="M1262" s="213" t="s">
        <v>73206</v>
      </c>
      <c r="N1262" s="213" t="s">
        <v>10594</v>
      </c>
      <c r="O1262" s="213" t="s">
        <v>10595</v>
      </c>
      <c r="P1262" s="213" t="s">
        <v>10596</v>
      </c>
      <c r="Q1262" s="213" t="s">
        <v>10597</v>
      </c>
      <c r="R1262" s="213" t="s">
        <v>10598</v>
      </c>
      <c r="S1262" s="213" t="s">
        <v>10599</v>
      </c>
      <c r="T1262" s="213" t="s">
        <v>10600</v>
      </c>
      <c r="U1262" s="213" t="s">
        <v>73234</v>
      </c>
    </row>
    <row r="1263" spans="1:21" x14ac:dyDescent="0.25">
      <c r="A1263" s="213" t="s">
        <v>327</v>
      </c>
      <c r="D1263" s="213" t="s">
        <v>10601</v>
      </c>
      <c r="E1263" s="213" t="s">
        <v>10602</v>
      </c>
      <c r="K1263" s="213" t="s">
        <v>73151</v>
      </c>
      <c r="L1263" s="213" t="s">
        <v>73179</v>
      </c>
      <c r="M1263" s="213" t="s">
        <v>73207</v>
      </c>
      <c r="N1263" s="213" t="s">
        <v>10603</v>
      </c>
      <c r="O1263" s="213" t="s">
        <v>10604</v>
      </c>
      <c r="P1263" s="213" t="s">
        <v>10605</v>
      </c>
      <c r="Q1263" s="213" t="s">
        <v>10606</v>
      </c>
      <c r="R1263" s="213" t="s">
        <v>10607</v>
      </c>
      <c r="S1263" s="213" t="s">
        <v>10608</v>
      </c>
      <c r="T1263" s="213" t="s">
        <v>10609</v>
      </c>
      <c r="U1263" s="213" t="s">
        <v>73235</v>
      </c>
    </row>
    <row r="1264" spans="1:21" x14ac:dyDescent="0.25">
      <c r="A1264" s="213" t="s">
        <v>327</v>
      </c>
      <c r="D1264" s="213" t="s">
        <v>10610</v>
      </c>
      <c r="E1264" s="213" t="s">
        <v>10611</v>
      </c>
      <c r="K1264" s="213" t="s">
        <v>73152</v>
      </c>
      <c r="L1264" s="213" t="s">
        <v>73180</v>
      </c>
      <c r="M1264" s="213" t="s">
        <v>73208</v>
      </c>
      <c r="N1264" s="213" t="s">
        <v>10612</v>
      </c>
      <c r="O1264" s="213" t="s">
        <v>10613</v>
      </c>
      <c r="P1264" s="213" t="s">
        <v>10614</v>
      </c>
      <c r="Q1264" s="213" t="s">
        <v>10615</v>
      </c>
      <c r="R1264" s="213" t="s">
        <v>10616</v>
      </c>
      <c r="S1264" s="213" t="s">
        <v>10617</v>
      </c>
      <c r="T1264" s="213" t="s">
        <v>10618</v>
      </c>
      <c r="U1264" s="213" t="s">
        <v>73236</v>
      </c>
    </row>
    <row r="1265" spans="1:21" x14ac:dyDescent="0.25">
      <c r="A1265" s="213" t="s">
        <v>327</v>
      </c>
      <c r="D1265" s="213" t="s">
        <v>10619</v>
      </c>
      <c r="E1265" s="213" t="s">
        <v>10620</v>
      </c>
      <c r="K1265" s="213" t="s">
        <v>73153</v>
      </c>
      <c r="L1265" s="213" t="s">
        <v>73181</v>
      </c>
      <c r="M1265" s="213" t="s">
        <v>73209</v>
      </c>
      <c r="N1265" s="213" t="s">
        <v>10621</v>
      </c>
      <c r="O1265" s="213" t="s">
        <v>10622</v>
      </c>
      <c r="P1265" s="213" t="s">
        <v>10623</v>
      </c>
      <c r="Q1265" s="213" t="s">
        <v>10624</v>
      </c>
      <c r="R1265" s="213" t="s">
        <v>10625</v>
      </c>
      <c r="S1265" s="213" t="s">
        <v>10626</v>
      </c>
      <c r="T1265" s="213" t="s">
        <v>10627</v>
      </c>
      <c r="U1265" s="213" t="s">
        <v>73237</v>
      </c>
    </row>
    <row r="1266" spans="1:21" x14ac:dyDescent="0.25">
      <c r="A1266" s="213" t="s">
        <v>327</v>
      </c>
      <c r="D1266" s="213" t="s">
        <v>10628</v>
      </c>
      <c r="E1266" s="213" t="s">
        <v>10629</v>
      </c>
      <c r="K1266" s="213" t="s">
        <v>73154</v>
      </c>
      <c r="L1266" s="213" t="s">
        <v>73182</v>
      </c>
      <c r="M1266" s="213" t="s">
        <v>73210</v>
      </c>
      <c r="N1266" s="213" t="s">
        <v>10630</v>
      </c>
      <c r="O1266" s="213" t="s">
        <v>10631</v>
      </c>
      <c r="P1266" s="213" t="s">
        <v>10632</v>
      </c>
      <c r="Q1266" s="213" t="s">
        <v>10633</v>
      </c>
      <c r="R1266" s="213" t="s">
        <v>10634</v>
      </c>
      <c r="S1266" s="213" t="s">
        <v>10635</v>
      </c>
      <c r="T1266" s="213" t="s">
        <v>10636</v>
      </c>
      <c r="U1266" s="213" t="s">
        <v>73238</v>
      </c>
    </row>
    <row r="1267" spans="1:21" x14ac:dyDescent="0.25">
      <c r="A1267" s="213" t="s">
        <v>327</v>
      </c>
      <c r="D1267" s="213" t="s">
        <v>10637</v>
      </c>
      <c r="E1267" s="213" t="s">
        <v>10638</v>
      </c>
      <c r="K1267" s="213" t="s">
        <v>73155</v>
      </c>
      <c r="L1267" s="213" t="s">
        <v>73183</v>
      </c>
      <c r="M1267" s="213" t="s">
        <v>73211</v>
      </c>
      <c r="N1267" s="213" t="s">
        <v>10639</v>
      </c>
      <c r="O1267" s="213" t="s">
        <v>10640</v>
      </c>
      <c r="P1267" s="213" t="s">
        <v>10641</v>
      </c>
      <c r="Q1267" s="213" t="s">
        <v>10642</v>
      </c>
      <c r="R1267" s="213" t="s">
        <v>10643</v>
      </c>
      <c r="S1267" s="213" t="s">
        <v>10644</v>
      </c>
      <c r="T1267" s="213" t="s">
        <v>10645</v>
      </c>
      <c r="U1267" s="213" t="s">
        <v>73239</v>
      </c>
    </row>
    <row r="1268" spans="1:21" x14ac:dyDescent="0.25">
      <c r="A1268" s="213" t="s">
        <v>327</v>
      </c>
      <c r="D1268" s="213" t="s">
        <v>10646</v>
      </c>
      <c r="E1268" s="213" t="s">
        <v>10647</v>
      </c>
      <c r="K1268" s="213" t="s">
        <v>73156</v>
      </c>
      <c r="L1268" s="213" t="s">
        <v>73184</v>
      </c>
      <c r="M1268" s="213" t="s">
        <v>73212</v>
      </c>
      <c r="N1268" s="213" t="s">
        <v>10648</v>
      </c>
      <c r="O1268" s="213" t="s">
        <v>10649</v>
      </c>
      <c r="P1268" s="213" t="s">
        <v>10650</v>
      </c>
      <c r="Q1268" s="213" t="s">
        <v>10651</v>
      </c>
      <c r="R1268" s="213" t="s">
        <v>10652</v>
      </c>
      <c r="S1268" s="213" t="s">
        <v>10653</v>
      </c>
      <c r="T1268" s="213" t="s">
        <v>10654</v>
      </c>
      <c r="U1268" s="213" t="s">
        <v>73240</v>
      </c>
    </row>
    <row r="1269" spans="1:21" x14ac:dyDescent="0.25">
      <c r="A1269" s="213" t="s">
        <v>327</v>
      </c>
      <c r="D1269" s="213" t="s">
        <v>10655</v>
      </c>
      <c r="E1269" s="213" t="s">
        <v>10656</v>
      </c>
      <c r="K1269" s="213" t="s">
        <v>73157</v>
      </c>
      <c r="L1269" s="213" t="s">
        <v>73185</v>
      </c>
      <c r="M1269" s="213" t="s">
        <v>73213</v>
      </c>
      <c r="N1269" s="213" t="s">
        <v>10657</v>
      </c>
      <c r="O1269" s="213" t="s">
        <v>10658</v>
      </c>
      <c r="P1269" s="213" t="s">
        <v>10659</v>
      </c>
      <c r="Q1269" s="213" t="s">
        <v>10660</v>
      </c>
      <c r="R1269" s="213" t="s">
        <v>10661</v>
      </c>
      <c r="S1269" s="213" t="s">
        <v>10662</v>
      </c>
      <c r="T1269" s="213" t="s">
        <v>10663</v>
      </c>
      <c r="U1269" s="213" t="s">
        <v>73241</v>
      </c>
    </row>
    <row r="1270" spans="1:21" x14ac:dyDescent="0.25">
      <c r="A1270" s="213" t="s">
        <v>327</v>
      </c>
      <c r="D1270" s="213" t="s">
        <v>10664</v>
      </c>
      <c r="E1270" s="213" t="s">
        <v>10665</v>
      </c>
      <c r="K1270" s="213" t="s">
        <v>73158</v>
      </c>
      <c r="L1270" s="213" t="s">
        <v>73186</v>
      </c>
      <c r="M1270" s="213" t="s">
        <v>73214</v>
      </c>
      <c r="N1270" s="213" t="s">
        <v>10666</v>
      </c>
      <c r="O1270" s="213" t="s">
        <v>10667</v>
      </c>
      <c r="P1270" s="213" t="s">
        <v>10668</v>
      </c>
      <c r="Q1270" s="213" t="s">
        <v>10669</v>
      </c>
      <c r="R1270" s="213" t="s">
        <v>10670</v>
      </c>
      <c r="S1270" s="213" t="s">
        <v>10671</v>
      </c>
      <c r="T1270" s="213" t="s">
        <v>10672</v>
      </c>
      <c r="U1270" s="213" t="s">
        <v>73242</v>
      </c>
    </row>
    <row r="1271" spans="1:21" x14ac:dyDescent="0.25">
      <c r="A1271" s="213" t="s">
        <v>327</v>
      </c>
      <c r="D1271" s="213" t="s">
        <v>10673</v>
      </c>
      <c r="E1271" s="213" t="s">
        <v>10674</v>
      </c>
      <c r="K1271" s="213" t="s">
        <v>73159</v>
      </c>
      <c r="L1271" s="213" t="s">
        <v>73187</v>
      </c>
      <c r="M1271" s="213" t="s">
        <v>73215</v>
      </c>
      <c r="N1271" s="213" t="s">
        <v>10675</v>
      </c>
      <c r="O1271" s="213" t="s">
        <v>10676</v>
      </c>
      <c r="P1271" s="213" t="s">
        <v>10677</v>
      </c>
      <c r="Q1271" s="213" t="s">
        <v>10678</v>
      </c>
      <c r="R1271" s="213" t="s">
        <v>10679</v>
      </c>
      <c r="S1271" s="213" t="s">
        <v>10680</v>
      </c>
      <c r="T1271" s="213" t="s">
        <v>10681</v>
      </c>
      <c r="U1271" s="213" t="s">
        <v>73243</v>
      </c>
    </row>
    <row r="1272" spans="1:21" x14ac:dyDescent="0.25">
      <c r="A1272" s="213" t="s">
        <v>327</v>
      </c>
      <c r="D1272" s="213" t="s">
        <v>10682</v>
      </c>
      <c r="E1272" s="213" t="s">
        <v>10683</v>
      </c>
      <c r="K1272" s="213" t="s">
        <v>73160</v>
      </c>
      <c r="L1272" s="213" t="s">
        <v>73188</v>
      </c>
      <c r="M1272" s="213" t="s">
        <v>73216</v>
      </c>
      <c r="N1272" s="213" t="s">
        <v>10684</v>
      </c>
      <c r="O1272" s="213" t="s">
        <v>10685</v>
      </c>
      <c r="P1272" s="213" t="s">
        <v>10686</v>
      </c>
      <c r="Q1272" s="213" t="s">
        <v>10687</v>
      </c>
      <c r="R1272" s="213" t="s">
        <v>10688</v>
      </c>
      <c r="S1272" s="213" t="s">
        <v>10689</v>
      </c>
      <c r="T1272" s="213" t="s">
        <v>10690</v>
      </c>
      <c r="U1272" s="213" t="s">
        <v>73244</v>
      </c>
    </row>
    <row r="1273" spans="1:21" x14ac:dyDescent="0.25">
      <c r="A1273" s="213" t="s">
        <v>327</v>
      </c>
      <c r="D1273" s="213" t="s">
        <v>10691</v>
      </c>
      <c r="E1273" s="213" t="s">
        <v>10692</v>
      </c>
      <c r="K1273" s="213" t="s">
        <v>73161</v>
      </c>
      <c r="L1273" s="213" t="s">
        <v>73189</v>
      </c>
      <c r="M1273" s="213" t="s">
        <v>73217</v>
      </c>
      <c r="N1273" s="213" t="s">
        <v>10693</v>
      </c>
      <c r="O1273" s="213" t="s">
        <v>10694</v>
      </c>
      <c r="P1273" s="213" t="s">
        <v>10695</v>
      </c>
      <c r="Q1273" s="213" t="s">
        <v>10696</v>
      </c>
      <c r="R1273" s="213" t="s">
        <v>10697</v>
      </c>
      <c r="S1273" s="213" t="s">
        <v>10698</v>
      </c>
      <c r="T1273" s="213" t="s">
        <v>10699</v>
      </c>
      <c r="U1273" s="213" t="s">
        <v>73245</v>
      </c>
    </row>
    <row r="1274" spans="1:21" x14ac:dyDescent="0.25">
      <c r="A1274" s="213" t="s">
        <v>327</v>
      </c>
      <c r="D1274" s="213" t="s">
        <v>10700</v>
      </c>
      <c r="E1274" s="213" t="s">
        <v>10701</v>
      </c>
      <c r="K1274" s="213" t="s">
        <v>73162</v>
      </c>
      <c r="L1274" s="213" t="s">
        <v>73190</v>
      </c>
      <c r="M1274" s="213" t="s">
        <v>73218</v>
      </c>
      <c r="N1274" s="213" t="s">
        <v>10702</v>
      </c>
      <c r="O1274" s="213" t="s">
        <v>10703</v>
      </c>
      <c r="P1274" s="213" t="s">
        <v>10704</v>
      </c>
      <c r="Q1274" s="213" t="s">
        <v>10705</v>
      </c>
      <c r="R1274" s="213" t="s">
        <v>10706</v>
      </c>
      <c r="S1274" s="213" t="s">
        <v>10707</v>
      </c>
      <c r="T1274" s="213" t="s">
        <v>10708</v>
      </c>
      <c r="U1274" s="213" t="s">
        <v>73246</v>
      </c>
    </row>
    <row r="1275" spans="1:21" x14ac:dyDescent="0.25">
      <c r="A1275" s="213" t="s">
        <v>327</v>
      </c>
      <c r="D1275" s="213" t="s">
        <v>10709</v>
      </c>
      <c r="E1275" s="213" t="s">
        <v>10710</v>
      </c>
      <c r="K1275" s="213" t="s">
        <v>73163</v>
      </c>
      <c r="L1275" s="213" t="s">
        <v>73191</v>
      </c>
      <c r="M1275" s="213" t="s">
        <v>73219</v>
      </c>
      <c r="N1275" s="213" t="s">
        <v>10711</v>
      </c>
      <c r="O1275" s="213" t="s">
        <v>10712</v>
      </c>
      <c r="P1275" s="213" t="s">
        <v>10713</v>
      </c>
      <c r="Q1275" s="213" t="s">
        <v>10714</v>
      </c>
      <c r="R1275" s="213" t="s">
        <v>10715</v>
      </c>
      <c r="S1275" s="213" t="s">
        <v>10716</v>
      </c>
      <c r="T1275" s="213" t="s">
        <v>10717</v>
      </c>
      <c r="U1275" s="213" t="s">
        <v>73247</v>
      </c>
    </row>
    <row r="1276" spans="1:21" x14ac:dyDescent="0.25">
      <c r="A1276" s="213" t="s">
        <v>327</v>
      </c>
      <c r="D1276" s="213" t="s">
        <v>10718</v>
      </c>
      <c r="E1276" s="213" t="s">
        <v>10719</v>
      </c>
      <c r="K1276" s="213" t="s">
        <v>73164</v>
      </c>
      <c r="L1276" s="213" t="s">
        <v>73192</v>
      </c>
      <c r="M1276" s="213" t="s">
        <v>73220</v>
      </c>
      <c r="N1276" s="213" t="s">
        <v>10720</v>
      </c>
      <c r="O1276" s="213" t="s">
        <v>10721</v>
      </c>
      <c r="P1276" s="213" t="s">
        <v>10722</v>
      </c>
      <c r="Q1276" s="213" t="s">
        <v>10723</v>
      </c>
      <c r="R1276" s="213" t="s">
        <v>10724</v>
      </c>
      <c r="S1276" s="213" t="s">
        <v>10725</v>
      </c>
      <c r="T1276" s="213" t="s">
        <v>10726</v>
      </c>
      <c r="U1276" s="213" t="s">
        <v>73248</v>
      </c>
    </row>
    <row r="1277" spans="1:21" x14ac:dyDescent="0.25">
      <c r="A1277" s="213" t="s">
        <v>327</v>
      </c>
      <c r="D1277" s="213" t="s">
        <v>10727</v>
      </c>
      <c r="E1277" s="213" t="s">
        <v>10728</v>
      </c>
      <c r="K1277" s="213" t="s">
        <v>73165</v>
      </c>
      <c r="L1277" s="213" t="s">
        <v>73193</v>
      </c>
      <c r="M1277" s="213" t="s">
        <v>73221</v>
      </c>
      <c r="N1277" s="213" t="s">
        <v>10729</v>
      </c>
      <c r="O1277" s="213" t="s">
        <v>10730</v>
      </c>
      <c r="P1277" s="213" t="s">
        <v>10731</v>
      </c>
      <c r="Q1277" s="213" t="s">
        <v>10732</v>
      </c>
      <c r="R1277" s="213" t="s">
        <v>10733</v>
      </c>
      <c r="S1277" s="213" t="s">
        <v>10734</v>
      </c>
      <c r="T1277" s="213" t="s">
        <v>10735</v>
      </c>
      <c r="U1277" s="213" t="s">
        <v>73249</v>
      </c>
    </row>
    <row r="1278" spans="1:21" x14ac:dyDescent="0.25">
      <c r="A1278" s="213" t="s">
        <v>327</v>
      </c>
      <c r="D1278" s="213" t="s">
        <v>10736</v>
      </c>
      <c r="E1278" s="213" t="s">
        <v>10737</v>
      </c>
      <c r="K1278" s="213" t="s">
        <v>73166</v>
      </c>
      <c r="L1278" s="213" t="s">
        <v>73194</v>
      </c>
      <c r="M1278" s="213" t="s">
        <v>73222</v>
      </c>
      <c r="N1278" s="213" t="s">
        <v>10738</v>
      </c>
      <c r="O1278" s="213" t="s">
        <v>10739</v>
      </c>
      <c r="P1278" s="213" t="s">
        <v>10740</v>
      </c>
      <c r="Q1278" s="213" t="s">
        <v>10741</v>
      </c>
      <c r="R1278" s="213" t="s">
        <v>10742</v>
      </c>
      <c r="S1278" s="213" t="s">
        <v>10743</v>
      </c>
      <c r="T1278" s="213" t="s">
        <v>10744</v>
      </c>
      <c r="U1278" s="213" t="s">
        <v>73250</v>
      </c>
    </row>
    <row r="1279" spans="1:21" x14ac:dyDescent="0.25">
      <c r="A1279" s="213" t="s">
        <v>327</v>
      </c>
      <c r="D1279" s="213" t="s">
        <v>10745</v>
      </c>
      <c r="E1279" s="213" t="s">
        <v>10746</v>
      </c>
      <c r="K1279" s="213" t="s">
        <v>73167</v>
      </c>
      <c r="L1279" s="213" t="s">
        <v>73195</v>
      </c>
      <c r="M1279" s="213" t="s">
        <v>73223</v>
      </c>
      <c r="N1279" s="213" t="s">
        <v>10747</v>
      </c>
      <c r="O1279" s="213" t="s">
        <v>10748</v>
      </c>
      <c r="P1279" s="213" t="s">
        <v>10749</v>
      </c>
      <c r="Q1279" s="213" t="s">
        <v>10750</v>
      </c>
      <c r="R1279" s="213" t="s">
        <v>10751</v>
      </c>
      <c r="S1279" s="213" t="s">
        <v>10752</v>
      </c>
      <c r="T1279" s="213" t="s">
        <v>10753</v>
      </c>
      <c r="U1279" s="213" t="s">
        <v>73251</v>
      </c>
    </row>
    <row r="1280" spans="1:21" x14ac:dyDescent="0.25">
      <c r="A1280" s="213" t="s">
        <v>327</v>
      </c>
      <c r="D1280" s="213" t="s">
        <v>10754</v>
      </c>
      <c r="E1280" s="213" t="s">
        <v>10755</v>
      </c>
      <c r="K1280" s="213" t="s">
        <v>73168</v>
      </c>
      <c r="L1280" s="213" t="s">
        <v>73196</v>
      </c>
      <c r="M1280" s="213" t="s">
        <v>73224</v>
      </c>
      <c r="N1280" s="213" t="s">
        <v>10756</v>
      </c>
      <c r="O1280" s="213" t="s">
        <v>10757</v>
      </c>
      <c r="P1280" s="213" t="s">
        <v>10758</v>
      </c>
      <c r="Q1280" s="213" t="s">
        <v>10759</v>
      </c>
      <c r="R1280" s="213" t="s">
        <v>10760</v>
      </c>
      <c r="S1280" s="213" t="s">
        <v>10761</v>
      </c>
      <c r="T1280" s="213" t="s">
        <v>10762</v>
      </c>
      <c r="U1280" s="213" t="s">
        <v>73252</v>
      </c>
    </row>
    <row r="1281" spans="1:21" x14ac:dyDescent="0.25">
      <c r="A1281" s="213" t="s">
        <v>327</v>
      </c>
      <c r="D1281" s="213" t="s">
        <v>10763</v>
      </c>
      <c r="E1281" s="213" t="s">
        <v>10764</v>
      </c>
      <c r="K1281" s="213" t="s">
        <v>73169</v>
      </c>
      <c r="L1281" s="213" t="s">
        <v>73197</v>
      </c>
      <c r="M1281" s="213" t="s">
        <v>73225</v>
      </c>
      <c r="N1281" s="213" t="s">
        <v>10765</v>
      </c>
      <c r="O1281" s="213" t="s">
        <v>10766</v>
      </c>
      <c r="P1281" s="213" t="s">
        <v>10767</v>
      </c>
      <c r="Q1281" s="213" t="s">
        <v>10768</v>
      </c>
      <c r="R1281" s="213" t="s">
        <v>10769</v>
      </c>
      <c r="S1281" s="213" t="s">
        <v>10770</v>
      </c>
      <c r="T1281" s="213" t="s">
        <v>10771</v>
      </c>
      <c r="U1281" s="213" t="s">
        <v>73253</v>
      </c>
    </row>
    <row r="1282" spans="1:21" x14ac:dyDescent="0.25">
      <c r="A1282" s="213" t="s">
        <v>327</v>
      </c>
      <c r="D1282" s="213" t="s">
        <v>10772</v>
      </c>
      <c r="E1282" s="213" t="s">
        <v>10773</v>
      </c>
      <c r="K1282" s="213" t="s">
        <v>73170</v>
      </c>
      <c r="L1282" s="213" t="s">
        <v>73198</v>
      </c>
      <c r="M1282" s="213" t="s">
        <v>73226</v>
      </c>
      <c r="N1282" s="213" t="s">
        <v>10774</v>
      </c>
      <c r="O1282" s="213" t="s">
        <v>10775</v>
      </c>
      <c r="P1282" s="213" t="s">
        <v>10776</v>
      </c>
      <c r="Q1282" s="213" t="s">
        <v>10777</v>
      </c>
      <c r="R1282" s="213" t="s">
        <v>10778</v>
      </c>
      <c r="S1282" s="213" t="s">
        <v>10779</v>
      </c>
      <c r="T1282" s="213" t="s">
        <v>10780</v>
      </c>
      <c r="U1282" s="213" t="s">
        <v>73254</v>
      </c>
    </row>
    <row r="1283" spans="1:21" x14ac:dyDescent="0.25">
      <c r="A1283" s="213" t="s">
        <v>327</v>
      </c>
      <c r="D1283" s="213" t="s">
        <v>10781</v>
      </c>
      <c r="E1283" s="213" t="s">
        <v>10782</v>
      </c>
      <c r="K1283" s="213" t="s">
        <v>73171</v>
      </c>
      <c r="L1283" s="213" t="s">
        <v>73199</v>
      </c>
      <c r="M1283" s="213" t="s">
        <v>73227</v>
      </c>
      <c r="N1283" s="213" t="s">
        <v>10783</v>
      </c>
      <c r="O1283" s="213" t="s">
        <v>10784</v>
      </c>
      <c r="P1283" s="213" t="s">
        <v>10785</v>
      </c>
      <c r="Q1283" s="213" t="s">
        <v>10786</v>
      </c>
      <c r="R1283" s="213" t="s">
        <v>10787</v>
      </c>
      <c r="S1283" s="213" t="s">
        <v>10788</v>
      </c>
      <c r="T1283" s="213" t="s">
        <v>10789</v>
      </c>
      <c r="U1283" s="213" t="s">
        <v>73255</v>
      </c>
    </row>
    <row r="1284" spans="1:21" x14ac:dyDescent="0.25">
      <c r="A1284" s="213" t="s">
        <v>327</v>
      </c>
      <c r="D1284" s="213" t="s">
        <v>10790</v>
      </c>
      <c r="E1284" s="213" t="s">
        <v>10791</v>
      </c>
      <c r="K1284" s="213" t="s">
        <v>73172</v>
      </c>
      <c r="L1284" s="213" t="s">
        <v>73200</v>
      </c>
      <c r="M1284" s="213" t="s">
        <v>73228</v>
      </c>
      <c r="N1284" s="213" t="s">
        <v>10792</v>
      </c>
      <c r="O1284" s="213" t="s">
        <v>10793</v>
      </c>
      <c r="P1284" s="213" t="s">
        <v>10794</v>
      </c>
      <c r="Q1284" s="213" t="s">
        <v>10795</v>
      </c>
      <c r="R1284" s="213" t="s">
        <v>10796</v>
      </c>
      <c r="S1284" s="213" t="s">
        <v>10797</v>
      </c>
      <c r="T1284" s="213" t="s">
        <v>10798</v>
      </c>
      <c r="U1284" s="213" t="s">
        <v>73256</v>
      </c>
    </row>
    <row r="1285" spans="1:21" x14ac:dyDescent="0.25">
      <c r="A1285" s="213" t="s">
        <v>327</v>
      </c>
      <c r="D1285" s="213" t="s">
        <v>10799</v>
      </c>
      <c r="E1285" s="213" t="s">
        <v>10800</v>
      </c>
      <c r="K1285" s="213" t="s">
        <v>73173</v>
      </c>
      <c r="L1285" s="213" t="s">
        <v>73201</v>
      </c>
      <c r="M1285" s="213" t="s">
        <v>73229</v>
      </c>
      <c r="N1285" s="213" t="s">
        <v>10801</v>
      </c>
      <c r="O1285" s="213" t="s">
        <v>10802</v>
      </c>
      <c r="P1285" s="213" t="s">
        <v>10803</v>
      </c>
      <c r="Q1285" s="213" t="s">
        <v>10804</v>
      </c>
      <c r="R1285" s="213" t="s">
        <v>10805</v>
      </c>
      <c r="S1285" s="213" t="s">
        <v>10806</v>
      </c>
      <c r="T1285" s="213" t="s">
        <v>10807</v>
      </c>
      <c r="U1285" s="213" t="s">
        <v>73257</v>
      </c>
    </row>
    <row r="1286" spans="1:21" x14ac:dyDescent="0.25">
      <c r="A1286" s="213" t="s">
        <v>327</v>
      </c>
    </row>
    <row r="1287" spans="1:21" x14ac:dyDescent="0.25">
      <c r="A1287" s="213" t="s">
        <v>327</v>
      </c>
    </row>
    <row r="1288" spans="1:21" x14ac:dyDescent="0.25">
      <c r="A1288" s="213" t="s">
        <v>327</v>
      </c>
      <c r="C1288" s="213" t="s">
        <v>10808</v>
      </c>
      <c r="E1288" s="213" t="s">
        <v>10809</v>
      </c>
      <c r="H1288" s="213" t="s">
        <v>10810</v>
      </c>
      <c r="I1288" s="213" t="s">
        <v>10811</v>
      </c>
      <c r="J1288" s="213" t="s">
        <v>10812</v>
      </c>
      <c r="L1288" s="213" t="s">
        <v>10813</v>
      </c>
      <c r="O1288" s="213" t="s">
        <v>10814</v>
      </c>
      <c r="P1288" s="213" t="s">
        <v>10815</v>
      </c>
      <c r="Q1288" s="213" t="s">
        <v>10816</v>
      </c>
      <c r="R1288" s="213" t="s">
        <v>10817</v>
      </c>
      <c r="S1288" s="213" t="s">
        <v>10818</v>
      </c>
      <c r="T1288" s="213" t="s">
        <v>10819</v>
      </c>
    </row>
    <row r="1289" spans="1:21" x14ac:dyDescent="0.25">
      <c r="A1289" s="213" t="s">
        <v>327</v>
      </c>
      <c r="C1289" s="213" t="s">
        <v>10820</v>
      </c>
      <c r="E1289" s="213" t="s">
        <v>10821</v>
      </c>
      <c r="I1289" s="213" t="s">
        <v>10822</v>
      </c>
    </row>
    <row r="1290" spans="1:21" x14ac:dyDescent="0.25">
      <c r="A1290" s="213" t="s">
        <v>327</v>
      </c>
      <c r="C1290" s="213" t="s">
        <v>10823</v>
      </c>
      <c r="E1290" s="213" t="s">
        <v>10824</v>
      </c>
      <c r="I1290" s="213" t="s">
        <v>10825</v>
      </c>
    </row>
    <row r="1291" spans="1:21" x14ac:dyDescent="0.25">
      <c r="A1291" s="213" t="s">
        <v>328</v>
      </c>
    </row>
    <row r="1292" spans="1:21" x14ac:dyDescent="0.25">
      <c r="A1292" s="213" t="s">
        <v>327</v>
      </c>
      <c r="D1292" s="213" t="s">
        <v>10826</v>
      </c>
      <c r="E1292" s="213" t="s">
        <v>10827</v>
      </c>
      <c r="K1292" s="213" t="s">
        <v>72994</v>
      </c>
      <c r="L1292" s="213" t="s">
        <v>73032</v>
      </c>
      <c r="M1292" s="213" t="s">
        <v>73070</v>
      </c>
      <c r="N1292" s="213" t="s">
        <v>10828</v>
      </c>
      <c r="O1292" s="213" t="s">
        <v>10829</v>
      </c>
      <c r="P1292" s="213" t="s">
        <v>10830</v>
      </c>
      <c r="Q1292" s="213" t="s">
        <v>10831</v>
      </c>
      <c r="R1292" s="213" t="s">
        <v>10832</v>
      </c>
      <c r="S1292" s="213" t="s">
        <v>10833</v>
      </c>
      <c r="T1292" s="213" t="s">
        <v>10834</v>
      </c>
      <c r="U1292" s="213" t="s">
        <v>73108</v>
      </c>
    </row>
    <row r="1293" spans="1:21" x14ac:dyDescent="0.25">
      <c r="A1293" s="213" t="s">
        <v>327</v>
      </c>
      <c r="D1293" s="213" t="s">
        <v>10835</v>
      </c>
      <c r="E1293" s="213" t="s">
        <v>10836</v>
      </c>
      <c r="K1293" s="213" t="s">
        <v>72995</v>
      </c>
      <c r="L1293" s="213" t="s">
        <v>73033</v>
      </c>
      <c r="M1293" s="213" t="s">
        <v>73071</v>
      </c>
      <c r="N1293" s="213" t="s">
        <v>10837</v>
      </c>
      <c r="O1293" s="213" t="s">
        <v>10838</v>
      </c>
      <c r="P1293" s="213" t="s">
        <v>10839</v>
      </c>
      <c r="Q1293" s="213" t="s">
        <v>10840</v>
      </c>
      <c r="R1293" s="213" t="s">
        <v>10841</v>
      </c>
      <c r="S1293" s="213" t="s">
        <v>10842</v>
      </c>
      <c r="T1293" s="213" t="s">
        <v>10843</v>
      </c>
      <c r="U1293" s="213" t="s">
        <v>73109</v>
      </c>
    </row>
    <row r="1294" spans="1:21" x14ac:dyDescent="0.25">
      <c r="A1294" s="213" t="s">
        <v>327</v>
      </c>
      <c r="D1294" s="213" t="s">
        <v>10844</v>
      </c>
      <c r="E1294" s="213" t="s">
        <v>10845</v>
      </c>
      <c r="K1294" s="213" t="s">
        <v>72996</v>
      </c>
      <c r="L1294" s="213" t="s">
        <v>73034</v>
      </c>
      <c r="M1294" s="213" t="s">
        <v>73072</v>
      </c>
      <c r="N1294" s="213" t="s">
        <v>10846</v>
      </c>
      <c r="O1294" s="213" t="s">
        <v>10847</v>
      </c>
      <c r="P1294" s="213" t="s">
        <v>10848</v>
      </c>
      <c r="Q1294" s="213" t="s">
        <v>10849</v>
      </c>
      <c r="R1294" s="213" t="s">
        <v>10850</v>
      </c>
      <c r="S1294" s="213" t="s">
        <v>10851</v>
      </c>
      <c r="T1294" s="213" t="s">
        <v>10852</v>
      </c>
      <c r="U1294" s="213" t="s">
        <v>73110</v>
      </c>
    </row>
    <row r="1295" spans="1:21" x14ac:dyDescent="0.25">
      <c r="A1295" s="213" t="s">
        <v>327</v>
      </c>
      <c r="D1295" s="213" t="s">
        <v>10853</v>
      </c>
      <c r="E1295" s="213" t="s">
        <v>10854</v>
      </c>
      <c r="K1295" s="213" t="s">
        <v>72997</v>
      </c>
      <c r="L1295" s="213" t="s">
        <v>73035</v>
      </c>
      <c r="M1295" s="213" t="s">
        <v>73073</v>
      </c>
      <c r="N1295" s="213" t="s">
        <v>10855</v>
      </c>
      <c r="O1295" s="213" t="s">
        <v>10856</v>
      </c>
      <c r="P1295" s="213" t="s">
        <v>10857</v>
      </c>
      <c r="Q1295" s="213" t="s">
        <v>10858</v>
      </c>
      <c r="R1295" s="213" t="s">
        <v>10859</v>
      </c>
      <c r="S1295" s="213" t="s">
        <v>10860</v>
      </c>
      <c r="T1295" s="213" t="s">
        <v>10861</v>
      </c>
      <c r="U1295" s="213" t="s">
        <v>73111</v>
      </c>
    </row>
    <row r="1296" spans="1:21" x14ac:dyDescent="0.25">
      <c r="A1296" s="213" t="s">
        <v>327</v>
      </c>
      <c r="D1296" s="213" t="s">
        <v>10862</v>
      </c>
      <c r="E1296" s="213" t="s">
        <v>10863</v>
      </c>
      <c r="K1296" s="213" t="s">
        <v>72998</v>
      </c>
      <c r="L1296" s="213" t="s">
        <v>73036</v>
      </c>
      <c r="M1296" s="213" t="s">
        <v>73074</v>
      </c>
      <c r="N1296" s="213" t="s">
        <v>10864</v>
      </c>
      <c r="O1296" s="213" t="s">
        <v>10865</v>
      </c>
      <c r="P1296" s="213" t="s">
        <v>10866</v>
      </c>
      <c r="Q1296" s="213" t="s">
        <v>10867</v>
      </c>
      <c r="R1296" s="213" t="s">
        <v>10868</v>
      </c>
      <c r="S1296" s="213" t="s">
        <v>10869</v>
      </c>
      <c r="T1296" s="213" t="s">
        <v>10870</v>
      </c>
      <c r="U1296" s="213" t="s">
        <v>73112</v>
      </c>
    </row>
    <row r="1297" spans="1:21" x14ac:dyDescent="0.25">
      <c r="A1297" s="213" t="s">
        <v>327</v>
      </c>
      <c r="D1297" s="213" t="s">
        <v>10871</v>
      </c>
      <c r="E1297" s="213" t="s">
        <v>10872</v>
      </c>
      <c r="K1297" s="213" t="s">
        <v>72999</v>
      </c>
      <c r="L1297" s="213" t="s">
        <v>73037</v>
      </c>
      <c r="M1297" s="213" t="s">
        <v>73075</v>
      </c>
      <c r="N1297" s="213" t="s">
        <v>10873</v>
      </c>
      <c r="O1297" s="213" t="s">
        <v>10874</v>
      </c>
      <c r="P1297" s="213" t="s">
        <v>10875</v>
      </c>
      <c r="Q1297" s="213" t="s">
        <v>10876</v>
      </c>
      <c r="R1297" s="213" t="s">
        <v>10877</v>
      </c>
      <c r="S1297" s="213" t="s">
        <v>10878</v>
      </c>
      <c r="T1297" s="213" t="s">
        <v>10879</v>
      </c>
      <c r="U1297" s="213" t="s">
        <v>73113</v>
      </c>
    </row>
    <row r="1298" spans="1:21" x14ac:dyDescent="0.25">
      <c r="A1298" s="213" t="s">
        <v>327</v>
      </c>
      <c r="D1298" s="213" t="s">
        <v>10880</v>
      </c>
      <c r="E1298" s="213" t="s">
        <v>10881</v>
      </c>
      <c r="K1298" s="213" t="s">
        <v>73000</v>
      </c>
      <c r="L1298" s="213" t="s">
        <v>73038</v>
      </c>
      <c r="M1298" s="213" t="s">
        <v>73076</v>
      </c>
      <c r="N1298" s="213" t="s">
        <v>10882</v>
      </c>
      <c r="O1298" s="213" t="s">
        <v>10883</v>
      </c>
      <c r="P1298" s="213" t="s">
        <v>10884</v>
      </c>
      <c r="Q1298" s="213" t="s">
        <v>10885</v>
      </c>
      <c r="R1298" s="213" t="s">
        <v>10886</v>
      </c>
      <c r="S1298" s="213" t="s">
        <v>10887</v>
      </c>
      <c r="T1298" s="213" t="s">
        <v>10888</v>
      </c>
      <c r="U1298" s="213" t="s">
        <v>73114</v>
      </c>
    </row>
    <row r="1299" spans="1:21" x14ac:dyDescent="0.25">
      <c r="A1299" s="213" t="s">
        <v>327</v>
      </c>
      <c r="D1299" s="213" t="s">
        <v>10889</v>
      </c>
      <c r="E1299" s="213" t="s">
        <v>10890</v>
      </c>
      <c r="K1299" s="213" t="s">
        <v>73001</v>
      </c>
      <c r="L1299" s="213" t="s">
        <v>73039</v>
      </c>
      <c r="M1299" s="213" t="s">
        <v>73077</v>
      </c>
      <c r="N1299" s="213" t="s">
        <v>10891</v>
      </c>
      <c r="O1299" s="213" t="s">
        <v>10892</v>
      </c>
      <c r="P1299" s="213" t="s">
        <v>10893</v>
      </c>
      <c r="Q1299" s="213" t="s">
        <v>10894</v>
      </c>
      <c r="R1299" s="213" t="s">
        <v>10895</v>
      </c>
      <c r="S1299" s="213" t="s">
        <v>10896</v>
      </c>
      <c r="T1299" s="213" t="s">
        <v>10897</v>
      </c>
      <c r="U1299" s="213" t="s">
        <v>73115</v>
      </c>
    </row>
    <row r="1300" spans="1:21" x14ac:dyDescent="0.25">
      <c r="A1300" s="213" t="s">
        <v>327</v>
      </c>
      <c r="D1300" s="213" t="s">
        <v>10898</v>
      </c>
      <c r="E1300" s="213" t="s">
        <v>10899</v>
      </c>
      <c r="K1300" s="213" t="s">
        <v>73002</v>
      </c>
      <c r="L1300" s="213" t="s">
        <v>73040</v>
      </c>
      <c r="M1300" s="213" t="s">
        <v>73078</v>
      </c>
      <c r="N1300" s="213" t="s">
        <v>10900</v>
      </c>
      <c r="O1300" s="213" t="s">
        <v>10901</v>
      </c>
      <c r="P1300" s="213" t="s">
        <v>10902</v>
      </c>
      <c r="Q1300" s="213" t="s">
        <v>10903</v>
      </c>
      <c r="R1300" s="213" t="s">
        <v>10904</v>
      </c>
      <c r="S1300" s="213" t="s">
        <v>10905</v>
      </c>
      <c r="T1300" s="213" t="s">
        <v>10906</v>
      </c>
      <c r="U1300" s="213" t="s">
        <v>73116</v>
      </c>
    </row>
    <row r="1301" spans="1:21" x14ac:dyDescent="0.25">
      <c r="A1301" s="213" t="s">
        <v>327</v>
      </c>
      <c r="D1301" s="213" t="s">
        <v>10907</v>
      </c>
      <c r="E1301" s="213" t="s">
        <v>10908</v>
      </c>
      <c r="K1301" s="213" t="s">
        <v>73003</v>
      </c>
      <c r="L1301" s="213" t="s">
        <v>73041</v>
      </c>
      <c r="M1301" s="213" t="s">
        <v>73079</v>
      </c>
      <c r="N1301" s="213" t="s">
        <v>10909</v>
      </c>
      <c r="O1301" s="213" t="s">
        <v>10910</v>
      </c>
      <c r="P1301" s="213" t="s">
        <v>10911</v>
      </c>
      <c r="Q1301" s="213" t="s">
        <v>10912</v>
      </c>
      <c r="R1301" s="213" t="s">
        <v>10913</v>
      </c>
      <c r="S1301" s="213" t="s">
        <v>10914</v>
      </c>
      <c r="T1301" s="213" t="s">
        <v>10915</v>
      </c>
      <c r="U1301" s="213" t="s">
        <v>73117</v>
      </c>
    </row>
    <row r="1302" spans="1:21" x14ac:dyDescent="0.25">
      <c r="A1302" s="213" t="s">
        <v>327</v>
      </c>
      <c r="D1302" s="213" t="s">
        <v>10916</v>
      </c>
      <c r="E1302" s="213" t="s">
        <v>10917</v>
      </c>
      <c r="K1302" s="213" t="s">
        <v>73004</v>
      </c>
      <c r="L1302" s="213" t="s">
        <v>73042</v>
      </c>
      <c r="M1302" s="213" t="s">
        <v>73080</v>
      </c>
      <c r="N1302" s="213" t="s">
        <v>10918</v>
      </c>
      <c r="O1302" s="213" t="s">
        <v>10919</v>
      </c>
      <c r="P1302" s="213" t="s">
        <v>10920</v>
      </c>
      <c r="Q1302" s="213" t="s">
        <v>10921</v>
      </c>
      <c r="R1302" s="213" t="s">
        <v>10922</v>
      </c>
      <c r="S1302" s="213" t="s">
        <v>10923</v>
      </c>
      <c r="T1302" s="213" t="s">
        <v>10924</v>
      </c>
      <c r="U1302" s="213" t="s">
        <v>73118</v>
      </c>
    </row>
    <row r="1303" spans="1:21" x14ac:dyDescent="0.25">
      <c r="A1303" s="213" t="s">
        <v>327</v>
      </c>
      <c r="D1303" s="213" t="s">
        <v>10925</v>
      </c>
      <c r="E1303" s="213" t="s">
        <v>10926</v>
      </c>
      <c r="K1303" s="213" t="s">
        <v>73005</v>
      </c>
      <c r="L1303" s="213" t="s">
        <v>73043</v>
      </c>
      <c r="M1303" s="213" t="s">
        <v>73081</v>
      </c>
      <c r="N1303" s="213" t="s">
        <v>10927</v>
      </c>
      <c r="O1303" s="213" t="s">
        <v>10928</v>
      </c>
      <c r="P1303" s="213" t="s">
        <v>10929</v>
      </c>
      <c r="Q1303" s="213" t="s">
        <v>10930</v>
      </c>
      <c r="R1303" s="213" t="s">
        <v>10931</v>
      </c>
      <c r="S1303" s="213" t="s">
        <v>10932</v>
      </c>
      <c r="T1303" s="213" t="s">
        <v>10933</v>
      </c>
      <c r="U1303" s="213" t="s">
        <v>73119</v>
      </c>
    </row>
    <row r="1304" spans="1:21" x14ac:dyDescent="0.25">
      <c r="A1304" s="213" t="s">
        <v>327</v>
      </c>
      <c r="D1304" s="213" t="s">
        <v>10934</v>
      </c>
      <c r="E1304" s="213" t="s">
        <v>10935</v>
      </c>
      <c r="K1304" s="213" t="s">
        <v>73006</v>
      </c>
      <c r="L1304" s="213" t="s">
        <v>73044</v>
      </c>
      <c r="M1304" s="213" t="s">
        <v>73082</v>
      </c>
      <c r="N1304" s="213" t="s">
        <v>10936</v>
      </c>
      <c r="O1304" s="213" t="s">
        <v>10937</v>
      </c>
      <c r="P1304" s="213" t="s">
        <v>10938</v>
      </c>
      <c r="Q1304" s="213" t="s">
        <v>10939</v>
      </c>
      <c r="R1304" s="213" t="s">
        <v>10940</v>
      </c>
      <c r="S1304" s="213" t="s">
        <v>10941</v>
      </c>
      <c r="T1304" s="213" t="s">
        <v>10942</v>
      </c>
      <c r="U1304" s="213" t="s">
        <v>73120</v>
      </c>
    </row>
    <row r="1305" spans="1:21" x14ac:dyDescent="0.25">
      <c r="A1305" s="213" t="s">
        <v>327</v>
      </c>
      <c r="D1305" s="213" t="s">
        <v>10943</v>
      </c>
      <c r="E1305" s="213" t="s">
        <v>10944</v>
      </c>
      <c r="K1305" s="213" t="s">
        <v>73007</v>
      </c>
      <c r="L1305" s="213" t="s">
        <v>73045</v>
      </c>
      <c r="M1305" s="213" t="s">
        <v>73083</v>
      </c>
      <c r="N1305" s="213" t="s">
        <v>10945</v>
      </c>
      <c r="O1305" s="213" t="s">
        <v>10946</v>
      </c>
      <c r="P1305" s="213" t="s">
        <v>10947</v>
      </c>
      <c r="Q1305" s="213" t="s">
        <v>10948</v>
      </c>
      <c r="R1305" s="213" t="s">
        <v>10949</v>
      </c>
      <c r="S1305" s="213" t="s">
        <v>10950</v>
      </c>
      <c r="T1305" s="213" t="s">
        <v>10951</v>
      </c>
      <c r="U1305" s="213" t="s">
        <v>73121</v>
      </c>
    </row>
    <row r="1306" spans="1:21" x14ac:dyDescent="0.25">
      <c r="A1306" s="213" t="s">
        <v>327</v>
      </c>
      <c r="D1306" s="213" t="s">
        <v>10952</v>
      </c>
      <c r="E1306" s="213" t="s">
        <v>10953</v>
      </c>
      <c r="K1306" s="213" t="s">
        <v>73008</v>
      </c>
      <c r="L1306" s="213" t="s">
        <v>73046</v>
      </c>
      <c r="M1306" s="213" t="s">
        <v>73084</v>
      </c>
      <c r="N1306" s="213" t="s">
        <v>10954</v>
      </c>
      <c r="O1306" s="213" t="s">
        <v>10955</v>
      </c>
      <c r="P1306" s="213" t="s">
        <v>10956</v>
      </c>
      <c r="Q1306" s="213" t="s">
        <v>10957</v>
      </c>
      <c r="R1306" s="213" t="s">
        <v>10958</v>
      </c>
      <c r="S1306" s="213" t="s">
        <v>10959</v>
      </c>
      <c r="T1306" s="213" t="s">
        <v>10960</v>
      </c>
      <c r="U1306" s="213" t="s">
        <v>73122</v>
      </c>
    </row>
    <row r="1307" spans="1:21" x14ac:dyDescent="0.25">
      <c r="A1307" s="213" t="s">
        <v>327</v>
      </c>
      <c r="D1307" s="213" t="s">
        <v>10961</v>
      </c>
      <c r="E1307" s="213" t="s">
        <v>10962</v>
      </c>
      <c r="K1307" s="213" t="s">
        <v>73009</v>
      </c>
      <c r="L1307" s="213" t="s">
        <v>73047</v>
      </c>
      <c r="M1307" s="213" t="s">
        <v>73085</v>
      </c>
      <c r="N1307" s="213" t="s">
        <v>10963</v>
      </c>
      <c r="O1307" s="213" t="s">
        <v>10964</v>
      </c>
      <c r="P1307" s="213" t="s">
        <v>10965</v>
      </c>
      <c r="Q1307" s="213" t="s">
        <v>10966</v>
      </c>
      <c r="R1307" s="213" t="s">
        <v>10967</v>
      </c>
      <c r="S1307" s="213" t="s">
        <v>10968</v>
      </c>
      <c r="T1307" s="213" t="s">
        <v>10969</v>
      </c>
      <c r="U1307" s="213" t="s">
        <v>73123</v>
      </c>
    </row>
    <row r="1308" spans="1:21" x14ac:dyDescent="0.25">
      <c r="A1308" s="213" t="s">
        <v>327</v>
      </c>
      <c r="D1308" s="213" t="s">
        <v>10970</v>
      </c>
      <c r="E1308" s="213" t="s">
        <v>10971</v>
      </c>
      <c r="K1308" s="213" t="s">
        <v>73010</v>
      </c>
      <c r="L1308" s="213" t="s">
        <v>73048</v>
      </c>
      <c r="M1308" s="213" t="s">
        <v>73086</v>
      </c>
      <c r="N1308" s="213" t="s">
        <v>10972</v>
      </c>
      <c r="O1308" s="213" t="s">
        <v>10973</v>
      </c>
      <c r="P1308" s="213" t="s">
        <v>10974</v>
      </c>
      <c r="Q1308" s="213" t="s">
        <v>10975</v>
      </c>
      <c r="R1308" s="213" t="s">
        <v>10976</v>
      </c>
      <c r="S1308" s="213" t="s">
        <v>10977</v>
      </c>
      <c r="T1308" s="213" t="s">
        <v>10978</v>
      </c>
      <c r="U1308" s="213" t="s">
        <v>73124</v>
      </c>
    </row>
    <row r="1309" spans="1:21" x14ac:dyDescent="0.25">
      <c r="A1309" s="213" t="s">
        <v>327</v>
      </c>
      <c r="D1309" s="213" t="s">
        <v>10979</v>
      </c>
      <c r="E1309" s="213" t="s">
        <v>10980</v>
      </c>
      <c r="K1309" s="213" t="s">
        <v>73011</v>
      </c>
      <c r="L1309" s="213" t="s">
        <v>73049</v>
      </c>
      <c r="M1309" s="213" t="s">
        <v>73087</v>
      </c>
      <c r="N1309" s="213" t="s">
        <v>10981</v>
      </c>
      <c r="O1309" s="213" t="s">
        <v>10982</v>
      </c>
      <c r="P1309" s="213" t="s">
        <v>10983</v>
      </c>
      <c r="Q1309" s="213" t="s">
        <v>10984</v>
      </c>
      <c r="R1309" s="213" t="s">
        <v>10985</v>
      </c>
      <c r="S1309" s="213" t="s">
        <v>10986</v>
      </c>
      <c r="T1309" s="213" t="s">
        <v>10987</v>
      </c>
      <c r="U1309" s="213" t="s">
        <v>73125</v>
      </c>
    </row>
    <row r="1310" spans="1:21" x14ac:dyDescent="0.25">
      <c r="A1310" s="213" t="s">
        <v>327</v>
      </c>
      <c r="D1310" s="213" t="s">
        <v>10988</v>
      </c>
      <c r="E1310" s="213" t="s">
        <v>10989</v>
      </c>
      <c r="K1310" s="213" t="s">
        <v>73012</v>
      </c>
      <c r="L1310" s="213" t="s">
        <v>73050</v>
      </c>
      <c r="M1310" s="213" t="s">
        <v>73088</v>
      </c>
      <c r="N1310" s="213" t="s">
        <v>10990</v>
      </c>
      <c r="O1310" s="213" t="s">
        <v>10991</v>
      </c>
      <c r="P1310" s="213" t="s">
        <v>10992</v>
      </c>
      <c r="Q1310" s="213" t="s">
        <v>10993</v>
      </c>
      <c r="R1310" s="213" t="s">
        <v>10994</v>
      </c>
      <c r="S1310" s="213" t="s">
        <v>10995</v>
      </c>
      <c r="T1310" s="213" t="s">
        <v>10996</v>
      </c>
      <c r="U1310" s="213" t="s">
        <v>73126</v>
      </c>
    </row>
    <row r="1311" spans="1:21" x14ac:dyDescent="0.25">
      <c r="A1311" s="213" t="s">
        <v>327</v>
      </c>
      <c r="D1311" s="213" t="s">
        <v>10997</v>
      </c>
      <c r="E1311" s="213" t="s">
        <v>10998</v>
      </c>
      <c r="K1311" s="213" t="s">
        <v>73013</v>
      </c>
      <c r="L1311" s="213" t="s">
        <v>73051</v>
      </c>
      <c r="M1311" s="213" t="s">
        <v>73089</v>
      </c>
      <c r="N1311" s="213" t="s">
        <v>10999</v>
      </c>
      <c r="O1311" s="213" t="s">
        <v>11000</v>
      </c>
      <c r="P1311" s="213" t="s">
        <v>11001</v>
      </c>
      <c r="Q1311" s="213" t="s">
        <v>11002</v>
      </c>
      <c r="R1311" s="213" t="s">
        <v>11003</v>
      </c>
      <c r="S1311" s="213" t="s">
        <v>11004</v>
      </c>
      <c r="T1311" s="213" t="s">
        <v>11005</v>
      </c>
      <c r="U1311" s="213" t="s">
        <v>73127</v>
      </c>
    </row>
    <row r="1312" spans="1:21" x14ac:dyDescent="0.25">
      <c r="A1312" s="213" t="s">
        <v>327</v>
      </c>
      <c r="D1312" s="213" t="s">
        <v>11006</v>
      </c>
      <c r="E1312" s="213" t="s">
        <v>11007</v>
      </c>
      <c r="K1312" s="213" t="s">
        <v>73014</v>
      </c>
      <c r="L1312" s="213" t="s">
        <v>73052</v>
      </c>
      <c r="M1312" s="213" t="s">
        <v>73090</v>
      </c>
      <c r="N1312" s="213" t="s">
        <v>11008</v>
      </c>
      <c r="O1312" s="213" t="s">
        <v>11009</v>
      </c>
      <c r="P1312" s="213" t="s">
        <v>11010</v>
      </c>
      <c r="Q1312" s="213" t="s">
        <v>11011</v>
      </c>
      <c r="R1312" s="213" t="s">
        <v>11012</v>
      </c>
      <c r="S1312" s="213" t="s">
        <v>11013</v>
      </c>
      <c r="T1312" s="213" t="s">
        <v>11014</v>
      </c>
      <c r="U1312" s="213" t="s">
        <v>73128</v>
      </c>
    </row>
    <row r="1313" spans="1:21" x14ac:dyDescent="0.25">
      <c r="A1313" s="213" t="s">
        <v>327</v>
      </c>
      <c r="D1313" s="213" t="s">
        <v>11015</v>
      </c>
      <c r="E1313" s="213" t="s">
        <v>11016</v>
      </c>
      <c r="K1313" s="213" t="s">
        <v>73015</v>
      </c>
      <c r="L1313" s="213" t="s">
        <v>73053</v>
      </c>
      <c r="M1313" s="213" t="s">
        <v>73091</v>
      </c>
      <c r="N1313" s="213" t="s">
        <v>11017</v>
      </c>
      <c r="O1313" s="213" t="s">
        <v>11018</v>
      </c>
      <c r="P1313" s="213" t="s">
        <v>11019</v>
      </c>
      <c r="Q1313" s="213" t="s">
        <v>11020</v>
      </c>
      <c r="R1313" s="213" t="s">
        <v>11021</v>
      </c>
      <c r="S1313" s="213" t="s">
        <v>11022</v>
      </c>
      <c r="T1313" s="213" t="s">
        <v>11023</v>
      </c>
      <c r="U1313" s="213" t="s">
        <v>73129</v>
      </c>
    </row>
    <row r="1314" spans="1:21" x14ac:dyDescent="0.25">
      <c r="A1314" s="213" t="s">
        <v>327</v>
      </c>
      <c r="D1314" s="213" t="s">
        <v>11024</v>
      </c>
      <c r="E1314" s="213" t="s">
        <v>11025</v>
      </c>
      <c r="K1314" s="213" t="s">
        <v>73016</v>
      </c>
      <c r="L1314" s="213" t="s">
        <v>73054</v>
      </c>
      <c r="M1314" s="213" t="s">
        <v>73092</v>
      </c>
      <c r="N1314" s="213" t="s">
        <v>11026</v>
      </c>
      <c r="O1314" s="213" t="s">
        <v>11027</v>
      </c>
      <c r="P1314" s="213" t="s">
        <v>11028</v>
      </c>
      <c r="Q1314" s="213" t="s">
        <v>11029</v>
      </c>
      <c r="R1314" s="213" t="s">
        <v>11030</v>
      </c>
      <c r="S1314" s="213" t="s">
        <v>11031</v>
      </c>
      <c r="T1314" s="213" t="s">
        <v>11032</v>
      </c>
      <c r="U1314" s="213" t="s">
        <v>73130</v>
      </c>
    </row>
    <row r="1315" spans="1:21" x14ac:dyDescent="0.25">
      <c r="A1315" s="213" t="s">
        <v>327</v>
      </c>
      <c r="D1315" s="213" t="s">
        <v>11033</v>
      </c>
      <c r="E1315" s="213" t="s">
        <v>11034</v>
      </c>
      <c r="K1315" s="213" t="s">
        <v>73017</v>
      </c>
      <c r="L1315" s="213" t="s">
        <v>73055</v>
      </c>
      <c r="M1315" s="213" t="s">
        <v>73093</v>
      </c>
      <c r="N1315" s="213" t="s">
        <v>11035</v>
      </c>
      <c r="O1315" s="213" t="s">
        <v>11036</v>
      </c>
      <c r="P1315" s="213" t="s">
        <v>11037</v>
      </c>
      <c r="Q1315" s="213" t="s">
        <v>11038</v>
      </c>
      <c r="R1315" s="213" t="s">
        <v>11039</v>
      </c>
      <c r="S1315" s="213" t="s">
        <v>11040</v>
      </c>
      <c r="T1315" s="213" t="s">
        <v>11041</v>
      </c>
      <c r="U1315" s="213" t="s">
        <v>73131</v>
      </c>
    </row>
    <row r="1316" spans="1:21" x14ac:dyDescent="0.25">
      <c r="A1316" s="213" t="s">
        <v>327</v>
      </c>
      <c r="D1316" s="213" t="s">
        <v>11042</v>
      </c>
      <c r="E1316" s="213" t="s">
        <v>11043</v>
      </c>
      <c r="K1316" s="213" t="s">
        <v>73018</v>
      </c>
      <c r="L1316" s="213" t="s">
        <v>73056</v>
      </c>
      <c r="M1316" s="213" t="s">
        <v>73094</v>
      </c>
      <c r="N1316" s="213" t="s">
        <v>11044</v>
      </c>
      <c r="O1316" s="213" t="s">
        <v>11045</v>
      </c>
      <c r="P1316" s="213" t="s">
        <v>11046</v>
      </c>
      <c r="Q1316" s="213" t="s">
        <v>11047</v>
      </c>
      <c r="R1316" s="213" t="s">
        <v>11048</v>
      </c>
      <c r="S1316" s="213" t="s">
        <v>11049</v>
      </c>
      <c r="T1316" s="213" t="s">
        <v>11050</v>
      </c>
      <c r="U1316" s="213" t="s">
        <v>73132</v>
      </c>
    </row>
    <row r="1317" spans="1:21" x14ac:dyDescent="0.25">
      <c r="A1317" s="213" t="s">
        <v>327</v>
      </c>
      <c r="D1317" s="213" t="s">
        <v>11051</v>
      </c>
      <c r="E1317" s="213" t="s">
        <v>11052</v>
      </c>
      <c r="K1317" s="213" t="s">
        <v>73019</v>
      </c>
      <c r="L1317" s="213" t="s">
        <v>73057</v>
      </c>
      <c r="M1317" s="213" t="s">
        <v>73095</v>
      </c>
      <c r="N1317" s="213" t="s">
        <v>11053</v>
      </c>
      <c r="O1317" s="213" t="s">
        <v>11054</v>
      </c>
      <c r="P1317" s="213" t="s">
        <v>11055</v>
      </c>
      <c r="Q1317" s="213" t="s">
        <v>11056</v>
      </c>
      <c r="R1317" s="213" t="s">
        <v>11057</v>
      </c>
      <c r="S1317" s="213" t="s">
        <v>11058</v>
      </c>
      <c r="T1317" s="213" t="s">
        <v>11059</v>
      </c>
      <c r="U1317" s="213" t="s">
        <v>73133</v>
      </c>
    </row>
    <row r="1318" spans="1:21" x14ac:dyDescent="0.25">
      <c r="A1318" s="213" t="s">
        <v>327</v>
      </c>
      <c r="D1318" s="213" t="s">
        <v>11060</v>
      </c>
      <c r="E1318" s="213" t="s">
        <v>11061</v>
      </c>
      <c r="K1318" s="213" t="s">
        <v>73020</v>
      </c>
      <c r="L1318" s="213" t="s">
        <v>73058</v>
      </c>
      <c r="M1318" s="213" t="s">
        <v>73096</v>
      </c>
      <c r="N1318" s="213" t="s">
        <v>11062</v>
      </c>
      <c r="O1318" s="213" t="s">
        <v>11063</v>
      </c>
      <c r="P1318" s="213" t="s">
        <v>11064</v>
      </c>
      <c r="Q1318" s="213" t="s">
        <v>11065</v>
      </c>
      <c r="R1318" s="213" t="s">
        <v>11066</v>
      </c>
      <c r="S1318" s="213" t="s">
        <v>11067</v>
      </c>
      <c r="T1318" s="213" t="s">
        <v>11068</v>
      </c>
      <c r="U1318" s="213" t="s">
        <v>73134</v>
      </c>
    </row>
    <row r="1319" spans="1:21" x14ac:dyDescent="0.25">
      <c r="A1319" s="213" t="s">
        <v>327</v>
      </c>
      <c r="D1319" s="213" t="s">
        <v>11069</v>
      </c>
      <c r="E1319" s="213" t="s">
        <v>11070</v>
      </c>
      <c r="K1319" s="213" t="s">
        <v>73021</v>
      </c>
      <c r="L1319" s="213" t="s">
        <v>73059</v>
      </c>
      <c r="M1319" s="213" t="s">
        <v>73097</v>
      </c>
      <c r="N1319" s="213" t="s">
        <v>11071</v>
      </c>
      <c r="O1319" s="213" t="s">
        <v>11072</v>
      </c>
      <c r="P1319" s="213" t="s">
        <v>11073</v>
      </c>
      <c r="Q1319" s="213" t="s">
        <v>11074</v>
      </c>
      <c r="R1319" s="213" t="s">
        <v>11075</v>
      </c>
      <c r="S1319" s="213" t="s">
        <v>11076</v>
      </c>
      <c r="T1319" s="213" t="s">
        <v>11077</v>
      </c>
      <c r="U1319" s="213" t="s">
        <v>73135</v>
      </c>
    </row>
    <row r="1320" spans="1:21" x14ac:dyDescent="0.25">
      <c r="A1320" s="213" t="s">
        <v>327</v>
      </c>
      <c r="D1320" s="213" t="s">
        <v>11078</v>
      </c>
      <c r="E1320" s="213" t="s">
        <v>11079</v>
      </c>
      <c r="K1320" s="213" t="s">
        <v>73022</v>
      </c>
      <c r="L1320" s="213" t="s">
        <v>73060</v>
      </c>
      <c r="M1320" s="213" t="s">
        <v>73098</v>
      </c>
      <c r="N1320" s="213" t="s">
        <v>11080</v>
      </c>
      <c r="O1320" s="213" t="s">
        <v>11081</v>
      </c>
      <c r="P1320" s="213" t="s">
        <v>11082</v>
      </c>
      <c r="Q1320" s="213" t="s">
        <v>11083</v>
      </c>
      <c r="R1320" s="213" t="s">
        <v>11084</v>
      </c>
      <c r="S1320" s="213" t="s">
        <v>11085</v>
      </c>
      <c r="T1320" s="213" t="s">
        <v>11086</v>
      </c>
      <c r="U1320" s="213" t="s">
        <v>73136</v>
      </c>
    </row>
    <row r="1321" spans="1:21" x14ac:dyDescent="0.25">
      <c r="A1321" s="213" t="s">
        <v>327</v>
      </c>
      <c r="D1321" s="213" t="s">
        <v>11087</v>
      </c>
      <c r="E1321" s="213" t="s">
        <v>11088</v>
      </c>
      <c r="K1321" s="213" t="s">
        <v>73023</v>
      </c>
      <c r="L1321" s="213" t="s">
        <v>73061</v>
      </c>
      <c r="M1321" s="213" t="s">
        <v>73099</v>
      </c>
      <c r="N1321" s="213" t="s">
        <v>11089</v>
      </c>
      <c r="O1321" s="213" t="s">
        <v>11090</v>
      </c>
      <c r="P1321" s="213" t="s">
        <v>11091</v>
      </c>
      <c r="Q1321" s="213" t="s">
        <v>11092</v>
      </c>
      <c r="R1321" s="213" t="s">
        <v>11093</v>
      </c>
      <c r="S1321" s="213" t="s">
        <v>11094</v>
      </c>
      <c r="T1321" s="213" t="s">
        <v>11095</v>
      </c>
      <c r="U1321" s="213" t="s">
        <v>73137</v>
      </c>
    </row>
    <row r="1322" spans="1:21" x14ac:dyDescent="0.25">
      <c r="A1322" s="213" t="s">
        <v>327</v>
      </c>
      <c r="D1322" s="213" t="s">
        <v>11096</v>
      </c>
      <c r="E1322" s="213" t="s">
        <v>11097</v>
      </c>
      <c r="K1322" s="213" t="s">
        <v>73024</v>
      </c>
      <c r="L1322" s="213" t="s">
        <v>73062</v>
      </c>
      <c r="M1322" s="213" t="s">
        <v>73100</v>
      </c>
      <c r="N1322" s="213" t="s">
        <v>11098</v>
      </c>
      <c r="O1322" s="213" t="s">
        <v>11099</v>
      </c>
      <c r="P1322" s="213" t="s">
        <v>11100</v>
      </c>
      <c r="Q1322" s="213" t="s">
        <v>11101</v>
      </c>
      <c r="R1322" s="213" t="s">
        <v>11102</v>
      </c>
      <c r="S1322" s="213" t="s">
        <v>11103</v>
      </c>
      <c r="T1322" s="213" t="s">
        <v>11104</v>
      </c>
      <c r="U1322" s="213" t="s">
        <v>73138</v>
      </c>
    </row>
    <row r="1323" spans="1:21" x14ac:dyDescent="0.25">
      <c r="A1323" s="213" t="s">
        <v>327</v>
      </c>
      <c r="D1323" s="213" t="s">
        <v>11105</v>
      </c>
      <c r="E1323" s="213" t="s">
        <v>11106</v>
      </c>
      <c r="K1323" s="213" t="s">
        <v>73025</v>
      </c>
      <c r="L1323" s="213" t="s">
        <v>73063</v>
      </c>
      <c r="M1323" s="213" t="s">
        <v>73101</v>
      </c>
      <c r="N1323" s="213" t="s">
        <v>11107</v>
      </c>
      <c r="O1323" s="213" t="s">
        <v>11108</v>
      </c>
      <c r="P1323" s="213" t="s">
        <v>11109</v>
      </c>
      <c r="Q1323" s="213" t="s">
        <v>11110</v>
      </c>
      <c r="R1323" s="213" t="s">
        <v>11111</v>
      </c>
      <c r="S1323" s="213" t="s">
        <v>11112</v>
      </c>
      <c r="T1323" s="213" t="s">
        <v>11113</v>
      </c>
      <c r="U1323" s="213" t="s">
        <v>73139</v>
      </c>
    </row>
    <row r="1324" spans="1:21" x14ac:dyDescent="0.25">
      <c r="A1324" s="213" t="s">
        <v>327</v>
      </c>
      <c r="D1324" s="213" t="s">
        <v>11114</v>
      </c>
      <c r="E1324" s="213" t="s">
        <v>11115</v>
      </c>
      <c r="K1324" s="213" t="s">
        <v>73026</v>
      </c>
      <c r="L1324" s="213" t="s">
        <v>73064</v>
      </c>
      <c r="M1324" s="213" t="s">
        <v>73102</v>
      </c>
      <c r="N1324" s="213" t="s">
        <v>11116</v>
      </c>
      <c r="O1324" s="213" t="s">
        <v>11117</v>
      </c>
      <c r="P1324" s="213" t="s">
        <v>11118</v>
      </c>
      <c r="Q1324" s="213" t="s">
        <v>11119</v>
      </c>
      <c r="R1324" s="213" t="s">
        <v>11120</v>
      </c>
      <c r="S1324" s="213" t="s">
        <v>11121</v>
      </c>
      <c r="T1324" s="213" t="s">
        <v>11122</v>
      </c>
      <c r="U1324" s="213" t="s">
        <v>73140</v>
      </c>
    </row>
    <row r="1325" spans="1:21" x14ac:dyDescent="0.25">
      <c r="A1325" s="213" t="s">
        <v>327</v>
      </c>
      <c r="D1325" s="213" t="s">
        <v>11123</v>
      </c>
      <c r="E1325" s="213" t="s">
        <v>11124</v>
      </c>
      <c r="K1325" s="213" t="s">
        <v>73027</v>
      </c>
      <c r="L1325" s="213" t="s">
        <v>73065</v>
      </c>
      <c r="M1325" s="213" t="s">
        <v>73103</v>
      </c>
      <c r="N1325" s="213" t="s">
        <v>11125</v>
      </c>
      <c r="O1325" s="213" t="s">
        <v>11126</v>
      </c>
      <c r="P1325" s="213" t="s">
        <v>11127</v>
      </c>
      <c r="Q1325" s="213" t="s">
        <v>11128</v>
      </c>
      <c r="R1325" s="213" t="s">
        <v>11129</v>
      </c>
      <c r="S1325" s="213" t="s">
        <v>11130</v>
      </c>
      <c r="T1325" s="213" t="s">
        <v>11131</v>
      </c>
      <c r="U1325" s="213" t="s">
        <v>73141</v>
      </c>
    </row>
    <row r="1326" spans="1:21" x14ac:dyDescent="0.25">
      <c r="A1326" s="213" t="s">
        <v>327</v>
      </c>
      <c r="D1326" s="213" t="s">
        <v>11132</v>
      </c>
      <c r="E1326" s="213" t="s">
        <v>11133</v>
      </c>
      <c r="K1326" s="213" t="s">
        <v>73028</v>
      </c>
      <c r="L1326" s="213" t="s">
        <v>73066</v>
      </c>
      <c r="M1326" s="213" t="s">
        <v>73104</v>
      </c>
      <c r="N1326" s="213" t="s">
        <v>11134</v>
      </c>
      <c r="O1326" s="213" t="s">
        <v>11135</v>
      </c>
      <c r="P1326" s="213" t="s">
        <v>11136</v>
      </c>
      <c r="Q1326" s="213" t="s">
        <v>11137</v>
      </c>
      <c r="R1326" s="213" t="s">
        <v>11138</v>
      </c>
      <c r="S1326" s="213" t="s">
        <v>11139</v>
      </c>
      <c r="T1326" s="213" t="s">
        <v>11140</v>
      </c>
      <c r="U1326" s="213" t="s">
        <v>73142</v>
      </c>
    </row>
    <row r="1327" spans="1:21" x14ac:dyDescent="0.25">
      <c r="A1327" s="213" t="s">
        <v>327</v>
      </c>
      <c r="D1327" s="213" t="s">
        <v>11141</v>
      </c>
      <c r="E1327" s="213" t="s">
        <v>11142</v>
      </c>
      <c r="K1327" s="213" t="s">
        <v>73029</v>
      </c>
      <c r="L1327" s="213" t="s">
        <v>73067</v>
      </c>
      <c r="M1327" s="213" t="s">
        <v>73105</v>
      </c>
      <c r="N1327" s="213" t="s">
        <v>11143</v>
      </c>
      <c r="O1327" s="213" t="s">
        <v>11144</v>
      </c>
      <c r="P1327" s="213" t="s">
        <v>11145</v>
      </c>
      <c r="Q1327" s="213" t="s">
        <v>11146</v>
      </c>
      <c r="R1327" s="213" t="s">
        <v>11147</v>
      </c>
      <c r="S1327" s="213" t="s">
        <v>11148</v>
      </c>
      <c r="T1327" s="213" t="s">
        <v>11149</v>
      </c>
      <c r="U1327" s="213" t="s">
        <v>73143</v>
      </c>
    </row>
    <row r="1328" spans="1:21" x14ac:dyDescent="0.25">
      <c r="A1328" s="213" t="s">
        <v>327</v>
      </c>
      <c r="D1328" s="213" t="s">
        <v>11150</v>
      </c>
      <c r="E1328" s="213" t="s">
        <v>11151</v>
      </c>
      <c r="K1328" s="213" t="s">
        <v>73030</v>
      </c>
      <c r="L1328" s="213" t="s">
        <v>73068</v>
      </c>
      <c r="M1328" s="213" t="s">
        <v>73106</v>
      </c>
      <c r="N1328" s="213" t="s">
        <v>11152</v>
      </c>
      <c r="O1328" s="213" t="s">
        <v>11153</v>
      </c>
      <c r="P1328" s="213" t="s">
        <v>11154</v>
      </c>
      <c r="Q1328" s="213" t="s">
        <v>11155</v>
      </c>
      <c r="R1328" s="213" t="s">
        <v>11156</v>
      </c>
      <c r="S1328" s="213" t="s">
        <v>11157</v>
      </c>
      <c r="T1328" s="213" t="s">
        <v>11158</v>
      </c>
      <c r="U1328" s="213" t="s">
        <v>73144</v>
      </c>
    </row>
    <row r="1329" spans="1:21" x14ac:dyDescent="0.25">
      <c r="A1329" s="213" t="s">
        <v>327</v>
      </c>
      <c r="D1329" s="213" t="s">
        <v>11159</v>
      </c>
      <c r="E1329" s="213" t="s">
        <v>11160</v>
      </c>
      <c r="K1329" s="213" t="s">
        <v>73031</v>
      </c>
      <c r="L1329" s="213" t="s">
        <v>73069</v>
      </c>
      <c r="M1329" s="213" t="s">
        <v>73107</v>
      </c>
      <c r="N1329" s="213" t="s">
        <v>11161</v>
      </c>
      <c r="O1329" s="213" t="s">
        <v>11162</v>
      </c>
      <c r="P1329" s="213" t="s">
        <v>11163</v>
      </c>
      <c r="Q1329" s="213" t="s">
        <v>11164</v>
      </c>
      <c r="R1329" s="213" t="s">
        <v>11165</v>
      </c>
      <c r="S1329" s="213" t="s">
        <v>11166</v>
      </c>
      <c r="T1329" s="213" t="s">
        <v>11167</v>
      </c>
      <c r="U1329" s="213" t="s">
        <v>73145</v>
      </c>
    </row>
    <row r="1330" spans="1:21" x14ac:dyDescent="0.25">
      <c r="A1330" s="213" t="s">
        <v>327</v>
      </c>
    </row>
    <row r="1331" spans="1:21" x14ac:dyDescent="0.25">
      <c r="A1331" s="213" t="s">
        <v>327</v>
      </c>
    </row>
    <row r="1332" spans="1:21" x14ac:dyDescent="0.25">
      <c r="A1332" s="213" t="s">
        <v>327</v>
      </c>
      <c r="C1332" s="213" t="s">
        <v>11168</v>
      </c>
      <c r="E1332" s="213" t="s">
        <v>11169</v>
      </c>
      <c r="H1332" s="213" t="s">
        <v>11170</v>
      </c>
      <c r="I1332" s="213" t="s">
        <v>11171</v>
      </c>
      <c r="J1332" s="213" t="s">
        <v>11172</v>
      </c>
      <c r="L1332" s="213" t="s">
        <v>11173</v>
      </c>
      <c r="O1332" s="213" t="s">
        <v>11174</v>
      </c>
      <c r="P1332" s="213" t="s">
        <v>11175</v>
      </c>
      <c r="Q1332" s="213" t="s">
        <v>11176</v>
      </c>
      <c r="R1332" s="213" t="s">
        <v>11177</v>
      </c>
      <c r="S1332" s="213" t="s">
        <v>11178</v>
      </c>
      <c r="T1332" s="213" t="s">
        <v>11179</v>
      </c>
    </row>
    <row r="1333" spans="1:21" x14ac:dyDescent="0.25">
      <c r="A1333" s="213" t="s">
        <v>327</v>
      </c>
      <c r="C1333" s="213" t="s">
        <v>11180</v>
      </c>
      <c r="E1333" s="213" t="s">
        <v>11181</v>
      </c>
      <c r="I1333" s="213" t="s">
        <v>11182</v>
      </c>
    </row>
    <row r="1334" spans="1:21" x14ac:dyDescent="0.25">
      <c r="A1334" s="213" t="s">
        <v>327</v>
      </c>
      <c r="C1334" s="213" t="s">
        <v>11183</v>
      </c>
      <c r="E1334" s="213" t="s">
        <v>11184</v>
      </c>
      <c r="I1334" s="213" t="s">
        <v>11185</v>
      </c>
    </row>
    <row r="1335" spans="1:21" x14ac:dyDescent="0.25">
      <c r="A1335" s="213" t="s">
        <v>328</v>
      </c>
    </row>
    <row r="1336" spans="1:21" x14ac:dyDescent="0.25">
      <c r="A1336" s="213" t="s">
        <v>327</v>
      </c>
      <c r="D1336" s="213" t="s">
        <v>11186</v>
      </c>
      <c r="E1336" s="213" t="s">
        <v>11187</v>
      </c>
      <c r="K1336" s="213" t="s">
        <v>72870</v>
      </c>
      <c r="L1336" s="213" t="s">
        <v>72901</v>
      </c>
      <c r="M1336" s="213" t="s">
        <v>72932</v>
      </c>
      <c r="N1336" s="213" t="s">
        <v>11188</v>
      </c>
      <c r="O1336" s="213" t="s">
        <v>11189</v>
      </c>
      <c r="P1336" s="213" t="s">
        <v>11190</v>
      </c>
      <c r="Q1336" s="213" t="s">
        <v>11191</v>
      </c>
      <c r="R1336" s="213" t="s">
        <v>11192</v>
      </c>
      <c r="S1336" s="213" t="s">
        <v>11193</v>
      </c>
      <c r="T1336" s="213" t="s">
        <v>11194</v>
      </c>
      <c r="U1336" s="213" t="s">
        <v>72963</v>
      </c>
    </row>
    <row r="1337" spans="1:21" x14ac:dyDescent="0.25">
      <c r="A1337" s="213" t="s">
        <v>327</v>
      </c>
      <c r="D1337" s="213" t="s">
        <v>11195</v>
      </c>
      <c r="E1337" s="213" t="s">
        <v>11196</v>
      </c>
      <c r="K1337" s="213" t="s">
        <v>72871</v>
      </c>
      <c r="L1337" s="213" t="s">
        <v>72902</v>
      </c>
      <c r="M1337" s="213" t="s">
        <v>72933</v>
      </c>
      <c r="N1337" s="213" t="s">
        <v>11197</v>
      </c>
      <c r="O1337" s="213" t="s">
        <v>11198</v>
      </c>
      <c r="P1337" s="213" t="s">
        <v>11199</v>
      </c>
      <c r="Q1337" s="213" t="s">
        <v>11200</v>
      </c>
      <c r="R1337" s="213" t="s">
        <v>11201</v>
      </c>
      <c r="S1337" s="213" t="s">
        <v>11202</v>
      </c>
      <c r="T1337" s="213" t="s">
        <v>11203</v>
      </c>
      <c r="U1337" s="213" t="s">
        <v>72964</v>
      </c>
    </row>
    <row r="1338" spans="1:21" x14ac:dyDescent="0.25">
      <c r="A1338" s="213" t="s">
        <v>327</v>
      </c>
      <c r="D1338" s="213" t="s">
        <v>11204</v>
      </c>
      <c r="E1338" s="213" t="s">
        <v>11205</v>
      </c>
      <c r="K1338" s="213" t="s">
        <v>72872</v>
      </c>
      <c r="L1338" s="213" t="s">
        <v>72903</v>
      </c>
      <c r="M1338" s="213" t="s">
        <v>72934</v>
      </c>
      <c r="N1338" s="213" t="s">
        <v>11206</v>
      </c>
      <c r="O1338" s="213" t="s">
        <v>11207</v>
      </c>
      <c r="P1338" s="213" t="s">
        <v>11208</v>
      </c>
      <c r="Q1338" s="213" t="s">
        <v>11209</v>
      </c>
      <c r="R1338" s="213" t="s">
        <v>11210</v>
      </c>
      <c r="S1338" s="213" t="s">
        <v>11211</v>
      </c>
      <c r="T1338" s="213" t="s">
        <v>11212</v>
      </c>
      <c r="U1338" s="213" t="s">
        <v>72965</v>
      </c>
    </row>
    <row r="1339" spans="1:21" x14ac:dyDescent="0.25">
      <c r="A1339" s="213" t="s">
        <v>327</v>
      </c>
      <c r="D1339" s="213" t="s">
        <v>11213</v>
      </c>
      <c r="E1339" s="213" t="s">
        <v>11214</v>
      </c>
      <c r="K1339" s="213" t="s">
        <v>72873</v>
      </c>
      <c r="L1339" s="213" t="s">
        <v>72904</v>
      </c>
      <c r="M1339" s="213" t="s">
        <v>72935</v>
      </c>
      <c r="N1339" s="213" t="s">
        <v>11215</v>
      </c>
      <c r="O1339" s="213" t="s">
        <v>11216</v>
      </c>
      <c r="P1339" s="213" t="s">
        <v>11217</v>
      </c>
      <c r="Q1339" s="213" t="s">
        <v>11218</v>
      </c>
      <c r="R1339" s="213" t="s">
        <v>11219</v>
      </c>
      <c r="S1339" s="213" t="s">
        <v>11220</v>
      </c>
      <c r="T1339" s="213" t="s">
        <v>11221</v>
      </c>
      <c r="U1339" s="213" t="s">
        <v>72966</v>
      </c>
    </row>
    <row r="1340" spans="1:21" x14ac:dyDescent="0.25">
      <c r="A1340" s="213" t="s">
        <v>327</v>
      </c>
      <c r="D1340" s="213" t="s">
        <v>11222</v>
      </c>
      <c r="E1340" s="213" t="s">
        <v>11223</v>
      </c>
      <c r="K1340" s="213" t="s">
        <v>72874</v>
      </c>
      <c r="L1340" s="213" t="s">
        <v>72905</v>
      </c>
      <c r="M1340" s="213" t="s">
        <v>72936</v>
      </c>
      <c r="N1340" s="213" t="s">
        <v>11224</v>
      </c>
      <c r="O1340" s="213" t="s">
        <v>11225</v>
      </c>
      <c r="P1340" s="213" t="s">
        <v>11226</v>
      </c>
      <c r="Q1340" s="213" t="s">
        <v>11227</v>
      </c>
      <c r="R1340" s="213" t="s">
        <v>11228</v>
      </c>
      <c r="S1340" s="213" t="s">
        <v>11229</v>
      </c>
      <c r="T1340" s="213" t="s">
        <v>11230</v>
      </c>
      <c r="U1340" s="213" t="s">
        <v>72967</v>
      </c>
    </row>
    <row r="1341" spans="1:21" x14ac:dyDescent="0.25">
      <c r="A1341" s="213" t="s">
        <v>327</v>
      </c>
      <c r="D1341" s="213" t="s">
        <v>11231</v>
      </c>
      <c r="E1341" s="213" t="s">
        <v>11232</v>
      </c>
      <c r="K1341" s="213" t="s">
        <v>72875</v>
      </c>
      <c r="L1341" s="213" t="s">
        <v>72906</v>
      </c>
      <c r="M1341" s="213" t="s">
        <v>72937</v>
      </c>
      <c r="N1341" s="213" t="s">
        <v>11233</v>
      </c>
      <c r="O1341" s="213" t="s">
        <v>11234</v>
      </c>
      <c r="P1341" s="213" t="s">
        <v>11235</v>
      </c>
      <c r="Q1341" s="213" t="s">
        <v>11236</v>
      </c>
      <c r="R1341" s="213" t="s">
        <v>11237</v>
      </c>
      <c r="S1341" s="213" t="s">
        <v>11238</v>
      </c>
      <c r="T1341" s="213" t="s">
        <v>11239</v>
      </c>
      <c r="U1341" s="213" t="s">
        <v>72968</v>
      </c>
    </row>
    <row r="1342" spans="1:21" x14ac:dyDescent="0.25">
      <c r="A1342" s="213" t="s">
        <v>327</v>
      </c>
      <c r="D1342" s="213" t="s">
        <v>11240</v>
      </c>
      <c r="E1342" s="213" t="s">
        <v>11241</v>
      </c>
      <c r="K1342" s="213" t="s">
        <v>72876</v>
      </c>
      <c r="L1342" s="213" t="s">
        <v>72907</v>
      </c>
      <c r="M1342" s="213" t="s">
        <v>72938</v>
      </c>
      <c r="N1342" s="213" t="s">
        <v>11242</v>
      </c>
      <c r="O1342" s="213" t="s">
        <v>11243</v>
      </c>
      <c r="P1342" s="213" t="s">
        <v>11244</v>
      </c>
      <c r="Q1342" s="213" t="s">
        <v>11245</v>
      </c>
      <c r="R1342" s="213" t="s">
        <v>11246</v>
      </c>
      <c r="S1342" s="213" t="s">
        <v>11247</v>
      </c>
      <c r="T1342" s="213" t="s">
        <v>11248</v>
      </c>
      <c r="U1342" s="213" t="s">
        <v>72969</v>
      </c>
    </row>
    <row r="1343" spans="1:21" x14ac:dyDescent="0.25">
      <c r="A1343" s="213" t="s">
        <v>327</v>
      </c>
      <c r="D1343" s="213" t="s">
        <v>11249</v>
      </c>
      <c r="E1343" s="213" t="s">
        <v>11250</v>
      </c>
      <c r="K1343" s="213" t="s">
        <v>72877</v>
      </c>
      <c r="L1343" s="213" t="s">
        <v>72908</v>
      </c>
      <c r="M1343" s="213" t="s">
        <v>72939</v>
      </c>
      <c r="N1343" s="213" t="s">
        <v>11251</v>
      </c>
      <c r="O1343" s="213" t="s">
        <v>11252</v>
      </c>
      <c r="P1343" s="213" t="s">
        <v>11253</v>
      </c>
      <c r="Q1343" s="213" t="s">
        <v>11254</v>
      </c>
      <c r="R1343" s="213" t="s">
        <v>11255</v>
      </c>
      <c r="S1343" s="213" t="s">
        <v>11256</v>
      </c>
      <c r="T1343" s="213" t="s">
        <v>11257</v>
      </c>
      <c r="U1343" s="213" t="s">
        <v>72970</v>
      </c>
    </row>
    <row r="1344" spans="1:21" x14ac:dyDescent="0.25">
      <c r="A1344" s="213" t="s">
        <v>327</v>
      </c>
      <c r="D1344" s="213" t="s">
        <v>11258</v>
      </c>
      <c r="E1344" s="213" t="s">
        <v>11259</v>
      </c>
      <c r="K1344" s="213" t="s">
        <v>72878</v>
      </c>
      <c r="L1344" s="213" t="s">
        <v>72909</v>
      </c>
      <c r="M1344" s="213" t="s">
        <v>72940</v>
      </c>
      <c r="N1344" s="213" t="s">
        <v>11260</v>
      </c>
      <c r="O1344" s="213" t="s">
        <v>11261</v>
      </c>
      <c r="P1344" s="213" t="s">
        <v>11262</v>
      </c>
      <c r="Q1344" s="213" t="s">
        <v>11263</v>
      </c>
      <c r="R1344" s="213" t="s">
        <v>11264</v>
      </c>
      <c r="S1344" s="213" t="s">
        <v>11265</v>
      </c>
      <c r="T1344" s="213" t="s">
        <v>11266</v>
      </c>
      <c r="U1344" s="213" t="s">
        <v>72971</v>
      </c>
    </row>
    <row r="1345" spans="1:21" x14ac:dyDescent="0.25">
      <c r="A1345" s="213" t="s">
        <v>327</v>
      </c>
      <c r="D1345" s="213" t="s">
        <v>11267</v>
      </c>
      <c r="E1345" s="213" t="s">
        <v>11268</v>
      </c>
      <c r="K1345" s="213" t="s">
        <v>72879</v>
      </c>
      <c r="L1345" s="213" t="s">
        <v>72910</v>
      </c>
      <c r="M1345" s="213" t="s">
        <v>72941</v>
      </c>
      <c r="N1345" s="213" t="s">
        <v>11269</v>
      </c>
      <c r="O1345" s="213" t="s">
        <v>11270</v>
      </c>
      <c r="P1345" s="213" t="s">
        <v>11271</v>
      </c>
      <c r="Q1345" s="213" t="s">
        <v>11272</v>
      </c>
      <c r="R1345" s="213" t="s">
        <v>11273</v>
      </c>
      <c r="S1345" s="213" t="s">
        <v>11274</v>
      </c>
      <c r="T1345" s="213" t="s">
        <v>11275</v>
      </c>
      <c r="U1345" s="213" t="s">
        <v>72972</v>
      </c>
    </row>
    <row r="1346" spans="1:21" x14ac:dyDescent="0.25">
      <c r="A1346" s="213" t="s">
        <v>327</v>
      </c>
      <c r="D1346" s="213" t="s">
        <v>11276</v>
      </c>
      <c r="E1346" s="213" t="s">
        <v>11277</v>
      </c>
      <c r="K1346" s="213" t="s">
        <v>72880</v>
      </c>
      <c r="L1346" s="213" t="s">
        <v>72911</v>
      </c>
      <c r="M1346" s="213" t="s">
        <v>72942</v>
      </c>
      <c r="N1346" s="213" t="s">
        <v>11278</v>
      </c>
      <c r="O1346" s="213" t="s">
        <v>11279</v>
      </c>
      <c r="P1346" s="213" t="s">
        <v>11280</v>
      </c>
      <c r="Q1346" s="213" t="s">
        <v>11281</v>
      </c>
      <c r="R1346" s="213" t="s">
        <v>11282</v>
      </c>
      <c r="S1346" s="213" t="s">
        <v>11283</v>
      </c>
      <c r="T1346" s="213" t="s">
        <v>11284</v>
      </c>
      <c r="U1346" s="213" t="s">
        <v>72973</v>
      </c>
    </row>
    <row r="1347" spans="1:21" x14ac:dyDescent="0.25">
      <c r="A1347" s="213" t="s">
        <v>327</v>
      </c>
      <c r="D1347" s="213" t="s">
        <v>11285</v>
      </c>
      <c r="E1347" s="213" t="s">
        <v>11286</v>
      </c>
      <c r="K1347" s="213" t="s">
        <v>72881</v>
      </c>
      <c r="L1347" s="213" t="s">
        <v>72912</v>
      </c>
      <c r="M1347" s="213" t="s">
        <v>72943</v>
      </c>
      <c r="N1347" s="213" t="s">
        <v>11287</v>
      </c>
      <c r="O1347" s="213" t="s">
        <v>11288</v>
      </c>
      <c r="P1347" s="213" t="s">
        <v>11289</v>
      </c>
      <c r="Q1347" s="213" t="s">
        <v>11290</v>
      </c>
      <c r="R1347" s="213" t="s">
        <v>11291</v>
      </c>
      <c r="S1347" s="213" t="s">
        <v>11292</v>
      </c>
      <c r="T1347" s="213" t="s">
        <v>11293</v>
      </c>
      <c r="U1347" s="213" t="s">
        <v>72974</v>
      </c>
    </row>
    <row r="1348" spans="1:21" x14ac:dyDescent="0.25">
      <c r="A1348" s="213" t="s">
        <v>327</v>
      </c>
      <c r="D1348" s="213" t="s">
        <v>11294</v>
      </c>
      <c r="E1348" s="213" t="s">
        <v>11295</v>
      </c>
      <c r="K1348" s="213" t="s">
        <v>72882</v>
      </c>
      <c r="L1348" s="213" t="s">
        <v>72913</v>
      </c>
      <c r="M1348" s="213" t="s">
        <v>72944</v>
      </c>
      <c r="N1348" s="213" t="s">
        <v>11296</v>
      </c>
      <c r="O1348" s="213" t="s">
        <v>11297</v>
      </c>
      <c r="P1348" s="213" t="s">
        <v>11298</v>
      </c>
      <c r="Q1348" s="213" t="s">
        <v>11299</v>
      </c>
      <c r="R1348" s="213" t="s">
        <v>11300</v>
      </c>
      <c r="S1348" s="213" t="s">
        <v>11301</v>
      </c>
      <c r="T1348" s="213" t="s">
        <v>11302</v>
      </c>
      <c r="U1348" s="213" t="s">
        <v>72975</v>
      </c>
    </row>
    <row r="1349" spans="1:21" x14ac:dyDescent="0.25">
      <c r="A1349" s="213" t="s">
        <v>327</v>
      </c>
      <c r="D1349" s="213" t="s">
        <v>11303</v>
      </c>
      <c r="E1349" s="213" t="s">
        <v>11304</v>
      </c>
      <c r="K1349" s="213" t="s">
        <v>72883</v>
      </c>
      <c r="L1349" s="213" t="s">
        <v>72914</v>
      </c>
      <c r="M1349" s="213" t="s">
        <v>72945</v>
      </c>
      <c r="N1349" s="213" t="s">
        <v>11305</v>
      </c>
      <c r="O1349" s="213" t="s">
        <v>11306</v>
      </c>
      <c r="P1349" s="213" t="s">
        <v>11307</v>
      </c>
      <c r="Q1349" s="213" t="s">
        <v>11308</v>
      </c>
      <c r="R1349" s="213" t="s">
        <v>11309</v>
      </c>
      <c r="S1349" s="213" t="s">
        <v>11310</v>
      </c>
      <c r="T1349" s="213" t="s">
        <v>11311</v>
      </c>
      <c r="U1349" s="213" t="s">
        <v>72976</v>
      </c>
    </row>
    <row r="1350" spans="1:21" x14ac:dyDescent="0.25">
      <c r="A1350" s="213" t="s">
        <v>327</v>
      </c>
      <c r="D1350" s="213" t="s">
        <v>11312</v>
      </c>
      <c r="E1350" s="213" t="s">
        <v>11313</v>
      </c>
      <c r="K1350" s="213" t="s">
        <v>72884</v>
      </c>
      <c r="L1350" s="213" t="s">
        <v>72915</v>
      </c>
      <c r="M1350" s="213" t="s">
        <v>72946</v>
      </c>
      <c r="N1350" s="213" t="s">
        <v>11314</v>
      </c>
      <c r="O1350" s="213" t="s">
        <v>11315</v>
      </c>
      <c r="P1350" s="213" t="s">
        <v>11316</v>
      </c>
      <c r="Q1350" s="213" t="s">
        <v>11317</v>
      </c>
      <c r="R1350" s="213" t="s">
        <v>11318</v>
      </c>
      <c r="S1350" s="213" t="s">
        <v>11319</v>
      </c>
      <c r="T1350" s="213" t="s">
        <v>11320</v>
      </c>
      <c r="U1350" s="213" t="s">
        <v>72977</v>
      </c>
    </row>
    <row r="1351" spans="1:21" x14ac:dyDescent="0.25">
      <c r="A1351" s="213" t="s">
        <v>327</v>
      </c>
      <c r="D1351" s="213" t="s">
        <v>11321</v>
      </c>
      <c r="E1351" s="213" t="s">
        <v>11322</v>
      </c>
      <c r="K1351" s="213" t="s">
        <v>72885</v>
      </c>
      <c r="L1351" s="213" t="s">
        <v>72916</v>
      </c>
      <c r="M1351" s="213" t="s">
        <v>72947</v>
      </c>
      <c r="N1351" s="213" t="s">
        <v>11323</v>
      </c>
      <c r="O1351" s="213" t="s">
        <v>11324</v>
      </c>
      <c r="P1351" s="213" t="s">
        <v>11325</v>
      </c>
      <c r="Q1351" s="213" t="s">
        <v>11326</v>
      </c>
      <c r="R1351" s="213" t="s">
        <v>11327</v>
      </c>
      <c r="S1351" s="213" t="s">
        <v>11328</v>
      </c>
      <c r="T1351" s="213" t="s">
        <v>11329</v>
      </c>
      <c r="U1351" s="213" t="s">
        <v>72978</v>
      </c>
    </row>
    <row r="1352" spans="1:21" x14ac:dyDescent="0.25">
      <c r="A1352" s="213" t="s">
        <v>327</v>
      </c>
      <c r="D1352" s="213" t="s">
        <v>11330</v>
      </c>
      <c r="E1352" s="213" t="s">
        <v>11331</v>
      </c>
      <c r="K1352" s="213" t="s">
        <v>72886</v>
      </c>
      <c r="L1352" s="213" t="s">
        <v>72917</v>
      </c>
      <c r="M1352" s="213" t="s">
        <v>72948</v>
      </c>
      <c r="N1352" s="213" t="s">
        <v>11332</v>
      </c>
      <c r="O1352" s="213" t="s">
        <v>11333</v>
      </c>
      <c r="P1352" s="213" t="s">
        <v>11334</v>
      </c>
      <c r="Q1352" s="213" t="s">
        <v>11335</v>
      </c>
      <c r="R1352" s="213" t="s">
        <v>11336</v>
      </c>
      <c r="S1352" s="213" t="s">
        <v>11337</v>
      </c>
      <c r="T1352" s="213" t="s">
        <v>11338</v>
      </c>
      <c r="U1352" s="213" t="s">
        <v>72979</v>
      </c>
    </row>
    <row r="1353" spans="1:21" x14ac:dyDescent="0.25">
      <c r="A1353" s="213" t="s">
        <v>327</v>
      </c>
      <c r="D1353" s="213" t="s">
        <v>11339</v>
      </c>
      <c r="E1353" s="213" t="s">
        <v>11340</v>
      </c>
      <c r="K1353" s="213" t="s">
        <v>72887</v>
      </c>
      <c r="L1353" s="213" t="s">
        <v>72918</v>
      </c>
      <c r="M1353" s="213" t="s">
        <v>72949</v>
      </c>
      <c r="N1353" s="213" t="s">
        <v>11341</v>
      </c>
      <c r="O1353" s="213" t="s">
        <v>11342</v>
      </c>
      <c r="P1353" s="213" t="s">
        <v>11343</v>
      </c>
      <c r="Q1353" s="213" t="s">
        <v>11344</v>
      </c>
      <c r="R1353" s="213" t="s">
        <v>11345</v>
      </c>
      <c r="S1353" s="213" t="s">
        <v>11346</v>
      </c>
      <c r="T1353" s="213" t="s">
        <v>11347</v>
      </c>
      <c r="U1353" s="213" t="s">
        <v>72980</v>
      </c>
    </row>
    <row r="1354" spans="1:21" x14ac:dyDescent="0.25">
      <c r="A1354" s="213" t="s">
        <v>327</v>
      </c>
      <c r="D1354" s="213" t="s">
        <v>11348</v>
      </c>
      <c r="E1354" s="213" t="s">
        <v>11349</v>
      </c>
      <c r="K1354" s="213" t="s">
        <v>72888</v>
      </c>
      <c r="L1354" s="213" t="s">
        <v>72919</v>
      </c>
      <c r="M1354" s="213" t="s">
        <v>72950</v>
      </c>
      <c r="N1354" s="213" t="s">
        <v>11350</v>
      </c>
      <c r="O1354" s="213" t="s">
        <v>11351</v>
      </c>
      <c r="P1354" s="213" t="s">
        <v>11352</v>
      </c>
      <c r="Q1354" s="213" t="s">
        <v>11353</v>
      </c>
      <c r="R1354" s="213" t="s">
        <v>11354</v>
      </c>
      <c r="S1354" s="213" t="s">
        <v>11355</v>
      </c>
      <c r="T1354" s="213" t="s">
        <v>11356</v>
      </c>
      <c r="U1354" s="213" t="s">
        <v>72981</v>
      </c>
    </row>
    <row r="1355" spans="1:21" x14ac:dyDescent="0.25">
      <c r="A1355" s="213" t="s">
        <v>327</v>
      </c>
      <c r="D1355" s="213" t="s">
        <v>11357</v>
      </c>
      <c r="E1355" s="213" t="s">
        <v>11358</v>
      </c>
      <c r="K1355" s="213" t="s">
        <v>72889</v>
      </c>
      <c r="L1355" s="213" t="s">
        <v>72920</v>
      </c>
      <c r="M1355" s="213" t="s">
        <v>72951</v>
      </c>
      <c r="N1355" s="213" t="s">
        <v>11359</v>
      </c>
      <c r="O1355" s="213" t="s">
        <v>11360</v>
      </c>
      <c r="P1355" s="213" t="s">
        <v>11361</v>
      </c>
      <c r="Q1355" s="213" t="s">
        <v>11362</v>
      </c>
      <c r="R1355" s="213" t="s">
        <v>11363</v>
      </c>
      <c r="S1355" s="213" t="s">
        <v>11364</v>
      </c>
      <c r="T1355" s="213" t="s">
        <v>11365</v>
      </c>
      <c r="U1355" s="213" t="s">
        <v>72982</v>
      </c>
    </row>
    <row r="1356" spans="1:21" x14ac:dyDescent="0.25">
      <c r="A1356" s="213" t="s">
        <v>327</v>
      </c>
      <c r="D1356" s="213" t="s">
        <v>11366</v>
      </c>
      <c r="E1356" s="213" t="s">
        <v>11367</v>
      </c>
      <c r="K1356" s="213" t="s">
        <v>72890</v>
      </c>
      <c r="L1356" s="213" t="s">
        <v>72921</v>
      </c>
      <c r="M1356" s="213" t="s">
        <v>72952</v>
      </c>
      <c r="N1356" s="213" t="s">
        <v>11368</v>
      </c>
      <c r="O1356" s="213" t="s">
        <v>11369</v>
      </c>
      <c r="P1356" s="213" t="s">
        <v>11370</v>
      </c>
      <c r="Q1356" s="213" t="s">
        <v>11371</v>
      </c>
      <c r="R1356" s="213" t="s">
        <v>11372</v>
      </c>
      <c r="S1356" s="213" t="s">
        <v>11373</v>
      </c>
      <c r="T1356" s="213" t="s">
        <v>11374</v>
      </c>
      <c r="U1356" s="213" t="s">
        <v>72983</v>
      </c>
    </row>
    <row r="1357" spans="1:21" x14ac:dyDescent="0.25">
      <c r="A1357" s="213" t="s">
        <v>327</v>
      </c>
      <c r="D1357" s="213" t="s">
        <v>11375</v>
      </c>
      <c r="E1357" s="213" t="s">
        <v>11376</v>
      </c>
      <c r="K1357" s="213" t="s">
        <v>72891</v>
      </c>
      <c r="L1357" s="213" t="s">
        <v>72922</v>
      </c>
      <c r="M1357" s="213" t="s">
        <v>72953</v>
      </c>
      <c r="N1357" s="213" t="s">
        <v>11377</v>
      </c>
      <c r="O1357" s="213" t="s">
        <v>11378</v>
      </c>
      <c r="P1357" s="213" t="s">
        <v>11379</v>
      </c>
      <c r="Q1357" s="213" t="s">
        <v>11380</v>
      </c>
      <c r="R1357" s="213" t="s">
        <v>11381</v>
      </c>
      <c r="S1357" s="213" t="s">
        <v>11382</v>
      </c>
      <c r="T1357" s="213" t="s">
        <v>11383</v>
      </c>
      <c r="U1357" s="213" t="s">
        <v>72984</v>
      </c>
    </row>
    <row r="1358" spans="1:21" x14ac:dyDescent="0.25">
      <c r="A1358" s="213" t="s">
        <v>327</v>
      </c>
      <c r="D1358" s="213" t="s">
        <v>11384</v>
      </c>
      <c r="E1358" s="213" t="s">
        <v>11385</v>
      </c>
      <c r="K1358" s="213" t="s">
        <v>72892</v>
      </c>
      <c r="L1358" s="213" t="s">
        <v>72923</v>
      </c>
      <c r="M1358" s="213" t="s">
        <v>72954</v>
      </c>
      <c r="N1358" s="213" t="s">
        <v>11386</v>
      </c>
      <c r="O1358" s="213" t="s">
        <v>11387</v>
      </c>
      <c r="P1358" s="213" t="s">
        <v>11388</v>
      </c>
      <c r="Q1358" s="213" t="s">
        <v>11389</v>
      </c>
      <c r="R1358" s="213" t="s">
        <v>11390</v>
      </c>
      <c r="S1358" s="213" t="s">
        <v>11391</v>
      </c>
      <c r="T1358" s="213" t="s">
        <v>11392</v>
      </c>
      <c r="U1358" s="213" t="s">
        <v>72985</v>
      </c>
    </row>
    <row r="1359" spans="1:21" x14ac:dyDescent="0.25">
      <c r="A1359" s="213" t="s">
        <v>327</v>
      </c>
      <c r="D1359" s="213" t="s">
        <v>11393</v>
      </c>
      <c r="E1359" s="213" t="s">
        <v>11394</v>
      </c>
      <c r="K1359" s="213" t="s">
        <v>72893</v>
      </c>
      <c r="L1359" s="213" t="s">
        <v>72924</v>
      </c>
      <c r="M1359" s="213" t="s">
        <v>72955</v>
      </c>
      <c r="N1359" s="213" t="s">
        <v>11395</v>
      </c>
      <c r="O1359" s="213" t="s">
        <v>11396</v>
      </c>
      <c r="P1359" s="213" t="s">
        <v>11397</v>
      </c>
      <c r="Q1359" s="213" t="s">
        <v>11398</v>
      </c>
      <c r="R1359" s="213" t="s">
        <v>11399</v>
      </c>
      <c r="S1359" s="213" t="s">
        <v>11400</v>
      </c>
      <c r="T1359" s="213" t="s">
        <v>11401</v>
      </c>
      <c r="U1359" s="213" t="s">
        <v>72986</v>
      </c>
    </row>
    <row r="1360" spans="1:21" x14ac:dyDescent="0.25">
      <c r="A1360" s="213" t="s">
        <v>327</v>
      </c>
      <c r="D1360" s="213" t="s">
        <v>11402</v>
      </c>
      <c r="E1360" s="213" t="s">
        <v>11403</v>
      </c>
      <c r="K1360" s="213" t="s">
        <v>72894</v>
      </c>
      <c r="L1360" s="213" t="s">
        <v>72925</v>
      </c>
      <c r="M1360" s="213" t="s">
        <v>72956</v>
      </c>
      <c r="N1360" s="213" t="s">
        <v>11404</v>
      </c>
      <c r="O1360" s="213" t="s">
        <v>11405</v>
      </c>
      <c r="P1360" s="213" t="s">
        <v>11406</v>
      </c>
      <c r="Q1360" s="213" t="s">
        <v>11407</v>
      </c>
      <c r="R1360" s="213" t="s">
        <v>11408</v>
      </c>
      <c r="S1360" s="213" t="s">
        <v>11409</v>
      </c>
      <c r="T1360" s="213" t="s">
        <v>11410</v>
      </c>
      <c r="U1360" s="213" t="s">
        <v>72987</v>
      </c>
    </row>
    <row r="1361" spans="1:21" x14ac:dyDescent="0.25">
      <c r="A1361" s="213" t="s">
        <v>327</v>
      </c>
      <c r="D1361" s="213" t="s">
        <v>11411</v>
      </c>
      <c r="E1361" s="213" t="s">
        <v>11412</v>
      </c>
      <c r="K1361" s="213" t="s">
        <v>72895</v>
      </c>
      <c r="L1361" s="213" t="s">
        <v>72926</v>
      </c>
      <c r="M1361" s="213" t="s">
        <v>72957</v>
      </c>
      <c r="N1361" s="213" t="s">
        <v>11413</v>
      </c>
      <c r="O1361" s="213" t="s">
        <v>11414</v>
      </c>
      <c r="P1361" s="213" t="s">
        <v>11415</v>
      </c>
      <c r="Q1361" s="213" t="s">
        <v>11416</v>
      </c>
      <c r="R1361" s="213" t="s">
        <v>11417</v>
      </c>
      <c r="S1361" s="213" t="s">
        <v>11418</v>
      </c>
      <c r="T1361" s="213" t="s">
        <v>11419</v>
      </c>
      <c r="U1361" s="213" t="s">
        <v>72988</v>
      </c>
    </row>
    <row r="1362" spans="1:21" x14ac:dyDescent="0.25">
      <c r="A1362" s="213" t="s">
        <v>327</v>
      </c>
      <c r="D1362" s="213" t="s">
        <v>11420</v>
      </c>
      <c r="E1362" s="213" t="s">
        <v>11421</v>
      </c>
      <c r="K1362" s="213" t="s">
        <v>72896</v>
      </c>
      <c r="L1362" s="213" t="s">
        <v>72927</v>
      </c>
      <c r="M1362" s="213" t="s">
        <v>72958</v>
      </c>
      <c r="N1362" s="213" t="s">
        <v>11422</v>
      </c>
      <c r="O1362" s="213" t="s">
        <v>11423</v>
      </c>
      <c r="P1362" s="213" t="s">
        <v>11424</v>
      </c>
      <c r="Q1362" s="213" t="s">
        <v>11425</v>
      </c>
      <c r="R1362" s="213" t="s">
        <v>11426</v>
      </c>
      <c r="S1362" s="213" t="s">
        <v>11427</v>
      </c>
      <c r="T1362" s="213" t="s">
        <v>11428</v>
      </c>
      <c r="U1362" s="213" t="s">
        <v>72989</v>
      </c>
    </row>
    <row r="1363" spans="1:21" x14ac:dyDescent="0.25">
      <c r="A1363" s="213" t="s">
        <v>327</v>
      </c>
      <c r="D1363" s="213" t="s">
        <v>11429</v>
      </c>
      <c r="E1363" s="213" t="s">
        <v>11430</v>
      </c>
      <c r="K1363" s="213" t="s">
        <v>72897</v>
      </c>
      <c r="L1363" s="213" t="s">
        <v>72928</v>
      </c>
      <c r="M1363" s="213" t="s">
        <v>72959</v>
      </c>
      <c r="N1363" s="213" t="s">
        <v>11431</v>
      </c>
      <c r="O1363" s="213" t="s">
        <v>11432</v>
      </c>
      <c r="P1363" s="213" t="s">
        <v>11433</v>
      </c>
      <c r="Q1363" s="213" t="s">
        <v>11434</v>
      </c>
      <c r="R1363" s="213" t="s">
        <v>11435</v>
      </c>
      <c r="S1363" s="213" t="s">
        <v>11436</v>
      </c>
      <c r="T1363" s="213" t="s">
        <v>11437</v>
      </c>
      <c r="U1363" s="213" t="s">
        <v>72990</v>
      </c>
    </row>
    <row r="1364" spans="1:21" x14ac:dyDescent="0.25">
      <c r="A1364" s="213" t="s">
        <v>327</v>
      </c>
      <c r="D1364" s="213" t="s">
        <v>11438</v>
      </c>
      <c r="E1364" s="213" t="s">
        <v>11439</v>
      </c>
      <c r="K1364" s="213" t="s">
        <v>72898</v>
      </c>
      <c r="L1364" s="213" t="s">
        <v>72929</v>
      </c>
      <c r="M1364" s="213" t="s">
        <v>72960</v>
      </c>
      <c r="N1364" s="213" t="s">
        <v>11440</v>
      </c>
      <c r="O1364" s="213" t="s">
        <v>11441</v>
      </c>
      <c r="P1364" s="213" t="s">
        <v>11442</v>
      </c>
      <c r="Q1364" s="213" t="s">
        <v>11443</v>
      </c>
      <c r="R1364" s="213" t="s">
        <v>11444</v>
      </c>
      <c r="S1364" s="213" t="s">
        <v>11445</v>
      </c>
      <c r="T1364" s="213" t="s">
        <v>11446</v>
      </c>
      <c r="U1364" s="213" t="s">
        <v>72991</v>
      </c>
    </row>
    <row r="1365" spans="1:21" x14ac:dyDescent="0.25">
      <c r="A1365" s="213" t="s">
        <v>327</v>
      </c>
      <c r="D1365" s="213" t="s">
        <v>11447</v>
      </c>
      <c r="E1365" s="213" t="s">
        <v>11448</v>
      </c>
      <c r="K1365" s="213" t="s">
        <v>72899</v>
      </c>
      <c r="L1365" s="213" t="s">
        <v>72930</v>
      </c>
      <c r="M1365" s="213" t="s">
        <v>72961</v>
      </c>
      <c r="N1365" s="213" t="s">
        <v>11449</v>
      </c>
      <c r="O1365" s="213" t="s">
        <v>11450</v>
      </c>
      <c r="P1365" s="213" t="s">
        <v>11451</v>
      </c>
      <c r="Q1365" s="213" t="s">
        <v>11452</v>
      </c>
      <c r="R1365" s="213" t="s">
        <v>11453</v>
      </c>
      <c r="S1365" s="213" t="s">
        <v>11454</v>
      </c>
      <c r="T1365" s="213" t="s">
        <v>11455</v>
      </c>
      <c r="U1365" s="213" t="s">
        <v>72992</v>
      </c>
    </row>
    <row r="1366" spans="1:21" x14ac:dyDescent="0.25">
      <c r="A1366" s="213" t="s">
        <v>327</v>
      </c>
      <c r="D1366" s="213" t="s">
        <v>11456</v>
      </c>
      <c r="E1366" s="213" t="s">
        <v>11457</v>
      </c>
      <c r="K1366" s="213" t="s">
        <v>72900</v>
      </c>
      <c r="L1366" s="213" t="s">
        <v>72931</v>
      </c>
      <c r="M1366" s="213" t="s">
        <v>72962</v>
      </c>
      <c r="N1366" s="213" t="s">
        <v>11458</v>
      </c>
      <c r="O1366" s="213" t="s">
        <v>11459</v>
      </c>
      <c r="P1366" s="213" t="s">
        <v>11460</v>
      </c>
      <c r="Q1366" s="213" t="s">
        <v>11461</v>
      </c>
      <c r="R1366" s="213" t="s">
        <v>11462</v>
      </c>
      <c r="S1366" s="213" t="s">
        <v>11463</v>
      </c>
      <c r="T1366" s="213" t="s">
        <v>11464</v>
      </c>
      <c r="U1366" s="213" t="s">
        <v>72993</v>
      </c>
    </row>
    <row r="1367" spans="1:21" x14ac:dyDescent="0.25">
      <c r="A1367" s="213" t="s">
        <v>327</v>
      </c>
    </row>
    <row r="1368" spans="1:21" x14ac:dyDescent="0.25">
      <c r="A1368" s="213" t="s">
        <v>327</v>
      </c>
    </row>
    <row r="1369" spans="1:21" x14ac:dyDescent="0.25">
      <c r="A1369" s="213" t="s">
        <v>327</v>
      </c>
      <c r="C1369" s="213" t="s">
        <v>11465</v>
      </c>
      <c r="E1369" s="213" t="s">
        <v>11466</v>
      </c>
      <c r="H1369" s="213" t="s">
        <v>11467</v>
      </c>
      <c r="I1369" s="213" t="s">
        <v>11468</v>
      </c>
      <c r="J1369" s="213" t="s">
        <v>11469</v>
      </c>
      <c r="L1369" s="213" t="s">
        <v>11470</v>
      </c>
      <c r="O1369" s="213" t="s">
        <v>11471</v>
      </c>
      <c r="P1369" s="213" t="s">
        <v>11472</v>
      </c>
      <c r="Q1369" s="213" t="s">
        <v>11473</v>
      </c>
      <c r="R1369" s="213" t="s">
        <v>11474</v>
      </c>
      <c r="S1369" s="213" t="s">
        <v>11475</v>
      </c>
      <c r="T1369" s="213" t="s">
        <v>11476</v>
      </c>
    </row>
    <row r="1370" spans="1:21" x14ac:dyDescent="0.25">
      <c r="A1370" s="213" t="s">
        <v>327</v>
      </c>
      <c r="C1370" s="213" t="s">
        <v>11477</v>
      </c>
      <c r="E1370" s="213" t="s">
        <v>11478</v>
      </c>
      <c r="I1370" s="213" t="s">
        <v>11479</v>
      </c>
    </row>
    <row r="1371" spans="1:21" x14ac:dyDescent="0.25">
      <c r="A1371" s="213" t="s">
        <v>327</v>
      </c>
      <c r="C1371" s="213" t="s">
        <v>11480</v>
      </c>
      <c r="E1371" s="213" t="s">
        <v>11481</v>
      </c>
      <c r="I1371" s="213" t="s">
        <v>11482</v>
      </c>
    </row>
    <row r="1372" spans="1:21" x14ac:dyDescent="0.25">
      <c r="A1372" s="213" t="s">
        <v>328</v>
      </c>
    </row>
    <row r="1373" spans="1:21" x14ac:dyDescent="0.25">
      <c r="A1373" s="213" t="s">
        <v>327</v>
      </c>
      <c r="D1373" s="213" t="s">
        <v>11483</v>
      </c>
      <c r="E1373" s="213" t="s">
        <v>11484</v>
      </c>
      <c r="K1373" s="213" t="s">
        <v>72686</v>
      </c>
      <c r="L1373" s="213" t="s">
        <v>72732</v>
      </c>
      <c r="M1373" s="213" t="s">
        <v>72778</v>
      </c>
      <c r="N1373" s="213" t="s">
        <v>11485</v>
      </c>
      <c r="O1373" s="213" t="s">
        <v>11486</v>
      </c>
      <c r="P1373" s="213" t="s">
        <v>11487</v>
      </c>
      <c r="Q1373" s="213" t="s">
        <v>11488</v>
      </c>
      <c r="R1373" s="213" t="s">
        <v>11489</v>
      </c>
      <c r="S1373" s="213" t="s">
        <v>11490</v>
      </c>
      <c r="T1373" s="213" t="s">
        <v>11491</v>
      </c>
      <c r="U1373" s="213" t="s">
        <v>72824</v>
      </c>
    </row>
    <row r="1374" spans="1:21" x14ac:dyDescent="0.25">
      <c r="A1374" s="213" t="s">
        <v>327</v>
      </c>
      <c r="D1374" s="213" t="s">
        <v>11492</v>
      </c>
      <c r="E1374" s="213" t="s">
        <v>11493</v>
      </c>
      <c r="K1374" s="213" t="s">
        <v>72687</v>
      </c>
      <c r="L1374" s="213" t="s">
        <v>72733</v>
      </c>
      <c r="M1374" s="213" t="s">
        <v>72779</v>
      </c>
      <c r="N1374" s="213" t="s">
        <v>11494</v>
      </c>
      <c r="O1374" s="213" t="s">
        <v>11495</v>
      </c>
      <c r="P1374" s="213" t="s">
        <v>11496</v>
      </c>
      <c r="Q1374" s="213" t="s">
        <v>11497</v>
      </c>
      <c r="R1374" s="213" t="s">
        <v>11498</v>
      </c>
      <c r="S1374" s="213" t="s">
        <v>11499</v>
      </c>
      <c r="T1374" s="213" t="s">
        <v>11500</v>
      </c>
      <c r="U1374" s="213" t="s">
        <v>72825</v>
      </c>
    </row>
    <row r="1375" spans="1:21" x14ac:dyDescent="0.25">
      <c r="A1375" s="213" t="s">
        <v>327</v>
      </c>
      <c r="D1375" s="213" t="s">
        <v>11501</v>
      </c>
      <c r="E1375" s="213" t="s">
        <v>11502</v>
      </c>
      <c r="K1375" s="213" t="s">
        <v>72688</v>
      </c>
      <c r="L1375" s="213" t="s">
        <v>72734</v>
      </c>
      <c r="M1375" s="213" t="s">
        <v>72780</v>
      </c>
      <c r="N1375" s="213" t="s">
        <v>11503</v>
      </c>
      <c r="O1375" s="213" t="s">
        <v>11504</v>
      </c>
      <c r="P1375" s="213" t="s">
        <v>11505</v>
      </c>
      <c r="Q1375" s="213" t="s">
        <v>11506</v>
      </c>
      <c r="R1375" s="213" t="s">
        <v>11507</v>
      </c>
      <c r="S1375" s="213" t="s">
        <v>11508</v>
      </c>
      <c r="T1375" s="213" t="s">
        <v>11509</v>
      </c>
      <c r="U1375" s="213" t="s">
        <v>72826</v>
      </c>
    </row>
    <row r="1376" spans="1:21" x14ac:dyDescent="0.25">
      <c r="A1376" s="213" t="s">
        <v>327</v>
      </c>
      <c r="D1376" s="213" t="s">
        <v>11510</v>
      </c>
      <c r="E1376" s="213" t="s">
        <v>11511</v>
      </c>
      <c r="K1376" s="213" t="s">
        <v>72689</v>
      </c>
      <c r="L1376" s="213" t="s">
        <v>72735</v>
      </c>
      <c r="M1376" s="213" t="s">
        <v>72781</v>
      </c>
      <c r="N1376" s="213" t="s">
        <v>11512</v>
      </c>
      <c r="O1376" s="213" t="s">
        <v>11513</v>
      </c>
      <c r="P1376" s="213" t="s">
        <v>11514</v>
      </c>
      <c r="Q1376" s="213" t="s">
        <v>11515</v>
      </c>
      <c r="R1376" s="213" t="s">
        <v>11516</v>
      </c>
      <c r="S1376" s="213" t="s">
        <v>11517</v>
      </c>
      <c r="T1376" s="213" t="s">
        <v>11518</v>
      </c>
      <c r="U1376" s="213" t="s">
        <v>72827</v>
      </c>
    </row>
    <row r="1377" spans="1:21" x14ac:dyDescent="0.25">
      <c r="A1377" s="213" t="s">
        <v>327</v>
      </c>
      <c r="D1377" s="213" t="s">
        <v>11519</v>
      </c>
      <c r="E1377" s="213" t="s">
        <v>11520</v>
      </c>
      <c r="K1377" s="213" t="s">
        <v>72690</v>
      </c>
      <c r="L1377" s="213" t="s">
        <v>72736</v>
      </c>
      <c r="M1377" s="213" t="s">
        <v>72782</v>
      </c>
      <c r="N1377" s="213" t="s">
        <v>11521</v>
      </c>
      <c r="O1377" s="213" t="s">
        <v>11522</v>
      </c>
      <c r="P1377" s="213" t="s">
        <v>11523</v>
      </c>
      <c r="Q1377" s="213" t="s">
        <v>11524</v>
      </c>
      <c r="R1377" s="213" t="s">
        <v>11525</v>
      </c>
      <c r="S1377" s="213" t="s">
        <v>11526</v>
      </c>
      <c r="T1377" s="213" t="s">
        <v>11527</v>
      </c>
      <c r="U1377" s="213" t="s">
        <v>72828</v>
      </c>
    </row>
    <row r="1378" spans="1:21" x14ac:dyDescent="0.25">
      <c r="A1378" s="213" t="s">
        <v>327</v>
      </c>
      <c r="D1378" s="213" t="s">
        <v>11528</v>
      </c>
      <c r="E1378" s="213" t="s">
        <v>11529</v>
      </c>
      <c r="K1378" s="213" t="s">
        <v>72691</v>
      </c>
      <c r="L1378" s="213" t="s">
        <v>72737</v>
      </c>
      <c r="M1378" s="213" t="s">
        <v>72783</v>
      </c>
      <c r="N1378" s="213" t="s">
        <v>11530</v>
      </c>
      <c r="O1378" s="213" t="s">
        <v>11531</v>
      </c>
      <c r="P1378" s="213" t="s">
        <v>11532</v>
      </c>
      <c r="Q1378" s="213" t="s">
        <v>11533</v>
      </c>
      <c r="R1378" s="213" t="s">
        <v>11534</v>
      </c>
      <c r="S1378" s="213" t="s">
        <v>11535</v>
      </c>
      <c r="T1378" s="213" t="s">
        <v>11536</v>
      </c>
      <c r="U1378" s="213" t="s">
        <v>72829</v>
      </c>
    </row>
    <row r="1379" spans="1:21" x14ac:dyDescent="0.25">
      <c r="A1379" s="213" t="s">
        <v>327</v>
      </c>
      <c r="D1379" s="213" t="s">
        <v>11537</v>
      </c>
      <c r="E1379" s="213" t="s">
        <v>11538</v>
      </c>
      <c r="K1379" s="213" t="s">
        <v>72692</v>
      </c>
      <c r="L1379" s="213" t="s">
        <v>72738</v>
      </c>
      <c r="M1379" s="213" t="s">
        <v>72784</v>
      </c>
      <c r="N1379" s="213" t="s">
        <v>11539</v>
      </c>
      <c r="O1379" s="213" t="s">
        <v>11540</v>
      </c>
      <c r="P1379" s="213" t="s">
        <v>11541</v>
      </c>
      <c r="Q1379" s="213" t="s">
        <v>11542</v>
      </c>
      <c r="R1379" s="213" t="s">
        <v>11543</v>
      </c>
      <c r="S1379" s="213" t="s">
        <v>11544</v>
      </c>
      <c r="T1379" s="213" t="s">
        <v>11545</v>
      </c>
      <c r="U1379" s="213" t="s">
        <v>72830</v>
      </c>
    </row>
    <row r="1380" spans="1:21" x14ac:dyDescent="0.25">
      <c r="A1380" s="213" t="s">
        <v>327</v>
      </c>
      <c r="D1380" s="213" t="s">
        <v>11546</v>
      </c>
      <c r="E1380" s="213" t="s">
        <v>11547</v>
      </c>
      <c r="K1380" s="213" t="s">
        <v>72693</v>
      </c>
      <c r="L1380" s="213" t="s">
        <v>72739</v>
      </c>
      <c r="M1380" s="213" t="s">
        <v>72785</v>
      </c>
      <c r="N1380" s="213" t="s">
        <v>11548</v>
      </c>
      <c r="O1380" s="213" t="s">
        <v>11549</v>
      </c>
      <c r="P1380" s="213" t="s">
        <v>11550</v>
      </c>
      <c r="Q1380" s="213" t="s">
        <v>11551</v>
      </c>
      <c r="R1380" s="213" t="s">
        <v>11552</v>
      </c>
      <c r="S1380" s="213" t="s">
        <v>11553</v>
      </c>
      <c r="T1380" s="213" t="s">
        <v>11554</v>
      </c>
      <c r="U1380" s="213" t="s">
        <v>72831</v>
      </c>
    </row>
    <row r="1381" spans="1:21" x14ac:dyDescent="0.25">
      <c r="A1381" s="213" t="s">
        <v>327</v>
      </c>
      <c r="D1381" s="213" t="s">
        <v>11555</v>
      </c>
      <c r="E1381" s="213" t="s">
        <v>11556</v>
      </c>
      <c r="K1381" s="213" t="s">
        <v>72694</v>
      </c>
      <c r="L1381" s="213" t="s">
        <v>72740</v>
      </c>
      <c r="M1381" s="213" t="s">
        <v>72786</v>
      </c>
      <c r="N1381" s="213" t="s">
        <v>11557</v>
      </c>
      <c r="O1381" s="213" t="s">
        <v>11558</v>
      </c>
      <c r="P1381" s="213" t="s">
        <v>11559</v>
      </c>
      <c r="Q1381" s="213" t="s">
        <v>11560</v>
      </c>
      <c r="R1381" s="213" t="s">
        <v>11561</v>
      </c>
      <c r="S1381" s="213" t="s">
        <v>11562</v>
      </c>
      <c r="T1381" s="213" t="s">
        <v>11563</v>
      </c>
      <c r="U1381" s="213" t="s">
        <v>72832</v>
      </c>
    </row>
    <row r="1382" spans="1:21" x14ac:dyDescent="0.25">
      <c r="A1382" s="213" t="s">
        <v>327</v>
      </c>
      <c r="D1382" s="213" t="s">
        <v>11564</v>
      </c>
      <c r="E1382" s="213" t="s">
        <v>11565</v>
      </c>
      <c r="K1382" s="213" t="s">
        <v>72695</v>
      </c>
      <c r="L1382" s="213" t="s">
        <v>72741</v>
      </c>
      <c r="M1382" s="213" t="s">
        <v>72787</v>
      </c>
      <c r="N1382" s="213" t="s">
        <v>11566</v>
      </c>
      <c r="O1382" s="213" t="s">
        <v>11567</v>
      </c>
      <c r="P1382" s="213" t="s">
        <v>11568</v>
      </c>
      <c r="Q1382" s="213" t="s">
        <v>11569</v>
      </c>
      <c r="R1382" s="213" t="s">
        <v>11570</v>
      </c>
      <c r="S1382" s="213" t="s">
        <v>11571</v>
      </c>
      <c r="T1382" s="213" t="s">
        <v>11572</v>
      </c>
      <c r="U1382" s="213" t="s">
        <v>72833</v>
      </c>
    </row>
    <row r="1383" spans="1:21" x14ac:dyDescent="0.25">
      <c r="A1383" s="213" t="s">
        <v>327</v>
      </c>
      <c r="D1383" s="213" t="s">
        <v>11573</v>
      </c>
      <c r="E1383" s="213" t="s">
        <v>11574</v>
      </c>
      <c r="K1383" s="213" t="s">
        <v>72696</v>
      </c>
      <c r="L1383" s="213" t="s">
        <v>72742</v>
      </c>
      <c r="M1383" s="213" t="s">
        <v>72788</v>
      </c>
      <c r="N1383" s="213" t="s">
        <v>11575</v>
      </c>
      <c r="O1383" s="213" t="s">
        <v>11576</v>
      </c>
      <c r="P1383" s="213" t="s">
        <v>11577</v>
      </c>
      <c r="Q1383" s="213" t="s">
        <v>11578</v>
      </c>
      <c r="R1383" s="213" t="s">
        <v>11579</v>
      </c>
      <c r="S1383" s="213" t="s">
        <v>11580</v>
      </c>
      <c r="T1383" s="213" t="s">
        <v>11581</v>
      </c>
      <c r="U1383" s="213" t="s">
        <v>72834</v>
      </c>
    </row>
    <row r="1384" spans="1:21" x14ac:dyDescent="0.25">
      <c r="A1384" s="213" t="s">
        <v>327</v>
      </c>
      <c r="D1384" s="213" t="s">
        <v>11582</v>
      </c>
      <c r="E1384" s="213" t="s">
        <v>11583</v>
      </c>
      <c r="K1384" s="213" t="s">
        <v>72697</v>
      </c>
      <c r="L1384" s="213" t="s">
        <v>72743</v>
      </c>
      <c r="M1384" s="213" t="s">
        <v>72789</v>
      </c>
      <c r="N1384" s="213" t="s">
        <v>11584</v>
      </c>
      <c r="O1384" s="213" t="s">
        <v>11585</v>
      </c>
      <c r="P1384" s="213" t="s">
        <v>11586</v>
      </c>
      <c r="Q1384" s="213" t="s">
        <v>11587</v>
      </c>
      <c r="R1384" s="213" t="s">
        <v>11588</v>
      </c>
      <c r="S1384" s="213" t="s">
        <v>11589</v>
      </c>
      <c r="T1384" s="213" t="s">
        <v>11590</v>
      </c>
      <c r="U1384" s="213" t="s">
        <v>72835</v>
      </c>
    </row>
    <row r="1385" spans="1:21" x14ac:dyDescent="0.25">
      <c r="A1385" s="213" t="s">
        <v>327</v>
      </c>
      <c r="D1385" s="213" t="s">
        <v>11591</v>
      </c>
      <c r="E1385" s="213" t="s">
        <v>11592</v>
      </c>
      <c r="K1385" s="213" t="s">
        <v>72698</v>
      </c>
      <c r="L1385" s="213" t="s">
        <v>72744</v>
      </c>
      <c r="M1385" s="213" t="s">
        <v>72790</v>
      </c>
      <c r="N1385" s="213" t="s">
        <v>11593</v>
      </c>
      <c r="O1385" s="213" t="s">
        <v>11594</v>
      </c>
      <c r="P1385" s="213" t="s">
        <v>11595</v>
      </c>
      <c r="Q1385" s="213" t="s">
        <v>11596</v>
      </c>
      <c r="R1385" s="213" t="s">
        <v>11597</v>
      </c>
      <c r="S1385" s="213" t="s">
        <v>11598</v>
      </c>
      <c r="T1385" s="213" t="s">
        <v>11599</v>
      </c>
      <c r="U1385" s="213" t="s">
        <v>72836</v>
      </c>
    </row>
    <row r="1386" spans="1:21" x14ac:dyDescent="0.25">
      <c r="A1386" s="213" t="s">
        <v>327</v>
      </c>
      <c r="D1386" s="213" t="s">
        <v>11600</v>
      </c>
      <c r="E1386" s="213" t="s">
        <v>11601</v>
      </c>
      <c r="K1386" s="213" t="s">
        <v>72699</v>
      </c>
      <c r="L1386" s="213" t="s">
        <v>72745</v>
      </c>
      <c r="M1386" s="213" t="s">
        <v>72791</v>
      </c>
      <c r="N1386" s="213" t="s">
        <v>11602</v>
      </c>
      <c r="O1386" s="213" t="s">
        <v>11603</v>
      </c>
      <c r="P1386" s="213" t="s">
        <v>11604</v>
      </c>
      <c r="Q1386" s="213" t="s">
        <v>11605</v>
      </c>
      <c r="R1386" s="213" t="s">
        <v>11606</v>
      </c>
      <c r="S1386" s="213" t="s">
        <v>11607</v>
      </c>
      <c r="T1386" s="213" t="s">
        <v>11608</v>
      </c>
      <c r="U1386" s="213" t="s">
        <v>72837</v>
      </c>
    </row>
    <row r="1387" spans="1:21" x14ac:dyDescent="0.25">
      <c r="A1387" s="213" t="s">
        <v>327</v>
      </c>
      <c r="D1387" s="213" t="s">
        <v>11609</v>
      </c>
      <c r="E1387" s="213" t="s">
        <v>11610</v>
      </c>
      <c r="K1387" s="213" t="s">
        <v>72700</v>
      </c>
      <c r="L1387" s="213" t="s">
        <v>72746</v>
      </c>
      <c r="M1387" s="213" t="s">
        <v>72792</v>
      </c>
      <c r="N1387" s="213" t="s">
        <v>11611</v>
      </c>
      <c r="O1387" s="213" t="s">
        <v>11612</v>
      </c>
      <c r="P1387" s="213" t="s">
        <v>11613</v>
      </c>
      <c r="Q1387" s="213" t="s">
        <v>11614</v>
      </c>
      <c r="R1387" s="213" t="s">
        <v>11615</v>
      </c>
      <c r="S1387" s="213" t="s">
        <v>11616</v>
      </c>
      <c r="T1387" s="213" t="s">
        <v>11617</v>
      </c>
      <c r="U1387" s="213" t="s">
        <v>72838</v>
      </c>
    </row>
    <row r="1388" spans="1:21" x14ac:dyDescent="0.25">
      <c r="A1388" s="213" t="s">
        <v>327</v>
      </c>
      <c r="D1388" s="213" t="s">
        <v>11618</v>
      </c>
      <c r="E1388" s="213" t="s">
        <v>11619</v>
      </c>
      <c r="K1388" s="213" t="s">
        <v>72701</v>
      </c>
      <c r="L1388" s="213" t="s">
        <v>72747</v>
      </c>
      <c r="M1388" s="213" t="s">
        <v>72793</v>
      </c>
      <c r="N1388" s="213" t="s">
        <v>11620</v>
      </c>
      <c r="O1388" s="213" t="s">
        <v>11621</v>
      </c>
      <c r="P1388" s="213" t="s">
        <v>11622</v>
      </c>
      <c r="Q1388" s="213" t="s">
        <v>11623</v>
      </c>
      <c r="R1388" s="213" t="s">
        <v>11624</v>
      </c>
      <c r="S1388" s="213" t="s">
        <v>11625</v>
      </c>
      <c r="T1388" s="213" t="s">
        <v>11626</v>
      </c>
      <c r="U1388" s="213" t="s">
        <v>72839</v>
      </c>
    </row>
    <row r="1389" spans="1:21" x14ac:dyDescent="0.25">
      <c r="A1389" s="213" t="s">
        <v>327</v>
      </c>
      <c r="D1389" s="213" t="s">
        <v>11627</v>
      </c>
      <c r="E1389" s="213" t="s">
        <v>11628</v>
      </c>
      <c r="K1389" s="213" t="s">
        <v>72702</v>
      </c>
      <c r="L1389" s="213" t="s">
        <v>72748</v>
      </c>
      <c r="M1389" s="213" t="s">
        <v>72794</v>
      </c>
      <c r="N1389" s="213" t="s">
        <v>11629</v>
      </c>
      <c r="O1389" s="213" t="s">
        <v>11630</v>
      </c>
      <c r="P1389" s="213" t="s">
        <v>11631</v>
      </c>
      <c r="Q1389" s="213" t="s">
        <v>11632</v>
      </c>
      <c r="R1389" s="213" t="s">
        <v>11633</v>
      </c>
      <c r="S1389" s="213" t="s">
        <v>11634</v>
      </c>
      <c r="T1389" s="213" t="s">
        <v>11635</v>
      </c>
      <c r="U1389" s="213" t="s">
        <v>72840</v>
      </c>
    </row>
    <row r="1390" spans="1:21" x14ac:dyDescent="0.25">
      <c r="A1390" s="213" t="s">
        <v>327</v>
      </c>
      <c r="D1390" s="213" t="s">
        <v>11636</v>
      </c>
      <c r="E1390" s="213" t="s">
        <v>11637</v>
      </c>
      <c r="K1390" s="213" t="s">
        <v>72703</v>
      </c>
      <c r="L1390" s="213" t="s">
        <v>72749</v>
      </c>
      <c r="M1390" s="213" t="s">
        <v>72795</v>
      </c>
      <c r="N1390" s="213" t="s">
        <v>11638</v>
      </c>
      <c r="O1390" s="213" t="s">
        <v>11639</v>
      </c>
      <c r="P1390" s="213" t="s">
        <v>11640</v>
      </c>
      <c r="Q1390" s="213" t="s">
        <v>11641</v>
      </c>
      <c r="R1390" s="213" t="s">
        <v>11642</v>
      </c>
      <c r="S1390" s="213" t="s">
        <v>11643</v>
      </c>
      <c r="T1390" s="213" t="s">
        <v>11644</v>
      </c>
      <c r="U1390" s="213" t="s">
        <v>72841</v>
      </c>
    </row>
    <row r="1391" spans="1:21" x14ac:dyDescent="0.25">
      <c r="A1391" s="213" t="s">
        <v>327</v>
      </c>
      <c r="D1391" s="213" t="s">
        <v>11645</v>
      </c>
      <c r="E1391" s="213" t="s">
        <v>11646</v>
      </c>
      <c r="K1391" s="213" t="s">
        <v>72704</v>
      </c>
      <c r="L1391" s="213" t="s">
        <v>72750</v>
      </c>
      <c r="M1391" s="213" t="s">
        <v>72796</v>
      </c>
      <c r="N1391" s="213" t="s">
        <v>11647</v>
      </c>
      <c r="O1391" s="213" t="s">
        <v>11648</v>
      </c>
      <c r="P1391" s="213" t="s">
        <v>11649</v>
      </c>
      <c r="Q1391" s="213" t="s">
        <v>11650</v>
      </c>
      <c r="R1391" s="213" t="s">
        <v>11651</v>
      </c>
      <c r="S1391" s="213" t="s">
        <v>11652</v>
      </c>
      <c r="T1391" s="213" t="s">
        <v>11653</v>
      </c>
      <c r="U1391" s="213" t="s">
        <v>72842</v>
      </c>
    </row>
    <row r="1392" spans="1:21" x14ac:dyDescent="0.25">
      <c r="A1392" s="213" t="s">
        <v>327</v>
      </c>
      <c r="D1392" s="213" t="s">
        <v>11654</v>
      </c>
      <c r="E1392" s="213" t="s">
        <v>11655</v>
      </c>
      <c r="K1392" s="213" t="s">
        <v>72705</v>
      </c>
      <c r="L1392" s="213" t="s">
        <v>72751</v>
      </c>
      <c r="M1392" s="213" t="s">
        <v>72797</v>
      </c>
      <c r="N1392" s="213" t="s">
        <v>11656</v>
      </c>
      <c r="O1392" s="213" t="s">
        <v>11657</v>
      </c>
      <c r="P1392" s="213" t="s">
        <v>11658</v>
      </c>
      <c r="Q1392" s="213" t="s">
        <v>11659</v>
      </c>
      <c r="R1392" s="213" t="s">
        <v>11660</v>
      </c>
      <c r="S1392" s="213" t="s">
        <v>11661</v>
      </c>
      <c r="T1392" s="213" t="s">
        <v>11662</v>
      </c>
      <c r="U1392" s="213" t="s">
        <v>72843</v>
      </c>
    </row>
    <row r="1393" spans="1:21" x14ac:dyDescent="0.25">
      <c r="A1393" s="213" t="s">
        <v>327</v>
      </c>
      <c r="D1393" s="213" t="s">
        <v>11663</v>
      </c>
      <c r="E1393" s="213" t="s">
        <v>11664</v>
      </c>
      <c r="K1393" s="213" t="s">
        <v>72706</v>
      </c>
      <c r="L1393" s="213" t="s">
        <v>72752</v>
      </c>
      <c r="M1393" s="213" t="s">
        <v>72798</v>
      </c>
      <c r="N1393" s="213" t="s">
        <v>11665</v>
      </c>
      <c r="O1393" s="213" t="s">
        <v>11666</v>
      </c>
      <c r="P1393" s="213" t="s">
        <v>11667</v>
      </c>
      <c r="Q1393" s="213" t="s">
        <v>11668</v>
      </c>
      <c r="R1393" s="213" t="s">
        <v>11669</v>
      </c>
      <c r="S1393" s="213" t="s">
        <v>11670</v>
      </c>
      <c r="T1393" s="213" t="s">
        <v>11671</v>
      </c>
      <c r="U1393" s="213" t="s">
        <v>72844</v>
      </c>
    </row>
    <row r="1394" spans="1:21" x14ac:dyDescent="0.25">
      <c r="A1394" s="213" t="s">
        <v>327</v>
      </c>
      <c r="D1394" s="213" t="s">
        <v>11672</v>
      </c>
      <c r="E1394" s="213" t="s">
        <v>11673</v>
      </c>
      <c r="K1394" s="213" t="s">
        <v>72707</v>
      </c>
      <c r="L1394" s="213" t="s">
        <v>72753</v>
      </c>
      <c r="M1394" s="213" t="s">
        <v>72799</v>
      </c>
      <c r="N1394" s="213" t="s">
        <v>11674</v>
      </c>
      <c r="O1394" s="213" t="s">
        <v>11675</v>
      </c>
      <c r="P1394" s="213" t="s">
        <v>11676</v>
      </c>
      <c r="Q1394" s="213" t="s">
        <v>11677</v>
      </c>
      <c r="R1394" s="213" t="s">
        <v>11678</v>
      </c>
      <c r="S1394" s="213" t="s">
        <v>11679</v>
      </c>
      <c r="T1394" s="213" t="s">
        <v>11680</v>
      </c>
      <c r="U1394" s="213" t="s">
        <v>72845</v>
      </c>
    </row>
    <row r="1395" spans="1:21" x14ac:dyDescent="0.25">
      <c r="A1395" s="213" t="s">
        <v>327</v>
      </c>
      <c r="D1395" s="213" t="s">
        <v>11681</v>
      </c>
      <c r="E1395" s="213" t="s">
        <v>11682</v>
      </c>
      <c r="K1395" s="213" t="s">
        <v>72708</v>
      </c>
      <c r="L1395" s="213" t="s">
        <v>72754</v>
      </c>
      <c r="M1395" s="213" t="s">
        <v>72800</v>
      </c>
      <c r="N1395" s="213" t="s">
        <v>11683</v>
      </c>
      <c r="O1395" s="213" t="s">
        <v>11684</v>
      </c>
      <c r="P1395" s="213" t="s">
        <v>11685</v>
      </c>
      <c r="Q1395" s="213" t="s">
        <v>11686</v>
      </c>
      <c r="R1395" s="213" t="s">
        <v>11687</v>
      </c>
      <c r="S1395" s="213" t="s">
        <v>11688</v>
      </c>
      <c r="T1395" s="213" t="s">
        <v>11689</v>
      </c>
      <c r="U1395" s="213" t="s">
        <v>72846</v>
      </c>
    </row>
    <row r="1396" spans="1:21" x14ac:dyDescent="0.25">
      <c r="A1396" s="213" t="s">
        <v>327</v>
      </c>
      <c r="D1396" s="213" t="s">
        <v>11690</v>
      </c>
      <c r="E1396" s="213" t="s">
        <v>11691</v>
      </c>
      <c r="K1396" s="213" t="s">
        <v>72709</v>
      </c>
      <c r="L1396" s="213" t="s">
        <v>72755</v>
      </c>
      <c r="M1396" s="213" t="s">
        <v>72801</v>
      </c>
      <c r="N1396" s="213" t="s">
        <v>11692</v>
      </c>
      <c r="O1396" s="213" t="s">
        <v>11693</v>
      </c>
      <c r="P1396" s="213" t="s">
        <v>11694</v>
      </c>
      <c r="Q1396" s="213" t="s">
        <v>11695</v>
      </c>
      <c r="R1396" s="213" t="s">
        <v>11696</v>
      </c>
      <c r="S1396" s="213" t="s">
        <v>11697</v>
      </c>
      <c r="T1396" s="213" t="s">
        <v>11698</v>
      </c>
      <c r="U1396" s="213" t="s">
        <v>72847</v>
      </c>
    </row>
    <row r="1397" spans="1:21" x14ac:dyDescent="0.25">
      <c r="A1397" s="213" t="s">
        <v>327</v>
      </c>
      <c r="D1397" s="213" t="s">
        <v>11699</v>
      </c>
      <c r="E1397" s="213" t="s">
        <v>11700</v>
      </c>
      <c r="K1397" s="213" t="s">
        <v>72710</v>
      </c>
      <c r="L1397" s="213" t="s">
        <v>72756</v>
      </c>
      <c r="M1397" s="213" t="s">
        <v>72802</v>
      </c>
      <c r="N1397" s="213" t="s">
        <v>11701</v>
      </c>
      <c r="O1397" s="213" t="s">
        <v>11702</v>
      </c>
      <c r="P1397" s="213" t="s">
        <v>11703</v>
      </c>
      <c r="Q1397" s="213" t="s">
        <v>11704</v>
      </c>
      <c r="R1397" s="213" t="s">
        <v>11705</v>
      </c>
      <c r="S1397" s="213" t="s">
        <v>11706</v>
      </c>
      <c r="T1397" s="213" t="s">
        <v>11707</v>
      </c>
      <c r="U1397" s="213" t="s">
        <v>72848</v>
      </c>
    </row>
    <row r="1398" spans="1:21" x14ac:dyDescent="0.25">
      <c r="A1398" s="213" t="s">
        <v>327</v>
      </c>
      <c r="D1398" s="213" t="s">
        <v>11708</v>
      </c>
      <c r="E1398" s="213" t="s">
        <v>11709</v>
      </c>
      <c r="K1398" s="213" t="s">
        <v>72711</v>
      </c>
      <c r="L1398" s="213" t="s">
        <v>72757</v>
      </c>
      <c r="M1398" s="213" t="s">
        <v>72803</v>
      </c>
      <c r="N1398" s="213" t="s">
        <v>11710</v>
      </c>
      <c r="O1398" s="213" t="s">
        <v>11711</v>
      </c>
      <c r="P1398" s="213" t="s">
        <v>11712</v>
      </c>
      <c r="Q1398" s="213" t="s">
        <v>11713</v>
      </c>
      <c r="R1398" s="213" t="s">
        <v>11714</v>
      </c>
      <c r="S1398" s="213" t="s">
        <v>11715</v>
      </c>
      <c r="T1398" s="213" t="s">
        <v>11716</v>
      </c>
      <c r="U1398" s="213" t="s">
        <v>72849</v>
      </c>
    </row>
    <row r="1399" spans="1:21" x14ac:dyDescent="0.25">
      <c r="A1399" s="213" t="s">
        <v>327</v>
      </c>
      <c r="D1399" s="213" t="s">
        <v>11717</v>
      </c>
      <c r="E1399" s="213" t="s">
        <v>11718</v>
      </c>
      <c r="K1399" s="213" t="s">
        <v>72712</v>
      </c>
      <c r="L1399" s="213" t="s">
        <v>72758</v>
      </c>
      <c r="M1399" s="213" t="s">
        <v>72804</v>
      </c>
      <c r="N1399" s="213" t="s">
        <v>11719</v>
      </c>
      <c r="O1399" s="213" t="s">
        <v>11720</v>
      </c>
      <c r="P1399" s="213" t="s">
        <v>11721</v>
      </c>
      <c r="Q1399" s="213" t="s">
        <v>11722</v>
      </c>
      <c r="R1399" s="213" t="s">
        <v>11723</v>
      </c>
      <c r="S1399" s="213" t="s">
        <v>11724</v>
      </c>
      <c r="T1399" s="213" t="s">
        <v>11725</v>
      </c>
      <c r="U1399" s="213" t="s">
        <v>72850</v>
      </c>
    </row>
    <row r="1400" spans="1:21" x14ac:dyDescent="0.25">
      <c r="A1400" s="213" t="s">
        <v>327</v>
      </c>
      <c r="D1400" s="213" t="s">
        <v>11726</v>
      </c>
      <c r="E1400" s="213" t="s">
        <v>11727</v>
      </c>
      <c r="K1400" s="213" t="s">
        <v>72713</v>
      </c>
      <c r="L1400" s="213" t="s">
        <v>72759</v>
      </c>
      <c r="M1400" s="213" t="s">
        <v>72805</v>
      </c>
      <c r="N1400" s="213" t="s">
        <v>11728</v>
      </c>
      <c r="O1400" s="213" t="s">
        <v>11729</v>
      </c>
      <c r="P1400" s="213" t="s">
        <v>11730</v>
      </c>
      <c r="Q1400" s="213" t="s">
        <v>11731</v>
      </c>
      <c r="R1400" s="213" t="s">
        <v>11732</v>
      </c>
      <c r="S1400" s="213" t="s">
        <v>11733</v>
      </c>
      <c r="T1400" s="213" t="s">
        <v>11734</v>
      </c>
      <c r="U1400" s="213" t="s">
        <v>72851</v>
      </c>
    </row>
    <row r="1401" spans="1:21" x14ac:dyDescent="0.25">
      <c r="A1401" s="213" t="s">
        <v>327</v>
      </c>
      <c r="D1401" s="213" t="s">
        <v>11735</v>
      </c>
      <c r="E1401" s="213" t="s">
        <v>11736</v>
      </c>
      <c r="K1401" s="213" t="s">
        <v>72714</v>
      </c>
      <c r="L1401" s="213" t="s">
        <v>72760</v>
      </c>
      <c r="M1401" s="213" t="s">
        <v>72806</v>
      </c>
      <c r="N1401" s="213" t="s">
        <v>11737</v>
      </c>
      <c r="O1401" s="213" t="s">
        <v>11738</v>
      </c>
      <c r="P1401" s="213" t="s">
        <v>11739</v>
      </c>
      <c r="Q1401" s="213" t="s">
        <v>11740</v>
      </c>
      <c r="R1401" s="213" t="s">
        <v>11741</v>
      </c>
      <c r="S1401" s="213" t="s">
        <v>11742</v>
      </c>
      <c r="T1401" s="213" t="s">
        <v>11743</v>
      </c>
      <c r="U1401" s="213" t="s">
        <v>72852</v>
      </c>
    </row>
    <row r="1402" spans="1:21" x14ac:dyDescent="0.25">
      <c r="A1402" s="213" t="s">
        <v>327</v>
      </c>
      <c r="D1402" s="213" t="s">
        <v>11744</v>
      </c>
      <c r="E1402" s="213" t="s">
        <v>11745</v>
      </c>
      <c r="K1402" s="213" t="s">
        <v>72715</v>
      </c>
      <c r="L1402" s="213" t="s">
        <v>72761</v>
      </c>
      <c r="M1402" s="213" t="s">
        <v>72807</v>
      </c>
      <c r="N1402" s="213" t="s">
        <v>11746</v>
      </c>
      <c r="O1402" s="213" t="s">
        <v>11747</v>
      </c>
      <c r="P1402" s="213" t="s">
        <v>11748</v>
      </c>
      <c r="Q1402" s="213" t="s">
        <v>11749</v>
      </c>
      <c r="R1402" s="213" t="s">
        <v>11750</v>
      </c>
      <c r="S1402" s="213" t="s">
        <v>11751</v>
      </c>
      <c r="T1402" s="213" t="s">
        <v>11752</v>
      </c>
      <c r="U1402" s="213" t="s">
        <v>72853</v>
      </c>
    </row>
    <row r="1403" spans="1:21" x14ac:dyDescent="0.25">
      <c r="A1403" s="213" t="s">
        <v>327</v>
      </c>
      <c r="D1403" s="213" t="s">
        <v>11753</v>
      </c>
      <c r="E1403" s="213" t="s">
        <v>11754</v>
      </c>
      <c r="K1403" s="213" t="s">
        <v>72716</v>
      </c>
      <c r="L1403" s="213" t="s">
        <v>72762</v>
      </c>
      <c r="M1403" s="213" t="s">
        <v>72808</v>
      </c>
      <c r="N1403" s="213" t="s">
        <v>11755</v>
      </c>
      <c r="O1403" s="213" t="s">
        <v>11756</v>
      </c>
      <c r="P1403" s="213" t="s">
        <v>11757</v>
      </c>
      <c r="Q1403" s="213" t="s">
        <v>11758</v>
      </c>
      <c r="R1403" s="213" t="s">
        <v>11759</v>
      </c>
      <c r="S1403" s="213" t="s">
        <v>11760</v>
      </c>
      <c r="T1403" s="213" t="s">
        <v>11761</v>
      </c>
      <c r="U1403" s="213" t="s">
        <v>72854</v>
      </c>
    </row>
    <row r="1404" spans="1:21" x14ac:dyDescent="0.25">
      <c r="A1404" s="213" t="s">
        <v>327</v>
      </c>
      <c r="D1404" s="213" t="s">
        <v>11762</v>
      </c>
      <c r="E1404" s="213" t="s">
        <v>11763</v>
      </c>
      <c r="K1404" s="213" t="s">
        <v>72717</v>
      </c>
      <c r="L1404" s="213" t="s">
        <v>72763</v>
      </c>
      <c r="M1404" s="213" t="s">
        <v>72809</v>
      </c>
      <c r="N1404" s="213" t="s">
        <v>11764</v>
      </c>
      <c r="O1404" s="213" t="s">
        <v>11765</v>
      </c>
      <c r="P1404" s="213" t="s">
        <v>11766</v>
      </c>
      <c r="Q1404" s="213" t="s">
        <v>11767</v>
      </c>
      <c r="R1404" s="213" t="s">
        <v>11768</v>
      </c>
      <c r="S1404" s="213" t="s">
        <v>11769</v>
      </c>
      <c r="T1404" s="213" t="s">
        <v>11770</v>
      </c>
      <c r="U1404" s="213" t="s">
        <v>72855</v>
      </c>
    </row>
    <row r="1405" spans="1:21" x14ac:dyDescent="0.25">
      <c r="A1405" s="213" t="s">
        <v>327</v>
      </c>
      <c r="D1405" s="213" t="s">
        <v>11771</v>
      </c>
      <c r="E1405" s="213" t="s">
        <v>11772</v>
      </c>
      <c r="K1405" s="213" t="s">
        <v>72718</v>
      </c>
      <c r="L1405" s="213" t="s">
        <v>72764</v>
      </c>
      <c r="M1405" s="213" t="s">
        <v>72810</v>
      </c>
      <c r="N1405" s="213" t="s">
        <v>11773</v>
      </c>
      <c r="O1405" s="213" t="s">
        <v>11774</v>
      </c>
      <c r="P1405" s="213" t="s">
        <v>11775</v>
      </c>
      <c r="Q1405" s="213" t="s">
        <v>11776</v>
      </c>
      <c r="R1405" s="213" t="s">
        <v>11777</v>
      </c>
      <c r="S1405" s="213" t="s">
        <v>11778</v>
      </c>
      <c r="T1405" s="213" t="s">
        <v>11779</v>
      </c>
      <c r="U1405" s="213" t="s">
        <v>72856</v>
      </c>
    </row>
    <row r="1406" spans="1:21" x14ac:dyDescent="0.25">
      <c r="A1406" s="213" t="s">
        <v>327</v>
      </c>
      <c r="D1406" s="213" t="s">
        <v>11780</v>
      </c>
      <c r="E1406" s="213" t="s">
        <v>11781</v>
      </c>
      <c r="K1406" s="213" t="s">
        <v>72719</v>
      </c>
      <c r="L1406" s="213" t="s">
        <v>72765</v>
      </c>
      <c r="M1406" s="213" t="s">
        <v>72811</v>
      </c>
      <c r="N1406" s="213" t="s">
        <v>11782</v>
      </c>
      <c r="O1406" s="213" t="s">
        <v>11783</v>
      </c>
      <c r="P1406" s="213" t="s">
        <v>11784</v>
      </c>
      <c r="Q1406" s="213" t="s">
        <v>11785</v>
      </c>
      <c r="R1406" s="213" t="s">
        <v>11786</v>
      </c>
      <c r="S1406" s="213" t="s">
        <v>11787</v>
      </c>
      <c r="T1406" s="213" t="s">
        <v>11788</v>
      </c>
      <c r="U1406" s="213" t="s">
        <v>72857</v>
      </c>
    </row>
    <row r="1407" spans="1:21" x14ac:dyDescent="0.25">
      <c r="A1407" s="213" t="s">
        <v>327</v>
      </c>
      <c r="D1407" s="213" t="s">
        <v>343</v>
      </c>
      <c r="E1407" s="213" t="s">
        <v>11789</v>
      </c>
      <c r="K1407" s="213" t="s">
        <v>72720</v>
      </c>
      <c r="L1407" s="213" t="s">
        <v>72766</v>
      </c>
      <c r="M1407" s="213" t="s">
        <v>72812</v>
      </c>
      <c r="N1407" s="213" t="s">
        <v>11790</v>
      </c>
      <c r="O1407" s="213" t="s">
        <v>11791</v>
      </c>
      <c r="P1407" s="213" t="s">
        <v>11792</v>
      </c>
      <c r="Q1407" s="213" t="s">
        <v>11793</v>
      </c>
      <c r="R1407" s="213" t="s">
        <v>11794</v>
      </c>
      <c r="S1407" s="213" t="s">
        <v>11795</v>
      </c>
      <c r="T1407" s="213" t="s">
        <v>11796</v>
      </c>
      <c r="U1407" s="213" t="s">
        <v>72858</v>
      </c>
    </row>
    <row r="1408" spans="1:21" x14ac:dyDescent="0.25">
      <c r="A1408" s="213" t="s">
        <v>327</v>
      </c>
      <c r="D1408" s="213" t="s">
        <v>11797</v>
      </c>
      <c r="E1408" s="213" t="s">
        <v>11798</v>
      </c>
      <c r="K1408" s="213" t="s">
        <v>72721</v>
      </c>
      <c r="L1408" s="213" t="s">
        <v>72767</v>
      </c>
      <c r="M1408" s="213" t="s">
        <v>72813</v>
      </c>
      <c r="N1408" s="213" t="s">
        <v>11799</v>
      </c>
      <c r="O1408" s="213" t="s">
        <v>11800</v>
      </c>
      <c r="P1408" s="213" t="s">
        <v>11801</v>
      </c>
      <c r="Q1408" s="213" t="s">
        <v>11802</v>
      </c>
      <c r="R1408" s="213" t="s">
        <v>11803</v>
      </c>
      <c r="S1408" s="213" t="s">
        <v>11804</v>
      </c>
      <c r="T1408" s="213" t="s">
        <v>11805</v>
      </c>
      <c r="U1408" s="213" t="s">
        <v>72859</v>
      </c>
    </row>
    <row r="1409" spans="1:21" x14ac:dyDescent="0.25">
      <c r="A1409" s="213" t="s">
        <v>327</v>
      </c>
      <c r="D1409" s="213" t="s">
        <v>11806</v>
      </c>
      <c r="E1409" s="213" t="s">
        <v>11807</v>
      </c>
      <c r="K1409" s="213" t="s">
        <v>72722</v>
      </c>
      <c r="L1409" s="213" t="s">
        <v>72768</v>
      </c>
      <c r="M1409" s="213" t="s">
        <v>72814</v>
      </c>
      <c r="N1409" s="213" t="s">
        <v>11808</v>
      </c>
      <c r="O1409" s="213" t="s">
        <v>11809</v>
      </c>
      <c r="P1409" s="213" t="s">
        <v>11810</v>
      </c>
      <c r="Q1409" s="213" t="s">
        <v>11811</v>
      </c>
      <c r="R1409" s="213" t="s">
        <v>11812</v>
      </c>
      <c r="S1409" s="213" t="s">
        <v>11813</v>
      </c>
      <c r="T1409" s="213" t="s">
        <v>11814</v>
      </c>
      <c r="U1409" s="213" t="s">
        <v>72860</v>
      </c>
    </row>
    <row r="1410" spans="1:21" x14ac:dyDescent="0.25">
      <c r="A1410" s="213" t="s">
        <v>327</v>
      </c>
      <c r="D1410" s="213" t="s">
        <v>11815</v>
      </c>
      <c r="E1410" s="213" t="s">
        <v>11816</v>
      </c>
      <c r="K1410" s="213" t="s">
        <v>72723</v>
      </c>
      <c r="L1410" s="213" t="s">
        <v>72769</v>
      </c>
      <c r="M1410" s="213" t="s">
        <v>72815</v>
      </c>
      <c r="N1410" s="213" t="s">
        <v>11817</v>
      </c>
      <c r="O1410" s="213" t="s">
        <v>11818</v>
      </c>
      <c r="P1410" s="213" t="s">
        <v>11819</v>
      </c>
      <c r="Q1410" s="213" t="s">
        <v>11820</v>
      </c>
      <c r="R1410" s="213" t="s">
        <v>11821</v>
      </c>
      <c r="S1410" s="213" t="s">
        <v>11822</v>
      </c>
      <c r="T1410" s="213" t="s">
        <v>11823</v>
      </c>
      <c r="U1410" s="213" t="s">
        <v>72861</v>
      </c>
    </row>
    <row r="1411" spans="1:21" x14ac:dyDescent="0.25">
      <c r="A1411" s="213" t="s">
        <v>327</v>
      </c>
      <c r="D1411" s="213" t="s">
        <v>11824</v>
      </c>
      <c r="E1411" s="213" t="s">
        <v>11825</v>
      </c>
      <c r="K1411" s="213" t="s">
        <v>72724</v>
      </c>
      <c r="L1411" s="213" t="s">
        <v>72770</v>
      </c>
      <c r="M1411" s="213" t="s">
        <v>72816</v>
      </c>
      <c r="N1411" s="213" t="s">
        <v>11826</v>
      </c>
      <c r="O1411" s="213" t="s">
        <v>11827</v>
      </c>
      <c r="P1411" s="213" t="s">
        <v>11828</v>
      </c>
      <c r="Q1411" s="213" t="s">
        <v>11829</v>
      </c>
      <c r="R1411" s="213" t="s">
        <v>11830</v>
      </c>
      <c r="S1411" s="213" t="s">
        <v>11831</v>
      </c>
      <c r="T1411" s="213" t="s">
        <v>11832</v>
      </c>
      <c r="U1411" s="213" t="s">
        <v>72862</v>
      </c>
    </row>
    <row r="1412" spans="1:21" x14ac:dyDescent="0.25">
      <c r="A1412" s="213" t="s">
        <v>327</v>
      </c>
      <c r="D1412" s="213" t="s">
        <v>11833</v>
      </c>
      <c r="E1412" s="213" t="s">
        <v>11834</v>
      </c>
      <c r="K1412" s="213" t="s">
        <v>72725</v>
      </c>
      <c r="L1412" s="213" t="s">
        <v>72771</v>
      </c>
      <c r="M1412" s="213" t="s">
        <v>72817</v>
      </c>
      <c r="N1412" s="213" t="s">
        <v>11835</v>
      </c>
      <c r="O1412" s="213" t="s">
        <v>11836</v>
      </c>
      <c r="P1412" s="213" t="s">
        <v>11837</v>
      </c>
      <c r="Q1412" s="213" t="s">
        <v>11838</v>
      </c>
      <c r="R1412" s="213" t="s">
        <v>11839</v>
      </c>
      <c r="S1412" s="213" t="s">
        <v>11840</v>
      </c>
      <c r="T1412" s="213" t="s">
        <v>11841</v>
      </c>
      <c r="U1412" s="213" t="s">
        <v>72863</v>
      </c>
    </row>
    <row r="1413" spans="1:21" x14ac:dyDescent="0.25">
      <c r="A1413" s="213" t="s">
        <v>327</v>
      </c>
      <c r="D1413" s="213" t="s">
        <v>11842</v>
      </c>
      <c r="E1413" s="213" t="s">
        <v>11843</v>
      </c>
      <c r="K1413" s="213" t="s">
        <v>72726</v>
      </c>
      <c r="L1413" s="213" t="s">
        <v>72772</v>
      </c>
      <c r="M1413" s="213" t="s">
        <v>72818</v>
      </c>
      <c r="N1413" s="213" t="s">
        <v>11844</v>
      </c>
      <c r="O1413" s="213" t="s">
        <v>11845</v>
      </c>
      <c r="P1413" s="213" t="s">
        <v>11846</v>
      </c>
      <c r="Q1413" s="213" t="s">
        <v>11847</v>
      </c>
      <c r="R1413" s="213" t="s">
        <v>11848</v>
      </c>
      <c r="S1413" s="213" t="s">
        <v>11849</v>
      </c>
      <c r="T1413" s="213" t="s">
        <v>11850</v>
      </c>
      <c r="U1413" s="213" t="s">
        <v>72864</v>
      </c>
    </row>
    <row r="1414" spans="1:21" x14ac:dyDescent="0.25">
      <c r="A1414" s="213" t="s">
        <v>327</v>
      </c>
      <c r="D1414" s="213" t="s">
        <v>11851</v>
      </c>
      <c r="E1414" s="213" t="s">
        <v>11852</v>
      </c>
      <c r="K1414" s="213" t="s">
        <v>72727</v>
      </c>
      <c r="L1414" s="213" t="s">
        <v>72773</v>
      </c>
      <c r="M1414" s="213" t="s">
        <v>72819</v>
      </c>
      <c r="N1414" s="213" t="s">
        <v>11853</v>
      </c>
      <c r="O1414" s="213" t="s">
        <v>11854</v>
      </c>
      <c r="P1414" s="213" t="s">
        <v>11855</v>
      </c>
      <c r="Q1414" s="213" t="s">
        <v>11856</v>
      </c>
      <c r="R1414" s="213" t="s">
        <v>11857</v>
      </c>
      <c r="S1414" s="213" t="s">
        <v>11858</v>
      </c>
      <c r="T1414" s="213" t="s">
        <v>11859</v>
      </c>
      <c r="U1414" s="213" t="s">
        <v>72865</v>
      </c>
    </row>
    <row r="1415" spans="1:21" x14ac:dyDescent="0.25">
      <c r="A1415" s="213" t="s">
        <v>327</v>
      </c>
      <c r="D1415" s="213" t="s">
        <v>11860</v>
      </c>
      <c r="E1415" s="213" t="s">
        <v>11861</v>
      </c>
      <c r="K1415" s="213" t="s">
        <v>72728</v>
      </c>
      <c r="L1415" s="213" t="s">
        <v>72774</v>
      </c>
      <c r="M1415" s="213" t="s">
        <v>72820</v>
      </c>
      <c r="N1415" s="213" t="s">
        <v>11862</v>
      </c>
      <c r="O1415" s="213" t="s">
        <v>11863</v>
      </c>
      <c r="P1415" s="213" t="s">
        <v>11864</v>
      </c>
      <c r="Q1415" s="213" t="s">
        <v>11865</v>
      </c>
      <c r="R1415" s="213" t="s">
        <v>11866</v>
      </c>
      <c r="S1415" s="213" t="s">
        <v>11867</v>
      </c>
      <c r="T1415" s="213" t="s">
        <v>11868</v>
      </c>
      <c r="U1415" s="213" t="s">
        <v>72866</v>
      </c>
    </row>
    <row r="1416" spans="1:21" x14ac:dyDescent="0.25">
      <c r="A1416" s="213" t="s">
        <v>327</v>
      </c>
      <c r="D1416" s="213" t="s">
        <v>11869</v>
      </c>
      <c r="E1416" s="213" t="s">
        <v>11870</v>
      </c>
      <c r="K1416" s="213" t="s">
        <v>72729</v>
      </c>
      <c r="L1416" s="213" t="s">
        <v>72775</v>
      </c>
      <c r="M1416" s="213" t="s">
        <v>72821</v>
      </c>
      <c r="N1416" s="213" t="s">
        <v>11871</v>
      </c>
      <c r="O1416" s="213" t="s">
        <v>11872</v>
      </c>
      <c r="P1416" s="213" t="s">
        <v>11873</v>
      </c>
      <c r="Q1416" s="213" t="s">
        <v>11874</v>
      </c>
      <c r="R1416" s="213" t="s">
        <v>11875</v>
      </c>
      <c r="S1416" s="213" t="s">
        <v>11876</v>
      </c>
      <c r="T1416" s="213" t="s">
        <v>11877</v>
      </c>
      <c r="U1416" s="213" t="s">
        <v>72867</v>
      </c>
    </row>
    <row r="1417" spans="1:21" x14ac:dyDescent="0.25">
      <c r="A1417" s="213" t="s">
        <v>327</v>
      </c>
      <c r="D1417" s="213" t="s">
        <v>11878</v>
      </c>
      <c r="E1417" s="213" t="s">
        <v>11879</v>
      </c>
      <c r="K1417" s="213" t="s">
        <v>72730</v>
      </c>
      <c r="L1417" s="213" t="s">
        <v>72776</v>
      </c>
      <c r="M1417" s="213" t="s">
        <v>72822</v>
      </c>
      <c r="N1417" s="213" t="s">
        <v>11880</v>
      </c>
      <c r="O1417" s="213" t="s">
        <v>11881</v>
      </c>
      <c r="P1417" s="213" t="s">
        <v>11882</v>
      </c>
      <c r="Q1417" s="213" t="s">
        <v>11883</v>
      </c>
      <c r="R1417" s="213" t="s">
        <v>11884</v>
      </c>
      <c r="S1417" s="213" t="s">
        <v>11885</v>
      </c>
      <c r="T1417" s="213" t="s">
        <v>11886</v>
      </c>
      <c r="U1417" s="213" t="s">
        <v>72868</v>
      </c>
    </row>
    <row r="1418" spans="1:21" x14ac:dyDescent="0.25">
      <c r="A1418" s="213" t="s">
        <v>327</v>
      </c>
      <c r="D1418" s="213" t="s">
        <v>11887</v>
      </c>
      <c r="E1418" s="213" t="s">
        <v>11888</v>
      </c>
      <c r="K1418" s="213" t="s">
        <v>72731</v>
      </c>
      <c r="L1418" s="213" t="s">
        <v>72777</v>
      </c>
      <c r="M1418" s="213" t="s">
        <v>72823</v>
      </c>
      <c r="N1418" s="213" t="s">
        <v>11889</v>
      </c>
      <c r="O1418" s="213" t="s">
        <v>11890</v>
      </c>
      <c r="P1418" s="213" t="s">
        <v>11891</v>
      </c>
      <c r="Q1418" s="213" t="s">
        <v>11892</v>
      </c>
      <c r="R1418" s="213" t="s">
        <v>11893</v>
      </c>
      <c r="S1418" s="213" t="s">
        <v>11894</v>
      </c>
      <c r="T1418" s="213" t="s">
        <v>11895</v>
      </c>
      <c r="U1418" s="213" t="s">
        <v>72869</v>
      </c>
    </row>
    <row r="1419" spans="1:21" x14ac:dyDescent="0.25">
      <c r="A1419" s="213" t="s">
        <v>327</v>
      </c>
    </row>
    <row r="1420" spans="1:21" x14ac:dyDescent="0.25">
      <c r="A1420" s="213" t="s">
        <v>327</v>
      </c>
    </row>
    <row r="1421" spans="1:21" x14ac:dyDescent="0.25">
      <c r="A1421" s="213" t="s">
        <v>327</v>
      </c>
      <c r="C1421" s="213" t="s">
        <v>11896</v>
      </c>
      <c r="E1421" s="213" t="s">
        <v>11897</v>
      </c>
      <c r="H1421" s="213" t="s">
        <v>11898</v>
      </c>
      <c r="I1421" s="213" t="s">
        <v>11899</v>
      </c>
      <c r="J1421" s="213" t="s">
        <v>11900</v>
      </c>
      <c r="L1421" s="213" t="s">
        <v>11901</v>
      </c>
      <c r="O1421" s="213" t="s">
        <v>11902</v>
      </c>
      <c r="P1421" s="213" t="s">
        <v>11903</v>
      </c>
      <c r="Q1421" s="213" t="s">
        <v>11904</v>
      </c>
      <c r="R1421" s="213" t="s">
        <v>11905</v>
      </c>
      <c r="S1421" s="213" t="s">
        <v>11906</v>
      </c>
      <c r="T1421" s="213" t="s">
        <v>11907</v>
      </c>
    </row>
    <row r="1422" spans="1:21" x14ac:dyDescent="0.25">
      <c r="A1422" s="213" t="s">
        <v>327</v>
      </c>
      <c r="C1422" s="213" t="s">
        <v>11908</v>
      </c>
      <c r="E1422" s="213" t="s">
        <v>11909</v>
      </c>
      <c r="I1422" s="213" t="s">
        <v>11910</v>
      </c>
    </row>
    <row r="1423" spans="1:21" x14ac:dyDescent="0.25">
      <c r="A1423" s="213" t="s">
        <v>327</v>
      </c>
      <c r="C1423" s="213" t="s">
        <v>11911</v>
      </c>
      <c r="E1423" s="213" t="s">
        <v>11912</v>
      </c>
      <c r="I1423" s="213" t="s">
        <v>11913</v>
      </c>
    </row>
    <row r="1424" spans="1:21" x14ac:dyDescent="0.25">
      <c r="A1424" s="213" t="s">
        <v>328</v>
      </c>
    </row>
    <row r="1425" spans="1:21" x14ac:dyDescent="0.25">
      <c r="A1425" s="213" t="s">
        <v>327</v>
      </c>
      <c r="D1425" s="213" t="s">
        <v>11914</v>
      </c>
      <c r="E1425" s="213" t="s">
        <v>11915</v>
      </c>
      <c r="K1425" s="213" t="s">
        <v>72594</v>
      </c>
      <c r="L1425" s="213" t="s">
        <v>72617</v>
      </c>
      <c r="M1425" s="213" t="s">
        <v>72640</v>
      </c>
      <c r="N1425" s="213" t="s">
        <v>11916</v>
      </c>
      <c r="O1425" s="213" t="s">
        <v>11917</v>
      </c>
      <c r="P1425" s="213" t="s">
        <v>11918</v>
      </c>
      <c r="Q1425" s="213" t="s">
        <v>11919</v>
      </c>
      <c r="R1425" s="213" t="s">
        <v>11920</v>
      </c>
      <c r="S1425" s="213" t="s">
        <v>11921</v>
      </c>
      <c r="T1425" s="213" t="s">
        <v>11922</v>
      </c>
      <c r="U1425" s="213" t="s">
        <v>72663</v>
      </c>
    </row>
    <row r="1426" spans="1:21" x14ac:dyDescent="0.25">
      <c r="A1426" s="213" t="s">
        <v>327</v>
      </c>
      <c r="D1426" s="213" t="s">
        <v>11923</v>
      </c>
      <c r="E1426" s="213" t="s">
        <v>11924</v>
      </c>
      <c r="K1426" s="213" t="s">
        <v>72595</v>
      </c>
      <c r="L1426" s="213" t="s">
        <v>72618</v>
      </c>
      <c r="M1426" s="213" t="s">
        <v>72641</v>
      </c>
      <c r="N1426" s="213" t="s">
        <v>11925</v>
      </c>
      <c r="O1426" s="213" t="s">
        <v>11926</v>
      </c>
      <c r="P1426" s="213" t="s">
        <v>11927</v>
      </c>
      <c r="Q1426" s="213" t="s">
        <v>11928</v>
      </c>
      <c r="R1426" s="213" t="s">
        <v>11929</v>
      </c>
      <c r="S1426" s="213" t="s">
        <v>11930</v>
      </c>
      <c r="T1426" s="213" t="s">
        <v>11931</v>
      </c>
      <c r="U1426" s="213" t="s">
        <v>72664</v>
      </c>
    </row>
    <row r="1427" spans="1:21" x14ac:dyDescent="0.25">
      <c r="A1427" s="213" t="s">
        <v>327</v>
      </c>
      <c r="D1427" s="213" t="s">
        <v>11932</v>
      </c>
      <c r="E1427" s="213" t="s">
        <v>11933</v>
      </c>
      <c r="K1427" s="213" t="s">
        <v>72596</v>
      </c>
      <c r="L1427" s="213" t="s">
        <v>72619</v>
      </c>
      <c r="M1427" s="213" t="s">
        <v>72642</v>
      </c>
      <c r="N1427" s="213" t="s">
        <v>11934</v>
      </c>
      <c r="O1427" s="213" t="s">
        <v>11935</v>
      </c>
      <c r="P1427" s="213" t="s">
        <v>11936</v>
      </c>
      <c r="Q1427" s="213" t="s">
        <v>11937</v>
      </c>
      <c r="R1427" s="213" t="s">
        <v>11938</v>
      </c>
      <c r="S1427" s="213" t="s">
        <v>11939</v>
      </c>
      <c r="T1427" s="213" t="s">
        <v>11940</v>
      </c>
      <c r="U1427" s="213" t="s">
        <v>72665</v>
      </c>
    </row>
    <row r="1428" spans="1:21" x14ac:dyDescent="0.25">
      <c r="A1428" s="213" t="s">
        <v>327</v>
      </c>
      <c r="D1428" s="213" t="s">
        <v>11941</v>
      </c>
      <c r="E1428" s="213" t="s">
        <v>11942</v>
      </c>
      <c r="K1428" s="213" t="s">
        <v>72597</v>
      </c>
      <c r="L1428" s="213" t="s">
        <v>72620</v>
      </c>
      <c r="M1428" s="213" t="s">
        <v>72643</v>
      </c>
      <c r="N1428" s="213" t="s">
        <v>11943</v>
      </c>
      <c r="O1428" s="213" t="s">
        <v>11944</v>
      </c>
      <c r="P1428" s="213" t="s">
        <v>11945</v>
      </c>
      <c r="Q1428" s="213" t="s">
        <v>11946</v>
      </c>
      <c r="R1428" s="213" t="s">
        <v>11947</v>
      </c>
      <c r="S1428" s="213" t="s">
        <v>11948</v>
      </c>
      <c r="T1428" s="213" t="s">
        <v>11949</v>
      </c>
      <c r="U1428" s="213" t="s">
        <v>72666</v>
      </c>
    </row>
    <row r="1429" spans="1:21" x14ac:dyDescent="0.25">
      <c r="A1429" s="213" t="s">
        <v>327</v>
      </c>
      <c r="D1429" s="213" t="s">
        <v>11950</v>
      </c>
      <c r="E1429" s="213" t="s">
        <v>11951</v>
      </c>
      <c r="K1429" s="213" t="s">
        <v>72598</v>
      </c>
      <c r="L1429" s="213" t="s">
        <v>72621</v>
      </c>
      <c r="M1429" s="213" t="s">
        <v>72644</v>
      </c>
      <c r="N1429" s="213" t="s">
        <v>11952</v>
      </c>
      <c r="O1429" s="213" t="s">
        <v>11953</v>
      </c>
      <c r="P1429" s="213" t="s">
        <v>11954</v>
      </c>
      <c r="Q1429" s="213" t="s">
        <v>11955</v>
      </c>
      <c r="R1429" s="213" t="s">
        <v>11956</v>
      </c>
      <c r="S1429" s="213" t="s">
        <v>11957</v>
      </c>
      <c r="T1429" s="213" t="s">
        <v>11958</v>
      </c>
      <c r="U1429" s="213" t="s">
        <v>72667</v>
      </c>
    </row>
    <row r="1430" spans="1:21" x14ac:dyDescent="0.25">
      <c r="A1430" s="213" t="s">
        <v>327</v>
      </c>
      <c r="D1430" s="213" t="s">
        <v>11959</v>
      </c>
      <c r="E1430" s="213" t="s">
        <v>11960</v>
      </c>
      <c r="K1430" s="213" t="s">
        <v>72599</v>
      </c>
      <c r="L1430" s="213" t="s">
        <v>72622</v>
      </c>
      <c r="M1430" s="213" t="s">
        <v>72645</v>
      </c>
      <c r="N1430" s="213" t="s">
        <v>11961</v>
      </c>
      <c r="O1430" s="213" t="s">
        <v>11962</v>
      </c>
      <c r="P1430" s="213" t="s">
        <v>11963</v>
      </c>
      <c r="Q1430" s="213" t="s">
        <v>11964</v>
      </c>
      <c r="R1430" s="213" t="s">
        <v>11965</v>
      </c>
      <c r="S1430" s="213" t="s">
        <v>11966</v>
      </c>
      <c r="T1430" s="213" t="s">
        <v>11967</v>
      </c>
      <c r="U1430" s="213" t="s">
        <v>72668</v>
      </c>
    </row>
    <row r="1431" spans="1:21" x14ac:dyDescent="0.25">
      <c r="A1431" s="213" t="s">
        <v>327</v>
      </c>
      <c r="D1431" s="213" t="s">
        <v>11968</v>
      </c>
      <c r="E1431" s="213" t="s">
        <v>11969</v>
      </c>
      <c r="K1431" s="213" t="s">
        <v>72600</v>
      </c>
      <c r="L1431" s="213" t="s">
        <v>72623</v>
      </c>
      <c r="M1431" s="213" t="s">
        <v>72646</v>
      </c>
      <c r="N1431" s="213" t="s">
        <v>11970</v>
      </c>
      <c r="O1431" s="213" t="s">
        <v>11971</v>
      </c>
      <c r="P1431" s="213" t="s">
        <v>11972</v>
      </c>
      <c r="Q1431" s="213" t="s">
        <v>11973</v>
      </c>
      <c r="R1431" s="213" t="s">
        <v>11974</v>
      </c>
      <c r="S1431" s="213" t="s">
        <v>11975</v>
      </c>
      <c r="T1431" s="213" t="s">
        <v>11976</v>
      </c>
      <c r="U1431" s="213" t="s">
        <v>72669</v>
      </c>
    </row>
    <row r="1432" spans="1:21" x14ac:dyDescent="0.25">
      <c r="A1432" s="213" t="s">
        <v>327</v>
      </c>
      <c r="D1432" s="213" t="s">
        <v>11977</v>
      </c>
      <c r="E1432" s="213" t="s">
        <v>11978</v>
      </c>
      <c r="K1432" s="213" t="s">
        <v>72601</v>
      </c>
      <c r="L1432" s="213" t="s">
        <v>72624</v>
      </c>
      <c r="M1432" s="213" t="s">
        <v>72647</v>
      </c>
      <c r="N1432" s="213" t="s">
        <v>11979</v>
      </c>
      <c r="O1432" s="213" t="s">
        <v>11980</v>
      </c>
      <c r="P1432" s="213" t="s">
        <v>11981</v>
      </c>
      <c r="Q1432" s="213" t="s">
        <v>11982</v>
      </c>
      <c r="R1432" s="213" t="s">
        <v>11983</v>
      </c>
      <c r="S1432" s="213" t="s">
        <v>11984</v>
      </c>
      <c r="T1432" s="213" t="s">
        <v>11985</v>
      </c>
      <c r="U1432" s="213" t="s">
        <v>72670</v>
      </c>
    </row>
    <row r="1433" spans="1:21" x14ac:dyDescent="0.25">
      <c r="A1433" s="213" t="s">
        <v>327</v>
      </c>
      <c r="D1433" s="213" t="s">
        <v>11986</v>
      </c>
      <c r="E1433" s="213" t="s">
        <v>11987</v>
      </c>
      <c r="K1433" s="213" t="s">
        <v>72602</v>
      </c>
      <c r="L1433" s="213" t="s">
        <v>72625</v>
      </c>
      <c r="M1433" s="213" t="s">
        <v>72648</v>
      </c>
      <c r="N1433" s="213" t="s">
        <v>11988</v>
      </c>
      <c r="O1433" s="213" t="s">
        <v>11989</v>
      </c>
      <c r="P1433" s="213" t="s">
        <v>11990</v>
      </c>
      <c r="Q1433" s="213" t="s">
        <v>11991</v>
      </c>
      <c r="R1433" s="213" t="s">
        <v>11992</v>
      </c>
      <c r="S1433" s="213" t="s">
        <v>11993</v>
      </c>
      <c r="T1433" s="213" t="s">
        <v>11994</v>
      </c>
      <c r="U1433" s="213" t="s">
        <v>72671</v>
      </c>
    </row>
    <row r="1434" spans="1:21" x14ac:dyDescent="0.25">
      <c r="A1434" s="213" t="s">
        <v>327</v>
      </c>
      <c r="D1434" s="213" t="s">
        <v>11995</v>
      </c>
      <c r="E1434" s="213" t="s">
        <v>11996</v>
      </c>
      <c r="K1434" s="213" t="s">
        <v>72603</v>
      </c>
      <c r="L1434" s="213" t="s">
        <v>72626</v>
      </c>
      <c r="M1434" s="213" t="s">
        <v>72649</v>
      </c>
      <c r="N1434" s="213" t="s">
        <v>11997</v>
      </c>
      <c r="O1434" s="213" t="s">
        <v>11998</v>
      </c>
      <c r="P1434" s="213" t="s">
        <v>11999</v>
      </c>
      <c r="Q1434" s="213" t="s">
        <v>12000</v>
      </c>
      <c r="R1434" s="213" t="s">
        <v>12001</v>
      </c>
      <c r="S1434" s="213" t="s">
        <v>12002</v>
      </c>
      <c r="T1434" s="213" t="s">
        <v>12003</v>
      </c>
      <c r="U1434" s="213" t="s">
        <v>72672</v>
      </c>
    </row>
    <row r="1435" spans="1:21" x14ac:dyDescent="0.25">
      <c r="A1435" s="213" t="s">
        <v>327</v>
      </c>
      <c r="D1435" s="213" t="s">
        <v>12004</v>
      </c>
      <c r="E1435" s="213" t="s">
        <v>12005</v>
      </c>
      <c r="K1435" s="213" t="s">
        <v>72604</v>
      </c>
      <c r="L1435" s="213" t="s">
        <v>72627</v>
      </c>
      <c r="M1435" s="213" t="s">
        <v>72650</v>
      </c>
      <c r="N1435" s="213" t="s">
        <v>12006</v>
      </c>
      <c r="O1435" s="213" t="s">
        <v>12007</v>
      </c>
      <c r="P1435" s="213" t="s">
        <v>12008</v>
      </c>
      <c r="Q1435" s="213" t="s">
        <v>12009</v>
      </c>
      <c r="R1435" s="213" t="s">
        <v>12010</v>
      </c>
      <c r="S1435" s="213" t="s">
        <v>12011</v>
      </c>
      <c r="T1435" s="213" t="s">
        <v>12012</v>
      </c>
      <c r="U1435" s="213" t="s">
        <v>72673</v>
      </c>
    </row>
    <row r="1436" spans="1:21" x14ac:dyDescent="0.25">
      <c r="A1436" s="213" t="s">
        <v>327</v>
      </c>
      <c r="D1436" s="213" t="s">
        <v>12013</v>
      </c>
      <c r="E1436" s="213" t="s">
        <v>12014</v>
      </c>
      <c r="K1436" s="213" t="s">
        <v>72605</v>
      </c>
      <c r="L1436" s="213" t="s">
        <v>72628</v>
      </c>
      <c r="M1436" s="213" t="s">
        <v>72651</v>
      </c>
      <c r="N1436" s="213" t="s">
        <v>12015</v>
      </c>
      <c r="O1436" s="213" t="s">
        <v>12016</v>
      </c>
      <c r="P1436" s="213" t="s">
        <v>12017</v>
      </c>
      <c r="Q1436" s="213" t="s">
        <v>12018</v>
      </c>
      <c r="R1436" s="213" t="s">
        <v>12019</v>
      </c>
      <c r="S1436" s="213" t="s">
        <v>12020</v>
      </c>
      <c r="T1436" s="213" t="s">
        <v>12021</v>
      </c>
      <c r="U1436" s="213" t="s">
        <v>72674</v>
      </c>
    </row>
    <row r="1437" spans="1:21" x14ac:dyDescent="0.25">
      <c r="A1437" s="213" t="s">
        <v>327</v>
      </c>
      <c r="D1437" s="213" t="s">
        <v>12022</v>
      </c>
      <c r="E1437" s="213" t="s">
        <v>12023</v>
      </c>
      <c r="K1437" s="213" t="s">
        <v>72606</v>
      </c>
      <c r="L1437" s="213" t="s">
        <v>72629</v>
      </c>
      <c r="M1437" s="213" t="s">
        <v>72652</v>
      </c>
      <c r="N1437" s="213" t="s">
        <v>12024</v>
      </c>
      <c r="O1437" s="213" t="s">
        <v>12025</v>
      </c>
      <c r="P1437" s="213" t="s">
        <v>12026</v>
      </c>
      <c r="Q1437" s="213" t="s">
        <v>12027</v>
      </c>
      <c r="R1437" s="213" t="s">
        <v>12028</v>
      </c>
      <c r="S1437" s="213" t="s">
        <v>12029</v>
      </c>
      <c r="T1437" s="213" t="s">
        <v>12030</v>
      </c>
      <c r="U1437" s="213" t="s">
        <v>72675</v>
      </c>
    </row>
    <row r="1438" spans="1:21" x14ac:dyDescent="0.25">
      <c r="A1438" s="213" t="s">
        <v>327</v>
      </c>
      <c r="D1438" s="213" t="s">
        <v>12031</v>
      </c>
      <c r="E1438" s="213" t="s">
        <v>12032</v>
      </c>
      <c r="K1438" s="213" t="s">
        <v>72607</v>
      </c>
      <c r="L1438" s="213" t="s">
        <v>72630</v>
      </c>
      <c r="M1438" s="213" t="s">
        <v>72653</v>
      </c>
      <c r="N1438" s="213" t="s">
        <v>12033</v>
      </c>
      <c r="O1438" s="213" t="s">
        <v>12034</v>
      </c>
      <c r="P1438" s="213" t="s">
        <v>12035</v>
      </c>
      <c r="Q1438" s="213" t="s">
        <v>12036</v>
      </c>
      <c r="R1438" s="213" t="s">
        <v>12037</v>
      </c>
      <c r="S1438" s="213" t="s">
        <v>12038</v>
      </c>
      <c r="T1438" s="213" t="s">
        <v>12039</v>
      </c>
      <c r="U1438" s="213" t="s">
        <v>72676</v>
      </c>
    </row>
    <row r="1439" spans="1:21" x14ac:dyDescent="0.25">
      <c r="A1439" s="213" t="s">
        <v>327</v>
      </c>
      <c r="D1439" s="213" t="s">
        <v>12040</v>
      </c>
      <c r="E1439" s="213" t="s">
        <v>12041</v>
      </c>
      <c r="K1439" s="213" t="s">
        <v>72608</v>
      </c>
      <c r="L1439" s="213" t="s">
        <v>72631</v>
      </c>
      <c r="M1439" s="213" t="s">
        <v>72654</v>
      </c>
      <c r="N1439" s="213" t="s">
        <v>12042</v>
      </c>
      <c r="O1439" s="213" t="s">
        <v>12043</v>
      </c>
      <c r="P1439" s="213" t="s">
        <v>12044</v>
      </c>
      <c r="Q1439" s="213" t="s">
        <v>12045</v>
      </c>
      <c r="R1439" s="213" t="s">
        <v>12046</v>
      </c>
      <c r="S1439" s="213" t="s">
        <v>12047</v>
      </c>
      <c r="T1439" s="213" t="s">
        <v>12048</v>
      </c>
      <c r="U1439" s="213" t="s">
        <v>72677</v>
      </c>
    </row>
    <row r="1440" spans="1:21" x14ac:dyDescent="0.25">
      <c r="A1440" s="213" t="s">
        <v>327</v>
      </c>
      <c r="D1440" s="213" t="s">
        <v>12049</v>
      </c>
      <c r="E1440" s="213" t="s">
        <v>12050</v>
      </c>
      <c r="K1440" s="213" t="s">
        <v>72609</v>
      </c>
      <c r="L1440" s="213" t="s">
        <v>72632</v>
      </c>
      <c r="M1440" s="213" t="s">
        <v>72655</v>
      </c>
      <c r="N1440" s="213" t="s">
        <v>12051</v>
      </c>
      <c r="O1440" s="213" t="s">
        <v>12052</v>
      </c>
      <c r="P1440" s="213" t="s">
        <v>12053</v>
      </c>
      <c r="Q1440" s="213" t="s">
        <v>12054</v>
      </c>
      <c r="R1440" s="213" t="s">
        <v>12055</v>
      </c>
      <c r="S1440" s="213" t="s">
        <v>12056</v>
      </c>
      <c r="T1440" s="213" t="s">
        <v>12057</v>
      </c>
      <c r="U1440" s="213" t="s">
        <v>72678</v>
      </c>
    </row>
    <row r="1441" spans="1:21" x14ac:dyDescent="0.25">
      <c r="A1441" s="213" t="s">
        <v>327</v>
      </c>
      <c r="D1441" s="213" t="s">
        <v>12058</v>
      </c>
      <c r="E1441" s="213" t="s">
        <v>12059</v>
      </c>
      <c r="K1441" s="213" t="s">
        <v>72610</v>
      </c>
      <c r="L1441" s="213" t="s">
        <v>72633</v>
      </c>
      <c r="M1441" s="213" t="s">
        <v>72656</v>
      </c>
      <c r="N1441" s="213" t="s">
        <v>12060</v>
      </c>
      <c r="O1441" s="213" t="s">
        <v>12061</v>
      </c>
      <c r="P1441" s="213" t="s">
        <v>12062</v>
      </c>
      <c r="Q1441" s="213" t="s">
        <v>12063</v>
      </c>
      <c r="R1441" s="213" t="s">
        <v>12064</v>
      </c>
      <c r="S1441" s="213" t="s">
        <v>12065</v>
      </c>
      <c r="T1441" s="213" t="s">
        <v>12066</v>
      </c>
      <c r="U1441" s="213" t="s">
        <v>72679</v>
      </c>
    </row>
    <row r="1442" spans="1:21" x14ac:dyDescent="0.25">
      <c r="A1442" s="213" t="s">
        <v>327</v>
      </c>
      <c r="D1442" s="213" t="s">
        <v>12067</v>
      </c>
      <c r="E1442" s="213" t="s">
        <v>12068</v>
      </c>
      <c r="K1442" s="213" t="s">
        <v>72611</v>
      </c>
      <c r="L1442" s="213" t="s">
        <v>72634</v>
      </c>
      <c r="M1442" s="213" t="s">
        <v>72657</v>
      </c>
      <c r="N1442" s="213" t="s">
        <v>12069</v>
      </c>
      <c r="O1442" s="213" t="s">
        <v>12070</v>
      </c>
      <c r="P1442" s="213" t="s">
        <v>12071</v>
      </c>
      <c r="Q1442" s="213" t="s">
        <v>12072</v>
      </c>
      <c r="R1442" s="213" t="s">
        <v>12073</v>
      </c>
      <c r="S1442" s="213" t="s">
        <v>12074</v>
      </c>
      <c r="T1442" s="213" t="s">
        <v>12075</v>
      </c>
      <c r="U1442" s="213" t="s">
        <v>72680</v>
      </c>
    </row>
    <row r="1443" spans="1:21" x14ac:dyDescent="0.25">
      <c r="A1443" s="213" t="s">
        <v>327</v>
      </c>
      <c r="D1443" s="213" t="s">
        <v>12076</v>
      </c>
      <c r="E1443" s="213" t="s">
        <v>12077</v>
      </c>
      <c r="K1443" s="213" t="s">
        <v>72612</v>
      </c>
      <c r="L1443" s="213" t="s">
        <v>72635</v>
      </c>
      <c r="M1443" s="213" t="s">
        <v>72658</v>
      </c>
      <c r="N1443" s="213" t="s">
        <v>12078</v>
      </c>
      <c r="O1443" s="213" t="s">
        <v>12079</v>
      </c>
      <c r="P1443" s="213" t="s">
        <v>12080</v>
      </c>
      <c r="Q1443" s="213" t="s">
        <v>12081</v>
      </c>
      <c r="R1443" s="213" t="s">
        <v>12082</v>
      </c>
      <c r="S1443" s="213" t="s">
        <v>12083</v>
      </c>
      <c r="T1443" s="213" t="s">
        <v>12084</v>
      </c>
      <c r="U1443" s="213" t="s">
        <v>72681</v>
      </c>
    </row>
    <row r="1444" spans="1:21" x14ac:dyDescent="0.25">
      <c r="A1444" s="213" t="s">
        <v>327</v>
      </c>
      <c r="D1444" s="213" t="s">
        <v>12085</v>
      </c>
      <c r="E1444" s="213" t="s">
        <v>12086</v>
      </c>
      <c r="K1444" s="213" t="s">
        <v>72613</v>
      </c>
      <c r="L1444" s="213" t="s">
        <v>72636</v>
      </c>
      <c r="M1444" s="213" t="s">
        <v>72659</v>
      </c>
      <c r="N1444" s="213" t="s">
        <v>12087</v>
      </c>
      <c r="O1444" s="213" t="s">
        <v>12088</v>
      </c>
      <c r="P1444" s="213" t="s">
        <v>12089</v>
      </c>
      <c r="Q1444" s="213" t="s">
        <v>12090</v>
      </c>
      <c r="R1444" s="213" t="s">
        <v>12091</v>
      </c>
      <c r="S1444" s="213" t="s">
        <v>12092</v>
      </c>
      <c r="T1444" s="213" t="s">
        <v>12093</v>
      </c>
      <c r="U1444" s="213" t="s">
        <v>72682</v>
      </c>
    </row>
    <row r="1445" spans="1:21" x14ac:dyDescent="0.25">
      <c r="A1445" s="213" t="s">
        <v>327</v>
      </c>
      <c r="D1445" s="213" t="s">
        <v>12094</v>
      </c>
      <c r="E1445" s="213" t="s">
        <v>12095</v>
      </c>
      <c r="K1445" s="213" t="s">
        <v>72614</v>
      </c>
      <c r="L1445" s="213" t="s">
        <v>72637</v>
      </c>
      <c r="M1445" s="213" t="s">
        <v>72660</v>
      </c>
      <c r="N1445" s="213" t="s">
        <v>12096</v>
      </c>
      <c r="O1445" s="213" t="s">
        <v>12097</v>
      </c>
      <c r="P1445" s="213" t="s">
        <v>12098</v>
      </c>
      <c r="Q1445" s="213" t="s">
        <v>12099</v>
      </c>
      <c r="R1445" s="213" t="s">
        <v>12100</v>
      </c>
      <c r="S1445" s="213" t="s">
        <v>12101</v>
      </c>
      <c r="T1445" s="213" t="s">
        <v>12102</v>
      </c>
      <c r="U1445" s="213" t="s">
        <v>72683</v>
      </c>
    </row>
    <row r="1446" spans="1:21" x14ac:dyDescent="0.25">
      <c r="A1446" s="213" t="s">
        <v>327</v>
      </c>
      <c r="D1446" s="213" t="s">
        <v>12103</v>
      </c>
      <c r="E1446" s="213" t="s">
        <v>12104</v>
      </c>
      <c r="K1446" s="213" t="s">
        <v>72615</v>
      </c>
      <c r="L1446" s="213" t="s">
        <v>72638</v>
      </c>
      <c r="M1446" s="213" t="s">
        <v>72661</v>
      </c>
      <c r="N1446" s="213" t="s">
        <v>12105</v>
      </c>
      <c r="O1446" s="213" t="s">
        <v>12106</v>
      </c>
      <c r="P1446" s="213" t="s">
        <v>12107</v>
      </c>
      <c r="Q1446" s="213" t="s">
        <v>12108</v>
      </c>
      <c r="R1446" s="213" t="s">
        <v>12109</v>
      </c>
      <c r="S1446" s="213" t="s">
        <v>12110</v>
      </c>
      <c r="T1446" s="213" t="s">
        <v>12111</v>
      </c>
      <c r="U1446" s="213" t="s">
        <v>72684</v>
      </c>
    </row>
    <row r="1447" spans="1:21" x14ac:dyDescent="0.25">
      <c r="A1447" s="213" t="s">
        <v>327</v>
      </c>
      <c r="D1447" s="213" t="s">
        <v>12112</v>
      </c>
      <c r="E1447" s="213" t="s">
        <v>12113</v>
      </c>
      <c r="K1447" s="213" t="s">
        <v>72616</v>
      </c>
      <c r="L1447" s="213" t="s">
        <v>72639</v>
      </c>
      <c r="M1447" s="213" t="s">
        <v>72662</v>
      </c>
      <c r="N1447" s="213" t="s">
        <v>12114</v>
      </c>
      <c r="O1447" s="213" t="s">
        <v>12115</v>
      </c>
      <c r="P1447" s="213" t="s">
        <v>12116</v>
      </c>
      <c r="Q1447" s="213" t="s">
        <v>12117</v>
      </c>
      <c r="R1447" s="213" t="s">
        <v>12118</v>
      </c>
      <c r="S1447" s="213" t="s">
        <v>12119</v>
      </c>
      <c r="T1447" s="213" t="s">
        <v>12120</v>
      </c>
      <c r="U1447" s="213" t="s">
        <v>72685</v>
      </c>
    </row>
    <row r="1448" spans="1:21" x14ac:dyDescent="0.25">
      <c r="A1448" s="213" t="s">
        <v>327</v>
      </c>
    </row>
    <row r="1449" spans="1:21" x14ac:dyDescent="0.25">
      <c r="A1449" s="213" t="s">
        <v>327</v>
      </c>
    </row>
    <row r="1450" spans="1:21" x14ac:dyDescent="0.25">
      <c r="A1450" s="213" t="s">
        <v>327</v>
      </c>
      <c r="C1450" s="213" t="s">
        <v>12121</v>
      </c>
      <c r="E1450" s="213" t="s">
        <v>12122</v>
      </c>
      <c r="H1450" s="213" t="s">
        <v>12123</v>
      </c>
      <c r="I1450" s="213" t="s">
        <v>12124</v>
      </c>
      <c r="J1450" s="213" t="s">
        <v>12125</v>
      </c>
      <c r="L1450" s="213" t="s">
        <v>12126</v>
      </c>
      <c r="O1450" s="213" t="s">
        <v>12127</v>
      </c>
      <c r="P1450" s="213" t="s">
        <v>12128</v>
      </c>
      <c r="Q1450" s="213" t="s">
        <v>12129</v>
      </c>
      <c r="R1450" s="213" t="s">
        <v>12130</v>
      </c>
      <c r="S1450" s="213" t="s">
        <v>12131</v>
      </c>
      <c r="T1450" s="213" t="s">
        <v>12132</v>
      </c>
    </row>
    <row r="1451" spans="1:21" x14ac:dyDescent="0.25">
      <c r="A1451" s="213" t="s">
        <v>327</v>
      </c>
      <c r="C1451" s="213" t="s">
        <v>12133</v>
      </c>
      <c r="E1451" s="213" t="s">
        <v>12134</v>
      </c>
      <c r="I1451" s="213" t="s">
        <v>12135</v>
      </c>
    </row>
    <row r="1452" spans="1:21" x14ac:dyDescent="0.25">
      <c r="A1452" s="213" t="s">
        <v>327</v>
      </c>
      <c r="C1452" s="213" t="s">
        <v>12136</v>
      </c>
      <c r="E1452" s="213" t="s">
        <v>12137</v>
      </c>
      <c r="I1452" s="213" t="s">
        <v>12138</v>
      </c>
    </row>
    <row r="1453" spans="1:21" x14ac:dyDescent="0.25">
      <c r="A1453" s="213" t="s">
        <v>328</v>
      </c>
    </row>
    <row r="1454" spans="1:21" x14ac:dyDescent="0.25">
      <c r="A1454" s="213" t="s">
        <v>327</v>
      </c>
      <c r="D1454" s="213" t="s">
        <v>12139</v>
      </c>
      <c r="E1454" s="213" t="s">
        <v>12140</v>
      </c>
      <c r="K1454" s="213" t="s">
        <v>72518</v>
      </c>
      <c r="L1454" s="213" t="s">
        <v>72537</v>
      </c>
      <c r="M1454" s="213" t="s">
        <v>72556</v>
      </c>
      <c r="N1454" s="213" t="s">
        <v>12141</v>
      </c>
      <c r="O1454" s="213" t="s">
        <v>12142</v>
      </c>
      <c r="P1454" s="213" t="s">
        <v>12143</v>
      </c>
      <c r="Q1454" s="213" t="s">
        <v>12144</v>
      </c>
      <c r="R1454" s="213" t="s">
        <v>12145</v>
      </c>
      <c r="S1454" s="213" t="s">
        <v>12146</v>
      </c>
      <c r="T1454" s="213" t="s">
        <v>12147</v>
      </c>
      <c r="U1454" s="213" t="s">
        <v>72575</v>
      </c>
    </row>
    <row r="1455" spans="1:21" x14ac:dyDescent="0.25">
      <c r="A1455" s="213" t="s">
        <v>327</v>
      </c>
      <c r="D1455" s="213" t="s">
        <v>12148</v>
      </c>
      <c r="E1455" s="213" t="s">
        <v>12149</v>
      </c>
      <c r="K1455" s="213" t="s">
        <v>72519</v>
      </c>
      <c r="L1455" s="213" t="s">
        <v>72538</v>
      </c>
      <c r="M1455" s="213" t="s">
        <v>72557</v>
      </c>
      <c r="N1455" s="213" t="s">
        <v>12150</v>
      </c>
      <c r="O1455" s="213" t="s">
        <v>12151</v>
      </c>
      <c r="P1455" s="213" t="s">
        <v>12152</v>
      </c>
      <c r="Q1455" s="213" t="s">
        <v>12153</v>
      </c>
      <c r="R1455" s="213" t="s">
        <v>12154</v>
      </c>
      <c r="S1455" s="213" t="s">
        <v>12155</v>
      </c>
      <c r="T1455" s="213" t="s">
        <v>12156</v>
      </c>
      <c r="U1455" s="213" t="s">
        <v>72576</v>
      </c>
    </row>
    <row r="1456" spans="1:21" x14ac:dyDescent="0.25">
      <c r="A1456" s="213" t="s">
        <v>327</v>
      </c>
      <c r="D1456" s="213" t="s">
        <v>12157</v>
      </c>
      <c r="E1456" s="213" t="s">
        <v>12158</v>
      </c>
      <c r="K1456" s="213" t="s">
        <v>72520</v>
      </c>
      <c r="L1456" s="213" t="s">
        <v>72539</v>
      </c>
      <c r="M1456" s="213" t="s">
        <v>72558</v>
      </c>
      <c r="N1456" s="213" t="s">
        <v>12159</v>
      </c>
      <c r="O1456" s="213" t="s">
        <v>12160</v>
      </c>
      <c r="P1456" s="213" t="s">
        <v>12161</v>
      </c>
      <c r="Q1456" s="213" t="s">
        <v>12162</v>
      </c>
      <c r="R1456" s="213" t="s">
        <v>12163</v>
      </c>
      <c r="S1456" s="213" t="s">
        <v>12164</v>
      </c>
      <c r="T1456" s="213" t="s">
        <v>12165</v>
      </c>
      <c r="U1456" s="213" t="s">
        <v>72577</v>
      </c>
    </row>
    <row r="1457" spans="1:21" x14ac:dyDescent="0.25">
      <c r="A1457" s="213" t="s">
        <v>327</v>
      </c>
      <c r="D1457" s="213" t="s">
        <v>12166</v>
      </c>
      <c r="E1457" s="213" t="s">
        <v>12167</v>
      </c>
      <c r="K1457" s="213" t="s">
        <v>72521</v>
      </c>
      <c r="L1457" s="213" t="s">
        <v>72540</v>
      </c>
      <c r="M1457" s="213" t="s">
        <v>72559</v>
      </c>
      <c r="N1457" s="213" t="s">
        <v>12168</v>
      </c>
      <c r="O1457" s="213" t="s">
        <v>12169</v>
      </c>
      <c r="P1457" s="213" t="s">
        <v>12170</v>
      </c>
      <c r="Q1457" s="213" t="s">
        <v>12171</v>
      </c>
      <c r="R1457" s="213" t="s">
        <v>12172</v>
      </c>
      <c r="S1457" s="213" t="s">
        <v>12173</v>
      </c>
      <c r="T1457" s="213" t="s">
        <v>12174</v>
      </c>
      <c r="U1457" s="213" t="s">
        <v>72578</v>
      </c>
    </row>
    <row r="1458" spans="1:21" x14ac:dyDescent="0.25">
      <c r="A1458" s="213" t="s">
        <v>327</v>
      </c>
      <c r="D1458" s="213" t="s">
        <v>12175</v>
      </c>
      <c r="E1458" s="213" t="s">
        <v>12176</v>
      </c>
      <c r="K1458" s="213" t="s">
        <v>72522</v>
      </c>
      <c r="L1458" s="213" t="s">
        <v>72541</v>
      </c>
      <c r="M1458" s="213" t="s">
        <v>72560</v>
      </c>
      <c r="N1458" s="213" t="s">
        <v>12177</v>
      </c>
      <c r="O1458" s="213" t="s">
        <v>12178</v>
      </c>
      <c r="P1458" s="213" t="s">
        <v>12179</v>
      </c>
      <c r="Q1458" s="213" t="s">
        <v>12180</v>
      </c>
      <c r="R1458" s="213" t="s">
        <v>12181</v>
      </c>
      <c r="S1458" s="213" t="s">
        <v>12182</v>
      </c>
      <c r="T1458" s="213" t="s">
        <v>12183</v>
      </c>
      <c r="U1458" s="213" t="s">
        <v>72579</v>
      </c>
    </row>
    <row r="1459" spans="1:21" x14ac:dyDescent="0.25">
      <c r="A1459" s="213" t="s">
        <v>327</v>
      </c>
      <c r="D1459" s="213" t="s">
        <v>12184</v>
      </c>
      <c r="E1459" s="213" t="s">
        <v>12185</v>
      </c>
      <c r="K1459" s="213" t="s">
        <v>72523</v>
      </c>
      <c r="L1459" s="213" t="s">
        <v>72542</v>
      </c>
      <c r="M1459" s="213" t="s">
        <v>72561</v>
      </c>
      <c r="N1459" s="213" t="s">
        <v>12186</v>
      </c>
      <c r="O1459" s="213" t="s">
        <v>12187</v>
      </c>
      <c r="P1459" s="213" t="s">
        <v>12188</v>
      </c>
      <c r="Q1459" s="213" t="s">
        <v>12189</v>
      </c>
      <c r="R1459" s="213" t="s">
        <v>12190</v>
      </c>
      <c r="S1459" s="213" t="s">
        <v>12191</v>
      </c>
      <c r="T1459" s="213" t="s">
        <v>12192</v>
      </c>
      <c r="U1459" s="213" t="s">
        <v>72580</v>
      </c>
    </row>
    <row r="1460" spans="1:21" x14ac:dyDescent="0.25">
      <c r="A1460" s="213" t="s">
        <v>327</v>
      </c>
      <c r="D1460" s="213" t="s">
        <v>12193</v>
      </c>
      <c r="E1460" s="213" t="s">
        <v>12194</v>
      </c>
      <c r="K1460" s="213" t="s">
        <v>72524</v>
      </c>
      <c r="L1460" s="213" t="s">
        <v>72543</v>
      </c>
      <c r="M1460" s="213" t="s">
        <v>72562</v>
      </c>
      <c r="N1460" s="213" t="s">
        <v>12195</v>
      </c>
      <c r="O1460" s="213" t="s">
        <v>12196</v>
      </c>
      <c r="P1460" s="213" t="s">
        <v>12197</v>
      </c>
      <c r="Q1460" s="213" t="s">
        <v>12198</v>
      </c>
      <c r="R1460" s="213" t="s">
        <v>12199</v>
      </c>
      <c r="S1460" s="213" t="s">
        <v>12200</v>
      </c>
      <c r="T1460" s="213" t="s">
        <v>12201</v>
      </c>
      <c r="U1460" s="213" t="s">
        <v>72581</v>
      </c>
    </row>
    <row r="1461" spans="1:21" x14ac:dyDescent="0.25">
      <c r="A1461" s="213" t="s">
        <v>327</v>
      </c>
      <c r="D1461" s="213" t="s">
        <v>12202</v>
      </c>
      <c r="E1461" s="213" t="s">
        <v>12203</v>
      </c>
      <c r="K1461" s="213" t="s">
        <v>72525</v>
      </c>
      <c r="L1461" s="213" t="s">
        <v>72544</v>
      </c>
      <c r="M1461" s="213" t="s">
        <v>72563</v>
      </c>
      <c r="N1461" s="213" t="s">
        <v>12204</v>
      </c>
      <c r="O1461" s="213" t="s">
        <v>12205</v>
      </c>
      <c r="P1461" s="213" t="s">
        <v>12206</v>
      </c>
      <c r="Q1461" s="213" t="s">
        <v>12207</v>
      </c>
      <c r="R1461" s="213" t="s">
        <v>12208</v>
      </c>
      <c r="S1461" s="213" t="s">
        <v>12209</v>
      </c>
      <c r="T1461" s="213" t="s">
        <v>12210</v>
      </c>
      <c r="U1461" s="213" t="s">
        <v>72582</v>
      </c>
    </row>
    <row r="1462" spans="1:21" x14ac:dyDescent="0.25">
      <c r="A1462" s="213" t="s">
        <v>327</v>
      </c>
      <c r="D1462" s="213" t="s">
        <v>12211</v>
      </c>
      <c r="E1462" s="213" t="s">
        <v>12212</v>
      </c>
      <c r="K1462" s="213" t="s">
        <v>72526</v>
      </c>
      <c r="L1462" s="213" t="s">
        <v>72545</v>
      </c>
      <c r="M1462" s="213" t="s">
        <v>72564</v>
      </c>
      <c r="N1462" s="213" t="s">
        <v>12213</v>
      </c>
      <c r="O1462" s="213" t="s">
        <v>12214</v>
      </c>
      <c r="P1462" s="213" t="s">
        <v>12215</v>
      </c>
      <c r="Q1462" s="213" t="s">
        <v>12216</v>
      </c>
      <c r="R1462" s="213" t="s">
        <v>12217</v>
      </c>
      <c r="S1462" s="213" t="s">
        <v>12218</v>
      </c>
      <c r="T1462" s="213" t="s">
        <v>12219</v>
      </c>
      <c r="U1462" s="213" t="s">
        <v>72583</v>
      </c>
    </row>
    <row r="1463" spans="1:21" x14ac:dyDescent="0.25">
      <c r="A1463" s="213" t="s">
        <v>327</v>
      </c>
      <c r="D1463" s="213" t="s">
        <v>12220</v>
      </c>
      <c r="E1463" s="213" t="s">
        <v>12221</v>
      </c>
      <c r="K1463" s="213" t="s">
        <v>72527</v>
      </c>
      <c r="L1463" s="213" t="s">
        <v>72546</v>
      </c>
      <c r="M1463" s="213" t="s">
        <v>72565</v>
      </c>
      <c r="N1463" s="213" t="s">
        <v>12222</v>
      </c>
      <c r="O1463" s="213" t="s">
        <v>12223</v>
      </c>
      <c r="P1463" s="213" t="s">
        <v>12224</v>
      </c>
      <c r="Q1463" s="213" t="s">
        <v>12225</v>
      </c>
      <c r="R1463" s="213" t="s">
        <v>12226</v>
      </c>
      <c r="S1463" s="213" t="s">
        <v>12227</v>
      </c>
      <c r="T1463" s="213" t="s">
        <v>12228</v>
      </c>
      <c r="U1463" s="213" t="s">
        <v>72584</v>
      </c>
    </row>
    <row r="1464" spans="1:21" x14ac:dyDescent="0.25">
      <c r="A1464" s="213" t="s">
        <v>327</v>
      </c>
      <c r="D1464" s="213" t="s">
        <v>12229</v>
      </c>
      <c r="E1464" s="213" t="s">
        <v>12230</v>
      </c>
      <c r="K1464" s="213" t="s">
        <v>72528</v>
      </c>
      <c r="L1464" s="213" t="s">
        <v>72547</v>
      </c>
      <c r="M1464" s="213" t="s">
        <v>72566</v>
      </c>
      <c r="N1464" s="213" t="s">
        <v>12231</v>
      </c>
      <c r="O1464" s="213" t="s">
        <v>12232</v>
      </c>
      <c r="P1464" s="213" t="s">
        <v>12233</v>
      </c>
      <c r="Q1464" s="213" t="s">
        <v>12234</v>
      </c>
      <c r="R1464" s="213" t="s">
        <v>12235</v>
      </c>
      <c r="S1464" s="213" t="s">
        <v>12236</v>
      </c>
      <c r="T1464" s="213" t="s">
        <v>12237</v>
      </c>
      <c r="U1464" s="213" t="s">
        <v>72585</v>
      </c>
    </row>
    <row r="1465" spans="1:21" x14ac:dyDescent="0.25">
      <c r="A1465" s="213" t="s">
        <v>327</v>
      </c>
      <c r="D1465" s="213" t="s">
        <v>12238</v>
      </c>
      <c r="E1465" s="213" t="s">
        <v>12239</v>
      </c>
      <c r="K1465" s="213" t="s">
        <v>72529</v>
      </c>
      <c r="L1465" s="213" t="s">
        <v>72548</v>
      </c>
      <c r="M1465" s="213" t="s">
        <v>72567</v>
      </c>
      <c r="N1465" s="213" t="s">
        <v>12240</v>
      </c>
      <c r="O1465" s="213" t="s">
        <v>12241</v>
      </c>
      <c r="P1465" s="213" t="s">
        <v>12242</v>
      </c>
      <c r="Q1465" s="213" t="s">
        <v>12243</v>
      </c>
      <c r="R1465" s="213" t="s">
        <v>12244</v>
      </c>
      <c r="S1465" s="213" t="s">
        <v>12245</v>
      </c>
      <c r="T1465" s="213" t="s">
        <v>12246</v>
      </c>
      <c r="U1465" s="213" t="s">
        <v>72586</v>
      </c>
    </row>
    <row r="1466" spans="1:21" x14ac:dyDescent="0.25">
      <c r="A1466" s="213" t="s">
        <v>327</v>
      </c>
      <c r="D1466" s="213" t="s">
        <v>12247</v>
      </c>
      <c r="E1466" s="213" t="s">
        <v>12248</v>
      </c>
      <c r="K1466" s="213" t="s">
        <v>72530</v>
      </c>
      <c r="L1466" s="213" t="s">
        <v>72549</v>
      </c>
      <c r="M1466" s="213" t="s">
        <v>72568</v>
      </c>
      <c r="N1466" s="213" t="s">
        <v>12249</v>
      </c>
      <c r="O1466" s="213" t="s">
        <v>12250</v>
      </c>
      <c r="P1466" s="213" t="s">
        <v>12251</v>
      </c>
      <c r="Q1466" s="213" t="s">
        <v>12252</v>
      </c>
      <c r="R1466" s="213" t="s">
        <v>12253</v>
      </c>
      <c r="S1466" s="213" t="s">
        <v>12254</v>
      </c>
      <c r="T1466" s="213" t="s">
        <v>12255</v>
      </c>
      <c r="U1466" s="213" t="s">
        <v>72587</v>
      </c>
    </row>
    <row r="1467" spans="1:21" x14ac:dyDescent="0.25">
      <c r="A1467" s="213" t="s">
        <v>327</v>
      </c>
      <c r="D1467" s="213" t="s">
        <v>12256</v>
      </c>
      <c r="E1467" s="213" t="s">
        <v>12257</v>
      </c>
      <c r="K1467" s="213" t="s">
        <v>72531</v>
      </c>
      <c r="L1467" s="213" t="s">
        <v>72550</v>
      </c>
      <c r="M1467" s="213" t="s">
        <v>72569</v>
      </c>
      <c r="N1467" s="213" t="s">
        <v>12258</v>
      </c>
      <c r="O1467" s="213" t="s">
        <v>12259</v>
      </c>
      <c r="P1467" s="213" t="s">
        <v>12260</v>
      </c>
      <c r="Q1467" s="213" t="s">
        <v>12261</v>
      </c>
      <c r="R1467" s="213" t="s">
        <v>12262</v>
      </c>
      <c r="S1467" s="213" t="s">
        <v>12263</v>
      </c>
      <c r="T1467" s="213" t="s">
        <v>12264</v>
      </c>
      <c r="U1467" s="213" t="s">
        <v>72588</v>
      </c>
    </row>
    <row r="1468" spans="1:21" x14ac:dyDescent="0.25">
      <c r="A1468" s="213" t="s">
        <v>327</v>
      </c>
      <c r="D1468" s="213" t="s">
        <v>12265</v>
      </c>
      <c r="E1468" s="213" t="s">
        <v>12266</v>
      </c>
      <c r="K1468" s="213" t="s">
        <v>72532</v>
      </c>
      <c r="L1468" s="213" t="s">
        <v>72551</v>
      </c>
      <c r="M1468" s="213" t="s">
        <v>72570</v>
      </c>
      <c r="N1468" s="213" t="s">
        <v>12267</v>
      </c>
      <c r="O1468" s="213" t="s">
        <v>12268</v>
      </c>
      <c r="P1468" s="213" t="s">
        <v>12269</v>
      </c>
      <c r="Q1468" s="213" t="s">
        <v>12270</v>
      </c>
      <c r="R1468" s="213" t="s">
        <v>12271</v>
      </c>
      <c r="S1468" s="213" t="s">
        <v>12272</v>
      </c>
      <c r="T1468" s="213" t="s">
        <v>12273</v>
      </c>
      <c r="U1468" s="213" t="s">
        <v>72589</v>
      </c>
    </row>
    <row r="1469" spans="1:21" x14ac:dyDescent="0.25">
      <c r="A1469" s="213" t="s">
        <v>327</v>
      </c>
      <c r="D1469" s="213" t="s">
        <v>12274</v>
      </c>
      <c r="E1469" s="213" t="s">
        <v>12275</v>
      </c>
      <c r="K1469" s="213" t="s">
        <v>72533</v>
      </c>
      <c r="L1469" s="213" t="s">
        <v>72552</v>
      </c>
      <c r="M1469" s="213" t="s">
        <v>72571</v>
      </c>
      <c r="N1469" s="213" t="s">
        <v>12276</v>
      </c>
      <c r="O1469" s="213" t="s">
        <v>12277</v>
      </c>
      <c r="P1469" s="213" t="s">
        <v>12278</v>
      </c>
      <c r="Q1469" s="213" t="s">
        <v>12279</v>
      </c>
      <c r="R1469" s="213" t="s">
        <v>12280</v>
      </c>
      <c r="S1469" s="213" t="s">
        <v>12281</v>
      </c>
      <c r="T1469" s="213" t="s">
        <v>12282</v>
      </c>
      <c r="U1469" s="213" t="s">
        <v>72590</v>
      </c>
    </row>
    <row r="1470" spans="1:21" x14ac:dyDescent="0.25">
      <c r="A1470" s="213" t="s">
        <v>327</v>
      </c>
      <c r="D1470" s="213" t="s">
        <v>12283</v>
      </c>
      <c r="E1470" s="213" t="s">
        <v>12284</v>
      </c>
      <c r="K1470" s="213" t="s">
        <v>72534</v>
      </c>
      <c r="L1470" s="213" t="s">
        <v>72553</v>
      </c>
      <c r="M1470" s="213" t="s">
        <v>72572</v>
      </c>
      <c r="N1470" s="213" t="s">
        <v>12285</v>
      </c>
      <c r="O1470" s="213" t="s">
        <v>12286</v>
      </c>
      <c r="P1470" s="213" t="s">
        <v>12287</v>
      </c>
      <c r="Q1470" s="213" t="s">
        <v>12288</v>
      </c>
      <c r="R1470" s="213" t="s">
        <v>12289</v>
      </c>
      <c r="S1470" s="213" t="s">
        <v>12290</v>
      </c>
      <c r="T1470" s="213" t="s">
        <v>12291</v>
      </c>
      <c r="U1470" s="213" t="s">
        <v>72591</v>
      </c>
    </row>
    <row r="1471" spans="1:21" x14ac:dyDescent="0.25">
      <c r="A1471" s="213" t="s">
        <v>327</v>
      </c>
      <c r="D1471" s="213" t="s">
        <v>12292</v>
      </c>
      <c r="E1471" s="213" t="s">
        <v>12293</v>
      </c>
      <c r="K1471" s="213" t="s">
        <v>72535</v>
      </c>
      <c r="L1471" s="213" t="s">
        <v>72554</v>
      </c>
      <c r="M1471" s="213" t="s">
        <v>72573</v>
      </c>
      <c r="N1471" s="213" t="s">
        <v>12294</v>
      </c>
      <c r="O1471" s="213" t="s">
        <v>12295</v>
      </c>
      <c r="P1471" s="213" t="s">
        <v>12296</v>
      </c>
      <c r="Q1471" s="213" t="s">
        <v>12297</v>
      </c>
      <c r="R1471" s="213" t="s">
        <v>12298</v>
      </c>
      <c r="S1471" s="213" t="s">
        <v>12299</v>
      </c>
      <c r="T1471" s="213" t="s">
        <v>12300</v>
      </c>
      <c r="U1471" s="213" t="s">
        <v>72592</v>
      </c>
    </row>
    <row r="1472" spans="1:21" x14ac:dyDescent="0.25">
      <c r="A1472" s="213" t="s">
        <v>327</v>
      </c>
      <c r="D1472" s="213" t="s">
        <v>12301</v>
      </c>
      <c r="E1472" s="213" t="s">
        <v>12302</v>
      </c>
      <c r="K1472" s="213" t="s">
        <v>72536</v>
      </c>
      <c r="L1472" s="213" t="s">
        <v>72555</v>
      </c>
      <c r="M1472" s="213" t="s">
        <v>72574</v>
      </c>
      <c r="N1472" s="213" t="s">
        <v>12303</v>
      </c>
      <c r="O1472" s="213" t="s">
        <v>12304</v>
      </c>
      <c r="P1472" s="213" t="s">
        <v>12305</v>
      </c>
      <c r="Q1472" s="213" t="s">
        <v>12306</v>
      </c>
      <c r="R1472" s="213" t="s">
        <v>12307</v>
      </c>
      <c r="S1472" s="213" t="s">
        <v>12308</v>
      </c>
      <c r="T1472" s="213" t="s">
        <v>12309</v>
      </c>
      <c r="U1472" s="213" t="s">
        <v>72593</v>
      </c>
    </row>
    <row r="1473" spans="1:21" x14ac:dyDescent="0.25">
      <c r="A1473" s="213" t="s">
        <v>327</v>
      </c>
    </row>
    <row r="1474" spans="1:21" x14ac:dyDescent="0.25">
      <c r="A1474" s="213" t="s">
        <v>327</v>
      </c>
    </row>
    <row r="1475" spans="1:21" x14ac:dyDescent="0.25">
      <c r="A1475" s="213" t="s">
        <v>327</v>
      </c>
      <c r="C1475" s="213" t="s">
        <v>12310</v>
      </c>
      <c r="E1475" s="213" t="s">
        <v>12311</v>
      </c>
      <c r="H1475" s="213" t="s">
        <v>12312</v>
      </c>
      <c r="I1475" s="213" t="s">
        <v>12313</v>
      </c>
      <c r="J1475" s="213" t="s">
        <v>12314</v>
      </c>
      <c r="L1475" s="213" t="s">
        <v>12315</v>
      </c>
      <c r="O1475" s="213" t="s">
        <v>12316</v>
      </c>
      <c r="P1475" s="213" t="s">
        <v>12317</v>
      </c>
      <c r="Q1475" s="213" t="s">
        <v>12318</v>
      </c>
      <c r="R1475" s="213" t="s">
        <v>12319</v>
      </c>
      <c r="S1475" s="213" t="s">
        <v>12320</v>
      </c>
      <c r="T1475" s="213" t="s">
        <v>12321</v>
      </c>
    </row>
    <row r="1476" spans="1:21" x14ac:dyDescent="0.25">
      <c r="A1476" s="213" t="s">
        <v>327</v>
      </c>
      <c r="C1476" s="213" t="s">
        <v>12322</v>
      </c>
      <c r="E1476" s="213" t="s">
        <v>12323</v>
      </c>
      <c r="I1476" s="213" t="s">
        <v>12324</v>
      </c>
    </row>
    <row r="1477" spans="1:21" x14ac:dyDescent="0.25">
      <c r="A1477" s="213" t="s">
        <v>327</v>
      </c>
      <c r="C1477" s="213" t="s">
        <v>12325</v>
      </c>
      <c r="E1477" s="213" t="s">
        <v>12326</v>
      </c>
      <c r="I1477" s="213" t="s">
        <v>12327</v>
      </c>
    </row>
    <row r="1478" spans="1:21" x14ac:dyDescent="0.25">
      <c r="A1478" s="213" t="s">
        <v>328</v>
      </c>
    </row>
    <row r="1479" spans="1:21" x14ac:dyDescent="0.25">
      <c r="A1479" s="213" t="s">
        <v>327</v>
      </c>
      <c r="D1479" s="213" t="s">
        <v>12328</v>
      </c>
      <c r="E1479" s="213" t="s">
        <v>12329</v>
      </c>
      <c r="K1479" s="213" t="s">
        <v>72262</v>
      </c>
      <c r="L1479" s="213" t="s">
        <v>72326</v>
      </c>
      <c r="M1479" s="213" t="s">
        <v>72390</v>
      </c>
      <c r="N1479" s="213" t="s">
        <v>12330</v>
      </c>
      <c r="O1479" s="213" t="s">
        <v>12331</v>
      </c>
      <c r="P1479" s="213" t="s">
        <v>12332</v>
      </c>
      <c r="Q1479" s="213" t="s">
        <v>12333</v>
      </c>
      <c r="R1479" s="213" t="s">
        <v>12334</v>
      </c>
      <c r="S1479" s="213" t="s">
        <v>12335</v>
      </c>
      <c r="T1479" s="213" t="s">
        <v>12336</v>
      </c>
      <c r="U1479" s="213" t="s">
        <v>72454</v>
      </c>
    </row>
    <row r="1480" spans="1:21" x14ac:dyDescent="0.25">
      <c r="A1480" s="213" t="s">
        <v>327</v>
      </c>
      <c r="D1480" s="213" t="s">
        <v>12337</v>
      </c>
      <c r="E1480" s="213" t="s">
        <v>12338</v>
      </c>
      <c r="K1480" s="213" t="s">
        <v>72263</v>
      </c>
      <c r="L1480" s="213" t="s">
        <v>72327</v>
      </c>
      <c r="M1480" s="213" t="s">
        <v>72391</v>
      </c>
      <c r="N1480" s="213" t="s">
        <v>12339</v>
      </c>
      <c r="O1480" s="213" t="s">
        <v>12340</v>
      </c>
      <c r="P1480" s="213" t="s">
        <v>12341</v>
      </c>
      <c r="Q1480" s="213" t="s">
        <v>12342</v>
      </c>
      <c r="R1480" s="213" t="s">
        <v>12343</v>
      </c>
      <c r="S1480" s="213" t="s">
        <v>12344</v>
      </c>
      <c r="T1480" s="213" t="s">
        <v>12345</v>
      </c>
      <c r="U1480" s="213" t="s">
        <v>72455</v>
      </c>
    </row>
    <row r="1481" spans="1:21" x14ac:dyDescent="0.25">
      <c r="A1481" s="213" t="s">
        <v>327</v>
      </c>
      <c r="D1481" s="213" t="s">
        <v>12346</v>
      </c>
      <c r="E1481" s="213" t="s">
        <v>12347</v>
      </c>
      <c r="K1481" s="213" t="s">
        <v>72264</v>
      </c>
      <c r="L1481" s="213" t="s">
        <v>72328</v>
      </c>
      <c r="M1481" s="213" t="s">
        <v>72392</v>
      </c>
      <c r="N1481" s="213" t="s">
        <v>12348</v>
      </c>
      <c r="O1481" s="213" t="s">
        <v>12349</v>
      </c>
      <c r="P1481" s="213" t="s">
        <v>12350</v>
      </c>
      <c r="Q1481" s="213" t="s">
        <v>12351</v>
      </c>
      <c r="R1481" s="213" t="s">
        <v>12352</v>
      </c>
      <c r="S1481" s="213" t="s">
        <v>12353</v>
      </c>
      <c r="T1481" s="213" t="s">
        <v>12354</v>
      </c>
      <c r="U1481" s="213" t="s">
        <v>72456</v>
      </c>
    </row>
    <row r="1482" spans="1:21" x14ac:dyDescent="0.25">
      <c r="A1482" s="213" t="s">
        <v>327</v>
      </c>
      <c r="D1482" s="213" t="s">
        <v>12355</v>
      </c>
      <c r="E1482" s="213" t="s">
        <v>12356</v>
      </c>
      <c r="K1482" s="213" t="s">
        <v>72265</v>
      </c>
      <c r="L1482" s="213" t="s">
        <v>72329</v>
      </c>
      <c r="M1482" s="213" t="s">
        <v>72393</v>
      </c>
      <c r="N1482" s="213" t="s">
        <v>12357</v>
      </c>
      <c r="O1482" s="213" t="s">
        <v>12358</v>
      </c>
      <c r="P1482" s="213" t="s">
        <v>12359</v>
      </c>
      <c r="Q1482" s="213" t="s">
        <v>12360</v>
      </c>
      <c r="R1482" s="213" t="s">
        <v>12361</v>
      </c>
      <c r="S1482" s="213" t="s">
        <v>12362</v>
      </c>
      <c r="T1482" s="213" t="s">
        <v>12363</v>
      </c>
      <c r="U1482" s="213" t="s">
        <v>72457</v>
      </c>
    </row>
    <row r="1483" spans="1:21" x14ac:dyDescent="0.25">
      <c r="A1483" s="213" t="s">
        <v>327</v>
      </c>
      <c r="D1483" s="213" t="s">
        <v>350</v>
      </c>
      <c r="E1483" s="213" t="s">
        <v>12364</v>
      </c>
      <c r="K1483" s="213" t="s">
        <v>72266</v>
      </c>
      <c r="L1483" s="213" t="s">
        <v>72330</v>
      </c>
      <c r="M1483" s="213" t="s">
        <v>72394</v>
      </c>
      <c r="N1483" s="213" t="s">
        <v>12365</v>
      </c>
      <c r="O1483" s="213" t="s">
        <v>12366</v>
      </c>
      <c r="P1483" s="213" t="s">
        <v>12367</v>
      </c>
      <c r="Q1483" s="213" t="s">
        <v>12368</v>
      </c>
      <c r="R1483" s="213" t="s">
        <v>12369</v>
      </c>
      <c r="S1483" s="213" t="s">
        <v>12370</v>
      </c>
      <c r="T1483" s="213" t="s">
        <v>12371</v>
      </c>
      <c r="U1483" s="213" t="s">
        <v>72458</v>
      </c>
    </row>
    <row r="1484" spans="1:21" x14ac:dyDescent="0.25">
      <c r="A1484" s="213" t="s">
        <v>327</v>
      </c>
      <c r="D1484" s="213" t="s">
        <v>12372</v>
      </c>
      <c r="E1484" s="213" t="s">
        <v>12373</v>
      </c>
      <c r="K1484" s="213" t="s">
        <v>72267</v>
      </c>
      <c r="L1484" s="213" t="s">
        <v>72331</v>
      </c>
      <c r="M1484" s="213" t="s">
        <v>72395</v>
      </c>
      <c r="N1484" s="213" t="s">
        <v>12374</v>
      </c>
      <c r="O1484" s="213" t="s">
        <v>12375</v>
      </c>
      <c r="P1484" s="213" t="s">
        <v>12376</v>
      </c>
      <c r="Q1484" s="213" t="s">
        <v>12377</v>
      </c>
      <c r="R1484" s="213" t="s">
        <v>12378</v>
      </c>
      <c r="S1484" s="213" t="s">
        <v>12379</v>
      </c>
      <c r="T1484" s="213" t="s">
        <v>12380</v>
      </c>
      <c r="U1484" s="213" t="s">
        <v>72459</v>
      </c>
    </row>
    <row r="1485" spans="1:21" x14ac:dyDescent="0.25">
      <c r="A1485" s="213" t="s">
        <v>327</v>
      </c>
      <c r="D1485" s="213" t="s">
        <v>12381</v>
      </c>
      <c r="E1485" s="213" t="s">
        <v>12382</v>
      </c>
      <c r="K1485" s="213" t="s">
        <v>72268</v>
      </c>
      <c r="L1485" s="213" t="s">
        <v>72332</v>
      </c>
      <c r="M1485" s="213" t="s">
        <v>72396</v>
      </c>
      <c r="N1485" s="213" t="s">
        <v>12383</v>
      </c>
      <c r="O1485" s="213" t="s">
        <v>12384</v>
      </c>
      <c r="P1485" s="213" t="s">
        <v>12385</v>
      </c>
      <c r="Q1485" s="213" t="s">
        <v>12386</v>
      </c>
      <c r="R1485" s="213" t="s">
        <v>12387</v>
      </c>
      <c r="S1485" s="213" t="s">
        <v>12388</v>
      </c>
      <c r="T1485" s="213" t="s">
        <v>12389</v>
      </c>
      <c r="U1485" s="213" t="s">
        <v>72460</v>
      </c>
    </row>
    <row r="1486" spans="1:21" x14ac:dyDescent="0.25">
      <c r="A1486" s="213" t="s">
        <v>327</v>
      </c>
      <c r="D1486" s="213" t="s">
        <v>12390</v>
      </c>
      <c r="E1486" s="213" t="s">
        <v>12391</v>
      </c>
      <c r="K1486" s="213" t="s">
        <v>72269</v>
      </c>
      <c r="L1486" s="213" t="s">
        <v>72333</v>
      </c>
      <c r="M1486" s="213" t="s">
        <v>72397</v>
      </c>
      <c r="N1486" s="213" t="s">
        <v>12392</v>
      </c>
      <c r="O1486" s="213" t="s">
        <v>12393</v>
      </c>
      <c r="P1486" s="213" t="s">
        <v>12394</v>
      </c>
      <c r="Q1486" s="213" t="s">
        <v>12395</v>
      </c>
      <c r="R1486" s="213" t="s">
        <v>12396</v>
      </c>
      <c r="S1486" s="213" t="s">
        <v>12397</v>
      </c>
      <c r="T1486" s="213" t="s">
        <v>12398</v>
      </c>
      <c r="U1486" s="213" t="s">
        <v>72461</v>
      </c>
    </row>
    <row r="1487" spans="1:21" x14ac:dyDescent="0.25">
      <c r="A1487" s="213" t="s">
        <v>327</v>
      </c>
      <c r="D1487" s="213" t="s">
        <v>12399</v>
      </c>
      <c r="E1487" s="213" t="s">
        <v>12400</v>
      </c>
      <c r="K1487" s="213" t="s">
        <v>72270</v>
      </c>
      <c r="L1487" s="213" t="s">
        <v>72334</v>
      </c>
      <c r="M1487" s="213" t="s">
        <v>72398</v>
      </c>
      <c r="N1487" s="213" t="s">
        <v>12401</v>
      </c>
      <c r="O1487" s="213" t="s">
        <v>12402</v>
      </c>
      <c r="P1487" s="213" t="s">
        <v>12403</v>
      </c>
      <c r="Q1487" s="213" t="s">
        <v>12404</v>
      </c>
      <c r="R1487" s="213" t="s">
        <v>12405</v>
      </c>
      <c r="S1487" s="213" t="s">
        <v>12406</v>
      </c>
      <c r="T1487" s="213" t="s">
        <v>12407</v>
      </c>
      <c r="U1487" s="213" t="s">
        <v>72462</v>
      </c>
    </row>
    <row r="1488" spans="1:21" x14ac:dyDescent="0.25">
      <c r="A1488" s="213" t="s">
        <v>327</v>
      </c>
      <c r="D1488" s="213" t="s">
        <v>12408</v>
      </c>
      <c r="E1488" s="213" t="s">
        <v>12409</v>
      </c>
      <c r="K1488" s="213" t="s">
        <v>72271</v>
      </c>
      <c r="L1488" s="213" t="s">
        <v>72335</v>
      </c>
      <c r="M1488" s="213" t="s">
        <v>72399</v>
      </c>
      <c r="N1488" s="213" t="s">
        <v>12410</v>
      </c>
      <c r="O1488" s="213" t="s">
        <v>12411</v>
      </c>
      <c r="P1488" s="213" t="s">
        <v>12412</v>
      </c>
      <c r="Q1488" s="213" t="s">
        <v>12413</v>
      </c>
      <c r="R1488" s="213" t="s">
        <v>12414</v>
      </c>
      <c r="S1488" s="213" t="s">
        <v>12415</v>
      </c>
      <c r="T1488" s="213" t="s">
        <v>12416</v>
      </c>
      <c r="U1488" s="213" t="s">
        <v>72463</v>
      </c>
    </row>
    <row r="1489" spans="1:21" x14ac:dyDescent="0.25">
      <c r="A1489" s="213" t="s">
        <v>327</v>
      </c>
      <c r="D1489" s="213" t="s">
        <v>12417</v>
      </c>
      <c r="E1489" s="213" t="s">
        <v>12418</v>
      </c>
      <c r="K1489" s="213" t="s">
        <v>72272</v>
      </c>
      <c r="L1489" s="213" t="s">
        <v>72336</v>
      </c>
      <c r="M1489" s="213" t="s">
        <v>72400</v>
      </c>
      <c r="N1489" s="213" t="s">
        <v>12419</v>
      </c>
      <c r="O1489" s="213" t="s">
        <v>12420</v>
      </c>
      <c r="P1489" s="213" t="s">
        <v>12421</v>
      </c>
      <c r="Q1489" s="213" t="s">
        <v>12422</v>
      </c>
      <c r="R1489" s="213" t="s">
        <v>12423</v>
      </c>
      <c r="S1489" s="213" t="s">
        <v>12424</v>
      </c>
      <c r="T1489" s="213" t="s">
        <v>12425</v>
      </c>
      <c r="U1489" s="213" t="s">
        <v>72464</v>
      </c>
    </row>
    <row r="1490" spans="1:21" x14ac:dyDescent="0.25">
      <c r="A1490" s="213" t="s">
        <v>327</v>
      </c>
      <c r="D1490" s="213" t="s">
        <v>12426</v>
      </c>
      <c r="E1490" s="213" t="s">
        <v>12427</v>
      </c>
      <c r="K1490" s="213" t="s">
        <v>72273</v>
      </c>
      <c r="L1490" s="213" t="s">
        <v>72337</v>
      </c>
      <c r="M1490" s="213" t="s">
        <v>72401</v>
      </c>
      <c r="N1490" s="213" t="s">
        <v>12428</v>
      </c>
      <c r="O1490" s="213" t="s">
        <v>12429</v>
      </c>
      <c r="P1490" s="213" t="s">
        <v>12430</v>
      </c>
      <c r="Q1490" s="213" t="s">
        <v>12431</v>
      </c>
      <c r="R1490" s="213" t="s">
        <v>12432</v>
      </c>
      <c r="S1490" s="213" t="s">
        <v>12433</v>
      </c>
      <c r="T1490" s="213" t="s">
        <v>12434</v>
      </c>
      <c r="U1490" s="213" t="s">
        <v>72465</v>
      </c>
    </row>
    <row r="1491" spans="1:21" x14ac:dyDescent="0.25">
      <c r="A1491" s="213" t="s">
        <v>327</v>
      </c>
      <c r="D1491" s="213" t="s">
        <v>12435</v>
      </c>
      <c r="E1491" s="213" t="s">
        <v>12436</v>
      </c>
      <c r="K1491" s="213" t="s">
        <v>72274</v>
      </c>
      <c r="L1491" s="213" t="s">
        <v>72338</v>
      </c>
      <c r="M1491" s="213" t="s">
        <v>72402</v>
      </c>
      <c r="N1491" s="213" t="s">
        <v>12437</v>
      </c>
      <c r="O1491" s="213" t="s">
        <v>12438</v>
      </c>
      <c r="P1491" s="213" t="s">
        <v>12439</v>
      </c>
      <c r="Q1491" s="213" t="s">
        <v>12440</v>
      </c>
      <c r="R1491" s="213" t="s">
        <v>12441</v>
      </c>
      <c r="S1491" s="213" t="s">
        <v>12442</v>
      </c>
      <c r="T1491" s="213" t="s">
        <v>12443</v>
      </c>
      <c r="U1491" s="213" t="s">
        <v>72466</v>
      </c>
    </row>
    <row r="1492" spans="1:21" x14ac:dyDescent="0.25">
      <c r="A1492" s="213" t="s">
        <v>327</v>
      </c>
      <c r="D1492" s="213" t="s">
        <v>12444</v>
      </c>
      <c r="E1492" s="213" t="s">
        <v>12445</v>
      </c>
      <c r="K1492" s="213" t="s">
        <v>72275</v>
      </c>
      <c r="L1492" s="213" t="s">
        <v>72339</v>
      </c>
      <c r="M1492" s="213" t="s">
        <v>72403</v>
      </c>
      <c r="N1492" s="213" t="s">
        <v>12446</v>
      </c>
      <c r="O1492" s="213" t="s">
        <v>12447</v>
      </c>
      <c r="P1492" s="213" t="s">
        <v>12448</v>
      </c>
      <c r="Q1492" s="213" t="s">
        <v>12449</v>
      </c>
      <c r="R1492" s="213" t="s">
        <v>12450</v>
      </c>
      <c r="S1492" s="213" t="s">
        <v>12451</v>
      </c>
      <c r="T1492" s="213" t="s">
        <v>12452</v>
      </c>
      <c r="U1492" s="213" t="s">
        <v>72467</v>
      </c>
    </row>
    <row r="1493" spans="1:21" x14ac:dyDescent="0.25">
      <c r="A1493" s="213" t="s">
        <v>327</v>
      </c>
      <c r="D1493" s="213" t="s">
        <v>12453</v>
      </c>
      <c r="E1493" s="213" t="s">
        <v>12454</v>
      </c>
      <c r="K1493" s="213" t="s">
        <v>72276</v>
      </c>
      <c r="L1493" s="213" t="s">
        <v>72340</v>
      </c>
      <c r="M1493" s="213" t="s">
        <v>72404</v>
      </c>
      <c r="N1493" s="213" t="s">
        <v>12455</v>
      </c>
      <c r="O1493" s="213" t="s">
        <v>12456</v>
      </c>
      <c r="P1493" s="213" t="s">
        <v>12457</v>
      </c>
      <c r="Q1493" s="213" t="s">
        <v>12458</v>
      </c>
      <c r="R1493" s="213" t="s">
        <v>12459</v>
      </c>
      <c r="S1493" s="213" t="s">
        <v>12460</v>
      </c>
      <c r="T1493" s="213" t="s">
        <v>12461</v>
      </c>
      <c r="U1493" s="213" t="s">
        <v>72468</v>
      </c>
    </row>
    <row r="1494" spans="1:21" x14ac:dyDescent="0.25">
      <c r="A1494" s="213" t="s">
        <v>327</v>
      </c>
      <c r="D1494" s="213" t="s">
        <v>12462</v>
      </c>
      <c r="E1494" s="213" t="s">
        <v>12463</v>
      </c>
      <c r="K1494" s="213" t="s">
        <v>72277</v>
      </c>
      <c r="L1494" s="213" t="s">
        <v>72341</v>
      </c>
      <c r="M1494" s="213" t="s">
        <v>72405</v>
      </c>
      <c r="N1494" s="213" t="s">
        <v>12464</v>
      </c>
      <c r="O1494" s="213" t="s">
        <v>12465</v>
      </c>
      <c r="P1494" s="213" t="s">
        <v>12466</v>
      </c>
      <c r="Q1494" s="213" t="s">
        <v>12467</v>
      </c>
      <c r="R1494" s="213" t="s">
        <v>12468</v>
      </c>
      <c r="S1494" s="213" t="s">
        <v>12469</v>
      </c>
      <c r="T1494" s="213" t="s">
        <v>12470</v>
      </c>
      <c r="U1494" s="213" t="s">
        <v>72469</v>
      </c>
    </row>
    <row r="1495" spans="1:21" x14ac:dyDescent="0.25">
      <c r="A1495" s="213" t="s">
        <v>327</v>
      </c>
      <c r="D1495" s="213" t="s">
        <v>12471</v>
      </c>
      <c r="E1495" s="213" t="s">
        <v>12472</v>
      </c>
      <c r="K1495" s="213" t="s">
        <v>72278</v>
      </c>
      <c r="L1495" s="213" t="s">
        <v>72342</v>
      </c>
      <c r="M1495" s="213" t="s">
        <v>72406</v>
      </c>
      <c r="N1495" s="213" t="s">
        <v>12473</v>
      </c>
      <c r="O1495" s="213" t="s">
        <v>12474</v>
      </c>
      <c r="P1495" s="213" t="s">
        <v>12475</v>
      </c>
      <c r="Q1495" s="213" t="s">
        <v>12476</v>
      </c>
      <c r="R1495" s="213" t="s">
        <v>12477</v>
      </c>
      <c r="S1495" s="213" t="s">
        <v>12478</v>
      </c>
      <c r="T1495" s="213" t="s">
        <v>12479</v>
      </c>
      <c r="U1495" s="213" t="s">
        <v>72470</v>
      </c>
    </row>
    <row r="1496" spans="1:21" x14ac:dyDescent="0.25">
      <c r="A1496" s="213" t="s">
        <v>327</v>
      </c>
      <c r="D1496" s="213" t="s">
        <v>12480</v>
      </c>
      <c r="E1496" s="213" t="s">
        <v>12481</v>
      </c>
      <c r="K1496" s="213" t="s">
        <v>72279</v>
      </c>
      <c r="L1496" s="213" t="s">
        <v>72343</v>
      </c>
      <c r="M1496" s="213" t="s">
        <v>72407</v>
      </c>
      <c r="N1496" s="213" t="s">
        <v>12482</v>
      </c>
      <c r="O1496" s="213" t="s">
        <v>12483</v>
      </c>
      <c r="P1496" s="213" t="s">
        <v>12484</v>
      </c>
      <c r="Q1496" s="213" t="s">
        <v>12485</v>
      </c>
      <c r="R1496" s="213" t="s">
        <v>12486</v>
      </c>
      <c r="S1496" s="213" t="s">
        <v>12487</v>
      </c>
      <c r="T1496" s="213" t="s">
        <v>12488</v>
      </c>
      <c r="U1496" s="213" t="s">
        <v>72471</v>
      </c>
    </row>
    <row r="1497" spans="1:21" x14ac:dyDescent="0.25">
      <c r="A1497" s="213" t="s">
        <v>327</v>
      </c>
      <c r="D1497" s="213" t="s">
        <v>12489</v>
      </c>
      <c r="E1497" s="213" t="s">
        <v>12490</v>
      </c>
      <c r="K1497" s="213" t="s">
        <v>72280</v>
      </c>
      <c r="L1497" s="213" t="s">
        <v>72344</v>
      </c>
      <c r="M1497" s="213" t="s">
        <v>72408</v>
      </c>
      <c r="N1497" s="213" t="s">
        <v>12491</v>
      </c>
      <c r="O1497" s="213" t="s">
        <v>12492</v>
      </c>
      <c r="P1497" s="213" t="s">
        <v>12493</v>
      </c>
      <c r="Q1497" s="213" t="s">
        <v>12494</v>
      </c>
      <c r="R1497" s="213" t="s">
        <v>12495</v>
      </c>
      <c r="S1497" s="213" t="s">
        <v>12496</v>
      </c>
      <c r="T1497" s="213" t="s">
        <v>12497</v>
      </c>
      <c r="U1497" s="213" t="s">
        <v>72472</v>
      </c>
    </row>
    <row r="1498" spans="1:21" x14ac:dyDescent="0.25">
      <c r="A1498" s="213" t="s">
        <v>327</v>
      </c>
      <c r="D1498" s="213" t="s">
        <v>12498</v>
      </c>
      <c r="E1498" s="213" t="s">
        <v>12499</v>
      </c>
      <c r="K1498" s="213" t="s">
        <v>72281</v>
      </c>
      <c r="L1498" s="213" t="s">
        <v>72345</v>
      </c>
      <c r="M1498" s="213" t="s">
        <v>72409</v>
      </c>
      <c r="N1498" s="213" t="s">
        <v>12500</v>
      </c>
      <c r="O1498" s="213" t="s">
        <v>12501</v>
      </c>
      <c r="P1498" s="213" t="s">
        <v>12502</v>
      </c>
      <c r="Q1498" s="213" t="s">
        <v>12503</v>
      </c>
      <c r="R1498" s="213" t="s">
        <v>12504</v>
      </c>
      <c r="S1498" s="213" t="s">
        <v>12505</v>
      </c>
      <c r="T1498" s="213" t="s">
        <v>12506</v>
      </c>
      <c r="U1498" s="213" t="s">
        <v>72473</v>
      </c>
    </row>
    <row r="1499" spans="1:21" x14ac:dyDescent="0.25">
      <c r="A1499" s="213" t="s">
        <v>327</v>
      </c>
      <c r="D1499" s="213" t="s">
        <v>12507</v>
      </c>
      <c r="E1499" s="213" t="s">
        <v>12508</v>
      </c>
      <c r="K1499" s="213" t="s">
        <v>72282</v>
      </c>
      <c r="L1499" s="213" t="s">
        <v>72346</v>
      </c>
      <c r="M1499" s="213" t="s">
        <v>72410</v>
      </c>
      <c r="N1499" s="213" t="s">
        <v>12509</v>
      </c>
      <c r="O1499" s="213" t="s">
        <v>12510</v>
      </c>
      <c r="P1499" s="213" t="s">
        <v>12511</v>
      </c>
      <c r="Q1499" s="213" t="s">
        <v>12512</v>
      </c>
      <c r="R1499" s="213" t="s">
        <v>12513</v>
      </c>
      <c r="S1499" s="213" t="s">
        <v>12514</v>
      </c>
      <c r="T1499" s="213" t="s">
        <v>12515</v>
      </c>
      <c r="U1499" s="213" t="s">
        <v>72474</v>
      </c>
    </row>
    <row r="1500" spans="1:21" x14ac:dyDescent="0.25">
      <c r="A1500" s="213" t="s">
        <v>327</v>
      </c>
      <c r="D1500" s="213" t="s">
        <v>12516</v>
      </c>
      <c r="E1500" s="213" t="s">
        <v>12517</v>
      </c>
      <c r="K1500" s="213" t="s">
        <v>72283</v>
      </c>
      <c r="L1500" s="213" t="s">
        <v>72347</v>
      </c>
      <c r="M1500" s="213" t="s">
        <v>72411</v>
      </c>
      <c r="N1500" s="213" t="s">
        <v>12518</v>
      </c>
      <c r="O1500" s="213" t="s">
        <v>12519</v>
      </c>
      <c r="P1500" s="213" t="s">
        <v>12520</v>
      </c>
      <c r="Q1500" s="213" t="s">
        <v>12521</v>
      </c>
      <c r="R1500" s="213" t="s">
        <v>12522</v>
      </c>
      <c r="S1500" s="213" t="s">
        <v>12523</v>
      </c>
      <c r="T1500" s="213" t="s">
        <v>12524</v>
      </c>
      <c r="U1500" s="213" t="s">
        <v>72475</v>
      </c>
    </row>
    <row r="1501" spans="1:21" x14ac:dyDescent="0.25">
      <c r="A1501" s="213" t="s">
        <v>327</v>
      </c>
      <c r="D1501" s="213" t="s">
        <v>12525</v>
      </c>
      <c r="E1501" s="213" t="s">
        <v>12526</v>
      </c>
      <c r="K1501" s="213" t="s">
        <v>72284</v>
      </c>
      <c r="L1501" s="213" t="s">
        <v>72348</v>
      </c>
      <c r="M1501" s="213" t="s">
        <v>72412</v>
      </c>
      <c r="N1501" s="213" t="s">
        <v>12527</v>
      </c>
      <c r="O1501" s="213" t="s">
        <v>12528</v>
      </c>
      <c r="P1501" s="213" t="s">
        <v>12529</v>
      </c>
      <c r="Q1501" s="213" t="s">
        <v>12530</v>
      </c>
      <c r="R1501" s="213" t="s">
        <v>12531</v>
      </c>
      <c r="S1501" s="213" t="s">
        <v>12532</v>
      </c>
      <c r="T1501" s="213" t="s">
        <v>12533</v>
      </c>
      <c r="U1501" s="213" t="s">
        <v>72476</v>
      </c>
    </row>
    <row r="1502" spans="1:21" x14ac:dyDescent="0.25">
      <c r="A1502" s="213" t="s">
        <v>327</v>
      </c>
      <c r="D1502" s="213" t="s">
        <v>12534</v>
      </c>
      <c r="E1502" s="213" t="s">
        <v>12535</v>
      </c>
      <c r="K1502" s="213" t="s">
        <v>72285</v>
      </c>
      <c r="L1502" s="213" t="s">
        <v>72349</v>
      </c>
      <c r="M1502" s="213" t="s">
        <v>72413</v>
      </c>
      <c r="N1502" s="213" t="s">
        <v>12536</v>
      </c>
      <c r="O1502" s="213" t="s">
        <v>12537</v>
      </c>
      <c r="P1502" s="213" t="s">
        <v>12538</v>
      </c>
      <c r="Q1502" s="213" t="s">
        <v>12539</v>
      </c>
      <c r="R1502" s="213" t="s">
        <v>12540</v>
      </c>
      <c r="S1502" s="213" t="s">
        <v>12541</v>
      </c>
      <c r="T1502" s="213" t="s">
        <v>12542</v>
      </c>
      <c r="U1502" s="213" t="s">
        <v>72477</v>
      </c>
    </row>
    <row r="1503" spans="1:21" x14ac:dyDescent="0.25">
      <c r="A1503" s="213" t="s">
        <v>327</v>
      </c>
      <c r="D1503" s="213" t="s">
        <v>12543</v>
      </c>
      <c r="E1503" s="213" t="s">
        <v>12544</v>
      </c>
      <c r="K1503" s="213" t="s">
        <v>72286</v>
      </c>
      <c r="L1503" s="213" t="s">
        <v>72350</v>
      </c>
      <c r="M1503" s="213" t="s">
        <v>72414</v>
      </c>
      <c r="N1503" s="213" t="s">
        <v>12545</v>
      </c>
      <c r="O1503" s="213" t="s">
        <v>12546</v>
      </c>
      <c r="P1503" s="213" t="s">
        <v>12547</v>
      </c>
      <c r="Q1503" s="213" t="s">
        <v>12548</v>
      </c>
      <c r="R1503" s="213" t="s">
        <v>12549</v>
      </c>
      <c r="S1503" s="213" t="s">
        <v>12550</v>
      </c>
      <c r="T1503" s="213" t="s">
        <v>12551</v>
      </c>
      <c r="U1503" s="213" t="s">
        <v>72478</v>
      </c>
    </row>
    <row r="1504" spans="1:21" x14ac:dyDescent="0.25">
      <c r="A1504" s="213" t="s">
        <v>327</v>
      </c>
      <c r="D1504" s="213" t="s">
        <v>12552</v>
      </c>
      <c r="E1504" s="213" t="s">
        <v>12553</v>
      </c>
      <c r="K1504" s="213" t="s">
        <v>72287</v>
      </c>
      <c r="L1504" s="213" t="s">
        <v>72351</v>
      </c>
      <c r="M1504" s="213" t="s">
        <v>72415</v>
      </c>
      <c r="N1504" s="213" t="s">
        <v>12554</v>
      </c>
      <c r="O1504" s="213" t="s">
        <v>12555</v>
      </c>
      <c r="P1504" s="213" t="s">
        <v>12556</v>
      </c>
      <c r="Q1504" s="213" t="s">
        <v>12557</v>
      </c>
      <c r="R1504" s="213" t="s">
        <v>12558</v>
      </c>
      <c r="S1504" s="213" t="s">
        <v>12559</v>
      </c>
      <c r="T1504" s="213" t="s">
        <v>12560</v>
      </c>
      <c r="U1504" s="213" t="s">
        <v>72479</v>
      </c>
    </row>
    <row r="1505" spans="1:21" x14ac:dyDescent="0.25">
      <c r="A1505" s="213" t="s">
        <v>327</v>
      </c>
      <c r="D1505" s="213" t="s">
        <v>12561</v>
      </c>
      <c r="E1505" s="213" t="s">
        <v>12562</v>
      </c>
      <c r="K1505" s="213" t="s">
        <v>72288</v>
      </c>
      <c r="L1505" s="213" t="s">
        <v>72352</v>
      </c>
      <c r="M1505" s="213" t="s">
        <v>72416</v>
      </c>
      <c r="N1505" s="213" t="s">
        <v>12563</v>
      </c>
      <c r="O1505" s="213" t="s">
        <v>12564</v>
      </c>
      <c r="P1505" s="213" t="s">
        <v>12565</v>
      </c>
      <c r="Q1505" s="213" t="s">
        <v>12566</v>
      </c>
      <c r="R1505" s="213" t="s">
        <v>12567</v>
      </c>
      <c r="S1505" s="213" t="s">
        <v>12568</v>
      </c>
      <c r="T1505" s="213" t="s">
        <v>12569</v>
      </c>
      <c r="U1505" s="213" t="s">
        <v>72480</v>
      </c>
    </row>
    <row r="1506" spans="1:21" x14ac:dyDescent="0.25">
      <c r="A1506" s="213" t="s">
        <v>327</v>
      </c>
      <c r="D1506" s="213" t="s">
        <v>12570</v>
      </c>
      <c r="E1506" s="213" t="s">
        <v>12571</v>
      </c>
      <c r="K1506" s="213" t="s">
        <v>72289</v>
      </c>
      <c r="L1506" s="213" t="s">
        <v>72353</v>
      </c>
      <c r="M1506" s="213" t="s">
        <v>72417</v>
      </c>
      <c r="N1506" s="213" t="s">
        <v>12572</v>
      </c>
      <c r="O1506" s="213" t="s">
        <v>12573</v>
      </c>
      <c r="P1506" s="213" t="s">
        <v>12574</v>
      </c>
      <c r="Q1506" s="213" t="s">
        <v>12575</v>
      </c>
      <c r="R1506" s="213" t="s">
        <v>12576</v>
      </c>
      <c r="S1506" s="213" t="s">
        <v>12577</v>
      </c>
      <c r="T1506" s="213" t="s">
        <v>12578</v>
      </c>
      <c r="U1506" s="213" t="s">
        <v>72481</v>
      </c>
    </row>
    <row r="1507" spans="1:21" x14ac:dyDescent="0.25">
      <c r="A1507" s="213" t="s">
        <v>327</v>
      </c>
      <c r="D1507" s="213" t="s">
        <v>12579</v>
      </c>
      <c r="E1507" s="213" t="s">
        <v>12580</v>
      </c>
      <c r="K1507" s="213" t="s">
        <v>72290</v>
      </c>
      <c r="L1507" s="213" t="s">
        <v>72354</v>
      </c>
      <c r="M1507" s="213" t="s">
        <v>72418</v>
      </c>
      <c r="N1507" s="213" t="s">
        <v>12581</v>
      </c>
      <c r="O1507" s="213" t="s">
        <v>12582</v>
      </c>
      <c r="P1507" s="213" t="s">
        <v>12583</v>
      </c>
      <c r="Q1507" s="213" t="s">
        <v>12584</v>
      </c>
      <c r="R1507" s="213" t="s">
        <v>12585</v>
      </c>
      <c r="S1507" s="213" t="s">
        <v>12586</v>
      </c>
      <c r="T1507" s="213" t="s">
        <v>12587</v>
      </c>
      <c r="U1507" s="213" t="s">
        <v>72482</v>
      </c>
    </row>
    <row r="1508" spans="1:21" x14ac:dyDescent="0.25">
      <c r="A1508" s="213" t="s">
        <v>327</v>
      </c>
      <c r="D1508" s="213" t="s">
        <v>12588</v>
      </c>
      <c r="E1508" s="213" t="s">
        <v>12589</v>
      </c>
      <c r="K1508" s="213" t="s">
        <v>72291</v>
      </c>
      <c r="L1508" s="213" t="s">
        <v>72355</v>
      </c>
      <c r="M1508" s="213" t="s">
        <v>72419</v>
      </c>
      <c r="N1508" s="213" t="s">
        <v>12590</v>
      </c>
      <c r="O1508" s="213" t="s">
        <v>12591</v>
      </c>
      <c r="P1508" s="213" t="s">
        <v>12592</v>
      </c>
      <c r="Q1508" s="213" t="s">
        <v>12593</v>
      </c>
      <c r="R1508" s="213" t="s">
        <v>12594</v>
      </c>
      <c r="S1508" s="213" t="s">
        <v>12595</v>
      </c>
      <c r="T1508" s="213" t="s">
        <v>12596</v>
      </c>
      <c r="U1508" s="213" t="s">
        <v>72483</v>
      </c>
    </row>
    <row r="1509" spans="1:21" x14ac:dyDescent="0.25">
      <c r="A1509" s="213" t="s">
        <v>327</v>
      </c>
      <c r="D1509" s="213" t="s">
        <v>12597</v>
      </c>
      <c r="E1509" s="213" t="s">
        <v>12598</v>
      </c>
      <c r="K1509" s="213" t="s">
        <v>72292</v>
      </c>
      <c r="L1509" s="213" t="s">
        <v>72356</v>
      </c>
      <c r="M1509" s="213" t="s">
        <v>72420</v>
      </c>
      <c r="N1509" s="213" t="s">
        <v>12599</v>
      </c>
      <c r="O1509" s="213" t="s">
        <v>12600</v>
      </c>
      <c r="P1509" s="213" t="s">
        <v>12601</v>
      </c>
      <c r="Q1509" s="213" t="s">
        <v>12602</v>
      </c>
      <c r="R1509" s="213" t="s">
        <v>12603</v>
      </c>
      <c r="S1509" s="213" t="s">
        <v>12604</v>
      </c>
      <c r="T1509" s="213" t="s">
        <v>12605</v>
      </c>
      <c r="U1509" s="213" t="s">
        <v>72484</v>
      </c>
    </row>
    <row r="1510" spans="1:21" x14ac:dyDescent="0.25">
      <c r="A1510" s="213" t="s">
        <v>327</v>
      </c>
      <c r="D1510" s="213" t="s">
        <v>12606</v>
      </c>
      <c r="E1510" s="213" t="s">
        <v>12607</v>
      </c>
      <c r="K1510" s="213" t="s">
        <v>72293</v>
      </c>
      <c r="L1510" s="213" t="s">
        <v>72357</v>
      </c>
      <c r="M1510" s="213" t="s">
        <v>72421</v>
      </c>
      <c r="N1510" s="213" t="s">
        <v>12608</v>
      </c>
      <c r="O1510" s="213" t="s">
        <v>12609</v>
      </c>
      <c r="P1510" s="213" t="s">
        <v>12610</v>
      </c>
      <c r="Q1510" s="213" t="s">
        <v>12611</v>
      </c>
      <c r="R1510" s="213" t="s">
        <v>12612</v>
      </c>
      <c r="S1510" s="213" t="s">
        <v>12613</v>
      </c>
      <c r="T1510" s="213" t="s">
        <v>12614</v>
      </c>
      <c r="U1510" s="213" t="s">
        <v>72485</v>
      </c>
    </row>
    <row r="1511" spans="1:21" x14ac:dyDescent="0.25">
      <c r="A1511" s="213" t="s">
        <v>327</v>
      </c>
      <c r="D1511" s="213" t="s">
        <v>12615</v>
      </c>
      <c r="E1511" s="213" t="s">
        <v>12616</v>
      </c>
      <c r="K1511" s="213" t="s">
        <v>72294</v>
      </c>
      <c r="L1511" s="213" t="s">
        <v>72358</v>
      </c>
      <c r="M1511" s="213" t="s">
        <v>72422</v>
      </c>
      <c r="N1511" s="213" t="s">
        <v>12617</v>
      </c>
      <c r="O1511" s="213" t="s">
        <v>12618</v>
      </c>
      <c r="P1511" s="213" t="s">
        <v>12619</v>
      </c>
      <c r="Q1511" s="213" t="s">
        <v>12620</v>
      </c>
      <c r="R1511" s="213" t="s">
        <v>12621</v>
      </c>
      <c r="S1511" s="213" t="s">
        <v>12622</v>
      </c>
      <c r="T1511" s="213" t="s">
        <v>12623</v>
      </c>
      <c r="U1511" s="213" t="s">
        <v>72486</v>
      </c>
    </row>
    <row r="1512" spans="1:21" x14ac:dyDescent="0.25">
      <c r="A1512" s="213" t="s">
        <v>327</v>
      </c>
      <c r="D1512" s="213" t="s">
        <v>12624</v>
      </c>
      <c r="E1512" s="213" t="s">
        <v>12625</v>
      </c>
      <c r="K1512" s="213" t="s">
        <v>72295</v>
      </c>
      <c r="L1512" s="213" t="s">
        <v>72359</v>
      </c>
      <c r="M1512" s="213" t="s">
        <v>72423</v>
      </c>
      <c r="N1512" s="213" t="s">
        <v>12626</v>
      </c>
      <c r="O1512" s="213" t="s">
        <v>12627</v>
      </c>
      <c r="P1512" s="213" t="s">
        <v>12628</v>
      </c>
      <c r="Q1512" s="213" t="s">
        <v>12629</v>
      </c>
      <c r="R1512" s="213" t="s">
        <v>12630</v>
      </c>
      <c r="S1512" s="213" t="s">
        <v>12631</v>
      </c>
      <c r="T1512" s="213" t="s">
        <v>12632</v>
      </c>
      <c r="U1512" s="213" t="s">
        <v>72487</v>
      </c>
    </row>
    <row r="1513" spans="1:21" x14ac:dyDescent="0.25">
      <c r="A1513" s="213" t="s">
        <v>327</v>
      </c>
      <c r="D1513" s="213" t="s">
        <v>12633</v>
      </c>
      <c r="E1513" s="213" t="s">
        <v>12634</v>
      </c>
      <c r="K1513" s="213" t="s">
        <v>72296</v>
      </c>
      <c r="L1513" s="213" t="s">
        <v>72360</v>
      </c>
      <c r="M1513" s="213" t="s">
        <v>72424</v>
      </c>
      <c r="N1513" s="213" t="s">
        <v>12635</v>
      </c>
      <c r="O1513" s="213" t="s">
        <v>12636</v>
      </c>
      <c r="P1513" s="213" t="s">
        <v>12637</v>
      </c>
      <c r="Q1513" s="213" t="s">
        <v>12638</v>
      </c>
      <c r="R1513" s="213" t="s">
        <v>12639</v>
      </c>
      <c r="S1513" s="213" t="s">
        <v>12640</v>
      </c>
      <c r="T1513" s="213" t="s">
        <v>12641</v>
      </c>
      <c r="U1513" s="213" t="s">
        <v>72488</v>
      </c>
    </row>
    <row r="1514" spans="1:21" x14ac:dyDescent="0.25">
      <c r="A1514" s="213" t="s">
        <v>327</v>
      </c>
      <c r="D1514" s="213" t="s">
        <v>12642</v>
      </c>
      <c r="E1514" s="213" t="s">
        <v>12643</v>
      </c>
      <c r="K1514" s="213" t="s">
        <v>72297</v>
      </c>
      <c r="L1514" s="213" t="s">
        <v>72361</v>
      </c>
      <c r="M1514" s="213" t="s">
        <v>72425</v>
      </c>
      <c r="N1514" s="213" t="s">
        <v>12644</v>
      </c>
      <c r="O1514" s="213" t="s">
        <v>12645</v>
      </c>
      <c r="P1514" s="213" t="s">
        <v>12646</v>
      </c>
      <c r="Q1514" s="213" t="s">
        <v>12647</v>
      </c>
      <c r="R1514" s="213" t="s">
        <v>12648</v>
      </c>
      <c r="S1514" s="213" t="s">
        <v>12649</v>
      </c>
      <c r="T1514" s="213" t="s">
        <v>12650</v>
      </c>
      <c r="U1514" s="213" t="s">
        <v>72489</v>
      </c>
    </row>
    <row r="1515" spans="1:21" x14ac:dyDescent="0.25">
      <c r="A1515" s="213" t="s">
        <v>327</v>
      </c>
      <c r="D1515" s="213" t="s">
        <v>12651</v>
      </c>
      <c r="E1515" s="213" t="s">
        <v>12652</v>
      </c>
      <c r="K1515" s="213" t="s">
        <v>72298</v>
      </c>
      <c r="L1515" s="213" t="s">
        <v>72362</v>
      </c>
      <c r="M1515" s="213" t="s">
        <v>72426</v>
      </c>
      <c r="N1515" s="213" t="s">
        <v>12653</v>
      </c>
      <c r="O1515" s="213" t="s">
        <v>12654</v>
      </c>
      <c r="P1515" s="213" t="s">
        <v>12655</v>
      </c>
      <c r="Q1515" s="213" t="s">
        <v>12656</v>
      </c>
      <c r="R1515" s="213" t="s">
        <v>12657</v>
      </c>
      <c r="S1515" s="213" t="s">
        <v>12658</v>
      </c>
      <c r="T1515" s="213" t="s">
        <v>12659</v>
      </c>
      <c r="U1515" s="213" t="s">
        <v>72490</v>
      </c>
    </row>
    <row r="1516" spans="1:21" x14ac:dyDescent="0.25">
      <c r="A1516" s="213" t="s">
        <v>327</v>
      </c>
      <c r="D1516" s="213" t="s">
        <v>12660</v>
      </c>
      <c r="E1516" s="213" t="s">
        <v>12661</v>
      </c>
      <c r="K1516" s="213" t="s">
        <v>72299</v>
      </c>
      <c r="L1516" s="213" t="s">
        <v>72363</v>
      </c>
      <c r="M1516" s="213" t="s">
        <v>72427</v>
      </c>
      <c r="N1516" s="213" t="s">
        <v>12662</v>
      </c>
      <c r="O1516" s="213" t="s">
        <v>12663</v>
      </c>
      <c r="P1516" s="213" t="s">
        <v>12664</v>
      </c>
      <c r="Q1516" s="213" t="s">
        <v>12665</v>
      </c>
      <c r="R1516" s="213" t="s">
        <v>12666</v>
      </c>
      <c r="S1516" s="213" t="s">
        <v>12667</v>
      </c>
      <c r="T1516" s="213" t="s">
        <v>12668</v>
      </c>
      <c r="U1516" s="213" t="s">
        <v>72491</v>
      </c>
    </row>
    <row r="1517" spans="1:21" x14ac:dyDescent="0.25">
      <c r="A1517" s="213" t="s">
        <v>327</v>
      </c>
      <c r="D1517" s="213" t="s">
        <v>12669</v>
      </c>
      <c r="E1517" s="213" t="s">
        <v>12670</v>
      </c>
      <c r="K1517" s="213" t="s">
        <v>72300</v>
      </c>
      <c r="L1517" s="213" t="s">
        <v>72364</v>
      </c>
      <c r="M1517" s="213" t="s">
        <v>72428</v>
      </c>
      <c r="N1517" s="213" t="s">
        <v>12671</v>
      </c>
      <c r="O1517" s="213" t="s">
        <v>12672</v>
      </c>
      <c r="P1517" s="213" t="s">
        <v>12673</v>
      </c>
      <c r="Q1517" s="213" t="s">
        <v>12674</v>
      </c>
      <c r="R1517" s="213" t="s">
        <v>12675</v>
      </c>
      <c r="S1517" s="213" t="s">
        <v>12676</v>
      </c>
      <c r="T1517" s="213" t="s">
        <v>12677</v>
      </c>
      <c r="U1517" s="213" t="s">
        <v>72492</v>
      </c>
    </row>
    <row r="1518" spans="1:21" x14ac:dyDescent="0.25">
      <c r="A1518" s="213" t="s">
        <v>327</v>
      </c>
      <c r="D1518" s="213" t="s">
        <v>12678</v>
      </c>
      <c r="E1518" s="213" t="s">
        <v>12679</v>
      </c>
      <c r="K1518" s="213" t="s">
        <v>72301</v>
      </c>
      <c r="L1518" s="213" t="s">
        <v>72365</v>
      </c>
      <c r="M1518" s="213" t="s">
        <v>72429</v>
      </c>
      <c r="N1518" s="213" t="s">
        <v>12680</v>
      </c>
      <c r="O1518" s="213" t="s">
        <v>12681</v>
      </c>
      <c r="P1518" s="213" t="s">
        <v>12682</v>
      </c>
      <c r="Q1518" s="213" t="s">
        <v>12683</v>
      </c>
      <c r="R1518" s="213" t="s">
        <v>12684</v>
      </c>
      <c r="S1518" s="213" t="s">
        <v>12685</v>
      </c>
      <c r="T1518" s="213" t="s">
        <v>12686</v>
      </c>
      <c r="U1518" s="213" t="s">
        <v>72493</v>
      </c>
    </row>
    <row r="1519" spans="1:21" x14ac:dyDescent="0.25">
      <c r="A1519" s="213" t="s">
        <v>327</v>
      </c>
      <c r="D1519" s="213" t="s">
        <v>12687</v>
      </c>
      <c r="E1519" s="213" t="s">
        <v>12688</v>
      </c>
      <c r="K1519" s="213" t="s">
        <v>72302</v>
      </c>
      <c r="L1519" s="213" t="s">
        <v>72366</v>
      </c>
      <c r="M1519" s="213" t="s">
        <v>72430</v>
      </c>
      <c r="N1519" s="213" t="s">
        <v>12689</v>
      </c>
      <c r="O1519" s="213" t="s">
        <v>12690</v>
      </c>
      <c r="P1519" s="213" t="s">
        <v>12691</v>
      </c>
      <c r="Q1519" s="213" t="s">
        <v>12692</v>
      </c>
      <c r="R1519" s="213" t="s">
        <v>12693</v>
      </c>
      <c r="S1519" s="213" t="s">
        <v>12694</v>
      </c>
      <c r="T1519" s="213" t="s">
        <v>12695</v>
      </c>
      <c r="U1519" s="213" t="s">
        <v>72494</v>
      </c>
    </row>
    <row r="1520" spans="1:21" x14ac:dyDescent="0.25">
      <c r="A1520" s="213" t="s">
        <v>327</v>
      </c>
      <c r="D1520" s="213" t="s">
        <v>12696</v>
      </c>
      <c r="E1520" s="213" t="s">
        <v>12697</v>
      </c>
      <c r="K1520" s="213" t="s">
        <v>72303</v>
      </c>
      <c r="L1520" s="213" t="s">
        <v>72367</v>
      </c>
      <c r="M1520" s="213" t="s">
        <v>72431</v>
      </c>
      <c r="N1520" s="213" t="s">
        <v>12698</v>
      </c>
      <c r="O1520" s="213" t="s">
        <v>12699</v>
      </c>
      <c r="P1520" s="213" t="s">
        <v>12700</v>
      </c>
      <c r="Q1520" s="213" t="s">
        <v>12701</v>
      </c>
      <c r="R1520" s="213" t="s">
        <v>12702</v>
      </c>
      <c r="S1520" s="213" t="s">
        <v>12703</v>
      </c>
      <c r="T1520" s="213" t="s">
        <v>12704</v>
      </c>
      <c r="U1520" s="213" t="s">
        <v>72495</v>
      </c>
    </row>
    <row r="1521" spans="1:21" x14ac:dyDescent="0.25">
      <c r="A1521" s="213" t="s">
        <v>327</v>
      </c>
      <c r="D1521" s="213" t="s">
        <v>12705</v>
      </c>
      <c r="E1521" s="213" t="s">
        <v>12706</v>
      </c>
      <c r="K1521" s="213" t="s">
        <v>72304</v>
      </c>
      <c r="L1521" s="213" t="s">
        <v>72368</v>
      </c>
      <c r="M1521" s="213" t="s">
        <v>72432</v>
      </c>
      <c r="N1521" s="213" t="s">
        <v>12707</v>
      </c>
      <c r="O1521" s="213" t="s">
        <v>12708</v>
      </c>
      <c r="P1521" s="213" t="s">
        <v>12709</v>
      </c>
      <c r="Q1521" s="213" t="s">
        <v>12710</v>
      </c>
      <c r="R1521" s="213" t="s">
        <v>12711</v>
      </c>
      <c r="S1521" s="213" t="s">
        <v>12712</v>
      </c>
      <c r="T1521" s="213" t="s">
        <v>12713</v>
      </c>
      <c r="U1521" s="213" t="s">
        <v>72496</v>
      </c>
    </row>
    <row r="1522" spans="1:21" x14ac:dyDescent="0.25">
      <c r="A1522" s="213" t="s">
        <v>327</v>
      </c>
      <c r="D1522" s="213" t="s">
        <v>12714</v>
      </c>
      <c r="E1522" s="213" t="s">
        <v>12715</v>
      </c>
      <c r="K1522" s="213" t="s">
        <v>72305</v>
      </c>
      <c r="L1522" s="213" t="s">
        <v>72369</v>
      </c>
      <c r="M1522" s="213" t="s">
        <v>72433</v>
      </c>
      <c r="N1522" s="213" t="s">
        <v>12716</v>
      </c>
      <c r="O1522" s="213" t="s">
        <v>12717</v>
      </c>
      <c r="P1522" s="213" t="s">
        <v>12718</v>
      </c>
      <c r="Q1522" s="213" t="s">
        <v>12719</v>
      </c>
      <c r="R1522" s="213" t="s">
        <v>12720</v>
      </c>
      <c r="S1522" s="213" t="s">
        <v>12721</v>
      </c>
      <c r="T1522" s="213" t="s">
        <v>12722</v>
      </c>
      <c r="U1522" s="213" t="s">
        <v>72497</v>
      </c>
    </row>
    <row r="1523" spans="1:21" x14ac:dyDescent="0.25">
      <c r="A1523" s="213" t="s">
        <v>327</v>
      </c>
      <c r="D1523" s="213" t="s">
        <v>12723</v>
      </c>
      <c r="E1523" s="213" t="s">
        <v>12724</v>
      </c>
      <c r="K1523" s="213" t="s">
        <v>72306</v>
      </c>
      <c r="L1523" s="213" t="s">
        <v>72370</v>
      </c>
      <c r="M1523" s="213" t="s">
        <v>72434</v>
      </c>
      <c r="N1523" s="213" t="s">
        <v>12725</v>
      </c>
      <c r="O1523" s="213" t="s">
        <v>12726</v>
      </c>
      <c r="P1523" s="213" t="s">
        <v>12727</v>
      </c>
      <c r="Q1523" s="213" t="s">
        <v>12728</v>
      </c>
      <c r="R1523" s="213" t="s">
        <v>12729</v>
      </c>
      <c r="S1523" s="213" t="s">
        <v>12730</v>
      </c>
      <c r="T1523" s="213" t="s">
        <v>12731</v>
      </c>
      <c r="U1523" s="213" t="s">
        <v>72498</v>
      </c>
    </row>
    <row r="1524" spans="1:21" x14ac:dyDescent="0.25">
      <c r="A1524" s="213" t="s">
        <v>327</v>
      </c>
      <c r="D1524" s="213" t="s">
        <v>12732</v>
      </c>
      <c r="E1524" s="213" t="s">
        <v>12733</v>
      </c>
      <c r="K1524" s="213" t="s">
        <v>72307</v>
      </c>
      <c r="L1524" s="213" t="s">
        <v>72371</v>
      </c>
      <c r="M1524" s="213" t="s">
        <v>72435</v>
      </c>
      <c r="N1524" s="213" t="s">
        <v>12734</v>
      </c>
      <c r="O1524" s="213" t="s">
        <v>12735</v>
      </c>
      <c r="P1524" s="213" t="s">
        <v>12736</v>
      </c>
      <c r="Q1524" s="213" t="s">
        <v>12737</v>
      </c>
      <c r="R1524" s="213" t="s">
        <v>12738</v>
      </c>
      <c r="S1524" s="213" t="s">
        <v>12739</v>
      </c>
      <c r="T1524" s="213" t="s">
        <v>12740</v>
      </c>
      <c r="U1524" s="213" t="s">
        <v>72499</v>
      </c>
    </row>
    <row r="1525" spans="1:21" x14ac:dyDescent="0.25">
      <c r="A1525" s="213" t="s">
        <v>327</v>
      </c>
      <c r="D1525" s="213" t="s">
        <v>12741</v>
      </c>
      <c r="E1525" s="213" t="s">
        <v>12742</v>
      </c>
      <c r="K1525" s="213" t="s">
        <v>72308</v>
      </c>
      <c r="L1525" s="213" t="s">
        <v>72372</v>
      </c>
      <c r="M1525" s="213" t="s">
        <v>72436</v>
      </c>
      <c r="N1525" s="213" t="s">
        <v>12743</v>
      </c>
      <c r="O1525" s="213" t="s">
        <v>12744</v>
      </c>
      <c r="P1525" s="213" t="s">
        <v>12745</v>
      </c>
      <c r="Q1525" s="213" t="s">
        <v>12746</v>
      </c>
      <c r="R1525" s="213" t="s">
        <v>12747</v>
      </c>
      <c r="S1525" s="213" t="s">
        <v>12748</v>
      </c>
      <c r="T1525" s="213" t="s">
        <v>12749</v>
      </c>
      <c r="U1525" s="213" t="s">
        <v>72500</v>
      </c>
    </row>
    <row r="1526" spans="1:21" x14ac:dyDescent="0.25">
      <c r="A1526" s="213" t="s">
        <v>327</v>
      </c>
      <c r="D1526" s="213" t="s">
        <v>12750</v>
      </c>
      <c r="E1526" s="213" t="s">
        <v>12751</v>
      </c>
      <c r="K1526" s="213" t="s">
        <v>72309</v>
      </c>
      <c r="L1526" s="213" t="s">
        <v>72373</v>
      </c>
      <c r="M1526" s="213" t="s">
        <v>72437</v>
      </c>
      <c r="N1526" s="213" t="s">
        <v>12752</v>
      </c>
      <c r="O1526" s="213" t="s">
        <v>12753</v>
      </c>
      <c r="P1526" s="213" t="s">
        <v>12754</v>
      </c>
      <c r="Q1526" s="213" t="s">
        <v>12755</v>
      </c>
      <c r="R1526" s="213" t="s">
        <v>12756</v>
      </c>
      <c r="S1526" s="213" t="s">
        <v>12757</v>
      </c>
      <c r="T1526" s="213" t="s">
        <v>12758</v>
      </c>
      <c r="U1526" s="213" t="s">
        <v>72501</v>
      </c>
    </row>
    <row r="1527" spans="1:21" x14ac:dyDescent="0.25">
      <c r="A1527" s="213" t="s">
        <v>327</v>
      </c>
      <c r="D1527" s="213" t="s">
        <v>12759</v>
      </c>
      <c r="E1527" s="213" t="s">
        <v>12760</v>
      </c>
      <c r="K1527" s="213" t="s">
        <v>72310</v>
      </c>
      <c r="L1527" s="213" t="s">
        <v>72374</v>
      </c>
      <c r="M1527" s="213" t="s">
        <v>72438</v>
      </c>
      <c r="N1527" s="213" t="s">
        <v>12761</v>
      </c>
      <c r="O1527" s="213" t="s">
        <v>12762</v>
      </c>
      <c r="P1527" s="213" t="s">
        <v>12763</v>
      </c>
      <c r="Q1527" s="213" t="s">
        <v>12764</v>
      </c>
      <c r="R1527" s="213" t="s">
        <v>12765</v>
      </c>
      <c r="S1527" s="213" t="s">
        <v>12766</v>
      </c>
      <c r="T1527" s="213" t="s">
        <v>12767</v>
      </c>
      <c r="U1527" s="213" t="s">
        <v>72502</v>
      </c>
    </row>
    <row r="1528" spans="1:21" x14ac:dyDescent="0.25">
      <c r="A1528" s="213" t="s">
        <v>327</v>
      </c>
      <c r="D1528" s="213" t="s">
        <v>12768</v>
      </c>
      <c r="E1528" s="213" t="s">
        <v>12769</v>
      </c>
      <c r="K1528" s="213" t="s">
        <v>72311</v>
      </c>
      <c r="L1528" s="213" t="s">
        <v>72375</v>
      </c>
      <c r="M1528" s="213" t="s">
        <v>72439</v>
      </c>
      <c r="N1528" s="213" t="s">
        <v>12770</v>
      </c>
      <c r="O1528" s="213" t="s">
        <v>12771</v>
      </c>
      <c r="P1528" s="213" t="s">
        <v>12772</v>
      </c>
      <c r="Q1528" s="213" t="s">
        <v>12773</v>
      </c>
      <c r="R1528" s="213" t="s">
        <v>12774</v>
      </c>
      <c r="S1528" s="213" t="s">
        <v>12775</v>
      </c>
      <c r="T1528" s="213" t="s">
        <v>12776</v>
      </c>
      <c r="U1528" s="213" t="s">
        <v>72503</v>
      </c>
    </row>
    <row r="1529" spans="1:21" x14ac:dyDescent="0.25">
      <c r="A1529" s="213" t="s">
        <v>327</v>
      </c>
      <c r="D1529" s="213" t="s">
        <v>12777</v>
      </c>
      <c r="E1529" s="213" t="s">
        <v>12778</v>
      </c>
      <c r="K1529" s="213" t="s">
        <v>72312</v>
      </c>
      <c r="L1529" s="213" t="s">
        <v>72376</v>
      </c>
      <c r="M1529" s="213" t="s">
        <v>72440</v>
      </c>
      <c r="N1529" s="213" t="s">
        <v>12779</v>
      </c>
      <c r="O1529" s="213" t="s">
        <v>12780</v>
      </c>
      <c r="P1529" s="213" t="s">
        <v>12781</v>
      </c>
      <c r="Q1529" s="213" t="s">
        <v>12782</v>
      </c>
      <c r="R1529" s="213" t="s">
        <v>12783</v>
      </c>
      <c r="S1529" s="213" t="s">
        <v>12784</v>
      </c>
      <c r="T1529" s="213" t="s">
        <v>12785</v>
      </c>
      <c r="U1529" s="213" t="s">
        <v>72504</v>
      </c>
    </row>
    <row r="1530" spans="1:21" x14ac:dyDescent="0.25">
      <c r="A1530" s="213" t="s">
        <v>327</v>
      </c>
      <c r="D1530" s="213" t="s">
        <v>12786</v>
      </c>
      <c r="E1530" s="213" t="s">
        <v>12787</v>
      </c>
      <c r="K1530" s="213" t="s">
        <v>72313</v>
      </c>
      <c r="L1530" s="213" t="s">
        <v>72377</v>
      </c>
      <c r="M1530" s="213" t="s">
        <v>72441</v>
      </c>
      <c r="N1530" s="213" t="s">
        <v>12788</v>
      </c>
      <c r="O1530" s="213" t="s">
        <v>12789</v>
      </c>
      <c r="P1530" s="213" t="s">
        <v>12790</v>
      </c>
      <c r="Q1530" s="213" t="s">
        <v>12791</v>
      </c>
      <c r="R1530" s="213" t="s">
        <v>12792</v>
      </c>
      <c r="S1530" s="213" t="s">
        <v>12793</v>
      </c>
      <c r="T1530" s="213" t="s">
        <v>12794</v>
      </c>
      <c r="U1530" s="213" t="s">
        <v>72505</v>
      </c>
    </row>
    <row r="1531" spans="1:21" x14ac:dyDescent="0.25">
      <c r="A1531" s="213" t="s">
        <v>327</v>
      </c>
      <c r="D1531" s="213" t="s">
        <v>12795</v>
      </c>
      <c r="E1531" s="213" t="s">
        <v>12796</v>
      </c>
      <c r="K1531" s="213" t="s">
        <v>72314</v>
      </c>
      <c r="L1531" s="213" t="s">
        <v>72378</v>
      </c>
      <c r="M1531" s="213" t="s">
        <v>72442</v>
      </c>
      <c r="N1531" s="213" t="s">
        <v>12797</v>
      </c>
      <c r="O1531" s="213" t="s">
        <v>12798</v>
      </c>
      <c r="P1531" s="213" t="s">
        <v>12799</v>
      </c>
      <c r="Q1531" s="213" t="s">
        <v>12800</v>
      </c>
      <c r="R1531" s="213" t="s">
        <v>12801</v>
      </c>
      <c r="S1531" s="213" t="s">
        <v>12802</v>
      </c>
      <c r="T1531" s="213" t="s">
        <v>12803</v>
      </c>
      <c r="U1531" s="213" t="s">
        <v>72506</v>
      </c>
    </row>
    <row r="1532" spans="1:21" x14ac:dyDescent="0.25">
      <c r="A1532" s="213" t="s">
        <v>327</v>
      </c>
      <c r="D1532" s="213" t="s">
        <v>12804</v>
      </c>
      <c r="E1532" s="213" t="s">
        <v>12805</v>
      </c>
      <c r="K1532" s="213" t="s">
        <v>72315</v>
      </c>
      <c r="L1532" s="213" t="s">
        <v>72379</v>
      </c>
      <c r="M1532" s="213" t="s">
        <v>72443</v>
      </c>
      <c r="N1532" s="213" t="s">
        <v>12806</v>
      </c>
      <c r="O1532" s="213" t="s">
        <v>12807</v>
      </c>
      <c r="P1532" s="213" t="s">
        <v>12808</v>
      </c>
      <c r="Q1532" s="213" t="s">
        <v>12809</v>
      </c>
      <c r="R1532" s="213" t="s">
        <v>12810</v>
      </c>
      <c r="S1532" s="213" t="s">
        <v>12811</v>
      </c>
      <c r="T1532" s="213" t="s">
        <v>12812</v>
      </c>
      <c r="U1532" s="213" t="s">
        <v>72507</v>
      </c>
    </row>
    <row r="1533" spans="1:21" x14ac:dyDescent="0.25">
      <c r="A1533" s="213" t="s">
        <v>327</v>
      </c>
      <c r="D1533" s="213" t="s">
        <v>12813</v>
      </c>
      <c r="E1533" s="213" t="s">
        <v>12814</v>
      </c>
      <c r="K1533" s="213" t="s">
        <v>72316</v>
      </c>
      <c r="L1533" s="213" t="s">
        <v>72380</v>
      </c>
      <c r="M1533" s="213" t="s">
        <v>72444</v>
      </c>
      <c r="N1533" s="213" t="s">
        <v>12815</v>
      </c>
      <c r="O1533" s="213" t="s">
        <v>12816</v>
      </c>
      <c r="P1533" s="213" t="s">
        <v>12817</v>
      </c>
      <c r="Q1533" s="213" t="s">
        <v>12818</v>
      </c>
      <c r="R1533" s="213" t="s">
        <v>12819</v>
      </c>
      <c r="S1533" s="213" t="s">
        <v>12820</v>
      </c>
      <c r="T1533" s="213" t="s">
        <v>12821</v>
      </c>
      <c r="U1533" s="213" t="s">
        <v>72508</v>
      </c>
    </row>
    <row r="1534" spans="1:21" x14ac:dyDescent="0.25">
      <c r="A1534" s="213" t="s">
        <v>327</v>
      </c>
      <c r="D1534" s="213" t="s">
        <v>12822</v>
      </c>
      <c r="E1534" s="213" t="s">
        <v>12823</v>
      </c>
      <c r="K1534" s="213" t="s">
        <v>72317</v>
      </c>
      <c r="L1534" s="213" t="s">
        <v>72381</v>
      </c>
      <c r="M1534" s="213" t="s">
        <v>72445</v>
      </c>
      <c r="N1534" s="213" t="s">
        <v>12824</v>
      </c>
      <c r="O1534" s="213" t="s">
        <v>12825</v>
      </c>
      <c r="P1534" s="213" t="s">
        <v>12826</v>
      </c>
      <c r="Q1534" s="213" t="s">
        <v>12827</v>
      </c>
      <c r="R1534" s="213" t="s">
        <v>12828</v>
      </c>
      <c r="S1534" s="213" t="s">
        <v>12829</v>
      </c>
      <c r="T1534" s="213" t="s">
        <v>12830</v>
      </c>
      <c r="U1534" s="213" t="s">
        <v>72509</v>
      </c>
    </row>
    <row r="1535" spans="1:21" x14ac:dyDescent="0.25">
      <c r="A1535" s="213" t="s">
        <v>327</v>
      </c>
      <c r="D1535" s="213" t="s">
        <v>12831</v>
      </c>
      <c r="E1535" s="213" t="s">
        <v>12832</v>
      </c>
      <c r="K1535" s="213" t="s">
        <v>72318</v>
      </c>
      <c r="L1535" s="213" t="s">
        <v>72382</v>
      </c>
      <c r="M1535" s="213" t="s">
        <v>72446</v>
      </c>
      <c r="N1535" s="213" t="s">
        <v>12833</v>
      </c>
      <c r="O1535" s="213" t="s">
        <v>12834</v>
      </c>
      <c r="P1535" s="213" t="s">
        <v>12835</v>
      </c>
      <c r="Q1535" s="213" t="s">
        <v>12836</v>
      </c>
      <c r="R1535" s="213" t="s">
        <v>12837</v>
      </c>
      <c r="S1535" s="213" t="s">
        <v>12838</v>
      </c>
      <c r="T1535" s="213" t="s">
        <v>12839</v>
      </c>
      <c r="U1535" s="213" t="s">
        <v>72510</v>
      </c>
    </row>
    <row r="1536" spans="1:21" x14ac:dyDescent="0.25">
      <c r="A1536" s="213" t="s">
        <v>327</v>
      </c>
      <c r="D1536" s="213" t="s">
        <v>12840</v>
      </c>
      <c r="E1536" s="213" t="s">
        <v>12841</v>
      </c>
      <c r="K1536" s="213" t="s">
        <v>72319</v>
      </c>
      <c r="L1536" s="213" t="s">
        <v>72383</v>
      </c>
      <c r="M1536" s="213" t="s">
        <v>72447</v>
      </c>
      <c r="N1536" s="213" t="s">
        <v>12842</v>
      </c>
      <c r="O1536" s="213" t="s">
        <v>12843</v>
      </c>
      <c r="P1536" s="213" t="s">
        <v>12844</v>
      </c>
      <c r="Q1536" s="213" t="s">
        <v>12845</v>
      </c>
      <c r="R1536" s="213" t="s">
        <v>12846</v>
      </c>
      <c r="S1536" s="213" t="s">
        <v>12847</v>
      </c>
      <c r="T1536" s="213" t="s">
        <v>12848</v>
      </c>
      <c r="U1536" s="213" t="s">
        <v>72511</v>
      </c>
    </row>
    <row r="1537" spans="1:21" x14ac:dyDescent="0.25">
      <c r="A1537" s="213" t="s">
        <v>327</v>
      </c>
      <c r="D1537" s="213" t="s">
        <v>12849</v>
      </c>
      <c r="E1537" s="213" t="s">
        <v>12850</v>
      </c>
      <c r="K1537" s="213" t="s">
        <v>72320</v>
      </c>
      <c r="L1537" s="213" t="s">
        <v>72384</v>
      </c>
      <c r="M1537" s="213" t="s">
        <v>72448</v>
      </c>
      <c r="N1537" s="213" t="s">
        <v>12851</v>
      </c>
      <c r="O1537" s="213" t="s">
        <v>12852</v>
      </c>
      <c r="P1537" s="213" t="s">
        <v>12853</v>
      </c>
      <c r="Q1537" s="213" t="s">
        <v>12854</v>
      </c>
      <c r="R1537" s="213" t="s">
        <v>12855</v>
      </c>
      <c r="S1537" s="213" t="s">
        <v>12856</v>
      </c>
      <c r="T1537" s="213" t="s">
        <v>12857</v>
      </c>
      <c r="U1537" s="213" t="s">
        <v>72512</v>
      </c>
    </row>
    <row r="1538" spans="1:21" x14ac:dyDescent="0.25">
      <c r="A1538" s="213" t="s">
        <v>327</v>
      </c>
      <c r="D1538" s="213" t="s">
        <v>12858</v>
      </c>
      <c r="E1538" s="213" t="s">
        <v>12859</v>
      </c>
      <c r="K1538" s="213" t="s">
        <v>72321</v>
      </c>
      <c r="L1538" s="213" t="s">
        <v>72385</v>
      </c>
      <c r="M1538" s="213" t="s">
        <v>72449</v>
      </c>
      <c r="N1538" s="213" t="s">
        <v>12860</v>
      </c>
      <c r="O1538" s="213" t="s">
        <v>12861</v>
      </c>
      <c r="P1538" s="213" t="s">
        <v>12862</v>
      </c>
      <c r="Q1538" s="213" t="s">
        <v>12863</v>
      </c>
      <c r="R1538" s="213" t="s">
        <v>12864</v>
      </c>
      <c r="S1538" s="213" t="s">
        <v>12865</v>
      </c>
      <c r="T1538" s="213" t="s">
        <v>12866</v>
      </c>
      <c r="U1538" s="213" t="s">
        <v>72513</v>
      </c>
    </row>
    <row r="1539" spans="1:21" x14ac:dyDescent="0.25">
      <c r="A1539" s="213" t="s">
        <v>327</v>
      </c>
      <c r="D1539" s="213" t="s">
        <v>12867</v>
      </c>
      <c r="E1539" s="213" t="s">
        <v>12868</v>
      </c>
      <c r="K1539" s="213" t="s">
        <v>72322</v>
      </c>
      <c r="L1539" s="213" t="s">
        <v>72386</v>
      </c>
      <c r="M1539" s="213" t="s">
        <v>72450</v>
      </c>
      <c r="N1539" s="213" t="s">
        <v>12869</v>
      </c>
      <c r="O1539" s="213" t="s">
        <v>12870</v>
      </c>
      <c r="P1539" s="213" t="s">
        <v>12871</v>
      </c>
      <c r="Q1539" s="213" t="s">
        <v>12872</v>
      </c>
      <c r="R1539" s="213" t="s">
        <v>12873</v>
      </c>
      <c r="S1539" s="213" t="s">
        <v>12874</v>
      </c>
      <c r="T1539" s="213" t="s">
        <v>12875</v>
      </c>
      <c r="U1539" s="213" t="s">
        <v>72514</v>
      </c>
    </row>
    <row r="1540" spans="1:21" x14ac:dyDescent="0.25">
      <c r="A1540" s="213" t="s">
        <v>327</v>
      </c>
      <c r="D1540" s="213" t="s">
        <v>12876</v>
      </c>
      <c r="E1540" s="213" t="s">
        <v>12877</v>
      </c>
      <c r="K1540" s="213" t="s">
        <v>72323</v>
      </c>
      <c r="L1540" s="213" t="s">
        <v>72387</v>
      </c>
      <c r="M1540" s="213" t="s">
        <v>72451</v>
      </c>
      <c r="N1540" s="213" t="s">
        <v>12878</v>
      </c>
      <c r="O1540" s="213" t="s">
        <v>12879</v>
      </c>
      <c r="P1540" s="213" t="s">
        <v>12880</v>
      </c>
      <c r="Q1540" s="213" t="s">
        <v>12881</v>
      </c>
      <c r="R1540" s="213" t="s">
        <v>12882</v>
      </c>
      <c r="S1540" s="213" t="s">
        <v>12883</v>
      </c>
      <c r="T1540" s="213" t="s">
        <v>12884</v>
      </c>
      <c r="U1540" s="213" t="s">
        <v>72515</v>
      </c>
    </row>
    <row r="1541" spans="1:21" x14ac:dyDescent="0.25">
      <c r="A1541" s="213" t="s">
        <v>327</v>
      </c>
      <c r="D1541" s="213" t="s">
        <v>12885</v>
      </c>
      <c r="E1541" s="213" t="s">
        <v>12886</v>
      </c>
      <c r="K1541" s="213" t="s">
        <v>72324</v>
      </c>
      <c r="L1541" s="213" t="s">
        <v>72388</v>
      </c>
      <c r="M1541" s="213" t="s">
        <v>72452</v>
      </c>
      <c r="N1541" s="213" t="s">
        <v>12887</v>
      </c>
      <c r="O1541" s="213" t="s">
        <v>12888</v>
      </c>
      <c r="P1541" s="213" t="s">
        <v>12889</v>
      </c>
      <c r="Q1541" s="213" t="s">
        <v>12890</v>
      </c>
      <c r="R1541" s="213" t="s">
        <v>12891</v>
      </c>
      <c r="S1541" s="213" t="s">
        <v>12892</v>
      </c>
      <c r="T1541" s="213" t="s">
        <v>12893</v>
      </c>
      <c r="U1541" s="213" t="s">
        <v>72516</v>
      </c>
    </row>
    <row r="1542" spans="1:21" x14ac:dyDescent="0.25">
      <c r="A1542" s="213" t="s">
        <v>327</v>
      </c>
      <c r="D1542" s="213" t="s">
        <v>12894</v>
      </c>
      <c r="E1542" s="213" t="s">
        <v>12895</v>
      </c>
      <c r="K1542" s="213" t="s">
        <v>72325</v>
      </c>
      <c r="L1542" s="213" t="s">
        <v>72389</v>
      </c>
      <c r="M1542" s="213" t="s">
        <v>72453</v>
      </c>
      <c r="N1542" s="213" t="s">
        <v>12896</v>
      </c>
      <c r="O1542" s="213" t="s">
        <v>12897</v>
      </c>
      <c r="P1542" s="213" t="s">
        <v>12898</v>
      </c>
      <c r="Q1542" s="213" t="s">
        <v>12899</v>
      </c>
      <c r="R1542" s="213" t="s">
        <v>12900</v>
      </c>
      <c r="S1542" s="213" t="s">
        <v>12901</v>
      </c>
      <c r="T1542" s="213" t="s">
        <v>12902</v>
      </c>
      <c r="U1542" s="213" t="s">
        <v>72517</v>
      </c>
    </row>
    <row r="1543" spans="1:21" x14ac:dyDescent="0.25">
      <c r="A1543" s="213" t="s">
        <v>327</v>
      </c>
    </row>
    <row r="1544" spans="1:21" x14ac:dyDescent="0.25">
      <c r="A1544" s="213" t="s">
        <v>327</v>
      </c>
    </row>
    <row r="1545" spans="1:21" x14ac:dyDescent="0.25">
      <c r="A1545" s="213" t="s">
        <v>327</v>
      </c>
      <c r="C1545" s="213" t="s">
        <v>12903</v>
      </c>
      <c r="E1545" s="213" t="s">
        <v>12904</v>
      </c>
      <c r="H1545" s="213" t="s">
        <v>12905</v>
      </c>
      <c r="I1545" s="213" t="s">
        <v>12906</v>
      </c>
      <c r="J1545" s="213" t="s">
        <v>12907</v>
      </c>
      <c r="L1545" s="213" t="s">
        <v>12908</v>
      </c>
      <c r="O1545" s="213" t="s">
        <v>12909</v>
      </c>
      <c r="P1545" s="213" t="s">
        <v>12910</v>
      </c>
      <c r="Q1545" s="213" t="s">
        <v>12911</v>
      </c>
      <c r="R1545" s="213" t="s">
        <v>12912</v>
      </c>
      <c r="S1545" s="213" t="s">
        <v>12913</v>
      </c>
      <c r="T1545" s="213" t="s">
        <v>12914</v>
      </c>
    </row>
    <row r="1546" spans="1:21" x14ac:dyDescent="0.25">
      <c r="A1546" s="213" t="s">
        <v>327</v>
      </c>
      <c r="C1546" s="213" t="s">
        <v>12915</v>
      </c>
      <c r="E1546" s="213" t="s">
        <v>12916</v>
      </c>
      <c r="I1546" s="213" t="s">
        <v>12917</v>
      </c>
    </row>
    <row r="1547" spans="1:21" x14ac:dyDescent="0.25">
      <c r="A1547" s="213" t="s">
        <v>327</v>
      </c>
      <c r="C1547" s="213" t="s">
        <v>12918</v>
      </c>
      <c r="E1547" s="213" t="s">
        <v>12919</v>
      </c>
      <c r="I1547" s="213" t="s">
        <v>12920</v>
      </c>
    </row>
    <row r="1548" spans="1:21" x14ac:dyDescent="0.25">
      <c r="A1548" s="213" t="s">
        <v>328</v>
      </c>
    </row>
    <row r="1549" spans="1:21" x14ac:dyDescent="0.25">
      <c r="A1549" s="213" t="s">
        <v>327</v>
      </c>
      <c r="D1549" s="213" t="s">
        <v>12921</v>
      </c>
      <c r="E1549" s="213" t="s">
        <v>12922</v>
      </c>
      <c r="K1549" s="213" t="s">
        <v>72054</v>
      </c>
      <c r="L1549" s="213" t="s">
        <v>72106</v>
      </c>
      <c r="M1549" s="213" t="s">
        <v>72158</v>
      </c>
      <c r="N1549" s="213" t="s">
        <v>12923</v>
      </c>
      <c r="O1549" s="213" t="s">
        <v>12924</v>
      </c>
      <c r="P1549" s="213" t="s">
        <v>12925</v>
      </c>
      <c r="Q1549" s="213" t="s">
        <v>12926</v>
      </c>
      <c r="R1549" s="213" t="s">
        <v>12927</v>
      </c>
      <c r="S1549" s="213" t="s">
        <v>12928</v>
      </c>
      <c r="T1549" s="213" t="s">
        <v>12929</v>
      </c>
      <c r="U1549" s="213" t="s">
        <v>72210</v>
      </c>
    </row>
    <row r="1550" spans="1:21" x14ac:dyDescent="0.25">
      <c r="A1550" s="213" t="s">
        <v>327</v>
      </c>
      <c r="D1550" s="213" t="s">
        <v>12930</v>
      </c>
      <c r="E1550" s="213" t="s">
        <v>12931</v>
      </c>
      <c r="K1550" s="213" t="s">
        <v>72055</v>
      </c>
      <c r="L1550" s="213" t="s">
        <v>72107</v>
      </c>
      <c r="M1550" s="213" t="s">
        <v>72159</v>
      </c>
      <c r="N1550" s="213" t="s">
        <v>12932</v>
      </c>
      <c r="O1550" s="213" t="s">
        <v>12933</v>
      </c>
      <c r="P1550" s="213" t="s">
        <v>12934</v>
      </c>
      <c r="Q1550" s="213" t="s">
        <v>12935</v>
      </c>
      <c r="R1550" s="213" t="s">
        <v>12936</v>
      </c>
      <c r="S1550" s="213" t="s">
        <v>12937</v>
      </c>
      <c r="T1550" s="213" t="s">
        <v>12938</v>
      </c>
      <c r="U1550" s="213" t="s">
        <v>72211</v>
      </c>
    </row>
    <row r="1551" spans="1:21" x14ac:dyDescent="0.25">
      <c r="A1551" s="213" t="s">
        <v>327</v>
      </c>
      <c r="D1551" s="213" t="s">
        <v>12939</v>
      </c>
      <c r="E1551" s="213" t="s">
        <v>12940</v>
      </c>
      <c r="K1551" s="213" t="s">
        <v>72056</v>
      </c>
      <c r="L1551" s="213" t="s">
        <v>72108</v>
      </c>
      <c r="M1551" s="213" t="s">
        <v>72160</v>
      </c>
      <c r="N1551" s="213" t="s">
        <v>12941</v>
      </c>
      <c r="O1551" s="213" t="s">
        <v>12942</v>
      </c>
      <c r="P1551" s="213" t="s">
        <v>12943</v>
      </c>
      <c r="Q1551" s="213" t="s">
        <v>12944</v>
      </c>
      <c r="R1551" s="213" t="s">
        <v>12945</v>
      </c>
      <c r="S1551" s="213" t="s">
        <v>12946</v>
      </c>
      <c r="T1551" s="213" t="s">
        <v>12947</v>
      </c>
      <c r="U1551" s="213" t="s">
        <v>72212</v>
      </c>
    </row>
    <row r="1552" spans="1:21" x14ac:dyDescent="0.25">
      <c r="A1552" s="213" t="s">
        <v>327</v>
      </c>
      <c r="D1552" s="213" t="s">
        <v>12948</v>
      </c>
      <c r="E1552" s="213" t="s">
        <v>12949</v>
      </c>
      <c r="K1552" s="213" t="s">
        <v>72057</v>
      </c>
      <c r="L1552" s="213" t="s">
        <v>72109</v>
      </c>
      <c r="M1552" s="213" t="s">
        <v>72161</v>
      </c>
      <c r="N1552" s="213" t="s">
        <v>12950</v>
      </c>
      <c r="O1552" s="213" t="s">
        <v>12951</v>
      </c>
      <c r="P1552" s="213" t="s">
        <v>12952</v>
      </c>
      <c r="Q1552" s="213" t="s">
        <v>12953</v>
      </c>
      <c r="R1552" s="213" t="s">
        <v>12954</v>
      </c>
      <c r="S1552" s="213" t="s">
        <v>12955</v>
      </c>
      <c r="T1552" s="213" t="s">
        <v>12956</v>
      </c>
      <c r="U1552" s="213" t="s">
        <v>72213</v>
      </c>
    </row>
    <row r="1553" spans="1:21" x14ac:dyDescent="0.25">
      <c r="A1553" s="213" t="s">
        <v>327</v>
      </c>
      <c r="D1553" s="213" t="s">
        <v>12957</v>
      </c>
      <c r="E1553" s="213" t="s">
        <v>12958</v>
      </c>
      <c r="K1553" s="213" t="s">
        <v>72058</v>
      </c>
      <c r="L1553" s="213" t="s">
        <v>72110</v>
      </c>
      <c r="M1553" s="213" t="s">
        <v>72162</v>
      </c>
      <c r="N1553" s="213" t="s">
        <v>12959</v>
      </c>
      <c r="O1553" s="213" t="s">
        <v>12960</v>
      </c>
      <c r="P1553" s="213" t="s">
        <v>12961</v>
      </c>
      <c r="Q1553" s="213" t="s">
        <v>12962</v>
      </c>
      <c r="R1553" s="213" t="s">
        <v>12963</v>
      </c>
      <c r="S1553" s="213" t="s">
        <v>12964</v>
      </c>
      <c r="T1553" s="213" t="s">
        <v>12965</v>
      </c>
      <c r="U1553" s="213" t="s">
        <v>72214</v>
      </c>
    </row>
    <row r="1554" spans="1:21" x14ac:dyDescent="0.25">
      <c r="A1554" s="213" t="s">
        <v>327</v>
      </c>
      <c r="D1554" s="213" t="s">
        <v>12966</v>
      </c>
      <c r="E1554" s="213" t="s">
        <v>12967</v>
      </c>
      <c r="K1554" s="213" t="s">
        <v>72059</v>
      </c>
      <c r="L1554" s="213" t="s">
        <v>72111</v>
      </c>
      <c r="M1554" s="213" t="s">
        <v>72163</v>
      </c>
      <c r="N1554" s="213" t="s">
        <v>12968</v>
      </c>
      <c r="O1554" s="213" t="s">
        <v>12969</v>
      </c>
      <c r="P1554" s="213" t="s">
        <v>12970</v>
      </c>
      <c r="Q1554" s="213" t="s">
        <v>12971</v>
      </c>
      <c r="R1554" s="213" t="s">
        <v>12972</v>
      </c>
      <c r="S1554" s="213" t="s">
        <v>12973</v>
      </c>
      <c r="T1554" s="213" t="s">
        <v>12974</v>
      </c>
      <c r="U1554" s="213" t="s">
        <v>72215</v>
      </c>
    </row>
    <row r="1555" spans="1:21" x14ac:dyDescent="0.25">
      <c r="A1555" s="213" t="s">
        <v>327</v>
      </c>
      <c r="D1555" s="213" t="s">
        <v>12975</v>
      </c>
      <c r="E1555" s="213" t="s">
        <v>12976</v>
      </c>
      <c r="K1555" s="213" t="s">
        <v>72060</v>
      </c>
      <c r="L1555" s="213" t="s">
        <v>72112</v>
      </c>
      <c r="M1555" s="213" t="s">
        <v>72164</v>
      </c>
      <c r="N1555" s="213" t="s">
        <v>12977</v>
      </c>
      <c r="O1555" s="213" t="s">
        <v>12978</v>
      </c>
      <c r="P1555" s="213" t="s">
        <v>12979</v>
      </c>
      <c r="Q1555" s="213" t="s">
        <v>12980</v>
      </c>
      <c r="R1555" s="213" t="s">
        <v>12981</v>
      </c>
      <c r="S1555" s="213" t="s">
        <v>12982</v>
      </c>
      <c r="T1555" s="213" t="s">
        <v>12983</v>
      </c>
      <c r="U1555" s="213" t="s">
        <v>72216</v>
      </c>
    </row>
    <row r="1556" spans="1:21" x14ac:dyDescent="0.25">
      <c r="A1556" s="213" t="s">
        <v>327</v>
      </c>
      <c r="D1556" s="213" t="s">
        <v>12984</v>
      </c>
      <c r="E1556" s="213" t="s">
        <v>12985</v>
      </c>
      <c r="K1556" s="213" t="s">
        <v>72061</v>
      </c>
      <c r="L1556" s="213" t="s">
        <v>72113</v>
      </c>
      <c r="M1556" s="213" t="s">
        <v>72165</v>
      </c>
      <c r="N1556" s="213" t="s">
        <v>12986</v>
      </c>
      <c r="O1556" s="213" t="s">
        <v>12987</v>
      </c>
      <c r="P1556" s="213" t="s">
        <v>12988</v>
      </c>
      <c r="Q1556" s="213" t="s">
        <v>12989</v>
      </c>
      <c r="R1556" s="213" t="s">
        <v>12990</v>
      </c>
      <c r="S1556" s="213" t="s">
        <v>12991</v>
      </c>
      <c r="T1556" s="213" t="s">
        <v>12992</v>
      </c>
      <c r="U1556" s="213" t="s">
        <v>72217</v>
      </c>
    </row>
    <row r="1557" spans="1:21" x14ac:dyDescent="0.25">
      <c r="A1557" s="213" t="s">
        <v>327</v>
      </c>
      <c r="D1557" s="213" t="s">
        <v>12993</v>
      </c>
      <c r="E1557" s="213" t="s">
        <v>12994</v>
      </c>
      <c r="K1557" s="213" t="s">
        <v>72062</v>
      </c>
      <c r="L1557" s="213" t="s">
        <v>72114</v>
      </c>
      <c r="M1557" s="213" t="s">
        <v>72166</v>
      </c>
      <c r="N1557" s="213" t="s">
        <v>12995</v>
      </c>
      <c r="O1557" s="213" t="s">
        <v>12996</v>
      </c>
      <c r="P1557" s="213" t="s">
        <v>12997</v>
      </c>
      <c r="Q1557" s="213" t="s">
        <v>12998</v>
      </c>
      <c r="R1557" s="213" t="s">
        <v>12999</v>
      </c>
      <c r="S1557" s="213" t="s">
        <v>13000</v>
      </c>
      <c r="T1557" s="213" t="s">
        <v>13001</v>
      </c>
      <c r="U1557" s="213" t="s">
        <v>72218</v>
      </c>
    </row>
    <row r="1558" spans="1:21" x14ac:dyDescent="0.25">
      <c r="A1558" s="213" t="s">
        <v>327</v>
      </c>
      <c r="D1558" s="213" t="s">
        <v>13002</v>
      </c>
      <c r="E1558" s="213" t="s">
        <v>13003</v>
      </c>
      <c r="K1558" s="213" t="s">
        <v>72063</v>
      </c>
      <c r="L1558" s="213" t="s">
        <v>72115</v>
      </c>
      <c r="M1558" s="213" t="s">
        <v>72167</v>
      </c>
      <c r="N1558" s="213" t="s">
        <v>13004</v>
      </c>
      <c r="O1558" s="213" t="s">
        <v>13005</v>
      </c>
      <c r="P1558" s="213" t="s">
        <v>13006</v>
      </c>
      <c r="Q1558" s="213" t="s">
        <v>13007</v>
      </c>
      <c r="R1558" s="213" t="s">
        <v>13008</v>
      </c>
      <c r="S1558" s="213" t="s">
        <v>13009</v>
      </c>
      <c r="T1558" s="213" t="s">
        <v>13010</v>
      </c>
      <c r="U1558" s="213" t="s">
        <v>72219</v>
      </c>
    </row>
    <row r="1559" spans="1:21" x14ac:dyDescent="0.25">
      <c r="A1559" s="213" t="s">
        <v>327</v>
      </c>
      <c r="D1559" s="213" t="s">
        <v>13011</v>
      </c>
      <c r="E1559" s="213" t="s">
        <v>13012</v>
      </c>
      <c r="K1559" s="213" t="s">
        <v>72064</v>
      </c>
      <c r="L1559" s="213" t="s">
        <v>72116</v>
      </c>
      <c r="M1559" s="213" t="s">
        <v>72168</v>
      </c>
      <c r="N1559" s="213" t="s">
        <v>13013</v>
      </c>
      <c r="O1559" s="213" t="s">
        <v>13014</v>
      </c>
      <c r="P1559" s="213" t="s">
        <v>13015</v>
      </c>
      <c r="Q1559" s="213" t="s">
        <v>13016</v>
      </c>
      <c r="R1559" s="213" t="s">
        <v>13017</v>
      </c>
      <c r="S1559" s="213" t="s">
        <v>13018</v>
      </c>
      <c r="T1559" s="213" t="s">
        <v>13019</v>
      </c>
      <c r="U1559" s="213" t="s">
        <v>72220</v>
      </c>
    </row>
    <row r="1560" spans="1:21" x14ac:dyDescent="0.25">
      <c r="A1560" s="213" t="s">
        <v>327</v>
      </c>
      <c r="D1560" s="213" t="s">
        <v>13020</v>
      </c>
      <c r="E1560" s="213" t="s">
        <v>13021</v>
      </c>
      <c r="K1560" s="213" t="s">
        <v>72065</v>
      </c>
      <c r="L1560" s="213" t="s">
        <v>72117</v>
      </c>
      <c r="M1560" s="213" t="s">
        <v>72169</v>
      </c>
      <c r="N1560" s="213" t="s">
        <v>13022</v>
      </c>
      <c r="O1560" s="213" t="s">
        <v>13023</v>
      </c>
      <c r="P1560" s="213" t="s">
        <v>13024</v>
      </c>
      <c r="Q1560" s="213" t="s">
        <v>13025</v>
      </c>
      <c r="R1560" s="213" t="s">
        <v>13026</v>
      </c>
      <c r="S1560" s="213" t="s">
        <v>13027</v>
      </c>
      <c r="T1560" s="213" t="s">
        <v>13028</v>
      </c>
      <c r="U1560" s="213" t="s">
        <v>72221</v>
      </c>
    </row>
    <row r="1561" spans="1:21" x14ac:dyDescent="0.25">
      <c r="A1561" s="213" t="s">
        <v>327</v>
      </c>
      <c r="D1561" s="213" t="s">
        <v>13029</v>
      </c>
      <c r="E1561" s="213" t="s">
        <v>13030</v>
      </c>
      <c r="K1561" s="213" t="s">
        <v>72066</v>
      </c>
      <c r="L1561" s="213" t="s">
        <v>72118</v>
      </c>
      <c r="M1561" s="213" t="s">
        <v>72170</v>
      </c>
      <c r="N1561" s="213" t="s">
        <v>13031</v>
      </c>
      <c r="O1561" s="213" t="s">
        <v>13032</v>
      </c>
      <c r="P1561" s="213" t="s">
        <v>13033</v>
      </c>
      <c r="Q1561" s="213" t="s">
        <v>13034</v>
      </c>
      <c r="R1561" s="213" t="s">
        <v>13035</v>
      </c>
      <c r="S1561" s="213" t="s">
        <v>13036</v>
      </c>
      <c r="T1561" s="213" t="s">
        <v>13037</v>
      </c>
      <c r="U1561" s="213" t="s">
        <v>72222</v>
      </c>
    </row>
    <row r="1562" spans="1:21" x14ac:dyDescent="0.25">
      <c r="A1562" s="213" t="s">
        <v>327</v>
      </c>
      <c r="D1562" s="213" t="s">
        <v>13038</v>
      </c>
      <c r="E1562" s="213" t="s">
        <v>13039</v>
      </c>
      <c r="K1562" s="213" t="s">
        <v>72067</v>
      </c>
      <c r="L1562" s="213" t="s">
        <v>72119</v>
      </c>
      <c r="M1562" s="213" t="s">
        <v>72171</v>
      </c>
      <c r="N1562" s="213" t="s">
        <v>13040</v>
      </c>
      <c r="O1562" s="213" t="s">
        <v>13041</v>
      </c>
      <c r="P1562" s="213" t="s">
        <v>13042</v>
      </c>
      <c r="Q1562" s="213" t="s">
        <v>13043</v>
      </c>
      <c r="R1562" s="213" t="s">
        <v>13044</v>
      </c>
      <c r="S1562" s="213" t="s">
        <v>13045</v>
      </c>
      <c r="T1562" s="213" t="s">
        <v>13046</v>
      </c>
      <c r="U1562" s="213" t="s">
        <v>72223</v>
      </c>
    </row>
    <row r="1563" spans="1:21" x14ac:dyDescent="0.25">
      <c r="A1563" s="213" t="s">
        <v>327</v>
      </c>
      <c r="D1563" s="213" t="s">
        <v>13047</v>
      </c>
      <c r="E1563" s="213" t="s">
        <v>13048</v>
      </c>
      <c r="K1563" s="213" t="s">
        <v>72068</v>
      </c>
      <c r="L1563" s="213" t="s">
        <v>72120</v>
      </c>
      <c r="M1563" s="213" t="s">
        <v>72172</v>
      </c>
      <c r="N1563" s="213" t="s">
        <v>13049</v>
      </c>
      <c r="O1563" s="213" t="s">
        <v>13050</v>
      </c>
      <c r="P1563" s="213" t="s">
        <v>13051</v>
      </c>
      <c r="Q1563" s="213" t="s">
        <v>13052</v>
      </c>
      <c r="R1563" s="213" t="s">
        <v>13053</v>
      </c>
      <c r="S1563" s="213" t="s">
        <v>13054</v>
      </c>
      <c r="T1563" s="213" t="s">
        <v>13055</v>
      </c>
      <c r="U1563" s="213" t="s">
        <v>72224</v>
      </c>
    </row>
    <row r="1564" spans="1:21" x14ac:dyDescent="0.25">
      <c r="A1564" s="213" t="s">
        <v>327</v>
      </c>
      <c r="D1564" s="213" t="s">
        <v>13056</v>
      </c>
      <c r="E1564" s="213" t="s">
        <v>13057</v>
      </c>
      <c r="K1564" s="213" t="s">
        <v>72069</v>
      </c>
      <c r="L1564" s="213" t="s">
        <v>72121</v>
      </c>
      <c r="M1564" s="213" t="s">
        <v>72173</v>
      </c>
      <c r="N1564" s="213" t="s">
        <v>13058</v>
      </c>
      <c r="O1564" s="213" t="s">
        <v>13059</v>
      </c>
      <c r="P1564" s="213" t="s">
        <v>13060</v>
      </c>
      <c r="Q1564" s="213" t="s">
        <v>13061</v>
      </c>
      <c r="R1564" s="213" t="s">
        <v>13062</v>
      </c>
      <c r="S1564" s="213" t="s">
        <v>13063</v>
      </c>
      <c r="T1564" s="213" t="s">
        <v>13064</v>
      </c>
      <c r="U1564" s="213" t="s">
        <v>72225</v>
      </c>
    </row>
    <row r="1565" spans="1:21" x14ac:dyDescent="0.25">
      <c r="A1565" s="213" t="s">
        <v>327</v>
      </c>
      <c r="D1565" s="213" t="s">
        <v>13065</v>
      </c>
      <c r="E1565" s="213" t="s">
        <v>13066</v>
      </c>
      <c r="K1565" s="213" t="s">
        <v>72070</v>
      </c>
      <c r="L1565" s="213" t="s">
        <v>72122</v>
      </c>
      <c r="M1565" s="213" t="s">
        <v>72174</v>
      </c>
      <c r="N1565" s="213" t="s">
        <v>13067</v>
      </c>
      <c r="O1565" s="213" t="s">
        <v>13068</v>
      </c>
      <c r="P1565" s="213" t="s">
        <v>13069</v>
      </c>
      <c r="Q1565" s="213" t="s">
        <v>13070</v>
      </c>
      <c r="R1565" s="213" t="s">
        <v>13071</v>
      </c>
      <c r="S1565" s="213" t="s">
        <v>13072</v>
      </c>
      <c r="T1565" s="213" t="s">
        <v>13073</v>
      </c>
      <c r="U1565" s="213" t="s">
        <v>72226</v>
      </c>
    </row>
    <row r="1566" spans="1:21" x14ac:dyDescent="0.25">
      <c r="A1566" s="213" t="s">
        <v>327</v>
      </c>
      <c r="D1566" s="213" t="s">
        <v>13074</v>
      </c>
      <c r="E1566" s="213" t="s">
        <v>13075</v>
      </c>
      <c r="K1566" s="213" t="s">
        <v>72071</v>
      </c>
      <c r="L1566" s="213" t="s">
        <v>72123</v>
      </c>
      <c r="M1566" s="213" t="s">
        <v>72175</v>
      </c>
      <c r="N1566" s="213" t="s">
        <v>13076</v>
      </c>
      <c r="O1566" s="213" t="s">
        <v>13077</v>
      </c>
      <c r="P1566" s="213" t="s">
        <v>13078</v>
      </c>
      <c r="Q1566" s="213" t="s">
        <v>13079</v>
      </c>
      <c r="R1566" s="213" t="s">
        <v>13080</v>
      </c>
      <c r="S1566" s="213" t="s">
        <v>13081</v>
      </c>
      <c r="T1566" s="213" t="s">
        <v>13082</v>
      </c>
      <c r="U1566" s="213" t="s">
        <v>72227</v>
      </c>
    </row>
    <row r="1567" spans="1:21" x14ac:dyDescent="0.25">
      <c r="A1567" s="213" t="s">
        <v>327</v>
      </c>
      <c r="D1567" s="213" t="s">
        <v>13083</v>
      </c>
      <c r="E1567" s="213" t="s">
        <v>13084</v>
      </c>
      <c r="K1567" s="213" t="s">
        <v>72072</v>
      </c>
      <c r="L1567" s="213" t="s">
        <v>72124</v>
      </c>
      <c r="M1567" s="213" t="s">
        <v>72176</v>
      </c>
      <c r="N1567" s="213" t="s">
        <v>13085</v>
      </c>
      <c r="O1567" s="213" t="s">
        <v>13086</v>
      </c>
      <c r="P1567" s="213" t="s">
        <v>13087</v>
      </c>
      <c r="Q1567" s="213" t="s">
        <v>13088</v>
      </c>
      <c r="R1567" s="213" t="s">
        <v>13089</v>
      </c>
      <c r="S1567" s="213" t="s">
        <v>13090</v>
      </c>
      <c r="T1567" s="213" t="s">
        <v>13091</v>
      </c>
      <c r="U1567" s="213" t="s">
        <v>72228</v>
      </c>
    </row>
    <row r="1568" spans="1:21" x14ac:dyDescent="0.25">
      <c r="A1568" s="213" t="s">
        <v>327</v>
      </c>
      <c r="D1568" s="213" t="s">
        <v>13092</v>
      </c>
      <c r="E1568" s="213" t="s">
        <v>13093</v>
      </c>
      <c r="K1568" s="213" t="s">
        <v>72073</v>
      </c>
      <c r="L1568" s="213" t="s">
        <v>72125</v>
      </c>
      <c r="M1568" s="213" t="s">
        <v>72177</v>
      </c>
      <c r="N1568" s="213" t="s">
        <v>13094</v>
      </c>
      <c r="O1568" s="213" t="s">
        <v>13095</v>
      </c>
      <c r="P1568" s="213" t="s">
        <v>13096</v>
      </c>
      <c r="Q1568" s="213" t="s">
        <v>13097</v>
      </c>
      <c r="R1568" s="213" t="s">
        <v>13098</v>
      </c>
      <c r="S1568" s="213" t="s">
        <v>13099</v>
      </c>
      <c r="T1568" s="213" t="s">
        <v>13100</v>
      </c>
      <c r="U1568" s="213" t="s">
        <v>72229</v>
      </c>
    </row>
    <row r="1569" spans="1:21" x14ac:dyDescent="0.25">
      <c r="A1569" s="213" t="s">
        <v>327</v>
      </c>
      <c r="D1569" s="213" t="s">
        <v>13101</v>
      </c>
      <c r="E1569" s="213" t="s">
        <v>13102</v>
      </c>
      <c r="K1569" s="213" t="s">
        <v>72074</v>
      </c>
      <c r="L1569" s="213" t="s">
        <v>72126</v>
      </c>
      <c r="M1569" s="213" t="s">
        <v>72178</v>
      </c>
      <c r="N1569" s="213" t="s">
        <v>13103</v>
      </c>
      <c r="O1569" s="213" t="s">
        <v>13104</v>
      </c>
      <c r="P1569" s="213" t="s">
        <v>13105</v>
      </c>
      <c r="Q1569" s="213" t="s">
        <v>13106</v>
      </c>
      <c r="R1569" s="213" t="s">
        <v>13107</v>
      </c>
      <c r="S1569" s="213" t="s">
        <v>13108</v>
      </c>
      <c r="T1569" s="213" t="s">
        <v>13109</v>
      </c>
      <c r="U1569" s="213" t="s">
        <v>72230</v>
      </c>
    </row>
    <row r="1570" spans="1:21" x14ac:dyDescent="0.25">
      <c r="A1570" s="213" t="s">
        <v>327</v>
      </c>
      <c r="D1570" s="213" t="s">
        <v>13110</v>
      </c>
      <c r="E1570" s="213" t="s">
        <v>13111</v>
      </c>
      <c r="K1570" s="213" t="s">
        <v>72075</v>
      </c>
      <c r="L1570" s="213" t="s">
        <v>72127</v>
      </c>
      <c r="M1570" s="213" t="s">
        <v>72179</v>
      </c>
      <c r="N1570" s="213" t="s">
        <v>13112</v>
      </c>
      <c r="O1570" s="213" t="s">
        <v>13113</v>
      </c>
      <c r="P1570" s="213" t="s">
        <v>13114</v>
      </c>
      <c r="Q1570" s="213" t="s">
        <v>13115</v>
      </c>
      <c r="R1570" s="213" t="s">
        <v>13116</v>
      </c>
      <c r="S1570" s="213" t="s">
        <v>13117</v>
      </c>
      <c r="T1570" s="213" t="s">
        <v>13118</v>
      </c>
      <c r="U1570" s="213" t="s">
        <v>72231</v>
      </c>
    </row>
    <row r="1571" spans="1:21" x14ac:dyDescent="0.25">
      <c r="A1571" s="213" t="s">
        <v>327</v>
      </c>
      <c r="D1571" s="213" t="s">
        <v>13119</v>
      </c>
      <c r="E1571" s="213" t="s">
        <v>13120</v>
      </c>
      <c r="K1571" s="213" t="s">
        <v>72076</v>
      </c>
      <c r="L1571" s="213" t="s">
        <v>72128</v>
      </c>
      <c r="M1571" s="213" t="s">
        <v>72180</v>
      </c>
      <c r="N1571" s="213" t="s">
        <v>13121</v>
      </c>
      <c r="O1571" s="213" t="s">
        <v>13122</v>
      </c>
      <c r="P1571" s="213" t="s">
        <v>13123</v>
      </c>
      <c r="Q1571" s="213" t="s">
        <v>13124</v>
      </c>
      <c r="R1571" s="213" t="s">
        <v>13125</v>
      </c>
      <c r="S1571" s="213" t="s">
        <v>13126</v>
      </c>
      <c r="T1571" s="213" t="s">
        <v>13127</v>
      </c>
      <c r="U1571" s="213" t="s">
        <v>72232</v>
      </c>
    </row>
    <row r="1572" spans="1:21" x14ac:dyDescent="0.25">
      <c r="A1572" s="213" t="s">
        <v>327</v>
      </c>
      <c r="D1572" s="213" t="s">
        <v>13128</v>
      </c>
      <c r="E1572" s="213" t="s">
        <v>13129</v>
      </c>
      <c r="K1572" s="213" t="s">
        <v>72077</v>
      </c>
      <c r="L1572" s="213" t="s">
        <v>72129</v>
      </c>
      <c r="M1572" s="213" t="s">
        <v>72181</v>
      </c>
      <c r="N1572" s="213" t="s">
        <v>13130</v>
      </c>
      <c r="O1572" s="213" t="s">
        <v>13131</v>
      </c>
      <c r="P1572" s="213" t="s">
        <v>13132</v>
      </c>
      <c r="Q1572" s="213" t="s">
        <v>13133</v>
      </c>
      <c r="R1572" s="213" t="s">
        <v>13134</v>
      </c>
      <c r="S1572" s="213" t="s">
        <v>13135</v>
      </c>
      <c r="T1572" s="213" t="s">
        <v>13136</v>
      </c>
      <c r="U1572" s="213" t="s">
        <v>72233</v>
      </c>
    </row>
    <row r="1573" spans="1:21" x14ac:dyDescent="0.25">
      <c r="A1573" s="213" t="s">
        <v>327</v>
      </c>
      <c r="D1573" s="213" t="s">
        <v>13137</v>
      </c>
      <c r="E1573" s="213" t="s">
        <v>13138</v>
      </c>
      <c r="K1573" s="213" t="s">
        <v>72078</v>
      </c>
      <c r="L1573" s="213" t="s">
        <v>72130</v>
      </c>
      <c r="M1573" s="213" t="s">
        <v>72182</v>
      </c>
      <c r="N1573" s="213" t="s">
        <v>13139</v>
      </c>
      <c r="O1573" s="213" t="s">
        <v>13140</v>
      </c>
      <c r="P1573" s="213" t="s">
        <v>13141</v>
      </c>
      <c r="Q1573" s="213" t="s">
        <v>13142</v>
      </c>
      <c r="R1573" s="213" t="s">
        <v>13143</v>
      </c>
      <c r="S1573" s="213" t="s">
        <v>13144</v>
      </c>
      <c r="T1573" s="213" t="s">
        <v>13145</v>
      </c>
      <c r="U1573" s="213" t="s">
        <v>72234</v>
      </c>
    </row>
    <row r="1574" spans="1:21" x14ac:dyDescent="0.25">
      <c r="A1574" s="213" t="s">
        <v>327</v>
      </c>
      <c r="D1574" s="213" t="s">
        <v>13146</v>
      </c>
      <c r="E1574" s="213" t="s">
        <v>13147</v>
      </c>
      <c r="K1574" s="213" t="s">
        <v>72079</v>
      </c>
      <c r="L1574" s="213" t="s">
        <v>72131</v>
      </c>
      <c r="M1574" s="213" t="s">
        <v>72183</v>
      </c>
      <c r="N1574" s="213" t="s">
        <v>13148</v>
      </c>
      <c r="O1574" s="213" t="s">
        <v>13149</v>
      </c>
      <c r="P1574" s="213" t="s">
        <v>13150</v>
      </c>
      <c r="Q1574" s="213" t="s">
        <v>13151</v>
      </c>
      <c r="R1574" s="213" t="s">
        <v>13152</v>
      </c>
      <c r="S1574" s="213" t="s">
        <v>13153</v>
      </c>
      <c r="T1574" s="213" t="s">
        <v>13154</v>
      </c>
      <c r="U1574" s="213" t="s">
        <v>72235</v>
      </c>
    </row>
    <row r="1575" spans="1:21" x14ac:dyDescent="0.25">
      <c r="A1575" s="213" t="s">
        <v>327</v>
      </c>
      <c r="D1575" s="213" t="s">
        <v>13155</v>
      </c>
      <c r="E1575" s="213" t="s">
        <v>13156</v>
      </c>
      <c r="K1575" s="213" t="s">
        <v>72080</v>
      </c>
      <c r="L1575" s="213" t="s">
        <v>72132</v>
      </c>
      <c r="M1575" s="213" t="s">
        <v>72184</v>
      </c>
      <c r="N1575" s="213" t="s">
        <v>13157</v>
      </c>
      <c r="O1575" s="213" t="s">
        <v>13158</v>
      </c>
      <c r="P1575" s="213" t="s">
        <v>13159</v>
      </c>
      <c r="Q1575" s="213" t="s">
        <v>13160</v>
      </c>
      <c r="R1575" s="213" t="s">
        <v>13161</v>
      </c>
      <c r="S1575" s="213" t="s">
        <v>13162</v>
      </c>
      <c r="T1575" s="213" t="s">
        <v>13163</v>
      </c>
      <c r="U1575" s="213" t="s">
        <v>72236</v>
      </c>
    </row>
    <row r="1576" spans="1:21" x14ac:dyDescent="0.25">
      <c r="A1576" s="213" t="s">
        <v>327</v>
      </c>
      <c r="D1576" s="213" t="s">
        <v>13164</v>
      </c>
      <c r="E1576" s="213" t="s">
        <v>13165</v>
      </c>
      <c r="K1576" s="213" t="s">
        <v>72081</v>
      </c>
      <c r="L1576" s="213" t="s">
        <v>72133</v>
      </c>
      <c r="M1576" s="213" t="s">
        <v>72185</v>
      </c>
      <c r="N1576" s="213" t="s">
        <v>13166</v>
      </c>
      <c r="O1576" s="213" t="s">
        <v>13167</v>
      </c>
      <c r="P1576" s="213" t="s">
        <v>13168</v>
      </c>
      <c r="Q1576" s="213" t="s">
        <v>13169</v>
      </c>
      <c r="R1576" s="213" t="s">
        <v>13170</v>
      </c>
      <c r="S1576" s="213" t="s">
        <v>13171</v>
      </c>
      <c r="T1576" s="213" t="s">
        <v>13172</v>
      </c>
      <c r="U1576" s="213" t="s">
        <v>72237</v>
      </c>
    </row>
    <row r="1577" spans="1:21" x14ac:dyDescent="0.25">
      <c r="A1577" s="213" t="s">
        <v>327</v>
      </c>
      <c r="D1577" s="213" t="s">
        <v>13173</v>
      </c>
      <c r="E1577" s="213" t="s">
        <v>13174</v>
      </c>
      <c r="K1577" s="213" t="s">
        <v>72082</v>
      </c>
      <c r="L1577" s="213" t="s">
        <v>72134</v>
      </c>
      <c r="M1577" s="213" t="s">
        <v>72186</v>
      </c>
      <c r="N1577" s="213" t="s">
        <v>13175</v>
      </c>
      <c r="O1577" s="213" t="s">
        <v>13176</v>
      </c>
      <c r="P1577" s="213" t="s">
        <v>13177</v>
      </c>
      <c r="Q1577" s="213" t="s">
        <v>13178</v>
      </c>
      <c r="R1577" s="213" t="s">
        <v>13179</v>
      </c>
      <c r="S1577" s="213" t="s">
        <v>13180</v>
      </c>
      <c r="T1577" s="213" t="s">
        <v>13181</v>
      </c>
      <c r="U1577" s="213" t="s">
        <v>72238</v>
      </c>
    </row>
    <row r="1578" spans="1:21" x14ac:dyDescent="0.25">
      <c r="A1578" s="213" t="s">
        <v>327</v>
      </c>
      <c r="D1578" s="213" t="s">
        <v>13182</v>
      </c>
      <c r="E1578" s="213" t="s">
        <v>13183</v>
      </c>
      <c r="K1578" s="213" t="s">
        <v>72083</v>
      </c>
      <c r="L1578" s="213" t="s">
        <v>72135</v>
      </c>
      <c r="M1578" s="213" t="s">
        <v>72187</v>
      </c>
      <c r="N1578" s="213" t="s">
        <v>13184</v>
      </c>
      <c r="O1578" s="213" t="s">
        <v>13185</v>
      </c>
      <c r="P1578" s="213" t="s">
        <v>13186</v>
      </c>
      <c r="Q1578" s="213" t="s">
        <v>13187</v>
      </c>
      <c r="R1578" s="213" t="s">
        <v>13188</v>
      </c>
      <c r="S1578" s="213" t="s">
        <v>13189</v>
      </c>
      <c r="T1578" s="213" t="s">
        <v>13190</v>
      </c>
      <c r="U1578" s="213" t="s">
        <v>72239</v>
      </c>
    </row>
    <row r="1579" spans="1:21" x14ac:dyDescent="0.25">
      <c r="A1579" s="213" t="s">
        <v>327</v>
      </c>
      <c r="D1579" s="213" t="s">
        <v>13191</v>
      </c>
      <c r="E1579" s="213" t="s">
        <v>13192</v>
      </c>
      <c r="K1579" s="213" t="s">
        <v>72084</v>
      </c>
      <c r="L1579" s="213" t="s">
        <v>72136</v>
      </c>
      <c r="M1579" s="213" t="s">
        <v>72188</v>
      </c>
      <c r="N1579" s="213" t="s">
        <v>13193</v>
      </c>
      <c r="O1579" s="213" t="s">
        <v>13194</v>
      </c>
      <c r="P1579" s="213" t="s">
        <v>13195</v>
      </c>
      <c r="Q1579" s="213" t="s">
        <v>13196</v>
      </c>
      <c r="R1579" s="213" t="s">
        <v>13197</v>
      </c>
      <c r="S1579" s="213" t="s">
        <v>13198</v>
      </c>
      <c r="T1579" s="213" t="s">
        <v>13199</v>
      </c>
      <c r="U1579" s="213" t="s">
        <v>72240</v>
      </c>
    </row>
    <row r="1580" spans="1:21" x14ac:dyDescent="0.25">
      <c r="A1580" s="213" t="s">
        <v>327</v>
      </c>
      <c r="D1580" s="213" t="s">
        <v>13200</v>
      </c>
      <c r="E1580" s="213" t="s">
        <v>13201</v>
      </c>
      <c r="K1580" s="213" t="s">
        <v>72085</v>
      </c>
      <c r="L1580" s="213" t="s">
        <v>72137</v>
      </c>
      <c r="M1580" s="213" t="s">
        <v>72189</v>
      </c>
      <c r="N1580" s="213" t="s">
        <v>13202</v>
      </c>
      <c r="O1580" s="213" t="s">
        <v>13203</v>
      </c>
      <c r="P1580" s="213" t="s">
        <v>13204</v>
      </c>
      <c r="Q1580" s="213" t="s">
        <v>13205</v>
      </c>
      <c r="R1580" s="213" t="s">
        <v>13206</v>
      </c>
      <c r="S1580" s="213" t="s">
        <v>13207</v>
      </c>
      <c r="T1580" s="213" t="s">
        <v>13208</v>
      </c>
      <c r="U1580" s="213" t="s">
        <v>72241</v>
      </c>
    </row>
    <row r="1581" spans="1:21" x14ac:dyDescent="0.25">
      <c r="A1581" s="213" t="s">
        <v>327</v>
      </c>
      <c r="D1581" s="213" t="s">
        <v>13209</v>
      </c>
      <c r="E1581" s="213" t="s">
        <v>13210</v>
      </c>
      <c r="K1581" s="213" t="s">
        <v>72086</v>
      </c>
      <c r="L1581" s="213" t="s">
        <v>72138</v>
      </c>
      <c r="M1581" s="213" t="s">
        <v>72190</v>
      </c>
      <c r="N1581" s="213" t="s">
        <v>13211</v>
      </c>
      <c r="O1581" s="213" t="s">
        <v>13212</v>
      </c>
      <c r="P1581" s="213" t="s">
        <v>13213</v>
      </c>
      <c r="Q1581" s="213" t="s">
        <v>13214</v>
      </c>
      <c r="R1581" s="213" t="s">
        <v>13215</v>
      </c>
      <c r="S1581" s="213" t="s">
        <v>13216</v>
      </c>
      <c r="T1581" s="213" t="s">
        <v>13217</v>
      </c>
      <c r="U1581" s="213" t="s">
        <v>72242</v>
      </c>
    </row>
    <row r="1582" spans="1:21" x14ac:dyDescent="0.25">
      <c r="A1582" s="213" t="s">
        <v>327</v>
      </c>
      <c r="D1582" s="213" t="s">
        <v>13218</v>
      </c>
      <c r="E1582" s="213" t="s">
        <v>13219</v>
      </c>
      <c r="K1582" s="213" t="s">
        <v>72087</v>
      </c>
      <c r="L1582" s="213" t="s">
        <v>72139</v>
      </c>
      <c r="M1582" s="213" t="s">
        <v>72191</v>
      </c>
      <c r="N1582" s="213" t="s">
        <v>13220</v>
      </c>
      <c r="O1582" s="213" t="s">
        <v>13221</v>
      </c>
      <c r="P1582" s="213" t="s">
        <v>13222</v>
      </c>
      <c r="Q1582" s="213" t="s">
        <v>13223</v>
      </c>
      <c r="R1582" s="213" t="s">
        <v>13224</v>
      </c>
      <c r="S1582" s="213" t="s">
        <v>13225</v>
      </c>
      <c r="T1582" s="213" t="s">
        <v>13226</v>
      </c>
      <c r="U1582" s="213" t="s">
        <v>72243</v>
      </c>
    </row>
    <row r="1583" spans="1:21" x14ac:dyDescent="0.25">
      <c r="A1583" s="213" t="s">
        <v>327</v>
      </c>
      <c r="D1583" s="213" t="s">
        <v>13227</v>
      </c>
      <c r="E1583" s="213" t="s">
        <v>13228</v>
      </c>
      <c r="K1583" s="213" t="s">
        <v>72088</v>
      </c>
      <c r="L1583" s="213" t="s">
        <v>72140</v>
      </c>
      <c r="M1583" s="213" t="s">
        <v>72192</v>
      </c>
      <c r="N1583" s="213" t="s">
        <v>13229</v>
      </c>
      <c r="O1583" s="213" t="s">
        <v>13230</v>
      </c>
      <c r="P1583" s="213" t="s">
        <v>13231</v>
      </c>
      <c r="Q1583" s="213" t="s">
        <v>13232</v>
      </c>
      <c r="R1583" s="213" t="s">
        <v>13233</v>
      </c>
      <c r="S1583" s="213" t="s">
        <v>13234</v>
      </c>
      <c r="T1583" s="213" t="s">
        <v>13235</v>
      </c>
      <c r="U1583" s="213" t="s">
        <v>72244</v>
      </c>
    </row>
    <row r="1584" spans="1:21" x14ac:dyDescent="0.25">
      <c r="A1584" s="213" t="s">
        <v>327</v>
      </c>
      <c r="D1584" s="213" t="s">
        <v>13236</v>
      </c>
      <c r="E1584" s="213" t="s">
        <v>13237</v>
      </c>
      <c r="K1584" s="213" t="s">
        <v>72089</v>
      </c>
      <c r="L1584" s="213" t="s">
        <v>72141</v>
      </c>
      <c r="M1584" s="213" t="s">
        <v>72193</v>
      </c>
      <c r="N1584" s="213" t="s">
        <v>13238</v>
      </c>
      <c r="O1584" s="213" t="s">
        <v>13239</v>
      </c>
      <c r="P1584" s="213" t="s">
        <v>13240</v>
      </c>
      <c r="Q1584" s="213" t="s">
        <v>13241</v>
      </c>
      <c r="R1584" s="213" t="s">
        <v>13242</v>
      </c>
      <c r="S1584" s="213" t="s">
        <v>13243</v>
      </c>
      <c r="T1584" s="213" t="s">
        <v>13244</v>
      </c>
      <c r="U1584" s="213" t="s">
        <v>72245</v>
      </c>
    </row>
    <row r="1585" spans="1:21" x14ac:dyDescent="0.25">
      <c r="A1585" s="213" t="s">
        <v>327</v>
      </c>
      <c r="D1585" s="213" t="s">
        <v>13245</v>
      </c>
      <c r="E1585" s="213" t="s">
        <v>13246</v>
      </c>
      <c r="K1585" s="213" t="s">
        <v>72090</v>
      </c>
      <c r="L1585" s="213" t="s">
        <v>72142</v>
      </c>
      <c r="M1585" s="213" t="s">
        <v>72194</v>
      </c>
      <c r="N1585" s="213" t="s">
        <v>13247</v>
      </c>
      <c r="O1585" s="213" t="s">
        <v>13248</v>
      </c>
      <c r="P1585" s="213" t="s">
        <v>13249</v>
      </c>
      <c r="Q1585" s="213" t="s">
        <v>13250</v>
      </c>
      <c r="R1585" s="213" t="s">
        <v>13251</v>
      </c>
      <c r="S1585" s="213" t="s">
        <v>13252</v>
      </c>
      <c r="T1585" s="213" t="s">
        <v>13253</v>
      </c>
      <c r="U1585" s="213" t="s">
        <v>72246</v>
      </c>
    </row>
    <row r="1586" spans="1:21" x14ac:dyDescent="0.25">
      <c r="A1586" s="213" t="s">
        <v>327</v>
      </c>
      <c r="D1586" s="213" t="s">
        <v>13254</v>
      </c>
      <c r="E1586" s="213" t="s">
        <v>13255</v>
      </c>
      <c r="K1586" s="213" t="s">
        <v>72091</v>
      </c>
      <c r="L1586" s="213" t="s">
        <v>72143</v>
      </c>
      <c r="M1586" s="213" t="s">
        <v>72195</v>
      </c>
      <c r="N1586" s="213" t="s">
        <v>13256</v>
      </c>
      <c r="O1586" s="213" t="s">
        <v>13257</v>
      </c>
      <c r="P1586" s="213" t="s">
        <v>13258</v>
      </c>
      <c r="Q1586" s="213" t="s">
        <v>13259</v>
      </c>
      <c r="R1586" s="213" t="s">
        <v>13260</v>
      </c>
      <c r="S1586" s="213" t="s">
        <v>13261</v>
      </c>
      <c r="T1586" s="213" t="s">
        <v>13262</v>
      </c>
      <c r="U1586" s="213" t="s">
        <v>72247</v>
      </c>
    </row>
    <row r="1587" spans="1:21" x14ac:dyDescent="0.25">
      <c r="A1587" s="213" t="s">
        <v>327</v>
      </c>
      <c r="D1587" s="213" t="s">
        <v>13263</v>
      </c>
      <c r="E1587" s="213" t="s">
        <v>13264</v>
      </c>
      <c r="K1587" s="213" t="s">
        <v>72092</v>
      </c>
      <c r="L1587" s="213" t="s">
        <v>72144</v>
      </c>
      <c r="M1587" s="213" t="s">
        <v>72196</v>
      </c>
      <c r="N1587" s="213" t="s">
        <v>13265</v>
      </c>
      <c r="O1587" s="213" t="s">
        <v>13266</v>
      </c>
      <c r="P1587" s="213" t="s">
        <v>13267</v>
      </c>
      <c r="Q1587" s="213" t="s">
        <v>13268</v>
      </c>
      <c r="R1587" s="213" t="s">
        <v>13269</v>
      </c>
      <c r="S1587" s="213" t="s">
        <v>13270</v>
      </c>
      <c r="T1587" s="213" t="s">
        <v>13271</v>
      </c>
      <c r="U1587" s="213" t="s">
        <v>72248</v>
      </c>
    </row>
    <row r="1588" spans="1:21" x14ac:dyDescent="0.25">
      <c r="A1588" s="213" t="s">
        <v>327</v>
      </c>
      <c r="D1588" s="213" t="s">
        <v>13272</v>
      </c>
      <c r="E1588" s="213" t="s">
        <v>13273</v>
      </c>
      <c r="K1588" s="213" t="s">
        <v>72093</v>
      </c>
      <c r="L1588" s="213" t="s">
        <v>72145</v>
      </c>
      <c r="M1588" s="213" t="s">
        <v>72197</v>
      </c>
      <c r="N1588" s="213" t="s">
        <v>13274</v>
      </c>
      <c r="O1588" s="213" t="s">
        <v>13275</v>
      </c>
      <c r="P1588" s="213" t="s">
        <v>13276</v>
      </c>
      <c r="Q1588" s="213" t="s">
        <v>13277</v>
      </c>
      <c r="R1588" s="213" t="s">
        <v>13278</v>
      </c>
      <c r="S1588" s="213" t="s">
        <v>13279</v>
      </c>
      <c r="T1588" s="213" t="s">
        <v>13280</v>
      </c>
      <c r="U1588" s="213" t="s">
        <v>72249</v>
      </c>
    </row>
    <row r="1589" spans="1:21" x14ac:dyDescent="0.25">
      <c r="A1589" s="213" t="s">
        <v>327</v>
      </c>
      <c r="D1589" s="213" t="s">
        <v>13281</v>
      </c>
      <c r="E1589" s="213" t="s">
        <v>13282</v>
      </c>
      <c r="K1589" s="213" t="s">
        <v>72094</v>
      </c>
      <c r="L1589" s="213" t="s">
        <v>72146</v>
      </c>
      <c r="M1589" s="213" t="s">
        <v>72198</v>
      </c>
      <c r="N1589" s="213" t="s">
        <v>13283</v>
      </c>
      <c r="O1589" s="213" t="s">
        <v>13284</v>
      </c>
      <c r="P1589" s="213" t="s">
        <v>13285</v>
      </c>
      <c r="Q1589" s="213" t="s">
        <v>13286</v>
      </c>
      <c r="R1589" s="213" t="s">
        <v>13287</v>
      </c>
      <c r="S1589" s="213" t="s">
        <v>13288</v>
      </c>
      <c r="T1589" s="213" t="s">
        <v>13289</v>
      </c>
      <c r="U1589" s="213" t="s">
        <v>72250</v>
      </c>
    </row>
    <row r="1590" spans="1:21" x14ac:dyDescent="0.25">
      <c r="A1590" s="213" t="s">
        <v>327</v>
      </c>
      <c r="D1590" s="213" t="s">
        <v>13290</v>
      </c>
      <c r="E1590" s="213" t="s">
        <v>13291</v>
      </c>
      <c r="K1590" s="213" t="s">
        <v>72095</v>
      </c>
      <c r="L1590" s="213" t="s">
        <v>72147</v>
      </c>
      <c r="M1590" s="213" t="s">
        <v>72199</v>
      </c>
      <c r="N1590" s="213" t="s">
        <v>13292</v>
      </c>
      <c r="O1590" s="213" t="s">
        <v>13293</v>
      </c>
      <c r="P1590" s="213" t="s">
        <v>13294</v>
      </c>
      <c r="Q1590" s="213" t="s">
        <v>13295</v>
      </c>
      <c r="R1590" s="213" t="s">
        <v>13296</v>
      </c>
      <c r="S1590" s="213" t="s">
        <v>13297</v>
      </c>
      <c r="T1590" s="213" t="s">
        <v>13298</v>
      </c>
      <c r="U1590" s="213" t="s">
        <v>72251</v>
      </c>
    </row>
    <row r="1591" spans="1:21" x14ac:dyDescent="0.25">
      <c r="A1591" s="213" t="s">
        <v>327</v>
      </c>
      <c r="D1591" s="213" t="s">
        <v>13299</v>
      </c>
      <c r="E1591" s="213" t="s">
        <v>13300</v>
      </c>
      <c r="K1591" s="213" t="s">
        <v>72096</v>
      </c>
      <c r="L1591" s="213" t="s">
        <v>72148</v>
      </c>
      <c r="M1591" s="213" t="s">
        <v>72200</v>
      </c>
      <c r="N1591" s="213" t="s">
        <v>13301</v>
      </c>
      <c r="O1591" s="213" t="s">
        <v>13302</v>
      </c>
      <c r="P1591" s="213" t="s">
        <v>13303</v>
      </c>
      <c r="Q1591" s="213" t="s">
        <v>13304</v>
      </c>
      <c r="R1591" s="213" t="s">
        <v>13305</v>
      </c>
      <c r="S1591" s="213" t="s">
        <v>13306</v>
      </c>
      <c r="T1591" s="213" t="s">
        <v>13307</v>
      </c>
      <c r="U1591" s="213" t="s">
        <v>72252</v>
      </c>
    </row>
    <row r="1592" spans="1:21" x14ac:dyDescent="0.25">
      <c r="A1592" s="213" t="s">
        <v>327</v>
      </c>
      <c r="D1592" s="213" t="s">
        <v>13308</v>
      </c>
      <c r="E1592" s="213" t="s">
        <v>13309</v>
      </c>
      <c r="K1592" s="213" t="s">
        <v>72097</v>
      </c>
      <c r="L1592" s="213" t="s">
        <v>72149</v>
      </c>
      <c r="M1592" s="213" t="s">
        <v>72201</v>
      </c>
      <c r="N1592" s="213" t="s">
        <v>13310</v>
      </c>
      <c r="O1592" s="213" t="s">
        <v>13311</v>
      </c>
      <c r="P1592" s="213" t="s">
        <v>13312</v>
      </c>
      <c r="Q1592" s="213" t="s">
        <v>13313</v>
      </c>
      <c r="R1592" s="213" t="s">
        <v>13314</v>
      </c>
      <c r="S1592" s="213" t="s">
        <v>13315</v>
      </c>
      <c r="T1592" s="213" t="s">
        <v>13316</v>
      </c>
      <c r="U1592" s="213" t="s">
        <v>72253</v>
      </c>
    </row>
    <row r="1593" spans="1:21" x14ac:dyDescent="0.25">
      <c r="A1593" s="213" t="s">
        <v>327</v>
      </c>
      <c r="D1593" s="213" t="s">
        <v>13317</v>
      </c>
      <c r="E1593" s="213" t="s">
        <v>13318</v>
      </c>
      <c r="K1593" s="213" t="s">
        <v>72098</v>
      </c>
      <c r="L1593" s="213" t="s">
        <v>72150</v>
      </c>
      <c r="M1593" s="213" t="s">
        <v>72202</v>
      </c>
      <c r="N1593" s="213" t="s">
        <v>13319</v>
      </c>
      <c r="O1593" s="213" t="s">
        <v>13320</v>
      </c>
      <c r="P1593" s="213" t="s">
        <v>13321</v>
      </c>
      <c r="Q1593" s="213" t="s">
        <v>13322</v>
      </c>
      <c r="R1593" s="213" t="s">
        <v>13323</v>
      </c>
      <c r="S1593" s="213" t="s">
        <v>13324</v>
      </c>
      <c r="T1593" s="213" t="s">
        <v>13325</v>
      </c>
      <c r="U1593" s="213" t="s">
        <v>72254</v>
      </c>
    </row>
    <row r="1594" spans="1:21" x14ac:dyDescent="0.25">
      <c r="A1594" s="213" t="s">
        <v>327</v>
      </c>
      <c r="D1594" s="213" t="s">
        <v>13326</v>
      </c>
      <c r="E1594" s="213" t="s">
        <v>13327</v>
      </c>
      <c r="K1594" s="213" t="s">
        <v>72099</v>
      </c>
      <c r="L1594" s="213" t="s">
        <v>72151</v>
      </c>
      <c r="M1594" s="213" t="s">
        <v>72203</v>
      </c>
      <c r="N1594" s="213" t="s">
        <v>13328</v>
      </c>
      <c r="O1594" s="213" t="s">
        <v>13329</v>
      </c>
      <c r="P1594" s="213" t="s">
        <v>13330</v>
      </c>
      <c r="Q1594" s="213" t="s">
        <v>13331</v>
      </c>
      <c r="R1594" s="213" t="s">
        <v>13332</v>
      </c>
      <c r="S1594" s="213" t="s">
        <v>13333</v>
      </c>
      <c r="T1594" s="213" t="s">
        <v>13334</v>
      </c>
      <c r="U1594" s="213" t="s">
        <v>72255</v>
      </c>
    </row>
    <row r="1595" spans="1:21" x14ac:dyDescent="0.25">
      <c r="A1595" s="213" t="s">
        <v>327</v>
      </c>
      <c r="D1595" s="213" t="s">
        <v>13335</v>
      </c>
      <c r="E1595" s="213" t="s">
        <v>13336</v>
      </c>
      <c r="K1595" s="213" t="s">
        <v>72100</v>
      </c>
      <c r="L1595" s="213" t="s">
        <v>72152</v>
      </c>
      <c r="M1595" s="213" t="s">
        <v>72204</v>
      </c>
      <c r="N1595" s="213" t="s">
        <v>13337</v>
      </c>
      <c r="O1595" s="213" t="s">
        <v>13338</v>
      </c>
      <c r="P1595" s="213" t="s">
        <v>13339</v>
      </c>
      <c r="Q1595" s="213" t="s">
        <v>13340</v>
      </c>
      <c r="R1595" s="213" t="s">
        <v>13341</v>
      </c>
      <c r="S1595" s="213" t="s">
        <v>13342</v>
      </c>
      <c r="T1595" s="213" t="s">
        <v>13343</v>
      </c>
      <c r="U1595" s="213" t="s">
        <v>72256</v>
      </c>
    </row>
    <row r="1596" spans="1:21" x14ac:dyDescent="0.25">
      <c r="A1596" s="213" t="s">
        <v>327</v>
      </c>
      <c r="D1596" s="213" t="s">
        <v>13344</v>
      </c>
      <c r="E1596" s="213" t="s">
        <v>13345</v>
      </c>
      <c r="K1596" s="213" t="s">
        <v>72101</v>
      </c>
      <c r="L1596" s="213" t="s">
        <v>72153</v>
      </c>
      <c r="M1596" s="213" t="s">
        <v>72205</v>
      </c>
      <c r="N1596" s="213" t="s">
        <v>13346</v>
      </c>
      <c r="O1596" s="213" t="s">
        <v>13347</v>
      </c>
      <c r="P1596" s="213" t="s">
        <v>13348</v>
      </c>
      <c r="Q1596" s="213" t="s">
        <v>13349</v>
      </c>
      <c r="R1596" s="213" t="s">
        <v>13350</v>
      </c>
      <c r="S1596" s="213" t="s">
        <v>13351</v>
      </c>
      <c r="T1596" s="213" t="s">
        <v>13352</v>
      </c>
      <c r="U1596" s="213" t="s">
        <v>72257</v>
      </c>
    </row>
    <row r="1597" spans="1:21" x14ac:dyDescent="0.25">
      <c r="A1597" s="213" t="s">
        <v>327</v>
      </c>
      <c r="D1597" s="213" t="s">
        <v>13353</v>
      </c>
      <c r="E1597" s="213" t="s">
        <v>13354</v>
      </c>
      <c r="K1597" s="213" t="s">
        <v>72102</v>
      </c>
      <c r="L1597" s="213" t="s">
        <v>72154</v>
      </c>
      <c r="M1597" s="213" t="s">
        <v>72206</v>
      </c>
      <c r="N1597" s="213" t="s">
        <v>13355</v>
      </c>
      <c r="O1597" s="213" t="s">
        <v>13356</v>
      </c>
      <c r="P1597" s="213" t="s">
        <v>13357</v>
      </c>
      <c r="Q1597" s="213" t="s">
        <v>13358</v>
      </c>
      <c r="R1597" s="213" t="s">
        <v>13359</v>
      </c>
      <c r="S1597" s="213" t="s">
        <v>13360</v>
      </c>
      <c r="T1597" s="213" t="s">
        <v>13361</v>
      </c>
      <c r="U1597" s="213" t="s">
        <v>72258</v>
      </c>
    </row>
    <row r="1598" spans="1:21" x14ac:dyDescent="0.25">
      <c r="A1598" s="213" t="s">
        <v>327</v>
      </c>
      <c r="D1598" s="213" t="s">
        <v>13362</v>
      </c>
      <c r="E1598" s="213" t="s">
        <v>13363</v>
      </c>
      <c r="K1598" s="213" t="s">
        <v>72103</v>
      </c>
      <c r="L1598" s="213" t="s">
        <v>72155</v>
      </c>
      <c r="M1598" s="213" t="s">
        <v>72207</v>
      </c>
      <c r="N1598" s="213" t="s">
        <v>13364</v>
      </c>
      <c r="O1598" s="213" t="s">
        <v>13365</v>
      </c>
      <c r="P1598" s="213" t="s">
        <v>13366</v>
      </c>
      <c r="Q1598" s="213" t="s">
        <v>13367</v>
      </c>
      <c r="R1598" s="213" t="s">
        <v>13368</v>
      </c>
      <c r="S1598" s="213" t="s">
        <v>13369</v>
      </c>
      <c r="T1598" s="213" t="s">
        <v>13370</v>
      </c>
      <c r="U1598" s="213" t="s">
        <v>72259</v>
      </c>
    </row>
    <row r="1599" spans="1:21" x14ac:dyDescent="0.25">
      <c r="A1599" s="213" t="s">
        <v>327</v>
      </c>
      <c r="D1599" s="213" t="s">
        <v>13371</v>
      </c>
      <c r="E1599" s="213" t="s">
        <v>13372</v>
      </c>
      <c r="K1599" s="213" t="s">
        <v>72104</v>
      </c>
      <c r="L1599" s="213" t="s">
        <v>72156</v>
      </c>
      <c r="M1599" s="213" t="s">
        <v>72208</v>
      </c>
      <c r="N1599" s="213" t="s">
        <v>13373</v>
      </c>
      <c r="O1599" s="213" t="s">
        <v>13374</v>
      </c>
      <c r="P1599" s="213" t="s">
        <v>13375</v>
      </c>
      <c r="Q1599" s="213" t="s">
        <v>13376</v>
      </c>
      <c r="R1599" s="213" t="s">
        <v>13377</v>
      </c>
      <c r="S1599" s="213" t="s">
        <v>13378</v>
      </c>
      <c r="T1599" s="213" t="s">
        <v>13379</v>
      </c>
      <c r="U1599" s="213" t="s">
        <v>72260</v>
      </c>
    </row>
    <row r="1600" spans="1:21" x14ac:dyDescent="0.25">
      <c r="A1600" s="213" t="s">
        <v>327</v>
      </c>
      <c r="D1600" s="213" t="s">
        <v>13380</v>
      </c>
      <c r="E1600" s="213" t="s">
        <v>13381</v>
      </c>
      <c r="K1600" s="213" t="s">
        <v>72105</v>
      </c>
      <c r="L1600" s="213" t="s">
        <v>72157</v>
      </c>
      <c r="M1600" s="213" t="s">
        <v>72209</v>
      </c>
      <c r="N1600" s="213" t="s">
        <v>13382</v>
      </c>
      <c r="O1600" s="213" t="s">
        <v>13383</v>
      </c>
      <c r="P1600" s="213" t="s">
        <v>13384</v>
      </c>
      <c r="Q1600" s="213" t="s">
        <v>13385</v>
      </c>
      <c r="R1600" s="213" t="s">
        <v>13386</v>
      </c>
      <c r="S1600" s="213" t="s">
        <v>13387</v>
      </c>
      <c r="T1600" s="213" t="s">
        <v>13388</v>
      </c>
      <c r="U1600" s="213" t="s">
        <v>72261</v>
      </c>
    </row>
    <row r="1601" spans="1:21" x14ac:dyDescent="0.25">
      <c r="A1601" s="213" t="s">
        <v>327</v>
      </c>
    </row>
    <row r="1602" spans="1:21" x14ac:dyDescent="0.25">
      <c r="A1602" s="213" t="s">
        <v>327</v>
      </c>
    </row>
    <row r="1603" spans="1:21" x14ac:dyDescent="0.25">
      <c r="A1603" s="213" t="s">
        <v>327</v>
      </c>
      <c r="C1603" s="213" t="s">
        <v>13389</v>
      </c>
      <c r="E1603" s="213" t="s">
        <v>13390</v>
      </c>
      <c r="H1603" s="213" t="s">
        <v>13391</v>
      </c>
      <c r="I1603" s="213" t="s">
        <v>13392</v>
      </c>
      <c r="J1603" s="213" t="s">
        <v>13393</v>
      </c>
      <c r="L1603" s="213" t="s">
        <v>13394</v>
      </c>
      <c r="O1603" s="213" t="s">
        <v>13395</v>
      </c>
      <c r="P1603" s="213" t="s">
        <v>13396</v>
      </c>
      <c r="Q1603" s="213" t="s">
        <v>13397</v>
      </c>
      <c r="R1603" s="213" t="s">
        <v>13398</v>
      </c>
      <c r="S1603" s="213" t="s">
        <v>13399</v>
      </c>
      <c r="T1603" s="213" t="s">
        <v>13400</v>
      </c>
    </row>
    <row r="1604" spans="1:21" x14ac:dyDescent="0.25">
      <c r="A1604" s="213" t="s">
        <v>327</v>
      </c>
      <c r="C1604" s="213" t="s">
        <v>13401</v>
      </c>
      <c r="E1604" s="213" t="s">
        <v>13402</v>
      </c>
      <c r="I1604" s="213" t="s">
        <v>13403</v>
      </c>
    </row>
    <row r="1605" spans="1:21" x14ac:dyDescent="0.25">
      <c r="A1605" s="213" t="s">
        <v>327</v>
      </c>
      <c r="C1605" s="213" t="s">
        <v>13404</v>
      </c>
      <c r="E1605" s="213" t="s">
        <v>13405</v>
      </c>
      <c r="I1605" s="213" t="s">
        <v>13406</v>
      </c>
    </row>
    <row r="1606" spans="1:21" x14ac:dyDescent="0.25">
      <c r="A1606" s="213" t="s">
        <v>328</v>
      </c>
    </row>
    <row r="1607" spans="1:21" x14ac:dyDescent="0.25">
      <c r="A1607" s="213" t="s">
        <v>327</v>
      </c>
      <c r="D1607" s="213" t="s">
        <v>13407</v>
      </c>
      <c r="E1607" s="213" t="s">
        <v>13408</v>
      </c>
      <c r="K1607" s="213" t="s">
        <v>71982</v>
      </c>
      <c r="L1607" s="213" t="s">
        <v>72000</v>
      </c>
      <c r="M1607" s="213" t="s">
        <v>72018</v>
      </c>
      <c r="N1607" s="213" t="s">
        <v>13409</v>
      </c>
      <c r="O1607" s="213" t="s">
        <v>13410</v>
      </c>
      <c r="P1607" s="213" t="s">
        <v>13411</v>
      </c>
      <c r="Q1607" s="213" t="s">
        <v>13412</v>
      </c>
      <c r="R1607" s="213" t="s">
        <v>13413</v>
      </c>
      <c r="S1607" s="213" t="s">
        <v>13414</v>
      </c>
      <c r="T1607" s="213" t="s">
        <v>13415</v>
      </c>
      <c r="U1607" s="213" t="s">
        <v>72036</v>
      </c>
    </row>
    <row r="1608" spans="1:21" x14ac:dyDescent="0.25">
      <c r="A1608" s="213" t="s">
        <v>327</v>
      </c>
      <c r="D1608" s="213" t="s">
        <v>13416</v>
      </c>
      <c r="E1608" s="213" t="s">
        <v>13417</v>
      </c>
      <c r="K1608" s="213" t="s">
        <v>71983</v>
      </c>
      <c r="L1608" s="213" t="s">
        <v>72001</v>
      </c>
      <c r="M1608" s="213" t="s">
        <v>72019</v>
      </c>
      <c r="N1608" s="213" t="s">
        <v>13418</v>
      </c>
      <c r="O1608" s="213" t="s">
        <v>13419</v>
      </c>
      <c r="P1608" s="213" t="s">
        <v>13420</v>
      </c>
      <c r="Q1608" s="213" t="s">
        <v>13421</v>
      </c>
      <c r="R1608" s="213" t="s">
        <v>13422</v>
      </c>
      <c r="S1608" s="213" t="s">
        <v>13423</v>
      </c>
      <c r="T1608" s="213" t="s">
        <v>13424</v>
      </c>
      <c r="U1608" s="213" t="s">
        <v>72037</v>
      </c>
    </row>
    <row r="1609" spans="1:21" x14ac:dyDescent="0.25">
      <c r="A1609" s="213" t="s">
        <v>327</v>
      </c>
      <c r="D1609" s="213" t="s">
        <v>13425</v>
      </c>
      <c r="E1609" s="213" t="s">
        <v>13426</v>
      </c>
      <c r="K1609" s="213" t="s">
        <v>71984</v>
      </c>
      <c r="L1609" s="213" t="s">
        <v>72002</v>
      </c>
      <c r="M1609" s="213" t="s">
        <v>72020</v>
      </c>
      <c r="N1609" s="213" t="s">
        <v>13427</v>
      </c>
      <c r="O1609" s="213" t="s">
        <v>13428</v>
      </c>
      <c r="P1609" s="213" t="s">
        <v>13429</v>
      </c>
      <c r="Q1609" s="213" t="s">
        <v>13430</v>
      </c>
      <c r="R1609" s="213" t="s">
        <v>13431</v>
      </c>
      <c r="S1609" s="213" t="s">
        <v>13432</v>
      </c>
      <c r="T1609" s="213" t="s">
        <v>13433</v>
      </c>
      <c r="U1609" s="213" t="s">
        <v>72038</v>
      </c>
    </row>
    <row r="1610" spans="1:21" x14ac:dyDescent="0.25">
      <c r="A1610" s="213" t="s">
        <v>327</v>
      </c>
      <c r="D1610" s="213" t="s">
        <v>13434</v>
      </c>
      <c r="E1610" s="213" t="s">
        <v>13435</v>
      </c>
      <c r="K1610" s="213" t="s">
        <v>71985</v>
      </c>
      <c r="L1610" s="213" t="s">
        <v>72003</v>
      </c>
      <c r="M1610" s="213" t="s">
        <v>72021</v>
      </c>
      <c r="N1610" s="213" t="s">
        <v>13436</v>
      </c>
      <c r="O1610" s="213" t="s">
        <v>13437</v>
      </c>
      <c r="P1610" s="213" t="s">
        <v>13438</v>
      </c>
      <c r="Q1610" s="213" t="s">
        <v>13439</v>
      </c>
      <c r="R1610" s="213" t="s">
        <v>13440</v>
      </c>
      <c r="S1610" s="213" t="s">
        <v>13441</v>
      </c>
      <c r="T1610" s="213" t="s">
        <v>13442</v>
      </c>
      <c r="U1610" s="213" t="s">
        <v>72039</v>
      </c>
    </row>
    <row r="1611" spans="1:21" x14ac:dyDescent="0.25">
      <c r="A1611" s="213" t="s">
        <v>327</v>
      </c>
      <c r="D1611" s="213" t="s">
        <v>13443</v>
      </c>
      <c r="E1611" s="213" t="s">
        <v>13444</v>
      </c>
      <c r="K1611" s="213" t="s">
        <v>71986</v>
      </c>
      <c r="L1611" s="213" t="s">
        <v>72004</v>
      </c>
      <c r="M1611" s="213" t="s">
        <v>72022</v>
      </c>
      <c r="N1611" s="213" t="s">
        <v>13445</v>
      </c>
      <c r="O1611" s="213" t="s">
        <v>13446</v>
      </c>
      <c r="P1611" s="213" t="s">
        <v>13447</v>
      </c>
      <c r="Q1611" s="213" t="s">
        <v>13448</v>
      </c>
      <c r="R1611" s="213" t="s">
        <v>13449</v>
      </c>
      <c r="S1611" s="213" t="s">
        <v>13450</v>
      </c>
      <c r="T1611" s="213" t="s">
        <v>13451</v>
      </c>
      <c r="U1611" s="213" t="s">
        <v>72040</v>
      </c>
    </row>
    <row r="1612" spans="1:21" x14ac:dyDescent="0.25">
      <c r="A1612" s="213" t="s">
        <v>327</v>
      </c>
      <c r="D1612" s="213" t="s">
        <v>13452</v>
      </c>
      <c r="E1612" s="213" t="s">
        <v>13453</v>
      </c>
      <c r="K1612" s="213" t="s">
        <v>71987</v>
      </c>
      <c r="L1612" s="213" t="s">
        <v>72005</v>
      </c>
      <c r="M1612" s="213" t="s">
        <v>72023</v>
      </c>
      <c r="N1612" s="213" t="s">
        <v>13454</v>
      </c>
      <c r="O1612" s="213" t="s">
        <v>13455</v>
      </c>
      <c r="P1612" s="213" t="s">
        <v>13456</v>
      </c>
      <c r="Q1612" s="213" t="s">
        <v>13457</v>
      </c>
      <c r="R1612" s="213" t="s">
        <v>13458</v>
      </c>
      <c r="S1612" s="213" t="s">
        <v>13459</v>
      </c>
      <c r="T1612" s="213" t="s">
        <v>13460</v>
      </c>
      <c r="U1612" s="213" t="s">
        <v>72041</v>
      </c>
    </row>
    <row r="1613" spans="1:21" x14ac:dyDescent="0.25">
      <c r="A1613" s="213" t="s">
        <v>327</v>
      </c>
      <c r="D1613" s="213" t="s">
        <v>13461</v>
      </c>
      <c r="E1613" s="213" t="s">
        <v>13462</v>
      </c>
      <c r="K1613" s="213" t="s">
        <v>71988</v>
      </c>
      <c r="L1613" s="213" t="s">
        <v>72006</v>
      </c>
      <c r="M1613" s="213" t="s">
        <v>72024</v>
      </c>
      <c r="N1613" s="213" t="s">
        <v>13463</v>
      </c>
      <c r="O1613" s="213" t="s">
        <v>13464</v>
      </c>
      <c r="P1613" s="213" t="s">
        <v>13465</v>
      </c>
      <c r="Q1613" s="213" t="s">
        <v>13466</v>
      </c>
      <c r="R1613" s="213" t="s">
        <v>13467</v>
      </c>
      <c r="S1613" s="213" t="s">
        <v>13468</v>
      </c>
      <c r="T1613" s="213" t="s">
        <v>13469</v>
      </c>
      <c r="U1613" s="213" t="s">
        <v>72042</v>
      </c>
    </row>
    <row r="1614" spans="1:21" x14ac:dyDescent="0.25">
      <c r="A1614" s="213" t="s">
        <v>327</v>
      </c>
      <c r="D1614" s="213" t="s">
        <v>13470</v>
      </c>
      <c r="E1614" s="213" t="s">
        <v>13471</v>
      </c>
      <c r="K1614" s="213" t="s">
        <v>71989</v>
      </c>
      <c r="L1614" s="213" t="s">
        <v>72007</v>
      </c>
      <c r="M1614" s="213" t="s">
        <v>72025</v>
      </c>
      <c r="N1614" s="213" t="s">
        <v>13472</v>
      </c>
      <c r="O1614" s="213" t="s">
        <v>13473</v>
      </c>
      <c r="P1614" s="213" t="s">
        <v>13474</v>
      </c>
      <c r="Q1614" s="213" t="s">
        <v>13475</v>
      </c>
      <c r="R1614" s="213" t="s">
        <v>13476</v>
      </c>
      <c r="S1614" s="213" t="s">
        <v>13477</v>
      </c>
      <c r="T1614" s="213" t="s">
        <v>13478</v>
      </c>
      <c r="U1614" s="213" t="s">
        <v>72043</v>
      </c>
    </row>
    <row r="1615" spans="1:21" x14ac:dyDescent="0.25">
      <c r="A1615" s="213" t="s">
        <v>327</v>
      </c>
      <c r="D1615" s="213" t="s">
        <v>13479</v>
      </c>
      <c r="E1615" s="213" t="s">
        <v>13480</v>
      </c>
      <c r="K1615" s="213" t="s">
        <v>71990</v>
      </c>
      <c r="L1615" s="213" t="s">
        <v>72008</v>
      </c>
      <c r="M1615" s="213" t="s">
        <v>72026</v>
      </c>
      <c r="N1615" s="213" t="s">
        <v>13481</v>
      </c>
      <c r="O1615" s="213" t="s">
        <v>13482</v>
      </c>
      <c r="P1615" s="213" t="s">
        <v>13483</v>
      </c>
      <c r="Q1615" s="213" t="s">
        <v>13484</v>
      </c>
      <c r="R1615" s="213" t="s">
        <v>13485</v>
      </c>
      <c r="S1615" s="213" t="s">
        <v>13486</v>
      </c>
      <c r="T1615" s="213" t="s">
        <v>13487</v>
      </c>
      <c r="U1615" s="213" t="s">
        <v>72044</v>
      </c>
    </row>
    <row r="1616" spans="1:21" x14ac:dyDescent="0.25">
      <c r="A1616" s="213" t="s">
        <v>327</v>
      </c>
      <c r="D1616" s="213" t="s">
        <v>13488</v>
      </c>
      <c r="E1616" s="213" t="s">
        <v>13489</v>
      </c>
      <c r="K1616" s="213" t="s">
        <v>71991</v>
      </c>
      <c r="L1616" s="213" t="s">
        <v>72009</v>
      </c>
      <c r="M1616" s="213" t="s">
        <v>72027</v>
      </c>
      <c r="N1616" s="213" t="s">
        <v>13490</v>
      </c>
      <c r="O1616" s="213" t="s">
        <v>13491</v>
      </c>
      <c r="P1616" s="213" t="s">
        <v>13492</v>
      </c>
      <c r="Q1616" s="213" t="s">
        <v>13493</v>
      </c>
      <c r="R1616" s="213" t="s">
        <v>13494</v>
      </c>
      <c r="S1616" s="213" t="s">
        <v>13495</v>
      </c>
      <c r="T1616" s="213" t="s">
        <v>13496</v>
      </c>
      <c r="U1616" s="213" t="s">
        <v>72045</v>
      </c>
    </row>
    <row r="1617" spans="1:21" x14ac:dyDescent="0.25">
      <c r="A1617" s="213" t="s">
        <v>327</v>
      </c>
      <c r="D1617" s="213" t="s">
        <v>13497</v>
      </c>
      <c r="E1617" s="213" t="s">
        <v>13498</v>
      </c>
      <c r="K1617" s="213" t="s">
        <v>71992</v>
      </c>
      <c r="L1617" s="213" t="s">
        <v>72010</v>
      </c>
      <c r="M1617" s="213" t="s">
        <v>72028</v>
      </c>
      <c r="N1617" s="213" t="s">
        <v>13499</v>
      </c>
      <c r="O1617" s="213" t="s">
        <v>13500</v>
      </c>
      <c r="P1617" s="213" t="s">
        <v>13501</v>
      </c>
      <c r="Q1617" s="213" t="s">
        <v>13502</v>
      </c>
      <c r="R1617" s="213" t="s">
        <v>13503</v>
      </c>
      <c r="S1617" s="213" t="s">
        <v>13504</v>
      </c>
      <c r="T1617" s="213" t="s">
        <v>13505</v>
      </c>
      <c r="U1617" s="213" t="s">
        <v>72046</v>
      </c>
    </row>
    <row r="1618" spans="1:21" x14ac:dyDescent="0.25">
      <c r="A1618" s="213" t="s">
        <v>327</v>
      </c>
      <c r="D1618" s="213" t="s">
        <v>13506</v>
      </c>
      <c r="E1618" s="213" t="s">
        <v>13507</v>
      </c>
      <c r="K1618" s="213" t="s">
        <v>71993</v>
      </c>
      <c r="L1618" s="213" t="s">
        <v>72011</v>
      </c>
      <c r="M1618" s="213" t="s">
        <v>72029</v>
      </c>
      <c r="N1618" s="213" t="s">
        <v>13508</v>
      </c>
      <c r="O1618" s="213" t="s">
        <v>13509</v>
      </c>
      <c r="P1618" s="213" t="s">
        <v>13510</v>
      </c>
      <c r="Q1618" s="213" t="s">
        <v>13511</v>
      </c>
      <c r="R1618" s="213" t="s">
        <v>13512</v>
      </c>
      <c r="S1618" s="213" t="s">
        <v>13513</v>
      </c>
      <c r="T1618" s="213" t="s">
        <v>13514</v>
      </c>
      <c r="U1618" s="213" t="s">
        <v>72047</v>
      </c>
    </row>
    <row r="1619" spans="1:21" x14ac:dyDescent="0.25">
      <c r="A1619" s="213" t="s">
        <v>327</v>
      </c>
      <c r="D1619" s="213" t="s">
        <v>13515</v>
      </c>
      <c r="E1619" s="213" t="s">
        <v>13516</v>
      </c>
      <c r="K1619" s="213" t="s">
        <v>71994</v>
      </c>
      <c r="L1619" s="213" t="s">
        <v>72012</v>
      </c>
      <c r="M1619" s="213" t="s">
        <v>72030</v>
      </c>
      <c r="N1619" s="213" t="s">
        <v>13517</v>
      </c>
      <c r="O1619" s="213" t="s">
        <v>13518</v>
      </c>
      <c r="P1619" s="213" t="s">
        <v>13519</v>
      </c>
      <c r="Q1619" s="213" t="s">
        <v>13520</v>
      </c>
      <c r="R1619" s="213" t="s">
        <v>13521</v>
      </c>
      <c r="S1619" s="213" t="s">
        <v>13522</v>
      </c>
      <c r="T1619" s="213" t="s">
        <v>13523</v>
      </c>
      <c r="U1619" s="213" t="s">
        <v>72048</v>
      </c>
    </row>
    <row r="1620" spans="1:21" x14ac:dyDescent="0.25">
      <c r="A1620" s="213" t="s">
        <v>327</v>
      </c>
      <c r="D1620" s="213" t="s">
        <v>13524</v>
      </c>
      <c r="E1620" s="213" t="s">
        <v>13525</v>
      </c>
      <c r="K1620" s="213" t="s">
        <v>71995</v>
      </c>
      <c r="L1620" s="213" t="s">
        <v>72013</v>
      </c>
      <c r="M1620" s="213" t="s">
        <v>72031</v>
      </c>
      <c r="N1620" s="213" t="s">
        <v>13526</v>
      </c>
      <c r="O1620" s="213" t="s">
        <v>13527</v>
      </c>
      <c r="P1620" s="213" t="s">
        <v>13528</v>
      </c>
      <c r="Q1620" s="213" t="s">
        <v>13529</v>
      </c>
      <c r="R1620" s="213" t="s">
        <v>13530</v>
      </c>
      <c r="S1620" s="213" t="s">
        <v>13531</v>
      </c>
      <c r="T1620" s="213" t="s">
        <v>13532</v>
      </c>
      <c r="U1620" s="213" t="s">
        <v>72049</v>
      </c>
    </row>
    <row r="1621" spans="1:21" x14ac:dyDescent="0.25">
      <c r="A1621" s="213" t="s">
        <v>327</v>
      </c>
      <c r="D1621" s="213" t="s">
        <v>13533</v>
      </c>
      <c r="E1621" s="213" t="s">
        <v>13534</v>
      </c>
      <c r="K1621" s="213" t="s">
        <v>71996</v>
      </c>
      <c r="L1621" s="213" t="s">
        <v>72014</v>
      </c>
      <c r="M1621" s="213" t="s">
        <v>72032</v>
      </c>
      <c r="N1621" s="213" t="s">
        <v>13535</v>
      </c>
      <c r="O1621" s="213" t="s">
        <v>13536</v>
      </c>
      <c r="P1621" s="213" t="s">
        <v>13537</v>
      </c>
      <c r="Q1621" s="213" t="s">
        <v>13538</v>
      </c>
      <c r="R1621" s="213" t="s">
        <v>13539</v>
      </c>
      <c r="S1621" s="213" t="s">
        <v>13540</v>
      </c>
      <c r="T1621" s="213" t="s">
        <v>13541</v>
      </c>
      <c r="U1621" s="213" t="s">
        <v>72050</v>
      </c>
    </row>
    <row r="1622" spans="1:21" x14ac:dyDescent="0.25">
      <c r="A1622" s="213" t="s">
        <v>327</v>
      </c>
      <c r="D1622" s="213" t="s">
        <v>13542</v>
      </c>
      <c r="E1622" s="213" t="s">
        <v>13543</v>
      </c>
      <c r="K1622" s="213" t="s">
        <v>71997</v>
      </c>
      <c r="L1622" s="213" t="s">
        <v>72015</v>
      </c>
      <c r="M1622" s="213" t="s">
        <v>72033</v>
      </c>
      <c r="N1622" s="213" t="s">
        <v>13544</v>
      </c>
      <c r="O1622" s="213" t="s">
        <v>13545</v>
      </c>
      <c r="P1622" s="213" t="s">
        <v>13546</v>
      </c>
      <c r="Q1622" s="213" t="s">
        <v>13547</v>
      </c>
      <c r="R1622" s="213" t="s">
        <v>13548</v>
      </c>
      <c r="S1622" s="213" t="s">
        <v>13549</v>
      </c>
      <c r="T1622" s="213" t="s">
        <v>13550</v>
      </c>
      <c r="U1622" s="213" t="s">
        <v>72051</v>
      </c>
    </row>
    <row r="1623" spans="1:21" x14ac:dyDescent="0.25">
      <c r="A1623" s="213" t="s">
        <v>327</v>
      </c>
      <c r="D1623" s="213" t="s">
        <v>13551</v>
      </c>
      <c r="E1623" s="213" t="s">
        <v>13552</v>
      </c>
      <c r="K1623" s="213" t="s">
        <v>71998</v>
      </c>
      <c r="L1623" s="213" t="s">
        <v>72016</v>
      </c>
      <c r="M1623" s="213" t="s">
        <v>72034</v>
      </c>
      <c r="N1623" s="213" t="s">
        <v>13553</v>
      </c>
      <c r="O1623" s="213" t="s">
        <v>13554</v>
      </c>
      <c r="P1623" s="213" t="s">
        <v>13555</v>
      </c>
      <c r="Q1623" s="213" t="s">
        <v>13556</v>
      </c>
      <c r="R1623" s="213" t="s">
        <v>13557</v>
      </c>
      <c r="S1623" s="213" t="s">
        <v>13558</v>
      </c>
      <c r="T1623" s="213" t="s">
        <v>13559</v>
      </c>
      <c r="U1623" s="213" t="s">
        <v>72052</v>
      </c>
    </row>
    <row r="1624" spans="1:21" x14ac:dyDescent="0.25">
      <c r="A1624" s="213" t="s">
        <v>327</v>
      </c>
      <c r="D1624" s="213" t="s">
        <v>13560</v>
      </c>
      <c r="E1624" s="213" t="s">
        <v>13561</v>
      </c>
      <c r="K1624" s="213" t="s">
        <v>71999</v>
      </c>
      <c r="L1624" s="213" t="s">
        <v>72017</v>
      </c>
      <c r="M1624" s="213" t="s">
        <v>72035</v>
      </c>
      <c r="N1624" s="213" t="s">
        <v>13562</v>
      </c>
      <c r="O1624" s="213" t="s">
        <v>13563</v>
      </c>
      <c r="P1624" s="213" t="s">
        <v>13564</v>
      </c>
      <c r="Q1624" s="213" t="s">
        <v>13565</v>
      </c>
      <c r="R1624" s="213" t="s">
        <v>13566</v>
      </c>
      <c r="S1624" s="213" t="s">
        <v>13567</v>
      </c>
      <c r="T1624" s="213" t="s">
        <v>13568</v>
      </c>
      <c r="U1624" s="213" t="s">
        <v>72053</v>
      </c>
    </row>
    <row r="1625" spans="1:21" x14ac:dyDescent="0.25">
      <c r="A1625" s="213" t="s">
        <v>327</v>
      </c>
    </row>
    <row r="1626" spans="1:21" x14ac:dyDescent="0.25">
      <c r="A1626" s="213" t="s">
        <v>327</v>
      </c>
    </row>
    <row r="1627" spans="1:21" x14ac:dyDescent="0.25">
      <c r="A1627" s="213" t="s">
        <v>327</v>
      </c>
      <c r="C1627" s="213" t="s">
        <v>13569</v>
      </c>
      <c r="E1627" s="213" t="s">
        <v>13570</v>
      </c>
      <c r="H1627" s="213" t="s">
        <v>13571</v>
      </c>
      <c r="I1627" s="213" t="s">
        <v>13572</v>
      </c>
      <c r="J1627" s="213" t="s">
        <v>13573</v>
      </c>
      <c r="L1627" s="213" t="s">
        <v>13574</v>
      </c>
      <c r="O1627" s="213" t="s">
        <v>13575</v>
      </c>
      <c r="P1627" s="213" t="s">
        <v>13576</v>
      </c>
      <c r="Q1627" s="213" t="s">
        <v>13577</v>
      </c>
      <c r="R1627" s="213" t="s">
        <v>13578</v>
      </c>
      <c r="S1627" s="213" t="s">
        <v>13579</v>
      </c>
      <c r="T1627" s="213" t="s">
        <v>13580</v>
      </c>
    </row>
    <row r="1628" spans="1:21" x14ac:dyDescent="0.25">
      <c r="A1628" s="213" t="s">
        <v>327</v>
      </c>
      <c r="C1628" s="213" t="s">
        <v>13581</v>
      </c>
      <c r="E1628" s="213" t="s">
        <v>13582</v>
      </c>
      <c r="I1628" s="213" t="s">
        <v>13583</v>
      </c>
    </row>
    <row r="1629" spans="1:21" x14ac:dyDescent="0.25">
      <c r="A1629" s="213" t="s">
        <v>327</v>
      </c>
      <c r="C1629" s="213" t="s">
        <v>13584</v>
      </c>
      <c r="E1629" s="213" t="s">
        <v>13585</v>
      </c>
      <c r="I1629" s="213" t="s">
        <v>13586</v>
      </c>
    </row>
    <row r="1630" spans="1:21" x14ac:dyDescent="0.25">
      <c r="A1630" s="213" t="s">
        <v>328</v>
      </c>
    </row>
    <row r="1631" spans="1:21" x14ac:dyDescent="0.25">
      <c r="A1631" s="213" t="s">
        <v>327</v>
      </c>
      <c r="D1631" s="213" t="s">
        <v>13587</v>
      </c>
      <c r="E1631" s="213" t="s">
        <v>13588</v>
      </c>
      <c r="K1631" s="213" t="s">
        <v>71926</v>
      </c>
      <c r="L1631" s="213" t="s">
        <v>71940</v>
      </c>
      <c r="M1631" s="213" t="s">
        <v>71954</v>
      </c>
      <c r="N1631" s="213" t="s">
        <v>13589</v>
      </c>
      <c r="O1631" s="213" t="s">
        <v>13590</v>
      </c>
      <c r="P1631" s="213" t="s">
        <v>13591</v>
      </c>
      <c r="Q1631" s="213" t="s">
        <v>13592</v>
      </c>
      <c r="R1631" s="213" t="s">
        <v>13593</v>
      </c>
      <c r="S1631" s="213" t="s">
        <v>13594</v>
      </c>
      <c r="T1631" s="213" t="s">
        <v>13595</v>
      </c>
      <c r="U1631" s="213" t="s">
        <v>71968</v>
      </c>
    </row>
    <row r="1632" spans="1:21" x14ac:dyDescent="0.25">
      <c r="A1632" s="213" t="s">
        <v>327</v>
      </c>
      <c r="D1632" s="213" t="s">
        <v>13596</v>
      </c>
      <c r="E1632" s="213" t="s">
        <v>13597</v>
      </c>
      <c r="K1632" s="213" t="s">
        <v>71927</v>
      </c>
      <c r="L1632" s="213" t="s">
        <v>71941</v>
      </c>
      <c r="M1632" s="213" t="s">
        <v>71955</v>
      </c>
      <c r="N1632" s="213" t="s">
        <v>13598</v>
      </c>
      <c r="O1632" s="213" t="s">
        <v>13599</v>
      </c>
      <c r="P1632" s="213" t="s">
        <v>13600</v>
      </c>
      <c r="Q1632" s="213" t="s">
        <v>13601</v>
      </c>
      <c r="R1632" s="213" t="s">
        <v>13602</v>
      </c>
      <c r="S1632" s="213" t="s">
        <v>13603</v>
      </c>
      <c r="T1632" s="213" t="s">
        <v>13604</v>
      </c>
      <c r="U1632" s="213" t="s">
        <v>71969</v>
      </c>
    </row>
    <row r="1633" spans="1:21" x14ac:dyDescent="0.25">
      <c r="A1633" s="213" t="s">
        <v>327</v>
      </c>
      <c r="D1633" s="213" t="s">
        <v>13605</v>
      </c>
      <c r="E1633" s="213" t="s">
        <v>13606</v>
      </c>
      <c r="K1633" s="213" t="s">
        <v>71928</v>
      </c>
      <c r="L1633" s="213" t="s">
        <v>71942</v>
      </c>
      <c r="M1633" s="213" t="s">
        <v>71956</v>
      </c>
      <c r="N1633" s="213" t="s">
        <v>13607</v>
      </c>
      <c r="O1633" s="213" t="s">
        <v>13608</v>
      </c>
      <c r="P1633" s="213" t="s">
        <v>13609</v>
      </c>
      <c r="Q1633" s="213" t="s">
        <v>13610</v>
      </c>
      <c r="R1633" s="213" t="s">
        <v>13611</v>
      </c>
      <c r="S1633" s="213" t="s">
        <v>13612</v>
      </c>
      <c r="T1633" s="213" t="s">
        <v>13613</v>
      </c>
      <c r="U1633" s="213" t="s">
        <v>71970</v>
      </c>
    </row>
    <row r="1634" spans="1:21" x14ac:dyDescent="0.25">
      <c r="A1634" s="213" t="s">
        <v>327</v>
      </c>
      <c r="D1634" s="213" t="s">
        <v>13614</v>
      </c>
      <c r="E1634" s="213" t="s">
        <v>13615</v>
      </c>
      <c r="K1634" s="213" t="s">
        <v>71929</v>
      </c>
      <c r="L1634" s="213" t="s">
        <v>71943</v>
      </c>
      <c r="M1634" s="213" t="s">
        <v>71957</v>
      </c>
      <c r="N1634" s="213" t="s">
        <v>13616</v>
      </c>
      <c r="O1634" s="213" t="s">
        <v>13617</v>
      </c>
      <c r="P1634" s="213" t="s">
        <v>13618</v>
      </c>
      <c r="Q1634" s="213" t="s">
        <v>13619</v>
      </c>
      <c r="R1634" s="213" t="s">
        <v>13620</v>
      </c>
      <c r="S1634" s="213" t="s">
        <v>13621</v>
      </c>
      <c r="T1634" s="213" t="s">
        <v>13622</v>
      </c>
      <c r="U1634" s="213" t="s">
        <v>71971</v>
      </c>
    </row>
    <row r="1635" spans="1:21" x14ac:dyDescent="0.25">
      <c r="A1635" s="213" t="s">
        <v>327</v>
      </c>
      <c r="D1635" s="213" t="s">
        <v>13623</v>
      </c>
      <c r="E1635" s="213" t="s">
        <v>13624</v>
      </c>
      <c r="K1635" s="213" t="s">
        <v>71930</v>
      </c>
      <c r="L1635" s="213" t="s">
        <v>71944</v>
      </c>
      <c r="M1635" s="213" t="s">
        <v>71958</v>
      </c>
      <c r="N1635" s="213" t="s">
        <v>13625</v>
      </c>
      <c r="O1635" s="213" t="s">
        <v>13626</v>
      </c>
      <c r="P1635" s="213" t="s">
        <v>13627</v>
      </c>
      <c r="Q1635" s="213" t="s">
        <v>13628</v>
      </c>
      <c r="R1635" s="213" t="s">
        <v>13629</v>
      </c>
      <c r="S1635" s="213" t="s">
        <v>13630</v>
      </c>
      <c r="T1635" s="213" t="s">
        <v>13631</v>
      </c>
      <c r="U1635" s="213" t="s">
        <v>71972</v>
      </c>
    </row>
    <row r="1636" spans="1:21" x14ac:dyDescent="0.25">
      <c r="A1636" s="213" t="s">
        <v>327</v>
      </c>
      <c r="D1636" s="213" t="s">
        <v>13632</v>
      </c>
      <c r="E1636" s="213" t="s">
        <v>13633</v>
      </c>
      <c r="K1636" s="213" t="s">
        <v>71931</v>
      </c>
      <c r="L1636" s="213" t="s">
        <v>71945</v>
      </c>
      <c r="M1636" s="213" t="s">
        <v>71959</v>
      </c>
      <c r="N1636" s="213" t="s">
        <v>13634</v>
      </c>
      <c r="O1636" s="213" t="s">
        <v>13635</v>
      </c>
      <c r="P1636" s="213" t="s">
        <v>13636</v>
      </c>
      <c r="Q1636" s="213" t="s">
        <v>13637</v>
      </c>
      <c r="R1636" s="213" t="s">
        <v>13638</v>
      </c>
      <c r="S1636" s="213" t="s">
        <v>13639</v>
      </c>
      <c r="T1636" s="213" t="s">
        <v>13640</v>
      </c>
      <c r="U1636" s="213" t="s">
        <v>71973</v>
      </c>
    </row>
    <row r="1637" spans="1:21" x14ac:dyDescent="0.25">
      <c r="A1637" s="213" t="s">
        <v>327</v>
      </c>
      <c r="D1637" s="213" t="s">
        <v>13641</v>
      </c>
      <c r="E1637" s="213" t="s">
        <v>13642</v>
      </c>
      <c r="K1637" s="213" t="s">
        <v>71932</v>
      </c>
      <c r="L1637" s="213" t="s">
        <v>71946</v>
      </c>
      <c r="M1637" s="213" t="s">
        <v>71960</v>
      </c>
      <c r="N1637" s="213" t="s">
        <v>13643</v>
      </c>
      <c r="O1637" s="213" t="s">
        <v>13644</v>
      </c>
      <c r="P1637" s="213" t="s">
        <v>13645</v>
      </c>
      <c r="Q1637" s="213" t="s">
        <v>13646</v>
      </c>
      <c r="R1637" s="213" t="s">
        <v>13647</v>
      </c>
      <c r="S1637" s="213" t="s">
        <v>13648</v>
      </c>
      <c r="T1637" s="213" t="s">
        <v>13649</v>
      </c>
      <c r="U1637" s="213" t="s">
        <v>71974</v>
      </c>
    </row>
    <row r="1638" spans="1:21" x14ac:dyDescent="0.25">
      <c r="A1638" s="213" t="s">
        <v>327</v>
      </c>
      <c r="D1638" s="213" t="s">
        <v>13650</v>
      </c>
      <c r="E1638" s="213" t="s">
        <v>13651</v>
      </c>
      <c r="K1638" s="213" t="s">
        <v>71933</v>
      </c>
      <c r="L1638" s="213" t="s">
        <v>71947</v>
      </c>
      <c r="M1638" s="213" t="s">
        <v>71961</v>
      </c>
      <c r="N1638" s="213" t="s">
        <v>13652</v>
      </c>
      <c r="O1638" s="213" t="s">
        <v>13653</v>
      </c>
      <c r="P1638" s="213" t="s">
        <v>13654</v>
      </c>
      <c r="Q1638" s="213" t="s">
        <v>13655</v>
      </c>
      <c r="R1638" s="213" t="s">
        <v>13656</v>
      </c>
      <c r="S1638" s="213" t="s">
        <v>13657</v>
      </c>
      <c r="T1638" s="213" t="s">
        <v>13658</v>
      </c>
      <c r="U1638" s="213" t="s">
        <v>71975</v>
      </c>
    </row>
    <row r="1639" spans="1:21" x14ac:dyDescent="0.25">
      <c r="A1639" s="213" t="s">
        <v>327</v>
      </c>
      <c r="D1639" s="213" t="s">
        <v>13659</v>
      </c>
      <c r="E1639" s="213" t="s">
        <v>13660</v>
      </c>
      <c r="K1639" s="213" t="s">
        <v>71934</v>
      </c>
      <c r="L1639" s="213" t="s">
        <v>71948</v>
      </c>
      <c r="M1639" s="213" t="s">
        <v>71962</v>
      </c>
      <c r="N1639" s="213" t="s">
        <v>13661</v>
      </c>
      <c r="O1639" s="213" t="s">
        <v>13662</v>
      </c>
      <c r="P1639" s="213" t="s">
        <v>13663</v>
      </c>
      <c r="Q1639" s="213" t="s">
        <v>13664</v>
      </c>
      <c r="R1639" s="213" t="s">
        <v>13665</v>
      </c>
      <c r="S1639" s="213" t="s">
        <v>13666</v>
      </c>
      <c r="T1639" s="213" t="s">
        <v>13667</v>
      </c>
      <c r="U1639" s="213" t="s">
        <v>71976</v>
      </c>
    </row>
    <row r="1640" spans="1:21" x14ac:dyDescent="0.25">
      <c r="A1640" s="213" t="s">
        <v>327</v>
      </c>
      <c r="D1640" s="213" t="s">
        <v>13668</v>
      </c>
      <c r="E1640" s="213" t="s">
        <v>13669</v>
      </c>
      <c r="K1640" s="213" t="s">
        <v>71935</v>
      </c>
      <c r="L1640" s="213" t="s">
        <v>71949</v>
      </c>
      <c r="M1640" s="213" t="s">
        <v>71963</v>
      </c>
      <c r="N1640" s="213" t="s">
        <v>13670</v>
      </c>
      <c r="O1640" s="213" t="s">
        <v>13671</v>
      </c>
      <c r="P1640" s="213" t="s">
        <v>13672</v>
      </c>
      <c r="Q1640" s="213" t="s">
        <v>13673</v>
      </c>
      <c r="R1640" s="213" t="s">
        <v>13674</v>
      </c>
      <c r="S1640" s="213" t="s">
        <v>13675</v>
      </c>
      <c r="T1640" s="213" t="s">
        <v>13676</v>
      </c>
      <c r="U1640" s="213" t="s">
        <v>71977</v>
      </c>
    </row>
    <row r="1641" spans="1:21" x14ac:dyDescent="0.25">
      <c r="A1641" s="213" t="s">
        <v>327</v>
      </c>
      <c r="D1641" s="213" t="s">
        <v>13677</v>
      </c>
      <c r="E1641" s="213" t="s">
        <v>13678</v>
      </c>
      <c r="K1641" s="213" t="s">
        <v>71936</v>
      </c>
      <c r="L1641" s="213" t="s">
        <v>71950</v>
      </c>
      <c r="M1641" s="213" t="s">
        <v>71964</v>
      </c>
      <c r="N1641" s="213" t="s">
        <v>13679</v>
      </c>
      <c r="O1641" s="213" t="s">
        <v>13680</v>
      </c>
      <c r="P1641" s="213" t="s">
        <v>13681</v>
      </c>
      <c r="Q1641" s="213" t="s">
        <v>13682</v>
      </c>
      <c r="R1641" s="213" t="s">
        <v>13683</v>
      </c>
      <c r="S1641" s="213" t="s">
        <v>13684</v>
      </c>
      <c r="T1641" s="213" t="s">
        <v>13685</v>
      </c>
      <c r="U1641" s="213" t="s">
        <v>71978</v>
      </c>
    </row>
    <row r="1642" spans="1:21" x14ac:dyDescent="0.25">
      <c r="A1642" s="213" t="s">
        <v>327</v>
      </c>
      <c r="D1642" s="213" t="s">
        <v>13686</v>
      </c>
      <c r="E1642" s="213" t="s">
        <v>13687</v>
      </c>
      <c r="K1642" s="213" t="s">
        <v>71937</v>
      </c>
      <c r="L1642" s="213" t="s">
        <v>71951</v>
      </c>
      <c r="M1642" s="213" t="s">
        <v>71965</v>
      </c>
      <c r="N1642" s="213" t="s">
        <v>13688</v>
      </c>
      <c r="O1642" s="213" t="s">
        <v>13689</v>
      </c>
      <c r="P1642" s="213" t="s">
        <v>13690</v>
      </c>
      <c r="Q1642" s="213" t="s">
        <v>13691</v>
      </c>
      <c r="R1642" s="213" t="s">
        <v>13692</v>
      </c>
      <c r="S1642" s="213" t="s">
        <v>13693</v>
      </c>
      <c r="T1642" s="213" t="s">
        <v>13694</v>
      </c>
      <c r="U1642" s="213" t="s">
        <v>71979</v>
      </c>
    </row>
    <row r="1643" spans="1:21" x14ac:dyDescent="0.25">
      <c r="A1643" s="213" t="s">
        <v>327</v>
      </c>
      <c r="D1643" s="213" t="s">
        <v>13695</v>
      </c>
      <c r="E1643" s="213" t="s">
        <v>13696</v>
      </c>
      <c r="K1643" s="213" t="s">
        <v>71938</v>
      </c>
      <c r="L1643" s="213" t="s">
        <v>71952</v>
      </c>
      <c r="M1643" s="213" t="s">
        <v>71966</v>
      </c>
      <c r="N1643" s="213" t="s">
        <v>13697</v>
      </c>
      <c r="O1643" s="213" t="s">
        <v>13698</v>
      </c>
      <c r="P1643" s="213" t="s">
        <v>13699</v>
      </c>
      <c r="Q1643" s="213" t="s">
        <v>13700</v>
      </c>
      <c r="R1643" s="213" t="s">
        <v>13701</v>
      </c>
      <c r="S1643" s="213" t="s">
        <v>13702</v>
      </c>
      <c r="T1643" s="213" t="s">
        <v>13703</v>
      </c>
      <c r="U1643" s="213" t="s">
        <v>71980</v>
      </c>
    </row>
    <row r="1644" spans="1:21" x14ac:dyDescent="0.25">
      <c r="A1644" s="213" t="s">
        <v>327</v>
      </c>
      <c r="D1644" s="213" t="s">
        <v>13704</v>
      </c>
      <c r="E1644" s="213" t="s">
        <v>13705</v>
      </c>
      <c r="K1644" s="213" t="s">
        <v>71939</v>
      </c>
      <c r="L1644" s="213" t="s">
        <v>71953</v>
      </c>
      <c r="M1644" s="213" t="s">
        <v>71967</v>
      </c>
      <c r="N1644" s="213" t="s">
        <v>13706</v>
      </c>
      <c r="O1644" s="213" t="s">
        <v>13707</v>
      </c>
      <c r="P1644" s="213" t="s">
        <v>13708</v>
      </c>
      <c r="Q1644" s="213" t="s">
        <v>13709</v>
      </c>
      <c r="R1644" s="213" t="s">
        <v>13710</v>
      </c>
      <c r="S1644" s="213" t="s">
        <v>13711</v>
      </c>
      <c r="T1644" s="213" t="s">
        <v>13712</v>
      </c>
      <c r="U1644" s="213" t="s">
        <v>71981</v>
      </c>
    </row>
    <row r="1645" spans="1:21" x14ac:dyDescent="0.25">
      <c r="A1645" s="213" t="s">
        <v>327</v>
      </c>
    </row>
    <row r="1646" spans="1:21" x14ac:dyDescent="0.25">
      <c r="A1646" s="213" t="s">
        <v>327</v>
      </c>
    </row>
    <row r="1647" spans="1:21" x14ac:dyDescent="0.25">
      <c r="A1647" s="213" t="s">
        <v>327</v>
      </c>
      <c r="C1647" s="213" t="s">
        <v>13713</v>
      </c>
      <c r="E1647" s="213" t="s">
        <v>13714</v>
      </c>
      <c r="H1647" s="213" t="s">
        <v>13715</v>
      </c>
      <c r="I1647" s="213" t="s">
        <v>13716</v>
      </c>
      <c r="J1647" s="213" t="s">
        <v>13717</v>
      </c>
      <c r="L1647" s="213" t="s">
        <v>13718</v>
      </c>
      <c r="O1647" s="213" t="s">
        <v>13719</v>
      </c>
      <c r="P1647" s="213" t="s">
        <v>13720</v>
      </c>
      <c r="Q1647" s="213" t="s">
        <v>13721</v>
      </c>
      <c r="R1647" s="213" t="s">
        <v>13722</v>
      </c>
      <c r="S1647" s="213" t="s">
        <v>13723</v>
      </c>
      <c r="T1647" s="213" t="s">
        <v>13724</v>
      </c>
    </row>
    <row r="1648" spans="1:21" x14ac:dyDescent="0.25">
      <c r="A1648" s="213" t="s">
        <v>327</v>
      </c>
      <c r="C1648" s="213" t="s">
        <v>13725</v>
      </c>
      <c r="E1648" s="213" t="s">
        <v>13726</v>
      </c>
      <c r="I1648" s="213" t="s">
        <v>13727</v>
      </c>
    </row>
    <row r="1649" spans="1:21" x14ac:dyDescent="0.25">
      <c r="A1649" s="213" t="s">
        <v>327</v>
      </c>
      <c r="C1649" s="213" t="s">
        <v>13728</v>
      </c>
      <c r="E1649" s="213" t="s">
        <v>13729</v>
      </c>
      <c r="I1649" s="213" t="s">
        <v>13730</v>
      </c>
    </row>
    <row r="1650" spans="1:21" x14ac:dyDescent="0.25">
      <c r="A1650" s="213" t="s">
        <v>328</v>
      </c>
    </row>
    <row r="1651" spans="1:21" x14ac:dyDescent="0.25">
      <c r="A1651" s="213" t="s">
        <v>327</v>
      </c>
      <c r="D1651" s="213" t="s">
        <v>13731</v>
      </c>
      <c r="E1651" s="213" t="s">
        <v>13732</v>
      </c>
      <c r="K1651" s="213" t="s">
        <v>71626</v>
      </c>
      <c r="L1651" s="213" t="s">
        <v>71701</v>
      </c>
      <c r="M1651" s="213" t="s">
        <v>71776</v>
      </c>
      <c r="N1651" s="213" t="s">
        <v>13733</v>
      </c>
      <c r="O1651" s="213" t="s">
        <v>13734</v>
      </c>
      <c r="P1651" s="213" t="s">
        <v>13735</v>
      </c>
      <c r="Q1651" s="213" t="s">
        <v>13736</v>
      </c>
      <c r="R1651" s="213" t="s">
        <v>13737</v>
      </c>
      <c r="S1651" s="213" t="s">
        <v>13738</v>
      </c>
      <c r="T1651" s="213" t="s">
        <v>13739</v>
      </c>
      <c r="U1651" s="213" t="s">
        <v>71851</v>
      </c>
    </row>
    <row r="1652" spans="1:21" x14ac:dyDescent="0.25">
      <c r="A1652" s="213" t="s">
        <v>327</v>
      </c>
      <c r="D1652" s="213" t="s">
        <v>13740</v>
      </c>
      <c r="E1652" s="213" t="s">
        <v>13741</v>
      </c>
      <c r="K1652" s="213" t="s">
        <v>71627</v>
      </c>
      <c r="L1652" s="213" t="s">
        <v>71702</v>
      </c>
      <c r="M1652" s="213" t="s">
        <v>71777</v>
      </c>
      <c r="N1652" s="213" t="s">
        <v>13742</v>
      </c>
      <c r="O1652" s="213" t="s">
        <v>13743</v>
      </c>
      <c r="P1652" s="213" t="s">
        <v>13744</v>
      </c>
      <c r="Q1652" s="213" t="s">
        <v>13745</v>
      </c>
      <c r="R1652" s="213" t="s">
        <v>13746</v>
      </c>
      <c r="S1652" s="213" t="s">
        <v>13747</v>
      </c>
      <c r="T1652" s="213" t="s">
        <v>13748</v>
      </c>
      <c r="U1652" s="213" t="s">
        <v>71852</v>
      </c>
    </row>
    <row r="1653" spans="1:21" x14ac:dyDescent="0.25">
      <c r="A1653" s="213" t="s">
        <v>327</v>
      </c>
      <c r="D1653" s="213" t="s">
        <v>13749</v>
      </c>
      <c r="E1653" s="213" t="s">
        <v>13750</v>
      </c>
      <c r="K1653" s="213" t="s">
        <v>71628</v>
      </c>
      <c r="L1653" s="213" t="s">
        <v>71703</v>
      </c>
      <c r="M1653" s="213" t="s">
        <v>71778</v>
      </c>
      <c r="N1653" s="213" t="s">
        <v>13751</v>
      </c>
      <c r="O1653" s="213" t="s">
        <v>13752</v>
      </c>
      <c r="P1653" s="213" t="s">
        <v>13753</v>
      </c>
      <c r="Q1653" s="213" t="s">
        <v>13754</v>
      </c>
      <c r="R1653" s="213" t="s">
        <v>13755</v>
      </c>
      <c r="S1653" s="213" t="s">
        <v>13756</v>
      </c>
      <c r="T1653" s="213" t="s">
        <v>13757</v>
      </c>
      <c r="U1653" s="213" t="s">
        <v>71853</v>
      </c>
    </row>
    <row r="1654" spans="1:21" x14ac:dyDescent="0.25">
      <c r="A1654" s="213" t="s">
        <v>327</v>
      </c>
      <c r="D1654" s="213" t="s">
        <v>13758</v>
      </c>
      <c r="E1654" s="213" t="s">
        <v>13759</v>
      </c>
      <c r="K1654" s="213" t="s">
        <v>71629</v>
      </c>
      <c r="L1654" s="213" t="s">
        <v>71704</v>
      </c>
      <c r="M1654" s="213" t="s">
        <v>71779</v>
      </c>
      <c r="N1654" s="213" t="s">
        <v>13760</v>
      </c>
      <c r="O1654" s="213" t="s">
        <v>13761</v>
      </c>
      <c r="P1654" s="213" t="s">
        <v>13762</v>
      </c>
      <c r="Q1654" s="213" t="s">
        <v>13763</v>
      </c>
      <c r="R1654" s="213" t="s">
        <v>13764</v>
      </c>
      <c r="S1654" s="213" t="s">
        <v>13765</v>
      </c>
      <c r="T1654" s="213" t="s">
        <v>13766</v>
      </c>
      <c r="U1654" s="213" t="s">
        <v>71854</v>
      </c>
    </row>
    <row r="1655" spans="1:21" x14ac:dyDescent="0.25">
      <c r="A1655" s="213" t="s">
        <v>327</v>
      </c>
      <c r="D1655" s="213" t="s">
        <v>13767</v>
      </c>
      <c r="E1655" s="213" t="s">
        <v>13768</v>
      </c>
      <c r="K1655" s="213" t="s">
        <v>71630</v>
      </c>
      <c r="L1655" s="213" t="s">
        <v>71705</v>
      </c>
      <c r="M1655" s="213" t="s">
        <v>71780</v>
      </c>
      <c r="N1655" s="213" t="s">
        <v>13769</v>
      </c>
      <c r="O1655" s="213" t="s">
        <v>13770</v>
      </c>
      <c r="P1655" s="213" t="s">
        <v>13771</v>
      </c>
      <c r="Q1655" s="213" t="s">
        <v>13772</v>
      </c>
      <c r="R1655" s="213" t="s">
        <v>13773</v>
      </c>
      <c r="S1655" s="213" t="s">
        <v>13774</v>
      </c>
      <c r="T1655" s="213" t="s">
        <v>13775</v>
      </c>
      <c r="U1655" s="213" t="s">
        <v>71855</v>
      </c>
    </row>
    <row r="1656" spans="1:21" x14ac:dyDescent="0.25">
      <c r="A1656" s="213" t="s">
        <v>327</v>
      </c>
      <c r="D1656" s="213" t="s">
        <v>13776</v>
      </c>
      <c r="E1656" s="213" t="s">
        <v>13777</v>
      </c>
      <c r="K1656" s="213" t="s">
        <v>71631</v>
      </c>
      <c r="L1656" s="213" t="s">
        <v>71706</v>
      </c>
      <c r="M1656" s="213" t="s">
        <v>71781</v>
      </c>
      <c r="N1656" s="213" t="s">
        <v>13778</v>
      </c>
      <c r="O1656" s="213" t="s">
        <v>13779</v>
      </c>
      <c r="P1656" s="213" t="s">
        <v>13780</v>
      </c>
      <c r="Q1656" s="213" t="s">
        <v>13781</v>
      </c>
      <c r="R1656" s="213" t="s">
        <v>13782</v>
      </c>
      <c r="S1656" s="213" t="s">
        <v>13783</v>
      </c>
      <c r="T1656" s="213" t="s">
        <v>13784</v>
      </c>
      <c r="U1656" s="213" t="s">
        <v>71856</v>
      </c>
    </row>
    <row r="1657" spans="1:21" x14ac:dyDescent="0.25">
      <c r="A1657" s="213" t="s">
        <v>327</v>
      </c>
      <c r="D1657" s="213" t="s">
        <v>13785</v>
      </c>
      <c r="E1657" s="213" t="s">
        <v>13786</v>
      </c>
      <c r="K1657" s="213" t="s">
        <v>71632</v>
      </c>
      <c r="L1657" s="213" t="s">
        <v>71707</v>
      </c>
      <c r="M1657" s="213" t="s">
        <v>71782</v>
      </c>
      <c r="N1657" s="213" t="s">
        <v>13787</v>
      </c>
      <c r="O1657" s="213" t="s">
        <v>13788</v>
      </c>
      <c r="P1657" s="213" t="s">
        <v>13789</v>
      </c>
      <c r="Q1657" s="213" t="s">
        <v>13790</v>
      </c>
      <c r="R1657" s="213" t="s">
        <v>13791</v>
      </c>
      <c r="S1657" s="213" t="s">
        <v>13792</v>
      </c>
      <c r="T1657" s="213" t="s">
        <v>13793</v>
      </c>
      <c r="U1657" s="213" t="s">
        <v>71857</v>
      </c>
    </row>
    <row r="1658" spans="1:21" x14ac:dyDescent="0.25">
      <c r="A1658" s="213" t="s">
        <v>327</v>
      </c>
      <c r="D1658" s="213" t="s">
        <v>13794</v>
      </c>
      <c r="E1658" s="213" t="s">
        <v>13795</v>
      </c>
      <c r="K1658" s="213" t="s">
        <v>71633</v>
      </c>
      <c r="L1658" s="213" t="s">
        <v>71708</v>
      </c>
      <c r="M1658" s="213" t="s">
        <v>71783</v>
      </c>
      <c r="N1658" s="213" t="s">
        <v>13796</v>
      </c>
      <c r="O1658" s="213" t="s">
        <v>13797</v>
      </c>
      <c r="P1658" s="213" t="s">
        <v>13798</v>
      </c>
      <c r="Q1658" s="213" t="s">
        <v>13799</v>
      </c>
      <c r="R1658" s="213" t="s">
        <v>13800</v>
      </c>
      <c r="S1658" s="213" t="s">
        <v>13801</v>
      </c>
      <c r="T1658" s="213" t="s">
        <v>13802</v>
      </c>
      <c r="U1658" s="213" t="s">
        <v>71858</v>
      </c>
    </row>
    <row r="1659" spans="1:21" x14ac:dyDescent="0.25">
      <c r="A1659" s="213" t="s">
        <v>327</v>
      </c>
      <c r="D1659" s="213" t="s">
        <v>13803</v>
      </c>
      <c r="E1659" s="213" t="s">
        <v>13804</v>
      </c>
      <c r="K1659" s="213" t="s">
        <v>71634</v>
      </c>
      <c r="L1659" s="213" t="s">
        <v>71709</v>
      </c>
      <c r="M1659" s="213" t="s">
        <v>71784</v>
      </c>
      <c r="N1659" s="213" t="s">
        <v>13805</v>
      </c>
      <c r="O1659" s="213" t="s">
        <v>13806</v>
      </c>
      <c r="P1659" s="213" t="s">
        <v>13807</v>
      </c>
      <c r="Q1659" s="213" t="s">
        <v>13808</v>
      </c>
      <c r="R1659" s="213" t="s">
        <v>13809</v>
      </c>
      <c r="S1659" s="213" t="s">
        <v>13810</v>
      </c>
      <c r="T1659" s="213" t="s">
        <v>13811</v>
      </c>
      <c r="U1659" s="213" t="s">
        <v>71859</v>
      </c>
    </row>
    <row r="1660" spans="1:21" x14ac:dyDescent="0.25">
      <c r="A1660" s="213" t="s">
        <v>327</v>
      </c>
      <c r="D1660" s="213" t="s">
        <v>13812</v>
      </c>
      <c r="E1660" s="213" t="s">
        <v>13813</v>
      </c>
      <c r="K1660" s="213" t="s">
        <v>71635</v>
      </c>
      <c r="L1660" s="213" t="s">
        <v>71710</v>
      </c>
      <c r="M1660" s="213" t="s">
        <v>71785</v>
      </c>
      <c r="N1660" s="213" t="s">
        <v>13814</v>
      </c>
      <c r="O1660" s="213" t="s">
        <v>13815</v>
      </c>
      <c r="P1660" s="213" t="s">
        <v>13816</v>
      </c>
      <c r="Q1660" s="213" t="s">
        <v>13817</v>
      </c>
      <c r="R1660" s="213" t="s">
        <v>13818</v>
      </c>
      <c r="S1660" s="213" t="s">
        <v>13819</v>
      </c>
      <c r="T1660" s="213" t="s">
        <v>13820</v>
      </c>
      <c r="U1660" s="213" t="s">
        <v>71860</v>
      </c>
    </row>
    <row r="1661" spans="1:21" x14ac:dyDescent="0.25">
      <c r="A1661" s="213" t="s">
        <v>327</v>
      </c>
      <c r="D1661" s="213" t="s">
        <v>13821</v>
      </c>
      <c r="E1661" s="213" t="s">
        <v>13822</v>
      </c>
      <c r="K1661" s="213" t="s">
        <v>71636</v>
      </c>
      <c r="L1661" s="213" t="s">
        <v>71711</v>
      </c>
      <c r="M1661" s="213" t="s">
        <v>71786</v>
      </c>
      <c r="N1661" s="213" t="s">
        <v>13823</v>
      </c>
      <c r="O1661" s="213" t="s">
        <v>13824</v>
      </c>
      <c r="P1661" s="213" t="s">
        <v>13825</v>
      </c>
      <c r="Q1661" s="213" t="s">
        <v>13826</v>
      </c>
      <c r="R1661" s="213" t="s">
        <v>13827</v>
      </c>
      <c r="S1661" s="213" t="s">
        <v>13828</v>
      </c>
      <c r="T1661" s="213" t="s">
        <v>13829</v>
      </c>
      <c r="U1661" s="213" t="s">
        <v>71861</v>
      </c>
    </row>
    <row r="1662" spans="1:21" x14ac:dyDescent="0.25">
      <c r="A1662" s="213" t="s">
        <v>327</v>
      </c>
      <c r="D1662" s="213" t="s">
        <v>13830</v>
      </c>
      <c r="E1662" s="213" t="s">
        <v>13831</v>
      </c>
      <c r="K1662" s="213" t="s">
        <v>71637</v>
      </c>
      <c r="L1662" s="213" t="s">
        <v>71712</v>
      </c>
      <c r="M1662" s="213" t="s">
        <v>71787</v>
      </c>
      <c r="N1662" s="213" t="s">
        <v>13832</v>
      </c>
      <c r="O1662" s="213" t="s">
        <v>13833</v>
      </c>
      <c r="P1662" s="213" t="s">
        <v>13834</v>
      </c>
      <c r="Q1662" s="213" t="s">
        <v>13835</v>
      </c>
      <c r="R1662" s="213" t="s">
        <v>13836</v>
      </c>
      <c r="S1662" s="213" t="s">
        <v>13837</v>
      </c>
      <c r="T1662" s="213" t="s">
        <v>13838</v>
      </c>
      <c r="U1662" s="213" t="s">
        <v>71862</v>
      </c>
    </row>
    <row r="1663" spans="1:21" x14ac:dyDescent="0.25">
      <c r="A1663" s="213" t="s">
        <v>327</v>
      </c>
      <c r="D1663" s="213" t="s">
        <v>13839</v>
      </c>
      <c r="E1663" s="213" t="s">
        <v>13840</v>
      </c>
      <c r="K1663" s="213" t="s">
        <v>71638</v>
      </c>
      <c r="L1663" s="213" t="s">
        <v>71713</v>
      </c>
      <c r="M1663" s="213" t="s">
        <v>71788</v>
      </c>
      <c r="N1663" s="213" t="s">
        <v>13841</v>
      </c>
      <c r="O1663" s="213" t="s">
        <v>13842</v>
      </c>
      <c r="P1663" s="213" t="s">
        <v>13843</v>
      </c>
      <c r="Q1663" s="213" t="s">
        <v>13844</v>
      </c>
      <c r="R1663" s="213" t="s">
        <v>13845</v>
      </c>
      <c r="S1663" s="213" t="s">
        <v>13846</v>
      </c>
      <c r="T1663" s="213" t="s">
        <v>13847</v>
      </c>
      <c r="U1663" s="213" t="s">
        <v>71863</v>
      </c>
    </row>
    <row r="1664" spans="1:21" x14ac:dyDescent="0.25">
      <c r="A1664" s="213" t="s">
        <v>327</v>
      </c>
      <c r="D1664" s="213" t="s">
        <v>13848</v>
      </c>
      <c r="E1664" s="213" t="s">
        <v>13849</v>
      </c>
      <c r="K1664" s="213" t="s">
        <v>71639</v>
      </c>
      <c r="L1664" s="213" t="s">
        <v>71714</v>
      </c>
      <c r="M1664" s="213" t="s">
        <v>71789</v>
      </c>
      <c r="N1664" s="213" t="s">
        <v>13850</v>
      </c>
      <c r="O1664" s="213" t="s">
        <v>13851</v>
      </c>
      <c r="P1664" s="213" t="s">
        <v>13852</v>
      </c>
      <c r="Q1664" s="213" t="s">
        <v>13853</v>
      </c>
      <c r="R1664" s="213" t="s">
        <v>13854</v>
      </c>
      <c r="S1664" s="213" t="s">
        <v>13855</v>
      </c>
      <c r="T1664" s="213" t="s">
        <v>13856</v>
      </c>
      <c r="U1664" s="213" t="s">
        <v>71864</v>
      </c>
    </row>
    <row r="1665" spans="1:21" x14ac:dyDescent="0.25">
      <c r="A1665" s="213" t="s">
        <v>327</v>
      </c>
      <c r="D1665" s="213" t="s">
        <v>13857</v>
      </c>
      <c r="E1665" s="213" t="s">
        <v>13858</v>
      </c>
      <c r="K1665" s="213" t="s">
        <v>71640</v>
      </c>
      <c r="L1665" s="213" t="s">
        <v>71715</v>
      </c>
      <c r="M1665" s="213" t="s">
        <v>71790</v>
      </c>
      <c r="N1665" s="213" t="s">
        <v>13859</v>
      </c>
      <c r="O1665" s="213" t="s">
        <v>13860</v>
      </c>
      <c r="P1665" s="213" t="s">
        <v>13861</v>
      </c>
      <c r="Q1665" s="213" t="s">
        <v>13862</v>
      </c>
      <c r="R1665" s="213" t="s">
        <v>13863</v>
      </c>
      <c r="S1665" s="213" t="s">
        <v>13864</v>
      </c>
      <c r="T1665" s="213" t="s">
        <v>13865</v>
      </c>
      <c r="U1665" s="213" t="s">
        <v>71865</v>
      </c>
    </row>
    <row r="1666" spans="1:21" x14ac:dyDescent="0.25">
      <c r="A1666" s="213" t="s">
        <v>327</v>
      </c>
      <c r="D1666" s="213" t="s">
        <v>13866</v>
      </c>
      <c r="E1666" s="213" t="s">
        <v>13867</v>
      </c>
      <c r="K1666" s="213" t="s">
        <v>71641</v>
      </c>
      <c r="L1666" s="213" t="s">
        <v>71716</v>
      </c>
      <c r="M1666" s="213" t="s">
        <v>71791</v>
      </c>
      <c r="N1666" s="213" t="s">
        <v>13868</v>
      </c>
      <c r="O1666" s="213" t="s">
        <v>13869</v>
      </c>
      <c r="P1666" s="213" t="s">
        <v>13870</v>
      </c>
      <c r="Q1666" s="213" t="s">
        <v>13871</v>
      </c>
      <c r="R1666" s="213" t="s">
        <v>13872</v>
      </c>
      <c r="S1666" s="213" t="s">
        <v>13873</v>
      </c>
      <c r="T1666" s="213" t="s">
        <v>13874</v>
      </c>
      <c r="U1666" s="213" t="s">
        <v>71866</v>
      </c>
    </row>
    <row r="1667" spans="1:21" x14ac:dyDescent="0.25">
      <c r="A1667" s="213" t="s">
        <v>327</v>
      </c>
      <c r="D1667" s="213" t="s">
        <v>13875</v>
      </c>
      <c r="E1667" s="213" t="s">
        <v>13876</v>
      </c>
      <c r="K1667" s="213" t="s">
        <v>71642</v>
      </c>
      <c r="L1667" s="213" t="s">
        <v>71717</v>
      </c>
      <c r="M1667" s="213" t="s">
        <v>71792</v>
      </c>
      <c r="N1667" s="213" t="s">
        <v>13877</v>
      </c>
      <c r="O1667" s="213" t="s">
        <v>13878</v>
      </c>
      <c r="P1667" s="213" t="s">
        <v>13879</v>
      </c>
      <c r="Q1667" s="213" t="s">
        <v>13880</v>
      </c>
      <c r="R1667" s="213" t="s">
        <v>13881</v>
      </c>
      <c r="S1667" s="213" t="s">
        <v>13882</v>
      </c>
      <c r="T1667" s="213" t="s">
        <v>13883</v>
      </c>
      <c r="U1667" s="213" t="s">
        <v>71867</v>
      </c>
    </row>
    <row r="1668" spans="1:21" x14ac:dyDescent="0.25">
      <c r="A1668" s="213" t="s">
        <v>327</v>
      </c>
      <c r="D1668" s="213" t="s">
        <v>13884</v>
      </c>
      <c r="E1668" s="213" t="s">
        <v>13885</v>
      </c>
      <c r="K1668" s="213" t="s">
        <v>71643</v>
      </c>
      <c r="L1668" s="213" t="s">
        <v>71718</v>
      </c>
      <c r="M1668" s="213" t="s">
        <v>71793</v>
      </c>
      <c r="N1668" s="213" t="s">
        <v>13886</v>
      </c>
      <c r="O1668" s="213" t="s">
        <v>13887</v>
      </c>
      <c r="P1668" s="213" t="s">
        <v>13888</v>
      </c>
      <c r="Q1668" s="213" t="s">
        <v>13889</v>
      </c>
      <c r="R1668" s="213" t="s">
        <v>13890</v>
      </c>
      <c r="S1668" s="213" t="s">
        <v>13891</v>
      </c>
      <c r="T1668" s="213" t="s">
        <v>13892</v>
      </c>
      <c r="U1668" s="213" t="s">
        <v>71868</v>
      </c>
    </row>
    <row r="1669" spans="1:21" x14ac:dyDescent="0.25">
      <c r="A1669" s="213" t="s">
        <v>327</v>
      </c>
      <c r="D1669" s="213" t="s">
        <v>13893</v>
      </c>
      <c r="E1669" s="213" t="s">
        <v>13894</v>
      </c>
      <c r="K1669" s="213" t="s">
        <v>71644</v>
      </c>
      <c r="L1669" s="213" t="s">
        <v>71719</v>
      </c>
      <c r="M1669" s="213" t="s">
        <v>71794</v>
      </c>
      <c r="N1669" s="213" t="s">
        <v>13895</v>
      </c>
      <c r="O1669" s="213" t="s">
        <v>13896</v>
      </c>
      <c r="P1669" s="213" t="s">
        <v>13897</v>
      </c>
      <c r="Q1669" s="213" t="s">
        <v>13898</v>
      </c>
      <c r="R1669" s="213" t="s">
        <v>13899</v>
      </c>
      <c r="S1669" s="213" t="s">
        <v>13900</v>
      </c>
      <c r="T1669" s="213" t="s">
        <v>13901</v>
      </c>
      <c r="U1669" s="213" t="s">
        <v>71869</v>
      </c>
    </row>
    <row r="1670" spans="1:21" x14ac:dyDescent="0.25">
      <c r="A1670" s="213" t="s">
        <v>327</v>
      </c>
      <c r="D1670" s="213" t="s">
        <v>13902</v>
      </c>
      <c r="E1670" s="213" t="s">
        <v>13903</v>
      </c>
      <c r="K1670" s="213" t="s">
        <v>71645</v>
      </c>
      <c r="L1670" s="213" t="s">
        <v>71720</v>
      </c>
      <c r="M1670" s="213" t="s">
        <v>71795</v>
      </c>
      <c r="N1670" s="213" t="s">
        <v>13904</v>
      </c>
      <c r="O1670" s="213" t="s">
        <v>13905</v>
      </c>
      <c r="P1670" s="213" t="s">
        <v>13906</v>
      </c>
      <c r="Q1670" s="213" t="s">
        <v>13907</v>
      </c>
      <c r="R1670" s="213" t="s">
        <v>13908</v>
      </c>
      <c r="S1670" s="213" t="s">
        <v>13909</v>
      </c>
      <c r="T1670" s="213" t="s">
        <v>13910</v>
      </c>
      <c r="U1670" s="213" t="s">
        <v>71870</v>
      </c>
    </row>
    <row r="1671" spans="1:21" x14ac:dyDescent="0.25">
      <c r="A1671" s="213" t="s">
        <v>327</v>
      </c>
      <c r="D1671" s="213" t="s">
        <v>13911</v>
      </c>
      <c r="E1671" s="213" t="s">
        <v>13912</v>
      </c>
      <c r="K1671" s="213" t="s">
        <v>71646</v>
      </c>
      <c r="L1671" s="213" t="s">
        <v>71721</v>
      </c>
      <c r="M1671" s="213" t="s">
        <v>71796</v>
      </c>
      <c r="N1671" s="213" t="s">
        <v>13913</v>
      </c>
      <c r="O1671" s="213" t="s">
        <v>13914</v>
      </c>
      <c r="P1671" s="213" t="s">
        <v>13915</v>
      </c>
      <c r="Q1671" s="213" t="s">
        <v>13916</v>
      </c>
      <c r="R1671" s="213" t="s">
        <v>13917</v>
      </c>
      <c r="S1671" s="213" t="s">
        <v>13918</v>
      </c>
      <c r="T1671" s="213" t="s">
        <v>13919</v>
      </c>
      <c r="U1671" s="213" t="s">
        <v>71871</v>
      </c>
    </row>
    <row r="1672" spans="1:21" x14ac:dyDescent="0.25">
      <c r="A1672" s="213" t="s">
        <v>327</v>
      </c>
      <c r="D1672" s="213" t="s">
        <v>13920</v>
      </c>
      <c r="E1672" s="213" t="s">
        <v>13921</v>
      </c>
      <c r="K1672" s="213" t="s">
        <v>71647</v>
      </c>
      <c r="L1672" s="213" t="s">
        <v>71722</v>
      </c>
      <c r="M1672" s="213" t="s">
        <v>71797</v>
      </c>
      <c r="N1672" s="213" t="s">
        <v>13922</v>
      </c>
      <c r="O1672" s="213" t="s">
        <v>13923</v>
      </c>
      <c r="P1672" s="213" t="s">
        <v>13924</v>
      </c>
      <c r="Q1672" s="213" t="s">
        <v>13925</v>
      </c>
      <c r="R1672" s="213" t="s">
        <v>13926</v>
      </c>
      <c r="S1672" s="213" t="s">
        <v>13927</v>
      </c>
      <c r="T1672" s="213" t="s">
        <v>13928</v>
      </c>
      <c r="U1672" s="213" t="s">
        <v>71872</v>
      </c>
    </row>
    <row r="1673" spans="1:21" x14ac:dyDescent="0.25">
      <c r="A1673" s="213" t="s">
        <v>327</v>
      </c>
      <c r="D1673" s="213" t="s">
        <v>13929</v>
      </c>
      <c r="E1673" s="213" t="s">
        <v>13930</v>
      </c>
      <c r="K1673" s="213" t="s">
        <v>71648</v>
      </c>
      <c r="L1673" s="213" t="s">
        <v>71723</v>
      </c>
      <c r="M1673" s="213" t="s">
        <v>71798</v>
      </c>
      <c r="N1673" s="213" t="s">
        <v>13931</v>
      </c>
      <c r="O1673" s="213" t="s">
        <v>13932</v>
      </c>
      <c r="P1673" s="213" t="s">
        <v>13933</v>
      </c>
      <c r="Q1673" s="213" t="s">
        <v>13934</v>
      </c>
      <c r="R1673" s="213" t="s">
        <v>13935</v>
      </c>
      <c r="S1673" s="213" t="s">
        <v>13936</v>
      </c>
      <c r="T1673" s="213" t="s">
        <v>13937</v>
      </c>
      <c r="U1673" s="213" t="s">
        <v>71873</v>
      </c>
    </row>
    <row r="1674" spans="1:21" x14ac:dyDescent="0.25">
      <c r="A1674" s="213" t="s">
        <v>327</v>
      </c>
      <c r="D1674" s="213" t="s">
        <v>13938</v>
      </c>
      <c r="E1674" s="213" t="s">
        <v>13939</v>
      </c>
      <c r="K1674" s="213" t="s">
        <v>71649</v>
      </c>
      <c r="L1674" s="213" t="s">
        <v>71724</v>
      </c>
      <c r="M1674" s="213" t="s">
        <v>71799</v>
      </c>
      <c r="N1674" s="213" t="s">
        <v>13940</v>
      </c>
      <c r="O1674" s="213" t="s">
        <v>13941</v>
      </c>
      <c r="P1674" s="213" t="s">
        <v>13942</v>
      </c>
      <c r="Q1674" s="213" t="s">
        <v>13943</v>
      </c>
      <c r="R1674" s="213" t="s">
        <v>13944</v>
      </c>
      <c r="S1674" s="213" t="s">
        <v>13945</v>
      </c>
      <c r="T1674" s="213" t="s">
        <v>13946</v>
      </c>
      <c r="U1674" s="213" t="s">
        <v>71874</v>
      </c>
    </row>
    <row r="1675" spans="1:21" x14ac:dyDescent="0.25">
      <c r="A1675" s="213" t="s">
        <v>327</v>
      </c>
      <c r="D1675" s="213" t="s">
        <v>13947</v>
      </c>
      <c r="E1675" s="213" t="s">
        <v>13948</v>
      </c>
      <c r="K1675" s="213" t="s">
        <v>71650</v>
      </c>
      <c r="L1675" s="213" t="s">
        <v>71725</v>
      </c>
      <c r="M1675" s="213" t="s">
        <v>71800</v>
      </c>
      <c r="N1675" s="213" t="s">
        <v>13949</v>
      </c>
      <c r="O1675" s="213" t="s">
        <v>13950</v>
      </c>
      <c r="P1675" s="213" t="s">
        <v>13951</v>
      </c>
      <c r="Q1675" s="213" t="s">
        <v>13952</v>
      </c>
      <c r="R1675" s="213" t="s">
        <v>13953</v>
      </c>
      <c r="S1675" s="213" t="s">
        <v>13954</v>
      </c>
      <c r="T1675" s="213" t="s">
        <v>13955</v>
      </c>
      <c r="U1675" s="213" t="s">
        <v>71875</v>
      </c>
    </row>
    <row r="1676" spans="1:21" x14ac:dyDescent="0.25">
      <c r="A1676" s="213" t="s">
        <v>327</v>
      </c>
      <c r="D1676" s="213" t="s">
        <v>13956</v>
      </c>
      <c r="E1676" s="213" t="s">
        <v>13957</v>
      </c>
      <c r="K1676" s="213" t="s">
        <v>71651</v>
      </c>
      <c r="L1676" s="213" t="s">
        <v>71726</v>
      </c>
      <c r="M1676" s="213" t="s">
        <v>71801</v>
      </c>
      <c r="N1676" s="213" t="s">
        <v>13958</v>
      </c>
      <c r="O1676" s="213" t="s">
        <v>13959</v>
      </c>
      <c r="P1676" s="213" t="s">
        <v>13960</v>
      </c>
      <c r="Q1676" s="213" t="s">
        <v>13961</v>
      </c>
      <c r="R1676" s="213" t="s">
        <v>13962</v>
      </c>
      <c r="S1676" s="213" t="s">
        <v>13963</v>
      </c>
      <c r="T1676" s="213" t="s">
        <v>13964</v>
      </c>
      <c r="U1676" s="213" t="s">
        <v>71876</v>
      </c>
    </row>
    <row r="1677" spans="1:21" x14ac:dyDescent="0.25">
      <c r="A1677" s="213" t="s">
        <v>327</v>
      </c>
      <c r="D1677" s="213" t="s">
        <v>13965</v>
      </c>
      <c r="E1677" s="213" t="s">
        <v>13966</v>
      </c>
      <c r="K1677" s="213" t="s">
        <v>71652</v>
      </c>
      <c r="L1677" s="213" t="s">
        <v>71727</v>
      </c>
      <c r="M1677" s="213" t="s">
        <v>71802</v>
      </c>
      <c r="N1677" s="213" t="s">
        <v>13967</v>
      </c>
      <c r="O1677" s="213" t="s">
        <v>13968</v>
      </c>
      <c r="P1677" s="213" t="s">
        <v>13969</v>
      </c>
      <c r="Q1677" s="213" t="s">
        <v>13970</v>
      </c>
      <c r="R1677" s="213" t="s">
        <v>13971</v>
      </c>
      <c r="S1677" s="213" t="s">
        <v>13972</v>
      </c>
      <c r="T1677" s="213" t="s">
        <v>13973</v>
      </c>
      <c r="U1677" s="213" t="s">
        <v>71877</v>
      </c>
    </row>
    <row r="1678" spans="1:21" x14ac:dyDescent="0.25">
      <c r="A1678" s="213" t="s">
        <v>327</v>
      </c>
      <c r="D1678" s="213" t="s">
        <v>13974</v>
      </c>
      <c r="E1678" s="213" t="s">
        <v>13975</v>
      </c>
      <c r="K1678" s="213" t="s">
        <v>71653</v>
      </c>
      <c r="L1678" s="213" t="s">
        <v>71728</v>
      </c>
      <c r="M1678" s="213" t="s">
        <v>71803</v>
      </c>
      <c r="N1678" s="213" t="s">
        <v>13976</v>
      </c>
      <c r="O1678" s="213" t="s">
        <v>13977</v>
      </c>
      <c r="P1678" s="213" t="s">
        <v>13978</v>
      </c>
      <c r="Q1678" s="213" t="s">
        <v>13979</v>
      </c>
      <c r="R1678" s="213" t="s">
        <v>13980</v>
      </c>
      <c r="S1678" s="213" t="s">
        <v>13981</v>
      </c>
      <c r="T1678" s="213" t="s">
        <v>13982</v>
      </c>
      <c r="U1678" s="213" t="s">
        <v>71878</v>
      </c>
    </row>
    <row r="1679" spans="1:21" x14ac:dyDescent="0.25">
      <c r="A1679" s="213" t="s">
        <v>327</v>
      </c>
      <c r="D1679" s="213" t="s">
        <v>13983</v>
      </c>
      <c r="E1679" s="213" t="s">
        <v>13984</v>
      </c>
      <c r="K1679" s="213" t="s">
        <v>71654</v>
      </c>
      <c r="L1679" s="213" t="s">
        <v>71729</v>
      </c>
      <c r="M1679" s="213" t="s">
        <v>71804</v>
      </c>
      <c r="N1679" s="213" t="s">
        <v>13985</v>
      </c>
      <c r="O1679" s="213" t="s">
        <v>13986</v>
      </c>
      <c r="P1679" s="213" t="s">
        <v>13987</v>
      </c>
      <c r="Q1679" s="213" t="s">
        <v>13988</v>
      </c>
      <c r="R1679" s="213" t="s">
        <v>13989</v>
      </c>
      <c r="S1679" s="213" t="s">
        <v>13990</v>
      </c>
      <c r="T1679" s="213" t="s">
        <v>13991</v>
      </c>
      <c r="U1679" s="213" t="s">
        <v>71879</v>
      </c>
    </row>
    <row r="1680" spans="1:21" x14ac:dyDescent="0.25">
      <c r="A1680" s="213" t="s">
        <v>327</v>
      </c>
      <c r="D1680" s="213" t="s">
        <v>13992</v>
      </c>
      <c r="E1680" s="213" t="s">
        <v>13993</v>
      </c>
      <c r="K1680" s="213" t="s">
        <v>71655</v>
      </c>
      <c r="L1680" s="213" t="s">
        <v>71730</v>
      </c>
      <c r="M1680" s="213" t="s">
        <v>71805</v>
      </c>
      <c r="N1680" s="213" t="s">
        <v>13994</v>
      </c>
      <c r="O1680" s="213" t="s">
        <v>13995</v>
      </c>
      <c r="P1680" s="213" t="s">
        <v>13996</v>
      </c>
      <c r="Q1680" s="213" t="s">
        <v>13997</v>
      </c>
      <c r="R1680" s="213" t="s">
        <v>13998</v>
      </c>
      <c r="S1680" s="213" t="s">
        <v>13999</v>
      </c>
      <c r="T1680" s="213" t="s">
        <v>14000</v>
      </c>
      <c r="U1680" s="213" t="s">
        <v>71880</v>
      </c>
    </row>
    <row r="1681" spans="1:21" x14ac:dyDescent="0.25">
      <c r="A1681" s="213" t="s">
        <v>327</v>
      </c>
      <c r="D1681" s="213" t="s">
        <v>14001</v>
      </c>
      <c r="E1681" s="213" t="s">
        <v>14002</v>
      </c>
      <c r="K1681" s="213" t="s">
        <v>71656</v>
      </c>
      <c r="L1681" s="213" t="s">
        <v>71731</v>
      </c>
      <c r="M1681" s="213" t="s">
        <v>71806</v>
      </c>
      <c r="N1681" s="213" t="s">
        <v>14003</v>
      </c>
      <c r="O1681" s="213" t="s">
        <v>14004</v>
      </c>
      <c r="P1681" s="213" t="s">
        <v>14005</v>
      </c>
      <c r="Q1681" s="213" t="s">
        <v>14006</v>
      </c>
      <c r="R1681" s="213" t="s">
        <v>14007</v>
      </c>
      <c r="S1681" s="213" t="s">
        <v>14008</v>
      </c>
      <c r="T1681" s="213" t="s">
        <v>14009</v>
      </c>
      <c r="U1681" s="213" t="s">
        <v>71881</v>
      </c>
    </row>
    <row r="1682" spans="1:21" x14ac:dyDescent="0.25">
      <c r="A1682" s="213" t="s">
        <v>327</v>
      </c>
      <c r="D1682" s="213" t="s">
        <v>14010</v>
      </c>
      <c r="E1682" s="213" t="s">
        <v>14011</v>
      </c>
      <c r="K1682" s="213" t="s">
        <v>71657</v>
      </c>
      <c r="L1682" s="213" t="s">
        <v>71732</v>
      </c>
      <c r="M1682" s="213" t="s">
        <v>71807</v>
      </c>
      <c r="N1682" s="213" t="s">
        <v>14012</v>
      </c>
      <c r="O1682" s="213" t="s">
        <v>14013</v>
      </c>
      <c r="P1682" s="213" t="s">
        <v>14014</v>
      </c>
      <c r="Q1682" s="213" t="s">
        <v>14015</v>
      </c>
      <c r="R1682" s="213" t="s">
        <v>14016</v>
      </c>
      <c r="S1682" s="213" t="s">
        <v>14017</v>
      </c>
      <c r="T1682" s="213" t="s">
        <v>14018</v>
      </c>
      <c r="U1682" s="213" t="s">
        <v>71882</v>
      </c>
    </row>
    <row r="1683" spans="1:21" x14ac:dyDescent="0.25">
      <c r="A1683" s="213" t="s">
        <v>327</v>
      </c>
      <c r="D1683" s="213" t="s">
        <v>14019</v>
      </c>
      <c r="E1683" s="213" t="s">
        <v>14020</v>
      </c>
      <c r="K1683" s="213" t="s">
        <v>71658</v>
      </c>
      <c r="L1683" s="213" t="s">
        <v>71733</v>
      </c>
      <c r="M1683" s="213" t="s">
        <v>71808</v>
      </c>
      <c r="N1683" s="213" t="s">
        <v>14021</v>
      </c>
      <c r="O1683" s="213" t="s">
        <v>14022</v>
      </c>
      <c r="P1683" s="213" t="s">
        <v>14023</v>
      </c>
      <c r="Q1683" s="213" t="s">
        <v>14024</v>
      </c>
      <c r="R1683" s="213" t="s">
        <v>14025</v>
      </c>
      <c r="S1683" s="213" t="s">
        <v>14026</v>
      </c>
      <c r="T1683" s="213" t="s">
        <v>14027</v>
      </c>
      <c r="U1683" s="213" t="s">
        <v>71883</v>
      </c>
    </row>
    <row r="1684" spans="1:21" x14ac:dyDescent="0.25">
      <c r="A1684" s="213" t="s">
        <v>327</v>
      </c>
      <c r="D1684" s="213" t="s">
        <v>14028</v>
      </c>
      <c r="E1684" s="213" t="s">
        <v>14029</v>
      </c>
      <c r="K1684" s="213" t="s">
        <v>71659</v>
      </c>
      <c r="L1684" s="213" t="s">
        <v>71734</v>
      </c>
      <c r="M1684" s="213" t="s">
        <v>71809</v>
      </c>
      <c r="N1684" s="213" t="s">
        <v>14030</v>
      </c>
      <c r="O1684" s="213" t="s">
        <v>14031</v>
      </c>
      <c r="P1684" s="213" t="s">
        <v>14032</v>
      </c>
      <c r="Q1684" s="213" t="s">
        <v>14033</v>
      </c>
      <c r="R1684" s="213" t="s">
        <v>14034</v>
      </c>
      <c r="S1684" s="213" t="s">
        <v>14035</v>
      </c>
      <c r="T1684" s="213" t="s">
        <v>14036</v>
      </c>
      <c r="U1684" s="213" t="s">
        <v>71884</v>
      </c>
    </row>
    <row r="1685" spans="1:21" x14ac:dyDescent="0.25">
      <c r="A1685" s="213" t="s">
        <v>327</v>
      </c>
      <c r="D1685" s="213" t="s">
        <v>14037</v>
      </c>
      <c r="E1685" s="213" t="s">
        <v>14038</v>
      </c>
      <c r="K1685" s="213" t="s">
        <v>71660</v>
      </c>
      <c r="L1685" s="213" t="s">
        <v>71735</v>
      </c>
      <c r="M1685" s="213" t="s">
        <v>71810</v>
      </c>
      <c r="N1685" s="213" t="s">
        <v>14039</v>
      </c>
      <c r="O1685" s="213" t="s">
        <v>14040</v>
      </c>
      <c r="P1685" s="213" t="s">
        <v>14041</v>
      </c>
      <c r="Q1685" s="213" t="s">
        <v>14042</v>
      </c>
      <c r="R1685" s="213" t="s">
        <v>14043</v>
      </c>
      <c r="S1685" s="213" t="s">
        <v>14044</v>
      </c>
      <c r="T1685" s="213" t="s">
        <v>14045</v>
      </c>
      <c r="U1685" s="213" t="s">
        <v>71885</v>
      </c>
    </row>
    <row r="1686" spans="1:21" x14ac:dyDescent="0.25">
      <c r="A1686" s="213" t="s">
        <v>327</v>
      </c>
      <c r="D1686" s="213" t="s">
        <v>14046</v>
      </c>
      <c r="E1686" s="213" t="s">
        <v>14047</v>
      </c>
      <c r="K1686" s="213" t="s">
        <v>71661</v>
      </c>
      <c r="L1686" s="213" t="s">
        <v>71736</v>
      </c>
      <c r="M1686" s="213" t="s">
        <v>71811</v>
      </c>
      <c r="N1686" s="213" t="s">
        <v>14048</v>
      </c>
      <c r="O1686" s="213" t="s">
        <v>14049</v>
      </c>
      <c r="P1686" s="213" t="s">
        <v>14050</v>
      </c>
      <c r="Q1686" s="213" t="s">
        <v>14051</v>
      </c>
      <c r="R1686" s="213" t="s">
        <v>14052</v>
      </c>
      <c r="S1686" s="213" t="s">
        <v>14053</v>
      </c>
      <c r="T1686" s="213" t="s">
        <v>14054</v>
      </c>
      <c r="U1686" s="213" t="s">
        <v>71886</v>
      </c>
    </row>
    <row r="1687" spans="1:21" x14ac:dyDescent="0.25">
      <c r="A1687" s="213" t="s">
        <v>327</v>
      </c>
      <c r="D1687" s="213" t="s">
        <v>14055</v>
      </c>
      <c r="E1687" s="213" t="s">
        <v>14056</v>
      </c>
      <c r="K1687" s="213" t="s">
        <v>71662</v>
      </c>
      <c r="L1687" s="213" t="s">
        <v>71737</v>
      </c>
      <c r="M1687" s="213" t="s">
        <v>71812</v>
      </c>
      <c r="N1687" s="213" t="s">
        <v>14057</v>
      </c>
      <c r="O1687" s="213" t="s">
        <v>14058</v>
      </c>
      <c r="P1687" s="213" t="s">
        <v>14059</v>
      </c>
      <c r="Q1687" s="213" t="s">
        <v>14060</v>
      </c>
      <c r="R1687" s="213" t="s">
        <v>14061</v>
      </c>
      <c r="S1687" s="213" t="s">
        <v>14062</v>
      </c>
      <c r="T1687" s="213" t="s">
        <v>14063</v>
      </c>
      <c r="U1687" s="213" t="s">
        <v>71887</v>
      </c>
    </row>
    <row r="1688" spans="1:21" x14ac:dyDescent="0.25">
      <c r="A1688" s="213" t="s">
        <v>327</v>
      </c>
      <c r="D1688" s="213" t="s">
        <v>14064</v>
      </c>
      <c r="E1688" s="213" t="s">
        <v>14065</v>
      </c>
      <c r="K1688" s="213" t="s">
        <v>71663</v>
      </c>
      <c r="L1688" s="213" t="s">
        <v>71738</v>
      </c>
      <c r="M1688" s="213" t="s">
        <v>71813</v>
      </c>
      <c r="N1688" s="213" t="s">
        <v>14066</v>
      </c>
      <c r="O1688" s="213" t="s">
        <v>14067</v>
      </c>
      <c r="P1688" s="213" t="s">
        <v>14068</v>
      </c>
      <c r="Q1688" s="213" t="s">
        <v>14069</v>
      </c>
      <c r="R1688" s="213" t="s">
        <v>14070</v>
      </c>
      <c r="S1688" s="213" t="s">
        <v>14071</v>
      </c>
      <c r="T1688" s="213" t="s">
        <v>14072</v>
      </c>
      <c r="U1688" s="213" t="s">
        <v>71888</v>
      </c>
    </row>
    <row r="1689" spans="1:21" x14ac:dyDescent="0.25">
      <c r="A1689" s="213" t="s">
        <v>327</v>
      </c>
      <c r="D1689" s="213" t="s">
        <v>14073</v>
      </c>
      <c r="E1689" s="213" t="s">
        <v>14074</v>
      </c>
      <c r="K1689" s="213" t="s">
        <v>71664</v>
      </c>
      <c r="L1689" s="213" t="s">
        <v>71739</v>
      </c>
      <c r="M1689" s="213" t="s">
        <v>71814</v>
      </c>
      <c r="N1689" s="213" t="s">
        <v>14075</v>
      </c>
      <c r="O1689" s="213" t="s">
        <v>14076</v>
      </c>
      <c r="P1689" s="213" t="s">
        <v>14077</v>
      </c>
      <c r="Q1689" s="213" t="s">
        <v>14078</v>
      </c>
      <c r="R1689" s="213" t="s">
        <v>14079</v>
      </c>
      <c r="S1689" s="213" t="s">
        <v>14080</v>
      </c>
      <c r="T1689" s="213" t="s">
        <v>14081</v>
      </c>
      <c r="U1689" s="213" t="s">
        <v>71889</v>
      </c>
    </row>
    <row r="1690" spans="1:21" x14ac:dyDescent="0.25">
      <c r="A1690" s="213" t="s">
        <v>327</v>
      </c>
      <c r="D1690" s="213" t="s">
        <v>14082</v>
      </c>
      <c r="E1690" s="213" t="s">
        <v>14083</v>
      </c>
      <c r="K1690" s="213" t="s">
        <v>71665</v>
      </c>
      <c r="L1690" s="213" t="s">
        <v>71740</v>
      </c>
      <c r="M1690" s="213" t="s">
        <v>71815</v>
      </c>
      <c r="N1690" s="213" t="s">
        <v>14084</v>
      </c>
      <c r="O1690" s="213" t="s">
        <v>14085</v>
      </c>
      <c r="P1690" s="213" t="s">
        <v>14086</v>
      </c>
      <c r="Q1690" s="213" t="s">
        <v>14087</v>
      </c>
      <c r="R1690" s="213" t="s">
        <v>14088</v>
      </c>
      <c r="S1690" s="213" t="s">
        <v>14089</v>
      </c>
      <c r="T1690" s="213" t="s">
        <v>14090</v>
      </c>
      <c r="U1690" s="213" t="s">
        <v>71890</v>
      </c>
    </row>
    <row r="1691" spans="1:21" x14ac:dyDescent="0.25">
      <c r="A1691" s="213" t="s">
        <v>327</v>
      </c>
      <c r="D1691" s="213" t="s">
        <v>14091</v>
      </c>
      <c r="E1691" s="213" t="s">
        <v>14092</v>
      </c>
      <c r="K1691" s="213" t="s">
        <v>71666</v>
      </c>
      <c r="L1691" s="213" t="s">
        <v>71741</v>
      </c>
      <c r="M1691" s="213" t="s">
        <v>71816</v>
      </c>
      <c r="N1691" s="213" t="s">
        <v>14093</v>
      </c>
      <c r="O1691" s="213" t="s">
        <v>14094</v>
      </c>
      <c r="P1691" s="213" t="s">
        <v>14095</v>
      </c>
      <c r="Q1691" s="213" t="s">
        <v>14096</v>
      </c>
      <c r="R1691" s="213" t="s">
        <v>14097</v>
      </c>
      <c r="S1691" s="213" t="s">
        <v>14098</v>
      </c>
      <c r="T1691" s="213" t="s">
        <v>14099</v>
      </c>
      <c r="U1691" s="213" t="s">
        <v>71891</v>
      </c>
    </row>
    <row r="1692" spans="1:21" x14ac:dyDescent="0.25">
      <c r="A1692" s="213" t="s">
        <v>327</v>
      </c>
      <c r="D1692" s="213" t="s">
        <v>14100</v>
      </c>
      <c r="E1692" s="213" t="s">
        <v>14101</v>
      </c>
      <c r="K1692" s="213" t="s">
        <v>71667</v>
      </c>
      <c r="L1692" s="213" t="s">
        <v>71742</v>
      </c>
      <c r="M1692" s="213" t="s">
        <v>71817</v>
      </c>
      <c r="N1692" s="213" t="s">
        <v>14102</v>
      </c>
      <c r="O1692" s="213" t="s">
        <v>14103</v>
      </c>
      <c r="P1692" s="213" t="s">
        <v>14104</v>
      </c>
      <c r="Q1692" s="213" t="s">
        <v>14105</v>
      </c>
      <c r="R1692" s="213" t="s">
        <v>14106</v>
      </c>
      <c r="S1692" s="213" t="s">
        <v>14107</v>
      </c>
      <c r="T1692" s="213" t="s">
        <v>14108</v>
      </c>
      <c r="U1692" s="213" t="s">
        <v>71892</v>
      </c>
    </row>
    <row r="1693" spans="1:21" x14ac:dyDescent="0.25">
      <c r="A1693" s="213" t="s">
        <v>327</v>
      </c>
      <c r="D1693" s="213" t="s">
        <v>14109</v>
      </c>
      <c r="E1693" s="213" t="s">
        <v>14110</v>
      </c>
      <c r="K1693" s="213" t="s">
        <v>71668</v>
      </c>
      <c r="L1693" s="213" t="s">
        <v>71743</v>
      </c>
      <c r="M1693" s="213" t="s">
        <v>71818</v>
      </c>
      <c r="N1693" s="213" t="s">
        <v>14111</v>
      </c>
      <c r="O1693" s="213" t="s">
        <v>14112</v>
      </c>
      <c r="P1693" s="213" t="s">
        <v>14113</v>
      </c>
      <c r="Q1693" s="213" t="s">
        <v>14114</v>
      </c>
      <c r="R1693" s="213" t="s">
        <v>14115</v>
      </c>
      <c r="S1693" s="213" t="s">
        <v>14116</v>
      </c>
      <c r="T1693" s="213" t="s">
        <v>14117</v>
      </c>
      <c r="U1693" s="213" t="s">
        <v>71893</v>
      </c>
    </row>
    <row r="1694" spans="1:21" x14ac:dyDescent="0.25">
      <c r="A1694" s="213" t="s">
        <v>327</v>
      </c>
      <c r="D1694" s="213" t="s">
        <v>14118</v>
      </c>
      <c r="E1694" s="213" t="s">
        <v>14119</v>
      </c>
      <c r="K1694" s="213" t="s">
        <v>71669</v>
      </c>
      <c r="L1694" s="213" t="s">
        <v>71744</v>
      </c>
      <c r="M1694" s="213" t="s">
        <v>71819</v>
      </c>
      <c r="N1694" s="213" t="s">
        <v>14120</v>
      </c>
      <c r="O1694" s="213" t="s">
        <v>14121</v>
      </c>
      <c r="P1694" s="213" t="s">
        <v>14122</v>
      </c>
      <c r="Q1694" s="213" t="s">
        <v>14123</v>
      </c>
      <c r="R1694" s="213" t="s">
        <v>14124</v>
      </c>
      <c r="S1694" s="213" t="s">
        <v>14125</v>
      </c>
      <c r="T1694" s="213" t="s">
        <v>14126</v>
      </c>
      <c r="U1694" s="213" t="s">
        <v>71894</v>
      </c>
    </row>
    <row r="1695" spans="1:21" x14ac:dyDescent="0.25">
      <c r="A1695" s="213" t="s">
        <v>327</v>
      </c>
      <c r="D1695" s="213" t="s">
        <v>14127</v>
      </c>
      <c r="E1695" s="213" t="s">
        <v>14128</v>
      </c>
      <c r="K1695" s="213" t="s">
        <v>71670</v>
      </c>
      <c r="L1695" s="213" t="s">
        <v>71745</v>
      </c>
      <c r="M1695" s="213" t="s">
        <v>71820</v>
      </c>
      <c r="N1695" s="213" t="s">
        <v>14129</v>
      </c>
      <c r="O1695" s="213" t="s">
        <v>14130</v>
      </c>
      <c r="P1695" s="213" t="s">
        <v>14131</v>
      </c>
      <c r="Q1695" s="213" t="s">
        <v>14132</v>
      </c>
      <c r="R1695" s="213" t="s">
        <v>14133</v>
      </c>
      <c r="S1695" s="213" t="s">
        <v>14134</v>
      </c>
      <c r="T1695" s="213" t="s">
        <v>14135</v>
      </c>
      <c r="U1695" s="213" t="s">
        <v>71895</v>
      </c>
    </row>
    <row r="1696" spans="1:21" x14ac:dyDescent="0.25">
      <c r="A1696" s="213" t="s">
        <v>327</v>
      </c>
      <c r="D1696" s="213" t="s">
        <v>14136</v>
      </c>
      <c r="E1696" s="213" t="s">
        <v>14137</v>
      </c>
      <c r="K1696" s="213" t="s">
        <v>71671</v>
      </c>
      <c r="L1696" s="213" t="s">
        <v>71746</v>
      </c>
      <c r="M1696" s="213" t="s">
        <v>71821</v>
      </c>
      <c r="N1696" s="213" t="s">
        <v>14138</v>
      </c>
      <c r="O1696" s="213" t="s">
        <v>14139</v>
      </c>
      <c r="P1696" s="213" t="s">
        <v>14140</v>
      </c>
      <c r="Q1696" s="213" t="s">
        <v>14141</v>
      </c>
      <c r="R1696" s="213" t="s">
        <v>14142</v>
      </c>
      <c r="S1696" s="213" t="s">
        <v>14143</v>
      </c>
      <c r="T1696" s="213" t="s">
        <v>14144</v>
      </c>
      <c r="U1696" s="213" t="s">
        <v>71896</v>
      </c>
    </row>
    <row r="1697" spans="1:21" x14ac:dyDescent="0.25">
      <c r="A1697" s="213" t="s">
        <v>327</v>
      </c>
      <c r="D1697" s="213" t="s">
        <v>14145</v>
      </c>
      <c r="E1697" s="213" t="s">
        <v>14146</v>
      </c>
      <c r="K1697" s="213" t="s">
        <v>71672</v>
      </c>
      <c r="L1697" s="213" t="s">
        <v>71747</v>
      </c>
      <c r="M1697" s="213" t="s">
        <v>71822</v>
      </c>
      <c r="N1697" s="213" t="s">
        <v>14147</v>
      </c>
      <c r="O1697" s="213" t="s">
        <v>14148</v>
      </c>
      <c r="P1697" s="213" t="s">
        <v>14149</v>
      </c>
      <c r="Q1697" s="213" t="s">
        <v>14150</v>
      </c>
      <c r="R1697" s="213" t="s">
        <v>14151</v>
      </c>
      <c r="S1697" s="213" t="s">
        <v>14152</v>
      </c>
      <c r="T1697" s="213" t="s">
        <v>14153</v>
      </c>
      <c r="U1697" s="213" t="s">
        <v>71897</v>
      </c>
    </row>
    <row r="1698" spans="1:21" x14ac:dyDescent="0.25">
      <c r="A1698" s="213" t="s">
        <v>327</v>
      </c>
      <c r="D1698" s="213" t="s">
        <v>14154</v>
      </c>
      <c r="E1698" s="213" t="s">
        <v>14155</v>
      </c>
      <c r="K1698" s="213" t="s">
        <v>71673</v>
      </c>
      <c r="L1698" s="213" t="s">
        <v>71748</v>
      </c>
      <c r="M1698" s="213" t="s">
        <v>71823</v>
      </c>
      <c r="N1698" s="213" t="s">
        <v>14156</v>
      </c>
      <c r="O1698" s="213" t="s">
        <v>14157</v>
      </c>
      <c r="P1698" s="213" t="s">
        <v>14158</v>
      </c>
      <c r="Q1698" s="213" t="s">
        <v>14159</v>
      </c>
      <c r="R1698" s="213" t="s">
        <v>14160</v>
      </c>
      <c r="S1698" s="213" t="s">
        <v>14161</v>
      </c>
      <c r="T1698" s="213" t="s">
        <v>14162</v>
      </c>
      <c r="U1698" s="213" t="s">
        <v>71898</v>
      </c>
    </row>
    <row r="1699" spans="1:21" x14ac:dyDescent="0.25">
      <c r="A1699" s="213" t="s">
        <v>327</v>
      </c>
      <c r="D1699" s="213" t="s">
        <v>14163</v>
      </c>
      <c r="E1699" s="213" t="s">
        <v>14164</v>
      </c>
      <c r="K1699" s="213" t="s">
        <v>71674</v>
      </c>
      <c r="L1699" s="213" t="s">
        <v>71749</v>
      </c>
      <c r="M1699" s="213" t="s">
        <v>71824</v>
      </c>
      <c r="N1699" s="213" t="s">
        <v>14165</v>
      </c>
      <c r="O1699" s="213" t="s">
        <v>14166</v>
      </c>
      <c r="P1699" s="213" t="s">
        <v>14167</v>
      </c>
      <c r="Q1699" s="213" t="s">
        <v>14168</v>
      </c>
      <c r="R1699" s="213" t="s">
        <v>14169</v>
      </c>
      <c r="S1699" s="213" t="s">
        <v>14170</v>
      </c>
      <c r="T1699" s="213" t="s">
        <v>14171</v>
      </c>
      <c r="U1699" s="213" t="s">
        <v>71899</v>
      </c>
    </row>
    <row r="1700" spans="1:21" x14ac:dyDescent="0.25">
      <c r="A1700" s="213" t="s">
        <v>327</v>
      </c>
      <c r="D1700" s="213" t="s">
        <v>14172</v>
      </c>
      <c r="E1700" s="213" t="s">
        <v>14173</v>
      </c>
      <c r="K1700" s="213" t="s">
        <v>71675</v>
      </c>
      <c r="L1700" s="213" t="s">
        <v>71750</v>
      </c>
      <c r="M1700" s="213" t="s">
        <v>71825</v>
      </c>
      <c r="N1700" s="213" t="s">
        <v>14174</v>
      </c>
      <c r="O1700" s="213" t="s">
        <v>14175</v>
      </c>
      <c r="P1700" s="213" t="s">
        <v>14176</v>
      </c>
      <c r="Q1700" s="213" t="s">
        <v>14177</v>
      </c>
      <c r="R1700" s="213" t="s">
        <v>14178</v>
      </c>
      <c r="S1700" s="213" t="s">
        <v>14179</v>
      </c>
      <c r="T1700" s="213" t="s">
        <v>14180</v>
      </c>
      <c r="U1700" s="213" t="s">
        <v>71900</v>
      </c>
    </row>
    <row r="1701" spans="1:21" x14ac:dyDescent="0.25">
      <c r="A1701" s="213" t="s">
        <v>327</v>
      </c>
      <c r="D1701" s="213" t="s">
        <v>345</v>
      </c>
      <c r="E1701" s="213" t="s">
        <v>14181</v>
      </c>
      <c r="K1701" s="213" t="s">
        <v>71676</v>
      </c>
      <c r="L1701" s="213" t="s">
        <v>71751</v>
      </c>
      <c r="M1701" s="213" t="s">
        <v>71826</v>
      </c>
      <c r="N1701" s="213" t="s">
        <v>14182</v>
      </c>
      <c r="O1701" s="213" t="s">
        <v>14183</v>
      </c>
      <c r="P1701" s="213" t="s">
        <v>14184</v>
      </c>
      <c r="Q1701" s="213" t="s">
        <v>14185</v>
      </c>
      <c r="R1701" s="213" t="s">
        <v>14186</v>
      </c>
      <c r="S1701" s="213" t="s">
        <v>14187</v>
      </c>
      <c r="T1701" s="213" t="s">
        <v>14188</v>
      </c>
      <c r="U1701" s="213" t="s">
        <v>71901</v>
      </c>
    </row>
    <row r="1702" spans="1:21" x14ac:dyDescent="0.25">
      <c r="A1702" s="213" t="s">
        <v>327</v>
      </c>
      <c r="D1702" s="213" t="s">
        <v>14189</v>
      </c>
      <c r="E1702" s="213" t="s">
        <v>14190</v>
      </c>
      <c r="K1702" s="213" t="s">
        <v>71677</v>
      </c>
      <c r="L1702" s="213" t="s">
        <v>71752</v>
      </c>
      <c r="M1702" s="213" t="s">
        <v>71827</v>
      </c>
      <c r="N1702" s="213" t="s">
        <v>14191</v>
      </c>
      <c r="O1702" s="213" t="s">
        <v>14192</v>
      </c>
      <c r="P1702" s="213" t="s">
        <v>14193</v>
      </c>
      <c r="Q1702" s="213" t="s">
        <v>14194</v>
      </c>
      <c r="R1702" s="213" t="s">
        <v>14195</v>
      </c>
      <c r="S1702" s="213" t="s">
        <v>14196</v>
      </c>
      <c r="T1702" s="213" t="s">
        <v>14197</v>
      </c>
      <c r="U1702" s="213" t="s">
        <v>71902</v>
      </c>
    </row>
    <row r="1703" spans="1:21" x14ac:dyDescent="0.25">
      <c r="A1703" s="213" t="s">
        <v>327</v>
      </c>
      <c r="D1703" s="213" t="s">
        <v>14198</v>
      </c>
      <c r="E1703" s="213" t="s">
        <v>14199</v>
      </c>
      <c r="K1703" s="213" t="s">
        <v>71678</v>
      </c>
      <c r="L1703" s="213" t="s">
        <v>71753</v>
      </c>
      <c r="M1703" s="213" t="s">
        <v>71828</v>
      </c>
      <c r="N1703" s="213" t="s">
        <v>14200</v>
      </c>
      <c r="O1703" s="213" t="s">
        <v>14201</v>
      </c>
      <c r="P1703" s="213" t="s">
        <v>14202</v>
      </c>
      <c r="Q1703" s="213" t="s">
        <v>14203</v>
      </c>
      <c r="R1703" s="213" t="s">
        <v>14204</v>
      </c>
      <c r="S1703" s="213" t="s">
        <v>14205</v>
      </c>
      <c r="T1703" s="213" t="s">
        <v>14206</v>
      </c>
      <c r="U1703" s="213" t="s">
        <v>71903</v>
      </c>
    </row>
    <row r="1704" spans="1:21" x14ac:dyDescent="0.25">
      <c r="A1704" s="213" t="s">
        <v>327</v>
      </c>
      <c r="D1704" s="213" t="s">
        <v>14207</v>
      </c>
      <c r="E1704" s="213" t="s">
        <v>14208</v>
      </c>
      <c r="K1704" s="213" t="s">
        <v>71679</v>
      </c>
      <c r="L1704" s="213" t="s">
        <v>71754</v>
      </c>
      <c r="M1704" s="213" t="s">
        <v>71829</v>
      </c>
      <c r="N1704" s="213" t="s">
        <v>14209</v>
      </c>
      <c r="O1704" s="213" t="s">
        <v>14210</v>
      </c>
      <c r="P1704" s="213" t="s">
        <v>14211</v>
      </c>
      <c r="Q1704" s="213" t="s">
        <v>14212</v>
      </c>
      <c r="R1704" s="213" t="s">
        <v>14213</v>
      </c>
      <c r="S1704" s="213" t="s">
        <v>14214</v>
      </c>
      <c r="T1704" s="213" t="s">
        <v>14215</v>
      </c>
      <c r="U1704" s="213" t="s">
        <v>71904</v>
      </c>
    </row>
    <row r="1705" spans="1:21" x14ac:dyDescent="0.25">
      <c r="A1705" s="213" t="s">
        <v>327</v>
      </c>
      <c r="D1705" s="213" t="s">
        <v>14216</v>
      </c>
      <c r="E1705" s="213" t="s">
        <v>14217</v>
      </c>
      <c r="K1705" s="213" t="s">
        <v>71680</v>
      </c>
      <c r="L1705" s="213" t="s">
        <v>71755</v>
      </c>
      <c r="M1705" s="213" t="s">
        <v>71830</v>
      </c>
      <c r="N1705" s="213" t="s">
        <v>14218</v>
      </c>
      <c r="O1705" s="213" t="s">
        <v>14219</v>
      </c>
      <c r="P1705" s="213" t="s">
        <v>14220</v>
      </c>
      <c r="Q1705" s="213" t="s">
        <v>14221</v>
      </c>
      <c r="R1705" s="213" t="s">
        <v>14222</v>
      </c>
      <c r="S1705" s="213" t="s">
        <v>14223</v>
      </c>
      <c r="T1705" s="213" t="s">
        <v>14224</v>
      </c>
      <c r="U1705" s="213" t="s">
        <v>71905</v>
      </c>
    </row>
    <row r="1706" spans="1:21" x14ac:dyDescent="0.25">
      <c r="A1706" s="213" t="s">
        <v>327</v>
      </c>
      <c r="D1706" s="213" t="s">
        <v>14225</v>
      </c>
      <c r="E1706" s="213" t="s">
        <v>14226</v>
      </c>
      <c r="K1706" s="213" t="s">
        <v>71681</v>
      </c>
      <c r="L1706" s="213" t="s">
        <v>71756</v>
      </c>
      <c r="M1706" s="213" t="s">
        <v>71831</v>
      </c>
      <c r="N1706" s="213" t="s">
        <v>14227</v>
      </c>
      <c r="O1706" s="213" t="s">
        <v>14228</v>
      </c>
      <c r="P1706" s="213" t="s">
        <v>14229</v>
      </c>
      <c r="Q1706" s="213" t="s">
        <v>14230</v>
      </c>
      <c r="R1706" s="213" t="s">
        <v>14231</v>
      </c>
      <c r="S1706" s="213" t="s">
        <v>14232</v>
      </c>
      <c r="T1706" s="213" t="s">
        <v>14233</v>
      </c>
      <c r="U1706" s="213" t="s">
        <v>71906</v>
      </c>
    </row>
    <row r="1707" spans="1:21" x14ac:dyDescent="0.25">
      <c r="A1707" s="213" t="s">
        <v>327</v>
      </c>
      <c r="D1707" s="213" t="s">
        <v>14234</v>
      </c>
      <c r="E1707" s="213" t="s">
        <v>14235</v>
      </c>
      <c r="K1707" s="213" t="s">
        <v>71682</v>
      </c>
      <c r="L1707" s="213" t="s">
        <v>71757</v>
      </c>
      <c r="M1707" s="213" t="s">
        <v>71832</v>
      </c>
      <c r="N1707" s="213" t="s">
        <v>14236</v>
      </c>
      <c r="O1707" s="213" t="s">
        <v>14237</v>
      </c>
      <c r="P1707" s="213" t="s">
        <v>14238</v>
      </c>
      <c r="Q1707" s="213" t="s">
        <v>14239</v>
      </c>
      <c r="R1707" s="213" t="s">
        <v>14240</v>
      </c>
      <c r="S1707" s="213" t="s">
        <v>14241</v>
      </c>
      <c r="T1707" s="213" t="s">
        <v>14242</v>
      </c>
      <c r="U1707" s="213" t="s">
        <v>71907</v>
      </c>
    </row>
    <row r="1708" spans="1:21" x14ac:dyDescent="0.25">
      <c r="A1708" s="213" t="s">
        <v>327</v>
      </c>
      <c r="D1708" s="213" t="s">
        <v>14243</v>
      </c>
      <c r="E1708" s="213" t="s">
        <v>14244</v>
      </c>
      <c r="K1708" s="213" t="s">
        <v>71683</v>
      </c>
      <c r="L1708" s="213" t="s">
        <v>71758</v>
      </c>
      <c r="M1708" s="213" t="s">
        <v>71833</v>
      </c>
      <c r="N1708" s="213" t="s">
        <v>14245</v>
      </c>
      <c r="O1708" s="213" t="s">
        <v>14246</v>
      </c>
      <c r="P1708" s="213" t="s">
        <v>14247</v>
      </c>
      <c r="Q1708" s="213" t="s">
        <v>14248</v>
      </c>
      <c r="R1708" s="213" t="s">
        <v>14249</v>
      </c>
      <c r="S1708" s="213" t="s">
        <v>14250</v>
      </c>
      <c r="T1708" s="213" t="s">
        <v>14251</v>
      </c>
      <c r="U1708" s="213" t="s">
        <v>71908</v>
      </c>
    </row>
    <row r="1709" spans="1:21" x14ac:dyDescent="0.25">
      <c r="A1709" s="213" t="s">
        <v>327</v>
      </c>
      <c r="D1709" s="213" t="s">
        <v>14252</v>
      </c>
      <c r="E1709" s="213" t="s">
        <v>14253</v>
      </c>
      <c r="K1709" s="213" t="s">
        <v>71684</v>
      </c>
      <c r="L1709" s="213" t="s">
        <v>71759</v>
      </c>
      <c r="M1709" s="213" t="s">
        <v>71834</v>
      </c>
      <c r="N1709" s="213" t="s">
        <v>14254</v>
      </c>
      <c r="O1709" s="213" t="s">
        <v>14255</v>
      </c>
      <c r="P1709" s="213" t="s">
        <v>14256</v>
      </c>
      <c r="Q1709" s="213" t="s">
        <v>14257</v>
      </c>
      <c r="R1709" s="213" t="s">
        <v>14258</v>
      </c>
      <c r="S1709" s="213" t="s">
        <v>14259</v>
      </c>
      <c r="T1709" s="213" t="s">
        <v>14260</v>
      </c>
      <c r="U1709" s="213" t="s">
        <v>71909</v>
      </c>
    </row>
    <row r="1710" spans="1:21" x14ac:dyDescent="0.25">
      <c r="A1710" s="213" t="s">
        <v>327</v>
      </c>
      <c r="D1710" s="213" t="s">
        <v>14261</v>
      </c>
      <c r="E1710" s="213" t="s">
        <v>14262</v>
      </c>
      <c r="K1710" s="213" t="s">
        <v>71685</v>
      </c>
      <c r="L1710" s="213" t="s">
        <v>71760</v>
      </c>
      <c r="M1710" s="213" t="s">
        <v>71835</v>
      </c>
      <c r="N1710" s="213" t="s">
        <v>14263</v>
      </c>
      <c r="O1710" s="213" t="s">
        <v>14264</v>
      </c>
      <c r="P1710" s="213" t="s">
        <v>14265</v>
      </c>
      <c r="Q1710" s="213" t="s">
        <v>14266</v>
      </c>
      <c r="R1710" s="213" t="s">
        <v>14267</v>
      </c>
      <c r="S1710" s="213" t="s">
        <v>14268</v>
      </c>
      <c r="T1710" s="213" t="s">
        <v>14269</v>
      </c>
      <c r="U1710" s="213" t="s">
        <v>71910</v>
      </c>
    </row>
    <row r="1711" spans="1:21" x14ac:dyDescent="0.25">
      <c r="A1711" s="213" t="s">
        <v>327</v>
      </c>
      <c r="D1711" s="213" t="s">
        <v>14270</v>
      </c>
      <c r="E1711" s="213" t="s">
        <v>14271</v>
      </c>
      <c r="K1711" s="213" t="s">
        <v>71686</v>
      </c>
      <c r="L1711" s="213" t="s">
        <v>71761</v>
      </c>
      <c r="M1711" s="213" t="s">
        <v>71836</v>
      </c>
      <c r="N1711" s="213" t="s">
        <v>14272</v>
      </c>
      <c r="O1711" s="213" t="s">
        <v>14273</v>
      </c>
      <c r="P1711" s="213" t="s">
        <v>14274</v>
      </c>
      <c r="Q1711" s="213" t="s">
        <v>14275</v>
      </c>
      <c r="R1711" s="213" t="s">
        <v>14276</v>
      </c>
      <c r="S1711" s="213" t="s">
        <v>14277</v>
      </c>
      <c r="T1711" s="213" t="s">
        <v>14278</v>
      </c>
      <c r="U1711" s="213" t="s">
        <v>71911</v>
      </c>
    </row>
    <row r="1712" spans="1:21" x14ac:dyDescent="0.25">
      <c r="A1712" s="213" t="s">
        <v>327</v>
      </c>
      <c r="D1712" s="213" t="s">
        <v>14279</v>
      </c>
      <c r="E1712" s="213" t="s">
        <v>14280</v>
      </c>
      <c r="K1712" s="213" t="s">
        <v>71687</v>
      </c>
      <c r="L1712" s="213" t="s">
        <v>71762</v>
      </c>
      <c r="M1712" s="213" t="s">
        <v>71837</v>
      </c>
      <c r="N1712" s="213" t="s">
        <v>14281</v>
      </c>
      <c r="O1712" s="213" t="s">
        <v>14282</v>
      </c>
      <c r="P1712" s="213" t="s">
        <v>14283</v>
      </c>
      <c r="Q1712" s="213" t="s">
        <v>14284</v>
      </c>
      <c r="R1712" s="213" t="s">
        <v>14285</v>
      </c>
      <c r="S1712" s="213" t="s">
        <v>14286</v>
      </c>
      <c r="T1712" s="213" t="s">
        <v>14287</v>
      </c>
      <c r="U1712" s="213" t="s">
        <v>71912</v>
      </c>
    </row>
    <row r="1713" spans="1:21" x14ac:dyDescent="0.25">
      <c r="A1713" s="213" t="s">
        <v>327</v>
      </c>
      <c r="D1713" s="213" t="s">
        <v>14288</v>
      </c>
      <c r="E1713" s="213" t="s">
        <v>14289</v>
      </c>
      <c r="K1713" s="213" t="s">
        <v>71688</v>
      </c>
      <c r="L1713" s="213" t="s">
        <v>71763</v>
      </c>
      <c r="M1713" s="213" t="s">
        <v>71838</v>
      </c>
      <c r="N1713" s="213" t="s">
        <v>14290</v>
      </c>
      <c r="O1713" s="213" t="s">
        <v>14291</v>
      </c>
      <c r="P1713" s="213" t="s">
        <v>14292</v>
      </c>
      <c r="Q1713" s="213" t="s">
        <v>14293</v>
      </c>
      <c r="R1713" s="213" t="s">
        <v>14294</v>
      </c>
      <c r="S1713" s="213" t="s">
        <v>14295</v>
      </c>
      <c r="T1713" s="213" t="s">
        <v>14296</v>
      </c>
      <c r="U1713" s="213" t="s">
        <v>71913</v>
      </c>
    </row>
    <row r="1714" spans="1:21" x14ac:dyDescent="0.25">
      <c r="A1714" s="213" t="s">
        <v>327</v>
      </c>
      <c r="D1714" s="213" t="s">
        <v>14297</v>
      </c>
      <c r="E1714" s="213" t="s">
        <v>14298</v>
      </c>
      <c r="K1714" s="213" t="s">
        <v>71689</v>
      </c>
      <c r="L1714" s="213" t="s">
        <v>71764</v>
      </c>
      <c r="M1714" s="213" t="s">
        <v>71839</v>
      </c>
      <c r="N1714" s="213" t="s">
        <v>14299</v>
      </c>
      <c r="O1714" s="213" t="s">
        <v>14300</v>
      </c>
      <c r="P1714" s="213" t="s">
        <v>14301</v>
      </c>
      <c r="Q1714" s="213" t="s">
        <v>14302</v>
      </c>
      <c r="R1714" s="213" t="s">
        <v>14303</v>
      </c>
      <c r="S1714" s="213" t="s">
        <v>14304</v>
      </c>
      <c r="T1714" s="213" t="s">
        <v>14305</v>
      </c>
      <c r="U1714" s="213" t="s">
        <v>71914</v>
      </c>
    </row>
    <row r="1715" spans="1:21" x14ac:dyDescent="0.25">
      <c r="A1715" s="213" t="s">
        <v>327</v>
      </c>
      <c r="D1715" s="213" t="s">
        <v>14306</v>
      </c>
      <c r="E1715" s="213" t="s">
        <v>14307</v>
      </c>
      <c r="K1715" s="213" t="s">
        <v>71690</v>
      </c>
      <c r="L1715" s="213" t="s">
        <v>71765</v>
      </c>
      <c r="M1715" s="213" t="s">
        <v>71840</v>
      </c>
      <c r="N1715" s="213" t="s">
        <v>14308</v>
      </c>
      <c r="O1715" s="213" t="s">
        <v>14309</v>
      </c>
      <c r="P1715" s="213" t="s">
        <v>14310</v>
      </c>
      <c r="Q1715" s="213" t="s">
        <v>14311</v>
      </c>
      <c r="R1715" s="213" t="s">
        <v>14312</v>
      </c>
      <c r="S1715" s="213" t="s">
        <v>14313</v>
      </c>
      <c r="T1715" s="213" t="s">
        <v>14314</v>
      </c>
      <c r="U1715" s="213" t="s">
        <v>71915</v>
      </c>
    </row>
    <row r="1716" spans="1:21" x14ac:dyDescent="0.25">
      <c r="A1716" s="213" t="s">
        <v>327</v>
      </c>
      <c r="D1716" s="213" t="s">
        <v>14315</v>
      </c>
      <c r="E1716" s="213" t="s">
        <v>14316</v>
      </c>
      <c r="K1716" s="213" t="s">
        <v>71691</v>
      </c>
      <c r="L1716" s="213" t="s">
        <v>71766</v>
      </c>
      <c r="M1716" s="213" t="s">
        <v>71841</v>
      </c>
      <c r="N1716" s="213" t="s">
        <v>14317</v>
      </c>
      <c r="O1716" s="213" t="s">
        <v>14318</v>
      </c>
      <c r="P1716" s="213" t="s">
        <v>14319</v>
      </c>
      <c r="Q1716" s="213" t="s">
        <v>14320</v>
      </c>
      <c r="R1716" s="213" t="s">
        <v>14321</v>
      </c>
      <c r="S1716" s="213" t="s">
        <v>14322</v>
      </c>
      <c r="T1716" s="213" t="s">
        <v>14323</v>
      </c>
      <c r="U1716" s="213" t="s">
        <v>71916</v>
      </c>
    </row>
    <row r="1717" spans="1:21" x14ac:dyDescent="0.25">
      <c r="A1717" s="213" t="s">
        <v>327</v>
      </c>
      <c r="D1717" s="213" t="s">
        <v>14324</v>
      </c>
      <c r="E1717" s="213" t="s">
        <v>14325</v>
      </c>
      <c r="K1717" s="213" t="s">
        <v>71692</v>
      </c>
      <c r="L1717" s="213" t="s">
        <v>71767</v>
      </c>
      <c r="M1717" s="213" t="s">
        <v>71842</v>
      </c>
      <c r="N1717" s="213" t="s">
        <v>14326</v>
      </c>
      <c r="O1717" s="213" t="s">
        <v>14327</v>
      </c>
      <c r="P1717" s="213" t="s">
        <v>14328</v>
      </c>
      <c r="Q1717" s="213" t="s">
        <v>14329</v>
      </c>
      <c r="R1717" s="213" t="s">
        <v>14330</v>
      </c>
      <c r="S1717" s="213" t="s">
        <v>14331</v>
      </c>
      <c r="T1717" s="213" t="s">
        <v>14332</v>
      </c>
      <c r="U1717" s="213" t="s">
        <v>71917</v>
      </c>
    </row>
    <row r="1718" spans="1:21" x14ac:dyDescent="0.25">
      <c r="A1718" s="213" t="s">
        <v>327</v>
      </c>
      <c r="D1718" s="213" t="s">
        <v>14333</v>
      </c>
      <c r="E1718" s="213" t="s">
        <v>14334</v>
      </c>
      <c r="K1718" s="213" t="s">
        <v>71693</v>
      </c>
      <c r="L1718" s="213" t="s">
        <v>71768</v>
      </c>
      <c r="M1718" s="213" t="s">
        <v>71843</v>
      </c>
      <c r="N1718" s="213" t="s">
        <v>14335</v>
      </c>
      <c r="O1718" s="213" t="s">
        <v>14336</v>
      </c>
      <c r="P1718" s="213" t="s">
        <v>14337</v>
      </c>
      <c r="Q1718" s="213" t="s">
        <v>14338</v>
      </c>
      <c r="R1718" s="213" t="s">
        <v>14339</v>
      </c>
      <c r="S1718" s="213" t="s">
        <v>14340</v>
      </c>
      <c r="T1718" s="213" t="s">
        <v>14341</v>
      </c>
      <c r="U1718" s="213" t="s">
        <v>71918</v>
      </c>
    </row>
    <row r="1719" spans="1:21" x14ac:dyDescent="0.25">
      <c r="A1719" s="213" t="s">
        <v>327</v>
      </c>
      <c r="D1719" s="213" t="s">
        <v>14342</v>
      </c>
      <c r="E1719" s="213" t="s">
        <v>14343</v>
      </c>
      <c r="K1719" s="213" t="s">
        <v>71694</v>
      </c>
      <c r="L1719" s="213" t="s">
        <v>71769</v>
      </c>
      <c r="M1719" s="213" t="s">
        <v>71844</v>
      </c>
      <c r="N1719" s="213" t="s">
        <v>14344</v>
      </c>
      <c r="O1719" s="213" t="s">
        <v>14345</v>
      </c>
      <c r="P1719" s="213" t="s">
        <v>14346</v>
      </c>
      <c r="Q1719" s="213" t="s">
        <v>14347</v>
      </c>
      <c r="R1719" s="213" t="s">
        <v>14348</v>
      </c>
      <c r="S1719" s="213" t="s">
        <v>14349</v>
      </c>
      <c r="T1719" s="213" t="s">
        <v>14350</v>
      </c>
      <c r="U1719" s="213" t="s">
        <v>71919</v>
      </c>
    </row>
    <row r="1720" spans="1:21" x14ac:dyDescent="0.25">
      <c r="A1720" s="213" t="s">
        <v>327</v>
      </c>
      <c r="D1720" s="213" t="s">
        <v>14351</v>
      </c>
      <c r="E1720" s="213" t="s">
        <v>14352</v>
      </c>
      <c r="K1720" s="213" t="s">
        <v>71695</v>
      </c>
      <c r="L1720" s="213" t="s">
        <v>71770</v>
      </c>
      <c r="M1720" s="213" t="s">
        <v>71845</v>
      </c>
      <c r="N1720" s="213" t="s">
        <v>14353</v>
      </c>
      <c r="O1720" s="213" t="s">
        <v>14354</v>
      </c>
      <c r="P1720" s="213" t="s">
        <v>14355</v>
      </c>
      <c r="Q1720" s="213" t="s">
        <v>14356</v>
      </c>
      <c r="R1720" s="213" t="s">
        <v>14357</v>
      </c>
      <c r="S1720" s="213" t="s">
        <v>14358</v>
      </c>
      <c r="T1720" s="213" t="s">
        <v>14359</v>
      </c>
      <c r="U1720" s="213" t="s">
        <v>71920</v>
      </c>
    </row>
    <row r="1721" spans="1:21" x14ac:dyDescent="0.25">
      <c r="A1721" s="213" t="s">
        <v>327</v>
      </c>
      <c r="D1721" s="213" t="s">
        <v>14360</v>
      </c>
      <c r="E1721" s="213" t="s">
        <v>14361</v>
      </c>
      <c r="K1721" s="213" t="s">
        <v>71696</v>
      </c>
      <c r="L1721" s="213" t="s">
        <v>71771</v>
      </c>
      <c r="M1721" s="213" t="s">
        <v>71846</v>
      </c>
      <c r="N1721" s="213" t="s">
        <v>14362</v>
      </c>
      <c r="O1721" s="213" t="s">
        <v>14363</v>
      </c>
      <c r="P1721" s="213" t="s">
        <v>14364</v>
      </c>
      <c r="Q1721" s="213" t="s">
        <v>14365</v>
      </c>
      <c r="R1721" s="213" t="s">
        <v>14366</v>
      </c>
      <c r="S1721" s="213" t="s">
        <v>14367</v>
      </c>
      <c r="T1721" s="213" t="s">
        <v>14368</v>
      </c>
      <c r="U1721" s="213" t="s">
        <v>71921</v>
      </c>
    </row>
    <row r="1722" spans="1:21" x14ac:dyDescent="0.25">
      <c r="A1722" s="213" t="s">
        <v>327</v>
      </c>
      <c r="D1722" s="213" t="s">
        <v>14369</v>
      </c>
      <c r="E1722" s="213" t="s">
        <v>14370</v>
      </c>
      <c r="K1722" s="213" t="s">
        <v>71697</v>
      </c>
      <c r="L1722" s="213" t="s">
        <v>71772</v>
      </c>
      <c r="M1722" s="213" t="s">
        <v>71847</v>
      </c>
      <c r="N1722" s="213" t="s">
        <v>14371</v>
      </c>
      <c r="O1722" s="213" t="s">
        <v>14372</v>
      </c>
      <c r="P1722" s="213" t="s">
        <v>14373</v>
      </c>
      <c r="Q1722" s="213" t="s">
        <v>14374</v>
      </c>
      <c r="R1722" s="213" t="s">
        <v>14375</v>
      </c>
      <c r="S1722" s="213" t="s">
        <v>14376</v>
      </c>
      <c r="T1722" s="213" t="s">
        <v>14377</v>
      </c>
      <c r="U1722" s="213" t="s">
        <v>71922</v>
      </c>
    </row>
    <row r="1723" spans="1:21" x14ac:dyDescent="0.25">
      <c r="A1723" s="213" t="s">
        <v>327</v>
      </c>
      <c r="D1723" s="213" t="s">
        <v>14378</v>
      </c>
      <c r="E1723" s="213" t="s">
        <v>14379</v>
      </c>
      <c r="K1723" s="213" t="s">
        <v>71698</v>
      </c>
      <c r="L1723" s="213" t="s">
        <v>71773</v>
      </c>
      <c r="M1723" s="213" t="s">
        <v>71848</v>
      </c>
      <c r="N1723" s="213" t="s">
        <v>14380</v>
      </c>
      <c r="O1723" s="213" t="s">
        <v>14381</v>
      </c>
      <c r="P1723" s="213" t="s">
        <v>14382</v>
      </c>
      <c r="Q1723" s="213" t="s">
        <v>14383</v>
      </c>
      <c r="R1723" s="213" t="s">
        <v>14384</v>
      </c>
      <c r="S1723" s="213" t="s">
        <v>14385</v>
      </c>
      <c r="T1723" s="213" t="s">
        <v>14386</v>
      </c>
      <c r="U1723" s="213" t="s">
        <v>71923</v>
      </c>
    </row>
    <row r="1724" spans="1:21" x14ac:dyDescent="0.25">
      <c r="A1724" s="213" t="s">
        <v>327</v>
      </c>
      <c r="D1724" s="213" t="s">
        <v>14387</v>
      </c>
      <c r="E1724" s="213" t="s">
        <v>14388</v>
      </c>
      <c r="K1724" s="213" t="s">
        <v>71699</v>
      </c>
      <c r="L1724" s="213" t="s">
        <v>71774</v>
      </c>
      <c r="M1724" s="213" t="s">
        <v>71849</v>
      </c>
      <c r="N1724" s="213" t="s">
        <v>14389</v>
      </c>
      <c r="O1724" s="213" t="s">
        <v>14390</v>
      </c>
      <c r="P1724" s="213" t="s">
        <v>14391</v>
      </c>
      <c r="Q1724" s="213" t="s">
        <v>14392</v>
      </c>
      <c r="R1724" s="213" t="s">
        <v>14393</v>
      </c>
      <c r="S1724" s="213" t="s">
        <v>14394</v>
      </c>
      <c r="T1724" s="213" t="s">
        <v>14395</v>
      </c>
      <c r="U1724" s="213" t="s">
        <v>71924</v>
      </c>
    </row>
    <row r="1725" spans="1:21" x14ac:dyDescent="0.25">
      <c r="A1725" s="213" t="s">
        <v>327</v>
      </c>
      <c r="D1725" s="213" t="s">
        <v>14396</v>
      </c>
      <c r="E1725" s="213" t="s">
        <v>14397</v>
      </c>
      <c r="K1725" s="213" t="s">
        <v>71700</v>
      </c>
      <c r="L1725" s="213" t="s">
        <v>71775</v>
      </c>
      <c r="M1725" s="213" t="s">
        <v>71850</v>
      </c>
      <c r="N1725" s="213" t="s">
        <v>14398</v>
      </c>
      <c r="O1725" s="213" t="s">
        <v>14399</v>
      </c>
      <c r="P1725" s="213" t="s">
        <v>14400</v>
      </c>
      <c r="Q1725" s="213" t="s">
        <v>14401</v>
      </c>
      <c r="R1725" s="213" t="s">
        <v>14402</v>
      </c>
      <c r="S1725" s="213" t="s">
        <v>14403</v>
      </c>
      <c r="T1725" s="213" t="s">
        <v>14404</v>
      </c>
      <c r="U1725" s="213" t="s">
        <v>71925</v>
      </c>
    </row>
    <row r="1726" spans="1:21" x14ac:dyDescent="0.25">
      <c r="A1726" s="213" t="s">
        <v>327</v>
      </c>
    </row>
    <row r="1727" spans="1:21" x14ac:dyDescent="0.25">
      <c r="A1727" s="213" t="s">
        <v>327</v>
      </c>
    </row>
    <row r="1728" spans="1:21" x14ac:dyDescent="0.25">
      <c r="A1728" s="213" t="s">
        <v>327</v>
      </c>
      <c r="C1728" s="213" t="s">
        <v>14405</v>
      </c>
      <c r="E1728" s="213" t="s">
        <v>14406</v>
      </c>
      <c r="H1728" s="213" t="s">
        <v>14407</v>
      </c>
      <c r="I1728" s="213" t="s">
        <v>14408</v>
      </c>
      <c r="J1728" s="213" t="s">
        <v>14409</v>
      </c>
      <c r="L1728" s="213" t="s">
        <v>14410</v>
      </c>
      <c r="O1728" s="213" t="s">
        <v>14411</v>
      </c>
      <c r="P1728" s="213" t="s">
        <v>14412</v>
      </c>
      <c r="Q1728" s="213" t="s">
        <v>14413</v>
      </c>
      <c r="R1728" s="213" t="s">
        <v>14414</v>
      </c>
      <c r="S1728" s="213" t="s">
        <v>14415</v>
      </c>
      <c r="T1728" s="213" t="s">
        <v>14416</v>
      </c>
    </row>
    <row r="1729" spans="1:21" x14ac:dyDescent="0.25">
      <c r="A1729" s="213" t="s">
        <v>327</v>
      </c>
      <c r="C1729" s="213" t="s">
        <v>14417</v>
      </c>
      <c r="E1729" s="213" t="s">
        <v>14418</v>
      </c>
      <c r="I1729" s="213" t="s">
        <v>14419</v>
      </c>
    </row>
    <row r="1730" spans="1:21" x14ac:dyDescent="0.25">
      <c r="A1730" s="213" t="s">
        <v>327</v>
      </c>
      <c r="C1730" s="213" t="s">
        <v>14420</v>
      </c>
      <c r="E1730" s="213" t="s">
        <v>14421</v>
      </c>
      <c r="I1730" s="213" t="s">
        <v>14422</v>
      </c>
    </row>
    <row r="1731" spans="1:21" x14ac:dyDescent="0.25">
      <c r="A1731" s="213" t="s">
        <v>328</v>
      </c>
    </row>
    <row r="1732" spans="1:21" x14ac:dyDescent="0.25">
      <c r="A1732" s="213" t="s">
        <v>327</v>
      </c>
      <c r="D1732" s="213" t="s">
        <v>14423</v>
      </c>
      <c r="E1732" s="213" t="s">
        <v>14424</v>
      </c>
      <c r="K1732" s="213" t="s">
        <v>71474</v>
      </c>
      <c r="L1732" s="213" t="s">
        <v>71512</v>
      </c>
      <c r="M1732" s="213" t="s">
        <v>71550</v>
      </c>
      <c r="N1732" s="213" t="s">
        <v>14425</v>
      </c>
      <c r="O1732" s="213" t="s">
        <v>14426</v>
      </c>
      <c r="P1732" s="213" t="s">
        <v>14427</v>
      </c>
      <c r="Q1732" s="213" t="s">
        <v>14428</v>
      </c>
      <c r="R1732" s="213" t="s">
        <v>14429</v>
      </c>
      <c r="S1732" s="213" t="s">
        <v>14430</v>
      </c>
      <c r="T1732" s="213" t="s">
        <v>14431</v>
      </c>
      <c r="U1732" s="213" t="s">
        <v>71588</v>
      </c>
    </row>
    <row r="1733" spans="1:21" x14ac:dyDescent="0.25">
      <c r="A1733" s="213" t="s">
        <v>327</v>
      </c>
      <c r="D1733" s="213" t="s">
        <v>14432</v>
      </c>
      <c r="E1733" s="213" t="s">
        <v>14433</v>
      </c>
      <c r="K1733" s="213" t="s">
        <v>71475</v>
      </c>
      <c r="L1733" s="213" t="s">
        <v>71513</v>
      </c>
      <c r="M1733" s="213" t="s">
        <v>71551</v>
      </c>
      <c r="N1733" s="213" t="s">
        <v>14434</v>
      </c>
      <c r="O1733" s="213" t="s">
        <v>14435</v>
      </c>
      <c r="P1733" s="213" t="s">
        <v>14436</v>
      </c>
      <c r="Q1733" s="213" t="s">
        <v>14437</v>
      </c>
      <c r="R1733" s="213" t="s">
        <v>14438</v>
      </c>
      <c r="S1733" s="213" t="s">
        <v>14439</v>
      </c>
      <c r="T1733" s="213" t="s">
        <v>14440</v>
      </c>
      <c r="U1733" s="213" t="s">
        <v>71589</v>
      </c>
    </row>
    <row r="1734" spans="1:21" x14ac:dyDescent="0.25">
      <c r="A1734" s="213" t="s">
        <v>327</v>
      </c>
      <c r="D1734" s="213" t="s">
        <v>14441</v>
      </c>
      <c r="E1734" s="213" t="s">
        <v>14442</v>
      </c>
      <c r="K1734" s="213" t="s">
        <v>71476</v>
      </c>
      <c r="L1734" s="213" t="s">
        <v>71514</v>
      </c>
      <c r="M1734" s="213" t="s">
        <v>71552</v>
      </c>
      <c r="N1734" s="213" t="s">
        <v>14443</v>
      </c>
      <c r="O1734" s="213" t="s">
        <v>14444</v>
      </c>
      <c r="P1734" s="213" t="s">
        <v>14445</v>
      </c>
      <c r="Q1734" s="213" t="s">
        <v>14446</v>
      </c>
      <c r="R1734" s="213" t="s">
        <v>14447</v>
      </c>
      <c r="S1734" s="213" t="s">
        <v>14448</v>
      </c>
      <c r="T1734" s="213" t="s">
        <v>14449</v>
      </c>
      <c r="U1734" s="213" t="s">
        <v>71590</v>
      </c>
    </row>
    <row r="1735" spans="1:21" x14ac:dyDescent="0.25">
      <c r="A1735" s="213" t="s">
        <v>327</v>
      </c>
      <c r="D1735" s="213" t="s">
        <v>14450</v>
      </c>
      <c r="E1735" s="213" t="s">
        <v>14451</v>
      </c>
      <c r="K1735" s="213" t="s">
        <v>71477</v>
      </c>
      <c r="L1735" s="213" t="s">
        <v>71515</v>
      </c>
      <c r="M1735" s="213" t="s">
        <v>71553</v>
      </c>
      <c r="N1735" s="213" t="s">
        <v>14452</v>
      </c>
      <c r="O1735" s="213" t="s">
        <v>14453</v>
      </c>
      <c r="P1735" s="213" t="s">
        <v>14454</v>
      </c>
      <c r="Q1735" s="213" t="s">
        <v>14455</v>
      </c>
      <c r="R1735" s="213" t="s">
        <v>14456</v>
      </c>
      <c r="S1735" s="213" t="s">
        <v>14457</v>
      </c>
      <c r="T1735" s="213" t="s">
        <v>14458</v>
      </c>
      <c r="U1735" s="213" t="s">
        <v>71591</v>
      </c>
    </row>
    <row r="1736" spans="1:21" x14ac:dyDescent="0.25">
      <c r="A1736" s="213" t="s">
        <v>327</v>
      </c>
      <c r="D1736" s="213" t="s">
        <v>14459</v>
      </c>
      <c r="E1736" s="213" t="s">
        <v>14460</v>
      </c>
      <c r="K1736" s="213" t="s">
        <v>71478</v>
      </c>
      <c r="L1736" s="213" t="s">
        <v>71516</v>
      </c>
      <c r="M1736" s="213" t="s">
        <v>71554</v>
      </c>
      <c r="N1736" s="213" t="s">
        <v>14461</v>
      </c>
      <c r="O1736" s="213" t="s">
        <v>14462</v>
      </c>
      <c r="P1736" s="213" t="s">
        <v>14463</v>
      </c>
      <c r="Q1736" s="213" t="s">
        <v>14464</v>
      </c>
      <c r="R1736" s="213" t="s">
        <v>14465</v>
      </c>
      <c r="S1736" s="213" t="s">
        <v>14466</v>
      </c>
      <c r="T1736" s="213" t="s">
        <v>14467</v>
      </c>
      <c r="U1736" s="213" t="s">
        <v>71592</v>
      </c>
    </row>
    <row r="1737" spans="1:21" x14ac:dyDescent="0.25">
      <c r="A1737" s="213" t="s">
        <v>327</v>
      </c>
      <c r="D1737" s="213" t="s">
        <v>14468</v>
      </c>
      <c r="E1737" s="213" t="s">
        <v>14469</v>
      </c>
      <c r="K1737" s="213" t="s">
        <v>71479</v>
      </c>
      <c r="L1737" s="213" t="s">
        <v>71517</v>
      </c>
      <c r="M1737" s="213" t="s">
        <v>71555</v>
      </c>
      <c r="N1737" s="213" t="s">
        <v>14470</v>
      </c>
      <c r="O1737" s="213" t="s">
        <v>14471</v>
      </c>
      <c r="P1737" s="213" t="s">
        <v>14472</v>
      </c>
      <c r="Q1737" s="213" t="s">
        <v>14473</v>
      </c>
      <c r="R1737" s="213" t="s">
        <v>14474</v>
      </c>
      <c r="S1737" s="213" t="s">
        <v>14475</v>
      </c>
      <c r="T1737" s="213" t="s">
        <v>14476</v>
      </c>
      <c r="U1737" s="213" t="s">
        <v>71593</v>
      </c>
    </row>
    <row r="1738" spans="1:21" x14ac:dyDescent="0.25">
      <c r="A1738" s="213" t="s">
        <v>327</v>
      </c>
      <c r="D1738" s="213" t="s">
        <v>14477</v>
      </c>
      <c r="E1738" s="213" t="s">
        <v>14478</v>
      </c>
      <c r="K1738" s="213" t="s">
        <v>71480</v>
      </c>
      <c r="L1738" s="213" t="s">
        <v>71518</v>
      </c>
      <c r="M1738" s="213" t="s">
        <v>71556</v>
      </c>
      <c r="N1738" s="213" t="s">
        <v>14479</v>
      </c>
      <c r="O1738" s="213" t="s">
        <v>14480</v>
      </c>
      <c r="P1738" s="213" t="s">
        <v>14481</v>
      </c>
      <c r="Q1738" s="213" t="s">
        <v>14482</v>
      </c>
      <c r="R1738" s="213" t="s">
        <v>14483</v>
      </c>
      <c r="S1738" s="213" t="s">
        <v>14484</v>
      </c>
      <c r="T1738" s="213" t="s">
        <v>14485</v>
      </c>
      <c r="U1738" s="213" t="s">
        <v>71594</v>
      </c>
    </row>
    <row r="1739" spans="1:21" x14ac:dyDescent="0.25">
      <c r="A1739" s="213" t="s">
        <v>327</v>
      </c>
      <c r="D1739" s="213" t="s">
        <v>14486</v>
      </c>
      <c r="E1739" s="213" t="s">
        <v>14487</v>
      </c>
      <c r="K1739" s="213" t="s">
        <v>71481</v>
      </c>
      <c r="L1739" s="213" t="s">
        <v>71519</v>
      </c>
      <c r="M1739" s="213" t="s">
        <v>71557</v>
      </c>
      <c r="N1739" s="213" t="s">
        <v>14488</v>
      </c>
      <c r="O1739" s="213" t="s">
        <v>14489</v>
      </c>
      <c r="P1739" s="213" t="s">
        <v>14490</v>
      </c>
      <c r="Q1739" s="213" t="s">
        <v>14491</v>
      </c>
      <c r="R1739" s="213" t="s">
        <v>14492</v>
      </c>
      <c r="S1739" s="213" t="s">
        <v>14493</v>
      </c>
      <c r="T1739" s="213" t="s">
        <v>14494</v>
      </c>
      <c r="U1739" s="213" t="s">
        <v>71595</v>
      </c>
    </row>
    <row r="1740" spans="1:21" x14ac:dyDescent="0.25">
      <c r="A1740" s="213" t="s">
        <v>327</v>
      </c>
      <c r="D1740" s="213" t="s">
        <v>14495</v>
      </c>
      <c r="E1740" s="213" t="s">
        <v>14496</v>
      </c>
      <c r="K1740" s="213" t="s">
        <v>71482</v>
      </c>
      <c r="L1740" s="213" t="s">
        <v>71520</v>
      </c>
      <c r="M1740" s="213" t="s">
        <v>71558</v>
      </c>
      <c r="N1740" s="213" t="s">
        <v>14497</v>
      </c>
      <c r="O1740" s="213" t="s">
        <v>14498</v>
      </c>
      <c r="P1740" s="213" t="s">
        <v>14499</v>
      </c>
      <c r="Q1740" s="213" t="s">
        <v>14500</v>
      </c>
      <c r="R1740" s="213" t="s">
        <v>14501</v>
      </c>
      <c r="S1740" s="213" t="s">
        <v>14502</v>
      </c>
      <c r="T1740" s="213" t="s">
        <v>14503</v>
      </c>
      <c r="U1740" s="213" t="s">
        <v>71596</v>
      </c>
    </row>
    <row r="1741" spans="1:21" x14ac:dyDescent="0.25">
      <c r="A1741" s="213" t="s">
        <v>327</v>
      </c>
      <c r="D1741" s="213" t="s">
        <v>14504</v>
      </c>
      <c r="E1741" s="213" t="s">
        <v>14505</v>
      </c>
      <c r="K1741" s="213" t="s">
        <v>71483</v>
      </c>
      <c r="L1741" s="213" t="s">
        <v>71521</v>
      </c>
      <c r="M1741" s="213" t="s">
        <v>71559</v>
      </c>
      <c r="N1741" s="213" t="s">
        <v>14506</v>
      </c>
      <c r="O1741" s="213" t="s">
        <v>14507</v>
      </c>
      <c r="P1741" s="213" t="s">
        <v>14508</v>
      </c>
      <c r="Q1741" s="213" t="s">
        <v>14509</v>
      </c>
      <c r="R1741" s="213" t="s">
        <v>14510</v>
      </c>
      <c r="S1741" s="213" t="s">
        <v>14511</v>
      </c>
      <c r="T1741" s="213" t="s">
        <v>14512</v>
      </c>
      <c r="U1741" s="213" t="s">
        <v>71597</v>
      </c>
    </row>
    <row r="1742" spans="1:21" x14ac:dyDescent="0.25">
      <c r="A1742" s="213" t="s">
        <v>327</v>
      </c>
      <c r="D1742" s="213" t="s">
        <v>14513</v>
      </c>
      <c r="E1742" s="213" t="s">
        <v>14514</v>
      </c>
      <c r="K1742" s="213" t="s">
        <v>71484</v>
      </c>
      <c r="L1742" s="213" t="s">
        <v>71522</v>
      </c>
      <c r="M1742" s="213" t="s">
        <v>71560</v>
      </c>
      <c r="N1742" s="213" t="s">
        <v>14515</v>
      </c>
      <c r="O1742" s="213" t="s">
        <v>14516</v>
      </c>
      <c r="P1742" s="213" t="s">
        <v>14517</v>
      </c>
      <c r="Q1742" s="213" t="s">
        <v>14518</v>
      </c>
      <c r="R1742" s="213" t="s">
        <v>14519</v>
      </c>
      <c r="S1742" s="213" t="s">
        <v>14520</v>
      </c>
      <c r="T1742" s="213" t="s">
        <v>14521</v>
      </c>
      <c r="U1742" s="213" t="s">
        <v>71598</v>
      </c>
    </row>
    <row r="1743" spans="1:21" x14ac:dyDescent="0.25">
      <c r="A1743" s="213" t="s">
        <v>327</v>
      </c>
      <c r="D1743" s="213" t="s">
        <v>14522</v>
      </c>
      <c r="E1743" s="213" t="s">
        <v>14523</v>
      </c>
      <c r="K1743" s="213" t="s">
        <v>71485</v>
      </c>
      <c r="L1743" s="213" t="s">
        <v>71523</v>
      </c>
      <c r="M1743" s="213" t="s">
        <v>71561</v>
      </c>
      <c r="N1743" s="213" t="s">
        <v>14524</v>
      </c>
      <c r="O1743" s="213" t="s">
        <v>14525</v>
      </c>
      <c r="P1743" s="213" t="s">
        <v>14526</v>
      </c>
      <c r="Q1743" s="213" t="s">
        <v>14527</v>
      </c>
      <c r="R1743" s="213" t="s">
        <v>14528</v>
      </c>
      <c r="S1743" s="213" t="s">
        <v>14529</v>
      </c>
      <c r="T1743" s="213" t="s">
        <v>14530</v>
      </c>
      <c r="U1743" s="213" t="s">
        <v>71599</v>
      </c>
    </row>
    <row r="1744" spans="1:21" x14ac:dyDescent="0.25">
      <c r="A1744" s="213" t="s">
        <v>327</v>
      </c>
      <c r="D1744" s="213" t="s">
        <v>14531</v>
      </c>
      <c r="E1744" s="213" t="s">
        <v>14532</v>
      </c>
      <c r="K1744" s="213" t="s">
        <v>71486</v>
      </c>
      <c r="L1744" s="213" t="s">
        <v>71524</v>
      </c>
      <c r="M1744" s="213" t="s">
        <v>71562</v>
      </c>
      <c r="N1744" s="213" t="s">
        <v>14533</v>
      </c>
      <c r="O1744" s="213" t="s">
        <v>14534</v>
      </c>
      <c r="P1744" s="213" t="s">
        <v>14535</v>
      </c>
      <c r="Q1744" s="213" t="s">
        <v>14536</v>
      </c>
      <c r="R1744" s="213" t="s">
        <v>14537</v>
      </c>
      <c r="S1744" s="213" t="s">
        <v>14538</v>
      </c>
      <c r="T1744" s="213" t="s">
        <v>14539</v>
      </c>
      <c r="U1744" s="213" t="s">
        <v>71600</v>
      </c>
    </row>
    <row r="1745" spans="1:21" x14ac:dyDescent="0.25">
      <c r="A1745" s="213" t="s">
        <v>327</v>
      </c>
      <c r="D1745" s="213" t="s">
        <v>14540</v>
      </c>
      <c r="E1745" s="213" t="s">
        <v>14541</v>
      </c>
      <c r="K1745" s="213" t="s">
        <v>71487</v>
      </c>
      <c r="L1745" s="213" t="s">
        <v>71525</v>
      </c>
      <c r="M1745" s="213" t="s">
        <v>71563</v>
      </c>
      <c r="N1745" s="213" t="s">
        <v>14542</v>
      </c>
      <c r="O1745" s="213" t="s">
        <v>14543</v>
      </c>
      <c r="P1745" s="213" t="s">
        <v>14544</v>
      </c>
      <c r="Q1745" s="213" t="s">
        <v>14545</v>
      </c>
      <c r="R1745" s="213" t="s">
        <v>14546</v>
      </c>
      <c r="S1745" s="213" t="s">
        <v>14547</v>
      </c>
      <c r="T1745" s="213" t="s">
        <v>14548</v>
      </c>
      <c r="U1745" s="213" t="s">
        <v>71601</v>
      </c>
    </row>
    <row r="1746" spans="1:21" x14ac:dyDescent="0.25">
      <c r="A1746" s="213" t="s">
        <v>327</v>
      </c>
      <c r="D1746" s="213" t="s">
        <v>14549</v>
      </c>
      <c r="E1746" s="213" t="s">
        <v>14550</v>
      </c>
      <c r="K1746" s="213" t="s">
        <v>71488</v>
      </c>
      <c r="L1746" s="213" t="s">
        <v>71526</v>
      </c>
      <c r="M1746" s="213" t="s">
        <v>71564</v>
      </c>
      <c r="N1746" s="213" t="s">
        <v>14551</v>
      </c>
      <c r="O1746" s="213" t="s">
        <v>14552</v>
      </c>
      <c r="P1746" s="213" t="s">
        <v>14553</v>
      </c>
      <c r="Q1746" s="213" t="s">
        <v>14554</v>
      </c>
      <c r="R1746" s="213" t="s">
        <v>14555</v>
      </c>
      <c r="S1746" s="213" t="s">
        <v>14556</v>
      </c>
      <c r="T1746" s="213" t="s">
        <v>14557</v>
      </c>
      <c r="U1746" s="213" t="s">
        <v>71602</v>
      </c>
    </row>
    <row r="1747" spans="1:21" x14ac:dyDescent="0.25">
      <c r="A1747" s="213" t="s">
        <v>327</v>
      </c>
      <c r="D1747" s="213" t="s">
        <v>14558</v>
      </c>
      <c r="E1747" s="213" t="s">
        <v>14559</v>
      </c>
      <c r="K1747" s="213" t="s">
        <v>71489</v>
      </c>
      <c r="L1747" s="213" t="s">
        <v>71527</v>
      </c>
      <c r="M1747" s="213" t="s">
        <v>71565</v>
      </c>
      <c r="N1747" s="213" t="s">
        <v>14560</v>
      </c>
      <c r="O1747" s="213" t="s">
        <v>14561</v>
      </c>
      <c r="P1747" s="213" t="s">
        <v>14562</v>
      </c>
      <c r="Q1747" s="213" t="s">
        <v>14563</v>
      </c>
      <c r="R1747" s="213" t="s">
        <v>14564</v>
      </c>
      <c r="S1747" s="213" t="s">
        <v>14565</v>
      </c>
      <c r="T1747" s="213" t="s">
        <v>14566</v>
      </c>
      <c r="U1747" s="213" t="s">
        <v>71603</v>
      </c>
    </row>
    <row r="1748" spans="1:21" x14ac:dyDescent="0.25">
      <c r="A1748" s="213" t="s">
        <v>327</v>
      </c>
      <c r="D1748" s="213" t="s">
        <v>14567</v>
      </c>
      <c r="E1748" s="213" t="s">
        <v>14568</v>
      </c>
      <c r="K1748" s="213" t="s">
        <v>71490</v>
      </c>
      <c r="L1748" s="213" t="s">
        <v>71528</v>
      </c>
      <c r="M1748" s="213" t="s">
        <v>71566</v>
      </c>
      <c r="N1748" s="213" t="s">
        <v>14569</v>
      </c>
      <c r="O1748" s="213" t="s">
        <v>14570</v>
      </c>
      <c r="P1748" s="213" t="s">
        <v>14571</v>
      </c>
      <c r="Q1748" s="213" t="s">
        <v>14572</v>
      </c>
      <c r="R1748" s="213" t="s">
        <v>14573</v>
      </c>
      <c r="S1748" s="213" t="s">
        <v>14574</v>
      </c>
      <c r="T1748" s="213" t="s">
        <v>14575</v>
      </c>
      <c r="U1748" s="213" t="s">
        <v>71604</v>
      </c>
    </row>
    <row r="1749" spans="1:21" x14ac:dyDescent="0.25">
      <c r="A1749" s="213" t="s">
        <v>327</v>
      </c>
      <c r="D1749" s="213" t="s">
        <v>14576</v>
      </c>
      <c r="E1749" s="213" t="s">
        <v>14577</v>
      </c>
      <c r="K1749" s="213" t="s">
        <v>71491</v>
      </c>
      <c r="L1749" s="213" t="s">
        <v>71529</v>
      </c>
      <c r="M1749" s="213" t="s">
        <v>71567</v>
      </c>
      <c r="N1749" s="213" t="s">
        <v>14578</v>
      </c>
      <c r="O1749" s="213" t="s">
        <v>14579</v>
      </c>
      <c r="P1749" s="213" t="s">
        <v>14580</v>
      </c>
      <c r="Q1749" s="213" t="s">
        <v>14581</v>
      </c>
      <c r="R1749" s="213" t="s">
        <v>14582</v>
      </c>
      <c r="S1749" s="213" t="s">
        <v>14583</v>
      </c>
      <c r="T1749" s="213" t="s">
        <v>14584</v>
      </c>
      <c r="U1749" s="213" t="s">
        <v>71605</v>
      </c>
    </row>
    <row r="1750" spans="1:21" x14ac:dyDescent="0.25">
      <c r="A1750" s="213" t="s">
        <v>327</v>
      </c>
      <c r="D1750" s="213" t="s">
        <v>14585</v>
      </c>
      <c r="E1750" s="213" t="s">
        <v>14586</v>
      </c>
      <c r="K1750" s="213" t="s">
        <v>71492</v>
      </c>
      <c r="L1750" s="213" t="s">
        <v>71530</v>
      </c>
      <c r="M1750" s="213" t="s">
        <v>71568</v>
      </c>
      <c r="N1750" s="213" t="s">
        <v>14587</v>
      </c>
      <c r="O1750" s="213" t="s">
        <v>14588</v>
      </c>
      <c r="P1750" s="213" t="s">
        <v>14589</v>
      </c>
      <c r="Q1750" s="213" t="s">
        <v>14590</v>
      </c>
      <c r="R1750" s="213" t="s">
        <v>14591</v>
      </c>
      <c r="S1750" s="213" t="s">
        <v>14592</v>
      </c>
      <c r="T1750" s="213" t="s">
        <v>14593</v>
      </c>
      <c r="U1750" s="213" t="s">
        <v>71606</v>
      </c>
    </row>
    <row r="1751" spans="1:21" x14ac:dyDescent="0.25">
      <c r="A1751" s="213" t="s">
        <v>327</v>
      </c>
      <c r="D1751" s="213" t="s">
        <v>14594</v>
      </c>
      <c r="E1751" s="213" t="s">
        <v>14595</v>
      </c>
      <c r="K1751" s="213" t="s">
        <v>71493</v>
      </c>
      <c r="L1751" s="213" t="s">
        <v>71531</v>
      </c>
      <c r="M1751" s="213" t="s">
        <v>71569</v>
      </c>
      <c r="N1751" s="213" t="s">
        <v>14596</v>
      </c>
      <c r="O1751" s="213" t="s">
        <v>14597</v>
      </c>
      <c r="P1751" s="213" t="s">
        <v>14598</v>
      </c>
      <c r="Q1751" s="213" t="s">
        <v>14599</v>
      </c>
      <c r="R1751" s="213" t="s">
        <v>14600</v>
      </c>
      <c r="S1751" s="213" t="s">
        <v>14601</v>
      </c>
      <c r="T1751" s="213" t="s">
        <v>14602</v>
      </c>
      <c r="U1751" s="213" t="s">
        <v>71607</v>
      </c>
    </row>
    <row r="1752" spans="1:21" x14ac:dyDescent="0.25">
      <c r="A1752" s="213" t="s">
        <v>327</v>
      </c>
      <c r="D1752" s="213" t="s">
        <v>14603</v>
      </c>
      <c r="E1752" s="213" t="s">
        <v>14604</v>
      </c>
      <c r="K1752" s="213" t="s">
        <v>71494</v>
      </c>
      <c r="L1752" s="213" t="s">
        <v>71532</v>
      </c>
      <c r="M1752" s="213" t="s">
        <v>71570</v>
      </c>
      <c r="N1752" s="213" t="s">
        <v>14605</v>
      </c>
      <c r="O1752" s="213" t="s">
        <v>14606</v>
      </c>
      <c r="P1752" s="213" t="s">
        <v>14607</v>
      </c>
      <c r="Q1752" s="213" t="s">
        <v>14608</v>
      </c>
      <c r="R1752" s="213" t="s">
        <v>14609</v>
      </c>
      <c r="S1752" s="213" t="s">
        <v>14610</v>
      </c>
      <c r="T1752" s="213" t="s">
        <v>14611</v>
      </c>
      <c r="U1752" s="213" t="s">
        <v>71608</v>
      </c>
    </row>
    <row r="1753" spans="1:21" x14ac:dyDescent="0.25">
      <c r="A1753" s="213" t="s">
        <v>327</v>
      </c>
      <c r="D1753" s="213" t="s">
        <v>14612</v>
      </c>
      <c r="E1753" s="213" t="s">
        <v>14613</v>
      </c>
      <c r="K1753" s="213" t="s">
        <v>71495</v>
      </c>
      <c r="L1753" s="213" t="s">
        <v>71533</v>
      </c>
      <c r="M1753" s="213" t="s">
        <v>71571</v>
      </c>
      <c r="N1753" s="213" t="s">
        <v>14614</v>
      </c>
      <c r="O1753" s="213" t="s">
        <v>14615</v>
      </c>
      <c r="P1753" s="213" t="s">
        <v>14616</v>
      </c>
      <c r="Q1753" s="213" t="s">
        <v>14617</v>
      </c>
      <c r="R1753" s="213" t="s">
        <v>14618</v>
      </c>
      <c r="S1753" s="213" t="s">
        <v>14619</v>
      </c>
      <c r="T1753" s="213" t="s">
        <v>14620</v>
      </c>
      <c r="U1753" s="213" t="s">
        <v>71609</v>
      </c>
    </row>
    <row r="1754" spans="1:21" x14ac:dyDescent="0.25">
      <c r="A1754" s="213" t="s">
        <v>327</v>
      </c>
      <c r="D1754" s="213" t="s">
        <v>14621</v>
      </c>
      <c r="E1754" s="213" t="s">
        <v>14622</v>
      </c>
      <c r="K1754" s="213" t="s">
        <v>71496</v>
      </c>
      <c r="L1754" s="213" t="s">
        <v>71534</v>
      </c>
      <c r="M1754" s="213" t="s">
        <v>71572</v>
      </c>
      <c r="N1754" s="213" t="s">
        <v>14623</v>
      </c>
      <c r="O1754" s="213" t="s">
        <v>14624</v>
      </c>
      <c r="P1754" s="213" t="s">
        <v>14625</v>
      </c>
      <c r="Q1754" s="213" t="s">
        <v>14626</v>
      </c>
      <c r="R1754" s="213" t="s">
        <v>14627</v>
      </c>
      <c r="S1754" s="213" t="s">
        <v>14628</v>
      </c>
      <c r="T1754" s="213" t="s">
        <v>14629</v>
      </c>
      <c r="U1754" s="213" t="s">
        <v>71610</v>
      </c>
    </row>
    <row r="1755" spans="1:21" x14ac:dyDescent="0.25">
      <c r="A1755" s="213" t="s">
        <v>327</v>
      </c>
      <c r="D1755" s="213" t="s">
        <v>14630</v>
      </c>
      <c r="E1755" s="213" t="s">
        <v>14631</v>
      </c>
      <c r="K1755" s="213" t="s">
        <v>71497</v>
      </c>
      <c r="L1755" s="213" t="s">
        <v>71535</v>
      </c>
      <c r="M1755" s="213" t="s">
        <v>71573</v>
      </c>
      <c r="N1755" s="213" t="s">
        <v>14632</v>
      </c>
      <c r="O1755" s="213" t="s">
        <v>14633</v>
      </c>
      <c r="P1755" s="213" t="s">
        <v>14634</v>
      </c>
      <c r="Q1755" s="213" t="s">
        <v>14635</v>
      </c>
      <c r="R1755" s="213" t="s">
        <v>14636</v>
      </c>
      <c r="S1755" s="213" t="s">
        <v>14637</v>
      </c>
      <c r="T1755" s="213" t="s">
        <v>14638</v>
      </c>
      <c r="U1755" s="213" t="s">
        <v>71611</v>
      </c>
    </row>
    <row r="1756" spans="1:21" x14ac:dyDescent="0.25">
      <c r="A1756" s="213" t="s">
        <v>327</v>
      </c>
      <c r="D1756" s="213" t="s">
        <v>14639</v>
      </c>
      <c r="E1756" s="213" t="s">
        <v>14640</v>
      </c>
      <c r="K1756" s="213" t="s">
        <v>71498</v>
      </c>
      <c r="L1756" s="213" t="s">
        <v>71536</v>
      </c>
      <c r="M1756" s="213" t="s">
        <v>71574</v>
      </c>
      <c r="N1756" s="213" t="s">
        <v>14641</v>
      </c>
      <c r="O1756" s="213" t="s">
        <v>14642</v>
      </c>
      <c r="P1756" s="213" t="s">
        <v>14643</v>
      </c>
      <c r="Q1756" s="213" t="s">
        <v>14644</v>
      </c>
      <c r="R1756" s="213" t="s">
        <v>14645</v>
      </c>
      <c r="S1756" s="213" t="s">
        <v>14646</v>
      </c>
      <c r="T1756" s="213" t="s">
        <v>14647</v>
      </c>
      <c r="U1756" s="213" t="s">
        <v>71612</v>
      </c>
    </row>
    <row r="1757" spans="1:21" x14ac:dyDescent="0.25">
      <c r="A1757" s="213" t="s">
        <v>327</v>
      </c>
      <c r="D1757" s="213" t="s">
        <v>14648</v>
      </c>
      <c r="E1757" s="213" t="s">
        <v>14649</v>
      </c>
      <c r="K1757" s="213" t="s">
        <v>71499</v>
      </c>
      <c r="L1757" s="213" t="s">
        <v>71537</v>
      </c>
      <c r="M1757" s="213" t="s">
        <v>71575</v>
      </c>
      <c r="N1757" s="213" t="s">
        <v>14650</v>
      </c>
      <c r="O1757" s="213" t="s">
        <v>14651</v>
      </c>
      <c r="P1757" s="213" t="s">
        <v>14652</v>
      </c>
      <c r="Q1757" s="213" t="s">
        <v>14653</v>
      </c>
      <c r="R1757" s="213" t="s">
        <v>14654</v>
      </c>
      <c r="S1757" s="213" t="s">
        <v>14655</v>
      </c>
      <c r="T1757" s="213" t="s">
        <v>14656</v>
      </c>
      <c r="U1757" s="213" t="s">
        <v>71613</v>
      </c>
    </row>
    <row r="1758" spans="1:21" x14ac:dyDescent="0.25">
      <c r="A1758" s="213" t="s">
        <v>327</v>
      </c>
      <c r="D1758" s="213" t="s">
        <v>14657</v>
      </c>
      <c r="E1758" s="213" t="s">
        <v>14658</v>
      </c>
      <c r="K1758" s="213" t="s">
        <v>71500</v>
      </c>
      <c r="L1758" s="213" t="s">
        <v>71538</v>
      </c>
      <c r="M1758" s="213" t="s">
        <v>71576</v>
      </c>
      <c r="N1758" s="213" t="s">
        <v>14659</v>
      </c>
      <c r="O1758" s="213" t="s">
        <v>14660</v>
      </c>
      <c r="P1758" s="213" t="s">
        <v>14661</v>
      </c>
      <c r="Q1758" s="213" t="s">
        <v>14662</v>
      </c>
      <c r="R1758" s="213" t="s">
        <v>14663</v>
      </c>
      <c r="S1758" s="213" t="s">
        <v>14664</v>
      </c>
      <c r="T1758" s="213" t="s">
        <v>14665</v>
      </c>
      <c r="U1758" s="213" t="s">
        <v>71614</v>
      </c>
    </row>
    <row r="1759" spans="1:21" x14ac:dyDescent="0.25">
      <c r="A1759" s="213" t="s">
        <v>327</v>
      </c>
      <c r="D1759" s="213" t="s">
        <v>14666</v>
      </c>
      <c r="E1759" s="213" t="s">
        <v>14667</v>
      </c>
      <c r="K1759" s="213" t="s">
        <v>71501</v>
      </c>
      <c r="L1759" s="213" t="s">
        <v>71539</v>
      </c>
      <c r="M1759" s="213" t="s">
        <v>71577</v>
      </c>
      <c r="N1759" s="213" t="s">
        <v>14668</v>
      </c>
      <c r="O1759" s="213" t="s">
        <v>14669</v>
      </c>
      <c r="P1759" s="213" t="s">
        <v>14670</v>
      </c>
      <c r="Q1759" s="213" t="s">
        <v>14671</v>
      </c>
      <c r="R1759" s="213" t="s">
        <v>14672</v>
      </c>
      <c r="S1759" s="213" t="s">
        <v>14673</v>
      </c>
      <c r="T1759" s="213" t="s">
        <v>14674</v>
      </c>
      <c r="U1759" s="213" t="s">
        <v>71615</v>
      </c>
    </row>
    <row r="1760" spans="1:21" x14ac:dyDescent="0.25">
      <c r="A1760" s="213" t="s">
        <v>327</v>
      </c>
      <c r="D1760" s="213" t="s">
        <v>14675</v>
      </c>
      <c r="E1760" s="213" t="s">
        <v>14676</v>
      </c>
      <c r="K1760" s="213" t="s">
        <v>71502</v>
      </c>
      <c r="L1760" s="213" t="s">
        <v>71540</v>
      </c>
      <c r="M1760" s="213" t="s">
        <v>71578</v>
      </c>
      <c r="N1760" s="213" t="s">
        <v>14677</v>
      </c>
      <c r="O1760" s="213" t="s">
        <v>14678</v>
      </c>
      <c r="P1760" s="213" t="s">
        <v>14679</v>
      </c>
      <c r="Q1760" s="213" t="s">
        <v>14680</v>
      </c>
      <c r="R1760" s="213" t="s">
        <v>14681</v>
      </c>
      <c r="S1760" s="213" t="s">
        <v>14682</v>
      </c>
      <c r="T1760" s="213" t="s">
        <v>14683</v>
      </c>
      <c r="U1760" s="213" t="s">
        <v>71616</v>
      </c>
    </row>
    <row r="1761" spans="1:21" x14ac:dyDescent="0.25">
      <c r="A1761" s="213" t="s">
        <v>327</v>
      </c>
      <c r="D1761" s="213" t="s">
        <v>14684</v>
      </c>
      <c r="E1761" s="213" t="s">
        <v>14685</v>
      </c>
      <c r="K1761" s="213" t="s">
        <v>71503</v>
      </c>
      <c r="L1761" s="213" t="s">
        <v>71541</v>
      </c>
      <c r="M1761" s="213" t="s">
        <v>71579</v>
      </c>
      <c r="N1761" s="213" t="s">
        <v>14686</v>
      </c>
      <c r="O1761" s="213" t="s">
        <v>14687</v>
      </c>
      <c r="P1761" s="213" t="s">
        <v>14688</v>
      </c>
      <c r="Q1761" s="213" t="s">
        <v>14689</v>
      </c>
      <c r="R1761" s="213" t="s">
        <v>14690</v>
      </c>
      <c r="S1761" s="213" t="s">
        <v>14691</v>
      </c>
      <c r="T1761" s="213" t="s">
        <v>14692</v>
      </c>
      <c r="U1761" s="213" t="s">
        <v>71617</v>
      </c>
    </row>
    <row r="1762" spans="1:21" x14ac:dyDescent="0.25">
      <c r="A1762" s="213" t="s">
        <v>327</v>
      </c>
      <c r="D1762" s="213" t="s">
        <v>14693</v>
      </c>
      <c r="E1762" s="213" t="s">
        <v>14694</v>
      </c>
      <c r="K1762" s="213" t="s">
        <v>71504</v>
      </c>
      <c r="L1762" s="213" t="s">
        <v>71542</v>
      </c>
      <c r="M1762" s="213" t="s">
        <v>71580</v>
      </c>
      <c r="N1762" s="213" t="s">
        <v>14695</v>
      </c>
      <c r="O1762" s="213" t="s">
        <v>14696</v>
      </c>
      <c r="P1762" s="213" t="s">
        <v>14697</v>
      </c>
      <c r="Q1762" s="213" t="s">
        <v>14698</v>
      </c>
      <c r="R1762" s="213" t="s">
        <v>14699</v>
      </c>
      <c r="S1762" s="213" t="s">
        <v>14700</v>
      </c>
      <c r="T1762" s="213" t="s">
        <v>14701</v>
      </c>
      <c r="U1762" s="213" t="s">
        <v>71618</v>
      </c>
    </row>
    <row r="1763" spans="1:21" x14ac:dyDescent="0.25">
      <c r="A1763" s="213" t="s">
        <v>327</v>
      </c>
      <c r="D1763" s="213" t="s">
        <v>14702</v>
      </c>
      <c r="E1763" s="213" t="s">
        <v>14703</v>
      </c>
      <c r="K1763" s="213" t="s">
        <v>71505</v>
      </c>
      <c r="L1763" s="213" t="s">
        <v>71543</v>
      </c>
      <c r="M1763" s="213" t="s">
        <v>71581</v>
      </c>
      <c r="N1763" s="213" t="s">
        <v>14704</v>
      </c>
      <c r="O1763" s="213" t="s">
        <v>14705</v>
      </c>
      <c r="P1763" s="213" t="s">
        <v>14706</v>
      </c>
      <c r="Q1763" s="213" t="s">
        <v>14707</v>
      </c>
      <c r="R1763" s="213" t="s">
        <v>14708</v>
      </c>
      <c r="S1763" s="213" t="s">
        <v>14709</v>
      </c>
      <c r="T1763" s="213" t="s">
        <v>14710</v>
      </c>
      <c r="U1763" s="213" t="s">
        <v>71619</v>
      </c>
    </row>
    <row r="1764" spans="1:21" x14ac:dyDescent="0.25">
      <c r="A1764" s="213" t="s">
        <v>327</v>
      </c>
      <c r="D1764" s="213" t="s">
        <v>14711</v>
      </c>
      <c r="E1764" s="213" t="s">
        <v>14712</v>
      </c>
      <c r="K1764" s="213" t="s">
        <v>71506</v>
      </c>
      <c r="L1764" s="213" t="s">
        <v>71544</v>
      </c>
      <c r="M1764" s="213" t="s">
        <v>71582</v>
      </c>
      <c r="N1764" s="213" t="s">
        <v>14713</v>
      </c>
      <c r="O1764" s="213" t="s">
        <v>14714</v>
      </c>
      <c r="P1764" s="213" t="s">
        <v>14715</v>
      </c>
      <c r="Q1764" s="213" t="s">
        <v>14716</v>
      </c>
      <c r="R1764" s="213" t="s">
        <v>14717</v>
      </c>
      <c r="S1764" s="213" t="s">
        <v>14718</v>
      </c>
      <c r="T1764" s="213" t="s">
        <v>14719</v>
      </c>
      <c r="U1764" s="213" t="s">
        <v>71620</v>
      </c>
    </row>
    <row r="1765" spans="1:21" x14ac:dyDescent="0.25">
      <c r="A1765" s="213" t="s">
        <v>327</v>
      </c>
      <c r="D1765" s="213" t="s">
        <v>14720</v>
      </c>
      <c r="E1765" s="213" t="s">
        <v>14721</v>
      </c>
      <c r="K1765" s="213" t="s">
        <v>71507</v>
      </c>
      <c r="L1765" s="213" t="s">
        <v>71545</v>
      </c>
      <c r="M1765" s="213" t="s">
        <v>71583</v>
      </c>
      <c r="N1765" s="213" t="s">
        <v>14722</v>
      </c>
      <c r="O1765" s="213" t="s">
        <v>14723</v>
      </c>
      <c r="P1765" s="213" t="s">
        <v>14724</v>
      </c>
      <c r="Q1765" s="213" t="s">
        <v>14725</v>
      </c>
      <c r="R1765" s="213" t="s">
        <v>14726</v>
      </c>
      <c r="S1765" s="213" t="s">
        <v>14727</v>
      </c>
      <c r="T1765" s="213" t="s">
        <v>14728</v>
      </c>
      <c r="U1765" s="213" t="s">
        <v>71621</v>
      </c>
    </row>
    <row r="1766" spans="1:21" x14ac:dyDescent="0.25">
      <c r="A1766" s="213" t="s">
        <v>327</v>
      </c>
      <c r="D1766" s="213" t="s">
        <v>14729</v>
      </c>
      <c r="E1766" s="213" t="s">
        <v>14730</v>
      </c>
      <c r="K1766" s="213" t="s">
        <v>71508</v>
      </c>
      <c r="L1766" s="213" t="s">
        <v>71546</v>
      </c>
      <c r="M1766" s="213" t="s">
        <v>71584</v>
      </c>
      <c r="N1766" s="213" t="s">
        <v>14731</v>
      </c>
      <c r="O1766" s="213" t="s">
        <v>14732</v>
      </c>
      <c r="P1766" s="213" t="s">
        <v>14733</v>
      </c>
      <c r="Q1766" s="213" t="s">
        <v>14734</v>
      </c>
      <c r="R1766" s="213" t="s">
        <v>14735</v>
      </c>
      <c r="S1766" s="213" t="s">
        <v>14736</v>
      </c>
      <c r="T1766" s="213" t="s">
        <v>14737</v>
      </c>
      <c r="U1766" s="213" t="s">
        <v>71622</v>
      </c>
    </row>
    <row r="1767" spans="1:21" x14ac:dyDescent="0.25">
      <c r="A1767" s="213" t="s">
        <v>327</v>
      </c>
      <c r="D1767" s="213" t="s">
        <v>14738</v>
      </c>
      <c r="E1767" s="213" t="s">
        <v>14739</v>
      </c>
      <c r="K1767" s="213" t="s">
        <v>71509</v>
      </c>
      <c r="L1767" s="213" t="s">
        <v>71547</v>
      </c>
      <c r="M1767" s="213" t="s">
        <v>71585</v>
      </c>
      <c r="N1767" s="213" t="s">
        <v>14740</v>
      </c>
      <c r="O1767" s="213" t="s">
        <v>14741</v>
      </c>
      <c r="P1767" s="213" t="s">
        <v>14742</v>
      </c>
      <c r="Q1767" s="213" t="s">
        <v>14743</v>
      </c>
      <c r="R1767" s="213" t="s">
        <v>14744</v>
      </c>
      <c r="S1767" s="213" t="s">
        <v>14745</v>
      </c>
      <c r="T1767" s="213" t="s">
        <v>14746</v>
      </c>
      <c r="U1767" s="213" t="s">
        <v>71623</v>
      </c>
    </row>
    <row r="1768" spans="1:21" x14ac:dyDescent="0.25">
      <c r="A1768" s="213" t="s">
        <v>327</v>
      </c>
      <c r="D1768" s="213" t="s">
        <v>14747</v>
      </c>
      <c r="E1768" s="213" t="s">
        <v>14748</v>
      </c>
      <c r="K1768" s="213" t="s">
        <v>71510</v>
      </c>
      <c r="L1768" s="213" t="s">
        <v>71548</v>
      </c>
      <c r="M1768" s="213" t="s">
        <v>71586</v>
      </c>
      <c r="N1768" s="213" t="s">
        <v>14749</v>
      </c>
      <c r="O1768" s="213" t="s">
        <v>14750</v>
      </c>
      <c r="P1768" s="213" t="s">
        <v>14751</v>
      </c>
      <c r="Q1768" s="213" t="s">
        <v>14752</v>
      </c>
      <c r="R1768" s="213" t="s">
        <v>14753</v>
      </c>
      <c r="S1768" s="213" t="s">
        <v>14754</v>
      </c>
      <c r="T1768" s="213" t="s">
        <v>14755</v>
      </c>
      <c r="U1768" s="213" t="s">
        <v>71624</v>
      </c>
    </row>
    <row r="1769" spans="1:21" x14ac:dyDescent="0.25">
      <c r="A1769" s="213" t="s">
        <v>327</v>
      </c>
      <c r="D1769" s="213" t="s">
        <v>14756</v>
      </c>
      <c r="E1769" s="213" t="s">
        <v>14757</v>
      </c>
      <c r="K1769" s="213" t="s">
        <v>71511</v>
      </c>
      <c r="L1769" s="213" t="s">
        <v>71549</v>
      </c>
      <c r="M1769" s="213" t="s">
        <v>71587</v>
      </c>
      <c r="N1769" s="213" t="s">
        <v>14758</v>
      </c>
      <c r="O1769" s="213" t="s">
        <v>14759</v>
      </c>
      <c r="P1769" s="213" t="s">
        <v>14760</v>
      </c>
      <c r="Q1769" s="213" t="s">
        <v>14761</v>
      </c>
      <c r="R1769" s="213" t="s">
        <v>14762</v>
      </c>
      <c r="S1769" s="213" t="s">
        <v>14763</v>
      </c>
      <c r="T1769" s="213" t="s">
        <v>14764</v>
      </c>
      <c r="U1769" s="213" t="s">
        <v>71625</v>
      </c>
    </row>
    <row r="1770" spans="1:21" x14ac:dyDescent="0.25">
      <c r="A1770" s="213" t="s">
        <v>327</v>
      </c>
    </row>
    <row r="1771" spans="1:21" x14ac:dyDescent="0.25">
      <c r="A1771" s="213" t="s">
        <v>327</v>
      </c>
    </row>
    <row r="1772" spans="1:21" x14ac:dyDescent="0.25">
      <c r="A1772" s="213" t="s">
        <v>327</v>
      </c>
      <c r="C1772" s="213" t="s">
        <v>14765</v>
      </c>
      <c r="E1772" s="213" t="s">
        <v>14766</v>
      </c>
      <c r="H1772" s="213" t="s">
        <v>14767</v>
      </c>
      <c r="I1772" s="213" t="s">
        <v>14768</v>
      </c>
      <c r="J1772" s="213" t="s">
        <v>14769</v>
      </c>
      <c r="L1772" s="213" t="s">
        <v>14770</v>
      </c>
      <c r="O1772" s="213" t="s">
        <v>14771</v>
      </c>
      <c r="P1772" s="213" t="s">
        <v>14772</v>
      </c>
      <c r="Q1772" s="213" t="s">
        <v>14773</v>
      </c>
      <c r="R1772" s="213" t="s">
        <v>14774</v>
      </c>
      <c r="S1772" s="213" t="s">
        <v>14775</v>
      </c>
      <c r="T1772" s="213" t="s">
        <v>14776</v>
      </c>
    </row>
    <row r="1773" spans="1:21" x14ac:dyDescent="0.25">
      <c r="A1773" s="213" t="s">
        <v>327</v>
      </c>
      <c r="C1773" s="213" t="s">
        <v>14777</v>
      </c>
      <c r="E1773" s="213" t="s">
        <v>14778</v>
      </c>
      <c r="I1773" s="213" t="s">
        <v>14779</v>
      </c>
    </row>
    <row r="1774" spans="1:21" x14ac:dyDescent="0.25">
      <c r="A1774" s="213" t="s">
        <v>327</v>
      </c>
      <c r="C1774" s="213" t="s">
        <v>14780</v>
      </c>
      <c r="E1774" s="213" t="s">
        <v>14781</v>
      </c>
      <c r="I1774" s="213" t="s">
        <v>14782</v>
      </c>
    </row>
    <row r="1775" spans="1:21" x14ac:dyDescent="0.25">
      <c r="A1775" s="213" t="s">
        <v>328</v>
      </c>
    </row>
    <row r="1776" spans="1:21" x14ac:dyDescent="0.25">
      <c r="A1776" s="213" t="s">
        <v>327</v>
      </c>
      <c r="D1776" s="213" t="s">
        <v>14783</v>
      </c>
      <c r="E1776" s="213" t="s">
        <v>14784</v>
      </c>
      <c r="K1776" s="213" t="s">
        <v>71394</v>
      </c>
      <c r="L1776" s="213" t="s">
        <v>71414</v>
      </c>
      <c r="M1776" s="213" t="s">
        <v>71434</v>
      </c>
      <c r="N1776" s="213" t="s">
        <v>14785</v>
      </c>
      <c r="O1776" s="213" t="s">
        <v>14786</v>
      </c>
      <c r="P1776" s="213" t="s">
        <v>14787</v>
      </c>
      <c r="Q1776" s="213" t="s">
        <v>14788</v>
      </c>
      <c r="R1776" s="213" t="s">
        <v>14789</v>
      </c>
      <c r="S1776" s="213" t="s">
        <v>14790</v>
      </c>
      <c r="T1776" s="213" t="s">
        <v>14791</v>
      </c>
      <c r="U1776" s="213" t="s">
        <v>71454</v>
      </c>
    </row>
    <row r="1777" spans="1:21" x14ac:dyDescent="0.25">
      <c r="A1777" s="213" t="s">
        <v>327</v>
      </c>
      <c r="D1777" s="213" t="s">
        <v>14792</v>
      </c>
      <c r="E1777" s="213" t="s">
        <v>14793</v>
      </c>
      <c r="K1777" s="213" t="s">
        <v>71395</v>
      </c>
      <c r="L1777" s="213" t="s">
        <v>71415</v>
      </c>
      <c r="M1777" s="213" t="s">
        <v>71435</v>
      </c>
      <c r="N1777" s="213" t="s">
        <v>14794</v>
      </c>
      <c r="O1777" s="213" t="s">
        <v>14795</v>
      </c>
      <c r="P1777" s="213" t="s">
        <v>14796</v>
      </c>
      <c r="Q1777" s="213" t="s">
        <v>14797</v>
      </c>
      <c r="R1777" s="213" t="s">
        <v>14798</v>
      </c>
      <c r="S1777" s="213" t="s">
        <v>14799</v>
      </c>
      <c r="T1777" s="213" t="s">
        <v>14800</v>
      </c>
      <c r="U1777" s="213" t="s">
        <v>71455</v>
      </c>
    </row>
    <row r="1778" spans="1:21" x14ac:dyDescent="0.25">
      <c r="A1778" s="213" t="s">
        <v>327</v>
      </c>
      <c r="D1778" s="213" t="s">
        <v>14801</v>
      </c>
      <c r="E1778" s="213" t="s">
        <v>14802</v>
      </c>
      <c r="K1778" s="213" t="s">
        <v>71396</v>
      </c>
      <c r="L1778" s="213" t="s">
        <v>71416</v>
      </c>
      <c r="M1778" s="213" t="s">
        <v>71436</v>
      </c>
      <c r="N1778" s="213" t="s">
        <v>14803</v>
      </c>
      <c r="O1778" s="213" t="s">
        <v>14804</v>
      </c>
      <c r="P1778" s="213" t="s">
        <v>14805</v>
      </c>
      <c r="Q1778" s="213" t="s">
        <v>14806</v>
      </c>
      <c r="R1778" s="213" t="s">
        <v>14807</v>
      </c>
      <c r="S1778" s="213" t="s">
        <v>14808</v>
      </c>
      <c r="T1778" s="213" t="s">
        <v>14809</v>
      </c>
      <c r="U1778" s="213" t="s">
        <v>71456</v>
      </c>
    </row>
    <row r="1779" spans="1:21" x14ac:dyDescent="0.25">
      <c r="A1779" s="213" t="s">
        <v>327</v>
      </c>
      <c r="D1779" s="213" t="s">
        <v>14810</v>
      </c>
      <c r="E1779" s="213" t="s">
        <v>14811</v>
      </c>
      <c r="K1779" s="213" t="s">
        <v>71397</v>
      </c>
      <c r="L1779" s="213" t="s">
        <v>71417</v>
      </c>
      <c r="M1779" s="213" t="s">
        <v>71437</v>
      </c>
      <c r="N1779" s="213" t="s">
        <v>14812</v>
      </c>
      <c r="O1779" s="213" t="s">
        <v>14813</v>
      </c>
      <c r="P1779" s="213" t="s">
        <v>14814</v>
      </c>
      <c r="Q1779" s="213" t="s">
        <v>14815</v>
      </c>
      <c r="R1779" s="213" t="s">
        <v>14816</v>
      </c>
      <c r="S1779" s="213" t="s">
        <v>14817</v>
      </c>
      <c r="T1779" s="213" t="s">
        <v>14818</v>
      </c>
      <c r="U1779" s="213" t="s">
        <v>71457</v>
      </c>
    </row>
    <row r="1780" spans="1:21" x14ac:dyDescent="0.25">
      <c r="A1780" s="213" t="s">
        <v>327</v>
      </c>
      <c r="D1780" s="213" t="s">
        <v>14819</v>
      </c>
      <c r="E1780" s="213" t="s">
        <v>14820</v>
      </c>
      <c r="K1780" s="213" t="s">
        <v>71398</v>
      </c>
      <c r="L1780" s="213" t="s">
        <v>71418</v>
      </c>
      <c r="M1780" s="213" t="s">
        <v>71438</v>
      </c>
      <c r="N1780" s="213" t="s">
        <v>14821</v>
      </c>
      <c r="O1780" s="213" t="s">
        <v>14822</v>
      </c>
      <c r="P1780" s="213" t="s">
        <v>14823</v>
      </c>
      <c r="Q1780" s="213" t="s">
        <v>14824</v>
      </c>
      <c r="R1780" s="213" t="s">
        <v>14825</v>
      </c>
      <c r="S1780" s="213" t="s">
        <v>14826</v>
      </c>
      <c r="T1780" s="213" t="s">
        <v>14827</v>
      </c>
      <c r="U1780" s="213" t="s">
        <v>71458</v>
      </c>
    </row>
    <row r="1781" spans="1:21" x14ac:dyDescent="0.25">
      <c r="A1781" s="213" t="s">
        <v>327</v>
      </c>
      <c r="D1781" s="213" t="s">
        <v>14828</v>
      </c>
      <c r="E1781" s="213" t="s">
        <v>14829</v>
      </c>
      <c r="K1781" s="213" t="s">
        <v>71399</v>
      </c>
      <c r="L1781" s="213" t="s">
        <v>71419</v>
      </c>
      <c r="M1781" s="213" t="s">
        <v>71439</v>
      </c>
      <c r="N1781" s="213" t="s">
        <v>14830</v>
      </c>
      <c r="O1781" s="213" t="s">
        <v>14831</v>
      </c>
      <c r="P1781" s="213" t="s">
        <v>14832</v>
      </c>
      <c r="Q1781" s="213" t="s">
        <v>14833</v>
      </c>
      <c r="R1781" s="213" t="s">
        <v>14834</v>
      </c>
      <c r="S1781" s="213" t="s">
        <v>14835</v>
      </c>
      <c r="T1781" s="213" t="s">
        <v>14836</v>
      </c>
      <c r="U1781" s="213" t="s">
        <v>71459</v>
      </c>
    </row>
    <row r="1782" spans="1:21" x14ac:dyDescent="0.25">
      <c r="A1782" s="213" t="s">
        <v>327</v>
      </c>
      <c r="D1782" s="213" t="s">
        <v>14837</v>
      </c>
      <c r="E1782" s="213" t="s">
        <v>14838</v>
      </c>
      <c r="K1782" s="213" t="s">
        <v>71400</v>
      </c>
      <c r="L1782" s="213" t="s">
        <v>71420</v>
      </c>
      <c r="M1782" s="213" t="s">
        <v>71440</v>
      </c>
      <c r="N1782" s="213" t="s">
        <v>14839</v>
      </c>
      <c r="O1782" s="213" t="s">
        <v>14840</v>
      </c>
      <c r="P1782" s="213" t="s">
        <v>14841</v>
      </c>
      <c r="Q1782" s="213" t="s">
        <v>14842</v>
      </c>
      <c r="R1782" s="213" t="s">
        <v>14843</v>
      </c>
      <c r="S1782" s="213" t="s">
        <v>14844</v>
      </c>
      <c r="T1782" s="213" t="s">
        <v>14845</v>
      </c>
      <c r="U1782" s="213" t="s">
        <v>71460</v>
      </c>
    </row>
    <row r="1783" spans="1:21" x14ac:dyDescent="0.25">
      <c r="A1783" s="213" t="s">
        <v>327</v>
      </c>
      <c r="D1783" s="213" t="s">
        <v>14846</v>
      </c>
      <c r="E1783" s="213" t="s">
        <v>14847</v>
      </c>
      <c r="K1783" s="213" t="s">
        <v>71401</v>
      </c>
      <c r="L1783" s="213" t="s">
        <v>71421</v>
      </c>
      <c r="M1783" s="213" t="s">
        <v>71441</v>
      </c>
      <c r="N1783" s="213" t="s">
        <v>14848</v>
      </c>
      <c r="O1783" s="213" t="s">
        <v>14849</v>
      </c>
      <c r="P1783" s="213" t="s">
        <v>14850</v>
      </c>
      <c r="Q1783" s="213" t="s">
        <v>14851</v>
      </c>
      <c r="R1783" s="213" t="s">
        <v>14852</v>
      </c>
      <c r="S1783" s="213" t="s">
        <v>14853</v>
      </c>
      <c r="T1783" s="213" t="s">
        <v>14854</v>
      </c>
      <c r="U1783" s="213" t="s">
        <v>71461</v>
      </c>
    </row>
    <row r="1784" spans="1:21" x14ac:dyDescent="0.25">
      <c r="A1784" s="213" t="s">
        <v>327</v>
      </c>
      <c r="D1784" s="213" t="s">
        <v>14855</v>
      </c>
      <c r="E1784" s="213" t="s">
        <v>14856</v>
      </c>
      <c r="K1784" s="213" t="s">
        <v>71402</v>
      </c>
      <c r="L1784" s="213" t="s">
        <v>71422</v>
      </c>
      <c r="M1784" s="213" t="s">
        <v>71442</v>
      </c>
      <c r="N1784" s="213" t="s">
        <v>14857</v>
      </c>
      <c r="O1784" s="213" t="s">
        <v>14858</v>
      </c>
      <c r="P1784" s="213" t="s">
        <v>14859</v>
      </c>
      <c r="Q1784" s="213" t="s">
        <v>14860</v>
      </c>
      <c r="R1784" s="213" t="s">
        <v>14861</v>
      </c>
      <c r="S1784" s="213" t="s">
        <v>14862</v>
      </c>
      <c r="T1784" s="213" t="s">
        <v>14863</v>
      </c>
      <c r="U1784" s="213" t="s">
        <v>71462</v>
      </c>
    </row>
    <row r="1785" spans="1:21" x14ac:dyDescent="0.25">
      <c r="A1785" s="213" t="s">
        <v>327</v>
      </c>
      <c r="D1785" s="213" t="s">
        <v>14864</v>
      </c>
      <c r="E1785" s="213" t="s">
        <v>14865</v>
      </c>
      <c r="K1785" s="213" t="s">
        <v>71403</v>
      </c>
      <c r="L1785" s="213" t="s">
        <v>71423</v>
      </c>
      <c r="M1785" s="213" t="s">
        <v>71443</v>
      </c>
      <c r="N1785" s="213" t="s">
        <v>14866</v>
      </c>
      <c r="O1785" s="213" t="s">
        <v>14867</v>
      </c>
      <c r="P1785" s="213" t="s">
        <v>14868</v>
      </c>
      <c r="Q1785" s="213" t="s">
        <v>14869</v>
      </c>
      <c r="R1785" s="213" t="s">
        <v>14870</v>
      </c>
      <c r="S1785" s="213" t="s">
        <v>14871</v>
      </c>
      <c r="T1785" s="213" t="s">
        <v>14872</v>
      </c>
      <c r="U1785" s="213" t="s">
        <v>71463</v>
      </c>
    </row>
    <row r="1786" spans="1:21" x14ac:dyDescent="0.25">
      <c r="A1786" s="213" t="s">
        <v>327</v>
      </c>
      <c r="D1786" s="213" t="s">
        <v>14873</v>
      </c>
      <c r="E1786" s="213" t="s">
        <v>14874</v>
      </c>
      <c r="K1786" s="213" t="s">
        <v>71404</v>
      </c>
      <c r="L1786" s="213" t="s">
        <v>71424</v>
      </c>
      <c r="M1786" s="213" t="s">
        <v>71444</v>
      </c>
      <c r="N1786" s="213" t="s">
        <v>14875</v>
      </c>
      <c r="O1786" s="213" t="s">
        <v>14876</v>
      </c>
      <c r="P1786" s="213" t="s">
        <v>14877</v>
      </c>
      <c r="Q1786" s="213" t="s">
        <v>14878</v>
      </c>
      <c r="R1786" s="213" t="s">
        <v>14879</v>
      </c>
      <c r="S1786" s="213" t="s">
        <v>14880</v>
      </c>
      <c r="T1786" s="213" t="s">
        <v>14881</v>
      </c>
      <c r="U1786" s="213" t="s">
        <v>71464</v>
      </c>
    </row>
    <row r="1787" spans="1:21" x14ac:dyDescent="0.25">
      <c r="A1787" s="213" t="s">
        <v>327</v>
      </c>
      <c r="D1787" s="213" t="s">
        <v>14882</v>
      </c>
      <c r="E1787" s="213" t="s">
        <v>14883</v>
      </c>
      <c r="K1787" s="213" t="s">
        <v>71405</v>
      </c>
      <c r="L1787" s="213" t="s">
        <v>71425</v>
      </c>
      <c r="M1787" s="213" t="s">
        <v>71445</v>
      </c>
      <c r="N1787" s="213" t="s">
        <v>14884</v>
      </c>
      <c r="O1787" s="213" t="s">
        <v>14885</v>
      </c>
      <c r="P1787" s="213" t="s">
        <v>14886</v>
      </c>
      <c r="Q1787" s="213" t="s">
        <v>14887</v>
      </c>
      <c r="R1787" s="213" t="s">
        <v>14888</v>
      </c>
      <c r="S1787" s="213" t="s">
        <v>14889</v>
      </c>
      <c r="T1787" s="213" t="s">
        <v>14890</v>
      </c>
      <c r="U1787" s="213" t="s">
        <v>71465</v>
      </c>
    </row>
    <row r="1788" spans="1:21" x14ac:dyDescent="0.25">
      <c r="A1788" s="213" t="s">
        <v>327</v>
      </c>
      <c r="D1788" s="213" t="s">
        <v>14891</v>
      </c>
      <c r="E1788" s="213" t="s">
        <v>14892</v>
      </c>
      <c r="K1788" s="213" t="s">
        <v>71406</v>
      </c>
      <c r="L1788" s="213" t="s">
        <v>71426</v>
      </c>
      <c r="M1788" s="213" t="s">
        <v>71446</v>
      </c>
      <c r="N1788" s="213" t="s">
        <v>14893</v>
      </c>
      <c r="O1788" s="213" t="s">
        <v>14894</v>
      </c>
      <c r="P1788" s="213" t="s">
        <v>14895</v>
      </c>
      <c r="Q1788" s="213" t="s">
        <v>14896</v>
      </c>
      <c r="R1788" s="213" t="s">
        <v>14897</v>
      </c>
      <c r="S1788" s="213" t="s">
        <v>14898</v>
      </c>
      <c r="T1788" s="213" t="s">
        <v>14899</v>
      </c>
      <c r="U1788" s="213" t="s">
        <v>71466</v>
      </c>
    </row>
    <row r="1789" spans="1:21" x14ac:dyDescent="0.25">
      <c r="A1789" s="213" t="s">
        <v>327</v>
      </c>
      <c r="D1789" s="213" t="s">
        <v>14900</v>
      </c>
      <c r="E1789" s="213" t="s">
        <v>14901</v>
      </c>
      <c r="K1789" s="213" t="s">
        <v>71407</v>
      </c>
      <c r="L1789" s="213" t="s">
        <v>71427</v>
      </c>
      <c r="M1789" s="213" t="s">
        <v>71447</v>
      </c>
      <c r="N1789" s="213" t="s">
        <v>14902</v>
      </c>
      <c r="O1789" s="213" t="s">
        <v>14903</v>
      </c>
      <c r="P1789" s="213" t="s">
        <v>14904</v>
      </c>
      <c r="Q1789" s="213" t="s">
        <v>14905</v>
      </c>
      <c r="R1789" s="213" t="s">
        <v>14906</v>
      </c>
      <c r="S1789" s="213" t="s">
        <v>14907</v>
      </c>
      <c r="T1789" s="213" t="s">
        <v>14908</v>
      </c>
      <c r="U1789" s="213" t="s">
        <v>71467</v>
      </c>
    </row>
    <row r="1790" spans="1:21" x14ac:dyDescent="0.25">
      <c r="A1790" s="213" t="s">
        <v>327</v>
      </c>
      <c r="D1790" s="213" t="s">
        <v>14909</v>
      </c>
      <c r="E1790" s="213" t="s">
        <v>14910</v>
      </c>
      <c r="K1790" s="213" t="s">
        <v>71408</v>
      </c>
      <c r="L1790" s="213" t="s">
        <v>71428</v>
      </c>
      <c r="M1790" s="213" t="s">
        <v>71448</v>
      </c>
      <c r="N1790" s="213" t="s">
        <v>14911</v>
      </c>
      <c r="O1790" s="213" t="s">
        <v>14912</v>
      </c>
      <c r="P1790" s="213" t="s">
        <v>14913</v>
      </c>
      <c r="Q1790" s="213" t="s">
        <v>14914</v>
      </c>
      <c r="R1790" s="213" t="s">
        <v>14915</v>
      </c>
      <c r="S1790" s="213" t="s">
        <v>14916</v>
      </c>
      <c r="T1790" s="213" t="s">
        <v>14917</v>
      </c>
      <c r="U1790" s="213" t="s">
        <v>71468</v>
      </c>
    </row>
    <row r="1791" spans="1:21" x14ac:dyDescent="0.25">
      <c r="A1791" s="213" t="s">
        <v>327</v>
      </c>
      <c r="D1791" s="213" t="s">
        <v>14918</v>
      </c>
      <c r="E1791" s="213" t="s">
        <v>14919</v>
      </c>
      <c r="K1791" s="213" t="s">
        <v>71409</v>
      </c>
      <c r="L1791" s="213" t="s">
        <v>71429</v>
      </c>
      <c r="M1791" s="213" t="s">
        <v>71449</v>
      </c>
      <c r="N1791" s="213" t="s">
        <v>14920</v>
      </c>
      <c r="O1791" s="213" t="s">
        <v>14921</v>
      </c>
      <c r="P1791" s="213" t="s">
        <v>14922</v>
      </c>
      <c r="Q1791" s="213" t="s">
        <v>14923</v>
      </c>
      <c r="R1791" s="213" t="s">
        <v>14924</v>
      </c>
      <c r="S1791" s="213" t="s">
        <v>14925</v>
      </c>
      <c r="T1791" s="213" t="s">
        <v>14926</v>
      </c>
      <c r="U1791" s="213" t="s">
        <v>71469</v>
      </c>
    </row>
    <row r="1792" spans="1:21" x14ac:dyDescent="0.25">
      <c r="A1792" s="213" t="s">
        <v>327</v>
      </c>
      <c r="D1792" s="213" t="s">
        <v>14927</v>
      </c>
      <c r="E1792" s="213" t="s">
        <v>14928</v>
      </c>
      <c r="K1792" s="213" t="s">
        <v>71410</v>
      </c>
      <c r="L1792" s="213" t="s">
        <v>71430</v>
      </c>
      <c r="M1792" s="213" t="s">
        <v>71450</v>
      </c>
      <c r="N1792" s="213" t="s">
        <v>14929</v>
      </c>
      <c r="O1792" s="213" t="s">
        <v>14930</v>
      </c>
      <c r="P1792" s="213" t="s">
        <v>14931</v>
      </c>
      <c r="Q1792" s="213" t="s">
        <v>14932</v>
      </c>
      <c r="R1792" s="213" t="s">
        <v>14933</v>
      </c>
      <c r="S1792" s="213" t="s">
        <v>14934</v>
      </c>
      <c r="T1792" s="213" t="s">
        <v>14935</v>
      </c>
      <c r="U1792" s="213" t="s">
        <v>71470</v>
      </c>
    </row>
    <row r="1793" spans="1:21" x14ac:dyDescent="0.25">
      <c r="A1793" s="213" t="s">
        <v>327</v>
      </c>
      <c r="D1793" s="213" t="s">
        <v>14936</v>
      </c>
      <c r="E1793" s="213" t="s">
        <v>14937</v>
      </c>
      <c r="K1793" s="213" t="s">
        <v>71411</v>
      </c>
      <c r="L1793" s="213" t="s">
        <v>71431</v>
      </c>
      <c r="M1793" s="213" t="s">
        <v>71451</v>
      </c>
      <c r="N1793" s="213" t="s">
        <v>14938</v>
      </c>
      <c r="O1793" s="213" t="s">
        <v>14939</v>
      </c>
      <c r="P1793" s="213" t="s">
        <v>14940</v>
      </c>
      <c r="Q1793" s="213" t="s">
        <v>14941</v>
      </c>
      <c r="R1793" s="213" t="s">
        <v>14942</v>
      </c>
      <c r="S1793" s="213" t="s">
        <v>14943</v>
      </c>
      <c r="T1793" s="213" t="s">
        <v>14944</v>
      </c>
      <c r="U1793" s="213" t="s">
        <v>71471</v>
      </c>
    </row>
    <row r="1794" spans="1:21" x14ac:dyDescent="0.25">
      <c r="A1794" s="213" t="s">
        <v>327</v>
      </c>
      <c r="D1794" s="213" t="s">
        <v>14945</v>
      </c>
      <c r="E1794" s="213" t="s">
        <v>14946</v>
      </c>
      <c r="K1794" s="213" t="s">
        <v>71412</v>
      </c>
      <c r="L1794" s="213" t="s">
        <v>71432</v>
      </c>
      <c r="M1794" s="213" t="s">
        <v>71452</v>
      </c>
      <c r="N1794" s="213" t="s">
        <v>14947</v>
      </c>
      <c r="O1794" s="213" t="s">
        <v>14948</v>
      </c>
      <c r="P1794" s="213" t="s">
        <v>14949</v>
      </c>
      <c r="Q1794" s="213" t="s">
        <v>14950</v>
      </c>
      <c r="R1794" s="213" t="s">
        <v>14951</v>
      </c>
      <c r="S1794" s="213" t="s">
        <v>14952</v>
      </c>
      <c r="T1794" s="213" t="s">
        <v>14953</v>
      </c>
      <c r="U1794" s="213" t="s">
        <v>71472</v>
      </c>
    </row>
    <row r="1795" spans="1:21" x14ac:dyDescent="0.25">
      <c r="A1795" s="213" t="s">
        <v>327</v>
      </c>
      <c r="D1795" s="213" t="s">
        <v>14954</v>
      </c>
      <c r="E1795" s="213" t="s">
        <v>14955</v>
      </c>
      <c r="K1795" s="213" t="s">
        <v>71413</v>
      </c>
      <c r="L1795" s="213" t="s">
        <v>71433</v>
      </c>
      <c r="M1795" s="213" t="s">
        <v>71453</v>
      </c>
      <c r="N1795" s="213" t="s">
        <v>14956</v>
      </c>
      <c r="O1795" s="213" t="s">
        <v>14957</v>
      </c>
      <c r="P1795" s="213" t="s">
        <v>14958</v>
      </c>
      <c r="Q1795" s="213" t="s">
        <v>14959</v>
      </c>
      <c r="R1795" s="213" t="s">
        <v>14960</v>
      </c>
      <c r="S1795" s="213" t="s">
        <v>14961</v>
      </c>
      <c r="T1795" s="213" t="s">
        <v>14962</v>
      </c>
      <c r="U1795" s="213" t="s">
        <v>71473</v>
      </c>
    </row>
    <row r="1796" spans="1:21" x14ac:dyDescent="0.25">
      <c r="A1796" s="213" t="s">
        <v>327</v>
      </c>
    </row>
    <row r="1797" spans="1:21" x14ac:dyDescent="0.25">
      <c r="A1797" s="213" t="s">
        <v>327</v>
      </c>
    </row>
    <row r="1798" spans="1:21" x14ac:dyDescent="0.25">
      <c r="A1798" s="213" t="s">
        <v>327</v>
      </c>
      <c r="C1798" s="213" t="s">
        <v>14963</v>
      </c>
      <c r="E1798" s="213" t="s">
        <v>14964</v>
      </c>
      <c r="H1798" s="213" t="s">
        <v>14965</v>
      </c>
      <c r="I1798" s="213" t="s">
        <v>14966</v>
      </c>
      <c r="J1798" s="213" t="s">
        <v>14967</v>
      </c>
      <c r="L1798" s="213" t="s">
        <v>14968</v>
      </c>
      <c r="O1798" s="213" t="s">
        <v>14969</v>
      </c>
      <c r="P1798" s="213" t="s">
        <v>14970</v>
      </c>
      <c r="Q1798" s="213" t="s">
        <v>14971</v>
      </c>
      <c r="R1798" s="213" t="s">
        <v>14972</v>
      </c>
      <c r="S1798" s="213" t="s">
        <v>14973</v>
      </c>
      <c r="T1798" s="213" t="s">
        <v>14974</v>
      </c>
    </row>
    <row r="1799" spans="1:21" x14ac:dyDescent="0.25">
      <c r="A1799" s="213" t="s">
        <v>327</v>
      </c>
      <c r="C1799" s="213" t="s">
        <v>14975</v>
      </c>
      <c r="E1799" s="213" t="s">
        <v>14976</v>
      </c>
      <c r="I1799" s="213" t="s">
        <v>14977</v>
      </c>
    </row>
    <row r="1800" spans="1:21" x14ac:dyDescent="0.25">
      <c r="A1800" s="213" t="s">
        <v>327</v>
      </c>
      <c r="C1800" s="213" t="s">
        <v>14978</v>
      </c>
      <c r="E1800" s="213" t="s">
        <v>14979</v>
      </c>
      <c r="I1800" s="213" t="s">
        <v>14980</v>
      </c>
    </row>
    <row r="1801" spans="1:21" x14ac:dyDescent="0.25">
      <c r="A1801" s="213" t="s">
        <v>328</v>
      </c>
    </row>
    <row r="1802" spans="1:21" x14ac:dyDescent="0.25">
      <c r="A1802" s="213" t="s">
        <v>327</v>
      </c>
      <c r="D1802" s="213" t="s">
        <v>14981</v>
      </c>
      <c r="E1802" s="213" t="s">
        <v>14982</v>
      </c>
      <c r="K1802" s="213" t="s">
        <v>71334</v>
      </c>
      <c r="L1802" s="213" t="s">
        <v>71349</v>
      </c>
      <c r="M1802" s="213" t="s">
        <v>71364</v>
      </c>
      <c r="N1802" s="213" t="s">
        <v>14983</v>
      </c>
      <c r="O1802" s="213" t="s">
        <v>14984</v>
      </c>
      <c r="P1802" s="213" t="s">
        <v>14985</v>
      </c>
      <c r="Q1802" s="213" t="s">
        <v>14986</v>
      </c>
      <c r="R1802" s="213" t="s">
        <v>14987</v>
      </c>
      <c r="S1802" s="213" t="s">
        <v>14988</v>
      </c>
      <c r="T1802" s="213" t="s">
        <v>14989</v>
      </c>
      <c r="U1802" s="213" t="s">
        <v>71379</v>
      </c>
    </row>
    <row r="1803" spans="1:21" x14ac:dyDescent="0.25">
      <c r="A1803" s="213" t="s">
        <v>327</v>
      </c>
      <c r="D1803" s="213" t="s">
        <v>14990</v>
      </c>
      <c r="E1803" s="213" t="s">
        <v>14991</v>
      </c>
      <c r="K1803" s="213" t="s">
        <v>71335</v>
      </c>
      <c r="L1803" s="213" t="s">
        <v>71350</v>
      </c>
      <c r="M1803" s="213" t="s">
        <v>71365</v>
      </c>
      <c r="N1803" s="213" t="s">
        <v>14992</v>
      </c>
      <c r="O1803" s="213" t="s">
        <v>14993</v>
      </c>
      <c r="P1803" s="213" t="s">
        <v>14994</v>
      </c>
      <c r="Q1803" s="213" t="s">
        <v>14995</v>
      </c>
      <c r="R1803" s="213" t="s">
        <v>14996</v>
      </c>
      <c r="S1803" s="213" t="s">
        <v>14997</v>
      </c>
      <c r="T1803" s="213" t="s">
        <v>14998</v>
      </c>
      <c r="U1803" s="213" t="s">
        <v>71380</v>
      </c>
    </row>
    <row r="1804" spans="1:21" x14ac:dyDescent="0.25">
      <c r="A1804" s="213" t="s">
        <v>327</v>
      </c>
      <c r="D1804" s="213" t="s">
        <v>14999</v>
      </c>
      <c r="E1804" s="213" t="s">
        <v>15000</v>
      </c>
      <c r="K1804" s="213" t="s">
        <v>71336</v>
      </c>
      <c r="L1804" s="213" t="s">
        <v>71351</v>
      </c>
      <c r="M1804" s="213" t="s">
        <v>71366</v>
      </c>
      <c r="N1804" s="213" t="s">
        <v>15001</v>
      </c>
      <c r="O1804" s="213" t="s">
        <v>15002</v>
      </c>
      <c r="P1804" s="213" t="s">
        <v>15003</v>
      </c>
      <c r="Q1804" s="213" t="s">
        <v>15004</v>
      </c>
      <c r="R1804" s="213" t="s">
        <v>15005</v>
      </c>
      <c r="S1804" s="213" t="s">
        <v>15006</v>
      </c>
      <c r="T1804" s="213" t="s">
        <v>15007</v>
      </c>
      <c r="U1804" s="213" t="s">
        <v>71381</v>
      </c>
    </row>
    <row r="1805" spans="1:21" x14ac:dyDescent="0.25">
      <c r="A1805" s="213" t="s">
        <v>327</v>
      </c>
      <c r="D1805" s="213" t="s">
        <v>15008</v>
      </c>
      <c r="E1805" s="213" t="s">
        <v>15009</v>
      </c>
      <c r="K1805" s="213" t="s">
        <v>71337</v>
      </c>
      <c r="L1805" s="213" t="s">
        <v>71352</v>
      </c>
      <c r="M1805" s="213" t="s">
        <v>71367</v>
      </c>
      <c r="N1805" s="213" t="s">
        <v>15010</v>
      </c>
      <c r="O1805" s="213" t="s">
        <v>15011</v>
      </c>
      <c r="P1805" s="213" t="s">
        <v>15012</v>
      </c>
      <c r="Q1805" s="213" t="s">
        <v>15013</v>
      </c>
      <c r="R1805" s="213" t="s">
        <v>15014</v>
      </c>
      <c r="S1805" s="213" t="s">
        <v>15015</v>
      </c>
      <c r="T1805" s="213" t="s">
        <v>15016</v>
      </c>
      <c r="U1805" s="213" t="s">
        <v>71382</v>
      </c>
    </row>
    <row r="1806" spans="1:21" x14ac:dyDescent="0.25">
      <c r="A1806" s="213" t="s">
        <v>327</v>
      </c>
      <c r="D1806" s="213" t="s">
        <v>15017</v>
      </c>
      <c r="E1806" s="213" t="s">
        <v>15018</v>
      </c>
      <c r="K1806" s="213" t="s">
        <v>71338</v>
      </c>
      <c r="L1806" s="213" t="s">
        <v>71353</v>
      </c>
      <c r="M1806" s="213" t="s">
        <v>71368</v>
      </c>
      <c r="N1806" s="213" t="s">
        <v>15019</v>
      </c>
      <c r="O1806" s="213" t="s">
        <v>15020</v>
      </c>
      <c r="P1806" s="213" t="s">
        <v>15021</v>
      </c>
      <c r="Q1806" s="213" t="s">
        <v>15022</v>
      </c>
      <c r="R1806" s="213" t="s">
        <v>15023</v>
      </c>
      <c r="S1806" s="213" t="s">
        <v>15024</v>
      </c>
      <c r="T1806" s="213" t="s">
        <v>15025</v>
      </c>
      <c r="U1806" s="213" t="s">
        <v>71383</v>
      </c>
    </row>
    <row r="1807" spans="1:21" x14ac:dyDescent="0.25">
      <c r="A1807" s="213" t="s">
        <v>327</v>
      </c>
      <c r="D1807" s="213" t="s">
        <v>15026</v>
      </c>
      <c r="E1807" s="213" t="s">
        <v>15027</v>
      </c>
      <c r="K1807" s="213" t="s">
        <v>71339</v>
      </c>
      <c r="L1807" s="213" t="s">
        <v>71354</v>
      </c>
      <c r="M1807" s="213" t="s">
        <v>71369</v>
      </c>
      <c r="N1807" s="213" t="s">
        <v>15028</v>
      </c>
      <c r="O1807" s="213" t="s">
        <v>15029</v>
      </c>
      <c r="P1807" s="213" t="s">
        <v>15030</v>
      </c>
      <c r="Q1807" s="213" t="s">
        <v>15031</v>
      </c>
      <c r="R1807" s="213" t="s">
        <v>15032</v>
      </c>
      <c r="S1807" s="213" t="s">
        <v>15033</v>
      </c>
      <c r="T1807" s="213" t="s">
        <v>15034</v>
      </c>
      <c r="U1807" s="213" t="s">
        <v>71384</v>
      </c>
    </row>
    <row r="1808" spans="1:21" x14ac:dyDescent="0.25">
      <c r="A1808" s="213" t="s">
        <v>327</v>
      </c>
      <c r="D1808" s="213" t="s">
        <v>15035</v>
      </c>
      <c r="E1808" s="213" t="s">
        <v>15036</v>
      </c>
      <c r="K1808" s="213" t="s">
        <v>71340</v>
      </c>
      <c r="L1808" s="213" t="s">
        <v>71355</v>
      </c>
      <c r="M1808" s="213" t="s">
        <v>71370</v>
      </c>
      <c r="N1808" s="213" t="s">
        <v>15037</v>
      </c>
      <c r="O1808" s="213" t="s">
        <v>15038</v>
      </c>
      <c r="P1808" s="213" t="s">
        <v>15039</v>
      </c>
      <c r="Q1808" s="213" t="s">
        <v>15040</v>
      </c>
      <c r="R1808" s="213" t="s">
        <v>15041</v>
      </c>
      <c r="S1808" s="213" t="s">
        <v>15042</v>
      </c>
      <c r="T1808" s="213" t="s">
        <v>15043</v>
      </c>
      <c r="U1808" s="213" t="s">
        <v>71385</v>
      </c>
    </row>
    <row r="1809" spans="1:21" x14ac:dyDescent="0.25">
      <c r="A1809" s="213" t="s">
        <v>327</v>
      </c>
      <c r="D1809" s="213" t="s">
        <v>15044</v>
      </c>
      <c r="E1809" s="213" t="s">
        <v>15045</v>
      </c>
      <c r="K1809" s="213" t="s">
        <v>71341</v>
      </c>
      <c r="L1809" s="213" t="s">
        <v>71356</v>
      </c>
      <c r="M1809" s="213" t="s">
        <v>71371</v>
      </c>
      <c r="N1809" s="213" t="s">
        <v>15046</v>
      </c>
      <c r="O1809" s="213" t="s">
        <v>15047</v>
      </c>
      <c r="P1809" s="213" t="s">
        <v>15048</v>
      </c>
      <c r="Q1809" s="213" t="s">
        <v>15049</v>
      </c>
      <c r="R1809" s="213" t="s">
        <v>15050</v>
      </c>
      <c r="S1809" s="213" t="s">
        <v>15051</v>
      </c>
      <c r="T1809" s="213" t="s">
        <v>15052</v>
      </c>
      <c r="U1809" s="213" t="s">
        <v>71386</v>
      </c>
    </row>
    <row r="1810" spans="1:21" x14ac:dyDescent="0.25">
      <c r="A1810" s="213" t="s">
        <v>327</v>
      </c>
      <c r="D1810" s="213" t="s">
        <v>15053</v>
      </c>
      <c r="E1810" s="213" t="s">
        <v>15054</v>
      </c>
      <c r="K1810" s="213" t="s">
        <v>71342</v>
      </c>
      <c r="L1810" s="213" t="s">
        <v>71357</v>
      </c>
      <c r="M1810" s="213" t="s">
        <v>71372</v>
      </c>
      <c r="N1810" s="213" t="s">
        <v>15055</v>
      </c>
      <c r="O1810" s="213" t="s">
        <v>15056</v>
      </c>
      <c r="P1810" s="213" t="s">
        <v>15057</v>
      </c>
      <c r="Q1810" s="213" t="s">
        <v>15058</v>
      </c>
      <c r="R1810" s="213" t="s">
        <v>15059</v>
      </c>
      <c r="S1810" s="213" t="s">
        <v>15060</v>
      </c>
      <c r="T1810" s="213" t="s">
        <v>15061</v>
      </c>
      <c r="U1810" s="213" t="s">
        <v>71387</v>
      </c>
    </row>
    <row r="1811" spans="1:21" x14ac:dyDescent="0.25">
      <c r="A1811" s="213" t="s">
        <v>327</v>
      </c>
      <c r="D1811" s="213" t="s">
        <v>15062</v>
      </c>
      <c r="E1811" s="213" t="s">
        <v>15063</v>
      </c>
      <c r="K1811" s="213" t="s">
        <v>71343</v>
      </c>
      <c r="L1811" s="213" t="s">
        <v>71358</v>
      </c>
      <c r="M1811" s="213" t="s">
        <v>71373</v>
      </c>
      <c r="N1811" s="213" t="s">
        <v>15064</v>
      </c>
      <c r="O1811" s="213" t="s">
        <v>15065</v>
      </c>
      <c r="P1811" s="213" t="s">
        <v>15066</v>
      </c>
      <c r="Q1811" s="213" t="s">
        <v>15067</v>
      </c>
      <c r="R1811" s="213" t="s">
        <v>15068</v>
      </c>
      <c r="S1811" s="213" t="s">
        <v>15069</v>
      </c>
      <c r="T1811" s="213" t="s">
        <v>15070</v>
      </c>
      <c r="U1811" s="213" t="s">
        <v>71388</v>
      </c>
    </row>
    <row r="1812" spans="1:21" x14ac:dyDescent="0.25">
      <c r="A1812" s="213" t="s">
        <v>327</v>
      </c>
      <c r="D1812" s="213" t="s">
        <v>15071</v>
      </c>
      <c r="E1812" s="213" t="s">
        <v>15072</v>
      </c>
      <c r="K1812" s="213" t="s">
        <v>71344</v>
      </c>
      <c r="L1812" s="213" t="s">
        <v>71359</v>
      </c>
      <c r="M1812" s="213" t="s">
        <v>71374</v>
      </c>
      <c r="N1812" s="213" t="s">
        <v>15073</v>
      </c>
      <c r="O1812" s="213" t="s">
        <v>15074</v>
      </c>
      <c r="P1812" s="213" t="s">
        <v>15075</v>
      </c>
      <c r="Q1812" s="213" t="s">
        <v>15076</v>
      </c>
      <c r="R1812" s="213" t="s">
        <v>15077</v>
      </c>
      <c r="S1812" s="213" t="s">
        <v>15078</v>
      </c>
      <c r="T1812" s="213" t="s">
        <v>15079</v>
      </c>
      <c r="U1812" s="213" t="s">
        <v>71389</v>
      </c>
    </row>
    <row r="1813" spans="1:21" x14ac:dyDescent="0.25">
      <c r="A1813" s="213" t="s">
        <v>327</v>
      </c>
      <c r="D1813" s="213" t="s">
        <v>15080</v>
      </c>
      <c r="E1813" s="213" t="s">
        <v>15081</v>
      </c>
      <c r="K1813" s="213" t="s">
        <v>71345</v>
      </c>
      <c r="L1813" s="213" t="s">
        <v>71360</v>
      </c>
      <c r="M1813" s="213" t="s">
        <v>71375</v>
      </c>
      <c r="N1813" s="213" t="s">
        <v>15082</v>
      </c>
      <c r="O1813" s="213" t="s">
        <v>15083</v>
      </c>
      <c r="P1813" s="213" t="s">
        <v>15084</v>
      </c>
      <c r="Q1813" s="213" t="s">
        <v>15085</v>
      </c>
      <c r="R1813" s="213" t="s">
        <v>15086</v>
      </c>
      <c r="S1813" s="213" t="s">
        <v>15087</v>
      </c>
      <c r="T1813" s="213" t="s">
        <v>15088</v>
      </c>
      <c r="U1813" s="213" t="s">
        <v>71390</v>
      </c>
    </row>
    <row r="1814" spans="1:21" x14ac:dyDescent="0.25">
      <c r="A1814" s="213" t="s">
        <v>327</v>
      </c>
      <c r="D1814" s="213" t="s">
        <v>15089</v>
      </c>
      <c r="E1814" s="213" t="s">
        <v>15090</v>
      </c>
      <c r="K1814" s="213" t="s">
        <v>71346</v>
      </c>
      <c r="L1814" s="213" t="s">
        <v>71361</v>
      </c>
      <c r="M1814" s="213" t="s">
        <v>71376</v>
      </c>
      <c r="N1814" s="213" t="s">
        <v>15091</v>
      </c>
      <c r="O1814" s="213" t="s">
        <v>15092</v>
      </c>
      <c r="P1814" s="213" t="s">
        <v>15093</v>
      </c>
      <c r="Q1814" s="213" t="s">
        <v>15094</v>
      </c>
      <c r="R1814" s="213" t="s">
        <v>15095</v>
      </c>
      <c r="S1814" s="213" t="s">
        <v>15096</v>
      </c>
      <c r="T1814" s="213" t="s">
        <v>15097</v>
      </c>
      <c r="U1814" s="213" t="s">
        <v>71391</v>
      </c>
    </row>
    <row r="1815" spans="1:21" x14ac:dyDescent="0.25">
      <c r="A1815" s="213" t="s">
        <v>327</v>
      </c>
      <c r="D1815" s="213" t="s">
        <v>15098</v>
      </c>
      <c r="E1815" s="213" t="s">
        <v>15099</v>
      </c>
      <c r="K1815" s="213" t="s">
        <v>71347</v>
      </c>
      <c r="L1815" s="213" t="s">
        <v>71362</v>
      </c>
      <c r="M1815" s="213" t="s">
        <v>71377</v>
      </c>
      <c r="N1815" s="213" t="s">
        <v>15100</v>
      </c>
      <c r="O1815" s="213" t="s">
        <v>15101</v>
      </c>
      <c r="P1815" s="213" t="s">
        <v>15102</v>
      </c>
      <c r="Q1815" s="213" t="s">
        <v>15103</v>
      </c>
      <c r="R1815" s="213" t="s">
        <v>15104</v>
      </c>
      <c r="S1815" s="213" t="s">
        <v>15105</v>
      </c>
      <c r="T1815" s="213" t="s">
        <v>15106</v>
      </c>
      <c r="U1815" s="213" t="s">
        <v>71392</v>
      </c>
    </row>
    <row r="1816" spans="1:21" x14ac:dyDescent="0.25">
      <c r="A1816" s="213" t="s">
        <v>327</v>
      </c>
      <c r="D1816" s="213" t="s">
        <v>15107</v>
      </c>
      <c r="E1816" s="213" t="s">
        <v>15108</v>
      </c>
      <c r="K1816" s="213" t="s">
        <v>71348</v>
      </c>
      <c r="L1816" s="213" t="s">
        <v>71363</v>
      </c>
      <c r="M1816" s="213" t="s">
        <v>71378</v>
      </c>
      <c r="N1816" s="213" t="s">
        <v>15109</v>
      </c>
      <c r="O1816" s="213" t="s">
        <v>15110</v>
      </c>
      <c r="P1816" s="213" t="s">
        <v>15111</v>
      </c>
      <c r="Q1816" s="213" t="s">
        <v>15112</v>
      </c>
      <c r="R1816" s="213" t="s">
        <v>15113</v>
      </c>
      <c r="S1816" s="213" t="s">
        <v>15114</v>
      </c>
      <c r="T1816" s="213" t="s">
        <v>15115</v>
      </c>
      <c r="U1816" s="213" t="s">
        <v>71393</v>
      </c>
    </row>
    <row r="1817" spans="1:21" x14ac:dyDescent="0.25">
      <c r="A1817" s="213" t="s">
        <v>327</v>
      </c>
    </row>
    <row r="1818" spans="1:21" x14ac:dyDescent="0.25">
      <c r="A1818" s="213" t="s">
        <v>327</v>
      </c>
    </row>
    <row r="1819" spans="1:21" x14ac:dyDescent="0.25">
      <c r="A1819" s="213" t="s">
        <v>327</v>
      </c>
      <c r="C1819" s="213" t="s">
        <v>15116</v>
      </c>
      <c r="E1819" s="213" t="s">
        <v>15117</v>
      </c>
      <c r="H1819" s="213" t="s">
        <v>15118</v>
      </c>
      <c r="I1819" s="213" t="s">
        <v>15119</v>
      </c>
      <c r="J1819" s="213" t="s">
        <v>15120</v>
      </c>
      <c r="L1819" s="213" t="s">
        <v>15121</v>
      </c>
      <c r="O1819" s="213" t="s">
        <v>15122</v>
      </c>
      <c r="P1819" s="213" t="s">
        <v>15123</v>
      </c>
      <c r="Q1819" s="213" t="s">
        <v>15124</v>
      </c>
      <c r="R1819" s="213" t="s">
        <v>15125</v>
      </c>
      <c r="S1819" s="213" t="s">
        <v>15126</v>
      </c>
      <c r="T1819" s="213" t="s">
        <v>15127</v>
      </c>
    </row>
    <row r="1820" spans="1:21" x14ac:dyDescent="0.25">
      <c r="A1820" s="213" t="s">
        <v>327</v>
      </c>
      <c r="C1820" s="213" t="s">
        <v>15128</v>
      </c>
      <c r="E1820" s="213" t="s">
        <v>15129</v>
      </c>
      <c r="I1820" s="213" t="s">
        <v>15130</v>
      </c>
    </row>
    <row r="1821" spans="1:21" x14ac:dyDescent="0.25">
      <c r="A1821" s="213" t="s">
        <v>327</v>
      </c>
      <c r="C1821" s="213" t="s">
        <v>15131</v>
      </c>
      <c r="E1821" s="213" t="s">
        <v>15132</v>
      </c>
      <c r="I1821" s="213" t="s">
        <v>15133</v>
      </c>
    </row>
    <row r="1822" spans="1:21" x14ac:dyDescent="0.25">
      <c r="A1822" s="213" t="s">
        <v>328</v>
      </c>
    </row>
    <row r="1823" spans="1:21" x14ac:dyDescent="0.25">
      <c r="A1823" s="213" t="s">
        <v>327</v>
      </c>
      <c r="D1823" s="213" t="s">
        <v>15134</v>
      </c>
      <c r="E1823" s="213" t="s">
        <v>15135</v>
      </c>
      <c r="K1823" s="213" t="s">
        <v>71042</v>
      </c>
      <c r="L1823" s="213" t="s">
        <v>71115</v>
      </c>
      <c r="M1823" s="213" t="s">
        <v>71188</v>
      </c>
      <c r="N1823" s="213" t="s">
        <v>15136</v>
      </c>
      <c r="O1823" s="213" t="s">
        <v>15137</v>
      </c>
      <c r="P1823" s="213" t="s">
        <v>15138</v>
      </c>
      <c r="Q1823" s="213" t="s">
        <v>15139</v>
      </c>
      <c r="R1823" s="213" t="s">
        <v>15140</v>
      </c>
      <c r="S1823" s="213" t="s">
        <v>15141</v>
      </c>
      <c r="T1823" s="213" t="s">
        <v>15142</v>
      </c>
      <c r="U1823" s="213" t="s">
        <v>71261</v>
      </c>
    </row>
    <row r="1824" spans="1:21" x14ac:dyDescent="0.25">
      <c r="A1824" s="213" t="s">
        <v>327</v>
      </c>
      <c r="D1824" s="213" t="s">
        <v>15143</v>
      </c>
      <c r="E1824" s="213" t="s">
        <v>15144</v>
      </c>
      <c r="K1824" s="213" t="s">
        <v>71043</v>
      </c>
      <c r="L1824" s="213" t="s">
        <v>71116</v>
      </c>
      <c r="M1824" s="213" t="s">
        <v>71189</v>
      </c>
      <c r="N1824" s="213" t="s">
        <v>15145</v>
      </c>
      <c r="O1824" s="213" t="s">
        <v>15146</v>
      </c>
      <c r="P1824" s="213" t="s">
        <v>15147</v>
      </c>
      <c r="Q1824" s="213" t="s">
        <v>15148</v>
      </c>
      <c r="R1824" s="213" t="s">
        <v>15149</v>
      </c>
      <c r="S1824" s="213" t="s">
        <v>15150</v>
      </c>
      <c r="T1824" s="213" t="s">
        <v>15151</v>
      </c>
      <c r="U1824" s="213" t="s">
        <v>71262</v>
      </c>
    </row>
    <row r="1825" spans="1:21" x14ac:dyDescent="0.25">
      <c r="A1825" s="213" t="s">
        <v>327</v>
      </c>
      <c r="D1825" s="213" t="s">
        <v>15152</v>
      </c>
      <c r="E1825" s="213" t="s">
        <v>15153</v>
      </c>
      <c r="K1825" s="213" t="s">
        <v>71044</v>
      </c>
      <c r="L1825" s="213" t="s">
        <v>71117</v>
      </c>
      <c r="M1825" s="213" t="s">
        <v>71190</v>
      </c>
      <c r="N1825" s="213" t="s">
        <v>15154</v>
      </c>
      <c r="O1825" s="213" t="s">
        <v>15155</v>
      </c>
      <c r="P1825" s="213" t="s">
        <v>15156</v>
      </c>
      <c r="Q1825" s="213" t="s">
        <v>15157</v>
      </c>
      <c r="R1825" s="213" t="s">
        <v>15158</v>
      </c>
      <c r="S1825" s="213" t="s">
        <v>15159</v>
      </c>
      <c r="T1825" s="213" t="s">
        <v>15160</v>
      </c>
      <c r="U1825" s="213" t="s">
        <v>71263</v>
      </c>
    </row>
    <row r="1826" spans="1:21" x14ac:dyDescent="0.25">
      <c r="A1826" s="213" t="s">
        <v>327</v>
      </c>
      <c r="D1826" s="213" t="s">
        <v>15161</v>
      </c>
      <c r="E1826" s="213" t="s">
        <v>15162</v>
      </c>
      <c r="K1826" s="213" t="s">
        <v>71045</v>
      </c>
      <c r="L1826" s="213" t="s">
        <v>71118</v>
      </c>
      <c r="M1826" s="213" t="s">
        <v>71191</v>
      </c>
      <c r="N1826" s="213" t="s">
        <v>15163</v>
      </c>
      <c r="O1826" s="213" t="s">
        <v>15164</v>
      </c>
      <c r="P1826" s="213" t="s">
        <v>15165</v>
      </c>
      <c r="Q1826" s="213" t="s">
        <v>15166</v>
      </c>
      <c r="R1826" s="213" t="s">
        <v>15167</v>
      </c>
      <c r="S1826" s="213" t="s">
        <v>15168</v>
      </c>
      <c r="T1826" s="213" t="s">
        <v>15169</v>
      </c>
      <c r="U1826" s="213" t="s">
        <v>71264</v>
      </c>
    </row>
    <row r="1827" spans="1:21" x14ac:dyDescent="0.25">
      <c r="A1827" s="213" t="s">
        <v>327</v>
      </c>
      <c r="D1827" s="213" t="s">
        <v>15170</v>
      </c>
      <c r="E1827" s="213" t="s">
        <v>15171</v>
      </c>
      <c r="K1827" s="213" t="s">
        <v>71046</v>
      </c>
      <c r="L1827" s="213" t="s">
        <v>71119</v>
      </c>
      <c r="M1827" s="213" t="s">
        <v>71192</v>
      </c>
      <c r="N1827" s="213" t="s">
        <v>15172</v>
      </c>
      <c r="O1827" s="213" t="s">
        <v>15173</v>
      </c>
      <c r="P1827" s="213" t="s">
        <v>15174</v>
      </c>
      <c r="Q1827" s="213" t="s">
        <v>15175</v>
      </c>
      <c r="R1827" s="213" t="s">
        <v>15176</v>
      </c>
      <c r="S1827" s="213" t="s">
        <v>15177</v>
      </c>
      <c r="T1827" s="213" t="s">
        <v>15178</v>
      </c>
      <c r="U1827" s="213" t="s">
        <v>71265</v>
      </c>
    </row>
    <row r="1828" spans="1:21" x14ac:dyDescent="0.25">
      <c r="A1828" s="213" t="s">
        <v>327</v>
      </c>
      <c r="D1828" s="213" t="s">
        <v>15179</v>
      </c>
      <c r="E1828" s="213" t="s">
        <v>15180</v>
      </c>
      <c r="K1828" s="213" t="s">
        <v>71047</v>
      </c>
      <c r="L1828" s="213" t="s">
        <v>71120</v>
      </c>
      <c r="M1828" s="213" t="s">
        <v>71193</v>
      </c>
      <c r="N1828" s="213" t="s">
        <v>15181</v>
      </c>
      <c r="O1828" s="213" t="s">
        <v>15182</v>
      </c>
      <c r="P1828" s="213" t="s">
        <v>15183</v>
      </c>
      <c r="Q1828" s="213" t="s">
        <v>15184</v>
      </c>
      <c r="R1828" s="213" t="s">
        <v>15185</v>
      </c>
      <c r="S1828" s="213" t="s">
        <v>15186</v>
      </c>
      <c r="T1828" s="213" t="s">
        <v>15187</v>
      </c>
      <c r="U1828" s="213" t="s">
        <v>71266</v>
      </c>
    </row>
    <row r="1829" spans="1:21" x14ac:dyDescent="0.25">
      <c r="A1829" s="213" t="s">
        <v>327</v>
      </c>
      <c r="D1829" s="213" t="s">
        <v>15188</v>
      </c>
      <c r="E1829" s="213" t="s">
        <v>15189</v>
      </c>
      <c r="K1829" s="213" t="s">
        <v>71048</v>
      </c>
      <c r="L1829" s="213" t="s">
        <v>71121</v>
      </c>
      <c r="M1829" s="213" t="s">
        <v>71194</v>
      </c>
      <c r="N1829" s="213" t="s">
        <v>15190</v>
      </c>
      <c r="O1829" s="213" t="s">
        <v>15191</v>
      </c>
      <c r="P1829" s="213" t="s">
        <v>15192</v>
      </c>
      <c r="Q1829" s="213" t="s">
        <v>15193</v>
      </c>
      <c r="R1829" s="213" t="s">
        <v>15194</v>
      </c>
      <c r="S1829" s="213" t="s">
        <v>15195</v>
      </c>
      <c r="T1829" s="213" t="s">
        <v>15196</v>
      </c>
      <c r="U1829" s="213" t="s">
        <v>71267</v>
      </c>
    </row>
    <row r="1830" spans="1:21" x14ac:dyDescent="0.25">
      <c r="A1830" s="213" t="s">
        <v>327</v>
      </c>
      <c r="D1830" s="213" t="s">
        <v>15197</v>
      </c>
      <c r="E1830" s="213" t="s">
        <v>15198</v>
      </c>
      <c r="K1830" s="213" t="s">
        <v>71049</v>
      </c>
      <c r="L1830" s="213" t="s">
        <v>71122</v>
      </c>
      <c r="M1830" s="213" t="s">
        <v>71195</v>
      </c>
      <c r="N1830" s="213" t="s">
        <v>15199</v>
      </c>
      <c r="O1830" s="213" t="s">
        <v>15200</v>
      </c>
      <c r="P1830" s="213" t="s">
        <v>15201</v>
      </c>
      <c r="Q1830" s="213" t="s">
        <v>15202</v>
      </c>
      <c r="R1830" s="213" t="s">
        <v>15203</v>
      </c>
      <c r="S1830" s="213" t="s">
        <v>15204</v>
      </c>
      <c r="T1830" s="213" t="s">
        <v>15205</v>
      </c>
      <c r="U1830" s="213" t="s">
        <v>71268</v>
      </c>
    </row>
    <row r="1831" spans="1:21" x14ac:dyDescent="0.25">
      <c r="A1831" s="213" t="s">
        <v>327</v>
      </c>
      <c r="D1831" s="213" t="s">
        <v>15206</v>
      </c>
      <c r="E1831" s="213" t="s">
        <v>15207</v>
      </c>
      <c r="K1831" s="213" t="s">
        <v>71050</v>
      </c>
      <c r="L1831" s="213" t="s">
        <v>71123</v>
      </c>
      <c r="M1831" s="213" t="s">
        <v>71196</v>
      </c>
      <c r="N1831" s="213" t="s">
        <v>15208</v>
      </c>
      <c r="O1831" s="213" t="s">
        <v>15209</v>
      </c>
      <c r="P1831" s="213" t="s">
        <v>15210</v>
      </c>
      <c r="Q1831" s="213" t="s">
        <v>15211</v>
      </c>
      <c r="R1831" s="213" t="s">
        <v>15212</v>
      </c>
      <c r="S1831" s="213" t="s">
        <v>15213</v>
      </c>
      <c r="T1831" s="213" t="s">
        <v>15214</v>
      </c>
      <c r="U1831" s="213" t="s">
        <v>71269</v>
      </c>
    </row>
    <row r="1832" spans="1:21" x14ac:dyDescent="0.25">
      <c r="A1832" s="213" t="s">
        <v>327</v>
      </c>
      <c r="D1832" s="213" t="s">
        <v>15215</v>
      </c>
      <c r="E1832" s="213" t="s">
        <v>15216</v>
      </c>
      <c r="K1832" s="213" t="s">
        <v>71051</v>
      </c>
      <c r="L1832" s="213" t="s">
        <v>71124</v>
      </c>
      <c r="M1832" s="213" t="s">
        <v>71197</v>
      </c>
      <c r="N1832" s="213" t="s">
        <v>15217</v>
      </c>
      <c r="O1832" s="213" t="s">
        <v>15218</v>
      </c>
      <c r="P1832" s="213" t="s">
        <v>15219</v>
      </c>
      <c r="Q1832" s="213" t="s">
        <v>15220</v>
      </c>
      <c r="R1832" s="213" t="s">
        <v>15221</v>
      </c>
      <c r="S1832" s="213" t="s">
        <v>15222</v>
      </c>
      <c r="T1832" s="213" t="s">
        <v>15223</v>
      </c>
      <c r="U1832" s="213" t="s">
        <v>71270</v>
      </c>
    </row>
    <row r="1833" spans="1:21" x14ac:dyDescent="0.25">
      <c r="A1833" s="213" t="s">
        <v>327</v>
      </c>
      <c r="D1833" s="213" t="s">
        <v>15224</v>
      </c>
      <c r="E1833" s="213" t="s">
        <v>15225</v>
      </c>
      <c r="K1833" s="213" t="s">
        <v>71052</v>
      </c>
      <c r="L1833" s="213" t="s">
        <v>71125</v>
      </c>
      <c r="M1833" s="213" t="s">
        <v>71198</v>
      </c>
      <c r="N1833" s="213" t="s">
        <v>15226</v>
      </c>
      <c r="O1833" s="213" t="s">
        <v>15227</v>
      </c>
      <c r="P1833" s="213" t="s">
        <v>15228</v>
      </c>
      <c r="Q1833" s="213" t="s">
        <v>15229</v>
      </c>
      <c r="R1833" s="213" t="s">
        <v>15230</v>
      </c>
      <c r="S1833" s="213" t="s">
        <v>15231</v>
      </c>
      <c r="T1833" s="213" t="s">
        <v>15232</v>
      </c>
      <c r="U1833" s="213" t="s">
        <v>71271</v>
      </c>
    </row>
    <row r="1834" spans="1:21" x14ac:dyDescent="0.25">
      <c r="A1834" s="213" t="s">
        <v>327</v>
      </c>
      <c r="D1834" s="213" t="s">
        <v>15233</v>
      </c>
      <c r="E1834" s="213" t="s">
        <v>15234</v>
      </c>
      <c r="K1834" s="213" t="s">
        <v>71053</v>
      </c>
      <c r="L1834" s="213" t="s">
        <v>71126</v>
      </c>
      <c r="M1834" s="213" t="s">
        <v>71199</v>
      </c>
      <c r="N1834" s="213" t="s">
        <v>15235</v>
      </c>
      <c r="O1834" s="213" t="s">
        <v>15236</v>
      </c>
      <c r="P1834" s="213" t="s">
        <v>15237</v>
      </c>
      <c r="Q1834" s="213" t="s">
        <v>15238</v>
      </c>
      <c r="R1834" s="213" t="s">
        <v>15239</v>
      </c>
      <c r="S1834" s="213" t="s">
        <v>15240</v>
      </c>
      <c r="T1834" s="213" t="s">
        <v>15241</v>
      </c>
      <c r="U1834" s="213" t="s">
        <v>71272</v>
      </c>
    </row>
    <row r="1835" spans="1:21" x14ac:dyDescent="0.25">
      <c r="A1835" s="213" t="s">
        <v>327</v>
      </c>
      <c r="D1835" s="213" t="s">
        <v>15242</v>
      </c>
      <c r="E1835" s="213" t="s">
        <v>15243</v>
      </c>
      <c r="K1835" s="213" t="s">
        <v>71054</v>
      </c>
      <c r="L1835" s="213" t="s">
        <v>71127</v>
      </c>
      <c r="M1835" s="213" t="s">
        <v>71200</v>
      </c>
      <c r="N1835" s="213" t="s">
        <v>15244</v>
      </c>
      <c r="O1835" s="213" t="s">
        <v>15245</v>
      </c>
      <c r="P1835" s="213" t="s">
        <v>15246</v>
      </c>
      <c r="Q1835" s="213" t="s">
        <v>15247</v>
      </c>
      <c r="R1835" s="213" t="s">
        <v>15248</v>
      </c>
      <c r="S1835" s="213" t="s">
        <v>15249</v>
      </c>
      <c r="T1835" s="213" t="s">
        <v>15250</v>
      </c>
      <c r="U1835" s="213" t="s">
        <v>71273</v>
      </c>
    </row>
    <row r="1836" spans="1:21" x14ac:dyDescent="0.25">
      <c r="A1836" s="213" t="s">
        <v>327</v>
      </c>
      <c r="D1836" s="213" t="s">
        <v>15251</v>
      </c>
      <c r="E1836" s="213" t="s">
        <v>15252</v>
      </c>
      <c r="K1836" s="213" t="s">
        <v>71055</v>
      </c>
      <c r="L1836" s="213" t="s">
        <v>71128</v>
      </c>
      <c r="M1836" s="213" t="s">
        <v>71201</v>
      </c>
      <c r="N1836" s="213" t="s">
        <v>15253</v>
      </c>
      <c r="O1836" s="213" t="s">
        <v>15254</v>
      </c>
      <c r="P1836" s="213" t="s">
        <v>15255</v>
      </c>
      <c r="Q1836" s="213" t="s">
        <v>15256</v>
      </c>
      <c r="R1836" s="213" t="s">
        <v>15257</v>
      </c>
      <c r="S1836" s="213" t="s">
        <v>15258</v>
      </c>
      <c r="T1836" s="213" t="s">
        <v>15259</v>
      </c>
      <c r="U1836" s="213" t="s">
        <v>71274</v>
      </c>
    </row>
    <row r="1837" spans="1:21" x14ac:dyDescent="0.25">
      <c r="A1837" s="213" t="s">
        <v>327</v>
      </c>
      <c r="D1837" s="213" t="s">
        <v>15260</v>
      </c>
      <c r="E1837" s="213" t="s">
        <v>15261</v>
      </c>
      <c r="K1837" s="213" t="s">
        <v>71056</v>
      </c>
      <c r="L1837" s="213" t="s">
        <v>71129</v>
      </c>
      <c r="M1837" s="213" t="s">
        <v>71202</v>
      </c>
      <c r="N1837" s="213" t="s">
        <v>15262</v>
      </c>
      <c r="O1837" s="213" t="s">
        <v>15263</v>
      </c>
      <c r="P1837" s="213" t="s">
        <v>15264</v>
      </c>
      <c r="Q1837" s="213" t="s">
        <v>15265</v>
      </c>
      <c r="R1837" s="213" t="s">
        <v>15266</v>
      </c>
      <c r="S1837" s="213" t="s">
        <v>15267</v>
      </c>
      <c r="T1837" s="213" t="s">
        <v>15268</v>
      </c>
      <c r="U1837" s="213" t="s">
        <v>71275</v>
      </c>
    </row>
    <row r="1838" spans="1:21" x14ac:dyDescent="0.25">
      <c r="A1838" s="213" t="s">
        <v>327</v>
      </c>
      <c r="D1838" s="213" t="s">
        <v>15269</v>
      </c>
      <c r="E1838" s="213" t="s">
        <v>15270</v>
      </c>
      <c r="K1838" s="213" t="s">
        <v>71057</v>
      </c>
      <c r="L1838" s="213" t="s">
        <v>71130</v>
      </c>
      <c r="M1838" s="213" t="s">
        <v>71203</v>
      </c>
      <c r="N1838" s="213" t="s">
        <v>15271</v>
      </c>
      <c r="O1838" s="213" t="s">
        <v>15272</v>
      </c>
      <c r="P1838" s="213" t="s">
        <v>15273</v>
      </c>
      <c r="Q1838" s="213" t="s">
        <v>15274</v>
      </c>
      <c r="R1838" s="213" t="s">
        <v>15275</v>
      </c>
      <c r="S1838" s="213" t="s">
        <v>15276</v>
      </c>
      <c r="T1838" s="213" t="s">
        <v>15277</v>
      </c>
      <c r="U1838" s="213" t="s">
        <v>71276</v>
      </c>
    </row>
    <row r="1839" spans="1:21" x14ac:dyDescent="0.25">
      <c r="A1839" s="213" t="s">
        <v>327</v>
      </c>
      <c r="D1839" s="213" t="s">
        <v>15278</v>
      </c>
      <c r="E1839" s="213" t="s">
        <v>15279</v>
      </c>
      <c r="K1839" s="213" t="s">
        <v>71058</v>
      </c>
      <c r="L1839" s="213" t="s">
        <v>71131</v>
      </c>
      <c r="M1839" s="213" t="s">
        <v>71204</v>
      </c>
      <c r="N1839" s="213" t="s">
        <v>15280</v>
      </c>
      <c r="O1839" s="213" t="s">
        <v>15281</v>
      </c>
      <c r="P1839" s="213" t="s">
        <v>15282</v>
      </c>
      <c r="Q1839" s="213" t="s">
        <v>15283</v>
      </c>
      <c r="R1839" s="213" t="s">
        <v>15284</v>
      </c>
      <c r="S1839" s="213" t="s">
        <v>15285</v>
      </c>
      <c r="T1839" s="213" t="s">
        <v>15286</v>
      </c>
      <c r="U1839" s="213" t="s">
        <v>71277</v>
      </c>
    </row>
    <row r="1840" spans="1:21" x14ac:dyDescent="0.25">
      <c r="A1840" s="213" t="s">
        <v>327</v>
      </c>
      <c r="D1840" s="213" t="s">
        <v>15287</v>
      </c>
      <c r="E1840" s="213" t="s">
        <v>15288</v>
      </c>
      <c r="K1840" s="213" t="s">
        <v>71059</v>
      </c>
      <c r="L1840" s="213" t="s">
        <v>71132</v>
      </c>
      <c r="M1840" s="213" t="s">
        <v>71205</v>
      </c>
      <c r="N1840" s="213" t="s">
        <v>15289</v>
      </c>
      <c r="O1840" s="213" t="s">
        <v>15290</v>
      </c>
      <c r="P1840" s="213" t="s">
        <v>15291</v>
      </c>
      <c r="Q1840" s="213" t="s">
        <v>15292</v>
      </c>
      <c r="R1840" s="213" t="s">
        <v>15293</v>
      </c>
      <c r="S1840" s="213" t="s">
        <v>15294</v>
      </c>
      <c r="T1840" s="213" t="s">
        <v>15295</v>
      </c>
      <c r="U1840" s="213" t="s">
        <v>71278</v>
      </c>
    </row>
    <row r="1841" spans="1:21" x14ac:dyDescent="0.25">
      <c r="A1841" s="213" t="s">
        <v>327</v>
      </c>
      <c r="D1841" s="213" t="s">
        <v>15296</v>
      </c>
      <c r="E1841" s="213" t="s">
        <v>15297</v>
      </c>
      <c r="K1841" s="213" t="s">
        <v>71060</v>
      </c>
      <c r="L1841" s="213" t="s">
        <v>71133</v>
      </c>
      <c r="M1841" s="213" t="s">
        <v>71206</v>
      </c>
      <c r="N1841" s="213" t="s">
        <v>15298</v>
      </c>
      <c r="O1841" s="213" t="s">
        <v>15299</v>
      </c>
      <c r="P1841" s="213" t="s">
        <v>15300</v>
      </c>
      <c r="Q1841" s="213" t="s">
        <v>15301</v>
      </c>
      <c r="R1841" s="213" t="s">
        <v>15302</v>
      </c>
      <c r="S1841" s="213" t="s">
        <v>15303</v>
      </c>
      <c r="T1841" s="213" t="s">
        <v>15304</v>
      </c>
      <c r="U1841" s="213" t="s">
        <v>71279</v>
      </c>
    </row>
    <row r="1842" spans="1:21" x14ac:dyDescent="0.25">
      <c r="A1842" s="213" t="s">
        <v>327</v>
      </c>
      <c r="D1842" s="213" t="s">
        <v>15305</v>
      </c>
      <c r="E1842" s="213" t="s">
        <v>15306</v>
      </c>
      <c r="K1842" s="213" t="s">
        <v>71061</v>
      </c>
      <c r="L1842" s="213" t="s">
        <v>71134</v>
      </c>
      <c r="M1842" s="213" t="s">
        <v>71207</v>
      </c>
      <c r="N1842" s="213" t="s">
        <v>15307</v>
      </c>
      <c r="O1842" s="213" t="s">
        <v>15308</v>
      </c>
      <c r="P1842" s="213" t="s">
        <v>15309</v>
      </c>
      <c r="Q1842" s="213" t="s">
        <v>15310</v>
      </c>
      <c r="R1842" s="213" t="s">
        <v>15311</v>
      </c>
      <c r="S1842" s="213" t="s">
        <v>15312</v>
      </c>
      <c r="T1842" s="213" t="s">
        <v>15313</v>
      </c>
      <c r="U1842" s="213" t="s">
        <v>71280</v>
      </c>
    </row>
    <row r="1843" spans="1:21" x14ac:dyDescent="0.25">
      <c r="A1843" s="213" t="s">
        <v>327</v>
      </c>
      <c r="D1843" s="213" t="s">
        <v>15314</v>
      </c>
      <c r="E1843" s="213" t="s">
        <v>15315</v>
      </c>
      <c r="K1843" s="213" t="s">
        <v>71062</v>
      </c>
      <c r="L1843" s="213" t="s">
        <v>71135</v>
      </c>
      <c r="M1843" s="213" t="s">
        <v>71208</v>
      </c>
      <c r="N1843" s="213" t="s">
        <v>15316</v>
      </c>
      <c r="O1843" s="213" t="s">
        <v>15317</v>
      </c>
      <c r="P1843" s="213" t="s">
        <v>15318</v>
      </c>
      <c r="Q1843" s="213" t="s">
        <v>15319</v>
      </c>
      <c r="R1843" s="213" t="s">
        <v>15320</v>
      </c>
      <c r="S1843" s="213" t="s">
        <v>15321</v>
      </c>
      <c r="T1843" s="213" t="s">
        <v>15322</v>
      </c>
      <c r="U1843" s="213" t="s">
        <v>71281</v>
      </c>
    </row>
    <row r="1844" spans="1:21" x14ac:dyDescent="0.25">
      <c r="A1844" s="213" t="s">
        <v>327</v>
      </c>
      <c r="D1844" s="213" t="s">
        <v>15323</v>
      </c>
      <c r="E1844" s="213" t="s">
        <v>15324</v>
      </c>
      <c r="K1844" s="213" t="s">
        <v>71063</v>
      </c>
      <c r="L1844" s="213" t="s">
        <v>71136</v>
      </c>
      <c r="M1844" s="213" t="s">
        <v>71209</v>
      </c>
      <c r="N1844" s="213" t="s">
        <v>15325</v>
      </c>
      <c r="O1844" s="213" t="s">
        <v>15326</v>
      </c>
      <c r="P1844" s="213" t="s">
        <v>15327</v>
      </c>
      <c r="Q1844" s="213" t="s">
        <v>15328</v>
      </c>
      <c r="R1844" s="213" t="s">
        <v>15329</v>
      </c>
      <c r="S1844" s="213" t="s">
        <v>15330</v>
      </c>
      <c r="T1844" s="213" t="s">
        <v>15331</v>
      </c>
      <c r="U1844" s="213" t="s">
        <v>71282</v>
      </c>
    </row>
    <row r="1845" spans="1:21" x14ac:dyDescent="0.25">
      <c r="A1845" s="213" t="s">
        <v>327</v>
      </c>
      <c r="D1845" s="213" t="s">
        <v>15332</v>
      </c>
      <c r="E1845" s="213" t="s">
        <v>15333</v>
      </c>
      <c r="K1845" s="213" t="s">
        <v>71064</v>
      </c>
      <c r="L1845" s="213" t="s">
        <v>71137</v>
      </c>
      <c r="M1845" s="213" t="s">
        <v>71210</v>
      </c>
      <c r="N1845" s="213" t="s">
        <v>15334</v>
      </c>
      <c r="O1845" s="213" t="s">
        <v>15335</v>
      </c>
      <c r="P1845" s="213" t="s">
        <v>15336</v>
      </c>
      <c r="Q1845" s="213" t="s">
        <v>15337</v>
      </c>
      <c r="R1845" s="213" t="s">
        <v>15338</v>
      </c>
      <c r="S1845" s="213" t="s">
        <v>15339</v>
      </c>
      <c r="T1845" s="213" t="s">
        <v>15340</v>
      </c>
      <c r="U1845" s="213" t="s">
        <v>71283</v>
      </c>
    </row>
    <row r="1846" spans="1:21" x14ac:dyDescent="0.25">
      <c r="A1846" s="213" t="s">
        <v>327</v>
      </c>
      <c r="D1846" s="213" t="s">
        <v>15341</v>
      </c>
      <c r="E1846" s="213" t="s">
        <v>15342</v>
      </c>
      <c r="K1846" s="213" t="s">
        <v>71065</v>
      </c>
      <c r="L1846" s="213" t="s">
        <v>71138</v>
      </c>
      <c r="M1846" s="213" t="s">
        <v>71211</v>
      </c>
      <c r="N1846" s="213" t="s">
        <v>15343</v>
      </c>
      <c r="O1846" s="213" t="s">
        <v>15344</v>
      </c>
      <c r="P1846" s="213" t="s">
        <v>15345</v>
      </c>
      <c r="Q1846" s="213" t="s">
        <v>15346</v>
      </c>
      <c r="R1846" s="213" t="s">
        <v>15347</v>
      </c>
      <c r="S1846" s="213" t="s">
        <v>15348</v>
      </c>
      <c r="T1846" s="213" t="s">
        <v>15349</v>
      </c>
      <c r="U1846" s="213" t="s">
        <v>71284</v>
      </c>
    </row>
    <row r="1847" spans="1:21" x14ac:dyDescent="0.25">
      <c r="A1847" s="213" t="s">
        <v>327</v>
      </c>
      <c r="D1847" s="213" t="s">
        <v>15350</v>
      </c>
      <c r="E1847" s="213" t="s">
        <v>15351</v>
      </c>
      <c r="K1847" s="213" t="s">
        <v>71066</v>
      </c>
      <c r="L1847" s="213" t="s">
        <v>71139</v>
      </c>
      <c r="M1847" s="213" t="s">
        <v>71212</v>
      </c>
      <c r="N1847" s="213" t="s">
        <v>15352</v>
      </c>
      <c r="O1847" s="213" t="s">
        <v>15353</v>
      </c>
      <c r="P1847" s="213" t="s">
        <v>15354</v>
      </c>
      <c r="Q1847" s="213" t="s">
        <v>15355</v>
      </c>
      <c r="R1847" s="213" t="s">
        <v>15356</v>
      </c>
      <c r="S1847" s="213" t="s">
        <v>15357</v>
      </c>
      <c r="T1847" s="213" t="s">
        <v>15358</v>
      </c>
      <c r="U1847" s="213" t="s">
        <v>71285</v>
      </c>
    </row>
    <row r="1848" spans="1:21" x14ac:dyDescent="0.25">
      <c r="A1848" s="213" t="s">
        <v>327</v>
      </c>
      <c r="D1848" s="213" t="s">
        <v>15359</v>
      </c>
      <c r="E1848" s="213" t="s">
        <v>15360</v>
      </c>
      <c r="K1848" s="213" t="s">
        <v>71067</v>
      </c>
      <c r="L1848" s="213" t="s">
        <v>71140</v>
      </c>
      <c r="M1848" s="213" t="s">
        <v>71213</v>
      </c>
      <c r="N1848" s="213" t="s">
        <v>15361</v>
      </c>
      <c r="O1848" s="213" t="s">
        <v>15362</v>
      </c>
      <c r="P1848" s="213" t="s">
        <v>15363</v>
      </c>
      <c r="Q1848" s="213" t="s">
        <v>15364</v>
      </c>
      <c r="R1848" s="213" t="s">
        <v>15365</v>
      </c>
      <c r="S1848" s="213" t="s">
        <v>15366</v>
      </c>
      <c r="T1848" s="213" t="s">
        <v>15367</v>
      </c>
      <c r="U1848" s="213" t="s">
        <v>71286</v>
      </c>
    </row>
    <row r="1849" spans="1:21" x14ac:dyDescent="0.25">
      <c r="A1849" s="213" t="s">
        <v>327</v>
      </c>
      <c r="D1849" s="213" t="s">
        <v>15368</v>
      </c>
      <c r="E1849" s="213" t="s">
        <v>15369</v>
      </c>
      <c r="K1849" s="213" t="s">
        <v>71068</v>
      </c>
      <c r="L1849" s="213" t="s">
        <v>71141</v>
      </c>
      <c r="M1849" s="213" t="s">
        <v>71214</v>
      </c>
      <c r="N1849" s="213" t="s">
        <v>15370</v>
      </c>
      <c r="O1849" s="213" t="s">
        <v>15371</v>
      </c>
      <c r="P1849" s="213" t="s">
        <v>15372</v>
      </c>
      <c r="Q1849" s="213" t="s">
        <v>15373</v>
      </c>
      <c r="R1849" s="213" t="s">
        <v>15374</v>
      </c>
      <c r="S1849" s="213" t="s">
        <v>15375</v>
      </c>
      <c r="T1849" s="213" t="s">
        <v>15376</v>
      </c>
      <c r="U1849" s="213" t="s">
        <v>71287</v>
      </c>
    </row>
    <row r="1850" spans="1:21" x14ac:dyDescent="0.25">
      <c r="A1850" s="213" t="s">
        <v>327</v>
      </c>
      <c r="D1850" s="213" t="s">
        <v>15377</v>
      </c>
      <c r="E1850" s="213" t="s">
        <v>15378</v>
      </c>
      <c r="K1850" s="213" t="s">
        <v>71069</v>
      </c>
      <c r="L1850" s="213" t="s">
        <v>71142</v>
      </c>
      <c r="M1850" s="213" t="s">
        <v>71215</v>
      </c>
      <c r="N1850" s="213" t="s">
        <v>15379</v>
      </c>
      <c r="O1850" s="213" t="s">
        <v>15380</v>
      </c>
      <c r="P1850" s="213" t="s">
        <v>15381</v>
      </c>
      <c r="Q1850" s="213" t="s">
        <v>15382</v>
      </c>
      <c r="R1850" s="213" t="s">
        <v>15383</v>
      </c>
      <c r="S1850" s="213" t="s">
        <v>15384</v>
      </c>
      <c r="T1850" s="213" t="s">
        <v>15385</v>
      </c>
      <c r="U1850" s="213" t="s">
        <v>71288</v>
      </c>
    </row>
    <row r="1851" spans="1:21" x14ac:dyDescent="0.25">
      <c r="A1851" s="213" t="s">
        <v>327</v>
      </c>
      <c r="D1851" s="213" t="s">
        <v>15386</v>
      </c>
      <c r="E1851" s="213" t="s">
        <v>15387</v>
      </c>
      <c r="K1851" s="213" t="s">
        <v>71070</v>
      </c>
      <c r="L1851" s="213" t="s">
        <v>71143</v>
      </c>
      <c r="M1851" s="213" t="s">
        <v>71216</v>
      </c>
      <c r="N1851" s="213" t="s">
        <v>15388</v>
      </c>
      <c r="O1851" s="213" t="s">
        <v>15389</v>
      </c>
      <c r="P1851" s="213" t="s">
        <v>15390</v>
      </c>
      <c r="Q1851" s="213" t="s">
        <v>15391</v>
      </c>
      <c r="R1851" s="213" t="s">
        <v>15392</v>
      </c>
      <c r="S1851" s="213" t="s">
        <v>15393</v>
      </c>
      <c r="T1851" s="213" t="s">
        <v>15394</v>
      </c>
      <c r="U1851" s="213" t="s">
        <v>71289</v>
      </c>
    </row>
    <row r="1852" spans="1:21" x14ac:dyDescent="0.25">
      <c r="A1852" s="213" t="s">
        <v>327</v>
      </c>
      <c r="D1852" s="213" t="s">
        <v>15395</v>
      </c>
      <c r="E1852" s="213" t="s">
        <v>15396</v>
      </c>
      <c r="K1852" s="213" t="s">
        <v>71071</v>
      </c>
      <c r="L1852" s="213" t="s">
        <v>71144</v>
      </c>
      <c r="M1852" s="213" t="s">
        <v>71217</v>
      </c>
      <c r="N1852" s="213" t="s">
        <v>15397</v>
      </c>
      <c r="O1852" s="213" t="s">
        <v>15398</v>
      </c>
      <c r="P1852" s="213" t="s">
        <v>15399</v>
      </c>
      <c r="Q1852" s="213" t="s">
        <v>15400</v>
      </c>
      <c r="R1852" s="213" t="s">
        <v>15401</v>
      </c>
      <c r="S1852" s="213" t="s">
        <v>15402</v>
      </c>
      <c r="T1852" s="213" t="s">
        <v>15403</v>
      </c>
      <c r="U1852" s="213" t="s">
        <v>71290</v>
      </c>
    </row>
    <row r="1853" spans="1:21" x14ac:dyDescent="0.25">
      <c r="A1853" s="213" t="s">
        <v>327</v>
      </c>
      <c r="D1853" s="213" t="s">
        <v>15404</v>
      </c>
      <c r="E1853" s="213" t="s">
        <v>15405</v>
      </c>
      <c r="K1853" s="213" t="s">
        <v>71072</v>
      </c>
      <c r="L1853" s="213" t="s">
        <v>71145</v>
      </c>
      <c r="M1853" s="213" t="s">
        <v>71218</v>
      </c>
      <c r="N1853" s="213" t="s">
        <v>15406</v>
      </c>
      <c r="O1853" s="213" t="s">
        <v>15407</v>
      </c>
      <c r="P1853" s="213" t="s">
        <v>15408</v>
      </c>
      <c r="Q1853" s="213" t="s">
        <v>15409</v>
      </c>
      <c r="R1853" s="213" t="s">
        <v>15410</v>
      </c>
      <c r="S1853" s="213" t="s">
        <v>15411</v>
      </c>
      <c r="T1853" s="213" t="s">
        <v>15412</v>
      </c>
      <c r="U1853" s="213" t="s">
        <v>71291</v>
      </c>
    </row>
    <row r="1854" spans="1:21" x14ac:dyDescent="0.25">
      <c r="A1854" s="213" t="s">
        <v>327</v>
      </c>
      <c r="D1854" s="213" t="s">
        <v>15413</v>
      </c>
      <c r="E1854" s="213" t="s">
        <v>15414</v>
      </c>
      <c r="K1854" s="213" t="s">
        <v>71073</v>
      </c>
      <c r="L1854" s="213" t="s">
        <v>71146</v>
      </c>
      <c r="M1854" s="213" t="s">
        <v>71219</v>
      </c>
      <c r="N1854" s="213" t="s">
        <v>15415</v>
      </c>
      <c r="O1854" s="213" t="s">
        <v>15416</v>
      </c>
      <c r="P1854" s="213" t="s">
        <v>15417</v>
      </c>
      <c r="Q1854" s="213" t="s">
        <v>15418</v>
      </c>
      <c r="R1854" s="213" t="s">
        <v>15419</v>
      </c>
      <c r="S1854" s="213" t="s">
        <v>15420</v>
      </c>
      <c r="T1854" s="213" t="s">
        <v>15421</v>
      </c>
      <c r="U1854" s="213" t="s">
        <v>71292</v>
      </c>
    </row>
    <row r="1855" spans="1:21" x14ac:dyDescent="0.25">
      <c r="A1855" s="213" t="s">
        <v>327</v>
      </c>
      <c r="D1855" s="213" t="s">
        <v>15422</v>
      </c>
      <c r="E1855" s="213" t="s">
        <v>15423</v>
      </c>
      <c r="K1855" s="213" t="s">
        <v>71074</v>
      </c>
      <c r="L1855" s="213" t="s">
        <v>71147</v>
      </c>
      <c r="M1855" s="213" t="s">
        <v>71220</v>
      </c>
      <c r="N1855" s="213" t="s">
        <v>15424</v>
      </c>
      <c r="O1855" s="213" t="s">
        <v>15425</v>
      </c>
      <c r="P1855" s="213" t="s">
        <v>15426</v>
      </c>
      <c r="Q1855" s="213" t="s">
        <v>15427</v>
      </c>
      <c r="R1855" s="213" t="s">
        <v>15428</v>
      </c>
      <c r="S1855" s="213" t="s">
        <v>15429</v>
      </c>
      <c r="T1855" s="213" t="s">
        <v>15430</v>
      </c>
      <c r="U1855" s="213" t="s">
        <v>71293</v>
      </c>
    </row>
    <row r="1856" spans="1:21" x14ac:dyDescent="0.25">
      <c r="A1856" s="213" t="s">
        <v>327</v>
      </c>
      <c r="D1856" s="213" t="s">
        <v>15431</v>
      </c>
      <c r="E1856" s="213" t="s">
        <v>15432</v>
      </c>
      <c r="K1856" s="213" t="s">
        <v>71075</v>
      </c>
      <c r="L1856" s="213" t="s">
        <v>71148</v>
      </c>
      <c r="M1856" s="213" t="s">
        <v>71221</v>
      </c>
      <c r="N1856" s="213" t="s">
        <v>15433</v>
      </c>
      <c r="O1856" s="213" t="s">
        <v>15434</v>
      </c>
      <c r="P1856" s="213" t="s">
        <v>15435</v>
      </c>
      <c r="Q1856" s="213" t="s">
        <v>15436</v>
      </c>
      <c r="R1856" s="213" t="s">
        <v>15437</v>
      </c>
      <c r="S1856" s="213" t="s">
        <v>15438</v>
      </c>
      <c r="T1856" s="213" t="s">
        <v>15439</v>
      </c>
      <c r="U1856" s="213" t="s">
        <v>71294</v>
      </c>
    </row>
    <row r="1857" spans="1:21" x14ac:dyDescent="0.25">
      <c r="A1857" s="213" t="s">
        <v>327</v>
      </c>
      <c r="D1857" s="213" t="s">
        <v>15440</v>
      </c>
      <c r="E1857" s="213" t="s">
        <v>15441</v>
      </c>
      <c r="K1857" s="213" t="s">
        <v>71076</v>
      </c>
      <c r="L1857" s="213" t="s">
        <v>71149</v>
      </c>
      <c r="M1857" s="213" t="s">
        <v>71222</v>
      </c>
      <c r="N1857" s="213" t="s">
        <v>15442</v>
      </c>
      <c r="O1857" s="213" t="s">
        <v>15443</v>
      </c>
      <c r="P1857" s="213" t="s">
        <v>15444</v>
      </c>
      <c r="Q1857" s="213" t="s">
        <v>15445</v>
      </c>
      <c r="R1857" s="213" t="s">
        <v>15446</v>
      </c>
      <c r="S1857" s="213" t="s">
        <v>15447</v>
      </c>
      <c r="T1857" s="213" t="s">
        <v>15448</v>
      </c>
      <c r="U1857" s="213" t="s">
        <v>71295</v>
      </c>
    </row>
    <row r="1858" spans="1:21" x14ac:dyDescent="0.25">
      <c r="A1858" s="213" t="s">
        <v>327</v>
      </c>
      <c r="D1858" s="213" t="s">
        <v>15449</v>
      </c>
      <c r="E1858" s="213" t="s">
        <v>15450</v>
      </c>
      <c r="K1858" s="213" t="s">
        <v>71077</v>
      </c>
      <c r="L1858" s="213" t="s">
        <v>71150</v>
      </c>
      <c r="M1858" s="213" t="s">
        <v>71223</v>
      </c>
      <c r="N1858" s="213" t="s">
        <v>15451</v>
      </c>
      <c r="O1858" s="213" t="s">
        <v>15452</v>
      </c>
      <c r="P1858" s="213" t="s">
        <v>15453</v>
      </c>
      <c r="Q1858" s="213" t="s">
        <v>15454</v>
      </c>
      <c r="R1858" s="213" t="s">
        <v>15455</v>
      </c>
      <c r="S1858" s="213" t="s">
        <v>15456</v>
      </c>
      <c r="T1858" s="213" t="s">
        <v>15457</v>
      </c>
      <c r="U1858" s="213" t="s">
        <v>71296</v>
      </c>
    </row>
    <row r="1859" spans="1:21" x14ac:dyDescent="0.25">
      <c r="A1859" s="213" t="s">
        <v>327</v>
      </c>
      <c r="D1859" s="213" t="s">
        <v>15458</v>
      </c>
      <c r="E1859" s="213" t="s">
        <v>15459</v>
      </c>
      <c r="K1859" s="213" t="s">
        <v>71078</v>
      </c>
      <c r="L1859" s="213" t="s">
        <v>71151</v>
      </c>
      <c r="M1859" s="213" t="s">
        <v>71224</v>
      </c>
      <c r="N1859" s="213" t="s">
        <v>15460</v>
      </c>
      <c r="O1859" s="213" t="s">
        <v>15461</v>
      </c>
      <c r="P1859" s="213" t="s">
        <v>15462</v>
      </c>
      <c r="Q1859" s="213" t="s">
        <v>15463</v>
      </c>
      <c r="R1859" s="213" t="s">
        <v>15464</v>
      </c>
      <c r="S1859" s="213" t="s">
        <v>15465</v>
      </c>
      <c r="T1859" s="213" t="s">
        <v>15466</v>
      </c>
      <c r="U1859" s="213" t="s">
        <v>71297</v>
      </c>
    </row>
    <row r="1860" spans="1:21" x14ac:dyDescent="0.25">
      <c r="A1860" s="213" t="s">
        <v>327</v>
      </c>
      <c r="D1860" s="213" t="s">
        <v>15467</v>
      </c>
      <c r="E1860" s="213" t="s">
        <v>15468</v>
      </c>
      <c r="K1860" s="213" t="s">
        <v>71079</v>
      </c>
      <c r="L1860" s="213" t="s">
        <v>71152</v>
      </c>
      <c r="M1860" s="213" t="s">
        <v>71225</v>
      </c>
      <c r="N1860" s="213" t="s">
        <v>15469</v>
      </c>
      <c r="O1860" s="213" t="s">
        <v>15470</v>
      </c>
      <c r="P1860" s="213" t="s">
        <v>15471</v>
      </c>
      <c r="Q1860" s="213" t="s">
        <v>15472</v>
      </c>
      <c r="R1860" s="213" t="s">
        <v>15473</v>
      </c>
      <c r="S1860" s="213" t="s">
        <v>15474</v>
      </c>
      <c r="T1860" s="213" t="s">
        <v>15475</v>
      </c>
      <c r="U1860" s="213" t="s">
        <v>71298</v>
      </c>
    </row>
    <row r="1861" spans="1:21" x14ac:dyDescent="0.25">
      <c r="A1861" s="213" t="s">
        <v>327</v>
      </c>
      <c r="D1861" s="213" t="s">
        <v>15476</v>
      </c>
      <c r="E1861" s="213" t="s">
        <v>15477</v>
      </c>
      <c r="K1861" s="213" t="s">
        <v>71080</v>
      </c>
      <c r="L1861" s="213" t="s">
        <v>71153</v>
      </c>
      <c r="M1861" s="213" t="s">
        <v>71226</v>
      </c>
      <c r="N1861" s="213" t="s">
        <v>15478</v>
      </c>
      <c r="O1861" s="213" t="s">
        <v>15479</v>
      </c>
      <c r="P1861" s="213" t="s">
        <v>15480</v>
      </c>
      <c r="Q1861" s="213" t="s">
        <v>15481</v>
      </c>
      <c r="R1861" s="213" t="s">
        <v>15482</v>
      </c>
      <c r="S1861" s="213" t="s">
        <v>15483</v>
      </c>
      <c r="T1861" s="213" t="s">
        <v>15484</v>
      </c>
      <c r="U1861" s="213" t="s">
        <v>71299</v>
      </c>
    </row>
    <row r="1862" spans="1:21" x14ac:dyDescent="0.25">
      <c r="A1862" s="213" t="s">
        <v>327</v>
      </c>
      <c r="D1862" s="213" t="s">
        <v>15485</v>
      </c>
      <c r="E1862" s="213" t="s">
        <v>15486</v>
      </c>
      <c r="K1862" s="213" t="s">
        <v>71081</v>
      </c>
      <c r="L1862" s="213" t="s">
        <v>71154</v>
      </c>
      <c r="M1862" s="213" t="s">
        <v>71227</v>
      </c>
      <c r="N1862" s="213" t="s">
        <v>15487</v>
      </c>
      <c r="O1862" s="213" t="s">
        <v>15488</v>
      </c>
      <c r="P1862" s="213" t="s">
        <v>15489</v>
      </c>
      <c r="Q1862" s="213" t="s">
        <v>15490</v>
      </c>
      <c r="R1862" s="213" t="s">
        <v>15491</v>
      </c>
      <c r="S1862" s="213" t="s">
        <v>15492</v>
      </c>
      <c r="T1862" s="213" t="s">
        <v>15493</v>
      </c>
      <c r="U1862" s="213" t="s">
        <v>71300</v>
      </c>
    </row>
    <row r="1863" spans="1:21" x14ac:dyDescent="0.25">
      <c r="A1863" s="213" t="s">
        <v>327</v>
      </c>
      <c r="D1863" s="213" t="s">
        <v>15494</v>
      </c>
      <c r="E1863" s="213" t="s">
        <v>15495</v>
      </c>
      <c r="K1863" s="213" t="s">
        <v>71082</v>
      </c>
      <c r="L1863" s="213" t="s">
        <v>71155</v>
      </c>
      <c r="M1863" s="213" t="s">
        <v>71228</v>
      </c>
      <c r="N1863" s="213" t="s">
        <v>15496</v>
      </c>
      <c r="O1863" s="213" t="s">
        <v>15497</v>
      </c>
      <c r="P1863" s="213" t="s">
        <v>15498</v>
      </c>
      <c r="Q1863" s="213" t="s">
        <v>15499</v>
      </c>
      <c r="R1863" s="213" t="s">
        <v>15500</v>
      </c>
      <c r="S1863" s="213" t="s">
        <v>15501</v>
      </c>
      <c r="T1863" s="213" t="s">
        <v>15502</v>
      </c>
      <c r="U1863" s="213" t="s">
        <v>71301</v>
      </c>
    </row>
    <row r="1864" spans="1:21" x14ac:dyDescent="0.25">
      <c r="A1864" s="213" t="s">
        <v>327</v>
      </c>
      <c r="D1864" s="213" t="s">
        <v>15503</v>
      </c>
      <c r="E1864" s="213" t="s">
        <v>15504</v>
      </c>
      <c r="K1864" s="213" t="s">
        <v>71083</v>
      </c>
      <c r="L1864" s="213" t="s">
        <v>71156</v>
      </c>
      <c r="M1864" s="213" t="s">
        <v>71229</v>
      </c>
      <c r="N1864" s="213" t="s">
        <v>15505</v>
      </c>
      <c r="O1864" s="213" t="s">
        <v>15506</v>
      </c>
      <c r="P1864" s="213" t="s">
        <v>15507</v>
      </c>
      <c r="Q1864" s="213" t="s">
        <v>15508</v>
      </c>
      <c r="R1864" s="213" t="s">
        <v>15509</v>
      </c>
      <c r="S1864" s="213" t="s">
        <v>15510</v>
      </c>
      <c r="T1864" s="213" t="s">
        <v>15511</v>
      </c>
      <c r="U1864" s="213" t="s">
        <v>71302</v>
      </c>
    </row>
    <row r="1865" spans="1:21" x14ac:dyDescent="0.25">
      <c r="A1865" s="213" t="s">
        <v>327</v>
      </c>
      <c r="D1865" s="213" t="s">
        <v>15512</v>
      </c>
      <c r="E1865" s="213" t="s">
        <v>15513</v>
      </c>
      <c r="K1865" s="213" t="s">
        <v>71084</v>
      </c>
      <c r="L1865" s="213" t="s">
        <v>71157</v>
      </c>
      <c r="M1865" s="213" t="s">
        <v>71230</v>
      </c>
      <c r="N1865" s="213" t="s">
        <v>15514</v>
      </c>
      <c r="O1865" s="213" t="s">
        <v>15515</v>
      </c>
      <c r="P1865" s="213" t="s">
        <v>15516</v>
      </c>
      <c r="Q1865" s="213" t="s">
        <v>15517</v>
      </c>
      <c r="R1865" s="213" t="s">
        <v>15518</v>
      </c>
      <c r="S1865" s="213" t="s">
        <v>15519</v>
      </c>
      <c r="T1865" s="213" t="s">
        <v>15520</v>
      </c>
      <c r="U1865" s="213" t="s">
        <v>71303</v>
      </c>
    </row>
    <row r="1866" spans="1:21" x14ac:dyDescent="0.25">
      <c r="A1866" s="213" t="s">
        <v>327</v>
      </c>
      <c r="D1866" s="213" t="s">
        <v>15521</v>
      </c>
      <c r="E1866" s="213" t="s">
        <v>15522</v>
      </c>
      <c r="K1866" s="213" t="s">
        <v>71085</v>
      </c>
      <c r="L1866" s="213" t="s">
        <v>71158</v>
      </c>
      <c r="M1866" s="213" t="s">
        <v>71231</v>
      </c>
      <c r="N1866" s="213" t="s">
        <v>15523</v>
      </c>
      <c r="O1866" s="213" t="s">
        <v>15524</v>
      </c>
      <c r="P1866" s="213" t="s">
        <v>15525</v>
      </c>
      <c r="Q1866" s="213" t="s">
        <v>15526</v>
      </c>
      <c r="R1866" s="213" t="s">
        <v>15527</v>
      </c>
      <c r="S1866" s="213" t="s">
        <v>15528</v>
      </c>
      <c r="T1866" s="213" t="s">
        <v>15529</v>
      </c>
      <c r="U1866" s="213" t="s">
        <v>71304</v>
      </c>
    </row>
    <row r="1867" spans="1:21" x14ac:dyDescent="0.25">
      <c r="A1867" s="213" t="s">
        <v>327</v>
      </c>
      <c r="D1867" s="213" t="s">
        <v>15530</v>
      </c>
      <c r="E1867" s="213" t="s">
        <v>15531</v>
      </c>
      <c r="K1867" s="213" t="s">
        <v>71086</v>
      </c>
      <c r="L1867" s="213" t="s">
        <v>71159</v>
      </c>
      <c r="M1867" s="213" t="s">
        <v>71232</v>
      </c>
      <c r="N1867" s="213" t="s">
        <v>15532</v>
      </c>
      <c r="O1867" s="213" t="s">
        <v>15533</v>
      </c>
      <c r="P1867" s="213" t="s">
        <v>15534</v>
      </c>
      <c r="Q1867" s="213" t="s">
        <v>15535</v>
      </c>
      <c r="R1867" s="213" t="s">
        <v>15536</v>
      </c>
      <c r="S1867" s="213" t="s">
        <v>15537</v>
      </c>
      <c r="T1867" s="213" t="s">
        <v>15538</v>
      </c>
      <c r="U1867" s="213" t="s">
        <v>71305</v>
      </c>
    </row>
    <row r="1868" spans="1:21" x14ac:dyDescent="0.25">
      <c r="A1868" s="213" t="s">
        <v>327</v>
      </c>
      <c r="D1868" s="213" t="s">
        <v>15539</v>
      </c>
      <c r="E1868" s="213" t="s">
        <v>15540</v>
      </c>
      <c r="K1868" s="213" t="s">
        <v>71087</v>
      </c>
      <c r="L1868" s="213" t="s">
        <v>71160</v>
      </c>
      <c r="M1868" s="213" t="s">
        <v>71233</v>
      </c>
      <c r="N1868" s="213" t="s">
        <v>15541</v>
      </c>
      <c r="O1868" s="213" t="s">
        <v>15542</v>
      </c>
      <c r="P1868" s="213" t="s">
        <v>15543</v>
      </c>
      <c r="Q1868" s="213" t="s">
        <v>15544</v>
      </c>
      <c r="R1868" s="213" t="s">
        <v>15545</v>
      </c>
      <c r="S1868" s="213" t="s">
        <v>15546</v>
      </c>
      <c r="T1868" s="213" t="s">
        <v>15547</v>
      </c>
      <c r="U1868" s="213" t="s">
        <v>71306</v>
      </c>
    </row>
    <row r="1869" spans="1:21" x14ac:dyDescent="0.25">
      <c r="A1869" s="213" t="s">
        <v>327</v>
      </c>
      <c r="D1869" s="213" t="s">
        <v>15548</v>
      </c>
      <c r="E1869" s="213" t="s">
        <v>15549</v>
      </c>
      <c r="K1869" s="213" t="s">
        <v>71088</v>
      </c>
      <c r="L1869" s="213" t="s">
        <v>71161</v>
      </c>
      <c r="M1869" s="213" t="s">
        <v>71234</v>
      </c>
      <c r="N1869" s="213" t="s">
        <v>15550</v>
      </c>
      <c r="O1869" s="213" t="s">
        <v>15551</v>
      </c>
      <c r="P1869" s="213" t="s">
        <v>15552</v>
      </c>
      <c r="Q1869" s="213" t="s">
        <v>15553</v>
      </c>
      <c r="R1869" s="213" t="s">
        <v>15554</v>
      </c>
      <c r="S1869" s="213" t="s">
        <v>15555</v>
      </c>
      <c r="T1869" s="213" t="s">
        <v>15556</v>
      </c>
      <c r="U1869" s="213" t="s">
        <v>71307</v>
      </c>
    </row>
    <row r="1870" spans="1:21" x14ac:dyDescent="0.25">
      <c r="A1870" s="213" t="s">
        <v>327</v>
      </c>
      <c r="D1870" s="213" t="s">
        <v>15557</v>
      </c>
      <c r="E1870" s="213" t="s">
        <v>15558</v>
      </c>
      <c r="K1870" s="213" t="s">
        <v>71089</v>
      </c>
      <c r="L1870" s="213" t="s">
        <v>71162</v>
      </c>
      <c r="M1870" s="213" t="s">
        <v>71235</v>
      </c>
      <c r="N1870" s="213" t="s">
        <v>15559</v>
      </c>
      <c r="O1870" s="213" t="s">
        <v>15560</v>
      </c>
      <c r="P1870" s="213" t="s">
        <v>15561</v>
      </c>
      <c r="Q1870" s="213" t="s">
        <v>15562</v>
      </c>
      <c r="R1870" s="213" t="s">
        <v>15563</v>
      </c>
      <c r="S1870" s="213" t="s">
        <v>15564</v>
      </c>
      <c r="T1870" s="213" t="s">
        <v>15565</v>
      </c>
      <c r="U1870" s="213" t="s">
        <v>71308</v>
      </c>
    </row>
    <row r="1871" spans="1:21" x14ac:dyDescent="0.25">
      <c r="A1871" s="213" t="s">
        <v>327</v>
      </c>
      <c r="D1871" s="213" t="s">
        <v>15566</v>
      </c>
      <c r="E1871" s="213" t="s">
        <v>15567</v>
      </c>
      <c r="K1871" s="213" t="s">
        <v>71090</v>
      </c>
      <c r="L1871" s="213" t="s">
        <v>71163</v>
      </c>
      <c r="M1871" s="213" t="s">
        <v>71236</v>
      </c>
      <c r="N1871" s="213" t="s">
        <v>15568</v>
      </c>
      <c r="O1871" s="213" t="s">
        <v>15569</v>
      </c>
      <c r="P1871" s="213" t="s">
        <v>15570</v>
      </c>
      <c r="Q1871" s="213" t="s">
        <v>15571</v>
      </c>
      <c r="R1871" s="213" t="s">
        <v>15572</v>
      </c>
      <c r="S1871" s="213" t="s">
        <v>15573</v>
      </c>
      <c r="T1871" s="213" t="s">
        <v>15574</v>
      </c>
      <c r="U1871" s="213" t="s">
        <v>71309</v>
      </c>
    </row>
    <row r="1872" spans="1:21" x14ac:dyDescent="0.25">
      <c r="A1872" s="213" t="s">
        <v>327</v>
      </c>
      <c r="D1872" s="213" t="s">
        <v>15575</v>
      </c>
      <c r="E1872" s="213" t="s">
        <v>15576</v>
      </c>
      <c r="K1872" s="213" t="s">
        <v>71091</v>
      </c>
      <c r="L1872" s="213" t="s">
        <v>71164</v>
      </c>
      <c r="M1872" s="213" t="s">
        <v>71237</v>
      </c>
      <c r="N1872" s="213" t="s">
        <v>15577</v>
      </c>
      <c r="O1872" s="213" t="s">
        <v>15578</v>
      </c>
      <c r="P1872" s="213" t="s">
        <v>15579</v>
      </c>
      <c r="Q1872" s="213" t="s">
        <v>15580</v>
      </c>
      <c r="R1872" s="213" t="s">
        <v>15581</v>
      </c>
      <c r="S1872" s="213" t="s">
        <v>15582</v>
      </c>
      <c r="T1872" s="213" t="s">
        <v>15583</v>
      </c>
      <c r="U1872" s="213" t="s">
        <v>71310</v>
      </c>
    </row>
    <row r="1873" spans="1:21" x14ac:dyDescent="0.25">
      <c r="A1873" s="213" t="s">
        <v>327</v>
      </c>
      <c r="D1873" s="213" t="s">
        <v>15584</v>
      </c>
      <c r="E1873" s="213" t="s">
        <v>15585</v>
      </c>
      <c r="K1873" s="213" t="s">
        <v>71092</v>
      </c>
      <c r="L1873" s="213" t="s">
        <v>71165</v>
      </c>
      <c r="M1873" s="213" t="s">
        <v>71238</v>
      </c>
      <c r="N1873" s="213" t="s">
        <v>15586</v>
      </c>
      <c r="O1873" s="213" t="s">
        <v>15587</v>
      </c>
      <c r="P1873" s="213" t="s">
        <v>15588</v>
      </c>
      <c r="Q1873" s="213" t="s">
        <v>15589</v>
      </c>
      <c r="R1873" s="213" t="s">
        <v>15590</v>
      </c>
      <c r="S1873" s="213" t="s">
        <v>15591</v>
      </c>
      <c r="T1873" s="213" t="s">
        <v>15592</v>
      </c>
      <c r="U1873" s="213" t="s">
        <v>71311</v>
      </c>
    </row>
    <row r="1874" spans="1:21" x14ac:dyDescent="0.25">
      <c r="A1874" s="213" t="s">
        <v>327</v>
      </c>
      <c r="D1874" s="213" t="s">
        <v>15593</v>
      </c>
      <c r="E1874" s="213" t="s">
        <v>15594</v>
      </c>
      <c r="K1874" s="213" t="s">
        <v>71093</v>
      </c>
      <c r="L1874" s="213" t="s">
        <v>71166</v>
      </c>
      <c r="M1874" s="213" t="s">
        <v>71239</v>
      </c>
      <c r="N1874" s="213" t="s">
        <v>15595</v>
      </c>
      <c r="O1874" s="213" t="s">
        <v>15596</v>
      </c>
      <c r="P1874" s="213" t="s">
        <v>15597</v>
      </c>
      <c r="Q1874" s="213" t="s">
        <v>15598</v>
      </c>
      <c r="R1874" s="213" t="s">
        <v>15599</v>
      </c>
      <c r="S1874" s="213" t="s">
        <v>15600</v>
      </c>
      <c r="T1874" s="213" t="s">
        <v>15601</v>
      </c>
      <c r="U1874" s="213" t="s">
        <v>71312</v>
      </c>
    </row>
    <row r="1875" spans="1:21" x14ac:dyDescent="0.25">
      <c r="A1875" s="213" t="s">
        <v>327</v>
      </c>
      <c r="D1875" s="213" t="s">
        <v>15602</v>
      </c>
      <c r="E1875" s="213" t="s">
        <v>15603</v>
      </c>
      <c r="K1875" s="213" t="s">
        <v>71094</v>
      </c>
      <c r="L1875" s="213" t="s">
        <v>71167</v>
      </c>
      <c r="M1875" s="213" t="s">
        <v>71240</v>
      </c>
      <c r="N1875" s="213" t="s">
        <v>15604</v>
      </c>
      <c r="O1875" s="213" t="s">
        <v>15605</v>
      </c>
      <c r="P1875" s="213" t="s">
        <v>15606</v>
      </c>
      <c r="Q1875" s="213" t="s">
        <v>15607</v>
      </c>
      <c r="R1875" s="213" t="s">
        <v>15608</v>
      </c>
      <c r="S1875" s="213" t="s">
        <v>15609</v>
      </c>
      <c r="T1875" s="213" t="s">
        <v>15610</v>
      </c>
      <c r="U1875" s="213" t="s">
        <v>71313</v>
      </c>
    </row>
    <row r="1876" spans="1:21" x14ac:dyDescent="0.25">
      <c r="A1876" s="213" t="s">
        <v>327</v>
      </c>
      <c r="D1876" s="213" t="s">
        <v>15611</v>
      </c>
      <c r="E1876" s="213" t="s">
        <v>15612</v>
      </c>
      <c r="K1876" s="213" t="s">
        <v>71095</v>
      </c>
      <c r="L1876" s="213" t="s">
        <v>71168</v>
      </c>
      <c r="M1876" s="213" t="s">
        <v>71241</v>
      </c>
      <c r="N1876" s="213" t="s">
        <v>15613</v>
      </c>
      <c r="O1876" s="213" t="s">
        <v>15614</v>
      </c>
      <c r="P1876" s="213" t="s">
        <v>15615</v>
      </c>
      <c r="Q1876" s="213" t="s">
        <v>15616</v>
      </c>
      <c r="R1876" s="213" t="s">
        <v>15617</v>
      </c>
      <c r="S1876" s="213" t="s">
        <v>15618</v>
      </c>
      <c r="T1876" s="213" t="s">
        <v>15619</v>
      </c>
      <c r="U1876" s="213" t="s">
        <v>71314</v>
      </c>
    </row>
    <row r="1877" spans="1:21" x14ac:dyDescent="0.25">
      <c r="A1877" s="213" t="s">
        <v>327</v>
      </c>
      <c r="D1877" s="213" t="s">
        <v>15620</v>
      </c>
      <c r="E1877" s="213" t="s">
        <v>15621</v>
      </c>
      <c r="K1877" s="213" t="s">
        <v>71096</v>
      </c>
      <c r="L1877" s="213" t="s">
        <v>71169</v>
      </c>
      <c r="M1877" s="213" t="s">
        <v>71242</v>
      </c>
      <c r="N1877" s="213" t="s">
        <v>15622</v>
      </c>
      <c r="O1877" s="213" t="s">
        <v>15623</v>
      </c>
      <c r="P1877" s="213" t="s">
        <v>15624</v>
      </c>
      <c r="Q1877" s="213" t="s">
        <v>15625</v>
      </c>
      <c r="R1877" s="213" t="s">
        <v>15626</v>
      </c>
      <c r="S1877" s="213" t="s">
        <v>15627</v>
      </c>
      <c r="T1877" s="213" t="s">
        <v>15628</v>
      </c>
      <c r="U1877" s="213" t="s">
        <v>71315</v>
      </c>
    </row>
    <row r="1878" spans="1:21" x14ac:dyDescent="0.25">
      <c r="A1878" s="213" t="s">
        <v>327</v>
      </c>
      <c r="D1878" s="213" t="s">
        <v>15629</v>
      </c>
      <c r="E1878" s="213" t="s">
        <v>15630</v>
      </c>
      <c r="K1878" s="213" t="s">
        <v>71097</v>
      </c>
      <c r="L1878" s="213" t="s">
        <v>71170</v>
      </c>
      <c r="M1878" s="213" t="s">
        <v>71243</v>
      </c>
      <c r="N1878" s="213" t="s">
        <v>15631</v>
      </c>
      <c r="O1878" s="213" t="s">
        <v>15632</v>
      </c>
      <c r="P1878" s="213" t="s">
        <v>15633</v>
      </c>
      <c r="Q1878" s="213" t="s">
        <v>15634</v>
      </c>
      <c r="R1878" s="213" t="s">
        <v>15635</v>
      </c>
      <c r="S1878" s="213" t="s">
        <v>15636</v>
      </c>
      <c r="T1878" s="213" t="s">
        <v>15637</v>
      </c>
      <c r="U1878" s="213" t="s">
        <v>71316</v>
      </c>
    </row>
    <row r="1879" spans="1:21" x14ac:dyDescent="0.25">
      <c r="A1879" s="213" t="s">
        <v>327</v>
      </c>
      <c r="D1879" s="213" t="s">
        <v>15638</v>
      </c>
      <c r="E1879" s="213" t="s">
        <v>15639</v>
      </c>
      <c r="K1879" s="213" t="s">
        <v>71098</v>
      </c>
      <c r="L1879" s="213" t="s">
        <v>71171</v>
      </c>
      <c r="M1879" s="213" t="s">
        <v>71244</v>
      </c>
      <c r="N1879" s="213" t="s">
        <v>15640</v>
      </c>
      <c r="O1879" s="213" t="s">
        <v>15641</v>
      </c>
      <c r="P1879" s="213" t="s">
        <v>15642</v>
      </c>
      <c r="Q1879" s="213" t="s">
        <v>15643</v>
      </c>
      <c r="R1879" s="213" t="s">
        <v>15644</v>
      </c>
      <c r="S1879" s="213" t="s">
        <v>15645</v>
      </c>
      <c r="T1879" s="213" t="s">
        <v>15646</v>
      </c>
      <c r="U1879" s="213" t="s">
        <v>71317</v>
      </c>
    </row>
    <row r="1880" spans="1:21" x14ac:dyDescent="0.25">
      <c r="A1880" s="213" t="s">
        <v>327</v>
      </c>
      <c r="D1880" s="213" t="s">
        <v>15647</v>
      </c>
      <c r="E1880" s="213" t="s">
        <v>15648</v>
      </c>
      <c r="K1880" s="213" t="s">
        <v>71099</v>
      </c>
      <c r="L1880" s="213" t="s">
        <v>71172</v>
      </c>
      <c r="M1880" s="213" t="s">
        <v>71245</v>
      </c>
      <c r="N1880" s="213" t="s">
        <v>15649</v>
      </c>
      <c r="O1880" s="213" t="s">
        <v>15650</v>
      </c>
      <c r="P1880" s="213" t="s">
        <v>15651</v>
      </c>
      <c r="Q1880" s="213" t="s">
        <v>15652</v>
      </c>
      <c r="R1880" s="213" t="s">
        <v>15653</v>
      </c>
      <c r="S1880" s="213" t="s">
        <v>15654</v>
      </c>
      <c r="T1880" s="213" t="s">
        <v>15655</v>
      </c>
      <c r="U1880" s="213" t="s">
        <v>71318</v>
      </c>
    </row>
    <row r="1881" spans="1:21" x14ac:dyDescent="0.25">
      <c r="A1881" s="213" t="s">
        <v>327</v>
      </c>
      <c r="D1881" s="213" t="s">
        <v>15656</v>
      </c>
      <c r="E1881" s="213" t="s">
        <v>15657</v>
      </c>
      <c r="K1881" s="213" t="s">
        <v>71100</v>
      </c>
      <c r="L1881" s="213" t="s">
        <v>71173</v>
      </c>
      <c r="M1881" s="213" t="s">
        <v>71246</v>
      </c>
      <c r="N1881" s="213" t="s">
        <v>15658</v>
      </c>
      <c r="O1881" s="213" t="s">
        <v>15659</v>
      </c>
      <c r="P1881" s="213" t="s">
        <v>15660</v>
      </c>
      <c r="Q1881" s="213" t="s">
        <v>15661</v>
      </c>
      <c r="R1881" s="213" t="s">
        <v>15662</v>
      </c>
      <c r="S1881" s="213" t="s">
        <v>15663</v>
      </c>
      <c r="T1881" s="213" t="s">
        <v>15664</v>
      </c>
      <c r="U1881" s="213" t="s">
        <v>71319</v>
      </c>
    </row>
    <row r="1882" spans="1:21" x14ac:dyDescent="0.25">
      <c r="A1882" s="213" t="s">
        <v>327</v>
      </c>
      <c r="D1882" s="213" t="s">
        <v>15665</v>
      </c>
      <c r="E1882" s="213" t="s">
        <v>15666</v>
      </c>
      <c r="K1882" s="213" t="s">
        <v>71101</v>
      </c>
      <c r="L1882" s="213" t="s">
        <v>71174</v>
      </c>
      <c r="M1882" s="213" t="s">
        <v>71247</v>
      </c>
      <c r="N1882" s="213" t="s">
        <v>15667</v>
      </c>
      <c r="O1882" s="213" t="s">
        <v>15668</v>
      </c>
      <c r="P1882" s="213" t="s">
        <v>15669</v>
      </c>
      <c r="Q1882" s="213" t="s">
        <v>15670</v>
      </c>
      <c r="R1882" s="213" t="s">
        <v>15671</v>
      </c>
      <c r="S1882" s="213" t="s">
        <v>15672</v>
      </c>
      <c r="T1882" s="213" t="s">
        <v>15673</v>
      </c>
      <c r="U1882" s="213" t="s">
        <v>71320</v>
      </c>
    </row>
    <row r="1883" spans="1:21" x14ac:dyDescent="0.25">
      <c r="A1883" s="213" t="s">
        <v>327</v>
      </c>
      <c r="D1883" s="213" t="s">
        <v>15674</v>
      </c>
      <c r="E1883" s="213" t="s">
        <v>15675</v>
      </c>
      <c r="K1883" s="213" t="s">
        <v>71102</v>
      </c>
      <c r="L1883" s="213" t="s">
        <v>71175</v>
      </c>
      <c r="M1883" s="213" t="s">
        <v>71248</v>
      </c>
      <c r="N1883" s="213" t="s">
        <v>15676</v>
      </c>
      <c r="O1883" s="213" t="s">
        <v>15677</v>
      </c>
      <c r="P1883" s="213" t="s">
        <v>15678</v>
      </c>
      <c r="Q1883" s="213" t="s">
        <v>15679</v>
      </c>
      <c r="R1883" s="213" t="s">
        <v>15680</v>
      </c>
      <c r="S1883" s="213" t="s">
        <v>15681</v>
      </c>
      <c r="T1883" s="213" t="s">
        <v>15682</v>
      </c>
      <c r="U1883" s="213" t="s">
        <v>71321</v>
      </c>
    </row>
    <row r="1884" spans="1:21" x14ac:dyDescent="0.25">
      <c r="A1884" s="213" t="s">
        <v>327</v>
      </c>
      <c r="D1884" s="213" t="s">
        <v>15683</v>
      </c>
      <c r="E1884" s="213" t="s">
        <v>15684</v>
      </c>
      <c r="K1884" s="213" t="s">
        <v>71103</v>
      </c>
      <c r="L1884" s="213" t="s">
        <v>71176</v>
      </c>
      <c r="M1884" s="213" t="s">
        <v>71249</v>
      </c>
      <c r="N1884" s="213" t="s">
        <v>15685</v>
      </c>
      <c r="O1884" s="213" t="s">
        <v>15686</v>
      </c>
      <c r="P1884" s="213" t="s">
        <v>15687</v>
      </c>
      <c r="Q1884" s="213" t="s">
        <v>15688</v>
      </c>
      <c r="R1884" s="213" t="s">
        <v>15689</v>
      </c>
      <c r="S1884" s="213" t="s">
        <v>15690</v>
      </c>
      <c r="T1884" s="213" t="s">
        <v>15691</v>
      </c>
      <c r="U1884" s="213" t="s">
        <v>71322</v>
      </c>
    </row>
    <row r="1885" spans="1:21" x14ac:dyDescent="0.25">
      <c r="A1885" s="213" t="s">
        <v>327</v>
      </c>
      <c r="D1885" s="213" t="s">
        <v>15692</v>
      </c>
      <c r="E1885" s="213" t="s">
        <v>15693</v>
      </c>
      <c r="K1885" s="213" t="s">
        <v>71104</v>
      </c>
      <c r="L1885" s="213" t="s">
        <v>71177</v>
      </c>
      <c r="M1885" s="213" t="s">
        <v>71250</v>
      </c>
      <c r="N1885" s="213" t="s">
        <v>15694</v>
      </c>
      <c r="O1885" s="213" t="s">
        <v>15695</v>
      </c>
      <c r="P1885" s="213" t="s">
        <v>15696</v>
      </c>
      <c r="Q1885" s="213" t="s">
        <v>15697</v>
      </c>
      <c r="R1885" s="213" t="s">
        <v>15698</v>
      </c>
      <c r="S1885" s="213" t="s">
        <v>15699</v>
      </c>
      <c r="T1885" s="213" t="s">
        <v>15700</v>
      </c>
      <c r="U1885" s="213" t="s">
        <v>71323</v>
      </c>
    </row>
    <row r="1886" spans="1:21" x14ac:dyDescent="0.25">
      <c r="A1886" s="213" t="s">
        <v>327</v>
      </c>
      <c r="D1886" s="213" t="s">
        <v>15701</v>
      </c>
      <c r="E1886" s="213" t="s">
        <v>15702</v>
      </c>
      <c r="K1886" s="213" t="s">
        <v>71105</v>
      </c>
      <c r="L1886" s="213" t="s">
        <v>71178</v>
      </c>
      <c r="M1886" s="213" t="s">
        <v>71251</v>
      </c>
      <c r="N1886" s="213" t="s">
        <v>15703</v>
      </c>
      <c r="O1886" s="213" t="s">
        <v>15704</v>
      </c>
      <c r="P1886" s="213" t="s">
        <v>15705</v>
      </c>
      <c r="Q1886" s="213" t="s">
        <v>15706</v>
      </c>
      <c r="R1886" s="213" t="s">
        <v>15707</v>
      </c>
      <c r="S1886" s="213" t="s">
        <v>15708</v>
      </c>
      <c r="T1886" s="213" t="s">
        <v>15709</v>
      </c>
      <c r="U1886" s="213" t="s">
        <v>71324</v>
      </c>
    </row>
    <row r="1887" spans="1:21" x14ac:dyDescent="0.25">
      <c r="A1887" s="213" t="s">
        <v>327</v>
      </c>
      <c r="D1887" s="213" t="s">
        <v>15710</v>
      </c>
      <c r="E1887" s="213" t="s">
        <v>15711</v>
      </c>
      <c r="K1887" s="213" t="s">
        <v>71106</v>
      </c>
      <c r="L1887" s="213" t="s">
        <v>71179</v>
      </c>
      <c r="M1887" s="213" t="s">
        <v>71252</v>
      </c>
      <c r="N1887" s="213" t="s">
        <v>15712</v>
      </c>
      <c r="O1887" s="213" t="s">
        <v>15713</v>
      </c>
      <c r="P1887" s="213" t="s">
        <v>15714</v>
      </c>
      <c r="Q1887" s="213" t="s">
        <v>15715</v>
      </c>
      <c r="R1887" s="213" t="s">
        <v>15716</v>
      </c>
      <c r="S1887" s="213" t="s">
        <v>15717</v>
      </c>
      <c r="T1887" s="213" t="s">
        <v>15718</v>
      </c>
      <c r="U1887" s="213" t="s">
        <v>71325</v>
      </c>
    </row>
    <row r="1888" spans="1:21" x14ac:dyDescent="0.25">
      <c r="A1888" s="213" t="s">
        <v>327</v>
      </c>
      <c r="D1888" s="213" t="s">
        <v>15719</v>
      </c>
      <c r="E1888" s="213" t="s">
        <v>15720</v>
      </c>
      <c r="K1888" s="213" t="s">
        <v>71107</v>
      </c>
      <c r="L1888" s="213" t="s">
        <v>71180</v>
      </c>
      <c r="M1888" s="213" t="s">
        <v>71253</v>
      </c>
      <c r="N1888" s="213" t="s">
        <v>15721</v>
      </c>
      <c r="O1888" s="213" t="s">
        <v>15722</v>
      </c>
      <c r="P1888" s="213" t="s">
        <v>15723</v>
      </c>
      <c r="Q1888" s="213" t="s">
        <v>15724</v>
      </c>
      <c r="R1888" s="213" t="s">
        <v>15725</v>
      </c>
      <c r="S1888" s="213" t="s">
        <v>15726</v>
      </c>
      <c r="T1888" s="213" t="s">
        <v>15727</v>
      </c>
      <c r="U1888" s="213" t="s">
        <v>71326</v>
      </c>
    </row>
    <row r="1889" spans="1:21" x14ac:dyDescent="0.25">
      <c r="A1889" s="213" t="s">
        <v>327</v>
      </c>
      <c r="D1889" s="213" t="s">
        <v>15728</v>
      </c>
      <c r="E1889" s="213" t="s">
        <v>15729</v>
      </c>
      <c r="K1889" s="213" t="s">
        <v>71108</v>
      </c>
      <c r="L1889" s="213" t="s">
        <v>71181</v>
      </c>
      <c r="M1889" s="213" t="s">
        <v>71254</v>
      </c>
      <c r="N1889" s="213" t="s">
        <v>15730</v>
      </c>
      <c r="O1889" s="213" t="s">
        <v>15731</v>
      </c>
      <c r="P1889" s="213" t="s">
        <v>15732</v>
      </c>
      <c r="Q1889" s="213" t="s">
        <v>15733</v>
      </c>
      <c r="R1889" s="213" t="s">
        <v>15734</v>
      </c>
      <c r="S1889" s="213" t="s">
        <v>15735</v>
      </c>
      <c r="T1889" s="213" t="s">
        <v>15736</v>
      </c>
      <c r="U1889" s="213" t="s">
        <v>71327</v>
      </c>
    </row>
    <row r="1890" spans="1:21" x14ac:dyDescent="0.25">
      <c r="A1890" s="213" t="s">
        <v>327</v>
      </c>
      <c r="D1890" s="213" t="s">
        <v>15737</v>
      </c>
      <c r="E1890" s="213" t="s">
        <v>15738</v>
      </c>
      <c r="K1890" s="213" t="s">
        <v>71109</v>
      </c>
      <c r="L1890" s="213" t="s">
        <v>71182</v>
      </c>
      <c r="M1890" s="213" t="s">
        <v>71255</v>
      </c>
      <c r="N1890" s="213" t="s">
        <v>15739</v>
      </c>
      <c r="O1890" s="213" t="s">
        <v>15740</v>
      </c>
      <c r="P1890" s="213" t="s">
        <v>15741</v>
      </c>
      <c r="Q1890" s="213" t="s">
        <v>15742</v>
      </c>
      <c r="R1890" s="213" t="s">
        <v>15743</v>
      </c>
      <c r="S1890" s="213" t="s">
        <v>15744</v>
      </c>
      <c r="T1890" s="213" t="s">
        <v>15745</v>
      </c>
      <c r="U1890" s="213" t="s">
        <v>71328</v>
      </c>
    </row>
    <row r="1891" spans="1:21" x14ac:dyDescent="0.25">
      <c r="A1891" s="213" t="s">
        <v>327</v>
      </c>
      <c r="D1891" s="213" t="s">
        <v>15746</v>
      </c>
      <c r="E1891" s="213" t="s">
        <v>15747</v>
      </c>
      <c r="K1891" s="213" t="s">
        <v>71110</v>
      </c>
      <c r="L1891" s="213" t="s">
        <v>71183</v>
      </c>
      <c r="M1891" s="213" t="s">
        <v>71256</v>
      </c>
      <c r="N1891" s="213" t="s">
        <v>15748</v>
      </c>
      <c r="O1891" s="213" t="s">
        <v>15749</v>
      </c>
      <c r="P1891" s="213" t="s">
        <v>15750</v>
      </c>
      <c r="Q1891" s="213" t="s">
        <v>15751</v>
      </c>
      <c r="R1891" s="213" t="s">
        <v>15752</v>
      </c>
      <c r="S1891" s="213" t="s">
        <v>15753</v>
      </c>
      <c r="T1891" s="213" t="s">
        <v>15754</v>
      </c>
      <c r="U1891" s="213" t="s">
        <v>71329</v>
      </c>
    </row>
    <row r="1892" spans="1:21" x14ac:dyDescent="0.25">
      <c r="A1892" s="213" t="s">
        <v>327</v>
      </c>
      <c r="D1892" s="213" t="s">
        <v>15755</v>
      </c>
      <c r="E1892" s="213" t="s">
        <v>15756</v>
      </c>
      <c r="K1892" s="213" t="s">
        <v>71111</v>
      </c>
      <c r="L1892" s="213" t="s">
        <v>71184</v>
      </c>
      <c r="M1892" s="213" t="s">
        <v>71257</v>
      </c>
      <c r="N1892" s="213" t="s">
        <v>15757</v>
      </c>
      <c r="O1892" s="213" t="s">
        <v>15758</v>
      </c>
      <c r="P1892" s="213" t="s">
        <v>15759</v>
      </c>
      <c r="Q1892" s="213" t="s">
        <v>15760</v>
      </c>
      <c r="R1892" s="213" t="s">
        <v>15761</v>
      </c>
      <c r="S1892" s="213" t="s">
        <v>15762</v>
      </c>
      <c r="T1892" s="213" t="s">
        <v>15763</v>
      </c>
      <c r="U1892" s="213" t="s">
        <v>71330</v>
      </c>
    </row>
    <row r="1893" spans="1:21" x14ac:dyDescent="0.25">
      <c r="A1893" s="213" t="s">
        <v>327</v>
      </c>
      <c r="D1893" s="213" t="s">
        <v>15764</v>
      </c>
      <c r="E1893" s="213" t="s">
        <v>15765</v>
      </c>
      <c r="K1893" s="213" t="s">
        <v>71112</v>
      </c>
      <c r="L1893" s="213" t="s">
        <v>71185</v>
      </c>
      <c r="M1893" s="213" t="s">
        <v>71258</v>
      </c>
      <c r="N1893" s="213" t="s">
        <v>15766</v>
      </c>
      <c r="O1893" s="213" t="s">
        <v>15767</v>
      </c>
      <c r="P1893" s="213" t="s">
        <v>15768</v>
      </c>
      <c r="Q1893" s="213" t="s">
        <v>15769</v>
      </c>
      <c r="R1893" s="213" t="s">
        <v>15770</v>
      </c>
      <c r="S1893" s="213" t="s">
        <v>15771</v>
      </c>
      <c r="T1893" s="213" t="s">
        <v>15772</v>
      </c>
      <c r="U1893" s="213" t="s">
        <v>71331</v>
      </c>
    </row>
    <row r="1894" spans="1:21" x14ac:dyDescent="0.25">
      <c r="A1894" s="213" t="s">
        <v>327</v>
      </c>
      <c r="D1894" s="213" t="s">
        <v>15773</v>
      </c>
      <c r="E1894" s="213" t="s">
        <v>15774</v>
      </c>
      <c r="K1894" s="213" t="s">
        <v>71113</v>
      </c>
      <c r="L1894" s="213" t="s">
        <v>71186</v>
      </c>
      <c r="M1894" s="213" t="s">
        <v>71259</v>
      </c>
      <c r="N1894" s="213" t="s">
        <v>15775</v>
      </c>
      <c r="O1894" s="213" t="s">
        <v>15776</v>
      </c>
      <c r="P1894" s="213" t="s">
        <v>15777</v>
      </c>
      <c r="Q1894" s="213" t="s">
        <v>15778</v>
      </c>
      <c r="R1894" s="213" t="s">
        <v>15779</v>
      </c>
      <c r="S1894" s="213" t="s">
        <v>15780</v>
      </c>
      <c r="T1894" s="213" t="s">
        <v>15781</v>
      </c>
      <c r="U1894" s="213" t="s">
        <v>71332</v>
      </c>
    </row>
    <row r="1895" spans="1:21" x14ac:dyDescent="0.25">
      <c r="A1895" s="213" t="s">
        <v>327</v>
      </c>
      <c r="D1895" s="213" t="s">
        <v>15782</v>
      </c>
      <c r="E1895" s="213" t="s">
        <v>15783</v>
      </c>
      <c r="K1895" s="213" t="s">
        <v>71114</v>
      </c>
      <c r="L1895" s="213" t="s">
        <v>71187</v>
      </c>
      <c r="M1895" s="213" t="s">
        <v>71260</v>
      </c>
      <c r="N1895" s="213" t="s">
        <v>15784</v>
      </c>
      <c r="O1895" s="213" t="s">
        <v>15785</v>
      </c>
      <c r="P1895" s="213" t="s">
        <v>15786</v>
      </c>
      <c r="Q1895" s="213" t="s">
        <v>15787</v>
      </c>
      <c r="R1895" s="213" t="s">
        <v>15788</v>
      </c>
      <c r="S1895" s="213" t="s">
        <v>15789</v>
      </c>
      <c r="T1895" s="213" t="s">
        <v>15790</v>
      </c>
      <c r="U1895" s="213" t="s">
        <v>71333</v>
      </c>
    </row>
    <row r="1896" spans="1:21" x14ac:dyDescent="0.25">
      <c r="A1896" s="213" t="s">
        <v>327</v>
      </c>
    </row>
    <row r="1897" spans="1:21" x14ac:dyDescent="0.25">
      <c r="A1897" s="213" t="s">
        <v>327</v>
      </c>
    </row>
    <row r="1898" spans="1:21" x14ac:dyDescent="0.25">
      <c r="A1898" s="213" t="s">
        <v>327</v>
      </c>
      <c r="C1898" s="213" t="s">
        <v>15791</v>
      </c>
      <c r="E1898" s="213" t="s">
        <v>15792</v>
      </c>
      <c r="H1898" s="213" t="s">
        <v>15793</v>
      </c>
      <c r="I1898" s="213" t="s">
        <v>15794</v>
      </c>
      <c r="J1898" s="213" t="s">
        <v>15795</v>
      </c>
      <c r="L1898" s="213" t="s">
        <v>15796</v>
      </c>
      <c r="O1898" s="213" t="s">
        <v>15797</v>
      </c>
      <c r="P1898" s="213" t="s">
        <v>15798</v>
      </c>
      <c r="Q1898" s="213" t="s">
        <v>15799</v>
      </c>
      <c r="R1898" s="213" t="s">
        <v>15800</v>
      </c>
      <c r="S1898" s="213" t="s">
        <v>15801</v>
      </c>
      <c r="T1898" s="213" t="s">
        <v>15802</v>
      </c>
    </row>
    <row r="1899" spans="1:21" x14ac:dyDescent="0.25">
      <c r="A1899" s="213" t="s">
        <v>327</v>
      </c>
      <c r="C1899" s="213" t="s">
        <v>15803</v>
      </c>
      <c r="E1899" s="213" t="s">
        <v>15804</v>
      </c>
      <c r="I1899" s="213" t="s">
        <v>15805</v>
      </c>
    </row>
    <row r="1900" spans="1:21" x14ac:dyDescent="0.25">
      <c r="A1900" s="213" t="s">
        <v>327</v>
      </c>
      <c r="C1900" s="213" t="s">
        <v>15806</v>
      </c>
      <c r="E1900" s="213" t="s">
        <v>15807</v>
      </c>
      <c r="I1900" s="213" t="s">
        <v>15808</v>
      </c>
    </row>
    <row r="1901" spans="1:21" x14ac:dyDescent="0.25">
      <c r="A1901" s="213" t="s">
        <v>328</v>
      </c>
    </row>
    <row r="1902" spans="1:21" x14ac:dyDescent="0.25">
      <c r="A1902" s="213" t="s">
        <v>327</v>
      </c>
      <c r="D1902" s="213" t="s">
        <v>15809</v>
      </c>
      <c r="E1902" s="213" t="s">
        <v>15810</v>
      </c>
      <c r="K1902" s="213" t="s">
        <v>70982</v>
      </c>
      <c r="L1902" s="213" t="s">
        <v>70997</v>
      </c>
      <c r="M1902" s="213" t="s">
        <v>71012</v>
      </c>
      <c r="N1902" s="213" t="s">
        <v>15811</v>
      </c>
      <c r="O1902" s="213" t="s">
        <v>15812</v>
      </c>
      <c r="P1902" s="213" t="s">
        <v>15813</v>
      </c>
      <c r="Q1902" s="213" t="s">
        <v>15814</v>
      </c>
      <c r="R1902" s="213" t="s">
        <v>15815</v>
      </c>
      <c r="S1902" s="213" t="s">
        <v>15816</v>
      </c>
      <c r="T1902" s="213" t="s">
        <v>15817</v>
      </c>
      <c r="U1902" s="213" t="s">
        <v>71027</v>
      </c>
    </row>
    <row r="1903" spans="1:21" x14ac:dyDescent="0.25">
      <c r="A1903" s="213" t="s">
        <v>327</v>
      </c>
      <c r="D1903" s="213" t="s">
        <v>15818</v>
      </c>
      <c r="E1903" s="213" t="s">
        <v>15819</v>
      </c>
      <c r="K1903" s="213" t="s">
        <v>70983</v>
      </c>
      <c r="L1903" s="213" t="s">
        <v>70998</v>
      </c>
      <c r="M1903" s="213" t="s">
        <v>71013</v>
      </c>
      <c r="N1903" s="213" t="s">
        <v>15820</v>
      </c>
      <c r="O1903" s="213" t="s">
        <v>15821</v>
      </c>
      <c r="P1903" s="213" t="s">
        <v>15822</v>
      </c>
      <c r="Q1903" s="213" t="s">
        <v>15823</v>
      </c>
      <c r="R1903" s="213" t="s">
        <v>15824</v>
      </c>
      <c r="S1903" s="213" t="s">
        <v>15825</v>
      </c>
      <c r="T1903" s="213" t="s">
        <v>15826</v>
      </c>
      <c r="U1903" s="213" t="s">
        <v>71028</v>
      </c>
    </row>
    <row r="1904" spans="1:21" x14ac:dyDescent="0.25">
      <c r="A1904" s="213" t="s">
        <v>327</v>
      </c>
      <c r="D1904" s="213" t="s">
        <v>15827</v>
      </c>
      <c r="E1904" s="213" t="s">
        <v>15828</v>
      </c>
      <c r="K1904" s="213" t="s">
        <v>70984</v>
      </c>
      <c r="L1904" s="213" t="s">
        <v>70999</v>
      </c>
      <c r="M1904" s="213" t="s">
        <v>71014</v>
      </c>
      <c r="N1904" s="213" t="s">
        <v>15829</v>
      </c>
      <c r="O1904" s="213" t="s">
        <v>15830</v>
      </c>
      <c r="P1904" s="213" t="s">
        <v>15831</v>
      </c>
      <c r="Q1904" s="213" t="s">
        <v>15832</v>
      </c>
      <c r="R1904" s="213" t="s">
        <v>15833</v>
      </c>
      <c r="S1904" s="213" t="s">
        <v>15834</v>
      </c>
      <c r="T1904" s="213" t="s">
        <v>15835</v>
      </c>
      <c r="U1904" s="213" t="s">
        <v>71029</v>
      </c>
    </row>
    <row r="1905" spans="1:21" x14ac:dyDescent="0.25">
      <c r="A1905" s="213" t="s">
        <v>327</v>
      </c>
      <c r="D1905" s="213" t="s">
        <v>15836</v>
      </c>
      <c r="E1905" s="213" t="s">
        <v>15837</v>
      </c>
      <c r="K1905" s="213" t="s">
        <v>70985</v>
      </c>
      <c r="L1905" s="213" t="s">
        <v>71000</v>
      </c>
      <c r="M1905" s="213" t="s">
        <v>71015</v>
      </c>
      <c r="N1905" s="213" t="s">
        <v>15838</v>
      </c>
      <c r="O1905" s="213" t="s">
        <v>15839</v>
      </c>
      <c r="P1905" s="213" t="s">
        <v>15840</v>
      </c>
      <c r="Q1905" s="213" t="s">
        <v>15841</v>
      </c>
      <c r="R1905" s="213" t="s">
        <v>15842</v>
      </c>
      <c r="S1905" s="213" t="s">
        <v>15843</v>
      </c>
      <c r="T1905" s="213" t="s">
        <v>15844</v>
      </c>
      <c r="U1905" s="213" t="s">
        <v>71030</v>
      </c>
    </row>
    <row r="1906" spans="1:21" x14ac:dyDescent="0.25">
      <c r="A1906" s="213" t="s">
        <v>327</v>
      </c>
      <c r="D1906" s="213" t="s">
        <v>15845</v>
      </c>
      <c r="E1906" s="213" t="s">
        <v>15846</v>
      </c>
      <c r="K1906" s="213" t="s">
        <v>70986</v>
      </c>
      <c r="L1906" s="213" t="s">
        <v>71001</v>
      </c>
      <c r="M1906" s="213" t="s">
        <v>71016</v>
      </c>
      <c r="N1906" s="213" t="s">
        <v>15847</v>
      </c>
      <c r="O1906" s="213" t="s">
        <v>15848</v>
      </c>
      <c r="P1906" s="213" t="s">
        <v>15849</v>
      </c>
      <c r="Q1906" s="213" t="s">
        <v>15850</v>
      </c>
      <c r="R1906" s="213" t="s">
        <v>15851</v>
      </c>
      <c r="S1906" s="213" t="s">
        <v>15852</v>
      </c>
      <c r="T1906" s="213" t="s">
        <v>15853</v>
      </c>
      <c r="U1906" s="213" t="s">
        <v>71031</v>
      </c>
    </row>
    <row r="1907" spans="1:21" x14ac:dyDescent="0.25">
      <c r="A1907" s="213" t="s">
        <v>327</v>
      </c>
      <c r="D1907" s="213" t="s">
        <v>15854</v>
      </c>
      <c r="E1907" s="213" t="s">
        <v>15855</v>
      </c>
      <c r="K1907" s="213" t="s">
        <v>70987</v>
      </c>
      <c r="L1907" s="213" t="s">
        <v>71002</v>
      </c>
      <c r="M1907" s="213" t="s">
        <v>71017</v>
      </c>
      <c r="N1907" s="213" t="s">
        <v>15856</v>
      </c>
      <c r="O1907" s="213" t="s">
        <v>15857</v>
      </c>
      <c r="P1907" s="213" t="s">
        <v>15858</v>
      </c>
      <c r="Q1907" s="213" t="s">
        <v>15859</v>
      </c>
      <c r="R1907" s="213" t="s">
        <v>15860</v>
      </c>
      <c r="S1907" s="213" t="s">
        <v>15861</v>
      </c>
      <c r="T1907" s="213" t="s">
        <v>15862</v>
      </c>
      <c r="U1907" s="213" t="s">
        <v>71032</v>
      </c>
    </row>
    <row r="1908" spans="1:21" x14ac:dyDescent="0.25">
      <c r="A1908" s="213" t="s">
        <v>327</v>
      </c>
      <c r="D1908" s="213" t="s">
        <v>15863</v>
      </c>
      <c r="E1908" s="213" t="s">
        <v>15864</v>
      </c>
      <c r="K1908" s="213" t="s">
        <v>70988</v>
      </c>
      <c r="L1908" s="213" t="s">
        <v>71003</v>
      </c>
      <c r="M1908" s="213" t="s">
        <v>71018</v>
      </c>
      <c r="N1908" s="213" t="s">
        <v>15865</v>
      </c>
      <c r="O1908" s="213" t="s">
        <v>15866</v>
      </c>
      <c r="P1908" s="213" t="s">
        <v>15867</v>
      </c>
      <c r="Q1908" s="213" t="s">
        <v>15868</v>
      </c>
      <c r="R1908" s="213" t="s">
        <v>15869</v>
      </c>
      <c r="S1908" s="213" t="s">
        <v>15870</v>
      </c>
      <c r="T1908" s="213" t="s">
        <v>15871</v>
      </c>
      <c r="U1908" s="213" t="s">
        <v>71033</v>
      </c>
    </row>
    <row r="1909" spans="1:21" x14ac:dyDescent="0.25">
      <c r="A1909" s="213" t="s">
        <v>327</v>
      </c>
      <c r="D1909" s="213" t="s">
        <v>15872</v>
      </c>
      <c r="E1909" s="213" t="s">
        <v>15873</v>
      </c>
      <c r="K1909" s="213" t="s">
        <v>70989</v>
      </c>
      <c r="L1909" s="213" t="s">
        <v>71004</v>
      </c>
      <c r="M1909" s="213" t="s">
        <v>71019</v>
      </c>
      <c r="N1909" s="213" t="s">
        <v>15874</v>
      </c>
      <c r="O1909" s="213" t="s">
        <v>15875</v>
      </c>
      <c r="P1909" s="213" t="s">
        <v>15876</v>
      </c>
      <c r="Q1909" s="213" t="s">
        <v>15877</v>
      </c>
      <c r="R1909" s="213" t="s">
        <v>15878</v>
      </c>
      <c r="S1909" s="213" t="s">
        <v>15879</v>
      </c>
      <c r="T1909" s="213" t="s">
        <v>15880</v>
      </c>
      <c r="U1909" s="213" t="s">
        <v>71034</v>
      </c>
    </row>
    <row r="1910" spans="1:21" x14ac:dyDescent="0.25">
      <c r="A1910" s="213" t="s">
        <v>327</v>
      </c>
      <c r="D1910" s="213" t="s">
        <v>15881</v>
      </c>
      <c r="E1910" s="213" t="s">
        <v>15882</v>
      </c>
      <c r="K1910" s="213" t="s">
        <v>70990</v>
      </c>
      <c r="L1910" s="213" t="s">
        <v>71005</v>
      </c>
      <c r="M1910" s="213" t="s">
        <v>71020</v>
      </c>
      <c r="N1910" s="213" t="s">
        <v>15883</v>
      </c>
      <c r="O1910" s="213" t="s">
        <v>15884</v>
      </c>
      <c r="P1910" s="213" t="s">
        <v>15885</v>
      </c>
      <c r="Q1910" s="213" t="s">
        <v>15886</v>
      </c>
      <c r="R1910" s="213" t="s">
        <v>15887</v>
      </c>
      <c r="S1910" s="213" t="s">
        <v>15888</v>
      </c>
      <c r="T1910" s="213" t="s">
        <v>15889</v>
      </c>
      <c r="U1910" s="213" t="s">
        <v>71035</v>
      </c>
    </row>
    <row r="1911" spans="1:21" x14ac:dyDescent="0.25">
      <c r="A1911" s="213" t="s">
        <v>327</v>
      </c>
      <c r="D1911" s="213" t="s">
        <v>15890</v>
      </c>
      <c r="E1911" s="213" t="s">
        <v>15891</v>
      </c>
      <c r="K1911" s="213" t="s">
        <v>70991</v>
      </c>
      <c r="L1911" s="213" t="s">
        <v>71006</v>
      </c>
      <c r="M1911" s="213" t="s">
        <v>71021</v>
      </c>
      <c r="N1911" s="213" t="s">
        <v>15892</v>
      </c>
      <c r="O1911" s="213" t="s">
        <v>15893</v>
      </c>
      <c r="P1911" s="213" t="s">
        <v>15894</v>
      </c>
      <c r="Q1911" s="213" t="s">
        <v>15895</v>
      </c>
      <c r="R1911" s="213" t="s">
        <v>15896</v>
      </c>
      <c r="S1911" s="213" t="s">
        <v>15897</v>
      </c>
      <c r="T1911" s="213" t="s">
        <v>15898</v>
      </c>
      <c r="U1911" s="213" t="s">
        <v>71036</v>
      </c>
    </row>
    <row r="1912" spans="1:21" x14ac:dyDescent="0.25">
      <c r="A1912" s="213" t="s">
        <v>327</v>
      </c>
      <c r="D1912" s="213" t="s">
        <v>15899</v>
      </c>
      <c r="E1912" s="213" t="s">
        <v>15900</v>
      </c>
      <c r="K1912" s="213" t="s">
        <v>70992</v>
      </c>
      <c r="L1912" s="213" t="s">
        <v>71007</v>
      </c>
      <c r="M1912" s="213" t="s">
        <v>71022</v>
      </c>
      <c r="N1912" s="213" t="s">
        <v>15901</v>
      </c>
      <c r="O1912" s="213" t="s">
        <v>15902</v>
      </c>
      <c r="P1912" s="213" t="s">
        <v>15903</v>
      </c>
      <c r="Q1912" s="213" t="s">
        <v>15904</v>
      </c>
      <c r="R1912" s="213" t="s">
        <v>15905</v>
      </c>
      <c r="S1912" s="213" t="s">
        <v>15906</v>
      </c>
      <c r="T1912" s="213" t="s">
        <v>15907</v>
      </c>
      <c r="U1912" s="213" t="s">
        <v>71037</v>
      </c>
    </row>
    <row r="1913" spans="1:21" x14ac:dyDescent="0.25">
      <c r="A1913" s="213" t="s">
        <v>327</v>
      </c>
      <c r="D1913" s="213" t="s">
        <v>15908</v>
      </c>
      <c r="E1913" s="213" t="s">
        <v>15909</v>
      </c>
      <c r="K1913" s="213" t="s">
        <v>70993</v>
      </c>
      <c r="L1913" s="213" t="s">
        <v>71008</v>
      </c>
      <c r="M1913" s="213" t="s">
        <v>71023</v>
      </c>
      <c r="N1913" s="213" t="s">
        <v>15910</v>
      </c>
      <c r="O1913" s="213" t="s">
        <v>15911</v>
      </c>
      <c r="P1913" s="213" t="s">
        <v>15912</v>
      </c>
      <c r="Q1913" s="213" t="s">
        <v>15913</v>
      </c>
      <c r="R1913" s="213" t="s">
        <v>15914</v>
      </c>
      <c r="S1913" s="213" t="s">
        <v>15915</v>
      </c>
      <c r="T1913" s="213" t="s">
        <v>15916</v>
      </c>
      <c r="U1913" s="213" t="s">
        <v>71038</v>
      </c>
    </row>
    <row r="1914" spans="1:21" x14ac:dyDescent="0.25">
      <c r="A1914" s="213" t="s">
        <v>327</v>
      </c>
      <c r="D1914" s="213" t="s">
        <v>15917</v>
      </c>
      <c r="E1914" s="213" t="s">
        <v>15918</v>
      </c>
      <c r="K1914" s="213" t="s">
        <v>70994</v>
      </c>
      <c r="L1914" s="213" t="s">
        <v>71009</v>
      </c>
      <c r="M1914" s="213" t="s">
        <v>71024</v>
      </c>
      <c r="N1914" s="213" t="s">
        <v>15919</v>
      </c>
      <c r="O1914" s="213" t="s">
        <v>15920</v>
      </c>
      <c r="P1914" s="213" t="s">
        <v>15921</v>
      </c>
      <c r="Q1914" s="213" t="s">
        <v>15922</v>
      </c>
      <c r="R1914" s="213" t="s">
        <v>15923</v>
      </c>
      <c r="S1914" s="213" t="s">
        <v>15924</v>
      </c>
      <c r="T1914" s="213" t="s">
        <v>15925</v>
      </c>
      <c r="U1914" s="213" t="s">
        <v>71039</v>
      </c>
    </row>
    <row r="1915" spans="1:21" x14ac:dyDescent="0.25">
      <c r="A1915" s="213" t="s">
        <v>327</v>
      </c>
      <c r="D1915" s="213" t="s">
        <v>15926</v>
      </c>
      <c r="E1915" s="213" t="s">
        <v>15927</v>
      </c>
      <c r="K1915" s="213" t="s">
        <v>70995</v>
      </c>
      <c r="L1915" s="213" t="s">
        <v>71010</v>
      </c>
      <c r="M1915" s="213" t="s">
        <v>71025</v>
      </c>
      <c r="N1915" s="213" t="s">
        <v>15928</v>
      </c>
      <c r="O1915" s="213" t="s">
        <v>15929</v>
      </c>
      <c r="P1915" s="213" t="s">
        <v>15930</v>
      </c>
      <c r="Q1915" s="213" t="s">
        <v>15931</v>
      </c>
      <c r="R1915" s="213" t="s">
        <v>15932</v>
      </c>
      <c r="S1915" s="213" t="s">
        <v>15933</v>
      </c>
      <c r="T1915" s="213" t="s">
        <v>15934</v>
      </c>
      <c r="U1915" s="213" t="s">
        <v>71040</v>
      </c>
    </row>
    <row r="1916" spans="1:21" x14ac:dyDescent="0.25">
      <c r="A1916" s="213" t="s">
        <v>327</v>
      </c>
      <c r="D1916" s="213" t="s">
        <v>15935</v>
      </c>
      <c r="E1916" s="213" t="s">
        <v>15936</v>
      </c>
      <c r="K1916" s="213" t="s">
        <v>70996</v>
      </c>
      <c r="L1916" s="213" t="s">
        <v>71011</v>
      </c>
      <c r="M1916" s="213" t="s">
        <v>71026</v>
      </c>
      <c r="N1916" s="213" t="s">
        <v>15937</v>
      </c>
      <c r="O1916" s="213" t="s">
        <v>15938</v>
      </c>
      <c r="P1916" s="213" t="s">
        <v>15939</v>
      </c>
      <c r="Q1916" s="213" t="s">
        <v>15940</v>
      </c>
      <c r="R1916" s="213" t="s">
        <v>15941</v>
      </c>
      <c r="S1916" s="213" t="s">
        <v>15942</v>
      </c>
      <c r="T1916" s="213" t="s">
        <v>15943</v>
      </c>
      <c r="U1916" s="213" t="s">
        <v>71041</v>
      </c>
    </row>
    <row r="1917" spans="1:21" x14ac:dyDescent="0.25">
      <c r="A1917" s="213" t="s">
        <v>327</v>
      </c>
    </row>
    <row r="1918" spans="1:21" x14ac:dyDescent="0.25">
      <c r="A1918" s="213" t="s">
        <v>327</v>
      </c>
    </row>
    <row r="1919" spans="1:21" x14ac:dyDescent="0.25">
      <c r="A1919" s="213" t="s">
        <v>327</v>
      </c>
      <c r="C1919" s="213" t="s">
        <v>15944</v>
      </c>
      <c r="E1919" s="213" t="s">
        <v>15945</v>
      </c>
      <c r="H1919" s="213" t="s">
        <v>15946</v>
      </c>
      <c r="I1919" s="213" t="s">
        <v>15947</v>
      </c>
      <c r="J1919" s="213" t="s">
        <v>15948</v>
      </c>
      <c r="L1919" s="213" t="s">
        <v>15949</v>
      </c>
      <c r="O1919" s="213" t="s">
        <v>15950</v>
      </c>
      <c r="P1919" s="213" t="s">
        <v>15951</v>
      </c>
      <c r="Q1919" s="213" t="s">
        <v>15952</v>
      </c>
      <c r="R1919" s="213" t="s">
        <v>15953</v>
      </c>
      <c r="S1919" s="213" t="s">
        <v>15954</v>
      </c>
      <c r="T1919" s="213" t="s">
        <v>15955</v>
      </c>
    </row>
    <row r="1920" spans="1:21" x14ac:dyDescent="0.25">
      <c r="A1920" s="213" t="s">
        <v>327</v>
      </c>
      <c r="C1920" s="213" t="s">
        <v>15956</v>
      </c>
      <c r="E1920" s="213" t="s">
        <v>15957</v>
      </c>
      <c r="I1920" s="213" t="s">
        <v>15958</v>
      </c>
    </row>
    <row r="1921" spans="1:21" x14ac:dyDescent="0.25">
      <c r="A1921" s="213" t="s">
        <v>327</v>
      </c>
      <c r="C1921" s="213" t="s">
        <v>15959</v>
      </c>
      <c r="E1921" s="213" t="s">
        <v>15960</v>
      </c>
      <c r="I1921" s="213" t="s">
        <v>15961</v>
      </c>
    </row>
    <row r="1922" spans="1:21" x14ac:dyDescent="0.25">
      <c r="A1922" s="213" t="s">
        <v>328</v>
      </c>
    </row>
    <row r="1923" spans="1:21" x14ac:dyDescent="0.25">
      <c r="A1923" s="213" t="s">
        <v>327</v>
      </c>
      <c r="D1923" s="213" t="s">
        <v>15962</v>
      </c>
      <c r="E1923" s="213" t="s">
        <v>15963</v>
      </c>
      <c r="K1923" s="213" t="s">
        <v>70410</v>
      </c>
      <c r="L1923" s="213" t="s">
        <v>70553</v>
      </c>
      <c r="M1923" s="213" t="s">
        <v>70696</v>
      </c>
      <c r="N1923" s="213" t="s">
        <v>15964</v>
      </c>
      <c r="O1923" s="213" t="s">
        <v>15965</v>
      </c>
      <c r="P1923" s="213" t="s">
        <v>15966</v>
      </c>
      <c r="Q1923" s="213" t="s">
        <v>15967</v>
      </c>
      <c r="R1923" s="213" t="s">
        <v>15968</v>
      </c>
      <c r="S1923" s="213" t="s">
        <v>15969</v>
      </c>
      <c r="T1923" s="213" t="s">
        <v>15970</v>
      </c>
      <c r="U1923" s="213" t="s">
        <v>70839</v>
      </c>
    </row>
    <row r="1924" spans="1:21" x14ac:dyDescent="0.25">
      <c r="A1924" s="213" t="s">
        <v>327</v>
      </c>
      <c r="D1924" s="213" t="s">
        <v>15971</v>
      </c>
      <c r="E1924" s="213" t="s">
        <v>15972</v>
      </c>
      <c r="K1924" s="213" t="s">
        <v>70411</v>
      </c>
      <c r="L1924" s="213" t="s">
        <v>70554</v>
      </c>
      <c r="M1924" s="213" t="s">
        <v>70697</v>
      </c>
      <c r="N1924" s="213" t="s">
        <v>15973</v>
      </c>
      <c r="O1924" s="213" t="s">
        <v>15974</v>
      </c>
      <c r="P1924" s="213" t="s">
        <v>15975</v>
      </c>
      <c r="Q1924" s="213" t="s">
        <v>15976</v>
      </c>
      <c r="R1924" s="213" t="s">
        <v>15977</v>
      </c>
      <c r="S1924" s="213" t="s">
        <v>15978</v>
      </c>
      <c r="T1924" s="213" t="s">
        <v>15979</v>
      </c>
      <c r="U1924" s="213" t="s">
        <v>70840</v>
      </c>
    </row>
    <row r="1925" spans="1:21" x14ac:dyDescent="0.25">
      <c r="A1925" s="213" t="s">
        <v>327</v>
      </c>
      <c r="D1925" s="213" t="s">
        <v>15980</v>
      </c>
      <c r="E1925" s="213" t="s">
        <v>15981</v>
      </c>
      <c r="K1925" s="213" t="s">
        <v>70412</v>
      </c>
      <c r="L1925" s="213" t="s">
        <v>70555</v>
      </c>
      <c r="M1925" s="213" t="s">
        <v>70698</v>
      </c>
      <c r="N1925" s="213" t="s">
        <v>15982</v>
      </c>
      <c r="O1925" s="213" t="s">
        <v>15983</v>
      </c>
      <c r="P1925" s="213" t="s">
        <v>15984</v>
      </c>
      <c r="Q1925" s="213" t="s">
        <v>15985</v>
      </c>
      <c r="R1925" s="213" t="s">
        <v>15986</v>
      </c>
      <c r="S1925" s="213" t="s">
        <v>15987</v>
      </c>
      <c r="T1925" s="213" t="s">
        <v>15988</v>
      </c>
      <c r="U1925" s="213" t="s">
        <v>70841</v>
      </c>
    </row>
    <row r="1926" spans="1:21" x14ac:dyDescent="0.25">
      <c r="A1926" s="213" t="s">
        <v>327</v>
      </c>
      <c r="D1926" s="213" t="s">
        <v>15989</v>
      </c>
      <c r="E1926" s="213" t="s">
        <v>15990</v>
      </c>
      <c r="K1926" s="213" t="s">
        <v>70413</v>
      </c>
      <c r="L1926" s="213" t="s">
        <v>70556</v>
      </c>
      <c r="M1926" s="213" t="s">
        <v>70699</v>
      </c>
      <c r="N1926" s="213" t="s">
        <v>15991</v>
      </c>
      <c r="O1926" s="213" t="s">
        <v>15992</v>
      </c>
      <c r="P1926" s="213" t="s">
        <v>15993</v>
      </c>
      <c r="Q1926" s="213" t="s">
        <v>15994</v>
      </c>
      <c r="R1926" s="213" t="s">
        <v>15995</v>
      </c>
      <c r="S1926" s="213" t="s">
        <v>15996</v>
      </c>
      <c r="T1926" s="213" t="s">
        <v>15997</v>
      </c>
      <c r="U1926" s="213" t="s">
        <v>70842</v>
      </c>
    </row>
    <row r="1927" spans="1:21" x14ac:dyDescent="0.25">
      <c r="A1927" s="213" t="s">
        <v>327</v>
      </c>
      <c r="D1927" s="213" t="s">
        <v>15998</v>
      </c>
      <c r="E1927" s="213" t="s">
        <v>15999</v>
      </c>
      <c r="K1927" s="213" t="s">
        <v>70414</v>
      </c>
      <c r="L1927" s="213" t="s">
        <v>70557</v>
      </c>
      <c r="M1927" s="213" t="s">
        <v>70700</v>
      </c>
      <c r="N1927" s="213" t="s">
        <v>16000</v>
      </c>
      <c r="O1927" s="213" t="s">
        <v>16001</v>
      </c>
      <c r="P1927" s="213" t="s">
        <v>16002</v>
      </c>
      <c r="Q1927" s="213" t="s">
        <v>16003</v>
      </c>
      <c r="R1927" s="213" t="s">
        <v>16004</v>
      </c>
      <c r="S1927" s="213" t="s">
        <v>16005</v>
      </c>
      <c r="T1927" s="213" t="s">
        <v>16006</v>
      </c>
      <c r="U1927" s="213" t="s">
        <v>70843</v>
      </c>
    </row>
    <row r="1928" spans="1:21" x14ac:dyDescent="0.25">
      <c r="A1928" s="213" t="s">
        <v>327</v>
      </c>
      <c r="D1928" s="213" t="s">
        <v>16007</v>
      </c>
      <c r="E1928" s="213" t="s">
        <v>16008</v>
      </c>
      <c r="K1928" s="213" t="s">
        <v>70415</v>
      </c>
      <c r="L1928" s="213" t="s">
        <v>70558</v>
      </c>
      <c r="M1928" s="213" t="s">
        <v>70701</v>
      </c>
      <c r="N1928" s="213" t="s">
        <v>16009</v>
      </c>
      <c r="O1928" s="213" t="s">
        <v>16010</v>
      </c>
      <c r="P1928" s="213" t="s">
        <v>16011</v>
      </c>
      <c r="Q1928" s="213" t="s">
        <v>16012</v>
      </c>
      <c r="R1928" s="213" t="s">
        <v>16013</v>
      </c>
      <c r="S1928" s="213" t="s">
        <v>16014</v>
      </c>
      <c r="T1928" s="213" t="s">
        <v>16015</v>
      </c>
      <c r="U1928" s="213" t="s">
        <v>70844</v>
      </c>
    </row>
    <row r="1929" spans="1:21" x14ac:dyDescent="0.25">
      <c r="A1929" s="213" t="s">
        <v>327</v>
      </c>
      <c r="D1929" s="213" t="s">
        <v>16016</v>
      </c>
      <c r="E1929" s="213" t="s">
        <v>16017</v>
      </c>
      <c r="K1929" s="213" t="s">
        <v>70416</v>
      </c>
      <c r="L1929" s="213" t="s">
        <v>70559</v>
      </c>
      <c r="M1929" s="213" t="s">
        <v>70702</v>
      </c>
      <c r="N1929" s="213" t="s">
        <v>16018</v>
      </c>
      <c r="O1929" s="213" t="s">
        <v>16019</v>
      </c>
      <c r="P1929" s="213" t="s">
        <v>16020</v>
      </c>
      <c r="Q1929" s="213" t="s">
        <v>16021</v>
      </c>
      <c r="R1929" s="213" t="s">
        <v>16022</v>
      </c>
      <c r="S1929" s="213" t="s">
        <v>16023</v>
      </c>
      <c r="T1929" s="213" t="s">
        <v>16024</v>
      </c>
      <c r="U1929" s="213" t="s">
        <v>70845</v>
      </c>
    </row>
    <row r="1930" spans="1:21" x14ac:dyDescent="0.25">
      <c r="A1930" s="213" t="s">
        <v>327</v>
      </c>
      <c r="D1930" s="213" t="s">
        <v>16025</v>
      </c>
      <c r="E1930" s="213" t="s">
        <v>16026</v>
      </c>
      <c r="K1930" s="213" t="s">
        <v>70417</v>
      </c>
      <c r="L1930" s="213" t="s">
        <v>70560</v>
      </c>
      <c r="M1930" s="213" t="s">
        <v>70703</v>
      </c>
      <c r="N1930" s="213" t="s">
        <v>16027</v>
      </c>
      <c r="O1930" s="213" t="s">
        <v>16028</v>
      </c>
      <c r="P1930" s="213" t="s">
        <v>16029</v>
      </c>
      <c r="Q1930" s="213" t="s">
        <v>16030</v>
      </c>
      <c r="R1930" s="213" t="s">
        <v>16031</v>
      </c>
      <c r="S1930" s="213" t="s">
        <v>16032</v>
      </c>
      <c r="T1930" s="213" t="s">
        <v>16033</v>
      </c>
      <c r="U1930" s="213" t="s">
        <v>70846</v>
      </c>
    </row>
    <row r="1931" spans="1:21" x14ac:dyDescent="0.25">
      <c r="A1931" s="213" t="s">
        <v>327</v>
      </c>
      <c r="D1931" s="213" t="s">
        <v>16034</v>
      </c>
      <c r="E1931" s="213" t="s">
        <v>16035</v>
      </c>
      <c r="K1931" s="213" t="s">
        <v>70418</v>
      </c>
      <c r="L1931" s="213" t="s">
        <v>70561</v>
      </c>
      <c r="M1931" s="213" t="s">
        <v>70704</v>
      </c>
      <c r="N1931" s="213" t="s">
        <v>16036</v>
      </c>
      <c r="O1931" s="213" t="s">
        <v>16037</v>
      </c>
      <c r="P1931" s="213" t="s">
        <v>16038</v>
      </c>
      <c r="Q1931" s="213" t="s">
        <v>16039</v>
      </c>
      <c r="R1931" s="213" t="s">
        <v>16040</v>
      </c>
      <c r="S1931" s="213" t="s">
        <v>16041</v>
      </c>
      <c r="T1931" s="213" t="s">
        <v>16042</v>
      </c>
      <c r="U1931" s="213" t="s">
        <v>70847</v>
      </c>
    </row>
    <row r="1932" spans="1:21" x14ac:dyDescent="0.25">
      <c r="A1932" s="213" t="s">
        <v>327</v>
      </c>
      <c r="D1932" s="213" t="s">
        <v>16043</v>
      </c>
      <c r="E1932" s="213" t="s">
        <v>16044</v>
      </c>
      <c r="K1932" s="213" t="s">
        <v>70419</v>
      </c>
      <c r="L1932" s="213" t="s">
        <v>70562</v>
      </c>
      <c r="M1932" s="213" t="s">
        <v>70705</v>
      </c>
      <c r="N1932" s="213" t="s">
        <v>16045</v>
      </c>
      <c r="O1932" s="213" t="s">
        <v>16046</v>
      </c>
      <c r="P1932" s="213" t="s">
        <v>16047</v>
      </c>
      <c r="Q1932" s="213" t="s">
        <v>16048</v>
      </c>
      <c r="R1932" s="213" t="s">
        <v>16049</v>
      </c>
      <c r="S1932" s="213" t="s">
        <v>16050</v>
      </c>
      <c r="T1932" s="213" t="s">
        <v>16051</v>
      </c>
      <c r="U1932" s="213" t="s">
        <v>70848</v>
      </c>
    </row>
    <row r="1933" spans="1:21" x14ac:dyDescent="0.25">
      <c r="A1933" s="213" t="s">
        <v>327</v>
      </c>
      <c r="D1933" s="213" t="s">
        <v>16052</v>
      </c>
      <c r="E1933" s="213" t="s">
        <v>16053</v>
      </c>
      <c r="K1933" s="213" t="s">
        <v>70420</v>
      </c>
      <c r="L1933" s="213" t="s">
        <v>70563</v>
      </c>
      <c r="M1933" s="213" t="s">
        <v>70706</v>
      </c>
      <c r="N1933" s="213" t="s">
        <v>16054</v>
      </c>
      <c r="O1933" s="213" t="s">
        <v>16055</v>
      </c>
      <c r="P1933" s="213" t="s">
        <v>16056</v>
      </c>
      <c r="Q1933" s="213" t="s">
        <v>16057</v>
      </c>
      <c r="R1933" s="213" t="s">
        <v>16058</v>
      </c>
      <c r="S1933" s="213" t="s">
        <v>16059</v>
      </c>
      <c r="T1933" s="213" t="s">
        <v>16060</v>
      </c>
      <c r="U1933" s="213" t="s">
        <v>70849</v>
      </c>
    </row>
    <row r="1934" spans="1:21" x14ac:dyDescent="0.25">
      <c r="A1934" s="213" t="s">
        <v>327</v>
      </c>
      <c r="D1934" s="213" t="s">
        <v>16061</v>
      </c>
      <c r="E1934" s="213" t="s">
        <v>16062</v>
      </c>
      <c r="K1934" s="213" t="s">
        <v>70421</v>
      </c>
      <c r="L1934" s="213" t="s">
        <v>70564</v>
      </c>
      <c r="M1934" s="213" t="s">
        <v>70707</v>
      </c>
      <c r="N1934" s="213" t="s">
        <v>16063</v>
      </c>
      <c r="O1934" s="213" t="s">
        <v>16064</v>
      </c>
      <c r="P1934" s="213" t="s">
        <v>16065</v>
      </c>
      <c r="Q1934" s="213" t="s">
        <v>16066</v>
      </c>
      <c r="R1934" s="213" t="s">
        <v>16067</v>
      </c>
      <c r="S1934" s="213" t="s">
        <v>16068</v>
      </c>
      <c r="T1934" s="213" t="s">
        <v>16069</v>
      </c>
      <c r="U1934" s="213" t="s">
        <v>70850</v>
      </c>
    </row>
    <row r="1935" spans="1:21" x14ac:dyDescent="0.25">
      <c r="A1935" s="213" t="s">
        <v>327</v>
      </c>
      <c r="D1935" s="213" t="s">
        <v>16070</v>
      </c>
      <c r="E1935" s="213" t="s">
        <v>16071</v>
      </c>
      <c r="K1935" s="213" t="s">
        <v>70422</v>
      </c>
      <c r="L1935" s="213" t="s">
        <v>70565</v>
      </c>
      <c r="M1935" s="213" t="s">
        <v>70708</v>
      </c>
      <c r="N1935" s="213" t="s">
        <v>16072</v>
      </c>
      <c r="O1935" s="213" t="s">
        <v>16073</v>
      </c>
      <c r="P1935" s="213" t="s">
        <v>16074</v>
      </c>
      <c r="Q1935" s="213" t="s">
        <v>16075</v>
      </c>
      <c r="R1935" s="213" t="s">
        <v>16076</v>
      </c>
      <c r="S1935" s="213" t="s">
        <v>16077</v>
      </c>
      <c r="T1935" s="213" t="s">
        <v>16078</v>
      </c>
      <c r="U1935" s="213" t="s">
        <v>70851</v>
      </c>
    </row>
    <row r="1936" spans="1:21" x14ac:dyDescent="0.25">
      <c r="A1936" s="213" t="s">
        <v>327</v>
      </c>
      <c r="D1936" s="213" t="s">
        <v>16079</v>
      </c>
      <c r="E1936" s="213" t="s">
        <v>16080</v>
      </c>
      <c r="K1936" s="213" t="s">
        <v>70423</v>
      </c>
      <c r="L1936" s="213" t="s">
        <v>70566</v>
      </c>
      <c r="M1936" s="213" t="s">
        <v>70709</v>
      </c>
      <c r="N1936" s="213" t="s">
        <v>16081</v>
      </c>
      <c r="O1936" s="213" t="s">
        <v>16082</v>
      </c>
      <c r="P1936" s="213" t="s">
        <v>16083</v>
      </c>
      <c r="Q1936" s="213" t="s">
        <v>16084</v>
      </c>
      <c r="R1936" s="213" t="s">
        <v>16085</v>
      </c>
      <c r="S1936" s="213" t="s">
        <v>16086</v>
      </c>
      <c r="T1936" s="213" t="s">
        <v>16087</v>
      </c>
      <c r="U1936" s="213" t="s">
        <v>70852</v>
      </c>
    </row>
    <row r="1937" spans="1:21" x14ac:dyDescent="0.25">
      <c r="A1937" s="213" t="s">
        <v>327</v>
      </c>
      <c r="D1937" s="213" t="s">
        <v>16088</v>
      </c>
      <c r="E1937" s="213" t="s">
        <v>16089</v>
      </c>
      <c r="K1937" s="213" t="s">
        <v>70424</v>
      </c>
      <c r="L1937" s="213" t="s">
        <v>70567</v>
      </c>
      <c r="M1937" s="213" t="s">
        <v>70710</v>
      </c>
      <c r="N1937" s="213" t="s">
        <v>16090</v>
      </c>
      <c r="O1937" s="213" t="s">
        <v>16091</v>
      </c>
      <c r="P1937" s="213" t="s">
        <v>16092</v>
      </c>
      <c r="Q1937" s="213" t="s">
        <v>16093</v>
      </c>
      <c r="R1937" s="213" t="s">
        <v>16094</v>
      </c>
      <c r="S1937" s="213" t="s">
        <v>16095</v>
      </c>
      <c r="T1937" s="213" t="s">
        <v>16096</v>
      </c>
      <c r="U1937" s="213" t="s">
        <v>70853</v>
      </c>
    </row>
    <row r="1938" spans="1:21" x14ac:dyDescent="0.25">
      <c r="A1938" s="213" t="s">
        <v>327</v>
      </c>
      <c r="D1938" s="213" t="s">
        <v>16097</v>
      </c>
      <c r="E1938" s="213" t="s">
        <v>16098</v>
      </c>
      <c r="K1938" s="213" t="s">
        <v>70425</v>
      </c>
      <c r="L1938" s="213" t="s">
        <v>70568</v>
      </c>
      <c r="M1938" s="213" t="s">
        <v>70711</v>
      </c>
      <c r="N1938" s="213" t="s">
        <v>16099</v>
      </c>
      <c r="O1938" s="213" t="s">
        <v>16100</v>
      </c>
      <c r="P1938" s="213" t="s">
        <v>16101</v>
      </c>
      <c r="Q1938" s="213" t="s">
        <v>16102</v>
      </c>
      <c r="R1938" s="213" t="s">
        <v>16103</v>
      </c>
      <c r="S1938" s="213" t="s">
        <v>16104</v>
      </c>
      <c r="T1938" s="213" t="s">
        <v>16105</v>
      </c>
      <c r="U1938" s="213" t="s">
        <v>70854</v>
      </c>
    </row>
    <row r="1939" spans="1:21" x14ac:dyDescent="0.25">
      <c r="A1939" s="213" t="s">
        <v>327</v>
      </c>
      <c r="D1939" s="213" t="s">
        <v>16106</v>
      </c>
      <c r="E1939" s="213" t="s">
        <v>16107</v>
      </c>
      <c r="K1939" s="213" t="s">
        <v>70426</v>
      </c>
      <c r="L1939" s="213" t="s">
        <v>70569</v>
      </c>
      <c r="M1939" s="213" t="s">
        <v>70712</v>
      </c>
      <c r="N1939" s="213" t="s">
        <v>16108</v>
      </c>
      <c r="O1939" s="213" t="s">
        <v>16109</v>
      </c>
      <c r="P1939" s="213" t="s">
        <v>16110</v>
      </c>
      <c r="Q1939" s="213" t="s">
        <v>16111</v>
      </c>
      <c r="R1939" s="213" t="s">
        <v>16112</v>
      </c>
      <c r="S1939" s="213" t="s">
        <v>16113</v>
      </c>
      <c r="T1939" s="213" t="s">
        <v>16114</v>
      </c>
      <c r="U1939" s="213" t="s">
        <v>70855</v>
      </c>
    </row>
    <row r="1940" spans="1:21" x14ac:dyDescent="0.25">
      <c r="A1940" s="213" t="s">
        <v>327</v>
      </c>
      <c r="D1940" s="213" t="s">
        <v>16115</v>
      </c>
      <c r="E1940" s="213" t="s">
        <v>16116</v>
      </c>
      <c r="K1940" s="213" t="s">
        <v>70427</v>
      </c>
      <c r="L1940" s="213" t="s">
        <v>70570</v>
      </c>
      <c r="M1940" s="213" t="s">
        <v>70713</v>
      </c>
      <c r="N1940" s="213" t="s">
        <v>16117</v>
      </c>
      <c r="O1940" s="213" t="s">
        <v>16118</v>
      </c>
      <c r="P1940" s="213" t="s">
        <v>16119</v>
      </c>
      <c r="Q1940" s="213" t="s">
        <v>16120</v>
      </c>
      <c r="R1940" s="213" t="s">
        <v>16121</v>
      </c>
      <c r="S1940" s="213" t="s">
        <v>16122</v>
      </c>
      <c r="T1940" s="213" t="s">
        <v>16123</v>
      </c>
      <c r="U1940" s="213" t="s">
        <v>70856</v>
      </c>
    </row>
    <row r="1941" spans="1:21" x14ac:dyDescent="0.25">
      <c r="A1941" s="213" t="s">
        <v>327</v>
      </c>
      <c r="D1941" s="213" t="s">
        <v>16124</v>
      </c>
      <c r="E1941" s="213" t="s">
        <v>16125</v>
      </c>
      <c r="K1941" s="213" t="s">
        <v>70428</v>
      </c>
      <c r="L1941" s="213" t="s">
        <v>70571</v>
      </c>
      <c r="M1941" s="213" t="s">
        <v>70714</v>
      </c>
      <c r="N1941" s="213" t="s">
        <v>16126</v>
      </c>
      <c r="O1941" s="213" t="s">
        <v>16127</v>
      </c>
      <c r="P1941" s="213" t="s">
        <v>16128</v>
      </c>
      <c r="Q1941" s="213" t="s">
        <v>16129</v>
      </c>
      <c r="R1941" s="213" t="s">
        <v>16130</v>
      </c>
      <c r="S1941" s="213" t="s">
        <v>16131</v>
      </c>
      <c r="T1941" s="213" t="s">
        <v>16132</v>
      </c>
      <c r="U1941" s="213" t="s">
        <v>70857</v>
      </c>
    </row>
    <row r="1942" spans="1:21" x14ac:dyDescent="0.25">
      <c r="A1942" s="213" t="s">
        <v>327</v>
      </c>
      <c r="D1942" s="213" t="s">
        <v>16133</v>
      </c>
      <c r="E1942" s="213" t="s">
        <v>16134</v>
      </c>
      <c r="K1942" s="213" t="s">
        <v>70429</v>
      </c>
      <c r="L1942" s="213" t="s">
        <v>70572</v>
      </c>
      <c r="M1942" s="213" t="s">
        <v>70715</v>
      </c>
      <c r="N1942" s="213" t="s">
        <v>16135</v>
      </c>
      <c r="O1942" s="213" t="s">
        <v>16136</v>
      </c>
      <c r="P1942" s="213" t="s">
        <v>16137</v>
      </c>
      <c r="Q1942" s="213" t="s">
        <v>16138</v>
      </c>
      <c r="R1942" s="213" t="s">
        <v>16139</v>
      </c>
      <c r="S1942" s="213" t="s">
        <v>16140</v>
      </c>
      <c r="T1942" s="213" t="s">
        <v>16141</v>
      </c>
      <c r="U1942" s="213" t="s">
        <v>70858</v>
      </c>
    </row>
    <row r="1943" spans="1:21" x14ac:dyDescent="0.25">
      <c r="A1943" s="213" t="s">
        <v>327</v>
      </c>
      <c r="D1943" s="213" t="s">
        <v>16142</v>
      </c>
      <c r="E1943" s="213" t="s">
        <v>16143</v>
      </c>
      <c r="K1943" s="213" t="s">
        <v>70430</v>
      </c>
      <c r="L1943" s="213" t="s">
        <v>70573</v>
      </c>
      <c r="M1943" s="213" t="s">
        <v>70716</v>
      </c>
      <c r="N1943" s="213" t="s">
        <v>16144</v>
      </c>
      <c r="O1943" s="213" t="s">
        <v>16145</v>
      </c>
      <c r="P1943" s="213" t="s">
        <v>16146</v>
      </c>
      <c r="Q1943" s="213" t="s">
        <v>16147</v>
      </c>
      <c r="R1943" s="213" t="s">
        <v>16148</v>
      </c>
      <c r="S1943" s="213" t="s">
        <v>16149</v>
      </c>
      <c r="T1943" s="213" t="s">
        <v>16150</v>
      </c>
      <c r="U1943" s="213" t="s">
        <v>70859</v>
      </c>
    </row>
    <row r="1944" spans="1:21" x14ac:dyDescent="0.25">
      <c r="A1944" s="213" t="s">
        <v>327</v>
      </c>
      <c r="D1944" s="213" t="s">
        <v>16151</v>
      </c>
      <c r="E1944" s="213" t="s">
        <v>16152</v>
      </c>
      <c r="K1944" s="213" t="s">
        <v>70431</v>
      </c>
      <c r="L1944" s="213" t="s">
        <v>70574</v>
      </c>
      <c r="M1944" s="213" t="s">
        <v>70717</v>
      </c>
      <c r="N1944" s="213" t="s">
        <v>16153</v>
      </c>
      <c r="O1944" s="213" t="s">
        <v>16154</v>
      </c>
      <c r="P1944" s="213" t="s">
        <v>16155</v>
      </c>
      <c r="Q1944" s="213" t="s">
        <v>16156</v>
      </c>
      <c r="R1944" s="213" t="s">
        <v>16157</v>
      </c>
      <c r="S1944" s="213" t="s">
        <v>16158</v>
      </c>
      <c r="T1944" s="213" t="s">
        <v>16159</v>
      </c>
      <c r="U1944" s="213" t="s">
        <v>70860</v>
      </c>
    </row>
    <row r="1945" spans="1:21" x14ac:dyDescent="0.25">
      <c r="A1945" s="213" t="s">
        <v>327</v>
      </c>
      <c r="D1945" s="213" t="s">
        <v>16160</v>
      </c>
      <c r="E1945" s="213" t="s">
        <v>16161</v>
      </c>
      <c r="K1945" s="213" t="s">
        <v>70432</v>
      </c>
      <c r="L1945" s="213" t="s">
        <v>70575</v>
      </c>
      <c r="M1945" s="213" t="s">
        <v>70718</v>
      </c>
      <c r="N1945" s="213" t="s">
        <v>16162</v>
      </c>
      <c r="O1945" s="213" t="s">
        <v>16163</v>
      </c>
      <c r="P1945" s="213" t="s">
        <v>16164</v>
      </c>
      <c r="Q1945" s="213" t="s">
        <v>16165</v>
      </c>
      <c r="R1945" s="213" t="s">
        <v>16166</v>
      </c>
      <c r="S1945" s="213" t="s">
        <v>16167</v>
      </c>
      <c r="T1945" s="213" t="s">
        <v>16168</v>
      </c>
      <c r="U1945" s="213" t="s">
        <v>70861</v>
      </c>
    </row>
    <row r="1946" spans="1:21" x14ac:dyDescent="0.25">
      <c r="A1946" s="213" t="s">
        <v>327</v>
      </c>
      <c r="D1946" s="213" t="s">
        <v>16169</v>
      </c>
      <c r="E1946" s="213" t="s">
        <v>16170</v>
      </c>
      <c r="K1946" s="213" t="s">
        <v>70433</v>
      </c>
      <c r="L1946" s="213" t="s">
        <v>70576</v>
      </c>
      <c r="M1946" s="213" t="s">
        <v>70719</v>
      </c>
      <c r="N1946" s="213" t="s">
        <v>16171</v>
      </c>
      <c r="O1946" s="213" t="s">
        <v>16172</v>
      </c>
      <c r="P1946" s="213" t="s">
        <v>16173</v>
      </c>
      <c r="Q1946" s="213" t="s">
        <v>16174</v>
      </c>
      <c r="R1946" s="213" t="s">
        <v>16175</v>
      </c>
      <c r="S1946" s="213" t="s">
        <v>16176</v>
      </c>
      <c r="T1946" s="213" t="s">
        <v>16177</v>
      </c>
      <c r="U1946" s="213" t="s">
        <v>70862</v>
      </c>
    </row>
    <row r="1947" spans="1:21" x14ac:dyDescent="0.25">
      <c r="A1947" s="213" t="s">
        <v>327</v>
      </c>
      <c r="D1947" s="213" t="s">
        <v>16178</v>
      </c>
      <c r="E1947" s="213" t="s">
        <v>16179</v>
      </c>
      <c r="K1947" s="213" t="s">
        <v>70434</v>
      </c>
      <c r="L1947" s="213" t="s">
        <v>70577</v>
      </c>
      <c r="M1947" s="213" t="s">
        <v>70720</v>
      </c>
      <c r="N1947" s="213" t="s">
        <v>16180</v>
      </c>
      <c r="O1947" s="213" t="s">
        <v>16181</v>
      </c>
      <c r="P1947" s="213" t="s">
        <v>16182</v>
      </c>
      <c r="Q1947" s="213" t="s">
        <v>16183</v>
      </c>
      <c r="R1947" s="213" t="s">
        <v>16184</v>
      </c>
      <c r="S1947" s="213" t="s">
        <v>16185</v>
      </c>
      <c r="T1947" s="213" t="s">
        <v>16186</v>
      </c>
      <c r="U1947" s="213" t="s">
        <v>70863</v>
      </c>
    </row>
    <row r="1948" spans="1:21" x14ac:dyDescent="0.25">
      <c r="A1948" s="213" t="s">
        <v>327</v>
      </c>
      <c r="D1948" s="213" t="s">
        <v>16187</v>
      </c>
      <c r="E1948" s="213" t="s">
        <v>16188</v>
      </c>
      <c r="K1948" s="213" t="s">
        <v>70435</v>
      </c>
      <c r="L1948" s="213" t="s">
        <v>70578</v>
      </c>
      <c r="M1948" s="213" t="s">
        <v>70721</v>
      </c>
      <c r="N1948" s="213" t="s">
        <v>16189</v>
      </c>
      <c r="O1948" s="213" t="s">
        <v>16190</v>
      </c>
      <c r="P1948" s="213" t="s">
        <v>16191</v>
      </c>
      <c r="Q1948" s="213" t="s">
        <v>16192</v>
      </c>
      <c r="R1948" s="213" t="s">
        <v>16193</v>
      </c>
      <c r="S1948" s="213" t="s">
        <v>16194</v>
      </c>
      <c r="T1948" s="213" t="s">
        <v>16195</v>
      </c>
      <c r="U1948" s="213" t="s">
        <v>70864</v>
      </c>
    </row>
    <row r="1949" spans="1:21" x14ac:dyDescent="0.25">
      <c r="A1949" s="213" t="s">
        <v>327</v>
      </c>
      <c r="D1949" s="213" t="s">
        <v>16196</v>
      </c>
      <c r="E1949" s="213" t="s">
        <v>16197</v>
      </c>
      <c r="K1949" s="213" t="s">
        <v>70436</v>
      </c>
      <c r="L1949" s="213" t="s">
        <v>70579</v>
      </c>
      <c r="M1949" s="213" t="s">
        <v>70722</v>
      </c>
      <c r="N1949" s="213" t="s">
        <v>16198</v>
      </c>
      <c r="O1949" s="213" t="s">
        <v>16199</v>
      </c>
      <c r="P1949" s="213" t="s">
        <v>16200</v>
      </c>
      <c r="Q1949" s="213" t="s">
        <v>16201</v>
      </c>
      <c r="R1949" s="213" t="s">
        <v>16202</v>
      </c>
      <c r="S1949" s="213" t="s">
        <v>16203</v>
      </c>
      <c r="T1949" s="213" t="s">
        <v>16204</v>
      </c>
      <c r="U1949" s="213" t="s">
        <v>70865</v>
      </c>
    </row>
    <row r="1950" spans="1:21" x14ac:dyDescent="0.25">
      <c r="A1950" s="213" t="s">
        <v>327</v>
      </c>
      <c r="D1950" s="213" t="s">
        <v>16205</v>
      </c>
      <c r="E1950" s="213" t="s">
        <v>16206</v>
      </c>
      <c r="K1950" s="213" t="s">
        <v>70437</v>
      </c>
      <c r="L1950" s="213" t="s">
        <v>70580</v>
      </c>
      <c r="M1950" s="213" t="s">
        <v>70723</v>
      </c>
      <c r="N1950" s="213" t="s">
        <v>16207</v>
      </c>
      <c r="O1950" s="213" t="s">
        <v>16208</v>
      </c>
      <c r="P1950" s="213" t="s">
        <v>16209</v>
      </c>
      <c r="Q1950" s="213" t="s">
        <v>16210</v>
      </c>
      <c r="R1950" s="213" t="s">
        <v>16211</v>
      </c>
      <c r="S1950" s="213" t="s">
        <v>16212</v>
      </c>
      <c r="T1950" s="213" t="s">
        <v>16213</v>
      </c>
      <c r="U1950" s="213" t="s">
        <v>70866</v>
      </c>
    </row>
    <row r="1951" spans="1:21" x14ac:dyDescent="0.25">
      <c r="A1951" s="213" t="s">
        <v>327</v>
      </c>
      <c r="D1951" s="213" t="s">
        <v>16214</v>
      </c>
      <c r="E1951" s="213" t="s">
        <v>16215</v>
      </c>
      <c r="K1951" s="213" t="s">
        <v>70438</v>
      </c>
      <c r="L1951" s="213" t="s">
        <v>70581</v>
      </c>
      <c r="M1951" s="213" t="s">
        <v>70724</v>
      </c>
      <c r="N1951" s="213" t="s">
        <v>16216</v>
      </c>
      <c r="O1951" s="213" t="s">
        <v>16217</v>
      </c>
      <c r="P1951" s="213" t="s">
        <v>16218</v>
      </c>
      <c r="Q1951" s="213" t="s">
        <v>16219</v>
      </c>
      <c r="R1951" s="213" t="s">
        <v>16220</v>
      </c>
      <c r="S1951" s="213" t="s">
        <v>16221</v>
      </c>
      <c r="T1951" s="213" t="s">
        <v>16222</v>
      </c>
      <c r="U1951" s="213" t="s">
        <v>70867</v>
      </c>
    </row>
    <row r="1952" spans="1:21" x14ac:dyDescent="0.25">
      <c r="A1952" s="213" t="s">
        <v>327</v>
      </c>
      <c r="D1952" s="213" t="s">
        <v>16223</v>
      </c>
      <c r="E1952" s="213" t="s">
        <v>16224</v>
      </c>
      <c r="K1952" s="213" t="s">
        <v>70439</v>
      </c>
      <c r="L1952" s="213" t="s">
        <v>70582</v>
      </c>
      <c r="M1952" s="213" t="s">
        <v>70725</v>
      </c>
      <c r="N1952" s="213" t="s">
        <v>16225</v>
      </c>
      <c r="O1952" s="213" t="s">
        <v>16226</v>
      </c>
      <c r="P1952" s="213" t="s">
        <v>16227</v>
      </c>
      <c r="Q1952" s="213" t="s">
        <v>16228</v>
      </c>
      <c r="R1952" s="213" t="s">
        <v>16229</v>
      </c>
      <c r="S1952" s="213" t="s">
        <v>16230</v>
      </c>
      <c r="T1952" s="213" t="s">
        <v>16231</v>
      </c>
      <c r="U1952" s="213" t="s">
        <v>70868</v>
      </c>
    </row>
    <row r="1953" spans="1:21" x14ac:dyDescent="0.25">
      <c r="A1953" s="213" t="s">
        <v>327</v>
      </c>
      <c r="D1953" s="213" t="s">
        <v>16232</v>
      </c>
      <c r="E1953" s="213" t="s">
        <v>16233</v>
      </c>
      <c r="K1953" s="213" t="s">
        <v>70440</v>
      </c>
      <c r="L1953" s="213" t="s">
        <v>70583</v>
      </c>
      <c r="M1953" s="213" t="s">
        <v>70726</v>
      </c>
      <c r="N1953" s="213" t="s">
        <v>16234</v>
      </c>
      <c r="O1953" s="213" t="s">
        <v>16235</v>
      </c>
      <c r="P1953" s="213" t="s">
        <v>16236</v>
      </c>
      <c r="Q1953" s="213" t="s">
        <v>16237</v>
      </c>
      <c r="R1953" s="213" t="s">
        <v>16238</v>
      </c>
      <c r="S1953" s="213" t="s">
        <v>16239</v>
      </c>
      <c r="T1953" s="213" t="s">
        <v>16240</v>
      </c>
      <c r="U1953" s="213" t="s">
        <v>70869</v>
      </c>
    </row>
    <row r="1954" spans="1:21" x14ac:dyDescent="0.25">
      <c r="A1954" s="213" t="s">
        <v>327</v>
      </c>
      <c r="D1954" s="213" t="s">
        <v>16241</v>
      </c>
      <c r="E1954" s="213" t="s">
        <v>16242</v>
      </c>
      <c r="K1954" s="213" t="s">
        <v>70441</v>
      </c>
      <c r="L1954" s="213" t="s">
        <v>70584</v>
      </c>
      <c r="M1954" s="213" t="s">
        <v>70727</v>
      </c>
      <c r="N1954" s="213" t="s">
        <v>16243</v>
      </c>
      <c r="O1954" s="213" t="s">
        <v>16244</v>
      </c>
      <c r="P1954" s="213" t="s">
        <v>16245</v>
      </c>
      <c r="Q1954" s="213" t="s">
        <v>16246</v>
      </c>
      <c r="R1954" s="213" t="s">
        <v>16247</v>
      </c>
      <c r="S1954" s="213" t="s">
        <v>16248</v>
      </c>
      <c r="T1954" s="213" t="s">
        <v>16249</v>
      </c>
      <c r="U1954" s="213" t="s">
        <v>70870</v>
      </c>
    </row>
    <row r="1955" spans="1:21" x14ac:dyDescent="0.25">
      <c r="A1955" s="213" t="s">
        <v>327</v>
      </c>
      <c r="D1955" s="213" t="s">
        <v>16250</v>
      </c>
      <c r="E1955" s="213" t="s">
        <v>16251</v>
      </c>
      <c r="K1955" s="213" t="s">
        <v>70442</v>
      </c>
      <c r="L1955" s="213" t="s">
        <v>70585</v>
      </c>
      <c r="M1955" s="213" t="s">
        <v>70728</v>
      </c>
      <c r="N1955" s="213" t="s">
        <v>16252</v>
      </c>
      <c r="O1955" s="213" t="s">
        <v>16253</v>
      </c>
      <c r="P1955" s="213" t="s">
        <v>16254</v>
      </c>
      <c r="Q1955" s="213" t="s">
        <v>16255</v>
      </c>
      <c r="R1955" s="213" t="s">
        <v>16256</v>
      </c>
      <c r="S1955" s="213" t="s">
        <v>16257</v>
      </c>
      <c r="T1955" s="213" t="s">
        <v>16258</v>
      </c>
      <c r="U1955" s="213" t="s">
        <v>70871</v>
      </c>
    </row>
    <row r="1956" spans="1:21" x14ac:dyDescent="0.25">
      <c r="A1956" s="213" t="s">
        <v>327</v>
      </c>
      <c r="D1956" s="213" t="s">
        <v>16259</v>
      </c>
      <c r="E1956" s="213" t="s">
        <v>16260</v>
      </c>
      <c r="K1956" s="213" t="s">
        <v>70443</v>
      </c>
      <c r="L1956" s="213" t="s">
        <v>70586</v>
      </c>
      <c r="M1956" s="213" t="s">
        <v>70729</v>
      </c>
      <c r="N1956" s="213" t="s">
        <v>16261</v>
      </c>
      <c r="O1956" s="213" t="s">
        <v>16262</v>
      </c>
      <c r="P1956" s="213" t="s">
        <v>16263</v>
      </c>
      <c r="Q1956" s="213" t="s">
        <v>16264</v>
      </c>
      <c r="R1956" s="213" t="s">
        <v>16265</v>
      </c>
      <c r="S1956" s="213" t="s">
        <v>16266</v>
      </c>
      <c r="T1956" s="213" t="s">
        <v>16267</v>
      </c>
      <c r="U1956" s="213" t="s">
        <v>70872</v>
      </c>
    </row>
    <row r="1957" spans="1:21" x14ac:dyDescent="0.25">
      <c r="A1957" s="213" t="s">
        <v>327</v>
      </c>
      <c r="D1957" s="213" t="s">
        <v>16268</v>
      </c>
      <c r="E1957" s="213" t="s">
        <v>16269</v>
      </c>
      <c r="K1957" s="213" t="s">
        <v>70444</v>
      </c>
      <c r="L1957" s="213" t="s">
        <v>70587</v>
      </c>
      <c r="M1957" s="213" t="s">
        <v>70730</v>
      </c>
      <c r="N1957" s="213" t="s">
        <v>16270</v>
      </c>
      <c r="O1957" s="213" t="s">
        <v>16271</v>
      </c>
      <c r="P1957" s="213" t="s">
        <v>16272</v>
      </c>
      <c r="Q1957" s="213" t="s">
        <v>16273</v>
      </c>
      <c r="R1957" s="213" t="s">
        <v>16274</v>
      </c>
      <c r="S1957" s="213" t="s">
        <v>16275</v>
      </c>
      <c r="T1957" s="213" t="s">
        <v>16276</v>
      </c>
      <c r="U1957" s="213" t="s">
        <v>70873</v>
      </c>
    </row>
    <row r="1958" spans="1:21" x14ac:dyDescent="0.25">
      <c r="A1958" s="213" t="s">
        <v>327</v>
      </c>
      <c r="D1958" s="213" t="s">
        <v>16277</v>
      </c>
      <c r="E1958" s="213" t="s">
        <v>16278</v>
      </c>
      <c r="K1958" s="213" t="s">
        <v>70445</v>
      </c>
      <c r="L1958" s="213" t="s">
        <v>70588</v>
      </c>
      <c r="M1958" s="213" t="s">
        <v>70731</v>
      </c>
      <c r="N1958" s="213" t="s">
        <v>16279</v>
      </c>
      <c r="O1958" s="213" t="s">
        <v>16280</v>
      </c>
      <c r="P1958" s="213" t="s">
        <v>16281</v>
      </c>
      <c r="Q1958" s="213" t="s">
        <v>16282</v>
      </c>
      <c r="R1958" s="213" t="s">
        <v>16283</v>
      </c>
      <c r="S1958" s="213" t="s">
        <v>16284</v>
      </c>
      <c r="T1958" s="213" t="s">
        <v>16285</v>
      </c>
      <c r="U1958" s="213" t="s">
        <v>70874</v>
      </c>
    </row>
    <row r="1959" spans="1:21" x14ac:dyDescent="0.25">
      <c r="A1959" s="213" t="s">
        <v>327</v>
      </c>
      <c r="D1959" s="213" t="s">
        <v>16286</v>
      </c>
      <c r="E1959" s="213" t="s">
        <v>16287</v>
      </c>
      <c r="K1959" s="213" t="s">
        <v>70446</v>
      </c>
      <c r="L1959" s="213" t="s">
        <v>70589</v>
      </c>
      <c r="M1959" s="213" t="s">
        <v>70732</v>
      </c>
      <c r="N1959" s="213" t="s">
        <v>16288</v>
      </c>
      <c r="O1959" s="213" t="s">
        <v>16289</v>
      </c>
      <c r="P1959" s="213" t="s">
        <v>16290</v>
      </c>
      <c r="Q1959" s="213" t="s">
        <v>16291</v>
      </c>
      <c r="R1959" s="213" t="s">
        <v>16292</v>
      </c>
      <c r="S1959" s="213" t="s">
        <v>16293</v>
      </c>
      <c r="T1959" s="213" t="s">
        <v>16294</v>
      </c>
      <c r="U1959" s="213" t="s">
        <v>70875</v>
      </c>
    </row>
    <row r="1960" spans="1:21" x14ac:dyDescent="0.25">
      <c r="A1960" s="213" t="s">
        <v>327</v>
      </c>
      <c r="D1960" s="213" t="s">
        <v>16295</v>
      </c>
      <c r="E1960" s="213" t="s">
        <v>16296</v>
      </c>
      <c r="K1960" s="213" t="s">
        <v>70447</v>
      </c>
      <c r="L1960" s="213" t="s">
        <v>70590</v>
      </c>
      <c r="M1960" s="213" t="s">
        <v>70733</v>
      </c>
      <c r="N1960" s="213" t="s">
        <v>16297</v>
      </c>
      <c r="O1960" s="213" t="s">
        <v>16298</v>
      </c>
      <c r="P1960" s="213" t="s">
        <v>16299</v>
      </c>
      <c r="Q1960" s="213" t="s">
        <v>16300</v>
      </c>
      <c r="R1960" s="213" t="s">
        <v>16301</v>
      </c>
      <c r="S1960" s="213" t="s">
        <v>16302</v>
      </c>
      <c r="T1960" s="213" t="s">
        <v>16303</v>
      </c>
      <c r="U1960" s="213" t="s">
        <v>70876</v>
      </c>
    </row>
    <row r="1961" spans="1:21" x14ac:dyDescent="0.25">
      <c r="A1961" s="213" t="s">
        <v>327</v>
      </c>
      <c r="D1961" s="213" t="s">
        <v>16304</v>
      </c>
      <c r="E1961" s="213" t="s">
        <v>16305</v>
      </c>
      <c r="K1961" s="213" t="s">
        <v>70448</v>
      </c>
      <c r="L1961" s="213" t="s">
        <v>70591</v>
      </c>
      <c r="M1961" s="213" t="s">
        <v>70734</v>
      </c>
      <c r="N1961" s="213" t="s">
        <v>16306</v>
      </c>
      <c r="O1961" s="213" t="s">
        <v>16307</v>
      </c>
      <c r="P1961" s="213" t="s">
        <v>16308</v>
      </c>
      <c r="Q1961" s="213" t="s">
        <v>16309</v>
      </c>
      <c r="R1961" s="213" t="s">
        <v>16310</v>
      </c>
      <c r="S1961" s="213" t="s">
        <v>16311</v>
      </c>
      <c r="T1961" s="213" t="s">
        <v>16312</v>
      </c>
      <c r="U1961" s="213" t="s">
        <v>70877</v>
      </c>
    </row>
    <row r="1962" spans="1:21" x14ac:dyDescent="0.25">
      <c r="A1962" s="213" t="s">
        <v>327</v>
      </c>
      <c r="D1962" s="213" t="s">
        <v>16313</v>
      </c>
      <c r="E1962" s="213" t="s">
        <v>16314</v>
      </c>
      <c r="K1962" s="213" t="s">
        <v>70449</v>
      </c>
      <c r="L1962" s="213" t="s">
        <v>70592</v>
      </c>
      <c r="M1962" s="213" t="s">
        <v>70735</v>
      </c>
      <c r="N1962" s="213" t="s">
        <v>16315</v>
      </c>
      <c r="O1962" s="213" t="s">
        <v>16316</v>
      </c>
      <c r="P1962" s="213" t="s">
        <v>16317</v>
      </c>
      <c r="Q1962" s="213" t="s">
        <v>16318</v>
      </c>
      <c r="R1962" s="213" t="s">
        <v>16319</v>
      </c>
      <c r="S1962" s="213" t="s">
        <v>16320</v>
      </c>
      <c r="T1962" s="213" t="s">
        <v>16321</v>
      </c>
      <c r="U1962" s="213" t="s">
        <v>70878</v>
      </c>
    </row>
    <row r="1963" spans="1:21" x14ac:dyDescent="0.25">
      <c r="A1963" s="213" t="s">
        <v>327</v>
      </c>
      <c r="D1963" s="213" t="s">
        <v>16322</v>
      </c>
      <c r="E1963" s="213" t="s">
        <v>16323</v>
      </c>
      <c r="K1963" s="213" t="s">
        <v>70450</v>
      </c>
      <c r="L1963" s="213" t="s">
        <v>70593</v>
      </c>
      <c r="M1963" s="213" t="s">
        <v>70736</v>
      </c>
      <c r="N1963" s="213" t="s">
        <v>16324</v>
      </c>
      <c r="O1963" s="213" t="s">
        <v>16325</v>
      </c>
      <c r="P1963" s="213" t="s">
        <v>16326</v>
      </c>
      <c r="Q1963" s="213" t="s">
        <v>16327</v>
      </c>
      <c r="R1963" s="213" t="s">
        <v>16328</v>
      </c>
      <c r="S1963" s="213" t="s">
        <v>16329</v>
      </c>
      <c r="T1963" s="213" t="s">
        <v>16330</v>
      </c>
      <c r="U1963" s="213" t="s">
        <v>70879</v>
      </c>
    </row>
    <row r="1964" spans="1:21" x14ac:dyDescent="0.25">
      <c r="A1964" s="213" t="s">
        <v>327</v>
      </c>
      <c r="D1964" s="213" t="s">
        <v>16331</v>
      </c>
      <c r="E1964" s="213" t="s">
        <v>16332</v>
      </c>
      <c r="K1964" s="213" t="s">
        <v>70451</v>
      </c>
      <c r="L1964" s="213" t="s">
        <v>70594</v>
      </c>
      <c r="M1964" s="213" t="s">
        <v>70737</v>
      </c>
      <c r="N1964" s="213" t="s">
        <v>16333</v>
      </c>
      <c r="O1964" s="213" t="s">
        <v>16334</v>
      </c>
      <c r="P1964" s="213" t="s">
        <v>16335</v>
      </c>
      <c r="Q1964" s="213" t="s">
        <v>16336</v>
      </c>
      <c r="R1964" s="213" t="s">
        <v>16337</v>
      </c>
      <c r="S1964" s="213" t="s">
        <v>16338</v>
      </c>
      <c r="T1964" s="213" t="s">
        <v>16339</v>
      </c>
      <c r="U1964" s="213" t="s">
        <v>70880</v>
      </c>
    </row>
    <row r="1965" spans="1:21" x14ac:dyDescent="0.25">
      <c r="A1965" s="213" t="s">
        <v>327</v>
      </c>
      <c r="D1965" s="213" t="s">
        <v>16340</v>
      </c>
      <c r="E1965" s="213" t="s">
        <v>16341</v>
      </c>
      <c r="K1965" s="213" t="s">
        <v>70452</v>
      </c>
      <c r="L1965" s="213" t="s">
        <v>70595</v>
      </c>
      <c r="M1965" s="213" t="s">
        <v>70738</v>
      </c>
      <c r="N1965" s="213" t="s">
        <v>16342</v>
      </c>
      <c r="O1965" s="213" t="s">
        <v>16343</v>
      </c>
      <c r="P1965" s="213" t="s">
        <v>16344</v>
      </c>
      <c r="Q1965" s="213" t="s">
        <v>16345</v>
      </c>
      <c r="R1965" s="213" t="s">
        <v>16346</v>
      </c>
      <c r="S1965" s="213" t="s">
        <v>16347</v>
      </c>
      <c r="T1965" s="213" t="s">
        <v>16348</v>
      </c>
      <c r="U1965" s="213" t="s">
        <v>70881</v>
      </c>
    </row>
    <row r="1966" spans="1:21" x14ac:dyDescent="0.25">
      <c r="A1966" s="213" t="s">
        <v>327</v>
      </c>
      <c r="D1966" s="213" t="s">
        <v>16349</v>
      </c>
      <c r="E1966" s="213" t="s">
        <v>16350</v>
      </c>
      <c r="K1966" s="213" t="s">
        <v>70453</v>
      </c>
      <c r="L1966" s="213" t="s">
        <v>70596</v>
      </c>
      <c r="M1966" s="213" t="s">
        <v>70739</v>
      </c>
      <c r="N1966" s="213" t="s">
        <v>16351</v>
      </c>
      <c r="O1966" s="213" t="s">
        <v>16352</v>
      </c>
      <c r="P1966" s="213" t="s">
        <v>16353</v>
      </c>
      <c r="Q1966" s="213" t="s">
        <v>16354</v>
      </c>
      <c r="R1966" s="213" t="s">
        <v>16355</v>
      </c>
      <c r="S1966" s="213" t="s">
        <v>16356</v>
      </c>
      <c r="T1966" s="213" t="s">
        <v>16357</v>
      </c>
      <c r="U1966" s="213" t="s">
        <v>70882</v>
      </c>
    </row>
    <row r="1967" spans="1:21" x14ac:dyDescent="0.25">
      <c r="A1967" s="213" t="s">
        <v>327</v>
      </c>
      <c r="D1967" s="213" t="s">
        <v>16358</v>
      </c>
      <c r="E1967" s="213" t="s">
        <v>16359</v>
      </c>
      <c r="K1967" s="213" t="s">
        <v>70454</v>
      </c>
      <c r="L1967" s="213" t="s">
        <v>70597</v>
      </c>
      <c r="M1967" s="213" t="s">
        <v>70740</v>
      </c>
      <c r="N1967" s="213" t="s">
        <v>16360</v>
      </c>
      <c r="O1967" s="213" t="s">
        <v>16361</v>
      </c>
      <c r="P1967" s="213" t="s">
        <v>16362</v>
      </c>
      <c r="Q1967" s="213" t="s">
        <v>16363</v>
      </c>
      <c r="R1967" s="213" t="s">
        <v>16364</v>
      </c>
      <c r="S1967" s="213" t="s">
        <v>16365</v>
      </c>
      <c r="T1967" s="213" t="s">
        <v>16366</v>
      </c>
      <c r="U1967" s="213" t="s">
        <v>70883</v>
      </c>
    </row>
    <row r="1968" spans="1:21" x14ac:dyDescent="0.25">
      <c r="A1968" s="213" t="s">
        <v>327</v>
      </c>
      <c r="D1968" s="213" t="s">
        <v>16367</v>
      </c>
      <c r="E1968" s="213" t="s">
        <v>16368</v>
      </c>
      <c r="K1968" s="213" t="s">
        <v>70455</v>
      </c>
      <c r="L1968" s="213" t="s">
        <v>70598</v>
      </c>
      <c r="M1968" s="213" t="s">
        <v>70741</v>
      </c>
      <c r="N1968" s="213" t="s">
        <v>16369</v>
      </c>
      <c r="O1968" s="213" t="s">
        <v>16370</v>
      </c>
      <c r="P1968" s="213" t="s">
        <v>16371</v>
      </c>
      <c r="Q1968" s="213" t="s">
        <v>16372</v>
      </c>
      <c r="R1968" s="213" t="s">
        <v>16373</v>
      </c>
      <c r="S1968" s="213" t="s">
        <v>16374</v>
      </c>
      <c r="T1968" s="213" t="s">
        <v>16375</v>
      </c>
      <c r="U1968" s="213" t="s">
        <v>70884</v>
      </c>
    </row>
    <row r="1969" spans="1:21" x14ac:dyDescent="0.25">
      <c r="A1969" s="213" t="s">
        <v>327</v>
      </c>
      <c r="D1969" s="213" t="s">
        <v>16376</v>
      </c>
      <c r="E1969" s="213" t="s">
        <v>16377</v>
      </c>
      <c r="K1969" s="213" t="s">
        <v>70456</v>
      </c>
      <c r="L1969" s="213" t="s">
        <v>70599</v>
      </c>
      <c r="M1969" s="213" t="s">
        <v>70742</v>
      </c>
      <c r="N1969" s="213" t="s">
        <v>16378</v>
      </c>
      <c r="O1969" s="213" t="s">
        <v>16379</v>
      </c>
      <c r="P1969" s="213" t="s">
        <v>16380</v>
      </c>
      <c r="Q1969" s="213" t="s">
        <v>16381</v>
      </c>
      <c r="R1969" s="213" t="s">
        <v>16382</v>
      </c>
      <c r="S1969" s="213" t="s">
        <v>16383</v>
      </c>
      <c r="T1969" s="213" t="s">
        <v>16384</v>
      </c>
      <c r="U1969" s="213" t="s">
        <v>70885</v>
      </c>
    </row>
    <row r="1970" spans="1:21" x14ac:dyDescent="0.25">
      <c r="A1970" s="213" t="s">
        <v>327</v>
      </c>
      <c r="D1970" s="213" t="s">
        <v>16385</v>
      </c>
      <c r="E1970" s="213" t="s">
        <v>16386</v>
      </c>
      <c r="K1970" s="213" t="s">
        <v>70457</v>
      </c>
      <c r="L1970" s="213" t="s">
        <v>70600</v>
      </c>
      <c r="M1970" s="213" t="s">
        <v>70743</v>
      </c>
      <c r="N1970" s="213" t="s">
        <v>16387</v>
      </c>
      <c r="O1970" s="213" t="s">
        <v>16388</v>
      </c>
      <c r="P1970" s="213" t="s">
        <v>16389</v>
      </c>
      <c r="Q1970" s="213" t="s">
        <v>16390</v>
      </c>
      <c r="R1970" s="213" t="s">
        <v>16391</v>
      </c>
      <c r="S1970" s="213" t="s">
        <v>16392</v>
      </c>
      <c r="T1970" s="213" t="s">
        <v>16393</v>
      </c>
      <c r="U1970" s="213" t="s">
        <v>70886</v>
      </c>
    </row>
    <row r="1971" spans="1:21" x14ac:dyDescent="0.25">
      <c r="A1971" s="213" t="s">
        <v>327</v>
      </c>
      <c r="D1971" s="213" t="s">
        <v>16394</v>
      </c>
      <c r="E1971" s="213" t="s">
        <v>16395</v>
      </c>
      <c r="K1971" s="213" t="s">
        <v>70458</v>
      </c>
      <c r="L1971" s="213" t="s">
        <v>70601</v>
      </c>
      <c r="M1971" s="213" t="s">
        <v>70744</v>
      </c>
      <c r="N1971" s="213" t="s">
        <v>16396</v>
      </c>
      <c r="O1971" s="213" t="s">
        <v>16397</v>
      </c>
      <c r="P1971" s="213" t="s">
        <v>16398</v>
      </c>
      <c r="Q1971" s="213" t="s">
        <v>16399</v>
      </c>
      <c r="R1971" s="213" t="s">
        <v>16400</v>
      </c>
      <c r="S1971" s="213" t="s">
        <v>16401</v>
      </c>
      <c r="T1971" s="213" t="s">
        <v>16402</v>
      </c>
      <c r="U1971" s="213" t="s">
        <v>70887</v>
      </c>
    </row>
    <row r="1972" spans="1:21" x14ac:dyDescent="0.25">
      <c r="A1972" s="213" t="s">
        <v>327</v>
      </c>
      <c r="D1972" s="213" t="s">
        <v>16403</v>
      </c>
      <c r="E1972" s="213" t="s">
        <v>16404</v>
      </c>
      <c r="K1972" s="213" t="s">
        <v>70459</v>
      </c>
      <c r="L1972" s="213" t="s">
        <v>70602</v>
      </c>
      <c r="M1972" s="213" t="s">
        <v>70745</v>
      </c>
      <c r="N1972" s="213" t="s">
        <v>16405</v>
      </c>
      <c r="O1972" s="213" t="s">
        <v>16406</v>
      </c>
      <c r="P1972" s="213" t="s">
        <v>16407</v>
      </c>
      <c r="Q1972" s="213" t="s">
        <v>16408</v>
      </c>
      <c r="R1972" s="213" t="s">
        <v>16409</v>
      </c>
      <c r="S1972" s="213" t="s">
        <v>16410</v>
      </c>
      <c r="T1972" s="213" t="s">
        <v>16411</v>
      </c>
      <c r="U1972" s="213" t="s">
        <v>70888</v>
      </c>
    </row>
    <row r="1973" spans="1:21" x14ac:dyDescent="0.25">
      <c r="A1973" s="213" t="s">
        <v>327</v>
      </c>
      <c r="D1973" s="213" t="s">
        <v>16412</v>
      </c>
      <c r="E1973" s="213" t="s">
        <v>16413</v>
      </c>
      <c r="K1973" s="213" t="s">
        <v>70460</v>
      </c>
      <c r="L1973" s="213" t="s">
        <v>70603</v>
      </c>
      <c r="M1973" s="213" t="s">
        <v>70746</v>
      </c>
      <c r="N1973" s="213" t="s">
        <v>16414</v>
      </c>
      <c r="O1973" s="213" t="s">
        <v>16415</v>
      </c>
      <c r="P1973" s="213" t="s">
        <v>16416</v>
      </c>
      <c r="Q1973" s="213" t="s">
        <v>16417</v>
      </c>
      <c r="R1973" s="213" t="s">
        <v>16418</v>
      </c>
      <c r="S1973" s="213" t="s">
        <v>16419</v>
      </c>
      <c r="T1973" s="213" t="s">
        <v>16420</v>
      </c>
      <c r="U1973" s="213" t="s">
        <v>70889</v>
      </c>
    </row>
    <row r="1974" spans="1:21" x14ac:dyDescent="0.25">
      <c r="A1974" s="213" t="s">
        <v>327</v>
      </c>
      <c r="D1974" s="213" t="s">
        <v>16421</v>
      </c>
      <c r="E1974" s="213" t="s">
        <v>16422</v>
      </c>
      <c r="K1974" s="213" t="s">
        <v>70461</v>
      </c>
      <c r="L1974" s="213" t="s">
        <v>70604</v>
      </c>
      <c r="M1974" s="213" t="s">
        <v>70747</v>
      </c>
      <c r="N1974" s="213" t="s">
        <v>16423</v>
      </c>
      <c r="O1974" s="213" t="s">
        <v>16424</v>
      </c>
      <c r="P1974" s="213" t="s">
        <v>16425</v>
      </c>
      <c r="Q1974" s="213" t="s">
        <v>16426</v>
      </c>
      <c r="R1974" s="213" t="s">
        <v>16427</v>
      </c>
      <c r="S1974" s="213" t="s">
        <v>16428</v>
      </c>
      <c r="T1974" s="213" t="s">
        <v>16429</v>
      </c>
      <c r="U1974" s="213" t="s">
        <v>70890</v>
      </c>
    </row>
    <row r="1975" spans="1:21" x14ac:dyDescent="0.25">
      <c r="A1975" s="213" t="s">
        <v>327</v>
      </c>
      <c r="D1975" s="213" t="s">
        <v>16430</v>
      </c>
      <c r="E1975" s="213" t="s">
        <v>16431</v>
      </c>
      <c r="K1975" s="213" t="s">
        <v>70462</v>
      </c>
      <c r="L1975" s="213" t="s">
        <v>70605</v>
      </c>
      <c r="M1975" s="213" t="s">
        <v>70748</v>
      </c>
      <c r="N1975" s="213" t="s">
        <v>16432</v>
      </c>
      <c r="O1975" s="213" t="s">
        <v>16433</v>
      </c>
      <c r="P1975" s="213" t="s">
        <v>16434</v>
      </c>
      <c r="Q1975" s="213" t="s">
        <v>16435</v>
      </c>
      <c r="R1975" s="213" t="s">
        <v>16436</v>
      </c>
      <c r="S1975" s="213" t="s">
        <v>16437</v>
      </c>
      <c r="T1975" s="213" t="s">
        <v>16438</v>
      </c>
      <c r="U1975" s="213" t="s">
        <v>70891</v>
      </c>
    </row>
    <row r="1976" spans="1:21" x14ac:dyDescent="0.25">
      <c r="A1976" s="213" t="s">
        <v>327</v>
      </c>
      <c r="D1976" s="213" t="s">
        <v>16439</v>
      </c>
      <c r="E1976" s="213" t="s">
        <v>16440</v>
      </c>
      <c r="K1976" s="213" t="s">
        <v>70463</v>
      </c>
      <c r="L1976" s="213" t="s">
        <v>70606</v>
      </c>
      <c r="M1976" s="213" t="s">
        <v>70749</v>
      </c>
      <c r="N1976" s="213" t="s">
        <v>16441</v>
      </c>
      <c r="O1976" s="213" t="s">
        <v>16442</v>
      </c>
      <c r="P1976" s="213" t="s">
        <v>16443</v>
      </c>
      <c r="Q1976" s="213" t="s">
        <v>16444</v>
      </c>
      <c r="R1976" s="213" t="s">
        <v>16445</v>
      </c>
      <c r="S1976" s="213" t="s">
        <v>16446</v>
      </c>
      <c r="T1976" s="213" t="s">
        <v>16447</v>
      </c>
      <c r="U1976" s="213" t="s">
        <v>70892</v>
      </c>
    </row>
    <row r="1977" spans="1:21" x14ac:dyDescent="0.25">
      <c r="A1977" s="213" t="s">
        <v>327</v>
      </c>
      <c r="D1977" s="213" t="s">
        <v>16448</v>
      </c>
      <c r="E1977" s="213" t="s">
        <v>16449</v>
      </c>
      <c r="K1977" s="213" t="s">
        <v>70464</v>
      </c>
      <c r="L1977" s="213" t="s">
        <v>70607</v>
      </c>
      <c r="M1977" s="213" t="s">
        <v>70750</v>
      </c>
      <c r="N1977" s="213" t="s">
        <v>16450</v>
      </c>
      <c r="O1977" s="213" t="s">
        <v>16451</v>
      </c>
      <c r="P1977" s="213" t="s">
        <v>16452</v>
      </c>
      <c r="Q1977" s="213" t="s">
        <v>16453</v>
      </c>
      <c r="R1977" s="213" t="s">
        <v>16454</v>
      </c>
      <c r="S1977" s="213" t="s">
        <v>16455</v>
      </c>
      <c r="T1977" s="213" t="s">
        <v>16456</v>
      </c>
      <c r="U1977" s="213" t="s">
        <v>70893</v>
      </c>
    </row>
    <row r="1978" spans="1:21" x14ac:dyDescent="0.25">
      <c r="A1978" s="213" t="s">
        <v>327</v>
      </c>
      <c r="D1978" s="213" t="s">
        <v>16457</v>
      </c>
      <c r="E1978" s="213" t="s">
        <v>16458</v>
      </c>
      <c r="K1978" s="213" t="s">
        <v>70465</v>
      </c>
      <c r="L1978" s="213" t="s">
        <v>70608</v>
      </c>
      <c r="M1978" s="213" t="s">
        <v>70751</v>
      </c>
      <c r="N1978" s="213" t="s">
        <v>16459</v>
      </c>
      <c r="O1978" s="213" t="s">
        <v>16460</v>
      </c>
      <c r="P1978" s="213" t="s">
        <v>16461</v>
      </c>
      <c r="Q1978" s="213" t="s">
        <v>16462</v>
      </c>
      <c r="R1978" s="213" t="s">
        <v>16463</v>
      </c>
      <c r="S1978" s="213" t="s">
        <v>16464</v>
      </c>
      <c r="T1978" s="213" t="s">
        <v>16465</v>
      </c>
      <c r="U1978" s="213" t="s">
        <v>70894</v>
      </c>
    </row>
    <row r="1979" spans="1:21" x14ac:dyDescent="0.25">
      <c r="A1979" s="213" t="s">
        <v>327</v>
      </c>
      <c r="D1979" s="213" t="s">
        <v>16466</v>
      </c>
      <c r="E1979" s="213" t="s">
        <v>16467</v>
      </c>
      <c r="K1979" s="213" t="s">
        <v>70466</v>
      </c>
      <c r="L1979" s="213" t="s">
        <v>70609</v>
      </c>
      <c r="M1979" s="213" t="s">
        <v>70752</v>
      </c>
      <c r="N1979" s="213" t="s">
        <v>16468</v>
      </c>
      <c r="O1979" s="213" t="s">
        <v>16469</v>
      </c>
      <c r="P1979" s="213" t="s">
        <v>16470</v>
      </c>
      <c r="Q1979" s="213" t="s">
        <v>16471</v>
      </c>
      <c r="R1979" s="213" t="s">
        <v>16472</v>
      </c>
      <c r="S1979" s="213" t="s">
        <v>16473</v>
      </c>
      <c r="T1979" s="213" t="s">
        <v>16474</v>
      </c>
      <c r="U1979" s="213" t="s">
        <v>70895</v>
      </c>
    </row>
    <row r="1980" spans="1:21" x14ac:dyDescent="0.25">
      <c r="A1980" s="213" t="s">
        <v>327</v>
      </c>
      <c r="D1980" s="213" t="s">
        <v>16475</v>
      </c>
      <c r="E1980" s="213" t="s">
        <v>16476</v>
      </c>
      <c r="K1980" s="213" t="s">
        <v>70467</v>
      </c>
      <c r="L1980" s="213" t="s">
        <v>70610</v>
      </c>
      <c r="M1980" s="213" t="s">
        <v>70753</v>
      </c>
      <c r="N1980" s="213" t="s">
        <v>16477</v>
      </c>
      <c r="O1980" s="213" t="s">
        <v>16478</v>
      </c>
      <c r="P1980" s="213" t="s">
        <v>16479</v>
      </c>
      <c r="Q1980" s="213" t="s">
        <v>16480</v>
      </c>
      <c r="R1980" s="213" t="s">
        <v>16481</v>
      </c>
      <c r="S1980" s="213" t="s">
        <v>16482</v>
      </c>
      <c r="T1980" s="213" t="s">
        <v>16483</v>
      </c>
      <c r="U1980" s="213" t="s">
        <v>70896</v>
      </c>
    </row>
    <row r="1981" spans="1:21" x14ac:dyDescent="0.25">
      <c r="A1981" s="213" t="s">
        <v>327</v>
      </c>
      <c r="D1981" s="213" t="s">
        <v>16484</v>
      </c>
      <c r="E1981" s="213" t="s">
        <v>16485</v>
      </c>
      <c r="K1981" s="213" t="s">
        <v>70468</v>
      </c>
      <c r="L1981" s="213" t="s">
        <v>70611</v>
      </c>
      <c r="M1981" s="213" t="s">
        <v>70754</v>
      </c>
      <c r="N1981" s="213" t="s">
        <v>16486</v>
      </c>
      <c r="O1981" s="213" t="s">
        <v>16487</v>
      </c>
      <c r="P1981" s="213" t="s">
        <v>16488</v>
      </c>
      <c r="Q1981" s="213" t="s">
        <v>16489</v>
      </c>
      <c r="R1981" s="213" t="s">
        <v>16490</v>
      </c>
      <c r="S1981" s="213" t="s">
        <v>16491</v>
      </c>
      <c r="T1981" s="213" t="s">
        <v>16492</v>
      </c>
      <c r="U1981" s="213" t="s">
        <v>70897</v>
      </c>
    </row>
    <row r="1982" spans="1:21" x14ac:dyDescent="0.25">
      <c r="A1982" s="213" t="s">
        <v>327</v>
      </c>
      <c r="D1982" s="213" t="s">
        <v>16493</v>
      </c>
      <c r="E1982" s="213" t="s">
        <v>16494</v>
      </c>
      <c r="K1982" s="213" t="s">
        <v>70469</v>
      </c>
      <c r="L1982" s="213" t="s">
        <v>70612</v>
      </c>
      <c r="M1982" s="213" t="s">
        <v>70755</v>
      </c>
      <c r="N1982" s="213" t="s">
        <v>16495</v>
      </c>
      <c r="O1982" s="213" t="s">
        <v>16496</v>
      </c>
      <c r="P1982" s="213" t="s">
        <v>16497</v>
      </c>
      <c r="Q1982" s="213" t="s">
        <v>16498</v>
      </c>
      <c r="R1982" s="213" t="s">
        <v>16499</v>
      </c>
      <c r="S1982" s="213" t="s">
        <v>16500</v>
      </c>
      <c r="T1982" s="213" t="s">
        <v>16501</v>
      </c>
      <c r="U1982" s="213" t="s">
        <v>70898</v>
      </c>
    </row>
    <row r="1983" spans="1:21" x14ac:dyDescent="0.25">
      <c r="A1983" s="213" t="s">
        <v>327</v>
      </c>
      <c r="D1983" s="213" t="s">
        <v>16502</v>
      </c>
      <c r="E1983" s="213" t="s">
        <v>16503</v>
      </c>
      <c r="K1983" s="213" t="s">
        <v>70470</v>
      </c>
      <c r="L1983" s="213" t="s">
        <v>70613</v>
      </c>
      <c r="M1983" s="213" t="s">
        <v>70756</v>
      </c>
      <c r="N1983" s="213" t="s">
        <v>16504</v>
      </c>
      <c r="O1983" s="213" t="s">
        <v>16505</v>
      </c>
      <c r="P1983" s="213" t="s">
        <v>16506</v>
      </c>
      <c r="Q1983" s="213" t="s">
        <v>16507</v>
      </c>
      <c r="R1983" s="213" t="s">
        <v>16508</v>
      </c>
      <c r="S1983" s="213" t="s">
        <v>16509</v>
      </c>
      <c r="T1983" s="213" t="s">
        <v>16510</v>
      </c>
      <c r="U1983" s="213" t="s">
        <v>70899</v>
      </c>
    </row>
    <row r="1984" spans="1:21" x14ac:dyDescent="0.25">
      <c r="A1984" s="213" t="s">
        <v>327</v>
      </c>
      <c r="D1984" s="213" t="s">
        <v>16511</v>
      </c>
      <c r="E1984" s="213" t="s">
        <v>16512</v>
      </c>
      <c r="K1984" s="213" t="s">
        <v>70471</v>
      </c>
      <c r="L1984" s="213" t="s">
        <v>70614</v>
      </c>
      <c r="M1984" s="213" t="s">
        <v>70757</v>
      </c>
      <c r="N1984" s="213" t="s">
        <v>16513</v>
      </c>
      <c r="O1984" s="213" t="s">
        <v>16514</v>
      </c>
      <c r="P1984" s="213" t="s">
        <v>16515</v>
      </c>
      <c r="Q1984" s="213" t="s">
        <v>16516</v>
      </c>
      <c r="R1984" s="213" t="s">
        <v>16517</v>
      </c>
      <c r="S1984" s="213" t="s">
        <v>16518</v>
      </c>
      <c r="T1984" s="213" t="s">
        <v>16519</v>
      </c>
      <c r="U1984" s="213" t="s">
        <v>70900</v>
      </c>
    </row>
    <row r="1985" spans="1:21" x14ac:dyDescent="0.25">
      <c r="A1985" s="213" t="s">
        <v>327</v>
      </c>
      <c r="D1985" s="213" t="s">
        <v>16520</v>
      </c>
      <c r="E1985" s="213" t="s">
        <v>16521</v>
      </c>
      <c r="K1985" s="213" t="s">
        <v>70472</v>
      </c>
      <c r="L1985" s="213" t="s">
        <v>70615</v>
      </c>
      <c r="M1985" s="213" t="s">
        <v>70758</v>
      </c>
      <c r="N1985" s="213" t="s">
        <v>16522</v>
      </c>
      <c r="O1985" s="213" t="s">
        <v>16523</v>
      </c>
      <c r="P1985" s="213" t="s">
        <v>16524</v>
      </c>
      <c r="Q1985" s="213" t="s">
        <v>16525</v>
      </c>
      <c r="R1985" s="213" t="s">
        <v>16526</v>
      </c>
      <c r="S1985" s="213" t="s">
        <v>16527</v>
      </c>
      <c r="T1985" s="213" t="s">
        <v>16528</v>
      </c>
      <c r="U1985" s="213" t="s">
        <v>70901</v>
      </c>
    </row>
    <row r="1986" spans="1:21" x14ac:dyDescent="0.25">
      <c r="A1986" s="213" t="s">
        <v>327</v>
      </c>
      <c r="D1986" s="213" t="s">
        <v>16529</v>
      </c>
      <c r="E1986" s="213" t="s">
        <v>16530</v>
      </c>
      <c r="K1986" s="213" t="s">
        <v>70473</v>
      </c>
      <c r="L1986" s="213" t="s">
        <v>70616</v>
      </c>
      <c r="M1986" s="213" t="s">
        <v>70759</v>
      </c>
      <c r="N1986" s="213" t="s">
        <v>16531</v>
      </c>
      <c r="O1986" s="213" t="s">
        <v>16532</v>
      </c>
      <c r="P1986" s="213" t="s">
        <v>16533</v>
      </c>
      <c r="Q1986" s="213" t="s">
        <v>16534</v>
      </c>
      <c r="R1986" s="213" t="s">
        <v>16535</v>
      </c>
      <c r="S1986" s="213" t="s">
        <v>16536</v>
      </c>
      <c r="T1986" s="213" t="s">
        <v>16537</v>
      </c>
      <c r="U1986" s="213" t="s">
        <v>70902</v>
      </c>
    </row>
    <row r="1987" spans="1:21" x14ac:dyDescent="0.25">
      <c r="A1987" s="213" t="s">
        <v>327</v>
      </c>
      <c r="D1987" s="213" t="s">
        <v>16538</v>
      </c>
      <c r="E1987" s="213" t="s">
        <v>16539</v>
      </c>
      <c r="K1987" s="213" t="s">
        <v>70474</v>
      </c>
      <c r="L1987" s="213" t="s">
        <v>70617</v>
      </c>
      <c r="M1987" s="213" t="s">
        <v>70760</v>
      </c>
      <c r="N1987" s="213" t="s">
        <v>16540</v>
      </c>
      <c r="O1987" s="213" t="s">
        <v>16541</v>
      </c>
      <c r="P1987" s="213" t="s">
        <v>16542</v>
      </c>
      <c r="Q1987" s="213" t="s">
        <v>16543</v>
      </c>
      <c r="R1987" s="213" t="s">
        <v>16544</v>
      </c>
      <c r="S1987" s="213" t="s">
        <v>16545</v>
      </c>
      <c r="T1987" s="213" t="s">
        <v>16546</v>
      </c>
      <c r="U1987" s="213" t="s">
        <v>70903</v>
      </c>
    </row>
    <row r="1988" spans="1:21" x14ac:dyDescent="0.25">
      <c r="A1988" s="213" t="s">
        <v>327</v>
      </c>
      <c r="D1988" s="213" t="s">
        <v>16547</v>
      </c>
      <c r="E1988" s="213" t="s">
        <v>16548</v>
      </c>
      <c r="K1988" s="213" t="s">
        <v>70475</v>
      </c>
      <c r="L1988" s="213" t="s">
        <v>70618</v>
      </c>
      <c r="M1988" s="213" t="s">
        <v>70761</v>
      </c>
      <c r="N1988" s="213" t="s">
        <v>16549</v>
      </c>
      <c r="O1988" s="213" t="s">
        <v>16550</v>
      </c>
      <c r="P1988" s="213" t="s">
        <v>16551</v>
      </c>
      <c r="Q1988" s="213" t="s">
        <v>16552</v>
      </c>
      <c r="R1988" s="213" t="s">
        <v>16553</v>
      </c>
      <c r="S1988" s="213" t="s">
        <v>16554</v>
      </c>
      <c r="T1988" s="213" t="s">
        <v>16555</v>
      </c>
      <c r="U1988" s="213" t="s">
        <v>70904</v>
      </c>
    </row>
    <row r="1989" spans="1:21" x14ac:dyDescent="0.25">
      <c r="A1989" s="213" t="s">
        <v>327</v>
      </c>
      <c r="D1989" s="213" t="s">
        <v>16556</v>
      </c>
      <c r="E1989" s="213" t="s">
        <v>16557</v>
      </c>
      <c r="K1989" s="213" t="s">
        <v>70476</v>
      </c>
      <c r="L1989" s="213" t="s">
        <v>70619</v>
      </c>
      <c r="M1989" s="213" t="s">
        <v>70762</v>
      </c>
      <c r="N1989" s="213" t="s">
        <v>16558</v>
      </c>
      <c r="O1989" s="213" t="s">
        <v>16559</v>
      </c>
      <c r="P1989" s="213" t="s">
        <v>16560</v>
      </c>
      <c r="Q1989" s="213" t="s">
        <v>16561</v>
      </c>
      <c r="R1989" s="213" t="s">
        <v>16562</v>
      </c>
      <c r="S1989" s="213" t="s">
        <v>16563</v>
      </c>
      <c r="T1989" s="213" t="s">
        <v>16564</v>
      </c>
      <c r="U1989" s="213" t="s">
        <v>70905</v>
      </c>
    </row>
    <row r="1990" spans="1:21" x14ac:dyDescent="0.25">
      <c r="A1990" s="213" t="s">
        <v>327</v>
      </c>
      <c r="D1990" s="213" t="s">
        <v>16565</v>
      </c>
      <c r="E1990" s="213" t="s">
        <v>16566</v>
      </c>
      <c r="K1990" s="213" t="s">
        <v>70477</v>
      </c>
      <c r="L1990" s="213" t="s">
        <v>70620</v>
      </c>
      <c r="M1990" s="213" t="s">
        <v>70763</v>
      </c>
      <c r="N1990" s="213" t="s">
        <v>16567</v>
      </c>
      <c r="O1990" s="213" t="s">
        <v>16568</v>
      </c>
      <c r="P1990" s="213" t="s">
        <v>16569</v>
      </c>
      <c r="Q1990" s="213" t="s">
        <v>16570</v>
      </c>
      <c r="R1990" s="213" t="s">
        <v>16571</v>
      </c>
      <c r="S1990" s="213" t="s">
        <v>16572</v>
      </c>
      <c r="T1990" s="213" t="s">
        <v>16573</v>
      </c>
      <c r="U1990" s="213" t="s">
        <v>70906</v>
      </c>
    </row>
    <row r="1991" spans="1:21" x14ac:dyDescent="0.25">
      <c r="A1991" s="213" t="s">
        <v>327</v>
      </c>
      <c r="D1991" s="213" t="s">
        <v>16574</v>
      </c>
      <c r="E1991" s="213" t="s">
        <v>16575</v>
      </c>
      <c r="K1991" s="213" t="s">
        <v>70478</v>
      </c>
      <c r="L1991" s="213" t="s">
        <v>70621</v>
      </c>
      <c r="M1991" s="213" t="s">
        <v>70764</v>
      </c>
      <c r="N1991" s="213" t="s">
        <v>16576</v>
      </c>
      <c r="O1991" s="213" t="s">
        <v>16577</v>
      </c>
      <c r="P1991" s="213" t="s">
        <v>16578</v>
      </c>
      <c r="Q1991" s="213" t="s">
        <v>16579</v>
      </c>
      <c r="R1991" s="213" t="s">
        <v>16580</v>
      </c>
      <c r="S1991" s="213" t="s">
        <v>16581</v>
      </c>
      <c r="T1991" s="213" t="s">
        <v>16582</v>
      </c>
      <c r="U1991" s="213" t="s">
        <v>70907</v>
      </c>
    </row>
    <row r="1992" spans="1:21" x14ac:dyDescent="0.25">
      <c r="A1992" s="213" t="s">
        <v>327</v>
      </c>
      <c r="D1992" s="213" t="s">
        <v>16583</v>
      </c>
      <c r="E1992" s="213" t="s">
        <v>16584</v>
      </c>
      <c r="K1992" s="213" t="s">
        <v>70479</v>
      </c>
      <c r="L1992" s="213" t="s">
        <v>70622</v>
      </c>
      <c r="M1992" s="213" t="s">
        <v>70765</v>
      </c>
      <c r="N1992" s="213" t="s">
        <v>16585</v>
      </c>
      <c r="O1992" s="213" t="s">
        <v>16586</v>
      </c>
      <c r="P1992" s="213" t="s">
        <v>16587</v>
      </c>
      <c r="Q1992" s="213" t="s">
        <v>16588</v>
      </c>
      <c r="R1992" s="213" t="s">
        <v>16589</v>
      </c>
      <c r="S1992" s="213" t="s">
        <v>16590</v>
      </c>
      <c r="T1992" s="213" t="s">
        <v>16591</v>
      </c>
      <c r="U1992" s="213" t="s">
        <v>70908</v>
      </c>
    </row>
    <row r="1993" spans="1:21" x14ac:dyDescent="0.25">
      <c r="A1993" s="213" t="s">
        <v>327</v>
      </c>
      <c r="D1993" s="213" t="s">
        <v>16592</v>
      </c>
      <c r="E1993" s="213" t="s">
        <v>16593</v>
      </c>
      <c r="K1993" s="213" t="s">
        <v>70480</v>
      </c>
      <c r="L1993" s="213" t="s">
        <v>70623</v>
      </c>
      <c r="M1993" s="213" t="s">
        <v>70766</v>
      </c>
      <c r="N1993" s="213" t="s">
        <v>16594</v>
      </c>
      <c r="O1993" s="213" t="s">
        <v>16595</v>
      </c>
      <c r="P1993" s="213" t="s">
        <v>16596</v>
      </c>
      <c r="Q1993" s="213" t="s">
        <v>16597</v>
      </c>
      <c r="R1993" s="213" t="s">
        <v>16598</v>
      </c>
      <c r="S1993" s="213" t="s">
        <v>16599</v>
      </c>
      <c r="T1993" s="213" t="s">
        <v>16600</v>
      </c>
      <c r="U1993" s="213" t="s">
        <v>70909</v>
      </c>
    </row>
    <row r="1994" spans="1:21" x14ac:dyDescent="0.25">
      <c r="A1994" s="213" t="s">
        <v>327</v>
      </c>
      <c r="D1994" s="213" t="s">
        <v>16601</v>
      </c>
      <c r="E1994" s="213" t="s">
        <v>16602</v>
      </c>
      <c r="K1994" s="213" t="s">
        <v>70481</v>
      </c>
      <c r="L1994" s="213" t="s">
        <v>70624</v>
      </c>
      <c r="M1994" s="213" t="s">
        <v>70767</v>
      </c>
      <c r="N1994" s="213" t="s">
        <v>16603</v>
      </c>
      <c r="O1994" s="213" t="s">
        <v>16604</v>
      </c>
      <c r="P1994" s="213" t="s">
        <v>16605</v>
      </c>
      <c r="Q1994" s="213" t="s">
        <v>16606</v>
      </c>
      <c r="R1994" s="213" t="s">
        <v>16607</v>
      </c>
      <c r="S1994" s="213" t="s">
        <v>16608</v>
      </c>
      <c r="T1994" s="213" t="s">
        <v>16609</v>
      </c>
      <c r="U1994" s="213" t="s">
        <v>70910</v>
      </c>
    </row>
    <row r="1995" spans="1:21" x14ac:dyDescent="0.25">
      <c r="A1995" s="213" t="s">
        <v>327</v>
      </c>
      <c r="D1995" s="213" t="s">
        <v>16610</v>
      </c>
      <c r="E1995" s="213" t="s">
        <v>16611</v>
      </c>
      <c r="K1995" s="213" t="s">
        <v>70482</v>
      </c>
      <c r="L1995" s="213" t="s">
        <v>70625</v>
      </c>
      <c r="M1995" s="213" t="s">
        <v>70768</v>
      </c>
      <c r="N1995" s="213" t="s">
        <v>16612</v>
      </c>
      <c r="O1995" s="213" t="s">
        <v>16613</v>
      </c>
      <c r="P1995" s="213" t="s">
        <v>16614</v>
      </c>
      <c r="Q1995" s="213" t="s">
        <v>16615</v>
      </c>
      <c r="R1995" s="213" t="s">
        <v>16616</v>
      </c>
      <c r="S1995" s="213" t="s">
        <v>16617</v>
      </c>
      <c r="T1995" s="213" t="s">
        <v>16618</v>
      </c>
      <c r="U1995" s="213" t="s">
        <v>70911</v>
      </c>
    </row>
    <row r="1996" spans="1:21" x14ac:dyDescent="0.25">
      <c r="A1996" s="213" t="s">
        <v>327</v>
      </c>
      <c r="D1996" s="213" t="s">
        <v>16619</v>
      </c>
      <c r="E1996" s="213" t="s">
        <v>16620</v>
      </c>
      <c r="K1996" s="213" t="s">
        <v>70483</v>
      </c>
      <c r="L1996" s="213" t="s">
        <v>70626</v>
      </c>
      <c r="M1996" s="213" t="s">
        <v>70769</v>
      </c>
      <c r="N1996" s="213" t="s">
        <v>16621</v>
      </c>
      <c r="O1996" s="213" t="s">
        <v>16622</v>
      </c>
      <c r="P1996" s="213" t="s">
        <v>16623</v>
      </c>
      <c r="Q1996" s="213" t="s">
        <v>16624</v>
      </c>
      <c r="R1996" s="213" t="s">
        <v>16625</v>
      </c>
      <c r="S1996" s="213" t="s">
        <v>16626</v>
      </c>
      <c r="T1996" s="213" t="s">
        <v>16627</v>
      </c>
      <c r="U1996" s="213" t="s">
        <v>70912</v>
      </c>
    </row>
    <row r="1997" spans="1:21" x14ac:dyDescent="0.25">
      <c r="A1997" s="213" t="s">
        <v>327</v>
      </c>
      <c r="D1997" s="213" t="s">
        <v>16628</v>
      </c>
      <c r="E1997" s="213" t="s">
        <v>16629</v>
      </c>
      <c r="K1997" s="213" t="s">
        <v>70484</v>
      </c>
      <c r="L1997" s="213" t="s">
        <v>70627</v>
      </c>
      <c r="M1997" s="213" t="s">
        <v>70770</v>
      </c>
      <c r="N1997" s="213" t="s">
        <v>16630</v>
      </c>
      <c r="O1997" s="213" t="s">
        <v>16631</v>
      </c>
      <c r="P1997" s="213" t="s">
        <v>16632</v>
      </c>
      <c r="Q1997" s="213" t="s">
        <v>16633</v>
      </c>
      <c r="R1997" s="213" t="s">
        <v>16634</v>
      </c>
      <c r="S1997" s="213" t="s">
        <v>16635</v>
      </c>
      <c r="T1997" s="213" t="s">
        <v>16636</v>
      </c>
      <c r="U1997" s="213" t="s">
        <v>70913</v>
      </c>
    </row>
    <row r="1998" spans="1:21" x14ac:dyDescent="0.25">
      <c r="A1998" s="213" t="s">
        <v>327</v>
      </c>
      <c r="D1998" s="213" t="s">
        <v>16637</v>
      </c>
      <c r="E1998" s="213" t="s">
        <v>16638</v>
      </c>
      <c r="K1998" s="213" t="s">
        <v>70485</v>
      </c>
      <c r="L1998" s="213" t="s">
        <v>70628</v>
      </c>
      <c r="M1998" s="213" t="s">
        <v>70771</v>
      </c>
      <c r="N1998" s="213" t="s">
        <v>16639</v>
      </c>
      <c r="O1998" s="213" t="s">
        <v>16640</v>
      </c>
      <c r="P1998" s="213" t="s">
        <v>16641</v>
      </c>
      <c r="Q1998" s="213" t="s">
        <v>16642</v>
      </c>
      <c r="R1998" s="213" t="s">
        <v>16643</v>
      </c>
      <c r="S1998" s="213" t="s">
        <v>16644</v>
      </c>
      <c r="T1998" s="213" t="s">
        <v>16645</v>
      </c>
      <c r="U1998" s="213" t="s">
        <v>70914</v>
      </c>
    </row>
    <row r="1999" spans="1:21" x14ac:dyDescent="0.25">
      <c r="A1999" s="213" t="s">
        <v>327</v>
      </c>
      <c r="D1999" s="213" t="s">
        <v>16646</v>
      </c>
      <c r="E1999" s="213" t="s">
        <v>16647</v>
      </c>
      <c r="K1999" s="213" t="s">
        <v>70486</v>
      </c>
      <c r="L1999" s="213" t="s">
        <v>70629</v>
      </c>
      <c r="M1999" s="213" t="s">
        <v>70772</v>
      </c>
      <c r="N1999" s="213" t="s">
        <v>16648</v>
      </c>
      <c r="O1999" s="213" t="s">
        <v>16649</v>
      </c>
      <c r="P1999" s="213" t="s">
        <v>16650</v>
      </c>
      <c r="Q1999" s="213" t="s">
        <v>16651</v>
      </c>
      <c r="R1999" s="213" t="s">
        <v>16652</v>
      </c>
      <c r="S1999" s="213" t="s">
        <v>16653</v>
      </c>
      <c r="T1999" s="213" t="s">
        <v>16654</v>
      </c>
      <c r="U1999" s="213" t="s">
        <v>70915</v>
      </c>
    </row>
    <row r="2000" spans="1:21" x14ac:dyDescent="0.25">
      <c r="A2000" s="213" t="s">
        <v>327</v>
      </c>
      <c r="D2000" s="213" t="s">
        <v>16655</v>
      </c>
      <c r="E2000" s="213" t="s">
        <v>16656</v>
      </c>
      <c r="K2000" s="213" t="s">
        <v>70487</v>
      </c>
      <c r="L2000" s="213" t="s">
        <v>70630</v>
      </c>
      <c r="M2000" s="213" t="s">
        <v>70773</v>
      </c>
      <c r="N2000" s="213" t="s">
        <v>16657</v>
      </c>
      <c r="O2000" s="213" t="s">
        <v>16658</v>
      </c>
      <c r="P2000" s="213" t="s">
        <v>16659</v>
      </c>
      <c r="Q2000" s="213" t="s">
        <v>16660</v>
      </c>
      <c r="R2000" s="213" t="s">
        <v>16661</v>
      </c>
      <c r="S2000" s="213" t="s">
        <v>16662</v>
      </c>
      <c r="T2000" s="213" t="s">
        <v>16663</v>
      </c>
      <c r="U2000" s="213" t="s">
        <v>70916</v>
      </c>
    </row>
    <row r="2001" spans="1:21" x14ac:dyDescent="0.25">
      <c r="A2001" s="213" t="s">
        <v>327</v>
      </c>
      <c r="D2001" s="213" t="s">
        <v>16664</v>
      </c>
      <c r="E2001" s="213" t="s">
        <v>16665</v>
      </c>
      <c r="K2001" s="213" t="s">
        <v>70488</v>
      </c>
      <c r="L2001" s="213" t="s">
        <v>70631</v>
      </c>
      <c r="M2001" s="213" t="s">
        <v>70774</v>
      </c>
      <c r="N2001" s="213" t="s">
        <v>16666</v>
      </c>
      <c r="O2001" s="213" t="s">
        <v>16667</v>
      </c>
      <c r="P2001" s="213" t="s">
        <v>16668</v>
      </c>
      <c r="Q2001" s="213" t="s">
        <v>16669</v>
      </c>
      <c r="R2001" s="213" t="s">
        <v>16670</v>
      </c>
      <c r="S2001" s="213" t="s">
        <v>16671</v>
      </c>
      <c r="T2001" s="213" t="s">
        <v>16672</v>
      </c>
      <c r="U2001" s="213" t="s">
        <v>70917</v>
      </c>
    </row>
    <row r="2002" spans="1:21" x14ac:dyDescent="0.25">
      <c r="A2002" s="213" t="s">
        <v>327</v>
      </c>
      <c r="D2002" s="213" t="s">
        <v>16673</v>
      </c>
      <c r="E2002" s="213" t="s">
        <v>16674</v>
      </c>
      <c r="K2002" s="213" t="s">
        <v>70489</v>
      </c>
      <c r="L2002" s="213" t="s">
        <v>70632</v>
      </c>
      <c r="M2002" s="213" t="s">
        <v>70775</v>
      </c>
      <c r="N2002" s="213" t="s">
        <v>16675</v>
      </c>
      <c r="O2002" s="213" t="s">
        <v>16676</v>
      </c>
      <c r="P2002" s="213" t="s">
        <v>16677</v>
      </c>
      <c r="Q2002" s="213" t="s">
        <v>16678</v>
      </c>
      <c r="R2002" s="213" t="s">
        <v>16679</v>
      </c>
      <c r="S2002" s="213" t="s">
        <v>16680</v>
      </c>
      <c r="T2002" s="213" t="s">
        <v>16681</v>
      </c>
      <c r="U2002" s="213" t="s">
        <v>70918</v>
      </c>
    </row>
    <row r="2003" spans="1:21" x14ac:dyDescent="0.25">
      <c r="A2003" s="213" t="s">
        <v>327</v>
      </c>
      <c r="D2003" s="213" t="s">
        <v>16682</v>
      </c>
      <c r="E2003" s="213" t="s">
        <v>16683</v>
      </c>
      <c r="K2003" s="213" t="s">
        <v>70490</v>
      </c>
      <c r="L2003" s="213" t="s">
        <v>70633</v>
      </c>
      <c r="M2003" s="213" t="s">
        <v>70776</v>
      </c>
      <c r="N2003" s="213" t="s">
        <v>16684</v>
      </c>
      <c r="O2003" s="213" t="s">
        <v>16685</v>
      </c>
      <c r="P2003" s="213" t="s">
        <v>16686</v>
      </c>
      <c r="Q2003" s="213" t="s">
        <v>16687</v>
      </c>
      <c r="R2003" s="213" t="s">
        <v>16688</v>
      </c>
      <c r="S2003" s="213" t="s">
        <v>16689</v>
      </c>
      <c r="T2003" s="213" t="s">
        <v>16690</v>
      </c>
      <c r="U2003" s="213" t="s">
        <v>70919</v>
      </c>
    </row>
    <row r="2004" spans="1:21" x14ac:dyDescent="0.25">
      <c r="A2004" s="213" t="s">
        <v>327</v>
      </c>
      <c r="D2004" s="213" t="s">
        <v>16691</v>
      </c>
      <c r="E2004" s="213" t="s">
        <v>16692</v>
      </c>
      <c r="K2004" s="213" t="s">
        <v>70491</v>
      </c>
      <c r="L2004" s="213" t="s">
        <v>70634</v>
      </c>
      <c r="M2004" s="213" t="s">
        <v>70777</v>
      </c>
      <c r="N2004" s="213" t="s">
        <v>16693</v>
      </c>
      <c r="O2004" s="213" t="s">
        <v>16694</v>
      </c>
      <c r="P2004" s="213" t="s">
        <v>16695</v>
      </c>
      <c r="Q2004" s="213" t="s">
        <v>16696</v>
      </c>
      <c r="R2004" s="213" t="s">
        <v>16697</v>
      </c>
      <c r="S2004" s="213" t="s">
        <v>16698</v>
      </c>
      <c r="T2004" s="213" t="s">
        <v>16699</v>
      </c>
      <c r="U2004" s="213" t="s">
        <v>70920</v>
      </c>
    </row>
    <row r="2005" spans="1:21" x14ac:dyDescent="0.25">
      <c r="A2005" s="213" t="s">
        <v>327</v>
      </c>
      <c r="D2005" s="213" t="s">
        <v>16700</v>
      </c>
      <c r="E2005" s="213" t="s">
        <v>16701</v>
      </c>
      <c r="K2005" s="213" t="s">
        <v>70492</v>
      </c>
      <c r="L2005" s="213" t="s">
        <v>70635</v>
      </c>
      <c r="M2005" s="213" t="s">
        <v>70778</v>
      </c>
      <c r="N2005" s="213" t="s">
        <v>16702</v>
      </c>
      <c r="O2005" s="213" t="s">
        <v>16703</v>
      </c>
      <c r="P2005" s="213" t="s">
        <v>16704</v>
      </c>
      <c r="Q2005" s="213" t="s">
        <v>16705</v>
      </c>
      <c r="R2005" s="213" t="s">
        <v>16706</v>
      </c>
      <c r="S2005" s="213" t="s">
        <v>16707</v>
      </c>
      <c r="T2005" s="213" t="s">
        <v>16708</v>
      </c>
      <c r="U2005" s="213" t="s">
        <v>70921</v>
      </c>
    </row>
    <row r="2006" spans="1:21" x14ac:dyDescent="0.25">
      <c r="A2006" s="213" t="s">
        <v>327</v>
      </c>
      <c r="D2006" s="213" t="s">
        <v>16709</v>
      </c>
      <c r="E2006" s="213" t="s">
        <v>16710</v>
      </c>
      <c r="K2006" s="213" t="s">
        <v>70493</v>
      </c>
      <c r="L2006" s="213" t="s">
        <v>70636</v>
      </c>
      <c r="M2006" s="213" t="s">
        <v>70779</v>
      </c>
      <c r="N2006" s="213" t="s">
        <v>16711</v>
      </c>
      <c r="O2006" s="213" t="s">
        <v>16712</v>
      </c>
      <c r="P2006" s="213" t="s">
        <v>16713</v>
      </c>
      <c r="Q2006" s="213" t="s">
        <v>16714</v>
      </c>
      <c r="R2006" s="213" t="s">
        <v>16715</v>
      </c>
      <c r="S2006" s="213" t="s">
        <v>16716</v>
      </c>
      <c r="T2006" s="213" t="s">
        <v>16717</v>
      </c>
      <c r="U2006" s="213" t="s">
        <v>70922</v>
      </c>
    </row>
    <row r="2007" spans="1:21" x14ac:dyDescent="0.25">
      <c r="A2007" s="213" t="s">
        <v>327</v>
      </c>
      <c r="D2007" s="213" t="s">
        <v>16718</v>
      </c>
      <c r="E2007" s="213" t="s">
        <v>16719</v>
      </c>
      <c r="K2007" s="213" t="s">
        <v>70494</v>
      </c>
      <c r="L2007" s="213" t="s">
        <v>70637</v>
      </c>
      <c r="M2007" s="213" t="s">
        <v>70780</v>
      </c>
      <c r="N2007" s="213" t="s">
        <v>16720</v>
      </c>
      <c r="O2007" s="213" t="s">
        <v>16721</v>
      </c>
      <c r="P2007" s="213" t="s">
        <v>16722</v>
      </c>
      <c r="Q2007" s="213" t="s">
        <v>16723</v>
      </c>
      <c r="R2007" s="213" t="s">
        <v>16724</v>
      </c>
      <c r="S2007" s="213" t="s">
        <v>16725</v>
      </c>
      <c r="T2007" s="213" t="s">
        <v>16726</v>
      </c>
      <c r="U2007" s="213" t="s">
        <v>70923</v>
      </c>
    </row>
    <row r="2008" spans="1:21" x14ac:dyDescent="0.25">
      <c r="A2008" s="213" t="s">
        <v>327</v>
      </c>
      <c r="D2008" s="213" t="s">
        <v>16727</v>
      </c>
      <c r="E2008" s="213" t="s">
        <v>16728</v>
      </c>
      <c r="K2008" s="213" t="s">
        <v>70495</v>
      </c>
      <c r="L2008" s="213" t="s">
        <v>70638</v>
      </c>
      <c r="M2008" s="213" t="s">
        <v>70781</v>
      </c>
      <c r="N2008" s="213" t="s">
        <v>16729</v>
      </c>
      <c r="O2008" s="213" t="s">
        <v>16730</v>
      </c>
      <c r="P2008" s="213" t="s">
        <v>16731</v>
      </c>
      <c r="Q2008" s="213" t="s">
        <v>16732</v>
      </c>
      <c r="R2008" s="213" t="s">
        <v>16733</v>
      </c>
      <c r="S2008" s="213" t="s">
        <v>16734</v>
      </c>
      <c r="T2008" s="213" t="s">
        <v>16735</v>
      </c>
      <c r="U2008" s="213" t="s">
        <v>70924</v>
      </c>
    </row>
    <row r="2009" spans="1:21" x14ac:dyDescent="0.25">
      <c r="A2009" s="213" t="s">
        <v>327</v>
      </c>
      <c r="D2009" s="213" t="s">
        <v>16736</v>
      </c>
      <c r="E2009" s="213" t="s">
        <v>16737</v>
      </c>
      <c r="K2009" s="213" t="s">
        <v>70496</v>
      </c>
      <c r="L2009" s="213" t="s">
        <v>70639</v>
      </c>
      <c r="M2009" s="213" t="s">
        <v>70782</v>
      </c>
      <c r="N2009" s="213" t="s">
        <v>16738</v>
      </c>
      <c r="O2009" s="213" t="s">
        <v>16739</v>
      </c>
      <c r="P2009" s="213" t="s">
        <v>16740</v>
      </c>
      <c r="Q2009" s="213" t="s">
        <v>16741</v>
      </c>
      <c r="R2009" s="213" t="s">
        <v>16742</v>
      </c>
      <c r="S2009" s="213" t="s">
        <v>16743</v>
      </c>
      <c r="T2009" s="213" t="s">
        <v>16744</v>
      </c>
      <c r="U2009" s="213" t="s">
        <v>70925</v>
      </c>
    </row>
    <row r="2010" spans="1:21" x14ac:dyDescent="0.25">
      <c r="A2010" s="213" t="s">
        <v>327</v>
      </c>
      <c r="D2010" s="213" t="s">
        <v>16745</v>
      </c>
      <c r="E2010" s="213" t="s">
        <v>16746</v>
      </c>
      <c r="K2010" s="213" t="s">
        <v>70497</v>
      </c>
      <c r="L2010" s="213" t="s">
        <v>70640</v>
      </c>
      <c r="M2010" s="213" t="s">
        <v>70783</v>
      </c>
      <c r="N2010" s="213" t="s">
        <v>16747</v>
      </c>
      <c r="O2010" s="213" t="s">
        <v>16748</v>
      </c>
      <c r="P2010" s="213" t="s">
        <v>16749</v>
      </c>
      <c r="Q2010" s="213" t="s">
        <v>16750</v>
      </c>
      <c r="R2010" s="213" t="s">
        <v>16751</v>
      </c>
      <c r="S2010" s="213" t="s">
        <v>16752</v>
      </c>
      <c r="T2010" s="213" t="s">
        <v>16753</v>
      </c>
      <c r="U2010" s="213" t="s">
        <v>70926</v>
      </c>
    </row>
    <row r="2011" spans="1:21" x14ac:dyDescent="0.25">
      <c r="A2011" s="213" t="s">
        <v>327</v>
      </c>
      <c r="D2011" s="213" t="s">
        <v>16754</v>
      </c>
      <c r="E2011" s="213" t="s">
        <v>16755</v>
      </c>
      <c r="K2011" s="213" t="s">
        <v>70498</v>
      </c>
      <c r="L2011" s="213" t="s">
        <v>70641</v>
      </c>
      <c r="M2011" s="213" t="s">
        <v>70784</v>
      </c>
      <c r="N2011" s="213" t="s">
        <v>16756</v>
      </c>
      <c r="O2011" s="213" t="s">
        <v>16757</v>
      </c>
      <c r="P2011" s="213" t="s">
        <v>16758</v>
      </c>
      <c r="Q2011" s="213" t="s">
        <v>16759</v>
      </c>
      <c r="R2011" s="213" t="s">
        <v>16760</v>
      </c>
      <c r="S2011" s="213" t="s">
        <v>16761</v>
      </c>
      <c r="T2011" s="213" t="s">
        <v>16762</v>
      </c>
      <c r="U2011" s="213" t="s">
        <v>70927</v>
      </c>
    </row>
    <row r="2012" spans="1:21" x14ac:dyDescent="0.25">
      <c r="A2012" s="213" t="s">
        <v>327</v>
      </c>
      <c r="D2012" s="213" t="s">
        <v>16763</v>
      </c>
      <c r="E2012" s="213" t="s">
        <v>16764</v>
      </c>
      <c r="K2012" s="213" t="s">
        <v>70499</v>
      </c>
      <c r="L2012" s="213" t="s">
        <v>70642</v>
      </c>
      <c r="M2012" s="213" t="s">
        <v>70785</v>
      </c>
      <c r="N2012" s="213" t="s">
        <v>16765</v>
      </c>
      <c r="O2012" s="213" t="s">
        <v>16766</v>
      </c>
      <c r="P2012" s="213" t="s">
        <v>16767</v>
      </c>
      <c r="Q2012" s="213" t="s">
        <v>16768</v>
      </c>
      <c r="R2012" s="213" t="s">
        <v>16769</v>
      </c>
      <c r="S2012" s="213" t="s">
        <v>16770</v>
      </c>
      <c r="T2012" s="213" t="s">
        <v>16771</v>
      </c>
      <c r="U2012" s="213" t="s">
        <v>70928</v>
      </c>
    </row>
    <row r="2013" spans="1:21" x14ac:dyDescent="0.25">
      <c r="A2013" s="213" t="s">
        <v>327</v>
      </c>
      <c r="D2013" s="213" t="s">
        <v>16772</v>
      </c>
      <c r="E2013" s="213" t="s">
        <v>16773</v>
      </c>
      <c r="K2013" s="213" t="s">
        <v>70500</v>
      </c>
      <c r="L2013" s="213" t="s">
        <v>70643</v>
      </c>
      <c r="M2013" s="213" t="s">
        <v>70786</v>
      </c>
      <c r="N2013" s="213" t="s">
        <v>16774</v>
      </c>
      <c r="O2013" s="213" t="s">
        <v>16775</v>
      </c>
      <c r="P2013" s="213" t="s">
        <v>16776</v>
      </c>
      <c r="Q2013" s="213" t="s">
        <v>16777</v>
      </c>
      <c r="R2013" s="213" t="s">
        <v>16778</v>
      </c>
      <c r="S2013" s="213" t="s">
        <v>16779</v>
      </c>
      <c r="T2013" s="213" t="s">
        <v>16780</v>
      </c>
      <c r="U2013" s="213" t="s">
        <v>70929</v>
      </c>
    </row>
    <row r="2014" spans="1:21" x14ac:dyDescent="0.25">
      <c r="A2014" s="213" t="s">
        <v>327</v>
      </c>
      <c r="D2014" s="213" t="s">
        <v>16781</v>
      </c>
      <c r="E2014" s="213" t="s">
        <v>16782</v>
      </c>
      <c r="K2014" s="213" t="s">
        <v>70501</v>
      </c>
      <c r="L2014" s="213" t="s">
        <v>70644</v>
      </c>
      <c r="M2014" s="213" t="s">
        <v>70787</v>
      </c>
      <c r="N2014" s="213" t="s">
        <v>16783</v>
      </c>
      <c r="O2014" s="213" t="s">
        <v>16784</v>
      </c>
      <c r="P2014" s="213" t="s">
        <v>16785</v>
      </c>
      <c r="Q2014" s="213" t="s">
        <v>16786</v>
      </c>
      <c r="R2014" s="213" t="s">
        <v>16787</v>
      </c>
      <c r="S2014" s="213" t="s">
        <v>16788</v>
      </c>
      <c r="T2014" s="213" t="s">
        <v>16789</v>
      </c>
      <c r="U2014" s="213" t="s">
        <v>70930</v>
      </c>
    </row>
    <row r="2015" spans="1:21" x14ac:dyDescent="0.25">
      <c r="A2015" s="213" t="s">
        <v>327</v>
      </c>
      <c r="D2015" s="213" t="s">
        <v>16790</v>
      </c>
      <c r="E2015" s="213" t="s">
        <v>16791</v>
      </c>
      <c r="K2015" s="213" t="s">
        <v>70502</v>
      </c>
      <c r="L2015" s="213" t="s">
        <v>70645</v>
      </c>
      <c r="M2015" s="213" t="s">
        <v>70788</v>
      </c>
      <c r="N2015" s="213" t="s">
        <v>16792</v>
      </c>
      <c r="O2015" s="213" t="s">
        <v>16793</v>
      </c>
      <c r="P2015" s="213" t="s">
        <v>16794</v>
      </c>
      <c r="Q2015" s="213" t="s">
        <v>16795</v>
      </c>
      <c r="R2015" s="213" t="s">
        <v>16796</v>
      </c>
      <c r="S2015" s="213" t="s">
        <v>16797</v>
      </c>
      <c r="T2015" s="213" t="s">
        <v>16798</v>
      </c>
      <c r="U2015" s="213" t="s">
        <v>70931</v>
      </c>
    </row>
    <row r="2016" spans="1:21" x14ac:dyDescent="0.25">
      <c r="A2016" s="213" t="s">
        <v>327</v>
      </c>
      <c r="D2016" s="213" t="s">
        <v>16799</v>
      </c>
      <c r="E2016" s="213" t="s">
        <v>16800</v>
      </c>
      <c r="K2016" s="213" t="s">
        <v>70503</v>
      </c>
      <c r="L2016" s="213" t="s">
        <v>70646</v>
      </c>
      <c r="M2016" s="213" t="s">
        <v>70789</v>
      </c>
      <c r="N2016" s="213" t="s">
        <v>16801</v>
      </c>
      <c r="O2016" s="213" t="s">
        <v>16802</v>
      </c>
      <c r="P2016" s="213" t="s">
        <v>16803</v>
      </c>
      <c r="Q2016" s="213" t="s">
        <v>16804</v>
      </c>
      <c r="R2016" s="213" t="s">
        <v>16805</v>
      </c>
      <c r="S2016" s="213" t="s">
        <v>16806</v>
      </c>
      <c r="T2016" s="213" t="s">
        <v>16807</v>
      </c>
      <c r="U2016" s="213" t="s">
        <v>70932</v>
      </c>
    </row>
    <row r="2017" spans="1:21" x14ac:dyDescent="0.25">
      <c r="A2017" s="213" t="s">
        <v>327</v>
      </c>
      <c r="D2017" s="213" t="s">
        <v>16808</v>
      </c>
      <c r="E2017" s="213" t="s">
        <v>16809</v>
      </c>
      <c r="K2017" s="213" t="s">
        <v>70504</v>
      </c>
      <c r="L2017" s="213" t="s">
        <v>70647</v>
      </c>
      <c r="M2017" s="213" t="s">
        <v>70790</v>
      </c>
      <c r="N2017" s="213" t="s">
        <v>16810</v>
      </c>
      <c r="O2017" s="213" t="s">
        <v>16811</v>
      </c>
      <c r="P2017" s="213" t="s">
        <v>16812</v>
      </c>
      <c r="Q2017" s="213" t="s">
        <v>16813</v>
      </c>
      <c r="R2017" s="213" t="s">
        <v>16814</v>
      </c>
      <c r="S2017" s="213" t="s">
        <v>16815</v>
      </c>
      <c r="T2017" s="213" t="s">
        <v>16816</v>
      </c>
      <c r="U2017" s="213" t="s">
        <v>70933</v>
      </c>
    </row>
    <row r="2018" spans="1:21" x14ac:dyDescent="0.25">
      <c r="A2018" s="213" t="s">
        <v>327</v>
      </c>
      <c r="D2018" s="213" t="s">
        <v>16817</v>
      </c>
      <c r="E2018" s="213" t="s">
        <v>16818</v>
      </c>
      <c r="K2018" s="213" t="s">
        <v>70505</v>
      </c>
      <c r="L2018" s="213" t="s">
        <v>70648</v>
      </c>
      <c r="M2018" s="213" t="s">
        <v>70791</v>
      </c>
      <c r="N2018" s="213" t="s">
        <v>16819</v>
      </c>
      <c r="O2018" s="213" t="s">
        <v>16820</v>
      </c>
      <c r="P2018" s="213" t="s">
        <v>16821</v>
      </c>
      <c r="Q2018" s="213" t="s">
        <v>16822</v>
      </c>
      <c r="R2018" s="213" t="s">
        <v>16823</v>
      </c>
      <c r="S2018" s="213" t="s">
        <v>16824</v>
      </c>
      <c r="T2018" s="213" t="s">
        <v>16825</v>
      </c>
      <c r="U2018" s="213" t="s">
        <v>70934</v>
      </c>
    </row>
    <row r="2019" spans="1:21" x14ac:dyDescent="0.25">
      <c r="A2019" s="213" t="s">
        <v>327</v>
      </c>
      <c r="D2019" s="213" t="s">
        <v>16826</v>
      </c>
      <c r="E2019" s="213" t="s">
        <v>16827</v>
      </c>
      <c r="K2019" s="213" t="s">
        <v>70506</v>
      </c>
      <c r="L2019" s="213" t="s">
        <v>70649</v>
      </c>
      <c r="M2019" s="213" t="s">
        <v>70792</v>
      </c>
      <c r="N2019" s="213" t="s">
        <v>16828</v>
      </c>
      <c r="O2019" s="213" t="s">
        <v>16829</v>
      </c>
      <c r="P2019" s="213" t="s">
        <v>16830</v>
      </c>
      <c r="Q2019" s="213" t="s">
        <v>16831</v>
      </c>
      <c r="R2019" s="213" t="s">
        <v>16832</v>
      </c>
      <c r="S2019" s="213" t="s">
        <v>16833</v>
      </c>
      <c r="T2019" s="213" t="s">
        <v>16834</v>
      </c>
      <c r="U2019" s="213" t="s">
        <v>70935</v>
      </c>
    </row>
    <row r="2020" spans="1:21" x14ac:dyDescent="0.25">
      <c r="A2020" s="213" t="s">
        <v>327</v>
      </c>
      <c r="D2020" s="213" t="s">
        <v>16835</v>
      </c>
      <c r="E2020" s="213" t="s">
        <v>16836</v>
      </c>
      <c r="K2020" s="213" t="s">
        <v>70507</v>
      </c>
      <c r="L2020" s="213" t="s">
        <v>70650</v>
      </c>
      <c r="M2020" s="213" t="s">
        <v>70793</v>
      </c>
      <c r="N2020" s="213" t="s">
        <v>16837</v>
      </c>
      <c r="O2020" s="213" t="s">
        <v>16838</v>
      </c>
      <c r="P2020" s="213" t="s">
        <v>16839</v>
      </c>
      <c r="Q2020" s="213" t="s">
        <v>16840</v>
      </c>
      <c r="R2020" s="213" t="s">
        <v>16841</v>
      </c>
      <c r="S2020" s="213" t="s">
        <v>16842</v>
      </c>
      <c r="T2020" s="213" t="s">
        <v>16843</v>
      </c>
      <c r="U2020" s="213" t="s">
        <v>70936</v>
      </c>
    </row>
    <row r="2021" spans="1:21" x14ac:dyDescent="0.25">
      <c r="A2021" s="213" t="s">
        <v>327</v>
      </c>
      <c r="D2021" s="213" t="s">
        <v>16844</v>
      </c>
      <c r="E2021" s="213" t="s">
        <v>16845</v>
      </c>
      <c r="K2021" s="213" t="s">
        <v>70508</v>
      </c>
      <c r="L2021" s="213" t="s">
        <v>70651</v>
      </c>
      <c r="M2021" s="213" t="s">
        <v>70794</v>
      </c>
      <c r="N2021" s="213" t="s">
        <v>16846</v>
      </c>
      <c r="O2021" s="213" t="s">
        <v>16847</v>
      </c>
      <c r="P2021" s="213" t="s">
        <v>16848</v>
      </c>
      <c r="Q2021" s="213" t="s">
        <v>16849</v>
      </c>
      <c r="R2021" s="213" t="s">
        <v>16850</v>
      </c>
      <c r="S2021" s="213" t="s">
        <v>16851</v>
      </c>
      <c r="T2021" s="213" t="s">
        <v>16852</v>
      </c>
      <c r="U2021" s="213" t="s">
        <v>70937</v>
      </c>
    </row>
    <row r="2022" spans="1:21" x14ac:dyDescent="0.25">
      <c r="A2022" s="213" t="s">
        <v>327</v>
      </c>
      <c r="D2022" s="213" t="s">
        <v>16853</v>
      </c>
      <c r="E2022" s="213" t="s">
        <v>16854</v>
      </c>
      <c r="K2022" s="213" t="s">
        <v>70509</v>
      </c>
      <c r="L2022" s="213" t="s">
        <v>70652</v>
      </c>
      <c r="M2022" s="213" t="s">
        <v>70795</v>
      </c>
      <c r="N2022" s="213" t="s">
        <v>16855</v>
      </c>
      <c r="O2022" s="213" t="s">
        <v>16856</v>
      </c>
      <c r="P2022" s="213" t="s">
        <v>16857</v>
      </c>
      <c r="Q2022" s="213" t="s">
        <v>16858</v>
      </c>
      <c r="R2022" s="213" t="s">
        <v>16859</v>
      </c>
      <c r="S2022" s="213" t="s">
        <v>16860</v>
      </c>
      <c r="T2022" s="213" t="s">
        <v>16861</v>
      </c>
      <c r="U2022" s="213" t="s">
        <v>70938</v>
      </c>
    </row>
    <row r="2023" spans="1:21" x14ac:dyDescent="0.25">
      <c r="A2023" s="213" t="s">
        <v>327</v>
      </c>
      <c r="D2023" s="213" t="s">
        <v>16862</v>
      </c>
      <c r="E2023" s="213" t="s">
        <v>16863</v>
      </c>
      <c r="K2023" s="213" t="s">
        <v>70510</v>
      </c>
      <c r="L2023" s="213" t="s">
        <v>70653</v>
      </c>
      <c r="M2023" s="213" t="s">
        <v>70796</v>
      </c>
      <c r="N2023" s="213" t="s">
        <v>16864</v>
      </c>
      <c r="O2023" s="213" t="s">
        <v>16865</v>
      </c>
      <c r="P2023" s="213" t="s">
        <v>16866</v>
      </c>
      <c r="Q2023" s="213" t="s">
        <v>16867</v>
      </c>
      <c r="R2023" s="213" t="s">
        <v>16868</v>
      </c>
      <c r="S2023" s="213" t="s">
        <v>16869</v>
      </c>
      <c r="T2023" s="213" t="s">
        <v>16870</v>
      </c>
      <c r="U2023" s="213" t="s">
        <v>70939</v>
      </c>
    </row>
    <row r="2024" spans="1:21" x14ac:dyDescent="0.25">
      <c r="A2024" s="213" t="s">
        <v>327</v>
      </c>
      <c r="D2024" s="213" t="s">
        <v>16871</v>
      </c>
      <c r="E2024" s="213" t="s">
        <v>16872</v>
      </c>
      <c r="K2024" s="213" t="s">
        <v>70511</v>
      </c>
      <c r="L2024" s="213" t="s">
        <v>70654</v>
      </c>
      <c r="M2024" s="213" t="s">
        <v>70797</v>
      </c>
      <c r="N2024" s="213" t="s">
        <v>16873</v>
      </c>
      <c r="O2024" s="213" t="s">
        <v>16874</v>
      </c>
      <c r="P2024" s="213" t="s">
        <v>16875</v>
      </c>
      <c r="Q2024" s="213" t="s">
        <v>16876</v>
      </c>
      <c r="R2024" s="213" t="s">
        <v>16877</v>
      </c>
      <c r="S2024" s="213" t="s">
        <v>16878</v>
      </c>
      <c r="T2024" s="213" t="s">
        <v>16879</v>
      </c>
      <c r="U2024" s="213" t="s">
        <v>70940</v>
      </c>
    </row>
    <row r="2025" spans="1:21" x14ac:dyDescent="0.25">
      <c r="A2025" s="213" t="s">
        <v>327</v>
      </c>
      <c r="D2025" s="213" t="s">
        <v>16880</v>
      </c>
      <c r="E2025" s="213" t="s">
        <v>16881</v>
      </c>
      <c r="K2025" s="213" t="s">
        <v>70512</v>
      </c>
      <c r="L2025" s="213" t="s">
        <v>70655</v>
      </c>
      <c r="M2025" s="213" t="s">
        <v>70798</v>
      </c>
      <c r="N2025" s="213" t="s">
        <v>16882</v>
      </c>
      <c r="O2025" s="213" t="s">
        <v>16883</v>
      </c>
      <c r="P2025" s="213" t="s">
        <v>16884</v>
      </c>
      <c r="Q2025" s="213" t="s">
        <v>16885</v>
      </c>
      <c r="R2025" s="213" t="s">
        <v>16886</v>
      </c>
      <c r="S2025" s="213" t="s">
        <v>16887</v>
      </c>
      <c r="T2025" s="213" t="s">
        <v>16888</v>
      </c>
      <c r="U2025" s="213" t="s">
        <v>70941</v>
      </c>
    </row>
    <row r="2026" spans="1:21" x14ac:dyDescent="0.25">
      <c r="A2026" s="213" t="s">
        <v>327</v>
      </c>
      <c r="D2026" s="213" t="s">
        <v>16889</v>
      </c>
      <c r="E2026" s="213" t="s">
        <v>16890</v>
      </c>
      <c r="K2026" s="213" t="s">
        <v>70513</v>
      </c>
      <c r="L2026" s="213" t="s">
        <v>70656</v>
      </c>
      <c r="M2026" s="213" t="s">
        <v>70799</v>
      </c>
      <c r="N2026" s="213" t="s">
        <v>16891</v>
      </c>
      <c r="O2026" s="213" t="s">
        <v>16892</v>
      </c>
      <c r="P2026" s="213" t="s">
        <v>16893</v>
      </c>
      <c r="Q2026" s="213" t="s">
        <v>16894</v>
      </c>
      <c r="R2026" s="213" t="s">
        <v>16895</v>
      </c>
      <c r="S2026" s="213" t="s">
        <v>16896</v>
      </c>
      <c r="T2026" s="213" t="s">
        <v>16897</v>
      </c>
      <c r="U2026" s="213" t="s">
        <v>70942</v>
      </c>
    </row>
    <row r="2027" spans="1:21" x14ac:dyDescent="0.25">
      <c r="A2027" s="213" t="s">
        <v>327</v>
      </c>
      <c r="D2027" s="213" t="s">
        <v>16898</v>
      </c>
      <c r="E2027" s="213" t="s">
        <v>16899</v>
      </c>
      <c r="K2027" s="213" t="s">
        <v>70514</v>
      </c>
      <c r="L2027" s="213" t="s">
        <v>70657</v>
      </c>
      <c r="M2027" s="213" t="s">
        <v>70800</v>
      </c>
      <c r="N2027" s="213" t="s">
        <v>16900</v>
      </c>
      <c r="O2027" s="213" t="s">
        <v>16901</v>
      </c>
      <c r="P2027" s="213" t="s">
        <v>16902</v>
      </c>
      <c r="Q2027" s="213" t="s">
        <v>16903</v>
      </c>
      <c r="R2027" s="213" t="s">
        <v>16904</v>
      </c>
      <c r="S2027" s="213" t="s">
        <v>16905</v>
      </c>
      <c r="T2027" s="213" t="s">
        <v>16906</v>
      </c>
      <c r="U2027" s="213" t="s">
        <v>70943</v>
      </c>
    </row>
    <row r="2028" spans="1:21" x14ac:dyDescent="0.25">
      <c r="A2028" s="213" t="s">
        <v>327</v>
      </c>
      <c r="D2028" s="213" t="s">
        <v>16907</v>
      </c>
      <c r="E2028" s="213" t="s">
        <v>16908</v>
      </c>
      <c r="K2028" s="213" t="s">
        <v>70515</v>
      </c>
      <c r="L2028" s="213" t="s">
        <v>70658</v>
      </c>
      <c r="M2028" s="213" t="s">
        <v>70801</v>
      </c>
      <c r="N2028" s="213" t="s">
        <v>16909</v>
      </c>
      <c r="O2028" s="213" t="s">
        <v>16910</v>
      </c>
      <c r="P2028" s="213" t="s">
        <v>16911</v>
      </c>
      <c r="Q2028" s="213" t="s">
        <v>16912</v>
      </c>
      <c r="R2028" s="213" t="s">
        <v>16913</v>
      </c>
      <c r="S2028" s="213" t="s">
        <v>16914</v>
      </c>
      <c r="T2028" s="213" t="s">
        <v>16915</v>
      </c>
      <c r="U2028" s="213" t="s">
        <v>70944</v>
      </c>
    </row>
    <row r="2029" spans="1:21" x14ac:dyDescent="0.25">
      <c r="A2029" s="213" t="s">
        <v>327</v>
      </c>
      <c r="D2029" s="213" t="s">
        <v>16916</v>
      </c>
      <c r="E2029" s="213" t="s">
        <v>16917</v>
      </c>
      <c r="K2029" s="213" t="s">
        <v>70516</v>
      </c>
      <c r="L2029" s="213" t="s">
        <v>70659</v>
      </c>
      <c r="M2029" s="213" t="s">
        <v>70802</v>
      </c>
      <c r="N2029" s="213" t="s">
        <v>16918</v>
      </c>
      <c r="O2029" s="213" t="s">
        <v>16919</v>
      </c>
      <c r="P2029" s="213" t="s">
        <v>16920</v>
      </c>
      <c r="Q2029" s="213" t="s">
        <v>16921</v>
      </c>
      <c r="R2029" s="213" t="s">
        <v>16922</v>
      </c>
      <c r="S2029" s="213" t="s">
        <v>16923</v>
      </c>
      <c r="T2029" s="213" t="s">
        <v>16924</v>
      </c>
      <c r="U2029" s="213" t="s">
        <v>70945</v>
      </c>
    </row>
    <row r="2030" spans="1:21" x14ac:dyDescent="0.25">
      <c r="A2030" s="213" t="s">
        <v>327</v>
      </c>
      <c r="D2030" s="213" t="s">
        <v>16925</v>
      </c>
      <c r="E2030" s="213" t="s">
        <v>16926</v>
      </c>
      <c r="K2030" s="213" t="s">
        <v>70517</v>
      </c>
      <c r="L2030" s="213" t="s">
        <v>70660</v>
      </c>
      <c r="M2030" s="213" t="s">
        <v>70803</v>
      </c>
      <c r="N2030" s="213" t="s">
        <v>16927</v>
      </c>
      <c r="O2030" s="213" t="s">
        <v>16928</v>
      </c>
      <c r="P2030" s="213" t="s">
        <v>16929</v>
      </c>
      <c r="Q2030" s="213" t="s">
        <v>16930</v>
      </c>
      <c r="R2030" s="213" t="s">
        <v>16931</v>
      </c>
      <c r="S2030" s="213" t="s">
        <v>16932</v>
      </c>
      <c r="T2030" s="213" t="s">
        <v>16933</v>
      </c>
      <c r="U2030" s="213" t="s">
        <v>70946</v>
      </c>
    </row>
    <row r="2031" spans="1:21" x14ac:dyDescent="0.25">
      <c r="A2031" s="213" t="s">
        <v>327</v>
      </c>
      <c r="D2031" s="213" t="s">
        <v>16934</v>
      </c>
      <c r="E2031" s="213" t="s">
        <v>16935</v>
      </c>
      <c r="K2031" s="213" t="s">
        <v>70518</v>
      </c>
      <c r="L2031" s="213" t="s">
        <v>70661</v>
      </c>
      <c r="M2031" s="213" t="s">
        <v>70804</v>
      </c>
      <c r="N2031" s="213" t="s">
        <v>16936</v>
      </c>
      <c r="O2031" s="213" t="s">
        <v>16937</v>
      </c>
      <c r="P2031" s="213" t="s">
        <v>16938</v>
      </c>
      <c r="Q2031" s="213" t="s">
        <v>16939</v>
      </c>
      <c r="R2031" s="213" t="s">
        <v>16940</v>
      </c>
      <c r="S2031" s="213" t="s">
        <v>16941</v>
      </c>
      <c r="T2031" s="213" t="s">
        <v>16942</v>
      </c>
      <c r="U2031" s="213" t="s">
        <v>70947</v>
      </c>
    </row>
    <row r="2032" spans="1:21" x14ac:dyDescent="0.25">
      <c r="A2032" s="213" t="s">
        <v>327</v>
      </c>
      <c r="D2032" s="213" t="s">
        <v>16943</v>
      </c>
      <c r="E2032" s="213" t="s">
        <v>16944</v>
      </c>
      <c r="K2032" s="213" t="s">
        <v>70519</v>
      </c>
      <c r="L2032" s="213" t="s">
        <v>70662</v>
      </c>
      <c r="M2032" s="213" t="s">
        <v>70805</v>
      </c>
      <c r="N2032" s="213" t="s">
        <v>16945</v>
      </c>
      <c r="O2032" s="213" t="s">
        <v>16946</v>
      </c>
      <c r="P2032" s="213" t="s">
        <v>16947</v>
      </c>
      <c r="Q2032" s="213" t="s">
        <v>16948</v>
      </c>
      <c r="R2032" s="213" t="s">
        <v>16949</v>
      </c>
      <c r="S2032" s="213" t="s">
        <v>16950</v>
      </c>
      <c r="T2032" s="213" t="s">
        <v>16951</v>
      </c>
      <c r="U2032" s="213" t="s">
        <v>70948</v>
      </c>
    </row>
    <row r="2033" spans="1:21" x14ac:dyDescent="0.25">
      <c r="A2033" s="213" t="s">
        <v>327</v>
      </c>
      <c r="D2033" s="213" t="s">
        <v>16952</v>
      </c>
      <c r="E2033" s="213" t="s">
        <v>16953</v>
      </c>
      <c r="K2033" s="213" t="s">
        <v>70520</v>
      </c>
      <c r="L2033" s="213" t="s">
        <v>70663</v>
      </c>
      <c r="M2033" s="213" t="s">
        <v>70806</v>
      </c>
      <c r="N2033" s="213" t="s">
        <v>16954</v>
      </c>
      <c r="O2033" s="213" t="s">
        <v>16955</v>
      </c>
      <c r="P2033" s="213" t="s">
        <v>16956</v>
      </c>
      <c r="Q2033" s="213" t="s">
        <v>16957</v>
      </c>
      <c r="R2033" s="213" t="s">
        <v>16958</v>
      </c>
      <c r="S2033" s="213" t="s">
        <v>16959</v>
      </c>
      <c r="T2033" s="213" t="s">
        <v>16960</v>
      </c>
      <c r="U2033" s="213" t="s">
        <v>70949</v>
      </c>
    </row>
    <row r="2034" spans="1:21" x14ac:dyDescent="0.25">
      <c r="A2034" s="213" t="s">
        <v>327</v>
      </c>
      <c r="D2034" s="213" t="s">
        <v>16961</v>
      </c>
      <c r="E2034" s="213" t="s">
        <v>16962</v>
      </c>
      <c r="K2034" s="213" t="s">
        <v>70521</v>
      </c>
      <c r="L2034" s="213" t="s">
        <v>70664</v>
      </c>
      <c r="M2034" s="213" t="s">
        <v>70807</v>
      </c>
      <c r="N2034" s="213" t="s">
        <v>16963</v>
      </c>
      <c r="O2034" s="213" t="s">
        <v>16964</v>
      </c>
      <c r="P2034" s="213" t="s">
        <v>16965</v>
      </c>
      <c r="Q2034" s="213" t="s">
        <v>16966</v>
      </c>
      <c r="R2034" s="213" t="s">
        <v>16967</v>
      </c>
      <c r="S2034" s="213" t="s">
        <v>16968</v>
      </c>
      <c r="T2034" s="213" t="s">
        <v>16969</v>
      </c>
      <c r="U2034" s="213" t="s">
        <v>70950</v>
      </c>
    </row>
    <row r="2035" spans="1:21" x14ac:dyDescent="0.25">
      <c r="A2035" s="213" t="s">
        <v>327</v>
      </c>
      <c r="D2035" s="213" t="s">
        <v>16970</v>
      </c>
      <c r="E2035" s="213" t="s">
        <v>16971</v>
      </c>
      <c r="K2035" s="213" t="s">
        <v>70522</v>
      </c>
      <c r="L2035" s="213" t="s">
        <v>70665</v>
      </c>
      <c r="M2035" s="213" t="s">
        <v>70808</v>
      </c>
      <c r="N2035" s="213" t="s">
        <v>16972</v>
      </c>
      <c r="O2035" s="213" t="s">
        <v>16973</v>
      </c>
      <c r="P2035" s="213" t="s">
        <v>16974</v>
      </c>
      <c r="Q2035" s="213" t="s">
        <v>16975</v>
      </c>
      <c r="R2035" s="213" t="s">
        <v>16976</v>
      </c>
      <c r="S2035" s="213" t="s">
        <v>16977</v>
      </c>
      <c r="T2035" s="213" t="s">
        <v>16978</v>
      </c>
      <c r="U2035" s="213" t="s">
        <v>70951</v>
      </c>
    </row>
    <row r="2036" spans="1:21" x14ac:dyDescent="0.25">
      <c r="A2036" s="213" t="s">
        <v>327</v>
      </c>
      <c r="D2036" s="213" t="s">
        <v>16979</v>
      </c>
      <c r="E2036" s="213" t="s">
        <v>16980</v>
      </c>
      <c r="K2036" s="213" t="s">
        <v>70523</v>
      </c>
      <c r="L2036" s="213" t="s">
        <v>70666</v>
      </c>
      <c r="M2036" s="213" t="s">
        <v>70809</v>
      </c>
      <c r="N2036" s="213" t="s">
        <v>16981</v>
      </c>
      <c r="O2036" s="213" t="s">
        <v>16982</v>
      </c>
      <c r="P2036" s="213" t="s">
        <v>16983</v>
      </c>
      <c r="Q2036" s="213" t="s">
        <v>16984</v>
      </c>
      <c r="R2036" s="213" t="s">
        <v>16985</v>
      </c>
      <c r="S2036" s="213" t="s">
        <v>16986</v>
      </c>
      <c r="T2036" s="213" t="s">
        <v>16987</v>
      </c>
      <c r="U2036" s="213" t="s">
        <v>70952</v>
      </c>
    </row>
    <row r="2037" spans="1:21" x14ac:dyDescent="0.25">
      <c r="A2037" s="213" t="s">
        <v>327</v>
      </c>
      <c r="D2037" s="213" t="s">
        <v>16988</v>
      </c>
      <c r="E2037" s="213" t="s">
        <v>16989</v>
      </c>
      <c r="K2037" s="213" t="s">
        <v>70524</v>
      </c>
      <c r="L2037" s="213" t="s">
        <v>70667</v>
      </c>
      <c r="M2037" s="213" t="s">
        <v>70810</v>
      </c>
      <c r="N2037" s="213" t="s">
        <v>16990</v>
      </c>
      <c r="O2037" s="213" t="s">
        <v>16991</v>
      </c>
      <c r="P2037" s="213" t="s">
        <v>16992</v>
      </c>
      <c r="Q2037" s="213" t="s">
        <v>16993</v>
      </c>
      <c r="R2037" s="213" t="s">
        <v>16994</v>
      </c>
      <c r="S2037" s="213" t="s">
        <v>16995</v>
      </c>
      <c r="T2037" s="213" t="s">
        <v>16996</v>
      </c>
      <c r="U2037" s="213" t="s">
        <v>70953</v>
      </c>
    </row>
    <row r="2038" spans="1:21" x14ac:dyDescent="0.25">
      <c r="A2038" s="213" t="s">
        <v>327</v>
      </c>
      <c r="D2038" s="213" t="s">
        <v>16997</v>
      </c>
      <c r="E2038" s="213" t="s">
        <v>16998</v>
      </c>
      <c r="K2038" s="213" t="s">
        <v>70525</v>
      </c>
      <c r="L2038" s="213" t="s">
        <v>70668</v>
      </c>
      <c r="M2038" s="213" t="s">
        <v>70811</v>
      </c>
      <c r="N2038" s="213" t="s">
        <v>16999</v>
      </c>
      <c r="O2038" s="213" t="s">
        <v>17000</v>
      </c>
      <c r="P2038" s="213" t="s">
        <v>17001</v>
      </c>
      <c r="Q2038" s="213" t="s">
        <v>17002</v>
      </c>
      <c r="R2038" s="213" t="s">
        <v>17003</v>
      </c>
      <c r="S2038" s="213" t="s">
        <v>17004</v>
      </c>
      <c r="T2038" s="213" t="s">
        <v>17005</v>
      </c>
      <c r="U2038" s="213" t="s">
        <v>70954</v>
      </c>
    </row>
    <row r="2039" spans="1:21" x14ac:dyDescent="0.25">
      <c r="A2039" s="213" t="s">
        <v>327</v>
      </c>
      <c r="D2039" s="213" t="s">
        <v>17006</v>
      </c>
      <c r="E2039" s="213" t="s">
        <v>17007</v>
      </c>
      <c r="K2039" s="213" t="s">
        <v>70526</v>
      </c>
      <c r="L2039" s="213" t="s">
        <v>70669</v>
      </c>
      <c r="M2039" s="213" t="s">
        <v>70812</v>
      </c>
      <c r="N2039" s="213" t="s">
        <v>17008</v>
      </c>
      <c r="O2039" s="213" t="s">
        <v>17009</v>
      </c>
      <c r="P2039" s="213" t="s">
        <v>17010</v>
      </c>
      <c r="Q2039" s="213" t="s">
        <v>17011</v>
      </c>
      <c r="R2039" s="213" t="s">
        <v>17012</v>
      </c>
      <c r="S2039" s="213" t="s">
        <v>17013</v>
      </c>
      <c r="T2039" s="213" t="s">
        <v>17014</v>
      </c>
      <c r="U2039" s="213" t="s">
        <v>70955</v>
      </c>
    </row>
    <row r="2040" spans="1:21" x14ac:dyDescent="0.25">
      <c r="A2040" s="213" t="s">
        <v>327</v>
      </c>
      <c r="D2040" s="213" t="s">
        <v>17015</v>
      </c>
      <c r="E2040" s="213" t="s">
        <v>17016</v>
      </c>
      <c r="K2040" s="213" t="s">
        <v>70527</v>
      </c>
      <c r="L2040" s="213" t="s">
        <v>70670</v>
      </c>
      <c r="M2040" s="213" t="s">
        <v>70813</v>
      </c>
      <c r="N2040" s="213" t="s">
        <v>17017</v>
      </c>
      <c r="O2040" s="213" t="s">
        <v>17018</v>
      </c>
      <c r="P2040" s="213" t="s">
        <v>17019</v>
      </c>
      <c r="Q2040" s="213" t="s">
        <v>17020</v>
      </c>
      <c r="R2040" s="213" t="s">
        <v>17021</v>
      </c>
      <c r="S2040" s="213" t="s">
        <v>17022</v>
      </c>
      <c r="T2040" s="213" t="s">
        <v>17023</v>
      </c>
      <c r="U2040" s="213" t="s">
        <v>70956</v>
      </c>
    </row>
    <row r="2041" spans="1:21" x14ac:dyDescent="0.25">
      <c r="A2041" s="213" t="s">
        <v>327</v>
      </c>
      <c r="D2041" s="213" t="s">
        <v>17024</v>
      </c>
      <c r="E2041" s="213" t="s">
        <v>17025</v>
      </c>
      <c r="K2041" s="213" t="s">
        <v>70528</v>
      </c>
      <c r="L2041" s="213" t="s">
        <v>70671</v>
      </c>
      <c r="M2041" s="213" t="s">
        <v>70814</v>
      </c>
      <c r="N2041" s="213" t="s">
        <v>17026</v>
      </c>
      <c r="O2041" s="213" t="s">
        <v>17027</v>
      </c>
      <c r="P2041" s="213" t="s">
        <v>17028</v>
      </c>
      <c r="Q2041" s="213" t="s">
        <v>17029</v>
      </c>
      <c r="R2041" s="213" t="s">
        <v>17030</v>
      </c>
      <c r="S2041" s="213" t="s">
        <v>17031</v>
      </c>
      <c r="T2041" s="213" t="s">
        <v>17032</v>
      </c>
      <c r="U2041" s="213" t="s">
        <v>70957</v>
      </c>
    </row>
    <row r="2042" spans="1:21" x14ac:dyDescent="0.25">
      <c r="A2042" s="213" t="s">
        <v>327</v>
      </c>
      <c r="D2042" s="213" t="s">
        <v>17033</v>
      </c>
      <c r="E2042" s="213" t="s">
        <v>17034</v>
      </c>
      <c r="K2042" s="213" t="s">
        <v>70529</v>
      </c>
      <c r="L2042" s="213" t="s">
        <v>70672</v>
      </c>
      <c r="M2042" s="213" t="s">
        <v>70815</v>
      </c>
      <c r="N2042" s="213" t="s">
        <v>17035</v>
      </c>
      <c r="O2042" s="213" t="s">
        <v>17036</v>
      </c>
      <c r="P2042" s="213" t="s">
        <v>17037</v>
      </c>
      <c r="Q2042" s="213" t="s">
        <v>17038</v>
      </c>
      <c r="R2042" s="213" t="s">
        <v>17039</v>
      </c>
      <c r="S2042" s="213" t="s">
        <v>17040</v>
      </c>
      <c r="T2042" s="213" t="s">
        <v>17041</v>
      </c>
      <c r="U2042" s="213" t="s">
        <v>70958</v>
      </c>
    </row>
    <row r="2043" spans="1:21" x14ac:dyDescent="0.25">
      <c r="A2043" s="213" t="s">
        <v>327</v>
      </c>
      <c r="D2043" s="213" t="s">
        <v>17042</v>
      </c>
      <c r="E2043" s="213" t="s">
        <v>17043</v>
      </c>
      <c r="K2043" s="213" t="s">
        <v>70530</v>
      </c>
      <c r="L2043" s="213" t="s">
        <v>70673</v>
      </c>
      <c r="M2043" s="213" t="s">
        <v>70816</v>
      </c>
      <c r="N2043" s="213" t="s">
        <v>17044</v>
      </c>
      <c r="O2043" s="213" t="s">
        <v>17045</v>
      </c>
      <c r="P2043" s="213" t="s">
        <v>17046</v>
      </c>
      <c r="Q2043" s="213" t="s">
        <v>17047</v>
      </c>
      <c r="R2043" s="213" t="s">
        <v>17048</v>
      </c>
      <c r="S2043" s="213" t="s">
        <v>17049</v>
      </c>
      <c r="T2043" s="213" t="s">
        <v>17050</v>
      </c>
      <c r="U2043" s="213" t="s">
        <v>70959</v>
      </c>
    </row>
    <row r="2044" spans="1:21" x14ac:dyDescent="0.25">
      <c r="A2044" s="213" t="s">
        <v>327</v>
      </c>
      <c r="D2044" s="213" t="s">
        <v>17051</v>
      </c>
      <c r="E2044" s="213" t="s">
        <v>17052</v>
      </c>
      <c r="K2044" s="213" t="s">
        <v>70531</v>
      </c>
      <c r="L2044" s="213" t="s">
        <v>70674</v>
      </c>
      <c r="M2044" s="213" t="s">
        <v>70817</v>
      </c>
      <c r="N2044" s="213" t="s">
        <v>17053</v>
      </c>
      <c r="O2044" s="213" t="s">
        <v>17054</v>
      </c>
      <c r="P2044" s="213" t="s">
        <v>17055</v>
      </c>
      <c r="Q2044" s="213" t="s">
        <v>17056</v>
      </c>
      <c r="R2044" s="213" t="s">
        <v>17057</v>
      </c>
      <c r="S2044" s="213" t="s">
        <v>17058</v>
      </c>
      <c r="T2044" s="213" t="s">
        <v>17059</v>
      </c>
      <c r="U2044" s="213" t="s">
        <v>70960</v>
      </c>
    </row>
    <row r="2045" spans="1:21" x14ac:dyDescent="0.25">
      <c r="A2045" s="213" t="s">
        <v>327</v>
      </c>
      <c r="D2045" s="213" t="s">
        <v>17060</v>
      </c>
      <c r="E2045" s="213" t="s">
        <v>17061</v>
      </c>
      <c r="K2045" s="213" t="s">
        <v>70532</v>
      </c>
      <c r="L2045" s="213" t="s">
        <v>70675</v>
      </c>
      <c r="M2045" s="213" t="s">
        <v>70818</v>
      </c>
      <c r="N2045" s="213" t="s">
        <v>17062</v>
      </c>
      <c r="O2045" s="213" t="s">
        <v>17063</v>
      </c>
      <c r="P2045" s="213" t="s">
        <v>17064</v>
      </c>
      <c r="Q2045" s="213" t="s">
        <v>17065</v>
      </c>
      <c r="R2045" s="213" t="s">
        <v>17066</v>
      </c>
      <c r="S2045" s="213" t="s">
        <v>17067</v>
      </c>
      <c r="T2045" s="213" t="s">
        <v>17068</v>
      </c>
      <c r="U2045" s="213" t="s">
        <v>70961</v>
      </c>
    </row>
    <row r="2046" spans="1:21" x14ac:dyDescent="0.25">
      <c r="A2046" s="213" t="s">
        <v>327</v>
      </c>
      <c r="D2046" s="213" t="s">
        <v>17069</v>
      </c>
      <c r="E2046" s="213" t="s">
        <v>17070</v>
      </c>
      <c r="K2046" s="213" t="s">
        <v>70533</v>
      </c>
      <c r="L2046" s="213" t="s">
        <v>70676</v>
      </c>
      <c r="M2046" s="213" t="s">
        <v>70819</v>
      </c>
      <c r="N2046" s="213" t="s">
        <v>17071</v>
      </c>
      <c r="O2046" s="213" t="s">
        <v>17072</v>
      </c>
      <c r="P2046" s="213" t="s">
        <v>17073</v>
      </c>
      <c r="Q2046" s="213" t="s">
        <v>17074</v>
      </c>
      <c r="R2046" s="213" t="s">
        <v>17075</v>
      </c>
      <c r="S2046" s="213" t="s">
        <v>17076</v>
      </c>
      <c r="T2046" s="213" t="s">
        <v>17077</v>
      </c>
      <c r="U2046" s="213" t="s">
        <v>70962</v>
      </c>
    </row>
    <row r="2047" spans="1:21" x14ac:dyDescent="0.25">
      <c r="A2047" s="213" t="s">
        <v>327</v>
      </c>
      <c r="D2047" s="213" t="s">
        <v>17078</v>
      </c>
      <c r="E2047" s="213" t="s">
        <v>17079</v>
      </c>
      <c r="K2047" s="213" t="s">
        <v>70534</v>
      </c>
      <c r="L2047" s="213" t="s">
        <v>70677</v>
      </c>
      <c r="M2047" s="213" t="s">
        <v>70820</v>
      </c>
      <c r="N2047" s="213" t="s">
        <v>17080</v>
      </c>
      <c r="O2047" s="213" t="s">
        <v>17081</v>
      </c>
      <c r="P2047" s="213" t="s">
        <v>17082</v>
      </c>
      <c r="Q2047" s="213" t="s">
        <v>17083</v>
      </c>
      <c r="R2047" s="213" t="s">
        <v>17084</v>
      </c>
      <c r="S2047" s="213" t="s">
        <v>17085</v>
      </c>
      <c r="T2047" s="213" t="s">
        <v>17086</v>
      </c>
      <c r="U2047" s="213" t="s">
        <v>70963</v>
      </c>
    </row>
    <row r="2048" spans="1:21" x14ac:dyDescent="0.25">
      <c r="A2048" s="213" t="s">
        <v>327</v>
      </c>
      <c r="D2048" s="213" t="s">
        <v>17087</v>
      </c>
      <c r="E2048" s="213" t="s">
        <v>17088</v>
      </c>
      <c r="K2048" s="213" t="s">
        <v>70535</v>
      </c>
      <c r="L2048" s="213" t="s">
        <v>70678</v>
      </c>
      <c r="M2048" s="213" t="s">
        <v>70821</v>
      </c>
      <c r="N2048" s="213" t="s">
        <v>17089</v>
      </c>
      <c r="O2048" s="213" t="s">
        <v>17090</v>
      </c>
      <c r="P2048" s="213" t="s">
        <v>17091</v>
      </c>
      <c r="Q2048" s="213" t="s">
        <v>17092</v>
      </c>
      <c r="R2048" s="213" t="s">
        <v>17093</v>
      </c>
      <c r="S2048" s="213" t="s">
        <v>17094</v>
      </c>
      <c r="T2048" s="213" t="s">
        <v>17095</v>
      </c>
      <c r="U2048" s="213" t="s">
        <v>70964</v>
      </c>
    </row>
    <row r="2049" spans="1:21" x14ac:dyDescent="0.25">
      <c r="A2049" s="213" t="s">
        <v>327</v>
      </c>
      <c r="D2049" s="213" t="s">
        <v>17096</v>
      </c>
      <c r="E2049" s="213" t="s">
        <v>17097</v>
      </c>
      <c r="K2049" s="213" t="s">
        <v>70536</v>
      </c>
      <c r="L2049" s="213" t="s">
        <v>70679</v>
      </c>
      <c r="M2049" s="213" t="s">
        <v>70822</v>
      </c>
      <c r="N2049" s="213" t="s">
        <v>17098</v>
      </c>
      <c r="O2049" s="213" t="s">
        <v>17099</v>
      </c>
      <c r="P2049" s="213" t="s">
        <v>17100</v>
      </c>
      <c r="Q2049" s="213" t="s">
        <v>17101</v>
      </c>
      <c r="R2049" s="213" t="s">
        <v>17102</v>
      </c>
      <c r="S2049" s="213" t="s">
        <v>17103</v>
      </c>
      <c r="T2049" s="213" t="s">
        <v>17104</v>
      </c>
      <c r="U2049" s="213" t="s">
        <v>70965</v>
      </c>
    </row>
    <row r="2050" spans="1:21" x14ac:dyDescent="0.25">
      <c r="A2050" s="213" t="s">
        <v>327</v>
      </c>
      <c r="D2050" s="213" t="s">
        <v>17105</v>
      </c>
      <c r="E2050" s="213" t="s">
        <v>17106</v>
      </c>
      <c r="K2050" s="213" t="s">
        <v>70537</v>
      </c>
      <c r="L2050" s="213" t="s">
        <v>70680</v>
      </c>
      <c r="M2050" s="213" t="s">
        <v>70823</v>
      </c>
      <c r="N2050" s="213" t="s">
        <v>17107</v>
      </c>
      <c r="O2050" s="213" t="s">
        <v>17108</v>
      </c>
      <c r="P2050" s="213" t="s">
        <v>17109</v>
      </c>
      <c r="Q2050" s="213" t="s">
        <v>17110</v>
      </c>
      <c r="R2050" s="213" t="s">
        <v>17111</v>
      </c>
      <c r="S2050" s="213" t="s">
        <v>17112</v>
      </c>
      <c r="T2050" s="213" t="s">
        <v>17113</v>
      </c>
      <c r="U2050" s="213" t="s">
        <v>70966</v>
      </c>
    </row>
    <row r="2051" spans="1:21" x14ac:dyDescent="0.25">
      <c r="A2051" s="213" t="s">
        <v>327</v>
      </c>
      <c r="D2051" s="213" t="s">
        <v>17114</v>
      </c>
      <c r="E2051" s="213" t="s">
        <v>17115</v>
      </c>
      <c r="K2051" s="213" t="s">
        <v>70538</v>
      </c>
      <c r="L2051" s="213" t="s">
        <v>70681</v>
      </c>
      <c r="M2051" s="213" t="s">
        <v>70824</v>
      </c>
      <c r="N2051" s="213" t="s">
        <v>17116</v>
      </c>
      <c r="O2051" s="213" t="s">
        <v>17117</v>
      </c>
      <c r="P2051" s="213" t="s">
        <v>17118</v>
      </c>
      <c r="Q2051" s="213" t="s">
        <v>17119</v>
      </c>
      <c r="R2051" s="213" t="s">
        <v>17120</v>
      </c>
      <c r="S2051" s="213" t="s">
        <v>17121</v>
      </c>
      <c r="T2051" s="213" t="s">
        <v>17122</v>
      </c>
      <c r="U2051" s="213" t="s">
        <v>70967</v>
      </c>
    </row>
    <row r="2052" spans="1:21" x14ac:dyDescent="0.25">
      <c r="A2052" s="213" t="s">
        <v>327</v>
      </c>
      <c r="D2052" s="213" t="s">
        <v>17123</v>
      </c>
      <c r="E2052" s="213" t="s">
        <v>17124</v>
      </c>
      <c r="K2052" s="213" t="s">
        <v>70539</v>
      </c>
      <c r="L2052" s="213" t="s">
        <v>70682</v>
      </c>
      <c r="M2052" s="213" t="s">
        <v>70825</v>
      </c>
      <c r="N2052" s="213" t="s">
        <v>17125</v>
      </c>
      <c r="O2052" s="213" t="s">
        <v>17126</v>
      </c>
      <c r="P2052" s="213" t="s">
        <v>17127</v>
      </c>
      <c r="Q2052" s="213" t="s">
        <v>17128</v>
      </c>
      <c r="R2052" s="213" t="s">
        <v>17129</v>
      </c>
      <c r="S2052" s="213" t="s">
        <v>17130</v>
      </c>
      <c r="T2052" s="213" t="s">
        <v>17131</v>
      </c>
      <c r="U2052" s="213" t="s">
        <v>70968</v>
      </c>
    </row>
    <row r="2053" spans="1:21" x14ac:dyDescent="0.25">
      <c r="A2053" s="213" t="s">
        <v>327</v>
      </c>
      <c r="D2053" s="213" t="s">
        <v>17132</v>
      </c>
      <c r="E2053" s="213" t="s">
        <v>17133</v>
      </c>
      <c r="K2053" s="213" t="s">
        <v>70540</v>
      </c>
      <c r="L2053" s="213" t="s">
        <v>70683</v>
      </c>
      <c r="M2053" s="213" t="s">
        <v>70826</v>
      </c>
      <c r="N2053" s="213" t="s">
        <v>17134</v>
      </c>
      <c r="O2053" s="213" t="s">
        <v>17135</v>
      </c>
      <c r="P2053" s="213" t="s">
        <v>17136</v>
      </c>
      <c r="Q2053" s="213" t="s">
        <v>17137</v>
      </c>
      <c r="R2053" s="213" t="s">
        <v>17138</v>
      </c>
      <c r="S2053" s="213" t="s">
        <v>17139</v>
      </c>
      <c r="T2053" s="213" t="s">
        <v>17140</v>
      </c>
      <c r="U2053" s="213" t="s">
        <v>70969</v>
      </c>
    </row>
    <row r="2054" spans="1:21" x14ac:dyDescent="0.25">
      <c r="A2054" s="213" t="s">
        <v>327</v>
      </c>
      <c r="D2054" s="213" t="s">
        <v>17141</v>
      </c>
      <c r="E2054" s="213" t="s">
        <v>17142</v>
      </c>
      <c r="K2054" s="213" t="s">
        <v>70541</v>
      </c>
      <c r="L2054" s="213" t="s">
        <v>70684</v>
      </c>
      <c r="M2054" s="213" t="s">
        <v>70827</v>
      </c>
      <c r="N2054" s="213" t="s">
        <v>17143</v>
      </c>
      <c r="O2054" s="213" t="s">
        <v>17144</v>
      </c>
      <c r="P2054" s="213" t="s">
        <v>17145</v>
      </c>
      <c r="Q2054" s="213" t="s">
        <v>17146</v>
      </c>
      <c r="R2054" s="213" t="s">
        <v>17147</v>
      </c>
      <c r="S2054" s="213" t="s">
        <v>17148</v>
      </c>
      <c r="T2054" s="213" t="s">
        <v>17149</v>
      </c>
      <c r="U2054" s="213" t="s">
        <v>70970</v>
      </c>
    </row>
    <row r="2055" spans="1:21" x14ac:dyDescent="0.25">
      <c r="A2055" s="213" t="s">
        <v>327</v>
      </c>
      <c r="D2055" s="213" t="s">
        <v>17150</v>
      </c>
      <c r="E2055" s="213" t="s">
        <v>17151</v>
      </c>
      <c r="K2055" s="213" t="s">
        <v>70542</v>
      </c>
      <c r="L2055" s="213" t="s">
        <v>70685</v>
      </c>
      <c r="M2055" s="213" t="s">
        <v>70828</v>
      </c>
      <c r="N2055" s="213" t="s">
        <v>17152</v>
      </c>
      <c r="O2055" s="213" t="s">
        <v>17153</v>
      </c>
      <c r="P2055" s="213" t="s">
        <v>17154</v>
      </c>
      <c r="Q2055" s="213" t="s">
        <v>17155</v>
      </c>
      <c r="R2055" s="213" t="s">
        <v>17156</v>
      </c>
      <c r="S2055" s="213" t="s">
        <v>17157</v>
      </c>
      <c r="T2055" s="213" t="s">
        <v>17158</v>
      </c>
      <c r="U2055" s="213" t="s">
        <v>70971</v>
      </c>
    </row>
    <row r="2056" spans="1:21" x14ac:dyDescent="0.25">
      <c r="A2056" s="213" t="s">
        <v>327</v>
      </c>
      <c r="D2056" s="213" t="s">
        <v>17159</v>
      </c>
      <c r="E2056" s="213" t="s">
        <v>17160</v>
      </c>
      <c r="K2056" s="213" t="s">
        <v>70543</v>
      </c>
      <c r="L2056" s="213" t="s">
        <v>70686</v>
      </c>
      <c r="M2056" s="213" t="s">
        <v>70829</v>
      </c>
      <c r="N2056" s="213" t="s">
        <v>17161</v>
      </c>
      <c r="O2056" s="213" t="s">
        <v>17162</v>
      </c>
      <c r="P2056" s="213" t="s">
        <v>17163</v>
      </c>
      <c r="Q2056" s="213" t="s">
        <v>17164</v>
      </c>
      <c r="R2056" s="213" t="s">
        <v>17165</v>
      </c>
      <c r="S2056" s="213" t="s">
        <v>17166</v>
      </c>
      <c r="T2056" s="213" t="s">
        <v>17167</v>
      </c>
      <c r="U2056" s="213" t="s">
        <v>70972</v>
      </c>
    </row>
    <row r="2057" spans="1:21" x14ac:dyDescent="0.25">
      <c r="A2057" s="213" t="s">
        <v>327</v>
      </c>
      <c r="D2057" s="213" t="s">
        <v>17168</v>
      </c>
      <c r="E2057" s="213" t="s">
        <v>17169</v>
      </c>
      <c r="K2057" s="213" t="s">
        <v>70544</v>
      </c>
      <c r="L2057" s="213" t="s">
        <v>70687</v>
      </c>
      <c r="M2057" s="213" t="s">
        <v>70830</v>
      </c>
      <c r="N2057" s="213" t="s">
        <v>17170</v>
      </c>
      <c r="O2057" s="213" t="s">
        <v>17171</v>
      </c>
      <c r="P2057" s="213" t="s">
        <v>17172</v>
      </c>
      <c r="Q2057" s="213" t="s">
        <v>17173</v>
      </c>
      <c r="R2057" s="213" t="s">
        <v>17174</v>
      </c>
      <c r="S2057" s="213" t="s">
        <v>17175</v>
      </c>
      <c r="T2057" s="213" t="s">
        <v>17176</v>
      </c>
      <c r="U2057" s="213" t="s">
        <v>70973</v>
      </c>
    </row>
    <row r="2058" spans="1:21" x14ac:dyDescent="0.25">
      <c r="A2058" s="213" t="s">
        <v>327</v>
      </c>
      <c r="D2058" s="213" t="s">
        <v>17177</v>
      </c>
      <c r="E2058" s="213" t="s">
        <v>17178</v>
      </c>
      <c r="K2058" s="213" t="s">
        <v>70545</v>
      </c>
      <c r="L2058" s="213" t="s">
        <v>70688</v>
      </c>
      <c r="M2058" s="213" t="s">
        <v>70831</v>
      </c>
      <c r="N2058" s="213" t="s">
        <v>17179</v>
      </c>
      <c r="O2058" s="213" t="s">
        <v>17180</v>
      </c>
      <c r="P2058" s="213" t="s">
        <v>17181</v>
      </c>
      <c r="Q2058" s="213" t="s">
        <v>17182</v>
      </c>
      <c r="R2058" s="213" t="s">
        <v>17183</v>
      </c>
      <c r="S2058" s="213" t="s">
        <v>17184</v>
      </c>
      <c r="T2058" s="213" t="s">
        <v>17185</v>
      </c>
      <c r="U2058" s="213" t="s">
        <v>70974</v>
      </c>
    </row>
    <row r="2059" spans="1:21" x14ac:dyDescent="0.25">
      <c r="A2059" s="213" t="s">
        <v>327</v>
      </c>
      <c r="D2059" s="213" t="s">
        <v>17186</v>
      </c>
      <c r="E2059" s="213" t="s">
        <v>17187</v>
      </c>
      <c r="K2059" s="213" t="s">
        <v>70546</v>
      </c>
      <c r="L2059" s="213" t="s">
        <v>70689</v>
      </c>
      <c r="M2059" s="213" t="s">
        <v>70832</v>
      </c>
      <c r="N2059" s="213" t="s">
        <v>17188</v>
      </c>
      <c r="O2059" s="213" t="s">
        <v>17189</v>
      </c>
      <c r="P2059" s="213" t="s">
        <v>17190</v>
      </c>
      <c r="Q2059" s="213" t="s">
        <v>17191</v>
      </c>
      <c r="R2059" s="213" t="s">
        <v>17192</v>
      </c>
      <c r="S2059" s="213" t="s">
        <v>17193</v>
      </c>
      <c r="T2059" s="213" t="s">
        <v>17194</v>
      </c>
      <c r="U2059" s="213" t="s">
        <v>70975</v>
      </c>
    </row>
    <row r="2060" spans="1:21" x14ac:dyDescent="0.25">
      <c r="A2060" s="213" t="s">
        <v>327</v>
      </c>
      <c r="D2060" s="213" t="s">
        <v>17195</v>
      </c>
      <c r="E2060" s="213" t="s">
        <v>17196</v>
      </c>
      <c r="K2060" s="213" t="s">
        <v>70547</v>
      </c>
      <c r="L2060" s="213" t="s">
        <v>70690</v>
      </c>
      <c r="M2060" s="213" t="s">
        <v>70833</v>
      </c>
      <c r="N2060" s="213" t="s">
        <v>17197</v>
      </c>
      <c r="O2060" s="213" t="s">
        <v>17198</v>
      </c>
      <c r="P2060" s="213" t="s">
        <v>17199</v>
      </c>
      <c r="Q2060" s="213" t="s">
        <v>17200</v>
      </c>
      <c r="R2060" s="213" t="s">
        <v>17201</v>
      </c>
      <c r="S2060" s="213" t="s">
        <v>17202</v>
      </c>
      <c r="T2060" s="213" t="s">
        <v>17203</v>
      </c>
      <c r="U2060" s="213" t="s">
        <v>70976</v>
      </c>
    </row>
    <row r="2061" spans="1:21" x14ac:dyDescent="0.25">
      <c r="A2061" s="213" t="s">
        <v>327</v>
      </c>
      <c r="D2061" s="213" t="s">
        <v>17204</v>
      </c>
      <c r="E2061" s="213" t="s">
        <v>17205</v>
      </c>
      <c r="K2061" s="213" t="s">
        <v>70548</v>
      </c>
      <c r="L2061" s="213" t="s">
        <v>70691</v>
      </c>
      <c r="M2061" s="213" t="s">
        <v>70834</v>
      </c>
      <c r="N2061" s="213" t="s">
        <v>17206</v>
      </c>
      <c r="O2061" s="213" t="s">
        <v>17207</v>
      </c>
      <c r="P2061" s="213" t="s">
        <v>17208</v>
      </c>
      <c r="Q2061" s="213" t="s">
        <v>17209</v>
      </c>
      <c r="R2061" s="213" t="s">
        <v>17210</v>
      </c>
      <c r="S2061" s="213" t="s">
        <v>17211</v>
      </c>
      <c r="T2061" s="213" t="s">
        <v>17212</v>
      </c>
      <c r="U2061" s="213" t="s">
        <v>70977</v>
      </c>
    </row>
    <row r="2062" spans="1:21" x14ac:dyDescent="0.25">
      <c r="A2062" s="213" t="s">
        <v>327</v>
      </c>
      <c r="D2062" s="213" t="s">
        <v>17213</v>
      </c>
      <c r="E2062" s="213" t="s">
        <v>17214</v>
      </c>
      <c r="K2062" s="213" t="s">
        <v>70549</v>
      </c>
      <c r="L2062" s="213" t="s">
        <v>70692</v>
      </c>
      <c r="M2062" s="213" t="s">
        <v>70835</v>
      </c>
      <c r="N2062" s="213" t="s">
        <v>17215</v>
      </c>
      <c r="O2062" s="213" t="s">
        <v>17216</v>
      </c>
      <c r="P2062" s="213" t="s">
        <v>17217</v>
      </c>
      <c r="Q2062" s="213" t="s">
        <v>17218</v>
      </c>
      <c r="R2062" s="213" t="s">
        <v>17219</v>
      </c>
      <c r="S2062" s="213" t="s">
        <v>17220</v>
      </c>
      <c r="T2062" s="213" t="s">
        <v>17221</v>
      </c>
      <c r="U2062" s="213" t="s">
        <v>70978</v>
      </c>
    </row>
    <row r="2063" spans="1:21" x14ac:dyDescent="0.25">
      <c r="A2063" s="213" t="s">
        <v>327</v>
      </c>
      <c r="D2063" s="213" t="s">
        <v>17222</v>
      </c>
      <c r="E2063" s="213" t="s">
        <v>17223</v>
      </c>
      <c r="K2063" s="213" t="s">
        <v>70550</v>
      </c>
      <c r="L2063" s="213" t="s">
        <v>70693</v>
      </c>
      <c r="M2063" s="213" t="s">
        <v>70836</v>
      </c>
      <c r="N2063" s="213" t="s">
        <v>17224</v>
      </c>
      <c r="O2063" s="213" t="s">
        <v>17225</v>
      </c>
      <c r="P2063" s="213" t="s">
        <v>17226</v>
      </c>
      <c r="Q2063" s="213" t="s">
        <v>17227</v>
      </c>
      <c r="R2063" s="213" t="s">
        <v>17228</v>
      </c>
      <c r="S2063" s="213" t="s">
        <v>17229</v>
      </c>
      <c r="T2063" s="213" t="s">
        <v>17230</v>
      </c>
      <c r="U2063" s="213" t="s">
        <v>70979</v>
      </c>
    </row>
    <row r="2064" spans="1:21" x14ac:dyDescent="0.25">
      <c r="A2064" s="213" t="s">
        <v>327</v>
      </c>
      <c r="D2064" s="213" t="s">
        <v>17231</v>
      </c>
      <c r="E2064" s="213" t="s">
        <v>17232</v>
      </c>
      <c r="K2064" s="213" t="s">
        <v>70551</v>
      </c>
      <c r="L2064" s="213" t="s">
        <v>70694</v>
      </c>
      <c r="M2064" s="213" t="s">
        <v>70837</v>
      </c>
      <c r="N2064" s="213" t="s">
        <v>17233</v>
      </c>
      <c r="O2064" s="213" t="s">
        <v>17234</v>
      </c>
      <c r="P2064" s="213" t="s">
        <v>17235</v>
      </c>
      <c r="Q2064" s="213" t="s">
        <v>17236</v>
      </c>
      <c r="R2064" s="213" t="s">
        <v>17237</v>
      </c>
      <c r="S2064" s="213" t="s">
        <v>17238</v>
      </c>
      <c r="T2064" s="213" t="s">
        <v>17239</v>
      </c>
      <c r="U2064" s="213" t="s">
        <v>70980</v>
      </c>
    </row>
    <row r="2065" spans="1:21" x14ac:dyDescent="0.25">
      <c r="A2065" s="213" t="s">
        <v>327</v>
      </c>
      <c r="D2065" s="213" t="s">
        <v>17240</v>
      </c>
      <c r="E2065" s="213" t="s">
        <v>17241</v>
      </c>
      <c r="K2065" s="213" t="s">
        <v>70552</v>
      </c>
      <c r="L2065" s="213" t="s">
        <v>70695</v>
      </c>
      <c r="M2065" s="213" t="s">
        <v>70838</v>
      </c>
      <c r="N2065" s="213" t="s">
        <v>17242</v>
      </c>
      <c r="O2065" s="213" t="s">
        <v>17243</v>
      </c>
      <c r="P2065" s="213" t="s">
        <v>17244</v>
      </c>
      <c r="Q2065" s="213" t="s">
        <v>17245</v>
      </c>
      <c r="R2065" s="213" t="s">
        <v>17246</v>
      </c>
      <c r="S2065" s="213" t="s">
        <v>17247</v>
      </c>
      <c r="T2065" s="213" t="s">
        <v>17248</v>
      </c>
      <c r="U2065" s="213" t="s">
        <v>70981</v>
      </c>
    </row>
    <row r="2066" spans="1:21" x14ac:dyDescent="0.25">
      <c r="A2066" s="213" t="s">
        <v>327</v>
      </c>
    </row>
    <row r="2067" spans="1:21" x14ac:dyDescent="0.25">
      <c r="A2067" s="213" t="s">
        <v>327</v>
      </c>
    </row>
    <row r="2068" spans="1:21" x14ac:dyDescent="0.25">
      <c r="A2068" s="213" t="s">
        <v>327</v>
      </c>
      <c r="C2068" s="213" t="s">
        <v>17249</v>
      </c>
      <c r="E2068" s="213" t="s">
        <v>17250</v>
      </c>
      <c r="H2068" s="213" t="s">
        <v>17251</v>
      </c>
      <c r="I2068" s="213" t="s">
        <v>17252</v>
      </c>
      <c r="J2068" s="213" t="s">
        <v>17253</v>
      </c>
      <c r="L2068" s="213" t="s">
        <v>17254</v>
      </c>
      <c r="O2068" s="213" t="s">
        <v>17255</v>
      </c>
      <c r="P2068" s="213" t="s">
        <v>17256</v>
      </c>
      <c r="Q2068" s="213" t="s">
        <v>17257</v>
      </c>
      <c r="R2068" s="213" t="s">
        <v>17258</v>
      </c>
      <c r="S2068" s="213" t="s">
        <v>17259</v>
      </c>
      <c r="T2068" s="213" t="s">
        <v>17260</v>
      </c>
    </row>
    <row r="2069" spans="1:21" x14ac:dyDescent="0.25">
      <c r="A2069" s="213" t="s">
        <v>327</v>
      </c>
      <c r="C2069" s="213" t="s">
        <v>17261</v>
      </c>
      <c r="E2069" s="213" t="s">
        <v>17262</v>
      </c>
      <c r="I2069" s="213" t="s">
        <v>17263</v>
      </c>
    </row>
    <row r="2070" spans="1:21" x14ac:dyDescent="0.25">
      <c r="A2070" s="213" t="s">
        <v>327</v>
      </c>
      <c r="C2070" s="213" t="s">
        <v>17264</v>
      </c>
      <c r="E2070" s="213" t="s">
        <v>17265</v>
      </c>
      <c r="I2070" s="213" t="s">
        <v>17266</v>
      </c>
    </row>
    <row r="2071" spans="1:21" x14ac:dyDescent="0.25">
      <c r="A2071" s="213" t="s">
        <v>328</v>
      </c>
    </row>
    <row r="2072" spans="1:21" x14ac:dyDescent="0.25">
      <c r="A2072" s="213" t="s">
        <v>327</v>
      </c>
      <c r="D2072" s="213" t="s">
        <v>17267</v>
      </c>
      <c r="E2072" s="213" t="s">
        <v>17268</v>
      </c>
      <c r="K2072" s="213" t="s">
        <v>70366</v>
      </c>
      <c r="L2072" s="213" t="s">
        <v>70377</v>
      </c>
      <c r="M2072" s="213" t="s">
        <v>70388</v>
      </c>
      <c r="N2072" s="213" t="s">
        <v>17269</v>
      </c>
      <c r="O2072" s="213" t="s">
        <v>17270</v>
      </c>
      <c r="P2072" s="213" t="s">
        <v>17271</v>
      </c>
      <c r="Q2072" s="213" t="s">
        <v>17272</v>
      </c>
      <c r="R2072" s="213" t="s">
        <v>17273</v>
      </c>
      <c r="S2072" s="213" t="s">
        <v>17274</v>
      </c>
      <c r="T2072" s="213" t="s">
        <v>17275</v>
      </c>
      <c r="U2072" s="213" t="s">
        <v>70399</v>
      </c>
    </row>
    <row r="2073" spans="1:21" x14ac:dyDescent="0.25">
      <c r="A2073" s="213" t="s">
        <v>327</v>
      </c>
      <c r="D2073" s="213" t="s">
        <v>17276</v>
      </c>
      <c r="E2073" s="213" t="s">
        <v>17277</v>
      </c>
      <c r="K2073" s="213" t="s">
        <v>70367</v>
      </c>
      <c r="L2073" s="213" t="s">
        <v>70378</v>
      </c>
      <c r="M2073" s="213" t="s">
        <v>70389</v>
      </c>
      <c r="N2073" s="213" t="s">
        <v>17278</v>
      </c>
      <c r="O2073" s="213" t="s">
        <v>17279</v>
      </c>
      <c r="P2073" s="213" t="s">
        <v>17280</v>
      </c>
      <c r="Q2073" s="213" t="s">
        <v>17281</v>
      </c>
      <c r="R2073" s="213" t="s">
        <v>17282</v>
      </c>
      <c r="S2073" s="213" t="s">
        <v>17283</v>
      </c>
      <c r="T2073" s="213" t="s">
        <v>17284</v>
      </c>
      <c r="U2073" s="213" t="s">
        <v>70400</v>
      </c>
    </row>
    <row r="2074" spans="1:21" x14ac:dyDescent="0.25">
      <c r="A2074" s="213" t="s">
        <v>327</v>
      </c>
      <c r="D2074" s="213" t="s">
        <v>17285</v>
      </c>
      <c r="E2074" s="213" t="s">
        <v>17286</v>
      </c>
      <c r="K2074" s="213" t="s">
        <v>70368</v>
      </c>
      <c r="L2074" s="213" t="s">
        <v>70379</v>
      </c>
      <c r="M2074" s="213" t="s">
        <v>70390</v>
      </c>
      <c r="N2074" s="213" t="s">
        <v>17287</v>
      </c>
      <c r="O2074" s="213" t="s">
        <v>17288</v>
      </c>
      <c r="P2074" s="213" t="s">
        <v>17289</v>
      </c>
      <c r="Q2074" s="213" t="s">
        <v>17290</v>
      </c>
      <c r="R2074" s="213" t="s">
        <v>17291</v>
      </c>
      <c r="S2074" s="213" t="s">
        <v>17292</v>
      </c>
      <c r="T2074" s="213" t="s">
        <v>17293</v>
      </c>
      <c r="U2074" s="213" t="s">
        <v>70401</v>
      </c>
    </row>
    <row r="2075" spans="1:21" x14ac:dyDescent="0.25">
      <c r="A2075" s="213" t="s">
        <v>327</v>
      </c>
      <c r="D2075" s="213" t="s">
        <v>17294</v>
      </c>
      <c r="E2075" s="213" t="s">
        <v>17295</v>
      </c>
      <c r="K2075" s="213" t="s">
        <v>70369</v>
      </c>
      <c r="L2075" s="213" t="s">
        <v>70380</v>
      </c>
      <c r="M2075" s="213" t="s">
        <v>70391</v>
      </c>
      <c r="N2075" s="213" t="s">
        <v>17296</v>
      </c>
      <c r="O2075" s="213" t="s">
        <v>17297</v>
      </c>
      <c r="P2075" s="213" t="s">
        <v>17298</v>
      </c>
      <c r="Q2075" s="213" t="s">
        <v>17299</v>
      </c>
      <c r="R2075" s="213" t="s">
        <v>17300</v>
      </c>
      <c r="S2075" s="213" t="s">
        <v>17301</v>
      </c>
      <c r="T2075" s="213" t="s">
        <v>17302</v>
      </c>
      <c r="U2075" s="213" t="s">
        <v>70402</v>
      </c>
    </row>
    <row r="2076" spans="1:21" x14ac:dyDescent="0.25">
      <c r="A2076" s="213" t="s">
        <v>327</v>
      </c>
      <c r="D2076" s="213" t="s">
        <v>17303</v>
      </c>
      <c r="E2076" s="213" t="s">
        <v>17304</v>
      </c>
      <c r="K2076" s="213" t="s">
        <v>70370</v>
      </c>
      <c r="L2076" s="213" t="s">
        <v>70381</v>
      </c>
      <c r="M2076" s="213" t="s">
        <v>70392</v>
      </c>
      <c r="N2076" s="213" t="s">
        <v>17305</v>
      </c>
      <c r="O2076" s="213" t="s">
        <v>17306</v>
      </c>
      <c r="P2076" s="213" t="s">
        <v>17307</v>
      </c>
      <c r="Q2076" s="213" t="s">
        <v>17308</v>
      </c>
      <c r="R2076" s="213" t="s">
        <v>17309</v>
      </c>
      <c r="S2076" s="213" t="s">
        <v>17310</v>
      </c>
      <c r="T2076" s="213" t="s">
        <v>17311</v>
      </c>
      <c r="U2076" s="213" t="s">
        <v>70403</v>
      </c>
    </row>
    <row r="2077" spans="1:21" x14ac:dyDescent="0.25">
      <c r="A2077" s="213" t="s">
        <v>327</v>
      </c>
      <c r="D2077" s="213" t="s">
        <v>17312</v>
      </c>
      <c r="E2077" s="213" t="s">
        <v>17313</v>
      </c>
      <c r="K2077" s="213" t="s">
        <v>70371</v>
      </c>
      <c r="L2077" s="213" t="s">
        <v>70382</v>
      </c>
      <c r="M2077" s="213" t="s">
        <v>70393</v>
      </c>
      <c r="N2077" s="213" t="s">
        <v>17314</v>
      </c>
      <c r="O2077" s="213" t="s">
        <v>17315</v>
      </c>
      <c r="P2077" s="213" t="s">
        <v>17316</v>
      </c>
      <c r="Q2077" s="213" t="s">
        <v>17317</v>
      </c>
      <c r="R2077" s="213" t="s">
        <v>17318</v>
      </c>
      <c r="S2077" s="213" t="s">
        <v>17319</v>
      </c>
      <c r="T2077" s="213" t="s">
        <v>17320</v>
      </c>
      <c r="U2077" s="213" t="s">
        <v>70404</v>
      </c>
    </row>
    <row r="2078" spans="1:21" x14ac:dyDescent="0.25">
      <c r="A2078" s="213" t="s">
        <v>327</v>
      </c>
      <c r="D2078" s="213" t="s">
        <v>17321</v>
      </c>
      <c r="E2078" s="213" t="s">
        <v>17322</v>
      </c>
      <c r="K2078" s="213" t="s">
        <v>70372</v>
      </c>
      <c r="L2078" s="213" t="s">
        <v>70383</v>
      </c>
      <c r="M2078" s="213" t="s">
        <v>70394</v>
      </c>
      <c r="N2078" s="213" t="s">
        <v>17323</v>
      </c>
      <c r="O2078" s="213" t="s">
        <v>17324</v>
      </c>
      <c r="P2078" s="213" t="s">
        <v>17325</v>
      </c>
      <c r="Q2078" s="213" t="s">
        <v>17326</v>
      </c>
      <c r="R2078" s="213" t="s">
        <v>17327</v>
      </c>
      <c r="S2078" s="213" t="s">
        <v>17328</v>
      </c>
      <c r="T2078" s="213" t="s">
        <v>17329</v>
      </c>
      <c r="U2078" s="213" t="s">
        <v>70405</v>
      </c>
    </row>
    <row r="2079" spans="1:21" x14ac:dyDescent="0.25">
      <c r="A2079" s="213" t="s">
        <v>327</v>
      </c>
      <c r="D2079" s="213" t="s">
        <v>17330</v>
      </c>
      <c r="E2079" s="213" t="s">
        <v>17331</v>
      </c>
      <c r="K2079" s="213" t="s">
        <v>70373</v>
      </c>
      <c r="L2079" s="213" t="s">
        <v>70384</v>
      </c>
      <c r="M2079" s="213" t="s">
        <v>70395</v>
      </c>
      <c r="N2079" s="213" t="s">
        <v>17332</v>
      </c>
      <c r="O2079" s="213" t="s">
        <v>17333</v>
      </c>
      <c r="P2079" s="213" t="s">
        <v>17334</v>
      </c>
      <c r="Q2079" s="213" t="s">
        <v>17335</v>
      </c>
      <c r="R2079" s="213" t="s">
        <v>17336</v>
      </c>
      <c r="S2079" s="213" t="s">
        <v>17337</v>
      </c>
      <c r="T2079" s="213" t="s">
        <v>17338</v>
      </c>
      <c r="U2079" s="213" t="s">
        <v>70406</v>
      </c>
    </row>
    <row r="2080" spans="1:21" x14ac:dyDescent="0.25">
      <c r="A2080" s="213" t="s">
        <v>327</v>
      </c>
      <c r="D2080" s="213" t="s">
        <v>17339</v>
      </c>
      <c r="E2080" s="213" t="s">
        <v>17340</v>
      </c>
      <c r="K2080" s="213" t="s">
        <v>70374</v>
      </c>
      <c r="L2080" s="213" t="s">
        <v>70385</v>
      </c>
      <c r="M2080" s="213" t="s">
        <v>70396</v>
      </c>
      <c r="N2080" s="213" t="s">
        <v>17341</v>
      </c>
      <c r="O2080" s="213" t="s">
        <v>17342</v>
      </c>
      <c r="P2080" s="213" t="s">
        <v>17343</v>
      </c>
      <c r="Q2080" s="213" t="s">
        <v>17344</v>
      </c>
      <c r="R2080" s="213" t="s">
        <v>17345</v>
      </c>
      <c r="S2080" s="213" t="s">
        <v>17346</v>
      </c>
      <c r="T2080" s="213" t="s">
        <v>17347</v>
      </c>
      <c r="U2080" s="213" t="s">
        <v>70407</v>
      </c>
    </row>
    <row r="2081" spans="1:21" x14ac:dyDescent="0.25">
      <c r="A2081" s="213" t="s">
        <v>327</v>
      </c>
      <c r="D2081" s="213" t="s">
        <v>17348</v>
      </c>
      <c r="E2081" s="213" t="s">
        <v>17349</v>
      </c>
      <c r="K2081" s="213" t="s">
        <v>70375</v>
      </c>
      <c r="L2081" s="213" t="s">
        <v>70386</v>
      </c>
      <c r="M2081" s="213" t="s">
        <v>70397</v>
      </c>
      <c r="N2081" s="213" t="s">
        <v>17350</v>
      </c>
      <c r="O2081" s="213" t="s">
        <v>17351</v>
      </c>
      <c r="P2081" s="213" t="s">
        <v>17352</v>
      </c>
      <c r="Q2081" s="213" t="s">
        <v>17353</v>
      </c>
      <c r="R2081" s="213" t="s">
        <v>17354</v>
      </c>
      <c r="S2081" s="213" t="s">
        <v>17355</v>
      </c>
      <c r="T2081" s="213" t="s">
        <v>17356</v>
      </c>
      <c r="U2081" s="213" t="s">
        <v>70408</v>
      </c>
    </row>
    <row r="2082" spans="1:21" x14ac:dyDescent="0.25">
      <c r="A2082" s="213" t="s">
        <v>327</v>
      </c>
      <c r="D2082" s="213" t="s">
        <v>17357</v>
      </c>
      <c r="E2082" s="213" t="s">
        <v>17358</v>
      </c>
      <c r="K2082" s="213" t="s">
        <v>70376</v>
      </c>
      <c r="L2082" s="213" t="s">
        <v>70387</v>
      </c>
      <c r="M2082" s="213" t="s">
        <v>70398</v>
      </c>
      <c r="N2082" s="213" t="s">
        <v>17359</v>
      </c>
      <c r="O2082" s="213" t="s">
        <v>17360</v>
      </c>
      <c r="P2082" s="213" t="s">
        <v>17361</v>
      </c>
      <c r="Q2082" s="213" t="s">
        <v>17362</v>
      </c>
      <c r="R2082" s="213" t="s">
        <v>17363</v>
      </c>
      <c r="S2082" s="213" t="s">
        <v>17364</v>
      </c>
      <c r="T2082" s="213" t="s">
        <v>17365</v>
      </c>
      <c r="U2082" s="213" t="s">
        <v>70409</v>
      </c>
    </row>
    <row r="2083" spans="1:21" x14ac:dyDescent="0.25">
      <c r="A2083" s="213" t="s">
        <v>327</v>
      </c>
    </row>
    <row r="2084" spans="1:21" x14ac:dyDescent="0.25">
      <c r="A2084" s="213" t="s">
        <v>327</v>
      </c>
    </row>
    <row r="2085" spans="1:21" x14ac:dyDescent="0.25">
      <c r="A2085" s="213" t="s">
        <v>327</v>
      </c>
      <c r="C2085" s="213" t="s">
        <v>17366</v>
      </c>
      <c r="E2085" s="213" t="s">
        <v>17367</v>
      </c>
      <c r="H2085" s="213" t="s">
        <v>17368</v>
      </c>
      <c r="I2085" s="213" t="s">
        <v>17369</v>
      </c>
      <c r="J2085" s="213" t="s">
        <v>17370</v>
      </c>
      <c r="L2085" s="213" t="s">
        <v>17371</v>
      </c>
      <c r="O2085" s="213" t="s">
        <v>17372</v>
      </c>
      <c r="P2085" s="213" t="s">
        <v>17373</v>
      </c>
      <c r="Q2085" s="213" t="s">
        <v>17374</v>
      </c>
      <c r="R2085" s="213" t="s">
        <v>17375</v>
      </c>
      <c r="S2085" s="213" t="s">
        <v>17376</v>
      </c>
      <c r="T2085" s="213" t="s">
        <v>17377</v>
      </c>
    </row>
    <row r="2086" spans="1:21" x14ac:dyDescent="0.25">
      <c r="A2086" s="213" t="s">
        <v>327</v>
      </c>
      <c r="C2086" s="213" t="s">
        <v>17378</v>
      </c>
      <c r="E2086" s="213" t="s">
        <v>17379</v>
      </c>
      <c r="I2086" s="213" t="s">
        <v>17380</v>
      </c>
    </row>
    <row r="2087" spans="1:21" x14ac:dyDescent="0.25">
      <c r="A2087" s="213" t="s">
        <v>327</v>
      </c>
      <c r="C2087" s="213" t="s">
        <v>17381</v>
      </c>
      <c r="E2087" s="213" t="s">
        <v>17382</v>
      </c>
      <c r="I2087" s="213" t="s">
        <v>17383</v>
      </c>
    </row>
    <row r="2088" spans="1:21" x14ac:dyDescent="0.25">
      <c r="A2088" s="213" t="s">
        <v>328</v>
      </c>
    </row>
    <row r="2089" spans="1:21" x14ac:dyDescent="0.25">
      <c r="A2089" s="213" t="s">
        <v>327</v>
      </c>
      <c r="D2089" s="213" t="s">
        <v>17384</v>
      </c>
      <c r="E2089" s="213" t="s">
        <v>17385</v>
      </c>
      <c r="K2089" s="213" t="s">
        <v>70242</v>
      </c>
      <c r="L2089" s="213" t="s">
        <v>70273</v>
      </c>
      <c r="M2089" s="213" t="s">
        <v>70304</v>
      </c>
      <c r="N2089" s="213" t="s">
        <v>17386</v>
      </c>
      <c r="O2089" s="213" t="s">
        <v>17387</v>
      </c>
      <c r="P2089" s="213" t="s">
        <v>17388</v>
      </c>
      <c r="Q2089" s="213" t="s">
        <v>17389</v>
      </c>
      <c r="R2089" s="213" t="s">
        <v>17390</v>
      </c>
      <c r="S2089" s="213" t="s">
        <v>17391</v>
      </c>
      <c r="T2089" s="213" t="s">
        <v>17392</v>
      </c>
      <c r="U2089" s="213" t="s">
        <v>70335</v>
      </c>
    </row>
    <row r="2090" spans="1:21" x14ac:dyDescent="0.25">
      <c r="A2090" s="213" t="s">
        <v>327</v>
      </c>
      <c r="D2090" s="213" t="s">
        <v>17393</v>
      </c>
      <c r="E2090" s="213" t="s">
        <v>17394</v>
      </c>
      <c r="K2090" s="213" t="s">
        <v>70243</v>
      </c>
      <c r="L2090" s="213" t="s">
        <v>70274</v>
      </c>
      <c r="M2090" s="213" t="s">
        <v>70305</v>
      </c>
      <c r="N2090" s="213" t="s">
        <v>17395</v>
      </c>
      <c r="O2090" s="213" t="s">
        <v>17396</v>
      </c>
      <c r="P2090" s="213" t="s">
        <v>17397</v>
      </c>
      <c r="Q2090" s="213" t="s">
        <v>17398</v>
      </c>
      <c r="R2090" s="213" t="s">
        <v>17399</v>
      </c>
      <c r="S2090" s="213" t="s">
        <v>17400</v>
      </c>
      <c r="T2090" s="213" t="s">
        <v>17401</v>
      </c>
      <c r="U2090" s="213" t="s">
        <v>70336</v>
      </c>
    </row>
    <row r="2091" spans="1:21" x14ac:dyDescent="0.25">
      <c r="A2091" s="213" t="s">
        <v>327</v>
      </c>
      <c r="D2091" s="213" t="s">
        <v>17402</v>
      </c>
      <c r="E2091" s="213" t="s">
        <v>17403</v>
      </c>
      <c r="K2091" s="213" t="s">
        <v>70244</v>
      </c>
      <c r="L2091" s="213" t="s">
        <v>70275</v>
      </c>
      <c r="M2091" s="213" t="s">
        <v>70306</v>
      </c>
      <c r="N2091" s="213" t="s">
        <v>17404</v>
      </c>
      <c r="O2091" s="213" t="s">
        <v>17405</v>
      </c>
      <c r="P2091" s="213" t="s">
        <v>17406</v>
      </c>
      <c r="Q2091" s="213" t="s">
        <v>17407</v>
      </c>
      <c r="R2091" s="213" t="s">
        <v>17408</v>
      </c>
      <c r="S2091" s="213" t="s">
        <v>17409</v>
      </c>
      <c r="T2091" s="213" t="s">
        <v>17410</v>
      </c>
      <c r="U2091" s="213" t="s">
        <v>70337</v>
      </c>
    </row>
    <row r="2092" spans="1:21" x14ac:dyDescent="0.25">
      <c r="A2092" s="213" t="s">
        <v>327</v>
      </c>
      <c r="D2092" s="213" t="s">
        <v>17411</v>
      </c>
      <c r="E2092" s="213" t="s">
        <v>17412</v>
      </c>
      <c r="K2092" s="213" t="s">
        <v>70245</v>
      </c>
      <c r="L2092" s="213" t="s">
        <v>70276</v>
      </c>
      <c r="M2092" s="213" t="s">
        <v>70307</v>
      </c>
      <c r="N2092" s="213" t="s">
        <v>17413</v>
      </c>
      <c r="O2092" s="213" t="s">
        <v>17414</v>
      </c>
      <c r="P2092" s="213" t="s">
        <v>17415</v>
      </c>
      <c r="Q2092" s="213" t="s">
        <v>17416</v>
      </c>
      <c r="R2092" s="213" t="s">
        <v>17417</v>
      </c>
      <c r="S2092" s="213" t="s">
        <v>17418</v>
      </c>
      <c r="T2092" s="213" t="s">
        <v>17419</v>
      </c>
      <c r="U2092" s="213" t="s">
        <v>70338</v>
      </c>
    </row>
    <row r="2093" spans="1:21" x14ac:dyDescent="0.25">
      <c r="A2093" s="213" t="s">
        <v>327</v>
      </c>
      <c r="D2093" s="213" t="s">
        <v>17420</v>
      </c>
      <c r="E2093" s="213" t="s">
        <v>17421</v>
      </c>
      <c r="K2093" s="213" t="s">
        <v>70246</v>
      </c>
      <c r="L2093" s="213" t="s">
        <v>70277</v>
      </c>
      <c r="M2093" s="213" t="s">
        <v>70308</v>
      </c>
      <c r="N2093" s="213" t="s">
        <v>17422</v>
      </c>
      <c r="O2093" s="213" t="s">
        <v>17423</v>
      </c>
      <c r="P2093" s="213" t="s">
        <v>17424</v>
      </c>
      <c r="Q2093" s="213" t="s">
        <v>17425</v>
      </c>
      <c r="R2093" s="213" t="s">
        <v>17426</v>
      </c>
      <c r="S2093" s="213" t="s">
        <v>17427</v>
      </c>
      <c r="T2093" s="213" t="s">
        <v>17428</v>
      </c>
      <c r="U2093" s="213" t="s">
        <v>70339</v>
      </c>
    </row>
    <row r="2094" spans="1:21" x14ac:dyDescent="0.25">
      <c r="A2094" s="213" t="s">
        <v>327</v>
      </c>
      <c r="D2094" s="213" t="s">
        <v>17429</v>
      </c>
      <c r="E2094" s="213" t="s">
        <v>17430</v>
      </c>
      <c r="K2094" s="213" t="s">
        <v>70247</v>
      </c>
      <c r="L2094" s="213" t="s">
        <v>70278</v>
      </c>
      <c r="M2094" s="213" t="s">
        <v>70309</v>
      </c>
      <c r="N2094" s="213" t="s">
        <v>17431</v>
      </c>
      <c r="O2094" s="213" t="s">
        <v>17432</v>
      </c>
      <c r="P2094" s="213" t="s">
        <v>17433</v>
      </c>
      <c r="Q2094" s="213" t="s">
        <v>17434</v>
      </c>
      <c r="R2094" s="213" t="s">
        <v>17435</v>
      </c>
      <c r="S2094" s="213" t="s">
        <v>17436</v>
      </c>
      <c r="T2094" s="213" t="s">
        <v>17437</v>
      </c>
      <c r="U2094" s="213" t="s">
        <v>70340</v>
      </c>
    </row>
    <row r="2095" spans="1:21" x14ac:dyDescent="0.25">
      <c r="A2095" s="213" t="s">
        <v>327</v>
      </c>
      <c r="D2095" s="213" t="s">
        <v>17438</v>
      </c>
      <c r="E2095" s="213" t="s">
        <v>17439</v>
      </c>
      <c r="K2095" s="213" t="s">
        <v>70248</v>
      </c>
      <c r="L2095" s="213" t="s">
        <v>70279</v>
      </c>
      <c r="M2095" s="213" t="s">
        <v>70310</v>
      </c>
      <c r="N2095" s="213" t="s">
        <v>17440</v>
      </c>
      <c r="O2095" s="213" t="s">
        <v>17441</v>
      </c>
      <c r="P2095" s="213" t="s">
        <v>17442</v>
      </c>
      <c r="Q2095" s="213" t="s">
        <v>17443</v>
      </c>
      <c r="R2095" s="213" t="s">
        <v>17444</v>
      </c>
      <c r="S2095" s="213" t="s">
        <v>17445</v>
      </c>
      <c r="T2095" s="213" t="s">
        <v>17446</v>
      </c>
      <c r="U2095" s="213" t="s">
        <v>70341</v>
      </c>
    </row>
    <row r="2096" spans="1:21" x14ac:dyDescent="0.25">
      <c r="A2096" s="213" t="s">
        <v>327</v>
      </c>
      <c r="D2096" s="213" t="s">
        <v>17447</v>
      </c>
      <c r="E2096" s="213" t="s">
        <v>17448</v>
      </c>
      <c r="K2096" s="213" t="s">
        <v>70249</v>
      </c>
      <c r="L2096" s="213" t="s">
        <v>70280</v>
      </c>
      <c r="M2096" s="213" t="s">
        <v>70311</v>
      </c>
      <c r="N2096" s="213" t="s">
        <v>17449</v>
      </c>
      <c r="O2096" s="213" t="s">
        <v>17450</v>
      </c>
      <c r="P2096" s="213" t="s">
        <v>17451</v>
      </c>
      <c r="Q2096" s="213" t="s">
        <v>17452</v>
      </c>
      <c r="R2096" s="213" t="s">
        <v>17453</v>
      </c>
      <c r="S2096" s="213" t="s">
        <v>17454</v>
      </c>
      <c r="T2096" s="213" t="s">
        <v>17455</v>
      </c>
      <c r="U2096" s="213" t="s">
        <v>70342</v>
      </c>
    </row>
    <row r="2097" spans="1:21" x14ac:dyDescent="0.25">
      <c r="A2097" s="213" t="s">
        <v>327</v>
      </c>
      <c r="D2097" s="213" t="s">
        <v>17456</v>
      </c>
      <c r="E2097" s="213" t="s">
        <v>17457</v>
      </c>
      <c r="K2097" s="213" t="s">
        <v>70250</v>
      </c>
      <c r="L2097" s="213" t="s">
        <v>70281</v>
      </c>
      <c r="M2097" s="213" t="s">
        <v>70312</v>
      </c>
      <c r="N2097" s="213" t="s">
        <v>17458</v>
      </c>
      <c r="O2097" s="213" t="s">
        <v>17459</v>
      </c>
      <c r="P2097" s="213" t="s">
        <v>17460</v>
      </c>
      <c r="Q2097" s="213" t="s">
        <v>17461</v>
      </c>
      <c r="R2097" s="213" t="s">
        <v>17462</v>
      </c>
      <c r="S2097" s="213" t="s">
        <v>17463</v>
      </c>
      <c r="T2097" s="213" t="s">
        <v>17464</v>
      </c>
      <c r="U2097" s="213" t="s">
        <v>70343</v>
      </c>
    </row>
    <row r="2098" spans="1:21" x14ac:dyDescent="0.25">
      <c r="A2098" s="213" t="s">
        <v>327</v>
      </c>
      <c r="D2098" s="213" t="s">
        <v>17465</v>
      </c>
      <c r="E2098" s="213" t="s">
        <v>17466</v>
      </c>
      <c r="K2098" s="213" t="s">
        <v>70251</v>
      </c>
      <c r="L2098" s="213" t="s">
        <v>70282</v>
      </c>
      <c r="M2098" s="213" t="s">
        <v>70313</v>
      </c>
      <c r="N2098" s="213" t="s">
        <v>17467</v>
      </c>
      <c r="O2098" s="213" t="s">
        <v>17468</v>
      </c>
      <c r="P2098" s="213" t="s">
        <v>17469</v>
      </c>
      <c r="Q2098" s="213" t="s">
        <v>17470</v>
      </c>
      <c r="R2098" s="213" t="s">
        <v>17471</v>
      </c>
      <c r="S2098" s="213" t="s">
        <v>17472</v>
      </c>
      <c r="T2098" s="213" t="s">
        <v>17473</v>
      </c>
      <c r="U2098" s="213" t="s">
        <v>70344</v>
      </c>
    </row>
    <row r="2099" spans="1:21" x14ac:dyDescent="0.25">
      <c r="A2099" s="213" t="s">
        <v>327</v>
      </c>
      <c r="D2099" s="213" t="s">
        <v>17474</v>
      </c>
      <c r="E2099" s="213" t="s">
        <v>17475</v>
      </c>
      <c r="K2099" s="213" t="s">
        <v>70252</v>
      </c>
      <c r="L2099" s="213" t="s">
        <v>70283</v>
      </c>
      <c r="M2099" s="213" t="s">
        <v>70314</v>
      </c>
      <c r="N2099" s="213" t="s">
        <v>17476</v>
      </c>
      <c r="O2099" s="213" t="s">
        <v>17477</v>
      </c>
      <c r="P2099" s="213" t="s">
        <v>17478</v>
      </c>
      <c r="Q2099" s="213" t="s">
        <v>17479</v>
      </c>
      <c r="R2099" s="213" t="s">
        <v>17480</v>
      </c>
      <c r="S2099" s="213" t="s">
        <v>17481</v>
      </c>
      <c r="T2099" s="213" t="s">
        <v>17482</v>
      </c>
      <c r="U2099" s="213" t="s">
        <v>70345</v>
      </c>
    </row>
    <row r="2100" spans="1:21" x14ac:dyDescent="0.25">
      <c r="A2100" s="213" t="s">
        <v>327</v>
      </c>
      <c r="D2100" s="213" t="s">
        <v>17483</v>
      </c>
      <c r="E2100" s="213" t="s">
        <v>17484</v>
      </c>
      <c r="K2100" s="213" t="s">
        <v>70253</v>
      </c>
      <c r="L2100" s="213" t="s">
        <v>70284</v>
      </c>
      <c r="M2100" s="213" t="s">
        <v>70315</v>
      </c>
      <c r="N2100" s="213" t="s">
        <v>17485</v>
      </c>
      <c r="O2100" s="213" t="s">
        <v>17486</v>
      </c>
      <c r="P2100" s="213" t="s">
        <v>17487</v>
      </c>
      <c r="Q2100" s="213" t="s">
        <v>17488</v>
      </c>
      <c r="R2100" s="213" t="s">
        <v>17489</v>
      </c>
      <c r="S2100" s="213" t="s">
        <v>17490</v>
      </c>
      <c r="T2100" s="213" t="s">
        <v>17491</v>
      </c>
      <c r="U2100" s="213" t="s">
        <v>70346</v>
      </c>
    </row>
    <row r="2101" spans="1:21" x14ac:dyDescent="0.25">
      <c r="A2101" s="213" t="s">
        <v>327</v>
      </c>
      <c r="D2101" s="213" t="s">
        <v>17492</v>
      </c>
      <c r="E2101" s="213" t="s">
        <v>17493</v>
      </c>
      <c r="K2101" s="213" t="s">
        <v>70254</v>
      </c>
      <c r="L2101" s="213" t="s">
        <v>70285</v>
      </c>
      <c r="M2101" s="213" t="s">
        <v>70316</v>
      </c>
      <c r="N2101" s="213" t="s">
        <v>17494</v>
      </c>
      <c r="O2101" s="213" t="s">
        <v>17495</v>
      </c>
      <c r="P2101" s="213" t="s">
        <v>17496</v>
      </c>
      <c r="Q2101" s="213" t="s">
        <v>17497</v>
      </c>
      <c r="R2101" s="213" t="s">
        <v>17498</v>
      </c>
      <c r="S2101" s="213" t="s">
        <v>17499</v>
      </c>
      <c r="T2101" s="213" t="s">
        <v>17500</v>
      </c>
      <c r="U2101" s="213" t="s">
        <v>70347</v>
      </c>
    </row>
    <row r="2102" spans="1:21" x14ac:dyDescent="0.25">
      <c r="A2102" s="213" t="s">
        <v>327</v>
      </c>
      <c r="D2102" s="213" t="s">
        <v>17501</v>
      </c>
      <c r="E2102" s="213" t="s">
        <v>17502</v>
      </c>
      <c r="K2102" s="213" t="s">
        <v>70255</v>
      </c>
      <c r="L2102" s="213" t="s">
        <v>70286</v>
      </c>
      <c r="M2102" s="213" t="s">
        <v>70317</v>
      </c>
      <c r="N2102" s="213" t="s">
        <v>17503</v>
      </c>
      <c r="O2102" s="213" t="s">
        <v>17504</v>
      </c>
      <c r="P2102" s="213" t="s">
        <v>17505</v>
      </c>
      <c r="Q2102" s="213" t="s">
        <v>17506</v>
      </c>
      <c r="R2102" s="213" t="s">
        <v>17507</v>
      </c>
      <c r="S2102" s="213" t="s">
        <v>17508</v>
      </c>
      <c r="T2102" s="213" t="s">
        <v>17509</v>
      </c>
      <c r="U2102" s="213" t="s">
        <v>70348</v>
      </c>
    </row>
    <row r="2103" spans="1:21" x14ac:dyDescent="0.25">
      <c r="A2103" s="213" t="s">
        <v>327</v>
      </c>
      <c r="D2103" s="213" t="s">
        <v>17510</v>
      </c>
      <c r="E2103" s="213" t="s">
        <v>17511</v>
      </c>
      <c r="K2103" s="213" t="s">
        <v>70256</v>
      </c>
      <c r="L2103" s="213" t="s">
        <v>70287</v>
      </c>
      <c r="M2103" s="213" t="s">
        <v>70318</v>
      </c>
      <c r="N2103" s="213" t="s">
        <v>17512</v>
      </c>
      <c r="O2103" s="213" t="s">
        <v>17513</v>
      </c>
      <c r="P2103" s="213" t="s">
        <v>17514</v>
      </c>
      <c r="Q2103" s="213" t="s">
        <v>17515</v>
      </c>
      <c r="R2103" s="213" t="s">
        <v>17516</v>
      </c>
      <c r="S2103" s="213" t="s">
        <v>17517</v>
      </c>
      <c r="T2103" s="213" t="s">
        <v>17518</v>
      </c>
      <c r="U2103" s="213" t="s">
        <v>70349</v>
      </c>
    </row>
    <row r="2104" spans="1:21" x14ac:dyDescent="0.25">
      <c r="A2104" s="213" t="s">
        <v>327</v>
      </c>
      <c r="D2104" s="213" t="s">
        <v>17519</v>
      </c>
      <c r="E2104" s="213" t="s">
        <v>17520</v>
      </c>
      <c r="K2104" s="213" t="s">
        <v>70257</v>
      </c>
      <c r="L2104" s="213" t="s">
        <v>70288</v>
      </c>
      <c r="M2104" s="213" t="s">
        <v>70319</v>
      </c>
      <c r="N2104" s="213" t="s">
        <v>17521</v>
      </c>
      <c r="O2104" s="213" t="s">
        <v>17522</v>
      </c>
      <c r="P2104" s="213" t="s">
        <v>17523</v>
      </c>
      <c r="Q2104" s="213" t="s">
        <v>17524</v>
      </c>
      <c r="R2104" s="213" t="s">
        <v>17525</v>
      </c>
      <c r="S2104" s="213" t="s">
        <v>17526</v>
      </c>
      <c r="T2104" s="213" t="s">
        <v>17527</v>
      </c>
      <c r="U2104" s="213" t="s">
        <v>70350</v>
      </c>
    </row>
    <row r="2105" spans="1:21" x14ac:dyDescent="0.25">
      <c r="A2105" s="213" t="s">
        <v>327</v>
      </c>
      <c r="D2105" s="213" t="s">
        <v>17528</v>
      </c>
      <c r="E2105" s="213" t="s">
        <v>17529</v>
      </c>
      <c r="K2105" s="213" t="s">
        <v>70258</v>
      </c>
      <c r="L2105" s="213" t="s">
        <v>70289</v>
      </c>
      <c r="M2105" s="213" t="s">
        <v>70320</v>
      </c>
      <c r="N2105" s="213" t="s">
        <v>17530</v>
      </c>
      <c r="O2105" s="213" t="s">
        <v>17531</v>
      </c>
      <c r="P2105" s="213" t="s">
        <v>17532</v>
      </c>
      <c r="Q2105" s="213" t="s">
        <v>17533</v>
      </c>
      <c r="R2105" s="213" t="s">
        <v>17534</v>
      </c>
      <c r="S2105" s="213" t="s">
        <v>17535</v>
      </c>
      <c r="T2105" s="213" t="s">
        <v>17536</v>
      </c>
      <c r="U2105" s="213" t="s">
        <v>70351</v>
      </c>
    </row>
    <row r="2106" spans="1:21" x14ac:dyDescent="0.25">
      <c r="A2106" s="213" t="s">
        <v>327</v>
      </c>
      <c r="D2106" s="213" t="s">
        <v>17537</v>
      </c>
      <c r="E2106" s="213" t="s">
        <v>17538</v>
      </c>
      <c r="K2106" s="213" t="s">
        <v>70259</v>
      </c>
      <c r="L2106" s="213" t="s">
        <v>70290</v>
      </c>
      <c r="M2106" s="213" t="s">
        <v>70321</v>
      </c>
      <c r="N2106" s="213" t="s">
        <v>17539</v>
      </c>
      <c r="O2106" s="213" t="s">
        <v>17540</v>
      </c>
      <c r="P2106" s="213" t="s">
        <v>17541</v>
      </c>
      <c r="Q2106" s="213" t="s">
        <v>17542</v>
      </c>
      <c r="R2106" s="213" t="s">
        <v>17543</v>
      </c>
      <c r="S2106" s="213" t="s">
        <v>17544</v>
      </c>
      <c r="T2106" s="213" t="s">
        <v>17545</v>
      </c>
      <c r="U2106" s="213" t="s">
        <v>70352</v>
      </c>
    </row>
    <row r="2107" spans="1:21" x14ac:dyDescent="0.25">
      <c r="A2107" s="213" t="s">
        <v>327</v>
      </c>
      <c r="D2107" s="213" t="s">
        <v>17546</v>
      </c>
      <c r="E2107" s="213" t="s">
        <v>17547</v>
      </c>
      <c r="K2107" s="213" t="s">
        <v>70260</v>
      </c>
      <c r="L2107" s="213" t="s">
        <v>70291</v>
      </c>
      <c r="M2107" s="213" t="s">
        <v>70322</v>
      </c>
      <c r="N2107" s="213" t="s">
        <v>17548</v>
      </c>
      <c r="O2107" s="213" t="s">
        <v>17549</v>
      </c>
      <c r="P2107" s="213" t="s">
        <v>17550</v>
      </c>
      <c r="Q2107" s="213" t="s">
        <v>17551</v>
      </c>
      <c r="R2107" s="213" t="s">
        <v>17552</v>
      </c>
      <c r="S2107" s="213" t="s">
        <v>17553</v>
      </c>
      <c r="T2107" s="213" t="s">
        <v>17554</v>
      </c>
      <c r="U2107" s="213" t="s">
        <v>70353</v>
      </c>
    </row>
    <row r="2108" spans="1:21" x14ac:dyDescent="0.25">
      <c r="A2108" s="213" t="s">
        <v>327</v>
      </c>
      <c r="D2108" s="213" t="s">
        <v>17555</v>
      </c>
      <c r="E2108" s="213" t="s">
        <v>17556</v>
      </c>
      <c r="K2108" s="213" t="s">
        <v>70261</v>
      </c>
      <c r="L2108" s="213" t="s">
        <v>70292</v>
      </c>
      <c r="M2108" s="213" t="s">
        <v>70323</v>
      </c>
      <c r="N2108" s="213" t="s">
        <v>17557</v>
      </c>
      <c r="O2108" s="213" t="s">
        <v>17558</v>
      </c>
      <c r="P2108" s="213" t="s">
        <v>17559</v>
      </c>
      <c r="Q2108" s="213" t="s">
        <v>17560</v>
      </c>
      <c r="R2108" s="213" t="s">
        <v>17561</v>
      </c>
      <c r="S2108" s="213" t="s">
        <v>17562</v>
      </c>
      <c r="T2108" s="213" t="s">
        <v>17563</v>
      </c>
      <c r="U2108" s="213" t="s">
        <v>70354</v>
      </c>
    </row>
    <row r="2109" spans="1:21" x14ac:dyDescent="0.25">
      <c r="A2109" s="213" t="s">
        <v>327</v>
      </c>
      <c r="D2109" s="213" t="s">
        <v>17564</v>
      </c>
      <c r="E2109" s="213" t="s">
        <v>17565</v>
      </c>
      <c r="K2109" s="213" t="s">
        <v>70262</v>
      </c>
      <c r="L2109" s="213" t="s">
        <v>70293</v>
      </c>
      <c r="M2109" s="213" t="s">
        <v>70324</v>
      </c>
      <c r="N2109" s="213" t="s">
        <v>17566</v>
      </c>
      <c r="O2109" s="213" t="s">
        <v>17567</v>
      </c>
      <c r="P2109" s="213" t="s">
        <v>17568</v>
      </c>
      <c r="Q2109" s="213" t="s">
        <v>17569</v>
      </c>
      <c r="R2109" s="213" t="s">
        <v>17570</v>
      </c>
      <c r="S2109" s="213" t="s">
        <v>17571</v>
      </c>
      <c r="T2109" s="213" t="s">
        <v>17572</v>
      </c>
      <c r="U2109" s="213" t="s">
        <v>70355</v>
      </c>
    </row>
    <row r="2110" spans="1:21" x14ac:dyDescent="0.25">
      <c r="A2110" s="213" t="s">
        <v>327</v>
      </c>
      <c r="D2110" s="213" t="s">
        <v>17573</v>
      </c>
      <c r="E2110" s="213" t="s">
        <v>17574</v>
      </c>
      <c r="K2110" s="213" t="s">
        <v>70263</v>
      </c>
      <c r="L2110" s="213" t="s">
        <v>70294</v>
      </c>
      <c r="M2110" s="213" t="s">
        <v>70325</v>
      </c>
      <c r="N2110" s="213" t="s">
        <v>17575</v>
      </c>
      <c r="O2110" s="213" t="s">
        <v>17576</v>
      </c>
      <c r="P2110" s="213" t="s">
        <v>17577</v>
      </c>
      <c r="Q2110" s="213" t="s">
        <v>17578</v>
      </c>
      <c r="R2110" s="213" t="s">
        <v>17579</v>
      </c>
      <c r="S2110" s="213" t="s">
        <v>17580</v>
      </c>
      <c r="T2110" s="213" t="s">
        <v>17581</v>
      </c>
      <c r="U2110" s="213" t="s">
        <v>70356</v>
      </c>
    </row>
    <row r="2111" spans="1:21" x14ac:dyDescent="0.25">
      <c r="A2111" s="213" t="s">
        <v>327</v>
      </c>
      <c r="D2111" s="213" t="s">
        <v>17582</v>
      </c>
      <c r="E2111" s="213" t="s">
        <v>17583</v>
      </c>
      <c r="K2111" s="213" t="s">
        <v>70264</v>
      </c>
      <c r="L2111" s="213" t="s">
        <v>70295</v>
      </c>
      <c r="M2111" s="213" t="s">
        <v>70326</v>
      </c>
      <c r="N2111" s="213" t="s">
        <v>17584</v>
      </c>
      <c r="O2111" s="213" t="s">
        <v>17585</v>
      </c>
      <c r="P2111" s="213" t="s">
        <v>17586</v>
      </c>
      <c r="Q2111" s="213" t="s">
        <v>17587</v>
      </c>
      <c r="R2111" s="213" t="s">
        <v>17588</v>
      </c>
      <c r="S2111" s="213" t="s">
        <v>17589</v>
      </c>
      <c r="T2111" s="213" t="s">
        <v>17590</v>
      </c>
      <c r="U2111" s="213" t="s">
        <v>70357</v>
      </c>
    </row>
    <row r="2112" spans="1:21" x14ac:dyDescent="0.25">
      <c r="A2112" s="213" t="s">
        <v>327</v>
      </c>
      <c r="D2112" s="213" t="s">
        <v>17591</v>
      </c>
      <c r="E2112" s="213" t="s">
        <v>17592</v>
      </c>
      <c r="K2112" s="213" t="s">
        <v>70265</v>
      </c>
      <c r="L2112" s="213" t="s">
        <v>70296</v>
      </c>
      <c r="M2112" s="213" t="s">
        <v>70327</v>
      </c>
      <c r="N2112" s="213" t="s">
        <v>17593</v>
      </c>
      <c r="O2112" s="213" t="s">
        <v>17594</v>
      </c>
      <c r="P2112" s="213" t="s">
        <v>17595</v>
      </c>
      <c r="Q2112" s="213" t="s">
        <v>17596</v>
      </c>
      <c r="R2112" s="213" t="s">
        <v>17597</v>
      </c>
      <c r="S2112" s="213" t="s">
        <v>17598</v>
      </c>
      <c r="T2112" s="213" t="s">
        <v>17599</v>
      </c>
      <c r="U2112" s="213" t="s">
        <v>70358</v>
      </c>
    </row>
    <row r="2113" spans="1:21" x14ac:dyDescent="0.25">
      <c r="A2113" s="213" t="s">
        <v>327</v>
      </c>
      <c r="D2113" s="213" t="s">
        <v>17600</v>
      </c>
      <c r="E2113" s="213" t="s">
        <v>17601</v>
      </c>
      <c r="K2113" s="213" t="s">
        <v>70266</v>
      </c>
      <c r="L2113" s="213" t="s">
        <v>70297</v>
      </c>
      <c r="M2113" s="213" t="s">
        <v>70328</v>
      </c>
      <c r="N2113" s="213" t="s">
        <v>17602</v>
      </c>
      <c r="O2113" s="213" t="s">
        <v>17603</v>
      </c>
      <c r="P2113" s="213" t="s">
        <v>17604</v>
      </c>
      <c r="Q2113" s="213" t="s">
        <v>17605</v>
      </c>
      <c r="R2113" s="213" t="s">
        <v>17606</v>
      </c>
      <c r="S2113" s="213" t="s">
        <v>17607</v>
      </c>
      <c r="T2113" s="213" t="s">
        <v>17608</v>
      </c>
      <c r="U2113" s="213" t="s">
        <v>70359</v>
      </c>
    </row>
    <row r="2114" spans="1:21" x14ac:dyDescent="0.25">
      <c r="A2114" s="213" t="s">
        <v>327</v>
      </c>
      <c r="D2114" s="213" t="s">
        <v>17609</v>
      </c>
      <c r="E2114" s="213" t="s">
        <v>17610</v>
      </c>
      <c r="K2114" s="213" t="s">
        <v>70267</v>
      </c>
      <c r="L2114" s="213" t="s">
        <v>70298</v>
      </c>
      <c r="M2114" s="213" t="s">
        <v>70329</v>
      </c>
      <c r="N2114" s="213" t="s">
        <v>17611</v>
      </c>
      <c r="O2114" s="213" t="s">
        <v>17612</v>
      </c>
      <c r="P2114" s="213" t="s">
        <v>17613</v>
      </c>
      <c r="Q2114" s="213" t="s">
        <v>17614</v>
      </c>
      <c r="R2114" s="213" t="s">
        <v>17615</v>
      </c>
      <c r="S2114" s="213" t="s">
        <v>17616</v>
      </c>
      <c r="T2114" s="213" t="s">
        <v>17617</v>
      </c>
      <c r="U2114" s="213" t="s">
        <v>70360</v>
      </c>
    </row>
    <row r="2115" spans="1:21" x14ac:dyDescent="0.25">
      <c r="A2115" s="213" t="s">
        <v>327</v>
      </c>
      <c r="D2115" s="213" t="s">
        <v>17618</v>
      </c>
      <c r="E2115" s="213" t="s">
        <v>17619</v>
      </c>
      <c r="K2115" s="213" t="s">
        <v>70268</v>
      </c>
      <c r="L2115" s="213" t="s">
        <v>70299</v>
      </c>
      <c r="M2115" s="213" t="s">
        <v>70330</v>
      </c>
      <c r="N2115" s="213" t="s">
        <v>17620</v>
      </c>
      <c r="O2115" s="213" t="s">
        <v>17621</v>
      </c>
      <c r="P2115" s="213" t="s">
        <v>17622</v>
      </c>
      <c r="Q2115" s="213" t="s">
        <v>17623</v>
      </c>
      <c r="R2115" s="213" t="s">
        <v>17624</v>
      </c>
      <c r="S2115" s="213" t="s">
        <v>17625</v>
      </c>
      <c r="T2115" s="213" t="s">
        <v>17626</v>
      </c>
      <c r="U2115" s="213" t="s">
        <v>70361</v>
      </c>
    </row>
    <row r="2116" spans="1:21" x14ac:dyDescent="0.25">
      <c r="A2116" s="213" t="s">
        <v>327</v>
      </c>
      <c r="D2116" s="213" t="s">
        <v>17627</v>
      </c>
      <c r="E2116" s="213" t="s">
        <v>17628</v>
      </c>
      <c r="K2116" s="213" t="s">
        <v>70269</v>
      </c>
      <c r="L2116" s="213" t="s">
        <v>70300</v>
      </c>
      <c r="M2116" s="213" t="s">
        <v>70331</v>
      </c>
      <c r="N2116" s="213" t="s">
        <v>17629</v>
      </c>
      <c r="O2116" s="213" t="s">
        <v>17630</v>
      </c>
      <c r="P2116" s="213" t="s">
        <v>17631</v>
      </c>
      <c r="Q2116" s="213" t="s">
        <v>17632</v>
      </c>
      <c r="R2116" s="213" t="s">
        <v>17633</v>
      </c>
      <c r="S2116" s="213" t="s">
        <v>17634</v>
      </c>
      <c r="T2116" s="213" t="s">
        <v>17635</v>
      </c>
      <c r="U2116" s="213" t="s">
        <v>70362</v>
      </c>
    </row>
    <row r="2117" spans="1:21" x14ac:dyDescent="0.25">
      <c r="A2117" s="213" t="s">
        <v>327</v>
      </c>
      <c r="D2117" s="213" t="s">
        <v>17636</v>
      </c>
      <c r="E2117" s="213" t="s">
        <v>17637</v>
      </c>
      <c r="K2117" s="213" t="s">
        <v>70270</v>
      </c>
      <c r="L2117" s="213" t="s">
        <v>70301</v>
      </c>
      <c r="M2117" s="213" t="s">
        <v>70332</v>
      </c>
      <c r="N2117" s="213" t="s">
        <v>17638</v>
      </c>
      <c r="O2117" s="213" t="s">
        <v>17639</v>
      </c>
      <c r="P2117" s="213" t="s">
        <v>17640</v>
      </c>
      <c r="Q2117" s="213" t="s">
        <v>17641</v>
      </c>
      <c r="R2117" s="213" t="s">
        <v>17642</v>
      </c>
      <c r="S2117" s="213" t="s">
        <v>17643</v>
      </c>
      <c r="T2117" s="213" t="s">
        <v>17644</v>
      </c>
      <c r="U2117" s="213" t="s">
        <v>70363</v>
      </c>
    </row>
    <row r="2118" spans="1:21" x14ac:dyDescent="0.25">
      <c r="A2118" s="213" t="s">
        <v>327</v>
      </c>
      <c r="D2118" s="213" t="s">
        <v>17645</v>
      </c>
      <c r="E2118" s="213" t="s">
        <v>17646</v>
      </c>
      <c r="K2118" s="213" t="s">
        <v>70271</v>
      </c>
      <c r="L2118" s="213" t="s">
        <v>70302</v>
      </c>
      <c r="M2118" s="213" t="s">
        <v>70333</v>
      </c>
      <c r="N2118" s="213" t="s">
        <v>17647</v>
      </c>
      <c r="O2118" s="213" t="s">
        <v>17648</v>
      </c>
      <c r="P2118" s="213" t="s">
        <v>17649</v>
      </c>
      <c r="Q2118" s="213" t="s">
        <v>17650</v>
      </c>
      <c r="R2118" s="213" t="s">
        <v>17651</v>
      </c>
      <c r="S2118" s="213" t="s">
        <v>17652</v>
      </c>
      <c r="T2118" s="213" t="s">
        <v>17653</v>
      </c>
      <c r="U2118" s="213" t="s">
        <v>70364</v>
      </c>
    </row>
    <row r="2119" spans="1:21" x14ac:dyDescent="0.25">
      <c r="A2119" s="213" t="s">
        <v>327</v>
      </c>
      <c r="D2119" s="213" t="s">
        <v>17654</v>
      </c>
      <c r="E2119" s="213" t="s">
        <v>17655</v>
      </c>
      <c r="K2119" s="213" t="s">
        <v>70272</v>
      </c>
      <c r="L2119" s="213" t="s">
        <v>70303</v>
      </c>
      <c r="M2119" s="213" t="s">
        <v>70334</v>
      </c>
      <c r="N2119" s="213" t="s">
        <v>17656</v>
      </c>
      <c r="O2119" s="213" t="s">
        <v>17657</v>
      </c>
      <c r="P2119" s="213" t="s">
        <v>17658</v>
      </c>
      <c r="Q2119" s="213" t="s">
        <v>17659</v>
      </c>
      <c r="R2119" s="213" t="s">
        <v>17660</v>
      </c>
      <c r="S2119" s="213" t="s">
        <v>17661</v>
      </c>
      <c r="T2119" s="213" t="s">
        <v>17662</v>
      </c>
      <c r="U2119" s="213" t="s">
        <v>70365</v>
      </c>
    </row>
    <row r="2120" spans="1:21" x14ac:dyDescent="0.25">
      <c r="A2120" s="213" t="s">
        <v>327</v>
      </c>
    </row>
    <row r="2121" spans="1:21" x14ac:dyDescent="0.25">
      <c r="A2121" s="213" t="s">
        <v>327</v>
      </c>
    </row>
    <row r="2122" spans="1:21" x14ac:dyDescent="0.25">
      <c r="A2122" s="213" t="s">
        <v>327</v>
      </c>
      <c r="C2122" s="213" t="s">
        <v>17663</v>
      </c>
      <c r="E2122" s="213" t="s">
        <v>17664</v>
      </c>
      <c r="H2122" s="213" t="s">
        <v>17665</v>
      </c>
      <c r="I2122" s="213" t="s">
        <v>17666</v>
      </c>
      <c r="J2122" s="213" t="s">
        <v>17667</v>
      </c>
      <c r="L2122" s="213" t="s">
        <v>17668</v>
      </c>
      <c r="O2122" s="213" t="s">
        <v>17669</v>
      </c>
      <c r="P2122" s="213" t="s">
        <v>17670</v>
      </c>
      <c r="Q2122" s="213" t="s">
        <v>17671</v>
      </c>
      <c r="R2122" s="213" t="s">
        <v>17672</v>
      </c>
      <c r="S2122" s="213" t="s">
        <v>17673</v>
      </c>
      <c r="T2122" s="213" t="s">
        <v>17674</v>
      </c>
    </row>
    <row r="2123" spans="1:21" x14ac:dyDescent="0.25">
      <c r="A2123" s="213" t="s">
        <v>327</v>
      </c>
      <c r="C2123" s="213" t="s">
        <v>17675</v>
      </c>
      <c r="E2123" s="213" t="s">
        <v>17676</v>
      </c>
      <c r="I2123" s="213" t="s">
        <v>17677</v>
      </c>
    </row>
    <row r="2124" spans="1:21" x14ac:dyDescent="0.25">
      <c r="A2124" s="213" t="s">
        <v>327</v>
      </c>
      <c r="C2124" s="213" t="s">
        <v>17678</v>
      </c>
      <c r="E2124" s="213" t="s">
        <v>17679</v>
      </c>
      <c r="I2124" s="213" t="s">
        <v>17680</v>
      </c>
    </row>
    <row r="2125" spans="1:21" x14ac:dyDescent="0.25">
      <c r="A2125" s="213" t="s">
        <v>328</v>
      </c>
    </row>
    <row r="2126" spans="1:21" x14ac:dyDescent="0.25">
      <c r="A2126" s="213" t="s">
        <v>327</v>
      </c>
      <c r="D2126" s="213" t="s">
        <v>17681</v>
      </c>
      <c r="E2126" s="213" t="s">
        <v>17682</v>
      </c>
      <c r="K2126" s="213" t="s">
        <v>70114</v>
      </c>
      <c r="L2126" s="213" t="s">
        <v>70146</v>
      </c>
      <c r="M2126" s="213" t="s">
        <v>70178</v>
      </c>
      <c r="N2126" s="213" t="s">
        <v>17683</v>
      </c>
      <c r="O2126" s="213" t="s">
        <v>17684</v>
      </c>
      <c r="P2126" s="213" t="s">
        <v>17685</v>
      </c>
      <c r="Q2126" s="213" t="s">
        <v>17686</v>
      </c>
      <c r="R2126" s="213" t="s">
        <v>17687</v>
      </c>
      <c r="S2126" s="213" t="s">
        <v>17688</v>
      </c>
      <c r="T2126" s="213" t="s">
        <v>17689</v>
      </c>
      <c r="U2126" s="213" t="s">
        <v>70210</v>
      </c>
    </row>
    <row r="2127" spans="1:21" x14ac:dyDescent="0.25">
      <c r="A2127" s="213" t="s">
        <v>327</v>
      </c>
      <c r="D2127" s="213" t="s">
        <v>17690</v>
      </c>
      <c r="E2127" s="213" t="s">
        <v>17691</v>
      </c>
      <c r="K2127" s="213" t="s">
        <v>70115</v>
      </c>
      <c r="L2127" s="213" t="s">
        <v>70147</v>
      </c>
      <c r="M2127" s="213" t="s">
        <v>70179</v>
      </c>
      <c r="N2127" s="213" t="s">
        <v>17692</v>
      </c>
      <c r="O2127" s="213" t="s">
        <v>17693</v>
      </c>
      <c r="P2127" s="213" t="s">
        <v>17694</v>
      </c>
      <c r="Q2127" s="213" t="s">
        <v>17695</v>
      </c>
      <c r="R2127" s="213" t="s">
        <v>17696</v>
      </c>
      <c r="S2127" s="213" t="s">
        <v>17697</v>
      </c>
      <c r="T2127" s="213" t="s">
        <v>17698</v>
      </c>
      <c r="U2127" s="213" t="s">
        <v>70211</v>
      </c>
    </row>
    <row r="2128" spans="1:21" x14ac:dyDescent="0.25">
      <c r="A2128" s="213" t="s">
        <v>327</v>
      </c>
      <c r="D2128" s="213" t="s">
        <v>17699</v>
      </c>
      <c r="E2128" s="213" t="s">
        <v>17700</v>
      </c>
      <c r="K2128" s="213" t="s">
        <v>70116</v>
      </c>
      <c r="L2128" s="213" t="s">
        <v>70148</v>
      </c>
      <c r="M2128" s="213" t="s">
        <v>70180</v>
      </c>
      <c r="N2128" s="213" t="s">
        <v>17701</v>
      </c>
      <c r="O2128" s="213" t="s">
        <v>17702</v>
      </c>
      <c r="P2128" s="213" t="s">
        <v>17703</v>
      </c>
      <c r="Q2128" s="213" t="s">
        <v>17704</v>
      </c>
      <c r="R2128" s="213" t="s">
        <v>17705</v>
      </c>
      <c r="S2128" s="213" t="s">
        <v>17706</v>
      </c>
      <c r="T2128" s="213" t="s">
        <v>17707</v>
      </c>
      <c r="U2128" s="213" t="s">
        <v>70212</v>
      </c>
    </row>
    <row r="2129" spans="1:21" x14ac:dyDescent="0.25">
      <c r="A2129" s="213" t="s">
        <v>327</v>
      </c>
      <c r="D2129" s="213" t="s">
        <v>17708</v>
      </c>
      <c r="E2129" s="213" t="s">
        <v>17709</v>
      </c>
      <c r="K2129" s="213" t="s">
        <v>70117</v>
      </c>
      <c r="L2129" s="213" t="s">
        <v>70149</v>
      </c>
      <c r="M2129" s="213" t="s">
        <v>70181</v>
      </c>
      <c r="N2129" s="213" t="s">
        <v>17710</v>
      </c>
      <c r="O2129" s="213" t="s">
        <v>17711</v>
      </c>
      <c r="P2129" s="213" t="s">
        <v>17712</v>
      </c>
      <c r="Q2129" s="213" t="s">
        <v>17713</v>
      </c>
      <c r="R2129" s="213" t="s">
        <v>17714</v>
      </c>
      <c r="S2129" s="213" t="s">
        <v>17715</v>
      </c>
      <c r="T2129" s="213" t="s">
        <v>17716</v>
      </c>
      <c r="U2129" s="213" t="s">
        <v>70213</v>
      </c>
    </row>
    <row r="2130" spans="1:21" x14ac:dyDescent="0.25">
      <c r="A2130" s="213" t="s">
        <v>327</v>
      </c>
      <c r="D2130" s="213" t="s">
        <v>17717</v>
      </c>
      <c r="E2130" s="213" t="s">
        <v>17718</v>
      </c>
      <c r="K2130" s="213" t="s">
        <v>70118</v>
      </c>
      <c r="L2130" s="213" t="s">
        <v>70150</v>
      </c>
      <c r="M2130" s="213" t="s">
        <v>70182</v>
      </c>
      <c r="N2130" s="213" t="s">
        <v>17719</v>
      </c>
      <c r="O2130" s="213" t="s">
        <v>17720</v>
      </c>
      <c r="P2130" s="213" t="s">
        <v>17721</v>
      </c>
      <c r="Q2130" s="213" t="s">
        <v>17722</v>
      </c>
      <c r="R2130" s="213" t="s">
        <v>17723</v>
      </c>
      <c r="S2130" s="213" t="s">
        <v>17724</v>
      </c>
      <c r="T2130" s="213" t="s">
        <v>17725</v>
      </c>
      <c r="U2130" s="213" t="s">
        <v>70214</v>
      </c>
    </row>
    <row r="2131" spans="1:21" x14ac:dyDescent="0.25">
      <c r="A2131" s="213" t="s">
        <v>327</v>
      </c>
      <c r="D2131" s="213" t="s">
        <v>17726</v>
      </c>
      <c r="E2131" s="213" t="s">
        <v>17727</v>
      </c>
      <c r="K2131" s="213" t="s">
        <v>70119</v>
      </c>
      <c r="L2131" s="213" t="s">
        <v>70151</v>
      </c>
      <c r="M2131" s="213" t="s">
        <v>70183</v>
      </c>
      <c r="N2131" s="213" t="s">
        <v>17728</v>
      </c>
      <c r="O2131" s="213" t="s">
        <v>17729</v>
      </c>
      <c r="P2131" s="213" t="s">
        <v>17730</v>
      </c>
      <c r="Q2131" s="213" t="s">
        <v>17731</v>
      </c>
      <c r="R2131" s="213" t="s">
        <v>17732</v>
      </c>
      <c r="S2131" s="213" t="s">
        <v>17733</v>
      </c>
      <c r="T2131" s="213" t="s">
        <v>17734</v>
      </c>
      <c r="U2131" s="213" t="s">
        <v>70215</v>
      </c>
    </row>
    <row r="2132" spans="1:21" x14ac:dyDescent="0.25">
      <c r="A2132" s="213" t="s">
        <v>327</v>
      </c>
      <c r="D2132" s="213" t="s">
        <v>17735</v>
      </c>
      <c r="E2132" s="213" t="s">
        <v>17736</v>
      </c>
      <c r="K2132" s="213" t="s">
        <v>70120</v>
      </c>
      <c r="L2132" s="213" t="s">
        <v>70152</v>
      </c>
      <c r="M2132" s="213" t="s">
        <v>70184</v>
      </c>
      <c r="N2132" s="213" t="s">
        <v>17737</v>
      </c>
      <c r="O2132" s="213" t="s">
        <v>17738</v>
      </c>
      <c r="P2132" s="213" t="s">
        <v>17739</v>
      </c>
      <c r="Q2132" s="213" t="s">
        <v>17740</v>
      </c>
      <c r="R2132" s="213" t="s">
        <v>17741</v>
      </c>
      <c r="S2132" s="213" t="s">
        <v>17742</v>
      </c>
      <c r="T2132" s="213" t="s">
        <v>17743</v>
      </c>
      <c r="U2132" s="213" t="s">
        <v>70216</v>
      </c>
    </row>
    <row r="2133" spans="1:21" x14ac:dyDescent="0.25">
      <c r="A2133" s="213" t="s">
        <v>327</v>
      </c>
      <c r="D2133" s="213" t="s">
        <v>17744</v>
      </c>
      <c r="E2133" s="213" t="s">
        <v>17745</v>
      </c>
      <c r="K2133" s="213" t="s">
        <v>70121</v>
      </c>
      <c r="L2133" s="213" t="s">
        <v>70153</v>
      </c>
      <c r="M2133" s="213" t="s">
        <v>70185</v>
      </c>
      <c r="N2133" s="213" t="s">
        <v>17746</v>
      </c>
      <c r="O2133" s="213" t="s">
        <v>17747</v>
      </c>
      <c r="P2133" s="213" t="s">
        <v>17748</v>
      </c>
      <c r="Q2133" s="213" t="s">
        <v>17749</v>
      </c>
      <c r="R2133" s="213" t="s">
        <v>17750</v>
      </c>
      <c r="S2133" s="213" t="s">
        <v>17751</v>
      </c>
      <c r="T2133" s="213" t="s">
        <v>17752</v>
      </c>
      <c r="U2133" s="213" t="s">
        <v>70217</v>
      </c>
    </row>
    <row r="2134" spans="1:21" x14ac:dyDescent="0.25">
      <c r="A2134" s="213" t="s">
        <v>327</v>
      </c>
      <c r="D2134" s="213" t="s">
        <v>17753</v>
      </c>
      <c r="E2134" s="213" t="s">
        <v>17754</v>
      </c>
      <c r="K2134" s="213" t="s">
        <v>70122</v>
      </c>
      <c r="L2134" s="213" t="s">
        <v>70154</v>
      </c>
      <c r="M2134" s="213" t="s">
        <v>70186</v>
      </c>
      <c r="N2134" s="213" t="s">
        <v>17755</v>
      </c>
      <c r="O2134" s="213" t="s">
        <v>17756</v>
      </c>
      <c r="P2134" s="213" t="s">
        <v>17757</v>
      </c>
      <c r="Q2134" s="213" t="s">
        <v>17758</v>
      </c>
      <c r="R2134" s="213" t="s">
        <v>17759</v>
      </c>
      <c r="S2134" s="213" t="s">
        <v>17760</v>
      </c>
      <c r="T2134" s="213" t="s">
        <v>17761</v>
      </c>
      <c r="U2134" s="213" t="s">
        <v>70218</v>
      </c>
    </row>
    <row r="2135" spans="1:21" x14ac:dyDescent="0.25">
      <c r="A2135" s="213" t="s">
        <v>327</v>
      </c>
      <c r="D2135" s="213" t="s">
        <v>17762</v>
      </c>
      <c r="E2135" s="213" t="s">
        <v>17763</v>
      </c>
      <c r="K2135" s="213" t="s">
        <v>70123</v>
      </c>
      <c r="L2135" s="213" t="s">
        <v>70155</v>
      </c>
      <c r="M2135" s="213" t="s">
        <v>70187</v>
      </c>
      <c r="N2135" s="213" t="s">
        <v>17764</v>
      </c>
      <c r="O2135" s="213" t="s">
        <v>17765</v>
      </c>
      <c r="P2135" s="213" t="s">
        <v>17766</v>
      </c>
      <c r="Q2135" s="213" t="s">
        <v>17767</v>
      </c>
      <c r="R2135" s="213" t="s">
        <v>17768</v>
      </c>
      <c r="S2135" s="213" t="s">
        <v>17769</v>
      </c>
      <c r="T2135" s="213" t="s">
        <v>17770</v>
      </c>
      <c r="U2135" s="213" t="s">
        <v>70219</v>
      </c>
    </row>
    <row r="2136" spans="1:21" x14ac:dyDescent="0.25">
      <c r="A2136" s="213" t="s">
        <v>327</v>
      </c>
      <c r="D2136" s="213" t="s">
        <v>17771</v>
      </c>
      <c r="E2136" s="213" t="s">
        <v>17772</v>
      </c>
      <c r="K2136" s="213" t="s">
        <v>70124</v>
      </c>
      <c r="L2136" s="213" t="s">
        <v>70156</v>
      </c>
      <c r="M2136" s="213" t="s">
        <v>70188</v>
      </c>
      <c r="N2136" s="213" t="s">
        <v>17773</v>
      </c>
      <c r="O2136" s="213" t="s">
        <v>17774</v>
      </c>
      <c r="P2136" s="213" t="s">
        <v>17775</v>
      </c>
      <c r="Q2136" s="213" t="s">
        <v>17776</v>
      </c>
      <c r="R2136" s="213" t="s">
        <v>17777</v>
      </c>
      <c r="S2136" s="213" t="s">
        <v>17778</v>
      </c>
      <c r="T2136" s="213" t="s">
        <v>17779</v>
      </c>
      <c r="U2136" s="213" t="s">
        <v>70220</v>
      </c>
    </row>
    <row r="2137" spans="1:21" x14ac:dyDescent="0.25">
      <c r="A2137" s="213" t="s">
        <v>327</v>
      </c>
      <c r="D2137" s="213" t="s">
        <v>17780</v>
      </c>
      <c r="E2137" s="213" t="s">
        <v>17781</v>
      </c>
      <c r="K2137" s="213" t="s">
        <v>70125</v>
      </c>
      <c r="L2137" s="213" t="s">
        <v>70157</v>
      </c>
      <c r="M2137" s="213" t="s">
        <v>70189</v>
      </c>
      <c r="N2137" s="213" t="s">
        <v>17782</v>
      </c>
      <c r="O2137" s="213" t="s">
        <v>17783</v>
      </c>
      <c r="P2137" s="213" t="s">
        <v>17784</v>
      </c>
      <c r="Q2137" s="213" t="s">
        <v>17785</v>
      </c>
      <c r="R2137" s="213" t="s">
        <v>17786</v>
      </c>
      <c r="S2137" s="213" t="s">
        <v>17787</v>
      </c>
      <c r="T2137" s="213" t="s">
        <v>17788</v>
      </c>
      <c r="U2137" s="213" t="s">
        <v>70221</v>
      </c>
    </row>
    <row r="2138" spans="1:21" x14ac:dyDescent="0.25">
      <c r="A2138" s="213" t="s">
        <v>327</v>
      </c>
      <c r="D2138" s="213" t="s">
        <v>17789</v>
      </c>
      <c r="E2138" s="213" t="s">
        <v>17790</v>
      </c>
      <c r="K2138" s="213" t="s">
        <v>70126</v>
      </c>
      <c r="L2138" s="213" t="s">
        <v>70158</v>
      </c>
      <c r="M2138" s="213" t="s">
        <v>70190</v>
      </c>
      <c r="N2138" s="213" t="s">
        <v>17791</v>
      </c>
      <c r="O2138" s="213" t="s">
        <v>17792</v>
      </c>
      <c r="P2138" s="213" t="s">
        <v>17793</v>
      </c>
      <c r="Q2138" s="213" t="s">
        <v>17794</v>
      </c>
      <c r="R2138" s="213" t="s">
        <v>17795</v>
      </c>
      <c r="S2138" s="213" t="s">
        <v>17796</v>
      </c>
      <c r="T2138" s="213" t="s">
        <v>17797</v>
      </c>
      <c r="U2138" s="213" t="s">
        <v>70222</v>
      </c>
    </row>
    <row r="2139" spans="1:21" x14ac:dyDescent="0.25">
      <c r="A2139" s="213" t="s">
        <v>327</v>
      </c>
      <c r="D2139" s="213" t="s">
        <v>17798</v>
      </c>
      <c r="E2139" s="213" t="s">
        <v>17799</v>
      </c>
      <c r="K2139" s="213" t="s">
        <v>70127</v>
      </c>
      <c r="L2139" s="213" t="s">
        <v>70159</v>
      </c>
      <c r="M2139" s="213" t="s">
        <v>70191</v>
      </c>
      <c r="N2139" s="213" t="s">
        <v>17800</v>
      </c>
      <c r="O2139" s="213" t="s">
        <v>17801</v>
      </c>
      <c r="P2139" s="213" t="s">
        <v>17802</v>
      </c>
      <c r="Q2139" s="213" t="s">
        <v>17803</v>
      </c>
      <c r="R2139" s="213" t="s">
        <v>17804</v>
      </c>
      <c r="S2139" s="213" t="s">
        <v>17805</v>
      </c>
      <c r="T2139" s="213" t="s">
        <v>17806</v>
      </c>
      <c r="U2139" s="213" t="s">
        <v>70223</v>
      </c>
    </row>
    <row r="2140" spans="1:21" x14ac:dyDescent="0.25">
      <c r="A2140" s="213" t="s">
        <v>327</v>
      </c>
      <c r="D2140" s="213" t="s">
        <v>17807</v>
      </c>
      <c r="E2140" s="213" t="s">
        <v>17808</v>
      </c>
      <c r="K2140" s="213" t="s">
        <v>70128</v>
      </c>
      <c r="L2140" s="213" t="s">
        <v>70160</v>
      </c>
      <c r="M2140" s="213" t="s">
        <v>70192</v>
      </c>
      <c r="N2140" s="213" t="s">
        <v>17809</v>
      </c>
      <c r="O2140" s="213" t="s">
        <v>17810</v>
      </c>
      <c r="P2140" s="213" t="s">
        <v>17811</v>
      </c>
      <c r="Q2140" s="213" t="s">
        <v>17812</v>
      </c>
      <c r="R2140" s="213" t="s">
        <v>17813</v>
      </c>
      <c r="S2140" s="213" t="s">
        <v>17814</v>
      </c>
      <c r="T2140" s="213" t="s">
        <v>17815</v>
      </c>
      <c r="U2140" s="213" t="s">
        <v>70224</v>
      </c>
    </row>
    <row r="2141" spans="1:21" x14ac:dyDescent="0.25">
      <c r="A2141" s="213" t="s">
        <v>327</v>
      </c>
      <c r="D2141" s="213" t="s">
        <v>17816</v>
      </c>
      <c r="E2141" s="213" t="s">
        <v>17817</v>
      </c>
      <c r="K2141" s="213" t="s">
        <v>70129</v>
      </c>
      <c r="L2141" s="213" t="s">
        <v>70161</v>
      </c>
      <c r="M2141" s="213" t="s">
        <v>70193</v>
      </c>
      <c r="N2141" s="213" t="s">
        <v>17818</v>
      </c>
      <c r="O2141" s="213" t="s">
        <v>17819</v>
      </c>
      <c r="P2141" s="213" t="s">
        <v>17820</v>
      </c>
      <c r="Q2141" s="213" t="s">
        <v>17821</v>
      </c>
      <c r="R2141" s="213" t="s">
        <v>17822</v>
      </c>
      <c r="S2141" s="213" t="s">
        <v>17823</v>
      </c>
      <c r="T2141" s="213" t="s">
        <v>17824</v>
      </c>
      <c r="U2141" s="213" t="s">
        <v>70225</v>
      </c>
    </row>
    <row r="2142" spans="1:21" x14ac:dyDescent="0.25">
      <c r="A2142" s="213" t="s">
        <v>327</v>
      </c>
      <c r="D2142" s="213" t="s">
        <v>17825</v>
      </c>
      <c r="E2142" s="213" t="s">
        <v>17826</v>
      </c>
      <c r="K2142" s="213" t="s">
        <v>70130</v>
      </c>
      <c r="L2142" s="213" t="s">
        <v>70162</v>
      </c>
      <c r="M2142" s="213" t="s">
        <v>70194</v>
      </c>
      <c r="N2142" s="213" t="s">
        <v>17827</v>
      </c>
      <c r="O2142" s="213" t="s">
        <v>17828</v>
      </c>
      <c r="P2142" s="213" t="s">
        <v>17829</v>
      </c>
      <c r="Q2142" s="213" t="s">
        <v>17830</v>
      </c>
      <c r="R2142" s="213" t="s">
        <v>17831</v>
      </c>
      <c r="S2142" s="213" t="s">
        <v>17832</v>
      </c>
      <c r="T2142" s="213" t="s">
        <v>17833</v>
      </c>
      <c r="U2142" s="213" t="s">
        <v>70226</v>
      </c>
    </row>
    <row r="2143" spans="1:21" x14ac:dyDescent="0.25">
      <c r="A2143" s="213" t="s">
        <v>327</v>
      </c>
      <c r="D2143" s="213" t="s">
        <v>17834</v>
      </c>
      <c r="E2143" s="213" t="s">
        <v>17835</v>
      </c>
      <c r="K2143" s="213" t="s">
        <v>70131</v>
      </c>
      <c r="L2143" s="213" t="s">
        <v>70163</v>
      </c>
      <c r="M2143" s="213" t="s">
        <v>70195</v>
      </c>
      <c r="N2143" s="213" t="s">
        <v>17836</v>
      </c>
      <c r="O2143" s="213" t="s">
        <v>17837</v>
      </c>
      <c r="P2143" s="213" t="s">
        <v>17838</v>
      </c>
      <c r="Q2143" s="213" t="s">
        <v>17839</v>
      </c>
      <c r="R2143" s="213" t="s">
        <v>17840</v>
      </c>
      <c r="S2143" s="213" t="s">
        <v>17841</v>
      </c>
      <c r="T2143" s="213" t="s">
        <v>17842</v>
      </c>
      <c r="U2143" s="213" t="s">
        <v>70227</v>
      </c>
    </row>
    <row r="2144" spans="1:21" x14ac:dyDescent="0.25">
      <c r="A2144" s="213" t="s">
        <v>327</v>
      </c>
      <c r="D2144" s="213" t="s">
        <v>17843</v>
      </c>
      <c r="E2144" s="213" t="s">
        <v>17844</v>
      </c>
      <c r="K2144" s="213" t="s">
        <v>70132</v>
      </c>
      <c r="L2144" s="213" t="s">
        <v>70164</v>
      </c>
      <c r="M2144" s="213" t="s">
        <v>70196</v>
      </c>
      <c r="N2144" s="213" t="s">
        <v>17845</v>
      </c>
      <c r="O2144" s="213" t="s">
        <v>17846</v>
      </c>
      <c r="P2144" s="213" t="s">
        <v>17847</v>
      </c>
      <c r="Q2144" s="213" t="s">
        <v>17848</v>
      </c>
      <c r="R2144" s="213" t="s">
        <v>17849</v>
      </c>
      <c r="S2144" s="213" t="s">
        <v>17850</v>
      </c>
      <c r="T2144" s="213" t="s">
        <v>17851</v>
      </c>
      <c r="U2144" s="213" t="s">
        <v>70228</v>
      </c>
    </row>
    <row r="2145" spans="1:21" x14ac:dyDescent="0.25">
      <c r="A2145" s="213" t="s">
        <v>327</v>
      </c>
      <c r="D2145" s="213" t="s">
        <v>17852</v>
      </c>
      <c r="E2145" s="213" t="s">
        <v>17853</v>
      </c>
      <c r="K2145" s="213" t="s">
        <v>70133</v>
      </c>
      <c r="L2145" s="213" t="s">
        <v>70165</v>
      </c>
      <c r="M2145" s="213" t="s">
        <v>70197</v>
      </c>
      <c r="N2145" s="213" t="s">
        <v>17854</v>
      </c>
      <c r="O2145" s="213" t="s">
        <v>17855</v>
      </c>
      <c r="P2145" s="213" t="s">
        <v>17856</v>
      </c>
      <c r="Q2145" s="213" t="s">
        <v>17857</v>
      </c>
      <c r="R2145" s="213" t="s">
        <v>17858</v>
      </c>
      <c r="S2145" s="213" t="s">
        <v>17859</v>
      </c>
      <c r="T2145" s="213" t="s">
        <v>17860</v>
      </c>
      <c r="U2145" s="213" t="s">
        <v>70229</v>
      </c>
    </row>
    <row r="2146" spans="1:21" x14ac:dyDescent="0.25">
      <c r="A2146" s="213" t="s">
        <v>327</v>
      </c>
      <c r="D2146" s="213" t="s">
        <v>17861</v>
      </c>
      <c r="E2146" s="213" t="s">
        <v>17862</v>
      </c>
      <c r="K2146" s="213" t="s">
        <v>70134</v>
      </c>
      <c r="L2146" s="213" t="s">
        <v>70166</v>
      </c>
      <c r="M2146" s="213" t="s">
        <v>70198</v>
      </c>
      <c r="N2146" s="213" t="s">
        <v>17863</v>
      </c>
      <c r="O2146" s="213" t="s">
        <v>17864</v>
      </c>
      <c r="P2146" s="213" t="s">
        <v>17865</v>
      </c>
      <c r="Q2146" s="213" t="s">
        <v>17866</v>
      </c>
      <c r="R2146" s="213" t="s">
        <v>17867</v>
      </c>
      <c r="S2146" s="213" t="s">
        <v>17868</v>
      </c>
      <c r="T2146" s="213" t="s">
        <v>17869</v>
      </c>
      <c r="U2146" s="213" t="s">
        <v>70230</v>
      </c>
    </row>
    <row r="2147" spans="1:21" x14ac:dyDescent="0.25">
      <c r="A2147" s="213" t="s">
        <v>327</v>
      </c>
      <c r="D2147" s="213" t="s">
        <v>17870</v>
      </c>
      <c r="E2147" s="213" t="s">
        <v>17871</v>
      </c>
      <c r="K2147" s="213" t="s">
        <v>70135</v>
      </c>
      <c r="L2147" s="213" t="s">
        <v>70167</v>
      </c>
      <c r="M2147" s="213" t="s">
        <v>70199</v>
      </c>
      <c r="N2147" s="213" t="s">
        <v>17872</v>
      </c>
      <c r="O2147" s="213" t="s">
        <v>17873</v>
      </c>
      <c r="P2147" s="213" t="s">
        <v>17874</v>
      </c>
      <c r="Q2147" s="213" t="s">
        <v>17875</v>
      </c>
      <c r="R2147" s="213" t="s">
        <v>17876</v>
      </c>
      <c r="S2147" s="213" t="s">
        <v>17877</v>
      </c>
      <c r="T2147" s="213" t="s">
        <v>17878</v>
      </c>
      <c r="U2147" s="213" t="s">
        <v>70231</v>
      </c>
    </row>
    <row r="2148" spans="1:21" x14ac:dyDescent="0.25">
      <c r="A2148" s="213" t="s">
        <v>327</v>
      </c>
      <c r="D2148" s="213" t="s">
        <v>17879</v>
      </c>
      <c r="E2148" s="213" t="s">
        <v>17880</v>
      </c>
      <c r="K2148" s="213" t="s">
        <v>70136</v>
      </c>
      <c r="L2148" s="213" t="s">
        <v>70168</v>
      </c>
      <c r="M2148" s="213" t="s">
        <v>70200</v>
      </c>
      <c r="N2148" s="213" t="s">
        <v>17881</v>
      </c>
      <c r="O2148" s="213" t="s">
        <v>17882</v>
      </c>
      <c r="P2148" s="213" t="s">
        <v>17883</v>
      </c>
      <c r="Q2148" s="213" t="s">
        <v>17884</v>
      </c>
      <c r="R2148" s="213" t="s">
        <v>17885</v>
      </c>
      <c r="S2148" s="213" t="s">
        <v>17886</v>
      </c>
      <c r="T2148" s="213" t="s">
        <v>17887</v>
      </c>
      <c r="U2148" s="213" t="s">
        <v>70232</v>
      </c>
    </row>
    <row r="2149" spans="1:21" x14ac:dyDescent="0.25">
      <c r="A2149" s="213" t="s">
        <v>327</v>
      </c>
      <c r="D2149" s="213" t="s">
        <v>17888</v>
      </c>
      <c r="E2149" s="213" t="s">
        <v>17889</v>
      </c>
      <c r="K2149" s="213" t="s">
        <v>70137</v>
      </c>
      <c r="L2149" s="213" t="s">
        <v>70169</v>
      </c>
      <c r="M2149" s="213" t="s">
        <v>70201</v>
      </c>
      <c r="N2149" s="213" t="s">
        <v>17890</v>
      </c>
      <c r="O2149" s="213" t="s">
        <v>17891</v>
      </c>
      <c r="P2149" s="213" t="s">
        <v>17892</v>
      </c>
      <c r="Q2149" s="213" t="s">
        <v>17893</v>
      </c>
      <c r="R2149" s="213" t="s">
        <v>17894</v>
      </c>
      <c r="S2149" s="213" t="s">
        <v>17895</v>
      </c>
      <c r="T2149" s="213" t="s">
        <v>17896</v>
      </c>
      <c r="U2149" s="213" t="s">
        <v>70233</v>
      </c>
    </row>
    <row r="2150" spans="1:21" x14ac:dyDescent="0.25">
      <c r="A2150" s="213" t="s">
        <v>327</v>
      </c>
      <c r="D2150" s="213" t="s">
        <v>17897</v>
      </c>
      <c r="E2150" s="213" t="s">
        <v>17898</v>
      </c>
      <c r="K2150" s="213" t="s">
        <v>70138</v>
      </c>
      <c r="L2150" s="213" t="s">
        <v>70170</v>
      </c>
      <c r="M2150" s="213" t="s">
        <v>70202</v>
      </c>
      <c r="N2150" s="213" t="s">
        <v>17899</v>
      </c>
      <c r="O2150" s="213" t="s">
        <v>17900</v>
      </c>
      <c r="P2150" s="213" t="s">
        <v>17901</v>
      </c>
      <c r="Q2150" s="213" t="s">
        <v>17902</v>
      </c>
      <c r="R2150" s="213" t="s">
        <v>17903</v>
      </c>
      <c r="S2150" s="213" t="s">
        <v>17904</v>
      </c>
      <c r="T2150" s="213" t="s">
        <v>17905</v>
      </c>
      <c r="U2150" s="213" t="s">
        <v>70234</v>
      </c>
    </row>
    <row r="2151" spans="1:21" x14ac:dyDescent="0.25">
      <c r="A2151" s="213" t="s">
        <v>327</v>
      </c>
      <c r="D2151" s="213" t="s">
        <v>17906</v>
      </c>
      <c r="E2151" s="213" t="s">
        <v>17907</v>
      </c>
      <c r="K2151" s="213" t="s">
        <v>70139</v>
      </c>
      <c r="L2151" s="213" t="s">
        <v>70171</v>
      </c>
      <c r="M2151" s="213" t="s">
        <v>70203</v>
      </c>
      <c r="N2151" s="213" t="s">
        <v>17908</v>
      </c>
      <c r="O2151" s="213" t="s">
        <v>17909</v>
      </c>
      <c r="P2151" s="213" t="s">
        <v>17910</v>
      </c>
      <c r="Q2151" s="213" t="s">
        <v>17911</v>
      </c>
      <c r="R2151" s="213" t="s">
        <v>17912</v>
      </c>
      <c r="S2151" s="213" t="s">
        <v>17913</v>
      </c>
      <c r="T2151" s="213" t="s">
        <v>17914</v>
      </c>
      <c r="U2151" s="213" t="s">
        <v>70235</v>
      </c>
    </row>
    <row r="2152" spans="1:21" x14ac:dyDescent="0.25">
      <c r="A2152" s="213" t="s">
        <v>327</v>
      </c>
      <c r="D2152" s="213" t="s">
        <v>17915</v>
      </c>
      <c r="E2152" s="213" t="s">
        <v>17916</v>
      </c>
      <c r="K2152" s="213" t="s">
        <v>70140</v>
      </c>
      <c r="L2152" s="213" t="s">
        <v>70172</v>
      </c>
      <c r="M2152" s="213" t="s">
        <v>70204</v>
      </c>
      <c r="N2152" s="213" t="s">
        <v>17917</v>
      </c>
      <c r="O2152" s="213" t="s">
        <v>17918</v>
      </c>
      <c r="P2152" s="213" t="s">
        <v>17919</v>
      </c>
      <c r="Q2152" s="213" t="s">
        <v>17920</v>
      </c>
      <c r="R2152" s="213" t="s">
        <v>17921</v>
      </c>
      <c r="S2152" s="213" t="s">
        <v>17922</v>
      </c>
      <c r="T2152" s="213" t="s">
        <v>17923</v>
      </c>
      <c r="U2152" s="213" t="s">
        <v>70236</v>
      </c>
    </row>
    <row r="2153" spans="1:21" x14ac:dyDescent="0.25">
      <c r="A2153" s="213" t="s">
        <v>327</v>
      </c>
      <c r="D2153" s="213" t="s">
        <v>17924</v>
      </c>
      <c r="E2153" s="213" t="s">
        <v>17925</v>
      </c>
      <c r="K2153" s="213" t="s">
        <v>70141</v>
      </c>
      <c r="L2153" s="213" t="s">
        <v>70173</v>
      </c>
      <c r="M2153" s="213" t="s">
        <v>70205</v>
      </c>
      <c r="N2153" s="213" t="s">
        <v>17926</v>
      </c>
      <c r="O2153" s="213" t="s">
        <v>17927</v>
      </c>
      <c r="P2153" s="213" t="s">
        <v>17928</v>
      </c>
      <c r="Q2153" s="213" t="s">
        <v>17929</v>
      </c>
      <c r="R2153" s="213" t="s">
        <v>17930</v>
      </c>
      <c r="S2153" s="213" t="s">
        <v>17931</v>
      </c>
      <c r="T2153" s="213" t="s">
        <v>17932</v>
      </c>
      <c r="U2153" s="213" t="s">
        <v>70237</v>
      </c>
    </row>
    <row r="2154" spans="1:21" x14ac:dyDescent="0.25">
      <c r="A2154" s="213" t="s">
        <v>327</v>
      </c>
      <c r="D2154" s="213" t="s">
        <v>17933</v>
      </c>
      <c r="E2154" s="213" t="s">
        <v>17934</v>
      </c>
      <c r="K2154" s="213" t="s">
        <v>70142</v>
      </c>
      <c r="L2154" s="213" t="s">
        <v>70174</v>
      </c>
      <c r="M2154" s="213" t="s">
        <v>70206</v>
      </c>
      <c r="N2154" s="213" t="s">
        <v>17935</v>
      </c>
      <c r="O2154" s="213" t="s">
        <v>17936</v>
      </c>
      <c r="P2154" s="213" t="s">
        <v>17937</v>
      </c>
      <c r="Q2154" s="213" t="s">
        <v>17938</v>
      </c>
      <c r="R2154" s="213" t="s">
        <v>17939</v>
      </c>
      <c r="S2154" s="213" t="s">
        <v>17940</v>
      </c>
      <c r="T2154" s="213" t="s">
        <v>17941</v>
      </c>
      <c r="U2154" s="213" t="s">
        <v>70238</v>
      </c>
    </row>
    <row r="2155" spans="1:21" x14ac:dyDescent="0.25">
      <c r="A2155" s="213" t="s">
        <v>327</v>
      </c>
      <c r="D2155" s="213" t="s">
        <v>17942</v>
      </c>
      <c r="E2155" s="213" t="s">
        <v>17943</v>
      </c>
      <c r="K2155" s="213" t="s">
        <v>70143</v>
      </c>
      <c r="L2155" s="213" t="s">
        <v>70175</v>
      </c>
      <c r="M2155" s="213" t="s">
        <v>70207</v>
      </c>
      <c r="N2155" s="213" t="s">
        <v>17944</v>
      </c>
      <c r="O2155" s="213" t="s">
        <v>17945</v>
      </c>
      <c r="P2155" s="213" t="s">
        <v>17946</v>
      </c>
      <c r="Q2155" s="213" t="s">
        <v>17947</v>
      </c>
      <c r="R2155" s="213" t="s">
        <v>17948</v>
      </c>
      <c r="S2155" s="213" t="s">
        <v>17949</v>
      </c>
      <c r="T2155" s="213" t="s">
        <v>17950</v>
      </c>
      <c r="U2155" s="213" t="s">
        <v>70239</v>
      </c>
    </row>
    <row r="2156" spans="1:21" x14ac:dyDescent="0.25">
      <c r="A2156" s="213" t="s">
        <v>327</v>
      </c>
      <c r="D2156" s="213" t="s">
        <v>17951</v>
      </c>
      <c r="E2156" s="213" t="s">
        <v>17952</v>
      </c>
      <c r="K2156" s="213" t="s">
        <v>70144</v>
      </c>
      <c r="L2156" s="213" t="s">
        <v>70176</v>
      </c>
      <c r="M2156" s="213" t="s">
        <v>70208</v>
      </c>
      <c r="N2156" s="213" t="s">
        <v>17953</v>
      </c>
      <c r="O2156" s="213" t="s">
        <v>17954</v>
      </c>
      <c r="P2156" s="213" t="s">
        <v>17955</v>
      </c>
      <c r="Q2156" s="213" t="s">
        <v>17956</v>
      </c>
      <c r="R2156" s="213" t="s">
        <v>17957</v>
      </c>
      <c r="S2156" s="213" t="s">
        <v>17958</v>
      </c>
      <c r="T2156" s="213" t="s">
        <v>17959</v>
      </c>
      <c r="U2156" s="213" t="s">
        <v>70240</v>
      </c>
    </row>
    <row r="2157" spans="1:21" x14ac:dyDescent="0.25">
      <c r="A2157" s="213" t="s">
        <v>327</v>
      </c>
      <c r="D2157" s="213" t="s">
        <v>17960</v>
      </c>
      <c r="E2157" s="213" t="s">
        <v>17961</v>
      </c>
      <c r="K2157" s="213" t="s">
        <v>70145</v>
      </c>
      <c r="L2157" s="213" t="s">
        <v>70177</v>
      </c>
      <c r="M2157" s="213" t="s">
        <v>70209</v>
      </c>
      <c r="N2157" s="213" t="s">
        <v>17962</v>
      </c>
      <c r="O2157" s="213" t="s">
        <v>17963</v>
      </c>
      <c r="P2157" s="213" t="s">
        <v>17964</v>
      </c>
      <c r="Q2157" s="213" t="s">
        <v>17965</v>
      </c>
      <c r="R2157" s="213" t="s">
        <v>17966</v>
      </c>
      <c r="S2157" s="213" t="s">
        <v>17967</v>
      </c>
      <c r="T2157" s="213" t="s">
        <v>17968</v>
      </c>
      <c r="U2157" s="213" t="s">
        <v>70241</v>
      </c>
    </row>
    <row r="2158" spans="1:21" x14ac:dyDescent="0.25">
      <c r="A2158" s="213" t="s">
        <v>327</v>
      </c>
    </row>
    <row r="2159" spans="1:21" x14ac:dyDescent="0.25">
      <c r="A2159" s="213" t="s">
        <v>327</v>
      </c>
    </row>
    <row r="2160" spans="1:21" x14ac:dyDescent="0.25">
      <c r="A2160" s="213" t="s">
        <v>327</v>
      </c>
      <c r="C2160" s="213" t="s">
        <v>17969</v>
      </c>
      <c r="E2160" s="213" t="s">
        <v>17970</v>
      </c>
      <c r="H2160" s="213" t="s">
        <v>17971</v>
      </c>
      <c r="I2160" s="213" t="s">
        <v>17972</v>
      </c>
      <c r="J2160" s="213" t="s">
        <v>17973</v>
      </c>
      <c r="L2160" s="213" t="s">
        <v>17974</v>
      </c>
      <c r="O2160" s="213" t="s">
        <v>17975</v>
      </c>
      <c r="P2160" s="213" t="s">
        <v>17976</v>
      </c>
      <c r="Q2160" s="213" t="s">
        <v>17977</v>
      </c>
      <c r="R2160" s="213" t="s">
        <v>17978</v>
      </c>
      <c r="S2160" s="213" t="s">
        <v>17979</v>
      </c>
      <c r="T2160" s="213" t="s">
        <v>17980</v>
      </c>
    </row>
    <row r="2161" spans="1:21" x14ac:dyDescent="0.25">
      <c r="A2161" s="213" t="s">
        <v>327</v>
      </c>
      <c r="C2161" s="213" t="s">
        <v>17981</v>
      </c>
      <c r="E2161" s="213" t="s">
        <v>17982</v>
      </c>
      <c r="I2161" s="213" t="s">
        <v>17983</v>
      </c>
    </row>
    <row r="2162" spans="1:21" x14ac:dyDescent="0.25">
      <c r="A2162" s="213" t="s">
        <v>327</v>
      </c>
      <c r="C2162" s="213" t="s">
        <v>17984</v>
      </c>
      <c r="E2162" s="213" t="s">
        <v>17985</v>
      </c>
      <c r="I2162" s="213" t="s">
        <v>17986</v>
      </c>
    </row>
    <row r="2163" spans="1:21" x14ac:dyDescent="0.25">
      <c r="A2163" s="213" t="s">
        <v>328</v>
      </c>
    </row>
    <row r="2164" spans="1:21" x14ac:dyDescent="0.25">
      <c r="A2164" s="213" t="s">
        <v>327</v>
      </c>
      <c r="D2164" s="213" t="s">
        <v>17987</v>
      </c>
      <c r="E2164" s="213" t="s">
        <v>17988</v>
      </c>
      <c r="K2164" s="213" t="s">
        <v>69910</v>
      </c>
      <c r="L2164" s="213" t="s">
        <v>69961</v>
      </c>
      <c r="M2164" s="213" t="s">
        <v>70012</v>
      </c>
      <c r="N2164" s="213" t="s">
        <v>17989</v>
      </c>
      <c r="O2164" s="213" t="s">
        <v>17990</v>
      </c>
      <c r="P2164" s="213" t="s">
        <v>17991</v>
      </c>
      <c r="Q2164" s="213" t="s">
        <v>17992</v>
      </c>
      <c r="R2164" s="213" t="s">
        <v>17993</v>
      </c>
      <c r="S2164" s="213" t="s">
        <v>17994</v>
      </c>
      <c r="T2164" s="213" t="s">
        <v>17995</v>
      </c>
      <c r="U2164" s="213" t="s">
        <v>70063</v>
      </c>
    </row>
    <row r="2165" spans="1:21" x14ac:dyDescent="0.25">
      <c r="A2165" s="213" t="s">
        <v>327</v>
      </c>
      <c r="D2165" s="213" t="s">
        <v>17996</v>
      </c>
      <c r="E2165" s="213" t="s">
        <v>17997</v>
      </c>
      <c r="K2165" s="213" t="s">
        <v>69911</v>
      </c>
      <c r="L2165" s="213" t="s">
        <v>69962</v>
      </c>
      <c r="M2165" s="213" t="s">
        <v>70013</v>
      </c>
      <c r="N2165" s="213" t="s">
        <v>17998</v>
      </c>
      <c r="O2165" s="213" t="s">
        <v>17999</v>
      </c>
      <c r="P2165" s="213" t="s">
        <v>18000</v>
      </c>
      <c r="Q2165" s="213" t="s">
        <v>18001</v>
      </c>
      <c r="R2165" s="213" t="s">
        <v>18002</v>
      </c>
      <c r="S2165" s="213" t="s">
        <v>18003</v>
      </c>
      <c r="T2165" s="213" t="s">
        <v>18004</v>
      </c>
      <c r="U2165" s="213" t="s">
        <v>70064</v>
      </c>
    </row>
    <row r="2166" spans="1:21" x14ac:dyDescent="0.25">
      <c r="A2166" s="213" t="s">
        <v>327</v>
      </c>
      <c r="D2166" s="213" t="s">
        <v>18005</v>
      </c>
      <c r="E2166" s="213" t="s">
        <v>18006</v>
      </c>
      <c r="K2166" s="213" t="s">
        <v>69912</v>
      </c>
      <c r="L2166" s="213" t="s">
        <v>69963</v>
      </c>
      <c r="M2166" s="213" t="s">
        <v>70014</v>
      </c>
      <c r="N2166" s="213" t="s">
        <v>18007</v>
      </c>
      <c r="O2166" s="213" t="s">
        <v>18008</v>
      </c>
      <c r="P2166" s="213" t="s">
        <v>18009</v>
      </c>
      <c r="Q2166" s="213" t="s">
        <v>18010</v>
      </c>
      <c r="R2166" s="213" t="s">
        <v>18011</v>
      </c>
      <c r="S2166" s="213" t="s">
        <v>18012</v>
      </c>
      <c r="T2166" s="213" t="s">
        <v>18013</v>
      </c>
      <c r="U2166" s="213" t="s">
        <v>70065</v>
      </c>
    </row>
    <row r="2167" spans="1:21" x14ac:dyDescent="0.25">
      <c r="A2167" s="213" t="s">
        <v>327</v>
      </c>
      <c r="D2167" s="213" t="s">
        <v>18014</v>
      </c>
      <c r="E2167" s="213" t="s">
        <v>18015</v>
      </c>
      <c r="K2167" s="213" t="s">
        <v>69913</v>
      </c>
      <c r="L2167" s="213" t="s">
        <v>69964</v>
      </c>
      <c r="M2167" s="213" t="s">
        <v>70015</v>
      </c>
      <c r="N2167" s="213" t="s">
        <v>18016</v>
      </c>
      <c r="O2167" s="213" t="s">
        <v>18017</v>
      </c>
      <c r="P2167" s="213" t="s">
        <v>18018</v>
      </c>
      <c r="Q2167" s="213" t="s">
        <v>18019</v>
      </c>
      <c r="R2167" s="213" t="s">
        <v>18020</v>
      </c>
      <c r="S2167" s="213" t="s">
        <v>18021</v>
      </c>
      <c r="T2167" s="213" t="s">
        <v>18022</v>
      </c>
      <c r="U2167" s="213" t="s">
        <v>70066</v>
      </c>
    </row>
    <row r="2168" spans="1:21" x14ac:dyDescent="0.25">
      <c r="A2168" s="213" t="s">
        <v>327</v>
      </c>
      <c r="D2168" s="213" t="s">
        <v>18023</v>
      </c>
      <c r="E2168" s="213" t="s">
        <v>18024</v>
      </c>
      <c r="K2168" s="213" t="s">
        <v>69914</v>
      </c>
      <c r="L2168" s="213" t="s">
        <v>69965</v>
      </c>
      <c r="M2168" s="213" t="s">
        <v>70016</v>
      </c>
      <c r="N2168" s="213" t="s">
        <v>18025</v>
      </c>
      <c r="O2168" s="213" t="s">
        <v>18026</v>
      </c>
      <c r="P2168" s="213" t="s">
        <v>18027</v>
      </c>
      <c r="Q2168" s="213" t="s">
        <v>18028</v>
      </c>
      <c r="R2168" s="213" t="s">
        <v>18029</v>
      </c>
      <c r="S2168" s="213" t="s">
        <v>18030</v>
      </c>
      <c r="T2168" s="213" t="s">
        <v>18031</v>
      </c>
      <c r="U2168" s="213" t="s">
        <v>70067</v>
      </c>
    </row>
    <row r="2169" spans="1:21" x14ac:dyDescent="0.25">
      <c r="A2169" s="213" t="s">
        <v>327</v>
      </c>
      <c r="D2169" s="213" t="s">
        <v>18032</v>
      </c>
      <c r="E2169" s="213" t="s">
        <v>18033</v>
      </c>
      <c r="K2169" s="213" t="s">
        <v>69915</v>
      </c>
      <c r="L2169" s="213" t="s">
        <v>69966</v>
      </c>
      <c r="M2169" s="213" t="s">
        <v>70017</v>
      </c>
      <c r="N2169" s="213" t="s">
        <v>18034</v>
      </c>
      <c r="O2169" s="213" t="s">
        <v>18035</v>
      </c>
      <c r="P2169" s="213" t="s">
        <v>18036</v>
      </c>
      <c r="Q2169" s="213" t="s">
        <v>18037</v>
      </c>
      <c r="R2169" s="213" t="s">
        <v>18038</v>
      </c>
      <c r="S2169" s="213" t="s">
        <v>18039</v>
      </c>
      <c r="T2169" s="213" t="s">
        <v>18040</v>
      </c>
      <c r="U2169" s="213" t="s">
        <v>70068</v>
      </c>
    </row>
    <row r="2170" spans="1:21" x14ac:dyDescent="0.25">
      <c r="A2170" s="213" t="s">
        <v>327</v>
      </c>
      <c r="D2170" s="213" t="s">
        <v>18041</v>
      </c>
      <c r="E2170" s="213" t="s">
        <v>18042</v>
      </c>
      <c r="K2170" s="213" t="s">
        <v>69916</v>
      </c>
      <c r="L2170" s="213" t="s">
        <v>69967</v>
      </c>
      <c r="M2170" s="213" t="s">
        <v>70018</v>
      </c>
      <c r="N2170" s="213" t="s">
        <v>18043</v>
      </c>
      <c r="O2170" s="213" t="s">
        <v>18044</v>
      </c>
      <c r="P2170" s="213" t="s">
        <v>18045</v>
      </c>
      <c r="Q2170" s="213" t="s">
        <v>18046</v>
      </c>
      <c r="R2170" s="213" t="s">
        <v>18047</v>
      </c>
      <c r="S2170" s="213" t="s">
        <v>18048</v>
      </c>
      <c r="T2170" s="213" t="s">
        <v>18049</v>
      </c>
      <c r="U2170" s="213" t="s">
        <v>70069</v>
      </c>
    </row>
    <row r="2171" spans="1:21" x14ac:dyDescent="0.25">
      <c r="A2171" s="213" t="s">
        <v>327</v>
      </c>
      <c r="D2171" s="213" t="s">
        <v>18050</v>
      </c>
      <c r="E2171" s="213" t="s">
        <v>18051</v>
      </c>
      <c r="K2171" s="213" t="s">
        <v>69917</v>
      </c>
      <c r="L2171" s="213" t="s">
        <v>69968</v>
      </c>
      <c r="M2171" s="213" t="s">
        <v>70019</v>
      </c>
      <c r="N2171" s="213" t="s">
        <v>18052</v>
      </c>
      <c r="O2171" s="213" t="s">
        <v>18053</v>
      </c>
      <c r="P2171" s="213" t="s">
        <v>18054</v>
      </c>
      <c r="Q2171" s="213" t="s">
        <v>18055</v>
      </c>
      <c r="R2171" s="213" t="s">
        <v>18056</v>
      </c>
      <c r="S2171" s="213" t="s">
        <v>18057</v>
      </c>
      <c r="T2171" s="213" t="s">
        <v>18058</v>
      </c>
      <c r="U2171" s="213" t="s">
        <v>70070</v>
      </c>
    </row>
    <row r="2172" spans="1:21" x14ac:dyDescent="0.25">
      <c r="A2172" s="213" t="s">
        <v>327</v>
      </c>
      <c r="D2172" s="213" t="s">
        <v>18059</v>
      </c>
      <c r="E2172" s="213" t="s">
        <v>18060</v>
      </c>
      <c r="K2172" s="213" t="s">
        <v>69918</v>
      </c>
      <c r="L2172" s="213" t="s">
        <v>69969</v>
      </c>
      <c r="M2172" s="213" t="s">
        <v>70020</v>
      </c>
      <c r="N2172" s="213" t="s">
        <v>18061</v>
      </c>
      <c r="O2172" s="213" t="s">
        <v>18062</v>
      </c>
      <c r="P2172" s="213" t="s">
        <v>18063</v>
      </c>
      <c r="Q2172" s="213" t="s">
        <v>18064</v>
      </c>
      <c r="R2172" s="213" t="s">
        <v>18065</v>
      </c>
      <c r="S2172" s="213" t="s">
        <v>18066</v>
      </c>
      <c r="T2172" s="213" t="s">
        <v>18067</v>
      </c>
      <c r="U2172" s="213" t="s">
        <v>70071</v>
      </c>
    </row>
    <row r="2173" spans="1:21" x14ac:dyDescent="0.25">
      <c r="A2173" s="213" t="s">
        <v>327</v>
      </c>
      <c r="D2173" s="213" t="s">
        <v>18068</v>
      </c>
      <c r="E2173" s="213" t="s">
        <v>18069</v>
      </c>
      <c r="K2173" s="213" t="s">
        <v>69919</v>
      </c>
      <c r="L2173" s="213" t="s">
        <v>69970</v>
      </c>
      <c r="M2173" s="213" t="s">
        <v>70021</v>
      </c>
      <c r="N2173" s="213" t="s">
        <v>18070</v>
      </c>
      <c r="O2173" s="213" t="s">
        <v>18071</v>
      </c>
      <c r="P2173" s="213" t="s">
        <v>18072</v>
      </c>
      <c r="Q2173" s="213" t="s">
        <v>18073</v>
      </c>
      <c r="R2173" s="213" t="s">
        <v>18074</v>
      </c>
      <c r="S2173" s="213" t="s">
        <v>18075</v>
      </c>
      <c r="T2173" s="213" t="s">
        <v>18076</v>
      </c>
      <c r="U2173" s="213" t="s">
        <v>70072</v>
      </c>
    </row>
    <row r="2174" spans="1:21" x14ac:dyDescent="0.25">
      <c r="A2174" s="213" t="s">
        <v>327</v>
      </c>
      <c r="D2174" s="213" t="s">
        <v>18077</v>
      </c>
      <c r="E2174" s="213" t="s">
        <v>18078</v>
      </c>
      <c r="K2174" s="213" t="s">
        <v>69920</v>
      </c>
      <c r="L2174" s="213" t="s">
        <v>69971</v>
      </c>
      <c r="M2174" s="213" t="s">
        <v>70022</v>
      </c>
      <c r="N2174" s="213" t="s">
        <v>18079</v>
      </c>
      <c r="O2174" s="213" t="s">
        <v>18080</v>
      </c>
      <c r="P2174" s="213" t="s">
        <v>18081</v>
      </c>
      <c r="Q2174" s="213" t="s">
        <v>18082</v>
      </c>
      <c r="R2174" s="213" t="s">
        <v>18083</v>
      </c>
      <c r="S2174" s="213" t="s">
        <v>18084</v>
      </c>
      <c r="T2174" s="213" t="s">
        <v>18085</v>
      </c>
      <c r="U2174" s="213" t="s">
        <v>70073</v>
      </c>
    </row>
    <row r="2175" spans="1:21" x14ac:dyDescent="0.25">
      <c r="A2175" s="213" t="s">
        <v>327</v>
      </c>
      <c r="D2175" s="213" t="s">
        <v>18086</v>
      </c>
      <c r="E2175" s="213" t="s">
        <v>18087</v>
      </c>
      <c r="K2175" s="213" t="s">
        <v>69921</v>
      </c>
      <c r="L2175" s="213" t="s">
        <v>69972</v>
      </c>
      <c r="M2175" s="213" t="s">
        <v>70023</v>
      </c>
      <c r="N2175" s="213" t="s">
        <v>18088</v>
      </c>
      <c r="O2175" s="213" t="s">
        <v>18089</v>
      </c>
      <c r="P2175" s="213" t="s">
        <v>18090</v>
      </c>
      <c r="Q2175" s="213" t="s">
        <v>18091</v>
      </c>
      <c r="R2175" s="213" t="s">
        <v>18092</v>
      </c>
      <c r="S2175" s="213" t="s">
        <v>18093</v>
      </c>
      <c r="T2175" s="213" t="s">
        <v>18094</v>
      </c>
      <c r="U2175" s="213" t="s">
        <v>70074</v>
      </c>
    </row>
    <row r="2176" spans="1:21" x14ac:dyDescent="0.25">
      <c r="A2176" s="213" t="s">
        <v>327</v>
      </c>
      <c r="D2176" s="213" t="s">
        <v>18095</v>
      </c>
      <c r="E2176" s="213" t="s">
        <v>18096</v>
      </c>
      <c r="K2176" s="213" t="s">
        <v>69922</v>
      </c>
      <c r="L2176" s="213" t="s">
        <v>69973</v>
      </c>
      <c r="M2176" s="213" t="s">
        <v>70024</v>
      </c>
      <c r="N2176" s="213" t="s">
        <v>18097</v>
      </c>
      <c r="O2176" s="213" t="s">
        <v>18098</v>
      </c>
      <c r="P2176" s="213" t="s">
        <v>18099</v>
      </c>
      <c r="Q2176" s="213" t="s">
        <v>18100</v>
      </c>
      <c r="R2176" s="213" t="s">
        <v>18101</v>
      </c>
      <c r="S2176" s="213" t="s">
        <v>18102</v>
      </c>
      <c r="T2176" s="213" t="s">
        <v>18103</v>
      </c>
      <c r="U2176" s="213" t="s">
        <v>70075</v>
      </c>
    </row>
    <row r="2177" spans="1:21" x14ac:dyDescent="0.25">
      <c r="A2177" s="213" t="s">
        <v>327</v>
      </c>
      <c r="D2177" s="213" t="s">
        <v>18104</v>
      </c>
      <c r="E2177" s="213" t="s">
        <v>18105</v>
      </c>
      <c r="K2177" s="213" t="s">
        <v>69923</v>
      </c>
      <c r="L2177" s="213" t="s">
        <v>69974</v>
      </c>
      <c r="M2177" s="213" t="s">
        <v>70025</v>
      </c>
      <c r="N2177" s="213" t="s">
        <v>18106</v>
      </c>
      <c r="O2177" s="213" t="s">
        <v>18107</v>
      </c>
      <c r="P2177" s="213" t="s">
        <v>18108</v>
      </c>
      <c r="Q2177" s="213" t="s">
        <v>18109</v>
      </c>
      <c r="R2177" s="213" t="s">
        <v>18110</v>
      </c>
      <c r="S2177" s="213" t="s">
        <v>18111</v>
      </c>
      <c r="T2177" s="213" t="s">
        <v>18112</v>
      </c>
      <c r="U2177" s="213" t="s">
        <v>70076</v>
      </c>
    </row>
    <row r="2178" spans="1:21" x14ac:dyDescent="0.25">
      <c r="A2178" s="213" t="s">
        <v>327</v>
      </c>
      <c r="D2178" s="213" t="s">
        <v>18113</v>
      </c>
      <c r="E2178" s="213" t="s">
        <v>18114</v>
      </c>
      <c r="K2178" s="213" t="s">
        <v>69924</v>
      </c>
      <c r="L2178" s="213" t="s">
        <v>69975</v>
      </c>
      <c r="M2178" s="213" t="s">
        <v>70026</v>
      </c>
      <c r="N2178" s="213" t="s">
        <v>18115</v>
      </c>
      <c r="O2178" s="213" t="s">
        <v>18116</v>
      </c>
      <c r="P2178" s="213" t="s">
        <v>18117</v>
      </c>
      <c r="Q2178" s="213" t="s">
        <v>18118</v>
      </c>
      <c r="R2178" s="213" t="s">
        <v>18119</v>
      </c>
      <c r="S2178" s="213" t="s">
        <v>18120</v>
      </c>
      <c r="T2178" s="213" t="s">
        <v>18121</v>
      </c>
      <c r="U2178" s="213" t="s">
        <v>70077</v>
      </c>
    </row>
    <row r="2179" spans="1:21" x14ac:dyDescent="0.25">
      <c r="A2179" s="213" t="s">
        <v>327</v>
      </c>
      <c r="D2179" s="213" t="s">
        <v>18122</v>
      </c>
      <c r="E2179" s="213" t="s">
        <v>18123</v>
      </c>
      <c r="K2179" s="213" t="s">
        <v>69925</v>
      </c>
      <c r="L2179" s="213" t="s">
        <v>69976</v>
      </c>
      <c r="M2179" s="213" t="s">
        <v>70027</v>
      </c>
      <c r="N2179" s="213" t="s">
        <v>18124</v>
      </c>
      <c r="O2179" s="213" t="s">
        <v>18125</v>
      </c>
      <c r="P2179" s="213" t="s">
        <v>18126</v>
      </c>
      <c r="Q2179" s="213" t="s">
        <v>18127</v>
      </c>
      <c r="R2179" s="213" t="s">
        <v>18128</v>
      </c>
      <c r="S2179" s="213" t="s">
        <v>18129</v>
      </c>
      <c r="T2179" s="213" t="s">
        <v>18130</v>
      </c>
      <c r="U2179" s="213" t="s">
        <v>70078</v>
      </c>
    </row>
    <row r="2180" spans="1:21" x14ac:dyDescent="0.25">
      <c r="A2180" s="213" t="s">
        <v>327</v>
      </c>
      <c r="D2180" s="213" t="s">
        <v>18131</v>
      </c>
      <c r="E2180" s="213" t="s">
        <v>18132</v>
      </c>
      <c r="K2180" s="213" t="s">
        <v>69926</v>
      </c>
      <c r="L2180" s="213" t="s">
        <v>69977</v>
      </c>
      <c r="M2180" s="213" t="s">
        <v>70028</v>
      </c>
      <c r="N2180" s="213" t="s">
        <v>18133</v>
      </c>
      <c r="O2180" s="213" t="s">
        <v>18134</v>
      </c>
      <c r="P2180" s="213" t="s">
        <v>18135</v>
      </c>
      <c r="Q2180" s="213" t="s">
        <v>18136</v>
      </c>
      <c r="R2180" s="213" t="s">
        <v>18137</v>
      </c>
      <c r="S2180" s="213" t="s">
        <v>18138</v>
      </c>
      <c r="T2180" s="213" t="s">
        <v>18139</v>
      </c>
      <c r="U2180" s="213" t="s">
        <v>70079</v>
      </c>
    </row>
    <row r="2181" spans="1:21" x14ac:dyDescent="0.25">
      <c r="A2181" s="213" t="s">
        <v>327</v>
      </c>
      <c r="D2181" s="213" t="s">
        <v>18140</v>
      </c>
      <c r="E2181" s="213" t="s">
        <v>18141</v>
      </c>
      <c r="K2181" s="213" t="s">
        <v>69927</v>
      </c>
      <c r="L2181" s="213" t="s">
        <v>69978</v>
      </c>
      <c r="M2181" s="213" t="s">
        <v>70029</v>
      </c>
      <c r="N2181" s="213" t="s">
        <v>18142</v>
      </c>
      <c r="O2181" s="213" t="s">
        <v>18143</v>
      </c>
      <c r="P2181" s="213" t="s">
        <v>18144</v>
      </c>
      <c r="Q2181" s="213" t="s">
        <v>18145</v>
      </c>
      <c r="R2181" s="213" t="s">
        <v>18146</v>
      </c>
      <c r="S2181" s="213" t="s">
        <v>18147</v>
      </c>
      <c r="T2181" s="213" t="s">
        <v>18148</v>
      </c>
      <c r="U2181" s="213" t="s">
        <v>70080</v>
      </c>
    </row>
    <row r="2182" spans="1:21" x14ac:dyDescent="0.25">
      <c r="A2182" s="213" t="s">
        <v>327</v>
      </c>
      <c r="D2182" s="213" t="s">
        <v>18149</v>
      </c>
      <c r="E2182" s="213" t="s">
        <v>18150</v>
      </c>
      <c r="K2182" s="213" t="s">
        <v>69928</v>
      </c>
      <c r="L2182" s="213" t="s">
        <v>69979</v>
      </c>
      <c r="M2182" s="213" t="s">
        <v>70030</v>
      </c>
      <c r="N2182" s="213" t="s">
        <v>18151</v>
      </c>
      <c r="O2182" s="213" t="s">
        <v>18152</v>
      </c>
      <c r="P2182" s="213" t="s">
        <v>18153</v>
      </c>
      <c r="Q2182" s="213" t="s">
        <v>18154</v>
      </c>
      <c r="R2182" s="213" t="s">
        <v>18155</v>
      </c>
      <c r="S2182" s="213" t="s">
        <v>18156</v>
      </c>
      <c r="T2182" s="213" t="s">
        <v>18157</v>
      </c>
      <c r="U2182" s="213" t="s">
        <v>70081</v>
      </c>
    </row>
    <row r="2183" spans="1:21" x14ac:dyDescent="0.25">
      <c r="A2183" s="213" t="s">
        <v>327</v>
      </c>
      <c r="D2183" s="213" t="s">
        <v>18158</v>
      </c>
      <c r="E2183" s="213" t="s">
        <v>18159</v>
      </c>
      <c r="K2183" s="213" t="s">
        <v>69929</v>
      </c>
      <c r="L2183" s="213" t="s">
        <v>69980</v>
      </c>
      <c r="M2183" s="213" t="s">
        <v>70031</v>
      </c>
      <c r="N2183" s="213" t="s">
        <v>18160</v>
      </c>
      <c r="O2183" s="213" t="s">
        <v>18161</v>
      </c>
      <c r="P2183" s="213" t="s">
        <v>18162</v>
      </c>
      <c r="Q2183" s="213" t="s">
        <v>18163</v>
      </c>
      <c r="R2183" s="213" t="s">
        <v>18164</v>
      </c>
      <c r="S2183" s="213" t="s">
        <v>18165</v>
      </c>
      <c r="T2183" s="213" t="s">
        <v>18166</v>
      </c>
      <c r="U2183" s="213" t="s">
        <v>70082</v>
      </c>
    </row>
    <row r="2184" spans="1:21" x14ac:dyDescent="0.25">
      <c r="A2184" s="213" t="s">
        <v>327</v>
      </c>
      <c r="D2184" s="213" t="s">
        <v>18167</v>
      </c>
      <c r="E2184" s="213" t="s">
        <v>18168</v>
      </c>
      <c r="K2184" s="213" t="s">
        <v>69930</v>
      </c>
      <c r="L2184" s="213" t="s">
        <v>69981</v>
      </c>
      <c r="M2184" s="213" t="s">
        <v>70032</v>
      </c>
      <c r="N2184" s="213" t="s">
        <v>18169</v>
      </c>
      <c r="O2184" s="213" t="s">
        <v>18170</v>
      </c>
      <c r="P2184" s="213" t="s">
        <v>18171</v>
      </c>
      <c r="Q2184" s="213" t="s">
        <v>18172</v>
      </c>
      <c r="R2184" s="213" t="s">
        <v>18173</v>
      </c>
      <c r="S2184" s="213" t="s">
        <v>18174</v>
      </c>
      <c r="T2184" s="213" t="s">
        <v>18175</v>
      </c>
      <c r="U2184" s="213" t="s">
        <v>70083</v>
      </c>
    </row>
    <row r="2185" spans="1:21" x14ac:dyDescent="0.25">
      <c r="A2185" s="213" t="s">
        <v>327</v>
      </c>
      <c r="D2185" s="213" t="s">
        <v>18176</v>
      </c>
      <c r="E2185" s="213" t="s">
        <v>18177</v>
      </c>
      <c r="K2185" s="213" t="s">
        <v>69931</v>
      </c>
      <c r="L2185" s="213" t="s">
        <v>69982</v>
      </c>
      <c r="M2185" s="213" t="s">
        <v>70033</v>
      </c>
      <c r="N2185" s="213" t="s">
        <v>18178</v>
      </c>
      <c r="O2185" s="213" t="s">
        <v>18179</v>
      </c>
      <c r="P2185" s="213" t="s">
        <v>18180</v>
      </c>
      <c r="Q2185" s="213" t="s">
        <v>18181</v>
      </c>
      <c r="R2185" s="213" t="s">
        <v>18182</v>
      </c>
      <c r="S2185" s="213" t="s">
        <v>18183</v>
      </c>
      <c r="T2185" s="213" t="s">
        <v>18184</v>
      </c>
      <c r="U2185" s="213" t="s">
        <v>70084</v>
      </c>
    </row>
    <row r="2186" spans="1:21" x14ac:dyDescent="0.25">
      <c r="A2186" s="213" t="s">
        <v>327</v>
      </c>
      <c r="D2186" s="213" t="s">
        <v>18185</v>
      </c>
      <c r="E2186" s="213" t="s">
        <v>18186</v>
      </c>
      <c r="K2186" s="213" t="s">
        <v>69932</v>
      </c>
      <c r="L2186" s="213" t="s">
        <v>69983</v>
      </c>
      <c r="M2186" s="213" t="s">
        <v>70034</v>
      </c>
      <c r="N2186" s="213" t="s">
        <v>18187</v>
      </c>
      <c r="O2186" s="213" t="s">
        <v>18188</v>
      </c>
      <c r="P2186" s="213" t="s">
        <v>18189</v>
      </c>
      <c r="Q2186" s="213" t="s">
        <v>18190</v>
      </c>
      <c r="R2186" s="213" t="s">
        <v>18191</v>
      </c>
      <c r="S2186" s="213" t="s">
        <v>18192</v>
      </c>
      <c r="T2186" s="213" t="s">
        <v>18193</v>
      </c>
      <c r="U2186" s="213" t="s">
        <v>70085</v>
      </c>
    </row>
    <row r="2187" spans="1:21" x14ac:dyDescent="0.25">
      <c r="A2187" s="213" t="s">
        <v>327</v>
      </c>
      <c r="D2187" s="213" t="s">
        <v>18194</v>
      </c>
      <c r="E2187" s="213" t="s">
        <v>18195</v>
      </c>
      <c r="K2187" s="213" t="s">
        <v>69933</v>
      </c>
      <c r="L2187" s="213" t="s">
        <v>69984</v>
      </c>
      <c r="M2187" s="213" t="s">
        <v>70035</v>
      </c>
      <c r="N2187" s="213" t="s">
        <v>18196</v>
      </c>
      <c r="O2187" s="213" t="s">
        <v>18197</v>
      </c>
      <c r="P2187" s="213" t="s">
        <v>18198</v>
      </c>
      <c r="Q2187" s="213" t="s">
        <v>18199</v>
      </c>
      <c r="R2187" s="213" t="s">
        <v>18200</v>
      </c>
      <c r="S2187" s="213" t="s">
        <v>18201</v>
      </c>
      <c r="T2187" s="213" t="s">
        <v>18202</v>
      </c>
      <c r="U2187" s="213" t="s">
        <v>70086</v>
      </c>
    </row>
    <row r="2188" spans="1:21" x14ac:dyDescent="0.25">
      <c r="A2188" s="213" t="s">
        <v>327</v>
      </c>
      <c r="D2188" s="213" t="s">
        <v>18203</v>
      </c>
      <c r="E2188" s="213" t="s">
        <v>18204</v>
      </c>
      <c r="K2188" s="213" t="s">
        <v>69934</v>
      </c>
      <c r="L2188" s="213" t="s">
        <v>69985</v>
      </c>
      <c r="M2188" s="213" t="s">
        <v>70036</v>
      </c>
      <c r="N2188" s="213" t="s">
        <v>18205</v>
      </c>
      <c r="O2188" s="213" t="s">
        <v>18206</v>
      </c>
      <c r="P2188" s="213" t="s">
        <v>18207</v>
      </c>
      <c r="Q2188" s="213" t="s">
        <v>18208</v>
      </c>
      <c r="R2188" s="213" t="s">
        <v>18209</v>
      </c>
      <c r="S2188" s="213" t="s">
        <v>18210</v>
      </c>
      <c r="T2188" s="213" t="s">
        <v>18211</v>
      </c>
      <c r="U2188" s="213" t="s">
        <v>70087</v>
      </c>
    </row>
    <row r="2189" spans="1:21" x14ac:dyDescent="0.25">
      <c r="A2189" s="213" t="s">
        <v>327</v>
      </c>
      <c r="D2189" s="213" t="s">
        <v>18212</v>
      </c>
      <c r="E2189" s="213" t="s">
        <v>18213</v>
      </c>
      <c r="K2189" s="213" t="s">
        <v>69935</v>
      </c>
      <c r="L2189" s="213" t="s">
        <v>69986</v>
      </c>
      <c r="M2189" s="213" t="s">
        <v>70037</v>
      </c>
      <c r="N2189" s="213" t="s">
        <v>18214</v>
      </c>
      <c r="O2189" s="213" t="s">
        <v>18215</v>
      </c>
      <c r="P2189" s="213" t="s">
        <v>18216</v>
      </c>
      <c r="Q2189" s="213" t="s">
        <v>18217</v>
      </c>
      <c r="R2189" s="213" t="s">
        <v>18218</v>
      </c>
      <c r="S2189" s="213" t="s">
        <v>18219</v>
      </c>
      <c r="T2189" s="213" t="s">
        <v>18220</v>
      </c>
      <c r="U2189" s="213" t="s">
        <v>70088</v>
      </c>
    </row>
    <row r="2190" spans="1:21" x14ac:dyDescent="0.25">
      <c r="A2190" s="213" t="s">
        <v>327</v>
      </c>
      <c r="D2190" s="213" t="s">
        <v>18221</v>
      </c>
      <c r="E2190" s="213" t="s">
        <v>18222</v>
      </c>
      <c r="K2190" s="213" t="s">
        <v>69936</v>
      </c>
      <c r="L2190" s="213" t="s">
        <v>69987</v>
      </c>
      <c r="M2190" s="213" t="s">
        <v>70038</v>
      </c>
      <c r="N2190" s="213" t="s">
        <v>18223</v>
      </c>
      <c r="O2190" s="213" t="s">
        <v>18224</v>
      </c>
      <c r="P2190" s="213" t="s">
        <v>18225</v>
      </c>
      <c r="Q2190" s="213" t="s">
        <v>18226</v>
      </c>
      <c r="R2190" s="213" t="s">
        <v>18227</v>
      </c>
      <c r="S2190" s="213" t="s">
        <v>18228</v>
      </c>
      <c r="T2190" s="213" t="s">
        <v>18229</v>
      </c>
      <c r="U2190" s="213" t="s">
        <v>70089</v>
      </c>
    </row>
    <row r="2191" spans="1:21" x14ac:dyDescent="0.25">
      <c r="A2191" s="213" t="s">
        <v>327</v>
      </c>
      <c r="D2191" s="213" t="s">
        <v>18230</v>
      </c>
      <c r="E2191" s="213" t="s">
        <v>18231</v>
      </c>
      <c r="K2191" s="213" t="s">
        <v>69937</v>
      </c>
      <c r="L2191" s="213" t="s">
        <v>69988</v>
      </c>
      <c r="M2191" s="213" t="s">
        <v>70039</v>
      </c>
      <c r="N2191" s="213" t="s">
        <v>18232</v>
      </c>
      <c r="O2191" s="213" t="s">
        <v>18233</v>
      </c>
      <c r="P2191" s="213" t="s">
        <v>18234</v>
      </c>
      <c r="Q2191" s="213" t="s">
        <v>18235</v>
      </c>
      <c r="R2191" s="213" t="s">
        <v>18236</v>
      </c>
      <c r="S2191" s="213" t="s">
        <v>18237</v>
      </c>
      <c r="T2191" s="213" t="s">
        <v>18238</v>
      </c>
      <c r="U2191" s="213" t="s">
        <v>70090</v>
      </c>
    </row>
    <row r="2192" spans="1:21" x14ac:dyDescent="0.25">
      <c r="A2192" s="213" t="s">
        <v>327</v>
      </c>
      <c r="D2192" s="213" t="s">
        <v>18239</v>
      </c>
      <c r="E2192" s="213" t="s">
        <v>18240</v>
      </c>
      <c r="K2192" s="213" t="s">
        <v>69938</v>
      </c>
      <c r="L2192" s="213" t="s">
        <v>69989</v>
      </c>
      <c r="M2192" s="213" t="s">
        <v>70040</v>
      </c>
      <c r="N2192" s="213" t="s">
        <v>18241</v>
      </c>
      <c r="O2192" s="213" t="s">
        <v>18242</v>
      </c>
      <c r="P2192" s="213" t="s">
        <v>18243</v>
      </c>
      <c r="Q2192" s="213" t="s">
        <v>18244</v>
      </c>
      <c r="R2192" s="213" t="s">
        <v>18245</v>
      </c>
      <c r="S2192" s="213" t="s">
        <v>18246</v>
      </c>
      <c r="T2192" s="213" t="s">
        <v>18247</v>
      </c>
      <c r="U2192" s="213" t="s">
        <v>70091</v>
      </c>
    </row>
    <row r="2193" spans="1:21" x14ac:dyDescent="0.25">
      <c r="A2193" s="213" t="s">
        <v>327</v>
      </c>
      <c r="D2193" s="213" t="s">
        <v>18248</v>
      </c>
      <c r="E2193" s="213" t="s">
        <v>18249</v>
      </c>
      <c r="K2193" s="213" t="s">
        <v>69939</v>
      </c>
      <c r="L2193" s="213" t="s">
        <v>69990</v>
      </c>
      <c r="M2193" s="213" t="s">
        <v>70041</v>
      </c>
      <c r="N2193" s="213" t="s">
        <v>18250</v>
      </c>
      <c r="O2193" s="213" t="s">
        <v>18251</v>
      </c>
      <c r="P2193" s="213" t="s">
        <v>18252</v>
      </c>
      <c r="Q2193" s="213" t="s">
        <v>18253</v>
      </c>
      <c r="R2193" s="213" t="s">
        <v>18254</v>
      </c>
      <c r="S2193" s="213" t="s">
        <v>18255</v>
      </c>
      <c r="T2193" s="213" t="s">
        <v>18256</v>
      </c>
      <c r="U2193" s="213" t="s">
        <v>70092</v>
      </c>
    </row>
    <row r="2194" spans="1:21" x14ac:dyDescent="0.25">
      <c r="A2194" s="213" t="s">
        <v>327</v>
      </c>
      <c r="D2194" s="213" t="s">
        <v>18257</v>
      </c>
      <c r="E2194" s="213" t="s">
        <v>18258</v>
      </c>
      <c r="K2194" s="213" t="s">
        <v>69940</v>
      </c>
      <c r="L2194" s="213" t="s">
        <v>69991</v>
      </c>
      <c r="M2194" s="213" t="s">
        <v>70042</v>
      </c>
      <c r="N2194" s="213" t="s">
        <v>18259</v>
      </c>
      <c r="O2194" s="213" t="s">
        <v>18260</v>
      </c>
      <c r="P2194" s="213" t="s">
        <v>18261</v>
      </c>
      <c r="Q2194" s="213" t="s">
        <v>18262</v>
      </c>
      <c r="R2194" s="213" t="s">
        <v>18263</v>
      </c>
      <c r="S2194" s="213" t="s">
        <v>18264</v>
      </c>
      <c r="T2194" s="213" t="s">
        <v>18265</v>
      </c>
      <c r="U2194" s="213" t="s">
        <v>70093</v>
      </c>
    </row>
    <row r="2195" spans="1:21" x14ac:dyDescent="0.25">
      <c r="A2195" s="213" t="s">
        <v>327</v>
      </c>
      <c r="D2195" s="213" t="s">
        <v>18266</v>
      </c>
      <c r="E2195" s="213" t="s">
        <v>18267</v>
      </c>
      <c r="K2195" s="213" t="s">
        <v>69941</v>
      </c>
      <c r="L2195" s="213" t="s">
        <v>69992</v>
      </c>
      <c r="M2195" s="213" t="s">
        <v>70043</v>
      </c>
      <c r="N2195" s="213" t="s">
        <v>18268</v>
      </c>
      <c r="O2195" s="213" t="s">
        <v>18269</v>
      </c>
      <c r="P2195" s="213" t="s">
        <v>18270</v>
      </c>
      <c r="Q2195" s="213" t="s">
        <v>18271</v>
      </c>
      <c r="R2195" s="213" t="s">
        <v>18272</v>
      </c>
      <c r="S2195" s="213" t="s">
        <v>18273</v>
      </c>
      <c r="T2195" s="213" t="s">
        <v>18274</v>
      </c>
      <c r="U2195" s="213" t="s">
        <v>70094</v>
      </c>
    </row>
    <row r="2196" spans="1:21" x14ac:dyDescent="0.25">
      <c r="A2196" s="213" t="s">
        <v>327</v>
      </c>
      <c r="D2196" s="213" t="s">
        <v>18275</v>
      </c>
      <c r="E2196" s="213" t="s">
        <v>18276</v>
      </c>
      <c r="K2196" s="213" t="s">
        <v>69942</v>
      </c>
      <c r="L2196" s="213" t="s">
        <v>69993</v>
      </c>
      <c r="M2196" s="213" t="s">
        <v>70044</v>
      </c>
      <c r="N2196" s="213" t="s">
        <v>18277</v>
      </c>
      <c r="O2196" s="213" t="s">
        <v>18278</v>
      </c>
      <c r="P2196" s="213" t="s">
        <v>18279</v>
      </c>
      <c r="Q2196" s="213" t="s">
        <v>18280</v>
      </c>
      <c r="R2196" s="213" t="s">
        <v>18281</v>
      </c>
      <c r="S2196" s="213" t="s">
        <v>18282</v>
      </c>
      <c r="T2196" s="213" t="s">
        <v>18283</v>
      </c>
      <c r="U2196" s="213" t="s">
        <v>70095</v>
      </c>
    </row>
    <row r="2197" spans="1:21" x14ac:dyDescent="0.25">
      <c r="A2197" s="213" t="s">
        <v>327</v>
      </c>
      <c r="D2197" s="213" t="s">
        <v>18284</v>
      </c>
      <c r="E2197" s="213" t="s">
        <v>18285</v>
      </c>
      <c r="K2197" s="213" t="s">
        <v>69943</v>
      </c>
      <c r="L2197" s="213" t="s">
        <v>69994</v>
      </c>
      <c r="M2197" s="213" t="s">
        <v>70045</v>
      </c>
      <c r="N2197" s="213" t="s">
        <v>18286</v>
      </c>
      <c r="O2197" s="213" t="s">
        <v>18287</v>
      </c>
      <c r="P2197" s="213" t="s">
        <v>18288</v>
      </c>
      <c r="Q2197" s="213" t="s">
        <v>18289</v>
      </c>
      <c r="R2197" s="213" t="s">
        <v>18290</v>
      </c>
      <c r="S2197" s="213" t="s">
        <v>18291</v>
      </c>
      <c r="T2197" s="213" t="s">
        <v>18292</v>
      </c>
      <c r="U2197" s="213" t="s">
        <v>70096</v>
      </c>
    </row>
    <row r="2198" spans="1:21" x14ac:dyDescent="0.25">
      <c r="A2198" s="213" t="s">
        <v>327</v>
      </c>
      <c r="D2198" s="213" t="s">
        <v>18293</v>
      </c>
      <c r="E2198" s="213" t="s">
        <v>18294</v>
      </c>
      <c r="K2198" s="213" t="s">
        <v>69944</v>
      </c>
      <c r="L2198" s="213" t="s">
        <v>69995</v>
      </c>
      <c r="M2198" s="213" t="s">
        <v>70046</v>
      </c>
      <c r="N2198" s="213" t="s">
        <v>18295</v>
      </c>
      <c r="O2198" s="213" t="s">
        <v>18296</v>
      </c>
      <c r="P2198" s="213" t="s">
        <v>18297</v>
      </c>
      <c r="Q2198" s="213" t="s">
        <v>18298</v>
      </c>
      <c r="R2198" s="213" t="s">
        <v>18299</v>
      </c>
      <c r="S2198" s="213" t="s">
        <v>18300</v>
      </c>
      <c r="T2198" s="213" t="s">
        <v>18301</v>
      </c>
      <c r="U2198" s="213" t="s">
        <v>70097</v>
      </c>
    </row>
    <row r="2199" spans="1:21" x14ac:dyDescent="0.25">
      <c r="A2199" s="213" t="s">
        <v>327</v>
      </c>
      <c r="D2199" s="213" t="s">
        <v>18302</v>
      </c>
      <c r="E2199" s="213" t="s">
        <v>18303</v>
      </c>
      <c r="K2199" s="213" t="s">
        <v>69945</v>
      </c>
      <c r="L2199" s="213" t="s">
        <v>69996</v>
      </c>
      <c r="M2199" s="213" t="s">
        <v>70047</v>
      </c>
      <c r="N2199" s="213" t="s">
        <v>18304</v>
      </c>
      <c r="O2199" s="213" t="s">
        <v>18305</v>
      </c>
      <c r="P2199" s="213" t="s">
        <v>18306</v>
      </c>
      <c r="Q2199" s="213" t="s">
        <v>18307</v>
      </c>
      <c r="R2199" s="213" t="s">
        <v>18308</v>
      </c>
      <c r="S2199" s="213" t="s">
        <v>18309</v>
      </c>
      <c r="T2199" s="213" t="s">
        <v>18310</v>
      </c>
      <c r="U2199" s="213" t="s">
        <v>70098</v>
      </c>
    </row>
    <row r="2200" spans="1:21" x14ac:dyDescent="0.25">
      <c r="A2200" s="213" t="s">
        <v>327</v>
      </c>
      <c r="D2200" s="213" t="s">
        <v>18311</v>
      </c>
      <c r="E2200" s="213" t="s">
        <v>18312</v>
      </c>
      <c r="K2200" s="213" t="s">
        <v>69946</v>
      </c>
      <c r="L2200" s="213" t="s">
        <v>69997</v>
      </c>
      <c r="M2200" s="213" t="s">
        <v>70048</v>
      </c>
      <c r="N2200" s="213" t="s">
        <v>18313</v>
      </c>
      <c r="O2200" s="213" t="s">
        <v>18314</v>
      </c>
      <c r="P2200" s="213" t="s">
        <v>18315</v>
      </c>
      <c r="Q2200" s="213" t="s">
        <v>18316</v>
      </c>
      <c r="R2200" s="213" t="s">
        <v>18317</v>
      </c>
      <c r="S2200" s="213" t="s">
        <v>18318</v>
      </c>
      <c r="T2200" s="213" t="s">
        <v>18319</v>
      </c>
      <c r="U2200" s="213" t="s">
        <v>70099</v>
      </c>
    </row>
    <row r="2201" spans="1:21" x14ac:dyDescent="0.25">
      <c r="A2201" s="213" t="s">
        <v>327</v>
      </c>
      <c r="D2201" s="213" t="s">
        <v>18320</v>
      </c>
      <c r="E2201" s="213" t="s">
        <v>18321</v>
      </c>
      <c r="K2201" s="213" t="s">
        <v>69947</v>
      </c>
      <c r="L2201" s="213" t="s">
        <v>69998</v>
      </c>
      <c r="M2201" s="213" t="s">
        <v>70049</v>
      </c>
      <c r="N2201" s="213" t="s">
        <v>18322</v>
      </c>
      <c r="O2201" s="213" t="s">
        <v>18323</v>
      </c>
      <c r="P2201" s="213" t="s">
        <v>18324</v>
      </c>
      <c r="Q2201" s="213" t="s">
        <v>18325</v>
      </c>
      <c r="R2201" s="213" t="s">
        <v>18326</v>
      </c>
      <c r="S2201" s="213" t="s">
        <v>18327</v>
      </c>
      <c r="T2201" s="213" t="s">
        <v>18328</v>
      </c>
      <c r="U2201" s="213" t="s">
        <v>70100</v>
      </c>
    </row>
    <row r="2202" spans="1:21" x14ac:dyDescent="0.25">
      <c r="A2202" s="213" t="s">
        <v>327</v>
      </c>
      <c r="D2202" s="213" t="s">
        <v>18329</v>
      </c>
      <c r="E2202" s="213" t="s">
        <v>18330</v>
      </c>
      <c r="K2202" s="213" t="s">
        <v>69948</v>
      </c>
      <c r="L2202" s="213" t="s">
        <v>69999</v>
      </c>
      <c r="M2202" s="213" t="s">
        <v>70050</v>
      </c>
      <c r="N2202" s="213" t="s">
        <v>18331</v>
      </c>
      <c r="O2202" s="213" t="s">
        <v>18332</v>
      </c>
      <c r="P2202" s="213" t="s">
        <v>18333</v>
      </c>
      <c r="Q2202" s="213" t="s">
        <v>18334</v>
      </c>
      <c r="R2202" s="213" t="s">
        <v>18335</v>
      </c>
      <c r="S2202" s="213" t="s">
        <v>18336</v>
      </c>
      <c r="T2202" s="213" t="s">
        <v>18337</v>
      </c>
      <c r="U2202" s="213" t="s">
        <v>70101</v>
      </c>
    </row>
    <row r="2203" spans="1:21" x14ac:dyDescent="0.25">
      <c r="A2203" s="213" t="s">
        <v>327</v>
      </c>
      <c r="D2203" s="213" t="s">
        <v>18338</v>
      </c>
      <c r="E2203" s="213" t="s">
        <v>18339</v>
      </c>
      <c r="K2203" s="213" t="s">
        <v>69949</v>
      </c>
      <c r="L2203" s="213" t="s">
        <v>70000</v>
      </c>
      <c r="M2203" s="213" t="s">
        <v>70051</v>
      </c>
      <c r="N2203" s="213" t="s">
        <v>18340</v>
      </c>
      <c r="O2203" s="213" t="s">
        <v>18341</v>
      </c>
      <c r="P2203" s="213" t="s">
        <v>18342</v>
      </c>
      <c r="Q2203" s="213" t="s">
        <v>18343</v>
      </c>
      <c r="R2203" s="213" t="s">
        <v>18344</v>
      </c>
      <c r="S2203" s="213" t="s">
        <v>18345</v>
      </c>
      <c r="T2203" s="213" t="s">
        <v>18346</v>
      </c>
      <c r="U2203" s="213" t="s">
        <v>70102</v>
      </c>
    </row>
    <row r="2204" spans="1:21" x14ac:dyDescent="0.25">
      <c r="A2204" s="213" t="s">
        <v>327</v>
      </c>
      <c r="D2204" s="213" t="s">
        <v>18347</v>
      </c>
      <c r="E2204" s="213" t="s">
        <v>18348</v>
      </c>
      <c r="K2204" s="213" t="s">
        <v>69950</v>
      </c>
      <c r="L2204" s="213" t="s">
        <v>70001</v>
      </c>
      <c r="M2204" s="213" t="s">
        <v>70052</v>
      </c>
      <c r="N2204" s="213" t="s">
        <v>18349</v>
      </c>
      <c r="O2204" s="213" t="s">
        <v>18350</v>
      </c>
      <c r="P2204" s="213" t="s">
        <v>18351</v>
      </c>
      <c r="Q2204" s="213" t="s">
        <v>18352</v>
      </c>
      <c r="R2204" s="213" t="s">
        <v>18353</v>
      </c>
      <c r="S2204" s="213" t="s">
        <v>18354</v>
      </c>
      <c r="T2204" s="213" t="s">
        <v>18355</v>
      </c>
      <c r="U2204" s="213" t="s">
        <v>70103</v>
      </c>
    </row>
    <row r="2205" spans="1:21" x14ac:dyDescent="0.25">
      <c r="A2205" s="213" t="s">
        <v>327</v>
      </c>
      <c r="D2205" s="213" t="s">
        <v>18356</v>
      </c>
      <c r="E2205" s="213" t="s">
        <v>18357</v>
      </c>
      <c r="K2205" s="213" t="s">
        <v>69951</v>
      </c>
      <c r="L2205" s="213" t="s">
        <v>70002</v>
      </c>
      <c r="M2205" s="213" t="s">
        <v>70053</v>
      </c>
      <c r="N2205" s="213" t="s">
        <v>18358</v>
      </c>
      <c r="O2205" s="213" t="s">
        <v>18359</v>
      </c>
      <c r="P2205" s="213" t="s">
        <v>18360</v>
      </c>
      <c r="Q2205" s="213" t="s">
        <v>18361</v>
      </c>
      <c r="R2205" s="213" t="s">
        <v>18362</v>
      </c>
      <c r="S2205" s="213" t="s">
        <v>18363</v>
      </c>
      <c r="T2205" s="213" t="s">
        <v>18364</v>
      </c>
      <c r="U2205" s="213" t="s">
        <v>70104</v>
      </c>
    </row>
    <row r="2206" spans="1:21" x14ac:dyDescent="0.25">
      <c r="A2206" s="213" t="s">
        <v>327</v>
      </c>
      <c r="D2206" s="213" t="s">
        <v>18365</v>
      </c>
      <c r="E2206" s="213" t="s">
        <v>18366</v>
      </c>
      <c r="K2206" s="213" t="s">
        <v>69952</v>
      </c>
      <c r="L2206" s="213" t="s">
        <v>70003</v>
      </c>
      <c r="M2206" s="213" t="s">
        <v>70054</v>
      </c>
      <c r="N2206" s="213" t="s">
        <v>18367</v>
      </c>
      <c r="O2206" s="213" t="s">
        <v>18368</v>
      </c>
      <c r="P2206" s="213" t="s">
        <v>18369</v>
      </c>
      <c r="Q2206" s="213" t="s">
        <v>18370</v>
      </c>
      <c r="R2206" s="213" t="s">
        <v>18371</v>
      </c>
      <c r="S2206" s="213" t="s">
        <v>18372</v>
      </c>
      <c r="T2206" s="213" t="s">
        <v>18373</v>
      </c>
      <c r="U2206" s="213" t="s">
        <v>70105</v>
      </c>
    </row>
    <row r="2207" spans="1:21" x14ac:dyDescent="0.25">
      <c r="A2207" s="213" t="s">
        <v>327</v>
      </c>
      <c r="D2207" s="213" t="s">
        <v>18374</v>
      </c>
      <c r="E2207" s="213" t="s">
        <v>18375</v>
      </c>
      <c r="K2207" s="213" t="s">
        <v>69953</v>
      </c>
      <c r="L2207" s="213" t="s">
        <v>70004</v>
      </c>
      <c r="M2207" s="213" t="s">
        <v>70055</v>
      </c>
      <c r="N2207" s="213" t="s">
        <v>18376</v>
      </c>
      <c r="O2207" s="213" t="s">
        <v>18377</v>
      </c>
      <c r="P2207" s="213" t="s">
        <v>18378</v>
      </c>
      <c r="Q2207" s="213" t="s">
        <v>18379</v>
      </c>
      <c r="R2207" s="213" t="s">
        <v>18380</v>
      </c>
      <c r="S2207" s="213" t="s">
        <v>18381</v>
      </c>
      <c r="T2207" s="213" t="s">
        <v>18382</v>
      </c>
      <c r="U2207" s="213" t="s">
        <v>70106</v>
      </c>
    </row>
    <row r="2208" spans="1:21" x14ac:dyDescent="0.25">
      <c r="A2208" s="213" t="s">
        <v>327</v>
      </c>
      <c r="D2208" s="213" t="s">
        <v>18383</v>
      </c>
      <c r="E2208" s="213" t="s">
        <v>18384</v>
      </c>
      <c r="K2208" s="213" t="s">
        <v>69954</v>
      </c>
      <c r="L2208" s="213" t="s">
        <v>70005</v>
      </c>
      <c r="M2208" s="213" t="s">
        <v>70056</v>
      </c>
      <c r="N2208" s="213" t="s">
        <v>18385</v>
      </c>
      <c r="O2208" s="213" t="s">
        <v>18386</v>
      </c>
      <c r="P2208" s="213" t="s">
        <v>18387</v>
      </c>
      <c r="Q2208" s="213" t="s">
        <v>18388</v>
      </c>
      <c r="R2208" s="213" t="s">
        <v>18389</v>
      </c>
      <c r="S2208" s="213" t="s">
        <v>18390</v>
      </c>
      <c r="T2208" s="213" t="s">
        <v>18391</v>
      </c>
      <c r="U2208" s="213" t="s">
        <v>70107</v>
      </c>
    </row>
    <row r="2209" spans="1:21" x14ac:dyDescent="0.25">
      <c r="A2209" s="213" t="s">
        <v>327</v>
      </c>
      <c r="D2209" s="213" t="s">
        <v>18392</v>
      </c>
      <c r="E2209" s="213" t="s">
        <v>18393</v>
      </c>
      <c r="K2209" s="213" t="s">
        <v>69955</v>
      </c>
      <c r="L2209" s="213" t="s">
        <v>70006</v>
      </c>
      <c r="M2209" s="213" t="s">
        <v>70057</v>
      </c>
      <c r="N2209" s="213" t="s">
        <v>18394</v>
      </c>
      <c r="O2209" s="213" t="s">
        <v>18395</v>
      </c>
      <c r="P2209" s="213" t="s">
        <v>18396</v>
      </c>
      <c r="Q2209" s="213" t="s">
        <v>18397</v>
      </c>
      <c r="R2209" s="213" t="s">
        <v>18398</v>
      </c>
      <c r="S2209" s="213" t="s">
        <v>18399</v>
      </c>
      <c r="T2209" s="213" t="s">
        <v>18400</v>
      </c>
      <c r="U2209" s="213" t="s">
        <v>70108</v>
      </c>
    </row>
    <row r="2210" spans="1:21" x14ac:dyDescent="0.25">
      <c r="A2210" s="213" t="s">
        <v>327</v>
      </c>
      <c r="D2210" s="213" t="s">
        <v>18401</v>
      </c>
      <c r="E2210" s="213" t="s">
        <v>18402</v>
      </c>
      <c r="K2210" s="213" t="s">
        <v>69956</v>
      </c>
      <c r="L2210" s="213" t="s">
        <v>70007</v>
      </c>
      <c r="M2210" s="213" t="s">
        <v>70058</v>
      </c>
      <c r="N2210" s="213" t="s">
        <v>18403</v>
      </c>
      <c r="O2210" s="213" t="s">
        <v>18404</v>
      </c>
      <c r="P2210" s="213" t="s">
        <v>18405</v>
      </c>
      <c r="Q2210" s="213" t="s">
        <v>18406</v>
      </c>
      <c r="R2210" s="213" t="s">
        <v>18407</v>
      </c>
      <c r="S2210" s="213" t="s">
        <v>18408</v>
      </c>
      <c r="T2210" s="213" t="s">
        <v>18409</v>
      </c>
      <c r="U2210" s="213" t="s">
        <v>70109</v>
      </c>
    </row>
    <row r="2211" spans="1:21" x14ac:dyDescent="0.25">
      <c r="A2211" s="213" t="s">
        <v>327</v>
      </c>
      <c r="D2211" s="213" t="s">
        <v>18410</v>
      </c>
      <c r="E2211" s="213" t="s">
        <v>18411</v>
      </c>
      <c r="K2211" s="213" t="s">
        <v>69957</v>
      </c>
      <c r="L2211" s="213" t="s">
        <v>70008</v>
      </c>
      <c r="M2211" s="213" t="s">
        <v>70059</v>
      </c>
      <c r="N2211" s="213" t="s">
        <v>18412</v>
      </c>
      <c r="O2211" s="213" t="s">
        <v>18413</v>
      </c>
      <c r="P2211" s="213" t="s">
        <v>18414</v>
      </c>
      <c r="Q2211" s="213" t="s">
        <v>18415</v>
      </c>
      <c r="R2211" s="213" t="s">
        <v>18416</v>
      </c>
      <c r="S2211" s="213" t="s">
        <v>18417</v>
      </c>
      <c r="T2211" s="213" t="s">
        <v>18418</v>
      </c>
      <c r="U2211" s="213" t="s">
        <v>70110</v>
      </c>
    </row>
    <row r="2212" spans="1:21" x14ac:dyDescent="0.25">
      <c r="A2212" s="213" t="s">
        <v>327</v>
      </c>
      <c r="D2212" s="213" t="s">
        <v>18419</v>
      </c>
      <c r="E2212" s="213" t="s">
        <v>18420</v>
      </c>
      <c r="K2212" s="213" t="s">
        <v>69958</v>
      </c>
      <c r="L2212" s="213" t="s">
        <v>70009</v>
      </c>
      <c r="M2212" s="213" t="s">
        <v>70060</v>
      </c>
      <c r="N2212" s="213" t="s">
        <v>18421</v>
      </c>
      <c r="O2212" s="213" t="s">
        <v>18422</v>
      </c>
      <c r="P2212" s="213" t="s">
        <v>18423</v>
      </c>
      <c r="Q2212" s="213" t="s">
        <v>18424</v>
      </c>
      <c r="R2212" s="213" t="s">
        <v>18425</v>
      </c>
      <c r="S2212" s="213" t="s">
        <v>18426</v>
      </c>
      <c r="T2212" s="213" t="s">
        <v>18427</v>
      </c>
      <c r="U2212" s="213" t="s">
        <v>70111</v>
      </c>
    </row>
    <row r="2213" spans="1:21" x14ac:dyDescent="0.25">
      <c r="A2213" s="213" t="s">
        <v>327</v>
      </c>
      <c r="D2213" s="213" t="s">
        <v>18428</v>
      </c>
      <c r="E2213" s="213" t="s">
        <v>18429</v>
      </c>
      <c r="K2213" s="213" t="s">
        <v>69959</v>
      </c>
      <c r="L2213" s="213" t="s">
        <v>70010</v>
      </c>
      <c r="M2213" s="213" t="s">
        <v>70061</v>
      </c>
      <c r="N2213" s="213" t="s">
        <v>18430</v>
      </c>
      <c r="O2213" s="213" t="s">
        <v>18431</v>
      </c>
      <c r="P2213" s="213" t="s">
        <v>18432</v>
      </c>
      <c r="Q2213" s="213" t="s">
        <v>18433</v>
      </c>
      <c r="R2213" s="213" t="s">
        <v>18434</v>
      </c>
      <c r="S2213" s="213" t="s">
        <v>18435</v>
      </c>
      <c r="T2213" s="213" t="s">
        <v>18436</v>
      </c>
      <c r="U2213" s="213" t="s">
        <v>70112</v>
      </c>
    </row>
    <row r="2214" spans="1:21" x14ac:dyDescent="0.25">
      <c r="A2214" s="213" t="s">
        <v>327</v>
      </c>
      <c r="D2214" s="213" t="s">
        <v>18437</v>
      </c>
      <c r="E2214" s="213" t="s">
        <v>18438</v>
      </c>
      <c r="K2214" s="213" t="s">
        <v>69960</v>
      </c>
      <c r="L2214" s="213" t="s">
        <v>70011</v>
      </c>
      <c r="M2214" s="213" t="s">
        <v>70062</v>
      </c>
      <c r="N2214" s="213" t="s">
        <v>18439</v>
      </c>
      <c r="O2214" s="213" t="s">
        <v>18440</v>
      </c>
      <c r="P2214" s="213" t="s">
        <v>18441</v>
      </c>
      <c r="Q2214" s="213" t="s">
        <v>18442</v>
      </c>
      <c r="R2214" s="213" t="s">
        <v>18443</v>
      </c>
      <c r="S2214" s="213" t="s">
        <v>18444</v>
      </c>
      <c r="T2214" s="213" t="s">
        <v>18445</v>
      </c>
      <c r="U2214" s="213" t="s">
        <v>70113</v>
      </c>
    </row>
    <row r="2215" spans="1:21" x14ac:dyDescent="0.25">
      <c r="A2215" s="213" t="s">
        <v>327</v>
      </c>
    </row>
    <row r="2216" spans="1:21" x14ac:dyDescent="0.25">
      <c r="A2216" s="213" t="s">
        <v>327</v>
      </c>
    </row>
    <row r="2217" spans="1:21" x14ac:dyDescent="0.25">
      <c r="A2217" s="213" t="s">
        <v>327</v>
      </c>
      <c r="C2217" s="213" t="s">
        <v>18446</v>
      </c>
      <c r="E2217" s="213" t="s">
        <v>18447</v>
      </c>
      <c r="H2217" s="213" t="s">
        <v>18448</v>
      </c>
      <c r="I2217" s="213" t="s">
        <v>18449</v>
      </c>
      <c r="J2217" s="213" t="s">
        <v>18450</v>
      </c>
      <c r="L2217" s="213" t="s">
        <v>18451</v>
      </c>
      <c r="O2217" s="213" t="s">
        <v>18452</v>
      </c>
      <c r="P2217" s="213" t="s">
        <v>18453</v>
      </c>
      <c r="Q2217" s="213" t="s">
        <v>18454</v>
      </c>
      <c r="R2217" s="213" t="s">
        <v>18455</v>
      </c>
      <c r="S2217" s="213" t="s">
        <v>18456</v>
      </c>
      <c r="T2217" s="213" t="s">
        <v>18457</v>
      </c>
    </row>
    <row r="2218" spans="1:21" x14ac:dyDescent="0.25">
      <c r="A2218" s="213" t="s">
        <v>327</v>
      </c>
      <c r="C2218" s="213" t="s">
        <v>18458</v>
      </c>
      <c r="E2218" s="213" t="s">
        <v>18459</v>
      </c>
      <c r="I2218" s="213" t="s">
        <v>18460</v>
      </c>
    </row>
    <row r="2219" spans="1:21" x14ac:dyDescent="0.25">
      <c r="A2219" s="213" t="s">
        <v>327</v>
      </c>
      <c r="C2219" s="213" t="s">
        <v>18461</v>
      </c>
      <c r="E2219" s="213" t="s">
        <v>18462</v>
      </c>
      <c r="I2219" s="213" t="s">
        <v>18463</v>
      </c>
    </row>
    <row r="2220" spans="1:21" x14ac:dyDescent="0.25">
      <c r="A2220" s="213" t="s">
        <v>328</v>
      </c>
    </row>
    <row r="2221" spans="1:21" x14ac:dyDescent="0.25">
      <c r="A2221" s="213" t="s">
        <v>327</v>
      </c>
      <c r="D2221" s="213" t="s">
        <v>18464</v>
      </c>
      <c r="E2221" s="213" t="s">
        <v>18465</v>
      </c>
      <c r="K2221" s="213" t="s">
        <v>69830</v>
      </c>
      <c r="L2221" s="213" t="s">
        <v>69850</v>
      </c>
      <c r="M2221" s="213" t="s">
        <v>69870</v>
      </c>
      <c r="N2221" s="213" t="s">
        <v>18466</v>
      </c>
      <c r="O2221" s="213" t="s">
        <v>18467</v>
      </c>
      <c r="P2221" s="213" t="s">
        <v>18468</v>
      </c>
      <c r="Q2221" s="213" t="s">
        <v>18469</v>
      </c>
      <c r="R2221" s="213" t="s">
        <v>18470</v>
      </c>
      <c r="S2221" s="213" t="s">
        <v>18471</v>
      </c>
      <c r="T2221" s="213" t="s">
        <v>18472</v>
      </c>
      <c r="U2221" s="213" t="s">
        <v>69890</v>
      </c>
    </row>
    <row r="2222" spans="1:21" x14ac:dyDescent="0.25">
      <c r="A2222" s="213" t="s">
        <v>327</v>
      </c>
      <c r="D2222" s="213" t="s">
        <v>18473</v>
      </c>
      <c r="E2222" s="213" t="s">
        <v>18474</v>
      </c>
      <c r="K2222" s="213" t="s">
        <v>69831</v>
      </c>
      <c r="L2222" s="213" t="s">
        <v>69851</v>
      </c>
      <c r="M2222" s="213" t="s">
        <v>69871</v>
      </c>
      <c r="N2222" s="213" t="s">
        <v>18475</v>
      </c>
      <c r="O2222" s="213" t="s">
        <v>18476</v>
      </c>
      <c r="P2222" s="213" t="s">
        <v>18477</v>
      </c>
      <c r="Q2222" s="213" t="s">
        <v>18478</v>
      </c>
      <c r="R2222" s="213" t="s">
        <v>18479</v>
      </c>
      <c r="S2222" s="213" t="s">
        <v>18480</v>
      </c>
      <c r="T2222" s="213" t="s">
        <v>18481</v>
      </c>
      <c r="U2222" s="213" t="s">
        <v>69891</v>
      </c>
    </row>
    <row r="2223" spans="1:21" x14ac:dyDescent="0.25">
      <c r="A2223" s="213" t="s">
        <v>327</v>
      </c>
      <c r="D2223" s="213" t="s">
        <v>18482</v>
      </c>
      <c r="E2223" s="213" t="s">
        <v>18483</v>
      </c>
      <c r="K2223" s="213" t="s">
        <v>69832</v>
      </c>
      <c r="L2223" s="213" t="s">
        <v>69852</v>
      </c>
      <c r="M2223" s="213" t="s">
        <v>69872</v>
      </c>
      <c r="N2223" s="213" t="s">
        <v>18484</v>
      </c>
      <c r="O2223" s="213" t="s">
        <v>18485</v>
      </c>
      <c r="P2223" s="213" t="s">
        <v>18486</v>
      </c>
      <c r="Q2223" s="213" t="s">
        <v>18487</v>
      </c>
      <c r="R2223" s="213" t="s">
        <v>18488</v>
      </c>
      <c r="S2223" s="213" t="s">
        <v>18489</v>
      </c>
      <c r="T2223" s="213" t="s">
        <v>18490</v>
      </c>
      <c r="U2223" s="213" t="s">
        <v>69892</v>
      </c>
    </row>
    <row r="2224" spans="1:21" x14ac:dyDescent="0.25">
      <c r="A2224" s="213" t="s">
        <v>327</v>
      </c>
      <c r="D2224" s="213" t="s">
        <v>18491</v>
      </c>
      <c r="E2224" s="213" t="s">
        <v>18492</v>
      </c>
      <c r="K2224" s="213" t="s">
        <v>69833</v>
      </c>
      <c r="L2224" s="213" t="s">
        <v>69853</v>
      </c>
      <c r="M2224" s="213" t="s">
        <v>69873</v>
      </c>
      <c r="N2224" s="213" t="s">
        <v>18493</v>
      </c>
      <c r="O2224" s="213" t="s">
        <v>18494</v>
      </c>
      <c r="P2224" s="213" t="s">
        <v>18495</v>
      </c>
      <c r="Q2224" s="213" t="s">
        <v>18496</v>
      </c>
      <c r="R2224" s="213" t="s">
        <v>18497</v>
      </c>
      <c r="S2224" s="213" t="s">
        <v>18498</v>
      </c>
      <c r="T2224" s="213" t="s">
        <v>18499</v>
      </c>
      <c r="U2224" s="213" t="s">
        <v>69893</v>
      </c>
    </row>
    <row r="2225" spans="1:21" x14ac:dyDescent="0.25">
      <c r="A2225" s="213" t="s">
        <v>327</v>
      </c>
      <c r="D2225" s="213" t="s">
        <v>18500</v>
      </c>
      <c r="E2225" s="213" t="s">
        <v>18501</v>
      </c>
      <c r="K2225" s="213" t="s">
        <v>69834</v>
      </c>
      <c r="L2225" s="213" t="s">
        <v>69854</v>
      </c>
      <c r="M2225" s="213" t="s">
        <v>69874</v>
      </c>
      <c r="N2225" s="213" t="s">
        <v>18502</v>
      </c>
      <c r="O2225" s="213" t="s">
        <v>18503</v>
      </c>
      <c r="P2225" s="213" t="s">
        <v>18504</v>
      </c>
      <c r="Q2225" s="213" t="s">
        <v>18505</v>
      </c>
      <c r="R2225" s="213" t="s">
        <v>18506</v>
      </c>
      <c r="S2225" s="213" t="s">
        <v>18507</v>
      </c>
      <c r="T2225" s="213" t="s">
        <v>18508</v>
      </c>
      <c r="U2225" s="213" t="s">
        <v>69894</v>
      </c>
    </row>
    <row r="2226" spans="1:21" x14ac:dyDescent="0.25">
      <c r="A2226" s="213" t="s">
        <v>327</v>
      </c>
      <c r="D2226" s="213" t="s">
        <v>18509</v>
      </c>
      <c r="E2226" s="213" t="s">
        <v>18510</v>
      </c>
      <c r="K2226" s="213" t="s">
        <v>69835</v>
      </c>
      <c r="L2226" s="213" t="s">
        <v>69855</v>
      </c>
      <c r="M2226" s="213" t="s">
        <v>69875</v>
      </c>
      <c r="N2226" s="213" t="s">
        <v>18511</v>
      </c>
      <c r="O2226" s="213" t="s">
        <v>18512</v>
      </c>
      <c r="P2226" s="213" t="s">
        <v>18513</v>
      </c>
      <c r="Q2226" s="213" t="s">
        <v>18514</v>
      </c>
      <c r="R2226" s="213" t="s">
        <v>18515</v>
      </c>
      <c r="S2226" s="213" t="s">
        <v>18516</v>
      </c>
      <c r="T2226" s="213" t="s">
        <v>18517</v>
      </c>
      <c r="U2226" s="213" t="s">
        <v>69895</v>
      </c>
    </row>
    <row r="2227" spans="1:21" x14ac:dyDescent="0.25">
      <c r="A2227" s="213" t="s">
        <v>327</v>
      </c>
      <c r="D2227" s="213" t="s">
        <v>18518</v>
      </c>
      <c r="E2227" s="213" t="s">
        <v>18519</v>
      </c>
      <c r="K2227" s="213" t="s">
        <v>69836</v>
      </c>
      <c r="L2227" s="213" t="s">
        <v>69856</v>
      </c>
      <c r="M2227" s="213" t="s">
        <v>69876</v>
      </c>
      <c r="N2227" s="213" t="s">
        <v>18520</v>
      </c>
      <c r="O2227" s="213" t="s">
        <v>18521</v>
      </c>
      <c r="P2227" s="213" t="s">
        <v>18522</v>
      </c>
      <c r="Q2227" s="213" t="s">
        <v>18523</v>
      </c>
      <c r="R2227" s="213" t="s">
        <v>18524</v>
      </c>
      <c r="S2227" s="213" t="s">
        <v>18525</v>
      </c>
      <c r="T2227" s="213" t="s">
        <v>18526</v>
      </c>
      <c r="U2227" s="213" t="s">
        <v>69896</v>
      </c>
    </row>
    <row r="2228" spans="1:21" x14ac:dyDescent="0.25">
      <c r="A2228" s="213" t="s">
        <v>327</v>
      </c>
      <c r="D2228" s="213" t="s">
        <v>18527</v>
      </c>
      <c r="E2228" s="213" t="s">
        <v>18528</v>
      </c>
      <c r="K2228" s="213" t="s">
        <v>69837</v>
      </c>
      <c r="L2228" s="213" t="s">
        <v>69857</v>
      </c>
      <c r="M2228" s="213" t="s">
        <v>69877</v>
      </c>
      <c r="N2228" s="213" t="s">
        <v>18529</v>
      </c>
      <c r="O2228" s="213" t="s">
        <v>18530</v>
      </c>
      <c r="P2228" s="213" t="s">
        <v>18531</v>
      </c>
      <c r="Q2228" s="213" t="s">
        <v>18532</v>
      </c>
      <c r="R2228" s="213" t="s">
        <v>18533</v>
      </c>
      <c r="S2228" s="213" t="s">
        <v>18534</v>
      </c>
      <c r="T2228" s="213" t="s">
        <v>18535</v>
      </c>
      <c r="U2228" s="213" t="s">
        <v>69897</v>
      </c>
    </row>
    <row r="2229" spans="1:21" x14ac:dyDescent="0.25">
      <c r="A2229" s="213" t="s">
        <v>327</v>
      </c>
      <c r="D2229" s="213" t="s">
        <v>18536</v>
      </c>
      <c r="E2229" s="213" t="s">
        <v>18537</v>
      </c>
      <c r="K2229" s="213" t="s">
        <v>69838</v>
      </c>
      <c r="L2229" s="213" t="s">
        <v>69858</v>
      </c>
      <c r="M2229" s="213" t="s">
        <v>69878</v>
      </c>
      <c r="N2229" s="213" t="s">
        <v>18538</v>
      </c>
      <c r="O2229" s="213" t="s">
        <v>18539</v>
      </c>
      <c r="P2229" s="213" t="s">
        <v>18540</v>
      </c>
      <c r="Q2229" s="213" t="s">
        <v>18541</v>
      </c>
      <c r="R2229" s="213" t="s">
        <v>18542</v>
      </c>
      <c r="S2229" s="213" t="s">
        <v>18543</v>
      </c>
      <c r="T2229" s="213" t="s">
        <v>18544</v>
      </c>
      <c r="U2229" s="213" t="s">
        <v>69898</v>
      </c>
    </row>
    <row r="2230" spans="1:21" x14ac:dyDescent="0.25">
      <c r="A2230" s="213" t="s">
        <v>327</v>
      </c>
      <c r="D2230" s="213" t="s">
        <v>18545</v>
      </c>
      <c r="E2230" s="213" t="s">
        <v>18546</v>
      </c>
      <c r="K2230" s="213" t="s">
        <v>69839</v>
      </c>
      <c r="L2230" s="213" t="s">
        <v>69859</v>
      </c>
      <c r="M2230" s="213" t="s">
        <v>69879</v>
      </c>
      <c r="N2230" s="213" t="s">
        <v>18547</v>
      </c>
      <c r="O2230" s="213" t="s">
        <v>18548</v>
      </c>
      <c r="P2230" s="213" t="s">
        <v>18549</v>
      </c>
      <c r="Q2230" s="213" t="s">
        <v>18550</v>
      </c>
      <c r="R2230" s="213" t="s">
        <v>18551</v>
      </c>
      <c r="S2230" s="213" t="s">
        <v>18552</v>
      </c>
      <c r="T2230" s="213" t="s">
        <v>18553</v>
      </c>
      <c r="U2230" s="213" t="s">
        <v>69899</v>
      </c>
    </row>
    <row r="2231" spans="1:21" x14ac:dyDescent="0.25">
      <c r="A2231" s="213" t="s">
        <v>327</v>
      </c>
      <c r="D2231" s="213" t="s">
        <v>18554</v>
      </c>
      <c r="E2231" s="213" t="s">
        <v>18555</v>
      </c>
      <c r="K2231" s="213" t="s">
        <v>69840</v>
      </c>
      <c r="L2231" s="213" t="s">
        <v>69860</v>
      </c>
      <c r="M2231" s="213" t="s">
        <v>69880</v>
      </c>
      <c r="N2231" s="213" t="s">
        <v>18556</v>
      </c>
      <c r="O2231" s="213" t="s">
        <v>18557</v>
      </c>
      <c r="P2231" s="213" t="s">
        <v>18558</v>
      </c>
      <c r="Q2231" s="213" t="s">
        <v>18559</v>
      </c>
      <c r="R2231" s="213" t="s">
        <v>18560</v>
      </c>
      <c r="S2231" s="213" t="s">
        <v>18561</v>
      </c>
      <c r="T2231" s="213" t="s">
        <v>18562</v>
      </c>
      <c r="U2231" s="213" t="s">
        <v>69900</v>
      </c>
    </row>
    <row r="2232" spans="1:21" x14ac:dyDescent="0.25">
      <c r="A2232" s="213" t="s">
        <v>327</v>
      </c>
      <c r="D2232" s="213" t="s">
        <v>18563</v>
      </c>
      <c r="E2232" s="213" t="s">
        <v>18564</v>
      </c>
      <c r="K2232" s="213" t="s">
        <v>69841</v>
      </c>
      <c r="L2232" s="213" t="s">
        <v>69861</v>
      </c>
      <c r="M2232" s="213" t="s">
        <v>69881</v>
      </c>
      <c r="N2232" s="213" t="s">
        <v>18565</v>
      </c>
      <c r="O2232" s="213" t="s">
        <v>18566</v>
      </c>
      <c r="P2232" s="213" t="s">
        <v>18567</v>
      </c>
      <c r="Q2232" s="213" t="s">
        <v>18568</v>
      </c>
      <c r="R2232" s="213" t="s">
        <v>18569</v>
      </c>
      <c r="S2232" s="213" t="s">
        <v>18570</v>
      </c>
      <c r="T2232" s="213" t="s">
        <v>18571</v>
      </c>
      <c r="U2232" s="213" t="s">
        <v>69901</v>
      </c>
    </row>
    <row r="2233" spans="1:21" x14ac:dyDescent="0.25">
      <c r="A2233" s="213" t="s">
        <v>327</v>
      </c>
      <c r="D2233" s="213" t="s">
        <v>18572</v>
      </c>
      <c r="E2233" s="213" t="s">
        <v>18573</v>
      </c>
      <c r="K2233" s="213" t="s">
        <v>69842</v>
      </c>
      <c r="L2233" s="213" t="s">
        <v>69862</v>
      </c>
      <c r="M2233" s="213" t="s">
        <v>69882</v>
      </c>
      <c r="N2233" s="213" t="s">
        <v>18574</v>
      </c>
      <c r="O2233" s="213" t="s">
        <v>18575</v>
      </c>
      <c r="P2233" s="213" t="s">
        <v>18576</v>
      </c>
      <c r="Q2233" s="213" t="s">
        <v>18577</v>
      </c>
      <c r="R2233" s="213" t="s">
        <v>18578</v>
      </c>
      <c r="S2233" s="213" t="s">
        <v>18579</v>
      </c>
      <c r="T2233" s="213" t="s">
        <v>18580</v>
      </c>
      <c r="U2233" s="213" t="s">
        <v>69902</v>
      </c>
    </row>
    <row r="2234" spans="1:21" x14ac:dyDescent="0.25">
      <c r="A2234" s="213" t="s">
        <v>327</v>
      </c>
      <c r="D2234" s="213" t="s">
        <v>18581</v>
      </c>
      <c r="E2234" s="213" t="s">
        <v>18582</v>
      </c>
      <c r="K2234" s="213" t="s">
        <v>69843</v>
      </c>
      <c r="L2234" s="213" t="s">
        <v>69863</v>
      </c>
      <c r="M2234" s="213" t="s">
        <v>69883</v>
      </c>
      <c r="N2234" s="213" t="s">
        <v>18583</v>
      </c>
      <c r="O2234" s="213" t="s">
        <v>18584</v>
      </c>
      <c r="P2234" s="213" t="s">
        <v>18585</v>
      </c>
      <c r="Q2234" s="213" t="s">
        <v>18586</v>
      </c>
      <c r="R2234" s="213" t="s">
        <v>18587</v>
      </c>
      <c r="S2234" s="213" t="s">
        <v>18588</v>
      </c>
      <c r="T2234" s="213" t="s">
        <v>18589</v>
      </c>
      <c r="U2234" s="213" t="s">
        <v>69903</v>
      </c>
    </row>
    <row r="2235" spans="1:21" x14ac:dyDescent="0.25">
      <c r="A2235" s="213" t="s">
        <v>327</v>
      </c>
      <c r="D2235" s="213" t="s">
        <v>18590</v>
      </c>
      <c r="E2235" s="213" t="s">
        <v>18591</v>
      </c>
      <c r="K2235" s="213" t="s">
        <v>69844</v>
      </c>
      <c r="L2235" s="213" t="s">
        <v>69864</v>
      </c>
      <c r="M2235" s="213" t="s">
        <v>69884</v>
      </c>
      <c r="N2235" s="213" t="s">
        <v>18592</v>
      </c>
      <c r="O2235" s="213" t="s">
        <v>18593</v>
      </c>
      <c r="P2235" s="213" t="s">
        <v>18594</v>
      </c>
      <c r="Q2235" s="213" t="s">
        <v>18595</v>
      </c>
      <c r="R2235" s="213" t="s">
        <v>18596</v>
      </c>
      <c r="S2235" s="213" t="s">
        <v>18597</v>
      </c>
      <c r="T2235" s="213" t="s">
        <v>18598</v>
      </c>
      <c r="U2235" s="213" t="s">
        <v>69904</v>
      </c>
    </row>
    <row r="2236" spans="1:21" x14ac:dyDescent="0.25">
      <c r="A2236" s="213" t="s">
        <v>327</v>
      </c>
      <c r="D2236" s="213" t="s">
        <v>18599</v>
      </c>
      <c r="E2236" s="213" t="s">
        <v>18600</v>
      </c>
      <c r="K2236" s="213" t="s">
        <v>69845</v>
      </c>
      <c r="L2236" s="213" t="s">
        <v>69865</v>
      </c>
      <c r="M2236" s="213" t="s">
        <v>69885</v>
      </c>
      <c r="N2236" s="213" t="s">
        <v>18601</v>
      </c>
      <c r="O2236" s="213" t="s">
        <v>18602</v>
      </c>
      <c r="P2236" s="213" t="s">
        <v>18603</v>
      </c>
      <c r="Q2236" s="213" t="s">
        <v>18604</v>
      </c>
      <c r="R2236" s="213" t="s">
        <v>18605</v>
      </c>
      <c r="S2236" s="213" t="s">
        <v>18606</v>
      </c>
      <c r="T2236" s="213" t="s">
        <v>18607</v>
      </c>
      <c r="U2236" s="213" t="s">
        <v>69905</v>
      </c>
    </row>
    <row r="2237" spans="1:21" x14ac:dyDescent="0.25">
      <c r="A2237" s="213" t="s">
        <v>327</v>
      </c>
      <c r="D2237" s="213" t="s">
        <v>18608</v>
      </c>
      <c r="E2237" s="213" t="s">
        <v>18609</v>
      </c>
      <c r="K2237" s="213" t="s">
        <v>69846</v>
      </c>
      <c r="L2237" s="213" t="s">
        <v>69866</v>
      </c>
      <c r="M2237" s="213" t="s">
        <v>69886</v>
      </c>
      <c r="N2237" s="213" t="s">
        <v>18610</v>
      </c>
      <c r="O2237" s="213" t="s">
        <v>18611</v>
      </c>
      <c r="P2237" s="213" t="s">
        <v>18612</v>
      </c>
      <c r="Q2237" s="213" t="s">
        <v>18613</v>
      </c>
      <c r="R2237" s="213" t="s">
        <v>18614</v>
      </c>
      <c r="S2237" s="213" t="s">
        <v>18615</v>
      </c>
      <c r="T2237" s="213" t="s">
        <v>18616</v>
      </c>
      <c r="U2237" s="213" t="s">
        <v>69906</v>
      </c>
    </row>
    <row r="2238" spans="1:21" x14ac:dyDescent="0.25">
      <c r="A2238" s="213" t="s">
        <v>327</v>
      </c>
      <c r="D2238" s="213" t="s">
        <v>18617</v>
      </c>
      <c r="E2238" s="213" t="s">
        <v>18618</v>
      </c>
      <c r="K2238" s="213" t="s">
        <v>69847</v>
      </c>
      <c r="L2238" s="213" t="s">
        <v>69867</v>
      </c>
      <c r="M2238" s="213" t="s">
        <v>69887</v>
      </c>
      <c r="N2238" s="213" t="s">
        <v>18619</v>
      </c>
      <c r="O2238" s="213" t="s">
        <v>18620</v>
      </c>
      <c r="P2238" s="213" t="s">
        <v>18621</v>
      </c>
      <c r="Q2238" s="213" t="s">
        <v>18622</v>
      </c>
      <c r="R2238" s="213" t="s">
        <v>18623</v>
      </c>
      <c r="S2238" s="213" t="s">
        <v>18624</v>
      </c>
      <c r="T2238" s="213" t="s">
        <v>18625</v>
      </c>
      <c r="U2238" s="213" t="s">
        <v>69907</v>
      </c>
    </row>
    <row r="2239" spans="1:21" x14ac:dyDescent="0.25">
      <c r="A2239" s="213" t="s">
        <v>327</v>
      </c>
      <c r="D2239" s="213" t="s">
        <v>18626</v>
      </c>
      <c r="E2239" s="213" t="s">
        <v>18627</v>
      </c>
      <c r="K2239" s="213" t="s">
        <v>69848</v>
      </c>
      <c r="L2239" s="213" t="s">
        <v>69868</v>
      </c>
      <c r="M2239" s="213" t="s">
        <v>69888</v>
      </c>
      <c r="N2239" s="213" t="s">
        <v>18628</v>
      </c>
      <c r="O2239" s="213" t="s">
        <v>18629</v>
      </c>
      <c r="P2239" s="213" t="s">
        <v>18630</v>
      </c>
      <c r="Q2239" s="213" t="s">
        <v>18631</v>
      </c>
      <c r="R2239" s="213" t="s">
        <v>18632</v>
      </c>
      <c r="S2239" s="213" t="s">
        <v>18633</v>
      </c>
      <c r="T2239" s="213" t="s">
        <v>18634</v>
      </c>
      <c r="U2239" s="213" t="s">
        <v>69908</v>
      </c>
    </row>
    <row r="2240" spans="1:21" x14ac:dyDescent="0.25">
      <c r="A2240" s="213" t="s">
        <v>327</v>
      </c>
      <c r="D2240" s="213" t="s">
        <v>18635</v>
      </c>
      <c r="E2240" s="213" t="s">
        <v>18636</v>
      </c>
      <c r="K2240" s="213" t="s">
        <v>69849</v>
      </c>
      <c r="L2240" s="213" t="s">
        <v>69869</v>
      </c>
      <c r="M2240" s="213" t="s">
        <v>69889</v>
      </c>
      <c r="N2240" s="213" t="s">
        <v>18637</v>
      </c>
      <c r="O2240" s="213" t="s">
        <v>18638</v>
      </c>
      <c r="P2240" s="213" t="s">
        <v>18639</v>
      </c>
      <c r="Q2240" s="213" t="s">
        <v>18640</v>
      </c>
      <c r="R2240" s="213" t="s">
        <v>18641</v>
      </c>
      <c r="S2240" s="213" t="s">
        <v>18642</v>
      </c>
      <c r="T2240" s="213" t="s">
        <v>18643</v>
      </c>
      <c r="U2240" s="213" t="s">
        <v>69909</v>
      </c>
    </row>
    <row r="2241" spans="1:21" x14ac:dyDescent="0.25">
      <c r="A2241" s="213" t="s">
        <v>327</v>
      </c>
    </row>
    <row r="2242" spans="1:21" x14ac:dyDescent="0.25">
      <c r="A2242" s="213" t="s">
        <v>327</v>
      </c>
    </row>
    <row r="2243" spans="1:21" x14ac:dyDescent="0.25">
      <c r="A2243" s="213" t="s">
        <v>327</v>
      </c>
      <c r="C2243" s="213" t="s">
        <v>18644</v>
      </c>
      <c r="E2243" s="213" t="s">
        <v>18645</v>
      </c>
      <c r="H2243" s="213" t="s">
        <v>18646</v>
      </c>
      <c r="I2243" s="213" t="s">
        <v>18647</v>
      </c>
      <c r="J2243" s="213" t="s">
        <v>18648</v>
      </c>
      <c r="L2243" s="213" t="s">
        <v>18649</v>
      </c>
      <c r="O2243" s="213" t="s">
        <v>18650</v>
      </c>
      <c r="P2243" s="213" t="s">
        <v>18651</v>
      </c>
      <c r="Q2243" s="213" t="s">
        <v>18652</v>
      </c>
      <c r="R2243" s="213" t="s">
        <v>18653</v>
      </c>
      <c r="S2243" s="213" t="s">
        <v>18654</v>
      </c>
      <c r="T2243" s="213" t="s">
        <v>18655</v>
      </c>
    </row>
    <row r="2244" spans="1:21" x14ac:dyDescent="0.25">
      <c r="A2244" s="213" t="s">
        <v>327</v>
      </c>
      <c r="C2244" s="213" t="s">
        <v>18656</v>
      </c>
      <c r="E2244" s="213" t="s">
        <v>18657</v>
      </c>
      <c r="I2244" s="213" t="s">
        <v>18658</v>
      </c>
    </row>
    <row r="2245" spans="1:21" x14ac:dyDescent="0.25">
      <c r="A2245" s="213" t="s">
        <v>327</v>
      </c>
      <c r="C2245" s="213" t="s">
        <v>18659</v>
      </c>
      <c r="E2245" s="213" t="s">
        <v>18660</v>
      </c>
      <c r="I2245" s="213" t="s">
        <v>18661</v>
      </c>
    </row>
    <row r="2246" spans="1:21" x14ac:dyDescent="0.25">
      <c r="A2246" s="213" t="s">
        <v>328</v>
      </c>
    </row>
    <row r="2247" spans="1:21" x14ac:dyDescent="0.25">
      <c r="A2247" s="213" t="s">
        <v>327</v>
      </c>
      <c r="D2247" s="213" t="s">
        <v>18662</v>
      </c>
      <c r="E2247" s="213" t="s">
        <v>18663</v>
      </c>
      <c r="K2247" s="213" t="s">
        <v>69446</v>
      </c>
      <c r="L2247" s="213" t="s">
        <v>69542</v>
      </c>
      <c r="M2247" s="213" t="s">
        <v>69638</v>
      </c>
      <c r="N2247" s="213" t="s">
        <v>18664</v>
      </c>
      <c r="O2247" s="213" t="s">
        <v>18665</v>
      </c>
      <c r="P2247" s="213" t="s">
        <v>18666</v>
      </c>
      <c r="Q2247" s="213" t="s">
        <v>18667</v>
      </c>
      <c r="R2247" s="213" t="s">
        <v>18668</v>
      </c>
      <c r="S2247" s="213" t="s">
        <v>18669</v>
      </c>
      <c r="T2247" s="213" t="s">
        <v>18670</v>
      </c>
      <c r="U2247" s="213" t="s">
        <v>69734</v>
      </c>
    </row>
    <row r="2248" spans="1:21" x14ac:dyDescent="0.25">
      <c r="A2248" s="213" t="s">
        <v>327</v>
      </c>
      <c r="D2248" s="213" t="s">
        <v>18671</v>
      </c>
      <c r="E2248" s="213" t="s">
        <v>18672</v>
      </c>
      <c r="K2248" s="213" t="s">
        <v>69447</v>
      </c>
      <c r="L2248" s="213" t="s">
        <v>69543</v>
      </c>
      <c r="M2248" s="213" t="s">
        <v>69639</v>
      </c>
      <c r="N2248" s="213" t="s">
        <v>18673</v>
      </c>
      <c r="O2248" s="213" t="s">
        <v>18674</v>
      </c>
      <c r="P2248" s="213" t="s">
        <v>18675</v>
      </c>
      <c r="Q2248" s="213" t="s">
        <v>18676</v>
      </c>
      <c r="R2248" s="213" t="s">
        <v>18677</v>
      </c>
      <c r="S2248" s="213" t="s">
        <v>18678</v>
      </c>
      <c r="T2248" s="213" t="s">
        <v>18679</v>
      </c>
      <c r="U2248" s="213" t="s">
        <v>69735</v>
      </c>
    </row>
    <row r="2249" spans="1:21" x14ac:dyDescent="0.25">
      <c r="A2249" s="213" t="s">
        <v>327</v>
      </c>
      <c r="D2249" s="213" t="s">
        <v>18680</v>
      </c>
      <c r="E2249" s="213" t="s">
        <v>18681</v>
      </c>
      <c r="K2249" s="213" t="s">
        <v>69448</v>
      </c>
      <c r="L2249" s="213" t="s">
        <v>69544</v>
      </c>
      <c r="M2249" s="213" t="s">
        <v>69640</v>
      </c>
      <c r="N2249" s="213" t="s">
        <v>18682</v>
      </c>
      <c r="O2249" s="213" t="s">
        <v>18683</v>
      </c>
      <c r="P2249" s="213" t="s">
        <v>18684</v>
      </c>
      <c r="Q2249" s="213" t="s">
        <v>18685</v>
      </c>
      <c r="R2249" s="213" t="s">
        <v>18686</v>
      </c>
      <c r="S2249" s="213" t="s">
        <v>18687</v>
      </c>
      <c r="T2249" s="213" t="s">
        <v>18688</v>
      </c>
      <c r="U2249" s="213" t="s">
        <v>69736</v>
      </c>
    </row>
    <row r="2250" spans="1:21" x14ac:dyDescent="0.25">
      <c r="A2250" s="213" t="s">
        <v>327</v>
      </c>
      <c r="D2250" s="213" t="s">
        <v>18689</v>
      </c>
      <c r="E2250" s="213" t="s">
        <v>18690</v>
      </c>
      <c r="K2250" s="213" t="s">
        <v>69449</v>
      </c>
      <c r="L2250" s="213" t="s">
        <v>69545</v>
      </c>
      <c r="M2250" s="213" t="s">
        <v>69641</v>
      </c>
      <c r="N2250" s="213" t="s">
        <v>18691</v>
      </c>
      <c r="O2250" s="213" t="s">
        <v>18692</v>
      </c>
      <c r="P2250" s="213" t="s">
        <v>18693</v>
      </c>
      <c r="Q2250" s="213" t="s">
        <v>18694</v>
      </c>
      <c r="R2250" s="213" t="s">
        <v>18695</v>
      </c>
      <c r="S2250" s="213" t="s">
        <v>18696</v>
      </c>
      <c r="T2250" s="213" t="s">
        <v>18697</v>
      </c>
      <c r="U2250" s="213" t="s">
        <v>69737</v>
      </c>
    </row>
    <row r="2251" spans="1:21" x14ac:dyDescent="0.25">
      <c r="A2251" s="213" t="s">
        <v>327</v>
      </c>
      <c r="D2251" s="213" t="s">
        <v>18698</v>
      </c>
      <c r="E2251" s="213" t="s">
        <v>18699</v>
      </c>
      <c r="K2251" s="213" t="s">
        <v>69450</v>
      </c>
      <c r="L2251" s="213" t="s">
        <v>69546</v>
      </c>
      <c r="M2251" s="213" t="s">
        <v>69642</v>
      </c>
      <c r="N2251" s="213" t="s">
        <v>18700</v>
      </c>
      <c r="O2251" s="213" t="s">
        <v>18701</v>
      </c>
      <c r="P2251" s="213" t="s">
        <v>18702</v>
      </c>
      <c r="Q2251" s="213" t="s">
        <v>18703</v>
      </c>
      <c r="R2251" s="213" t="s">
        <v>18704</v>
      </c>
      <c r="S2251" s="213" t="s">
        <v>18705</v>
      </c>
      <c r="T2251" s="213" t="s">
        <v>18706</v>
      </c>
      <c r="U2251" s="213" t="s">
        <v>69738</v>
      </c>
    </row>
    <row r="2252" spans="1:21" x14ac:dyDescent="0.25">
      <c r="A2252" s="213" t="s">
        <v>327</v>
      </c>
      <c r="D2252" s="213" t="s">
        <v>18707</v>
      </c>
      <c r="E2252" s="213" t="s">
        <v>18708</v>
      </c>
      <c r="K2252" s="213" t="s">
        <v>69451</v>
      </c>
      <c r="L2252" s="213" t="s">
        <v>69547</v>
      </c>
      <c r="M2252" s="213" t="s">
        <v>69643</v>
      </c>
      <c r="N2252" s="213" t="s">
        <v>18709</v>
      </c>
      <c r="O2252" s="213" t="s">
        <v>18710</v>
      </c>
      <c r="P2252" s="213" t="s">
        <v>18711</v>
      </c>
      <c r="Q2252" s="213" t="s">
        <v>18712</v>
      </c>
      <c r="R2252" s="213" t="s">
        <v>18713</v>
      </c>
      <c r="S2252" s="213" t="s">
        <v>18714</v>
      </c>
      <c r="T2252" s="213" t="s">
        <v>18715</v>
      </c>
      <c r="U2252" s="213" t="s">
        <v>69739</v>
      </c>
    </row>
    <row r="2253" spans="1:21" x14ac:dyDescent="0.25">
      <c r="A2253" s="213" t="s">
        <v>327</v>
      </c>
      <c r="D2253" s="213" t="s">
        <v>18716</v>
      </c>
      <c r="E2253" s="213" t="s">
        <v>18717</v>
      </c>
      <c r="K2253" s="213" t="s">
        <v>69452</v>
      </c>
      <c r="L2253" s="213" t="s">
        <v>69548</v>
      </c>
      <c r="M2253" s="213" t="s">
        <v>69644</v>
      </c>
      <c r="N2253" s="213" t="s">
        <v>18718</v>
      </c>
      <c r="O2253" s="213" t="s">
        <v>18719</v>
      </c>
      <c r="P2253" s="213" t="s">
        <v>18720</v>
      </c>
      <c r="Q2253" s="213" t="s">
        <v>18721</v>
      </c>
      <c r="R2253" s="213" t="s">
        <v>18722</v>
      </c>
      <c r="S2253" s="213" t="s">
        <v>18723</v>
      </c>
      <c r="T2253" s="213" t="s">
        <v>18724</v>
      </c>
      <c r="U2253" s="213" t="s">
        <v>69740</v>
      </c>
    </row>
    <row r="2254" spans="1:21" x14ac:dyDescent="0.25">
      <c r="A2254" s="213" t="s">
        <v>327</v>
      </c>
      <c r="D2254" s="213" t="s">
        <v>18725</v>
      </c>
      <c r="E2254" s="213" t="s">
        <v>18726</v>
      </c>
      <c r="K2254" s="213" t="s">
        <v>69453</v>
      </c>
      <c r="L2254" s="213" t="s">
        <v>69549</v>
      </c>
      <c r="M2254" s="213" t="s">
        <v>69645</v>
      </c>
      <c r="N2254" s="213" t="s">
        <v>18727</v>
      </c>
      <c r="O2254" s="213" t="s">
        <v>18728</v>
      </c>
      <c r="P2254" s="213" t="s">
        <v>18729</v>
      </c>
      <c r="Q2254" s="213" t="s">
        <v>18730</v>
      </c>
      <c r="R2254" s="213" t="s">
        <v>18731</v>
      </c>
      <c r="S2254" s="213" t="s">
        <v>18732</v>
      </c>
      <c r="T2254" s="213" t="s">
        <v>18733</v>
      </c>
      <c r="U2254" s="213" t="s">
        <v>69741</v>
      </c>
    </row>
    <row r="2255" spans="1:21" x14ac:dyDescent="0.25">
      <c r="A2255" s="213" t="s">
        <v>327</v>
      </c>
      <c r="D2255" s="213" t="s">
        <v>18734</v>
      </c>
      <c r="E2255" s="213" t="s">
        <v>18735</v>
      </c>
      <c r="K2255" s="213" t="s">
        <v>69454</v>
      </c>
      <c r="L2255" s="213" t="s">
        <v>69550</v>
      </c>
      <c r="M2255" s="213" t="s">
        <v>69646</v>
      </c>
      <c r="N2255" s="213" t="s">
        <v>18736</v>
      </c>
      <c r="O2255" s="213" t="s">
        <v>18737</v>
      </c>
      <c r="P2255" s="213" t="s">
        <v>18738</v>
      </c>
      <c r="Q2255" s="213" t="s">
        <v>18739</v>
      </c>
      <c r="R2255" s="213" t="s">
        <v>18740</v>
      </c>
      <c r="S2255" s="213" t="s">
        <v>18741</v>
      </c>
      <c r="T2255" s="213" t="s">
        <v>18742</v>
      </c>
      <c r="U2255" s="213" t="s">
        <v>69742</v>
      </c>
    </row>
    <row r="2256" spans="1:21" x14ac:dyDescent="0.25">
      <c r="A2256" s="213" t="s">
        <v>327</v>
      </c>
      <c r="D2256" s="213" t="s">
        <v>18743</v>
      </c>
      <c r="E2256" s="213" t="s">
        <v>18744</v>
      </c>
      <c r="K2256" s="213" t="s">
        <v>69455</v>
      </c>
      <c r="L2256" s="213" t="s">
        <v>69551</v>
      </c>
      <c r="M2256" s="213" t="s">
        <v>69647</v>
      </c>
      <c r="N2256" s="213" t="s">
        <v>18745</v>
      </c>
      <c r="O2256" s="213" t="s">
        <v>18746</v>
      </c>
      <c r="P2256" s="213" t="s">
        <v>18747</v>
      </c>
      <c r="Q2256" s="213" t="s">
        <v>18748</v>
      </c>
      <c r="R2256" s="213" t="s">
        <v>18749</v>
      </c>
      <c r="S2256" s="213" t="s">
        <v>18750</v>
      </c>
      <c r="T2256" s="213" t="s">
        <v>18751</v>
      </c>
      <c r="U2256" s="213" t="s">
        <v>69743</v>
      </c>
    </row>
    <row r="2257" spans="1:21" x14ac:dyDescent="0.25">
      <c r="A2257" s="213" t="s">
        <v>327</v>
      </c>
      <c r="D2257" s="213" t="s">
        <v>18752</v>
      </c>
      <c r="E2257" s="213" t="s">
        <v>18753</v>
      </c>
      <c r="K2257" s="213" t="s">
        <v>69456</v>
      </c>
      <c r="L2257" s="213" t="s">
        <v>69552</v>
      </c>
      <c r="M2257" s="213" t="s">
        <v>69648</v>
      </c>
      <c r="N2257" s="213" t="s">
        <v>18754</v>
      </c>
      <c r="O2257" s="213" t="s">
        <v>18755</v>
      </c>
      <c r="P2257" s="213" t="s">
        <v>18756</v>
      </c>
      <c r="Q2257" s="213" t="s">
        <v>18757</v>
      </c>
      <c r="R2257" s="213" t="s">
        <v>18758</v>
      </c>
      <c r="S2257" s="213" t="s">
        <v>18759</v>
      </c>
      <c r="T2257" s="213" t="s">
        <v>18760</v>
      </c>
      <c r="U2257" s="213" t="s">
        <v>69744</v>
      </c>
    </row>
    <row r="2258" spans="1:21" x14ac:dyDescent="0.25">
      <c r="A2258" s="213" t="s">
        <v>327</v>
      </c>
      <c r="D2258" s="213" t="s">
        <v>18761</v>
      </c>
      <c r="E2258" s="213" t="s">
        <v>18762</v>
      </c>
      <c r="K2258" s="213" t="s">
        <v>69457</v>
      </c>
      <c r="L2258" s="213" t="s">
        <v>69553</v>
      </c>
      <c r="M2258" s="213" t="s">
        <v>69649</v>
      </c>
      <c r="N2258" s="213" t="s">
        <v>18763</v>
      </c>
      <c r="O2258" s="213" t="s">
        <v>18764</v>
      </c>
      <c r="P2258" s="213" t="s">
        <v>18765</v>
      </c>
      <c r="Q2258" s="213" t="s">
        <v>18766</v>
      </c>
      <c r="R2258" s="213" t="s">
        <v>18767</v>
      </c>
      <c r="S2258" s="213" t="s">
        <v>18768</v>
      </c>
      <c r="T2258" s="213" t="s">
        <v>18769</v>
      </c>
      <c r="U2258" s="213" t="s">
        <v>69745</v>
      </c>
    </row>
    <row r="2259" spans="1:21" x14ac:dyDescent="0.25">
      <c r="A2259" s="213" t="s">
        <v>327</v>
      </c>
      <c r="D2259" s="213" t="s">
        <v>18770</v>
      </c>
      <c r="E2259" s="213" t="s">
        <v>18771</v>
      </c>
      <c r="K2259" s="213" t="s">
        <v>69458</v>
      </c>
      <c r="L2259" s="213" t="s">
        <v>69554</v>
      </c>
      <c r="M2259" s="213" t="s">
        <v>69650</v>
      </c>
      <c r="N2259" s="213" t="s">
        <v>18772</v>
      </c>
      <c r="O2259" s="213" t="s">
        <v>18773</v>
      </c>
      <c r="P2259" s="213" t="s">
        <v>18774</v>
      </c>
      <c r="Q2259" s="213" t="s">
        <v>18775</v>
      </c>
      <c r="R2259" s="213" t="s">
        <v>18776</v>
      </c>
      <c r="S2259" s="213" t="s">
        <v>18777</v>
      </c>
      <c r="T2259" s="213" t="s">
        <v>18778</v>
      </c>
      <c r="U2259" s="213" t="s">
        <v>69746</v>
      </c>
    </row>
    <row r="2260" spans="1:21" x14ac:dyDescent="0.25">
      <c r="A2260" s="213" t="s">
        <v>327</v>
      </c>
      <c r="D2260" s="213" t="s">
        <v>18779</v>
      </c>
      <c r="E2260" s="213" t="s">
        <v>18780</v>
      </c>
      <c r="K2260" s="213" t="s">
        <v>69459</v>
      </c>
      <c r="L2260" s="213" t="s">
        <v>69555</v>
      </c>
      <c r="M2260" s="213" t="s">
        <v>69651</v>
      </c>
      <c r="N2260" s="213" t="s">
        <v>18781</v>
      </c>
      <c r="O2260" s="213" t="s">
        <v>18782</v>
      </c>
      <c r="P2260" s="213" t="s">
        <v>18783</v>
      </c>
      <c r="Q2260" s="213" t="s">
        <v>18784</v>
      </c>
      <c r="R2260" s="213" t="s">
        <v>18785</v>
      </c>
      <c r="S2260" s="213" t="s">
        <v>18786</v>
      </c>
      <c r="T2260" s="213" t="s">
        <v>18787</v>
      </c>
      <c r="U2260" s="213" t="s">
        <v>69747</v>
      </c>
    </row>
    <row r="2261" spans="1:21" x14ac:dyDescent="0.25">
      <c r="A2261" s="213" t="s">
        <v>327</v>
      </c>
      <c r="D2261" s="213" t="s">
        <v>18788</v>
      </c>
      <c r="E2261" s="213" t="s">
        <v>18789</v>
      </c>
      <c r="K2261" s="213" t="s">
        <v>69460</v>
      </c>
      <c r="L2261" s="213" t="s">
        <v>69556</v>
      </c>
      <c r="M2261" s="213" t="s">
        <v>69652</v>
      </c>
      <c r="N2261" s="213" t="s">
        <v>18790</v>
      </c>
      <c r="O2261" s="213" t="s">
        <v>18791</v>
      </c>
      <c r="P2261" s="213" t="s">
        <v>18792</v>
      </c>
      <c r="Q2261" s="213" t="s">
        <v>18793</v>
      </c>
      <c r="R2261" s="213" t="s">
        <v>18794</v>
      </c>
      <c r="S2261" s="213" t="s">
        <v>18795</v>
      </c>
      <c r="T2261" s="213" t="s">
        <v>18796</v>
      </c>
      <c r="U2261" s="213" t="s">
        <v>69748</v>
      </c>
    </row>
    <row r="2262" spans="1:21" x14ac:dyDescent="0.25">
      <c r="A2262" s="213" t="s">
        <v>327</v>
      </c>
      <c r="D2262" s="213" t="s">
        <v>18797</v>
      </c>
      <c r="E2262" s="213" t="s">
        <v>18798</v>
      </c>
      <c r="K2262" s="213" t="s">
        <v>69461</v>
      </c>
      <c r="L2262" s="213" t="s">
        <v>69557</v>
      </c>
      <c r="M2262" s="213" t="s">
        <v>69653</v>
      </c>
      <c r="N2262" s="213" t="s">
        <v>18799</v>
      </c>
      <c r="O2262" s="213" t="s">
        <v>18800</v>
      </c>
      <c r="P2262" s="213" t="s">
        <v>18801</v>
      </c>
      <c r="Q2262" s="213" t="s">
        <v>18802</v>
      </c>
      <c r="R2262" s="213" t="s">
        <v>18803</v>
      </c>
      <c r="S2262" s="213" t="s">
        <v>18804</v>
      </c>
      <c r="T2262" s="213" t="s">
        <v>18805</v>
      </c>
      <c r="U2262" s="213" t="s">
        <v>69749</v>
      </c>
    </row>
    <row r="2263" spans="1:21" x14ac:dyDescent="0.25">
      <c r="A2263" s="213" t="s">
        <v>327</v>
      </c>
      <c r="D2263" s="213" t="s">
        <v>18806</v>
      </c>
      <c r="E2263" s="213" t="s">
        <v>18807</v>
      </c>
      <c r="K2263" s="213" t="s">
        <v>69462</v>
      </c>
      <c r="L2263" s="213" t="s">
        <v>69558</v>
      </c>
      <c r="M2263" s="213" t="s">
        <v>69654</v>
      </c>
      <c r="N2263" s="213" t="s">
        <v>18808</v>
      </c>
      <c r="O2263" s="213" t="s">
        <v>18809</v>
      </c>
      <c r="P2263" s="213" t="s">
        <v>18810</v>
      </c>
      <c r="Q2263" s="213" t="s">
        <v>18811</v>
      </c>
      <c r="R2263" s="213" t="s">
        <v>18812</v>
      </c>
      <c r="S2263" s="213" t="s">
        <v>18813</v>
      </c>
      <c r="T2263" s="213" t="s">
        <v>18814</v>
      </c>
      <c r="U2263" s="213" t="s">
        <v>69750</v>
      </c>
    </row>
    <row r="2264" spans="1:21" x14ac:dyDescent="0.25">
      <c r="A2264" s="213" t="s">
        <v>327</v>
      </c>
      <c r="D2264" s="213" t="s">
        <v>18815</v>
      </c>
      <c r="E2264" s="213" t="s">
        <v>18816</v>
      </c>
      <c r="K2264" s="213" t="s">
        <v>69463</v>
      </c>
      <c r="L2264" s="213" t="s">
        <v>69559</v>
      </c>
      <c r="M2264" s="213" t="s">
        <v>69655</v>
      </c>
      <c r="N2264" s="213" t="s">
        <v>18817</v>
      </c>
      <c r="O2264" s="213" t="s">
        <v>18818</v>
      </c>
      <c r="P2264" s="213" t="s">
        <v>18819</v>
      </c>
      <c r="Q2264" s="213" t="s">
        <v>18820</v>
      </c>
      <c r="R2264" s="213" t="s">
        <v>18821</v>
      </c>
      <c r="S2264" s="213" t="s">
        <v>18822</v>
      </c>
      <c r="T2264" s="213" t="s">
        <v>18823</v>
      </c>
      <c r="U2264" s="213" t="s">
        <v>69751</v>
      </c>
    </row>
    <row r="2265" spans="1:21" x14ac:dyDescent="0.25">
      <c r="A2265" s="213" t="s">
        <v>327</v>
      </c>
      <c r="D2265" s="213" t="s">
        <v>18824</v>
      </c>
      <c r="E2265" s="213" t="s">
        <v>18825</v>
      </c>
      <c r="K2265" s="213" t="s">
        <v>69464</v>
      </c>
      <c r="L2265" s="213" t="s">
        <v>69560</v>
      </c>
      <c r="M2265" s="213" t="s">
        <v>69656</v>
      </c>
      <c r="N2265" s="213" t="s">
        <v>18826</v>
      </c>
      <c r="O2265" s="213" t="s">
        <v>18827</v>
      </c>
      <c r="P2265" s="213" t="s">
        <v>18828</v>
      </c>
      <c r="Q2265" s="213" t="s">
        <v>18829</v>
      </c>
      <c r="R2265" s="213" t="s">
        <v>18830</v>
      </c>
      <c r="S2265" s="213" t="s">
        <v>18831</v>
      </c>
      <c r="T2265" s="213" t="s">
        <v>18832</v>
      </c>
      <c r="U2265" s="213" t="s">
        <v>69752</v>
      </c>
    </row>
    <row r="2266" spans="1:21" x14ac:dyDescent="0.25">
      <c r="A2266" s="213" t="s">
        <v>327</v>
      </c>
      <c r="D2266" s="213" t="s">
        <v>18833</v>
      </c>
      <c r="E2266" s="213" t="s">
        <v>18834</v>
      </c>
      <c r="K2266" s="213" t="s">
        <v>69465</v>
      </c>
      <c r="L2266" s="213" t="s">
        <v>69561</v>
      </c>
      <c r="M2266" s="213" t="s">
        <v>69657</v>
      </c>
      <c r="N2266" s="213" t="s">
        <v>18835</v>
      </c>
      <c r="O2266" s="213" t="s">
        <v>18836</v>
      </c>
      <c r="P2266" s="213" t="s">
        <v>18837</v>
      </c>
      <c r="Q2266" s="213" t="s">
        <v>18838</v>
      </c>
      <c r="R2266" s="213" t="s">
        <v>18839</v>
      </c>
      <c r="S2266" s="213" t="s">
        <v>18840</v>
      </c>
      <c r="T2266" s="213" t="s">
        <v>18841</v>
      </c>
      <c r="U2266" s="213" t="s">
        <v>69753</v>
      </c>
    </row>
    <row r="2267" spans="1:21" x14ac:dyDescent="0.25">
      <c r="A2267" s="213" t="s">
        <v>327</v>
      </c>
      <c r="D2267" s="213" t="s">
        <v>18842</v>
      </c>
      <c r="E2267" s="213" t="s">
        <v>18843</v>
      </c>
      <c r="K2267" s="213" t="s">
        <v>69466</v>
      </c>
      <c r="L2267" s="213" t="s">
        <v>69562</v>
      </c>
      <c r="M2267" s="213" t="s">
        <v>69658</v>
      </c>
      <c r="N2267" s="213" t="s">
        <v>18844</v>
      </c>
      <c r="O2267" s="213" t="s">
        <v>18845</v>
      </c>
      <c r="P2267" s="213" t="s">
        <v>18846</v>
      </c>
      <c r="Q2267" s="213" t="s">
        <v>18847</v>
      </c>
      <c r="R2267" s="213" t="s">
        <v>18848</v>
      </c>
      <c r="S2267" s="213" t="s">
        <v>18849</v>
      </c>
      <c r="T2267" s="213" t="s">
        <v>18850</v>
      </c>
      <c r="U2267" s="213" t="s">
        <v>69754</v>
      </c>
    </row>
    <row r="2268" spans="1:21" x14ac:dyDescent="0.25">
      <c r="A2268" s="213" t="s">
        <v>327</v>
      </c>
      <c r="D2268" s="213" t="s">
        <v>18851</v>
      </c>
      <c r="E2268" s="213" t="s">
        <v>18852</v>
      </c>
      <c r="K2268" s="213" t="s">
        <v>69467</v>
      </c>
      <c r="L2268" s="213" t="s">
        <v>69563</v>
      </c>
      <c r="M2268" s="213" t="s">
        <v>69659</v>
      </c>
      <c r="N2268" s="213" t="s">
        <v>18853</v>
      </c>
      <c r="O2268" s="213" t="s">
        <v>18854</v>
      </c>
      <c r="P2268" s="213" t="s">
        <v>18855</v>
      </c>
      <c r="Q2268" s="213" t="s">
        <v>18856</v>
      </c>
      <c r="R2268" s="213" t="s">
        <v>18857</v>
      </c>
      <c r="S2268" s="213" t="s">
        <v>18858</v>
      </c>
      <c r="T2268" s="213" t="s">
        <v>18859</v>
      </c>
      <c r="U2268" s="213" t="s">
        <v>69755</v>
      </c>
    </row>
    <row r="2269" spans="1:21" x14ac:dyDescent="0.25">
      <c r="A2269" s="213" t="s">
        <v>327</v>
      </c>
      <c r="D2269" s="213" t="s">
        <v>18860</v>
      </c>
      <c r="E2269" s="213" t="s">
        <v>18861</v>
      </c>
      <c r="K2269" s="213" t="s">
        <v>69468</v>
      </c>
      <c r="L2269" s="213" t="s">
        <v>69564</v>
      </c>
      <c r="M2269" s="213" t="s">
        <v>69660</v>
      </c>
      <c r="N2269" s="213" t="s">
        <v>18862</v>
      </c>
      <c r="O2269" s="213" t="s">
        <v>18863</v>
      </c>
      <c r="P2269" s="213" t="s">
        <v>18864</v>
      </c>
      <c r="Q2269" s="213" t="s">
        <v>18865</v>
      </c>
      <c r="R2269" s="213" t="s">
        <v>18866</v>
      </c>
      <c r="S2269" s="213" t="s">
        <v>18867</v>
      </c>
      <c r="T2269" s="213" t="s">
        <v>18868</v>
      </c>
      <c r="U2269" s="213" t="s">
        <v>69756</v>
      </c>
    </row>
    <row r="2270" spans="1:21" x14ac:dyDescent="0.25">
      <c r="A2270" s="213" t="s">
        <v>327</v>
      </c>
      <c r="D2270" s="213" t="s">
        <v>18869</v>
      </c>
      <c r="E2270" s="213" t="s">
        <v>18870</v>
      </c>
      <c r="K2270" s="213" t="s">
        <v>69469</v>
      </c>
      <c r="L2270" s="213" t="s">
        <v>69565</v>
      </c>
      <c r="M2270" s="213" t="s">
        <v>69661</v>
      </c>
      <c r="N2270" s="213" t="s">
        <v>18871</v>
      </c>
      <c r="O2270" s="213" t="s">
        <v>18872</v>
      </c>
      <c r="P2270" s="213" t="s">
        <v>18873</v>
      </c>
      <c r="Q2270" s="213" t="s">
        <v>18874</v>
      </c>
      <c r="R2270" s="213" t="s">
        <v>18875</v>
      </c>
      <c r="S2270" s="213" t="s">
        <v>18876</v>
      </c>
      <c r="T2270" s="213" t="s">
        <v>18877</v>
      </c>
      <c r="U2270" s="213" t="s">
        <v>69757</v>
      </c>
    </row>
    <row r="2271" spans="1:21" x14ac:dyDescent="0.25">
      <c r="A2271" s="213" t="s">
        <v>327</v>
      </c>
      <c r="D2271" s="213" t="s">
        <v>18878</v>
      </c>
      <c r="E2271" s="213" t="s">
        <v>18879</v>
      </c>
      <c r="K2271" s="213" t="s">
        <v>69470</v>
      </c>
      <c r="L2271" s="213" t="s">
        <v>69566</v>
      </c>
      <c r="M2271" s="213" t="s">
        <v>69662</v>
      </c>
      <c r="N2271" s="213" t="s">
        <v>18880</v>
      </c>
      <c r="O2271" s="213" t="s">
        <v>18881</v>
      </c>
      <c r="P2271" s="213" t="s">
        <v>18882</v>
      </c>
      <c r="Q2271" s="213" t="s">
        <v>18883</v>
      </c>
      <c r="R2271" s="213" t="s">
        <v>18884</v>
      </c>
      <c r="S2271" s="213" t="s">
        <v>18885</v>
      </c>
      <c r="T2271" s="213" t="s">
        <v>18886</v>
      </c>
      <c r="U2271" s="213" t="s">
        <v>69758</v>
      </c>
    </row>
    <row r="2272" spans="1:21" x14ac:dyDescent="0.25">
      <c r="A2272" s="213" t="s">
        <v>327</v>
      </c>
      <c r="D2272" s="213" t="s">
        <v>18887</v>
      </c>
      <c r="E2272" s="213" t="s">
        <v>18888</v>
      </c>
      <c r="K2272" s="213" t="s">
        <v>69471</v>
      </c>
      <c r="L2272" s="213" t="s">
        <v>69567</v>
      </c>
      <c r="M2272" s="213" t="s">
        <v>69663</v>
      </c>
      <c r="N2272" s="213" t="s">
        <v>18889</v>
      </c>
      <c r="O2272" s="213" t="s">
        <v>18890</v>
      </c>
      <c r="P2272" s="213" t="s">
        <v>18891</v>
      </c>
      <c r="Q2272" s="213" t="s">
        <v>18892</v>
      </c>
      <c r="R2272" s="213" t="s">
        <v>18893</v>
      </c>
      <c r="S2272" s="213" t="s">
        <v>18894</v>
      </c>
      <c r="T2272" s="213" t="s">
        <v>18895</v>
      </c>
      <c r="U2272" s="213" t="s">
        <v>69759</v>
      </c>
    </row>
    <row r="2273" spans="1:21" x14ac:dyDescent="0.25">
      <c r="A2273" s="213" t="s">
        <v>327</v>
      </c>
      <c r="D2273" s="213" t="s">
        <v>18896</v>
      </c>
      <c r="E2273" s="213" t="s">
        <v>18897</v>
      </c>
      <c r="K2273" s="213" t="s">
        <v>69472</v>
      </c>
      <c r="L2273" s="213" t="s">
        <v>69568</v>
      </c>
      <c r="M2273" s="213" t="s">
        <v>69664</v>
      </c>
      <c r="N2273" s="213" t="s">
        <v>18898</v>
      </c>
      <c r="O2273" s="213" t="s">
        <v>18899</v>
      </c>
      <c r="P2273" s="213" t="s">
        <v>18900</v>
      </c>
      <c r="Q2273" s="213" t="s">
        <v>18901</v>
      </c>
      <c r="R2273" s="213" t="s">
        <v>18902</v>
      </c>
      <c r="S2273" s="213" t="s">
        <v>18903</v>
      </c>
      <c r="T2273" s="213" t="s">
        <v>18904</v>
      </c>
      <c r="U2273" s="213" t="s">
        <v>69760</v>
      </c>
    </row>
    <row r="2274" spans="1:21" x14ac:dyDescent="0.25">
      <c r="A2274" s="213" t="s">
        <v>327</v>
      </c>
      <c r="D2274" s="213" t="s">
        <v>18905</v>
      </c>
      <c r="E2274" s="213" t="s">
        <v>18906</v>
      </c>
      <c r="K2274" s="213" t="s">
        <v>69473</v>
      </c>
      <c r="L2274" s="213" t="s">
        <v>69569</v>
      </c>
      <c r="M2274" s="213" t="s">
        <v>69665</v>
      </c>
      <c r="N2274" s="213" t="s">
        <v>18907</v>
      </c>
      <c r="O2274" s="213" t="s">
        <v>18908</v>
      </c>
      <c r="P2274" s="213" t="s">
        <v>18909</v>
      </c>
      <c r="Q2274" s="213" t="s">
        <v>18910</v>
      </c>
      <c r="R2274" s="213" t="s">
        <v>18911</v>
      </c>
      <c r="S2274" s="213" t="s">
        <v>18912</v>
      </c>
      <c r="T2274" s="213" t="s">
        <v>18913</v>
      </c>
      <c r="U2274" s="213" t="s">
        <v>69761</v>
      </c>
    </row>
    <row r="2275" spans="1:21" x14ac:dyDescent="0.25">
      <c r="A2275" s="213" t="s">
        <v>327</v>
      </c>
      <c r="D2275" s="213" t="s">
        <v>18914</v>
      </c>
      <c r="E2275" s="213" t="s">
        <v>18915</v>
      </c>
      <c r="K2275" s="213" t="s">
        <v>69474</v>
      </c>
      <c r="L2275" s="213" t="s">
        <v>69570</v>
      </c>
      <c r="M2275" s="213" t="s">
        <v>69666</v>
      </c>
      <c r="N2275" s="213" t="s">
        <v>18916</v>
      </c>
      <c r="O2275" s="213" t="s">
        <v>18917</v>
      </c>
      <c r="P2275" s="213" t="s">
        <v>18918</v>
      </c>
      <c r="Q2275" s="213" t="s">
        <v>18919</v>
      </c>
      <c r="R2275" s="213" t="s">
        <v>18920</v>
      </c>
      <c r="S2275" s="213" t="s">
        <v>18921</v>
      </c>
      <c r="T2275" s="213" t="s">
        <v>18922</v>
      </c>
      <c r="U2275" s="213" t="s">
        <v>69762</v>
      </c>
    </row>
    <row r="2276" spans="1:21" x14ac:dyDescent="0.25">
      <c r="A2276" s="213" t="s">
        <v>327</v>
      </c>
      <c r="D2276" s="213" t="s">
        <v>18923</v>
      </c>
      <c r="E2276" s="213" t="s">
        <v>18924</v>
      </c>
      <c r="K2276" s="213" t="s">
        <v>69475</v>
      </c>
      <c r="L2276" s="213" t="s">
        <v>69571</v>
      </c>
      <c r="M2276" s="213" t="s">
        <v>69667</v>
      </c>
      <c r="N2276" s="213" t="s">
        <v>18925</v>
      </c>
      <c r="O2276" s="213" t="s">
        <v>18926</v>
      </c>
      <c r="P2276" s="213" t="s">
        <v>18927</v>
      </c>
      <c r="Q2276" s="213" t="s">
        <v>18928</v>
      </c>
      <c r="R2276" s="213" t="s">
        <v>18929</v>
      </c>
      <c r="S2276" s="213" t="s">
        <v>18930</v>
      </c>
      <c r="T2276" s="213" t="s">
        <v>18931</v>
      </c>
      <c r="U2276" s="213" t="s">
        <v>69763</v>
      </c>
    </row>
    <row r="2277" spans="1:21" x14ac:dyDescent="0.25">
      <c r="A2277" s="213" t="s">
        <v>327</v>
      </c>
      <c r="D2277" s="213" t="s">
        <v>18932</v>
      </c>
      <c r="E2277" s="213" t="s">
        <v>18933</v>
      </c>
      <c r="K2277" s="213" t="s">
        <v>69476</v>
      </c>
      <c r="L2277" s="213" t="s">
        <v>69572</v>
      </c>
      <c r="M2277" s="213" t="s">
        <v>69668</v>
      </c>
      <c r="N2277" s="213" t="s">
        <v>18934</v>
      </c>
      <c r="O2277" s="213" t="s">
        <v>18935</v>
      </c>
      <c r="P2277" s="213" t="s">
        <v>18936</v>
      </c>
      <c r="Q2277" s="213" t="s">
        <v>18937</v>
      </c>
      <c r="R2277" s="213" t="s">
        <v>18938</v>
      </c>
      <c r="S2277" s="213" t="s">
        <v>18939</v>
      </c>
      <c r="T2277" s="213" t="s">
        <v>18940</v>
      </c>
      <c r="U2277" s="213" t="s">
        <v>69764</v>
      </c>
    </row>
    <row r="2278" spans="1:21" x14ac:dyDescent="0.25">
      <c r="A2278" s="213" t="s">
        <v>327</v>
      </c>
      <c r="D2278" s="213" t="s">
        <v>18941</v>
      </c>
      <c r="E2278" s="213" t="s">
        <v>18942</v>
      </c>
      <c r="K2278" s="213" t="s">
        <v>69477</v>
      </c>
      <c r="L2278" s="213" t="s">
        <v>69573</v>
      </c>
      <c r="M2278" s="213" t="s">
        <v>69669</v>
      </c>
      <c r="N2278" s="213" t="s">
        <v>18943</v>
      </c>
      <c r="O2278" s="213" t="s">
        <v>18944</v>
      </c>
      <c r="P2278" s="213" t="s">
        <v>18945</v>
      </c>
      <c r="Q2278" s="213" t="s">
        <v>18946</v>
      </c>
      <c r="R2278" s="213" t="s">
        <v>18947</v>
      </c>
      <c r="S2278" s="213" t="s">
        <v>18948</v>
      </c>
      <c r="T2278" s="213" t="s">
        <v>18949</v>
      </c>
      <c r="U2278" s="213" t="s">
        <v>69765</v>
      </c>
    </row>
    <row r="2279" spans="1:21" x14ac:dyDescent="0.25">
      <c r="A2279" s="213" t="s">
        <v>327</v>
      </c>
      <c r="D2279" s="213" t="s">
        <v>18950</v>
      </c>
      <c r="E2279" s="213" t="s">
        <v>18951</v>
      </c>
      <c r="K2279" s="213" t="s">
        <v>69478</v>
      </c>
      <c r="L2279" s="213" t="s">
        <v>69574</v>
      </c>
      <c r="M2279" s="213" t="s">
        <v>69670</v>
      </c>
      <c r="N2279" s="213" t="s">
        <v>18952</v>
      </c>
      <c r="O2279" s="213" t="s">
        <v>18953</v>
      </c>
      <c r="P2279" s="213" t="s">
        <v>18954</v>
      </c>
      <c r="Q2279" s="213" t="s">
        <v>18955</v>
      </c>
      <c r="R2279" s="213" t="s">
        <v>18956</v>
      </c>
      <c r="S2279" s="213" t="s">
        <v>18957</v>
      </c>
      <c r="T2279" s="213" t="s">
        <v>18958</v>
      </c>
      <c r="U2279" s="213" t="s">
        <v>69766</v>
      </c>
    </row>
    <row r="2280" spans="1:21" x14ac:dyDescent="0.25">
      <c r="A2280" s="213" t="s">
        <v>327</v>
      </c>
      <c r="D2280" s="213" t="s">
        <v>18959</v>
      </c>
      <c r="E2280" s="213" t="s">
        <v>18960</v>
      </c>
      <c r="K2280" s="213" t="s">
        <v>69479</v>
      </c>
      <c r="L2280" s="213" t="s">
        <v>69575</v>
      </c>
      <c r="M2280" s="213" t="s">
        <v>69671</v>
      </c>
      <c r="N2280" s="213" t="s">
        <v>18961</v>
      </c>
      <c r="O2280" s="213" t="s">
        <v>18962</v>
      </c>
      <c r="P2280" s="213" t="s">
        <v>18963</v>
      </c>
      <c r="Q2280" s="213" t="s">
        <v>18964</v>
      </c>
      <c r="R2280" s="213" t="s">
        <v>18965</v>
      </c>
      <c r="S2280" s="213" t="s">
        <v>18966</v>
      </c>
      <c r="T2280" s="213" t="s">
        <v>18967</v>
      </c>
      <c r="U2280" s="213" t="s">
        <v>69767</v>
      </c>
    </row>
    <row r="2281" spans="1:21" x14ac:dyDescent="0.25">
      <c r="A2281" s="213" t="s">
        <v>327</v>
      </c>
      <c r="D2281" s="213" t="s">
        <v>18968</v>
      </c>
      <c r="E2281" s="213" t="s">
        <v>18969</v>
      </c>
      <c r="K2281" s="213" t="s">
        <v>69480</v>
      </c>
      <c r="L2281" s="213" t="s">
        <v>69576</v>
      </c>
      <c r="M2281" s="213" t="s">
        <v>69672</v>
      </c>
      <c r="N2281" s="213" t="s">
        <v>18970</v>
      </c>
      <c r="O2281" s="213" t="s">
        <v>18971</v>
      </c>
      <c r="P2281" s="213" t="s">
        <v>18972</v>
      </c>
      <c r="Q2281" s="213" t="s">
        <v>18973</v>
      </c>
      <c r="R2281" s="213" t="s">
        <v>18974</v>
      </c>
      <c r="S2281" s="213" t="s">
        <v>18975</v>
      </c>
      <c r="T2281" s="213" t="s">
        <v>18976</v>
      </c>
      <c r="U2281" s="213" t="s">
        <v>69768</v>
      </c>
    </row>
    <row r="2282" spans="1:21" x14ac:dyDescent="0.25">
      <c r="A2282" s="213" t="s">
        <v>327</v>
      </c>
      <c r="D2282" s="213" t="s">
        <v>18977</v>
      </c>
      <c r="E2282" s="213" t="s">
        <v>18978</v>
      </c>
      <c r="K2282" s="213" t="s">
        <v>69481</v>
      </c>
      <c r="L2282" s="213" t="s">
        <v>69577</v>
      </c>
      <c r="M2282" s="213" t="s">
        <v>69673</v>
      </c>
      <c r="N2282" s="213" t="s">
        <v>18979</v>
      </c>
      <c r="O2282" s="213" t="s">
        <v>18980</v>
      </c>
      <c r="P2282" s="213" t="s">
        <v>18981</v>
      </c>
      <c r="Q2282" s="213" t="s">
        <v>18982</v>
      </c>
      <c r="R2282" s="213" t="s">
        <v>18983</v>
      </c>
      <c r="S2282" s="213" t="s">
        <v>18984</v>
      </c>
      <c r="T2282" s="213" t="s">
        <v>18985</v>
      </c>
      <c r="U2282" s="213" t="s">
        <v>69769</v>
      </c>
    </row>
    <row r="2283" spans="1:21" x14ac:dyDescent="0.25">
      <c r="A2283" s="213" t="s">
        <v>327</v>
      </c>
      <c r="D2283" s="213" t="s">
        <v>18986</v>
      </c>
      <c r="E2283" s="213" t="s">
        <v>18987</v>
      </c>
      <c r="K2283" s="213" t="s">
        <v>69482</v>
      </c>
      <c r="L2283" s="213" t="s">
        <v>69578</v>
      </c>
      <c r="M2283" s="213" t="s">
        <v>69674</v>
      </c>
      <c r="N2283" s="213" t="s">
        <v>18988</v>
      </c>
      <c r="O2283" s="213" t="s">
        <v>18989</v>
      </c>
      <c r="P2283" s="213" t="s">
        <v>18990</v>
      </c>
      <c r="Q2283" s="213" t="s">
        <v>18991</v>
      </c>
      <c r="R2283" s="213" t="s">
        <v>18992</v>
      </c>
      <c r="S2283" s="213" t="s">
        <v>18993</v>
      </c>
      <c r="T2283" s="213" t="s">
        <v>18994</v>
      </c>
      <c r="U2283" s="213" t="s">
        <v>69770</v>
      </c>
    </row>
    <row r="2284" spans="1:21" x14ac:dyDescent="0.25">
      <c r="A2284" s="213" t="s">
        <v>327</v>
      </c>
      <c r="D2284" s="213" t="s">
        <v>18995</v>
      </c>
      <c r="E2284" s="213" t="s">
        <v>18996</v>
      </c>
      <c r="K2284" s="213" t="s">
        <v>69483</v>
      </c>
      <c r="L2284" s="213" t="s">
        <v>69579</v>
      </c>
      <c r="M2284" s="213" t="s">
        <v>69675</v>
      </c>
      <c r="N2284" s="213" t="s">
        <v>18997</v>
      </c>
      <c r="O2284" s="213" t="s">
        <v>18998</v>
      </c>
      <c r="P2284" s="213" t="s">
        <v>18999</v>
      </c>
      <c r="Q2284" s="213" t="s">
        <v>19000</v>
      </c>
      <c r="R2284" s="213" t="s">
        <v>19001</v>
      </c>
      <c r="S2284" s="213" t="s">
        <v>19002</v>
      </c>
      <c r="T2284" s="213" t="s">
        <v>19003</v>
      </c>
      <c r="U2284" s="213" t="s">
        <v>69771</v>
      </c>
    </row>
    <row r="2285" spans="1:21" x14ac:dyDescent="0.25">
      <c r="A2285" s="213" t="s">
        <v>327</v>
      </c>
      <c r="D2285" s="213" t="s">
        <v>19004</v>
      </c>
      <c r="E2285" s="213" t="s">
        <v>19005</v>
      </c>
      <c r="K2285" s="213" t="s">
        <v>69484</v>
      </c>
      <c r="L2285" s="213" t="s">
        <v>69580</v>
      </c>
      <c r="M2285" s="213" t="s">
        <v>69676</v>
      </c>
      <c r="N2285" s="213" t="s">
        <v>19006</v>
      </c>
      <c r="O2285" s="213" t="s">
        <v>19007</v>
      </c>
      <c r="P2285" s="213" t="s">
        <v>19008</v>
      </c>
      <c r="Q2285" s="213" t="s">
        <v>19009</v>
      </c>
      <c r="R2285" s="213" t="s">
        <v>19010</v>
      </c>
      <c r="S2285" s="213" t="s">
        <v>19011</v>
      </c>
      <c r="T2285" s="213" t="s">
        <v>19012</v>
      </c>
      <c r="U2285" s="213" t="s">
        <v>69772</v>
      </c>
    </row>
    <row r="2286" spans="1:21" x14ac:dyDescent="0.25">
      <c r="A2286" s="213" t="s">
        <v>327</v>
      </c>
      <c r="D2286" s="213" t="s">
        <v>19013</v>
      </c>
      <c r="E2286" s="213" t="s">
        <v>19014</v>
      </c>
      <c r="K2286" s="213" t="s">
        <v>69485</v>
      </c>
      <c r="L2286" s="213" t="s">
        <v>69581</v>
      </c>
      <c r="M2286" s="213" t="s">
        <v>69677</v>
      </c>
      <c r="N2286" s="213" t="s">
        <v>19015</v>
      </c>
      <c r="O2286" s="213" t="s">
        <v>19016</v>
      </c>
      <c r="P2286" s="213" t="s">
        <v>19017</v>
      </c>
      <c r="Q2286" s="213" t="s">
        <v>19018</v>
      </c>
      <c r="R2286" s="213" t="s">
        <v>19019</v>
      </c>
      <c r="S2286" s="213" t="s">
        <v>19020</v>
      </c>
      <c r="T2286" s="213" t="s">
        <v>19021</v>
      </c>
      <c r="U2286" s="213" t="s">
        <v>69773</v>
      </c>
    </row>
    <row r="2287" spans="1:21" x14ac:dyDescent="0.25">
      <c r="A2287" s="213" t="s">
        <v>327</v>
      </c>
      <c r="D2287" s="213" t="s">
        <v>19022</v>
      </c>
      <c r="E2287" s="213" t="s">
        <v>19023</v>
      </c>
      <c r="K2287" s="213" t="s">
        <v>69486</v>
      </c>
      <c r="L2287" s="213" t="s">
        <v>69582</v>
      </c>
      <c r="M2287" s="213" t="s">
        <v>69678</v>
      </c>
      <c r="N2287" s="213" t="s">
        <v>19024</v>
      </c>
      <c r="O2287" s="213" t="s">
        <v>19025</v>
      </c>
      <c r="P2287" s="213" t="s">
        <v>19026</v>
      </c>
      <c r="Q2287" s="213" t="s">
        <v>19027</v>
      </c>
      <c r="R2287" s="213" t="s">
        <v>19028</v>
      </c>
      <c r="S2287" s="213" t="s">
        <v>19029</v>
      </c>
      <c r="T2287" s="213" t="s">
        <v>19030</v>
      </c>
      <c r="U2287" s="213" t="s">
        <v>69774</v>
      </c>
    </row>
    <row r="2288" spans="1:21" x14ac:dyDescent="0.25">
      <c r="A2288" s="213" t="s">
        <v>327</v>
      </c>
      <c r="D2288" s="213" t="s">
        <v>19031</v>
      </c>
      <c r="E2288" s="213" t="s">
        <v>19032</v>
      </c>
      <c r="K2288" s="213" t="s">
        <v>69487</v>
      </c>
      <c r="L2288" s="213" t="s">
        <v>69583</v>
      </c>
      <c r="M2288" s="213" t="s">
        <v>69679</v>
      </c>
      <c r="N2288" s="213" t="s">
        <v>19033</v>
      </c>
      <c r="O2288" s="213" t="s">
        <v>19034</v>
      </c>
      <c r="P2288" s="213" t="s">
        <v>19035</v>
      </c>
      <c r="Q2288" s="213" t="s">
        <v>19036</v>
      </c>
      <c r="R2288" s="213" t="s">
        <v>19037</v>
      </c>
      <c r="S2288" s="213" t="s">
        <v>19038</v>
      </c>
      <c r="T2288" s="213" t="s">
        <v>19039</v>
      </c>
      <c r="U2288" s="213" t="s">
        <v>69775</v>
      </c>
    </row>
    <row r="2289" spans="1:21" x14ac:dyDescent="0.25">
      <c r="A2289" s="213" t="s">
        <v>327</v>
      </c>
      <c r="D2289" s="213" t="s">
        <v>19040</v>
      </c>
      <c r="E2289" s="213" t="s">
        <v>19041</v>
      </c>
      <c r="K2289" s="213" t="s">
        <v>69488</v>
      </c>
      <c r="L2289" s="213" t="s">
        <v>69584</v>
      </c>
      <c r="M2289" s="213" t="s">
        <v>69680</v>
      </c>
      <c r="N2289" s="213" t="s">
        <v>19042</v>
      </c>
      <c r="O2289" s="213" t="s">
        <v>19043</v>
      </c>
      <c r="P2289" s="213" t="s">
        <v>19044</v>
      </c>
      <c r="Q2289" s="213" t="s">
        <v>19045</v>
      </c>
      <c r="R2289" s="213" t="s">
        <v>19046</v>
      </c>
      <c r="S2289" s="213" t="s">
        <v>19047</v>
      </c>
      <c r="T2289" s="213" t="s">
        <v>19048</v>
      </c>
      <c r="U2289" s="213" t="s">
        <v>69776</v>
      </c>
    </row>
    <row r="2290" spans="1:21" x14ac:dyDescent="0.25">
      <c r="A2290" s="213" t="s">
        <v>327</v>
      </c>
      <c r="D2290" s="213" t="s">
        <v>19049</v>
      </c>
      <c r="E2290" s="213" t="s">
        <v>19050</v>
      </c>
      <c r="K2290" s="213" t="s">
        <v>69489</v>
      </c>
      <c r="L2290" s="213" t="s">
        <v>69585</v>
      </c>
      <c r="M2290" s="213" t="s">
        <v>69681</v>
      </c>
      <c r="N2290" s="213" t="s">
        <v>19051</v>
      </c>
      <c r="O2290" s="213" t="s">
        <v>19052</v>
      </c>
      <c r="P2290" s="213" t="s">
        <v>19053</v>
      </c>
      <c r="Q2290" s="213" t="s">
        <v>19054</v>
      </c>
      <c r="R2290" s="213" t="s">
        <v>19055</v>
      </c>
      <c r="S2290" s="213" t="s">
        <v>19056</v>
      </c>
      <c r="T2290" s="213" t="s">
        <v>19057</v>
      </c>
      <c r="U2290" s="213" t="s">
        <v>69777</v>
      </c>
    </row>
    <row r="2291" spans="1:21" x14ac:dyDescent="0.25">
      <c r="A2291" s="213" t="s">
        <v>327</v>
      </c>
      <c r="D2291" s="213" t="s">
        <v>19058</v>
      </c>
      <c r="E2291" s="213" t="s">
        <v>19059</v>
      </c>
      <c r="K2291" s="213" t="s">
        <v>69490</v>
      </c>
      <c r="L2291" s="213" t="s">
        <v>69586</v>
      </c>
      <c r="M2291" s="213" t="s">
        <v>69682</v>
      </c>
      <c r="N2291" s="213" t="s">
        <v>19060</v>
      </c>
      <c r="O2291" s="213" t="s">
        <v>19061</v>
      </c>
      <c r="P2291" s="213" t="s">
        <v>19062</v>
      </c>
      <c r="Q2291" s="213" t="s">
        <v>19063</v>
      </c>
      <c r="R2291" s="213" t="s">
        <v>19064</v>
      </c>
      <c r="S2291" s="213" t="s">
        <v>19065</v>
      </c>
      <c r="T2291" s="213" t="s">
        <v>19066</v>
      </c>
      <c r="U2291" s="213" t="s">
        <v>69778</v>
      </c>
    </row>
    <row r="2292" spans="1:21" x14ac:dyDescent="0.25">
      <c r="A2292" s="213" t="s">
        <v>327</v>
      </c>
      <c r="D2292" s="213" t="s">
        <v>19067</v>
      </c>
      <c r="E2292" s="213" t="s">
        <v>19068</v>
      </c>
      <c r="K2292" s="213" t="s">
        <v>69491</v>
      </c>
      <c r="L2292" s="213" t="s">
        <v>69587</v>
      </c>
      <c r="M2292" s="213" t="s">
        <v>69683</v>
      </c>
      <c r="N2292" s="213" t="s">
        <v>19069</v>
      </c>
      <c r="O2292" s="213" t="s">
        <v>19070</v>
      </c>
      <c r="P2292" s="213" t="s">
        <v>19071</v>
      </c>
      <c r="Q2292" s="213" t="s">
        <v>19072</v>
      </c>
      <c r="R2292" s="213" t="s">
        <v>19073</v>
      </c>
      <c r="S2292" s="213" t="s">
        <v>19074</v>
      </c>
      <c r="T2292" s="213" t="s">
        <v>19075</v>
      </c>
      <c r="U2292" s="213" t="s">
        <v>69779</v>
      </c>
    </row>
    <row r="2293" spans="1:21" x14ac:dyDescent="0.25">
      <c r="A2293" s="213" t="s">
        <v>327</v>
      </c>
      <c r="D2293" s="213" t="s">
        <v>19076</v>
      </c>
      <c r="E2293" s="213" t="s">
        <v>19077</v>
      </c>
      <c r="K2293" s="213" t="s">
        <v>69492</v>
      </c>
      <c r="L2293" s="213" t="s">
        <v>69588</v>
      </c>
      <c r="M2293" s="213" t="s">
        <v>69684</v>
      </c>
      <c r="N2293" s="213" t="s">
        <v>19078</v>
      </c>
      <c r="O2293" s="213" t="s">
        <v>19079</v>
      </c>
      <c r="P2293" s="213" t="s">
        <v>19080</v>
      </c>
      <c r="Q2293" s="213" t="s">
        <v>19081</v>
      </c>
      <c r="R2293" s="213" t="s">
        <v>19082</v>
      </c>
      <c r="S2293" s="213" t="s">
        <v>19083</v>
      </c>
      <c r="T2293" s="213" t="s">
        <v>19084</v>
      </c>
      <c r="U2293" s="213" t="s">
        <v>69780</v>
      </c>
    </row>
    <row r="2294" spans="1:21" x14ac:dyDescent="0.25">
      <c r="A2294" s="213" t="s">
        <v>327</v>
      </c>
      <c r="D2294" s="213" t="s">
        <v>19085</v>
      </c>
      <c r="E2294" s="213" t="s">
        <v>19086</v>
      </c>
      <c r="K2294" s="213" t="s">
        <v>69493</v>
      </c>
      <c r="L2294" s="213" t="s">
        <v>69589</v>
      </c>
      <c r="M2294" s="213" t="s">
        <v>69685</v>
      </c>
      <c r="N2294" s="213" t="s">
        <v>19087</v>
      </c>
      <c r="O2294" s="213" t="s">
        <v>19088</v>
      </c>
      <c r="P2294" s="213" t="s">
        <v>19089</v>
      </c>
      <c r="Q2294" s="213" t="s">
        <v>19090</v>
      </c>
      <c r="R2294" s="213" t="s">
        <v>19091</v>
      </c>
      <c r="S2294" s="213" t="s">
        <v>19092</v>
      </c>
      <c r="T2294" s="213" t="s">
        <v>19093</v>
      </c>
      <c r="U2294" s="213" t="s">
        <v>69781</v>
      </c>
    </row>
    <row r="2295" spans="1:21" x14ac:dyDescent="0.25">
      <c r="A2295" s="213" t="s">
        <v>327</v>
      </c>
      <c r="D2295" s="213" t="s">
        <v>19094</v>
      </c>
      <c r="E2295" s="213" t="s">
        <v>19095</v>
      </c>
      <c r="K2295" s="213" t="s">
        <v>69494</v>
      </c>
      <c r="L2295" s="213" t="s">
        <v>69590</v>
      </c>
      <c r="M2295" s="213" t="s">
        <v>69686</v>
      </c>
      <c r="N2295" s="213" t="s">
        <v>19096</v>
      </c>
      <c r="O2295" s="213" t="s">
        <v>19097</v>
      </c>
      <c r="P2295" s="213" t="s">
        <v>19098</v>
      </c>
      <c r="Q2295" s="213" t="s">
        <v>19099</v>
      </c>
      <c r="R2295" s="213" t="s">
        <v>19100</v>
      </c>
      <c r="S2295" s="213" t="s">
        <v>19101</v>
      </c>
      <c r="T2295" s="213" t="s">
        <v>19102</v>
      </c>
      <c r="U2295" s="213" t="s">
        <v>69782</v>
      </c>
    </row>
    <row r="2296" spans="1:21" x14ac:dyDescent="0.25">
      <c r="A2296" s="213" t="s">
        <v>327</v>
      </c>
      <c r="D2296" s="213" t="s">
        <v>19103</v>
      </c>
      <c r="E2296" s="213" t="s">
        <v>19104</v>
      </c>
      <c r="K2296" s="213" t="s">
        <v>69495</v>
      </c>
      <c r="L2296" s="213" t="s">
        <v>69591</v>
      </c>
      <c r="M2296" s="213" t="s">
        <v>69687</v>
      </c>
      <c r="N2296" s="213" t="s">
        <v>19105</v>
      </c>
      <c r="O2296" s="213" t="s">
        <v>19106</v>
      </c>
      <c r="P2296" s="213" t="s">
        <v>19107</v>
      </c>
      <c r="Q2296" s="213" t="s">
        <v>19108</v>
      </c>
      <c r="R2296" s="213" t="s">
        <v>19109</v>
      </c>
      <c r="S2296" s="213" t="s">
        <v>19110</v>
      </c>
      <c r="T2296" s="213" t="s">
        <v>19111</v>
      </c>
      <c r="U2296" s="213" t="s">
        <v>69783</v>
      </c>
    </row>
    <row r="2297" spans="1:21" x14ac:dyDescent="0.25">
      <c r="A2297" s="213" t="s">
        <v>327</v>
      </c>
      <c r="D2297" s="213" t="s">
        <v>19112</v>
      </c>
      <c r="E2297" s="213" t="s">
        <v>19113</v>
      </c>
      <c r="K2297" s="213" t="s">
        <v>69496</v>
      </c>
      <c r="L2297" s="213" t="s">
        <v>69592</v>
      </c>
      <c r="M2297" s="213" t="s">
        <v>69688</v>
      </c>
      <c r="N2297" s="213" t="s">
        <v>19114</v>
      </c>
      <c r="O2297" s="213" t="s">
        <v>19115</v>
      </c>
      <c r="P2297" s="213" t="s">
        <v>19116</v>
      </c>
      <c r="Q2297" s="213" t="s">
        <v>19117</v>
      </c>
      <c r="R2297" s="213" t="s">
        <v>19118</v>
      </c>
      <c r="S2297" s="213" t="s">
        <v>19119</v>
      </c>
      <c r="T2297" s="213" t="s">
        <v>19120</v>
      </c>
      <c r="U2297" s="213" t="s">
        <v>69784</v>
      </c>
    </row>
    <row r="2298" spans="1:21" x14ac:dyDescent="0.25">
      <c r="A2298" s="213" t="s">
        <v>327</v>
      </c>
      <c r="D2298" s="213" t="s">
        <v>19121</v>
      </c>
      <c r="E2298" s="213" t="s">
        <v>19122</v>
      </c>
      <c r="K2298" s="213" t="s">
        <v>69497</v>
      </c>
      <c r="L2298" s="213" t="s">
        <v>69593</v>
      </c>
      <c r="M2298" s="213" t="s">
        <v>69689</v>
      </c>
      <c r="N2298" s="213" t="s">
        <v>19123</v>
      </c>
      <c r="O2298" s="213" t="s">
        <v>19124</v>
      </c>
      <c r="P2298" s="213" t="s">
        <v>19125</v>
      </c>
      <c r="Q2298" s="213" t="s">
        <v>19126</v>
      </c>
      <c r="R2298" s="213" t="s">
        <v>19127</v>
      </c>
      <c r="S2298" s="213" t="s">
        <v>19128</v>
      </c>
      <c r="T2298" s="213" t="s">
        <v>19129</v>
      </c>
      <c r="U2298" s="213" t="s">
        <v>69785</v>
      </c>
    </row>
    <row r="2299" spans="1:21" x14ac:dyDescent="0.25">
      <c r="A2299" s="213" t="s">
        <v>327</v>
      </c>
      <c r="D2299" s="213" t="s">
        <v>19130</v>
      </c>
      <c r="E2299" s="213" t="s">
        <v>19131</v>
      </c>
      <c r="K2299" s="213" t="s">
        <v>69498</v>
      </c>
      <c r="L2299" s="213" t="s">
        <v>69594</v>
      </c>
      <c r="M2299" s="213" t="s">
        <v>69690</v>
      </c>
      <c r="N2299" s="213" t="s">
        <v>19132</v>
      </c>
      <c r="O2299" s="213" t="s">
        <v>19133</v>
      </c>
      <c r="P2299" s="213" t="s">
        <v>19134</v>
      </c>
      <c r="Q2299" s="213" t="s">
        <v>19135</v>
      </c>
      <c r="R2299" s="213" t="s">
        <v>19136</v>
      </c>
      <c r="S2299" s="213" t="s">
        <v>19137</v>
      </c>
      <c r="T2299" s="213" t="s">
        <v>19138</v>
      </c>
      <c r="U2299" s="213" t="s">
        <v>69786</v>
      </c>
    </row>
    <row r="2300" spans="1:21" x14ac:dyDescent="0.25">
      <c r="A2300" s="213" t="s">
        <v>327</v>
      </c>
      <c r="D2300" s="213" t="s">
        <v>19139</v>
      </c>
      <c r="E2300" s="213" t="s">
        <v>19140</v>
      </c>
      <c r="K2300" s="213" t="s">
        <v>69499</v>
      </c>
      <c r="L2300" s="213" t="s">
        <v>69595</v>
      </c>
      <c r="M2300" s="213" t="s">
        <v>69691</v>
      </c>
      <c r="N2300" s="213" t="s">
        <v>19141</v>
      </c>
      <c r="O2300" s="213" t="s">
        <v>19142</v>
      </c>
      <c r="P2300" s="213" t="s">
        <v>19143</v>
      </c>
      <c r="Q2300" s="213" t="s">
        <v>19144</v>
      </c>
      <c r="R2300" s="213" t="s">
        <v>19145</v>
      </c>
      <c r="S2300" s="213" t="s">
        <v>19146</v>
      </c>
      <c r="T2300" s="213" t="s">
        <v>19147</v>
      </c>
      <c r="U2300" s="213" t="s">
        <v>69787</v>
      </c>
    </row>
    <row r="2301" spans="1:21" x14ac:dyDescent="0.25">
      <c r="A2301" s="213" t="s">
        <v>327</v>
      </c>
      <c r="D2301" s="213" t="s">
        <v>19148</v>
      </c>
      <c r="E2301" s="213" t="s">
        <v>19149</v>
      </c>
      <c r="K2301" s="213" t="s">
        <v>69500</v>
      </c>
      <c r="L2301" s="213" t="s">
        <v>69596</v>
      </c>
      <c r="M2301" s="213" t="s">
        <v>69692</v>
      </c>
      <c r="N2301" s="213" t="s">
        <v>19150</v>
      </c>
      <c r="O2301" s="213" t="s">
        <v>19151</v>
      </c>
      <c r="P2301" s="213" t="s">
        <v>19152</v>
      </c>
      <c r="Q2301" s="213" t="s">
        <v>19153</v>
      </c>
      <c r="R2301" s="213" t="s">
        <v>19154</v>
      </c>
      <c r="S2301" s="213" t="s">
        <v>19155</v>
      </c>
      <c r="T2301" s="213" t="s">
        <v>19156</v>
      </c>
      <c r="U2301" s="213" t="s">
        <v>69788</v>
      </c>
    </row>
    <row r="2302" spans="1:21" x14ac:dyDescent="0.25">
      <c r="A2302" s="213" t="s">
        <v>327</v>
      </c>
      <c r="D2302" s="213" t="s">
        <v>19157</v>
      </c>
      <c r="E2302" s="213" t="s">
        <v>19158</v>
      </c>
      <c r="K2302" s="213" t="s">
        <v>69501</v>
      </c>
      <c r="L2302" s="213" t="s">
        <v>69597</v>
      </c>
      <c r="M2302" s="213" t="s">
        <v>69693</v>
      </c>
      <c r="N2302" s="213" t="s">
        <v>19159</v>
      </c>
      <c r="O2302" s="213" t="s">
        <v>19160</v>
      </c>
      <c r="P2302" s="213" t="s">
        <v>19161</v>
      </c>
      <c r="Q2302" s="213" t="s">
        <v>19162</v>
      </c>
      <c r="R2302" s="213" t="s">
        <v>19163</v>
      </c>
      <c r="S2302" s="213" t="s">
        <v>19164</v>
      </c>
      <c r="T2302" s="213" t="s">
        <v>19165</v>
      </c>
      <c r="U2302" s="213" t="s">
        <v>69789</v>
      </c>
    </row>
    <row r="2303" spans="1:21" x14ac:dyDescent="0.25">
      <c r="A2303" s="213" t="s">
        <v>327</v>
      </c>
      <c r="D2303" s="213" t="s">
        <v>19166</v>
      </c>
      <c r="E2303" s="213" t="s">
        <v>19167</v>
      </c>
      <c r="K2303" s="213" t="s">
        <v>69502</v>
      </c>
      <c r="L2303" s="213" t="s">
        <v>69598</v>
      </c>
      <c r="M2303" s="213" t="s">
        <v>69694</v>
      </c>
      <c r="N2303" s="213" t="s">
        <v>19168</v>
      </c>
      <c r="O2303" s="213" t="s">
        <v>19169</v>
      </c>
      <c r="P2303" s="213" t="s">
        <v>19170</v>
      </c>
      <c r="Q2303" s="213" t="s">
        <v>19171</v>
      </c>
      <c r="R2303" s="213" t="s">
        <v>19172</v>
      </c>
      <c r="S2303" s="213" t="s">
        <v>19173</v>
      </c>
      <c r="T2303" s="213" t="s">
        <v>19174</v>
      </c>
      <c r="U2303" s="213" t="s">
        <v>69790</v>
      </c>
    </row>
    <row r="2304" spans="1:21" x14ac:dyDescent="0.25">
      <c r="A2304" s="213" t="s">
        <v>327</v>
      </c>
      <c r="D2304" s="213" t="s">
        <v>19175</v>
      </c>
      <c r="E2304" s="213" t="s">
        <v>19176</v>
      </c>
      <c r="K2304" s="213" t="s">
        <v>69503</v>
      </c>
      <c r="L2304" s="213" t="s">
        <v>69599</v>
      </c>
      <c r="M2304" s="213" t="s">
        <v>69695</v>
      </c>
      <c r="N2304" s="213" t="s">
        <v>19177</v>
      </c>
      <c r="O2304" s="213" t="s">
        <v>19178</v>
      </c>
      <c r="P2304" s="213" t="s">
        <v>19179</v>
      </c>
      <c r="Q2304" s="213" t="s">
        <v>19180</v>
      </c>
      <c r="R2304" s="213" t="s">
        <v>19181</v>
      </c>
      <c r="S2304" s="213" t="s">
        <v>19182</v>
      </c>
      <c r="T2304" s="213" t="s">
        <v>19183</v>
      </c>
      <c r="U2304" s="213" t="s">
        <v>69791</v>
      </c>
    </row>
    <row r="2305" spans="1:21" x14ac:dyDescent="0.25">
      <c r="A2305" s="213" t="s">
        <v>327</v>
      </c>
      <c r="D2305" s="213" t="s">
        <v>19184</v>
      </c>
      <c r="E2305" s="213" t="s">
        <v>19185</v>
      </c>
      <c r="K2305" s="213" t="s">
        <v>69504</v>
      </c>
      <c r="L2305" s="213" t="s">
        <v>69600</v>
      </c>
      <c r="M2305" s="213" t="s">
        <v>69696</v>
      </c>
      <c r="N2305" s="213" t="s">
        <v>19186</v>
      </c>
      <c r="O2305" s="213" t="s">
        <v>19187</v>
      </c>
      <c r="P2305" s="213" t="s">
        <v>19188</v>
      </c>
      <c r="Q2305" s="213" t="s">
        <v>19189</v>
      </c>
      <c r="R2305" s="213" t="s">
        <v>19190</v>
      </c>
      <c r="S2305" s="213" t="s">
        <v>19191</v>
      </c>
      <c r="T2305" s="213" t="s">
        <v>19192</v>
      </c>
      <c r="U2305" s="213" t="s">
        <v>69792</v>
      </c>
    </row>
    <row r="2306" spans="1:21" x14ac:dyDescent="0.25">
      <c r="A2306" s="213" t="s">
        <v>327</v>
      </c>
      <c r="D2306" s="213" t="s">
        <v>19193</v>
      </c>
      <c r="E2306" s="213" t="s">
        <v>19194</v>
      </c>
      <c r="K2306" s="213" t="s">
        <v>69505</v>
      </c>
      <c r="L2306" s="213" t="s">
        <v>69601</v>
      </c>
      <c r="M2306" s="213" t="s">
        <v>69697</v>
      </c>
      <c r="N2306" s="213" t="s">
        <v>19195</v>
      </c>
      <c r="O2306" s="213" t="s">
        <v>19196</v>
      </c>
      <c r="P2306" s="213" t="s">
        <v>19197</v>
      </c>
      <c r="Q2306" s="213" t="s">
        <v>19198</v>
      </c>
      <c r="R2306" s="213" t="s">
        <v>19199</v>
      </c>
      <c r="S2306" s="213" t="s">
        <v>19200</v>
      </c>
      <c r="T2306" s="213" t="s">
        <v>19201</v>
      </c>
      <c r="U2306" s="213" t="s">
        <v>69793</v>
      </c>
    </row>
    <row r="2307" spans="1:21" x14ac:dyDescent="0.25">
      <c r="A2307" s="213" t="s">
        <v>327</v>
      </c>
      <c r="D2307" s="213" t="s">
        <v>19202</v>
      </c>
      <c r="E2307" s="213" t="s">
        <v>19203</v>
      </c>
      <c r="K2307" s="213" t="s">
        <v>69506</v>
      </c>
      <c r="L2307" s="213" t="s">
        <v>69602</v>
      </c>
      <c r="M2307" s="213" t="s">
        <v>69698</v>
      </c>
      <c r="N2307" s="213" t="s">
        <v>19204</v>
      </c>
      <c r="O2307" s="213" t="s">
        <v>19205</v>
      </c>
      <c r="P2307" s="213" t="s">
        <v>19206</v>
      </c>
      <c r="Q2307" s="213" t="s">
        <v>19207</v>
      </c>
      <c r="R2307" s="213" t="s">
        <v>19208</v>
      </c>
      <c r="S2307" s="213" t="s">
        <v>19209</v>
      </c>
      <c r="T2307" s="213" t="s">
        <v>19210</v>
      </c>
      <c r="U2307" s="213" t="s">
        <v>69794</v>
      </c>
    </row>
    <row r="2308" spans="1:21" x14ac:dyDescent="0.25">
      <c r="A2308" s="213" t="s">
        <v>327</v>
      </c>
      <c r="D2308" s="213" t="s">
        <v>19211</v>
      </c>
      <c r="E2308" s="213" t="s">
        <v>19212</v>
      </c>
      <c r="K2308" s="213" t="s">
        <v>69507</v>
      </c>
      <c r="L2308" s="213" t="s">
        <v>69603</v>
      </c>
      <c r="M2308" s="213" t="s">
        <v>69699</v>
      </c>
      <c r="N2308" s="213" t="s">
        <v>19213</v>
      </c>
      <c r="O2308" s="213" t="s">
        <v>19214</v>
      </c>
      <c r="P2308" s="213" t="s">
        <v>19215</v>
      </c>
      <c r="Q2308" s="213" t="s">
        <v>19216</v>
      </c>
      <c r="R2308" s="213" t="s">
        <v>19217</v>
      </c>
      <c r="S2308" s="213" t="s">
        <v>19218</v>
      </c>
      <c r="T2308" s="213" t="s">
        <v>19219</v>
      </c>
      <c r="U2308" s="213" t="s">
        <v>69795</v>
      </c>
    </row>
    <row r="2309" spans="1:21" x14ac:dyDescent="0.25">
      <c r="A2309" s="213" t="s">
        <v>327</v>
      </c>
      <c r="D2309" s="213" t="s">
        <v>19220</v>
      </c>
      <c r="E2309" s="213" t="s">
        <v>19221</v>
      </c>
      <c r="K2309" s="213" t="s">
        <v>69508</v>
      </c>
      <c r="L2309" s="213" t="s">
        <v>69604</v>
      </c>
      <c r="M2309" s="213" t="s">
        <v>69700</v>
      </c>
      <c r="N2309" s="213" t="s">
        <v>19222</v>
      </c>
      <c r="O2309" s="213" t="s">
        <v>19223</v>
      </c>
      <c r="P2309" s="213" t="s">
        <v>19224</v>
      </c>
      <c r="Q2309" s="213" t="s">
        <v>19225</v>
      </c>
      <c r="R2309" s="213" t="s">
        <v>19226</v>
      </c>
      <c r="S2309" s="213" t="s">
        <v>19227</v>
      </c>
      <c r="T2309" s="213" t="s">
        <v>19228</v>
      </c>
      <c r="U2309" s="213" t="s">
        <v>69796</v>
      </c>
    </row>
    <row r="2310" spans="1:21" x14ac:dyDescent="0.25">
      <c r="A2310" s="213" t="s">
        <v>327</v>
      </c>
      <c r="D2310" s="213" t="s">
        <v>19229</v>
      </c>
      <c r="E2310" s="213" t="s">
        <v>19230</v>
      </c>
      <c r="K2310" s="213" t="s">
        <v>69509</v>
      </c>
      <c r="L2310" s="213" t="s">
        <v>69605</v>
      </c>
      <c r="M2310" s="213" t="s">
        <v>69701</v>
      </c>
      <c r="N2310" s="213" t="s">
        <v>19231</v>
      </c>
      <c r="O2310" s="213" t="s">
        <v>19232</v>
      </c>
      <c r="P2310" s="213" t="s">
        <v>19233</v>
      </c>
      <c r="Q2310" s="213" t="s">
        <v>19234</v>
      </c>
      <c r="R2310" s="213" t="s">
        <v>19235</v>
      </c>
      <c r="S2310" s="213" t="s">
        <v>19236</v>
      </c>
      <c r="T2310" s="213" t="s">
        <v>19237</v>
      </c>
      <c r="U2310" s="213" t="s">
        <v>69797</v>
      </c>
    </row>
    <row r="2311" spans="1:21" x14ac:dyDescent="0.25">
      <c r="A2311" s="213" t="s">
        <v>327</v>
      </c>
      <c r="D2311" s="213" t="s">
        <v>19238</v>
      </c>
      <c r="E2311" s="213" t="s">
        <v>19239</v>
      </c>
      <c r="K2311" s="213" t="s">
        <v>69510</v>
      </c>
      <c r="L2311" s="213" t="s">
        <v>69606</v>
      </c>
      <c r="M2311" s="213" t="s">
        <v>69702</v>
      </c>
      <c r="N2311" s="213" t="s">
        <v>19240</v>
      </c>
      <c r="O2311" s="213" t="s">
        <v>19241</v>
      </c>
      <c r="P2311" s="213" t="s">
        <v>19242</v>
      </c>
      <c r="Q2311" s="213" t="s">
        <v>19243</v>
      </c>
      <c r="R2311" s="213" t="s">
        <v>19244</v>
      </c>
      <c r="S2311" s="213" t="s">
        <v>19245</v>
      </c>
      <c r="T2311" s="213" t="s">
        <v>19246</v>
      </c>
      <c r="U2311" s="213" t="s">
        <v>69798</v>
      </c>
    </row>
    <row r="2312" spans="1:21" x14ac:dyDescent="0.25">
      <c r="A2312" s="213" t="s">
        <v>327</v>
      </c>
      <c r="D2312" s="213" t="s">
        <v>19247</v>
      </c>
      <c r="E2312" s="213" t="s">
        <v>19248</v>
      </c>
      <c r="K2312" s="213" t="s">
        <v>69511</v>
      </c>
      <c r="L2312" s="213" t="s">
        <v>69607</v>
      </c>
      <c r="M2312" s="213" t="s">
        <v>69703</v>
      </c>
      <c r="N2312" s="213" t="s">
        <v>19249</v>
      </c>
      <c r="O2312" s="213" t="s">
        <v>19250</v>
      </c>
      <c r="P2312" s="213" t="s">
        <v>19251</v>
      </c>
      <c r="Q2312" s="213" t="s">
        <v>19252</v>
      </c>
      <c r="R2312" s="213" t="s">
        <v>19253</v>
      </c>
      <c r="S2312" s="213" t="s">
        <v>19254</v>
      </c>
      <c r="T2312" s="213" t="s">
        <v>19255</v>
      </c>
      <c r="U2312" s="213" t="s">
        <v>69799</v>
      </c>
    </row>
    <row r="2313" spans="1:21" x14ac:dyDescent="0.25">
      <c r="A2313" s="213" t="s">
        <v>327</v>
      </c>
      <c r="D2313" s="213" t="s">
        <v>19256</v>
      </c>
      <c r="E2313" s="213" t="s">
        <v>19257</v>
      </c>
      <c r="K2313" s="213" t="s">
        <v>69512</v>
      </c>
      <c r="L2313" s="213" t="s">
        <v>69608</v>
      </c>
      <c r="M2313" s="213" t="s">
        <v>69704</v>
      </c>
      <c r="N2313" s="213" t="s">
        <v>19258</v>
      </c>
      <c r="O2313" s="213" t="s">
        <v>19259</v>
      </c>
      <c r="P2313" s="213" t="s">
        <v>19260</v>
      </c>
      <c r="Q2313" s="213" t="s">
        <v>19261</v>
      </c>
      <c r="R2313" s="213" t="s">
        <v>19262</v>
      </c>
      <c r="S2313" s="213" t="s">
        <v>19263</v>
      </c>
      <c r="T2313" s="213" t="s">
        <v>19264</v>
      </c>
      <c r="U2313" s="213" t="s">
        <v>69800</v>
      </c>
    </row>
    <row r="2314" spans="1:21" x14ac:dyDescent="0.25">
      <c r="A2314" s="213" t="s">
        <v>327</v>
      </c>
      <c r="D2314" s="213" t="s">
        <v>19265</v>
      </c>
      <c r="E2314" s="213" t="s">
        <v>19266</v>
      </c>
      <c r="K2314" s="213" t="s">
        <v>69513</v>
      </c>
      <c r="L2314" s="213" t="s">
        <v>69609</v>
      </c>
      <c r="M2314" s="213" t="s">
        <v>69705</v>
      </c>
      <c r="N2314" s="213" t="s">
        <v>19267</v>
      </c>
      <c r="O2314" s="213" t="s">
        <v>19268</v>
      </c>
      <c r="P2314" s="213" t="s">
        <v>19269</v>
      </c>
      <c r="Q2314" s="213" t="s">
        <v>19270</v>
      </c>
      <c r="R2314" s="213" t="s">
        <v>19271</v>
      </c>
      <c r="S2314" s="213" t="s">
        <v>19272</v>
      </c>
      <c r="T2314" s="213" t="s">
        <v>19273</v>
      </c>
      <c r="U2314" s="213" t="s">
        <v>69801</v>
      </c>
    </row>
    <row r="2315" spans="1:21" x14ac:dyDescent="0.25">
      <c r="A2315" s="213" t="s">
        <v>327</v>
      </c>
      <c r="D2315" s="213" t="s">
        <v>19274</v>
      </c>
      <c r="E2315" s="213" t="s">
        <v>19275</v>
      </c>
      <c r="K2315" s="213" t="s">
        <v>69514</v>
      </c>
      <c r="L2315" s="213" t="s">
        <v>69610</v>
      </c>
      <c r="M2315" s="213" t="s">
        <v>69706</v>
      </c>
      <c r="N2315" s="213" t="s">
        <v>19276</v>
      </c>
      <c r="O2315" s="213" t="s">
        <v>19277</v>
      </c>
      <c r="P2315" s="213" t="s">
        <v>19278</v>
      </c>
      <c r="Q2315" s="213" t="s">
        <v>19279</v>
      </c>
      <c r="R2315" s="213" t="s">
        <v>19280</v>
      </c>
      <c r="S2315" s="213" t="s">
        <v>19281</v>
      </c>
      <c r="T2315" s="213" t="s">
        <v>19282</v>
      </c>
      <c r="U2315" s="213" t="s">
        <v>69802</v>
      </c>
    </row>
    <row r="2316" spans="1:21" x14ac:dyDescent="0.25">
      <c r="A2316" s="213" t="s">
        <v>327</v>
      </c>
      <c r="D2316" s="213" t="s">
        <v>19283</v>
      </c>
      <c r="E2316" s="213" t="s">
        <v>19284</v>
      </c>
      <c r="K2316" s="213" t="s">
        <v>69515</v>
      </c>
      <c r="L2316" s="213" t="s">
        <v>69611</v>
      </c>
      <c r="M2316" s="213" t="s">
        <v>69707</v>
      </c>
      <c r="N2316" s="213" t="s">
        <v>19285</v>
      </c>
      <c r="O2316" s="213" t="s">
        <v>19286</v>
      </c>
      <c r="P2316" s="213" t="s">
        <v>19287</v>
      </c>
      <c r="Q2316" s="213" t="s">
        <v>19288</v>
      </c>
      <c r="R2316" s="213" t="s">
        <v>19289</v>
      </c>
      <c r="S2316" s="213" t="s">
        <v>19290</v>
      </c>
      <c r="T2316" s="213" t="s">
        <v>19291</v>
      </c>
      <c r="U2316" s="213" t="s">
        <v>69803</v>
      </c>
    </row>
    <row r="2317" spans="1:21" x14ac:dyDescent="0.25">
      <c r="A2317" s="213" t="s">
        <v>327</v>
      </c>
      <c r="D2317" s="213" t="s">
        <v>19292</v>
      </c>
      <c r="E2317" s="213" t="s">
        <v>19293</v>
      </c>
      <c r="K2317" s="213" t="s">
        <v>69516</v>
      </c>
      <c r="L2317" s="213" t="s">
        <v>69612</v>
      </c>
      <c r="M2317" s="213" t="s">
        <v>69708</v>
      </c>
      <c r="N2317" s="213" t="s">
        <v>19294</v>
      </c>
      <c r="O2317" s="213" t="s">
        <v>19295</v>
      </c>
      <c r="P2317" s="213" t="s">
        <v>19296</v>
      </c>
      <c r="Q2317" s="213" t="s">
        <v>19297</v>
      </c>
      <c r="R2317" s="213" t="s">
        <v>19298</v>
      </c>
      <c r="S2317" s="213" t="s">
        <v>19299</v>
      </c>
      <c r="T2317" s="213" t="s">
        <v>19300</v>
      </c>
      <c r="U2317" s="213" t="s">
        <v>69804</v>
      </c>
    </row>
    <row r="2318" spans="1:21" x14ac:dyDescent="0.25">
      <c r="A2318" s="213" t="s">
        <v>327</v>
      </c>
      <c r="D2318" s="213" t="s">
        <v>19301</v>
      </c>
      <c r="E2318" s="213" t="s">
        <v>19302</v>
      </c>
      <c r="K2318" s="213" t="s">
        <v>69517</v>
      </c>
      <c r="L2318" s="213" t="s">
        <v>69613</v>
      </c>
      <c r="M2318" s="213" t="s">
        <v>69709</v>
      </c>
      <c r="N2318" s="213" t="s">
        <v>19303</v>
      </c>
      <c r="O2318" s="213" t="s">
        <v>19304</v>
      </c>
      <c r="P2318" s="213" t="s">
        <v>19305</v>
      </c>
      <c r="Q2318" s="213" t="s">
        <v>19306</v>
      </c>
      <c r="R2318" s="213" t="s">
        <v>19307</v>
      </c>
      <c r="S2318" s="213" t="s">
        <v>19308</v>
      </c>
      <c r="T2318" s="213" t="s">
        <v>19309</v>
      </c>
      <c r="U2318" s="213" t="s">
        <v>69805</v>
      </c>
    </row>
    <row r="2319" spans="1:21" x14ac:dyDescent="0.25">
      <c r="A2319" s="213" t="s">
        <v>327</v>
      </c>
      <c r="D2319" s="213" t="s">
        <v>19310</v>
      </c>
      <c r="E2319" s="213" t="s">
        <v>19311</v>
      </c>
      <c r="K2319" s="213" t="s">
        <v>69518</v>
      </c>
      <c r="L2319" s="213" t="s">
        <v>69614</v>
      </c>
      <c r="M2319" s="213" t="s">
        <v>69710</v>
      </c>
      <c r="N2319" s="213" t="s">
        <v>19312</v>
      </c>
      <c r="O2319" s="213" t="s">
        <v>19313</v>
      </c>
      <c r="P2319" s="213" t="s">
        <v>19314</v>
      </c>
      <c r="Q2319" s="213" t="s">
        <v>19315</v>
      </c>
      <c r="R2319" s="213" t="s">
        <v>19316</v>
      </c>
      <c r="S2319" s="213" t="s">
        <v>19317</v>
      </c>
      <c r="T2319" s="213" t="s">
        <v>19318</v>
      </c>
      <c r="U2319" s="213" t="s">
        <v>69806</v>
      </c>
    </row>
    <row r="2320" spans="1:21" x14ac:dyDescent="0.25">
      <c r="A2320" s="213" t="s">
        <v>327</v>
      </c>
      <c r="D2320" s="213" t="s">
        <v>19319</v>
      </c>
      <c r="E2320" s="213" t="s">
        <v>19320</v>
      </c>
      <c r="K2320" s="213" t="s">
        <v>69519</v>
      </c>
      <c r="L2320" s="213" t="s">
        <v>69615</v>
      </c>
      <c r="M2320" s="213" t="s">
        <v>69711</v>
      </c>
      <c r="N2320" s="213" t="s">
        <v>19321</v>
      </c>
      <c r="O2320" s="213" t="s">
        <v>19322</v>
      </c>
      <c r="P2320" s="213" t="s">
        <v>19323</v>
      </c>
      <c r="Q2320" s="213" t="s">
        <v>19324</v>
      </c>
      <c r="R2320" s="213" t="s">
        <v>19325</v>
      </c>
      <c r="S2320" s="213" t="s">
        <v>19326</v>
      </c>
      <c r="T2320" s="213" t="s">
        <v>19327</v>
      </c>
      <c r="U2320" s="213" t="s">
        <v>69807</v>
      </c>
    </row>
    <row r="2321" spans="1:21" x14ac:dyDescent="0.25">
      <c r="A2321" s="213" t="s">
        <v>327</v>
      </c>
      <c r="D2321" s="213" t="s">
        <v>19328</v>
      </c>
      <c r="E2321" s="213" t="s">
        <v>19329</v>
      </c>
      <c r="K2321" s="213" t="s">
        <v>69520</v>
      </c>
      <c r="L2321" s="213" t="s">
        <v>69616</v>
      </c>
      <c r="M2321" s="213" t="s">
        <v>69712</v>
      </c>
      <c r="N2321" s="213" t="s">
        <v>19330</v>
      </c>
      <c r="O2321" s="213" t="s">
        <v>19331</v>
      </c>
      <c r="P2321" s="213" t="s">
        <v>19332</v>
      </c>
      <c r="Q2321" s="213" t="s">
        <v>19333</v>
      </c>
      <c r="R2321" s="213" t="s">
        <v>19334</v>
      </c>
      <c r="S2321" s="213" t="s">
        <v>19335</v>
      </c>
      <c r="T2321" s="213" t="s">
        <v>19336</v>
      </c>
      <c r="U2321" s="213" t="s">
        <v>69808</v>
      </c>
    </row>
    <row r="2322" spans="1:21" x14ac:dyDescent="0.25">
      <c r="A2322" s="213" t="s">
        <v>327</v>
      </c>
      <c r="D2322" s="213" t="s">
        <v>19337</v>
      </c>
      <c r="E2322" s="213" t="s">
        <v>19338</v>
      </c>
      <c r="K2322" s="213" t="s">
        <v>69521</v>
      </c>
      <c r="L2322" s="213" t="s">
        <v>69617</v>
      </c>
      <c r="M2322" s="213" t="s">
        <v>69713</v>
      </c>
      <c r="N2322" s="213" t="s">
        <v>19339</v>
      </c>
      <c r="O2322" s="213" t="s">
        <v>19340</v>
      </c>
      <c r="P2322" s="213" t="s">
        <v>19341</v>
      </c>
      <c r="Q2322" s="213" t="s">
        <v>19342</v>
      </c>
      <c r="R2322" s="213" t="s">
        <v>19343</v>
      </c>
      <c r="S2322" s="213" t="s">
        <v>19344</v>
      </c>
      <c r="T2322" s="213" t="s">
        <v>19345</v>
      </c>
      <c r="U2322" s="213" t="s">
        <v>69809</v>
      </c>
    </row>
    <row r="2323" spans="1:21" x14ac:dyDescent="0.25">
      <c r="A2323" s="213" t="s">
        <v>327</v>
      </c>
      <c r="D2323" s="213" t="s">
        <v>19346</v>
      </c>
      <c r="E2323" s="213" t="s">
        <v>19347</v>
      </c>
      <c r="K2323" s="213" t="s">
        <v>69522</v>
      </c>
      <c r="L2323" s="213" t="s">
        <v>69618</v>
      </c>
      <c r="M2323" s="213" t="s">
        <v>69714</v>
      </c>
      <c r="N2323" s="213" t="s">
        <v>19348</v>
      </c>
      <c r="O2323" s="213" t="s">
        <v>19349</v>
      </c>
      <c r="P2323" s="213" t="s">
        <v>19350</v>
      </c>
      <c r="Q2323" s="213" t="s">
        <v>19351</v>
      </c>
      <c r="R2323" s="213" t="s">
        <v>19352</v>
      </c>
      <c r="S2323" s="213" t="s">
        <v>19353</v>
      </c>
      <c r="T2323" s="213" t="s">
        <v>19354</v>
      </c>
      <c r="U2323" s="213" t="s">
        <v>69810</v>
      </c>
    </row>
    <row r="2324" spans="1:21" x14ac:dyDescent="0.25">
      <c r="A2324" s="213" t="s">
        <v>327</v>
      </c>
      <c r="D2324" s="213" t="s">
        <v>19355</v>
      </c>
      <c r="E2324" s="213" t="s">
        <v>19356</v>
      </c>
      <c r="K2324" s="213" t="s">
        <v>69523</v>
      </c>
      <c r="L2324" s="213" t="s">
        <v>69619</v>
      </c>
      <c r="M2324" s="213" t="s">
        <v>69715</v>
      </c>
      <c r="N2324" s="213" t="s">
        <v>19357</v>
      </c>
      <c r="O2324" s="213" t="s">
        <v>19358</v>
      </c>
      <c r="P2324" s="213" t="s">
        <v>19359</v>
      </c>
      <c r="Q2324" s="213" t="s">
        <v>19360</v>
      </c>
      <c r="R2324" s="213" t="s">
        <v>19361</v>
      </c>
      <c r="S2324" s="213" t="s">
        <v>19362</v>
      </c>
      <c r="T2324" s="213" t="s">
        <v>19363</v>
      </c>
      <c r="U2324" s="213" t="s">
        <v>69811</v>
      </c>
    </row>
    <row r="2325" spans="1:21" x14ac:dyDescent="0.25">
      <c r="A2325" s="213" t="s">
        <v>327</v>
      </c>
      <c r="D2325" s="213" t="s">
        <v>19364</v>
      </c>
      <c r="E2325" s="213" t="s">
        <v>19365</v>
      </c>
      <c r="K2325" s="213" t="s">
        <v>69524</v>
      </c>
      <c r="L2325" s="213" t="s">
        <v>69620</v>
      </c>
      <c r="M2325" s="213" t="s">
        <v>69716</v>
      </c>
      <c r="N2325" s="213" t="s">
        <v>19366</v>
      </c>
      <c r="O2325" s="213" t="s">
        <v>19367</v>
      </c>
      <c r="P2325" s="213" t="s">
        <v>19368</v>
      </c>
      <c r="Q2325" s="213" t="s">
        <v>19369</v>
      </c>
      <c r="R2325" s="213" t="s">
        <v>19370</v>
      </c>
      <c r="S2325" s="213" t="s">
        <v>19371</v>
      </c>
      <c r="T2325" s="213" t="s">
        <v>19372</v>
      </c>
      <c r="U2325" s="213" t="s">
        <v>69812</v>
      </c>
    </row>
    <row r="2326" spans="1:21" x14ac:dyDescent="0.25">
      <c r="A2326" s="213" t="s">
        <v>327</v>
      </c>
      <c r="D2326" s="213" t="s">
        <v>19373</v>
      </c>
      <c r="E2326" s="213" t="s">
        <v>19374</v>
      </c>
      <c r="K2326" s="213" t="s">
        <v>69525</v>
      </c>
      <c r="L2326" s="213" t="s">
        <v>69621</v>
      </c>
      <c r="M2326" s="213" t="s">
        <v>69717</v>
      </c>
      <c r="N2326" s="213" t="s">
        <v>19375</v>
      </c>
      <c r="O2326" s="213" t="s">
        <v>19376</v>
      </c>
      <c r="P2326" s="213" t="s">
        <v>19377</v>
      </c>
      <c r="Q2326" s="213" t="s">
        <v>19378</v>
      </c>
      <c r="R2326" s="213" t="s">
        <v>19379</v>
      </c>
      <c r="S2326" s="213" t="s">
        <v>19380</v>
      </c>
      <c r="T2326" s="213" t="s">
        <v>19381</v>
      </c>
      <c r="U2326" s="213" t="s">
        <v>69813</v>
      </c>
    </row>
    <row r="2327" spans="1:21" x14ac:dyDescent="0.25">
      <c r="A2327" s="213" t="s">
        <v>327</v>
      </c>
      <c r="D2327" s="213" t="s">
        <v>19382</v>
      </c>
      <c r="E2327" s="213" t="s">
        <v>19383</v>
      </c>
      <c r="K2327" s="213" t="s">
        <v>69526</v>
      </c>
      <c r="L2327" s="213" t="s">
        <v>69622</v>
      </c>
      <c r="M2327" s="213" t="s">
        <v>69718</v>
      </c>
      <c r="N2327" s="213" t="s">
        <v>19384</v>
      </c>
      <c r="O2327" s="213" t="s">
        <v>19385</v>
      </c>
      <c r="P2327" s="213" t="s">
        <v>19386</v>
      </c>
      <c r="Q2327" s="213" t="s">
        <v>19387</v>
      </c>
      <c r="R2327" s="213" t="s">
        <v>19388</v>
      </c>
      <c r="S2327" s="213" t="s">
        <v>19389</v>
      </c>
      <c r="T2327" s="213" t="s">
        <v>19390</v>
      </c>
      <c r="U2327" s="213" t="s">
        <v>69814</v>
      </c>
    </row>
    <row r="2328" spans="1:21" x14ac:dyDescent="0.25">
      <c r="A2328" s="213" t="s">
        <v>327</v>
      </c>
      <c r="D2328" s="213" t="s">
        <v>19391</v>
      </c>
      <c r="E2328" s="213" t="s">
        <v>19392</v>
      </c>
      <c r="K2328" s="213" t="s">
        <v>69527</v>
      </c>
      <c r="L2328" s="213" t="s">
        <v>69623</v>
      </c>
      <c r="M2328" s="213" t="s">
        <v>69719</v>
      </c>
      <c r="N2328" s="213" t="s">
        <v>19393</v>
      </c>
      <c r="O2328" s="213" t="s">
        <v>19394</v>
      </c>
      <c r="P2328" s="213" t="s">
        <v>19395</v>
      </c>
      <c r="Q2328" s="213" t="s">
        <v>19396</v>
      </c>
      <c r="R2328" s="213" t="s">
        <v>19397</v>
      </c>
      <c r="S2328" s="213" t="s">
        <v>19398</v>
      </c>
      <c r="T2328" s="213" t="s">
        <v>19399</v>
      </c>
      <c r="U2328" s="213" t="s">
        <v>69815</v>
      </c>
    </row>
    <row r="2329" spans="1:21" x14ac:dyDescent="0.25">
      <c r="A2329" s="213" t="s">
        <v>327</v>
      </c>
      <c r="D2329" s="213" t="s">
        <v>19400</v>
      </c>
      <c r="E2329" s="213" t="s">
        <v>19401</v>
      </c>
      <c r="K2329" s="213" t="s">
        <v>69528</v>
      </c>
      <c r="L2329" s="213" t="s">
        <v>69624</v>
      </c>
      <c r="M2329" s="213" t="s">
        <v>69720</v>
      </c>
      <c r="N2329" s="213" t="s">
        <v>19402</v>
      </c>
      <c r="O2329" s="213" t="s">
        <v>19403</v>
      </c>
      <c r="P2329" s="213" t="s">
        <v>19404</v>
      </c>
      <c r="Q2329" s="213" t="s">
        <v>19405</v>
      </c>
      <c r="R2329" s="213" t="s">
        <v>19406</v>
      </c>
      <c r="S2329" s="213" t="s">
        <v>19407</v>
      </c>
      <c r="T2329" s="213" t="s">
        <v>19408</v>
      </c>
      <c r="U2329" s="213" t="s">
        <v>69816</v>
      </c>
    </row>
    <row r="2330" spans="1:21" x14ac:dyDescent="0.25">
      <c r="A2330" s="213" t="s">
        <v>327</v>
      </c>
      <c r="D2330" s="213" t="s">
        <v>19409</v>
      </c>
      <c r="E2330" s="213" t="s">
        <v>19410</v>
      </c>
      <c r="K2330" s="213" t="s">
        <v>69529</v>
      </c>
      <c r="L2330" s="213" t="s">
        <v>69625</v>
      </c>
      <c r="M2330" s="213" t="s">
        <v>69721</v>
      </c>
      <c r="N2330" s="213" t="s">
        <v>19411</v>
      </c>
      <c r="O2330" s="213" t="s">
        <v>19412</v>
      </c>
      <c r="P2330" s="213" t="s">
        <v>19413</v>
      </c>
      <c r="Q2330" s="213" t="s">
        <v>19414</v>
      </c>
      <c r="R2330" s="213" t="s">
        <v>19415</v>
      </c>
      <c r="S2330" s="213" t="s">
        <v>19416</v>
      </c>
      <c r="T2330" s="213" t="s">
        <v>19417</v>
      </c>
      <c r="U2330" s="213" t="s">
        <v>69817</v>
      </c>
    </row>
    <row r="2331" spans="1:21" x14ac:dyDescent="0.25">
      <c r="A2331" s="213" t="s">
        <v>327</v>
      </c>
      <c r="D2331" s="213" t="s">
        <v>19418</v>
      </c>
      <c r="E2331" s="213" t="s">
        <v>19419</v>
      </c>
      <c r="K2331" s="213" t="s">
        <v>69530</v>
      </c>
      <c r="L2331" s="213" t="s">
        <v>69626</v>
      </c>
      <c r="M2331" s="213" t="s">
        <v>69722</v>
      </c>
      <c r="N2331" s="213" t="s">
        <v>19420</v>
      </c>
      <c r="O2331" s="213" t="s">
        <v>19421</v>
      </c>
      <c r="P2331" s="213" t="s">
        <v>19422</v>
      </c>
      <c r="Q2331" s="213" t="s">
        <v>19423</v>
      </c>
      <c r="R2331" s="213" t="s">
        <v>19424</v>
      </c>
      <c r="S2331" s="213" t="s">
        <v>19425</v>
      </c>
      <c r="T2331" s="213" t="s">
        <v>19426</v>
      </c>
      <c r="U2331" s="213" t="s">
        <v>69818</v>
      </c>
    </row>
    <row r="2332" spans="1:21" x14ac:dyDescent="0.25">
      <c r="A2332" s="213" t="s">
        <v>327</v>
      </c>
      <c r="D2332" s="213" t="s">
        <v>19427</v>
      </c>
      <c r="E2332" s="213" t="s">
        <v>19428</v>
      </c>
      <c r="K2332" s="213" t="s">
        <v>69531</v>
      </c>
      <c r="L2332" s="213" t="s">
        <v>69627</v>
      </c>
      <c r="M2332" s="213" t="s">
        <v>69723</v>
      </c>
      <c r="N2332" s="213" t="s">
        <v>19429</v>
      </c>
      <c r="O2332" s="213" t="s">
        <v>19430</v>
      </c>
      <c r="P2332" s="213" t="s">
        <v>19431</v>
      </c>
      <c r="Q2332" s="213" t="s">
        <v>19432</v>
      </c>
      <c r="R2332" s="213" t="s">
        <v>19433</v>
      </c>
      <c r="S2332" s="213" t="s">
        <v>19434</v>
      </c>
      <c r="T2332" s="213" t="s">
        <v>19435</v>
      </c>
      <c r="U2332" s="213" t="s">
        <v>69819</v>
      </c>
    </row>
    <row r="2333" spans="1:21" x14ac:dyDescent="0.25">
      <c r="A2333" s="213" t="s">
        <v>327</v>
      </c>
      <c r="D2333" s="213" t="s">
        <v>19436</v>
      </c>
      <c r="E2333" s="213" t="s">
        <v>19437</v>
      </c>
      <c r="K2333" s="213" t="s">
        <v>69532</v>
      </c>
      <c r="L2333" s="213" t="s">
        <v>69628</v>
      </c>
      <c r="M2333" s="213" t="s">
        <v>69724</v>
      </c>
      <c r="N2333" s="213" t="s">
        <v>19438</v>
      </c>
      <c r="O2333" s="213" t="s">
        <v>19439</v>
      </c>
      <c r="P2333" s="213" t="s">
        <v>19440</v>
      </c>
      <c r="Q2333" s="213" t="s">
        <v>19441</v>
      </c>
      <c r="R2333" s="213" t="s">
        <v>19442</v>
      </c>
      <c r="S2333" s="213" t="s">
        <v>19443</v>
      </c>
      <c r="T2333" s="213" t="s">
        <v>19444</v>
      </c>
      <c r="U2333" s="213" t="s">
        <v>69820</v>
      </c>
    </row>
    <row r="2334" spans="1:21" x14ac:dyDescent="0.25">
      <c r="A2334" s="213" t="s">
        <v>327</v>
      </c>
      <c r="D2334" s="213" t="s">
        <v>19445</v>
      </c>
      <c r="E2334" s="213" t="s">
        <v>19446</v>
      </c>
      <c r="K2334" s="213" t="s">
        <v>69533</v>
      </c>
      <c r="L2334" s="213" t="s">
        <v>69629</v>
      </c>
      <c r="M2334" s="213" t="s">
        <v>69725</v>
      </c>
      <c r="N2334" s="213" t="s">
        <v>19447</v>
      </c>
      <c r="O2334" s="213" t="s">
        <v>19448</v>
      </c>
      <c r="P2334" s="213" t="s">
        <v>19449</v>
      </c>
      <c r="Q2334" s="213" t="s">
        <v>19450</v>
      </c>
      <c r="R2334" s="213" t="s">
        <v>19451</v>
      </c>
      <c r="S2334" s="213" t="s">
        <v>19452</v>
      </c>
      <c r="T2334" s="213" t="s">
        <v>19453</v>
      </c>
      <c r="U2334" s="213" t="s">
        <v>69821</v>
      </c>
    </row>
    <row r="2335" spans="1:21" x14ac:dyDescent="0.25">
      <c r="A2335" s="213" t="s">
        <v>327</v>
      </c>
      <c r="D2335" s="213" t="s">
        <v>19454</v>
      </c>
      <c r="E2335" s="213" t="s">
        <v>19455</v>
      </c>
      <c r="K2335" s="213" t="s">
        <v>69534</v>
      </c>
      <c r="L2335" s="213" t="s">
        <v>69630</v>
      </c>
      <c r="M2335" s="213" t="s">
        <v>69726</v>
      </c>
      <c r="N2335" s="213" t="s">
        <v>19456</v>
      </c>
      <c r="O2335" s="213" t="s">
        <v>19457</v>
      </c>
      <c r="P2335" s="213" t="s">
        <v>19458</v>
      </c>
      <c r="Q2335" s="213" t="s">
        <v>19459</v>
      </c>
      <c r="R2335" s="213" t="s">
        <v>19460</v>
      </c>
      <c r="S2335" s="213" t="s">
        <v>19461</v>
      </c>
      <c r="T2335" s="213" t="s">
        <v>19462</v>
      </c>
      <c r="U2335" s="213" t="s">
        <v>69822</v>
      </c>
    </row>
    <row r="2336" spans="1:21" x14ac:dyDescent="0.25">
      <c r="A2336" s="213" t="s">
        <v>327</v>
      </c>
      <c r="D2336" s="213" t="s">
        <v>19463</v>
      </c>
      <c r="E2336" s="213" t="s">
        <v>19464</v>
      </c>
      <c r="K2336" s="213" t="s">
        <v>69535</v>
      </c>
      <c r="L2336" s="213" t="s">
        <v>69631</v>
      </c>
      <c r="M2336" s="213" t="s">
        <v>69727</v>
      </c>
      <c r="N2336" s="213" t="s">
        <v>19465</v>
      </c>
      <c r="O2336" s="213" t="s">
        <v>19466</v>
      </c>
      <c r="P2336" s="213" t="s">
        <v>19467</v>
      </c>
      <c r="Q2336" s="213" t="s">
        <v>19468</v>
      </c>
      <c r="R2336" s="213" t="s">
        <v>19469</v>
      </c>
      <c r="S2336" s="213" t="s">
        <v>19470</v>
      </c>
      <c r="T2336" s="213" t="s">
        <v>19471</v>
      </c>
      <c r="U2336" s="213" t="s">
        <v>69823</v>
      </c>
    </row>
    <row r="2337" spans="1:21" x14ac:dyDescent="0.25">
      <c r="A2337" s="213" t="s">
        <v>327</v>
      </c>
      <c r="D2337" s="213" t="s">
        <v>19472</v>
      </c>
      <c r="E2337" s="213" t="s">
        <v>19473</v>
      </c>
      <c r="K2337" s="213" t="s">
        <v>69536</v>
      </c>
      <c r="L2337" s="213" t="s">
        <v>69632</v>
      </c>
      <c r="M2337" s="213" t="s">
        <v>69728</v>
      </c>
      <c r="N2337" s="213" t="s">
        <v>19474</v>
      </c>
      <c r="O2337" s="213" t="s">
        <v>19475</v>
      </c>
      <c r="P2337" s="213" t="s">
        <v>19476</v>
      </c>
      <c r="Q2337" s="213" t="s">
        <v>19477</v>
      </c>
      <c r="R2337" s="213" t="s">
        <v>19478</v>
      </c>
      <c r="S2337" s="213" t="s">
        <v>19479</v>
      </c>
      <c r="T2337" s="213" t="s">
        <v>19480</v>
      </c>
      <c r="U2337" s="213" t="s">
        <v>69824</v>
      </c>
    </row>
    <row r="2338" spans="1:21" x14ac:dyDescent="0.25">
      <c r="A2338" s="213" t="s">
        <v>327</v>
      </c>
      <c r="D2338" s="213" t="s">
        <v>19481</v>
      </c>
      <c r="E2338" s="213" t="s">
        <v>19482</v>
      </c>
      <c r="K2338" s="213" t="s">
        <v>69537</v>
      </c>
      <c r="L2338" s="213" t="s">
        <v>69633</v>
      </c>
      <c r="M2338" s="213" t="s">
        <v>69729</v>
      </c>
      <c r="N2338" s="213" t="s">
        <v>19483</v>
      </c>
      <c r="O2338" s="213" t="s">
        <v>19484</v>
      </c>
      <c r="P2338" s="213" t="s">
        <v>19485</v>
      </c>
      <c r="Q2338" s="213" t="s">
        <v>19486</v>
      </c>
      <c r="R2338" s="213" t="s">
        <v>19487</v>
      </c>
      <c r="S2338" s="213" t="s">
        <v>19488</v>
      </c>
      <c r="T2338" s="213" t="s">
        <v>19489</v>
      </c>
      <c r="U2338" s="213" t="s">
        <v>69825</v>
      </c>
    </row>
    <row r="2339" spans="1:21" x14ac:dyDescent="0.25">
      <c r="A2339" s="213" t="s">
        <v>327</v>
      </c>
      <c r="D2339" s="213" t="s">
        <v>19490</v>
      </c>
      <c r="E2339" s="213" t="s">
        <v>19491</v>
      </c>
      <c r="K2339" s="213" t="s">
        <v>69538</v>
      </c>
      <c r="L2339" s="213" t="s">
        <v>69634</v>
      </c>
      <c r="M2339" s="213" t="s">
        <v>69730</v>
      </c>
      <c r="N2339" s="213" t="s">
        <v>19492</v>
      </c>
      <c r="O2339" s="213" t="s">
        <v>19493</v>
      </c>
      <c r="P2339" s="213" t="s">
        <v>19494</v>
      </c>
      <c r="Q2339" s="213" t="s">
        <v>19495</v>
      </c>
      <c r="R2339" s="213" t="s">
        <v>19496</v>
      </c>
      <c r="S2339" s="213" t="s">
        <v>19497</v>
      </c>
      <c r="T2339" s="213" t="s">
        <v>19498</v>
      </c>
      <c r="U2339" s="213" t="s">
        <v>69826</v>
      </c>
    </row>
    <row r="2340" spans="1:21" x14ac:dyDescent="0.25">
      <c r="A2340" s="213" t="s">
        <v>327</v>
      </c>
      <c r="D2340" s="213" t="s">
        <v>19499</v>
      </c>
      <c r="E2340" s="213" t="s">
        <v>19500</v>
      </c>
      <c r="K2340" s="213" t="s">
        <v>69539</v>
      </c>
      <c r="L2340" s="213" t="s">
        <v>69635</v>
      </c>
      <c r="M2340" s="213" t="s">
        <v>69731</v>
      </c>
      <c r="N2340" s="213" t="s">
        <v>19501</v>
      </c>
      <c r="O2340" s="213" t="s">
        <v>19502</v>
      </c>
      <c r="P2340" s="213" t="s">
        <v>19503</v>
      </c>
      <c r="Q2340" s="213" t="s">
        <v>19504</v>
      </c>
      <c r="R2340" s="213" t="s">
        <v>19505</v>
      </c>
      <c r="S2340" s="213" t="s">
        <v>19506</v>
      </c>
      <c r="T2340" s="213" t="s">
        <v>19507</v>
      </c>
      <c r="U2340" s="213" t="s">
        <v>69827</v>
      </c>
    </row>
    <row r="2341" spans="1:21" x14ac:dyDescent="0.25">
      <c r="A2341" s="213" t="s">
        <v>327</v>
      </c>
      <c r="D2341" s="213" t="s">
        <v>19508</v>
      </c>
      <c r="E2341" s="213" t="s">
        <v>19509</v>
      </c>
      <c r="K2341" s="213" t="s">
        <v>69540</v>
      </c>
      <c r="L2341" s="213" t="s">
        <v>69636</v>
      </c>
      <c r="M2341" s="213" t="s">
        <v>69732</v>
      </c>
      <c r="N2341" s="213" t="s">
        <v>19510</v>
      </c>
      <c r="O2341" s="213" t="s">
        <v>19511</v>
      </c>
      <c r="P2341" s="213" t="s">
        <v>19512</v>
      </c>
      <c r="Q2341" s="213" t="s">
        <v>19513</v>
      </c>
      <c r="R2341" s="213" t="s">
        <v>19514</v>
      </c>
      <c r="S2341" s="213" t="s">
        <v>19515</v>
      </c>
      <c r="T2341" s="213" t="s">
        <v>19516</v>
      </c>
      <c r="U2341" s="213" t="s">
        <v>69828</v>
      </c>
    </row>
    <row r="2342" spans="1:21" x14ac:dyDescent="0.25">
      <c r="A2342" s="213" t="s">
        <v>327</v>
      </c>
      <c r="D2342" s="213" t="s">
        <v>19517</v>
      </c>
      <c r="E2342" s="213" t="s">
        <v>19518</v>
      </c>
      <c r="K2342" s="213" t="s">
        <v>69541</v>
      </c>
      <c r="L2342" s="213" t="s">
        <v>69637</v>
      </c>
      <c r="M2342" s="213" t="s">
        <v>69733</v>
      </c>
      <c r="N2342" s="213" t="s">
        <v>19519</v>
      </c>
      <c r="O2342" s="213" t="s">
        <v>19520</v>
      </c>
      <c r="P2342" s="213" t="s">
        <v>19521</v>
      </c>
      <c r="Q2342" s="213" t="s">
        <v>19522</v>
      </c>
      <c r="R2342" s="213" t="s">
        <v>19523</v>
      </c>
      <c r="S2342" s="213" t="s">
        <v>19524</v>
      </c>
      <c r="T2342" s="213" t="s">
        <v>19525</v>
      </c>
      <c r="U2342" s="213" t="s">
        <v>69829</v>
      </c>
    </row>
    <row r="2343" spans="1:21" x14ac:dyDescent="0.25">
      <c r="A2343" s="213" t="s">
        <v>327</v>
      </c>
    </row>
    <row r="2344" spans="1:21" x14ac:dyDescent="0.25">
      <c r="A2344" s="213" t="s">
        <v>327</v>
      </c>
    </row>
    <row r="2345" spans="1:21" x14ac:dyDescent="0.25">
      <c r="A2345" s="213" t="s">
        <v>327</v>
      </c>
      <c r="C2345" s="213" t="s">
        <v>19526</v>
      </c>
      <c r="E2345" s="213" t="s">
        <v>19527</v>
      </c>
      <c r="H2345" s="213" t="s">
        <v>19528</v>
      </c>
      <c r="I2345" s="213" t="s">
        <v>19529</v>
      </c>
      <c r="J2345" s="213" t="s">
        <v>19530</v>
      </c>
      <c r="L2345" s="213" t="s">
        <v>19531</v>
      </c>
      <c r="O2345" s="213" t="s">
        <v>19532</v>
      </c>
      <c r="P2345" s="213" t="s">
        <v>19533</v>
      </c>
      <c r="Q2345" s="213" t="s">
        <v>19534</v>
      </c>
      <c r="R2345" s="213" t="s">
        <v>19535</v>
      </c>
      <c r="S2345" s="213" t="s">
        <v>19536</v>
      </c>
      <c r="T2345" s="213" t="s">
        <v>19537</v>
      </c>
    </row>
    <row r="2346" spans="1:21" x14ac:dyDescent="0.25">
      <c r="A2346" s="213" t="s">
        <v>327</v>
      </c>
      <c r="C2346" s="213" t="s">
        <v>19538</v>
      </c>
      <c r="E2346" s="213" t="s">
        <v>19539</v>
      </c>
      <c r="I2346" s="213" t="s">
        <v>19540</v>
      </c>
    </row>
    <row r="2347" spans="1:21" x14ac:dyDescent="0.25">
      <c r="A2347" s="213" t="s">
        <v>327</v>
      </c>
      <c r="C2347" s="213" t="s">
        <v>19541</v>
      </c>
      <c r="E2347" s="213" t="s">
        <v>19542</v>
      </c>
      <c r="I2347" s="213" t="s">
        <v>19543</v>
      </c>
    </row>
    <row r="2348" spans="1:21" x14ac:dyDescent="0.25">
      <c r="A2348" s="213" t="s">
        <v>328</v>
      </c>
    </row>
    <row r="2349" spans="1:21" x14ac:dyDescent="0.25">
      <c r="A2349" s="213" t="s">
        <v>327</v>
      </c>
      <c r="D2349" s="213" t="s">
        <v>19544</v>
      </c>
      <c r="E2349" s="213" t="s">
        <v>19545</v>
      </c>
      <c r="K2349" s="213" t="s">
        <v>69218</v>
      </c>
      <c r="L2349" s="213" t="s">
        <v>69275</v>
      </c>
      <c r="M2349" s="213" t="s">
        <v>69332</v>
      </c>
      <c r="N2349" s="213" t="s">
        <v>19546</v>
      </c>
      <c r="O2349" s="213" t="s">
        <v>19547</v>
      </c>
      <c r="P2349" s="213" t="s">
        <v>19548</v>
      </c>
      <c r="Q2349" s="213" t="s">
        <v>19549</v>
      </c>
      <c r="R2349" s="213" t="s">
        <v>19550</v>
      </c>
      <c r="S2349" s="213" t="s">
        <v>19551</v>
      </c>
      <c r="T2349" s="213" t="s">
        <v>19552</v>
      </c>
      <c r="U2349" s="213" t="s">
        <v>69389</v>
      </c>
    </row>
    <row r="2350" spans="1:21" x14ac:dyDescent="0.25">
      <c r="A2350" s="213" t="s">
        <v>327</v>
      </c>
      <c r="D2350" s="213" t="s">
        <v>19553</v>
      </c>
      <c r="E2350" s="213" t="s">
        <v>19554</v>
      </c>
      <c r="K2350" s="213" t="s">
        <v>69219</v>
      </c>
      <c r="L2350" s="213" t="s">
        <v>69276</v>
      </c>
      <c r="M2350" s="213" t="s">
        <v>69333</v>
      </c>
      <c r="N2350" s="213" t="s">
        <v>19555</v>
      </c>
      <c r="O2350" s="213" t="s">
        <v>19556</v>
      </c>
      <c r="P2350" s="213" t="s">
        <v>19557</v>
      </c>
      <c r="Q2350" s="213" t="s">
        <v>19558</v>
      </c>
      <c r="R2350" s="213" t="s">
        <v>19559</v>
      </c>
      <c r="S2350" s="213" t="s">
        <v>19560</v>
      </c>
      <c r="T2350" s="213" t="s">
        <v>19561</v>
      </c>
      <c r="U2350" s="213" t="s">
        <v>69390</v>
      </c>
    </row>
    <row r="2351" spans="1:21" x14ac:dyDescent="0.25">
      <c r="A2351" s="213" t="s">
        <v>327</v>
      </c>
      <c r="D2351" s="213" t="s">
        <v>19562</v>
      </c>
      <c r="E2351" s="213" t="s">
        <v>19563</v>
      </c>
      <c r="K2351" s="213" t="s">
        <v>69220</v>
      </c>
      <c r="L2351" s="213" t="s">
        <v>69277</v>
      </c>
      <c r="M2351" s="213" t="s">
        <v>69334</v>
      </c>
      <c r="N2351" s="213" t="s">
        <v>19564</v>
      </c>
      <c r="O2351" s="213" t="s">
        <v>19565</v>
      </c>
      <c r="P2351" s="213" t="s">
        <v>19566</v>
      </c>
      <c r="Q2351" s="213" t="s">
        <v>19567</v>
      </c>
      <c r="R2351" s="213" t="s">
        <v>19568</v>
      </c>
      <c r="S2351" s="213" t="s">
        <v>19569</v>
      </c>
      <c r="T2351" s="213" t="s">
        <v>19570</v>
      </c>
      <c r="U2351" s="213" t="s">
        <v>69391</v>
      </c>
    </row>
    <row r="2352" spans="1:21" x14ac:dyDescent="0.25">
      <c r="A2352" s="213" t="s">
        <v>327</v>
      </c>
      <c r="D2352" s="213" t="s">
        <v>19571</v>
      </c>
      <c r="E2352" s="213" t="s">
        <v>19572</v>
      </c>
      <c r="K2352" s="213" t="s">
        <v>69221</v>
      </c>
      <c r="L2352" s="213" t="s">
        <v>69278</v>
      </c>
      <c r="M2352" s="213" t="s">
        <v>69335</v>
      </c>
      <c r="N2352" s="213" t="s">
        <v>19573</v>
      </c>
      <c r="O2352" s="213" t="s">
        <v>19574</v>
      </c>
      <c r="P2352" s="213" t="s">
        <v>19575</v>
      </c>
      <c r="Q2352" s="213" t="s">
        <v>19576</v>
      </c>
      <c r="R2352" s="213" t="s">
        <v>19577</v>
      </c>
      <c r="S2352" s="213" t="s">
        <v>19578</v>
      </c>
      <c r="T2352" s="213" t="s">
        <v>19579</v>
      </c>
      <c r="U2352" s="213" t="s">
        <v>69392</v>
      </c>
    </row>
    <row r="2353" spans="1:21" x14ac:dyDescent="0.25">
      <c r="A2353" s="213" t="s">
        <v>327</v>
      </c>
      <c r="D2353" s="213" t="s">
        <v>19580</v>
      </c>
      <c r="E2353" s="213" t="s">
        <v>19581</v>
      </c>
      <c r="K2353" s="213" t="s">
        <v>69222</v>
      </c>
      <c r="L2353" s="213" t="s">
        <v>69279</v>
      </c>
      <c r="M2353" s="213" t="s">
        <v>69336</v>
      </c>
      <c r="N2353" s="213" t="s">
        <v>19582</v>
      </c>
      <c r="O2353" s="213" t="s">
        <v>19583</v>
      </c>
      <c r="P2353" s="213" t="s">
        <v>19584</v>
      </c>
      <c r="Q2353" s="213" t="s">
        <v>19585</v>
      </c>
      <c r="R2353" s="213" t="s">
        <v>19586</v>
      </c>
      <c r="S2353" s="213" t="s">
        <v>19587</v>
      </c>
      <c r="T2353" s="213" t="s">
        <v>19588</v>
      </c>
      <c r="U2353" s="213" t="s">
        <v>69393</v>
      </c>
    </row>
    <row r="2354" spans="1:21" x14ac:dyDescent="0.25">
      <c r="A2354" s="213" t="s">
        <v>327</v>
      </c>
      <c r="D2354" s="213" t="s">
        <v>19589</v>
      </c>
      <c r="E2354" s="213" t="s">
        <v>19590</v>
      </c>
      <c r="K2354" s="213" t="s">
        <v>69223</v>
      </c>
      <c r="L2354" s="213" t="s">
        <v>69280</v>
      </c>
      <c r="M2354" s="213" t="s">
        <v>69337</v>
      </c>
      <c r="N2354" s="213" t="s">
        <v>19591</v>
      </c>
      <c r="O2354" s="213" t="s">
        <v>19592</v>
      </c>
      <c r="P2354" s="213" t="s">
        <v>19593</v>
      </c>
      <c r="Q2354" s="213" t="s">
        <v>19594</v>
      </c>
      <c r="R2354" s="213" t="s">
        <v>19595</v>
      </c>
      <c r="S2354" s="213" t="s">
        <v>19596</v>
      </c>
      <c r="T2354" s="213" t="s">
        <v>19597</v>
      </c>
      <c r="U2354" s="213" t="s">
        <v>69394</v>
      </c>
    </row>
    <row r="2355" spans="1:21" x14ac:dyDescent="0.25">
      <c r="A2355" s="213" t="s">
        <v>327</v>
      </c>
      <c r="D2355" s="213" t="s">
        <v>19598</v>
      </c>
      <c r="E2355" s="213" t="s">
        <v>19599</v>
      </c>
      <c r="K2355" s="213" t="s">
        <v>69224</v>
      </c>
      <c r="L2355" s="213" t="s">
        <v>69281</v>
      </c>
      <c r="M2355" s="213" t="s">
        <v>69338</v>
      </c>
      <c r="N2355" s="213" t="s">
        <v>19600</v>
      </c>
      <c r="O2355" s="213" t="s">
        <v>19601</v>
      </c>
      <c r="P2355" s="213" t="s">
        <v>19602</v>
      </c>
      <c r="Q2355" s="213" t="s">
        <v>19603</v>
      </c>
      <c r="R2355" s="213" t="s">
        <v>19604</v>
      </c>
      <c r="S2355" s="213" t="s">
        <v>19605</v>
      </c>
      <c r="T2355" s="213" t="s">
        <v>19606</v>
      </c>
      <c r="U2355" s="213" t="s">
        <v>69395</v>
      </c>
    </row>
    <row r="2356" spans="1:21" x14ac:dyDescent="0.25">
      <c r="A2356" s="213" t="s">
        <v>327</v>
      </c>
      <c r="D2356" s="213" t="s">
        <v>19607</v>
      </c>
      <c r="E2356" s="213" t="s">
        <v>19608</v>
      </c>
      <c r="K2356" s="213" t="s">
        <v>69225</v>
      </c>
      <c r="L2356" s="213" t="s">
        <v>69282</v>
      </c>
      <c r="M2356" s="213" t="s">
        <v>69339</v>
      </c>
      <c r="N2356" s="213" t="s">
        <v>19609</v>
      </c>
      <c r="O2356" s="213" t="s">
        <v>19610</v>
      </c>
      <c r="P2356" s="213" t="s">
        <v>19611</v>
      </c>
      <c r="Q2356" s="213" t="s">
        <v>19612</v>
      </c>
      <c r="R2356" s="213" t="s">
        <v>19613</v>
      </c>
      <c r="S2356" s="213" t="s">
        <v>19614</v>
      </c>
      <c r="T2356" s="213" t="s">
        <v>19615</v>
      </c>
      <c r="U2356" s="213" t="s">
        <v>69396</v>
      </c>
    </row>
    <row r="2357" spans="1:21" x14ac:dyDescent="0.25">
      <c r="A2357" s="213" t="s">
        <v>327</v>
      </c>
      <c r="D2357" s="213" t="s">
        <v>19616</v>
      </c>
      <c r="E2357" s="213" t="s">
        <v>19617</v>
      </c>
      <c r="K2357" s="213" t="s">
        <v>69226</v>
      </c>
      <c r="L2357" s="213" t="s">
        <v>69283</v>
      </c>
      <c r="M2357" s="213" t="s">
        <v>69340</v>
      </c>
      <c r="N2357" s="213" t="s">
        <v>19618</v>
      </c>
      <c r="O2357" s="213" t="s">
        <v>19619</v>
      </c>
      <c r="P2357" s="213" t="s">
        <v>19620</v>
      </c>
      <c r="Q2357" s="213" t="s">
        <v>19621</v>
      </c>
      <c r="R2357" s="213" t="s">
        <v>19622</v>
      </c>
      <c r="S2357" s="213" t="s">
        <v>19623</v>
      </c>
      <c r="T2357" s="213" t="s">
        <v>19624</v>
      </c>
      <c r="U2357" s="213" t="s">
        <v>69397</v>
      </c>
    </row>
    <row r="2358" spans="1:21" x14ac:dyDescent="0.25">
      <c r="A2358" s="213" t="s">
        <v>327</v>
      </c>
      <c r="D2358" s="213" t="s">
        <v>19625</v>
      </c>
      <c r="E2358" s="213" t="s">
        <v>19626</v>
      </c>
      <c r="K2358" s="213" t="s">
        <v>69227</v>
      </c>
      <c r="L2358" s="213" t="s">
        <v>69284</v>
      </c>
      <c r="M2358" s="213" t="s">
        <v>69341</v>
      </c>
      <c r="N2358" s="213" t="s">
        <v>19627</v>
      </c>
      <c r="O2358" s="213" t="s">
        <v>19628</v>
      </c>
      <c r="P2358" s="213" t="s">
        <v>19629</v>
      </c>
      <c r="Q2358" s="213" t="s">
        <v>19630</v>
      </c>
      <c r="R2358" s="213" t="s">
        <v>19631</v>
      </c>
      <c r="S2358" s="213" t="s">
        <v>19632</v>
      </c>
      <c r="T2358" s="213" t="s">
        <v>19633</v>
      </c>
      <c r="U2358" s="213" t="s">
        <v>69398</v>
      </c>
    </row>
    <row r="2359" spans="1:21" x14ac:dyDescent="0.25">
      <c r="A2359" s="213" t="s">
        <v>327</v>
      </c>
      <c r="D2359" s="213" t="s">
        <v>19634</v>
      </c>
      <c r="E2359" s="213" t="s">
        <v>19635</v>
      </c>
      <c r="K2359" s="213" t="s">
        <v>69228</v>
      </c>
      <c r="L2359" s="213" t="s">
        <v>69285</v>
      </c>
      <c r="M2359" s="213" t="s">
        <v>69342</v>
      </c>
      <c r="N2359" s="213" t="s">
        <v>19636</v>
      </c>
      <c r="O2359" s="213" t="s">
        <v>19637</v>
      </c>
      <c r="P2359" s="213" t="s">
        <v>19638</v>
      </c>
      <c r="Q2359" s="213" t="s">
        <v>19639</v>
      </c>
      <c r="R2359" s="213" t="s">
        <v>19640</v>
      </c>
      <c r="S2359" s="213" t="s">
        <v>19641</v>
      </c>
      <c r="T2359" s="213" t="s">
        <v>19642</v>
      </c>
      <c r="U2359" s="213" t="s">
        <v>69399</v>
      </c>
    </row>
    <row r="2360" spans="1:21" x14ac:dyDescent="0.25">
      <c r="A2360" s="213" t="s">
        <v>327</v>
      </c>
      <c r="D2360" s="213" t="s">
        <v>19643</v>
      </c>
      <c r="E2360" s="213" t="s">
        <v>19644</v>
      </c>
      <c r="K2360" s="213" t="s">
        <v>69229</v>
      </c>
      <c r="L2360" s="213" t="s">
        <v>69286</v>
      </c>
      <c r="M2360" s="213" t="s">
        <v>69343</v>
      </c>
      <c r="N2360" s="213" t="s">
        <v>19645</v>
      </c>
      <c r="O2360" s="213" t="s">
        <v>19646</v>
      </c>
      <c r="P2360" s="213" t="s">
        <v>19647</v>
      </c>
      <c r="Q2360" s="213" t="s">
        <v>19648</v>
      </c>
      <c r="R2360" s="213" t="s">
        <v>19649</v>
      </c>
      <c r="S2360" s="213" t="s">
        <v>19650</v>
      </c>
      <c r="T2360" s="213" t="s">
        <v>19651</v>
      </c>
      <c r="U2360" s="213" t="s">
        <v>69400</v>
      </c>
    </row>
    <row r="2361" spans="1:21" x14ac:dyDescent="0.25">
      <c r="A2361" s="213" t="s">
        <v>327</v>
      </c>
      <c r="D2361" s="213" t="s">
        <v>19652</v>
      </c>
      <c r="E2361" s="213" t="s">
        <v>19653</v>
      </c>
      <c r="K2361" s="213" t="s">
        <v>69230</v>
      </c>
      <c r="L2361" s="213" t="s">
        <v>69287</v>
      </c>
      <c r="M2361" s="213" t="s">
        <v>69344</v>
      </c>
      <c r="N2361" s="213" t="s">
        <v>19654</v>
      </c>
      <c r="O2361" s="213" t="s">
        <v>19655</v>
      </c>
      <c r="P2361" s="213" t="s">
        <v>19656</v>
      </c>
      <c r="Q2361" s="213" t="s">
        <v>19657</v>
      </c>
      <c r="R2361" s="213" t="s">
        <v>19658</v>
      </c>
      <c r="S2361" s="213" t="s">
        <v>19659</v>
      </c>
      <c r="T2361" s="213" t="s">
        <v>19660</v>
      </c>
      <c r="U2361" s="213" t="s">
        <v>69401</v>
      </c>
    </row>
    <row r="2362" spans="1:21" x14ac:dyDescent="0.25">
      <c r="A2362" s="213" t="s">
        <v>327</v>
      </c>
      <c r="D2362" s="213" t="s">
        <v>19661</v>
      </c>
      <c r="E2362" s="213" t="s">
        <v>19662</v>
      </c>
      <c r="K2362" s="213" t="s">
        <v>69231</v>
      </c>
      <c r="L2362" s="213" t="s">
        <v>69288</v>
      </c>
      <c r="M2362" s="213" t="s">
        <v>69345</v>
      </c>
      <c r="N2362" s="213" t="s">
        <v>19663</v>
      </c>
      <c r="O2362" s="213" t="s">
        <v>19664</v>
      </c>
      <c r="P2362" s="213" t="s">
        <v>19665</v>
      </c>
      <c r="Q2362" s="213" t="s">
        <v>19666</v>
      </c>
      <c r="R2362" s="213" t="s">
        <v>19667</v>
      </c>
      <c r="S2362" s="213" t="s">
        <v>19668</v>
      </c>
      <c r="T2362" s="213" t="s">
        <v>19669</v>
      </c>
      <c r="U2362" s="213" t="s">
        <v>69402</v>
      </c>
    </row>
    <row r="2363" spans="1:21" x14ac:dyDescent="0.25">
      <c r="A2363" s="213" t="s">
        <v>327</v>
      </c>
      <c r="D2363" s="213" t="s">
        <v>19670</v>
      </c>
      <c r="E2363" s="213" t="s">
        <v>19671</v>
      </c>
      <c r="K2363" s="213" t="s">
        <v>69232</v>
      </c>
      <c r="L2363" s="213" t="s">
        <v>69289</v>
      </c>
      <c r="M2363" s="213" t="s">
        <v>69346</v>
      </c>
      <c r="N2363" s="213" t="s">
        <v>19672</v>
      </c>
      <c r="O2363" s="213" t="s">
        <v>19673</v>
      </c>
      <c r="P2363" s="213" t="s">
        <v>19674</v>
      </c>
      <c r="Q2363" s="213" t="s">
        <v>19675</v>
      </c>
      <c r="R2363" s="213" t="s">
        <v>19676</v>
      </c>
      <c r="S2363" s="213" t="s">
        <v>19677</v>
      </c>
      <c r="T2363" s="213" t="s">
        <v>19678</v>
      </c>
      <c r="U2363" s="213" t="s">
        <v>69403</v>
      </c>
    </row>
    <row r="2364" spans="1:21" x14ac:dyDescent="0.25">
      <c r="A2364" s="213" t="s">
        <v>327</v>
      </c>
      <c r="D2364" s="213" t="s">
        <v>19679</v>
      </c>
      <c r="E2364" s="213" t="s">
        <v>19680</v>
      </c>
      <c r="K2364" s="213" t="s">
        <v>69233</v>
      </c>
      <c r="L2364" s="213" t="s">
        <v>69290</v>
      </c>
      <c r="M2364" s="213" t="s">
        <v>69347</v>
      </c>
      <c r="N2364" s="213" t="s">
        <v>19681</v>
      </c>
      <c r="O2364" s="213" t="s">
        <v>19682</v>
      </c>
      <c r="P2364" s="213" t="s">
        <v>19683</v>
      </c>
      <c r="Q2364" s="213" t="s">
        <v>19684</v>
      </c>
      <c r="R2364" s="213" t="s">
        <v>19685</v>
      </c>
      <c r="S2364" s="213" t="s">
        <v>19686</v>
      </c>
      <c r="T2364" s="213" t="s">
        <v>19687</v>
      </c>
      <c r="U2364" s="213" t="s">
        <v>69404</v>
      </c>
    </row>
    <row r="2365" spans="1:21" x14ac:dyDescent="0.25">
      <c r="A2365" s="213" t="s">
        <v>327</v>
      </c>
      <c r="D2365" s="213" t="s">
        <v>19688</v>
      </c>
      <c r="E2365" s="213" t="s">
        <v>19689</v>
      </c>
      <c r="K2365" s="213" t="s">
        <v>69234</v>
      </c>
      <c r="L2365" s="213" t="s">
        <v>69291</v>
      </c>
      <c r="M2365" s="213" t="s">
        <v>69348</v>
      </c>
      <c r="N2365" s="213" t="s">
        <v>19690</v>
      </c>
      <c r="O2365" s="213" t="s">
        <v>19691</v>
      </c>
      <c r="P2365" s="213" t="s">
        <v>19692</v>
      </c>
      <c r="Q2365" s="213" t="s">
        <v>19693</v>
      </c>
      <c r="R2365" s="213" t="s">
        <v>19694</v>
      </c>
      <c r="S2365" s="213" t="s">
        <v>19695</v>
      </c>
      <c r="T2365" s="213" t="s">
        <v>19696</v>
      </c>
      <c r="U2365" s="213" t="s">
        <v>69405</v>
      </c>
    </row>
    <row r="2366" spans="1:21" x14ac:dyDescent="0.25">
      <c r="A2366" s="213" t="s">
        <v>327</v>
      </c>
      <c r="D2366" s="213" t="s">
        <v>19697</v>
      </c>
      <c r="E2366" s="213" t="s">
        <v>19698</v>
      </c>
      <c r="K2366" s="213" t="s">
        <v>69235</v>
      </c>
      <c r="L2366" s="213" t="s">
        <v>69292</v>
      </c>
      <c r="M2366" s="213" t="s">
        <v>69349</v>
      </c>
      <c r="N2366" s="213" t="s">
        <v>19699</v>
      </c>
      <c r="O2366" s="213" t="s">
        <v>19700</v>
      </c>
      <c r="P2366" s="213" t="s">
        <v>19701</v>
      </c>
      <c r="Q2366" s="213" t="s">
        <v>19702</v>
      </c>
      <c r="R2366" s="213" t="s">
        <v>19703</v>
      </c>
      <c r="S2366" s="213" t="s">
        <v>19704</v>
      </c>
      <c r="T2366" s="213" t="s">
        <v>19705</v>
      </c>
      <c r="U2366" s="213" t="s">
        <v>69406</v>
      </c>
    </row>
    <row r="2367" spans="1:21" x14ac:dyDescent="0.25">
      <c r="A2367" s="213" t="s">
        <v>327</v>
      </c>
      <c r="D2367" s="213" t="s">
        <v>19706</v>
      </c>
      <c r="E2367" s="213" t="s">
        <v>19707</v>
      </c>
      <c r="K2367" s="213" t="s">
        <v>69236</v>
      </c>
      <c r="L2367" s="213" t="s">
        <v>69293</v>
      </c>
      <c r="M2367" s="213" t="s">
        <v>69350</v>
      </c>
      <c r="N2367" s="213" t="s">
        <v>19708</v>
      </c>
      <c r="O2367" s="213" t="s">
        <v>19709</v>
      </c>
      <c r="P2367" s="213" t="s">
        <v>19710</v>
      </c>
      <c r="Q2367" s="213" t="s">
        <v>19711</v>
      </c>
      <c r="R2367" s="213" t="s">
        <v>19712</v>
      </c>
      <c r="S2367" s="213" t="s">
        <v>19713</v>
      </c>
      <c r="T2367" s="213" t="s">
        <v>19714</v>
      </c>
      <c r="U2367" s="213" t="s">
        <v>69407</v>
      </c>
    </row>
    <row r="2368" spans="1:21" x14ac:dyDescent="0.25">
      <c r="A2368" s="213" t="s">
        <v>327</v>
      </c>
      <c r="D2368" s="213" t="s">
        <v>19715</v>
      </c>
      <c r="E2368" s="213" t="s">
        <v>19716</v>
      </c>
      <c r="K2368" s="213" t="s">
        <v>69237</v>
      </c>
      <c r="L2368" s="213" t="s">
        <v>69294</v>
      </c>
      <c r="M2368" s="213" t="s">
        <v>69351</v>
      </c>
      <c r="N2368" s="213" t="s">
        <v>19717</v>
      </c>
      <c r="O2368" s="213" t="s">
        <v>19718</v>
      </c>
      <c r="P2368" s="213" t="s">
        <v>19719</v>
      </c>
      <c r="Q2368" s="213" t="s">
        <v>19720</v>
      </c>
      <c r="R2368" s="213" t="s">
        <v>19721</v>
      </c>
      <c r="S2368" s="213" t="s">
        <v>19722</v>
      </c>
      <c r="T2368" s="213" t="s">
        <v>19723</v>
      </c>
      <c r="U2368" s="213" t="s">
        <v>69408</v>
      </c>
    </row>
    <row r="2369" spans="1:21" x14ac:dyDescent="0.25">
      <c r="A2369" s="213" t="s">
        <v>327</v>
      </c>
      <c r="D2369" s="213" t="s">
        <v>19724</v>
      </c>
      <c r="E2369" s="213" t="s">
        <v>19725</v>
      </c>
      <c r="K2369" s="213" t="s">
        <v>69238</v>
      </c>
      <c r="L2369" s="213" t="s">
        <v>69295</v>
      </c>
      <c r="M2369" s="213" t="s">
        <v>69352</v>
      </c>
      <c r="N2369" s="213" t="s">
        <v>19726</v>
      </c>
      <c r="O2369" s="213" t="s">
        <v>19727</v>
      </c>
      <c r="P2369" s="213" t="s">
        <v>19728</v>
      </c>
      <c r="Q2369" s="213" t="s">
        <v>19729</v>
      </c>
      <c r="R2369" s="213" t="s">
        <v>19730</v>
      </c>
      <c r="S2369" s="213" t="s">
        <v>19731</v>
      </c>
      <c r="T2369" s="213" t="s">
        <v>19732</v>
      </c>
      <c r="U2369" s="213" t="s">
        <v>69409</v>
      </c>
    </row>
    <row r="2370" spans="1:21" x14ac:dyDescent="0.25">
      <c r="A2370" s="213" t="s">
        <v>327</v>
      </c>
      <c r="D2370" s="213" t="s">
        <v>19733</v>
      </c>
      <c r="E2370" s="213" t="s">
        <v>19734</v>
      </c>
      <c r="K2370" s="213" t="s">
        <v>69239</v>
      </c>
      <c r="L2370" s="213" t="s">
        <v>69296</v>
      </c>
      <c r="M2370" s="213" t="s">
        <v>69353</v>
      </c>
      <c r="N2370" s="213" t="s">
        <v>19735</v>
      </c>
      <c r="O2370" s="213" t="s">
        <v>19736</v>
      </c>
      <c r="P2370" s="213" t="s">
        <v>19737</v>
      </c>
      <c r="Q2370" s="213" t="s">
        <v>19738</v>
      </c>
      <c r="R2370" s="213" t="s">
        <v>19739</v>
      </c>
      <c r="S2370" s="213" t="s">
        <v>19740</v>
      </c>
      <c r="T2370" s="213" t="s">
        <v>19741</v>
      </c>
      <c r="U2370" s="213" t="s">
        <v>69410</v>
      </c>
    </row>
    <row r="2371" spans="1:21" x14ac:dyDescent="0.25">
      <c r="A2371" s="213" t="s">
        <v>327</v>
      </c>
      <c r="D2371" s="213" t="s">
        <v>19742</v>
      </c>
      <c r="E2371" s="213" t="s">
        <v>19743</v>
      </c>
      <c r="K2371" s="213" t="s">
        <v>69240</v>
      </c>
      <c r="L2371" s="213" t="s">
        <v>69297</v>
      </c>
      <c r="M2371" s="213" t="s">
        <v>69354</v>
      </c>
      <c r="N2371" s="213" t="s">
        <v>19744</v>
      </c>
      <c r="O2371" s="213" t="s">
        <v>19745</v>
      </c>
      <c r="P2371" s="213" t="s">
        <v>19746</v>
      </c>
      <c r="Q2371" s="213" t="s">
        <v>19747</v>
      </c>
      <c r="R2371" s="213" t="s">
        <v>19748</v>
      </c>
      <c r="S2371" s="213" t="s">
        <v>19749</v>
      </c>
      <c r="T2371" s="213" t="s">
        <v>19750</v>
      </c>
      <c r="U2371" s="213" t="s">
        <v>69411</v>
      </c>
    </row>
    <row r="2372" spans="1:21" x14ac:dyDescent="0.25">
      <c r="A2372" s="213" t="s">
        <v>327</v>
      </c>
      <c r="D2372" s="213" t="s">
        <v>19751</v>
      </c>
      <c r="E2372" s="213" t="s">
        <v>19752</v>
      </c>
      <c r="K2372" s="213" t="s">
        <v>69241</v>
      </c>
      <c r="L2372" s="213" t="s">
        <v>69298</v>
      </c>
      <c r="M2372" s="213" t="s">
        <v>69355</v>
      </c>
      <c r="N2372" s="213" t="s">
        <v>19753</v>
      </c>
      <c r="O2372" s="213" t="s">
        <v>19754</v>
      </c>
      <c r="P2372" s="213" t="s">
        <v>19755</v>
      </c>
      <c r="Q2372" s="213" t="s">
        <v>19756</v>
      </c>
      <c r="R2372" s="213" t="s">
        <v>19757</v>
      </c>
      <c r="S2372" s="213" t="s">
        <v>19758</v>
      </c>
      <c r="T2372" s="213" t="s">
        <v>19759</v>
      </c>
      <c r="U2372" s="213" t="s">
        <v>69412</v>
      </c>
    </row>
    <row r="2373" spans="1:21" x14ac:dyDescent="0.25">
      <c r="A2373" s="213" t="s">
        <v>327</v>
      </c>
      <c r="D2373" s="213" t="s">
        <v>19760</v>
      </c>
      <c r="E2373" s="213" t="s">
        <v>19761</v>
      </c>
      <c r="K2373" s="213" t="s">
        <v>69242</v>
      </c>
      <c r="L2373" s="213" t="s">
        <v>69299</v>
      </c>
      <c r="M2373" s="213" t="s">
        <v>69356</v>
      </c>
      <c r="N2373" s="213" t="s">
        <v>19762</v>
      </c>
      <c r="O2373" s="213" t="s">
        <v>19763</v>
      </c>
      <c r="P2373" s="213" t="s">
        <v>19764</v>
      </c>
      <c r="Q2373" s="213" t="s">
        <v>19765</v>
      </c>
      <c r="R2373" s="213" t="s">
        <v>19766</v>
      </c>
      <c r="S2373" s="213" t="s">
        <v>19767</v>
      </c>
      <c r="T2373" s="213" t="s">
        <v>19768</v>
      </c>
      <c r="U2373" s="213" t="s">
        <v>69413</v>
      </c>
    </row>
    <row r="2374" spans="1:21" x14ac:dyDescent="0.25">
      <c r="A2374" s="213" t="s">
        <v>327</v>
      </c>
      <c r="D2374" s="213" t="s">
        <v>19769</v>
      </c>
      <c r="E2374" s="213" t="s">
        <v>19770</v>
      </c>
      <c r="K2374" s="213" t="s">
        <v>69243</v>
      </c>
      <c r="L2374" s="213" t="s">
        <v>69300</v>
      </c>
      <c r="M2374" s="213" t="s">
        <v>69357</v>
      </c>
      <c r="N2374" s="213" t="s">
        <v>19771</v>
      </c>
      <c r="O2374" s="213" t="s">
        <v>19772</v>
      </c>
      <c r="P2374" s="213" t="s">
        <v>19773</v>
      </c>
      <c r="Q2374" s="213" t="s">
        <v>19774</v>
      </c>
      <c r="R2374" s="213" t="s">
        <v>19775</v>
      </c>
      <c r="S2374" s="213" t="s">
        <v>19776</v>
      </c>
      <c r="T2374" s="213" t="s">
        <v>19777</v>
      </c>
      <c r="U2374" s="213" t="s">
        <v>69414</v>
      </c>
    </row>
    <row r="2375" spans="1:21" x14ac:dyDescent="0.25">
      <c r="A2375" s="213" t="s">
        <v>327</v>
      </c>
      <c r="D2375" s="213" t="s">
        <v>19778</v>
      </c>
      <c r="E2375" s="213" t="s">
        <v>19779</v>
      </c>
      <c r="K2375" s="213" t="s">
        <v>69244</v>
      </c>
      <c r="L2375" s="213" t="s">
        <v>69301</v>
      </c>
      <c r="M2375" s="213" t="s">
        <v>69358</v>
      </c>
      <c r="N2375" s="213" t="s">
        <v>19780</v>
      </c>
      <c r="O2375" s="213" t="s">
        <v>19781</v>
      </c>
      <c r="P2375" s="213" t="s">
        <v>19782</v>
      </c>
      <c r="Q2375" s="213" t="s">
        <v>19783</v>
      </c>
      <c r="R2375" s="213" t="s">
        <v>19784</v>
      </c>
      <c r="S2375" s="213" t="s">
        <v>19785</v>
      </c>
      <c r="T2375" s="213" t="s">
        <v>19786</v>
      </c>
      <c r="U2375" s="213" t="s">
        <v>69415</v>
      </c>
    </row>
    <row r="2376" spans="1:21" x14ac:dyDescent="0.25">
      <c r="A2376" s="213" t="s">
        <v>327</v>
      </c>
      <c r="D2376" s="213" t="s">
        <v>19787</v>
      </c>
      <c r="E2376" s="213" t="s">
        <v>19788</v>
      </c>
      <c r="K2376" s="213" t="s">
        <v>69245</v>
      </c>
      <c r="L2376" s="213" t="s">
        <v>69302</v>
      </c>
      <c r="M2376" s="213" t="s">
        <v>69359</v>
      </c>
      <c r="N2376" s="213" t="s">
        <v>19789</v>
      </c>
      <c r="O2376" s="213" t="s">
        <v>19790</v>
      </c>
      <c r="P2376" s="213" t="s">
        <v>19791</v>
      </c>
      <c r="Q2376" s="213" t="s">
        <v>19792</v>
      </c>
      <c r="R2376" s="213" t="s">
        <v>19793</v>
      </c>
      <c r="S2376" s="213" t="s">
        <v>19794</v>
      </c>
      <c r="T2376" s="213" t="s">
        <v>19795</v>
      </c>
      <c r="U2376" s="213" t="s">
        <v>69416</v>
      </c>
    </row>
    <row r="2377" spans="1:21" x14ac:dyDescent="0.25">
      <c r="A2377" s="213" t="s">
        <v>327</v>
      </c>
      <c r="D2377" s="213" t="s">
        <v>19796</v>
      </c>
      <c r="E2377" s="213" t="s">
        <v>19797</v>
      </c>
      <c r="K2377" s="213" t="s">
        <v>69246</v>
      </c>
      <c r="L2377" s="213" t="s">
        <v>69303</v>
      </c>
      <c r="M2377" s="213" t="s">
        <v>69360</v>
      </c>
      <c r="N2377" s="213" t="s">
        <v>19798</v>
      </c>
      <c r="O2377" s="213" t="s">
        <v>19799</v>
      </c>
      <c r="P2377" s="213" t="s">
        <v>19800</v>
      </c>
      <c r="Q2377" s="213" t="s">
        <v>19801</v>
      </c>
      <c r="R2377" s="213" t="s">
        <v>19802</v>
      </c>
      <c r="S2377" s="213" t="s">
        <v>19803</v>
      </c>
      <c r="T2377" s="213" t="s">
        <v>19804</v>
      </c>
      <c r="U2377" s="213" t="s">
        <v>69417</v>
      </c>
    </row>
    <row r="2378" spans="1:21" x14ac:dyDescent="0.25">
      <c r="A2378" s="213" t="s">
        <v>327</v>
      </c>
      <c r="D2378" s="213" t="s">
        <v>19805</v>
      </c>
      <c r="E2378" s="213" t="s">
        <v>19806</v>
      </c>
      <c r="K2378" s="213" t="s">
        <v>69247</v>
      </c>
      <c r="L2378" s="213" t="s">
        <v>69304</v>
      </c>
      <c r="M2378" s="213" t="s">
        <v>69361</v>
      </c>
      <c r="N2378" s="213" t="s">
        <v>19807</v>
      </c>
      <c r="O2378" s="213" t="s">
        <v>19808</v>
      </c>
      <c r="P2378" s="213" t="s">
        <v>19809</v>
      </c>
      <c r="Q2378" s="213" t="s">
        <v>19810</v>
      </c>
      <c r="R2378" s="213" t="s">
        <v>19811</v>
      </c>
      <c r="S2378" s="213" t="s">
        <v>19812</v>
      </c>
      <c r="T2378" s="213" t="s">
        <v>19813</v>
      </c>
      <c r="U2378" s="213" t="s">
        <v>69418</v>
      </c>
    </row>
    <row r="2379" spans="1:21" x14ac:dyDescent="0.25">
      <c r="A2379" s="213" t="s">
        <v>327</v>
      </c>
      <c r="D2379" s="213" t="s">
        <v>19814</v>
      </c>
      <c r="E2379" s="213" t="s">
        <v>19815</v>
      </c>
      <c r="K2379" s="213" t="s">
        <v>69248</v>
      </c>
      <c r="L2379" s="213" t="s">
        <v>69305</v>
      </c>
      <c r="M2379" s="213" t="s">
        <v>69362</v>
      </c>
      <c r="N2379" s="213" t="s">
        <v>19816</v>
      </c>
      <c r="O2379" s="213" t="s">
        <v>19817</v>
      </c>
      <c r="P2379" s="213" t="s">
        <v>19818</v>
      </c>
      <c r="Q2379" s="213" t="s">
        <v>19819</v>
      </c>
      <c r="R2379" s="213" t="s">
        <v>19820</v>
      </c>
      <c r="S2379" s="213" t="s">
        <v>19821</v>
      </c>
      <c r="T2379" s="213" t="s">
        <v>19822</v>
      </c>
      <c r="U2379" s="213" t="s">
        <v>69419</v>
      </c>
    </row>
    <row r="2380" spans="1:21" x14ac:dyDescent="0.25">
      <c r="A2380" s="213" t="s">
        <v>327</v>
      </c>
      <c r="D2380" s="213" t="s">
        <v>19823</v>
      </c>
      <c r="E2380" s="213" t="s">
        <v>19824</v>
      </c>
      <c r="K2380" s="213" t="s">
        <v>69249</v>
      </c>
      <c r="L2380" s="213" t="s">
        <v>69306</v>
      </c>
      <c r="M2380" s="213" t="s">
        <v>69363</v>
      </c>
      <c r="N2380" s="213" t="s">
        <v>19825</v>
      </c>
      <c r="O2380" s="213" t="s">
        <v>19826</v>
      </c>
      <c r="P2380" s="213" t="s">
        <v>19827</v>
      </c>
      <c r="Q2380" s="213" t="s">
        <v>19828</v>
      </c>
      <c r="R2380" s="213" t="s">
        <v>19829</v>
      </c>
      <c r="S2380" s="213" t="s">
        <v>19830</v>
      </c>
      <c r="T2380" s="213" t="s">
        <v>19831</v>
      </c>
      <c r="U2380" s="213" t="s">
        <v>69420</v>
      </c>
    </row>
    <row r="2381" spans="1:21" x14ac:dyDescent="0.25">
      <c r="A2381" s="213" t="s">
        <v>327</v>
      </c>
      <c r="D2381" s="213" t="s">
        <v>19832</v>
      </c>
      <c r="E2381" s="213" t="s">
        <v>19833</v>
      </c>
      <c r="K2381" s="213" t="s">
        <v>69250</v>
      </c>
      <c r="L2381" s="213" t="s">
        <v>69307</v>
      </c>
      <c r="M2381" s="213" t="s">
        <v>69364</v>
      </c>
      <c r="N2381" s="213" t="s">
        <v>19834</v>
      </c>
      <c r="O2381" s="213" t="s">
        <v>19835</v>
      </c>
      <c r="P2381" s="213" t="s">
        <v>19836</v>
      </c>
      <c r="Q2381" s="213" t="s">
        <v>19837</v>
      </c>
      <c r="R2381" s="213" t="s">
        <v>19838</v>
      </c>
      <c r="S2381" s="213" t="s">
        <v>19839</v>
      </c>
      <c r="T2381" s="213" t="s">
        <v>19840</v>
      </c>
      <c r="U2381" s="213" t="s">
        <v>69421</v>
      </c>
    </row>
    <row r="2382" spans="1:21" x14ac:dyDescent="0.25">
      <c r="A2382" s="213" t="s">
        <v>327</v>
      </c>
      <c r="D2382" s="213" t="s">
        <v>19841</v>
      </c>
      <c r="E2382" s="213" t="s">
        <v>19842</v>
      </c>
      <c r="K2382" s="213" t="s">
        <v>69251</v>
      </c>
      <c r="L2382" s="213" t="s">
        <v>69308</v>
      </c>
      <c r="M2382" s="213" t="s">
        <v>69365</v>
      </c>
      <c r="N2382" s="213" t="s">
        <v>19843</v>
      </c>
      <c r="O2382" s="213" t="s">
        <v>19844</v>
      </c>
      <c r="P2382" s="213" t="s">
        <v>19845</v>
      </c>
      <c r="Q2382" s="213" t="s">
        <v>19846</v>
      </c>
      <c r="R2382" s="213" t="s">
        <v>19847</v>
      </c>
      <c r="S2382" s="213" t="s">
        <v>19848</v>
      </c>
      <c r="T2382" s="213" t="s">
        <v>19849</v>
      </c>
      <c r="U2382" s="213" t="s">
        <v>69422</v>
      </c>
    </row>
    <row r="2383" spans="1:21" x14ac:dyDescent="0.25">
      <c r="A2383" s="213" t="s">
        <v>327</v>
      </c>
      <c r="D2383" s="213" t="s">
        <v>19850</v>
      </c>
      <c r="E2383" s="213" t="s">
        <v>19851</v>
      </c>
      <c r="K2383" s="213" t="s">
        <v>69252</v>
      </c>
      <c r="L2383" s="213" t="s">
        <v>69309</v>
      </c>
      <c r="M2383" s="213" t="s">
        <v>69366</v>
      </c>
      <c r="N2383" s="213" t="s">
        <v>19852</v>
      </c>
      <c r="O2383" s="213" t="s">
        <v>19853</v>
      </c>
      <c r="P2383" s="213" t="s">
        <v>19854</v>
      </c>
      <c r="Q2383" s="213" t="s">
        <v>19855</v>
      </c>
      <c r="R2383" s="213" t="s">
        <v>19856</v>
      </c>
      <c r="S2383" s="213" t="s">
        <v>19857</v>
      </c>
      <c r="T2383" s="213" t="s">
        <v>19858</v>
      </c>
      <c r="U2383" s="213" t="s">
        <v>69423</v>
      </c>
    </row>
    <row r="2384" spans="1:21" x14ac:dyDescent="0.25">
      <c r="A2384" s="213" t="s">
        <v>327</v>
      </c>
      <c r="D2384" s="213" t="s">
        <v>19859</v>
      </c>
      <c r="E2384" s="213" t="s">
        <v>19860</v>
      </c>
      <c r="K2384" s="213" t="s">
        <v>69253</v>
      </c>
      <c r="L2384" s="213" t="s">
        <v>69310</v>
      </c>
      <c r="M2384" s="213" t="s">
        <v>69367</v>
      </c>
      <c r="N2384" s="213" t="s">
        <v>19861</v>
      </c>
      <c r="O2384" s="213" t="s">
        <v>19862</v>
      </c>
      <c r="P2384" s="213" t="s">
        <v>19863</v>
      </c>
      <c r="Q2384" s="213" t="s">
        <v>19864</v>
      </c>
      <c r="R2384" s="213" t="s">
        <v>19865</v>
      </c>
      <c r="S2384" s="213" t="s">
        <v>19866</v>
      </c>
      <c r="T2384" s="213" t="s">
        <v>19867</v>
      </c>
      <c r="U2384" s="213" t="s">
        <v>69424</v>
      </c>
    </row>
    <row r="2385" spans="1:21" x14ac:dyDescent="0.25">
      <c r="A2385" s="213" t="s">
        <v>327</v>
      </c>
      <c r="D2385" s="213" t="s">
        <v>19868</v>
      </c>
      <c r="E2385" s="213" t="s">
        <v>19869</v>
      </c>
      <c r="K2385" s="213" t="s">
        <v>69254</v>
      </c>
      <c r="L2385" s="213" t="s">
        <v>69311</v>
      </c>
      <c r="M2385" s="213" t="s">
        <v>69368</v>
      </c>
      <c r="N2385" s="213" t="s">
        <v>19870</v>
      </c>
      <c r="O2385" s="213" t="s">
        <v>19871</v>
      </c>
      <c r="P2385" s="213" t="s">
        <v>19872</v>
      </c>
      <c r="Q2385" s="213" t="s">
        <v>19873</v>
      </c>
      <c r="R2385" s="213" t="s">
        <v>19874</v>
      </c>
      <c r="S2385" s="213" t="s">
        <v>19875</v>
      </c>
      <c r="T2385" s="213" t="s">
        <v>19876</v>
      </c>
      <c r="U2385" s="213" t="s">
        <v>69425</v>
      </c>
    </row>
    <row r="2386" spans="1:21" x14ac:dyDescent="0.25">
      <c r="A2386" s="213" t="s">
        <v>327</v>
      </c>
      <c r="D2386" s="213" t="s">
        <v>19877</v>
      </c>
      <c r="E2386" s="213" t="s">
        <v>19878</v>
      </c>
      <c r="K2386" s="213" t="s">
        <v>69255</v>
      </c>
      <c r="L2386" s="213" t="s">
        <v>69312</v>
      </c>
      <c r="M2386" s="213" t="s">
        <v>69369</v>
      </c>
      <c r="N2386" s="213" t="s">
        <v>19879</v>
      </c>
      <c r="O2386" s="213" t="s">
        <v>19880</v>
      </c>
      <c r="P2386" s="213" t="s">
        <v>19881</v>
      </c>
      <c r="Q2386" s="213" t="s">
        <v>19882</v>
      </c>
      <c r="R2386" s="213" t="s">
        <v>19883</v>
      </c>
      <c r="S2386" s="213" t="s">
        <v>19884</v>
      </c>
      <c r="T2386" s="213" t="s">
        <v>19885</v>
      </c>
      <c r="U2386" s="213" t="s">
        <v>69426</v>
      </c>
    </row>
    <row r="2387" spans="1:21" x14ac:dyDescent="0.25">
      <c r="A2387" s="213" t="s">
        <v>327</v>
      </c>
      <c r="D2387" s="213" t="s">
        <v>19886</v>
      </c>
      <c r="E2387" s="213" t="s">
        <v>19887</v>
      </c>
      <c r="K2387" s="213" t="s">
        <v>69256</v>
      </c>
      <c r="L2387" s="213" t="s">
        <v>69313</v>
      </c>
      <c r="M2387" s="213" t="s">
        <v>69370</v>
      </c>
      <c r="N2387" s="213" t="s">
        <v>19888</v>
      </c>
      <c r="O2387" s="213" t="s">
        <v>19889</v>
      </c>
      <c r="P2387" s="213" t="s">
        <v>19890</v>
      </c>
      <c r="Q2387" s="213" t="s">
        <v>19891</v>
      </c>
      <c r="R2387" s="213" t="s">
        <v>19892</v>
      </c>
      <c r="S2387" s="213" t="s">
        <v>19893</v>
      </c>
      <c r="T2387" s="213" t="s">
        <v>19894</v>
      </c>
      <c r="U2387" s="213" t="s">
        <v>69427</v>
      </c>
    </row>
    <row r="2388" spans="1:21" x14ac:dyDescent="0.25">
      <c r="A2388" s="213" t="s">
        <v>327</v>
      </c>
      <c r="D2388" s="213" t="s">
        <v>19895</v>
      </c>
      <c r="E2388" s="213" t="s">
        <v>19896</v>
      </c>
      <c r="K2388" s="213" t="s">
        <v>69257</v>
      </c>
      <c r="L2388" s="213" t="s">
        <v>69314</v>
      </c>
      <c r="M2388" s="213" t="s">
        <v>69371</v>
      </c>
      <c r="N2388" s="213" t="s">
        <v>19897</v>
      </c>
      <c r="O2388" s="213" t="s">
        <v>19898</v>
      </c>
      <c r="P2388" s="213" t="s">
        <v>19899</v>
      </c>
      <c r="Q2388" s="213" t="s">
        <v>19900</v>
      </c>
      <c r="R2388" s="213" t="s">
        <v>19901</v>
      </c>
      <c r="S2388" s="213" t="s">
        <v>19902</v>
      </c>
      <c r="T2388" s="213" t="s">
        <v>19903</v>
      </c>
      <c r="U2388" s="213" t="s">
        <v>69428</v>
      </c>
    </row>
    <row r="2389" spans="1:21" x14ac:dyDescent="0.25">
      <c r="A2389" s="213" t="s">
        <v>327</v>
      </c>
      <c r="D2389" s="213" t="s">
        <v>19904</v>
      </c>
      <c r="E2389" s="213" t="s">
        <v>19905</v>
      </c>
      <c r="K2389" s="213" t="s">
        <v>69258</v>
      </c>
      <c r="L2389" s="213" t="s">
        <v>69315</v>
      </c>
      <c r="M2389" s="213" t="s">
        <v>69372</v>
      </c>
      <c r="N2389" s="213" t="s">
        <v>19906</v>
      </c>
      <c r="O2389" s="213" t="s">
        <v>19907</v>
      </c>
      <c r="P2389" s="213" t="s">
        <v>19908</v>
      </c>
      <c r="Q2389" s="213" t="s">
        <v>19909</v>
      </c>
      <c r="R2389" s="213" t="s">
        <v>19910</v>
      </c>
      <c r="S2389" s="213" t="s">
        <v>19911</v>
      </c>
      <c r="T2389" s="213" t="s">
        <v>19912</v>
      </c>
      <c r="U2389" s="213" t="s">
        <v>69429</v>
      </c>
    </row>
    <row r="2390" spans="1:21" x14ac:dyDescent="0.25">
      <c r="A2390" s="213" t="s">
        <v>327</v>
      </c>
      <c r="D2390" s="213" t="s">
        <v>19913</v>
      </c>
      <c r="E2390" s="213" t="s">
        <v>19914</v>
      </c>
      <c r="K2390" s="213" t="s">
        <v>69259</v>
      </c>
      <c r="L2390" s="213" t="s">
        <v>69316</v>
      </c>
      <c r="M2390" s="213" t="s">
        <v>69373</v>
      </c>
      <c r="N2390" s="213" t="s">
        <v>19915</v>
      </c>
      <c r="O2390" s="213" t="s">
        <v>19916</v>
      </c>
      <c r="P2390" s="213" t="s">
        <v>19917</v>
      </c>
      <c r="Q2390" s="213" t="s">
        <v>19918</v>
      </c>
      <c r="R2390" s="213" t="s">
        <v>19919</v>
      </c>
      <c r="S2390" s="213" t="s">
        <v>19920</v>
      </c>
      <c r="T2390" s="213" t="s">
        <v>19921</v>
      </c>
      <c r="U2390" s="213" t="s">
        <v>69430</v>
      </c>
    </row>
    <row r="2391" spans="1:21" x14ac:dyDescent="0.25">
      <c r="A2391" s="213" t="s">
        <v>327</v>
      </c>
      <c r="D2391" s="213" t="s">
        <v>19922</v>
      </c>
      <c r="E2391" s="213" t="s">
        <v>19923</v>
      </c>
      <c r="K2391" s="213" t="s">
        <v>69260</v>
      </c>
      <c r="L2391" s="213" t="s">
        <v>69317</v>
      </c>
      <c r="M2391" s="213" t="s">
        <v>69374</v>
      </c>
      <c r="N2391" s="213" t="s">
        <v>19924</v>
      </c>
      <c r="O2391" s="213" t="s">
        <v>19925</v>
      </c>
      <c r="P2391" s="213" t="s">
        <v>19926</v>
      </c>
      <c r="Q2391" s="213" t="s">
        <v>19927</v>
      </c>
      <c r="R2391" s="213" t="s">
        <v>19928</v>
      </c>
      <c r="S2391" s="213" t="s">
        <v>19929</v>
      </c>
      <c r="T2391" s="213" t="s">
        <v>19930</v>
      </c>
      <c r="U2391" s="213" t="s">
        <v>69431</v>
      </c>
    </row>
    <row r="2392" spans="1:21" x14ac:dyDescent="0.25">
      <c r="A2392" s="213" t="s">
        <v>327</v>
      </c>
      <c r="D2392" s="213" t="s">
        <v>19931</v>
      </c>
      <c r="E2392" s="213" t="s">
        <v>19932</v>
      </c>
      <c r="K2392" s="213" t="s">
        <v>69261</v>
      </c>
      <c r="L2392" s="213" t="s">
        <v>69318</v>
      </c>
      <c r="M2392" s="213" t="s">
        <v>69375</v>
      </c>
      <c r="N2392" s="213" t="s">
        <v>19933</v>
      </c>
      <c r="O2392" s="213" t="s">
        <v>19934</v>
      </c>
      <c r="P2392" s="213" t="s">
        <v>19935</v>
      </c>
      <c r="Q2392" s="213" t="s">
        <v>19936</v>
      </c>
      <c r="R2392" s="213" t="s">
        <v>19937</v>
      </c>
      <c r="S2392" s="213" t="s">
        <v>19938</v>
      </c>
      <c r="T2392" s="213" t="s">
        <v>19939</v>
      </c>
      <c r="U2392" s="213" t="s">
        <v>69432</v>
      </c>
    </row>
    <row r="2393" spans="1:21" x14ac:dyDescent="0.25">
      <c r="A2393" s="213" t="s">
        <v>327</v>
      </c>
      <c r="D2393" s="213" t="s">
        <v>19940</v>
      </c>
      <c r="E2393" s="213" t="s">
        <v>19941</v>
      </c>
      <c r="K2393" s="213" t="s">
        <v>69262</v>
      </c>
      <c r="L2393" s="213" t="s">
        <v>69319</v>
      </c>
      <c r="M2393" s="213" t="s">
        <v>69376</v>
      </c>
      <c r="N2393" s="213" t="s">
        <v>19942</v>
      </c>
      <c r="O2393" s="213" t="s">
        <v>19943</v>
      </c>
      <c r="P2393" s="213" t="s">
        <v>19944</v>
      </c>
      <c r="Q2393" s="213" t="s">
        <v>19945</v>
      </c>
      <c r="R2393" s="213" t="s">
        <v>19946</v>
      </c>
      <c r="S2393" s="213" t="s">
        <v>19947</v>
      </c>
      <c r="T2393" s="213" t="s">
        <v>19948</v>
      </c>
      <c r="U2393" s="213" t="s">
        <v>69433</v>
      </c>
    </row>
    <row r="2394" spans="1:21" x14ac:dyDescent="0.25">
      <c r="A2394" s="213" t="s">
        <v>327</v>
      </c>
      <c r="D2394" s="213" t="s">
        <v>19949</v>
      </c>
      <c r="E2394" s="213" t="s">
        <v>19950</v>
      </c>
      <c r="K2394" s="213" t="s">
        <v>69263</v>
      </c>
      <c r="L2394" s="213" t="s">
        <v>69320</v>
      </c>
      <c r="M2394" s="213" t="s">
        <v>69377</v>
      </c>
      <c r="N2394" s="213" t="s">
        <v>19951</v>
      </c>
      <c r="O2394" s="213" t="s">
        <v>19952</v>
      </c>
      <c r="P2394" s="213" t="s">
        <v>19953</v>
      </c>
      <c r="Q2394" s="213" t="s">
        <v>19954</v>
      </c>
      <c r="R2394" s="213" t="s">
        <v>19955</v>
      </c>
      <c r="S2394" s="213" t="s">
        <v>19956</v>
      </c>
      <c r="T2394" s="213" t="s">
        <v>19957</v>
      </c>
      <c r="U2394" s="213" t="s">
        <v>69434</v>
      </c>
    </row>
    <row r="2395" spans="1:21" x14ac:dyDescent="0.25">
      <c r="A2395" s="213" t="s">
        <v>327</v>
      </c>
      <c r="D2395" s="213" t="s">
        <v>19958</v>
      </c>
      <c r="E2395" s="213" t="s">
        <v>19959</v>
      </c>
      <c r="K2395" s="213" t="s">
        <v>69264</v>
      </c>
      <c r="L2395" s="213" t="s">
        <v>69321</v>
      </c>
      <c r="M2395" s="213" t="s">
        <v>69378</v>
      </c>
      <c r="N2395" s="213" t="s">
        <v>19960</v>
      </c>
      <c r="O2395" s="213" t="s">
        <v>19961</v>
      </c>
      <c r="P2395" s="213" t="s">
        <v>19962</v>
      </c>
      <c r="Q2395" s="213" t="s">
        <v>19963</v>
      </c>
      <c r="R2395" s="213" t="s">
        <v>19964</v>
      </c>
      <c r="S2395" s="213" t="s">
        <v>19965</v>
      </c>
      <c r="T2395" s="213" t="s">
        <v>19966</v>
      </c>
      <c r="U2395" s="213" t="s">
        <v>69435</v>
      </c>
    </row>
    <row r="2396" spans="1:21" x14ac:dyDescent="0.25">
      <c r="A2396" s="213" t="s">
        <v>327</v>
      </c>
      <c r="D2396" s="213" t="s">
        <v>19967</v>
      </c>
      <c r="E2396" s="213" t="s">
        <v>19968</v>
      </c>
      <c r="K2396" s="213" t="s">
        <v>69265</v>
      </c>
      <c r="L2396" s="213" t="s">
        <v>69322</v>
      </c>
      <c r="M2396" s="213" t="s">
        <v>69379</v>
      </c>
      <c r="N2396" s="213" t="s">
        <v>19969</v>
      </c>
      <c r="O2396" s="213" t="s">
        <v>19970</v>
      </c>
      <c r="P2396" s="213" t="s">
        <v>19971</v>
      </c>
      <c r="Q2396" s="213" t="s">
        <v>19972</v>
      </c>
      <c r="R2396" s="213" t="s">
        <v>19973</v>
      </c>
      <c r="S2396" s="213" t="s">
        <v>19974</v>
      </c>
      <c r="T2396" s="213" t="s">
        <v>19975</v>
      </c>
      <c r="U2396" s="213" t="s">
        <v>69436</v>
      </c>
    </row>
    <row r="2397" spans="1:21" x14ac:dyDescent="0.25">
      <c r="A2397" s="213" t="s">
        <v>327</v>
      </c>
      <c r="D2397" s="213" t="s">
        <v>19976</v>
      </c>
      <c r="E2397" s="213" t="s">
        <v>19977</v>
      </c>
      <c r="K2397" s="213" t="s">
        <v>69266</v>
      </c>
      <c r="L2397" s="213" t="s">
        <v>69323</v>
      </c>
      <c r="M2397" s="213" t="s">
        <v>69380</v>
      </c>
      <c r="N2397" s="213" t="s">
        <v>19978</v>
      </c>
      <c r="O2397" s="213" t="s">
        <v>19979</v>
      </c>
      <c r="P2397" s="213" t="s">
        <v>19980</v>
      </c>
      <c r="Q2397" s="213" t="s">
        <v>19981</v>
      </c>
      <c r="R2397" s="213" t="s">
        <v>19982</v>
      </c>
      <c r="S2397" s="213" t="s">
        <v>19983</v>
      </c>
      <c r="T2397" s="213" t="s">
        <v>19984</v>
      </c>
      <c r="U2397" s="213" t="s">
        <v>69437</v>
      </c>
    </row>
    <row r="2398" spans="1:21" x14ac:dyDescent="0.25">
      <c r="A2398" s="213" t="s">
        <v>327</v>
      </c>
      <c r="D2398" s="213" t="s">
        <v>19985</v>
      </c>
      <c r="E2398" s="213" t="s">
        <v>19986</v>
      </c>
      <c r="K2398" s="213" t="s">
        <v>69267</v>
      </c>
      <c r="L2398" s="213" t="s">
        <v>69324</v>
      </c>
      <c r="M2398" s="213" t="s">
        <v>69381</v>
      </c>
      <c r="N2398" s="213" t="s">
        <v>19987</v>
      </c>
      <c r="O2398" s="213" t="s">
        <v>19988</v>
      </c>
      <c r="P2398" s="213" t="s">
        <v>19989</v>
      </c>
      <c r="Q2398" s="213" t="s">
        <v>19990</v>
      </c>
      <c r="R2398" s="213" t="s">
        <v>19991</v>
      </c>
      <c r="S2398" s="213" t="s">
        <v>19992</v>
      </c>
      <c r="T2398" s="213" t="s">
        <v>19993</v>
      </c>
      <c r="U2398" s="213" t="s">
        <v>69438</v>
      </c>
    </row>
    <row r="2399" spans="1:21" x14ac:dyDescent="0.25">
      <c r="A2399" s="213" t="s">
        <v>327</v>
      </c>
      <c r="D2399" s="213" t="s">
        <v>19994</v>
      </c>
      <c r="E2399" s="213" t="s">
        <v>19995</v>
      </c>
      <c r="K2399" s="213" t="s">
        <v>69268</v>
      </c>
      <c r="L2399" s="213" t="s">
        <v>69325</v>
      </c>
      <c r="M2399" s="213" t="s">
        <v>69382</v>
      </c>
      <c r="N2399" s="213" t="s">
        <v>19996</v>
      </c>
      <c r="O2399" s="213" t="s">
        <v>19997</v>
      </c>
      <c r="P2399" s="213" t="s">
        <v>19998</v>
      </c>
      <c r="Q2399" s="213" t="s">
        <v>19999</v>
      </c>
      <c r="R2399" s="213" t="s">
        <v>20000</v>
      </c>
      <c r="S2399" s="213" t="s">
        <v>20001</v>
      </c>
      <c r="T2399" s="213" t="s">
        <v>20002</v>
      </c>
      <c r="U2399" s="213" t="s">
        <v>69439</v>
      </c>
    </row>
    <row r="2400" spans="1:21" x14ac:dyDescent="0.25">
      <c r="A2400" s="213" t="s">
        <v>327</v>
      </c>
      <c r="D2400" s="213" t="s">
        <v>20003</v>
      </c>
      <c r="E2400" s="213" t="s">
        <v>20004</v>
      </c>
      <c r="K2400" s="213" t="s">
        <v>69269</v>
      </c>
      <c r="L2400" s="213" t="s">
        <v>69326</v>
      </c>
      <c r="M2400" s="213" t="s">
        <v>69383</v>
      </c>
      <c r="N2400" s="213" t="s">
        <v>20005</v>
      </c>
      <c r="O2400" s="213" t="s">
        <v>20006</v>
      </c>
      <c r="P2400" s="213" t="s">
        <v>20007</v>
      </c>
      <c r="Q2400" s="213" t="s">
        <v>20008</v>
      </c>
      <c r="R2400" s="213" t="s">
        <v>20009</v>
      </c>
      <c r="S2400" s="213" t="s">
        <v>20010</v>
      </c>
      <c r="T2400" s="213" t="s">
        <v>20011</v>
      </c>
      <c r="U2400" s="213" t="s">
        <v>69440</v>
      </c>
    </row>
    <row r="2401" spans="1:21" x14ac:dyDescent="0.25">
      <c r="A2401" s="213" t="s">
        <v>327</v>
      </c>
      <c r="D2401" s="213" t="s">
        <v>20012</v>
      </c>
      <c r="E2401" s="213" t="s">
        <v>20013</v>
      </c>
      <c r="K2401" s="213" t="s">
        <v>69270</v>
      </c>
      <c r="L2401" s="213" t="s">
        <v>69327</v>
      </c>
      <c r="M2401" s="213" t="s">
        <v>69384</v>
      </c>
      <c r="N2401" s="213" t="s">
        <v>20014</v>
      </c>
      <c r="O2401" s="213" t="s">
        <v>20015</v>
      </c>
      <c r="P2401" s="213" t="s">
        <v>20016</v>
      </c>
      <c r="Q2401" s="213" t="s">
        <v>20017</v>
      </c>
      <c r="R2401" s="213" t="s">
        <v>20018</v>
      </c>
      <c r="S2401" s="213" t="s">
        <v>20019</v>
      </c>
      <c r="T2401" s="213" t="s">
        <v>20020</v>
      </c>
      <c r="U2401" s="213" t="s">
        <v>69441</v>
      </c>
    </row>
    <row r="2402" spans="1:21" x14ac:dyDescent="0.25">
      <c r="A2402" s="213" t="s">
        <v>327</v>
      </c>
      <c r="D2402" s="213" t="s">
        <v>20021</v>
      </c>
      <c r="E2402" s="213" t="s">
        <v>20022</v>
      </c>
      <c r="K2402" s="213" t="s">
        <v>69271</v>
      </c>
      <c r="L2402" s="213" t="s">
        <v>69328</v>
      </c>
      <c r="M2402" s="213" t="s">
        <v>69385</v>
      </c>
      <c r="N2402" s="213" t="s">
        <v>20023</v>
      </c>
      <c r="O2402" s="213" t="s">
        <v>20024</v>
      </c>
      <c r="P2402" s="213" t="s">
        <v>20025</v>
      </c>
      <c r="Q2402" s="213" t="s">
        <v>20026</v>
      </c>
      <c r="R2402" s="213" t="s">
        <v>20027</v>
      </c>
      <c r="S2402" s="213" t="s">
        <v>20028</v>
      </c>
      <c r="T2402" s="213" t="s">
        <v>20029</v>
      </c>
      <c r="U2402" s="213" t="s">
        <v>69442</v>
      </c>
    </row>
    <row r="2403" spans="1:21" x14ac:dyDescent="0.25">
      <c r="A2403" s="213" t="s">
        <v>327</v>
      </c>
      <c r="D2403" s="213" t="s">
        <v>20030</v>
      </c>
      <c r="E2403" s="213" t="s">
        <v>20031</v>
      </c>
      <c r="K2403" s="213" t="s">
        <v>69272</v>
      </c>
      <c r="L2403" s="213" t="s">
        <v>69329</v>
      </c>
      <c r="M2403" s="213" t="s">
        <v>69386</v>
      </c>
      <c r="N2403" s="213" t="s">
        <v>20032</v>
      </c>
      <c r="O2403" s="213" t="s">
        <v>20033</v>
      </c>
      <c r="P2403" s="213" t="s">
        <v>20034</v>
      </c>
      <c r="Q2403" s="213" t="s">
        <v>20035</v>
      </c>
      <c r="R2403" s="213" t="s">
        <v>20036</v>
      </c>
      <c r="S2403" s="213" t="s">
        <v>20037</v>
      </c>
      <c r="T2403" s="213" t="s">
        <v>20038</v>
      </c>
      <c r="U2403" s="213" t="s">
        <v>69443</v>
      </c>
    </row>
    <row r="2404" spans="1:21" x14ac:dyDescent="0.25">
      <c r="A2404" s="213" t="s">
        <v>327</v>
      </c>
      <c r="D2404" s="213" t="s">
        <v>20039</v>
      </c>
      <c r="E2404" s="213" t="s">
        <v>20040</v>
      </c>
      <c r="K2404" s="213" t="s">
        <v>69273</v>
      </c>
      <c r="L2404" s="213" t="s">
        <v>69330</v>
      </c>
      <c r="M2404" s="213" t="s">
        <v>69387</v>
      </c>
      <c r="N2404" s="213" t="s">
        <v>20041</v>
      </c>
      <c r="O2404" s="213" t="s">
        <v>20042</v>
      </c>
      <c r="P2404" s="213" t="s">
        <v>20043</v>
      </c>
      <c r="Q2404" s="213" t="s">
        <v>20044</v>
      </c>
      <c r="R2404" s="213" t="s">
        <v>20045</v>
      </c>
      <c r="S2404" s="213" t="s">
        <v>20046</v>
      </c>
      <c r="T2404" s="213" t="s">
        <v>20047</v>
      </c>
      <c r="U2404" s="213" t="s">
        <v>69444</v>
      </c>
    </row>
    <row r="2405" spans="1:21" x14ac:dyDescent="0.25">
      <c r="A2405" s="213" t="s">
        <v>327</v>
      </c>
      <c r="D2405" s="213" t="s">
        <v>20048</v>
      </c>
      <c r="E2405" s="213" t="s">
        <v>20049</v>
      </c>
      <c r="K2405" s="213" t="s">
        <v>69274</v>
      </c>
      <c r="L2405" s="213" t="s">
        <v>69331</v>
      </c>
      <c r="M2405" s="213" t="s">
        <v>69388</v>
      </c>
      <c r="N2405" s="213" t="s">
        <v>20050</v>
      </c>
      <c r="O2405" s="213" t="s">
        <v>20051</v>
      </c>
      <c r="P2405" s="213" t="s">
        <v>20052</v>
      </c>
      <c r="Q2405" s="213" t="s">
        <v>20053</v>
      </c>
      <c r="R2405" s="213" t="s">
        <v>20054</v>
      </c>
      <c r="S2405" s="213" t="s">
        <v>20055</v>
      </c>
      <c r="T2405" s="213" t="s">
        <v>20056</v>
      </c>
      <c r="U2405" s="213" t="s">
        <v>69445</v>
      </c>
    </row>
    <row r="2406" spans="1:21" x14ac:dyDescent="0.25">
      <c r="A2406" s="213" t="s">
        <v>327</v>
      </c>
    </row>
    <row r="2407" spans="1:21" x14ac:dyDescent="0.25">
      <c r="A2407" s="213" t="s">
        <v>327</v>
      </c>
    </row>
    <row r="2408" spans="1:21" x14ac:dyDescent="0.25">
      <c r="A2408" s="213" t="s">
        <v>327</v>
      </c>
      <c r="C2408" s="213" t="s">
        <v>20057</v>
      </c>
      <c r="E2408" s="213" t="s">
        <v>20058</v>
      </c>
      <c r="H2408" s="213" t="s">
        <v>20059</v>
      </c>
      <c r="I2408" s="213" t="s">
        <v>20060</v>
      </c>
      <c r="J2408" s="213" t="s">
        <v>20061</v>
      </c>
      <c r="L2408" s="213" t="s">
        <v>20062</v>
      </c>
      <c r="O2408" s="213" t="s">
        <v>20063</v>
      </c>
      <c r="P2408" s="213" t="s">
        <v>20064</v>
      </c>
      <c r="Q2408" s="213" t="s">
        <v>20065</v>
      </c>
      <c r="R2408" s="213" t="s">
        <v>20066</v>
      </c>
      <c r="S2408" s="213" t="s">
        <v>20067</v>
      </c>
      <c r="T2408" s="213" t="s">
        <v>20068</v>
      </c>
    </row>
    <row r="2409" spans="1:21" x14ac:dyDescent="0.25">
      <c r="A2409" s="213" t="s">
        <v>327</v>
      </c>
      <c r="C2409" s="213" t="s">
        <v>20069</v>
      </c>
      <c r="E2409" s="213" t="s">
        <v>20070</v>
      </c>
      <c r="I2409" s="213" t="s">
        <v>20071</v>
      </c>
    </row>
    <row r="2410" spans="1:21" x14ac:dyDescent="0.25">
      <c r="A2410" s="213" t="s">
        <v>327</v>
      </c>
      <c r="C2410" s="213" t="s">
        <v>20072</v>
      </c>
      <c r="E2410" s="213" t="s">
        <v>20073</v>
      </c>
      <c r="I2410" s="213" t="s">
        <v>20074</v>
      </c>
    </row>
    <row r="2411" spans="1:21" x14ac:dyDescent="0.25">
      <c r="A2411" s="213" t="s">
        <v>328</v>
      </c>
    </row>
    <row r="2412" spans="1:21" x14ac:dyDescent="0.25">
      <c r="A2412" s="213" t="s">
        <v>327</v>
      </c>
      <c r="D2412" s="213" t="s">
        <v>20075</v>
      </c>
      <c r="E2412" s="213" t="s">
        <v>20076</v>
      </c>
      <c r="K2412" s="213" t="s">
        <v>69150</v>
      </c>
      <c r="L2412" s="213" t="s">
        <v>69167</v>
      </c>
      <c r="M2412" s="213" t="s">
        <v>69184</v>
      </c>
      <c r="N2412" s="213" t="s">
        <v>20077</v>
      </c>
      <c r="O2412" s="213" t="s">
        <v>20078</v>
      </c>
      <c r="P2412" s="213" t="s">
        <v>20079</v>
      </c>
      <c r="Q2412" s="213" t="s">
        <v>20080</v>
      </c>
      <c r="R2412" s="213" t="s">
        <v>20081</v>
      </c>
      <c r="S2412" s="213" t="s">
        <v>20082</v>
      </c>
      <c r="T2412" s="213" t="s">
        <v>20083</v>
      </c>
      <c r="U2412" s="213" t="s">
        <v>69201</v>
      </c>
    </row>
    <row r="2413" spans="1:21" x14ac:dyDescent="0.25">
      <c r="A2413" s="213" t="s">
        <v>327</v>
      </c>
      <c r="D2413" s="213" t="s">
        <v>20084</v>
      </c>
      <c r="E2413" s="213" t="s">
        <v>20085</v>
      </c>
      <c r="K2413" s="213" t="s">
        <v>69151</v>
      </c>
      <c r="L2413" s="213" t="s">
        <v>69168</v>
      </c>
      <c r="M2413" s="213" t="s">
        <v>69185</v>
      </c>
      <c r="N2413" s="213" t="s">
        <v>20086</v>
      </c>
      <c r="O2413" s="213" t="s">
        <v>20087</v>
      </c>
      <c r="P2413" s="213" t="s">
        <v>20088</v>
      </c>
      <c r="Q2413" s="213" t="s">
        <v>20089</v>
      </c>
      <c r="R2413" s="213" t="s">
        <v>20090</v>
      </c>
      <c r="S2413" s="213" t="s">
        <v>20091</v>
      </c>
      <c r="T2413" s="213" t="s">
        <v>20092</v>
      </c>
      <c r="U2413" s="213" t="s">
        <v>69202</v>
      </c>
    </row>
    <row r="2414" spans="1:21" x14ac:dyDescent="0.25">
      <c r="A2414" s="213" t="s">
        <v>327</v>
      </c>
      <c r="D2414" s="213" t="s">
        <v>20093</v>
      </c>
      <c r="E2414" s="213" t="s">
        <v>20094</v>
      </c>
      <c r="K2414" s="213" t="s">
        <v>69152</v>
      </c>
      <c r="L2414" s="213" t="s">
        <v>69169</v>
      </c>
      <c r="M2414" s="213" t="s">
        <v>69186</v>
      </c>
      <c r="N2414" s="213" t="s">
        <v>20095</v>
      </c>
      <c r="O2414" s="213" t="s">
        <v>20096</v>
      </c>
      <c r="P2414" s="213" t="s">
        <v>20097</v>
      </c>
      <c r="Q2414" s="213" t="s">
        <v>20098</v>
      </c>
      <c r="R2414" s="213" t="s">
        <v>20099</v>
      </c>
      <c r="S2414" s="213" t="s">
        <v>20100</v>
      </c>
      <c r="T2414" s="213" t="s">
        <v>20101</v>
      </c>
      <c r="U2414" s="213" t="s">
        <v>69203</v>
      </c>
    </row>
    <row r="2415" spans="1:21" x14ac:dyDescent="0.25">
      <c r="A2415" s="213" t="s">
        <v>327</v>
      </c>
      <c r="D2415" s="213" t="s">
        <v>20102</v>
      </c>
      <c r="E2415" s="213" t="s">
        <v>20103</v>
      </c>
      <c r="K2415" s="213" t="s">
        <v>69153</v>
      </c>
      <c r="L2415" s="213" t="s">
        <v>69170</v>
      </c>
      <c r="M2415" s="213" t="s">
        <v>69187</v>
      </c>
      <c r="N2415" s="213" t="s">
        <v>20104</v>
      </c>
      <c r="O2415" s="213" t="s">
        <v>20105</v>
      </c>
      <c r="P2415" s="213" t="s">
        <v>20106</v>
      </c>
      <c r="Q2415" s="213" t="s">
        <v>20107</v>
      </c>
      <c r="R2415" s="213" t="s">
        <v>20108</v>
      </c>
      <c r="S2415" s="213" t="s">
        <v>20109</v>
      </c>
      <c r="T2415" s="213" t="s">
        <v>20110</v>
      </c>
      <c r="U2415" s="213" t="s">
        <v>69204</v>
      </c>
    </row>
    <row r="2416" spans="1:21" x14ac:dyDescent="0.25">
      <c r="A2416" s="213" t="s">
        <v>327</v>
      </c>
      <c r="D2416" s="213" t="s">
        <v>20111</v>
      </c>
      <c r="E2416" s="213" t="s">
        <v>20112</v>
      </c>
      <c r="K2416" s="213" t="s">
        <v>69154</v>
      </c>
      <c r="L2416" s="213" t="s">
        <v>69171</v>
      </c>
      <c r="M2416" s="213" t="s">
        <v>69188</v>
      </c>
      <c r="N2416" s="213" t="s">
        <v>20113</v>
      </c>
      <c r="O2416" s="213" t="s">
        <v>20114</v>
      </c>
      <c r="P2416" s="213" t="s">
        <v>20115</v>
      </c>
      <c r="Q2416" s="213" t="s">
        <v>20116</v>
      </c>
      <c r="R2416" s="213" t="s">
        <v>20117</v>
      </c>
      <c r="S2416" s="213" t="s">
        <v>20118</v>
      </c>
      <c r="T2416" s="213" t="s">
        <v>20119</v>
      </c>
      <c r="U2416" s="213" t="s">
        <v>69205</v>
      </c>
    </row>
    <row r="2417" spans="1:21" x14ac:dyDescent="0.25">
      <c r="A2417" s="213" t="s">
        <v>327</v>
      </c>
      <c r="D2417" s="213" t="s">
        <v>20120</v>
      </c>
      <c r="E2417" s="213" t="s">
        <v>20121</v>
      </c>
      <c r="K2417" s="213" t="s">
        <v>69155</v>
      </c>
      <c r="L2417" s="213" t="s">
        <v>69172</v>
      </c>
      <c r="M2417" s="213" t="s">
        <v>69189</v>
      </c>
      <c r="N2417" s="213" t="s">
        <v>20122</v>
      </c>
      <c r="O2417" s="213" t="s">
        <v>20123</v>
      </c>
      <c r="P2417" s="213" t="s">
        <v>20124</v>
      </c>
      <c r="Q2417" s="213" t="s">
        <v>20125</v>
      </c>
      <c r="R2417" s="213" t="s">
        <v>20126</v>
      </c>
      <c r="S2417" s="213" t="s">
        <v>20127</v>
      </c>
      <c r="T2417" s="213" t="s">
        <v>20128</v>
      </c>
      <c r="U2417" s="213" t="s">
        <v>69206</v>
      </c>
    </row>
    <row r="2418" spans="1:21" x14ac:dyDescent="0.25">
      <c r="A2418" s="213" t="s">
        <v>327</v>
      </c>
      <c r="D2418" s="213" t="s">
        <v>20129</v>
      </c>
      <c r="E2418" s="213" t="s">
        <v>20130</v>
      </c>
      <c r="K2418" s="213" t="s">
        <v>69156</v>
      </c>
      <c r="L2418" s="213" t="s">
        <v>69173</v>
      </c>
      <c r="M2418" s="213" t="s">
        <v>69190</v>
      </c>
      <c r="N2418" s="213" t="s">
        <v>20131</v>
      </c>
      <c r="O2418" s="213" t="s">
        <v>20132</v>
      </c>
      <c r="P2418" s="213" t="s">
        <v>20133</v>
      </c>
      <c r="Q2418" s="213" t="s">
        <v>20134</v>
      </c>
      <c r="R2418" s="213" t="s">
        <v>20135</v>
      </c>
      <c r="S2418" s="213" t="s">
        <v>20136</v>
      </c>
      <c r="T2418" s="213" t="s">
        <v>20137</v>
      </c>
      <c r="U2418" s="213" t="s">
        <v>69207</v>
      </c>
    </row>
    <row r="2419" spans="1:21" x14ac:dyDescent="0.25">
      <c r="A2419" s="213" t="s">
        <v>327</v>
      </c>
      <c r="D2419" s="213" t="s">
        <v>20138</v>
      </c>
      <c r="E2419" s="213" t="s">
        <v>20139</v>
      </c>
      <c r="K2419" s="213" t="s">
        <v>69157</v>
      </c>
      <c r="L2419" s="213" t="s">
        <v>69174</v>
      </c>
      <c r="M2419" s="213" t="s">
        <v>69191</v>
      </c>
      <c r="N2419" s="213" t="s">
        <v>20140</v>
      </c>
      <c r="O2419" s="213" t="s">
        <v>20141</v>
      </c>
      <c r="P2419" s="213" t="s">
        <v>20142</v>
      </c>
      <c r="Q2419" s="213" t="s">
        <v>20143</v>
      </c>
      <c r="R2419" s="213" t="s">
        <v>20144</v>
      </c>
      <c r="S2419" s="213" t="s">
        <v>20145</v>
      </c>
      <c r="T2419" s="213" t="s">
        <v>20146</v>
      </c>
      <c r="U2419" s="213" t="s">
        <v>69208</v>
      </c>
    </row>
    <row r="2420" spans="1:21" x14ac:dyDescent="0.25">
      <c r="A2420" s="213" t="s">
        <v>327</v>
      </c>
      <c r="D2420" s="213" t="s">
        <v>20147</v>
      </c>
      <c r="E2420" s="213" t="s">
        <v>20148</v>
      </c>
      <c r="K2420" s="213" t="s">
        <v>69158</v>
      </c>
      <c r="L2420" s="213" t="s">
        <v>69175</v>
      </c>
      <c r="M2420" s="213" t="s">
        <v>69192</v>
      </c>
      <c r="N2420" s="213" t="s">
        <v>20149</v>
      </c>
      <c r="O2420" s="213" t="s">
        <v>20150</v>
      </c>
      <c r="P2420" s="213" t="s">
        <v>20151</v>
      </c>
      <c r="Q2420" s="213" t="s">
        <v>20152</v>
      </c>
      <c r="R2420" s="213" t="s">
        <v>20153</v>
      </c>
      <c r="S2420" s="213" t="s">
        <v>20154</v>
      </c>
      <c r="T2420" s="213" t="s">
        <v>20155</v>
      </c>
      <c r="U2420" s="213" t="s">
        <v>69209</v>
      </c>
    </row>
    <row r="2421" spans="1:21" x14ac:dyDescent="0.25">
      <c r="A2421" s="213" t="s">
        <v>327</v>
      </c>
      <c r="D2421" s="213" t="s">
        <v>20156</v>
      </c>
      <c r="E2421" s="213" t="s">
        <v>20157</v>
      </c>
      <c r="K2421" s="213" t="s">
        <v>69159</v>
      </c>
      <c r="L2421" s="213" t="s">
        <v>69176</v>
      </c>
      <c r="M2421" s="213" t="s">
        <v>69193</v>
      </c>
      <c r="N2421" s="213" t="s">
        <v>20158</v>
      </c>
      <c r="O2421" s="213" t="s">
        <v>20159</v>
      </c>
      <c r="P2421" s="213" t="s">
        <v>20160</v>
      </c>
      <c r="Q2421" s="213" t="s">
        <v>20161</v>
      </c>
      <c r="R2421" s="213" t="s">
        <v>20162</v>
      </c>
      <c r="S2421" s="213" t="s">
        <v>20163</v>
      </c>
      <c r="T2421" s="213" t="s">
        <v>20164</v>
      </c>
      <c r="U2421" s="213" t="s">
        <v>69210</v>
      </c>
    </row>
    <row r="2422" spans="1:21" x14ac:dyDescent="0.25">
      <c r="A2422" s="213" t="s">
        <v>327</v>
      </c>
      <c r="D2422" s="213" t="s">
        <v>20165</v>
      </c>
      <c r="E2422" s="213" t="s">
        <v>20166</v>
      </c>
      <c r="K2422" s="213" t="s">
        <v>69160</v>
      </c>
      <c r="L2422" s="213" t="s">
        <v>69177</v>
      </c>
      <c r="M2422" s="213" t="s">
        <v>69194</v>
      </c>
      <c r="N2422" s="213" t="s">
        <v>20167</v>
      </c>
      <c r="O2422" s="213" t="s">
        <v>20168</v>
      </c>
      <c r="P2422" s="213" t="s">
        <v>20169</v>
      </c>
      <c r="Q2422" s="213" t="s">
        <v>20170</v>
      </c>
      <c r="R2422" s="213" t="s">
        <v>20171</v>
      </c>
      <c r="S2422" s="213" t="s">
        <v>20172</v>
      </c>
      <c r="T2422" s="213" t="s">
        <v>20173</v>
      </c>
      <c r="U2422" s="213" t="s">
        <v>69211</v>
      </c>
    </row>
    <row r="2423" spans="1:21" x14ac:dyDescent="0.25">
      <c r="A2423" s="213" t="s">
        <v>327</v>
      </c>
      <c r="D2423" s="213" t="s">
        <v>20174</v>
      </c>
      <c r="E2423" s="213" t="s">
        <v>20175</v>
      </c>
      <c r="K2423" s="213" t="s">
        <v>69161</v>
      </c>
      <c r="L2423" s="213" t="s">
        <v>69178</v>
      </c>
      <c r="M2423" s="213" t="s">
        <v>69195</v>
      </c>
      <c r="N2423" s="213" t="s">
        <v>20176</v>
      </c>
      <c r="O2423" s="213" t="s">
        <v>20177</v>
      </c>
      <c r="P2423" s="213" t="s">
        <v>20178</v>
      </c>
      <c r="Q2423" s="213" t="s">
        <v>20179</v>
      </c>
      <c r="R2423" s="213" t="s">
        <v>20180</v>
      </c>
      <c r="S2423" s="213" t="s">
        <v>20181</v>
      </c>
      <c r="T2423" s="213" t="s">
        <v>20182</v>
      </c>
      <c r="U2423" s="213" t="s">
        <v>69212</v>
      </c>
    </row>
    <row r="2424" spans="1:21" x14ac:dyDescent="0.25">
      <c r="A2424" s="213" t="s">
        <v>327</v>
      </c>
      <c r="D2424" s="213" t="s">
        <v>20183</v>
      </c>
      <c r="E2424" s="213" t="s">
        <v>20184</v>
      </c>
      <c r="K2424" s="213" t="s">
        <v>69162</v>
      </c>
      <c r="L2424" s="213" t="s">
        <v>69179</v>
      </c>
      <c r="M2424" s="213" t="s">
        <v>69196</v>
      </c>
      <c r="N2424" s="213" t="s">
        <v>20185</v>
      </c>
      <c r="O2424" s="213" t="s">
        <v>20186</v>
      </c>
      <c r="P2424" s="213" t="s">
        <v>20187</v>
      </c>
      <c r="Q2424" s="213" t="s">
        <v>20188</v>
      </c>
      <c r="R2424" s="213" t="s">
        <v>20189</v>
      </c>
      <c r="S2424" s="213" t="s">
        <v>20190</v>
      </c>
      <c r="T2424" s="213" t="s">
        <v>20191</v>
      </c>
      <c r="U2424" s="213" t="s">
        <v>69213</v>
      </c>
    </row>
    <row r="2425" spans="1:21" x14ac:dyDescent="0.25">
      <c r="A2425" s="213" t="s">
        <v>327</v>
      </c>
      <c r="D2425" s="213" t="s">
        <v>20192</v>
      </c>
      <c r="E2425" s="213" t="s">
        <v>20193</v>
      </c>
      <c r="K2425" s="213" t="s">
        <v>69163</v>
      </c>
      <c r="L2425" s="213" t="s">
        <v>69180</v>
      </c>
      <c r="M2425" s="213" t="s">
        <v>69197</v>
      </c>
      <c r="N2425" s="213" t="s">
        <v>20194</v>
      </c>
      <c r="O2425" s="213" t="s">
        <v>20195</v>
      </c>
      <c r="P2425" s="213" t="s">
        <v>20196</v>
      </c>
      <c r="Q2425" s="213" t="s">
        <v>20197</v>
      </c>
      <c r="R2425" s="213" t="s">
        <v>20198</v>
      </c>
      <c r="S2425" s="213" t="s">
        <v>20199</v>
      </c>
      <c r="T2425" s="213" t="s">
        <v>20200</v>
      </c>
      <c r="U2425" s="213" t="s">
        <v>69214</v>
      </c>
    </row>
    <row r="2426" spans="1:21" x14ac:dyDescent="0.25">
      <c r="A2426" s="213" t="s">
        <v>327</v>
      </c>
      <c r="D2426" s="213" t="s">
        <v>20201</v>
      </c>
      <c r="E2426" s="213" t="s">
        <v>20202</v>
      </c>
      <c r="K2426" s="213" t="s">
        <v>69164</v>
      </c>
      <c r="L2426" s="213" t="s">
        <v>69181</v>
      </c>
      <c r="M2426" s="213" t="s">
        <v>69198</v>
      </c>
      <c r="N2426" s="213" t="s">
        <v>20203</v>
      </c>
      <c r="O2426" s="213" t="s">
        <v>20204</v>
      </c>
      <c r="P2426" s="213" t="s">
        <v>20205</v>
      </c>
      <c r="Q2426" s="213" t="s">
        <v>20206</v>
      </c>
      <c r="R2426" s="213" t="s">
        <v>20207</v>
      </c>
      <c r="S2426" s="213" t="s">
        <v>20208</v>
      </c>
      <c r="T2426" s="213" t="s">
        <v>20209</v>
      </c>
      <c r="U2426" s="213" t="s">
        <v>69215</v>
      </c>
    </row>
    <row r="2427" spans="1:21" x14ac:dyDescent="0.25">
      <c r="A2427" s="213" t="s">
        <v>327</v>
      </c>
      <c r="D2427" s="213" t="s">
        <v>20210</v>
      </c>
      <c r="E2427" s="213" t="s">
        <v>20211</v>
      </c>
      <c r="K2427" s="213" t="s">
        <v>69165</v>
      </c>
      <c r="L2427" s="213" t="s">
        <v>69182</v>
      </c>
      <c r="M2427" s="213" t="s">
        <v>69199</v>
      </c>
      <c r="N2427" s="213" t="s">
        <v>20212</v>
      </c>
      <c r="O2427" s="213" t="s">
        <v>20213</v>
      </c>
      <c r="P2427" s="213" t="s">
        <v>20214</v>
      </c>
      <c r="Q2427" s="213" t="s">
        <v>20215</v>
      </c>
      <c r="R2427" s="213" t="s">
        <v>20216</v>
      </c>
      <c r="S2427" s="213" t="s">
        <v>20217</v>
      </c>
      <c r="T2427" s="213" t="s">
        <v>20218</v>
      </c>
      <c r="U2427" s="213" t="s">
        <v>69216</v>
      </c>
    </row>
    <row r="2428" spans="1:21" x14ac:dyDescent="0.25">
      <c r="A2428" s="213" t="s">
        <v>327</v>
      </c>
      <c r="D2428" s="213" t="s">
        <v>20219</v>
      </c>
      <c r="E2428" s="213" t="s">
        <v>20220</v>
      </c>
      <c r="K2428" s="213" t="s">
        <v>69166</v>
      </c>
      <c r="L2428" s="213" t="s">
        <v>69183</v>
      </c>
      <c r="M2428" s="213" t="s">
        <v>69200</v>
      </c>
      <c r="N2428" s="213" t="s">
        <v>20221</v>
      </c>
      <c r="O2428" s="213" t="s">
        <v>20222</v>
      </c>
      <c r="P2428" s="213" t="s">
        <v>20223</v>
      </c>
      <c r="Q2428" s="213" t="s">
        <v>20224</v>
      </c>
      <c r="R2428" s="213" t="s">
        <v>20225</v>
      </c>
      <c r="S2428" s="213" t="s">
        <v>20226</v>
      </c>
      <c r="T2428" s="213" t="s">
        <v>20227</v>
      </c>
      <c r="U2428" s="213" t="s">
        <v>69217</v>
      </c>
    </row>
    <row r="2429" spans="1:21" x14ac:dyDescent="0.25">
      <c r="A2429" s="213" t="s">
        <v>327</v>
      </c>
    </row>
    <row r="2430" spans="1:21" x14ac:dyDescent="0.25">
      <c r="A2430" s="213" t="s">
        <v>327</v>
      </c>
    </row>
    <row r="2431" spans="1:21" x14ac:dyDescent="0.25">
      <c r="A2431" s="213" t="s">
        <v>327</v>
      </c>
      <c r="C2431" s="213" t="s">
        <v>20228</v>
      </c>
      <c r="E2431" s="213" t="s">
        <v>20229</v>
      </c>
      <c r="H2431" s="213" t="s">
        <v>20230</v>
      </c>
      <c r="I2431" s="213" t="s">
        <v>20231</v>
      </c>
      <c r="J2431" s="213" t="s">
        <v>20232</v>
      </c>
      <c r="L2431" s="213" t="s">
        <v>20233</v>
      </c>
      <c r="O2431" s="213" t="s">
        <v>20234</v>
      </c>
      <c r="P2431" s="213" t="s">
        <v>20235</v>
      </c>
      <c r="Q2431" s="213" t="s">
        <v>20236</v>
      </c>
      <c r="R2431" s="213" t="s">
        <v>20237</v>
      </c>
      <c r="S2431" s="213" t="s">
        <v>20238</v>
      </c>
      <c r="T2431" s="213" t="s">
        <v>20239</v>
      </c>
    </row>
    <row r="2432" spans="1:21" x14ac:dyDescent="0.25">
      <c r="A2432" s="213" t="s">
        <v>327</v>
      </c>
      <c r="C2432" s="213" t="s">
        <v>20240</v>
      </c>
      <c r="E2432" s="213" t="s">
        <v>20241</v>
      </c>
      <c r="I2432" s="213" t="s">
        <v>20242</v>
      </c>
    </row>
    <row r="2433" spans="1:21" x14ac:dyDescent="0.25">
      <c r="A2433" s="213" t="s">
        <v>327</v>
      </c>
      <c r="C2433" s="213" t="s">
        <v>20243</v>
      </c>
      <c r="E2433" s="213" t="s">
        <v>20244</v>
      </c>
      <c r="I2433" s="213" t="s">
        <v>20245</v>
      </c>
    </row>
    <row r="2434" spans="1:21" x14ac:dyDescent="0.25">
      <c r="A2434" s="213" t="s">
        <v>328</v>
      </c>
    </row>
    <row r="2435" spans="1:21" x14ac:dyDescent="0.25">
      <c r="A2435" s="213" t="s">
        <v>327</v>
      </c>
      <c r="D2435" s="213" t="s">
        <v>20246</v>
      </c>
      <c r="E2435" s="213" t="s">
        <v>20247</v>
      </c>
      <c r="K2435" s="213" t="s">
        <v>68914</v>
      </c>
      <c r="L2435" s="213" t="s">
        <v>68973</v>
      </c>
      <c r="M2435" s="213" t="s">
        <v>69032</v>
      </c>
      <c r="N2435" s="213" t="s">
        <v>20248</v>
      </c>
      <c r="O2435" s="213" t="s">
        <v>20249</v>
      </c>
      <c r="P2435" s="213" t="s">
        <v>20250</v>
      </c>
      <c r="Q2435" s="213" t="s">
        <v>20251</v>
      </c>
      <c r="R2435" s="213" t="s">
        <v>20252</v>
      </c>
      <c r="S2435" s="213" t="s">
        <v>20253</v>
      </c>
      <c r="T2435" s="213" t="s">
        <v>20254</v>
      </c>
      <c r="U2435" s="213" t="s">
        <v>69091</v>
      </c>
    </row>
    <row r="2436" spans="1:21" x14ac:dyDescent="0.25">
      <c r="A2436" s="213" t="s">
        <v>327</v>
      </c>
      <c r="D2436" s="213" t="s">
        <v>20255</v>
      </c>
      <c r="E2436" s="213" t="s">
        <v>20256</v>
      </c>
      <c r="K2436" s="213" t="s">
        <v>68915</v>
      </c>
      <c r="L2436" s="213" t="s">
        <v>68974</v>
      </c>
      <c r="M2436" s="213" t="s">
        <v>69033</v>
      </c>
      <c r="N2436" s="213" t="s">
        <v>20257</v>
      </c>
      <c r="O2436" s="213" t="s">
        <v>20258</v>
      </c>
      <c r="P2436" s="213" t="s">
        <v>20259</v>
      </c>
      <c r="Q2436" s="213" t="s">
        <v>20260</v>
      </c>
      <c r="R2436" s="213" t="s">
        <v>20261</v>
      </c>
      <c r="S2436" s="213" t="s">
        <v>20262</v>
      </c>
      <c r="T2436" s="213" t="s">
        <v>20263</v>
      </c>
      <c r="U2436" s="213" t="s">
        <v>69092</v>
      </c>
    </row>
    <row r="2437" spans="1:21" x14ac:dyDescent="0.25">
      <c r="A2437" s="213" t="s">
        <v>327</v>
      </c>
      <c r="D2437" s="213" t="s">
        <v>20264</v>
      </c>
      <c r="E2437" s="213" t="s">
        <v>20265</v>
      </c>
      <c r="K2437" s="213" t="s">
        <v>68916</v>
      </c>
      <c r="L2437" s="213" t="s">
        <v>68975</v>
      </c>
      <c r="M2437" s="213" t="s">
        <v>69034</v>
      </c>
      <c r="N2437" s="213" t="s">
        <v>20266</v>
      </c>
      <c r="O2437" s="213" t="s">
        <v>20267</v>
      </c>
      <c r="P2437" s="213" t="s">
        <v>20268</v>
      </c>
      <c r="Q2437" s="213" t="s">
        <v>20269</v>
      </c>
      <c r="R2437" s="213" t="s">
        <v>20270</v>
      </c>
      <c r="S2437" s="213" t="s">
        <v>20271</v>
      </c>
      <c r="T2437" s="213" t="s">
        <v>20272</v>
      </c>
      <c r="U2437" s="213" t="s">
        <v>69093</v>
      </c>
    </row>
    <row r="2438" spans="1:21" x14ac:dyDescent="0.25">
      <c r="A2438" s="213" t="s">
        <v>327</v>
      </c>
      <c r="D2438" s="213" t="s">
        <v>20273</v>
      </c>
      <c r="E2438" s="213" t="s">
        <v>20274</v>
      </c>
      <c r="K2438" s="213" t="s">
        <v>68917</v>
      </c>
      <c r="L2438" s="213" t="s">
        <v>68976</v>
      </c>
      <c r="M2438" s="213" t="s">
        <v>69035</v>
      </c>
      <c r="N2438" s="213" t="s">
        <v>20275</v>
      </c>
      <c r="O2438" s="213" t="s">
        <v>20276</v>
      </c>
      <c r="P2438" s="213" t="s">
        <v>20277</v>
      </c>
      <c r="Q2438" s="213" t="s">
        <v>20278</v>
      </c>
      <c r="R2438" s="213" t="s">
        <v>20279</v>
      </c>
      <c r="S2438" s="213" t="s">
        <v>20280</v>
      </c>
      <c r="T2438" s="213" t="s">
        <v>20281</v>
      </c>
      <c r="U2438" s="213" t="s">
        <v>69094</v>
      </c>
    </row>
    <row r="2439" spans="1:21" x14ac:dyDescent="0.25">
      <c r="A2439" s="213" t="s">
        <v>327</v>
      </c>
      <c r="D2439" s="213" t="s">
        <v>20282</v>
      </c>
      <c r="E2439" s="213" t="s">
        <v>20283</v>
      </c>
      <c r="K2439" s="213" t="s">
        <v>68918</v>
      </c>
      <c r="L2439" s="213" t="s">
        <v>68977</v>
      </c>
      <c r="M2439" s="213" t="s">
        <v>69036</v>
      </c>
      <c r="N2439" s="213" t="s">
        <v>20284</v>
      </c>
      <c r="O2439" s="213" t="s">
        <v>20285</v>
      </c>
      <c r="P2439" s="213" t="s">
        <v>20286</v>
      </c>
      <c r="Q2439" s="213" t="s">
        <v>20287</v>
      </c>
      <c r="R2439" s="213" t="s">
        <v>20288</v>
      </c>
      <c r="S2439" s="213" t="s">
        <v>20289</v>
      </c>
      <c r="T2439" s="213" t="s">
        <v>20290</v>
      </c>
      <c r="U2439" s="213" t="s">
        <v>69095</v>
      </c>
    </row>
    <row r="2440" spans="1:21" x14ac:dyDescent="0.25">
      <c r="A2440" s="213" t="s">
        <v>327</v>
      </c>
      <c r="D2440" s="213" t="s">
        <v>20291</v>
      </c>
      <c r="E2440" s="213" t="s">
        <v>20292</v>
      </c>
      <c r="K2440" s="213" t="s">
        <v>68919</v>
      </c>
      <c r="L2440" s="213" t="s">
        <v>68978</v>
      </c>
      <c r="M2440" s="213" t="s">
        <v>69037</v>
      </c>
      <c r="N2440" s="213" t="s">
        <v>20293</v>
      </c>
      <c r="O2440" s="213" t="s">
        <v>20294</v>
      </c>
      <c r="P2440" s="213" t="s">
        <v>20295</v>
      </c>
      <c r="Q2440" s="213" t="s">
        <v>20296</v>
      </c>
      <c r="R2440" s="213" t="s">
        <v>20297</v>
      </c>
      <c r="S2440" s="213" t="s">
        <v>20298</v>
      </c>
      <c r="T2440" s="213" t="s">
        <v>20299</v>
      </c>
      <c r="U2440" s="213" t="s">
        <v>69096</v>
      </c>
    </row>
    <row r="2441" spans="1:21" x14ac:dyDescent="0.25">
      <c r="A2441" s="213" t="s">
        <v>327</v>
      </c>
      <c r="D2441" s="213" t="s">
        <v>20300</v>
      </c>
      <c r="E2441" s="213" t="s">
        <v>20301</v>
      </c>
      <c r="K2441" s="213" t="s">
        <v>68920</v>
      </c>
      <c r="L2441" s="213" t="s">
        <v>68979</v>
      </c>
      <c r="M2441" s="213" t="s">
        <v>69038</v>
      </c>
      <c r="N2441" s="213" t="s">
        <v>20302</v>
      </c>
      <c r="O2441" s="213" t="s">
        <v>20303</v>
      </c>
      <c r="P2441" s="213" t="s">
        <v>20304</v>
      </c>
      <c r="Q2441" s="213" t="s">
        <v>20305</v>
      </c>
      <c r="R2441" s="213" t="s">
        <v>20306</v>
      </c>
      <c r="S2441" s="213" t="s">
        <v>20307</v>
      </c>
      <c r="T2441" s="213" t="s">
        <v>20308</v>
      </c>
      <c r="U2441" s="213" t="s">
        <v>69097</v>
      </c>
    </row>
    <row r="2442" spans="1:21" x14ac:dyDescent="0.25">
      <c r="A2442" s="213" t="s">
        <v>327</v>
      </c>
      <c r="D2442" s="213" t="s">
        <v>20309</v>
      </c>
      <c r="E2442" s="213" t="s">
        <v>20310</v>
      </c>
      <c r="K2442" s="213" t="s">
        <v>68921</v>
      </c>
      <c r="L2442" s="213" t="s">
        <v>68980</v>
      </c>
      <c r="M2442" s="213" t="s">
        <v>69039</v>
      </c>
      <c r="N2442" s="213" t="s">
        <v>20311</v>
      </c>
      <c r="O2442" s="213" t="s">
        <v>20312</v>
      </c>
      <c r="P2442" s="213" t="s">
        <v>20313</v>
      </c>
      <c r="Q2442" s="213" t="s">
        <v>20314</v>
      </c>
      <c r="R2442" s="213" t="s">
        <v>20315</v>
      </c>
      <c r="S2442" s="213" t="s">
        <v>20316</v>
      </c>
      <c r="T2442" s="213" t="s">
        <v>20317</v>
      </c>
      <c r="U2442" s="213" t="s">
        <v>69098</v>
      </c>
    </row>
    <row r="2443" spans="1:21" x14ac:dyDescent="0.25">
      <c r="A2443" s="213" t="s">
        <v>327</v>
      </c>
      <c r="D2443" s="213" t="s">
        <v>20318</v>
      </c>
      <c r="E2443" s="213" t="s">
        <v>20319</v>
      </c>
      <c r="K2443" s="213" t="s">
        <v>68922</v>
      </c>
      <c r="L2443" s="213" t="s">
        <v>68981</v>
      </c>
      <c r="M2443" s="213" t="s">
        <v>69040</v>
      </c>
      <c r="N2443" s="213" t="s">
        <v>20320</v>
      </c>
      <c r="O2443" s="213" t="s">
        <v>20321</v>
      </c>
      <c r="P2443" s="213" t="s">
        <v>20322</v>
      </c>
      <c r="Q2443" s="213" t="s">
        <v>20323</v>
      </c>
      <c r="R2443" s="213" t="s">
        <v>20324</v>
      </c>
      <c r="S2443" s="213" t="s">
        <v>20325</v>
      </c>
      <c r="T2443" s="213" t="s">
        <v>20326</v>
      </c>
      <c r="U2443" s="213" t="s">
        <v>69099</v>
      </c>
    </row>
    <row r="2444" spans="1:21" x14ac:dyDescent="0.25">
      <c r="A2444" s="213" t="s">
        <v>327</v>
      </c>
      <c r="D2444" s="213" t="s">
        <v>20327</v>
      </c>
      <c r="E2444" s="213" t="s">
        <v>20328</v>
      </c>
      <c r="K2444" s="213" t="s">
        <v>68923</v>
      </c>
      <c r="L2444" s="213" t="s">
        <v>68982</v>
      </c>
      <c r="M2444" s="213" t="s">
        <v>69041</v>
      </c>
      <c r="N2444" s="213" t="s">
        <v>20329</v>
      </c>
      <c r="O2444" s="213" t="s">
        <v>20330</v>
      </c>
      <c r="P2444" s="213" t="s">
        <v>20331</v>
      </c>
      <c r="Q2444" s="213" t="s">
        <v>20332</v>
      </c>
      <c r="R2444" s="213" t="s">
        <v>20333</v>
      </c>
      <c r="S2444" s="213" t="s">
        <v>20334</v>
      </c>
      <c r="T2444" s="213" t="s">
        <v>20335</v>
      </c>
      <c r="U2444" s="213" t="s">
        <v>69100</v>
      </c>
    </row>
    <row r="2445" spans="1:21" x14ac:dyDescent="0.25">
      <c r="A2445" s="213" t="s">
        <v>327</v>
      </c>
      <c r="D2445" s="213" t="s">
        <v>20336</v>
      </c>
      <c r="E2445" s="213" t="s">
        <v>20337</v>
      </c>
      <c r="K2445" s="213" t="s">
        <v>68924</v>
      </c>
      <c r="L2445" s="213" t="s">
        <v>68983</v>
      </c>
      <c r="M2445" s="213" t="s">
        <v>69042</v>
      </c>
      <c r="N2445" s="213" t="s">
        <v>20338</v>
      </c>
      <c r="O2445" s="213" t="s">
        <v>20339</v>
      </c>
      <c r="P2445" s="213" t="s">
        <v>20340</v>
      </c>
      <c r="Q2445" s="213" t="s">
        <v>20341</v>
      </c>
      <c r="R2445" s="213" t="s">
        <v>20342</v>
      </c>
      <c r="S2445" s="213" t="s">
        <v>20343</v>
      </c>
      <c r="T2445" s="213" t="s">
        <v>20344</v>
      </c>
      <c r="U2445" s="213" t="s">
        <v>69101</v>
      </c>
    </row>
    <row r="2446" spans="1:21" x14ac:dyDescent="0.25">
      <c r="A2446" s="213" t="s">
        <v>327</v>
      </c>
      <c r="D2446" s="213" t="s">
        <v>20345</v>
      </c>
      <c r="E2446" s="213" t="s">
        <v>20346</v>
      </c>
      <c r="K2446" s="213" t="s">
        <v>68925</v>
      </c>
      <c r="L2446" s="213" t="s">
        <v>68984</v>
      </c>
      <c r="M2446" s="213" t="s">
        <v>69043</v>
      </c>
      <c r="N2446" s="213" t="s">
        <v>20347</v>
      </c>
      <c r="O2446" s="213" t="s">
        <v>20348</v>
      </c>
      <c r="P2446" s="213" t="s">
        <v>20349</v>
      </c>
      <c r="Q2446" s="213" t="s">
        <v>20350</v>
      </c>
      <c r="R2446" s="213" t="s">
        <v>20351</v>
      </c>
      <c r="S2446" s="213" t="s">
        <v>20352</v>
      </c>
      <c r="T2446" s="213" t="s">
        <v>20353</v>
      </c>
      <c r="U2446" s="213" t="s">
        <v>69102</v>
      </c>
    </row>
    <row r="2447" spans="1:21" x14ac:dyDescent="0.25">
      <c r="A2447" s="213" t="s">
        <v>327</v>
      </c>
      <c r="D2447" s="213" t="s">
        <v>20354</v>
      </c>
      <c r="E2447" s="213" t="s">
        <v>20355</v>
      </c>
      <c r="K2447" s="213" t="s">
        <v>68926</v>
      </c>
      <c r="L2447" s="213" t="s">
        <v>68985</v>
      </c>
      <c r="M2447" s="213" t="s">
        <v>69044</v>
      </c>
      <c r="N2447" s="213" t="s">
        <v>20356</v>
      </c>
      <c r="O2447" s="213" t="s">
        <v>20357</v>
      </c>
      <c r="P2447" s="213" t="s">
        <v>20358</v>
      </c>
      <c r="Q2447" s="213" t="s">
        <v>20359</v>
      </c>
      <c r="R2447" s="213" t="s">
        <v>20360</v>
      </c>
      <c r="S2447" s="213" t="s">
        <v>20361</v>
      </c>
      <c r="T2447" s="213" t="s">
        <v>20362</v>
      </c>
      <c r="U2447" s="213" t="s">
        <v>69103</v>
      </c>
    </row>
    <row r="2448" spans="1:21" x14ac:dyDescent="0.25">
      <c r="A2448" s="213" t="s">
        <v>327</v>
      </c>
      <c r="D2448" s="213" t="s">
        <v>20363</v>
      </c>
      <c r="E2448" s="213" t="s">
        <v>20364</v>
      </c>
      <c r="K2448" s="213" t="s">
        <v>68927</v>
      </c>
      <c r="L2448" s="213" t="s">
        <v>68986</v>
      </c>
      <c r="M2448" s="213" t="s">
        <v>69045</v>
      </c>
      <c r="N2448" s="213" t="s">
        <v>20365</v>
      </c>
      <c r="O2448" s="213" t="s">
        <v>20366</v>
      </c>
      <c r="P2448" s="213" t="s">
        <v>20367</v>
      </c>
      <c r="Q2448" s="213" t="s">
        <v>20368</v>
      </c>
      <c r="R2448" s="213" t="s">
        <v>20369</v>
      </c>
      <c r="S2448" s="213" t="s">
        <v>20370</v>
      </c>
      <c r="T2448" s="213" t="s">
        <v>20371</v>
      </c>
      <c r="U2448" s="213" t="s">
        <v>69104</v>
      </c>
    </row>
    <row r="2449" spans="1:21" x14ac:dyDescent="0.25">
      <c r="A2449" s="213" t="s">
        <v>327</v>
      </c>
      <c r="D2449" s="213" t="s">
        <v>20372</v>
      </c>
      <c r="E2449" s="213" t="s">
        <v>20373</v>
      </c>
      <c r="K2449" s="213" t="s">
        <v>68928</v>
      </c>
      <c r="L2449" s="213" t="s">
        <v>68987</v>
      </c>
      <c r="M2449" s="213" t="s">
        <v>69046</v>
      </c>
      <c r="N2449" s="213" t="s">
        <v>20374</v>
      </c>
      <c r="O2449" s="213" t="s">
        <v>20375</v>
      </c>
      <c r="P2449" s="213" t="s">
        <v>20376</v>
      </c>
      <c r="Q2449" s="213" t="s">
        <v>20377</v>
      </c>
      <c r="R2449" s="213" t="s">
        <v>20378</v>
      </c>
      <c r="S2449" s="213" t="s">
        <v>20379</v>
      </c>
      <c r="T2449" s="213" t="s">
        <v>20380</v>
      </c>
      <c r="U2449" s="213" t="s">
        <v>69105</v>
      </c>
    </row>
    <row r="2450" spans="1:21" x14ac:dyDescent="0.25">
      <c r="A2450" s="213" t="s">
        <v>327</v>
      </c>
      <c r="D2450" s="213" t="s">
        <v>20381</v>
      </c>
      <c r="E2450" s="213" t="s">
        <v>20382</v>
      </c>
      <c r="K2450" s="213" t="s">
        <v>68929</v>
      </c>
      <c r="L2450" s="213" t="s">
        <v>68988</v>
      </c>
      <c r="M2450" s="213" t="s">
        <v>69047</v>
      </c>
      <c r="N2450" s="213" t="s">
        <v>20383</v>
      </c>
      <c r="O2450" s="213" t="s">
        <v>20384</v>
      </c>
      <c r="P2450" s="213" t="s">
        <v>20385</v>
      </c>
      <c r="Q2450" s="213" t="s">
        <v>20386</v>
      </c>
      <c r="R2450" s="213" t="s">
        <v>20387</v>
      </c>
      <c r="S2450" s="213" t="s">
        <v>20388</v>
      </c>
      <c r="T2450" s="213" t="s">
        <v>20389</v>
      </c>
      <c r="U2450" s="213" t="s">
        <v>69106</v>
      </c>
    </row>
    <row r="2451" spans="1:21" x14ac:dyDescent="0.25">
      <c r="A2451" s="213" t="s">
        <v>327</v>
      </c>
      <c r="D2451" s="213" t="s">
        <v>20390</v>
      </c>
      <c r="E2451" s="213" t="s">
        <v>20391</v>
      </c>
      <c r="K2451" s="213" t="s">
        <v>68930</v>
      </c>
      <c r="L2451" s="213" t="s">
        <v>68989</v>
      </c>
      <c r="M2451" s="213" t="s">
        <v>69048</v>
      </c>
      <c r="N2451" s="213" t="s">
        <v>20392</v>
      </c>
      <c r="O2451" s="213" t="s">
        <v>20393</v>
      </c>
      <c r="P2451" s="213" t="s">
        <v>20394</v>
      </c>
      <c r="Q2451" s="213" t="s">
        <v>20395</v>
      </c>
      <c r="R2451" s="213" t="s">
        <v>20396</v>
      </c>
      <c r="S2451" s="213" t="s">
        <v>20397</v>
      </c>
      <c r="T2451" s="213" t="s">
        <v>20398</v>
      </c>
      <c r="U2451" s="213" t="s">
        <v>69107</v>
      </c>
    </row>
    <row r="2452" spans="1:21" x14ac:dyDescent="0.25">
      <c r="A2452" s="213" t="s">
        <v>327</v>
      </c>
      <c r="D2452" s="213" t="s">
        <v>20399</v>
      </c>
      <c r="E2452" s="213" t="s">
        <v>20400</v>
      </c>
      <c r="K2452" s="213" t="s">
        <v>68931</v>
      </c>
      <c r="L2452" s="213" t="s">
        <v>68990</v>
      </c>
      <c r="M2452" s="213" t="s">
        <v>69049</v>
      </c>
      <c r="N2452" s="213" t="s">
        <v>20401</v>
      </c>
      <c r="O2452" s="213" t="s">
        <v>20402</v>
      </c>
      <c r="P2452" s="213" t="s">
        <v>20403</v>
      </c>
      <c r="Q2452" s="213" t="s">
        <v>20404</v>
      </c>
      <c r="R2452" s="213" t="s">
        <v>20405</v>
      </c>
      <c r="S2452" s="213" t="s">
        <v>20406</v>
      </c>
      <c r="T2452" s="213" t="s">
        <v>20407</v>
      </c>
      <c r="U2452" s="213" t="s">
        <v>69108</v>
      </c>
    </row>
    <row r="2453" spans="1:21" x14ac:dyDescent="0.25">
      <c r="A2453" s="213" t="s">
        <v>327</v>
      </c>
      <c r="D2453" s="213" t="s">
        <v>20408</v>
      </c>
      <c r="E2453" s="213" t="s">
        <v>20409</v>
      </c>
      <c r="K2453" s="213" t="s">
        <v>68932</v>
      </c>
      <c r="L2453" s="213" t="s">
        <v>68991</v>
      </c>
      <c r="M2453" s="213" t="s">
        <v>69050</v>
      </c>
      <c r="N2453" s="213" t="s">
        <v>20410</v>
      </c>
      <c r="O2453" s="213" t="s">
        <v>20411</v>
      </c>
      <c r="P2453" s="213" t="s">
        <v>20412</v>
      </c>
      <c r="Q2453" s="213" t="s">
        <v>20413</v>
      </c>
      <c r="R2453" s="213" t="s">
        <v>20414</v>
      </c>
      <c r="S2453" s="213" t="s">
        <v>20415</v>
      </c>
      <c r="T2453" s="213" t="s">
        <v>20416</v>
      </c>
      <c r="U2453" s="213" t="s">
        <v>69109</v>
      </c>
    </row>
    <row r="2454" spans="1:21" x14ac:dyDescent="0.25">
      <c r="A2454" s="213" t="s">
        <v>327</v>
      </c>
      <c r="D2454" s="213" t="s">
        <v>20417</v>
      </c>
      <c r="E2454" s="213" t="s">
        <v>20418</v>
      </c>
      <c r="K2454" s="213" t="s">
        <v>68933</v>
      </c>
      <c r="L2454" s="213" t="s">
        <v>68992</v>
      </c>
      <c r="M2454" s="213" t="s">
        <v>69051</v>
      </c>
      <c r="N2454" s="213" t="s">
        <v>20419</v>
      </c>
      <c r="O2454" s="213" t="s">
        <v>20420</v>
      </c>
      <c r="P2454" s="213" t="s">
        <v>20421</v>
      </c>
      <c r="Q2454" s="213" t="s">
        <v>20422</v>
      </c>
      <c r="R2454" s="213" t="s">
        <v>20423</v>
      </c>
      <c r="S2454" s="213" t="s">
        <v>20424</v>
      </c>
      <c r="T2454" s="213" t="s">
        <v>20425</v>
      </c>
      <c r="U2454" s="213" t="s">
        <v>69110</v>
      </c>
    </row>
    <row r="2455" spans="1:21" x14ac:dyDescent="0.25">
      <c r="A2455" s="213" t="s">
        <v>327</v>
      </c>
      <c r="D2455" s="213" t="s">
        <v>20426</v>
      </c>
      <c r="E2455" s="213" t="s">
        <v>20427</v>
      </c>
      <c r="K2455" s="213" t="s">
        <v>68934</v>
      </c>
      <c r="L2455" s="213" t="s">
        <v>68993</v>
      </c>
      <c r="M2455" s="213" t="s">
        <v>69052</v>
      </c>
      <c r="N2455" s="213" t="s">
        <v>20428</v>
      </c>
      <c r="O2455" s="213" t="s">
        <v>20429</v>
      </c>
      <c r="P2455" s="213" t="s">
        <v>20430</v>
      </c>
      <c r="Q2455" s="213" t="s">
        <v>20431</v>
      </c>
      <c r="R2455" s="213" t="s">
        <v>20432</v>
      </c>
      <c r="S2455" s="213" t="s">
        <v>20433</v>
      </c>
      <c r="T2455" s="213" t="s">
        <v>20434</v>
      </c>
      <c r="U2455" s="213" t="s">
        <v>69111</v>
      </c>
    </row>
    <row r="2456" spans="1:21" x14ac:dyDescent="0.25">
      <c r="A2456" s="213" t="s">
        <v>327</v>
      </c>
      <c r="D2456" s="213" t="s">
        <v>20435</v>
      </c>
      <c r="E2456" s="213" t="s">
        <v>20436</v>
      </c>
      <c r="K2456" s="213" t="s">
        <v>68935</v>
      </c>
      <c r="L2456" s="213" t="s">
        <v>68994</v>
      </c>
      <c r="M2456" s="213" t="s">
        <v>69053</v>
      </c>
      <c r="N2456" s="213" t="s">
        <v>20437</v>
      </c>
      <c r="O2456" s="213" t="s">
        <v>20438</v>
      </c>
      <c r="P2456" s="213" t="s">
        <v>20439</v>
      </c>
      <c r="Q2456" s="213" t="s">
        <v>20440</v>
      </c>
      <c r="R2456" s="213" t="s">
        <v>20441</v>
      </c>
      <c r="S2456" s="213" t="s">
        <v>20442</v>
      </c>
      <c r="T2456" s="213" t="s">
        <v>20443</v>
      </c>
      <c r="U2456" s="213" t="s">
        <v>69112</v>
      </c>
    </row>
    <row r="2457" spans="1:21" x14ac:dyDescent="0.25">
      <c r="A2457" s="213" t="s">
        <v>327</v>
      </c>
      <c r="D2457" s="213" t="s">
        <v>20444</v>
      </c>
      <c r="E2457" s="213" t="s">
        <v>20445</v>
      </c>
      <c r="K2457" s="213" t="s">
        <v>68936</v>
      </c>
      <c r="L2457" s="213" t="s">
        <v>68995</v>
      </c>
      <c r="M2457" s="213" t="s">
        <v>69054</v>
      </c>
      <c r="N2457" s="213" t="s">
        <v>20446</v>
      </c>
      <c r="O2457" s="213" t="s">
        <v>20447</v>
      </c>
      <c r="P2457" s="213" t="s">
        <v>20448</v>
      </c>
      <c r="Q2457" s="213" t="s">
        <v>20449</v>
      </c>
      <c r="R2457" s="213" t="s">
        <v>20450</v>
      </c>
      <c r="S2457" s="213" t="s">
        <v>20451</v>
      </c>
      <c r="T2457" s="213" t="s">
        <v>20452</v>
      </c>
      <c r="U2457" s="213" t="s">
        <v>69113</v>
      </c>
    </row>
    <row r="2458" spans="1:21" x14ac:dyDescent="0.25">
      <c r="A2458" s="213" t="s">
        <v>327</v>
      </c>
      <c r="D2458" s="213" t="s">
        <v>20453</v>
      </c>
      <c r="E2458" s="213" t="s">
        <v>20454</v>
      </c>
      <c r="K2458" s="213" t="s">
        <v>68937</v>
      </c>
      <c r="L2458" s="213" t="s">
        <v>68996</v>
      </c>
      <c r="M2458" s="213" t="s">
        <v>69055</v>
      </c>
      <c r="N2458" s="213" t="s">
        <v>20455</v>
      </c>
      <c r="O2458" s="213" t="s">
        <v>20456</v>
      </c>
      <c r="P2458" s="213" t="s">
        <v>20457</v>
      </c>
      <c r="Q2458" s="213" t="s">
        <v>20458</v>
      </c>
      <c r="R2458" s="213" t="s">
        <v>20459</v>
      </c>
      <c r="S2458" s="213" t="s">
        <v>20460</v>
      </c>
      <c r="T2458" s="213" t="s">
        <v>20461</v>
      </c>
      <c r="U2458" s="213" t="s">
        <v>69114</v>
      </c>
    </row>
    <row r="2459" spans="1:21" x14ac:dyDescent="0.25">
      <c r="A2459" s="213" t="s">
        <v>327</v>
      </c>
      <c r="D2459" s="213" t="s">
        <v>20462</v>
      </c>
      <c r="E2459" s="213" t="s">
        <v>20463</v>
      </c>
      <c r="K2459" s="213" t="s">
        <v>68938</v>
      </c>
      <c r="L2459" s="213" t="s">
        <v>68997</v>
      </c>
      <c r="M2459" s="213" t="s">
        <v>69056</v>
      </c>
      <c r="N2459" s="213" t="s">
        <v>20464</v>
      </c>
      <c r="O2459" s="213" t="s">
        <v>20465</v>
      </c>
      <c r="P2459" s="213" t="s">
        <v>20466</v>
      </c>
      <c r="Q2459" s="213" t="s">
        <v>20467</v>
      </c>
      <c r="R2459" s="213" t="s">
        <v>20468</v>
      </c>
      <c r="S2459" s="213" t="s">
        <v>20469</v>
      </c>
      <c r="T2459" s="213" t="s">
        <v>20470</v>
      </c>
      <c r="U2459" s="213" t="s">
        <v>69115</v>
      </c>
    </row>
    <row r="2460" spans="1:21" x14ac:dyDescent="0.25">
      <c r="A2460" s="213" t="s">
        <v>327</v>
      </c>
      <c r="D2460" s="213" t="s">
        <v>20471</v>
      </c>
      <c r="E2460" s="213" t="s">
        <v>20472</v>
      </c>
      <c r="K2460" s="213" t="s">
        <v>68939</v>
      </c>
      <c r="L2460" s="213" t="s">
        <v>68998</v>
      </c>
      <c r="M2460" s="213" t="s">
        <v>69057</v>
      </c>
      <c r="N2460" s="213" t="s">
        <v>20473</v>
      </c>
      <c r="O2460" s="213" t="s">
        <v>20474</v>
      </c>
      <c r="P2460" s="213" t="s">
        <v>20475</v>
      </c>
      <c r="Q2460" s="213" t="s">
        <v>20476</v>
      </c>
      <c r="R2460" s="213" t="s">
        <v>20477</v>
      </c>
      <c r="S2460" s="213" t="s">
        <v>20478</v>
      </c>
      <c r="T2460" s="213" t="s">
        <v>20479</v>
      </c>
      <c r="U2460" s="213" t="s">
        <v>69116</v>
      </c>
    </row>
    <row r="2461" spans="1:21" x14ac:dyDescent="0.25">
      <c r="A2461" s="213" t="s">
        <v>327</v>
      </c>
      <c r="D2461" s="213" t="s">
        <v>20480</v>
      </c>
      <c r="E2461" s="213" t="s">
        <v>20481</v>
      </c>
      <c r="K2461" s="213" t="s">
        <v>68940</v>
      </c>
      <c r="L2461" s="213" t="s">
        <v>68999</v>
      </c>
      <c r="M2461" s="213" t="s">
        <v>69058</v>
      </c>
      <c r="N2461" s="213" t="s">
        <v>20482</v>
      </c>
      <c r="O2461" s="213" t="s">
        <v>20483</v>
      </c>
      <c r="P2461" s="213" t="s">
        <v>20484</v>
      </c>
      <c r="Q2461" s="213" t="s">
        <v>20485</v>
      </c>
      <c r="R2461" s="213" t="s">
        <v>20486</v>
      </c>
      <c r="S2461" s="213" t="s">
        <v>20487</v>
      </c>
      <c r="T2461" s="213" t="s">
        <v>20488</v>
      </c>
      <c r="U2461" s="213" t="s">
        <v>69117</v>
      </c>
    </row>
    <row r="2462" spans="1:21" x14ac:dyDescent="0.25">
      <c r="A2462" s="213" t="s">
        <v>327</v>
      </c>
      <c r="D2462" s="213" t="s">
        <v>20489</v>
      </c>
      <c r="E2462" s="213" t="s">
        <v>20490</v>
      </c>
      <c r="K2462" s="213" t="s">
        <v>68941</v>
      </c>
      <c r="L2462" s="213" t="s">
        <v>69000</v>
      </c>
      <c r="M2462" s="213" t="s">
        <v>69059</v>
      </c>
      <c r="N2462" s="213" t="s">
        <v>20491</v>
      </c>
      <c r="O2462" s="213" t="s">
        <v>20492</v>
      </c>
      <c r="P2462" s="213" t="s">
        <v>20493</v>
      </c>
      <c r="Q2462" s="213" t="s">
        <v>20494</v>
      </c>
      <c r="R2462" s="213" t="s">
        <v>20495</v>
      </c>
      <c r="S2462" s="213" t="s">
        <v>20496</v>
      </c>
      <c r="T2462" s="213" t="s">
        <v>20497</v>
      </c>
      <c r="U2462" s="213" t="s">
        <v>69118</v>
      </c>
    </row>
    <row r="2463" spans="1:21" x14ac:dyDescent="0.25">
      <c r="A2463" s="213" t="s">
        <v>327</v>
      </c>
      <c r="D2463" s="213" t="s">
        <v>20498</v>
      </c>
      <c r="E2463" s="213" t="s">
        <v>20499</v>
      </c>
      <c r="K2463" s="213" t="s">
        <v>68942</v>
      </c>
      <c r="L2463" s="213" t="s">
        <v>69001</v>
      </c>
      <c r="M2463" s="213" t="s">
        <v>69060</v>
      </c>
      <c r="N2463" s="213" t="s">
        <v>20500</v>
      </c>
      <c r="O2463" s="213" t="s">
        <v>20501</v>
      </c>
      <c r="P2463" s="213" t="s">
        <v>20502</v>
      </c>
      <c r="Q2463" s="213" t="s">
        <v>20503</v>
      </c>
      <c r="R2463" s="213" t="s">
        <v>20504</v>
      </c>
      <c r="S2463" s="213" t="s">
        <v>20505</v>
      </c>
      <c r="T2463" s="213" t="s">
        <v>20506</v>
      </c>
      <c r="U2463" s="213" t="s">
        <v>69119</v>
      </c>
    </row>
    <row r="2464" spans="1:21" x14ac:dyDescent="0.25">
      <c r="A2464" s="213" t="s">
        <v>327</v>
      </c>
      <c r="D2464" s="213" t="s">
        <v>20507</v>
      </c>
      <c r="E2464" s="213" t="s">
        <v>20508</v>
      </c>
      <c r="K2464" s="213" t="s">
        <v>68943</v>
      </c>
      <c r="L2464" s="213" t="s">
        <v>69002</v>
      </c>
      <c r="M2464" s="213" t="s">
        <v>69061</v>
      </c>
      <c r="N2464" s="213" t="s">
        <v>20509</v>
      </c>
      <c r="O2464" s="213" t="s">
        <v>20510</v>
      </c>
      <c r="P2464" s="213" t="s">
        <v>20511</v>
      </c>
      <c r="Q2464" s="213" t="s">
        <v>20512</v>
      </c>
      <c r="R2464" s="213" t="s">
        <v>20513</v>
      </c>
      <c r="S2464" s="213" t="s">
        <v>20514</v>
      </c>
      <c r="T2464" s="213" t="s">
        <v>20515</v>
      </c>
      <c r="U2464" s="213" t="s">
        <v>69120</v>
      </c>
    </row>
    <row r="2465" spans="1:21" x14ac:dyDescent="0.25">
      <c r="A2465" s="213" t="s">
        <v>327</v>
      </c>
      <c r="D2465" s="213" t="s">
        <v>20516</v>
      </c>
      <c r="E2465" s="213" t="s">
        <v>20517</v>
      </c>
      <c r="K2465" s="213" t="s">
        <v>68944</v>
      </c>
      <c r="L2465" s="213" t="s">
        <v>69003</v>
      </c>
      <c r="M2465" s="213" t="s">
        <v>69062</v>
      </c>
      <c r="N2465" s="213" t="s">
        <v>20518</v>
      </c>
      <c r="O2465" s="213" t="s">
        <v>20519</v>
      </c>
      <c r="P2465" s="213" t="s">
        <v>20520</v>
      </c>
      <c r="Q2465" s="213" t="s">
        <v>20521</v>
      </c>
      <c r="R2465" s="213" t="s">
        <v>20522</v>
      </c>
      <c r="S2465" s="213" t="s">
        <v>20523</v>
      </c>
      <c r="T2465" s="213" t="s">
        <v>20524</v>
      </c>
      <c r="U2465" s="213" t="s">
        <v>69121</v>
      </c>
    </row>
    <row r="2466" spans="1:21" x14ac:dyDescent="0.25">
      <c r="A2466" s="213" t="s">
        <v>327</v>
      </c>
      <c r="D2466" s="213" t="s">
        <v>20525</v>
      </c>
      <c r="E2466" s="213" t="s">
        <v>20526</v>
      </c>
      <c r="K2466" s="213" t="s">
        <v>68945</v>
      </c>
      <c r="L2466" s="213" t="s">
        <v>69004</v>
      </c>
      <c r="M2466" s="213" t="s">
        <v>69063</v>
      </c>
      <c r="N2466" s="213" t="s">
        <v>20527</v>
      </c>
      <c r="O2466" s="213" t="s">
        <v>20528</v>
      </c>
      <c r="P2466" s="213" t="s">
        <v>20529</v>
      </c>
      <c r="Q2466" s="213" t="s">
        <v>20530</v>
      </c>
      <c r="R2466" s="213" t="s">
        <v>20531</v>
      </c>
      <c r="S2466" s="213" t="s">
        <v>20532</v>
      </c>
      <c r="T2466" s="213" t="s">
        <v>20533</v>
      </c>
      <c r="U2466" s="213" t="s">
        <v>69122</v>
      </c>
    </row>
    <row r="2467" spans="1:21" x14ac:dyDescent="0.25">
      <c r="A2467" s="213" t="s">
        <v>327</v>
      </c>
      <c r="D2467" s="213" t="s">
        <v>20534</v>
      </c>
      <c r="E2467" s="213" t="s">
        <v>20535</v>
      </c>
      <c r="K2467" s="213" t="s">
        <v>68946</v>
      </c>
      <c r="L2467" s="213" t="s">
        <v>69005</v>
      </c>
      <c r="M2467" s="213" t="s">
        <v>69064</v>
      </c>
      <c r="N2467" s="213" t="s">
        <v>20536</v>
      </c>
      <c r="O2467" s="213" t="s">
        <v>20537</v>
      </c>
      <c r="P2467" s="213" t="s">
        <v>20538</v>
      </c>
      <c r="Q2467" s="213" t="s">
        <v>20539</v>
      </c>
      <c r="R2467" s="213" t="s">
        <v>20540</v>
      </c>
      <c r="S2467" s="213" t="s">
        <v>20541</v>
      </c>
      <c r="T2467" s="213" t="s">
        <v>20542</v>
      </c>
      <c r="U2467" s="213" t="s">
        <v>69123</v>
      </c>
    </row>
    <row r="2468" spans="1:21" x14ac:dyDescent="0.25">
      <c r="A2468" s="213" t="s">
        <v>327</v>
      </c>
      <c r="D2468" s="213" t="s">
        <v>20543</v>
      </c>
      <c r="E2468" s="213" t="s">
        <v>20544</v>
      </c>
      <c r="K2468" s="213" t="s">
        <v>68947</v>
      </c>
      <c r="L2468" s="213" t="s">
        <v>69006</v>
      </c>
      <c r="M2468" s="213" t="s">
        <v>69065</v>
      </c>
      <c r="N2468" s="213" t="s">
        <v>20545</v>
      </c>
      <c r="O2468" s="213" t="s">
        <v>20546</v>
      </c>
      <c r="P2468" s="213" t="s">
        <v>20547</v>
      </c>
      <c r="Q2468" s="213" t="s">
        <v>20548</v>
      </c>
      <c r="R2468" s="213" t="s">
        <v>20549</v>
      </c>
      <c r="S2468" s="213" t="s">
        <v>20550</v>
      </c>
      <c r="T2468" s="213" t="s">
        <v>20551</v>
      </c>
      <c r="U2468" s="213" t="s">
        <v>69124</v>
      </c>
    </row>
    <row r="2469" spans="1:21" x14ac:dyDescent="0.25">
      <c r="A2469" s="213" t="s">
        <v>327</v>
      </c>
      <c r="D2469" s="213" t="s">
        <v>20552</v>
      </c>
      <c r="E2469" s="213" t="s">
        <v>20553</v>
      </c>
      <c r="K2469" s="213" t="s">
        <v>68948</v>
      </c>
      <c r="L2469" s="213" t="s">
        <v>69007</v>
      </c>
      <c r="M2469" s="213" t="s">
        <v>69066</v>
      </c>
      <c r="N2469" s="213" t="s">
        <v>20554</v>
      </c>
      <c r="O2469" s="213" t="s">
        <v>20555</v>
      </c>
      <c r="P2469" s="213" t="s">
        <v>20556</v>
      </c>
      <c r="Q2469" s="213" t="s">
        <v>20557</v>
      </c>
      <c r="R2469" s="213" t="s">
        <v>20558</v>
      </c>
      <c r="S2469" s="213" t="s">
        <v>20559</v>
      </c>
      <c r="T2469" s="213" t="s">
        <v>20560</v>
      </c>
      <c r="U2469" s="213" t="s">
        <v>69125</v>
      </c>
    </row>
    <row r="2470" spans="1:21" x14ac:dyDescent="0.25">
      <c r="A2470" s="213" t="s">
        <v>327</v>
      </c>
      <c r="D2470" s="213" t="s">
        <v>20561</v>
      </c>
      <c r="E2470" s="213" t="s">
        <v>20562</v>
      </c>
      <c r="K2470" s="213" t="s">
        <v>68949</v>
      </c>
      <c r="L2470" s="213" t="s">
        <v>69008</v>
      </c>
      <c r="M2470" s="213" t="s">
        <v>69067</v>
      </c>
      <c r="N2470" s="213" t="s">
        <v>20563</v>
      </c>
      <c r="O2470" s="213" t="s">
        <v>20564</v>
      </c>
      <c r="P2470" s="213" t="s">
        <v>20565</v>
      </c>
      <c r="Q2470" s="213" t="s">
        <v>20566</v>
      </c>
      <c r="R2470" s="213" t="s">
        <v>20567</v>
      </c>
      <c r="S2470" s="213" t="s">
        <v>20568</v>
      </c>
      <c r="T2470" s="213" t="s">
        <v>20569</v>
      </c>
      <c r="U2470" s="213" t="s">
        <v>69126</v>
      </c>
    </row>
    <row r="2471" spans="1:21" x14ac:dyDescent="0.25">
      <c r="A2471" s="213" t="s">
        <v>327</v>
      </c>
      <c r="D2471" s="213" t="s">
        <v>20570</v>
      </c>
      <c r="E2471" s="213" t="s">
        <v>20571</v>
      </c>
      <c r="K2471" s="213" t="s">
        <v>68950</v>
      </c>
      <c r="L2471" s="213" t="s">
        <v>69009</v>
      </c>
      <c r="M2471" s="213" t="s">
        <v>69068</v>
      </c>
      <c r="N2471" s="213" t="s">
        <v>20572</v>
      </c>
      <c r="O2471" s="213" t="s">
        <v>20573</v>
      </c>
      <c r="P2471" s="213" t="s">
        <v>20574</v>
      </c>
      <c r="Q2471" s="213" t="s">
        <v>20575</v>
      </c>
      <c r="R2471" s="213" t="s">
        <v>20576</v>
      </c>
      <c r="S2471" s="213" t="s">
        <v>20577</v>
      </c>
      <c r="T2471" s="213" t="s">
        <v>20578</v>
      </c>
      <c r="U2471" s="213" t="s">
        <v>69127</v>
      </c>
    </row>
    <row r="2472" spans="1:21" x14ac:dyDescent="0.25">
      <c r="A2472" s="213" t="s">
        <v>327</v>
      </c>
      <c r="D2472" s="213" t="s">
        <v>20579</v>
      </c>
      <c r="E2472" s="213" t="s">
        <v>20580</v>
      </c>
      <c r="K2472" s="213" t="s">
        <v>68951</v>
      </c>
      <c r="L2472" s="213" t="s">
        <v>69010</v>
      </c>
      <c r="M2472" s="213" t="s">
        <v>69069</v>
      </c>
      <c r="N2472" s="213" t="s">
        <v>20581</v>
      </c>
      <c r="O2472" s="213" t="s">
        <v>20582</v>
      </c>
      <c r="P2472" s="213" t="s">
        <v>20583</v>
      </c>
      <c r="Q2472" s="213" t="s">
        <v>20584</v>
      </c>
      <c r="R2472" s="213" t="s">
        <v>20585</v>
      </c>
      <c r="S2472" s="213" t="s">
        <v>20586</v>
      </c>
      <c r="T2472" s="213" t="s">
        <v>20587</v>
      </c>
      <c r="U2472" s="213" t="s">
        <v>69128</v>
      </c>
    </row>
    <row r="2473" spans="1:21" x14ac:dyDescent="0.25">
      <c r="A2473" s="213" t="s">
        <v>327</v>
      </c>
      <c r="D2473" s="213" t="s">
        <v>20588</v>
      </c>
      <c r="E2473" s="213" t="s">
        <v>20589</v>
      </c>
      <c r="K2473" s="213" t="s">
        <v>68952</v>
      </c>
      <c r="L2473" s="213" t="s">
        <v>69011</v>
      </c>
      <c r="M2473" s="213" t="s">
        <v>69070</v>
      </c>
      <c r="N2473" s="213" t="s">
        <v>20590</v>
      </c>
      <c r="O2473" s="213" t="s">
        <v>20591</v>
      </c>
      <c r="P2473" s="213" t="s">
        <v>20592</v>
      </c>
      <c r="Q2473" s="213" t="s">
        <v>20593</v>
      </c>
      <c r="R2473" s="213" t="s">
        <v>20594</v>
      </c>
      <c r="S2473" s="213" t="s">
        <v>20595</v>
      </c>
      <c r="T2473" s="213" t="s">
        <v>20596</v>
      </c>
      <c r="U2473" s="213" t="s">
        <v>69129</v>
      </c>
    </row>
    <row r="2474" spans="1:21" x14ac:dyDescent="0.25">
      <c r="A2474" s="213" t="s">
        <v>327</v>
      </c>
      <c r="D2474" s="213" t="s">
        <v>20597</v>
      </c>
      <c r="E2474" s="213" t="s">
        <v>20598</v>
      </c>
      <c r="K2474" s="213" t="s">
        <v>68953</v>
      </c>
      <c r="L2474" s="213" t="s">
        <v>69012</v>
      </c>
      <c r="M2474" s="213" t="s">
        <v>69071</v>
      </c>
      <c r="N2474" s="213" t="s">
        <v>20599</v>
      </c>
      <c r="O2474" s="213" t="s">
        <v>20600</v>
      </c>
      <c r="P2474" s="213" t="s">
        <v>20601</v>
      </c>
      <c r="Q2474" s="213" t="s">
        <v>20602</v>
      </c>
      <c r="R2474" s="213" t="s">
        <v>20603</v>
      </c>
      <c r="S2474" s="213" t="s">
        <v>20604</v>
      </c>
      <c r="T2474" s="213" t="s">
        <v>20605</v>
      </c>
      <c r="U2474" s="213" t="s">
        <v>69130</v>
      </c>
    </row>
    <row r="2475" spans="1:21" x14ac:dyDescent="0.25">
      <c r="A2475" s="213" t="s">
        <v>327</v>
      </c>
      <c r="D2475" s="213" t="s">
        <v>20606</v>
      </c>
      <c r="E2475" s="213" t="s">
        <v>20607</v>
      </c>
      <c r="K2475" s="213" t="s">
        <v>68954</v>
      </c>
      <c r="L2475" s="213" t="s">
        <v>69013</v>
      </c>
      <c r="M2475" s="213" t="s">
        <v>69072</v>
      </c>
      <c r="N2475" s="213" t="s">
        <v>20608</v>
      </c>
      <c r="O2475" s="213" t="s">
        <v>20609</v>
      </c>
      <c r="P2475" s="213" t="s">
        <v>20610</v>
      </c>
      <c r="Q2475" s="213" t="s">
        <v>20611</v>
      </c>
      <c r="R2475" s="213" t="s">
        <v>20612</v>
      </c>
      <c r="S2475" s="213" t="s">
        <v>20613</v>
      </c>
      <c r="T2475" s="213" t="s">
        <v>20614</v>
      </c>
      <c r="U2475" s="213" t="s">
        <v>69131</v>
      </c>
    </row>
    <row r="2476" spans="1:21" x14ac:dyDescent="0.25">
      <c r="A2476" s="213" t="s">
        <v>327</v>
      </c>
      <c r="D2476" s="213" t="s">
        <v>20615</v>
      </c>
      <c r="E2476" s="213" t="s">
        <v>20616</v>
      </c>
      <c r="K2476" s="213" t="s">
        <v>68955</v>
      </c>
      <c r="L2476" s="213" t="s">
        <v>69014</v>
      </c>
      <c r="M2476" s="213" t="s">
        <v>69073</v>
      </c>
      <c r="N2476" s="213" t="s">
        <v>20617</v>
      </c>
      <c r="O2476" s="213" t="s">
        <v>20618</v>
      </c>
      <c r="P2476" s="213" t="s">
        <v>20619</v>
      </c>
      <c r="Q2476" s="213" t="s">
        <v>20620</v>
      </c>
      <c r="R2476" s="213" t="s">
        <v>20621</v>
      </c>
      <c r="S2476" s="213" t="s">
        <v>20622</v>
      </c>
      <c r="T2476" s="213" t="s">
        <v>20623</v>
      </c>
      <c r="U2476" s="213" t="s">
        <v>69132</v>
      </c>
    </row>
    <row r="2477" spans="1:21" x14ac:dyDescent="0.25">
      <c r="A2477" s="213" t="s">
        <v>327</v>
      </c>
      <c r="D2477" s="213" t="s">
        <v>20624</v>
      </c>
      <c r="E2477" s="213" t="s">
        <v>20625</v>
      </c>
      <c r="K2477" s="213" t="s">
        <v>68956</v>
      </c>
      <c r="L2477" s="213" t="s">
        <v>69015</v>
      </c>
      <c r="M2477" s="213" t="s">
        <v>69074</v>
      </c>
      <c r="N2477" s="213" t="s">
        <v>20626</v>
      </c>
      <c r="O2477" s="213" t="s">
        <v>20627</v>
      </c>
      <c r="P2477" s="213" t="s">
        <v>20628</v>
      </c>
      <c r="Q2477" s="213" t="s">
        <v>20629</v>
      </c>
      <c r="R2477" s="213" t="s">
        <v>20630</v>
      </c>
      <c r="S2477" s="213" t="s">
        <v>20631</v>
      </c>
      <c r="T2477" s="213" t="s">
        <v>20632</v>
      </c>
      <c r="U2477" s="213" t="s">
        <v>69133</v>
      </c>
    </row>
    <row r="2478" spans="1:21" x14ac:dyDescent="0.25">
      <c r="A2478" s="213" t="s">
        <v>327</v>
      </c>
      <c r="D2478" s="213" t="s">
        <v>20633</v>
      </c>
      <c r="E2478" s="213" t="s">
        <v>20634</v>
      </c>
      <c r="K2478" s="213" t="s">
        <v>68957</v>
      </c>
      <c r="L2478" s="213" t="s">
        <v>69016</v>
      </c>
      <c r="M2478" s="213" t="s">
        <v>69075</v>
      </c>
      <c r="N2478" s="213" t="s">
        <v>20635</v>
      </c>
      <c r="O2478" s="213" t="s">
        <v>20636</v>
      </c>
      <c r="P2478" s="213" t="s">
        <v>20637</v>
      </c>
      <c r="Q2478" s="213" t="s">
        <v>20638</v>
      </c>
      <c r="R2478" s="213" t="s">
        <v>20639</v>
      </c>
      <c r="S2478" s="213" t="s">
        <v>20640</v>
      </c>
      <c r="T2478" s="213" t="s">
        <v>20641</v>
      </c>
      <c r="U2478" s="213" t="s">
        <v>69134</v>
      </c>
    </row>
    <row r="2479" spans="1:21" x14ac:dyDescent="0.25">
      <c r="A2479" s="213" t="s">
        <v>327</v>
      </c>
      <c r="D2479" s="213" t="s">
        <v>20642</v>
      </c>
      <c r="E2479" s="213" t="s">
        <v>20643</v>
      </c>
      <c r="K2479" s="213" t="s">
        <v>68958</v>
      </c>
      <c r="L2479" s="213" t="s">
        <v>69017</v>
      </c>
      <c r="M2479" s="213" t="s">
        <v>69076</v>
      </c>
      <c r="N2479" s="213" t="s">
        <v>20644</v>
      </c>
      <c r="O2479" s="213" t="s">
        <v>20645</v>
      </c>
      <c r="P2479" s="213" t="s">
        <v>20646</v>
      </c>
      <c r="Q2479" s="213" t="s">
        <v>20647</v>
      </c>
      <c r="R2479" s="213" t="s">
        <v>20648</v>
      </c>
      <c r="S2479" s="213" t="s">
        <v>20649</v>
      </c>
      <c r="T2479" s="213" t="s">
        <v>20650</v>
      </c>
      <c r="U2479" s="213" t="s">
        <v>69135</v>
      </c>
    </row>
    <row r="2480" spans="1:21" x14ac:dyDescent="0.25">
      <c r="A2480" s="213" t="s">
        <v>327</v>
      </c>
      <c r="D2480" s="213" t="s">
        <v>20651</v>
      </c>
      <c r="E2480" s="213" t="s">
        <v>20652</v>
      </c>
      <c r="K2480" s="213" t="s">
        <v>68959</v>
      </c>
      <c r="L2480" s="213" t="s">
        <v>69018</v>
      </c>
      <c r="M2480" s="213" t="s">
        <v>69077</v>
      </c>
      <c r="N2480" s="213" t="s">
        <v>20653</v>
      </c>
      <c r="O2480" s="213" t="s">
        <v>20654</v>
      </c>
      <c r="P2480" s="213" t="s">
        <v>20655</v>
      </c>
      <c r="Q2480" s="213" t="s">
        <v>20656</v>
      </c>
      <c r="R2480" s="213" t="s">
        <v>20657</v>
      </c>
      <c r="S2480" s="213" t="s">
        <v>20658</v>
      </c>
      <c r="T2480" s="213" t="s">
        <v>20659</v>
      </c>
      <c r="U2480" s="213" t="s">
        <v>69136</v>
      </c>
    </row>
    <row r="2481" spans="1:21" x14ac:dyDescent="0.25">
      <c r="A2481" s="213" t="s">
        <v>327</v>
      </c>
      <c r="D2481" s="213" t="s">
        <v>20660</v>
      </c>
      <c r="E2481" s="213" t="s">
        <v>20661</v>
      </c>
      <c r="K2481" s="213" t="s">
        <v>68960</v>
      </c>
      <c r="L2481" s="213" t="s">
        <v>69019</v>
      </c>
      <c r="M2481" s="213" t="s">
        <v>69078</v>
      </c>
      <c r="N2481" s="213" t="s">
        <v>20662</v>
      </c>
      <c r="O2481" s="213" t="s">
        <v>20663</v>
      </c>
      <c r="P2481" s="213" t="s">
        <v>20664</v>
      </c>
      <c r="Q2481" s="213" t="s">
        <v>20665</v>
      </c>
      <c r="R2481" s="213" t="s">
        <v>20666</v>
      </c>
      <c r="S2481" s="213" t="s">
        <v>20667</v>
      </c>
      <c r="T2481" s="213" t="s">
        <v>20668</v>
      </c>
      <c r="U2481" s="213" t="s">
        <v>69137</v>
      </c>
    </row>
    <row r="2482" spans="1:21" x14ac:dyDescent="0.25">
      <c r="A2482" s="213" t="s">
        <v>327</v>
      </c>
      <c r="D2482" s="213" t="s">
        <v>20669</v>
      </c>
      <c r="E2482" s="213" t="s">
        <v>20670</v>
      </c>
      <c r="K2482" s="213" t="s">
        <v>68961</v>
      </c>
      <c r="L2482" s="213" t="s">
        <v>69020</v>
      </c>
      <c r="M2482" s="213" t="s">
        <v>69079</v>
      </c>
      <c r="N2482" s="213" t="s">
        <v>20671</v>
      </c>
      <c r="O2482" s="213" t="s">
        <v>20672</v>
      </c>
      <c r="P2482" s="213" t="s">
        <v>20673</v>
      </c>
      <c r="Q2482" s="213" t="s">
        <v>20674</v>
      </c>
      <c r="R2482" s="213" t="s">
        <v>20675</v>
      </c>
      <c r="S2482" s="213" t="s">
        <v>20676</v>
      </c>
      <c r="T2482" s="213" t="s">
        <v>20677</v>
      </c>
      <c r="U2482" s="213" t="s">
        <v>69138</v>
      </c>
    </row>
    <row r="2483" spans="1:21" x14ac:dyDescent="0.25">
      <c r="A2483" s="213" t="s">
        <v>327</v>
      </c>
      <c r="D2483" s="213" t="s">
        <v>20678</v>
      </c>
      <c r="E2483" s="213" t="s">
        <v>20679</v>
      </c>
      <c r="K2483" s="213" t="s">
        <v>68962</v>
      </c>
      <c r="L2483" s="213" t="s">
        <v>69021</v>
      </c>
      <c r="M2483" s="213" t="s">
        <v>69080</v>
      </c>
      <c r="N2483" s="213" t="s">
        <v>20680</v>
      </c>
      <c r="O2483" s="213" t="s">
        <v>20681</v>
      </c>
      <c r="P2483" s="213" t="s">
        <v>20682</v>
      </c>
      <c r="Q2483" s="213" t="s">
        <v>20683</v>
      </c>
      <c r="R2483" s="213" t="s">
        <v>20684</v>
      </c>
      <c r="S2483" s="213" t="s">
        <v>20685</v>
      </c>
      <c r="T2483" s="213" t="s">
        <v>20686</v>
      </c>
      <c r="U2483" s="213" t="s">
        <v>69139</v>
      </c>
    </row>
    <row r="2484" spans="1:21" x14ac:dyDescent="0.25">
      <c r="A2484" s="213" t="s">
        <v>327</v>
      </c>
      <c r="D2484" s="213" t="s">
        <v>20687</v>
      </c>
      <c r="E2484" s="213" t="s">
        <v>20688</v>
      </c>
      <c r="K2484" s="213" t="s">
        <v>68963</v>
      </c>
      <c r="L2484" s="213" t="s">
        <v>69022</v>
      </c>
      <c r="M2484" s="213" t="s">
        <v>69081</v>
      </c>
      <c r="N2484" s="213" t="s">
        <v>20689</v>
      </c>
      <c r="O2484" s="213" t="s">
        <v>20690</v>
      </c>
      <c r="P2484" s="213" t="s">
        <v>20691</v>
      </c>
      <c r="Q2484" s="213" t="s">
        <v>20692</v>
      </c>
      <c r="R2484" s="213" t="s">
        <v>20693</v>
      </c>
      <c r="S2484" s="213" t="s">
        <v>20694</v>
      </c>
      <c r="T2484" s="213" t="s">
        <v>20695</v>
      </c>
      <c r="U2484" s="213" t="s">
        <v>69140</v>
      </c>
    </row>
    <row r="2485" spans="1:21" x14ac:dyDescent="0.25">
      <c r="A2485" s="213" t="s">
        <v>327</v>
      </c>
      <c r="D2485" s="213" t="s">
        <v>20696</v>
      </c>
      <c r="E2485" s="213" t="s">
        <v>20697</v>
      </c>
      <c r="K2485" s="213" t="s">
        <v>68964</v>
      </c>
      <c r="L2485" s="213" t="s">
        <v>69023</v>
      </c>
      <c r="M2485" s="213" t="s">
        <v>69082</v>
      </c>
      <c r="N2485" s="213" t="s">
        <v>20698</v>
      </c>
      <c r="O2485" s="213" t="s">
        <v>20699</v>
      </c>
      <c r="P2485" s="213" t="s">
        <v>20700</v>
      </c>
      <c r="Q2485" s="213" t="s">
        <v>20701</v>
      </c>
      <c r="R2485" s="213" t="s">
        <v>20702</v>
      </c>
      <c r="S2485" s="213" t="s">
        <v>20703</v>
      </c>
      <c r="T2485" s="213" t="s">
        <v>20704</v>
      </c>
      <c r="U2485" s="213" t="s">
        <v>69141</v>
      </c>
    </row>
    <row r="2486" spans="1:21" x14ac:dyDescent="0.25">
      <c r="A2486" s="213" t="s">
        <v>327</v>
      </c>
      <c r="D2486" s="213" t="s">
        <v>20705</v>
      </c>
      <c r="E2486" s="213" t="s">
        <v>20706</v>
      </c>
      <c r="K2486" s="213" t="s">
        <v>68965</v>
      </c>
      <c r="L2486" s="213" t="s">
        <v>69024</v>
      </c>
      <c r="M2486" s="213" t="s">
        <v>69083</v>
      </c>
      <c r="N2486" s="213" t="s">
        <v>20707</v>
      </c>
      <c r="O2486" s="213" t="s">
        <v>20708</v>
      </c>
      <c r="P2486" s="213" t="s">
        <v>20709</v>
      </c>
      <c r="Q2486" s="213" t="s">
        <v>20710</v>
      </c>
      <c r="R2486" s="213" t="s">
        <v>20711</v>
      </c>
      <c r="S2486" s="213" t="s">
        <v>20712</v>
      </c>
      <c r="T2486" s="213" t="s">
        <v>20713</v>
      </c>
      <c r="U2486" s="213" t="s">
        <v>69142</v>
      </c>
    </row>
    <row r="2487" spans="1:21" x14ac:dyDescent="0.25">
      <c r="A2487" s="213" t="s">
        <v>327</v>
      </c>
      <c r="D2487" s="213" t="s">
        <v>20714</v>
      </c>
      <c r="E2487" s="213" t="s">
        <v>20715</v>
      </c>
      <c r="K2487" s="213" t="s">
        <v>68966</v>
      </c>
      <c r="L2487" s="213" t="s">
        <v>69025</v>
      </c>
      <c r="M2487" s="213" t="s">
        <v>69084</v>
      </c>
      <c r="N2487" s="213" t="s">
        <v>20716</v>
      </c>
      <c r="O2487" s="213" t="s">
        <v>20717</v>
      </c>
      <c r="P2487" s="213" t="s">
        <v>20718</v>
      </c>
      <c r="Q2487" s="213" t="s">
        <v>20719</v>
      </c>
      <c r="R2487" s="213" t="s">
        <v>20720</v>
      </c>
      <c r="S2487" s="213" t="s">
        <v>20721</v>
      </c>
      <c r="T2487" s="213" t="s">
        <v>20722</v>
      </c>
      <c r="U2487" s="213" t="s">
        <v>69143</v>
      </c>
    </row>
    <row r="2488" spans="1:21" x14ac:dyDescent="0.25">
      <c r="A2488" s="213" t="s">
        <v>327</v>
      </c>
      <c r="D2488" s="213" t="s">
        <v>20723</v>
      </c>
      <c r="E2488" s="213" t="s">
        <v>20724</v>
      </c>
      <c r="K2488" s="213" t="s">
        <v>68967</v>
      </c>
      <c r="L2488" s="213" t="s">
        <v>69026</v>
      </c>
      <c r="M2488" s="213" t="s">
        <v>69085</v>
      </c>
      <c r="N2488" s="213" t="s">
        <v>20725</v>
      </c>
      <c r="O2488" s="213" t="s">
        <v>20726</v>
      </c>
      <c r="P2488" s="213" t="s">
        <v>20727</v>
      </c>
      <c r="Q2488" s="213" t="s">
        <v>20728</v>
      </c>
      <c r="R2488" s="213" t="s">
        <v>20729</v>
      </c>
      <c r="S2488" s="213" t="s">
        <v>20730</v>
      </c>
      <c r="T2488" s="213" t="s">
        <v>20731</v>
      </c>
      <c r="U2488" s="213" t="s">
        <v>69144</v>
      </c>
    </row>
    <row r="2489" spans="1:21" x14ac:dyDescent="0.25">
      <c r="A2489" s="213" t="s">
        <v>327</v>
      </c>
      <c r="D2489" s="213" t="s">
        <v>20732</v>
      </c>
      <c r="E2489" s="213" t="s">
        <v>20733</v>
      </c>
      <c r="K2489" s="213" t="s">
        <v>68968</v>
      </c>
      <c r="L2489" s="213" t="s">
        <v>69027</v>
      </c>
      <c r="M2489" s="213" t="s">
        <v>69086</v>
      </c>
      <c r="N2489" s="213" t="s">
        <v>20734</v>
      </c>
      <c r="O2489" s="213" t="s">
        <v>20735</v>
      </c>
      <c r="P2489" s="213" t="s">
        <v>20736</v>
      </c>
      <c r="Q2489" s="213" t="s">
        <v>20737</v>
      </c>
      <c r="R2489" s="213" t="s">
        <v>20738</v>
      </c>
      <c r="S2489" s="213" t="s">
        <v>20739</v>
      </c>
      <c r="T2489" s="213" t="s">
        <v>20740</v>
      </c>
      <c r="U2489" s="213" t="s">
        <v>69145</v>
      </c>
    </row>
    <row r="2490" spans="1:21" x14ac:dyDescent="0.25">
      <c r="A2490" s="213" t="s">
        <v>327</v>
      </c>
      <c r="D2490" s="213" t="s">
        <v>20741</v>
      </c>
      <c r="E2490" s="213" t="s">
        <v>20742</v>
      </c>
      <c r="K2490" s="213" t="s">
        <v>68969</v>
      </c>
      <c r="L2490" s="213" t="s">
        <v>69028</v>
      </c>
      <c r="M2490" s="213" t="s">
        <v>69087</v>
      </c>
      <c r="N2490" s="213" t="s">
        <v>20743</v>
      </c>
      <c r="O2490" s="213" t="s">
        <v>20744</v>
      </c>
      <c r="P2490" s="213" t="s">
        <v>20745</v>
      </c>
      <c r="Q2490" s="213" t="s">
        <v>20746</v>
      </c>
      <c r="R2490" s="213" t="s">
        <v>20747</v>
      </c>
      <c r="S2490" s="213" t="s">
        <v>20748</v>
      </c>
      <c r="T2490" s="213" t="s">
        <v>20749</v>
      </c>
      <c r="U2490" s="213" t="s">
        <v>69146</v>
      </c>
    </row>
    <row r="2491" spans="1:21" x14ac:dyDescent="0.25">
      <c r="A2491" s="213" t="s">
        <v>327</v>
      </c>
      <c r="D2491" s="213" t="s">
        <v>20750</v>
      </c>
      <c r="E2491" s="213" t="s">
        <v>20751</v>
      </c>
      <c r="K2491" s="213" t="s">
        <v>68970</v>
      </c>
      <c r="L2491" s="213" t="s">
        <v>69029</v>
      </c>
      <c r="M2491" s="213" t="s">
        <v>69088</v>
      </c>
      <c r="N2491" s="213" t="s">
        <v>20752</v>
      </c>
      <c r="O2491" s="213" t="s">
        <v>20753</v>
      </c>
      <c r="P2491" s="213" t="s">
        <v>20754</v>
      </c>
      <c r="Q2491" s="213" t="s">
        <v>20755</v>
      </c>
      <c r="R2491" s="213" t="s">
        <v>20756</v>
      </c>
      <c r="S2491" s="213" t="s">
        <v>20757</v>
      </c>
      <c r="T2491" s="213" t="s">
        <v>20758</v>
      </c>
      <c r="U2491" s="213" t="s">
        <v>69147</v>
      </c>
    </row>
    <row r="2492" spans="1:21" x14ac:dyDescent="0.25">
      <c r="A2492" s="213" t="s">
        <v>327</v>
      </c>
      <c r="D2492" s="213" t="s">
        <v>20759</v>
      </c>
      <c r="E2492" s="213" t="s">
        <v>20760</v>
      </c>
      <c r="K2492" s="213" t="s">
        <v>68971</v>
      </c>
      <c r="L2492" s="213" t="s">
        <v>69030</v>
      </c>
      <c r="M2492" s="213" t="s">
        <v>69089</v>
      </c>
      <c r="N2492" s="213" t="s">
        <v>20761</v>
      </c>
      <c r="O2492" s="213" t="s">
        <v>20762</v>
      </c>
      <c r="P2492" s="213" t="s">
        <v>20763</v>
      </c>
      <c r="Q2492" s="213" t="s">
        <v>20764</v>
      </c>
      <c r="R2492" s="213" t="s">
        <v>20765</v>
      </c>
      <c r="S2492" s="213" t="s">
        <v>20766</v>
      </c>
      <c r="T2492" s="213" t="s">
        <v>20767</v>
      </c>
      <c r="U2492" s="213" t="s">
        <v>69148</v>
      </c>
    </row>
    <row r="2493" spans="1:21" x14ac:dyDescent="0.25">
      <c r="A2493" s="213" t="s">
        <v>327</v>
      </c>
      <c r="D2493" s="213" t="s">
        <v>20768</v>
      </c>
      <c r="E2493" s="213" t="s">
        <v>20769</v>
      </c>
      <c r="K2493" s="213" t="s">
        <v>68972</v>
      </c>
      <c r="L2493" s="213" t="s">
        <v>69031</v>
      </c>
      <c r="M2493" s="213" t="s">
        <v>69090</v>
      </c>
      <c r="N2493" s="213" t="s">
        <v>20770</v>
      </c>
      <c r="O2493" s="213" t="s">
        <v>20771</v>
      </c>
      <c r="P2493" s="213" t="s">
        <v>20772</v>
      </c>
      <c r="Q2493" s="213" t="s">
        <v>20773</v>
      </c>
      <c r="R2493" s="213" t="s">
        <v>20774</v>
      </c>
      <c r="S2493" s="213" t="s">
        <v>20775</v>
      </c>
      <c r="T2493" s="213" t="s">
        <v>20776</v>
      </c>
      <c r="U2493" s="213" t="s">
        <v>69149</v>
      </c>
    </row>
    <row r="2494" spans="1:21" x14ac:dyDescent="0.25">
      <c r="A2494" s="213" t="s">
        <v>327</v>
      </c>
    </row>
    <row r="2495" spans="1:21" x14ac:dyDescent="0.25">
      <c r="A2495" s="213" t="s">
        <v>327</v>
      </c>
    </row>
    <row r="2496" spans="1:21" x14ac:dyDescent="0.25">
      <c r="A2496" s="213" t="s">
        <v>327</v>
      </c>
      <c r="C2496" s="213" t="s">
        <v>20777</v>
      </c>
      <c r="E2496" s="213" t="s">
        <v>20778</v>
      </c>
      <c r="H2496" s="213" t="s">
        <v>20779</v>
      </c>
      <c r="I2496" s="213" t="s">
        <v>20780</v>
      </c>
      <c r="J2496" s="213" t="s">
        <v>20781</v>
      </c>
      <c r="L2496" s="213" t="s">
        <v>20782</v>
      </c>
      <c r="O2496" s="213" t="s">
        <v>20783</v>
      </c>
      <c r="P2496" s="213" t="s">
        <v>20784</v>
      </c>
      <c r="Q2496" s="213" t="s">
        <v>20785</v>
      </c>
      <c r="R2496" s="213" t="s">
        <v>20786</v>
      </c>
      <c r="S2496" s="213" t="s">
        <v>20787</v>
      </c>
      <c r="T2496" s="213" t="s">
        <v>20788</v>
      </c>
    </row>
    <row r="2497" spans="1:21" x14ac:dyDescent="0.25">
      <c r="A2497" s="213" t="s">
        <v>327</v>
      </c>
      <c r="C2497" s="213" t="s">
        <v>20789</v>
      </c>
      <c r="E2497" s="213" t="s">
        <v>20790</v>
      </c>
      <c r="I2497" s="213" t="s">
        <v>20791</v>
      </c>
    </row>
    <row r="2498" spans="1:21" x14ac:dyDescent="0.25">
      <c r="A2498" s="213" t="s">
        <v>327</v>
      </c>
      <c r="C2498" s="213" t="s">
        <v>20792</v>
      </c>
      <c r="E2498" s="213" t="s">
        <v>20793</v>
      </c>
      <c r="I2498" s="213" t="s">
        <v>20794</v>
      </c>
    </row>
    <row r="2499" spans="1:21" x14ac:dyDescent="0.25">
      <c r="A2499" s="213" t="s">
        <v>328</v>
      </c>
    </row>
    <row r="2500" spans="1:21" x14ac:dyDescent="0.25">
      <c r="A2500" s="213" t="s">
        <v>327</v>
      </c>
      <c r="D2500" s="213" t="s">
        <v>20795</v>
      </c>
      <c r="E2500" s="213" t="s">
        <v>20796</v>
      </c>
      <c r="K2500" s="213" t="s">
        <v>68322</v>
      </c>
      <c r="L2500" s="213" t="s">
        <v>68470</v>
      </c>
      <c r="M2500" s="213" t="s">
        <v>68618</v>
      </c>
      <c r="N2500" s="213" t="s">
        <v>20797</v>
      </c>
      <c r="O2500" s="213" t="s">
        <v>20798</v>
      </c>
      <c r="P2500" s="213" t="s">
        <v>20799</v>
      </c>
      <c r="Q2500" s="213" t="s">
        <v>20800</v>
      </c>
      <c r="R2500" s="213" t="s">
        <v>20801</v>
      </c>
      <c r="S2500" s="213" t="s">
        <v>20802</v>
      </c>
      <c r="T2500" s="213" t="s">
        <v>20803</v>
      </c>
      <c r="U2500" s="213" t="s">
        <v>68766</v>
      </c>
    </row>
    <row r="2501" spans="1:21" x14ac:dyDescent="0.25">
      <c r="A2501" s="213" t="s">
        <v>327</v>
      </c>
      <c r="D2501" s="213" t="s">
        <v>20804</v>
      </c>
      <c r="E2501" s="213" t="s">
        <v>20805</v>
      </c>
      <c r="K2501" s="213" t="s">
        <v>68323</v>
      </c>
      <c r="L2501" s="213" t="s">
        <v>68471</v>
      </c>
      <c r="M2501" s="213" t="s">
        <v>68619</v>
      </c>
      <c r="N2501" s="213" t="s">
        <v>20806</v>
      </c>
      <c r="O2501" s="213" t="s">
        <v>20807</v>
      </c>
      <c r="P2501" s="213" t="s">
        <v>20808</v>
      </c>
      <c r="Q2501" s="213" t="s">
        <v>20809</v>
      </c>
      <c r="R2501" s="213" t="s">
        <v>20810</v>
      </c>
      <c r="S2501" s="213" t="s">
        <v>20811</v>
      </c>
      <c r="T2501" s="213" t="s">
        <v>20812</v>
      </c>
      <c r="U2501" s="213" t="s">
        <v>68767</v>
      </c>
    </row>
    <row r="2502" spans="1:21" x14ac:dyDescent="0.25">
      <c r="A2502" s="213" t="s">
        <v>327</v>
      </c>
      <c r="D2502" s="213" t="s">
        <v>20813</v>
      </c>
      <c r="E2502" s="213" t="s">
        <v>20814</v>
      </c>
      <c r="K2502" s="213" t="s">
        <v>68324</v>
      </c>
      <c r="L2502" s="213" t="s">
        <v>68472</v>
      </c>
      <c r="M2502" s="213" t="s">
        <v>68620</v>
      </c>
      <c r="N2502" s="213" t="s">
        <v>20815</v>
      </c>
      <c r="O2502" s="213" t="s">
        <v>20816</v>
      </c>
      <c r="P2502" s="213" t="s">
        <v>20817</v>
      </c>
      <c r="Q2502" s="213" t="s">
        <v>20818</v>
      </c>
      <c r="R2502" s="213" t="s">
        <v>20819</v>
      </c>
      <c r="S2502" s="213" t="s">
        <v>20820</v>
      </c>
      <c r="T2502" s="213" t="s">
        <v>20821</v>
      </c>
      <c r="U2502" s="213" t="s">
        <v>68768</v>
      </c>
    </row>
    <row r="2503" spans="1:21" x14ac:dyDescent="0.25">
      <c r="A2503" s="213" t="s">
        <v>327</v>
      </c>
      <c r="D2503" s="213" t="s">
        <v>20822</v>
      </c>
      <c r="E2503" s="213" t="s">
        <v>20823</v>
      </c>
      <c r="K2503" s="213" t="s">
        <v>68325</v>
      </c>
      <c r="L2503" s="213" t="s">
        <v>68473</v>
      </c>
      <c r="M2503" s="213" t="s">
        <v>68621</v>
      </c>
      <c r="N2503" s="213" t="s">
        <v>20824</v>
      </c>
      <c r="O2503" s="213" t="s">
        <v>20825</v>
      </c>
      <c r="P2503" s="213" t="s">
        <v>20826</v>
      </c>
      <c r="Q2503" s="213" t="s">
        <v>20827</v>
      </c>
      <c r="R2503" s="213" t="s">
        <v>20828</v>
      </c>
      <c r="S2503" s="213" t="s">
        <v>20829</v>
      </c>
      <c r="T2503" s="213" t="s">
        <v>20830</v>
      </c>
      <c r="U2503" s="213" t="s">
        <v>68769</v>
      </c>
    </row>
    <row r="2504" spans="1:21" x14ac:dyDescent="0.25">
      <c r="A2504" s="213" t="s">
        <v>327</v>
      </c>
      <c r="D2504" s="213" t="s">
        <v>20831</v>
      </c>
      <c r="E2504" s="213" t="s">
        <v>20832</v>
      </c>
      <c r="K2504" s="213" t="s">
        <v>68326</v>
      </c>
      <c r="L2504" s="213" t="s">
        <v>68474</v>
      </c>
      <c r="M2504" s="213" t="s">
        <v>68622</v>
      </c>
      <c r="N2504" s="213" t="s">
        <v>20833</v>
      </c>
      <c r="O2504" s="213" t="s">
        <v>20834</v>
      </c>
      <c r="P2504" s="213" t="s">
        <v>20835</v>
      </c>
      <c r="Q2504" s="213" t="s">
        <v>20836</v>
      </c>
      <c r="R2504" s="213" t="s">
        <v>20837</v>
      </c>
      <c r="S2504" s="213" t="s">
        <v>20838</v>
      </c>
      <c r="T2504" s="213" t="s">
        <v>20839</v>
      </c>
      <c r="U2504" s="213" t="s">
        <v>68770</v>
      </c>
    </row>
    <row r="2505" spans="1:21" x14ac:dyDescent="0.25">
      <c r="A2505" s="213" t="s">
        <v>327</v>
      </c>
      <c r="D2505" s="213" t="s">
        <v>354</v>
      </c>
      <c r="E2505" s="213" t="s">
        <v>20840</v>
      </c>
      <c r="K2505" s="213" t="s">
        <v>68327</v>
      </c>
      <c r="L2505" s="213" t="s">
        <v>68475</v>
      </c>
      <c r="M2505" s="213" t="s">
        <v>68623</v>
      </c>
      <c r="N2505" s="213" t="s">
        <v>20841</v>
      </c>
      <c r="O2505" s="213" t="s">
        <v>20842</v>
      </c>
      <c r="P2505" s="213" t="s">
        <v>20843</v>
      </c>
      <c r="Q2505" s="213" t="s">
        <v>20844</v>
      </c>
      <c r="R2505" s="213" t="s">
        <v>20845</v>
      </c>
      <c r="S2505" s="213" t="s">
        <v>20846</v>
      </c>
      <c r="T2505" s="213" t="s">
        <v>20847</v>
      </c>
      <c r="U2505" s="213" t="s">
        <v>68771</v>
      </c>
    </row>
    <row r="2506" spans="1:21" x14ac:dyDescent="0.25">
      <c r="A2506" s="213" t="s">
        <v>327</v>
      </c>
      <c r="D2506" s="213" t="s">
        <v>351</v>
      </c>
      <c r="E2506" s="213" t="s">
        <v>20848</v>
      </c>
      <c r="K2506" s="213" t="s">
        <v>68328</v>
      </c>
      <c r="L2506" s="213" t="s">
        <v>68476</v>
      </c>
      <c r="M2506" s="213" t="s">
        <v>68624</v>
      </c>
      <c r="N2506" s="213" t="s">
        <v>20849</v>
      </c>
      <c r="O2506" s="213" t="s">
        <v>20850</v>
      </c>
      <c r="P2506" s="213" t="s">
        <v>20851</v>
      </c>
      <c r="Q2506" s="213" t="s">
        <v>20852</v>
      </c>
      <c r="R2506" s="213" t="s">
        <v>20853</v>
      </c>
      <c r="S2506" s="213" t="s">
        <v>20854</v>
      </c>
      <c r="T2506" s="213" t="s">
        <v>20855</v>
      </c>
      <c r="U2506" s="213" t="s">
        <v>68772</v>
      </c>
    </row>
    <row r="2507" spans="1:21" x14ac:dyDescent="0.25">
      <c r="A2507" s="213" t="s">
        <v>327</v>
      </c>
      <c r="D2507" s="213" t="s">
        <v>20856</v>
      </c>
      <c r="E2507" s="213" t="s">
        <v>20857</v>
      </c>
      <c r="K2507" s="213" t="s">
        <v>68329</v>
      </c>
      <c r="L2507" s="213" t="s">
        <v>68477</v>
      </c>
      <c r="M2507" s="213" t="s">
        <v>68625</v>
      </c>
      <c r="N2507" s="213" t="s">
        <v>20858</v>
      </c>
      <c r="O2507" s="213" t="s">
        <v>20859</v>
      </c>
      <c r="P2507" s="213" t="s">
        <v>20860</v>
      </c>
      <c r="Q2507" s="213" t="s">
        <v>20861</v>
      </c>
      <c r="R2507" s="213" t="s">
        <v>20862</v>
      </c>
      <c r="S2507" s="213" t="s">
        <v>20863</v>
      </c>
      <c r="T2507" s="213" t="s">
        <v>20864</v>
      </c>
      <c r="U2507" s="213" t="s">
        <v>68773</v>
      </c>
    </row>
    <row r="2508" spans="1:21" x14ac:dyDescent="0.25">
      <c r="A2508" s="213" t="s">
        <v>327</v>
      </c>
      <c r="D2508" s="213" t="s">
        <v>20865</v>
      </c>
      <c r="E2508" s="213" t="s">
        <v>20866</v>
      </c>
      <c r="K2508" s="213" t="s">
        <v>68330</v>
      </c>
      <c r="L2508" s="213" t="s">
        <v>68478</v>
      </c>
      <c r="M2508" s="213" t="s">
        <v>68626</v>
      </c>
      <c r="N2508" s="213" t="s">
        <v>20867</v>
      </c>
      <c r="O2508" s="213" t="s">
        <v>20868</v>
      </c>
      <c r="P2508" s="213" t="s">
        <v>20869</v>
      </c>
      <c r="Q2508" s="213" t="s">
        <v>20870</v>
      </c>
      <c r="R2508" s="213" t="s">
        <v>20871</v>
      </c>
      <c r="S2508" s="213" t="s">
        <v>20872</v>
      </c>
      <c r="T2508" s="213" t="s">
        <v>20873</v>
      </c>
      <c r="U2508" s="213" t="s">
        <v>68774</v>
      </c>
    </row>
    <row r="2509" spans="1:21" x14ac:dyDescent="0.25">
      <c r="A2509" s="213" t="s">
        <v>327</v>
      </c>
      <c r="D2509" s="213" t="s">
        <v>20874</v>
      </c>
      <c r="E2509" s="213" t="s">
        <v>20875</v>
      </c>
      <c r="K2509" s="213" t="s">
        <v>68331</v>
      </c>
      <c r="L2509" s="213" t="s">
        <v>68479</v>
      </c>
      <c r="M2509" s="213" t="s">
        <v>68627</v>
      </c>
      <c r="N2509" s="213" t="s">
        <v>20876</v>
      </c>
      <c r="O2509" s="213" t="s">
        <v>20877</v>
      </c>
      <c r="P2509" s="213" t="s">
        <v>20878</v>
      </c>
      <c r="Q2509" s="213" t="s">
        <v>20879</v>
      </c>
      <c r="R2509" s="213" t="s">
        <v>20880</v>
      </c>
      <c r="S2509" s="213" t="s">
        <v>20881</v>
      </c>
      <c r="T2509" s="213" t="s">
        <v>20882</v>
      </c>
      <c r="U2509" s="213" t="s">
        <v>68775</v>
      </c>
    </row>
    <row r="2510" spans="1:21" x14ac:dyDescent="0.25">
      <c r="A2510" s="213" t="s">
        <v>327</v>
      </c>
      <c r="D2510" s="213" t="s">
        <v>20883</v>
      </c>
      <c r="E2510" s="213" t="s">
        <v>20884</v>
      </c>
      <c r="K2510" s="213" t="s">
        <v>68332</v>
      </c>
      <c r="L2510" s="213" t="s">
        <v>68480</v>
      </c>
      <c r="M2510" s="213" t="s">
        <v>68628</v>
      </c>
      <c r="N2510" s="213" t="s">
        <v>20885</v>
      </c>
      <c r="O2510" s="213" t="s">
        <v>20886</v>
      </c>
      <c r="P2510" s="213" t="s">
        <v>20887</v>
      </c>
      <c r="Q2510" s="213" t="s">
        <v>20888</v>
      </c>
      <c r="R2510" s="213" t="s">
        <v>20889</v>
      </c>
      <c r="S2510" s="213" t="s">
        <v>20890</v>
      </c>
      <c r="T2510" s="213" t="s">
        <v>20891</v>
      </c>
      <c r="U2510" s="213" t="s">
        <v>68776</v>
      </c>
    </row>
    <row r="2511" spans="1:21" x14ac:dyDescent="0.25">
      <c r="A2511" s="213" t="s">
        <v>327</v>
      </c>
      <c r="D2511" s="213" t="s">
        <v>20892</v>
      </c>
      <c r="E2511" s="213" t="s">
        <v>20893</v>
      </c>
      <c r="K2511" s="213" t="s">
        <v>68333</v>
      </c>
      <c r="L2511" s="213" t="s">
        <v>68481</v>
      </c>
      <c r="M2511" s="213" t="s">
        <v>68629</v>
      </c>
      <c r="N2511" s="213" t="s">
        <v>20894</v>
      </c>
      <c r="O2511" s="213" t="s">
        <v>20895</v>
      </c>
      <c r="P2511" s="213" t="s">
        <v>20896</v>
      </c>
      <c r="Q2511" s="213" t="s">
        <v>20897</v>
      </c>
      <c r="R2511" s="213" t="s">
        <v>20898</v>
      </c>
      <c r="S2511" s="213" t="s">
        <v>20899</v>
      </c>
      <c r="T2511" s="213" t="s">
        <v>20900</v>
      </c>
      <c r="U2511" s="213" t="s">
        <v>68777</v>
      </c>
    </row>
    <row r="2512" spans="1:21" x14ac:dyDescent="0.25">
      <c r="A2512" s="213" t="s">
        <v>327</v>
      </c>
      <c r="D2512" s="213" t="s">
        <v>20901</v>
      </c>
      <c r="E2512" s="213" t="s">
        <v>20902</v>
      </c>
      <c r="K2512" s="213" t="s">
        <v>68334</v>
      </c>
      <c r="L2512" s="213" t="s">
        <v>68482</v>
      </c>
      <c r="M2512" s="213" t="s">
        <v>68630</v>
      </c>
      <c r="N2512" s="213" t="s">
        <v>20903</v>
      </c>
      <c r="O2512" s="213" t="s">
        <v>20904</v>
      </c>
      <c r="P2512" s="213" t="s">
        <v>20905</v>
      </c>
      <c r="Q2512" s="213" t="s">
        <v>20906</v>
      </c>
      <c r="R2512" s="213" t="s">
        <v>20907</v>
      </c>
      <c r="S2512" s="213" t="s">
        <v>20908</v>
      </c>
      <c r="T2512" s="213" t="s">
        <v>20909</v>
      </c>
      <c r="U2512" s="213" t="s">
        <v>68778</v>
      </c>
    </row>
    <row r="2513" spans="1:21" x14ac:dyDescent="0.25">
      <c r="A2513" s="213" t="s">
        <v>327</v>
      </c>
      <c r="D2513" s="213" t="s">
        <v>20910</v>
      </c>
      <c r="E2513" s="213" t="s">
        <v>20911</v>
      </c>
      <c r="K2513" s="213" t="s">
        <v>68335</v>
      </c>
      <c r="L2513" s="213" t="s">
        <v>68483</v>
      </c>
      <c r="M2513" s="213" t="s">
        <v>68631</v>
      </c>
      <c r="N2513" s="213" t="s">
        <v>20912</v>
      </c>
      <c r="O2513" s="213" t="s">
        <v>20913</v>
      </c>
      <c r="P2513" s="213" t="s">
        <v>20914</v>
      </c>
      <c r="Q2513" s="213" t="s">
        <v>20915</v>
      </c>
      <c r="R2513" s="213" t="s">
        <v>20916</v>
      </c>
      <c r="S2513" s="213" t="s">
        <v>20917</v>
      </c>
      <c r="T2513" s="213" t="s">
        <v>20918</v>
      </c>
      <c r="U2513" s="213" t="s">
        <v>68779</v>
      </c>
    </row>
    <row r="2514" spans="1:21" x14ac:dyDescent="0.25">
      <c r="A2514" s="213" t="s">
        <v>327</v>
      </c>
      <c r="D2514" s="213" t="s">
        <v>20919</v>
      </c>
      <c r="E2514" s="213" t="s">
        <v>20920</v>
      </c>
      <c r="K2514" s="213" t="s">
        <v>68336</v>
      </c>
      <c r="L2514" s="213" t="s">
        <v>68484</v>
      </c>
      <c r="M2514" s="213" t="s">
        <v>68632</v>
      </c>
      <c r="N2514" s="213" t="s">
        <v>20921</v>
      </c>
      <c r="O2514" s="213" t="s">
        <v>20922</v>
      </c>
      <c r="P2514" s="213" t="s">
        <v>20923</v>
      </c>
      <c r="Q2514" s="213" t="s">
        <v>20924</v>
      </c>
      <c r="R2514" s="213" t="s">
        <v>20925</v>
      </c>
      <c r="S2514" s="213" t="s">
        <v>20926</v>
      </c>
      <c r="T2514" s="213" t="s">
        <v>20927</v>
      </c>
      <c r="U2514" s="213" t="s">
        <v>68780</v>
      </c>
    </row>
    <row r="2515" spans="1:21" x14ac:dyDescent="0.25">
      <c r="A2515" s="213" t="s">
        <v>327</v>
      </c>
      <c r="D2515" s="213" t="s">
        <v>20928</v>
      </c>
      <c r="E2515" s="213" t="s">
        <v>20929</v>
      </c>
      <c r="K2515" s="213" t="s">
        <v>68337</v>
      </c>
      <c r="L2515" s="213" t="s">
        <v>68485</v>
      </c>
      <c r="M2515" s="213" t="s">
        <v>68633</v>
      </c>
      <c r="N2515" s="213" t="s">
        <v>20930</v>
      </c>
      <c r="O2515" s="213" t="s">
        <v>20931</v>
      </c>
      <c r="P2515" s="213" t="s">
        <v>20932</v>
      </c>
      <c r="Q2515" s="213" t="s">
        <v>20933</v>
      </c>
      <c r="R2515" s="213" t="s">
        <v>20934</v>
      </c>
      <c r="S2515" s="213" t="s">
        <v>20935</v>
      </c>
      <c r="T2515" s="213" t="s">
        <v>20936</v>
      </c>
      <c r="U2515" s="213" t="s">
        <v>68781</v>
      </c>
    </row>
    <row r="2516" spans="1:21" x14ac:dyDescent="0.25">
      <c r="A2516" s="213" t="s">
        <v>327</v>
      </c>
      <c r="D2516" s="213" t="s">
        <v>20937</v>
      </c>
      <c r="E2516" s="213" t="s">
        <v>20938</v>
      </c>
      <c r="K2516" s="213" t="s">
        <v>68338</v>
      </c>
      <c r="L2516" s="213" t="s">
        <v>68486</v>
      </c>
      <c r="M2516" s="213" t="s">
        <v>68634</v>
      </c>
      <c r="N2516" s="213" t="s">
        <v>20939</v>
      </c>
      <c r="O2516" s="213" t="s">
        <v>20940</v>
      </c>
      <c r="P2516" s="213" t="s">
        <v>20941</v>
      </c>
      <c r="Q2516" s="213" t="s">
        <v>20942</v>
      </c>
      <c r="R2516" s="213" t="s">
        <v>20943</v>
      </c>
      <c r="S2516" s="213" t="s">
        <v>20944</v>
      </c>
      <c r="T2516" s="213" t="s">
        <v>20945</v>
      </c>
      <c r="U2516" s="213" t="s">
        <v>68782</v>
      </c>
    </row>
    <row r="2517" spans="1:21" x14ac:dyDescent="0.25">
      <c r="A2517" s="213" t="s">
        <v>327</v>
      </c>
      <c r="D2517" s="213" t="s">
        <v>20946</v>
      </c>
      <c r="E2517" s="213" t="s">
        <v>20947</v>
      </c>
      <c r="K2517" s="213" t="s">
        <v>68339</v>
      </c>
      <c r="L2517" s="213" t="s">
        <v>68487</v>
      </c>
      <c r="M2517" s="213" t="s">
        <v>68635</v>
      </c>
      <c r="N2517" s="213" t="s">
        <v>20948</v>
      </c>
      <c r="O2517" s="213" t="s">
        <v>20949</v>
      </c>
      <c r="P2517" s="213" t="s">
        <v>20950</v>
      </c>
      <c r="Q2517" s="213" t="s">
        <v>20951</v>
      </c>
      <c r="R2517" s="213" t="s">
        <v>20952</v>
      </c>
      <c r="S2517" s="213" t="s">
        <v>20953</v>
      </c>
      <c r="T2517" s="213" t="s">
        <v>20954</v>
      </c>
      <c r="U2517" s="213" t="s">
        <v>68783</v>
      </c>
    </row>
    <row r="2518" spans="1:21" x14ac:dyDescent="0.25">
      <c r="A2518" s="213" t="s">
        <v>327</v>
      </c>
      <c r="D2518" s="213" t="s">
        <v>20955</v>
      </c>
      <c r="E2518" s="213" t="s">
        <v>20956</v>
      </c>
      <c r="K2518" s="213" t="s">
        <v>68340</v>
      </c>
      <c r="L2518" s="213" t="s">
        <v>68488</v>
      </c>
      <c r="M2518" s="213" t="s">
        <v>68636</v>
      </c>
      <c r="N2518" s="213" t="s">
        <v>20957</v>
      </c>
      <c r="O2518" s="213" t="s">
        <v>20958</v>
      </c>
      <c r="P2518" s="213" t="s">
        <v>20959</v>
      </c>
      <c r="Q2518" s="213" t="s">
        <v>20960</v>
      </c>
      <c r="R2518" s="213" t="s">
        <v>20961</v>
      </c>
      <c r="S2518" s="213" t="s">
        <v>20962</v>
      </c>
      <c r="T2518" s="213" t="s">
        <v>20963</v>
      </c>
      <c r="U2518" s="213" t="s">
        <v>68784</v>
      </c>
    </row>
    <row r="2519" spans="1:21" x14ac:dyDescent="0.25">
      <c r="A2519" s="213" t="s">
        <v>327</v>
      </c>
      <c r="D2519" s="213" t="s">
        <v>20964</v>
      </c>
      <c r="E2519" s="213" t="s">
        <v>20965</v>
      </c>
      <c r="K2519" s="213" t="s">
        <v>68341</v>
      </c>
      <c r="L2519" s="213" t="s">
        <v>68489</v>
      </c>
      <c r="M2519" s="213" t="s">
        <v>68637</v>
      </c>
      <c r="N2519" s="213" t="s">
        <v>20966</v>
      </c>
      <c r="O2519" s="213" t="s">
        <v>20967</v>
      </c>
      <c r="P2519" s="213" t="s">
        <v>20968</v>
      </c>
      <c r="Q2519" s="213" t="s">
        <v>20969</v>
      </c>
      <c r="R2519" s="213" t="s">
        <v>20970</v>
      </c>
      <c r="S2519" s="213" t="s">
        <v>20971</v>
      </c>
      <c r="T2519" s="213" t="s">
        <v>20972</v>
      </c>
      <c r="U2519" s="213" t="s">
        <v>68785</v>
      </c>
    </row>
    <row r="2520" spans="1:21" x14ac:dyDescent="0.25">
      <c r="A2520" s="213" t="s">
        <v>327</v>
      </c>
      <c r="D2520" s="213" t="s">
        <v>20973</v>
      </c>
      <c r="E2520" s="213" t="s">
        <v>20974</v>
      </c>
      <c r="K2520" s="213" t="s">
        <v>68342</v>
      </c>
      <c r="L2520" s="213" t="s">
        <v>68490</v>
      </c>
      <c r="M2520" s="213" t="s">
        <v>68638</v>
      </c>
      <c r="N2520" s="213" t="s">
        <v>20975</v>
      </c>
      <c r="O2520" s="213" t="s">
        <v>20976</v>
      </c>
      <c r="P2520" s="213" t="s">
        <v>20977</v>
      </c>
      <c r="Q2520" s="213" t="s">
        <v>20978</v>
      </c>
      <c r="R2520" s="213" t="s">
        <v>20979</v>
      </c>
      <c r="S2520" s="213" t="s">
        <v>20980</v>
      </c>
      <c r="T2520" s="213" t="s">
        <v>20981</v>
      </c>
      <c r="U2520" s="213" t="s">
        <v>68786</v>
      </c>
    </row>
    <row r="2521" spans="1:21" x14ac:dyDescent="0.25">
      <c r="A2521" s="213" t="s">
        <v>327</v>
      </c>
      <c r="D2521" s="213" t="s">
        <v>20982</v>
      </c>
      <c r="E2521" s="213" t="s">
        <v>20983</v>
      </c>
      <c r="K2521" s="213" t="s">
        <v>68343</v>
      </c>
      <c r="L2521" s="213" t="s">
        <v>68491</v>
      </c>
      <c r="M2521" s="213" t="s">
        <v>68639</v>
      </c>
      <c r="N2521" s="213" t="s">
        <v>20984</v>
      </c>
      <c r="O2521" s="213" t="s">
        <v>20985</v>
      </c>
      <c r="P2521" s="213" t="s">
        <v>20986</v>
      </c>
      <c r="Q2521" s="213" t="s">
        <v>20987</v>
      </c>
      <c r="R2521" s="213" t="s">
        <v>20988</v>
      </c>
      <c r="S2521" s="213" t="s">
        <v>20989</v>
      </c>
      <c r="T2521" s="213" t="s">
        <v>20990</v>
      </c>
      <c r="U2521" s="213" t="s">
        <v>68787</v>
      </c>
    </row>
    <row r="2522" spans="1:21" x14ac:dyDescent="0.25">
      <c r="A2522" s="213" t="s">
        <v>327</v>
      </c>
      <c r="D2522" s="213" t="s">
        <v>20991</v>
      </c>
      <c r="E2522" s="213" t="s">
        <v>20992</v>
      </c>
      <c r="K2522" s="213" t="s">
        <v>68344</v>
      </c>
      <c r="L2522" s="213" t="s">
        <v>68492</v>
      </c>
      <c r="M2522" s="213" t="s">
        <v>68640</v>
      </c>
      <c r="N2522" s="213" t="s">
        <v>20993</v>
      </c>
      <c r="O2522" s="213" t="s">
        <v>20994</v>
      </c>
      <c r="P2522" s="213" t="s">
        <v>20995</v>
      </c>
      <c r="Q2522" s="213" t="s">
        <v>20996</v>
      </c>
      <c r="R2522" s="213" t="s">
        <v>20997</v>
      </c>
      <c r="S2522" s="213" t="s">
        <v>20998</v>
      </c>
      <c r="T2522" s="213" t="s">
        <v>20999</v>
      </c>
      <c r="U2522" s="213" t="s">
        <v>68788</v>
      </c>
    </row>
    <row r="2523" spans="1:21" x14ac:dyDescent="0.25">
      <c r="A2523" s="213" t="s">
        <v>327</v>
      </c>
      <c r="D2523" s="213" t="s">
        <v>21000</v>
      </c>
      <c r="E2523" s="213" t="s">
        <v>21001</v>
      </c>
      <c r="K2523" s="213" t="s">
        <v>68345</v>
      </c>
      <c r="L2523" s="213" t="s">
        <v>68493</v>
      </c>
      <c r="M2523" s="213" t="s">
        <v>68641</v>
      </c>
      <c r="N2523" s="213" t="s">
        <v>21002</v>
      </c>
      <c r="O2523" s="213" t="s">
        <v>21003</v>
      </c>
      <c r="P2523" s="213" t="s">
        <v>21004</v>
      </c>
      <c r="Q2523" s="213" t="s">
        <v>21005</v>
      </c>
      <c r="R2523" s="213" t="s">
        <v>21006</v>
      </c>
      <c r="S2523" s="213" t="s">
        <v>21007</v>
      </c>
      <c r="T2523" s="213" t="s">
        <v>21008</v>
      </c>
      <c r="U2523" s="213" t="s">
        <v>68789</v>
      </c>
    </row>
    <row r="2524" spans="1:21" x14ac:dyDescent="0.25">
      <c r="A2524" s="213" t="s">
        <v>327</v>
      </c>
      <c r="D2524" s="213" t="s">
        <v>21009</v>
      </c>
      <c r="E2524" s="213" t="s">
        <v>21010</v>
      </c>
      <c r="K2524" s="213" t="s">
        <v>68346</v>
      </c>
      <c r="L2524" s="213" t="s">
        <v>68494</v>
      </c>
      <c r="M2524" s="213" t="s">
        <v>68642</v>
      </c>
      <c r="N2524" s="213" t="s">
        <v>21011</v>
      </c>
      <c r="O2524" s="213" t="s">
        <v>21012</v>
      </c>
      <c r="P2524" s="213" t="s">
        <v>21013</v>
      </c>
      <c r="Q2524" s="213" t="s">
        <v>21014</v>
      </c>
      <c r="R2524" s="213" t="s">
        <v>21015</v>
      </c>
      <c r="S2524" s="213" t="s">
        <v>21016</v>
      </c>
      <c r="T2524" s="213" t="s">
        <v>21017</v>
      </c>
      <c r="U2524" s="213" t="s">
        <v>68790</v>
      </c>
    </row>
    <row r="2525" spans="1:21" x14ac:dyDescent="0.25">
      <c r="A2525" s="213" t="s">
        <v>327</v>
      </c>
      <c r="D2525" s="213" t="s">
        <v>21018</v>
      </c>
      <c r="E2525" s="213" t="s">
        <v>21019</v>
      </c>
      <c r="K2525" s="213" t="s">
        <v>68347</v>
      </c>
      <c r="L2525" s="213" t="s">
        <v>68495</v>
      </c>
      <c r="M2525" s="213" t="s">
        <v>68643</v>
      </c>
      <c r="N2525" s="213" t="s">
        <v>21020</v>
      </c>
      <c r="O2525" s="213" t="s">
        <v>21021</v>
      </c>
      <c r="P2525" s="213" t="s">
        <v>21022</v>
      </c>
      <c r="Q2525" s="213" t="s">
        <v>21023</v>
      </c>
      <c r="R2525" s="213" t="s">
        <v>21024</v>
      </c>
      <c r="S2525" s="213" t="s">
        <v>21025</v>
      </c>
      <c r="T2525" s="213" t="s">
        <v>21026</v>
      </c>
      <c r="U2525" s="213" t="s">
        <v>68791</v>
      </c>
    </row>
    <row r="2526" spans="1:21" x14ac:dyDescent="0.25">
      <c r="A2526" s="213" t="s">
        <v>327</v>
      </c>
      <c r="D2526" s="213" t="s">
        <v>21027</v>
      </c>
      <c r="E2526" s="213" t="s">
        <v>21028</v>
      </c>
      <c r="K2526" s="213" t="s">
        <v>68348</v>
      </c>
      <c r="L2526" s="213" t="s">
        <v>68496</v>
      </c>
      <c r="M2526" s="213" t="s">
        <v>68644</v>
      </c>
      <c r="N2526" s="213" t="s">
        <v>21029</v>
      </c>
      <c r="O2526" s="213" t="s">
        <v>21030</v>
      </c>
      <c r="P2526" s="213" t="s">
        <v>21031</v>
      </c>
      <c r="Q2526" s="213" t="s">
        <v>21032</v>
      </c>
      <c r="R2526" s="213" t="s">
        <v>21033</v>
      </c>
      <c r="S2526" s="213" t="s">
        <v>21034</v>
      </c>
      <c r="T2526" s="213" t="s">
        <v>21035</v>
      </c>
      <c r="U2526" s="213" t="s">
        <v>68792</v>
      </c>
    </row>
    <row r="2527" spans="1:21" x14ac:dyDescent="0.25">
      <c r="A2527" s="213" t="s">
        <v>327</v>
      </c>
      <c r="D2527" s="213" t="s">
        <v>21036</v>
      </c>
      <c r="E2527" s="213" t="s">
        <v>21037</v>
      </c>
      <c r="K2527" s="213" t="s">
        <v>68349</v>
      </c>
      <c r="L2527" s="213" t="s">
        <v>68497</v>
      </c>
      <c r="M2527" s="213" t="s">
        <v>68645</v>
      </c>
      <c r="N2527" s="213" t="s">
        <v>21038</v>
      </c>
      <c r="O2527" s="213" t="s">
        <v>21039</v>
      </c>
      <c r="P2527" s="213" t="s">
        <v>21040</v>
      </c>
      <c r="Q2527" s="213" t="s">
        <v>21041</v>
      </c>
      <c r="R2527" s="213" t="s">
        <v>21042</v>
      </c>
      <c r="S2527" s="213" t="s">
        <v>21043</v>
      </c>
      <c r="T2527" s="213" t="s">
        <v>21044</v>
      </c>
      <c r="U2527" s="213" t="s">
        <v>68793</v>
      </c>
    </row>
    <row r="2528" spans="1:21" x14ac:dyDescent="0.25">
      <c r="A2528" s="213" t="s">
        <v>327</v>
      </c>
      <c r="D2528" s="213" t="s">
        <v>21045</v>
      </c>
      <c r="E2528" s="213" t="s">
        <v>21046</v>
      </c>
      <c r="K2528" s="213" t="s">
        <v>68350</v>
      </c>
      <c r="L2528" s="213" t="s">
        <v>68498</v>
      </c>
      <c r="M2528" s="213" t="s">
        <v>68646</v>
      </c>
      <c r="N2528" s="213" t="s">
        <v>21047</v>
      </c>
      <c r="O2528" s="213" t="s">
        <v>21048</v>
      </c>
      <c r="P2528" s="213" t="s">
        <v>21049</v>
      </c>
      <c r="Q2528" s="213" t="s">
        <v>21050</v>
      </c>
      <c r="R2528" s="213" t="s">
        <v>21051</v>
      </c>
      <c r="S2528" s="213" t="s">
        <v>21052</v>
      </c>
      <c r="T2528" s="213" t="s">
        <v>21053</v>
      </c>
      <c r="U2528" s="213" t="s">
        <v>68794</v>
      </c>
    </row>
    <row r="2529" spans="1:21" x14ac:dyDescent="0.25">
      <c r="A2529" s="213" t="s">
        <v>327</v>
      </c>
      <c r="D2529" s="213" t="s">
        <v>21054</v>
      </c>
      <c r="E2529" s="213" t="s">
        <v>21055</v>
      </c>
      <c r="K2529" s="213" t="s">
        <v>68351</v>
      </c>
      <c r="L2529" s="213" t="s">
        <v>68499</v>
      </c>
      <c r="M2529" s="213" t="s">
        <v>68647</v>
      </c>
      <c r="N2529" s="213" t="s">
        <v>21056</v>
      </c>
      <c r="O2529" s="213" t="s">
        <v>21057</v>
      </c>
      <c r="P2529" s="213" t="s">
        <v>21058</v>
      </c>
      <c r="Q2529" s="213" t="s">
        <v>21059</v>
      </c>
      <c r="R2529" s="213" t="s">
        <v>21060</v>
      </c>
      <c r="S2529" s="213" t="s">
        <v>21061</v>
      </c>
      <c r="T2529" s="213" t="s">
        <v>21062</v>
      </c>
      <c r="U2529" s="213" t="s">
        <v>68795</v>
      </c>
    </row>
    <row r="2530" spans="1:21" x14ac:dyDescent="0.25">
      <c r="A2530" s="213" t="s">
        <v>327</v>
      </c>
      <c r="D2530" s="213" t="s">
        <v>21063</v>
      </c>
      <c r="E2530" s="213" t="s">
        <v>21064</v>
      </c>
      <c r="K2530" s="213" t="s">
        <v>68352</v>
      </c>
      <c r="L2530" s="213" t="s">
        <v>68500</v>
      </c>
      <c r="M2530" s="213" t="s">
        <v>68648</v>
      </c>
      <c r="N2530" s="213" t="s">
        <v>21065</v>
      </c>
      <c r="O2530" s="213" t="s">
        <v>21066</v>
      </c>
      <c r="P2530" s="213" t="s">
        <v>21067</v>
      </c>
      <c r="Q2530" s="213" t="s">
        <v>21068</v>
      </c>
      <c r="R2530" s="213" t="s">
        <v>21069</v>
      </c>
      <c r="S2530" s="213" t="s">
        <v>21070</v>
      </c>
      <c r="T2530" s="213" t="s">
        <v>21071</v>
      </c>
      <c r="U2530" s="213" t="s">
        <v>68796</v>
      </c>
    </row>
    <row r="2531" spans="1:21" x14ac:dyDescent="0.25">
      <c r="A2531" s="213" t="s">
        <v>327</v>
      </c>
      <c r="D2531" s="213" t="s">
        <v>21072</v>
      </c>
      <c r="E2531" s="213" t="s">
        <v>21073</v>
      </c>
      <c r="K2531" s="213" t="s">
        <v>68353</v>
      </c>
      <c r="L2531" s="213" t="s">
        <v>68501</v>
      </c>
      <c r="M2531" s="213" t="s">
        <v>68649</v>
      </c>
      <c r="N2531" s="213" t="s">
        <v>21074</v>
      </c>
      <c r="O2531" s="213" t="s">
        <v>21075</v>
      </c>
      <c r="P2531" s="213" t="s">
        <v>21076</v>
      </c>
      <c r="Q2531" s="213" t="s">
        <v>21077</v>
      </c>
      <c r="R2531" s="213" t="s">
        <v>21078</v>
      </c>
      <c r="S2531" s="213" t="s">
        <v>21079</v>
      </c>
      <c r="T2531" s="213" t="s">
        <v>21080</v>
      </c>
      <c r="U2531" s="213" t="s">
        <v>68797</v>
      </c>
    </row>
    <row r="2532" spans="1:21" x14ac:dyDescent="0.25">
      <c r="A2532" s="213" t="s">
        <v>327</v>
      </c>
      <c r="D2532" s="213" t="s">
        <v>21081</v>
      </c>
      <c r="E2532" s="213" t="s">
        <v>21082</v>
      </c>
      <c r="K2532" s="213" t="s">
        <v>68354</v>
      </c>
      <c r="L2532" s="213" t="s">
        <v>68502</v>
      </c>
      <c r="M2532" s="213" t="s">
        <v>68650</v>
      </c>
      <c r="N2532" s="213" t="s">
        <v>21083</v>
      </c>
      <c r="O2532" s="213" t="s">
        <v>21084</v>
      </c>
      <c r="P2532" s="213" t="s">
        <v>21085</v>
      </c>
      <c r="Q2532" s="213" t="s">
        <v>21086</v>
      </c>
      <c r="R2532" s="213" t="s">
        <v>21087</v>
      </c>
      <c r="S2532" s="213" t="s">
        <v>21088</v>
      </c>
      <c r="T2532" s="213" t="s">
        <v>21089</v>
      </c>
      <c r="U2532" s="213" t="s">
        <v>68798</v>
      </c>
    </row>
    <row r="2533" spans="1:21" x14ac:dyDescent="0.25">
      <c r="A2533" s="213" t="s">
        <v>327</v>
      </c>
      <c r="D2533" s="213" t="s">
        <v>21090</v>
      </c>
      <c r="E2533" s="213" t="s">
        <v>21091</v>
      </c>
      <c r="K2533" s="213" t="s">
        <v>68355</v>
      </c>
      <c r="L2533" s="213" t="s">
        <v>68503</v>
      </c>
      <c r="M2533" s="213" t="s">
        <v>68651</v>
      </c>
      <c r="N2533" s="213" t="s">
        <v>21092</v>
      </c>
      <c r="O2533" s="213" t="s">
        <v>21093</v>
      </c>
      <c r="P2533" s="213" t="s">
        <v>21094</v>
      </c>
      <c r="Q2533" s="213" t="s">
        <v>21095</v>
      </c>
      <c r="R2533" s="213" t="s">
        <v>21096</v>
      </c>
      <c r="S2533" s="213" t="s">
        <v>21097</v>
      </c>
      <c r="T2533" s="213" t="s">
        <v>21098</v>
      </c>
      <c r="U2533" s="213" t="s">
        <v>68799</v>
      </c>
    </row>
    <row r="2534" spans="1:21" x14ac:dyDescent="0.25">
      <c r="A2534" s="213" t="s">
        <v>327</v>
      </c>
      <c r="D2534" s="213" t="s">
        <v>21099</v>
      </c>
      <c r="E2534" s="213" t="s">
        <v>21100</v>
      </c>
      <c r="K2534" s="213" t="s">
        <v>68356</v>
      </c>
      <c r="L2534" s="213" t="s">
        <v>68504</v>
      </c>
      <c r="M2534" s="213" t="s">
        <v>68652</v>
      </c>
      <c r="N2534" s="213" t="s">
        <v>21101</v>
      </c>
      <c r="O2534" s="213" t="s">
        <v>21102</v>
      </c>
      <c r="P2534" s="213" t="s">
        <v>21103</v>
      </c>
      <c r="Q2534" s="213" t="s">
        <v>21104</v>
      </c>
      <c r="R2534" s="213" t="s">
        <v>21105</v>
      </c>
      <c r="S2534" s="213" t="s">
        <v>21106</v>
      </c>
      <c r="T2534" s="213" t="s">
        <v>21107</v>
      </c>
      <c r="U2534" s="213" t="s">
        <v>68800</v>
      </c>
    </row>
    <row r="2535" spans="1:21" x14ac:dyDescent="0.25">
      <c r="A2535" s="213" t="s">
        <v>327</v>
      </c>
      <c r="D2535" s="213" t="s">
        <v>21108</v>
      </c>
      <c r="E2535" s="213" t="s">
        <v>21109</v>
      </c>
      <c r="K2535" s="213" t="s">
        <v>68357</v>
      </c>
      <c r="L2535" s="213" t="s">
        <v>68505</v>
      </c>
      <c r="M2535" s="213" t="s">
        <v>68653</v>
      </c>
      <c r="N2535" s="213" t="s">
        <v>21110</v>
      </c>
      <c r="O2535" s="213" t="s">
        <v>21111</v>
      </c>
      <c r="P2535" s="213" t="s">
        <v>21112</v>
      </c>
      <c r="Q2535" s="213" t="s">
        <v>21113</v>
      </c>
      <c r="R2535" s="213" t="s">
        <v>21114</v>
      </c>
      <c r="S2535" s="213" t="s">
        <v>21115</v>
      </c>
      <c r="T2535" s="213" t="s">
        <v>21116</v>
      </c>
      <c r="U2535" s="213" t="s">
        <v>68801</v>
      </c>
    </row>
    <row r="2536" spans="1:21" x14ac:dyDescent="0.25">
      <c r="A2536" s="213" t="s">
        <v>327</v>
      </c>
      <c r="D2536" s="213" t="s">
        <v>21117</v>
      </c>
      <c r="E2536" s="213" t="s">
        <v>21118</v>
      </c>
      <c r="K2536" s="213" t="s">
        <v>68358</v>
      </c>
      <c r="L2536" s="213" t="s">
        <v>68506</v>
      </c>
      <c r="M2536" s="213" t="s">
        <v>68654</v>
      </c>
      <c r="N2536" s="213" t="s">
        <v>21119</v>
      </c>
      <c r="O2536" s="213" t="s">
        <v>21120</v>
      </c>
      <c r="P2536" s="213" t="s">
        <v>21121</v>
      </c>
      <c r="Q2536" s="213" t="s">
        <v>21122</v>
      </c>
      <c r="R2536" s="213" t="s">
        <v>21123</v>
      </c>
      <c r="S2536" s="213" t="s">
        <v>21124</v>
      </c>
      <c r="T2536" s="213" t="s">
        <v>21125</v>
      </c>
      <c r="U2536" s="213" t="s">
        <v>68802</v>
      </c>
    </row>
    <row r="2537" spans="1:21" x14ac:dyDescent="0.25">
      <c r="A2537" s="213" t="s">
        <v>327</v>
      </c>
      <c r="D2537" s="213" t="s">
        <v>21126</v>
      </c>
      <c r="E2537" s="213" t="s">
        <v>21127</v>
      </c>
      <c r="K2537" s="213" t="s">
        <v>68359</v>
      </c>
      <c r="L2537" s="213" t="s">
        <v>68507</v>
      </c>
      <c r="M2537" s="213" t="s">
        <v>68655</v>
      </c>
      <c r="N2537" s="213" t="s">
        <v>21128</v>
      </c>
      <c r="O2537" s="213" t="s">
        <v>21129</v>
      </c>
      <c r="P2537" s="213" t="s">
        <v>21130</v>
      </c>
      <c r="Q2537" s="213" t="s">
        <v>21131</v>
      </c>
      <c r="R2537" s="213" t="s">
        <v>21132</v>
      </c>
      <c r="S2537" s="213" t="s">
        <v>21133</v>
      </c>
      <c r="T2537" s="213" t="s">
        <v>21134</v>
      </c>
      <c r="U2537" s="213" t="s">
        <v>68803</v>
      </c>
    </row>
    <row r="2538" spans="1:21" x14ac:dyDescent="0.25">
      <c r="A2538" s="213" t="s">
        <v>327</v>
      </c>
      <c r="D2538" s="213" t="s">
        <v>21135</v>
      </c>
      <c r="E2538" s="213" t="s">
        <v>21136</v>
      </c>
      <c r="K2538" s="213" t="s">
        <v>68360</v>
      </c>
      <c r="L2538" s="213" t="s">
        <v>68508</v>
      </c>
      <c r="M2538" s="213" t="s">
        <v>68656</v>
      </c>
      <c r="N2538" s="213" t="s">
        <v>21137</v>
      </c>
      <c r="O2538" s="213" t="s">
        <v>21138</v>
      </c>
      <c r="P2538" s="213" t="s">
        <v>21139</v>
      </c>
      <c r="Q2538" s="213" t="s">
        <v>21140</v>
      </c>
      <c r="R2538" s="213" t="s">
        <v>21141</v>
      </c>
      <c r="S2538" s="213" t="s">
        <v>21142</v>
      </c>
      <c r="T2538" s="213" t="s">
        <v>21143</v>
      </c>
      <c r="U2538" s="213" t="s">
        <v>68804</v>
      </c>
    </row>
    <row r="2539" spans="1:21" x14ac:dyDescent="0.25">
      <c r="A2539" s="213" t="s">
        <v>327</v>
      </c>
      <c r="D2539" s="213" t="s">
        <v>21144</v>
      </c>
      <c r="E2539" s="213" t="s">
        <v>21145</v>
      </c>
      <c r="K2539" s="213" t="s">
        <v>68361</v>
      </c>
      <c r="L2539" s="213" t="s">
        <v>68509</v>
      </c>
      <c r="M2539" s="213" t="s">
        <v>68657</v>
      </c>
      <c r="N2539" s="213" t="s">
        <v>21146</v>
      </c>
      <c r="O2539" s="213" t="s">
        <v>21147</v>
      </c>
      <c r="P2539" s="213" t="s">
        <v>21148</v>
      </c>
      <c r="Q2539" s="213" t="s">
        <v>21149</v>
      </c>
      <c r="R2539" s="213" t="s">
        <v>21150</v>
      </c>
      <c r="S2539" s="213" t="s">
        <v>21151</v>
      </c>
      <c r="T2539" s="213" t="s">
        <v>21152</v>
      </c>
      <c r="U2539" s="213" t="s">
        <v>68805</v>
      </c>
    </row>
    <row r="2540" spans="1:21" x14ac:dyDescent="0.25">
      <c r="A2540" s="213" t="s">
        <v>327</v>
      </c>
      <c r="D2540" s="213" t="s">
        <v>21153</v>
      </c>
      <c r="E2540" s="213" t="s">
        <v>21154</v>
      </c>
      <c r="K2540" s="213" t="s">
        <v>68362</v>
      </c>
      <c r="L2540" s="213" t="s">
        <v>68510</v>
      </c>
      <c r="M2540" s="213" t="s">
        <v>68658</v>
      </c>
      <c r="N2540" s="213" t="s">
        <v>21155</v>
      </c>
      <c r="O2540" s="213" t="s">
        <v>21156</v>
      </c>
      <c r="P2540" s="213" t="s">
        <v>21157</v>
      </c>
      <c r="Q2540" s="213" t="s">
        <v>21158</v>
      </c>
      <c r="R2540" s="213" t="s">
        <v>21159</v>
      </c>
      <c r="S2540" s="213" t="s">
        <v>21160</v>
      </c>
      <c r="T2540" s="213" t="s">
        <v>21161</v>
      </c>
      <c r="U2540" s="213" t="s">
        <v>68806</v>
      </c>
    </row>
    <row r="2541" spans="1:21" x14ac:dyDescent="0.25">
      <c r="A2541" s="213" t="s">
        <v>327</v>
      </c>
      <c r="D2541" s="213" t="s">
        <v>21162</v>
      </c>
      <c r="E2541" s="213" t="s">
        <v>21163</v>
      </c>
      <c r="K2541" s="213" t="s">
        <v>68363</v>
      </c>
      <c r="L2541" s="213" t="s">
        <v>68511</v>
      </c>
      <c r="M2541" s="213" t="s">
        <v>68659</v>
      </c>
      <c r="N2541" s="213" t="s">
        <v>21164</v>
      </c>
      <c r="O2541" s="213" t="s">
        <v>21165</v>
      </c>
      <c r="P2541" s="213" t="s">
        <v>21166</v>
      </c>
      <c r="Q2541" s="213" t="s">
        <v>21167</v>
      </c>
      <c r="R2541" s="213" t="s">
        <v>21168</v>
      </c>
      <c r="S2541" s="213" t="s">
        <v>21169</v>
      </c>
      <c r="T2541" s="213" t="s">
        <v>21170</v>
      </c>
      <c r="U2541" s="213" t="s">
        <v>68807</v>
      </c>
    </row>
    <row r="2542" spans="1:21" x14ac:dyDescent="0.25">
      <c r="A2542" s="213" t="s">
        <v>327</v>
      </c>
      <c r="D2542" s="213" t="s">
        <v>21171</v>
      </c>
      <c r="E2542" s="213" t="s">
        <v>21172</v>
      </c>
      <c r="K2542" s="213" t="s">
        <v>68364</v>
      </c>
      <c r="L2542" s="213" t="s">
        <v>68512</v>
      </c>
      <c r="M2542" s="213" t="s">
        <v>68660</v>
      </c>
      <c r="N2542" s="213" t="s">
        <v>21173</v>
      </c>
      <c r="O2542" s="213" t="s">
        <v>21174</v>
      </c>
      <c r="P2542" s="213" t="s">
        <v>21175</v>
      </c>
      <c r="Q2542" s="213" t="s">
        <v>21176</v>
      </c>
      <c r="R2542" s="213" t="s">
        <v>21177</v>
      </c>
      <c r="S2542" s="213" t="s">
        <v>21178</v>
      </c>
      <c r="T2542" s="213" t="s">
        <v>21179</v>
      </c>
      <c r="U2542" s="213" t="s">
        <v>68808</v>
      </c>
    </row>
    <row r="2543" spans="1:21" x14ac:dyDescent="0.25">
      <c r="A2543" s="213" t="s">
        <v>327</v>
      </c>
      <c r="D2543" s="213" t="s">
        <v>21180</v>
      </c>
      <c r="E2543" s="213" t="s">
        <v>21181</v>
      </c>
      <c r="K2543" s="213" t="s">
        <v>68365</v>
      </c>
      <c r="L2543" s="213" t="s">
        <v>68513</v>
      </c>
      <c r="M2543" s="213" t="s">
        <v>68661</v>
      </c>
      <c r="N2543" s="213" t="s">
        <v>21182</v>
      </c>
      <c r="O2543" s="213" t="s">
        <v>21183</v>
      </c>
      <c r="P2543" s="213" t="s">
        <v>21184</v>
      </c>
      <c r="Q2543" s="213" t="s">
        <v>21185</v>
      </c>
      <c r="R2543" s="213" t="s">
        <v>21186</v>
      </c>
      <c r="S2543" s="213" t="s">
        <v>21187</v>
      </c>
      <c r="T2543" s="213" t="s">
        <v>21188</v>
      </c>
      <c r="U2543" s="213" t="s">
        <v>68809</v>
      </c>
    </row>
    <row r="2544" spans="1:21" x14ac:dyDescent="0.25">
      <c r="A2544" s="213" t="s">
        <v>327</v>
      </c>
      <c r="D2544" s="213" t="s">
        <v>21189</v>
      </c>
      <c r="E2544" s="213" t="s">
        <v>21190</v>
      </c>
      <c r="K2544" s="213" t="s">
        <v>68366</v>
      </c>
      <c r="L2544" s="213" t="s">
        <v>68514</v>
      </c>
      <c r="M2544" s="213" t="s">
        <v>68662</v>
      </c>
      <c r="N2544" s="213" t="s">
        <v>21191</v>
      </c>
      <c r="O2544" s="213" t="s">
        <v>21192</v>
      </c>
      <c r="P2544" s="213" t="s">
        <v>21193</v>
      </c>
      <c r="Q2544" s="213" t="s">
        <v>21194</v>
      </c>
      <c r="R2544" s="213" t="s">
        <v>21195</v>
      </c>
      <c r="S2544" s="213" t="s">
        <v>21196</v>
      </c>
      <c r="T2544" s="213" t="s">
        <v>21197</v>
      </c>
      <c r="U2544" s="213" t="s">
        <v>68810</v>
      </c>
    </row>
    <row r="2545" spans="1:21" x14ac:dyDescent="0.25">
      <c r="A2545" s="213" t="s">
        <v>327</v>
      </c>
      <c r="D2545" s="213" t="s">
        <v>21198</v>
      </c>
      <c r="E2545" s="213" t="s">
        <v>21199</v>
      </c>
      <c r="K2545" s="213" t="s">
        <v>68367</v>
      </c>
      <c r="L2545" s="213" t="s">
        <v>68515</v>
      </c>
      <c r="M2545" s="213" t="s">
        <v>68663</v>
      </c>
      <c r="N2545" s="213" t="s">
        <v>21200</v>
      </c>
      <c r="O2545" s="213" t="s">
        <v>21201</v>
      </c>
      <c r="P2545" s="213" t="s">
        <v>21202</v>
      </c>
      <c r="Q2545" s="213" t="s">
        <v>21203</v>
      </c>
      <c r="R2545" s="213" t="s">
        <v>21204</v>
      </c>
      <c r="S2545" s="213" t="s">
        <v>21205</v>
      </c>
      <c r="T2545" s="213" t="s">
        <v>21206</v>
      </c>
      <c r="U2545" s="213" t="s">
        <v>68811</v>
      </c>
    </row>
    <row r="2546" spans="1:21" x14ac:dyDescent="0.25">
      <c r="A2546" s="213" t="s">
        <v>327</v>
      </c>
      <c r="D2546" s="213" t="s">
        <v>21207</v>
      </c>
      <c r="E2546" s="213" t="s">
        <v>21208</v>
      </c>
      <c r="K2546" s="213" t="s">
        <v>68368</v>
      </c>
      <c r="L2546" s="213" t="s">
        <v>68516</v>
      </c>
      <c r="M2546" s="213" t="s">
        <v>68664</v>
      </c>
      <c r="N2546" s="213" t="s">
        <v>21209</v>
      </c>
      <c r="O2546" s="213" t="s">
        <v>21210</v>
      </c>
      <c r="P2546" s="213" t="s">
        <v>21211</v>
      </c>
      <c r="Q2546" s="213" t="s">
        <v>21212</v>
      </c>
      <c r="R2546" s="213" t="s">
        <v>21213</v>
      </c>
      <c r="S2546" s="213" t="s">
        <v>21214</v>
      </c>
      <c r="T2546" s="213" t="s">
        <v>21215</v>
      </c>
      <c r="U2546" s="213" t="s">
        <v>68812</v>
      </c>
    </row>
    <row r="2547" spans="1:21" x14ac:dyDescent="0.25">
      <c r="A2547" s="213" t="s">
        <v>327</v>
      </c>
      <c r="D2547" s="213" t="s">
        <v>21216</v>
      </c>
      <c r="E2547" s="213" t="s">
        <v>21217</v>
      </c>
      <c r="K2547" s="213" t="s">
        <v>68369</v>
      </c>
      <c r="L2547" s="213" t="s">
        <v>68517</v>
      </c>
      <c r="M2547" s="213" t="s">
        <v>68665</v>
      </c>
      <c r="N2547" s="213" t="s">
        <v>21218</v>
      </c>
      <c r="O2547" s="213" t="s">
        <v>21219</v>
      </c>
      <c r="P2547" s="213" t="s">
        <v>21220</v>
      </c>
      <c r="Q2547" s="213" t="s">
        <v>21221</v>
      </c>
      <c r="R2547" s="213" t="s">
        <v>21222</v>
      </c>
      <c r="S2547" s="213" t="s">
        <v>21223</v>
      </c>
      <c r="T2547" s="213" t="s">
        <v>21224</v>
      </c>
      <c r="U2547" s="213" t="s">
        <v>68813</v>
      </c>
    </row>
    <row r="2548" spans="1:21" x14ac:dyDescent="0.25">
      <c r="A2548" s="213" t="s">
        <v>327</v>
      </c>
      <c r="D2548" s="213" t="s">
        <v>21225</v>
      </c>
      <c r="E2548" s="213" t="s">
        <v>21226</v>
      </c>
      <c r="K2548" s="213" t="s">
        <v>68370</v>
      </c>
      <c r="L2548" s="213" t="s">
        <v>68518</v>
      </c>
      <c r="M2548" s="213" t="s">
        <v>68666</v>
      </c>
      <c r="N2548" s="213" t="s">
        <v>21227</v>
      </c>
      <c r="O2548" s="213" t="s">
        <v>21228</v>
      </c>
      <c r="P2548" s="213" t="s">
        <v>21229</v>
      </c>
      <c r="Q2548" s="213" t="s">
        <v>21230</v>
      </c>
      <c r="R2548" s="213" t="s">
        <v>21231</v>
      </c>
      <c r="S2548" s="213" t="s">
        <v>21232</v>
      </c>
      <c r="T2548" s="213" t="s">
        <v>21233</v>
      </c>
      <c r="U2548" s="213" t="s">
        <v>68814</v>
      </c>
    </row>
    <row r="2549" spans="1:21" x14ac:dyDescent="0.25">
      <c r="A2549" s="213" t="s">
        <v>327</v>
      </c>
      <c r="D2549" s="213" t="s">
        <v>21234</v>
      </c>
      <c r="E2549" s="213" t="s">
        <v>21235</v>
      </c>
      <c r="K2549" s="213" t="s">
        <v>68371</v>
      </c>
      <c r="L2549" s="213" t="s">
        <v>68519</v>
      </c>
      <c r="M2549" s="213" t="s">
        <v>68667</v>
      </c>
      <c r="N2549" s="213" t="s">
        <v>21236</v>
      </c>
      <c r="O2549" s="213" t="s">
        <v>21237</v>
      </c>
      <c r="P2549" s="213" t="s">
        <v>21238</v>
      </c>
      <c r="Q2549" s="213" t="s">
        <v>21239</v>
      </c>
      <c r="R2549" s="213" t="s">
        <v>21240</v>
      </c>
      <c r="S2549" s="213" t="s">
        <v>21241</v>
      </c>
      <c r="T2549" s="213" t="s">
        <v>21242</v>
      </c>
      <c r="U2549" s="213" t="s">
        <v>68815</v>
      </c>
    </row>
    <row r="2550" spans="1:21" x14ac:dyDescent="0.25">
      <c r="A2550" s="213" t="s">
        <v>327</v>
      </c>
      <c r="D2550" s="213" t="s">
        <v>21243</v>
      </c>
      <c r="E2550" s="213" t="s">
        <v>21244</v>
      </c>
      <c r="K2550" s="213" t="s">
        <v>68372</v>
      </c>
      <c r="L2550" s="213" t="s">
        <v>68520</v>
      </c>
      <c r="M2550" s="213" t="s">
        <v>68668</v>
      </c>
      <c r="N2550" s="213" t="s">
        <v>21245</v>
      </c>
      <c r="O2550" s="213" t="s">
        <v>21246</v>
      </c>
      <c r="P2550" s="213" t="s">
        <v>21247</v>
      </c>
      <c r="Q2550" s="213" t="s">
        <v>21248</v>
      </c>
      <c r="R2550" s="213" t="s">
        <v>21249</v>
      </c>
      <c r="S2550" s="213" t="s">
        <v>21250</v>
      </c>
      <c r="T2550" s="213" t="s">
        <v>21251</v>
      </c>
      <c r="U2550" s="213" t="s">
        <v>68816</v>
      </c>
    </row>
    <row r="2551" spans="1:21" x14ac:dyDescent="0.25">
      <c r="A2551" s="213" t="s">
        <v>327</v>
      </c>
      <c r="D2551" s="213" t="s">
        <v>21252</v>
      </c>
      <c r="E2551" s="213" t="s">
        <v>21253</v>
      </c>
      <c r="K2551" s="213" t="s">
        <v>68373</v>
      </c>
      <c r="L2551" s="213" t="s">
        <v>68521</v>
      </c>
      <c r="M2551" s="213" t="s">
        <v>68669</v>
      </c>
      <c r="N2551" s="213" t="s">
        <v>21254</v>
      </c>
      <c r="O2551" s="213" t="s">
        <v>21255</v>
      </c>
      <c r="P2551" s="213" t="s">
        <v>21256</v>
      </c>
      <c r="Q2551" s="213" t="s">
        <v>21257</v>
      </c>
      <c r="R2551" s="213" t="s">
        <v>21258</v>
      </c>
      <c r="S2551" s="213" t="s">
        <v>21259</v>
      </c>
      <c r="T2551" s="213" t="s">
        <v>21260</v>
      </c>
      <c r="U2551" s="213" t="s">
        <v>68817</v>
      </c>
    </row>
    <row r="2552" spans="1:21" x14ac:dyDescent="0.25">
      <c r="A2552" s="213" t="s">
        <v>327</v>
      </c>
      <c r="D2552" s="213" t="s">
        <v>21261</v>
      </c>
      <c r="E2552" s="213" t="s">
        <v>21262</v>
      </c>
      <c r="K2552" s="213" t="s">
        <v>68374</v>
      </c>
      <c r="L2552" s="213" t="s">
        <v>68522</v>
      </c>
      <c r="M2552" s="213" t="s">
        <v>68670</v>
      </c>
      <c r="N2552" s="213" t="s">
        <v>21263</v>
      </c>
      <c r="O2552" s="213" t="s">
        <v>21264</v>
      </c>
      <c r="P2552" s="213" t="s">
        <v>21265</v>
      </c>
      <c r="Q2552" s="213" t="s">
        <v>21266</v>
      </c>
      <c r="R2552" s="213" t="s">
        <v>21267</v>
      </c>
      <c r="S2552" s="213" t="s">
        <v>21268</v>
      </c>
      <c r="T2552" s="213" t="s">
        <v>21269</v>
      </c>
      <c r="U2552" s="213" t="s">
        <v>68818</v>
      </c>
    </row>
    <row r="2553" spans="1:21" x14ac:dyDescent="0.25">
      <c r="A2553" s="213" t="s">
        <v>327</v>
      </c>
      <c r="D2553" s="213" t="s">
        <v>21270</v>
      </c>
      <c r="E2553" s="213" t="s">
        <v>21271</v>
      </c>
      <c r="K2553" s="213" t="s">
        <v>68375</v>
      </c>
      <c r="L2553" s="213" t="s">
        <v>68523</v>
      </c>
      <c r="M2553" s="213" t="s">
        <v>68671</v>
      </c>
      <c r="N2553" s="213" t="s">
        <v>21272</v>
      </c>
      <c r="O2553" s="213" t="s">
        <v>21273</v>
      </c>
      <c r="P2553" s="213" t="s">
        <v>21274</v>
      </c>
      <c r="Q2553" s="213" t="s">
        <v>21275</v>
      </c>
      <c r="R2553" s="213" t="s">
        <v>21276</v>
      </c>
      <c r="S2553" s="213" t="s">
        <v>21277</v>
      </c>
      <c r="T2553" s="213" t="s">
        <v>21278</v>
      </c>
      <c r="U2553" s="213" t="s">
        <v>68819</v>
      </c>
    </row>
    <row r="2554" spans="1:21" x14ac:dyDescent="0.25">
      <c r="A2554" s="213" t="s">
        <v>327</v>
      </c>
      <c r="D2554" s="213" t="s">
        <v>21279</v>
      </c>
      <c r="E2554" s="213" t="s">
        <v>21280</v>
      </c>
      <c r="K2554" s="213" t="s">
        <v>68376</v>
      </c>
      <c r="L2554" s="213" t="s">
        <v>68524</v>
      </c>
      <c r="M2554" s="213" t="s">
        <v>68672</v>
      </c>
      <c r="N2554" s="213" t="s">
        <v>21281</v>
      </c>
      <c r="O2554" s="213" t="s">
        <v>21282</v>
      </c>
      <c r="P2554" s="213" t="s">
        <v>21283</v>
      </c>
      <c r="Q2554" s="213" t="s">
        <v>21284</v>
      </c>
      <c r="R2554" s="213" t="s">
        <v>21285</v>
      </c>
      <c r="S2554" s="213" t="s">
        <v>21286</v>
      </c>
      <c r="T2554" s="213" t="s">
        <v>21287</v>
      </c>
      <c r="U2554" s="213" t="s">
        <v>68820</v>
      </c>
    </row>
    <row r="2555" spans="1:21" x14ac:dyDescent="0.25">
      <c r="A2555" s="213" t="s">
        <v>327</v>
      </c>
      <c r="D2555" s="213" t="s">
        <v>21288</v>
      </c>
      <c r="E2555" s="213" t="s">
        <v>21289</v>
      </c>
      <c r="K2555" s="213" t="s">
        <v>68377</v>
      </c>
      <c r="L2555" s="213" t="s">
        <v>68525</v>
      </c>
      <c r="M2555" s="213" t="s">
        <v>68673</v>
      </c>
      <c r="N2555" s="213" t="s">
        <v>21290</v>
      </c>
      <c r="O2555" s="213" t="s">
        <v>21291</v>
      </c>
      <c r="P2555" s="213" t="s">
        <v>21292</v>
      </c>
      <c r="Q2555" s="213" t="s">
        <v>21293</v>
      </c>
      <c r="R2555" s="213" t="s">
        <v>21294</v>
      </c>
      <c r="S2555" s="213" t="s">
        <v>21295</v>
      </c>
      <c r="T2555" s="213" t="s">
        <v>21296</v>
      </c>
      <c r="U2555" s="213" t="s">
        <v>68821</v>
      </c>
    </row>
    <row r="2556" spans="1:21" x14ac:dyDescent="0.25">
      <c r="A2556" s="213" t="s">
        <v>327</v>
      </c>
      <c r="D2556" s="213" t="s">
        <v>21297</v>
      </c>
      <c r="E2556" s="213" t="s">
        <v>21298</v>
      </c>
      <c r="K2556" s="213" t="s">
        <v>68378</v>
      </c>
      <c r="L2556" s="213" t="s">
        <v>68526</v>
      </c>
      <c r="M2556" s="213" t="s">
        <v>68674</v>
      </c>
      <c r="N2556" s="213" t="s">
        <v>21299</v>
      </c>
      <c r="O2556" s="213" t="s">
        <v>21300</v>
      </c>
      <c r="P2556" s="213" t="s">
        <v>21301</v>
      </c>
      <c r="Q2556" s="213" t="s">
        <v>21302</v>
      </c>
      <c r="R2556" s="213" t="s">
        <v>21303</v>
      </c>
      <c r="S2556" s="213" t="s">
        <v>21304</v>
      </c>
      <c r="T2556" s="213" t="s">
        <v>21305</v>
      </c>
      <c r="U2556" s="213" t="s">
        <v>68822</v>
      </c>
    </row>
    <row r="2557" spans="1:21" x14ac:dyDescent="0.25">
      <c r="A2557" s="213" t="s">
        <v>327</v>
      </c>
      <c r="D2557" s="213" t="s">
        <v>21306</v>
      </c>
      <c r="E2557" s="213" t="s">
        <v>21307</v>
      </c>
      <c r="K2557" s="213" t="s">
        <v>68379</v>
      </c>
      <c r="L2557" s="213" t="s">
        <v>68527</v>
      </c>
      <c r="M2557" s="213" t="s">
        <v>68675</v>
      </c>
      <c r="N2557" s="213" t="s">
        <v>21308</v>
      </c>
      <c r="O2557" s="213" t="s">
        <v>21309</v>
      </c>
      <c r="P2557" s="213" t="s">
        <v>21310</v>
      </c>
      <c r="Q2557" s="213" t="s">
        <v>21311</v>
      </c>
      <c r="R2557" s="213" t="s">
        <v>21312</v>
      </c>
      <c r="S2557" s="213" t="s">
        <v>21313</v>
      </c>
      <c r="T2557" s="213" t="s">
        <v>21314</v>
      </c>
      <c r="U2557" s="213" t="s">
        <v>68823</v>
      </c>
    </row>
    <row r="2558" spans="1:21" x14ac:dyDescent="0.25">
      <c r="A2558" s="213" t="s">
        <v>327</v>
      </c>
      <c r="D2558" s="213" t="s">
        <v>21315</v>
      </c>
      <c r="E2558" s="213" t="s">
        <v>21316</v>
      </c>
      <c r="K2558" s="213" t="s">
        <v>68380</v>
      </c>
      <c r="L2558" s="213" t="s">
        <v>68528</v>
      </c>
      <c r="M2558" s="213" t="s">
        <v>68676</v>
      </c>
      <c r="N2558" s="213" t="s">
        <v>21317</v>
      </c>
      <c r="O2558" s="213" t="s">
        <v>21318</v>
      </c>
      <c r="P2558" s="213" t="s">
        <v>21319</v>
      </c>
      <c r="Q2558" s="213" t="s">
        <v>21320</v>
      </c>
      <c r="R2558" s="213" t="s">
        <v>21321</v>
      </c>
      <c r="S2558" s="213" t="s">
        <v>21322</v>
      </c>
      <c r="T2558" s="213" t="s">
        <v>21323</v>
      </c>
      <c r="U2558" s="213" t="s">
        <v>68824</v>
      </c>
    </row>
    <row r="2559" spans="1:21" x14ac:dyDescent="0.25">
      <c r="A2559" s="213" t="s">
        <v>327</v>
      </c>
      <c r="D2559" s="213" t="s">
        <v>21324</v>
      </c>
      <c r="E2559" s="213" t="s">
        <v>21325</v>
      </c>
      <c r="K2559" s="213" t="s">
        <v>68381</v>
      </c>
      <c r="L2559" s="213" t="s">
        <v>68529</v>
      </c>
      <c r="M2559" s="213" t="s">
        <v>68677</v>
      </c>
      <c r="N2559" s="213" t="s">
        <v>21326</v>
      </c>
      <c r="O2559" s="213" t="s">
        <v>21327</v>
      </c>
      <c r="P2559" s="213" t="s">
        <v>21328</v>
      </c>
      <c r="Q2559" s="213" t="s">
        <v>21329</v>
      </c>
      <c r="R2559" s="213" t="s">
        <v>21330</v>
      </c>
      <c r="S2559" s="213" t="s">
        <v>21331</v>
      </c>
      <c r="T2559" s="213" t="s">
        <v>21332</v>
      </c>
      <c r="U2559" s="213" t="s">
        <v>68825</v>
      </c>
    </row>
    <row r="2560" spans="1:21" x14ac:dyDescent="0.25">
      <c r="A2560" s="213" t="s">
        <v>327</v>
      </c>
      <c r="D2560" s="213" t="s">
        <v>21333</v>
      </c>
      <c r="E2560" s="213" t="s">
        <v>21334</v>
      </c>
      <c r="K2560" s="213" t="s">
        <v>68382</v>
      </c>
      <c r="L2560" s="213" t="s">
        <v>68530</v>
      </c>
      <c r="M2560" s="213" t="s">
        <v>68678</v>
      </c>
      <c r="N2560" s="213" t="s">
        <v>21335</v>
      </c>
      <c r="O2560" s="213" t="s">
        <v>21336</v>
      </c>
      <c r="P2560" s="213" t="s">
        <v>21337</v>
      </c>
      <c r="Q2560" s="213" t="s">
        <v>21338</v>
      </c>
      <c r="R2560" s="213" t="s">
        <v>21339</v>
      </c>
      <c r="S2560" s="213" t="s">
        <v>21340</v>
      </c>
      <c r="T2560" s="213" t="s">
        <v>21341</v>
      </c>
      <c r="U2560" s="213" t="s">
        <v>68826</v>
      </c>
    </row>
    <row r="2561" spans="1:21" x14ac:dyDescent="0.25">
      <c r="A2561" s="213" t="s">
        <v>327</v>
      </c>
      <c r="D2561" s="213" t="s">
        <v>21342</v>
      </c>
      <c r="E2561" s="213" t="s">
        <v>21343</v>
      </c>
      <c r="K2561" s="213" t="s">
        <v>68383</v>
      </c>
      <c r="L2561" s="213" t="s">
        <v>68531</v>
      </c>
      <c r="M2561" s="213" t="s">
        <v>68679</v>
      </c>
      <c r="N2561" s="213" t="s">
        <v>21344</v>
      </c>
      <c r="O2561" s="213" t="s">
        <v>21345</v>
      </c>
      <c r="P2561" s="213" t="s">
        <v>21346</v>
      </c>
      <c r="Q2561" s="213" t="s">
        <v>21347</v>
      </c>
      <c r="R2561" s="213" t="s">
        <v>21348</v>
      </c>
      <c r="S2561" s="213" t="s">
        <v>21349</v>
      </c>
      <c r="T2561" s="213" t="s">
        <v>21350</v>
      </c>
      <c r="U2561" s="213" t="s">
        <v>68827</v>
      </c>
    </row>
    <row r="2562" spans="1:21" x14ac:dyDescent="0.25">
      <c r="A2562" s="213" t="s">
        <v>327</v>
      </c>
      <c r="D2562" s="213" t="s">
        <v>21351</v>
      </c>
      <c r="E2562" s="213" t="s">
        <v>21352</v>
      </c>
      <c r="K2562" s="213" t="s">
        <v>68384</v>
      </c>
      <c r="L2562" s="213" t="s">
        <v>68532</v>
      </c>
      <c r="M2562" s="213" t="s">
        <v>68680</v>
      </c>
      <c r="N2562" s="213" t="s">
        <v>21353</v>
      </c>
      <c r="O2562" s="213" t="s">
        <v>21354</v>
      </c>
      <c r="P2562" s="213" t="s">
        <v>21355</v>
      </c>
      <c r="Q2562" s="213" t="s">
        <v>21356</v>
      </c>
      <c r="R2562" s="213" t="s">
        <v>21357</v>
      </c>
      <c r="S2562" s="213" t="s">
        <v>21358</v>
      </c>
      <c r="T2562" s="213" t="s">
        <v>21359</v>
      </c>
      <c r="U2562" s="213" t="s">
        <v>68828</v>
      </c>
    </row>
    <row r="2563" spans="1:21" x14ac:dyDescent="0.25">
      <c r="A2563" s="213" t="s">
        <v>327</v>
      </c>
      <c r="D2563" s="213" t="s">
        <v>21360</v>
      </c>
      <c r="E2563" s="213" t="s">
        <v>21361</v>
      </c>
      <c r="K2563" s="213" t="s">
        <v>68385</v>
      </c>
      <c r="L2563" s="213" t="s">
        <v>68533</v>
      </c>
      <c r="M2563" s="213" t="s">
        <v>68681</v>
      </c>
      <c r="N2563" s="213" t="s">
        <v>21362</v>
      </c>
      <c r="O2563" s="213" t="s">
        <v>21363</v>
      </c>
      <c r="P2563" s="213" t="s">
        <v>21364</v>
      </c>
      <c r="Q2563" s="213" t="s">
        <v>21365</v>
      </c>
      <c r="R2563" s="213" t="s">
        <v>21366</v>
      </c>
      <c r="S2563" s="213" t="s">
        <v>21367</v>
      </c>
      <c r="T2563" s="213" t="s">
        <v>21368</v>
      </c>
      <c r="U2563" s="213" t="s">
        <v>68829</v>
      </c>
    </row>
    <row r="2564" spans="1:21" x14ac:dyDescent="0.25">
      <c r="A2564" s="213" t="s">
        <v>327</v>
      </c>
      <c r="D2564" s="213" t="s">
        <v>21369</v>
      </c>
      <c r="E2564" s="213" t="s">
        <v>21370</v>
      </c>
      <c r="K2564" s="213" t="s">
        <v>68386</v>
      </c>
      <c r="L2564" s="213" t="s">
        <v>68534</v>
      </c>
      <c r="M2564" s="213" t="s">
        <v>68682</v>
      </c>
      <c r="N2564" s="213" t="s">
        <v>21371</v>
      </c>
      <c r="O2564" s="213" t="s">
        <v>21372</v>
      </c>
      <c r="P2564" s="213" t="s">
        <v>21373</v>
      </c>
      <c r="Q2564" s="213" t="s">
        <v>21374</v>
      </c>
      <c r="R2564" s="213" t="s">
        <v>21375</v>
      </c>
      <c r="S2564" s="213" t="s">
        <v>21376</v>
      </c>
      <c r="T2564" s="213" t="s">
        <v>21377</v>
      </c>
      <c r="U2564" s="213" t="s">
        <v>68830</v>
      </c>
    </row>
    <row r="2565" spans="1:21" x14ac:dyDescent="0.25">
      <c r="A2565" s="213" t="s">
        <v>327</v>
      </c>
      <c r="D2565" s="213" t="s">
        <v>21378</v>
      </c>
      <c r="E2565" s="213" t="s">
        <v>21379</v>
      </c>
      <c r="K2565" s="213" t="s">
        <v>68387</v>
      </c>
      <c r="L2565" s="213" t="s">
        <v>68535</v>
      </c>
      <c r="M2565" s="213" t="s">
        <v>68683</v>
      </c>
      <c r="N2565" s="213" t="s">
        <v>21380</v>
      </c>
      <c r="O2565" s="213" t="s">
        <v>21381</v>
      </c>
      <c r="P2565" s="213" t="s">
        <v>21382</v>
      </c>
      <c r="Q2565" s="213" t="s">
        <v>21383</v>
      </c>
      <c r="R2565" s="213" t="s">
        <v>21384</v>
      </c>
      <c r="S2565" s="213" t="s">
        <v>21385</v>
      </c>
      <c r="T2565" s="213" t="s">
        <v>21386</v>
      </c>
      <c r="U2565" s="213" t="s">
        <v>68831</v>
      </c>
    </row>
    <row r="2566" spans="1:21" x14ac:dyDescent="0.25">
      <c r="A2566" s="213" t="s">
        <v>327</v>
      </c>
      <c r="D2566" s="213" t="s">
        <v>21387</v>
      </c>
      <c r="E2566" s="213" t="s">
        <v>21388</v>
      </c>
      <c r="K2566" s="213" t="s">
        <v>68388</v>
      </c>
      <c r="L2566" s="213" t="s">
        <v>68536</v>
      </c>
      <c r="M2566" s="213" t="s">
        <v>68684</v>
      </c>
      <c r="N2566" s="213" t="s">
        <v>21389</v>
      </c>
      <c r="O2566" s="213" t="s">
        <v>21390</v>
      </c>
      <c r="P2566" s="213" t="s">
        <v>21391</v>
      </c>
      <c r="Q2566" s="213" t="s">
        <v>21392</v>
      </c>
      <c r="R2566" s="213" t="s">
        <v>21393</v>
      </c>
      <c r="S2566" s="213" t="s">
        <v>21394</v>
      </c>
      <c r="T2566" s="213" t="s">
        <v>21395</v>
      </c>
      <c r="U2566" s="213" t="s">
        <v>68832</v>
      </c>
    </row>
    <row r="2567" spans="1:21" x14ac:dyDescent="0.25">
      <c r="A2567" s="213" t="s">
        <v>327</v>
      </c>
      <c r="D2567" s="213" t="s">
        <v>21396</v>
      </c>
      <c r="E2567" s="213" t="s">
        <v>21397</v>
      </c>
      <c r="K2567" s="213" t="s">
        <v>68389</v>
      </c>
      <c r="L2567" s="213" t="s">
        <v>68537</v>
      </c>
      <c r="M2567" s="213" t="s">
        <v>68685</v>
      </c>
      <c r="N2567" s="213" t="s">
        <v>21398</v>
      </c>
      <c r="O2567" s="213" t="s">
        <v>21399</v>
      </c>
      <c r="P2567" s="213" t="s">
        <v>21400</v>
      </c>
      <c r="Q2567" s="213" t="s">
        <v>21401</v>
      </c>
      <c r="R2567" s="213" t="s">
        <v>21402</v>
      </c>
      <c r="S2567" s="213" t="s">
        <v>21403</v>
      </c>
      <c r="T2567" s="213" t="s">
        <v>21404</v>
      </c>
      <c r="U2567" s="213" t="s">
        <v>68833</v>
      </c>
    </row>
    <row r="2568" spans="1:21" x14ac:dyDescent="0.25">
      <c r="A2568" s="213" t="s">
        <v>327</v>
      </c>
      <c r="D2568" s="213" t="s">
        <v>21405</v>
      </c>
      <c r="E2568" s="213" t="s">
        <v>21406</v>
      </c>
      <c r="K2568" s="213" t="s">
        <v>68390</v>
      </c>
      <c r="L2568" s="213" t="s">
        <v>68538</v>
      </c>
      <c r="M2568" s="213" t="s">
        <v>68686</v>
      </c>
      <c r="N2568" s="213" t="s">
        <v>21407</v>
      </c>
      <c r="O2568" s="213" t="s">
        <v>21408</v>
      </c>
      <c r="P2568" s="213" t="s">
        <v>21409</v>
      </c>
      <c r="Q2568" s="213" t="s">
        <v>21410</v>
      </c>
      <c r="R2568" s="213" t="s">
        <v>21411</v>
      </c>
      <c r="S2568" s="213" t="s">
        <v>21412</v>
      </c>
      <c r="T2568" s="213" t="s">
        <v>21413</v>
      </c>
      <c r="U2568" s="213" t="s">
        <v>68834</v>
      </c>
    </row>
    <row r="2569" spans="1:21" x14ac:dyDescent="0.25">
      <c r="A2569" s="213" t="s">
        <v>327</v>
      </c>
      <c r="D2569" s="213" t="s">
        <v>21414</v>
      </c>
      <c r="E2569" s="213" t="s">
        <v>21415</v>
      </c>
      <c r="K2569" s="213" t="s">
        <v>68391</v>
      </c>
      <c r="L2569" s="213" t="s">
        <v>68539</v>
      </c>
      <c r="M2569" s="213" t="s">
        <v>68687</v>
      </c>
      <c r="N2569" s="213" t="s">
        <v>21416</v>
      </c>
      <c r="O2569" s="213" t="s">
        <v>21417</v>
      </c>
      <c r="P2569" s="213" t="s">
        <v>21418</v>
      </c>
      <c r="Q2569" s="213" t="s">
        <v>21419</v>
      </c>
      <c r="R2569" s="213" t="s">
        <v>21420</v>
      </c>
      <c r="S2569" s="213" t="s">
        <v>21421</v>
      </c>
      <c r="T2569" s="213" t="s">
        <v>21422</v>
      </c>
      <c r="U2569" s="213" t="s">
        <v>68835</v>
      </c>
    </row>
    <row r="2570" spans="1:21" x14ac:dyDescent="0.25">
      <c r="A2570" s="213" t="s">
        <v>327</v>
      </c>
      <c r="D2570" s="213" t="s">
        <v>21423</v>
      </c>
      <c r="E2570" s="213" t="s">
        <v>21424</v>
      </c>
      <c r="K2570" s="213" t="s">
        <v>68392</v>
      </c>
      <c r="L2570" s="213" t="s">
        <v>68540</v>
      </c>
      <c r="M2570" s="213" t="s">
        <v>68688</v>
      </c>
      <c r="N2570" s="213" t="s">
        <v>21425</v>
      </c>
      <c r="O2570" s="213" t="s">
        <v>21426</v>
      </c>
      <c r="P2570" s="213" t="s">
        <v>21427</v>
      </c>
      <c r="Q2570" s="213" t="s">
        <v>21428</v>
      </c>
      <c r="R2570" s="213" t="s">
        <v>21429</v>
      </c>
      <c r="S2570" s="213" t="s">
        <v>21430</v>
      </c>
      <c r="T2570" s="213" t="s">
        <v>21431</v>
      </c>
      <c r="U2570" s="213" t="s">
        <v>68836</v>
      </c>
    </row>
    <row r="2571" spans="1:21" x14ac:dyDescent="0.25">
      <c r="A2571" s="213" t="s">
        <v>327</v>
      </c>
      <c r="D2571" s="213" t="s">
        <v>21432</v>
      </c>
      <c r="E2571" s="213" t="s">
        <v>21433</v>
      </c>
      <c r="K2571" s="213" t="s">
        <v>68393</v>
      </c>
      <c r="L2571" s="213" t="s">
        <v>68541</v>
      </c>
      <c r="M2571" s="213" t="s">
        <v>68689</v>
      </c>
      <c r="N2571" s="213" t="s">
        <v>21434</v>
      </c>
      <c r="O2571" s="213" t="s">
        <v>21435</v>
      </c>
      <c r="P2571" s="213" t="s">
        <v>21436</v>
      </c>
      <c r="Q2571" s="213" t="s">
        <v>21437</v>
      </c>
      <c r="R2571" s="213" t="s">
        <v>21438</v>
      </c>
      <c r="S2571" s="213" t="s">
        <v>21439</v>
      </c>
      <c r="T2571" s="213" t="s">
        <v>21440</v>
      </c>
      <c r="U2571" s="213" t="s">
        <v>68837</v>
      </c>
    </row>
    <row r="2572" spans="1:21" x14ac:dyDescent="0.25">
      <c r="A2572" s="213" t="s">
        <v>327</v>
      </c>
      <c r="D2572" s="213" t="s">
        <v>21441</v>
      </c>
      <c r="E2572" s="213" t="s">
        <v>21442</v>
      </c>
      <c r="K2572" s="213" t="s">
        <v>68394</v>
      </c>
      <c r="L2572" s="213" t="s">
        <v>68542</v>
      </c>
      <c r="M2572" s="213" t="s">
        <v>68690</v>
      </c>
      <c r="N2572" s="213" t="s">
        <v>21443</v>
      </c>
      <c r="O2572" s="213" t="s">
        <v>21444</v>
      </c>
      <c r="P2572" s="213" t="s">
        <v>21445</v>
      </c>
      <c r="Q2572" s="213" t="s">
        <v>21446</v>
      </c>
      <c r="R2572" s="213" t="s">
        <v>21447</v>
      </c>
      <c r="S2572" s="213" t="s">
        <v>21448</v>
      </c>
      <c r="T2572" s="213" t="s">
        <v>21449</v>
      </c>
      <c r="U2572" s="213" t="s">
        <v>68838</v>
      </c>
    </row>
    <row r="2573" spans="1:21" x14ac:dyDescent="0.25">
      <c r="A2573" s="213" t="s">
        <v>327</v>
      </c>
      <c r="D2573" s="213" t="s">
        <v>21450</v>
      </c>
      <c r="E2573" s="213" t="s">
        <v>21451</v>
      </c>
      <c r="K2573" s="213" t="s">
        <v>68395</v>
      </c>
      <c r="L2573" s="213" t="s">
        <v>68543</v>
      </c>
      <c r="M2573" s="213" t="s">
        <v>68691</v>
      </c>
      <c r="N2573" s="213" t="s">
        <v>21452</v>
      </c>
      <c r="O2573" s="213" t="s">
        <v>21453</v>
      </c>
      <c r="P2573" s="213" t="s">
        <v>21454</v>
      </c>
      <c r="Q2573" s="213" t="s">
        <v>21455</v>
      </c>
      <c r="R2573" s="213" t="s">
        <v>21456</v>
      </c>
      <c r="S2573" s="213" t="s">
        <v>21457</v>
      </c>
      <c r="T2573" s="213" t="s">
        <v>21458</v>
      </c>
      <c r="U2573" s="213" t="s">
        <v>68839</v>
      </c>
    </row>
    <row r="2574" spans="1:21" x14ac:dyDescent="0.25">
      <c r="A2574" s="213" t="s">
        <v>327</v>
      </c>
      <c r="D2574" s="213" t="s">
        <v>21459</v>
      </c>
      <c r="E2574" s="213" t="s">
        <v>21460</v>
      </c>
      <c r="K2574" s="213" t="s">
        <v>68396</v>
      </c>
      <c r="L2574" s="213" t="s">
        <v>68544</v>
      </c>
      <c r="M2574" s="213" t="s">
        <v>68692</v>
      </c>
      <c r="N2574" s="213" t="s">
        <v>21461</v>
      </c>
      <c r="O2574" s="213" t="s">
        <v>21462</v>
      </c>
      <c r="P2574" s="213" t="s">
        <v>21463</v>
      </c>
      <c r="Q2574" s="213" t="s">
        <v>21464</v>
      </c>
      <c r="R2574" s="213" t="s">
        <v>21465</v>
      </c>
      <c r="S2574" s="213" t="s">
        <v>21466</v>
      </c>
      <c r="T2574" s="213" t="s">
        <v>21467</v>
      </c>
      <c r="U2574" s="213" t="s">
        <v>68840</v>
      </c>
    </row>
    <row r="2575" spans="1:21" x14ac:dyDescent="0.25">
      <c r="A2575" s="213" t="s">
        <v>327</v>
      </c>
      <c r="D2575" s="213" t="s">
        <v>21468</v>
      </c>
      <c r="E2575" s="213" t="s">
        <v>21469</v>
      </c>
      <c r="K2575" s="213" t="s">
        <v>68397</v>
      </c>
      <c r="L2575" s="213" t="s">
        <v>68545</v>
      </c>
      <c r="M2575" s="213" t="s">
        <v>68693</v>
      </c>
      <c r="N2575" s="213" t="s">
        <v>21470</v>
      </c>
      <c r="O2575" s="213" t="s">
        <v>21471</v>
      </c>
      <c r="P2575" s="213" t="s">
        <v>21472</v>
      </c>
      <c r="Q2575" s="213" t="s">
        <v>21473</v>
      </c>
      <c r="R2575" s="213" t="s">
        <v>21474</v>
      </c>
      <c r="S2575" s="213" t="s">
        <v>21475</v>
      </c>
      <c r="T2575" s="213" t="s">
        <v>21476</v>
      </c>
      <c r="U2575" s="213" t="s">
        <v>68841</v>
      </c>
    </row>
    <row r="2576" spans="1:21" x14ac:dyDescent="0.25">
      <c r="A2576" s="213" t="s">
        <v>327</v>
      </c>
      <c r="D2576" s="213" t="s">
        <v>21477</v>
      </c>
      <c r="E2576" s="213" t="s">
        <v>21478</v>
      </c>
      <c r="K2576" s="213" t="s">
        <v>68398</v>
      </c>
      <c r="L2576" s="213" t="s">
        <v>68546</v>
      </c>
      <c r="M2576" s="213" t="s">
        <v>68694</v>
      </c>
      <c r="N2576" s="213" t="s">
        <v>21479</v>
      </c>
      <c r="O2576" s="213" t="s">
        <v>21480</v>
      </c>
      <c r="P2576" s="213" t="s">
        <v>21481</v>
      </c>
      <c r="Q2576" s="213" t="s">
        <v>21482</v>
      </c>
      <c r="R2576" s="213" t="s">
        <v>21483</v>
      </c>
      <c r="S2576" s="213" t="s">
        <v>21484</v>
      </c>
      <c r="T2576" s="213" t="s">
        <v>21485</v>
      </c>
      <c r="U2576" s="213" t="s">
        <v>68842</v>
      </c>
    </row>
    <row r="2577" spans="1:21" x14ac:dyDescent="0.25">
      <c r="A2577" s="213" t="s">
        <v>327</v>
      </c>
      <c r="D2577" s="213" t="s">
        <v>21486</v>
      </c>
      <c r="E2577" s="213" t="s">
        <v>21487</v>
      </c>
      <c r="K2577" s="213" t="s">
        <v>68399</v>
      </c>
      <c r="L2577" s="213" t="s">
        <v>68547</v>
      </c>
      <c r="M2577" s="213" t="s">
        <v>68695</v>
      </c>
      <c r="N2577" s="213" t="s">
        <v>21488</v>
      </c>
      <c r="O2577" s="213" t="s">
        <v>21489</v>
      </c>
      <c r="P2577" s="213" t="s">
        <v>21490</v>
      </c>
      <c r="Q2577" s="213" t="s">
        <v>21491</v>
      </c>
      <c r="R2577" s="213" t="s">
        <v>21492</v>
      </c>
      <c r="S2577" s="213" t="s">
        <v>21493</v>
      </c>
      <c r="T2577" s="213" t="s">
        <v>21494</v>
      </c>
      <c r="U2577" s="213" t="s">
        <v>68843</v>
      </c>
    </row>
    <row r="2578" spans="1:21" x14ac:dyDescent="0.25">
      <c r="A2578" s="213" t="s">
        <v>327</v>
      </c>
      <c r="D2578" s="213" t="s">
        <v>21495</v>
      </c>
      <c r="E2578" s="213" t="s">
        <v>21496</v>
      </c>
      <c r="K2578" s="213" t="s">
        <v>68400</v>
      </c>
      <c r="L2578" s="213" t="s">
        <v>68548</v>
      </c>
      <c r="M2578" s="213" t="s">
        <v>68696</v>
      </c>
      <c r="N2578" s="213" t="s">
        <v>21497</v>
      </c>
      <c r="O2578" s="213" t="s">
        <v>21498</v>
      </c>
      <c r="P2578" s="213" t="s">
        <v>21499</v>
      </c>
      <c r="Q2578" s="213" t="s">
        <v>21500</v>
      </c>
      <c r="R2578" s="213" t="s">
        <v>21501</v>
      </c>
      <c r="S2578" s="213" t="s">
        <v>21502</v>
      </c>
      <c r="T2578" s="213" t="s">
        <v>21503</v>
      </c>
      <c r="U2578" s="213" t="s">
        <v>68844</v>
      </c>
    </row>
    <row r="2579" spans="1:21" x14ac:dyDescent="0.25">
      <c r="A2579" s="213" t="s">
        <v>327</v>
      </c>
      <c r="D2579" s="213" t="s">
        <v>21504</v>
      </c>
      <c r="E2579" s="213" t="s">
        <v>21505</v>
      </c>
      <c r="K2579" s="213" t="s">
        <v>68401</v>
      </c>
      <c r="L2579" s="213" t="s">
        <v>68549</v>
      </c>
      <c r="M2579" s="213" t="s">
        <v>68697</v>
      </c>
      <c r="N2579" s="213" t="s">
        <v>21506</v>
      </c>
      <c r="O2579" s="213" t="s">
        <v>21507</v>
      </c>
      <c r="P2579" s="213" t="s">
        <v>21508</v>
      </c>
      <c r="Q2579" s="213" t="s">
        <v>21509</v>
      </c>
      <c r="R2579" s="213" t="s">
        <v>21510</v>
      </c>
      <c r="S2579" s="213" t="s">
        <v>21511</v>
      </c>
      <c r="T2579" s="213" t="s">
        <v>21512</v>
      </c>
      <c r="U2579" s="213" t="s">
        <v>68845</v>
      </c>
    </row>
    <row r="2580" spans="1:21" x14ac:dyDescent="0.25">
      <c r="A2580" s="213" t="s">
        <v>327</v>
      </c>
      <c r="D2580" s="213" t="s">
        <v>21513</v>
      </c>
      <c r="E2580" s="213" t="s">
        <v>21514</v>
      </c>
      <c r="K2580" s="213" t="s">
        <v>68402</v>
      </c>
      <c r="L2580" s="213" t="s">
        <v>68550</v>
      </c>
      <c r="M2580" s="213" t="s">
        <v>68698</v>
      </c>
      <c r="N2580" s="213" t="s">
        <v>21515</v>
      </c>
      <c r="O2580" s="213" t="s">
        <v>21516</v>
      </c>
      <c r="P2580" s="213" t="s">
        <v>21517</v>
      </c>
      <c r="Q2580" s="213" t="s">
        <v>21518</v>
      </c>
      <c r="R2580" s="213" t="s">
        <v>21519</v>
      </c>
      <c r="S2580" s="213" t="s">
        <v>21520</v>
      </c>
      <c r="T2580" s="213" t="s">
        <v>21521</v>
      </c>
      <c r="U2580" s="213" t="s">
        <v>68846</v>
      </c>
    </row>
    <row r="2581" spans="1:21" x14ac:dyDescent="0.25">
      <c r="A2581" s="213" t="s">
        <v>327</v>
      </c>
      <c r="D2581" s="213" t="s">
        <v>21522</v>
      </c>
      <c r="E2581" s="213" t="s">
        <v>21523</v>
      </c>
      <c r="K2581" s="213" t="s">
        <v>68403</v>
      </c>
      <c r="L2581" s="213" t="s">
        <v>68551</v>
      </c>
      <c r="M2581" s="213" t="s">
        <v>68699</v>
      </c>
      <c r="N2581" s="213" t="s">
        <v>21524</v>
      </c>
      <c r="O2581" s="213" t="s">
        <v>21525</v>
      </c>
      <c r="P2581" s="213" t="s">
        <v>21526</v>
      </c>
      <c r="Q2581" s="213" t="s">
        <v>21527</v>
      </c>
      <c r="R2581" s="213" t="s">
        <v>21528</v>
      </c>
      <c r="S2581" s="213" t="s">
        <v>21529</v>
      </c>
      <c r="T2581" s="213" t="s">
        <v>21530</v>
      </c>
      <c r="U2581" s="213" t="s">
        <v>68847</v>
      </c>
    </row>
    <row r="2582" spans="1:21" x14ac:dyDescent="0.25">
      <c r="A2582" s="213" t="s">
        <v>327</v>
      </c>
      <c r="D2582" s="213" t="s">
        <v>21531</v>
      </c>
      <c r="E2582" s="213" t="s">
        <v>21532</v>
      </c>
      <c r="K2582" s="213" t="s">
        <v>68404</v>
      </c>
      <c r="L2582" s="213" t="s">
        <v>68552</v>
      </c>
      <c r="M2582" s="213" t="s">
        <v>68700</v>
      </c>
      <c r="N2582" s="213" t="s">
        <v>21533</v>
      </c>
      <c r="O2582" s="213" t="s">
        <v>21534</v>
      </c>
      <c r="P2582" s="213" t="s">
        <v>21535</v>
      </c>
      <c r="Q2582" s="213" t="s">
        <v>21536</v>
      </c>
      <c r="R2582" s="213" t="s">
        <v>21537</v>
      </c>
      <c r="S2582" s="213" t="s">
        <v>21538</v>
      </c>
      <c r="T2582" s="213" t="s">
        <v>21539</v>
      </c>
      <c r="U2582" s="213" t="s">
        <v>68848</v>
      </c>
    </row>
    <row r="2583" spans="1:21" x14ac:dyDescent="0.25">
      <c r="A2583" s="213" t="s">
        <v>327</v>
      </c>
      <c r="D2583" s="213" t="s">
        <v>21540</v>
      </c>
      <c r="E2583" s="213" t="s">
        <v>21541</v>
      </c>
      <c r="K2583" s="213" t="s">
        <v>68405</v>
      </c>
      <c r="L2583" s="213" t="s">
        <v>68553</v>
      </c>
      <c r="M2583" s="213" t="s">
        <v>68701</v>
      </c>
      <c r="N2583" s="213" t="s">
        <v>21542</v>
      </c>
      <c r="O2583" s="213" t="s">
        <v>21543</v>
      </c>
      <c r="P2583" s="213" t="s">
        <v>21544</v>
      </c>
      <c r="Q2583" s="213" t="s">
        <v>21545</v>
      </c>
      <c r="R2583" s="213" t="s">
        <v>21546</v>
      </c>
      <c r="S2583" s="213" t="s">
        <v>21547</v>
      </c>
      <c r="T2583" s="213" t="s">
        <v>21548</v>
      </c>
      <c r="U2583" s="213" t="s">
        <v>68849</v>
      </c>
    </row>
    <row r="2584" spans="1:21" x14ac:dyDescent="0.25">
      <c r="A2584" s="213" t="s">
        <v>327</v>
      </c>
      <c r="D2584" s="213" t="s">
        <v>21549</v>
      </c>
      <c r="E2584" s="213" t="s">
        <v>21550</v>
      </c>
      <c r="K2584" s="213" t="s">
        <v>68406</v>
      </c>
      <c r="L2584" s="213" t="s">
        <v>68554</v>
      </c>
      <c r="M2584" s="213" t="s">
        <v>68702</v>
      </c>
      <c r="N2584" s="213" t="s">
        <v>21551</v>
      </c>
      <c r="O2584" s="213" t="s">
        <v>21552</v>
      </c>
      <c r="P2584" s="213" t="s">
        <v>21553</v>
      </c>
      <c r="Q2584" s="213" t="s">
        <v>21554</v>
      </c>
      <c r="R2584" s="213" t="s">
        <v>21555</v>
      </c>
      <c r="S2584" s="213" t="s">
        <v>21556</v>
      </c>
      <c r="T2584" s="213" t="s">
        <v>21557</v>
      </c>
      <c r="U2584" s="213" t="s">
        <v>68850</v>
      </c>
    </row>
    <row r="2585" spans="1:21" x14ac:dyDescent="0.25">
      <c r="A2585" s="213" t="s">
        <v>327</v>
      </c>
      <c r="D2585" s="213" t="s">
        <v>21558</v>
      </c>
      <c r="E2585" s="213" t="s">
        <v>21559</v>
      </c>
      <c r="K2585" s="213" t="s">
        <v>68407</v>
      </c>
      <c r="L2585" s="213" t="s">
        <v>68555</v>
      </c>
      <c r="M2585" s="213" t="s">
        <v>68703</v>
      </c>
      <c r="N2585" s="213" t="s">
        <v>21560</v>
      </c>
      <c r="O2585" s="213" t="s">
        <v>21561</v>
      </c>
      <c r="P2585" s="213" t="s">
        <v>21562</v>
      </c>
      <c r="Q2585" s="213" t="s">
        <v>21563</v>
      </c>
      <c r="R2585" s="213" t="s">
        <v>21564</v>
      </c>
      <c r="S2585" s="213" t="s">
        <v>21565</v>
      </c>
      <c r="T2585" s="213" t="s">
        <v>21566</v>
      </c>
      <c r="U2585" s="213" t="s">
        <v>68851</v>
      </c>
    </row>
    <row r="2586" spans="1:21" x14ac:dyDescent="0.25">
      <c r="A2586" s="213" t="s">
        <v>327</v>
      </c>
      <c r="D2586" s="213" t="s">
        <v>21567</v>
      </c>
      <c r="E2586" s="213" t="s">
        <v>21568</v>
      </c>
      <c r="K2586" s="213" t="s">
        <v>68408</v>
      </c>
      <c r="L2586" s="213" t="s">
        <v>68556</v>
      </c>
      <c r="M2586" s="213" t="s">
        <v>68704</v>
      </c>
      <c r="N2586" s="213" t="s">
        <v>21569</v>
      </c>
      <c r="O2586" s="213" t="s">
        <v>21570</v>
      </c>
      <c r="P2586" s="213" t="s">
        <v>21571</v>
      </c>
      <c r="Q2586" s="213" t="s">
        <v>21572</v>
      </c>
      <c r="R2586" s="213" t="s">
        <v>21573</v>
      </c>
      <c r="S2586" s="213" t="s">
        <v>21574</v>
      </c>
      <c r="T2586" s="213" t="s">
        <v>21575</v>
      </c>
      <c r="U2586" s="213" t="s">
        <v>68852</v>
      </c>
    </row>
    <row r="2587" spans="1:21" x14ac:dyDescent="0.25">
      <c r="A2587" s="213" t="s">
        <v>327</v>
      </c>
      <c r="D2587" s="213" t="s">
        <v>21576</v>
      </c>
      <c r="E2587" s="213" t="s">
        <v>21577</v>
      </c>
      <c r="K2587" s="213" t="s">
        <v>68409</v>
      </c>
      <c r="L2587" s="213" t="s">
        <v>68557</v>
      </c>
      <c r="M2587" s="213" t="s">
        <v>68705</v>
      </c>
      <c r="N2587" s="213" t="s">
        <v>21578</v>
      </c>
      <c r="O2587" s="213" t="s">
        <v>21579</v>
      </c>
      <c r="P2587" s="213" t="s">
        <v>21580</v>
      </c>
      <c r="Q2587" s="213" t="s">
        <v>21581</v>
      </c>
      <c r="R2587" s="213" t="s">
        <v>21582</v>
      </c>
      <c r="S2587" s="213" t="s">
        <v>21583</v>
      </c>
      <c r="T2587" s="213" t="s">
        <v>21584</v>
      </c>
      <c r="U2587" s="213" t="s">
        <v>68853</v>
      </c>
    </row>
    <row r="2588" spans="1:21" x14ac:dyDescent="0.25">
      <c r="A2588" s="213" t="s">
        <v>327</v>
      </c>
      <c r="D2588" s="213" t="s">
        <v>21585</v>
      </c>
      <c r="E2588" s="213" t="s">
        <v>21586</v>
      </c>
      <c r="K2588" s="213" t="s">
        <v>68410</v>
      </c>
      <c r="L2588" s="213" t="s">
        <v>68558</v>
      </c>
      <c r="M2588" s="213" t="s">
        <v>68706</v>
      </c>
      <c r="N2588" s="213" t="s">
        <v>21587</v>
      </c>
      <c r="O2588" s="213" t="s">
        <v>21588</v>
      </c>
      <c r="P2588" s="213" t="s">
        <v>21589</v>
      </c>
      <c r="Q2588" s="213" t="s">
        <v>21590</v>
      </c>
      <c r="R2588" s="213" t="s">
        <v>21591</v>
      </c>
      <c r="S2588" s="213" t="s">
        <v>21592</v>
      </c>
      <c r="T2588" s="213" t="s">
        <v>21593</v>
      </c>
      <c r="U2588" s="213" t="s">
        <v>68854</v>
      </c>
    </row>
    <row r="2589" spans="1:21" x14ac:dyDescent="0.25">
      <c r="A2589" s="213" t="s">
        <v>327</v>
      </c>
      <c r="D2589" s="213" t="s">
        <v>21594</v>
      </c>
      <c r="E2589" s="213" t="s">
        <v>21595</v>
      </c>
      <c r="K2589" s="213" t="s">
        <v>68411</v>
      </c>
      <c r="L2589" s="213" t="s">
        <v>68559</v>
      </c>
      <c r="M2589" s="213" t="s">
        <v>68707</v>
      </c>
      <c r="N2589" s="213" t="s">
        <v>21596</v>
      </c>
      <c r="O2589" s="213" t="s">
        <v>21597</v>
      </c>
      <c r="P2589" s="213" t="s">
        <v>21598</v>
      </c>
      <c r="Q2589" s="213" t="s">
        <v>21599</v>
      </c>
      <c r="R2589" s="213" t="s">
        <v>21600</v>
      </c>
      <c r="S2589" s="213" t="s">
        <v>21601</v>
      </c>
      <c r="T2589" s="213" t="s">
        <v>21602</v>
      </c>
      <c r="U2589" s="213" t="s">
        <v>68855</v>
      </c>
    </row>
    <row r="2590" spans="1:21" x14ac:dyDescent="0.25">
      <c r="A2590" s="213" t="s">
        <v>327</v>
      </c>
      <c r="D2590" s="213" t="s">
        <v>21603</v>
      </c>
      <c r="E2590" s="213" t="s">
        <v>21604</v>
      </c>
      <c r="K2590" s="213" t="s">
        <v>68412</v>
      </c>
      <c r="L2590" s="213" t="s">
        <v>68560</v>
      </c>
      <c r="M2590" s="213" t="s">
        <v>68708</v>
      </c>
      <c r="N2590" s="213" t="s">
        <v>21605</v>
      </c>
      <c r="O2590" s="213" t="s">
        <v>21606</v>
      </c>
      <c r="P2590" s="213" t="s">
        <v>21607</v>
      </c>
      <c r="Q2590" s="213" t="s">
        <v>21608</v>
      </c>
      <c r="R2590" s="213" t="s">
        <v>21609</v>
      </c>
      <c r="S2590" s="213" t="s">
        <v>21610</v>
      </c>
      <c r="T2590" s="213" t="s">
        <v>21611</v>
      </c>
      <c r="U2590" s="213" t="s">
        <v>68856</v>
      </c>
    </row>
    <row r="2591" spans="1:21" x14ac:dyDescent="0.25">
      <c r="A2591" s="213" t="s">
        <v>327</v>
      </c>
      <c r="D2591" s="213" t="s">
        <v>21612</v>
      </c>
      <c r="E2591" s="213" t="s">
        <v>21613</v>
      </c>
      <c r="K2591" s="213" t="s">
        <v>68413</v>
      </c>
      <c r="L2591" s="213" t="s">
        <v>68561</v>
      </c>
      <c r="M2591" s="213" t="s">
        <v>68709</v>
      </c>
      <c r="N2591" s="213" t="s">
        <v>21614</v>
      </c>
      <c r="O2591" s="213" t="s">
        <v>21615</v>
      </c>
      <c r="P2591" s="213" t="s">
        <v>21616</v>
      </c>
      <c r="Q2591" s="213" t="s">
        <v>21617</v>
      </c>
      <c r="R2591" s="213" t="s">
        <v>21618</v>
      </c>
      <c r="S2591" s="213" t="s">
        <v>21619</v>
      </c>
      <c r="T2591" s="213" t="s">
        <v>21620</v>
      </c>
      <c r="U2591" s="213" t="s">
        <v>68857</v>
      </c>
    </row>
    <row r="2592" spans="1:21" x14ac:dyDescent="0.25">
      <c r="A2592" s="213" t="s">
        <v>327</v>
      </c>
      <c r="D2592" s="213" t="s">
        <v>21621</v>
      </c>
      <c r="E2592" s="213" t="s">
        <v>21622</v>
      </c>
      <c r="K2592" s="213" t="s">
        <v>68414</v>
      </c>
      <c r="L2592" s="213" t="s">
        <v>68562</v>
      </c>
      <c r="M2592" s="213" t="s">
        <v>68710</v>
      </c>
      <c r="N2592" s="213" t="s">
        <v>21623</v>
      </c>
      <c r="O2592" s="213" t="s">
        <v>21624</v>
      </c>
      <c r="P2592" s="213" t="s">
        <v>21625</v>
      </c>
      <c r="Q2592" s="213" t="s">
        <v>21626</v>
      </c>
      <c r="R2592" s="213" t="s">
        <v>21627</v>
      </c>
      <c r="S2592" s="213" t="s">
        <v>21628</v>
      </c>
      <c r="T2592" s="213" t="s">
        <v>21629</v>
      </c>
      <c r="U2592" s="213" t="s">
        <v>68858</v>
      </c>
    </row>
    <row r="2593" spans="1:21" x14ac:dyDescent="0.25">
      <c r="A2593" s="213" t="s">
        <v>327</v>
      </c>
      <c r="D2593" s="213" t="s">
        <v>21630</v>
      </c>
      <c r="E2593" s="213" t="s">
        <v>21631</v>
      </c>
      <c r="K2593" s="213" t="s">
        <v>68415</v>
      </c>
      <c r="L2593" s="213" t="s">
        <v>68563</v>
      </c>
      <c r="M2593" s="213" t="s">
        <v>68711</v>
      </c>
      <c r="N2593" s="213" t="s">
        <v>21632</v>
      </c>
      <c r="O2593" s="213" t="s">
        <v>21633</v>
      </c>
      <c r="P2593" s="213" t="s">
        <v>21634</v>
      </c>
      <c r="Q2593" s="213" t="s">
        <v>21635</v>
      </c>
      <c r="R2593" s="213" t="s">
        <v>21636</v>
      </c>
      <c r="S2593" s="213" t="s">
        <v>21637</v>
      </c>
      <c r="T2593" s="213" t="s">
        <v>21638</v>
      </c>
      <c r="U2593" s="213" t="s">
        <v>68859</v>
      </c>
    </row>
    <row r="2594" spans="1:21" x14ac:dyDescent="0.25">
      <c r="A2594" s="213" t="s">
        <v>327</v>
      </c>
      <c r="D2594" s="213" t="s">
        <v>21639</v>
      </c>
      <c r="E2594" s="213" t="s">
        <v>21640</v>
      </c>
      <c r="K2594" s="213" t="s">
        <v>68416</v>
      </c>
      <c r="L2594" s="213" t="s">
        <v>68564</v>
      </c>
      <c r="M2594" s="213" t="s">
        <v>68712</v>
      </c>
      <c r="N2594" s="213" t="s">
        <v>21641</v>
      </c>
      <c r="O2594" s="213" t="s">
        <v>21642</v>
      </c>
      <c r="P2594" s="213" t="s">
        <v>21643</v>
      </c>
      <c r="Q2594" s="213" t="s">
        <v>21644</v>
      </c>
      <c r="R2594" s="213" t="s">
        <v>21645</v>
      </c>
      <c r="S2594" s="213" t="s">
        <v>21646</v>
      </c>
      <c r="T2594" s="213" t="s">
        <v>21647</v>
      </c>
      <c r="U2594" s="213" t="s">
        <v>68860</v>
      </c>
    </row>
    <row r="2595" spans="1:21" x14ac:dyDescent="0.25">
      <c r="A2595" s="213" t="s">
        <v>327</v>
      </c>
      <c r="D2595" s="213" t="s">
        <v>21648</v>
      </c>
      <c r="E2595" s="213" t="s">
        <v>21649</v>
      </c>
      <c r="K2595" s="213" t="s">
        <v>68417</v>
      </c>
      <c r="L2595" s="213" t="s">
        <v>68565</v>
      </c>
      <c r="M2595" s="213" t="s">
        <v>68713</v>
      </c>
      <c r="N2595" s="213" t="s">
        <v>21650</v>
      </c>
      <c r="O2595" s="213" t="s">
        <v>21651</v>
      </c>
      <c r="P2595" s="213" t="s">
        <v>21652</v>
      </c>
      <c r="Q2595" s="213" t="s">
        <v>21653</v>
      </c>
      <c r="R2595" s="213" t="s">
        <v>21654</v>
      </c>
      <c r="S2595" s="213" t="s">
        <v>21655</v>
      </c>
      <c r="T2595" s="213" t="s">
        <v>21656</v>
      </c>
      <c r="U2595" s="213" t="s">
        <v>68861</v>
      </c>
    </row>
    <row r="2596" spans="1:21" x14ac:dyDescent="0.25">
      <c r="A2596" s="213" t="s">
        <v>327</v>
      </c>
      <c r="D2596" s="213" t="s">
        <v>21657</v>
      </c>
      <c r="E2596" s="213" t="s">
        <v>21658</v>
      </c>
      <c r="K2596" s="213" t="s">
        <v>68418</v>
      </c>
      <c r="L2596" s="213" t="s">
        <v>68566</v>
      </c>
      <c r="M2596" s="213" t="s">
        <v>68714</v>
      </c>
      <c r="N2596" s="213" t="s">
        <v>21659</v>
      </c>
      <c r="O2596" s="213" t="s">
        <v>21660</v>
      </c>
      <c r="P2596" s="213" t="s">
        <v>21661</v>
      </c>
      <c r="Q2596" s="213" t="s">
        <v>21662</v>
      </c>
      <c r="R2596" s="213" t="s">
        <v>21663</v>
      </c>
      <c r="S2596" s="213" t="s">
        <v>21664</v>
      </c>
      <c r="T2596" s="213" t="s">
        <v>21665</v>
      </c>
      <c r="U2596" s="213" t="s">
        <v>68862</v>
      </c>
    </row>
    <row r="2597" spans="1:21" x14ac:dyDescent="0.25">
      <c r="A2597" s="213" t="s">
        <v>327</v>
      </c>
      <c r="D2597" s="213" t="s">
        <v>21666</v>
      </c>
      <c r="E2597" s="213" t="s">
        <v>21667</v>
      </c>
      <c r="K2597" s="213" t="s">
        <v>68419</v>
      </c>
      <c r="L2597" s="213" t="s">
        <v>68567</v>
      </c>
      <c r="M2597" s="213" t="s">
        <v>68715</v>
      </c>
      <c r="N2597" s="213" t="s">
        <v>21668</v>
      </c>
      <c r="O2597" s="213" t="s">
        <v>21669</v>
      </c>
      <c r="P2597" s="213" t="s">
        <v>21670</v>
      </c>
      <c r="Q2597" s="213" t="s">
        <v>21671</v>
      </c>
      <c r="R2597" s="213" t="s">
        <v>21672</v>
      </c>
      <c r="S2597" s="213" t="s">
        <v>21673</v>
      </c>
      <c r="T2597" s="213" t="s">
        <v>21674</v>
      </c>
      <c r="U2597" s="213" t="s">
        <v>68863</v>
      </c>
    </row>
    <row r="2598" spans="1:21" x14ac:dyDescent="0.25">
      <c r="A2598" s="213" t="s">
        <v>327</v>
      </c>
      <c r="D2598" s="213" t="s">
        <v>21675</v>
      </c>
      <c r="E2598" s="213" t="s">
        <v>21676</v>
      </c>
      <c r="K2598" s="213" t="s">
        <v>68420</v>
      </c>
      <c r="L2598" s="213" t="s">
        <v>68568</v>
      </c>
      <c r="M2598" s="213" t="s">
        <v>68716</v>
      </c>
      <c r="N2598" s="213" t="s">
        <v>21677</v>
      </c>
      <c r="O2598" s="213" t="s">
        <v>21678</v>
      </c>
      <c r="P2598" s="213" t="s">
        <v>21679</v>
      </c>
      <c r="Q2598" s="213" t="s">
        <v>21680</v>
      </c>
      <c r="R2598" s="213" t="s">
        <v>21681</v>
      </c>
      <c r="S2598" s="213" t="s">
        <v>21682</v>
      </c>
      <c r="T2598" s="213" t="s">
        <v>21683</v>
      </c>
      <c r="U2598" s="213" t="s">
        <v>68864</v>
      </c>
    </row>
    <row r="2599" spans="1:21" x14ac:dyDescent="0.25">
      <c r="A2599" s="213" t="s">
        <v>327</v>
      </c>
      <c r="D2599" s="213" t="s">
        <v>21684</v>
      </c>
      <c r="E2599" s="213" t="s">
        <v>21685</v>
      </c>
      <c r="K2599" s="213" t="s">
        <v>68421</v>
      </c>
      <c r="L2599" s="213" t="s">
        <v>68569</v>
      </c>
      <c r="M2599" s="213" t="s">
        <v>68717</v>
      </c>
      <c r="N2599" s="213" t="s">
        <v>21686</v>
      </c>
      <c r="O2599" s="213" t="s">
        <v>21687</v>
      </c>
      <c r="P2599" s="213" t="s">
        <v>21688</v>
      </c>
      <c r="Q2599" s="213" t="s">
        <v>21689</v>
      </c>
      <c r="R2599" s="213" t="s">
        <v>21690</v>
      </c>
      <c r="S2599" s="213" t="s">
        <v>21691</v>
      </c>
      <c r="T2599" s="213" t="s">
        <v>21692</v>
      </c>
      <c r="U2599" s="213" t="s">
        <v>68865</v>
      </c>
    </row>
    <row r="2600" spans="1:21" x14ac:dyDescent="0.25">
      <c r="A2600" s="213" t="s">
        <v>327</v>
      </c>
      <c r="D2600" s="213" t="s">
        <v>21693</v>
      </c>
      <c r="E2600" s="213" t="s">
        <v>21694</v>
      </c>
      <c r="K2600" s="213" t="s">
        <v>68422</v>
      </c>
      <c r="L2600" s="213" t="s">
        <v>68570</v>
      </c>
      <c r="M2600" s="213" t="s">
        <v>68718</v>
      </c>
      <c r="N2600" s="213" t="s">
        <v>21695</v>
      </c>
      <c r="O2600" s="213" t="s">
        <v>21696</v>
      </c>
      <c r="P2600" s="213" t="s">
        <v>21697</v>
      </c>
      <c r="Q2600" s="213" t="s">
        <v>21698</v>
      </c>
      <c r="R2600" s="213" t="s">
        <v>21699</v>
      </c>
      <c r="S2600" s="213" t="s">
        <v>21700</v>
      </c>
      <c r="T2600" s="213" t="s">
        <v>21701</v>
      </c>
      <c r="U2600" s="213" t="s">
        <v>68866</v>
      </c>
    </row>
    <row r="2601" spans="1:21" x14ac:dyDescent="0.25">
      <c r="A2601" s="213" t="s">
        <v>327</v>
      </c>
      <c r="D2601" s="213" t="s">
        <v>21702</v>
      </c>
      <c r="E2601" s="213" t="s">
        <v>21703</v>
      </c>
      <c r="K2601" s="213" t="s">
        <v>68423</v>
      </c>
      <c r="L2601" s="213" t="s">
        <v>68571</v>
      </c>
      <c r="M2601" s="213" t="s">
        <v>68719</v>
      </c>
      <c r="N2601" s="213" t="s">
        <v>21704</v>
      </c>
      <c r="O2601" s="213" t="s">
        <v>21705</v>
      </c>
      <c r="P2601" s="213" t="s">
        <v>21706</v>
      </c>
      <c r="Q2601" s="213" t="s">
        <v>21707</v>
      </c>
      <c r="R2601" s="213" t="s">
        <v>21708</v>
      </c>
      <c r="S2601" s="213" t="s">
        <v>21709</v>
      </c>
      <c r="T2601" s="213" t="s">
        <v>21710</v>
      </c>
      <c r="U2601" s="213" t="s">
        <v>68867</v>
      </c>
    </row>
    <row r="2602" spans="1:21" x14ac:dyDescent="0.25">
      <c r="A2602" s="213" t="s">
        <v>327</v>
      </c>
      <c r="D2602" s="213" t="s">
        <v>21711</v>
      </c>
      <c r="E2602" s="213" t="s">
        <v>21712</v>
      </c>
      <c r="K2602" s="213" t="s">
        <v>68424</v>
      </c>
      <c r="L2602" s="213" t="s">
        <v>68572</v>
      </c>
      <c r="M2602" s="213" t="s">
        <v>68720</v>
      </c>
      <c r="N2602" s="213" t="s">
        <v>21713</v>
      </c>
      <c r="O2602" s="213" t="s">
        <v>21714</v>
      </c>
      <c r="P2602" s="213" t="s">
        <v>21715</v>
      </c>
      <c r="Q2602" s="213" t="s">
        <v>21716</v>
      </c>
      <c r="R2602" s="213" t="s">
        <v>21717</v>
      </c>
      <c r="S2602" s="213" t="s">
        <v>21718</v>
      </c>
      <c r="T2602" s="213" t="s">
        <v>21719</v>
      </c>
      <c r="U2602" s="213" t="s">
        <v>68868</v>
      </c>
    </row>
    <row r="2603" spans="1:21" x14ac:dyDescent="0.25">
      <c r="A2603" s="213" t="s">
        <v>327</v>
      </c>
      <c r="D2603" s="213" t="s">
        <v>21720</v>
      </c>
      <c r="E2603" s="213" t="s">
        <v>21721</v>
      </c>
      <c r="K2603" s="213" t="s">
        <v>68425</v>
      </c>
      <c r="L2603" s="213" t="s">
        <v>68573</v>
      </c>
      <c r="M2603" s="213" t="s">
        <v>68721</v>
      </c>
      <c r="N2603" s="213" t="s">
        <v>21722</v>
      </c>
      <c r="O2603" s="213" t="s">
        <v>21723</v>
      </c>
      <c r="P2603" s="213" t="s">
        <v>21724</v>
      </c>
      <c r="Q2603" s="213" t="s">
        <v>21725</v>
      </c>
      <c r="R2603" s="213" t="s">
        <v>21726</v>
      </c>
      <c r="S2603" s="213" t="s">
        <v>21727</v>
      </c>
      <c r="T2603" s="213" t="s">
        <v>21728</v>
      </c>
      <c r="U2603" s="213" t="s">
        <v>68869</v>
      </c>
    </row>
    <row r="2604" spans="1:21" x14ac:dyDescent="0.25">
      <c r="A2604" s="213" t="s">
        <v>327</v>
      </c>
      <c r="D2604" s="213" t="s">
        <v>21729</v>
      </c>
      <c r="E2604" s="213" t="s">
        <v>21730</v>
      </c>
      <c r="K2604" s="213" t="s">
        <v>68426</v>
      </c>
      <c r="L2604" s="213" t="s">
        <v>68574</v>
      </c>
      <c r="M2604" s="213" t="s">
        <v>68722</v>
      </c>
      <c r="N2604" s="213" t="s">
        <v>21731</v>
      </c>
      <c r="O2604" s="213" t="s">
        <v>21732</v>
      </c>
      <c r="P2604" s="213" t="s">
        <v>21733</v>
      </c>
      <c r="Q2604" s="213" t="s">
        <v>21734</v>
      </c>
      <c r="R2604" s="213" t="s">
        <v>21735</v>
      </c>
      <c r="S2604" s="213" t="s">
        <v>21736</v>
      </c>
      <c r="T2604" s="213" t="s">
        <v>21737</v>
      </c>
      <c r="U2604" s="213" t="s">
        <v>68870</v>
      </c>
    </row>
    <row r="2605" spans="1:21" x14ac:dyDescent="0.25">
      <c r="A2605" s="213" t="s">
        <v>327</v>
      </c>
      <c r="D2605" s="213" t="s">
        <v>21738</v>
      </c>
      <c r="E2605" s="213" t="s">
        <v>21739</v>
      </c>
      <c r="K2605" s="213" t="s">
        <v>68427</v>
      </c>
      <c r="L2605" s="213" t="s">
        <v>68575</v>
      </c>
      <c r="M2605" s="213" t="s">
        <v>68723</v>
      </c>
      <c r="N2605" s="213" t="s">
        <v>21740</v>
      </c>
      <c r="O2605" s="213" t="s">
        <v>21741</v>
      </c>
      <c r="P2605" s="213" t="s">
        <v>21742</v>
      </c>
      <c r="Q2605" s="213" t="s">
        <v>21743</v>
      </c>
      <c r="R2605" s="213" t="s">
        <v>21744</v>
      </c>
      <c r="S2605" s="213" t="s">
        <v>21745</v>
      </c>
      <c r="T2605" s="213" t="s">
        <v>21746</v>
      </c>
      <c r="U2605" s="213" t="s">
        <v>68871</v>
      </c>
    </row>
    <row r="2606" spans="1:21" x14ac:dyDescent="0.25">
      <c r="A2606" s="213" t="s">
        <v>327</v>
      </c>
      <c r="D2606" s="213" t="s">
        <v>21747</v>
      </c>
      <c r="E2606" s="213" t="s">
        <v>21748</v>
      </c>
      <c r="K2606" s="213" t="s">
        <v>68428</v>
      </c>
      <c r="L2606" s="213" t="s">
        <v>68576</v>
      </c>
      <c r="M2606" s="213" t="s">
        <v>68724</v>
      </c>
      <c r="N2606" s="213" t="s">
        <v>21749</v>
      </c>
      <c r="O2606" s="213" t="s">
        <v>21750</v>
      </c>
      <c r="P2606" s="213" t="s">
        <v>21751</v>
      </c>
      <c r="Q2606" s="213" t="s">
        <v>21752</v>
      </c>
      <c r="R2606" s="213" t="s">
        <v>21753</v>
      </c>
      <c r="S2606" s="213" t="s">
        <v>21754</v>
      </c>
      <c r="T2606" s="213" t="s">
        <v>21755</v>
      </c>
      <c r="U2606" s="213" t="s">
        <v>68872</v>
      </c>
    </row>
    <row r="2607" spans="1:21" x14ac:dyDescent="0.25">
      <c r="A2607" s="213" t="s">
        <v>327</v>
      </c>
      <c r="D2607" s="213" t="s">
        <v>21756</v>
      </c>
      <c r="E2607" s="213" t="s">
        <v>21757</v>
      </c>
      <c r="K2607" s="213" t="s">
        <v>68429</v>
      </c>
      <c r="L2607" s="213" t="s">
        <v>68577</v>
      </c>
      <c r="M2607" s="213" t="s">
        <v>68725</v>
      </c>
      <c r="N2607" s="213" t="s">
        <v>21758</v>
      </c>
      <c r="O2607" s="213" t="s">
        <v>21759</v>
      </c>
      <c r="P2607" s="213" t="s">
        <v>21760</v>
      </c>
      <c r="Q2607" s="213" t="s">
        <v>21761</v>
      </c>
      <c r="R2607" s="213" t="s">
        <v>21762</v>
      </c>
      <c r="S2607" s="213" t="s">
        <v>21763</v>
      </c>
      <c r="T2607" s="213" t="s">
        <v>21764</v>
      </c>
      <c r="U2607" s="213" t="s">
        <v>68873</v>
      </c>
    </row>
    <row r="2608" spans="1:21" x14ac:dyDescent="0.25">
      <c r="A2608" s="213" t="s">
        <v>327</v>
      </c>
      <c r="D2608" s="213" t="s">
        <v>21765</v>
      </c>
      <c r="E2608" s="213" t="s">
        <v>21766</v>
      </c>
      <c r="K2608" s="213" t="s">
        <v>68430</v>
      </c>
      <c r="L2608" s="213" t="s">
        <v>68578</v>
      </c>
      <c r="M2608" s="213" t="s">
        <v>68726</v>
      </c>
      <c r="N2608" s="213" t="s">
        <v>21767</v>
      </c>
      <c r="O2608" s="213" t="s">
        <v>21768</v>
      </c>
      <c r="P2608" s="213" t="s">
        <v>21769</v>
      </c>
      <c r="Q2608" s="213" t="s">
        <v>21770</v>
      </c>
      <c r="R2608" s="213" t="s">
        <v>21771</v>
      </c>
      <c r="S2608" s="213" t="s">
        <v>21772</v>
      </c>
      <c r="T2608" s="213" t="s">
        <v>21773</v>
      </c>
      <c r="U2608" s="213" t="s">
        <v>68874</v>
      </c>
    </row>
    <row r="2609" spans="1:21" x14ac:dyDescent="0.25">
      <c r="A2609" s="213" t="s">
        <v>327</v>
      </c>
      <c r="D2609" s="213" t="s">
        <v>21774</v>
      </c>
      <c r="E2609" s="213" t="s">
        <v>21775</v>
      </c>
      <c r="K2609" s="213" t="s">
        <v>68431</v>
      </c>
      <c r="L2609" s="213" t="s">
        <v>68579</v>
      </c>
      <c r="M2609" s="213" t="s">
        <v>68727</v>
      </c>
      <c r="N2609" s="213" t="s">
        <v>21776</v>
      </c>
      <c r="O2609" s="213" t="s">
        <v>21777</v>
      </c>
      <c r="P2609" s="213" t="s">
        <v>21778</v>
      </c>
      <c r="Q2609" s="213" t="s">
        <v>21779</v>
      </c>
      <c r="R2609" s="213" t="s">
        <v>21780</v>
      </c>
      <c r="S2609" s="213" t="s">
        <v>21781</v>
      </c>
      <c r="T2609" s="213" t="s">
        <v>21782</v>
      </c>
      <c r="U2609" s="213" t="s">
        <v>68875</v>
      </c>
    </row>
    <row r="2610" spans="1:21" x14ac:dyDescent="0.25">
      <c r="A2610" s="213" t="s">
        <v>327</v>
      </c>
      <c r="D2610" s="213" t="s">
        <v>21783</v>
      </c>
      <c r="E2610" s="213" t="s">
        <v>21784</v>
      </c>
      <c r="K2610" s="213" t="s">
        <v>68432</v>
      </c>
      <c r="L2610" s="213" t="s">
        <v>68580</v>
      </c>
      <c r="M2610" s="213" t="s">
        <v>68728</v>
      </c>
      <c r="N2610" s="213" t="s">
        <v>21785</v>
      </c>
      <c r="O2610" s="213" t="s">
        <v>21786</v>
      </c>
      <c r="P2610" s="213" t="s">
        <v>21787</v>
      </c>
      <c r="Q2610" s="213" t="s">
        <v>21788</v>
      </c>
      <c r="R2610" s="213" t="s">
        <v>21789</v>
      </c>
      <c r="S2610" s="213" t="s">
        <v>21790</v>
      </c>
      <c r="T2610" s="213" t="s">
        <v>21791</v>
      </c>
      <c r="U2610" s="213" t="s">
        <v>68876</v>
      </c>
    </row>
    <row r="2611" spans="1:21" x14ac:dyDescent="0.25">
      <c r="A2611" s="213" t="s">
        <v>327</v>
      </c>
      <c r="D2611" s="213" t="s">
        <v>21792</v>
      </c>
      <c r="E2611" s="213" t="s">
        <v>21793</v>
      </c>
      <c r="K2611" s="213" t="s">
        <v>68433</v>
      </c>
      <c r="L2611" s="213" t="s">
        <v>68581</v>
      </c>
      <c r="M2611" s="213" t="s">
        <v>68729</v>
      </c>
      <c r="N2611" s="213" t="s">
        <v>21794</v>
      </c>
      <c r="O2611" s="213" t="s">
        <v>21795</v>
      </c>
      <c r="P2611" s="213" t="s">
        <v>21796</v>
      </c>
      <c r="Q2611" s="213" t="s">
        <v>21797</v>
      </c>
      <c r="R2611" s="213" t="s">
        <v>21798</v>
      </c>
      <c r="S2611" s="213" t="s">
        <v>21799</v>
      </c>
      <c r="T2611" s="213" t="s">
        <v>21800</v>
      </c>
      <c r="U2611" s="213" t="s">
        <v>68877</v>
      </c>
    </row>
    <row r="2612" spans="1:21" x14ac:dyDescent="0.25">
      <c r="A2612" s="213" t="s">
        <v>327</v>
      </c>
      <c r="D2612" s="213" t="s">
        <v>21801</v>
      </c>
      <c r="E2612" s="213" t="s">
        <v>21802</v>
      </c>
      <c r="K2612" s="213" t="s">
        <v>68434</v>
      </c>
      <c r="L2612" s="213" t="s">
        <v>68582</v>
      </c>
      <c r="M2612" s="213" t="s">
        <v>68730</v>
      </c>
      <c r="N2612" s="213" t="s">
        <v>21803</v>
      </c>
      <c r="O2612" s="213" t="s">
        <v>21804</v>
      </c>
      <c r="P2612" s="213" t="s">
        <v>21805</v>
      </c>
      <c r="Q2612" s="213" t="s">
        <v>21806</v>
      </c>
      <c r="R2612" s="213" t="s">
        <v>21807</v>
      </c>
      <c r="S2612" s="213" t="s">
        <v>21808</v>
      </c>
      <c r="T2612" s="213" t="s">
        <v>21809</v>
      </c>
      <c r="U2612" s="213" t="s">
        <v>68878</v>
      </c>
    </row>
    <row r="2613" spans="1:21" x14ac:dyDescent="0.25">
      <c r="A2613" s="213" t="s">
        <v>327</v>
      </c>
      <c r="D2613" s="213" t="s">
        <v>21810</v>
      </c>
      <c r="E2613" s="213" t="s">
        <v>21811</v>
      </c>
      <c r="K2613" s="213" t="s">
        <v>68435</v>
      </c>
      <c r="L2613" s="213" t="s">
        <v>68583</v>
      </c>
      <c r="M2613" s="213" t="s">
        <v>68731</v>
      </c>
      <c r="N2613" s="213" t="s">
        <v>21812</v>
      </c>
      <c r="O2613" s="213" t="s">
        <v>21813</v>
      </c>
      <c r="P2613" s="213" t="s">
        <v>21814</v>
      </c>
      <c r="Q2613" s="213" t="s">
        <v>21815</v>
      </c>
      <c r="R2613" s="213" t="s">
        <v>21816</v>
      </c>
      <c r="S2613" s="213" t="s">
        <v>21817</v>
      </c>
      <c r="T2613" s="213" t="s">
        <v>21818</v>
      </c>
      <c r="U2613" s="213" t="s">
        <v>68879</v>
      </c>
    </row>
    <row r="2614" spans="1:21" x14ac:dyDescent="0.25">
      <c r="A2614" s="213" t="s">
        <v>327</v>
      </c>
      <c r="D2614" s="213" t="s">
        <v>21819</v>
      </c>
      <c r="E2614" s="213" t="s">
        <v>21820</v>
      </c>
      <c r="K2614" s="213" t="s">
        <v>68436</v>
      </c>
      <c r="L2614" s="213" t="s">
        <v>68584</v>
      </c>
      <c r="M2614" s="213" t="s">
        <v>68732</v>
      </c>
      <c r="N2614" s="213" t="s">
        <v>21821</v>
      </c>
      <c r="O2614" s="213" t="s">
        <v>21822</v>
      </c>
      <c r="P2614" s="213" t="s">
        <v>21823</v>
      </c>
      <c r="Q2614" s="213" t="s">
        <v>21824</v>
      </c>
      <c r="R2614" s="213" t="s">
        <v>21825</v>
      </c>
      <c r="S2614" s="213" t="s">
        <v>21826</v>
      </c>
      <c r="T2614" s="213" t="s">
        <v>21827</v>
      </c>
      <c r="U2614" s="213" t="s">
        <v>68880</v>
      </c>
    </row>
    <row r="2615" spans="1:21" x14ac:dyDescent="0.25">
      <c r="A2615" s="213" t="s">
        <v>327</v>
      </c>
      <c r="D2615" s="213" t="s">
        <v>21828</v>
      </c>
      <c r="E2615" s="213" t="s">
        <v>21829</v>
      </c>
      <c r="K2615" s="213" t="s">
        <v>68437</v>
      </c>
      <c r="L2615" s="213" t="s">
        <v>68585</v>
      </c>
      <c r="M2615" s="213" t="s">
        <v>68733</v>
      </c>
      <c r="N2615" s="213" t="s">
        <v>21830</v>
      </c>
      <c r="O2615" s="213" t="s">
        <v>21831</v>
      </c>
      <c r="P2615" s="213" t="s">
        <v>21832</v>
      </c>
      <c r="Q2615" s="213" t="s">
        <v>21833</v>
      </c>
      <c r="R2615" s="213" t="s">
        <v>21834</v>
      </c>
      <c r="S2615" s="213" t="s">
        <v>21835</v>
      </c>
      <c r="T2615" s="213" t="s">
        <v>21836</v>
      </c>
      <c r="U2615" s="213" t="s">
        <v>68881</v>
      </c>
    </row>
    <row r="2616" spans="1:21" x14ac:dyDescent="0.25">
      <c r="A2616" s="213" t="s">
        <v>327</v>
      </c>
      <c r="D2616" s="213" t="s">
        <v>21837</v>
      </c>
      <c r="E2616" s="213" t="s">
        <v>21838</v>
      </c>
      <c r="K2616" s="213" t="s">
        <v>68438</v>
      </c>
      <c r="L2616" s="213" t="s">
        <v>68586</v>
      </c>
      <c r="M2616" s="213" t="s">
        <v>68734</v>
      </c>
      <c r="N2616" s="213" t="s">
        <v>21839</v>
      </c>
      <c r="O2616" s="213" t="s">
        <v>21840</v>
      </c>
      <c r="P2616" s="213" t="s">
        <v>21841</v>
      </c>
      <c r="Q2616" s="213" t="s">
        <v>21842</v>
      </c>
      <c r="R2616" s="213" t="s">
        <v>21843</v>
      </c>
      <c r="S2616" s="213" t="s">
        <v>21844</v>
      </c>
      <c r="T2616" s="213" t="s">
        <v>21845</v>
      </c>
      <c r="U2616" s="213" t="s">
        <v>68882</v>
      </c>
    </row>
    <row r="2617" spans="1:21" x14ac:dyDescent="0.25">
      <c r="A2617" s="213" t="s">
        <v>327</v>
      </c>
      <c r="D2617" s="213" t="s">
        <v>21846</v>
      </c>
      <c r="E2617" s="213" t="s">
        <v>21847</v>
      </c>
      <c r="K2617" s="213" t="s">
        <v>68439</v>
      </c>
      <c r="L2617" s="213" t="s">
        <v>68587</v>
      </c>
      <c r="M2617" s="213" t="s">
        <v>68735</v>
      </c>
      <c r="N2617" s="213" t="s">
        <v>21848</v>
      </c>
      <c r="O2617" s="213" t="s">
        <v>21849</v>
      </c>
      <c r="P2617" s="213" t="s">
        <v>21850</v>
      </c>
      <c r="Q2617" s="213" t="s">
        <v>21851</v>
      </c>
      <c r="R2617" s="213" t="s">
        <v>21852</v>
      </c>
      <c r="S2617" s="213" t="s">
        <v>21853</v>
      </c>
      <c r="T2617" s="213" t="s">
        <v>21854</v>
      </c>
      <c r="U2617" s="213" t="s">
        <v>68883</v>
      </c>
    </row>
    <row r="2618" spans="1:21" x14ac:dyDescent="0.25">
      <c r="A2618" s="213" t="s">
        <v>327</v>
      </c>
      <c r="D2618" s="213" t="s">
        <v>21855</v>
      </c>
      <c r="E2618" s="213" t="s">
        <v>21856</v>
      </c>
      <c r="K2618" s="213" t="s">
        <v>68440</v>
      </c>
      <c r="L2618" s="213" t="s">
        <v>68588</v>
      </c>
      <c r="M2618" s="213" t="s">
        <v>68736</v>
      </c>
      <c r="N2618" s="213" t="s">
        <v>21857</v>
      </c>
      <c r="O2618" s="213" t="s">
        <v>21858</v>
      </c>
      <c r="P2618" s="213" t="s">
        <v>21859</v>
      </c>
      <c r="Q2618" s="213" t="s">
        <v>21860</v>
      </c>
      <c r="R2618" s="213" t="s">
        <v>21861</v>
      </c>
      <c r="S2618" s="213" t="s">
        <v>21862</v>
      </c>
      <c r="T2618" s="213" t="s">
        <v>21863</v>
      </c>
      <c r="U2618" s="213" t="s">
        <v>68884</v>
      </c>
    </row>
    <row r="2619" spans="1:21" x14ac:dyDescent="0.25">
      <c r="A2619" s="213" t="s">
        <v>327</v>
      </c>
      <c r="D2619" s="213" t="s">
        <v>21864</v>
      </c>
      <c r="E2619" s="213" t="s">
        <v>21865</v>
      </c>
      <c r="K2619" s="213" t="s">
        <v>68441</v>
      </c>
      <c r="L2619" s="213" t="s">
        <v>68589</v>
      </c>
      <c r="M2619" s="213" t="s">
        <v>68737</v>
      </c>
      <c r="N2619" s="213" t="s">
        <v>21866</v>
      </c>
      <c r="O2619" s="213" t="s">
        <v>21867</v>
      </c>
      <c r="P2619" s="213" t="s">
        <v>21868</v>
      </c>
      <c r="Q2619" s="213" t="s">
        <v>21869</v>
      </c>
      <c r="R2619" s="213" t="s">
        <v>21870</v>
      </c>
      <c r="S2619" s="213" t="s">
        <v>21871</v>
      </c>
      <c r="T2619" s="213" t="s">
        <v>21872</v>
      </c>
      <c r="U2619" s="213" t="s">
        <v>68885</v>
      </c>
    </row>
    <row r="2620" spans="1:21" x14ac:dyDescent="0.25">
      <c r="A2620" s="213" t="s">
        <v>327</v>
      </c>
      <c r="D2620" s="213" t="s">
        <v>21873</v>
      </c>
      <c r="E2620" s="213" t="s">
        <v>21874</v>
      </c>
      <c r="K2620" s="213" t="s">
        <v>68442</v>
      </c>
      <c r="L2620" s="213" t="s">
        <v>68590</v>
      </c>
      <c r="M2620" s="213" t="s">
        <v>68738</v>
      </c>
      <c r="N2620" s="213" t="s">
        <v>21875</v>
      </c>
      <c r="O2620" s="213" t="s">
        <v>21876</v>
      </c>
      <c r="P2620" s="213" t="s">
        <v>21877</v>
      </c>
      <c r="Q2620" s="213" t="s">
        <v>21878</v>
      </c>
      <c r="R2620" s="213" t="s">
        <v>21879</v>
      </c>
      <c r="S2620" s="213" t="s">
        <v>21880</v>
      </c>
      <c r="T2620" s="213" t="s">
        <v>21881</v>
      </c>
      <c r="U2620" s="213" t="s">
        <v>68886</v>
      </c>
    </row>
    <row r="2621" spans="1:21" x14ac:dyDescent="0.25">
      <c r="A2621" s="213" t="s">
        <v>327</v>
      </c>
      <c r="D2621" s="213" t="s">
        <v>21882</v>
      </c>
      <c r="E2621" s="213" t="s">
        <v>21883</v>
      </c>
      <c r="K2621" s="213" t="s">
        <v>68443</v>
      </c>
      <c r="L2621" s="213" t="s">
        <v>68591</v>
      </c>
      <c r="M2621" s="213" t="s">
        <v>68739</v>
      </c>
      <c r="N2621" s="213" t="s">
        <v>21884</v>
      </c>
      <c r="O2621" s="213" t="s">
        <v>21885</v>
      </c>
      <c r="P2621" s="213" t="s">
        <v>21886</v>
      </c>
      <c r="Q2621" s="213" t="s">
        <v>21887</v>
      </c>
      <c r="R2621" s="213" t="s">
        <v>21888</v>
      </c>
      <c r="S2621" s="213" t="s">
        <v>21889</v>
      </c>
      <c r="T2621" s="213" t="s">
        <v>21890</v>
      </c>
      <c r="U2621" s="213" t="s">
        <v>68887</v>
      </c>
    </row>
    <row r="2622" spans="1:21" x14ac:dyDescent="0.25">
      <c r="A2622" s="213" t="s">
        <v>327</v>
      </c>
      <c r="D2622" s="213" t="s">
        <v>21891</v>
      </c>
      <c r="E2622" s="213" t="s">
        <v>21892</v>
      </c>
      <c r="K2622" s="213" t="s">
        <v>68444</v>
      </c>
      <c r="L2622" s="213" t="s">
        <v>68592</v>
      </c>
      <c r="M2622" s="213" t="s">
        <v>68740</v>
      </c>
      <c r="N2622" s="213" t="s">
        <v>21893</v>
      </c>
      <c r="O2622" s="213" t="s">
        <v>21894</v>
      </c>
      <c r="P2622" s="213" t="s">
        <v>21895</v>
      </c>
      <c r="Q2622" s="213" t="s">
        <v>21896</v>
      </c>
      <c r="R2622" s="213" t="s">
        <v>21897</v>
      </c>
      <c r="S2622" s="213" t="s">
        <v>21898</v>
      </c>
      <c r="T2622" s="213" t="s">
        <v>21899</v>
      </c>
      <c r="U2622" s="213" t="s">
        <v>68888</v>
      </c>
    </row>
    <row r="2623" spans="1:21" x14ac:dyDescent="0.25">
      <c r="A2623" s="213" t="s">
        <v>327</v>
      </c>
      <c r="D2623" s="213" t="s">
        <v>21900</v>
      </c>
      <c r="E2623" s="213" t="s">
        <v>21901</v>
      </c>
      <c r="K2623" s="213" t="s">
        <v>68445</v>
      </c>
      <c r="L2623" s="213" t="s">
        <v>68593</v>
      </c>
      <c r="M2623" s="213" t="s">
        <v>68741</v>
      </c>
      <c r="N2623" s="213" t="s">
        <v>21902</v>
      </c>
      <c r="O2623" s="213" t="s">
        <v>21903</v>
      </c>
      <c r="P2623" s="213" t="s">
        <v>21904</v>
      </c>
      <c r="Q2623" s="213" t="s">
        <v>21905</v>
      </c>
      <c r="R2623" s="213" t="s">
        <v>21906</v>
      </c>
      <c r="S2623" s="213" t="s">
        <v>21907</v>
      </c>
      <c r="T2623" s="213" t="s">
        <v>21908</v>
      </c>
      <c r="U2623" s="213" t="s">
        <v>68889</v>
      </c>
    </row>
    <row r="2624" spans="1:21" x14ac:dyDescent="0.25">
      <c r="A2624" s="213" t="s">
        <v>327</v>
      </c>
      <c r="D2624" s="213" t="s">
        <v>21909</v>
      </c>
      <c r="E2624" s="213" t="s">
        <v>21910</v>
      </c>
      <c r="K2624" s="213" t="s">
        <v>68446</v>
      </c>
      <c r="L2624" s="213" t="s">
        <v>68594</v>
      </c>
      <c r="M2624" s="213" t="s">
        <v>68742</v>
      </c>
      <c r="N2624" s="213" t="s">
        <v>21911</v>
      </c>
      <c r="O2624" s="213" t="s">
        <v>21912</v>
      </c>
      <c r="P2624" s="213" t="s">
        <v>21913</v>
      </c>
      <c r="Q2624" s="213" t="s">
        <v>21914</v>
      </c>
      <c r="R2624" s="213" t="s">
        <v>21915</v>
      </c>
      <c r="S2624" s="213" t="s">
        <v>21916</v>
      </c>
      <c r="T2624" s="213" t="s">
        <v>21917</v>
      </c>
      <c r="U2624" s="213" t="s">
        <v>68890</v>
      </c>
    </row>
    <row r="2625" spans="1:21" x14ac:dyDescent="0.25">
      <c r="A2625" s="213" t="s">
        <v>327</v>
      </c>
      <c r="D2625" s="213" t="s">
        <v>21918</v>
      </c>
      <c r="E2625" s="213" t="s">
        <v>21919</v>
      </c>
      <c r="K2625" s="213" t="s">
        <v>68447</v>
      </c>
      <c r="L2625" s="213" t="s">
        <v>68595</v>
      </c>
      <c r="M2625" s="213" t="s">
        <v>68743</v>
      </c>
      <c r="N2625" s="213" t="s">
        <v>21920</v>
      </c>
      <c r="O2625" s="213" t="s">
        <v>21921</v>
      </c>
      <c r="P2625" s="213" t="s">
        <v>21922</v>
      </c>
      <c r="Q2625" s="213" t="s">
        <v>21923</v>
      </c>
      <c r="R2625" s="213" t="s">
        <v>21924</v>
      </c>
      <c r="S2625" s="213" t="s">
        <v>21925</v>
      </c>
      <c r="T2625" s="213" t="s">
        <v>21926</v>
      </c>
      <c r="U2625" s="213" t="s">
        <v>68891</v>
      </c>
    </row>
    <row r="2626" spans="1:21" x14ac:dyDescent="0.25">
      <c r="A2626" s="213" t="s">
        <v>327</v>
      </c>
      <c r="D2626" s="213" t="s">
        <v>21927</v>
      </c>
      <c r="E2626" s="213" t="s">
        <v>21928</v>
      </c>
      <c r="K2626" s="213" t="s">
        <v>68448</v>
      </c>
      <c r="L2626" s="213" t="s">
        <v>68596</v>
      </c>
      <c r="M2626" s="213" t="s">
        <v>68744</v>
      </c>
      <c r="N2626" s="213" t="s">
        <v>21929</v>
      </c>
      <c r="O2626" s="213" t="s">
        <v>21930</v>
      </c>
      <c r="P2626" s="213" t="s">
        <v>21931</v>
      </c>
      <c r="Q2626" s="213" t="s">
        <v>21932</v>
      </c>
      <c r="R2626" s="213" t="s">
        <v>21933</v>
      </c>
      <c r="S2626" s="213" t="s">
        <v>21934</v>
      </c>
      <c r="T2626" s="213" t="s">
        <v>21935</v>
      </c>
      <c r="U2626" s="213" t="s">
        <v>68892</v>
      </c>
    </row>
    <row r="2627" spans="1:21" x14ac:dyDescent="0.25">
      <c r="A2627" s="213" t="s">
        <v>327</v>
      </c>
      <c r="D2627" s="213" t="s">
        <v>21936</v>
      </c>
      <c r="E2627" s="213" t="s">
        <v>21937</v>
      </c>
      <c r="K2627" s="213" t="s">
        <v>68449</v>
      </c>
      <c r="L2627" s="213" t="s">
        <v>68597</v>
      </c>
      <c r="M2627" s="213" t="s">
        <v>68745</v>
      </c>
      <c r="N2627" s="213" t="s">
        <v>21938</v>
      </c>
      <c r="O2627" s="213" t="s">
        <v>21939</v>
      </c>
      <c r="P2627" s="213" t="s">
        <v>21940</v>
      </c>
      <c r="Q2627" s="213" t="s">
        <v>21941</v>
      </c>
      <c r="R2627" s="213" t="s">
        <v>21942</v>
      </c>
      <c r="S2627" s="213" t="s">
        <v>21943</v>
      </c>
      <c r="T2627" s="213" t="s">
        <v>21944</v>
      </c>
      <c r="U2627" s="213" t="s">
        <v>68893</v>
      </c>
    </row>
    <row r="2628" spans="1:21" x14ac:dyDescent="0.25">
      <c r="A2628" s="213" t="s">
        <v>327</v>
      </c>
      <c r="D2628" s="213" t="s">
        <v>21945</v>
      </c>
      <c r="E2628" s="213" t="s">
        <v>21946</v>
      </c>
      <c r="K2628" s="213" t="s">
        <v>68450</v>
      </c>
      <c r="L2628" s="213" t="s">
        <v>68598</v>
      </c>
      <c r="M2628" s="213" t="s">
        <v>68746</v>
      </c>
      <c r="N2628" s="213" t="s">
        <v>21947</v>
      </c>
      <c r="O2628" s="213" t="s">
        <v>21948</v>
      </c>
      <c r="P2628" s="213" t="s">
        <v>21949</v>
      </c>
      <c r="Q2628" s="213" t="s">
        <v>21950</v>
      </c>
      <c r="R2628" s="213" t="s">
        <v>21951</v>
      </c>
      <c r="S2628" s="213" t="s">
        <v>21952</v>
      </c>
      <c r="T2628" s="213" t="s">
        <v>21953</v>
      </c>
      <c r="U2628" s="213" t="s">
        <v>68894</v>
      </c>
    </row>
    <row r="2629" spans="1:21" x14ac:dyDescent="0.25">
      <c r="A2629" s="213" t="s">
        <v>327</v>
      </c>
      <c r="D2629" s="213" t="s">
        <v>21954</v>
      </c>
      <c r="E2629" s="213" t="s">
        <v>21955</v>
      </c>
      <c r="K2629" s="213" t="s">
        <v>68451</v>
      </c>
      <c r="L2629" s="213" t="s">
        <v>68599</v>
      </c>
      <c r="M2629" s="213" t="s">
        <v>68747</v>
      </c>
      <c r="N2629" s="213" t="s">
        <v>21956</v>
      </c>
      <c r="O2629" s="213" t="s">
        <v>21957</v>
      </c>
      <c r="P2629" s="213" t="s">
        <v>21958</v>
      </c>
      <c r="Q2629" s="213" t="s">
        <v>21959</v>
      </c>
      <c r="R2629" s="213" t="s">
        <v>21960</v>
      </c>
      <c r="S2629" s="213" t="s">
        <v>21961</v>
      </c>
      <c r="T2629" s="213" t="s">
        <v>21962</v>
      </c>
      <c r="U2629" s="213" t="s">
        <v>68895</v>
      </c>
    </row>
    <row r="2630" spans="1:21" x14ac:dyDescent="0.25">
      <c r="A2630" s="213" t="s">
        <v>327</v>
      </c>
      <c r="D2630" s="213" t="s">
        <v>21963</v>
      </c>
      <c r="E2630" s="213" t="s">
        <v>21964</v>
      </c>
      <c r="K2630" s="213" t="s">
        <v>68452</v>
      </c>
      <c r="L2630" s="213" t="s">
        <v>68600</v>
      </c>
      <c r="M2630" s="213" t="s">
        <v>68748</v>
      </c>
      <c r="N2630" s="213" t="s">
        <v>21965</v>
      </c>
      <c r="O2630" s="213" t="s">
        <v>21966</v>
      </c>
      <c r="P2630" s="213" t="s">
        <v>21967</v>
      </c>
      <c r="Q2630" s="213" t="s">
        <v>21968</v>
      </c>
      <c r="R2630" s="213" t="s">
        <v>21969</v>
      </c>
      <c r="S2630" s="213" t="s">
        <v>21970</v>
      </c>
      <c r="T2630" s="213" t="s">
        <v>21971</v>
      </c>
      <c r="U2630" s="213" t="s">
        <v>68896</v>
      </c>
    </row>
    <row r="2631" spans="1:21" x14ac:dyDescent="0.25">
      <c r="A2631" s="213" t="s">
        <v>327</v>
      </c>
      <c r="D2631" s="213" t="s">
        <v>21972</v>
      </c>
      <c r="E2631" s="213" t="s">
        <v>21973</v>
      </c>
      <c r="K2631" s="213" t="s">
        <v>68453</v>
      </c>
      <c r="L2631" s="213" t="s">
        <v>68601</v>
      </c>
      <c r="M2631" s="213" t="s">
        <v>68749</v>
      </c>
      <c r="N2631" s="213" t="s">
        <v>21974</v>
      </c>
      <c r="O2631" s="213" t="s">
        <v>21975</v>
      </c>
      <c r="P2631" s="213" t="s">
        <v>21976</v>
      </c>
      <c r="Q2631" s="213" t="s">
        <v>21977</v>
      </c>
      <c r="R2631" s="213" t="s">
        <v>21978</v>
      </c>
      <c r="S2631" s="213" t="s">
        <v>21979</v>
      </c>
      <c r="T2631" s="213" t="s">
        <v>21980</v>
      </c>
      <c r="U2631" s="213" t="s">
        <v>68897</v>
      </c>
    </row>
    <row r="2632" spans="1:21" x14ac:dyDescent="0.25">
      <c r="A2632" s="213" t="s">
        <v>327</v>
      </c>
      <c r="D2632" s="213" t="s">
        <v>21981</v>
      </c>
      <c r="E2632" s="213" t="s">
        <v>21982</v>
      </c>
      <c r="K2632" s="213" t="s">
        <v>68454</v>
      </c>
      <c r="L2632" s="213" t="s">
        <v>68602</v>
      </c>
      <c r="M2632" s="213" t="s">
        <v>68750</v>
      </c>
      <c r="N2632" s="213" t="s">
        <v>21983</v>
      </c>
      <c r="O2632" s="213" t="s">
        <v>21984</v>
      </c>
      <c r="P2632" s="213" t="s">
        <v>21985</v>
      </c>
      <c r="Q2632" s="213" t="s">
        <v>21986</v>
      </c>
      <c r="R2632" s="213" t="s">
        <v>21987</v>
      </c>
      <c r="S2632" s="213" t="s">
        <v>21988</v>
      </c>
      <c r="T2632" s="213" t="s">
        <v>21989</v>
      </c>
      <c r="U2632" s="213" t="s">
        <v>68898</v>
      </c>
    </row>
    <row r="2633" spans="1:21" x14ac:dyDescent="0.25">
      <c r="A2633" s="213" t="s">
        <v>327</v>
      </c>
      <c r="D2633" s="213" t="s">
        <v>21990</v>
      </c>
      <c r="E2633" s="213" t="s">
        <v>21991</v>
      </c>
      <c r="K2633" s="213" t="s">
        <v>68455</v>
      </c>
      <c r="L2633" s="213" t="s">
        <v>68603</v>
      </c>
      <c r="M2633" s="213" t="s">
        <v>68751</v>
      </c>
      <c r="N2633" s="213" t="s">
        <v>21992</v>
      </c>
      <c r="O2633" s="213" t="s">
        <v>21993</v>
      </c>
      <c r="P2633" s="213" t="s">
        <v>21994</v>
      </c>
      <c r="Q2633" s="213" t="s">
        <v>21995</v>
      </c>
      <c r="R2633" s="213" t="s">
        <v>21996</v>
      </c>
      <c r="S2633" s="213" t="s">
        <v>21997</v>
      </c>
      <c r="T2633" s="213" t="s">
        <v>21998</v>
      </c>
      <c r="U2633" s="213" t="s">
        <v>68899</v>
      </c>
    </row>
    <row r="2634" spans="1:21" x14ac:dyDescent="0.25">
      <c r="A2634" s="213" t="s">
        <v>327</v>
      </c>
      <c r="D2634" s="213" t="s">
        <v>21999</v>
      </c>
      <c r="E2634" s="213" t="s">
        <v>22000</v>
      </c>
      <c r="K2634" s="213" t="s">
        <v>68456</v>
      </c>
      <c r="L2634" s="213" t="s">
        <v>68604</v>
      </c>
      <c r="M2634" s="213" t="s">
        <v>68752</v>
      </c>
      <c r="N2634" s="213" t="s">
        <v>22001</v>
      </c>
      <c r="O2634" s="213" t="s">
        <v>22002</v>
      </c>
      <c r="P2634" s="213" t="s">
        <v>22003</v>
      </c>
      <c r="Q2634" s="213" t="s">
        <v>22004</v>
      </c>
      <c r="R2634" s="213" t="s">
        <v>22005</v>
      </c>
      <c r="S2634" s="213" t="s">
        <v>22006</v>
      </c>
      <c r="T2634" s="213" t="s">
        <v>22007</v>
      </c>
      <c r="U2634" s="213" t="s">
        <v>68900</v>
      </c>
    </row>
    <row r="2635" spans="1:21" x14ac:dyDescent="0.25">
      <c r="A2635" s="213" t="s">
        <v>327</v>
      </c>
      <c r="D2635" s="213" t="s">
        <v>22008</v>
      </c>
      <c r="E2635" s="213" t="s">
        <v>22009</v>
      </c>
      <c r="K2635" s="213" t="s">
        <v>68457</v>
      </c>
      <c r="L2635" s="213" t="s">
        <v>68605</v>
      </c>
      <c r="M2635" s="213" t="s">
        <v>68753</v>
      </c>
      <c r="N2635" s="213" t="s">
        <v>22010</v>
      </c>
      <c r="O2635" s="213" t="s">
        <v>22011</v>
      </c>
      <c r="P2635" s="213" t="s">
        <v>22012</v>
      </c>
      <c r="Q2635" s="213" t="s">
        <v>22013</v>
      </c>
      <c r="R2635" s="213" t="s">
        <v>22014</v>
      </c>
      <c r="S2635" s="213" t="s">
        <v>22015</v>
      </c>
      <c r="T2635" s="213" t="s">
        <v>22016</v>
      </c>
      <c r="U2635" s="213" t="s">
        <v>68901</v>
      </c>
    </row>
    <row r="2636" spans="1:21" x14ac:dyDescent="0.25">
      <c r="A2636" s="213" t="s">
        <v>327</v>
      </c>
      <c r="D2636" s="213" t="s">
        <v>22017</v>
      </c>
      <c r="E2636" s="213" t="s">
        <v>22018</v>
      </c>
      <c r="K2636" s="213" t="s">
        <v>68458</v>
      </c>
      <c r="L2636" s="213" t="s">
        <v>68606</v>
      </c>
      <c r="M2636" s="213" t="s">
        <v>68754</v>
      </c>
      <c r="N2636" s="213" t="s">
        <v>22019</v>
      </c>
      <c r="O2636" s="213" t="s">
        <v>22020</v>
      </c>
      <c r="P2636" s="213" t="s">
        <v>22021</v>
      </c>
      <c r="Q2636" s="213" t="s">
        <v>22022</v>
      </c>
      <c r="R2636" s="213" t="s">
        <v>22023</v>
      </c>
      <c r="S2636" s="213" t="s">
        <v>22024</v>
      </c>
      <c r="T2636" s="213" t="s">
        <v>22025</v>
      </c>
      <c r="U2636" s="213" t="s">
        <v>68902</v>
      </c>
    </row>
    <row r="2637" spans="1:21" x14ac:dyDescent="0.25">
      <c r="A2637" s="213" t="s">
        <v>327</v>
      </c>
      <c r="D2637" s="213" t="s">
        <v>22026</v>
      </c>
      <c r="E2637" s="213" t="s">
        <v>22027</v>
      </c>
      <c r="K2637" s="213" t="s">
        <v>68459</v>
      </c>
      <c r="L2637" s="213" t="s">
        <v>68607</v>
      </c>
      <c r="M2637" s="213" t="s">
        <v>68755</v>
      </c>
      <c r="N2637" s="213" t="s">
        <v>22028</v>
      </c>
      <c r="O2637" s="213" t="s">
        <v>22029</v>
      </c>
      <c r="P2637" s="213" t="s">
        <v>22030</v>
      </c>
      <c r="Q2637" s="213" t="s">
        <v>22031</v>
      </c>
      <c r="R2637" s="213" t="s">
        <v>22032</v>
      </c>
      <c r="S2637" s="213" t="s">
        <v>22033</v>
      </c>
      <c r="T2637" s="213" t="s">
        <v>22034</v>
      </c>
      <c r="U2637" s="213" t="s">
        <v>68903</v>
      </c>
    </row>
    <row r="2638" spans="1:21" x14ac:dyDescent="0.25">
      <c r="A2638" s="213" t="s">
        <v>327</v>
      </c>
      <c r="D2638" s="213" t="s">
        <v>22035</v>
      </c>
      <c r="E2638" s="213" t="s">
        <v>22036</v>
      </c>
      <c r="K2638" s="213" t="s">
        <v>68460</v>
      </c>
      <c r="L2638" s="213" t="s">
        <v>68608</v>
      </c>
      <c r="M2638" s="213" t="s">
        <v>68756</v>
      </c>
      <c r="N2638" s="213" t="s">
        <v>22037</v>
      </c>
      <c r="O2638" s="213" t="s">
        <v>22038</v>
      </c>
      <c r="P2638" s="213" t="s">
        <v>22039</v>
      </c>
      <c r="Q2638" s="213" t="s">
        <v>22040</v>
      </c>
      <c r="R2638" s="213" t="s">
        <v>22041</v>
      </c>
      <c r="S2638" s="213" t="s">
        <v>22042</v>
      </c>
      <c r="T2638" s="213" t="s">
        <v>22043</v>
      </c>
      <c r="U2638" s="213" t="s">
        <v>68904</v>
      </c>
    </row>
    <row r="2639" spans="1:21" x14ac:dyDescent="0.25">
      <c r="A2639" s="213" t="s">
        <v>327</v>
      </c>
      <c r="D2639" s="213" t="s">
        <v>22044</v>
      </c>
      <c r="E2639" s="213" t="s">
        <v>22045</v>
      </c>
      <c r="K2639" s="213" t="s">
        <v>68461</v>
      </c>
      <c r="L2639" s="213" t="s">
        <v>68609</v>
      </c>
      <c r="M2639" s="213" t="s">
        <v>68757</v>
      </c>
      <c r="N2639" s="213" t="s">
        <v>22046</v>
      </c>
      <c r="O2639" s="213" t="s">
        <v>22047</v>
      </c>
      <c r="P2639" s="213" t="s">
        <v>22048</v>
      </c>
      <c r="Q2639" s="213" t="s">
        <v>22049</v>
      </c>
      <c r="R2639" s="213" t="s">
        <v>22050</v>
      </c>
      <c r="S2639" s="213" t="s">
        <v>22051</v>
      </c>
      <c r="T2639" s="213" t="s">
        <v>22052</v>
      </c>
      <c r="U2639" s="213" t="s">
        <v>68905</v>
      </c>
    </row>
    <row r="2640" spans="1:21" x14ac:dyDescent="0.25">
      <c r="A2640" s="213" t="s">
        <v>327</v>
      </c>
      <c r="D2640" s="213" t="s">
        <v>22053</v>
      </c>
      <c r="E2640" s="213" t="s">
        <v>22054</v>
      </c>
      <c r="K2640" s="213" t="s">
        <v>68462</v>
      </c>
      <c r="L2640" s="213" t="s">
        <v>68610</v>
      </c>
      <c r="M2640" s="213" t="s">
        <v>68758</v>
      </c>
      <c r="N2640" s="213" t="s">
        <v>22055</v>
      </c>
      <c r="O2640" s="213" t="s">
        <v>22056</v>
      </c>
      <c r="P2640" s="213" t="s">
        <v>22057</v>
      </c>
      <c r="Q2640" s="213" t="s">
        <v>22058</v>
      </c>
      <c r="R2640" s="213" t="s">
        <v>22059</v>
      </c>
      <c r="S2640" s="213" t="s">
        <v>22060</v>
      </c>
      <c r="T2640" s="213" t="s">
        <v>22061</v>
      </c>
      <c r="U2640" s="213" t="s">
        <v>68906</v>
      </c>
    </row>
    <row r="2641" spans="1:21" x14ac:dyDescent="0.25">
      <c r="A2641" s="213" t="s">
        <v>327</v>
      </c>
      <c r="D2641" s="213" t="s">
        <v>22062</v>
      </c>
      <c r="E2641" s="213" t="s">
        <v>22063</v>
      </c>
      <c r="K2641" s="213" t="s">
        <v>68463</v>
      </c>
      <c r="L2641" s="213" t="s">
        <v>68611</v>
      </c>
      <c r="M2641" s="213" t="s">
        <v>68759</v>
      </c>
      <c r="N2641" s="213" t="s">
        <v>22064</v>
      </c>
      <c r="O2641" s="213" t="s">
        <v>22065</v>
      </c>
      <c r="P2641" s="213" t="s">
        <v>22066</v>
      </c>
      <c r="Q2641" s="213" t="s">
        <v>22067</v>
      </c>
      <c r="R2641" s="213" t="s">
        <v>22068</v>
      </c>
      <c r="S2641" s="213" t="s">
        <v>22069</v>
      </c>
      <c r="T2641" s="213" t="s">
        <v>22070</v>
      </c>
      <c r="U2641" s="213" t="s">
        <v>68907</v>
      </c>
    </row>
    <row r="2642" spans="1:21" x14ac:dyDescent="0.25">
      <c r="A2642" s="213" t="s">
        <v>327</v>
      </c>
      <c r="D2642" s="213" t="s">
        <v>22071</v>
      </c>
      <c r="E2642" s="213" t="s">
        <v>22072</v>
      </c>
      <c r="K2642" s="213" t="s">
        <v>68464</v>
      </c>
      <c r="L2642" s="213" t="s">
        <v>68612</v>
      </c>
      <c r="M2642" s="213" t="s">
        <v>68760</v>
      </c>
      <c r="N2642" s="213" t="s">
        <v>22073</v>
      </c>
      <c r="O2642" s="213" t="s">
        <v>22074</v>
      </c>
      <c r="P2642" s="213" t="s">
        <v>22075</v>
      </c>
      <c r="Q2642" s="213" t="s">
        <v>22076</v>
      </c>
      <c r="R2642" s="213" t="s">
        <v>22077</v>
      </c>
      <c r="S2642" s="213" t="s">
        <v>22078</v>
      </c>
      <c r="T2642" s="213" t="s">
        <v>22079</v>
      </c>
      <c r="U2642" s="213" t="s">
        <v>68908</v>
      </c>
    </row>
    <row r="2643" spans="1:21" x14ac:dyDescent="0.25">
      <c r="A2643" s="213" t="s">
        <v>327</v>
      </c>
      <c r="D2643" s="213" t="s">
        <v>22080</v>
      </c>
      <c r="E2643" s="213" t="s">
        <v>22081</v>
      </c>
      <c r="K2643" s="213" t="s">
        <v>68465</v>
      </c>
      <c r="L2643" s="213" t="s">
        <v>68613</v>
      </c>
      <c r="M2643" s="213" t="s">
        <v>68761</v>
      </c>
      <c r="N2643" s="213" t="s">
        <v>22082</v>
      </c>
      <c r="O2643" s="213" t="s">
        <v>22083</v>
      </c>
      <c r="P2643" s="213" t="s">
        <v>22084</v>
      </c>
      <c r="Q2643" s="213" t="s">
        <v>22085</v>
      </c>
      <c r="R2643" s="213" t="s">
        <v>22086</v>
      </c>
      <c r="S2643" s="213" t="s">
        <v>22087</v>
      </c>
      <c r="T2643" s="213" t="s">
        <v>22088</v>
      </c>
      <c r="U2643" s="213" t="s">
        <v>68909</v>
      </c>
    </row>
    <row r="2644" spans="1:21" x14ac:dyDescent="0.25">
      <c r="A2644" s="213" t="s">
        <v>327</v>
      </c>
      <c r="D2644" s="213" t="s">
        <v>22089</v>
      </c>
      <c r="E2644" s="213" t="s">
        <v>22090</v>
      </c>
      <c r="K2644" s="213" t="s">
        <v>68466</v>
      </c>
      <c r="L2644" s="213" t="s">
        <v>68614</v>
      </c>
      <c r="M2644" s="213" t="s">
        <v>68762</v>
      </c>
      <c r="N2644" s="213" t="s">
        <v>22091</v>
      </c>
      <c r="O2644" s="213" t="s">
        <v>22092</v>
      </c>
      <c r="P2644" s="213" t="s">
        <v>22093</v>
      </c>
      <c r="Q2644" s="213" t="s">
        <v>22094</v>
      </c>
      <c r="R2644" s="213" t="s">
        <v>22095</v>
      </c>
      <c r="S2644" s="213" t="s">
        <v>22096</v>
      </c>
      <c r="T2644" s="213" t="s">
        <v>22097</v>
      </c>
      <c r="U2644" s="213" t="s">
        <v>68910</v>
      </c>
    </row>
    <row r="2645" spans="1:21" x14ac:dyDescent="0.25">
      <c r="A2645" s="213" t="s">
        <v>327</v>
      </c>
      <c r="D2645" s="213" t="s">
        <v>22098</v>
      </c>
      <c r="E2645" s="213" t="s">
        <v>22099</v>
      </c>
      <c r="K2645" s="213" t="s">
        <v>68467</v>
      </c>
      <c r="L2645" s="213" t="s">
        <v>68615</v>
      </c>
      <c r="M2645" s="213" t="s">
        <v>68763</v>
      </c>
      <c r="N2645" s="213" t="s">
        <v>22100</v>
      </c>
      <c r="O2645" s="213" t="s">
        <v>22101</v>
      </c>
      <c r="P2645" s="213" t="s">
        <v>22102</v>
      </c>
      <c r="Q2645" s="213" t="s">
        <v>22103</v>
      </c>
      <c r="R2645" s="213" t="s">
        <v>22104</v>
      </c>
      <c r="S2645" s="213" t="s">
        <v>22105</v>
      </c>
      <c r="T2645" s="213" t="s">
        <v>22106</v>
      </c>
      <c r="U2645" s="213" t="s">
        <v>68911</v>
      </c>
    </row>
    <row r="2646" spans="1:21" x14ac:dyDescent="0.25">
      <c r="A2646" s="213" t="s">
        <v>327</v>
      </c>
      <c r="D2646" s="213" t="s">
        <v>22107</v>
      </c>
      <c r="E2646" s="213" t="s">
        <v>22108</v>
      </c>
      <c r="K2646" s="213" t="s">
        <v>68468</v>
      </c>
      <c r="L2646" s="213" t="s">
        <v>68616</v>
      </c>
      <c r="M2646" s="213" t="s">
        <v>68764</v>
      </c>
      <c r="N2646" s="213" t="s">
        <v>22109</v>
      </c>
      <c r="O2646" s="213" t="s">
        <v>22110</v>
      </c>
      <c r="P2646" s="213" t="s">
        <v>22111</v>
      </c>
      <c r="Q2646" s="213" t="s">
        <v>22112</v>
      </c>
      <c r="R2646" s="213" t="s">
        <v>22113</v>
      </c>
      <c r="S2646" s="213" t="s">
        <v>22114</v>
      </c>
      <c r="T2646" s="213" t="s">
        <v>22115</v>
      </c>
      <c r="U2646" s="213" t="s">
        <v>68912</v>
      </c>
    </row>
    <row r="2647" spans="1:21" x14ac:dyDescent="0.25">
      <c r="A2647" s="213" t="s">
        <v>327</v>
      </c>
      <c r="D2647" s="213" t="s">
        <v>22116</v>
      </c>
      <c r="E2647" s="213" t="s">
        <v>22117</v>
      </c>
      <c r="K2647" s="213" t="s">
        <v>68469</v>
      </c>
      <c r="L2647" s="213" t="s">
        <v>68617</v>
      </c>
      <c r="M2647" s="213" t="s">
        <v>68765</v>
      </c>
      <c r="N2647" s="213" t="s">
        <v>22118</v>
      </c>
      <c r="O2647" s="213" t="s">
        <v>22119</v>
      </c>
      <c r="P2647" s="213" t="s">
        <v>22120</v>
      </c>
      <c r="Q2647" s="213" t="s">
        <v>22121</v>
      </c>
      <c r="R2647" s="213" t="s">
        <v>22122</v>
      </c>
      <c r="S2647" s="213" t="s">
        <v>22123</v>
      </c>
      <c r="T2647" s="213" t="s">
        <v>22124</v>
      </c>
      <c r="U2647" s="213" t="s">
        <v>68913</v>
      </c>
    </row>
    <row r="2648" spans="1:21" x14ac:dyDescent="0.25">
      <c r="A2648" s="213" t="s">
        <v>327</v>
      </c>
    </row>
    <row r="2649" spans="1:21" x14ac:dyDescent="0.25">
      <c r="A2649" s="213" t="s">
        <v>327</v>
      </c>
    </row>
    <row r="2650" spans="1:21" x14ac:dyDescent="0.25">
      <c r="A2650" s="213" t="s">
        <v>327</v>
      </c>
      <c r="C2650" s="213" t="s">
        <v>22125</v>
      </c>
      <c r="E2650" s="213" t="s">
        <v>22126</v>
      </c>
      <c r="H2650" s="213" t="s">
        <v>22127</v>
      </c>
      <c r="I2650" s="213" t="s">
        <v>22128</v>
      </c>
      <c r="J2650" s="213" t="s">
        <v>22129</v>
      </c>
      <c r="L2650" s="213" t="s">
        <v>22130</v>
      </c>
      <c r="O2650" s="213" t="s">
        <v>22131</v>
      </c>
      <c r="P2650" s="213" t="s">
        <v>22132</v>
      </c>
      <c r="Q2650" s="213" t="s">
        <v>22133</v>
      </c>
      <c r="R2650" s="213" t="s">
        <v>22134</v>
      </c>
      <c r="S2650" s="213" t="s">
        <v>22135</v>
      </c>
      <c r="T2650" s="213" t="s">
        <v>22136</v>
      </c>
    </row>
    <row r="2651" spans="1:21" x14ac:dyDescent="0.25">
      <c r="A2651" s="213" t="s">
        <v>327</v>
      </c>
      <c r="C2651" s="213" t="s">
        <v>22137</v>
      </c>
      <c r="E2651" s="213" t="s">
        <v>22138</v>
      </c>
      <c r="I2651" s="213" t="s">
        <v>22139</v>
      </c>
    </row>
    <row r="2652" spans="1:21" x14ac:dyDescent="0.25">
      <c r="A2652" s="213" t="s">
        <v>327</v>
      </c>
      <c r="C2652" s="213" t="s">
        <v>22140</v>
      </c>
      <c r="E2652" s="213" t="s">
        <v>22141</v>
      </c>
      <c r="I2652" s="213" t="s">
        <v>22142</v>
      </c>
    </row>
    <row r="2653" spans="1:21" x14ac:dyDescent="0.25">
      <c r="A2653" s="213" t="s">
        <v>328</v>
      </c>
    </row>
    <row r="2654" spans="1:21" x14ac:dyDescent="0.25">
      <c r="A2654" s="213" t="s">
        <v>327</v>
      </c>
      <c r="D2654" s="213" t="s">
        <v>22143</v>
      </c>
      <c r="E2654" s="213" t="s">
        <v>22144</v>
      </c>
      <c r="K2654" s="213" t="s">
        <v>68146</v>
      </c>
      <c r="L2654" s="213" t="s">
        <v>68190</v>
      </c>
      <c r="M2654" s="213" t="s">
        <v>68234</v>
      </c>
      <c r="N2654" s="213" t="s">
        <v>22145</v>
      </c>
      <c r="O2654" s="213" t="s">
        <v>22146</v>
      </c>
      <c r="P2654" s="213" t="s">
        <v>22147</v>
      </c>
      <c r="Q2654" s="213" t="s">
        <v>22148</v>
      </c>
      <c r="R2654" s="213" t="s">
        <v>22149</v>
      </c>
      <c r="S2654" s="213" t="s">
        <v>22150</v>
      </c>
      <c r="T2654" s="213" t="s">
        <v>22151</v>
      </c>
      <c r="U2654" s="213" t="s">
        <v>68278</v>
      </c>
    </row>
    <row r="2655" spans="1:21" x14ac:dyDescent="0.25">
      <c r="A2655" s="213" t="s">
        <v>327</v>
      </c>
      <c r="D2655" s="213" t="s">
        <v>22152</v>
      </c>
      <c r="E2655" s="213" t="s">
        <v>22153</v>
      </c>
      <c r="K2655" s="213" t="s">
        <v>68147</v>
      </c>
      <c r="L2655" s="213" t="s">
        <v>68191</v>
      </c>
      <c r="M2655" s="213" t="s">
        <v>68235</v>
      </c>
      <c r="N2655" s="213" t="s">
        <v>22154</v>
      </c>
      <c r="O2655" s="213" t="s">
        <v>22155</v>
      </c>
      <c r="P2655" s="213" t="s">
        <v>22156</v>
      </c>
      <c r="Q2655" s="213" t="s">
        <v>22157</v>
      </c>
      <c r="R2655" s="213" t="s">
        <v>22158</v>
      </c>
      <c r="S2655" s="213" t="s">
        <v>22159</v>
      </c>
      <c r="T2655" s="213" t="s">
        <v>22160</v>
      </c>
      <c r="U2655" s="213" t="s">
        <v>68279</v>
      </c>
    </row>
    <row r="2656" spans="1:21" x14ac:dyDescent="0.25">
      <c r="A2656" s="213" t="s">
        <v>327</v>
      </c>
      <c r="D2656" s="213" t="s">
        <v>22161</v>
      </c>
      <c r="E2656" s="213" t="s">
        <v>22162</v>
      </c>
      <c r="K2656" s="213" t="s">
        <v>68148</v>
      </c>
      <c r="L2656" s="213" t="s">
        <v>68192</v>
      </c>
      <c r="M2656" s="213" t="s">
        <v>68236</v>
      </c>
      <c r="N2656" s="213" t="s">
        <v>22163</v>
      </c>
      <c r="O2656" s="213" t="s">
        <v>22164</v>
      </c>
      <c r="P2656" s="213" t="s">
        <v>22165</v>
      </c>
      <c r="Q2656" s="213" t="s">
        <v>22166</v>
      </c>
      <c r="R2656" s="213" t="s">
        <v>22167</v>
      </c>
      <c r="S2656" s="213" t="s">
        <v>22168</v>
      </c>
      <c r="T2656" s="213" t="s">
        <v>22169</v>
      </c>
      <c r="U2656" s="213" t="s">
        <v>68280</v>
      </c>
    </row>
    <row r="2657" spans="1:21" x14ac:dyDescent="0.25">
      <c r="A2657" s="213" t="s">
        <v>327</v>
      </c>
      <c r="D2657" s="213" t="s">
        <v>22170</v>
      </c>
      <c r="E2657" s="213" t="s">
        <v>22171</v>
      </c>
      <c r="K2657" s="213" t="s">
        <v>68149</v>
      </c>
      <c r="L2657" s="213" t="s">
        <v>68193</v>
      </c>
      <c r="M2657" s="213" t="s">
        <v>68237</v>
      </c>
      <c r="N2657" s="213" t="s">
        <v>22172</v>
      </c>
      <c r="O2657" s="213" t="s">
        <v>22173</v>
      </c>
      <c r="P2657" s="213" t="s">
        <v>22174</v>
      </c>
      <c r="Q2657" s="213" t="s">
        <v>22175</v>
      </c>
      <c r="R2657" s="213" t="s">
        <v>22176</v>
      </c>
      <c r="S2657" s="213" t="s">
        <v>22177</v>
      </c>
      <c r="T2657" s="213" t="s">
        <v>22178</v>
      </c>
      <c r="U2657" s="213" t="s">
        <v>68281</v>
      </c>
    </row>
    <row r="2658" spans="1:21" x14ac:dyDescent="0.25">
      <c r="A2658" s="213" t="s">
        <v>327</v>
      </c>
      <c r="D2658" s="213" t="s">
        <v>22179</v>
      </c>
      <c r="E2658" s="213" t="s">
        <v>22180</v>
      </c>
      <c r="K2658" s="213" t="s">
        <v>68150</v>
      </c>
      <c r="L2658" s="213" t="s">
        <v>68194</v>
      </c>
      <c r="M2658" s="213" t="s">
        <v>68238</v>
      </c>
      <c r="N2658" s="213" t="s">
        <v>22181</v>
      </c>
      <c r="O2658" s="213" t="s">
        <v>22182</v>
      </c>
      <c r="P2658" s="213" t="s">
        <v>22183</v>
      </c>
      <c r="Q2658" s="213" t="s">
        <v>22184</v>
      </c>
      <c r="R2658" s="213" t="s">
        <v>22185</v>
      </c>
      <c r="S2658" s="213" t="s">
        <v>22186</v>
      </c>
      <c r="T2658" s="213" t="s">
        <v>22187</v>
      </c>
      <c r="U2658" s="213" t="s">
        <v>68282</v>
      </c>
    </row>
    <row r="2659" spans="1:21" x14ac:dyDescent="0.25">
      <c r="A2659" s="213" t="s">
        <v>327</v>
      </c>
      <c r="D2659" s="213" t="s">
        <v>22188</v>
      </c>
      <c r="E2659" s="213" t="s">
        <v>22189</v>
      </c>
      <c r="K2659" s="213" t="s">
        <v>68151</v>
      </c>
      <c r="L2659" s="213" t="s">
        <v>68195</v>
      </c>
      <c r="M2659" s="213" t="s">
        <v>68239</v>
      </c>
      <c r="N2659" s="213" t="s">
        <v>22190</v>
      </c>
      <c r="O2659" s="213" t="s">
        <v>22191</v>
      </c>
      <c r="P2659" s="213" t="s">
        <v>22192</v>
      </c>
      <c r="Q2659" s="213" t="s">
        <v>22193</v>
      </c>
      <c r="R2659" s="213" t="s">
        <v>22194</v>
      </c>
      <c r="S2659" s="213" t="s">
        <v>22195</v>
      </c>
      <c r="T2659" s="213" t="s">
        <v>22196</v>
      </c>
      <c r="U2659" s="213" t="s">
        <v>68283</v>
      </c>
    </row>
    <row r="2660" spans="1:21" x14ac:dyDescent="0.25">
      <c r="A2660" s="213" t="s">
        <v>327</v>
      </c>
      <c r="D2660" s="213" t="s">
        <v>22197</v>
      </c>
      <c r="E2660" s="213" t="s">
        <v>22198</v>
      </c>
      <c r="K2660" s="213" t="s">
        <v>68152</v>
      </c>
      <c r="L2660" s="213" t="s">
        <v>68196</v>
      </c>
      <c r="M2660" s="213" t="s">
        <v>68240</v>
      </c>
      <c r="N2660" s="213" t="s">
        <v>22199</v>
      </c>
      <c r="O2660" s="213" t="s">
        <v>22200</v>
      </c>
      <c r="P2660" s="213" t="s">
        <v>22201</v>
      </c>
      <c r="Q2660" s="213" t="s">
        <v>22202</v>
      </c>
      <c r="R2660" s="213" t="s">
        <v>22203</v>
      </c>
      <c r="S2660" s="213" t="s">
        <v>22204</v>
      </c>
      <c r="T2660" s="213" t="s">
        <v>22205</v>
      </c>
      <c r="U2660" s="213" t="s">
        <v>68284</v>
      </c>
    </row>
    <row r="2661" spans="1:21" x14ac:dyDescent="0.25">
      <c r="A2661" s="213" t="s">
        <v>327</v>
      </c>
      <c r="D2661" s="213" t="s">
        <v>22206</v>
      </c>
      <c r="E2661" s="213" t="s">
        <v>22207</v>
      </c>
      <c r="K2661" s="213" t="s">
        <v>68153</v>
      </c>
      <c r="L2661" s="213" t="s">
        <v>68197</v>
      </c>
      <c r="M2661" s="213" t="s">
        <v>68241</v>
      </c>
      <c r="N2661" s="213" t="s">
        <v>22208</v>
      </c>
      <c r="O2661" s="213" t="s">
        <v>22209</v>
      </c>
      <c r="P2661" s="213" t="s">
        <v>22210</v>
      </c>
      <c r="Q2661" s="213" t="s">
        <v>22211</v>
      </c>
      <c r="R2661" s="213" t="s">
        <v>22212</v>
      </c>
      <c r="S2661" s="213" t="s">
        <v>22213</v>
      </c>
      <c r="T2661" s="213" t="s">
        <v>22214</v>
      </c>
      <c r="U2661" s="213" t="s">
        <v>68285</v>
      </c>
    </row>
    <row r="2662" spans="1:21" x14ac:dyDescent="0.25">
      <c r="A2662" s="213" t="s">
        <v>327</v>
      </c>
      <c r="D2662" s="213" t="s">
        <v>22215</v>
      </c>
      <c r="E2662" s="213" t="s">
        <v>22216</v>
      </c>
      <c r="K2662" s="213" t="s">
        <v>68154</v>
      </c>
      <c r="L2662" s="213" t="s">
        <v>68198</v>
      </c>
      <c r="M2662" s="213" t="s">
        <v>68242</v>
      </c>
      <c r="N2662" s="213" t="s">
        <v>22217</v>
      </c>
      <c r="O2662" s="213" t="s">
        <v>22218</v>
      </c>
      <c r="P2662" s="213" t="s">
        <v>22219</v>
      </c>
      <c r="Q2662" s="213" t="s">
        <v>22220</v>
      </c>
      <c r="R2662" s="213" t="s">
        <v>22221</v>
      </c>
      <c r="S2662" s="213" t="s">
        <v>22222</v>
      </c>
      <c r="T2662" s="213" t="s">
        <v>22223</v>
      </c>
      <c r="U2662" s="213" t="s">
        <v>68286</v>
      </c>
    </row>
    <row r="2663" spans="1:21" x14ac:dyDescent="0.25">
      <c r="A2663" s="213" t="s">
        <v>327</v>
      </c>
      <c r="D2663" s="213" t="s">
        <v>22224</v>
      </c>
      <c r="E2663" s="213" t="s">
        <v>22225</v>
      </c>
      <c r="K2663" s="213" t="s">
        <v>68155</v>
      </c>
      <c r="L2663" s="213" t="s">
        <v>68199</v>
      </c>
      <c r="M2663" s="213" t="s">
        <v>68243</v>
      </c>
      <c r="N2663" s="213" t="s">
        <v>22226</v>
      </c>
      <c r="O2663" s="213" t="s">
        <v>22227</v>
      </c>
      <c r="P2663" s="213" t="s">
        <v>22228</v>
      </c>
      <c r="Q2663" s="213" t="s">
        <v>22229</v>
      </c>
      <c r="R2663" s="213" t="s">
        <v>22230</v>
      </c>
      <c r="S2663" s="213" t="s">
        <v>22231</v>
      </c>
      <c r="T2663" s="213" t="s">
        <v>22232</v>
      </c>
      <c r="U2663" s="213" t="s">
        <v>68287</v>
      </c>
    </row>
    <row r="2664" spans="1:21" x14ac:dyDescent="0.25">
      <c r="A2664" s="213" t="s">
        <v>327</v>
      </c>
      <c r="D2664" s="213" t="s">
        <v>22233</v>
      </c>
      <c r="E2664" s="213" t="s">
        <v>22234</v>
      </c>
      <c r="K2664" s="213" t="s">
        <v>68156</v>
      </c>
      <c r="L2664" s="213" t="s">
        <v>68200</v>
      </c>
      <c r="M2664" s="213" t="s">
        <v>68244</v>
      </c>
      <c r="N2664" s="213" t="s">
        <v>22235</v>
      </c>
      <c r="O2664" s="213" t="s">
        <v>22236</v>
      </c>
      <c r="P2664" s="213" t="s">
        <v>22237</v>
      </c>
      <c r="Q2664" s="213" t="s">
        <v>22238</v>
      </c>
      <c r="R2664" s="213" t="s">
        <v>22239</v>
      </c>
      <c r="S2664" s="213" t="s">
        <v>22240</v>
      </c>
      <c r="T2664" s="213" t="s">
        <v>22241</v>
      </c>
      <c r="U2664" s="213" t="s">
        <v>68288</v>
      </c>
    </row>
    <row r="2665" spans="1:21" x14ac:dyDescent="0.25">
      <c r="A2665" s="213" t="s">
        <v>327</v>
      </c>
      <c r="D2665" s="213" t="s">
        <v>22242</v>
      </c>
      <c r="E2665" s="213" t="s">
        <v>22243</v>
      </c>
      <c r="K2665" s="213" t="s">
        <v>68157</v>
      </c>
      <c r="L2665" s="213" t="s">
        <v>68201</v>
      </c>
      <c r="M2665" s="213" t="s">
        <v>68245</v>
      </c>
      <c r="N2665" s="213" t="s">
        <v>22244</v>
      </c>
      <c r="O2665" s="213" t="s">
        <v>22245</v>
      </c>
      <c r="P2665" s="213" t="s">
        <v>22246</v>
      </c>
      <c r="Q2665" s="213" t="s">
        <v>22247</v>
      </c>
      <c r="R2665" s="213" t="s">
        <v>22248</v>
      </c>
      <c r="S2665" s="213" t="s">
        <v>22249</v>
      </c>
      <c r="T2665" s="213" t="s">
        <v>22250</v>
      </c>
      <c r="U2665" s="213" t="s">
        <v>68289</v>
      </c>
    </row>
    <row r="2666" spans="1:21" x14ac:dyDescent="0.25">
      <c r="A2666" s="213" t="s">
        <v>327</v>
      </c>
      <c r="D2666" s="213" t="s">
        <v>22251</v>
      </c>
      <c r="E2666" s="213" t="s">
        <v>22252</v>
      </c>
      <c r="K2666" s="213" t="s">
        <v>68158</v>
      </c>
      <c r="L2666" s="213" t="s">
        <v>68202</v>
      </c>
      <c r="M2666" s="213" t="s">
        <v>68246</v>
      </c>
      <c r="N2666" s="213" t="s">
        <v>22253</v>
      </c>
      <c r="O2666" s="213" t="s">
        <v>22254</v>
      </c>
      <c r="P2666" s="213" t="s">
        <v>22255</v>
      </c>
      <c r="Q2666" s="213" t="s">
        <v>22256</v>
      </c>
      <c r="R2666" s="213" t="s">
        <v>22257</v>
      </c>
      <c r="S2666" s="213" t="s">
        <v>22258</v>
      </c>
      <c r="T2666" s="213" t="s">
        <v>22259</v>
      </c>
      <c r="U2666" s="213" t="s">
        <v>68290</v>
      </c>
    </row>
    <row r="2667" spans="1:21" x14ac:dyDescent="0.25">
      <c r="A2667" s="213" t="s">
        <v>327</v>
      </c>
      <c r="D2667" s="213" t="s">
        <v>22260</v>
      </c>
      <c r="E2667" s="213" t="s">
        <v>22261</v>
      </c>
      <c r="K2667" s="213" t="s">
        <v>68159</v>
      </c>
      <c r="L2667" s="213" t="s">
        <v>68203</v>
      </c>
      <c r="M2667" s="213" t="s">
        <v>68247</v>
      </c>
      <c r="N2667" s="213" t="s">
        <v>22262</v>
      </c>
      <c r="O2667" s="213" t="s">
        <v>22263</v>
      </c>
      <c r="P2667" s="213" t="s">
        <v>22264</v>
      </c>
      <c r="Q2667" s="213" t="s">
        <v>22265</v>
      </c>
      <c r="R2667" s="213" t="s">
        <v>22266</v>
      </c>
      <c r="S2667" s="213" t="s">
        <v>22267</v>
      </c>
      <c r="T2667" s="213" t="s">
        <v>22268</v>
      </c>
      <c r="U2667" s="213" t="s">
        <v>68291</v>
      </c>
    </row>
    <row r="2668" spans="1:21" x14ac:dyDescent="0.25">
      <c r="A2668" s="213" t="s">
        <v>327</v>
      </c>
      <c r="D2668" s="213" t="s">
        <v>22269</v>
      </c>
      <c r="E2668" s="213" t="s">
        <v>22270</v>
      </c>
      <c r="K2668" s="213" t="s">
        <v>68160</v>
      </c>
      <c r="L2668" s="213" t="s">
        <v>68204</v>
      </c>
      <c r="M2668" s="213" t="s">
        <v>68248</v>
      </c>
      <c r="N2668" s="213" t="s">
        <v>22271</v>
      </c>
      <c r="O2668" s="213" t="s">
        <v>22272</v>
      </c>
      <c r="P2668" s="213" t="s">
        <v>22273</v>
      </c>
      <c r="Q2668" s="213" t="s">
        <v>22274</v>
      </c>
      <c r="R2668" s="213" t="s">
        <v>22275</v>
      </c>
      <c r="S2668" s="213" t="s">
        <v>22276</v>
      </c>
      <c r="T2668" s="213" t="s">
        <v>22277</v>
      </c>
      <c r="U2668" s="213" t="s">
        <v>68292</v>
      </c>
    </row>
    <row r="2669" spans="1:21" x14ac:dyDescent="0.25">
      <c r="A2669" s="213" t="s">
        <v>327</v>
      </c>
      <c r="D2669" s="213" t="s">
        <v>22278</v>
      </c>
      <c r="E2669" s="213" t="s">
        <v>22279</v>
      </c>
      <c r="K2669" s="213" t="s">
        <v>68161</v>
      </c>
      <c r="L2669" s="213" t="s">
        <v>68205</v>
      </c>
      <c r="M2669" s="213" t="s">
        <v>68249</v>
      </c>
      <c r="N2669" s="213" t="s">
        <v>22280</v>
      </c>
      <c r="O2669" s="213" t="s">
        <v>22281</v>
      </c>
      <c r="P2669" s="213" t="s">
        <v>22282</v>
      </c>
      <c r="Q2669" s="213" t="s">
        <v>22283</v>
      </c>
      <c r="R2669" s="213" t="s">
        <v>22284</v>
      </c>
      <c r="S2669" s="213" t="s">
        <v>22285</v>
      </c>
      <c r="T2669" s="213" t="s">
        <v>22286</v>
      </c>
      <c r="U2669" s="213" t="s">
        <v>68293</v>
      </c>
    </row>
    <row r="2670" spans="1:21" x14ac:dyDescent="0.25">
      <c r="A2670" s="213" t="s">
        <v>327</v>
      </c>
      <c r="D2670" s="213" t="s">
        <v>22287</v>
      </c>
      <c r="E2670" s="213" t="s">
        <v>22288</v>
      </c>
      <c r="K2670" s="213" t="s">
        <v>68162</v>
      </c>
      <c r="L2670" s="213" t="s">
        <v>68206</v>
      </c>
      <c r="M2670" s="213" t="s">
        <v>68250</v>
      </c>
      <c r="N2670" s="213" t="s">
        <v>22289</v>
      </c>
      <c r="O2670" s="213" t="s">
        <v>22290</v>
      </c>
      <c r="P2670" s="213" t="s">
        <v>22291</v>
      </c>
      <c r="Q2670" s="213" t="s">
        <v>22292</v>
      </c>
      <c r="R2670" s="213" t="s">
        <v>22293</v>
      </c>
      <c r="S2670" s="213" t="s">
        <v>22294</v>
      </c>
      <c r="T2670" s="213" t="s">
        <v>22295</v>
      </c>
      <c r="U2670" s="213" t="s">
        <v>68294</v>
      </c>
    </row>
    <row r="2671" spans="1:21" x14ac:dyDescent="0.25">
      <c r="A2671" s="213" t="s">
        <v>327</v>
      </c>
      <c r="D2671" s="213" t="s">
        <v>22296</v>
      </c>
      <c r="E2671" s="213" t="s">
        <v>22297</v>
      </c>
      <c r="K2671" s="213" t="s">
        <v>68163</v>
      </c>
      <c r="L2671" s="213" t="s">
        <v>68207</v>
      </c>
      <c r="M2671" s="213" t="s">
        <v>68251</v>
      </c>
      <c r="N2671" s="213" t="s">
        <v>22298</v>
      </c>
      <c r="O2671" s="213" t="s">
        <v>22299</v>
      </c>
      <c r="P2671" s="213" t="s">
        <v>22300</v>
      </c>
      <c r="Q2671" s="213" t="s">
        <v>22301</v>
      </c>
      <c r="R2671" s="213" t="s">
        <v>22302</v>
      </c>
      <c r="S2671" s="213" t="s">
        <v>22303</v>
      </c>
      <c r="T2671" s="213" t="s">
        <v>22304</v>
      </c>
      <c r="U2671" s="213" t="s">
        <v>68295</v>
      </c>
    </row>
    <row r="2672" spans="1:21" x14ac:dyDescent="0.25">
      <c r="A2672" s="213" t="s">
        <v>327</v>
      </c>
      <c r="D2672" s="213" t="s">
        <v>22305</v>
      </c>
      <c r="E2672" s="213" t="s">
        <v>22306</v>
      </c>
      <c r="K2672" s="213" t="s">
        <v>68164</v>
      </c>
      <c r="L2672" s="213" t="s">
        <v>68208</v>
      </c>
      <c r="M2672" s="213" t="s">
        <v>68252</v>
      </c>
      <c r="N2672" s="213" t="s">
        <v>22307</v>
      </c>
      <c r="O2672" s="213" t="s">
        <v>22308</v>
      </c>
      <c r="P2672" s="213" t="s">
        <v>22309</v>
      </c>
      <c r="Q2672" s="213" t="s">
        <v>22310</v>
      </c>
      <c r="R2672" s="213" t="s">
        <v>22311</v>
      </c>
      <c r="S2672" s="213" t="s">
        <v>22312</v>
      </c>
      <c r="T2672" s="213" t="s">
        <v>22313</v>
      </c>
      <c r="U2672" s="213" t="s">
        <v>68296</v>
      </c>
    </row>
    <row r="2673" spans="1:21" x14ac:dyDescent="0.25">
      <c r="A2673" s="213" t="s">
        <v>327</v>
      </c>
      <c r="D2673" s="213" t="s">
        <v>22314</v>
      </c>
      <c r="E2673" s="213" t="s">
        <v>22315</v>
      </c>
      <c r="K2673" s="213" t="s">
        <v>68165</v>
      </c>
      <c r="L2673" s="213" t="s">
        <v>68209</v>
      </c>
      <c r="M2673" s="213" t="s">
        <v>68253</v>
      </c>
      <c r="N2673" s="213" t="s">
        <v>22316</v>
      </c>
      <c r="O2673" s="213" t="s">
        <v>22317</v>
      </c>
      <c r="P2673" s="213" t="s">
        <v>22318</v>
      </c>
      <c r="Q2673" s="213" t="s">
        <v>22319</v>
      </c>
      <c r="R2673" s="213" t="s">
        <v>22320</v>
      </c>
      <c r="S2673" s="213" t="s">
        <v>22321</v>
      </c>
      <c r="T2673" s="213" t="s">
        <v>22322</v>
      </c>
      <c r="U2673" s="213" t="s">
        <v>68297</v>
      </c>
    </row>
    <row r="2674" spans="1:21" x14ac:dyDescent="0.25">
      <c r="A2674" s="213" t="s">
        <v>327</v>
      </c>
      <c r="D2674" s="213" t="s">
        <v>22323</v>
      </c>
      <c r="E2674" s="213" t="s">
        <v>22324</v>
      </c>
      <c r="K2674" s="213" t="s">
        <v>68166</v>
      </c>
      <c r="L2674" s="213" t="s">
        <v>68210</v>
      </c>
      <c r="M2674" s="213" t="s">
        <v>68254</v>
      </c>
      <c r="N2674" s="213" t="s">
        <v>22325</v>
      </c>
      <c r="O2674" s="213" t="s">
        <v>22326</v>
      </c>
      <c r="P2674" s="213" t="s">
        <v>22327</v>
      </c>
      <c r="Q2674" s="213" t="s">
        <v>22328</v>
      </c>
      <c r="R2674" s="213" t="s">
        <v>22329</v>
      </c>
      <c r="S2674" s="213" t="s">
        <v>22330</v>
      </c>
      <c r="T2674" s="213" t="s">
        <v>22331</v>
      </c>
      <c r="U2674" s="213" t="s">
        <v>68298</v>
      </c>
    </row>
    <row r="2675" spans="1:21" x14ac:dyDescent="0.25">
      <c r="A2675" s="213" t="s">
        <v>327</v>
      </c>
      <c r="D2675" s="213" t="s">
        <v>22332</v>
      </c>
      <c r="E2675" s="213" t="s">
        <v>22333</v>
      </c>
      <c r="K2675" s="213" t="s">
        <v>68167</v>
      </c>
      <c r="L2675" s="213" t="s">
        <v>68211</v>
      </c>
      <c r="M2675" s="213" t="s">
        <v>68255</v>
      </c>
      <c r="N2675" s="213" t="s">
        <v>22334</v>
      </c>
      <c r="O2675" s="213" t="s">
        <v>22335</v>
      </c>
      <c r="P2675" s="213" t="s">
        <v>22336</v>
      </c>
      <c r="Q2675" s="213" t="s">
        <v>22337</v>
      </c>
      <c r="R2675" s="213" t="s">
        <v>22338</v>
      </c>
      <c r="S2675" s="213" t="s">
        <v>22339</v>
      </c>
      <c r="T2675" s="213" t="s">
        <v>22340</v>
      </c>
      <c r="U2675" s="213" t="s">
        <v>68299</v>
      </c>
    </row>
    <row r="2676" spans="1:21" x14ac:dyDescent="0.25">
      <c r="A2676" s="213" t="s">
        <v>327</v>
      </c>
      <c r="D2676" s="213" t="s">
        <v>22341</v>
      </c>
      <c r="E2676" s="213" t="s">
        <v>22342</v>
      </c>
      <c r="K2676" s="213" t="s">
        <v>68168</v>
      </c>
      <c r="L2676" s="213" t="s">
        <v>68212</v>
      </c>
      <c r="M2676" s="213" t="s">
        <v>68256</v>
      </c>
      <c r="N2676" s="213" t="s">
        <v>22343</v>
      </c>
      <c r="O2676" s="213" t="s">
        <v>22344</v>
      </c>
      <c r="P2676" s="213" t="s">
        <v>22345</v>
      </c>
      <c r="Q2676" s="213" t="s">
        <v>22346</v>
      </c>
      <c r="R2676" s="213" t="s">
        <v>22347</v>
      </c>
      <c r="S2676" s="213" t="s">
        <v>22348</v>
      </c>
      <c r="T2676" s="213" t="s">
        <v>22349</v>
      </c>
      <c r="U2676" s="213" t="s">
        <v>68300</v>
      </c>
    </row>
    <row r="2677" spans="1:21" x14ac:dyDescent="0.25">
      <c r="A2677" s="213" t="s">
        <v>327</v>
      </c>
      <c r="D2677" s="213" t="s">
        <v>22350</v>
      </c>
      <c r="E2677" s="213" t="s">
        <v>22351</v>
      </c>
      <c r="K2677" s="213" t="s">
        <v>68169</v>
      </c>
      <c r="L2677" s="213" t="s">
        <v>68213</v>
      </c>
      <c r="M2677" s="213" t="s">
        <v>68257</v>
      </c>
      <c r="N2677" s="213" t="s">
        <v>22352</v>
      </c>
      <c r="O2677" s="213" t="s">
        <v>22353</v>
      </c>
      <c r="P2677" s="213" t="s">
        <v>22354</v>
      </c>
      <c r="Q2677" s="213" t="s">
        <v>22355</v>
      </c>
      <c r="R2677" s="213" t="s">
        <v>22356</v>
      </c>
      <c r="S2677" s="213" t="s">
        <v>22357</v>
      </c>
      <c r="T2677" s="213" t="s">
        <v>22358</v>
      </c>
      <c r="U2677" s="213" t="s">
        <v>68301</v>
      </c>
    </row>
    <row r="2678" spans="1:21" x14ac:dyDescent="0.25">
      <c r="A2678" s="213" t="s">
        <v>327</v>
      </c>
      <c r="D2678" s="213" t="s">
        <v>22359</v>
      </c>
      <c r="E2678" s="213" t="s">
        <v>22360</v>
      </c>
      <c r="K2678" s="213" t="s">
        <v>68170</v>
      </c>
      <c r="L2678" s="213" t="s">
        <v>68214</v>
      </c>
      <c r="M2678" s="213" t="s">
        <v>68258</v>
      </c>
      <c r="N2678" s="213" t="s">
        <v>22361</v>
      </c>
      <c r="O2678" s="213" t="s">
        <v>22362</v>
      </c>
      <c r="P2678" s="213" t="s">
        <v>22363</v>
      </c>
      <c r="Q2678" s="213" t="s">
        <v>22364</v>
      </c>
      <c r="R2678" s="213" t="s">
        <v>22365</v>
      </c>
      <c r="S2678" s="213" t="s">
        <v>22366</v>
      </c>
      <c r="T2678" s="213" t="s">
        <v>22367</v>
      </c>
      <c r="U2678" s="213" t="s">
        <v>68302</v>
      </c>
    </row>
    <row r="2679" spans="1:21" x14ac:dyDescent="0.25">
      <c r="A2679" s="213" t="s">
        <v>327</v>
      </c>
      <c r="D2679" s="213" t="s">
        <v>22368</v>
      </c>
      <c r="E2679" s="213" t="s">
        <v>22369</v>
      </c>
      <c r="K2679" s="213" t="s">
        <v>68171</v>
      </c>
      <c r="L2679" s="213" t="s">
        <v>68215</v>
      </c>
      <c r="M2679" s="213" t="s">
        <v>68259</v>
      </c>
      <c r="N2679" s="213" t="s">
        <v>22370</v>
      </c>
      <c r="O2679" s="213" t="s">
        <v>22371</v>
      </c>
      <c r="P2679" s="213" t="s">
        <v>22372</v>
      </c>
      <c r="Q2679" s="213" t="s">
        <v>22373</v>
      </c>
      <c r="R2679" s="213" t="s">
        <v>22374</v>
      </c>
      <c r="S2679" s="213" t="s">
        <v>22375</v>
      </c>
      <c r="T2679" s="213" t="s">
        <v>22376</v>
      </c>
      <c r="U2679" s="213" t="s">
        <v>68303</v>
      </c>
    </row>
    <row r="2680" spans="1:21" x14ac:dyDescent="0.25">
      <c r="A2680" s="213" t="s">
        <v>327</v>
      </c>
      <c r="D2680" s="213" t="s">
        <v>22377</v>
      </c>
      <c r="E2680" s="213" t="s">
        <v>22378</v>
      </c>
      <c r="K2680" s="213" t="s">
        <v>68172</v>
      </c>
      <c r="L2680" s="213" t="s">
        <v>68216</v>
      </c>
      <c r="M2680" s="213" t="s">
        <v>68260</v>
      </c>
      <c r="N2680" s="213" t="s">
        <v>22379</v>
      </c>
      <c r="O2680" s="213" t="s">
        <v>22380</v>
      </c>
      <c r="P2680" s="213" t="s">
        <v>22381</v>
      </c>
      <c r="Q2680" s="213" t="s">
        <v>22382</v>
      </c>
      <c r="R2680" s="213" t="s">
        <v>22383</v>
      </c>
      <c r="S2680" s="213" t="s">
        <v>22384</v>
      </c>
      <c r="T2680" s="213" t="s">
        <v>22385</v>
      </c>
      <c r="U2680" s="213" t="s">
        <v>68304</v>
      </c>
    </row>
    <row r="2681" spans="1:21" x14ac:dyDescent="0.25">
      <c r="A2681" s="213" t="s">
        <v>327</v>
      </c>
      <c r="D2681" s="213" t="s">
        <v>22386</v>
      </c>
      <c r="E2681" s="213" t="s">
        <v>22387</v>
      </c>
      <c r="K2681" s="213" t="s">
        <v>68173</v>
      </c>
      <c r="L2681" s="213" t="s">
        <v>68217</v>
      </c>
      <c r="M2681" s="213" t="s">
        <v>68261</v>
      </c>
      <c r="N2681" s="213" t="s">
        <v>22388</v>
      </c>
      <c r="O2681" s="213" t="s">
        <v>22389</v>
      </c>
      <c r="P2681" s="213" t="s">
        <v>22390</v>
      </c>
      <c r="Q2681" s="213" t="s">
        <v>22391</v>
      </c>
      <c r="R2681" s="213" t="s">
        <v>22392</v>
      </c>
      <c r="S2681" s="213" t="s">
        <v>22393</v>
      </c>
      <c r="T2681" s="213" t="s">
        <v>22394</v>
      </c>
      <c r="U2681" s="213" t="s">
        <v>68305</v>
      </c>
    </row>
    <row r="2682" spans="1:21" x14ac:dyDescent="0.25">
      <c r="A2682" s="213" t="s">
        <v>327</v>
      </c>
      <c r="D2682" s="213" t="s">
        <v>22395</v>
      </c>
      <c r="E2682" s="213" t="s">
        <v>22396</v>
      </c>
      <c r="K2682" s="213" t="s">
        <v>68174</v>
      </c>
      <c r="L2682" s="213" t="s">
        <v>68218</v>
      </c>
      <c r="M2682" s="213" t="s">
        <v>68262</v>
      </c>
      <c r="N2682" s="213" t="s">
        <v>22397</v>
      </c>
      <c r="O2682" s="213" t="s">
        <v>22398</v>
      </c>
      <c r="P2682" s="213" t="s">
        <v>22399</v>
      </c>
      <c r="Q2682" s="213" t="s">
        <v>22400</v>
      </c>
      <c r="R2682" s="213" t="s">
        <v>22401</v>
      </c>
      <c r="S2682" s="213" t="s">
        <v>22402</v>
      </c>
      <c r="T2682" s="213" t="s">
        <v>22403</v>
      </c>
      <c r="U2682" s="213" t="s">
        <v>68306</v>
      </c>
    </row>
    <row r="2683" spans="1:21" x14ac:dyDescent="0.25">
      <c r="A2683" s="213" t="s">
        <v>327</v>
      </c>
      <c r="D2683" s="213" t="s">
        <v>22404</v>
      </c>
      <c r="E2683" s="213" t="s">
        <v>22405</v>
      </c>
      <c r="K2683" s="213" t="s">
        <v>68175</v>
      </c>
      <c r="L2683" s="213" t="s">
        <v>68219</v>
      </c>
      <c r="M2683" s="213" t="s">
        <v>68263</v>
      </c>
      <c r="N2683" s="213" t="s">
        <v>22406</v>
      </c>
      <c r="O2683" s="213" t="s">
        <v>22407</v>
      </c>
      <c r="P2683" s="213" t="s">
        <v>22408</v>
      </c>
      <c r="Q2683" s="213" t="s">
        <v>22409</v>
      </c>
      <c r="R2683" s="213" t="s">
        <v>22410</v>
      </c>
      <c r="S2683" s="213" t="s">
        <v>22411</v>
      </c>
      <c r="T2683" s="213" t="s">
        <v>22412</v>
      </c>
      <c r="U2683" s="213" t="s">
        <v>68307</v>
      </c>
    </row>
    <row r="2684" spans="1:21" x14ac:dyDescent="0.25">
      <c r="A2684" s="213" t="s">
        <v>327</v>
      </c>
      <c r="D2684" s="213" t="s">
        <v>22413</v>
      </c>
      <c r="E2684" s="213" t="s">
        <v>22414</v>
      </c>
      <c r="K2684" s="213" t="s">
        <v>68176</v>
      </c>
      <c r="L2684" s="213" t="s">
        <v>68220</v>
      </c>
      <c r="M2684" s="213" t="s">
        <v>68264</v>
      </c>
      <c r="N2684" s="213" t="s">
        <v>22415</v>
      </c>
      <c r="O2684" s="213" t="s">
        <v>22416</v>
      </c>
      <c r="P2684" s="213" t="s">
        <v>22417</v>
      </c>
      <c r="Q2684" s="213" t="s">
        <v>22418</v>
      </c>
      <c r="R2684" s="213" t="s">
        <v>22419</v>
      </c>
      <c r="S2684" s="213" t="s">
        <v>22420</v>
      </c>
      <c r="T2684" s="213" t="s">
        <v>22421</v>
      </c>
      <c r="U2684" s="213" t="s">
        <v>68308</v>
      </c>
    </row>
    <row r="2685" spans="1:21" x14ac:dyDescent="0.25">
      <c r="A2685" s="213" t="s">
        <v>327</v>
      </c>
      <c r="D2685" s="213" t="s">
        <v>22422</v>
      </c>
      <c r="E2685" s="213" t="s">
        <v>22423</v>
      </c>
      <c r="K2685" s="213" t="s">
        <v>68177</v>
      </c>
      <c r="L2685" s="213" t="s">
        <v>68221</v>
      </c>
      <c r="M2685" s="213" t="s">
        <v>68265</v>
      </c>
      <c r="N2685" s="213" t="s">
        <v>22424</v>
      </c>
      <c r="O2685" s="213" t="s">
        <v>22425</v>
      </c>
      <c r="P2685" s="213" t="s">
        <v>22426</v>
      </c>
      <c r="Q2685" s="213" t="s">
        <v>22427</v>
      </c>
      <c r="R2685" s="213" t="s">
        <v>22428</v>
      </c>
      <c r="S2685" s="213" t="s">
        <v>22429</v>
      </c>
      <c r="T2685" s="213" t="s">
        <v>22430</v>
      </c>
      <c r="U2685" s="213" t="s">
        <v>68309</v>
      </c>
    </row>
    <row r="2686" spans="1:21" x14ac:dyDescent="0.25">
      <c r="A2686" s="213" t="s">
        <v>327</v>
      </c>
      <c r="D2686" s="213" t="s">
        <v>22431</v>
      </c>
      <c r="E2686" s="213" t="s">
        <v>22432</v>
      </c>
      <c r="K2686" s="213" t="s">
        <v>68178</v>
      </c>
      <c r="L2686" s="213" t="s">
        <v>68222</v>
      </c>
      <c r="M2686" s="213" t="s">
        <v>68266</v>
      </c>
      <c r="N2686" s="213" t="s">
        <v>22433</v>
      </c>
      <c r="O2686" s="213" t="s">
        <v>22434</v>
      </c>
      <c r="P2686" s="213" t="s">
        <v>22435</v>
      </c>
      <c r="Q2686" s="213" t="s">
        <v>22436</v>
      </c>
      <c r="R2686" s="213" t="s">
        <v>22437</v>
      </c>
      <c r="S2686" s="213" t="s">
        <v>22438</v>
      </c>
      <c r="T2686" s="213" t="s">
        <v>22439</v>
      </c>
      <c r="U2686" s="213" t="s">
        <v>68310</v>
      </c>
    </row>
    <row r="2687" spans="1:21" x14ac:dyDescent="0.25">
      <c r="A2687" s="213" t="s">
        <v>327</v>
      </c>
      <c r="D2687" s="213" t="s">
        <v>22440</v>
      </c>
      <c r="E2687" s="213" t="s">
        <v>22441</v>
      </c>
      <c r="K2687" s="213" t="s">
        <v>68179</v>
      </c>
      <c r="L2687" s="213" t="s">
        <v>68223</v>
      </c>
      <c r="M2687" s="213" t="s">
        <v>68267</v>
      </c>
      <c r="N2687" s="213" t="s">
        <v>22442</v>
      </c>
      <c r="O2687" s="213" t="s">
        <v>22443</v>
      </c>
      <c r="P2687" s="213" t="s">
        <v>22444</v>
      </c>
      <c r="Q2687" s="213" t="s">
        <v>22445</v>
      </c>
      <c r="R2687" s="213" t="s">
        <v>22446</v>
      </c>
      <c r="S2687" s="213" t="s">
        <v>22447</v>
      </c>
      <c r="T2687" s="213" t="s">
        <v>22448</v>
      </c>
      <c r="U2687" s="213" t="s">
        <v>68311</v>
      </c>
    </row>
    <row r="2688" spans="1:21" x14ac:dyDescent="0.25">
      <c r="A2688" s="213" t="s">
        <v>327</v>
      </c>
      <c r="D2688" s="213" t="s">
        <v>22449</v>
      </c>
      <c r="E2688" s="213" t="s">
        <v>22450</v>
      </c>
      <c r="K2688" s="213" t="s">
        <v>68180</v>
      </c>
      <c r="L2688" s="213" t="s">
        <v>68224</v>
      </c>
      <c r="M2688" s="213" t="s">
        <v>68268</v>
      </c>
      <c r="N2688" s="213" t="s">
        <v>22451</v>
      </c>
      <c r="O2688" s="213" t="s">
        <v>22452</v>
      </c>
      <c r="P2688" s="213" t="s">
        <v>22453</v>
      </c>
      <c r="Q2688" s="213" t="s">
        <v>22454</v>
      </c>
      <c r="R2688" s="213" t="s">
        <v>22455</v>
      </c>
      <c r="S2688" s="213" t="s">
        <v>22456</v>
      </c>
      <c r="T2688" s="213" t="s">
        <v>22457</v>
      </c>
      <c r="U2688" s="213" t="s">
        <v>68312</v>
      </c>
    </row>
    <row r="2689" spans="1:21" x14ac:dyDescent="0.25">
      <c r="A2689" s="213" t="s">
        <v>327</v>
      </c>
      <c r="D2689" s="213" t="s">
        <v>22458</v>
      </c>
      <c r="E2689" s="213" t="s">
        <v>22459</v>
      </c>
      <c r="K2689" s="213" t="s">
        <v>68181</v>
      </c>
      <c r="L2689" s="213" t="s">
        <v>68225</v>
      </c>
      <c r="M2689" s="213" t="s">
        <v>68269</v>
      </c>
      <c r="N2689" s="213" t="s">
        <v>22460</v>
      </c>
      <c r="O2689" s="213" t="s">
        <v>22461</v>
      </c>
      <c r="P2689" s="213" t="s">
        <v>22462</v>
      </c>
      <c r="Q2689" s="213" t="s">
        <v>22463</v>
      </c>
      <c r="R2689" s="213" t="s">
        <v>22464</v>
      </c>
      <c r="S2689" s="213" t="s">
        <v>22465</v>
      </c>
      <c r="T2689" s="213" t="s">
        <v>22466</v>
      </c>
      <c r="U2689" s="213" t="s">
        <v>68313</v>
      </c>
    </row>
    <row r="2690" spans="1:21" x14ac:dyDescent="0.25">
      <c r="A2690" s="213" t="s">
        <v>327</v>
      </c>
      <c r="D2690" s="213" t="s">
        <v>22467</v>
      </c>
      <c r="E2690" s="213" t="s">
        <v>22468</v>
      </c>
      <c r="K2690" s="213" t="s">
        <v>68182</v>
      </c>
      <c r="L2690" s="213" t="s">
        <v>68226</v>
      </c>
      <c r="M2690" s="213" t="s">
        <v>68270</v>
      </c>
      <c r="N2690" s="213" t="s">
        <v>22469</v>
      </c>
      <c r="O2690" s="213" t="s">
        <v>22470</v>
      </c>
      <c r="P2690" s="213" t="s">
        <v>22471</v>
      </c>
      <c r="Q2690" s="213" t="s">
        <v>22472</v>
      </c>
      <c r="R2690" s="213" t="s">
        <v>22473</v>
      </c>
      <c r="S2690" s="213" t="s">
        <v>22474</v>
      </c>
      <c r="T2690" s="213" t="s">
        <v>22475</v>
      </c>
      <c r="U2690" s="213" t="s">
        <v>68314</v>
      </c>
    </row>
    <row r="2691" spans="1:21" x14ac:dyDescent="0.25">
      <c r="A2691" s="213" t="s">
        <v>327</v>
      </c>
      <c r="D2691" s="213" t="s">
        <v>22476</v>
      </c>
      <c r="E2691" s="213" t="s">
        <v>22477</v>
      </c>
      <c r="K2691" s="213" t="s">
        <v>68183</v>
      </c>
      <c r="L2691" s="213" t="s">
        <v>68227</v>
      </c>
      <c r="M2691" s="213" t="s">
        <v>68271</v>
      </c>
      <c r="N2691" s="213" t="s">
        <v>22478</v>
      </c>
      <c r="O2691" s="213" t="s">
        <v>22479</v>
      </c>
      <c r="P2691" s="213" t="s">
        <v>22480</v>
      </c>
      <c r="Q2691" s="213" t="s">
        <v>22481</v>
      </c>
      <c r="R2691" s="213" t="s">
        <v>22482</v>
      </c>
      <c r="S2691" s="213" t="s">
        <v>22483</v>
      </c>
      <c r="T2691" s="213" t="s">
        <v>22484</v>
      </c>
      <c r="U2691" s="213" t="s">
        <v>68315</v>
      </c>
    </row>
    <row r="2692" spans="1:21" x14ac:dyDescent="0.25">
      <c r="A2692" s="213" t="s">
        <v>327</v>
      </c>
      <c r="D2692" s="213" t="s">
        <v>22485</v>
      </c>
      <c r="E2692" s="213" t="s">
        <v>22486</v>
      </c>
      <c r="K2692" s="213" t="s">
        <v>68184</v>
      </c>
      <c r="L2692" s="213" t="s">
        <v>68228</v>
      </c>
      <c r="M2692" s="213" t="s">
        <v>68272</v>
      </c>
      <c r="N2692" s="213" t="s">
        <v>22487</v>
      </c>
      <c r="O2692" s="213" t="s">
        <v>22488</v>
      </c>
      <c r="P2692" s="213" t="s">
        <v>22489</v>
      </c>
      <c r="Q2692" s="213" t="s">
        <v>22490</v>
      </c>
      <c r="R2692" s="213" t="s">
        <v>22491</v>
      </c>
      <c r="S2692" s="213" t="s">
        <v>22492</v>
      </c>
      <c r="T2692" s="213" t="s">
        <v>22493</v>
      </c>
      <c r="U2692" s="213" t="s">
        <v>68316</v>
      </c>
    </row>
    <row r="2693" spans="1:21" x14ac:dyDescent="0.25">
      <c r="A2693" s="213" t="s">
        <v>327</v>
      </c>
      <c r="D2693" s="213" t="s">
        <v>22494</v>
      </c>
      <c r="E2693" s="213" t="s">
        <v>22495</v>
      </c>
      <c r="K2693" s="213" t="s">
        <v>68185</v>
      </c>
      <c r="L2693" s="213" t="s">
        <v>68229</v>
      </c>
      <c r="M2693" s="213" t="s">
        <v>68273</v>
      </c>
      <c r="N2693" s="213" t="s">
        <v>22496</v>
      </c>
      <c r="O2693" s="213" t="s">
        <v>22497</v>
      </c>
      <c r="P2693" s="213" t="s">
        <v>22498</v>
      </c>
      <c r="Q2693" s="213" t="s">
        <v>22499</v>
      </c>
      <c r="R2693" s="213" t="s">
        <v>22500</v>
      </c>
      <c r="S2693" s="213" t="s">
        <v>22501</v>
      </c>
      <c r="T2693" s="213" t="s">
        <v>22502</v>
      </c>
      <c r="U2693" s="213" t="s">
        <v>68317</v>
      </c>
    </row>
    <row r="2694" spans="1:21" x14ac:dyDescent="0.25">
      <c r="A2694" s="213" t="s">
        <v>327</v>
      </c>
      <c r="D2694" s="213" t="s">
        <v>22503</v>
      </c>
      <c r="E2694" s="213" t="s">
        <v>22504</v>
      </c>
      <c r="K2694" s="213" t="s">
        <v>68186</v>
      </c>
      <c r="L2694" s="213" t="s">
        <v>68230</v>
      </c>
      <c r="M2694" s="213" t="s">
        <v>68274</v>
      </c>
      <c r="N2694" s="213" t="s">
        <v>22505</v>
      </c>
      <c r="O2694" s="213" t="s">
        <v>22506</v>
      </c>
      <c r="P2694" s="213" t="s">
        <v>22507</v>
      </c>
      <c r="Q2694" s="213" t="s">
        <v>22508</v>
      </c>
      <c r="R2694" s="213" t="s">
        <v>22509</v>
      </c>
      <c r="S2694" s="213" t="s">
        <v>22510</v>
      </c>
      <c r="T2694" s="213" t="s">
        <v>22511</v>
      </c>
      <c r="U2694" s="213" t="s">
        <v>68318</v>
      </c>
    </row>
    <row r="2695" spans="1:21" x14ac:dyDescent="0.25">
      <c r="A2695" s="213" t="s">
        <v>327</v>
      </c>
      <c r="D2695" s="213" t="s">
        <v>22512</v>
      </c>
      <c r="E2695" s="213" t="s">
        <v>22513</v>
      </c>
      <c r="K2695" s="213" t="s">
        <v>68187</v>
      </c>
      <c r="L2695" s="213" t="s">
        <v>68231</v>
      </c>
      <c r="M2695" s="213" t="s">
        <v>68275</v>
      </c>
      <c r="N2695" s="213" t="s">
        <v>22514</v>
      </c>
      <c r="O2695" s="213" t="s">
        <v>22515</v>
      </c>
      <c r="P2695" s="213" t="s">
        <v>22516</v>
      </c>
      <c r="Q2695" s="213" t="s">
        <v>22517</v>
      </c>
      <c r="R2695" s="213" t="s">
        <v>22518</v>
      </c>
      <c r="S2695" s="213" t="s">
        <v>22519</v>
      </c>
      <c r="T2695" s="213" t="s">
        <v>22520</v>
      </c>
      <c r="U2695" s="213" t="s">
        <v>68319</v>
      </c>
    </row>
    <row r="2696" spans="1:21" x14ac:dyDescent="0.25">
      <c r="A2696" s="213" t="s">
        <v>327</v>
      </c>
      <c r="D2696" s="213" t="s">
        <v>22521</v>
      </c>
      <c r="E2696" s="213" t="s">
        <v>22522</v>
      </c>
      <c r="K2696" s="213" t="s">
        <v>68188</v>
      </c>
      <c r="L2696" s="213" t="s">
        <v>68232</v>
      </c>
      <c r="M2696" s="213" t="s">
        <v>68276</v>
      </c>
      <c r="N2696" s="213" t="s">
        <v>22523</v>
      </c>
      <c r="O2696" s="213" t="s">
        <v>22524</v>
      </c>
      <c r="P2696" s="213" t="s">
        <v>22525</v>
      </c>
      <c r="Q2696" s="213" t="s">
        <v>22526</v>
      </c>
      <c r="R2696" s="213" t="s">
        <v>22527</v>
      </c>
      <c r="S2696" s="213" t="s">
        <v>22528</v>
      </c>
      <c r="T2696" s="213" t="s">
        <v>22529</v>
      </c>
      <c r="U2696" s="213" t="s">
        <v>68320</v>
      </c>
    </row>
    <row r="2697" spans="1:21" x14ac:dyDescent="0.25">
      <c r="A2697" s="213" t="s">
        <v>327</v>
      </c>
      <c r="D2697" s="213" t="s">
        <v>22530</v>
      </c>
      <c r="E2697" s="213" t="s">
        <v>22531</v>
      </c>
      <c r="K2697" s="213" t="s">
        <v>68189</v>
      </c>
      <c r="L2697" s="213" t="s">
        <v>68233</v>
      </c>
      <c r="M2697" s="213" t="s">
        <v>68277</v>
      </c>
      <c r="N2697" s="213" t="s">
        <v>22532</v>
      </c>
      <c r="O2697" s="213" t="s">
        <v>22533</v>
      </c>
      <c r="P2697" s="213" t="s">
        <v>22534</v>
      </c>
      <c r="Q2697" s="213" t="s">
        <v>22535</v>
      </c>
      <c r="R2697" s="213" t="s">
        <v>22536</v>
      </c>
      <c r="S2697" s="213" t="s">
        <v>22537</v>
      </c>
      <c r="T2697" s="213" t="s">
        <v>22538</v>
      </c>
      <c r="U2697" s="213" t="s">
        <v>68321</v>
      </c>
    </row>
    <row r="2698" spans="1:21" x14ac:dyDescent="0.25">
      <c r="A2698" s="213" t="s">
        <v>327</v>
      </c>
    </row>
    <row r="2699" spans="1:21" x14ac:dyDescent="0.25">
      <c r="A2699" s="213" t="s">
        <v>327</v>
      </c>
    </row>
    <row r="2700" spans="1:21" x14ac:dyDescent="0.25">
      <c r="A2700" s="213" t="s">
        <v>327</v>
      </c>
      <c r="C2700" s="213" t="s">
        <v>22539</v>
      </c>
      <c r="E2700" s="213" t="s">
        <v>22540</v>
      </c>
      <c r="H2700" s="213" t="s">
        <v>22541</v>
      </c>
      <c r="I2700" s="213" t="s">
        <v>22542</v>
      </c>
      <c r="J2700" s="213" t="s">
        <v>22543</v>
      </c>
      <c r="L2700" s="213" t="s">
        <v>22544</v>
      </c>
      <c r="O2700" s="213" t="s">
        <v>22545</v>
      </c>
      <c r="P2700" s="213" t="s">
        <v>22546</v>
      </c>
      <c r="Q2700" s="213" t="s">
        <v>22547</v>
      </c>
      <c r="R2700" s="213" t="s">
        <v>22548</v>
      </c>
      <c r="S2700" s="213" t="s">
        <v>22549</v>
      </c>
      <c r="T2700" s="213" t="s">
        <v>22550</v>
      </c>
    </row>
    <row r="2701" spans="1:21" x14ac:dyDescent="0.25">
      <c r="A2701" s="213" t="s">
        <v>327</v>
      </c>
      <c r="C2701" s="213" t="s">
        <v>22551</v>
      </c>
      <c r="E2701" s="213" t="s">
        <v>22552</v>
      </c>
      <c r="I2701" s="213" t="s">
        <v>22553</v>
      </c>
    </row>
    <row r="2702" spans="1:21" x14ac:dyDescent="0.25">
      <c r="A2702" s="213" t="s">
        <v>327</v>
      </c>
      <c r="C2702" s="213" t="s">
        <v>22554</v>
      </c>
      <c r="E2702" s="213" t="s">
        <v>22555</v>
      </c>
      <c r="I2702" s="213" t="s">
        <v>22556</v>
      </c>
    </row>
    <row r="2703" spans="1:21" x14ac:dyDescent="0.25">
      <c r="A2703" s="213" t="s">
        <v>328</v>
      </c>
    </row>
    <row r="2704" spans="1:21" x14ac:dyDescent="0.25">
      <c r="A2704" s="213" t="s">
        <v>327</v>
      </c>
      <c r="D2704" s="213" t="s">
        <v>22557</v>
      </c>
      <c r="E2704" s="213" t="s">
        <v>22558</v>
      </c>
      <c r="K2704" s="213" t="s">
        <v>68078</v>
      </c>
      <c r="L2704" s="213" t="s">
        <v>68095</v>
      </c>
      <c r="M2704" s="213" t="s">
        <v>68112</v>
      </c>
      <c r="N2704" s="213" t="s">
        <v>22559</v>
      </c>
      <c r="O2704" s="213" t="s">
        <v>22560</v>
      </c>
      <c r="P2704" s="213" t="s">
        <v>22561</v>
      </c>
      <c r="Q2704" s="213" t="s">
        <v>22562</v>
      </c>
      <c r="R2704" s="213" t="s">
        <v>22563</v>
      </c>
      <c r="S2704" s="213" t="s">
        <v>22564</v>
      </c>
      <c r="T2704" s="213" t="s">
        <v>22565</v>
      </c>
      <c r="U2704" s="213" t="s">
        <v>68129</v>
      </c>
    </row>
    <row r="2705" spans="1:21" x14ac:dyDescent="0.25">
      <c r="A2705" s="213" t="s">
        <v>327</v>
      </c>
      <c r="D2705" s="213" t="s">
        <v>22566</v>
      </c>
      <c r="E2705" s="213" t="s">
        <v>22567</v>
      </c>
      <c r="K2705" s="213" t="s">
        <v>68079</v>
      </c>
      <c r="L2705" s="213" t="s">
        <v>68096</v>
      </c>
      <c r="M2705" s="213" t="s">
        <v>68113</v>
      </c>
      <c r="N2705" s="213" t="s">
        <v>22568</v>
      </c>
      <c r="O2705" s="213" t="s">
        <v>22569</v>
      </c>
      <c r="P2705" s="213" t="s">
        <v>22570</v>
      </c>
      <c r="Q2705" s="213" t="s">
        <v>22571</v>
      </c>
      <c r="R2705" s="213" t="s">
        <v>22572</v>
      </c>
      <c r="S2705" s="213" t="s">
        <v>22573</v>
      </c>
      <c r="T2705" s="213" t="s">
        <v>22574</v>
      </c>
      <c r="U2705" s="213" t="s">
        <v>68130</v>
      </c>
    </row>
    <row r="2706" spans="1:21" x14ac:dyDescent="0.25">
      <c r="A2706" s="213" t="s">
        <v>327</v>
      </c>
      <c r="D2706" s="213" t="s">
        <v>22575</v>
      </c>
      <c r="E2706" s="213" t="s">
        <v>22576</v>
      </c>
      <c r="K2706" s="213" t="s">
        <v>68080</v>
      </c>
      <c r="L2706" s="213" t="s">
        <v>68097</v>
      </c>
      <c r="M2706" s="213" t="s">
        <v>68114</v>
      </c>
      <c r="N2706" s="213" t="s">
        <v>22577</v>
      </c>
      <c r="O2706" s="213" t="s">
        <v>22578</v>
      </c>
      <c r="P2706" s="213" t="s">
        <v>22579</v>
      </c>
      <c r="Q2706" s="213" t="s">
        <v>22580</v>
      </c>
      <c r="R2706" s="213" t="s">
        <v>22581</v>
      </c>
      <c r="S2706" s="213" t="s">
        <v>22582</v>
      </c>
      <c r="T2706" s="213" t="s">
        <v>22583</v>
      </c>
      <c r="U2706" s="213" t="s">
        <v>68131</v>
      </c>
    </row>
    <row r="2707" spans="1:21" x14ac:dyDescent="0.25">
      <c r="A2707" s="213" t="s">
        <v>327</v>
      </c>
      <c r="D2707" s="213" t="s">
        <v>22584</v>
      </c>
      <c r="E2707" s="213" t="s">
        <v>22585</v>
      </c>
      <c r="K2707" s="213" t="s">
        <v>68081</v>
      </c>
      <c r="L2707" s="213" t="s">
        <v>68098</v>
      </c>
      <c r="M2707" s="213" t="s">
        <v>68115</v>
      </c>
      <c r="N2707" s="213" t="s">
        <v>22586</v>
      </c>
      <c r="O2707" s="213" t="s">
        <v>22587</v>
      </c>
      <c r="P2707" s="213" t="s">
        <v>22588</v>
      </c>
      <c r="Q2707" s="213" t="s">
        <v>22589</v>
      </c>
      <c r="R2707" s="213" t="s">
        <v>22590</v>
      </c>
      <c r="S2707" s="213" t="s">
        <v>22591</v>
      </c>
      <c r="T2707" s="213" t="s">
        <v>22592</v>
      </c>
      <c r="U2707" s="213" t="s">
        <v>68132</v>
      </c>
    </row>
    <row r="2708" spans="1:21" x14ac:dyDescent="0.25">
      <c r="A2708" s="213" t="s">
        <v>327</v>
      </c>
      <c r="D2708" s="213" t="s">
        <v>22593</v>
      </c>
      <c r="E2708" s="213" t="s">
        <v>22594</v>
      </c>
      <c r="K2708" s="213" t="s">
        <v>68082</v>
      </c>
      <c r="L2708" s="213" t="s">
        <v>68099</v>
      </c>
      <c r="M2708" s="213" t="s">
        <v>68116</v>
      </c>
      <c r="N2708" s="213" t="s">
        <v>22595</v>
      </c>
      <c r="O2708" s="213" t="s">
        <v>22596</v>
      </c>
      <c r="P2708" s="213" t="s">
        <v>22597</v>
      </c>
      <c r="Q2708" s="213" t="s">
        <v>22598</v>
      </c>
      <c r="R2708" s="213" t="s">
        <v>22599</v>
      </c>
      <c r="S2708" s="213" t="s">
        <v>22600</v>
      </c>
      <c r="T2708" s="213" t="s">
        <v>22601</v>
      </c>
      <c r="U2708" s="213" t="s">
        <v>68133</v>
      </c>
    </row>
    <row r="2709" spans="1:21" x14ac:dyDescent="0.25">
      <c r="A2709" s="213" t="s">
        <v>327</v>
      </c>
      <c r="D2709" s="213" t="s">
        <v>22602</v>
      </c>
      <c r="E2709" s="213" t="s">
        <v>22603</v>
      </c>
      <c r="K2709" s="213" t="s">
        <v>68083</v>
      </c>
      <c r="L2709" s="213" t="s">
        <v>68100</v>
      </c>
      <c r="M2709" s="213" t="s">
        <v>68117</v>
      </c>
      <c r="N2709" s="213" t="s">
        <v>22604</v>
      </c>
      <c r="O2709" s="213" t="s">
        <v>22605</v>
      </c>
      <c r="P2709" s="213" t="s">
        <v>22606</v>
      </c>
      <c r="Q2709" s="213" t="s">
        <v>22607</v>
      </c>
      <c r="R2709" s="213" t="s">
        <v>22608</v>
      </c>
      <c r="S2709" s="213" t="s">
        <v>22609</v>
      </c>
      <c r="T2709" s="213" t="s">
        <v>22610</v>
      </c>
      <c r="U2709" s="213" t="s">
        <v>68134</v>
      </c>
    </row>
    <row r="2710" spans="1:21" x14ac:dyDescent="0.25">
      <c r="A2710" s="213" t="s">
        <v>327</v>
      </c>
      <c r="D2710" s="213" t="s">
        <v>22611</v>
      </c>
      <c r="E2710" s="213" t="s">
        <v>22612</v>
      </c>
      <c r="K2710" s="213" t="s">
        <v>68084</v>
      </c>
      <c r="L2710" s="213" t="s">
        <v>68101</v>
      </c>
      <c r="M2710" s="213" t="s">
        <v>68118</v>
      </c>
      <c r="N2710" s="213" t="s">
        <v>22613</v>
      </c>
      <c r="O2710" s="213" t="s">
        <v>22614</v>
      </c>
      <c r="P2710" s="213" t="s">
        <v>22615</v>
      </c>
      <c r="Q2710" s="213" t="s">
        <v>22616</v>
      </c>
      <c r="R2710" s="213" t="s">
        <v>22617</v>
      </c>
      <c r="S2710" s="213" t="s">
        <v>22618</v>
      </c>
      <c r="T2710" s="213" t="s">
        <v>22619</v>
      </c>
      <c r="U2710" s="213" t="s">
        <v>68135</v>
      </c>
    </row>
    <row r="2711" spans="1:21" x14ac:dyDescent="0.25">
      <c r="A2711" s="213" t="s">
        <v>327</v>
      </c>
      <c r="D2711" s="213" t="s">
        <v>22620</v>
      </c>
      <c r="E2711" s="213" t="s">
        <v>22621</v>
      </c>
      <c r="K2711" s="213" t="s">
        <v>68085</v>
      </c>
      <c r="L2711" s="213" t="s">
        <v>68102</v>
      </c>
      <c r="M2711" s="213" t="s">
        <v>68119</v>
      </c>
      <c r="N2711" s="213" t="s">
        <v>22622</v>
      </c>
      <c r="O2711" s="213" t="s">
        <v>22623</v>
      </c>
      <c r="P2711" s="213" t="s">
        <v>22624</v>
      </c>
      <c r="Q2711" s="213" t="s">
        <v>22625</v>
      </c>
      <c r="R2711" s="213" t="s">
        <v>22626</v>
      </c>
      <c r="S2711" s="213" t="s">
        <v>22627</v>
      </c>
      <c r="T2711" s="213" t="s">
        <v>22628</v>
      </c>
      <c r="U2711" s="213" t="s">
        <v>68136</v>
      </c>
    </row>
    <row r="2712" spans="1:21" x14ac:dyDescent="0.25">
      <c r="A2712" s="213" t="s">
        <v>327</v>
      </c>
      <c r="D2712" s="213" t="s">
        <v>22629</v>
      </c>
      <c r="E2712" s="213" t="s">
        <v>22630</v>
      </c>
      <c r="K2712" s="213" t="s">
        <v>68086</v>
      </c>
      <c r="L2712" s="213" t="s">
        <v>68103</v>
      </c>
      <c r="M2712" s="213" t="s">
        <v>68120</v>
      </c>
      <c r="N2712" s="213" t="s">
        <v>22631</v>
      </c>
      <c r="O2712" s="213" t="s">
        <v>22632</v>
      </c>
      <c r="P2712" s="213" t="s">
        <v>22633</v>
      </c>
      <c r="Q2712" s="213" t="s">
        <v>22634</v>
      </c>
      <c r="R2712" s="213" t="s">
        <v>22635</v>
      </c>
      <c r="S2712" s="213" t="s">
        <v>22636</v>
      </c>
      <c r="T2712" s="213" t="s">
        <v>22637</v>
      </c>
      <c r="U2712" s="213" t="s">
        <v>68137</v>
      </c>
    </row>
    <row r="2713" spans="1:21" x14ac:dyDescent="0.25">
      <c r="A2713" s="213" t="s">
        <v>327</v>
      </c>
      <c r="D2713" s="213" t="s">
        <v>22638</v>
      </c>
      <c r="E2713" s="213" t="s">
        <v>22639</v>
      </c>
      <c r="K2713" s="213" t="s">
        <v>68087</v>
      </c>
      <c r="L2713" s="213" t="s">
        <v>68104</v>
      </c>
      <c r="M2713" s="213" t="s">
        <v>68121</v>
      </c>
      <c r="N2713" s="213" t="s">
        <v>22640</v>
      </c>
      <c r="O2713" s="213" t="s">
        <v>22641</v>
      </c>
      <c r="P2713" s="213" t="s">
        <v>22642</v>
      </c>
      <c r="Q2713" s="213" t="s">
        <v>22643</v>
      </c>
      <c r="R2713" s="213" t="s">
        <v>22644</v>
      </c>
      <c r="S2713" s="213" t="s">
        <v>22645</v>
      </c>
      <c r="T2713" s="213" t="s">
        <v>22646</v>
      </c>
      <c r="U2713" s="213" t="s">
        <v>68138</v>
      </c>
    </row>
    <row r="2714" spans="1:21" x14ac:dyDescent="0.25">
      <c r="A2714" s="213" t="s">
        <v>327</v>
      </c>
      <c r="D2714" s="213" t="s">
        <v>22647</v>
      </c>
      <c r="E2714" s="213" t="s">
        <v>22648</v>
      </c>
      <c r="K2714" s="213" t="s">
        <v>68088</v>
      </c>
      <c r="L2714" s="213" t="s">
        <v>68105</v>
      </c>
      <c r="M2714" s="213" t="s">
        <v>68122</v>
      </c>
      <c r="N2714" s="213" t="s">
        <v>22649</v>
      </c>
      <c r="O2714" s="213" t="s">
        <v>22650</v>
      </c>
      <c r="P2714" s="213" t="s">
        <v>22651</v>
      </c>
      <c r="Q2714" s="213" t="s">
        <v>22652</v>
      </c>
      <c r="R2714" s="213" t="s">
        <v>22653</v>
      </c>
      <c r="S2714" s="213" t="s">
        <v>22654</v>
      </c>
      <c r="T2714" s="213" t="s">
        <v>22655</v>
      </c>
      <c r="U2714" s="213" t="s">
        <v>68139</v>
      </c>
    </row>
    <row r="2715" spans="1:21" x14ac:dyDescent="0.25">
      <c r="A2715" s="213" t="s">
        <v>327</v>
      </c>
      <c r="D2715" s="213" t="s">
        <v>22656</v>
      </c>
      <c r="E2715" s="213" t="s">
        <v>22657</v>
      </c>
      <c r="K2715" s="213" t="s">
        <v>68089</v>
      </c>
      <c r="L2715" s="213" t="s">
        <v>68106</v>
      </c>
      <c r="M2715" s="213" t="s">
        <v>68123</v>
      </c>
      <c r="N2715" s="213" t="s">
        <v>22658</v>
      </c>
      <c r="O2715" s="213" t="s">
        <v>22659</v>
      </c>
      <c r="P2715" s="213" t="s">
        <v>22660</v>
      </c>
      <c r="Q2715" s="213" t="s">
        <v>22661</v>
      </c>
      <c r="R2715" s="213" t="s">
        <v>22662</v>
      </c>
      <c r="S2715" s="213" t="s">
        <v>22663</v>
      </c>
      <c r="T2715" s="213" t="s">
        <v>22664</v>
      </c>
      <c r="U2715" s="213" t="s">
        <v>68140</v>
      </c>
    </row>
    <row r="2716" spans="1:21" x14ac:dyDescent="0.25">
      <c r="A2716" s="213" t="s">
        <v>327</v>
      </c>
      <c r="D2716" s="213" t="s">
        <v>22665</v>
      </c>
      <c r="E2716" s="213" t="s">
        <v>22666</v>
      </c>
      <c r="K2716" s="213" t="s">
        <v>68090</v>
      </c>
      <c r="L2716" s="213" t="s">
        <v>68107</v>
      </c>
      <c r="M2716" s="213" t="s">
        <v>68124</v>
      </c>
      <c r="N2716" s="213" t="s">
        <v>22667</v>
      </c>
      <c r="O2716" s="213" t="s">
        <v>22668</v>
      </c>
      <c r="P2716" s="213" t="s">
        <v>22669</v>
      </c>
      <c r="Q2716" s="213" t="s">
        <v>22670</v>
      </c>
      <c r="R2716" s="213" t="s">
        <v>22671</v>
      </c>
      <c r="S2716" s="213" t="s">
        <v>22672</v>
      </c>
      <c r="T2716" s="213" t="s">
        <v>22673</v>
      </c>
      <c r="U2716" s="213" t="s">
        <v>68141</v>
      </c>
    </row>
    <row r="2717" spans="1:21" x14ac:dyDescent="0.25">
      <c r="A2717" s="213" t="s">
        <v>327</v>
      </c>
      <c r="D2717" s="213" t="s">
        <v>22674</v>
      </c>
      <c r="E2717" s="213" t="s">
        <v>22675</v>
      </c>
      <c r="K2717" s="213" t="s">
        <v>68091</v>
      </c>
      <c r="L2717" s="213" t="s">
        <v>68108</v>
      </c>
      <c r="M2717" s="213" t="s">
        <v>68125</v>
      </c>
      <c r="N2717" s="213" t="s">
        <v>22676</v>
      </c>
      <c r="O2717" s="213" t="s">
        <v>22677</v>
      </c>
      <c r="P2717" s="213" t="s">
        <v>22678</v>
      </c>
      <c r="Q2717" s="213" t="s">
        <v>22679</v>
      </c>
      <c r="R2717" s="213" t="s">
        <v>22680</v>
      </c>
      <c r="S2717" s="213" t="s">
        <v>22681</v>
      </c>
      <c r="T2717" s="213" t="s">
        <v>22682</v>
      </c>
      <c r="U2717" s="213" t="s">
        <v>68142</v>
      </c>
    </row>
    <row r="2718" spans="1:21" x14ac:dyDescent="0.25">
      <c r="A2718" s="213" t="s">
        <v>327</v>
      </c>
      <c r="D2718" s="213" t="s">
        <v>22683</v>
      </c>
      <c r="E2718" s="213" t="s">
        <v>22684</v>
      </c>
      <c r="K2718" s="213" t="s">
        <v>68092</v>
      </c>
      <c r="L2718" s="213" t="s">
        <v>68109</v>
      </c>
      <c r="M2718" s="213" t="s">
        <v>68126</v>
      </c>
      <c r="N2718" s="213" t="s">
        <v>22685</v>
      </c>
      <c r="O2718" s="213" t="s">
        <v>22686</v>
      </c>
      <c r="P2718" s="213" t="s">
        <v>22687</v>
      </c>
      <c r="Q2718" s="213" t="s">
        <v>22688</v>
      </c>
      <c r="R2718" s="213" t="s">
        <v>22689</v>
      </c>
      <c r="S2718" s="213" t="s">
        <v>22690</v>
      </c>
      <c r="T2718" s="213" t="s">
        <v>22691</v>
      </c>
      <c r="U2718" s="213" t="s">
        <v>68143</v>
      </c>
    </row>
    <row r="2719" spans="1:21" x14ac:dyDescent="0.25">
      <c r="A2719" s="213" t="s">
        <v>327</v>
      </c>
      <c r="D2719" s="213" t="s">
        <v>22692</v>
      </c>
      <c r="E2719" s="213" t="s">
        <v>22693</v>
      </c>
      <c r="K2719" s="213" t="s">
        <v>68093</v>
      </c>
      <c r="L2719" s="213" t="s">
        <v>68110</v>
      </c>
      <c r="M2719" s="213" t="s">
        <v>68127</v>
      </c>
      <c r="N2719" s="213" t="s">
        <v>22694</v>
      </c>
      <c r="O2719" s="213" t="s">
        <v>22695</v>
      </c>
      <c r="P2719" s="213" t="s">
        <v>22696</v>
      </c>
      <c r="Q2719" s="213" t="s">
        <v>22697</v>
      </c>
      <c r="R2719" s="213" t="s">
        <v>22698</v>
      </c>
      <c r="S2719" s="213" t="s">
        <v>22699</v>
      </c>
      <c r="T2719" s="213" t="s">
        <v>22700</v>
      </c>
      <c r="U2719" s="213" t="s">
        <v>68144</v>
      </c>
    </row>
    <row r="2720" spans="1:21" x14ac:dyDescent="0.25">
      <c r="A2720" s="213" t="s">
        <v>327</v>
      </c>
      <c r="D2720" s="213" t="s">
        <v>22701</v>
      </c>
      <c r="E2720" s="213" t="s">
        <v>22702</v>
      </c>
      <c r="K2720" s="213" t="s">
        <v>68094</v>
      </c>
      <c r="L2720" s="213" t="s">
        <v>68111</v>
      </c>
      <c r="M2720" s="213" t="s">
        <v>68128</v>
      </c>
      <c r="N2720" s="213" t="s">
        <v>22703</v>
      </c>
      <c r="O2720" s="213" t="s">
        <v>22704</v>
      </c>
      <c r="P2720" s="213" t="s">
        <v>22705</v>
      </c>
      <c r="Q2720" s="213" t="s">
        <v>22706</v>
      </c>
      <c r="R2720" s="213" t="s">
        <v>22707</v>
      </c>
      <c r="S2720" s="213" t="s">
        <v>22708</v>
      </c>
      <c r="T2720" s="213" t="s">
        <v>22709</v>
      </c>
      <c r="U2720" s="213" t="s">
        <v>68145</v>
      </c>
    </row>
    <row r="2721" spans="1:21" x14ac:dyDescent="0.25">
      <c r="A2721" s="213" t="s">
        <v>327</v>
      </c>
    </row>
    <row r="2722" spans="1:21" x14ac:dyDescent="0.25">
      <c r="A2722" s="213" t="s">
        <v>327</v>
      </c>
    </row>
    <row r="2723" spans="1:21" x14ac:dyDescent="0.25">
      <c r="A2723" s="213" t="s">
        <v>327</v>
      </c>
      <c r="C2723" s="213" t="s">
        <v>22710</v>
      </c>
      <c r="E2723" s="213" t="s">
        <v>22711</v>
      </c>
      <c r="H2723" s="213" t="s">
        <v>22712</v>
      </c>
      <c r="I2723" s="213" t="s">
        <v>22713</v>
      </c>
      <c r="J2723" s="213" t="s">
        <v>22714</v>
      </c>
      <c r="L2723" s="213" t="s">
        <v>22715</v>
      </c>
      <c r="O2723" s="213" t="s">
        <v>22716</v>
      </c>
      <c r="P2723" s="213" t="s">
        <v>22717</v>
      </c>
      <c r="Q2723" s="213" t="s">
        <v>22718</v>
      </c>
      <c r="R2723" s="213" t="s">
        <v>22719</v>
      </c>
      <c r="S2723" s="213" t="s">
        <v>22720</v>
      </c>
      <c r="T2723" s="213" t="s">
        <v>22721</v>
      </c>
    </row>
    <row r="2724" spans="1:21" x14ac:dyDescent="0.25">
      <c r="A2724" s="213" t="s">
        <v>327</v>
      </c>
      <c r="C2724" s="213" t="s">
        <v>22722</v>
      </c>
      <c r="E2724" s="213" t="s">
        <v>22723</v>
      </c>
      <c r="I2724" s="213" t="s">
        <v>22724</v>
      </c>
    </row>
    <row r="2725" spans="1:21" x14ac:dyDescent="0.25">
      <c r="A2725" s="213" t="s">
        <v>327</v>
      </c>
      <c r="C2725" s="213" t="s">
        <v>22725</v>
      </c>
      <c r="E2725" s="213" t="s">
        <v>22726</v>
      </c>
      <c r="I2725" s="213" t="s">
        <v>22727</v>
      </c>
    </row>
    <row r="2726" spans="1:21" x14ac:dyDescent="0.25">
      <c r="A2726" s="213" t="s">
        <v>328</v>
      </c>
    </row>
    <row r="2727" spans="1:21" x14ac:dyDescent="0.25">
      <c r="A2727" s="213" t="s">
        <v>327</v>
      </c>
      <c r="D2727" s="213" t="s">
        <v>22728</v>
      </c>
      <c r="E2727" s="213" t="s">
        <v>22729</v>
      </c>
      <c r="K2727" s="213" t="s">
        <v>67570</v>
      </c>
      <c r="L2727" s="213" t="s">
        <v>67697</v>
      </c>
      <c r="M2727" s="213" t="s">
        <v>67824</v>
      </c>
      <c r="N2727" s="213" t="s">
        <v>22730</v>
      </c>
      <c r="O2727" s="213" t="s">
        <v>22731</v>
      </c>
      <c r="P2727" s="213" t="s">
        <v>22732</v>
      </c>
      <c r="Q2727" s="213" t="s">
        <v>22733</v>
      </c>
      <c r="R2727" s="213" t="s">
        <v>22734</v>
      </c>
      <c r="S2727" s="213" t="s">
        <v>22735</v>
      </c>
      <c r="T2727" s="213" t="s">
        <v>22736</v>
      </c>
      <c r="U2727" s="213" t="s">
        <v>67951</v>
      </c>
    </row>
    <row r="2728" spans="1:21" x14ac:dyDescent="0.25">
      <c r="A2728" s="213" t="s">
        <v>327</v>
      </c>
      <c r="D2728" s="213" t="s">
        <v>22737</v>
      </c>
      <c r="E2728" s="213" t="s">
        <v>22738</v>
      </c>
      <c r="K2728" s="213" t="s">
        <v>67571</v>
      </c>
      <c r="L2728" s="213" t="s">
        <v>67698</v>
      </c>
      <c r="M2728" s="213" t="s">
        <v>67825</v>
      </c>
      <c r="N2728" s="213" t="s">
        <v>22739</v>
      </c>
      <c r="O2728" s="213" t="s">
        <v>22740</v>
      </c>
      <c r="P2728" s="213" t="s">
        <v>22741</v>
      </c>
      <c r="Q2728" s="213" t="s">
        <v>22742</v>
      </c>
      <c r="R2728" s="213" t="s">
        <v>22743</v>
      </c>
      <c r="S2728" s="213" t="s">
        <v>22744</v>
      </c>
      <c r="T2728" s="213" t="s">
        <v>22745</v>
      </c>
      <c r="U2728" s="213" t="s">
        <v>67952</v>
      </c>
    </row>
    <row r="2729" spans="1:21" x14ac:dyDescent="0.25">
      <c r="A2729" s="213" t="s">
        <v>327</v>
      </c>
      <c r="D2729" s="213" t="s">
        <v>22746</v>
      </c>
      <c r="E2729" s="213" t="s">
        <v>22747</v>
      </c>
      <c r="K2729" s="213" t="s">
        <v>67572</v>
      </c>
      <c r="L2729" s="213" t="s">
        <v>67699</v>
      </c>
      <c r="M2729" s="213" t="s">
        <v>67826</v>
      </c>
      <c r="N2729" s="213" t="s">
        <v>22748</v>
      </c>
      <c r="O2729" s="213" t="s">
        <v>22749</v>
      </c>
      <c r="P2729" s="213" t="s">
        <v>22750</v>
      </c>
      <c r="Q2729" s="213" t="s">
        <v>22751</v>
      </c>
      <c r="R2729" s="213" t="s">
        <v>22752</v>
      </c>
      <c r="S2729" s="213" t="s">
        <v>22753</v>
      </c>
      <c r="T2729" s="213" t="s">
        <v>22754</v>
      </c>
      <c r="U2729" s="213" t="s">
        <v>67953</v>
      </c>
    </row>
    <row r="2730" spans="1:21" x14ac:dyDescent="0.25">
      <c r="A2730" s="213" t="s">
        <v>327</v>
      </c>
      <c r="D2730" s="213" t="s">
        <v>22755</v>
      </c>
      <c r="E2730" s="213" t="s">
        <v>22756</v>
      </c>
      <c r="K2730" s="213" t="s">
        <v>67573</v>
      </c>
      <c r="L2730" s="213" t="s">
        <v>67700</v>
      </c>
      <c r="M2730" s="213" t="s">
        <v>67827</v>
      </c>
      <c r="N2730" s="213" t="s">
        <v>22757</v>
      </c>
      <c r="O2730" s="213" t="s">
        <v>22758</v>
      </c>
      <c r="P2730" s="213" t="s">
        <v>22759</v>
      </c>
      <c r="Q2730" s="213" t="s">
        <v>22760</v>
      </c>
      <c r="R2730" s="213" t="s">
        <v>22761</v>
      </c>
      <c r="S2730" s="213" t="s">
        <v>22762</v>
      </c>
      <c r="T2730" s="213" t="s">
        <v>22763</v>
      </c>
      <c r="U2730" s="213" t="s">
        <v>67954</v>
      </c>
    </row>
    <row r="2731" spans="1:21" x14ac:dyDescent="0.25">
      <c r="A2731" s="213" t="s">
        <v>327</v>
      </c>
      <c r="D2731" s="213" t="s">
        <v>22764</v>
      </c>
      <c r="E2731" s="213" t="s">
        <v>22765</v>
      </c>
      <c r="K2731" s="213" t="s">
        <v>67574</v>
      </c>
      <c r="L2731" s="213" t="s">
        <v>67701</v>
      </c>
      <c r="M2731" s="213" t="s">
        <v>67828</v>
      </c>
      <c r="N2731" s="213" t="s">
        <v>22766</v>
      </c>
      <c r="O2731" s="213" t="s">
        <v>22767</v>
      </c>
      <c r="P2731" s="213" t="s">
        <v>22768</v>
      </c>
      <c r="Q2731" s="213" t="s">
        <v>22769</v>
      </c>
      <c r="R2731" s="213" t="s">
        <v>22770</v>
      </c>
      <c r="S2731" s="213" t="s">
        <v>22771</v>
      </c>
      <c r="T2731" s="213" t="s">
        <v>22772</v>
      </c>
      <c r="U2731" s="213" t="s">
        <v>67955</v>
      </c>
    </row>
    <row r="2732" spans="1:21" x14ac:dyDescent="0.25">
      <c r="A2732" s="213" t="s">
        <v>327</v>
      </c>
      <c r="D2732" s="213" t="s">
        <v>22773</v>
      </c>
      <c r="E2732" s="213" t="s">
        <v>22774</v>
      </c>
      <c r="K2732" s="213" t="s">
        <v>67575</v>
      </c>
      <c r="L2732" s="213" t="s">
        <v>67702</v>
      </c>
      <c r="M2732" s="213" t="s">
        <v>67829</v>
      </c>
      <c r="N2732" s="213" t="s">
        <v>22775</v>
      </c>
      <c r="O2732" s="213" t="s">
        <v>22776</v>
      </c>
      <c r="P2732" s="213" t="s">
        <v>22777</v>
      </c>
      <c r="Q2732" s="213" t="s">
        <v>22778</v>
      </c>
      <c r="R2732" s="213" t="s">
        <v>22779</v>
      </c>
      <c r="S2732" s="213" t="s">
        <v>22780</v>
      </c>
      <c r="T2732" s="213" t="s">
        <v>22781</v>
      </c>
      <c r="U2732" s="213" t="s">
        <v>67956</v>
      </c>
    </row>
    <row r="2733" spans="1:21" x14ac:dyDescent="0.25">
      <c r="A2733" s="213" t="s">
        <v>327</v>
      </c>
      <c r="D2733" s="213" t="s">
        <v>22782</v>
      </c>
      <c r="E2733" s="213" t="s">
        <v>22783</v>
      </c>
      <c r="K2733" s="213" t="s">
        <v>67576</v>
      </c>
      <c r="L2733" s="213" t="s">
        <v>67703</v>
      </c>
      <c r="M2733" s="213" t="s">
        <v>67830</v>
      </c>
      <c r="N2733" s="213" t="s">
        <v>22784</v>
      </c>
      <c r="O2733" s="213" t="s">
        <v>22785</v>
      </c>
      <c r="P2733" s="213" t="s">
        <v>22786</v>
      </c>
      <c r="Q2733" s="213" t="s">
        <v>22787</v>
      </c>
      <c r="R2733" s="213" t="s">
        <v>22788</v>
      </c>
      <c r="S2733" s="213" t="s">
        <v>22789</v>
      </c>
      <c r="T2733" s="213" t="s">
        <v>22790</v>
      </c>
      <c r="U2733" s="213" t="s">
        <v>67957</v>
      </c>
    </row>
    <row r="2734" spans="1:21" x14ac:dyDescent="0.25">
      <c r="A2734" s="213" t="s">
        <v>327</v>
      </c>
      <c r="D2734" s="213" t="s">
        <v>22791</v>
      </c>
      <c r="E2734" s="213" t="s">
        <v>22792</v>
      </c>
      <c r="K2734" s="213" t="s">
        <v>67577</v>
      </c>
      <c r="L2734" s="213" t="s">
        <v>67704</v>
      </c>
      <c r="M2734" s="213" t="s">
        <v>67831</v>
      </c>
      <c r="N2734" s="213" t="s">
        <v>22793</v>
      </c>
      <c r="O2734" s="213" t="s">
        <v>22794</v>
      </c>
      <c r="P2734" s="213" t="s">
        <v>22795</v>
      </c>
      <c r="Q2734" s="213" t="s">
        <v>22796</v>
      </c>
      <c r="R2734" s="213" t="s">
        <v>22797</v>
      </c>
      <c r="S2734" s="213" t="s">
        <v>22798</v>
      </c>
      <c r="T2734" s="213" t="s">
        <v>22799</v>
      </c>
      <c r="U2734" s="213" t="s">
        <v>67958</v>
      </c>
    </row>
    <row r="2735" spans="1:21" x14ac:dyDescent="0.25">
      <c r="A2735" s="213" t="s">
        <v>327</v>
      </c>
      <c r="D2735" s="213" t="s">
        <v>22800</v>
      </c>
      <c r="E2735" s="213" t="s">
        <v>22801</v>
      </c>
      <c r="K2735" s="213" t="s">
        <v>67578</v>
      </c>
      <c r="L2735" s="213" t="s">
        <v>67705</v>
      </c>
      <c r="M2735" s="213" t="s">
        <v>67832</v>
      </c>
      <c r="N2735" s="213" t="s">
        <v>22802</v>
      </c>
      <c r="O2735" s="213" t="s">
        <v>22803</v>
      </c>
      <c r="P2735" s="213" t="s">
        <v>22804</v>
      </c>
      <c r="Q2735" s="213" t="s">
        <v>22805</v>
      </c>
      <c r="R2735" s="213" t="s">
        <v>22806</v>
      </c>
      <c r="S2735" s="213" t="s">
        <v>22807</v>
      </c>
      <c r="T2735" s="213" t="s">
        <v>22808</v>
      </c>
      <c r="U2735" s="213" t="s">
        <v>67959</v>
      </c>
    </row>
    <row r="2736" spans="1:21" x14ac:dyDescent="0.25">
      <c r="A2736" s="213" t="s">
        <v>327</v>
      </c>
      <c r="D2736" s="213" t="s">
        <v>22809</v>
      </c>
      <c r="E2736" s="213" t="s">
        <v>22810</v>
      </c>
      <c r="K2736" s="213" t="s">
        <v>67579</v>
      </c>
      <c r="L2736" s="213" t="s">
        <v>67706</v>
      </c>
      <c r="M2736" s="213" t="s">
        <v>67833</v>
      </c>
      <c r="N2736" s="213" t="s">
        <v>22811</v>
      </c>
      <c r="O2736" s="213" t="s">
        <v>22812</v>
      </c>
      <c r="P2736" s="213" t="s">
        <v>22813</v>
      </c>
      <c r="Q2736" s="213" t="s">
        <v>22814</v>
      </c>
      <c r="R2736" s="213" t="s">
        <v>22815</v>
      </c>
      <c r="S2736" s="213" t="s">
        <v>22816</v>
      </c>
      <c r="T2736" s="213" t="s">
        <v>22817</v>
      </c>
      <c r="U2736" s="213" t="s">
        <v>67960</v>
      </c>
    </row>
    <row r="2737" spans="1:21" x14ac:dyDescent="0.25">
      <c r="A2737" s="213" t="s">
        <v>327</v>
      </c>
      <c r="D2737" s="213" t="s">
        <v>22818</v>
      </c>
      <c r="E2737" s="213" t="s">
        <v>22819</v>
      </c>
      <c r="K2737" s="213" t="s">
        <v>67580</v>
      </c>
      <c r="L2737" s="213" t="s">
        <v>67707</v>
      </c>
      <c r="M2737" s="213" t="s">
        <v>67834</v>
      </c>
      <c r="N2737" s="213" t="s">
        <v>22820</v>
      </c>
      <c r="O2737" s="213" t="s">
        <v>22821</v>
      </c>
      <c r="P2737" s="213" t="s">
        <v>22822</v>
      </c>
      <c r="Q2737" s="213" t="s">
        <v>22823</v>
      </c>
      <c r="R2737" s="213" t="s">
        <v>22824</v>
      </c>
      <c r="S2737" s="213" t="s">
        <v>22825</v>
      </c>
      <c r="T2737" s="213" t="s">
        <v>22826</v>
      </c>
      <c r="U2737" s="213" t="s">
        <v>67961</v>
      </c>
    </row>
    <row r="2738" spans="1:21" x14ac:dyDescent="0.25">
      <c r="A2738" s="213" t="s">
        <v>327</v>
      </c>
      <c r="D2738" s="213" t="s">
        <v>22827</v>
      </c>
      <c r="E2738" s="213" t="s">
        <v>22828</v>
      </c>
      <c r="K2738" s="213" t="s">
        <v>67581</v>
      </c>
      <c r="L2738" s="213" t="s">
        <v>67708</v>
      </c>
      <c r="M2738" s="213" t="s">
        <v>67835</v>
      </c>
      <c r="N2738" s="213" t="s">
        <v>22829</v>
      </c>
      <c r="O2738" s="213" t="s">
        <v>22830</v>
      </c>
      <c r="P2738" s="213" t="s">
        <v>22831</v>
      </c>
      <c r="Q2738" s="213" t="s">
        <v>22832</v>
      </c>
      <c r="R2738" s="213" t="s">
        <v>22833</v>
      </c>
      <c r="S2738" s="213" t="s">
        <v>22834</v>
      </c>
      <c r="T2738" s="213" t="s">
        <v>22835</v>
      </c>
      <c r="U2738" s="213" t="s">
        <v>67962</v>
      </c>
    </row>
    <row r="2739" spans="1:21" x14ac:dyDescent="0.25">
      <c r="A2739" s="213" t="s">
        <v>327</v>
      </c>
      <c r="D2739" s="213" t="s">
        <v>22836</v>
      </c>
      <c r="E2739" s="213" t="s">
        <v>22837</v>
      </c>
      <c r="K2739" s="213" t="s">
        <v>67582</v>
      </c>
      <c r="L2739" s="213" t="s">
        <v>67709</v>
      </c>
      <c r="M2739" s="213" t="s">
        <v>67836</v>
      </c>
      <c r="N2739" s="213" t="s">
        <v>22838</v>
      </c>
      <c r="O2739" s="213" t="s">
        <v>22839</v>
      </c>
      <c r="P2739" s="213" t="s">
        <v>22840</v>
      </c>
      <c r="Q2739" s="213" t="s">
        <v>22841</v>
      </c>
      <c r="R2739" s="213" t="s">
        <v>22842</v>
      </c>
      <c r="S2739" s="213" t="s">
        <v>22843</v>
      </c>
      <c r="T2739" s="213" t="s">
        <v>22844</v>
      </c>
      <c r="U2739" s="213" t="s">
        <v>67963</v>
      </c>
    </row>
    <row r="2740" spans="1:21" x14ac:dyDescent="0.25">
      <c r="A2740" s="213" t="s">
        <v>327</v>
      </c>
      <c r="D2740" s="213" t="s">
        <v>22845</v>
      </c>
      <c r="E2740" s="213" t="s">
        <v>22846</v>
      </c>
      <c r="K2740" s="213" t="s">
        <v>67583</v>
      </c>
      <c r="L2740" s="213" t="s">
        <v>67710</v>
      </c>
      <c r="M2740" s="213" t="s">
        <v>67837</v>
      </c>
      <c r="N2740" s="213" t="s">
        <v>22847</v>
      </c>
      <c r="O2740" s="213" t="s">
        <v>22848</v>
      </c>
      <c r="P2740" s="213" t="s">
        <v>22849</v>
      </c>
      <c r="Q2740" s="213" t="s">
        <v>22850</v>
      </c>
      <c r="R2740" s="213" t="s">
        <v>22851</v>
      </c>
      <c r="S2740" s="213" t="s">
        <v>22852</v>
      </c>
      <c r="T2740" s="213" t="s">
        <v>22853</v>
      </c>
      <c r="U2740" s="213" t="s">
        <v>67964</v>
      </c>
    </row>
    <row r="2741" spans="1:21" x14ac:dyDescent="0.25">
      <c r="A2741" s="213" t="s">
        <v>327</v>
      </c>
      <c r="D2741" s="213" t="s">
        <v>22854</v>
      </c>
      <c r="E2741" s="213" t="s">
        <v>22855</v>
      </c>
      <c r="K2741" s="213" t="s">
        <v>67584</v>
      </c>
      <c r="L2741" s="213" t="s">
        <v>67711</v>
      </c>
      <c r="M2741" s="213" t="s">
        <v>67838</v>
      </c>
      <c r="N2741" s="213" t="s">
        <v>22856</v>
      </c>
      <c r="O2741" s="213" t="s">
        <v>22857</v>
      </c>
      <c r="P2741" s="213" t="s">
        <v>22858</v>
      </c>
      <c r="Q2741" s="213" t="s">
        <v>22859</v>
      </c>
      <c r="R2741" s="213" t="s">
        <v>22860</v>
      </c>
      <c r="S2741" s="213" t="s">
        <v>22861</v>
      </c>
      <c r="T2741" s="213" t="s">
        <v>22862</v>
      </c>
      <c r="U2741" s="213" t="s">
        <v>67965</v>
      </c>
    </row>
    <row r="2742" spans="1:21" x14ac:dyDescent="0.25">
      <c r="A2742" s="213" t="s">
        <v>327</v>
      </c>
      <c r="D2742" s="213" t="s">
        <v>22863</v>
      </c>
      <c r="E2742" s="213" t="s">
        <v>22864</v>
      </c>
      <c r="K2742" s="213" t="s">
        <v>67585</v>
      </c>
      <c r="L2742" s="213" t="s">
        <v>67712</v>
      </c>
      <c r="M2742" s="213" t="s">
        <v>67839</v>
      </c>
      <c r="N2742" s="213" t="s">
        <v>22865</v>
      </c>
      <c r="O2742" s="213" t="s">
        <v>22866</v>
      </c>
      <c r="P2742" s="213" t="s">
        <v>22867</v>
      </c>
      <c r="Q2742" s="213" t="s">
        <v>22868</v>
      </c>
      <c r="R2742" s="213" t="s">
        <v>22869</v>
      </c>
      <c r="S2742" s="213" t="s">
        <v>22870</v>
      </c>
      <c r="T2742" s="213" t="s">
        <v>22871</v>
      </c>
      <c r="U2742" s="213" t="s">
        <v>67966</v>
      </c>
    </row>
    <row r="2743" spans="1:21" x14ac:dyDescent="0.25">
      <c r="A2743" s="213" t="s">
        <v>327</v>
      </c>
      <c r="D2743" s="213" t="s">
        <v>22872</v>
      </c>
      <c r="E2743" s="213" t="s">
        <v>22873</v>
      </c>
      <c r="K2743" s="213" t="s">
        <v>67586</v>
      </c>
      <c r="L2743" s="213" t="s">
        <v>67713</v>
      </c>
      <c r="M2743" s="213" t="s">
        <v>67840</v>
      </c>
      <c r="N2743" s="213" t="s">
        <v>22874</v>
      </c>
      <c r="O2743" s="213" t="s">
        <v>22875</v>
      </c>
      <c r="P2743" s="213" t="s">
        <v>22876</v>
      </c>
      <c r="Q2743" s="213" t="s">
        <v>22877</v>
      </c>
      <c r="R2743" s="213" t="s">
        <v>22878</v>
      </c>
      <c r="S2743" s="213" t="s">
        <v>22879</v>
      </c>
      <c r="T2743" s="213" t="s">
        <v>22880</v>
      </c>
      <c r="U2743" s="213" t="s">
        <v>67967</v>
      </c>
    </row>
    <row r="2744" spans="1:21" x14ac:dyDescent="0.25">
      <c r="A2744" s="213" t="s">
        <v>327</v>
      </c>
      <c r="D2744" s="213" t="s">
        <v>22881</v>
      </c>
      <c r="E2744" s="213" t="s">
        <v>22882</v>
      </c>
      <c r="K2744" s="213" t="s">
        <v>67587</v>
      </c>
      <c r="L2744" s="213" t="s">
        <v>67714</v>
      </c>
      <c r="M2744" s="213" t="s">
        <v>67841</v>
      </c>
      <c r="N2744" s="213" t="s">
        <v>22883</v>
      </c>
      <c r="O2744" s="213" t="s">
        <v>22884</v>
      </c>
      <c r="P2744" s="213" t="s">
        <v>22885</v>
      </c>
      <c r="Q2744" s="213" t="s">
        <v>22886</v>
      </c>
      <c r="R2744" s="213" t="s">
        <v>22887</v>
      </c>
      <c r="S2744" s="213" t="s">
        <v>22888</v>
      </c>
      <c r="T2744" s="213" t="s">
        <v>22889</v>
      </c>
      <c r="U2744" s="213" t="s">
        <v>67968</v>
      </c>
    </row>
    <row r="2745" spans="1:21" x14ac:dyDescent="0.25">
      <c r="A2745" s="213" t="s">
        <v>327</v>
      </c>
      <c r="D2745" s="213" t="s">
        <v>22890</v>
      </c>
      <c r="E2745" s="213" t="s">
        <v>22891</v>
      </c>
      <c r="K2745" s="213" t="s">
        <v>67588</v>
      </c>
      <c r="L2745" s="213" t="s">
        <v>67715</v>
      </c>
      <c r="M2745" s="213" t="s">
        <v>67842</v>
      </c>
      <c r="N2745" s="213" t="s">
        <v>22892</v>
      </c>
      <c r="O2745" s="213" t="s">
        <v>22893</v>
      </c>
      <c r="P2745" s="213" t="s">
        <v>22894</v>
      </c>
      <c r="Q2745" s="213" t="s">
        <v>22895</v>
      </c>
      <c r="R2745" s="213" t="s">
        <v>22896</v>
      </c>
      <c r="S2745" s="213" t="s">
        <v>22897</v>
      </c>
      <c r="T2745" s="213" t="s">
        <v>22898</v>
      </c>
      <c r="U2745" s="213" t="s">
        <v>67969</v>
      </c>
    </row>
    <row r="2746" spans="1:21" x14ac:dyDescent="0.25">
      <c r="A2746" s="213" t="s">
        <v>327</v>
      </c>
      <c r="D2746" s="213" t="s">
        <v>22899</v>
      </c>
      <c r="E2746" s="213" t="s">
        <v>22900</v>
      </c>
      <c r="K2746" s="213" t="s">
        <v>67589</v>
      </c>
      <c r="L2746" s="213" t="s">
        <v>67716</v>
      </c>
      <c r="M2746" s="213" t="s">
        <v>67843</v>
      </c>
      <c r="N2746" s="213" t="s">
        <v>22901</v>
      </c>
      <c r="O2746" s="213" t="s">
        <v>22902</v>
      </c>
      <c r="P2746" s="213" t="s">
        <v>22903</v>
      </c>
      <c r="Q2746" s="213" t="s">
        <v>22904</v>
      </c>
      <c r="R2746" s="213" t="s">
        <v>22905</v>
      </c>
      <c r="S2746" s="213" t="s">
        <v>22906</v>
      </c>
      <c r="T2746" s="213" t="s">
        <v>22907</v>
      </c>
      <c r="U2746" s="213" t="s">
        <v>67970</v>
      </c>
    </row>
    <row r="2747" spans="1:21" x14ac:dyDescent="0.25">
      <c r="A2747" s="213" t="s">
        <v>327</v>
      </c>
      <c r="D2747" s="213" t="s">
        <v>22908</v>
      </c>
      <c r="E2747" s="213" t="s">
        <v>22909</v>
      </c>
      <c r="K2747" s="213" t="s">
        <v>67590</v>
      </c>
      <c r="L2747" s="213" t="s">
        <v>67717</v>
      </c>
      <c r="M2747" s="213" t="s">
        <v>67844</v>
      </c>
      <c r="N2747" s="213" t="s">
        <v>22910</v>
      </c>
      <c r="O2747" s="213" t="s">
        <v>22911</v>
      </c>
      <c r="P2747" s="213" t="s">
        <v>22912</v>
      </c>
      <c r="Q2747" s="213" t="s">
        <v>22913</v>
      </c>
      <c r="R2747" s="213" t="s">
        <v>22914</v>
      </c>
      <c r="S2747" s="213" t="s">
        <v>22915</v>
      </c>
      <c r="T2747" s="213" t="s">
        <v>22916</v>
      </c>
      <c r="U2747" s="213" t="s">
        <v>67971</v>
      </c>
    </row>
    <row r="2748" spans="1:21" x14ac:dyDescent="0.25">
      <c r="A2748" s="213" t="s">
        <v>327</v>
      </c>
      <c r="D2748" s="213" t="s">
        <v>22917</v>
      </c>
      <c r="E2748" s="213" t="s">
        <v>22918</v>
      </c>
      <c r="K2748" s="213" t="s">
        <v>67591</v>
      </c>
      <c r="L2748" s="213" t="s">
        <v>67718</v>
      </c>
      <c r="M2748" s="213" t="s">
        <v>67845</v>
      </c>
      <c r="N2748" s="213" t="s">
        <v>22919</v>
      </c>
      <c r="O2748" s="213" t="s">
        <v>22920</v>
      </c>
      <c r="P2748" s="213" t="s">
        <v>22921</v>
      </c>
      <c r="Q2748" s="213" t="s">
        <v>22922</v>
      </c>
      <c r="R2748" s="213" t="s">
        <v>22923</v>
      </c>
      <c r="S2748" s="213" t="s">
        <v>22924</v>
      </c>
      <c r="T2748" s="213" t="s">
        <v>22925</v>
      </c>
      <c r="U2748" s="213" t="s">
        <v>67972</v>
      </c>
    </row>
    <row r="2749" spans="1:21" x14ac:dyDescent="0.25">
      <c r="A2749" s="213" t="s">
        <v>327</v>
      </c>
      <c r="D2749" s="213" t="s">
        <v>22926</v>
      </c>
      <c r="E2749" s="213" t="s">
        <v>22927</v>
      </c>
      <c r="K2749" s="213" t="s">
        <v>67592</v>
      </c>
      <c r="L2749" s="213" t="s">
        <v>67719</v>
      </c>
      <c r="M2749" s="213" t="s">
        <v>67846</v>
      </c>
      <c r="N2749" s="213" t="s">
        <v>22928</v>
      </c>
      <c r="O2749" s="213" t="s">
        <v>22929</v>
      </c>
      <c r="P2749" s="213" t="s">
        <v>22930</v>
      </c>
      <c r="Q2749" s="213" t="s">
        <v>22931</v>
      </c>
      <c r="R2749" s="213" t="s">
        <v>22932</v>
      </c>
      <c r="S2749" s="213" t="s">
        <v>22933</v>
      </c>
      <c r="T2749" s="213" t="s">
        <v>22934</v>
      </c>
      <c r="U2749" s="213" t="s">
        <v>67973</v>
      </c>
    </row>
    <row r="2750" spans="1:21" x14ac:dyDescent="0.25">
      <c r="A2750" s="213" t="s">
        <v>327</v>
      </c>
      <c r="D2750" s="213" t="s">
        <v>22935</v>
      </c>
      <c r="E2750" s="213" t="s">
        <v>22936</v>
      </c>
      <c r="K2750" s="213" t="s">
        <v>67593</v>
      </c>
      <c r="L2750" s="213" t="s">
        <v>67720</v>
      </c>
      <c r="M2750" s="213" t="s">
        <v>67847</v>
      </c>
      <c r="N2750" s="213" t="s">
        <v>22937</v>
      </c>
      <c r="O2750" s="213" t="s">
        <v>22938</v>
      </c>
      <c r="P2750" s="213" t="s">
        <v>22939</v>
      </c>
      <c r="Q2750" s="213" t="s">
        <v>22940</v>
      </c>
      <c r="R2750" s="213" t="s">
        <v>22941</v>
      </c>
      <c r="S2750" s="213" t="s">
        <v>22942</v>
      </c>
      <c r="T2750" s="213" t="s">
        <v>22943</v>
      </c>
      <c r="U2750" s="213" t="s">
        <v>67974</v>
      </c>
    </row>
    <row r="2751" spans="1:21" x14ac:dyDescent="0.25">
      <c r="A2751" s="213" t="s">
        <v>327</v>
      </c>
      <c r="D2751" s="213" t="s">
        <v>22944</v>
      </c>
      <c r="E2751" s="213" t="s">
        <v>22945</v>
      </c>
      <c r="K2751" s="213" t="s">
        <v>67594</v>
      </c>
      <c r="L2751" s="213" t="s">
        <v>67721</v>
      </c>
      <c r="M2751" s="213" t="s">
        <v>67848</v>
      </c>
      <c r="N2751" s="213" t="s">
        <v>22946</v>
      </c>
      <c r="O2751" s="213" t="s">
        <v>22947</v>
      </c>
      <c r="P2751" s="213" t="s">
        <v>22948</v>
      </c>
      <c r="Q2751" s="213" t="s">
        <v>22949</v>
      </c>
      <c r="R2751" s="213" t="s">
        <v>22950</v>
      </c>
      <c r="S2751" s="213" t="s">
        <v>22951</v>
      </c>
      <c r="T2751" s="213" t="s">
        <v>22952</v>
      </c>
      <c r="U2751" s="213" t="s">
        <v>67975</v>
      </c>
    </row>
    <row r="2752" spans="1:21" x14ac:dyDescent="0.25">
      <c r="A2752" s="213" t="s">
        <v>327</v>
      </c>
      <c r="D2752" s="213" t="s">
        <v>22953</v>
      </c>
      <c r="E2752" s="213" t="s">
        <v>22954</v>
      </c>
      <c r="K2752" s="213" t="s">
        <v>67595</v>
      </c>
      <c r="L2752" s="213" t="s">
        <v>67722</v>
      </c>
      <c r="M2752" s="213" t="s">
        <v>67849</v>
      </c>
      <c r="N2752" s="213" t="s">
        <v>22955</v>
      </c>
      <c r="O2752" s="213" t="s">
        <v>22956</v>
      </c>
      <c r="P2752" s="213" t="s">
        <v>22957</v>
      </c>
      <c r="Q2752" s="213" t="s">
        <v>22958</v>
      </c>
      <c r="R2752" s="213" t="s">
        <v>22959</v>
      </c>
      <c r="S2752" s="213" t="s">
        <v>22960</v>
      </c>
      <c r="T2752" s="213" t="s">
        <v>22961</v>
      </c>
      <c r="U2752" s="213" t="s">
        <v>67976</v>
      </c>
    </row>
    <row r="2753" spans="1:21" x14ac:dyDescent="0.25">
      <c r="A2753" s="213" t="s">
        <v>327</v>
      </c>
      <c r="D2753" s="213" t="s">
        <v>22962</v>
      </c>
      <c r="E2753" s="213" t="s">
        <v>22963</v>
      </c>
      <c r="K2753" s="213" t="s">
        <v>67596</v>
      </c>
      <c r="L2753" s="213" t="s">
        <v>67723</v>
      </c>
      <c r="M2753" s="213" t="s">
        <v>67850</v>
      </c>
      <c r="N2753" s="213" t="s">
        <v>22964</v>
      </c>
      <c r="O2753" s="213" t="s">
        <v>22965</v>
      </c>
      <c r="P2753" s="213" t="s">
        <v>22966</v>
      </c>
      <c r="Q2753" s="213" t="s">
        <v>22967</v>
      </c>
      <c r="R2753" s="213" t="s">
        <v>22968</v>
      </c>
      <c r="S2753" s="213" t="s">
        <v>22969</v>
      </c>
      <c r="T2753" s="213" t="s">
        <v>22970</v>
      </c>
      <c r="U2753" s="213" t="s">
        <v>67977</v>
      </c>
    </row>
    <row r="2754" spans="1:21" x14ac:dyDescent="0.25">
      <c r="A2754" s="213" t="s">
        <v>327</v>
      </c>
      <c r="D2754" s="213" t="s">
        <v>22971</v>
      </c>
      <c r="E2754" s="213" t="s">
        <v>22972</v>
      </c>
      <c r="K2754" s="213" t="s">
        <v>67597</v>
      </c>
      <c r="L2754" s="213" t="s">
        <v>67724</v>
      </c>
      <c r="M2754" s="213" t="s">
        <v>67851</v>
      </c>
      <c r="N2754" s="213" t="s">
        <v>22973</v>
      </c>
      <c r="O2754" s="213" t="s">
        <v>22974</v>
      </c>
      <c r="P2754" s="213" t="s">
        <v>22975</v>
      </c>
      <c r="Q2754" s="213" t="s">
        <v>22976</v>
      </c>
      <c r="R2754" s="213" t="s">
        <v>22977</v>
      </c>
      <c r="S2754" s="213" t="s">
        <v>22978</v>
      </c>
      <c r="T2754" s="213" t="s">
        <v>22979</v>
      </c>
      <c r="U2754" s="213" t="s">
        <v>67978</v>
      </c>
    </row>
    <row r="2755" spans="1:21" x14ac:dyDescent="0.25">
      <c r="A2755" s="213" t="s">
        <v>327</v>
      </c>
      <c r="D2755" s="213" t="s">
        <v>22980</v>
      </c>
      <c r="E2755" s="213" t="s">
        <v>22981</v>
      </c>
      <c r="K2755" s="213" t="s">
        <v>67598</v>
      </c>
      <c r="L2755" s="213" t="s">
        <v>67725</v>
      </c>
      <c r="M2755" s="213" t="s">
        <v>67852</v>
      </c>
      <c r="N2755" s="213" t="s">
        <v>22982</v>
      </c>
      <c r="O2755" s="213" t="s">
        <v>22983</v>
      </c>
      <c r="P2755" s="213" t="s">
        <v>22984</v>
      </c>
      <c r="Q2755" s="213" t="s">
        <v>22985</v>
      </c>
      <c r="R2755" s="213" t="s">
        <v>22986</v>
      </c>
      <c r="S2755" s="213" t="s">
        <v>22987</v>
      </c>
      <c r="T2755" s="213" t="s">
        <v>22988</v>
      </c>
      <c r="U2755" s="213" t="s">
        <v>67979</v>
      </c>
    </row>
    <row r="2756" spans="1:21" x14ac:dyDescent="0.25">
      <c r="A2756" s="213" t="s">
        <v>327</v>
      </c>
      <c r="D2756" s="213" t="s">
        <v>22989</v>
      </c>
      <c r="E2756" s="213" t="s">
        <v>22990</v>
      </c>
      <c r="K2756" s="213" t="s">
        <v>67599</v>
      </c>
      <c r="L2756" s="213" t="s">
        <v>67726</v>
      </c>
      <c r="M2756" s="213" t="s">
        <v>67853</v>
      </c>
      <c r="N2756" s="213" t="s">
        <v>22991</v>
      </c>
      <c r="O2756" s="213" t="s">
        <v>22992</v>
      </c>
      <c r="P2756" s="213" t="s">
        <v>22993</v>
      </c>
      <c r="Q2756" s="213" t="s">
        <v>22994</v>
      </c>
      <c r="R2756" s="213" t="s">
        <v>22995</v>
      </c>
      <c r="S2756" s="213" t="s">
        <v>22996</v>
      </c>
      <c r="T2756" s="213" t="s">
        <v>22997</v>
      </c>
      <c r="U2756" s="213" t="s">
        <v>67980</v>
      </c>
    </row>
    <row r="2757" spans="1:21" x14ac:dyDescent="0.25">
      <c r="A2757" s="213" t="s">
        <v>327</v>
      </c>
      <c r="D2757" s="213" t="s">
        <v>22998</v>
      </c>
      <c r="E2757" s="213" t="s">
        <v>22999</v>
      </c>
      <c r="K2757" s="213" t="s">
        <v>67600</v>
      </c>
      <c r="L2757" s="213" t="s">
        <v>67727</v>
      </c>
      <c r="M2757" s="213" t="s">
        <v>67854</v>
      </c>
      <c r="N2757" s="213" t="s">
        <v>23000</v>
      </c>
      <c r="O2757" s="213" t="s">
        <v>23001</v>
      </c>
      <c r="P2757" s="213" t="s">
        <v>23002</v>
      </c>
      <c r="Q2757" s="213" t="s">
        <v>23003</v>
      </c>
      <c r="R2757" s="213" t="s">
        <v>23004</v>
      </c>
      <c r="S2757" s="213" t="s">
        <v>23005</v>
      </c>
      <c r="T2757" s="213" t="s">
        <v>23006</v>
      </c>
      <c r="U2757" s="213" t="s">
        <v>67981</v>
      </c>
    </row>
    <row r="2758" spans="1:21" x14ac:dyDescent="0.25">
      <c r="A2758" s="213" t="s">
        <v>327</v>
      </c>
      <c r="D2758" s="213" t="s">
        <v>23007</v>
      </c>
      <c r="E2758" s="213" t="s">
        <v>23008</v>
      </c>
      <c r="K2758" s="213" t="s">
        <v>67601</v>
      </c>
      <c r="L2758" s="213" t="s">
        <v>67728</v>
      </c>
      <c r="M2758" s="213" t="s">
        <v>67855</v>
      </c>
      <c r="N2758" s="213" t="s">
        <v>23009</v>
      </c>
      <c r="O2758" s="213" t="s">
        <v>23010</v>
      </c>
      <c r="P2758" s="213" t="s">
        <v>23011</v>
      </c>
      <c r="Q2758" s="213" t="s">
        <v>23012</v>
      </c>
      <c r="R2758" s="213" t="s">
        <v>23013</v>
      </c>
      <c r="S2758" s="213" t="s">
        <v>23014</v>
      </c>
      <c r="T2758" s="213" t="s">
        <v>23015</v>
      </c>
      <c r="U2758" s="213" t="s">
        <v>67982</v>
      </c>
    </row>
    <row r="2759" spans="1:21" x14ac:dyDescent="0.25">
      <c r="A2759" s="213" t="s">
        <v>327</v>
      </c>
      <c r="D2759" s="213" t="s">
        <v>23016</v>
      </c>
      <c r="E2759" s="213" t="s">
        <v>23017</v>
      </c>
      <c r="K2759" s="213" t="s">
        <v>67602</v>
      </c>
      <c r="L2759" s="213" t="s">
        <v>67729</v>
      </c>
      <c r="M2759" s="213" t="s">
        <v>67856</v>
      </c>
      <c r="N2759" s="213" t="s">
        <v>23018</v>
      </c>
      <c r="O2759" s="213" t="s">
        <v>23019</v>
      </c>
      <c r="P2759" s="213" t="s">
        <v>23020</v>
      </c>
      <c r="Q2759" s="213" t="s">
        <v>23021</v>
      </c>
      <c r="R2759" s="213" t="s">
        <v>23022</v>
      </c>
      <c r="S2759" s="213" t="s">
        <v>23023</v>
      </c>
      <c r="T2759" s="213" t="s">
        <v>23024</v>
      </c>
      <c r="U2759" s="213" t="s">
        <v>67983</v>
      </c>
    </row>
    <row r="2760" spans="1:21" x14ac:dyDescent="0.25">
      <c r="A2760" s="213" t="s">
        <v>327</v>
      </c>
      <c r="D2760" s="213" t="s">
        <v>23025</v>
      </c>
      <c r="E2760" s="213" t="s">
        <v>23026</v>
      </c>
      <c r="K2760" s="213" t="s">
        <v>67603</v>
      </c>
      <c r="L2760" s="213" t="s">
        <v>67730</v>
      </c>
      <c r="M2760" s="213" t="s">
        <v>67857</v>
      </c>
      <c r="N2760" s="213" t="s">
        <v>23027</v>
      </c>
      <c r="O2760" s="213" t="s">
        <v>23028</v>
      </c>
      <c r="P2760" s="213" t="s">
        <v>23029</v>
      </c>
      <c r="Q2760" s="213" t="s">
        <v>23030</v>
      </c>
      <c r="R2760" s="213" t="s">
        <v>23031</v>
      </c>
      <c r="S2760" s="213" t="s">
        <v>23032</v>
      </c>
      <c r="T2760" s="213" t="s">
        <v>23033</v>
      </c>
      <c r="U2760" s="213" t="s">
        <v>67984</v>
      </c>
    </row>
    <row r="2761" spans="1:21" x14ac:dyDescent="0.25">
      <c r="A2761" s="213" t="s">
        <v>327</v>
      </c>
      <c r="D2761" s="213" t="s">
        <v>23034</v>
      </c>
      <c r="E2761" s="213" t="s">
        <v>23035</v>
      </c>
      <c r="K2761" s="213" t="s">
        <v>67604</v>
      </c>
      <c r="L2761" s="213" t="s">
        <v>67731</v>
      </c>
      <c r="M2761" s="213" t="s">
        <v>67858</v>
      </c>
      <c r="N2761" s="213" t="s">
        <v>23036</v>
      </c>
      <c r="O2761" s="213" t="s">
        <v>23037</v>
      </c>
      <c r="P2761" s="213" t="s">
        <v>23038</v>
      </c>
      <c r="Q2761" s="213" t="s">
        <v>23039</v>
      </c>
      <c r="R2761" s="213" t="s">
        <v>23040</v>
      </c>
      <c r="S2761" s="213" t="s">
        <v>23041</v>
      </c>
      <c r="T2761" s="213" t="s">
        <v>23042</v>
      </c>
      <c r="U2761" s="213" t="s">
        <v>67985</v>
      </c>
    </row>
    <row r="2762" spans="1:21" x14ac:dyDescent="0.25">
      <c r="A2762" s="213" t="s">
        <v>327</v>
      </c>
      <c r="D2762" s="213" t="s">
        <v>23043</v>
      </c>
      <c r="E2762" s="213" t="s">
        <v>23044</v>
      </c>
      <c r="K2762" s="213" t="s">
        <v>67605</v>
      </c>
      <c r="L2762" s="213" t="s">
        <v>67732</v>
      </c>
      <c r="M2762" s="213" t="s">
        <v>67859</v>
      </c>
      <c r="N2762" s="213" t="s">
        <v>23045</v>
      </c>
      <c r="O2762" s="213" t="s">
        <v>23046</v>
      </c>
      <c r="P2762" s="213" t="s">
        <v>23047</v>
      </c>
      <c r="Q2762" s="213" t="s">
        <v>23048</v>
      </c>
      <c r="R2762" s="213" t="s">
        <v>23049</v>
      </c>
      <c r="S2762" s="213" t="s">
        <v>23050</v>
      </c>
      <c r="T2762" s="213" t="s">
        <v>23051</v>
      </c>
      <c r="U2762" s="213" t="s">
        <v>67986</v>
      </c>
    </row>
    <row r="2763" spans="1:21" x14ac:dyDescent="0.25">
      <c r="A2763" s="213" t="s">
        <v>327</v>
      </c>
      <c r="D2763" s="213" t="s">
        <v>23052</v>
      </c>
      <c r="E2763" s="213" t="s">
        <v>23053</v>
      </c>
      <c r="K2763" s="213" t="s">
        <v>67606</v>
      </c>
      <c r="L2763" s="213" t="s">
        <v>67733</v>
      </c>
      <c r="M2763" s="213" t="s">
        <v>67860</v>
      </c>
      <c r="N2763" s="213" t="s">
        <v>23054</v>
      </c>
      <c r="O2763" s="213" t="s">
        <v>23055</v>
      </c>
      <c r="P2763" s="213" t="s">
        <v>23056</v>
      </c>
      <c r="Q2763" s="213" t="s">
        <v>23057</v>
      </c>
      <c r="R2763" s="213" t="s">
        <v>23058</v>
      </c>
      <c r="S2763" s="213" t="s">
        <v>23059</v>
      </c>
      <c r="T2763" s="213" t="s">
        <v>23060</v>
      </c>
      <c r="U2763" s="213" t="s">
        <v>67987</v>
      </c>
    </row>
    <row r="2764" spans="1:21" x14ac:dyDescent="0.25">
      <c r="A2764" s="213" t="s">
        <v>327</v>
      </c>
      <c r="D2764" s="213" t="s">
        <v>23061</v>
      </c>
      <c r="E2764" s="213" t="s">
        <v>23062</v>
      </c>
      <c r="K2764" s="213" t="s">
        <v>67607</v>
      </c>
      <c r="L2764" s="213" t="s">
        <v>67734</v>
      </c>
      <c r="M2764" s="213" t="s">
        <v>67861</v>
      </c>
      <c r="N2764" s="213" t="s">
        <v>23063</v>
      </c>
      <c r="O2764" s="213" t="s">
        <v>23064</v>
      </c>
      <c r="P2764" s="213" t="s">
        <v>23065</v>
      </c>
      <c r="Q2764" s="213" t="s">
        <v>23066</v>
      </c>
      <c r="R2764" s="213" t="s">
        <v>23067</v>
      </c>
      <c r="S2764" s="213" t="s">
        <v>23068</v>
      </c>
      <c r="T2764" s="213" t="s">
        <v>23069</v>
      </c>
      <c r="U2764" s="213" t="s">
        <v>67988</v>
      </c>
    </row>
    <row r="2765" spans="1:21" x14ac:dyDescent="0.25">
      <c r="A2765" s="213" t="s">
        <v>327</v>
      </c>
      <c r="D2765" s="213" t="s">
        <v>23070</v>
      </c>
      <c r="E2765" s="213" t="s">
        <v>23071</v>
      </c>
      <c r="K2765" s="213" t="s">
        <v>67608</v>
      </c>
      <c r="L2765" s="213" t="s">
        <v>67735</v>
      </c>
      <c r="M2765" s="213" t="s">
        <v>67862</v>
      </c>
      <c r="N2765" s="213" t="s">
        <v>23072</v>
      </c>
      <c r="O2765" s="213" t="s">
        <v>23073</v>
      </c>
      <c r="P2765" s="213" t="s">
        <v>23074</v>
      </c>
      <c r="Q2765" s="213" t="s">
        <v>23075</v>
      </c>
      <c r="R2765" s="213" t="s">
        <v>23076</v>
      </c>
      <c r="S2765" s="213" t="s">
        <v>23077</v>
      </c>
      <c r="T2765" s="213" t="s">
        <v>23078</v>
      </c>
      <c r="U2765" s="213" t="s">
        <v>67989</v>
      </c>
    </row>
    <row r="2766" spans="1:21" x14ac:dyDescent="0.25">
      <c r="A2766" s="213" t="s">
        <v>327</v>
      </c>
      <c r="D2766" s="213" t="s">
        <v>23079</v>
      </c>
      <c r="E2766" s="213" t="s">
        <v>23080</v>
      </c>
      <c r="K2766" s="213" t="s">
        <v>67609</v>
      </c>
      <c r="L2766" s="213" t="s">
        <v>67736</v>
      </c>
      <c r="M2766" s="213" t="s">
        <v>67863</v>
      </c>
      <c r="N2766" s="213" t="s">
        <v>23081</v>
      </c>
      <c r="O2766" s="213" t="s">
        <v>23082</v>
      </c>
      <c r="P2766" s="213" t="s">
        <v>23083</v>
      </c>
      <c r="Q2766" s="213" t="s">
        <v>23084</v>
      </c>
      <c r="R2766" s="213" t="s">
        <v>23085</v>
      </c>
      <c r="S2766" s="213" t="s">
        <v>23086</v>
      </c>
      <c r="T2766" s="213" t="s">
        <v>23087</v>
      </c>
      <c r="U2766" s="213" t="s">
        <v>67990</v>
      </c>
    </row>
    <row r="2767" spans="1:21" x14ac:dyDescent="0.25">
      <c r="A2767" s="213" t="s">
        <v>327</v>
      </c>
      <c r="D2767" s="213" t="s">
        <v>23088</v>
      </c>
      <c r="E2767" s="213" t="s">
        <v>23089</v>
      </c>
      <c r="K2767" s="213" t="s">
        <v>67610</v>
      </c>
      <c r="L2767" s="213" t="s">
        <v>67737</v>
      </c>
      <c r="M2767" s="213" t="s">
        <v>67864</v>
      </c>
      <c r="N2767" s="213" t="s">
        <v>23090</v>
      </c>
      <c r="O2767" s="213" t="s">
        <v>23091</v>
      </c>
      <c r="P2767" s="213" t="s">
        <v>23092</v>
      </c>
      <c r="Q2767" s="213" t="s">
        <v>23093</v>
      </c>
      <c r="R2767" s="213" t="s">
        <v>23094</v>
      </c>
      <c r="S2767" s="213" t="s">
        <v>23095</v>
      </c>
      <c r="T2767" s="213" t="s">
        <v>23096</v>
      </c>
      <c r="U2767" s="213" t="s">
        <v>67991</v>
      </c>
    </row>
    <row r="2768" spans="1:21" x14ac:dyDescent="0.25">
      <c r="A2768" s="213" t="s">
        <v>327</v>
      </c>
      <c r="D2768" s="213" t="s">
        <v>23097</v>
      </c>
      <c r="E2768" s="213" t="s">
        <v>23098</v>
      </c>
      <c r="K2768" s="213" t="s">
        <v>67611</v>
      </c>
      <c r="L2768" s="213" t="s">
        <v>67738</v>
      </c>
      <c r="M2768" s="213" t="s">
        <v>67865</v>
      </c>
      <c r="N2768" s="213" t="s">
        <v>23099</v>
      </c>
      <c r="O2768" s="213" t="s">
        <v>23100</v>
      </c>
      <c r="P2768" s="213" t="s">
        <v>23101</v>
      </c>
      <c r="Q2768" s="213" t="s">
        <v>23102</v>
      </c>
      <c r="R2768" s="213" t="s">
        <v>23103</v>
      </c>
      <c r="S2768" s="213" t="s">
        <v>23104</v>
      </c>
      <c r="T2768" s="213" t="s">
        <v>23105</v>
      </c>
      <c r="U2768" s="213" t="s">
        <v>67992</v>
      </c>
    </row>
    <row r="2769" spans="1:21" x14ac:dyDescent="0.25">
      <c r="A2769" s="213" t="s">
        <v>327</v>
      </c>
      <c r="D2769" s="213" t="s">
        <v>23106</v>
      </c>
      <c r="E2769" s="213" t="s">
        <v>23107</v>
      </c>
      <c r="K2769" s="213" t="s">
        <v>67612</v>
      </c>
      <c r="L2769" s="213" t="s">
        <v>67739</v>
      </c>
      <c r="M2769" s="213" t="s">
        <v>67866</v>
      </c>
      <c r="N2769" s="213" t="s">
        <v>23108</v>
      </c>
      <c r="O2769" s="213" t="s">
        <v>23109</v>
      </c>
      <c r="P2769" s="213" t="s">
        <v>23110</v>
      </c>
      <c r="Q2769" s="213" t="s">
        <v>23111</v>
      </c>
      <c r="R2769" s="213" t="s">
        <v>23112</v>
      </c>
      <c r="S2769" s="213" t="s">
        <v>23113</v>
      </c>
      <c r="T2769" s="213" t="s">
        <v>23114</v>
      </c>
      <c r="U2769" s="213" t="s">
        <v>67993</v>
      </c>
    </row>
    <row r="2770" spans="1:21" x14ac:dyDescent="0.25">
      <c r="A2770" s="213" t="s">
        <v>327</v>
      </c>
      <c r="D2770" s="213" t="s">
        <v>23115</v>
      </c>
      <c r="E2770" s="213" t="s">
        <v>23116</v>
      </c>
      <c r="K2770" s="213" t="s">
        <v>67613</v>
      </c>
      <c r="L2770" s="213" t="s">
        <v>67740</v>
      </c>
      <c r="M2770" s="213" t="s">
        <v>67867</v>
      </c>
      <c r="N2770" s="213" t="s">
        <v>23117</v>
      </c>
      <c r="O2770" s="213" t="s">
        <v>23118</v>
      </c>
      <c r="P2770" s="213" t="s">
        <v>23119</v>
      </c>
      <c r="Q2770" s="213" t="s">
        <v>23120</v>
      </c>
      <c r="R2770" s="213" t="s">
        <v>23121</v>
      </c>
      <c r="S2770" s="213" t="s">
        <v>23122</v>
      </c>
      <c r="T2770" s="213" t="s">
        <v>23123</v>
      </c>
      <c r="U2770" s="213" t="s">
        <v>67994</v>
      </c>
    </row>
    <row r="2771" spans="1:21" x14ac:dyDescent="0.25">
      <c r="A2771" s="213" t="s">
        <v>327</v>
      </c>
      <c r="D2771" s="213" t="s">
        <v>23124</v>
      </c>
      <c r="E2771" s="213" t="s">
        <v>23125</v>
      </c>
      <c r="K2771" s="213" t="s">
        <v>67614</v>
      </c>
      <c r="L2771" s="213" t="s">
        <v>67741</v>
      </c>
      <c r="M2771" s="213" t="s">
        <v>67868</v>
      </c>
      <c r="N2771" s="213" t="s">
        <v>23126</v>
      </c>
      <c r="O2771" s="213" t="s">
        <v>23127</v>
      </c>
      <c r="P2771" s="213" t="s">
        <v>23128</v>
      </c>
      <c r="Q2771" s="213" t="s">
        <v>23129</v>
      </c>
      <c r="R2771" s="213" t="s">
        <v>23130</v>
      </c>
      <c r="S2771" s="213" t="s">
        <v>23131</v>
      </c>
      <c r="T2771" s="213" t="s">
        <v>23132</v>
      </c>
      <c r="U2771" s="213" t="s">
        <v>67995</v>
      </c>
    </row>
    <row r="2772" spans="1:21" x14ac:dyDescent="0.25">
      <c r="A2772" s="213" t="s">
        <v>327</v>
      </c>
      <c r="D2772" s="213" t="s">
        <v>23133</v>
      </c>
      <c r="E2772" s="213" t="s">
        <v>23134</v>
      </c>
      <c r="K2772" s="213" t="s">
        <v>67615</v>
      </c>
      <c r="L2772" s="213" t="s">
        <v>67742</v>
      </c>
      <c r="M2772" s="213" t="s">
        <v>67869</v>
      </c>
      <c r="N2772" s="213" t="s">
        <v>23135</v>
      </c>
      <c r="O2772" s="213" t="s">
        <v>23136</v>
      </c>
      <c r="P2772" s="213" t="s">
        <v>23137</v>
      </c>
      <c r="Q2772" s="213" t="s">
        <v>23138</v>
      </c>
      <c r="R2772" s="213" t="s">
        <v>23139</v>
      </c>
      <c r="S2772" s="213" t="s">
        <v>23140</v>
      </c>
      <c r="T2772" s="213" t="s">
        <v>23141</v>
      </c>
      <c r="U2772" s="213" t="s">
        <v>67996</v>
      </c>
    </row>
    <row r="2773" spans="1:21" x14ac:dyDescent="0.25">
      <c r="A2773" s="213" t="s">
        <v>327</v>
      </c>
      <c r="D2773" s="213" t="s">
        <v>23142</v>
      </c>
      <c r="E2773" s="213" t="s">
        <v>23143</v>
      </c>
      <c r="K2773" s="213" t="s">
        <v>67616</v>
      </c>
      <c r="L2773" s="213" t="s">
        <v>67743</v>
      </c>
      <c r="M2773" s="213" t="s">
        <v>67870</v>
      </c>
      <c r="N2773" s="213" t="s">
        <v>23144</v>
      </c>
      <c r="O2773" s="213" t="s">
        <v>23145</v>
      </c>
      <c r="P2773" s="213" t="s">
        <v>23146</v>
      </c>
      <c r="Q2773" s="213" t="s">
        <v>23147</v>
      </c>
      <c r="R2773" s="213" t="s">
        <v>23148</v>
      </c>
      <c r="S2773" s="213" t="s">
        <v>23149</v>
      </c>
      <c r="T2773" s="213" t="s">
        <v>23150</v>
      </c>
      <c r="U2773" s="213" t="s">
        <v>67997</v>
      </c>
    </row>
    <row r="2774" spans="1:21" x14ac:dyDescent="0.25">
      <c r="A2774" s="213" t="s">
        <v>327</v>
      </c>
      <c r="D2774" s="213" t="s">
        <v>23151</v>
      </c>
      <c r="E2774" s="213" t="s">
        <v>23152</v>
      </c>
      <c r="K2774" s="213" t="s">
        <v>67617</v>
      </c>
      <c r="L2774" s="213" t="s">
        <v>67744</v>
      </c>
      <c r="M2774" s="213" t="s">
        <v>67871</v>
      </c>
      <c r="N2774" s="213" t="s">
        <v>23153</v>
      </c>
      <c r="O2774" s="213" t="s">
        <v>23154</v>
      </c>
      <c r="P2774" s="213" t="s">
        <v>23155</v>
      </c>
      <c r="Q2774" s="213" t="s">
        <v>23156</v>
      </c>
      <c r="R2774" s="213" t="s">
        <v>23157</v>
      </c>
      <c r="S2774" s="213" t="s">
        <v>23158</v>
      </c>
      <c r="T2774" s="213" t="s">
        <v>23159</v>
      </c>
      <c r="U2774" s="213" t="s">
        <v>67998</v>
      </c>
    </row>
    <row r="2775" spans="1:21" x14ac:dyDescent="0.25">
      <c r="A2775" s="213" t="s">
        <v>327</v>
      </c>
      <c r="D2775" s="213" t="s">
        <v>23160</v>
      </c>
      <c r="E2775" s="213" t="s">
        <v>23161</v>
      </c>
      <c r="K2775" s="213" t="s">
        <v>67618</v>
      </c>
      <c r="L2775" s="213" t="s">
        <v>67745</v>
      </c>
      <c r="M2775" s="213" t="s">
        <v>67872</v>
      </c>
      <c r="N2775" s="213" t="s">
        <v>23162</v>
      </c>
      <c r="O2775" s="213" t="s">
        <v>23163</v>
      </c>
      <c r="P2775" s="213" t="s">
        <v>23164</v>
      </c>
      <c r="Q2775" s="213" t="s">
        <v>23165</v>
      </c>
      <c r="R2775" s="213" t="s">
        <v>23166</v>
      </c>
      <c r="S2775" s="213" t="s">
        <v>23167</v>
      </c>
      <c r="T2775" s="213" t="s">
        <v>23168</v>
      </c>
      <c r="U2775" s="213" t="s">
        <v>67999</v>
      </c>
    </row>
    <row r="2776" spans="1:21" x14ac:dyDescent="0.25">
      <c r="A2776" s="213" t="s">
        <v>327</v>
      </c>
      <c r="D2776" s="213" t="s">
        <v>23169</v>
      </c>
      <c r="E2776" s="213" t="s">
        <v>23170</v>
      </c>
      <c r="K2776" s="213" t="s">
        <v>67619</v>
      </c>
      <c r="L2776" s="213" t="s">
        <v>67746</v>
      </c>
      <c r="M2776" s="213" t="s">
        <v>67873</v>
      </c>
      <c r="N2776" s="213" t="s">
        <v>23171</v>
      </c>
      <c r="O2776" s="213" t="s">
        <v>23172</v>
      </c>
      <c r="P2776" s="213" t="s">
        <v>23173</v>
      </c>
      <c r="Q2776" s="213" t="s">
        <v>23174</v>
      </c>
      <c r="R2776" s="213" t="s">
        <v>23175</v>
      </c>
      <c r="S2776" s="213" t="s">
        <v>23176</v>
      </c>
      <c r="T2776" s="213" t="s">
        <v>23177</v>
      </c>
      <c r="U2776" s="213" t="s">
        <v>68000</v>
      </c>
    </row>
    <row r="2777" spans="1:21" x14ac:dyDescent="0.25">
      <c r="A2777" s="213" t="s">
        <v>327</v>
      </c>
      <c r="D2777" s="213" t="s">
        <v>23178</v>
      </c>
      <c r="E2777" s="213" t="s">
        <v>23179</v>
      </c>
      <c r="K2777" s="213" t="s">
        <v>67620</v>
      </c>
      <c r="L2777" s="213" t="s">
        <v>67747</v>
      </c>
      <c r="M2777" s="213" t="s">
        <v>67874</v>
      </c>
      <c r="N2777" s="213" t="s">
        <v>23180</v>
      </c>
      <c r="O2777" s="213" t="s">
        <v>23181</v>
      </c>
      <c r="P2777" s="213" t="s">
        <v>23182</v>
      </c>
      <c r="Q2777" s="213" t="s">
        <v>23183</v>
      </c>
      <c r="R2777" s="213" t="s">
        <v>23184</v>
      </c>
      <c r="S2777" s="213" t="s">
        <v>23185</v>
      </c>
      <c r="T2777" s="213" t="s">
        <v>23186</v>
      </c>
      <c r="U2777" s="213" t="s">
        <v>68001</v>
      </c>
    </row>
    <row r="2778" spans="1:21" x14ac:dyDescent="0.25">
      <c r="A2778" s="213" t="s">
        <v>327</v>
      </c>
      <c r="D2778" s="213" t="s">
        <v>23187</v>
      </c>
      <c r="E2778" s="213" t="s">
        <v>23188</v>
      </c>
      <c r="K2778" s="213" t="s">
        <v>67621</v>
      </c>
      <c r="L2778" s="213" t="s">
        <v>67748</v>
      </c>
      <c r="M2778" s="213" t="s">
        <v>67875</v>
      </c>
      <c r="N2778" s="213" t="s">
        <v>23189</v>
      </c>
      <c r="O2778" s="213" t="s">
        <v>23190</v>
      </c>
      <c r="P2778" s="213" t="s">
        <v>23191</v>
      </c>
      <c r="Q2778" s="213" t="s">
        <v>23192</v>
      </c>
      <c r="R2778" s="213" t="s">
        <v>23193</v>
      </c>
      <c r="S2778" s="213" t="s">
        <v>23194</v>
      </c>
      <c r="T2778" s="213" t="s">
        <v>23195</v>
      </c>
      <c r="U2778" s="213" t="s">
        <v>68002</v>
      </c>
    </row>
    <row r="2779" spans="1:21" x14ac:dyDescent="0.25">
      <c r="A2779" s="213" t="s">
        <v>327</v>
      </c>
      <c r="D2779" s="213" t="s">
        <v>23196</v>
      </c>
      <c r="E2779" s="213" t="s">
        <v>23197</v>
      </c>
      <c r="K2779" s="213" t="s">
        <v>67622</v>
      </c>
      <c r="L2779" s="213" t="s">
        <v>67749</v>
      </c>
      <c r="M2779" s="213" t="s">
        <v>67876</v>
      </c>
      <c r="N2779" s="213" t="s">
        <v>23198</v>
      </c>
      <c r="O2779" s="213" t="s">
        <v>23199</v>
      </c>
      <c r="P2779" s="213" t="s">
        <v>23200</v>
      </c>
      <c r="Q2779" s="213" t="s">
        <v>23201</v>
      </c>
      <c r="R2779" s="213" t="s">
        <v>23202</v>
      </c>
      <c r="S2779" s="213" t="s">
        <v>23203</v>
      </c>
      <c r="T2779" s="213" t="s">
        <v>23204</v>
      </c>
      <c r="U2779" s="213" t="s">
        <v>68003</v>
      </c>
    </row>
    <row r="2780" spans="1:21" x14ac:dyDescent="0.25">
      <c r="A2780" s="213" t="s">
        <v>327</v>
      </c>
      <c r="D2780" s="213" t="s">
        <v>23205</v>
      </c>
      <c r="E2780" s="213" t="s">
        <v>23206</v>
      </c>
      <c r="K2780" s="213" t="s">
        <v>67623</v>
      </c>
      <c r="L2780" s="213" t="s">
        <v>67750</v>
      </c>
      <c r="M2780" s="213" t="s">
        <v>67877</v>
      </c>
      <c r="N2780" s="213" t="s">
        <v>23207</v>
      </c>
      <c r="O2780" s="213" t="s">
        <v>23208</v>
      </c>
      <c r="P2780" s="213" t="s">
        <v>23209</v>
      </c>
      <c r="Q2780" s="213" t="s">
        <v>23210</v>
      </c>
      <c r="R2780" s="213" t="s">
        <v>23211</v>
      </c>
      <c r="S2780" s="213" t="s">
        <v>23212</v>
      </c>
      <c r="T2780" s="213" t="s">
        <v>23213</v>
      </c>
      <c r="U2780" s="213" t="s">
        <v>68004</v>
      </c>
    </row>
    <row r="2781" spans="1:21" x14ac:dyDescent="0.25">
      <c r="A2781" s="213" t="s">
        <v>327</v>
      </c>
      <c r="D2781" s="213" t="s">
        <v>23214</v>
      </c>
      <c r="E2781" s="213" t="s">
        <v>23215</v>
      </c>
      <c r="K2781" s="213" t="s">
        <v>67624</v>
      </c>
      <c r="L2781" s="213" t="s">
        <v>67751</v>
      </c>
      <c r="M2781" s="213" t="s">
        <v>67878</v>
      </c>
      <c r="N2781" s="213" t="s">
        <v>23216</v>
      </c>
      <c r="O2781" s="213" t="s">
        <v>23217</v>
      </c>
      <c r="P2781" s="213" t="s">
        <v>23218</v>
      </c>
      <c r="Q2781" s="213" t="s">
        <v>23219</v>
      </c>
      <c r="R2781" s="213" t="s">
        <v>23220</v>
      </c>
      <c r="S2781" s="213" t="s">
        <v>23221</v>
      </c>
      <c r="T2781" s="213" t="s">
        <v>23222</v>
      </c>
      <c r="U2781" s="213" t="s">
        <v>68005</v>
      </c>
    </row>
    <row r="2782" spans="1:21" x14ac:dyDescent="0.25">
      <c r="A2782" s="213" t="s">
        <v>327</v>
      </c>
      <c r="D2782" s="213" t="s">
        <v>23223</v>
      </c>
      <c r="E2782" s="213" t="s">
        <v>23224</v>
      </c>
      <c r="K2782" s="213" t="s">
        <v>67625</v>
      </c>
      <c r="L2782" s="213" t="s">
        <v>67752</v>
      </c>
      <c r="M2782" s="213" t="s">
        <v>67879</v>
      </c>
      <c r="N2782" s="213" t="s">
        <v>23225</v>
      </c>
      <c r="O2782" s="213" t="s">
        <v>23226</v>
      </c>
      <c r="P2782" s="213" t="s">
        <v>23227</v>
      </c>
      <c r="Q2782" s="213" t="s">
        <v>23228</v>
      </c>
      <c r="R2782" s="213" t="s">
        <v>23229</v>
      </c>
      <c r="S2782" s="213" t="s">
        <v>23230</v>
      </c>
      <c r="T2782" s="213" t="s">
        <v>23231</v>
      </c>
      <c r="U2782" s="213" t="s">
        <v>68006</v>
      </c>
    </row>
    <row r="2783" spans="1:21" x14ac:dyDescent="0.25">
      <c r="A2783" s="213" t="s">
        <v>327</v>
      </c>
      <c r="D2783" s="213" t="s">
        <v>23232</v>
      </c>
      <c r="E2783" s="213" t="s">
        <v>23233</v>
      </c>
      <c r="K2783" s="213" t="s">
        <v>67626</v>
      </c>
      <c r="L2783" s="213" t="s">
        <v>67753</v>
      </c>
      <c r="M2783" s="213" t="s">
        <v>67880</v>
      </c>
      <c r="N2783" s="213" t="s">
        <v>23234</v>
      </c>
      <c r="O2783" s="213" t="s">
        <v>23235</v>
      </c>
      <c r="P2783" s="213" t="s">
        <v>23236</v>
      </c>
      <c r="Q2783" s="213" t="s">
        <v>23237</v>
      </c>
      <c r="R2783" s="213" t="s">
        <v>23238</v>
      </c>
      <c r="S2783" s="213" t="s">
        <v>23239</v>
      </c>
      <c r="T2783" s="213" t="s">
        <v>23240</v>
      </c>
      <c r="U2783" s="213" t="s">
        <v>68007</v>
      </c>
    </row>
    <row r="2784" spans="1:21" x14ac:dyDescent="0.25">
      <c r="A2784" s="213" t="s">
        <v>327</v>
      </c>
      <c r="D2784" s="213" t="s">
        <v>23241</v>
      </c>
      <c r="E2784" s="213" t="s">
        <v>23242</v>
      </c>
      <c r="K2784" s="213" t="s">
        <v>67627</v>
      </c>
      <c r="L2784" s="213" t="s">
        <v>67754</v>
      </c>
      <c r="M2784" s="213" t="s">
        <v>67881</v>
      </c>
      <c r="N2784" s="213" t="s">
        <v>23243</v>
      </c>
      <c r="O2784" s="213" t="s">
        <v>23244</v>
      </c>
      <c r="P2784" s="213" t="s">
        <v>23245</v>
      </c>
      <c r="Q2784" s="213" t="s">
        <v>23246</v>
      </c>
      <c r="R2784" s="213" t="s">
        <v>23247</v>
      </c>
      <c r="S2784" s="213" t="s">
        <v>23248</v>
      </c>
      <c r="T2784" s="213" t="s">
        <v>23249</v>
      </c>
      <c r="U2784" s="213" t="s">
        <v>68008</v>
      </c>
    </row>
    <row r="2785" spans="1:21" x14ac:dyDescent="0.25">
      <c r="A2785" s="213" t="s">
        <v>327</v>
      </c>
      <c r="D2785" s="213" t="s">
        <v>23250</v>
      </c>
      <c r="E2785" s="213" t="s">
        <v>23251</v>
      </c>
      <c r="K2785" s="213" t="s">
        <v>67628</v>
      </c>
      <c r="L2785" s="213" t="s">
        <v>67755</v>
      </c>
      <c r="M2785" s="213" t="s">
        <v>67882</v>
      </c>
      <c r="N2785" s="213" t="s">
        <v>23252</v>
      </c>
      <c r="O2785" s="213" t="s">
        <v>23253</v>
      </c>
      <c r="P2785" s="213" t="s">
        <v>23254</v>
      </c>
      <c r="Q2785" s="213" t="s">
        <v>23255</v>
      </c>
      <c r="R2785" s="213" t="s">
        <v>23256</v>
      </c>
      <c r="S2785" s="213" t="s">
        <v>23257</v>
      </c>
      <c r="T2785" s="213" t="s">
        <v>23258</v>
      </c>
      <c r="U2785" s="213" t="s">
        <v>68009</v>
      </c>
    </row>
    <row r="2786" spans="1:21" x14ac:dyDescent="0.25">
      <c r="A2786" s="213" t="s">
        <v>327</v>
      </c>
      <c r="D2786" s="213" t="s">
        <v>23259</v>
      </c>
      <c r="E2786" s="213" t="s">
        <v>23260</v>
      </c>
      <c r="K2786" s="213" t="s">
        <v>67629</v>
      </c>
      <c r="L2786" s="213" t="s">
        <v>67756</v>
      </c>
      <c r="M2786" s="213" t="s">
        <v>67883</v>
      </c>
      <c r="N2786" s="213" t="s">
        <v>23261</v>
      </c>
      <c r="O2786" s="213" t="s">
        <v>23262</v>
      </c>
      <c r="P2786" s="213" t="s">
        <v>23263</v>
      </c>
      <c r="Q2786" s="213" t="s">
        <v>23264</v>
      </c>
      <c r="R2786" s="213" t="s">
        <v>23265</v>
      </c>
      <c r="S2786" s="213" t="s">
        <v>23266</v>
      </c>
      <c r="T2786" s="213" t="s">
        <v>23267</v>
      </c>
      <c r="U2786" s="213" t="s">
        <v>68010</v>
      </c>
    </row>
    <row r="2787" spans="1:21" x14ac:dyDescent="0.25">
      <c r="A2787" s="213" t="s">
        <v>327</v>
      </c>
      <c r="D2787" s="213" t="s">
        <v>23268</v>
      </c>
      <c r="E2787" s="213" t="s">
        <v>23269</v>
      </c>
      <c r="K2787" s="213" t="s">
        <v>67630</v>
      </c>
      <c r="L2787" s="213" t="s">
        <v>67757</v>
      </c>
      <c r="M2787" s="213" t="s">
        <v>67884</v>
      </c>
      <c r="N2787" s="213" t="s">
        <v>23270</v>
      </c>
      <c r="O2787" s="213" t="s">
        <v>23271</v>
      </c>
      <c r="P2787" s="213" t="s">
        <v>23272</v>
      </c>
      <c r="Q2787" s="213" t="s">
        <v>23273</v>
      </c>
      <c r="R2787" s="213" t="s">
        <v>23274</v>
      </c>
      <c r="S2787" s="213" t="s">
        <v>23275</v>
      </c>
      <c r="T2787" s="213" t="s">
        <v>23276</v>
      </c>
      <c r="U2787" s="213" t="s">
        <v>68011</v>
      </c>
    </row>
    <row r="2788" spans="1:21" x14ac:dyDescent="0.25">
      <c r="A2788" s="213" t="s">
        <v>327</v>
      </c>
      <c r="D2788" s="213" t="s">
        <v>23277</v>
      </c>
      <c r="E2788" s="213" t="s">
        <v>23278</v>
      </c>
      <c r="K2788" s="213" t="s">
        <v>67631</v>
      </c>
      <c r="L2788" s="213" t="s">
        <v>67758</v>
      </c>
      <c r="M2788" s="213" t="s">
        <v>67885</v>
      </c>
      <c r="N2788" s="213" t="s">
        <v>23279</v>
      </c>
      <c r="O2788" s="213" t="s">
        <v>23280</v>
      </c>
      <c r="P2788" s="213" t="s">
        <v>23281</v>
      </c>
      <c r="Q2788" s="213" t="s">
        <v>23282</v>
      </c>
      <c r="R2788" s="213" t="s">
        <v>23283</v>
      </c>
      <c r="S2788" s="213" t="s">
        <v>23284</v>
      </c>
      <c r="T2788" s="213" t="s">
        <v>23285</v>
      </c>
      <c r="U2788" s="213" t="s">
        <v>68012</v>
      </c>
    </row>
    <row r="2789" spans="1:21" x14ac:dyDescent="0.25">
      <c r="A2789" s="213" t="s">
        <v>327</v>
      </c>
      <c r="D2789" s="213" t="s">
        <v>23286</v>
      </c>
      <c r="E2789" s="213" t="s">
        <v>23287</v>
      </c>
      <c r="K2789" s="213" t="s">
        <v>67632</v>
      </c>
      <c r="L2789" s="213" t="s">
        <v>67759</v>
      </c>
      <c r="M2789" s="213" t="s">
        <v>67886</v>
      </c>
      <c r="N2789" s="213" t="s">
        <v>23288</v>
      </c>
      <c r="O2789" s="213" t="s">
        <v>23289</v>
      </c>
      <c r="P2789" s="213" t="s">
        <v>23290</v>
      </c>
      <c r="Q2789" s="213" t="s">
        <v>23291</v>
      </c>
      <c r="R2789" s="213" t="s">
        <v>23292</v>
      </c>
      <c r="S2789" s="213" t="s">
        <v>23293</v>
      </c>
      <c r="T2789" s="213" t="s">
        <v>23294</v>
      </c>
      <c r="U2789" s="213" t="s">
        <v>68013</v>
      </c>
    </row>
    <row r="2790" spans="1:21" x14ac:dyDescent="0.25">
      <c r="A2790" s="213" t="s">
        <v>327</v>
      </c>
      <c r="D2790" s="213" t="s">
        <v>23295</v>
      </c>
      <c r="E2790" s="213" t="s">
        <v>23296</v>
      </c>
      <c r="K2790" s="213" t="s">
        <v>67633</v>
      </c>
      <c r="L2790" s="213" t="s">
        <v>67760</v>
      </c>
      <c r="M2790" s="213" t="s">
        <v>67887</v>
      </c>
      <c r="N2790" s="213" t="s">
        <v>23297</v>
      </c>
      <c r="O2790" s="213" t="s">
        <v>23298</v>
      </c>
      <c r="P2790" s="213" t="s">
        <v>23299</v>
      </c>
      <c r="Q2790" s="213" t="s">
        <v>23300</v>
      </c>
      <c r="R2790" s="213" t="s">
        <v>23301</v>
      </c>
      <c r="S2790" s="213" t="s">
        <v>23302</v>
      </c>
      <c r="T2790" s="213" t="s">
        <v>23303</v>
      </c>
      <c r="U2790" s="213" t="s">
        <v>68014</v>
      </c>
    </row>
    <row r="2791" spans="1:21" x14ac:dyDescent="0.25">
      <c r="A2791" s="213" t="s">
        <v>327</v>
      </c>
      <c r="D2791" s="213" t="s">
        <v>23304</v>
      </c>
      <c r="E2791" s="213" t="s">
        <v>23305</v>
      </c>
      <c r="K2791" s="213" t="s">
        <v>67634</v>
      </c>
      <c r="L2791" s="213" t="s">
        <v>67761</v>
      </c>
      <c r="M2791" s="213" t="s">
        <v>67888</v>
      </c>
      <c r="N2791" s="213" t="s">
        <v>23306</v>
      </c>
      <c r="O2791" s="213" t="s">
        <v>23307</v>
      </c>
      <c r="P2791" s="213" t="s">
        <v>23308</v>
      </c>
      <c r="Q2791" s="213" t="s">
        <v>23309</v>
      </c>
      <c r="R2791" s="213" t="s">
        <v>23310</v>
      </c>
      <c r="S2791" s="213" t="s">
        <v>23311</v>
      </c>
      <c r="T2791" s="213" t="s">
        <v>23312</v>
      </c>
      <c r="U2791" s="213" t="s">
        <v>68015</v>
      </c>
    </row>
    <row r="2792" spans="1:21" x14ac:dyDescent="0.25">
      <c r="A2792" s="213" t="s">
        <v>327</v>
      </c>
      <c r="D2792" s="213" t="s">
        <v>23313</v>
      </c>
      <c r="E2792" s="213" t="s">
        <v>23314</v>
      </c>
      <c r="K2792" s="213" t="s">
        <v>67635</v>
      </c>
      <c r="L2792" s="213" t="s">
        <v>67762</v>
      </c>
      <c r="M2792" s="213" t="s">
        <v>67889</v>
      </c>
      <c r="N2792" s="213" t="s">
        <v>23315</v>
      </c>
      <c r="O2792" s="213" t="s">
        <v>23316</v>
      </c>
      <c r="P2792" s="213" t="s">
        <v>23317</v>
      </c>
      <c r="Q2792" s="213" t="s">
        <v>23318</v>
      </c>
      <c r="R2792" s="213" t="s">
        <v>23319</v>
      </c>
      <c r="S2792" s="213" t="s">
        <v>23320</v>
      </c>
      <c r="T2792" s="213" t="s">
        <v>23321</v>
      </c>
      <c r="U2792" s="213" t="s">
        <v>68016</v>
      </c>
    </row>
    <row r="2793" spans="1:21" x14ac:dyDescent="0.25">
      <c r="A2793" s="213" t="s">
        <v>327</v>
      </c>
      <c r="D2793" s="213" t="s">
        <v>23322</v>
      </c>
      <c r="E2793" s="213" t="s">
        <v>23323</v>
      </c>
      <c r="K2793" s="213" t="s">
        <v>67636</v>
      </c>
      <c r="L2793" s="213" t="s">
        <v>67763</v>
      </c>
      <c r="M2793" s="213" t="s">
        <v>67890</v>
      </c>
      <c r="N2793" s="213" t="s">
        <v>23324</v>
      </c>
      <c r="O2793" s="213" t="s">
        <v>23325</v>
      </c>
      <c r="P2793" s="213" t="s">
        <v>23326</v>
      </c>
      <c r="Q2793" s="213" t="s">
        <v>23327</v>
      </c>
      <c r="R2793" s="213" t="s">
        <v>23328</v>
      </c>
      <c r="S2793" s="213" t="s">
        <v>23329</v>
      </c>
      <c r="T2793" s="213" t="s">
        <v>23330</v>
      </c>
      <c r="U2793" s="213" t="s">
        <v>68017</v>
      </c>
    </row>
    <row r="2794" spans="1:21" x14ac:dyDescent="0.25">
      <c r="A2794" s="213" t="s">
        <v>327</v>
      </c>
      <c r="D2794" s="213" t="s">
        <v>23331</v>
      </c>
      <c r="E2794" s="213" t="s">
        <v>23332</v>
      </c>
      <c r="K2794" s="213" t="s">
        <v>67637</v>
      </c>
      <c r="L2794" s="213" t="s">
        <v>67764</v>
      </c>
      <c r="M2794" s="213" t="s">
        <v>67891</v>
      </c>
      <c r="N2794" s="213" t="s">
        <v>23333</v>
      </c>
      <c r="O2794" s="213" t="s">
        <v>23334</v>
      </c>
      <c r="P2794" s="213" t="s">
        <v>23335</v>
      </c>
      <c r="Q2794" s="213" t="s">
        <v>23336</v>
      </c>
      <c r="R2794" s="213" t="s">
        <v>23337</v>
      </c>
      <c r="S2794" s="213" t="s">
        <v>23338</v>
      </c>
      <c r="T2794" s="213" t="s">
        <v>23339</v>
      </c>
      <c r="U2794" s="213" t="s">
        <v>68018</v>
      </c>
    </row>
    <row r="2795" spans="1:21" x14ac:dyDescent="0.25">
      <c r="A2795" s="213" t="s">
        <v>327</v>
      </c>
      <c r="D2795" s="213" t="s">
        <v>23340</v>
      </c>
      <c r="E2795" s="213" t="s">
        <v>23341</v>
      </c>
      <c r="K2795" s="213" t="s">
        <v>67638</v>
      </c>
      <c r="L2795" s="213" t="s">
        <v>67765</v>
      </c>
      <c r="M2795" s="213" t="s">
        <v>67892</v>
      </c>
      <c r="N2795" s="213" t="s">
        <v>23342</v>
      </c>
      <c r="O2795" s="213" t="s">
        <v>23343</v>
      </c>
      <c r="P2795" s="213" t="s">
        <v>23344</v>
      </c>
      <c r="Q2795" s="213" t="s">
        <v>23345</v>
      </c>
      <c r="R2795" s="213" t="s">
        <v>23346</v>
      </c>
      <c r="S2795" s="213" t="s">
        <v>23347</v>
      </c>
      <c r="T2795" s="213" t="s">
        <v>23348</v>
      </c>
      <c r="U2795" s="213" t="s">
        <v>68019</v>
      </c>
    </row>
    <row r="2796" spans="1:21" x14ac:dyDescent="0.25">
      <c r="A2796" s="213" t="s">
        <v>327</v>
      </c>
      <c r="D2796" s="213" t="s">
        <v>23349</v>
      </c>
      <c r="E2796" s="213" t="s">
        <v>23350</v>
      </c>
      <c r="K2796" s="213" t="s">
        <v>67639</v>
      </c>
      <c r="L2796" s="213" t="s">
        <v>67766</v>
      </c>
      <c r="M2796" s="213" t="s">
        <v>67893</v>
      </c>
      <c r="N2796" s="213" t="s">
        <v>23351</v>
      </c>
      <c r="O2796" s="213" t="s">
        <v>23352</v>
      </c>
      <c r="P2796" s="213" t="s">
        <v>23353</v>
      </c>
      <c r="Q2796" s="213" t="s">
        <v>23354</v>
      </c>
      <c r="R2796" s="213" t="s">
        <v>23355</v>
      </c>
      <c r="S2796" s="213" t="s">
        <v>23356</v>
      </c>
      <c r="T2796" s="213" t="s">
        <v>23357</v>
      </c>
      <c r="U2796" s="213" t="s">
        <v>68020</v>
      </c>
    </row>
    <row r="2797" spans="1:21" x14ac:dyDescent="0.25">
      <c r="A2797" s="213" t="s">
        <v>327</v>
      </c>
      <c r="D2797" s="213" t="s">
        <v>23358</v>
      </c>
      <c r="E2797" s="213" t="s">
        <v>23359</v>
      </c>
      <c r="K2797" s="213" t="s">
        <v>67640</v>
      </c>
      <c r="L2797" s="213" t="s">
        <v>67767</v>
      </c>
      <c r="M2797" s="213" t="s">
        <v>67894</v>
      </c>
      <c r="N2797" s="213" t="s">
        <v>23360</v>
      </c>
      <c r="O2797" s="213" t="s">
        <v>23361</v>
      </c>
      <c r="P2797" s="213" t="s">
        <v>23362</v>
      </c>
      <c r="Q2797" s="213" t="s">
        <v>23363</v>
      </c>
      <c r="R2797" s="213" t="s">
        <v>23364</v>
      </c>
      <c r="S2797" s="213" t="s">
        <v>23365</v>
      </c>
      <c r="T2797" s="213" t="s">
        <v>23366</v>
      </c>
      <c r="U2797" s="213" t="s">
        <v>68021</v>
      </c>
    </row>
    <row r="2798" spans="1:21" x14ac:dyDescent="0.25">
      <c r="A2798" s="213" t="s">
        <v>327</v>
      </c>
      <c r="D2798" s="213" t="s">
        <v>23367</v>
      </c>
      <c r="E2798" s="213" t="s">
        <v>23368</v>
      </c>
      <c r="K2798" s="213" t="s">
        <v>67641</v>
      </c>
      <c r="L2798" s="213" t="s">
        <v>67768</v>
      </c>
      <c r="M2798" s="213" t="s">
        <v>67895</v>
      </c>
      <c r="N2798" s="213" t="s">
        <v>23369</v>
      </c>
      <c r="O2798" s="213" t="s">
        <v>23370</v>
      </c>
      <c r="P2798" s="213" t="s">
        <v>23371</v>
      </c>
      <c r="Q2798" s="213" t="s">
        <v>23372</v>
      </c>
      <c r="R2798" s="213" t="s">
        <v>23373</v>
      </c>
      <c r="S2798" s="213" t="s">
        <v>23374</v>
      </c>
      <c r="T2798" s="213" t="s">
        <v>23375</v>
      </c>
      <c r="U2798" s="213" t="s">
        <v>68022</v>
      </c>
    </row>
    <row r="2799" spans="1:21" x14ac:dyDescent="0.25">
      <c r="A2799" s="213" t="s">
        <v>327</v>
      </c>
      <c r="D2799" s="213" t="s">
        <v>23376</v>
      </c>
      <c r="E2799" s="213" t="s">
        <v>23377</v>
      </c>
      <c r="K2799" s="213" t="s">
        <v>67642</v>
      </c>
      <c r="L2799" s="213" t="s">
        <v>67769</v>
      </c>
      <c r="M2799" s="213" t="s">
        <v>67896</v>
      </c>
      <c r="N2799" s="213" t="s">
        <v>23378</v>
      </c>
      <c r="O2799" s="213" t="s">
        <v>23379</v>
      </c>
      <c r="P2799" s="213" t="s">
        <v>23380</v>
      </c>
      <c r="Q2799" s="213" t="s">
        <v>23381</v>
      </c>
      <c r="R2799" s="213" t="s">
        <v>23382</v>
      </c>
      <c r="S2799" s="213" t="s">
        <v>23383</v>
      </c>
      <c r="T2799" s="213" t="s">
        <v>23384</v>
      </c>
      <c r="U2799" s="213" t="s">
        <v>68023</v>
      </c>
    </row>
    <row r="2800" spans="1:21" x14ac:dyDescent="0.25">
      <c r="A2800" s="213" t="s">
        <v>327</v>
      </c>
      <c r="D2800" s="213" t="s">
        <v>23385</v>
      </c>
      <c r="E2800" s="213" t="s">
        <v>23386</v>
      </c>
      <c r="K2800" s="213" t="s">
        <v>67643</v>
      </c>
      <c r="L2800" s="213" t="s">
        <v>67770</v>
      </c>
      <c r="M2800" s="213" t="s">
        <v>67897</v>
      </c>
      <c r="N2800" s="213" t="s">
        <v>23387</v>
      </c>
      <c r="O2800" s="213" t="s">
        <v>23388</v>
      </c>
      <c r="P2800" s="213" t="s">
        <v>23389</v>
      </c>
      <c r="Q2800" s="213" t="s">
        <v>23390</v>
      </c>
      <c r="R2800" s="213" t="s">
        <v>23391</v>
      </c>
      <c r="S2800" s="213" t="s">
        <v>23392</v>
      </c>
      <c r="T2800" s="213" t="s">
        <v>23393</v>
      </c>
      <c r="U2800" s="213" t="s">
        <v>68024</v>
      </c>
    </row>
    <row r="2801" spans="1:21" x14ac:dyDescent="0.25">
      <c r="A2801" s="213" t="s">
        <v>327</v>
      </c>
      <c r="D2801" s="213" t="s">
        <v>23394</v>
      </c>
      <c r="E2801" s="213" t="s">
        <v>23395</v>
      </c>
      <c r="K2801" s="213" t="s">
        <v>67644</v>
      </c>
      <c r="L2801" s="213" t="s">
        <v>67771</v>
      </c>
      <c r="M2801" s="213" t="s">
        <v>67898</v>
      </c>
      <c r="N2801" s="213" t="s">
        <v>23396</v>
      </c>
      <c r="O2801" s="213" t="s">
        <v>23397</v>
      </c>
      <c r="P2801" s="213" t="s">
        <v>23398</v>
      </c>
      <c r="Q2801" s="213" t="s">
        <v>23399</v>
      </c>
      <c r="R2801" s="213" t="s">
        <v>23400</v>
      </c>
      <c r="S2801" s="213" t="s">
        <v>23401</v>
      </c>
      <c r="T2801" s="213" t="s">
        <v>23402</v>
      </c>
      <c r="U2801" s="213" t="s">
        <v>68025</v>
      </c>
    </row>
    <row r="2802" spans="1:21" x14ac:dyDescent="0.25">
      <c r="A2802" s="213" t="s">
        <v>327</v>
      </c>
      <c r="D2802" s="213" t="s">
        <v>23403</v>
      </c>
      <c r="E2802" s="213" t="s">
        <v>23404</v>
      </c>
      <c r="K2802" s="213" t="s">
        <v>67645</v>
      </c>
      <c r="L2802" s="213" t="s">
        <v>67772</v>
      </c>
      <c r="M2802" s="213" t="s">
        <v>67899</v>
      </c>
      <c r="N2802" s="213" t="s">
        <v>23405</v>
      </c>
      <c r="O2802" s="213" t="s">
        <v>23406</v>
      </c>
      <c r="P2802" s="213" t="s">
        <v>23407</v>
      </c>
      <c r="Q2802" s="213" t="s">
        <v>23408</v>
      </c>
      <c r="R2802" s="213" t="s">
        <v>23409</v>
      </c>
      <c r="S2802" s="213" t="s">
        <v>23410</v>
      </c>
      <c r="T2802" s="213" t="s">
        <v>23411</v>
      </c>
      <c r="U2802" s="213" t="s">
        <v>68026</v>
      </c>
    </row>
    <row r="2803" spans="1:21" x14ac:dyDescent="0.25">
      <c r="A2803" s="213" t="s">
        <v>327</v>
      </c>
      <c r="D2803" s="213" t="s">
        <v>23412</v>
      </c>
      <c r="E2803" s="213" t="s">
        <v>23413</v>
      </c>
      <c r="K2803" s="213" t="s">
        <v>67646</v>
      </c>
      <c r="L2803" s="213" t="s">
        <v>67773</v>
      </c>
      <c r="M2803" s="213" t="s">
        <v>67900</v>
      </c>
      <c r="N2803" s="213" t="s">
        <v>23414</v>
      </c>
      <c r="O2803" s="213" t="s">
        <v>23415</v>
      </c>
      <c r="P2803" s="213" t="s">
        <v>23416</v>
      </c>
      <c r="Q2803" s="213" t="s">
        <v>23417</v>
      </c>
      <c r="R2803" s="213" t="s">
        <v>23418</v>
      </c>
      <c r="S2803" s="213" t="s">
        <v>23419</v>
      </c>
      <c r="T2803" s="213" t="s">
        <v>23420</v>
      </c>
      <c r="U2803" s="213" t="s">
        <v>68027</v>
      </c>
    </row>
    <row r="2804" spans="1:21" x14ac:dyDescent="0.25">
      <c r="A2804" s="213" t="s">
        <v>327</v>
      </c>
      <c r="D2804" s="213" t="s">
        <v>23421</v>
      </c>
      <c r="E2804" s="213" t="s">
        <v>23422</v>
      </c>
      <c r="K2804" s="213" t="s">
        <v>67647</v>
      </c>
      <c r="L2804" s="213" t="s">
        <v>67774</v>
      </c>
      <c r="M2804" s="213" t="s">
        <v>67901</v>
      </c>
      <c r="N2804" s="213" t="s">
        <v>23423</v>
      </c>
      <c r="O2804" s="213" t="s">
        <v>23424</v>
      </c>
      <c r="P2804" s="213" t="s">
        <v>23425</v>
      </c>
      <c r="Q2804" s="213" t="s">
        <v>23426</v>
      </c>
      <c r="R2804" s="213" t="s">
        <v>23427</v>
      </c>
      <c r="S2804" s="213" t="s">
        <v>23428</v>
      </c>
      <c r="T2804" s="213" t="s">
        <v>23429</v>
      </c>
      <c r="U2804" s="213" t="s">
        <v>68028</v>
      </c>
    </row>
    <row r="2805" spans="1:21" x14ac:dyDescent="0.25">
      <c r="A2805" s="213" t="s">
        <v>327</v>
      </c>
      <c r="D2805" s="213" t="s">
        <v>23430</v>
      </c>
      <c r="E2805" s="213" t="s">
        <v>23431</v>
      </c>
      <c r="K2805" s="213" t="s">
        <v>67648</v>
      </c>
      <c r="L2805" s="213" t="s">
        <v>67775</v>
      </c>
      <c r="M2805" s="213" t="s">
        <v>67902</v>
      </c>
      <c r="N2805" s="213" t="s">
        <v>23432</v>
      </c>
      <c r="O2805" s="213" t="s">
        <v>23433</v>
      </c>
      <c r="P2805" s="213" t="s">
        <v>23434</v>
      </c>
      <c r="Q2805" s="213" t="s">
        <v>23435</v>
      </c>
      <c r="R2805" s="213" t="s">
        <v>23436</v>
      </c>
      <c r="S2805" s="213" t="s">
        <v>23437</v>
      </c>
      <c r="T2805" s="213" t="s">
        <v>23438</v>
      </c>
      <c r="U2805" s="213" t="s">
        <v>68029</v>
      </c>
    </row>
    <row r="2806" spans="1:21" x14ac:dyDescent="0.25">
      <c r="A2806" s="213" t="s">
        <v>327</v>
      </c>
      <c r="D2806" s="213" t="s">
        <v>23439</v>
      </c>
      <c r="E2806" s="213" t="s">
        <v>23440</v>
      </c>
      <c r="K2806" s="213" t="s">
        <v>67649</v>
      </c>
      <c r="L2806" s="213" t="s">
        <v>67776</v>
      </c>
      <c r="M2806" s="213" t="s">
        <v>67903</v>
      </c>
      <c r="N2806" s="213" t="s">
        <v>23441</v>
      </c>
      <c r="O2806" s="213" t="s">
        <v>23442</v>
      </c>
      <c r="P2806" s="213" t="s">
        <v>23443</v>
      </c>
      <c r="Q2806" s="213" t="s">
        <v>23444</v>
      </c>
      <c r="R2806" s="213" t="s">
        <v>23445</v>
      </c>
      <c r="S2806" s="213" t="s">
        <v>23446</v>
      </c>
      <c r="T2806" s="213" t="s">
        <v>23447</v>
      </c>
      <c r="U2806" s="213" t="s">
        <v>68030</v>
      </c>
    </row>
    <row r="2807" spans="1:21" x14ac:dyDescent="0.25">
      <c r="A2807" s="213" t="s">
        <v>327</v>
      </c>
      <c r="D2807" s="213" t="s">
        <v>23448</v>
      </c>
      <c r="E2807" s="213" t="s">
        <v>23449</v>
      </c>
      <c r="K2807" s="213" t="s">
        <v>67650</v>
      </c>
      <c r="L2807" s="213" t="s">
        <v>67777</v>
      </c>
      <c r="M2807" s="213" t="s">
        <v>67904</v>
      </c>
      <c r="N2807" s="213" t="s">
        <v>23450</v>
      </c>
      <c r="O2807" s="213" t="s">
        <v>23451</v>
      </c>
      <c r="P2807" s="213" t="s">
        <v>23452</v>
      </c>
      <c r="Q2807" s="213" t="s">
        <v>23453</v>
      </c>
      <c r="R2807" s="213" t="s">
        <v>23454</v>
      </c>
      <c r="S2807" s="213" t="s">
        <v>23455</v>
      </c>
      <c r="T2807" s="213" t="s">
        <v>23456</v>
      </c>
      <c r="U2807" s="213" t="s">
        <v>68031</v>
      </c>
    </row>
    <row r="2808" spans="1:21" x14ac:dyDescent="0.25">
      <c r="A2808" s="213" t="s">
        <v>327</v>
      </c>
      <c r="D2808" s="213" t="s">
        <v>23457</v>
      </c>
      <c r="E2808" s="213" t="s">
        <v>23458</v>
      </c>
      <c r="K2808" s="213" t="s">
        <v>67651</v>
      </c>
      <c r="L2808" s="213" t="s">
        <v>67778</v>
      </c>
      <c r="M2808" s="213" t="s">
        <v>67905</v>
      </c>
      <c r="N2808" s="213" t="s">
        <v>23459</v>
      </c>
      <c r="O2808" s="213" t="s">
        <v>23460</v>
      </c>
      <c r="P2808" s="213" t="s">
        <v>23461</v>
      </c>
      <c r="Q2808" s="213" t="s">
        <v>23462</v>
      </c>
      <c r="R2808" s="213" t="s">
        <v>23463</v>
      </c>
      <c r="S2808" s="213" t="s">
        <v>23464</v>
      </c>
      <c r="T2808" s="213" t="s">
        <v>23465</v>
      </c>
      <c r="U2808" s="213" t="s">
        <v>68032</v>
      </c>
    </row>
    <row r="2809" spans="1:21" x14ac:dyDescent="0.25">
      <c r="A2809" s="213" t="s">
        <v>327</v>
      </c>
      <c r="D2809" s="213" t="s">
        <v>23466</v>
      </c>
      <c r="E2809" s="213" t="s">
        <v>23467</v>
      </c>
      <c r="K2809" s="213" t="s">
        <v>67652</v>
      </c>
      <c r="L2809" s="213" t="s">
        <v>67779</v>
      </c>
      <c r="M2809" s="213" t="s">
        <v>67906</v>
      </c>
      <c r="N2809" s="213" t="s">
        <v>23468</v>
      </c>
      <c r="O2809" s="213" t="s">
        <v>23469</v>
      </c>
      <c r="P2809" s="213" t="s">
        <v>23470</v>
      </c>
      <c r="Q2809" s="213" t="s">
        <v>23471</v>
      </c>
      <c r="R2809" s="213" t="s">
        <v>23472</v>
      </c>
      <c r="S2809" s="213" t="s">
        <v>23473</v>
      </c>
      <c r="T2809" s="213" t="s">
        <v>23474</v>
      </c>
      <c r="U2809" s="213" t="s">
        <v>68033</v>
      </c>
    </row>
    <row r="2810" spans="1:21" x14ac:dyDescent="0.25">
      <c r="A2810" s="213" t="s">
        <v>327</v>
      </c>
      <c r="D2810" s="213" t="s">
        <v>23475</v>
      </c>
      <c r="E2810" s="213" t="s">
        <v>23476</v>
      </c>
      <c r="K2810" s="213" t="s">
        <v>67653</v>
      </c>
      <c r="L2810" s="213" t="s">
        <v>67780</v>
      </c>
      <c r="M2810" s="213" t="s">
        <v>67907</v>
      </c>
      <c r="N2810" s="213" t="s">
        <v>23477</v>
      </c>
      <c r="O2810" s="213" t="s">
        <v>23478</v>
      </c>
      <c r="P2810" s="213" t="s">
        <v>23479</v>
      </c>
      <c r="Q2810" s="213" t="s">
        <v>23480</v>
      </c>
      <c r="R2810" s="213" t="s">
        <v>23481</v>
      </c>
      <c r="S2810" s="213" t="s">
        <v>23482</v>
      </c>
      <c r="T2810" s="213" t="s">
        <v>23483</v>
      </c>
      <c r="U2810" s="213" t="s">
        <v>68034</v>
      </c>
    </row>
    <row r="2811" spans="1:21" x14ac:dyDescent="0.25">
      <c r="A2811" s="213" t="s">
        <v>327</v>
      </c>
      <c r="D2811" s="213" t="s">
        <v>23484</v>
      </c>
      <c r="E2811" s="213" t="s">
        <v>23485</v>
      </c>
      <c r="K2811" s="213" t="s">
        <v>67654</v>
      </c>
      <c r="L2811" s="213" t="s">
        <v>67781</v>
      </c>
      <c r="M2811" s="213" t="s">
        <v>67908</v>
      </c>
      <c r="N2811" s="213" t="s">
        <v>23486</v>
      </c>
      <c r="O2811" s="213" t="s">
        <v>23487</v>
      </c>
      <c r="P2811" s="213" t="s">
        <v>23488</v>
      </c>
      <c r="Q2811" s="213" t="s">
        <v>23489</v>
      </c>
      <c r="R2811" s="213" t="s">
        <v>23490</v>
      </c>
      <c r="S2811" s="213" t="s">
        <v>23491</v>
      </c>
      <c r="T2811" s="213" t="s">
        <v>23492</v>
      </c>
      <c r="U2811" s="213" t="s">
        <v>68035</v>
      </c>
    </row>
    <row r="2812" spans="1:21" x14ac:dyDescent="0.25">
      <c r="A2812" s="213" t="s">
        <v>327</v>
      </c>
      <c r="D2812" s="213" t="s">
        <v>23493</v>
      </c>
      <c r="E2812" s="213" t="s">
        <v>23494</v>
      </c>
      <c r="K2812" s="213" t="s">
        <v>67655</v>
      </c>
      <c r="L2812" s="213" t="s">
        <v>67782</v>
      </c>
      <c r="M2812" s="213" t="s">
        <v>67909</v>
      </c>
      <c r="N2812" s="213" t="s">
        <v>23495</v>
      </c>
      <c r="O2812" s="213" t="s">
        <v>23496</v>
      </c>
      <c r="P2812" s="213" t="s">
        <v>23497</v>
      </c>
      <c r="Q2812" s="213" t="s">
        <v>23498</v>
      </c>
      <c r="R2812" s="213" t="s">
        <v>23499</v>
      </c>
      <c r="S2812" s="213" t="s">
        <v>23500</v>
      </c>
      <c r="T2812" s="213" t="s">
        <v>23501</v>
      </c>
      <c r="U2812" s="213" t="s">
        <v>68036</v>
      </c>
    </row>
    <row r="2813" spans="1:21" x14ac:dyDescent="0.25">
      <c r="A2813" s="213" t="s">
        <v>327</v>
      </c>
      <c r="D2813" s="213" t="s">
        <v>23502</v>
      </c>
      <c r="E2813" s="213" t="s">
        <v>23503</v>
      </c>
      <c r="K2813" s="213" t="s">
        <v>67656</v>
      </c>
      <c r="L2813" s="213" t="s">
        <v>67783</v>
      </c>
      <c r="M2813" s="213" t="s">
        <v>67910</v>
      </c>
      <c r="N2813" s="213" t="s">
        <v>23504</v>
      </c>
      <c r="O2813" s="213" t="s">
        <v>23505</v>
      </c>
      <c r="P2813" s="213" t="s">
        <v>23506</v>
      </c>
      <c r="Q2813" s="213" t="s">
        <v>23507</v>
      </c>
      <c r="R2813" s="213" t="s">
        <v>23508</v>
      </c>
      <c r="S2813" s="213" t="s">
        <v>23509</v>
      </c>
      <c r="T2813" s="213" t="s">
        <v>23510</v>
      </c>
      <c r="U2813" s="213" t="s">
        <v>68037</v>
      </c>
    </row>
    <row r="2814" spans="1:21" x14ac:dyDescent="0.25">
      <c r="A2814" s="213" t="s">
        <v>327</v>
      </c>
      <c r="D2814" s="213" t="s">
        <v>23511</v>
      </c>
      <c r="E2814" s="213" t="s">
        <v>23512</v>
      </c>
      <c r="K2814" s="213" t="s">
        <v>67657</v>
      </c>
      <c r="L2814" s="213" t="s">
        <v>67784</v>
      </c>
      <c r="M2814" s="213" t="s">
        <v>67911</v>
      </c>
      <c r="N2814" s="213" t="s">
        <v>23513</v>
      </c>
      <c r="O2814" s="213" t="s">
        <v>23514</v>
      </c>
      <c r="P2814" s="213" t="s">
        <v>23515</v>
      </c>
      <c r="Q2814" s="213" t="s">
        <v>23516</v>
      </c>
      <c r="R2814" s="213" t="s">
        <v>23517</v>
      </c>
      <c r="S2814" s="213" t="s">
        <v>23518</v>
      </c>
      <c r="T2814" s="213" t="s">
        <v>23519</v>
      </c>
      <c r="U2814" s="213" t="s">
        <v>68038</v>
      </c>
    </row>
    <row r="2815" spans="1:21" x14ac:dyDescent="0.25">
      <c r="A2815" s="213" t="s">
        <v>327</v>
      </c>
      <c r="D2815" s="213" t="s">
        <v>23520</v>
      </c>
      <c r="E2815" s="213" t="s">
        <v>23521</v>
      </c>
      <c r="K2815" s="213" t="s">
        <v>67658</v>
      </c>
      <c r="L2815" s="213" t="s">
        <v>67785</v>
      </c>
      <c r="M2815" s="213" t="s">
        <v>67912</v>
      </c>
      <c r="N2815" s="213" t="s">
        <v>23522</v>
      </c>
      <c r="O2815" s="213" t="s">
        <v>23523</v>
      </c>
      <c r="P2815" s="213" t="s">
        <v>23524</v>
      </c>
      <c r="Q2815" s="213" t="s">
        <v>23525</v>
      </c>
      <c r="R2815" s="213" t="s">
        <v>23526</v>
      </c>
      <c r="S2815" s="213" t="s">
        <v>23527</v>
      </c>
      <c r="T2815" s="213" t="s">
        <v>23528</v>
      </c>
      <c r="U2815" s="213" t="s">
        <v>68039</v>
      </c>
    </row>
    <row r="2816" spans="1:21" x14ac:dyDescent="0.25">
      <c r="A2816" s="213" t="s">
        <v>327</v>
      </c>
      <c r="D2816" s="213" t="s">
        <v>23529</v>
      </c>
      <c r="E2816" s="213" t="s">
        <v>23530</v>
      </c>
      <c r="K2816" s="213" t="s">
        <v>67659</v>
      </c>
      <c r="L2816" s="213" t="s">
        <v>67786</v>
      </c>
      <c r="M2816" s="213" t="s">
        <v>67913</v>
      </c>
      <c r="N2816" s="213" t="s">
        <v>23531</v>
      </c>
      <c r="O2816" s="213" t="s">
        <v>23532</v>
      </c>
      <c r="P2816" s="213" t="s">
        <v>23533</v>
      </c>
      <c r="Q2816" s="213" t="s">
        <v>23534</v>
      </c>
      <c r="R2816" s="213" t="s">
        <v>23535</v>
      </c>
      <c r="S2816" s="213" t="s">
        <v>23536</v>
      </c>
      <c r="T2816" s="213" t="s">
        <v>23537</v>
      </c>
      <c r="U2816" s="213" t="s">
        <v>68040</v>
      </c>
    </row>
    <row r="2817" spans="1:21" x14ac:dyDescent="0.25">
      <c r="A2817" s="213" t="s">
        <v>327</v>
      </c>
      <c r="D2817" s="213" t="s">
        <v>23538</v>
      </c>
      <c r="E2817" s="213" t="s">
        <v>23539</v>
      </c>
      <c r="K2817" s="213" t="s">
        <v>67660</v>
      </c>
      <c r="L2817" s="213" t="s">
        <v>67787</v>
      </c>
      <c r="M2817" s="213" t="s">
        <v>67914</v>
      </c>
      <c r="N2817" s="213" t="s">
        <v>23540</v>
      </c>
      <c r="O2817" s="213" t="s">
        <v>23541</v>
      </c>
      <c r="P2817" s="213" t="s">
        <v>23542</v>
      </c>
      <c r="Q2817" s="213" t="s">
        <v>23543</v>
      </c>
      <c r="R2817" s="213" t="s">
        <v>23544</v>
      </c>
      <c r="S2817" s="213" t="s">
        <v>23545</v>
      </c>
      <c r="T2817" s="213" t="s">
        <v>23546</v>
      </c>
      <c r="U2817" s="213" t="s">
        <v>68041</v>
      </c>
    </row>
    <row r="2818" spans="1:21" x14ac:dyDescent="0.25">
      <c r="A2818" s="213" t="s">
        <v>327</v>
      </c>
      <c r="D2818" s="213" t="s">
        <v>23547</v>
      </c>
      <c r="E2818" s="213" t="s">
        <v>23548</v>
      </c>
      <c r="K2818" s="213" t="s">
        <v>67661</v>
      </c>
      <c r="L2818" s="213" t="s">
        <v>67788</v>
      </c>
      <c r="M2818" s="213" t="s">
        <v>67915</v>
      </c>
      <c r="N2818" s="213" t="s">
        <v>23549</v>
      </c>
      <c r="O2818" s="213" t="s">
        <v>23550</v>
      </c>
      <c r="P2818" s="213" t="s">
        <v>23551</v>
      </c>
      <c r="Q2818" s="213" t="s">
        <v>23552</v>
      </c>
      <c r="R2818" s="213" t="s">
        <v>23553</v>
      </c>
      <c r="S2818" s="213" t="s">
        <v>23554</v>
      </c>
      <c r="T2818" s="213" t="s">
        <v>23555</v>
      </c>
      <c r="U2818" s="213" t="s">
        <v>68042</v>
      </c>
    </row>
    <row r="2819" spans="1:21" x14ac:dyDescent="0.25">
      <c r="A2819" s="213" t="s">
        <v>327</v>
      </c>
      <c r="D2819" s="213" t="s">
        <v>23556</v>
      </c>
      <c r="E2819" s="213" t="s">
        <v>23557</v>
      </c>
      <c r="K2819" s="213" t="s">
        <v>67662</v>
      </c>
      <c r="L2819" s="213" t="s">
        <v>67789</v>
      </c>
      <c r="M2819" s="213" t="s">
        <v>67916</v>
      </c>
      <c r="N2819" s="213" t="s">
        <v>23558</v>
      </c>
      <c r="O2819" s="213" t="s">
        <v>23559</v>
      </c>
      <c r="P2819" s="213" t="s">
        <v>23560</v>
      </c>
      <c r="Q2819" s="213" t="s">
        <v>23561</v>
      </c>
      <c r="R2819" s="213" t="s">
        <v>23562</v>
      </c>
      <c r="S2819" s="213" t="s">
        <v>23563</v>
      </c>
      <c r="T2819" s="213" t="s">
        <v>23564</v>
      </c>
      <c r="U2819" s="213" t="s">
        <v>68043</v>
      </c>
    </row>
    <row r="2820" spans="1:21" x14ac:dyDescent="0.25">
      <c r="A2820" s="213" t="s">
        <v>327</v>
      </c>
      <c r="D2820" s="213" t="s">
        <v>23565</v>
      </c>
      <c r="E2820" s="213" t="s">
        <v>23566</v>
      </c>
      <c r="K2820" s="213" t="s">
        <v>67663</v>
      </c>
      <c r="L2820" s="213" t="s">
        <v>67790</v>
      </c>
      <c r="M2820" s="213" t="s">
        <v>67917</v>
      </c>
      <c r="N2820" s="213" t="s">
        <v>23567</v>
      </c>
      <c r="O2820" s="213" t="s">
        <v>23568</v>
      </c>
      <c r="P2820" s="213" t="s">
        <v>23569</v>
      </c>
      <c r="Q2820" s="213" t="s">
        <v>23570</v>
      </c>
      <c r="R2820" s="213" t="s">
        <v>23571</v>
      </c>
      <c r="S2820" s="213" t="s">
        <v>23572</v>
      </c>
      <c r="T2820" s="213" t="s">
        <v>23573</v>
      </c>
      <c r="U2820" s="213" t="s">
        <v>68044</v>
      </c>
    </row>
    <row r="2821" spans="1:21" x14ac:dyDescent="0.25">
      <c r="A2821" s="213" t="s">
        <v>327</v>
      </c>
      <c r="D2821" s="213" t="s">
        <v>23574</v>
      </c>
      <c r="E2821" s="213" t="s">
        <v>23575</v>
      </c>
      <c r="K2821" s="213" t="s">
        <v>67664</v>
      </c>
      <c r="L2821" s="213" t="s">
        <v>67791</v>
      </c>
      <c r="M2821" s="213" t="s">
        <v>67918</v>
      </c>
      <c r="N2821" s="213" t="s">
        <v>23576</v>
      </c>
      <c r="O2821" s="213" t="s">
        <v>23577</v>
      </c>
      <c r="P2821" s="213" t="s">
        <v>23578</v>
      </c>
      <c r="Q2821" s="213" t="s">
        <v>23579</v>
      </c>
      <c r="R2821" s="213" t="s">
        <v>23580</v>
      </c>
      <c r="S2821" s="213" t="s">
        <v>23581</v>
      </c>
      <c r="T2821" s="213" t="s">
        <v>23582</v>
      </c>
      <c r="U2821" s="213" t="s">
        <v>68045</v>
      </c>
    </row>
    <row r="2822" spans="1:21" x14ac:dyDescent="0.25">
      <c r="A2822" s="213" t="s">
        <v>327</v>
      </c>
      <c r="D2822" s="213" t="s">
        <v>23583</v>
      </c>
      <c r="E2822" s="213" t="s">
        <v>23584</v>
      </c>
      <c r="K2822" s="213" t="s">
        <v>67665</v>
      </c>
      <c r="L2822" s="213" t="s">
        <v>67792</v>
      </c>
      <c r="M2822" s="213" t="s">
        <v>67919</v>
      </c>
      <c r="N2822" s="213" t="s">
        <v>23585</v>
      </c>
      <c r="O2822" s="213" t="s">
        <v>23586</v>
      </c>
      <c r="P2822" s="213" t="s">
        <v>23587</v>
      </c>
      <c r="Q2822" s="213" t="s">
        <v>23588</v>
      </c>
      <c r="R2822" s="213" t="s">
        <v>23589</v>
      </c>
      <c r="S2822" s="213" t="s">
        <v>23590</v>
      </c>
      <c r="T2822" s="213" t="s">
        <v>23591</v>
      </c>
      <c r="U2822" s="213" t="s">
        <v>68046</v>
      </c>
    </row>
    <row r="2823" spans="1:21" x14ac:dyDescent="0.25">
      <c r="A2823" s="213" t="s">
        <v>327</v>
      </c>
      <c r="D2823" s="213" t="s">
        <v>23592</v>
      </c>
      <c r="E2823" s="213" t="s">
        <v>23593</v>
      </c>
      <c r="K2823" s="213" t="s">
        <v>67666</v>
      </c>
      <c r="L2823" s="213" t="s">
        <v>67793</v>
      </c>
      <c r="M2823" s="213" t="s">
        <v>67920</v>
      </c>
      <c r="N2823" s="213" t="s">
        <v>23594</v>
      </c>
      <c r="O2823" s="213" t="s">
        <v>23595</v>
      </c>
      <c r="P2823" s="213" t="s">
        <v>23596</v>
      </c>
      <c r="Q2823" s="213" t="s">
        <v>23597</v>
      </c>
      <c r="R2823" s="213" t="s">
        <v>23598</v>
      </c>
      <c r="S2823" s="213" t="s">
        <v>23599</v>
      </c>
      <c r="T2823" s="213" t="s">
        <v>23600</v>
      </c>
      <c r="U2823" s="213" t="s">
        <v>68047</v>
      </c>
    </row>
    <row r="2824" spans="1:21" x14ac:dyDescent="0.25">
      <c r="A2824" s="213" t="s">
        <v>327</v>
      </c>
      <c r="D2824" s="213" t="s">
        <v>23601</v>
      </c>
      <c r="E2824" s="213" t="s">
        <v>23602</v>
      </c>
      <c r="K2824" s="213" t="s">
        <v>67667</v>
      </c>
      <c r="L2824" s="213" t="s">
        <v>67794</v>
      </c>
      <c r="M2824" s="213" t="s">
        <v>67921</v>
      </c>
      <c r="N2824" s="213" t="s">
        <v>23603</v>
      </c>
      <c r="O2824" s="213" t="s">
        <v>23604</v>
      </c>
      <c r="P2824" s="213" t="s">
        <v>23605</v>
      </c>
      <c r="Q2824" s="213" t="s">
        <v>23606</v>
      </c>
      <c r="R2824" s="213" t="s">
        <v>23607</v>
      </c>
      <c r="S2824" s="213" t="s">
        <v>23608</v>
      </c>
      <c r="T2824" s="213" t="s">
        <v>23609</v>
      </c>
      <c r="U2824" s="213" t="s">
        <v>68048</v>
      </c>
    </row>
    <row r="2825" spans="1:21" x14ac:dyDescent="0.25">
      <c r="A2825" s="213" t="s">
        <v>327</v>
      </c>
      <c r="D2825" s="213" t="s">
        <v>23610</v>
      </c>
      <c r="E2825" s="213" t="s">
        <v>23611</v>
      </c>
      <c r="K2825" s="213" t="s">
        <v>67668</v>
      </c>
      <c r="L2825" s="213" t="s">
        <v>67795</v>
      </c>
      <c r="M2825" s="213" t="s">
        <v>67922</v>
      </c>
      <c r="N2825" s="213" t="s">
        <v>23612</v>
      </c>
      <c r="O2825" s="213" t="s">
        <v>23613</v>
      </c>
      <c r="P2825" s="213" t="s">
        <v>23614</v>
      </c>
      <c r="Q2825" s="213" t="s">
        <v>23615</v>
      </c>
      <c r="R2825" s="213" t="s">
        <v>23616</v>
      </c>
      <c r="S2825" s="213" t="s">
        <v>23617</v>
      </c>
      <c r="T2825" s="213" t="s">
        <v>23618</v>
      </c>
      <c r="U2825" s="213" t="s">
        <v>68049</v>
      </c>
    </row>
    <row r="2826" spans="1:21" x14ac:dyDescent="0.25">
      <c r="A2826" s="213" t="s">
        <v>327</v>
      </c>
      <c r="D2826" s="213" t="s">
        <v>23619</v>
      </c>
      <c r="E2826" s="213" t="s">
        <v>23620</v>
      </c>
      <c r="K2826" s="213" t="s">
        <v>67669</v>
      </c>
      <c r="L2826" s="213" t="s">
        <v>67796</v>
      </c>
      <c r="M2826" s="213" t="s">
        <v>67923</v>
      </c>
      <c r="N2826" s="213" t="s">
        <v>23621</v>
      </c>
      <c r="O2826" s="213" t="s">
        <v>23622</v>
      </c>
      <c r="P2826" s="213" t="s">
        <v>23623</v>
      </c>
      <c r="Q2826" s="213" t="s">
        <v>23624</v>
      </c>
      <c r="R2826" s="213" t="s">
        <v>23625</v>
      </c>
      <c r="S2826" s="213" t="s">
        <v>23626</v>
      </c>
      <c r="T2826" s="213" t="s">
        <v>23627</v>
      </c>
      <c r="U2826" s="213" t="s">
        <v>68050</v>
      </c>
    </row>
    <row r="2827" spans="1:21" x14ac:dyDescent="0.25">
      <c r="A2827" s="213" t="s">
        <v>327</v>
      </c>
      <c r="D2827" s="213" t="s">
        <v>23628</v>
      </c>
      <c r="E2827" s="213" t="s">
        <v>23629</v>
      </c>
      <c r="K2827" s="213" t="s">
        <v>67670</v>
      </c>
      <c r="L2827" s="213" t="s">
        <v>67797</v>
      </c>
      <c r="M2827" s="213" t="s">
        <v>67924</v>
      </c>
      <c r="N2827" s="213" t="s">
        <v>23630</v>
      </c>
      <c r="O2827" s="213" t="s">
        <v>23631</v>
      </c>
      <c r="P2827" s="213" t="s">
        <v>23632</v>
      </c>
      <c r="Q2827" s="213" t="s">
        <v>23633</v>
      </c>
      <c r="R2827" s="213" t="s">
        <v>23634</v>
      </c>
      <c r="S2827" s="213" t="s">
        <v>23635</v>
      </c>
      <c r="T2827" s="213" t="s">
        <v>23636</v>
      </c>
      <c r="U2827" s="213" t="s">
        <v>68051</v>
      </c>
    </row>
    <row r="2828" spans="1:21" x14ac:dyDescent="0.25">
      <c r="A2828" s="213" t="s">
        <v>327</v>
      </c>
      <c r="D2828" s="213" t="s">
        <v>23637</v>
      </c>
      <c r="E2828" s="213" t="s">
        <v>23638</v>
      </c>
      <c r="K2828" s="213" t="s">
        <v>67671</v>
      </c>
      <c r="L2828" s="213" t="s">
        <v>67798</v>
      </c>
      <c r="M2828" s="213" t="s">
        <v>67925</v>
      </c>
      <c r="N2828" s="213" t="s">
        <v>23639</v>
      </c>
      <c r="O2828" s="213" t="s">
        <v>23640</v>
      </c>
      <c r="P2828" s="213" t="s">
        <v>23641</v>
      </c>
      <c r="Q2828" s="213" t="s">
        <v>23642</v>
      </c>
      <c r="R2828" s="213" t="s">
        <v>23643</v>
      </c>
      <c r="S2828" s="213" t="s">
        <v>23644</v>
      </c>
      <c r="T2828" s="213" t="s">
        <v>23645</v>
      </c>
      <c r="U2828" s="213" t="s">
        <v>68052</v>
      </c>
    </row>
    <row r="2829" spans="1:21" x14ac:dyDescent="0.25">
      <c r="A2829" s="213" t="s">
        <v>327</v>
      </c>
      <c r="D2829" s="213" t="s">
        <v>23646</v>
      </c>
      <c r="E2829" s="213" t="s">
        <v>23647</v>
      </c>
      <c r="K2829" s="213" t="s">
        <v>67672</v>
      </c>
      <c r="L2829" s="213" t="s">
        <v>67799</v>
      </c>
      <c r="M2829" s="213" t="s">
        <v>67926</v>
      </c>
      <c r="N2829" s="213" t="s">
        <v>23648</v>
      </c>
      <c r="O2829" s="213" t="s">
        <v>23649</v>
      </c>
      <c r="P2829" s="213" t="s">
        <v>23650</v>
      </c>
      <c r="Q2829" s="213" t="s">
        <v>23651</v>
      </c>
      <c r="R2829" s="213" t="s">
        <v>23652</v>
      </c>
      <c r="S2829" s="213" t="s">
        <v>23653</v>
      </c>
      <c r="T2829" s="213" t="s">
        <v>23654</v>
      </c>
      <c r="U2829" s="213" t="s">
        <v>68053</v>
      </c>
    </row>
    <row r="2830" spans="1:21" x14ac:dyDescent="0.25">
      <c r="A2830" s="213" t="s">
        <v>327</v>
      </c>
      <c r="D2830" s="213" t="s">
        <v>23655</v>
      </c>
      <c r="E2830" s="213" t="s">
        <v>23656</v>
      </c>
      <c r="K2830" s="213" t="s">
        <v>67673</v>
      </c>
      <c r="L2830" s="213" t="s">
        <v>67800</v>
      </c>
      <c r="M2830" s="213" t="s">
        <v>67927</v>
      </c>
      <c r="N2830" s="213" t="s">
        <v>23657</v>
      </c>
      <c r="O2830" s="213" t="s">
        <v>23658</v>
      </c>
      <c r="P2830" s="213" t="s">
        <v>23659</v>
      </c>
      <c r="Q2830" s="213" t="s">
        <v>23660</v>
      </c>
      <c r="R2830" s="213" t="s">
        <v>23661</v>
      </c>
      <c r="S2830" s="213" t="s">
        <v>23662</v>
      </c>
      <c r="T2830" s="213" t="s">
        <v>23663</v>
      </c>
      <c r="U2830" s="213" t="s">
        <v>68054</v>
      </c>
    </row>
    <row r="2831" spans="1:21" x14ac:dyDescent="0.25">
      <c r="A2831" s="213" t="s">
        <v>327</v>
      </c>
      <c r="D2831" s="213" t="s">
        <v>23664</v>
      </c>
      <c r="E2831" s="213" t="s">
        <v>23665</v>
      </c>
      <c r="K2831" s="213" t="s">
        <v>67674</v>
      </c>
      <c r="L2831" s="213" t="s">
        <v>67801</v>
      </c>
      <c r="M2831" s="213" t="s">
        <v>67928</v>
      </c>
      <c r="N2831" s="213" t="s">
        <v>23666</v>
      </c>
      <c r="O2831" s="213" t="s">
        <v>23667</v>
      </c>
      <c r="P2831" s="213" t="s">
        <v>23668</v>
      </c>
      <c r="Q2831" s="213" t="s">
        <v>23669</v>
      </c>
      <c r="R2831" s="213" t="s">
        <v>23670</v>
      </c>
      <c r="S2831" s="213" t="s">
        <v>23671</v>
      </c>
      <c r="T2831" s="213" t="s">
        <v>23672</v>
      </c>
      <c r="U2831" s="213" t="s">
        <v>68055</v>
      </c>
    </row>
    <row r="2832" spans="1:21" x14ac:dyDescent="0.25">
      <c r="A2832" s="213" t="s">
        <v>327</v>
      </c>
      <c r="D2832" s="213" t="s">
        <v>23673</v>
      </c>
      <c r="E2832" s="213" t="s">
        <v>23674</v>
      </c>
      <c r="K2832" s="213" t="s">
        <v>67675</v>
      </c>
      <c r="L2832" s="213" t="s">
        <v>67802</v>
      </c>
      <c r="M2832" s="213" t="s">
        <v>67929</v>
      </c>
      <c r="N2832" s="213" t="s">
        <v>23675</v>
      </c>
      <c r="O2832" s="213" t="s">
        <v>23676</v>
      </c>
      <c r="P2832" s="213" t="s">
        <v>23677</v>
      </c>
      <c r="Q2832" s="213" t="s">
        <v>23678</v>
      </c>
      <c r="R2832" s="213" t="s">
        <v>23679</v>
      </c>
      <c r="S2832" s="213" t="s">
        <v>23680</v>
      </c>
      <c r="T2832" s="213" t="s">
        <v>23681</v>
      </c>
      <c r="U2832" s="213" t="s">
        <v>68056</v>
      </c>
    </row>
    <row r="2833" spans="1:21" x14ac:dyDescent="0.25">
      <c r="A2833" s="213" t="s">
        <v>327</v>
      </c>
      <c r="D2833" s="213" t="s">
        <v>23682</v>
      </c>
      <c r="E2833" s="213" t="s">
        <v>23683</v>
      </c>
      <c r="K2833" s="213" t="s">
        <v>67676</v>
      </c>
      <c r="L2833" s="213" t="s">
        <v>67803</v>
      </c>
      <c r="M2833" s="213" t="s">
        <v>67930</v>
      </c>
      <c r="N2833" s="213" t="s">
        <v>23684</v>
      </c>
      <c r="O2833" s="213" t="s">
        <v>23685</v>
      </c>
      <c r="P2833" s="213" t="s">
        <v>23686</v>
      </c>
      <c r="Q2833" s="213" t="s">
        <v>23687</v>
      </c>
      <c r="R2833" s="213" t="s">
        <v>23688</v>
      </c>
      <c r="S2833" s="213" t="s">
        <v>23689</v>
      </c>
      <c r="T2833" s="213" t="s">
        <v>23690</v>
      </c>
      <c r="U2833" s="213" t="s">
        <v>68057</v>
      </c>
    </row>
    <row r="2834" spans="1:21" x14ac:dyDescent="0.25">
      <c r="A2834" s="213" t="s">
        <v>327</v>
      </c>
      <c r="D2834" s="213" t="s">
        <v>23691</v>
      </c>
      <c r="E2834" s="213" t="s">
        <v>23692</v>
      </c>
      <c r="K2834" s="213" t="s">
        <v>67677</v>
      </c>
      <c r="L2834" s="213" t="s">
        <v>67804</v>
      </c>
      <c r="M2834" s="213" t="s">
        <v>67931</v>
      </c>
      <c r="N2834" s="213" t="s">
        <v>23693</v>
      </c>
      <c r="O2834" s="213" t="s">
        <v>23694</v>
      </c>
      <c r="P2834" s="213" t="s">
        <v>23695</v>
      </c>
      <c r="Q2834" s="213" t="s">
        <v>23696</v>
      </c>
      <c r="R2834" s="213" t="s">
        <v>23697</v>
      </c>
      <c r="S2834" s="213" t="s">
        <v>23698</v>
      </c>
      <c r="T2834" s="213" t="s">
        <v>23699</v>
      </c>
      <c r="U2834" s="213" t="s">
        <v>68058</v>
      </c>
    </row>
    <row r="2835" spans="1:21" x14ac:dyDescent="0.25">
      <c r="A2835" s="213" t="s">
        <v>327</v>
      </c>
      <c r="D2835" s="213" t="s">
        <v>23700</v>
      </c>
      <c r="E2835" s="213" t="s">
        <v>23701</v>
      </c>
      <c r="K2835" s="213" t="s">
        <v>67678</v>
      </c>
      <c r="L2835" s="213" t="s">
        <v>67805</v>
      </c>
      <c r="M2835" s="213" t="s">
        <v>67932</v>
      </c>
      <c r="N2835" s="213" t="s">
        <v>23702</v>
      </c>
      <c r="O2835" s="213" t="s">
        <v>23703</v>
      </c>
      <c r="P2835" s="213" t="s">
        <v>23704</v>
      </c>
      <c r="Q2835" s="213" t="s">
        <v>23705</v>
      </c>
      <c r="R2835" s="213" t="s">
        <v>23706</v>
      </c>
      <c r="S2835" s="213" t="s">
        <v>23707</v>
      </c>
      <c r="T2835" s="213" t="s">
        <v>23708</v>
      </c>
      <c r="U2835" s="213" t="s">
        <v>68059</v>
      </c>
    </row>
    <row r="2836" spans="1:21" x14ac:dyDescent="0.25">
      <c r="A2836" s="213" t="s">
        <v>327</v>
      </c>
      <c r="D2836" s="213" t="s">
        <v>23709</v>
      </c>
      <c r="E2836" s="213" t="s">
        <v>23710</v>
      </c>
      <c r="K2836" s="213" t="s">
        <v>67679</v>
      </c>
      <c r="L2836" s="213" t="s">
        <v>67806</v>
      </c>
      <c r="M2836" s="213" t="s">
        <v>67933</v>
      </c>
      <c r="N2836" s="213" t="s">
        <v>23711</v>
      </c>
      <c r="O2836" s="213" t="s">
        <v>23712</v>
      </c>
      <c r="P2836" s="213" t="s">
        <v>23713</v>
      </c>
      <c r="Q2836" s="213" t="s">
        <v>23714</v>
      </c>
      <c r="R2836" s="213" t="s">
        <v>23715</v>
      </c>
      <c r="S2836" s="213" t="s">
        <v>23716</v>
      </c>
      <c r="T2836" s="213" t="s">
        <v>23717</v>
      </c>
      <c r="U2836" s="213" t="s">
        <v>68060</v>
      </c>
    </row>
    <row r="2837" spans="1:21" x14ac:dyDescent="0.25">
      <c r="A2837" s="213" t="s">
        <v>327</v>
      </c>
      <c r="D2837" s="213" t="s">
        <v>23718</v>
      </c>
      <c r="E2837" s="213" t="s">
        <v>23719</v>
      </c>
      <c r="K2837" s="213" t="s">
        <v>67680</v>
      </c>
      <c r="L2837" s="213" t="s">
        <v>67807</v>
      </c>
      <c r="M2837" s="213" t="s">
        <v>67934</v>
      </c>
      <c r="N2837" s="213" t="s">
        <v>23720</v>
      </c>
      <c r="O2837" s="213" t="s">
        <v>23721</v>
      </c>
      <c r="P2837" s="213" t="s">
        <v>23722</v>
      </c>
      <c r="Q2837" s="213" t="s">
        <v>23723</v>
      </c>
      <c r="R2837" s="213" t="s">
        <v>23724</v>
      </c>
      <c r="S2837" s="213" t="s">
        <v>23725</v>
      </c>
      <c r="T2837" s="213" t="s">
        <v>23726</v>
      </c>
      <c r="U2837" s="213" t="s">
        <v>68061</v>
      </c>
    </row>
    <row r="2838" spans="1:21" x14ac:dyDescent="0.25">
      <c r="A2838" s="213" t="s">
        <v>327</v>
      </c>
      <c r="D2838" s="213" t="s">
        <v>23727</v>
      </c>
      <c r="E2838" s="213" t="s">
        <v>23728</v>
      </c>
      <c r="K2838" s="213" t="s">
        <v>67681</v>
      </c>
      <c r="L2838" s="213" t="s">
        <v>67808</v>
      </c>
      <c r="M2838" s="213" t="s">
        <v>67935</v>
      </c>
      <c r="N2838" s="213" t="s">
        <v>23729</v>
      </c>
      <c r="O2838" s="213" t="s">
        <v>23730</v>
      </c>
      <c r="P2838" s="213" t="s">
        <v>23731</v>
      </c>
      <c r="Q2838" s="213" t="s">
        <v>23732</v>
      </c>
      <c r="R2838" s="213" t="s">
        <v>23733</v>
      </c>
      <c r="S2838" s="213" t="s">
        <v>23734</v>
      </c>
      <c r="T2838" s="213" t="s">
        <v>23735</v>
      </c>
      <c r="U2838" s="213" t="s">
        <v>68062</v>
      </c>
    </row>
    <row r="2839" spans="1:21" x14ac:dyDescent="0.25">
      <c r="A2839" s="213" t="s">
        <v>327</v>
      </c>
      <c r="D2839" s="213" t="s">
        <v>23736</v>
      </c>
      <c r="E2839" s="213" t="s">
        <v>23737</v>
      </c>
      <c r="K2839" s="213" t="s">
        <v>67682</v>
      </c>
      <c r="L2839" s="213" t="s">
        <v>67809</v>
      </c>
      <c r="M2839" s="213" t="s">
        <v>67936</v>
      </c>
      <c r="N2839" s="213" t="s">
        <v>23738</v>
      </c>
      <c r="O2839" s="213" t="s">
        <v>23739</v>
      </c>
      <c r="P2839" s="213" t="s">
        <v>23740</v>
      </c>
      <c r="Q2839" s="213" t="s">
        <v>23741</v>
      </c>
      <c r="R2839" s="213" t="s">
        <v>23742</v>
      </c>
      <c r="S2839" s="213" t="s">
        <v>23743</v>
      </c>
      <c r="T2839" s="213" t="s">
        <v>23744</v>
      </c>
      <c r="U2839" s="213" t="s">
        <v>68063</v>
      </c>
    </row>
    <row r="2840" spans="1:21" x14ac:dyDescent="0.25">
      <c r="A2840" s="213" t="s">
        <v>327</v>
      </c>
      <c r="D2840" s="213" t="s">
        <v>23745</v>
      </c>
      <c r="E2840" s="213" t="s">
        <v>23746</v>
      </c>
      <c r="K2840" s="213" t="s">
        <v>67683</v>
      </c>
      <c r="L2840" s="213" t="s">
        <v>67810</v>
      </c>
      <c r="M2840" s="213" t="s">
        <v>67937</v>
      </c>
      <c r="N2840" s="213" t="s">
        <v>23747</v>
      </c>
      <c r="O2840" s="213" t="s">
        <v>23748</v>
      </c>
      <c r="P2840" s="213" t="s">
        <v>23749</v>
      </c>
      <c r="Q2840" s="213" t="s">
        <v>23750</v>
      </c>
      <c r="R2840" s="213" t="s">
        <v>23751</v>
      </c>
      <c r="S2840" s="213" t="s">
        <v>23752</v>
      </c>
      <c r="T2840" s="213" t="s">
        <v>23753</v>
      </c>
      <c r="U2840" s="213" t="s">
        <v>68064</v>
      </c>
    </row>
    <row r="2841" spans="1:21" x14ac:dyDescent="0.25">
      <c r="A2841" s="213" t="s">
        <v>327</v>
      </c>
      <c r="D2841" s="213" t="s">
        <v>23754</v>
      </c>
      <c r="E2841" s="213" t="s">
        <v>23755</v>
      </c>
      <c r="K2841" s="213" t="s">
        <v>67684</v>
      </c>
      <c r="L2841" s="213" t="s">
        <v>67811</v>
      </c>
      <c r="M2841" s="213" t="s">
        <v>67938</v>
      </c>
      <c r="N2841" s="213" t="s">
        <v>23756</v>
      </c>
      <c r="O2841" s="213" t="s">
        <v>23757</v>
      </c>
      <c r="P2841" s="213" t="s">
        <v>23758</v>
      </c>
      <c r="Q2841" s="213" t="s">
        <v>23759</v>
      </c>
      <c r="R2841" s="213" t="s">
        <v>23760</v>
      </c>
      <c r="S2841" s="213" t="s">
        <v>23761</v>
      </c>
      <c r="T2841" s="213" t="s">
        <v>23762</v>
      </c>
      <c r="U2841" s="213" t="s">
        <v>68065</v>
      </c>
    </row>
    <row r="2842" spans="1:21" x14ac:dyDescent="0.25">
      <c r="A2842" s="213" t="s">
        <v>327</v>
      </c>
      <c r="D2842" s="213" t="s">
        <v>23763</v>
      </c>
      <c r="E2842" s="213" t="s">
        <v>23764</v>
      </c>
      <c r="K2842" s="213" t="s">
        <v>67685</v>
      </c>
      <c r="L2842" s="213" t="s">
        <v>67812</v>
      </c>
      <c r="M2842" s="213" t="s">
        <v>67939</v>
      </c>
      <c r="N2842" s="213" t="s">
        <v>23765</v>
      </c>
      <c r="O2842" s="213" t="s">
        <v>23766</v>
      </c>
      <c r="P2842" s="213" t="s">
        <v>23767</v>
      </c>
      <c r="Q2842" s="213" t="s">
        <v>23768</v>
      </c>
      <c r="R2842" s="213" t="s">
        <v>23769</v>
      </c>
      <c r="S2842" s="213" t="s">
        <v>23770</v>
      </c>
      <c r="T2842" s="213" t="s">
        <v>23771</v>
      </c>
      <c r="U2842" s="213" t="s">
        <v>68066</v>
      </c>
    </row>
    <row r="2843" spans="1:21" x14ac:dyDescent="0.25">
      <c r="A2843" s="213" t="s">
        <v>327</v>
      </c>
      <c r="D2843" s="213" t="s">
        <v>23772</v>
      </c>
      <c r="E2843" s="213" t="s">
        <v>23773</v>
      </c>
      <c r="K2843" s="213" t="s">
        <v>67686</v>
      </c>
      <c r="L2843" s="213" t="s">
        <v>67813</v>
      </c>
      <c r="M2843" s="213" t="s">
        <v>67940</v>
      </c>
      <c r="N2843" s="213" t="s">
        <v>23774</v>
      </c>
      <c r="O2843" s="213" t="s">
        <v>23775</v>
      </c>
      <c r="P2843" s="213" t="s">
        <v>23776</v>
      </c>
      <c r="Q2843" s="213" t="s">
        <v>23777</v>
      </c>
      <c r="R2843" s="213" t="s">
        <v>23778</v>
      </c>
      <c r="S2843" s="213" t="s">
        <v>23779</v>
      </c>
      <c r="T2843" s="213" t="s">
        <v>23780</v>
      </c>
      <c r="U2843" s="213" t="s">
        <v>68067</v>
      </c>
    </row>
    <row r="2844" spans="1:21" x14ac:dyDescent="0.25">
      <c r="A2844" s="213" t="s">
        <v>327</v>
      </c>
      <c r="D2844" s="213" t="s">
        <v>23781</v>
      </c>
      <c r="E2844" s="213" t="s">
        <v>23782</v>
      </c>
      <c r="K2844" s="213" t="s">
        <v>67687</v>
      </c>
      <c r="L2844" s="213" t="s">
        <v>67814</v>
      </c>
      <c r="M2844" s="213" t="s">
        <v>67941</v>
      </c>
      <c r="N2844" s="213" t="s">
        <v>23783</v>
      </c>
      <c r="O2844" s="213" t="s">
        <v>23784</v>
      </c>
      <c r="P2844" s="213" t="s">
        <v>23785</v>
      </c>
      <c r="Q2844" s="213" t="s">
        <v>23786</v>
      </c>
      <c r="R2844" s="213" t="s">
        <v>23787</v>
      </c>
      <c r="S2844" s="213" t="s">
        <v>23788</v>
      </c>
      <c r="T2844" s="213" t="s">
        <v>23789</v>
      </c>
      <c r="U2844" s="213" t="s">
        <v>68068</v>
      </c>
    </row>
    <row r="2845" spans="1:21" x14ac:dyDescent="0.25">
      <c r="A2845" s="213" t="s">
        <v>327</v>
      </c>
      <c r="D2845" s="213" t="s">
        <v>23790</v>
      </c>
      <c r="E2845" s="213" t="s">
        <v>23791</v>
      </c>
      <c r="K2845" s="213" t="s">
        <v>67688</v>
      </c>
      <c r="L2845" s="213" t="s">
        <v>67815</v>
      </c>
      <c r="M2845" s="213" t="s">
        <v>67942</v>
      </c>
      <c r="N2845" s="213" t="s">
        <v>23792</v>
      </c>
      <c r="O2845" s="213" t="s">
        <v>23793</v>
      </c>
      <c r="P2845" s="213" t="s">
        <v>23794</v>
      </c>
      <c r="Q2845" s="213" t="s">
        <v>23795</v>
      </c>
      <c r="R2845" s="213" t="s">
        <v>23796</v>
      </c>
      <c r="S2845" s="213" t="s">
        <v>23797</v>
      </c>
      <c r="T2845" s="213" t="s">
        <v>23798</v>
      </c>
      <c r="U2845" s="213" t="s">
        <v>68069</v>
      </c>
    </row>
    <row r="2846" spans="1:21" x14ac:dyDescent="0.25">
      <c r="A2846" s="213" t="s">
        <v>327</v>
      </c>
      <c r="D2846" s="213" t="s">
        <v>23799</v>
      </c>
      <c r="E2846" s="213" t="s">
        <v>23800</v>
      </c>
      <c r="K2846" s="213" t="s">
        <v>67689</v>
      </c>
      <c r="L2846" s="213" t="s">
        <v>67816</v>
      </c>
      <c r="M2846" s="213" t="s">
        <v>67943</v>
      </c>
      <c r="N2846" s="213" t="s">
        <v>23801</v>
      </c>
      <c r="O2846" s="213" t="s">
        <v>23802</v>
      </c>
      <c r="P2846" s="213" t="s">
        <v>23803</v>
      </c>
      <c r="Q2846" s="213" t="s">
        <v>23804</v>
      </c>
      <c r="R2846" s="213" t="s">
        <v>23805</v>
      </c>
      <c r="S2846" s="213" t="s">
        <v>23806</v>
      </c>
      <c r="T2846" s="213" t="s">
        <v>23807</v>
      </c>
      <c r="U2846" s="213" t="s">
        <v>68070</v>
      </c>
    </row>
    <row r="2847" spans="1:21" x14ac:dyDescent="0.25">
      <c r="A2847" s="213" t="s">
        <v>327</v>
      </c>
      <c r="D2847" s="213" t="s">
        <v>23808</v>
      </c>
      <c r="E2847" s="213" t="s">
        <v>23809</v>
      </c>
      <c r="K2847" s="213" t="s">
        <v>67690</v>
      </c>
      <c r="L2847" s="213" t="s">
        <v>67817</v>
      </c>
      <c r="M2847" s="213" t="s">
        <v>67944</v>
      </c>
      <c r="N2847" s="213" t="s">
        <v>23810</v>
      </c>
      <c r="O2847" s="213" t="s">
        <v>23811</v>
      </c>
      <c r="P2847" s="213" t="s">
        <v>23812</v>
      </c>
      <c r="Q2847" s="213" t="s">
        <v>23813</v>
      </c>
      <c r="R2847" s="213" t="s">
        <v>23814</v>
      </c>
      <c r="S2847" s="213" t="s">
        <v>23815</v>
      </c>
      <c r="T2847" s="213" t="s">
        <v>23816</v>
      </c>
      <c r="U2847" s="213" t="s">
        <v>68071</v>
      </c>
    </row>
    <row r="2848" spans="1:21" x14ac:dyDescent="0.25">
      <c r="A2848" s="213" t="s">
        <v>327</v>
      </c>
      <c r="D2848" s="213" t="s">
        <v>23817</v>
      </c>
      <c r="E2848" s="213" t="s">
        <v>23818</v>
      </c>
      <c r="K2848" s="213" t="s">
        <v>67691</v>
      </c>
      <c r="L2848" s="213" t="s">
        <v>67818</v>
      </c>
      <c r="M2848" s="213" t="s">
        <v>67945</v>
      </c>
      <c r="N2848" s="213" t="s">
        <v>23819</v>
      </c>
      <c r="O2848" s="213" t="s">
        <v>23820</v>
      </c>
      <c r="P2848" s="213" t="s">
        <v>23821</v>
      </c>
      <c r="Q2848" s="213" t="s">
        <v>23822</v>
      </c>
      <c r="R2848" s="213" t="s">
        <v>23823</v>
      </c>
      <c r="S2848" s="213" t="s">
        <v>23824</v>
      </c>
      <c r="T2848" s="213" t="s">
        <v>23825</v>
      </c>
      <c r="U2848" s="213" t="s">
        <v>68072</v>
      </c>
    </row>
    <row r="2849" spans="1:21" x14ac:dyDescent="0.25">
      <c r="A2849" s="213" t="s">
        <v>327</v>
      </c>
      <c r="D2849" s="213" t="s">
        <v>23826</v>
      </c>
      <c r="E2849" s="213" t="s">
        <v>23827</v>
      </c>
      <c r="K2849" s="213" t="s">
        <v>67692</v>
      </c>
      <c r="L2849" s="213" t="s">
        <v>67819</v>
      </c>
      <c r="M2849" s="213" t="s">
        <v>67946</v>
      </c>
      <c r="N2849" s="213" t="s">
        <v>23828</v>
      </c>
      <c r="O2849" s="213" t="s">
        <v>23829</v>
      </c>
      <c r="P2849" s="213" t="s">
        <v>23830</v>
      </c>
      <c r="Q2849" s="213" t="s">
        <v>23831</v>
      </c>
      <c r="R2849" s="213" t="s">
        <v>23832</v>
      </c>
      <c r="S2849" s="213" t="s">
        <v>23833</v>
      </c>
      <c r="T2849" s="213" t="s">
        <v>23834</v>
      </c>
      <c r="U2849" s="213" t="s">
        <v>68073</v>
      </c>
    </row>
    <row r="2850" spans="1:21" x14ac:dyDescent="0.25">
      <c r="A2850" s="213" t="s">
        <v>327</v>
      </c>
      <c r="D2850" s="213" t="s">
        <v>23835</v>
      </c>
      <c r="E2850" s="213" t="s">
        <v>23836</v>
      </c>
      <c r="K2850" s="213" t="s">
        <v>67693</v>
      </c>
      <c r="L2850" s="213" t="s">
        <v>67820</v>
      </c>
      <c r="M2850" s="213" t="s">
        <v>67947</v>
      </c>
      <c r="N2850" s="213" t="s">
        <v>23837</v>
      </c>
      <c r="O2850" s="213" t="s">
        <v>23838</v>
      </c>
      <c r="P2850" s="213" t="s">
        <v>23839</v>
      </c>
      <c r="Q2850" s="213" t="s">
        <v>23840</v>
      </c>
      <c r="R2850" s="213" t="s">
        <v>23841</v>
      </c>
      <c r="S2850" s="213" t="s">
        <v>23842</v>
      </c>
      <c r="T2850" s="213" t="s">
        <v>23843</v>
      </c>
      <c r="U2850" s="213" t="s">
        <v>68074</v>
      </c>
    </row>
    <row r="2851" spans="1:21" x14ac:dyDescent="0.25">
      <c r="A2851" s="213" t="s">
        <v>327</v>
      </c>
      <c r="D2851" s="213" t="s">
        <v>23844</v>
      </c>
      <c r="E2851" s="213" t="s">
        <v>23845</v>
      </c>
      <c r="K2851" s="213" t="s">
        <v>67694</v>
      </c>
      <c r="L2851" s="213" t="s">
        <v>67821</v>
      </c>
      <c r="M2851" s="213" t="s">
        <v>67948</v>
      </c>
      <c r="N2851" s="213" t="s">
        <v>23846</v>
      </c>
      <c r="O2851" s="213" t="s">
        <v>23847</v>
      </c>
      <c r="P2851" s="213" t="s">
        <v>23848</v>
      </c>
      <c r="Q2851" s="213" t="s">
        <v>23849</v>
      </c>
      <c r="R2851" s="213" t="s">
        <v>23850</v>
      </c>
      <c r="S2851" s="213" t="s">
        <v>23851</v>
      </c>
      <c r="T2851" s="213" t="s">
        <v>23852</v>
      </c>
      <c r="U2851" s="213" t="s">
        <v>68075</v>
      </c>
    </row>
    <row r="2852" spans="1:21" x14ac:dyDescent="0.25">
      <c r="A2852" s="213" t="s">
        <v>327</v>
      </c>
      <c r="D2852" s="213" t="s">
        <v>23853</v>
      </c>
      <c r="E2852" s="213" t="s">
        <v>23854</v>
      </c>
      <c r="K2852" s="213" t="s">
        <v>67695</v>
      </c>
      <c r="L2852" s="213" t="s">
        <v>67822</v>
      </c>
      <c r="M2852" s="213" t="s">
        <v>67949</v>
      </c>
      <c r="N2852" s="213" t="s">
        <v>23855</v>
      </c>
      <c r="O2852" s="213" t="s">
        <v>23856</v>
      </c>
      <c r="P2852" s="213" t="s">
        <v>23857</v>
      </c>
      <c r="Q2852" s="213" t="s">
        <v>23858</v>
      </c>
      <c r="R2852" s="213" t="s">
        <v>23859</v>
      </c>
      <c r="S2852" s="213" t="s">
        <v>23860</v>
      </c>
      <c r="T2852" s="213" t="s">
        <v>23861</v>
      </c>
      <c r="U2852" s="213" t="s">
        <v>68076</v>
      </c>
    </row>
    <row r="2853" spans="1:21" x14ac:dyDescent="0.25">
      <c r="A2853" s="213" t="s">
        <v>327</v>
      </c>
      <c r="D2853" s="213" t="s">
        <v>23862</v>
      </c>
      <c r="E2853" s="213" t="s">
        <v>23863</v>
      </c>
      <c r="K2853" s="213" t="s">
        <v>67696</v>
      </c>
      <c r="L2853" s="213" t="s">
        <v>67823</v>
      </c>
      <c r="M2853" s="213" t="s">
        <v>67950</v>
      </c>
      <c r="N2853" s="213" t="s">
        <v>23864</v>
      </c>
      <c r="O2853" s="213" t="s">
        <v>23865</v>
      </c>
      <c r="P2853" s="213" t="s">
        <v>23866</v>
      </c>
      <c r="Q2853" s="213" t="s">
        <v>23867</v>
      </c>
      <c r="R2853" s="213" t="s">
        <v>23868</v>
      </c>
      <c r="S2853" s="213" t="s">
        <v>23869</v>
      </c>
      <c r="T2853" s="213" t="s">
        <v>23870</v>
      </c>
      <c r="U2853" s="213" t="s">
        <v>68077</v>
      </c>
    </row>
    <row r="2854" spans="1:21" x14ac:dyDescent="0.25">
      <c r="A2854" s="213" t="s">
        <v>327</v>
      </c>
    </row>
    <row r="2855" spans="1:21" x14ac:dyDescent="0.25">
      <c r="A2855" s="213" t="s">
        <v>327</v>
      </c>
    </row>
    <row r="2856" spans="1:21" x14ac:dyDescent="0.25">
      <c r="A2856" s="213" t="s">
        <v>327</v>
      </c>
      <c r="C2856" s="213" t="s">
        <v>23871</v>
      </c>
      <c r="E2856" s="213" t="s">
        <v>23872</v>
      </c>
      <c r="H2856" s="213" t="s">
        <v>23873</v>
      </c>
      <c r="I2856" s="213" t="s">
        <v>23874</v>
      </c>
      <c r="J2856" s="213" t="s">
        <v>23875</v>
      </c>
      <c r="L2856" s="213" t="s">
        <v>23876</v>
      </c>
      <c r="O2856" s="213" t="s">
        <v>23877</v>
      </c>
      <c r="P2856" s="213" t="s">
        <v>23878</v>
      </c>
      <c r="Q2856" s="213" t="s">
        <v>23879</v>
      </c>
      <c r="R2856" s="213" t="s">
        <v>23880</v>
      </c>
      <c r="S2856" s="213" t="s">
        <v>23881</v>
      </c>
      <c r="T2856" s="213" t="s">
        <v>23882</v>
      </c>
    </row>
    <row r="2857" spans="1:21" x14ac:dyDescent="0.25">
      <c r="A2857" s="213" t="s">
        <v>327</v>
      </c>
      <c r="C2857" s="213" t="s">
        <v>23883</v>
      </c>
      <c r="E2857" s="213" t="s">
        <v>23884</v>
      </c>
      <c r="I2857" s="213" t="s">
        <v>23885</v>
      </c>
    </row>
    <row r="2858" spans="1:21" x14ac:dyDescent="0.25">
      <c r="A2858" s="213" t="s">
        <v>327</v>
      </c>
      <c r="C2858" s="213" t="s">
        <v>23886</v>
      </c>
      <c r="E2858" s="213" t="s">
        <v>23887</v>
      </c>
      <c r="I2858" s="213" t="s">
        <v>23888</v>
      </c>
    </row>
    <row r="2859" spans="1:21" x14ac:dyDescent="0.25">
      <c r="A2859" s="213" t="s">
        <v>328</v>
      </c>
    </row>
    <row r="2860" spans="1:21" x14ac:dyDescent="0.25">
      <c r="A2860" s="213" t="s">
        <v>327</v>
      </c>
      <c r="D2860" s="213" t="s">
        <v>23889</v>
      </c>
      <c r="E2860" s="213" t="s">
        <v>23890</v>
      </c>
      <c r="K2860" s="213" t="s">
        <v>67298</v>
      </c>
      <c r="L2860" s="213" t="s">
        <v>67366</v>
      </c>
      <c r="M2860" s="213" t="s">
        <v>67434</v>
      </c>
      <c r="N2860" s="213" t="s">
        <v>23891</v>
      </c>
      <c r="O2860" s="213" t="s">
        <v>23892</v>
      </c>
      <c r="P2860" s="213" t="s">
        <v>23893</v>
      </c>
      <c r="Q2860" s="213" t="s">
        <v>23894</v>
      </c>
      <c r="R2860" s="213" t="s">
        <v>23895</v>
      </c>
      <c r="S2860" s="213" t="s">
        <v>23896</v>
      </c>
      <c r="T2860" s="213" t="s">
        <v>23897</v>
      </c>
      <c r="U2860" s="213" t="s">
        <v>67502</v>
      </c>
    </row>
    <row r="2861" spans="1:21" x14ac:dyDescent="0.25">
      <c r="A2861" s="213" t="s">
        <v>327</v>
      </c>
      <c r="D2861" s="213" t="s">
        <v>23898</v>
      </c>
      <c r="E2861" s="213" t="s">
        <v>23899</v>
      </c>
      <c r="K2861" s="213" t="s">
        <v>67299</v>
      </c>
      <c r="L2861" s="213" t="s">
        <v>67367</v>
      </c>
      <c r="M2861" s="213" t="s">
        <v>67435</v>
      </c>
      <c r="N2861" s="213" t="s">
        <v>23900</v>
      </c>
      <c r="O2861" s="213" t="s">
        <v>23901</v>
      </c>
      <c r="P2861" s="213" t="s">
        <v>23902</v>
      </c>
      <c r="Q2861" s="213" t="s">
        <v>23903</v>
      </c>
      <c r="R2861" s="213" t="s">
        <v>23904</v>
      </c>
      <c r="S2861" s="213" t="s">
        <v>23905</v>
      </c>
      <c r="T2861" s="213" t="s">
        <v>23906</v>
      </c>
      <c r="U2861" s="213" t="s">
        <v>67503</v>
      </c>
    </row>
    <row r="2862" spans="1:21" x14ac:dyDescent="0.25">
      <c r="A2862" s="213" t="s">
        <v>327</v>
      </c>
      <c r="D2862" s="213" t="s">
        <v>23907</v>
      </c>
      <c r="E2862" s="213" t="s">
        <v>23908</v>
      </c>
      <c r="K2862" s="213" t="s">
        <v>67300</v>
      </c>
      <c r="L2862" s="213" t="s">
        <v>67368</v>
      </c>
      <c r="M2862" s="213" t="s">
        <v>67436</v>
      </c>
      <c r="N2862" s="213" t="s">
        <v>23909</v>
      </c>
      <c r="O2862" s="213" t="s">
        <v>23910</v>
      </c>
      <c r="P2862" s="213" t="s">
        <v>23911</v>
      </c>
      <c r="Q2862" s="213" t="s">
        <v>23912</v>
      </c>
      <c r="R2862" s="213" t="s">
        <v>23913</v>
      </c>
      <c r="S2862" s="213" t="s">
        <v>23914</v>
      </c>
      <c r="T2862" s="213" t="s">
        <v>23915</v>
      </c>
      <c r="U2862" s="213" t="s">
        <v>67504</v>
      </c>
    </row>
    <row r="2863" spans="1:21" x14ac:dyDescent="0.25">
      <c r="A2863" s="213" t="s">
        <v>327</v>
      </c>
      <c r="D2863" s="213" t="s">
        <v>23916</v>
      </c>
      <c r="E2863" s="213" t="s">
        <v>23917</v>
      </c>
      <c r="K2863" s="213" t="s">
        <v>67301</v>
      </c>
      <c r="L2863" s="213" t="s">
        <v>67369</v>
      </c>
      <c r="M2863" s="213" t="s">
        <v>67437</v>
      </c>
      <c r="N2863" s="213" t="s">
        <v>23918</v>
      </c>
      <c r="O2863" s="213" t="s">
        <v>23919</v>
      </c>
      <c r="P2863" s="213" t="s">
        <v>23920</v>
      </c>
      <c r="Q2863" s="213" t="s">
        <v>23921</v>
      </c>
      <c r="R2863" s="213" t="s">
        <v>23922</v>
      </c>
      <c r="S2863" s="213" t="s">
        <v>23923</v>
      </c>
      <c r="T2863" s="213" t="s">
        <v>23924</v>
      </c>
      <c r="U2863" s="213" t="s">
        <v>67505</v>
      </c>
    </row>
    <row r="2864" spans="1:21" x14ac:dyDescent="0.25">
      <c r="A2864" s="213" t="s">
        <v>327</v>
      </c>
      <c r="D2864" s="213" t="s">
        <v>23925</v>
      </c>
      <c r="E2864" s="213" t="s">
        <v>23926</v>
      </c>
      <c r="K2864" s="213" t="s">
        <v>67302</v>
      </c>
      <c r="L2864" s="213" t="s">
        <v>67370</v>
      </c>
      <c r="M2864" s="213" t="s">
        <v>67438</v>
      </c>
      <c r="N2864" s="213" t="s">
        <v>23927</v>
      </c>
      <c r="O2864" s="213" t="s">
        <v>23928</v>
      </c>
      <c r="P2864" s="213" t="s">
        <v>23929</v>
      </c>
      <c r="Q2864" s="213" t="s">
        <v>23930</v>
      </c>
      <c r="R2864" s="213" t="s">
        <v>23931</v>
      </c>
      <c r="S2864" s="213" t="s">
        <v>23932</v>
      </c>
      <c r="T2864" s="213" t="s">
        <v>23933</v>
      </c>
      <c r="U2864" s="213" t="s">
        <v>67506</v>
      </c>
    </row>
    <row r="2865" spans="1:21" x14ac:dyDescent="0.25">
      <c r="A2865" s="213" t="s">
        <v>327</v>
      </c>
      <c r="D2865" s="213" t="s">
        <v>23934</v>
      </c>
      <c r="E2865" s="213" t="s">
        <v>23935</v>
      </c>
      <c r="K2865" s="213" t="s">
        <v>67303</v>
      </c>
      <c r="L2865" s="213" t="s">
        <v>67371</v>
      </c>
      <c r="M2865" s="213" t="s">
        <v>67439</v>
      </c>
      <c r="N2865" s="213" t="s">
        <v>23936</v>
      </c>
      <c r="O2865" s="213" t="s">
        <v>23937</v>
      </c>
      <c r="P2865" s="213" t="s">
        <v>23938</v>
      </c>
      <c r="Q2865" s="213" t="s">
        <v>23939</v>
      </c>
      <c r="R2865" s="213" t="s">
        <v>23940</v>
      </c>
      <c r="S2865" s="213" t="s">
        <v>23941</v>
      </c>
      <c r="T2865" s="213" t="s">
        <v>23942</v>
      </c>
      <c r="U2865" s="213" t="s">
        <v>67507</v>
      </c>
    </row>
    <row r="2866" spans="1:21" x14ac:dyDescent="0.25">
      <c r="A2866" s="213" t="s">
        <v>327</v>
      </c>
      <c r="D2866" s="213" t="s">
        <v>23943</v>
      </c>
      <c r="E2866" s="213" t="s">
        <v>23944</v>
      </c>
      <c r="K2866" s="213" t="s">
        <v>67304</v>
      </c>
      <c r="L2866" s="213" t="s">
        <v>67372</v>
      </c>
      <c r="M2866" s="213" t="s">
        <v>67440</v>
      </c>
      <c r="N2866" s="213" t="s">
        <v>23945</v>
      </c>
      <c r="O2866" s="213" t="s">
        <v>23946</v>
      </c>
      <c r="P2866" s="213" t="s">
        <v>23947</v>
      </c>
      <c r="Q2866" s="213" t="s">
        <v>23948</v>
      </c>
      <c r="R2866" s="213" t="s">
        <v>23949</v>
      </c>
      <c r="S2866" s="213" t="s">
        <v>23950</v>
      </c>
      <c r="T2866" s="213" t="s">
        <v>23951</v>
      </c>
      <c r="U2866" s="213" t="s">
        <v>67508</v>
      </c>
    </row>
    <row r="2867" spans="1:21" x14ac:dyDescent="0.25">
      <c r="A2867" s="213" t="s">
        <v>327</v>
      </c>
      <c r="D2867" s="213" t="s">
        <v>23952</v>
      </c>
      <c r="E2867" s="213" t="s">
        <v>23953</v>
      </c>
      <c r="K2867" s="213" t="s">
        <v>67305</v>
      </c>
      <c r="L2867" s="213" t="s">
        <v>67373</v>
      </c>
      <c r="M2867" s="213" t="s">
        <v>67441</v>
      </c>
      <c r="N2867" s="213" t="s">
        <v>23954</v>
      </c>
      <c r="O2867" s="213" t="s">
        <v>23955</v>
      </c>
      <c r="P2867" s="213" t="s">
        <v>23956</v>
      </c>
      <c r="Q2867" s="213" t="s">
        <v>23957</v>
      </c>
      <c r="R2867" s="213" t="s">
        <v>23958</v>
      </c>
      <c r="S2867" s="213" t="s">
        <v>23959</v>
      </c>
      <c r="T2867" s="213" t="s">
        <v>23960</v>
      </c>
      <c r="U2867" s="213" t="s">
        <v>67509</v>
      </c>
    </row>
    <row r="2868" spans="1:21" x14ac:dyDescent="0.25">
      <c r="A2868" s="213" t="s">
        <v>327</v>
      </c>
      <c r="D2868" s="213" t="s">
        <v>23961</v>
      </c>
      <c r="E2868" s="213" t="s">
        <v>23962</v>
      </c>
      <c r="K2868" s="213" t="s">
        <v>67306</v>
      </c>
      <c r="L2868" s="213" t="s">
        <v>67374</v>
      </c>
      <c r="M2868" s="213" t="s">
        <v>67442</v>
      </c>
      <c r="N2868" s="213" t="s">
        <v>23963</v>
      </c>
      <c r="O2868" s="213" t="s">
        <v>23964</v>
      </c>
      <c r="P2868" s="213" t="s">
        <v>23965</v>
      </c>
      <c r="Q2868" s="213" t="s">
        <v>23966</v>
      </c>
      <c r="R2868" s="213" t="s">
        <v>23967</v>
      </c>
      <c r="S2868" s="213" t="s">
        <v>23968</v>
      </c>
      <c r="T2868" s="213" t="s">
        <v>23969</v>
      </c>
      <c r="U2868" s="213" t="s">
        <v>67510</v>
      </c>
    </row>
    <row r="2869" spans="1:21" x14ac:dyDescent="0.25">
      <c r="A2869" s="213" t="s">
        <v>327</v>
      </c>
      <c r="D2869" s="213" t="s">
        <v>23970</v>
      </c>
      <c r="E2869" s="213" t="s">
        <v>23971</v>
      </c>
      <c r="K2869" s="213" t="s">
        <v>67307</v>
      </c>
      <c r="L2869" s="213" t="s">
        <v>67375</v>
      </c>
      <c r="M2869" s="213" t="s">
        <v>67443</v>
      </c>
      <c r="N2869" s="213" t="s">
        <v>23972</v>
      </c>
      <c r="O2869" s="213" t="s">
        <v>23973</v>
      </c>
      <c r="P2869" s="213" t="s">
        <v>23974</v>
      </c>
      <c r="Q2869" s="213" t="s">
        <v>23975</v>
      </c>
      <c r="R2869" s="213" t="s">
        <v>23976</v>
      </c>
      <c r="S2869" s="213" t="s">
        <v>23977</v>
      </c>
      <c r="T2869" s="213" t="s">
        <v>23978</v>
      </c>
      <c r="U2869" s="213" t="s">
        <v>67511</v>
      </c>
    </row>
    <row r="2870" spans="1:21" x14ac:dyDescent="0.25">
      <c r="A2870" s="213" t="s">
        <v>327</v>
      </c>
      <c r="D2870" s="213" t="s">
        <v>23979</v>
      </c>
      <c r="E2870" s="213" t="s">
        <v>23980</v>
      </c>
      <c r="K2870" s="213" t="s">
        <v>67308</v>
      </c>
      <c r="L2870" s="213" t="s">
        <v>67376</v>
      </c>
      <c r="M2870" s="213" t="s">
        <v>67444</v>
      </c>
      <c r="N2870" s="213" t="s">
        <v>23981</v>
      </c>
      <c r="O2870" s="213" t="s">
        <v>23982</v>
      </c>
      <c r="P2870" s="213" t="s">
        <v>23983</v>
      </c>
      <c r="Q2870" s="213" t="s">
        <v>23984</v>
      </c>
      <c r="R2870" s="213" t="s">
        <v>23985</v>
      </c>
      <c r="S2870" s="213" t="s">
        <v>23986</v>
      </c>
      <c r="T2870" s="213" t="s">
        <v>23987</v>
      </c>
      <c r="U2870" s="213" t="s">
        <v>67512</v>
      </c>
    </row>
    <row r="2871" spans="1:21" x14ac:dyDescent="0.25">
      <c r="A2871" s="213" t="s">
        <v>327</v>
      </c>
      <c r="D2871" s="213" t="s">
        <v>23988</v>
      </c>
      <c r="E2871" s="213" t="s">
        <v>23989</v>
      </c>
      <c r="K2871" s="213" t="s">
        <v>67309</v>
      </c>
      <c r="L2871" s="213" t="s">
        <v>67377</v>
      </c>
      <c r="M2871" s="213" t="s">
        <v>67445</v>
      </c>
      <c r="N2871" s="213" t="s">
        <v>23990</v>
      </c>
      <c r="O2871" s="213" t="s">
        <v>23991</v>
      </c>
      <c r="P2871" s="213" t="s">
        <v>23992</v>
      </c>
      <c r="Q2871" s="213" t="s">
        <v>23993</v>
      </c>
      <c r="R2871" s="213" t="s">
        <v>23994</v>
      </c>
      <c r="S2871" s="213" t="s">
        <v>23995</v>
      </c>
      <c r="T2871" s="213" t="s">
        <v>23996</v>
      </c>
      <c r="U2871" s="213" t="s">
        <v>67513</v>
      </c>
    </row>
    <row r="2872" spans="1:21" x14ac:dyDescent="0.25">
      <c r="A2872" s="213" t="s">
        <v>327</v>
      </c>
      <c r="D2872" s="213" t="s">
        <v>23997</v>
      </c>
      <c r="E2872" s="213" t="s">
        <v>23998</v>
      </c>
      <c r="K2872" s="213" t="s">
        <v>67310</v>
      </c>
      <c r="L2872" s="213" t="s">
        <v>67378</v>
      </c>
      <c r="M2872" s="213" t="s">
        <v>67446</v>
      </c>
      <c r="N2872" s="213" t="s">
        <v>23999</v>
      </c>
      <c r="O2872" s="213" t="s">
        <v>24000</v>
      </c>
      <c r="P2872" s="213" t="s">
        <v>24001</v>
      </c>
      <c r="Q2872" s="213" t="s">
        <v>24002</v>
      </c>
      <c r="R2872" s="213" t="s">
        <v>24003</v>
      </c>
      <c r="S2872" s="213" t="s">
        <v>24004</v>
      </c>
      <c r="T2872" s="213" t="s">
        <v>24005</v>
      </c>
      <c r="U2872" s="213" t="s">
        <v>67514</v>
      </c>
    </row>
    <row r="2873" spans="1:21" x14ac:dyDescent="0.25">
      <c r="A2873" s="213" t="s">
        <v>327</v>
      </c>
      <c r="D2873" s="213" t="s">
        <v>24006</v>
      </c>
      <c r="E2873" s="213" t="s">
        <v>24007</v>
      </c>
      <c r="K2873" s="213" t="s">
        <v>67311</v>
      </c>
      <c r="L2873" s="213" t="s">
        <v>67379</v>
      </c>
      <c r="M2873" s="213" t="s">
        <v>67447</v>
      </c>
      <c r="N2873" s="213" t="s">
        <v>24008</v>
      </c>
      <c r="O2873" s="213" t="s">
        <v>24009</v>
      </c>
      <c r="P2873" s="213" t="s">
        <v>24010</v>
      </c>
      <c r="Q2873" s="213" t="s">
        <v>24011</v>
      </c>
      <c r="R2873" s="213" t="s">
        <v>24012</v>
      </c>
      <c r="S2873" s="213" t="s">
        <v>24013</v>
      </c>
      <c r="T2873" s="213" t="s">
        <v>24014</v>
      </c>
      <c r="U2873" s="213" t="s">
        <v>67515</v>
      </c>
    </row>
    <row r="2874" spans="1:21" x14ac:dyDescent="0.25">
      <c r="A2874" s="213" t="s">
        <v>327</v>
      </c>
      <c r="D2874" s="213" t="s">
        <v>24015</v>
      </c>
      <c r="E2874" s="213" t="s">
        <v>24016</v>
      </c>
      <c r="K2874" s="213" t="s">
        <v>67312</v>
      </c>
      <c r="L2874" s="213" t="s">
        <v>67380</v>
      </c>
      <c r="M2874" s="213" t="s">
        <v>67448</v>
      </c>
      <c r="N2874" s="213" t="s">
        <v>24017</v>
      </c>
      <c r="O2874" s="213" t="s">
        <v>24018</v>
      </c>
      <c r="P2874" s="213" t="s">
        <v>24019</v>
      </c>
      <c r="Q2874" s="213" t="s">
        <v>24020</v>
      </c>
      <c r="R2874" s="213" t="s">
        <v>24021</v>
      </c>
      <c r="S2874" s="213" t="s">
        <v>24022</v>
      </c>
      <c r="T2874" s="213" t="s">
        <v>24023</v>
      </c>
      <c r="U2874" s="213" t="s">
        <v>67516</v>
      </c>
    </row>
    <row r="2875" spans="1:21" x14ac:dyDescent="0.25">
      <c r="A2875" s="213" t="s">
        <v>327</v>
      </c>
      <c r="D2875" s="213" t="s">
        <v>24024</v>
      </c>
      <c r="E2875" s="213" t="s">
        <v>24025</v>
      </c>
      <c r="K2875" s="213" t="s">
        <v>67313</v>
      </c>
      <c r="L2875" s="213" t="s">
        <v>67381</v>
      </c>
      <c r="M2875" s="213" t="s">
        <v>67449</v>
      </c>
      <c r="N2875" s="213" t="s">
        <v>24026</v>
      </c>
      <c r="O2875" s="213" t="s">
        <v>24027</v>
      </c>
      <c r="P2875" s="213" t="s">
        <v>24028</v>
      </c>
      <c r="Q2875" s="213" t="s">
        <v>24029</v>
      </c>
      <c r="R2875" s="213" t="s">
        <v>24030</v>
      </c>
      <c r="S2875" s="213" t="s">
        <v>24031</v>
      </c>
      <c r="T2875" s="213" t="s">
        <v>24032</v>
      </c>
      <c r="U2875" s="213" t="s">
        <v>67517</v>
      </c>
    </row>
    <row r="2876" spans="1:21" x14ac:dyDescent="0.25">
      <c r="A2876" s="213" t="s">
        <v>327</v>
      </c>
      <c r="D2876" s="213" t="s">
        <v>24033</v>
      </c>
      <c r="E2876" s="213" t="s">
        <v>24034</v>
      </c>
      <c r="K2876" s="213" t="s">
        <v>67314</v>
      </c>
      <c r="L2876" s="213" t="s">
        <v>67382</v>
      </c>
      <c r="M2876" s="213" t="s">
        <v>67450</v>
      </c>
      <c r="N2876" s="213" t="s">
        <v>24035</v>
      </c>
      <c r="O2876" s="213" t="s">
        <v>24036</v>
      </c>
      <c r="P2876" s="213" t="s">
        <v>24037</v>
      </c>
      <c r="Q2876" s="213" t="s">
        <v>24038</v>
      </c>
      <c r="R2876" s="213" t="s">
        <v>24039</v>
      </c>
      <c r="S2876" s="213" t="s">
        <v>24040</v>
      </c>
      <c r="T2876" s="213" t="s">
        <v>24041</v>
      </c>
      <c r="U2876" s="213" t="s">
        <v>67518</v>
      </c>
    </row>
    <row r="2877" spans="1:21" x14ac:dyDescent="0.25">
      <c r="A2877" s="213" t="s">
        <v>327</v>
      </c>
      <c r="D2877" s="213" t="s">
        <v>24042</v>
      </c>
      <c r="E2877" s="213" t="s">
        <v>24043</v>
      </c>
      <c r="K2877" s="213" t="s">
        <v>67315</v>
      </c>
      <c r="L2877" s="213" t="s">
        <v>67383</v>
      </c>
      <c r="M2877" s="213" t="s">
        <v>67451</v>
      </c>
      <c r="N2877" s="213" t="s">
        <v>24044</v>
      </c>
      <c r="O2877" s="213" t="s">
        <v>24045</v>
      </c>
      <c r="P2877" s="213" t="s">
        <v>24046</v>
      </c>
      <c r="Q2877" s="213" t="s">
        <v>24047</v>
      </c>
      <c r="R2877" s="213" t="s">
        <v>24048</v>
      </c>
      <c r="S2877" s="213" t="s">
        <v>24049</v>
      </c>
      <c r="T2877" s="213" t="s">
        <v>24050</v>
      </c>
      <c r="U2877" s="213" t="s">
        <v>67519</v>
      </c>
    </row>
    <row r="2878" spans="1:21" x14ac:dyDescent="0.25">
      <c r="A2878" s="213" t="s">
        <v>327</v>
      </c>
      <c r="D2878" s="213" t="s">
        <v>24051</v>
      </c>
      <c r="E2878" s="213" t="s">
        <v>24052</v>
      </c>
      <c r="K2878" s="213" t="s">
        <v>67316</v>
      </c>
      <c r="L2878" s="213" t="s">
        <v>67384</v>
      </c>
      <c r="M2878" s="213" t="s">
        <v>67452</v>
      </c>
      <c r="N2878" s="213" t="s">
        <v>24053</v>
      </c>
      <c r="O2878" s="213" t="s">
        <v>24054</v>
      </c>
      <c r="P2878" s="213" t="s">
        <v>24055</v>
      </c>
      <c r="Q2878" s="213" t="s">
        <v>24056</v>
      </c>
      <c r="R2878" s="213" t="s">
        <v>24057</v>
      </c>
      <c r="S2878" s="213" t="s">
        <v>24058</v>
      </c>
      <c r="T2878" s="213" t="s">
        <v>24059</v>
      </c>
      <c r="U2878" s="213" t="s">
        <v>67520</v>
      </c>
    </row>
    <row r="2879" spans="1:21" x14ac:dyDescent="0.25">
      <c r="A2879" s="213" t="s">
        <v>327</v>
      </c>
      <c r="D2879" s="213" t="s">
        <v>24060</v>
      </c>
      <c r="E2879" s="213" t="s">
        <v>24061</v>
      </c>
      <c r="K2879" s="213" t="s">
        <v>67317</v>
      </c>
      <c r="L2879" s="213" t="s">
        <v>67385</v>
      </c>
      <c r="M2879" s="213" t="s">
        <v>67453</v>
      </c>
      <c r="N2879" s="213" t="s">
        <v>24062</v>
      </c>
      <c r="O2879" s="213" t="s">
        <v>24063</v>
      </c>
      <c r="P2879" s="213" t="s">
        <v>24064</v>
      </c>
      <c r="Q2879" s="213" t="s">
        <v>24065</v>
      </c>
      <c r="R2879" s="213" t="s">
        <v>24066</v>
      </c>
      <c r="S2879" s="213" t="s">
        <v>24067</v>
      </c>
      <c r="T2879" s="213" t="s">
        <v>24068</v>
      </c>
      <c r="U2879" s="213" t="s">
        <v>67521</v>
      </c>
    </row>
    <row r="2880" spans="1:21" x14ac:dyDescent="0.25">
      <c r="A2880" s="213" t="s">
        <v>327</v>
      </c>
      <c r="D2880" s="213" t="s">
        <v>24069</v>
      </c>
      <c r="E2880" s="213" t="s">
        <v>24070</v>
      </c>
      <c r="K2880" s="213" t="s">
        <v>67318</v>
      </c>
      <c r="L2880" s="213" t="s">
        <v>67386</v>
      </c>
      <c r="M2880" s="213" t="s">
        <v>67454</v>
      </c>
      <c r="N2880" s="213" t="s">
        <v>24071</v>
      </c>
      <c r="O2880" s="213" t="s">
        <v>24072</v>
      </c>
      <c r="P2880" s="213" t="s">
        <v>24073</v>
      </c>
      <c r="Q2880" s="213" t="s">
        <v>24074</v>
      </c>
      <c r="R2880" s="213" t="s">
        <v>24075</v>
      </c>
      <c r="S2880" s="213" t="s">
        <v>24076</v>
      </c>
      <c r="T2880" s="213" t="s">
        <v>24077</v>
      </c>
      <c r="U2880" s="213" t="s">
        <v>67522</v>
      </c>
    </row>
    <row r="2881" spans="1:21" x14ac:dyDescent="0.25">
      <c r="A2881" s="213" t="s">
        <v>327</v>
      </c>
      <c r="D2881" s="213" t="s">
        <v>24078</v>
      </c>
      <c r="E2881" s="213" t="s">
        <v>24079</v>
      </c>
      <c r="K2881" s="213" t="s">
        <v>67319</v>
      </c>
      <c r="L2881" s="213" t="s">
        <v>67387</v>
      </c>
      <c r="M2881" s="213" t="s">
        <v>67455</v>
      </c>
      <c r="N2881" s="213" t="s">
        <v>24080</v>
      </c>
      <c r="O2881" s="213" t="s">
        <v>24081</v>
      </c>
      <c r="P2881" s="213" t="s">
        <v>24082</v>
      </c>
      <c r="Q2881" s="213" t="s">
        <v>24083</v>
      </c>
      <c r="R2881" s="213" t="s">
        <v>24084</v>
      </c>
      <c r="S2881" s="213" t="s">
        <v>24085</v>
      </c>
      <c r="T2881" s="213" t="s">
        <v>24086</v>
      </c>
      <c r="U2881" s="213" t="s">
        <v>67523</v>
      </c>
    </row>
    <row r="2882" spans="1:21" x14ac:dyDescent="0.25">
      <c r="A2882" s="213" t="s">
        <v>327</v>
      </c>
      <c r="D2882" s="213" t="s">
        <v>24087</v>
      </c>
      <c r="E2882" s="213" t="s">
        <v>24088</v>
      </c>
      <c r="K2882" s="213" t="s">
        <v>67320</v>
      </c>
      <c r="L2882" s="213" t="s">
        <v>67388</v>
      </c>
      <c r="M2882" s="213" t="s">
        <v>67456</v>
      </c>
      <c r="N2882" s="213" t="s">
        <v>24089</v>
      </c>
      <c r="O2882" s="213" t="s">
        <v>24090</v>
      </c>
      <c r="P2882" s="213" t="s">
        <v>24091</v>
      </c>
      <c r="Q2882" s="213" t="s">
        <v>24092</v>
      </c>
      <c r="R2882" s="213" t="s">
        <v>24093</v>
      </c>
      <c r="S2882" s="213" t="s">
        <v>24094</v>
      </c>
      <c r="T2882" s="213" t="s">
        <v>24095</v>
      </c>
      <c r="U2882" s="213" t="s">
        <v>67524</v>
      </c>
    </row>
    <row r="2883" spans="1:21" x14ac:dyDescent="0.25">
      <c r="A2883" s="213" t="s">
        <v>327</v>
      </c>
      <c r="D2883" s="213" t="s">
        <v>24096</v>
      </c>
      <c r="E2883" s="213" t="s">
        <v>24097</v>
      </c>
      <c r="K2883" s="213" t="s">
        <v>67321</v>
      </c>
      <c r="L2883" s="213" t="s">
        <v>67389</v>
      </c>
      <c r="M2883" s="213" t="s">
        <v>67457</v>
      </c>
      <c r="N2883" s="213" t="s">
        <v>24098</v>
      </c>
      <c r="O2883" s="213" t="s">
        <v>24099</v>
      </c>
      <c r="P2883" s="213" t="s">
        <v>24100</v>
      </c>
      <c r="Q2883" s="213" t="s">
        <v>24101</v>
      </c>
      <c r="R2883" s="213" t="s">
        <v>24102</v>
      </c>
      <c r="S2883" s="213" t="s">
        <v>24103</v>
      </c>
      <c r="T2883" s="213" t="s">
        <v>24104</v>
      </c>
      <c r="U2883" s="213" t="s">
        <v>67525</v>
      </c>
    </row>
    <row r="2884" spans="1:21" x14ac:dyDescent="0.25">
      <c r="A2884" s="213" t="s">
        <v>327</v>
      </c>
      <c r="D2884" s="213" t="s">
        <v>24105</v>
      </c>
      <c r="E2884" s="213" t="s">
        <v>24106</v>
      </c>
      <c r="K2884" s="213" t="s">
        <v>67322</v>
      </c>
      <c r="L2884" s="213" t="s">
        <v>67390</v>
      </c>
      <c r="M2884" s="213" t="s">
        <v>67458</v>
      </c>
      <c r="N2884" s="213" t="s">
        <v>24107</v>
      </c>
      <c r="O2884" s="213" t="s">
        <v>24108</v>
      </c>
      <c r="P2884" s="213" t="s">
        <v>24109</v>
      </c>
      <c r="Q2884" s="213" t="s">
        <v>24110</v>
      </c>
      <c r="R2884" s="213" t="s">
        <v>24111</v>
      </c>
      <c r="S2884" s="213" t="s">
        <v>24112</v>
      </c>
      <c r="T2884" s="213" t="s">
        <v>24113</v>
      </c>
      <c r="U2884" s="213" t="s">
        <v>67526</v>
      </c>
    </row>
    <row r="2885" spans="1:21" x14ac:dyDescent="0.25">
      <c r="A2885" s="213" t="s">
        <v>327</v>
      </c>
      <c r="D2885" s="213" t="s">
        <v>24114</v>
      </c>
      <c r="E2885" s="213" t="s">
        <v>24115</v>
      </c>
      <c r="K2885" s="213" t="s">
        <v>67323</v>
      </c>
      <c r="L2885" s="213" t="s">
        <v>67391</v>
      </c>
      <c r="M2885" s="213" t="s">
        <v>67459</v>
      </c>
      <c r="N2885" s="213" t="s">
        <v>24116</v>
      </c>
      <c r="O2885" s="213" t="s">
        <v>24117</v>
      </c>
      <c r="P2885" s="213" t="s">
        <v>24118</v>
      </c>
      <c r="Q2885" s="213" t="s">
        <v>24119</v>
      </c>
      <c r="R2885" s="213" t="s">
        <v>24120</v>
      </c>
      <c r="S2885" s="213" t="s">
        <v>24121</v>
      </c>
      <c r="T2885" s="213" t="s">
        <v>24122</v>
      </c>
      <c r="U2885" s="213" t="s">
        <v>67527</v>
      </c>
    </row>
    <row r="2886" spans="1:21" x14ac:dyDescent="0.25">
      <c r="A2886" s="213" t="s">
        <v>327</v>
      </c>
      <c r="D2886" s="213" t="s">
        <v>24123</v>
      </c>
      <c r="E2886" s="213" t="s">
        <v>24124</v>
      </c>
      <c r="K2886" s="213" t="s">
        <v>67324</v>
      </c>
      <c r="L2886" s="213" t="s">
        <v>67392</v>
      </c>
      <c r="M2886" s="213" t="s">
        <v>67460</v>
      </c>
      <c r="N2886" s="213" t="s">
        <v>24125</v>
      </c>
      <c r="O2886" s="213" t="s">
        <v>24126</v>
      </c>
      <c r="P2886" s="213" t="s">
        <v>24127</v>
      </c>
      <c r="Q2886" s="213" t="s">
        <v>24128</v>
      </c>
      <c r="R2886" s="213" t="s">
        <v>24129</v>
      </c>
      <c r="S2886" s="213" t="s">
        <v>24130</v>
      </c>
      <c r="T2886" s="213" t="s">
        <v>24131</v>
      </c>
      <c r="U2886" s="213" t="s">
        <v>67528</v>
      </c>
    </row>
    <row r="2887" spans="1:21" x14ac:dyDescent="0.25">
      <c r="A2887" s="213" t="s">
        <v>327</v>
      </c>
      <c r="D2887" s="213" t="s">
        <v>24132</v>
      </c>
      <c r="E2887" s="213" t="s">
        <v>24133</v>
      </c>
      <c r="K2887" s="213" t="s">
        <v>67325</v>
      </c>
      <c r="L2887" s="213" t="s">
        <v>67393</v>
      </c>
      <c r="M2887" s="213" t="s">
        <v>67461</v>
      </c>
      <c r="N2887" s="213" t="s">
        <v>24134</v>
      </c>
      <c r="O2887" s="213" t="s">
        <v>24135</v>
      </c>
      <c r="P2887" s="213" t="s">
        <v>24136</v>
      </c>
      <c r="Q2887" s="213" t="s">
        <v>24137</v>
      </c>
      <c r="R2887" s="213" t="s">
        <v>24138</v>
      </c>
      <c r="S2887" s="213" t="s">
        <v>24139</v>
      </c>
      <c r="T2887" s="213" t="s">
        <v>24140</v>
      </c>
      <c r="U2887" s="213" t="s">
        <v>67529</v>
      </c>
    </row>
    <row r="2888" spans="1:21" x14ac:dyDescent="0.25">
      <c r="A2888" s="213" t="s">
        <v>327</v>
      </c>
      <c r="D2888" s="213" t="s">
        <v>24141</v>
      </c>
      <c r="E2888" s="213" t="s">
        <v>24142</v>
      </c>
      <c r="K2888" s="213" t="s">
        <v>67326</v>
      </c>
      <c r="L2888" s="213" t="s">
        <v>67394</v>
      </c>
      <c r="M2888" s="213" t="s">
        <v>67462</v>
      </c>
      <c r="N2888" s="213" t="s">
        <v>24143</v>
      </c>
      <c r="O2888" s="213" t="s">
        <v>24144</v>
      </c>
      <c r="P2888" s="213" t="s">
        <v>24145</v>
      </c>
      <c r="Q2888" s="213" t="s">
        <v>24146</v>
      </c>
      <c r="R2888" s="213" t="s">
        <v>24147</v>
      </c>
      <c r="S2888" s="213" t="s">
        <v>24148</v>
      </c>
      <c r="T2888" s="213" t="s">
        <v>24149</v>
      </c>
      <c r="U2888" s="213" t="s">
        <v>67530</v>
      </c>
    </row>
    <row r="2889" spans="1:21" x14ac:dyDescent="0.25">
      <c r="A2889" s="213" t="s">
        <v>327</v>
      </c>
      <c r="D2889" s="213" t="s">
        <v>24150</v>
      </c>
      <c r="E2889" s="213" t="s">
        <v>24151</v>
      </c>
      <c r="K2889" s="213" t="s">
        <v>67327</v>
      </c>
      <c r="L2889" s="213" t="s">
        <v>67395</v>
      </c>
      <c r="M2889" s="213" t="s">
        <v>67463</v>
      </c>
      <c r="N2889" s="213" t="s">
        <v>24152</v>
      </c>
      <c r="O2889" s="213" t="s">
        <v>24153</v>
      </c>
      <c r="P2889" s="213" t="s">
        <v>24154</v>
      </c>
      <c r="Q2889" s="213" t="s">
        <v>24155</v>
      </c>
      <c r="R2889" s="213" t="s">
        <v>24156</v>
      </c>
      <c r="S2889" s="213" t="s">
        <v>24157</v>
      </c>
      <c r="T2889" s="213" t="s">
        <v>24158</v>
      </c>
      <c r="U2889" s="213" t="s">
        <v>67531</v>
      </c>
    </row>
    <row r="2890" spans="1:21" x14ac:dyDescent="0.25">
      <c r="A2890" s="213" t="s">
        <v>327</v>
      </c>
      <c r="D2890" s="213" t="s">
        <v>24159</v>
      </c>
      <c r="E2890" s="213" t="s">
        <v>24160</v>
      </c>
      <c r="K2890" s="213" t="s">
        <v>67328</v>
      </c>
      <c r="L2890" s="213" t="s">
        <v>67396</v>
      </c>
      <c r="M2890" s="213" t="s">
        <v>67464</v>
      </c>
      <c r="N2890" s="213" t="s">
        <v>24161</v>
      </c>
      <c r="O2890" s="213" t="s">
        <v>24162</v>
      </c>
      <c r="P2890" s="213" t="s">
        <v>24163</v>
      </c>
      <c r="Q2890" s="213" t="s">
        <v>24164</v>
      </c>
      <c r="R2890" s="213" t="s">
        <v>24165</v>
      </c>
      <c r="S2890" s="213" t="s">
        <v>24166</v>
      </c>
      <c r="T2890" s="213" t="s">
        <v>24167</v>
      </c>
      <c r="U2890" s="213" t="s">
        <v>67532</v>
      </c>
    </row>
    <row r="2891" spans="1:21" x14ac:dyDescent="0.25">
      <c r="A2891" s="213" t="s">
        <v>327</v>
      </c>
      <c r="D2891" s="213" t="s">
        <v>24168</v>
      </c>
      <c r="E2891" s="213" t="s">
        <v>24169</v>
      </c>
      <c r="K2891" s="213" t="s">
        <v>67329</v>
      </c>
      <c r="L2891" s="213" t="s">
        <v>67397</v>
      </c>
      <c r="M2891" s="213" t="s">
        <v>67465</v>
      </c>
      <c r="N2891" s="213" t="s">
        <v>24170</v>
      </c>
      <c r="O2891" s="213" t="s">
        <v>24171</v>
      </c>
      <c r="P2891" s="213" t="s">
        <v>24172</v>
      </c>
      <c r="Q2891" s="213" t="s">
        <v>24173</v>
      </c>
      <c r="R2891" s="213" t="s">
        <v>24174</v>
      </c>
      <c r="S2891" s="213" t="s">
        <v>24175</v>
      </c>
      <c r="T2891" s="213" t="s">
        <v>24176</v>
      </c>
      <c r="U2891" s="213" t="s">
        <v>67533</v>
      </c>
    </row>
    <row r="2892" spans="1:21" x14ac:dyDescent="0.25">
      <c r="A2892" s="213" t="s">
        <v>327</v>
      </c>
      <c r="D2892" s="213" t="s">
        <v>24177</v>
      </c>
      <c r="E2892" s="213" t="s">
        <v>24178</v>
      </c>
      <c r="K2892" s="213" t="s">
        <v>67330</v>
      </c>
      <c r="L2892" s="213" t="s">
        <v>67398</v>
      </c>
      <c r="M2892" s="213" t="s">
        <v>67466</v>
      </c>
      <c r="N2892" s="213" t="s">
        <v>24179</v>
      </c>
      <c r="O2892" s="213" t="s">
        <v>24180</v>
      </c>
      <c r="P2892" s="213" t="s">
        <v>24181</v>
      </c>
      <c r="Q2892" s="213" t="s">
        <v>24182</v>
      </c>
      <c r="R2892" s="213" t="s">
        <v>24183</v>
      </c>
      <c r="S2892" s="213" t="s">
        <v>24184</v>
      </c>
      <c r="T2892" s="213" t="s">
        <v>24185</v>
      </c>
      <c r="U2892" s="213" t="s">
        <v>67534</v>
      </c>
    </row>
    <row r="2893" spans="1:21" x14ac:dyDescent="0.25">
      <c r="A2893" s="213" t="s">
        <v>327</v>
      </c>
      <c r="D2893" s="213" t="s">
        <v>24186</v>
      </c>
      <c r="E2893" s="213" t="s">
        <v>24187</v>
      </c>
      <c r="K2893" s="213" t="s">
        <v>67331</v>
      </c>
      <c r="L2893" s="213" t="s">
        <v>67399</v>
      </c>
      <c r="M2893" s="213" t="s">
        <v>67467</v>
      </c>
      <c r="N2893" s="213" t="s">
        <v>24188</v>
      </c>
      <c r="O2893" s="213" t="s">
        <v>24189</v>
      </c>
      <c r="P2893" s="213" t="s">
        <v>24190</v>
      </c>
      <c r="Q2893" s="213" t="s">
        <v>24191</v>
      </c>
      <c r="R2893" s="213" t="s">
        <v>24192</v>
      </c>
      <c r="S2893" s="213" t="s">
        <v>24193</v>
      </c>
      <c r="T2893" s="213" t="s">
        <v>24194</v>
      </c>
      <c r="U2893" s="213" t="s">
        <v>67535</v>
      </c>
    </row>
    <row r="2894" spans="1:21" x14ac:dyDescent="0.25">
      <c r="A2894" s="213" t="s">
        <v>327</v>
      </c>
      <c r="D2894" s="213" t="s">
        <v>24195</v>
      </c>
      <c r="E2894" s="213" t="s">
        <v>24196</v>
      </c>
      <c r="K2894" s="213" t="s">
        <v>67332</v>
      </c>
      <c r="L2894" s="213" t="s">
        <v>67400</v>
      </c>
      <c r="M2894" s="213" t="s">
        <v>67468</v>
      </c>
      <c r="N2894" s="213" t="s">
        <v>24197</v>
      </c>
      <c r="O2894" s="213" t="s">
        <v>24198</v>
      </c>
      <c r="P2894" s="213" t="s">
        <v>24199</v>
      </c>
      <c r="Q2894" s="213" t="s">
        <v>24200</v>
      </c>
      <c r="R2894" s="213" t="s">
        <v>24201</v>
      </c>
      <c r="S2894" s="213" t="s">
        <v>24202</v>
      </c>
      <c r="T2894" s="213" t="s">
        <v>24203</v>
      </c>
      <c r="U2894" s="213" t="s">
        <v>67536</v>
      </c>
    </row>
    <row r="2895" spans="1:21" x14ac:dyDescent="0.25">
      <c r="A2895" s="213" t="s">
        <v>327</v>
      </c>
      <c r="D2895" s="213" t="s">
        <v>24204</v>
      </c>
      <c r="E2895" s="213" t="s">
        <v>24205</v>
      </c>
      <c r="K2895" s="213" t="s">
        <v>67333</v>
      </c>
      <c r="L2895" s="213" t="s">
        <v>67401</v>
      </c>
      <c r="M2895" s="213" t="s">
        <v>67469</v>
      </c>
      <c r="N2895" s="213" t="s">
        <v>24206</v>
      </c>
      <c r="O2895" s="213" t="s">
        <v>24207</v>
      </c>
      <c r="P2895" s="213" t="s">
        <v>24208</v>
      </c>
      <c r="Q2895" s="213" t="s">
        <v>24209</v>
      </c>
      <c r="R2895" s="213" t="s">
        <v>24210</v>
      </c>
      <c r="S2895" s="213" t="s">
        <v>24211</v>
      </c>
      <c r="T2895" s="213" t="s">
        <v>24212</v>
      </c>
      <c r="U2895" s="213" t="s">
        <v>67537</v>
      </c>
    </row>
    <row r="2896" spans="1:21" x14ac:dyDescent="0.25">
      <c r="A2896" s="213" t="s">
        <v>327</v>
      </c>
      <c r="D2896" s="213" t="s">
        <v>24213</v>
      </c>
      <c r="E2896" s="213" t="s">
        <v>24214</v>
      </c>
      <c r="K2896" s="213" t="s">
        <v>67334</v>
      </c>
      <c r="L2896" s="213" t="s">
        <v>67402</v>
      </c>
      <c r="M2896" s="213" t="s">
        <v>67470</v>
      </c>
      <c r="N2896" s="213" t="s">
        <v>24215</v>
      </c>
      <c r="O2896" s="213" t="s">
        <v>24216</v>
      </c>
      <c r="P2896" s="213" t="s">
        <v>24217</v>
      </c>
      <c r="Q2896" s="213" t="s">
        <v>24218</v>
      </c>
      <c r="R2896" s="213" t="s">
        <v>24219</v>
      </c>
      <c r="S2896" s="213" t="s">
        <v>24220</v>
      </c>
      <c r="T2896" s="213" t="s">
        <v>24221</v>
      </c>
      <c r="U2896" s="213" t="s">
        <v>67538</v>
      </c>
    </row>
    <row r="2897" spans="1:21" x14ac:dyDescent="0.25">
      <c r="A2897" s="213" t="s">
        <v>327</v>
      </c>
      <c r="D2897" s="213" t="s">
        <v>24222</v>
      </c>
      <c r="E2897" s="213" t="s">
        <v>24223</v>
      </c>
      <c r="K2897" s="213" t="s">
        <v>67335</v>
      </c>
      <c r="L2897" s="213" t="s">
        <v>67403</v>
      </c>
      <c r="M2897" s="213" t="s">
        <v>67471</v>
      </c>
      <c r="N2897" s="213" t="s">
        <v>24224</v>
      </c>
      <c r="O2897" s="213" t="s">
        <v>24225</v>
      </c>
      <c r="P2897" s="213" t="s">
        <v>24226</v>
      </c>
      <c r="Q2897" s="213" t="s">
        <v>24227</v>
      </c>
      <c r="R2897" s="213" t="s">
        <v>24228</v>
      </c>
      <c r="S2897" s="213" t="s">
        <v>24229</v>
      </c>
      <c r="T2897" s="213" t="s">
        <v>24230</v>
      </c>
      <c r="U2897" s="213" t="s">
        <v>67539</v>
      </c>
    </row>
    <row r="2898" spans="1:21" x14ac:dyDescent="0.25">
      <c r="A2898" s="213" t="s">
        <v>327</v>
      </c>
      <c r="D2898" s="213" t="s">
        <v>24231</v>
      </c>
      <c r="E2898" s="213" t="s">
        <v>24232</v>
      </c>
      <c r="K2898" s="213" t="s">
        <v>67336</v>
      </c>
      <c r="L2898" s="213" t="s">
        <v>67404</v>
      </c>
      <c r="M2898" s="213" t="s">
        <v>67472</v>
      </c>
      <c r="N2898" s="213" t="s">
        <v>24233</v>
      </c>
      <c r="O2898" s="213" t="s">
        <v>24234</v>
      </c>
      <c r="P2898" s="213" t="s">
        <v>24235</v>
      </c>
      <c r="Q2898" s="213" t="s">
        <v>24236</v>
      </c>
      <c r="R2898" s="213" t="s">
        <v>24237</v>
      </c>
      <c r="S2898" s="213" t="s">
        <v>24238</v>
      </c>
      <c r="T2898" s="213" t="s">
        <v>24239</v>
      </c>
      <c r="U2898" s="213" t="s">
        <v>67540</v>
      </c>
    </row>
    <row r="2899" spans="1:21" x14ac:dyDescent="0.25">
      <c r="A2899" s="213" t="s">
        <v>327</v>
      </c>
      <c r="D2899" s="213" t="s">
        <v>24240</v>
      </c>
      <c r="E2899" s="213" t="s">
        <v>24241</v>
      </c>
      <c r="K2899" s="213" t="s">
        <v>67337</v>
      </c>
      <c r="L2899" s="213" t="s">
        <v>67405</v>
      </c>
      <c r="M2899" s="213" t="s">
        <v>67473</v>
      </c>
      <c r="N2899" s="213" t="s">
        <v>24242</v>
      </c>
      <c r="O2899" s="213" t="s">
        <v>24243</v>
      </c>
      <c r="P2899" s="213" t="s">
        <v>24244</v>
      </c>
      <c r="Q2899" s="213" t="s">
        <v>24245</v>
      </c>
      <c r="R2899" s="213" t="s">
        <v>24246</v>
      </c>
      <c r="S2899" s="213" t="s">
        <v>24247</v>
      </c>
      <c r="T2899" s="213" t="s">
        <v>24248</v>
      </c>
      <c r="U2899" s="213" t="s">
        <v>67541</v>
      </c>
    </row>
    <row r="2900" spans="1:21" x14ac:dyDescent="0.25">
      <c r="A2900" s="213" t="s">
        <v>327</v>
      </c>
      <c r="D2900" s="213" t="s">
        <v>24249</v>
      </c>
      <c r="E2900" s="213" t="s">
        <v>24250</v>
      </c>
      <c r="K2900" s="213" t="s">
        <v>67338</v>
      </c>
      <c r="L2900" s="213" t="s">
        <v>67406</v>
      </c>
      <c r="M2900" s="213" t="s">
        <v>67474</v>
      </c>
      <c r="N2900" s="213" t="s">
        <v>24251</v>
      </c>
      <c r="O2900" s="213" t="s">
        <v>24252</v>
      </c>
      <c r="P2900" s="213" t="s">
        <v>24253</v>
      </c>
      <c r="Q2900" s="213" t="s">
        <v>24254</v>
      </c>
      <c r="R2900" s="213" t="s">
        <v>24255</v>
      </c>
      <c r="S2900" s="213" t="s">
        <v>24256</v>
      </c>
      <c r="T2900" s="213" t="s">
        <v>24257</v>
      </c>
      <c r="U2900" s="213" t="s">
        <v>67542</v>
      </c>
    </row>
    <row r="2901" spans="1:21" x14ac:dyDescent="0.25">
      <c r="A2901" s="213" t="s">
        <v>327</v>
      </c>
      <c r="D2901" s="213" t="s">
        <v>24258</v>
      </c>
      <c r="E2901" s="213" t="s">
        <v>24259</v>
      </c>
      <c r="K2901" s="213" t="s">
        <v>67339</v>
      </c>
      <c r="L2901" s="213" t="s">
        <v>67407</v>
      </c>
      <c r="M2901" s="213" t="s">
        <v>67475</v>
      </c>
      <c r="N2901" s="213" t="s">
        <v>24260</v>
      </c>
      <c r="O2901" s="213" t="s">
        <v>24261</v>
      </c>
      <c r="P2901" s="213" t="s">
        <v>24262</v>
      </c>
      <c r="Q2901" s="213" t="s">
        <v>24263</v>
      </c>
      <c r="R2901" s="213" t="s">
        <v>24264</v>
      </c>
      <c r="S2901" s="213" t="s">
        <v>24265</v>
      </c>
      <c r="T2901" s="213" t="s">
        <v>24266</v>
      </c>
      <c r="U2901" s="213" t="s">
        <v>67543</v>
      </c>
    </row>
    <row r="2902" spans="1:21" x14ac:dyDescent="0.25">
      <c r="A2902" s="213" t="s">
        <v>327</v>
      </c>
      <c r="D2902" s="213" t="s">
        <v>24267</v>
      </c>
      <c r="E2902" s="213" t="s">
        <v>24268</v>
      </c>
      <c r="K2902" s="213" t="s">
        <v>67340</v>
      </c>
      <c r="L2902" s="213" t="s">
        <v>67408</v>
      </c>
      <c r="M2902" s="213" t="s">
        <v>67476</v>
      </c>
      <c r="N2902" s="213" t="s">
        <v>24269</v>
      </c>
      <c r="O2902" s="213" t="s">
        <v>24270</v>
      </c>
      <c r="P2902" s="213" t="s">
        <v>24271</v>
      </c>
      <c r="Q2902" s="213" t="s">
        <v>24272</v>
      </c>
      <c r="R2902" s="213" t="s">
        <v>24273</v>
      </c>
      <c r="S2902" s="213" t="s">
        <v>24274</v>
      </c>
      <c r="T2902" s="213" t="s">
        <v>24275</v>
      </c>
      <c r="U2902" s="213" t="s">
        <v>67544</v>
      </c>
    </row>
    <row r="2903" spans="1:21" x14ac:dyDescent="0.25">
      <c r="A2903" s="213" t="s">
        <v>327</v>
      </c>
      <c r="D2903" s="213" t="s">
        <v>24276</v>
      </c>
      <c r="E2903" s="213" t="s">
        <v>24277</v>
      </c>
      <c r="K2903" s="213" t="s">
        <v>67341</v>
      </c>
      <c r="L2903" s="213" t="s">
        <v>67409</v>
      </c>
      <c r="M2903" s="213" t="s">
        <v>67477</v>
      </c>
      <c r="N2903" s="213" t="s">
        <v>24278</v>
      </c>
      <c r="O2903" s="213" t="s">
        <v>24279</v>
      </c>
      <c r="P2903" s="213" t="s">
        <v>24280</v>
      </c>
      <c r="Q2903" s="213" t="s">
        <v>24281</v>
      </c>
      <c r="R2903" s="213" t="s">
        <v>24282</v>
      </c>
      <c r="S2903" s="213" t="s">
        <v>24283</v>
      </c>
      <c r="T2903" s="213" t="s">
        <v>24284</v>
      </c>
      <c r="U2903" s="213" t="s">
        <v>67545</v>
      </c>
    </row>
    <row r="2904" spans="1:21" x14ac:dyDescent="0.25">
      <c r="A2904" s="213" t="s">
        <v>327</v>
      </c>
      <c r="D2904" s="213" t="s">
        <v>24285</v>
      </c>
      <c r="E2904" s="213" t="s">
        <v>24286</v>
      </c>
      <c r="K2904" s="213" t="s">
        <v>67342</v>
      </c>
      <c r="L2904" s="213" t="s">
        <v>67410</v>
      </c>
      <c r="M2904" s="213" t="s">
        <v>67478</v>
      </c>
      <c r="N2904" s="213" t="s">
        <v>24287</v>
      </c>
      <c r="O2904" s="213" t="s">
        <v>24288</v>
      </c>
      <c r="P2904" s="213" t="s">
        <v>24289</v>
      </c>
      <c r="Q2904" s="213" t="s">
        <v>24290</v>
      </c>
      <c r="R2904" s="213" t="s">
        <v>24291</v>
      </c>
      <c r="S2904" s="213" t="s">
        <v>24292</v>
      </c>
      <c r="T2904" s="213" t="s">
        <v>24293</v>
      </c>
      <c r="U2904" s="213" t="s">
        <v>67546</v>
      </c>
    </row>
    <row r="2905" spans="1:21" x14ac:dyDescent="0.25">
      <c r="A2905" s="213" t="s">
        <v>327</v>
      </c>
      <c r="D2905" s="213" t="s">
        <v>24294</v>
      </c>
      <c r="E2905" s="213" t="s">
        <v>24295</v>
      </c>
      <c r="K2905" s="213" t="s">
        <v>67343</v>
      </c>
      <c r="L2905" s="213" t="s">
        <v>67411</v>
      </c>
      <c r="M2905" s="213" t="s">
        <v>67479</v>
      </c>
      <c r="N2905" s="213" t="s">
        <v>24296</v>
      </c>
      <c r="O2905" s="213" t="s">
        <v>24297</v>
      </c>
      <c r="P2905" s="213" t="s">
        <v>24298</v>
      </c>
      <c r="Q2905" s="213" t="s">
        <v>24299</v>
      </c>
      <c r="R2905" s="213" t="s">
        <v>24300</v>
      </c>
      <c r="S2905" s="213" t="s">
        <v>24301</v>
      </c>
      <c r="T2905" s="213" t="s">
        <v>24302</v>
      </c>
      <c r="U2905" s="213" t="s">
        <v>67547</v>
      </c>
    </row>
    <row r="2906" spans="1:21" x14ac:dyDescent="0.25">
      <c r="A2906" s="213" t="s">
        <v>327</v>
      </c>
      <c r="D2906" s="213" t="s">
        <v>24303</v>
      </c>
      <c r="E2906" s="213" t="s">
        <v>24304</v>
      </c>
      <c r="K2906" s="213" t="s">
        <v>67344</v>
      </c>
      <c r="L2906" s="213" t="s">
        <v>67412</v>
      </c>
      <c r="M2906" s="213" t="s">
        <v>67480</v>
      </c>
      <c r="N2906" s="213" t="s">
        <v>24305</v>
      </c>
      <c r="O2906" s="213" t="s">
        <v>24306</v>
      </c>
      <c r="P2906" s="213" t="s">
        <v>24307</v>
      </c>
      <c r="Q2906" s="213" t="s">
        <v>24308</v>
      </c>
      <c r="R2906" s="213" t="s">
        <v>24309</v>
      </c>
      <c r="S2906" s="213" t="s">
        <v>24310</v>
      </c>
      <c r="T2906" s="213" t="s">
        <v>24311</v>
      </c>
      <c r="U2906" s="213" t="s">
        <v>67548</v>
      </c>
    </row>
    <row r="2907" spans="1:21" x14ac:dyDescent="0.25">
      <c r="A2907" s="213" t="s">
        <v>327</v>
      </c>
      <c r="D2907" s="213" t="s">
        <v>24312</v>
      </c>
      <c r="E2907" s="213" t="s">
        <v>24313</v>
      </c>
      <c r="K2907" s="213" t="s">
        <v>67345</v>
      </c>
      <c r="L2907" s="213" t="s">
        <v>67413</v>
      </c>
      <c r="M2907" s="213" t="s">
        <v>67481</v>
      </c>
      <c r="N2907" s="213" t="s">
        <v>24314</v>
      </c>
      <c r="O2907" s="213" t="s">
        <v>24315</v>
      </c>
      <c r="P2907" s="213" t="s">
        <v>24316</v>
      </c>
      <c r="Q2907" s="213" t="s">
        <v>24317</v>
      </c>
      <c r="R2907" s="213" t="s">
        <v>24318</v>
      </c>
      <c r="S2907" s="213" t="s">
        <v>24319</v>
      </c>
      <c r="T2907" s="213" t="s">
        <v>24320</v>
      </c>
      <c r="U2907" s="213" t="s">
        <v>67549</v>
      </c>
    </row>
    <row r="2908" spans="1:21" x14ac:dyDescent="0.25">
      <c r="A2908" s="213" t="s">
        <v>327</v>
      </c>
      <c r="D2908" s="213" t="s">
        <v>24321</v>
      </c>
      <c r="E2908" s="213" t="s">
        <v>24322</v>
      </c>
      <c r="K2908" s="213" t="s">
        <v>67346</v>
      </c>
      <c r="L2908" s="213" t="s">
        <v>67414</v>
      </c>
      <c r="M2908" s="213" t="s">
        <v>67482</v>
      </c>
      <c r="N2908" s="213" t="s">
        <v>24323</v>
      </c>
      <c r="O2908" s="213" t="s">
        <v>24324</v>
      </c>
      <c r="P2908" s="213" t="s">
        <v>24325</v>
      </c>
      <c r="Q2908" s="213" t="s">
        <v>24326</v>
      </c>
      <c r="R2908" s="213" t="s">
        <v>24327</v>
      </c>
      <c r="S2908" s="213" t="s">
        <v>24328</v>
      </c>
      <c r="T2908" s="213" t="s">
        <v>24329</v>
      </c>
      <c r="U2908" s="213" t="s">
        <v>67550</v>
      </c>
    </row>
    <row r="2909" spans="1:21" x14ac:dyDescent="0.25">
      <c r="A2909" s="213" t="s">
        <v>327</v>
      </c>
      <c r="D2909" s="213" t="s">
        <v>24330</v>
      </c>
      <c r="E2909" s="213" t="s">
        <v>24331</v>
      </c>
      <c r="K2909" s="213" t="s">
        <v>67347</v>
      </c>
      <c r="L2909" s="213" t="s">
        <v>67415</v>
      </c>
      <c r="M2909" s="213" t="s">
        <v>67483</v>
      </c>
      <c r="N2909" s="213" t="s">
        <v>24332</v>
      </c>
      <c r="O2909" s="213" t="s">
        <v>24333</v>
      </c>
      <c r="P2909" s="213" t="s">
        <v>24334</v>
      </c>
      <c r="Q2909" s="213" t="s">
        <v>24335</v>
      </c>
      <c r="R2909" s="213" t="s">
        <v>24336</v>
      </c>
      <c r="S2909" s="213" t="s">
        <v>24337</v>
      </c>
      <c r="T2909" s="213" t="s">
        <v>24338</v>
      </c>
      <c r="U2909" s="213" t="s">
        <v>67551</v>
      </c>
    </row>
    <row r="2910" spans="1:21" x14ac:dyDescent="0.25">
      <c r="A2910" s="213" t="s">
        <v>327</v>
      </c>
      <c r="D2910" s="213" t="s">
        <v>24339</v>
      </c>
      <c r="E2910" s="213" t="s">
        <v>24340</v>
      </c>
      <c r="K2910" s="213" t="s">
        <v>67348</v>
      </c>
      <c r="L2910" s="213" t="s">
        <v>67416</v>
      </c>
      <c r="M2910" s="213" t="s">
        <v>67484</v>
      </c>
      <c r="N2910" s="213" t="s">
        <v>24341</v>
      </c>
      <c r="O2910" s="213" t="s">
        <v>24342</v>
      </c>
      <c r="P2910" s="213" t="s">
        <v>24343</v>
      </c>
      <c r="Q2910" s="213" t="s">
        <v>24344</v>
      </c>
      <c r="R2910" s="213" t="s">
        <v>24345</v>
      </c>
      <c r="S2910" s="213" t="s">
        <v>24346</v>
      </c>
      <c r="T2910" s="213" t="s">
        <v>24347</v>
      </c>
      <c r="U2910" s="213" t="s">
        <v>67552</v>
      </c>
    </row>
    <row r="2911" spans="1:21" x14ac:dyDescent="0.25">
      <c r="A2911" s="213" t="s">
        <v>327</v>
      </c>
      <c r="D2911" s="213" t="s">
        <v>24348</v>
      </c>
      <c r="E2911" s="213" t="s">
        <v>24349</v>
      </c>
      <c r="K2911" s="213" t="s">
        <v>67349</v>
      </c>
      <c r="L2911" s="213" t="s">
        <v>67417</v>
      </c>
      <c r="M2911" s="213" t="s">
        <v>67485</v>
      </c>
      <c r="N2911" s="213" t="s">
        <v>24350</v>
      </c>
      <c r="O2911" s="213" t="s">
        <v>24351</v>
      </c>
      <c r="P2911" s="213" t="s">
        <v>24352</v>
      </c>
      <c r="Q2911" s="213" t="s">
        <v>24353</v>
      </c>
      <c r="R2911" s="213" t="s">
        <v>24354</v>
      </c>
      <c r="S2911" s="213" t="s">
        <v>24355</v>
      </c>
      <c r="T2911" s="213" t="s">
        <v>24356</v>
      </c>
      <c r="U2911" s="213" t="s">
        <v>67553</v>
      </c>
    </row>
    <row r="2912" spans="1:21" x14ac:dyDescent="0.25">
      <c r="A2912" s="213" t="s">
        <v>327</v>
      </c>
      <c r="D2912" s="213" t="s">
        <v>24357</v>
      </c>
      <c r="E2912" s="213" t="s">
        <v>24358</v>
      </c>
      <c r="K2912" s="213" t="s">
        <v>67350</v>
      </c>
      <c r="L2912" s="213" t="s">
        <v>67418</v>
      </c>
      <c r="M2912" s="213" t="s">
        <v>67486</v>
      </c>
      <c r="N2912" s="213" t="s">
        <v>24359</v>
      </c>
      <c r="O2912" s="213" t="s">
        <v>24360</v>
      </c>
      <c r="P2912" s="213" t="s">
        <v>24361</v>
      </c>
      <c r="Q2912" s="213" t="s">
        <v>24362</v>
      </c>
      <c r="R2912" s="213" t="s">
        <v>24363</v>
      </c>
      <c r="S2912" s="213" t="s">
        <v>24364</v>
      </c>
      <c r="T2912" s="213" t="s">
        <v>24365</v>
      </c>
      <c r="U2912" s="213" t="s">
        <v>67554</v>
      </c>
    </row>
    <row r="2913" spans="1:21" x14ac:dyDescent="0.25">
      <c r="A2913" s="213" t="s">
        <v>327</v>
      </c>
      <c r="D2913" s="213" t="s">
        <v>24366</v>
      </c>
      <c r="E2913" s="213" t="s">
        <v>24367</v>
      </c>
      <c r="K2913" s="213" t="s">
        <v>67351</v>
      </c>
      <c r="L2913" s="213" t="s">
        <v>67419</v>
      </c>
      <c r="M2913" s="213" t="s">
        <v>67487</v>
      </c>
      <c r="N2913" s="213" t="s">
        <v>24368</v>
      </c>
      <c r="O2913" s="213" t="s">
        <v>24369</v>
      </c>
      <c r="P2913" s="213" t="s">
        <v>24370</v>
      </c>
      <c r="Q2913" s="213" t="s">
        <v>24371</v>
      </c>
      <c r="R2913" s="213" t="s">
        <v>24372</v>
      </c>
      <c r="S2913" s="213" t="s">
        <v>24373</v>
      </c>
      <c r="T2913" s="213" t="s">
        <v>24374</v>
      </c>
      <c r="U2913" s="213" t="s">
        <v>67555</v>
      </c>
    </row>
    <row r="2914" spans="1:21" x14ac:dyDescent="0.25">
      <c r="A2914" s="213" t="s">
        <v>327</v>
      </c>
      <c r="D2914" s="213" t="s">
        <v>24375</v>
      </c>
      <c r="E2914" s="213" t="s">
        <v>24376</v>
      </c>
      <c r="K2914" s="213" t="s">
        <v>67352</v>
      </c>
      <c r="L2914" s="213" t="s">
        <v>67420</v>
      </c>
      <c r="M2914" s="213" t="s">
        <v>67488</v>
      </c>
      <c r="N2914" s="213" t="s">
        <v>24377</v>
      </c>
      <c r="O2914" s="213" t="s">
        <v>24378</v>
      </c>
      <c r="P2914" s="213" t="s">
        <v>24379</v>
      </c>
      <c r="Q2914" s="213" t="s">
        <v>24380</v>
      </c>
      <c r="R2914" s="213" t="s">
        <v>24381</v>
      </c>
      <c r="S2914" s="213" t="s">
        <v>24382</v>
      </c>
      <c r="T2914" s="213" t="s">
        <v>24383</v>
      </c>
      <c r="U2914" s="213" t="s">
        <v>67556</v>
      </c>
    </row>
    <row r="2915" spans="1:21" x14ac:dyDescent="0.25">
      <c r="A2915" s="213" t="s">
        <v>327</v>
      </c>
      <c r="D2915" s="213" t="s">
        <v>24384</v>
      </c>
      <c r="E2915" s="213" t="s">
        <v>24385</v>
      </c>
      <c r="K2915" s="213" t="s">
        <v>67353</v>
      </c>
      <c r="L2915" s="213" t="s">
        <v>67421</v>
      </c>
      <c r="M2915" s="213" t="s">
        <v>67489</v>
      </c>
      <c r="N2915" s="213" t="s">
        <v>24386</v>
      </c>
      <c r="O2915" s="213" t="s">
        <v>24387</v>
      </c>
      <c r="P2915" s="213" t="s">
        <v>24388</v>
      </c>
      <c r="Q2915" s="213" t="s">
        <v>24389</v>
      </c>
      <c r="R2915" s="213" t="s">
        <v>24390</v>
      </c>
      <c r="S2915" s="213" t="s">
        <v>24391</v>
      </c>
      <c r="T2915" s="213" t="s">
        <v>24392</v>
      </c>
      <c r="U2915" s="213" t="s">
        <v>67557</v>
      </c>
    </row>
    <row r="2916" spans="1:21" x14ac:dyDescent="0.25">
      <c r="A2916" s="213" t="s">
        <v>327</v>
      </c>
      <c r="D2916" s="213" t="s">
        <v>24393</v>
      </c>
      <c r="E2916" s="213" t="s">
        <v>24394</v>
      </c>
      <c r="K2916" s="213" t="s">
        <v>67354</v>
      </c>
      <c r="L2916" s="213" t="s">
        <v>67422</v>
      </c>
      <c r="M2916" s="213" t="s">
        <v>67490</v>
      </c>
      <c r="N2916" s="213" t="s">
        <v>24395</v>
      </c>
      <c r="O2916" s="213" t="s">
        <v>24396</v>
      </c>
      <c r="P2916" s="213" t="s">
        <v>24397</v>
      </c>
      <c r="Q2916" s="213" t="s">
        <v>24398</v>
      </c>
      <c r="R2916" s="213" t="s">
        <v>24399</v>
      </c>
      <c r="S2916" s="213" t="s">
        <v>24400</v>
      </c>
      <c r="T2916" s="213" t="s">
        <v>24401</v>
      </c>
      <c r="U2916" s="213" t="s">
        <v>67558</v>
      </c>
    </row>
    <row r="2917" spans="1:21" x14ac:dyDescent="0.25">
      <c r="A2917" s="213" t="s">
        <v>327</v>
      </c>
      <c r="D2917" s="213" t="s">
        <v>24402</v>
      </c>
      <c r="E2917" s="213" t="s">
        <v>24403</v>
      </c>
      <c r="K2917" s="213" t="s">
        <v>67355</v>
      </c>
      <c r="L2917" s="213" t="s">
        <v>67423</v>
      </c>
      <c r="M2917" s="213" t="s">
        <v>67491</v>
      </c>
      <c r="N2917" s="213" t="s">
        <v>24404</v>
      </c>
      <c r="O2917" s="213" t="s">
        <v>24405</v>
      </c>
      <c r="P2917" s="213" t="s">
        <v>24406</v>
      </c>
      <c r="Q2917" s="213" t="s">
        <v>24407</v>
      </c>
      <c r="R2917" s="213" t="s">
        <v>24408</v>
      </c>
      <c r="S2917" s="213" t="s">
        <v>24409</v>
      </c>
      <c r="T2917" s="213" t="s">
        <v>24410</v>
      </c>
      <c r="U2917" s="213" t="s">
        <v>67559</v>
      </c>
    </row>
    <row r="2918" spans="1:21" x14ac:dyDescent="0.25">
      <c r="A2918" s="213" t="s">
        <v>327</v>
      </c>
      <c r="D2918" s="213" t="s">
        <v>24411</v>
      </c>
      <c r="E2918" s="213" t="s">
        <v>24412</v>
      </c>
      <c r="K2918" s="213" t="s">
        <v>67356</v>
      </c>
      <c r="L2918" s="213" t="s">
        <v>67424</v>
      </c>
      <c r="M2918" s="213" t="s">
        <v>67492</v>
      </c>
      <c r="N2918" s="213" t="s">
        <v>24413</v>
      </c>
      <c r="O2918" s="213" t="s">
        <v>24414</v>
      </c>
      <c r="P2918" s="213" t="s">
        <v>24415</v>
      </c>
      <c r="Q2918" s="213" t="s">
        <v>24416</v>
      </c>
      <c r="R2918" s="213" t="s">
        <v>24417</v>
      </c>
      <c r="S2918" s="213" t="s">
        <v>24418</v>
      </c>
      <c r="T2918" s="213" t="s">
        <v>24419</v>
      </c>
      <c r="U2918" s="213" t="s">
        <v>67560</v>
      </c>
    </row>
    <row r="2919" spans="1:21" x14ac:dyDescent="0.25">
      <c r="A2919" s="213" t="s">
        <v>327</v>
      </c>
      <c r="D2919" s="213" t="s">
        <v>24420</v>
      </c>
      <c r="E2919" s="213" t="s">
        <v>24421</v>
      </c>
      <c r="K2919" s="213" t="s">
        <v>67357</v>
      </c>
      <c r="L2919" s="213" t="s">
        <v>67425</v>
      </c>
      <c r="M2919" s="213" t="s">
        <v>67493</v>
      </c>
      <c r="N2919" s="213" t="s">
        <v>24422</v>
      </c>
      <c r="O2919" s="213" t="s">
        <v>24423</v>
      </c>
      <c r="P2919" s="213" t="s">
        <v>24424</v>
      </c>
      <c r="Q2919" s="213" t="s">
        <v>24425</v>
      </c>
      <c r="R2919" s="213" t="s">
        <v>24426</v>
      </c>
      <c r="S2919" s="213" t="s">
        <v>24427</v>
      </c>
      <c r="T2919" s="213" t="s">
        <v>24428</v>
      </c>
      <c r="U2919" s="213" t="s">
        <v>67561</v>
      </c>
    </row>
    <row r="2920" spans="1:21" x14ac:dyDescent="0.25">
      <c r="A2920" s="213" t="s">
        <v>327</v>
      </c>
      <c r="D2920" s="213" t="s">
        <v>24429</v>
      </c>
      <c r="E2920" s="213" t="s">
        <v>24430</v>
      </c>
      <c r="K2920" s="213" t="s">
        <v>67358</v>
      </c>
      <c r="L2920" s="213" t="s">
        <v>67426</v>
      </c>
      <c r="M2920" s="213" t="s">
        <v>67494</v>
      </c>
      <c r="N2920" s="213" t="s">
        <v>24431</v>
      </c>
      <c r="O2920" s="213" t="s">
        <v>24432</v>
      </c>
      <c r="P2920" s="213" t="s">
        <v>24433</v>
      </c>
      <c r="Q2920" s="213" t="s">
        <v>24434</v>
      </c>
      <c r="R2920" s="213" t="s">
        <v>24435</v>
      </c>
      <c r="S2920" s="213" t="s">
        <v>24436</v>
      </c>
      <c r="T2920" s="213" t="s">
        <v>24437</v>
      </c>
      <c r="U2920" s="213" t="s">
        <v>67562</v>
      </c>
    </row>
    <row r="2921" spans="1:21" x14ac:dyDescent="0.25">
      <c r="A2921" s="213" t="s">
        <v>327</v>
      </c>
      <c r="D2921" s="213" t="s">
        <v>24438</v>
      </c>
      <c r="E2921" s="213" t="s">
        <v>24439</v>
      </c>
      <c r="K2921" s="213" t="s">
        <v>67359</v>
      </c>
      <c r="L2921" s="213" t="s">
        <v>67427</v>
      </c>
      <c r="M2921" s="213" t="s">
        <v>67495</v>
      </c>
      <c r="N2921" s="213" t="s">
        <v>24440</v>
      </c>
      <c r="O2921" s="213" t="s">
        <v>24441</v>
      </c>
      <c r="P2921" s="213" t="s">
        <v>24442</v>
      </c>
      <c r="Q2921" s="213" t="s">
        <v>24443</v>
      </c>
      <c r="R2921" s="213" t="s">
        <v>24444</v>
      </c>
      <c r="S2921" s="213" t="s">
        <v>24445</v>
      </c>
      <c r="T2921" s="213" t="s">
        <v>24446</v>
      </c>
      <c r="U2921" s="213" t="s">
        <v>67563</v>
      </c>
    </row>
    <row r="2922" spans="1:21" x14ac:dyDescent="0.25">
      <c r="A2922" s="213" t="s">
        <v>327</v>
      </c>
      <c r="D2922" s="213" t="s">
        <v>24447</v>
      </c>
      <c r="E2922" s="213" t="s">
        <v>24448</v>
      </c>
      <c r="K2922" s="213" t="s">
        <v>67360</v>
      </c>
      <c r="L2922" s="213" t="s">
        <v>67428</v>
      </c>
      <c r="M2922" s="213" t="s">
        <v>67496</v>
      </c>
      <c r="N2922" s="213" t="s">
        <v>24449</v>
      </c>
      <c r="O2922" s="213" t="s">
        <v>24450</v>
      </c>
      <c r="P2922" s="213" t="s">
        <v>24451</v>
      </c>
      <c r="Q2922" s="213" t="s">
        <v>24452</v>
      </c>
      <c r="R2922" s="213" t="s">
        <v>24453</v>
      </c>
      <c r="S2922" s="213" t="s">
        <v>24454</v>
      </c>
      <c r="T2922" s="213" t="s">
        <v>24455</v>
      </c>
      <c r="U2922" s="213" t="s">
        <v>67564</v>
      </c>
    </row>
    <row r="2923" spans="1:21" x14ac:dyDescent="0.25">
      <c r="A2923" s="213" t="s">
        <v>327</v>
      </c>
      <c r="D2923" s="213" t="s">
        <v>24456</v>
      </c>
      <c r="E2923" s="213" t="s">
        <v>24457</v>
      </c>
      <c r="K2923" s="213" t="s">
        <v>67361</v>
      </c>
      <c r="L2923" s="213" t="s">
        <v>67429</v>
      </c>
      <c r="M2923" s="213" t="s">
        <v>67497</v>
      </c>
      <c r="N2923" s="213" t="s">
        <v>24458</v>
      </c>
      <c r="O2923" s="213" t="s">
        <v>24459</v>
      </c>
      <c r="P2923" s="213" t="s">
        <v>24460</v>
      </c>
      <c r="Q2923" s="213" t="s">
        <v>24461</v>
      </c>
      <c r="R2923" s="213" t="s">
        <v>24462</v>
      </c>
      <c r="S2923" s="213" t="s">
        <v>24463</v>
      </c>
      <c r="T2923" s="213" t="s">
        <v>24464</v>
      </c>
      <c r="U2923" s="213" t="s">
        <v>67565</v>
      </c>
    </row>
    <row r="2924" spans="1:21" x14ac:dyDescent="0.25">
      <c r="A2924" s="213" t="s">
        <v>327</v>
      </c>
      <c r="D2924" s="213" t="s">
        <v>24465</v>
      </c>
      <c r="E2924" s="213" t="s">
        <v>24466</v>
      </c>
      <c r="K2924" s="213" t="s">
        <v>67362</v>
      </c>
      <c r="L2924" s="213" t="s">
        <v>67430</v>
      </c>
      <c r="M2924" s="213" t="s">
        <v>67498</v>
      </c>
      <c r="N2924" s="213" t="s">
        <v>24467</v>
      </c>
      <c r="O2924" s="213" t="s">
        <v>24468</v>
      </c>
      <c r="P2924" s="213" t="s">
        <v>24469</v>
      </c>
      <c r="Q2924" s="213" t="s">
        <v>24470</v>
      </c>
      <c r="R2924" s="213" t="s">
        <v>24471</v>
      </c>
      <c r="S2924" s="213" t="s">
        <v>24472</v>
      </c>
      <c r="T2924" s="213" t="s">
        <v>24473</v>
      </c>
      <c r="U2924" s="213" t="s">
        <v>67566</v>
      </c>
    </row>
    <row r="2925" spans="1:21" x14ac:dyDescent="0.25">
      <c r="A2925" s="213" t="s">
        <v>327</v>
      </c>
      <c r="D2925" s="213" t="s">
        <v>24474</v>
      </c>
      <c r="E2925" s="213" t="s">
        <v>24475</v>
      </c>
      <c r="K2925" s="213" t="s">
        <v>67363</v>
      </c>
      <c r="L2925" s="213" t="s">
        <v>67431</v>
      </c>
      <c r="M2925" s="213" t="s">
        <v>67499</v>
      </c>
      <c r="N2925" s="213" t="s">
        <v>24476</v>
      </c>
      <c r="O2925" s="213" t="s">
        <v>24477</v>
      </c>
      <c r="P2925" s="213" t="s">
        <v>24478</v>
      </c>
      <c r="Q2925" s="213" t="s">
        <v>24479</v>
      </c>
      <c r="R2925" s="213" t="s">
        <v>24480</v>
      </c>
      <c r="S2925" s="213" t="s">
        <v>24481</v>
      </c>
      <c r="T2925" s="213" t="s">
        <v>24482</v>
      </c>
      <c r="U2925" s="213" t="s">
        <v>67567</v>
      </c>
    </row>
    <row r="2926" spans="1:21" x14ac:dyDescent="0.25">
      <c r="A2926" s="213" t="s">
        <v>327</v>
      </c>
      <c r="D2926" s="213" t="s">
        <v>24483</v>
      </c>
      <c r="E2926" s="213" t="s">
        <v>24484</v>
      </c>
      <c r="K2926" s="213" t="s">
        <v>67364</v>
      </c>
      <c r="L2926" s="213" t="s">
        <v>67432</v>
      </c>
      <c r="M2926" s="213" t="s">
        <v>67500</v>
      </c>
      <c r="N2926" s="213" t="s">
        <v>24485</v>
      </c>
      <c r="O2926" s="213" t="s">
        <v>24486</v>
      </c>
      <c r="P2926" s="213" t="s">
        <v>24487</v>
      </c>
      <c r="Q2926" s="213" t="s">
        <v>24488</v>
      </c>
      <c r="R2926" s="213" t="s">
        <v>24489</v>
      </c>
      <c r="S2926" s="213" t="s">
        <v>24490</v>
      </c>
      <c r="T2926" s="213" t="s">
        <v>24491</v>
      </c>
      <c r="U2926" s="213" t="s">
        <v>67568</v>
      </c>
    </row>
    <row r="2927" spans="1:21" x14ac:dyDescent="0.25">
      <c r="A2927" s="213" t="s">
        <v>327</v>
      </c>
      <c r="D2927" s="213" t="s">
        <v>24492</v>
      </c>
      <c r="E2927" s="213" t="s">
        <v>24493</v>
      </c>
      <c r="K2927" s="213" t="s">
        <v>67365</v>
      </c>
      <c r="L2927" s="213" t="s">
        <v>67433</v>
      </c>
      <c r="M2927" s="213" t="s">
        <v>67501</v>
      </c>
      <c r="N2927" s="213" t="s">
        <v>24494</v>
      </c>
      <c r="O2927" s="213" t="s">
        <v>24495</v>
      </c>
      <c r="P2927" s="213" t="s">
        <v>24496</v>
      </c>
      <c r="Q2927" s="213" t="s">
        <v>24497</v>
      </c>
      <c r="R2927" s="213" t="s">
        <v>24498</v>
      </c>
      <c r="S2927" s="213" t="s">
        <v>24499</v>
      </c>
      <c r="T2927" s="213" t="s">
        <v>24500</v>
      </c>
      <c r="U2927" s="213" t="s">
        <v>67569</v>
      </c>
    </row>
    <row r="2928" spans="1:21" x14ac:dyDescent="0.25">
      <c r="A2928" s="213" t="s">
        <v>327</v>
      </c>
    </row>
    <row r="2929" spans="1:21" x14ac:dyDescent="0.25">
      <c r="A2929" s="213" t="s">
        <v>327</v>
      </c>
    </row>
    <row r="2930" spans="1:21" x14ac:dyDescent="0.25">
      <c r="A2930" s="213" t="s">
        <v>327</v>
      </c>
      <c r="C2930" s="213" t="s">
        <v>24501</v>
      </c>
      <c r="E2930" s="213" t="s">
        <v>24502</v>
      </c>
      <c r="H2930" s="213" t="s">
        <v>24503</v>
      </c>
      <c r="I2930" s="213" t="s">
        <v>24504</v>
      </c>
      <c r="J2930" s="213" t="s">
        <v>24505</v>
      </c>
      <c r="L2930" s="213" t="s">
        <v>24506</v>
      </c>
      <c r="O2930" s="213" t="s">
        <v>24507</v>
      </c>
      <c r="P2930" s="213" t="s">
        <v>24508</v>
      </c>
      <c r="Q2930" s="213" t="s">
        <v>24509</v>
      </c>
      <c r="R2930" s="213" t="s">
        <v>24510</v>
      </c>
      <c r="S2930" s="213" t="s">
        <v>24511</v>
      </c>
      <c r="T2930" s="213" t="s">
        <v>24512</v>
      </c>
    </row>
    <row r="2931" spans="1:21" x14ac:dyDescent="0.25">
      <c r="A2931" s="213" t="s">
        <v>327</v>
      </c>
      <c r="C2931" s="213" t="s">
        <v>24513</v>
      </c>
      <c r="E2931" s="213" t="s">
        <v>24514</v>
      </c>
      <c r="I2931" s="213" t="s">
        <v>24515</v>
      </c>
    </row>
    <row r="2932" spans="1:21" x14ac:dyDescent="0.25">
      <c r="A2932" s="213" t="s">
        <v>327</v>
      </c>
      <c r="C2932" s="213" t="s">
        <v>24516</v>
      </c>
      <c r="E2932" s="213" t="s">
        <v>24517</v>
      </c>
      <c r="I2932" s="213" t="s">
        <v>24518</v>
      </c>
    </row>
    <row r="2933" spans="1:21" x14ac:dyDescent="0.25">
      <c r="A2933" s="213" t="s">
        <v>328</v>
      </c>
    </row>
    <row r="2934" spans="1:21" x14ac:dyDescent="0.25">
      <c r="A2934" s="213" t="s">
        <v>327</v>
      </c>
      <c r="D2934" s="213" t="s">
        <v>24519</v>
      </c>
      <c r="E2934" s="213" t="s">
        <v>24520</v>
      </c>
      <c r="K2934" s="213" t="s">
        <v>67126</v>
      </c>
      <c r="L2934" s="213" t="s">
        <v>67169</v>
      </c>
      <c r="M2934" s="213" t="s">
        <v>67212</v>
      </c>
      <c r="N2934" s="213" t="s">
        <v>24521</v>
      </c>
      <c r="O2934" s="213" t="s">
        <v>24522</v>
      </c>
      <c r="P2934" s="213" t="s">
        <v>24523</v>
      </c>
      <c r="Q2934" s="213" t="s">
        <v>24524</v>
      </c>
      <c r="R2934" s="213" t="s">
        <v>24525</v>
      </c>
      <c r="S2934" s="213" t="s">
        <v>24526</v>
      </c>
      <c r="T2934" s="213" t="s">
        <v>24527</v>
      </c>
      <c r="U2934" s="213" t="s">
        <v>67255</v>
      </c>
    </row>
    <row r="2935" spans="1:21" x14ac:dyDescent="0.25">
      <c r="A2935" s="213" t="s">
        <v>327</v>
      </c>
      <c r="D2935" s="213" t="s">
        <v>24528</v>
      </c>
      <c r="E2935" s="213" t="s">
        <v>24529</v>
      </c>
      <c r="K2935" s="213" t="s">
        <v>67127</v>
      </c>
      <c r="L2935" s="213" t="s">
        <v>67170</v>
      </c>
      <c r="M2935" s="213" t="s">
        <v>67213</v>
      </c>
      <c r="N2935" s="213" t="s">
        <v>24530</v>
      </c>
      <c r="O2935" s="213" t="s">
        <v>24531</v>
      </c>
      <c r="P2935" s="213" t="s">
        <v>24532</v>
      </c>
      <c r="Q2935" s="213" t="s">
        <v>24533</v>
      </c>
      <c r="R2935" s="213" t="s">
        <v>24534</v>
      </c>
      <c r="S2935" s="213" t="s">
        <v>24535</v>
      </c>
      <c r="T2935" s="213" t="s">
        <v>24536</v>
      </c>
      <c r="U2935" s="213" t="s">
        <v>67256</v>
      </c>
    </row>
    <row r="2936" spans="1:21" x14ac:dyDescent="0.25">
      <c r="A2936" s="213" t="s">
        <v>327</v>
      </c>
      <c r="D2936" s="213" t="s">
        <v>24537</v>
      </c>
      <c r="E2936" s="213" t="s">
        <v>24538</v>
      </c>
      <c r="K2936" s="213" t="s">
        <v>67128</v>
      </c>
      <c r="L2936" s="213" t="s">
        <v>67171</v>
      </c>
      <c r="M2936" s="213" t="s">
        <v>67214</v>
      </c>
      <c r="N2936" s="213" t="s">
        <v>24539</v>
      </c>
      <c r="O2936" s="213" t="s">
        <v>24540</v>
      </c>
      <c r="P2936" s="213" t="s">
        <v>24541</v>
      </c>
      <c r="Q2936" s="213" t="s">
        <v>24542</v>
      </c>
      <c r="R2936" s="213" t="s">
        <v>24543</v>
      </c>
      <c r="S2936" s="213" t="s">
        <v>24544</v>
      </c>
      <c r="T2936" s="213" t="s">
        <v>24545</v>
      </c>
      <c r="U2936" s="213" t="s">
        <v>67257</v>
      </c>
    </row>
    <row r="2937" spans="1:21" x14ac:dyDescent="0.25">
      <c r="A2937" s="213" t="s">
        <v>327</v>
      </c>
      <c r="D2937" s="213" t="s">
        <v>24546</v>
      </c>
      <c r="E2937" s="213" t="s">
        <v>24547</v>
      </c>
      <c r="K2937" s="213" t="s">
        <v>67129</v>
      </c>
      <c r="L2937" s="213" t="s">
        <v>67172</v>
      </c>
      <c r="M2937" s="213" t="s">
        <v>67215</v>
      </c>
      <c r="N2937" s="213" t="s">
        <v>24548</v>
      </c>
      <c r="O2937" s="213" t="s">
        <v>24549</v>
      </c>
      <c r="P2937" s="213" t="s">
        <v>24550</v>
      </c>
      <c r="Q2937" s="213" t="s">
        <v>24551</v>
      </c>
      <c r="R2937" s="213" t="s">
        <v>24552</v>
      </c>
      <c r="S2937" s="213" t="s">
        <v>24553</v>
      </c>
      <c r="T2937" s="213" t="s">
        <v>24554</v>
      </c>
      <c r="U2937" s="213" t="s">
        <v>67258</v>
      </c>
    </row>
    <row r="2938" spans="1:21" x14ac:dyDescent="0.25">
      <c r="A2938" s="213" t="s">
        <v>327</v>
      </c>
      <c r="D2938" s="213" t="s">
        <v>24555</v>
      </c>
      <c r="E2938" s="213" t="s">
        <v>24556</v>
      </c>
      <c r="K2938" s="213" t="s">
        <v>67130</v>
      </c>
      <c r="L2938" s="213" t="s">
        <v>67173</v>
      </c>
      <c r="M2938" s="213" t="s">
        <v>67216</v>
      </c>
      <c r="N2938" s="213" t="s">
        <v>24557</v>
      </c>
      <c r="O2938" s="213" t="s">
        <v>24558</v>
      </c>
      <c r="P2938" s="213" t="s">
        <v>24559</v>
      </c>
      <c r="Q2938" s="213" t="s">
        <v>24560</v>
      </c>
      <c r="R2938" s="213" t="s">
        <v>24561</v>
      </c>
      <c r="S2938" s="213" t="s">
        <v>24562</v>
      </c>
      <c r="T2938" s="213" t="s">
        <v>24563</v>
      </c>
      <c r="U2938" s="213" t="s">
        <v>67259</v>
      </c>
    </row>
    <row r="2939" spans="1:21" x14ac:dyDescent="0.25">
      <c r="A2939" s="213" t="s">
        <v>327</v>
      </c>
      <c r="D2939" s="213" t="s">
        <v>24564</v>
      </c>
      <c r="E2939" s="213" t="s">
        <v>24565</v>
      </c>
      <c r="K2939" s="213" t="s">
        <v>67131</v>
      </c>
      <c r="L2939" s="213" t="s">
        <v>67174</v>
      </c>
      <c r="M2939" s="213" t="s">
        <v>67217</v>
      </c>
      <c r="N2939" s="213" t="s">
        <v>24566</v>
      </c>
      <c r="O2939" s="213" t="s">
        <v>24567</v>
      </c>
      <c r="P2939" s="213" t="s">
        <v>24568</v>
      </c>
      <c r="Q2939" s="213" t="s">
        <v>24569</v>
      </c>
      <c r="R2939" s="213" t="s">
        <v>24570</v>
      </c>
      <c r="S2939" s="213" t="s">
        <v>24571</v>
      </c>
      <c r="T2939" s="213" t="s">
        <v>24572</v>
      </c>
      <c r="U2939" s="213" t="s">
        <v>67260</v>
      </c>
    </row>
    <row r="2940" spans="1:21" x14ac:dyDescent="0.25">
      <c r="A2940" s="213" t="s">
        <v>327</v>
      </c>
      <c r="D2940" s="213" t="s">
        <v>24573</v>
      </c>
      <c r="E2940" s="213" t="s">
        <v>24574</v>
      </c>
      <c r="K2940" s="213" t="s">
        <v>67132</v>
      </c>
      <c r="L2940" s="213" t="s">
        <v>67175</v>
      </c>
      <c r="M2940" s="213" t="s">
        <v>67218</v>
      </c>
      <c r="N2940" s="213" t="s">
        <v>24575</v>
      </c>
      <c r="O2940" s="213" t="s">
        <v>24576</v>
      </c>
      <c r="P2940" s="213" t="s">
        <v>24577</v>
      </c>
      <c r="Q2940" s="213" t="s">
        <v>24578</v>
      </c>
      <c r="R2940" s="213" t="s">
        <v>24579</v>
      </c>
      <c r="S2940" s="213" t="s">
        <v>24580</v>
      </c>
      <c r="T2940" s="213" t="s">
        <v>24581</v>
      </c>
      <c r="U2940" s="213" t="s">
        <v>67261</v>
      </c>
    </row>
    <row r="2941" spans="1:21" x14ac:dyDescent="0.25">
      <c r="A2941" s="213" t="s">
        <v>327</v>
      </c>
      <c r="D2941" s="213" t="s">
        <v>24582</v>
      </c>
      <c r="E2941" s="213" t="s">
        <v>24583</v>
      </c>
      <c r="K2941" s="213" t="s">
        <v>67133</v>
      </c>
      <c r="L2941" s="213" t="s">
        <v>67176</v>
      </c>
      <c r="M2941" s="213" t="s">
        <v>67219</v>
      </c>
      <c r="N2941" s="213" t="s">
        <v>24584</v>
      </c>
      <c r="O2941" s="213" t="s">
        <v>24585</v>
      </c>
      <c r="P2941" s="213" t="s">
        <v>24586</v>
      </c>
      <c r="Q2941" s="213" t="s">
        <v>24587</v>
      </c>
      <c r="R2941" s="213" t="s">
        <v>24588</v>
      </c>
      <c r="S2941" s="213" t="s">
        <v>24589</v>
      </c>
      <c r="T2941" s="213" t="s">
        <v>24590</v>
      </c>
      <c r="U2941" s="213" t="s">
        <v>67262</v>
      </c>
    </row>
    <row r="2942" spans="1:21" x14ac:dyDescent="0.25">
      <c r="A2942" s="213" t="s">
        <v>327</v>
      </c>
      <c r="D2942" s="213" t="s">
        <v>24591</v>
      </c>
      <c r="E2942" s="213" t="s">
        <v>24592</v>
      </c>
      <c r="K2942" s="213" t="s">
        <v>67134</v>
      </c>
      <c r="L2942" s="213" t="s">
        <v>67177</v>
      </c>
      <c r="M2942" s="213" t="s">
        <v>67220</v>
      </c>
      <c r="N2942" s="213" t="s">
        <v>24593</v>
      </c>
      <c r="O2942" s="213" t="s">
        <v>24594</v>
      </c>
      <c r="P2942" s="213" t="s">
        <v>24595</v>
      </c>
      <c r="Q2942" s="213" t="s">
        <v>24596</v>
      </c>
      <c r="R2942" s="213" t="s">
        <v>24597</v>
      </c>
      <c r="S2942" s="213" t="s">
        <v>24598</v>
      </c>
      <c r="T2942" s="213" t="s">
        <v>24599</v>
      </c>
      <c r="U2942" s="213" t="s">
        <v>67263</v>
      </c>
    </row>
    <row r="2943" spans="1:21" x14ac:dyDescent="0.25">
      <c r="A2943" s="213" t="s">
        <v>327</v>
      </c>
      <c r="D2943" s="213" t="s">
        <v>24600</v>
      </c>
      <c r="E2943" s="213" t="s">
        <v>24601</v>
      </c>
      <c r="K2943" s="213" t="s">
        <v>67135</v>
      </c>
      <c r="L2943" s="213" t="s">
        <v>67178</v>
      </c>
      <c r="M2943" s="213" t="s">
        <v>67221</v>
      </c>
      <c r="N2943" s="213" t="s">
        <v>24602</v>
      </c>
      <c r="O2943" s="213" t="s">
        <v>24603</v>
      </c>
      <c r="P2943" s="213" t="s">
        <v>24604</v>
      </c>
      <c r="Q2943" s="213" t="s">
        <v>24605</v>
      </c>
      <c r="R2943" s="213" t="s">
        <v>24606</v>
      </c>
      <c r="S2943" s="213" t="s">
        <v>24607</v>
      </c>
      <c r="T2943" s="213" t="s">
        <v>24608</v>
      </c>
      <c r="U2943" s="213" t="s">
        <v>67264</v>
      </c>
    </row>
    <row r="2944" spans="1:21" x14ac:dyDescent="0.25">
      <c r="A2944" s="213" t="s">
        <v>327</v>
      </c>
      <c r="D2944" s="213" t="s">
        <v>24609</v>
      </c>
      <c r="E2944" s="213" t="s">
        <v>24610</v>
      </c>
      <c r="K2944" s="213" t="s">
        <v>67136</v>
      </c>
      <c r="L2944" s="213" t="s">
        <v>67179</v>
      </c>
      <c r="M2944" s="213" t="s">
        <v>67222</v>
      </c>
      <c r="N2944" s="213" t="s">
        <v>24611</v>
      </c>
      <c r="O2944" s="213" t="s">
        <v>24612</v>
      </c>
      <c r="P2944" s="213" t="s">
        <v>24613</v>
      </c>
      <c r="Q2944" s="213" t="s">
        <v>24614</v>
      </c>
      <c r="R2944" s="213" t="s">
        <v>24615</v>
      </c>
      <c r="S2944" s="213" t="s">
        <v>24616</v>
      </c>
      <c r="T2944" s="213" t="s">
        <v>24617</v>
      </c>
      <c r="U2944" s="213" t="s">
        <v>67265</v>
      </c>
    </row>
    <row r="2945" spans="1:21" x14ac:dyDescent="0.25">
      <c r="A2945" s="213" t="s">
        <v>327</v>
      </c>
      <c r="D2945" s="213" t="s">
        <v>24618</v>
      </c>
      <c r="E2945" s="213" t="s">
        <v>24619</v>
      </c>
      <c r="K2945" s="213" t="s">
        <v>67137</v>
      </c>
      <c r="L2945" s="213" t="s">
        <v>67180</v>
      </c>
      <c r="M2945" s="213" t="s">
        <v>67223</v>
      </c>
      <c r="N2945" s="213" t="s">
        <v>24620</v>
      </c>
      <c r="O2945" s="213" t="s">
        <v>24621</v>
      </c>
      <c r="P2945" s="213" t="s">
        <v>24622</v>
      </c>
      <c r="Q2945" s="213" t="s">
        <v>24623</v>
      </c>
      <c r="R2945" s="213" t="s">
        <v>24624</v>
      </c>
      <c r="S2945" s="213" t="s">
        <v>24625</v>
      </c>
      <c r="T2945" s="213" t="s">
        <v>24626</v>
      </c>
      <c r="U2945" s="213" t="s">
        <v>67266</v>
      </c>
    </row>
    <row r="2946" spans="1:21" x14ac:dyDescent="0.25">
      <c r="A2946" s="213" t="s">
        <v>327</v>
      </c>
      <c r="D2946" s="213" t="s">
        <v>24627</v>
      </c>
      <c r="E2946" s="213" t="s">
        <v>24628</v>
      </c>
      <c r="K2946" s="213" t="s">
        <v>67138</v>
      </c>
      <c r="L2946" s="213" t="s">
        <v>67181</v>
      </c>
      <c r="M2946" s="213" t="s">
        <v>67224</v>
      </c>
      <c r="N2946" s="213" t="s">
        <v>24629</v>
      </c>
      <c r="O2946" s="213" t="s">
        <v>24630</v>
      </c>
      <c r="P2946" s="213" t="s">
        <v>24631</v>
      </c>
      <c r="Q2946" s="213" t="s">
        <v>24632</v>
      </c>
      <c r="R2946" s="213" t="s">
        <v>24633</v>
      </c>
      <c r="S2946" s="213" t="s">
        <v>24634</v>
      </c>
      <c r="T2946" s="213" t="s">
        <v>24635</v>
      </c>
      <c r="U2946" s="213" t="s">
        <v>67267</v>
      </c>
    </row>
    <row r="2947" spans="1:21" x14ac:dyDescent="0.25">
      <c r="A2947" s="213" t="s">
        <v>327</v>
      </c>
      <c r="D2947" s="213" t="s">
        <v>24636</v>
      </c>
      <c r="E2947" s="213" t="s">
        <v>24637</v>
      </c>
      <c r="K2947" s="213" t="s">
        <v>67139</v>
      </c>
      <c r="L2947" s="213" t="s">
        <v>67182</v>
      </c>
      <c r="M2947" s="213" t="s">
        <v>67225</v>
      </c>
      <c r="N2947" s="213" t="s">
        <v>24638</v>
      </c>
      <c r="O2947" s="213" t="s">
        <v>24639</v>
      </c>
      <c r="P2947" s="213" t="s">
        <v>24640</v>
      </c>
      <c r="Q2947" s="213" t="s">
        <v>24641</v>
      </c>
      <c r="R2947" s="213" t="s">
        <v>24642</v>
      </c>
      <c r="S2947" s="213" t="s">
        <v>24643</v>
      </c>
      <c r="T2947" s="213" t="s">
        <v>24644</v>
      </c>
      <c r="U2947" s="213" t="s">
        <v>67268</v>
      </c>
    </row>
    <row r="2948" spans="1:21" x14ac:dyDescent="0.25">
      <c r="A2948" s="213" t="s">
        <v>327</v>
      </c>
      <c r="D2948" s="213" t="s">
        <v>24645</v>
      </c>
      <c r="E2948" s="213" t="s">
        <v>24646</v>
      </c>
      <c r="K2948" s="213" t="s">
        <v>67140</v>
      </c>
      <c r="L2948" s="213" t="s">
        <v>67183</v>
      </c>
      <c r="M2948" s="213" t="s">
        <v>67226</v>
      </c>
      <c r="N2948" s="213" t="s">
        <v>24647</v>
      </c>
      <c r="O2948" s="213" t="s">
        <v>24648</v>
      </c>
      <c r="P2948" s="213" t="s">
        <v>24649</v>
      </c>
      <c r="Q2948" s="213" t="s">
        <v>24650</v>
      </c>
      <c r="R2948" s="213" t="s">
        <v>24651</v>
      </c>
      <c r="S2948" s="213" t="s">
        <v>24652</v>
      </c>
      <c r="T2948" s="213" t="s">
        <v>24653</v>
      </c>
      <c r="U2948" s="213" t="s">
        <v>67269</v>
      </c>
    </row>
    <row r="2949" spans="1:21" x14ac:dyDescent="0.25">
      <c r="A2949" s="213" t="s">
        <v>327</v>
      </c>
      <c r="D2949" s="213" t="s">
        <v>24654</v>
      </c>
      <c r="E2949" s="213" t="s">
        <v>24655</v>
      </c>
      <c r="K2949" s="213" t="s">
        <v>67141</v>
      </c>
      <c r="L2949" s="213" t="s">
        <v>67184</v>
      </c>
      <c r="M2949" s="213" t="s">
        <v>67227</v>
      </c>
      <c r="N2949" s="213" t="s">
        <v>24656</v>
      </c>
      <c r="O2949" s="213" t="s">
        <v>24657</v>
      </c>
      <c r="P2949" s="213" t="s">
        <v>24658</v>
      </c>
      <c r="Q2949" s="213" t="s">
        <v>24659</v>
      </c>
      <c r="R2949" s="213" t="s">
        <v>24660</v>
      </c>
      <c r="S2949" s="213" t="s">
        <v>24661</v>
      </c>
      <c r="T2949" s="213" t="s">
        <v>24662</v>
      </c>
      <c r="U2949" s="213" t="s">
        <v>67270</v>
      </c>
    </row>
    <row r="2950" spans="1:21" x14ac:dyDescent="0.25">
      <c r="A2950" s="213" t="s">
        <v>327</v>
      </c>
      <c r="D2950" s="213" t="s">
        <v>24663</v>
      </c>
      <c r="E2950" s="213" t="s">
        <v>24664</v>
      </c>
      <c r="K2950" s="213" t="s">
        <v>67142</v>
      </c>
      <c r="L2950" s="213" t="s">
        <v>67185</v>
      </c>
      <c r="M2950" s="213" t="s">
        <v>67228</v>
      </c>
      <c r="N2950" s="213" t="s">
        <v>24665</v>
      </c>
      <c r="O2950" s="213" t="s">
        <v>24666</v>
      </c>
      <c r="P2950" s="213" t="s">
        <v>24667</v>
      </c>
      <c r="Q2950" s="213" t="s">
        <v>24668</v>
      </c>
      <c r="R2950" s="213" t="s">
        <v>24669</v>
      </c>
      <c r="S2950" s="213" t="s">
        <v>24670</v>
      </c>
      <c r="T2950" s="213" t="s">
        <v>24671</v>
      </c>
      <c r="U2950" s="213" t="s">
        <v>67271</v>
      </c>
    </row>
    <row r="2951" spans="1:21" x14ac:dyDescent="0.25">
      <c r="A2951" s="213" t="s">
        <v>327</v>
      </c>
      <c r="D2951" s="213" t="s">
        <v>24672</v>
      </c>
      <c r="E2951" s="213" t="s">
        <v>24673</v>
      </c>
      <c r="K2951" s="213" t="s">
        <v>67143</v>
      </c>
      <c r="L2951" s="213" t="s">
        <v>67186</v>
      </c>
      <c r="M2951" s="213" t="s">
        <v>67229</v>
      </c>
      <c r="N2951" s="213" t="s">
        <v>24674</v>
      </c>
      <c r="O2951" s="213" t="s">
        <v>24675</v>
      </c>
      <c r="P2951" s="213" t="s">
        <v>24676</v>
      </c>
      <c r="Q2951" s="213" t="s">
        <v>24677</v>
      </c>
      <c r="R2951" s="213" t="s">
        <v>24678</v>
      </c>
      <c r="S2951" s="213" t="s">
        <v>24679</v>
      </c>
      <c r="T2951" s="213" t="s">
        <v>24680</v>
      </c>
      <c r="U2951" s="213" t="s">
        <v>67272</v>
      </c>
    </row>
    <row r="2952" spans="1:21" x14ac:dyDescent="0.25">
      <c r="A2952" s="213" t="s">
        <v>327</v>
      </c>
      <c r="D2952" s="213" t="s">
        <v>24681</v>
      </c>
      <c r="E2952" s="213" t="s">
        <v>24682</v>
      </c>
      <c r="K2952" s="213" t="s">
        <v>67144</v>
      </c>
      <c r="L2952" s="213" t="s">
        <v>67187</v>
      </c>
      <c r="M2952" s="213" t="s">
        <v>67230</v>
      </c>
      <c r="N2952" s="213" t="s">
        <v>24683</v>
      </c>
      <c r="O2952" s="213" t="s">
        <v>24684</v>
      </c>
      <c r="P2952" s="213" t="s">
        <v>24685</v>
      </c>
      <c r="Q2952" s="213" t="s">
        <v>24686</v>
      </c>
      <c r="R2952" s="213" t="s">
        <v>24687</v>
      </c>
      <c r="S2952" s="213" t="s">
        <v>24688</v>
      </c>
      <c r="T2952" s="213" t="s">
        <v>24689</v>
      </c>
      <c r="U2952" s="213" t="s">
        <v>67273</v>
      </c>
    </row>
    <row r="2953" spans="1:21" x14ac:dyDescent="0.25">
      <c r="A2953" s="213" t="s">
        <v>327</v>
      </c>
      <c r="D2953" s="213" t="s">
        <v>24690</v>
      </c>
      <c r="E2953" s="213" t="s">
        <v>24691</v>
      </c>
      <c r="K2953" s="213" t="s">
        <v>67145</v>
      </c>
      <c r="L2953" s="213" t="s">
        <v>67188</v>
      </c>
      <c r="M2953" s="213" t="s">
        <v>67231</v>
      </c>
      <c r="N2953" s="213" t="s">
        <v>24692</v>
      </c>
      <c r="O2953" s="213" t="s">
        <v>24693</v>
      </c>
      <c r="P2953" s="213" t="s">
        <v>24694</v>
      </c>
      <c r="Q2953" s="213" t="s">
        <v>24695</v>
      </c>
      <c r="R2953" s="213" t="s">
        <v>24696</v>
      </c>
      <c r="S2953" s="213" t="s">
        <v>24697</v>
      </c>
      <c r="T2953" s="213" t="s">
        <v>24698</v>
      </c>
      <c r="U2953" s="213" t="s">
        <v>67274</v>
      </c>
    </row>
    <row r="2954" spans="1:21" x14ac:dyDescent="0.25">
      <c r="A2954" s="213" t="s">
        <v>327</v>
      </c>
      <c r="D2954" s="213" t="s">
        <v>24699</v>
      </c>
      <c r="E2954" s="213" t="s">
        <v>24700</v>
      </c>
      <c r="K2954" s="213" t="s">
        <v>67146</v>
      </c>
      <c r="L2954" s="213" t="s">
        <v>67189</v>
      </c>
      <c r="M2954" s="213" t="s">
        <v>67232</v>
      </c>
      <c r="N2954" s="213" t="s">
        <v>24701</v>
      </c>
      <c r="O2954" s="213" t="s">
        <v>24702</v>
      </c>
      <c r="P2954" s="213" t="s">
        <v>24703</v>
      </c>
      <c r="Q2954" s="213" t="s">
        <v>24704</v>
      </c>
      <c r="R2954" s="213" t="s">
        <v>24705</v>
      </c>
      <c r="S2954" s="213" t="s">
        <v>24706</v>
      </c>
      <c r="T2954" s="213" t="s">
        <v>24707</v>
      </c>
      <c r="U2954" s="213" t="s">
        <v>67275</v>
      </c>
    </row>
    <row r="2955" spans="1:21" x14ac:dyDescent="0.25">
      <c r="A2955" s="213" t="s">
        <v>327</v>
      </c>
      <c r="D2955" s="213" t="s">
        <v>24708</v>
      </c>
      <c r="E2955" s="213" t="s">
        <v>24709</v>
      </c>
      <c r="K2955" s="213" t="s">
        <v>67147</v>
      </c>
      <c r="L2955" s="213" t="s">
        <v>67190</v>
      </c>
      <c r="M2955" s="213" t="s">
        <v>67233</v>
      </c>
      <c r="N2955" s="213" t="s">
        <v>24710</v>
      </c>
      <c r="O2955" s="213" t="s">
        <v>24711</v>
      </c>
      <c r="P2955" s="213" t="s">
        <v>24712</v>
      </c>
      <c r="Q2955" s="213" t="s">
        <v>24713</v>
      </c>
      <c r="R2955" s="213" t="s">
        <v>24714</v>
      </c>
      <c r="S2955" s="213" t="s">
        <v>24715</v>
      </c>
      <c r="T2955" s="213" t="s">
        <v>24716</v>
      </c>
      <c r="U2955" s="213" t="s">
        <v>67276</v>
      </c>
    </row>
    <row r="2956" spans="1:21" x14ac:dyDescent="0.25">
      <c r="A2956" s="213" t="s">
        <v>327</v>
      </c>
      <c r="D2956" s="213" t="s">
        <v>24717</v>
      </c>
      <c r="E2956" s="213" t="s">
        <v>24718</v>
      </c>
      <c r="K2956" s="213" t="s">
        <v>67148</v>
      </c>
      <c r="L2956" s="213" t="s">
        <v>67191</v>
      </c>
      <c r="M2956" s="213" t="s">
        <v>67234</v>
      </c>
      <c r="N2956" s="213" t="s">
        <v>24719</v>
      </c>
      <c r="O2956" s="213" t="s">
        <v>24720</v>
      </c>
      <c r="P2956" s="213" t="s">
        <v>24721</v>
      </c>
      <c r="Q2956" s="213" t="s">
        <v>24722</v>
      </c>
      <c r="R2956" s="213" t="s">
        <v>24723</v>
      </c>
      <c r="S2956" s="213" t="s">
        <v>24724</v>
      </c>
      <c r="T2956" s="213" t="s">
        <v>24725</v>
      </c>
      <c r="U2956" s="213" t="s">
        <v>67277</v>
      </c>
    </row>
    <row r="2957" spans="1:21" x14ac:dyDescent="0.25">
      <c r="A2957" s="213" t="s">
        <v>327</v>
      </c>
      <c r="D2957" s="213" t="s">
        <v>24726</v>
      </c>
      <c r="E2957" s="213" t="s">
        <v>24727</v>
      </c>
      <c r="K2957" s="213" t="s">
        <v>67149</v>
      </c>
      <c r="L2957" s="213" t="s">
        <v>67192</v>
      </c>
      <c r="M2957" s="213" t="s">
        <v>67235</v>
      </c>
      <c r="N2957" s="213" t="s">
        <v>24728</v>
      </c>
      <c r="O2957" s="213" t="s">
        <v>24729</v>
      </c>
      <c r="P2957" s="213" t="s">
        <v>24730</v>
      </c>
      <c r="Q2957" s="213" t="s">
        <v>24731</v>
      </c>
      <c r="R2957" s="213" t="s">
        <v>24732</v>
      </c>
      <c r="S2957" s="213" t="s">
        <v>24733</v>
      </c>
      <c r="T2957" s="213" t="s">
        <v>24734</v>
      </c>
      <c r="U2957" s="213" t="s">
        <v>67278</v>
      </c>
    </row>
    <row r="2958" spans="1:21" x14ac:dyDescent="0.25">
      <c r="A2958" s="213" t="s">
        <v>327</v>
      </c>
      <c r="D2958" s="213" t="s">
        <v>24735</v>
      </c>
      <c r="E2958" s="213" t="s">
        <v>24736</v>
      </c>
      <c r="K2958" s="213" t="s">
        <v>67150</v>
      </c>
      <c r="L2958" s="213" t="s">
        <v>67193</v>
      </c>
      <c r="M2958" s="213" t="s">
        <v>67236</v>
      </c>
      <c r="N2958" s="213" t="s">
        <v>24737</v>
      </c>
      <c r="O2958" s="213" t="s">
        <v>24738</v>
      </c>
      <c r="P2958" s="213" t="s">
        <v>24739</v>
      </c>
      <c r="Q2958" s="213" t="s">
        <v>24740</v>
      </c>
      <c r="R2958" s="213" t="s">
        <v>24741</v>
      </c>
      <c r="S2958" s="213" t="s">
        <v>24742</v>
      </c>
      <c r="T2958" s="213" t="s">
        <v>24743</v>
      </c>
      <c r="U2958" s="213" t="s">
        <v>67279</v>
      </c>
    </row>
    <row r="2959" spans="1:21" x14ac:dyDescent="0.25">
      <c r="A2959" s="213" t="s">
        <v>327</v>
      </c>
      <c r="D2959" s="213" t="s">
        <v>24744</v>
      </c>
      <c r="E2959" s="213" t="s">
        <v>24745</v>
      </c>
      <c r="K2959" s="213" t="s">
        <v>67151</v>
      </c>
      <c r="L2959" s="213" t="s">
        <v>67194</v>
      </c>
      <c r="M2959" s="213" t="s">
        <v>67237</v>
      </c>
      <c r="N2959" s="213" t="s">
        <v>24746</v>
      </c>
      <c r="O2959" s="213" t="s">
        <v>24747</v>
      </c>
      <c r="P2959" s="213" t="s">
        <v>24748</v>
      </c>
      <c r="Q2959" s="213" t="s">
        <v>24749</v>
      </c>
      <c r="R2959" s="213" t="s">
        <v>24750</v>
      </c>
      <c r="S2959" s="213" t="s">
        <v>24751</v>
      </c>
      <c r="T2959" s="213" t="s">
        <v>24752</v>
      </c>
      <c r="U2959" s="213" t="s">
        <v>67280</v>
      </c>
    </row>
    <row r="2960" spans="1:21" x14ac:dyDescent="0.25">
      <c r="A2960" s="213" t="s">
        <v>327</v>
      </c>
      <c r="D2960" s="213" t="s">
        <v>24753</v>
      </c>
      <c r="E2960" s="213" t="s">
        <v>24754</v>
      </c>
      <c r="K2960" s="213" t="s">
        <v>67152</v>
      </c>
      <c r="L2960" s="213" t="s">
        <v>67195</v>
      </c>
      <c r="M2960" s="213" t="s">
        <v>67238</v>
      </c>
      <c r="N2960" s="213" t="s">
        <v>24755</v>
      </c>
      <c r="O2960" s="213" t="s">
        <v>24756</v>
      </c>
      <c r="P2960" s="213" t="s">
        <v>24757</v>
      </c>
      <c r="Q2960" s="213" t="s">
        <v>24758</v>
      </c>
      <c r="R2960" s="213" t="s">
        <v>24759</v>
      </c>
      <c r="S2960" s="213" t="s">
        <v>24760</v>
      </c>
      <c r="T2960" s="213" t="s">
        <v>24761</v>
      </c>
      <c r="U2960" s="213" t="s">
        <v>67281</v>
      </c>
    </row>
    <row r="2961" spans="1:21" x14ac:dyDescent="0.25">
      <c r="A2961" s="213" t="s">
        <v>327</v>
      </c>
      <c r="D2961" s="213" t="s">
        <v>24762</v>
      </c>
      <c r="E2961" s="213" t="s">
        <v>24763</v>
      </c>
      <c r="K2961" s="213" t="s">
        <v>67153</v>
      </c>
      <c r="L2961" s="213" t="s">
        <v>67196</v>
      </c>
      <c r="M2961" s="213" t="s">
        <v>67239</v>
      </c>
      <c r="N2961" s="213" t="s">
        <v>24764</v>
      </c>
      <c r="O2961" s="213" t="s">
        <v>24765</v>
      </c>
      <c r="P2961" s="213" t="s">
        <v>24766</v>
      </c>
      <c r="Q2961" s="213" t="s">
        <v>24767</v>
      </c>
      <c r="R2961" s="213" t="s">
        <v>24768</v>
      </c>
      <c r="S2961" s="213" t="s">
        <v>24769</v>
      </c>
      <c r="T2961" s="213" t="s">
        <v>24770</v>
      </c>
      <c r="U2961" s="213" t="s">
        <v>67282</v>
      </c>
    </row>
    <row r="2962" spans="1:21" x14ac:dyDescent="0.25">
      <c r="A2962" s="213" t="s">
        <v>327</v>
      </c>
      <c r="D2962" s="213" t="s">
        <v>24771</v>
      </c>
      <c r="E2962" s="213" t="s">
        <v>24772</v>
      </c>
      <c r="K2962" s="213" t="s">
        <v>67154</v>
      </c>
      <c r="L2962" s="213" t="s">
        <v>67197</v>
      </c>
      <c r="M2962" s="213" t="s">
        <v>67240</v>
      </c>
      <c r="N2962" s="213" t="s">
        <v>24773</v>
      </c>
      <c r="O2962" s="213" t="s">
        <v>24774</v>
      </c>
      <c r="P2962" s="213" t="s">
        <v>24775</v>
      </c>
      <c r="Q2962" s="213" t="s">
        <v>24776</v>
      </c>
      <c r="R2962" s="213" t="s">
        <v>24777</v>
      </c>
      <c r="S2962" s="213" t="s">
        <v>24778</v>
      </c>
      <c r="T2962" s="213" t="s">
        <v>24779</v>
      </c>
      <c r="U2962" s="213" t="s">
        <v>67283</v>
      </c>
    </row>
    <row r="2963" spans="1:21" x14ac:dyDescent="0.25">
      <c r="A2963" s="213" t="s">
        <v>327</v>
      </c>
      <c r="D2963" s="213" t="s">
        <v>24780</v>
      </c>
      <c r="E2963" s="213" t="s">
        <v>24781</v>
      </c>
      <c r="K2963" s="213" t="s">
        <v>67155</v>
      </c>
      <c r="L2963" s="213" t="s">
        <v>67198</v>
      </c>
      <c r="M2963" s="213" t="s">
        <v>67241</v>
      </c>
      <c r="N2963" s="213" t="s">
        <v>24782</v>
      </c>
      <c r="O2963" s="213" t="s">
        <v>24783</v>
      </c>
      <c r="P2963" s="213" t="s">
        <v>24784</v>
      </c>
      <c r="Q2963" s="213" t="s">
        <v>24785</v>
      </c>
      <c r="R2963" s="213" t="s">
        <v>24786</v>
      </c>
      <c r="S2963" s="213" t="s">
        <v>24787</v>
      </c>
      <c r="T2963" s="213" t="s">
        <v>24788</v>
      </c>
      <c r="U2963" s="213" t="s">
        <v>67284</v>
      </c>
    </row>
    <row r="2964" spans="1:21" x14ac:dyDescent="0.25">
      <c r="A2964" s="213" t="s">
        <v>327</v>
      </c>
      <c r="D2964" s="213" t="s">
        <v>24789</v>
      </c>
      <c r="E2964" s="213" t="s">
        <v>24790</v>
      </c>
      <c r="K2964" s="213" t="s">
        <v>67156</v>
      </c>
      <c r="L2964" s="213" t="s">
        <v>67199</v>
      </c>
      <c r="M2964" s="213" t="s">
        <v>67242</v>
      </c>
      <c r="N2964" s="213" t="s">
        <v>24791</v>
      </c>
      <c r="O2964" s="213" t="s">
        <v>24792</v>
      </c>
      <c r="P2964" s="213" t="s">
        <v>24793</v>
      </c>
      <c r="Q2964" s="213" t="s">
        <v>24794</v>
      </c>
      <c r="R2964" s="213" t="s">
        <v>24795</v>
      </c>
      <c r="S2964" s="213" t="s">
        <v>24796</v>
      </c>
      <c r="T2964" s="213" t="s">
        <v>24797</v>
      </c>
      <c r="U2964" s="213" t="s">
        <v>67285</v>
      </c>
    </row>
    <row r="2965" spans="1:21" x14ac:dyDescent="0.25">
      <c r="A2965" s="213" t="s">
        <v>327</v>
      </c>
      <c r="D2965" s="213" t="s">
        <v>24798</v>
      </c>
      <c r="E2965" s="213" t="s">
        <v>24799</v>
      </c>
      <c r="K2965" s="213" t="s">
        <v>67157</v>
      </c>
      <c r="L2965" s="213" t="s">
        <v>67200</v>
      </c>
      <c r="M2965" s="213" t="s">
        <v>67243</v>
      </c>
      <c r="N2965" s="213" t="s">
        <v>24800</v>
      </c>
      <c r="O2965" s="213" t="s">
        <v>24801</v>
      </c>
      <c r="P2965" s="213" t="s">
        <v>24802</v>
      </c>
      <c r="Q2965" s="213" t="s">
        <v>24803</v>
      </c>
      <c r="R2965" s="213" t="s">
        <v>24804</v>
      </c>
      <c r="S2965" s="213" t="s">
        <v>24805</v>
      </c>
      <c r="T2965" s="213" t="s">
        <v>24806</v>
      </c>
      <c r="U2965" s="213" t="s">
        <v>67286</v>
      </c>
    </row>
    <row r="2966" spans="1:21" x14ac:dyDescent="0.25">
      <c r="A2966" s="213" t="s">
        <v>327</v>
      </c>
      <c r="D2966" s="213" t="s">
        <v>24807</v>
      </c>
      <c r="E2966" s="213" t="s">
        <v>24808</v>
      </c>
      <c r="K2966" s="213" t="s">
        <v>67158</v>
      </c>
      <c r="L2966" s="213" t="s">
        <v>67201</v>
      </c>
      <c r="M2966" s="213" t="s">
        <v>67244</v>
      </c>
      <c r="N2966" s="213" t="s">
        <v>24809</v>
      </c>
      <c r="O2966" s="213" t="s">
        <v>24810</v>
      </c>
      <c r="P2966" s="213" t="s">
        <v>24811</v>
      </c>
      <c r="Q2966" s="213" t="s">
        <v>24812</v>
      </c>
      <c r="R2966" s="213" t="s">
        <v>24813</v>
      </c>
      <c r="S2966" s="213" t="s">
        <v>24814</v>
      </c>
      <c r="T2966" s="213" t="s">
        <v>24815</v>
      </c>
      <c r="U2966" s="213" t="s">
        <v>67287</v>
      </c>
    </row>
    <row r="2967" spans="1:21" x14ac:dyDescent="0.25">
      <c r="A2967" s="213" t="s">
        <v>327</v>
      </c>
      <c r="D2967" s="213" t="s">
        <v>24816</v>
      </c>
      <c r="E2967" s="213" t="s">
        <v>24817</v>
      </c>
      <c r="K2967" s="213" t="s">
        <v>67159</v>
      </c>
      <c r="L2967" s="213" t="s">
        <v>67202</v>
      </c>
      <c r="M2967" s="213" t="s">
        <v>67245</v>
      </c>
      <c r="N2967" s="213" t="s">
        <v>24818</v>
      </c>
      <c r="O2967" s="213" t="s">
        <v>24819</v>
      </c>
      <c r="P2967" s="213" t="s">
        <v>24820</v>
      </c>
      <c r="Q2967" s="213" t="s">
        <v>24821</v>
      </c>
      <c r="R2967" s="213" t="s">
        <v>24822</v>
      </c>
      <c r="S2967" s="213" t="s">
        <v>24823</v>
      </c>
      <c r="T2967" s="213" t="s">
        <v>24824</v>
      </c>
      <c r="U2967" s="213" t="s">
        <v>67288</v>
      </c>
    </row>
    <row r="2968" spans="1:21" x14ac:dyDescent="0.25">
      <c r="A2968" s="213" t="s">
        <v>327</v>
      </c>
      <c r="D2968" s="213" t="s">
        <v>24825</v>
      </c>
      <c r="E2968" s="213" t="s">
        <v>24826</v>
      </c>
      <c r="K2968" s="213" t="s">
        <v>67160</v>
      </c>
      <c r="L2968" s="213" t="s">
        <v>67203</v>
      </c>
      <c r="M2968" s="213" t="s">
        <v>67246</v>
      </c>
      <c r="N2968" s="213" t="s">
        <v>24827</v>
      </c>
      <c r="O2968" s="213" t="s">
        <v>24828</v>
      </c>
      <c r="P2968" s="213" t="s">
        <v>24829</v>
      </c>
      <c r="Q2968" s="213" t="s">
        <v>24830</v>
      </c>
      <c r="R2968" s="213" t="s">
        <v>24831</v>
      </c>
      <c r="S2968" s="213" t="s">
        <v>24832</v>
      </c>
      <c r="T2968" s="213" t="s">
        <v>24833</v>
      </c>
      <c r="U2968" s="213" t="s">
        <v>67289</v>
      </c>
    </row>
    <row r="2969" spans="1:21" x14ac:dyDescent="0.25">
      <c r="A2969" s="213" t="s">
        <v>327</v>
      </c>
      <c r="D2969" s="213" t="s">
        <v>24834</v>
      </c>
      <c r="E2969" s="213" t="s">
        <v>24835</v>
      </c>
      <c r="K2969" s="213" t="s">
        <v>67161</v>
      </c>
      <c r="L2969" s="213" t="s">
        <v>67204</v>
      </c>
      <c r="M2969" s="213" t="s">
        <v>67247</v>
      </c>
      <c r="N2969" s="213" t="s">
        <v>24836</v>
      </c>
      <c r="O2969" s="213" t="s">
        <v>24837</v>
      </c>
      <c r="P2969" s="213" t="s">
        <v>24838</v>
      </c>
      <c r="Q2969" s="213" t="s">
        <v>24839</v>
      </c>
      <c r="R2969" s="213" t="s">
        <v>24840</v>
      </c>
      <c r="S2969" s="213" t="s">
        <v>24841</v>
      </c>
      <c r="T2969" s="213" t="s">
        <v>24842</v>
      </c>
      <c r="U2969" s="213" t="s">
        <v>67290</v>
      </c>
    </row>
    <row r="2970" spans="1:21" x14ac:dyDescent="0.25">
      <c r="A2970" s="213" t="s">
        <v>327</v>
      </c>
      <c r="D2970" s="213" t="s">
        <v>24843</v>
      </c>
      <c r="E2970" s="213" t="s">
        <v>24844</v>
      </c>
      <c r="K2970" s="213" t="s">
        <v>67162</v>
      </c>
      <c r="L2970" s="213" t="s">
        <v>67205</v>
      </c>
      <c r="M2970" s="213" t="s">
        <v>67248</v>
      </c>
      <c r="N2970" s="213" t="s">
        <v>24845</v>
      </c>
      <c r="O2970" s="213" t="s">
        <v>24846</v>
      </c>
      <c r="P2970" s="213" t="s">
        <v>24847</v>
      </c>
      <c r="Q2970" s="213" t="s">
        <v>24848</v>
      </c>
      <c r="R2970" s="213" t="s">
        <v>24849</v>
      </c>
      <c r="S2970" s="213" t="s">
        <v>24850</v>
      </c>
      <c r="T2970" s="213" t="s">
        <v>24851</v>
      </c>
      <c r="U2970" s="213" t="s">
        <v>67291</v>
      </c>
    </row>
    <row r="2971" spans="1:21" x14ac:dyDescent="0.25">
      <c r="A2971" s="213" t="s">
        <v>327</v>
      </c>
      <c r="D2971" s="213" t="s">
        <v>24852</v>
      </c>
      <c r="E2971" s="213" t="s">
        <v>24853</v>
      </c>
      <c r="K2971" s="213" t="s">
        <v>67163</v>
      </c>
      <c r="L2971" s="213" t="s">
        <v>67206</v>
      </c>
      <c r="M2971" s="213" t="s">
        <v>67249</v>
      </c>
      <c r="N2971" s="213" t="s">
        <v>24854</v>
      </c>
      <c r="O2971" s="213" t="s">
        <v>24855</v>
      </c>
      <c r="P2971" s="213" t="s">
        <v>24856</v>
      </c>
      <c r="Q2971" s="213" t="s">
        <v>24857</v>
      </c>
      <c r="R2971" s="213" t="s">
        <v>24858</v>
      </c>
      <c r="S2971" s="213" t="s">
        <v>24859</v>
      </c>
      <c r="T2971" s="213" t="s">
        <v>24860</v>
      </c>
      <c r="U2971" s="213" t="s">
        <v>67292</v>
      </c>
    </row>
    <row r="2972" spans="1:21" x14ac:dyDescent="0.25">
      <c r="A2972" s="213" t="s">
        <v>327</v>
      </c>
      <c r="D2972" s="213" t="s">
        <v>24861</v>
      </c>
      <c r="E2972" s="213" t="s">
        <v>24862</v>
      </c>
      <c r="K2972" s="213" t="s">
        <v>67164</v>
      </c>
      <c r="L2972" s="213" t="s">
        <v>67207</v>
      </c>
      <c r="M2972" s="213" t="s">
        <v>67250</v>
      </c>
      <c r="N2972" s="213" t="s">
        <v>24863</v>
      </c>
      <c r="O2972" s="213" t="s">
        <v>24864</v>
      </c>
      <c r="P2972" s="213" t="s">
        <v>24865</v>
      </c>
      <c r="Q2972" s="213" t="s">
        <v>24866</v>
      </c>
      <c r="R2972" s="213" t="s">
        <v>24867</v>
      </c>
      <c r="S2972" s="213" t="s">
        <v>24868</v>
      </c>
      <c r="T2972" s="213" t="s">
        <v>24869</v>
      </c>
      <c r="U2972" s="213" t="s">
        <v>67293</v>
      </c>
    </row>
    <row r="2973" spans="1:21" x14ac:dyDescent="0.25">
      <c r="A2973" s="213" t="s">
        <v>327</v>
      </c>
      <c r="D2973" s="213" t="s">
        <v>24870</v>
      </c>
      <c r="E2973" s="213" t="s">
        <v>24871</v>
      </c>
      <c r="K2973" s="213" t="s">
        <v>67165</v>
      </c>
      <c r="L2973" s="213" t="s">
        <v>67208</v>
      </c>
      <c r="M2973" s="213" t="s">
        <v>67251</v>
      </c>
      <c r="N2973" s="213" t="s">
        <v>24872</v>
      </c>
      <c r="O2973" s="213" t="s">
        <v>24873</v>
      </c>
      <c r="P2973" s="213" t="s">
        <v>24874</v>
      </c>
      <c r="Q2973" s="213" t="s">
        <v>24875</v>
      </c>
      <c r="R2973" s="213" t="s">
        <v>24876</v>
      </c>
      <c r="S2973" s="213" t="s">
        <v>24877</v>
      </c>
      <c r="T2973" s="213" t="s">
        <v>24878</v>
      </c>
      <c r="U2973" s="213" t="s">
        <v>67294</v>
      </c>
    </row>
    <row r="2974" spans="1:21" x14ac:dyDescent="0.25">
      <c r="A2974" s="213" t="s">
        <v>327</v>
      </c>
      <c r="D2974" s="213" t="s">
        <v>24879</v>
      </c>
      <c r="E2974" s="213" t="s">
        <v>24880</v>
      </c>
      <c r="K2974" s="213" t="s">
        <v>67166</v>
      </c>
      <c r="L2974" s="213" t="s">
        <v>67209</v>
      </c>
      <c r="M2974" s="213" t="s">
        <v>67252</v>
      </c>
      <c r="N2974" s="213" t="s">
        <v>24881</v>
      </c>
      <c r="O2974" s="213" t="s">
        <v>24882</v>
      </c>
      <c r="P2974" s="213" t="s">
        <v>24883</v>
      </c>
      <c r="Q2974" s="213" t="s">
        <v>24884</v>
      </c>
      <c r="R2974" s="213" t="s">
        <v>24885</v>
      </c>
      <c r="S2974" s="213" t="s">
        <v>24886</v>
      </c>
      <c r="T2974" s="213" t="s">
        <v>24887</v>
      </c>
      <c r="U2974" s="213" t="s">
        <v>67295</v>
      </c>
    </row>
    <row r="2975" spans="1:21" x14ac:dyDescent="0.25">
      <c r="A2975" s="213" t="s">
        <v>327</v>
      </c>
      <c r="D2975" s="213" t="s">
        <v>24888</v>
      </c>
      <c r="E2975" s="213" t="s">
        <v>24889</v>
      </c>
      <c r="K2975" s="213" t="s">
        <v>67167</v>
      </c>
      <c r="L2975" s="213" t="s">
        <v>67210</v>
      </c>
      <c r="M2975" s="213" t="s">
        <v>67253</v>
      </c>
      <c r="N2975" s="213" t="s">
        <v>24890</v>
      </c>
      <c r="O2975" s="213" t="s">
        <v>24891</v>
      </c>
      <c r="P2975" s="213" t="s">
        <v>24892</v>
      </c>
      <c r="Q2975" s="213" t="s">
        <v>24893</v>
      </c>
      <c r="R2975" s="213" t="s">
        <v>24894</v>
      </c>
      <c r="S2975" s="213" t="s">
        <v>24895</v>
      </c>
      <c r="T2975" s="213" t="s">
        <v>24896</v>
      </c>
      <c r="U2975" s="213" t="s">
        <v>67296</v>
      </c>
    </row>
    <row r="2976" spans="1:21" x14ac:dyDescent="0.25">
      <c r="A2976" s="213" t="s">
        <v>327</v>
      </c>
      <c r="D2976" s="213" t="s">
        <v>24897</v>
      </c>
      <c r="E2976" s="213" t="s">
        <v>24898</v>
      </c>
      <c r="K2976" s="213" t="s">
        <v>67168</v>
      </c>
      <c r="L2976" s="213" t="s">
        <v>67211</v>
      </c>
      <c r="M2976" s="213" t="s">
        <v>67254</v>
      </c>
      <c r="N2976" s="213" t="s">
        <v>24899</v>
      </c>
      <c r="O2976" s="213" t="s">
        <v>24900</v>
      </c>
      <c r="P2976" s="213" t="s">
        <v>24901</v>
      </c>
      <c r="Q2976" s="213" t="s">
        <v>24902</v>
      </c>
      <c r="R2976" s="213" t="s">
        <v>24903</v>
      </c>
      <c r="S2976" s="213" t="s">
        <v>24904</v>
      </c>
      <c r="T2976" s="213" t="s">
        <v>24905</v>
      </c>
      <c r="U2976" s="213" t="s">
        <v>67297</v>
      </c>
    </row>
    <row r="2977" spans="1:21" x14ac:dyDescent="0.25">
      <c r="A2977" s="213" t="s">
        <v>327</v>
      </c>
    </row>
    <row r="2978" spans="1:21" x14ac:dyDescent="0.25">
      <c r="A2978" s="213" t="s">
        <v>327</v>
      </c>
    </row>
    <row r="2979" spans="1:21" x14ac:dyDescent="0.25">
      <c r="A2979" s="213" t="s">
        <v>327</v>
      </c>
      <c r="C2979" s="213" t="s">
        <v>24906</v>
      </c>
      <c r="E2979" s="213" t="s">
        <v>24907</v>
      </c>
      <c r="H2979" s="213" t="s">
        <v>24908</v>
      </c>
      <c r="I2979" s="213" t="s">
        <v>24909</v>
      </c>
      <c r="J2979" s="213" t="s">
        <v>24910</v>
      </c>
      <c r="L2979" s="213" t="s">
        <v>24911</v>
      </c>
      <c r="O2979" s="213" t="s">
        <v>24912</v>
      </c>
      <c r="P2979" s="213" t="s">
        <v>24913</v>
      </c>
      <c r="Q2979" s="213" t="s">
        <v>24914</v>
      </c>
      <c r="R2979" s="213" t="s">
        <v>24915</v>
      </c>
      <c r="S2979" s="213" t="s">
        <v>24916</v>
      </c>
      <c r="T2979" s="213" t="s">
        <v>24917</v>
      </c>
    </row>
    <row r="2980" spans="1:21" x14ac:dyDescent="0.25">
      <c r="A2980" s="213" t="s">
        <v>327</v>
      </c>
      <c r="C2980" s="213" t="s">
        <v>24918</v>
      </c>
      <c r="E2980" s="213" t="s">
        <v>24919</v>
      </c>
      <c r="I2980" s="213" t="s">
        <v>24920</v>
      </c>
    </row>
    <row r="2981" spans="1:21" x14ac:dyDescent="0.25">
      <c r="A2981" s="213" t="s">
        <v>327</v>
      </c>
      <c r="C2981" s="213" t="s">
        <v>24921</v>
      </c>
      <c r="E2981" s="213" t="s">
        <v>24922</v>
      </c>
      <c r="I2981" s="213" t="s">
        <v>24923</v>
      </c>
    </row>
    <row r="2982" spans="1:21" x14ac:dyDescent="0.25">
      <c r="A2982" s="213" t="s">
        <v>328</v>
      </c>
    </row>
    <row r="2983" spans="1:21" x14ac:dyDescent="0.25">
      <c r="A2983" s="213" t="s">
        <v>327</v>
      </c>
      <c r="D2983" s="213" t="s">
        <v>24924</v>
      </c>
      <c r="E2983" s="213" t="s">
        <v>24925</v>
      </c>
      <c r="K2983" s="213" t="s">
        <v>67058</v>
      </c>
      <c r="L2983" s="213" t="s">
        <v>67075</v>
      </c>
      <c r="M2983" s="213" t="s">
        <v>67092</v>
      </c>
      <c r="N2983" s="213" t="s">
        <v>24926</v>
      </c>
      <c r="O2983" s="213" t="s">
        <v>24927</v>
      </c>
      <c r="P2983" s="213" t="s">
        <v>24928</v>
      </c>
      <c r="Q2983" s="213" t="s">
        <v>24929</v>
      </c>
      <c r="R2983" s="213" t="s">
        <v>24930</v>
      </c>
      <c r="S2983" s="213" t="s">
        <v>24931</v>
      </c>
      <c r="T2983" s="213" t="s">
        <v>24932</v>
      </c>
      <c r="U2983" s="213" t="s">
        <v>67109</v>
      </c>
    </row>
    <row r="2984" spans="1:21" x14ac:dyDescent="0.25">
      <c r="A2984" s="213" t="s">
        <v>327</v>
      </c>
      <c r="D2984" s="213" t="s">
        <v>24933</v>
      </c>
      <c r="E2984" s="213" t="s">
        <v>24934</v>
      </c>
      <c r="K2984" s="213" t="s">
        <v>67059</v>
      </c>
      <c r="L2984" s="213" t="s">
        <v>67076</v>
      </c>
      <c r="M2984" s="213" t="s">
        <v>67093</v>
      </c>
      <c r="N2984" s="213" t="s">
        <v>24935</v>
      </c>
      <c r="O2984" s="213" t="s">
        <v>24936</v>
      </c>
      <c r="P2984" s="213" t="s">
        <v>24937</v>
      </c>
      <c r="Q2984" s="213" t="s">
        <v>24938</v>
      </c>
      <c r="R2984" s="213" t="s">
        <v>24939</v>
      </c>
      <c r="S2984" s="213" t="s">
        <v>24940</v>
      </c>
      <c r="T2984" s="213" t="s">
        <v>24941</v>
      </c>
      <c r="U2984" s="213" t="s">
        <v>67110</v>
      </c>
    </row>
    <row r="2985" spans="1:21" x14ac:dyDescent="0.25">
      <c r="A2985" s="213" t="s">
        <v>327</v>
      </c>
      <c r="D2985" s="213" t="s">
        <v>24942</v>
      </c>
      <c r="E2985" s="213" t="s">
        <v>24943</v>
      </c>
      <c r="K2985" s="213" t="s">
        <v>67060</v>
      </c>
      <c r="L2985" s="213" t="s">
        <v>67077</v>
      </c>
      <c r="M2985" s="213" t="s">
        <v>67094</v>
      </c>
      <c r="N2985" s="213" t="s">
        <v>24944</v>
      </c>
      <c r="O2985" s="213" t="s">
        <v>24945</v>
      </c>
      <c r="P2985" s="213" t="s">
        <v>24946</v>
      </c>
      <c r="Q2985" s="213" t="s">
        <v>24947</v>
      </c>
      <c r="R2985" s="213" t="s">
        <v>24948</v>
      </c>
      <c r="S2985" s="213" t="s">
        <v>24949</v>
      </c>
      <c r="T2985" s="213" t="s">
        <v>24950</v>
      </c>
      <c r="U2985" s="213" t="s">
        <v>67111</v>
      </c>
    </row>
    <row r="2986" spans="1:21" x14ac:dyDescent="0.25">
      <c r="A2986" s="213" t="s">
        <v>327</v>
      </c>
      <c r="D2986" s="213" t="s">
        <v>24951</v>
      </c>
      <c r="E2986" s="213" t="s">
        <v>24952</v>
      </c>
      <c r="K2986" s="213" t="s">
        <v>67061</v>
      </c>
      <c r="L2986" s="213" t="s">
        <v>67078</v>
      </c>
      <c r="M2986" s="213" t="s">
        <v>67095</v>
      </c>
      <c r="N2986" s="213" t="s">
        <v>24953</v>
      </c>
      <c r="O2986" s="213" t="s">
        <v>24954</v>
      </c>
      <c r="P2986" s="213" t="s">
        <v>24955</v>
      </c>
      <c r="Q2986" s="213" t="s">
        <v>24956</v>
      </c>
      <c r="R2986" s="213" t="s">
        <v>24957</v>
      </c>
      <c r="S2986" s="213" t="s">
        <v>24958</v>
      </c>
      <c r="T2986" s="213" t="s">
        <v>24959</v>
      </c>
      <c r="U2986" s="213" t="s">
        <v>67112</v>
      </c>
    </row>
    <row r="2987" spans="1:21" x14ac:dyDescent="0.25">
      <c r="A2987" s="213" t="s">
        <v>327</v>
      </c>
      <c r="D2987" s="213" t="s">
        <v>24960</v>
      </c>
      <c r="E2987" s="213" t="s">
        <v>24961</v>
      </c>
      <c r="K2987" s="213" t="s">
        <v>67062</v>
      </c>
      <c r="L2987" s="213" t="s">
        <v>67079</v>
      </c>
      <c r="M2987" s="213" t="s">
        <v>67096</v>
      </c>
      <c r="N2987" s="213" t="s">
        <v>24962</v>
      </c>
      <c r="O2987" s="213" t="s">
        <v>24963</v>
      </c>
      <c r="P2987" s="213" t="s">
        <v>24964</v>
      </c>
      <c r="Q2987" s="213" t="s">
        <v>24965</v>
      </c>
      <c r="R2987" s="213" t="s">
        <v>24966</v>
      </c>
      <c r="S2987" s="213" t="s">
        <v>24967</v>
      </c>
      <c r="T2987" s="213" t="s">
        <v>24968</v>
      </c>
      <c r="U2987" s="213" t="s">
        <v>67113</v>
      </c>
    </row>
    <row r="2988" spans="1:21" x14ac:dyDescent="0.25">
      <c r="A2988" s="213" t="s">
        <v>327</v>
      </c>
      <c r="D2988" s="213" t="s">
        <v>24969</v>
      </c>
      <c r="E2988" s="213" t="s">
        <v>24970</v>
      </c>
      <c r="K2988" s="213" t="s">
        <v>67063</v>
      </c>
      <c r="L2988" s="213" t="s">
        <v>67080</v>
      </c>
      <c r="M2988" s="213" t="s">
        <v>67097</v>
      </c>
      <c r="N2988" s="213" t="s">
        <v>24971</v>
      </c>
      <c r="O2988" s="213" t="s">
        <v>24972</v>
      </c>
      <c r="P2988" s="213" t="s">
        <v>24973</v>
      </c>
      <c r="Q2988" s="213" t="s">
        <v>24974</v>
      </c>
      <c r="R2988" s="213" t="s">
        <v>24975</v>
      </c>
      <c r="S2988" s="213" t="s">
        <v>24976</v>
      </c>
      <c r="T2988" s="213" t="s">
        <v>24977</v>
      </c>
      <c r="U2988" s="213" t="s">
        <v>67114</v>
      </c>
    </row>
    <row r="2989" spans="1:21" x14ac:dyDescent="0.25">
      <c r="A2989" s="213" t="s">
        <v>327</v>
      </c>
      <c r="D2989" s="213" t="s">
        <v>24978</v>
      </c>
      <c r="E2989" s="213" t="s">
        <v>24979</v>
      </c>
      <c r="K2989" s="213" t="s">
        <v>67064</v>
      </c>
      <c r="L2989" s="213" t="s">
        <v>67081</v>
      </c>
      <c r="M2989" s="213" t="s">
        <v>67098</v>
      </c>
      <c r="N2989" s="213" t="s">
        <v>24980</v>
      </c>
      <c r="O2989" s="213" t="s">
        <v>24981</v>
      </c>
      <c r="P2989" s="213" t="s">
        <v>24982</v>
      </c>
      <c r="Q2989" s="213" t="s">
        <v>24983</v>
      </c>
      <c r="R2989" s="213" t="s">
        <v>24984</v>
      </c>
      <c r="S2989" s="213" t="s">
        <v>24985</v>
      </c>
      <c r="T2989" s="213" t="s">
        <v>24986</v>
      </c>
      <c r="U2989" s="213" t="s">
        <v>67115</v>
      </c>
    </row>
    <row r="2990" spans="1:21" x14ac:dyDescent="0.25">
      <c r="A2990" s="213" t="s">
        <v>327</v>
      </c>
      <c r="D2990" s="213" t="s">
        <v>24987</v>
      </c>
      <c r="E2990" s="213" t="s">
        <v>24988</v>
      </c>
      <c r="K2990" s="213" t="s">
        <v>67065</v>
      </c>
      <c r="L2990" s="213" t="s">
        <v>67082</v>
      </c>
      <c r="M2990" s="213" t="s">
        <v>67099</v>
      </c>
      <c r="N2990" s="213" t="s">
        <v>24989</v>
      </c>
      <c r="O2990" s="213" t="s">
        <v>24990</v>
      </c>
      <c r="P2990" s="213" t="s">
        <v>24991</v>
      </c>
      <c r="Q2990" s="213" t="s">
        <v>24992</v>
      </c>
      <c r="R2990" s="213" t="s">
        <v>24993</v>
      </c>
      <c r="S2990" s="213" t="s">
        <v>24994</v>
      </c>
      <c r="T2990" s="213" t="s">
        <v>24995</v>
      </c>
      <c r="U2990" s="213" t="s">
        <v>67116</v>
      </c>
    </row>
    <row r="2991" spans="1:21" x14ac:dyDescent="0.25">
      <c r="A2991" s="213" t="s">
        <v>327</v>
      </c>
      <c r="D2991" s="213" t="s">
        <v>24996</v>
      </c>
      <c r="E2991" s="213" t="s">
        <v>24997</v>
      </c>
      <c r="K2991" s="213" t="s">
        <v>67066</v>
      </c>
      <c r="L2991" s="213" t="s">
        <v>67083</v>
      </c>
      <c r="M2991" s="213" t="s">
        <v>67100</v>
      </c>
      <c r="N2991" s="213" t="s">
        <v>24998</v>
      </c>
      <c r="O2991" s="213" t="s">
        <v>24999</v>
      </c>
      <c r="P2991" s="213" t="s">
        <v>25000</v>
      </c>
      <c r="Q2991" s="213" t="s">
        <v>25001</v>
      </c>
      <c r="R2991" s="213" t="s">
        <v>25002</v>
      </c>
      <c r="S2991" s="213" t="s">
        <v>25003</v>
      </c>
      <c r="T2991" s="213" t="s">
        <v>25004</v>
      </c>
      <c r="U2991" s="213" t="s">
        <v>67117</v>
      </c>
    </row>
    <row r="2992" spans="1:21" x14ac:dyDescent="0.25">
      <c r="A2992" s="213" t="s">
        <v>327</v>
      </c>
      <c r="D2992" s="213" t="s">
        <v>25005</v>
      </c>
      <c r="E2992" s="213" t="s">
        <v>25006</v>
      </c>
      <c r="K2992" s="213" t="s">
        <v>67067</v>
      </c>
      <c r="L2992" s="213" t="s">
        <v>67084</v>
      </c>
      <c r="M2992" s="213" t="s">
        <v>67101</v>
      </c>
      <c r="N2992" s="213" t="s">
        <v>25007</v>
      </c>
      <c r="O2992" s="213" t="s">
        <v>25008</v>
      </c>
      <c r="P2992" s="213" t="s">
        <v>25009</v>
      </c>
      <c r="Q2992" s="213" t="s">
        <v>25010</v>
      </c>
      <c r="R2992" s="213" t="s">
        <v>25011</v>
      </c>
      <c r="S2992" s="213" t="s">
        <v>25012</v>
      </c>
      <c r="T2992" s="213" t="s">
        <v>25013</v>
      </c>
      <c r="U2992" s="213" t="s">
        <v>67118</v>
      </c>
    </row>
    <row r="2993" spans="1:21" x14ac:dyDescent="0.25">
      <c r="A2993" s="213" t="s">
        <v>327</v>
      </c>
      <c r="D2993" s="213" t="s">
        <v>25014</v>
      </c>
      <c r="E2993" s="213" t="s">
        <v>25015</v>
      </c>
      <c r="K2993" s="213" t="s">
        <v>67068</v>
      </c>
      <c r="L2993" s="213" t="s">
        <v>67085</v>
      </c>
      <c r="M2993" s="213" t="s">
        <v>67102</v>
      </c>
      <c r="N2993" s="213" t="s">
        <v>25016</v>
      </c>
      <c r="O2993" s="213" t="s">
        <v>25017</v>
      </c>
      <c r="P2993" s="213" t="s">
        <v>25018</v>
      </c>
      <c r="Q2993" s="213" t="s">
        <v>25019</v>
      </c>
      <c r="R2993" s="213" t="s">
        <v>25020</v>
      </c>
      <c r="S2993" s="213" t="s">
        <v>25021</v>
      </c>
      <c r="T2993" s="213" t="s">
        <v>25022</v>
      </c>
      <c r="U2993" s="213" t="s">
        <v>67119</v>
      </c>
    </row>
    <row r="2994" spans="1:21" x14ac:dyDescent="0.25">
      <c r="A2994" s="213" t="s">
        <v>327</v>
      </c>
      <c r="D2994" s="213" t="s">
        <v>25023</v>
      </c>
      <c r="E2994" s="213" t="s">
        <v>25024</v>
      </c>
      <c r="K2994" s="213" t="s">
        <v>67069</v>
      </c>
      <c r="L2994" s="213" t="s">
        <v>67086</v>
      </c>
      <c r="M2994" s="213" t="s">
        <v>67103</v>
      </c>
      <c r="N2994" s="213" t="s">
        <v>25025</v>
      </c>
      <c r="O2994" s="213" t="s">
        <v>25026</v>
      </c>
      <c r="P2994" s="213" t="s">
        <v>25027</v>
      </c>
      <c r="Q2994" s="213" t="s">
        <v>25028</v>
      </c>
      <c r="R2994" s="213" t="s">
        <v>25029</v>
      </c>
      <c r="S2994" s="213" t="s">
        <v>25030</v>
      </c>
      <c r="T2994" s="213" t="s">
        <v>25031</v>
      </c>
      <c r="U2994" s="213" t="s">
        <v>67120</v>
      </c>
    </row>
    <row r="2995" spans="1:21" x14ac:dyDescent="0.25">
      <c r="A2995" s="213" t="s">
        <v>327</v>
      </c>
      <c r="D2995" s="213" t="s">
        <v>25032</v>
      </c>
      <c r="E2995" s="213" t="s">
        <v>25033</v>
      </c>
      <c r="K2995" s="213" t="s">
        <v>67070</v>
      </c>
      <c r="L2995" s="213" t="s">
        <v>67087</v>
      </c>
      <c r="M2995" s="213" t="s">
        <v>67104</v>
      </c>
      <c r="N2995" s="213" t="s">
        <v>25034</v>
      </c>
      <c r="O2995" s="213" t="s">
        <v>25035</v>
      </c>
      <c r="P2995" s="213" t="s">
        <v>25036</v>
      </c>
      <c r="Q2995" s="213" t="s">
        <v>25037</v>
      </c>
      <c r="R2995" s="213" t="s">
        <v>25038</v>
      </c>
      <c r="S2995" s="213" t="s">
        <v>25039</v>
      </c>
      <c r="T2995" s="213" t="s">
        <v>25040</v>
      </c>
      <c r="U2995" s="213" t="s">
        <v>67121</v>
      </c>
    </row>
    <row r="2996" spans="1:21" x14ac:dyDescent="0.25">
      <c r="A2996" s="213" t="s">
        <v>327</v>
      </c>
      <c r="D2996" s="213" t="s">
        <v>25041</v>
      </c>
      <c r="E2996" s="213" t="s">
        <v>25042</v>
      </c>
      <c r="K2996" s="213" t="s">
        <v>67071</v>
      </c>
      <c r="L2996" s="213" t="s">
        <v>67088</v>
      </c>
      <c r="M2996" s="213" t="s">
        <v>67105</v>
      </c>
      <c r="N2996" s="213" t="s">
        <v>25043</v>
      </c>
      <c r="O2996" s="213" t="s">
        <v>25044</v>
      </c>
      <c r="P2996" s="213" t="s">
        <v>25045</v>
      </c>
      <c r="Q2996" s="213" t="s">
        <v>25046</v>
      </c>
      <c r="R2996" s="213" t="s">
        <v>25047</v>
      </c>
      <c r="S2996" s="213" t="s">
        <v>25048</v>
      </c>
      <c r="T2996" s="213" t="s">
        <v>25049</v>
      </c>
      <c r="U2996" s="213" t="s">
        <v>67122</v>
      </c>
    </row>
    <row r="2997" spans="1:21" x14ac:dyDescent="0.25">
      <c r="A2997" s="213" t="s">
        <v>327</v>
      </c>
      <c r="D2997" s="213" t="s">
        <v>25050</v>
      </c>
      <c r="E2997" s="213" t="s">
        <v>25051</v>
      </c>
      <c r="K2997" s="213" t="s">
        <v>67072</v>
      </c>
      <c r="L2997" s="213" t="s">
        <v>67089</v>
      </c>
      <c r="M2997" s="213" t="s">
        <v>67106</v>
      </c>
      <c r="N2997" s="213" t="s">
        <v>25052</v>
      </c>
      <c r="O2997" s="213" t="s">
        <v>25053</v>
      </c>
      <c r="P2997" s="213" t="s">
        <v>25054</v>
      </c>
      <c r="Q2997" s="213" t="s">
        <v>25055</v>
      </c>
      <c r="R2997" s="213" t="s">
        <v>25056</v>
      </c>
      <c r="S2997" s="213" t="s">
        <v>25057</v>
      </c>
      <c r="T2997" s="213" t="s">
        <v>25058</v>
      </c>
      <c r="U2997" s="213" t="s">
        <v>67123</v>
      </c>
    </row>
    <row r="2998" spans="1:21" x14ac:dyDescent="0.25">
      <c r="A2998" s="213" t="s">
        <v>327</v>
      </c>
      <c r="D2998" s="213" t="s">
        <v>25059</v>
      </c>
      <c r="E2998" s="213" t="s">
        <v>25060</v>
      </c>
      <c r="K2998" s="213" t="s">
        <v>67073</v>
      </c>
      <c r="L2998" s="213" t="s">
        <v>67090</v>
      </c>
      <c r="M2998" s="213" t="s">
        <v>67107</v>
      </c>
      <c r="N2998" s="213" t="s">
        <v>25061</v>
      </c>
      <c r="O2998" s="213" t="s">
        <v>25062</v>
      </c>
      <c r="P2998" s="213" t="s">
        <v>25063</v>
      </c>
      <c r="Q2998" s="213" t="s">
        <v>25064</v>
      </c>
      <c r="R2998" s="213" t="s">
        <v>25065</v>
      </c>
      <c r="S2998" s="213" t="s">
        <v>25066</v>
      </c>
      <c r="T2998" s="213" t="s">
        <v>25067</v>
      </c>
      <c r="U2998" s="213" t="s">
        <v>67124</v>
      </c>
    </row>
    <row r="2999" spans="1:21" x14ac:dyDescent="0.25">
      <c r="A2999" s="213" t="s">
        <v>327</v>
      </c>
      <c r="D2999" s="213" t="s">
        <v>25068</v>
      </c>
      <c r="E2999" s="213" t="s">
        <v>25069</v>
      </c>
      <c r="K2999" s="213" t="s">
        <v>67074</v>
      </c>
      <c r="L2999" s="213" t="s">
        <v>67091</v>
      </c>
      <c r="M2999" s="213" t="s">
        <v>67108</v>
      </c>
      <c r="N2999" s="213" t="s">
        <v>25070</v>
      </c>
      <c r="O2999" s="213" t="s">
        <v>25071</v>
      </c>
      <c r="P2999" s="213" t="s">
        <v>25072</v>
      </c>
      <c r="Q2999" s="213" t="s">
        <v>25073</v>
      </c>
      <c r="R2999" s="213" t="s">
        <v>25074</v>
      </c>
      <c r="S2999" s="213" t="s">
        <v>25075</v>
      </c>
      <c r="T2999" s="213" t="s">
        <v>25076</v>
      </c>
      <c r="U2999" s="213" t="s">
        <v>67125</v>
      </c>
    </row>
    <row r="3000" spans="1:21" x14ac:dyDescent="0.25">
      <c r="A3000" s="213" t="s">
        <v>327</v>
      </c>
    </row>
    <row r="3001" spans="1:21" x14ac:dyDescent="0.25">
      <c r="A3001" s="213" t="s">
        <v>327</v>
      </c>
    </row>
    <row r="3002" spans="1:21" x14ac:dyDescent="0.25">
      <c r="A3002" s="213" t="s">
        <v>327</v>
      </c>
      <c r="C3002" s="213" t="s">
        <v>25077</v>
      </c>
      <c r="E3002" s="213" t="s">
        <v>25078</v>
      </c>
      <c r="H3002" s="213" t="s">
        <v>25079</v>
      </c>
      <c r="I3002" s="213" t="s">
        <v>25080</v>
      </c>
      <c r="J3002" s="213" t="s">
        <v>25081</v>
      </c>
      <c r="L3002" s="213" t="s">
        <v>25082</v>
      </c>
      <c r="O3002" s="213" t="s">
        <v>25083</v>
      </c>
      <c r="P3002" s="213" t="s">
        <v>25084</v>
      </c>
      <c r="Q3002" s="213" t="s">
        <v>25085</v>
      </c>
      <c r="R3002" s="213" t="s">
        <v>25086</v>
      </c>
      <c r="S3002" s="213" t="s">
        <v>25087</v>
      </c>
      <c r="T3002" s="213" t="s">
        <v>25088</v>
      </c>
    </row>
    <row r="3003" spans="1:21" x14ac:dyDescent="0.25">
      <c r="A3003" s="213" t="s">
        <v>327</v>
      </c>
      <c r="C3003" s="213" t="s">
        <v>25089</v>
      </c>
      <c r="E3003" s="213" t="s">
        <v>25090</v>
      </c>
      <c r="I3003" s="213" t="s">
        <v>25091</v>
      </c>
    </row>
    <row r="3004" spans="1:21" x14ac:dyDescent="0.25">
      <c r="A3004" s="213" t="s">
        <v>327</v>
      </c>
      <c r="C3004" s="213" t="s">
        <v>25092</v>
      </c>
      <c r="E3004" s="213" t="s">
        <v>25093</v>
      </c>
      <c r="I3004" s="213" t="s">
        <v>25094</v>
      </c>
    </row>
    <row r="3005" spans="1:21" x14ac:dyDescent="0.25">
      <c r="A3005" s="213" t="s">
        <v>328</v>
      </c>
    </row>
    <row r="3006" spans="1:21" x14ac:dyDescent="0.25">
      <c r="A3006" s="213" t="s">
        <v>327</v>
      </c>
      <c r="D3006" s="213" t="s">
        <v>25095</v>
      </c>
      <c r="E3006" s="213" t="s">
        <v>25096</v>
      </c>
      <c r="K3006" s="213" t="s">
        <v>67014</v>
      </c>
      <c r="L3006" s="213" t="s">
        <v>67025</v>
      </c>
      <c r="M3006" s="213" t="s">
        <v>67036</v>
      </c>
      <c r="N3006" s="213" t="s">
        <v>25097</v>
      </c>
      <c r="O3006" s="213" t="s">
        <v>25098</v>
      </c>
      <c r="P3006" s="213" t="s">
        <v>25099</v>
      </c>
      <c r="Q3006" s="213" t="s">
        <v>25100</v>
      </c>
      <c r="R3006" s="213" t="s">
        <v>25101</v>
      </c>
      <c r="S3006" s="213" t="s">
        <v>25102</v>
      </c>
      <c r="T3006" s="213" t="s">
        <v>25103</v>
      </c>
      <c r="U3006" s="213" t="s">
        <v>67047</v>
      </c>
    </row>
    <row r="3007" spans="1:21" x14ac:dyDescent="0.25">
      <c r="A3007" s="213" t="s">
        <v>327</v>
      </c>
      <c r="D3007" s="213" t="s">
        <v>25104</v>
      </c>
      <c r="E3007" s="213" t="s">
        <v>25105</v>
      </c>
      <c r="K3007" s="213" t="s">
        <v>67015</v>
      </c>
      <c r="L3007" s="213" t="s">
        <v>67026</v>
      </c>
      <c r="M3007" s="213" t="s">
        <v>67037</v>
      </c>
      <c r="N3007" s="213" t="s">
        <v>25106</v>
      </c>
      <c r="O3007" s="213" t="s">
        <v>25107</v>
      </c>
      <c r="P3007" s="213" t="s">
        <v>25108</v>
      </c>
      <c r="Q3007" s="213" t="s">
        <v>25109</v>
      </c>
      <c r="R3007" s="213" t="s">
        <v>25110</v>
      </c>
      <c r="S3007" s="213" t="s">
        <v>25111</v>
      </c>
      <c r="T3007" s="213" t="s">
        <v>25112</v>
      </c>
      <c r="U3007" s="213" t="s">
        <v>67048</v>
      </c>
    </row>
    <row r="3008" spans="1:21" x14ac:dyDescent="0.25">
      <c r="A3008" s="213" t="s">
        <v>327</v>
      </c>
      <c r="D3008" s="213" t="s">
        <v>25113</v>
      </c>
      <c r="E3008" s="213" t="s">
        <v>25114</v>
      </c>
      <c r="K3008" s="213" t="s">
        <v>67016</v>
      </c>
      <c r="L3008" s="213" t="s">
        <v>67027</v>
      </c>
      <c r="M3008" s="213" t="s">
        <v>67038</v>
      </c>
      <c r="N3008" s="213" t="s">
        <v>25115</v>
      </c>
      <c r="O3008" s="213" t="s">
        <v>25116</v>
      </c>
      <c r="P3008" s="213" t="s">
        <v>25117</v>
      </c>
      <c r="Q3008" s="213" t="s">
        <v>25118</v>
      </c>
      <c r="R3008" s="213" t="s">
        <v>25119</v>
      </c>
      <c r="S3008" s="213" t="s">
        <v>25120</v>
      </c>
      <c r="T3008" s="213" t="s">
        <v>25121</v>
      </c>
      <c r="U3008" s="213" t="s">
        <v>67049</v>
      </c>
    </row>
    <row r="3009" spans="1:21" x14ac:dyDescent="0.25">
      <c r="A3009" s="213" t="s">
        <v>327</v>
      </c>
      <c r="D3009" s="213" t="s">
        <v>25122</v>
      </c>
      <c r="E3009" s="213" t="s">
        <v>25123</v>
      </c>
      <c r="K3009" s="213" t="s">
        <v>67017</v>
      </c>
      <c r="L3009" s="213" t="s">
        <v>67028</v>
      </c>
      <c r="M3009" s="213" t="s">
        <v>67039</v>
      </c>
      <c r="N3009" s="213" t="s">
        <v>25124</v>
      </c>
      <c r="O3009" s="213" t="s">
        <v>25125</v>
      </c>
      <c r="P3009" s="213" t="s">
        <v>25126</v>
      </c>
      <c r="Q3009" s="213" t="s">
        <v>25127</v>
      </c>
      <c r="R3009" s="213" t="s">
        <v>25128</v>
      </c>
      <c r="S3009" s="213" t="s">
        <v>25129</v>
      </c>
      <c r="T3009" s="213" t="s">
        <v>25130</v>
      </c>
      <c r="U3009" s="213" t="s">
        <v>67050</v>
      </c>
    </row>
    <row r="3010" spans="1:21" x14ac:dyDescent="0.25">
      <c r="A3010" s="213" t="s">
        <v>327</v>
      </c>
      <c r="D3010" s="213" t="s">
        <v>25131</v>
      </c>
      <c r="E3010" s="213" t="s">
        <v>25132</v>
      </c>
      <c r="K3010" s="213" t="s">
        <v>67018</v>
      </c>
      <c r="L3010" s="213" t="s">
        <v>67029</v>
      </c>
      <c r="M3010" s="213" t="s">
        <v>67040</v>
      </c>
      <c r="N3010" s="213" t="s">
        <v>25133</v>
      </c>
      <c r="O3010" s="213" t="s">
        <v>25134</v>
      </c>
      <c r="P3010" s="213" t="s">
        <v>25135</v>
      </c>
      <c r="Q3010" s="213" t="s">
        <v>25136</v>
      </c>
      <c r="R3010" s="213" t="s">
        <v>25137</v>
      </c>
      <c r="S3010" s="213" t="s">
        <v>25138</v>
      </c>
      <c r="T3010" s="213" t="s">
        <v>25139</v>
      </c>
      <c r="U3010" s="213" t="s">
        <v>67051</v>
      </c>
    </row>
    <row r="3011" spans="1:21" x14ac:dyDescent="0.25">
      <c r="A3011" s="213" t="s">
        <v>327</v>
      </c>
      <c r="D3011" s="213" t="s">
        <v>25140</v>
      </c>
      <c r="E3011" s="213" t="s">
        <v>25141</v>
      </c>
      <c r="K3011" s="213" t="s">
        <v>67019</v>
      </c>
      <c r="L3011" s="213" t="s">
        <v>67030</v>
      </c>
      <c r="M3011" s="213" t="s">
        <v>67041</v>
      </c>
      <c r="N3011" s="213" t="s">
        <v>25142</v>
      </c>
      <c r="O3011" s="213" t="s">
        <v>25143</v>
      </c>
      <c r="P3011" s="213" t="s">
        <v>25144</v>
      </c>
      <c r="Q3011" s="213" t="s">
        <v>25145</v>
      </c>
      <c r="R3011" s="213" t="s">
        <v>25146</v>
      </c>
      <c r="S3011" s="213" t="s">
        <v>25147</v>
      </c>
      <c r="T3011" s="213" t="s">
        <v>25148</v>
      </c>
      <c r="U3011" s="213" t="s">
        <v>67052</v>
      </c>
    </row>
    <row r="3012" spans="1:21" x14ac:dyDescent="0.25">
      <c r="A3012" s="213" t="s">
        <v>327</v>
      </c>
      <c r="D3012" s="213" t="s">
        <v>25149</v>
      </c>
      <c r="E3012" s="213" t="s">
        <v>25150</v>
      </c>
      <c r="K3012" s="213" t="s">
        <v>67020</v>
      </c>
      <c r="L3012" s="213" t="s">
        <v>67031</v>
      </c>
      <c r="M3012" s="213" t="s">
        <v>67042</v>
      </c>
      <c r="N3012" s="213" t="s">
        <v>25151</v>
      </c>
      <c r="O3012" s="213" t="s">
        <v>25152</v>
      </c>
      <c r="P3012" s="213" t="s">
        <v>25153</v>
      </c>
      <c r="Q3012" s="213" t="s">
        <v>25154</v>
      </c>
      <c r="R3012" s="213" t="s">
        <v>25155</v>
      </c>
      <c r="S3012" s="213" t="s">
        <v>25156</v>
      </c>
      <c r="T3012" s="213" t="s">
        <v>25157</v>
      </c>
      <c r="U3012" s="213" t="s">
        <v>67053</v>
      </c>
    </row>
    <row r="3013" spans="1:21" x14ac:dyDescent="0.25">
      <c r="A3013" s="213" t="s">
        <v>327</v>
      </c>
      <c r="D3013" s="213" t="s">
        <v>25158</v>
      </c>
      <c r="E3013" s="213" t="s">
        <v>25159</v>
      </c>
      <c r="K3013" s="213" t="s">
        <v>67021</v>
      </c>
      <c r="L3013" s="213" t="s">
        <v>67032</v>
      </c>
      <c r="M3013" s="213" t="s">
        <v>67043</v>
      </c>
      <c r="N3013" s="213" t="s">
        <v>25160</v>
      </c>
      <c r="O3013" s="213" t="s">
        <v>25161</v>
      </c>
      <c r="P3013" s="213" t="s">
        <v>25162</v>
      </c>
      <c r="Q3013" s="213" t="s">
        <v>25163</v>
      </c>
      <c r="R3013" s="213" t="s">
        <v>25164</v>
      </c>
      <c r="S3013" s="213" t="s">
        <v>25165</v>
      </c>
      <c r="T3013" s="213" t="s">
        <v>25166</v>
      </c>
      <c r="U3013" s="213" t="s">
        <v>67054</v>
      </c>
    </row>
    <row r="3014" spans="1:21" x14ac:dyDescent="0.25">
      <c r="A3014" s="213" t="s">
        <v>327</v>
      </c>
      <c r="D3014" s="213" t="s">
        <v>25167</v>
      </c>
      <c r="E3014" s="213" t="s">
        <v>25168</v>
      </c>
      <c r="K3014" s="213" t="s">
        <v>67022</v>
      </c>
      <c r="L3014" s="213" t="s">
        <v>67033</v>
      </c>
      <c r="M3014" s="213" t="s">
        <v>67044</v>
      </c>
      <c r="N3014" s="213" t="s">
        <v>25169</v>
      </c>
      <c r="O3014" s="213" t="s">
        <v>25170</v>
      </c>
      <c r="P3014" s="213" t="s">
        <v>25171</v>
      </c>
      <c r="Q3014" s="213" t="s">
        <v>25172</v>
      </c>
      <c r="R3014" s="213" t="s">
        <v>25173</v>
      </c>
      <c r="S3014" s="213" t="s">
        <v>25174</v>
      </c>
      <c r="T3014" s="213" t="s">
        <v>25175</v>
      </c>
      <c r="U3014" s="213" t="s">
        <v>67055</v>
      </c>
    </row>
    <row r="3015" spans="1:21" x14ac:dyDescent="0.25">
      <c r="A3015" s="213" t="s">
        <v>327</v>
      </c>
      <c r="D3015" s="213" t="s">
        <v>25176</v>
      </c>
      <c r="E3015" s="213" t="s">
        <v>25177</v>
      </c>
      <c r="K3015" s="213" t="s">
        <v>67023</v>
      </c>
      <c r="L3015" s="213" t="s">
        <v>67034</v>
      </c>
      <c r="M3015" s="213" t="s">
        <v>67045</v>
      </c>
      <c r="N3015" s="213" t="s">
        <v>25178</v>
      </c>
      <c r="O3015" s="213" t="s">
        <v>25179</v>
      </c>
      <c r="P3015" s="213" t="s">
        <v>25180</v>
      </c>
      <c r="Q3015" s="213" t="s">
        <v>25181</v>
      </c>
      <c r="R3015" s="213" t="s">
        <v>25182</v>
      </c>
      <c r="S3015" s="213" t="s">
        <v>25183</v>
      </c>
      <c r="T3015" s="213" t="s">
        <v>25184</v>
      </c>
      <c r="U3015" s="213" t="s">
        <v>67056</v>
      </c>
    </row>
    <row r="3016" spans="1:21" x14ac:dyDescent="0.25">
      <c r="A3016" s="213" t="s">
        <v>327</v>
      </c>
      <c r="D3016" s="213" t="s">
        <v>25185</v>
      </c>
      <c r="E3016" s="213" t="s">
        <v>25186</v>
      </c>
      <c r="K3016" s="213" t="s">
        <v>67024</v>
      </c>
      <c r="L3016" s="213" t="s">
        <v>67035</v>
      </c>
      <c r="M3016" s="213" t="s">
        <v>67046</v>
      </c>
      <c r="N3016" s="213" t="s">
        <v>25187</v>
      </c>
      <c r="O3016" s="213" t="s">
        <v>25188</v>
      </c>
      <c r="P3016" s="213" t="s">
        <v>25189</v>
      </c>
      <c r="Q3016" s="213" t="s">
        <v>25190</v>
      </c>
      <c r="R3016" s="213" t="s">
        <v>25191</v>
      </c>
      <c r="S3016" s="213" t="s">
        <v>25192</v>
      </c>
      <c r="T3016" s="213" t="s">
        <v>25193</v>
      </c>
      <c r="U3016" s="213" t="s">
        <v>67057</v>
      </c>
    </row>
    <row r="3017" spans="1:21" x14ac:dyDescent="0.25">
      <c r="A3017" s="213" t="s">
        <v>327</v>
      </c>
    </row>
    <row r="3018" spans="1:21" x14ac:dyDescent="0.25">
      <c r="A3018" s="213" t="s">
        <v>327</v>
      </c>
    </row>
    <row r="3019" spans="1:21" x14ac:dyDescent="0.25">
      <c r="A3019" s="213" t="s">
        <v>327</v>
      </c>
      <c r="C3019" s="213" t="s">
        <v>25194</v>
      </c>
      <c r="E3019" s="213" t="s">
        <v>25195</v>
      </c>
      <c r="H3019" s="213" t="s">
        <v>25196</v>
      </c>
      <c r="I3019" s="213" t="s">
        <v>25197</v>
      </c>
      <c r="J3019" s="213" t="s">
        <v>25198</v>
      </c>
      <c r="L3019" s="213" t="s">
        <v>25199</v>
      </c>
      <c r="O3019" s="213" t="s">
        <v>25200</v>
      </c>
      <c r="P3019" s="213" t="s">
        <v>25201</v>
      </c>
      <c r="Q3019" s="213" t="s">
        <v>25202</v>
      </c>
      <c r="R3019" s="213" t="s">
        <v>25203</v>
      </c>
      <c r="S3019" s="213" t="s">
        <v>25204</v>
      </c>
      <c r="T3019" s="213" t="s">
        <v>25205</v>
      </c>
    </row>
    <row r="3020" spans="1:21" x14ac:dyDescent="0.25">
      <c r="A3020" s="213" t="s">
        <v>327</v>
      </c>
      <c r="C3020" s="213" t="s">
        <v>25206</v>
      </c>
      <c r="E3020" s="213" t="s">
        <v>25207</v>
      </c>
      <c r="I3020" s="213" t="s">
        <v>25208</v>
      </c>
    </row>
    <row r="3021" spans="1:21" x14ac:dyDescent="0.25">
      <c r="A3021" s="213" t="s">
        <v>327</v>
      </c>
      <c r="C3021" s="213" t="s">
        <v>25209</v>
      </c>
      <c r="E3021" s="213" t="s">
        <v>25210</v>
      </c>
      <c r="I3021" s="213" t="s">
        <v>25211</v>
      </c>
    </row>
    <row r="3022" spans="1:21" x14ac:dyDescent="0.25">
      <c r="A3022" s="213" t="s">
        <v>328</v>
      </c>
    </row>
    <row r="3023" spans="1:21" x14ac:dyDescent="0.25">
      <c r="A3023" s="213" t="s">
        <v>327</v>
      </c>
      <c r="D3023" s="213" t="s">
        <v>25212</v>
      </c>
      <c r="E3023" s="213" t="s">
        <v>25213</v>
      </c>
      <c r="K3023" s="213" t="s">
        <v>66790</v>
      </c>
      <c r="L3023" s="213" t="s">
        <v>66846</v>
      </c>
      <c r="M3023" s="213" t="s">
        <v>66902</v>
      </c>
      <c r="N3023" s="213" t="s">
        <v>25214</v>
      </c>
      <c r="O3023" s="213" t="s">
        <v>25215</v>
      </c>
      <c r="P3023" s="213" t="s">
        <v>25216</v>
      </c>
      <c r="Q3023" s="213" t="s">
        <v>25217</v>
      </c>
      <c r="R3023" s="213" t="s">
        <v>25218</v>
      </c>
      <c r="S3023" s="213" t="s">
        <v>25219</v>
      </c>
      <c r="T3023" s="213" t="s">
        <v>25220</v>
      </c>
      <c r="U3023" s="213" t="s">
        <v>66958</v>
      </c>
    </row>
    <row r="3024" spans="1:21" x14ac:dyDescent="0.25">
      <c r="A3024" s="213" t="s">
        <v>327</v>
      </c>
      <c r="D3024" s="213" t="s">
        <v>25221</v>
      </c>
      <c r="E3024" s="213" t="s">
        <v>25222</v>
      </c>
      <c r="K3024" s="213" t="s">
        <v>66791</v>
      </c>
      <c r="L3024" s="213" t="s">
        <v>66847</v>
      </c>
      <c r="M3024" s="213" t="s">
        <v>66903</v>
      </c>
      <c r="N3024" s="213" t="s">
        <v>25223</v>
      </c>
      <c r="O3024" s="213" t="s">
        <v>25224</v>
      </c>
      <c r="P3024" s="213" t="s">
        <v>25225</v>
      </c>
      <c r="Q3024" s="213" t="s">
        <v>25226</v>
      </c>
      <c r="R3024" s="213" t="s">
        <v>25227</v>
      </c>
      <c r="S3024" s="213" t="s">
        <v>25228</v>
      </c>
      <c r="T3024" s="213" t="s">
        <v>25229</v>
      </c>
      <c r="U3024" s="213" t="s">
        <v>66959</v>
      </c>
    </row>
    <row r="3025" spans="1:21" x14ac:dyDescent="0.25">
      <c r="A3025" s="213" t="s">
        <v>327</v>
      </c>
      <c r="D3025" s="213" t="s">
        <v>25230</v>
      </c>
      <c r="E3025" s="213" t="s">
        <v>25231</v>
      </c>
      <c r="K3025" s="213" t="s">
        <v>66792</v>
      </c>
      <c r="L3025" s="213" t="s">
        <v>66848</v>
      </c>
      <c r="M3025" s="213" t="s">
        <v>66904</v>
      </c>
      <c r="N3025" s="213" t="s">
        <v>25232</v>
      </c>
      <c r="O3025" s="213" t="s">
        <v>25233</v>
      </c>
      <c r="P3025" s="213" t="s">
        <v>25234</v>
      </c>
      <c r="Q3025" s="213" t="s">
        <v>25235</v>
      </c>
      <c r="R3025" s="213" t="s">
        <v>25236</v>
      </c>
      <c r="S3025" s="213" t="s">
        <v>25237</v>
      </c>
      <c r="T3025" s="213" t="s">
        <v>25238</v>
      </c>
      <c r="U3025" s="213" t="s">
        <v>66960</v>
      </c>
    </row>
    <row r="3026" spans="1:21" x14ac:dyDescent="0.25">
      <c r="A3026" s="213" t="s">
        <v>327</v>
      </c>
      <c r="D3026" s="213" t="s">
        <v>25239</v>
      </c>
      <c r="E3026" s="213" t="s">
        <v>25240</v>
      </c>
      <c r="K3026" s="213" t="s">
        <v>66793</v>
      </c>
      <c r="L3026" s="213" t="s">
        <v>66849</v>
      </c>
      <c r="M3026" s="213" t="s">
        <v>66905</v>
      </c>
      <c r="N3026" s="213" t="s">
        <v>25241</v>
      </c>
      <c r="O3026" s="213" t="s">
        <v>25242</v>
      </c>
      <c r="P3026" s="213" t="s">
        <v>25243</v>
      </c>
      <c r="Q3026" s="213" t="s">
        <v>25244</v>
      </c>
      <c r="R3026" s="213" t="s">
        <v>25245</v>
      </c>
      <c r="S3026" s="213" t="s">
        <v>25246</v>
      </c>
      <c r="T3026" s="213" t="s">
        <v>25247</v>
      </c>
      <c r="U3026" s="213" t="s">
        <v>66961</v>
      </c>
    </row>
    <row r="3027" spans="1:21" x14ac:dyDescent="0.25">
      <c r="A3027" s="213" t="s">
        <v>327</v>
      </c>
      <c r="D3027" s="213" t="s">
        <v>25248</v>
      </c>
      <c r="E3027" s="213" t="s">
        <v>25249</v>
      </c>
      <c r="K3027" s="213" t="s">
        <v>66794</v>
      </c>
      <c r="L3027" s="213" t="s">
        <v>66850</v>
      </c>
      <c r="M3027" s="213" t="s">
        <v>66906</v>
      </c>
      <c r="N3027" s="213" t="s">
        <v>25250</v>
      </c>
      <c r="O3027" s="213" t="s">
        <v>25251</v>
      </c>
      <c r="P3027" s="213" t="s">
        <v>25252</v>
      </c>
      <c r="Q3027" s="213" t="s">
        <v>25253</v>
      </c>
      <c r="R3027" s="213" t="s">
        <v>25254</v>
      </c>
      <c r="S3027" s="213" t="s">
        <v>25255</v>
      </c>
      <c r="T3027" s="213" t="s">
        <v>25256</v>
      </c>
      <c r="U3027" s="213" t="s">
        <v>66962</v>
      </c>
    </row>
    <row r="3028" spans="1:21" x14ac:dyDescent="0.25">
      <c r="A3028" s="213" t="s">
        <v>327</v>
      </c>
      <c r="D3028" s="213" t="s">
        <v>25257</v>
      </c>
      <c r="E3028" s="213" t="s">
        <v>25258</v>
      </c>
      <c r="K3028" s="213" t="s">
        <v>66795</v>
      </c>
      <c r="L3028" s="213" t="s">
        <v>66851</v>
      </c>
      <c r="M3028" s="213" t="s">
        <v>66907</v>
      </c>
      <c r="N3028" s="213" t="s">
        <v>25259</v>
      </c>
      <c r="O3028" s="213" t="s">
        <v>25260</v>
      </c>
      <c r="P3028" s="213" t="s">
        <v>25261</v>
      </c>
      <c r="Q3028" s="213" t="s">
        <v>25262</v>
      </c>
      <c r="R3028" s="213" t="s">
        <v>25263</v>
      </c>
      <c r="S3028" s="213" t="s">
        <v>25264</v>
      </c>
      <c r="T3028" s="213" t="s">
        <v>25265</v>
      </c>
      <c r="U3028" s="213" t="s">
        <v>66963</v>
      </c>
    </row>
    <row r="3029" spans="1:21" x14ac:dyDescent="0.25">
      <c r="A3029" s="213" t="s">
        <v>327</v>
      </c>
      <c r="D3029" s="213" t="s">
        <v>25266</v>
      </c>
      <c r="E3029" s="213" t="s">
        <v>25267</v>
      </c>
      <c r="K3029" s="213" t="s">
        <v>66796</v>
      </c>
      <c r="L3029" s="213" t="s">
        <v>66852</v>
      </c>
      <c r="M3029" s="213" t="s">
        <v>66908</v>
      </c>
      <c r="N3029" s="213" t="s">
        <v>25268</v>
      </c>
      <c r="O3029" s="213" t="s">
        <v>25269</v>
      </c>
      <c r="P3029" s="213" t="s">
        <v>25270</v>
      </c>
      <c r="Q3029" s="213" t="s">
        <v>25271</v>
      </c>
      <c r="R3029" s="213" t="s">
        <v>25272</v>
      </c>
      <c r="S3029" s="213" t="s">
        <v>25273</v>
      </c>
      <c r="T3029" s="213" t="s">
        <v>25274</v>
      </c>
      <c r="U3029" s="213" t="s">
        <v>66964</v>
      </c>
    </row>
    <row r="3030" spans="1:21" x14ac:dyDescent="0.25">
      <c r="A3030" s="213" t="s">
        <v>327</v>
      </c>
      <c r="D3030" s="213" t="s">
        <v>25275</v>
      </c>
      <c r="E3030" s="213" t="s">
        <v>25276</v>
      </c>
      <c r="K3030" s="213" t="s">
        <v>66797</v>
      </c>
      <c r="L3030" s="213" t="s">
        <v>66853</v>
      </c>
      <c r="M3030" s="213" t="s">
        <v>66909</v>
      </c>
      <c r="N3030" s="213" t="s">
        <v>25277</v>
      </c>
      <c r="O3030" s="213" t="s">
        <v>25278</v>
      </c>
      <c r="P3030" s="213" t="s">
        <v>25279</v>
      </c>
      <c r="Q3030" s="213" t="s">
        <v>25280</v>
      </c>
      <c r="R3030" s="213" t="s">
        <v>25281</v>
      </c>
      <c r="S3030" s="213" t="s">
        <v>25282</v>
      </c>
      <c r="T3030" s="213" t="s">
        <v>25283</v>
      </c>
      <c r="U3030" s="213" t="s">
        <v>66965</v>
      </c>
    </row>
    <row r="3031" spans="1:21" x14ac:dyDescent="0.25">
      <c r="A3031" s="213" t="s">
        <v>327</v>
      </c>
      <c r="D3031" s="213" t="s">
        <v>25284</v>
      </c>
      <c r="E3031" s="213" t="s">
        <v>25285</v>
      </c>
      <c r="K3031" s="213" t="s">
        <v>66798</v>
      </c>
      <c r="L3031" s="213" t="s">
        <v>66854</v>
      </c>
      <c r="M3031" s="213" t="s">
        <v>66910</v>
      </c>
      <c r="N3031" s="213" t="s">
        <v>25286</v>
      </c>
      <c r="O3031" s="213" t="s">
        <v>25287</v>
      </c>
      <c r="P3031" s="213" t="s">
        <v>25288</v>
      </c>
      <c r="Q3031" s="213" t="s">
        <v>25289</v>
      </c>
      <c r="R3031" s="213" t="s">
        <v>25290</v>
      </c>
      <c r="S3031" s="213" t="s">
        <v>25291</v>
      </c>
      <c r="T3031" s="213" t="s">
        <v>25292</v>
      </c>
      <c r="U3031" s="213" t="s">
        <v>66966</v>
      </c>
    </row>
    <row r="3032" spans="1:21" x14ac:dyDescent="0.25">
      <c r="A3032" s="213" t="s">
        <v>327</v>
      </c>
      <c r="D3032" s="213" t="s">
        <v>25293</v>
      </c>
      <c r="E3032" s="213" t="s">
        <v>25294</v>
      </c>
      <c r="K3032" s="213" t="s">
        <v>66799</v>
      </c>
      <c r="L3032" s="213" t="s">
        <v>66855</v>
      </c>
      <c r="M3032" s="213" t="s">
        <v>66911</v>
      </c>
      <c r="N3032" s="213" t="s">
        <v>25295</v>
      </c>
      <c r="O3032" s="213" t="s">
        <v>25296</v>
      </c>
      <c r="P3032" s="213" t="s">
        <v>25297</v>
      </c>
      <c r="Q3032" s="213" t="s">
        <v>25298</v>
      </c>
      <c r="R3032" s="213" t="s">
        <v>25299</v>
      </c>
      <c r="S3032" s="213" t="s">
        <v>25300</v>
      </c>
      <c r="T3032" s="213" t="s">
        <v>25301</v>
      </c>
      <c r="U3032" s="213" t="s">
        <v>66967</v>
      </c>
    </row>
    <row r="3033" spans="1:21" x14ac:dyDescent="0.25">
      <c r="A3033" s="213" t="s">
        <v>327</v>
      </c>
      <c r="D3033" s="213" t="s">
        <v>25302</v>
      </c>
      <c r="E3033" s="213" t="s">
        <v>25303</v>
      </c>
      <c r="K3033" s="213" t="s">
        <v>66800</v>
      </c>
      <c r="L3033" s="213" t="s">
        <v>66856</v>
      </c>
      <c r="M3033" s="213" t="s">
        <v>66912</v>
      </c>
      <c r="N3033" s="213" t="s">
        <v>25304</v>
      </c>
      <c r="O3033" s="213" t="s">
        <v>25305</v>
      </c>
      <c r="P3033" s="213" t="s">
        <v>25306</v>
      </c>
      <c r="Q3033" s="213" t="s">
        <v>25307</v>
      </c>
      <c r="R3033" s="213" t="s">
        <v>25308</v>
      </c>
      <c r="S3033" s="213" t="s">
        <v>25309</v>
      </c>
      <c r="T3033" s="213" t="s">
        <v>25310</v>
      </c>
      <c r="U3033" s="213" t="s">
        <v>66968</v>
      </c>
    </row>
    <row r="3034" spans="1:21" x14ac:dyDescent="0.25">
      <c r="A3034" s="213" t="s">
        <v>327</v>
      </c>
      <c r="D3034" s="213" t="s">
        <v>25311</v>
      </c>
      <c r="E3034" s="213" t="s">
        <v>25312</v>
      </c>
      <c r="K3034" s="213" t="s">
        <v>66801</v>
      </c>
      <c r="L3034" s="213" t="s">
        <v>66857</v>
      </c>
      <c r="M3034" s="213" t="s">
        <v>66913</v>
      </c>
      <c r="N3034" s="213" t="s">
        <v>25313</v>
      </c>
      <c r="O3034" s="213" t="s">
        <v>25314</v>
      </c>
      <c r="P3034" s="213" t="s">
        <v>25315</v>
      </c>
      <c r="Q3034" s="213" t="s">
        <v>25316</v>
      </c>
      <c r="R3034" s="213" t="s">
        <v>25317</v>
      </c>
      <c r="S3034" s="213" t="s">
        <v>25318</v>
      </c>
      <c r="T3034" s="213" t="s">
        <v>25319</v>
      </c>
      <c r="U3034" s="213" t="s">
        <v>66969</v>
      </c>
    </row>
    <row r="3035" spans="1:21" x14ac:dyDescent="0.25">
      <c r="A3035" s="213" t="s">
        <v>327</v>
      </c>
      <c r="D3035" s="213" t="s">
        <v>25320</v>
      </c>
      <c r="E3035" s="213" t="s">
        <v>25321</v>
      </c>
      <c r="K3035" s="213" t="s">
        <v>66802</v>
      </c>
      <c r="L3035" s="213" t="s">
        <v>66858</v>
      </c>
      <c r="M3035" s="213" t="s">
        <v>66914</v>
      </c>
      <c r="N3035" s="213" t="s">
        <v>25322</v>
      </c>
      <c r="O3035" s="213" t="s">
        <v>25323</v>
      </c>
      <c r="P3035" s="213" t="s">
        <v>25324</v>
      </c>
      <c r="Q3035" s="213" t="s">
        <v>25325</v>
      </c>
      <c r="R3035" s="213" t="s">
        <v>25326</v>
      </c>
      <c r="S3035" s="213" t="s">
        <v>25327</v>
      </c>
      <c r="T3035" s="213" t="s">
        <v>25328</v>
      </c>
      <c r="U3035" s="213" t="s">
        <v>66970</v>
      </c>
    </row>
    <row r="3036" spans="1:21" x14ac:dyDescent="0.25">
      <c r="A3036" s="213" t="s">
        <v>327</v>
      </c>
      <c r="D3036" s="213" t="s">
        <v>25329</v>
      </c>
      <c r="E3036" s="213" t="s">
        <v>25330</v>
      </c>
      <c r="K3036" s="213" t="s">
        <v>66803</v>
      </c>
      <c r="L3036" s="213" t="s">
        <v>66859</v>
      </c>
      <c r="M3036" s="213" t="s">
        <v>66915</v>
      </c>
      <c r="N3036" s="213" t="s">
        <v>25331</v>
      </c>
      <c r="O3036" s="213" t="s">
        <v>25332</v>
      </c>
      <c r="P3036" s="213" t="s">
        <v>25333</v>
      </c>
      <c r="Q3036" s="213" t="s">
        <v>25334</v>
      </c>
      <c r="R3036" s="213" t="s">
        <v>25335</v>
      </c>
      <c r="S3036" s="213" t="s">
        <v>25336</v>
      </c>
      <c r="T3036" s="213" t="s">
        <v>25337</v>
      </c>
      <c r="U3036" s="213" t="s">
        <v>66971</v>
      </c>
    </row>
    <row r="3037" spans="1:21" x14ac:dyDescent="0.25">
      <c r="A3037" s="213" t="s">
        <v>327</v>
      </c>
      <c r="D3037" s="213" t="s">
        <v>25338</v>
      </c>
      <c r="E3037" s="213" t="s">
        <v>25339</v>
      </c>
      <c r="K3037" s="213" t="s">
        <v>66804</v>
      </c>
      <c r="L3037" s="213" t="s">
        <v>66860</v>
      </c>
      <c r="M3037" s="213" t="s">
        <v>66916</v>
      </c>
      <c r="N3037" s="213" t="s">
        <v>25340</v>
      </c>
      <c r="O3037" s="213" t="s">
        <v>25341</v>
      </c>
      <c r="P3037" s="213" t="s">
        <v>25342</v>
      </c>
      <c r="Q3037" s="213" t="s">
        <v>25343</v>
      </c>
      <c r="R3037" s="213" t="s">
        <v>25344</v>
      </c>
      <c r="S3037" s="213" t="s">
        <v>25345</v>
      </c>
      <c r="T3037" s="213" t="s">
        <v>25346</v>
      </c>
      <c r="U3037" s="213" t="s">
        <v>66972</v>
      </c>
    </row>
    <row r="3038" spans="1:21" x14ac:dyDescent="0.25">
      <c r="A3038" s="213" t="s">
        <v>327</v>
      </c>
      <c r="D3038" s="213" t="s">
        <v>25347</v>
      </c>
      <c r="E3038" s="213" t="s">
        <v>25348</v>
      </c>
      <c r="K3038" s="213" t="s">
        <v>66805</v>
      </c>
      <c r="L3038" s="213" t="s">
        <v>66861</v>
      </c>
      <c r="M3038" s="213" t="s">
        <v>66917</v>
      </c>
      <c r="N3038" s="213" t="s">
        <v>25349</v>
      </c>
      <c r="O3038" s="213" t="s">
        <v>25350</v>
      </c>
      <c r="P3038" s="213" t="s">
        <v>25351</v>
      </c>
      <c r="Q3038" s="213" t="s">
        <v>25352</v>
      </c>
      <c r="R3038" s="213" t="s">
        <v>25353</v>
      </c>
      <c r="S3038" s="213" t="s">
        <v>25354</v>
      </c>
      <c r="T3038" s="213" t="s">
        <v>25355</v>
      </c>
      <c r="U3038" s="213" t="s">
        <v>66973</v>
      </c>
    </row>
    <row r="3039" spans="1:21" x14ac:dyDescent="0.25">
      <c r="A3039" s="213" t="s">
        <v>327</v>
      </c>
      <c r="D3039" s="213" t="s">
        <v>25356</v>
      </c>
      <c r="E3039" s="213" t="s">
        <v>25357</v>
      </c>
      <c r="K3039" s="213" t="s">
        <v>66806</v>
      </c>
      <c r="L3039" s="213" t="s">
        <v>66862</v>
      </c>
      <c r="M3039" s="213" t="s">
        <v>66918</v>
      </c>
      <c r="N3039" s="213" t="s">
        <v>25358</v>
      </c>
      <c r="O3039" s="213" t="s">
        <v>25359</v>
      </c>
      <c r="P3039" s="213" t="s">
        <v>25360</v>
      </c>
      <c r="Q3039" s="213" t="s">
        <v>25361</v>
      </c>
      <c r="R3039" s="213" t="s">
        <v>25362</v>
      </c>
      <c r="S3039" s="213" t="s">
        <v>25363</v>
      </c>
      <c r="T3039" s="213" t="s">
        <v>25364</v>
      </c>
      <c r="U3039" s="213" t="s">
        <v>66974</v>
      </c>
    </row>
    <row r="3040" spans="1:21" x14ac:dyDescent="0.25">
      <c r="A3040" s="213" t="s">
        <v>327</v>
      </c>
      <c r="D3040" s="213" t="s">
        <v>25365</v>
      </c>
      <c r="E3040" s="213" t="s">
        <v>25366</v>
      </c>
      <c r="K3040" s="213" t="s">
        <v>66807</v>
      </c>
      <c r="L3040" s="213" t="s">
        <v>66863</v>
      </c>
      <c r="M3040" s="213" t="s">
        <v>66919</v>
      </c>
      <c r="N3040" s="213" t="s">
        <v>25367</v>
      </c>
      <c r="O3040" s="213" t="s">
        <v>25368</v>
      </c>
      <c r="P3040" s="213" t="s">
        <v>25369</v>
      </c>
      <c r="Q3040" s="213" t="s">
        <v>25370</v>
      </c>
      <c r="R3040" s="213" t="s">
        <v>25371</v>
      </c>
      <c r="S3040" s="213" t="s">
        <v>25372</v>
      </c>
      <c r="T3040" s="213" t="s">
        <v>25373</v>
      </c>
      <c r="U3040" s="213" t="s">
        <v>66975</v>
      </c>
    </row>
    <row r="3041" spans="1:21" x14ac:dyDescent="0.25">
      <c r="A3041" s="213" t="s">
        <v>327</v>
      </c>
      <c r="D3041" s="213" t="s">
        <v>25374</v>
      </c>
      <c r="E3041" s="213" t="s">
        <v>25375</v>
      </c>
      <c r="K3041" s="213" t="s">
        <v>66808</v>
      </c>
      <c r="L3041" s="213" t="s">
        <v>66864</v>
      </c>
      <c r="M3041" s="213" t="s">
        <v>66920</v>
      </c>
      <c r="N3041" s="213" t="s">
        <v>25376</v>
      </c>
      <c r="O3041" s="213" t="s">
        <v>25377</v>
      </c>
      <c r="P3041" s="213" t="s">
        <v>25378</v>
      </c>
      <c r="Q3041" s="213" t="s">
        <v>25379</v>
      </c>
      <c r="R3041" s="213" t="s">
        <v>25380</v>
      </c>
      <c r="S3041" s="213" t="s">
        <v>25381</v>
      </c>
      <c r="T3041" s="213" t="s">
        <v>25382</v>
      </c>
      <c r="U3041" s="213" t="s">
        <v>66976</v>
      </c>
    </row>
    <row r="3042" spans="1:21" x14ac:dyDescent="0.25">
      <c r="A3042" s="213" t="s">
        <v>327</v>
      </c>
      <c r="D3042" s="213" t="s">
        <v>25383</v>
      </c>
      <c r="E3042" s="213" t="s">
        <v>25384</v>
      </c>
      <c r="K3042" s="213" t="s">
        <v>66809</v>
      </c>
      <c r="L3042" s="213" t="s">
        <v>66865</v>
      </c>
      <c r="M3042" s="213" t="s">
        <v>66921</v>
      </c>
      <c r="N3042" s="213" t="s">
        <v>25385</v>
      </c>
      <c r="O3042" s="213" t="s">
        <v>25386</v>
      </c>
      <c r="P3042" s="213" t="s">
        <v>25387</v>
      </c>
      <c r="Q3042" s="213" t="s">
        <v>25388</v>
      </c>
      <c r="R3042" s="213" t="s">
        <v>25389</v>
      </c>
      <c r="S3042" s="213" t="s">
        <v>25390</v>
      </c>
      <c r="T3042" s="213" t="s">
        <v>25391</v>
      </c>
      <c r="U3042" s="213" t="s">
        <v>66977</v>
      </c>
    </row>
    <row r="3043" spans="1:21" x14ac:dyDescent="0.25">
      <c r="A3043" s="213" t="s">
        <v>327</v>
      </c>
      <c r="D3043" s="213" t="s">
        <v>25392</v>
      </c>
      <c r="E3043" s="213" t="s">
        <v>25393</v>
      </c>
      <c r="K3043" s="213" t="s">
        <v>66810</v>
      </c>
      <c r="L3043" s="213" t="s">
        <v>66866</v>
      </c>
      <c r="M3043" s="213" t="s">
        <v>66922</v>
      </c>
      <c r="N3043" s="213" t="s">
        <v>25394</v>
      </c>
      <c r="O3043" s="213" t="s">
        <v>25395</v>
      </c>
      <c r="P3043" s="213" t="s">
        <v>25396</v>
      </c>
      <c r="Q3043" s="213" t="s">
        <v>25397</v>
      </c>
      <c r="R3043" s="213" t="s">
        <v>25398</v>
      </c>
      <c r="S3043" s="213" t="s">
        <v>25399</v>
      </c>
      <c r="T3043" s="213" t="s">
        <v>25400</v>
      </c>
      <c r="U3043" s="213" t="s">
        <v>66978</v>
      </c>
    </row>
    <row r="3044" spans="1:21" x14ac:dyDescent="0.25">
      <c r="A3044" s="213" t="s">
        <v>327</v>
      </c>
      <c r="D3044" s="213" t="s">
        <v>25401</v>
      </c>
      <c r="E3044" s="213" t="s">
        <v>25402</v>
      </c>
      <c r="K3044" s="213" t="s">
        <v>66811</v>
      </c>
      <c r="L3044" s="213" t="s">
        <v>66867</v>
      </c>
      <c r="M3044" s="213" t="s">
        <v>66923</v>
      </c>
      <c r="N3044" s="213" t="s">
        <v>25403</v>
      </c>
      <c r="O3044" s="213" t="s">
        <v>25404</v>
      </c>
      <c r="P3044" s="213" t="s">
        <v>25405</v>
      </c>
      <c r="Q3044" s="213" t="s">
        <v>25406</v>
      </c>
      <c r="R3044" s="213" t="s">
        <v>25407</v>
      </c>
      <c r="S3044" s="213" t="s">
        <v>25408</v>
      </c>
      <c r="T3044" s="213" t="s">
        <v>25409</v>
      </c>
      <c r="U3044" s="213" t="s">
        <v>66979</v>
      </c>
    </row>
    <row r="3045" spans="1:21" x14ac:dyDescent="0.25">
      <c r="A3045" s="213" t="s">
        <v>327</v>
      </c>
      <c r="D3045" s="213" t="s">
        <v>25410</v>
      </c>
      <c r="E3045" s="213" t="s">
        <v>25411</v>
      </c>
      <c r="K3045" s="213" t="s">
        <v>66812</v>
      </c>
      <c r="L3045" s="213" t="s">
        <v>66868</v>
      </c>
      <c r="M3045" s="213" t="s">
        <v>66924</v>
      </c>
      <c r="N3045" s="213" t="s">
        <v>25412</v>
      </c>
      <c r="O3045" s="213" t="s">
        <v>25413</v>
      </c>
      <c r="P3045" s="213" t="s">
        <v>25414</v>
      </c>
      <c r="Q3045" s="213" t="s">
        <v>25415</v>
      </c>
      <c r="R3045" s="213" t="s">
        <v>25416</v>
      </c>
      <c r="S3045" s="213" t="s">
        <v>25417</v>
      </c>
      <c r="T3045" s="213" t="s">
        <v>25418</v>
      </c>
      <c r="U3045" s="213" t="s">
        <v>66980</v>
      </c>
    </row>
    <row r="3046" spans="1:21" x14ac:dyDescent="0.25">
      <c r="A3046" s="213" t="s">
        <v>327</v>
      </c>
      <c r="D3046" s="213" t="s">
        <v>346</v>
      </c>
      <c r="E3046" s="213" t="s">
        <v>25419</v>
      </c>
      <c r="K3046" s="213" t="s">
        <v>66813</v>
      </c>
      <c r="L3046" s="213" t="s">
        <v>66869</v>
      </c>
      <c r="M3046" s="213" t="s">
        <v>66925</v>
      </c>
      <c r="N3046" s="213" t="s">
        <v>25420</v>
      </c>
      <c r="O3046" s="213" t="s">
        <v>25421</v>
      </c>
      <c r="P3046" s="213" t="s">
        <v>25422</v>
      </c>
      <c r="Q3046" s="213" t="s">
        <v>25423</v>
      </c>
      <c r="R3046" s="213" t="s">
        <v>25424</v>
      </c>
      <c r="S3046" s="213" t="s">
        <v>25425</v>
      </c>
      <c r="T3046" s="213" t="s">
        <v>25426</v>
      </c>
      <c r="U3046" s="213" t="s">
        <v>66981</v>
      </c>
    </row>
    <row r="3047" spans="1:21" x14ac:dyDescent="0.25">
      <c r="A3047" s="213" t="s">
        <v>327</v>
      </c>
      <c r="D3047" s="213" t="s">
        <v>25427</v>
      </c>
      <c r="E3047" s="213" t="s">
        <v>25428</v>
      </c>
      <c r="K3047" s="213" t="s">
        <v>66814</v>
      </c>
      <c r="L3047" s="213" t="s">
        <v>66870</v>
      </c>
      <c r="M3047" s="213" t="s">
        <v>66926</v>
      </c>
      <c r="N3047" s="213" t="s">
        <v>25429</v>
      </c>
      <c r="O3047" s="213" t="s">
        <v>25430</v>
      </c>
      <c r="P3047" s="213" t="s">
        <v>25431</v>
      </c>
      <c r="Q3047" s="213" t="s">
        <v>25432</v>
      </c>
      <c r="R3047" s="213" t="s">
        <v>25433</v>
      </c>
      <c r="S3047" s="213" t="s">
        <v>25434</v>
      </c>
      <c r="T3047" s="213" t="s">
        <v>25435</v>
      </c>
      <c r="U3047" s="213" t="s">
        <v>66982</v>
      </c>
    </row>
    <row r="3048" spans="1:21" x14ac:dyDescent="0.25">
      <c r="A3048" s="213" t="s">
        <v>327</v>
      </c>
      <c r="D3048" s="213" t="s">
        <v>25436</v>
      </c>
      <c r="E3048" s="213" t="s">
        <v>25437</v>
      </c>
      <c r="K3048" s="213" t="s">
        <v>66815</v>
      </c>
      <c r="L3048" s="213" t="s">
        <v>66871</v>
      </c>
      <c r="M3048" s="213" t="s">
        <v>66927</v>
      </c>
      <c r="N3048" s="213" t="s">
        <v>25438</v>
      </c>
      <c r="O3048" s="213" t="s">
        <v>25439</v>
      </c>
      <c r="P3048" s="213" t="s">
        <v>25440</v>
      </c>
      <c r="Q3048" s="213" t="s">
        <v>25441</v>
      </c>
      <c r="R3048" s="213" t="s">
        <v>25442</v>
      </c>
      <c r="S3048" s="213" t="s">
        <v>25443</v>
      </c>
      <c r="T3048" s="213" t="s">
        <v>25444</v>
      </c>
      <c r="U3048" s="213" t="s">
        <v>66983</v>
      </c>
    </row>
    <row r="3049" spans="1:21" x14ac:dyDescent="0.25">
      <c r="A3049" s="213" t="s">
        <v>327</v>
      </c>
      <c r="D3049" s="213" t="s">
        <v>25445</v>
      </c>
      <c r="E3049" s="213" t="s">
        <v>25446</v>
      </c>
      <c r="K3049" s="213" t="s">
        <v>66816</v>
      </c>
      <c r="L3049" s="213" t="s">
        <v>66872</v>
      </c>
      <c r="M3049" s="213" t="s">
        <v>66928</v>
      </c>
      <c r="N3049" s="213" t="s">
        <v>25447</v>
      </c>
      <c r="O3049" s="213" t="s">
        <v>25448</v>
      </c>
      <c r="P3049" s="213" t="s">
        <v>25449</v>
      </c>
      <c r="Q3049" s="213" t="s">
        <v>25450</v>
      </c>
      <c r="R3049" s="213" t="s">
        <v>25451</v>
      </c>
      <c r="S3049" s="213" t="s">
        <v>25452</v>
      </c>
      <c r="T3049" s="213" t="s">
        <v>25453</v>
      </c>
      <c r="U3049" s="213" t="s">
        <v>66984</v>
      </c>
    </row>
    <row r="3050" spans="1:21" x14ac:dyDescent="0.25">
      <c r="A3050" s="213" t="s">
        <v>327</v>
      </c>
      <c r="D3050" s="213" t="s">
        <v>25454</v>
      </c>
      <c r="E3050" s="213" t="s">
        <v>25455</v>
      </c>
      <c r="K3050" s="213" t="s">
        <v>66817</v>
      </c>
      <c r="L3050" s="213" t="s">
        <v>66873</v>
      </c>
      <c r="M3050" s="213" t="s">
        <v>66929</v>
      </c>
      <c r="N3050" s="213" t="s">
        <v>25456</v>
      </c>
      <c r="O3050" s="213" t="s">
        <v>25457</v>
      </c>
      <c r="P3050" s="213" t="s">
        <v>25458</v>
      </c>
      <c r="Q3050" s="213" t="s">
        <v>25459</v>
      </c>
      <c r="R3050" s="213" t="s">
        <v>25460</v>
      </c>
      <c r="S3050" s="213" t="s">
        <v>25461</v>
      </c>
      <c r="T3050" s="213" t="s">
        <v>25462</v>
      </c>
      <c r="U3050" s="213" t="s">
        <v>66985</v>
      </c>
    </row>
    <row r="3051" spans="1:21" x14ac:dyDescent="0.25">
      <c r="A3051" s="213" t="s">
        <v>327</v>
      </c>
      <c r="D3051" s="213" t="s">
        <v>25463</v>
      </c>
      <c r="E3051" s="213" t="s">
        <v>25464</v>
      </c>
      <c r="K3051" s="213" t="s">
        <v>66818</v>
      </c>
      <c r="L3051" s="213" t="s">
        <v>66874</v>
      </c>
      <c r="M3051" s="213" t="s">
        <v>66930</v>
      </c>
      <c r="N3051" s="213" t="s">
        <v>25465</v>
      </c>
      <c r="O3051" s="213" t="s">
        <v>25466</v>
      </c>
      <c r="P3051" s="213" t="s">
        <v>25467</v>
      </c>
      <c r="Q3051" s="213" t="s">
        <v>25468</v>
      </c>
      <c r="R3051" s="213" t="s">
        <v>25469</v>
      </c>
      <c r="S3051" s="213" t="s">
        <v>25470</v>
      </c>
      <c r="T3051" s="213" t="s">
        <v>25471</v>
      </c>
      <c r="U3051" s="213" t="s">
        <v>66986</v>
      </c>
    </row>
    <row r="3052" spans="1:21" x14ac:dyDescent="0.25">
      <c r="A3052" s="213" t="s">
        <v>327</v>
      </c>
      <c r="D3052" s="213" t="s">
        <v>25472</v>
      </c>
      <c r="E3052" s="213" t="s">
        <v>25473</v>
      </c>
      <c r="K3052" s="213" t="s">
        <v>66819</v>
      </c>
      <c r="L3052" s="213" t="s">
        <v>66875</v>
      </c>
      <c r="M3052" s="213" t="s">
        <v>66931</v>
      </c>
      <c r="N3052" s="213" t="s">
        <v>25474</v>
      </c>
      <c r="O3052" s="213" t="s">
        <v>25475</v>
      </c>
      <c r="P3052" s="213" t="s">
        <v>25476</v>
      </c>
      <c r="Q3052" s="213" t="s">
        <v>25477</v>
      </c>
      <c r="R3052" s="213" t="s">
        <v>25478</v>
      </c>
      <c r="S3052" s="213" t="s">
        <v>25479</v>
      </c>
      <c r="T3052" s="213" t="s">
        <v>25480</v>
      </c>
      <c r="U3052" s="213" t="s">
        <v>66987</v>
      </c>
    </row>
    <row r="3053" spans="1:21" x14ac:dyDescent="0.25">
      <c r="A3053" s="213" t="s">
        <v>327</v>
      </c>
      <c r="D3053" s="213" t="s">
        <v>25481</v>
      </c>
      <c r="E3053" s="213" t="s">
        <v>25482</v>
      </c>
      <c r="K3053" s="213" t="s">
        <v>66820</v>
      </c>
      <c r="L3053" s="213" t="s">
        <v>66876</v>
      </c>
      <c r="M3053" s="213" t="s">
        <v>66932</v>
      </c>
      <c r="N3053" s="213" t="s">
        <v>25483</v>
      </c>
      <c r="O3053" s="213" t="s">
        <v>25484</v>
      </c>
      <c r="P3053" s="213" t="s">
        <v>25485</v>
      </c>
      <c r="Q3053" s="213" t="s">
        <v>25486</v>
      </c>
      <c r="R3053" s="213" t="s">
        <v>25487</v>
      </c>
      <c r="S3053" s="213" t="s">
        <v>25488</v>
      </c>
      <c r="T3053" s="213" t="s">
        <v>25489</v>
      </c>
      <c r="U3053" s="213" t="s">
        <v>66988</v>
      </c>
    </row>
    <row r="3054" spans="1:21" x14ac:dyDescent="0.25">
      <c r="A3054" s="213" t="s">
        <v>327</v>
      </c>
      <c r="D3054" s="213" t="s">
        <v>25490</v>
      </c>
      <c r="E3054" s="213" t="s">
        <v>25491</v>
      </c>
      <c r="K3054" s="213" t="s">
        <v>66821</v>
      </c>
      <c r="L3054" s="213" t="s">
        <v>66877</v>
      </c>
      <c r="M3054" s="213" t="s">
        <v>66933</v>
      </c>
      <c r="N3054" s="213" t="s">
        <v>25492</v>
      </c>
      <c r="O3054" s="213" t="s">
        <v>25493</v>
      </c>
      <c r="P3054" s="213" t="s">
        <v>25494</v>
      </c>
      <c r="Q3054" s="213" t="s">
        <v>25495</v>
      </c>
      <c r="R3054" s="213" t="s">
        <v>25496</v>
      </c>
      <c r="S3054" s="213" t="s">
        <v>25497</v>
      </c>
      <c r="T3054" s="213" t="s">
        <v>25498</v>
      </c>
      <c r="U3054" s="213" t="s">
        <v>66989</v>
      </c>
    </row>
    <row r="3055" spans="1:21" x14ac:dyDescent="0.25">
      <c r="A3055" s="213" t="s">
        <v>327</v>
      </c>
      <c r="D3055" s="213" t="s">
        <v>25499</v>
      </c>
      <c r="E3055" s="213" t="s">
        <v>25500</v>
      </c>
      <c r="K3055" s="213" t="s">
        <v>66822</v>
      </c>
      <c r="L3055" s="213" t="s">
        <v>66878</v>
      </c>
      <c r="M3055" s="213" t="s">
        <v>66934</v>
      </c>
      <c r="N3055" s="213" t="s">
        <v>25501</v>
      </c>
      <c r="O3055" s="213" t="s">
        <v>25502</v>
      </c>
      <c r="P3055" s="213" t="s">
        <v>25503</v>
      </c>
      <c r="Q3055" s="213" t="s">
        <v>25504</v>
      </c>
      <c r="R3055" s="213" t="s">
        <v>25505</v>
      </c>
      <c r="S3055" s="213" t="s">
        <v>25506</v>
      </c>
      <c r="T3055" s="213" t="s">
        <v>25507</v>
      </c>
      <c r="U3055" s="213" t="s">
        <v>66990</v>
      </c>
    </row>
    <row r="3056" spans="1:21" x14ac:dyDescent="0.25">
      <c r="A3056" s="213" t="s">
        <v>327</v>
      </c>
      <c r="D3056" s="213" t="s">
        <v>25508</v>
      </c>
      <c r="E3056" s="213" t="s">
        <v>25509</v>
      </c>
      <c r="K3056" s="213" t="s">
        <v>66823</v>
      </c>
      <c r="L3056" s="213" t="s">
        <v>66879</v>
      </c>
      <c r="M3056" s="213" t="s">
        <v>66935</v>
      </c>
      <c r="N3056" s="213" t="s">
        <v>25510</v>
      </c>
      <c r="O3056" s="213" t="s">
        <v>25511</v>
      </c>
      <c r="P3056" s="213" t="s">
        <v>25512</v>
      </c>
      <c r="Q3056" s="213" t="s">
        <v>25513</v>
      </c>
      <c r="R3056" s="213" t="s">
        <v>25514</v>
      </c>
      <c r="S3056" s="213" t="s">
        <v>25515</v>
      </c>
      <c r="T3056" s="213" t="s">
        <v>25516</v>
      </c>
      <c r="U3056" s="213" t="s">
        <v>66991</v>
      </c>
    </row>
    <row r="3057" spans="1:21" x14ac:dyDescent="0.25">
      <c r="A3057" s="213" t="s">
        <v>327</v>
      </c>
      <c r="D3057" s="213" t="s">
        <v>25517</v>
      </c>
      <c r="E3057" s="213" t="s">
        <v>25518</v>
      </c>
      <c r="K3057" s="213" t="s">
        <v>66824</v>
      </c>
      <c r="L3057" s="213" t="s">
        <v>66880</v>
      </c>
      <c r="M3057" s="213" t="s">
        <v>66936</v>
      </c>
      <c r="N3057" s="213" t="s">
        <v>25519</v>
      </c>
      <c r="O3057" s="213" t="s">
        <v>25520</v>
      </c>
      <c r="P3057" s="213" t="s">
        <v>25521</v>
      </c>
      <c r="Q3057" s="213" t="s">
        <v>25522</v>
      </c>
      <c r="R3057" s="213" t="s">
        <v>25523</v>
      </c>
      <c r="S3057" s="213" t="s">
        <v>25524</v>
      </c>
      <c r="T3057" s="213" t="s">
        <v>25525</v>
      </c>
      <c r="U3057" s="213" t="s">
        <v>66992</v>
      </c>
    </row>
    <row r="3058" spans="1:21" x14ac:dyDescent="0.25">
      <c r="A3058" s="213" t="s">
        <v>327</v>
      </c>
      <c r="D3058" s="213" t="s">
        <v>25526</v>
      </c>
      <c r="E3058" s="213" t="s">
        <v>25527</v>
      </c>
      <c r="K3058" s="213" t="s">
        <v>66825</v>
      </c>
      <c r="L3058" s="213" t="s">
        <v>66881</v>
      </c>
      <c r="M3058" s="213" t="s">
        <v>66937</v>
      </c>
      <c r="N3058" s="213" t="s">
        <v>25528</v>
      </c>
      <c r="O3058" s="213" t="s">
        <v>25529</v>
      </c>
      <c r="P3058" s="213" t="s">
        <v>25530</v>
      </c>
      <c r="Q3058" s="213" t="s">
        <v>25531</v>
      </c>
      <c r="R3058" s="213" t="s">
        <v>25532</v>
      </c>
      <c r="S3058" s="213" t="s">
        <v>25533</v>
      </c>
      <c r="T3058" s="213" t="s">
        <v>25534</v>
      </c>
      <c r="U3058" s="213" t="s">
        <v>66993</v>
      </c>
    </row>
    <row r="3059" spans="1:21" x14ac:dyDescent="0.25">
      <c r="A3059" s="213" t="s">
        <v>327</v>
      </c>
      <c r="D3059" s="213" t="s">
        <v>25535</v>
      </c>
      <c r="E3059" s="213" t="s">
        <v>25536</v>
      </c>
      <c r="K3059" s="213" t="s">
        <v>66826</v>
      </c>
      <c r="L3059" s="213" t="s">
        <v>66882</v>
      </c>
      <c r="M3059" s="213" t="s">
        <v>66938</v>
      </c>
      <c r="N3059" s="213" t="s">
        <v>25537</v>
      </c>
      <c r="O3059" s="213" t="s">
        <v>25538</v>
      </c>
      <c r="P3059" s="213" t="s">
        <v>25539</v>
      </c>
      <c r="Q3059" s="213" t="s">
        <v>25540</v>
      </c>
      <c r="R3059" s="213" t="s">
        <v>25541</v>
      </c>
      <c r="S3059" s="213" t="s">
        <v>25542</v>
      </c>
      <c r="T3059" s="213" t="s">
        <v>25543</v>
      </c>
      <c r="U3059" s="213" t="s">
        <v>66994</v>
      </c>
    </row>
    <row r="3060" spans="1:21" x14ac:dyDescent="0.25">
      <c r="A3060" s="213" t="s">
        <v>327</v>
      </c>
      <c r="D3060" s="213" t="s">
        <v>25544</v>
      </c>
      <c r="E3060" s="213" t="s">
        <v>25545</v>
      </c>
      <c r="K3060" s="213" t="s">
        <v>66827</v>
      </c>
      <c r="L3060" s="213" t="s">
        <v>66883</v>
      </c>
      <c r="M3060" s="213" t="s">
        <v>66939</v>
      </c>
      <c r="N3060" s="213" t="s">
        <v>25546</v>
      </c>
      <c r="O3060" s="213" t="s">
        <v>25547</v>
      </c>
      <c r="P3060" s="213" t="s">
        <v>25548</v>
      </c>
      <c r="Q3060" s="213" t="s">
        <v>25549</v>
      </c>
      <c r="R3060" s="213" t="s">
        <v>25550</v>
      </c>
      <c r="S3060" s="213" t="s">
        <v>25551</v>
      </c>
      <c r="T3060" s="213" t="s">
        <v>25552</v>
      </c>
      <c r="U3060" s="213" t="s">
        <v>66995</v>
      </c>
    </row>
    <row r="3061" spans="1:21" x14ac:dyDescent="0.25">
      <c r="A3061" s="213" t="s">
        <v>327</v>
      </c>
      <c r="D3061" s="213" t="s">
        <v>25553</v>
      </c>
      <c r="E3061" s="213" t="s">
        <v>25554</v>
      </c>
      <c r="K3061" s="213" t="s">
        <v>66828</v>
      </c>
      <c r="L3061" s="213" t="s">
        <v>66884</v>
      </c>
      <c r="M3061" s="213" t="s">
        <v>66940</v>
      </c>
      <c r="N3061" s="213" t="s">
        <v>25555</v>
      </c>
      <c r="O3061" s="213" t="s">
        <v>25556</v>
      </c>
      <c r="P3061" s="213" t="s">
        <v>25557</v>
      </c>
      <c r="Q3061" s="213" t="s">
        <v>25558</v>
      </c>
      <c r="R3061" s="213" t="s">
        <v>25559</v>
      </c>
      <c r="S3061" s="213" t="s">
        <v>25560</v>
      </c>
      <c r="T3061" s="213" t="s">
        <v>25561</v>
      </c>
      <c r="U3061" s="213" t="s">
        <v>66996</v>
      </c>
    </row>
    <row r="3062" spans="1:21" x14ac:dyDescent="0.25">
      <c r="A3062" s="213" t="s">
        <v>327</v>
      </c>
      <c r="D3062" s="213" t="s">
        <v>25562</v>
      </c>
      <c r="E3062" s="213" t="s">
        <v>25563</v>
      </c>
      <c r="K3062" s="213" t="s">
        <v>66829</v>
      </c>
      <c r="L3062" s="213" t="s">
        <v>66885</v>
      </c>
      <c r="M3062" s="213" t="s">
        <v>66941</v>
      </c>
      <c r="N3062" s="213" t="s">
        <v>25564</v>
      </c>
      <c r="O3062" s="213" t="s">
        <v>25565</v>
      </c>
      <c r="P3062" s="213" t="s">
        <v>25566</v>
      </c>
      <c r="Q3062" s="213" t="s">
        <v>25567</v>
      </c>
      <c r="R3062" s="213" t="s">
        <v>25568</v>
      </c>
      <c r="S3062" s="213" t="s">
        <v>25569</v>
      </c>
      <c r="T3062" s="213" t="s">
        <v>25570</v>
      </c>
      <c r="U3062" s="213" t="s">
        <v>66997</v>
      </c>
    </row>
    <row r="3063" spans="1:21" x14ac:dyDescent="0.25">
      <c r="A3063" s="213" t="s">
        <v>327</v>
      </c>
      <c r="D3063" s="213" t="s">
        <v>25571</v>
      </c>
      <c r="E3063" s="213" t="s">
        <v>25572</v>
      </c>
      <c r="K3063" s="213" t="s">
        <v>66830</v>
      </c>
      <c r="L3063" s="213" t="s">
        <v>66886</v>
      </c>
      <c r="M3063" s="213" t="s">
        <v>66942</v>
      </c>
      <c r="N3063" s="213" t="s">
        <v>25573</v>
      </c>
      <c r="O3063" s="213" t="s">
        <v>25574</v>
      </c>
      <c r="P3063" s="213" t="s">
        <v>25575</v>
      </c>
      <c r="Q3063" s="213" t="s">
        <v>25576</v>
      </c>
      <c r="R3063" s="213" t="s">
        <v>25577</v>
      </c>
      <c r="S3063" s="213" t="s">
        <v>25578</v>
      </c>
      <c r="T3063" s="213" t="s">
        <v>25579</v>
      </c>
      <c r="U3063" s="213" t="s">
        <v>66998</v>
      </c>
    </row>
    <row r="3064" spans="1:21" x14ac:dyDescent="0.25">
      <c r="A3064" s="213" t="s">
        <v>327</v>
      </c>
      <c r="D3064" s="213" t="s">
        <v>25580</v>
      </c>
      <c r="E3064" s="213" t="s">
        <v>25581</v>
      </c>
      <c r="K3064" s="213" t="s">
        <v>66831</v>
      </c>
      <c r="L3064" s="213" t="s">
        <v>66887</v>
      </c>
      <c r="M3064" s="213" t="s">
        <v>66943</v>
      </c>
      <c r="N3064" s="213" t="s">
        <v>25582</v>
      </c>
      <c r="O3064" s="213" t="s">
        <v>25583</v>
      </c>
      <c r="P3064" s="213" t="s">
        <v>25584</v>
      </c>
      <c r="Q3064" s="213" t="s">
        <v>25585</v>
      </c>
      <c r="R3064" s="213" t="s">
        <v>25586</v>
      </c>
      <c r="S3064" s="213" t="s">
        <v>25587</v>
      </c>
      <c r="T3064" s="213" t="s">
        <v>25588</v>
      </c>
      <c r="U3064" s="213" t="s">
        <v>66999</v>
      </c>
    </row>
    <row r="3065" spans="1:21" x14ac:dyDescent="0.25">
      <c r="A3065" s="213" t="s">
        <v>327</v>
      </c>
      <c r="D3065" s="213" t="s">
        <v>25589</v>
      </c>
      <c r="E3065" s="213" t="s">
        <v>25590</v>
      </c>
      <c r="K3065" s="213" t="s">
        <v>66832</v>
      </c>
      <c r="L3065" s="213" t="s">
        <v>66888</v>
      </c>
      <c r="M3065" s="213" t="s">
        <v>66944</v>
      </c>
      <c r="N3065" s="213" t="s">
        <v>25591</v>
      </c>
      <c r="O3065" s="213" t="s">
        <v>25592</v>
      </c>
      <c r="P3065" s="213" t="s">
        <v>25593</v>
      </c>
      <c r="Q3065" s="213" t="s">
        <v>25594</v>
      </c>
      <c r="R3065" s="213" t="s">
        <v>25595</v>
      </c>
      <c r="S3065" s="213" t="s">
        <v>25596</v>
      </c>
      <c r="T3065" s="213" t="s">
        <v>25597</v>
      </c>
      <c r="U3065" s="213" t="s">
        <v>67000</v>
      </c>
    </row>
    <row r="3066" spans="1:21" x14ac:dyDescent="0.25">
      <c r="A3066" s="213" t="s">
        <v>327</v>
      </c>
      <c r="D3066" s="213" t="s">
        <v>25598</v>
      </c>
      <c r="E3066" s="213" t="s">
        <v>25599</v>
      </c>
      <c r="K3066" s="213" t="s">
        <v>66833</v>
      </c>
      <c r="L3066" s="213" t="s">
        <v>66889</v>
      </c>
      <c r="M3066" s="213" t="s">
        <v>66945</v>
      </c>
      <c r="N3066" s="213" t="s">
        <v>25600</v>
      </c>
      <c r="O3066" s="213" t="s">
        <v>25601</v>
      </c>
      <c r="P3066" s="213" t="s">
        <v>25602</v>
      </c>
      <c r="Q3066" s="213" t="s">
        <v>25603</v>
      </c>
      <c r="R3066" s="213" t="s">
        <v>25604</v>
      </c>
      <c r="S3066" s="213" t="s">
        <v>25605</v>
      </c>
      <c r="T3066" s="213" t="s">
        <v>25606</v>
      </c>
      <c r="U3066" s="213" t="s">
        <v>67001</v>
      </c>
    </row>
    <row r="3067" spans="1:21" x14ac:dyDescent="0.25">
      <c r="A3067" s="213" t="s">
        <v>327</v>
      </c>
      <c r="D3067" s="213" t="s">
        <v>25607</v>
      </c>
      <c r="E3067" s="213" t="s">
        <v>25608</v>
      </c>
      <c r="K3067" s="213" t="s">
        <v>66834</v>
      </c>
      <c r="L3067" s="213" t="s">
        <v>66890</v>
      </c>
      <c r="M3067" s="213" t="s">
        <v>66946</v>
      </c>
      <c r="N3067" s="213" t="s">
        <v>25609</v>
      </c>
      <c r="O3067" s="213" t="s">
        <v>25610</v>
      </c>
      <c r="P3067" s="213" t="s">
        <v>25611</v>
      </c>
      <c r="Q3067" s="213" t="s">
        <v>25612</v>
      </c>
      <c r="R3067" s="213" t="s">
        <v>25613</v>
      </c>
      <c r="S3067" s="213" t="s">
        <v>25614</v>
      </c>
      <c r="T3067" s="213" t="s">
        <v>25615</v>
      </c>
      <c r="U3067" s="213" t="s">
        <v>67002</v>
      </c>
    </row>
    <row r="3068" spans="1:21" x14ac:dyDescent="0.25">
      <c r="A3068" s="213" t="s">
        <v>327</v>
      </c>
      <c r="D3068" s="213" t="s">
        <v>25616</v>
      </c>
      <c r="E3068" s="213" t="s">
        <v>25617</v>
      </c>
      <c r="K3068" s="213" t="s">
        <v>66835</v>
      </c>
      <c r="L3068" s="213" t="s">
        <v>66891</v>
      </c>
      <c r="M3068" s="213" t="s">
        <v>66947</v>
      </c>
      <c r="N3068" s="213" t="s">
        <v>25618</v>
      </c>
      <c r="O3068" s="213" t="s">
        <v>25619</v>
      </c>
      <c r="P3068" s="213" t="s">
        <v>25620</v>
      </c>
      <c r="Q3068" s="213" t="s">
        <v>25621</v>
      </c>
      <c r="R3068" s="213" t="s">
        <v>25622</v>
      </c>
      <c r="S3068" s="213" t="s">
        <v>25623</v>
      </c>
      <c r="T3068" s="213" t="s">
        <v>25624</v>
      </c>
      <c r="U3068" s="213" t="s">
        <v>67003</v>
      </c>
    </row>
    <row r="3069" spans="1:21" x14ac:dyDescent="0.25">
      <c r="A3069" s="213" t="s">
        <v>327</v>
      </c>
      <c r="D3069" s="213" t="s">
        <v>25625</v>
      </c>
      <c r="E3069" s="213" t="s">
        <v>25626</v>
      </c>
      <c r="K3069" s="213" t="s">
        <v>66836</v>
      </c>
      <c r="L3069" s="213" t="s">
        <v>66892</v>
      </c>
      <c r="M3069" s="213" t="s">
        <v>66948</v>
      </c>
      <c r="N3069" s="213" t="s">
        <v>25627</v>
      </c>
      <c r="O3069" s="213" t="s">
        <v>25628</v>
      </c>
      <c r="P3069" s="213" t="s">
        <v>25629</v>
      </c>
      <c r="Q3069" s="213" t="s">
        <v>25630</v>
      </c>
      <c r="R3069" s="213" t="s">
        <v>25631</v>
      </c>
      <c r="S3069" s="213" t="s">
        <v>25632</v>
      </c>
      <c r="T3069" s="213" t="s">
        <v>25633</v>
      </c>
      <c r="U3069" s="213" t="s">
        <v>67004</v>
      </c>
    </row>
    <row r="3070" spans="1:21" x14ac:dyDescent="0.25">
      <c r="A3070" s="213" t="s">
        <v>327</v>
      </c>
      <c r="D3070" s="213" t="s">
        <v>25634</v>
      </c>
      <c r="E3070" s="213" t="s">
        <v>25635</v>
      </c>
      <c r="K3070" s="213" t="s">
        <v>66837</v>
      </c>
      <c r="L3070" s="213" t="s">
        <v>66893</v>
      </c>
      <c r="M3070" s="213" t="s">
        <v>66949</v>
      </c>
      <c r="N3070" s="213" t="s">
        <v>25636</v>
      </c>
      <c r="O3070" s="213" t="s">
        <v>25637</v>
      </c>
      <c r="P3070" s="213" t="s">
        <v>25638</v>
      </c>
      <c r="Q3070" s="213" t="s">
        <v>25639</v>
      </c>
      <c r="R3070" s="213" t="s">
        <v>25640</v>
      </c>
      <c r="S3070" s="213" t="s">
        <v>25641</v>
      </c>
      <c r="T3070" s="213" t="s">
        <v>25642</v>
      </c>
      <c r="U3070" s="213" t="s">
        <v>67005</v>
      </c>
    </row>
    <row r="3071" spans="1:21" x14ac:dyDescent="0.25">
      <c r="A3071" s="213" t="s">
        <v>327</v>
      </c>
      <c r="D3071" s="213" t="s">
        <v>25643</v>
      </c>
      <c r="E3071" s="213" t="s">
        <v>25644</v>
      </c>
      <c r="K3071" s="213" t="s">
        <v>66838</v>
      </c>
      <c r="L3071" s="213" t="s">
        <v>66894</v>
      </c>
      <c r="M3071" s="213" t="s">
        <v>66950</v>
      </c>
      <c r="N3071" s="213" t="s">
        <v>25645</v>
      </c>
      <c r="O3071" s="213" t="s">
        <v>25646</v>
      </c>
      <c r="P3071" s="213" t="s">
        <v>25647</v>
      </c>
      <c r="Q3071" s="213" t="s">
        <v>25648</v>
      </c>
      <c r="R3071" s="213" t="s">
        <v>25649</v>
      </c>
      <c r="S3071" s="213" t="s">
        <v>25650</v>
      </c>
      <c r="T3071" s="213" t="s">
        <v>25651</v>
      </c>
      <c r="U3071" s="213" t="s">
        <v>67006</v>
      </c>
    </row>
    <row r="3072" spans="1:21" x14ac:dyDescent="0.25">
      <c r="A3072" s="213" t="s">
        <v>327</v>
      </c>
      <c r="D3072" s="213" t="s">
        <v>25652</v>
      </c>
      <c r="E3072" s="213" t="s">
        <v>25653</v>
      </c>
      <c r="K3072" s="213" t="s">
        <v>66839</v>
      </c>
      <c r="L3072" s="213" t="s">
        <v>66895</v>
      </c>
      <c r="M3072" s="213" t="s">
        <v>66951</v>
      </c>
      <c r="N3072" s="213" t="s">
        <v>25654</v>
      </c>
      <c r="O3072" s="213" t="s">
        <v>25655</v>
      </c>
      <c r="P3072" s="213" t="s">
        <v>25656</v>
      </c>
      <c r="Q3072" s="213" t="s">
        <v>25657</v>
      </c>
      <c r="R3072" s="213" t="s">
        <v>25658</v>
      </c>
      <c r="S3072" s="213" t="s">
        <v>25659</v>
      </c>
      <c r="T3072" s="213" t="s">
        <v>25660</v>
      </c>
      <c r="U3072" s="213" t="s">
        <v>67007</v>
      </c>
    </row>
    <row r="3073" spans="1:21" x14ac:dyDescent="0.25">
      <c r="A3073" s="213" t="s">
        <v>327</v>
      </c>
      <c r="D3073" s="213" t="s">
        <v>25661</v>
      </c>
      <c r="E3073" s="213" t="s">
        <v>25662</v>
      </c>
      <c r="K3073" s="213" t="s">
        <v>66840</v>
      </c>
      <c r="L3073" s="213" t="s">
        <v>66896</v>
      </c>
      <c r="M3073" s="213" t="s">
        <v>66952</v>
      </c>
      <c r="N3073" s="213" t="s">
        <v>25663</v>
      </c>
      <c r="O3073" s="213" t="s">
        <v>25664</v>
      </c>
      <c r="P3073" s="213" t="s">
        <v>25665</v>
      </c>
      <c r="Q3073" s="213" t="s">
        <v>25666</v>
      </c>
      <c r="R3073" s="213" t="s">
        <v>25667</v>
      </c>
      <c r="S3073" s="213" t="s">
        <v>25668</v>
      </c>
      <c r="T3073" s="213" t="s">
        <v>25669</v>
      </c>
      <c r="U3073" s="213" t="s">
        <v>67008</v>
      </c>
    </row>
    <row r="3074" spans="1:21" x14ac:dyDescent="0.25">
      <c r="A3074" s="213" t="s">
        <v>327</v>
      </c>
      <c r="D3074" s="213" t="s">
        <v>25670</v>
      </c>
      <c r="E3074" s="213" t="s">
        <v>25671</v>
      </c>
      <c r="K3074" s="213" t="s">
        <v>66841</v>
      </c>
      <c r="L3074" s="213" t="s">
        <v>66897</v>
      </c>
      <c r="M3074" s="213" t="s">
        <v>66953</v>
      </c>
      <c r="N3074" s="213" t="s">
        <v>25672</v>
      </c>
      <c r="O3074" s="213" t="s">
        <v>25673</v>
      </c>
      <c r="P3074" s="213" t="s">
        <v>25674</v>
      </c>
      <c r="Q3074" s="213" t="s">
        <v>25675</v>
      </c>
      <c r="R3074" s="213" t="s">
        <v>25676</v>
      </c>
      <c r="S3074" s="213" t="s">
        <v>25677</v>
      </c>
      <c r="T3074" s="213" t="s">
        <v>25678</v>
      </c>
      <c r="U3074" s="213" t="s">
        <v>67009</v>
      </c>
    </row>
    <row r="3075" spans="1:21" x14ac:dyDescent="0.25">
      <c r="A3075" s="213" t="s">
        <v>327</v>
      </c>
      <c r="D3075" s="213" t="s">
        <v>25679</v>
      </c>
      <c r="E3075" s="213" t="s">
        <v>25680</v>
      </c>
      <c r="K3075" s="213" t="s">
        <v>66842</v>
      </c>
      <c r="L3075" s="213" t="s">
        <v>66898</v>
      </c>
      <c r="M3075" s="213" t="s">
        <v>66954</v>
      </c>
      <c r="N3075" s="213" t="s">
        <v>25681</v>
      </c>
      <c r="O3075" s="213" t="s">
        <v>25682</v>
      </c>
      <c r="P3075" s="213" t="s">
        <v>25683</v>
      </c>
      <c r="Q3075" s="213" t="s">
        <v>25684</v>
      </c>
      <c r="R3075" s="213" t="s">
        <v>25685</v>
      </c>
      <c r="S3075" s="213" t="s">
        <v>25686</v>
      </c>
      <c r="T3075" s="213" t="s">
        <v>25687</v>
      </c>
      <c r="U3075" s="213" t="s">
        <v>67010</v>
      </c>
    </row>
    <row r="3076" spans="1:21" x14ac:dyDescent="0.25">
      <c r="A3076" s="213" t="s">
        <v>327</v>
      </c>
      <c r="D3076" s="213" t="s">
        <v>25688</v>
      </c>
      <c r="E3076" s="213" t="s">
        <v>25689</v>
      </c>
      <c r="K3076" s="213" t="s">
        <v>66843</v>
      </c>
      <c r="L3076" s="213" t="s">
        <v>66899</v>
      </c>
      <c r="M3076" s="213" t="s">
        <v>66955</v>
      </c>
      <c r="N3076" s="213" t="s">
        <v>25690</v>
      </c>
      <c r="O3076" s="213" t="s">
        <v>25691</v>
      </c>
      <c r="P3076" s="213" t="s">
        <v>25692</v>
      </c>
      <c r="Q3076" s="213" t="s">
        <v>25693</v>
      </c>
      <c r="R3076" s="213" t="s">
        <v>25694</v>
      </c>
      <c r="S3076" s="213" t="s">
        <v>25695</v>
      </c>
      <c r="T3076" s="213" t="s">
        <v>25696</v>
      </c>
      <c r="U3076" s="213" t="s">
        <v>67011</v>
      </c>
    </row>
    <row r="3077" spans="1:21" x14ac:dyDescent="0.25">
      <c r="A3077" s="213" t="s">
        <v>327</v>
      </c>
      <c r="D3077" s="213" t="s">
        <v>25697</v>
      </c>
      <c r="E3077" s="213" t="s">
        <v>25698</v>
      </c>
      <c r="K3077" s="213" t="s">
        <v>66844</v>
      </c>
      <c r="L3077" s="213" t="s">
        <v>66900</v>
      </c>
      <c r="M3077" s="213" t="s">
        <v>66956</v>
      </c>
      <c r="N3077" s="213" t="s">
        <v>25699</v>
      </c>
      <c r="O3077" s="213" t="s">
        <v>25700</v>
      </c>
      <c r="P3077" s="213" t="s">
        <v>25701</v>
      </c>
      <c r="Q3077" s="213" t="s">
        <v>25702</v>
      </c>
      <c r="R3077" s="213" t="s">
        <v>25703</v>
      </c>
      <c r="S3077" s="213" t="s">
        <v>25704</v>
      </c>
      <c r="T3077" s="213" t="s">
        <v>25705</v>
      </c>
      <c r="U3077" s="213" t="s">
        <v>67012</v>
      </c>
    </row>
    <row r="3078" spans="1:21" x14ac:dyDescent="0.25">
      <c r="A3078" s="213" t="s">
        <v>327</v>
      </c>
      <c r="D3078" s="213" t="s">
        <v>25706</v>
      </c>
      <c r="E3078" s="213" t="s">
        <v>25707</v>
      </c>
      <c r="K3078" s="213" t="s">
        <v>66845</v>
      </c>
      <c r="L3078" s="213" t="s">
        <v>66901</v>
      </c>
      <c r="M3078" s="213" t="s">
        <v>66957</v>
      </c>
      <c r="N3078" s="213" t="s">
        <v>25708</v>
      </c>
      <c r="O3078" s="213" t="s">
        <v>25709</v>
      </c>
      <c r="P3078" s="213" t="s">
        <v>25710</v>
      </c>
      <c r="Q3078" s="213" t="s">
        <v>25711</v>
      </c>
      <c r="R3078" s="213" t="s">
        <v>25712</v>
      </c>
      <c r="S3078" s="213" t="s">
        <v>25713</v>
      </c>
      <c r="T3078" s="213" t="s">
        <v>25714</v>
      </c>
      <c r="U3078" s="213" t="s">
        <v>67013</v>
      </c>
    </row>
    <row r="3079" spans="1:21" x14ac:dyDescent="0.25">
      <c r="A3079" s="213" t="s">
        <v>327</v>
      </c>
    </row>
    <row r="3080" spans="1:21" x14ac:dyDescent="0.25">
      <c r="A3080" s="213" t="s">
        <v>327</v>
      </c>
    </row>
    <row r="3081" spans="1:21" x14ac:dyDescent="0.25">
      <c r="A3081" s="213" t="s">
        <v>327</v>
      </c>
      <c r="C3081" s="213" t="s">
        <v>25715</v>
      </c>
      <c r="E3081" s="213" t="s">
        <v>25716</v>
      </c>
      <c r="H3081" s="213" t="s">
        <v>25717</v>
      </c>
      <c r="I3081" s="213" t="s">
        <v>25718</v>
      </c>
      <c r="J3081" s="213" t="s">
        <v>25719</v>
      </c>
      <c r="L3081" s="213" t="s">
        <v>25720</v>
      </c>
      <c r="O3081" s="213" t="s">
        <v>25721</v>
      </c>
      <c r="P3081" s="213" t="s">
        <v>25722</v>
      </c>
      <c r="Q3081" s="213" t="s">
        <v>25723</v>
      </c>
      <c r="R3081" s="213" t="s">
        <v>25724</v>
      </c>
      <c r="S3081" s="213" t="s">
        <v>25725</v>
      </c>
      <c r="T3081" s="213" t="s">
        <v>25726</v>
      </c>
    </row>
    <row r="3082" spans="1:21" x14ac:dyDescent="0.25">
      <c r="A3082" s="213" t="s">
        <v>327</v>
      </c>
      <c r="C3082" s="213" t="s">
        <v>25727</v>
      </c>
      <c r="E3082" s="213" t="s">
        <v>25728</v>
      </c>
      <c r="I3082" s="213" t="s">
        <v>25729</v>
      </c>
    </row>
    <row r="3083" spans="1:21" x14ac:dyDescent="0.25">
      <c r="A3083" s="213" t="s">
        <v>327</v>
      </c>
      <c r="C3083" s="213" t="s">
        <v>25730</v>
      </c>
      <c r="E3083" s="213" t="s">
        <v>25731</v>
      </c>
      <c r="I3083" s="213" t="s">
        <v>25732</v>
      </c>
    </row>
    <row r="3084" spans="1:21" x14ac:dyDescent="0.25">
      <c r="A3084" s="213" t="s">
        <v>328</v>
      </c>
    </row>
    <row r="3085" spans="1:21" x14ac:dyDescent="0.25">
      <c r="A3085" s="213" t="s">
        <v>327</v>
      </c>
      <c r="D3085" s="213" t="s">
        <v>25733</v>
      </c>
      <c r="E3085" s="213" t="s">
        <v>25734</v>
      </c>
      <c r="K3085" s="213" t="s">
        <v>66634</v>
      </c>
      <c r="L3085" s="213" t="s">
        <v>66673</v>
      </c>
      <c r="M3085" s="213" t="s">
        <v>66712</v>
      </c>
      <c r="N3085" s="213" t="s">
        <v>25735</v>
      </c>
      <c r="O3085" s="213" t="s">
        <v>25736</v>
      </c>
      <c r="P3085" s="213" t="s">
        <v>25737</v>
      </c>
      <c r="Q3085" s="213" t="s">
        <v>25738</v>
      </c>
      <c r="R3085" s="213" t="s">
        <v>25739</v>
      </c>
      <c r="S3085" s="213" t="s">
        <v>25740</v>
      </c>
      <c r="T3085" s="213" t="s">
        <v>25741</v>
      </c>
      <c r="U3085" s="213" t="s">
        <v>66751</v>
      </c>
    </row>
    <row r="3086" spans="1:21" x14ac:dyDescent="0.25">
      <c r="A3086" s="213" t="s">
        <v>327</v>
      </c>
      <c r="D3086" s="213" t="s">
        <v>25742</v>
      </c>
      <c r="E3086" s="213" t="s">
        <v>25743</v>
      </c>
      <c r="K3086" s="213" t="s">
        <v>66635</v>
      </c>
      <c r="L3086" s="213" t="s">
        <v>66674</v>
      </c>
      <c r="M3086" s="213" t="s">
        <v>66713</v>
      </c>
      <c r="N3086" s="213" t="s">
        <v>25744</v>
      </c>
      <c r="O3086" s="213" t="s">
        <v>25745</v>
      </c>
      <c r="P3086" s="213" t="s">
        <v>25746</v>
      </c>
      <c r="Q3086" s="213" t="s">
        <v>25747</v>
      </c>
      <c r="R3086" s="213" t="s">
        <v>25748</v>
      </c>
      <c r="S3086" s="213" t="s">
        <v>25749</v>
      </c>
      <c r="T3086" s="213" t="s">
        <v>25750</v>
      </c>
      <c r="U3086" s="213" t="s">
        <v>66752</v>
      </c>
    </row>
    <row r="3087" spans="1:21" x14ac:dyDescent="0.25">
      <c r="A3087" s="213" t="s">
        <v>327</v>
      </c>
      <c r="D3087" s="213" t="s">
        <v>25751</v>
      </c>
      <c r="E3087" s="213" t="s">
        <v>25752</v>
      </c>
      <c r="K3087" s="213" t="s">
        <v>66636</v>
      </c>
      <c r="L3087" s="213" t="s">
        <v>66675</v>
      </c>
      <c r="M3087" s="213" t="s">
        <v>66714</v>
      </c>
      <c r="N3087" s="213" t="s">
        <v>25753</v>
      </c>
      <c r="O3087" s="213" t="s">
        <v>25754</v>
      </c>
      <c r="P3087" s="213" t="s">
        <v>25755</v>
      </c>
      <c r="Q3087" s="213" t="s">
        <v>25756</v>
      </c>
      <c r="R3087" s="213" t="s">
        <v>25757</v>
      </c>
      <c r="S3087" s="213" t="s">
        <v>25758</v>
      </c>
      <c r="T3087" s="213" t="s">
        <v>25759</v>
      </c>
      <c r="U3087" s="213" t="s">
        <v>66753</v>
      </c>
    </row>
    <row r="3088" spans="1:21" x14ac:dyDescent="0.25">
      <c r="A3088" s="213" t="s">
        <v>327</v>
      </c>
      <c r="D3088" s="213" t="s">
        <v>25760</v>
      </c>
      <c r="E3088" s="213" t="s">
        <v>25761</v>
      </c>
      <c r="K3088" s="213" t="s">
        <v>66637</v>
      </c>
      <c r="L3088" s="213" t="s">
        <v>66676</v>
      </c>
      <c r="M3088" s="213" t="s">
        <v>66715</v>
      </c>
      <c r="N3088" s="213" t="s">
        <v>25762</v>
      </c>
      <c r="O3088" s="213" t="s">
        <v>25763</v>
      </c>
      <c r="P3088" s="213" t="s">
        <v>25764</v>
      </c>
      <c r="Q3088" s="213" t="s">
        <v>25765</v>
      </c>
      <c r="R3088" s="213" t="s">
        <v>25766</v>
      </c>
      <c r="S3088" s="213" t="s">
        <v>25767</v>
      </c>
      <c r="T3088" s="213" t="s">
        <v>25768</v>
      </c>
      <c r="U3088" s="213" t="s">
        <v>66754</v>
      </c>
    </row>
    <row r="3089" spans="1:21" x14ac:dyDescent="0.25">
      <c r="A3089" s="213" t="s">
        <v>327</v>
      </c>
      <c r="D3089" s="213" t="s">
        <v>25769</v>
      </c>
      <c r="E3089" s="213" t="s">
        <v>25770</v>
      </c>
      <c r="K3089" s="213" t="s">
        <v>66638</v>
      </c>
      <c r="L3089" s="213" t="s">
        <v>66677</v>
      </c>
      <c r="M3089" s="213" t="s">
        <v>66716</v>
      </c>
      <c r="N3089" s="213" t="s">
        <v>25771</v>
      </c>
      <c r="O3089" s="213" t="s">
        <v>25772</v>
      </c>
      <c r="P3089" s="213" t="s">
        <v>25773</v>
      </c>
      <c r="Q3089" s="213" t="s">
        <v>25774</v>
      </c>
      <c r="R3089" s="213" t="s">
        <v>25775</v>
      </c>
      <c r="S3089" s="213" t="s">
        <v>25776</v>
      </c>
      <c r="T3089" s="213" t="s">
        <v>25777</v>
      </c>
      <c r="U3089" s="213" t="s">
        <v>66755</v>
      </c>
    </row>
    <row r="3090" spans="1:21" x14ac:dyDescent="0.25">
      <c r="A3090" s="213" t="s">
        <v>327</v>
      </c>
      <c r="D3090" s="213" t="s">
        <v>25778</v>
      </c>
      <c r="E3090" s="213" t="s">
        <v>25779</v>
      </c>
      <c r="K3090" s="213" t="s">
        <v>66639</v>
      </c>
      <c r="L3090" s="213" t="s">
        <v>66678</v>
      </c>
      <c r="M3090" s="213" t="s">
        <v>66717</v>
      </c>
      <c r="N3090" s="213" t="s">
        <v>25780</v>
      </c>
      <c r="O3090" s="213" t="s">
        <v>25781</v>
      </c>
      <c r="P3090" s="213" t="s">
        <v>25782</v>
      </c>
      <c r="Q3090" s="213" t="s">
        <v>25783</v>
      </c>
      <c r="R3090" s="213" t="s">
        <v>25784</v>
      </c>
      <c r="S3090" s="213" t="s">
        <v>25785</v>
      </c>
      <c r="T3090" s="213" t="s">
        <v>25786</v>
      </c>
      <c r="U3090" s="213" t="s">
        <v>66756</v>
      </c>
    </row>
    <row r="3091" spans="1:21" x14ac:dyDescent="0.25">
      <c r="A3091" s="213" t="s">
        <v>327</v>
      </c>
      <c r="D3091" s="213" t="s">
        <v>25787</v>
      </c>
      <c r="E3091" s="213" t="s">
        <v>25788</v>
      </c>
      <c r="K3091" s="213" t="s">
        <v>66640</v>
      </c>
      <c r="L3091" s="213" t="s">
        <v>66679</v>
      </c>
      <c r="M3091" s="213" t="s">
        <v>66718</v>
      </c>
      <c r="N3091" s="213" t="s">
        <v>25789</v>
      </c>
      <c r="O3091" s="213" t="s">
        <v>25790</v>
      </c>
      <c r="P3091" s="213" t="s">
        <v>25791</v>
      </c>
      <c r="Q3091" s="213" t="s">
        <v>25792</v>
      </c>
      <c r="R3091" s="213" t="s">
        <v>25793</v>
      </c>
      <c r="S3091" s="213" t="s">
        <v>25794</v>
      </c>
      <c r="T3091" s="213" t="s">
        <v>25795</v>
      </c>
      <c r="U3091" s="213" t="s">
        <v>66757</v>
      </c>
    </row>
    <row r="3092" spans="1:21" x14ac:dyDescent="0.25">
      <c r="A3092" s="213" t="s">
        <v>327</v>
      </c>
      <c r="D3092" s="213" t="s">
        <v>25796</v>
      </c>
      <c r="E3092" s="213" t="s">
        <v>25797</v>
      </c>
      <c r="K3092" s="213" t="s">
        <v>66641</v>
      </c>
      <c r="L3092" s="213" t="s">
        <v>66680</v>
      </c>
      <c r="M3092" s="213" t="s">
        <v>66719</v>
      </c>
      <c r="N3092" s="213" t="s">
        <v>25798</v>
      </c>
      <c r="O3092" s="213" t="s">
        <v>25799</v>
      </c>
      <c r="P3092" s="213" t="s">
        <v>25800</v>
      </c>
      <c r="Q3092" s="213" t="s">
        <v>25801</v>
      </c>
      <c r="R3092" s="213" t="s">
        <v>25802</v>
      </c>
      <c r="S3092" s="213" t="s">
        <v>25803</v>
      </c>
      <c r="T3092" s="213" t="s">
        <v>25804</v>
      </c>
      <c r="U3092" s="213" t="s">
        <v>66758</v>
      </c>
    </row>
    <row r="3093" spans="1:21" x14ac:dyDescent="0.25">
      <c r="A3093" s="213" t="s">
        <v>327</v>
      </c>
      <c r="D3093" s="213" t="s">
        <v>25805</v>
      </c>
      <c r="E3093" s="213" t="s">
        <v>25806</v>
      </c>
      <c r="K3093" s="213" t="s">
        <v>66642</v>
      </c>
      <c r="L3093" s="213" t="s">
        <v>66681</v>
      </c>
      <c r="M3093" s="213" t="s">
        <v>66720</v>
      </c>
      <c r="N3093" s="213" t="s">
        <v>25807</v>
      </c>
      <c r="O3093" s="213" t="s">
        <v>25808</v>
      </c>
      <c r="P3093" s="213" t="s">
        <v>25809</v>
      </c>
      <c r="Q3093" s="213" t="s">
        <v>25810</v>
      </c>
      <c r="R3093" s="213" t="s">
        <v>25811</v>
      </c>
      <c r="S3093" s="213" t="s">
        <v>25812</v>
      </c>
      <c r="T3093" s="213" t="s">
        <v>25813</v>
      </c>
      <c r="U3093" s="213" t="s">
        <v>66759</v>
      </c>
    </row>
    <row r="3094" spans="1:21" x14ac:dyDescent="0.25">
      <c r="A3094" s="213" t="s">
        <v>327</v>
      </c>
      <c r="D3094" s="213" t="s">
        <v>25814</v>
      </c>
      <c r="E3094" s="213" t="s">
        <v>25815</v>
      </c>
      <c r="K3094" s="213" t="s">
        <v>66643</v>
      </c>
      <c r="L3094" s="213" t="s">
        <v>66682</v>
      </c>
      <c r="M3094" s="213" t="s">
        <v>66721</v>
      </c>
      <c r="N3094" s="213" t="s">
        <v>25816</v>
      </c>
      <c r="O3094" s="213" t="s">
        <v>25817</v>
      </c>
      <c r="P3094" s="213" t="s">
        <v>25818</v>
      </c>
      <c r="Q3094" s="213" t="s">
        <v>25819</v>
      </c>
      <c r="R3094" s="213" t="s">
        <v>25820</v>
      </c>
      <c r="S3094" s="213" t="s">
        <v>25821</v>
      </c>
      <c r="T3094" s="213" t="s">
        <v>25822</v>
      </c>
      <c r="U3094" s="213" t="s">
        <v>66760</v>
      </c>
    </row>
    <row r="3095" spans="1:21" x14ac:dyDescent="0.25">
      <c r="A3095" s="213" t="s">
        <v>327</v>
      </c>
      <c r="D3095" s="213" t="s">
        <v>25823</v>
      </c>
      <c r="E3095" s="213" t="s">
        <v>25824</v>
      </c>
      <c r="K3095" s="213" t="s">
        <v>66644</v>
      </c>
      <c r="L3095" s="213" t="s">
        <v>66683</v>
      </c>
      <c r="M3095" s="213" t="s">
        <v>66722</v>
      </c>
      <c r="N3095" s="213" t="s">
        <v>25825</v>
      </c>
      <c r="O3095" s="213" t="s">
        <v>25826</v>
      </c>
      <c r="P3095" s="213" t="s">
        <v>25827</v>
      </c>
      <c r="Q3095" s="213" t="s">
        <v>25828</v>
      </c>
      <c r="R3095" s="213" t="s">
        <v>25829</v>
      </c>
      <c r="S3095" s="213" t="s">
        <v>25830</v>
      </c>
      <c r="T3095" s="213" t="s">
        <v>25831</v>
      </c>
      <c r="U3095" s="213" t="s">
        <v>66761</v>
      </c>
    </row>
    <row r="3096" spans="1:21" x14ac:dyDescent="0.25">
      <c r="A3096" s="213" t="s">
        <v>327</v>
      </c>
      <c r="D3096" s="213" t="s">
        <v>25832</v>
      </c>
      <c r="E3096" s="213" t="s">
        <v>25833</v>
      </c>
      <c r="K3096" s="213" t="s">
        <v>66645</v>
      </c>
      <c r="L3096" s="213" t="s">
        <v>66684</v>
      </c>
      <c r="M3096" s="213" t="s">
        <v>66723</v>
      </c>
      <c r="N3096" s="213" t="s">
        <v>25834</v>
      </c>
      <c r="O3096" s="213" t="s">
        <v>25835</v>
      </c>
      <c r="P3096" s="213" t="s">
        <v>25836</v>
      </c>
      <c r="Q3096" s="213" t="s">
        <v>25837</v>
      </c>
      <c r="R3096" s="213" t="s">
        <v>25838</v>
      </c>
      <c r="S3096" s="213" t="s">
        <v>25839</v>
      </c>
      <c r="T3096" s="213" t="s">
        <v>25840</v>
      </c>
      <c r="U3096" s="213" t="s">
        <v>66762</v>
      </c>
    </row>
    <row r="3097" spans="1:21" x14ac:dyDescent="0.25">
      <c r="A3097" s="213" t="s">
        <v>327</v>
      </c>
      <c r="D3097" s="213" t="s">
        <v>25841</v>
      </c>
      <c r="E3097" s="213" t="s">
        <v>25842</v>
      </c>
      <c r="K3097" s="213" t="s">
        <v>66646</v>
      </c>
      <c r="L3097" s="213" t="s">
        <v>66685</v>
      </c>
      <c r="M3097" s="213" t="s">
        <v>66724</v>
      </c>
      <c r="N3097" s="213" t="s">
        <v>25843</v>
      </c>
      <c r="O3097" s="213" t="s">
        <v>25844</v>
      </c>
      <c r="P3097" s="213" t="s">
        <v>25845</v>
      </c>
      <c r="Q3097" s="213" t="s">
        <v>25846</v>
      </c>
      <c r="R3097" s="213" t="s">
        <v>25847</v>
      </c>
      <c r="S3097" s="213" t="s">
        <v>25848</v>
      </c>
      <c r="T3097" s="213" t="s">
        <v>25849</v>
      </c>
      <c r="U3097" s="213" t="s">
        <v>66763</v>
      </c>
    </row>
    <row r="3098" spans="1:21" x14ac:dyDescent="0.25">
      <c r="A3098" s="213" t="s">
        <v>327</v>
      </c>
      <c r="D3098" s="213" t="s">
        <v>25850</v>
      </c>
      <c r="E3098" s="213" t="s">
        <v>25851</v>
      </c>
      <c r="K3098" s="213" t="s">
        <v>66647</v>
      </c>
      <c r="L3098" s="213" t="s">
        <v>66686</v>
      </c>
      <c r="M3098" s="213" t="s">
        <v>66725</v>
      </c>
      <c r="N3098" s="213" t="s">
        <v>25852</v>
      </c>
      <c r="O3098" s="213" t="s">
        <v>25853</v>
      </c>
      <c r="P3098" s="213" t="s">
        <v>25854</v>
      </c>
      <c r="Q3098" s="213" t="s">
        <v>25855</v>
      </c>
      <c r="R3098" s="213" t="s">
        <v>25856</v>
      </c>
      <c r="S3098" s="213" t="s">
        <v>25857</v>
      </c>
      <c r="T3098" s="213" t="s">
        <v>25858</v>
      </c>
      <c r="U3098" s="213" t="s">
        <v>66764</v>
      </c>
    </row>
    <row r="3099" spans="1:21" x14ac:dyDescent="0.25">
      <c r="A3099" s="213" t="s">
        <v>327</v>
      </c>
      <c r="D3099" s="213" t="s">
        <v>25859</v>
      </c>
      <c r="E3099" s="213" t="s">
        <v>25860</v>
      </c>
      <c r="K3099" s="213" t="s">
        <v>66648</v>
      </c>
      <c r="L3099" s="213" t="s">
        <v>66687</v>
      </c>
      <c r="M3099" s="213" t="s">
        <v>66726</v>
      </c>
      <c r="N3099" s="213" t="s">
        <v>25861</v>
      </c>
      <c r="O3099" s="213" t="s">
        <v>25862</v>
      </c>
      <c r="P3099" s="213" t="s">
        <v>25863</v>
      </c>
      <c r="Q3099" s="213" t="s">
        <v>25864</v>
      </c>
      <c r="R3099" s="213" t="s">
        <v>25865</v>
      </c>
      <c r="S3099" s="213" t="s">
        <v>25866</v>
      </c>
      <c r="T3099" s="213" t="s">
        <v>25867</v>
      </c>
      <c r="U3099" s="213" t="s">
        <v>66765</v>
      </c>
    </row>
    <row r="3100" spans="1:21" x14ac:dyDescent="0.25">
      <c r="A3100" s="213" t="s">
        <v>327</v>
      </c>
      <c r="D3100" s="213" t="s">
        <v>25868</v>
      </c>
      <c r="E3100" s="213" t="s">
        <v>25869</v>
      </c>
      <c r="K3100" s="213" t="s">
        <v>66649</v>
      </c>
      <c r="L3100" s="213" t="s">
        <v>66688</v>
      </c>
      <c r="M3100" s="213" t="s">
        <v>66727</v>
      </c>
      <c r="N3100" s="213" t="s">
        <v>25870</v>
      </c>
      <c r="O3100" s="213" t="s">
        <v>25871</v>
      </c>
      <c r="P3100" s="213" t="s">
        <v>25872</v>
      </c>
      <c r="Q3100" s="213" t="s">
        <v>25873</v>
      </c>
      <c r="R3100" s="213" t="s">
        <v>25874</v>
      </c>
      <c r="S3100" s="213" t="s">
        <v>25875</v>
      </c>
      <c r="T3100" s="213" t="s">
        <v>25876</v>
      </c>
      <c r="U3100" s="213" t="s">
        <v>66766</v>
      </c>
    </row>
    <row r="3101" spans="1:21" x14ac:dyDescent="0.25">
      <c r="A3101" s="213" t="s">
        <v>327</v>
      </c>
      <c r="D3101" s="213" t="s">
        <v>25877</v>
      </c>
      <c r="E3101" s="213" t="s">
        <v>25878</v>
      </c>
      <c r="K3101" s="213" t="s">
        <v>66650</v>
      </c>
      <c r="L3101" s="213" t="s">
        <v>66689</v>
      </c>
      <c r="M3101" s="213" t="s">
        <v>66728</v>
      </c>
      <c r="N3101" s="213" t="s">
        <v>25879</v>
      </c>
      <c r="O3101" s="213" t="s">
        <v>25880</v>
      </c>
      <c r="P3101" s="213" t="s">
        <v>25881</v>
      </c>
      <c r="Q3101" s="213" t="s">
        <v>25882</v>
      </c>
      <c r="R3101" s="213" t="s">
        <v>25883</v>
      </c>
      <c r="S3101" s="213" t="s">
        <v>25884</v>
      </c>
      <c r="T3101" s="213" t="s">
        <v>25885</v>
      </c>
      <c r="U3101" s="213" t="s">
        <v>66767</v>
      </c>
    </row>
    <row r="3102" spans="1:21" x14ac:dyDescent="0.25">
      <c r="A3102" s="213" t="s">
        <v>327</v>
      </c>
      <c r="D3102" s="213" t="s">
        <v>25886</v>
      </c>
      <c r="E3102" s="213" t="s">
        <v>25887</v>
      </c>
      <c r="K3102" s="213" t="s">
        <v>66651</v>
      </c>
      <c r="L3102" s="213" t="s">
        <v>66690</v>
      </c>
      <c r="M3102" s="213" t="s">
        <v>66729</v>
      </c>
      <c r="N3102" s="213" t="s">
        <v>25888</v>
      </c>
      <c r="O3102" s="213" t="s">
        <v>25889</v>
      </c>
      <c r="P3102" s="213" t="s">
        <v>25890</v>
      </c>
      <c r="Q3102" s="213" t="s">
        <v>25891</v>
      </c>
      <c r="R3102" s="213" t="s">
        <v>25892</v>
      </c>
      <c r="S3102" s="213" t="s">
        <v>25893</v>
      </c>
      <c r="T3102" s="213" t="s">
        <v>25894</v>
      </c>
      <c r="U3102" s="213" t="s">
        <v>66768</v>
      </c>
    </row>
    <row r="3103" spans="1:21" x14ac:dyDescent="0.25">
      <c r="A3103" s="213" t="s">
        <v>327</v>
      </c>
      <c r="D3103" s="213" t="s">
        <v>25895</v>
      </c>
      <c r="E3103" s="213" t="s">
        <v>25896</v>
      </c>
      <c r="K3103" s="213" t="s">
        <v>66652</v>
      </c>
      <c r="L3103" s="213" t="s">
        <v>66691</v>
      </c>
      <c r="M3103" s="213" t="s">
        <v>66730</v>
      </c>
      <c r="N3103" s="213" t="s">
        <v>25897</v>
      </c>
      <c r="O3103" s="213" t="s">
        <v>25898</v>
      </c>
      <c r="P3103" s="213" t="s">
        <v>25899</v>
      </c>
      <c r="Q3103" s="213" t="s">
        <v>25900</v>
      </c>
      <c r="R3103" s="213" t="s">
        <v>25901</v>
      </c>
      <c r="S3103" s="213" t="s">
        <v>25902</v>
      </c>
      <c r="T3103" s="213" t="s">
        <v>25903</v>
      </c>
      <c r="U3103" s="213" t="s">
        <v>66769</v>
      </c>
    </row>
    <row r="3104" spans="1:21" x14ac:dyDescent="0.25">
      <c r="A3104" s="213" t="s">
        <v>327</v>
      </c>
      <c r="D3104" s="213" t="s">
        <v>25904</v>
      </c>
      <c r="E3104" s="213" t="s">
        <v>25905</v>
      </c>
      <c r="K3104" s="213" t="s">
        <v>66653</v>
      </c>
      <c r="L3104" s="213" t="s">
        <v>66692</v>
      </c>
      <c r="M3104" s="213" t="s">
        <v>66731</v>
      </c>
      <c r="N3104" s="213" t="s">
        <v>25906</v>
      </c>
      <c r="O3104" s="213" t="s">
        <v>25907</v>
      </c>
      <c r="P3104" s="213" t="s">
        <v>25908</v>
      </c>
      <c r="Q3104" s="213" t="s">
        <v>25909</v>
      </c>
      <c r="R3104" s="213" t="s">
        <v>25910</v>
      </c>
      <c r="S3104" s="213" t="s">
        <v>25911</v>
      </c>
      <c r="T3104" s="213" t="s">
        <v>25912</v>
      </c>
      <c r="U3104" s="213" t="s">
        <v>66770</v>
      </c>
    </row>
    <row r="3105" spans="1:21" x14ac:dyDescent="0.25">
      <c r="A3105" s="213" t="s">
        <v>327</v>
      </c>
      <c r="D3105" s="213" t="s">
        <v>25913</v>
      </c>
      <c r="E3105" s="213" t="s">
        <v>25914</v>
      </c>
      <c r="K3105" s="213" t="s">
        <v>66654</v>
      </c>
      <c r="L3105" s="213" t="s">
        <v>66693</v>
      </c>
      <c r="M3105" s="213" t="s">
        <v>66732</v>
      </c>
      <c r="N3105" s="213" t="s">
        <v>25915</v>
      </c>
      <c r="O3105" s="213" t="s">
        <v>25916</v>
      </c>
      <c r="P3105" s="213" t="s">
        <v>25917</v>
      </c>
      <c r="Q3105" s="213" t="s">
        <v>25918</v>
      </c>
      <c r="R3105" s="213" t="s">
        <v>25919</v>
      </c>
      <c r="S3105" s="213" t="s">
        <v>25920</v>
      </c>
      <c r="T3105" s="213" t="s">
        <v>25921</v>
      </c>
      <c r="U3105" s="213" t="s">
        <v>66771</v>
      </c>
    </row>
    <row r="3106" spans="1:21" x14ac:dyDescent="0.25">
      <c r="A3106" s="213" t="s">
        <v>327</v>
      </c>
      <c r="D3106" s="213" t="s">
        <v>25922</v>
      </c>
      <c r="E3106" s="213" t="s">
        <v>25923</v>
      </c>
      <c r="K3106" s="213" t="s">
        <v>66655</v>
      </c>
      <c r="L3106" s="213" t="s">
        <v>66694</v>
      </c>
      <c r="M3106" s="213" t="s">
        <v>66733</v>
      </c>
      <c r="N3106" s="213" t="s">
        <v>25924</v>
      </c>
      <c r="O3106" s="213" t="s">
        <v>25925</v>
      </c>
      <c r="P3106" s="213" t="s">
        <v>25926</v>
      </c>
      <c r="Q3106" s="213" t="s">
        <v>25927</v>
      </c>
      <c r="R3106" s="213" t="s">
        <v>25928</v>
      </c>
      <c r="S3106" s="213" t="s">
        <v>25929</v>
      </c>
      <c r="T3106" s="213" t="s">
        <v>25930</v>
      </c>
      <c r="U3106" s="213" t="s">
        <v>66772</v>
      </c>
    </row>
    <row r="3107" spans="1:21" x14ac:dyDescent="0.25">
      <c r="A3107" s="213" t="s">
        <v>327</v>
      </c>
      <c r="D3107" s="213" t="s">
        <v>25931</v>
      </c>
      <c r="E3107" s="213" t="s">
        <v>25932</v>
      </c>
      <c r="K3107" s="213" t="s">
        <v>66656</v>
      </c>
      <c r="L3107" s="213" t="s">
        <v>66695</v>
      </c>
      <c r="M3107" s="213" t="s">
        <v>66734</v>
      </c>
      <c r="N3107" s="213" t="s">
        <v>25933</v>
      </c>
      <c r="O3107" s="213" t="s">
        <v>25934</v>
      </c>
      <c r="P3107" s="213" t="s">
        <v>25935</v>
      </c>
      <c r="Q3107" s="213" t="s">
        <v>25936</v>
      </c>
      <c r="R3107" s="213" t="s">
        <v>25937</v>
      </c>
      <c r="S3107" s="213" t="s">
        <v>25938</v>
      </c>
      <c r="T3107" s="213" t="s">
        <v>25939</v>
      </c>
      <c r="U3107" s="213" t="s">
        <v>66773</v>
      </c>
    </row>
    <row r="3108" spans="1:21" x14ac:dyDescent="0.25">
      <c r="A3108" s="213" t="s">
        <v>327</v>
      </c>
      <c r="D3108" s="213" t="s">
        <v>25940</v>
      </c>
      <c r="E3108" s="213" t="s">
        <v>25941</v>
      </c>
      <c r="K3108" s="213" t="s">
        <v>66657</v>
      </c>
      <c r="L3108" s="213" t="s">
        <v>66696</v>
      </c>
      <c r="M3108" s="213" t="s">
        <v>66735</v>
      </c>
      <c r="N3108" s="213" t="s">
        <v>25942</v>
      </c>
      <c r="O3108" s="213" t="s">
        <v>25943</v>
      </c>
      <c r="P3108" s="213" t="s">
        <v>25944</v>
      </c>
      <c r="Q3108" s="213" t="s">
        <v>25945</v>
      </c>
      <c r="R3108" s="213" t="s">
        <v>25946</v>
      </c>
      <c r="S3108" s="213" t="s">
        <v>25947</v>
      </c>
      <c r="T3108" s="213" t="s">
        <v>25948</v>
      </c>
      <c r="U3108" s="213" t="s">
        <v>66774</v>
      </c>
    </row>
    <row r="3109" spans="1:21" x14ac:dyDescent="0.25">
      <c r="A3109" s="213" t="s">
        <v>327</v>
      </c>
      <c r="D3109" s="213" t="s">
        <v>25949</v>
      </c>
      <c r="E3109" s="213" t="s">
        <v>25950</v>
      </c>
      <c r="K3109" s="213" t="s">
        <v>66658</v>
      </c>
      <c r="L3109" s="213" t="s">
        <v>66697</v>
      </c>
      <c r="M3109" s="213" t="s">
        <v>66736</v>
      </c>
      <c r="N3109" s="213" t="s">
        <v>25951</v>
      </c>
      <c r="O3109" s="213" t="s">
        <v>25952</v>
      </c>
      <c r="P3109" s="213" t="s">
        <v>25953</v>
      </c>
      <c r="Q3109" s="213" t="s">
        <v>25954</v>
      </c>
      <c r="R3109" s="213" t="s">
        <v>25955</v>
      </c>
      <c r="S3109" s="213" t="s">
        <v>25956</v>
      </c>
      <c r="T3109" s="213" t="s">
        <v>25957</v>
      </c>
      <c r="U3109" s="213" t="s">
        <v>66775</v>
      </c>
    </row>
    <row r="3110" spans="1:21" x14ac:dyDescent="0.25">
      <c r="A3110" s="213" t="s">
        <v>327</v>
      </c>
      <c r="D3110" s="213" t="s">
        <v>25958</v>
      </c>
      <c r="E3110" s="213" t="s">
        <v>25959</v>
      </c>
      <c r="K3110" s="213" t="s">
        <v>66659</v>
      </c>
      <c r="L3110" s="213" t="s">
        <v>66698</v>
      </c>
      <c r="M3110" s="213" t="s">
        <v>66737</v>
      </c>
      <c r="N3110" s="213" t="s">
        <v>25960</v>
      </c>
      <c r="O3110" s="213" t="s">
        <v>25961</v>
      </c>
      <c r="P3110" s="213" t="s">
        <v>25962</v>
      </c>
      <c r="Q3110" s="213" t="s">
        <v>25963</v>
      </c>
      <c r="R3110" s="213" t="s">
        <v>25964</v>
      </c>
      <c r="S3110" s="213" t="s">
        <v>25965</v>
      </c>
      <c r="T3110" s="213" t="s">
        <v>25966</v>
      </c>
      <c r="U3110" s="213" t="s">
        <v>66776</v>
      </c>
    </row>
    <row r="3111" spans="1:21" x14ac:dyDescent="0.25">
      <c r="A3111" s="213" t="s">
        <v>327</v>
      </c>
      <c r="D3111" s="213" t="s">
        <v>25967</v>
      </c>
      <c r="E3111" s="213" t="s">
        <v>25968</v>
      </c>
      <c r="K3111" s="213" t="s">
        <v>66660</v>
      </c>
      <c r="L3111" s="213" t="s">
        <v>66699</v>
      </c>
      <c r="M3111" s="213" t="s">
        <v>66738</v>
      </c>
      <c r="N3111" s="213" t="s">
        <v>25969</v>
      </c>
      <c r="O3111" s="213" t="s">
        <v>25970</v>
      </c>
      <c r="P3111" s="213" t="s">
        <v>25971</v>
      </c>
      <c r="Q3111" s="213" t="s">
        <v>25972</v>
      </c>
      <c r="R3111" s="213" t="s">
        <v>25973</v>
      </c>
      <c r="S3111" s="213" t="s">
        <v>25974</v>
      </c>
      <c r="T3111" s="213" t="s">
        <v>25975</v>
      </c>
      <c r="U3111" s="213" t="s">
        <v>66777</v>
      </c>
    </row>
    <row r="3112" spans="1:21" x14ac:dyDescent="0.25">
      <c r="A3112" s="213" t="s">
        <v>327</v>
      </c>
      <c r="D3112" s="213" t="s">
        <v>25976</v>
      </c>
      <c r="E3112" s="213" t="s">
        <v>25977</v>
      </c>
      <c r="K3112" s="213" t="s">
        <v>66661</v>
      </c>
      <c r="L3112" s="213" t="s">
        <v>66700</v>
      </c>
      <c r="M3112" s="213" t="s">
        <v>66739</v>
      </c>
      <c r="N3112" s="213" t="s">
        <v>25978</v>
      </c>
      <c r="O3112" s="213" t="s">
        <v>25979</v>
      </c>
      <c r="P3112" s="213" t="s">
        <v>25980</v>
      </c>
      <c r="Q3112" s="213" t="s">
        <v>25981</v>
      </c>
      <c r="R3112" s="213" t="s">
        <v>25982</v>
      </c>
      <c r="S3112" s="213" t="s">
        <v>25983</v>
      </c>
      <c r="T3112" s="213" t="s">
        <v>25984</v>
      </c>
      <c r="U3112" s="213" t="s">
        <v>66778</v>
      </c>
    </row>
    <row r="3113" spans="1:21" x14ac:dyDescent="0.25">
      <c r="A3113" s="213" t="s">
        <v>327</v>
      </c>
      <c r="D3113" s="213" t="s">
        <v>25985</v>
      </c>
      <c r="E3113" s="213" t="s">
        <v>25986</v>
      </c>
      <c r="K3113" s="213" t="s">
        <v>66662</v>
      </c>
      <c r="L3113" s="213" t="s">
        <v>66701</v>
      </c>
      <c r="M3113" s="213" t="s">
        <v>66740</v>
      </c>
      <c r="N3113" s="213" t="s">
        <v>25987</v>
      </c>
      <c r="O3113" s="213" t="s">
        <v>25988</v>
      </c>
      <c r="P3113" s="213" t="s">
        <v>25989</v>
      </c>
      <c r="Q3113" s="213" t="s">
        <v>25990</v>
      </c>
      <c r="R3113" s="213" t="s">
        <v>25991</v>
      </c>
      <c r="S3113" s="213" t="s">
        <v>25992</v>
      </c>
      <c r="T3113" s="213" t="s">
        <v>25993</v>
      </c>
      <c r="U3113" s="213" t="s">
        <v>66779</v>
      </c>
    </row>
    <row r="3114" spans="1:21" x14ac:dyDescent="0.25">
      <c r="A3114" s="213" t="s">
        <v>327</v>
      </c>
      <c r="D3114" s="213" t="s">
        <v>25994</v>
      </c>
      <c r="E3114" s="213" t="s">
        <v>25995</v>
      </c>
      <c r="K3114" s="213" t="s">
        <v>66663</v>
      </c>
      <c r="L3114" s="213" t="s">
        <v>66702</v>
      </c>
      <c r="M3114" s="213" t="s">
        <v>66741</v>
      </c>
      <c r="N3114" s="213" t="s">
        <v>25996</v>
      </c>
      <c r="O3114" s="213" t="s">
        <v>25997</v>
      </c>
      <c r="P3114" s="213" t="s">
        <v>25998</v>
      </c>
      <c r="Q3114" s="213" t="s">
        <v>25999</v>
      </c>
      <c r="R3114" s="213" t="s">
        <v>26000</v>
      </c>
      <c r="S3114" s="213" t="s">
        <v>26001</v>
      </c>
      <c r="T3114" s="213" t="s">
        <v>26002</v>
      </c>
      <c r="U3114" s="213" t="s">
        <v>66780</v>
      </c>
    </row>
    <row r="3115" spans="1:21" x14ac:dyDescent="0.25">
      <c r="A3115" s="213" t="s">
        <v>327</v>
      </c>
      <c r="D3115" s="213" t="s">
        <v>26003</v>
      </c>
      <c r="E3115" s="213" t="s">
        <v>26004</v>
      </c>
      <c r="K3115" s="213" t="s">
        <v>66664</v>
      </c>
      <c r="L3115" s="213" t="s">
        <v>66703</v>
      </c>
      <c r="M3115" s="213" t="s">
        <v>66742</v>
      </c>
      <c r="N3115" s="213" t="s">
        <v>26005</v>
      </c>
      <c r="O3115" s="213" t="s">
        <v>26006</v>
      </c>
      <c r="P3115" s="213" t="s">
        <v>26007</v>
      </c>
      <c r="Q3115" s="213" t="s">
        <v>26008</v>
      </c>
      <c r="R3115" s="213" t="s">
        <v>26009</v>
      </c>
      <c r="S3115" s="213" t="s">
        <v>26010</v>
      </c>
      <c r="T3115" s="213" t="s">
        <v>26011</v>
      </c>
      <c r="U3115" s="213" t="s">
        <v>66781</v>
      </c>
    </row>
    <row r="3116" spans="1:21" x14ac:dyDescent="0.25">
      <c r="A3116" s="213" t="s">
        <v>327</v>
      </c>
      <c r="D3116" s="213" t="s">
        <v>26012</v>
      </c>
      <c r="E3116" s="213" t="s">
        <v>26013</v>
      </c>
      <c r="K3116" s="213" t="s">
        <v>66665</v>
      </c>
      <c r="L3116" s="213" t="s">
        <v>66704</v>
      </c>
      <c r="M3116" s="213" t="s">
        <v>66743</v>
      </c>
      <c r="N3116" s="213" t="s">
        <v>26014</v>
      </c>
      <c r="O3116" s="213" t="s">
        <v>26015</v>
      </c>
      <c r="P3116" s="213" t="s">
        <v>26016</v>
      </c>
      <c r="Q3116" s="213" t="s">
        <v>26017</v>
      </c>
      <c r="R3116" s="213" t="s">
        <v>26018</v>
      </c>
      <c r="S3116" s="213" t="s">
        <v>26019</v>
      </c>
      <c r="T3116" s="213" t="s">
        <v>26020</v>
      </c>
      <c r="U3116" s="213" t="s">
        <v>66782</v>
      </c>
    </row>
    <row r="3117" spans="1:21" x14ac:dyDescent="0.25">
      <c r="A3117" s="213" t="s">
        <v>327</v>
      </c>
      <c r="D3117" s="213" t="s">
        <v>26021</v>
      </c>
      <c r="E3117" s="213" t="s">
        <v>26022</v>
      </c>
      <c r="K3117" s="213" t="s">
        <v>66666</v>
      </c>
      <c r="L3117" s="213" t="s">
        <v>66705</v>
      </c>
      <c r="M3117" s="213" t="s">
        <v>66744</v>
      </c>
      <c r="N3117" s="213" t="s">
        <v>26023</v>
      </c>
      <c r="O3117" s="213" t="s">
        <v>26024</v>
      </c>
      <c r="P3117" s="213" t="s">
        <v>26025</v>
      </c>
      <c r="Q3117" s="213" t="s">
        <v>26026</v>
      </c>
      <c r="R3117" s="213" t="s">
        <v>26027</v>
      </c>
      <c r="S3117" s="213" t="s">
        <v>26028</v>
      </c>
      <c r="T3117" s="213" t="s">
        <v>26029</v>
      </c>
      <c r="U3117" s="213" t="s">
        <v>66783</v>
      </c>
    </row>
    <row r="3118" spans="1:21" x14ac:dyDescent="0.25">
      <c r="A3118" s="213" t="s">
        <v>327</v>
      </c>
      <c r="D3118" s="213" t="s">
        <v>26030</v>
      </c>
      <c r="E3118" s="213" t="s">
        <v>26031</v>
      </c>
      <c r="K3118" s="213" t="s">
        <v>66667</v>
      </c>
      <c r="L3118" s="213" t="s">
        <v>66706</v>
      </c>
      <c r="M3118" s="213" t="s">
        <v>66745</v>
      </c>
      <c r="N3118" s="213" t="s">
        <v>26032</v>
      </c>
      <c r="O3118" s="213" t="s">
        <v>26033</v>
      </c>
      <c r="P3118" s="213" t="s">
        <v>26034</v>
      </c>
      <c r="Q3118" s="213" t="s">
        <v>26035</v>
      </c>
      <c r="R3118" s="213" t="s">
        <v>26036</v>
      </c>
      <c r="S3118" s="213" t="s">
        <v>26037</v>
      </c>
      <c r="T3118" s="213" t="s">
        <v>26038</v>
      </c>
      <c r="U3118" s="213" t="s">
        <v>66784</v>
      </c>
    </row>
    <row r="3119" spans="1:21" x14ac:dyDescent="0.25">
      <c r="A3119" s="213" t="s">
        <v>327</v>
      </c>
      <c r="D3119" s="213" t="s">
        <v>26039</v>
      </c>
      <c r="E3119" s="213" t="s">
        <v>26040</v>
      </c>
      <c r="K3119" s="213" t="s">
        <v>66668</v>
      </c>
      <c r="L3119" s="213" t="s">
        <v>66707</v>
      </c>
      <c r="M3119" s="213" t="s">
        <v>66746</v>
      </c>
      <c r="N3119" s="213" t="s">
        <v>26041</v>
      </c>
      <c r="O3119" s="213" t="s">
        <v>26042</v>
      </c>
      <c r="P3119" s="213" t="s">
        <v>26043</v>
      </c>
      <c r="Q3119" s="213" t="s">
        <v>26044</v>
      </c>
      <c r="R3119" s="213" t="s">
        <v>26045</v>
      </c>
      <c r="S3119" s="213" t="s">
        <v>26046</v>
      </c>
      <c r="T3119" s="213" t="s">
        <v>26047</v>
      </c>
      <c r="U3119" s="213" t="s">
        <v>66785</v>
      </c>
    </row>
    <row r="3120" spans="1:21" x14ac:dyDescent="0.25">
      <c r="A3120" s="213" t="s">
        <v>327</v>
      </c>
      <c r="D3120" s="213" t="s">
        <v>26048</v>
      </c>
      <c r="E3120" s="213" t="s">
        <v>26049</v>
      </c>
      <c r="K3120" s="213" t="s">
        <v>66669</v>
      </c>
      <c r="L3120" s="213" t="s">
        <v>66708</v>
      </c>
      <c r="M3120" s="213" t="s">
        <v>66747</v>
      </c>
      <c r="N3120" s="213" t="s">
        <v>26050</v>
      </c>
      <c r="O3120" s="213" t="s">
        <v>26051</v>
      </c>
      <c r="P3120" s="213" t="s">
        <v>26052</v>
      </c>
      <c r="Q3120" s="213" t="s">
        <v>26053</v>
      </c>
      <c r="R3120" s="213" t="s">
        <v>26054</v>
      </c>
      <c r="S3120" s="213" t="s">
        <v>26055</v>
      </c>
      <c r="T3120" s="213" t="s">
        <v>26056</v>
      </c>
      <c r="U3120" s="213" t="s">
        <v>66786</v>
      </c>
    </row>
    <row r="3121" spans="1:21" x14ac:dyDescent="0.25">
      <c r="A3121" s="213" t="s">
        <v>327</v>
      </c>
      <c r="D3121" s="213" t="s">
        <v>26057</v>
      </c>
      <c r="E3121" s="213" t="s">
        <v>26058</v>
      </c>
      <c r="K3121" s="213" t="s">
        <v>66670</v>
      </c>
      <c r="L3121" s="213" t="s">
        <v>66709</v>
      </c>
      <c r="M3121" s="213" t="s">
        <v>66748</v>
      </c>
      <c r="N3121" s="213" t="s">
        <v>26059</v>
      </c>
      <c r="O3121" s="213" t="s">
        <v>26060</v>
      </c>
      <c r="P3121" s="213" t="s">
        <v>26061</v>
      </c>
      <c r="Q3121" s="213" t="s">
        <v>26062</v>
      </c>
      <c r="R3121" s="213" t="s">
        <v>26063</v>
      </c>
      <c r="S3121" s="213" t="s">
        <v>26064</v>
      </c>
      <c r="T3121" s="213" t="s">
        <v>26065</v>
      </c>
      <c r="U3121" s="213" t="s">
        <v>66787</v>
      </c>
    </row>
    <row r="3122" spans="1:21" x14ac:dyDescent="0.25">
      <c r="A3122" s="213" t="s">
        <v>327</v>
      </c>
      <c r="D3122" s="213" t="s">
        <v>26066</v>
      </c>
      <c r="E3122" s="213" t="s">
        <v>26067</v>
      </c>
      <c r="K3122" s="213" t="s">
        <v>66671</v>
      </c>
      <c r="L3122" s="213" t="s">
        <v>66710</v>
      </c>
      <c r="M3122" s="213" t="s">
        <v>66749</v>
      </c>
      <c r="N3122" s="213" t="s">
        <v>26068</v>
      </c>
      <c r="O3122" s="213" t="s">
        <v>26069</v>
      </c>
      <c r="P3122" s="213" t="s">
        <v>26070</v>
      </c>
      <c r="Q3122" s="213" t="s">
        <v>26071</v>
      </c>
      <c r="R3122" s="213" t="s">
        <v>26072</v>
      </c>
      <c r="S3122" s="213" t="s">
        <v>26073</v>
      </c>
      <c r="T3122" s="213" t="s">
        <v>26074</v>
      </c>
      <c r="U3122" s="213" t="s">
        <v>66788</v>
      </c>
    </row>
    <row r="3123" spans="1:21" x14ac:dyDescent="0.25">
      <c r="A3123" s="213" t="s">
        <v>327</v>
      </c>
      <c r="D3123" s="213" t="s">
        <v>26075</v>
      </c>
      <c r="E3123" s="213" t="s">
        <v>26076</v>
      </c>
      <c r="K3123" s="213" t="s">
        <v>66672</v>
      </c>
      <c r="L3123" s="213" t="s">
        <v>66711</v>
      </c>
      <c r="M3123" s="213" t="s">
        <v>66750</v>
      </c>
      <c r="N3123" s="213" t="s">
        <v>26077</v>
      </c>
      <c r="O3123" s="213" t="s">
        <v>26078</v>
      </c>
      <c r="P3123" s="213" t="s">
        <v>26079</v>
      </c>
      <c r="Q3123" s="213" t="s">
        <v>26080</v>
      </c>
      <c r="R3123" s="213" t="s">
        <v>26081</v>
      </c>
      <c r="S3123" s="213" t="s">
        <v>26082</v>
      </c>
      <c r="T3123" s="213" t="s">
        <v>26083</v>
      </c>
      <c r="U3123" s="213" t="s">
        <v>66789</v>
      </c>
    </row>
    <row r="3124" spans="1:21" x14ac:dyDescent="0.25">
      <c r="A3124" s="213" t="s">
        <v>327</v>
      </c>
    </row>
    <row r="3125" spans="1:21" x14ac:dyDescent="0.25">
      <c r="A3125" s="213" t="s">
        <v>327</v>
      </c>
    </row>
    <row r="3126" spans="1:21" x14ac:dyDescent="0.25">
      <c r="A3126" s="213" t="s">
        <v>327</v>
      </c>
      <c r="C3126" s="213" t="s">
        <v>26084</v>
      </c>
      <c r="E3126" s="213" t="s">
        <v>26085</v>
      </c>
      <c r="H3126" s="213" t="s">
        <v>26086</v>
      </c>
      <c r="I3126" s="213" t="s">
        <v>26087</v>
      </c>
      <c r="J3126" s="213" t="s">
        <v>26088</v>
      </c>
      <c r="L3126" s="213" t="s">
        <v>26089</v>
      </c>
      <c r="O3126" s="213" t="s">
        <v>26090</v>
      </c>
      <c r="P3126" s="213" t="s">
        <v>26091</v>
      </c>
      <c r="Q3126" s="213" t="s">
        <v>26092</v>
      </c>
      <c r="R3126" s="213" t="s">
        <v>26093</v>
      </c>
      <c r="S3126" s="213" t="s">
        <v>26094</v>
      </c>
      <c r="T3126" s="213" t="s">
        <v>26095</v>
      </c>
    </row>
    <row r="3127" spans="1:21" x14ac:dyDescent="0.25">
      <c r="A3127" s="213" t="s">
        <v>327</v>
      </c>
      <c r="C3127" s="213" t="s">
        <v>26096</v>
      </c>
      <c r="E3127" s="213" t="s">
        <v>26097</v>
      </c>
      <c r="I3127" s="213" t="s">
        <v>26098</v>
      </c>
    </row>
    <row r="3128" spans="1:21" x14ac:dyDescent="0.25">
      <c r="A3128" s="213" t="s">
        <v>327</v>
      </c>
      <c r="C3128" s="213" t="s">
        <v>26099</v>
      </c>
      <c r="E3128" s="213" t="s">
        <v>26100</v>
      </c>
      <c r="I3128" s="213" t="s">
        <v>26101</v>
      </c>
    </row>
    <row r="3129" spans="1:21" x14ac:dyDescent="0.25">
      <c r="A3129" s="213" t="s">
        <v>328</v>
      </c>
    </row>
    <row r="3130" spans="1:21" x14ac:dyDescent="0.25">
      <c r="A3130" s="213" t="s">
        <v>327</v>
      </c>
      <c r="D3130" s="213" t="s">
        <v>26102</v>
      </c>
      <c r="E3130" s="213" t="s">
        <v>26103</v>
      </c>
      <c r="K3130" s="213" t="s">
        <v>66410</v>
      </c>
      <c r="L3130" s="213" t="s">
        <v>66466</v>
      </c>
      <c r="M3130" s="213" t="s">
        <v>66522</v>
      </c>
      <c r="N3130" s="213" t="s">
        <v>26104</v>
      </c>
      <c r="O3130" s="213" t="s">
        <v>26105</v>
      </c>
      <c r="P3130" s="213" t="s">
        <v>26106</v>
      </c>
      <c r="Q3130" s="213" t="s">
        <v>26107</v>
      </c>
      <c r="R3130" s="213" t="s">
        <v>26108</v>
      </c>
      <c r="S3130" s="213" t="s">
        <v>26109</v>
      </c>
      <c r="T3130" s="213" t="s">
        <v>26110</v>
      </c>
      <c r="U3130" s="213" t="s">
        <v>66578</v>
      </c>
    </row>
    <row r="3131" spans="1:21" x14ac:dyDescent="0.25">
      <c r="A3131" s="213" t="s">
        <v>327</v>
      </c>
      <c r="D3131" s="213" t="s">
        <v>26111</v>
      </c>
      <c r="E3131" s="213" t="s">
        <v>26112</v>
      </c>
      <c r="K3131" s="213" t="s">
        <v>66411</v>
      </c>
      <c r="L3131" s="213" t="s">
        <v>66467</v>
      </c>
      <c r="M3131" s="213" t="s">
        <v>66523</v>
      </c>
      <c r="N3131" s="213" t="s">
        <v>26113</v>
      </c>
      <c r="O3131" s="213" t="s">
        <v>26114</v>
      </c>
      <c r="P3131" s="213" t="s">
        <v>26115</v>
      </c>
      <c r="Q3131" s="213" t="s">
        <v>26116</v>
      </c>
      <c r="R3131" s="213" t="s">
        <v>26117</v>
      </c>
      <c r="S3131" s="213" t="s">
        <v>26118</v>
      </c>
      <c r="T3131" s="213" t="s">
        <v>26119</v>
      </c>
      <c r="U3131" s="213" t="s">
        <v>66579</v>
      </c>
    </row>
    <row r="3132" spans="1:21" x14ac:dyDescent="0.25">
      <c r="A3132" s="213" t="s">
        <v>327</v>
      </c>
      <c r="D3132" s="213" t="s">
        <v>26120</v>
      </c>
      <c r="E3132" s="213" t="s">
        <v>26121</v>
      </c>
      <c r="K3132" s="213" t="s">
        <v>66412</v>
      </c>
      <c r="L3132" s="213" t="s">
        <v>66468</v>
      </c>
      <c r="M3132" s="213" t="s">
        <v>66524</v>
      </c>
      <c r="N3132" s="213" t="s">
        <v>26122</v>
      </c>
      <c r="O3132" s="213" t="s">
        <v>26123</v>
      </c>
      <c r="P3132" s="213" t="s">
        <v>26124</v>
      </c>
      <c r="Q3132" s="213" t="s">
        <v>26125</v>
      </c>
      <c r="R3132" s="213" t="s">
        <v>26126</v>
      </c>
      <c r="S3132" s="213" t="s">
        <v>26127</v>
      </c>
      <c r="T3132" s="213" t="s">
        <v>26128</v>
      </c>
      <c r="U3132" s="213" t="s">
        <v>66580</v>
      </c>
    </row>
    <row r="3133" spans="1:21" x14ac:dyDescent="0.25">
      <c r="A3133" s="213" t="s">
        <v>327</v>
      </c>
      <c r="D3133" s="213" t="s">
        <v>26129</v>
      </c>
      <c r="E3133" s="213" t="s">
        <v>26130</v>
      </c>
      <c r="K3133" s="213" t="s">
        <v>66413</v>
      </c>
      <c r="L3133" s="213" t="s">
        <v>66469</v>
      </c>
      <c r="M3133" s="213" t="s">
        <v>66525</v>
      </c>
      <c r="N3133" s="213" t="s">
        <v>26131</v>
      </c>
      <c r="O3133" s="213" t="s">
        <v>26132</v>
      </c>
      <c r="P3133" s="213" t="s">
        <v>26133</v>
      </c>
      <c r="Q3133" s="213" t="s">
        <v>26134</v>
      </c>
      <c r="R3133" s="213" t="s">
        <v>26135</v>
      </c>
      <c r="S3133" s="213" t="s">
        <v>26136</v>
      </c>
      <c r="T3133" s="213" t="s">
        <v>26137</v>
      </c>
      <c r="U3133" s="213" t="s">
        <v>66581</v>
      </c>
    </row>
    <row r="3134" spans="1:21" x14ac:dyDescent="0.25">
      <c r="A3134" s="213" t="s">
        <v>327</v>
      </c>
      <c r="D3134" s="213" t="s">
        <v>26138</v>
      </c>
      <c r="E3134" s="213" t="s">
        <v>26139</v>
      </c>
      <c r="K3134" s="213" t="s">
        <v>66414</v>
      </c>
      <c r="L3134" s="213" t="s">
        <v>66470</v>
      </c>
      <c r="M3134" s="213" t="s">
        <v>66526</v>
      </c>
      <c r="N3134" s="213" t="s">
        <v>26140</v>
      </c>
      <c r="O3134" s="213" t="s">
        <v>26141</v>
      </c>
      <c r="P3134" s="213" t="s">
        <v>26142</v>
      </c>
      <c r="Q3134" s="213" t="s">
        <v>26143</v>
      </c>
      <c r="R3134" s="213" t="s">
        <v>26144</v>
      </c>
      <c r="S3134" s="213" t="s">
        <v>26145</v>
      </c>
      <c r="T3134" s="213" t="s">
        <v>26146</v>
      </c>
      <c r="U3134" s="213" t="s">
        <v>66582</v>
      </c>
    </row>
    <row r="3135" spans="1:21" x14ac:dyDescent="0.25">
      <c r="A3135" s="213" t="s">
        <v>327</v>
      </c>
      <c r="D3135" s="213" t="s">
        <v>26147</v>
      </c>
      <c r="E3135" s="213" t="s">
        <v>26148</v>
      </c>
      <c r="K3135" s="213" t="s">
        <v>66415</v>
      </c>
      <c r="L3135" s="213" t="s">
        <v>66471</v>
      </c>
      <c r="M3135" s="213" t="s">
        <v>66527</v>
      </c>
      <c r="N3135" s="213" t="s">
        <v>26149</v>
      </c>
      <c r="O3135" s="213" t="s">
        <v>26150</v>
      </c>
      <c r="P3135" s="213" t="s">
        <v>26151</v>
      </c>
      <c r="Q3135" s="213" t="s">
        <v>26152</v>
      </c>
      <c r="R3135" s="213" t="s">
        <v>26153</v>
      </c>
      <c r="S3135" s="213" t="s">
        <v>26154</v>
      </c>
      <c r="T3135" s="213" t="s">
        <v>26155</v>
      </c>
      <c r="U3135" s="213" t="s">
        <v>66583</v>
      </c>
    </row>
    <row r="3136" spans="1:21" x14ac:dyDescent="0.25">
      <c r="A3136" s="213" t="s">
        <v>327</v>
      </c>
      <c r="D3136" s="213" t="s">
        <v>26156</v>
      </c>
      <c r="E3136" s="213" t="s">
        <v>26157</v>
      </c>
      <c r="K3136" s="213" t="s">
        <v>66416</v>
      </c>
      <c r="L3136" s="213" t="s">
        <v>66472</v>
      </c>
      <c r="M3136" s="213" t="s">
        <v>66528</v>
      </c>
      <c r="N3136" s="213" t="s">
        <v>26158</v>
      </c>
      <c r="O3136" s="213" t="s">
        <v>26159</v>
      </c>
      <c r="P3136" s="213" t="s">
        <v>26160</v>
      </c>
      <c r="Q3136" s="213" t="s">
        <v>26161</v>
      </c>
      <c r="R3136" s="213" t="s">
        <v>26162</v>
      </c>
      <c r="S3136" s="213" t="s">
        <v>26163</v>
      </c>
      <c r="T3136" s="213" t="s">
        <v>26164</v>
      </c>
      <c r="U3136" s="213" t="s">
        <v>66584</v>
      </c>
    </row>
    <row r="3137" spans="1:21" x14ac:dyDescent="0.25">
      <c r="A3137" s="213" t="s">
        <v>327</v>
      </c>
      <c r="D3137" s="213" t="s">
        <v>26165</v>
      </c>
      <c r="E3137" s="213" t="s">
        <v>26166</v>
      </c>
      <c r="K3137" s="213" t="s">
        <v>66417</v>
      </c>
      <c r="L3137" s="213" t="s">
        <v>66473</v>
      </c>
      <c r="M3137" s="213" t="s">
        <v>66529</v>
      </c>
      <c r="N3137" s="213" t="s">
        <v>26167</v>
      </c>
      <c r="O3137" s="213" t="s">
        <v>26168</v>
      </c>
      <c r="P3137" s="213" t="s">
        <v>26169</v>
      </c>
      <c r="Q3137" s="213" t="s">
        <v>26170</v>
      </c>
      <c r="R3137" s="213" t="s">
        <v>26171</v>
      </c>
      <c r="S3137" s="213" t="s">
        <v>26172</v>
      </c>
      <c r="T3137" s="213" t="s">
        <v>26173</v>
      </c>
      <c r="U3137" s="213" t="s">
        <v>66585</v>
      </c>
    </row>
    <row r="3138" spans="1:21" x14ac:dyDescent="0.25">
      <c r="A3138" s="213" t="s">
        <v>327</v>
      </c>
      <c r="D3138" s="213" t="s">
        <v>26174</v>
      </c>
      <c r="E3138" s="213" t="s">
        <v>26175</v>
      </c>
      <c r="K3138" s="213" t="s">
        <v>66418</v>
      </c>
      <c r="L3138" s="213" t="s">
        <v>66474</v>
      </c>
      <c r="M3138" s="213" t="s">
        <v>66530</v>
      </c>
      <c r="N3138" s="213" t="s">
        <v>26176</v>
      </c>
      <c r="O3138" s="213" t="s">
        <v>26177</v>
      </c>
      <c r="P3138" s="213" t="s">
        <v>26178</v>
      </c>
      <c r="Q3138" s="213" t="s">
        <v>26179</v>
      </c>
      <c r="R3138" s="213" t="s">
        <v>26180</v>
      </c>
      <c r="S3138" s="213" t="s">
        <v>26181</v>
      </c>
      <c r="T3138" s="213" t="s">
        <v>26182</v>
      </c>
      <c r="U3138" s="213" t="s">
        <v>66586</v>
      </c>
    </row>
    <row r="3139" spans="1:21" x14ac:dyDescent="0.25">
      <c r="A3139" s="213" t="s">
        <v>327</v>
      </c>
      <c r="D3139" s="213" t="s">
        <v>26183</v>
      </c>
      <c r="E3139" s="213" t="s">
        <v>26184</v>
      </c>
      <c r="K3139" s="213" t="s">
        <v>66419</v>
      </c>
      <c r="L3139" s="213" t="s">
        <v>66475</v>
      </c>
      <c r="M3139" s="213" t="s">
        <v>66531</v>
      </c>
      <c r="N3139" s="213" t="s">
        <v>26185</v>
      </c>
      <c r="O3139" s="213" t="s">
        <v>26186</v>
      </c>
      <c r="P3139" s="213" t="s">
        <v>26187</v>
      </c>
      <c r="Q3139" s="213" t="s">
        <v>26188</v>
      </c>
      <c r="R3139" s="213" t="s">
        <v>26189</v>
      </c>
      <c r="S3139" s="213" t="s">
        <v>26190</v>
      </c>
      <c r="T3139" s="213" t="s">
        <v>26191</v>
      </c>
      <c r="U3139" s="213" t="s">
        <v>66587</v>
      </c>
    </row>
    <row r="3140" spans="1:21" x14ac:dyDescent="0.25">
      <c r="A3140" s="213" t="s">
        <v>327</v>
      </c>
      <c r="D3140" s="213" t="s">
        <v>26192</v>
      </c>
      <c r="E3140" s="213" t="s">
        <v>26193</v>
      </c>
      <c r="K3140" s="213" t="s">
        <v>66420</v>
      </c>
      <c r="L3140" s="213" t="s">
        <v>66476</v>
      </c>
      <c r="M3140" s="213" t="s">
        <v>66532</v>
      </c>
      <c r="N3140" s="213" t="s">
        <v>26194</v>
      </c>
      <c r="O3140" s="213" t="s">
        <v>26195</v>
      </c>
      <c r="P3140" s="213" t="s">
        <v>26196</v>
      </c>
      <c r="Q3140" s="213" t="s">
        <v>26197</v>
      </c>
      <c r="R3140" s="213" t="s">
        <v>26198</v>
      </c>
      <c r="S3140" s="213" t="s">
        <v>26199</v>
      </c>
      <c r="T3140" s="213" t="s">
        <v>26200</v>
      </c>
      <c r="U3140" s="213" t="s">
        <v>66588</v>
      </c>
    </row>
    <row r="3141" spans="1:21" x14ac:dyDescent="0.25">
      <c r="A3141" s="213" t="s">
        <v>327</v>
      </c>
      <c r="D3141" s="213" t="s">
        <v>26201</v>
      </c>
      <c r="E3141" s="213" t="s">
        <v>26202</v>
      </c>
      <c r="K3141" s="213" t="s">
        <v>66421</v>
      </c>
      <c r="L3141" s="213" t="s">
        <v>66477</v>
      </c>
      <c r="M3141" s="213" t="s">
        <v>66533</v>
      </c>
      <c r="N3141" s="213" t="s">
        <v>26203</v>
      </c>
      <c r="O3141" s="213" t="s">
        <v>26204</v>
      </c>
      <c r="P3141" s="213" t="s">
        <v>26205</v>
      </c>
      <c r="Q3141" s="213" t="s">
        <v>26206</v>
      </c>
      <c r="R3141" s="213" t="s">
        <v>26207</v>
      </c>
      <c r="S3141" s="213" t="s">
        <v>26208</v>
      </c>
      <c r="T3141" s="213" t="s">
        <v>26209</v>
      </c>
      <c r="U3141" s="213" t="s">
        <v>66589</v>
      </c>
    </row>
    <row r="3142" spans="1:21" x14ac:dyDescent="0.25">
      <c r="A3142" s="213" t="s">
        <v>327</v>
      </c>
      <c r="D3142" s="213" t="s">
        <v>26210</v>
      </c>
      <c r="E3142" s="213" t="s">
        <v>26211</v>
      </c>
      <c r="K3142" s="213" t="s">
        <v>66422</v>
      </c>
      <c r="L3142" s="213" t="s">
        <v>66478</v>
      </c>
      <c r="M3142" s="213" t="s">
        <v>66534</v>
      </c>
      <c r="N3142" s="213" t="s">
        <v>26212</v>
      </c>
      <c r="O3142" s="213" t="s">
        <v>26213</v>
      </c>
      <c r="P3142" s="213" t="s">
        <v>26214</v>
      </c>
      <c r="Q3142" s="213" t="s">
        <v>26215</v>
      </c>
      <c r="R3142" s="213" t="s">
        <v>26216</v>
      </c>
      <c r="S3142" s="213" t="s">
        <v>26217</v>
      </c>
      <c r="T3142" s="213" t="s">
        <v>26218</v>
      </c>
      <c r="U3142" s="213" t="s">
        <v>66590</v>
      </c>
    </row>
    <row r="3143" spans="1:21" x14ac:dyDescent="0.25">
      <c r="A3143" s="213" t="s">
        <v>327</v>
      </c>
      <c r="D3143" s="213" t="s">
        <v>26219</v>
      </c>
      <c r="E3143" s="213" t="s">
        <v>26220</v>
      </c>
      <c r="K3143" s="213" t="s">
        <v>66423</v>
      </c>
      <c r="L3143" s="213" t="s">
        <v>66479</v>
      </c>
      <c r="M3143" s="213" t="s">
        <v>66535</v>
      </c>
      <c r="N3143" s="213" t="s">
        <v>26221</v>
      </c>
      <c r="O3143" s="213" t="s">
        <v>26222</v>
      </c>
      <c r="P3143" s="213" t="s">
        <v>26223</v>
      </c>
      <c r="Q3143" s="213" t="s">
        <v>26224</v>
      </c>
      <c r="R3143" s="213" t="s">
        <v>26225</v>
      </c>
      <c r="S3143" s="213" t="s">
        <v>26226</v>
      </c>
      <c r="T3143" s="213" t="s">
        <v>26227</v>
      </c>
      <c r="U3143" s="213" t="s">
        <v>66591</v>
      </c>
    </row>
    <row r="3144" spans="1:21" x14ac:dyDescent="0.25">
      <c r="A3144" s="213" t="s">
        <v>327</v>
      </c>
      <c r="D3144" s="213" t="s">
        <v>26228</v>
      </c>
      <c r="E3144" s="213" t="s">
        <v>26229</v>
      </c>
      <c r="K3144" s="213" t="s">
        <v>66424</v>
      </c>
      <c r="L3144" s="213" t="s">
        <v>66480</v>
      </c>
      <c r="M3144" s="213" t="s">
        <v>66536</v>
      </c>
      <c r="N3144" s="213" t="s">
        <v>26230</v>
      </c>
      <c r="O3144" s="213" t="s">
        <v>26231</v>
      </c>
      <c r="P3144" s="213" t="s">
        <v>26232</v>
      </c>
      <c r="Q3144" s="213" t="s">
        <v>26233</v>
      </c>
      <c r="R3144" s="213" t="s">
        <v>26234</v>
      </c>
      <c r="S3144" s="213" t="s">
        <v>26235</v>
      </c>
      <c r="T3144" s="213" t="s">
        <v>26236</v>
      </c>
      <c r="U3144" s="213" t="s">
        <v>66592</v>
      </c>
    </row>
    <row r="3145" spans="1:21" x14ac:dyDescent="0.25">
      <c r="A3145" s="213" t="s">
        <v>327</v>
      </c>
      <c r="D3145" s="213" t="s">
        <v>26237</v>
      </c>
      <c r="E3145" s="213" t="s">
        <v>26238</v>
      </c>
      <c r="K3145" s="213" t="s">
        <v>66425</v>
      </c>
      <c r="L3145" s="213" t="s">
        <v>66481</v>
      </c>
      <c r="M3145" s="213" t="s">
        <v>66537</v>
      </c>
      <c r="N3145" s="213" t="s">
        <v>26239</v>
      </c>
      <c r="O3145" s="213" t="s">
        <v>26240</v>
      </c>
      <c r="P3145" s="213" t="s">
        <v>26241</v>
      </c>
      <c r="Q3145" s="213" t="s">
        <v>26242</v>
      </c>
      <c r="R3145" s="213" t="s">
        <v>26243</v>
      </c>
      <c r="S3145" s="213" t="s">
        <v>26244</v>
      </c>
      <c r="T3145" s="213" t="s">
        <v>26245</v>
      </c>
      <c r="U3145" s="213" t="s">
        <v>66593</v>
      </c>
    </row>
    <row r="3146" spans="1:21" x14ac:dyDescent="0.25">
      <c r="A3146" s="213" t="s">
        <v>327</v>
      </c>
      <c r="D3146" s="213" t="s">
        <v>26246</v>
      </c>
      <c r="E3146" s="213" t="s">
        <v>26247</v>
      </c>
      <c r="K3146" s="213" t="s">
        <v>66426</v>
      </c>
      <c r="L3146" s="213" t="s">
        <v>66482</v>
      </c>
      <c r="M3146" s="213" t="s">
        <v>66538</v>
      </c>
      <c r="N3146" s="213" t="s">
        <v>26248</v>
      </c>
      <c r="O3146" s="213" t="s">
        <v>26249</v>
      </c>
      <c r="P3146" s="213" t="s">
        <v>26250</v>
      </c>
      <c r="Q3146" s="213" t="s">
        <v>26251</v>
      </c>
      <c r="R3146" s="213" t="s">
        <v>26252</v>
      </c>
      <c r="S3146" s="213" t="s">
        <v>26253</v>
      </c>
      <c r="T3146" s="213" t="s">
        <v>26254</v>
      </c>
      <c r="U3146" s="213" t="s">
        <v>66594</v>
      </c>
    </row>
    <row r="3147" spans="1:21" x14ac:dyDescent="0.25">
      <c r="A3147" s="213" t="s">
        <v>327</v>
      </c>
      <c r="D3147" s="213" t="s">
        <v>26255</v>
      </c>
      <c r="E3147" s="213" t="s">
        <v>26256</v>
      </c>
      <c r="K3147" s="213" t="s">
        <v>66427</v>
      </c>
      <c r="L3147" s="213" t="s">
        <v>66483</v>
      </c>
      <c r="M3147" s="213" t="s">
        <v>66539</v>
      </c>
      <c r="N3147" s="213" t="s">
        <v>26257</v>
      </c>
      <c r="O3147" s="213" t="s">
        <v>26258</v>
      </c>
      <c r="P3147" s="213" t="s">
        <v>26259</v>
      </c>
      <c r="Q3147" s="213" t="s">
        <v>26260</v>
      </c>
      <c r="R3147" s="213" t="s">
        <v>26261</v>
      </c>
      <c r="S3147" s="213" t="s">
        <v>26262</v>
      </c>
      <c r="T3147" s="213" t="s">
        <v>26263</v>
      </c>
      <c r="U3147" s="213" t="s">
        <v>66595</v>
      </c>
    </row>
    <row r="3148" spans="1:21" x14ac:dyDescent="0.25">
      <c r="A3148" s="213" t="s">
        <v>327</v>
      </c>
      <c r="D3148" s="213" t="s">
        <v>26264</v>
      </c>
      <c r="E3148" s="213" t="s">
        <v>26265</v>
      </c>
      <c r="K3148" s="213" t="s">
        <v>66428</v>
      </c>
      <c r="L3148" s="213" t="s">
        <v>66484</v>
      </c>
      <c r="M3148" s="213" t="s">
        <v>66540</v>
      </c>
      <c r="N3148" s="213" t="s">
        <v>26266</v>
      </c>
      <c r="O3148" s="213" t="s">
        <v>26267</v>
      </c>
      <c r="P3148" s="213" t="s">
        <v>26268</v>
      </c>
      <c r="Q3148" s="213" t="s">
        <v>26269</v>
      </c>
      <c r="R3148" s="213" t="s">
        <v>26270</v>
      </c>
      <c r="S3148" s="213" t="s">
        <v>26271</v>
      </c>
      <c r="T3148" s="213" t="s">
        <v>26272</v>
      </c>
      <c r="U3148" s="213" t="s">
        <v>66596</v>
      </c>
    </row>
    <row r="3149" spans="1:21" x14ac:dyDescent="0.25">
      <c r="A3149" s="213" t="s">
        <v>327</v>
      </c>
      <c r="D3149" s="213" t="s">
        <v>26273</v>
      </c>
      <c r="E3149" s="213" t="s">
        <v>26274</v>
      </c>
      <c r="K3149" s="213" t="s">
        <v>66429</v>
      </c>
      <c r="L3149" s="213" t="s">
        <v>66485</v>
      </c>
      <c r="M3149" s="213" t="s">
        <v>66541</v>
      </c>
      <c r="N3149" s="213" t="s">
        <v>26275</v>
      </c>
      <c r="O3149" s="213" t="s">
        <v>26276</v>
      </c>
      <c r="P3149" s="213" t="s">
        <v>26277</v>
      </c>
      <c r="Q3149" s="213" t="s">
        <v>26278</v>
      </c>
      <c r="R3149" s="213" t="s">
        <v>26279</v>
      </c>
      <c r="S3149" s="213" t="s">
        <v>26280</v>
      </c>
      <c r="T3149" s="213" t="s">
        <v>26281</v>
      </c>
      <c r="U3149" s="213" t="s">
        <v>66597</v>
      </c>
    </row>
    <row r="3150" spans="1:21" x14ac:dyDescent="0.25">
      <c r="A3150" s="213" t="s">
        <v>327</v>
      </c>
      <c r="D3150" s="213" t="s">
        <v>26282</v>
      </c>
      <c r="E3150" s="213" t="s">
        <v>26283</v>
      </c>
      <c r="K3150" s="213" t="s">
        <v>66430</v>
      </c>
      <c r="L3150" s="213" t="s">
        <v>66486</v>
      </c>
      <c r="M3150" s="213" t="s">
        <v>66542</v>
      </c>
      <c r="N3150" s="213" t="s">
        <v>26284</v>
      </c>
      <c r="O3150" s="213" t="s">
        <v>26285</v>
      </c>
      <c r="P3150" s="213" t="s">
        <v>26286</v>
      </c>
      <c r="Q3150" s="213" t="s">
        <v>26287</v>
      </c>
      <c r="R3150" s="213" t="s">
        <v>26288</v>
      </c>
      <c r="S3150" s="213" t="s">
        <v>26289</v>
      </c>
      <c r="T3150" s="213" t="s">
        <v>26290</v>
      </c>
      <c r="U3150" s="213" t="s">
        <v>66598</v>
      </c>
    </row>
    <row r="3151" spans="1:21" x14ac:dyDescent="0.25">
      <c r="A3151" s="213" t="s">
        <v>327</v>
      </c>
      <c r="D3151" s="213" t="s">
        <v>26291</v>
      </c>
      <c r="E3151" s="213" t="s">
        <v>26292</v>
      </c>
      <c r="K3151" s="213" t="s">
        <v>66431</v>
      </c>
      <c r="L3151" s="213" t="s">
        <v>66487</v>
      </c>
      <c r="M3151" s="213" t="s">
        <v>66543</v>
      </c>
      <c r="N3151" s="213" t="s">
        <v>26293</v>
      </c>
      <c r="O3151" s="213" t="s">
        <v>26294</v>
      </c>
      <c r="P3151" s="213" t="s">
        <v>26295</v>
      </c>
      <c r="Q3151" s="213" t="s">
        <v>26296</v>
      </c>
      <c r="R3151" s="213" t="s">
        <v>26297</v>
      </c>
      <c r="S3151" s="213" t="s">
        <v>26298</v>
      </c>
      <c r="T3151" s="213" t="s">
        <v>26299</v>
      </c>
      <c r="U3151" s="213" t="s">
        <v>66599</v>
      </c>
    </row>
    <row r="3152" spans="1:21" x14ac:dyDescent="0.25">
      <c r="A3152" s="213" t="s">
        <v>327</v>
      </c>
      <c r="D3152" s="213" t="s">
        <v>26300</v>
      </c>
      <c r="E3152" s="213" t="s">
        <v>26301</v>
      </c>
      <c r="K3152" s="213" t="s">
        <v>66432</v>
      </c>
      <c r="L3152" s="213" t="s">
        <v>66488</v>
      </c>
      <c r="M3152" s="213" t="s">
        <v>66544</v>
      </c>
      <c r="N3152" s="213" t="s">
        <v>26302</v>
      </c>
      <c r="O3152" s="213" t="s">
        <v>26303</v>
      </c>
      <c r="P3152" s="213" t="s">
        <v>26304</v>
      </c>
      <c r="Q3152" s="213" t="s">
        <v>26305</v>
      </c>
      <c r="R3152" s="213" t="s">
        <v>26306</v>
      </c>
      <c r="S3152" s="213" t="s">
        <v>26307</v>
      </c>
      <c r="T3152" s="213" t="s">
        <v>26308</v>
      </c>
      <c r="U3152" s="213" t="s">
        <v>66600</v>
      </c>
    </row>
    <row r="3153" spans="1:21" x14ac:dyDescent="0.25">
      <c r="A3153" s="213" t="s">
        <v>327</v>
      </c>
      <c r="D3153" s="213" t="s">
        <v>26309</v>
      </c>
      <c r="E3153" s="213" t="s">
        <v>26310</v>
      </c>
      <c r="K3153" s="213" t="s">
        <v>66433</v>
      </c>
      <c r="L3153" s="213" t="s">
        <v>66489</v>
      </c>
      <c r="M3153" s="213" t="s">
        <v>66545</v>
      </c>
      <c r="N3153" s="213" t="s">
        <v>26311</v>
      </c>
      <c r="O3153" s="213" t="s">
        <v>26312</v>
      </c>
      <c r="P3153" s="213" t="s">
        <v>26313</v>
      </c>
      <c r="Q3153" s="213" t="s">
        <v>26314</v>
      </c>
      <c r="R3153" s="213" t="s">
        <v>26315</v>
      </c>
      <c r="S3153" s="213" t="s">
        <v>26316</v>
      </c>
      <c r="T3153" s="213" t="s">
        <v>26317</v>
      </c>
      <c r="U3153" s="213" t="s">
        <v>66601</v>
      </c>
    </row>
    <row r="3154" spans="1:21" x14ac:dyDescent="0.25">
      <c r="A3154" s="213" t="s">
        <v>327</v>
      </c>
      <c r="D3154" s="213" t="s">
        <v>26318</v>
      </c>
      <c r="E3154" s="213" t="s">
        <v>26319</v>
      </c>
      <c r="K3154" s="213" t="s">
        <v>66434</v>
      </c>
      <c r="L3154" s="213" t="s">
        <v>66490</v>
      </c>
      <c r="M3154" s="213" t="s">
        <v>66546</v>
      </c>
      <c r="N3154" s="213" t="s">
        <v>26320</v>
      </c>
      <c r="O3154" s="213" t="s">
        <v>26321</v>
      </c>
      <c r="P3154" s="213" t="s">
        <v>26322</v>
      </c>
      <c r="Q3154" s="213" t="s">
        <v>26323</v>
      </c>
      <c r="R3154" s="213" t="s">
        <v>26324</v>
      </c>
      <c r="S3154" s="213" t="s">
        <v>26325</v>
      </c>
      <c r="T3154" s="213" t="s">
        <v>26326</v>
      </c>
      <c r="U3154" s="213" t="s">
        <v>66602</v>
      </c>
    </row>
    <row r="3155" spans="1:21" x14ac:dyDescent="0.25">
      <c r="A3155" s="213" t="s">
        <v>327</v>
      </c>
      <c r="D3155" s="213" t="s">
        <v>26327</v>
      </c>
      <c r="E3155" s="213" t="s">
        <v>26328</v>
      </c>
      <c r="K3155" s="213" t="s">
        <v>66435</v>
      </c>
      <c r="L3155" s="213" t="s">
        <v>66491</v>
      </c>
      <c r="M3155" s="213" t="s">
        <v>66547</v>
      </c>
      <c r="N3155" s="213" t="s">
        <v>26329</v>
      </c>
      <c r="O3155" s="213" t="s">
        <v>26330</v>
      </c>
      <c r="P3155" s="213" t="s">
        <v>26331</v>
      </c>
      <c r="Q3155" s="213" t="s">
        <v>26332</v>
      </c>
      <c r="R3155" s="213" t="s">
        <v>26333</v>
      </c>
      <c r="S3155" s="213" t="s">
        <v>26334</v>
      </c>
      <c r="T3155" s="213" t="s">
        <v>26335</v>
      </c>
      <c r="U3155" s="213" t="s">
        <v>66603</v>
      </c>
    </row>
    <row r="3156" spans="1:21" x14ac:dyDescent="0.25">
      <c r="A3156" s="213" t="s">
        <v>327</v>
      </c>
      <c r="D3156" s="213" t="s">
        <v>26336</v>
      </c>
      <c r="E3156" s="213" t="s">
        <v>26337</v>
      </c>
      <c r="K3156" s="213" t="s">
        <v>66436</v>
      </c>
      <c r="L3156" s="213" t="s">
        <v>66492</v>
      </c>
      <c r="M3156" s="213" t="s">
        <v>66548</v>
      </c>
      <c r="N3156" s="213" t="s">
        <v>26338</v>
      </c>
      <c r="O3156" s="213" t="s">
        <v>26339</v>
      </c>
      <c r="P3156" s="213" t="s">
        <v>26340</v>
      </c>
      <c r="Q3156" s="213" t="s">
        <v>26341</v>
      </c>
      <c r="R3156" s="213" t="s">
        <v>26342</v>
      </c>
      <c r="S3156" s="213" t="s">
        <v>26343</v>
      </c>
      <c r="T3156" s="213" t="s">
        <v>26344</v>
      </c>
      <c r="U3156" s="213" t="s">
        <v>66604</v>
      </c>
    </row>
    <row r="3157" spans="1:21" x14ac:dyDescent="0.25">
      <c r="A3157" s="213" t="s">
        <v>327</v>
      </c>
      <c r="D3157" s="213" t="s">
        <v>26345</v>
      </c>
      <c r="E3157" s="213" t="s">
        <v>26346</v>
      </c>
      <c r="K3157" s="213" t="s">
        <v>66437</v>
      </c>
      <c r="L3157" s="213" t="s">
        <v>66493</v>
      </c>
      <c r="M3157" s="213" t="s">
        <v>66549</v>
      </c>
      <c r="N3157" s="213" t="s">
        <v>26347</v>
      </c>
      <c r="O3157" s="213" t="s">
        <v>26348</v>
      </c>
      <c r="P3157" s="213" t="s">
        <v>26349</v>
      </c>
      <c r="Q3157" s="213" t="s">
        <v>26350</v>
      </c>
      <c r="R3157" s="213" t="s">
        <v>26351</v>
      </c>
      <c r="S3157" s="213" t="s">
        <v>26352</v>
      </c>
      <c r="T3157" s="213" t="s">
        <v>26353</v>
      </c>
      <c r="U3157" s="213" t="s">
        <v>66605</v>
      </c>
    </row>
    <row r="3158" spans="1:21" x14ac:dyDescent="0.25">
      <c r="A3158" s="213" t="s">
        <v>327</v>
      </c>
      <c r="D3158" s="213" t="s">
        <v>26354</v>
      </c>
      <c r="E3158" s="213" t="s">
        <v>26355</v>
      </c>
      <c r="K3158" s="213" t="s">
        <v>66438</v>
      </c>
      <c r="L3158" s="213" t="s">
        <v>66494</v>
      </c>
      <c r="M3158" s="213" t="s">
        <v>66550</v>
      </c>
      <c r="N3158" s="213" t="s">
        <v>26356</v>
      </c>
      <c r="O3158" s="213" t="s">
        <v>26357</v>
      </c>
      <c r="P3158" s="213" t="s">
        <v>26358</v>
      </c>
      <c r="Q3158" s="213" t="s">
        <v>26359</v>
      </c>
      <c r="R3158" s="213" t="s">
        <v>26360</v>
      </c>
      <c r="S3158" s="213" t="s">
        <v>26361</v>
      </c>
      <c r="T3158" s="213" t="s">
        <v>26362</v>
      </c>
      <c r="U3158" s="213" t="s">
        <v>66606</v>
      </c>
    </row>
    <row r="3159" spans="1:21" x14ac:dyDescent="0.25">
      <c r="A3159" s="213" t="s">
        <v>327</v>
      </c>
      <c r="D3159" s="213" t="s">
        <v>26363</v>
      </c>
      <c r="E3159" s="213" t="s">
        <v>26364</v>
      </c>
      <c r="K3159" s="213" t="s">
        <v>66439</v>
      </c>
      <c r="L3159" s="213" t="s">
        <v>66495</v>
      </c>
      <c r="M3159" s="213" t="s">
        <v>66551</v>
      </c>
      <c r="N3159" s="213" t="s">
        <v>26365</v>
      </c>
      <c r="O3159" s="213" t="s">
        <v>26366</v>
      </c>
      <c r="P3159" s="213" t="s">
        <v>26367</v>
      </c>
      <c r="Q3159" s="213" t="s">
        <v>26368</v>
      </c>
      <c r="R3159" s="213" t="s">
        <v>26369</v>
      </c>
      <c r="S3159" s="213" t="s">
        <v>26370</v>
      </c>
      <c r="T3159" s="213" t="s">
        <v>26371</v>
      </c>
      <c r="U3159" s="213" t="s">
        <v>66607</v>
      </c>
    </row>
    <row r="3160" spans="1:21" x14ac:dyDescent="0.25">
      <c r="A3160" s="213" t="s">
        <v>327</v>
      </c>
      <c r="D3160" s="213" t="s">
        <v>26372</v>
      </c>
      <c r="E3160" s="213" t="s">
        <v>26373</v>
      </c>
      <c r="K3160" s="213" t="s">
        <v>66440</v>
      </c>
      <c r="L3160" s="213" t="s">
        <v>66496</v>
      </c>
      <c r="M3160" s="213" t="s">
        <v>66552</v>
      </c>
      <c r="N3160" s="213" t="s">
        <v>26374</v>
      </c>
      <c r="O3160" s="213" t="s">
        <v>26375</v>
      </c>
      <c r="P3160" s="213" t="s">
        <v>26376</v>
      </c>
      <c r="Q3160" s="213" t="s">
        <v>26377</v>
      </c>
      <c r="R3160" s="213" t="s">
        <v>26378</v>
      </c>
      <c r="S3160" s="213" t="s">
        <v>26379</v>
      </c>
      <c r="T3160" s="213" t="s">
        <v>26380</v>
      </c>
      <c r="U3160" s="213" t="s">
        <v>66608</v>
      </c>
    </row>
    <row r="3161" spans="1:21" x14ac:dyDescent="0.25">
      <c r="A3161" s="213" t="s">
        <v>327</v>
      </c>
      <c r="D3161" s="213" t="s">
        <v>26381</v>
      </c>
      <c r="E3161" s="213" t="s">
        <v>26382</v>
      </c>
      <c r="K3161" s="213" t="s">
        <v>66441</v>
      </c>
      <c r="L3161" s="213" t="s">
        <v>66497</v>
      </c>
      <c r="M3161" s="213" t="s">
        <v>66553</v>
      </c>
      <c r="N3161" s="213" t="s">
        <v>26383</v>
      </c>
      <c r="O3161" s="213" t="s">
        <v>26384</v>
      </c>
      <c r="P3161" s="213" t="s">
        <v>26385</v>
      </c>
      <c r="Q3161" s="213" t="s">
        <v>26386</v>
      </c>
      <c r="R3161" s="213" t="s">
        <v>26387</v>
      </c>
      <c r="S3161" s="213" t="s">
        <v>26388</v>
      </c>
      <c r="T3161" s="213" t="s">
        <v>26389</v>
      </c>
      <c r="U3161" s="213" t="s">
        <v>66609</v>
      </c>
    </row>
    <row r="3162" spans="1:21" x14ac:dyDescent="0.25">
      <c r="A3162" s="213" t="s">
        <v>327</v>
      </c>
      <c r="D3162" s="213" t="s">
        <v>26390</v>
      </c>
      <c r="E3162" s="213" t="s">
        <v>26391</v>
      </c>
      <c r="K3162" s="213" t="s">
        <v>66442</v>
      </c>
      <c r="L3162" s="213" t="s">
        <v>66498</v>
      </c>
      <c r="M3162" s="213" t="s">
        <v>66554</v>
      </c>
      <c r="N3162" s="213" t="s">
        <v>26392</v>
      </c>
      <c r="O3162" s="213" t="s">
        <v>26393</v>
      </c>
      <c r="P3162" s="213" t="s">
        <v>26394</v>
      </c>
      <c r="Q3162" s="213" t="s">
        <v>26395</v>
      </c>
      <c r="R3162" s="213" t="s">
        <v>26396</v>
      </c>
      <c r="S3162" s="213" t="s">
        <v>26397</v>
      </c>
      <c r="T3162" s="213" t="s">
        <v>26398</v>
      </c>
      <c r="U3162" s="213" t="s">
        <v>66610</v>
      </c>
    </row>
    <row r="3163" spans="1:21" x14ac:dyDescent="0.25">
      <c r="A3163" s="213" t="s">
        <v>327</v>
      </c>
      <c r="D3163" s="213" t="s">
        <v>26399</v>
      </c>
      <c r="E3163" s="213" t="s">
        <v>26400</v>
      </c>
      <c r="K3163" s="213" t="s">
        <v>66443</v>
      </c>
      <c r="L3163" s="213" t="s">
        <v>66499</v>
      </c>
      <c r="M3163" s="213" t="s">
        <v>66555</v>
      </c>
      <c r="N3163" s="213" t="s">
        <v>26401</v>
      </c>
      <c r="O3163" s="213" t="s">
        <v>26402</v>
      </c>
      <c r="P3163" s="213" t="s">
        <v>26403</v>
      </c>
      <c r="Q3163" s="213" t="s">
        <v>26404</v>
      </c>
      <c r="R3163" s="213" t="s">
        <v>26405</v>
      </c>
      <c r="S3163" s="213" t="s">
        <v>26406</v>
      </c>
      <c r="T3163" s="213" t="s">
        <v>26407</v>
      </c>
      <c r="U3163" s="213" t="s">
        <v>66611</v>
      </c>
    </row>
    <row r="3164" spans="1:21" x14ac:dyDescent="0.25">
      <c r="A3164" s="213" t="s">
        <v>327</v>
      </c>
      <c r="D3164" s="213" t="s">
        <v>26408</v>
      </c>
      <c r="E3164" s="213" t="s">
        <v>26409</v>
      </c>
      <c r="K3164" s="213" t="s">
        <v>66444</v>
      </c>
      <c r="L3164" s="213" t="s">
        <v>66500</v>
      </c>
      <c r="M3164" s="213" t="s">
        <v>66556</v>
      </c>
      <c r="N3164" s="213" t="s">
        <v>26410</v>
      </c>
      <c r="O3164" s="213" t="s">
        <v>26411</v>
      </c>
      <c r="P3164" s="213" t="s">
        <v>26412</v>
      </c>
      <c r="Q3164" s="213" t="s">
        <v>26413</v>
      </c>
      <c r="R3164" s="213" t="s">
        <v>26414</v>
      </c>
      <c r="S3164" s="213" t="s">
        <v>26415</v>
      </c>
      <c r="T3164" s="213" t="s">
        <v>26416</v>
      </c>
      <c r="U3164" s="213" t="s">
        <v>66612</v>
      </c>
    </row>
    <row r="3165" spans="1:21" x14ac:dyDescent="0.25">
      <c r="A3165" s="213" t="s">
        <v>327</v>
      </c>
      <c r="D3165" s="213" t="s">
        <v>26417</v>
      </c>
      <c r="E3165" s="213" t="s">
        <v>26418</v>
      </c>
      <c r="K3165" s="213" t="s">
        <v>66445</v>
      </c>
      <c r="L3165" s="213" t="s">
        <v>66501</v>
      </c>
      <c r="M3165" s="213" t="s">
        <v>66557</v>
      </c>
      <c r="N3165" s="213" t="s">
        <v>26419</v>
      </c>
      <c r="O3165" s="213" t="s">
        <v>26420</v>
      </c>
      <c r="P3165" s="213" t="s">
        <v>26421</v>
      </c>
      <c r="Q3165" s="213" t="s">
        <v>26422</v>
      </c>
      <c r="R3165" s="213" t="s">
        <v>26423</v>
      </c>
      <c r="S3165" s="213" t="s">
        <v>26424</v>
      </c>
      <c r="T3165" s="213" t="s">
        <v>26425</v>
      </c>
      <c r="U3165" s="213" t="s">
        <v>66613</v>
      </c>
    </row>
    <row r="3166" spans="1:21" x14ac:dyDescent="0.25">
      <c r="A3166" s="213" t="s">
        <v>327</v>
      </c>
      <c r="D3166" s="213" t="s">
        <v>26426</v>
      </c>
      <c r="E3166" s="213" t="s">
        <v>26427</v>
      </c>
      <c r="K3166" s="213" t="s">
        <v>66446</v>
      </c>
      <c r="L3166" s="213" t="s">
        <v>66502</v>
      </c>
      <c r="M3166" s="213" t="s">
        <v>66558</v>
      </c>
      <c r="N3166" s="213" t="s">
        <v>26428</v>
      </c>
      <c r="O3166" s="213" t="s">
        <v>26429</v>
      </c>
      <c r="P3166" s="213" t="s">
        <v>26430</v>
      </c>
      <c r="Q3166" s="213" t="s">
        <v>26431</v>
      </c>
      <c r="R3166" s="213" t="s">
        <v>26432</v>
      </c>
      <c r="S3166" s="213" t="s">
        <v>26433</v>
      </c>
      <c r="T3166" s="213" t="s">
        <v>26434</v>
      </c>
      <c r="U3166" s="213" t="s">
        <v>66614</v>
      </c>
    </row>
    <row r="3167" spans="1:21" x14ac:dyDescent="0.25">
      <c r="A3167" s="213" t="s">
        <v>327</v>
      </c>
      <c r="D3167" s="213" t="s">
        <v>26435</v>
      </c>
      <c r="E3167" s="213" t="s">
        <v>26436</v>
      </c>
      <c r="K3167" s="213" t="s">
        <v>66447</v>
      </c>
      <c r="L3167" s="213" t="s">
        <v>66503</v>
      </c>
      <c r="M3167" s="213" t="s">
        <v>66559</v>
      </c>
      <c r="N3167" s="213" t="s">
        <v>26437</v>
      </c>
      <c r="O3167" s="213" t="s">
        <v>26438</v>
      </c>
      <c r="P3167" s="213" t="s">
        <v>26439</v>
      </c>
      <c r="Q3167" s="213" t="s">
        <v>26440</v>
      </c>
      <c r="R3167" s="213" t="s">
        <v>26441</v>
      </c>
      <c r="S3167" s="213" t="s">
        <v>26442</v>
      </c>
      <c r="T3167" s="213" t="s">
        <v>26443</v>
      </c>
      <c r="U3167" s="213" t="s">
        <v>66615</v>
      </c>
    </row>
    <row r="3168" spans="1:21" x14ac:dyDescent="0.25">
      <c r="A3168" s="213" t="s">
        <v>327</v>
      </c>
      <c r="D3168" s="213" t="s">
        <v>26444</v>
      </c>
      <c r="E3168" s="213" t="s">
        <v>26445</v>
      </c>
      <c r="K3168" s="213" t="s">
        <v>66448</v>
      </c>
      <c r="L3168" s="213" t="s">
        <v>66504</v>
      </c>
      <c r="M3168" s="213" t="s">
        <v>66560</v>
      </c>
      <c r="N3168" s="213" t="s">
        <v>26446</v>
      </c>
      <c r="O3168" s="213" t="s">
        <v>26447</v>
      </c>
      <c r="P3168" s="213" t="s">
        <v>26448</v>
      </c>
      <c r="Q3168" s="213" t="s">
        <v>26449</v>
      </c>
      <c r="R3168" s="213" t="s">
        <v>26450</v>
      </c>
      <c r="S3168" s="213" t="s">
        <v>26451</v>
      </c>
      <c r="T3168" s="213" t="s">
        <v>26452</v>
      </c>
      <c r="U3168" s="213" t="s">
        <v>66616</v>
      </c>
    </row>
    <row r="3169" spans="1:21" x14ac:dyDescent="0.25">
      <c r="A3169" s="213" t="s">
        <v>327</v>
      </c>
      <c r="D3169" s="213" t="s">
        <v>26453</v>
      </c>
      <c r="E3169" s="213" t="s">
        <v>26454</v>
      </c>
      <c r="K3169" s="213" t="s">
        <v>66449</v>
      </c>
      <c r="L3169" s="213" t="s">
        <v>66505</v>
      </c>
      <c r="M3169" s="213" t="s">
        <v>66561</v>
      </c>
      <c r="N3169" s="213" t="s">
        <v>26455</v>
      </c>
      <c r="O3169" s="213" t="s">
        <v>26456</v>
      </c>
      <c r="P3169" s="213" t="s">
        <v>26457</v>
      </c>
      <c r="Q3169" s="213" t="s">
        <v>26458</v>
      </c>
      <c r="R3169" s="213" t="s">
        <v>26459</v>
      </c>
      <c r="S3169" s="213" t="s">
        <v>26460</v>
      </c>
      <c r="T3169" s="213" t="s">
        <v>26461</v>
      </c>
      <c r="U3169" s="213" t="s">
        <v>66617</v>
      </c>
    </row>
    <row r="3170" spans="1:21" x14ac:dyDescent="0.25">
      <c r="A3170" s="213" t="s">
        <v>327</v>
      </c>
      <c r="D3170" s="213" t="s">
        <v>26462</v>
      </c>
      <c r="E3170" s="213" t="s">
        <v>26463</v>
      </c>
      <c r="K3170" s="213" t="s">
        <v>66450</v>
      </c>
      <c r="L3170" s="213" t="s">
        <v>66506</v>
      </c>
      <c r="M3170" s="213" t="s">
        <v>66562</v>
      </c>
      <c r="N3170" s="213" t="s">
        <v>26464</v>
      </c>
      <c r="O3170" s="213" t="s">
        <v>26465</v>
      </c>
      <c r="P3170" s="213" t="s">
        <v>26466</v>
      </c>
      <c r="Q3170" s="213" t="s">
        <v>26467</v>
      </c>
      <c r="R3170" s="213" t="s">
        <v>26468</v>
      </c>
      <c r="S3170" s="213" t="s">
        <v>26469</v>
      </c>
      <c r="T3170" s="213" t="s">
        <v>26470</v>
      </c>
      <c r="U3170" s="213" t="s">
        <v>66618</v>
      </c>
    </row>
    <row r="3171" spans="1:21" x14ac:dyDescent="0.25">
      <c r="A3171" s="213" t="s">
        <v>327</v>
      </c>
      <c r="D3171" s="213" t="s">
        <v>26471</v>
      </c>
      <c r="E3171" s="213" t="s">
        <v>26472</v>
      </c>
      <c r="K3171" s="213" t="s">
        <v>66451</v>
      </c>
      <c r="L3171" s="213" t="s">
        <v>66507</v>
      </c>
      <c r="M3171" s="213" t="s">
        <v>66563</v>
      </c>
      <c r="N3171" s="213" t="s">
        <v>26473</v>
      </c>
      <c r="O3171" s="213" t="s">
        <v>26474</v>
      </c>
      <c r="P3171" s="213" t="s">
        <v>26475</v>
      </c>
      <c r="Q3171" s="213" t="s">
        <v>26476</v>
      </c>
      <c r="R3171" s="213" t="s">
        <v>26477</v>
      </c>
      <c r="S3171" s="213" t="s">
        <v>26478</v>
      </c>
      <c r="T3171" s="213" t="s">
        <v>26479</v>
      </c>
      <c r="U3171" s="213" t="s">
        <v>66619</v>
      </c>
    </row>
    <row r="3172" spans="1:21" x14ac:dyDescent="0.25">
      <c r="A3172" s="213" t="s">
        <v>327</v>
      </c>
      <c r="D3172" s="213" t="s">
        <v>26480</v>
      </c>
      <c r="E3172" s="213" t="s">
        <v>26481</v>
      </c>
      <c r="K3172" s="213" t="s">
        <v>66452</v>
      </c>
      <c r="L3172" s="213" t="s">
        <v>66508</v>
      </c>
      <c r="M3172" s="213" t="s">
        <v>66564</v>
      </c>
      <c r="N3172" s="213" t="s">
        <v>26482</v>
      </c>
      <c r="O3172" s="213" t="s">
        <v>26483</v>
      </c>
      <c r="P3172" s="213" t="s">
        <v>26484</v>
      </c>
      <c r="Q3172" s="213" t="s">
        <v>26485</v>
      </c>
      <c r="R3172" s="213" t="s">
        <v>26486</v>
      </c>
      <c r="S3172" s="213" t="s">
        <v>26487</v>
      </c>
      <c r="T3172" s="213" t="s">
        <v>26488</v>
      </c>
      <c r="U3172" s="213" t="s">
        <v>66620</v>
      </c>
    </row>
    <row r="3173" spans="1:21" x14ac:dyDescent="0.25">
      <c r="A3173" s="213" t="s">
        <v>327</v>
      </c>
      <c r="D3173" s="213" t="s">
        <v>26489</v>
      </c>
      <c r="E3173" s="213" t="s">
        <v>26490</v>
      </c>
      <c r="K3173" s="213" t="s">
        <v>66453</v>
      </c>
      <c r="L3173" s="213" t="s">
        <v>66509</v>
      </c>
      <c r="M3173" s="213" t="s">
        <v>66565</v>
      </c>
      <c r="N3173" s="213" t="s">
        <v>26491</v>
      </c>
      <c r="O3173" s="213" t="s">
        <v>26492</v>
      </c>
      <c r="P3173" s="213" t="s">
        <v>26493</v>
      </c>
      <c r="Q3173" s="213" t="s">
        <v>26494</v>
      </c>
      <c r="R3173" s="213" t="s">
        <v>26495</v>
      </c>
      <c r="S3173" s="213" t="s">
        <v>26496</v>
      </c>
      <c r="T3173" s="213" t="s">
        <v>26497</v>
      </c>
      <c r="U3173" s="213" t="s">
        <v>66621</v>
      </c>
    </row>
    <row r="3174" spans="1:21" x14ac:dyDescent="0.25">
      <c r="A3174" s="213" t="s">
        <v>327</v>
      </c>
      <c r="D3174" s="213" t="s">
        <v>26498</v>
      </c>
      <c r="E3174" s="213" t="s">
        <v>26499</v>
      </c>
      <c r="K3174" s="213" t="s">
        <v>66454</v>
      </c>
      <c r="L3174" s="213" t="s">
        <v>66510</v>
      </c>
      <c r="M3174" s="213" t="s">
        <v>66566</v>
      </c>
      <c r="N3174" s="213" t="s">
        <v>26500</v>
      </c>
      <c r="O3174" s="213" t="s">
        <v>26501</v>
      </c>
      <c r="P3174" s="213" t="s">
        <v>26502</v>
      </c>
      <c r="Q3174" s="213" t="s">
        <v>26503</v>
      </c>
      <c r="R3174" s="213" t="s">
        <v>26504</v>
      </c>
      <c r="S3174" s="213" t="s">
        <v>26505</v>
      </c>
      <c r="T3174" s="213" t="s">
        <v>26506</v>
      </c>
      <c r="U3174" s="213" t="s">
        <v>66622</v>
      </c>
    </row>
    <row r="3175" spans="1:21" x14ac:dyDescent="0.25">
      <c r="A3175" s="213" t="s">
        <v>327</v>
      </c>
      <c r="D3175" s="213" t="s">
        <v>26507</v>
      </c>
      <c r="E3175" s="213" t="s">
        <v>26508</v>
      </c>
      <c r="K3175" s="213" t="s">
        <v>66455</v>
      </c>
      <c r="L3175" s="213" t="s">
        <v>66511</v>
      </c>
      <c r="M3175" s="213" t="s">
        <v>66567</v>
      </c>
      <c r="N3175" s="213" t="s">
        <v>26509</v>
      </c>
      <c r="O3175" s="213" t="s">
        <v>26510</v>
      </c>
      <c r="P3175" s="213" t="s">
        <v>26511</v>
      </c>
      <c r="Q3175" s="213" t="s">
        <v>26512</v>
      </c>
      <c r="R3175" s="213" t="s">
        <v>26513</v>
      </c>
      <c r="S3175" s="213" t="s">
        <v>26514</v>
      </c>
      <c r="T3175" s="213" t="s">
        <v>26515</v>
      </c>
      <c r="U3175" s="213" t="s">
        <v>66623</v>
      </c>
    </row>
    <row r="3176" spans="1:21" x14ac:dyDescent="0.25">
      <c r="A3176" s="213" t="s">
        <v>327</v>
      </c>
      <c r="D3176" s="213" t="s">
        <v>26516</v>
      </c>
      <c r="E3176" s="213" t="s">
        <v>26517</v>
      </c>
      <c r="K3176" s="213" t="s">
        <v>66456</v>
      </c>
      <c r="L3176" s="213" t="s">
        <v>66512</v>
      </c>
      <c r="M3176" s="213" t="s">
        <v>66568</v>
      </c>
      <c r="N3176" s="213" t="s">
        <v>26518</v>
      </c>
      <c r="O3176" s="213" t="s">
        <v>26519</v>
      </c>
      <c r="P3176" s="213" t="s">
        <v>26520</v>
      </c>
      <c r="Q3176" s="213" t="s">
        <v>26521</v>
      </c>
      <c r="R3176" s="213" t="s">
        <v>26522</v>
      </c>
      <c r="S3176" s="213" t="s">
        <v>26523</v>
      </c>
      <c r="T3176" s="213" t="s">
        <v>26524</v>
      </c>
      <c r="U3176" s="213" t="s">
        <v>66624</v>
      </c>
    </row>
    <row r="3177" spans="1:21" x14ac:dyDescent="0.25">
      <c r="A3177" s="213" t="s">
        <v>327</v>
      </c>
      <c r="D3177" s="213" t="s">
        <v>26525</v>
      </c>
      <c r="E3177" s="213" t="s">
        <v>26526</v>
      </c>
      <c r="K3177" s="213" t="s">
        <v>66457</v>
      </c>
      <c r="L3177" s="213" t="s">
        <v>66513</v>
      </c>
      <c r="M3177" s="213" t="s">
        <v>66569</v>
      </c>
      <c r="N3177" s="213" t="s">
        <v>26527</v>
      </c>
      <c r="O3177" s="213" t="s">
        <v>26528</v>
      </c>
      <c r="P3177" s="213" t="s">
        <v>26529</v>
      </c>
      <c r="Q3177" s="213" t="s">
        <v>26530</v>
      </c>
      <c r="R3177" s="213" t="s">
        <v>26531</v>
      </c>
      <c r="S3177" s="213" t="s">
        <v>26532</v>
      </c>
      <c r="T3177" s="213" t="s">
        <v>26533</v>
      </c>
      <c r="U3177" s="213" t="s">
        <v>66625</v>
      </c>
    </row>
    <row r="3178" spans="1:21" x14ac:dyDescent="0.25">
      <c r="A3178" s="213" t="s">
        <v>327</v>
      </c>
      <c r="D3178" s="213" t="s">
        <v>26534</v>
      </c>
      <c r="E3178" s="213" t="s">
        <v>26535</v>
      </c>
      <c r="K3178" s="213" t="s">
        <v>66458</v>
      </c>
      <c r="L3178" s="213" t="s">
        <v>66514</v>
      </c>
      <c r="M3178" s="213" t="s">
        <v>66570</v>
      </c>
      <c r="N3178" s="213" t="s">
        <v>26536</v>
      </c>
      <c r="O3178" s="213" t="s">
        <v>26537</v>
      </c>
      <c r="P3178" s="213" t="s">
        <v>26538</v>
      </c>
      <c r="Q3178" s="213" t="s">
        <v>26539</v>
      </c>
      <c r="R3178" s="213" t="s">
        <v>26540</v>
      </c>
      <c r="S3178" s="213" t="s">
        <v>26541</v>
      </c>
      <c r="T3178" s="213" t="s">
        <v>26542</v>
      </c>
      <c r="U3178" s="213" t="s">
        <v>66626</v>
      </c>
    </row>
    <row r="3179" spans="1:21" x14ac:dyDescent="0.25">
      <c r="A3179" s="213" t="s">
        <v>327</v>
      </c>
      <c r="D3179" s="213" t="s">
        <v>26543</v>
      </c>
      <c r="E3179" s="213" t="s">
        <v>26544</v>
      </c>
      <c r="K3179" s="213" t="s">
        <v>66459</v>
      </c>
      <c r="L3179" s="213" t="s">
        <v>66515</v>
      </c>
      <c r="M3179" s="213" t="s">
        <v>66571</v>
      </c>
      <c r="N3179" s="213" t="s">
        <v>26545</v>
      </c>
      <c r="O3179" s="213" t="s">
        <v>26546</v>
      </c>
      <c r="P3179" s="213" t="s">
        <v>26547</v>
      </c>
      <c r="Q3179" s="213" t="s">
        <v>26548</v>
      </c>
      <c r="R3179" s="213" t="s">
        <v>26549</v>
      </c>
      <c r="S3179" s="213" t="s">
        <v>26550</v>
      </c>
      <c r="T3179" s="213" t="s">
        <v>26551</v>
      </c>
      <c r="U3179" s="213" t="s">
        <v>66627</v>
      </c>
    </row>
    <row r="3180" spans="1:21" x14ac:dyDescent="0.25">
      <c r="A3180" s="213" t="s">
        <v>327</v>
      </c>
      <c r="D3180" s="213" t="s">
        <v>26552</v>
      </c>
      <c r="E3180" s="213" t="s">
        <v>26553</v>
      </c>
      <c r="K3180" s="213" t="s">
        <v>66460</v>
      </c>
      <c r="L3180" s="213" t="s">
        <v>66516</v>
      </c>
      <c r="M3180" s="213" t="s">
        <v>66572</v>
      </c>
      <c r="N3180" s="213" t="s">
        <v>26554</v>
      </c>
      <c r="O3180" s="213" t="s">
        <v>26555</v>
      </c>
      <c r="P3180" s="213" t="s">
        <v>26556</v>
      </c>
      <c r="Q3180" s="213" t="s">
        <v>26557</v>
      </c>
      <c r="R3180" s="213" t="s">
        <v>26558</v>
      </c>
      <c r="S3180" s="213" t="s">
        <v>26559</v>
      </c>
      <c r="T3180" s="213" t="s">
        <v>26560</v>
      </c>
      <c r="U3180" s="213" t="s">
        <v>66628</v>
      </c>
    </row>
    <row r="3181" spans="1:21" x14ac:dyDescent="0.25">
      <c r="A3181" s="213" t="s">
        <v>327</v>
      </c>
      <c r="D3181" s="213" t="s">
        <v>26561</v>
      </c>
      <c r="E3181" s="213" t="s">
        <v>26562</v>
      </c>
      <c r="K3181" s="213" t="s">
        <v>66461</v>
      </c>
      <c r="L3181" s="213" t="s">
        <v>66517</v>
      </c>
      <c r="M3181" s="213" t="s">
        <v>66573</v>
      </c>
      <c r="N3181" s="213" t="s">
        <v>26563</v>
      </c>
      <c r="O3181" s="213" t="s">
        <v>26564</v>
      </c>
      <c r="P3181" s="213" t="s">
        <v>26565</v>
      </c>
      <c r="Q3181" s="213" t="s">
        <v>26566</v>
      </c>
      <c r="R3181" s="213" t="s">
        <v>26567</v>
      </c>
      <c r="S3181" s="213" t="s">
        <v>26568</v>
      </c>
      <c r="T3181" s="213" t="s">
        <v>26569</v>
      </c>
      <c r="U3181" s="213" t="s">
        <v>66629</v>
      </c>
    </row>
    <row r="3182" spans="1:21" x14ac:dyDescent="0.25">
      <c r="A3182" s="213" t="s">
        <v>327</v>
      </c>
      <c r="D3182" s="213" t="s">
        <v>26570</v>
      </c>
      <c r="E3182" s="213" t="s">
        <v>26571</v>
      </c>
      <c r="K3182" s="213" t="s">
        <v>66462</v>
      </c>
      <c r="L3182" s="213" t="s">
        <v>66518</v>
      </c>
      <c r="M3182" s="213" t="s">
        <v>66574</v>
      </c>
      <c r="N3182" s="213" t="s">
        <v>26572</v>
      </c>
      <c r="O3182" s="213" t="s">
        <v>26573</v>
      </c>
      <c r="P3182" s="213" t="s">
        <v>26574</v>
      </c>
      <c r="Q3182" s="213" t="s">
        <v>26575</v>
      </c>
      <c r="R3182" s="213" t="s">
        <v>26576</v>
      </c>
      <c r="S3182" s="213" t="s">
        <v>26577</v>
      </c>
      <c r="T3182" s="213" t="s">
        <v>26578</v>
      </c>
      <c r="U3182" s="213" t="s">
        <v>66630</v>
      </c>
    </row>
    <row r="3183" spans="1:21" x14ac:dyDescent="0.25">
      <c r="A3183" s="213" t="s">
        <v>327</v>
      </c>
      <c r="D3183" s="213" t="s">
        <v>26579</v>
      </c>
      <c r="E3183" s="213" t="s">
        <v>26580</v>
      </c>
      <c r="K3183" s="213" t="s">
        <v>66463</v>
      </c>
      <c r="L3183" s="213" t="s">
        <v>66519</v>
      </c>
      <c r="M3183" s="213" t="s">
        <v>66575</v>
      </c>
      <c r="N3183" s="213" t="s">
        <v>26581</v>
      </c>
      <c r="O3183" s="213" t="s">
        <v>26582</v>
      </c>
      <c r="P3183" s="213" t="s">
        <v>26583</v>
      </c>
      <c r="Q3183" s="213" t="s">
        <v>26584</v>
      </c>
      <c r="R3183" s="213" t="s">
        <v>26585</v>
      </c>
      <c r="S3183" s="213" t="s">
        <v>26586</v>
      </c>
      <c r="T3183" s="213" t="s">
        <v>26587</v>
      </c>
      <c r="U3183" s="213" t="s">
        <v>66631</v>
      </c>
    </row>
    <row r="3184" spans="1:21" x14ac:dyDescent="0.25">
      <c r="A3184" s="213" t="s">
        <v>327</v>
      </c>
      <c r="D3184" s="213" t="s">
        <v>26588</v>
      </c>
      <c r="E3184" s="213" t="s">
        <v>26589</v>
      </c>
      <c r="K3184" s="213" t="s">
        <v>66464</v>
      </c>
      <c r="L3184" s="213" t="s">
        <v>66520</v>
      </c>
      <c r="M3184" s="213" t="s">
        <v>66576</v>
      </c>
      <c r="N3184" s="213" t="s">
        <v>26590</v>
      </c>
      <c r="O3184" s="213" t="s">
        <v>26591</v>
      </c>
      <c r="P3184" s="213" t="s">
        <v>26592</v>
      </c>
      <c r="Q3184" s="213" t="s">
        <v>26593</v>
      </c>
      <c r="R3184" s="213" t="s">
        <v>26594</v>
      </c>
      <c r="S3184" s="213" t="s">
        <v>26595</v>
      </c>
      <c r="T3184" s="213" t="s">
        <v>26596</v>
      </c>
      <c r="U3184" s="213" t="s">
        <v>66632</v>
      </c>
    </row>
    <row r="3185" spans="1:21" x14ac:dyDescent="0.25">
      <c r="A3185" s="213" t="s">
        <v>327</v>
      </c>
      <c r="D3185" s="213" t="s">
        <v>26597</v>
      </c>
      <c r="E3185" s="213" t="s">
        <v>26598</v>
      </c>
      <c r="K3185" s="213" t="s">
        <v>66465</v>
      </c>
      <c r="L3185" s="213" t="s">
        <v>66521</v>
      </c>
      <c r="M3185" s="213" t="s">
        <v>66577</v>
      </c>
      <c r="N3185" s="213" t="s">
        <v>26599</v>
      </c>
      <c r="O3185" s="213" t="s">
        <v>26600</v>
      </c>
      <c r="P3185" s="213" t="s">
        <v>26601</v>
      </c>
      <c r="Q3185" s="213" t="s">
        <v>26602</v>
      </c>
      <c r="R3185" s="213" t="s">
        <v>26603</v>
      </c>
      <c r="S3185" s="213" t="s">
        <v>26604</v>
      </c>
      <c r="T3185" s="213" t="s">
        <v>26605</v>
      </c>
      <c r="U3185" s="213" t="s">
        <v>66633</v>
      </c>
    </row>
    <row r="3186" spans="1:21" x14ac:dyDescent="0.25">
      <c r="A3186" s="213" t="s">
        <v>327</v>
      </c>
    </row>
    <row r="3187" spans="1:21" x14ac:dyDescent="0.25">
      <c r="A3187" s="213" t="s">
        <v>327</v>
      </c>
    </row>
    <row r="3188" spans="1:21" x14ac:dyDescent="0.25">
      <c r="A3188" s="213" t="s">
        <v>327</v>
      </c>
      <c r="C3188" s="213" t="s">
        <v>26606</v>
      </c>
      <c r="E3188" s="213" t="s">
        <v>26607</v>
      </c>
      <c r="H3188" s="213" t="s">
        <v>26608</v>
      </c>
      <c r="I3188" s="213" t="s">
        <v>26609</v>
      </c>
      <c r="J3188" s="213" t="s">
        <v>26610</v>
      </c>
      <c r="L3188" s="213" t="s">
        <v>26611</v>
      </c>
      <c r="O3188" s="213" t="s">
        <v>26612</v>
      </c>
      <c r="P3188" s="213" t="s">
        <v>26613</v>
      </c>
      <c r="Q3188" s="213" t="s">
        <v>26614</v>
      </c>
      <c r="R3188" s="213" t="s">
        <v>26615</v>
      </c>
      <c r="S3188" s="213" t="s">
        <v>26616</v>
      </c>
      <c r="T3188" s="213" t="s">
        <v>26617</v>
      </c>
    </row>
    <row r="3189" spans="1:21" x14ac:dyDescent="0.25">
      <c r="A3189" s="213" t="s">
        <v>327</v>
      </c>
      <c r="C3189" s="213" t="s">
        <v>26618</v>
      </c>
      <c r="E3189" s="213" t="s">
        <v>26619</v>
      </c>
      <c r="I3189" s="213" t="s">
        <v>26620</v>
      </c>
    </row>
    <row r="3190" spans="1:21" x14ac:dyDescent="0.25">
      <c r="A3190" s="213" t="s">
        <v>327</v>
      </c>
      <c r="C3190" s="213" t="s">
        <v>26621</v>
      </c>
      <c r="E3190" s="213" t="s">
        <v>26622</v>
      </c>
      <c r="I3190" s="213" t="s">
        <v>26623</v>
      </c>
    </row>
    <row r="3191" spans="1:21" x14ac:dyDescent="0.25">
      <c r="A3191" s="213" t="s">
        <v>328</v>
      </c>
    </row>
    <row r="3192" spans="1:21" x14ac:dyDescent="0.25">
      <c r="A3192" s="213" t="s">
        <v>327</v>
      </c>
      <c r="D3192" s="213" t="s">
        <v>26624</v>
      </c>
      <c r="E3192" s="213" t="s">
        <v>26625</v>
      </c>
      <c r="K3192" s="213" t="s">
        <v>66202</v>
      </c>
      <c r="L3192" s="213" t="s">
        <v>66254</v>
      </c>
      <c r="M3192" s="213" t="s">
        <v>66306</v>
      </c>
      <c r="N3192" s="213" t="s">
        <v>26626</v>
      </c>
      <c r="O3192" s="213" t="s">
        <v>26627</v>
      </c>
      <c r="P3192" s="213" t="s">
        <v>26628</v>
      </c>
      <c r="Q3192" s="213" t="s">
        <v>26629</v>
      </c>
      <c r="R3192" s="213" t="s">
        <v>26630</v>
      </c>
      <c r="S3192" s="213" t="s">
        <v>26631</v>
      </c>
      <c r="T3192" s="213" t="s">
        <v>26632</v>
      </c>
      <c r="U3192" s="213" t="s">
        <v>66358</v>
      </c>
    </row>
    <row r="3193" spans="1:21" x14ac:dyDescent="0.25">
      <c r="A3193" s="213" t="s">
        <v>327</v>
      </c>
      <c r="D3193" s="213" t="s">
        <v>26633</v>
      </c>
      <c r="E3193" s="213" t="s">
        <v>26634</v>
      </c>
      <c r="K3193" s="213" t="s">
        <v>66203</v>
      </c>
      <c r="L3193" s="213" t="s">
        <v>66255</v>
      </c>
      <c r="M3193" s="213" t="s">
        <v>66307</v>
      </c>
      <c r="N3193" s="213" t="s">
        <v>26635</v>
      </c>
      <c r="O3193" s="213" t="s">
        <v>26636</v>
      </c>
      <c r="P3193" s="213" t="s">
        <v>26637</v>
      </c>
      <c r="Q3193" s="213" t="s">
        <v>26638</v>
      </c>
      <c r="R3193" s="213" t="s">
        <v>26639</v>
      </c>
      <c r="S3193" s="213" t="s">
        <v>26640</v>
      </c>
      <c r="T3193" s="213" t="s">
        <v>26641</v>
      </c>
      <c r="U3193" s="213" t="s">
        <v>66359</v>
      </c>
    </row>
    <row r="3194" spans="1:21" x14ac:dyDescent="0.25">
      <c r="A3194" s="213" t="s">
        <v>327</v>
      </c>
      <c r="D3194" s="213" t="s">
        <v>26642</v>
      </c>
      <c r="E3194" s="213" t="s">
        <v>26643</v>
      </c>
      <c r="K3194" s="213" t="s">
        <v>66204</v>
      </c>
      <c r="L3194" s="213" t="s">
        <v>66256</v>
      </c>
      <c r="M3194" s="213" t="s">
        <v>66308</v>
      </c>
      <c r="N3194" s="213" t="s">
        <v>26644</v>
      </c>
      <c r="O3194" s="213" t="s">
        <v>26645</v>
      </c>
      <c r="P3194" s="213" t="s">
        <v>26646</v>
      </c>
      <c r="Q3194" s="213" t="s">
        <v>26647</v>
      </c>
      <c r="R3194" s="213" t="s">
        <v>26648</v>
      </c>
      <c r="S3194" s="213" t="s">
        <v>26649</v>
      </c>
      <c r="T3194" s="213" t="s">
        <v>26650</v>
      </c>
      <c r="U3194" s="213" t="s">
        <v>66360</v>
      </c>
    </row>
    <row r="3195" spans="1:21" x14ac:dyDescent="0.25">
      <c r="A3195" s="213" t="s">
        <v>327</v>
      </c>
      <c r="D3195" s="213" t="s">
        <v>26651</v>
      </c>
      <c r="E3195" s="213" t="s">
        <v>26652</v>
      </c>
      <c r="K3195" s="213" t="s">
        <v>66205</v>
      </c>
      <c r="L3195" s="213" t="s">
        <v>66257</v>
      </c>
      <c r="M3195" s="213" t="s">
        <v>66309</v>
      </c>
      <c r="N3195" s="213" t="s">
        <v>26653</v>
      </c>
      <c r="O3195" s="213" t="s">
        <v>26654</v>
      </c>
      <c r="P3195" s="213" t="s">
        <v>26655</v>
      </c>
      <c r="Q3195" s="213" t="s">
        <v>26656</v>
      </c>
      <c r="R3195" s="213" t="s">
        <v>26657</v>
      </c>
      <c r="S3195" s="213" t="s">
        <v>26658</v>
      </c>
      <c r="T3195" s="213" t="s">
        <v>26659</v>
      </c>
      <c r="U3195" s="213" t="s">
        <v>66361</v>
      </c>
    </row>
    <row r="3196" spans="1:21" x14ac:dyDescent="0.25">
      <c r="A3196" s="213" t="s">
        <v>327</v>
      </c>
      <c r="D3196" s="213" t="s">
        <v>26660</v>
      </c>
      <c r="E3196" s="213" t="s">
        <v>26661</v>
      </c>
      <c r="K3196" s="213" t="s">
        <v>66206</v>
      </c>
      <c r="L3196" s="213" t="s">
        <v>66258</v>
      </c>
      <c r="M3196" s="213" t="s">
        <v>66310</v>
      </c>
      <c r="N3196" s="213" t="s">
        <v>26662</v>
      </c>
      <c r="O3196" s="213" t="s">
        <v>26663</v>
      </c>
      <c r="P3196" s="213" t="s">
        <v>26664</v>
      </c>
      <c r="Q3196" s="213" t="s">
        <v>26665</v>
      </c>
      <c r="R3196" s="213" t="s">
        <v>26666</v>
      </c>
      <c r="S3196" s="213" t="s">
        <v>26667</v>
      </c>
      <c r="T3196" s="213" t="s">
        <v>26668</v>
      </c>
      <c r="U3196" s="213" t="s">
        <v>66362</v>
      </c>
    </row>
    <row r="3197" spans="1:21" x14ac:dyDescent="0.25">
      <c r="A3197" s="213" t="s">
        <v>327</v>
      </c>
      <c r="D3197" s="213" t="s">
        <v>26669</v>
      </c>
      <c r="E3197" s="213" t="s">
        <v>26670</v>
      </c>
      <c r="K3197" s="213" t="s">
        <v>66207</v>
      </c>
      <c r="L3197" s="213" t="s">
        <v>66259</v>
      </c>
      <c r="M3197" s="213" t="s">
        <v>66311</v>
      </c>
      <c r="N3197" s="213" t="s">
        <v>26671</v>
      </c>
      <c r="O3197" s="213" t="s">
        <v>26672</v>
      </c>
      <c r="P3197" s="213" t="s">
        <v>26673</v>
      </c>
      <c r="Q3197" s="213" t="s">
        <v>26674</v>
      </c>
      <c r="R3197" s="213" t="s">
        <v>26675</v>
      </c>
      <c r="S3197" s="213" t="s">
        <v>26676</v>
      </c>
      <c r="T3197" s="213" t="s">
        <v>26677</v>
      </c>
      <c r="U3197" s="213" t="s">
        <v>66363</v>
      </c>
    </row>
    <row r="3198" spans="1:21" x14ac:dyDescent="0.25">
      <c r="A3198" s="213" t="s">
        <v>327</v>
      </c>
      <c r="D3198" s="213" t="s">
        <v>26678</v>
      </c>
      <c r="E3198" s="213" t="s">
        <v>26679</v>
      </c>
      <c r="K3198" s="213" t="s">
        <v>66208</v>
      </c>
      <c r="L3198" s="213" t="s">
        <v>66260</v>
      </c>
      <c r="M3198" s="213" t="s">
        <v>66312</v>
      </c>
      <c r="N3198" s="213" t="s">
        <v>26680</v>
      </c>
      <c r="O3198" s="213" t="s">
        <v>26681</v>
      </c>
      <c r="P3198" s="213" t="s">
        <v>26682</v>
      </c>
      <c r="Q3198" s="213" t="s">
        <v>26683</v>
      </c>
      <c r="R3198" s="213" t="s">
        <v>26684</v>
      </c>
      <c r="S3198" s="213" t="s">
        <v>26685</v>
      </c>
      <c r="T3198" s="213" t="s">
        <v>26686</v>
      </c>
      <c r="U3198" s="213" t="s">
        <v>66364</v>
      </c>
    </row>
    <row r="3199" spans="1:21" x14ac:dyDescent="0.25">
      <c r="A3199" s="213" t="s">
        <v>327</v>
      </c>
      <c r="D3199" s="213" t="s">
        <v>26687</v>
      </c>
      <c r="E3199" s="213" t="s">
        <v>26688</v>
      </c>
      <c r="K3199" s="213" t="s">
        <v>66209</v>
      </c>
      <c r="L3199" s="213" t="s">
        <v>66261</v>
      </c>
      <c r="M3199" s="213" t="s">
        <v>66313</v>
      </c>
      <c r="N3199" s="213" t="s">
        <v>26689</v>
      </c>
      <c r="O3199" s="213" t="s">
        <v>26690</v>
      </c>
      <c r="P3199" s="213" t="s">
        <v>26691</v>
      </c>
      <c r="Q3199" s="213" t="s">
        <v>26692</v>
      </c>
      <c r="R3199" s="213" t="s">
        <v>26693</v>
      </c>
      <c r="S3199" s="213" t="s">
        <v>26694</v>
      </c>
      <c r="T3199" s="213" t="s">
        <v>26695</v>
      </c>
      <c r="U3199" s="213" t="s">
        <v>66365</v>
      </c>
    </row>
    <row r="3200" spans="1:21" x14ac:dyDescent="0.25">
      <c r="A3200" s="213" t="s">
        <v>327</v>
      </c>
      <c r="D3200" s="213" t="s">
        <v>26696</v>
      </c>
      <c r="E3200" s="213" t="s">
        <v>26697</v>
      </c>
      <c r="K3200" s="213" t="s">
        <v>66210</v>
      </c>
      <c r="L3200" s="213" t="s">
        <v>66262</v>
      </c>
      <c r="M3200" s="213" t="s">
        <v>66314</v>
      </c>
      <c r="N3200" s="213" t="s">
        <v>26698</v>
      </c>
      <c r="O3200" s="213" t="s">
        <v>26699</v>
      </c>
      <c r="P3200" s="213" t="s">
        <v>26700</v>
      </c>
      <c r="Q3200" s="213" t="s">
        <v>26701</v>
      </c>
      <c r="R3200" s="213" t="s">
        <v>26702</v>
      </c>
      <c r="S3200" s="213" t="s">
        <v>26703</v>
      </c>
      <c r="T3200" s="213" t="s">
        <v>26704</v>
      </c>
      <c r="U3200" s="213" t="s">
        <v>66366</v>
      </c>
    </row>
    <row r="3201" spans="1:21" x14ac:dyDescent="0.25">
      <c r="A3201" s="213" t="s">
        <v>327</v>
      </c>
      <c r="D3201" s="213" t="s">
        <v>26705</v>
      </c>
      <c r="E3201" s="213" t="s">
        <v>26706</v>
      </c>
      <c r="K3201" s="213" t="s">
        <v>66211</v>
      </c>
      <c r="L3201" s="213" t="s">
        <v>66263</v>
      </c>
      <c r="M3201" s="213" t="s">
        <v>66315</v>
      </c>
      <c r="N3201" s="213" t="s">
        <v>26707</v>
      </c>
      <c r="O3201" s="213" t="s">
        <v>26708</v>
      </c>
      <c r="P3201" s="213" t="s">
        <v>26709</v>
      </c>
      <c r="Q3201" s="213" t="s">
        <v>26710</v>
      </c>
      <c r="R3201" s="213" t="s">
        <v>26711</v>
      </c>
      <c r="S3201" s="213" t="s">
        <v>26712</v>
      </c>
      <c r="T3201" s="213" t="s">
        <v>26713</v>
      </c>
      <c r="U3201" s="213" t="s">
        <v>66367</v>
      </c>
    </row>
    <row r="3202" spans="1:21" x14ac:dyDescent="0.25">
      <c r="A3202" s="213" t="s">
        <v>327</v>
      </c>
      <c r="D3202" s="213" t="s">
        <v>26714</v>
      </c>
      <c r="E3202" s="213" t="s">
        <v>26715</v>
      </c>
      <c r="K3202" s="213" t="s">
        <v>66212</v>
      </c>
      <c r="L3202" s="213" t="s">
        <v>66264</v>
      </c>
      <c r="M3202" s="213" t="s">
        <v>66316</v>
      </c>
      <c r="N3202" s="213" t="s">
        <v>26716</v>
      </c>
      <c r="O3202" s="213" t="s">
        <v>26717</v>
      </c>
      <c r="P3202" s="213" t="s">
        <v>26718</v>
      </c>
      <c r="Q3202" s="213" t="s">
        <v>26719</v>
      </c>
      <c r="R3202" s="213" t="s">
        <v>26720</v>
      </c>
      <c r="S3202" s="213" t="s">
        <v>26721</v>
      </c>
      <c r="T3202" s="213" t="s">
        <v>26722</v>
      </c>
      <c r="U3202" s="213" t="s">
        <v>66368</v>
      </c>
    </row>
    <row r="3203" spans="1:21" x14ac:dyDescent="0.25">
      <c r="A3203" s="213" t="s">
        <v>327</v>
      </c>
      <c r="D3203" s="213" t="s">
        <v>26723</v>
      </c>
      <c r="E3203" s="213" t="s">
        <v>26724</v>
      </c>
      <c r="K3203" s="213" t="s">
        <v>66213</v>
      </c>
      <c r="L3203" s="213" t="s">
        <v>66265</v>
      </c>
      <c r="M3203" s="213" t="s">
        <v>66317</v>
      </c>
      <c r="N3203" s="213" t="s">
        <v>26725</v>
      </c>
      <c r="O3203" s="213" t="s">
        <v>26726</v>
      </c>
      <c r="P3203" s="213" t="s">
        <v>26727</v>
      </c>
      <c r="Q3203" s="213" t="s">
        <v>26728</v>
      </c>
      <c r="R3203" s="213" t="s">
        <v>26729</v>
      </c>
      <c r="S3203" s="213" t="s">
        <v>26730</v>
      </c>
      <c r="T3203" s="213" t="s">
        <v>26731</v>
      </c>
      <c r="U3203" s="213" t="s">
        <v>66369</v>
      </c>
    </row>
    <row r="3204" spans="1:21" x14ac:dyDescent="0.25">
      <c r="A3204" s="213" t="s">
        <v>327</v>
      </c>
      <c r="D3204" s="213" t="s">
        <v>26732</v>
      </c>
      <c r="E3204" s="213" t="s">
        <v>26733</v>
      </c>
      <c r="K3204" s="213" t="s">
        <v>66214</v>
      </c>
      <c r="L3204" s="213" t="s">
        <v>66266</v>
      </c>
      <c r="M3204" s="213" t="s">
        <v>66318</v>
      </c>
      <c r="N3204" s="213" t="s">
        <v>26734</v>
      </c>
      <c r="O3204" s="213" t="s">
        <v>26735</v>
      </c>
      <c r="P3204" s="213" t="s">
        <v>26736</v>
      </c>
      <c r="Q3204" s="213" t="s">
        <v>26737</v>
      </c>
      <c r="R3204" s="213" t="s">
        <v>26738</v>
      </c>
      <c r="S3204" s="213" t="s">
        <v>26739</v>
      </c>
      <c r="T3204" s="213" t="s">
        <v>26740</v>
      </c>
      <c r="U3204" s="213" t="s">
        <v>66370</v>
      </c>
    </row>
    <row r="3205" spans="1:21" x14ac:dyDescent="0.25">
      <c r="A3205" s="213" t="s">
        <v>327</v>
      </c>
      <c r="D3205" s="213" t="s">
        <v>26741</v>
      </c>
      <c r="E3205" s="213" t="s">
        <v>26742</v>
      </c>
      <c r="K3205" s="213" t="s">
        <v>66215</v>
      </c>
      <c r="L3205" s="213" t="s">
        <v>66267</v>
      </c>
      <c r="M3205" s="213" t="s">
        <v>66319</v>
      </c>
      <c r="N3205" s="213" t="s">
        <v>26743</v>
      </c>
      <c r="O3205" s="213" t="s">
        <v>26744</v>
      </c>
      <c r="P3205" s="213" t="s">
        <v>26745</v>
      </c>
      <c r="Q3205" s="213" t="s">
        <v>26746</v>
      </c>
      <c r="R3205" s="213" t="s">
        <v>26747</v>
      </c>
      <c r="S3205" s="213" t="s">
        <v>26748</v>
      </c>
      <c r="T3205" s="213" t="s">
        <v>26749</v>
      </c>
      <c r="U3205" s="213" t="s">
        <v>66371</v>
      </c>
    </row>
    <row r="3206" spans="1:21" x14ac:dyDescent="0.25">
      <c r="A3206" s="213" t="s">
        <v>327</v>
      </c>
      <c r="D3206" s="213" t="s">
        <v>26750</v>
      </c>
      <c r="E3206" s="213" t="s">
        <v>26751</v>
      </c>
      <c r="K3206" s="213" t="s">
        <v>66216</v>
      </c>
      <c r="L3206" s="213" t="s">
        <v>66268</v>
      </c>
      <c r="M3206" s="213" t="s">
        <v>66320</v>
      </c>
      <c r="N3206" s="213" t="s">
        <v>26752</v>
      </c>
      <c r="O3206" s="213" t="s">
        <v>26753</v>
      </c>
      <c r="P3206" s="213" t="s">
        <v>26754</v>
      </c>
      <c r="Q3206" s="213" t="s">
        <v>26755</v>
      </c>
      <c r="R3206" s="213" t="s">
        <v>26756</v>
      </c>
      <c r="S3206" s="213" t="s">
        <v>26757</v>
      </c>
      <c r="T3206" s="213" t="s">
        <v>26758</v>
      </c>
      <c r="U3206" s="213" t="s">
        <v>66372</v>
      </c>
    </row>
    <row r="3207" spans="1:21" x14ac:dyDescent="0.25">
      <c r="A3207" s="213" t="s">
        <v>327</v>
      </c>
      <c r="D3207" s="213" t="s">
        <v>26759</v>
      </c>
      <c r="E3207" s="213" t="s">
        <v>26760</v>
      </c>
      <c r="K3207" s="213" t="s">
        <v>66217</v>
      </c>
      <c r="L3207" s="213" t="s">
        <v>66269</v>
      </c>
      <c r="M3207" s="213" t="s">
        <v>66321</v>
      </c>
      <c r="N3207" s="213" t="s">
        <v>26761</v>
      </c>
      <c r="O3207" s="213" t="s">
        <v>26762</v>
      </c>
      <c r="P3207" s="213" t="s">
        <v>26763</v>
      </c>
      <c r="Q3207" s="213" t="s">
        <v>26764</v>
      </c>
      <c r="R3207" s="213" t="s">
        <v>26765</v>
      </c>
      <c r="S3207" s="213" t="s">
        <v>26766</v>
      </c>
      <c r="T3207" s="213" t="s">
        <v>26767</v>
      </c>
      <c r="U3207" s="213" t="s">
        <v>66373</v>
      </c>
    </row>
    <row r="3208" spans="1:21" x14ac:dyDescent="0.25">
      <c r="A3208" s="213" t="s">
        <v>327</v>
      </c>
      <c r="D3208" s="213" t="s">
        <v>26768</v>
      </c>
      <c r="E3208" s="213" t="s">
        <v>26769</v>
      </c>
      <c r="K3208" s="213" t="s">
        <v>66218</v>
      </c>
      <c r="L3208" s="213" t="s">
        <v>66270</v>
      </c>
      <c r="M3208" s="213" t="s">
        <v>66322</v>
      </c>
      <c r="N3208" s="213" t="s">
        <v>26770</v>
      </c>
      <c r="O3208" s="213" t="s">
        <v>26771</v>
      </c>
      <c r="P3208" s="213" t="s">
        <v>26772</v>
      </c>
      <c r="Q3208" s="213" t="s">
        <v>26773</v>
      </c>
      <c r="R3208" s="213" t="s">
        <v>26774</v>
      </c>
      <c r="S3208" s="213" t="s">
        <v>26775</v>
      </c>
      <c r="T3208" s="213" t="s">
        <v>26776</v>
      </c>
      <c r="U3208" s="213" t="s">
        <v>66374</v>
      </c>
    </row>
    <row r="3209" spans="1:21" x14ac:dyDescent="0.25">
      <c r="A3209" s="213" t="s">
        <v>327</v>
      </c>
      <c r="D3209" s="213" t="s">
        <v>26777</v>
      </c>
      <c r="E3209" s="213" t="s">
        <v>26778</v>
      </c>
      <c r="K3209" s="213" t="s">
        <v>66219</v>
      </c>
      <c r="L3209" s="213" t="s">
        <v>66271</v>
      </c>
      <c r="M3209" s="213" t="s">
        <v>66323</v>
      </c>
      <c r="N3209" s="213" t="s">
        <v>26779</v>
      </c>
      <c r="O3209" s="213" t="s">
        <v>26780</v>
      </c>
      <c r="P3209" s="213" t="s">
        <v>26781</v>
      </c>
      <c r="Q3209" s="213" t="s">
        <v>26782</v>
      </c>
      <c r="R3209" s="213" t="s">
        <v>26783</v>
      </c>
      <c r="S3209" s="213" t="s">
        <v>26784</v>
      </c>
      <c r="T3209" s="213" t="s">
        <v>26785</v>
      </c>
      <c r="U3209" s="213" t="s">
        <v>66375</v>
      </c>
    </row>
    <row r="3210" spans="1:21" x14ac:dyDescent="0.25">
      <c r="A3210" s="213" t="s">
        <v>327</v>
      </c>
      <c r="D3210" s="213" t="s">
        <v>26786</v>
      </c>
      <c r="E3210" s="213" t="s">
        <v>26787</v>
      </c>
      <c r="K3210" s="213" t="s">
        <v>66220</v>
      </c>
      <c r="L3210" s="213" t="s">
        <v>66272</v>
      </c>
      <c r="M3210" s="213" t="s">
        <v>66324</v>
      </c>
      <c r="N3210" s="213" t="s">
        <v>26788</v>
      </c>
      <c r="O3210" s="213" t="s">
        <v>26789</v>
      </c>
      <c r="P3210" s="213" t="s">
        <v>26790</v>
      </c>
      <c r="Q3210" s="213" t="s">
        <v>26791</v>
      </c>
      <c r="R3210" s="213" t="s">
        <v>26792</v>
      </c>
      <c r="S3210" s="213" t="s">
        <v>26793</v>
      </c>
      <c r="T3210" s="213" t="s">
        <v>26794</v>
      </c>
      <c r="U3210" s="213" t="s">
        <v>66376</v>
      </c>
    </row>
    <row r="3211" spans="1:21" x14ac:dyDescent="0.25">
      <c r="A3211" s="213" t="s">
        <v>327</v>
      </c>
      <c r="D3211" s="213" t="s">
        <v>26795</v>
      </c>
      <c r="E3211" s="213" t="s">
        <v>26796</v>
      </c>
      <c r="K3211" s="213" t="s">
        <v>66221</v>
      </c>
      <c r="L3211" s="213" t="s">
        <v>66273</v>
      </c>
      <c r="M3211" s="213" t="s">
        <v>66325</v>
      </c>
      <c r="N3211" s="213" t="s">
        <v>26797</v>
      </c>
      <c r="O3211" s="213" t="s">
        <v>26798</v>
      </c>
      <c r="P3211" s="213" t="s">
        <v>26799</v>
      </c>
      <c r="Q3211" s="213" t="s">
        <v>26800</v>
      </c>
      <c r="R3211" s="213" t="s">
        <v>26801</v>
      </c>
      <c r="S3211" s="213" t="s">
        <v>26802</v>
      </c>
      <c r="T3211" s="213" t="s">
        <v>26803</v>
      </c>
      <c r="U3211" s="213" t="s">
        <v>66377</v>
      </c>
    </row>
    <row r="3212" spans="1:21" x14ac:dyDescent="0.25">
      <c r="A3212" s="213" t="s">
        <v>327</v>
      </c>
      <c r="D3212" s="213" t="s">
        <v>26804</v>
      </c>
      <c r="E3212" s="213" t="s">
        <v>26805</v>
      </c>
      <c r="K3212" s="213" t="s">
        <v>66222</v>
      </c>
      <c r="L3212" s="213" t="s">
        <v>66274</v>
      </c>
      <c r="M3212" s="213" t="s">
        <v>66326</v>
      </c>
      <c r="N3212" s="213" t="s">
        <v>26806</v>
      </c>
      <c r="O3212" s="213" t="s">
        <v>26807</v>
      </c>
      <c r="P3212" s="213" t="s">
        <v>26808</v>
      </c>
      <c r="Q3212" s="213" t="s">
        <v>26809</v>
      </c>
      <c r="R3212" s="213" t="s">
        <v>26810</v>
      </c>
      <c r="S3212" s="213" t="s">
        <v>26811</v>
      </c>
      <c r="T3212" s="213" t="s">
        <v>26812</v>
      </c>
      <c r="U3212" s="213" t="s">
        <v>66378</v>
      </c>
    </row>
    <row r="3213" spans="1:21" x14ac:dyDescent="0.25">
      <c r="A3213" s="213" t="s">
        <v>327</v>
      </c>
      <c r="D3213" s="213" t="s">
        <v>26813</v>
      </c>
      <c r="E3213" s="213" t="s">
        <v>26814</v>
      </c>
      <c r="K3213" s="213" t="s">
        <v>66223</v>
      </c>
      <c r="L3213" s="213" t="s">
        <v>66275</v>
      </c>
      <c r="M3213" s="213" t="s">
        <v>66327</v>
      </c>
      <c r="N3213" s="213" t="s">
        <v>26815</v>
      </c>
      <c r="O3213" s="213" t="s">
        <v>26816</v>
      </c>
      <c r="P3213" s="213" t="s">
        <v>26817</v>
      </c>
      <c r="Q3213" s="213" t="s">
        <v>26818</v>
      </c>
      <c r="R3213" s="213" t="s">
        <v>26819</v>
      </c>
      <c r="S3213" s="213" t="s">
        <v>26820</v>
      </c>
      <c r="T3213" s="213" t="s">
        <v>26821</v>
      </c>
      <c r="U3213" s="213" t="s">
        <v>66379</v>
      </c>
    </row>
    <row r="3214" spans="1:21" x14ac:dyDescent="0.25">
      <c r="A3214" s="213" t="s">
        <v>327</v>
      </c>
      <c r="D3214" s="213" t="s">
        <v>26822</v>
      </c>
      <c r="E3214" s="213" t="s">
        <v>26823</v>
      </c>
      <c r="K3214" s="213" t="s">
        <v>66224</v>
      </c>
      <c r="L3214" s="213" t="s">
        <v>66276</v>
      </c>
      <c r="M3214" s="213" t="s">
        <v>66328</v>
      </c>
      <c r="N3214" s="213" t="s">
        <v>26824</v>
      </c>
      <c r="O3214" s="213" t="s">
        <v>26825</v>
      </c>
      <c r="P3214" s="213" t="s">
        <v>26826</v>
      </c>
      <c r="Q3214" s="213" t="s">
        <v>26827</v>
      </c>
      <c r="R3214" s="213" t="s">
        <v>26828</v>
      </c>
      <c r="S3214" s="213" t="s">
        <v>26829</v>
      </c>
      <c r="T3214" s="213" t="s">
        <v>26830</v>
      </c>
      <c r="U3214" s="213" t="s">
        <v>66380</v>
      </c>
    </row>
    <row r="3215" spans="1:21" x14ac:dyDescent="0.25">
      <c r="A3215" s="213" t="s">
        <v>327</v>
      </c>
      <c r="D3215" s="213" t="s">
        <v>26831</v>
      </c>
      <c r="E3215" s="213" t="s">
        <v>26832</v>
      </c>
      <c r="K3215" s="213" t="s">
        <v>66225</v>
      </c>
      <c r="L3215" s="213" t="s">
        <v>66277</v>
      </c>
      <c r="M3215" s="213" t="s">
        <v>66329</v>
      </c>
      <c r="N3215" s="213" t="s">
        <v>26833</v>
      </c>
      <c r="O3215" s="213" t="s">
        <v>26834</v>
      </c>
      <c r="P3215" s="213" t="s">
        <v>26835</v>
      </c>
      <c r="Q3215" s="213" t="s">
        <v>26836</v>
      </c>
      <c r="R3215" s="213" t="s">
        <v>26837</v>
      </c>
      <c r="S3215" s="213" t="s">
        <v>26838</v>
      </c>
      <c r="T3215" s="213" t="s">
        <v>26839</v>
      </c>
      <c r="U3215" s="213" t="s">
        <v>66381</v>
      </c>
    </row>
    <row r="3216" spans="1:21" x14ac:dyDescent="0.25">
      <c r="A3216" s="213" t="s">
        <v>327</v>
      </c>
      <c r="D3216" s="213" t="s">
        <v>26840</v>
      </c>
      <c r="E3216" s="213" t="s">
        <v>26841</v>
      </c>
      <c r="K3216" s="213" t="s">
        <v>66226</v>
      </c>
      <c r="L3216" s="213" t="s">
        <v>66278</v>
      </c>
      <c r="M3216" s="213" t="s">
        <v>66330</v>
      </c>
      <c r="N3216" s="213" t="s">
        <v>26842</v>
      </c>
      <c r="O3216" s="213" t="s">
        <v>26843</v>
      </c>
      <c r="P3216" s="213" t="s">
        <v>26844</v>
      </c>
      <c r="Q3216" s="213" t="s">
        <v>26845</v>
      </c>
      <c r="R3216" s="213" t="s">
        <v>26846</v>
      </c>
      <c r="S3216" s="213" t="s">
        <v>26847</v>
      </c>
      <c r="T3216" s="213" t="s">
        <v>26848</v>
      </c>
      <c r="U3216" s="213" t="s">
        <v>66382</v>
      </c>
    </row>
    <row r="3217" spans="1:21" x14ac:dyDescent="0.25">
      <c r="A3217" s="213" t="s">
        <v>327</v>
      </c>
      <c r="D3217" s="213" t="s">
        <v>26849</v>
      </c>
      <c r="E3217" s="213" t="s">
        <v>26850</v>
      </c>
      <c r="K3217" s="213" t="s">
        <v>66227</v>
      </c>
      <c r="L3217" s="213" t="s">
        <v>66279</v>
      </c>
      <c r="M3217" s="213" t="s">
        <v>66331</v>
      </c>
      <c r="N3217" s="213" t="s">
        <v>26851</v>
      </c>
      <c r="O3217" s="213" t="s">
        <v>26852</v>
      </c>
      <c r="P3217" s="213" t="s">
        <v>26853</v>
      </c>
      <c r="Q3217" s="213" t="s">
        <v>26854</v>
      </c>
      <c r="R3217" s="213" t="s">
        <v>26855</v>
      </c>
      <c r="S3217" s="213" t="s">
        <v>26856</v>
      </c>
      <c r="T3217" s="213" t="s">
        <v>26857</v>
      </c>
      <c r="U3217" s="213" t="s">
        <v>66383</v>
      </c>
    </row>
    <row r="3218" spans="1:21" x14ac:dyDescent="0.25">
      <c r="A3218" s="213" t="s">
        <v>327</v>
      </c>
      <c r="D3218" s="213" t="s">
        <v>26858</v>
      </c>
      <c r="E3218" s="213" t="s">
        <v>26859</v>
      </c>
      <c r="K3218" s="213" t="s">
        <v>66228</v>
      </c>
      <c r="L3218" s="213" t="s">
        <v>66280</v>
      </c>
      <c r="M3218" s="213" t="s">
        <v>66332</v>
      </c>
      <c r="N3218" s="213" t="s">
        <v>26860</v>
      </c>
      <c r="O3218" s="213" t="s">
        <v>26861</v>
      </c>
      <c r="P3218" s="213" t="s">
        <v>26862</v>
      </c>
      <c r="Q3218" s="213" t="s">
        <v>26863</v>
      </c>
      <c r="R3218" s="213" t="s">
        <v>26864</v>
      </c>
      <c r="S3218" s="213" t="s">
        <v>26865</v>
      </c>
      <c r="T3218" s="213" t="s">
        <v>26866</v>
      </c>
      <c r="U3218" s="213" t="s">
        <v>66384</v>
      </c>
    </row>
    <row r="3219" spans="1:21" x14ac:dyDescent="0.25">
      <c r="A3219" s="213" t="s">
        <v>327</v>
      </c>
      <c r="D3219" s="213" t="s">
        <v>26867</v>
      </c>
      <c r="E3219" s="213" t="s">
        <v>26868</v>
      </c>
      <c r="K3219" s="213" t="s">
        <v>66229</v>
      </c>
      <c r="L3219" s="213" t="s">
        <v>66281</v>
      </c>
      <c r="M3219" s="213" t="s">
        <v>66333</v>
      </c>
      <c r="N3219" s="213" t="s">
        <v>26869</v>
      </c>
      <c r="O3219" s="213" t="s">
        <v>26870</v>
      </c>
      <c r="P3219" s="213" t="s">
        <v>26871</v>
      </c>
      <c r="Q3219" s="213" t="s">
        <v>26872</v>
      </c>
      <c r="R3219" s="213" t="s">
        <v>26873</v>
      </c>
      <c r="S3219" s="213" t="s">
        <v>26874</v>
      </c>
      <c r="T3219" s="213" t="s">
        <v>26875</v>
      </c>
      <c r="U3219" s="213" t="s">
        <v>66385</v>
      </c>
    </row>
    <row r="3220" spans="1:21" x14ac:dyDescent="0.25">
      <c r="A3220" s="213" t="s">
        <v>327</v>
      </c>
      <c r="D3220" s="213" t="s">
        <v>26876</v>
      </c>
      <c r="E3220" s="213" t="s">
        <v>26877</v>
      </c>
      <c r="K3220" s="213" t="s">
        <v>66230</v>
      </c>
      <c r="L3220" s="213" t="s">
        <v>66282</v>
      </c>
      <c r="M3220" s="213" t="s">
        <v>66334</v>
      </c>
      <c r="N3220" s="213" t="s">
        <v>26878</v>
      </c>
      <c r="O3220" s="213" t="s">
        <v>26879</v>
      </c>
      <c r="P3220" s="213" t="s">
        <v>26880</v>
      </c>
      <c r="Q3220" s="213" t="s">
        <v>26881</v>
      </c>
      <c r="R3220" s="213" t="s">
        <v>26882</v>
      </c>
      <c r="S3220" s="213" t="s">
        <v>26883</v>
      </c>
      <c r="T3220" s="213" t="s">
        <v>26884</v>
      </c>
      <c r="U3220" s="213" t="s">
        <v>66386</v>
      </c>
    </row>
    <row r="3221" spans="1:21" x14ac:dyDescent="0.25">
      <c r="A3221" s="213" t="s">
        <v>327</v>
      </c>
      <c r="D3221" s="213" t="s">
        <v>26885</v>
      </c>
      <c r="E3221" s="213" t="s">
        <v>26886</v>
      </c>
      <c r="K3221" s="213" t="s">
        <v>66231</v>
      </c>
      <c r="L3221" s="213" t="s">
        <v>66283</v>
      </c>
      <c r="M3221" s="213" t="s">
        <v>66335</v>
      </c>
      <c r="N3221" s="213" t="s">
        <v>26887</v>
      </c>
      <c r="O3221" s="213" t="s">
        <v>26888</v>
      </c>
      <c r="P3221" s="213" t="s">
        <v>26889</v>
      </c>
      <c r="Q3221" s="213" t="s">
        <v>26890</v>
      </c>
      <c r="R3221" s="213" t="s">
        <v>26891</v>
      </c>
      <c r="S3221" s="213" t="s">
        <v>26892</v>
      </c>
      <c r="T3221" s="213" t="s">
        <v>26893</v>
      </c>
      <c r="U3221" s="213" t="s">
        <v>66387</v>
      </c>
    </row>
    <row r="3222" spans="1:21" x14ac:dyDescent="0.25">
      <c r="A3222" s="213" t="s">
        <v>327</v>
      </c>
      <c r="D3222" s="213" t="s">
        <v>26894</v>
      </c>
      <c r="E3222" s="213" t="s">
        <v>26895</v>
      </c>
      <c r="K3222" s="213" t="s">
        <v>66232</v>
      </c>
      <c r="L3222" s="213" t="s">
        <v>66284</v>
      </c>
      <c r="M3222" s="213" t="s">
        <v>66336</v>
      </c>
      <c r="N3222" s="213" t="s">
        <v>26896</v>
      </c>
      <c r="O3222" s="213" t="s">
        <v>26897</v>
      </c>
      <c r="P3222" s="213" t="s">
        <v>26898</v>
      </c>
      <c r="Q3222" s="213" t="s">
        <v>26899</v>
      </c>
      <c r="R3222" s="213" t="s">
        <v>26900</v>
      </c>
      <c r="S3222" s="213" t="s">
        <v>26901</v>
      </c>
      <c r="T3222" s="213" t="s">
        <v>26902</v>
      </c>
      <c r="U3222" s="213" t="s">
        <v>66388</v>
      </c>
    </row>
    <row r="3223" spans="1:21" x14ac:dyDescent="0.25">
      <c r="A3223" s="213" t="s">
        <v>327</v>
      </c>
      <c r="D3223" s="213" t="s">
        <v>26903</v>
      </c>
      <c r="E3223" s="213" t="s">
        <v>26904</v>
      </c>
      <c r="K3223" s="213" t="s">
        <v>66233</v>
      </c>
      <c r="L3223" s="213" t="s">
        <v>66285</v>
      </c>
      <c r="M3223" s="213" t="s">
        <v>66337</v>
      </c>
      <c r="N3223" s="213" t="s">
        <v>26905</v>
      </c>
      <c r="O3223" s="213" t="s">
        <v>26906</v>
      </c>
      <c r="P3223" s="213" t="s">
        <v>26907</v>
      </c>
      <c r="Q3223" s="213" t="s">
        <v>26908</v>
      </c>
      <c r="R3223" s="213" t="s">
        <v>26909</v>
      </c>
      <c r="S3223" s="213" t="s">
        <v>26910</v>
      </c>
      <c r="T3223" s="213" t="s">
        <v>26911</v>
      </c>
      <c r="U3223" s="213" t="s">
        <v>66389</v>
      </c>
    </row>
    <row r="3224" spans="1:21" x14ac:dyDescent="0.25">
      <c r="A3224" s="213" t="s">
        <v>327</v>
      </c>
      <c r="D3224" s="213" t="s">
        <v>26912</v>
      </c>
      <c r="E3224" s="213" t="s">
        <v>26913</v>
      </c>
      <c r="K3224" s="213" t="s">
        <v>66234</v>
      </c>
      <c r="L3224" s="213" t="s">
        <v>66286</v>
      </c>
      <c r="M3224" s="213" t="s">
        <v>66338</v>
      </c>
      <c r="N3224" s="213" t="s">
        <v>26914</v>
      </c>
      <c r="O3224" s="213" t="s">
        <v>26915</v>
      </c>
      <c r="P3224" s="213" t="s">
        <v>26916</v>
      </c>
      <c r="Q3224" s="213" t="s">
        <v>26917</v>
      </c>
      <c r="R3224" s="213" t="s">
        <v>26918</v>
      </c>
      <c r="S3224" s="213" t="s">
        <v>26919</v>
      </c>
      <c r="T3224" s="213" t="s">
        <v>26920</v>
      </c>
      <c r="U3224" s="213" t="s">
        <v>66390</v>
      </c>
    </row>
    <row r="3225" spans="1:21" x14ac:dyDescent="0.25">
      <c r="A3225" s="213" t="s">
        <v>327</v>
      </c>
      <c r="D3225" s="213" t="s">
        <v>26921</v>
      </c>
      <c r="E3225" s="213" t="s">
        <v>26922</v>
      </c>
      <c r="K3225" s="213" t="s">
        <v>66235</v>
      </c>
      <c r="L3225" s="213" t="s">
        <v>66287</v>
      </c>
      <c r="M3225" s="213" t="s">
        <v>66339</v>
      </c>
      <c r="N3225" s="213" t="s">
        <v>26923</v>
      </c>
      <c r="O3225" s="213" t="s">
        <v>26924</v>
      </c>
      <c r="P3225" s="213" t="s">
        <v>26925</v>
      </c>
      <c r="Q3225" s="213" t="s">
        <v>26926</v>
      </c>
      <c r="R3225" s="213" t="s">
        <v>26927</v>
      </c>
      <c r="S3225" s="213" t="s">
        <v>26928</v>
      </c>
      <c r="T3225" s="213" t="s">
        <v>26929</v>
      </c>
      <c r="U3225" s="213" t="s">
        <v>66391</v>
      </c>
    </row>
    <row r="3226" spans="1:21" x14ac:dyDescent="0.25">
      <c r="A3226" s="213" t="s">
        <v>327</v>
      </c>
      <c r="D3226" s="213" t="s">
        <v>26930</v>
      </c>
      <c r="E3226" s="213" t="s">
        <v>26931</v>
      </c>
      <c r="K3226" s="213" t="s">
        <v>66236</v>
      </c>
      <c r="L3226" s="213" t="s">
        <v>66288</v>
      </c>
      <c r="M3226" s="213" t="s">
        <v>66340</v>
      </c>
      <c r="N3226" s="213" t="s">
        <v>26932</v>
      </c>
      <c r="O3226" s="213" t="s">
        <v>26933</v>
      </c>
      <c r="P3226" s="213" t="s">
        <v>26934</v>
      </c>
      <c r="Q3226" s="213" t="s">
        <v>26935</v>
      </c>
      <c r="R3226" s="213" t="s">
        <v>26936</v>
      </c>
      <c r="S3226" s="213" t="s">
        <v>26937</v>
      </c>
      <c r="T3226" s="213" t="s">
        <v>26938</v>
      </c>
      <c r="U3226" s="213" t="s">
        <v>66392</v>
      </c>
    </row>
    <row r="3227" spans="1:21" x14ac:dyDescent="0.25">
      <c r="A3227" s="213" t="s">
        <v>327</v>
      </c>
      <c r="D3227" s="213" t="s">
        <v>26939</v>
      </c>
      <c r="E3227" s="213" t="s">
        <v>26940</v>
      </c>
      <c r="K3227" s="213" t="s">
        <v>66237</v>
      </c>
      <c r="L3227" s="213" t="s">
        <v>66289</v>
      </c>
      <c r="M3227" s="213" t="s">
        <v>66341</v>
      </c>
      <c r="N3227" s="213" t="s">
        <v>26941</v>
      </c>
      <c r="O3227" s="213" t="s">
        <v>26942</v>
      </c>
      <c r="P3227" s="213" t="s">
        <v>26943</v>
      </c>
      <c r="Q3227" s="213" t="s">
        <v>26944</v>
      </c>
      <c r="R3227" s="213" t="s">
        <v>26945</v>
      </c>
      <c r="S3227" s="213" t="s">
        <v>26946</v>
      </c>
      <c r="T3227" s="213" t="s">
        <v>26947</v>
      </c>
      <c r="U3227" s="213" t="s">
        <v>66393</v>
      </c>
    </row>
    <row r="3228" spans="1:21" x14ac:dyDescent="0.25">
      <c r="A3228" s="213" t="s">
        <v>327</v>
      </c>
      <c r="D3228" s="213" t="s">
        <v>26948</v>
      </c>
      <c r="E3228" s="213" t="s">
        <v>26949</v>
      </c>
      <c r="K3228" s="213" t="s">
        <v>66238</v>
      </c>
      <c r="L3228" s="213" t="s">
        <v>66290</v>
      </c>
      <c r="M3228" s="213" t="s">
        <v>66342</v>
      </c>
      <c r="N3228" s="213" t="s">
        <v>26950</v>
      </c>
      <c r="O3228" s="213" t="s">
        <v>26951</v>
      </c>
      <c r="P3228" s="213" t="s">
        <v>26952</v>
      </c>
      <c r="Q3228" s="213" t="s">
        <v>26953</v>
      </c>
      <c r="R3228" s="213" t="s">
        <v>26954</v>
      </c>
      <c r="S3228" s="213" t="s">
        <v>26955</v>
      </c>
      <c r="T3228" s="213" t="s">
        <v>26956</v>
      </c>
      <c r="U3228" s="213" t="s">
        <v>66394</v>
      </c>
    </row>
    <row r="3229" spans="1:21" x14ac:dyDescent="0.25">
      <c r="A3229" s="213" t="s">
        <v>327</v>
      </c>
      <c r="D3229" s="213" t="s">
        <v>26957</v>
      </c>
      <c r="E3229" s="213" t="s">
        <v>26958</v>
      </c>
      <c r="K3229" s="213" t="s">
        <v>66239</v>
      </c>
      <c r="L3229" s="213" t="s">
        <v>66291</v>
      </c>
      <c r="M3229" s="213" t="s">
        <v>66343</v>
      </c>
      <c r="N3229" s="213" t="s">
        <v>26959</v>
      </c>
      <c r="O3229" s="213" t="s">
        <v>26960</v>
      </c>
      <c r="P3229" s="213" t="s">
        <v>26961</v>
      </c>
      <c r="Q3229" s="213" t="s">
        <v>26962</v>
      </c>
      <c r="R3229" s="213" t="s">
        <v>26963</v>
      </c>
      <c r="S3229" s="213" t="s">
        <v>26964</v>
      </c>
      <c r="T3229" s="213" t="s">
        <v>26965</v>
      </c>
      <c r="U3229" s="213" t="s">
        <v>66395</v>
      </c>
    </row>
    <row r="3230" spans="1:21" x14ac:dyDescent="0.25">
      <c r="A3230" s="213" t="s">
        <v>327</v>
      </c>
      <c r="D3230" s="213" t="s">
        <v>26966</v>
      </c>
      <c r="E3230" s="213" t="s">
        <v>26967</v>
      </c>
      <c r="K3230" s="213" t="s">
        <v>66240</v>
      </c>
      <c r="L3230" s="213" t="s">
        <v>66292</v>
      </c>
      <c r="M3230" s="213" t="s">
        <v>66344</v>
      </c>
      <c r="N3230" s="213" t="s">
        <v>26968</v>
      </c>
      <c r="O3230" s="213" t="s">
        <v>26969</v>
      </c>
      <c r="P3230" s="213" t="s">
        <v>26970</v>
      </c>
      <c r="Q3230" s="213" t="s">
        <v>26971</v>
      </c>
      <c r="R3230" s="213" t="s">
        <v>26972</v>
      </c>
      <c r="S3230" s="213" t="s">
        <v>26973</v>
      </c>
      <c r="T3230" s="213" t="s">
        <v>26974</v>
      </c>
      <c r="U3230" s="213" t="s">
        <v>66396</v>
      </c>
    </row>
    <row r="3231" spans="1:21" x14ac:dyDescent="0.25">
      <c r="A3231" s="213" t="s">
        <v>327</v>
      </c>
      <c r="D3231" s="213" t="s">
        <v>26975</v>
      </c>
      <c r="E3231" s="213" t="s">
        <v>26976</v>
      </c>
      <c r="K3231" s="213" t="s">
        <v>66241</v>
      </c>
      <c r="L3231" s="213" t="s">
        <v>66293</v>
      </c>
      <c r="M3231" s="213" t="s">
        <v>66345</v>
      </c>
      <c r="N3231" s="213" t="s">
        <v>26977</v>
      </c>
      <c r="O3231" s="213" t="s">
        <v>26978</v>
      </c>
      <c r="P3231" s="213" t="s">
        <v>26979</v>
      </c>
      <c r="Q3231" s="213" t="s">
        <v>26980</v>
      </c>
      <c r="R3231" s="213" t="s">
        <v>26981</v>
      </c>
      <c r="S3231" s="213" t="s">
        <v>26982</v>
      </c>
      <c r="T3231" s="213" t="s">
        <v>26983</v>
      </c>
      <c r="U3231" s="213" t="s">
        <v>66397</v>
      </c>
    </row>
    <row r="3232" spans="1:21" x14ac:dyDescent="0.25">
      <c r="A3232" s="213" t="s">
        <v>327</v>
      </c>
      <c r="D3232" s="213" t="s">
        <v>26984</v>
      </c>
      <c r="E3232" s="213" t="s">
        <v>26985</v>
      </c>
      <c r="K3232" s="213" t="s">
        <v>66242</v>
      </c>
      <c r="L3232" s="213" t="s">
        <v>66294</v>
      </c>
      <c r="M3232" s="213" t="s">
        <v>66346</v>
      </c>
      <c r="N3232" s="213" t="s">
        <v>26986</v>
      </c>
      <c r="O3232" s="213" t="s">
        <v>26987</v>
      </c>
      <c r="P3232" s="213" t="s">
        <v>26988</v>
      </c>
      <c r="Q3232" s="213" t="s">
        <v>26989</v>
      </c>
      <c r="R3232" s="213" t="s">
        <v>26990</v>
      </c>
      <c r="S3232" s="213" t="s">
        <v>26991</v>
      </c>
      <c r="T3232" s="213" t="s">
        <v>26992</v>
      </c>
      <c r="U3232" s="213" t="s">
        <v>66398</v>
      </c>
    </row>
    <row r="3233" spans="1:21" x14ac:dyDescent="0.25">
      <c r="A3233" s="213" t="s">
        <v>327</v>
      </c>
      <c r="D3233" s="213" t="s">
        <v>26993</v>
      </c>
      <c r="E3233" s="213" t="s">
        <v>26994</v>
      </c>
      <c r="K3233" s="213" t="s">
        <v>66243</v>
      </c>
      <c r="L3233" s="213" t="s">
        <v>66295</v>
      </c>
      <c r="M3233" s="213" t="s">
        <v>66347</v>
      </c>
      <c r="N3233" s="213" t="s">
        <v>26995</v>
      </c>
      <c r="O3233" s="213" t="s">
        <v>26996</v>
      </c>
      <c r="P3233" s="213" t="s">
        <v>26997</v>
      </c>
      <c r="Q3233" s="213" t="s">
        <v>26998</v>
      </c>
      <c r="R3233" s="213" t="s">
        <v>26999</v>
      </c>
      <c r="S3233" s="213" t="s">
        <v>27000</v>
      </c>
      <c r="T3233" s="213" t="s">
        <v>27001</v>
      </c>
      <c r="U3233" s="213" t="s">
        <v>66399</v>
      </c>
    </row>
    <row r="3234" spans="1:21" x14ac:dyDescent="0.25">
      <c r="A3234" s="213" t="s">
        <v>327</v>
      </c>
      <c r="D3234" s="213" t="s">
        <v>27002</v>
      </c>
      <c r="E3234" s="213" t="s">
        <v>27003</v>
      </c>
      <c r="K3234" s="213" t="s">
        <v>66244</v>
      </c>
      <c r="L3234" s="213" t="s">
        <v>66296</v>
      </c>
      <c r="M3234" s="213" t="s">
        <v>66348</v>
      </c>
      <c r="N3234" s="213" t="s">
        <v>27004</v>
      </c>
      <c r="O3234" s="213" t="s">
        <v>27005</v>
      </c>
      <c r="P3234" s="213" t="s">
        <v>27006</v>
      </c>
      <c r="Q3234" s="213" t="s">
        <v>27007</v>
      </c>
      <c r="R3234" s="213" t="s">
        <v>27008</v>
      </c>
      <c r="S3234" s="213" t="s">
        <v>27009</v>
      </c>
      <c r="T3234" s="213" t="s">
        <v>27010</v>
      </c>
      <c r="U3234" s="213" t="s">
        <v>66400</v>
      </c>
    </row>
    <row r="3235" spans="1:21" x14ac:dyDescent="0.25">
      <c r="A3235" s="213" t="s">
        <v>327</v>
      </c>
      <c r="D3235" s="213" t="s">
        <v>27011</v>
      </c>
      <c r="E3235" s="213" t="s">
        <v>27012</v>
      </c>
      <c r="K3235" s="213" t="s">
        <v>66245</v>
      </c>
      <c r="L3235" s="213" t="s">
        <v>66297</v>
      </c>
      <c r="M3235" s="213" t="s">
        <v>66349</v>
      </c>
      <c r="N3235" s="213" t="s">
        <v>27013</v>
      </c>
      <c r="O3235" s="213" t="s">
        <v>27014</v>
      </c>
      <c r="P3235" s="213" t="s">
        <v>27015</v>
      </c>
      <c r="Q3235" s="213" t="s">
        <v>27016</v>
      </c>
      <c r="R3235" s="213" t="s">
        <v>27017</v>
      </c>
      <c r="S3235" s="213" t="s">
        <v>27018</v>
      </c>
      <c r="T3235" s="213" t="s">
        <v>27019</v>
      </c>
      <c r="U3235" s="213" t="s">
        <v>66401</v>
      </c>
    </row>
    <row r="3236" spans="1:21" x14ac:dyDescent="0.25">
      <c r="A3236" s="213" t="s">
        <v>327</v>
      </c>
      <c r="D3236" s="213" t="s">
        <v>27020</v>
      </c>
      <c r="E3236" s="213" t="s">
        <v>27021</v>
      </c>
      <c r="K3236" s="213" t="s">
        <v>66246</v>
      </c>
      <c r="L3236" s="213" t="s">
        <v>66298</v>
      </c>
      <c r="M3236" s="213" t="s">
        <v>66350</v>
      </c>
      <c r="N3236" s="213" t="s">
        <v>27022</v>
      </c>
      <c r="O3236" s="213" t="s">
        <v>27023</v>
      </c>
      <c r="P3236" s="213" t="s">
        <v>27024</v>
      </c>
      <c r="Q3236" s="213" t="s">
        <v>27025</v>
      </c>
      <c r="R3236" s="213" t="s">
        <v>27026</v>
      </c>
      <c r="S3236" s="213" t="s">
        <v>27027</v>
      </c>
      <c r="T3236" s="213" t="s">
        <v>27028</v>
      </c>
      <c r="U3236" s="213" t="s">
        <v>66402</v>
      </c>
    </row>
    <row r="3237" spans="1:21" x14ac:dyDescent="0.25">
      <c r="A3237" s="213" t="s">
        <v>327</v>
      </c>
      <c r="D3237" s="213" t="s">
        <v>27029</v>
      </c>
      <c r="E3237" s="213" t="s">
        <v>27030</v>
      </c>
      <c r="K3237" s="213" t="s">
        <v>66247</v>
      </c>
      <c r="L3237" s="213" t="s">
        <v>66299</v>
      </c>
      <c r="M3237" s="213" t="s">
        <v>66351</v>
      </c>
      <c r="N3237" s="213" t="s">
        <v>27031</v>
      </c>
      <c r="O3237" s="213" t="s">
        <v>27032</v>
      </c>
      <c r="P3237" s="213" t="s">
        <v>27033</v>
      </c>
      <c r="Q3237" s="213" t="s">
        <v>27034</v>
      </c>
      <c r="R3237" s="213" t="s">
        <v>27035</v>
      </c>
      <c r="S3237" s="213" t="s">
        <v>27036</v>
      </c>
      <c r="T3237" s="213" t="s">
        <v>27037</v>
      </c>
      <c r="U3237" s="213" t="s">
        <v>66403</v>
      </c>
    </row>
    <row r="3238" spans="1:21" x14ac:dyDescent="0.25">
      <c r="A3238" s="213" t="s">
        <v>327</v>
      </c>
      <c r="D3238" s="213" t="s">
        <v>27038</v>
      </c>
      <c r="E3238" s="213" t="s">
        <v>27039</v>
      </c>
      <c r="K3238" s="213" t="s">
        <v>66248</v>
      </c>
      <c r="L3238" s="213" t="s">
        <v>66300</v>
      </c>
      <c r="M3238" s="213" t="s">
        <v>66352</v>
      </c>
      <c r="N3238" s="213" t="s">
        <v>27040</v>
      </c>
      <c r="O3238" s="213" t="s">
        <v>27041</v>
      </c>
      <c r="P3238" s="213" t="s">
        <v>27042</v>
      </c>
      <c r="Q3238" s="213" t="s">
        <v>27043</v>
      </c>
      <c r="R3238" s="213" t="s">
        <v>27044</v>
      </c>
      <c r="S3238" s="213" t="s">
        <v>27045</v>
      </c>
      <c r="T3238" s="213" t="s">
        <v>27046</v>
      </c>
      <c r="U3238" s="213" t="s">
        <v>66404</v>
      </c>
    </row>
    <row r="3239" spans="1:21" x14ac:dyDescent="0.25">
      <c r="A3239" s="213" t="s">
        <v>327</v>
      </c>
      <c r="D3239" s="213" t="s">
        <v>27047</v>
      </c>
      <c r="E3239" s="213" t="s">
        <v>27048</v>
      </c>
      <c r="K3239" s="213" t="s">
        <v>66249</v>
      </c>
      <c r="L3239" s="213" t="s">
        <v>66301</v>
      </c>
      <c r="M3239" s="213" t="s">
        <v>66353</v>
      </c>
      <c r="N3239" s="213" t="s">
        <v>27049</v>
      </c>
      <c r="O3239" s="213" t="s">
        <v>27050</v>
      </c>
      <c r="P3239" s="213" t="s">
        <v>27051</v>
      </c>
      <c r="Q3239" s="213" t="s">
        <v>27052</v>
      </c>
      <c r="R3239" s="213" t="s">
        <v>27053</v>
      </c>
      <c r="S3239" s="213" t="s">
        <v>27054</v>
      </c>
      <c r="T3239" s="213" t="s">
        <v>27055</v>
      </c>
      <c r="U3239" s="213" t="s">
        <v>66405</v>
      </c>
    </row>
    <row r="3240" spans="1:21" x14ac:dyDescent="0.25">
      <c r="A3240" s="213" t="s">
        <v>327</v>
      </c>
      <c r="D3240" s="213" t="s">
        <v>27056</v>
      </c>
      <c r="E3240" s="213" t="s">
        <v>27057</v>
      </c>
      <c r="K3240" s="213" t="s">
        <v>66250</v>
      </c>
      <c r="L3240" s="213" t="s">
        <v>66302</v>
      </c>
      <c r="M3240" s="213" t="s">
        <v>66354</v>
      </c>
      <c r="N3240" s="213" t="s">
        <v>27058</v>
      </c>
      <c r="O3240" s="213" t="s">
        <v>27059</v>
      </c>
      <c r="P3240" s="213" t="s">
        <v>27060</v>
      </c>
      <c r="Q3240" s="213" t="s">
        <v>27061</v>
      </c>
      <c r="R3240" s="213" t="s">
        <v>27062</v>
      </c>
      <c r="S3240" s="213" t="s">
        <v>27063</v>
      </c>
      <c r="T3240" s="213" t="s">
        <v>27064</v>
      </c>
      <c r="U3240" s="213" t="s">
        <v>66406</v>
      </c>
    </row>
    <row r="3241" spans="1:21" x14ac:dyDescent="0.25">
      <c r="A3241" s="213" t="s">
        <v>327</v>
      </c>
      <c r="D3241" s="213" t="s">
        <v>27065</v>
      </c>
      <c r="E3241" s="213" t="s">
        <v>27066</v>
      </c>
      <c r="K3241" s="213" t="s">
        <v>66251</v>
      </c>
      <c r="L3241" s="213" t="s">
        <v>66303</v>
      </c>
      <c r="M3241" s="213" t="s">
        <v>66355</v>
      </c>
      <c r="N3241" s="213" t="s">
        <v>27067</v>
      </c>
      <c r="O3241" s="213" t="s">
        <v>27068</v>
      </c>
      <c r="P3241" s="213" t="s">
        <v>27069</v>
      </c>
      <c r="Q3241" s="213" t="s">
        <v>27070</v>
      </c>
      <c r="R3241" s="213" t="s">
        <v>27071</v>
      </c>
      <c r="S3241" s="213" t="s">
        <v>27072</v>
      </c>
      <c r="T3241" s="213" t="s">
        <v>27073</v>
      </c>
      <c r="U3241" s="213" t="s">
        <v>66407</v>
      </c>
    </row>
    <row r="3242" spans="1:21" x14ac:dyDescent="0.25">
      <c r="A3242" s="213" t="s">
        <v>327</v>
      </c>
      <c r="D3242" s="213" t="s">
        <v>27074</v>
      </c>
      <c r="E3242" s="213" t="s">
        <v>27075</v>
      </c>
      <c r="K3242" s="213" t="s">
        <v>66252</v>
      </c>
      <c r="L3242" s="213" t="s">
        <v>66304</v>
      </c>
      <c r="M3242" s="213" t="s">
        <v>66356</v>
      </c>
      <c r="N3242" s="213" t="s">
        <v>27076</v>
      </c>
      <c r="O3242" s="213" t="s">
        <v>27077</v>
      </c>
      <c r="P3242" s="213" t="s">
        <v>27078</v>
      </c>
      <c r="Q3242" s="213" t="s">
        <v>27079</v>
      </c>
      <c r="R3242" s="213" t="s">
        <v>27080</v>
      </c>
      <c r="S3242" s="213" t="s">
        <v>27081</v>
      </c>
      <c r="T3242" s="213" t="s">
        <v>27082</v>
      </c>
      <c r="U3242" s="213" t="s">
        <v>66408</v>
      </c>
    </row>
    <row r="3243" spans="1:21" x14ac:dyDescent="0.25">
      <c r="A3243" s="213" t="s">
        <v>327</v>
      </c>
      <c r="D3243" s="213" t="s">
        <v>27083</v>
      </c>
      <c r="E3243" s="213" t="s">
        <v>27084</v>
      </c>
      <c r="K3243" s="213" t="s">
        <v>66253</v>
      </c>
      <c r="L3243" s="213" t="s">
        <v>66305</v>
      </c>
      <c r="M3243" s="213" t="s">
        <v>66357</v>
      </c>
      <c r="N3243" s="213" t="s">
        <v>27085</v>
      </c>
      <c r="O3243" s="213" t="s">
        <v>27086</v>
      </c>
      <c r="P3243" s="213" t="s">
        <v>27087</v>
      </c>
      <c r="Q3243" s="213" t="s">
        <v>27088</v>
      </c>
      <c r="R3243" s="213" t="s">
        <v>27089</v>
      </c>
      <c r="S3243" s="213" t="s">
        <v>27090</v>
      </c>
      <c r="T3243" s="213" t="s">
        <v>27091</v>
      </c>
      <c r="U3243" s="213" t="s">
        <v>66409</v>
      </c>
    </row>
    <row r="3244" spans="1:21" x14ac:dyDescent="0.25">
      <c r="A3244" s="213" t="s">
        <v>327</v>
      </c>
    </row>
    <row r="3245" spans="1:21" x14ac:dyDescent="0.25">
      <c r="A3245" s="213" t="s">
        <v>327</v>
      </c>
    </row>
    <row r="3246" spans="1:21" x14ac:dyDescent="0.25">
      <c r="A3246" s="213" t="s">
        <v>327</v>
      </c>
      <c r="C3246" s="213" t="s">
        <v>27092</v>
      </c>
      <c r="E3246" s="213" t="s">
        <v>27093</v>
      </c>
      <c r="H3246" s="213" t="s">
        <v>27094</v>
      </c>
      <c r="I3246" s="213" t="s">
        <v>27095</v>
      </c>
      <c r="J3246" s="213" t="s">
        <v>27096</v>
      </c>
      <c r="L3246" s="213" t="s">
        <v>27097</v>
      </c>
      <c r="O3246" s="213" t="s">
        <v>27098</v>
      </c>
      <c r="P3246" s="213" t="s">
        <v>27099</v>
      </c>
      <c r="Q3246" s="213" t="s">
        <v>27100</v>
      </c>
      <c r="R3246" s="213" t="s">
        <v>27101</v>
      </c>
      <c r="S3246" s="213" t="s">
        <v>27102</v>
      </c>
      <c r="T3246" s="213" t="s">
        <v>27103</v>
      </c>
    </row>
    <row r="3247" spans="1:21" x14ac:dyDescent="0.25">
      <c r="A3247" s="213" t="s">
        <v>327</v>
      </c>
      <c r="C3247" s="213" t="s">
        <v>27104</v>
      </c>
      <c r="E3247" s="213" t="s">
        <v>27105</v>
      </c>
      <c r="I3247" s="213" t="s">
        <v>27106</v>
      </c>
    </row>
    <row r="3248" spans="1:21" x14ac:dyDescent="0.25">
      <c r="A3248" s="213" t="s">
        <v>327</v>
      </c>
      <c r="C3248" s="213" t="s">
        <v>27107</v>
      </c>
      <c r="E3248" s="213" t="s">
        <v>27108</v>
      </c>
      <c r="I3248" s="213" t="s">
        <v>27109</v>
      </c>
    </row>
    <row r="3249" spans="1:21" x14ac:dyDescent="0.25">
      <c r="A3249" s="213" t="s">
        <v>328</v>
      </c>
    </row>
    <row r="3250" spans="1:21" x14ac:dyDescent="0.25">
      <c r="A3250" s="213" t="s">
        <v>327</v>
      </c>
      <c r="D3250" s="213" t="s">
        <v>27110</v>
      </c>
      <c r="E3250" s="213" t="s">
        <v>27111</v>
      </c>
      <c r="K3250" s="213" t="s">
        <v>65402</v>
      </c>
      <c r="L3250" s="213" t="s">
        <v>65602</v>
      </c>
      <c r="M3250" s="213" t="s">
        <v>65802</v>
      </c>
      <c r="N3250" s="213" t="s">
        <v>27112</v>
      </c>
      <c r="O3250" s="213" t="s">
        <v>27113</v>
      </c>
      <c r="P3250" s="213" t="s">
        <v>27114</v>
      </c>
      <c r="Q3250" s="213" t="s">
        <v>27115</v>
      </c>
      <c r="R3250" s="213" t="s">
        <v>27116</v>
      </c>
      <c r="S3250" s="213" t="s">
        <v>27117</v>
      </c>
      <c r="T3250" s="213" t="s">
        <v>27118</v>
      </c>
      <c r="U3250" s="213" t="s">
        <v>66002</v>
      </c>
    </row>
    <row r="3251" spans="1:21" x14ac:dyDescent="0.25">
      <c r="A3251" s="213" t="s">
        <v>327</v>
      </c>
      <c r="D3251" s="213" t="s">
        <v>27119</v>
      </c>
      <c r="E3251" s="213" t="s">
        <v>27120</v>
      </c>
      <c r="K3251" s="213" t="s">
        <v>65403</v>
      </c>
      <c r="L3251" s="213" t="s">
        <v>65603</v>
      </c>
      <c r="M3251" s="213" t="s">
        <v>65803</v>
      </c>
      <c r="N3251" s="213" t="s">
        <v>27121</v>
      </c>
      <c r="O3251" s="213" t="s">
        <v>27122</v>
      </c>
      <c r="P3251" s="213" t="s">
        <v>27123</v>
      </c>
      <c r="Q3251" s="213" t="s">
        <v>27124</v>
      </c>
      <c r="R3251" s="213" t="s">
        <v>27125</v>
      </c>
      <c r="S3251" s="213" t="s">
        <v>27126</v>
      </c>
      <c r="T3251" s="213" t="s">
        <v>27127</v>
      </c>
      <c r="U3251" s="213" t="s">
        <v>66003</v>
      </c>
    </row>
    <row r="3252" spans="1:21" x14ac:dyDescent="0.25">
      <c r="A3252" s="213" t="s">
        <v>327</v>
      </c>
      <c r="D3252" s="213" t="s">
        <v>27128</v>
      </c>
      <c r="E3252" s="213" t="s">
        <v>27129</v>
      </c>
      <c r="K3252" s="213" t="s">
        <v>65404</v>
      </c>
      <c r="L3252" s="213" t="s">
        <v>65604</v>
      </c>
      <c r="M3252" s="213" t="s">
        <v>65804</v>
      </c>
      <c r="N3252" s="213" t="s">
        <v>27130</v>
      </c>
      <c r="O3252" s="213" t="s">
        <v>27131</v>
      </c>
      <c r="P3252" s="213" t="s">
        <v>27132</v>
      </c>
      <c r="Q3252" s="213" t="s">
        <v>27133</v>
      </c>
      <c r="R3252" s="213" t="s">
        <v>27134</v>
      </c>
      <c r="S3252" s="213" t="s">
        <v>27135</v>
      </c>
      <c r="T3252" s="213" t="s">
        <v>27136</v>
      </c>
      <c r="U3252" s="213" t="s">
        <v>66004</v>
      </c>
    </row>
    <row r="3253" spans="1:21" x14ac:dyDescent="0.25">
      <c r="A3253" s="213" t="s">
        <v>327</v>
      </c>
      <c r="D3253" s="213" t="s">
        <v>27137</v>
      </c>
      <c r="E3253" s="213" t="s">
        <v>27138</v>
      </c>
      <c r="K3253" s="213" t="s">
        <v>65405</v>
      </c>
      <c r="L3253" s="213" t="s">
        <v>65605</v>
      </c>
      <c r="M3253" s="213" t="s">
        <v>65805</v>
      </c>
      <c r="N3253" s="213" t="s">
        <v>27139</v>
      </c>
      <c r="O3253" s="213" t="s">
        <v>27140</v>
      </c>
      <c r="P3253" s="213" t="s">
        <v>27141</v>
      </c>
      <c r="Q3253" s="213" t="s">
        <v>27142</v>
      </c>
      <c r="R3253" s="213" t="s">
        <v>27143</v>
      </c>
      <c r="S3253" s="213" t="s">
        <v>27144</v>
      </c>
      <c r="T3253" s="213" t="s">
        <v>27145</v>
      </c>
      <c r="U3253" s="213" t="s">
        <v>66005</v>
      </c>
    </row>
    <row r="3254" spans="1:21" x14ac:dyDescent="0.25">
      <c r="A3254" s="213" t="s">
        <v>327</v>
      </c>
      <c r="D3254" s="213" t="s">
        <v>27146</v>
      </c>
      <c r="E3254" s="213" t="s">
        <v>27147</v>
      </c>
      <c r="K3254" s="213" t="s">
        <v>65406</v>
      </c>
      <c r="L3254" s="213" t="s">
        <v>65606</v>
      </c>
      <c r="M3254" s="213" t="s">
        <v>65806</v>
      </c>
      <c r="N3254" s="213" t="s">
        <v>27148</v>
      </c>
      <c r="O3254" s="213" t="s">
        <v>27149</v>
      </c>
      <c r="P3254" s="213" t="s">
        <v>27150</v>
      </c>
      <c r="Q3254" s="213" t="s">
        <v>27151</v>
      </c>
      <c r="R3254" s="213" t="s">
        <v>27152</v>
      </c>
      <c r="S3254" s="213" t="s">
        <v>27153</v>
      </c>
      <c r="T3254" s="213" t="s">
        <v>27154</v>
      </c>
      <c r="U3254" s="213" t="s">
        <v>66006</v>
      </c>
    </row>
    <row r="3255" spans="1:21" x14ac:dyDescent="0.25">
      <c r="A3255" s="213" t="s">
        <v>327</v>
      </c>
      <c r="D3255" s="213" t="s">
        <v>27155</v>
      </c>
      <c r="E3255" s="213" t="s">
        <v>27156</v>
      </c>
      <c r="K3255" s="213" t="s">
        <v>65407</v>
      </c>
      <c r="L3255" s="213" t="s">
        <v>65607</v>
      </c>
      <c r="M3255" s="213" t="s">
        <v>65807</v>
      </c>
      <c r="N3255" s="213" t="s">
        <v>27157</v>
      </c>
      <c r="O3255" s="213" t="s">
        <v>27158</v>
      </c>
      <c r="P3255" s="213" t="s">
        <v>27159</v>
      </c>
      <c r="Q3255" s="213" t="s">
        <v>27160</v>
      </c>
      <c r="R3255" s="213" t="s">
        <v>27161</v>
      </c>
      <c r="S3255" s="213" t="s">
        <v>27162</v>
      </c>
      <c r="T3255" s="213" t="s">
        <v>27163</v>
      </c>
      <c r="U3255" s="213" t="s">
        <v>66007</v>
      </c>
    </row>
    <row r="3256" spans="1:21" x14ac:dyDescent="0.25">
      <c r="A3256" s="213" t="s">
        <v>327</v>
      </c>
      <c r="D3256" s="213" t="s">
        <v>27164</v>
      </c>
      <c r="E3256" s="213" t="s">
        <v>27165</v>
      </c>
      <c r="K3256" s="213" t="s">
        <v>65408</v>
      </c>
      <c r="L3256" s="213" t="s">
        <v>65608</v>
      </c>
      <c r="M3256" s="213" t="s">
        <v>65808</v>
      </c>
      <c r="N3256" s="213" t="s">
        <v>27166</v>
      </c>
      <c r="O3256" s="213" t="s">
        <v>27167</v>
      </c>
      <c r="P3256" s="213" t="s">
        <v>27168</v>
      </c>
      <c r="Q3256" s="213" t="s">
        <v>27169</v>
      </c>
      <c r="R3256" s="213" t="s">
        <v>27170</v>
      </c>
      <c r="S3256" s="213" t="s">
        <v>27171</v>
      </c>
      <c r="T3256" s="213" t="s">
        <v>27172</v>
      </c>
      <c r="U3256" s="213" t="s">
        <v>66008</v>
      </c>
    </row>
    <row r="3257" spans="1:21" x14ac:dyDescent="0.25">
      <c r="A3257" s="213" t="s">
        <v>327</v>
      </c>
      <c r="D3257" s="213" t="s">
        <v>27173</v>
      </c>
      <c r="E3257" s="213" t="s">
        <v>27174</v>
      </c>
      <c r="K3257" s="213" t="s">
        <v>65409</v>
      </c>
      <c r="L3257" s="213" t="s">
        <v>65609</v>
      </c>
      <c r="M3257" s="213" t="s">
        <v>65809</v>
      </c>
      <c r="N3257" s="213" t="s">
        <v>27175</v>
      </c>
      <c r="O3257" s="213" t="s">
        <v>27176</v>
      </c>
      <c r="P3257" s="213" t="s">
        <v>27177</v>
      </c>
      <c r="Q3257" s="213" t="s">
        <v>27178</v>
      </c>
      <c r="R3257" s="213" t="s">
        <v>27179</v>
      </c>
      <c r="S3257" s="213" t="s">
        <v>27180</v>
      </c>
      <c r="T3257" s="213" t="s">
        <v>27181</v>
      </c>
      <c r="U3257" s="213" t="s">
        <v>66009</v>
      </c>
    </row>
    <row r="3258" spans="1:21" x14ac:dyDescent="0.25">
      <c r="A3258" s="213" t="s">
        <v>327</v>
      </c>
      <c r="D3258" s="213" t="s">
        <v>27182</v>
      </c>
      <c r="E3258" s="213" t="s">
        <v>27183</v>
      </c>
      <c r="K3258" s="213" t="s">
        <v>65410</v>
      </c>
      <c r="L3258" s="213" t="s">
        <v>65610</v>
      </c>
      <c r="M3258" s="213" t="s">
        <v>65810</v>
      </c>
      <c r="N3258" s="213" t="s">
        <v>27184</v>
      </c>
      <c r="O3258" s="213" t="s">
        <v>27185</v>
      </c>
      <c r="P3258" s="213" t="s">
        <v>27186</v>
      </c>
      <c r="Q3258" s="213" t="s">
        <v>27187</v>
      </c>
      <c r="R3258" s="213" t="s">
        <v>27188</v>
      </c>
      <c r="S3258" s="213" t="s">
        <v>27189</v>
      </c>
      <c r="T3258" s="213" t="s">
        <v>27190</v>
      </c>
      <c r="U3258" s="213" t="s">
        <v>66010</v>
      </c>
    </row>
    <row r="3259" spans="1:21" x14ac:dyDescent="0.25">
      <c r="A3259" s="213" t="s">
        <v>327</v>
      </c>
      <c r="D3259" s="213" t="s">
        <v>27191</v>
      </c>
      <c r="E3259" s="213" t="s">
        <v>27192</v>
      </c>
      <c r="K3259" s="213" t="s">
        <v>65411</v>
      </c>
      <c r="L3259" s="213" t="s">
        <v>65611</v>
      </c>
      <c r="M3259" s="213" t="s">
        <v>65811</v>
      </c>
      <c r="N3259" s="213" t="s">
        <v>27193</v>
      </c>
      <c r="O3259" s="213" t="s">
        <v>27194</v>
      </c>
      <c r="P3259" s="213" t="s">
        <v>27195</v>
      </c>
      <c r="Q3259" s="213" t="s">
        <v>27196</v>
      </c>
      <c r="R3259" s="213" t="s">
        <v>27197</v>
      </c>
      <c r="S3259" s="213" t="s">
        <v>27198</v>
      </c>
      <c r="T3259" s="213" t="s">
        <v>27199</v>
      </c>
      <c r="U3259" s="213" t="s">
        <v>66011</v>
      </c>
    </row>
    <row r="3260" spans="1:21" x14ac:dyDescent="0.25">
      <c r="A3260" s="213" t="s">
        <v>327</v>
      </c>
      <c r="D3260" s="213" t="s">
        <v>27200</v>
      </c>
      <c r="E3260" s="213" t="s">
        <v>27201</v>
      </c>
      <c r="K3260" s="213" t="s">
        <v>65412</v>
      </c>
      <c r="L3260" s="213" t="s">
        <v>65612</v>
      </c>
      <c r="M3260" s="213" t="s">
        <v>65812</v>
      </c>
      <c r="N3260" s="213" t="s">
        <v>27202</v>
      </c>
      <c r="O3260" s="213" t="s">
        <v>27203</v>
      </c>
      <c r="P3260" s="213" t="s">
        <v>27204</v>
      </c>
      <c r="Q3260" s="213" t="s">
        <v>27205</v>
      </c>
      <c r="R3260" s="213" t="s">
        <v>27206</v>
      </c>
      <c r="S3260" s="213" t="s">
        <v>27207</v>
      </c>
      <c r="T3260" s="213" t="s">
        <v>27208</v>
      </c>
      <c r="U3260" s="213" t="s">
        <v>66012</v>
      </c>
    </row>
    <row r="3261" spans="1:21" x14ac:dyDescent="0.25">
      <c r="A3261" s="213" t="s">
        <v>327</v>
      </c>
      <c r="D3261" s="213" t="s">
        <v>27209</v>
      </c>
      <c r="E3261" s="213" t="s">
        <v>27210</v>
      </c>
      <c r="K3261" s="213" t="s">
        <v>65413</v>
      </c>
      <c r="L3261" s="213" t="s">
        <v>65613</v>
      </c>
      <c r="M3261" s="213" t="s">
        <v>65813</v>
      </c>
      <c r="N3261" s="213" t="s">
        <v>27211</v>
      </c>
      <c r="O3261" s="213" t="s">
        <v>27212</v>
      </c>
      <c r="P3261" s="213" t="s">
        <v>27213</v>
      </c>
      <c r="Q3261" s="213" t="s">
        <v>27214</v>
      </c>
      <c r="R3261" s="213" t="s">
        <v>27215</v>
      </c>
      <c r="S3261" s="213" t="s">
        <v>27216</v>
      </c>
      <c r="T3261" s="213" t="s">
        <v>27217</v>
      </c>
      <c r="U3261" s="213" t="s">
        <v>66013</v>
      </c>
    </row>
    <row r="3262" spans="1:21" x14ac:dyDescent="0.25">
      <c r="A3262" s="213" t="s">
        <v>327</v>
      </c>
      <c r="D3262" s="213" t="s">
        <v>27218</v>
      </c>
      <c r="E3262" s="213" t="s">
        <v>27219</v>
      </c>
      <c r="K3262" s="213" t="s">
        <v>65414</v>
      </c>
      <c r="L3262" s="213" t="s">
        <v>65614</v>
      </c>
      <c r="M3262" s="213" t="s">
        <v>65814</v>
      </c>
      <c r="N3262" s="213" t="s">
        <v>27220</v>
      </c>
      <c r="O3262" s="213" t="s">
        <v>27221</v>
      </c>
      <c r="P3262" s="213" t="s">
        <v>27222</v>
      </c>
      <c r="Q3262" s="213" t="s">
        <v>27223</v>
      </c>
      <c r="R3262" s="213" t="s">
        <v>27224</v>
      </c>
      <c r="S3262" s="213" t="s">
        <v>27225</v>
      </c>
      <c r="T3262" s="213" t="s">
        <v>27226</v>
      </c>
      <c r="U3262" s="213" t="s">
        <v>66014</v>
      </c>
    </row>
    <row r="3263" spans="1:21" x14ac:dyDescent="0.25">
      <c r="A3263" s="213" t="s">
        <v>327</v>
      </c>
      <c r="D3263" s="213" t="s">
        <v>27227</v>
      </c>
      <c r="E3263" s="213" t="s">
        <v>27228</v>
      </c>
      <c r="K3263" s="213" t="s">
        <v>65415</v>
      </c>
      <c r="L3263" s="213" t="s">
        <v>65615</v>
      </c>
      <c r="M3263" s="213" t="s">
        <v>65815</v>
      </c>
      <c r="N3263" s="213" t="s">
        <v>27229</v>
      </c>
      <c r="O3263" s="213" t="s">
        <v>27230</v>
      </c>
      <c r="P3263" s="213" t="s">
        <v>27231</v>
      </c>
      <c r="Q3263" s="213" t="s">
        <v>27232</v>
      </c>
      <c r="R3263" s="213" t="s">
        <v>27233</v>
      </c>
      <c r="S3263" s="213" t="s">
        <v>27234</v>
      </c>
      <c r="T3263" s="213" t="s">
        <v>27235</v>
      </c>
      <c r="U3263" s="213" t="s">
        <v>66015</v>
      </c>
    </row>
    <row r="3264" spans="1:21" x14ac:dyDescent="0.25">
      <c r="A3264" s="213" t="s">
        <v>327</v>
      </c>
      <c r="D3264" s="213" t="s">
        <v>27236</v>
      </c>
      <c r="E3264" s="213" t="s">
        <v>27237</v>
      </c>
      <c r="K3264" s="213" t="s">
        <v>65416</v>
      </c>
      <c r="L3264" s="213" t="s">
        <v>65616</v>
      </c>
      <c r="M3264" s="213" t="s">
        <v>65816</v>
      </c>
      <c r="N3264" s="213" t="s">
        <v>27238</v>
      </c>
      <c r="O3264" s="213" t="s">
        <v>27239</v>
      </c>
      <c r="P3264" s="213" t="s">
        <v>27240</v>
      </c>
      <c r="Q3264" s="213" t="s">
        <v>27241</v>
      </c>
      <c r="R3264" s="213" t="s">
        <v>27242</v>
      </c>
      <c r="S3264" s="213" t="s">
        <v>27243</v>
      </c>
      <c r="T3264" s="213" t="s">
        <v>27244</v>
      </c>
      <c r="U3264" s="213" t="s">
        <v>66016</v>
      </c>
    </row>
    <row r="3265" spans="1:21" x14ac:dyDescent="0.25">
      <c r="A3265" s="213" t="s">
        <v>327</v>
      </c>
      <c r="D3265" s="213" t="s">
        <v>27245</v>
      </c>
      <c r="E3265" s="213" t="s">
        <v>27246</v>
      </c>
      <c r="K3265" s="213" t="s">
        <v>65417</v>
      </c>
      <c r="L3265" s="213" t="s">
        <v>65617</v>
      </c>
      <c r="M3265" s="213" t="s">
        <v>65817</v>
      </c>
      <c r="N3265" s="213" t="s">
        <v>27247</v>
      </c>
      <c r="O3265" s="213" t="s">
        <v>27248</v>
      </c>
      <c r="P3265" s="213" t="s">
        <v>27249</v>
      </c>
      <c r="Q3265" s="213" t="s">
        <v>27250</v>
      </c>
      <c r="R3265" s="213" t="s">
        <v>27251</v>
      </c>
      <c r="S3265" s="213" t="s">
        <v>27252</v>
      </c>
      <c r="T3265" s="213" t="s">
        <v>27253</v>
      </c>
      <c r="U3265" s="213" t="s">
        <v>66017</v>
      </c>
    </row>
    <row r="3266" spans="1:21" x14ac:dyDescent="0.25">
      <c r="A3266" s="213" t="s">
        <v>327</v>
      </c>
      <c r="D3266" s="213" t="s">
        <v>27254</v>
      </c>
      <c r="E3266" s="213" t="s">
        <v>27255</v>
      </c>
      <c r="K3266" s="213" t="s">
        <v>65418</v>
      </c>
      <c r="L3266" s="213" t="s">
        <v>65618</v>
      </c>
      <c r="M3266" s="213" t="s">
        <v>65818</v>
      </c>
      <c r="N3266" s="213" t="s">
        <v>27256</v>
      </c>
      <c r="O3266" s="213" t="s">
        <v>27257</v>
      </c>
      <c r="P3266" s="213" t="s">
        <v>27258</v>
      </c>
      <c r="Q3266" s="213" t="s">
        <v>27259</v>
      </c>
      <c r="R3266" s="213" t="s">
        <v>27260</v>
      </c>
      <c r="S3266" s="213" t="s">
        <v>27261</v>
      </c>
      <c r="T3266" s="213" t="s">
        <v>27262</v>
      </c>
      <c r="U3266" s="213" t="s">
        <v>66018</v>
      </c>
    </row>
    <row r="3267" spans="1:21" x14ac:dyDescent="0.25">
      <c r="A3267" s="213" t="s">
        <v>327</v>
      </c>
      <c r="D3267" s="213" t="s">
        <v>27263</v>
      </c>
      <c r="E3267" s="213" t="s">
        <v>27264</v>
      </c>
      <c r="K3267" s="213" t="s">
        <v>65419</v>
      </c>
      <c r="L3267" s="213" t="s">
        <v>65619</v>
      </c>
      <c r="M3267" s="213" t="s">
        <v>65819</v>
      </c>
      <c r="N3267" s="213" t="s">
        <v>27265</v>
      </c>
      <c r="O3267" s="213" t="s">
        <v>27266</v>
      </c>
      <c r="P3267" s="213" t="s">
        <v>27267</v>
      </c>
      <c r="Q3267" s="213" t="s">
        <v>27268</v>
      </c>
      <c r="R3267" s="213" t="s">
        <v>27269</v>
      </c>
      <c r="S3267" s="213" t="s">
        <v>27270</v>
      </c>
      <c r="T3267" s="213" t="s">
        <v>27271</v>
      </c>
      <c r="U3267" s="213" t="s">
        <v>66019</v>
      </c>
    </row>
    <row r="3268" spans="1:21" x14ac:dyDescent="0.25">
      <c r="A3268" s="213" t="s">
        <v>327</v>
      </c>
      <c r="D3268" s="213" t="s">
        <v>27272</v>
      </c>
      <c r="E3268" s="213" t="s">
        <v>27273</v>
      </c>
      <c r="K3268" s="213" t="s">
        <v>65420</v>
      </c>
      <c r="L3268" s="213" t="s">
        <v>65620</v>
      </c>
      <c r="M3268" s="213" t="s">
        <v>65820</v>
      </c>
      <c r="N3268" s="213" t="s">
        <v>27274</v>
      </c>
      <c r="O3268" s="213" t="s">
        <v>27275</v>
      </c>
      <c r="P3268" s="213" t="s">
        <v>27276</v>
      </c>
      <c r="Q3268" s="213" t="s">
        <v>27277</v>
      </c>
      <c r="R3268" s="213" t="s">
        <v>27278</v>
      </c>
      <c r="S3268" s="213" t="s">
        <v>27279</v>
      </c>
      <c r="T3268" s="213" t="s">
        <v>27280</v>
      </c>
      <c r="U3268" s="213" t="s">
        <v>66020</v>
      </c>
    </row>
    <row r="3269" spans="1:21" x14ac:dyDescent="0.25">
      <c r="A3269" s="213" t="s">
        <v>327</v>
      </c>
      <c r="D3269" s="213" t="s">
        <v>27281</v>
      </c>
      <c r="E3269" s="213" t="s">
        <v>27282</v>
      </c>
      <c r="K3269" s="213" t="s">
        <v>65421</v>
      </c>
      <c r="L3269" s="213" t="s">
        <v>65621</v>
      </c>
      <c r="M3269" s="213" t="s">
        <v>65821</v>
      </c>
      <c r="N3269" s="213" t="s">
        <v>27283</v>
      </c>
      <c r="O3269" s="213" t="s">
        <v>27284</v>
      </c>
      <c r="P3269" s="213" t="s">
        <v>27285</v>
      </c>
      <c r="Q3269" s="213" t="s">
        <v>27286</v>
      </c>
      <c r="R3269" s="213" t="s">
        <v>27287</v>
      </c>
      <c r="S3269" s="213" t="s">
        <v>27288</v>
      </c>
      <c r="T3269" s="213" t="s">
        <v>27289</v>
      </c>
      <c r="U3269" s="213" t="s">
        <v>66021</v>
      </c>
    </row>
    <row r="3270" spans="1:21" x14ac:dyDescent="0.25">
      <c r="A3270" s="213" t="s">
        <v>327</v>
      </c>
      <c r="D3270" s="213" t="s">
        <v>27290</v>
      </c>
      <c r="E3270" s="213" t="s">
        <v>27291</v>
      </c>
      <c r="K3270" s="213" t="s">
        <v>65422</v>
      </c>
      <c r="L3270" s="213" t="s">
        <v>65622</v>
      </c>
      <c r="M3270" s="213" t="s">
        <v>65822</v>
      </c>
      <c r="N3270" s="213" t="s">
        <v>27292</v>
      </c>
      <c r="O3270" s="213" t="s">
        <v>27293</v>
      </c>
      <c r="P3270" s="213" t="s">
        <v>27294</v>
      </c>
      <c r="Q3270" s="213" t="s">
        <v>27295</v>
      </c>
      <c r="R3270" s="213" t="s">
        <v>27296</v>
      </c>
      <c r="S3270" s="213" t="s">
        <v>27297</v>
      </c>
      <c r="T3270" s="213" t="s">
        <v>27298</v>
      </c>
      <c r="U3270" s="213" t="s">
        <v>66022</v>
      </c>
    </row>
    <row r="3271" spans="1:21" x14ac:dyDescent="0.25">
      <c r="A3271" s="213" t="s">
        <v>327</v>
      </c>
      <c r="D3271" s="213" t="s">
        <v>27299</v>
      </c>
      <c r="E3271" s="213" t="s">
        <v>27300</v>
      </c>
      <c r="K3271" s="213" t="s">
        <v>65423</v>
      </c>
      <c r="L3271" s="213" t="s">
        <v>65623</v>
      </c>
      <c r="M3271" s="213" t="s">
        <v>65823</v>
      </c>
      <c r="N3271" s="213" t="s">
        <v>27301</v>
      </c>
      <c r="O3271" s="213" t="s">
        <v>27302</v>
      </c>
      <c r="P3271" s="213" t="s">
        <v>27303</v>
      </c>
      <c r="Q3271" s="213" t="s">
        <v>27304</v>
      </c>
      <c r="R3271" s="213" t="s">
        <v>27305</v>
      </c>
      <c r="S3271" s="213" t="s">
        <v>27306</v>
      </c>
      <c r="T3271" s="213" t="s">
        <v>27307</v>
      </c>
      <c r="U3271" s="213" t="s">
        <v>66023</v>
      </c>
    </row>
    <row r="3272" spans="1:21" x14ac:dyDescent="0.25">
      <c r="A3272" s="213" t="s">
        <v>327</v>
      </c>
      <c r="D3272" s="213" t="s">
        <v>27308</v>
      </c>
      <c r="E3272" s="213" t="s">
        <v>27309</v>
      </c>
      <c r="K3272" s="213" t="s">
        <v>65424</v>
      </c>
      <c r="L3272" s="213" t="s">
        <v>65624</v>
      </c>
      <c r="M3272" s="213" t="s">
        <v>65824</v>
      </c>
      <c r="N3272" s="213" t="s">
        <v>27310</v>
      </c>
      <c r="O3272" s="213" t="s">
        <v>27311</v>
      </c>
      <c r="P3272" s="213" t="s">
        <v>27312</v>
      </c>
      <c r="Q3272" s="213" t="s">
        <v>27313</v>
      </c>
      <c r="R3272" s="213" t="s">
        <v>27314</v>
      </c>
      <c r="S3272" s="213" t="s">
        <v>27315</v>
      </c>
      <c r="T3272" s="213" t="s">
        <v>27316</v>
      </c>
      <c r="U3272" s="213" t="s">
        <v>66024</v>
      </c>
    </row>
    <row r="3273" spans="1:21" x14ac:dyDescent="0.25">
      <c r="A3273" s="213" t="s">
        <v>327</v>
      </c>
      <c r="D3273" s="213" t="s">
        <v>27317</v>
      </c>
      <c r="E3273" s="213" t="s">
        <v>27318</v>
      </c>
      <c r="K3273" s="213" t="s">
        <v>65425</v>
      </c>
      <c r="L3273" s="213" t="s">
        <v>65625</v>
      </c>
      <c r="M3273" s="213" t="s">
        <v>65825</v>
      </c>
      <c r="N3273" s="213" t="s">
        <v>27319</v>
      </c>
      <c r="O3273" s="213" t="s">
        <v>27320</v>
      </c>
      <c r="P3273" s="213" t="s">
        <v>27321</v>
      </c>
      <c r="Q3273" s="213" t="s">
        <v>27322</v>
      </c>
      <c r="R3273" s="213" t="s">
        <v>27323</v>
      </c>
      <c r="S3273" s="213" t="s">
        <v>27324</v>
      </c>
      <c r="T3273" s="213" t="s">
        <v>27325</v>
      </c>
      <c r="U3273" s="213" t="s">
        <v>66025</v>
      </c>
    </row>
    <row r="3274" spans="1:21" x14ac:dyDescent="0.25">
      <c r="A3274" s="213" t="s">
        <v>327</v>
      </c>
      <c r="D3274" s="213" t="s">
        <v>27326</v>
      </c>
      <c r="E3274" s="213" t="s">
        <v>27327</v>
      </c>
      <c r="K3274" s="213" t="s">
        <v>65426</v>
      </c>
      <c r="L3274" s="213" t="s">
        <v>65626</v>
      </c>
      <c r="M3274" s="213" t="s">
        <v>65826</v>
      </c>
      <c r="N3274" s="213" t="s">
        <v>27328</v>
      </c>
      <c r="O3274" s="213" t="s">
        <v>27329</v>
      </c>
      <c r="P3274" s="213" t="s">
        <v>27330</v>
      </c>
      <c r="Q3274" s="213" t="s">
        <v>27331</v>
      </c>
      <c r="R3274" s="213" t="s">
        <v>27332</v>
      </c>
      <c r="S3274" s="213" t="s">
        <v>27333</v>
      </c>
      <c r="T3274" s="213" t="s">
        <v>27334</v>
      </c>
      <c r="U3274" s="213" t="s">
        <v>66026</v>
      </c>
    </row>
    <row r="3275" spans="1:21" x14ac:dyDescent="0.25">
      <c r="A3275" s="213" t="s">
        <v>327</v>
      </c>
      <c r="D3275" s="213" t="s">
        <v>27335</v>
      </c>
      <c r="E3275" s="213" t="s">
        <v>27336</v>
      </c>
      <c r="K3275" s="213" t="s">
        <v>65427</v>
      </c>
      <c r="L3275" s="213" t="s">
        <v>65627</v>
      </c>
      <c r="M3275" s="213" t="s">
        <v>65827</v>
      </c>
      <c r="N3275" s="213" t="s">
        <v>27337</v>
      </c>
      <c r="O3275" s="213" t="s">
        <v>27338</v>
      </c>
      <c r="P3275" s="213" t="s">
        <v>27339</v>
      </c>
      <c r="Q3275" s="213" t="s">
        <v>27340</v>
      </c>
      <c r="R3275" s="213" t="s">
        <v>27341</v>
      </c>
      <c r="S3275" s="213" t="s">
        <v>27342</v>
      </c>
      <c r="T3275" s="213" t="s">
        <v>27343</v>
      </c>
      <c r="U3275" s="213" t="s">
        <v>66027</v>
      </c>
    </row>
    <row r="3276" spans="1:21" x14ac:dyDescent="0.25">
      <c r="A3276" s="213" t="s">
        <v>327</v>
      </c>
      <c r="D3276" s="213" t="s">
        <v>27344</v>
      </c>
      <c r="E3276" s="213" t="s">
        <v>27345</v>
      </c>
      <c r="K3276" s="213" t="s">
        <v>65428</v>
      </c>
      <c r="L3276" s="213" t="s">
        <v>65628</v>
      </c>
      <c r="M3276" s="213" t="s">
        <v>65828</v>
      </c>
      <c r="N3276" s="213" t="s">
        <v>27346</v>
      </c>
      <c r="O3276" s="213" t="s">
        <v>27347</v>
      </c>
      <c r="P3276" s="213" t="s">
        <v>27348</v>
      </c>
      <c r="Q3276" s="213" t="s">
        <v>27349</v>
      </c>
      <c r="R3276" s="213" t="s">
        <v>27350</v>
      </c>
      <c r="S3276" s="213" t="s">
        <v>27351</v>
      </c>
      <c r="T3276" s="213" t="s">
        <v>27352</v>
      </c>
      <c r="U3276" s="213" t="s">
        <v>66028</v>
      </c>
    </row>
    <row r="3277" spans="1:21" x14ac:dyDescent="0.25">
      <c r="A3277" s="213" t="s">
        <v>327</v>
      </c>
      <c r="D3277" s="213" t="s">
        <v>27353</v>
      </c>
      <c r="E3277" s="213" t="s">
        <v>27354</v>
      </c>
      <c r="K3277" s="213" t="s">
        <v>65429</v>
      </c>
      <c r="L3277" s="213" t="s">
        <v>65629</v>
      </c>
      <c r="M3277" s="213" t="s">
        <v>65829</v>
      </c>
      <c r="N3277" s="213" t="s">
        <v>27355</v>
      </c>
      <c r="O3277" s="213" t="s">
        <v>27356</v>
      </c>
      <c r="P3277" s="213" t="s">
        <v>27357</v>
      </c>
      <c r="Q3277" s="213" t="s">
        <v>27358</v>
      </c>
      <c r="R3277" s="213" t="s">
        <v>27359</v>
      </c>
      <c r="S3277" s="213" t="s">
        <v>27360</v>
      </c>
      <c r="T3277" s="213" t="s">
        <v>27361</v>
      </c>
      <c r="U3277" s="213" t="s">
        <v>66029</v>
      </c>
    </row>
    <row r="3278" spans="1:21" x14ac:dyDescent="0.25">
      <c r="A3278" s="213" t="s">
        <v>327</v>
      </c>
      <c r="D3278" s="213" t="s">
        <v>27362</v>
      </c>
      <c r="E3278" s="213" t="s">
        <v>27363</v>
      </c>
      <c r="K3278" s="213" t="s">
        <v>65430</v>
      </c>
      <c r="L3278" s="213" t="s">
        <v>65630</v>
      </c>
      <c r="M3278" s="213" t="s">
        <v>65830</v>
      </c>
      <c r="N3278" s="213" t="s">
        <v>27364</v>
      </c>
      <c r="O3278" s="213" t="s">
        <v>27365</v>
      </c>
      <c r="P3278" s="213" t="s">
        <v>27366</v>
      </c>
      <c r="Q3278" s="213" t="s">
        <v>27367</v>
      </c>
      <c r="R3278" s="213" t="s">
        <v>27368</v>
      </c>
      <c r="S3278" s="213" t="s">
        <v>27369</v>
      </c>
      <c r="T3278" s="213" t="s">
        <v>27370</v>
      </c>
      <c r="U3278" s="213" t="s">
        <v>66030</v>
      </c>
    </row>
    <row r="3279" spans="1:21" x14ac:dyDescent="0.25">
      <c r="A3279" s="213" t="s">
        <v>327</v>
      </c>
      <c r="D3279" s="213" t="s">
        <v>27371</v>
      </c>
      <c r="E3279" s="213" t="s">
        <v>27372</v>
      </c>
      <c r="K3279" s="213" t="s">
        <v>65431</v>
      </c>
      <c r="L3279" s="213" t="s">
        <v>65631</v>
      </c>
      <c r="M3279" s="213" t="s">
        <v>65831</v>
      </c>
      <c r="N3279" s="213" t="s">
        <v>27373</v>
      </c>
      <c r="O3279" s="213" t="s">
        <v>27374</v>
      </c>
      <c r="P3279" s="213" t="s">
        <v>27375</v>
      </c>
      <c r="Q3279" s="213" t="s">
        <v>27376</v>
      </c>
      <c r="R3279" s="213" t="s">
        <v>27377</v>
      </c>
      <c r="S3279" s="213" t="s">
        <v>27378</v>
      </c>
      <c r="T3279" s="213" t="s">
        <v>27379</v>
      </c>
      <c r="U3279" s="213" t="s">
        <v>66031</v>
      </c>
    </row>
    <row r="3280" spans="1:21" x14ac:dyDescent="0.25">
      <c r="A3280" s="213" t="s">
        <v>327</v>
      </c>
      <c r="D3280" s="213" t="s">
        <v>27380</v>
      </c>
      <c r="E3280" s="213" t="s">
        <v>27381</v>
      </c>
      <c r="K3280" s="213" t="s">
        <v>65432</v>
      </c>
      <c r="L3280" s="213" t="s">
        <v>65632</v>
      </c>
      <c r="M3280" s="213" t="s">
        <v>65832</v>
      </c>
      <c r="N3280" s="213" t="s">
        <v>27382</v>
      </c>
      <c r="O3280" s="213" t="s">
        <v>27383</v>
      </c>
      <c r="P3280" s="213" t="s">
        <v>27384</v>
      </c>
      <c r="Q3280" s="213" t="s">
        <v>27385</v>
      </c>
      <c r="R3280" s="213" t="s">
        <v>27386</v>
      </c>
      <c r="S3280" s="213" t="s">
        <v>27387</v>
      </c>
      <c r="T3280" s="213" t="s">
        <v>27388</v>
      </c>
      <c r="U3280" s="213" t="s">
        <v>66032</v>
      </c>
    </row>
    <row r="3281" spans="1:21" x14ac:dyDescent="0.25">
      <c r="A3281" s="213" t="s">
        <v>327</v>
      </c>
      <c r="D3281" s="213" t="s">
        <v>27389</v>
      </c>
      <c r="E3281" s="213" t="s">
        <v>27390</v>
      </c>
      <c r="K3281" s="213" t="s">
        <v>65433</v>
      </c>
      <c r="L3281" s="213" t="s">
        <v>65633</v>
      </c>
      <c r="M3281" s="213" t="s">
        <v>65833</v>
      </c>
      <c r="N3281" s="213" t="s">
        <v>27391</v>
      </c>
      <c r="O3281" s="213" t="s">
        <v>27392</v>
      </c>
      <c r="P3281" s="213" t="s">
        <v>27393</v>
      </c>
      <c r="Q3281" s="213" t="s">
        <v>27394</v>
      </c>
      <c r="R3281" s="213" t="s">
        <v>27395</v>
      </c>
      <c r="S3281" s="213" t="s">
        <v>27396</v>
      </c>
      <c r="T3281" s="213" t="s">
        <v>27397</v>
      </c>
      <c r="U3281" s="213" t="s">
        <v>66033</v>
      </c>
    </row>
    <row r="3282" spans="1:21" x14ac:dyDescent="0.25">
      <c r="A3282" s="213" t="s">
        <v>327</v>
      </c>
      <c r="D3282" s="213" t="s">
        <v>27398</v>
      </c>
      <c r="E3282" s="213" t="s">
        <v>27399</v>
      </c>
      <c r="K3282" s="213" t="s">
        <v>65434</v>
      </c>
      <c r="L3282" s="213" t="s">
        <v>65634</v>
      </c>
      <c r="M3282" s="213" t="s">
        <v>65834</v>
      </c>
      <c r="N3282" s="213" t="s">
        <v>27400</v>
      </c>
      <c r="O3282" s="213" t="s">
        <v>27401</v>
      </c>
      <c r="P3282" s="213" t="s">
        <v>27402</v>
      </c>
      <c r="Q3282" s="213" t="s">
        <v>27403</v>
      </c>
      <c r="R3282" s="213" t="s">
        <v>27404</v>
      </c>
      <c r="S3282" s="213" t="s">
        <v>27405</v>
      </c>
      <c r="T3282" s="213" t="s">
        <v>27406</v>
      </c>
      <c r="U3282" s="213" t="s">
        <v>66034</v>
      </c>
    </row>
    <row r="3283" spans="1:21" x14ac:dyDescent="0.25">
      <c r="A3283" s="213" t="s">
        <v>327</v>
      </c>
      <c r="D3283" s="213" t="s">
        <v>27407</v>
      </c>
      <c r="E3283" s="213" t="s">
        <v>27408</v>
      </c>
      <c r="K3283" s="213" t="s">
        <v>65435</v>
      </c>
      <c r="L3283" s="213" t="s">
        <v>65635</v>
      </c>
      <c r="M3283" s="213" t="s">
        <v>65835</v>
      </c>
      <c r="N3283" s="213" t="s">
        <v>27409</v>
      </c>
      <c r="O3283" s="213" t="s">
        <v>27410</v>
      </c>
      <c r="P3283" s="213" t="s">
        <v>27411</v>
      </c>
      <c r="Q3283" s="213" t="s">
        <v>27412</v>
      </c>
      <c r="R3283" s="213" t="s">
        <v>27413</v>
      </c>
      <c r="S3283" s="213" t="s">
        <v>27414</v>
      </c>
      <c r="T3283" s="213" t="s">
        <v>27415</v>
      </c>
      <c r="U3283" s="213" t="s">
        <v>66035</v>
      </c>
    </row>
    <row r="3284" spans="1:21" x14ac:dyDescent="0.25">
      <c r="A3284" s="213" t="s">
        <v>327</v>
      </c>
      <c r="D3284" s="213" t="s">
        <v>27416</v>
      </c>
      <c r="E3284" s="213" t="s">
        <v>27417</v>
      </c>
      <c r="K3284" s="213" t="s">
        <v>65436</v>
      </c>
      <c r="L3284" s="213" t="s">
        <v>65636</v>
      </c>
      <c r="M3284" s="213" t="s">
        <v>65836</v>
      </c>
      <c r="N3284" s="213" t="s">
        <v>27418</v>
      </c>
      <c r="O3284" s="213" t="s">
        <v>27419</v>
      </c>
      <c r="P3284" s="213" t="s">
        <v>27420</v>
      </c>
      <c r="Q3284" s="213" t="s">
        <v>27421</v>
      </c>
      <c r="R3284" s="213" t="s">
        <v>27422</v>
      </c>
      <c r="S3284" s="213" t="s">
        <v>27423</v>
      </c>
      <c r="T3284" s="213" t="s">
        <v>27424</v>
      </c>
      <c r="U3284" s="213" t="s">
        <v>66036</v>
      </c>
    </row>
    <row r="3285" spans="1:21" x14ac:dyDescent="0.25">
      <c r="A3285" s="213" t="s">
        <v>327</v>
      </c>
      <c r="D3285" s="213" t="s">
        <v>27425</v>
      </c>
      <c r="E3285" s="213" t="s">
        <v>27426</v>
      </c>
      <c r="K3285" s="213" t="s">
        <v>65437</v>
      </c>
      <c r="L3285" s="213" t="s">
        <v>65637</v>
      </c>
      <c r="M3285" s="213" t="s">
        <v>65837</v>
      </c>
      <c r="N3285" s="213" t="s">
        <v>27427</v>
      </c>
      <c r="O3285" s="213" t="s">
        <v>27428</v>
      </c>
      <c r="P3285" s="213" t="s">
        <v>27429</v>
      </c>
      <c r="Q3285" s="213" t="s">
        <v>27430</v>
      </c>
      <c r="R3285" s="213" t="s">
        <v>27431</v>
      </c>
      <c r="S3285" s="213" t="s">
        <v>27432</v>
      </c>
      <c r="T3285" s="213" t="s">
        <v>27433</v>
      </c>
      <c r="U3285" s="213" t="s">
        <v>66037</v>
      </c>
    </row>
    <row r="3286" spans="1:21" x14ac:dyDescent="0.25">
      <c r="A3286" s="213" t="s">
        <v>327</v>
      </c>
      <c r="D3286" s="213" t="s">
        <v>27434</v>
      </c>
      <c r="E3286" s="213" t="s">
        <v>27435</v>
      </c>
      <c r="K3286" s="213" t="s">
        <v>65438</v>
      </c>
      <c r="L3286" s="213" t="s">
        <v>65638</v>
      </c>
      <c r="M3286" s="213" t="s">
        <v>65838</v>
      </c>
      <c r="N3286" s="213" t="s">
        <v>27436</v>
      </c>
      <c r="O3286" s="213" t="s">
        <v>27437</v>
      </c>
      <c r="P3286" s="213" t="s">
        <v>27438</v>
      </c>
      <c r="Q3286" s="213" t="s">
        <v>27439</v>
      </c>
      <c r="R3286" s="213" t="s">
        <v>27440</v>
      </c>
      <c r="S3286" s="213" t="s">
        <v>27441</v>
      </c>
      <c r="T3286" s="213" t="s">
        <v>27442</v>
      </c>
      <c r="U3286" s="213" t="s">
        <v>66038</v>
      </c>
    </row>
    <row r="3287" spans="1:21" x14ac:dyDescent="0.25">
      <c r="A3287" s="213" t="s">
        <v>327</v>
      </c>
      <c r="D3287" s="213" t="s">
        <v>27443</v>
      </c>
      <c r="E3287" s="213" t="s">
        <v>27444</v>
      </c>
      <c r="K3287" s="213" t="s">
        <v>65439</v>
      </c>
      <c r="L3287" s="213" t="s">
        <v>65639</v>
      </c>
      <c r="M3287" s="213" t="s">
        <v>65839</v>
      </c>
      <c r="N3287" s="213" t="s">
        <v>27445</v>
      </c>
      <c r="O3287" s="213" t="s">
        <v>27446</v>
      </c>
      <c r="P3287" s="213" t="s">
        <v>27447</v>
      </c>
      <c r="Q3287" s="213" t="s">
        <v>27448</v>
      </c>
      <c r="R3287" s="213" t="s">
        <v>27449</v>
      </c>
      <c r="S3287" s="213" t="s">
        <v>27450</v>
      </c>
      <c r="T3287" s="213" t="s">
        <v>27451</v>
      </c>
      <c r="U3287" s="213" t="s">
        <v>66039</v>
      </c>
    </row>
    <row r="3288" spans="1:21" x14ac:dyDescent="0.25">
      <c r="A3288" s="213" t="s">
        <v>327</v>
      </c>
      <c r="D3288" s="213" t="s">
        <v>27452</v>
      </c>
      <c r="E3288" s="213" t="s">
        <v>27453</v>
      </c>
      <c r="K3288" s="213" t="s">
        <v>65440</v>
      </c>
      <c r="L3288" s="213" t="s">
        <v>65640</v>
      </c>
      <c r="M3288" s="213" t="s">
        <v>65840</v>
      </c>
      <c r="N3288" s="213" t="s">
        <v>27454</v>
      </c>
      <c r="O3288" s="213" t="s">
        <v>27455</v>
      </c>
      <c r="P3288" s="213" t="s">
        <v>27456</v>
      </c>
      <c r="Q3288" s="213" t="s">
        <v>27457</v>
      </c>
      <c r="R3288" s="213" t="s">
        <v>27458</v>
      </c>
      <c r="S3288" s="213" t="s">
        <v>27459</v>
      </c>
      <c r="T3288" s="213" t="s">
        <v>27460</v>
      </c>
      <c r="U3288" s="213" t="s">
        <v>66040</v>
      </c>
    </row>
    <row r="3289" spans="1:21" x14ac:dyDescent="0.25">
      <c r="A3289" s="213" t="s">
        <v>327</v>
      </c>
      <c r="D3289" s="213" t="s">
        <v>27461</v>
      </c>
      <c r="E3289" s="213" t="s">
        <v>27462</v>
      </c>
      <c r="K3289" s="213" t="s">
        <v>65441</v>
      </c>
      <c r="L3289" s="213" t="s">
        <v>65641</v>
      </c>
      <c r="M3289" s="213" t="s">
        <v>65841</v>
      </c>
      <c r="N3289" s="213" t="s">
        <v>27463</v>
      </c>
      <c r="O3289" s="213" t="s">
        <v>27464</v>
      </c>
      <c r="P3289" s="213" t="s">
        <v>27465</v>
      </c>
      <c r="Q3289" s="213" t="s">
        <v>27466</v>
      </c>
      <c r="R3289" s="213" t="s">
        <v>27467</v>
      </c>
      <c r="S3289" s="213" t="s">
        <v>27468</v>
      </c>
      <c r="T3289" s="213" t="s">
        <v>27469</v>
      </c>
      <c r="U3289" s="213" t="s">
        <v>66041</v>
      </c>
    </row>
    <row r="3290" spans="1:21" x14ac:dyDescent="0.25">
      <c r="A3290" s="213" t="s">
        <v>327</v>
      </c>
      <c r="D3290" s="213" t="s">
        <v>27470</v>
      </c>
      <c r="E3290" s="213" t="s">
        <v>27471</v>
      </c>
      <c r="K3290" s="213" t="s">
        <v>65442</v>
      </c>
      <c r="L3290" s="213" t="s">
        <v>65642</v>
      </c>
      <c r="M3290" s="213" t="s">
        <v>65842</v>
      </c>
      <c r="N3290" s="213" t="s">
        <v>27472</v>
      </c>
      <c r="O3290" s="213" t="s">
        <v>27473</v>
      </c>
      <c r="P3290" s="213" t="s">
        <v>27474</v>
      </c>
      <c r="Q3290" s="213" t="s">
        <v>27475</v>
      </c>
      <c r="R3290" s="213" t="s">
        <v>27476</v>
      </c>
      <c r="S3290" s="213" t="s">
        <v>27477</v>
      </c>
      <c r="T3290" s="213" t="s">
        <v>27478</v>
      </c>
      <c r="U3290" s="213" t="s">
        <v>66042</v>
      </c>
    </row>
    <row r="3291" spans="1:21" x14ac:dyDescent="0.25">
      <c r="A3291" s="213" t="s">
        <v>327</v>
      </c>
      <c r="D3291" s="213" t="s">
        <v>27479</v>
      </c>
      <c r="E3291" s="213" t="s">
        <v>27480</v>
      </c>
      <c r="K3291" s="213" t="s">
        <v>65443</v>
      </c>
      <c r="L3291" s="213" t="s">
        <v>65643</v>
      </c>
      <c r="M3291" s="213" t="s">
        <v>65843</v>
      </c>
      <c r="N3291" s="213" t="s">
        <v>27481</v>
      </c>
      <c r="O3291" s="213" t="s">
        <v>27482</v>
      </c>
      <c r="P3291" s="213" t="s">
        <v>27483</v>
      </c>
      <c r="Q3291" s="213" t="s">
        <v>27484</v>
      </c>
      <c r="R3291" s="213" t="s">
        <v>27485</v>
      </c>
      <c r="S3291" s="213" t="s">
        <v>27486</v>
      </c>
      <c r="T3291" s="213" t="s">
        <v>27487</v>
      </c>
      <c r="U3291" s="213" t="s">
        <v>66043</v>
      </c>
    </row>
    <row r="3292" spans="1:21" x14ac:dyDescent="0.25">
      <c r="A3292" s="213" t="s">
        <v>327</v>
      </c>
      <c r="D3292" s="213" t="s">
        <v>27488</v>
      </c>
      <c r="E3292" s="213" t="s">
        <v>27489</v>
      </c>
      <c r="K3292" s="213" t="s">
        <v>65444</v>
      </c>
      <c r="L3292" s="213" t="s">
        <v>65644</v>
      </c>
      <c r="M3292" s="213" t="s">
        <v>65844</v>
      </c>
      <c r="N3292" s="213" t="s">
        <v>27490</v>
      </c>
      <c r="O3292" s="213" t="s">
        <v>27491</v>
      </c>
      <c r="P3292" s="213" t="s">
        <v>27492</v>
      </c>
      <c r="Q3292" s="213" t="s">
        <v>27493</v>
      </c>
      <c r="R3292" s="213" t="s">
        <v>27494</v>
      </c>
      <c r="S3292" s="213" t="s">
        <v>27495</v>
      </c>
      <c r="T3292" s="213" t="s">
        <v>27496</v>
      </c>
      <c r="U3292" s="213" t="s">
        <v>66044</v>
      </c>
    </row>
    <row r="3293" spans="1:21" x14ac:dyDescent="0.25">
      <c r="A3293" s="213" t="s">
        <v>327</v>
      </c>
      <c r="D3293" s="213" t="s">
        <v>27497</v>
      </c>
      <c r="E3293" s="213" t="s">
        <v>27498</v>
      </c>
      <c r="K3293" s="213" t="s">
        <v>65445</v>
      </c>
      <c r="L3293" s="213" t="s">
        <v>65645</v>
      </c>
      <c r="M3293" s="213" t="s">
        <v>65845</v>
      </c>
      <c r="N3293" s="213" t="s">
        <v>27499</v>
      </c>
      <c r="O3293" s="213" t="s">
        <v>27500</v>
      </c>
      <c r="P3293" s="213" t="s">
        <v>27501</v>
      </c>
      <c r="Q3293" s="213" t="s">
        <v>27502</v>
      </c>
      <c r="R3293" s="213" t="s">
        <v>27503</v>
      </c>
      <c r="S3293" s="213" t="s">
        <v>27504</v>
      </c>
      <c r="T3293" s="213" t="s">
        <v>27505</v>
      </c>
      <c r="U3293" s="213" t="s">
        <v>66045</v>
      </c>
    </row>
    <row r="3294" spans="1:21" x14ac:dyDescent="0.25">
      <c r="A3294" s="213" t="s">
        <v>327</v>
      </c>
      <c r="D3294" s="213" t="s">
        <v>27506</v>
      </c>
      <c r="E3294" s="213" t="s">
        <v>27507</v>
      </c>
      <c r="K3294" s="213" t="s">
        <v>65446</v>
      </c>
      <c r="L3294" s="213" t="s">
        <v>65646</v>
      </c>
      <c r="M3294" s="213" t="s">
        <v>65846</v>
      </c>
      <c r="N3294" s="213" t="s">
        <v>27508</v>
      </c>
      <c r="O3294" s="213" t="s">
        <v>27509</v>
      </c>
      <c r="P3294" s="213" t="s">
        <v>27510</v>
      </c>
      <c r="Q3294" s="213" t="s">
        <v>27511</v>
      </c>
      <c r="R3294" s="213" t="s">
        <v>27512</v>
      </c>
      <c r="S3294" s="213" t="s">
        <v>27513</v>
      </c>
      <c r="T3294" s="213" t="s">
        <v>27514</v>
      </c>
      <c r="U3294" s="213" t="s">
        <v>66046</v>
      </c>
    </row>
    <row r="3295" spans="1:21" x14ac:dyDescent="0.25">
      <c r="A3295" s="213" t="s">
        <v>327</v>
      </c>
      <c r="D3295" s="213" t="s">
        <v>27515</v>
      </c>
      <c r="E3295" s="213" t="s">
        <v>27516</v>
      </c>
      <c r="K3295" s="213" t="s">
        <v>65447</v>
      </c>
      <c r="L3295" s="213" t="s">
        <v>65647</v>
      </c>
      <c r="M3295" s="213" t="s">
        <v>65847</v>
      </c>
      <c r="N3295" s="213" t="s">
        <v>27517</v>
      </c>
      <c r="O3295" s="213" t="s">
        <v>27518</v>
      </c>
      <c r="P3295" s="213" t="s">
        <v>27519</v>
      </c>
      <c r="Q3295" s="213" t="s">
        <v>27520</v>
      </c>
      <c r="R3295" s="213" t="s">
        <v>27521</v>
      </c>
      <c r="S3295" s="213" t="s">
        <v>27522</v>
      </c>
      <c r="T3295" s="213" t="s">
        <v>27523</v>
      </c>
      <c r="U3295" s="213" t="s">
        <v>66047</v>
      </c>
    </row>
    <row r="3296" spans="1:21" x14ac:dyDescent="0.25">
      <c r="A3296" s="213" t="s">
        <v>327</v>
      </c>
      <c r="D3296" s="213" t="s">
        <v>27524</v>
      </c>
      <c r="E3296" s="213" t="s">
        <v>27525</v>
      </c>
      <c r="K3296" s="213" t="s">
        <v>65448</v>
      </c>
      <c r="L3296" s="213" t="s">
        <v>65648</v>
      </c>
      <c r="M3296" s="213" t="s">
        <v>65848</v>
      </c>
      <c r="N3296" s="213" t="s">
        <v>27526</v>
      </c>
      <c r="O3296" s="213" t="s">
        <v>27527</v>
      </c>
      <c r="P3296" s="213" t="s">
        <v>27528</v>
      </c>
      <c r="Q3296" s="213" t="s">
        <v>27529</v>
      </c>
      <c r="R3296" s="213" t="s">
        <v>27530</v>
      </c>
      <c r="S3296" s="213" t="s">
        <v>27531</v>
      </c>
      <c r="T3296" s="213" t="s">
        <v>27532</v>
      </c>
      <c r="U3296" s="213" t="s">
        <v>66048</v>
      </c>
    </row>
    <row r="3297" spans="1:21" x14ac:dyDescent="0.25">
      <c r="A3297" s="213" t="s">
        <v>327</v>
      </c>
      <c r="D3297" s="213" t="s">
        <v>27533</v>
      </c>
      <c r="E3297" s="213" t="s">
        <v>27534</v>
      </c>
      <c r="K3297" s="213" t="s">
        <v>65449</v>
      </c>
      <c r="L3297" s="213" t="s">
        <v>65649</v>
      </c>
      <c r="M3297" s="213" t="s">
        <v>65849</v>
      </c>
      <c r="N3297" s="213" t="s">
        <v>27535</v>
      </c>
      <c r="O3297" s="213" t="s">
        <v>27536</v>
      </c>
      <c r="P3297" s="213" t="s">
        <v>27537</v>
      </c>
      <c r="Q3297" s="213" t="s">
        <v>27538</v>
      </c>
      <c r="R3297" s="213" t="s">
        <v>27539</v>
      </c>
      <c r="S3297" s="213" t="s">
        <v>27540</v>
      </c>
      <c r="T3297" s="213" t="s">
        <v>27541</v>
      </c>
      <c r="U3297" s="213" t="s">
        <v>66049</v>
      </c>
    </row>
    <row r="3298" spans="1:21" x14ac:dyDescent="0.25">
      <c r="A3298" s="213" t="s">
        <v>327</v>
      </c>
      <c r="D3298" s="213" t="s">
        <v>27542</v>
      </c>
      <c r="E3298" s="213" t="s">
        <v>27543</v>
      </c>
      <c r="K3298" s="213" t="s">
        <v>65450</v>
      </c>
      <c r="L3298" s="213" t="s">
        <v>65650</v>
      </c>
      <c r="M3298" s="213" t="s">
        <v>65850</v>
      </c>
      <c r="N3298" s="213" t="s">
        <v>27544</v>
      </c>
      <c r="O3298" s="213" t="s">
        <v>27545</v>
      </c>
      <c r="P3298" s="213" t="s">
        <v>27546</v>
      </c>
      <c r="Q3298" s="213" t="s">
        <v>27547</v>
      </c>
      <c r="R3298" s="213" t="s">
        <v>27548</v>
      </c>
      <c r="S3298" s="213" t="s">
        <v>27549</v>
      </c>
      <c r="T3298" s="213" t="s">
        <v>27550</v>
      </c>
      <c r="U3298" s="213" t="s">
        <v>66050</v>
      </c>
    </row>
    <row r="3299" spans="1:21" x14ac:dyDescent="0.25">
      <c r="A3299" s="213" t="s">
        <v>327</v>
      </c>
      <c r="D3299" s="213" t="s">
        <v>27551</v>
      </c>
      <c r="E3299" s="213" t="s">
        <v>27552</v>
      </c>
      <c r="K3299" s="213" t="s">
        <v>65451</v>
      </c>
      <c r="L3299" s="213" t="s">
        <v>65651</v>
      </c>
      <c r="M3299" s="213" t="s">
        <v>65851</v>
      </c>
      <c r="N3299" s="213" t="s">
        <v>27553</v>
      </c>
      <c r="O3299" s="213" t="s">
        <v>27554</v>
      </c>
      <c r="P3299" s="213" t="s">
        <v>27555</v>
      </c>
      <c r="Q3299" s="213" t="s">
        <v>27556</v>
      </c>
      <c r="R3299" s="213" t="s">
        <v>27557</v>
      </c>
      <c r="S3299" s="213" t="s">
        <v>27558</v>
      </c>
      <c r="T3299" s="213" t="s">
        <v>27559</v>
      </c>
      <c r="U3299" s="213" t="s">
        <v>66051</v>
      </c>
    </row>
    <row r="3300" spans="1:21" x14ac:dyDescent="0.25">
      <c r="A3300" s="213" t="s">
        <v>327</v>
      </c>
      <c r="D3300" s="213" t="s">
        <v>27560</v>
      </c>
      <c r="E3300" s="213" t="s">
        <v>27561</v>
      </c>
      <c r="K3300" s="213" t="s">
        <v>65452</v>
      </c>
      <c r="L3300" s="213" t="s">
        <v>65652</v>
      </c>
      <c r="M3300" s="213" t="s">
        <v>65852</v>
      </c>
      <c r="N3300" s="213" t="s">
        <v>27562</v>
      </c>
      <c r="O3300" s="213" t="s">
        <v>27563</v>
      </c>
      <c r="P3300" s="213" t="s">
        <v>27564</v>
      </c>
      <c r="Q3300" s="213" t="s">
        <v>27565</v>
      </c>
      <c r="R3300" s="213" t="s">
        <v>27566</v>
      </c>
      <c r="S3300" s="213" t="s">
        <v>27567</v>
      </c>
      <c r="T3300" s="213" t="s">
        <v>27568</v>
      </c>
      <c r="U3300" s="213" t="s">
        <v>66052</v>
      </c>
    </row>
    <row r="3301" spans="1:21" x14ac:dyDescent="0.25">
      <c r="A3301" s="213" t="s">
        <v>327</v>
      </c>
      <c r="D3301" s="213" t="s">
        <v>27569</v>
      </c>
      <c r="E3301" s="213" t="s">
        <v>27570</v>
      </c>
      <c r="K3301" s="213" t="s">
        <v>65453</v>
      </c>
      <c r="L3301" s="213" t="s">
        <v>65653</v>
      </c>
      <c r="M3301" s="213" t="s">
        <v>65853</v>
      </c>
      <c r="N3301" s="213" t="s">
        <v>27571</v>
      </c>
      <c r="O3301" s="213" t="s">
        <v>27572</v>
      </c>
      <c r="P3301" s="213" t="s">
        <v>27573</v>
      </c>
      <c r="Q3301" s="213" t="s">
        <v>27574</v>
      </c>
      <c r="R3301" s="213" t="s">
        <v>27575</v>
      </c>
      <c r="S3301" s="213" t="s">
        <v>27576</v>
      </c>
      <c r="T3301" s="213" t="s">
        <v>27577</v>
      </c>
      <c r="U3301" s="213" t="s">
        <v>66053</v>
      </c>
    </row>
    <row r="3302" spans="1:21" x14ac:dyDescent="0.25">
      <c r="A3302" s="213" t="s">
        <v>327</v>
      </c>
      <c r="D3302" s="213" t="s">
        <v>27578</v>
      </c>
      <c r="E3302" s="213" t="s">
        <v>27579</v>
      </c>
      <c r="K3302" s="213" t="s">
        <v>65454</v>
      </c>
      <c r="L3302" s="213" t="s">
        <v>65654</v>
      </c>
      <c r="M3302" s="213" t="s">
        <v>65854</v>
      </c>
      <c r="N3302" s="213" t="s">
        <v>27580</v>
      </c>
      <c r="O3302" s="213" t="s">
        <v>27581</v>
      </c>
      <c r="P3302" s="213" t="s">
        <v>27582</v>
      </c>
      <c r="Q3302" s="213" t="s">
        <v>27583</v>
      </c>
      <c r="R3302" s="213" t="s">
        <v>27584</v>
      </c>
      <c r="S3302" s="213" t="s">
        <v>27585</v>
      </c>
      <c r="T3302" s="213" t="s">
        <v>27586</v>
      </c>
      <c r="U3302" s="213" t="s">
        <v>66054</v>
      </c>
    </row>
    <row r="3303" spans="1:21" x14ac:dyDescent="0.25">
      <c r="A3303" s="213" t="s">
        <v>327</v>
      </c>
      <c r="D3303" s="213" t="s">
        <v>27587</v>
      </c>
      <c r="E3303" s="213" t="s">
        <v>27588</v>
      </c>
      <c r="K3303" s="213" t="s">
        <v>65455</v>
      </c>
      <c r="L3303" s="213" t="s">
        <v>65655</v>
      </c>
      <c r="M3303" s="213" t="s">
        <v>65855</v>
      </c>
      <c r="N3303" s="213" t="s">
        <v>27589</v>
      </c>
      <c r="O3303" s="213" t="s">
        <v>27590</v>
      </c>
      <c r="P3303" s="213" t="s">
        <v>27591</v>
      </c>
      <c r="Q3303" s="213" t="s">
        <v>27592</v>
      </c>
      <c r="R3303" s="213" t="s">
        <v>27593</v>
      </c>
      <c r="S3303" s="213" t="s">
        <v>27594</v>
      </c>
      <c r="T3303" s="213" t="s">
        <v>27595</v>
      </c>
      <c r="U3303" s="213" t="s">
        <v>66055</v>
      </c>
    </row>
    <row r="3304" spans="1:21" x14ac:dyDescent="0.25">
      <c r="A3304" s="213" t="s">
        <v>327</v>
      </c>
      <c r="D3304" s="213" t="s">
        <v>27596</v>
      </c>
      <c r="E3304" s="213" t="s">
        <v>27597</v>
      </c>
      <c r="K3304" s="213" t="s">
        <v>65456</v>
      </c>
      <c r="L3304" s="213" t="s">
        <v>65656</v>
      </c>
      <c r="M3304" s="213" t="s">
        <v>65856</v>
      </c>
      <c r="N3304" s="213" t="s">
        <v>27598</v>
      </c>
      <c r="O3304" s="213" t="s">
        <v>27599</v>
      </c>
      <c r="P3304" s="213" t="s">
        <v>27600</v>
      </c>
      <c r="Q3304" s="213" t="s">
        <v>27601</v>
      </c>
      <c r="R3304" s="213" t="s">
        <v>27602</v>
      </c>
      <c r="S3304" s="213" t="s">
        <v>27603</v>
      </c>
      <c r="T3304" s="213" t="s">
        <v>27604</v>
      </c>
      <c r="U3304" s="213" t="s">
        <v>66056</v>
      </c>
    </row>
    <row r="3305" spans="1:21" x14ac:dyDescent="0.25">
      <c r="A3305" s="213" t="s">
        <v>327</v>
      </c>
      <c r="D3305" s="213" t="s">
        <v>27605</v>
      </c>
      <c r="E3305" s="213" t="s">
        <v>27606</v>
      </c>
      <c r="K3305" s="213" t="s">
        <v>65457</v>
      </c>
      <c r="L3305" s="213" t="s">
        <v>65657</v>
      </c>
      <c r="M3305" s="213" t="s">
        <v>65857</v>
      </c>
      <c r="N3305" s="213" t="s">
        <v>27607</v>
      </c>
      <c r="O3305" s="213" t="s">
        <v>27608</v>
      </c>
      <c r="P3305" s="213" t="s">
        <v>27609</v>
      </c>
      <c r="Q3305" s="213" t="s">
        <v>27610</v>
      </c>
      <c r="R3305" s="213" t="s">
        <v>27611</v>
      </c>
      <c r="S3305" s="213" t="s">
        <v>27612</v>
      </c>
      <c r="T3305" s="213" t="s">
        <v>27613</v>
      </c>
      <c r="U3305" s="213" t="s">
        <v>66057</v>
      </c>
    </row>
    <row r="3306" spans="1:21" x14ac:dyDescent="0.25">
      <c r="A3306" s="213" t="s">
        <v>327</v>
      </c>
      <c r="D3306" s="213" t="s">
        <v>27614</v>
      </c>
      <c r="E3306" s="213" t="s">
        <v>27615</v>
      </c>
      <c r="K3306" s="213" t="s">
        <v>65458</v>
      </c>
      <c r="L3306" s="213" t="s">
        <v>65658</v>
      </c>
      <c r="M3306" s="213" t="s">
        <v>65858</v>
      </c>
      <c r="N3306" s="213" t="s">
        <v>27616</v>
      </c>
      <c r="O3306" s="213" t="s">
        <v>27617</v>
      </c>
      <c r="P3306" s="213" t="s">
        <v>27618</v>
      </c>
      <c r="Q3306" s="213" t="s">
        <v>27619</v>
      </c>
      <c r="R3306" s="213" t="s">
        <v>27620</v>
      </c>
      <c r="S3306" s="213" t="s">
        <v>27621</v>
      </c>
      <c r="T3306" s="213" t="s">
        <v>27622</v>
      </c>
      <c r="U3306" s="213" t="s">
        <v>66058</v>
      </c>
    </row>
    <row r="3307" spans="1:21" x14ac:dyDescent="0.25">
      <c r="A3307" s="213" t="s">
        <v>327</v>
      </c>
      <c r="D3307" s="213" t="s">
        <v>27623</v>
      </c>
      <c r="E3307" s="213" t="s">
        <v>27624</v>
      </c>
      <c r="K3307" s="213" t="s">
        <v>65459</v>
      </c>
      <c r="L3307" s="213" t="s">
        <v>65659</v>
      </c>
      <c r="M3307" s="213" t="s">
        <v>65859</v>
      </c>
      <c r="N3307" s="213" t="s">
        <v>27625</v>
      </c>
      <c r="O3307" s="213" t="s">
        <v>27626</v>
      </c>
      <c r="P3307" s="213" t="s">
        <v>27627</v>
      </c>
      <c r="Q3307" s="213" t="s">
        <v>27628</v>
      </c>
      <c r="R3307" s="213" t="s">
        <v>27629</v>
      </c>
      <c r="S3307" s="213" t="s">
        <v>27630</v>
      </c>
      <c r="T3307" s="213" t="s">
        <v>27631</v>
      </c>
      <c r="U3307" s="213" t="s">
        <v>66059</v>
      </c>
    </row>
    <row r="3308" spans="1:21" x14ac:dyDescent="0.25">
      <c r="A3308" s="213" t="s">
        <v>327</v>
      </c>
      <c r="D3308" s="213" t="s">
        <v>27632</v>
      </c>
      <c r="E3308" s="213" t="s">
        <v>27633</v>
      </c>
      <c r="K3308" s="213" t="s">
        <v>65460</v>
      </c>
      <c r="L3308" s="213" t="s">
        <v>65660</v>
      </c>
      <c r="M3308" s="213" t="s">
        <v>65860</v>
      </c>
      <c r="N3308" s="213" t="s">
        <v>27634</v>
      </c>
      <c r="O3308" s="213" t="s">
        <v>27635</v>
      </c>
      <c r="P3308" s="213" t="s">
        <v>27636</v>
      </c>
      <c r="Q3308" s="213" t="s">
        <v>27637</v>
      </c>
      <c r="R3308" s="213" t="s">
        <v>27638</v>
      </c>
      <c r="S3308" s="213" t="s">
        <v>27639</v>
      </c>
      <c r="T3308" s="213" t="s">
        <v>27640</v>
      </c>
      <c r="U3308" s="213" t="s">
        <v>66060</v>
      </c>
    </row>
    <row r="3309" spans="1:21" x14ac:dyDescent="0.25">
      <c r="A3309" s="213" t="s">
        <v>327</v>
      </c>
      <c r="D3309" s="213" t="s">
        <v>27641</v>
      </c>
      <c r="E3309" s="213" t="s">
        <v>27642</v>
      </c>
      <c r="K3309" s="213" t="s">
        <v>65461</v>
      </c>
      <c r="L3309" s="213" t="s">
        <v>65661</v>
      </c>
      <c r="M3309" s="213" t="s">
        <v>65861</v>
      </c>
      <c r="N3309" s="213" t="s">
        <v>27643</v>
      </c>
      <c r="O3309" s="213" t="s">
        <v>27644</v>
      </c>
      <c r="P3309" s="213" t="s">
        <v>27645</v>
      </c>
      <c r="Q3309" s="213" t="s">
        <v>27646</v>
      </c>
      <c r="R3309" s="213" t="s">
        <v>27647</v>
      </c>
      <c r="S3309" s="213" t="s">
        <v>27648</v>
      </c>
      <c r="T3309" s="213" t="s">
        <v>27649</v>
      </c>
      <c r="U3309" s="213" t="s">
        <v>66061</v>
      </c>
    </row>
    <row r="3310" spans="1:21" x14ac:dyDescent="0.25">
      <c r="A3310" s="213" t="s">
        <v>327</v>
      </c>
      <c r="D3310" s="213" t="s">
        <v>27650</v>
      </c>
      <c r="E3310" s="213" t="s">
        <v>27651</v>
      </c>
      <c r="K3310" s="213" t="s">
        <v>65462</v>
      </c>
      <c r="L3310" s="213" t="s">
        <v>65662</v>
      </c>
      <c r="M3310" s="213" t="s">
        <v>65862</v>
      </c>
      <c r="N3310" s="213" t="s">
        <v>27652</v>
      </c>
      <c r="O3310" s="213" t="s">
        <v>27653</v>
      </c>
      <c r="P3310" s="213" t="s">
        <v>27654</v>
      </c>
      <c r="Q3310" s="213" t="s">
        <v>27655</v>
      </c>
      <c r="R3310" s="213" t="s">
        <v>27656</v>
      </c>
      <c r="S3310" s="213" t="s">
        <v>27657</v>
      </c>
      <c r="T3310" s="213" t="s">
        <v>27658</v>
      </c>
      <c r="U3310" s="213" t="s">
        <v>66062</v>
      </c>
    </row>
    <row r="3311" spans="1:21" x14ac:dyDescent="0.25">
      <c r="A3311" s="213" t="s">
        <v>327</v>
      </c>
      <c r="D3311" s="213" t="s">
        <v>27659</v>
      </c>
      <c r="E3311" s="213" t="s">
        <v>27660</v>
      </c>
      <c r="K3311" s="213" t="s">
        <v>65463</v>
      </c>
      <c r="L3311" s="213" t="s">
        <v>65663</v>
      </c>
      <c r="M3311" s="213" t="s">
        <v>65863</v>
      </c>
      <c r="N3311" s="213" t="s">
        <v>27661</v>
      </c>
      <c r="O3311" s="213" t="s">
        <v>27662</v>
      </c>
      <c r="P3311" s="213" t="s">
        <v>27663</v>
      </c>
      <c r="Q3311" s="213" t="s">
        <v>27664</v>
      </c>
      <c r="R3311" s="213" t="s">
        <v>27665</v>
      </c>
      <c r="S3311" s="213" t="s">
        <v>27666</v>
      </c>
      <c r="T3311" s="213" t="s">
        <v>27667</v>
      </c>
      <c r="U3311" s="213" t="s">
        <v>66063</v>
      </c>
    </row>
    <row r="3312" spans="1:21" x14ac:dyDescent="0.25">
      <c r="A3312" s="213" t="s">
        <v>327</v>
      </c>
      <c r="D3312" s="213" t="s">
        <v>27668</v>
      </c>
      <c r="E3312" s="213" t="s">
        <v>27669</v>
      </c>
      <c r="K3312" s="213" t="s">
        <v>65464</v>
      </c>
      <c r="L3312" s="213" t="s">
        <v>65664</v>
      </c>
      <c r="M3312" s="213" t="s">
        <v>65864</v>
      </c>
      <c r="N3312" s="213" t="s">
        <v>27670</v>
      </c>
      <c r="O3312" s="213" t="s">
        <v>27671</v>
      </c>
      <c r="P3312" s="213" t="s">
        <v>27672</v>
      </c>
      <c r="Q3312" s="213" t="s">
        <v>27673</v>
      </c>
      <c r="R3312" s="213" t="s">
        <v>27674</v>
      </c>
      <c r="S3312" s="213" t="s">
        <v>27675</v>
      </c>
      <c r="T3312" s="213" t="s">
        <v>27676</v>
      </c>
      <c r="U3312" s="213" t="s">
        <v>66064</v>
      </c>
    </row>
    <row r="3313" spans="1:21" x14ac:dyDescent="0.25">
      <c r="A3313" s="213" t="s">
        <v>327</v>
      </c>
      <c r="D3313" s="213" t="s">
        <v>27677</v>
      </c>
      <c r="E3313" s="213" t="s">
        <v>27678</v>
      </c>
      <c r="K3313" s="213" t="s">
        <v>65465</v>
      </c>
      <c r="L3313" s="213" t="s">
        <v>65665</v>
      </c>
      <c r="M3313" s="213" t="s">
        <v>65865</v>
      </c>
      <c r="N3313" s="213" t="s">
        <v>27679</v>
      </c>
      <c r="O3313" s="213" t="s">
        <v>27680</v>
      </c>
      <c r="P3313" s="213" t="s">
        <v>27681</v>
      </c>
      <c r="Q3313" s="213" t="s">
        <v>27682</v>
      </c>
      <c r="R3313" s="213" t="s">
        <v>27683</v>
      </c>
      <c r="S3313" s="213" t="s">
        <v>27684</v>
      </c>
      <c r="T3313" s="213" t="s">
        <v>27685</v>
      </c>
      <c r="U3313" s="213" t="s">
        <v>66065</v>
      </c>
    </row>
    <row r="3314" spans="1:21" x14ac:dyDescent="0.25">
      <c r="A3314" s="213" t="s">
        <v>327</v>
      </c>
      <c r="D3314" s="213" t="s">
        <v>27686</v>
      </c>
      <c r="E3314" s="213" t="s">
        <v>27687</v>
      </c>
      <c r="K3314" s="213" t="s">
        <v>65466</v>
      </c>
      <c r="L3314" s="213" t="s">
        <v>65666</v>
      </c>
      <c r="M3314" s="213" t="s">
        <v>65866</v>
      </c>
      <c r="N3314" s="213" t="s">
        <v>27688</v>
      </c>
      <c r="O3314" s="213" t="s">
        <v>27689</v>
      </c>
      <c r="P3314" s="213" t="s">
        <v>27690</v>
      </c>
      <c r="Q3314" s="213" t="s">
        <v>27691</v>
      </c>
      <c r="R3314" s="213" t="s">
        <v>27692</v>
      </c>
      <c r="S3314" s="213" t="s">
        <v>27693</v>
      </c>
      <c r="T3314" s="213" t="s">
        <v>27694</v>
      </c>
      <c r="U3314" s="213" t="s">
        <v>66066</v>
      </c>
    </row>
    <row r="3315" spans="1:21" x14ac:dyDescent="0.25">
      <c r="A3315" s="213" t="s">
        <v>327</v>
      </c>
      <c r="D3315" s="213" t="s">
        <v>27695</v>
      </c>
      <c r="E3315" s="213" t="s">
        <v>27696</v>
      </c>
      <c r="K3315" s="213" t="s">
        <v>65467</v>
      </c>
      <c r="L3315" s="213" t="s">
        <v>65667</v>
      </c>
      <c r="M3315" s="213" t="s">
        <v>65867</v>
      </c>
      <c r="N3315" s="213" t="s">
        <v>27697</v>
      </c>
      <c r="O3315" s="213" t="s">
        <v>27698</v>
      </c>
      <c r="P3315" s="213" t="s">
        <v>27699</v>
      </c>
      <c r="Q3315" s="213" t="s">
        <v>27700</v>
      </c>
      <c r="R3315" s="213" t="s">
        <v>27701</v>
      </c>
      <c r="S3315" s="213" t="s">
        <v>27702</v>
      </c>
      <c r="T3315" s="213" t="s">
        <v>27703</v>
      </c>
      <c r="U3315" s="213" t="s">
        <v>66067</v>
      </c>
    </row>
    <row r="3316" spans="1:21" x14ac:dyDescent="0.25">
      <c r="A3316" s="213" t="s">
        <v>327</v>
      </c>
      <c r="D3316" s="213" t="s">
        <v>27704</v>
      </c>
      <c r="E3316" s="213" t="s">
        <v>27705</v>
      </c>
      <c r="K3316" s="213" t="s">
        <v>65468</v>
      </c>
      <c r="L3316" s="213" t="s">
        <v>65668</v>
      </c>
      <c r="M3316" s="213" t="s">
        <v>65868</v>
      </c>
      <c r="N3316" s="213" t="s">
        <v>27706</v>
      </c>
      <c r="O3316" s="213" t="s">
        <v>27707</v>
      </c>
      <c r="P3316" s="213" t="s">
        <v>27708</v>
      </c>
      <c r="Q3316" s="213" t="s">
        <v>27709</v>
      </c>
      <c r="R3316" s="213" t="s">
        <v>27710</v>
      </c>
      <c r="S3316" s="213" t="s">
        <v>27711</v>
      </c>
      <c r="T3316" s="213" t="s">
        <v>27712</v>
      </c>
      <c r="U3316" s="213" t="s">
        <v>66068</v>
      </c>
    </row>
    <row r="3317" spans="1:21" x14ac:dyDescent="0.25">
      <c r="A3317" s="213" t="s">
        <v>327</v>
      </c>
      <c r="D3317" s="213" t="s">
        <v>27713</v>
      </c>
      <c r="E3317" s="213" t="s">
        <v>27714</v>
      </c>
      <c r="K3317" s="213" t="s">
        <v>65469</v>
      </c>
      <c r="L3317" s="213" t="s">
        <v>65669</v>
      </c>
      <c r="M3317" s="213" t="s">
        <v>65869</v>
      </c>
      <c r="N3317" s="213" t="s">
        <v>27715</v>
      </c>
      <c r="O3317" s="213" t="s">
        <v>27716</v>
      </c>
      <c r="P3317" s="213" t="s">
        <v>27717</v>
      </c>
      <c r="Q3317" s="213" t="s">
        <v>27718</v>
      </c>
      <c r="R3317" s="213" t="s">
        <v>27719</v>
      </c>
      <c r="S3317" s="213" t="s">
        <v>27720</v>
      </c>
      <c r="T3317" s="213" t="s">
        <v>27721</v>
      </c>
      <c r="U3317" s="213" t="s">
        <v>66069</v>
      </c>
    </row>
    <row r="3318" spans="1:21" x14ac:dyDescent="0.25">
      <c r="A3318" s="213" t="s">
        <v>327</v>
      </c>
      <c r="D3318" s="213" t="s">
        <v>27722</v>
      </c>
      <c r="E3318" s="213" t="s">
        <v>27723</v>
      </c>
      <c r="K3318" s="213" t="s">
        <v>65470</v>
      </c>
      <c r="L3318" s="213" t="s">
        <v>65670</v>
      </c>
      <c r="M3318" s="213" t="s">
        <v>65870</v>
      </c>
      <c r="N3318" s="213" t="s">
        <v>27724</v>
      </c>
      <c r="O3318" s="213" t="s">
        <v>27725</v>
      </c>
      <c r="P3318" s="213" t="s">
        <v>27726</v>
      </c>
      <c r="Q3318" s="213" t="s">
        <v>27727</v>
      </c>
      <c r="R3318" s="213" t="s">
        <v>27728</v>
      </c>
      <c r="S3318" s="213" t="s">
        <v>27729</v>
      </c>
      <c r="T3318" s="213" t="s">
        <v>27730</v>
      </c>
      <c r="U3318" s="213" t="s">
        <v>66070</v>
      </c>
    </row>
    <row r="3319" spans="1:21" x14ac:dyDescent="0.25">
      <c r="A3319" s="213" t="s">
        <v>327</v>
      </c>
      <c r="D3319" s="213" t="s">
        <v>27731</v>
      </c>
      <c r="E3319" s="213" t="s">
        <v>27732</v>
      </c>
      <c r="K3319" s="213" t="s">
        <v>65471</v>
      </c>
      <c r="L3319" s="213" t="s">
        <v>65671</v>
      </c>
      <c r="M3319" s="213" t="s">
        <v>65871</v>
      </c>
      <c r="N3319" s="213" t="s">
        <v>27733</v>
      </c>
      <c r="O3319" s="213" t="s">
        <v>27734</v>
      </c>
      <c r="P3319" s="213" t="s">
        <v>27735</v>
      </c>
      <c r="Q3319" s="213" t="s">
        <v>27736</v>
      </c>
      <c r="R3319" s="213" t="s">
        <v>27737</v>
      </c>
      <c r="S3319" s="213" t="s">
        <v>27738</v>
      </c>
      <c r="T3319" s="213" t="s">
        <v>27739</v>
      </c>
      <c r="U3319" s="213" t="s">
        <v>66071</v>
      </c>
    </row>
    <row r="3320" spans="1:21" x14ac:dyDescent="0.25">
      <c r="A3320" s="213" t="s">
        <v>327</v>
      </c>
      <c r="D3320" s="213" t="s">
        <v>27740</v>
      </c>
      <c r="E3320" s="213" t="s">
        <v>27741</v>
      </c>
      <c r="K3320" s="213" t="s">
        <v>65472</v>
      </c>
      <c r="L3320" s="213" t="s">
        <v>65672</v>
      </c>
      <c r="M3320" s="213" t="s">
        <v>65872</v>
      </c>
      <c r="N3320" s="213" t="s">
        <v>27742</v>
      </c>
      <c r="O3320" s="213" t="s">
        <v>27743</v>
      </c>
      <c r="P3320" s="213" t="s">
        <v>27744</v>
      </c>
      <c r="Q3320" s="213" t="s">
        <v>27745</v>
      </c>
      <c r="R3320" s="213" t="s">
        <v>27746</v>
      </c>
      <c r="S3320" s="213" t="s">
        <v>27747</v>
      </c>
      <c r="T3320" s="213" t="s">
        <v>27748</v>
      </c>
      <c r="U3320" s="213" t="s">
        <v>66072</v>
      </c>
    </row>
    <row r="3321" spans="1:21" x14ac:dyDescent="0.25">
      <c r="A3321" s="213" t="s">
        <v>327</v>
      </c>
      <c r="D3321" s="213" t="s">
        <v>27749</v>
      </c>
      <c r="E3321" s="213" t="s">
        <v>27750</v>
      </c>
      <c r="K3321" s="213" t="s">
        <v>65473</v>
      </c>
      <c r="L3321" s="213" t="s">
        <v>65673</v>
      </c>
      <c r="M3321" s="213" t="s">
        <v>65873</v>
      </c>
      <c r="N3321" s="213" t="s">
        <v>27751</v>
      </c>
      <c r="O3321" s="213" t="s">
        <v>27752</v>
      </c>
      <c r="P3321" s="213" t="s">
        <v>27753</v>
      </c>
      <c r="Q3321" s="213" t="s">
        <v>27754</v>
      </c>
      <c r="R3321" s="213" t="s">
        <v>27755</v>
      </c>
      <c r="S3321" s="213" t="s">
        <v>27756</v>
      </c>
      <c r="T3321" s="213" t="s">
        <v>27757</v>
      </c>
      <c r="U3321" s="213" t="s">
        <v>66073</v>
      </c>
    </row>
    <row r="3322" spans="1:21" x14ac:dyDescent="0.25">
      <c r="A3322" s="213" t="s">
        <v>327</v>
      </c>
      <c r="D3322" s="213" t="s">
        <v>27758</v>
      </c>
      <c r="E3322" s="213" t="s">
        <v>27759</v>
      </c>
      <c r="K3322" s="213" t="s">
        <v>65474</v>
      </c>
      <c r="L3322" s="213" t="s">
        <v>65674</v>
      </c>
      <c r="M3322" s="213" t="s">
        <v>65874</v>
      </c>
      <c r="N3322" s="213" t="s">
        <v>27760</v>
      </c>
      <c r="O3322" s="213" t="s">
        <v>27761</v>
      </c>
      <c r="P3322" s="213" t="s">
        <v>27762</v>
      </c>
      <c r="Q3322" s="213" t="s">
        <v>27763</v>
      </c>
      <c r="R3322" s="213" t="s">
        <v>27764</v>
      </c>
      <c r="S3322" s="213" t="s">
        <v>27765</v>
      </c>
      <c r="T3322" s="213" t="s">
        <v>27766</v>
      </c>
      <c r="U3322" s="213" t="s">
        <v>66074</v>
      </c>
    </row>
    <row r="3323" spans="1:21" x14ac:dyDescent="0.25">
      <c r="A3323" s="213" t="s">
        <v>327</v>
      </c>
      <c r="D3323" s="213" t="s">
        <v>27767</v>
      </c>
      <c r="E3323" s="213" t="s">
        <v>27768</v>
      </c>
      <c r="K3323" s="213" t="s">
        <v>65475</v>
      </c>
      <c r="L3323" s="213" t="s">
        <v>65675</v>
      </c>
      <c r="M3323" s="213" t="s">
        <v>65875</v>
      </c>
      <c r="N3323" s="213" t="s">
        <v>27769</v>
      </c>
      <c r="O3323" s="213" t="s">
        <v>27770</v>
      </c>
      <c r="P3323" s="213" t="s">
        <v>27771</v>
      </c>
      <c r="Q3323" s="213" t="s">
        <v>27772</v>
      </c>
      <c r="R3323" s="213" t="s">
        <v>27773</v>
      </c>
      <c r="S3323" s="213" t="s">
        <v>27774</v>
      </c>
      <c r="T3323" s="213" t="s">
        <v>27775</v>
      </c>
      <c r="U3323" s="213" t="s">
        <v>66075</v>
      </c>
    </row>
    <row r="3324" spans="1:21" x14ac:dyDescent="0.25">
      <c r="A3324" s="213" t="s">
        <v>327</v>
      </c>
      <c r="D3324" s="213" t="s">
        <v>27776</v>
      </c>
      <c r="E3324" s="213" t="s">
        <v>27777</v>
      </c>
      <c r="K3324" s="213" t="s">
        <v>65476</v>
      </c>
      <c r="L3324" s="213" t="s">
        <v>65676</v>
      </c>
      <c r="M3324" s="213" t="s">
        <v>65876</v>
      </c>
      <c r="N3324" s="213" t="s">
        <v>27778</v>
      </c>
      <c r="O3324" s="213" t="s">
        <v>27779</v>
      </c>
      <c r="P3324" s="213" t="s">
        <v>27780</v>
      </c>
      <c r="Q3324" s="213" t="s">
        <v>27781</v>
      </c>
      <c r="R3324" s="213" t="s">
        <v>27782</v>
      </c>
      <c r="S3324" s="213" t="s">
        <v>27783</v>
      </c>
      <c r="T3324" s="213" t="s">
        <v>27784</v>
      </c>
      <c r="U3324" s="213" t="s">
        <v>66076</v>
      </c>
    </row>
    <row r="3325" spans="1:21" x14ac:dyDescent="0.25">
      <c r="A3325" s="213" t="s">
        <v>327</v>
      </c>
      <c r="D3325" s="213" t="s">
        <v>27785</v>
      </c>
      <c r="E3325" s="213" t="s">
        <v>27786</v>
      </c>
      <c r="K3325" s="213" t="s">
        <v>65477</v>
      </c>
      <c r="L3325" s="213" t="s">
        <v>65677</v>
      </c>
      <c r="M3325" s="213" t="s">
        <v>65877</v>
      </c>
      <c r="N3325" s="213" t="s">
        <v>27787</v>
      </c>
      <c r="O3325" s="213" t="s">
        <v>27788</v>
      </c>
      <c r="P3325" s="213" t="s">
        <v>27789</v>
      </c>
      <c r="Q3325" s="213" t="s">
        <v>27790</v>
      </c>
      <c r="R3325" s="213" t="s">
        <v>27791</v>
      </c>
      <c r="S3325" s="213" t="s">
        <v>27792</v>
      </c>
      <c r="T3325" s="213" t="s">
        <v>27793</v>
      </c>
      <c r="U3325" s="213" t="s">
        <v>66077</v>
      </c>
    </row>
    <row r="3326" spans="1:21" x14ac:dyDescent="0.25">
      <c r="A3326" s="213" t="s">
        <v>327</v>
      </c>
      <c r="D3326" s="213" t="s">
        <v>27794</v>
      </c>
      <c r="E3326" s="213" t="s">
        <v>27795</v>
      </c>
      <c r="K3326" s="213" t="s">
        <v>65478</v>
      </c>
      <c r="L3326" s="213" t="s">
        <v>65678</v>
      </c>
      <c r="M3326" s="213" t="s">
        <v>65878</v>
      </c>
      <c r="N3326" s="213" t="s">
        <v>27796</v>
      </c>
      <c r="O3326" s="213" t="s">
        <v>27797</v>
      </c>
      <c r="P3326" s="213" t="s">
        <v>27798</v>
      </c>
      <c r="Q3326" s="213" t="s">
        <v>27799</v>
      </c>
      <c r="R3326" s="213" t="s">
        <v>27800</v>
      </c>
      <c r="S3326" s="213" t="s">
        <v>27801</v>
      </c>
      <c r="T3326" s="213" t="s">
        <v>27802</v>
      </c>
      <c r="U3326" s="213" t="s">
        <v>66078</v>
      </c>
    </row>
    <row r="3327" spans="1:21" x14ac:dyDescent="0.25">
      <c r="A3327" s="213" t="s">
        <v>327</v>
      </c>
      <c r="D3327" s="213" t="s">
        <v>27803</v>
      </c>
      <c r="E3327" s="213" t="s">
        <v>27804</v>
      </c>
      <c r="K3327" s="213" t="s">
        <v>65479</v>
      </c>
      <c r="L3327" s="213" t="s">
        <v>65679</v>
      </c>
      <c r="M3327" s="213" t="s">
        <v>65879</v>
      </c>
      <c r="N3327" s="213" t="s">
        <v>27805</v>
      </c>
      <c r="O3327" s="213" t="s">
        <v>27806</v>
      </c>
      <c r="P3327" s="213" t="s">
        <v>27807</v>
      </c>
      <c r="Q3327" s="213" t="s">
        <v>27808</v>
      </c>
      <c r="R3327" s="213" t="s">
        <v>27809</v>
      </c>
      <c r="S3327" s="213" t="s">
        <v>27810</v>
      </c>
      <c r="T3327" s="213" t="s">
        <v>27811</v>
      </c>
      <c r="U3327" s="213" t="s">
        <v>66079</v>
      </c>
    </row>
    <row r="3328" spans="1:21" x14ac:dyDescent="0.25">
      <c r="A3328" s="213" t="s">
        <v>327</v>
      </c>
      <c r="D3328" s="213" t="s">
        <v>27812</v>
      </c>
      <c r="E3328" s="213" t="s">
        <v>27813</v>
      </c>
      <c r="K3328" s="213" t="s">
        <v>65480</v>
      </c>
      <c r="L3328" s="213" t="s">
        <v>65680</v>
      </c>
      <c r="M3328" s="213" t="s">
        <v>65880</v>
      </c>
      <c r="N3328" s="213" t="s">
        <v>27814</v>
      </c>
      <c r="O3328" s="213" t="s">
        <v>27815</v>
      </c>
      <c r="P3328" s="213" t="s">
        <v>27816</v>
      </c>
      <c r="Q3328" s="213" t="s">
        <v>27817</v>
      </c>
      <c r="R3328" s="213" t="s">
        <v>27818</v>
      </c>
      <c r="S3328" s="213" t="s">
        <v>27819</v>
      </c>
      <c r="T3328" s="213" t="s">
        <v>27820</v>
      </c>
      <c r="U3328" s="213" t="s">
        <v>66080</v>
      </c>
    </row>
    <row r="3329" spans="1:21" x14ac:dyDescent="0.25">
      <c r="A3329" s="213" t="s">
        <v>327</v>
      </c>
      <c r="D3329" s="213" t="s">
        <v>27821</v>
      </c>
      <c r="E3329" s="213" t="s">
        <v>27822</v>
      </c>
      <c r="K3329" s="213" t="s">
        <v>65481</v>
      </c>
      <c r="L3329" s="213" t="s">
        <v>65681</v>
      </c>
      <c r="M3329" s="213" t="s">
        <v>65881</v>
      </c>
      <c r="N3329" s="213" t="s">
        <v>27823</v>
      </c>
      <c r="O3329" s="213" t="s">
        <v>27824</v>
      </c>
      <c r="P3329" s="213" t="s">
        <v>27825</v>
      </c>
      <c r="Q3329" s="213" t="s">
        <v>27826</v>
      </c>
      <c r="R3329" s="213" t="s">
        <v>27827</v>
      </c>
      <c r="S3329" s="213" t="s">
        <v>27828</v>
      </c>
      <c r="T3329" s="213" t="s">
        <v>27829</v>
      </c>
      <c r="U3329" s="213" t="s">
        <v>66081</v>
      </c>
    </row>
    <row r="3330" spans="1:21" x14ac:dyDescent="0.25">
      <c r="A3330" s="213" t="s">
        <v>327</v>
      </c>
      <c r="D3330" s="213" t="s">
        <v>27830</v>
      </c>
      <c r="E3330" s="213" t="s">
        <v>27831</v>
      </c>
      <c r="K3330" s="213" t="s">
        <v>65482</v>
      </c>
      <c r="L3330" s="213" t="s">
        <v>65682</v>
      </c>
      <c r="M3330" s="213" t="s">
        <v>65882</v>
      </c>
      <c r="N3330" s="213" t="s">
        <v>27832</v>
      </c>
      <c r="O3330" s="213" t="s">
        <v>27833</v>
      </c>
      <c r="P3330" s="213" t="s">
        <v>27834</v>
      </c>
      <c r="Q3330" s="213" t="s">
        <v>27835</v>
      </c>
      <c r="R3330" s="213" t="s">
        <v>27836</v>
      </c>
      <c r="S3330" s="213" t="s">
        <v>27837</v>
      </c>
      <c r="T3330" s="213" t="s">
        <v>27838</v>
      </c>
      <c r="U3330" s="213" t="s">
        <v>66082</v>
      </c>
    </row>
    <row r="3331" spans="1:21" x14ac:dyDescent="0.25">
      <c r="A3331" s="213" t="s">
        <v>327</v>
      </c>
      <c r="D3331" s="213" t="s">
        <v>27839</v>
      </c>
      <c r="E3331" s="213" t="s">
        <v>27840</v>
      </c>
      <c r="K3331" s="213" t="s">
        <v>65483</v>
      </c>
      <c r="L3331" s="213" t="s">
        <v>65683</v>
      </c>
      <c r="M3331" s="213" t="s">
        <v>65883</v>
      </c>
      <c r="N3331" s="213" t="s">
        <v>27841</v>
      </c>
      <c r="O3331" s="213" t="s">
        <v>27842</v>
      </c>
      <c r="P3331" s="213" t="s">
        <v>27843</v>
      </c>
      <c r="Q3331" s="213" t="s">
        <v>27844</v>
      </c>
      <c r="R3331" s="213" t="s">
        <v>27845</v>
      </c>
      <c r="S3331" s="213" t="s">
        <v>27846</v>
      </c>
      <c r="T3331" s="213" t="s">
        <v>27847</v>
      </c>
      <c r="U3331" s="213" t="s">
        <v>66083</v>
      </c>
    </row>
    <row r="3332" spans="1:21" x14ac:dyDescent="0.25">
      <c r="A3332" s="213" t="s">
        <v>327</v>
      </c>
      <c r="D3332" s="213" t="s">
        <v>27848</v>
      </c>
      <c r="E3332" s="213" t="s">
        <v>27849</v>
      </c>
      <c r="K3332" s="213" t="s">
        <v>65484</v>
      </c>
      <c r="L3332" s="213" t="s">
        <v>65684</v>
      </c>
      <c r="M3332" s="213" t="s">
        <v>65884</v>
      </c>
      <c r="N3332" s="213" t="s">
        <v>27850</v>
      </c>
      <c r="O3332" s="213" t="s">
        <v>27851</v>
      </c>
      <c r="P3332" s="213" t="s">
        <v>27852</v>
      </c>
      <c r="Q3332" s="213" t="s">
        <v>27853</v>
      </c>
      <c r="R3332" s="213" t="s">
        <v>27854</v>
      </c>
      <c r="S3332" s="213" t="s">
        <v>27855</v>
      </c>
      <c r="T3332" s="213" t="s">
        <v>27856</v>
      </c>
      <c r="U3332" s="213" t="s">
        <v>66084</v>
      </c>
    </row>
    <row r="3333" spans="1:21" x14ac:dyDescent="0.25">
      <c r="A3333" s="213" t="s">
        <v>327</v>
      </c>
      <c r="D3333" s="213" t="s">
        <v>27857</v>
      </c>
      <c r="E3333" s="213" t="s">
        <v>27858</v>
      </c>
      <c r="K3333" s="213" t="s">
        <v>65485</v>
      </c>
      <c r="L3333" s="213" t="s">
        <v>65685</v>
      </c>
      <c r="M3333" s="213" t="s">
        <v>65885</v>
      </c>
      <c r="N3333" s="213" t="s">
        <v>27859</v>
      </c>
      <c r="O3333" s="213" t="s">
        <v>27860</v>
      </c>
      <c r="P3333" s="213" t="s">
        <v>27861</v>
      </c>
      <c r="Q3333" s="213" t="s">
        <v>27862</v>
      </c>
      <c r="R3333" s="213" t="s">
        <v>27863</v>
      </c>
      <c r="S3333" s="213" t="s">
        <v>27864</v>
      </c>
      <c r="T3333" s="213" t="s">
        <v>27865</v>
      </c>
      <c r="U3333" s="213" t="s">
        <v>66085</v>
      </c>
    </row>
    <row r="3334" spans="1:21" x14ac:dyDescent="0.25">
      <c r="A3334" s="213" t="s">
        <v>327</v>
      </c>
      <c r="D3334" s="213" t="s">
        <v>27866</v>
      </c>
      <c r="E3334" s="213" t="s">
        <v>27867</v>
      </c>
      <c r="K3334" s="213" t="s">
        <v>65486</v>
      </c>
      <c r="L3334" s="213" t="s">
        <v>65686</v>
      </c>
      <c r="M3334" s="213" t="s">
        <v>65886</v>
      </c>
      <c r="N3334" s="213" t="s">
        <v>27868</v>
      </c>
      <c r="O3334" s="213" t="s">
        <v>27869</v>
      </c>
      <c r="P3334" s="213" t="s">
        <v>27870</v>
      </c>
      <c r="Q3334" s="213" t="s">
        <v>27871</v>
      </c>
      <c r="R3334" s="213" t="s">
        <v>27872</v>
      </c>
      <c r="S3334" s="213" t="s">
        <v>27873</v>
      </c>
      <c r="T3334" s="213" t="s">
        <v>27874</v>
      </c>
      <c r="U3334" s="213" t="s">
        <v>66086</v>
      </c>
    </row>
    <row r="3335" spans="1:21" x14ac:dyDescent="0.25">
      <c r="A3335" s="213" t="s">
        <v>327</v>
      </c>
      <c r="D3335" s="213" t="s">
        <v>27875</v>
      </c>
      <c r="E3335" s="213" t="s">
        <v>27876</v>
      </c>
      <c r="K3335" s="213" t="s">
        <v>65487</v>
      </c>
      <c r="L3335" s="213" t="s">
        <v>65687</v>
      </c>
      <c r="M3335" s="213" t="s">
        <v>65887</v>
      </c>
      <c r="N3335" s="213" t="s">
        <v>27877</v>
      </c>
      <c r="O3335" s="213" t="s">
        <v>27878</v>
      </c>
      <c r="P3335" s="213" t="s">
        <v>27879</v>
      </c>
      <c r="Q3335" s="213" t="s">
        <v>27880</v>
      </c>
      <c r="R3335" s="213" t="s">
        <v>27881</v>
      </c>
      <c r="S3335" s="213" t="s">
        <v>27882</v>
      </c>
      <c r="T3335" s="213" t="s">
        <v>27883</v>
      </c>
      <c r="U3335" s="213" t="s">
        <v>66087</v>
      </c>
    </row>
    <row r="3336" spans="1:21" x14ac:dyDescent="0.25">
      <c r="A3336" s="213" t="s">
        <v>327</v>
      </c>
      <c r="D3336" s="213" t="s">
        <v>27884</v>
      </c>
      <c r="E3336" s="213" t="s">
        <v>27885</v>
      </c>
      <c r="K3336" s="213" t="s">
        <v>65488</v>
      </c>
      <c r="L3336" s="213" t="s">
        <v>65688</v>
      </c>
      <c r="M3336" s="213" t="s">
        <v>65888</v>
      </c>
      <c r="N3336" s="213" t="s">
        <v>27886</v>
      </c>
      <c r="O3336" s="213" t="s">
        <v>27887</v>
      </c>
      <c r="P3336" s="213" t="s">
        <v>27888</v>
      </c>
      <c r="Q3336" s="213" t="s">
        <v>27889</v>
      </c>
      <c r="R3336" s="213" t="s">
        <v>27890</v>
      </c>
      <c r="S3336" s="213" t="s">
        <v>27891</v>
      </c>
      <c r="T3336" s="213" t="s">
        <v>27892</v>
      </c>
      <c r="U3336" s="213" t="s">
        <v>66088</v>
      </c>
    </row>
    <row r="3337" spans="1:21" x14ac:dyDescent="0.25">
      <c r="A3337" s="213" t="s">
        <v>327</v>
      </c>
      <c r="D3337" s="213" t="s">
        <v>27893</v>
      </c>
      <c r="E3337" s="213" t="s">
        <v>27894</v>
      </c>
      <c r="K3337" s="213" t="s">
        <v>65489</v>
      </c>
      <c r="L3337" s="213" t="s">
        <v>65689</v>
      </c>
      <c r="M3337" s="213" t="s">
        <v>65889</v>
      </c>
      <c r="N3337" s="213" t="s">
        <v>27895</v>
      </c>
      <c r="O3337" s="213" t="s">
        <v>27896</v>
      </c>
      <c r="P3337" s="213" t="s">
        <v>27897</v>
      </c>
      <c r="Q3337" s="213" t="s">
        <v>27898</v>
      </c>
      <c r="R3337" s="213" t="s">
        <v>27899</v>
      </c>
      <c r="S3337" s="213" t="s">
        <v>27900</v>
      </c>
      <c r="T3337" s="213" t="s">
        <v>27901</v>
      </c>
      <c r="U3337" s="213" t="s">
        <v>66089</v>
      </c>
    </row>
    <row r="3338" spans="1:21" x14ac:dyDescent="0.25">
      <c r="A3338" s="213" t="s">
        <v>327</v>
      </c>
      <c r="D3338" s="213" t="s">
        <v>27902</v>
      </c>
      <c r="E3338" s="213" t="s">
        <v>27903</v>
      </c>
      <c r="K3338" s="213" t="s">
        <v>65490</v>
      </c>
      <c r="L3338" s="213" t="s">
        <v>65690</v>
      </c>
      <c r="M3338" s="213" t="s">
        <v>65890</v>
      </c>
      <c r="N3338" s="213" t="s">
        <v>27904</v>
      </c>
      <c r="O3338" s="213" t="s">
        <v>27905</v>
      </c>
      <c r="P3338" s="213" t="s">
        <v>27906</v>
      </c>
      <c r="Q3338" s="213" t="s">
        <v>27907</v>
      </c>
      <c r="R3338" s="213" t="s">
        <v>27908</v>
      </c>
      <c r="S3338" s="213" t="s">
        <v>27909</v>
      </c>
      <c r="T3338" s="213" t="s">
        <v>27910</v>
      </c>
      <c r="U3338" s="213" t="s">
        <v>66090</v>
      </c>
    </row>
    <row r="3339" spans="1:21" x14ac:dyDescent="0.25">
      <c r="A3339" s="213" t="s">
        <v>327</v>
      </c>
      <c r="D3339" s="213" t="s">
        <v>27911</v>
      </c>
      <c r="E3339" s="213" t="s">
        <v>27912</v>
      </c>
      <c r="K3339" s="213" t="s">
        <v>65491</v>
      </c>
      <c r="L3339" s="213" t="s">
        <v>65691</v>
      </c>
      <c r="M3339" s="213" t="s">
        <v>65891</v>
      </c>
      <c r="N3339" s="213" t="s">
        <v>27913</v>
      </c>
      <c r="O3339" s="213" t="s">
        <v>27914</v>
      </c>
      <c r="P3339" s="213" t="s">
        <v>27915</v>
      </c>
      <c r="Q3339" s="213" t="s">
        <v>27916</v>
      </c>
      <c r="R3339" s="213" t="s">
        <v>27917</v>
      </c>
      <c r="S3339" s="213" t="s">
        <v>27918</v>
      </c>
      <c r="T3339" s="213" t="s">
        <v>27919</v>
      </c>
      <c r="U3339" s="213" t="s">
        <v>66091</v>
      </c>
    </row>
    <row r="3340" spans="1:21" x14ac:dyDescent="0.25">
      <c r="A3340" s="213" t="s">
        <v>327</v>
      </c>
      <c r="D3340" s="213" t="s">
        <v>27920</v>
      </c>
      <c r="E3340" s="213" t="s">
        <v>27921</v>
      </c>
      <c r="K3340" s="213" t="s">
        <v>65492</v>
      </c>
      <c r="L3340" s="213" t="s">
        <v>65692</v>
      </c>
      <c r="M3340" s="213" t="s">
        <v>65892</v>
      </c>
      <c r="N3340" s="213" t="s">
        <v>27922</v>
      </c>
      <c r="O3340" s="213" t="s">
        <v>27923</v>
      </c>
      <c r="P3340" s="213" t="s">
        <v>27924</v>
      </c>
      <c r="Q3340" s="213" t="s">
        <v>27925</v>
      </c>
      <c r="R3340" s="213" t="s">
        <v>27926</v>
      </c>
      <c r="S3340" s="213" t="s">
        <v>27927</v>
      </c>
      <c r="T3340" s="213" t="s">
        <v>27928</v>
      </c>
      <c r="U3340" s="213" t="s">
        <v>66092</v>
      </c>
    </row>
    <row r="3341" spans="1:21" x14ac:dyDescent="0.25">
      <c r="A3341" s="213" t="s">
        <v>327</v>
      </c>
      <c r="D3341" s="213" t="s">
        <v>27929</v>
      </c>
      <c r="E3341" s="213" t="s">
        <v>27930</v>
      </c>
      <c r="K3341" s="213" t="s">
        <v>65493</v>
      </c>
      <c r="L3341" s="213" t="s">
        <v>65693</v>
      </c>
      <c r="M3341" s="213" t="s">
        <v>65893</v>
      </c>
      <c r="N3341" s="213" t="s">
        <v>27931</v>
      </c>
      <c r="O3341" s="213" t="s">
        <v>27932</v>
      </c>
      <c r="P3341" s="213" t="s">
        <v>27933</v>
      </c>
      <c r="Q3341" s="213" t="s">
        <v>27934</v>
      </c>
      <c r="R3341" s="213" t="s">
        <v>27935</v>
      </c>
      <c r="S3341" s="213" t="s">
        <v>27936</v>
      </c>
      <c r="T3341" s="213" t="s">
        <v>27937</v>
      </c>
      <c r="U3341" s="213" t="s">
        <v>66093</v>
      </c>
    </row>
    <row r="3342" spans="1:21" x14ac:dyDescent="0.25">
      <c r="A3342" s="213" t="s">
        <v>327</v>
      </c>
      <c r="D3342" s="213" t="s">
        <v>27938</v>
      </c>
      <c r="E3342" s="213" t="s">
        <v>27939</v>
      </c>
      <c r="K3342" s="213" t="s">
        <v>65494</v>
      </c>
      <c r="L3342" s="213" t="s">
        <v>65694</v>
      </c>
      <c r="M3342" s="213" t="s">
        <v>65894</v>
      </c>
      <c r="N3342" s="213" t="s">
        <v>27940</v>
      </c>
      <c r="O3342" s="213" t="s">
        <v>27941</v>
      </c>
      <c r="P3342" s="213" t="s">
        <v>27942</v>
      </c>
      <c r="Q3342" s="213" t="s">
        <v>27943</v>
      </c>
      <c r="R3342" s="213" t="s">
        <v>27944</v>
      </c>
      <c r="S3342" s="213" t="s">
        <v>27945</v>
      </c>
      <c r="T3342" s="213" t="s">
        <v>27946</v>
      </c>
      <c r="U3342" s="213" t="s">
        <v>66094</v>
      </c>
    </row>
    <row r="3343" spans="1:21" x14ac:dyDescent="0.25">
      <c r="A3343" s="213" t="s">
        <v>327</v>
      </c>
      <c r="D3343" s="213" t="s">
        <v>27947</v>
      </c>
      <c r="E3343" s="213" t="s">
        <v>27948</v>
      </c>
      <c r="K3343" s="213" t="s">
        <v>65495</v>
      </c>
      <c r="L3343" s="213" t="s">
        <v>65695</v>
      </c>
      <c r="M3343" s="213" t="s">
        <v>65895</v>
      </c>
      <c r="N3343" s="213" t="s">
        <v>27949</v>
      </c>
      <c r="O3343" s="213" t="s">
        <v>27950</v>
      </c>
      <c r="P3343" s="213" t="s">
        <v>27951</v>
      </c>
      <c r="Q3343" s="213" t="s">
        <v>27952</v>
      </c>
      <c r="R3343" s="213" t="s">
        <v>27953</v>
      </c>
      <c r="S3343" s="213" t="s">
        <v>27954</v>
      </c>
      <c r="T3343" s="213" t="s">
        <v>27955</v>
      </c>
      <c r="U3343" s="213" t="s">
        <v>66095</v>
      </c>
    </row>
    <row r="3344" spans="1:21" x14ac:dyDescent="0.25">
      <c r="A3344" s="213" t="s">
        <v>327</v>
      </c>
      <c r="D3344" s="213" t="s">
        <v>27956</v>
      </c>
      <c r="E3344" s="213" t="s">
        <v>27957</v>
      </c>
      <c r="K3344" s="213" t="s">
        <v>65496</v>
      </c>
      <c r="L3344" s="213" t="s">
        <v>65696</v>
      </c>
      <c r="M3344" s="213" t="s">
        <v>65896</v>
      </c>
      <c r="N3344" s="213" t="s">
        <v>27958</v>
      </c>
      <c r="O3344" s="213" t="s">
        <v>27959</v>
      </c>
      <c r="P3344" s="213" t="s">
        <v>27960</v>
      </c>
      <c r="Q3344" s="213" t="s">
        <v>27961</v>
      </c>
      <c r="R3344" s="213" t="s">
        <v>27962</v>
      </c>
      <c r="S3344" s="213" t="s">
        <v>27963</v>
      </c>
      <c r="T3344" s="213" t="s">
        <v>27964</v>
      </c>
      <c r="U3344" s="213" t="s">
        <v>66096</v>
      </c>
    </row>
    <row r="3345" spans="1:21" x14ac:dyDescent="0.25">
      <c r="A3345" s="213" t="s">
        <v>327</v>
      </c>
      <c r="D3345" s="213" t="s">
        <v>27965</v>
      </c>
      <c r="E3345" s="213" t="s">
        <v>27966</v>
      </c>
      <c r="K3345" s="213" t="s">
        <v>65497</v>
      </c>
      <c r="L3345" s="213" t="s">
        <v>65697</v>
      </c>
      <c r="M3345" s="213" t="s">
        <v>65897</v>
      </c>
      <c r="N3345" s="213" t="s">
        <v>27967</v>
      </c>
      <c r="O3345" s="213" t="s">
        <v>27968</v>
      </c>
      <c r="P3345" s="213" t="s">
        <v>27969</v>
      </c>
      <c r="Q3345" s="213" t="s">
        <v>27970</v>
      </c>
      <c r="R3345" s="213" t="s">
        <v>27971</v>
      </c>
      <c r="S3345" s="213" t="s">
        <v>27972</v>
      </c>
      <c r="T3345" s="213" t="s">
        <v>27973</v>
      </c>
      <c r="U3345" s="213" t="s">
        <v>66097</v>
      </c>
    </row>
    <row r="3346" spans="1:21" x14ac:dyDescent="0.25">
      <c r="A3346" s="213" t="s">
        <v>327</v>
      </c>
      <c r="D3346" s="213" t="s">
        <v>27974</v>
      </c>
      <c r="E3346" s="213" t="s">
        <v>27975</v>
      </c>
      <c r="K3346" s="213" t="s">
        <v>65498</v>
      </c>
      <c r="L3346" s="213" t="s">
        <v>65698</v>
      </c>
      <c r="M3346" s="213" t="s">
        <v>65898</v>
      </c>
      <c r="N3346" s="213" t="s">
        <v>27976</v>
      </c>
      <c r="O3346" s="213" t="s">
        <v>27977</v>
      </c>
      <c r="P3346" s="213" t="s">
        <v>27978</v>
      </c>
      <c r="Q3346" s="213" t="s">
        <v>27979</v>
      </c>
      <c r="R3346" s="213" t="s">
        <v>27980</v>
      </c>
      <c r="S3346" s="213" t="s">
        <v>27981</v>
      </c>
      <c r="T3346" s="213" t="s">
        <v>27982</v>
      </c>
      <c r="U3346" s="213" t="s">
        <v>66098</v>
      </c>
    </row>
    <row r="3347" spans="1:21" x14ac:dyDescent="0.25">
      <c r="A3347" s="213" t="s">
        <v>327</v>
      </c>
      <c r="D3347" s="213" t="s">
        <v>27983</v>
      </c>
      <c r="E3347" s="213" t="s">
        <v>27984</v>
      </c>
      <c r="K3347" s="213" t="s">
        <v>65499</v>
      </c>
      <c r="L3347" s="213" t="s">
        <v>65699</v>
      </c>
      <c r="M3347" s="213" t="s">
        <v>65899</v>
      </c>
      <c r="N3347" s="213" t="s">
        <v>27985</v>
      </c>
      <c r="O3347" s="213" t="s">
        <v>27986</v>
      </c>
      <c r="P3347" s="213" t="s">
        <v>27987</v>
      </c>
      <c r="Q3347" s="213" t="s">
        <v>27988</v>
      </c>
      <c r="R3347" s="213" t="s">
        <v>27989</v>
      </c>
      <c r="S3347" s="213" t="s">
        <v>27990</v>
      </c>
      <c r="T3347" s="213" t="s">
        <v>27991</v>
      </c>
      <c r="U3347" s="213" t="s">
        <v>66099</v>
      </c>
    </row>
    <row r="3348" spans="1:21" x14ac:dyDescent="0.25">
      <c r="A3348" s="213" t="s">
        <v>327</v>
      </c>
      <c r="D3348" s="213" t="s">
        <v>27992</v>
      </c>
      <c r="E3348" s="213" t="s">
        <v>27993</v>
      </c>
      <c r="K3348" s="213" t="s">
        <v>65500</v>
      </c>
      <c r="L3348" s="213" t="s">
        <v>65700</v>
      </c>
      <c r="M3348" s="213" t="s">
        <v>65900</v>
      </c>
      <c r="N3348" s="213" t="s">
        <v>27994</v>
      </c>
      <c r="O3348" s="213" t="s">
        <v>27995</v>
      </c>
      <c r="P3348" s="213" t="s">
        <v>27996</v>
      </c>
      <c r="Q3348" s="213" t="s">
        <v>27997</v>
      </c>
      <c r="R3348" s="213" t="s">
        <v>27998</v>
      </c>
      <c r="S3348" s="213" t="s">
        <v>27999</v>
      </c>
      <c r="T3348" s="213" t="s">
        <v>28000</v>
      </c>
      <c r="U3348" s="213" t="s">
        <v>66100</v>
      </c>
    </row>
    <row r="3349" spans="1:21" x14ac:dyDescent="0.25">
      <c r="A3349" s="213" t="s">
        <v>327</v>
      </c>
      <c r="D3349" s="213" t="s">
        <v>28001</v>
      </c>
      <c r="E3349" s="213" t="s">
        <v>28002</v>
      </c>
      <c r="K3349" s="213" t="s">
        <v>65501</v>
      </c>
      <c r="L3349" s="213" t="s">
        <v>65701</v>
      </c>
      <c r="M3349" s="213" t="s">
        <v>65901</v>
      </c>
      <c r="N3349" s="213" t="s">
        <v>28003</v>
      </c>
      <c r="O3349" s="213" t="s">
        <v>28004</v>
      </c>
      <c r="P3349" s="213" t="s">
        <v>28005</v>
      </c>
      <c r="Q3349" s="213" t="s">
        <v>28006</v>
      </c>
      <c r="R3349" s="213" t="s">
        <v>28007</v>
      </c>
      <c r="S3349" s="213" t="s">
        <v>28008</v>
      </c>
      <c r="T3349" s="213" t="s">
        <v>28009</v>
      </c>
      <c r="U3349" s="213" t="s">
        <v>66101</v>
      </c>
    </row>
    <row r="3350" spans="1:21" x14ac:dyDescent="0.25">
      <c r="A3350" s="213" t="s">
        <v>327</v>
      </c>
      <c r="D3350" s="213" t="s">
        <v>28010</v>
      </c>
      <c r="E3350" s="213" t="s">
        <v>28011</v>
      </c>
      <c r="K3350" s="213" t="s">
        <v>65502</v>
      </c>
      <c r="L3350" s="213" t="s">
        <v>65702</v>
      </c>
      <c r="M3350" s="213" t="s">
        <v>65902</v>
      </c>
      <c r="N3350" s="213" t="s">
        <v>28012</v>
      </c>
      <c r="O3350" s="213" t="s">
        <v>28013</v>
      </c>
      <c r="P3350" s="213" t="s">
        <v>28014</v>
      </c>
      <c r="Q3350" s="213" t="s">
        <v>28015</v>
      </c>
      <c r="R3350" s="213" t="s">
        <v>28016</v>
      </c>
      <c r="S3350" s="213" t="s">
        <v>28017</v>
      </c>
      <c r="T3350" s="213" t="s">
        <v>28018</v>
      </c>
      <c r="U3350" s="213" t="s">
        <v>66102</v>
      </c>
    </row>
    <row r="3351" spans="1:21" x14ac:dyDescent="0.25">
      <c r="A3351" s="213" t="s">
        <v>327</v>
      </c>
      <c r="D3351" s="213" t="s">
        <v>28019</v>
      </c>
      <c r="E3351" s="213" t="s">
        <v>28020</v>
      </c>
      <c r="K3351" s="213" t="s">
        <v>65503</v>
      </c>
      <c r="L3351" s="213" t="s">
        <v>65703</v>
      </c>
      <c r="M3351" s="213" t="s">
        <v>65903</v>
      </c>
      <c r="N3351" s="213" t="s">
        <v>28021</v>
      </c>
      <c r="O3351" s="213" t="s">
        <v>28022</v>
      </c>
      <c r="P3351" s="213" t="s">
        <v>28023</v>
      </c>
      <c r="Q3351" s="213" t="s">
        <v>28024</v>
      </c>
      <c r="R3351" s="213" t="s">
        <v>28025</v>
      </c>
      <c r="S3351" s="213" t="s">
        <v>28026</v>
      </c>
      <c r="T3351" s="213" t="s">
        <v>28027</v>
      </c>
      <c r="U3351" s="213" t="s">
        <v>66103</v>
      </c>
    </row>
    <row r="3352" spans="1:21" x14ac:dyDescent="0.25">
      <c r="A3352" s="213" t="s">
        <v>327</v>
      </c>
      <c r="D3352" s="213" t="s">
        <v>28028</v>
      </c>
      <c r="E3352" s="213" t="s">
        <v>28029</v>
      </c>
      <c r="K3352" s="213" t="s">
        <v>65504</v>
      </c>
      <c r="L3352" s="213" t="s">
        <v>65704</v>
      </c>
      <c r="M3352" s="213" t="s">
        <v>65904</v>
      </c>
      <c r="N3352" s="213" t="s">
        <v>28030</v>
      </c>
      <c r="O3352" s="213" t="s">
        <v>28031</v>
      </c>
      <c r="P3352" s="213" t="s">
        <v>28032</v>
      </c>
      <c r="Q3352" s="213" t="s">
        <v>28033</v>
      </c>
      <c r="R3352" s="213" t="s">
        <v>28034</v>
      </c>
      <c r="S3352" s="213" t="s">
        <v>28035</v>
      </c>
      <c r="T3352" s="213" t="s">
        <v>28036</v>
      </c>
      <c r="U3352" s="213" t="s">
        <v>66104</v>
      </c>
    </row>
    <row r="3353" spans="1:21" x14ac:dyDescent="0.25">
      <c r="A3353" s="213" t="s">
        <v>327</v>
      </c>
      <c r="D3353" s="213" t="s">
        <v>28037</v>
      </c>
      <c r="E3353" s="213" t="s">
        <v>28038</v>
      </c>
      <c r="K3353" s="213" t="s">
        <v>65505</v>
      </c>
      <c r="L3353" s="213" t="s">
        <v>65705</v>
      </c>
      <c r="M3353" s="213" t="s">
        <v>65905</v>
      </c>
      <c r="N3353" s="213" t="s">
        <v>28039</v>
      </c>
      <c r="O3353" s="213" t="s">
        <v>28040</v>
      </c>
      <c r="P3353" s="213" t="s">
        <v>28041</v>
      </c>
      <c r="Q3353" s="213" t="s">
        <v>28042</v>
      </c>
      <c r="R3353" s="213" t="s">
        <v>28043</v>
      </c>
      <c r="S3353" s="213" t="s">
        <v>28044</v>
      </c>
      <c r="T3353" s="213" t="s">
        <v>28045</v>
      </c>
      <c r="U3353" s="213" t="s">
        <v>66105</v>
      </c>
    </row>
    <row r="3354" spans="1:21" x14ac:dyDescent="0.25">
      <c r="A3354" s="213" t="s">
        <v>327</v>
      </c>
      <c r="D3354" s="213" t="s">
        <v>28046</v>
      </c>
      <c r="E3354" s="213" t="s">
        <v>28047</v>
      </c>
      <c r="K3354" s="213" t="s">
        <v>65506</v>
      </c>
      <c r="L3354" s="213" t="s">
        <v>65706</v>
      </c>
      <c r="M3354" s="213" t="s">
        <v>65906</v>
      </c>
      <c r="N3354" s="213" t="s">
        <v>28048</v>
      </c>
      <c r="O3354" s="213" t="s">
        <v>28049</v>
      </c>
      <c r="P3354" s="213" t="s">
        <v>28050</v>
      </c>
      <c r="Q3354" s="213" t="s">
        <v>28051</v>
      </c>
      <c r="R3354" s="213" t="s">
        <v>28052</v>
      </c>
      <c r="S3354" s="213" t="s">
        <v>28053</v>
      </c>
      <c r="T3354" s="213" t="s">
        <v>28054</v>
      </c>
      <c r="U3354" s="213" t="s">
        <v>66106</v>
      </c>
    </row>
    <row r="3355" spans="1:21" x14ac:dyDescent="0.25">
      <c r="A3355" s="213" t="s">
        <v>327</v>
      </c>
      <c r="D3355" s="213" t="s">
        <v>28055</v>
      </c>
      <c r="E3355" s="213" t="s">
        <v>28056</v>
      </c>
      <c r="K3355" s="213" t="s">
        <v>65507</v>
      </c>
      <c r="L3355" s="213" t="s">
        <v>65707</v>
      </c>
      <c r="M3355" s="213" t="s">
        <v>65907</v>
      </c>
      <c r="N3355" s="213" t="s">
        <v>28057</v>
      </c>
      <c r="O3355" s="213" t="s">
        <v>28058</v>
      </c>
      <c r="P3355" s="213" t="s">
        <v>28059</v>
      </c>
      <c r="Q3355" s="213" t="s">
        <v>28060</v>
      </c>
      <c r="R3355" s="213" t="s">
        <v>28061</v>
      </c>
      <c r="S3355" s="213" t="s">
        <v>28062</v>
      </c>
      <c r="T3355" s="213" t="s">
        <v>28063</v>
      </c>
      <c r="U3355" s="213" t="s">
        <v>66107</v>
      </c>
    </row>
    <row r="3356" spans="1:21" x14ac:dyDescent="0.25">
      <c r="A3356" s="213" t="s">
        <v>327</v>
      </c>
      <c r="D3356" s="213" t="s">
        <v>28064</v>
      </c>
      <c r="E3356" s="213" t="s">
        <v>28065</v>
      </c>
      <c r="K3356" s="213" t="s">
        <v>65508</v>
      </c>
      <c r="L3356" s="213" t="s">
        <v>65708</v>
      </c>
      <c r="M3356" s="213" t="s">
        <v>65908</v>
      </c>
      <c r="N3356" s="213" t="s">
        <v>28066</v>
      </c>
      <c r="O3356" s="213" t="s">
        <v>28067</v>
      </c>
      <c r="P3356" s="213" t="s">
        <v>28068</v>
      </c>
      <c r="Q3356" s="213" t="s">
        <v>28069</v>
      </c>
      <c r="R3356" s="213" t="s">
        <v>28070</v>
      </c>
      <c r="S3356" s="213" t="s">
        <v>28071</v>
      </c>
      <c r="T3356" s="213" t="s">
        <v>28072</v>
      </c>
      <c r="U3356" s="213" t="s">
        <v>66108</v>
      </c>
    </row>
    <row r="3357" spans="1:21" x14ac:dyDescent="0.25">
      <c r="A3357" s="213" t="s">
        <v>327</v>
      </c>
      <c r="D3357" s="213" t="s">
        <v>28073</v>
      </c>
      <c r="E3357" s="213" t="s">
        <v>28074</v>
      </c>
      <c r="K3357" s="213" t="s">
        <v>65509</v>
      </c>
      <c r="L3357" s="213" t="s">
        <v>65709</v>
      </c>
      <c r="M3357" s="213" t="s">
        <v>65909</v>
      </c>
      <c r="N3357" s="213" t="s">
        <v>28075</v>
      </c>
      <c r="O3357" s="213" t="s">
        <v>28076</v>
      </c>
      <c r="P3357" s="213" t="s">
        <v>28077</v>
      </c>
      <c r="Q3357" s="213" t="s">
        <v>28078</v>
      </c>
      <c r="R3357" s="213" t="s">
        <v>28079</v>
      </c>
      <c r="S3357" s="213" t="s">
        <v>28080</v>
      </c>
      <c r="T3357" s="213" t="s">
        <v>28081</v>
      </c>
      <c r="U3357" s="213" t="s">
        <v>66109</v>
      </c>
    </row>
    <row r="3358" spans="1:21" x14ac:dyDescent="0.25">
      <c r="A3358" s="213" t="s">
        <v>327</v>
      </c>
      <c r="D3358" s="213" t="s">
        <v>28082</v>
      </c>
      <c r="E3358" s="213" t="s">
        <v>28083</v>
      </c>
      <c r="K3358" s="213" t="s">
        <v>65510</v>
      </c>
      <c r="L3358" s="213" t="s">
        <v>65710</v>
      </c>
      <c r="M3358" s="213" t="s">
        <v>65910</v>
      </c>
      <c r="N3358" s="213" t="s">
        <v>28084</v>
      </c>
      <c r="O3358" s="213" t="s">
        <v>28085</v>
      </c>
      <c r="P3358" s="213" t="s">
        <v>28086</v>
      </c>
      <c r="Q3358" s="213" t="s">
        <v>28087</v>
      </c>
      <c r="R3358" s="213" t="s">
        <v>28088</v>
      </c>
      <c r="S3358" s="213" t="s">
        <v>28089</v>
      </c>
      <c r="T3358" s="213" t="s">
        <v>28090</v>
      </c>
      <c r="U3358" s="213" t="s">
        <v>66110</v>
      </c>
    </row>
    <row r="3359" spans="1:21" x14ac:dyDescent="0.25">
      <c r="A3359" s="213" t="s">
        <v>327</v>
      </c>
      <c r="D3359" s="213" t="s">
        <v>28091</v>
      </c>
      <c r="E3359" s="213" t="s">
        <v>28092</v>
      </c>
      <c r="K3359" s="213" t="s">
        <v>65511</v>
      </c>
      <c r="L3359" s="213" t="s">
        <v>65711</v>
      </c>
      <c r="M3359" s="213" t="s">
        <v>65911</v>
      </c>
      <c r="N3359" s="213" t="s">
        <v>28093</v>
      </c>
      <c r="O3359" s="213" t="s">
        <v>28094</v>
      </c>
      <c r="P3359" s="213" t="s">
        <v>28095</v>
      </c>
      <c r="Q3359" s="213" t="s">
        <v>28096</v>
      </c>
      <c r="R3359" s="213" t="s">
        <v>28097</v>
      </c>
      <c r="S3359" s="213" t="s">
        <v>28098</v>
      </c>
      <c r="T3359" s="213" t="s">
        <v>28099</v>
      </c>
      <c r="U3359" s="213" t="s">
        <v>66111</v>
      </c>
    </row>
    <row r="3360" spans="1:21" x14ac:dyDescent="0.25">
      <c r="A3360" s="213" t="s">
        <v>327</v>
      </c>
      <c r="D3360" s="213" t="s">
        <v>28100</v>
      </c>
      <c r="E3360" s="213" t="s">
        <v>28101</v>
      </c>
      <c r="K3360" s="213" t="s">
        <v>65512</v>
      </c>
      <c r="L3360" s="213" t="s">
        <v>65712</v>
      </c>
      <c r="M3360" s="213" t="s">
        <v>65912</v>
      </c>
      <c r="N3360" s="213" t="s">
        <v>28102</v>
      </c>
      <c r="O3360" s="213" t="s">
        <v>28103</v>
      </c>
      <c r="P3360" s="213" t="s">
        <v>28104</v>
      </c>
      <c r="Q3360" s="213" t="s">
        <v>28105</v>
      </c>
      <c r="R3360" s="213" t="s">
        <v>28106</v>
      </c>
      <c r="S3360" s="213" t="s">
        <v>28107</v>
      </c>
      <c r="T3360" s="213" t="s">
        <v>28108</v>
      </c>
      <c r="U3360" s="213" t="s">
        <v>66112</v>
      </c>
    </row>
    <row r="3361" spans="1:21" x14ac:dyDescent="0.25">
      <c r="A3361" s="213" t="s">
        <v>327</v>
      </c>
      <c r="D3361" s="213" t="s">
        <v>28109</v>
      </c>
      <c r="E3361" s="213" t="s">
        <v>28110</v>
      </c>
      <c r="K3361" s="213" t="s">
        <v>65513</v>
      </c>
      <c r="L3361" s="213" t="s">
        <v>65713</v>
      </c>
      <c r="M3361" s="213" t="s">
        <v>65913</v>
      </c>
      <c r="N3361" s="213" t="s">
        <v>28111</v>
      </c>
      <c r="O3361" s="213" t="s">
        <v>28112</v>
      </c>
      <c r="P3361" s="213" t="s">
        <v>28113</v>
      </c>
      <c r="Q3361" s="213" t="s">
        <v>28114</v>
      </c>
      <c r="R3361" s="213" t="s">
        <v>28115</v>
      </c>
      <c r="S3361" s="213" t="s">
        <v>28116</v>
      </c>
      <c r="T3361" s="213" t="s">
        <v>28117</v>
      </c>
      <c r="U3361" s="213" t="s">
        <v>66113</v>
      </c>
    </row>
    <row r="3362" spans="1:21" x14ac:dyDescent="0.25">
      <c r="A3362" s="213" t="s">
        <v>327</v>
      </c>
      <c r="D3362" s="213" t="s">
        <v>28118</v>
      </c>
      <c r="E3362" s="213" t="s">
        <v>28119</v>
      </c>
      <c r="K3362" s="213" t="s">
        <v>65514</v>
      </c>
      <c r="L3362" s="213" t="s">
        <v>65714</v>
      </c>
      <c r="M3362" s="213" t="s">
        <v>65914</v>
      </c>
      <c r="N3362" s="213" t="s">
        <v>28120</v>
      </c>
      <c r="O3362" s="213" t="s">
        <v>28121</v>
      </c>
      <c r="P3362" s="213" t="s">
        <v>28122</v>
      </c>
      <c r="Q3362" s="213" t="s">
        <v>28123</v>
      </c>
      <c r="R3362" s="213" t="s">
        <v>28124</v>
      </c>
      <c r="S3362" s="213" t="s">
        <v>28125</v>
      </c>
      <c r="T3362" s="213" t="s">
        <v>28126</v>
      </c>
      <c r="U3362" s="213" t="s">
        <v>66114</v>
      </c>
    </row>
    <row r="3363" spans="1:21" x14ac:dyDescent="0.25">
      <c r="A3363" s="213" t="s">
        <v>327</v>
      </c>
      <c r="D3363" s="213" t="s">
        <v>28127</v>
      </c>
      <c r="E3363" s="213" t="s">
        <v>28128</v>
      </c>
      <c r="K3363" s="213" t="s">
        <v>65515</v>
      </c>
      <c r="L3363" s="213" t="s">
        <v>65715</v>
      </c>
      <c r="M3363" s="213" t="s">
        <v>65915</v>
      </c>
      <c r="N3363" s="213" t="s">
        <v>28129</v>
      </c>
      <c r="O3363" s="213" t="s">
        <v>28130</v>
      </c>
      <c r="P3363" s="213" t="s">
        <v>28131</v>
      </c>
      <c r="Q3363" s="213" t="s">
        <v>28132</v>
      </c>
      <c r="R3363" s="213" t="s">
        <v>28133</v>
      </c>
      <c r="S3363" s="213" t="s">
        <v>28134</v>
      </c>
      <c r="T3363" s="213" t="s">
        <v>28135</v>
      </c>
      <c r="U3363" s="213" t="s">
        <v>66115</v>
      </c>
    </row>
    <row r="3364" spans="1:21" x14ac:dyDescent="0.25">
      <c r="A3364" s="213" t="s">
        <v>327</v>
      </c>
      <c r="D3364" s="213" t="s">
        <v>28136</v>
      </c>
      <c r="E3364" s="213" t="s">
        <v>28137</v>
      </c>
      <c r="K3364" s="213" t="s">
        <v>65516</v>
      </c>
      <c r="L3364" s="213" t="s">
        <v>65716</v>
      </c>
      <c r="M3364" s="213" t="s">
        <v>65916</v>
      </c>
      <c r="N3364" s="213" t="s">
        <v>28138</v>
      </c>
      <c r="O3364" s="213" t="s">
        <v>28139</v>
      </c>
      <c r="P3364" s="213" t="s">
        <v>28140</v>
      </c>
      <c r="Q3364" s="213" t="s">
        <v>28141</v>
      </c>
      <c r="R3364" s="213" t="s">
        <v>28142</v>
      </c>
      <c r="S3364" s="213" t="s">
        <v>28143</v>
      </c>
      <c r="T3364" s="213" t="s">
        <v>28144</v>
      </c>
      <c r="U3364" s="213" t="s">
        <v>66116</v>
      </c>
    </row>
    <row r="3365" spans="1:21" x14ac:dyDescent="0.25">
      <c r="A3365" s="213" t="s">
        <v>327</v>
      </c>
      <c r="D3365" s="213" t="s">
        <v>28145</v>
      </c>
      <c r="E3365" s="213" t="s">
        <v>28146</v>
      </c>
      <c r="K3365" s="213" t="s">
        <v>65517</v>
      </c>
      <c r="L3365" s="213" t="s">
        <v>65717</v>
      </c>
      <c r="M3365" s="213" t="s">
        <v>65917</v>
      </c>
      <c r="N3365" s="213" t="s">
        <v>28147</v>
      </c>
      <c r="O3365" s="213" t="s">
        <v>28148</v>
      </c>
      <c r="P3365" s="213" t="s">
        <v>28149</v>
      </c>
      <c r="Q3365" s="213" t="s">
        <v>28150</v>
      </c>
      <c r="R3365" s="213" t="s">
        <v>28151</v>
      </c>
      <c r="S3365" s="213" t="s">
        <v>28152</v>
      </c>
      <c r="T3365" s="213" t="s">
        <v>28153</v>
      </c>
      <c r="U3365" s="213" t="s">
        <v>66117</v>
      </c>
    </row>
    <row r="3366" spans="1:21" x14ac:dyDescent="0.25">
      <c r="A3366" s="213" t="s">
        <v>327</v>
      </c>
      <c r="D3366" s="213" t="s">
        <v>28154</v>
      </c>
      <c r="E3366" s="213" t="s">
        <v>28155</v>
      </c>
      <c r="K3366" s="213" t="s">
        <v>65518</v>
      </c>
      <c r="L3366" s="213" t="s">
        <v>65718</v>
      </c>
      <c r="M3366" s="213" t="s">
        <v>65918</v>
      </c>
      <c r="N3366" s="213" t="s">
        <v>28156</v>
      </c>
      <c r="O3366" s="213" t="s">
        <v>28157</v>
      </c>
      <c r="P3366" s="213" t="s">
        <v>28158</v>
      </c>
      <c r="Q3366" s="213" t="s">
        <v>28159</v>
      </c>
      <c r="R3366" s="213" t="s">
        <v>28160</v>
      </c>
      <c r="S3366" s="213" t="s">
        <v>28161</v>
      </c>
      <c r="T3366" s="213" t="s">
        <v>28162</v>
      </c>
      <c r="U3366" s="213" t="s">
        <v>66118</v>
      </c>
    </row>
    <row r="3367" spans="1:21" x14ac:dyDescent="0.25">
      <c r="A3367" s="213" t="s">
        <v>327</v>
      </c>
      <c r="D3367" s="213" t="s">
        <v>28163</v>
      </c>
      <c r="E3367" s="213" t="s">
        <v>28164</v>
      </c>
      <c r="K3367" s="213" t="s">
        <v>65519</v>
      </c>
      <c r="L3367" s="213" t="s">
        <v>65719</v>
      </c>
      <c r="M3367" s="213" t="s">
        <v>65919</v>
      </c>
      <c r="N3367" s="213" t="s">
        <v>28165</v>
      </c>
      <c r="O3367" s="213" t="s">
        <v>28166</v>
      </c>
      <c r="P3367" s="213" t="s">
        <v>28167</v>
      </c>
      <c r="Q3367" s="213" t="s">
        <v>28168</v>
      </c>
      <c r="R3367" s="213" t="s">
        <v>28169</v>
      </c>
      <c r="S3367" s="213" t="s">
        <v>28170</v>
      </c>
      <c r="T3367" s="213" t="s">
        <v>28171</v>
      </c>
      <c r="U3367" s="213" t="s">
        <v>66119</v>
      </c>
    </row>
    <row r="3368" spans="1:21" x14ac:dyDescent="0.25">
      <c r="A3368" s="213" t="s">
        <v>327</v>
      </c>
      <c r="D3368" s="213" t="s">
        <v>28172</v>
      </c>
      <c r="E3368" s="213" t="s">
        <v>28173</v>
      </c>
      <c r="K3368" s="213" t="s">
        <v>65520</v>
      </c>
      <c r="L3368" s="213" t="s">
        <v>65720</v>
      </c>
      <c r="M3368" s="213" t="s">
        <v>65920</v>
      </c>
      <c r="N3368" s="213" t="s">
        <v>28174</v>
      </c>
      <c r="O3368" s="213" t="s">
        <v>28175</v>
      </c>
      <c r="P3368" s="213" t="s">
        <v>28176</v>
      </c>
      <c r="Q3368" s="213" t="s">
        <v>28177</v>
      </c>
      <c r="R3368" s="213" t="s">
        <v>28178</v>
      </c>
      <c r="S3368" s="213" t="s">
        <v>28179</v>
      </c>
      <c r="T3368" s="213" t="s">
        <v>28180</v>
      </c>
      <c r="U3368" s="213" t="s">
        <v>66120</v>
      </c>
    </row>
    <row r="3369" spans="1:21" x14ac:dyDescent="0.25">
      <c r="A3369" s="213" t="s">
        <v>327</v>
      </c>
      <c r="D3369" s="213" t="s">
        <v>28181</v>
      </c>
      <c r="E3369" s="213" t="s">
        <v>28182</v>
      </c>
      <c r="K3369" s="213" t="s">
        <v>65521</v>
      </c>
      <c r="L3369" s="213" t="s">
        <v>65721</v>
      </c>
      <c r="M3369" s="213" t="s">
        <v>65921</v>
      </c>
      <c r="N3369" s="213" t="s">
        <v>28183</v>
      </c>
      <c r="O3369" s="213" t="s">
        <v>28184</v>
      </c>
      <c r="P3369" s="213" t="s">
        <v>28185</v>
      </c>
      <c r="Q3369" s="213" t="s">
        <v>28186</v>
      </c>
      <c r="R3369" s="213" t="s">
        <v>28187</v>
      </c>
      <c r="S3369" s="213" t="s">
        <v>28188</v>
      </c>
      <c r="T3369" s="213" t="s">
        <v>28189</v>
      </c>
      <c r="U3369" s="213" t="s">
        <v>66121</v>
      </c>
    </row>
    <row r="3370" spans="1:21" x14ac:dyDescent="0.25">
      <c r="A3370" s="213" t="s">
        <v>327</v>
      </c>
      <c r="D3370" s="213" t="s">
        <v>28190</v>
      </c>
      <c r="E3370" s="213" t="s">
        <v>28191</v>
      </c>
      <c r="K3370" s="213" t="s">
        <v>65522</v>
      </c>
      <c r="L3370" s="213" t="s">
        <v>65722</v>
      </c>
      <c r="M3370" s="213" t="s">
        <v>65922</v>
      </c>
      <c r="N3370" s="213" t="s">
        <v>28192</v>
      </c>
      <c r="O3370" s="213" t="s">
        <v>28193</v>
      </c>
      <c r="P3370" s="213" t="s">
        <v>28194</v>
      </c>
      <c r="Q3370" s="213" t="s">
        <v>28195</v>
      </c>
      <c r="R3370" s="213" t="s">
        <v>28196</v>
      </c>
      <c r="S3370" s="213" t="s">
        <v>28197</v>
      </c>
      <c r="T3370" s="213" t="s">
        <v>28198</v>
      </c>
      <c r="U3370" s="213" t="s">
        <v>66122</v>
      </c>
    </row>
    <row r="3371" spans="1:21" x14ac:dyDescent="0.25">
      <c r="A3371" s="213" t="s">
        <v>327</v>
      </c>
      <c r="D3371" s="213" t="s">
        <v>28199</v>
      </c>
      <c r="E3371" s="213" t="s">
        <v>28200</v>
      </c>
      <c r="K3371" s="213" t="s">
        <v>65523</v>
      </c>
      <c r="L3371" s="213" t="s">
        <v>65723</v>
      </c>
      <c r="M3371" s="213" t="s">
        <v>65923</v>
      </c>
      <c r="N3371" s="213" t="s">
        <v>28201</v>
      </c>
      <c r="O3371" s="213" t="s">
        <v>28202</v>
      </c>
      <c r="P3371" s="213" t="s">
        <v>28203</v>
      </c>
      <c r="Q3371" s="213" t="s">
        <v>28204</v>
      </c>
      <c r="R3371" s="213" t="s">
        <v>28205</v>
      </c>
      <c r="S3371" s="213" t="s">
        <v>28206</v>
      </c>
      <c r="T3371" s="213" t="s">
        <v>28207</v>
      </c>
      <c r="U3371" s="213" t="s">
        <v>66123</v>
      </c>
    </row>
    <row r="3372" spans="1:21" x14ac:dyDescent="0.25">
      <c r="A3372" s="213" t="s">
        <v>327</v>
      </c>
      <c r="D3372" s="213" t="s">
        <v>28208</v>
      </c>
      <c r="E3372" s="213" t="s">
        <v>28209</v>
      </c>
      <c r="K3372" s="213" t="s">
        <v>65524</v>
      </c>
      <c r="L3372" s="213" t="s">
        <v>65724</v>
      </c>
      <c r="M3372" s="213" t="s">
        <v>65924</v>
      </c>
      <c r="N3372" s="213" t="s">
        <v>28210</v>
      </c>
      <c r="O3372" s="213" t="s">
        <v>28211</v>
      </c>
      <c r="P3372" s="213" t="s">
        <v>28212</v>
      </c>
      <c r="Q3372" s="213" t="s">
        <v>28213</v>
      </c>
      <c r="R3372" s="213" t="s">
        <v>28214</v>
      </c>
      <c r="S3372" s="213" t="s">
        <v>28215</v>
      </c>
      <c r="T3372" s="213" t="s">
        <v>28216</v>
      </c>
      <c r="U3372" s="213" t="s">
        <v>66124</v>
      </c>
    </row>
    <row r="3373" spans="1:21" x14ac:dyDescent="0.25">
      <c r="A3373" s="213" t="s">
        <v>327</v>
      </c>
      <c r="D3373" s="213" t="s">
        <v>28217</v>
      </c>
      <c r="E3373" s="213" t="s">
        <v>28218</v>
      </c>
      <c r="K3373" s="213" t="s">
        <v>65525</v>
      </c>
      <c r="L3373" s="213" t="s">
        <v>65725</v>
      </c>
      <c r="M3373" s="213" t="s">
        <v>65925</v>
      </c>
      <c r="N3373" s="213" t="s">
        <v>28219</v>
      </c>
      <c r="O3373" s="213" t="s">
        <v>28220</v>
      </c>
      <c r="P3373" s="213" t="s">
        <v>28221</v>
      </c>
      <c r="Q3373" s="213" t="s">
        <v>28222</v>
      </c>
      <c r="R3373" s="213" t="s">
        <v>28223</v>
      </c>
      <c r="S3373" s="213" t="s">
        <v>28224</v>
      </c>
      <c r="T3373" s="213" t="s">
        <v>28225</v>
      </c>
      <c r="U3373" s="213" t="s">
        <v>66125</v>
      </c>
    </row>
    <row r="3374" spans="1:21" x14ac:dyDescent="0.25">
      <c r="A3374" s="213" t="s">
        <v>327</v>
      </c>
      <c r="D3374" s="213" t="s">
        <v>28226</v>
      </c>
      <c r="E3374" s="213" t="s">
        <v>28227</v>
      </c>
      <c r="K3374" s="213" t="s">
        <v>65526</v>
      </c>
      <c r="L3374" s="213" t="s">
        <v>65726</v>
      </c>
      <c r="M3374" s="213" t="s">
        <v>65926</v>
      </c>
      <c r="N3374" s="213" t="s">
        <v>28228</v>
      </c>
      <c r="O3374" s="213" t="s">
        <v>28229</v>
      </c>
      <c r="P3374" s="213" t="s">
        <v>28230</v>
      </c>
      <c r="Q3374" s="213" t="s">
        <v>28231</v>
      </c>
      <c r="R3374" s="213" t="s">
        <v>28232</v>
      </c>
      <c r="S3374" s="213" t="s">
        <v>28233</v>
      </c>
      <c r="T3374" s="213" t="s">
        <v>28234</v>
      </c>
      <c r="U3374" s="213" t="s">
        <v>66126</v>
      </c>
    </row>
    <row r="3375" spans="1:21" x14ac:dyDescent="0.25">
      <c r="A3375" s="213" t="s">
        <v>327</v>
      </c>
      <c r="D3375" s="213" t="s">
        <v>28235</v>
      </c>
      <c r="E3375" s="213" t="s">
        <v>28236</v>
      </c>
      <c r="K3375" s="213" t="s">
        <v>65527</v>
      </c>
      <c r="L3375" s="213" t="s">
        <v>65727</v>
      </c>
      <c r="M3375" s="213" t="s">
        <v>65927</v>
      </c>
      <c r="N3375" s="213" t="s">
        <v>28237</v>
      </c>
      <c r="O3375" s="213" t="s">
        <v>28238</v>
      </c>
      <c r="P3375" s="213" t="s">
        <v>28239</v>
      </c>
      <c r="Q3375" s="213" t="s">
        <v>28240</v>
      </c>
      <c r="R3375" s="213" t="s">
        <v>28241</v>
      </c>
      <c r="S3375" s="213" t="s">
        <v>28242</v>
      </c>
      <c r="T3375" s="213" t="s">
        <v>28243</v>
      </c>
      <c r="U3375" s="213" t="s">
        <v>66127</v>
      </c>
    </row>
    <row r="3376" spans="1:21" x14ac:dyDescent="0.25">
      <c r="A3376" s="213" t="s">
        <v>327</v>
      </c>
      <c r="D3376" s="213" t="s">
        <v>28244</v>
      </c>
      <c r="E3376" s="213" t="s">
        <v>28245</v>
      </c>
      <c r="K3376" s="213" t="s">
        <v>65528</v>
      </c>
      <c r="L3376" s="213" t="s">
        <v>65728</v>
      </c>
      <c r="M3376" s="213" t="s">
        <v>65928</v>
      </c>
      <c r="N3376" s="213" t="s">
        <v>28246</v>
      </c>
      <c r="O3376" s="213" t="s">
        <v>28247</v>
      </c>
      <c r="P3376" s="213" t="s">
        <v>28248</v>
      </c>
      <c r="Q3376" s="213" t="s">
        <v>28249</v>
      </c>
      <c r="R3376" s="213" t="s">
        <v>28250</v>
      </c>
      <c r="S3376" s="213" t="s">
        <v>28251</v>
      </c>
      <c r="T3376" s="213" t="s">
        <v>28252</v>
      </c>
      <c r="U3376" s="213" t="s">
        <v>66128</v>
      </c>
    </row>
    <row r="3377" spans="1:21" x14ac:dyDescent="0.25">
      <c r="A3377" s="213" t="s">
        <v>327</v>
      </c>
      <c r="D3377" s="213" t="s">
        <v>28253</v>
      </c>
      <c r="E3377" s="213" t="s">
        <v>28254</v>
      </c>
      <c r="K3377" s="213" t="s">
        <v>65529</v>
      </c>
      <c r="L3377" s="213" t="s">
        <v>65729</v>
      </c>
      <c r="M3377" s="213" t="s">
        <v>65929</v>
      </c>
      <c r="N3377" s="213" t="s">
        <v>28255</v>
      </c>
      <c r="O3377" s="213" t="s">
        <v>28256</v>
      </c>
      <c r="P3377" s="213" t="s">
        <v>28257</v>
      </c>
      <c r="Q3377" s="213" t="s">
        <v>28258</v>
      </c>
      <c r="R3377" s="213" t="s">
        <v>28259</v>
      </c>
      <c r="S3377" s="213" t="s">
        <v>28260</v>
      </c>
      <c r="T3377" s="213" t="s">
        <v>28261</v>
      </c>
      <c r="U3377" s="213" t="s">
        <v>66129</v>
      </c>
    </row>
    <row r="3378" spans="1:21" x14ac:dyDescent="0.25">
      <c r="A3378" s="213" t="s">
        <v>327</v>
      </c>
      <c r="D3378" s="213" t="s">
        <v>28262</v>
      </c>
      <c r="E3378" s="213" t="s">
        <v>28263</v>
      </c>
      <c r="K3378" s="213" t="s">
        <v>65530</v>
      </c>
      <c r="L3378" s="213" t="s">
        <v>65730</v>
      </c>
      <c r="M3378" s="213" t="s">
        <v>65930</v>
      </c>
      <c r="N3378" s="213" t="s">
        <v>28264</v>
      </c>
      <c r="O3378" s="213" t="s">
        <v>28265</v>
      </c>
      <c r="P3378" s="213" t="s">
        <v>28266</v>
      </c>
      <c r="Q3378" s="213" t="s">
        <v>28267</v>
      </c>
      <c r="R3378" s="213" t="s">
        <v>28268</v>
      </c>
      <c r="S3378" s="213" t="s">
        <v>28269</v>
      </c>
      <c r="T3378" s="213" t="s">
        <v>28270</v>
      </c>
      <c r="U3378" s="213" t="s">
        <v>66130</v>
      </c>
    </row>
    <row r="3379" spans="1:21" x14ac:dyDescent="0.25">
      <c r="A3379" s="213" t="s">
        <v>327</v>
      </c>
      <c r="D3379" s="213" t="s">
        <v>28271</v>
      </c>
      <c r="E3379" s="213" t="s">
        <v>28272</v>
      </c>
      <c r="K3379" s="213" t="s">
        <v>65531</v>
      </c>
      <c r="L3379" s="213" t="s">
        <v>65731</v>
      </c>
      <c r="M3379" s="213" t="s">
        <v>65931</v>
      </c>
      <c r="N3379" s="213" t="s">
        <v>28273</v>
      </c>
      <c r="O3379" s="213" t="s">
        <v>28274</v>
      </c>
      <c r="P3379" s="213" t="s">
        <v>28275</v>
      </c>
      <c r="Q3379" s="213" t="s">
        <v>28276</v>
      </c>
      <c r="R3379" s="213" t="s">
        <v>28277</v>
      </c>
      <c r="S3379" s="213" t="s">
        <v>28278</v>
      </c>
      <c r="T3379" s="213" t="s">
        <v>28279</v>
      </c>
      <c r="U3379" s="213" t="s">
        <v>66131</v>
      </c>
    </row>
    <row r="3380" spans="1:21" x14ac:dyDescent="0.25">
      <c r="A3380" s="213" t="s">
        <v>327</v>
      </c>
      <c r="D3380" s="213" t="s">
        <v>28280</v>
      </c>
      <c r="E3380" s="213" t="s">
        <v>28281</v>
      </c>
      <c r="K3380" s="213" t="s">
        <v>65532</v>
      </c>
      <c r="L3380" s="213" t="s">
        <v>65732</v>
      </c>
      <c r="M3380" s="213" t="s">
        <v>65932</v>
      </c>
      <c r="N3380" s="213" t="s">
        <v>28282</v>
      </c>
      <c r="O3380" s="213" t="s">
        <v>28283</v>
      </c>
      <c r="P3380" s="213" t="s">
        <v>28284</v>
      </c>
      <c r="Q3380" s="213" t="s">
        <v>28285</v>
      </c>
      <c r="R3380" s="213" t="s">
        <v>28286</v>
      </c>
      <c r="S3380" s="213" t="s">
        <v>28287</v>
      </c>
      <c r="T3380" s="213" t="s">
        <v>28288</v>
      </c>
      <c r="U3380" s="213" t="s">
        <v>66132</v>
      </c>
    </row>
    <row r="3381" spans="1:21" x14ac:dyDescent="0.25">
      <c r="A3381" s="213" t="s">
        <v>327</v>
      </c>
      <c r="D3381" s="213" t="s">
        <v>28289</v>
      </c>
      <c r="E3381" s="213" t="s">
        <v>28290</v>
      </c>
      <c r="K3381" s="213" t="s">
        <v>65533</v>
      </c>
      <c r="L3381" s="213" t="s">
        <v>65733</v>
      </c>
      <c r="M3381" s="213" t="s">
        <v>65933</v>
      </c>
      <c r="N3381" s="213" t="s">
        <v>28291</v>
      </c>
      <c r="O3381" s="213" t="s">
        <v>28292</v>
      </c>
      <c r="P3381" s="213" t="s">
        <v>28293</v>
      </c>
      <c r="Q3381" s="213" t="s">
        <v>28294</v>
      </c>
      <c r="R3381" s="213" t="s">
        <v>28295</v>
      </c>
      <c r="S3381" s="213" t="s">
        <v>28296</v>
      </c>
      <c r="T3381" s="213" t="s">
        <v>28297</v>
      </c>
      <c r="U3381" s="213" t="s">
        <v>66133</v>
      </c>
    </row>
    <row r="3382" spans="1:21" x14ac:dyDescent="0.25">
      <c r="A3382" s="213" t="s">
        <v>327</v>
      </c>
      <c r="D3382" s="213" t="s">
        <v>28298</v>
      </c>
      <c r="E3382" s="213" t="s">
        <v>28299</v>
      </c>
      <c r="K3382" s="213" t="s">
        <v>65534</v>
      </c>
      <c r="L3382" s="213" t="s">
        <v>65734</v>
      </c>
      <c r="M3382" s="213" t="s">
        <v>65934</v>
      </c>
      <c r="N3382" s="213" t="s">
        <v>28300</v>
      </c>
      <c r="O3382" s="213" t="s">
        <v>28301</v>
      </c>
      <c r="P3382" s="213" t="s">
        <v>28302</v>
      </c>
      <c r="Q3382" s="213" t="s">
        <v>28303</v>
      </c>
      <c r="R3382" s="213" t="s">
        <v>28304</v>
      </c>
      <c r="S3382" s="213" t="s">
        <v>28305</v>
      </c>
      <c r="T3382" s="213" t="s">
        <v>28306</v>
      </c>
      <c r="U3382" s="213" t="s">
        <v>66134</v>
      </c>
    </row>
    <row r="3383" spans="1:21" x14ac:dyDescent="0.25">
      <c r="A3383" s="213" t="s">
        <v>327</v>
      </c>
      <c r="D3383" s="213" t="s">
        <v>28307</v>
      </c>
      <c r="E3383" s="213" t="s">
        <v>28308</v>
      </c>
      <c r="K3383" s="213" t="s">
        <v>65535</v>
      </c>
      <c r="L3383" s="213" t="s">
        <v>65735</v>
      </c>
      <c r="M3383" s="213" t="s">
        <v>65935</v>
      </c>
      <c r="N3383" s="213" t="s">
        <v>28309</v>
      </c>
      <c r="O3383" s="213" t="s">
        <v>28310</v>
      </c>
      <c r="P3383" s="213" t="s">
        <v>28311</v>
      </c>
      <c r="Q3383" s="213" t="s">
        <v>28312</v>
      </c>
      <c r="R3383" s="213" t="s">
        <v>28313</v>
      </c>
      <c r="S3383" s="213" t="s">
        <v>28314</v>
      </c>
      <c r="T3383" s="213" t="s">
        <v>28315</v>
      </c>
      <c r="U3383" s="213" t="s">
        <v>66135</v>
      </c>
    </row>
    <row r="3384" spans="1:21" x14ac:dyDescent="0.25">
      <c r="A3384" s="213" t="s">
        <v>327</v>
      </c>
      <c r="D3384" s="213" t="s">
        <v>28316</v>
      </c>
      <c r="E3384" s="213" t="s">
        <v>28317</v>
      </c>
      <c r="K3384" s="213" t="s">
        <v>65536</v>
      </c>
      <c r="L3384" s="213" t="s">
        <v>65736</v>
      </c>
      <c r="M3384" s="213" t="s">
        <v>65936</v>
      </c>
      <c r="N3384" s="213" t="s">
        <v>28318</v>
      </c>
      <c r="O3384" s="213" t="s">
        <v>28319</v>
      </c>
      <c r="P3384" s="213" t="s">
        <v>28320</v>
      </c>
      <c r="Q3384" s="213" t="s">
        <v>28321</v>
      </c>
      <c r="R3384" s="213" t="s">
        <v>28322</v>
      </c>
      <c r="S3384" s="213" t="s">
        <v>28323</v>
      </c>
      <c r="T3384" s="213" t="s">
        <v>28324</v>
      </c>
      <c r="U3384" s="213" t="s">
        <v>66136</v>
      </c>
    </row>
    <row r="3385" spans="1:21" x14ac:dyDescent="0.25">
      <c r="A3385" s="213" t="s">
        <v>327</v>
      </c>
      <c r="D3385" s="213" t="s">
        <v>28325</v>
      </c>
      <c r="E3385" s="213" t="s">
        <v>28326</v>
      </c>
      <c r="K3385" s="213" t="s">
        <v>65537</v>
      </c>
      <c r="L3385" s="213" t="s">
        <v>65737</v>
      </c>
      <c r="M3385" s="213" t="s">
        <v>65937</v>
      </c>
      <c r="N3385" s="213" t="s">
        <v>28327</v>
      </c>
      <c r="O3385" s="213" t="s">
        <v>28328</v>
      </c>
      <c r="P3385" s="213" t="s">
        <v>28329</v>
      </c>
      <c r="Q3385" s="213" t="s">
        <v>28330</v>
      </c>
      <c r="R3385" s="213" t="s">
        <v>28331</v>
      </c>
      <c r="S3385" s="213" t="s">
        <v>28332</v>
      </c>
      <c r="T3385" s="213" t="s">
        <v>28333</v>
      </c>
      <c r="U3385" s="213" t="s">
        <v>66137</v>
      </c>
    </row>
    <row r="3386" spans="1:21" x14ac:dyDescent="0.25">
      <c r="A3386" s="213" t="s">
        <v>327</v>
      </c>
      <c r="D3386" s="213" t="s">
        <v>28334</v>
      </c>
      <c r="E3386" s="213" t="s">
        <v>28335</v>
      </c>
      <c r="K3386" s="213" t="s">
        <v>65538</v>
      </c>
      <c r="L3386" s="213" t="s">
        <v>65738</v>
      </c>
      <c r="M3386" s="213" t="s">
        <v>65938</v>
      </c>
      <c r="N3386" s="213" t="s">
        <v>28336</v>
      </c>
      <c r="O3386" s="213" t="s">
        <v>28337</v>
      </c>
      <c r="P3386" s="213" t="s">
        <v>28338</v>
      </c>
      <c r="Q3386" s="213" t="s">
        <v>28339</v>
      </c>
      <c r="R3386" s="213" t="s">
        <v>28340</v>
      </c>
      <c r="S3386" s="213" t="s">
        <v>28341</v>
      </c>
      <c r="T3386" s="213" t="s">
        <v>28342</v>
      </c>
      <c r="U3386" s="213" t="s">
        <v>66138</v>
      </c>
    </row>
    <row r="3387" spans="1:21" x14ac:dyDescent="0.25">
      <c r="A3387" s="213" t="s">
        <v>327</v>
      </c>
      <c r="D3387" s="213" t="s">
        <v>28343</v>
      </c>
      <c r="E3387" s="213" t="s">
        <v>28344</v>
      </c>
      <c r="K3387" s="213" t="s">
        <v>65539</v>
      </c>
      <c r="L3387" s="213" t="s">
        <v>65739</v>
      </c>
      <c r="M3387" s="213" t="s">
        <v>65939</v>
      </c>
      <c r="N3387" s="213" t="s">
        <v>28345</v>
      </c>
      <c r="O3387" s="213" t="s">
        <v>28346</v>
      </c>
      <c r="P3387" s="213" t="s">
        <v>28347</v>
      </c>
      <c r="Q3387" s="213" t="s">
        <v>28348</v>
      </c>
      <c r="R3387" s="213" t="s">
        <v>28349</v>
      </c>
      <c r="S3387" s="213" t="s">
        <v>28350</v>
      </c>
      <c r="T3387" s="213" t="s">
        <v>28351</v>
      </c>
      <c r="U3387" s="213" t="s">
        <v>66139</v>
      </c>
    </row>
    <row r="3388" spans="1:21" x14ac:dyDescent="0.25">
      <c r="A3388" s="213" t="s">
        <v>327</v>
      </c>
      <c r="D3388" s="213" t="s">
        <v>28352</v>
      </c>
      <c r="E3388" s="213" t="s">
        <v>28353</v>
      </c>
      <c r="K3388" s="213" t="s">
        <v>65540</v>
      </c>
      <c r="L3388" s="213" t="s">
        <v>65740</v>
      </c>
      <c r="M3388" s="213" t="s">
        <v>65940</v>
      </c>
      <c r="N3388" s="213" t="s">
        <v>28354</v>
      </c>
      <c r="O3388" s="213" t="s">
        <v>28355</v>
      </c>
      <c r="P3388" s="213" t="s">
        <v>28356</v>
      </c>
      <c r="Q3388" s="213" t="s">
        <v>28357</v>
      </c>
      <c r="R3388" s="213" t="s">
        <v>28358</v>
      </c>
      <c r="S3388" s="213" t="s">
        <v>28359</v>
      </c>
      <c r="T3388" s="213" t="s">
        <v>28360</v>
      </c>
      <c r="U3388" s="213" t="s">
        <v>66140</v>
      </c>
    </row>
    <row r="3389" spans="1:21" x14ac:dyDescent="0.25">
      <c r="A3389" s="213" t="s">
        <v>327</v>
      </c>
      <c r="D3389" s="213" t="s">
        <v>28361</v>
      </c>
      <c r="E3389" s="213" t="s">
        <v>28362</v>
      </c>
      <c r="K3389" s="213" t="s">
        <v>65541</v>
      </c>
      <c r="L3389" s="213" t="s">
        <v>65741</v>
      </c>
      <c r="M3389" s="213" t="s">
        <v>65941</v>
      </c>
      <c r="N3389" s="213" t="s">
        <v>28363</v>
      </c>
      <c r="O3389" s="213" t="s">
        <v>28364</v>
      </c>
      <c r="P3389" s="213" t="s">
        <v>28365</v>
      </c>
      <c r="Q3389" s="213" t="s">
        <v>28366</v>
      </c>
      <c r="R3389" s="213" t="s">
        <v>28367</v>
      </c>
      <c r="S3389" s="213" t="s">
        <v>28368</v>
      </c>
      <c r="T3389" s="213" t="s">
        <v>28369</v>
      </c>
      <c r="U3389" s="213" t="s">
        <v>66141</v>
      </c>
    </row>
    <row r="3390" spans="1:21" x14ac:dyDescent="0.25">
      <c r="A3390" s="213" t="s">
        <v>327</v>
      </c>
      <c r="D3390" s="213" t="s">
        <v>28370</v>
      </c>
      <c r="E3390" s="213" t="s">
        <v>28371</v>
      </c>
      <c r="K3390" s="213" t="s">
        <v>65542</v>
      </c>
      <c r="L3390" s="213" t="s">
        <v>65742</v>
      </c>
      <c r="M3390" s="213" t="s">
        <v>65942</v>
      </c>
      <c r="N3390" s="213" t="s">
        <v>28372</v>
      </c>
      <c r="O3390" s="213" t="s">
        <v>28373</v>
      </c>
      <c r="P3390" s="213" t="s">
        <v>28374</v>
      </c>
      <c r="Q3390" s="213" t="s">
        <v>28375</v>
      </c>
      <c r="R3390" s="213" t="s">
        <v>28376</v>
      </c>
      <c r="S3390" s="213" t="s">
        <v>28377</v>
      </c>
      <c r="T3390" s="213" t="s">
        <v>28378</v>
      </c>
      <c r="U3390" s="213" t="s">
        <v>66142</v>
      </c>
    </row>
    <row r="3391" spans="1:21" x14ac:dyDescent="0.25">
      <c r="A3391" s="213" t="s">
        <v>327</v>
      </c>
      <c r="D3391" s="213" t="s">
        <v>28379</v>
      </c>
      <c r="E3391" s="213" t="s">
        <v>28380</v>
      </c>
      <c r="K3391" s="213" t="s">
        <v>65543</v>
      </c>
      <c r="L3391" s="213" t="s">
        <v>65743</v>
      </c>
      <c r="M3391" s="213" t="s">
        <v>65943</v>
      </c>
      <c r="N3391" s="213" t="s">
        <v>28381</v>
      </c>
      <c r="O3391" s="213" t="s">
        <v>28382</v>
      </c>
      <c r="P3391" s="213" t="s">
        <v>28383</v>
      </c>
      <c r="Q3391" s="213" t="s">
        <v>28384</v>
      </c>
      <c r="R3391" s="213" t="s">
        <v>28385</v>
      </c>
      <c r="S3391" s="213" t="s">
        <v>28386</v>
      </c>
      <c r="T3391" s="213" t="s">
        <v>28387</v>
      </c>
      <c r="U3391" s="213" t="s">
        <v>66143</v>
      </c>
    </row>
    <row r="3392" spans="1:21" x14ac:dyDescent="0.25">
      <c r="A3392" s="213" t="s">
        <v>327</v>
      </c>
      <c r="D3392" s="213" t="s">
        <v>28388</v>
      </c>
      <c r="E3392" s="213" t="s">
        <v>28389</v>
      </c>
      <c r="K3392" s="213" t="s">
        <v>65544</v>
      </c>
      <c r="L3392" s="213" t="s">
        <v>65744</v>
      </c>
      <c r="M3392" s="213" t="s">
        <v>65944</v>
      </c>
      <c r="N3392" s="213" t="s">
        <v>28390</v>
      </c>
      <c r="O3392" s="213" t="s">
        <v>28391</v>
      </c>
      <c r="P3392" s="213" t="s">
        <v>28392</v>
      </c>
      <c r="Q3392" s="213" t="s">
        <v>28393</v>
      </c>
      <c r="R3392" s="213" t="s">
        <v>28394</v>
      </c>
      <c r="S3392" s="213" t="s">
        <v>28395</v>
      </c>
      <c r="T3392" s="213" t="s">
        <v>28396</v>
      </c>
      <c r="U3392" s="213" t="s">
        <v>66144</v>
      </c>
    </row>
    <row r="3393" spans="1:21" x14ac:dyDescent="0.25">
      <c r="A3393" s="213" t="s">
        <v>327</v>
      </c>
      <c r="D3393" s="213" t="s">
        <v>28397</v>
      </c>
      <c r="E3393" s="213" t="s">
        <v>28398</v>
      </c>
      <c r="K3393" s="213" t="s">
        <v>65545</v>
      </c>
      <c r="L3393" s="213" t="s">
        <v>65745</v>
      </c>
      <c r="M3393" s="213" t="s">
        <v>65945</v>
      </c>
      <c r="N3393" s="213" t="s">
        <v>28399</v>
      </c>
      <c r="O3393" s="213" t="s">
        <v>28400</v>
      </c>
      <c r="P3393" s="213" t="s">
        <v>28401</v>
      </c>
      <c r="Q3393" s="213" t="s">
        <v>28402</v>
      </c>
      <c r="R3393" s="213" t="s">
        <v>28403</v>
      </c>
      <c r="S3393" s="213" t="s">
        <v>28404</v>
      </c>
      <c r="T3393" s="213" t="s">
        <v>28405</v>
      </c>
      <c r="U3393" s="213" t="s">
        <v>66145</v>
      </c>
    </row>
    <row r="3394" spans="1:21" x14ac:dyDescent="0.25">
      <c r="A3394" s="213" t="s">
        <v>327</v>
      </c>
      <c r="D3394" s="213" t="s">
        <v>28406</v>
      </c>
      <c r="E3394" s="213" t="s">
        <v>28407</v>
      </c>
      <c r="K3394" s="213" t="s">
        <v>65546</v>
      </c>
      <c r="L3394" s="213" t="s">
        <v>65746</v>
      </c>
      <c r="M3394" s="213" t="s">
        <v>65946</v>
      </c>
      <c r="N3394" s="213" t="s">
        <v>28408</v>
      </c>
      <c r="O3394" s="213" t="s">
        <v>28409</v>
      </c>
      <c r="P3394" s="213" t="s">
        <v>28410</v>
      </c>
      <c r="Q3394" s="213" t="s">
        <v>28411</v>
      </c>
      <c r="R3394" s="213" t="s">
        <v>28412</v>
      </c>
      <c r="S3394" s="213" t="s">
        <v>28413</v>
      </c>
      <c r="T3394" s="213" t="s">
        <v>28414</v>
      </c>
      <c r="U3394" s="213" t="s">
        <v>66146</v>
      </c>
    </row>
    <row r="3395" spans="1:21" x14ac:dyDescent="0.25">
      <c r="A3395" s="213" t="s">
        <v>327</v>
      </c>
      <c r="D3395" s="213" t="s">
        <v>28415</v>
      </c>
      <c r="E3395" s="213" t="s">
        <v>28416</v>
      </c>
      <c r="K3395" s="213" t="s">
        <v>65547</v>
      </c>
      <c r="L3395" s="213" t="s">
        <v>65747</v>
      </c>
      <c r="M3395" s="213" t="s">
        <v>65947</v>
      </c>
      <c r="N3395" s="213" t="s">
        <v>28417</v>
      </c>
      <c r="O3395" s="213" t="s">
        <v>28418</v>
      </c>
      <c r="P3395" s="213" t="s">
        <v>28419</v>
      </c>
      <c r="Q3395" s="213" t="s">
        <v>28420</v>
      </c>
      <c r="R3395" s="213" t="s">
        <v>28421</v>
      </c>
      <c r="S3395" s="213" t="s">
        <v>28422</v>
      </c>
      <c r="T3395" s="213" t="s">
        <v>28423</v>
      </c>
      <c r="U3395" s="213" t="s">
        <v>66147</v>
      </c>
    </row>
    <row r="3396" spans="1:21" x14ac:dyDescent="0.25">
      <c r="A3396" s="213" t="s">
        <v>327</v>
      </c>
      <c r="D3396" s="213" t="s">
        <v>28424</v>
      </c>
      <c r="E3396" s="213" t="s">
        <v>28425</v>
      </c>
      <c r="K3396" s="213" t="s">
        <v>65548</v>
      </c>
      <c r="L3396" s="213" t="s">
        <v>65748</v>
      </c>
      <c r="M3396" s="213" t="s">
        <v>65948</v>
      </c>
      <c r="N3396" s="213" t="s">
        <v>28426</v>
      </c>
      <c r="O3396" s="213" t="s">
        <v>28427</v>
      </c>
      <c r="P3396" s="213" t="s">
        <v>28428</v>
      </c>
      <c r="Q3396" s="213" t="s">
        <v>28429</v>
      </c>
      <c r="R3396" s="213" t="s">
        <v>28430</v>
      </c>
      <c r="S3396" s="213" t="s">
        <v>28431</v>
      </c>
      <c r="T3396" s="213" t="s">
        <v>28432</v>
      </c>
      <c r="U3396" s="213" t="s">
        <v>66148</v>
      </c>
    </row>
    <row r="3397" spans="1:21" x14ac:dyDescent="0.25">
      <c r="A3397" s="213" t="s">
        <v>327</v>
      </c>
      <c r="D3397" s="213" t="s">
        <v>28433</v>
      </c>
      <c r="E3397" s="213" t="s">
        <v>28434</v>
      </c>
      <c r="K3397" s="213" t="s">
        <v>65549</v>
      </c>
      <c r="L3397" s="213" t="s">
        <v>65749</v>
      </c>
      <c r="M3397" s="213" t="s">
        <v>65949</v>
      </c>
      <c r="N3397" s="213" t="s">
        <v>28435</v>
      </c>
      <c r="O3397" s="213" t="s">
        <v>28436</v>
      </c>
      <c r="P3397" s="213" t="s">
        <v>28437</v>
      </c>
      <c r="Q3397" s="213" t="s">
        <v>28438</v>
      </c>
      <c r="R3397" s="213" t="s">
        <v>28439</v>
      </c>
      <c r="S3397" s="213" t="s">
        <v>28440</v>
      </c>
      <c r="T3397" s="213" t="s">
        <v>28441</v>
      </c>
      <c r="U3397" s="213" t="s">
        <v>66149</v>
      </c>
    </row>
    <row r="3398" spans="1:21" x14ac:dyDescent="0.25">
      <c r="A3398" s="213" t="s">
        <v>327</v>
      </c>
      <c r="D3398" s="213" t="s">
        <v>28442</v>
      </c>
      <c r="E3398" s="213" t="s">
        <v>28443</v>
      </c>
      <c r="K3398" s="213" t="s">
        <v>65550</v>
      </c>
      <c r="L3398" s="213" t="s">
        <v>65750</v>
      </c>
      <c r="M3398" s="213" t="s">
        <v>65950</v>
      </c>
      <c r="N3398" s="213" t="s">
        <v>28444</v>
      </c>
      <c r="O3398" s="213" t="s">
        <v>28445</v>
      </c>
      <c r="P3398" s="213" t="s">
        <v>28446</v>
      </c>
      <c r="Q3398" s="213" t="s">
        <v>28447</v>
      </c>
      <c r="R3398" s="213" t="s">
        <v>28448</v>
      </c>
      <c r="S3398" s="213" t="s">
        <v>28449</v>
      </c>
      <c r="T3398" s="213" t="s">
        <v>28450</v>
      </c>
      <c r="U3398" s="213" t="s">
        <v>66150</v>
      </c>
    </row>
    <row r="3399" spans="1:21" x14ac:dyDescent="0.25">
      <c r="A3399" s="213" t="s">
        <v>327</v>
      </c>
      <c r="D3399" s="213" t="s">
        <v>28451</v>
      </c>
      <c r="E3399" s="213" t="s">
        <v>28452</v>
      </c>
      <c r="K3399" s="213" t="s">
        <v>65551</v>
      </c>
      <c r="L3399" s="213" t="s">
        <v>65751</v>
      </c>
      <c r="M3399" s="213" t="s">
        <v>65951</v>
      </c>
      <c r="N3399" s="213" t="s">
        <v>28453</v>
      </c>
      <c r="O3399" s="213" t="s">
        <v>28454</v>
      </c>
      <c r="P3399" s="213" t="s">
        <v>28455</v>
      </c>
      <c r="Q3399" s="213" t="s">
        <v>28456</v>
      </c>
      <c r="R3399" s="213" t="s">
        <v>28457</v>
      </c>
      <c r="S3399" s="213" t="s">
        <v>28458</v>
      </c>
      <c r="T3399" s="213" t="s">
        <v>28459</v>
      </c>
      <c r="U3399" s="213" t="s">
        <v>66151</v>
      </c>
    </row>
    <row r="3400" spans="1:21" x14ac:dyDescent="0.25">
      <c r="A3400" s="213" t="s">
        <v>327</v>
      </c>
      <c r="D3400" s="213" t="s">
        <v>28460</v>
      </c>
      <c r="E3400" s="213" t="s">
        <v>28461</v>
      </c>
      <c r="K3400" s="213" t="s">
        <v>65552</v>
      </c>
      <c r="L3400" s="213" t="s">
        <v>65752</v>
      </c>
      <c r="M3400" s="213" t="s">
        <v>65952</v>
      </c>
      <c r="N3400" s="213" t="s">
        <v>28462</v>
      </c>
      <c r="O3400" s="213" t="s">
        <v>28463</v>
      </c>
      <c r="P3400" s="213" t="s">
        <v>28464</v>
      </c>
      <c r="Q3400" s="213" t="s">
        <v>28465</v>
      </c>
      <c r="R3400" s="213" t="s">
        <v>28466</v>
      </c>
      <c r="S3400" s="213" t="s">
        <v>28467</v>
      </c>
      <c r="T3400" s="213" t="s">
        <v>28468</v>
      </c>
      <c r="U3400" s="213" t="s">
        <v>66152</v>
      </c>
    </row>
    <row r="3401" spans="1:21" x14ac:dyDescent="0.25">
      <c r="A3401" s="213" t="s">
        <v>327</v>
      </c>
      <c r="D3401" s="213" t="s">
        <v>28469</v>
      </c>
      <c r="E3401" s="213" t="s">
        <v>28470</v>
      </c>
      <c r="K3401" s="213" t="s">
        <v>65553</v>
      </c>
      <c r="L3401" s="213" t="s">
        <v>65753</v>
      </c>
      <c r="M3401" s="213" t="s">
        <v>65953</v>
      </c>
      <c r="N3401" s="213" t="s">
        <v>28471</v>
      </c>
      <c r="O3401" s="213" t="s">
        <v>28472</v>
      </c>
      <c r="P3401" s="213" t="s">
        <v>28473</v>
      </c>
      <c r="Q3401" s="213" t="s">
        <v>28474</v>
      </c>
      <c r="R3401" s="213" t="s">
        <v>28475</v>
      </c>
      <c r="S3401" s="213" t="s">
        <v>28476</v>
      </c>
      <c r="T3401" s="213" t="s">
        <v>28477</v>
      </c>
      <c r="U3401" s="213" t="s">
        <v>66153</v>
      </c>
    </row>
    <row r="3402" spans="1:21" x14ac:dyDescent="0.25">
      <c r="A3402" s="213" t="s">
        <v>327</v>
      </c>
      <c r="D3402" s="213" t="s">
        <v>28478</v>
      </c>
      <c r="E3402" s="213" t="s">
        <v>28479</v>
      </c>
      <c r="K3402" s="213" t="s">
        <v>65554</v>
      </c>
      <c r="L3402" s="213" t="s">
        <v>65754</v>
      </c>
      <c r="M3402" s="213" t="s">
        <v>65954</v>
      </c>
      <c r="N3402" s="213" t="s">
        <v>28480</v>
      </c>
      <c r="O3402" s="213" t="s">
        <v>28481</v>
      </c>
      <c r="P3402" s="213" t="s">
        <v>28482</v>
      </c>
      <c r="Q3402" s="213" t="s">
        <v>28483</v>
      </c>
      <c r="R3402" s="213" t="s">
        <v>28484</v>
      </c>
      <c r="S3402" s="213" t="s">
        <v>28485</v>
      </c>
      <c r="T3402" s="213" t="s">
        <v>28486</v>
      </c>
      <c r="U3402" s="213" t="s">
        <v>66154</v>
      </c>
    </row>
    <row r="3403" spans="1:21" x14ac:dyDescent="0.25">
      <c r="A3403" s="213" t="s">
        <v>327</v>
      </c>
      <c r="D3403" s="213" t="s">
        <v>28487</v>
      </c>
      <c r="E3403" s="213" t="s">
        <v>28488</v>
      </c>
      <c r="K3403" s="213" t="s">
        <v>65555</v>
      </c>
      <c r="L3403" s="213" t="s">
        <v>65755</v>
      </c>
      <c r="M3403" s="213" t="s">
        <v>65955</v>
      </c>
      <c r="N3403" s="213" t="s">
        <v>28489</v>
      </c>
      <c r="O3403" s="213" t="s">
        <v>28490</v>
      </c>
      <c r="P3403" s="213" t="s">
        <v>28491</v>
      </c>
      <c r="Q3403" s="213" t="s">
        <v>28492</v>
      </c>
      <c r="R3403" s="213" t="s">
        <v>28493</v>
      </c>
      <c r="S3403" s="213" t="s">
        <v>28494</v>
      </c>
      <c r="T3403" s="213" t="s">
        <v>28495</v>
      </c>
      <c r="U3403" s="213" t="s">
        <v>66155</v>
      </c>
    </row>
    <row r="3404" spans="1:21" x14ac:dyDescent="0.25">
      <c r="A3404" s="213" t="s">
        <v>327</v>
      </c>
      <c r="D3404" s="213" t="s">
        <v>28496</v>
      </c>
      <c r="E3404" s="213" t="s">
        <v>28497</v>
      </c>
      <c r="K3404" s="213" t="s">
        <v>65556</v>
      </c>
      <c r="L3404" s="213" t="s">
        <v>65756</v>
      </c>
      <c r="M3404" s="213" t="s">
        <v>65956</v>
      </c>
      <c r="N3404" s="213" t="s">
        <v>28498</v>
      </c>
      <c r="O3404" s="213" t="s">
        <v>28499</v>
      </c>
      <c r="P3404" s="213" t="s">
        <v>28500</v>
      </c>
      <c r="Q3404" s="213" t="s">
        <v>28501</v>
      </c>
      <c r="R3404" s="213" t="s">
        <v>28502</v>
      </c>
      <c r="S3404" s="213" t="s">
        <v>28503</v>
      </c>
      <c r="T3404" s="213" t="s">
        <v>28504</v>
      </c>
      <c r="U3404" s="213" t="s">
        <v>66156</v>
      </c>
    </row>
    <row r="3405" spans="1:21" x14ac:dyDescent="0.25">
      <c r="A3405" s="213" t="s">
        <v>327</v>
      </c>
      <c r="D3405" s="213" t="s">
        <v>28505</v>
      </c>
      <c r="E3405" s="213" t="s">
        <v>28506</v>
      </c>
      <c r="K3405" s="213" t="s">
        <v>65557</v>
      </c>
      <c r="L3405" s="213" t="s">
        <v>65757</v>
      </c>
      <c r="M3405" s="213" t="s">
        <v>65957</v>
      </c>
      <c r="N3405" s="213" t="s">
        <v>28507</v>
      </c>
      <c r="O3405" s="213" t="s">
        <v>28508</v>
      </c>
      <c r="P3405" s="213" t="s">
        <v>28509</v>
      </c>
      <c r="Q3405" s="213" t="s">
        <v>28510</v>
      </c>
      <c r="R3405" s="213" t="s">
        <v>28511</v>
      </c>
      <c r="S3405" s="213" t="s">
        <v>28512</v>
      </c>
      <c r="T3405" s="213" t="s">
        <v>28513</v>
      </c>
      <c r="U3405" s="213" t="s">
        <v>66157</v>
      </c>
    </row>
    <row r="3406" spans="1:21" x14ac:dyDescent="0.25">
      <c r="A3406" s="213" t="s">
        <v>327</v>
      </c>
      <c r="D3406" s="213" t="s">
        <v>28514</v>
      </c>
      <c r="E3406" s="213" t="s">
        <v>28515</v>
      </c>
      <c r="K3406" s="213" t="s">
        <v>65558</v>
      </c>
      <c r="L3406" s="213" t="s">
        <v>65758</v>
      </c>
      <c r="M3406" s="213" t="s">
        <v>65958</v>
      </c>
      <c r="N3406" s="213" t="s">
        <v>28516</v>
      </c>
      <c r="O3406" s="213" t="s">
        <v>28517</v>
      </c>
      <c r="P3406" s="213" t="s">
        <v>28518</v>
      </c>
      <c r="Q3406" s="213" t="s">
        <v>28519</v>
      </c>
      <c r="R3406" s="213" t="s">
        <v>28520</v>
      </c>
      <c r="S3406" s="213" t="s">
        <v>28521</v>
      </c>
      <c r="T3406" s="213" t="s">
        <v>28522</v>
      </c>
      <c r="U3406" s="213" t="s">
        <v>66158</v>
      </c>
    </row>
    <row r="3407" spans="1:21" x14ac:dyDescent="0.25">
      <c r="A3407" s="213" t="s">
        <v>327</v>
      </c>
      <c r="D3407" s="213" t="s">
        <v>28523</v>
      </c>
      <c r="E3407" s="213" t="s">
        <v>28524</v>
      </c>
      <c r="K3407" s="213" t="s">
        <v>65559</v>
      </c>
      <c r="L3407" s="213" t="s">
        <v>65759</v>
      </c>
      <c r="M3407" s="213" t="s">
        <v>65959</v>
      </c>
      <c r="N3407" s="213" t="s">
        <v>28525</v>
      </c>
      <c r="O3407" s="213" t="s">
        <v>28526</v>
      </c>
      <c r="P3407" s="213" t="s">
        <v>28527</v>
      </c>
      <c r="Q3407" s="213" t="s">
        <v>28528</v>
      </c>
      <c r="R3407" s="213" t="s">
        <v>28529</v>
      </c>
      <c r="S3407" s="213" t="s">
        <v>28530</v>
      </c>
      <c r="T3407" s="213" t="s">
        <v>28531</v>
      </c>
      <c r="U3407" s="213" t="s">
        <v>66159</v>
      </c>
    </row>
    <row r="3408" spans="1:21" x14ac:dyDescent="0.25">
      <c r="A3408" s="213" t="s">
        <v>327</v>
      </c>
      <c r="D3408" s="213" t="s">
        <v>28532</v>
      </c>
      <c r="E3408" s="213" t="s">
        <v>28533</v>
      </c>
      <c r="K3408" s="213" t="s">
        <v>65560</v>
      </c>
      <c r="L3408" s="213" t="s">
        <v>65760</v>
      </c>
      <c r="M3408" s="213" t="s">
        <v>65960</v>
      </c>
      <c r="N3408" s="213" t="s">
        <v>28534</v>
      </c>
      <c r="O3408" s="213" t="s">
        <v>28535</v>
      </c>
      <c r="P3408" s="213" t="s">
        <v>28536</v>
      </c>
      <c r="Q3408" s="213" t="s">
        <v>28537</v>
      </c>
      <c r="R3408" s="213" t="s">
        <v>28538</v>
      </c>
      <c r="S3408" s="213" t="s">
        <v>28539</v>
      </c>
      <c r="T3408" s="213" t="s">
        <v>28540</v>
      </c>
      <c r="U3408" s="213" t="s">
        <v>66160</v>
      </c>
    </row>
    <row r="3409" spans="1:21" x14ac:dyDescent="0.25">
      <c r="A3409" s="213" t="s">
        <v>327</v>
      </c>
      <c r="D3409" s="213" t="s">
        <v>28541</v>
      </c>
      <c r="E3409" s="213" t="s">
        <v>28542</v>
      </c>
      <c r="K3409" s="213" t="s">
        <v>65561</v>
      </c>
      <c r="L3409" s="213" t="s">
        <v>65761</v>
      </c>
      <c r="M3409" s="213" t="s">
        <v>65961</v>
      </c>
      <c r="N3409" s="213" t="s">
        <v>28543</v>
      </c>
      <c r="O3409" s="213" t="s">
        <v>28544</v>
      </c>
      <c r="P3409" s="213" t="s">
        <v>28545</v>
      </c>
      <c r="Q3409" s="213" t="s">
        <v>28546</v>
      </c>
      <c r="R3409" s="213" t="s">
        <v>28547</v>
      </c>
      <c r="S3409" s="213" t="s">
        <v>28548</v>
      </c>
      <c r="T3409" s="213" t="s">
        <v>28549</v>
      </c>
      <c r="U3409" s="213" t="s">
        <v>66161</v>
      </c>
    </row>
    <row r="3410" spans="1:21" x14ac:dyDescent="0.25">
      <c r="A3410" s="213" t="s">
        <v>327</v>
      </c>
      <c r="D3410" s="213" t="s">
        <v>28550</v>
      </c>
      <c r="E3410" s="213" t="s">
        <v>28551</v>
      </c>
      <c r="K3410" s="213" t="s">
        <v>65562</v>
      </c>
      <c r="L3410" s="213" t="s">
        <v>65762</v>
      </c>
      <c r="M3410" s="213" t="s">
        <v>65962</v>
      </c>
      <c r="N3410" s="213" t="s">
        <v>28552</v>
      </c>
      <c r="O3410" s="213" t="s">
        <v>28553</v>
      </c>
      <c r="P3410" s="213" t="s">
        <v>28554</v>
      </c>
      <c r="Q3410" s="213" t="s">
        <v>28555</v>
      </c>
      <c r="R3410" s="213" t="s">
        <v>28556</v>
      </c>
      <c r="S3410" s="213" t="s">
        <v>28557</v>
      </c>
      <c r="T3410" s="213" t="s">
        <v>28558</v>
      </c>
      <c r="U3410" s="213" t="s">
        <v>66162</v>
      </c>
    </row>
    <row r="3411" spans="1:21" x14ac:dyDescent="0.25">
      <c r="A3411" s="213" t="s">
        <v>327</v>
      </c>
      <c r="D3411" s="213" t="s">
        <v>28559</v>
      </c>
      <c r="E3411" s="213" t="s">
        <v>28560</v>
      </c>
      <c r="K3411" s="213" t="s">
        <v>65563</v>
      </c>
      <c r="L3411" s="213" t="s">
        <v>65763</v>
      </c>
      <c r="M3411" s="213" t="s">
        <v>65963</v>
      </c>
      <c r="N3411" s="213" t="s">
        <v>28561</v>
      </c>
      <c r="O3411" s="213" t="s">
        <v>28562</v>
      </c>
      <c r="P3411" s="213" t="s">
        <v>28563</v>
      </c>
      <c r="Q3411" s="213" t="s">
        <v>28564</v>
      </c>
      <c r="R3411" s="213" t="s">
        <v>28565</v>
      </c>
      <c r="S3411" s="213" t="s">
        <v>28566</v>
      </c>
      <c r="T3411" s="213" t="s">
        <v>28567</v>
      </c>
      <c r="U3411" s="213" t="s">
        <v>66163</v>
      </c>
    </row>
    <row r="3412" spans="1:21" x14ac:dyDescent="0.25">
      <c r="A3412" s="213" t="s">
        <v>327</v>
      </c>
      <c r="D3412" s="213" t="s">
        <v>28568</v>
      </c>
      <c r="E3412" s="213" t="s">
        <v>28569</v>
      </c>
      <c r="K3412" s="213" t="s">
        <v>65564</v>
      </c>
      <c r="L3412" s="213" t="s">
        <v>65764</v>
      </c>
      <c r="M3412" s="213" t="s">
        <v>65964</v>
      </c>
      <c r="N3412" s="213" t="s">
        <v>28570</v>
      </c>
      <c r="O3412" s="213" t="s">
        <v>28571</v>
      </c>
      <c r="P3412" s="213" t="s">
        <v>28572</v>
      </c>
      <c r="Q3412" s="213" t="s">
        <v>28573</v>
      </c>
      <c r="R3412" s="213" t="s">
        <v>28574</v>
      </c>
      <c r="S3412" s="213" t="s">
        <v>28575</v>
      </c>
      <c r="T3412" s="213" t="s">
        <v>28576</v>
      </c>
      <c r="U3412" s="213" t="s">
        <v>66164</v>
      </c>
    </row>
    <row r="3413" spans="1:21" x14ac:dyDescent="0.25">
      <c r="A3413" s="213" t="s">
        <v>327</v>
      </c>
      <c r="D3413" s="213" t="s">
        <v>28577</v>
      </c>
      <c r="E3413" s="213" t="s">
        <v>28578</v>
      </c>
      <c r="K3413" s="213" t="s">
        <v>65565</v>
      </c>
      <c r="L3413" s="213" t="s">
        <v>65765</v>
      </c>
      <c r="M3413" s="213" t="s">
        <v>65965</v>
      </c>
      <c r="N3413" s="213" t="s">
        <v>28579</v>
      </c>
      <c r="O3413" s="213" t="s">
        <v>28580</v>
      </c>
      <c r="P3413" s="213" t="s">
        <v>28581</v>
      </c>
      <c r="Q3413" s="213" t="s">
        <v>28582</v>
      </c>
      <c r="R3413" s="213" t="s">
        <v>28583</v>
      </c>
      <c r="S3413" s="213" t="s">
        <v>28584</v>
      </c>
      <c r="T3413" s="213" t="s">
        <v>28585</v>
      </c>
      <c r="U3413" s="213" t="s">
        <v>66165</v>
      </c>
    </row>
    <row r="3414" spans="1:21" x14ac:dyDescent="0.25">
      <c r="A3414" s="213" t="s">
        <v>327</v>
      </c>
      <c r="D3414" s="213" t="s">
        <v>28586</v>
      </c>
      <c r="E3414" s="213" t="s">
        <v>28587</v>
      </c>
      <c r="K3414" s="213" t="s">
        <v>65566</v>
      </c>
      <c r="L3414" s="213" t="s">
        <v>65766</v>
      </c>
      <c r="M3414" s="213" t="s">
        <v>65966</v>
      </c>
      <c r="N3414" s="213" t="s">
        <v>28588</v>
      </c>
      <c r="O3414" s="213" t="s">
        <v>28589</v>
      </c>
      <c r="P3414" s="213" t="s">
        <v>28590</v>
      </c>
      <c r="Q3414" s="213" t="s">
        <v>28591</v>
      </c>
      <c r="R3414" s="213" t="s">
        <v>28592</v>
      </c>
      <c r="S3414" s="213" t="s">
        <v>28593</v>
      </c>
      <c r="T3414" s="213" t="s">
        <v>28594</v>
      </c>
      <c r="U3414" s="213" t="s">
        <v>66166</v>
      </c>
    </row>
    <row r="3415" spans="1:21" x14ac:dyDescent="0.25">
      <c r="A3415" s="213" t="s">
        <v>327</v>
      </c>
      <c r="D3415" s="213" t="s">
        <v>28595</v>
      </c>
      <c r="E3415" s="213" t="s">
        <v>28596</v>
      </c>
      <c r="K3415" s="213" t="s">
        <v>65567</v>
      </c>
      <c r="L3415" s="213" t="s">
        <v>65767</v>
      </c>
      <c r="M3415" s="213" t="s">
        <v>65967</v>
      </c>
      <c r="N3415" s="213" t="s">
        <v>28597</v>
      </c>
      <c r="O3415" s="213" t="s">
        <v>28598</v>
      </c>
      <c r="P3415" s="213" t="s">
        <v>28599</v>
      </c>
      <c r="Q3415" s="213" t="s">
        <v>28600</v>
      </c>
      <c r="R3415" s="213" t="s">
        <v>28601</v>
      </c>
      <c r="S3415" s="213" t="s">
        <v>28602</v>
      </c>
      <c r="T3415" s="213" t="s">
        <v>28603</v>
      </c>
      <c r="U3415" s="213" t="s">
        <v>66167</v>
      </c>
    </row>
    <row r="3416" spans="1:21" x14ac:dyDescent="0.25">
      <c r="A3416" s="213" t="s">
        <v>327</v>
      </c>
      <c r="D3416" s="213" t="s">
        <v>28604</v>
      </c>
      <c r="E3416" s="213" t="s">
        <v>28605</v>
      </c>
      <c r="K3416" s="213" t="s">
        <v>65568</v>
      </c>
      <c r="L3416" s="213" t="s">
        <v>65768</v>
      </c>
      <c r="M3416" s="213" t="s">
        <v>65968</v>
      </c>
      <c r="N3416" s="213" t="s">
        <v>28606</v>
      </c>
      <c r="O3416" s="213" t="s">
        <v>28607</v>
      </c>
      <c r="P3416" s="213" t="s">
        <v>28608</v>
      </c>
      <c r="Q3416" s="213" t="s">
        <v>28609</v>
      </c>
      <c r="R3416" s="213" t="s">
        <v>28610</v>
      </c>
      <c r="S3416" s="213" t="s">
        <v>28611</v>
      </c>
      <c r="T3416" s="213" t="s">
        <v>28612</v>
      </c>
      <c r="U3416" s="213" t="s">
        <v>66168</v>
      </c>
    </row>
    <row r="3417" spans="1:21" x14ac:dyDescent="0.25">
      <c r="A3417" s="213" t="s">
        <v>327</v>
      </c>
      <c r="D3417" s="213" t="s">
        <v>28613</v>
      </c>
      <c r="E3417" s="213" t="s">
        <v>28614</v>
      </c>
      <c r="K3417" s="213" t="s">
        <v>65569</v>
      </c>
      <c r="L3417" s="213" t="s">
        <v>65769</v>
      </c>
      <c r="M3417" s="213" t="s">
        <v>65969</v>
      </c>
      <c r="N3417" s="213" t="s">
        <v>28615</v>
      </c>
      <c r="O3417" s="213" t="s">
        <v>28616</v>
      </c>
      <c r="P3417" s="213" t="s">
        <v>28617</v>
      </c>
      <c r="Q3417" s="213" t="s">
        <v>28618</v>
      </c>
      <c r="R3417" s="213" t="s">
        <v>28619</v>
      </c>
      <c r="S3417" s="213" t="s">
        <v>28620</v>
      </c>
      <c r="T3417" s="213" t="s">
        <v>28621</v>
      </c>
      <c r="U3417" s="213" t="s">
        <v>66169</v>
      </c>
    </row>
    <row r="3418" spans="1:21" x14ac:dyDescent="0.25">
      <c r="A3418" s="213" t="s">
        <v>327</v>
      </c>
      <c r="D3418" s="213" t="s">
        <v>28622</v>
      </c>
      <c r="E3418" s="213" t="s">
        <v>28623</v>
      </c>
      <c r="K3418" s="213" t="s">
        <v>65570</v>
      </c>
      <c r="L3418" s="213" t="s">
        <v>65770</v>
      </c>
      <c r="M3418" s="213" t="s">
        <v>65970</v>
      </c>
      <c r="N3418" s="213" t="s">
        <v>28624</v>
      </c>
      <c r="O3418" s="213" t="s">
        <v>28625</v>
      </c>
      <c r="P3418" s="213" t="s">
        <v>28626</v>
      </c>
      <c r="Q3418" s="213" t="s">
        <v>28627</v>
      </c>
      <c r="R3418" s="213" t="s">
        <v>28628</v>
      </c>
      <c r="S3418" s="213" t="s">
        <v>28629</v>
      </c>
      <c r="T3418" s="213" t="s">
        <v>28630</v>
      </c>
      <c r="U3418" s="213" t="s">
        <v>66170</v>
      </c>
    </row>
    <row r="3419" spans="1:21" x14ac:dyDescent="0.25">
      <c r="A3419" s="213" t="s">
        <v>327</v>
      </c>
      <c r="D3419" s="213" t="s">
        <v>28631</v>
      </c>
      <c r="E3419" s="213" t="s">
        <v>28632</v>
      </c>
      <c r="K3419" s="213" t="s">
        <v>65571</v>
      </c>
      <c r="L3419" s="213" t="s">
        <v>65771</v>
      </c>
      <c r="M3419" s="213" t="s">
        <v>65971</v>
      </c>
      <c r="N3419" s="213" t="s">
        <v>28633</v>
      </c>
      <c r="O3419" s="213" t="s">
        <v>28634</v>
      </c>
      <c r="P3419" s="213" t="s">
        <v>28635</v>
      </c>
      <c r="Q3419" s="213" t="s">
        <v>28636</v>
      </c>
      <c r="R3419" s="213" t="s">
        <v>28637</v>
      </c>
      <c r="S3419" s="213" t="s">
        <v>28638</v>
      </c>
      <c r="T3419" s="213" t="s">
        <v>28639</v>
      </c>
      <c r="U3419" s="213" t="s">
        <v>66171</v>
      </c>
    </row>
    <row r="3420" spans="1:21" x14ac:dyDescent="0.25">
      <c r="A3420" s="213" t="s">
        <v>327</v>
      </c>
      <c r="D3420" s="213" t="s">
        <v>28640</v>
      </c>
      <c r="E3420" s="213" t="s">
        <v>28641</v>
      </c>
      <c r="K3420" s="213" t="s">
        <v>65572</v>
      </c>
      <c r="L3420" s="213" t="s">
        <v>65772</v>
      </c>
      <c r="M3420" s="213" t="s">
        <v>65972</v>
      </c>
      <c r="N3420" s="213" t="s">
        <v>28642</v>
      </c>
      <c r="O3420" s="213" t="s">
        <v>28643</v>
      </c>
      <c r="P3420" s="213" t="s">
        <v>28644</v>
      </c>
      <c r="Q3420" s="213" t="s">
        <v>28645</v>
      </c>
      <c r="R3420" s="213" t="s">
        <v>28646</v>
      </c>
      <c r="S3420" s="213" t="s">
        <v>28647</v>
      </c>
      <c r="T3420" s="213" t="s">
        <v>28648</v>
      </c>
      <c r="U3420" s="213" t="s">
        <v>66172</v>
      </c>
    </row>
    <row r="3421" spans="1:21" x14ac:dyDescent="0.25">
      <c r="A3421" s="213" t="s">
        <v>327</v>
      </c>
      <c r="D3421" s="213" t="s">
        <v>28649</v>
      </c>
      <c r="E3421" s="213" t="s">
        <v>28650</v>
      </c>
      <c r="K3421" s="213" t="s">
        <v>65573</v>
      </c>
      <c r="L3421" s="213" t="s">
        <v>65773</v>
      </c>
      <c r="M3421" s="213" t="s">
        <v>65973</v>
      </c>
      <c r="N3421" s="213" t="s">
        <v>28651</v>
      </c>
      <c r="O3421" s="213" t="s">
        <v>28652</v>
      </c>
      <c r="P3421" s="213" t="s">
        <v>28653</v>
      </c>
      <c r="Q3421" s="213" t="s">
        <v>28654</v>
      </c>
      <c r="R3421" s="213" t="s">
        <v>28655</v>
      </c>
      <c r="S3421" s="213" t="s">
        <v>28656</v>
      </c>
      <c r="T3421" s="213" t="s">
        <v>28657</v>
      </c>
      <c r="U3421" s="213" t="s">
        <v>66173</v>
      </c>
    </row>
    <row r="3422" spans="1:21" x14ac:dyDescent="0.25">
      <c r="A3422" s="213" t="s">
        <v>327</v>
      </c>
      <c r="D3422" s="213" t="s">
        <v>28658</v>
      </c>
      <c r="E3422" s="213" t="s">
        <v>28659</v>
      </c>
      <c r="K3422" s="213" t="s">
        <v>65574</v>
      </c>
      <c r="L3422" s="213" t="s">
        <v>65774</v>
      </c>
      <c r="M3422" s="213" t="s">
        <v>65974</v>
      </c>
      <c r="N3422" s="213" t="s">
        <v>28660</v>
      </c>
      <c r="O3422" s="213" t="s">
        <v>28661</v>
      </c>
      <c r="P3422" s="213" t="s">
        <v>28662</v>
      </c>
      <c r="Q3422" s="213" t="s">
        <v>28663</v>
      </c>
      <c r="R3422" s="213" t="s">
        <v>28664</v>
      </c>
      <c r="S3422" s="213" t="s">
        <v>28665</v>
      </c>
      <c r="T3422" s="213" t="s">
        <v>28666</v>
      </c>
      <c r="U3422" s="213" t="s">
        <v>66174</v>
      </c>
    </row>
    <row r="3423" spans="1:21" x14ac:dyDescent="0.25">
      <c r="A3423" s="213" t="s">
        <v>327</v>
      </c>
      <c r="D3423" s="213" t="s">
        <v>28667</v>
      </c>
      <c r="E3423" s="213" t="s">
        <v>28668</v>
      </c>
      <c r="K3423" s="213" t="s">
        <v>65575</v>
      </c>
      <c r="L3423" s="213" t="s">
        <v>65775</v>
      </c>
      <c r="M3423" s="213" t="s">
        <v>65975</v>
      </c>
      <c r="N3423" s="213" t="s">
        <v>28669</v>
      </c>
      <c r="O3423" s="213" t="s">
        <v>28670</v>
      </c>
      <c r="P3423" s="213" t="s">
        <v>28671</v>
      </c>
      <c r="Q3423" s="213" t="s">
        <v>28672</v>
      </c>
      <c r="R3423" s="213" t="s">
        <v>28673</v>
      </c>
      <c r="S3423" s="213" t="s">
        <v>28674</v>
      </c>
      <c r="T3423" s="213" t="s">
        <v>28675</v>
      </c>
      <c r="U3423" s="213" t="s">
        <v>66175</v>
      </c>
    </row>
    <row r="3424" spans="1:21" x14ac:dyDescent="0.25">
      <c r="A3424" s="213" t="s">
        <v>327</v>
      </c>
      <c r="D3424" s="213" t="s">
        <v>28676</v>
      </c>
      <c r="E3424" s="213" t="s">
        <v>28677</v>
      </c>
      <c r="K3424" s="213" t="s">
        <v>65576</v>
      </c>
      <c r="L3424" s="213" t="s">
        <v>65776</v>
      </c>
      <c r="M3424" s="213" t="s">
        <v>65976</v>
      </c>
      <c r="N3424" s="213" t="s">
        <v>28678</v>
      </c>
      <c r="O3424" s="213" t="s">
        <v>28679</v>
      </c>
      <c r="P3424" s="213" t="s">
        <v>28680</v>
      </c>
      <c r="Q3424" s="213" t="s">
        <v>28681</v>
      </c>
      <c r="R3424" s="213" t="s">
        <v>28682</v>
      </c>
      <c r="S3424" s="213" t="s">
        <v>28683</v>
      </c>
      <c r="T3424" s="213" t="s">
        <v>28684</v>
      </c>
      <c r="U3424" s="213" t="s">
        <v>66176</v>
      </c>
    </row>
    <row r="3425" spans="1:21" x14ac:dyDescent="0.25">
      <c r="A3425" s="213" t="s">
        <v>327</v>
      </c>
      <c r="D3425" s="213" t="s">
        <v>28685</v>
      </c>
      <c r="E3425" s="213" t="s">
        <v>28686</v>
      </c>
      <c r="K3425" s="213" t="s">
        <v>65577</v>
      </c>
      <c r="L3425" s="213" t="s">
        <v>65777</v>
      </c>
      <c r="M3425" s="213" t="s">
        <v>65977</v>
      </c>
      <c r="N3425" s="213" t="s">
        <v>28687</v>
      </c>
      <c r="O3425" s="213" t="s">
        <v>28688</v>
      </c>
      <c r="P3425" s="213" t="s">
        <v>28689</v>
      </c>
      <c r="Q3425" s="213" t="s">
        <v>28690</v>
      </c>
      <c r="R3425" s="213" t="s">
        <v>28691</v>
      </c>
      <c r="S3425" s="213" t="s">
        <v>28692</v>
      </c>
      <c r="T3425" s="213" t="s">
        <v>28693</v>
      </c>
      <c r="U3425" s="213" t="s">
        <v>66177</v>
      </c>
    </row>
    <row r="3426" spans="1:21" x14ac:dyDescent="0.25">
      <c r="A3426" s="213" t="s">
        <v>327</v>
      </c>
      <c r="D3426" s="213" t="s">
        <v>28694</v>
      </c>
      <c r="E3426" s="213" t="s">
        <v>28695</v>
      </c>
      <c r="K3426" s="213" t="s">
        <v>65578</v>
      </c>
      <c r="L3426" s="213" t="s">
        <v>65778</v>
      </c>
      <c r="M3426" s="213" t="s">
        <v>65978</v>
      </c>
      <c r="N3426" s="213" t="s">
        <v>28696</v>
      </c>
      <c r="O3426" s="213" t="s">
        <v>28697</v>
      </c>
      <c r="P3426" s="213" t="s">
        <v>28698</v>
      </c>
      <c r="Q3426" s="213" t="s">
        <v>28699</v>
      </c>
      <c r="R3426" s="213" t="s">
        <v>28700</v>
      </c>
      <c r="S3426" s="213" t="s">
        <v>28701</v>
      </c>
      <c r="T3426" s="213" t="s">
        <v>28702</v>
      </c>
      <c r="U3426" s="213" t="s">
        <v>66178</v>
      </c>
    </row>
    <row r="3427" spans="1:21" x14ac:dyDescent="0.25">
      <c r="A3427" s="213" t="s">
        <v>327</v>
      </c>
      <c r="D3427" s="213" t="s">
        <v>28703</v>
      </c>
      <c r="E3427" s="213" t="s">
        <v>28704</v>
      </c>
      <c r="K3427" s="213" t="s">
        <v>65579</v>
      </c>
      <c r="L3427" s="213" t="s">
        <v>65779</v>
      </c>
      <c r="M3427" s="213" t="s">
        <v>65979</v>
      </c>
      <c r="N3427" s="213" t="s">
        <v>28705</v>
      </c>
      <c r="O3427" s="213" t="s">
        <v>28706</v>
      </c>
      <c r="P3427" s="213" t="s">
        <v>28707</v>
      </c>
      <c r="Q3427" s="213" t="s">
        <v>28708</v>
      </c>
      <c r="R3427" s="213" t="s">
        <v>28709</v>
      </c>
      <c r="S3427" s="213" t="s">
        <v>28710</v>
      </c>
      <c r="T3427" s="213" t="s">
        <v>28711</v>
      </c>
      <c r="U3427" s="213" t="s">
        <v>66179</v>
      </c>
    </row>
    <row r="3428" spans="1:21" x14ac:dyDescent="0.25">
      <c r="A3428" s="213" t="s">
        <v>327</v>
      </c>
      <c r="D3428" s="213" t="s">
        <v>28712</v>
      </c>
      <c r="E3428" s="213" t="s">
        <v>28713</v>
      </c>
      <c r="K3428" s="213" t="s">
        <v>65580</v>
      </c>
      <c r="L3428" s="213" t="s">
        <v>65780</v>
      </c>
      <c r="M3428" s="213" t="s">
        <v>65980</v>
      </c>
      <c r="N3428" s="213" t="s">
        <v>28714</v>
      </c>
      <c r="O3428" s="213" t="s">
        <v>28715</v>
      </c>
      <c r="P3428" s="213" t="s">
        <v>28716</v>
      </c>
      <c r="Q3428" s="213" t="s">
        <v>28717</v>
      </c>
      <c r="R3428" s="213" t="s">
        <v>28718</v>
      </c>
      <c r="S3428" s="213" t="s">
        <v>28719</v>
      </c>
      <c r="T3428" s="213" t="s">
        <v>28720</v>
      </c>
      <c r="U3428" s="213" t="s">
        <v>66180</v>
      </c>
    </row>
    <row r="3429" spans="1:21" x14ac:dyDescent="0.25">
      <c r="A3429" s="213" t="s">
        <v>327</v>
      </c>
      <c r="D3429" s="213" t="s">
        <v>28721</v>
      </c>
      <c r="E3429" s="213" t="s">
        <v>28722</v>
      </c>
      <c r="K3429" s="213" t="s">
        <v>65581</v>
      </c>
      <c r="L3429" s="213" t="s">
        <v>65781</v>
      </c>
      <c r="M3429" s="213" t="s">
        <v>65981</v>
      </c>
      <c r="N3429" s="213" t="s">
        <v>28723</v>
      </c>
      <c r="O3429" s="213" t="s">
        <v>28724</v>
      </c>
      <c r="P3429" s="213" t="s">
        <v>28725</v>
      </c>
      <c r="Q3429" s="213" t="s">
        <v>28726</v>
      </c>
      <c r="R3429" s="213" t="s">
        <v>28727</v>
      </c>
      <c r="S3429" s="213" t="s">
        <v>28728</v>
      </c>
      <c r="T3429" s="213" t="s">
        <v>28729</v>
      </c>
      <c r="U3429" s="213" t="s">
        <v>66181</v>
      </c>
    </row>
    <row r="3430" spans="1:21" x14ac:dyDescent="0.25">
      <c r="A3430" s="213" t="s">
        <v>327</v>
      </c>
      <c r="D3430" s="213" t="s">
        <v>28730</v>
      </c>
      <c r="E3430" s="213" t="s">
        <v>28731</v>
      </c>
      <c r="K3430" s="213" t="s">
        <v>65582</v>
      </c>
      <c r="L3430" s="213" t="s">
        <v>65782</v>
      </c>
      <c r="M3430" s="213" t="s">
        <v>65982</v>
      </c>
      <c r="N3430" s="213" t="s">
        <v>28732</v>
      </c>
      <c r="O3430" s="213" t="s">
        <v>28733</v>
      </c>
      <c r="P3430" s="213" t="s">
        <v>28734</v>
      </c>
      <c r="Q3430" s="213" t="s">
        <v>28735</v>
      </c>
      <c r="R3430" s="213" t="s">
        <v>28736</v>
      </c>
      <c r="S3430" s="213" t="s">
        <v>28737</v>
      </c>
      <c r="T3430" s="213" t="s">
        <v>28738</v>
      </c>
      <c r="U3430" s="213" t="s">
        <v>66182</v>
      </c>
    </row>
    <row r="3431" spans="1:21" x14ac:dyDescent="0.25">
      <c r="A3431" s="213" t="s">
        <v>327</v>
      </c>
      <c r="D3431" s="213" t="s">
        <v>28739</v>
      </c>
      <c r="E3431" s="213" t="s">
        <v>28740</v>
      </c>
      <c r="K3431" s="213" t="s">
        <v>65583</v>
      </c>
      <c r="L3431" s="213" t="s">
        <v>65783</v>
      </c>
      <c r="M3431" s="213" t="s">
        <v>65983</v>
      </c>
      <c r="N3431" s="213" t="s">
        <v>28741</v>
      </c>
      <c r="O3431" s="213" t="s">
        <v>28742</v>
      </c>
      <c r="P3431" s="213" t="s">
        <v>28743</v>
      </c>
      <c r="Q3431" s="213" t="s">
        <v>28744</v>
      </c>
      <c r="R3431" s="213" t="s">
        <v>28745</v>
      </c>
      <c r="S3431" s="213" t="s">
        <v>28746</v>
      </c>
      <c r="T3431" s="213" t="s">
        <v>28747</v>
      </c>
      <c r="U3431" s="213" t="s">
        <v>66183</v>
      </c>
    </row>
    <row r="3432" spans="1:21" x14ac:dyDescent="0.25">
      <c r="A3432" s="213" t="s">
        <v>327</v>
      </c>
      <c r="D3432" s="213" t="s">
        <v>28748</v>
      </c>
      <c r="E3432" s="213" t="s">
        <v>28749</v>
      </c>
      <c r="K3432" s="213" t="s">
        <v>65584</v>
      </c>
      <c r="L3432" s="213" t="s">
        <v>65784</v>
      </c>
      <c r="M3432" s="213" t="s">
        <v>65984</v>
      </c>
      <c r="N3432" s="213" t="s">
        <v>28750</v>
      </c>
      <c r="O3432" s="213" t="s">
        <v>28751</v>
      </c>
      <c r="P3432" s="213" t="s">
        <v>28752</v>
      </c>
      <c r="Q3432" s="213" t="s">
        <v>28753</v>
      </c>
      <c r="R3432" s="213" t="s">
        <v>28754</v>
      </c>
      <c r="S3432" s="213" t="s">
        <v>28755</v>
      </c>
      <c r="T3432" s="213" t="s">
        <v>28756</v>
      </c>
      <c r="U3432" s="213" t="s">
        <v>66184</v>
      </c>
    </row>
    <row r="3433" spans="1:21" x14ac:dyDescent="0.25">
      <c r="A3433" s="213" t="s">
        <v>327</v>
      </c>
      <c r="D3433" s="213" t="s">
        <v>28757</v>
      </c>
      <c r="E3433" s="213" t="s">
        <v>28758</v>
      </c>
      <c r="K3433" s="213" t="s">
        <v>65585</v>
      </c>
      <c r="L3433" s="213" t="s">
        <v>65785</v>
      </c>
      <c r="M3433" s="213" t="s">
        <v>65985</v>
      </c>
      <c r="N3433" s="213" t="s">
        <v>28759</v>
      </c>
      <c r="O3433" s="213" t="s">
        <v>28760</v>
      </c>
      <c r="P3433" s="213" t="s">
        <v>28761</v>
      </c>
      <c r="Q3433" s="213" t="s">
        <v>28762</v>
      </c>
      <c r="R3433" s="213" t="s">
        <v>28763</v>
      </c>
      <c r="S3433" s="213" t="s">
        <v>28764</v>
      </c>
      <c r="T3433" s="213" t="s">
        <v>28765</v>
      </c>
      <c r="U3433" s="213" t="s">
        <v>66185</v>
      </c>
    </row>
    <row r="3434" spans="1:21" x14ac:dyDescent="0.25">
      <c r="A3434" s="213" t="s">
        <v>327</v>
      </c>
      <c r="D3434" s="213" t="s">
        <v>28766</v>
      </c>
      <c r="E3434" s="213" t="s">
        <v>28767</v>
      </c>
      <c r="K3434" s="213" t="s">
        <v>65586</v>
      </c>
      <c r="L3434" s="213" t="s">
        <v>65786</v>
      </c>
      <c r="M3434" s="213" t="s">
        <v>65986</v>
      </c>
      <c r="N3434" s="213" t="s">
        <v>28768</v>
      </c>
      <c r="O3434" s="213" t="s">
        <v>28769</v>
      </c>
      <c r="P3434" s="213" t="s">
        <v>28770</v>
      </c>
      <c r="Q3434" s="213" t="s">
        <v>28771</v>
      </c>
      <c r="R3434" s="213" t="s">
        <v>28772</v>
      </c>
      <c r="S3434" s="213" t="s">
        <v>28773</v>
      </c>
      <c r="T3434" s="213" t="s">
        <v>28774</v>
      </c>
      <c r="U3434" s="213" t="s">
        <v>66186</v>
      </c>
    </row>
    <row r="3435" spans="1:21" x14ac:dyDescent="0.25">
      <c r="A3435" s="213" t="s">
        <v>327</v>
      </c>
      <c r="D3435" s="213" t="s">
        <v>28775</v>
      </c>
      <c r="E3435" s="213" t="s">
        <v>28776</v>
      </c>
      <c r="K3435" s="213" t="s">
        <v>65587</v>
      </c>
      <c r="L3435" s="213" t="s">
        <v>65787</v>
      </c>
      <c r="M3435" s="213" t="s">
        <v>65987</v>
      </c>
      <c r="N3435" s="213" t="s">
        <v>28777</v>
      </c>
      <c r="O3435" s="213" t="s">
        <v>28778</v>
      </c>
      <c r="P3435" s="213" t="s">
        <v>28779</v>
      </c>
      <c r="Q3435" s="213" t="s">
        <v>28780</v>
      </c>
      <c r="R3435" s="213" t="s">
        <v>28781</v>
      </c>
      <c r="S3435" s="213" t="s">
        <v>28782</v>
      </c>
      <c r="T3435" s="213" t="s">
        <v>28783</v>
      </c>
      <c r="U3435" s="213" t="s">
        <v>66187</v>
      </c>
    </row>
    <row r="3436" spans="1:21" x14ac:dyDescent="0.25">
      <c r="A3436" s="213" t="s">
        <v>327</v>
      </c>
      <c r="D3436" s="213" t="s">
        <v>28784</v>
      </c>
      <c r="E3436" s="213" t="s">
        <v>28785</v>
      </c>
      <c r="K3436" s="213" t="s">
        <v>65588</v>
      </c>
      <c r="L3436" s="213" t="s">
        <v>65788</v>
      </c>
      <c r="M3436" s="213" t="s">
        <v>65988</v>
      </c>
      <c r="N3436" s="213" t="s">
        <v>28786</v>
      </c>
      <c r="O3436" s="213" t="s">
        <v>28787</v>
      </c>
      <c r="P3436" s="213" t="s">
        <v>28788</v>
      </c>
      <c r="Q3436" s="213" t="s">
        <v>28789</v>
      </c>
      <c r="R3436" s="213" t="s">
        <v>28790</v>
      </c>
      <c r="S3436" s="213" t="s">
        <v>28791</v>
      </c>
      <c r="T3436" s="213" t="s">
        <v>28792</v>
      </c>
      <c r="U3436" s="213" t="s">
        <v>66188</v>
      </c>
    </row>
    <row r="3437" spans="1:21" x14ac:dyDescent="0.25">
      <c r="A3437" s="213" t="s">
        <v>327</v>
      </c>
      <c r="D3437" s="213" t="s">
        <v>28793</v>
      </c>
      <c r="E3437" s="213" t="s">
        <v>28794</v>
      </c>
      <c r="K3437" s="213" t="s">
        <v>65589</v>
      </c>
      <c r="L3437" s="213" t="s">
        <v>65789</v>
      </c>
      <c r="M3437" s="213" t="s">
        <v>65989</v>
      </c>
      <c r="N3437" s="213" t="s">
        <v>28795</v>
      </c>
      <c r="O3437" s="213" t="s">
        <v>28796</v>
      </c>
      <c r="P3437" s="213" t="s">
        <v>28797</v>
      </c>
      <c r="Q3437" s="213" t="s">
        <v>28798</v>
      </c>
      <c r="R3437" s="213" t="s">
        <v>28799</v>
      </c>
      <c r="S3437" s="213" t="s">
        <v>28800</v>
      </c>
      <c r="T3437" s="213" t="s">
        <v>28801</v>
      </c>
      <c r="U3437" s="213" t="s">
        <v>66189</v>
      </c>
    </row>
    <row r="3438" spans="1:21" x14ac:dyDescent="0.25">
      <c r="A3438" s="213" t="s">
        <v>327</v>
      </c>
      <c r="D3438" s="213" t="s">
        <v>28802</v>
      </c>
      <c r="E3438" s="213" t="s">
        <v>28803</v>
      </c>
      <c r="K3438" s="213" t="s">
        <v>65590</v>
      </c>
      <c r="L3438" s="213" t="s">
        <v>65790</v>
      </c>
      <c r="M3438" s="213" t="s">
        <v>65990</v>
      </c>
      <c r="N3438" s="213" t="s">
        <v>28804</v>
      </c>
      <c r="O3438" s="213" t="s">
        <v>28805</v>
      </c>
      <c r="P3438" s="213" t="s">
        <v>28806</v>
      </c>
      <c r="Q3438" s="213" t="s">
        <v>28807</v>
      </c>
      <c r="R3438" s="213" t="s">
        <v>28808</v>
      </c>
      <c r="S3438" s="213" t="s">
        <v>28809</v>
      </c>
      <c r="T3438" s="213" t="s">
        <v>28810</v>
      </c>
      <c r="U3438" s="213" t="s">
        <v>66190</v>
      </c>
    </row>
    <row r="3439" spans="1:21" x14ac:dyDescent="0.25">
      <c r="A3439" s="213" t="s">
        <v>327</v>
      </c>
      <c r="D3439" s="213" t="s">
        <v>28811</v>
      </c>
      <c r="E3439" s="213" t="s">
        <v>28812</v>
      </c>
      <c r="K3439" s="213" t="s">
        <v>65591</v>
      </c>
      <c r="L3439" s="213" t="s">
        <v>65791</v>
      </c>
      <c r="M3439" s="213" t="s">
        <v>65991</v>
      </c>
      <c r="N3439" s="213" t="s">
        <v>28813</v>
      </c>
      <c r="O3439" s="213" t="s">
        <v>28814</v>
      </c>
      <c r="P3439" s="213" t="s">
        <v>28815</v>
      </c>
      <c r="Q3439" s="213" t="s">
        <v>28816</v>
      </c>
      <c r="R3439" s="213" t="s">
        <v>28817</v>
      </c>
      <c r="S3439" s="213" t="s">
        <v>28818</v>
      </c>
      <c r="T3439" s="213" t="s">
        <v>28819</v>
      </c>
      <c r="U3439" s="213" t="s">
        <v>66191</v>
      </c>
    </row>
    <row r="3440" spans="1:21" x14ac:dyDescent="0.25">
      <c r="A3440" s="213" t="s">
        <v>327</v>
      </c>
      <c r="D3440" s="213" t="s">
        <v>28820</v>
      </c>
      <c r="E3440" s="213" t="s">
        <v>28821</v>
      </c>
      <c r="K3440" s="213" t="s">
        <v>65592</v>
      </c>
      <c r="L3440" s="213" t="s">
        <v>65792</v>
      </c>
      <c r="M3440" s="213" t="s">
        <v>65992</v>
      </c>
      <c r="N3440" s="213" t="s">
        <v>28822</v>
      </c>
      <c r="O3440" s="213" t="s">
        <v>28823</v>
      </c>
      <c r="P3440" s="213" t="s">
        <v>28824</v>
      </c>
      <c r="Q3440" s="213" t="s">
        <v>28825</v>
      </c>
      <c r="R3440" s="213" t="s">
        <v>28826</v>
      </c>
      <c r="S3440" s="213" t="s">
        <v>28827</v>
      </c>
      <c r="T3440" s="213" t="s">
        <v>28828</v>
      </c>
      <c r="U3440" s="213" t="s">
        <v>66192</v>
      </c>
    </row>
    <row r="3441" spans="1:21" x14ac:dyDescent="0.25">
      <c r="A3441" s="213" t="s">
        <v>327</v>
      </c>
      <c r="D3441" s="213" t="s">
        <v>28829</v>
      </c>
      <c r="E3441" s="213" t="s">
        <v>28830</v>
      </c>
      <c r="K3441" s="213" t="s">
        <v>65593</v>
      </c>
      <c r="L3441" s="213" t="s">
        <v>65793</v>
      </c>
      <c r="M3441" s="213" t="s">
        <v>65993</v>
      </c>
      <c r="N3441" s="213" t="s">
        <v>28831</v>
      </c>
      <c r="O3441" s="213" t="s">
        <v>28832</v>
      </c>
      <c r="P3441" s="213" t="s">
        <v>28833</v>
      </c>
      <c r="Q3441" s="213" t="s">
        <v>28834</v>
      </c>
      <c r="R3441" s="213" t="s">
        <v>28835</v>
      </c>
      <c r="S3441" s="213" t="s">
        <v>28836</v>
      </c>
      <c r="T3441" s="213" t="s">
        <v>28837</v>
      </c>
      <c r="U3441" s="213" t="s">
        <v>66193</v>
      </c>
    </row>
    <row r="3442" spans="1:21" x14ac:dyDescent="0.25">
      <c r="A3442" s="213" t="s">
        <v>327</v>
      </c>
      <c r="D3442" s="213" t="s">
        <v>28838</v>
      </c>
      <c r="E3442" s="213" t="s">
        <v>28839</v>
      </c>
      <c r="K3442" s="213" t="s">
        <v>65594</v>
      </c>
      <c r="L3442" s="213" t="s">
        <v>65794</v>
      </c>
      <c r="M3442" s="213" t="s">
        <v>65994</v>
      </c>
      <c r="N3442" s="213" t="s">
        <v>28840</v>
      </c>
      <c r="O3442" s="213" t="s">
        <v>28841</v>
      </c>
      <c r="P3442" s="213" t="s">
        <v>28842</v>
      </c>
      <c r="Q3442" s="213" t="s">
        <v>28843</v>
      </c>
      <c r="R3442" s="213" t="s">
        <v>28844</v>
      </c>
      <c r="S3442" s="213" t="s">
        <v>28845</v>
      </c>
      <c r="T3442" s="213" t="s">
        <v>28846</v>
      </c>
      <c r="U3442" s="213" t="s">
        <v>66194</v>
      </c>
    </row>
    <row r="3443" spans="1:21" x14ac:dyDescent="0.25">
      <c r="A3443" s="213" t="s">
        <v>327</v>
      </c>
      <c r="D3443" s="213" t="s">
        <v>28847</v>
      </c>
      <c r="E3443" s="213" t="s">
        <v>28848</v>
      </c>
      <c r="K3443" s="213" t="s">
        <v>65595</v>
      </c>
      <c r="L3443" s="213" t="s">
        <v>65795</v>
      </c>
      <c r="M3443" s="213" t="s">
        <v>65995</v>
      </c>
      <c r="N3443" s="213" t="s">
        <v>28849</v>
      </c>
      <c r="O3443" s="213" t="s">
        <v>28850</v>
      </c>
      <c r="P3443" s="213" t="s">
        <v>28851</v>
      </c>
      <c r="Q3443" s="213" t="s">
        <v>28852</v>
      </c>
      <c r="R3443" s="213" t="s">
        <v>28853</v>
      </c>
      <c r="S3443" s="213" t="s">
        <v>28854</v>
      </c>
      <c r="T3443" s="213" t="s">
        <v>28855</v>
      </c>
      <c r="U3443" s="213" t="s">
        <v>66195</v>
      </c>
    </row>
    <row r="3444" spans="1:21" x14ac:dyDescent="0.25">
      <c r="A3444" s="213" t="s">
        <v>327</v>
      </c>
      <c r="D3444" s="213" t="s">
        <v>28856</v>
      </c>
      <c r="E3444" s="213" t="s">
        <v>28857</v>
      </c>
      <c r="K3444" s="213" t="s">
        <v>65596</v>
      </c>
      <c r="L3444" s="213" t="s">
        <v>65796</v>
      </c>
      <c r="M3444" s="213" t="s">
        <v>65996</v>
      </c>
      <c r="N3444" s="213" t="s">
        <v>28858</v>
      </c>
      <c r="O3444" s="213" t="s">
        <v>28859</v>
      </c>
      <c r="P3444" s="213" t="s">
        <v>28860</v>
      </c>
      <c r="Q3444" s="213" t="s">
        <v>28861</v>
      </c>
      <c r="R3444" s="213" t="s">
        <v>28862</v>
      </c>
      <c r="S3444" s="213" t="s">
        <v>28863</v>
      </c>
      <c r="T3444" s="213" t="s">
        <v>28864</v>
      </c>
      <c r="U3444" s="213" t="s">
        <v>66196</v>
      </c>
    </row>
    <row r="3445" spans="1:21" x14ac:dyDescent="0.25">
      <c r="A3445" s="213" t="s">
        <v>327</v>
      </c>
      <c r="D3445" s="213" t="s">
        <v>28865</v>
      </c>
      <c r="E3445" s="213" t="s">
        <v>28866</v>
      </c>
      <c r="K3445" s="213" t="s">
        <v>65597</v>
      </c>
      <c r="L3445" s="213" t="s">
        <v>65797</v>
      </c>
      <c r="M3445" s="213" t="s">
        <v>65997</v>
      </c>
      <c r="N3445" s="213" t="s">
        <v>28867</v>
      </c>
      <c r="O3445" s="213" t="s">
        <v>28868</v>
      </c>
      <c r="P3445" s="213" t="s">
        <v>28869</v>
      </c>
      <c r="Q3445" s="213" t="s">
        <v>28870</v>
      </c>
      <c r="R3445" s="213" t="s">
        <v>28871</v>
      </c>
      <c r="S3445" s="213" t="s">
        <v>28872</v>
      </c>
      <c r="T3445" s="213" t="s">
        <v>28873</v>
      </c>
      <c r="U3445" s="213" t="s">
        <v>66197</v>
      </c>
    </row>
    <row r="3446" spans="1:21" x14ac:dyDescent="0.25">
      <c r="A3446" s="213" t="s">
        <v>327</v>
      </c>
      <c r="D3446" s="213" t="s">
        <v>28874</v>
      </c>
      <c r="E3446" s="213" t="s">
        <v>28875</v>
      </c>
      <c r="K3446" s="213" t="s">
        <v>65598</v>
      </c>
      <c r="L3446" s="213" t="s">
        <v>65798</v>
      </c>
      <c r="M3446" s="213" t="s">
        <v>65998</v>
      </c>
      <c r="N3446" s="213" t="s">
        <v>28876</v>
      </c>
      <c r="O3446" s="213" t="s">
        <v>28877</v>
      </c>
      <c r="P3446" s="213" t="s">
        <v>28878</v>
      </c>
      <c r="Q3446" s="213" t="s">
        <v>28879</v>
      </c>
      <c r="R3446" s="213" t="s">
        <v>28880</v>
      </c>
      <c r="S3446" s="213" t="s">
        <v>28881</v>
      </c>
      <c r="T3446" s="213" t="s">
        <v>28882</v>
      </c>
      <c r="U3446" s="213" t="s">
        <v>66198</v>
      </c>
    </row>
    <row r="3447" spans="1:21" x14ac:dyDescent="0.25">
      <c r="A3447" s="213" t="s">
        <v>327</v>
      </c>
      <c r="D3447" s="213" t="s">
        <v>28883</v>
      </c>
      <c r="E3447" s="213" t="s">
        <v>28884</v>
      </c>
      <c r="K3447" s="213" t="s">
        <v>65599</v>
      </c>
      <c r="L3447" s="213" t="s">
        <v>65799</v>
      </c>
      <c r="M3447" s="213" t="s">
        <v>65999</v>
      </c>
      <c r="N3447" s="213" t="s">
        <v>28885</v>
      </c>
      <c r="O3447" s="213" t="s">
        <v>28886</v>
      </c>
      <c r="P3447" s="213" t="s">
        <v>28887</v>
      </c>
      <c r="Q3447" s="213" t="s">
        <v>28888</v>
      </c>
      <c r="R3447" s="213" t="s">
        <v>28889</v>
      </c>
      <c r="S3447" s="213" t="s">
        <v>28890</v>
      </c>
      <c r="T3447" s="213" t="s">
        <v>28891</v>
      </c>
      <c r="U3447" s="213" t="s">
        <v>66199</v>
      </c>
    </row>
    <row r="3448" spans="1:21" x14ac:dyDescent="0.25">
      <c r="A3448" s="213" t="s">
        <v>327</v>
      </c>
      <c r="D3448" s="213" t="s">
        <v>28892</v>
      </c>
      <c r="E3448" s="213" t="s">
        <v>28893</v>
      </c>
      <c r="K3448" s="213" t="s">
        <v>65600</v>
      </c>
      <c r="L3448" s="213" t="s">
        <v>65800</v>
      </c>
      <c r="M3448" s="213" t="s">
        <v>66000</v>
      </c>
      <c r="N3448" s="213" t="s">
        <v>28894</v>
      </c>
      <c r="O3448" s="213" t="s">
        <v>28895</v>
      </c>
      <c r="P3448" s="213" t="s">
        <v>28896</v>
      </c>
      <c r="Q3448" s="213" t="s">
        <v>28897</v>
      </c>
      <c r="R3448" s="213" t="s">
        <v>28898</v>
      </c>
      <c r="S3448" s="213" t="s">
        <v>28899</v>
      </c>
      <c r="T3448" s="213" t="s">
        <v>28900</v>
      </c>
      <c r="U3448" s="213" t="s">
        <v>66200</v>
      </c>
    </row>
    <row r="3449" spans="1:21" x14ac:dyDescent="0.25">
      <c r="A3449" s="213" t="s">
        <v>327</v>
      </c>
      <c r="D3449" s="213" t="s">
        <v>28901</v>
      </c>
      <c r="E3449" s="213" t="s">
        <v>28902</v>
      </c>
      <c r="K3449" s="213" t="s">
        <v>65601</v>
      </c>
      <c r="L3449" s="213" t="s">
        <v>65801</v>
      </c>
      <c r="M3449" s="213" t="s">
        <v>66001</v>
      </c>
      <c r="N3449" s="213" t="s">
        <v>28903</v>
      </c>
      <c r="O3449" s="213" t="s">
        <v>28904</v>
      </c>
      <c r="P3449" s="213" t="s">
        <v>28905</v>
      </c>
      <c r="Q3449" s="213" t="s">
        <v>28906</v>
      </c>
      <c r="R3449" s="213" t="s">
        <v>28907</v>
      </c>
      <c r="S3449" s="213" t="s">
        <v>28908</v>
      </c>
      <c r="T3449" s="213" t="s">
        <v>28909</v>
      </c>
      <c r="U3449" s="213" t="s">
        <v>66201</v>
      </c>
    </row>
    <row r="3450" spans="1:21" x14ac:dyDescent="0.25">
      <c r="A3450" s="213" t="s">
        <v>327</v>
      </c>
    </row>
    <row r="3451" spans="1:21" x14ac:dyDescent="0.25">
      <c r="A3451" s="213" t="s">
        <v>327</v>
      </c>
    </row>
    <row r="3452" spans="1:21" x14ac:dyDescent="0.25">
      <c r="A3452" s="213" t="s">
        <v>327</v>
      </c>
      <c r="C3452" s="213" t="s">
        <v>28910</v>
      </c>
      <c r="E3452" s="213" t="s">
        <v>28911</v>
      </c>
      <c r="H3452" s="213" t="s">
        <v>28912</v>
      </c>
      <c r="I3452" s="213" t="s">
        <v>28913</v>
      </c>
      <c r="J3452" s="213" t="s">
        <v>28914</v>
      </c>
      <c r="L3452" s="213" t="s">
        <v>28915</v>
      </c>
      <c r="O3452" s="213" t="s">
        <v>28916</v>
      </c>
      <c r="P3452" s="213" t="s">
        <v>28917</v>
      </c>
      <c r="Q3452" s="213" t="s">
        <v>28918</v>
      </c>
      <c r="R3452" s="213" t="s">
        <v>28919</v>
      </c>
      <c r="S3452" s="213" t="s">
        <v>28920</v>
      </c>
      <c r="T3452" s="213" t="s">
        <v>28921</v>
      </c>
    </row>
    <row r="3453" spans="1:21" x14ac:dyDescent="0.25">
      <c r="A3453" s="213" t="s">
        <v>327</v>
      </c>
      <c r="C3453" s="213" t="s">
        <v>28922</v>
      </c>
      <c r="E3453" s="213" t="s">
        <v>28923</v>
      </c>
      <c r="I3453" s="213" t="s">
        <v>28924</v>
      </c>
    </row>
    <row r="3454" spans="1:21" x14ac:dyDescent="0.25">
      <c r="A3454" s="213" t="s">
        <v>327</v>
      </c>
      <c r="C3454" s="213" t="s">
        <v>28925</v>
      </c>
      <c r="E3454" s="213" t="s">
        <v>28926</v>
      </c>
      <c r="I3454" s="213" t="s">
        <v>28927</v>
      </c>
    </row>
    <row r="3455" spans="1:21" x14ac:dyDescent="0.25">
      <c r="A3455" s="213" t="s">
        <v>328</v>
      </c>
    </row>
    <row r="3456" spans="1:21" x14ac:dyDescent="0.25">
      <c r="A3456" s="213" t="s">
        <v>327</v>
      </c>
      <c r="D3456" s="213" t="s">
        <v>28928</v>
      </c>
      <c r="E3456" s="213" t="s">
        <v>28929</v>
      </c>
      <c r="K3456" s="213" t="s">
        <v>65250</v>
      </c>
      <c r="L3456" s="213" t="s">
        <v>65288</v>
      </c>
      <c r="M3456" s="213" t="s">
        <v>65326</v>
      </c>
      <c r="N3456" s="213" t="s">
        <v>28930</v>
      </c>
      <c r="O3456" s="213" t="s">
        <v>28931</v>
      </c>
      <c r="P3456" s="213" t="s">
        <v>28932</v>
      </c>
      <c r="Q3456" s="213" t="s">
        <v>28933</v>
      </c>
      <c r="R3456" s="213" t="s">
        <v>28934</v>
      </c>
      <c r="S3456" s="213" t="s">
        <v>28935</v>
      </c>
      <c r="T3456" s="213" t="s">
        <v>28936</v>
      </c>
      <c r="U3456" s="213" t="s">
        <v>65364</v>
      </c>
    </row>
    <row r="3457" spans="1:21" x14ac:dyDescent="0.25">
      <c r="A3457" s="213" t="s">
        <v>327</v>
      </c>
      <c r="D3457" s="213" t="s">
        <v>28937</v>
      </c>
      <c r="E3457" s="213" t="s">
        <v>28938</v>
      </c>
      <c r="K3457" s="213" t="s">
        <v>65251</v>
      </c>
      <c r="L3457" s="213" t="s">
        <v>65289</v>
      </c>
      <c r="M3457" s="213" t="s">
        <v>65327</v>
      </c>
      <c r="N3457" s="213" t="s">
        <v>28939</v>
      </c>
      <c r="O3457" s="213" t="s">
        <v>28940</v>
      </c>
      <c r="P3457" s="213" t="s">
        <v>28941</v>
      </c>
      <c r="Q3457" s="213" t="s">
        <v>28942</v>
      </c>
      <c r="R3457" s="213" t="s">
        <v>28943</v>
      </c>
      <c r="S3457" s="213" t="s">
        <v>28944</v>
      </c>
      <c r="T3457" s="213" t="s">
        <v>28945</v>
      </c>
      <c r="U3457" s="213" t="s">
        <v>65365</v>
      </c>
    </row>
    <row r="3458" spans="1:21" x14ac:dyDescent="0.25">
      <c r="A3458" s="213" t="s">
        <v>327</v>
      </c>
      <c r="D3458" s="213" t="s">
        <v>28946</v>
      </c>
      <c r="E3458" s="213" t="s">
        <v>28947</v>
      </c>
      <c r="K3458" s="213" t="s">
        <v>65252</v>
      </c>
      <c r="L3458" s="213" t="s">
        <v>65290</v>
      </c>
      <c r="M3458" s="213" t="s">
        <v>65328</v>
      </c>
      <c r="N3458" s="213" t="s">
        <v>28948</v>
      </c>
      <c r="O3458" s="213" t="s">
        <v>28949</v>
      </c>
      <c r="P3458" s="213" t="s">
        <v>28950</v>
      </c>
      <c r="Q3458" s="213" t="s">
        <v>28951</v>
      </c>
      <c r="R3458" s="213" t="s">
        <v>28952</v>
      </c>
      <c r="S3458" s="213" t="s">
        <v>28953</v>
      </c>
      <c r="T3458" s="213" t="s">
        <v>28954</v>
      </c>
      <c r="U3458" s="213" t="s">
        <v>65366</v>
      </c>
    </row>
    <row r="3459" spans="1:21" x14ac:dyDescent="0.25">
      <c r="A3459" s="213" t="s">
        <v>327</v>
      </c>
      <c r="D3459" s="213" t="s">
        <v>28955</v>
      </c>
      <c r="E3459" s="213" t="s">
        <v>28956</v>
      </c>
      <c r="K3459" s="213" t="s">
        <v>65253</v>
      </c>
      <c r="L3459" s="213" t="s">
        <v>65291</v>
      </c>
      <c r="M3459" s="213" t="s">
        <v>65329</v>
      </c>
      <c r="N3459" s="213" t="s">
        <v>28957</v>
      </c>
      <c r="O3459" s="213" t="s">
        <v>28958</v>
      </c>
      <c r="P3459" s="213" t="s">
        <v>28959</v>
      </c>
      <c r="Q3459" s="213" t="s">
        <v>28960</v>
      </c>
      <c r="R3459" s="213" t="s">
        <v>28961</v>
      </c>
      <c r="S3459" s="213" t="s">
        <v>28962</v>
      </c>
      <c r="T3459" s="213" t="s">
        <v>28963</v>
      </c>
      <c r="U3459" s="213" t="s">
        <v>65367</v>
      </c>
    </row>
    <row r="3460" spans="1:21" x14ac:dyDescent="0.25">
      <c r="A3460" s="213" t="s">
        <v>327</v>
      </c>
      <c r="D3460" s="213" t="s">
        <v>28964</v>
      </c>
      <c r="E3460" s="213" t="s">
        <v>28965</v>
      </c>
      <c r="K3460" s="213" t="s">
        <v>65254</v>
      </c>
      <c r="L3460" s="213" t="s">
        <v>65292</v>
      </c>
      <c r="M3460" s="213" t="s">
        <v>65330</v>
      </c>
      <c r="N3460" s="213" t="s">
        <v>28966</v>
      </c>
      <c r="O3460" s="213" t="s">
        <v>28967</v>
      </c>
      <c r="P3460" s="213" t="s">
        <v>28968</v>
      </c>
      <c r="Q3460" s="213" t="s">
        <v>28969</v>
      </c>
      <c r="R3460" s="213" t="s">
        <v>28970</v>
      </c>
      <c r="S3460" s="213" t="s">
        <v>28971</v>
      </c>
      <c r="T3460" s="213" t="s">
        <v>28972</v>
      </c>
      <c r="U3460" s="213" t="s">
        <v>65368</v>
      </c>
    </row>
    <row r="3461" spans="1:21" x14ac:dyDescent="0.25">
      <c r="A3461" s="213" t="s">
        <v>327</v>
      </c>
      <c r="D3461" s="213" t="s">
        <v>28973</v>
      </c>
      <c r="E3461" s="213" t="s">
        <v>28974</v>
      </c>
      <c r="K3461" s="213" t="s">
        <v>65255</v>
      </c>
      <c r="L3461" s="213" t="s">
        <v>65293</v>
      </c>
      <c r="M3461" s="213" t="s">
        <v>65331</v>
      </c>
      <c r="N3461" s="213" t="s">
        <v>28975</v>
      </c>
      <c r="O3461" s="213" t="s">
        <v>28976</v>
      </c>
      <c r="P3461" s="213" t="s">
        <v>28977</v>
      </c>
      <c r="Q3461" s="213" t="s">
        <v>28978</v>
      </c>
      <c r="R3461" s="213" t="s">
        <v>28979</v>
      </c>
      <c r="S3461" s="213" t="s">
        <v>28980</v>
      </c>
      <c r="T3461" s="213" t="s">
        <v>28981</v>
      </c>
      <c r="U3461" s="213" t="s">
        <v>65369</v>
      </c>
    </row>
    <row r="3462" spans="1:21" x14ac:dyDescent="0.25">
      <c r="A3462" s="213" t="s">
        <v>327</v>
      </c>
      <c r="D3462" s="213" t="s">
        <v>28982</v>
      </c>
      <c r="E3462" s="213" t="s">
        <v>28983</v>
      </c>
      <c r="K3462" s="213" t="s">
        <v>65256</v>
      </c>
      <c r="L3462" s="213" t="s">
        <v>65294</v>
      </c>
      <c r="M3462" s="213" t="s">
        <v>65332</v>
      </c>
      <c r="N3462" s="213" t="s">
        <v>28984</v>
      </c>
      <c r="O3462" s="213" t="s">
        <v>28985</v>
      </c>
      <c r="P3462" s="213" t="s">
        <v>28986</v>
      </c>
      <c r="Q3462" s="213" t="s">
        <v>28987</v>
      </c>
      <c r="R3462" s="213" t="s">
        <v>28988</v>
      </c>
      <c r="S3462" s="213" t="s">
        <v>28989</v>
      </c>
      <c r="T3462" s="213" t="s">
        <v>28990</v>
      </c>
      <c r="U3462" s="213" t="s">
        <v>65370</v>
      </c>
    </row>
    <row r="3463" spans="1:21" x14ac:dyDescent="0.25">
      <c r="A3463" s="213" t="s">
        <v>327</v>
      </c>
      <c r="D3463" s="213" t="s">
        <v>28991</v>
      </c>
      <c r="E3463" s="213" t="s">
        <v>28992</v>
      </c>
      <c r="K3463" s="213" t="s">
        <v>65257</v>
      </c>
      <c r="L3463" s="213" t="s">
        <v>65295</v>
      </c>
      <c r="M3463" s="213" t="s">
        <v>65333</v>
      </c>
      <c r="N3463" s="213" t="s">
        <v>28993</v>
      </c>
      <c r="O3463" s="213" t="s">
        <v>28994</v>
      </c>
      <c r="P3463" s="213" t="s">
        <v>28995</v>
      </c>
      <c r="Q3463" s="213" t="s">
        <v>28996</v>
      </c>
      <c r="R3463" s="213" t="s">
        <v>28997</v>
      </c>
      <c r="S3463" s="213" t="s">
        <v>28998</v>
      </c>
      <c r="T3463" s="213" t="s">
        <v>28999</v>
      </c>
      <c r="U3463" s="213" t="s">
        <v>65371</v>
      </c>
    </row>
    <row r="3464" spans="1:21" x14ac:dyDescent="0.25">
      <c r="A3464" s="213" t="s">
        <v>327</v>
      </c>
      <c r="D3464" s="213" t="s">
        <v>29000</v>
      </c>
      <c r="E3464" s="213" t="s">
        <v>29001</v>
      </c>
      <c r="K3464" s="213" t="s">
        <v>65258</v>
      </c>
      <c r="L3464" s="213" t="s">
        <v>65296</v>
      </c>
      <c r="M3464" s="213" t="s">
        <v>65334</v>
      </c>
      <c r="N3464" s="213" t="s">
        <v>29002</v>
      </c>
      <c r="O3464" s="213" t="s">
        <v>29003</v>
      </c>
      <c r="P3464" s="213" t="s">
        <v>29004</v>
      </c>
      <c r="Q3464" s="213" t="s">
        <v>29005</v>
      </c>
      <c r="R3464" s="213" t="s">
        <v>29006</v>
      </c>
      <c r="S3464" s="213" t="s">
        <v>29007</v>
      </c>
      <c r="T3464" s="213" t="s">
        <v>29008</v>
      </c>
      <c r="U3464" s="213" t="s">
        <v>65372</v>
      </c>
    </row>
    <row r="3465" spans="1:21" x14ac:dyDescent="0.25">
      <c r="A3465" s="213" t="s">
        <v>327</v>
      </c>
      <c r="D3465" s="213" t="s">
        <v>29009</v>
      </c>
      <c r="E3465" s="213" t="s">
        <v>29010</v>
      </c>
      <c r="K3465" s="213" t="s">
        <v>65259</v>
      </c>
      <c r="L3465" s="213" t="s">
        <v>65297</v>
      </c>
      <c r="M3465" s="213" t="s">
        <v>65335</v>
      </c>
      <c r="N3465" s="213" t="s">
        <v>29011</v>
      </c>
      <c r="O3465" s="213" t="s">
        <v>29012</v>
      </c>
      <c r="P3465" s="213" t="s">
        <v>29013</v>
      </c>
      <c r="Q3465" s="213" t="s">
        <v>29014</v>
      </c>
      <c r="R3465" s="213" t="s">
        <v>29015</v>
      </c>
      <c r="S3465" s="213" t="s">
        <v>29016</v>
      </c>
      <c r="T3465" s="213" t="s">
        <v>29017</v>
      </c>
      <c r="U3465" s="213" t="s">
        <v>65373</v>
      </c>
    </row>
    <row r="3466" spans="1:21" x14ac:dyDescent="0.25">
      <c r="A3466" s="213" t="s">
        <v>327</v>
      </c>
      <c r="D3466" s="213" t="s">
        <v>29018</v>
      </c>
      <c r="E3466" s="213" t="s">
        <v>29019</v>
      </c>
      <c r="K3466" s="213" t="s">
        <v>65260</v>
      </c>
      <c r="L3466" s="213" t="s">
        <v>65298</v>
      </c>
      <c r="M3466" s="213" t="s">
        <v>65336</v>
      </c>
      <c r="N3466" s="213" t="s">
        <v>29020</v>
      </c>
      <c r="O3466" s="213" t="s">
        <v>29021</v>
      </c>
      <c r="P3466" s="213" t="s">
        <v>29022</v>
      </c>
      <c r="Q3466" s="213" t="s">
        <v>29023</v>
      </c>
      <c r="R3466" s="213" t="s">
        <v>29024</v>
      </c>
      <c r="S3466" s="213" t="s">
        <v>29025</v>
      </c>
      <c r="T3466" s="213" t="s">
        <v>29026</v>
      </c>
      <c r="U3466" s="213" t="s">
        <v>65374</v>
      </c>
    </row>
    <row r="3467" spans="1:21" x14ac:dyDescent="0.25">
      <c r="A3467" s="213" t="s">
        <v>327</v>
      </c>
      <c r="D3467" s="213" t="s">
        <v>29027</v>
      </c>
      <c r="E3467" s="213" t="s">
        <v>29028</v>
      </c>
      <c r="K3467" s="213" t="s">
        <v>65261</v>
      </c>
      <c r="L3467" s="213" t="s">
        <v>65299</v>
      </c>
      <c r="M3467" s="213" t="s">
        <v>65337</v>
      </c>
      <c r="N3467" s="213" t="s">
        <v>29029</v>
      </c>
      <c r="O3467" s="213" t="s">
        <v>29030</v>
      </c>
      <c r="P3467" s="213" t="s">
        <v>29031</v>
      </c>
      <c r="Q3467" s="213" t="s">
        <v>29032</v>
      </c>
      <c r="R3467" s="213" t="s">
        <v>29033</v>
      </c>
      <c r="S3467" s="213" t="s">
        <v>29034</v>
      </c>
      <c r="T3467" s="213" t="s">
        <v>29035</v>
      </c>
      <c r="U3467" s="213" t="s">
        <v>65375</v>
      </c>
    </row>
    <row r="3468" spans="1:21" x14ac:dyDescent="0.25">
      <c r="A3468" s="213" t="s">
        <v>327</v>
      </c>
      <c r="D3468" s="213" t="s">
        <v>29036</v>
      </c>
      <c r="E3468" s="213" t="s">
        <v>29037</v>
      </c>
      <c r="K3468" s="213" t="s">
        <v>65262</v>
      </c>
      <c r="L3468" s="213" t="s">
        <v>65300</v>
      </c>
      <c r="M3468" s="213" t="s">
        <v>65338</v>
      </c>
      <c r="N3468" s="213" t="s">
        <v>29038</v>
      </c>
      <c r="O3468" s="213" t="s">
        <v>29039</v>
      </c>
      <c r="P3468" s="213" t="s">
        <v>29040</v>
      </c>
      <c r="Q3468" s="213" t="s">
        <v>29041</v>
      </c>
      <c r="R3468" s="213" t="s">
        <v>29042</v>
      </c>
      <c r="S3468" s="213" t="s">
        <v>29043</v>
      </c>
      <c r="T3468" s="213" t="s">
        <v>29044</v>
      </c>
      <c r="U3468" s="213" t="s">
        <v>65376</v>
      </c>
    </row>
    <row r="3469" spans="1:21" x14ac:dyDescent="0.25">
      <c r="A3469" s="213" t="s">
        <v>327</v>
      </c>
      <c r="D3469" s="213" t="s">
        <v>29045</v>
      </c>
      <c r="E3469" s="213" t="s">
        <v>29046</v>
      </c>
      <c r="K3469" s="213" t="s">
        <v>65263</v>
      </c>
      <c r="L3469" s="213" t="s">
        <v>65301</v>
      </c>
      <c r="M3469" s="213" t="s">
        <v>65339</v>
      </c>
      <c r="N3469" s="213" t="s">
        <v>29047</v>
      </c>
      <c r="O3469" s="213" t="s">
        <v>29048</v>
      </c>
      <c r="P3469" s="213" t="s">
        <v>29049</v>
      </c>
      <c r="Q3469" s="213" t="s">
        <v>29050</v>
      </c>
      <c r="R3469" s="213" t="s">
        <v>29051</v>
      </c>
      <c r="S3469" s="213" t="s">
        <v>29052</v>
      </c>
      <c r="T3469" s="213" t="s">
        <v>29053</v>
      </c>
      <c r="U3469" s="213" t="s">
        <v>65377</v>
      </c>
    </row>
    <row r="3470" spans="1:21" x14ac:dyDescent="0.25">
      <c r="A3470" s="213" t="s">
        <v>327</v>
      </c>
      <c r="D3470" s="213" t="s">
        <v>29054</v>
      </c>
      <c r="E3470" s="213" t="s">
        <v>29055</v>
      </c>
      <c r="K3470" s="213" t="s">
        <v>65264</v>
      </c>
      <c r="L3470" s="213" t="s">
        <v>65302</v>
      </c>
      <c r="M3470" s="213" t="s">
        <v>65340</v>
      </c>
      <c r="N3470" s="213" t="s">
        <v>29056</v>
      </c>
      <c r="O3470" s="213" t="s">
        <v>29057</v>
      </c>
      <c r="P3470" s="213" t="s">
        <v>29058</v>
      </c>
      <c r="Q3470" s="213" t="s">
        <v>29059</v>
      </c>
      <c r="R3470" s="213" t="s">
        <v>29060</v>
      </c>
      <c r="S3470" s="213" t="s">
        <v>29061</v>
      </c>
      <c r="T3470" s="213" t="s">
        <v>29062</v>
      </c>
      <c r="U3470" s="213" t="s">
        <v>65378</v>
      </c>
    </row>
    <row r="3471" spans="1:21" x14ac:dyDescent="0.25">
      <c r="A3471" s="213" t="s">
        <v>327</v>
      </c>
      <c r="D3471" s="213" t="s">
        <v>29063</v>
      </c>
      <c r="E3471" s="213" t="s">
        <v>29064</v>
      </c>
      <c r="K3471" s="213" t="s">
        <v>65265</v>
      </c>
      <c r="L3471" s="213" t="s">
        <v>65303</v>
      </c>
      <c r="M3471" s="213" t="s">
        <v>65341</v>
      </c>
      <c r="N3471" s="213" t="s">
        <v>29065</v>
      </c>
      <c r="O3471" s="213" t="s">
        <v>29066</v>
      </c>
      <c r="P3471" s="213" t="s">
        <v>29067</v>
      </c>
      <c r="Q3471" s="213" t="s">
        <v>29068</v>
      </c>
      <c r="R3471" s="213" t="s">
        <v>29069</v>
      </c>
      <c r="S3471" s="213" t="s">
        <v>29070</v>
      </c>
      <c r="T3471" s="213" t="s">
        <v>29071</v>
      </c>
      <c r="U3471" s="213" t="s">
        <v>65379</v>
      </c>
    </row>
    <row r="3472" spans="1:21" x14ac:dyDescent="0.25">
      <c r="A3472" s="213" t="s">
        <v>327</v>
      </c>
      <c r="D3472" s="213" t="s">
        <v>29072</v>
      </c>
      <c r="E3472" s="213" t="s">
        <v>29073</v>
      </c>
      <c r="K3472" s="213" t="s">
        <v>65266</v>
      </c>
      <c r="L3472" s="213" t="s">
        <v>65304</v>
      </c>
      <c r="M3472" s="213" t="s">
        <v>65342</v>
      </c>
      <c r="N3472" s="213" t="s">
        <v>29074</v>
      </c>
      <c r="O3472" s="213" t="s">
        <v>29075</v>
      </c>
      <c r="P3472" s="213" t="s">
        <v>29076</v>
      </c>
      <c r="Q3472" s="213" t="s">
        <v>29077</v>
      </c>
      <c r="R3472" s="213" t="s">
        <v>29078</v>
      </c>
      <c r="S3472" s="213" t="s">
        <v>29079</v>
      </c>
      <c r="T3472" s="213" t="s">
        <v>29080</v>
      </c>
      <c r="U3472" s="213" t="s">
        <v>65380</v>
      </c>
    </row>
    <row r="3473" spans="1:21" x14ac:dyDescent="0.25">
      <c r="A3473" s="213" t="s">
        <v>327</v>
      </c>
      <c r="D3473" s="213" t="s">
        <v>29081</v>
      </c>
      <c r="E3473" s="213" t="s">
        <v>29082</v>
      </c>
      <c r="K3473" s="213" t="s">
        <v>65267</v>
      </c>
      <c r="L3473" s="213" t="s">
        <v>65305</v>
      </c>
      <c r="M3473" s="213" t="s">
        <v>65343</v>
      </c>
      <c r="N3473" s="213" t="s">
        <v>29083</v>
      </c>
      <c r="O3473" s="213" t="s">
        <v>29084</v>
      </c>
      <c r="P3473" s="213" t="s">
        <v>29085</v>
      </c>
      <c r="Q3473" s="213" t="s">
        <v>29086</v>
      </c>
      <c r="R3473" s="213" t="s">
        <v>29087</v>
      </c>
      <c r="S3473" s="213" t="s">
        <v>29088</v>
      </c>
      <c r="T3473" s="213" t="s">
        <v>29089</v>
      </c>
      <c r="U3473" s="213" t="s">
        <v>65381</v>
      </c>
    </row>
    <row r="3474" spans="1:21" x14ac:dyDescent="0.25">
      <c r="A3474" s="213" t="s">
        <v>327</v>
      </c>
      <c r="D3474" s="213" t="s">
        <v>29090</v>
      </c>
      <c r="E3474" s="213" t="s">
        <v>29091</v>
      </c>
      <c r="K3474" s="213" t="s">
        <v>65268</v>
      </c>
      <c r="L3474" s="213" t="s">
        <v>65306</v>
      </c>
      <c r="M3474" s="213" t="s">
        <v>65344</v>
      </c>
      <c r="N3474" s="213" t="s">
        <v>29092</v>
      </c>
      <c r="O3474" s="213" t="s">
        <v>29093</v>
      </c>
      <c r="P3474" s="213" t="s">
        <v>29094</v>
      </c>
      <c r="Q3474" s="213" t="s">
        <v>29095</v>
      </c>
      <c r="R3474" s="213" t="s">
        <v>29096</v>
      </c>
      <c r="S3474" s="213" t="s">
        <v>29097</v>
      </c>
      <c r="T3474" s="213" t="s">
        <v>29098</v>
      </c>
      <c r="U3474" s="213" t="s">
        <v>65382</v>
      </c>
    </row>
    <row r="3475" spans="1:21" x14ac:dyDescent="0.25">
      <c r="A3475" s="213" t="s">
        <v>327</v>
      </c>
      <c r="D3475" s="213" t="s">
        <v>29099</v>
      </c>
      <c r="E3475" s="213" t="s">
        <v>29100</v>
      </c>
      <c r="K3475" s="213" t="s">
        <v>65269</v>
      </c>
      <c r="L3475" s="213" t="s">
        <v>65307</v>
      </c>
      <c r="M3475" s="213" t="s">
        <v>65345</v>
      </c>
      <c r="N3475" s="213" t="s">
        <v>29101</v>
      </c>
      <c r="O3475" s="213" t="s">
        <v>29102</v>
      </c>
      <c r="P3475" s="213" t="s">
        <v>29103</v>
      </c>
      <c r="Q3475" s="213" t="s">
        <v>29104</v>
      </c>
      <c r="R3475" s="213" t="s">
        <v>29105</v>
      </c>
      <c r="S3475" s="213" t="s">
        <v>29106</v>
      </c>
      <c r="T3475" s="213" t="s">
        <v>29107</v>
      </c>
      <c r="U3475" s="213" t="s">
        <v>65383</v>
      </c>
    </row>
    <row r="3476" spans="1:21" x14ac:dyDescent="0.25">
      <c r="A3476" s="213" t="s">
        <v>327</v>
      </c>
      <c r="D3476" s="213" t="s">
        <v>29108</v>
      </c>
      <c r="E3476" s="213" t="s">
        <v>29109</v>
      </c>
      <c r="K3476" s="213" t="s">
        <v>65270</v>
      </c>
      <c r="L3476" s="213" t="s">
        <v>65308</v>
      </c>
      <c r="M3476" s="213" t="s">
        <v>65346</v>
      </c>
      <c r="N3476" s="213" t="s">
        <v>29110</v>
      </c>
      <c r="O3476" s="213" t="s">
        <v>29111</v>
      </c>
      <c r="P3476" s="213" t="s">
        <v>29112</v>
      </c>
      <c r="Q3476" s="213" t="s">
        <v>29113</v>
      </c>
      <c r="R3476" s="213" t="s">
        <v>29114</v>
      </c>
      <c r="S3476" s="213" t="s">
        <v>29115</v>
      </c>
      <c r="T3476" s="213" t="s">
        <v>29116</v>
      </c>
      <c r="U3476" s="213" t="s">
        <v>65384</v>
      </c>
    </row>
    <row r="3477" spans="1:21" x14ac:dyDescent="0.25">
      <c r="A3477" s="213" t="s">
        <v>327</v>
      </c>
      <c r="D3477" s="213" t="s">
        <v>29117</v>
      </c>
      <c r="E3477" s="213" t="s">
        <v>29118</v>
      </c>
      <c r="K3477" s="213" t="s">
        <v>65271</v>
      </c>
      <c r="L3477" s="213" t="s">
        <v>65309</v>
      </c>
      <c r="M3477" s="213" t="s">
        <v>65347</v>
      </c>
      <c r="N3477" s="213" t="s">
        <v>29119</v>
      </c>
      <c r="O3477" s="213" t="s">
        <v>29120</v>
      </c>
      <c r="P3477" s="213" t="s">
        <v>29121</v>
      </c>
      <c r="Q3477" s="213" t="s">
        <v>29122</v>
      </c>
      <c r="R3477" s="213" t="s">
        <v>29123</v>
      </c>
      <c r="S3477" s="213" t="s">
        <v>29124</v>
      </c>
      <c r="T3477" s="213" t="s">
        <v>29125</v>
      </c>
      <c r="U3477" s="213" t="s">
        <v>65385</v>
      </c>
    </row>
    <row r="3478" spans="1:21" x14ac:dyDescent="0.25">
      <c r="A3478" s="213" t="s">
        <v>327</v>
      </c>
      <c r="D3478" s="213" t="s">
        <v>29126</v>
      </c>
      <c r="E3478" s="213" t="s">
        <v>29127</v>
      </c>
      <c r="K3478" s="213" t="s">
        <v>65272</v>
      </c>
      <c r="L3478" s="213" t="s">
        <v>65310</v>
      </c>
      <c r="M3478" s="213" t="s">
        <v>65348</v>
      </c>
      <c r="N3478" s="213" t="s">
        <v>29128</v>
      </c>
      <c r="O3478" s="213" t="s">
        <v>29129</v>
      </c>
      <c r="P3478" s="213" t="s">
        <v>29130</v>
      </c>
      <c r="Q3478" s="213" t="s">
        <v>29131</v>
      </c>
      <c r="R3478" s="213" t="s">
        <v>29132</v>
      </c>
      <c r="S3478" s="213" t="s">
        <v>29133</v>
      </c>
      <c r="T3478" s="213" t="s">
        <v>29134</v>
      </c>
      <c r="U3478" s="213" t="s">
        <v>65386</v>
      </c>
    </row>
    <row r="3479" spans="1:21" x14ac:dyDescent="0.25">
      <c r="A3479" s="213" t="s">
        <v>327</v>
      </c>
      <c r="D3479" s="213" t="s">
        <v>29135</v>
      </c>
      <c r="E3479" s="213" t="s">
        <v>29136</v>
      </c>
      <c r="K3479" s="213" t="s">
        <v>65273</v>
      </c>
      <c r="L3479" s="213" t="s">
        <v>65311</v>
      </c>
      <c r="M3479" s="213" t="s">
        <v>65349</v>
      </c>
      <c r="N3479" s="213" t="s">
        <v>29137</v>
      </c>
      <c r="O3479" s="213" t="s">
        <v>29138</v>
      </c>
      <c r="P3479" s="213" t="s">
        <v>29139</v>
      </c>
      <c r="Q3479" s="213" t="s">
        <v>29140</v>
      </c>
      <c r="R3479" s="213" t="s">
        <v>29141</v>
      </c>
      <c r="S3479" s="213" t="s">
        <v>29142</v>
      </c>
      <c r="T3479" s="213" t="s">
        <v>29143</v>
      </c>
      <c r="U3479" s="213" t="s">
        <v>65387</v>
      </c>
    </row>
    <row r="3480" spans="1:21" x14ac:dyDescent="0.25">
      <c r="A3480" s="213" t="s">
        <v>327</v>
      </c>
      <c r="D3480" s="213" t="s">
        <v>29144</v>
      </c>
      <c r="E3480" s="213" t="s">
        <v>29145</v>
      </c>
      <c r="K3480" s="213" t="s">
        <v>65274</v>
      </c>
      <c r="L3480" s="213" t="s">
        <v>65312</v>
      </c>
      <c r="M3480" s="213" t="s">
        <v>65350</v>
      </c>
      <c r="N3480" s="213" t="s">
        <v>29146</v>
      </c>
      <c r="O3480" s="213" t="s">
        <v>29147</v>
      </c>
      <c r="P3480" s="213" t="s">
        <v>29148</v>
      </c>
      <c r="Q3480" s="213" t="s">
        <v>29149</v>
      </c>
      <c r="R3480" s="213" t="s">
        <v>29150</v>
      </c>
      <c r="S3480" s="213" t="s">
        <v>29151</v>
      </c>
      <c r="T3480" s="213" t="s">
        <v>29152</v>
      </c>
      <c r="U3480" s="213" t="s">
        <v>65388</v>
      </c>
    </row>
    <row r="3481" spans="1:21" x14ac:dyDescent="0.25">
      <c r="A3481" s="213" t="s">
        <v>327</v>
      </c>
      <c r="D3481" s="213" t="s">
        <v>29153</v>
      </c>
      <c r="E3481" s="213" t="s">
        <v>29154</v>
      </c>
      <c r="K3481" s="213" t="s">
        <v>65275</v>
      </c>
      <c r="L3481" s="213" t="s">
        <v>65313</v>
      </c>
      <c r="M3481" s="213" t="s">
        <v>65351</v>
      </c>
      <c r="N3481" s="213" t="s">
        <v>29155</v>
      </c>
      <c r="O3481" s="213" t="s">
        <v>29156</v>
      </c>
      <c r="P3481" s="213" t="s">
        <v>29157</v>
      </c>
      <c r="Q3481" s="213" t="s">
        <v>29158</v>
      </c>
      <c r="R3481" s="213" t="s">
        <v>29159</v>
      </c>
      <c r="S3481" s="213" t="s">
        <v>29160</v>
      </c>
      <c r="T3481" s="213" t="s">
        <v>29161</v>
      </c>
      <c r="U3481" s="213" t="s">
        <v>65389</v>
      </c>
    </row>
    <row r="3482" spans="1:21" x14ac:dyDescent="0.25">
      <c r="A3482" s="213" t="s">
        <v>327</v>
      </c>
      <c r="D3482" s="213" t="s">
        <v>29162</v>
      </c>
      <c r="E3482" s="213" t="s">
        <v>29163</v>
      </c>
      <c r="K3482" s="213" t="s">
        <v>65276</v>
      </c>
      <c r="L3482" s="213" t="s">
        <v>65314</v>
      </c>
      <c r="M3482" s="213" t="s">
        <v>65352</v>
      </c>
      <c r="N3482" s="213" t="s">
        <v>29164</v>
      </c>
      <c r="O3482" s="213" t="s">
        <v>29165</v>
      </c>
      <c r="P3482" s="213" t="s">
        <v>29166</v>
      </c>
      <c r="Q3482" s="213" t="s">
        <v>29167</v>
      </c>
      <c r="R3482" s="213" t="s">
        <v>29168</v>
      </c>
      <c r="S3482" s="213" t="s">
        <v>29169</v>
      </c>
      <c r="T3482" s="213" t="s">
        <v>29170</v>
      </c>
      <c r="U3482" s="213" t="s">
        <v>65390</v>
      </c>
    </row>
    <row r="3483" spans="1:21" x14ac:dyDescent="0.25">
      <c r="A3483" s="213" t="s">
        <v>327</v>
      </c>
      <c r="D3483" s="213" t="s">
        <v>29171</v>
      </c>
      <c r="E3483" s="213" t="s">
        <v>29172</v>
      </c>
      <c r="K3483" s="213" t="s">
        <v>65277</v>
      </c>
      <c r="L3483" s="213" t="s">
        <v>65315</v>
      </c>
      <c r="M3483" s="213" t="s">
        <v>65353</v>
      </c>
      <c r="N3483" s="213" t="s">
        <v>29173</v>
      </c>
      <c r="O3483" s="213" t="s">
        <v>29174</v>
      </c>
      <c r="P3483" s="213" t="s">
        <v>29175</v>
      </c>
      <c r="Q3483" s="213" t="s">
        <v>29176</v>
      </c>
      <c r="R3483" s="213" t="s">
        <v>29177</v>
      </c>
      <c r="S3483" s="213" t="s">
        <v>29178</v>
      </c>
      <c r="T3483" s="213" t="s">
        <v>29179</v>
      </c>
      <c r="U3483" s="213" t="s">
        <v>65391</v>
      </c>
    </row>
    <row r="3484" spans="1:21" x14ac:dyDescent="0.25">
      <c r="A3484" s="213" t="s">
        <v>327</v>
      </c>
      <c r="D3484" s="213" t="s">
        <v>29180</v>
      </c>
      <c r="E3484" s="213" t="s">
        <v>29181</v>
      </c>
      <c r="K3484" s="213" t="s">
        <v>65278</v>
      </c>
      <c r="L3484" s="213" t="s">
        <v>65316</v>
      </c>
      <c r="M3484" s="213" t="s">
        <v>65354</v>
      </c>
      <c r="N3484" s="213" t="s">
        <v>29182</v>
      </c>
      <c r="O3484" s="213" t="s">
        <v>29183</v>
      </c>
      <c r="P3484" s="213" t="s">
        <v>29184</v>
      </c>
      <c r="Q3484" s="213" t="s">
        <v>29185</v>
      </c>
      <c r="R3484" s="213" t="s">
        <v>29186</v>
      </c>
      <c r="S3484" s="213" t="s">
        <v>29187</v>
      </c>
      <c r="T3484" s="213" t="s">
        <v>29188</v>
      </c>
      <c r="U3484" s="213" t="s">
        <v>65392</v>
      </c>
    </row>
    <row r="3485" spans="1:21" x14ac:dyDescent="0.25">
      <c r="A3485" s="213" t="s">
        <v>327</v>
      </c>
      <c r="D3485" s="213" t="s">
        <v>29189</v>
      </c>
      <c r="E3485" s="213" t="s">
        <v>29190</v>
      </c>
      <c r="K3485" s="213" t="s">
        <v>65279</v>
      </c>
      <c r="L3485" s="213" t="s">
        <v>65317</v>
      </c>
      <c r="M3485" s="213" t="s">
        <v>65355</v>
      </c>
      <c r="N3485" s="213" t="s">
        <v>29191</v>
      </c>
      <c r="O3485" s="213" t="s">
        <v>29192</v>
      </c>
      <c r="P3485" s="213" t="s">
        <v>29193</v>
      </c>
      <c r="Q3485" s="213" t="s">
        <v>29194</v>
      </c>
      <c r="R3485" s="213" t="s">
        <v>29195</v>
      </c>
      <c r="S3485" s="213" t="s">
        <v>29196</v>
      </c>
      <c r="T3485" s="213" t="s">
        <v>29197</v>
      </c>
      <c r="U3485" s="213" t="s">
        <v>65393</v>
      </c>
    </row>
    <row r="3486" spans="1:21" x14ac:dyDescent="0.25">
      <c r="A3486" s="213" t="s">
        <v>327</v>
      </c>
      <c r="D3486" s="213" t="s">
        <v>29198</v>
      </c>
      <c r="E3486" s="213" t="s">
        <v>29199</v>
      </c>
      <c r="K3486" s="213" t="s">
        <v>65280</v>
      </c>
      <c r="L3486" s="213" t="s">
        <v>65318</v>
      </c>
      <c r="M3486" s="213" t="s">
        <v>65356</v>
      </c>
      <c r="N3486" s="213" t="s">
        <v>29200</v>
      </c>
      <c r="O3486" s="213" t="s">
        <v>29201</v>
      </c>
      <c r="P3486" s="213" t="s">
        <v>29202</v>
      </c>
      <c r="Q3486" s="213" t="s">
        <v>29203</v>
      </c>
      <c r="R3486" s="213" t="s">
        <v>29204</v>
      </c>
      <c r="S3486" s="213" t="s">
        <v>29205</v>
      </c>
      <c r="T3486" s="213" t="s">
        <v>29206</v>
      </c>
      <c r="U3486" s="213" t="s">
        <v>65394</v>
      </c>
    </row>
    <row r="3487" spans="1:21" x14ac:dyDescent="0.25">
      <c r="A3487" s="213" t="s">
        <v>327</v>
      </c>
      <c r="D3487" s="213" t="s">
        <v>29207</v>
      </c>
      <c r="E3487" s="213" t="s">
        <v>29208</v>
      </c>
      <c r="K3487" s="213" t="s">
        <v>65281</v>
      </c>
      <c r="L3487" s="213" t="s">
        <v>65319</v>
      </c>
      <c r="M3487" s="213" t="s">
        <v>65357</v>
      </c>
      <c r="N3487" s="213" t="s">
        <v>29209</v>
      </c>
      <c r="O3487" s="213" t="s">
        <v>29210</v>
      </c>
      <c r="P3487" s="213" t="s">
        <v>29211</v>
      </c>
      <c r="Q3487" s="213" t="s">
        <v>29212</v>
      </c>
      <c r="R3487" s="213" t="s">
        <v>29213</v>
      </c>
      <c r="S3487" s="213" t="s">
        <v>29214</v>
      </c>
      <c r="T3487" s="213" t="s">
        <v>29215</v>
      </c>
      <c r="U3487" s="213" t="s">
        <v>65395</v>
      </c>
    </row>
    <row r="3488" spans="1:21" x14ac:dyDescent="0.25">
      <c r="A3488" s="213" t="s">
        <v>327</v>
      </c>
      <c r="D3488" s="213" t="s">
        <v>29216</v>
      </c>
      <c r="E3488" s="213" t="s">
        <v>29217</v>
      </c>
      <c r="K3488" s="213" t="s">
        <v>65282</v>
      </c>
      <c r="L3488" s="213" t="s">
        <v>65320</v>
      </c>
      <c r="M3488" s="213" t="s">
        <v>65358</v>
      </c>
      <c r="N3488" s="213" t="s">
        <v>29218</v>
      </c>
      <c r="O3488" s="213" t="s">
        <v>29219</v>
      </c>
      <c r="P3488" s="213" t="s">
        <v>29220</v>
      </c>
      <c r="Q3488" s="213" t="s">
        <v>29221</v>
      </c>
      <c r="R3488" s="213" t="s">
        <v>29222</v>
      </c>
      <c r="S3488" s="213" t="s">
        <v>29223</v>
      </c>
      <c r="T3488" s="213" t="s">
        <v>29224</v>
      </c>
      <c r="U3488" s="213" t="s">
        <v>65396</v>
      </c>
    </row>
    <row r="3489" spans="1:21" x14ac:dyDescent="0.25">
      <c r="A3489" s="213" t="s">
        <v>327</v>
      </c>
      <c r="D3489" s="213" t="s">
        <v>29225</v>
      </c>
      <c r="E3489" s="213" t="s">
        <v>29226</v>
      </c>
      <c r="K3489" s="213" t="s">
        <v>65283</v>
      </c>
      <c r="L3489" s="213" t="s">
        <v>65321</v>
      </c>
      <c r="M3489" s="213" t="s">
        <v>65359</v>
      </c>
      <c r="N3489" s="213" t="s">
        <v>29227</v>
      </c>
      <c r="O3489" s="213" t="s">
        <v>29228</v>
      </c>
      <c r="P3489" s="213" t="s">
        <v>29229</v>
      </c>
      <c r="Q3489" s="213" t="s">
        <v>29230</v>
      </c>
      <c r="R3489" s="213" t="s">
        <v>29231</v>
      </c>
      <c r="S3489" s="213" t="s">
        <v>29232</v>
      </c>
      <c r="T3489" s="213" t="s">
        <v>29233</v>
      </c>
      <c r="U3489" s="213" t="s">
        <v>65397</v>
      </c>
    </row>
    <row r="3490" spans="1:21" x14ac:dyDescent="0.25">
      <c r="A3490" s="213" t="s">
        <v>327</v>
      </c>
      <c r="D3490" s="213" t="s">
        <v>29234</v>
      </c>
      <c r="E3490" s="213" t="s">
        <v>29235</v>
      </c>
      <c r="K3490" s="213" t="s">
        <v>65284</v>
      </c>
      <c r="L3490" s="213" t="s">
        <v>65322</v>
      </c>
      <c r="M3490" s="213" t="s">
        <v>65360</v>
      </c>
      <c r="N3490" s="213" t="s">
        <v>29236</v>
      </c>
      <c r="O3490" s="213" t="s">
        <v>29237</v>
      </c>
      <c r="P3490" s="213" t="s">
        <v>29238</v>
      </c>
      <c r="Q3490" s="213" t="s">
        <v>29239</v>
      </c>
      <c r="R3490" s="213" t="s">
        <v>29240</v>
      </c>
      <c r="S3490" s="213" t="s">
        <v>29241</v>
      </c>
      <c r="T3490" s="213" t="s">
        <v>29242</v>
      </c>
      <c r="U3490" s="213" t="s">
        <v>65398</v>
      </c>
    </row>
    <row r="3491" spans="1:21" x14ac:dyDescent="0.25">
      <c r="A3491" s="213" t="s">
        <v>327</v>
      </c>
      <c r="D3491" s="213" t="s">
        <v>29243</v>
      </c>
      <c r="E3491" s="213" t="s">
        <v>29244</v>
      </c>
      <c r="K3491" s="213" t="s">
        <v>65285</v>
      </c>
      <c r="L3491" s="213" t="s">
        <v>65323</v>
      </c>
      <c r="M3491" s="213" t="s">
        <v>65361</v>
      </c>
      <c r="N3491" s="213" t="s">
        <v>29245</v>
      </c>
      <c r="O3491" s="213" t="s">
        <v>29246</v>
      </c>
      <c r="P3491" s="213" t="s">
        <v>29247</v>
      </c>
      <c r="Q3491" s="213" t="s">
        <v>29248</v>
      </c>
      <c r="R3491" s="213" t="s">
        <v>29249</v>
      </c>
      <c r="S3491" s="213" t="s">
        <v>29250</v>
      </c>
      <c r="T3491" s="213" t="s">
        <v>29251</v>
      </c>
      <c r="U3491" s="213" t="s">
        <v>65399</v>
      </c>
    </row>
    <row r="3492" spans="1:21" x14ac:dyDescent="0.25">
      <c r="A3492" s="213" t="s">
        <v>327</v>
      </c>
      <c r="D3492" s="213" t="s">
        <v>29252</v>
      </c>
      <c r="E3492" s="213" t="s">
        <v>29253</v>
      </c>
      <c r="K3492" s="213" t="s">
        <v>65286</v>
      </c>
      <c r="L3492" s="213" t="s">
        <v>65324</v>
      </c>
      <c r="M3492" s="213" t="s">
        <v>65362</v>
      </c>
      <c r="N3492" s="213" t="s">
        <v>29254</v>
      </c>
      <c r="O3492" s="213" t="s">
        <v>29255</v>
      </c>
      <c r="P3492" s="213" t="s">
        <v>29256</v>
      </c>
      <c r="Q3492" s="213" t="s">
        <v>29257</v>
      </c>
      <c r="R3492" s="213" t="s">
        <v>29258</v>
      </c>
      <c r="S3492" s="213" t="s">
        <v>29259</v>
      </c>
      <c r="T3492" s="213" t="s">
        <v>29260</v>
      </c>
      <c r="U3492" s="213" t="s">
        <v>65400</v>
      </c>
    </row>
    <row r="3493" spans="1:21" x14ac:dyDescent="0.25">
      <c r="A3493" s="213" t="s">
        <v>327</v>
      </c>
      <c r="D3493" s="213" t="s">
        <v>29261</v>
      </c>
      <c r="E3493" s="213" t="s">
        <v>29262</v>
      </c>
      <c r="K3493" s="213" t="s">
        <v>65287</v>
      </c>
      <c r="L3493" s="213" t="s">
        <v>65325</v>
      </c>
      <c r="M3493" s="213" t="s">
        <v>65363</v>
      </c>
      <c r="N3493" s="213" t="s">
        <v>29263</v>
      </c>
      <c r="O3493" s="213" t="s">
        <v>29264</v>
      </c>
      <c r="P3493" s="213" t="s">
        <v>29265</v>
      </c>
      <c r="Q3493" s="213" t="s">
        <v>29266</v>
      </c>
      <c r="R3493" s="213" t="s">
        <v>29267</v>
      </c>
      <c r="S3493" s="213" t="s">
        <v>29268</v>
      </c>
      <c r="T3493" s="213" t="s">
        <v>29269</v>
      </c>
      <c r="U3493" s="213" t="s">
        <v>65401</v>
      </c>
    </row>
    <row r="3494" spans="1:21" x14ac:dyDescent="0.25">
      <c r="A3494" s="213" t="s">
        <v>327</v>
      </c>
    </row>
    <row r="3495" spans="1:21" x14ac:dyDescent="0.25">
      <c r="A3495" s="213" t="s">
        <v>327</v>
      </c>
    </row>
    <row r="3496" spans="1:21" x14ac:dyDescent="0.25">
      <c r="A3496" s="213" t="s">
        <v>327</v>
      </c>
      <c r="C3496" s="213" t="s">
        <v>29270</v>
      </c>
      <c r="E3496" s="213" t="s">
        <v>29271</v>
      </c>
      <c r="H3496" s="213" t="s">
        <v>29272</v>
      </c>
      <c r="I3496" s="213" t="s">
        <v>29273</v>
      </c>
      <c r="J3496" s="213" t="s">
        <v>29274</v>
      </c>
      <c r="L3496" s="213" t="s">
        <v>29275</v>
      </c>
      <c r="O3496" s="213" t="s">
        <v>29276</v>
      </c>
      <c r="P3496" s="213" t="s">
        <v>29277</v>
      </c>
      <c r="Q3496" s="213" t="s">
        <v>29278</v>
      </c>
      <c r="R3496" s="213" t="s">
        <v>29279</v>
      </c>
      <c r="S3496" s="213" t="s">
        <v>29280</v>
      </c>
      <c r="T3496" s="213" t="s">
        <v>29281</v>
      </c>
    </row>
    <row r="3497" spans="1:21" x14ac:dyDescent="0.25">
      <c r="A3497" s="213" t="s">
        <v>327</v>
      </c>
      <c r="C3497" s="213" t="s">
        <v>29282</v>
      </c>
      <c r="E3497" s="213" t="s">
        <v>29283</v>
      </c>
      <c r="I3497" s="213" t="s">
        <v>29284</v>
      </c>
    </row>
    <row r="3498" spans="1:21" x14ac:dyDescent="0.25">
      <c r="A3498" s="213" t="s">
        <v>327</v>
      </c>
      <c r="C3498" s="213" t="s">
        <v>29285</v>
      </c>
      <c r="E3498" s="213" t="s">
        <v>29286</v>
      </c>
      <c r="I3498" s="213" t="s">
        <v>29287</v>
      </c>
    </row>
    <row r="3499" spans="1:21" x14ac:dyDescent="0.25">
      <c r="A3499" s="213" t="s">
        <v>328</v>
      </c>
    </row>
    <row r="3500" spans="1:21" x14ac:dyDescent="0.25">
      <c r="A3500" s="213" t="s">
        <v>327</v>
      </c>
      <c r="D3500" s="213" t="s">
        <v>29288</v>
      </c>
      <c r="E3500" s="213" t="s">
        <v>29289</v>
      </c>
      <c r="K3500" s="213" t="s">
        <v>65102</v>
      </c>
      <c r="L3500" s="213" t="s">
        <v>65139</v>
      </c>
      <c r="M3500" s="213" t="s">
        <v>65176</v>
      </c>
      <c r="N3500" s="213" t="s">
        <v>29290</v>
      </c>
      <c r="O3500" s="213" t="s">
        <v>29291</v>
      </c>
      <c r="P3500" s="213" t="s">
        <v>29292</v>
      </c>
      <c r="Q3500" s="213" t="s">
        <v>29293</v>
      </c>
      <c r="R3500" s="213" t="s">
        <v>29294</v>
      </c>
      <c r="S3500" s="213" t="s">
        <v>29295</v>
      </c>
      <c r="T3500" s="213" t="s">
        <v>29296</v>
      </c>
      <c r="U3500" s="213" t="s">
        <v>65213</v>
      </c>
    </row>
    <row r="3501" spans="1:21" x14ac:dyDescent="0.25">
      <c r="A3501" s="213" t="s">
        <v>327</v>
      </c>
      <c r="D3501" s="213" t="s">
        <v>29297</v>
      </c>
      <c r="E3501" s="213" t="s">
        <v>29298</v>
      </c>
      <c r="K3501" s="213" t="s">
        <v>65103</v>
      </c>
      <c r="L3501" s="213" t="s">
        <v>65140</v>
      </c>
      <c r="M3501" s="213" t="s">
        <v>65177</v>
      </c>
      <c r="N3501" s="213" t="s">
        <v>29299</v>
      </c>
      <c r="O3501" s="213" t="s">
        <v>29300</v>
      </c>
      <c r="P3501" s="213" t="s">
        <v>29301</v>
      </c>
      <c r="Q3501" s="213" t="s">
        <v>29302</v>
      </c>
      <c r="R3501" s="213" t="s">
        <v>29303</v>
      </c>
      <c r="S3501" s="213" t="s">
        <v>29304</v>
      </c>
      <c r="T3501" s="213" t="s">
        <v>29305</v>
      </c>
      <c r="U3501" s="213" t="s">
        <v>65214</v>
      </c>
    </row>
    <row r="3502" spans="1:21" x14ac:dyDescent="0.25">
      <c r="A3502" s="213" t="s">
        <v>327</v>
      </c>
      <c r="D3502" s="213" t="s">
        <v>29306</v>
      </c>
      <c r="E3502" s="213" t="s">
        <v>29307</v>
      </c>
      <c r="K3502" s="213" t="s">
        <v>65104</v>
      </c>
      <c r="L3502" s="213" t="s">
        <v>65141</v>
      </c>
      <c r="M3502" s="213" t="s">
        <v>65178</v>
      </c>
      <c r="N3502" s="213" t="s">
        <v>29308</v>
      </c>
      <c r="O3502" s="213" t="s">
        <v>29309</v>
      </c>
      <c r="P3502" s="213" t="s">
        <v>29310</v>
      </c>
      <c r="Q3502" s="213" t="s">
        <v>29311</v>
      </c>
      <c r="R3502" s="213" t="s">
        <v>29312</v>
      </c>
      <c r="S3502" s="213" t="s">
        <v>29313</v>
      </c>
      <c r="T3502" s="213" t="s">
        <v>29314</v>
      </c>
      <c r="U3502" s="213" t="s">
        <v>65215</v>
      </c>
    </row>
    <row r="3503" spans="1:21" x14ac:dyDescent="0.25">
      <c r="A3503" s="213" t="s">
        <v>327</v>
      </c>
      <c r="D3503" s="213" t="s">
        <v>29315</v>
      </c>
      <c r="E3503" s="213" t="s">
        <v>29316</v>
      </c>
      <c r="K3503" s="213" t="s">
        <v>65105</v>
      </c>
      <c r="L3503" s="213" t="s">
        <v>65142</v>
      </c>
      <c r="M3503" s="213" t="s">
        <v>65179</v>
      </c>
      <c r="N3503" s="213" t="s">
        <v>29317</v>
      </c>
      <c r="O3503" s="213" t="s">
        <v>29318</v>
      </c>
      <c r="P3503" s="213" t="s">
        <v>29319</v>
      </c>
      <c r="Q3503" s="213" t="s">
        <v>29320</v>
      </c>
      <c r="R3503" s="213" t="s">
        <v>29321</v>
      </c>
      <c r="S3503" s="213" t="s">
        <v>29322</v>
      </c>
      <c r="T3503" s="213" t="s">
        <v>29323</v>
      </c>
      <c r="U3503" s="213" t="s">
        <v>65216</v>
      </c>
    </row>
    <row r="3504" spans="1:21" x14ac:dyDescent="0.25">
      <c r="A3504" s="213" t="s">
        <v>327</v>
      </c>
      <c r="D3504" s="213" t="s">
        <v>29324</v>
      </c>
      <c r="E3504" s="213" t="s">
        <v>29325</v>
      </c>
      <c r="K3504" s="213" t="s">
        <v>65106</v>
      </c>
      <c r="L3504" s="213" t="s">
        <v>65143</v>
      </c>
      <c r="M3504" s="213" t="s">
        <v>65180</v>
      </c>
      <c r="N3504" s="213" t="s">
        <v>29326</v>
      </c>
      <c r="O3504" s="213" t="s">
        <v>29327</v>
      </c>
      <c r="P3504" s="213" t="s">
        <v>29328</v>
      </c>
      <c r="Q3504" s="213" t="s">
        <v>29329</v>
      </c>
      <c r="R3504" s="213" t="s">
        <v>29330</v>
      </c>
      <c r="S3504" s="213" t="s">
        <v>29331</v>
      </c>
      <c r="T3504" s="213" t="s">
        <v>29332</v>
      </c>
      <c r="U3504" s="213" t="s">
        <v>65217</v>
      </c>
    </row>
    <row r="3505" spans="1:21" x14ac:dyDescent="0.25">
      <c r="A3505" s="213" t="s">
        <v>327</v>
      </c>
      <c r="D3505" s="213" t="s">
        <v>29333</v>
      </c>
      <c r="E3505" s="213" t="s">
        <v>29334</v>
      </c>
      <c r="K3505" s="213" t="s">
        <v>65107</v>
      </c>
      <c r="L3505" s="213" t="s">
        <v>65144</v>
      </c>
      <c r="M3505" s="213" t="s">
        <v>65181</v>
      </c>
      <c r="N3505" s="213" t="s">
        <v>29335</v>
      </c>
      <c r="O3505" s="213" t="s">
        <v>29336</v>
      </c>
      <c r="P3505" s="213" t="s">
        <v>29337</v>
      </c>
      <c r="Q3505" s="213" t="s">
        <v>29338</v>
      </c>
      <c r="R3505" s="213" t="s">
        <v>29339</v>
      </c>
      <c r="S3505" s="213" t="s">
        <v>29340</v>
      </c>
      <c r="T3505" s="213" t="s">
        <v>29341</v>
      </c>
      <c r="U3505" s="213" t="s">
        <v>65218</v>
      </c>
    </row>
    <row r="3506" spans="1:21" x14ac:dyDescent="0.25">
      <c r="A3506" s="213" t="s">
        <v>327</v>
      </c>
      <c r="D3506" s="213" t="s">
        <v>29342</v>
      </c>
      <c r="E3506" s="213" t="s">
        <v>29343</v>
      </c>
      <c r="K3506" s="213" t="s">
        <v>65108</v>
      </c>
      <c r="L3506" s="213" t="s">
        <v>65145</v>
      </c>
      <c r="M3506" s="213" t="s">
        <v>65182</v>
      </c>
      <c r="N3506" s="213" t="s">
        <v>29344</v>
      </c>
      <c r="O3506" s="213" t="s">
        <v>29345</v>
      </c>
      <c r="P3506" s="213" t="s">
        <v>29346</v>
      </c>
      <c r="Q3506" s="213" t="s">
        <v>29347</v>
      </c>
      <c r="R3506" s="213" t="s">
        <v>29348</v>
      </c>
      <c r="S3506" s="213" t="s">
        <v>29349</v>
      </c>
      <c r="T3506" s="213" t="s">
        <v>29350</v>
      </c>
      <c r="U3506" s="213" t="s">
        <v>65219</v>
      </c>
    </row>
    <row r="3507" spans="1:21" x14ac:dyDescent="0.25">
      <c r="A3507" s="213" t="s">
        <v>327</v>
      </c>
      <c r="D3507" s="213" t="s">
        <v>29351</v>
      </c>
      <c r="E3507" s="213" t="s">
        <v>29352</v>
      </c>
      <c r="K3507" s="213" t="s">
        <v>65109</v>
      </c>
      <c r="L3507" s="213" t="s">
        <v>65146</v>
      </c>
      <c r="M3507" s="213" t="s">
        <v>65183</v>
      </c>
      <c r="N3507" s="213" t="s">
        <v>29353</v>
      </c>
      <c r="O3507" s="213" t="s">
        <v>29354</v>
      </c>
      <c r="P3507" s="213" t="s">
        <v>29355</v>
      </c>
      <c r="Q3507" s="213" t="s">
        <v>29356</v>
      </c>
      <c r="R3507" s="213" t="s">
        <v>29357</v>
      </c>
      <c r="S3507" s="213" t="s">
        <v>29358</v>
      </c>
      <c r="T3507" s="213" t="s">
        <v>29359</v>
      </c>
      <c r="U3507" s="213" t="s">
        <v>65220</v>
      </c>
    </row>
    <row r="3508" spans="1:21" x14ac:dyDescent="0.25">
      <c r="A3508" s="213" t="s">
        <v>327</v>
      </c>
      <c r="D3508" s="213" t="s">
        <v>29360</v>
      </c>
      <c r="E3508" s="213" t="s">
        <v>29361</v>
      </c>
      <c r="K3508" s="213" t="s">
        <v>65110</v>
      </c>
      <c r="L3508" s="213" t="s">
        <v>65147</v>
      </c>
      <c r="M3508" s="213" t="s">
        <v>65184</v>
      </c>
      <c r="N3508" s="213" t="s">
        <v>29362</v>
      </c>
      <c r="O3508" s="213" t="s">
        <v>29363</v>
      </c>
      <c r="P3508" s="213" t="s">
        <v>29364</v>
      </c>
      <c r="Q3508" s="213" t="s">
        <v>29365</v>
      </c>
      <c r="R3508" s="213" t="s">
        <v>29366</v>
      </c>
      <c r="S3508" s="213" t="s">
        <v>29367</v>
      </c>
      <c r="T3508" s="213" t="s">
        <v>29368</v>
      </c>
      <c r="U3508" s="213" t="s">
        <v>65221</v>
      </c>
    </row>
    <row r="3509" spans="1:21" x14ac:dyDescent="0.25">
      <c r="A3509" s="213" t="s">
        <v>327</v>
      </c>
      <c r="D3509" s="213" t="s">
        <v>29369</v>
      </c>
      <c r="E3509" s="213" t="s">
        <v>29370</v>
      </c>
      <c r="K3509" s="213" t="s">
        <v>65111</v>
      </c>
      <c r="L3509" s="213" t="s">
        <v>65148</v>
      </c>
      <c r="M3509" s="213" t="s">
        <v>65185</v>
      </c>
      <c r="N3509" s="213" t="s">
        <v>29371</v>
      </c>
      <c r="O3509" s="213" t="s">
        <v>29372</v>
      </c>
      <c r="P3509" s="213" t="s">
        <v>29373</v>
      </c>
      <c r="Q3509" s="213" t="s">
        <v>29374</v>
      </c>
      <c r="R3509" s="213" t="s">
        <v>29375</v>
      </c>
      <c r="S3509" s="213" t="s">
        <v>29376</v>
      </c>
      <c r="T3509" s="213" t="s">
        <v>29377</v>
      </c>
      <c r="U3509" s="213" t="s">
        <v>65222</v>
      </c>
    </row>
    <row r="3510" spans="1:21" x14ac:dyDescent="0.25">
      <c r="A3510" s="213" t="s">
        <v>327</v>
      </c>
      <c r="D3510" s="213" t="s">
        <v>29378</v>
      </c>
      <c r="E3510" s="213" t="s">
        <v>29379</v>
      </c>
      <c r="K3510" s="213" t="s">
        <v>65112</v>
      </c>
      <c r="L3510" s="213" t="s">
        <v>65149</v>
      </c>
      <c r="M3510" s="213" t="s">
        <v>65186</v>
      </c>
      <c r="N3510" s="213" t="s">
        <v>29380</v>
      </c>
      <c r="O3510" s="213" t="s">
        <v>29381</v>
      </c>
      <c r="P3510" s="213" t="s">
        <v>29382</v>
      </c>
      <c r="Q3510" s="213" t="s">
        <v>29383</v>
      </c>
      <c r="R3510" s="213" t="s">
        <v>29384</v>
      </c>
      <c r="S3510" s="213" t="s">
        <v>29385</v>
      </c>
      <c r="T3510" s="213" t="s">
        <v>29386</v>
      </c>
      <c r="U3510" s="213" t="s">
        <v>65223</v>
      </c>
    </row>
    <row r="3511" spans="1:21" x14ac:dyDescent="0.25">
      <c r="A3511" s="213" t="s">
        <v>327</v>
      </c>
      <c r="D3511" s="213" t="s">
        <v>29387</v>
      </c>
      <c r="E3511" s="213" t="s">
        <v>29388</v>
      </c>
      <c r="K3511" s="213" t="s">
        <v>65113</v>
      </c>
      <c r="L3511" s="213" t="s">
        <v>65150</v>
      </c>
      <c r="M3511" s="213" t="s">
        <v>65187</v>
      </c>
      <c r="N3511" s="213" t="s">
        <v>29389</v>
      </c>
      <c r="O3511" s="213" t="s">
        <v>29390</v>
      </c>
      <c r="P3511" s="213" t="s">
        <v>29391</v>
      </c>
      <c r="Q3511" s="213" t="s">
        <v>29392</v>
      </c>
      <c r="R3511" s="213" t="s">
        <v>29393</v>
      </c>
      <c r="S3511" s="213" t="s">
        <v>29394</v>
      </c>
      <c r="T3511" s="213" t="s">
        <v>29395</v>
      </c>
      <c r="U3511" s="213" t="s">
        <v>65224</v>
      </c>
    </row>
    <row r="3512" spans="1:21" x14ac:dyDescent="0.25">
      <c r="A3512" s="213" t="s">
        <v>327</v>
      </c>
      <c r="D3512" s="213" t="s">
        <v>29396</v>
      </c>
      <c r="E3512" s="213" t="s">
        <v>29397</v>
      </c>
      <c r="K3512" s="213" t="s">
        <v>65114</v>
      </c>
      <c r="L3512" s="213" t="s">
        <v>65151</v>
      </c>
      <c r="M3512" s="213" t="s">
        <v>65188</v>
      </c>
      <c r="N3512" s="213" t="s">
        <v>29398</v>
      </c>
      <c r="O3512" s="213" t="s">
        <v>29399</v>
      </c>
      <c r="P3512" s="213" t="s">
        <v>29400</v>
      </c>
      <c r="Q3512" s="213" t="s">
        <v>29401</v>
      </c>
      <c r="R3512" s="213" t="s">
        <v>29402</v>
      </c>
      <c r="S3512" s="213" t="s">
        <v>29403</v>
      </c>
      <c r="T3512" s="213" t="s">
        <v>29404</v>
      </c>
      <c r="U3512" s="213" t="s">
        <v>65225</v>
      </c>
    </row>
    <row r="3513" spans="1:21" x14ac:dyDescent="0.25">
      <c r="A3513" s="213" t="s">
        <v>327</v>
      </c>
      <c r="D3513" s="213" t="s">
        <v>29405</v>
      </c>
      <c r="E3513" s="213" t="s">
        <v>29406</v>
      </c>
      <c r="K3513" s="213" t="s">
        <v>65115</v>
      </c>
      <c r="L3513" s="213" t="s">
        <v>65152</v>
      </c>
      <c r="M3513" s="213" t="s">
        <v>65189</v>
      </c>
      <c r="N3513" s="213" t="s">
        <v>29407</v>
      </c>
      <c r="O3513" s="213" t="s">
        <v>29408</v>
      </c>
      <c r="P3513" s="213" t="s">
        <v>29409</v>
      </c>
      <c r="Q3513" s="213" t="s">
        <v>29410</v>
      </c>
      <c r="R3513" s="213" t="s">
        <v>29411</v>
      </c>
      <c r="S3513" s="213" t="s">
        <v>29412</v>
      </c>
      <c r="T3513" s="213" t="s">
        <v>29413</v>
      </c>
      <c r="U3513" s="213" t="s">
        <v>65226</v>
      </c>
    </row>
    <row r="3514" spans="1:21" x14ac:dyDescent="0.25">
      <c r="A3514" s="213" t="s">
        <v>327</v>
      </c>
      <c r="D3514" s="213" t="s">
        <v>29414</v>
      </c>
      <c r="E3514" s="213" t="s">
        <v>29415</v>
      </c>
      <c r="K3514" s="213" t="s">
        <v>65116</v>
      </c>
      <c r="L3514" s="213" t="s">
        <v>65153</v>
      </c>
      <c r="M3514" s="213" t="s">
        <v>65190</v>
      </c>
      <c r="N3514" s="213" t="s">
        <v>29416</v>
      </c>
      <c r="O3514" s="213" t="s">
        <v>29417</v>
      </c>
      <c r="P3514" s="213" t="s">
        <v>29418</v>
      </c>
      <c r="Q3514" s="213" t="s">
        <v>29419</v>
      </c>
      <c r="R3514" s="213" t="s">
        <v>29420</v>
      </c>
      <c r="S3514" s="213" t="s">
        <v>29421</v>
      </c>
      <c r="T3514" s="213" t="s">
        <v>29422</v>
      </c>
      <c r="U3514" s="213" t="s">
        <v>65227</v>
      </c>
    </row>
    <row r="3515" spans="1:21" x14ac:dyDescent="0.25">
      <c r="A3515" s="213" t="s">
        <v>327</v>
      </c>
      <c r="D3515" s="213" t="s">
        <v>29423</v>
      </c>
      <c r="E3515" s="213" t="s">
        <v>29424</v>
      </c>
      <c r="K3515" s="213" t="s">
        <v>65117</v>
      </c>
      <c r="L3515" s="213" t="s">
        <v>65154</v>
      </c>
      <c r="M3515" s="213" t="s">
        <v>65191</v>
      </c>
      <c r="N3515" s="213" t="s">
        <v>29425</v>
      </c>
      <c r="O3515" s="213" t="s">
        <v>29426</v>
      </c>
      <c r="P3515" s="213" t="s">
        <v>29427</v>
      </c>
      <c r="Q3515" s="213" t="s">
        <v>29428</v>
      </c>
      <c r="R3515" s="213" t="s">
        <v>29429</v>
      </c>
      <c r="S3515" s="213" t="s">
        <v>29430</v>
      </c>
      <c r="T3515" s="213" t="s">
        <v>29431</v>
      </c>
      <c r="U3515" s="213" t="s">
        <v>65228</v>
      </c>
    </row>
    <row r="3516" spans="1:21" x14ac:dyDescent="0.25">
      <c r="A3516" s="213" t="s">
        <v>327</v>
      </c>
      <c r="D3516" s="213" t="s">
        <v>29432</v>
      </c>
      <c r="E3516" s="213" t="s">
        <v>29433</v>
      </c>
      <c r="K3516" s="213" t="s">
        <v>65118</v>
      </c>
      <c r="L3516" s="213" t="s">
        <v>65155</v>
      </c>
      <c r="M3516" s="213" t="s">
        <v>65192</v>
      </c>
      <c r="N3516" s="213" t="s">
        <v>29434</v>
      </c>
      <c r="O3516" s="213" t="s">
        <v>29435</v>
      </c>
      <c r="P3516" s="213" t="s">
        <v>29436</v>
      </c>
      <c r="Q3516" s="213" t="s">
        <v>29437</v>
      </c>
      <c r="R3516" s="213" t="s">
        <v>29438</v>
      </c>
      <c r="S3516" s="213" t="s">
        <v>29439</v>
      </c>
      <c r="T3516" s="213" t="s">
        <v>29440</v>
      </c>
      <c r="U3516" s="213" t="s">
        <v>65229</v>
      </c>
    </row>
    <row r="3517" spans="1:21" x14ac:dyDescent="0.25">
      <c r="A3517" s="213" t="s">
        <v>327</v>
      </c>
      <c r="D3517" s="213" t="s">
        <v>29441</v>
      </c>
      <c r="E3517" s="213" t="s">
        <v>29442</v>
      </c>
      <c r="K3517" s="213" t="s">
        <v>65119</v>
      </c>
      <c r="L3517" s="213" t="s">
        <v>65156</v>
      </c>
      <c r="M3517" s="213" t="s">
        <v>65193</v>
      </c>
      <c r="N3517" s="213" t="s">
        <v>29443</v>
      </c>
      <c r="O3517" s="213" t="s">
        <v>29444</v>
      </c>
      <c r="P3517" s="213" t="s">
        <v>29445</v>
      </c>
      <c r="Q3517" s="213" t="s">
        <v>29446</v>
      </c>
      <c r="R3517" s="213" t="s">
        <v>29447</v>
      </c>
      <c r="S3517" s="213" t="s">
        <v>29448</v>
      </c>
      <c r="T3517" s="213" t="s">
        <v>29449</v>
      </c>
      <c r="U3517" s="213" t="s">
        <v>65230</v>
      </c>
    </row>
    <row r="3518" spans="1:21" x14ac:dyDescent="0.25">
      <c r="A3518" s="213" t="s">
        <v>327</v>
      </c>
      <c r="D3518" s="213" t="s">
        <v>29450</v>
      </c>
      <c r="E3518" s="213" t="s">
        <v>29451</v>
      </c>
      <c r="K3518" s="213" t="s">
        <v>65120</v>
      </c>
      <c r="L3518" s="213" t="s">
        <v>65157</v>
      </c>
      <c r="M3518" s="213" t="s">
        <v>65194</v>
      </c>
      <c r="N3518" s="213" t="s">
        <v>29452</v>
      </c>
      <c r="O3518" s="213" t="s">
        <v>29453</v>
      </c>
      <c r="P3518" s="213" t="s">
        <v>29454</v>
      </c>
      <c r="Q3518" s="213" t="s">
        <v>29455</v>
      </c>
      <c r="R3518" s="213" t="s">
        <v>29456</v>
      </c>
      <c r="S3518" s="213" t="s">
        <v>29457</v>
      </c>
      <c r="T3518" s="213" t="s">
        <v>29458</v>
      </c>
      <c r="U3518" s="213" t="s">
        <v>65231</v>
      </c>
    </row>
    <row r="3519" spans="1:21" x14ac:dyDescent="0.25">
      <c r="A3519" s="213" t="s">
        <v>327</v>
      </c>
      <c r="D3519" s="213" t="s">
        <v>29459</v>
      </c>
      <c r="E3519" s="213" t="s">
        <v>29460</v>
      </c>
      <c r="K3519" s="213" t="s">
        <v>65121</v>
      </c>
      <c r="L3519" s="213" t="s">
        <v>65158</v>
      </c>
      <c r="M3519" s="213" t="s">
        <v>65195</v>
      </c>
      <c r="N3519" s="213" t="s">
        <v>29461</v>
      </c>
      <c r="O3519" s="213" t="s">
        <v>29462</v>
      </c>
      <c r="P3519" s="213" t="s">
        <v>29463</v>
      </c>
      <c r="Q3519" s="213" t="s">
        <v>29464</v>
      </c>
      <c r="R3519" s="213" t="s">
        <v>29465</v>
      </c>
      <c r="S3519" s="213" t="s">
        <v>29466</v>
      </c>
      <c r="T3519" s="213" t="s">
        <v>29467</v>
      </c>
      <c r="U3519" s="213" t="s">
        <v>65232</v>
      </c>
    </row>
    <row r="3520" spans="1:21" x14ac:dyDescent="0.25">
      <c r="A3520" s="213" t="s">
        <v>327</v>
      </c>
      <c r="D3520" s="213" t="s">
        <v>29468</v>
      </c>
      <c r="E3520" s="213" t="s">
        <v>29469</v>
      </c>
      <c r="K3520" s="213" t="s">
        <v>65122</v>
      </c>
      <c r="L3520" s="213" t="s">
        <v>65159</v>
      </c>
      <c r="M3520" s="213" t="s">
        <v>65196</v>
      </c>
      <c r="N3520" s="213" t="s">
        <v>29470</v>
      </c>
      <c r="O3520" s="213" t="s">
        <v>29471</v>
      </c>
      <c r="P3520" s="213" t="s">
        <v>29472</v>
      </c>
      <c r="Q3520" s="213" t="s">
        <v>29473</v>
      </c>
      <c r="R3520" s="213" t="s">
        <v>29474</v>
      </c>
      <c r="S3520" s="213" t="s">
        <v>29475</v>
      </c>
      <c r="T3520" s="213" t="s">
        <v>29476</v>
      </c>
      <c r="U3520" s="213" t="s">
        <v>65233</v>
      </c>
    </row>
    <row r="3521" spans="1:21" x14ac:dyDescent="0.25">
      <c r="A3521" s="213" t="s">
        <v>327</v>
      </c>
      <c r="D3521" s="213" t="s">
        <v>29477</v>
      </c>
      <c r="E3521" s="213" t="s">
        <v>29478</v>
      </c>
      <c r="K3521" s="213" t="s">
        <v>65123</v>
      </c>
      <c r="L3521" s="213" t="s">
        <v>65160</v>
      </c>
      <c r="M3521" s="213" t="s">
        <v>65197</v>
      </c>
      <c r="N3521" s="213" t="s">
        <v>29479</v>
      </c>
      <c r="O3521" s="213" t="s">
        <v>29480</v>
      </c>
      <c r="P3521" s="213" t="s">
        <v>29481</v>
      </c>
      <c r="Q3521" s="213" t="s">
        <v>29482</v>
      </c>
      <c r="R3521" s="213" t="s">
        <v>29483</v>
      </c>
      <c r="S3521" s="213" t="s">
        <v>29484</v>
      </c>
      <c r="T3521" s="213" t="s">
        <v>29485</v>
      </c>
      <c r="U3521" s="213" t="s">
        <v>65234</v>
      </c>
    </row>
    <row r="3522" spans="1:21" x14ac:dyDescent="0.25">
      <c r="A3522" s="213" t="s">
        <v>327</v>
      </c>
      <c r="D3522" s="213" t="s">
        <v>29486</v>
      </c>
      <c r="E3522" s="213" t="s">
        <v>29487</v>
      </c>
      <c r="K3522" s="213" t="s">
        <v>65124</v>
      </c>
      <c r="L3522" s="213" t="s">
        <v>65161</v>
      </c>
      <c r="M3522" s="213" t="s">
        <v>65198</v>
      </c>
      <c r="N3522" s="213" t="s">
        <v>29488</v>
      </c>
      <c r="O3522" s="213" t="s">
        <v>29489</v>
      </c>
      <c r="P3522" s="213" t="s">
        <v>29490</v>
      </c>
      <c r="Q3522" s="213" t="s">
        <v>29491</v>
      </c>
      <c r="R3522" s="213" t="s">
        <v>29492</v>
      </c>
      <c r="S3522" s="213" t="s">
        <v>29493</v>
      </c>
      <c r="T3522" s="213" t="s">
        <v>29494</v>
      </c>
      <c r="U3522" s="213" t="s">
        <v>65235</v>
      </c>
    </row>
    <row r="3523" spans="1:21" x14ac:dyDescent="0.25">
      <c r="A3523" s="213" t="s">
        <v>327</v>
      </c>
      <c r="D3523" s="213" t="s">
        <v>29495</v>
      </c>
      <c r="E3523" s="213" t="s">
        <v>29496</v>
      </c>
      <c r="K3523" s="213" t="s">
        <v>65125</v>
      </c>
      <c r="L3523" s="213" t="s">
        <v>65162</v>
      </c>
      <c r="M3523" s="213" t="s">
        <v>65199</v>
      </c>
      <c r="N3523" s="213" t="s">
        <v>29497</v>
      </c>
      <c r="O3523" s="213" t="s">
        <v>29498</v>
      </c>
      <c r="P3523" s="213" t="s">
        <v>29499</v>
      </c>
      <c r="Q3523" s="213" t="s">
        <v>29500</v>
      </c>
      <c r="R3523" s="213" t="s">
        <v>29501</v>
      </c>
      <c r="S3523" s="213" t="s">
        <v>29502</v>
      </c>
      <c r="T3523" s="213" t="s">
        <v>29503</v>
      </c>
      <c r="U3523" s="213" t="s">
        <v>65236</v>
      </c>
    </row>
    <row r="3524" spans="1:21" x14ac:dyDescent="0.25">
      <c r="A3524" s="213" t="s">
        <v>327</v>
      </c>
      <c r="D3524" s="213" t="s">
        <v>29504</v>
      </c>
      <c r="E3524" s="213" t="s">
        <v>29505</v>
      </c>
      <c r="K3524" s="213" t="s">
        <v>65126</v>
      </c>
      <c r="L3524" s="213" t="s">
        <v>65163</v>
      </c>
      <c r="M3524" s="213" t="s">
        <v>65200</v>
      </c>
      <c r="N3524" s="213" t="s">
        <v>29506</v>
      </c>
      <c r="O3524" s="213" t="s">
        <v>29507</v>
      </c>
      <c r="P3524" s="213" t="s">
        <v>29508</v>
      </c>
      <c r="Q3524" s="213" t="s">
        <v>29509</v>
      </c>
      <c r="R3524" s="213" t="s">
        <v>29510</v>
      </c>
      <c r="S3524" s="213" t="s">
        <v>29511</v>
      </c>
      <c r="T3524" s="213" t="s">
        <v>29512</v>
      </c>
      <c r="U3524" s="213" t="s">
        <v>65237</v>
      </c>
    </row>
    <row r="3525" spans="1:21" x14ac:dyDescent="0.25">
      <c r="A3525" s="213" t="s">
        <v>327</v>
      </c>
      <c r="D3525" s="213" t="s">
        <v>29513</v>
      </c>
      <c r="E3525" s="213" t="s">
        <v>29514</v>
      </c>
      <c r="K3525" s="213" t="s">
        <v>65127</v>
      </c>
      <c r="L3525" s="213" t="s">
        <v>65164</v>
      </c>
      <c r="M3525" s="213" t="s">
        <v>65201</v>
      </c>
      <c r="N3525" s="213" t="s">
        <v>29515</v>
      </c>
      <c r="O3525" s="213" t="s">
        <v>29516</v>
      </c>
      <c r="P3525" s="213" t="s">
        <v>29517</v>
      </c>
      <c r="Q3525" s="213" t="s">
        <v>29518</v>
      </c>
      <c r="R3525" s="213" t="s">
        <v>29519</v>
      </c>
      <c r="S3525" s="213" t="s">
        <v>29520</v>
      </c>
      <c r="T3525" s="213" t="s">
        <v>29521</v>
      </c>
      <c r="U3525" s="213" t="s">
        <v>65238</v>
      </c>
    </row>
    <row r="3526" spans="1:21" x14ac:dyDescent="0.25">
      <c r="A3526" s="213" t="s">
        <v>327</v>
      </c>
      <c r="D3526" s="213" t="s">
        <v>29522</v>
      </c>
      <c r="E3526" s="213" t="s">
        <v>29523</v>
      </c>
      <c r="K3526" s="213" t="s">
        <v>65128</v>
      </c>
      <c r="L3526" s="213" t="s">
        <v>65165</v>
      </c>
      <c r="M3526" s="213" t="s">
        <v>65202</v>
      </c>
      <c r="N3526" s="213" t="s">
        <v>29524</v>
      </c>
      <c r="O3526" s="213" t="s">
        <v>29525</v>
      </c>
      <c r="P3526" s="213" t="s">
        <v>29526</v>
      </c>
      <c r="Q3526" s="213" t="s">
        <v>29527</v>
      </c>
      <c r="R3526" s="213" t="s">
        <v>29528</v>
      </c>
      <c r="S3526" s="213" t="s">
        <v>29529</v>
      </c>
      <c r="T3526" s="213" t="s">
        <v>29530</v>
      </c>
      <c r="U3526" s="213" t="s">
        <v>65239</v>
      </c>
    </row>
    <row r="3527" spans="1:21" x14ac:dyDescent="0.25">
      <c r="A3527" s="213" t="s">
        <v>327</v>
      </c>
      <c r="D3527" s="213" t="s">
        <v>29531</v>
      </c>
      <c r="E3527" s="213" t="s">
        <v>29532</v>
      </c>
      <c r="K3527" s="213" t="s">
        <v>65129</v>
      </c>
      <c r="L3527" s="213" t="s">
        <v>65166</v>
      </c>
      <c r="M3527" s="213" t="s">
        <v>65203</v>
      </c>
      <c r="N3527" s="213" t="s">
        <v>29533</v>
      </c>
      <c r="O3527" s="213" t="s">
        <v>29534</v>
      </c>
      <c r="P3527" s="213" t="s">
        <v>29535</v>
      </c>
      <c r="Q3527" s="213" t="s">
        <v>29536</v>
      </c>
      <c r="R3527" s="213" t="s">
        <v>29537</v>
      </c>
      <c r="S3527" s="213" t="s">
        <v>29538</v>
      </c>
      <c r="T3527" s="213" t="s">
        <v>29539</v>
      </c>
      <c r="U3527" s="213" t="s">
        <v>65240</v>
      </c>
    </row>
    <row r="3528" spans="1:21" x14ac:dyDescent="0.25">
      <c r="A3528" s="213" t="s">
        <v>327</v>
      </c>
      <c r="D3528" s="213" t="s">
        <v>29540</v>
      </c>
      <c r="E3528" s="213" t="s">
        <v>29541</v>
      </c>
      <c r="K3528" s="213" t="s">
        <v>65130</v>
      </c>
      <c r="L3528" s="213" t="s">
        <v>65167</v>
      </c>
      <c r="M3528" s="213" t="s">
        <v>65204</v>
      </c>
      <c r="N3528" s="213" t="s">
        <v>29542</v>
      </c>
      <c r="O3528" s="213" t="s">
        <v>29543</v>
      </c>
      <c r="P3528" s="213" t="s">
        <v>29544</v>
      </c>
      <c r="Q3528" s="213" t="s">
        <v>29545</v>
      </c>
      <c r="R3528" s="213" t="s">
        <v>29546</v>
      </c>
      <c r="S3528" s="213" t="s">
        <v>29547</v>
      </c>
      <c r="T3528" s="213" t="s">
        <v>29548</v>
      </c>
      <c r="U3528" s="213" t="s">
        <v>65241</v>
      </c>
    </row>
    <row r="3529" spans="1:21" x14ac:dyDescent="0.25">
      <c r="A3529" s="213" t="s">
        <v>327</v>
      </c>
      <c r="D3529" s="213" t="s">
        <v>29549</v>
      </c>
      <c r="E3529" s="213" t="s">
        <v>29550</v>
      </c>
      <c r="K3529" s="213" t="s">
        <v>65131</v>
      </c>
      <c r="L3529" s="213" t="s">
        <v>65168</v>
      </c>
      <c r="M3529" s="213" t="s">
        <v>65205</v>
      </c>
      <c r="N3529" s="213" t="s">
        <v>29551</v>
      </c>
      <c r="O3529" s="213" t="s">
        <v>29552</v>
      </c>
      <c r="P3529" s="213" t="s">
        <v>29553</v>
      </c>
      <c r="Q3529" s="213" t="s">
        <v>29554</v>
      </c>
      <c r="R3529" s="213" t="s">
        <v>29555</v>
      </c>
      <c r="S3529" s="213" t="s">
        <v>29556</v>
      </c>
      <c r="T3529" s="213" t="s">
        <v>29557</v>
      </c>
      <c r="U3529" s="213" t="s">
        <v>65242</v>
      </c>
    </row>
    <row r="3530" spans="1:21" x14ac:dyDescent="0.25">
      <c r="A3530" s="213" t="s">
        <v>327</v>
      </c>
      <c r="D3530" s="213" t="s">
        <v>29558</v>
      </c>
      <c r="E3530" s="213" t="s">
        <v>29559</v>
      </c>
      <c r="K3530" s="213" t="s">
        <v>65132</v>
      </c>
      <c r="L3530" s="213" t="s">
        <v>65169</v>
      </c>
      <c r="M3530" s="213" t="s">
        <v>65206</v>
      </c>
      <c r="N3530" s="213" t="s">
        <v>29560</v>
      </c>
      <c r="O3530" s="213" t="s">
        <v>29561</v>
      </c>
      <c r="P3530" s="213" t="s">
        <v>29562</v>
      </c>
      <c r="Q3530" s="213" t="s">
        <v>29563</v>
      </c>
      <c r="R3530" s="213" t="s">
        <v>29564</v>
      </c>
      <c r="S3530" s="213" t="s">
        <v>29565</v>
      </c>
      <c r="T3530" s="213" t="s">
        <v>29566</v>
      </c>
      <c r="U3530" s="213" t="s">
        <v>65243</v>
      </c>
    </row>
    <row r="3531" spans="1:21" x14ac:dyDescent="0.25">
      <c r="A3531" s="213" t="s">
        <v>327</v>
      </c>
      <c r="D3531" s="213" t="s">
        <v>29567</v>
      </c>
      <c r="E3531" s="213" t="s">
        <v>29568</v>
      </c>
      <c r="K3531" s="213" t="s">
        <v>65133</v>
      </c>
      <c r="L3531" s="213" t="s">
        <v>65170</v>
      </c>
      <c r="M3531" s="213" t="s">
        <v>65207</v>
      </c>
      <c r="N3531" s="213" t="s">
        <v>29569</v>
      </c>
      <c r="O3531" s="213" t="s">
        <v>29570</v>
      </c>
      <c r="P3531" s="213" t="s">
        <v>29571</v>
      </c>
      <c r="Q3531" s="213" t="s">
        <v>29572</v>
      </c>
      <c r="R3531" s="213" t="s">
        <v>29573</v>
      </c>
      <c r="S3531" s="213" t="s">
        <v>29574</v>
      </c>
      <c r="T3531" s="213" t="s">
        <v>29575</v>
      </c>
      <c r="U3531" s="213" t="s">
        <v>65244</v>
      </c>
    </row>
    <row r="3532" spans="1:21" x14ac:dyDescent="0.25">
      <c r="A3532" s="213" t="s">
        <v>327</v>
      </c>
      <c r="D3532" s="213" t="s">
        <v>29576</v>
      </c>
      <c r="E3532" s="213" t="s">
        <v>29577</v>
      </c>
      <c r="K3532" s="213" t="s">
        <v>65134</v>
      </c>
      <c r="L3532" s="213" t="s">
        <v>65171</v>
      </c>
      <c r="M3532" s="213" t="s">
        <v>65208</v>
      </c>
      <c r="N3532" s="213" t="s">
        <v>29578</v>
      </c>
      <c r="O3532" s="213" t="s">
        <v>29579</v>
      </c>
      <c r="P3532" s="213" t="s">
        <v>29580</v>
      </c>
      <c r="Q3532" s="213" t="s">
        <v>29581</v>
      </c>
      <c r="R3532" s="213" t="s">
        <v>29582</v>
      </c>
      <c r="S3532" s="213" t="s">
        <v>29583</v>
      </c>
      <c r="T3532" s="213" t="s">
        <v>29584</v>
      </c>
      <c r="U3532" s="213" t="s">
        <v>65245</v>
      </c>
    </row>
    <row r="3533" spans="1:21" x14ac:dyDescent="0.25">
      <c r="A3533" s="213" t="s">
        <v>327</v>
      </c>
      <c r="D3533" s="213" t="s">
        <v>29585</v>
      </c>
      <c r="E3533" s="213" t="s">
        <v>29586</v>
      </c>
      <c r="K3533" s="213" t="s">
        <v>65135</v>
      </c>
      <c r="L3533" s="213" t="s">
        <v>65172</v>
      </c>
      <c r="M3533" s="213" t="s">
        <v>65209</v>
      </c>
      <c r="N3533" s="213" t="s">
        <v>29587</v>
      </c>
      <c r="O3533" s="213" t="s">
        <v>29588</v>
      </c>
      <c r="P3533" s="213" t="s">
        <v>29589</v>
      </c>
      <c r="Q3533" s="213" t="s">
        <v>29590</v>
      </c>
      <c r="R3533" s="213" t="s">
        <v>29591</v>
      </c>
      <c r="S3533" s="213" t="s">
        <v>29592</v>
      </c>
      <c r="T3533" s="213" t="s">
        <v>29593</v>
      </c>
      <c r="U3533" s="213" t="s">
        <v>65246</v>
      </c>
    </row>
    <row r="3534" spans="1:21" x14ac:dyDescent="0.25">
      <c r="A3534" s="213" t="s">
        <v>327</v>
      </c>
      <c r="D3534" s="213" t="s">
        <v>29594</v>
      </c>
      <c r="E3534" s="213" t="s">
        <v>29595</v>
      </c>
      <c r="K3534" s="213" t="s">
        <v>65136</v>
      </c>
      <c r="L3534" s="213" t="s">
        <v>65173</v>
      </c>
      <c r="M3534" s="213" t="s">
        <v>65210</v>
      </c>
      <c r="N3534" s="213" t="s">
        <v>29596</v>
      </c>
      <c r="O3534" s="213" t="s">
        <v>29597</v>
      </c>
      <c r="P3534" s="213" t="s">
        <v>29598</v>
      </c>
      <c r="Q3534" s="213" t="s">
        <v>29599</v>
      </c>
      <c r="R3534" s="213" t="s">
        <v>29600</v>
      </c>
      <c r="S3534" s="213" t="s">
        <v>29601</v>
      </c>
      <c r="T3534" s="213" t="s">
        <v>29602</v>
      </c>
      <c r="U3534" s="213" t="s">
        <v>65247</v>
      </c>
    </row>
    <row r="3535" spans="1:21" x14ac:dyDescent="0.25">
      <c r="A3535" s="213" t="s">
        <v>327</v>
      </c>
      <c r="D3535" s="213" t="s">
        <v>29603</v>
      </c>
      <c r="E3535" s="213" t="s">
        <v>29604</v>
      </c>
      <c r="K3535" s="213" t="s">
        <v>65137</v>
      </c>
      <c r="L3535" s="213" t="s">
        <v>65174</v>
      </c>
      <c r="M3535" s="213" t="s">
        <v>65211</v>
      </c>
      <c r="N3535" s="213" t="s">
        <v>29605</v>
      </c>
      <c r="O3535" s="213" t="s">
        <v>29606</v>
      </c>
      <c r="P3535" s="213" t="s">
        <v>29607</v>
      </c>
      <c r="Q3535" s="213" t="s">
        <v>29608</v>
      </c>
      <c r="R3535" s="213" t="s">
        <v>29609</v>
      </c>
      <c r="S3535" s="213" t="s">
        <v>29610</v>
      </c>
      <c r="T3535" s="213" t="s">
        <v>29611</v>
      </c>
      <c r="U3535" s="213" t="s">
        <v>65248</v>
      </c>
    </row>
    <row r="3536" spans="1:21" x14ac:dyDescent="0.25">
      <c r="A3536" s="213" t="s">
        <v>327</v>
      </c>
      <c r="D3536" s="213" t="s">
        <v>29612</v>
      </c>
      <c r="E3536" s="213" t="s">
        <v>29613</v>
      </c>
      <c r="K3536" s="213" t="s">
        <v>65138</v>
      </c>
      <c r="L3536" s="213" t="s">
        <v>65175</v>
      </c>
      <c r="M3536" s="213" t="s">
        <v>65212</v>
      </c>
      <c r="N3536" s="213" t="s">
        <v>29614</v>
      </c>
      <c r="O3536" s="213" t="s">
        <v>29615</v>
      </c>
      <c r="P3536" s="213" t="s">
        <v>29616</v>
      </c>
      <c r="Q3536" s="213" t="s">
        <v>29617</v>
      </c>
      <c r="R3536" s="213" t="s">
        <v>29618</v>
      </c>
      <c r="S3536" s="213" t="s">
        <v>29619</v>
      </c>
      <c r="T3536" s="213" t="s">
        <v>29620</v>
      </c>
      <c r="U3536" s="213" t="s">
        <v>65249</v>
      </c>
    </row>
    <row r="3537" spans="1:21" x14ac:dyDescent="0.25">
      <c r="A3537" s="213" t="s">
        <v>327</v>
      </c>
    </row>
    <row r="3538" spans="1:21" x14ac:dyDescent="0.25">
      <c r="A3538" s="213" t="s">
        <v>327</v>
      </c>
    </row>
    <row r="3539" spans="1:21" x14ac:dyDescent="0.25">
      <c r="A3539" s="213" t="s">
        <v>327</v>
      </c>
      <c r="C3539" s="213" t="s">
        <v>29621</v>
      </c>
      <c r="E3539" s="213" t="s">
        <v>29622</v>
      </c>
      <c r="H3539" s="213" t="s">
        <v>29623</v>
      </c>
      <c r="I3539" s="213" t="s">
        <v>29624</v>
      </c>
      <c r="J3539" s="213" t="s">
        <v>29625</v>
      </c>
      <c r="L3539" s="213" t="s">
        <v>29626</v>
      </c>
      <c r="O3539" s="213" t="s">
        <v>29627</v>
      </c>
      <c r="P3539" s="213" t="s">
        <v>29628</v>
      </c>
      <c r="Q3539" s="213" t="s">
        <v>29629</v>
      </c>
      <c r="R3539" s="213" t="s">
        <v>29630</v>
      </c>
      <c r="S3539" s="213" t="s">
        <v>29631</v>
      </c>
      <c r="T3539" s="213" t="s">
        <v>29632</v>
      </c>
    </row>
    <row r="3540" spans="1:21" x14ac:dyDescent="0.25">
      <c r="A3540" s="213" t="s">
        <v>327</v>
      </c>
      <c r="C3540" s="213" t="s">
        <v>29633</v>
      </c>
      <c r="E3540" s="213" t="s">
        <v>29634</v>
      </c>
      <c r="I3540" s="213" t="s">
        <v>29635</v>
      </c>
    </row>
    <row r="3541" spans="1:21" x14ac:dyDescent="0.25">
      <c r="A3541" s="213" t="s">
        <v>327</v>
      </c>
      <c r="C3541" s="213" t="s">
        <v>29636</v>
      </c>
      <c r="E3541" s="213" t="s">
        <v>29637</v>
      </c>
      <c r="I3541" s="213" t="s">
        <v>29638</v>
      </c>
    </row>
    <row r="3542" spans="1:21" x14ac:dyDescent="0.25">
      <c r="A3542" s="213" t="s">
        <v>328</v>
      </c>
    </row>
    <row r="3543" spans="1:21" x14ac:dyDescent="0.25">
      <c r="A3543" s="213" t="s">
        <v>327</v>
      </c>
      <c r="D3543" s="213" t="s">
        <v>29639</v>
      </c>
      <c r="E3543" s="213" t="s">
        <v>29640</v>
      </c>
      <c r="K3543" s="213" t="s">
        <v>64902</v>
      </c>
      <c r="L3543" s="213" t="s">
        <v>64952</v>
      </c>
      <c r="M3543" s="213" t="s">
        <v>65002</v>
      </c>
      <c r="N3543" s="213" t="s">
        <v>29641</v>
      </c>
      <c r="O3543" s="213" t="s">
        <v>29642</v>
      </c>
      <c r="P3543" s="213" t="s">
        <v>29643</v>
      </c>
      <c r="Q3543" s="213" t="s">
        <v>29644</v>
      </c>
      <c r="R3543" s="213" t="s">
        <v>29645</v>
      </c>
      <c r="S3543" s="213" t="s">
        <v>29646</v>
      </c>
      <c r="T3543" s="213" t="s">
        <v>29647</v>
      </c>
      <c r="U3543" s="213" t="s">
        <v>65052</v>
      </c>
    </row>
    <row r="3544" spans="1:21" x14ac:dyDescent="0.25">
      <c r="A3544" s="213" t="s">
        <v>327</v>
      </c>
      <c r="D3544" s="213" t="s">
        <v>29648</v>
      </c>
      <c r="E3544" s="213" t="s">
        <v>29649</v>
      </c>
      <c r="K3544" s="213" t="s">
        <v>64903</v>
      </c>
      <c r="L3544" s="213" t="s">
        <v>64953</v>
      </c>
      <c r="M3544" s="213" t="s">
        <v>65003</v>
      </c>
      <c r="N3544" s="213" t="s">
        <v>29650</v>
      </c>
      <c r="O3544" s="213" t="s">
        <v>29651</v>
      </c>
      <c r="P3544" s="213" t="s">
        <v>29652</v>
      </c>
      <c r="Q3544" s="213" t="s">
        <v>29653</v>
      </c>
      <c r="R3544" s="213" t="s">
        <v>29654</v>
      </c>
      <c r="S3544" s="213" t="s">
        <v>29655</v>
      </c>
      <c r="T3544" s="213" t="s">
        <v>29656</v>
      </c>
      <c r="U3544" s="213" t="s">
        <v>65053</v>
      </c>
    </row>
    <row r="3545" spans="1:21" x14ac:dyDescent="0.25">
      <c r="A3545" s="213" t="s">
        <v>327</v>
      </c>
      <c r="D3545" s="213" t="s">
        <v>29657</v>
      </c>
      <c r="E3545" s="213" t="s">
        <v>29658</v>
      </c>
      <c r="K3545" s="213" t="s">
        <v>64904</v>
      </c>
      <c r="L3545" s="213" t="s">
        <v>64954</v>
      </c>
      <c r="M3545" s="213" t="s">
        <v>65004</v>
      </c>
      <c r="N3545" s="213" t="s">
        <v>29659</v>
      </c>
      <c r="O3545" s="213" t="s">
        <v>29660</v>
      </c>
      <c r="P3545" s="213" t="s">
        <v>29661</v>
      </c>
      <c r="Q3545" s="213" t="s">
        <v>29662</v>
      </c>
      <c r="R3545" s="213" t="s">
        <v>29663</v>
      </c>
      <c r="S3545" s="213" t="s">
        <v>29664</v>
      </c>
      <c r="T3545" s="213" t="s">
        <v>29665</v>
      </c>
      <c r="U3545" s="213" t="s">
        <v>65054</v>
      </c>
    </row>
    <row r="3546" spans="1:21" x14ac:dyDescent="0.25">
      <c r="A3546" s="213" t="s">
        <v>327</v>
      </c>
      <c r="D3546" s="213" t="s">
        <v>29666</v>
      </c>
      <c r="E3546" s="213" t="s">
        <v>29667</v>
      </c>
      <c r="K3546" s="213" t="s">
        <v>64905</v>
      </c>
      <c r="L3546" s="213" t="s">
        <v>64955</v>
      </c>
      <c r="M3546" s="213" t="s">
        <v>65005</v>
      </c>
      <c r="N3546" s="213" t="s">
        <v>29668</v>
      </c>
      <c r="O3546" s="213" t="s">
        <v>29669</v>
      </c>
      <c r="P3546" s="213" t="s">
        <v>29670</v>
      </c>
      <c r="Q3546" s="213" t="s">
        <v>29671</v>
      </c>
      <c r="R3546" s="213" t="s">
        <v>29672</v>
      </c>
      <c r="S3546" s="213" t="s">
        <v>29673</v>
      </c>
      <c r="T3546" s="213" t="s">
        <v>29674</v>
      </c>
      <c r="U3546" s="213" t="s">
        <v>65055</v>
      </c>
    </row>
    <row r="3547" spans="1:21" x14ac:dyDescent="0.25">
      <c r="A3547" s="213" t="s">
        <v>327</v>
      </c>
      <c r="D3547" s="213" t="s">
        <v>29675</v>
      </c>
      <c r="E3547" s="213" t="s">
        <v>29676</v>
      </c>
      <c r="K3547" s="213" t="s">
        <v>64906</v>
      </c>
      <c r="L3547" s="213" t="s">
        <v>64956</v>
      </c>
      <c r="M3547" s="213" t="s">
        <v>65006</v>
      </c>
      <c r="N3547" s="213" t="s">
        <v>29677</v>
      </c>
      <c r="O3547" s="213" t="s">
        <v>29678</v>
      </c>
      <c r="P3547" s="213" t="s">
        <v>29679</v>
      </c>
      <c r="Q3547" s="213" t="s">
        <v>29680</v>
      </c>
      <c r="R3547" s="213" t="s">
        <v>29681</v>
      </c>
      <c r="S3547" s="213" t="s">
        <v>29682</v>
      </c>
      <c r="T3547" s="213" t="s">
        <v>29683</v>
      </c>
      <c r="U3547" s="213" t="s">
        <v>65056</v>
      </c>
    </row>
    <row r="3548" spans="1:21" x14ac:dyDescent="0.25">
      <c r="A3548" s="213" t="s">
        <v>327</v>
      </c>
      <c r="D3548" s="213" t="s">
        <v>29684</v>
      </c>
      <c r="E3548" s="213" t="s">
        <v>29685</v>
      </c>
      <c r="K3548" s="213" t="s">
        <v>64907</v>
      </c>
      <c r="L3548" s="213" t="s">
        <v>64957</v>
      </c>
      <c r="M3548" s="213" t="s">
        <v>65007</v>
      </c>
      <c r="N3548" s="213" t="s">
        <v>29686</v>
      </c>
      <c r="O3548" s="213" t="s">
        <v>29687</v>
      </c>
      <c r="P3548" s="213" t="s">
        <v>29688</v>
      </c>
      <c r="Q3548" s="213" t="s">
        <v>29689</v>
      </c>
      <c r="R3548" s="213" t="s">
        <v>29690</v>
      </c>
      <c r="S3548" s="213" t="s">
        <v>29691</v>
      </c>
      <c r="T3548" s="213" t="s">
        <v>29692</v>
      </c>
      <c r="U3548" s="213" t="s">
        <v>65057</v>
      </c>
    </row>
    <row r="3549" spans="1:21" x14ac:dyDescent="0.25">
      <c r="A3549" s="213" t="s">
        <v>327</v>
      </c>
      <c r="D3549" s="213" t="s">
        <v>29693</v>
      </c>
      <c r="E3549" s="213" t="s">
        <v>29694</v>
      </c>
      <c r="K3549" s="213" t="s">
        <v>64908</v>
      </c>
      <c r="L3549" s="213" t="s">
        <v>64958</v>
      </c>
      <c r="M3549" s="213" t="s">
        <v>65008</v>
      </c>
      <c r="N3549" s="213" t="s">
        <v>29695</v>
      </c>
      <c r="O3549" s="213" t="s">
        <v>29696</v>
      </c>
      <c r="P3549" s="213" t="s">
        <v>29697</v>
      </c>
      <c r="Q3549" s="213" t="s">
        <v>29698</v>
      </c>
      <c r="R3549" s="213" t="s">
        <v>29699</v>
      </c>
      <c r="S3549" s="213" t="s">
        <v>29700</v>
      </c>
      <c r="T3549" s="213" t="s">
        <v>29701</v>
      </c>
      <c r="U3549" s="213" t="s">
        <v>65058</v>
      </c>
    </row>
    <row r="3550" spans="1:21" x14ac:dyDescent="0.25">
      <c r="A3550" s="213" t="s">
        <v>327</v>
      </c>
      <c r="D3550" s="213" t="s">
        <v>29702</v>
      </c>
      <c r="E3550" s="213" t="s">
        <v>29703</v>
      </c>
      <c r="K3550" s="213" t="s">
        <v>64909</v>
      </c>
      <c r="L3550" s="213" t="s">
        <v>64959</v>
      </c>
      <c r="M3550" s="213" t="s">
        <v>65009</v>
      </c>
      <c r="N3550" s="213" t="s">
        <v>29704</v>
      </c>
      <c r="O3550" s="213" t="s">
        <v>29705</v>
      </c>
      <c r="P3550" s="213" t="s">
        <v>29706</v>
      </c>
      <c r="Q3550" s="213" t="s">
        <v>29707</v>
      </c>
      <c r="R3550" s="213" t="s">
        <v>29708</v>
      </c>
      <c r="S3550" s="213" t="s">
        <v>29709</v>
      </c>
      <c r="T3550" s="213" t="s">
        <v>29710</v>
      </c>
      <c r="U3550" s="213" t="s">
        <v>65059</v>
      </c>
    </row>
    <row r="3551" spans="1:21" x14ac:dyDescent="0.25">
      <c r="A3551" s="213" t="s">
        <v>327</v>
      </c>
      <c r="D3551" s="213" t="s">
        <v>29711</v>
      </c>
      <c r="E3551" s="213" t="s">
        <v>29712</v>
      </c>
      <c r="K3551" s="213" t="s">
        <v>64910</v>
      </c>
      <c r="L3551" s="213" t="s">
        <v>64960</v>
      </c>
      <c r="M3551" s="213" t="s">
        <v>65010</v>
      </c>
      <c r="N3551" s="213" t="s">
        <v>29713</v>
      </c>
      <c r="O3551" s="213" t="s">
        <v>29714</v>
      </c>
      <c r="P3551" s="213" t="s">
        <v>29715</v>
      </c>
      <c r="Q3551" s="213" t="s">
        <v>29716</v>
      </c>
      <c r="R3551" s="213" t="s">
        <v>29717</v>
      </c>
      <c r="S3551" s="213" t="s">
        <v>29718</v>
      </c>
      <c r="T3551" s="213" t="s">
        <v>29719</v>
      </c>
      <c r="U3551" s="213" t="s">
        <v>65060</v>
      </c>
    </row>
    <row r="3552" spans="1:21" x14ac:dyDescent="0.25">
      <c r="A3552" s="213" t="s">
        <v>327</v>
      </c>
      <c r="D3552" s="213" t="s">
        <v>29720</v>
      </c>
      <c r="E3552" s="213" t="s">
        <v>29721</v>
      </c>
      <c r="K3552" s="213" t="s">
        <v>64911</v>
      </c>
      <c r="L3552" s="213" t="s">
        <v>64961</v>
      </c>
      <c r="M3552" s="213" t="s">
        <v>65011</v>
      </c>
      <c r="N3552" s="213" t="s">
        <v>29722</v>
      </c>
      <c r="O3552" s="213" t="s">
        <v>29723</v>
      </c>
      <c r="P3552" s="213" t="s">
        <v>29724</v>
      </c>
      <c r="Q3552" s="213" t="s">
        <v>29725</v>
      </c>
      <c r="R3552" s="213" t="s">
        <v>29726</v>
      </c>
      <c r="S3552" s="213" t="s">
        <v>29727</v>
      </c>
      <c r="T3552" s="213" t="s">
        <v>29728</v>
      </c>
      <c r="U3552" s="213" t="s">
        <v>65061</v>
      </c>
    </row>
    <row r="3553" spans="1:21" x14ac:dyDescent="0.25">
      <c r="A3553" s="213" t="s">
        <v>327</v>
      </c>
      <c r="D3553" s="213" t="s">
        <v>29729</v>
      </c>
      <c r="E3553" s="213" t="s">
        <v>29730</v>
      </c>
      <c r="K3553" s="213" t="s">
        <v>64912</v>
      </c>
      <c r="L3553" s="213" t="s">
        <v>64962</v>
      </c>
      <c r="M3553" s="213" t="s">
        <v>65012</v>
      </c>
      <c r="N3553" s="213" t="s">
        <v>29731</v>
      </c>
      <c r="O3553" s="213" t="s">
        <v>29732</v>
      </c>
      <c r="P3553" s="213" t="s">
        <v>29733</v>
      </c>
      <c r="Q3553" s="213" t="s">
        <v>29734</v>
      </c>
      <c r="R3553" s="213" t="s">
        <v>29735</v>
      </c>
      <c r="S3553" s="213" t="s">
        <v>29736</v>
      </c>
      <c r="T3553" s="213" t="s">
        <v>29737</v>
      </c>
      <c r="U3553" s="213" t="s">
        <v>65062</v>
      </c>
    </row>
    <row r="3554" spans="1:21" x14ac:dyDescent="0.25">
      <c r="A3554" s="213" t="s">
        <v>327</v>
      </c>
      <c r="D3554" s="213" t="s">
        <v>29738</v>
      </c>
      <c r="E3554" s="213" t="s">
        <v>29739</v>
      </c>
      <c r="K3554" s="213" t="s">
        <v>64913</v>
      </c>
      <c r="L3554" s="213" t="s">
        <v>64963</v>
      </c>
      <c r="M3554" s="213" t="s">
        <v>65013</v>
      </c>
      <c r="N3554" s="213" t="s">
        <v>29740</v>
      </c>
      <c r="O3554" s="213" t="s">
        <v>29741</v>
      </c>
      <c r="P3554" s="213" t="s">
        <v>29742</v>
      </c>
      <c r="Q3554" s="213" t="s">
        <v>29743</v>
      </c>
      <c r="R3554" s="213" t="s">
        <v>29744</v>
      </c>
      <c r="S3554" s="213" t="s">
        <v>29745</v>
      </c>
      <c r="T3554" s="213" t="s">
        <v>29746</v>
      </c>
      <c r="U3554" s="213" t="s">
        <v>65063</v>
      </c>
    </row>
    <row r="3555" spans="1:21" x14ac:dyDescent="0.25">
      <c r="A3555" s="213" t="s">
        <v>327</v>
      </c>
      <c r="D3555" s="213" t="s">
        <v>29747</v>
      </c>
      <c r="E3555" s="213" t="s">
        <v>29748</v>
      </c>
      <c r="K3555" s="213" t="s">
        <v>64914</v>
      </c>
      <c r="L3555" s="213" t="s">
        <v>64964</v>
      </c>
      <c r="M3555" s="213" t="s">
        <v>65014</v>
      </c>
      <c r="N3555" s="213" t="s">
        <v>29749</v>
      </c>
      <c r="O3555" s="213" t="s">
        <v>29750</v>
      </c>
      <c r="P3555" s="213" t="s">
        <v>29751</v>
      </c>
      <c r="Q3555" s="213" t="s">
        <v>29752</v>
      </c>
      <c r="R3555" s="213" t="s">
        <v>29753</v>
      </c>
      <c r="S3555" s="213" t="s">
        <v>29754</v>
      </c>
      <c r="T3555" s="213" t="s">
        <v>29755</v>
      </c>
      <c r="U3555" s="213" t="s">
        <v>65064</v>
      </c>
    </row>
    <row r="3556" spans="1:21" x14ac:dyDescent="0.25">
      <c r="A3556" s="213" t="s">
        <v>327</v>
      </c>
      <c r="D3556" s="213" t="s">
        <v>29756</v>
      </c>
      <c r="E3556" s="213" t="s">
        <v>29757</v>
      </c>
      <c r="K3556" s="213" t="s">
        <v>64915</v>
      </c>
      <c r="L3556" s="213" t="s">
        <v>64965</v>
      </c>
      <c r="M3556" s="213" t="s">
        <v>65015</v>
      </c>
      <c r="N3556" s="213" t="s">
        <v>29758</v>
      </c>
      <c r="O3556" s="213" t="s">
        <v>29759</v>
      </c>
      <c r="P3556" s="213" t="s">
        <v>29760</v>
      </c>
      <c r="Q3556" s="213" t="s">
        <v>29761</v>
      </c>
      <c r="R3556" s="213" t="s">
        <v>29762</v>
      </c>
      <c r="S3556" s="213" t="s">
        <v>29763</v>
      </c>
      <c r="T3556" s="213" t="s">
        <v>29764</v>
      </c>
      <c r="U3556" s="213" t="s">
        <v>65065</v>
      </c>
    </row>
    <row r="3557" spans="1:21" x14ac:dyDescent="0.25">
      <c r="A3557" s="213" t="s">
        <v>327</v>
      </c>
      <c r="D3557" s="213" t="s">
        <v>29765</v>
      </c>
      <c r="E3557" s="213" t="s">
        <v>29766</v>
      </c>
      <c r="K3557" s="213" t="s">
        <v>64916</v>
      </c>
      <c r="L3557" s="213" t="s">
        <v>64966</v>
      </c>
      <c r="M3557" s="213" t="s">
        <v>65016</v>
      </c>
      <c r="N3557" s="213" t="s">
        <v>29767</v>
      </c>
      <c r="O3557" s="213" t="s">
        <v>29768</v>
      </c>
      <c r="P3557" s="213" t="s">
        <v>29769</v>
      </c>
      <c r="Q3557" s="213" t="s">
        <v>29770</v>
      </c>
      <c r="R3557" s="213" t="s">
        <v>29771</v>
      </c>
      <c r="S3557" s="213" t="s">
        <v>29772</v>
      </c>
      <c r="T3557" s="213" t="s">
        <v>29773</v>
      </c>
      <c r="U3557" s="213" t="s">
        <v>65066</v>
      </c>
    </row>
    <row r="3558" spans="1:21" x14ac:dyDescent="0.25">
      <c r="A3558" s="213" t="s">
        <v>327</v>
      </c>
      <c r="D3558" s="213" t="s">
        <v>29774</v>
      </c>
      <c r="E3558" s="213" t="s">
        <v>29775</v>
      </c>
      <c r="K3558" s="213" t="s">
        <v>64917</v>
      </c>
      <c r="L3558" s="213" t="s">
        <v>64967</v>
      </c>
      <c r="M3558" s="213" t="s">
        <v>65017</v>
      </c>
      <c r="N3558" s="213" t="s">
        <v>29776</v>
      </c>
      <c r="O3558" s="213" t="s">
        <v>29777</v>
      </c>
      <c r="P3558" s="213" t="s">
        <v>29778</v>
      </c>
      <c r="Q3558" s="213" t="s">
        <v>29779</v>
      </c>
      <c r="R3558" s="213" t="s">
        <v>29780</v>
      </c>
      <c r="S3558" s="213" t="s">
        <v>29781</v>
      </c>
      <c r="T3558" s="213" t="s">
        <v>29782</v>
      </c>
      <c r="U3558" s="213" t="s">
        <v>65067</v>
      </c>
    </row>
    <row r="3559" spans="1:21" x14ac:dyDescent="0.25">
      <c r="A3559" s="213" t="s">
        <v>327</v>
      </c>
      <c r="D3559" s="213" t="s">
        <v>29783</v>
      </c>
      <c r="E3559" s="213" t="s">
        <v>29784</v>
      </c>
      <c r="K3559" s="213" t="s">
        <v>64918</v>
      </c>
      <c r="L3559" s="213" t="s">
        <v>64968</v>
      </c>
      <c r="M3559" s="213" t="s">
        <v>65018</v>
      </c>
      <c r="N3559" s="213" t="s">
        <v>29785</v>
      </c>
      <c r="O3559" s="213" t="s">
        <v>29786</v>
      </c>
      <c r="P3559" s="213" t="s">
        <v>29787</v>
      </c>
      <c r="Q3559" s="213" t="s">
        <v>29788</v>
      </c>
      <c r="R3559" s="213" t="s">
        <v>29789</v>
      </c>
      <c r="S3559" s="213" t="s">
        <v>29790</v>
      </c>
      <c r="T3559" s="213" t="s">
        <v>29791</v>
      </c>
      <c r="U3559" s="213" t="s">
        <v>65068</v>
      </c>
    </row>
    <row r="3560" spans="1:21" x14ac:dyDescent="0.25">
      <c r="A3560" s="213" t="s">
        <v>327</v>
      </c>
      <c r="D3560" s="213" t="s">
        <v>29792</v>
      </c>
      <c r="E3560" s="213" t="s">
        <v>29793</v>
      </c>
      <c r="K3560" s="213" t="s">
        <v>64919</v>
      </c>
      <c r="L3560" s="213" t="s">
        <v>64969</v>
      </c>
      <c r="M3560" s="213" t="s">
        <v>65019</v>
      </c>
      <c r="N3560" s="213" t="s">
        <v>29794</v>
      </c>
      <c r="O3560" s="213" t="s">
        <v>29795</v>
      </c>
      <c r="P3560" s="213" t="s">
        <v>29796</v>
      </c>
      <c r="Q3560" s="213" t="s">
        <v>29797</v>
      </c>
      <c r="R3560" s="213" t="s">
        <v>29798</v>
      </c>
      <c r="S3560" s="213" t="s">
        <v>29799</v>
      </c>
      <c r="T3560" s="213" t="s">
        <v>29800</v>
      </c>
      <c r="U3560" s="213" t="s">
        <v>65069</v>
      </c>
    </row>
    <row r="3561" spans="1:21" x14ac:dyDescent="0.25">
      <c r="A3561" s="213" t="s">
        <v>327</v>
      </c>
      <c r="D3561" s="213" t="s">
        <v>29801</v>
      </c>
      <c r="E3561" s="213" t="s">
        <v>29802</v>
      </c>
      <c r="K3561" s="213" t="s">
        <v>64920</v>
      </c>
      <c r="L3561" s="213" t="s">
        <v>64970</v>
      </c>
      <c r="M3561" s="213" t="s">
        <v>65020</v>
      </c>
      <c r="N3561" s="213" t="s">
        <v>29803</v>
      </c>
      <c r="O3561" s="213" t="s">
        <v>29804</v>
      </c>
      <c r="P3561" s="213" t="s">
        <v>29805</v>
      </c>
      <c r="Q3561" s="213" t="s">
        <v>29806</v>
      </c>
      <c r="R3561" s="213" t="s">
        <v>29807</v>
      </c>
      <c r="S3561" s="213" t="s">
        <v>29808</v>
      </c>
      <c r="T3561" s="213" t="s">
        <v>29809</v>
      </c>
      <c r="U3561" s="213" t="s">
        <v>65070</v>
      </c>
    </row>
    <row r="3562" spans="1:21" x14ac:dyDescent="0.25">
      <c r="A3562" s="213" t="s">
        <v>327</v>
      </c>
      <c r="D3562" s="213" t="s">
        <v>29810</v>
      </c>
      <c r="E3562" s="213" t="s">
        <v>29811</v>
      </c>
      <c r="K3562" s="213" t="s">
        <v>64921</v>
      </c>
      <c r="L3562" s="213" t="s">
        <v>64971</v>
      </c>
      <c r="M3562" s="213" t="s">
        <v>65021</v>
      </c>
      <c r="N3562" s="213" t="s">
        <v>29812</v>
      </c>
      <c r="O3562" s="213" t="s">
        <v>29813</v>
      </c>
      <c r="P3562" s="213" t="s">
        <v>29814</v>
      </c>
      <c r="Q3562" s="213" t="s">
        <v>29815</v>
      </c>
      <c r="R3562" s="213" t="s">
        <v>29816</v>
      </c>
      <c r="S3562" s="213" t="s">
        <v>29817</v>
      </c>
      <c r="T3562" s="213" t="s">
        <v>29818</v>
      </c>
      <c r="U3562" s="213" t="s">
        <v>65071</v>
      </c>
    </row>
    <row r="3563" spans="1:21" x14ac:dyDescent="0.25">
      <c r="A3563" s="213" t="s">
        <v>327</v>
      </c>
      <c r="D3563" s="213" t="s">
        <v>29819</v>
      </c>
      <c r="E3563" s="213" t="s">
        <v>29820</v>
      </c>
      <c r="K3563" s="213" t="s">
        <v>64922</v>
      </c>
      <c r="L3563" s="213" t="s">
        <v>64972</v>
      </c>
      <c r="M3563" s="213" t="s">
        <v>65022</v>
      </c>
      <c r="N3563" s="213" t="s">
        <v>29821</v>
      </c>
      <c r="O3563" s="213" t="s">
        <v>29822</v>
      </c>
      <c r="P3563" s="213" t="s">
        <v>29823</v>
      </c>
      <c r="Q3563" s="213" t="s">
        <v>29824</v>
      </c>
      <c r="R3563" s="213" t="s">
        <v>29825</v>
      </c>
      <c r="S3563" s="213" t="s">
        <v>29826</v>
      </c>
      <c r="T3563" s="213" t="s">
        <v>29827</v>
      </c>
      <c r="U3563" s="213" t="s">
        <v>65072</v>
      </c>
    </row>
    <row r="3564" spans="1:21" x14ac:dyDescent="0.25">
      <c r="A3564" s="213" t="s">
        <v>327</v>
      </c>
      <c r="D3564" s="213" t="s">
        <v>29828</v>
      </c>
      <c r="E3564" s="213" t="s">
        <v>29829</v>
      </c>
      <c r="K3564" s="213" t="s">
        <v>64923</v>
      </c>
      <c r="L3564" s="213" t="s">
        <v>64973</v>
      </c>
      <c r="M3564" s="213" t="s">
        <v>65023</v>
      </c>
      <c r="N3564" s="213" t="s">
        <v>29830</v>
      </c>
      <c r="O3564" s="213" t="s">
        <v>29831</v>
      </c>
      <c r="P3564" s="213" t="s">
        <v>29832</v>
      </c>
      <c r="Q3564" s="213" t="s">
        <v>29833</v>
      </c>
      <c r="R3564" s="213" t="s">
        <v>29834</v>
      </c>
      <c r="S3564" s="213" t="s">
        <v>29835</v>
      </c>
      <c r="T3564" s="213" t="s">
        <v>29836</v>
      </c>
      <c r="U3564" s="213" t="s">
        <v>65073</v>
      </c>
    </row>
    <row r="3565" spans="1:21" x14ac:dyDescent="0.25">
      <c r="A3565" s="213" t="s">
        <v>327</v>
      </c>
      <c r="D3565" s="213" t="s">
        <v>29837</v>
      </c>
      <c r="E3565" s="213" t="s">
        <v>29838</v>
      </c>
      <c r="K3565" s="213" t="s">
        <v>64924</v>
      </c>
      <c r="L3565" s="213" t="s">
        <v>64974</v>
      </c>
      <c r="M3565" s="213" t="s">
        <v>65024</v>
      </c>
      <c r="N3565" s="213" t="s">
        <v>29839</v>
      </c>
      <c r="O3565" s="213" t="s">
        <v>29840</v>
      </c>
      <c r="P3565" s="213" t="s">
        <v>29841</v>
      </c>
      <c r="Q3565" s="213" t="s">
        <v>29842</v>
      </c>
      <c r="R3565" s="213" t="s">
        <v>29843</v>
      </c>
      <c r="S3565" s="213" t="s">
        <v>29844</v>
      </c>
      <c r="T3565" s="213" t="s">
        <v>29845</v>
      </c>
      <c r="U3565" s="213" t="s">
        <v>65074</v>
      </c>
    </row>
    <row r="3566" spans="1:21" x14ac:dyDescent="0.25">
      <c r="A3566" s="213" t="s">
        <v>327</v>
      </c>
      <c r="D3566" s="213" t="s">
        <v>29846</v>
      </c>
      <c r="E3566" s="213" t="s">
        <v>29847</v>
      </c>
      <c r="K3566" s="213" t="s">
        <v>64925</v>
      </c>
      <c r="L3566" s="213" t="s">
        <v>64975</v>
      </c>
      <c r="M3566" s="213" t="s">
        <v>65025</v>
      </c>
      <c r="N3566" s="213" t="s">
        <v>29848</v>
      </c>
      <c r="O3566" s="213" t="s">
        <v>29849</v>
      </c>
      <c r="P3566" s="213" t="s">
        <v>29850</v>
      </c>
      <c r="Q3566" s="213" t="s">
        <v>29851</v>
      </c>
      <c r="R3566" s="213" t="s">
        <v>29852</v>
      </c>
      <c r="S3566" s="213" t="s">
        <v>29853</v>
      </c>
      <c r="T3566" s="213" t="s">
        <v>29854</v>
      </c>
      <c r="U3566" s="213" t="s">
        <v>65075</v>
      </c>
    </row>
    <row r="3567" spans="1:21" x14ac:dyDescent="0.25">
      <c r="A3567" s="213" t="s">
        <v>327</v>
      </c>
      <c r="D3567" s="213" t="s">
        <v>344</v>
      </c>
      <c r="E3567" s="213" t="s">
        <v>29855</v>
      </c>
      <c r="K3567" s="213" t="s">
        <v>64926</v>
      </c>
      <c r="L3567" s="213" t="s">
        <v>64976</v>
      </c>
      <c r="M3567" s="213" t="s">
        <v>65026</v>
      </c>
      <c r="N3567" s="213" t="s">
        <v>29856</v>
      </c>
      <c r="O3567" s="213" t="s">
        <v>29857</v>
      </c>
      <c r="P3567" s="213" t="s">
        <v>29858</v>
      </c>
      <c r="Q3567" s="213" t="s">
        <v>29859</v>
      </c>
      <c r="R3567" s="213" t="s">
        <v>29860</v>
      </c>
      <c r="S3567" s="213" t="s">
        <v>29861</v>
      </c>
      <c r="T3567" s="213" t="s">
        <v>29862</v>
      </c>
      <c r="U3567" s="213" t="s">
        <v>65076</v>
      </c>
    </row>
    <row r="3568" spans="1:21" x14ac:dyDescent="0.25">
      <c r="A3568" s="213" t="s">
        <v>327</v>
      </c>
      <c r="D3568" s="213" t="s">
        <v>29863</v>
      </c>
      <c r="E3568" s="213" t="s">
        <v>29864</v>
      </c>
      <c r="K3568" s="213" t="s">
        <v>64927</v>
      </c>
      <c r="L3568" s="213" t="s">
        <v>64977</v>
      </c>
      <c r="M3568" s="213" t="s">
        <v>65027</v>
      </c>
      <c r="N3568" s="213" t="s">
        <v>29865</v>
      </c>
      <c r="O3568" s="213" t="s">
        <v>29866</v>
      </c>
      <c r="P3568" s="213" t="s">
        <v>29867</v>
      </c>
      <c r="Q3568" s="213" t="s">
        <v>29868</v>
      </c>
      <c r="R3568" s="213" t="s">
        <v>29869</v>
      </c>
      <c r="S3568" s="213" t="s">
        <v>29870</v>
      </c>
      <c r="T3568" s="213" t="s">
        <v>29871</v>
      </c>
      <c r="U3568" s="213" t="s">
        <v>65077</v>
      </c>
    </row>
    <row r="3569" spans="1:21" x14ac:dyDescent="0.25">
      <c r="A3569" s="213" t="s">
        <v>327</v>
      </c>
      <c r="D3569" s="213" t="s">
        <v>29872</v>
      </c>
      <c r="E3569" s="213" t="s">
        <v>29873</v>
      </c>
      <c r="K3569" s="213" t="s">
        <v>64928</v>
      </c>
      <c r="L3569" s="213" t="s">
        <v>64978</v>
      </c>
      <c r="M3569" s="213" t="s">
        <v>65028</v>
      </c>
      <c r="N3569" s="213" t="s">
        <v>29874</v>
      </c>
      <c r="O3569" s="213" t="s">
        <v>29875</v>
      </c>
      <c r="P3569" s="213" t="s">
        <v>29876</v>
      </c>
      <c r="Q3569" s="213" t="s">
        <v>29877</v>
      </c>
      <c r="R3569" s="213" t="s">
        <v>29878</v>
      </c>
      <c r="S3569" s="213" t="s">
        <v>29879</v>
      </c>
      <c r="T3569" s="213" t="s">
        <v>29880</v>
      </c>
      <c r="U3569" s="213" t="s">
        <v>65078</v>
      </c>
    </row>
    <row r="3570" spans="1:21" x14ac:dyDescent="0.25">
      <c r="A3570" s="213" t="s">
        <v>327</v>
      </c>
      <c r="D3570" s="213" t="s">
        <v>29881</v>
      </c>
      <c r="E3570" s="213" t="s">
        <v>29882</v>
      </c>
      <c r="K3570" s="213" t="s">
        <v>64929</v>
      </c>
      <c r="L3570" s="213" t="s">
        <v>64979</v>
      </c>
      <c r="M3570" s="213" t="s">
        <v>65029</v>
      </c>
      <c r="N3570" s="213" t="s">
        <v>29883</v>
      </c>
      <c r="O3570" s="213" t="s">
        <v>29884</v>
      </c>
      <c r="P3570" s="213" t="s">
        <v>29885</v>
      </c>
      <c r="Q3570" s="213" t="s">
        <v>29886</v>
      </c>
      <c r="R3570" s="213" t="s">
        <v>29887</v>
      </c>
      <c r="S3570" s="213" t="s">
        <v>29888</v>
      </c>
      <c r="T3570" s="213" t="s">
        <v>29889</v>
      </c>
      <c r="U3570" s="213" t="s">
        <v>65079</v>
      </c>
    </row>
    <row r="3571" spans="1:21" x14ac:dyDescent="0.25">
      <c r="A3571" s="213" t="s">
        <v>327</v>
      </c>
      <c r="D3571" s="213" t="s">
        <v>29890</v>
      </c>
      <c r="E3571" s="213" t="s">
        <v>29891</v>
      </c>
      <c r="K3571" s="213" t="s">
        <v>64930</v>
      </c>
      <c r="L3571" s="213" t="s">
        <v>64980</v>
      </c>
      <c r="M3571" s="213" t="s">
        <v>65030</v>
      </c>
      <c r="N3571" s="213" t="s">
        <v>29892</v>
      </c>
      <c r="O3571" s="213" t="s">
        <v>29893</v>
      </c>
      <c r="P3571" s="213" t="s">
        <v>29894</v>
      </c>
      <c r="Q3571" s="213" t="s">
        <v>29895</v>
      </c>
      <c r="R3571" s="213" t="s">
        <v>29896</v>
      </c>
      <c r="S3571" s="213" t="s">
        <v>29897</v>
      </c>
      <c r="T3571" s="213" t="s">
        <v>29898</v>
      </c>
      <c r="U3571" s="213" t="s">
        <v>65080</v>
      </c>
    </row>
    <row r="3572" spans="1:21" x14ac:dyDescent="0.25">
      <c r="A3572" s="213" t="s">
        <v>327</v>
      </c>
      <c r="D3572" s="213" t="s">
        <v>29899</v>
      </c>
      <c r="E3572" s="213" t="s">
        <v>29900</v>
      </c>
      <c r="K3572" s="213" t="s">
        <v>64931</v>
      </c>
      <c r="L3572" s="213" t="s">
        <v>64981</v>
      </c>
      <c r="M3572" s="213" t="s">
        <v>65031</v>
      </c>
      <c r="N3572" s="213" t="s">
        <v>29901</v>
      </c>
      <c r="O3572" s="213" t="s">
        <v>29902</v>
      </c>
      <c r="P3572" s="213" t="s">
        <v>29903</v>
      </c>
      <c r="Q3572" s="213" t="s">
        <v>29904</v>
      </c>
      <c r="R3572" s="213" t="s">
        <v>29905</v>
      </c>
      <c r="S3572" s="213" t="s">
        <v>29906</v>
      </c>
      <c r="T3572" s="213" t="s">
        <v>29907</v>
      </c>
      <c r="U3572" s="213" t="s">
        <v>65081</v>
      </c>
    </row>
    <row r="3573" spans="1:21" x14ac:dyDescent="0.25">
      <c r="A3573" s="213" t="s">
        <v>327</v>
      </c>
      <c r="D3573" s="213" t="s">
        <v>29908</v>
      </c>
      <c r="E3573" s="213" t="s">
        <v>29909</v>
      </c>
      <c r="K3573" s="213" t="s">
        <v>64932</v>
      </c>
      <c r="L3573" s="213" t="s">
        <v>64982</v>
      </c>
      <c r="M3573" s="213" t="s">
        <v>65032</v>
      </c>
      <c r="N3573" s="213" t="s">
        <v>29910</v>
      </c>
      <c r="O3573" s="213" t="s">
        <v>29911</v>
      </c>
      <c r="P3573" s="213" t="s">
        <v>29912</v>
      </c>
      <c r="Q3573" s="213" t="s">
        <v>29913</v>
      </c>
      <c r="R3573" s="213" t="s">
        <v>29914</v>
      </c>
      <c r="S3573" s="213" t="s">
        <v>29915</v>
      </c>
      <c r="T3573" s="213" t="s">
        <v>29916</v>
      </c>
      <c r="U3573" s="213" t="s">
        <v>65082</v>
      </c>
    </row>
    <row r="3574" spans="1:21" x14ac:dyDescent="0.25">
      <c r="A3574" s="213" t="s">
        <v>327</v>
      </c>
      <c r="D3574" s="213" t="s">
        <v>29917</v>
      </c>
      <c r="E3574" s="213" t="s">
        <v>29918</v>
      </c>
      <c r="K3574" s="213" t="s">
        <v>64933</v>
      </c>
      <c r="L3574" s="213" t="s">
        <v>64983</v>
      </c>
      <c r="M3574" s="213" t="s">
        <v>65033</v>
      </c>
      <c r="N3574" s="213" t="s">
        <v>29919</v>
      </c>
      <c r="O3574" s="213" t="s">
        <v>29920</v>
      </c>
      <c r="P3574" s="213" t="s">
        <v>29921</v>
      </c>
      <c r="Q3574" s="213" t="s">
        <v>29922</v>
      </c>
      <c r="R3574" s="213" t="s">
        <v>29923</v>
      </c>
      <c r="S3574" s="213" t="s">
        <v>29924</v>
      </c>
      <c r="T3574" s="213" t="s">
        <v>29925</v>
      </c>
      <c r="U3574" s="213" t="s">
        <v>65083</v>
      </c>
    </row>
    <row r="3575" spans="1:21" x14ac:dyDescent="0.25">
      <c r="A3575" s="213" t="s">
        <v>327</v>
      </c>
      <c r="D3575" s="213" t="s">
        <v>29926</v>
      </c>
      <c r="E3575" s="213" t="s">
        <v>29927</v>
      </c>
      <c r="K3575" s="213" t="s">
        <v>64934</v>
      </c>
      <c r="L3575" s="213" t="s">
        <v>64984</v>
      </c>
      <c r="M3575" s="213" t="s">
        <v>65034</v>
      </c>
      <c r="N3575" s="213" t="s">
        <v>29928</v>
      </c>
      <c r="O3575" s="213" t="s">
        <v>29929</v>
      </c>
      <c r="P3575" s="213" t="s">
        <v>29930</v>
      </c>
      <c r="Q3575" s="213" t="s">
        <v>29931</v>
      </c>
      <c r="R3575" s="213" t="s">
        <v>29932</v>
      </c>
      <c r="S3575" s="213" t="s">
        <v>29933</v>
      </c>
      <c r="T3575" s="213" t="s">
        <v>29934</v>
      </c>
      <c r="U3575" s="213" t="s">
        <v>65084</v>
      </c>
    </row>
    <row r="3576" spans="1:21" x14ac:dyDescent="0.25">
      <c r="A3576" s="213" t="s">
        <v>327</v>
      </c>
      <c r="D3576" s="213" t="s">
        <v>29935</v>
      </c>
      <c r="E3576" s="213" t="s">
        <v>29936</v>
      </c>
      <c r="K3576" s="213" t="s">
        <v>64935</v>
      </c>
      <c r="L3576" s="213" t="s">
        <v>64985</v>
      </c>
      <c r="M3576" s="213" t="s">
        <v>65035</v>
      </c>
      <c r="N3576" s="213" t="s">
        <v>29937</v>
      </c>
      <c r="O3576" s="213" t="s">
        <v>29938</v>
      </c>
      <c r="P3576" s="213" t="s">
        <v>29939</v>
      </c>
      <c r="Q3576" s="213" t="s">
        <v>29940</v>
      </c>
      <c r="R3576" s="213" t="s">
        <v>29941</v>
      </c>
      <c r="S3576" s="213" t="s">
        <v>29942</v>
      </c>
      <c r="T3576" s="213" t="s">
        <v>29943</v>
      </c>
      <c r="U3576" s="213" t="s">
        <v>65085</v>
      </c>
    </row>
    <row r="3577" spans="1:21" x14ac:dyDescent="0.25">
      <c r="A3577" s="213" t="s">
        <v>327</v>
      </c>
      <c r="D3577" s="213" t="s">
        <v>29944</v>
      </c>
      <c r="E3577" s="213" t="s">
        <v>29945</v>
      </c>
      <c r="K3577" s="213" t="s">
        <v>64936</v>
      </c>
      <c r="L3577" s="213" t="s">
        <v>64986</v>
      </c>
      <c r="M3577" s="213" t="s">
        <v>65036</v>
      </c>
      <c r="N3577" s="213" t="s">
        <v>29946</v>
      </c>
      <c r="O3577" s="213" t="s">
        <v>29947</v>
      </c>
      <c r="P3577" s="213" t="s">
        <v>29948</v>
      </c>
      <c r="Q3577" s="213" t="s">
        <v>29949</v>
      </c>
      <c r="R3577" s="213" t="s">
        <v>29950</v>
      </c>
      <c r="S3577" s="213" t="s">
        <v>29951</v>
      </c>
      <c r="T3577" s="213" t="s">
        <v>29952</v>
      </c>
      <c r="U3577" s="213" t="s">
        <v>65086</v>
      </c>
    </row>
    <row r="3578" spans="1:21" x14ac:dyDescent="0.25">
      <c r="A3578" s="213" t="s">
        <v>327</v>
      </c>
      <c r="D3578" s="213" t="s">
        <v>29953</v>
      </c>
      <c r="E3578" s="213" t="s">
        <v>29954</v>
      </c>
      <c r="K3578" s="213" t="s">
        <v>64937</v>
      </c>
      <c r="L3578" s="213" t="s">
        <v>64987</v>
      </c>
      <c r="M3578" s="213" t="s">
        <v>65037</v>
      </c>
      <c r="N3578" s="213" t="s">
        <v>29955</v>
      </c>
      <c r="O3578" s="213" t="s">
        <v>29956</v>
      </c>
      <c r="P3578" s="213" t="s">
        <v>29957</v>
      </c>
      <c r="Q3578" s="213" t="s">
        <v>29958</v>
      </c>
      <c r="R3578" s="213" t="s">
        <v>29959</v>
      </c>
      <c r="S3578" s="213" t="s">
        <v>29960</v>
      </c>
      <c r="T3578" s="213" t="s">
        <v>29961</v>
      </c>
      <c r="U3578" s="213" t="s">
        <v>65087</v>
      </c>
    </row>
    <row r="3579" spans="1:21" x14ac:dyDescent="0.25">
      <c r="A3579" s="213" t="s">
        <v>327</v>
      </c>
      <c r="D3579" s="213" t="s">
        <v>29962</v>
      </c>
      <c r="E3579" s="213" t="s">
        <v>29963</v>
      </c>
      <c r="K3579" s="213" t="s">
        <v>64938</v>
      </c>
      <c r="L3579" s="213" t="s">
        <v>64988</v>
      </c>
      <c r="M3579" s="213" t="s">
        <v>65038</v>
      </c>
      <c r="N3579" s="213" t="s">
        <v>29964</v>
      </c>
      <c r="O3579" s="213" t="s">
        <v>29965</v>
      </c>
      <c r="P3579" s="213" t="s">
        <v>29966</v>
      </c>
      <c r="Q3579" s="213" t="s">
        <v>29967</v>
      </c>
      <c r="R3579" s="213" t="s">
        <v>29968</v>
      </c>
      <c r="S3579" s="213" t="s">
        <v>29969</v>
      </c>
      <c r="T3579" s="213" t="s">
        <v>29970</v>
      </c>
      <c r="U3579" s="213" t="s">
        <v>65088</v>
      </c>
    </row>
    <row r="3580" spans="1:21" x14ac:dyDescent="0.25">
      <c r="A3580" s="213" t="s">
        <v>327</v>
      </c>
      <c r="D3580" s="213" t="s">
        <v>29971</v>
      </c>
      <c r="E3580" s="213" t="s">
        <v>29972</v>
      </c>
      <c r="K3580" s="213" t="s">
        <v>64939</v>
      </c>
      <c r="L3580" s="213" t="s">
        <v>64989</v>
      </c>
      <c r="M3580" s="213" t="s">
        <v>65039</v>
      </c>
      <c r="N3580" s="213" t="s">
        <v>29973</v>
      </c>
      <c r="O3580" s="213" t="s">
        <v>29974</v>
      </c>
      <c r="P3580" s="213" t="s">
        <v>29975</v>
      </c>
      <c r="Q3580" s="213" t="s">
        <v>29976</v>
      </c>
      <c r="R3580" s="213" t="s">
        <v>29977</v>
      </c>
      <c r="S3580" s="213" t="s">
        <v>29978</v>
      </c>
      <c r="T3580" s="213" t="s">
        <v>29979</v>
      </c>
      <c r="U3580" s="213" t="s">
        <v>65089</v>
      </c>
    </row>
    <row r="3581" spans="1:21" x14ac:dyDescent="0.25">
      <c r="A3581" s="213" t="s">
        <v>327</v>
      </c>
      <c r="D3581" s="213" t="s">
        <v>29980</v>
      </c>
      <c r="E3581" s="213" t="s">
        <v>29981</v>
      </c>
      <c r="K3581" s="213" t="s">
        <v>64940</v>
      </c>
      <c r="L3581" s="213" t="s">
        <v>64990</v>
      </c>
      <c r="M3581" s="213" t="s">
        <v>65040</v>
      </c>
      <c r="N3581" s="213" t="s">
        <v>29982</v>
      </c>
      <c r="O3581" s="213" t="s">
        <v>29983</v>
      </c>
      <c r="P3581" s="213" t="s">
        <v>29984</v>
      </c>
      <c r="Q3581" s="213" t="s">
        <v>29985</v>
      </c>
      <c r="R3581" s="213" t="s">
        <v>29986</v>
      </c>
      <c r="S3581" s="213" t="s">
        <v>29987</v>
      </c>
      <c r="T3581" s="213" t="s">
        <v>29988</v>
      </c>
      <c r="U3581" s="213" t="s">
        <v>65090</v>
      </c>
    </row>
    <row r="3582" spans="1:21" x14ac:dyDescent="0.25">
      <c r="A3582" s="213" t="s">
        <v>327</v>
      </c>
      <c r="D3582" s="213" t="s">
        <v>29989</v>
      </c>
      <c r="E3582" s="213" t="s">
        <v>29990</v>
      </c>
      <c r="K3582" s="213" t="s">
        <v>64941</v>
      </c>
      <c r="L3582" s="213" t="s">
        <v>64991</v>
      </c>
      <c r="M3582" s="213" t="s">
        <v>65041</v>
      </c>
      <c r="N3582" s="213" t="s">
        <v>29991</v>
      </c>
      <c r="O3582" s="213" t="s">
        <v>29992</v>
      </c>
      <c r="P3582" s="213" t="s">
        <v>29993</v>
      </c>
      <c r="Q3582" s="213" t="s">
        <v>29994</v>
      </c>
      <c r="R3582" s="213" t="s">
        <v>29995</v>
      </c>
      <c r="S3582" s="213" t="s">
        <v>29996</v>
      </c>
      <c r="T3582" s="213" t="s">
        <v>29997</v>
      </c>
      <c r="U3582" s="213" t="s">
        <v>65091</v>
      </c>
    </row>
    <row r="3583" spans="1:21" x14ac:dyDescent="0.25">
      <c r="A3583" s="213" t="s">
        <v>327</v>
      </c>
      <c r="D3583" s="213" t="s">
        <v>29998</v>
      </c>
      <c r="E3583" s="213" t="s">
        <v>29999</v>
      </c>
      <c r="K3583" s="213" t="s">
        <v>64942</v>
      </c>
      <c r="L3583" s="213" t="s">
        <v>64992</v>
      </c>
      <c r="M3583" s="213" t="s">
        <v>65042</v>
      </c>
      <c r="N3583" s="213" t="s">
        <v>30000</v>
      </c>
      <c r="O3583" s="213" t="s">
        <v>30001</v>
      </c>
      <c r="P3583" s="213" t="s">
        <v>30002</v>
      </c>
      <c r="Q3583" s="213" t="s">
        <v>30003</v>
      </c>
      <c r="R3583" s="213" t="s">
        <v>30004</v>
      </c>
      <c r="S3583" s="213" t="s">
        <v>30005</v>
      </c>
      <c r="T3583" s="213" t="s">
        <v>30006</v>
      </c>
      <c r="U3583" s="213" t="s">
        <v>65092</v>
      </c>
    </row>
    <row r="3584" spans="1:21" x14ac:dyDescent="0.25">
      <c r="A3584" s="213" t="s">
        <v>327</v>
      </c>
      <c r="D3584" s="213" t="s">
        <v>30007</v>
      </c>
      <c r="E3584" s="213" t="s">
        <v>30008</v>
      </c>
      <c r="K3584" s="213" t="s">
        <v>64943</v>
      </c>
      <c r="L3584" s="213" t="s">
        <v>64993</v>
      </c>
      <c r="M3584" s="213" t="s">
        <v>65043</v>
      </c>
      <c r="N3584" s="213" t="s">
        <v>30009</v>
      </c>
      <c r="O3584" s="213" t="s">
        <v>30010</v>
      </c>
      <c r="P3584" s="213" t="s">
        <v>30011</v>
      </c>
      <c r="Q3584" s="213" t="s">
        <v>30012</v>
      </c>
      <c r="R3584" s="213" t="s">
        <v>30013</v>
      </c>
      <c r="S3584" s="213" t="s">
        <v>30014</v>
      </c>
      <c r="T3584" s="213" t="s">
        <v>30015</v>
      </c>
      <c r="U3584" s="213" t="s">
        <v>65093</v>
      </c>
    </row>
    <row r="3585" spans="1:21" x14ac:dyDescent="0.25">
      <c r="A3585" s="213" t="s">
        <v>327</v>
      </c>
      <c r="D3585" s="213" t="s">
        <v>30016</v>
      </c>
      <c r="E3585" s="213" t="s">
        <v>30017</v>
      </c>
      <c r="K3585" s="213" t="s">
        <v>64944</v>
      </c>
      <c r="L3585" s="213" t="s">
        <v>64994</v>
      </c>
      <c r="M3585" s="213" t="s">
        <v>65044</v>
      </c>
      <c r="N3585" s="213" t="s">
        <v>30018</v>
      </c>
      <c r="O3585" s="213" t="s">
        <v>30019</v>
      </c>
      <c r="P3585" s="213" t="s">
        <v>30020</v>
      </c>
      <c r="Q3585" s="213" t="s">
        <v>30021</v>
      </c>
      <c r="R3585" s="213" t="s">
        <v>30022</v>
      </c>
      <c r="S3585" s="213" t="s">
        <v>30023</v>
      </c>
      <c r="T3585" s="213" t="s">
        <v>30024</v>
      </c>
      <c r="U3585" s="213" t="s">
        <v>65094</v>
      </c>
    </row>
    <row r="3586" spans="1:21" x14ac:dyDescent="0.25">
      <c r="A3586" s="213" t="s">
        <v>327</v>
      </c>
      <c r="D3586" s="213" t="s">
        <v>30025</v>
      </c>
      <c r="E3586" s="213" t="s">
        <v>30026</v>
      </c>
      <c r="K3586" s="213" t="s">
        <v>64945</v>
      </c>
      <c r="L3586" s="213" t="s">
        <v>64995</v>
      </c>
      <c r="M3586" s="213" t="s">
        <v>65045</v>
      </c>
      <c r="N3586" s="213" t="s">
        <v>30027</v>
      </c>
      <c r="O3586" s="213" t="s">
        <v>30028</v>
      </c>
      <c r="P3586" s="213" t="s">
        <v>30029</v>
      </c>
      <c r="Q3586" s="213" t="s">
        <v>30030</v>
      </c>
      <c r="R3586" s="213" t="s">
        <v>30031</v>
      </c>
      <c r="S3586" s="213" t="s">
        <v>30032</v>
      </c>
      <c r="T3586" s="213" t="s">
        <v>30033</v>
      </c>
      <c r="U3586" s="213" t="s">
        <v>65095</v>
      </c>
    </row>
    <row r="3587" spans="1:21" x14ac:dyDescent="0.25">
      <c r="A3587" s="213" t="s">
        <v>327</v>
      </c>
      <c r="D3587" s="213" t="s">
        <v>30034</v>
      </c>
      <c r="E3587" s="213" t="s">
        <v>30035</v>
      </c>
      <c r="K3587" s="213" t="s">
        <v>64946</v>
      </c>
      <c r="L3587" s="213" t="s">
        <v>64996</v>
      </c>
      <c r="M3587" s="213" t="s">
        <v>65046</v>
      </c>
      <c r="N3587" s="213" t="s">
        <v>30036</v>
      </c>
      <c r="O3587" s="213" t="s">
        <v>30037</v>
      </c>
      <c r="P3587" s="213" t="s">
        <v>30038</v>
      </c>
      <c r="Q3587" s="213" t="s">
        <v>30039</v>
      </c>
      <c r="R3587" s="213" t="s">
        <v>30040</v>
      </c>
      <c r="S3587" s="213" t="s">
        <v>30041</v>
      </c>
      <c r="T3587" s="213" t="s">
        <v>30042</v>
      </c>
      <c r="U3587" s="213" t="s">
        <v>65096</v>
      </c>
    </row>
    <row r="3588" spans="1:21" x14ac:dyDescent="0.25">
      <c r="A3588" s="213" t="s">
        <v>327</v>
      </c>
      <c r="D3588" s="213" t="s">
        <v>30043</v>
      </c>
      <c r="E3588" s="213" t="s">
        <v>30044</v>
      </c>
      <c r="K3588" s="213" t="s">
        <v>64947</v>
      </c>
      <c r="L3588" s="213" t="s">
        <v>64997</v>
      </c>
      <c r="M3588" s="213" t="s">
        <v>65047</v>
      </c>
      <c r="N3588" s="213" t="s">
        <v>30045</v>
      </c>
      <c r="O3588" s="213" t="s">
        <v>30046</v>
      </c>
      <c r="P3588" s="213" t="s">
        <v>30047</v>
      </c>
      <c r="Q3588" s="213" t="s">
        <v>30048</v>
      </c>
      <c r="R3588" s="213" t="s">
        <v>30049</v>
      </c>
      <c r="S3588" s="213" t="s">
        <v>30050</v>
      </c>
      <c r="T3588" s="213" t="s">
        <v>30051</v>
      </c>
      <c r="U3588" s="213" t="s">
        <v>65097</v>
      </c>
    </row>
    <row r="3589" spans="1:21" x14ac:dyDescent="0.25">
      <c r="A3589" s="213" t="s">
        <v>327</v>
      </c>
      <c r="D3589" s="213" t="s">
        <v>30052</v>
      </c>
      <c r="E3589" s="213" t="s">
        <v>30053</v>
      </c>
      <c r="K3589" s="213" t="s">
        <v>64948</v>
      </c>
      <c r="L3589" s="213" t="s">
        <v>64998</v>
      </c>
      <c r="M3589" s="213" t="s">
        <v>65048</v>
      </c>
      <c r="N3589" s="213" t="s">
        <v>30054</v>
      </c>
      <c r="O3589" s="213" t="s">
        <v>30055</v>
      </c>
      <c r="P3589" s="213" t="s">
        <v>30056</v>
      </c>
      <c r="Q3589" s="213" t="s">
        <v>30057</v>
      </c>
      <c r="R3589" s="213" t="s">
        <v>30058</v>
      </c>
      <c r="S3589" s="213" t="s">
        <v>30059</v>
      </c>
      <c r="T3589" s="213" t="s">
        <v>30060</v>
      </c>
      <c r="U3589" s="213" t="s">
        <v>65098</v>
      </c>
    </row>
    <row r="3590" spans="1:21" x14ac:dyDescent="0.25">
      <c r="A3590" s="213" t="s">
        <v>327</v>
      </c>
      <c r="D3590" s="213" t="s">
        <v>30061</v>
      </c>
      <c r="E3590" s="213" t="s">
        <v>30062</v>
      </c>
      <c r="K3590" s="213" t="s">
        <v>64949</v>
      </c>
      <c r="L3590" s="213" t="s">
        <v>64999</v>
      </c>
      <c r="M3590" s="213" t="s">
        <v>65049</v>
      </c>
      <c r="N3590" s="213" t="s">
        <v>30063</v>
      </c>
      <c r="O3590" s="213" t="s">
        <v>30064</v>
      </c>
      <c r="P3590" s="213" t="s">
        <v>30065</v>
      </c>
      <c r="Q3590" s="213" t="s">
        <v>30066</v>
      </c>
      <c r="R3590" s="213" t="s">
        <v>30067</v>
      </c>
      <c r="S3590" s="213" t="s">
        <v>30068</v>
      </c>
      <c r="T3590" s="213" t="s">
        <v>30069</v>
      </c>
      <c r="U3590" s="213" t="s">
        <v>65099</v>
      </c>
    </row>
    <row r="3591" spans="1:21" x14ac:dyDescent="0.25">
      <c r="A3591" s="213" t="s">
        <v>327</v>
      </c>
      <c r="D3591" s="213" t="s">
        <v>30070</v>
      </c>
      <c r="E3591" s="213" t="s">
        <v>30071</v>
      </c>
      <c r="K3591" s="213" t="s">
        <v>64950</v>
      </c>
      <c r="L3591" s="213" t="s">
        <v>65000</v>
      </c>
      <c r="M3591" s="213" t="s">
        <v>65050</v>
      </c>
      <c r="N3591" s="213" t="s">
        <v>30072</v>
      </c>
      <c r="O3591" s="213" t="s">
        <v>30073</v>
      </c>
      <c r="P3591" s="213" t="s">
        <v>30074</v>
      </c>
      <c r="Q3591" s="213" t="s">
        <v>30075</v>
      </c>
      <c r="R3591" s="213" t="s">
        <v>30076</v>
      </c>
      <c r="S3591" s="213" t="s">
        <v>30077</v>
      </c>
      <c r="T3591" s="213" t="s">
        <v>30078</v>
      </c>
      <c r="U3591" s="213" t="s">
        <v>65100</v>
      </c>
    </row>
    <row r="3592" spans="1:21" x14ac:dyDescent="0.25">
      <c r="A3592" s="213" t="s">
        <v>327</v>
      </c>
      <c r="D3592" s="213" t="s">
        <v>30079</v>
      </c>
      <c r="E3592" s="213" t="s">
        <v>30080</v>
      </c>
      <c r="K3592" s="213" t="s">
        <v>64951</v>
      </c>
      <c r="L3592" s="213" t="s">
        <v>65001</v>
      </c>
      <c r="M3592" s="213" t="s">
        <v>65051</v>
      </c>
      <c r="N3592" s="213" t="s">
        <v>30081</v>
      </c>
      <c r="O3592" s="213" t="s">
        <v>30082</v>
      </c>
      <c r="P3592" s="213" t="s">
        <v>30083</v>
      </c>
      <c r="Q3592" s="213" t="s">
        <v>30084</v>
      </c>
      <c r="R3592" s="213" t="s">
        <v>30085</v>
      </c>
      <c r="S3592" s="213" t="s">
        <v>30086</v>
      </c>
      <c r="T3592" s="213" t="s">
        <v>30087</v>
      </c>
      <c r="U3592" s="213" t="s">
        <v>65101</v>
      </c>
    </row>
    <row r="3593" spans="1:21" x14ac:dyDescent="0.25">
      <c r="A3593" s="213" t="s">
        <v>327</v>
      </c>
    </row>
    <row r="3594" spans="1:21" x14ac:dyDescent="0.25">
      <c r="A3594" s="213" t="s">
        <v>327</v>
      </c>
    </row>
    <row r="3595" spans="1:21" x14ac:dyDescent="0.25">
      <c r="A3595" s="213" t="s">
        <v>327</v>
      </c>
      <c r="C3595" s="213" t="s">
        <v>30088</v>
      </c>
      <c r="E3595" s="213" t="s">
        <v>30089</v>
      </c>
      <c r="H3595" s="213" t="s">
        <v>30090</v>
      </c>
      <c r="I3595" s="213" t="s">
        <v>30091</v>
      </c>
      <c r="J3595" s="213" t="s">
        <v>30092</v>
      </c>
      <c r="L3595" s="213" t="s">
        <v>30093</v>
      </c>
      <c r="O3595" s="213" t="s">
        <v>30094</v>
      </c>
      <c r="P3595" s="213" t="s">
        <v>30095</v>
      </c>
      <c r="Q3595" s="213" t="s">
        <v>30096</v>
      </c>
      <c r="R3595" s="213" t="s">
        <v>30097</v>
      </c>
      <c r="S3595" s="213" t="s">
        <v>30098</v>
      </c>
      <c r="T3595" s="213" t="s">
        <v>30099</v>
      </c>
    </row>
    <row r="3596" spans="1:21" x14ac:dyDescent="0.25">
      <c r="A3596" s="213" t="s">
        <v>327</v>
      </c>
      <c r="C3596" s="213" t="s">
        <v>30100</v>
      </c>
      <c r="E3596" s="213" t="s">
        <v>30101</v>
      </c>
      <c r="I3596" s="213" t="s">
        <v>30102</v>
      </c>
    </row>
    <row r="3597" spans="1:21" x14ac:dyDescent="0.25">
      <c r="A3597" s="213" t="s">
        <v>327</v>
      </c>
      <c r="C3597" s="213" t="s">
        <v>30103</v>
      </c>
      <c r="E3597" s="213" t="s">
        <v>30104</v>
      </c>
      <c r="I3597" s="213" t="s">
        <v>30105</v>
      </c>
    </row>
    <row r="3598" spans="1:21" x14ac:dyDescent="0.25">
      <c r="A3598" s="213" t="s">
        <v>328</v>
      </c>
    </row>
    <row r="3599" spans="1:21" x14ac:dyDescent="0.25">
      <c r="A3599" s="213" t="s">
        <v>327</v>
      </c>
      <c r="D3599" s="213" t="s">
        <v>30106</v>
      </c>
      <c r="E3599" s="213" t="s">
        <v>30107</v>
      </c>
      <c r="K3599" s="213" t="s">
        <v>64734</v>
      </c>
      <c r="L3599" s="213" t="s">
        <v>64776</v>
      </c>
      <c r="M3599" s="213" t="s">
        <v>64818</v>
      </c>
      <c r="N3599" s="213" t="s">
        <v>30108</v>
      </c>
      <c r="O3599" s="213" t="s">
        <v>30109</v>
      </c>
      <c r="P3599" s="213" t="s">
        <v>30110</v>
      </c>
      <c r="Q3599" s="213" t="s">
        <v>30111</v>
      </c>
      <c r="R3599" s="213" t="s">
        <v>30112</v>
      </c>
      <c r="S3599" s="213" t="s">
        <v>30113</v>
      </c>
      <c r="T3599" s="213" t="s">
        <v>30114</v>
      </c>
      <c r="U3599" s="213" t="s">
        <v>64860</v>
      </c>
    </row>
    <row r="3600" spans="1:21" x14ac:dyDescent="0.25">
      <c r="A3600" s="213" t="s">
        <v>327</v>
      </c>
      <c r="D3600" s="213" t="s">
        <v>30115</v>
      </c>
      <c r="E3600" s="213" t="s">
        <v>30116</v>
      </c>
      <c r="K3600" s="213" t="s">
        <v>64735</v>
      </c>
      <c r="L3600" s="213" t="s">
        <v>64777</v>
      </c>
      <c r="M3600" s="213" t="s">
        <v>64819</v>
      </c>
      <c r="N3600" s="213" t="s">
        <v>30117</v>
      </c>
      <c r="O3600" s="213" t="s">
        <v>30118</v>
      </c>
      <c r="P3600" s="213" t="s">
        <v>30119</v>
      </c>
      <c r="Q3600" s="213" t="s">
        <v>30120</v>
      </c>
      <c r="R3600" s="213" t="s">
        <v>30121</v>
      </c>
      <c r="S3600" s="213" t="s">
        <v>30122</v>
      </c>
      <c r="T3600" s="213" t="s">
        <v>30123</v>
      </c>
      <c r="U3600" s="213" t="s">
        <v>64861</v>
      </c>
    </row>
    <row r="3601" spans="1:21" x14ac:dyDescent="0.25">
      <c r="A3601" s="213" t="s">
        <v>327</v>
      </c>
      <c r="D3601" s="213" t="s">
        <v>30124</v>
      </c>
      <c r="E3601" s="213" t="s">
        <v>30125</v>
      </c>
      <c r="K3601" s="213" t="s">
        <v>64736</v>
      </c>
      <c r="L3601" s="213" t="s">
        <v>64778</v>
      </c>
      <c r="M3601" s="213" t="s">
        <v>64820</v>
      </c>
      <c r="N3601" s="213" t="s">
        <v>30126</v>
      </c>
      <c r="O3601" s="213" t="s">
        <v>30127</v>
      </c>
      <c r="P3601" s="213" t="s">
        <v>30128</v>
      </c>
      <c r="Q3601" s="213" t="s">
        <v>30129</v>
      </c>
      <c r="R3601" s="213" t="s">
        <v>30130</v>
      </c>
      <c r="S3601" s="213" t="s">
        <v>30131</v>
      </c>
      <c r="T3601" s="213" t="s">
        <v>30132</v>
      </c>
      <c r="U3601" s="213" t="s">
        <v>64862</v>
      </c>
    </row>
    <row r="3602" spans="1:21" x14ac:dyDescent="0.25">
      <c r="A3602" s="213" t="s">
        <v>327</v>
      </c>
      <c r="D3602" s="213" t="s">
        <v>30133</v>
      </c>
      <c r="E3602" s="213" t="s">
        <v>30134</v>
      </c>
      <c r="K3602" s="213" t="s">
        <v>64737</v>
      </c>
      <c r="L3602" s="213" t="s">
        <v>64779</v>
      </c>
      <c r="M3602" s="213" t="s">
        <v>64821</v>
      </c>
      <c r="N3602" s="213" t="s">
        <v>30135</v>
      </c>
      <c r="O3602" s="213" t="s">
        <v>30136</v>
      </c>
      <c r="P3602" s="213" t="s">
        <v>30137</v>
      </c>
      <c r="Q3602" s="213" t="s">
        <v>30138</v>
      </c>
      <c r="R3602" s="213" t="s">
        <v>30139</v>
      </c>
      <c r="S3602" s="213" t="s">
        <v>30140</v>
      </c>
      <c r="T3602" s="213" t="s">
        <v>30141</v>
      </c>
      <c r="U3602" s="213" t="s">
        <v>64863</v>
      </c>
    </row>
    <row r="3603" spans="1:21" x14ac:dyDescent="0.25">
      <c r="A3603" s="213" t="s">
        <v>327</v>
      </c>
      <c r="D3603" s="213" t="s">
        <v>30142</v>
      </c>
      <c r="E3603" s="213" t="s">
        <v>30143</v>
      </c>
      <c r="K3603" s="213" t="s">
        <v>64738</v>
      </c>
      <c r="L3603" s="213" t="s">
        <v>64780</v>
      </c>
      <c r="M3603" s="213" t="s">
        <v>64822</v>
      </c>
      <c r="N3603" s="213" t="s">
        <v>30144</v>
      </c>
      <c r="O3603" s="213" t="s">
        <v>30145</v>
      </c>
      <c r="P3603" s="213" t="s">
        <v>30146</v>
      </c>
      <c r="Q3603" s="213" t="s">
        <v>30147</v>
      </c>
      <c r="R3603" s="213" t="s">
        <v>30148</v>
      </c>
      <c r="S3603" s="213" t="s">
        <v>30149</v>
      </c>
      <c r="T3603" s="213" t="s">
        <v>30150</v>
      </c>
      <c r="U3603" s="213" t="s">
        <v>64864</v>
      </c>
    </row>
    <row r="3604" spans="1:21" x14ac:dyDescent="0.25">
      <c r="A3604" s="213" t="s">
        <v>327</v>
      </c>
      <c r="D3604" s="213" t="s">
        <v>30151</v>
      </c>
      <c r="E3604" s="213" t="s">
        <v>30152</v>
      </c>
      <c r="K3604" s="213" t="s">
        <v>64739</v>
      </c>
      <c r="L3604" s="213" t="s">
        <v>64781</v>
      </c>
      <c r="M3604" s="213" t="s">
        <v>64823</v>
      </c>
      <c r="N3604" s="213" t="s">
        <v>30153</v>
      </c>
      <c r="O3604" s="213" t="s">
        <v>30154</v>
      </c>
      <c r="P3604" s="213" t="s">
        <v>30155</v>
      </c>
      <c r="Q3604" s="213" t="s">
        <v>30156</v>
      </c>
      <c r="R3604" s="213" t="s">
        <v>30157</v>
      </c>
      <c r="S3604" s="213" t="s">
        <v>30158</v>
      </c>
      <c r="T3604" s="213" t="s">
        <v>30159</v>
      </c>
      <c r="U3604" s="213" t="s">
        <v>64865</v>
      </c>
    </row>
    <row r="3605" spans="1:21" x14ac:dyDescent="0.25">
      <c r="A3605" s="213" t="s">
        <v>327</v>
      </c>
      <c r="D3605" s="213" t="s">
        <v>30160</v>
      </c>
      <c r="E3605" s="213" t="s">
        <v>30161</v>
      </c>
      <c r="K3605" s="213" t="s">
        <v>64740</v>
      </c>
      <c r="L3605" s="213" t="s">
        <v>64782</v>
      </c>
      <c r="M3605" s="213" t="s">
        <v>64824</v>
      </c>
      <c r="N3605" s="213" t="s">
        <v>30162</v>
      </c>
      <c r="O3605" s="213" t="s">
        <v>30163</v>
      </c>
      <c r="P3605" s="213" t="s">
        <v>30164</v>
      </c>
      <c r="Q3605" s="213" t="s">
        <v>30165</v>
      </c>
      <c r="R3605" s="213" t="s">
        <v>30166</v>
      </c>
      <c r="S3605" s="213" t="s">
        <v>30167</v>
      </c>
      <c r="T3605" s="213" t="s">
        <v>30168</v>
      </c>
      <c r="U3605" s="213" t="s">
        <v>64866</v>
      </c>
    </row>
    <row r="3606" spans="1:21" x14ac:dyDescent="0.25">
      <c r="A3606" s="213" t="s">
        <v>327</v>
      </c>
      <c r="D3606" s="213" t="s">
        <v>30169</v>
      </c>
      <c r="E3606" s="213" t="s">
        <v>30170</v>
      </c>
      <c r="K3606" s="213" t="s">
        <v>64741</v>
      </c>
      <c r="L3606" s="213" t="s">
        <v>64783</v>
      </c>
      <c r="M3606" s="213" t="s">
        <v>64825</v>
      </c>
      <c r="N3606" s="213" t="s">
        <v>30171</v>
      </c>
      <c r="O3606" s="213" t="s">
        <v>30172</v>
      </c>
      <c r="P3606" s="213" t="s">
        <v>30173</v>
      </c>
      <c r="Q3606" s="213" t="s">
        <v>30174</v>
      </c>
      <c r="R3606" s="213" t="s">
        <v>30175</v>
      </c>
      <c r="S3606" s="213" t="s">
        <v>30176</v>
      </c>
      <c r="T3606" s="213" t="s">
        <v>30177</v>
      </c>
      <c r="U3606" s="213" t="s">
        <v>64867</v>
      </c>
    </row>
    <row r="3607" spans="1:21" x14ac:dyDescent="0.25">
      <c r="A3607" s="213" t="s">
        <v>327</v>
      </c>
      <c r="D3607" s="213" t="s">
        <v>30178</v>
      </c>
      <c r="E3607" s="213" t="s">
        <v>30179</v>
      </c>
      <c r="K3607" s="213" t="s">
        <v>64742</v>
      </c>
      <c r="L3607" s="213" t="s">
        <v>64784</v>
      </c>
      <c r="M3607" s="213" t="s">
        <v>64826</v>
      </c>
      <c r="N3607" s="213" t="s">
        <v>30180</v>
      </c>
      <c r="O3607" s="213" t="s">
        <v>30181</v>
      </c>
      <c r="P3607" s="213" t="s">
        <v>30182</v>
      </c>
      <c r="Q3607" s="213" t="s">
        <v>30183</v>
      </c>
      <c r="R3607" s="213" t="s">
        <v>30184</v>
      </c>
      <c r="S3607" s="213" t="s">
        <v>30185</v>
      </c>
      <c r="T3607" s="213" t="s">
        <v>30186</v>
      </c>
      <c r="U3607" s="213" t="s">
        <v>64868</v>
      </c>
    </row>
    <row r="3608" spans="1:21" x14ac:dyDescent="0.25">
      <c r="A3608" s="213" t="s">
        <v>327</v>
      </c>
      <c r="D3608" s="213" t="s">
        <v>30187</v>
      </c>
      <c r="E3608" s="213" t="s">
        <v>30188</v>
      </c>
      <c r="K3608" s="213" t="s">
        <v>64743</v>
      </c>
      <c r="L3608" s="213" t="s">
        <v>64785</v>
      </c>
      <c r="M3608" s="213" t="s">
        <v>64827</v>
      </c>
      <c r="N3608" s="213" t="s">
        <v>30189</v>
      </c>
      <c r="O3608" s="213" t="s">
        <v>30190</v>
      </c>
      <c r="P3608" s="213" t="s">
        <v>30191</v>
      </c>
      <c r="Q3608" s="213" t="s">
        <v>30192</v>
      </c>
      <c r="R3608" s="213" t="s">
        <v>30193</v>
      </c>
      <c r="S3608" s="213" t="s">
        <v>30194</v>
      </c>
      <c r="T3608" s="213" t="s">
        <v>30195</v>
      </c>
      <c r="U3608" s="213" t="s">
        <v>64869</v>
      </c>
    </row>
    <row r="3609" spans="1:21" x14ac:dyDescent="0.25">
      <c r="A3609" s="213" t="s">
        <v>327</v>
      </c>
      <c r="D3609" s="213" t="s">
        <v>30196</v>
      </c>
      <c r="E3609" s="213" t="s">
        <v>30197</v>
      </c>
      <c r="K3609" s="213" t="s">
        <v>64744</v>
      </c>
      <c r="L3609" s="213" t="s">
        <v>64786</v>
      </c>
      <c r="M3609" s="213" t="s">
        <v>64828</v>
      </c>
      <c r="N3609" s="213" t="s">
        <v>30198</v>
      </c>
      <c r="O3609" s="213" t="s">
        <v>30199</v>
      </c>
      <c r="P3609" s="213" t="s">
        <v>30200</v>
      </c>
      <c r="Q3609" s="213" t="s">
        <v>30201</v>
      </c>
      <c r="R3609" s="213" t="s">
        <v>30202</v>
      </c>
      <c r="S3609" s="213" t="s">
        <v>30203</v>
      </c>
      <c r="T3609" s="213" t="s">
        <v>30204</v>
      </c>
      <c r="U3609" s="213" t="s">
        <v>64870</v>
      </c>
    </row>
    <row r="3610" spans="1:21" x14ac:dyDescent="0.25">
      <c r="A3610" s="213" t="s">
        <v>327</v>
      </c>
      <c r="D3610" s="213" t="s">
        <v>30205</v>
      </c>
      <c r="E3610" s="213" t="s">
        <v>30206</v>
      </c>
      <c r="K3610" s="213" t="s">
        <v>64745</v>
      </c>
      <c r="L3610" s="213" t="s">
        <v>64787</v>
      </c>
      <c r="M3610" s="213" t="s">
        <v>64829</v>
      </c>
      <c r="N3610" s="213" t="s">
        <v>30207</v>
      </c>
      <c r="O3610" s="213" t="s">
        <v>30208</v>
      </c>
      <c r="P3610" s="213" t="s">
        <v>30209</v>
      </c>
      <c r="Q3610" s="213" t="s">
        <v>30210</v>
      </c>
      <c r="R3610" s="213" t="s">
        <v>30211</v>
      </c>
      <c r="S3610" s="213" t="s">
        <v>30212</v>
      </c>
      <c r="T3610" s="213" t="s">
        <v>30213</v>
      </c>
      <c r="U3610" s="213" t="s">
        <v>64871</v>
      </c>
    </row>
    <row r="3611" spans="1:21" x14ac:dyDescent="0.25">
      <c r="A3611" s="213" t="s">
        <v>327</v>
      </c>
      <c r="D3611" s="213" t="s">
        <v>30214</v>
      </c>
      <c r="E3611" s="213" t="s">
        <v>30215</v>
      </c>
      <c r="K3611" s="213" t="s">
        <v>64746</v>
      </c>
      <c r="L3611" s="213" t="s">
        <v>64788</v>
      </c>
      <c r="M3611" s="213" t="s">
        <v>64830</v>
      </c>
      <c r="N3611" s="213" t="s">
        <v>30216</v>
      </c>
      <c r="O3611" s="213" t="s">
        <v>30217</v>
      </c>
      <c r="P3611" s="213" t="s">
        <v>30218</v>
      </c>
      <c r="Q3611" s="213" t="s">
        <v>30219</v>
      </c>
      <c r="R3611" s="213" t="s">
        <v>30220</v>
      </c>
      <c r="S3611" s="213" t="s">
        <v>30221</v>
      </c>
      <c r="T3611" s="213" t="s">
        <v>30222</v>
      </c>
      <c r="U3611" s="213" t="s">
        <v>64872</v>
      </c>
    </row>
    <row r="3612" spans="1:21" x14ac:dyDescent="0.25">
      <c r="A3612" s="213" t="s">
        <v>327</v>
      </c>
      <c r="D3612" s="213" t="s">
        <v>30223</v>
      </c>
      <c r="E3612" s="213" t="s">
        <v>30224</v>
      </c>
      <c r="K3612" s="213" t="s">
        <v>64747</v>
      </c>
      <c r="L3612" s="213" t="s">
        <v>64789</v>
      </c>
      <c r="M3612" s="213" t="s">
        <v>64831</v>
      </c>
      <c r="N3612" s="213" t="s">
        <v>30225</v>
      </c>
      <c r="O3612" s="213" t="s">
        <v>30226</v>
      </c>
      <c r="P3612" s="213" t="s">
        <v>30227</v>
      </c>
      <c r="Q3612" s="213" t="s">
        <v>30228</v>
      </c>
      <c r="R3612" s="213" t="s">
        <v>30229</v>
      </c>
      <c r="S3612" s="213" t="s">
        <v>30230</v>
      </c>
      <c r="T3612" s="213" t="s">
        <v>30231</v>
      </c>
      <c r="U3612" s="213" t="s">
        <v>64873</v>
      </c>
    </row>
    <row r="3613" spans="1:21" x14ac:dyDescent="0.25">
      <c r="A3613" s="213" t="s">
        <v>327</v>
      </c>
      <c r="D3613" s="213" t="s">
        <v>30232</v>
      </c>
      <c r="E3613" s="213" t="s">
        <v>30233</v>
      </c>
      <c r="K3613" s="213" t="s">
        <v>64748</v>
      </c>
      <c r="L3613" s="213" t="s">
        <v>64790</v>
      </c>
      <c r="M3613" s="213" t="s">
        <v>64832</v>
      </c>
      <c r="N3613" s="213" t="s">
        <v>30234</v>
      </c>
      <c r="O3613" s="213" t="s">
        <v>30235</v>
      </c>
      <c r="P3613" s="213" t="s">
        <v>30236</v>
      </c>
      <c r="Q3613" s="213" t="s">
        <v>30237</v>
      </c>
      <c r="R3613" s="213" t="s">
        <v>30238</v>
      </c>
      <c r="S3613" s="213" t="s">
        <v>30239</v>
      </c>
      <c r="T3613" s="213" t="s">
        <v>30240</v>
      </c>
      <c r="U3613" s="213" t="s">
        <v>64874</v>
      </c>
    </row>
    <row r="3614" spans="1:21" x14ac:dyDescent="0.25">
      <c r="A3614" s="213" t="s">
        <v>327</v>
      </c>
      <c r="D3614" s="213" t="s">
        <v>30241</v>
      </c>
      <c r="E3614" s="213" t="s">
        <v>30242</v>
      </c>
      <c r="K3614" s="213" t="s">
        <v>64749</v>
      </c>
      <c r="L3614" s="213" t="s">
        <v>64791</v>
      </c>
      <c r="M3614" s="213" t="s">
        <v>64833</v>
      </c>
      <c r="N3614" s="213" t="s">
        <v>30243</v>
      </c>
      <c r="O3614" s="213" t="s">
        <v>30244</v>
      </c>
      <c r="P3614" s="213" t="s">
        <v>30245</v>
      </c>
      <c r="Q3614" s="213" t="s">
        <v>30246</v>
      </c>
      <c r="R3614" s="213" t="s">
        <v>30247</v>
      </c>
      <c r="S3614" s="213" t="s">
        <v>30248</v>
      </c>
      <c r="T3614" s="213" t="s">
        <v>30249</v>
      </c>
      <c r="U3614" s="213" t="s">
        <v>64875</v>
      </c>
    </row>
    <row r="3615" spans="1:21" x14ac:dyDescent="0.25">
      <c r="A3615" s="213" t="s">
        <v>327</v>
      </c>
      <c r="D3615" s="213" t="s">
        <v>30250</v>
      </c>
      <c r="E3615" s="213" t="s">
        <v>30251</v>
      </c>
      <c r="K3615" s="213" t="s">
        <v>64750</v>
      </c>
      <c r="L3615" s="213" t="s">
        <v>64792</v>
      </c>
      <c r="M3615" s="213" t="s">
        <v>64834</v>
      </c>
      <c r="N3615" s="213" t="s">
        <v>30252</v>
      </c>
      <c r="O3615" s="213" t="s">
        <v>30253</v>
      </c>
      <c r="P3615" s="213" t="s">
        <v>30254</v>
      </c>
      <c r="Q3615" s="213" t="s">
        <v>30255</v>
      </c>
      <c r="R3615" s="213" t="s">
        <v>30256</v>
      </c>
      <c r="S3615" s="213" t="s">
        <v>30257</v>
      </c>
      <c r="T3615" s="213" t="s">
        <v>30258</v>
      </c>
      <c r="U3615" s="213" t="s">
        <v>64876</v>
      </c>
    </row>
    <row r="3616" spans="1:21" x14ac:dyDescent="0.25">
      <c r="A3616" s="213" t="s">
        <v>327</v>
      </c>
      <c r="D3616" s="213" t="s">
        <v>30259</v>
      </c>
      <c r="E3616" s="213" t="s">
        <v>30260</v>
      </c>
      <c r="K3616" s="213" t="s">
        <v>64751</v>
      </c>
      <c r="L3616" s="213" t="s">
        <v>64793</v>
      </c>
      <c r="M3616" s="213" t="s">
        <v>64835</v>
      </c>
      <c r="N3616" s="213" t="s">
        <v>30261</v>
      </c>
      <c r="O3616" s="213" t="s">
        <v>30262</v>
      </c>
      <c r="P3616" s="213" t="s">
        <v>30263</v>
      </c>
      <c r="Q3616" s="213" t="s">
        <v>30264</v>
      </c>
      <c r="R3616" s="213" t="s">
        <v>30265</v>
      </c>
      <c r="S3616" s="213" t="s">
        <v>30266</v>
      </c>
      <c r="T3616" s="213" t="s">
        <v>30267</v>
      </c>
      <c r="U3616" s="213" t="s">
        <v>64877</v>
      </c>
    </row>
    <row r="3617" spans="1:21" x14ac:dyDescent="0.25">
      <c r="A3617" s="213" t="s">
        <v>327</v>
      </c>
      <c r="D3617" s="213" t="s">
        <v>30268</v>
      </c>
      <c r="E3617" s="213" t="s">
        <v>30269</v>
      </c>
      <c r="K3617" s="213" t="s">
        <v>64752</v>
      </c>
      <c r="L3617" s="213" t="s">
        <v>64794</v>
      </c>
      <c r="M3617" s="213" t="s">
        <v>64836</v>
      </c>
      <c r="N3617" s="213" t="s">
        <v>30270</v>
      </c>
      <c r="O3617" s="213" t="s">
        <v>30271</v>
      </c>
      <c r="P3617" s="213" t="s">
        <v>30272</v>
      </c>
      <c r="Q3617" s="213" t="s">
        <v>30273</v>
      </c>
      <c r="R3617" s="213" t="s">
        <v>30274</v>
      </c>
      <c r="S3617" s="213" t="s">
        <v>30275</v>
      </c>
      <c r="T3617" s="213" t="s">
        <v>30276</v>
      </c>
      <c r="U3617" s="213" t="s">
        <v>64878</v>
      </c>
    </row>
    <row r="3618" spans="1:21" x14ac:dyDescent="0.25">
      <c r="A3618" s="213" t="s">
        <v>327</v>
      </c>
      <c r="D3618" s="213" t="s">
        <v>30277</v>
      </c>
      <c r="E3618" s="213" t="s">
        <v>30278</v>
      </c>
      <c r="K3618" s="213" t="s">
        <v>64753</v>
      </c>
      <c r="L3618" s="213" t="s">
        <v>64795</v>
      </c>
      <c r="M3618" s="213" t="s">
        <v>64837</v>
      </c>
      <c r="N3618" s="213" t="s">
        <v>30279</v>
      </c>
      <c r="O3618" s="213" t="s">
        <v>30280</v>
      </c>
      <c r="P3618" s="213" t="s">
        <v>30281</v>
      </c>
      <c r="Q3618" s="213" t="s">
        <v>30282</v>
      </c>
      <c r="R3618" s="213" t="s">
        <v>30283</v>
      </c>
      <c r="S3618" s="213" t="s">
        <v>30284</v>
      </c>
      <c r="T3618" s="213" t="s">
        <v>30285</v>
      </c>
      <c r="U3618" s="213" t="s">
        <v>64879</v>
      </c>
    </row>
    <row r="3619" spans="1:21" x14ac:dyDescent="0.25">
      <c r="A3619" s="213" t="s">
        <v>327</v>
      </c>
      <c r="D3619" s="213" t="s">
        <v>30286</v>
      </c>
      <c r="E3619" s="213" t="s">
        <v>30287</v>
      </c>
      <c r="K3619" s="213" t="s">
        <v>64754</v>
      </c>
      <c r="L3619" s="213" t="s">
        <v>64796</v>
      </c>
      <c r="M3619" s="213" t="s">
        <v>64838</v>
      </c>
      <c r="N3619" s="213" t="s">
        <v>30288</v>
      </c>
      <c r="O3619" s="213" t="s">
        <v>30289</v>
      </c>
      <c r="P3619" s="213" t="s">
        <v>30290</v>
      </c>
      <c r="Q3619" s="213" t="s">
        <v>30291</v>
      </c>
      <c r="R3619" s="213" t="s">
        <v>30292</v>
      </c>
      <c r="S3619" s="213" t="s">
        <v>30293</v>
      </c>
      <c r="T3619" s="213" t="s">
        <v>30294</v>
      </c>
      <c r="U3619" s="213" t="s">
        <v>64880</v>
      </c>
    </row>
    <row r="3620" spans="1:21" x14ac:dyDescent="0.25">
      <c r="A3620" s="213" t="s">
        <v>327</v>
      </c>
      <c r="D3620" s="213" t="s">
        <v>30295</v>
      </c>
      <c r="E3620" s="213" t="s">
        <v>30296</v>
      </c>
      <c r="K3620" s="213" t="s">
        <v>64755</v>
      </c>
      <c r="L3620" s="213" t="s">
        <v>64797</v>
      </c>
      <c r="M3620" s="213" t="s">
        <v>64839</v>
      </c>
      <c r="N3620" s="213" t="s">
        <v>30297</v>
      </c>
      <c r="O3620" s="213" t="s">
        <v>30298</v>
      </c>
      <c r="P3620" s="213" t="s">
        <v>30299</v>
      </c>
      <c r="Q3620" s="213" t="s">
        <v>30300</v>
      </c>
      <c r="R3620" s="213" t="s">
        <v>30301</v>
      </c>
      <c r="S3620" s="213" t="s">
        <v>30302</v>
      </c>
      <c r="T3620" s="213" t="s">
        <v>30303</v>
      </c>
      <c r="U3620" s="213" t="s">
        <v>64881</v>
      </c>
    </row>
    <row r="3621" spans="1:21" x14ac:dyDescent="0.25">
      <c r="A3621" s="213" t="s">
        <v>327</v>
      </c>
      <c r="D3621" s="213" t="s">
        <v>30304</v>
      </c>
      <c r="E3621" s="213" t="s">
        <v>30305</v>
      </c>
      <c r="K3621" s="213" t="s">
        <v>64756</v>
      </c>
      <c r="L3621" s="213" t="s">
        <v>64798</v>
      </c>
      <c r="M3621" s="213" t="s">
        <v>64840</v>
      </c>
      <c r="N3621" s="213" t="s">
        <v>30306</v>
      </c>
      <c r="O3621" s="213" t="s">
        <v>30307</v>
      </c>
      <c r="P3621" s="213" t="s">
        <v>30308</v>
      </c>
      <c r="Q3621" s="213" t="s">
        <v>30309</v>
      </c>
      <c r="R3621" s="213" t="s">
        <v>30310</v>
      </c>
      <c r="S3621" s="213" t="s">
        <v>30311</v>
      </c>
      <c r="T3621" s="213" t="s">
        <v>30312</v>
      </c>
      <c r="U3621" s="213" t="s">
        <v>64882</v>
      </c>
    </row>
    <row r="3622" spans="1:21" x14ac:dyDescent="0.25">
      <c r="A3622" s="213" t="s">
        <v>327</v>
      </c>
      <c r="D3622" s="213" t="s">
        <v>30313</v>
      </c>
      <c r="E3622" s="213" t="s">
        <v>30314</v>
      </c>
      <c r="K3622" s="213" t="s">
        <v>64757</v>
      </c>
      <c r="L3622" s="213" t="s">
        <v>64799</v>
      </c>
      <c r="M3622" s="213" t="s">
        <v>64841</v>
      </c>
      <c r="N3622" s="213" t="s">
        <v>30315</v>
      </c>
      <c r="O3622" s="213" t="s">
        <v>30316</v>
      </c>
      <c r="P3622" s="213" t="s">
        <v>30317</v>
      </c>
      <c r="Q3622" s="213" t="s">
        <v>30318</v>
      </c>
      <c r="R3622" s="213" t="s">
        <v>30319</v>
      </c>
      <c r="S3622" s="213" t="s">
        <v>30320</v>
      </c>
      <c r="T3622" s="213" t="s">
        <v>30321</v>
      </c>
      <c r="U3622" s="213" t="s">
        <v>64883</v>
      </c>
    </row>
    <row r="3623" spans="1:21" x14ac:dyDescent="0.25">
      <c r="A3623" s="213" t="s">
        <v>327</v>
      </c>
      <c r="D3623" s="213" t="s">
        <v>30322</v>
      </c>
      <c r="E3623" s="213" t="s">
        <v>30323</v>
      </c>
      <c r="K3623" s="213" t="s">
        <v>64758</v>
      </c>
      <c r="L3623" s="213" t="s">
        <v>64800</v>
      </c>
      <c r="M3623" s="213" t="s">
        <v>64842</v>
      </c>
      <c r="N3623" s="213" t="s">
        <v>30324</v>
      </c>
      <c r="O3623" s="213" t="s">
        <v>30325</v>
      </c>
      <c r="P3623" s="213" t="s">
        <v>30326</v>
      </c>
      <c r="Q3623" s="213" t="s">
        <v>30327</v>
      </c>
      <c r="R3623" s="213" t="s">
        <v>30328</v>
      </c>
      <c r="S3623" s="213" t="s">
        <v>30329</v>
      </c>
      <c r="T3623" s="213" t="s">
        <v>30330</v>
      </c>
      <c r="U3623" s="213" t="s">
        <v>64884</v>
      </c>
    </row>
    <row r="3624" spans="1:21" x14ac:dyDescent="0.25">
      <c r="A3624" s="213" t="s">
        <v>327</v>
      </c>
      <c r="D3624" s="213" t="s">
        <v>30331</v>
      </c>
      <c r="E3624" s="213" t="s">
        <v>30332</v>
      </c>
      <c r="K3624" s="213" t="s">
        <v>64759</v>
      </c>
      <c r="L3624" s="213" t="s">
        <v>64801</v>
      </c>
      <c r="M3624" s="213" t="s">
        <v>64843</v>
      </c>
      <c r="N3624" s="213" t="s">
        <v>30333</v>
      </c>
      <c r="O3624" s="213" t="s">
        <v>30334</v>
      </c>
      <c r="P3624" s="213" t="s">
        <v>30335</v>
      </c>
      <c r="Q3624" s="213" t="s">
        <v>30336</v>
      </c>
      <c r="R3624" s="213" t="s">
        <v>30337</v>
      </c>
      <c r="S3624" s="213" t="s">
        <v>30338</v>
      </c>
      <c r="T3624" s="213" t="s">
        <v>30339</v>
      </c>
      <c r="U3624" s="213" t="s">
        <v>64885</v>
      </c>
    </row>
    <row r="3625" spans="1:21" x14ac:dyDescent="0.25">
      <c r="A3625" s="213" t="s">
        <v>327</v>
      </c>
      <c r="D3625" s="213" t="s">
        <v>30340</v>
      </c>
      <c r="E3625" s="213" t="s">
        <v>30341</v>
      </c>
      <c r="K3625" s="213" t="s">
        <v>64760</v>
      </c>
      <c r="L3625" s="213" t="s">
        <v>64802</v>
      </c>
      <c r="M3625" s="213" t="s">
        <v>64844</v>
      </c>
      <c r="N3625" s="213" t="s">
        <v>30342</v>
      </c>
      <c r="O3625" s="213" t="s">
        <v>30343</v>
      </c>
      <c r="P3625" s="213" t="s">
        <v>30344</v>
      </c>
      <c r="Q3625" s="213" t="s">
        <v>30345</v>
      </c>
      <c r="R3625" s="213" t="s">
        <v>30346</v>
      </c>
      <c r="S3625" s="213" t="s">
        <v>30347</v>
      </c>
      <c r="T3625" s="213" t="s">
        <v>30348</v>
      </c>
      <c r="U3625" s="213" t="s">
        <v>64886</v>
      </c>
    </row>
    <row r="3626" spans="1:21" x14ac:dyDescent="0.25">
      <c r="A3626" s="213" t="s">
        <v>327</v>
      </c>
      <c r="D3626" s="213" t="s">
        <v>30349</v>
      </c>
      <c r="E3626" s="213" t="s">
        <v>30350</v>
      </c>
      <c r="K3626" s="213" t="s">
        <v>64761</v>
      </c>
      <c r="L3626" s="213" t="s">
        <v>64803</v>
      </c>
      <c r="M3626" s="213" t="s">
        <v>64845</v>
      </c>
      <c r="N3626" s="213" t="s">
        <v>30351</v>
      </c>
      <c r="O3626" s="213" t="s">
        <v>30352</v>
      </c>
      <c r="P3626" s="213" t="s">
        <v>30353</v>
      </c>
      <c r="Q3626" s="213" t="s">
        <v>30354</v>
      </c>
      <c r="R3626" s="213" t="s">
        <v>30355</v>
      </c>
      <c r="S3626" s="213" t="s">
        <v>30356</v>
      </c>
      <c r="T3626" s="213" t="s">
        <v>30357</v>
      </c>
      <c r="U3626" s="213" t="s">
        <v>64887</v>
      </c>
    </row>
    <row r="3627" spans="1:21" x14ac:dyDescent="0.25">
      <c r="A3627" s="213" t="s">
        <v>327</v>
      </c>
      <c r="D3627" s="213" t="s">
        <v>30358</v>
      </c>
      <c r="E3627" s="213" t="s">
        <v>30359</v>
      </c>
      <c r="K3627" s="213" t="s">
        <v>64762</v>
      </c>
      <c r="L3627" s="213" t="s">
        <v>64804</v>
      </c>
      <c r="M3627" s="213" t="s">
        <v>64846</v>
      </c>
      <c r="N3627" s="213" t="s">
        <v>30360</v>
      </c>
      <c r="O3627" s="213" t="s">
        <v>30361</v>
      </c>
      <c r="P3627" s="213" t="s">
        <v>30362</v>
      </c>
      <c r="Q3627" s="213" t="s">
        <v>30363</v>
      </c>
      <c r="R3627" s="213" t="s">
        <v>30364</v>
      </c>
      <c r="S3627" s="213" t="s">
        <v>30365</v>
      </c>
      <c r="T3627" s="213" t="s">
        <v>30366</v>
      </c>
      <c r="U3627" s="213" t="s">
        <v>64888</v>
      </c>
    </row>
    <row r="3628" spans="1:21" x14ac:dyDescent="0.25">
      <c r="A3628" s="213" t="s">
        <v>327</v>
      </c>
      <c r="D3628" s="213" t="s">
        <v>30367</v>
      </c>
      <c r="E3628" s="213" t="s">
        <v>30368</v>
      </c>
      <c r="K3628" s="213" t="s">
        <v>64763</v>
      </c>
      <c r="L3628" s="213" t="s">
        <v>64805</v>
      </c>
      <c r="M3628" s="213" t="s">
        <v>64847</v>
      </c>
      <c r="N3628" s="213" t="s">
        <v>30369</v>
      </c>
      <c r="O3628" s="213" t="s">
        <v>30370</v>
      </c>
      <c r="P3628" s="213" t="s">
        <v>30371</v>
      </c>
      <c r="Q3628" s="213" t="s">
        <v>30372</v>
      </c>
      <c r="R3628" s="213" t="s">
        <v>30373</v>
      </c>
      <c r="S3628" s="213" t="s">
        <v>30374</v>
      </c>
      <c r="T3628" s="213" t="s">
        <v>30375</v>
      </c>
      <c r="U3628" s="213" t="s">
        <v>64889</v>
      </c>
    </row>
    <row r="3629" spans="1:21" x14ac:dyDescent="0.25">
      <c r="A3629" s="213" t="s">
        <v>327</v>
      </c>
      <c r="D3629" s="213" t="s">
        <v>30376</v>
      </c>
      <c r="E3629" s="213" t="s">
        <v>30377</v>
      </c>
      <c r="K3629" s="213" t="s">
        <v>64764</v>
      </c>
      <c r="L3629" s="213" t="s">
        <v>64806</v>
      </c>
      <c r="M3629" s="213" t="s">
        <v>64848</v>
      </c>
      <c r="N3629" s="213" t="s">
        <v>30378</v>
      </c>
      <c r="O3629" s="213" t="s">
        <v>30379</v>
      </c>
      <c r="P3629" s="213" t="s">
        <v>30380</v>
      </c>
      <c r="Q3629" s="213" t="s">
        <v>30381</v>
      </c>
      <c r="R3629" s="213" t="s">
        <v>30382</v>
      </c>
      <c r="S3629" s="213" t="s">
        <v>30383</v>
      </c>
      <c r="T3629" s="213" t="s">
        <v>30384</v>
      </c>
      <c r="U3629" s="213" t="s">
        <v>64890</v>
      </c>
    </row>
    <row r="3630" spans="1:21" x14ac:dyDescent="0.25">
      <c r="A3630" s="213" t="s">
        <v>327</v>
      </c>
      <c r="D3630" s="213" t="s">
        <v>30385</v>
      </c>
      <c r="E3630" s="213" t="s">
        <v>30386</v>
      </c>
      <c r="K3630" s="213" t="s">
        <v>64765</v>
      </c>
      <c r="L3630" s="213" t="s">
        <v>64807</v>
      </c>
      <c r="M3630" s="213" t="s">
        <v>64849</v>
      </c>
      <c r="N3630" s="213" t="s">
        <v>30387</v>
      </c>
      <c r="O3630" s="213" t="s">
        <v>30388</v>
      </c>
      <c r="P3630" s="213" t="s">
        <v>30389</v>
      </c>
      <c r="Q3630" s="213" t="s">
        <v>30390</v>
      </c>
      <c r="R3630" s="213" t="s">
        <v>30391</v>
      </c>
      <c r="S3630" s="213" t="s">
        <v>30392</v>
      </c>
      <c r="T3630" s="213" t="s">
        <v>30393</v>
      </c>
      <c r="U3630" s="213" t="s">
        <v>64891</v>
      </c>
    </row>
    <row r="3631" spans="1:21" x14ac:dyDescent="0.25">
      <c r="A3631" s="213" t="s">
        <v>327</v>
      </c>
      <c r="D3631" s="213" t="s">
        <v>30394</v>
      </c>
      <c r="E3631" s="213" t="s">
        <v>30395</v>
      </c>
      <c r="K3631" s="213" t="s">
        <v>64766</v>
      </c>
      <c r="L3631" s="213" t="s">
        <v>64808</v>
      </c>
      <c r="M3631" s="213" t="s">
        <v>64850</v>
      </c>
      <c r="N3631" s="213" t="s">
        <v>30396</v>
      </c>
      <c r="O3631" s="213" t="s">
        <v>30397</v>
      </c>
      <c r="P3631" s="213" t="s">
        <v>30398</v>
      </c>
      <c r="Q3631" s="213" t="s">
        <v>30399</v>
      </c>
      <c r="R3631" s="213" t="s">
        <v>30400</v>
      </c>
      <c r="S3631" s="213" t="s">
        <v>30401</v>
      </c>
      <c r="T3631" s="213" t="s">
        <v>30402</v>
      </c>
      <c r="U3631" s="213" t="s">
        <v>64892</v>
      </c>
    </row>
    <row r="3632" spans="1:21" x14ac:dyDescent="0.25">
      <c r="A3632" s="213" t="s">
        <v>327</v>
      </c>
      <c r="D3632" s="213" t="s">
        <v>30403</v>
      </c>
      <c r="E3632" s="213" t="s">
        <v>30404</v>
      </c>
      <c r="K3632" s="213" t="s">
        <v>64767</v>
      </c>
      <c r="L3632" s="213" t="s">
        <v>64809</v>
      </c>
      <c r="M3632" s="213" t="s">
        <v>64851</v>
      </c>
      <c r="N3632" s="213" t="s">
        <v>30405</v>
      </c>
      <c r="O3632" s="213" t="s">
        <v>30406</v>
      </c>
      <c r="P3632" s="213" t="s">
        <v>30407</v>
      </c>
      <c r="Q3632" s="213" t="s">
        <v>30408</v>
      </c>
      <c r="R3632" s="213" t="s">
        <v>30409</v>
      </c>
      <c r="S3632" s="213" t="s">
        <v>30410</v>
      </c>
      <c r="T3632" s="213" t="s">
        <v>30411</v>
      </c>
      <c r="U3632" s="213" t="s">
        <v>64893</v>
      </c>
    </row>
    <row r="3633" spans="1:21" x14ac:dyDescent="0.25">
      <c r="A3633" s="213" t="s">
        <v>327</v>
      </c>
      <c r="D3633" s="213" t="s">
        <v>30412</v>
      </c>
      <c r="E3633" s="213" t="s">
        <v>30413</v>
      </c>
      <c r="K3633" s="213" t="s">
        <v>64768</v>
      </c>
      <c r="L3633" s="213" t="s">
        <v>64810</v>
      </c>
      <c r="M3633" s="213" t="s">
        <v>64852</v>
      </c>
      <c r="N3633" s="213" t="s">
        <v>30414</v>
      </c>
      <c r="O3633" s="213" t="s">
        <v>30415</v>
      </c>
      <c r="P3633" s="213" t="s">
        <v>30416</v>
      </c>
      <c r="Q3633" s="213" t="s">
        <v>30417</v>
      </c>
      <c r="R3633" s="213" t="s">
        <v>30418</v>
      </c>
      <c r="S3633" s="213" t="s">
        <v>30419</v>
      </c>
      <c r="T3633" s="213" t="s">
        <v>30420</v>
      </c>
      <c r="U3633" s="213" t="s">
        <v>64894</v>
      </c>
    </row>
    <row r="3634" spans="1:21" x14ac:dyDescent="0.25">
      <c r="A3634" s="213" t="s">
        <v>327</v>
      </c>
      <c r="D3634" s="213" t="s">
        <v>30421</v>
      </c>
      <c r="E3634" s="213" t="s">
        <v>30422</v>
      </c>
      <c r="K3634" s="213" t="s">
        <v>64769</v>
      </c>
      <c r="L3634" s="213" t="s">
        <v>64811</v>
      </c>
      <c r="M3634" s="213" t="s">
        <v>64853</v>
      </c>
      <c r="N3634" s="213" t="s">
        <v>30423</v>
      </c>
      <c r="O3634" s="213" t="s">
        <v>30424</v>
      </c>
      <c r="P3634" s="213" t="s">
        <v>30425</v>
      </c>
      <c r="Q3634" s="213" t="s">
        <v>30426</v>
      </c>
      <c r="R3634" s="213" t="s">
        <v>30427</v>
      </c>
      <c r="S3634" s="213" t="s">
        <v>30428</v>
      </c>
      <c r="T3634" s="213" t="s">
        <v>30429</v>
      </c>
      <c r="U3634" s="213" t="s">
        <v>64895</v>
      </c>
    </row>
    <row r="3635" spans="1:21" x14ac:dyDescent="0.25">
      <c r="A3635" s="213" t="s">
        <v>327</v>
      </c>
      <c r="D3635" s="213" t="s">
        <v>30430</v>
      </c>
      <c r="E3635" s="213" t="s">
        <v>30431</v>
      </c>
      <c r="K3635" s="213" t="s">
        <v>64770</v>
      </c>
      <c r="L3635" s="213" t="s">
        <v>64812</v>
      </c>
      <c r="M3635" s="213" t="s">
        <v>64854</v>
      </c>
      <c r="N3635" s="213" t="s">
        <v>30432</v>
      </c>
      <c r="O3635" s="213" t="s">
        <v>30433</v>
      </c>
      <c r="P3635" s="213" t="s">
        <v>30434</v>
      </c>
      <c r="Q3635" s="213" t="s">
        <v>30435</v>
      </c>
      <c r="R3635" s="213" t="s">
        <v>30436</v>
      </c>
      <c r="S3635" s="213" t="s">
        <v>30437</v>
      </c>
      <c r="T3635" s="213" t="s">
        <v>30438</v>
      </c>
      <c r="U3635" s="213" t="s">
        <v>64896</v>
      </c>
    </row>
    <row r="3636" spans="1:21" x14ac:dyDescent="0.25">
      <c r="A3636" s="213" t="s">
        <v>327</v>
      </c>
      <c r="D3636" s="213" t="s">
        <v>30439</v>
      </c>
      <c r="E3636" s="213" t="s">
        <v>30440</v>
      </c>
      <c r="K3636" s="213" t="s">
        <v>64771</v>
      </c>
      <c r="L3636" s="213" t="s">
        <v>64813</v>
      </c>
      <c r="M3636" s="213" t="s">
        <v>64855</v>
      </c>
      <c r="N3636" s="213" t="s">
        <v>30441</v>
      </c>
      <c r="O3636" s="213" t="s">
        <v>30442</v>
      </c>
      <c r="P3636" s="213" t="s">
        <v>30443</v>
      </c>
      <c r="Q3636" s="213" t="s">
        <v>30444</v>
      </c>
      <c r="R3636" s="213" t="s">
        <v>30445</v>
      </c>
      <c r="S3636" s="213" t="s">
        <v>30446</v>
      </c>
      <c r="T3636" s="213" t="s">
        <v>30447</v>
      </c>
      <c r="U3636" s="213" t="s">
        <v>64897</v>
      </c>
    </row>
    <row r="3637" spans="1:21" x14ac:dyDescent="0.25">
      <c r="A3637" s="213" t="s">
        <v>327</v>
      </c>
      <c r="D3637" s="213" t="s">
        <v>30448</v>
      </c>
      <c r="E3637" s="213" t="s">
        <v>30449</v>
      </c>
      <c r="K3637" s="213" t="s">
        <v>64772</v>
      </c>
      <c r="L3637" s="213" t="s">
        <v>64814</v>
      </c>
      <c r="M3637" s="213" t="s">
        <v>64856</v>
      </c>
      <c r="N3637" s="213" t="s">
        <v>30450</v>
      </c>
      <c r="O3637" s="213" t="s">
        <v>30451</v>
      </c>
      <c r="P3637" s="213" t="s">
        <v>30452</v>
      </c>
      <c r="Q3637" s="213" t="s">
        <v>30453</v>
      </c>
      <c r="R3637" s="213" t="s">
        <v>30454</v>
      </c>
      <c r="S3637" s="213" t="s">
        <v>30455</v>
      </c>
      <c r="T3637" s="213" t="s">
        <v>30456</v>
      </c>
      <c r="U3637" s="213" t="s">
        <v>64898</v>
      </c>
    </row>
    <row r="3638" spans="1:21" x14ac:dyDescent="0.25">
      <c r="A3638" s="213" t="s">
        <v>327</v>
      </c>
      <c r="D3638" s="213" t="s">
        <v>30457</v>
      </c>
      <c r="E3638" s="213" t="s">
        <v>30458</v>
      </c>
      <c r="K3638" s="213" t="s">
        <v>64773</v>
      </c>
      <c r="L3638" s="213" t="s">
        <v>64815</v>
      </c>
      <c r="M3638" s="213" t="s">
        <v>64857</v>
      </c>
      <c r="N3638" s="213" t="s">
        <v>30459</v>
      </c>
      <c r="O3638" s="213" t="s">
        <v>30460</v>
      </c>
      <c r="P3638" s="213" t="s">
        <v>30461</v>
      </c>
      <c r="Q3638" s="213" t="s">
        <v>30462</v>
      </c>
      <c r="R3638" s="213" t="s">
        <v>30463</v>
      </c>
      <c r="S3638" s="213" t="s">
        <v>30464</v>
      </c>
      <c r="T3638" s="213" t="s">
        <v>30465</v>
      </c>
      <c r="U3638" s="213" t="s">
        <v>64899</v>
      </c>
    </row>
    <row r="3639" spans="1:21" x14ac:dyDescent="0.25">
      <c r="A3639" s="213" t="s">
        <v>327</v>
      </c>
      <c r="D3639" s="213" t="s">
        <v>30466</v>
      </c>
      <c r="E3639" s="213" t="s">
        <v>30467</v>
      </c>
      <c r="K3639" s="213" t="s">
        <v>64774</v>
      </c>
      <c r="L3639" s="213" t="s">
        <v>64816</v>
      </c>
      <c r="M3639" s="213" t="s">
        <v>64858</v>
      </c>
      <c r="N3639" s="213" t="s">
        <v>30468</v>
      </c>
      <c r="O3639" s="213" t="s">
        <v>30469</v>
      </c>
      <c r="P3639" s="213" t="s">
        <v>30470</v>
      </c>
      <c r="Q3639" s="213" t="s">
        <v>30471</v>
      </c>
      <c r="R3639" s="213" t="s">
        <v>30472</v>
      </c>
      <c r="S3639" s="213" t="s">
        <v>30473</v>
      </c>
      <c r="T3639" s="213" t="s">
        <v>30474</v>
      </c>
      <c r="U3639" s="213" t="s">
        <v>64900</v>
      </c>
    </row>
    <row r="3640" spans="1:21" x14ac:dyDescent="0.25">
      <c r="A3640" s="213" t="s">
        <v>327</v>
      </c>
      <c r="D3640" s="213" t="s">
        <v>30475</v>
      </c>
      <c r="E3640" s="213" t="s">
        <v>30476</v>
      </c>
      <c r="K3640" s="213" t="s">
        <v>64775</v>
      </c>
      <c r="L3640" s="213" t="s">
        <v>64817</v>
      </c>
      <c r="M3640" s="213" t="s">
        <v>64859</v>
      </c>
      <c r="N3640" s="213" t="s">
        <v>30477</v>
      </c>
      <c r="O3640" s="213" t="s">
        <v>30478</v>
      </c>
      <c r="P3640" s="213" t="s">
        <v>30479</v>
      </c>
      <c r="Q3640" s="213" t="s">
        <v>30480</v>
      </c>
      <c r="R3640" s="213" t="s">
        <v>30481</v>
      </c>
      <c r="S3640" s="213" t="s">
        <v>30482</v>
      </c>
      <c r="T3640" s="213" t="s">
        <v>30483</v>
      </c>
      <c r="U3640" s="213" t="s">
        <v>64901</v>
      </c>
    </row>
    <row r="3641" spans="1:21" x14ac:dyDescent="0.25">
      <c r="A3641" s="213" t="s">
        <v>327</v>
      </c>
    </row>
    <row r="3642" spans="1:21" x14ac:dyDescent="0.25">
      <c r="A3642" s="213" t="s">
        <v>327</v>
      </c>
    </row>
    <row r="3643" spans="1:21" x14ac:dyDescent="0.25">
      <c r="A3643" s="213" t="s">
        <v>327</v>
      </c>
      <c r="C3643" s="213" t="s">
        <v>30484</v>
      </c>
      <c r="E3643" s="213" t="s">
        <v>30485</v>
      </c>
      <c r="H3643" s="213" t="s">
        <v>30486</v>
      </c>
      <c r="I3643" s="213" t="s">
        <v>30487</v>
      </c>
      <c r="J3643" s="213" t="s">
        <v>30488</v>
      </c>
      <c r="L3643" s="213" t="s">
        <v>30489</v>
      </c>
      <c r="O3643" s="213" t="s">
        <v>30490</v>
      </c>
      <c r="P3643" s="213" t="s">
        <v>30491</v>
      </c>
      <c r="Q3643" s="213" t="s">
        <v>30492</v>
      </c>
      <c r="R3643" s="213" t="s">
        <v>30493</v>
      </c>
      <c r="S3643" s="213" t="s">
        <v>30494</v>
      </c>
      <c r="T3643" s="213" t="s">
        <v>30495</v>
      </c>
    </row>
    <row r="3644" spans="1:21" x14ac:dyDescent="0.25">
      <c r="A3644" s="213" t="s">
        <v>327</v>
      </c>
      <c r="C3644" s="213" t="s">
        <v>30496</v>
      </c>
      <c r="E3644" s="213" t="s">
        <v>30497</v>
      </c>
      <c r="I3644" s="213" t="s">
        <v>30498</v>
      </c>
    </row>
    <row r="3645" spans="1:21" x14ac:dyDescent="0.25">
      <c r="A3645" s="213" t="s">
        <v>327</v>
      </c>
      <c r="C3645" s="213" t="s">
        <v>30499</v>
      </c>
      <c r="E3645" s="213" t="s">
        <v>30500</v>
      </c>
      <c r="I3645" s="213" t="s">
        <v>30501</v>
      </c>
    </row>
    <row r="3646" spans="1:21" x14ac:dyDescent="0.25">
      <c r="A3646" s="213" t="s">
        <v>328</v>
      </c>
    </row>
    <row r="3647" spans="1:21" x14ac:dyDescent="0.25">
      <c r="A3647" s="213" t="s">
        <v>327</v>
      </c>
      <c r="D3647" s="213" t="s">
        <v>30502</v>
      </c>
      <c r="E3647" s="213" t="s">
        <v>30503</v>
      </c>
      <c r="K3647" s="213" t="s">
        <v>64522</v>
      </c>
      <c r="L3647" s="213" t="s">
        <v>64575</v>
      </c>
      <c r="M3647" s="213" t="s">
        <v>64628</v>
      </c>
      <c r="N3647" s="213" t="s">
        <v>30504</v>
      </c>
      <c r="O3647" s="213" t="s">
        <v>30505</v>
      </c>
      <c r="P3647" s="213" t="s">
        <v>30506</v>
      </c>
      <c r="Q3647" s="213" t="s">
        <v>30507</v>
      </c>
      <c r="R3647" s="213" t="s">
        <v>30508</v>
      </c>
      <c r="S3647" s="213" t="s">
        <v>30509</v>
      </c>
      <c r="T3647" s="213" t="s">
        <v>30510</v>
      </c>
      <c r="U3647" s="213" t="s">
        <v>64681</v>
      </c>
    </row>
    <row r="3648" spans="1:21" x14ac:dyDescent="0.25">
      <c r="A3648" s="213" t="s">
        <v>327</v>
      </c>
      <c r="D3648" s="213" t="s">
        <v>30511</v>
      </c>
      <c r="E3648" s="213" t="s">
        <v>30512</v>
      </c>
      <c r="K3648" s="213" t="s">
        <v>64523</v>
      </c>
      <c r="L3648" s="213" t="s">
        <v>64576</v>
      </c>
      <c r="M3648" s="213" t="s">
        <v>64629</v>
      </c>
      <c r="N3648" s="213" t="s">
        <v>30513</v>
      </c>
      <c r="O3648" s="213" t="s">
        <v>30514</v>
      </c>
      <c r="P3648" s="213" t="s">
        <v>30515</v>
      </c>
      <c r="Q3648" s="213" t="s">
        <v>30516</v>
      </c>
      <c r="R3648" s="213" t="s">
        <v>30517</v>
      </c>
      <c r="S3648" s="213" t="s">
        <v>30518</v>
      </c>
      <c r="T3648" s="213" t="s">
        <v>30519</v>
      </c>
      <c r="U3648" s="213" t="s">
        <v>64682</v>
      </c>
    </row>
    <row r="3649" spans="1:21" x14ac:dyDescent="0.25">
      <c r="A3649" s="213" t="s">
        <v>327</v>
      </c>
      <c r="D3649" s="213" t="s">
        <v>30520</v>
      </c>
      <c r="E3649" s="213" t="s">
        <v>30521</v>
      </c>
      <c r="K3649" s="213" t="s">
        <v>64524</v>
      </c>
      <c r="L3649" s="213" t="s">
        <v>64577</v>
      </c>
      <c r="M3649" s="213" t="s">
        <v>64630</v>
      </c>
      <c r="N3649" s="213" t="s">
        <v>30522</v>
      </c>
      <c r="O3649" s="213" t="s">
        <v>30523</v>
      </c>
      <c r="P3649" s="213" t="s">
        <v>30524</v>
      </c>
      <c r="Q3649" s="213" t="s">
        <v>30525</v>
      </c>
      <c r="R3649" s="213" t="s">
        <v>30526</v>
      </c>
      <c r="S3649" s="213" t="s">
        <v>30527</v>
      </c>
      <c r="T3649" s="213" t="s">
        <v>30528</v>
      </c>
      <c r="U3649" s="213" t="s">
        <v>64683</v>
      </c>
    </row>
    <row r="3650" spans="1:21" x14ac:dyDescent="0.25">
      <c r="A3650" s="213" t="s">
        <v>327</v>
      </c>
      <c r="D3650" s="213" t="s">
        <v>30529</v>
      </c>
      <c r="E3650" s="213" t="s">
        <v>30530</v>
      </c>
      <c r="K3650" s="213" t="s">
        <v>64525</v>
      </c>
      <c r="L3650" s="213" t="s">
        <v>64578</v>
      </c>
      <c r="M3650" s="213" t="s">
        <v>64631</v>
      </c>
      <c r="N3650" s="213" t="s">
        <v>30531</v>
      </c>
      <c r="O3650" s="213" t="s">
        <v>30532</v>
      </c>
      <c r="P3650" s="213" t="s">
        <v>30533</v>
      </c>
      <c r="Q3650" s="213" t="s">
        <v>30534</v>
      </c>
      <c r="R3650" s="213" t="s">
        <v>30535</v>
      </c>
      <c r="S3650" s="213" t="s">
        <v>30536</v>
      </c>
      <c r="T3650" s="213" t="s">
        <v>30537</v>
      </c>
      <c r="U3650" s="213" t="s">
        <v>64684</v>
      </c>
    </row>
    <row r="3651" spans="1:21" x14ac:dyDescent="0.25">
      <c r="A3651" s="213" t="s">
        <v>327</v>
      </c>
      <c r="D3651" s="213" t="s">
        <v>30538</v>
      </c>
      <c r="E3651" s="213" t="s">
        <v>30539</v>
      </c>
      <c r="K3651" s="213" t="s">
        <v>64526</v>
      </c>
      <c r="L3651" s="213" t="s">
        <v>64579</v>
      </c>
      <c r="M3651" s="213" t="s">
        <v>64632</v>
      </c>
      <c r="N3651" s="213" t="s">
        <v>30540</v>
      </c>
      <c r="O3651" s="213" t="s">
        <v>30541</v>
      </c>
      <c r="P3651" s="213" t="s">
        <v>30542</v>
      </c>
      <c r="Q3651" s="213" t="s">
        <v>30543</v>
      </c>
      <c r="R3651" s="213" t="s">
        <v>30544</v>
      </c>
      <c r="S3651" s="213" t="s">
        <v>30545</v>
      </c>
      <c r="T3651" s="213" t="s">
        <v>30546</v>
      </c>
      <c r="U3651" s="213" t="s">
        <v>64685</v>
      </c>
    </row>
    <row r="3652" spans="1:21" x14ac:dyDescent="0.25">
      <c r="A3652" s="213" t="s">
        <v>327</v>
      </c>
      <c r="D3652" s="213" t="s">
        <v>30547</v>
      </c>
      <c r="E3652" s="213" t="s">
        <v>30548</v>
      </c>
      <c r="K3652" s="213" t="s">
        <v>64527</v>
      </c>
      <c r="L3652" s="213" t="s">
        <v>64580</v>
      </c>
      <c r="M3652" s="213" t="s">
        <v>64633</v>
      </c>
      <c r="N3652" s="213" t="s">
        <v>30549</v>
      </c>
      <c r="O3652" s="213" t="s">
        <v>30550</v>
      </c>
      <c r="P3652" s="213" t="s">
        <v>30551</v>
      </c>
      <c r="Q3652" s="213" t="s">
        <v>30552</v>
      </c>
      <c r="R3652" s="213" t="s">
        <v>30553</v>
      </c>
      <c r="S3652" s="213" t="s">
        <v>30554</v>
      </c>
      <c r="T3652" s="213" t="s">
        <v>30555</v>
      </c>
      <c r="U3652" s="213" t="s">
        <v>64686</v>
      </c>
    </row>
    <row r="3653" spans="1:21" x14ac:dyDescent="0.25">
      <c r="A3653" s="213" t="s">
        <v>327</v>
      </c>
      <c r="D3653" s="213" t="s">
        <v>30556</v>
      </c>
      <c r="E3653" s="213" t="s">
        <v>30557</v>
      </c>
      <c r="K3653" s="213" t="s">
        <v>64528</v>
      </c>
      <c r="L3653" s="213" t="s">
        <v>64581</v>
      </c>
      <c r="M3653" s="213" t="s">
        <v>64634</v>
      </c>
      <c r="N3653" s="213" t="s">
        <v>30558</v>
      </c>
      <c r="O3653" s="213" t="s">
        <v>30559</v>
      </c>
      <c r="P3653" s="213" t="s">
        <v>30560</v>
      </c>
      <c r="Q3653" s="213" t="s">
        <v>30561</v>
      </c>
      <c r="R3653" s="213" t="s">
        <v>30562</v>
      </c>
      <c r="S3653" s="213" t="s">
        <v>30563</v>
      </c>
      <c r="T3653" s="213" t="s">
        <v>30564</v>
      </c>
      <c r="U3653" s="213" t="s">
        <v>64687</v>
      </c>
    </row>
    <row r="3654" spans="1:21" x14ac:dyDescent="0.25">
      <c r="A3654" s="213" t="s">
        <v>327</v>
      </c>
      <c r="D3654" s="213" t="s">
        <v>30565</v>
      </c>
      <c r="E3654" s="213" t="s">
        <v>30566</v>
      </c>
      <c r="K3654" s="213" t="s">
        <v>64529</v>
      </c>
      <c r="L3654" s="213" t="s">
        <v>64582</v>
      </c>
      <c r="M3654" s="213" t="s">
        <v>64635</v>
      </c>
      <c r="N3654" s="213" t="s">
        <v>30567</v>
      </c>
      <c r="O3654" s="213" t="s">
        <v>30568</v>
      </c>
      <c r="P3654" s="213" t="s">
        <v>30569</v>
      </c>
      <c r="Q3654" s="213" t="s">
        <v>30570</v>
      </c>
      <c r="R3654" s="213" t="s">
        <v>30571</v>
      </c>
      <c r="S3654" s="213" t="s">
        <v>30572</v>
      </c>
      <c r="T3654" s="213" t="s">
        <v>30573</v>
      </c>
      <c r="U3654" s="213" t="s">
        <v>64688</v>
      </c>
    </row>
    <row r="3655" spans="1:21" x14ac:dyDescent="0.25">
      <c r="A3655" s="213" t="s">
        <v>327</v>
      </c>
      <c r="D3655" s="213" t="s">
        <v>30574</v>
      </c>
      <c r="E3655" s="213" t="s">
        <v>30575</v>
      </c>
      <c r="K3655" s="213" t="s">
        <v>64530</v>
      </c>
      <c r="L3655" s="213" t="s">
        <v>64583</v>
      </c>
      <c r="M3655" s="213" t="s">
        <v>64636</v>
      </c>
      <c r="N3655" s="213" t="s">
        <v>30576</v>
      </c>
      <c r="O3655" s="213" t="s">
        <v>30577</v>
      </c>
      <c r="P3655" s="213" t="s">
        <v>30578</v>
      </c>
      <c r="Q3655" s="213" t="s">
        <v>30579</v>
      </c>
      <c r="R3655" s="213" t="s">
        <v>30580</v>
      </c>
      <c r="S3655" s="213" t="s">
        <v>30581</v>
      </c>
      <c r="T3655" s="213" t="s">
        <v>30582</v>
      </c>
      <c r="U3655" s="213" t="s">
        <v>64689</v>
      </c>
    </row>
    <row r="3656" spans="1:21" x14ac:dyDescent="0.25">
      <c r="A3656" s="213" t="s">
        <v>327</v>
      </c>
      <c r="D3656" s="213" t="s">
        <v>30583</v>
      </c>
      <c r="E3656" s="213" t="s">
        <v>30584</v>
      </c>
      <c r="K3656" s="213" t="s">
        <v>64531</v>
      </c>
      <c r="L3656" s="213" t="s">
        <v>64584</v>
      </c>
      <c r="M3656" s="213" t="s">
        <v>64637</v>
      </c>
      <c r="N3656" s="213" t="s">
        <v>30585</v>
      </c>
      <c r="O3656" s="213" t="s">
        <v>30586</v>
      </c>
      <c r="P3656" s="213" t="s">
        <v>30587</v>
      </c>
      <c r="Q3656" s="213" t="s">
        <v>30588</v>
      </c>
      <c r="R3656" s="213" t="s">
        <v>30589</v>
      </c>
      <c r="S3656" s="213" t="s">
        <v>30590</v>
      </c>
      <c r="T3656" s="213" t="s">
        <v>30591</v>
      </c>
      <c r="U3656" s="213" t="s">
        <v>64690</v>
      </c>
    </row>
    <row r="3657" spans="1:21" x14ac:dyDescent="0.25">
      <c r="A3657" s="213" t="s">
        <v>327</v>
      </c>
      <c r="D3657" s="213" t="s">
        <v>30592</v>
      </c>
      <c r="E3657" s="213" t="s">
        <v>30593</v>
      </c>
      <c r="K3657" s="213" t="s">
        <v>64532</v>
      </c>
      <c r="L3657" s="213" t="s">
        <v>64585</v>
      </c>
      <c r="M3657" s="213" t="s">
        <v>64638</v>
      </c>
      <c r="N3657" s="213" t="s">
        <v>30594</v>
      </c>
      <c r="O3657" s="213" t="s">
        <v>30595</v>
      </c>
      <c r="P3657" s="213" t="s">
        <v>30596</v>
      </c>
      <c r="Q3657" s="213" t="s">
        <v>30597</v>
      </c>
      <c r="R3657" s="213" t="s">
        <v>30598</v>
      </c>
      <c r="S3657" s="213" t="s">
        <v>30599</v>
      </c>
      <c r="T3657" s="213" t="s">
        <v>30600</v>
      </c>
      <c r="U3657" s="213" t="s">
        <v>64691</v>
      </c>
    </row>
    <row r="3658" spans="1:21" x14ac:dyDescent="0.25">
      <c r="A3658" s="213" t="s">
        <v>327</v>
      </c>
      <c r="D3658" s="213" t="s">
        <v>30601</v>
      </c>
      <c r="E3658" s="213" t="s">
        <v>30602</v>
      </c>
      <c r="K3658" s="213" t="s">
        <v>64533</v>
      </c>
      <c r="L3658" s="213" t="s">
        <v>64586</v>
      </c>
      <c r="M3658" s="213" t="s">
        <v>64639</v>
      </c>
      <c r="N3658" s="213" t="s">
        <v>30603</v>
      </c>
      <c r="O3658" s="213" t="s">
        <v>30604</v>
      </c>
      <c r="P3658" s="213" t="s">
        <v>30605</v>
      </c>
      <c r="Q3658" s="213" t="s">
        <v>30606</v>
      </c>
      <c r="R3658" s="213" t="s">
        <v>30607</v>
      </c>
      <c r="S3658" s="213" t="s">
        <v>30608</v>
      </c>
      <c r="T3658" s="213" t="s">
        <v>30609</v>
      </c>
      <c r="U3658" s="213" t="s">
        <v>64692</v>
      </c>
    </row>
    <row r="3659" spans="1:21" x14ac:dyDescent="0.25">
      <c r="A3659" s="213" t="s">
        <v>327</v>
      </c>
      <c r="D3659" s="213" t="s">
        <v>30610</v>
      </c>
      <c r="E3659" s="213" t="s">
        <v>30611</v>
      </c>
      <c r="K3659" s="213" t="s">
        <v>64534</v>
      </c>
      <c r="L3659" s="213" t="s">
        <v>64587</v>
      </c>
      <c r="M3659" s="213" t="s">
        <v>64640</v>
      </c>
      <c r="N3659" s="213" t="s">
        <v>30612</v>
      </c>
      <c r="O3659" s="213" t="s">
        <v>30613</v>
      </c>
      <c r="P3659" s="213" t="s">
        <v>30614</v>
      </c>
      <c r="Q3659" s="213" t="s">
        <v>30615</v>
      </c>
      <c r="R3659" s="213" t="s">
        <v>30616</v>
      </c>
      <c r="S3659" s="213" t="s">
        <v>30617</v>
      </c>
      <c r="T3659" s="213" t="s">
        <v>30618</v>
      </c>
      <c r="U3659" s="213" t="s">
        <v>64693</v>
      </c>
    </row>
    <row r="3660" spans="1:21" x14ac:dyDescent="0.25">
      <c r="A3660" s="213" t="s">
        <v>327</v>
      </c>
      <c r="D3660" s="213" t="s">
        <v>30619</v>
      </c>
      <c r="E3660" s="213" t="s">
        <v>30620</v>
      </c>
      <c r="K3660" s="213" t="s">
        <v>64535</v>
      </c>
      <c r="L3660" s="213" t="s">
        <v>64588</v>
      </c>
      <c r="M3660" s="213" t="s">
        <v>64641</v>
      </c>
      <c r="N3660" s="213" t="s">
        <v>30621</v>
      </c>
      <c r="O3660" s="213" t="s">
        <v>30622</v>
      </c>
      <c r="P3660" s="213" t="s">
        <v>30623</v>
      </c>
      <c r="Q3660" s="213" t="s">
        <v>30624</v>
      </c>
      <c r="R3660" s="213" t="s">
        <v>30625</v>
      </c>
      <c r="S3660" s="213" t="s">
        <v>30626</v>
      </c>
      <c r="T3660" s="213" t="s">
        <v>30627</v>
      </c>
      <c r="U3660" s="213" t="s">
        <v>64694</v>
      </c>
    </row>
    <row r="3661" spans="1:21" x14ac:dyDescent="0.25">
      <c r="A3661" s="213" t="s">
        <v>327</v>
      </c>
      <c r="D3661" s="213" t="s">
        <v>30628</v>
      </c>
      <c r="E3661" s="213" t="s">
        <v>30629</v>
      </c>
      <c r="K3661" s="213" t="s">
        <v>64536</v>
      </c>
      <c r="L3661" s="213" t="s">
        <v>64589</v>
      </c>
      <c r="M3661" s="213" t="s">
        <v>64642</v>
      </c>
      <c r="N3661" s="213" t="s">
        <v>30630</v>
      </c>
      <c r="O3661" s="213" t="s">
        <v>30631</v>
      </c>
      <c r="P3661" s="213" t="s">
        <v>30632</v>
      </c>
      <c r="Q3661" s="213" t="s">
        <v>30633</v>
      </c>
      <c r="R3661" s="213" t="s">
        <v>30634</v>
      </c>
      <c r="S3661" s="213" t="s">
        <v>30635</v>
      </c>
      <c r="T3661" s="213" t="s">
        <v>30636</v>
      </c>
      <c r="U3661" s="213" t="s">
        <v>64695</v>
      </c>
    </row>
    <row r="3662" spans="1:21" x14ac:dyDescent="0.25">
      <c r="A3662" s="213" t="s">
        <v>327</v>
      </c>
      <c r="D3662" s="213" t="s">
        <v>30637</v>
      </c>
      <c r="E3662" s="213" t="s">
        <v>30638</v>
      </c>
      <c r="K3662" s="213" t="s">
        <v>64537</v>
      </c>
      <c r="L3662" s="213" t="s">
        <v>64590</v>
      </c>
      <c r="M3662" s="213" t="s">
        <v>64643</v>
      </c>
      <c r="N3662" s="213" t="s">
        <v>30639</v>
      </c>
      <c r="O3662" s="213" t="s">
        <v>30640</v>
      </c>
      <c r="P3662" s="213" t="s">
        <v>30641</v>
      </c>
      <c r="Q3662" s="213" t="s">
        <v>30642</v>
      </c>
      <c r="R3662" s="213" t="s">
        <v>30643</v>
      </c>
      <c r="S3662" s="213" t="s">
        <v>30644</v>
      </c>
      <c r="T3662" s="213" t="s">
        <v>30645</v>
      </c>
      <c r="U3662" s="213" t="s">
        <v>64696</v>
      </c>
    </row>
    <row r="3663" spans="1:21" x14ac:dyDescent="0.25">
      <c r="A3663" s="213" t="s">
        <v>327</v>
      </c>
      <c r="D3663" s="213" t="s">
        <v>30646</v>
      </c>
      <c r="E3663" s="213" t="s">
        <v>30647</v>
      </c>
      <c r="K3663" s="213" t="s">
        <v>64538</v>
      </c>
      <c r="L3663" s="213" t="s">
        <v>64591</v>
      </c>
      <c r="M3663" s="213" t="s">
        <v>64644</v>
      </c>
      <c r="N3663" s="213" t="s">
        <v>30648</v>
      </c>
      <c r="O3663" s="213" t="s">
        <v>30649</v>
      </c>
      <c r="P3663" s="213" t="s">
        <v>30650</v>
      </c>
      <c r="Q3663" s="213" t="s">
        <v>30651</v>
      </c>
      <c r="R3663" s="213" t="s">
        <v>30652</v>
      </c>
      <c r="S3663" s="213" t="s">
        <v>30653</v>
      </c>
      <c r="T3663" s="213" t="s">
        <v>30654</v>
      </c>
      <c r="U3663" s="213" t="s">
        <v>64697</v>
      </c>
    </row>
    <row r="3664" spans="1:21" x14ac:dyDescent="0.25">
      <c r="A3664" s="213" t="s">
        <v>327</v>
      </c>
      <c r="D3664" s="213" t="s">
        <v>30655</v>
      </c>
      <c r="E3664" s="213" t="s">
        <v>30656</v>
      </c>
      <c r="K3664" s="213" t="s">
        <v>64539</v>
      </c>
      <c r="L3664" s="213" t="s">
        <v>64592</v>
      </c>
      <c r="M3664" s="213" t="s">
        <v>64645</v>
      </c>
      <c r="N3664" s="213" t="s">
        <v>30657</v>
      </c>
      <c r="O3664" s="213" t="s">
        <v>30658</v>
      </c>
      <c r="P3664" s="213" t="s">
        <v>30659</v>
      </c>
      <c r="Q3664" s="213" t="s">
        <v>30660</v>
      </c>
      <c r="R3664" s="213" t="s">
        <v>30661</v>
      </c>
      <c r="S3664" s="213" t="s">
        <v>30662</v>
      </c>
      <c r="T3664" s="213" t="s">
        <v>30663</v>
      </c>
      <c r="U3664" s="213" t="s">
        <v>64698</v>
      </c>
    </row>
    <row r="3665" spans="1:21" x14ac:dyDescent="0.25">
      <c r="A3665" s="213" t="s">
        <v>327</v>
      </c>
      <c r="D3665" s="213" t="s">
        <v>30664</v>
      </c>
      <c r="E3665" s="213" t="s">
        <v>30665</v>
      </c>
      <c r="K3665" s="213" t="s">
        <v>64540</v>
      </c>
      <c r="L3665" s="213" t="s">
        <v>64593</v>
      </c>
      <c r="M3665" s="213" t="s">
        <v>64646</v>
      </c>
      <c r="N3665" s="213" t="s">
        <v>30666</v>
      </c>
      <c r="O3665" s="213" t="s">
        <v>30667</v>
      </c>
      <c r="P3665" s="213" t="s">
        <v>30668</v>
      </c>
      <c r="Q3665" s="213" t="s">
        <v>30669</v>
      </c>
      <c r="R3665" s="213" t="s">
        <v>30670</v>
      </c>
      <c r="S3665" s="213" t="s">
        <v>30671</v>
      </c>
      <c r="T3665" s="213" t="s">
        <v>30672</v>
      </c>
      <c r="U3665" s="213" t="s">
        <v>64699</v>
      </c>
    </row>
    <row r="3666" spans="1:21" x14ac:dyDescent="0.25">
      <c r="A3666" s="213" t="s">
        <v>327</v>
      </c>
      <c r="D3666" s="213" t="s">
        <v>30673</v>
      </c>
      <c r="E3666" s="213" t="s">
        <v>30674</v>
      </c>
      <c r="K3666" s="213" t="s">
        <v>64541</v>
      </c>
      <c r="L3666" s="213" t="s">
        <v>64594</v>
      </c>
      <c r="M3666" s="213" t="s">
        <v>64647</v>
      </c>
      <c r="N3666" s="213" t="s">
        <v>30675</v>
      </c>
      <c r="O3666" s="213" t="s">
        <v>30676</v>
      </c>
      <c r="P3666" s="213" t="s">
        <v>30677</v>
      </c>
      <c r="Q3666" s="213" t="s">
        <v>30678</v>
      </c>
      <c r="R3666" s="213" t="s">
        <v>30679</v>
      </c>
      <c r="S3666" s="213" t="s">
        <v>30680</v>
      </c>
      <c r="T3666" s="213" t="s">
        <v>30681</v>
      </c>
      <c r="U3666" s="213" t="s">
        <v>64700</v>
      </c>
    </row>
    <row r="3667" spans="1:21" x14ac:dyDescent="0.25">
      <c r="A3667" s="213" t="s">
        <v>327</v>
      </c>
      <c r="D3667" s="213" t="s">
        <v>30682</v>
      </c>
      <c r="E3667" s="213" t="s">
        <v>30683</v>
      </c>
      <c r="K3667" s="213" t="s">
        <v>64542</v>
      </c>
      <c r="L3667" s="213" t="s">
        <v>64595</v>
      </c>
      <c r="M3667" s="213" t="s">
        <v>64648</v>
      </c>
      <c r="N3667" s="213" t="s">
        <v>30684</v>
      </c>
      <c r="O3667" s="213" t="s">
        <v>30685</v>
      </c>
      <c r="P3667" s="213" t="s">
        <v>30686</v>
      </c>
      <c r="Q3667" s="213" t="s">
        <v>30687</v>
      </c>
      <c r="R3667" s="213" t="s">
        <v>30688</v>
      </c>
      <c r="S3667" s="213" t="s">
        <v>30689</v>
      </c>
      <c r="T3667" s="213" t="s">
        <v>30690</v>
      </c>
      <c r="U3667" s="213" t="s">
        <v>64701</v>
      </c>
    </row>
    <row r="3668" spans="1:21" x14ac:dyDescent="0.25">
      <c r="A3668" s="213" t="s">
        <v>327</v>
      </c>
      <c r="D3668" s="213" t="s">
        <v>30691</v>
      </c>
      <c r="E3668" s="213" t="s">
        <v>30692</v>
      </c>
      <c r="K3668" s="213" t="s">
        <v>64543</v>
      </c>
      <c r="L3668" s="213" t="s">
        <v>64596</v>
      </c>
      <c r="M3668" s="213" t="s">
        <v>64649</v>
      </c>
      <c r="N3668" s="213" t="s">
        <v>30693</v>
      </c>
      <c r="O3668" s="213" t="s">
        <v>30694</v>
      </c>
      <c r="P3668" s="213" t="s">
        <v>30695</v>
      </c>
      <c r="Q3668" s="213" t="s">
        <v>30696</v>
      </c>
      <c r="R3668" s="213" t="s">
        <v>30697</v>
      </c>
      <c r="S3668" s="213" t="s">
        <v>30698</v>
      </c>
      <c r="T3668" s="213" t="s">
        <v>30699</v>
      </c>
      <c r="U3668" s="213" t="s">
        <v>64702</v>
      </c>
    </row>
    <row r="3669" spans="1:21" x14ac:dyDescent="0.25">
      <c r="A3669" s="213" t="s">
        <v>327</v>
      </c>
      <c r="D3669" s="213" t="s">
        <v>30700</v>
      </c>
      <c r="E3669" s="213" t="s">
        <v>30701</v>
      </c>
      <c r="K3669" s="213" t="s">
        <v>64544</v>
      </c>
      <c r="L3669" s="213" t="s">
        <v>64597</v>
      </c>
      <c r="M3669" s="213" t="s">
        <v>64650</v>
      </c>
      <c r="N3669" s="213" t="s">
        <v>30702</v>
      </c>
      <c r="O3669" s="213" t="s">
        <v>30703</v>
      </c>
      <c r="P3669" s="213" t="s">
        <v>30704</v>
      </c>
      <c r="Q3669" s="213" t="s">
        <v>30705</v>
      </c>
      <c r="R3669" s="213" t="s">
        <v>30706</v>
      </c>
      <c r="S3669" s="213" t="s">
        <v>30707</v>
      </c>
      <c r="T3669" s="213" t="s">
        <v>30708</v>
      </c>
      <c r="U3669" s="213" t="s">
        <v>64703</v>
      </c>
    </row>
    <row r="3670" spans="1:21" x14ac:dyDescent="0.25">
      <c r="A3670" s="213" t="s">
        <v>327</v>
      </c>
      <c r="D3670" s="213" t="s">
        <v>30709</v>
      </c>
      <c r="E3670" s="213" t="s">
        <v>30710</v>
      </c>
      <c r="K3670" s="213" t="s">
        <v>64545</v>
      </c>
      <c r="L3670" s="213" t="s">
        <v>64598</v>
      </c>
      <c r="M3670" s="213" t="s">
        <v>64651</v>
      </c>
      <c r="N3670" s="213" t="s">
        <v>30711</v>
      </c>
      <c r="O3670" s="213" t="s">
        <v>30712</v>
      </c>
      <c r="P3670" s="213" t="s">
        <v>30713</v>
      </c>
      <c r="Q3670" s="213" t="s">
        <v>30714</v>
      </c>
      <c r="R3670" s="213" t="s">
        <v>30715</v>
      </c>
      <c r="S3670" s="213" t="s">
        <v>30716</v>
      </c>
      <c r="T3670" s="213" t="s">
        <v>30717</v>
      </c>
      <c r="U3670" s="213" t="s">
        <v>64704</v>
      </c>
    </row>
    <row r="3671" spans="1:21" x14ac:dyDescent="0.25">
      <c r="A3671" s="213" t="s">
        <v>327</v>
      </c>
      <c r="D3671" s="213" t="s">
        <v>30718</v>
      </c>
      <c r="E3671" s="213" t="s">
        <v>30719</v>
      </c>
      <c r="K3671" s="213" t="s">
        <v>64546</v>
      </c>
      <c r="L3671" s="213" t="s">
        <v>64599</v>
      </c>
      <c r="M3671" s="213" t="s">
        <v>64652</v>
      </c>
      <c r="N3671" s="213" t="s">
        <v>30720</v>
      </c>
      <c r="O3671" s="213" t="s">
        <v>30721</v>
      </c>
      <c r="P3671" s="213" t="s">
        <v>30722</v>
      </c>
      <c r="Q3671" s="213" t="s">
        <v>30723</v>
      </c>
      <c r="R3671" s="213" t="s">
        <v>30724</v>
      </c>
      <c r="S3671" s="213" t="s">
        <v>30725</v>
      </c>
      <c r="T3671" s="213" t="s">
        <v>30726</v>
      </c>
      <c r="U3671" s="213" t="s">
        <v>64705</v>
      </c>
    </row>
    <row r="3672" spans="1:21" x14ac:dyDescent="0.25">
      <c r="A3672" s="213" t="s">
        <v>327</v>
      </c>
      <c r="D3672" s="213" t="s">
        <v>30727</v>
      </c>
      <c r="E3672" s="213" t="s">
        <v>30728</v>
      </c>
      <c r="K3672" s="213" t="s">
        <v>64547</v>
      </c>
      <c r="L3672" s="213" t="s">
        <v>64600</v>
      </c>
      <c r="M3672" s="213" t="s">
        <v>64653</v>
      </c>
      <c r="N3672" s="213" t="s">
        <v>30729</v>
      </c>
      <c r="O3672" s="213" t="s">
        <v>30730</v>
      </c>
      <c r="P3672" s="213" t="s">
        <v>30731</v>
      </c>
      <c r="Q3672" s="213" t="s">
        <v>30732</v>
      </c>
      <c r="R3672" s="213" t="s">
        <v>30733</v>
      </c>
      <c r="S3672" s="213" t="s">
        <v>30734</v>
      </c>
      <c r="T3672" s="213" t="s">
        <v>30735</v>
      </c>
      <c r="U3672" s="213" t="s">
        <v>64706</v>
      </c>
    </row>
    <row r="3673" spans="1:21" x14ac:dyDescent="0.25">
      <c r="A3673" s="213" t="s">
        <v>327</v>
      </c>
      <c r="D3673" s="213" t="s">
        <v>30736</v>
      </c>
      <c r="E3673" s="213" t="s">
        <v>30737</v>
      </c>
      <c r="K3673" s="213" t="s">
        <v>64548</v>
      </c>
      <c r="L3673" s="213" t="s">
        <v>64601</v>
      </c>
      <c r="M3673" s="213" t="s">
        <v>64654</v>
      </c>
      <c r="N3673" s="213" t="s">
        <v>30738</v>
      </c>
      <c r="O3673" s="213" t="s">
        <v>30739</v>
      </c>
      <c r="P3673" s="213" t="s">
        <v>30740</v>
      </c>
      <c r="Q3673" s="213" t="s">
        <v>30741</v>
      </c>
      <c r="R3673" s="213" t="s">
        <v>30742</v>
      </c>
      <c r="S3673" s="213" t="s">
        <v>30743</v>
      </c>
      <c r="T3673" s="213" t="s">
        <v>30744</v>
      </c>
      <c r="U3673" s="213" t="s">
        <v>64707</v>
      </c>
    </row>
    <row r="3674" spans="1:21" x14ac:dyDescent="0.25">
      <c r="A3674" s="213" t="s">
        <v>327</v>
      </c>
      <c r="D3674" s="213" t="s">
        <v>30745</v>
      </c>
      <c r="E3674" s="213" t="s">
        <v>30746</v>
      </c>
      <c r="K3674" s="213" t="s">
        <v>64549</v>
      </c>
      <c r="L3674" s="213" t="s">
        <v>64602</v>
      </c>
      <c r="M3674" s="213" t="s">
        <v>64655</v>
      </c>
      <c r="N3674" s="213" t="s">
        <v>30747</v>
      </c>
      <c r="O3674" s="213" t="s">
        <v>30748</v>
      </c>
      <c r="P3674" s="213" t="s">
        <v>30749</v>
      </c>
      <c r="Q3674" s="213" t="s">
        <v>30750</v>
      </c>
      <c r="R3674" s="213" t="s">
        <v>30751</v>
      </c>
      <c r="S3674" s="213" t="s">
        <v>30752</v>
      </c>
      <c r="T3674" s="213" t="s">
        <v>30753</v>
      </c>
      <c r="U3674" s="213" t="s">
        <v>64708</v>
      </c>
    </row>
    <row r="3675" spans="1:21" x14ac:dyDescent="0.25">
      <c r="A3675" s="213" t="s">
        <v>327</v>
      </c>
      <c r="D3675" s="213" t="s">
        <v>30754</v>
      </c>
      <c r="E3675" s="213" t="s">
        <v>30755</v>
      </c>
      <c r="K3675" s="213" t="s">
        <v>64550</v>
      </c>
      <c r="L3675" s="213" t="s">
        <v>64603</v>
      </c>
      <c r="M3675" s="213" t="s">
        <v>64656</v>
      </c>
      <c r="N3675" s="213" t="s">
        <v>30756</v>
      </c>
      <c r="O3675" s="213" t="s">
        <v>30757</v>
      </c>
      <c r="P3675" s="213" t="s">
        <v>30758</v>
      </c>
      <c r="Q3675" s="213" t="s">
        <v>30759</v>
      </c>
      <c r="R3675" s="213" t="s">
        <v>30760</v>
      </c>
      <c r="S3675" s="213" t="s">
        <v>30761</v>
      </c>
      <c r="T3675" s="213" t="s">
        <v>30762</v>
      </c>
      <c r="U3675" s="213" t="s">
        <v>64709</v>
      </c>
    </row>
    <row r="3676" spans="1:21" x14ac:dyDescent="0.25">
      <c r="A3676" s="213" t="s">
        <v>327</v>
      </c>
      <c r="D3676" s="213" t="s">
        <v>30763</v>
      </c>
      <c r="E3676" s="213" t="s">
        <v>30764</v>
      </c>
      <c r="K3676" s="213" t="s">
        <v>64551</v>
      </c>
      <c r="L3676" s="213" t="s">
        <v>64604</v>
      </c>
      <c r="M3676" s="213" t="s">
        <v>64657</v>
      </c>
      <c r="N3676" s="213" t="s">
        <v>30765</v>
      </c>
      <c r="O3676" s="213" t="s">
        <v>30766</v>
      </c>
      <c r="P3676" s="213" t="s">
        <v>30767</v>
      </c>
      <c r="Q3676" s="213" t="s">
        <v>30768</v>
      </c>
      <c r="R3676" s="213" t="s">
        <v>30769</v>
      </c>
      <c r="S3676" s="213" t="s">
        <v>30770</v>
      </c>
      <c r="T3676" s="213" t="s">
        <v>30771</v>
      </c>
      <c r="U3676" s="213" t="s">
        <v>64710</v>
      </c>
    </row>
    <row r="3677" spans="1:21" x14ac:dyDescent="0.25">
      <c r="A3677" s="213" t="s">
        <v>327</v>
      </c>
      <c r="D3677" s="213" t="s">
        <v>30772</v>
      </c>
      <c r="E3677" s="213" t="s">
        <v>30773</v>
      </c>
      <c r="K3677" s="213" t="s">
        <v>64552</v>
      </c>
      <c r="L3677" s="213" t="s">
        <v>64605</v>
      </c>
      <c r="M3677" s="213" t="s">
        <v>64658</v>
      </c>
      <c r="N3677" s="213" t="s">
        <v>30774</v>
      </c>
      <c r="O3677" s="213" t="s">
        <v>30775</v>
      </c>
      <c r="P3677" s="213" t="s">
        <v>30776</v>
      </c>
      <c r="Q3677" s="213" t="s">
        <v>30777</v>
      </c>
      <c r="R3677" s="213" t="s">
        <v>30778</v>
      </c>
      <c r="S3677" s="213" t="s">
        <v>30779</v>
      </c>
      <c r="T3677" s="213" t="s">
        <v>30780</v>
      </c>
      <c r="U3677" s="213" t="s">
        <v>64711</v>
      </c>
    </row>
    <row r="3678" spans="1:21" x14ac:dyDescent="0.25">
      <c r="A3678" s="213" t="s">
        <v>327</v>
      </c>
      <c r="D3678" s="213" t="s">
        <v>30781</v>
      </c>
      <c r="E3678" s="213" t="s">
        <v>30782</v>
      </c>
      <c r="K3678" s="213" t="s">
        <v>64553</v>
      </c>
      <c r="L3678" s="213" t="s">
        <v>64606</v>
      </c>
      <c r="M3678" s="213" t="s">
        <v>64659</v>
      </c>
      <c r="N3678" s="213" t="s">
        <v>30783</v>
      </c>
      <c r="O3678" s="213" t="s">
        <v>30784</v>
      </c>
      <c r="P3678" s="213" t="s">
        <v>30785</v>
      </c>
      <c r="Q3678" s="213" t="s">
        <v>30786</v>
      </c>
      <c r="R3678" s="213" t="s">
        <v>30787</v>
      </c>
      <c r="S3678" s="213" t="s">
        <v>30788</v>
      </c>
      <c r="T3678" s="213" t="s">
        <v>30789</v>
      </c>
      <c r="U3678" s="213" t="s">
        <v>64712</v>
      </c>
    </row>
    <row r="3679" spans="1:21" x14ac:dyDescent="0.25">
      <c r="A3679" s="213" t="s">
        <v>327</v>
      </c>
      <c r="D3679" s="213" t="s">
        <v>30790</v>
      </c>
      <c r="E3679" s="213" t="s">
        <v>30791</v>
      </c>
      <c r="K3679" s="213" t="s">
        <v>64554</v>
      </c>
      <c r="L3679" s="213" t="s">
        <v>64607</v>
      </c>
      <c r="M3679" s="213" t="s">
        <v>64660</v>
      </c>
      <c r="N3679" s="213" t="s">
        <v>30792</v>
      </c>
      <c r="O3679" s="213" t="s">
        <v>30793</v>
      </c>
      <c r="P3679" s="213" t="s">
        <v>30794</v>
      </c>
      <c r="Q3679" s="213" t="s">
        <v>30795</v>
      </c>
      <c r="R3679" s="213" t="s">
        <v>30796</v>
      </c>
      <c r="S3679" s="213" t="s">
        <v>30797</v>
      </c>
      <c r="T3679" s="213" t="s">
        <v>30798</v>
      </c>
      <c r="U3679" s="213" t="s">
        <v>64713</v>
      </c>
    </row>
    <row r="3680" spans="1:21" x14ac:dyDescent="0.25">
      <c r="A3680" s="213" t="s">
        <v>327</v>
      </c>
      <c r="D3680" s="213" t="s">
        <v>30799</v>
      </c>
      <c r="E3680" s="213" t="s">
        <v>30800</v>
      </c>
      <c r="K3680" s="213" t="s">
        <v>64555</v>
      </c>
      <c r="L3680" s="213" t="s">
        <v>64608</v>
      </c>
      <c r="M3680" s="213" t="s">
        <v>64661</v>
      </c>
      <c r="N3680" s="213" t="s">
        <v>30801</v>
      </c>
      <c r="O3680" s="213" t="s">
        <v>30802</v>
      </c>
      <c r="P3680" s="213" t="s">
        <v>30803</v>
      </c>
      <c r="Q3680" s="213" t="s">
        <v>30804</v>
      </c>
      <c r="R3680" s="213" t="s">
        <v>30805</v>
      </c>
      <c r="S3680" s="213" t="s">
        <v>30806</v>
      </c>
      <c r="T3680" s="213" t="s">
        <v>30807</v>
      </c>
      <c r="U3680" s="213" t="s">
        <v>64714</v>
      </c>
    </row>
    <row r="3681" spans="1:21" x14ac:dyDescent="0.25">
      <c r="A3681" s="213" t="s">
        <v>327</v>
      </c>
      <c r="D3681" s="213" t="s">
        <v>30808</v>
      </c>
      <c r="E3681" s="213" t="s">
        <v>30809</v>
      </c>
      <c r="K3681" s="213" t="s">
        <v>64556</v>
      </c>
      <c r="L3681" s="213" t="s">
        <v>64609</v>
      </c>
      <c r="M3681" s="213" t="s">
        <v>64662</v>
      </c>
      <c r="N3681" s="213" t="s">
        <v>30810</v>
      </c>
      <c r="O3681" s="213" t="s">
        <v>30811</v>
      </c>
      <c r="P3681" s="213" t="s">
        <v>30812</v>
      </c>
      <c r="Q3681" s="213" t="s">
        <v>30813</v>
      </c>
      <c r="R3681" s="213" t="s">
        <v>30814</v>
      </c>
      <c r="S3681" s="213" t="s">
        <v>30815</v>
      </c>
      <c r="T3681" s="213" t="s">
        <v>30816</v>
      </c>
      <c r="U3681" s="213" t="s">
        <v>64715</v>
      </c>
    </row>
    <row r="3682" spans="1:21" x14ac:dyDescent="0.25">
      <c r="A3682" s="213" t="s">
        <v>327</v>
      </c>
      <c r="D3682" s="213" t="s">
        <v>30817</v>
      </c>
      <c r="E3682" s="213" t="s">
        <v>30818</v>
      </c>
      <c r="K3682" s="213" t="s">
        <v>64557</v>
      </c>
      <c r="L3682" s="213" t="s">
        <v>64610</v>
      </c>
      <c r="M3682" s="213" t="s">
        <v>64663</v>
      </c>
      <c r="N3682" s="213" t="s">
        <v>30819</v>
      </c>
      <c r="O3682" s="213" t="s">
        <v>30820</v>
      </c>
      <c r="P3682" s="213" t="s">
        <v>30821</v>
      </c>
      <c r="Q3682" s="213" t="s">
        <v>30822</v>
      </c>
      <c r="R3682" s="213" t="s">
        <v>30823</v>
      </c>
      <c r="S3682" s="213" t="s">
        <v>30824</v>
      </c>
      <c r="T3682" s="213" t="s">
        <v>30825</v>
      </c>
      <c r="U3682" s="213" t="s">
        <v>64716</v>
      </c>
    </row>
    <row r="3683" spans="1:21" x14ac:dyDescent="0.25">
      <c r="A3683" s="213" t="s">
        <v>327</v>
      </c>
      <c r="D3683" s="213" t="s">
        <v>30826</v>
      </c>
      <c r="E3683" s="213" t="s">
        <v>30827</v>
      </c>
      <c r="K3683" s="213" t="s">
        <v>64558</v>
      </c>
      <c r="L3683" s="213" t="s">
        <v>64611</v>
      </c>
      <c r="M3683" s="213" t="s">
        <v>64664</v>
      </c>
      <c r="N3683" s="213" t="s">
        <v>30828</v>
      </c>
      <c r="O3683" s="213" t="s">
        <v>30829</v>
      </c>
      <c r="P3683" s="213" t="s">
        <v>30830</v>
      </c>
      <c r="Q3683" s="213" t="s">
        <v>30831</v>
      </c>
      <c r="R3683" s="213" t="s">
        <v>30832</v>
      </c>
      <c r="S3683" s="213" t="s">
        <v>30833</v>
      </c>
      <c r="T3683" s="213" t="s">
        <v>30834</v>
      </c>
      <c r="U3683" s="213" t="s">
        <v>64717</v>
      </c>
    </row>
    <row r="3684" spans="1:21" x14ac:dyDescent="0.25">
      <c r="A3684" s="213" t="s">
        <v>327</v>
      </c>
      <c r="D3684" s="213" t="s">
        <v>30835</v>
      </c>
      <c r="E3684" s="213" t="s">
        <v>30836</v>
      </c>
      <c r="K3684" s="213" t="s">
        <v>64559</v>
      </c>
      <c r="L3684" s="213" t="s">
        <v>64612</v>
      </c>
      <c r="M3684" s="213" t="s">
        <v>64665</v>
      </c>
      <c r="N3684" s="213" t="s">
        <v>30837</v>
      </c>
      <c r="O3684" s="213" t="s">
        <v>30838</v>
      </c>
      <c r="P3684" s="213" t="s">
        <v>30839</v>
      </c>
      <c r="Q3684" s="213" t="s">
        <v>30840</v>
      </c>
      <c r="R3684" s="213" t="s">
        <v>30841</v>
      </c>
      <c r="S3684" s="213" t="s">
        <v>30842</v>
      </c>
      <c r="T3684" s="213" t="s">
        <v>30843</v>
      </c>
      <c r="U3684" s="213" t="s">
        <v>64718</v>
      </c>
    </row>
    <row r="3685" spans="1:21" x14ac:dyDescent="0.25">
      <c r="A3685" s="213" t="s">
        <v>327</v>
      </c>
      <c r="D3685" s="213" t="s">
        <v>30844</v>
      </c>
      <c r="E3685" s="213" t="s">
        <v>30845</v>
      </c>
      <c r="K3685" s="213" t="s">
        <v>64560</v>
      </c>
      <c r="L3685" s="213" t="s">
        <v>64613</v>
      </c>
      <c r="M3685" s="213" t="s">
        <v>64666</v>
      </c>
      <c r="N3685" s="213" t="s">
        <v>30846</v>
      </c>
      <c r="O3685" s="213" t="s">
        <v>30847</v>
      </c>
      <c r="P3685" s="213" t="s">
        <v>30848</v>
      </c>
      <c r="Q3685" s="213" t="s">
        <v>30849</v>
      </c>
      <c r="R3685" s="213" t="s">
        <v>30850</v>
      </c>
      <c r="S3685" s="213" t="s">
        <v>30851</v>
      </c>
      <c r="T3685" s="213" t="s">
        <v>30852</v>
      </c>
      <c r="U3685" s="213" t="s">
        <v>64719</v>
      </c>
    </row>
    <row r="3686" spans="1:21" x14ac:dyDescent="0.25">
      <c r="A3686" s="213" t="s">
        <v>327</v>
      </c>
      <c r="D3686" s="213" t="s">
        <v>30853</v>
      </c>
      <c r="E3686" s="213" t="s">
        <v>30854</v>
      </c>
      <c r="K3686" s="213" t="s">
        <v>64561</v>
      </c>
      <c r="L3686" s="213" t="s">
        <v>64614</v>
      </c>
      <c r="M3686" s="213" t="s">
        <v>64667</v>
      </c>
      <c r="N3686" s="213" t="s">
        <v>30855</v>
      </c>
      <c r="O3686" s="213" t="s">
        <v>30856</v>
      </c>
      <c r="P3686" s="213" t="s">
        <v>30857</v>
      </c>
      <c r="Q3686" s="213" t="s">
        <v>30858</v>
      </c>
      <c r="R3686" s="213" t="s">
        <v>30859</v>
      </c>
      <c r="S3686" s="213" t="s">
        <v>30860</v>
      </c>
      <c r="T3686" s="213" t="s">
        <v>30861</v>
      </c>
      <c r="U3686" s="213" t="s">
        <v>64720</v>
      </c>
    </row>
    <row r="3687" spans="1:21" x14ac:dyDescent="0.25">
      <c r="A3687" s="213" t="s">
        <v>327</v>
      </c>
      <c r="D3687" s="213" t="s">
        <v>30862</v>
      </c>
      <c r="E3687" s="213" t="s">
        <v>30863</v>
      </c>
      <c r="K3687" s="213" t="s">
        <v>64562</v>
      </c>
      <c r="L3687" s="213" t="s">
        <v>64615</v>
      </c>
      <c r="M3687" s="213" t="s">
        <v>64668</v>
      </c>
      <c r="N3687" s="213" t="s">
        <v>30864</v>
      </c>
      <c r="O3687" s="213" t="s">
        <v>30865</v>
      </c>
      <c r="P3687" s="213" t="s">
        <v>30866</v>
      </c>
      <c r="Q3687" s="213" t="s">
        <v>30867</v>
      </c>
      <c r="R3687" s="213" t="s">
        <v>30868</v>
      </c>
      <c r="S3687" s="213" t="s">
        <v>30869</v>
      </c>
      <c r="T3687" s="213" t="s">
        <v>30870</v>
      </c>
      <c r="U3687" s="213" t="s">
        <v>64721</v>
      </c>
    </row>
    <row r="3688" spans="1:21" x14ac:dyDescent="0.25">
      <c r="A3688" s="213" t="s">
        <v>327</v>
      </c>
      <c r="D3688" s="213" t="s">
        <v>30871</v>
      </c>
      <c r="E3688" s="213" t="s">
        <v>30872</v>
      </c>
      <c r="K3688" s="213" t="s">
        <v>64563</v>
      </c>
      <c r="L3688" s="213" t="s">
        <v>64616</v>
      </c>
      <c r="M3688" s="213" t="s">
        <v>64669</v>
      </c>
      <c r="N3688" s="213" t="s">
        <v>30873</v>
      </c>
      <c r="O3688" s="213" t="s">
        <v>30874</v>
      </c>
      <c r="P3688" s="213" t="s">
        <v>30875</v>
      </c>
      <c r="Q3688" s="213" t="s">
        <v>30876</v>
      </c>
      <c r="R3688" s="213" t="s">
        <v>30877</v>
      </c>
      <c r="S3688" s="213" t="s">
        <v>30878</v>
      </c>
      <c r="T3688" s="213" t="s">
        <v>30879</v>
      </c>
      <c r="U3688" s="213" t="s">
        <v>64722</v>
      </c>
    </row>
    <row r="3689" spans="1:21" x14ac:dyDescent="0.25">
      <c r="A3689" s="213" t="s">
        <v>327</v>
      </c>
      <c r="D3689" s="213" t="s">
        <v>30880</v>
      </c>
      <c r="E3689" s="213" t="s">
        <v>30881</v>
      </c>
      <c r="K3689" s="213" t="s">
        <v>64564</v>
      </c>
      <c r="L3689" s="213" t="s">
        <v>64617</v>
      </c>
      <c r="M3689" s="213" t="s">
        <v>64670</v>
      </c>
      <c r="N3689" s="213" t="s">
        <v>30882</v>
      </c>
      <c r="O3689" s="213" t="s">
        <v>30883</v>
      </c>
      <c r="P3689" s="213" t="s">
        <v>30884</v>
      </c>
      <c r="Q3689" s="213" t="s">
        <v>30885</v>
      </c>
      <c r="R3689" s="213" t="s">
        <v>30886</v>
      </c>
      <c r="S3689" s="213" t="s">
        <v>30887</v>
      </c>
      <c r="T3689" s="213" t="s">
        <v>30888</v>
      </c>
      <c r="U3689" s="213" t="s">
        <v>64723</v>
      </c>
    </row>
    <row r="3690" spans="1:21" x14ac:dyDescent="0.25">
      <c r="A3690" s="213" t="s">
        <v>327</v>
      </c>
      <c r="D3690" s="213" t="s">
        <v>30889</v>
      </c>
      <c r="E3690" s="213" t="s">
        <v>30890</v>
      </c>
      <c r="K3690" s="213" t="s">
        <v>64565</v>
      </c>
      <c r="L3690" s="213" t="s">
        <v>64618</v>
      </c>
      <c r="M3690" s="213" t="s">
        <v>64671</v>
      </c>
      <c r="N3690" s="213" t="s">
        <v>30891</v>
      </c>
      <c r="O3690" s="213" t="s">
        <v>30892</v>
      </c>
      <c r="P3690" s="213" t="s">
        <v>30893</v>
      </c>
      <c r="Q3690" s="213" t="s">
        <v>30894</v>
      </c>
      <c r="R3690" s="213" t="s">
        <v>30895</v>
      </c>
      <c r="S3690" s="213" t="s">
        <v>30896</v>
      </c>
      <c r="T3690" s="213" t="s">
        <v>30897</v>
      </c>
      <c r="U3690" s="213" t="s">
        <v>64724</v>
      </c>
    </row>
    <row r="3691" spans="1:21" x14ac:dyDescent="0.25">
      <c r="A3691" s="213" t="s">
        <v>327</v>
      </c>
      <c r="D3691" s="213" t="s">
        <v>30898</v>
      </c>
      <c r="E3691" s="213" t="s">
        <v>30899</v>
      </c>
      <c r="K3691" s="213" t="s">
        <v>64566</v>
      </c>
      <c r="L3691" s="213" t="s">
        <v>64619</v>
      </c>
      <c r="M3691" s="213" t="s">
        <v>64672</v>
      </c>
      <c r="N3691" s="213" t="s">
        <v>30900</v>
      </c>
      <c r="O3691" s="213" t="s">
        <v>30901</v>
      </c>
      <c r="P3691" s="213" t="s">
        <v>30902</v>
      </c>
      <c r="Q3691" s="213" t="s">
        <v>30903</v>
      </c>
      <c r="R3691" s="213" t="s">
        <v>30904</v>
      </c>
      <c r="S3691" s="213" t="s">
        <v>30905</v>
      </c>
      <c r="T3691" s="213" t="s">
        <v>30906</v>
      </c>
      <c r="U3691" s="213" t="s">
        <v>64725</v>
      </c>
    </row>
    <row r="3692" spans="1:21" x14ac:dyDescent="0.25">
      <c r="A3692" s="213" t="s">
        <v>327</v>
      </c>
      <c r="D3692" s="213" t="s">
        <v>30907</v>
      </c>
      <c r="E3692" s="213" t="s">
        <v>30908</v>
      </c>
      <c r="K3692" s="213" t="s">
        <v>64567</v>
      </c>
      <c r="L3692" s="213" t="s">
        <v>64620</v>
      </c>
      <c r="M3692" s="213" t="s">
        <v>64673</v>
      </c>
      <c r="N3692" s="213" t="s">
        <v>30909</v>
      </c>
      <c r="O3692" s="213" t="s">
        <v>30910</v>
      </c>
      <c r="P3692" s="213" t="s">
        <v>30911</v>
      </c>
      <c r="Q3692" s="213" t="s">
        <v>30912</v>
      </c>
      <c r="R3692" s="213" t="s">
        <v>30913</v>
      </c>
      <c r="S3692" s="213" t="s">
        <v>30914</v>
      </c>
      <c r="T3692" s="213" t="s">
        <v>30915</v>
      </c>
      <c r="U3692" s="213" t="s">
        <v>64726</v>
      </c>
    </row>
    <row r="3693" spans="1:21" x14ac:dyDescent="0.25">
      <c r="A3693" s="213" t="s">
        <v>327</v>
      </c>
      <c r="D3693" s="213" t="s">
        <v>30916</v>
      </c>
      <c r="E3693" s="213" t="s">
        <v>30917</v>
      </c>
      <c r="K3693" s="213" t="s">
        <v>64568</v>
      </c>
      <c r="L3693" s="213" t="s">
        <v>64621</v>
      </c>
      <c r="M3693" s="213" t="s">
        <v>64674</v>
      </c>
      <c r="N3693" s="213" t="s">
        <v>30918</v>
      </c>
      <c r="O3693" s="213" t="s">
        <v>30919</v>
      </c>
      <c r="P3693" s="213" t="s">
        <v>30920</v>
      </c>
      <c r="Q3693" s="213" t="s">
        <v>30921</v>
      </c>
      <c r="R3693" s="213" t="s">
        <v>30922</v>
      </c>
      <c r="S3693" s="213" t="s">
        <v>30923</v>
      </c>
      <c r="T3693" s="213" t="s">
        <v>30924</v>
      </c>
      <c r="U3693" s="213" t="s">
        <v>64727</v>
      </c>
    </row>
    <row r="3694" spans="1:21" x14ac:dyDescent="0.25">
      <c r="A3694" s="213" t="s">
        <v>327</v>
      </c>
      <c r="D3694" s="213" t="s">
        <v>30925</v>
      </c>
      <c r="E3694" s="213" t="s">
        <v>30926</v>
      </c>
      <c r="K3694" s="213" t="s">
        <v>64569</v>
      </c>
      <c r="L3694" s="213" t="s">
        <v>64622</v>
      </c>
      <c r="M3694" s="213" t="s">
        <v>64675</v>
      </c>
      <c r="N3694" s="213" t="s">
        <v>30927</v>
      </c>
      <c r="O3694" s="213" t="s">
        <v>30928</v>
      </c>
      <c r="P3694" s="213" t="s">
        <v>30929</v>
      </c>
      <c r="Q3694" s="213" t="s">
        <v>30930</v>
      </c>
      <c r="R3694" s="213" t="s">
        <v>30931</v>
      </c>
      <c r="S3694" s="213" t="s">
        <v>30932</v>
      </c>
      <c r="T3694" s="213" t="s">
        <v>30933</v>
      </c>
      <c r="U3694" s="213" t="s">
        <v>64728</v>
      </c>
    </row>
    <row r="3695" spans="1:21" x14ac:dyDescent="0.25">
      <c r="A3695" s="213" t="s">
        <v>327</v>
      </c>
      <c r="D3695" s="213" t="s">
        <v>30934</v>
      </c>
      <c r="E3695" s="213" t="s">
        <v>30935</v>
      </c>
      <c r="K3695" s="213" t="s">
        <v>64570</v>
      </c>
      <c r="L3695" s="213" t="s">
        <v>64623</v>
      </c>
      <c r="M3695" s="213" t="s">
        <v>64676</v>
      </c>
      <c r="N3695" s="213" t="s">
        <v>30936</v>
      </c>
      <c r="O3695" s="213" t="s">
        <v>30937</v>
      </c>
      <c r="P3695" s="213" t="s">
        <v>30938</v>
      </c>
      <c r="Q3695" s="213" t="s">
        <v>30939</v>
      </c>
      <c r="R3695" s="213" t="s">
        <v>30940</v>
      </c>
      <c r="S3695" s="213" t="s">
        <v>30941</v>
      </c>
      <c r="T3695" s="213" t="s">
        <v>30942</v>
      </c>
      <c r="U3695" s="213" t="s">
        <v>64729</v>
      </c>
    </row>
    <row r="3696" spans="1:21" x14ac:dyDescent="0.25">
      <c r="A3696" s="213" t="s">
        <v>327</v>
      </c>
      <c r="D3696" s="213" t="s">
        <v>30943</v>
      </c>
      <c r="E3696" s="213" t="s">
        <v>30944</v>
      </c>
      <c r="K3696" s="213" t="s">
        <v>64571</v>
      </c>
      <c r="L3696" s="213" t="s">
        <v>64624</v>
      </c>
      <c r="M3696" s="213" t="s">
        <v>64677</v>
      </c>
      <c r="N3696" s="213" t="s">
        <v>30945</v>
      </c>
      <c r="O3696" s="213" t="s">
        <v>30946</v>
      </c>
      <c r="P3696" s="213" t="s">
        <v>30947</v>
      </c>
      <c r="Q3696" s="213" t="s">
        <v>30948</v>
      </c>
      <c r="R3696" s="213" t="s">
        <v>30949</v>
      </c>
      <c r="S3696" s="213" t="s">
        <v>30950</v>
      </c>
      <c r="T3696" s="213" t="s">
        <v>30951</v>
      </c>
      <c r="U3696" s="213" t="s">
        <v>64730</v>
      </c>
    </row>
    <row r="3697" spans="1:21" x14ac:dyDescent="0.25">
      <c r="A3697" s="213" t="s">
        <v>327</v>
      </c>
      <c r="D3697" s="213" t="s">
        <v>30952</v>
      </c>
      <c r="E3697" s="213" t="s">
        <v>30953</v>
      </c>
      <c r="K3697" s="213" t="s">
        <v>64572</v>
      </c>
      <c r="L3697" s="213" t="s">
        <v>64625</v>
      </c>
      <c r="M3697" s="213" t="s">
        <v>64678</v>
      </c>
      <c r="N3697" s="213" t="s">
        <v>30954</v>
      </c>
      <c r="O3697" s="213" t="s">
        <v>30955</v>
      </c>
      <c r="P3697" s="213" t="s">
        <v>30956</v>
      </c>
      <c r="Q3697" s="213" t="s">
        <v>30957</v>
      </c>
      <c r="R3697" s="213" t="s">
        <v>30958</v>
      </c>
      <c r="S3697" s="213" t="s">
        <v>30959</v>
      </c>
      <c r="T3697" s="213" t="s">
        <v>30960</v>
      </c>
      <c r="U3697" s="213" t="s">
        <v>64731</v>
      </c>
    </row>
    <row r="3698" spans="1:21" x14ac:dyDescent="0.25">
      <c r="A3698" s="213" t="s">
        <v>327</v>
      </c>
      <c r="D3698" s="213" t="s">
        <v>30961</v>
      </c>
      <c r="E3698" s="213" t="s">
        <v>30962</v>
      </c>
      <c r="K3698" s="213" t="s">
        <v>64573</v>
      </c>
      <c r="L3698" s="213" t="s">
        <v>64626</v>
      </c>
      <c r="M3698" s="213" t="s">
        <v>64679</v>
      </c>
      <c r="N3698" s="213" t="s">
        <v>30963</v>
      </c>
      <c r="O3698" s="213" t="s">
        <v>30964</v>
      </c>
      <c r="P3698" s="213" t="s">
        <v>30965</v>
      </c>
      <c r="Q3698" s="213" t="s">
        <v>30966</v>
      </c>
      <c r="R3698" s="213" t="s">
        <v>30967</v>
      </c>
      <c r="S3698" s="213" t="s">
        <v>30968</v>
      </c>
      <c r="T3698" s="213" t="s">
        <v>30969</v>
      </c>
      <c r="U3698" s="213" t="s">
        <v>64732</v>
      </c>
    </row>
    <row r="3699" spans="1:21" x14ac:dyDescent="0.25">
      <c r="A3699" s="213" t="s">
        <v>327</v>
      </c>
      <c r="D3699" s="213" t="s">
        <v>30970</v>
      </c>
      <c r="E3699" s="213" t="s">
        <v>30971</v>
      </c>
      <c r="K3699" s="213" t="s">
        <v>64574</v>
      </c>
      <c r="L3699" s="213" t="s">
        <v>64627</v>
      </c>
      <c r="M3699" s="213" t="s">
        <v>64680</v>
      </c>
      <c r="N3699" s="213" t="s">
        <v>30972</v>
      </c>
      <c r="O3699" s="213" t="s">
        <v>30973</v>
      </c>
      <c r="P3699" s="213" t="s">
        <v>30974</v>
      </c>
      <c r="Q3699" s="213" t="s">
        <v>30975</v>
      </c>
      <c r="R3699" s="213" t="s">
        <v>30976</v>
      </c>
      <c r="S3699" s="213" t="s">
        <v>30977</v>
      </c>
      <c r="T3699" s="213" t="s">
        <v>30978</v>
      </c>
      <c r="U3699" s="213" t="s">
        <v>64733</v>
      </c>
    </row>
    <row r="3700" spans="1:21" x14ac:dyDescent="0.25">
      <c r="A3700" s="213" t="s">
        <v>327</v>
      </c>
    </row>
    <row r="3701" spans="1:21" x14ac:dyDescent="0.25">
      <c r="A3701" s="213" t="s">
        <v>327</v>
      </c>
    </row>
    <row r="3702" spans="1:21" x14ac:dyDescent="0.25">
      <c r="A3702" s="213" t="s">
        <v>327</v>
      </c>
      <c r="C3702" s="213" t="s">
        <v>30979</v>
      </c>
      <c r="E3702" s="213" t="s">
        <v>30980</v>
      </c>
      <c r="H3702" s="213" t="s">
        <v>30981</v>
      </c>
      <c r="I3702" s="213" t="s">
        <v>30982</v>
      </c>
      <c r="J3702" s="213" t="s">
        <v>30983</v>
      </c>
      <c r="L3702" s="213" t="s">
        <v>30984</v>
      </c>
      <c r="O3702" s="213" t="s">
        <v>30985</v>
      </c>
      <c r="P3702" s="213" t="s">
        <v>30986</v>
      </c>
      <c r="Q3702" s="213" t="s">
        <v>30987</v>
      </c>
      <c r="R3702" s="213" t="s">
        <v>30988</v>
      </c>
      <c r="S3702" s="213" t="s">
        <v>30989</v>
      </c>
      <c r="T3702" s="213" t="s">
        <v>30990</v>
      </c>
    </row>
    <row r="3703" spans="1:21" x14ac:dyDescent="0.25">
      <c r="A3703" s="213" t="s">
        <v>327</v>
      </c>
      <c r="C3703" s="213" t="s">
        <v>30991</v>
      </c>
      <c r="E3703" s="213" t="s">
        <v>30992</v>
      </c>
      <c r="I3703" s="213" t="s">
        <v>30993</v>
      </c>
    </row>
    <row r="3704" spans="1:21" x14ac:dyDescent="0.25">
      <c r="A3704" s="213" t="s">
        <v>327</v>
      </c>
      <c r="C3704" s="213" t="s">
        <v>30994</v>
      </c>
      <c r="E3704" s="213" t="s">
        <v>30995</v>
      </c>
      <c r="I3704" s="213" t="s">
        <v>30996</v>
      </c>
    </row>
    <row r="3705" spans="1:21" x14ac:dyDescent="0.25">
      <c r="A3705" s="213" t="s">
        <v>328</v>
      </c>
    </row>
    <row r="3706" spans="1:21" x14ac:dyDescent="0.25">
      <c r="A3706" s="213" t="s">
        <v>327</v>
      </c>
      <c r="D3706" s="213" t="s">
        <v>30997</v>
      </c>
      <c r="E3706" s="213" t="s">
        <v>30998</v>
      </c>
      <c r="K3706" s="213" t="s">
        <v>64342</v>
      </c>
      <c r="L3706" s="213" t="s">
        <v>64387</v>
      </c>
      <c r="M3706" s="213" t="s">
        <v>64432</v>
      </c>
      <c r="N3706" s="213" t="s">
        <v>30999</v>
      </c>
      <c r="O3706" s="213" t="s">
        <v>31000</v>
      </c>
      <c r="P3706" s="213" t="s">
        <v>31001</v>
      </c>
      <c r="Q3706" s="213" t="s">
        <v>31002</v>
      </c>
      <c r="R3706" s="213" t="s">
        <v>31003</v>
      </c>
      <c r="S3706" s="213" t="s">
        <v>31004</v>
      </c>
      <c r="T3706" s="213" t="s">
        <v>31005</v>
      </c>
      <c r="U3706" s="213" t="s">
        <v>64477</v>
      </c>
    </row>
    <row r="3707" spans="1:21" x14ac:dyDescent="0.25">
      <c r="A3707" s="213" t="s">
        <v>327</v>
      </c>
      <c r="D3707" s="213" t="s">
        <v>31006</v>
      </c>
      <c r="E3707" s="213" t="s">
        <v>31007</v>
      </c>
      <c r="K3707" s="213" t="s">
        <v>64343</v>
      </c>
      <c r="L3707" s="213" t="s">
        <v>64388</v>
      </c>
      <c r="M3707" s="213" t="s">
        <v>64433</v>
      </c>
      <c r="N3707" s="213" t="s">
        <v>31008</v>
      </c>
      <c r="O3707" s="213" t="s">
        <v>31009</v>
      </c>
      <c r="P3707" s="213" t="s">
        <v>31010</v>
      </c>
      <c r="Q3707" s="213" t="s">
        <v>31011</v>
      </c>
      <c r="R3707" s="213" t="s">
        <v>31012</v>
      </c>
      <c r="S3707" s="213" t="s">
        <v>31013</v>
      </c>
      <c r="T3707" s="213" t="s">
        <v>31014</v>
      </c>
      <c r="U3707" s="213" t="s">
        <v>64478</v>
      </c>
    </row>
    <row r="3708" spans="1:21" x14ac:dyDescent="0.25">
      <c r="A3708" s="213" t="s">
        <v>327</v>
      </c>
      <c r="D3708" s="213" t="s">
        <v>31015</v>
      </c>
      <c r="E3708" s="213" t="s">
        <v>31016</v>
      </c>
      <c r="K3708" s="213" t="s">
        <v>64344</v>
      </c>
      <c r="L3708" s="213" t="s">
        <v>64389</v>
      </c>
      <c r="M3708" s="213" t="s">
        <v>64434</v>
      </c>
      <c r="N3708" s="213" t="s">
        <v>31017</v>
      </c>
      <c r="O3708" s="213" t="s">
        <v>31018</v>
      </c>
      <c r="P3708" s="213" t="s">
        <v>31019</v>
      </c>
      <c r="Q3708" s="213" t="s">
        <v>31020</v>
      </c>
      <c r="R3708" s="213" t="s">
        <v>31021</v>
      </c>
      <c r="S3708" s="213" t="s">
        <v>31022</v>
      </c>
      <c r="T3708" s="213" t="s">
        <v>31023</v>
      </c>
      <c r="U3708" s="213" t="s">
        <v>64479</v>
      </c>
    </row>
    <row r="3709" spans="1:21" x14ac:dyDescent="0.25">
      <c r="A3709" s="213" t="s">
        <v>327</v>
      </c>
      <c r="D3709" s="213" t="s">
        <v>31024</v>
      </c>
      <c r="E3709" s="213" t="s">
        <v>31025</v>
      </c>
      <c r="K3709" s="213" t="s">
        <v>64345</v>
      </c>
      <c r="L3709" s="213" t="s">
        <v>64390</v>
      </c>
      <c r="M3709" s="213" t="s">
        <v>64435</v>
      </c>
      <c r="N3709" s="213" t="s">
        <v>31026</v>
      </c>
      <c r="O3709" s="213" t="s">
        <v>31027</v>
      </c>
      <c r="P3709" s="213" t="s">
        <v>31028</v>
      </c>
      <c r="Q3709" s="213" t="s">
        <v>31029</v>
      </c>
      <c r="R3709" s="213" t="s">
        <v>31030</v>
      </c>
      <c r="S3709" s="213" t="s">
        <v>31031</v>
      </c>
      <c r="T3709" s="213" t="s">
        <v>31032</v>
      </c>
      <c r="U3709" s="213" t="s">
        <v>64480</v>
      </c>
    </row>
    <row r="3710" spans="1:21" x14ac:dyDescent="0.25">
      <c r="A3710" s="213" t="s">
        <v>327</v>
      </c>
      <c r="D3710" s="213" t="s">
        <v>31033</v>
      </c>
      <c r="E3710" s="213" t="s">
        <v>31034</v>
      </c>
      <c r="K3710" s="213" t="s">
        <v>64346</v>
      </c>
      <c r="L3710" s="213" t="s">
        <v>64391</v>
      </c>
      <c r="M3710" s="213" t="s">
        <v>64436</v>
      </c>
      <c r="N3710" s="213" t="s">
        <v>31035</v>
      </c>
      <c r="O3710" s="213" t="s">
        <v>31036</v>
      </c>
      <c r="P3710" s="213" t="s">
        <v>31037</v>
      </c>
      <c r="Q3710" s="213" t="s">
        <v>31038</v>
      </c>
      <c r="R3710" s="213" t="s">
        <v>31039</v>
      </c>
      <c r="S3710" s="213" t="s">
        <v>31040</v>
      </c>
      <c r="T3710" s="213" t="s">
        <v>31041</v>
      </c>
      <c r="U3710" s="213" t="s">
        <v>64481</v>
      </c>
    </row>
    <row r="3711" spans="1:21" x14ac:dyDescent="0.25">
      <c r="A3711" s="213" t="s">
        <v>327</v>
      </c>
      <c r="D3711" s="213" t="s">
        <v>31042</v>
      </c>
      <c r="E3711" s="213" t="s">
        <v>31043</v>
      </c>
      <c r="K3711" s="213" t="s">
        <v>64347</v>
      </c>
      <c r="L3711" s="213" t="s">
        <v>64392</v>
      </c>
      <c r="M3711" s="213" t="s">
        <v>64437</v>
      </c>
      <c r="N3711" s="213" t="s">
        <v>31044</v>
      </c>
      <c r="O3711" s="213" t="s">
        <v>31045</v>
      </c>
      <c r="P3711" s="213" t="s">
        <v>31046</v>
      </c>
      <c r="Q3711" s="213" t="s">
        <v>31047</v>
      </c>
      <c r="R3711" s="213" t="s">
        <v>31048</v>
      </c>
      <c r="S3711" s="213" t="s">
        <v>31049</v>
      </c>
      <c r="T3711" s="213" t="s">
        <v>31050</v>
      </c>
      <c r="U3711" s="213" t="s">
        <v>64482</v>
      </c>
    </row>
    <row r="3712" spans="1:21" x14ac:dyDescent="0.25">
      <c r="A3712" s="213" t="s">
        <v>327</v>
      </c>
      <c r="D3712" s="213" t="s">
        <v>31051</v>
      </c>
      <c r="E3712" s="213" t="s">
        <v>31052</v>
      </c>
      <c r="K3712" s="213" t="s">
        <v>64348</v>
      </c>
      <c r="L3712" s="213" t="s">
        <v>64393</v>
      </c>
      <c r="M3712" s="213" t="s">
        <v>64438</v>
      </c>
      <c r="N3712" s="213" t="s">
        <v>31053</v>
      </c>
      <c r="O3712" s="213" t="s">
        <v>31054</v>
      </c>
      <c r="P3712" s="213" t="s">
        <v>31055</v>
      </c>
      <c r="Q3712" s="213" t="s">
        <v>31056</v>
      </c>
      <c r="R3712" s="213" t="s">
        <v>31057</v>
      </c>
      <c r="S3712" s="213" t="s">
        <v>31058</v>
      </c>
      <c r="T3712" s="213" t="s">
        <v>31059</v>
      </c>
      <c r="U3712" s="213" t="s">
        <v>64483</v>
      </c>
    </row>
    <row r="3713" spans="1:21" x14ac:dyDescent="0.25">
      <c r="A3713" s="213" t="s">
        <v>327</v>
      </c>
      <c r="D3713" s="213" t="s">
        <v>31060</v>
      </c>
      <c r="E3713" s="213" t="s">
        <v>31061</v>
      </c>
      <c r="K3713" s="213" t="s">
        <v>64349</v>
      </c>
      <c r="L3713" s="213" t="s">
        <v>64394</v>
      </c>
      <c r="M3713" s="213" t="s">
        <v>64439</v>
      </c>
      <c r="N3713" s="213" t="s">
        <v>31062</v>
      </c>
      <c r="O3713" s="213" t="s">
        <v>31063</v>
      </c>
      <c r="P3713" s="213" t="s">
        <v>31064</v>
      </c>
      <c r="Q3713" s="213" t="s">
        <v>31065</v>
      </c>
      <c r="R3713" s="213" t="s">
        <v>31066</v>
      </c>
      <c r="S3713" s="213" t="s">
        <v>31067</v>
      </c>
      <c r="T3713" s="213" t="s">
        <v>31068</v>
      </c>
      <c r="U3713" s="213" t="s">
        <v>64484</v>
      </c>
    </row>
    <row r="3714" spans="1:21" x14ac:dyDescent="0.25">
      <c r="A3714" s="213" t="s">
        <v>327</v>
      </c>
      <c r="D3714" s="213" t="s">
        <v>31069</v>
      </c>
      <c r="E3714" s="213" t="s">
        <v>31070</v>
      </c>
      <c r="K3714" s="213" t="s">
        <v>64350</v>
      </c>
      <c r="L3714" s="213" t="s">
        <v>64395</v>
      </c>
      <c r="M3714" s="213" t="s">
        <v>64440</v>
      </c>
      <c r="N3714" s="213" t="s">
        <v>31071</v>
      </c>
      <c r="O3714" s="213" t="s">
        <v>31072</v>
      </c>
      <c r="P3714" s="213" t="s">
        <v>31073</v>
      </c>
      <c r="Q3714" s="213" t="s">
        <v>31074</v>
      </c>
      <c r="R3714" s="213" t="s">
        <v>31075</v>
      </c>
      <c r="S3714" s="213" t="s">
        <v>31076</v>
      </c>
      <c r="T3714" s="213" t="s">
        <v>31077</v>
      </c>
      <c r="U3714" s="213" t="s">
        <v>64485</v>
      </c>
    </row>
    <row r="3715" spans="1:21" x14ac:dyDescent="0.25">
      <c r="A3715" s="213" t="s">
        <v>327</v>
      </c>
      <c r="D3715" s="213" t="s">
        <v>31078</v>
      </c>
      <c r="E3715" s="213" t="s">
        <v>31079</v>
      </c>
      <c r="K3715" s="213" t="s">
        <v>64351</v>
      </c>
      <c r="L3715" s="213" t="s">
        <v>64396</v>
      </c>
      <c r="M3715" s="213" t="s">
        <v>64441</v>
      </c>
      <c r="N3715" s="213" t="s">
        <v>31080</v>
      </c>
      <c r="O3715" s="213" t="s">
        <v>31081</v>
      </c>
      <c r="P3715" s="213" t="s">
        <v>31082</v>
      </c>
      <c r="Q3715" s="213" t="s">
        <v>31083</v>
      </c>
      <c r="R3715" s="213" t="s">
        <v>31084</v>
      </c>
      <c r="S3715" s="213" t="s">
        <v>31085</v>
      </c>
      <c r="T3715" s="213" t="s">
        <v>31086</v>
      </c>
      <c r="U3715" s="213" t="s">
        <v>64486</v>
      </c>
    </row>
    <row r="3716" spans="1:21" x14ac:dyDescent="0.25">
      <c r="A3716" s="213" t="s">
        <v>327</v>
      </c>
      <c r="D3716" s="213" t="s">
        <v>31087</v>
      </c>
      <c r="E3716" s="213" t="s">
        <v>31088</v>
      </c>
      <c r="K3716" s="213" t="s">
        <v>64352</v>
      </c>
      <c r="L3716" s="213" t="s">
        <v>64397</v>
      </c>
      <c r="M3716" s="213" t="s">
        <v>64442</v>
      </c>
      <c r="N3716" s="213" t="s">
        <v>31089</v>
      </c>
      <c r="O3716" s="213" t="s">
        <v>31090</v>
      </c>
      <c r="P3716" s="213" t="s">
        <v>31091</v>
      </c>
      <c r="Q3716" s="213" t="s">
        <v>31092</v>
      </c>
      <c r="R3716" s="213" t="s">
        <v>31093</v>
      </c>
      <c r="S3716" s="213" t="s">
        <v>31094</v>
      </c>
      <c r="T3716" s="213" t="s">
        <v>31095</v>
      </c>
      <c r="U3716" s="213" t="s">
        <v>64487</v>
      </c>
    </row>
    <row r="3717" spans="1:21" x14ac:dyDescent="0.25">
      <c r="A3717" s="213" t="s">
        <v>327</v>
      </c>
      <c r="D3717" s="213" t="s">
        <v>31096</v>
      </c>
      <c r="E3717" s="213" t="s">
        <v>31097</v>
      </c>
      <c r="K3717" s="213" t="s">
        <v>64353</v>
      </c>
      <c r="L3717" s="213" t="s">
        <v>64398</v>
      </c>
      <c r="M3717" s="213" t="s">
        <v>64443</v>
      </c>
      <c r="N3717" s="213" t="s">
        <v>31098</v>
      </c>
      <c r="O3717" s="213" t="s">
        <v>31099</v>
      </c>
      <c r="P3717" s="213" t="s">
        <v>31100</v>
      </c>
      <c r="Q3717" s="213" t="s">
        <v>31101</v>
      </c>
      <c r="R3717" s="213" t="s">
        <v>31102</v>
      </c>
      <c r="S3717" s="213" t="s">
        <v>31103</v>
      </c>
      <c r="T3717" s="213" t="s">
        <v>31104</v>
      </c>
      <c r="U3717" s="213" t="s">
        <v>64488</v>
      </c>
    </row>
    <row r="3718" spans="1:21" x14ac:dyDescent="0.25">
      <c r="A3718" s="213" t="s">
        <v>327</v>
      </c>
      <c r="D3718" s="213" t="s">
        <v>31105</v>
      </c>
      <c r="E3718" s="213" t="s">
        <v>31106</v>
      </c>
      <c r="K3718" s="213" t="s">
        <v>64354</v>
      </c>
      <c r="L3718" s="213" t="s">
        <v>64399</v>
      </c>
      <c r="M3718" s="213" t="s">
        <v>64444</v>
      </c>
      <c r="N3718" s="213" t="s">
        <v>31107</v>
      </c>
      <c r="O3718" s="213" t="s">
        <v>31108</v>
      </c>
      <c r="P3718" s="213" t="s">
        <v>31109</v>
      </c>
      <c r="Q3718" s="213" t="s">
        <v>31110</v>
      </c>
      <c r="R3718" s="213" t="s">
        <v>31111</v>
      </c>
      <c r="S3718" s="213" t="s">
        <v>31112</v>
      </c>
      <c r="T3718" s="213" t="s">
        <v>31113</v>
      </c>
      <c r="U3718" s="213" t="s">
        <v>64489</v>
      </c>
    </row>
    <row r="3719" spans="1:21" x14ac:dyDescent="0.25">
      <c r="A3719" s="213" t="s">
        <v>327</v>
      </c>
      <c r="D3719" s="213" t="s">
        <v>31114</v>
      </c>
      <c r="E3719" s="213" t="s">
        <v>31115</v>
      </c>
      <c r="K3719" s="213" t="s">
        <v>64355</v>
      </c>
      <c r="L3719" s="213" t="s">
        <v>64400</v>
      </c>
      <c r="M3719" s="213" t="s">
        <v>64445</v>
      </c>
      <c r="N3719" s="213" t="s">
        <v>31116</v>
      </c>
      <c r="O3719" s="213" t="s">
        <v>31117</v>
      </c>
      <c r="P3719" s="213" t="s">
        <v>31118</v>
      </c>
      <c r="Q3719" s="213" t="s">
        <v>31119</v>
      </c>
      <c r="R3719" s="213" t="s">
        <v>31120</v>
      </c>
      <c r="S3719" s="213" t="s">
        <v>31121</v>
      </c>
      <c r="T3719" s="213" t="s">
        <v>31122</v>
      </c>
      <c r="U3719" s="213" t="s">
        <v>64490</v>
      </c>
    </row>
    <row r="3720" spans="1:21" x14ac:dyDescent="0.25">
      <c r="A3720" s="213" t="s">
        <v>327</v>
      </c>
      <c r="D3720" s="213" t="s">
        <v>31123</v>
      </c>
      <c r="E3720" s="213" t="s">
        <v>31124</v>
      </c>
      <c r="K3720" s="213" t="s">
        <v>64356</v>
      </c>
      <c r="L3720" s="213" t="s">
        <v>64401</v>
      </c>
      <c r="M3720" s="213" t="s">
        <v>64446</v>
      </c>
      <c r="N3720" s="213" t="s">
        <v>31125</v>
      </c>
      <c r="O3720" s="213" t="s">
        <v>31126</v>
      </c>
      <c r="P3720" s="213" t="s">
        <v>31127</v>
      </c>
      <c r="Q3720" s="213" t="s">
        <v>31128</v>
      </c>
      <c r="R3720" s="213" t="s">
        <v>31129</v>
      </c>
      <c r="S3720" s="213" t="s">
        <v>31130</v>
      </c>
      <c r="T3720" s="213" t="s">
        <v>31131</v>
      </c>
      <c r="U3720" s="213" t="s">
        <v>64491</v>
      </c>
    </row>
    <row r="3721" spans="1:21" x14ac:dyDescent="0.25">
      <c r="A3721" s="213" t="s">
        <v>327</v>
      </c>
      <c r="D3721" s="213" t="s">
        <v>31132</v>
      </c>
      <c r="E3721" s="213" t="s">
        <v>31133</v>
      </c>
      <c r="K3721" s="213" t="s">
        <v>64357</v>
      </c>
      <c r="L3721" s="213" t="s">
        <v>64402</v>
      </c>
      <c r="M3721" s="213" t="s">
        <v>64447</v>
      </c>
      <c r="N3721" s="213" t="s">
        <v>31134</v>
      </c>
      <c r="O3721" s="213" t="s">
        <v>31135</v>
      </c>
      <c r="P3721" s="213" t="s">
        <v>31136</v>
      </c>
      <c r="Q3721" s="213" t="s">
        <v>31137</v>
      </c>
      <c r="R3721" s="213" t="s">
        <v>31138</v>
      </c>
      <c r="S3721" s="213" t="s">
        <v>31139</v>
      </c>
      <c r="T3721" s="213" t="s">
        <v>31140</v>
      </c>
      <c r="U3721" s="213" t="s">
        <v>64492</v>
      </c>
    </row>
    <row r="3722" spans="1:21" x14ac:dyDescent="0.25">
      <c r="A3722" s="213" t="s">
        <v>327</v>
      </c>
      <c r="D3722" s="213" t="s">
        <v>31141</v>
      </c>
      <c r="E3722" s="213" t="s">
        <v>31142</v>
      </c>
      <c r="K3722" s="213" t="s">
        <v>64358</v>
      </c>
      <c r="L3722" s="213" t="s">
        <v>64403</v>
      </c>
      <c r="M3722" s="213" t="s">
        <v>64448</v>
      </c>
      <c r="N3722" s="213" t="s">
        <v>31143</v>
      </c>
      <c r="O3722" s="213" t="s">
        <v>31144</v>
      </c>
      <c r="P3722" s="213" t="s">
        <v>31145</v>
      </c>
      <c r="Q3722" s="213" t="s">
        <v>31146</v>
      </c>
      <c r="R3722" s="213" t="s">
        <v>31147</v>
      </c>
      <c r="S3722" s="213" t="s">
        <v>31148</v>
      </c>
      <c r="T3722" s="213" t="s">
        <v>31149</v>
      </c>
      <c r="U3722" s="213" t="s">
        <v>64493</v>
      </c>
    </row>
    <row r="3723" spans="1:21" x14ac:dyDescent="0.25">
      <c r="A3723" s="213" t="s">
        <v>327</v>
      </c>
      <c r="D3723" s="213" t="s">
        <v>31150</v>
      </c>
      <c r="E3723" s="213" t="s">
        <v>31151</v>
      </c>
      <c r="K3723" s="213" t="s">
        <v>64359</v>
      </c>
      <c r="L3723" s="213" t="s">
        <v>64404</v>
      </c>
      <c r="M3723" s="213" t="s">
        <v>64449</v>
      </c>
      <c r="N3723" s="213" t="s">
        <v>31152</v>
      </c>
      <c r="O3723" s="213" t="s">
        <v>31153</v>
      </c>
      <c r="P3723" s="213" t="s">
        <v>31154</v>
      </c>
      <c r="Q3723" s="213" t="s">
        <v>31155</v>
      </c>
      <c r="R3723" s="213" t="s">
        <v>31156</v>
      </c>
      <c r="S3723" s="213" t="s">
        <v>31157</v>
      </c>
      <c r="T3723" s="213" t="s">
        <v>31158</v>
      </c>
      <c r="U3723" s="213" t="s">
        <v>64494</v>
      </c>
    </row>
    <row r="3724" spans="1:21" x14ac:dyDescent="0.25">
      <c r="A3724" s="213" t="s">
        <v>327</v>
      </c>
      <c r="D3724" s="213" t="s">
        <v>31159</v>
      </c>
      <c r="E3724" s="213" t="s">
        <v>31160</v>
      </c>
      <c r="K3724" s="213" t="s">
        <v>64360</v>
      </c>
      <c r="L3724" s="213" t="s">
        <v>64405</v>
      </c>
      <c r="M3724" s="213" t="s">
        <v>64450</v>
      </c>
      <c r="N3724" s="213" t="s">
        <v>31161</v>
      </c>
      <c r="O3724" s="213" t="s">
        <v>31162</v>
      </c>
      <c r="P3724" s="213" t="s">
        <v>31163</v>
      </c>
      <c r="Q3724" s="213" t="s">
        <v>31164</v>
      </c>
      <c r="R3724" s="213" t="s">
        <v>31165</v>
      </c>
      <c r="S3724" s="213" t="s">
        <v>31166</v>
      </c>
      <c r="T3724" s="213" t="s">
        <v>31167</v>
      </c>
      <c r="U3724" s="213" t="s">
        <v>64495</v>
      </c>
    </row>
    <row r="3725" spans="1:21" x14ac:dyDescent="0.25">
      <c r="A3725" s="213" t="s">
        <v>327</v>
      </c>
      <c r="D3725" s="213" t="s">
        <v>31168</v>
      </c>
      <c r="E3725" s="213" t="s">
        <v>31169</v>
      </c>
      <c r="K3725" s="213" t="s">
        <v>64361</v>
      </c>
      <c r="L3725" s="213" t="s">
        <v>64406</v>
      </c>
      <c r="M3725" s="213" t="s">
        <v>64451</v>
      </c>
      <c r="N3725" s="213" t="s">
        <v>31170</v>
      </c>
      <c r="O3725" s="213" t="s">
        <v>31171</v>
      </c>
      <c r="P3725" s="213" t="s">
        <v>31172</v>
      </c>
      <c r="Q3725" s="213" t="s">
        <v>31173</v>
      </c>
      <c r="R3725" s="213" t="s">
        <v>31174</v>
      </c>
      <c r="S3725" s="213" t="s">
        <v>31175</v>
      </c>
      <c r="T3725" s="213" t="s">
        <v>31176</v>
      </c>
      <c r="U3725" s="213" t="s">
        <v>64496</v>
      </c>
    </row>
    <row r="3726" spans="1:21" x14ac:dyDescent="0.25">
      <c r="A3726" s="213" t="s">
        <v>327</v>
      </c>
      <c r="D3726" s="213" t="s">
        <v>31177</v>
      </c>
      <c r="E3726" s="213" t="s">
        <v>31178</v>
      </c>
      <c r="K3726" s="213" t="s">
        <v>64362</v>
      </c>
      <c r="L3726" s="213" t="s">
        <v>64407</v>
      </c>
      <c r="M3726" s="213" t="s">
        <v>64452</v>
      </c>
      <c r="N3726" s="213" t="s">
        <v>31179</v>
      </c>
      <c r="O3726" s="213" t="s">
        <v>31180</v>
      </c>
      <c r="P3726" s="213" t="s">
        <v>31181</v>
      </c>
      <c r="Q3726" s="213" t="s">
        <v>31182</v>
      </c>
      <c r="R3726" s="213" t="s">
        <v>31183</v>
      </c>
      <c r="S3726" s="213" t="s">
        <v>31184</v>
      </c>
      <c r="T3726" s="213" t="s">
        <v>31185</v>
      </c>
      <c r="U3726" s="213" t="s">
        <v>64497</v>
      </c>
    </row>
    <row r="3727" spans="1:21" x14ac:dyDescent="0.25">
      <c r="A3727" s="213" t="s">
        <v>327</v>
      </c>
      <c r="D3727" s="213" t="s">
        <v>31186</v>
      </c>
      <c r="E3727" s="213" t="s">
        <v>31187</v>
      </c>
      <c r="K3727" s="213" t="s">
        <v>64363</v>
      </c>
      <c r="L3727" s="213" t="s">
        <v>64408</v>
      </c>
      <c r="M3727" s="213" t="s">
        <v>64453</v>
      </c>
      <c r="N3727" s="213" t="s">
        <v>31188</v>
      </c>
      <c r="O3727" s="213" t="s">
        <v>31189</v>
      </c>
      <c r="P3727" s="213" t="s">
        <v>31190</v>
      </c>
      <c r="Q3727" s="213" t="s">
        <v>31191</v>
      </c>
      <c r="R3727" s="213" t="s">
        <v>31192</v>
      </c>
      <c r="S3727" s="213" t="s">
        <v>31193</v>
      </c>
      <c r="T3727" s="213" t="s">
        <v>31194</v>
      </c>
      <c r="U3727" s="213" t="s">
        <v>64498</v>
      </c>
    </row>
    <row r="3728" spans="1:21" x14ac:dyDescent="0.25">
      <c r="A3728" s="213" t="s">
        <v>327</v>
      </c>
      <c r="D3728" s="213" t="s">
        <v>31195</v>
      </c>
      <c r="E3728" s="213" t="s">
        <v>31196</v>
      </c>
      <c r="K3728" s="213" t="s">
        <v>64364</v>
      </c>
      <c r="L3728" s="213" t="s">
        <v>64409</v>
      </c>
      <c r="M3728" s="213" t="s">
        <v>64454</v>
      </c>
      <c r="N3728" s="213" t="s">
        <v>31197</v>
      </c>
      <c r="O3728" s="213" t="s">
        <v>31198</v>
      </c>
      <c r="P3728" s="213" t="s">
        <v>31199</v>
      </c>
      <c r="Q3728" s="213" t="s">
        <v>31200</v>
      </c>
      <c r="R3728" s="213" t="s">
        <v>31201</v>
      </c>
      <c r="S3728" s="213" t="s">
        <v>31202</v>
      </c>
      <c r="T3728" s="213" t="s">
        <v>31203</v>
      </c>
      <c r="U3728" s="213" t="s">
        <v>64499</v>
      </c>
    </row>
    <row r="3729" spans="1:21" x14ac:dyDescent="0.25">
      <c r="A3729" s="213" t="s">
        <v>327</v>
      </c>
      <c r="D3729" s="213" t="s">
        <v>31204</v>
      </c>
      <c r="E3729" s="213" t="s">
        <v>31205</v>
      </c>
      <c r="K3729" s="213" t="s">
        <v>64365</v>
      </c>
      <c r="L3729" s="213" t="s">
        <v>64410</v>
      </c>
      <c r="M3729" s="213" t="s">
        <v>64455</v>
      </c>
      <c r="N3729" s="213" t="s">
        <v>31206</v>
      </c>
      <c r="O3729" s="213" t="s">
        <v>31207</v>
      </c>
      <c r="P3729" s="213" t="s">
        <v>31208</v>
      </c>
      <c r="Q3729" s="213" t="s">
        <v>31209</v>
      </c>
      <c r="R3729" s="213" t="s">
        <v>31210</v>
      </c>
      <c r="S3729" s="213" t="s">
        <v>31211</v>
      </c>
      <c r="T3729" s="213" t="s">
        <v>31212</v>
      </c>
      <c r="U3729" s="213" t="s">
        <v>64500</v>
      </c>
    </row>
    <row r="3730" spans="1:21" x14ac:dyDescent="0.25">
      <c r="A3730" s="213" t="s">
        <v>327</v>
      </c>
      <c r="D3730" s="213" t="s">
        <v>31213</v>
      </c>
      <c r="E3730" s="213" t="s">
        <v>31214</v>
      </c>
      <c r="K3730" s="213" t="s">
        <v>64366</v>
      </c>
      <c r="L3730" s="213" t="s">
        <v>64411</v>
      </c>
      <c r="M3730" s="213" t="s">
        <v>64456</v>
      </c>
      <c r="N3730" s="213" t="s">
        <v>31215</v>
      </c>
      <c r="O3730" s="213" t="s">
        <v>31216</v>
      </c>
      <c r="P3730" s="213" t="s">
        <v>31217</v>
      </c>
      <c r="Q3730" s="213" t="s">
        <v>31218</v>
      </c>
      <c r="R3730" s="213" t="s">
        <v>31219</v>
      </c>
      <c r="S3730" s="213" t="s">
        <v>31220</v>
      </c>
      <c r="T3730" s="213" t="s">
        <v>31221</v>
      </c>
      <c r="U3730" s="213" t="s">
        <v>64501</v>
      </c>
    </row>
    <row r="3731" spans="1:21" x14ac:dyDescent="0.25">
      <c r="A3731" s="213" t="s">
        <v>327</v>
      </c>
      <c r="D3731" s="213" t="s">
        <v>31222</v>
      </c>
      <c r="E3731" s="213" t="s">
        <v>31223</v>
      </c>
      <c r="K3731" s="213" t="s">
        <v>64367</v>
      </c>
      <c r="L3731" s="213" t="s">
        <v>64412</v>
      </c>
      <c r="M3731" s="213" t="s">
        <v>64457</v>
      </c>
      <c r="N3731" s="213" t="s">
        <v>31224</v>
      </c>
      <c r="O3731" s="213" t="s">
        <v>31225</v>
      </c>
      <c r="P3731" s="213" t="s">
        <v>31226</v>
      </c>
      <c r="Q3731" s="213" t="s">
        <v>31227</v>
      </c>
      <c r="R3731" s="213" t="s">
        <v>31228</v>
      </c>
      <c r="S3731" s="213" t="s">
        <v>31229</v>
      </c>
      <c r="T3731" s="213" t="s">
        <v>31230</v>
      </c>
      <c r="U3731" s="213" t="s">
        <v>64502</v>
      </c>
    </row>
    <row r="3732" spans="1:21" x14ac:dyDescent="0.25">
      <c r="A3732" s="213" t="s">
        <v>327</v>
      </c>
      <c r="D3732" s="213" t="s">
        <v>31231</v>
      </c>
      <c r="E3732" s="213" t="s">
        <v>31232</v>
      </c>
      <c r="K3732" s="213" t="s">
        <v>64368</v>
      </c>
      <c r="L3732" s="213" t="s">
        <v>64413</v>
      </c>
      <c r="M3732" s="213" t="s">
        <v>64458</v>
      </c>
      <c r="N3732" s="213" t="s">
        <v>31233</v>
      </c>
      <c r="O3732" s="213" t="s">
        <v>31234</v>
      </c>
      <c r="P3732" s="213" t="s">
        <v>31235</v>
      </c>
      <c r="Q3732" s="213" t="s">
        <v>31236</v>
      </c>
      <c r="R3732" s="213" t="s">
        <v>31237</v>
      </c>
      <c r="S3732" s="213" t="s">
        <v>31238</v>
      </c>
      <c r="T3732" s="213" t="s">
        <v>31239</v>
      </c>
      <c r="U3732" s="213" t="s">
        <v>64503</v>
      </c>
    </row>
    <row r="3733" spans="1:21" x14ac:dyDescent="0.25">
      <c r="A3733" s="213" t="s">
        <v>327</v>
      </c>
      <c r="D3733" s="213" t="s">
        <v>31240</v>
      </c>
      <c r="E3733" s="213" t="s">
        <v>31241</v>
      </c>
      <c r="K3733" s="213" t="s">
        <v>64369</v>
      </c>
      <c r="L3733" s="213" t="s">
        <v>64414</v>
      </c>
      <c r="M3733" s="213" t="s">
        <v>64459</v>
      </c>
      <c r="N3733" s="213" t="s">
        <v>31242</v>
      </c>
      <c r="O3733" s="213" t="s">
        <v>31243</v>
      </c>
      <c r="P3733" s="213" t="s">
        <v>31244</v>
      </c>
      <c r="Q3733" s="213" t="s">
        <v>31245</v>
      </c>
      <c r="R3733" s="213" t="s">
        <v>31246</v>
      </c>
      <c r="S3733" s="213" t="s">
        <v>31247</v>
      </c>
      <c r="T3733" s="213" t="s">
        <v>31248</v>
      </c>
      <c r="U3733" s="213" t="s">
        <v>64504</v>
      </c>
    </row>
    <row r="3734" spans="1:21" x14ac:dyDescent="0.25">
      <c r="A3734" s="213" t="s">
        <v>327</v>
      </c>
      <c r="D3734" s="213" t="s">
        <v>31249</v>
      </c>
      <c r="E3734" s="213" t="s">
        <v>31250</v>
      </c>
      <c r="K3734" s="213" t="s">
        <v>64370</v>
      </c>
      <c r="L3734" s="213" t="s">
        <v>64415</v>
      </c>
      <c r="M3734" s="213" t="s">
        <v>64460</v>
      </c>
      <c r="N3734" s="213" t="s">
        <v>31251</v>
      </c>
      <c r="O3734" s="213" t="s">
        <v>31252</v>
      </c>
      <c r="P3734" s="213" t="s">
        <v>31253</v>
      </c>
      <c r="Q3734" s="213" t="s">
        <v>31254</v>
      </c>
      <c r="R3734" s="213" t="s">
        <v>31255</v>
      </c>
      <c r="S3734" s="213" t="s">
        <v>31256</v>
      </c>
      <c r="T3734" s="213" t="s">
        <v>31257</v>
      </c>
      <c r="U3734" s="213" t="s">
        <v>64505</v>
      </c>
    </row>
    <row r="3735" spans="1:21" x14ac:dyDescent="0.25">
      <c r="A3735" s="213" t="s">
        <v>327</v>
      </c>
      <c r="D3735" s="213" t="s">
        <v>31258</v>
      </c>
      <c r="E3735" s="213" t="s">
        <v>31259</v>
      </c>
      <c r="K3735" s="213" t="s">
        <v>64371</v>
      </c>
      <c r="L3735" s="213" t="s">
        <v>64416</v>
      </c>
      <c r="M3735" s="213" t="s">
        <v>64461</v>
      </c>
      <c r="N3735" s="213" t="s">
        <v>31260</v>
      </c>
      <c r="O3735" s="213" t="s">
        <v>31261</v>
      </c>
      <c r="P3735" s="213" t="s">
        <v>31262</v>
      </c>
      <c r="Q3735" s="213" t="s">
        <v>31263</v>
      </c>
      <c r="R3735" s="213" t="s">
        <v>31264</v>
      </c>
      <c r="S3735" s="213" t="s">
        <v>31265</v>
      </c>
      <c r="T3735" s="213" t="s">
        <v>31266</v>
      </c>
      <c r="U3735" s="213" t="s">
        <v>64506</v>
      </c>
    </row>
    <row r="3736" spans="1:21" x14ac:dyDescent="0.25">
      <c r="A3736" s="213" t="s">
        <v>327</v>
      </c>
      <c r="D3736" s="213" t="s">
        <v>31267</v>
      </c>
      <c r="E3736" s="213" t="s">
        <v>31268</v>
      </c>
      <c r="K3736" s="213" t="s">
        <v>64372</v>
      </c>
      <c r="L3736" s="213" t="s">
        <v>64417</v>
      </c>
      <c r="M3736" s="213" t="s">
        <v>64462</v>
      </c>
      <c r="N3736" s="213" t="s">
        <v>31269</v>
      </c>
      <c r="O3736" s="213" t="s">
        <v>31270</v>
      </c>
      <c r="P3736" s="213" t="s">
        <v>31271</v>
      </c>
      <c r="Q3736" s="213" t="s">
        <v>31272</v>
      </c>
      <c r="R3736" s="213" t="s">
        <v>31273</v>
      </c>
      <c r="S3736" s="213" t="s">
        <v>31274</v>
      </c>
      <c r="T3736" s="213" t="s">
        <v>31275</v>
      </c>
      <c r="U3736" s="213" t="s">
        <v>64507</v>
      </c>
    </row>
    <row r="3737" spans="1:21" x14ac:dyDescent="0.25">
      <c r="A3737" s="213" t="s">
        <v>327</v>
      </c>
      <c r="D3737" s="213" t="s">
        <v>31276</v>
      </c>
      <c r="E3737" s="213" t="s">
        <v>31277</v>
      </c>
      <c r="K3737" s="213" t="s">
        <v>64373</v>
      </c>
      <c r="L3737" s="213" t="s">
        <v>64418</v>
      </c>
      <c r="M3737" s="213" t="s">
        <v>64463</v>
      </c>
      <c r="N3737" s="213" t="s">
        <v>31278</v>
      </c>
      <c r="O3737" s="213" t="s">
        <v>31279</v>
      </c>
      <c r="P3737" s="213" t="s">
        <v>31280</v>
      </c>
      <c r="Q3737" s="213" t="s">
        <v>31281</v>
      </c>
      <c r="R3737" s="213" t="s">
        <v>31282</v>
      </c>
      <c r="S3737" s="213" t="s">
        <v>31283</v>
      </c>
      <c r="T3737" s="213" t="s">
        <v>31284</v>
      </c>
      <c r="U3737" s="213" t="s">
        <v>64508</v>
      </c>
    </row>
    <row r="3738" spans="1:21" x14ac:dyDescent="0.25">
      <c r="A3738" s="213" t="s">
        <v>327</v>
      </c>
      <c r="D3738" s="213" t="s">
        <v>31285</v>
      </c>
      <c r="E3738" s="213" t="s">
        <v>31286</v>
      </c>
      <c r="K3738" s="213" t="s">
        <v>64374</v>
      </c>
      <c r="L3738" s="213" t="s">
        <v>64419</v>
      </c>
      <c r="M3738" s="213" t="s">
        <v>64464</v>
      </c>
      <c r="N3738" s="213" t="s">
        <v>31287</v>
      </c>
      <c r="O3738" s="213" t="s">
        <v>31288</v>
      </c>
      <c r="P3738" s="213" t="s">
        <v>31289</v>
      </c>
      <c r="Q3738" s="213" t="s">
        <v>31290</v>
      </c>
      <c r="R3738" s="213" t="s">
        <v>31291</v>
      </c>
      <c r="S3738" s="213" t="s">
        <v>31292</v>
      </c>
      <c r="T3738" s="213" t="s">
        <v>31293</v>
      </c>
      <c r="U3738" s="213" t="s">
        <v>64509</v>
      </c>
    </row>
    <row r="3739" spans="1:21" x14ac:dyDescent="0.25">
      <c r="A3739" s="213" t="s">
        <v>327</v>
      </c>
      <c r="D3739" s="213" t="s">
        <v>31294</v>
      </c>
      <c r="E3739" s="213" t="s">
        <v>31295</v>
      </c>
      <c r="K3739" s="213" t="s">
        <v>64375</v>
      </c>
      <c r="L3739" s="213" t="s">
        <v>64420</v>
      </c>
      <c r="M3739" s="213" t="s">
        <v>64465</v>
      </c>
      <c r="N3739" s="213" t="s">
        <v>31296</v>
      </c>
      <c r="O3739" s="213" t="s">
        <v>31297</v>
      </c>
      <c r="P3739" s="213" t="s">
        <v>31298</v>
      </c>
      <c r="Q3739" s="213" t="s">
        <v>31299</v>
      </c>
      <c r="R3739" s="213" t="s">
        <v>31300</v>
      </c>
      <c r="S3739" s="213" t="s">
        <v>31301</v>
      </c>
      <c r="T3739" s="213" t="s">
        <v>31302</v>
      </c>
      <c r="U3739" s="213" t="s">
        <v>64510</v>
      </c>
    </row>
    <row r="3740" spans="1:21" x14ac:dyDescent="0.25">
      <c r="A3740" s="213" t="s">
        <v>327</v>
      </c>
      <c r="D3740" s="213" t="s">
        <v>31303</v>
      </c>
      <c r="E3740" s="213" t="s">
        <v>31304</v>
      </c>
      <c r="K3740" s="213" t="s">
        <v>64376</v>
      </c>
      <c r="L3740" s="213" t="s">
        <v>64421</v>
      </c>
      <c r="M3740" s="213" t="s">
        <v>64466</v>
      </c>
      <c r="N3740" s="213" t="s">
        <v>31305</v>
      </c>
      <c r="O3740" s="213" t="s">
        <v>31306</v>
      </c>
      <c r="P3740" s="213" t="s">
        <v>31307</v>
      </c>
      <c r="Q3740" s="213" t="s">
        <v>31308</v>
      </c>
      <c r="R3740" s="213" t="s">
        <v>31309</v>
      </c>
      <c r="S3740" s="213" t="s">
        <v>31310</v>
      </c>
      <c r="T3740" s="213" t="s">
        <v>31311</v>
      </c>
      <c r="U3740" s="213" t="s">
        <v>64511</v>
      </c>
    </row>
    <row r="3741" spans="1:21" x14ac:dyDescent="0.25">
      <c r="A3741" s="213" t="s">
        <v>327</v>
      </c>
      <c r="D3741" s="213" t="s">
        <v>31312</v>
      </c>
      <c r="E3741" s="213" t="s">
        <v>31313</v>
      </c>
      <c r="K3741" s="213" t="s">
        <v>64377</v>
      </c>
      <c r="L3741" s="213" t="s">
        <v>64422</v>
      </c>
      <c r="M3741" s="213" t="s">
        <v>64467</v>
      </c>
      <c r="N3741" s="213" t="s">
        <v>31314</v>
      </c>
      <c r="O3741" s="213" t="s">
        <v>31315</v>
      </c>
      <c r="P3741" s="213" t="s">
        <v>31316</v>
      </c>
      <c r="Q3741" s="213" t="s">
        <v>31317</v>
      </c>
      <c r="R3741" s="213" t="s">
        <v>31318</v>
      </c>
      <c r="S3741" s="213" t="s">
        <v>31319</v>
      </c>
      <c r="T3741" s="213" t="s">
        <v>31320</v>
      </c>
      <c r="U3741" s="213" t="s">
        <v>64512</v>
      </c>
    </row>
    <row r="3742" spans="1:21" x14ac:dyDescent="0.25">
      <c r="A3742" s="213" t="s">
        <v>327</v>
      </c>
      <c r="D3742" s="213" t="s">
        <v>31321</v>
      </c>
      <c r="E3742" s="213" t="s">
        <v>31322</v>
      </c>
      <c r="K3742" s="213" t="s">
        <v>64378</v>
      </c>
      <c r="L3742" s="213" t="s">
        <v>64423</v>
      </c>
      <c r="M3742" s="213" t="s">
        <v>64468</v>
      </c>
      <c r="N3742" s="213" t="s">
        <v>31323</v>
      </c>
      <c r="O3742" s="213" t="s">
        <v>31324</v>
      </c>
      <c r="P3742" s="213" t="s">
        <v>31325</v>
      </c>
      <c r="Q3742" s="213" t="s">
        <v>31326</v>
      </c>
      <c r="R3742" s="213" t="s">
        <v>31327</v>
      </c>
      <c r="S3742" s="213" t="s">
        <v>31328</v>
      </c>
      <c r="T3742" s="213" t="s">
        <v>31329</v>
      </c>
      <c r="U3742" s="213" t="s">
        <v>64513</v>
      </c>
    </row>
    <row r="3743" spans="1:21" x14ac:dyDescent="0.25">
      <c r="A3743" s="213" t="s">
        <v>327</v>
      </c>
      <c r="D3743" s="213" t="s">
        <v>31330</v>
      </c>
      <c r="E3743" s="213" t="s">
        <v>31331</v>
      </c>
      <c r="K3743" s="213" t="s">
        <v>64379</v>
      </c>
      <c r="L3743" s="213" t="s">
        <v>64424</v>
      </c>
      <c r="M3743" s="213" t="s">
        <v>64469</v>
      </c>
      <c r="N3743" s="213" t="s">
        <v>31332</v>
      </c>
      <c r="O3743" s="213" t="s">
        <v>31333</v>
      </c>
      <c r="P3743" s="213" t="s">
        <v>31334</v>
      </c>
      <c r="Q3743" s="213" t="s">
        <v>31335</v>
      </c>
      <c r="R3743" s="213" t="s">
        <v>31336</v>
      </c>
      <c r="S3743" s="213" t="s">
        <v>31337</v>
      </c>
      <c r="T3743" s="213" t="s">
        <v>31338</v>
      </c>
      <c r="U3743" s="213" t="s">
        <v>64514</v>
      </c>
    </row>
    <row r="3744" spans="1:21" x14ac:dyDescent="0.25">
      <c r="A3744" s="213" t="s">
        <v>327</v>
      </c>
      <c r="D3744" s="213" t="s">
        <v>31339</v>
      </c>
      <c r="E3744" s="213" t="s">
        <v>31340</v>
      </c>
      <c r="K3744" s="213" t="s">
        <v>64380</v>
      </c>
      <c r="L3744" s="213" t="s">
        <v>64425</v>
      </c>
      <c r="M3744" s="213" t="s">
        <v>64470</v>
      </c>
      <c r="N3744" s="213" t="s">
        <v>31341</v>
      </c>
      <c r="O3744" s="213" t="s">
        <v>31342</v>
      </c>
      <c r="P3744" s="213" t="s">
        <v>31343</v>
      </c>
      <c r="Q3744" s="213" t="s">
        <v>31344</v>
      </c>
      <c r="R3744" s="213" t="s">
        <v>31345</v>
      </c>
      <c r="S3744" s="213" t="s">
        <v>31346</v>
      </c>
      <c r="T3744" s="213" t="s">
        <v>31347</v>
      </c>
      <c r="U3744" s="213" t="s">
        <v>64515</v>
      </c>
    </row>
    <row r="3745" spans="1:21" x14ac:dyDescent="0.25">
      <c r="A3745" s="213" t="s">
        <v>327</v>
      </c>
      <c r="D3745" s="213" t="s">
        <v>31348</v>
      </c>
      <c r="E3745" s="213" t="s">
        <v>31349</v>
      </c>
      <c r="K3745" s="213" t="s">
        <v>64381</v>
      </c>
      <c r="L3745" s="213" t="s">
        <v>64426</v>
      </c>
      <c r="M3745" s="213" t="s">
        <v>64471</v>
      </c>
      <c r="N3745" s="213" t="s">
        <v>31350</v>
      </c>
      <c r="O3745" s="213" t="s">
        <v>31351</v>
      </c>
      <c r="P3745" s="213" t="s">
        <v>31352</v>
      </c>
      <c r="Q3745" s="213" t="s">
        <v>31353</v>
      </c>
      <c r="R3745" s="213" t="s">
        <v>31354</v>
      </c>
      <c r="S3745" s="213" t="s">
        <v>31355</v>
      </c>
      <c r="T3745" s="213" t="s">
        <v>31356</v>
      </c>
      <c r="U3745" s="213" t="s">
        <v>64516</v>
      </c>
    </row>
    <row r="3746" spans="1:21" x14ac:dyDescent="0.25">
      <c r="A3746" s="213" t="s">
        <v>327</v>
      </c>
      <c r="D3746" s="213" t="s">
        <v>31357</v>
      </c>
      <c r="E3746" s="213" t="s">
        <v>31358</v>
      </c>
      <c r="K3746" s="213" t="s">
        <v>64382</v>
      </c>
      <c r="L3746" s="213" t="s">
        <v>64427</v>
      </c>
      <c r="M3746" s="213" t="s">
        <v>64472</v>
      </c>
      <c r="N3746" s="213" t="s">
        <v>31359</v>
      </c>
      <c r="O3746" s="213" t="s">
        <v>31360</v>
      </c>
      <c r="P3746" s="213" t="s">
        <v>31361</v>
      </c>
      <c r="Q3746" s="213" t="s">
        <v>31362</v>
      </c>
      <c r="R3746" s="213" t="s">
        <v>31363</v>
      </c>
      <c r="S3746" s="213" t="s">
        <v>31364</v>
      </c>
      <c r="T3746" s="213" t="s">
        <v>31365</v>
      </c>
      <c r="U3746" s="213" t="s">
        <v>64517</v>
      </c>
    </row>
    <row r="3747" spans="1:21" x14ac:dyDescent="0.25">
      <c r="A3747" s="213" t="s">
        <v>327</v>
      </c>
      <c r="D3747" s="213" t="s">
        <v>31366</v>
      </c>
      <c r="E3747" s="213" t="s">
        <v>31367</v>
      </c>
      <c r="K3747" s="213" t="s">
        <v>64383</v>
      </c>
      <c r="L3747" s="213" t="s">
        <v>64428</v>
      </c>
      <c r="M3747" s="213" t="s">
        <v>64473</v>
      </c>
      <c r="N3747" s="213" t="s">
        <v>31368</v>
      </c>
      <c r="O3747" s="213" t="s">
        <v>31369</v>
      </c>
      <c r="P3747" s="213" t="s">
        <v>31370</v>
      </c>
      <c r="Q3747" s="213" t="s">
        <v>31371</v>
      </c>
      <c r="R3747" s="213" t="s">
        <v>31372</v>
      </c>
      <c r="S3747" s="213" t="s">
        <v>31373</v>
      </c>
      <c r="T3747" s="213" t="s">
        <v>31374</v>
      </c>
      <c r="U3747" s="213" t="s">
        <v>64518</v>
      </c>
    </row>
    <row r="3748" spans="1:21" x14ac:dyDescent="0.25">
      <c r="A3748" s="213" t="s">
        <v>327</v>
      </c>
      <c r="D3748" s="213" t="s">
        <v>31375</v>
      </c>
      <c r="E3748" s="213" t="s">
        <v>31376</v>
      </c>
      <c r="K3748" s="213" t="s">
        <v>64384</v>
      </c>
      <c r="L3748" s="213" t="s">
        <v>64429</v>
      </c>
      <c r="M3748" s="213" t="s">
        <v>64474</v>
      </c>
      <c r="N3748" s="213" t="s">
        <v>31377</v>
      </c>
      <c r="O3748" s="213" t="s">
        <v>31378</v>
      </c>
      <c r="P3748" s="213" t="s">
        <v>31379</v>
      </c>
      <c r="Q3748" s="213" t="s">
        <v>31380</v>
      </c>
      <c r="R3748" s="213" t="s">
        <v>31381</v>
      </c>
      <c r="S3748" s="213" t="s">
        <v>31382</v>
      </c>
      <c r="T3748" s="213" t="s">
        <v>31383</v>
      </c>
      <c r="U3748" s="213" t="s">
        <v>64519</v>
      </c>
    </row>
    <row r="3749" spans="1:21" x14ac:dyDescent="0.25">
      <c r="A3749" s="213" t="s">
        <v>327</v>
      </c>
      <c r="D3749" s="213" t="s">
        <v>31384</v>
      </c>
      <c r="E3749" s="213" t="s">
        <v>31385</v>
      </c>
      <c r="K3749" s="213" t="s">
        <v>64385</v>
      </c>
      <c r="L3749" s="213" t="s">
        <v>64430</v>
      </c>
      <c r="M3749" s="213" t="s">
        <v>64475</v>
      </c>
      <c r="N3749" s="213" t="s">
        <v>31386</v>
      </c>
      <c r="O3749" s="213" t="s">
        <v>31387</v>
      </c>
      <c r="P3749" s="213" t="s">
        <v>31388</v>
      </c>
      <c r="Q3749" s="213" t="s">
        <v>31389</v>
      </c>
      <c r="R3749" s="213" t="s">
        <v>31390</v>
      </c>
      <c r="S3749" s="213" t="s">
        <v>31391</v>
      </c>
      <c r="T3749" s="213" t="s">
        <v>31392</v>
      </c>
      <c r="U3749" s="213" t="s">
        <v>64520</v>
      </c>
    </row>
    <row r="3750" spans="1:21" x14ac:dyDescent="0.25">
      <c r="A3750" s="213" t="s">
        <v>327</v>
      </c>
      <c r="D3750" s="213" t="s">
        <v>31393</v>
      </c>
      <c r="E3750" s="213" t="s">
        <v>31394</v>
      </c>
      <c r="K3750" s="213" t="s">
        <v>64386</v>
      </c>
      <c r="L3750" s="213" t="s">
        <v>64431</v>
      </c>
      <c r="M3750" s="213" t="s">
        <v>64476</v>
      </c>
      <c r="N3750" s="213" t="s">
        <v>31395</v>
      </c>
      <c r="O3750" s="213" t="s">
        <v>31396</v>
      </c>
      <c r="P3750" s="213" t="s">
        <v>31397</v>
      </c>
      <c r="Q3750" s="213" t="s">
        <v>31398</v>
      </c>
      <c r="R3750" s="213" t="s">
        <v>31399</v>
      </c>
      <c r="S3750" s="213" t="s">
        <v>31400</v>
      </c>
      <c r="T3750" s="213" t="s">
        <v>31401</v>
      </c>
      <c r="U3750" s="213" t="s">
        <v>64521</v>
      </c>
    </row>
    <row r="3751" spans="1:21" x14ac:dyDescent="0.25">
      <c r="A3751" s="213" t="s">
        <v>327</v>
      </c>
    </row>
    <row r="3752" spans="1:21" x14ac:dyDescent="0.25">
      <c r="A3752" s="213" t="s">
        <v>327</v>
      </c>
    </row>
    <row r="3753" spans="1:21" x14ac:dyDescent="0.25">
      <c r="A3753" s="213" t="s">
        <v>327</v>
      </c>
      <c r="C3753" s="213" t="s">
        <v>31402</v>
      </c>
      <c r="E3753" s="213" t="s">
        <v>31403</v>
      </c>
      <c r="H3753" s="213" t="s">
        <v>31404</v>
      </c>
      <c r="I3753" s="213" t="s">
        <v>31405</v>
      </c>
      <c r="J3753" s="213" t="s">
        <v>31406</v>
      </c>
      <c r="L3753" s="213" t="s">
        <v>31407</v>
      </c>
      <c r="O3753" s="213" t="s">
        <v>31408</v>
      </c>
      <c r="P3753" s="213" t="s">
        <v>31409</v>
      </c>
      <c r="Q3753" s="213" t="s">
        <v>31410</v>
      </c>
      <c r="R3753" s="213" t="s">
        <v>31411</v>
      </c>
      <c r="S3753" s="213" t="s">
        <v>31412</v>
      </c>
      <c r="T3753" s="213" t="s">
        <v>31413</v>
      </c>
    </row>
    <row r="3754" spans="1:21" x14ac:dyDescent="0.25">
      <c r="A3754" s="213" t="s">
        <v>327</v>
      </c>
      <c r="C3754" s="213" t="s">
        <v>31414</v>
      </c>
      <c r="E3754" s="213" t="s">
        <v>31415</v>
      </c>
      <c r="I3754" s="213" t="s">
        <v>31416</v>
      </c>
    </row>
    <row r="3755" spans="1:21" x14ac:dyDescent="0.25">
      <c r="A3755" s="213" t="s">
        <v>327</v>
      </c>
      <c r="C3755" s="213" t="s">
        <v>31417</v>
      </c>
      <c r="E3755" s="213" t="s">
        <v>31418</v>
      </c>
      <c r="I3755" s="213" t="s">
        <v>31419</v>
      </c>
    </row>
    <row r="3756" spans="1:21" x14ac:dyDescent="0.25">
      <c r="A3756" s="213" t="s">
        <v>328</v>
      </c>
    </row>
    <row r="3757" spans="1:21" x14ac:dyDescent="0.25">
      <c r="A3757" s="213" t="s">
        <v>327</v>
      </c>
      <c r="D3757" s="213" t="s">
        <v>31420</v>
      </c>
      <c r="E3757" s="213" t="s">
        <v>31421</v>
      </c>
      <c r="K3757" s="213" t="s">
        <v>64158</v>
      </c>
      <c r="L3757" s="213" t="s">
        <v>64204</v>
      </c>
      <c r="M3757" s="213" t="s">
        <v>64250</v>
      </c>
      <c r="N3757" s="213" t="s">
        <v>31422</v>
      </c>
      <c r="O3757" s="213" t="s">
        <v>31423</v>
      </c>
      <c r="P3757" s="213" t="s">
        <v>31424</v>
      </c>
      <c r="Q3757" s="213" t="s">
        <v>31425</v>
      </c>
      <c r="R3757" s="213" t="s">
        <v>31426</v>
      </c>
      <c r="S3757" s="213" t="s">
        <v>31427</v>
      </c>
      <c r="T3757" s="213" t="s">
        <v>31428</v>
      </c>
      <c r="U3757" s="213" t="s">
        <v>64296</v>
      </c>
    </row>
    <row r="3758" spans="1:21" x14ac:dyDescent="0.25">
      <c r="A3758" s="213" t="s">
        <v>327</v>
      </c>
      <c r="D3758" s="213" t="s">
        <v>31429</v>
      </c>
      <c r="E3758" s="213" t="s">
        <v>31430</v>
      </c>
      <c r="K3758" s="213" t="s">
        <v>64159</v>
      </c>
      <c r="L3758" s="213" t="s">
        <v>64205</v>
      </c>
      <c r="M3758" s="213" t="s">
        <v>64251</v>
      </c>
      <c r="N3758" s="213" t="s">
        <v>31431</v>
      </c>
      <c r="O3758" s="213" t="s">
        <v>31432</v>
      </c>
      <c r="P3758" s="213" t="s">
        <v>31433</v>
      </c>
      <c r="Q3758" s="213" t="s">
        <v>31434</v>
      </c>
      <c r="R3758" s="213" t="s">
        <v>31435</v>
      </c>
      <c r="S3758" s="213" t="s">
        <v>31436</v>
      </c>
      <c r="T3758" s="213" t="s">
        <v>31437</v>
      </c>
      <c r="U3758" s="213" t="s">
        <v>64297</v>
      </c>
    </row>
    <row r="3759" spans="1:21" x14ac:dyDescent="0.25">
      <c r="A3759" s="213" t="s">
        <v>327</v>
      </c>
      <c r="D3759" s="213" t="s">
        <v>31438</v>
      </c>
      <c r="E3759" s="213" t="s">
        <v>31439</v>
      </c>
      <c r="K3759" s="213" t="s">
        <v>64160</v>
      </c>
      <c r="L3759" s="213" t="s">
        <v>64206</v>
      </c>
      <c r="M3759" s="213" t="s">
        <v>64252</v>
      </c>
      <c r="N3759" s="213" t="s">
        <v>31440</v>
      </c>
      <c r="O3759" s="213" t="s">
        <v>31441</v>
      </c>
      <c r="P3759" s="213" t="s">
        <v>31442</v>
      </c>
      <c r="Q3759" s="213" t="s">
        <v>31443</v>
      </c>
      <c r="R3759" s="213" t="s">
        <v>31444</v>
      </c>
      <c r="S3759" s="213" t="s">
        <v>31445</v>
      </c>
      <c r="T3759" s="213" t="s">
        <v>31446</v>
      </c>
      <c r="U3759" s="213" t="s">
        <v>64298</v>
      </c>
    </row>
    <row r="3760" spans="1:21" x14ac:dyDescent="0.25">
      <c r="A3760" s="213" t="s">
        <v>327</v>
      </c>
      <c r="D3760" s="213" t="s">
        <v>31447</v>
      </c>
      <c r="E3760" s="213" t="s">
        <v>31448</v>
      </c>
      <c r="K3760" s="213" t="s">
        <v>64161</v>
      </c>
      <c r="L3760" s="213" t="s">
        <v>64207</v>
      </c>
      <c r="M3760" s="213" t="s">
        <v>64253</v>
      </c>
      <c r="N3760" s="213" t="s">
        <v>31449</v>
      </c>
      <c r="O3760" s="213" t="s">
        <v>31450</v>
      </c>
      <c r="P3760" s="213" t="s">
        <v>31451</v>
      </c>
      <c r="Q3760" s="213" t="s">
        <v>31452</v>
      </c>
      <c r="R3760" s="213" t="s">
        <v>31453</v>
      </c>
      <c r="S3760" s="213" t="s">
        <v>31454</v>
      </c>
      <c r="T3760" s="213" t="s">
        <v>31455</v>
      </c>
      <c r="U3760" s="213" t="s">
        <v>64299</v>
      </c>
    </row>
    <row r="3761" spans="1:21" x14ac:dyDescent="0.25">
      <c r="A3761" s="213" t="s">
        <v>327</v>
      </c>
      <c r="D3761" s="213" t="s">
        <v>31456</v>
      </c>
      <c r="E3761" s="213" t="s">
        <v>31457</v>
      </c>
      <c r="K3761" s="213" t="s">
        <v>64162</v>
      </c>
      <c r="L3761" s="213" t="s">
        <v>64208</v>
      </c>
      <c r="M3761" s="213" t="s">
        <v>64254</v>
      </c>
      <c r="N3761" s="213" t="s">
        <v>31458</v>
      </c>
      <c r="O3761" s="213" t="s">
        <v>31459</v>
      </c>
      <c r="P3761" s="213" t="s">
        <v>31460</v>
      </c>
      <c r="Q3761" s="213" t="s">
        <v>31461</v>
      </c>
      <c r="R3761" s="213" t="s">
        <v>31462</v>
      </c>
      <c r="S3761" s="213" t="s">
        <v>31463</v>
      </c>
      <c r="T3761" s="213" t="s">
        <v>31464</v>
      </c>
      <c r="U3761" s="213" t="s">
        <v>64300</v>
      </c>
    </row>
    <row r="3762" spans="1:21" x14ac:dyDescent="0.25">
      <c r="A3762" s="213" t="s">
        <v>327</v>
      </c>
      <c r="D3762" s="213" t="s">
        <v>31465</v>
      </c>
      <c r="E3762" s="213" t="s">
        <v>31466</v>
      </c>
      <c r="K3762" s="213" t="s">
        <v>64163</v>
      </c>
      <c r="L3762" s="213" t="s">
        <v>64209</v>
      </c>
      <c r="M3762" s="213" t="s">
        <v>64255</v>
      </c>
      <c r="N3762" s="213" t="s">
        <v>31467</v>
      </c>
      <c r="O3762" s="213" t="s">
        <v>31468</v>
      </c>
      <c r="P3762" s="213" t="s">
        <v>31469</v>
      </c>
      <c r="Q3762" s="213" t="s">
        <v>31470</v>
      </c>
      <c r="R3762" s="213" t="s">
        <v>31471</v>
      </c>
      <c r="S3762" s="213" t="s">
        <v>31472</v>
      </c>
      <c r="T3762" s="213" t="s">
        <v>31473</v>
      </c>
      <c r="U3762" s="213" t="s">
        <v>64301</v>
      </c>
    </row>
    <row r="3763" spans="1:21" x14ac:dyDescent="0.25">
      <c r="A3763" s="213" t="s">
        <v>327</v>
      </c>
      <c r="D3763" s="213" t="s">
        <v>31474</v>
      </c>
      <c r="E3763" s="213" t="s">
        <v>31475</v>
      </c>
      <c r="K3763" s="213" t="s">
        <v>64164</v>
      </c>
      <c r="L3763" s="213" t="s">
        <v>64210</v>
      </c>
      <c r="M3763" s="213" t="s">
        <v>64256</v>
      </c>
      <c r="N3763" s="213" t="s">
        <v>31476</v>
      </c>
      <c r="O3763" s="213" t="s">
        <v>31477</v>
      </c>
      <c r="P3763" s="213" t="s">
        <v>31478</v>
      </c>
      <c r="Q3763" s="213" t="s">
        <v>31479</v>
      </c>
      <c r="R3763" s="213" t="s">
        <v>31480</v>
      </c>
      <c r="S3763" s="213" t="s">
        <v>31481</v>
      </c>
      <c r="T3763" s="213" t="s">
        <v>31482</v>
      </c>
      <c r="U3763" s="213" t="s">
        <v>64302</v>
      </c>
    </row>
    <row r="3764" spans="1:21" x14ac:dyDescent="0.25">
      <c r="A3764" s="213" t="s">
        <v>327</v>
      </c>
      <c r="D3764" s="213" t="s">
        <v>31483</v>
      </c>
      <c r="E3764" s="213" t="s">
        <v>31484</v>
      </c>
      <c r="K3764" s="213" t="s">
        <v>64165</v>
      </c>
      <c r="L3764" s="213" t="s">
        <v>64211</v>
      </c>
      <c r="M3764" s="213" t="s">
        <v>64257</v>
      </c>
      <c r="N3764" s="213" t="s">
        <v>31485</v>
      </c>
      <c r="O3764" s="213" t="s">
        <v>31486</v>
      </c>
      <c r="P3764" s="213" t="s">
        <v>31487</v>
      </c>
      <c r="Q3764" s="213" t="s">
        <v>31488</v>
      </c>
      <c r="R3764" s="213" t="s">
        <v>31489</v>
      </c>
      <c r="S3764" s="213" t="s">
        <v>31490</v>
      </c>
      <c r="T3764" s="213" t="s">
        <v>31491</v>
      </c>
      <c r="U3764" s="213" t="s">
        <v>64303</v>
      </c>
    </row>
    <row r="3765" spans="1:21" x14ac:dyDescent="0.25">
      <c r="A3765" s="213" t="s">
        <v>327</v>
      </c>
      <c r="D3765" s="213" t="s">
        <v>31492</v>
      </c>
      <c r="E3765" s="213" t="s">
        <v>31493</v>
      </c>
      <c r="K3765" s="213" t="s">
        <v>64166</v>
      </c>
      <c r="L3765" s="213" t="s">
        <v>64212</v>
      </c>
      <c r="M3765" s="213" t="s">
        <v>64258</v>
      </c>
      <c r="N3765" s="213" t="s">
        <v>31494</v>
      </c>
      <c r="O3765" s="213" t="s">
        <v>31495</v>
      </c>
      <c r="P3765" s="213" t="s">
        <v>31496</v>
      </c>
      <c r="Q3765" s="213" t="s">
        <v>31497</v>
      </c>
      <c r="R3765" s="213" t="s">
        <v>31498</v>
      </c>
      <c r="S3765" s="213" t="s">
        <v>31499</v>
      </c>
      <c r="T3765" s="213" t="s">
        <v>31500</v>
      </c>
      <c r="U3765" s="213" t="s">
        <v>64304</v>
      </c>
    </row>
    <row r="3766" spans="1:21" x14ac:dyDescent="0.25">
      <c r="A3766" s="213" t="s">
        <v>327</v>
      </c>
      <c r="D3766" s="213" t="s">
        <v>31501</v>
      </c>
      <c r="E3766" s="213" t="s">
        <v>31502</v>
      </c>
      <c r="K3766" s="213" t="s">
        <v>64167</v>
      </c>
      <c r="L3766" s="213" t="s">
        <v>64213</v>
      </c>
      <c r="M3766" s="213" t="s">
        <v>64259</v>
      </c>
      <c r="N3766" s="213" t="s">
        <v>31503</v>
      </c>
      <c r="O3766" s="213" t="s">
        <v>31504</v>
      </c>
      <c r="P3766" s="213" t="s">
        <v>31505</v>
      </c>
      <c r="Q3766" s="213" t="s">
        <v>31506</v>
      </c>
      <c r="R3766" s="213" t="s">
        <v>31507</v>
      </c>
      <c r="S3766" s="213" t="s">
        <v>31508</v>
      </c>
      <c r="T3766" s="213" t="s">
        <v>31509</v>
      </c>
      <c r="U3766" s="213" t="s">
        <v>64305</v>
      </c>
    </row>
    <row r="3767" spans="1:21" x14ac:dyDescent="0.25">
      <c r="A3767" s="213" t="s">
        <v>327</v>
      </c>
      <c r="D3767" s="213" t="s">
        <v>31510</v>
      </c>
      <c r="E3767" s="213" t="s">
        <v>31511</v>
      </c>
      <c r="K3767" s="213" t="s">
        <v>64168</v>
      </c>
      <c r="L3767" s="213" t="s">
        <v>64214</v>
      </c>
      <c r="M3767" s="213" t="s">
        <v>64260</v>
      </c>
      <c r="N3767" s="213" t="s">
        <v>31512</v>
      </c>
      <c r="O3767" s="213" t="s">
        <v>31513</v>
      </c>
      <c r="P3767" s="213" t="s">
        <v>31514</v>
      </c>
      <c r="Q3767" s="213" t="s">
        <v>31515</v>
      </c>
      <c r="R3767" s="213" t="s">
        <v>31516</v>
      </c>
      <c r="S3767" s="213" t="s">
        <v>31517</v>
      </c>
      <c r="T3767" s="213" t="s">
        <v>31518</v>
      </c>
      <c r="U3767" s="213" t="s">
        <v>64306</v>
      </c>
    </row>
    <row r="3768" spans="1:21" x14ac:dyDescent="0.25">
      <c r="A3768" s="213" t="s">
        <v>327</v>
      </c>
      <c r="D3768" s="213" t="s">
        <v>31519</v>
      </c>
      <c r="E3768" s="213" t="s">
        <v>31520</v>
      </c>
      <c r="K3768" s="213" t="s">
        <v>64169</v>
      </c>
      <c r="L3768" s="213" t="s">
        <v>64215</v>
      </c>
      <c r="M3768" s="213" t="s">
        <v>64261</v>
      </c>
      <c r="N3768" s="213" t="s">
        <v>31521</v>
      </c>
      <c r="O3768" s="213" t="s">
        <v>31522</v>
      </c>
      <c r="P3768" s="213" t="s">
        <v>31523</v>
      </c>
      <c r="Q3768" s="213" t="s">
        <v>31524</v>
      </c>
      <c r="R3768" s="213" t="s">
        <v>31525</v>
      </c>
      <c r="S3768" s="213" t="s">
        <v>31526</v>
      </c>
      <c r="T3768" s="213" t="s">
        <v>31527</v>
      </c>
      <c r="U3768" s="213" t="s">
        <v>64307</v>
      </c>
    </row>
    <row r="3769" spans="1:21" x14ac:dyDescent="0.25">
      <c r="A3769" s="213" t="s">
        <v>327</v>
      </c>
      <c r="D3769" s="213" t="s">
        <v>31528</v>
      </c>
      <c r="E3769" s="213" t="s">
        <v>31529</v>
      </c>
      <c r="K3769" s="213" t="s">
        <v>64170</v>
      </c>
      <c r="L3769" s="213" t="s">
        <v>64216</v>
      </c>
      <c r="M3769" s="213" t="s">
        <v>64262</v>
      </c>
      <c r="N3769" s="213" t="s">
        <v>31530</v>
      </c>
      <c r="O3769" s="213" t="s">
        <v>31531</v>
      </c>
      <c r="P3769" s="213" t="s">
        <v>31532</v>
      </c>
      <c r="Q3769" s="213" t="s">
        <v>31533</v>
      </c>
      <c r="R3769" s="213" t="s">
        <v>31534</v>
      </c>
      <c r="S3769" s="213" t="s">
        <v>31535</v>
      </c>
      <c r="T3769" s="213" t="s">
        <v>31536</v>
      </c>
      <c r="U3769" s="213" t="s">
        <v>64308</v>
      </c>
    </row>
    <row r="3770" spans="1:21" x14ac:dyDescent="0.25">
      <c r="A3770" s="213" t="s">
        <v>327</v>
      </c>
      <c r="D3770" s="213" t="s">
        <v>31537</v>
      </c>
      <c r="E3770" s="213" t="s">
        <v>31538</v>
      </c>
      <c r="K3770" s="213" t="s">
        <v>64171</v>
      </c>
      <c r="L3770" s="213" t="s">
        <v>64217</v>
      </c>
      <c r="M3770" s="213" t="s">
        <v>64263</v>
      </c>
      <c r="N3770" s="213" t="s">
        <v>31539</v>
      </c>
      <c r="O3770" s="213" t="s">
        <v>31540</v>
      </c>
      <c r="P3770" s="213" t="s">
        <v>31541</v>
      </c>
      <c r="Q3770" s="213" t="s">
        <v>31542</v>
      </c>
      <c r="R3770" s="213" t="s">
        <v>31543</v>
      </c>
      <c r="S3770" s="213" t="s">
        <v>31544</v>
      </c>
      <c r="T3770" s="213" t="s">
        <v>31545</v>
      </c>
      <c r="U3770" s="213" t="s">
        <v>64309</v>
      </c>
    </row>
    <row r="3771" spans="1:21" x14ac:dyDescent="0.25">
      <c r="A3771" s="213" t="s">
        <v>327</v>
      </c>
      <c r="D3771" s="213" t="s">
        <v>31546</v>
      </c>
      <c r="E3771" s="213" t="s">
        <v>31547</v>
      </c>
      <c r="K3771" s="213" t="s">
        <v>64172</v>
      </c>
      <c r="L3771" s="213" t="s">
        <v>64218</v>
      </c>
      <c r="M3771" s="213" t="s">
        <v>64264</v>
      </c>
      <c r="N3771" s="213" t="s">
        <v>31548</v>
      </c>
      <c r="O3771" s="213" t="s">
        <v>31549</v>
      </c>
      <c r="P3771" s="213" t="s">
        <v>31550</v>
      </c>
      <c r="Q3771" s="213" t="s">
        <v>31551</v>
      </c>
      <c r="R3771" s="213" t="s">
        <v>31552</v>
      </c>
      <c r="S3771" s="213" t="s">
        <v>31553</v>
      </c>
      <c r="T3771" s="213" t="s">
        <v>31554</v>
      </c>
      <c r="U3771" s="213" t="s">
        <v>64310</v>
      </c>
    </row>
    <row r="3772" spans="1:21" x14ac:dyDescent="0.25">
      <c r="A3772" s="213" t="s">
        <v>327</v>
      </c>
      <c r="D3772" s="213" t="s">
        <v>31555</v>
      </c>
      <c r="E3772" s="213" t="s">
        <v>31556</v>
      </c>
      <c r="K3772" s="213" t="s">
        <v>64173</v>
      </c>
      <c r="L3772" s="213" t="s">
        <v>64219</v>
      </c>
      <c r="M3772" s="213" t="s">
        <v>64265</v>
      </c>
      <c r="N3772" s="213" t="s">
        <v>31557</v>
      </c>
      <c r="O3772" s="213" t="s">
        <v>31558</v>
      </c>
      <c r="P3772" s="213" t="s">
        <v>31559</v>
      </c>
      <c r="Q3772" s="213" t="s">
        <v>31560</v>
      </c>
      <c r="R3772" s="213" t="s">
        <v>31561</v>
      </c>
      <c r="S3772" s="213" t="s">
        <v>31562</v>
      </c>
      <c r="T3772" s="213" t="s">
        <v>31563</v>
      </c>
      <c r="U3772" s="213" t="s">
        <v>64311</v>
      </c>
    </row>
    <row r="3773" spans="1:21" x14ac:dyDescent="0.25">
      <c r="A3773" s="213" t="s">
        <v>327</v>
      </c>
      <c r="D3773" s="213" t="s">
        <v>31564</v>
      </c>
      <c r="E3773" s="213" t="s">
        <v>31565</v>
      </c>
      <c r="K3773" s="213" t="s">
        <v>64174</v>
      </c>
      <c r="L3773" s="213" t="s">
        <v>64220</v>
      </c>
      <c r="M3773" s="213" t="s">
        <v>64266</v>
      </c>
      <c r="N3773" s="213" t="s">
        <v>31566</v>
      </c>
      <c r="O3773" s="213" t="s">
        <v>31567</v>
      </c>
      <c r="P3773" s="213" t="s">
        <v>31568</v>
      </c>
      <c r="Q3773" s="213" t="s">
        <v>31569</v>
      </c>
      <c r="R3773" s="213" t="s">
        <v>31570</v>
      </c>
      <c r="S3773" s="213" t="s">
        <v>31571</v>
      </c>
      <c r="T3773" s="213" t="s">
        <v>31572</v>
      </c>
      <c r="U3773" s="213" t="s">
        <v>64312</v>
      </c>
    </row>
    <row r="3774" spans="1:21" x14ac:dyDescent="0.25">
      <c r="A3774" s="213" t="s">
        <v>327</v>
      </c>
      <c r="D3774" s="213" t="s">
        <v>31573</v>
      </c>
      <c r="E3774" s="213" t="s">
        <v>31574</v>
      </c>
      <c r="K3774" s="213" t="s">
        <v>64175</v>
      </c>
      <c r="L3774" s="213" t="s">
        <v>64221</v>
      </c>
      <c r="M3774" s="213" t="s">
        <v>64267</v>
      </c>
      <c r="N3774" s="213" t="s">
        <v>31575</v>
      </c>
      <c r="O3774" s="213" t="s">
        <v>31576</v>
      </c>
      <c r="P3774" s="213" t="s">
        <v>31577</v>
      </c>
      <c r="Q3774" s="213" t="s">
        <v>31578</v>
      </c>
      <c r="R3774" s="213" t="s">
        <v>31579</v>
      </c>
      <c r="S3774" s="213" t="s">
        <v>31580</v>
      </c>
      <c r="T3774" s="213" t="s">
        <v>31581</v>
      </c>
      <c r="U3774" s="213" t="s">
        <v>64313</v>
      </c>
    </row>
    <row r="3775" spans="1:21" x14ac:dyDescent="0.25">
      <c r="A3775" s="213" t="s">
        <v>327</v>
      </c>
      <c r="D3775" s="213" t="s">
        <v>31582</v>
      </c>
      <c r="E3775" s="213" t="s">
        <v>31583</v>
      </c>
      <c r="K3775" s="213" t="s">
        <v>64176</v>
      </c>
      <c r="L3775" s="213" t="s">
        <v>64222</v>
      </c>
      <c r="M3775" s="213" t="s">
        <v>64268</v>
      </c>
      <c r="N3775" s="213" t="s">
        <v>31584</v>
      </c>
      <c r="O3775" s="213" t="s">
        <v>31585</v>
      </c>
      <c r="P3775" s="213" t="s">
        <v>31586</v>
      </c>
      <c r="Q3775" s="213" t="s">
        <v>31587</v>
      </c>
      <c r="R3775" s="213" t="s">
        <v>31588</v>
      </c>
      <c r="S3775" s="213" t="s">
        <v>31589</v>
      </c>
      <c r="T3775" s="213" t="s">
        <v>31590</v>
      </c>
      <c r="U3775" s="213" t="s">
        <v>64314</v>
      </c>
    </row>
    <row r="3776" spans="1:21" x14ac:dyDescent="0.25">
      <c r="A3776" s="213" t="s">
        <v>327</v>
      </c>
      <c r="D3776" s="213" t="s">
        <v>31591</v>
      </c>
      <c r="E3776" s="213" t="s">
        <v>31592</v>
      </c>
      <c r="K3776" s="213" t="s">
        <v>64177</v>
      </c>
      <c r="L3776" s="213" t="s">
        <v>64223</v>
      </c>
      <c r="M3776" s="213" t="s">
        <v>64269</v>
      </c>
      <c r="N3776" s="213" t="s">
        <v>31593</v>
      </c>
      <c r="O3776" s="213" t="s">
        <v>31594</v>
      </c>
      <c r="P3776" s="213" t="s">
        <v>31595</v>
      </c>
      <c r="Q3776" s="213" t="s">
        <v>31596</v>
      </c>
      <c r="R3776" s="213" t="s">
        <v>31597</v>
      </c>
      <c r="S3776" s="213" t="s">
        <v>31598</v>
      </c>
      <c r="T3776" s="213" t="s">
        <v>31599</v>
      </c>
      <c r="U3776" s="213" t="s">
        <v>64315</v>
      </c>
    </row>
    <row r="3777" spans="1:21" x14ac:dyDescent="0.25">
      <c r="A3777" s="213" t="s">
        <v>327</v>
      </c>
      <c r="D3777" s="213" t="s">
        <v>31600</v>
      </c>
      <c r="E3777" s="213" t="s">
        <v>31601</v>
      </c>
      <c r="K3777" s="213" t="s">
        <v>64178</v>
      </c>
      <c r="L3777" s="213" t="s">
        <v>64224</v>
      </c>
      <c r="M3777" s="213" t="s">
        <v>64270</v>
      </c>
      <c r="N3777" s="213" t="s">
        <v>31602</v>
      </c>
      <c r="O3777" s="213" t="s">
        <v>31603</v>
      </c>
      <c r="P3777" s="213" t="s">
        <v>31604</v>
      </c>
      <c r="Q3777" s="213" t="s">
        <v>31605</v>
      </c>
      <c r="R3777" s="213" t="s">
        <v>31606</v>
      </c>
      <c r="S3777" s="213" t="s">
        <v>31607</v>
      </c>
      <c r="T3777" s="213" t="s">
        <v>31608</v>
      </c>
      <c r="U3777" s="213" t="s">
        <v>64316</v>
      </c>
    </row>
    <row r="3778" spans="1:21" x14ac:dyDescent="0.25">
      <c r="A3778" s="213" t="s">
        <v>327</v>
      </c>
      <c r="D3778" s="213" t="s">
        <v>31609</v>
      </c>
      <c r="E3778" s="213" t="s">
        <v>31610</v>
      </c>
      <c r="K3778" s="213" t="s">
        <v>64179</v>
      </c>
      <c r="L3778" s="213" t="s">
        <v>64225</v>
      </c>
      <c r="M3778" s="213" t="s">
        <v>64271</v>
      </c>
      <c r="N3778" s="213" t="s">
        <v>31611</v>
      </c>
      <c r="O3778" s="213" t="s">
        <v>31612</v>
      </c>
      <c r="P3778" s="213" t="s">
        <v>31613</v>
      </c>
      <c r="Q3778" s="213" t="s">
        <v>31614</v>
      </c>
      <c r="R3778" s="213" t="s">
        <v>31615</v>
      </c>
      <c r="S3778" s="213" t="s">
        <v>31616</v>
      </c>
      <c r="T3778" s="213" t="s">
        <v>31617</v>
      </c>
      <c r="U3778" s="213" t="s">
        <v>64317</v>
      </c>
    </row>
    <row r="3779" spans="1:21" x14ac:dyDescent="0.25">
      <c r="A3779" s="213" t="s">
        <v>327</v>
      </c>
      <c r="D3779" s="213" t="s">
        <v>31618</v>
      </c>
      <c r="E3779" s="213" t="s">
        <v>31619</v>
      </c>
      <c r="K3779" s="213" t="s">
        <v>64180</v>
      </c>
      <c r="L3779" s="213" t="s">
        <v>64226</v>
      </c>
      <c r="M3779" s="213" t="s">
        <v>64272</v>
      </c>
      <c r="N3779" s="213" t="s">
        <v>31620</v>
      </c>
      <c r="O3779" s="213" t="s">
        <v>31621</v>
      </c>
      <c r="P3779" s="213" t="s">
        <v>31622</v>
      </c>
      <c r="Q3779" s="213" t="s">
        <v>31623</v>
      </c>
      <c r="R3779" s="213" t="s">
        <v>31624</v>
      </c>
      <c r="S3779" s="213" t="s">
        <v>31625</v>
      </c>
      <c r="T3779" s="213" t="s">
        <v>31626</v>
      </c>
      <c r="U3779" s="213" t="s">
        <v>64318</v>
      </c>
    </row>
    <row r="3780" spans="1:21" x14ac:dyDescent="0.25">
      <c r="A3780" s="213" t="s">
        <v>327</v>
      </c>
      <c r="D3780" s="213" t="s">
        <v>31627</v>
      </c>
      <c r="E3780" s="213" t="s">
        <v>31628</v>
      </c>
      <c r="K3780" s="213" t="s">
        <v>64181</v>
      </c>
      <c r="L3780" s="213" t="s">
        <v>64227</v>
      </c>
      <c r="M3780" s="213" t="s">
        <v>64273</v>
      </c>
      <c r="N3780" s="213" t="s">
        <v>31629</v>
      </c>
      <c r="O3780" s="213" t="s">
        <v>31630</v>
      </c>
      <c r="P3780" s="213" t="s">
        <v>31631</v>
      </c>
      <c r="Q3780" s="213" t="s">
        <v>31632</v>
      </c>
      <c r="R3780" s="213" t="s">
        <v>31633</v>
      </c>
      <c r="S3780" s="213" t="s">
        <v>31634</v>
      </c>
      <c r="T3780" s="213" t="s">
        <v>31635</v>
      </c>
      <c r="U3780" s="213" t="s">
        <v>64319</v>
      </c>
    </row>
    <row r="3781" spans="1:21" x14ac:dyDescent="0.25">
      <c r="A3781" s="213" t="s">
        <v>327</v>
      </c>
      <c r="D3781" s="213" t="s">
        <v>31636</v>
      </c>
      <c r="E3781" s="213" t="s">
        <v>31637</v>
      </c>
      <c r="K3781" s="213" t="s">
        <v>64182</v>
      </c>
      <c r="L3781" s="213" t="s">
        <v>64228</v>
      </c>
      <c r="M3781" s="213" t="s">
        <v>64274</v>
      </c>
      <c r="N3781" s="213" t="s">
        <v>31638</v>
      </c>
      <c r="O3781" s="213" t="s">
        <v>31639</v>
      </c>
      <c r="P3781" s="213" t="s">
        <v>31640</v>
      </c>
      <c r="Q3781" s="213" t="s">
        <v>31641</v>
      </c>
      <c r="R3781" s="213" t="s">
        <v>31642</v>
      </c>
      <c r="S3781" s="213" t="s">
        <v>31643</v>
      </c>
      <c r="T3781" s="213" t="s">
        <v>31644</v>
      </c>
      <c r="U3781" s="213" t="s">
        <v>64320</v>
      </c>
    </row>
    <row r="3782" spans="1:21" x14ac:dyDescent="0.25">
      <c r="A3782" s="213" t="s">
        <v>327</v>
      </c>
      <c r="D3782" s="213" t="s">
        <v>31645</v>
      </c>
      <c r="E3782" s="213" t="s">
        <v>31646</v>
      </c>
      <c r="K3782" s="213" t="s">
        <v>64183</v>
      </c>
      <c r="L3782" s="213" t="s">
        <v>64229</v>
      </c>
      <c r="M3782" s="213" t="s">
        <v>64275</v>
      </c>
      <c r="N3782" s="213" t="s">
        <v>31647</v>
      </c>
      <c r="O3782" s="213" t="s">
        <v>31648</v>
      </c>
      <c r="P3782" s="213" t="s">
        <v>31649</v>
      </c>
      <c r="Q3782" s="213" t="s">
        <v>31650</v>
      </c>
      <c r="R3782" s="213" t="s">
        <v>31651</v>
      </c>
      <c r="S3782" s="213" t="s">
        <v>31652</v>
      </c>
      <c r="T3782" s="213" t="s">
        <v>31653</v>
      </c>
      <c r="U3782" s="213" t="s">
        <v>64321</v>
      </c>
    </row>
    <row r="3783" spans="1:21" x14ac:dyDescent="0.25">
      <c r="A3783" s="213" t="s">
        <v>327</v>
      </c>
      <c r="D3783" s="213" t="s">
        <v>31654</v>
      </c>
      <c r="E3783" s="213" t="s">
        <v>31655</v>
      </c>
      <c r="K3783" s="213" t="s">
        <v>64184</v>
      </c>
      <c r="L3783" s="213" t="s">
        <v>64230</v>
      </c>
      <c r="M3783" s="213" t="s">
        <v>64276</v>
      </c>
      <c r="N3783" s="213" t="s">
        <v>31656</v>
      </c>
      <c r="O3783" s="213" t="s">
        <v>31657</v>
      </c>
      <c r="P3783" s="213" t="s">
        <v>31658</v>
      </c>
      <c r="Q3783" s="213" t="s">
        <v>31659</v>
      </c>
      <c r="R3783" s="213" t="s">
        <v>31660</v>
      </c>
      <c r="S3783" s="213" t="s">
        <v>31661</v>
      </c>
      <c r="T3783" s="213" t="s">
        <v>31662</v>
      </c>
      <c r="U3783" s="213" t="s">
        <v>64322</v>
      </c>
    </row>
    <row r="3784" spans="1:21" x14ac:dyDescent="0.25">
      <c r="A3784" s="213" t="s">
        <v>327</v>
      </c>
      <c r="D3784" s="213" t="s">
        <v>31663</v>
      </c>
      <c r="E3784" s="213" t="s">
        <v>31664</v>
      </c>
      <c r="K3784" s="213" t="s">
        <v>64185</v>
      </c>
      <c r="L3784" s="213" t="s">
        <v>64231</v>
      </c>
      <c r="M3784" s="213" t="s">
        <v>64277</v>
      </c>
      <c r="N3784" s="213" t="s">
        <v>31665</v>
      </c>
      <c r="O3784" s="213" t="s">
        <v>31666</v>
      </c>
      <c r="P3784" s="213" t="s">
        <v>31667</v>
      </c>
      <c r="Q3784" s="213" t="s">
        <v>31668</v>
      </c>
      <c r="R3784" s="213" t="s">
        <v>31669</v>
      </c>
      <c r="S3784" s="213" t="s">
        <v>31670</v>
      </c>
      <c r="T3784" s="213" t="s">
        <v>31671</v>
      </c>
      <c r="U3784" s="213" t="s">
        <v>64323</v>
      </c>
    </row>
    <row r="3785" spans="1:21" x14ac:dyDescent="0.25">
      <c r="A3785" s="213" t="s">
        <v>327</v>
      </c>
      <c r="D3785" s="213" t="s">
        <v>31672</v>
      </c>
      <c r="E3785" s="213" t="s">
        <v>31673</v>
      </c>
      <c r="K3785" s="213" t="s">
        <v>64186</v>
      </c>
      <c r="L3785" s="213" t="s">
        <v>64232</v>
      </c>
      <c r="M3785" s="213" t="s">
        <v>64278</v>
      </c>
      <c r="N3785" s="213" t="s">
        <v>31674</v>
      </c>
      <c r="O3785" s="213" t="s">
        <v>31675</v>
      </c>
      <c r="P3785" s="213" t="s">
        <v>31676</v>
      </c>
      <c r="Q3785" s="213" t="s">
        <v>31677</v>
      </c>
      <c r="R3785" s="213" t="s">
        <v>31678</v>
      </c>
      <c r="S3785" s="213" t="s">
        <v>31679</v>
      </c>
      <c r="T3785" s="213" t="s">
        <v>31680</v>
      </c>
      <c r="U3785" s="213" t="s">
        <v>64324</v>
      </c>
    </row>
    <row r="3786" spans="1:21" x14ac:dyDescent="0.25">
      <c r="A3786" s="213" t="s">
        <v>327</v>
      </c>
      <c r="D3786" s="213" t="s">
        <v>31681</v>
      </c>
      <c r="E3786" s="213" t="s">
        <v>31682</v>
      </c>
      <c r="K3786" s="213" t="s">
        <v>64187</v>
      </c>
      <c r="L3786" s="213" t="s">
        <v>64233</v>
      </c>
      <c r="M3786" s="213" t="s">
        <v>64279</v>
      </c>
      <c r="N3786" s="213" t="s">
        <v>31683</v>
      </c>
      <c r="O3786" s="213" t="s">
        <v>31684</v>
      </c>
      <c r="P3786" s="213" t="s">
        <v>31685</v>
      </c>
      <c r="Q3786" s="213" t="s">
        <v>31686</v>
      </c>
      <c r="R3786" s="213" t="s">
        <v>31687</v>
      </c>
      <c r="S3786" s="213" t="s">
        <v>31688</v>
      </c>
      <c r="T3786" s="213" t="s">
        <v>31689</v>
      </c>
      <c r="U3786" s="213" t="s">
        <v>64325</v>
      </c>
    </row>
    <row r="3787" spans="1:21" x14ac:dyDescent="0.25">
      <c r="A3787" s="213" t="s">
        <v>327</v>
      </c>
      <c r="D3787" s="213" t="s">
        <v>31690</v>
      </c>
      <c r="E3787" s="213" t="s">
        <v>31691</v>
      </c>
      <c r="K3787" s="213" t="s">
        <v>64188</v>
      </c>
      <c r="L3787" s="213" t="s">
        <v>64234</v>
      </c>
      <c r="M3787" s="213" t="s">
        <v>64280</v>
      </c>
      <c r="N3787" s="213" t="s">
        <v>31692</v>
      </c>
      <c r="O3787" s="213" t="s">
        <v>31693</v>
      </c>
      <c r="P3787" s="213" t="s">
        <v>31694</v>
      </c>
      <c r="Q3787" s="213" t="s">
        <v>31695</v>
      </c>
      <c r="R3787" s="213" t="s">
        <v>31696</v>
      </c>
      <c r="S3787" s="213" t="s">
        <v>31697</v>
      </c>
      <c r="T3787" s="213" t="s">
        <v>31698</v>
      </c>
      <c r="U3787" s="213" t="s">
        <v>64326</v>
      </c>
    </row>
    <row r="3788" spans="1:21" x14ac:dyDescent="0.25">
      <c r="A3788" s="213" t="s">
        <v>327</v>
      </c>
      <c r="D3788" s="213" t="s">
        <v>31699</v>
      </c>
      <c r="E3788" s="213" t="s">
        <v>31700</v>
      </c>
      <c r="K3788" s="213" t="s">
        <v>64189</v>
      </c>
      <c r="L3788" s="213" t="s">
        <v>64235</v>
      </c>
      <c r="M3788" s="213" t="s">
        <v>64281</v>
      </c>
      <c r="N3788" s="213" t="s">
        <v>31701</v>
      </c>
      <c r="O3788" s="213" t="s">
        <v>31702</v>
      </c>
      <c r="P3788" s="213" t="s">
        <v>31703</v>
      </c>
      <c r="Q3788" s="213" t="s">
        <v>31704</v>
      </c>
      <c r="R3788" s="213" t="s">
        <v>31705</v>
      </c>
      <c r="S3788" s="213" t="s">
        <v>31706</v>
      </c>
      <c r="T3788" s="213" t="s">
        <v>31707</v>
      </c>
      <c r="U3788" s="213" t="s">
        <v>64327</v>
      </c>
    </row>
    <row r="3789" spans="1:21" x14ac:dyDescent="0.25">
      <c r="A3789" s="213" t="s">
        <v>327</v>
      </c>
      <c r="D3789" s="213" t="s">
        <v>31708</v>
      </c>
      <c r="E3789" s="213" t="s">
        <v>31709</v>
      </c>
      <c r="K3789" s="213" t="s">
        <v>64190</v>
      </c>
      <c r="L3789" s="213" t="s">
        <v>64236</v>
      </c>
      <c r="M3789" s="213" t="s">
        <v>64282</v>
      </c>
      <c r="N3789" s="213" t="s">
        <v>31710</v>
      </c>
      <c r="O3789" s="213" t="s">
        <v>31711</v>
      </c>
      <c r="P3789" s="213" t="s">
        <v>31712</v>
      </c>
      <c r="Q3789" s="213" t="s">
        <v>31713</v>
      </c>
      <c r="R3789" s="213" t="s">
        <v>31714</v>
      </c>
      <c r="S3789" s="213" t="s">
        <v>31715</v>
      </c>
      <c r="T3789" s="213" t="s">
        <v>31716</v>
      </c>
      <c r="U3789" s="213" t="s">
        <v>64328</v>
      </c>
    </row>
    <row r="3790" spans="1:21" x14ac:dyDescent="0.25">
      <c r="A3790" s="213" t="s">
        <v>327</v>
      </c>
      <c r="D3790" s="213" t="s">
        <v>31717</v>
      </c>
      <c r="E3790" s="213" t="s">
        <v>31718</v>
      </c>
      <c r="K3790" s="213" t="s">
        <v>64191</v>
      </c>
      <c r="L3790" s="213" t="s">
        <v>64237</v>
      </c>
      <c r="M3790" s="213" t="s">
        <v>64283</v>
      </c>
      <c r="N3790" s="213" t="s">
        <v>31719</v>
      </c>
      <c r="O3790" s="213" t="s">
        <v>31720</v>
      </c>
      <c r="P3790" s="213" t="s">
        <v>31721</v>
      </c>
      <c r="Q3790" s="213" t="s">
        <v>31722</v>
      </c>
      <c r="R3790" s="213" t="s">
        <v>31723</v>
      </c>
      <c r="S3790" s="213" t="s">
        <v>31724</v>
      </c>
      <c r="T3790" s="213" t="s">
        <v>31725</v>
      </c>
      <c r="U3790" s="213" t="s">
        <v>64329</v>
      </c>
    </row>
    <row r="3791" spans="1:21" x14ac:dyDescent="0.25">
      <c r="A3791" s="213" t="s">
        <v>327</v>
      </c>
      <c r="D3791" s="213" t="s">
        <v>31726</v>
      </c>
      <c r="E3791" s="213" t="s">
        <v>31727</v>
      </c>
      <c r="K3791" s="213" t="s">
        <v>64192</v>
      </c>
      <c r="L3791" s="213" t="s">
        <v>64238</v>
      </c>
      <c r="M3791" s="213" t="s">
        <v>64284</v>
      </c>
      <c r="N3791" s="213" t="s">
        <v>31728</v>
      </c>
      <c r="O3791" s="213" t="s">
        <v>31729</v>
      </c>
      <c r="P3791" s="213" t="s">
        <v>31730</v>
      </c>
      <c r="Q3791" s="213" t="s">
        <v>31731</v>
      </c>
      <c r="R3791" s="213" t="s">
        <v>31732</v>
      </c>
      <c r="S3791" s="213" t="s">
        <v>31733</v>
      </c>
      <c r="T3791" s="213" t="s">
        <v>31734</v>
      </c>
      <c r="U3791" s="213" t="s">
        <v>64330</v>
      </c>
    </row>
    <row r="3792" spans="1:21" x14ac:dyDescent="0.25">
      <c r="A3792" s="213" t="s">
        <v>327</v>
      </c>
      <c r="D3792" s="213" t="s">
        <v>31735</v>
      </c>
      <c r="E3792" s="213" t="s">
        <v>31736</v>
      </c>
      <c r="K3792" s="213" t="s">
        <v>64193</v>
      </c>
      <c r="L3792" s="213" t="s">
        <v>64239</v>
      </c>
      <c r="M3792" s="213" t="s">
        <v>64285</v>
      </c>
      <c r="N3792" s="213" t="s">
        <v>31737</v>
      </c>
      <c r="O3792" s="213" t="s">
        <v>31738</v>
      </c>
      <c r="P3792" s="213" t="s">
        <v>31739</v>
      </c>
      <c r="Q3792" s="213" t="s">
        <v>31740</v>
      </c>
      <c r="R3792" s="213" t="s">
        <v>31741</v>
      </c>
      <c r="S3792" s="213" t="s">
        <v>31742</v>
      </c>
      <c r="T3792" s="213" t="s">
        <v>31743</v>
      </c>
      <c r="U3792" s="213" t="s">
        <v>64331</v>
      </c>
    </row>
    <row r="3793" spans="1:21" x14ac:dyDescent="0.25">
      <c r="A3793" s="213" t="s">
        <v>327</v>
      </c>
      <c r="D3793" s="213" t="s">
        <v>31744</v>
      </c>
      <c r="E3793" s="213" t="s">
        <v>31745</v>
      </c>
      <c r="K3793" s="213" t="s">
        <v>64194</v>
      </c>
      <c r="L3793" s="213" t="s">
        <v>64240</v>
      </c>
      <c r="M3793" s="213" t="s">
        <v>64286</v>
      </c>
      <c r="N3793" s="213" t="s">
        <v>31746</v>
      </c>
      <c r="O3793" s="213" t="s">
        <v>31747</v>
      </c>
      <c r="P3793" s="213" t="s">
        <v>31748</v>
      </c>
      <c r="Q3793" s="213" t="s">
        <v>31749</v>
      </c>
      <c r="R3793" s="213" t="s">
        <v>31750</v>
      </c>
      <c r="S3793" s="213" t="s">
        <v>31751</v>
      </c>
      <c r="T3793" s="213" t="s">
        <v>31752</v>
      </c>
      <c r="U3793" s="213" t="s">
        <v>64332</v>
      </c>
    </row>
    <row r="3794" spans="1:21" x14ac:dyDescent="0.25">
      <c r="A3794" s="213" t="s">
        <v>327</v>
      </c>
      <c r="D3794" s="213" t="s">
        <v>31753</v>
      </c>
      <c r="E3794" s="213" t="s">
        <v>31754</v>
      </c>
      <c r="K3794" s="213" t="s">
        <v>64195</v>
      </c>
      <c r="L3794" s="213" t="s">
        <v>64241</v>
      </c>
      <c r="M3794" s="213" t="s">
        <v>64287</v>
      </c>
      <c r="N3794" s="213" t="s">
        <v>31755</v>
      </c>
      <c r="O3794" s="213" t="s">
        <v>31756</v>
      </c>
      <c r="P3794" s="213" t="s">
        <v>31757</v>
      </c>
      <c r="Q3794" s="213" t="s">
        <v>31758</v>
      </c>
      <c r="R3794" s="213" t="s">
        <v>31759</v>
      </c>
      <c r="S3794" s="213" t="s">
        <v>31760</v>
      </c>
      <c r="T3794" s="213" t="s">
        <v>31761</v>
      </c>
      <c r="U3794" s="213" t="s">
        <v>64333</v>
      </c>
    </row>
    <row r="3795" spans="1:21" x14ac:dyDescent="0.25">
      <c r="A3795" s="213" t="s">
        <v>327</v>
      </c>
      <c r="D3795" s="213" t="s">
        <v>31762</v>
      </c>
      <c r="E3795" s="213" t="s">
        <v>31763</v>
      </c>
      <c r="K3795" s="213" t="s">
        <v>64196</v>
      </c>
      <c r="L3795" s="213" t="s">
        <v>64242</v>
      </c>
      <c r="M3795" s="213" t="s">
        <v>64288</v>
      </c>
      <c r="N3795" s="213" t="s">
        <v>31764</v>
      </c>
      <c r="O3795" s="213" t="s">
        <v>31765</v>
      </c>
      <c r="P3795" s="213" t="s">
        <v>31766</v>
      </c>
      <c r="Q3795" s="213" t="s">
        <v>31767</v>
      </c>
      <c r="R3795" s="213" t="s">
        <v>31768</v>
      </c>
      <c r="S3795" s="213" t="s">
        <v>31769</v>
      </c>
      <c r="T3795" s="213" t="s">
        <v>31770</v>
      </c>
      <c r="U3795" s="213" t="s">
        <v>64334</v>
      </c>
    </row>
    <row r="3796" spans="1:21" x14ac:dyDescent="0.25">
      <c r="A3796" s="213" t="s">
        <v>327</v>
      </c>
      <c r="D3796" s="213" t="s">
        <v>31771</v>
      </c>
      <c r="E3796" s="213" t="s">
        <v>31772</v>
      </c>
      <c r="K3796" s="213" t="s">
        <v>64197</v>
      </c>
      <c r="L3796" s="213" t="s">
        <v>64243</v>
      </c>
      <c r="M3796" s="213" t="s">
        <v>64289</v>
      </c>
      <c r="N3796" s="213" t="s">
        <v>31773</v>
      </c>
      <c r="O3796" s="213" t="s">
        <v>31774</v>
      </c>
      <c r="P3796" s="213" t="s">
        <v>31775</v>
      </c>
      <c r="Q3796" s="213" t="s">
        <v>31776</v>
      </c>
      <c r="R3796" s="213" t="s">
        <v>31777</v>
      </c>
      <c r="S3796" s="213" t="s">
        <v>31778</v>
      </c>
      <c r="T3796" s="213" t="s">
        <v>31779</v>
      </c>
      <c r="U3796" s="213" t="s">
        <v>64335</v>
      </c>
    </row>
    <row r="3797" spans="1:21" x14ac:dyDescent="0.25">
      <c r="A3797" s="213" t="s">
        <v>327</v>
      </c>
      <c r="D3797" s="213" t="s">
        <v>31780</v>
      </c>
      <c r="E3797" s="213" t="s">
        <v>31781</v>
      </c>
      <c r="K3797" s="213" t="s">
        <v>64198</v>
      </c>
      <c r="L3797" s="213" t="s">
        <v>64244</v>
      </c>
      <c r="M3797" s="213" t="s">
        <v>64290</v>
      </c>
      <c r="N3797" s="213" t="s">
        <v>31782</v>
      </c>
      <c r="O3797" s="213" t="s">
        <v>31783</v>
      </c>
      <c r="P3797" s="213" t="s">
        <v>31784</v>
      </c>
      <c r="Q3797" s="213" t="s">
        <v>31785</v>
      </c>
      <c r="R3797" s="213" t="s">
        <v>31786</v>
      </c>
      <c r="S3797" s="213" t="s">
        <v>31787</v>
      </c>
      <c r="T3797" s="213" t="s">
        <v>31788</v>
      </c>
      <c r="U3797" s="213" t="s">
        <v>64336</v>
      </c>
    </row>
    <row r="3798" spans="1:21" x14ac:dyDescent="0.25">
      <c r="A3798" s="213" t="s">
        <v>327</v>
      </c>
      <c r="D3798" s="213" t="s">
        <v>31789</v>
      </c>
      <c r="E3798" s="213" t="s">
        <v>31790</v>
      </c>
      <c r="K3798" s="213" t="s">
        <v>64199</v>
      </c>
      <c r="L3798" s="213" t="s">
        <v>64245</v>
      </c>
      <c r="M3798" s="213" t="s">
        <v>64291</v>
      </c>
      <c r="N3798" s="213" t="s">
        <v>31791</v>
      </c>
      <c r="O3798" s="213" t="s">
        <v>31792</v>
      </c>
      <c r="P3798" s="213" t="s">
        <v>31793</v>
      </c>
      <c r="Q3798" s="213" t="s">
        <v>31794</v>
      </c>
      <c r="R3798" s="213" t="s">
        <v>31795</v>
      </c>
      <c r="S3798" s="213" t="s">
        <v>31796</v>
      </c>
      <c r="T3798" s="213" t="s">
        <v>31797</v>
      </c>
      <c r="U3798" s="213" t="s">
        <v>64337</v>
      </c>
    </row>
    <row r="3799" spans="1:21" x14ac:dyDescent="0.25">
      <c r="A3799" s="213" t="s">
        <v>327</v>
      </c>
      <c r="D3799" s="213" t="s">
        <v>31798</v>
      </c>
      <c r="E3799" s="213" t="s">
        <v>31799</v>
      </c>
      <c r="K3799" s="213" t="s">
        <v>64200</v>
      </c>
      <c r="L3799" s="213" t="s">
        <v>64246</v>
      </c>
      <c r="M3799" s="213" t="s">
        <v>64292</v>
      </c>
      <c r="N3799" s="213" t="s">
        <v>31800</v>
      </c>
      <c r="O3799" s="213" t="s">
        <v>31801</v>
      </c>
      <c r="P3799" s="213" t="s">
        <v>31802</v>
      </c>
      <c r="Q3799" s="213" t="s">
        <v>31803</v>
      </c>
      <c r="R3799" s="213" t="s">
        <v>31804</v>
      </c>
      <c r="S3799" s="213" t="s">
        <v>31805</v>
      </c>
      <c r="T3799" s="213" t="s">
        <v>31806</v>
      </c>
      <c r="U3799" s="213" t="s">
        <v>64338</v>
      </c>
    </row>
    <row r="3800" spans="1:21" x14ac:dyDescent="0.25">
      <c r="A3800" s="213" t="s">
        <v>327</v>
      </c>
      <c r="D3800" s="213" t="s">
        <v>31807</v>
      </c>
      <c r="E3800" s="213" t="s">
        <v>31808</v>
      </c>
      <c r="K3800" s="213" t="s">
        <v>64201</v>
      </c>
      <c r="L3800" s="213" t="s">
        <v>64247</v>
      </c>
      <c r="M3800" s="213" t="s">
        <v>64293</v>
      </c>
      <c r="N3800" s="213" t="s">
        <v>31809</v>
      </c>
      <c r="O3800" s="213" t="s">
        <v>31810</v>
      </c>
      <c r="P3800" s="213" t="s">
        <v>31811</v>
      </c>
      <c r="Q3800" s="213" t="s">
        <v>31812</v>
      </c>
      <c r="R3800" s="213" t="s">
        <v>31813</v>
      </c>
      <c r="S3800" s="213" t="s">
        <v>31814</v>
      </c>
      <c r="T3800" s="213" t="s">
        <v>31815</v>
      </c>
      <c r="U3800" s="213" t="s">
        <v>64339</v>
      </c>
    </row>
    <row r="3801" spans="1:21" x14ac:dyDescent="0.25">
      <c r="A3801" s="213" t="s">
        <v>327</v>
      </c>
      <c r="D3801" s="213" t="s">
        <v>31816</v>
      </c>
      <c r="E3801" s="213" t="s">
        <v>31817</v>
      </c>
      <c r="K3801" s="213" t="s">
        <v>64202</v>
      </c>
      <c r="L3801" s="213" t="s">
        <v>64248</v>
      </c>
      <c r="M3801" s="213" t="s">
        <v>64294</v>
      </c>
      <c r="N3801" s="213" t="s">
        <v>31818</v>
      </c>
      <c r="O3801" s="213" t="s">
        <v>31819</v>
      </c>
      <c r="P3801" s="213" t="s">
        <v>31820</v>
      </c>
      <c r="Q3801" s="213" t="s">
        <v>31821</v>
      </c>
      <c r="R3801" s="213" t="s">
        <v>31822</v>
      </c>
      <c r="S3801" s="213" t="s">
        <v>31823</v>
      </c>
      <c r="T3801" s="213" t="s">
        <v>31824</v>
      </c>
      <c r="U3801" s="213" t="s">
        <v>64340</v>
      </c>
    </row>
    <row r="3802" spans="1:21" x14ac:dyDescent="0.25">
      <c r="A3802" s="213" t="s">
        <v>327</v>
      </c>
      <c r="D3802" s="213" t="s">
        <v>31825</v>
      </c>
      <c r="E3802" s="213" t="s">
        <v>31826</v>
      </c>
      <c r="K3802" s="213" t="s">
        <v>64203</v>
      </c>
      <c r="L3802" s="213" t="s">
        <v>64249</v>
      </c>
      <c r="M3802" s="213" t="s">
        <v>64295</v>
      </c>
      <c r="N3802" s="213" t="s">
        <v>31827</v>
      </c>
      <c r="O3802" s="213" t="s">
        <v>31828</v>
      </c>
      <c r="P3802" s="213" t="s">
        <v>31829</v>
      </c>
      <c r="Q3802" s="213" t="s">
        <v>31830</v>
      </c>
      <c r="R3802" s="213" t="s">
        <v>31831</v>
      </c>
      <c r="S3802" s="213" t="s">
        <v>31832</v>
      </c>
      <c r="T3802" s="213" t="s">
        <v>31833</v>
      </c>
      <c r="U3802" s="213" t="s">
        <v>64341</v>
      </c>
    </row>
    <row r="3803" spans="1:21" x14ac:dyDescent="0.25">
      <c r="A3803" s="213" t="s">
        <v>327</v>
      </c>
    </row>
    <row r="3804" spans="1:21" x14ac:dyDescent="0.25">
      <c r="A3804" s="213" t="s">
        <v>327</v>
      </c>
    </row>
    <row r="3805" spans="1:21" x14ac:dyDescent="0.25">
      <c r="A3805" s="213" t="s">
        <v>327</v>
      </c>
      <c r="C3805" s="213" t="s">
        <v>31834</v>
      </c>
      <c r="E3805" s="213" t="s">
        <v>31835</v>
      </c>
      <c r="H3805" s="213" t="s">
        <v>31836</v>
      </c>
      <c r="I3805" s="213" t="s">
        <v>31837</v>
      </c>
      <c r="J3805" s="213" t="s">
        <v>31838</v>
      </c>
      <c r="L3805" s="213" t="s">
        <v>31839</v>
      </c>
      <c r="O3805" s="213" t="s">
        <v>31840</v>
      </c>
      <c r="P3805" s="213" t="s">
        <v>31841</v>
      </c>
      <c r="Q3805" s="213" t="s">
        <v>31842</v>
      </c>
      <c r="R3805" s="213" t="s">
        <v>31843</v>
      </c>
      <c r="S3805" s="213" t="s">
        <v>31844</v>
      </c>
      <c r="T3805" s="213" t="s">
        <v>31845</v>
      </c>
    </row>
    <row r="3806" spans="1:21" x14ac:dyDescent="0.25">
      <c r="A3806" s="213" t="s">
        <v>327</v>
      </c>
      <c r="C3806" s="213" t="s">
        <v>31846</v>
      </c>
      <c r="E3806" s="213" t="s">
        <v>31847</v>
      </c>
      <c r="I3806" s="213" t="s">
        <v>31848</v>
      </c>
    </row>
    <row r="3807" spans="1:21" x14ac:dyDescent="0.25">
      <c r="A3807" s="213" t="s">
        <v>327</v>
      </c>
      <c r="C3807" s="213" t="s">
        <v>31849</v>
      </c>
      <c r="E3807" s="213" t="s">
        <v>31850</v>
      </c>
      <c r="I3807" s="213" t="s">
        <v>31851</v>
      </c>
    </row>
    <row r="3808" spans="1:21" x14ac:dyDescent="0.25">
      <c r="A3808" s="213" t="s">
        <v>328</v>
      </c>
    </row>
    <row r="3809" spans="1:21" x14ac:dyDescent="0.25">
      <c r="A3809" s="213" t="s">
        <v>327</v>
      </c>
      <c r="D3809" s="213" t="s">
        <v>31852</v>
      </c>
      <c r="E3809" s="213" t="s">
        <v>31853</v>
      </c>
      <c r="K3809" s="213" t="s">
        <v>64054</v>
      </c>
      <c r="L3809" s="213" t="s">
        <v>64080</v>
      </c>
      <c r="M3809" s="213" t="s">
        <v>64106</v>
      </c>
      <c r="N3809" s="213" t="s">
        <v>31854</v>
      </c>
      <c r="O3809" s="213" t="s">
        <v>31855</v>
      </c>
      <c r="P3809" s="213" t="s">
        <v>31856</v>
      </c>
      <c r="Q3809" s="213" t="s">
        <v>31857</v>
      </c>
      <c r="R3809" s="213" t="s">
        <v>31858</v>
      </c>
      <c r="S3809" s="213" t="s">
        <v>31859</v>
      </c>
      <c r="T3809" s="213" t="s">
        <v>31860</v>
      </c>
      <c r="U3809" s="213" t="s">
        <v>64132</v>
      </c>
    </row>
    <row r="3810" spans="1:21" x14ac:dyDescent="0.25">
      <c r="A3810" s="213" t="s">
        <v>327</v>
      </c>
      <c r="D3810" s="213" t="s">
        <v>31861</v>
      </c>
      <c r="E3810" s="213" t="s">
        <v>31862</v>
      </c>
      <c r="K3810" s="213" t="s">
        <v>64055</v>
      </c>
      <c r="L3810" s="213" t="s">
        <v>64081</v>
      </c>
      <c r="M3810" s="213" t="s">
        <v>64107</v>
      </c>
      <c r="N3810" s="213" t="s">
        <v>31863</v>
      </c>
      <c r="O3810" s="213" t="s">
        <v>31864</v>
      </c>
      <c r="P3810" s="213" t="s">
        <v>31865</v>
      </c>
      <c r="Q3810" s="213" t="s">
        <v>31866</v>
      </c>
      <c r="R3810" s="213" t="s">
        <v>31867</v>
      </c>
      <c r="S3810" s="213" t="s">
        <v>31868</v>
      </c>
      <c r="T3810" s="213" t="s">
        <v>31869</v>
      </c>
      <c r="U3810" s="213" t="s">
        <v>64133</v>
      </c>
    </row>
    <row r="3811" spans="1:21" x14ac:dyDescent="0.25">
      <c r="A3811" s="213" t="s">
        <v>327</v>
      </c>
      <c r="D3811" s="213" t="s">
        <v>31870</v>
      </c>
      <c r="E3811" s="213" t="s">
        <v>31871</v>
      </c>
      <c r="K3811" s="213" t="s">
        <v>64056</v>
      </c>
      <c r="L3811" s="213" t="s">
        <v>64082</v>
      </c>
      <c r="M3811" s="213" t="s">
        <v>64108</v>
      </c>
      <c r="N3811" s="213" t="s">
        <v>31872</v>
      </c>
      <c r="O3811" s="213" t="s">
        <v>31873</v>
      </c>
      <c r="P3811" s="213" t="s">
        <v>31874</v>
      </c>
      <c r="Q3811" s="213" t="s">
        <v>31875</v>
      </c>
      <c r="R3811" s="213" t="s">
        <v>31876</v>
      </c>
      <c r="S3811" s="213" t="s">
        <v>31877</v>
      </c>
      <c r="T3811" s="213" t="s">
        <v>31878</v>
      </c>
      <c r="U3811" s="213" t="s">
        <v>64134</v>
      </c>
    </row>
    <row r="3812" spans="1:21" x14ac:dyDescent="0.25">
      <c r="A3812" s="213" t="s">
        <v>327</v>
      </c>
      <c r="D3812" s="213" t="s">
        <v>31879</v>
      </c>
      <c r="E3812" s="213" t="s">
        <v>31880</v>
      </c>
      <c r="K3812" s="213" t="s">
        <v>64057</v>
      </c>
      <c r="L3812" s="213" t="s">
        <v>64083</v>
      </c>
      <c r="M3812" s="213" t="s">
        <v>64109</v>
      </c>
      <c r="N3812" s="213" t="s">
        <v>31881</v>
      </c>
      <c r="O3812" s="213" t="s">
        <v>31882</v>
      </c>
      <c r="P3812" s="213" t="s">
        <v>31883</v>
      </c>
      <c r="Q3812" s="213" t="s">
        <v>31884</v>
      </c>
      <c r="R3812" s="213" t="s">
        <v>31885</v>
      </c>
      <c r="S3812" s="213" t="s">
        <v>31886</v>
      </c>
      <c r="T3812" s="213" t="s">
        <v>31887</v>
      </c>
      <c r="U3812" s="213" t="s">
        <v>64135</v>
      </c>
    </row>
    <row r="3813" spans="1:21" x14ac:dyDescent="0.25">
      <c r="A3813" s="213" t="s">
        <v>327</v>
      </c>
      <c r="D3813" s="213" t="s">
        <v>31888</v>
      </c>
      <c r="E3813" s="213" t="s">
        <v>31889</v>
      </c>
      <c r="K3813" s="213" t="s">
        <v>64058</v>
      </c>
      <c r="L3813" s="213" t="s">
        <v>64084</v>
      </c>
      <c r="M3813" s="213" t="s">
        <v>64110</v>
      </c>
      <c r="N3813" s="213" t="s">
        <v>31890</v>
      </c>
      <c r="O3813" s="213" t="s">
        <v>31891</v>
      </c>
      <c r="P3813" s="213" t="s">
        <v>31892</v>
      </c>
      <c r="Q3813" s="213" t="s">
        <v>31893</v>
      </c>
      <c r="R3813" s="213" t="s">
        <v>31894</v>
      </c>
      <c r="S3813" s="213" t="s">
        <v>31895</v>
      </c>
      <c r="T3813" s="213" t="s">
        <v>31896</v>
      </c>
      <c r="U3813" s="213" t="s">
        <v>64136</v>
      </c>
    </row>
    <row r="3814" spans="1:21" x14ac:dyDescent="0.25">
      <c r="A3814" s="213" t="s">
        <v>327</v>
      </c>
      <c r="D3814" s="213" t="s">
        <v>31897</v>
      </c>
      <c r="E3814" s="213" t="s">
        <v>31898</v>
      </c>
      <c r="K3814" s="213" t="s">
        <v>64059</v>
      </c>
      <c r="L3814" s="213" t="s">
        <v>64085</v>
      </c>
      <c r="M3814" s="213" t="s">
        <v>64111</v>
      </c>
      <c r="N3814" s="213" t="s">
        <v>31899</v>
      </c>
      <c r="O3814" s="213" t="s">
        <v>31900</v>
      </c>
      <c r="P3814" s="213" t="s">
        <v>31901</v>
      </c>
      <c r="Q3814" s="213" t="s">
        <v>31902</v>
      </c>
      <c r="R3814" s="213" t="s">
        <v>31903</v>
      </c>
      <c r="S3814" s="213" t="s">
        <v>31904</v>
      </c>
      <c r="T3814" s="213" t="s">
        <v>31905</v>
      </c>
      <c r="U3814" s="213" t="s">
        <v>64137</v>
      </c>
    </row>
    <row r="3815" spans="1:21" x14ac:dyDescent="0.25">
      <c r="A3815" s="213" t="s">
        <v>327</v>
      </c>
      <c r="D3815" s="213" t="s">
        <v>31906</v>
      </c>
      <c r="E3815" s="213" t="s">
        <v>31907</v>
      </c>
      <c r="K3815" s="213" t="s">
        <v>64060</v>
      </c>
      <c r="L3815" s="213" t="s">
        <v>64086</v>
      </c>
      <c r="M3815" s="213" t="s">
        <v>64112</v>
      </c>
      <c r="N3815" s="213" t="s">
        <v>31908</v>
      </c>
      <c r="O3815" s="213" t="s">
        <v>31909</v>
      </c>
      <c r="P3815" s="213" t="s">
        <v>31910</v>
      </c>
      <c r="Q3815" s="213" t="s">
        <v>31911</v>
      </c>
      <c r="R3815" s="213" t="s">
        <v>31912</v>
      </c>
      <c r="S3815" s="213" t="s">
        <v>31913</v>
      </c>
      <c r="T3815" s="213" t="s">
        <v>31914</v>
      </c>
      <c r="U3815" s="213" t="s">
        <v>64138</v>
      </c>
    </row>
    <row r="3816" spans="1:21" x14ac:dyDescent="0.25">
      <c r="A3816" s="213" t="s">
        <v>327</v>
      </c>
      <c r="D3816" s="213" t="s">
        <v>31915</v>
      </c>
      <c r="E3816" s="213" t="s">
        <v>31916</v>
      </c>
      <c r="K3816" s="213" t="s">
        <v>64061</v>
      </c>
      <c r="L3816" s="213" t="s">
        <v>64087</v>
      </c>
      <c r="M3816" s="213" t="s">
        <v>64113</v>
      </c>
      <c r="N3816" s="213" t="s">
        <v>31917</v>
      </c>
      <c r="O3816" s="213" t="s">
        <v>31918</v>
      </c>
      <c r="P3816" s="213" t="s">
        <v>31919</v>
      </c>
      <c r="Q3816" s="213" t="s">
        <v>31920</v>
      </c>
      <c r="R3816" s="213" t="s">
        <v>31921</v>
      </c>
      <c r="S3816" s="213" t="s">
        <v>31922</v>
      </c>
      <c r="T3816" s="213" t="s">
        <v>31923</v>
      </c>
      <c r="U3816" s="213" t="s">
        <v>64139</v>
      </c>
    </row>
    <row r="3817" spans="1:21" x14ac:dyDescent="0.25">
      <c r="A3817" s="213" t="s">
        <v>327</v>
      </c>
      <c r="D3817" s="213" t="s">
        <v>31924</v>
      </c>
      <c r="E3817" s="213" t="s">
        <v>31925</v>
      </c>
      <c r="K3817" s="213" t="s">
        <v>64062</v>
      </c>
      <c r="L3817" s="213" t="s">
        <v>64088</v>
      </c>
      <c r="M3817" s="213" t="s">
        <v>64114</v>
      </c>
      <c r="N3817" s="213" t="s">
        <v>31926</v>
      </c>
      <c r="O3817" s="213" t="s">
        <v>31927</v>
      </c>
      <c r="P3817" s="213" t="s">
        <v>31928</v>
      </c>
      <c r="Q3817" s="213" t="s">
        <v>31929</v>
      </c>
      <c r="R3817" s="213" t="s">
        <v>31930</v>
      </c>
      <c r="S3817" s="213" t="s">
        <v>31931</v>
      </c>
      <c r="T3817" s="213" t="s">
        <v>31932</v>
      </c>
      <c r="U3817" s="213" t="s">
        <v>64140</v>
      </c>
    </row>
    <row r="3818" spans="1:21" x14ac:dyDescent="0.25">
      <c r="A3818" s="213" t="s">
        <v>327</v>
      </c>
      <c r="D3818" s="213" t="s">
        <v>31933</v>
      </c>
      <c r="E3818" s="213" t="s">
        <v>31934</v>
      </c>
      <c r="K3818" s="213" t="s">
        <v>64063</v>
      </c>
      <c r="L3818" s="213" t="s">
        <v>64089</v>
      </c>
      <c r="M3818" s="213" t="s">
        <v>64115</v>
      </c>
      <c r="N3818" s="213" t="s">
        <v>31935</v>
      </c>
      <c r="O3818" s="213" t="s">
        <v>31936</v>
      </c>
      <c r="P3818" s="213" t="s">
        <v>31937</v>
      </c>
      <c r="Q3818" s="213" t="s">
        <v>31938</v>
      </c>
      <c r="R3818" s="213" t="s">
        <v>31939</v>
      </c>
      <c r="S3818" s="213" t="s">
        <v>31940</v>
      </c>
      <c r="T3818" s="213" t="s">
        <v>31941</v>
      </c>
      <c r="U3818" s="213" t="s">
        <v>64141</v>
      </c>
    </row>
    <row r="3819" spans="1:21" x14ac:dyDescent="0.25">
      <c r="A3819" s="213" t="s">
        <v>327</v>
      </c>
      <c r="D3819" s="213" t="s">
        <v>31942</v>
      </c>
      <c r="E3819" s="213" t="s">
        <v>31943</v>
      </c>
      <c r="K3819" s="213" t="s">
        <v>64064</v>
      </c>
      <c r="L3819" s="213" t="s">
        <v>64090</v>
      </c>
      <c r="M3819" s="213" t="s">
        <v>64116</v>
      </c>
      <c r="N3819" s="213" t="s">
        <v>31944</v>
      </c>
      <c r="O3819" s="213" t="s">
        <v>31945</v>
      </c>
      <c r="P3819" s="213" t="s">
        <v>31946</v>
      </c>
      <c r="Q3819" s="213" t="s">
        <v>31947</v>
      </c>
      <c r="R3819" s="213" t="s">
        <v>31948</v>
      </c>
      <c r="S3819" s="213" t="s">
        <v>31949</v>
      </c>
      <c r="T3819" s="213" t="s">
        <v>31950</v>
      </c>
      <c r="U3819" s="213" t="s">
        <v>64142</v>
      </c>
    </row>
    <row r="3820" spans="1:21" x14ac:dyDescent="0.25">
      <c r="A3820" s="213" t="s">
        <v>327</v>
      </c>
      <c r="D3820" s="213" t="s">
        <v>31951</v>
      </c>
      <c r="E3820" s="213" t="s">
        <v>31952</v>
      </c>
      <c r="K3820" s="213" t="s">
        <v>64065</v>
      </c>
      <c r="L3820" s="213" t="s">
        <v>64091</v>
      </c>
      <c r="M3820" s="213" t="s">
        <v>64117</v>
      </c>
      <c r="N3820" s="213" t="s">
        <v>31953</v>
      </c>
      <c r="O3820" s="213" t="s">
        <v>31954</v>
      </c>
      <c r="P3820" s="213" t="s">
        <v>31955</v>
      </c>
      <c r="Q3820" s="213" t="s">
        <v>31956</v>
      </c>
      <c r="R3820" s="213" t="s">
        <v>31957</v>
      </c>
      <c r="S3820" s="213" t="s">
        <v>31958</v>
      </c>
      <c r="T3820" s="213" t="s">
        <v>31959</v>
      </c>
      <c r="U3820" s="213" t="s">
        <v>64143</v>
      </c>
    </row>
    <row r="3821" spans="1:21" x14ac:dyDescent="0.25">
      <c r="A3821" s="213" t="s">
        <v>327</v>
      </c>
      <c r="D3821" s="213" t="s">
        <v>31960</v>
      </c>
      <c r="E3821" s="213" t="s">
        <v>31961</v>
      </c>
      <c r="K3821" s="213" t="s">
        <v>64066</v>
      </c>
      <c r="L3821" s="213" t="s">
        <v>64092</v>
      </c>
      <c r="M3821" s="213" t="s">
        <v>64118</v>
      </c>
      <c r="N3821" s="213" t="s">
        <v>31962</v>
      </c>
      <c r="O3821" s="213" t="s">
        <v>31963</v>
      </c>
      <c r="P3821" s="213" t="s">
        <v>31964</v>
      </c>
      <c r="Q3821" s="213" t="s">
        <v>31965</v>
      </c>
      <c r="R3821" s="213" t="s">
        <v>31966</v>
      </c>
      <c r="S3821" s="213" t="s">
        <v>31967</v>
      </c>
      <c r="T3821" s="213" t="s">
        <v>31968</v>
      </c>
      <c r="U3821" s="213" t="s">
        <v>64144</v>
      </c>
    </row>
    <row r="3822" spans="1:21" x14ac:dyDescent="0.25">
      <c r="A3822" s="213" t="s">
        <v>327</v>
      </c>
      <c r="D3822" s="213" t="s">
        <v>31969</v>
      </c>
      <c r="E3822" s="213" t="s">
        <v>31970</v>
      </c>
      <c r="K3822" s="213" t="s">
        <v>64067</v>
      </c>
      <c r="L3822" s="213" t="s">
        <v>64093</v>
      </c>
      <c r="M3822" s="213" t="s">
        <v>64119</v>
      </c>
      <c r="N3822" s="213" t="s">
        <v>31971</v>
      </c>
      <c r="O3822" s="213" t="s">
        <v>31972</v>
      </c>
      <c r="P3822" s="213" t="s">
        <v>31973</v>
      </c>
      <c r="Q3822" s="213" t="s">
        <v>31974</v>
      </c>
      <c r="R3822" s="213" t="s">
        <v>31975</v>
      </c>
      <c r="S3822" s="213" t="s">
        <v>31976</v>
      </c>
      <c r="T3822" s="213" t="s">
        <v>31977</v>
      </c>
      <c r="U3822" s="213" t="s">
        <v>64145</v>
      </c>
    </row>
    <row r="3823" spans="1:21" x14ac:dyDescent="0.25">
      <c r="A3823" s="213" t="s">
        <v>327</v>
      </c>
      <c r="D3823" s="213" t="s">
        <v>31978</v>
      </c>
      <c r="E3823" s="213" t="s">
        <v>31979</v>
      </c>
      <c r="K3823" s="213" t="s">
        <v>64068</v>
      </c>
      <c r="L3823" s="213" t="s">
        <v>64094</v>
      </c>
      <c r="M3823" s="213" t="s">
        <v>64120</v>
      </c>
      <c r="N3823" s="213" t="s">
        <v>31980</v>
      </c>
      <c r="O3823" s="213" t="s">
        <v>31981</v>
      </c>
      <c r="P3823" s="213" t="s">
        <v>31982</v>
      </c>
      <c r="Q3823" s="213" t="s">
        <v>31983</v>
      </c>
      <c r="R3823" s="213" t="s">
        <v>31984</v>
      </c>
      <c r="S3823" s="213" t="s">
        <v>31985</v>
      </c>
      <c r="T3823" s="213" t="s">
        <v>31986</v>
      </c>
      <c r="U3823" s="213" t="s">
        <v>64146</v>
      </c>
    </row>
    <row r="3824" spans="1:21" x14ac:dyDescent="0.25">
      <c r="A3824" s="213" t="s">
        <v>327</v>
      </c>
      <c r="D3824" s="213" t="s">
        <v>31987</v>
      </c>
      <c r="E3824" s="213" t="s">
        <v>31988</v>
      </c>
      <c r="K3824" s="213" t="s">
        <v>64069</v>
      </c>
      <c r="L3824" s="213" t="s">
        <v>64095</v>
      </c>
      <c r="M3824" s="213" t="s">
        <v>64121</v>
      </c>
      <c r="N3824" s="213" t="s">
        <v>31989</v>
      </c>
      <c r="O3824" s="213" t="s">
        <v>31990</v>
      </c>
      <c r="P3824" s="213" t="s">
        <v>31991</v>
      </c>
      <c r="Q3824" s="213" t="s">
        <v>31992</v>
      </c>
      <c r="R3824" s="213" t="s">
        <v>31993</v>
      </c>
      <c r="S3824" s="213" t="s">
        <v>31994</v>
      </c>
      <c r="T3824" s="213" t="s">
        <v>31995</v>
      </c>
      <c r="U3824" s="213" t="s">
        <v>64147</v>
      </c>
    </row>
    <row r="3825" spans="1:21" x14ac:dyDescent="0.25">
      <c r="A3825" s="213" t="s">
        <v>327</v>
      </c>
      <c r="D3825" s="213" t="s">
        <v>31996</v>
      </c>
      <c r="E3825" s="213" t="s">
        <v>31997</v>
      </c>
      <c r="K3825" s="213" t="s">
        <v>64070</v>
      </c>
      <c r="L3825" s="213" t="s">
        <v>64096</v>
      </c>
      <c r="M3825" s="213" t="s">
        <v>64122</v>
      </c>
      <c r="N3825" s="213" t="s">
        <v>31998</v>
      </c>
      <c r="O3825" s="213" t="s">
        <v>31999</v>
      </c>
      <c r="P3825" s="213" t="s">
        <v>32000</v>
      </c>
      <c r="Q3825" s="213" t="s">
        <v>32001</v>
      </c>
      <c r="R3825" s="213" t="s">
        <v>32002</v>
      </c>
      <c r="S3825" s="213" t="s">
        <v>32003</v>
      </c>
      <c r="T3825" s="213" t="s">
        <v>32004</v>
      </c>
      <c r="U3825" s="213" t="s">
        <v>64148</v>
      </c>
    </row>
    <row r="3826" spans="1:21" x14ac:dyDescent="0.25">
      <c r="A3826" s="213" t="s">
        <v>327</v>
      </c>
      <c r="D3826" s="213" t="s">
        <v>32005</v>
      </c>
      <c r="E3826" s="213" t="s">
        <v>32006</v>
      </c>
      <c r="K3826" s="213" t="s">
        <v>64071</v>
      </c>
      <c r="L3826" s="213" t="s">
        <v>64097</v>
      </c>
      <c r="M3826" s="213" t="s">
        <v>64123</v>
      </c>
      <c r="N3826" s="213" t="s">
        <v>32007</v>
      </c>
      <c r="O3826" s="213" t="s">
        <v>32008</v>
      </c>
      <c r="P3826" s="213" t="s">
        <v>32009</v>
      </c>
      <c r="Q3826" s="213" t="s">
        <v>32010</v>
      </c>
      <c r="R3826" s="213" t="s">
        <v>32011</v>
      </c>
      <c r="S3826" s="213" t="s">
        <v>32012</v>
      </c>
      <c r="T3826" s="213" t="s">
        <v>32013</v>
      </c>
      <c r="U3826" s="213" t="s">
        <v>64149</v>
      </c>
    </row>
    <row r="3827" spans="1:21" x14ac:dyDescent="0.25">
      <c r="A3827" s="213" t="s">
        <v>327</v>
      </c>
      <c r="D3827" s="213" t="s">
        <v>32014</v>
      </c>
      <c r="E3827" s="213" t="s">
        <v>32015</v>
      </c>
      <c r="K3827" s="213" t="s">
        <v>64072</v>
      </c>
      <c r="L3827" s="213" t="s">
        <v>64098</v>
      </c>
      <c r="M3827" s="213" t="s">
        <v>64124</v>
      </c>
      <c r="N3827" s="213" t="s">
        <v>32016</v>
      </c>
      <c r="O3827" s="213" t="s">
        <v>32017</v>
      </c>
      <c r="P3827" s="213" t="s">
        <v>32018</v>
      </c>
      <c r="Q3827" s="213" t="s">
        <v>32019</v>
      </c>
      <c r="R3827" s="213" t="s">
        <v>32020</v>
      </c>
      <c r="S3827" s="213" t="s">
        <v>32021</v>
      </c>
      <c r="T3827" s="213" t="s">
        <v>32022</v>
      </c>
      <c r="U3827" s="213" t="s">
        <v>64150</v>
      </c>
    </row>
    <row r="3828" spans="1:21" x14ac:dyDescent="0.25">
      <c r="A3828" s="213" t="s">
        <v>327</v>
      </c>
      <c r="D3828" s="213" t="s">
        <v>32023</v>
      </c>
      <c r="E3828" s="213" t="s">
        <v>32024</v>
      </c>
      <c r="K3828" s="213" t="s">
        <v>64073</v>
      </c>
      <c r="L3828" s="213" t="s">
        <v>64099</v>
      </c>
      <c r="M3828" s="213" t="s">
        <v>64125</v>
      </c>
      <c r="N3828" s="213" t="s">
        <v>32025</v>
      </c>
      <c r="O3828" s="213" t="s">
        <v>32026</v>
      </c>
      <c r="P3828" s="213" t="s">
        <v>32027</v>
      </c>
      <c r="Q3828" s="213" t="s">
        <v>32028</v>
      </c>
      <c r="R3828" s="213" t="s">
        <v>32029</v>
      </c>
      <c r="S3828" s="213" t="s">
        <v>32030</v>
      </c>
      <c r="T3828" s="213" t="s">
        <v>32031</v>
      </c>
      <c r="U3828" s="213" t="s">
        <v>64151</v>
      </c>
    </row>
    <row r="3829" spans="1:21" x14ac:dyDescent="0.25">
      <c r="A3829" s="213" t="s">
        <v>327</v>
      </c>
      <c r="D3829" s="213" t="s">
        <v>32032</v>
      </c>
      <c r="E3829" s="213" t="s">
        <v>32033</v>
      </c>
      <c r="K3829" s="213" t="s">
        <v>64074</v>
      </c>
      <c r="L3829" s="213" t="s">
        <v>64100</v>
      </c>
      <c r="M3829" s="213" t="s">
        <v>64126</v>
      </c>
      <c r="N3829" s="213" t="s">
        <v>32034</v>
      </c>
      <c r="O3829" s="213" t="s">
        <v>32035</v>
      </c>
      <c r="P3829" s="213" t="s">
        <v>32036</v>
      </c>
      <c r="Q3829" s="213" t="s">
        <v>32037</v>
      </c>
      <c r="R3829" s="213" t="s">
        <v>32038</v>
      </c>
      <c r="S3829" s="213" t="s">
        <v>32039</v>
      </c>
      <c r="T3829" s="213" t="s">
        <v>32040</v>
      </c>
      <c r="U3829" s="213" t="s">
        <v>64152</v>
      </c>
    </row>
    <row r="3830" spans="1:21" x14ac:dyDescent="0.25">
      <c r="A3830" s="213" t="s">
        <v>327</v>
      </c>
      <c r="D3830" s="213" t="s">
        <v>32041</v>
      </c>
      <c r="E3830" s="213" t="s">
        <v>32042</v>
      </c>
      <c r="K3830" s="213" t="s">
        <v>64075</v>
      </c>
      <c r="L3830" s="213" t="s">
        <v>64101</v>
      </c>
      <c r="M3830" s="213" t="s">
        <v>64127</v>
      </c>
      <c r="N3830" s="213" t="s">
        <v>32043</v>
      </c>
      <c r="O3830" s="213" t="s">
        <v>32044</v>
      </c>
      <c r="P3830" s="213" t="s">
        <v>32045</v>
      </c>
      <c r="Q3830" s="213" t="s">
        <v>32046</v>
      </c>
      <c r="R3830" s="213" t="s">
        <v>32047</v>
      </c>
      <c r="S3830" s="213" t="s">
        <v>32048</v>
      </c>
      <c r="T3830" s="213" t="s">
        <v>32049</v>
      </c>
      <c r="U3830" s="213" t="s">
        <v>64153</v>
      </c>
    </row>
    <row r="3831" spans="1:21" x14ac:dyDescent="0.25">
      <c r="A3831" s="213" t="s">
        <v>327</v>
      </c>
      <c r="D3831" s="213" t="s">
        <v>32050</v>
      </c>
      <c r="E3831" s="213" t="s">
        <v>32051</v>
      </c>
      <c r="K3831" s="213" t="s">
        <v>64076</v>
      </c>
      <c r="L3831" s="213" t="s">
        <v>64102</v>
      </c>
      <c r="M3831" s="213" t="s">
        <v>64128</v>
      </c>
      <c r="N3831" s="213" t="s">
        <v>32052</v>
      </c>
      <c r="O3831" s="213" t="s">
        <v>32053</v>
      </c>
      <c r="P3831" s="213" t="s">
        <v>32054</v>
      </c>
      <c r="Q3831" s="213" t="s">
        <v>32055</v>
      </c>
      <c r="R3831" s="213" t="s">
        <v>32056</v>
      </c>
      <c r="S3831" s="213" t="s">
        <v>32057</v>
      </c>
      <c r="T3831" s="213" t="s">
        <v>32058</v>
      </c>
      <c r="U3831" s="213" t="s">
        <v>64154</v>
      </c>
    </row>
    <row r="3832" spans="1:21" x14ac:dyDescent="0.25">
      <c r="A3832" s="213" t="s">
        <v>327</v>
      </c>
      <c r="D3832" s="213" t="s">
        <v>32059</v>
      </c>
      <c r="E3832" s="213" t="s">
        <v>32060</v>
      </c>
      <c r="K3832" s="213" t="s">
        <v>64077</v>
      </c>
      <c r="L3832" s="213" t="s">
        <v>64103</v>
      </c>
      <c r="M3832" s="213" t="s">
        <v>64129</v>
      </c>
      <c r="N3832" s="213" t="s">
        <v>32061</v>
      </c>
      <c r="O3832" s="213" t="s">
        <v>32062</v>
      </c>
      <c r="P3832" s="213" t="s">
        <v>32063</v>
      </c>
      <c r="Q3832" s="213" t="s">
        <v>32064</v>
      </c>
      <c r="R3832" s="213" t="s">
        <v>32065</v>
      </c>
      <c r="S3832" s="213" t="s">
        <v>32066</v>
      </c>
      <c r="T3832" s="213" t="s">
        <v>32067</v>
      </c>
      <c r="U3832" s="213" t="s">
        <v>64155</v>
      </c>
    </row>
    <row r="3833" spans="1:21" x14ac:dyDescent="0.25">
      <c r="A3833" s="213" t="s">
        <v>327</v>
      </c>
      <c r="D3833" s="213" t="s">
        <v>32068</v>
      </c>
      <c r="E3833" s="213" t="s">
        <v>32069</v>
      </c>
      <c r="K3833" s="213" t="s">
        <v>64078</v>
      </c>
      <c r="L3833" s="213" t="s">
        <v>64104</v>
      </c>
      <c r="M3833" s="213" t="s">
        <v>64130</v>
      </c>
      <c r="N3833" s="213" t="s">
        <v>32070</v>
      </c>
      <c r="O3833" s="213" t="s">
        <v>32071</v>
      </c>
      <c r="P3833" s="213" t="s">
        <v>32072</v>
      </c>
      <c r="Q3833" s="213" t="s">
        <v>32073</v>
      </c>
      <c r="R3833" s="213" t="s">
        <v>32074</v>
      </c>
      <c r="S3833" s="213" t="s">
        <v>32075</v>
      </c>
      <c r="T3833" s="213" t="s">
        <v>32076</v>
      </c>
      <c r="U3833" s="213" t="s">
        <v>64156</v>
      </c>
    </row>
    <row r="3834" spans="1:21" x14ac:dyDescent="0.25">
      <c r="A3834" s="213" t="s">
        <v>327</v>
      </c>
      <c r="D3834" s="213" t="s">
        <v>32077</v>
      </c>
      <c r="E3834" s="213" t="s">
        <v>32078</v>
      </c>
      <c r="K3834" s="213" t="s">
        <v>64079</v>
      </c>
      <c r="L3834" s="213" t="s">
        <v>64105</v>
      </c>
      <c r="M3834" s="213" t="s">
        <v>64131</v>
      </c>
      <c r="N3834" s="213" t="s">
        <v>32079</v>
      </c>
      <c r="O3834" s="213" t="s">
        <v>32080</v>
      </c>
      <c r="P3834" s="213" t="s">
        <v>32081</v>
      </c>
      <c r="Q3834" s="213" t="s">
        <v>32082</v>
      </c>
      <c r="R3834" s="213" t="s">
        <v>32083</v>
      </c>
      <c r="S3834" s="213" t="s">
        <v>32084</v>
      </c>
      <c r="T3834" s="213" t="s">
        <v>32085</v>
      </c>
      <c r="U3834" s="213" t="s">
        <v>64157</v>
      </c>
    </row>
    <row r="3835" spans="1:21" x14ac:dyDescent="0.25">
      <c r="A3835" s="213" t="s">
        <v>327</v>
      </c>
    </row>
    <row r="3836" spans="1:21" x14ac:dyDescent="0.25">
      <c r="A3836" s="213" t="s">
        <v>327</v>
      </c>
    </row>
    <row r="3837" spans="1:21" x14ac:dyDescent="0.25">
      <c r="A3837" s="213" t="s">
        <v>327</v>
      </c>
      <c r="C3837" s="213" t="s">
        <v>32086</v>
      </c>
      <c r="E3837" s="213" t="s">
        <v>32087</v>
      </c>
      <c r="H3837" s="213" t="s">
        <v>32088</v>
      </c>
      <c r="I3837" s="213" t="s">
        <v>32089</v>
      </c>
      <c r="J3837" s="213" t="s">
        <v>32090</v>
      </c>
      <c r="L3837" s="213" t="s">
        <v>32091</v>
      </c>
      <c r="O3837" s="213" t="s">
        <v>32092</v>
      </c>
      <c r="P3837" s="213" t="s">
        <v>32093</v>
      </c>
      <c r="Q3837" s="213" t="s">
        <v>32094</v>
      </c>
      <c r="R3837" s="213" t="s">
        <v>32095</v>
      </c>
      <c r="S3837" s="213" t="s">
        <v>32096</v>
      </c>
      <c r="T3837" s="213" t="s">
        <v>32097</v>
      </c>
    </row>
    <row r="3838" spans="1:21" x14ac:dyDescent="0.25">
      <c r="A3838" s="213" t="s">
        <v>327</v>
      </c>
      <c r="C3838" s="213" t="s">
        <v>32098</v>
      </c>
      <c r="E3838" s="213" t="s">
        <v>32099</v>
      </c>
      <c r="I3838" s="213" t="s">
        <v>32100</v>
      </c>
    </row>
    <row r="3839" spans="1:21" x14ac:dyDescent="0.25">
      <c r="A3839" s="213" t="s">
        <v>327</v>
      </c>
      <c r="C3839" s="213" t="s">
        <v>32101</v>
      </c>
      <c r="E3839" s="213" t="s">
        <v>32102</v>
      </c>
      <c r="I3839" s="213" t="s">
        <v>32103</v>
      </c>
    </row>
    <row r="3840" spans="1:21" x14ac:dyDescent="0.25">
      <c r="A3840" s="213" t="s">
        <v>328</v>
      </c>
    </row>
    <row r="3841" spans="1:21" x14ac:dyDescent="0.25">
      <c r="A3841" s="213" t="s">
        <v>327</v>
      </c>
      <c r="D3841" s="213" t="s">
        <v>32104</v>
      </c>
      <c r="E3841" s="213" t="s">
        <v>32105</v>
      </c>
      <c r="K3841" s="213" t="s">
        <v>63818</v>
      </c>
      <c r="L3841" s="213" t="s">
        <v>63877</v>
      </c>
      <c r="M3841" s="213" t="s">
        <v>63936</v>
      </c>
      <c r="N3841" s="213" t="s">
        <v>32106</v>
      </c>
      <c r="O3841" s="213" t="s">
        <v>32107</v>
      </c>
      <c r="P3841" s="213" t="s">
        <v>32108</v>
      </c>
      <c r="Q3841" s="213" t="s">
        <v>32109</v>
      </c>
      <c r="R3841" s="213" t="s">
        <v>32110</v>
      </c>
      <c r="S3841" s="213" t="s">
        <v>32111</v>
      </c>
      <c r="T3841" s="213" t="s">
        <v>32112</v>
      </c>
      <c r="U3841" s="213" t="s">
        <v>63995</v>
      </c>
    </row>
    <row r="3842" spans="1:21" x14ac:dyDescent="0.25">
      <c r="A3842" s="213" t="s">
        <v>327</v>
      </c>
      <c r="D3842" s="213" t="s">
        <v>32113</v>
      </c>
      <c r="E3842" s="213" t="s">
        <v>32114</v>
      </c>
      <c r="K3842" s="213" t="s">
        <v>63819</v>
      </c>
      <c r="L3842" s="213" t="s">
        <v>63878</v>
      </c>
      <c r="M3842" s="213" t="s">
        <v>63937</v>
      </c>
      <c r="N3842" s="213" t="s">
        <v>32115</v>
      </c>
      <c r="O3842" s="213" t="s">
        <v>32116</v>
      </c>
      <c r="P3842" s="213" t="s">
        <v>32117</v>
      </c>
      <c r="Q3842" s="213" t="s">
        <v>32118</v>
      </c>
      <c r="R3842" s="213" t="s">
        <v>32119</v>
      </c>
      <c r="S3842" s="213" t="s">
        <v>32120</v>
      </c>
      <c r="T3842" s="213" t="s">
        <v>32121</v>
      </c>
      <c r="U3842" s="213" t="s">
        <v>63996</v>
      </c>
    </row>
    <row r="3843" spans="1:21" x14ac:dyDescent="0.25">
      <c r="A3843" s="213" t="s">
        <v>327</v>
      </c>
      <c r="D3843" s="213" t="s">
        <v>32122</v>
      </c>
      <c r="E3843" s="213" t="s">
        <v>32123</v>
      </c>
      <c r="K3843" s="213" t="s">
        <v>63820</v>
      </c>
      <c r="L3843" s="213" t="s">
        <v>63879</v>
      </c>
      <c r="M3843" s="213" t="s">
        <v>63938</v>
      </c>
      <c r="N3843" s="213" t="s">
        <v>32124</v>
      </c>
      <c r="O3843" s="213" t="s">
        <v>32125</v>
      </c>
      <c r="P3843" s="213" t="s">
        <v>32126</v>
      </c>
      <c r="Q3843" s="213" t="s">
        <v>32127</v>
      </c>
      <c r="R3843" s="213" t="s">
        <v>32128</v>
      </c>
      <c r="S3843" s="213" t="s">
        <v>32129</v>
      </c>
      <c r="T3843" s="213" t="s">
        <v>32130</v>
      </c>
      <c r="U3843" s="213" t="s">
        <v>63997</v>
      </c>
    </row>
    <row r="3844" spans="1:21" x14ac:dyDescent="0.25">
      <c r="A3844" s="213" t="s">
        <v>327</v>
      </c>
      <c r="D3844" s="213" t="s">
        <v>32131</v>
      </c>
      <c r="E3844" s="213" t="s">
        <v>32132</v>
      </c>
      <c r="K3844" s="213" t="s">
        <v>63821</v>
      </c>
      <c r="L3844" s="213" t="s">
        <v>63880</v>
      </c>
      <c r="M3844" s="213" t="s">
        <v>63939</v>
      </c>
      <c r="N3844" s="213" t="s">
        <v>32133</v>
      </c>
      <c r="O3844" s="213" t="s">
        <v>32134</v>
      </c>
      <c r="P3844" s="213" t="s">
        <v>32135</v>
      </c>
      <c r="Q3844" s="213" t="s">
        <v>32136</v>
      </c>
      <c r="R3844" s="213" t="s">
        <v>32137</v>
      </c>
      <c r="S3844" s="213" t="s">
        <v>32138</v>
      </c>
      <c r="T3844" s="213" t="s">
        <v>32139</v>
      </c>
      <c r="U3844" s="213" t="s">
        <v>63998</v>
      </c>
    </row>
    <row r="3845" spans="1:21" x14ac:dyDescent="0.25">
      <c r="A3845" s="213" t="s">
        <v>327</v>
      </c>
      <c r="D3845" s="213" t="s">
        <v>32140</v>
      </c>
      <c r="E3845" s="213" t="s">
        <v>32141</v>
      </c>
      <c r="K3845" s="213" t="s">
        <v>63822</v>
      </c>
      <c r="L3845" s="213" t="s">
        <v>63881</v>
      </c>
      <c r="M3845" s="213" t="s">
        <v>63940</v>
      </c>
      <c r="N3845" s="213" t="s">
        <v>32142</v>
      </c>
      <c r="O3845" s="213" t="s">
        <v>32143</v>
      </c>
      <c r="P3845" s="213" t="s">
        <v>32144</v>
      </c>
      <c r="Q3845" s="213" t="s">
        <v>32145</v>
      </c>
      <c r="R3845" s="213" t="s">
        <v>32146</v>
      </c>
      <c r="S3845" s="213" t="s">
        <v>32147</v>
      </c>
      <c r="T3845" s="213" t="s">
        <v>32148</v>
      </c>
      <c r="U3845" s="213" t="s">
        <v>63999</v>
      </c>
    </row>
    <row r="3846" spans="1:21" x14ac:dyDescent="0.25">
      <c r="A3846" s="213" t="s">
        <v>327</v>
      </c>
      <c r="D3846" s="213" t="s">
        <v>32149</v>
      </c>
      <c r="E3846" s="213" t="s">
        <v>32150</v>
      </c>
      <c r="K3846" s="213" t="s">
        <v>63823</v>
      </c>
      <c r="L3846" s="213" t="s">
        <v>63882</v>
      </c>
      <c r="M3846" s="213" t="s">
        <v>63941</v>
      </c>
      <c r="N3846" s="213" t="s">
        <v>32151</v>
      </c>
      <c r="O3846" s="213" t="s">
        <v>32152</v>
      </c>
      <c r="P3846" s="213" t="s">
        <v>32153</v>
      </c>
      <c r="Q3846" s="213" t="s">
        <v>32154</v>
      </c>
      <c r="R3846" s="213" t="s">
        <v>32155</v>
      </c>
      <c r="S3846" s="213" t="s">
        <v>32156</v>
      </c>
      <c r="T3846" s="213" t="s">
        <v>32157</v>
      </c>
      <c r="U3846" s="213" t="s">
        <v>64000</v>
      </c>
    </row>
    <row r="3847" spans="1:21" x14ac:dyDescent="0.25">
      <c r="A3847" s="213" t="s">
        <v>327</v>
      </c>
      <c r="D3847" s="213" t="s">
        <v>32158</v>
      </c>
      <c r="E3847" s="213" t="s">
        <v>32159</v>
      </c>
      <c r="K3847" s="213" t="s">
        <v>63824</v>
      </c>
      <c r="L3847" s="213" t="s">
        <v>63883</v>
      </c>
      <c r="M3847" s="213" t="s">
        <v>63942</v>
      </c>
      <c r="N3847" s="213" t="s">
        <v>32160</v>
      </c>
      <c r="O3847" s="213" t="s">
        <v>32161</v>
      </c>
      <c r="P3847" s="213" t="s">
        <v>32162</v>
      </c>
      <c r="Q3847" s="213" t="s">
        <v>32163</v>
      </c>
      <c r="R3847" s="213" t="s">
        <v>32164</v>
      </c>
      <c r="S3847" s="213" t="s">
        <v>32165</v>
      </c>
      <c r="T3847" s="213" t="s">
        <v>32166</v>
      </c>
      <c r="U3847" s="213" t="s">
        <v>64001</v>
      </c>
    </row>
    <row r="3848" spans="1:21" x14ac:dyDescent="0.25">
      <c r="A3848" s="213" t="s">
        <v>327</v>
      </c>
      <c r="D3848" s="213" t="s">
        <v>32167</v>
      </c>
      <c r="E3848" s="213" t="s">
        <v>32168</v>
      </c>
      <c r="K3848" s="213" t="s">
        <v>63825</v>
      </c>
      <c r="L3848" s="213" t="s">
        <v>63884</v>
      </c>
      <c r="M3848" s="213" t="s">
        <v>63943</v>
      </c>
      <c r="N3848" s="213" t="s">
        <v>32169</v>
      </c>
      <c r="O3848" s="213" t="s">
        <v>32170</v>
      </c>
      <c r="P3848" s="213" t="s">
        <v>32171</v>
      </c>
      <c r="Q3848" s="213" t="s">
        <v>32172</v>
      </c>
      <c r="R3848" s="213" t="s">
        <v>32173</v>
      </c>
      <c r="S3848" s="213" t="s">
        <v>32174</v>
      </c>
      <c r="T3848" s="213" t="s">
        <v>32175</v>
      </c>
      <c r="U3848" s="213" t="s">
        <v>64002</v>
      </c>
    </row>
    <row r="3849" spans="1:21" x14ac:dyDescent="0.25">
      <c r="A3849" s="213" t="s">
        <v>327</v>
      </c>
      <c r="D3849" s="213" t="s">
        <v>32176</v>
      </c>
      <c r="E3849" s="213" t="s">
        <v>32177</v>
      </c>
      <c r="K3849" s="213" t="s">
        <v>63826</v>
      </c>
      <c r="L3849" s="213" t="s">
        <v>63885</v>
      </c>
      <c r="M3849" s="213" t="s">
        <v>63944</v>
      </c>
      <c r="N3849" s="213" t="s">
        <v>32178</v>
      </c>
      <c r="O3849" s="213" t="s">
        <v>32179</v>
      </c>
      <c r="P3849" s="213" t="s">
        <v>32180</v>
      </c>
      <c r="Q3849" s="213" t="s">
        <v>32181</v>
      </c>
      <c r="R3849" s="213" t="s">
        <v>32182</v>
      </c>
      <c r="S3849" s="213" t="s">
        <v>32183</v>
      </c>
      <c r="T3849" s="213" t="s">
        <v>32184</v>
      </c>
      <c r="U3849" s="213" t="s">
        <v>64003</v>
      </c>
    </row>
    <row r="3850" spans="1:21" x14ac:dyDescent="0.25">
      <c r="A3850" s="213" t="s">
        <v>327</v>
      </c>
      <c r="D3850" s="213" t="s">
        <v>32185</v>
      </c>
      <c r="E3850" s="213" t="s">
        <v>32186</v>
      </c>
      <c r="K3850" s="213" t="s">
        <v>63827</v>
      </c>
      <c r="L3850" s="213" t="s">
        <v>63886</v>
      </c>
      <c r="M3850" s="213" t="s">
        <v>63945</v>
      </c>
      <c r="N3850" s="213" t="s">
        <v>32187</v>
      </c>
      <c r="O3850" s="213" t="s">
        <v>32188</v>
      </c>
      <c r="P3850" s="213" t="s">
        <v>32189</v>
      </c>
      <c r="Q3850" s="213" t="s">
        <v>32190</v>
      </c>
      <c r="R3850" s="213" t="s">
        <v>32191</v>
      </c>
      <c r="S3850" s="213" t="s">
        <v>32192</v>
      </c>
      <c r="T3850" s="213" t="s">
        <v>32193</v>
      </c>
      <c r="U3850" s="213" t="s">
        <v>64004</v>
      </c>
    </row>
    <row r="3851" spans="1:21" x14ac:dyDescent="0.25">
      <c r="A3851" s="213" t="s">
        <v>327</v>
      </c>
      <c r="D3851" s="213" t="s">
        <v>32194</v>
      </c>
      <c r="E3851" s="213" t="s">
        <v>32195</v>
      </c>
      <c r="K3851" s="213" t="s">
        <v>63828</v>
      </c>
      <c r="L3851" s="213" t="s">
        <v>63887</v>
      </c>
      <c r="M3851" s="213" t="s">
        <v>63946</v>
      </c>
      <c r="N3851" s="213" t="s">
        <v>32196</v>
      </c>
      <c r="O3851" s="213" t="s">
        <v>32197</v>
      </c>
      <c r="P3851" s="213" t="s">
        <v>32198</v>
      </c>
      <c r="Q3851" s="213" t="s">
        <v>32199</v>
      </c>
      <c r="R3851" s="213" t="s">
        <v>32200</v>
      </c>
      <c r="S3851" s="213" t="s">
        <v>32201</v>
      </c>
      <c r="T3851" s="213" t="s">
        <v>32202</v>
      </c>
      <c r="U3851" s="213" t="s">
        <v>64005</v>
      </c>
    </row>
    <row r="3852" spans="1:21" x14ac:dyDescent="0.25">
      <c r="A3852" s="213" t="s">
        <v>327</v>
      </c>
      <c r="D3852" s="213" t="s">
        <v>32203</v>
      </c>
      <c r="E3852" s="213" t="s">
        <v>32204</v>
      </c>
      <c r="K3852" s="213" t="s">
        <v>63829</v>
      </c>
      <c r="L3852" s="213" t="s">
        <v>63888</v>
      </c>
      <c r="M3852" s="213" t="s">
        <v>63947</v>
      </c>
      <c r="N3852" s="213" t="s">
        <v>32205</v>
      </c>
      <c r="O3852" s="213" t="s">
        <v>32206</v>
      </c>
      <c r="P3852" s="213" t="s">
        <v>32207</v>
      </c>
      <c r="Q3852" s="213" t="s">
        <v>32208</v>
      </c>
      <c r="R3852" s="213" t="s">
        <v>32209</v>
      </c>
      <c r="S3852" s="213" t="s">
        <v>32210</v>
      </c>
      <c r="T3852" s="213" t="s">
        <v>32211</v>
      </c>
      <c r="U3852" s="213" t="s">
        <v>64006</v>
      </c>
    </row>
    <row r="3853" spans="1:21" x14ac:dyDescent="0.25">
      <c r="A3853" s="213" t="s">
        <v>327</v>
      </c>
      <c r="D3853" s="213" t="s">
        <v>32212</v>
      </c>
      <c r="E3853" s="213" t="s">
        <v>32213</v>
      </c>
      <c r="K3853" s="213" t="s">
        <v>63830</v>
      </c>
      <c r="L3853" s="213" t="s">
        <v>63889</v>
      </c>
      <c r="M3853" s="213" t="s">
        <v>63948</v>
      </c>
      <c r="N3853" s="213" t="s">
        <v>32214</v>
      </c>
      <c r="O3853" s="213" t="s">
        <v>32215</v>
      </c>
      <c r="P3853" s="213" t="s">
        <v>32216</v>
      </c>
      <c r="Q3853" s="213" t="s">
        <v>32217</v>
      </c>
      <c r="R3853" s="213" t="s">
        <v>32218</v>
      </c>
      <c r="S3853" s="213" t="s">
        <v>32219</v>
      </c>
      <c r="T3853" s="213" t="s">
        <v>32220</v>
      </c>
      <c r="U3853" s="213" t="s">
        <v>64007</v>
      </c>
    </row>
    <row r="3854" spans="1:21" x14ac:dyDescent="0.25">
      <c r="A3854" s="213" t="s">
        <v>327</v>
      </c>
      <c r="D3854" s="213" t="s">
        <v>32221</v>
      </c>
      <c r="E3854" s="213" t="s">
        <v>32222</v>
      </c>
      <c r="K3854" s="213" t="s">
        <v>63831</v>
      </c>
      <c r="L3854" s="213" t="s">
        <v>63890</v>
      </c>
      <c r="M3854" s="213" t="s">
        <v>63949</v>
      </c>
      <c r="N3854" s="213" t="s">
        <v>32223</v>
      </c>
      <c r="O3854" s="213" t="s">
        <v>32224</v>
      </c>
      <c r="P3854" s="213" t="s">
        <v>32225</v>
      </c>
      <c r="Q3854" s="213" t="s">
        <v>32226</v>
      </c>
      <c r="R3854" s="213" t="s">
        <v>32227</v>
      </c>
      <c r="S3854" s="213" t="s">
        <v>32228</v>
      </c>
      <c r="T3854" s="213" t="s">
        <v>32229</v>
      </c>
      <c r="U3854" s="213" t="s">
        <v>64008</v>
      </c>
    </row>
    <row r="3855" spans="1:21" x14ac:dyDescent="0.25">
      <c r="A3855" s="213" t="s">
        <v>327</v>
      </c>
      <c r="D3855" s="213" t="s">
        <v>32230</v>
      </c>
      <c r="E3855" s="213" t="s">
        <v>32231</v>
      </c>
      <c r="K3855" s="213" t="s">
        <v>63832</v>
      </c>
      <c r="L3855" s="213" t="s">
        <v>63891</v>
      </c>
      <c r="M3855" s="213" t="s">
        <v>63950</v>
      </c>
      <c r="N3855" s="213" t="s">
        <v>32232</v>
      </c>
      <c r="O3855" s="213" t="s">
        <v>32233</v>
      </c>
      <c r="P3855" s="213" t="s">
        <v>32234</v>
      </c>
      <c r="Q3855" s="213" t="s">
        <v>32235</v>
      </c>
      <c r="R3855" s="213" t="s">
        <v>32236</v>
      </c>
      <c r="S3855" s="213" t="s">
        <v>32237</v>
      </c>
      <c r="T3855" s="213" t="s">
        <v>32238</v>
      </c>
      <c r="U3855" s="213" t="s">
        <v>64009</v>
      </c>
    </row>
    <row r="3856" spans="1:21" x14ac:dyDescent="0.25">
      <c r="A3856" s="213" t="s">
        <v>327</v>
      </c>
      <c r="D3856" s="213" t="s">
        <v>32239</v>
      </c>
      <c r="E3856" s="213" t="s">
        <v>32240</v>
      </c>
      <c r="K3856" s="213" t="s">
        <v>63833</v>
      </c>
      <c r="L3856" s="213" t="s">
        <v>63892</v>
      </c>
      <c r="M3856" s="213" t="s">
        <v>63951</v>
      </c>
      <c r="N3856" s="213" t="s">
        <v>32241</v>
      </c>
      <c r="O3856" s="213" t="s">
        <v>32242</v>
      </c>
      <c r="P3856" s="213" t="s">
        <v>32243</v>
      </c>
      <c r="Q3856" s="213" t="s">
        <v>32244</v>
      </c>
      <c r="R3856" s="213" t="s">
        <v>32245</v>
      </c>
      <c r="S3856" s="213" t="s">
        <v>32246</v>
      </c>
      <c r="T3856" s="213" t="s">
        <v>32247</v>
      </c>
      <c r="U3856" s="213" t="s">
        <v>64010</v>
      </c>
    </row>
    <row r="3857" spans="1:21" x14ac:dyDescent="0.25">
      <c r="A3857" s="213" t="s">
        <v>327</v>
      </c>
      <c r="D3857" s="213" t="s">
        <v>32248</v>
      </c>
      <c r="E3857" s="213" t="s">
        <v>32249</v>
      </c>
      <c r="K3857" s="213" t="s">
        <v>63834</v>
      </c>
      <c r="L3857" s="213" t="s">
        <v>63893</v>
      </c>
      <c r="M3857" s="213" t="s">
        <v>63952</v>
      </c>
      <c r="N3857" s="213" t="s">
        <v>32250</v>
      </c>
      <c r="O3857" s="213" t="s">
        <v>32251</v>
      </c>
      <c r="P3857" s="213" t="s">
        <v>32252</v>
      </c>
      <c r="Q3857" s="213" t="s">
        <v>32253</v>
      </c>
      <c r="R3857" s="213" t="s">
        <v>32254</v>
      </c>
      <c r="S3857" s="213" t="s">
        <v>32255</v>
      </c>
      <c r="T3857" s="213" t="s">
        <v>32256</v>
      </c>
      <c r="U3857" s="213" t="s">
        <v>64011</v>
      </c>
    </row>
    <row r="3858" spans="1:21" x14ac:dyDescent="0.25">
      <c r="A3858" s="213" t="s">
        <v>327</v>
      </c>
      <c r="D3858" s="213" t="s">
        <v>32257</v>
      </c>
      <c r="E3858" s="213" t="s">
        <v>32258</v>
      </c>
      <c r="K3858" s="213" t="s">
        <v>63835</v>
      </c>
      <c r="L3858" s="213" t="s">
        <v>63894</v>
      </c>
      <c r="M3858" s="213" t="s">
        <v>63953</v>
      </c>
      <c r="N3858" s="213" t="s">
        <v>32259</v>
      </c>
      <c r="O3858" s="213" t="s">
        <v>32260</v>
      </c>
      <c r="P3858" s="213" t="s">
        <v>32261</v>
      </c>
      <c r="Q3858" s="213" t="s">
        <v>32262</v>
      </c>
      <c r="R3858" s="213" t="s">
        <v>32263</v>
      </c>
      <c r="S3858" s="213" t="s">
        <v>32264</v>
      </c>
      <c r="T3858" s="213" t="s">
        <v>32265</v>
      </c>
      <c r="U3858" s="213" t="s">
        <v>64012</v>
      </c>
    </row>
    <row r="3859" spans="1:21" x14ac:dyDescent="0.25">
      <c r="A3859" s="213" t="s">
        <v>327</v>
      </c>
      <c r="D3859" s="213" t="s">
        <v>32266</v>
      </c>
      <c r="E3859" s="213" t="s">
        <v>32267</v>
      </c>
      <c r="K3859" s="213" t="s">
        <v>63836</v>
      </c>
      <c r="L3859" s="213" t="s">
        <v>63895</v>
      </c>
      <c r="M3859" s="213" t="s">
        <v>63954</v>
      </c>
      <c r="N3859" s="213" t="s">
        <v>32268</v>
      </c>
      <c r="O3859" s="213" t="s">
        <v>32269</v>
      </c>
      <c r="P3859" s="213" t="s">
        <v>32270</v>
      </c>
      <c r="Q3859" s="213" t="s">
        <v>32271</v>
      </c>
      <c r="R3859" s="213" t="s">
        <v>32272</v>
      </c>
      <c r="S3859" s="213" t="s">
        <v>32273</v>
      </c>
      <c r="T3859" s="213" t="s">
        <v>32274</v>
      </c>
      <c r="U3859" s="213" t="s">
        <v>64013</v>
      </c>
    </row>
    <row r="3860" spans="1:21" x14ac:dyDescent="0.25">
      <c r="A3860" s="213" t="s">
        <v>327</v>
      </c>
      <c r="D3860" s="213" t="s">
        <v>32275</v>
      </c>
      <c r="E3860" s="213" t="s">
        <v>32276</v>
      </c>
      <c r="K3860" s="213" t="s">
        <v>63837</v>
      </c>
      <c r="L3860" s="213" t="s">
        <v>63896</v>
      </c>
      <c r="M3860" s="213" t="s">
        <v>63955</v>
      </c>
      <c r="N3860" s="213" t="s">
        <v>32277</v>
      </c>
      <c r="O3860" s="213" t="s">
        <v>32278</v>
      </c>
      <c r="P3860" s="213" t="s">
        <v>32279</v>
      </c>
      <c r="Q3860" s="213" t="s">
        <v>32280</v>
      </c>
      <c r="R3860" s="213" t="s">
        <v>32281</v>
      </c>
      <c r="S3860" s="213" t="s">
        <v>32282</v>
      </c>
      <c r="T3860" s="213" t="s">
        <v>32283</v>
      </c>
      <c r="U3860" s="213" t="s">
        <v>64014</v>
      </c>
    </row>
    <row r="3861" spans="1:21" x14ac:dyDescent="0.25">
      <c r="A3861" s="213" t="s">
        <v>327</v>
      </c>
      <c r="D3861" s="213" t="s">
        <v>32284</v>
      </c>
      <c r="E3861" s="213" t="s">
        <v>32285</v>
      </c>
      <c r="K3861" s="213" t="s">
        <v>63838</v>
      </c>
      <c r="L3861" s="213" t="s">
        <v>63897</v>
      </c>
      <c r="M3861" s="213" t="s">
        <v>63956</v>
      </c>
      <c r="N3861" s="213" t="s">
        <v>32286</v>
      </c>
      <c r="O3861" s="213" t="s">
        <v>32287</v>
      </c>
      <c r="P3861" s="213" t="s">
        <v>32288</v>
      </c>
      <c r="Q3861" s="213" t="s">
        <v>32289</v>
      </c>
      <c r="R3861" s="213" t="s">
        <v>32290</v>
      </c>
      <c r="S3861" s="213" t="s">
        <v>32291</v>
      </c>
      <c r="T3861" s="213" t="s">
        <v>32292</v>
      </c>
      <c r="U3861" s="213" t="s">
        <v>64015</v>
      </c>
    </row>
    <row r="3862" spans="1:21" x14ac:dyDescent="0.25">
      <c r="A3862" s="213" t="s">
        <v>327</v>
      </c>
      <c r="D3862" s="213" t="s">
        <v>32293</v>
      </c>
      <c r="E3862" s="213" t="s">
        <v>32294</v>
      </c>
      <c r="K3862" s="213" t="s">
        <v>63839</v>
      </c>
      <c r="L3862" s="213" t="s">
        <v>63898</v>
      </c>
      <c r="M3862" s="213" t="s">
        <v>63957</v>
      </c>
      <c r="N3862" s="213" t="s">
        <v>32295</v>
      </c>
      <c r="O3862" s="213" t="s">
        <v>32296</v>
      </c>
      <c r="P3862" s="213" t="s">
        <v>32297</v>
      </c>
      <c r="Q3862" s="213" t="s">
        <v>32298</v>
      </c>
      <c r="R3862" s="213" t="s">
        <v>32299</v>
      </c>
      <c r="S3862" s="213" t="s">
        <v>32300</v>
      </c>
      <c r="T3862" s="213" t="s">
        <v>32301</v>
      </c>
      <c r="U3862" s="213" t="s">
        <v>64016</v>
      </c>
    </row>
    <row r="3863" spans="1:21" x14ac:dyDescent="0.25">
      <c r="A3863" s="213" t="s">
        <v>327</v>
      </c>
      <c r="D3863" s="213" t="s">
        <v>32302</v>
      </c>
      <c r="E3863" s="213" t="s">
        <v>32303</v>
      </c>
      <c r="K3863" s="213" t="s">
        <v>63840</v>
      </c>
      <c r="L3863" s="213" t="s">
        <v>63899</v>
      </c>
      <c r="M3863" s="213" t="s">
        <v>63958</v>
      </c>
      <c r="N3863" s="213" t="s">
        <v>32304</v>
      </c>
      <c r="O3863" s="213" t="s">
        <v>32305</v>
      </c>
      <c r="P3863" s="213" t="s">
        <v>32306</v>
      </c>
      <c r="Q3863" s="213" t="s">
        <v>32307</v>
      </c>
      <c r="R3863" s="213" t="s">
        <v>32308</v>
      </c>
      <c r="S3863" s="213" t="s">
        <v>32309</v>
      </c>
      <c r="T3863" s="213" t="s">
        <v>32310</v>
      </c>
      <c r="U3863" s="213" t="s">
        <v>64017</v>
      </c>
    </row>
    <row r="3864" spans="1:21" x14ac:dyDescent="0.25">
      <c r="A3864" s="213" t="s">
        <v>327</v>
      </c>
      <c r="D3864" s="213" t="s">
        <v>32311</v>
      </c>
      <c r="E3864" s="213" t="s">
        <v>32312</v>
      </c>
      <c r="K3864" s="213" t="s">
        <v>63841</v>
      </c>
      <c r="L3864" s="213" t="s">
        <v>63900</v>
      </c>
      <c r="M3864" s="213" t="s">
        <v>63959</v>
      </c>
      <c r="N3864" s="213" t="s">
        <v>32313</v>
      </c>
      <c r="O3864" s="213" t="s">
        <v>32314</v>
      </c>
      <c r="P3864" s="213" t="s">
        <v>32315</v>
      </c>
      <c r="Q3864" s="213" t="s">
        <v>32316</v>
      </c>
      <c r="R3864" s="213" t="s">
        <v>32317</v>
      </c>
      <c r="S3864" s="213" t="s">
        <v>32318</v>
      </c>
      <c r="T3864" s="213" t="s">
        <v>32319</v>
      </c>
      <c r="U3864" s="213" t="s">
        <v>64018</v>
      </c>
    </row>
    <row r="3865" spans="1:21" x14ac:dyDescent="0.25">
      <c r="A3865" s="213" t="s">
        <v>327</v>
      </c>
      <c r="D3865" s="213" t="s">
        <v>32320</v>
      </c>
      <c r="E3865" s="213" t="s">
        <v>32321</v>
      </c>
      <c r="K3865" s="213" t="s">
        <v>63842</v>
      </c>
      <c r="L3865" s="213" t="s">
        <v>63901</v>
      </c>
      <c r="M3865" s="213" t="s">
        <v>63960</v>
      </c>
      <c r="N3865" s="213" t="s">
        <v>32322</v>
      </c>
      <c r="O3865" s="213" t="s">
        <v>32323</v>
      </c>
      <c r="P3865" s="213" t="s">
        <v>32324</v>
      </c>
      <c r="Q3865" s="213" t="s">
        <v>32325</v>
      </c>
      <c r="R3865" s="213" t="s">
        <v>32326</v>
      </c>
      <c r="S3865" s="213" t="s">
        <v>32327</v>
      </c>
      <c r="T3865" s="213" t="s">
        <v>32328</v>
      </c>
      <c r="U3865" s="213" t="s">
        <v>64019</v>
      </c>
    </row>
    <row r="3866" spans="1:21" x14ac:dyDescent="0.25">
      <c r="A3866" s="213" t="s">
        <v>327</v>
      </c>
      <c r="D3866" s="213" t="s">
        <v>32329</v>
      </c>
      <c r="E3866" s="213" t="s">
        <v>32330</v>
      </c>
      <c r="K3866" s="213" t="s">
        <v>63843</v>
      </c>
      <c r="L3866" s="213" t="s">
        <v>63902</v>
      </c>
      <c r="M3866" s="213" t="s">
        <v>63961</v>
      </c>
      <c r="N3866" s="213" t="s">
        <v>32331</v>
      </c>
      <c r="O3866" s="213" t="s">
        <v>32332</v>
      </c>
      <c r="P3866" s="213" t="s">
        <v>32333</v>
      </c>
      <c r="Q3866" s="213" t="s">
        <v>32334</v>
      </c>
      <c r="R3866" s="213" t="s">
        <v>32335</v>
      </c>
      <c r="S3866" s="213" t="s">
        <v>32336</v>
      </c>
      <c r="T3866" s="213" t="s">
        <v>32337</v>
      </c>
      <c r="U3866" s="213" t="s">
        <v>64020</v>
      </c>
    </row>
    <row r="3867" spans="1:21" x14ac:dyDescent="0.25">
      <c r="A3867" s="213" t="s">
        <v>327</v>
      </c>
      <c r="D3867" s="213" t="s">
        <v>32338</v>
      </c>
      <c r="E3867" s="213" t="s">
        <v>32339</v>
      </c>
      <c r="K3867" s="213" t="s">
        <v>63844</v>
      </c>
      <c r="L3867" s="213" t="s">
        <v>63903</v>
      </c>
      <c r="M3867" s="213" t="s">
        <v>63962</v>
      </c>
      <c r="N3867" s="213" t="s">
        <v>32340</v>
      </c>
      <c r="O3867" s="213" t="s">
        <v>32341</v>
      </c>
      <c r="P3867" s="213" t="s">
        <v>32342</v>
      </c>
      <c r="Q3867" s="213" t="s">
        <v>32343</v>
      </c>
      <c r="R3867" s="213" t="s">
        <v>32344</v>
      </c>
      <c r="S3867" s="213" t="s">
        <v>32345</v>
      </c>
      <c r="T3867" s="213" t="s">
        <v>32346</v>
      </c>
      <c r="U3867" s="213" t="s">
        <v>64021</v>
      </c>
    </row>
    <row r="3868" spans="1:21" x14ac:dyDescent="0.25">
      <c r="A3868" s="213" t="s">
        <v>327</v>
      </c>
      <c r="D3868" s="213" t="s">
        <v>32347</v>
      </c>
      <c r="E3868" s="213" t="s">
        <v>32348</v>
      </c>
      <c r="K3868" s="213" t="s">
        <v>63845</v>
      </c>
      <c r="L3868" s="213" t="s">
        <v>63904</v>
      </c>
      <c r="M3868" s="213" t="s">
        <v>63963</v>
      </c>
      <c r="N3868" s="213" t="s">
        <v>32349</v>
      </c>
      <c r="O3868" s="213" t="s">
        <v>32350</v>
      </c>
      <c r="P3868" s="213" t="s">
        <v>32351</v>
      </c>
      <c r="Q3868" s="213" t="s">
        <v>32352</v>
      </c>
      <c r="R3868" s="213" t="s">
        <v>32353</v>
      </c>
      <c r="S3868" s="213" t="s">
        <v>32354</v>
      </c>
      <c r="T3868" s="213" t="s">
        <v>32355</v>
      </c>
      <c r="U3868" s="213" t="s">
        <v>64022</v>
      </c>
    </row>
    <row r="3869" spans="1:21" x14ac:dyDescent="0.25">
      <c r="A3869" s="213" t="s">
        <v>327</v>
      </c>
      <c r="D3869" s="213" t="s">
        <v>32356</v>
      </c>
      <c r="E3869" s="213" t="s">
        <v>32357</v>
      </c>
      <c r="K3869" s="213" t="s">
        <v>63846</v>
      </c>
      <c r="L3869" s="213" t="s">
        <v>63905</v>
      </c>
      <c r="M3869" s="213" t="s">
        <v>63964</v>
      </c>
      <c r="N3869" s="213" t="s">
        <v>32358</v>
      </c>
      <c r="O3869" s="213" t="s">
        <v>32359</v>
      </c>
      <c r="P3869" s="213" t="s">
        <v>32360</v>
      </c>
      <c r="Q3869" s="213" t="s">
        <v>32361</v>
      </c>
      <c r="R3869" s="213" t="s">
        <v>32362</v>
      </c>
      <c r="S3869" s="213" t="s">
        <v>32363</v>
      </c>
      <c r="T3869" s="213" t="s">
        <v>32364</v>
      </c>
      <c r="U3869" s="213" t="s">
        <v>64023</v>
      </c>
    </row>
    <row r="3870" spans="1:21" x14ac:dyDescent="0.25">
      <c r="A3870" s="213" t="s">
        <v>327</v>
      </c>
      <c r="D3870" s="213" t="s">
        <v>32365</v>
      </c>
      <c r="E3870" s="213" t="s">
        <v>32366</v>
      </c>
      <c r="K3870" s="213" t="s">
        <v>63847</v>
      </c>
      <c r="L3870" s="213" t="s">
        <v>63906</v>
      </c>
      <c r="M3870" s="213" t="s">
        <v>63965</v>
      </c>
      <c r="N3870" s="213" t="s">
        <v>32367</v>
      </c>
      <c r="O3870" s="213" t="s">
        <v>32368</v>
      </c>
      <c r="P3870" s="213" t="s">
        <v>32369</v>
      </c>
      <c r="Q3870" s="213" t="s">
        <v>32370</v>
      </c>
      <c r="R3870" s="213" t="s">
        <v>32371</v>
      </c>
      <c r="S3870" s="213" t="s">
        <v>32372</v>
      </c>
      <c r="T3870" s="213" t="s">
        <v>32373</v>
      </c>
      <c r="U3870" s="213" t="s">
        <v>64024</v>
      </c>
    </row>
    <row r="3871" spans="1:21" x14ac:dyDescent="0.25">
      <c r="A3871" s="213" t="s">
        <v>327</v>
      </c>
      <c r="D3871" s="213" t="s">
        <v>32374</v>
      </c>
      <c r="E3871" s="213" t="s">
        <v>32375</v>
      </c>
      <c r="K3871" s="213" t="s">
        <v>63848</v>
      </c>
      <c r="L3871" s="213" t="s">
        <v>63907</v>
      </c>
      <c r="M3871" s="213" t="s">
        <v>63966</v>
      </c>
      <c r="N3871" s="213" t="s">
        <v>32376</v>
      </c>
      <c r="O3871" s="213" t="s">
        <v>32377</v>
      </c>
      <c r="P3871" s="213" t="s">
        <v>32378</v>
      </c>
      <c r="Q3871" s="213" t="s">
        <v>32379</v>
      </c>
      <c r="R3871" s="213" t="s">
        <v>32380</v>
      </c>
      <c r="S3871" s="213" t="s">
        <v>32381</v>
      </c>
      <c r="T3871" s="213" t="s">
        <v>32382</v>
      </c>
      <c r="U3871" s="213" t="s">
        <v>64025</v>
      </c>
    </row>
    <row r="3872" spans="1:21" x14ac:dyDescent="0.25">
      <c r="A3872" s="213" t="s">
        <v>327</v>
      </c>
      <c r="D3872" s="213" t="s">
        <v>32383</v>
      </c>
      <c r="E3872" s="213" t="s">
        <v>32384</v>
      </c>
      <c r="K3872" s="213" t="s">
        <v>63849</v>
      </c>
      <c r="L3872" s="213" t="s">
        <v>63908</v>
      </c>
      <c r="M3872" s="213" t="s">
        <v>63967</v>
      </c>
      <c r="N3872" s="213" t="s">
        <v>32385</v>
      </c>
      <c r="O3872" s="213" t="s">
        <v>32386</v>
      </c>
      <c r="P3872" s="213" t="s">
        <v>32387</v>
      </c>
      <c r="Q3872" s="213" t="s">
        <v>32388</v>
      </c>
      <c r="R3872" s="213" t="s">
        <v>32389</v>
      </c>
      <c r="S3872" s="213" t="s">
        <v>32390</v>
      </c>
      <c r="T3872" s="213" t="s">
        <v>32391</v>
      </c>
      <c r="U3872" s="213" t="s">
        <v>64026</v>
      </c>
    </row>
    <row r="3873" spans="1:21" x14ac:dyDescent="0.25">
      <c r="A3873" s="213" t="s">
        <v>327</v>
      </c>
      <c r="D3873" s="213" t="s">
        <v>32392</v>
      </c>
      <c r="E3873" s="213" t="s">
        <v>32393</v>
      </c>
      <c r="K3873" s="213" t="s">
        <v>63850</v>
      </c>
      <c r="L3873" s="213" t="s">
        <v>63909</v>
      </c>
      <c r="M3873" s="213" t="s">
        <v>63968</v>
      </c>
      <c r="N3873" s="213" t="s">
        <v>32394</v>
      </c>
      <c r="O3873" s="213" t="s">
        <v>32395</v>
      </c>
      <c r="P3873" s="213" t="s">
        <v>32396</v>
      </c>
      <c r="Q3873" s="213" t="s">
        <v>32397</v>
      </c>
      <c r="R3873" s="213" t="s">
        <v>32398</v>
      </c>
      <c r="S3873" s="213" t="s">
        <v>32399</v>
      </c>
      <c r="T3873" s="213" t="s">
        <v>32400</v>
      </c>
      <c r="U3873" s="213" t="s">
        <v>64027</v>
      </c>
    </row>
    <row r="3874" spans="1:21" x14ac:dyDescent="0.25">
      <c r="A3874" s="213" t="s">
        <v>327</v>
      </c>
      <c r="D3874" s="213" t="s">
        <v>32401</v>
      </c>
      <c r="E3874" s="213" t="s">
        <v>32402</v>
      </c>
      <c r="K3874" s="213" t="s">
        <v>63851</v>
      </c>
      <c r="L3874" s="213" t="s">
        <v>63910</v>
      </c>
      <c r="M3874" s="213" t="s">
        <v>63969</v>
      </c>
      <c r="N3874" s="213" t="s">
        <v>32403</v>
      </c>
      <c r="O3874" s="213" t="s">
        <v>32404</v>
      </c>
      <c r="P3874" s="213" t="s">
        <v>32405</v>
      </c>
      <c r="Q3874" s="213" t="s">
        <v>32406</v>
      </c>
      <c r="R3874" s="213" t="s">
        <v>32407</v>
      </c>
      <c r="S3874" s="213" t="s">
        <v>32408</v>
      </c>
      <c r="T3874" s="213" t="s">
        <v>32409</v>
      </c>
      <c r="U3874" s="213" t="s">
        <v>64028</v>
      </c>
    </row>
    <row r="3875" spans="1:21" x14ac:dyDescent="0.25">
      <c r="A3875" s="213" t="s">
        <v>327</v>
      </c>
      <c r="D3875" s="213" t="s">
        <v>32410</v>
      </c>
      <c r="E3875" s="213" t="s">
        <v>32411</v>
      </c>
      <c r="K3875" s="213" t="s">
        <v>63852</v>
      </c>
      <c r="L3875" s="213" t="s">
        <v>63911</v>
      </c>
      <c r="M3875" s="213" t="s">
        <v>63970</v>
      </c>
      <c r="N3875" s="213" t="s">
        <v>32412</v>
      </c>
      <c r="O3875" s="213" t="s">
        <v>32413</v>
      </c>
      <c r="P3875" s="213" t="s">
        <v>32414</v>
      </c>
      <c r="Q3875" s="213" t="s">
        <v>32415</v>
      </c>
      <c r="R3875" s="213" t="s">
        <v>32416</v>
      </c>
      <c r="S3875" s="213" t="s">
        <v>32417</v>
      </c>
      <c r="T3875" s="213" t="s">
        <v>32418</v>
      </c>
      <c r="U3875" s="213" t="s">
        <v>64029</v>
      </c>
    </row>
    <row r="3876" spans="1:21" x14ac:dyDescent="0.25">
      <c r="A3876" s="213" t="s">
        <v>327</v>
      </c>
      <c r="D3876" s="213" t="s">
        <v>32419</v>
      </c>
      <c r="E3876" s="213" t="s">
        <v>32420</v>
      </c>
      <c r="K3876" s="213" t="s">
        <v>63853</v>
      </c>
      <c r="L3876" s="213" t="s">
        <v>63912</v>
      </c>
      <c r="M3876" s="213" t="s">
        <v>63971</v>
      </c>
      <c r="N3876" s="213" t="s">
        <v>32421</v>
      </c>
      <c r="O3876" s="213" t="s">
        <v>32422</v>
      </c>
      <c r="P3876" s="213" t="s">
        <v>32423</v>
      </c>
      <c r="Q3876" s="213" t="s">
        <v>32424</v>
      </c>
      <c r="R3876" s="213" t="s">
        <v>32425</v>
      </c>
      <c r="S3876" s="213" t="s">
        <v>32426</v>
      </c>
      <c r="T3876" s="213" t="s">
        <v>32427</v>
      </c>
      <c r="U3876" s="213" t="s">
        <v>64030</v>
      </c>
    </row>
    <row r="3877" spans="1:21" x14ac:dyDescent="0.25">
      <c r="A3877" s="213" t="s">
        <v>327</v>
      </c>
      <c r="D3877" s="213" t="s">
        <v>32428</v>
      </c>
      <c r="E3877" s="213" t="s">
        <v>32429</v>
      </c>
      <c r="K3877" s="213" t="s">
        <v>63854</v>
      </c>
      <c r="L3877" s="213" t="s">
        <v>63913</v>
      </c>
      <c r="M3877" s="213" t="s">
        <v>63972</v>
      </c>
      <c r="N3877" s="213" t="s">
        <v>32430</v>
      </c>
      <c r="O3877" s="213" t="s">
        <v>32431</v>
      </c>
      <c r="P3877" s="213" t="s">
        <v>32432</v>
      </c>
      <c r="Q3877" s="213" t="s">
        <v>32433</v>
      </c>
      <c r="R3877" s="213" t="s">
        <v>32434</v>
      </c>
      <c r="S3877" s="213" t="s">
        <v>32435</v>
      </c>
      <c r="T3877" s="213" t="s">
        <v>32436</v>
      </c>
      <c r="U3877" s="213" t="s">
        <v>64031</v>
      </c>
    </row>
    <row r="3878" spans="1:21" x14ac:dyDescent="0.25">
      <c r="A3878" s="213" t="s">
        <v>327</v>
      </c>
      <c r="D3878" s="213" t="s">
        <v>32437</v>
      </c>
      <c r="E3878" s="213" t="s">
        <v>32438</v>
      </c>
      <c r="K3878" s="213" t="s">
        <v>63855</v>
      </c>
      <c r="L3878" s="213" t="s">
        <v>63914</v>
      </c>
      <c r="M3878" s="213" t="s">
        <v>63973</v>
      </c>
      <c r="N3878" s="213" t="s">
        <v>32439</v>
      </c>
      <c r="O3878" s="213" t="s">
        <v>32440</v>
      </c>
      <c r="P3878" s="213" t="s">
        <v>32441</v>
      </c>
      <c r="Q3878" s="213" t="s">
        <v>32442</v>
      </c>
      <c r="R3878" s="213" t="s">
        <v>32443</v>
      </c>
      <c r="S3878" s="213" t="s">
        <v>32444</v>
      </c>
      <c r="T3878" s="213" t="s">
        <v>32445</v>
      </c>
      <c r="U3878" s="213" t="s">
        <v>64032</v>
      </c>
    </row>
    <row r="3879" spans="1:21" x14ac:dyDescent="0.25">
      <c r="A3879" s="213" t="s">
        <v>327</v>
      </c>
      <c r="D3879" s="213" t="s">
        <v>32446</v>
      </c>
      <c r="E3879" s="213" t="s">
        <v>32447</v>
      </c>
      <c r="K3879" s="213" t="s">
        <v>63856</v>
      </c>
      <c r="L3879" s="213" t="s">
        <v>63915</v>
      </c>
      <c r="M3879" s="213" t="s">
        <v>63974</v>
      </c>
      <c r="N3879" s="213" t="s">
        <v>32448</v>
      </c>
      <c r="O3879" s="213" t="s">
        <v>32449</v>
      </c>
      <c r="P3879" s="213" t="s">
        <v>32450</v>
      </c>
      <c r="Q3879" s="213" t="s">
        <v>32451</v>
      </c>
      <c r="R3879" s="213" t="s">
        <v>32452</v>
      </c>
      <c r="S3879" s="213" t="s">
        <v>32453</v>
      </c>
      <c r="T3879" s="213" t="s">
        <v>32454</v>
      </c>
      <c r="U3879" s="213" t="s">
        <v>64033</v>
      </c>
    </row>
    <row r="3880" spans="1:21" x14ac:dyDescent="0.25">
      <c r="A3880" s="213" t="s">
        <v>327</v>
      </c>
      <c r="D3880" s="213" t="s">
        <v>32455</v>
      </c>
      <c r="E3880" s="213" t="s">
        <v>32456</v>
      </c>
      <c r="K3880" s="213" t="s">
        <v>63857</v>
      </c>
      <c r="L3880" s="213" t="s">
        <v>63916</v>
      </c>
      <c r="M3880" s="213" t="s">
        <v>63975</v>
      </c>
      <c r="N3880" s="213" t="s">
        <v>32457</v>
      </c>
      <c r="O3880" s="213" t="s">
        <v>32458</v>
      </c>
      <c r="P3880" s="213" t="s">
        <v>32459</v>
      </c>
      <c r="Q3880" s="213" t="s">
        <v>32460</v>
      </c>
      <c r="R3880" s="213" t="s">
        <v>32461</v>
      </c>
      <c r="S3880" s="213" t="s">
        <v>32462</v>
      </c>
      <c r="T3880" s="213" t="s">
        <v>32463</v>
      </c>
      <c r="U3880" s="213" t="s">
        <v>64034</v>
      </c>
    </row>
    <row r="3881" spans="1:21" x14ac:dyDescent="0.25">
      <c r="A3881" s="213" t="s">
        <v>327</v>
      </c>
      <c r="D3881" s="213" t="s">
        <v>32464</v>
      </c>
      <c r="E3881" s="213" t="s">
        <v>32465</v>
      </c>
      <c r="K3881" s="213" t="s">
        <v>63858</v>
      </c>
      <c r="L3881" s="213" t="s">
        <v>63917</v>
      </c>
      <c r="M3881" s="213" t="s">
        <v>63976</v>
      </c>
      <c r="N3881" s="213" t="s">
        <v>32466</v>
      </c>
      <c r="O3881" s="213" t="s">
        <v>32467</v>
      </c>
      <c r="P3881" s="213" t="s">
        <v>32468</v>
      </c>
      <c r="Q3881" s="213" t="s">
        <v>32469</v>
      </c>
      <c r="R3881" s="213" t="s">
        <v>32470</v>
      </c>
      <c r="S3881" s="213" t="s">
        <v>32471</v>
      </c>
      <c r="T3881" s="213" t="s">
        <v>32472</v>
      </c>
      <c r="U3881" s="213" t="s">
        <v>64035</v>
      </c>
    </row>
    <row r="3882" spans="1:21" x14ac:dyDescent="0.25">
      <c r="A3882" s="213" t="s">
        <v>327</v>
      </c>
      <c r="D3882" s="213" t="s">
        <v>32473</v>
      </c>
      <c r="E3882" s="213" t="s">
        <v>32474</v>
      </c>
      <c r="K3882" s="213" t="s">
        <v>63859</v>
      </c>
      <c r="L3882" s="213" t="s">
        <v>63918</v>
      </c>
      <c r="M3882" s="213" t="s">
        <v>63977</v>
      </c>
      <c r="N3882" s="213" t="s">
        <v>32475</v>
      </c>
      <c r="O3882" s="213" t="s">
        <v>32476</v>
      </c>
      <c r="P3882" s="213" t="s">
        <v>32477</v>
      </c>
      <c r="Q3882" s="213" t="s">
        <v>32478</v>
      </c>
      <c r="R3882" s="213" t="s">
        <v>32479</v>
      </c>
      <c r="S3882" s="213" t="s">
        <v>32480</v>
      </c>
      <c r="T3882" s="213" t="s">
        <v>32481</v>
      </c>
      <c r="U3882" s="213" t="s">
        <v>64036</v>
      </c>
    </row>
    <row r="3883" spans="1:21" x14ac:dyDescent="0.25">
      <c r="A3883" s="213" t="s">
        <v>327</v>
      </c>
      <c r="D3883" s="213" t="s">
        <v>32482</v>
      </c>
      <c r="E3883" s="213" t="s">
        <v>32483</v>
      </c>
      <c r="K3883" s="213" t="s">
        <v>63860</v>
      </c>
      <c r="L3883" s="213" t="s">
        <v>63919</v>
      </c>
      <c r="M3883" s="213" t="s">
        <v>63978</v>
      </c>
      <c r="N3883" s="213" t="s">
        <v>32484</v>
      </c>
      <c r="O3883" s="213" t="s">
        <v>32485</v>
      </c>
      <c r="P3883" s="213" t="s">
        <v>32486</v>
      </c>
      <c r="Q3883" s="213" t="s">
        <v>32487</v>
      </c>
      <c r="R3883" s="213" t="s">
        <v>32488</v>
      </c>
      <c r="S3883" s="213" t="s">
        <v>32489</v>
      </c>
      <c r="T3883" s="213" t="s">
        <v>32490</v>
      </c>
      <c r="U3883" s="213" t="s">
        <v>64037</v>
      </c>
    </row>
    <row r="3884" spans="1:21" x14ac:dyDescent="0.25">
      <c r="A3884" s="213" t="s">
        <v>327</v>
      </c>
      <c r="D3884" s="213" t="s">
        <v>32491</v>
      </c>
      <c r="E3884" s="213" t="s">
        <v>32492</v>
      </c>
      <c r="K3884" s="213" t="s">
        <v>63861</v>
      </c>
      <c r="L3884" s="213" t="s">
        <v>63920</v>
      </c>
      <c r="M3884" s="213" t="s">
        <v>63979</v>
      </c>
      <c r="N3884" s="213" t="s">
        <v>32493</v>
      </c>
      <c r="O3884" s="213" t="s">
        <v>32494</v>
      </c>
      <c r="P3884" s="213" t="s">
        <v>32495</v>
      </c>
      <c r="Q3884" s="213" t="s">
        <v>32496</v>
      </c>
      <c r="R3884" s="213" t="s">
        <v>32497</v>
      </c>
      <c r="S3884" s="213" t="s">
        <v>32498</v>
      </c>
      <c r="T3884" s="213" t="s">
        <v>32499</v>
      </c>
      <c r="U3884" s="213" t="s">
        <v>64038</v>
      </c>
    </row>
    <row r="3885" spans="1:21" x14ac:dyDescent="0.25">
      <c r="A3885" s="213" t="s">
        <v>327</v>
      </c>
      <c r="D3885" s="213" t="s">
        <v>32500</v>
      </c>
      <c r="E3885" s="213" t="s">
        <v>32501</v>
      </c>
      <c r="K3885" s="213" t="s">
        <v>63862</v>
      </c>
      <c r="L3885" s="213" t="s">
        <v>63921</v>
      </c>
      <c r="M3885" s="213" t="s">
        <v>63980</v>
      </c>
      <c r="N3885" s="213" t="s">
        <v>32502</v>
      </c>
      <c r="O3885" s="213" t="s">
        <v>32503</v>
      </c>
      <c r="P3885" s="213" t="s">
        <v>32504</v>
      </c>
      <c r="Q3885" s="213" t="s">
        <v>32505</v>
      </c>
      <c r="R3885" s="213" t="s">
        <v>32506</v>
      </c>
      <c r="S3885" s="213" t="s">
        <v>32507</v>
      </c>
      <c r="T3885" s="213" t="s">
        <v>32508</v>
      </c>
      <c r="U3885" s="213" t="s">
        <v>64039</v>
      </c>
    </row>
    <row r="3886" spans="1:21" x14ac:dyDescent="0.25">
      <c r="A3886" s="213" t="s">
        <v>327</v>
      </c>
      <c r="D3886" s="213" t="s">
        <v>32509</v>
      </c>
      <c r="E3886" s="213" t="s">
        <v>32510</v>
      </c>
      <c r="K3886" s="213" t="s">
        <v>63863</v>
      </c>
      <c r="L3886" s="213" t="s">
        <v>63922</v>
      </c>
      <c r="M3886" s="213" t="s">
        <v>63981</v>
      </c>
      <c r="N3886" s="213" t="s">
        <v>32511</v>
      </c>
      <c r="O3886" s="213" t="s">
        <v>32512</v>
      </c>
      <c r="P3886" s="213" t="s">
        <v>32513</v>
      </c>
      <c r="Q3886" s="213" t="s">
        <v>32514</v>
      </c>
      <c r="R3886" s="213" t="s">
        <v>32515</v>
      </c>
      <c r="S3886" s="213" t="s">
        <v>32516</v>
      </c>
      <c r="T3886" s="213" t="s">
        <v>32517</v>
      </c>
      <c r="U3886" s="213" t="s">
        <v>64040</v>
      </c>
    </row>
    <row r="3887" spans="1:21" x14ac:dyDescent="0.25">
      <c r="A3887" s="213" t="s">
        <v>327</v>
      </c>
      <c r="D3887" s="213" t="s">
        <v>32518</v>
      </c>
      <c r="E3887" s="213" t="s">
        <v>32519</v>
      </c>
      <c r="K3887" s="213" t="s">
        <v>63864</v>
      </c>
      <c r="L3887" s="213" t="s">
        <v>63923</v>
      </c>
      <c r="M3887" s="213" t="s">
        <v>63982</v>
      </c>
      <c r="N3887" s="213" t="s">
        <v>32520</v>
      </c>
      <c r="O3887" s="213" t="s">
        <v>32521</v>
      </c>
      <c r="P3887" s="213" t="s">
        <v>32522</v>
      </c>
      <c r="Q3887" s="213" t="s">
        <v>32523</v>
      </c>
      <c r="R3887" s="213" t="s">
        <v>32524</v>
      </c>
      <c r="S3887" s="213" t="s">
        <v>32525</v>
      </c>
      <c r="T3887" s="213" t="s">
        <v>32526</v>
      </c>
      <c r="U3887" s="213" t="s">
        <v>64041</v>
      </c>
    </row>
    <row r="3888" spans="1:21" x14ac:dyDescent="0.25">
      <c r="A3888" s="213" t="s">
        <v>327</v>
      </c>
      <c r="D3888" s="213" t="s">
        <v>32527</v>
      </c>
      <c r="E3888" s="213" t="s">
        <v>32528</v>
      </c>
      <c r="K3888" s="213" t="s">
        <v>63865</v>
      </c>
      <c r="L3888" s="213" t="s">
        <v>63924</v>
      </c>
      <c r="M3888" s="213" t="s">
        <v>63983</v>
      </c>
      <c r="N3888" s="213" t="s">
        <v>32529</v>
      </c>
      <c r="O3888" s="213" t="s">
        <v>32530</v>
      </c>
      <c r="P3888" s="213" t="s">
        <v>32531</v>
      </c>
      <c r="Q3888" s="213" t="s">
        <v>32532</v>
      </c>
      <c r="R3888" s="213" t="s">
        <v>32533</v>
      </c>
      <c r="S3888" s="213" t="s">
        <v>32534</v>
      </c>
      <c r="T3888" s="213" t="s">
        <v>32535</v>
      </c>
      <c r="U3888" s="213" t="s">
        <v>64042</v>
      </c>
    </row>
    <row r="3889" spans="1:21" x14ac:dyDescent="0.25">
      <c r="A3889" s="213" t="s">
        <v>327</v>
      </c>
      <c r="D3889" s="213" t="s">
        <v>32536</v>
      </c>
      <c r="E3889" s="213" t="s">
        <v>32537</v>
      </c>
      <c r="K3889" s="213" t="s">
        <v>63866</v>
      </c>
      <c r="L3889" s="213" t="s">
        <v>63925</v>
      </c>
      <c r="M3889" s="213" t="s">
        <v>63984</v>
      </c>
      <c r="N3889" s="213" t="s">
        <v>32538</v>
      </c>
      <c r="O3889" s="213" t="s">
        <v>32539</v>
      </c>
      <c r="P3889" s="213" t="s">
        <v>32540</v>
      </c>
      <c r="Q3889" s="213" t="s">
        <v>32541</v>
      </c>
      <c r="R3889" s="213" t="s">
        <v>32542</v>
      </c>
      <c r="S3889" s="213" t="s">
        <v>32543</v>
      </c>
      <c r="T3889" s="213" t="s">
        <v>32544</v>
      </c>
      <c r="U3889" s="213" t="s">
        <v>64043</v>
      </c>
    </row>
    <row r="3890" spans="1:21" x14ac:dyDescent="0.25">
      <c r="A3890" s="213" t="s">
        <v>327</v>
      </c>
      <c r="D3890" s="213" t="s">
        <v>32545</v>
      </c>
      <c r="E3890" s="213" t="s">
        <v>32546</v>
      </c>
      <c r="K3890" s="213" t="s">
        <v>63867</v>
      </c>
      <c r="L3890" s="213" t="s">
        <v>63926</v>
      </c>
      <c r="M3890" s="213" t="s">
        <v>63985</v>
      </c>
      <c r="N3890" s="213" t="s">
        <v>32547</v>
      </c>
      <c r="O3890" s="213" t="s">
        <v>32548</v>
      </c>
      <c r="P3890" s="213" t="s">
        <v>32549</v>
      </c>
      <c r="Q3890" s="213" t="s">
        <v>32550</v>
      </c>
      <c r="R3890" s="213" t="s">
        <v>32551</v>
      </c>
      <c r="S3890" s="213" t="s">
        <v>32552</v>
      </c>
      <c r="T3890" s="213" t="s">
        <v>32553</v>
      </c>
      <c r="U3890" s="213" t="s">
        <v>64044</v>
      </c>
    </row>
    <row r="3891" spans="1:21" x14ac:dyDescent="0.25">
      <c r="A3891" s="213" t="s">
        <v>327</v>
      </c>
      <c r="D3891" s="213" t="s">
        <v>32554</v>
      </c>
      <c r="E3891" s="213" t="s">
        <v>32555</v>
      </c>
      <c r="K3891" s="213" t="s">
        <v>63868</v>
      </c>
      <c r="L3891" s="213" t="s">
        <v>63927</v>
      </c>
      <c r="M3891" s="213" t="s">
        <v>63986</v>
      </c>
      <c r="N3891" s="213" t="s">
        <v>32556</v>
      </c>
      <c r="O3891" s="213" t="s">
        <v>32557</v>
      </c>
      <c r="P3891" s="213" t="s">
        <v>32558</v>
      </c>
      <c r="Q3891" s="213" t="s">
        <v>32559</v>
      </c>
      <c r="R3891" s="213" t="s">
        <v>32560</v>
      </c>
      <c r="S3891" s="213" t="s">
        <v>32561</v>
      </c>
      <c r="T3891" s="213" t="s">
        <v>32562</v>
      </c>
      <c r="U3891" s="213" t="s">
        <v>64045</v>
      </c>
    </row>
    <row r="3892" spans="1:21" x14ac:dyDescent="0.25">
      <c r="A3892" s="213" t="s">
        <v>327</v>
      </c>
      <c r="D3892" s="213" t="s">
        <v>32563</v>
      </c>
      <c r="E3892" s="213" t="s">
        <v>32564</v>
      </c>
      <c r="K3892" s="213" t="s">
        <v>63869</v>
      </c>
      <c r="L3892" s="213" t="s">
        <v>63928</v>
      </c>
      <c r="M3892" s="213" t="s">
        <v>63987</v>
      </c>
      <c r="N3892" s="213" t="s">
        <v>32565</v>
      </c>
      <c r="O3892" s="213" t="s">
        <v>32566</v>
      </c>
      <c r="P3892" s="213" t="s">
        <v>32567</v>
      </c>
      <c r="Q3892" s="213" t="s">
        <v>32568</v>
      </c>
      <c r="R3892" s="213" t="s">
        <v>32569</v>
      </c>
      <c r="S3892" s="213" t="s">
        <v>32570</v>
      </c>
      <c r="T3892" s="213" t="s">
        <v>32571</v>
      </c>
      <c r="U3892" s="213" t="s">
        <v>64046</v>
      </c>
    </row>
    <row r="3893" spans="1:21" x14ac:dyDescent="0.25">
      <c r="A3893" s="213" t="s">
        <v>327</v>
      </c>
      <c r="D3893" s="213" t="s">
        <v>32572</v>
      </c>
      <c r="E3893" s="213" t="s">
        <v>32573</v>
      </c>
      <c r="K3893" s="213" t="s">
        <v>63870</v>
      </c>
      <c r="L3893" s="213" t="s">
        <v>63929</v>
      </c>
      <c r="M3893" s="213" t="s">
        <v>63988</v>
      </c>
      <c r="N3893" s="213" t="s">
        <v>32574</v>
      </c>
      <c r="O3893" s="213" t="s">
        <v>32575</v>
      </c>
      <c r="P3893" s="213" t="s">
        <v>32576</v>
      </c>
      <c r="Q3893" s="213" t="s">
        <v>32577</v>
      </c>
      <c r="R3893" s="213" t="s">
        <v>32578</v>
      </c>
      <c r="S3893" s="213" t="s">
        <v>32579</v>
      </c>
      <c r="T3893" s="213" t="s">
        <v>32580</v>
      </c>
      <c r="U3893" s="213" t="s">
        <v>64047</v>
      </c>
    </row>
    <row r="3894" spans="1:21" x14ac:dyDescent="0.25">
      <c r="A3894" s="213" t="s">
        <v>327</v>
      </c>
      <c r="D3894" s="213" t="s">
        <v>32581</v>
      </c>
      <c r="E3894" s="213" t="s">
        <v>32582</v>
      </c>
      <c r="K3894" s="213" t="s">
        <v>63871</v>
      </c>
      <c r="L3894" s="213" t="s">
        <v>63930</v>
      </c>
      <c r="M3894" s="213" t="s">
        <v>63989</v>
      </c>
      <c r="N3894" s="213" t="s">
        <v>32583</v>
      </c>
      <c r="O3894" s="213" t="s">
        <v>32584</v>
      </c>
      <c r="P3894" s="213" t="s">
        <v>32585</v>
      </c>
      <c r="Q3894" s="213" t="s">
        <v>32586</v>
      </c>
      <c r="R3894" s="213" t="s">
        <v>32587</v>
      </c>
      <c r="S3894" s="213" t="s">
        <v>32588</v>
      </c>
      <c r="T3894" s="213" t="s">
        <v>32589</v>
      </c>
      <c r="U3894" s="213" t="s">
        <v>64048</v>
      </c>
    </row>
    <row r="3895" spans="1:21" x14ac:dyDescent="0.25">
      <c r="A3895" s="213" t="s">
        <v>327</v>
      </c>
      <c r="D3895" s="213" t="s">
        <v>32590</v>
      </c>
      <c r="E3895" s="213" t="s">
        <v>32591</v>
      </c>
      <c r="K3895" s="213" t="s">
        <v>63872</v>
      </c>
      <c r="L3895" s="213" t="s">
        <v>63931</v>
      </c>
      <c r="M3895" s="213" t="s">
        <v>63990</v>
      </c>
      <c r="N3895" s="213" t="s">
        <v>32592</v>
      </c>
      <c r="O3895" s="213" t="s">
        <v>32593</v>
      </c>
      <c r="P3895" s="213" t="s">
        <v>32594</v>
      </c>
      <c r="Q3895" s="213" t="s">
        <v>32595</v>
      </c>
      <c r="R3895" s="213" t="s">
        <v>32596</v>
      </c>
      <c r="S3895" s="213" t="s">
        <v>32597</v>
      </c>
      <c r="T3895" s="213" t="s">
        <v>32598</v>
      </c>
      <c r="U3895" s="213" t="s">
        <v>64049</v>
      </c>
    </row>
    <row r="3896" spans="1:21" x14ac:dyDescent="0.25">
      <c r="A3896" s="213" t="s">
        <v>327</v>
      </c>
      <c r="D3896" s="213" t="s">
        <v>32599</v>
      </c>
      <c r="E3896" s="213" t="s">
        <v>32600</v>
      </c>
      <c r="K3896" s="213" t="s">
        <v>63873</v>
      </c>
      <c r="L3896" s="213" t="s">
        <v>63932</v>
      </c>
      <c r="M3896" s="213" t="s">
        <v>63991</v>
      </c>
      <c r="N3896" s="213" t="s">
        <v>32601</v>
      </c>
      <c r="O3896" s="213" t="s">
        <v>32602</v>
      </c>
      <c r="P3896" s="213" t="s">
        <v>32603</v>
      </c>
      <c r="Q3896" s="213" t="s">
        <v>32604</v>
      </c>
      <c r="R3896" s="213" t="s">
        <v>32605</v>
      </c>
      <c r="S3896" s="213" t="s">
        <v>32606</v>
      </c>
      <c r="T3896" s="213" t="s">
        <v>32607</v>
      </c>
      <c r="U3896" s="213" t="s">
        <v>64050</v>
      </c>
    </row>
    <row r="3897" spans="1:21" x14ac:dyDescent="0.25">
      <c r="A3897" s="213" t="s">
        <v>327</v>
      </c>
      <c r="D3897" s="213" t="s">
        <v>32608</v>
      </c>
      <c r="E3897" s="213" t="s">
        <v>32609</v>
      </c>
      <c r="K3897" s="213" t="s">
        <v>63874</v>
      </c>
      <c r="L3897" s="213" t="s">
        <v>63933</v>
      </c>
      <c r="M3897" s="213" t="s">
        <v>63992</v>
      </c>
      <c r="N3897" s="213" t="s">
        <v>32610</v>
      </c>
      <c r="O3897" s="213" t="s">
        <v>32611</v>
      </c>
      <c r="P3897" s="213" t="s">
        <v>32612</v>
      </c>
      <c r="Q3897" s="213" t="s">
        <v>32613</v>
      </c>
      <c r="R3897" s="213" t="s">
        <v>32614</v>
      </c>
      <c r="S3897" s="213" t="s">
        <v>32615</v>
      </c>
      <c r="T3897" s="213" t="s">
        <v>32616</v>
      </c>
      <c r="U3897" s="213" t="s">
        <v>64051</v>
      </c>
    </row>
    <row r="3898" spans="1:21" x14ac:dyDescent="0.25">
      <c r="A3898" s="213" t="s">
        <v>327</v>
      </c>
      <c r="D3898" s="213" t="s">
        <v>32617</v>
      </c>
      <c r="E3898" s="213" t="s">
        <v>32618</v>
      </c>
      <c r="K3898" s="213" t="s">
        <v>63875</v>
      </c>
      <c r="L3898" s="213" t="s">
        <v>63934</v>
      </c>
      <c r="M3898" s="213" t="s">
        <v>63993</v>
      </c>
      <c r="N3898" s="213" t="s">
        <v>32619</v>
      </c>
      <c r="O3898" s="213" t="s">
        <v>32620</v>
      </c>
      <c r="P3898" s="213" t="s">
        <v>32621</v>
      </c>
      <c r="Q3898" s="213" t="s">
        <v>32622</v>
      </c>
      <c r="R3898" s="213" t="s">
        <v>32623</v>
      </c>
      <c r="S3898" s="213" t="s">
        <v>32624</v>
      </c>
      <c r="T3898" s="213" t="s">
        <v>32625</v>
      </c>
      <c r="U3898" s="213" t="s">
        <v>64052</v>
      </c>
    </row>
    <row r="3899" spans="1:21" x14ac:dyDescent="0.25">
      <c r="A3899" s="213" t="s">
        <v>327</v>
      </c>
      <c r="D3899" s="213" t="s">
        <v>32626</v>
      </c>
      <c r="E3899" s="213" t="s">
        <v>32627</v>
      </c>
      <c r="K3899" s="213" t="s">
        <v>63876</v>
      </c>
      <c r="L3899" s="213" t="s">
        <v>63935</v>
      </c>
      <c r="M3899" s="213" t="s">
        <v>63994</v>
      </c>
      <c r="N3899" s="213" t="s">
        <v>32628</v>
      </c>
      <c r="O3899" s="213" t="s">
        <v>32629</v>
      </c>
      <c r="P3899" s="213" t="s">
        <v>32630</v>
      </c>
      <c r="Q3899" s="213" t="s">
        <v>32631</v>
      </c>
      <c r="R3899" s="213" t="s">
        <v>32632</v>
      </c>
      <c r="S3899" s="213" t="s">
        <v>32633</v>
      </c>
      <c r="T3899" s="213" t="s">
        <v>32634</v>
      </c>
      <c r="U3899" s="213" t="s">
        <v>64053</v>
      </c>
    </row>
    <row r="3900" spans="1:21" x14ac:dyDescent="0.25">
      <c r="A3900" s="213" t="s">
        <v>327</v>
      </c>
    </row>
    <row r="3901" spans="1:21" x14ac:dyDescent="0.25">
      <c r="A3901" s="213" t="s">
        <v>327</v>
      </c>
    </row>
    <row r="3902" spans="1:21" x14ac:dyDescent="0.25">
      <c r="A3902" s="213" t="s">
        <v>327</v>
      </c>
      <c r="C3902" s="213" t="s">
        <v>32635</v>
      </c>
      <c r="E3902" s="213" t="s">
        <v>32636</v>
      </c>
      <c r="H3902" s="213" t="s">
        <v>32637</v>
      </c>
      <c r="I3902" s="213" t="s">
        <v>32638</v>
      </c>
      <c r="J3902" s="213" t="s">
        <v>32639</v>
      </c>
      <c r="L3902" s="213" t="s">
        <v>32640</v>
      </c>
      <c r="O3902" s="213" t="s">
        <v>32641</v>
      </c>
      <c r="P3902" s="213" t="s">
        <v>32642</v>
      </c>
      <c r="Q3902" s="213" t="s">
        <v>32643</v>
      </c>
      <c r="R3902" s="213" t="s">
        <v>32644</v>
      </c>
      <c r="S3902" s="213" t="s">
        <v>32645</v>
      </c>
      <c r="T3902" s="213" t="s">
        <v>32646</v>
      </c>
    </row>
    <row r="3903" spans="1:21" x14ac:dyDescent="0.25">
      <c r="A3903" s="213" t="s">
        <v>327</v>
      </c>
      <c r="C3903" s="213" t="s">
        <v>32647</v>
      </c>
      <c r="E3903" s="213" t="s">
        <v>32648</v>
      </c>
      <c r="I3903" s="213" t="s">
        <v>32649</v>
      </c>
    </row>
    <row r="3904" spans="1:21" x14ac:dyDescent="0.25">
      <c r="A3904" s="213" t="s">
        <v>327</v>
      </c>
      <c r="C3904" s="213" t="s">
        <v>32650</v>
      </c>
      <c r="E3904" s="213" t="s">
        <v>32651</v>
      </c>
      <c r="I3904" s="213" t="s">
        <v>32652</v>
      </c>
    </row>
    <row r="3905" spans="1:21" x14ac:dyDescent="0.25">
      <c r="A3905" s="213" t="s">
        <v>328</v>
      </c>
    </row>
    <row r="3906" spans="1:21" x14ac:dyDescent="0.25">
      <c r="A3906" s="213" t="s">
        <v>327</v>
      </c>
      <c r="D3906" s="213" t="s">
        <v>32653</v>
      </c>
      <c r="E3906" s="213" t="s">
        <v>32654</v>
      </c>
      <c r="K3906" s="213" t="s">
        <v>63762</v>
      </c>
      <c r="L3906" s="213" t="s">
        <v>63776</v>
      </c>
      <c r="M3906" s="213" t="s">
        <v>63790</v>
      </c>
      <c r="N3906" s="213" t="s">
        <v>32655</v>
      </c>
      <c r="O3906" s="213" t="s">
        <v>32656</v>
      </c>
      <c r="P3906" s="213" t="s">
        <v>32657</v>
      </c>
      <c r="Q3906" s="213" t="s">
        <v>32658</v>
      </c>
      <c r="R3906" s="213" t="s">
        <v>32659</v>
      </c>
      <c r="S3906" s="213" t="s">
        <v>32660</v>
      </c>
      <c r="T3906" s="213" t="s">
        <v>32661</v>
      </c>
      <c r="U3906" s="213" t="s">
        <v>63804</v>
      </c>
    </row>
    <row r="3907" spans="1:21" x14ac:dyDescent="0.25">
      <c r="A3907" s="213" t="s">
        <v>327</v>
      </c>
      <c r="D3907" s="213" t="s">
        <v>32662</v>
      </c>
      <c r="E3907" s="213" t="s">
        <v>32663</v>
      </c>
      <c r="K3907" s="213" t="s">
        <v>63763</v>
      </c>
      <c r="L3907" s="213" t="s">
        <v>63777</v>
      </c>
      <c r="M3907" s="213" t="s">
        <v>63791</v>
      </c>
      <c r="N3907" s="213" t="s">
        <v>32664</v>
      </c>
      <c r="O3907" s="213" t="s">
        <v>32665</v>
      </c>
      <c r="P3907" s="213" t="s">
        <v>32666</v>
      </c>
      <c r="Q3907" s="213" t="s">
        <v>32667</v>
      </c>
      <c r="R3907" s="213" t="s">
        <v>32668</v>
      </c>
      <c r="S3907" s="213" t="s">
        <v>32669</v>
      </c>
      <c r="T3907" s="213" t="s">
        <v>32670</v>
      </c>
      <c r="U3907" s="213" t="s">
        <v>63805</v>
      </c>
    </row>
    <row r="3908" spans="1:21" x14ac:dyDescent="0.25">
      <c r="A3908" s="213" t="s">
        <v>327</v>
      </c>
      <c r="D3908" s="213" t="s">
        <v>32671</v>
      </c>
      <c r="E3908" s="213" t="s">
        <v>32672</v>
      </c>
      <c r="K3908" s="213" t="s">
        <v>63764</v>
      </c>
      <c r="L3908" s="213" t="s">
        <v>63778</v>
      </c>
      <c r="M3908" s="213" t="s">
        <v>63792</v>
      </c>
      <c r="N3908" s="213" t="s">
        <v>32673</v>
      </c>
      <c r="O3908" s="213" t="s">
        <v>32674</v>
      </c>
      <c r="P3908" s="213" t="s">
        <v>32675</v>
      </c>
      <c r="Q3908" s="213" t="s">
        <v>32676</v>
      </c>
      <c r="R3908" s="213" t="s">
        <v>32677</v>
      </c>
      <c r="S3908" s="213" t="s">
        <v>32678</v>
      </c>
      <c r="T3908" s="213" t="s">
        <v>32679</v>
      </c>
      <c r="U3908" s="213" t="s">
        <v>63806</v>
      </c>
    </row>
    <row r="3909" spans="1:21" x14ac:dyDescent="0.25">
      <c r="A3909" s="213" t="s">
        <v>327</v>
      </c>
      <c r="D3909" s="213" t="s">
        <v>32680</v>
      </c>
      <c r="E3909" s="213" t="s">
        <v>32681</v>
      </c>
      <c r="K3909" s="213" t="s">
        <v>63765</v>
      </c>
      <c r="L3909" s="213" t="s">
        <v>63779</v>
      </c>
      <c r="M3909" s="213" t="s">
        <v>63793</v>
      </c>
      <c r="N3909" s="213" t="s">
        <v>32682</v>
      </c>
      <c r="O3909" s="213" t="s">
        <v>32683</v>
      </c>
      <c r="P3909" s="213" t="s">
        <v>32684</v>
      </c>
      <c r="Q3909" s="213" t="s">
        <v>32685</v>
      </c>
      <c r="R3909" s="213" t="s">
        <v>32686</v>
      </c>
      <c r="S3909" s="213" t="s">
        <v>32687</v>
      </c>
      <c r="T3909" s="213" t="s">
        <v>32688</v>
      </c>
      <c r="U3909" s="213" t="s">
        <v>63807</v>
      </c>
    </row>
    <row r="3910" spans="1:21" x14ac:dyDescent="0.25">
      <c r="A3910" s="213" t="s">
        <v>327</v>
      </c>
      <c r="D3910" s="213" t="s">
        <v>32689</v>
      </c>
      <c r="E3910" s="213" t="s">
        <v>32690</v>
      </c>
      <c r="K3910" s="213" t="s">
        <v>63766</v>
      </c>
      <c r="L3910" s="213" t="s">
        <v>63780</v>
      </c>
      <c r="M3910" s="213" t="s">
        <v>63794</v>
      </c>
      <c r="N3910" s="213" t="s">
        <v>32691</v>
      </c>
      <c r="O3910" s="213" t="s">
        <v>32692</v>
      </c>
      <c r="P3910" s="213" t="s">
        <v>32693</v>
      </c>
      <c r="Q3910" s="213" t="s">
        <v>32694</v>
      </c>
      <c r="R3910" s="213" t="s">
        <v>32695</v>
      </c>
      <c r="S3910" s="213" t="s">
        <v>32696</v>
      </c>
      <c r="T3910" s="213" t="s">
        <v>32697</v>
      </c>
      <c r="U3910" s="213" t="s">
        <v>63808</v>
      </c>
    </row>
    <row r="3911" spans="1:21" x14ac:dyDescent="0.25">
      <c r="A3911" s="213" t="s">
        <v>327</v>
      </c>
      <c r="D3911" s="213" t="s">
        <v>32698</v>
      </c>
      <c r="E3911" s="213" t="s">
        <v>32699</v>
      </c>
      <c r="K3911" s="213" t="s">
        <v>63767</v>
      </c>
      <c r="L3911" s="213" t="s">
        <v>63781</v>
      </c>
      <c r="M3911" s="213" t="s">
        <v>63795</v>
      </c>
      <c r="N3911" s="213" t="s">
        <v>32700</v>
      </c>
      <c r="O3911" s="213" t="s">
        <v>32701</v>
      </c>
      <c r="P3911" s="213" t="s">
        <v>32702</v>
      </c>
      <c r="Q3911" s="213" t="s">
        <v>32703</v>
      </c>
      <c r="R3911" s="213" t="s">
        <v>32704</v>
      </c>
      <c r="S3911" s="213" t="s">
        <v>32705</v>
      </c>
      <c r="T3911" s="213" t="s">
        <v>32706</v>
      </c>
      <c r="U3911" s="213" t="s">
        <v>63809</v>
      </c>
    </row>
    <row r="3912" spans="1:21" x14ac:dyDescent="0.25">
      <c r="A3912" s="213" t="s">
        <v>327</v>
      </c>
      <c r="D3912" s="213" t="s">
        <v>32707</v>
      </c>
      <c r="E3912" s="213" t="s">
        <v>32708</v>
      </c>
      <c r="K3912" s="213" t="s">
        <v>63768</v>
      </c>
      <c r="L3912" s="213" t="s">
        <v>63782</v>
      </c>
      <c r="M3912" s="213" t="s">
        <v>63796</v>
      </c>
      <c r="N3912" s="213" t="s">
        <v>32709</v>
      </c>
      <c r="O3912" s="213" t="s">
        <v>32710</v>
      </c>
      <c r="P3912" s="213" t="s">
        <v>32711</v>
      </c>
      <c r="Q3912" s="213" t="s">
        <v>32712</v>
      </c>
      <c r="R3912" s="213" t="s">
        <v>32713</v>
      </c>
      <c r="S3912" s="213" t="s">
        <v>32714</v>
      </c>
      <c r="T3912" s="213" t="s">
        <v>32715</v>
      </c>
      <c r="U3912" s="213" t="s">
        <v>63810</v>
      </c>
    </row>
    <row r="3913" spans="1:21" x14ac:dyDescent="0.25">
      <c r="A3913" s="213" t="s">
        <v>327</v>
      </c>
      <c r="D3913" s="213" t="s">
        <v>32716</v>
      </c>
      <c r="E3913" s="213" t="s">
        <v>32717</v>
      </c>
      <c r="K3913" s="213" t="s">
        <v>63769</v>
      </c>
      <c r="L3913" s="213" t="s">
        <v>63783</v>
      </c>
      <c r="M3913" s="213" t="s">
        <v>63797</v>
      </c>
      <c r="N3913" s="213" t="s">
        <v>32718</v>
      </c>
      <c r="O3913" s="213" t="s">
        <v>32719</v>
      </c>
      <c r="P3913" s="213" t="s">
        <v>32720</v>
      </c>
      <c r="Q3913" s="213" t="s">
        <v>32721</v>
      </c>
      <c r="R3913" s="213" t="s">
        <v>32722</v>
      </c>
      <c r="S3913" s="213" t="s">
        <v>32723</v>
      </c>
      <c r="T3913" s="213" t="s">
        <v>32724</v>
      </c>
      <c r="U3913" s="213" t="s">
        <v>63811</v>
      </c>
    </row>
    <row r="3914" spans="1:21" x14ac:dyDescent="0.25">
      <c r="A3914" s="213" t="s">
        <v>327</v>
      </c>
      <c r="D3914" s="213" t="s">
        <v>32725</v>
      </c>
      <c r="E3914" s="213" t="s">
        <v>32726</v>
      </c>
      <c r="K3914" s="213" t="s">
        <v>63770</v>
      </c>
      <c r="L3914" s="213" t="s">
        <v>63784</v>
      </c>
      <c r="M3914" s="213" t="s">
        <v>63798</v>
      </c>
      <c r="N3914" s="213" t="s">
        <v>32727</v>
      </c>
      <c r="O3914" s="213" t="s">
        <v>32728</v>
      </c>
      <c r="P3914" s="213" t="s">
        <v>32729</v>
      </c>
      <c r="Q3914" s="213" t="s">
        <v>32730</v>
      </c>
      <c r="R3914" s="213" t="s">
        <v>32731</v>
      </c>
      <c r="S3914" s="213" t="s">
        <v>32732</v>
      </c>
      <c r="T3914" s="213" t="s">
        <v>32733</v>
      </c>
      <c r="U3914" s="213" t="s">
        <v>63812</v>
      </c>
    </row>
    <row r="3915" spans="1:21" x14ac:dyDescent="0.25">
      <c r="A3915" s="213" t="s">
        <v>327</v>
      </c>
      <c r="D3915" s="213" t="s">
        <v>32734</v>
      </c>
      <c r="E3915" s="213" t="s">
        <v>32735</v>
      </c>
      <c r="K3915" s="213" t="s">
        <v>63771</v>
      </c>
      <c r="L3915" s="213" t="s">
        <v>63785</v>
      </c>
      <c r="M3915" s="213" t="s">
        <v>63799</v>
      </c>
      <c r="N3915" s="213" t="s">
        <v>32736</v>
      </c>
      <c r="O3915" s="213" t="s">
        <v>32737</v>
      </c>
      <c r="P3915" s="213" t="s">
        <v>32738</v>
      </c>
      <c r="Q3915" s="213" t="s">
        <v>32739</v>
      </c>
      <c r="R3915" s="213" t="s">
        <v>32740</v>
      </c>
      <c r="S3915" s="213" t="s">
        <v>32741</v>
      </c>
      <c r="T3915" s="213" t="s">
        <v>32742</v>
      </c>
      <c r="U3915" s="213" t="s">
        <v>63813</v>
      </c>
    </row>
    <row r="3916" spans="1:21" x14ac:dyDescent="0.25">
      <c r="A3916" s="213" t="s">
        <v>327</v>
      </c>
      <c r="D3916" s="213" t="s">
        <v>32743</v>
      </c>
      <c r="E3916" s="213" t="s">
        <v>32744</v>
      </c>
      <c r="K3916" s="213" t="s">
        <v>63772</v>
      </c>
      <c r="L3916" s="213" t="s">
        <v>63786</v>
      </c>
      <c r="M3916" s="213" t="s">
        <v>63800</v>
      </c>
      <c r="N3916" s="213" t="s">
        <v>32745</v>
      </c>
      <c r="O3916" s="213" t="s">
        <v>32746</v>
      </c>
      <c r="P3916" s="213" t="s">
        <v>32747</v>
      </c>
      <c r="Q3916" s="213" t="s">
        <v>32748</v>
      </c>
      <c r="R3916" s="213" t="s">
        <v>32749</v>
      </c>
      <c r="S3916" s="213" t="s">
        <v>32750</v>
      </c>
      <c r="T3916" s="213" t="s">
        <v>32751</v>
      </c>
      <c r="U3916" s="213" t="s">
        <v>63814</v>
      </c>
    </row>
    <row r="3917" spans="1:21" x14ac:dyDescent="0.25">
      <c r="A3917" s="213" t="s">
        <v>327</v>
      </c>
      <c r="D3917" s="213" t="s">
        <v>32752</v>
      </c>
      <c r="E3917" s="213" t="s">
        <v>32753</v>
      </c>
      <c r="K3917" s="213" t="s">
        <v>63773</v>
      </c>
      <c r="L3917" s="213" t="s">
        <v>63787</v>
      </c>
      <c r="M3917" s="213" t="s">
        <v>63801</v>
      </c>
      <c r="N3917" s="213" t="s">
        <v>32754</v>
      </c>
      <c r="O3917" s="213" t="s">
        <v>32755</v>
      </c>
      <c r="P3917" s="213" t="s">
        <v>32756</v>
      </c>
      <c r="Q3917" s="213" t="s">
        <v>32757</v>
      </c>
      <c r="R3917" s="213" t="s">
        <v>32758</v>
      </c>
      <c r="S3917" s="213" t="s">
        <v>32759</v>
      </c>
      <c r="T3917" s="213" t="s">
        <v>32760</v>
      </c>
      <c r="U3917" s="213" t="s">
        <v>63815</v>
      </c>
    </row>
    <row r="3918" spans="1:21" x14ac:dyDescent="0.25">
      <c r="A3918" s="213" t="s">
        <v>327</v>
      </c>
      <c r="D3918" s="213" t="s">
        <v>32761</v>
      </c>
      <c r="E3918" s="213" t="s">
        <v>32762</v>
      </c>
      <c r="K3918" s="213" t="s">
        <v>63774</v>
      </c>
      <c r="L3918" s="213" t="s">
        <v>63788</v>
      </c>
      <c r="M3918" s="213" t="s">
        <v>63802</v>
      </c>
      <c r="N3918" s="213" t="s">
        <v>32763</v>
      </c>
      <c r="O3918" s="213" t="s">
        <v>32764</v>
      </c>
      <c r="P3918" s="213" t="s">
        <v>32765</v>
      </c>
      <c r="Q3918" s="213" t="s">
        <v>32766</v>
      </c>
      <c r="R3918" s="213" t="s">
        <v>32767</v>
      </c>
      <c r="S3918" s="213" t="s">
        <v>32768</v>
      </c>
      <c r="T3918" s="213" t="s">
        <v>32769</v>
      </c>
      <c r="U3918" s="213" t="s">
        <v>63816</v>
      </c>
    </row>
    <row r="3919" spans="1:21" x14ac:dyDescent="0.25">
      <c r="A3919" s="213" t="s">
        <v>327</v>
      </c>
      <c r="D3919" s="213" t="s">
        <v>32770</v>
      </c>
      <c r="E3919" s="213" t="s">
        <v>32771</v>
      </c>
      <c r="K3919" s="213" t="s">
        <v>63775</v>
      </c>
      <c r="L3919" s="213" t="s">
        <v>63789</v>
      </c>
      <c r="M3919" s="213" t="s">
        <v>63803</v>
      </c>
      <c r="N3919" s="213" t="s">
        <v>32772</v>
      </c>
      <c r="O3919" s="213" t="s">
        <v>32773</v>
      </c>
      <c r="P3919" s="213" t="s">
        <v>32774</v>
      </c>
      <c r="Q3919" s="213" t="s">
        <v>32775</v>
      </c>
      <c r="R3919" s="213" t="s">
        <v>32776</v>
      </c>
      <c r="S3919" s="213" t="s">
        <v>32777</v>
      </c>
      <c r="T3919" s="213" t="s">
        <v>32778</v>
      </c>
      <c r="U3919" s="213" t="s">
        <v>63817</v>
      </c>
    </row>
    <row r="3920" spans="1:21" x14ac:dyDescent="0.25">
      <c r="A3920" s="213" t="s">
        <v>327</v>
      </c>
    </row>
    <row r="3921" spans="1:21" x14ac:dyDescent="0.25">
      <c r="A3921" s="213" t="s">
        <v>327</v>
      </c>
    </row>
    <row r="3922" spans="1:21" x14ac:dyDescent="0.25">
      <c r="A3922" s="213" t="s">
        <v>327</v>
      </c>
      <c r="C3922" s="213" t="s">
        <v>32779</v>
      </c>
      <c r="E3922" s="213" t="s">
        <v>32780</v>
      </c>
      <c r="H3922" s="213" t="s">
        <v>32781</v>
      </c>
      <c r="I3922" s="213" t="s">
        <v>32782</v>
      </c>
      <c r="J3922" s="213" t="s">
        <v>32783</v>
      </c>
      <c r="L3922" s="213" t="s">
        <v>32784</v>
      </c>
      <c r="O3922" s="213" t="s">
        <v>32785</v>
      </c>
      <c r="P3922" s="213" t="s">
        <v>32786</v>
      </c>
      <c r="Q3922" s="213" t="s">
        <v>32787</v>
      </c>
      <c r="R3922" s="213" t="s">
        <v>32788</v>
      </c>
      <c r="S3922" s="213" t="s">
        <v>32789</v>
      </c>
      <c r="T3922" s="213" t="s">
        <v>32790</v>
      </c>
    </row>
    <row r="3923" spans="1:21" x14ac:dyDescent="0.25">
      <c r="A3923" s="213" t="s">
        <v>327</v>
      </c>
      <c r="C3923" s="213" t="s">
        <v>32791</v>
      </c>
      <c r="E3923" s="213" t="s">
        <v>32792</v>
      </c>
      <c r="I3923" s="213" t="s">
        <v>32793</v>
      </c>
    </row>
    <row r="3924" spans="1:21" x14ac:dyDescent="0.25">
      <c r="A3924" s="213" t="s">
        <v>327</v>
      </c>
      <c r="C3924" s="213" t="s">
        <v>32794</v>
      </c>
      <c r="E3924" s="213" t="s">
        <v>32795</v>
      </c>
      <c r="I3924" s="213" t="s">
        <v>32796</v>
      </c>
    </row>
    <row r="3925" spans="1:21" x14ac:dyDescent="0.25">
      <c r="A3925" s="213" t="s">
        <v>328</v>
      </c>
    </row>
    <row r="3926" spans="1:21" x14ac:dyDescent="0.25">
      <c r="A3926" s="213" t="s">
        <v>327</v>
      </c>
      <c r="D3926" s="213" t="s">
        <v>32797</v>
      </c>
      <c r="E3926" s="213" t="s">
        <v>32798</v>
      </c>
      <c r="K3926" s="213" t="s">
        <v>63490</v>
      </c>
      <c r="L3926" s="213" t="s">
        <v>63558</v>
      </c>
      <c r="M3926" s="213" t="s">
        <v>63626</v>
      </c>
      <c r="N3926" s="213" t="s">
        <v>32799</v>
      </c>
      <c r="O3926" s="213" t="s">
        <v>32800</v>
      </c>
      <c r="P3926" s="213" t="s">
        <v>32801</v>
      </c>
      <c r="Q3926" s="213" t="s">
        <v>32802</v>
      </c>
      <c r="R3926" s="213" t="s">
        <v>32803</v>
      </c>
      <c r="S3926" s="213" t="s">
        <v>32804</v>
      </c>
      <c r="T3926" s="213" t="s">
        <v>32805</v>
      </c>
      <c r="U3926" s="213" t="s">
        <v>63694</v>
      </c>
    </row>
    <row r="3927" spans="1:21" x14ac:dyDescent="0.25">
      <c r="A3927" s="213" t="s">
        <v>327</v>
      </c>
      <c r="D3927" s="213" t="s">
        <v>32806</v>
      </c>
      <c r="E3927" s="213" t="s">
        <v>32807</v>
      </c>
      <c r="K3927" s="213" t="s">
        <v>63491</v>
      </c>
      <c r="L3927" s="213" t="s">
        <v>63559</v>
      </c>
      <c r="M3927" s="213" t="s">
        <v>63627</v>
      </c>
      <c r="N3927" s="213" t="s">
        <v>32808</v>
      </c>
      <c r="O3927" s="213" t="s">
        <v>32809</v>
      </c>
      <c r="P3927" s="213" t="s">
        <v>32810</v>
      </c>
      <c r="Q3927" s="213" t="s">
        <v>32811</v>
      </c>
      <c r="R3927" s="213" t="s">
        <v>32812</v>
      </c>
      <c r="S3927" s="213" t="s">
        <v>32813</v>
      </c>
      <c r="T3927" s="213" t="s">
        <v>32814</v>
      </c>
      <c r="U3927" s="213" t="s">
        <v>63695</v>
      </c>
    </row>
    <row r="3928" spans="1:21" x14ac:dyDescent="0.25">
      <c r="A3928" s="213" t="s">
        <v>327</v>
      </c>
      <c r="D3928" s="213" t="s">
        <v>32815</v>
      </c>
      <c r="E3928" s="213" t="s">
        <v>32816</v>
      </c>
      <c r="K3928" s="213" t="s">
        <v>63492</v>
      </c>
      <c r="L3928" s="213" t="s">
        <v>63560</v>
      </c>
      <c r="M3928" s="213" t="s">
        <v>63628</v>
      </c>
      <c r="N3928" s="213" t="s">
        <v>32817</v>
      </c>
      <c r="O3928" s="213" t="s">
        <v>32818</v>
      </c>
      <c r="P3928" s="213" t="s">
        <v>32819</v>
      </c>
      <c r="Q3928" s="213" t="s">
        <v>32820</v>
      </c>
      <c r="R3928" s="213" t="s">
        <v>32821</v>
      </c>
      <c r="S3928" s="213" t="s">
        <v>32822</v>
      </c>
      <c r="T3928" s="213" t="s">
        <v>32823</v>
      </c>
      <c r="U3928" s="213" t="s">
        <v>63696</v>
      </c>
    </row>
    <row r="3929" spans="1:21" x14ac:dyDescent="0.25">
      <c r="A3929" s="213" t="s">
        <v>327</v>
      </c>
      <c r="D3929" s="213" t="s">
        <v>32824</v>
      </c>
      <c r="E3929" s="213" t="s">
        <v>32825</v>
      </c>
      <c r="K3929" s="213" t="s">
        <v>63493</v>
      </c>
      <c r="L3929" s="213" t="s">
        <v>63561</v>
      </c>
      <c r="M3929" s="213" t="s">
        <v>63629</v>
      </c>
      <c r="N3929" s="213" t="s">
        <v>32826</v>
      </c>
      <c r="O3929" s="213" t="s">
        <v>32827</v>
      </c>
      <c r="P3929" s="213" t="s">
        <v>32828</v>
      </c>
      <c r="Q3929" s="213" t="s">
        <v>32829</v>
      </c>
      <c r="R3929" s="213" t="s">
        <v>32830</v>
      </c>
      <c r="S3929" s="213" t="s">
        <v>32831</v>
      </c>
      <c r="T3929" s="213" t="s">
        <v>32832</v>
      </c>
      <c r="U3929" s="213" t="s">
        <v>63697</v>
      </c>
    </row>
    <row r="3930" spans="1:21" x14ac:dyDescent="0.25">
      <c r="A3930" s="213" t="s">
        <v>327</v>
      </c>
      <c r="D3930" s="213" t="s">
        <v>32833</v>
      </c>
      <c r="E3930" s="213" t="s">
        <v>32834</v>
      </c>
      <c r="K3930" s="213" t="s">
        <v>63494</v>
      </c>
      <c r="L3930" s="213" t="s">
        <v>63562</v>
      </c>
      <c r="M3930" s="213" t="s">
        <v>63630</v>
      </c>
      <c r="N3930" s="213" t="s">
        <v>32835</v>
      </c>
      <c r="O3930" s="213" t="s">
        <v>32836</v>
      </c>
      <c r="P3930" s="213" t="s">
        <v>32837</v>
      </c>
      <c r="Q3930" s="213" t="s">
        <v>32838</v>
      </c>
      <c r="R3930" s="213" t="s">
        <v>32839</v>
      </c>
      <c r="S3930" s="213" t="s">
        <v>32840</v>
      </c>
      <c r="T3930" s="213" t="s">
        <v>32841</v>
      </c>
      <c r="U3930" s="213" t="s">
        <v>63698</v>
      </c>
    </row>
    <row r="3931" spans="1:21" x14ac:dyDescent="0.25">
      <c r="A3931" s="213" t="s">
        <v>327</v>
      </c>
      <c r="D3931" s="213" t="s">
        <v>32842</v>
      </c>
      <c r="E3931" s="213" t="s">
        <v>32843</v>
      </c>
      <c r="K3931" s="213" t="s">
        <v>63495</v>
      </c>
      <c r="L3931" s="213" t="s">
        <v>63563</v>
      </c>
      <c r="M3931" s="213" t="s">
        <v>63631</v>
      </c>
      <c r="N3931" s="213" t="s">
        <v>32844</v>
      </c>
      <c r="O3931" s="213" t="s">
        <v>32845</v>
      </c>
      <c r="P3931" s="213" t="s">
        <v>32846</v>
      </c>
      <c r="Q3931" s="213" t="s">
        <v>32847</v>
      </c>
      <c r="R3931" s="213" t="s">
        <v>32848</v>
      </c>
      <c r="S3931" s="213" t="s">
        <v>32849</v>
      </c>
      <c r="T3931" s="213" t="s">
        <v>32850</v>
      </c>
      <c r="U3931" s="213" t="s">
        <v>63699</v>
      </c>
    </row>
    <row r="3932" spans="1:21" x14ac:dyDescent="0.25">
      <c r="A3932" s="213" t="s">
        <v>327</v>
      </c>
      <c r="D3932" s="213" t="s">
        <v>32851</v>
      </c>
      <c r="E3932" s="213" t="s">
        <v>32852</v>
      </c>
      <c r="K3932" s="213" t="s">
        <v>63496</v>
      </c>
      <c r="L3932" s="213" t="s">
        <v>63564</v>
      </c>
      <c r="M3932" s="213" t="s">
        <v>63632</v>
      </c>
      <c r="N3932" s="213" t="s">
        <v>32853</v>
      </c>
      <c r="O3932" s="213" t="s">
        <v>32854</v>
      </c>
      <c r="P3932" s="213" t="s">
        <v>32855</v>
      </c>
      <c r="Q3932" s="213" t="s">
        <v>32856</v>
      </c>
      <c r="R3932" s="213" t="s">
        <v>32857</v>
      </c>
      <c r="S3932" s="213" t="s">
        <v>32858</v>
      </c>
      <c r="T3932" s="213" t="s">
        <v>32859</v>
      </c>
      <c r="U3932" s="213" t="s">
        <v>63700</v>
      </c>
    </row>
    <row r="3933" spans="1:21" x14ac:dyDescent="0.25">
      <c r="A3933" s="213" t="s">
        <v>327</v>
      </c>
      <c r="D3933" s="213" t="s">
        <v>32860</v>
      </c>
      <c r="E3933" s="213" t="s">
        <v>32861</v>
      </c>
      <c r="K3933" s="213" t="s">
        <v>63497</v>
      </c>
      <c r="L3933" s="213" t="s">
        <v>63565</v>
      </c>
      <c r="M3933" s="213" t="s">
        <v>63633</v>
      </c>
      <c r="N3933" s="213" t="s">
        <v>32862</v>
      </c>
      <c r="O3933" s="213" t="s">
        <v>32863</v>
      </c>
      <c r="P3933" s="213" t="s">
        <v>32864</v>
      </c>
      <c r="Q3933" s="213" t="s">
        <v>32865</v>
      </c>
      <c r="R3933" s="213" t="s">
        <v>32866</v>
      </c>
      <c r="S3933" s="213" t="s">
        <v>32867</v>
      </c>
      <c r="T3933" s="213" t="s">
        <v>32868</v>
      </c>
      <c r="U3933" s="213" t="s">
        <v>63701</v>
      </c>
    </row>
    <row r="3934" spans="1:21" x14ac:dyDescent="0.25">
      <c r="A3934" s="213" t="s">
        <v>327</v>
      </c>
      <c r="D3934" s="213" t="s">
        <v>32869</v>
      </c>
      <c r="E3934" s="213" t="s">
        <v>32870</v>
      </c>
      <c r="K3934" s="213" t="s">
        <v>63498</v>
      </c>
      <c r="L3934" s="213" t="s">
        <v>63566</v>
      </c>
      <c r="M3934" s="213" t="s">
        <v>63634</v>
      </c>
      <c r="N3934" s="213" t="s">
        <v>32871</v>
      </c>
      <c r="O3934" s="213" t="s">
        <v>32872</v>
      </c>
      <c r="P3934" s="213" t="s">
        <v>32873</v>
      </c>
      <c r="Q3934" s="213" t="s">
        <v>32874</v>
      </c>
      <c r="R3934" s="213" t="s">
        <v>32875</v>
      </c>
      <c r="S3934" s="213" t="s">
        <v>32876</v>
      </c>
      <c r="T3934" s="213" t="s">
        <v>32877</v>
      </c>
      <c r="U3934" s="213" t="s">
        <v>63702</v>
      </c>
    </row>
    <row r="3935" spans="1:21" x14ac:dyDescent="0.25">
      <c r="A3935" s="213" t="s">
        <v>327</v>
      </c>
      <c r="D3935" s="213" t="s">
        <v>32878</v>
      </c>
      <c r="E3935" s="213" t="s">
        <v>32879</v>
      </c>
      <c r="K3935" s="213" t="s">
        <v>63499</v>
      </c>
      <c r="L3935" s="213" t="s">
        <v>63567</v>
      </c>
      <c r="M3935" s="213" t="s">
        <v>63635</v>
      </c>
      <c r="N3935" s="213" t="s">
        <v>32880</v>
      </c>
      <c r="O3935" s="213" t="s">
        <v>32881</v>
      </c>
      <c r="P3935" s="213" t="s">
        <v>32882</v>
      </c>
      <c r="Q3935" s="213" t="s">
        <v>32883</v>
      </c>
      <c r="R3935" s="213" t="s">
        <v>32884</v>
      </c>
      <c r="S3935" s="213" t="s">
        <v>32885</v>
      </c>
      <c r="T3935" s="213" t="s">
        <v>32886</v>
      </c>
      <c r="U3935" s="213" t="s">
        <v>63703</v>
      </c>
    </row>
    <row r="3936" spans="1:21" x14ac:dyDescent="0.25">
      <c r="A3936" s="213" t="s">
        <v>327</v>
      </c>
      <c r="D3936" s="213" t="s">
        <v>32887</v>
      </c>
      <c r="E3936" s="213" t="s">
        <v>32888</v>
      </c>
      <c r="K3936" s="213" t="s">
        <v>63500</v>
      </c>
      <c r="L3936" s="213" t="s">
        <v>63568</v>
      </c>
      <c r="M3936" s="213" t="s">
        <v>63636</v>
      </c>
      <c r="N3936" s="213" t="s">
        <v>32889</v>
      </c>
      <c r="O3936" s="213" t="s">
        <v>32890</v>
      </c>
      <c r="P3936" s="213" t="s">
        <v>32891</v>
      </c>
      <c r="Q3936" s="213" t="s">
        <v>32892</v>
      </c>
      <c r="R3936" s="213" t="s">
        <v>32893</v>
      </c>
      <c r="S3936" s="213" t="s">
        <v>32894</v>
      </c>
      <c r="T3936" s="213" t="s">
        <v>32895</v>
      </c>
      <c r="U3936" s="213" t="s">
        <v>63704</v>
      </c>
    </row>
    <row r="3937" spans="1:21" x14ac:dyDescent="0.25">
      <c r="A3937" s="213" t="s">
        <v>327</v>
      </c>
      <c r="D3937" s="213" t="s">
        <v>32896</v>
      </c>
      <c r="E3937" s="213" t="s">
        <v>32897</v>
      </c>
      <c r="K3937" s="213" t="s">
        <v>63501</v>
      </c>
      <c r="L3937" s="213" t="s">
        <v>63569</v>
      </c>
      <c r="M3937" s="213" t="s">
        <v>63637</v>
      </c>
      <c r="N3937" s="213" t="s">
        <v>32898</v>
      </c>
      <c r="O3937" s="213" t="s">
        <v>32899</v>
      </c>
      <c r="P3937" s="213" t="s">
        <v>32900</v>
      </c>
      <c r="Q3937" s="213" t="s">
        <v>32901</v>
      </c>
      <c r="R3937" s="213" t="s">
        <v>32902</v>
      </c>
      <c r="S3937" s="213" t="s">
        <v>32903</v>
      </c>
      <c r="T3937" s="213" t="s">
        <v>32904</v>
      </c>
      <c r="U3937" s="213" t="s">
        <v>63705</v>
      </c>
    </row>
    <row r="3938" spans="1:21" x14ac:dyDescent="0.25">
      <c r="A3938" s="213" t="s">
        <v>327</v>
      </c>
      <c r="D3938" s="213" t="s">
        <v>32905</v>
      </c>
      <c r="E3938" s="213" t="s">
        <v>32906</v>
      </c>
      <c r="K3938" s="213" t="s">
        <v>63502</v>
      </c>
      <c r="L3938" s="213" t="s">
        <v>63570</v>
      </c>
      <c r="M3938" s="213" t="s">
        <v>63638</v>
      </c>
      <c r="N3938" s="213" t="s">
        <v>32907</v>
      </c>
      <c r="O3938" s="213" t="s">
        <v>32908</v>
      </c>
      <c r="P3938" s="213" t="s">
        <v>32909</v>
      </c>
      <c r="Q3938" s="213" t="s">
        <v>32910</v>
      </c>
      <c r="R3938" s="213" t="s">
        <v>32911</v>
      </c>
      <c r="S3938" s="213" t="s">
        <v>32912</v>
      </c>
      <c r="T3938" s="213" t="s">
        <v>32913</v>
      </c>
      <c r="U3938" s="213" t="s">
        <v>63706</v>
      </c>
    </row>
    <row r="3939" spans="1:21" x14ac:dyDescent="0.25">
      <c r="A3939" s="213" t="s">
        <v>327</v>
      </c>
      <c r="D3939" s="213" t="s">
        <v>32914</v>
      </c>
      <c r="E3939" s="213" t="s">
        <v>32915</v>
      </c>
      <c r="K3939" s="213" t="s">
        <v>63503</v>
      </c>
      <c r="L3939" s="213" t="s">
        <v>63571</v>
      </c>
      <c r="M3939" s="213" t="s">
        <v>63639</v>
      </c>
      <c r="N3939" s="213" t="s">
        <v>32916</v>
      </c>
      <c r="O3939" s="213" t="s">
        <v>32917</v>
      </c>
      <c r="P3939" s="213" t="s">
        <v>32918</v>
      </c>
      <c r="Q3939" s="213" t="s">
        <v>32919</v>
      </c>
      <c r="R3939" s="213" t="s">
        <v>32920</v>
      </c>
      <c r="S3939" s="213" t="s">
        <v>32921</v>
      </c>
      <c r="T3939" s="213" t="s">
        <v>32922</v>
      </c>
      <c r="U3939" s="213" t="s">
        <v>63707</v>
      </c>
    </row>
    <row r="3940" spans="1:21" x14ac:dyDescent="0.25">
      <c r="A3940" s="213" t="s">
        <v>327</v>
      </c>
      <c r="D3940" s="213" t="s">
        <v>32923</v>
      </c>
      <c r="E3940" s="213" t="s">
        <v>32924</v>
      </c>
      <c r="K3940" s="213" t="s">
        <v>63504</v>
      </c>
      <c r="L3940" s="213" t="s">
        <v>63572</v>
      </c>
      <c r="M3940" s="213" t="s">
        <v>63640</v>
      </c>
      <c r="N3940" s="213" t="s">
        <v>32925</v>
      </c>
      <c r="O3940" s="213" t="s">
        <v>32926</v>
      </c>
      <c r="P3940" s="213" t="s">
        <v>32927</v>
      </c>
      <c r="Q3940" s="213" t="s">
        <v>32928</v>
      </c>
      <c r="R3940" s="213" t="s">
        <v>32929</v>
      </c>
      <c r="S3940" s="213" t="s">
        <v>32930</v>
      </c>
      <c r="T3940" s="213" t="s">
        <v>32931</v>
      </c>
      <c r="U3940" s="213" t="s">
        <v>63708</v>
      </c>
    </row>
    <row r="3941" spans="1:21" x14ac:dyDescent="0.25">
      <c r="A3941" s="213" t="s">
        <v>327</v>
      </c>
      <c r="D3941" s="213" t="s">
        <v>32932</v>
      </c>
      <c r="E3941" s="213" t="s">
        <v>32933</v>
      </c>
      <c r="K3941" s="213" t="s">
        <v>63505</v>
      </c>
      <c r="L3941" s="213" t="s">
        <v>63573</v>
      </c>
      <c r="M3941" s="213" t="s">
        <v>63641</v>
      </c>
      <c r="N3941" s="213" t="s">
        <v>32934</v>
      </c>
      <c r="O3941" s="213" t="s">
        <v>32935</v>
      </c>
      <c r="P3941" s="213" t="s">
        <v>32936</v>
      </c>
      <c r="Q3941" s="213" t="s">
        <v>32937</v>
      </c>
      <c r="R3941" s="213" t="s">
        <v>32938</v>
      </c>
      <c r="S3941" s="213" t="s">
        <v>32939</v>
      </c>
      <c r="T3941" s="213" t="s">
        <v>32940</v>
      </c>
      <c r="U3941" s="213" t="s">
        <v>63709</v>
      </c>
    </row>
    <row r="3942" spans="1:21" x14ac:dyDescent="0.25">
      <c r="A3942" s="213" t="s">
        <v>327</v>
      </c>
      <c r="D3942" s="213" t="s">
        <v>32941</v>
      </c>
      <c r="E3942" s="213" t="s">
        <v>32942</v>
      </c>
      <c r="K3942" s="213" t="s">
        <v>63506</v>
      </c>
      <c r="L3942" s="213" t="s">
        <v>63574</v>
      </c>
      <c r="M3942" s="213" t="s">
        <v>63642</v>
      </c>
      <c r="N3942" s="213" t="s">
        <v>32943</v>
      </c>
      <c r="O3942" s="213" t="s">
        <v>32944</v>
      </c>
      <c r="P3942" s="213" t="s">
        <v>32945</v>
      </c>
      <c r="Q3942" s="213" t="s">
        <v>32946</v>
      </c>
      <c r="R3942" s="213" t="s">
        <v>32947</v>
      </c>
      <c r="S3942" s="213" t="s">
        <v>32948</v>
      </c>
      <c r="T3942" s="213" t="s">
        <v>32949</v>
      </c>
      <c r="U3942" s="213" t="s">
        <v>63710</v>
      </c>
    </row>
    <row r="3943" spans="1:21" x14ac:dyDescent="0.25">
      <c r="A3943" s="213" t="s">
        <v>327</v>
      </c>
      <c r="D3943" s="213" t="s">
        <v>32950</v>
      </c>
      <c r="E3943" s="213" t="s">
        <v>32951</v>
      </c>
      <c r="K3943" s="213" t="s">
        <v>63507</v>
      </c>
      <c r="L3943" s="213" t="s">
        <v>63575</v>
      </c>
      <c r="M3943" s="213" t="s">
        <v>63643</v>
      </c>
      <c r="N3943" s="213" t="s">
        <v>32952</v>
      </c>
      <c r="O3943" s="213" t="s">
        <v>32953</v>
      </c>
      <c r="P3943" s="213" t="s">
        <v>32954</v>
      </c>
      <c r="Q3943" s="213" t="s">
        <v>32955</v>
      </c>
      <c r="R3943" s="213" t="s">
        <v>32956</v>
      </c>
      <c r="S3943" s="213" t="s">
        <v>32957</v>
      </c>
      <c r="T3943" s="213" t="s">
        <v>32958</v>
      </c>
      <c r="U3943" s="213" t="s">
        <v>63711</v>
      </c>
    </row>
    <row r="3944" spans="1:21" x14ac:dyDescent="0.25">
      <c r="A3944" s="213" t="s">
        <v>327</v>
      </c>
      <c r="D3944" s="213" t="s">
        <v>32959</v>
      </c>
      <c r="E3944" s="213" t="s">
        <v>32960</v>
      </c>
      <c r="K3944" s="213" t="s">
        <v>63508</v>
      </c>
      <c r="L3944" s="213" t="s">
        <v>63576</v>
      </c>
      <c r="M3944" s="213" t="s">
        <v>63644</v>
      </c>
      <c r="N3944" s="213" t="s">
        <v>32961</v>
      </c>
      <c r="O3944" s="213" t="s">
        <v>32962</v>
      </c>
      <c r="P3944" s="213" t="s">
        <v>32963</v>
      </c>
      <c r="Q3944" s="213" t="s">
        <v>32964</v>
      </c>
      <c r="R3944" s="213" t="s">
        <v>32965</v>
      </c>
      <c r="S3944" s="213" t="s">
        <v>32966</v>
      </c>
      <c r="T3944" s="213" t="s">
        <v>32967</v>
      </c>
      <c r="U3944" s="213" t="s">
        <v>63712</v>
      </c>
    </row>
    <row r="3945" spans="1:21" x14ac:dyDescent="0.25">
      <c r="A3945" s="213" t="s">
        <v>327</v>
      </c>
      <c r="D3945" s="213" t="s">
        <v>32968</v>
      </c>
      <c r="E3945" s="213" t="s">
        <v>32969</v>
      </c>
      <c r="K3945" s="213" t="s">
        <v>63509</v>
      </c>
      <c r="L3945" s="213" t="s">
        <v>63577</v>
      </c>
      <c r="M3945" s="213" t="s">
        <v>63645</v>
      </c>
      <c r="N3945" s="213" t="s">
        <v>32970</v>
      </c>
      <c r="O3945" s="213" t="s">
        <v>32971</v>
      </c>
      <c r="P3945" s="213" t="s">
        <v>32972</v>
      </c>
      <c r="Q3945" s="213" t="s">
        <v>32973</v>
      </c>
      <c r="R3945" s="213" t="s">
        <v>32974</v>
      </c>
      <c r="S3945" s="213" t="s">
        <v>32975</v>
      </c>
      <c r="T3945" s="213" t="s">
        <v>32976</v>
      </c>
      <c r="U3945" s="213" t="s">
        <v>63713</v>
      </c>
    </row>
    <row r="3946" spans="1:21" x14ac:dyDescent="0.25">
      <c r="A3946" s="213" t="s">
        <v>327</v>
      </c>
      <c r="D3946" s="213" t="s">
        <v>32977</v>
      </c>
      <c r="E3946" s="213" t="s">
        <v>32978</v>
      </c>
      <c r="K3946" s="213" t="s">
        <v>63510</v>
      </c>
      <c r="L3946" s="213" t="s">
        <v>63578</v>
      </c>
      <c r="M3946" s="213" t="s">
        <v>63646</v>
      </c>
      <c r="N3946" s="213" t="s">
        <v>32979</v>
      </c>
      <c r="O3946" s="213" t="s">
        <v>32980</v>
      </c>
      <c r="P3946" s="213" t="s">
        <v>32981</v>
      </c>
      <c r="Q3946" s="213" t="s">
        <v>32982</v>
      </c>
      <c r="R3946" s="213" t="s">
        <v>32983</v>
      </c>
      <c r="S3946" s="213" t="s">
        <v>32984</v>
      </c>
      <c r="T3946" s="213" t="s">
        <v>32985</v>
      </c>
      <c r="U3946" s="213" t="s">
        <v>63714</v>
      </c>
    </row>
    <row r="3947" spans="1:21" x14ac:dyDescent="0.25">
      <c r="A3947" s="213" t="s">
        <v>327</v>
      </c>
      <c r="D3947" s="213" t="s">
        <v>32986</v>
      </c>
      <c r="E3947" s="213" t="s">
        <v>32987</v>
      </c>
      <c r="K3947" s="213" t="s">
        <v>63511</v>
      </c>
      <c r="L3947" s="213" t="s">
        <v>63579</v>
      </c>
      <c r="M3947" s="213" t="s">
        <v>63647</v>
      </c>
      <c r="N3947" s="213" t="s">
        <v>32988</v>
      </c>
      <c r="O3947" s="213" t="s">
        <v>32989</v>
      </c>
      <c r="P3947" s="213" t="s">
        <v>32990</v>
      </c>
      <c r="Q3947" s="213" t="s">
        <v>32991</v>
      </c>
      <c r="R3947" s="213" t="s">
        <v>32992</v>
      </c>
      <c r="S3947" s="213" t="s">
        <v>32993</v>
      </c>
      <c r="T3947" s="213" t="s">
        <v>32994</v>
      </c>
      <c r="U3947" s="213" t="s">
        <v>63715</v>
      </c>
    </row>
    <row r="3948" spans="1:21" x14ac:dyDescent="0.25">
      <c r="A3948" s="213" t="s">
        <v>327</v>
      </c>
      <c r="D3948" s="213" t="s">
        <v>32995</v>
      </c>
      <c r="E3948" s="213" t="s">
        <v>32996</v>
      </c>
      <c r="K3948" s="213" t="s">
        <v>63512</v>
      </c>
      <c r="L3948" s="213" t="s">
        <v>63580</v>
      </c>
      <c r="M3948" s="213" t="s">
        <v>63648</v>
      </c>
      <c r="N3948" s="213" t="s">
        <v>32997</v>
      </c>
      <c r="O3948" s="213" t="s">
        <v>32998</v>
      </c>
      <c r="P3948" s="213" t="s">
        <v>32999</v>
      </c>
      <c r="Q3948" s="213" t="s">
        <v>33000</v>
      </c>
      <c r="R3948" s="213" t="s">
        <v>33001</v>
      </c>
      <c r="S3948" s="213" t="s">
        <v>33002</v>
      </c>
      <c r="T3948" s="213" t="s">
        <v>33003</v>
      </c>
      <c r="U3948" s="213" t="s">
        <v>63716</v>
      </c>
    </row>
    <row r="3949" spans="1:21" x14ac:dyDescent="0.25">
      <c r="A3949" s="213" t="s">
        <v>327</v>
      </c>
      <c r="D3949" s="213" t="s">
        <v>33004</v>
      </c>
      <c r="E3949" s="213" t="s">
        <v>33005</v>
      </c>
      <c r="K3949" s="213" t="s">
        <v>63513</v>
      </c>
      <c r="L3949" s="213" t="s">
        <v>63581</v>
      </c>
      <c r="M3949" s="213" t="s">
        <v>63649</v>
      </c>
      <c r="N3949" s="213" t="s">
        <v>33006</v>
      </c>
      <c r="O3949" s="213" t="s">
        <v>33007</v>
      </c>
      <c r="P3949" s="213" t="s">
        <v>33008</v>
      </c>
      <c r="Q3949" s="213" t="s">
        <v>33009</v>
      </c>
      <c r="R3949" s="213" t="s">
        <v>33010</v>
      </c>
      <c r="S3949" s="213" t="s">
        <v>33011</v>
      </c>
      <c r="T3949" s="213" t="s">
        <v>33012</v>
      </c>
      <c r="U3949" s="213" t="s">
        <v>63717</v>
      </c>
    </row>
    <row r="3950" spans="1:21" x14ac:dyDescent="0.25">
      <c r="A3950" s="213" t="s">
        <v>327</v>
      </c>
      <c r="D3950" s="213" t="s">
        <v>33013</v>
      </c>
      <c r="E3950" s="213" t="s">
        <v>33014</v>
      </c>
      <c r="K3950" s="213" t="s">
        <v>63514</v>
      </c>
      <c r="L3950" s="213" t="s">
        <v>63582</v>
      </c>
      <c r="M3950" s="213" t="s">
        <v>63650</v>
      </c>
      <c r="N3950" s="213" t="s">
        <v>33015</v>
      </c>
      <c r="O3950" s="213" t="s">
        <v>33016</v>
      </c>
      <c r="P3950" s="213" t="s">
        <v>33017</v>
      </c>
      <c r="Q3950" s="213" t="s">
        <v>33018</v>
      </c>
      <c r="R3950" s="213" t="s">
        <v>33019</v>
      </c>
      <c r="S3950" s="213" t="s">
        <v>33020</v>
      </c>
      <c r="T3950" s="213" t="s">
        <v>33021</v>
      </c>
      <c r="U3950" s="213" t="s">
        <v>63718</v>
      </c>
    </row>
    <row r="3951" spans="1:21" x14ac:dyDescent="0.25">
      <c r="A3951" s="213" t="s">
        <v>327</v>
      </c>
      <c r="D3951" s="213" t="s">
        <v>33022</v>
      </c>
      <c r="E3951" s="213" t="s">
        <v>33023</v>
      </c>
      <c r="K3951" s="213" t="s">
        <v>63515</v>
      </c>
      <c r="L3951" s="213" t="s">
        <v>63583</v>
      </c>
      <c r="M3951" s="213" t="s">
        <v>63651</v>
      </c>
      <c r="N3951" s="213" t="s">
        <v>33024</v>
      </c>
      <c r="O3951" s="213" t="s">
        <v>33025</v>
      </c>
      <c r="P3951" s="213" t="s">
        <v>33026</v>
      </c>
      <c r="Q3951" s="213" t="s">
        <v>33027</v>
      </c>
      <c r="R3951" s="213" t="s">
        <v>33028</v>
      </c>
      <c r="S3951" s="213" t="s">
        <v>33029</v>
      </c>
      <c r="T3951" s="213" t="s">
        <v>33030</v>
      </c>
      <c r="U3951" s="213" t="s">
        <v>63719</v>
      </c>
    </row>
    <row r="3952" spans="1:21" x14ac:dyDescent="0.25">
      <c r="A3952" s="213" t="s">
        <v>327</v>
      </c>
      <c r="D3952" s="213" t="s">
        <v>33031</v>
      </c>
      <c r="E3952" s="213" t="s">
        <v>33032</v>
      </c>
      <c r="K3952" s="213" t="s">
        <v>63516</v>
      </c>
      <c r="L3952" s="213" t="s">
        <v>63584</v>
      </c>
      <c r="M3952" s="213" t="s">
        <v>63652</v>
      </c>
      <c r="N3952" s="213" t="s">
        <v>33033</v>
      </c>
      <c r="O3952" s="213" t="s">
        <v>33034</v>
      </c>
      <c r="P3952" s="213" t="s">
        <v>33035</v>
      </c>
      <c r="Q3952" s="213" t="s">
        <v>33036</v>
      </c>
      <c r="R3952" s="213" t="s">
        <v>33037</v>
      </c>
      <c r="S3952" s="213" t="s">
        <v>33038</v>
      </c>
      <c r="T3952" s="213" t="s">
        <v>33039</v>
      </c>
      <c r="U3952" s="213" t="s">
        <v>63720</v>
      </c>
    </row>
    <row r="3953" spans="1:21" x14ac:dyDescent="0.25">
      <c r="A3953" s="213" t="s">
        <v>327</v>
      </c>
      <c r="D3953" s="213" t="s">
        <v>33040</v>
      </c>
      <c r="E3953" s="213" t="s">
        <v>33041</v>
      </c>
      <c r="K3953" s="213" t="s">
        <v>63517</v>
      </c>
      <c r="L3953" s="213" t="s">
        <v>63585</v>
      </c>
      <c r="M3953" s="213" t="s">
        <v>63653</v>
      </c>
      <c r="N3953" s="213" t="s">
        <v>33042</v>
      </c>
      <c r="O3953" s="213" t="s">
        <v>33043</v>
      </c>
      <c r="P3953" s="213" t="s">
        <v>33044</v>
      </c>
      <c r="Q3953" s="213" t="s">
        <v>33045</v>
      </c>
      <c r="R3953" s="213" t="s">
        <v>33046</v>
      </c>
      <c r="S3953" s="213" t="s">
        <v>33047</v>
      </c>
      <c r="T3953" s="213" t="s">
        <v>33048</v>
      </c>
      <c r="U3953" s="213" t="s">
        <v>63721</v>
      </c>
    </row>
    <row r="3954" spans="1:21" x14ac:dyDescent="0.25">
      <c r="A3954" s="213" t="s">
        <v>327</v>
      </c>
      <c r="D3954" s="213" t="s">
        <v>33049</v>
      </c>
      <c r="E3954" s="213" t="s">
        <v>33050</v>
      </c>
      <c r="K3954" s="213" t="s">
        <v>63518</v>
      </c>
      <c r="L3954" s="213" t="s">
        <v>63586</v>
      </c>
      <c r="M3954" s="213" t="s">
        <v>63654</v>
      </c>
      <c r="N3954" s="213" t="s">
        <v>33051</v>
      </c>
      <c r="O3954" s="213" t="s">
        <v>33052</v>
      </c>
      <c r="P3954" s="213" t="s">
        <v>33053</v>
      </c>
      <c r="Q3954" s="213" t="s">
        <v>33054</v>
      </c>
      <c r="R3954" s="213" t="s">
        <v>33055</v>
      </c>
      <c r="S3954" s="213" t="s">
        <v>33056</v>
      </c>
      <c r="T3954" s="213" t="s">
        <v>33057</v>
      </c>
      <c r="U3954" s="213" t="s">
        <v>63722</v>
      </c>
    </row>
    <row r="3955" spans="1:21" x14ac:dyDescent="0.25">
      <c r="A3955" s="213" t="s">
        <v>327</v>
      </c>
      <c r="D3955" s="213" t="s">
        <v>33058</v>
      </c>
      <c r="E3955" s="213" t="s">
        <v>33059</v>
      </c>
      <c r="K3955" s="213" t="s">
        <v>63519</v>
      </c>
      <c r="L3955" s="213" t="s">
        <v>63587</v>
      </c>
      <c r="M3955" s="213" t="s">
        <v>63655</v>
      </c>
      <c r="N3955" s="213" t="s">
        <v>33060</v>
      </c>
      <c r="O3955" s="213" t="s">
        <v>33061</v>
      </c>
      <c r="P3955" s="213" t="s">
        <v>33062</v>
      </c>
      <c r="Q3955" s="213" t="s">
        <v>33063</v>
      </c>
      <c r="R3955" s="213" t="s">
        <v>33064</v>
      </c>
      <c r="S3955" s="213" t="s">
        <v>33065</v>
      </c>
      <c r="T3955" s="213" t="s">
        <v>33066</v>
      </c>
      <c r="U3955" s="213" t="s">
        <v>63723</v>
      </c>
    </row>
    <row r="3956" spans="1:21" x14ac:dyDescent="0.25">
      <c r="A3956" s="213" t="s">
        <v>327</v>
      </c>
      <c r="D3956" s="213" t="s">
        <v>33067</v>
      </c>
      <c r="E3956" s="213" t="s">
        <v>33068</v>
      </c>
      <c r="K3956" s="213" t="s">
        <v>63520</v>
      </c>
      <c r="L3956" s="213" t="s">
        <v>63588</v>
      </c>
      <c r="M3956" s="213" t="s">
        <v>63656</v>
      </c>
      <c r="N3956" s="213" t="s">
        <v>33069</v>
      </c>
      <c r="O3956" s="213" t="s">
        <v>33070</v>
      </c>
      <c r="P3956" s="213" t="s">
        <v>33071</v>
      </c>
      <c r="Q3956" s="213" t="s">
        <v>33072</v>
      </c>
      <c r="R3956" s="213" t="s">
        <v>33073</v>
      </c>
      <c r="S3956" s="213" t="s">
        <v>33074</v>
      </c>
      <c r="T3956" s="213" t="s">
        <v>33075</v>
      </c>
      <c r="U3956" s="213" t="s">
        <v>63724</v>
      </c>
    </row>
    <row r="3957" spans="1:21" x14ac:dyDescent="0.25">
      <c r="A3957" s="213" t="s">
        <v>327</v>
      </c>
      <c r="D3957" s="213" t="s">
        <v>33076</v>
      </c>
      <c r="E3957" s="213" t="s">
        <v>33077</v>
      </c>
      <c r="K3957" s="213" t="s">
        <v>63521</v>
      </c>
      <c r="L3957" s="213" t="s">
        <v>63589</v>
      </c>
      <c r="M3957" s="213" t="s">
        <v>63657</v>
      </c>
      <c r="N3957" s="213" t="s">
        <v>33078</v>
      </c>
      <c r="O3957" s="213" t="s">
        <v>33079</v>
      </c>
      <c r="P3957" s="213" t="s">
        <v>33080</v>
      </c>
      <c r="Q3957" s="213" t="s">
        <v>33081</v>
      </c>
      <c r="R3957" s="213" t="s">
        <v>33082</v>
      </c>
      <c r="S3957" s="213" t="s">
        <v>33083</v>
      </c>
      <c r="T3957" s="213" t="s">
        <v>33084</v>
      </c>
      <c r="U3957" s="213" t="s">
        <v>63725</v>
      </c>
    </row>
    <row r="3958" spans="1:21" x14ac:dyDescent="0.25">
      <c r="A3958" s="213" t="s">
        <v>327</v>
      </c>
      <c r="D3958" s="213" t="s">
        <v>33085</v>
      </c>
      <c r="E3958" s="213" t="s">
        <v>33086</v>
      </c>
      <c r="K3958" s="213" t="s">
        <v>63522</v>
      </c>
      <c r="L3958" s="213" t="s">
        <v>63590</v>
      </c>
      <c r="M3958" s="213" t="s">
        <v>63658</v>
      </c>
      <c r="N3958" s="213" t="s">
        <v>33087</v>
      </c>
      <c r="O3958" s="213" t="s">
        <v>33088</v>
      </c>
      <c r="P3958" s="213" t="s">
        <v>33089</v>
      </c>
      <c r="Q3958" s="213" t="s">
        <v>33090</v>
      </c>
      <c r="R3958" s="213" t="s">
        <v>33091</v>
      </c>
      <c r="S3958" s="213" t="s">
        <v>33092</v>
      </c>
      <c r="T3958" s="213" t="s">
        <v>33093</v>
      </c>
      <c r="U3958" s="213" t="s">
        <v>63726</v>
      </c>
    </row>
    <row r="3959" spans="1:21" x14ac:dyDescent="0.25">
      <c r="A3959" s="213" t="s">
        <v>327</v>
      </c>
      <c r="D3959" s="213" t="s">
        <v>33094</v>
      </c>
      <c r="E3959" s="213" t="s">
        <v>33095</v>
      </c>
      <c r="K3959" s="213" t="s">
        <v>63523</v>
      </c>
      <c r="L3959" s="213" t="s">
        <v>63591</v>
      </c>
      <c r="M3959" s="213" t="s">
        <v>63659</v>
      </c>
      <c r="N3959" s="213" t="s">
        <v>33096</v>
      </c>
      <c r="O3959" s="213" t="s">
        <v>33097</v>
      </c>
      <c r="P3959" s="213" t="s">
        <v>33098</v>
      </c>
      <c r="Q3959" s="213" t="s">
        <v>33099</v>
      </c>
      <c r="R3959" s="213" t="s">
        <v>33100</v>
      </c>
      <c r="S3959" s="213" t="s">
        <v>33101</v>
      </c>
      <c r="T3959" s="213" t="s">
        <v>33102</v>
      </c>
      <c r="U3959" s="213" t="s">
        <v>63727</v>
      </c>
    </row>
    <row r="3960" spans="1:21" x14ac:dyDescent="0.25">
      <c r="A3960" s="213" t="s">
        <v>327</v>
      </c>
      <c r="D3960" s="213" t="s">
        <v>33103</v>
      </c>
      <c r="E3960" s="213" t="s">
        <v>33104</v>
      </c>
      <c r="K3960" s="213" t="s">
        <v>63524</v>
      </c>
      <c r="L3960" s="213" t="s">
        <v>63592</v>
      </c>
      <c r="M3960" s="213" t="s">
        <v>63660</v>
      </c>
      <c r="N3960" s="213" t="s">
        <v>33105</v>
      </c>
      <c r="O3960" s="213" t="s">
        <v>33106</v>
      </c>
      <c r="P3960" s="213" t="s">
        <v>33107</v>
      </c>
      <c r="Q3960" s="213" t="s">
        <v>33108</v>
      </c>
      <c r="R3960" s="213" t="s">
        <v>33109</v>
      </c>
      <c r="S3960" s="213" t="s">
        <v>33110</v>
      </c>
      <c r="T3960" s="213" t="s">
        <v>33111</v>
      </c>
      <c r="U3960" s="213" t="s">
        <v>63728</v>
      </c>
    </row>
    <row r="3961" spans="1:21" x14ac:dyDescent="0.25">
      <c r="A3961" s="213" t="s">
        <v>327</v>
      </c>
      <c r="D3961" s="213" t="s">
        <v>33112</v>
      </c>
      <c r="E3961" s="213" t="s">
        <v>33113</v>
      </c>
      <c r="K3961" s="213" t="s">
        <v>63525</v>
      </c>
      <c r="L3961" s="213" t="s">
        <v>63593</v>
      </c>
      <c r="M3961" s="213" t="s">
        <v>63661</v>
      </c>
      <c r="N3961" s="213" t="s">
        <v>33114</v>
      </c>
      <c r="O3961" s="213" t="s">
        <v>33115</v>
      </c>
      <c r="P3961" s="213" t="s">
        <v>33116</v>
      </c>
      <c r="Q3961" s="213" t="s">
        <v>33117</v>
      </c>
      <c r="R3961" s="213" t="s">
        <v>33118</v>
      </c>
      <c r="S3961" s="213" t="s">
        <v>33119</v>
      </c>
      <c r="T3961" s="213" t="s">
        <v>33120</v>
      </c>
      <c r="U3961" s="213" t="s">
        <v>63729</v>
      </c>
    </row>
    <row r="3962" spans="1:21" x14ac:dyDescent="0.25">
      <c r="A3962" s="213" t="s">
        <v>327</v>
      </c>
      <c r="D3962" s="213" t="s">
        <v>33121</v>
      </c>
      <c r="E3962" s="213" t="s">
        <v>33122</v>
      </c>
      <c r="K3962" s="213" t="s">
        <v>63526</v>
      </c>
      <c r="L3962" s="213" t="s">
        <v>63594</v>
      </c>
      <c r="M3962" s="213" t="s">
        <v>63662</v>
      </c>
      <c r="N3962" s="213" t="s">
        <v>33123</v>
      </c>
      <c r="O3962" s="213" t="s">
        <v>33124</v>
      </c>
      <c r="P3962" s="213" t="s">
        <v>33125</v>
      </c>
      <c r="Q3962" s="213" t="s">
        <v>33126</v>
      </c>
      <c r="R3962" s="213" t="s">
        <v>33127</v>
      </c>
      <c r="S3962" s="213" t="s">
        <v>33128</v>
      </c>
      <c r="T3962" s="213" t="s">
        <v>33129</v>
      </c>
      <c r="U3962" s="213" t="s">
        <v>63730</v>
      </c>
    </row>
    <row r="3963" spans="1:21" x14ac:dyDescent="0.25">
      <c r="A3963" s="213" t="s">
        <v>327</v>
      </c>
      <c r="D3963" s="213" t="s">
        <v>33130</v>
      </c>
      <c r="E3963" s="213" t="s">
        <v>33131</v>
      </c>
      <c r="K3963" s="213" t="s">
        <v>63527</v>
      </c>
      <c r="L3963" s="213" t="s">
        <v>63595</v>
      </c>
      <c r="M3963" s="213" t="s">
        <v>63663</v>
      </c>
      <c r="N3963" s="213" t="s">
        <v>33132</v>
      </c>
      <c r="O3963" s="213" t="s">
        <v>33133</v>
      </c>
      <c r="P3963" s="213" t="s">
        <v>33134</v>
      </c>
      <c r="Q3963" s="213" t="s">
        <v>33135</v>
      </c>
      <c r="R3963" s="213" t="s">
        <v>33136</v>
      </c>
      <c r="S3963" s="213" t="s">
        <v>33137</v>
      </c>
      <c r="T3963" s="213" t="s">
        <v>33138</v>
      </c>
      <c r="U3963" s="213" t="s">
        <v>63731</v>
      </c>
    </row>
    <row r="3964" spans="1:21" x14ac:dyDescent="0.25">
      <c r="A3964" s="213" t="s">
        <v>327</v>
      </c>
      <c r="D3964" s="213" t="s">
        <v>33139</v>
      </c>
      <c r="E3964" s="213" t="s">
        <v>33140</v>
      </c>
      <c r="K3964" s="213" t="s">
        <v>63528</v>
      </c>
      <c r="L3964" s="213" t="s">
        <v>63596</v>
      </c>
      <c r="M3964" s="213" t="s">
        <v>63664</v>
      </c>
      <c r="N3964" s="213" t="s">
        <v>33141</v>
      </c>
      <c r="O3964" s="213" t="s">
        <v>33142</v>
      </c>
      <c r="P3964" s="213" t="s">
        <v>33143</v>
      </c>
      <c r="Q3964" s="213" t="s">
        <v>33144</v>
      </c>
      <c r="R3964" s="213" t="s">
        <v>33145</v>
      </c>
      <c r="S3964" s="213" t="s">
        <v>33146</v>
      </c>
      <c r="T3964" s="213" t="s">
        <v>33147</v>
      </c>
      <c r="U3964" s="213" t="s">
        <v>63732</v>
      </c>
    </row>
    <row r="3965" spans="1:21" x14ac:dyDescent="0.25">
      <c r="A3965" s="213" t="s">
        <v>327</v>
      </c>
      <c r="D3965" s="213" t="s">
        <v>33148</v>
      </c>
      <c r="E3965" s="213" t="s">
        <v>33149</v>
      </c>
      <c r="K3965" s="213" t="s">
        <v>63529</v>
      </c>
      <c r="L3965" s="213" t="s">
        <v>63597</v>
      </c>
      <c r="M3965" s="213" t="s">
        <v>63665</v>
      </c>
      <c r="N3965" s="213" t="s">
        <v>33150</v>
      </c>
      <c r="O3965" s="213" t="s">
        <v>33151</v>
      </c>
      <c r="P3965" s="213" t="s">
        <v>33152</v>
      </c>
      <c r="Q3965" s="213" t="s">
        <v>33153</v>
      </c>
      <c r="R3965" s="213" t="s">
        <v>33154</v>
      </c>
      <c r="S3965" s="213" t="s">
        <v>33155</v>
      </c>
      <c r="T3965" s="213" t="s">
        <v>33156</v>
      </c>
      <c r="U3965" s="213" t="s">
        <v>63733</v>
      </c>
    </row>
    <row r="3966" spans="1:21" x14ac:dyDescent="0.25">
      <c r="A3966" s="213" t="s">
        <v>327</v>
      </c>
      <c r="D3966" s="213" t="s">
        <v>33157</v>
      </c>
      <c r="E3966" s="213" t="s">
        <v>33158</v>
      </c>
      <c r="K3966" s="213" t="s">
        <v>63530</v>
      </c>
      <c r="L3966" s="213" t="s">
        <v>63598</v>
      </c>
      <c r="M3966" s="213" t="s">
        <v>63666</v>
      </c>
      <c r="N3966" s="213" t="s">
        <v>33159</v>
      </c>
      <c r="O3966" s="213" t="s">
        <v>33160</v>
      </c>
      <c r="P3966" s="213" t="s">
        <v>33161</v>
      </c>
      <c r="Q3966" s="213" t="s">
        <v>33162</v>
      </c>
      <c r="R3966" s="213" t="s">
        <v>33163</v>
      </c>
      <c r="S3966" s="213" t="s">
        <v>33164</v>
      </c>
      <c r="T3966" s="213" t="s">
        <v>33165</v>
      </c>
      <c r="U3966" s="213" t="s">
        <v>63734</v>
      </c>
    </row>
    <row r="3967" spans="1:21" x14ac:dyDescent="0.25">
      <c r="A3967" s="213" t="s">
        <v>327</v>
      </c>
      <c r="D3967" s="213" t="s">
        <v>33166</v>
      </c>
      <c r="E3967" s="213" t="s">
        <v>33167</v>
      </c>
      <c r="K3967" s="213" t="s">
        <v>63531</v>
      </c>
      <c r="L3967" s="213" t="s">
        <v>63599</v>
      </c>
      <c r="M3967" s="213" t="s">
        <v>63667</v>
      </c>
      <c r="N3967" s="213" t="s">
        <v>33168</v>
      </c>
      <c r="O3967" s="213" t="s">
        <v>33169</v>
      </c>
      <c r="P3967" s="213" t="s">
        <v>33170</v>
      </c>
      <c r="Q3967" s="213" t="s">
        <v>33171</v>
      </c>
      <c r="R3967" s="213" t="s">
        <v>33172</v>
      </c>
      <c r="S3967" s="213" t="s">
        <v>33173</v>
      </c>
      <c r="T3967" s="213" t="s">
        <v>33174</v>
      </c>
      <c r="U3967" s="213" t="s">
        <v>63735</v>
      </c>
    </row>
    <row r="3968" spans="1:21" x14ac:dyDescent="0.25">
      <c r="A3968" s="213" t="s">
        <v>327</v>
      </c>
      <c r="D3968" s="213" t="s">
        <v>33175</v>
      </c>
      <c r="E3968" s="213" t="s">
        <v>33176</v>
      </c>
      <c r="K3968" s="213" t="s">
        <v>63532</v>
      </c>
      <c r="L3968" s="213" t="s">
        <v>63600</v>
      </c>
      <c r="M3968" s="213" t="s">
        <v>63668</v>
      </c>
      <c r="N3968" s="213" t="s">
        <v>33177</v>
      </c>
      <c r="O3968" s="213" t="s">
        <v>33178</v>
      </c>
      <c r="P3968" s="213" t="s">
        <v>33179</v>
      </c>
      <c r="Q3968" s="213" t="s">
        <v>33180</v>
      </c>
      <c r="R3968" s="213" t="s">
        <v>33181</v>
      </c>
      <c r="S3968" s="213" t="s">
        <v>33182</v>
      </c>
      <c r="T3968" s="213" t="s">
        <v>33183</v>
      </c>
      <c r="U3968" s="213" t="s">
        <v>63736</v>
      </c>
    </row>
    <row r="3969" spans="1:21" x14ac:dyDescent="0.25">
      <c r="A3969" s="213" t="s">
        <v>327</v>
      </c>
      <c r="D3969" s="213" t="s">
        <v>33184</v>
      </c>
      <c r="E3969" s="213" t="s">
        <v>33185</v>
      </c>
      <c r="K3969" s="213" t="s">
        <v>63533</v>
      </c>
      <c r="L3969" s="213" t="s">
        <v>63601</v>
      </c>
      <c r="M3969" s="213" t="s">
        <v>63669</v>
      </c>
      <c r="N3969" s="213" t="s">
        <v>33186</v>
      </c>
      <c r="O3969" s="213" t="s">
        <v>33187</v>
      </c>
      <c r="P3969" s="213" t="s">
        <v>33188</v>
      </c>
      <c r="Q3969" s="213" t="s">
        <v>33189</v>
      </c>
      <c r="R3969" s="213" t="s">
        <v>33190</v>
      </c>
      <c r="S3969" s="213" t="s">
        <v>33191</v>
      </c>
      <c r="T3969" s="213" t="s">
        <v>33192</v>
      </c>
      <c r="U3969" s="213" t="s">
        <v>63737</v>
      </c>
    </row>
    <row r="3970" spans="1:21" x14ac:dyDescent="0.25">
      <c r="A3970" s="213" t="s">
        <v>327</v>
      </c>
      <c r="D3970" s="213" t="s">
        <v>33193</v>
      </c>
      <c r="E3970" s="213" t="s">
        <v>33194</v>
      </c>
      <c r="K3970" s="213" t="s">
        <v>63534</v>
      </c>
      <c r="L3970" s="213" t="s">
        <v>63602</v>
      </c>
      <c r="M3970" s="213" t="s">
        <v>63670</v>
      </c>
      <c r="N3970" s="213" t="s">
        <v>33195</v>
      </c>
      <c r="O3970" s="213" t="s">
        <v>33196</v>
      </c>
      <c r="P3970" s="213" t="s">
        <v>33197</v>
      </c>
      <c r="Q3970" s="213" t="s">
        <v>33198</v>
      </c>
      <c r="R3970" s="213" t="s">
        <v>33199</v>
      </c>
      <c r="S3970" s="213" t="s">
        <v>33200</v>
      </c>
      <c r="T3970" s="213" t="s">
        <v>33201</v>
      </c>
      <c r="U3970" s="213" t="s">
        <v>63738</v>
      </c>
    </row>
    <row r="3971" spans="1:21" x14ac:dyDescent="0.25">
      <c r="A3971" s="213" t="s">
        <v>327</v>
      </c>
      <c r="D3971" s="213" t="s">
        <v>33202</v>
      </c>
      <c r="E3971" s="213" t="s">
        <v>33203</v>
      </c>
      <c r="K3971" s="213" t="s">
        <v>63535</v>
      </c>
      <c r="L3971" s="213" t="s">
        <v>63603</v>
      </c>
      <c r="M3971" s="213" t="s">
        <v>63671</v>
      </c>
      <c r="N3971" s="213" t="s">
        <v>33204</v>
      </c>
      <c r="O3971" s="213" t="s">
        <v>33205</v>
      </c>
      <c r="P3971" s="213" t="s">
        <v>33206</v>
      </c>
      <c r="Q3971" s="213" t="s">
        <v>33207</v>
      </c>
      <c r="R3971" s="213" t="s">
        <v>33208</v>
      </c>
      <c r="S3971" s="213" t="s">
        <v>33209</v>
      </c>
      <c r="T3971" s="213" t="s">
        <v>33210</v>
      </c>
      <c r="U3971" s="213" t="s">
        <v>63739</v>
      </c>
    </row>
    <row r="3972" spans="1:21" x14ac:dyDescent="0.25">
      <c r="A3972" s="213" t="s">
        <v>327</v>
      </c>
      <c r="D3972" s="213" t="s">
        <v>33211</v>
      </c>
      <c r="E3972" s="213" t="s">
        <v>33212</v>
      </c>
      <c r="K3972" s="213" t="s">
        <v>63536</v>
      </c>
      <c r="L3972" s="213" t="s">
        <v>63604</v>
      </c>
      <c r="M3972" s="213" t="s">
        <v>63672</v>
      </c>
      <c r="N3972" s="213" t="s">
        <v>33213</v>
      </c>
      <c r="O3972" s="213" t="s">
        <v>33214</v>
      </c>
      <c r="P3972" s="213" t="s">
        <v>33215</v>
      </c>
      <c r="Q3972" s="213" t="s">
        <v>33216</v>
      </c>
      <c r="R3972" s="213" t="s">
        <v>33217</v>
      </c>
      <c r="S3972" s="213" t="s">
        <v>33218</v>
      </c>
      <c r="T3972" s="213" t="s">
        <v>33219</v>
      </c>
      <c r="U3972" s="213" t="s">
        <v>63740</v>
      </c>
    </row>
    <row r="3973" spans="1:21" x14ac:dyDescent="0.25">
      <c r="A3973" s="213" t="s">
        <v>327</v>
      </c>
      <c r="D3973" s="213" t="s">
        <v>33220</v>
      </c>
      <c r="E3973" s="213" t="s">
        <v>33221</v>
      </c>
      <c r="K3973" s="213" t="s">
        <v>63537</v>
      </c>
      <c r="L3973" s="213" t="s">
        <v>63605</v>
      </c>
      <c r="M3973" s="213" t="s">
        <v>63673</v>
      </c>
      <c r="N3973" s="213" t="s">
        <v>33222</v>
      </c>
      <c r="O3973" s="213" t="s">
        <v>33223</v>
      </c>
      <c r="P3973" s="213" t="s">
        <v>33224</v>
      </c>
      <c r="Q3973" s="213" t="s">
        <v>33225</v>
      </c>
      <c r="R3973" s="213" t="s">
        <v>33226</v>
      </c>
      <c r="S3973" s="213" t="s">
        <v>33227</v>
      </c>
      <c r="T3973" s="213" t="s">
        <v>33228</v>
      </c>
      <c r="U3973" s="213" t="s">
        <v>63741</v>
      </c>
    </row>
    <row r="3974" spans="1:21" x14ac:dyDescent="0.25">
      <c r="A3974" s="213" t="s">
        <v>327</v>
      </c>
      <c r="D3974" s="213" t="s">
        <v>33229</v>
      </c>
      <c r="E3974" s="213" t="s">
        <v>33230</v>
      </c>
      <c r="K3974" s="213" t="s">
        <v>63538</v>
      </c>
      <c r="L3974" s="213" t="s">
        <v>63606</v>
      </c>
      <c r="M3974" s="213" t="s">
        <v>63674</v>
      </c>
      <c r="N3974" s="213" t="s">
        <v>33231</v>
      </c>
      <c r="O3974" s="213" t="s">
        <v>33232</v>
      </c>
      <c r="P3974" s="213" t="s">
        <v>33233</v>
      </c>
      <c r="Q3974" s="213" t="s">
        <v>33234</v>
      </c>
      <c r="R3974" s="213" t="s">
        <v>33235</v>
      </c>
      <c r="S3974" s="213" t="s">
        <v>33236</v>
      </c>
      <c r="T3974" s="213" t="s">
        <v>33237</v>
      </c>
      <c r="U3974" s="213" t="s">
        <v>63742</v>
      </c>
    </row>
    <row r="3975" spans="1:21" x14ac:dyDescent="0.25">
      <c r="A3975" s="213" t="s">
        <v>327</v>
      </c>
      <c r="D3975" s="213" t="s">
        <v>33238</v>
      </c>
      <c r="E3975" s="213" t="s">
        <v>33239</v>
      </c>
      <c r="K3975" s="213" t="s">
        <v>63539</v>
      </c>
      <c r="L3975" s="213" t="s">
        <v>63607</v>
      </c>
      <c r="M3975" s="213" t="s">
        <v>63675</v>
      </c>
      <c r="N3975" s="213" t="s">
        <v>33240</v>
      </c>
      <c r="O3975" s="213" t="s">
        <v>33241</v>
      </c>
      <c r="P3975" s="213" t="s">
        <v>33242</v>
      </c>
      <c r="Q3975" s="213" t="s">
        <v>33243</v>
      </c>
      <c r="R3975" s="213" t="s">
        <v>33244</v>
      </c>
      <c r="S3975" s="213" t="s">
        <v>33245</v>
      </c>
      <c r="T3975" s="213" t="s">
        <v>33246</v>
      </c>
      <c r="U3975" s="213" t="s">
        <v>63743</v>
      </c>
    </row>
    <row r="3976" spans="1:21" x14ac:dyDescent="0.25">
      <c r="A3976" s="213" t="s">
        <v>327</v>
      </c>
      <c r="D3976" s="213" t="s">
        <v>33247</v>
      </c>
      <c r="E3976" s="213" t="s">
        <v>33248</v>
      </c>
      <c r="K3976" s="213" t="s">
        <v>63540</v>
      </c>
      <c r="L3976" s="213" t="s">
        <v>63608</v>
      </c>
      <c r="M3976" s="213" t="s">
        <v>63676</v>
      </c>
      <c r="N3976" s="213" t="s">
        <v>33249</v>
      </c>
      <c r="O3976" s="213" t="s">
        <v>33250</v>
      </c>
      <c r="P3976" s="213" t="s">
        <v>33251</v>
      </c>
      <c r="Q3976" s="213" t="s">
        <v>33252</v>
      </c>
      <c r="R3976" s="213" t="s">
        <v>33253</v>
      </c>
      <c r="S3976" s="213" t="s">
        <v>33254</v>
      </c>
      <c r="T3976" s="213" t="s">
        <v>33255</v>
      </c>
      <c r="U3976" s="213" t="s">
        <v>63744</v>
      </c>
    </row>
    <row r="3977" spans="1:21" x14ac:dyDescent="0.25">
      <c r="A3977" s="213" t="s">
        <v>327</v>
      </c>
      <c r="D3977" s="213" t="s">
        <v>33256</v>
      </c>
      <c r="E3977" s="213" t="s">
        <v>33257</v>
      </c>
      <c r="K3977" s="213" t="s">
        <v>63541</v>
      </c>
      <c r="L3977" s="213" t="s">
        <v>63609</v>
      </c>
      <c r="M3977" s="213" t="s">
        <v>63677</v>
      </c>
      <c r="N3977" s="213" t="s">
        <v>33258</v>
      </c>
      <c r="O3977" s="213" t="s">
        <v>33259</v>
      </c>
      <c r="P3977" s="213" t="s">
        <v>33260</v>
      </c>
      <c r="Q3977" s="213" t="s">
        <v>33261</v>
      </c>
      <c r="R3977" s="213" t="s">
        <v>33262</v>
      </c>
      <c r="S3977" s="213" t="s">
        <v>33263</v>
      </c>
      <c r="T3977" s="213" t="s">
        <v>33264</v>
      </c>
      <c r="U3977" s="213" t="s">
        <v>63745</v>
      </c>
    </row>
    <row r="3978" spans="1:21" x14ac:dyDescent="0.25">
      <c r="A3978" s="213" t="s">
        <v>327</v>
      </c>
      <c r="D3978" s="213" t="s">
        <v>33265</v>
      </c>
      <c r="E3978" s="213" t="s">
        <v>33266</v>
      </c>
      <c r="K3978" s="213" t="s">
        <v>63542</v>
      </c>
      <c r="L3978" s="213" t="s">
        <v>63610</v>
      </c>
      <c r="M3978" s="213" t="s">
        <v>63678</v>
      </c>
      <c r="N3978" s="213" t="s">
        <v>33267</v>
      </c>
      <c r="O3978" s="213" t="s">
        <v>33268</v>
      </c>
      <c r="P3978" s="213" t="s">
        <v>33269</v>
      </c>
      <c r="Q3978" s="213" t="s">
        <v>33270</v>
      </c>
      <c r="R3978" s="213" t="s">
        <v>33271</v>
      </c>
      <c r="S3978" s="213" t="s">
        <v>33272</v>
      </c>
      <c r="T3978" s="213" t="s">
        <v>33273</v>
      </c>
      <c r="U3978" s="213" t="s">
        <v>63746</v>
      </c>
    </row>
    <row r="3979" spans="1:21" x14ac:dyDescent="0.25">
      <c r="A3979" s="213" t="s">
        <v>327</v>
      </c>
      <c r="D3979" s="213" t="s">
        <v>33274</v>
      </c>
      <c r="E3979" s="213" t="s">
        <v>33275</v>
      </c>
      <c r="K3979" s="213" t="s">
        <v>63543</v>
      </c>
      <c r="L3979" s="213" t="s">
        <v>63611</v>
      </c>
      <c r="M3979" s="213" t="s">
        <v>63679</v>
      </c>
      <c r="N3979" s="213" t="s">
        <v>33276</v>
      </c>
      <c r="O3979" s="213" t="s">
        <v>33277</v>
      </c>
      <c r="P3979" s="213" t="s">
        <v>33278</v>
      </c>
      <c r="Q3979" s="213" t="s">
        <v>33279</v>
      </c>
      <c r="R3979" s="213" t="s">
        <v>33280</v>
      </c>
      <c r="S3979" s="213" t="s">
        <v>33281</v>
      </c>
      <c r="T3979" s="213" t="s">
        <v>33282</v>
      </c>
      <c r="U3979" s="213" t="s">
        <v>63747</v>
      </c>
    </row>
    <row r="3980" spans="1:21" x14ac:dyDescent="0.25">
      <c r="A3980" s="213" t="s">
        <v>327</v>
      </c>
      <c r="D3980" s="213" t="s">
        <v>33283</v>
      </c>
      <c r="E3980" s="213" t="s">
        <v>33284</v>
      </c>
      <c r="K3980" s="213" t="s">
        <v>63544</v>
      </c>
      <c r="L3980" s="213" t="s">
        <v>63612</v>
      </c>
      <c r="M3980" s="213" t="s">
        <v>63680</v>
      </c>
      <c r="N3980" s="213" t="s">
        <v>33285</v>
      </c>
      <c r="O3980" s="213" t="s">
        <v>33286</v>
      </c>
      <c r="P3980" s="213" t="s">
        <v>33287</v>
      </c>
      <c r="Q3980" s="213" t="s">
        <v>33288</v>
      </c>
      <c r="R3980" s="213" t="s">
        <v>33289</v>
      </c>
      <c r="S3980" s="213" t="s">
        <v>33290</v>
      </c>
      <c r="T3980" s="213" t="s">
        <v>33291</v>
      </c>
      <c r="U3980" s="213" t="s">
        <v>63748</v>
      </c>
    </row>
    <row r="3981" spans="1:21" x14ac:dyDescent="0.25">
      <c r="A3981" s="213" t="s">
        <v>327</v>
      </c>
      <c r="D3981" s="213" t="s">
        <v>33292</v>
      </c>
      <c r="E3981" s="213" t="s">
        <v>33293</v>
      </c>
      <c r="K3981" s="213" t="s">
        <v>63545</v>
      </c>
      <c r="L3981" s="213" t="s">
        <v>63613</v>
      </c>
      <c r="M3981" s="213" t="s">
        <v>63681</v>
      </c>
      <c r="N3981" s="213" t="s">
        <v>33294</v>
      </c>
      <c r="O3981" s="213" t="s">
        <v>33295</v>
      </c>
      <c r="P3981" s="213" t="s">
        <v>33296</v>
      </c>
      <c r="Q3981" s="213" t="s">
        <v>33297</v>
      </c>
      <c r="R3981" s="213" t="s">
        <v>33298</v>
      </c>
      <c r="S3981" s="213" t="s">
        <v>33299</v>
      </c>
      <c r="T3981" s="213" t="s">
        <v>33300</v>
      </c>
      <c r="U3981" s="213" t="s">
        <v>63749</v>
      </c>
    </row>
    <row r="3982" spans="1:21" x14ac:dyDescent="0.25">
      <c r="A3982" s="213" t="s">
        <v>327</v>
      </c>
      <c r="D3982" s="213" t="s">
        <v>33301</v>
      </c>
      <c r="E3982" s="213" t="s">
        <v>33302</v>
      </c>
      <c r="K3982" s="213" t="s">
        <v>63546</v>
      </c>
      <c r="L3982" s="213" t="s">
        <v>63614</v>
      </c>
      <c r="M3982" s="213" t="s">
        <v>63682</v>
      </c>
      <c r="N3982" s="213" t="s">
        <v>33303</v>
      </c>
      <c r="O3982" s="213" t="s">
        <v>33304</v>
      </c>
      <c r="P3982" s="213" t="s">
        <v>33305</v>
      </c>
      <c r="Q3982" s="213" t="s">
        <v>33306</v>
      </c>
      <c r="R3982" s="213" t="s">
        <v>33307</v>
      </c>
      <c r="S3982" s="213" t="s">
        <v>33308</v>
      </c>
      <c r="T3982" s="213" t="s">
        <v>33309</v>
      </c>
      <c r="U3982" s="213" t="s">
        <v>63750</v>
      </c>
    </row>
    <row r="3983" spans="1:21" x14ac:dyDescent="0.25">
      <c r="A3983" s="213" t="s">
        <v>327</v>
      </c>
      <c r="D3983" s="213" t="s">
        <v>33310</v>
      </c>
      <c r="E3983" s="213" t="s">
        <v>33311</v>
      </c>
      <c r="K3983" s="213" t="s">
        <v>63547</v>
      </c>
      <c r="L3983" s="213" t="s">
        <v>63615</v>
      </c>
      <c r="M3983" s="213" t="s">
        <v>63683</v>
      </c>
      <c r="N3983" s="213" t="s">
        <v>33312</v>
      </c>
      <c r="O3983" s="213" t="s">
        <v>33313</v>
      </c>
      <c r="P3983" s="213" t="s">
        <v>33314</v>
      </c>
      <c r="Q3983" s="213" t="s">
        <v>33315</v>
      </c>
      <c r="R3983" s="213" t="s">
        <v>33316</v>
      </c>
      <c r="S3983" s="213" t="s">
        <v>33317</v>
      </c>
      <c r="T3983" s="213" t="s">
        <v>33318</v>
      </c>
      <c r="U3983" s="213" t="s">
        <v>63751</v>
      </c>
    </row>
    <row r="3984" spans="1:21" x14ac:dyDescent="0.25">
      <c r="A3984" s="213" t="s">
        <v>327</v>
      </c>
      <c r="D3984" s="213" t="s">
        <v>33319</v>
      </c>
      <c r="E3984" s="213" t="s">
        <v>33320</v>
      </c>
      <c r="K3984" s="213" t="s">
        <v>63548</v>
      </c>
      <c r="L3984" s="213" t="s">
        <v>63616</v>
      </c>
      <c r="M3984" s="213" t="s">
        <v>63684</v>
      </c>
      <c r="N3984" s="213" t="s">
        <v>33321</v>
      </c>
      <c r="O3984" s="213" t="s">
        <v>33322</v>
      </c>
      <c r="P3984" s="213" t="s">
        <v>33323</v>
      </c>
      <c r="Q3984" s="213" t="s">
        <v>33324</v>
      </c>
      <c r="R3984" s="213" t="s">
        <v>33325</v>
      </c>
      <c r="S3984" s="213" t="s">
        <v>33326</v>
      </c>
      <c r="T3984" s="213" t="s">
        <v>33327</v>
      </c>
      <c r="U3984" s="213" t="s">
        <v>63752</v>
      </c>
    </row>
    <row r="3985" spans="1:21" x14ac:dyDescent="0.25">
      <c r="A3985" s="213" t="s">
        <v>327</v>
      </c>
      <c r="D3985" s="213" t="s">
        <v>33328</v>
      </c>
      <c r="E3985" s="213" t="s">
        <v>33329</v>
      </c>
      <c r="K3985" s="213" t="s">
        <v>63549</v>
      </c>
      <c r="L3985" s="213" t="s">
        <v>63617</v>
      </c>
      <c r="M3985" s="213" t="s">
        <v>63685</v>
      </c>
      <c r="N3985" s="213" t="s">
        <v>33330</v>
      </c>
      <c r="O3985" s="213" t="s">
        <v>33331</v>
      </c>
      <c r="P3985" s="213" t="s">
        <v>33332</v>
      </c>
      <c r="Q3985" s="213" t="s">
        <v>33333</v>
      </c>
      <c r="R3985" s="213" t="s">
        <v>33334</v>
      </c>
      <c r="S3985" s="213" t="s">
        <v>33335</v>
      </c>
      <c r="T3985" s="213" t="s">
        <v>33336</v>
      </c>
      <c r="U3985" s="213" t="s">
        <v>63753</v>
      </c>
    </row>
    <row r="3986" spans="1:21" x14ac:dyDescent="0.25">
      <c r="A3986" s="213" t="s">
        <v>327</v>
      </c>
      <c r="D3986" s="213" t="s">
        <v>33337</v>
      </c>
      <c r="E3986" s="213" t="s">
        <v>33338</v>
      </c>
      <c r="K3986" s="213" t="s">
        <v>63550</v>
      </c>
      <c r="L3986" s="213" t="s">
        <v>63618</v>
      </c>
      <c r="M3986" s="213" t="s">
        <v>63686</v>
      </c>
      <c r="N3986" s="213" t="s">
        <v>33339</v>
      </c>
      <c r="O3986" s="213" t="s">
        <v>33340</v>
      </c>
      <c r="P3986" s="213" t="s">
        <v>33341</v>
      </c>
      <c r="Q3986" s="213" t="s">
        <v>33342</v>
      </c>
      <c r="R3986" s="213" t="s">
        <v>33343</v>
      </c>
      <c r="S3986" s="213" t="s">
        <v>33344</v>
      </c>
      <c r="T3986" s="213" t="s">
        <v>33345</v>
      </c>
      <c r="U3986" s="213" t="s">
        <v>63754</v>
      </c>
    </row>
    <row r="3987" spans="1:21" x14ac:dyDescent="0.25">
      <c r="A3987" s="213" t="s">
        <v>327</v>
      </c>
      <c r="D3987" s="213" t="s">
        <v>33346</v>
      </c>
      <c r="E3987" s="213" t="s">
        <v>33347</v>
      </c>
      <c r="K3987" s="213" t="s">
        <v>63551</v>
      </c>
      <c r="L3987" s="213" t="s">
        <v>63619</v>
      </c>
      <c r="M3987" s="213" t="s">
        <v>63687</v>
      </c>
      <c r="N3987" s="213" t="s">
        <v>33348</v>
      </c>
      <c r="O3987" s="213" t="s">
        <v>33349</v>
      </c>
      <c r="P3987" s="213" t="s">
        <v>33350</v>
      </c>
      <c r="Q3987" s="213" t="s">
        <v>33351</v>
      </c>
      <c r="R3987" s="213" t="s">
        <v>33352</v>
      </c>
      <c r="S3987" s="213" t="s">
        <v>33353</v>
      </c>
      <c r="T3987" s="213" t="s">
        <v>33354</v>
      </c>
      <c r="U3987" s="213" t="s">
        <v>63755</v>
      </c>
    </row>
    <row r="3988" spans="1:21" x14ac:dyDescent="0.25">
      <c r="A3988" s="213" t="s">
        <v>327</v>
      </c>
      <c r="D3988" s="213" t="s">
        <v>33355</v>
      </c>
      <c r="E3988" s="213" t="s">
        <v>33356</v>
      </c>
      <c r="K3988" s="213" t="s">
        <v>63552</v>
      </c>
      <c r="L3988" s="213" t="s">
        <v>63620</v>
      </c>
      <c r="M3988" s="213" t="s">
        <v>63688</v>
      </c>
      <c r="N3988" s="213" t="s">
        <v>33357</v>
      </c>
      <c r="O3988" s="213" t="s">
        <v>33358</v>
      </c>
      <c r="P3988" s="213" t="s">
        <v>33359</v>
      </c>
      <c r="Q3988" s="213" t="s">
        <v>33360</v>
      </c>
      <c r="R3988" s="213" t="s">
        <v>33361</v>
      </c>
      <c r="S3988" s="213" t="s">
        <v>33362</v>
      </c>
      <c r="T3988" s="213" t="s">
        <v>33363</v>
      </c>
      <c r="U3988" s="213" t="s">
        <v>63756</v>
      </c>
    </row>
    <row r="3989" spans="1:21" x14ac:dyDescent="0.25">
      <c r="A3989" s="213" t="s">
        <v>327</v>
      </c>
      <c r="D3989" s="213" t="s">
        <v>33364</v>
      </c>
      <c r="E3989" s="213" t="s">
        <v>33365</v>
      </c>
      <c r="K3989" s="213" t="s">
        <v>63553</v>
      </c>
      <c r="L3989" s="213" t="s">
        <v>63621</v>
      </c>
      <c r="M3989" s="213" t="s">
        <v>63689</v>
      </c>
      <c r="N3989" s="213" t="s">
        <v>33366</v>
      </c>
      <c r="O3989" s="213" t="s">
        <v>33367</v>
      </c>
      <c r="P3989" s="213" t="s">
        <v>33368</v>
      </c>
      <c r="Q3989" s="213" t="s">
        <v>33369</v>
      </c>
      <c r="R3989" s="213" t="s">
        <v>33370</v>
      </c>
      <c r="S3989" s="213" t="s">
        <v>33371</v>
      </c>
      <c r="T3989" s="213" t="s">
        <v>33372</v>
      </c>
      <c r="U3989" s="213" t="s">
        <v>63757</v>
      </c>
    </row>
    <row r="3990" spans="1:21" x14ac:dyDescent="0.25">
      <c r="A3990" s="213" t="s">
        <v>327</v>
      </c>
      <c r="D3990" s="213" t="s">
        <v>33373</v>
      </c>
      <c r="E3990" s="213" t="s">
        <v>33374</v>
      </c>
      <c r="K3990" s="213" t="s">
        <v>63554</v>
      </c>
      <c r="L3990" s="213" t="s">
        <v>63622</v>
      </c>
      <c r="M3990" s="213" t="s">
        <v>63690</v>
      </c>
      <c r="N3990" s="213" t="s">
        <v>33375</v>
      </c>
      <c r="O3990" s="213" t="s">
        <v>33376</v>
      </c>
      <c r="P3990" s="213" t="s">
        <v>33377</v>
      </c>
      <c r="Q3990" s="213" t="s">
        <v>33378</v>
      </c>
      <c r="R3990" s="213" t="s">
        <v>33379</v>
      </c>
      <c r="S3990" s="213" t="s">
        <v>33380</v>
      </c>
      <c r="T3990" s="213" t="s">
        <v>33381</v>
      </c>
      <c r="U3990" s="213" t="s">
        <v>63758</v>
      </c>
    </row>
    <row r="3991" spans="1:21" x14ac:dyDescent="0.25">
      <c r="A3991" s="213" t="s">
        <v>327</v>
      </c>
      <c r="D3991" s="213" t="s">
        <v>33382</v>
      </c>
      <c r="E3991" s="213" t="s">
        <v>33383</v>
      </c>
      <c r="K3991" s="213" t="s">
        <v>63555</v>
      </c>
      <c r="L3991" s="213" t="s">
        <v>63623</v>
      </c>
      <c r="M3991" s="213" t="s">
        <v>63691</v>
      </c>
      <c r="N3991" s="213" t="s">
        <v>33384</v>
      </c>
      <c r="O3991" s="213" t="s">
        <v>33385</v>
      </c>
      <c r="P3991" s="213" t="s">
        <v>33386</v>
      </c>
      <c r="Q3991" s="213" t="s">
        <v>33387</v>
      </c>
      <c r="R3991" s="213" t="s">
        <v>33388</v>
      </c>
      <c r="S3991" s="213" t="s">
        <v>33389</v>
      </c>
      <c r="T3991" s="213" t="s">
        <v>33390</v>
      </c>
      <c r="U3991" s="213" t="s">
        <v>63759</v>
      </c>
    </row>
    <row r="3992" spans="1:21" x14ac:dyDescent="0.25">
      <c r="A3992" s="213" t="s">
        <v>327</v>
      </c>
      <c r="D3992" s="213" t="s">
        <v>33391</v>
      </c>
      <c r="E3992" s="213" t="s">
        <v>33392</v>
      </c>
      <c r="K3992" s="213" t="s">
        <v>63556</v>
      </c>
      <c r="L3992" s="213" t="s">
        <v>63624</v>
      </c>
      <c r="M3992" s="213" t="s">
        <v>63692</v>
      </c>
      <c r="N3992" s="213" t="s">
        <v>33393</v>
      </c>
      <c r="O3992" s="213" t="s">
        <v>33394</v>
      </c>
      <c r="P3992" s="213" t="s">
        <v>33395</v>
      </c>
      <c r="Q3992" s="213" t="s">
        <v>33396</v>
      </c>
      <c r="R3992" s="213" t="s">
        <v>33397</v>
      </c>
      <c r="S3992" s="213" t="s">
        <v>33398</v>
      </c>
      <c r="T3992" s="213" t="s">
        <v>33399</v>
      </c>
      <c r="U3992" s="213" t="s">
        <v>63760</v>
      </c>
    </row>
    <row r="3993" spans="1:21" x14ac:dyDescent="0.25">
      <c r="A3993" s="213" t="s">
        <v>327</v>
      </c>
      <c r="D3993" s="213" t="s">
        <v>33400</v>
      </c>
      <c r="E3993" s="213" t="s">
        <v>33401</v>
      </c>
      <c r="K3993" s="213" t="s">
        <v>63557</v>
      </c>
      <c r="L3993" s="213" t="s">
        <v>63625</v>
      </c>
      <c r="M3993" s="213" t="s">
        <v>63693</v>
      </c>
      <c r="N3993" s="213" t="s">
        <v>33402</v>
      </c>
      <c r="O3993" s="213" t="s">
        <v>33403</v>
      </c>
      <c r="P3993" s="213" t="s">
        <v>33404</v>
      </c>
      <c r="Q3993" s="213" t="s">
        <v>33405</v>
      </c>
      <c r="R3993" s="213" t="s">
        <v>33406</v>
      </c>
      <c r="S3993" s="213" t="s">
        <v>33407</v>
      </c>
      <c r="T3993" s="213" t="s">
        <v>33408</v>
      </c>
      <c r="U3993" s="213" t="s">
        <v>63761</v>
      </c>
    </row>
    <row r="3994" spans="1:21" x14ac:dyDescent="0.25">
      <c r="A3994" s="213" t="s">
        <v>327</v>
      </c>
    </row>
    <row r="3995" spans="1:21" x14ac:dyDescent="0.25">
      <c r="A3995" s="213" t="s">
        <v>327</v>
      </c>
    </row>
    <row r="3996" spans="1:21" x14ac:dyDescent="0.25">
      <c r="A3996" s="213" t="s">
        <v>327</v>
      </c>
      <c r="C3996" s="213" t="s">
        <v>33409</v>
      </c>
      <c r="E3996" s="213" t="s">
        <v>33410</v>
      </c>
      <c r="H3996" s="213" t="s">
        <v>33411</v>
      </c>
      <c r="I3996" s="213" t="s">
        <v>33412</v>
      </c>
      <c r="J3996" s="213" t="s">
        <v>33413</v>
      </c>
      <c r="L3996" s="213" t="s">
        <v>33414</v>
      </c>
      <c r="O3996" s="213" t="s">
        <v>33415</v>
      </c>
      <c r="P3996" s="213" t="s">
        <v>33416</v>
      </c>
      <c r="Q3996" s="213" t="s">
        <v>33417</v>
      </c>
      <c r="R3996" s="213" t="s">
        <v>33418</v>
      </c>
      <c r="S3996" s="213" t="s">
        <v>33419</v>
      </c>
      <c r="T3996" s="213" t="s">
        <v>33420</v>
      </c>
    </row>
    <row r="3997" spans="1:21" x14ac:dyDescent="0.25">
      <c r="A3997" s="213" t="s">
        <v>327</v>
      </c>
      <c r="C3997" s="213" t="s">
        <v>33421</v>
      </c>
      <c r="E3997" s="213" t="s">
        <v>33422</v>
      </c>
      <c r="I3997" s="213" t="s">
        <v>33423</v>
      </c>
    </row>
    <row r="3998" spans="1:21" x14ac:dyDescent="0.25">
      <c r="A3998" s="213" t="s">
        <v>327</v>
      </c>
      <c r="C3998" s="213" t="s">
        <v>33424</v>
      </c>
      <c r="E3998" s="213" t="s">
        <v>33425</v>
      </c>
      <c r="I3998" s="213" t="s">
        <v>33426</v>
      </c>
    </row>
    <row r="3999" spans="1:21" x14ac:dyDescent="0.25">
      <c r="A3999" s="213" t="s">
        <v>328</v>
      </c>
    </row>
    <row r="4000" spans="1:21" x14ac:dyDescent="0.25">
      <c r="A4000" s="213" t="s">
        <v>327</v>
      </c>
      <c r="D4000" s="213" t="s">
        <v>33427</v>
      </c>
      <c r="E4000" s="213" t="s">
        <v>33428</v>
      </c>
      <c r="K4000" s="213" t="s">
        <v>63370</v>
      </c>
      <c r="L4000" s="213" t="s">
        <v>63400</v>
      </c>
      <c r="M4000" s="213" t="s">
        <v>63430</v>
      </c>
      <c r="N4000" s="213" t="s">
        <v>33429</v>
      </c>
      <c r="O4000" s="213" t="s">
        <v>33430</v>
      </c>
      <c r="P4000" s="213" t="s">
        <v>33431</v>
      </c>
      <c r="Q4000" s="213" t="s">
        <v>33432</v>
      </c>
      <c r="R4000" s="213" t="s">
        <v>33433</v>
      </c>
      <c r="S4000" s="213" t="s">
        <v>33434</v>
      </c>
      <c r="T4000" s="213" t="s">
        <v>33435</v>
      </c>
      <c r="U4000" s="213" t="s">
        <v>63460</v>
      </c>
    </row>
    <row r="4001" spans="1:21" x14ac:dyDescent="0.25">
      <c r="A4001" s="213" t="s">
        <v>327</v>
      </c>
      <c r="D4001" s="213" t="s">
        <v>33436</v>
      </c>
      <c r="E4001" s="213" t="s">
        <v>33437</v>
      </c>
      <c r="K4001" s="213" t="s">
        <v>63371</v>
      </c>
      <c r="L4001" s="213" t="s">
        <v>63401</v>
      </c>
      <c r="M4001" s="213" t="s">
        <v>63431</v>
      </c>
      <c r="N4001" s="213" t="s">
        <v>33438</v>
      </c>
      <c r="O4001" s="213" t="s">
        <v>33439</v>
      </c>
      <c r="P4001" s="213" t="s">
        <v>33440</v>
      </c>
      <c r="Q4001" s="213" t="s">
        <v>33441</v>
      </c>
      <c r="R4001" s="213" t="s">
        <v>33442</v>
      </c>
      <c r="S4001" s="213" t="s">
        <v>33443</v>
      </c>
      <c r="T4001" s="213" t="s">
        <v>33444</v>
      </c>
      <c r="U4001" s="213" t="s">
        <v>63461</v>
      </c>
    </row>
    <row r="4002" spans="1:21" x14ac:dyDescent="0.25">
      <c r="A4002" s="213" t="s">
        <v>327</v>
      </c>
      <c r="D4002" s="213" t="s">
        <v>33445</v>
      </c>
      <c r="E4002" s="213" t="s">
        <v>33446</v>
      </c>
      <c r="K4002" s="213" t="s">
        <v>63372</v>
      </c>
      <c r="L4002" s="213" t="s">
        <v>63402</v>
      </c>
      <c r="M4002" s="213" t="s">
        <v>63432</v>
      </c>
      <c r="N4002" s="213" t="s">
        <v>33447</v>
      </c>
      <c r="O4002" s="213" t="s">
        <v>33448</v>
      </c>
      <c r="P4002" s="213" t="s">
        <v>33449</v>
      </c>
      <c r="Q4002" s="213" t="s">
        <v>33450</v>
      </c>
      <c r="R4002" s="213" t="s">
        <v>33451</v>
      </c>
      <c r="S4002" s="213" t="s">
        <v>33452</v>
      </c>
      <c r="T4002" s="213" t="s">
        <v>33453</v>
      </c>
      <c r="U4002" s="213" t="s">
        <v>63462</v>
      </c>
    </row>
    <row r="4003" spans="1:21" x14ac:dyDescent="0.25">
      <c r="A4003" s="213" t="s">
        <v>327</v>
      </c>
      <c r="D4003" s="213" t="s">
        <v>33454</v>
      </c>
      <c r="E4003" s="213" t="s">
        <v>33455</v>
      </c>
      <c r="K4003" s="213" t="s">
        <v>63373</v>
      </c>
      <c r="L4003" s="213" t="s">
        <v>63403</v>
      </c>
      <c r="M4003" s="213" t="s">
        <v>63433</v>
      </c>
      <c r="N4003" s="213" t="s">
        <v>33456</v>
      </c>
      <c r="O4003" s="213" t="s">
        <v>33457</v>
      </c>
      <c r="P4003" s="213" t="s">
        <v>33458</v>
      </c>
      <c r="Q4003" s="213" t="s">
        <v>33459</v>
      </c>
      <c r="R4003" s="213" t="s">
        <v>33460</v>
      </c>
      <c r="S4003" s="213" t="s">
        <v>33461</v>
      </c>
      <c r="T4003" s="213" t="s">
        <v>33462</v>
      </c>
      <c r="U4003" s="213" t="s">
        <v>63463</v>
      </c>
    </row>
    <row r="4004" spans="1:21" x14ac:dyDescent="0.25">
      <c r="A4004" s="213" t="s">
        <v>327</v>
      </c>
      <c r="D4004" s="213" t="s">
        <v>33463</v>
      </c>
      <c r="E4004" s="213" t="s">
        <v>33464</v>
      </c>
      <c r="K4004" s="213" t="s">
        <v>63374</v>
      </c>
      <c r="L4004" s="213" t="s">
        <v>63404</v>
      </c>
      <c r="M4004" s="213" t="s">
        <v>63434</v>
      </c>
      <c r="N4004" s="213" t="s">
        <v>33465</v>
      </c>
      <c r="O4004" s="213" t="s">
        <v>33466</v>
      </c>
      <c r="P4004" s="213" t="s">
        <v>33467</v>
      </c>
      <c r="Q4004" s="213" t="s">
        <v>33468</v>
      </c>
      <c r="R4004" s="213" t="s">
        <v>33469</v>
      </c>
      <c r="S4004" s="213" t="s">
        <v>33470</v>
      </c>
      <c r="T4004" s="213" t="s">
        <v>33471</v>
      </c>
      <c r="U4004" s="213" t="s">
        <v>63464</v>
      </c>
    </row>
    <row r="4005" spans="1:21" x14ac:dyDescent="0.25">
      <c r="A4005" s="213" t="s">
        <v>327</v>
      </c>
      <c r="D4005" s="213" t="s">
        <v>33472</v>
      </c>
      <c r="E4005" s="213" t="s">
        <v>33473</v>
      </c>
      <c r="K4005" s="213" t="s">
        <v>63375</v>
      </c>
      <c r="L4005" s="213" t="s">
        <v>63405</v>
      </c>
      <c r="M4005" s="213" t="s">
        <v>63435</v>
      </c>
      <c r="N4005" s="213" t="s">
        <v>33474</v>
      </c>
      <c r="O4005" s="213" t="s">
        <v>33475</v>
      </c>
      <c r="P4005" s="213" t="s">
        <v>33476</v>
      </c>
      <c r="Q4005" s="213" t="s">
        <v>33477</v>
      </c>
      <c r="R4005" s="213" t="s">
        <v>33478</v>
      </c>
      <c r="S4005" s="213" t="s">
        <v>33479</v>
      </c>
      <c r="T4005" s="213" t="s">
        <v>33480</v>
      </c>
      <c r="U4005" s="213" t="s">
        <v>63465</v>
      </c>
    </row>
    <row r="4006" spans="1:21" x14ac:dyDescent="0.25">
      <c r="A4006" s="213" t="s">
        <v>327</v>
      </c>
      <c r="D4006" s="213" t="s">
        <v>33481</v>
      </c>
      <c r="E4006" s="213" t="s">
        <v>33482</v>
      </c>
      <c r="K4006" s="213" t="s">
        <v>63376</v>
      </c>
      <c r="L4006" s="213" t="s">
        <v>63406</v>
      </c>
      <c r="M4006" s="213" t="s">
        <v>63436</v>
      </c>
      <c r="N4006" s="213" t="s">
        <v>33483</v>
      </c>
      <c r="O4006" s="213" t="s">
        <v>33484</v>
      </c>
      <c r="P4006" s="213" t="s">
        <v>33485</v>
      </c>
      <c r="Q4006" s="213" t="s">
        <v>33486</v>
      </c>
      <c r="R4006" s="213" t="s">
        <v>33487</v>
      </c>
      <c r="S4006" s="213" t="s">
        <v>33488</v>
      </c>
      <c r="T4006" s="213" t="s">
        <v>33489</v>
      </c>
      <c r="U4006" s="213" t="s">
        <v>63466</v>
      </c>
    </row>
    <row r="4007" spans="1:21" x14ac:dyDescent="0.25">
      <c r="A4007" s="213" t="s">
        <v>327</v>
      </c>
      <c r="D4007" s="213" t="s">
        <v>33490</v>
      </c>
      <c r="E4007" s="213" t="s">
        <v>33491</v>
      </c>
      <c r="K4007" s="213" t="s">
        <v>63377</v>
      </c>
      <c r="L4007" s="213" t="s">
        <v>63407</v>
      </c>
      <c r="M4007" s="213" t="s">
        <v>63437</v>
      </c>
      <c r="N4007" s="213" t="s">
        <v>33492</v>
      </c>
      <c r="O4007" s="213" t="s">
        <v>33493</v>
      </c>
      <c r="P4007" s="213" t="s">
        <v>33494</v>
      </c>
      <c r="Q4007" s="213" t="s">
        <v>33495</v>
      </c>
      <c r="R4007" s="213" t="s">
        <v>33496</v>
      </c>
      <c r="S4007" s="213" t="s">
        <v>33497</v>
      </c>
      <c r="T4007" s="213" t="s">
        <v>33498</v>
      </c>
      <c r="U4007" s="213" t="s">
        <v>63467</v>
      </c>
    </row>
    <row r="4008" spans="1:21" x14ac:dyDescent="0.25">
      <c r="A4008" s="213" t="s">
        <v>327</v>
      </c>
      <c r="D4008" s="213" t="s">
        <v>33499</v>
      </c>
      <c r="E4008" s="213" t="s">
        <v>33500</v>
      </c>
      <c r="K4008" s="213" t="s">
        <v>63378</v>
      </c>
      <c r="L4008" s="213" t="s">
        <v>63408</v>
      </c>
      <c r="M4008" s="213" t="s">
        <v>63438</v>
      </c>
      <c r="N4008" s="213" t="s">
        <v>33501</v>
      </c>
      <c r="O4008" s="213" t="s">
        <v>33502</v>
      </c>
      <c r="P4008" s="213" t="s">
        <v>33503</v>
      </c>
      <c r="Q4008" s="213" t="s">
        <v>33504</v>
      </c>
      <c r="R4008" s="213" t="s">
        <v>33505</v>
      </c>
      <c r="S4008" s="213" t="s">
        <v>33506</v>
      </c>
      <c r="T4008" s="213" t="s">
        <v>33507</v>
      </c>
      <c r="U4008" s="213" t="s">
        <v>63468</v>
      </c>
    </row>
    <row r="4009" spans="1:21" x14ac:dyDescent="0.25">
      <c r="A4009" s="213" t="s">
        <v>327</v>
      </c>
      <c r="D4009" s="213" t="s">
        <v>33508</v>
      </c>
      <c r="E4009" s="213" t="s">
        <v>33509</v>
      </c>
      <c r="K4009" s="213" t="s">
        <v>63379</v>
      </c>
      <c r="L4009" s="213" t="s">
        <v>63409</v>
      </c>
      <c r="M4009" s="213" t="s">
        <v>63439</v>
      </c>
      <c r="N4009" s="213" t="s">
        <v>33510</v>
      </c>
      <c r="O4009" s="213" t="s">
        <v>33511</v>
      </c>
      <c r="P4009" s="213" t="s">
        <v>33512</v>
      </c>
      <c r="Q4009" s="213" t="s">
        <v>33513</v>
      </c>
      <c r="R4009" s="213" t="s">
        <v>33514</v>
      </c>
      <c r="S4009" s="213" t="s">
        <v>33515</v>
      </c>
      <c r="T4009" s="213" t="s">
        <v>33516</v>
      </c>
      <c r="U4009" s="213" t="s">
        <v>63469</v>
      </c>
    </row>
    <row r="4010" spans="1:21" x14ac:dyDescent="0.25">
      <c r="A4010" s="213" t="s">
        <v>327</v>
      </c>
      <c r="D4010" s="213" t="s">
        <v>33517</v>
      </c>
      <c r="E4010" s="213" t="s">
        <v>33518</v>
      </c>
      <c r="K4010" s="213" t="s">
        <v>63380</v>
      </c>
      <c r="L4010" s="213" t="s">
        <v>63410</v>
      </c>
      <c r="M4010" s="213" t="s">
        <v>63440</v>
      </c>
      <c r="N4010" s="213" t="s">
        <v>33519</v>
      </c>
      <c r="O4010" s="213" t="s">
        <v>33520</v>
      </c>
      <c r="P4010" s="213" t="s">
        <v>33521</v>
      </c>
      <c r="Q4010" s="213" t="s">
        <v>33522</v>
      </c>
      <c r="R4010" s="213" t="s">
        <v>33523</v>
      </c>
      <c r="S4010" s="213" t="s">
        <v>33524</v>
      </c>
      <c r="T4010" s="213" t="s">
        <v>33525</v>
      </c>
      <c r="U4010" s="213" t="s">
        <v>63470</v>
      </c>
    </row>
    <row r="4011" spans="1:21" x14ac:dyDescent="0.25">
      <c r="A4011" s="213" t="s">
        <v>327</v>
      </c>
      <c r="D4011" s="213" t="s">
        <v>33526</v>
      </c>
      <c r="E4011" s="213" t="s">
        <v>33527</v>
      </c>
      <c r="K4011" s="213" t="s">
        <v>63381</v>
      </c>
      <c r="L4011" s="213" t="s">
        <v>63411</v>
      </c>
      <c r="M4011" s="213" t="s">
        <v>63441</v>
      </c>
      <c r="N4011" s="213" t="s">
        <v>33528</v>
      </c>
      <c r="O4011" s="213" t="s">
        <v>33529</v>
      </c>
      <c r="P4011" s="213" t="s">
        <v>33530</v>
      </c>
      <c r="Q4011" s="213" t="s">
        <v>33531</v>
      </c>
      <c r="R4011" s="213" t="s">
        <v>33532</v>
      </c>
      <c r="S4011" s="213" t="s">
        <v>33533</v>
      </c>
      <c r="T4011" s="213" t="s">
        <v>33534</v>
      </c>
      <c r="U4011" s="213" t="s">
        <v>63471</v>
      </c>
    </row>
    <row r="4012" spans="1:21" x14ac:dyDescent="0.25">
      <c r="A4012" s="213" t="s">
        <v>327</v>
      </c>
      <c r="D4012" s="213" t="s">
        <v>33535</v>
      </c>
      <c r="E4012" s="213" t="s">
        <v>33536</v>
      </c>
      <c r="K4012" s="213" t="s">
        <v>63382</v>
      </c>
      <c r="L4012" s="213" t="s">
        <v>63412</v>
      </c>
      <c r="M4012" s="213" t="s">
        <v>63442</v>
      </c>
      <c r="N4012" s="213" t="s">
        <v>33537</v>
      </c>
      <c r="O4012" s="213" t="s">
        <v>33538</v>
      </c>
      <c r="P4012" s="213" t="s">
        <v>33539</v>
      </c>
      <c r="Q4012" s="213" t="s">
        <v>33540</v>
      </c>
      <c r="R4012" s="213" t="s">
        <v>33541</v>
      </c>
      <c r="S4012" s="213" t="s">
        <v>33542</v>
      </c>
      <c r="T4012" s="213" t="s">
        <v>33543</v>
      </c>
      <c r="U4012" s="213" t="s">
        <v>63472</v>
      </c>
    </row>
    <row r="4013" spans="1:21" x14ac:dyDescent="0.25">
      <c r="A4013" s="213" t="s">
        <v>327</v>
      </c>
      <c r="D4013" s="213" t="s">
        <v>33544</v>
      </c>
      <c r="E4013" s="213" t="s">
        <v>33545</v>
      </c>
      <c r="K4013" s="213" t="s">
        <v>63383</v>
      </c>
      <c r="L4013" s="213" t="s">
        <v>63413</v>
      </c>
      <c r="M4013" s="213" t="s">
        <v>63443</v>
      </c>
      <c r="N4013" s="213" t="s">
        <v>33546</v>
      </c>
      <c r="O4013" s="213" t="s">
        <v>33547</v>
      </c>
      <c r="P4013" s="213" t="s">
        <v>33548</v>
      </c>
      <c r="Q4013" s="213" t="s">
        <v>33549</v>
      </c>
      <c r="R4013" s="213" t="s">
        <v>33550</v>
      </c>
      <c r="S4013" s="213" t="s">
        <v>33551</v>
      </c>
      <c r="T4013" s="213" t="s">
        <v>33552</v>
      </c>
      <c r="U4013" s="213" t="s">
        <v>63473</v>
      </c>
    </row>
    <row r="4014" spans="1:21" x14ac:dyDescent="0.25">
      <c r="A4014" s="213" t="s">
        <v>327</v>
      </c>
      <c r="D4014" s="213" t="s">
        <v>33553</v>
      </c>
      <c r="E4014" s="213" t="s">
        <v>33554</v>
      </c>
      <c r="K4014" s="213" t="s">
        <v>63384</v>
      </c>
      <c r="L4014" s="213" t="s">
        <v>63414</v>
      </c>
      <c r="M4014" s="213" t="s">
        <v>63444</v>
      </c>
      <c r="N4014" s="213" t="s">
        <v>33555</v>
      </c>
      <c r="O4014" s="213" t="s">
        <v>33556</v>
      </c>
      <c r="P4014" s="213" t="s">
        <v>33557</v>
      </c>
      <c r="Q4014" s="213" t="s">
        <v>33558</v>
      </c>
      <c r="R4014" s="213" t="s">
        <v>33559</v>
      </c>
      <c r="S4014" s="213" t="s">
        <v>33560</v>
      </c>
      <c r="T4014" s="213" t="s">
        <v>33561</v>
      </c>
      <c r="U4014" s="213" t="s">
        <v>63474</v>
      </c>
    </row>
    <row r="4015" spans="1:21" x14ac:dyDescent="0.25">
      <c r="A4015" s="213" t="s">
        <v>327</v>
      </c>
      <c r="D4015" s="213" t="s">
        <v>33562</v>
      </c>
      <c r="E4015" s="213" t="s">
        <v>33563</v>
      </c>
      <c r="K4015" s="213" t="s">
        <v>63385</v>
      </c>
      <c r="L4015" s="213" t="s">
        <v>63415</v>
      </c>
      <c r="M4015" s="213" t="s">
        <v>63445</v>
      </c>
      <c r="N4015" s="213" t="s">
        <v>33564</v>
      </c>
      <c r="O4015" s="213" t="s">
        <v>33565</v>
      </c>
      <c r="P4015" s="213" t="s">
        <v>33566</v>
      </c>
      <c r="Q4015" s="213" t="s">
        <v>33567</v>
      </c>
      <c r="R4015" s="213" t="s">
        <v>33568</v>
      </c>
      <c r="S4015" s="213" t="s">
        <v>33569</v>
      </c>
      <c r="T4015" s="213" t="s">
        <v>33570</v>
      </c>
      <c r="U4015" s="213" t="s">
        <v>63475</v>
      </c>
    </row>
    <row r="4016" spans="1:21" x14ac:dyDescent="0.25">
      <c r="A4016" s="213" t="s">
        <v>327</v>
      </c>
      <c r="D4016" s="213" t="s">
        <v>33571</v>
      </c>
      <c r="E4016" s="213" t="s">
        <v>33572</v>
      </c>
      <c r="K4016" s="213" t="s">
        <v>63386</v>
      </c>
      <c r="L4016" s="213" t="s">
        <v>63416</v>
      </c>
      <c r="M4016" s="213" t="s">
        <v>63446</v>
      </c>
      <c r="N4016" s="213" t="s">
        <v>33573</v>
      </c>
      <c r="O4016" s="213" t="s">
        <v>33574</v>
      </c>
      <c r="P4016" s="213" t="s">
        <v>33575</v>
      </c>
      <c r="Q4016" s="213" t="s">
        <v>33576</v>
      </c>
      <c r="R4016" s="213" t="s">
        <v>33577</v>
      </c>
      <c r="S4016" s="213" t="s">
        <v>33578</v>
      </c>
      <c r="T4016" s="213" t="s">
        <v>33579</v>
      </c>
      <c r="U4016" s="213" t="s">
        <v>63476</v>
      </c>
    </row>
    <row r="4017" spans="1:21" x14ac:dyDescent="0.25">
      <c r="A4017" s="213" t="s">
        <v>327</v>
      </c>
      <c r="D4017" s="213" t="s">
        <v>33580</v>
      </c>
      <c r="E4017" s="213" t="s">
        <v>33581</v>
      </c>
      <c r="K4017" s="213" t="s">
        <v>63387</v>
      </c>
      <c r="L4017" s="213" t="s">
        <v>63417</v>
      </c>
      <c r="M4017" s="213" t="s">
        <v>63447</v>
      </c>
      <c r="N4017" s="213" t="s">
        <v>33582</v>
      </c>
      <c r="O4017" s="213" t="s">
        <v>33583</v>
      </c>
      <c r="P4017" s="213" t="s">
        <v>33584</v>
      </c>
      <c r="Q4017" s="213" t="s">
        <v>33585</v>
      </c>
      <c r="R4017" s="213" t="s">
        <v>33586</v>
      </c>
      <c r="S4017" s="213" t="s">
        <v>33587</v>
      </c>
      <c r="T4017" s="213" t="s">
        <v>33588</v>
      </c>
      <c r="U4017" s="213" t="s">
        <v>63477</v>
      </c>
    </row>
    <row r="4018" spans="1:21" x14ac:dyDescent="0.25">
      <c r="A4018" s="213" t="s">
        <v>327</v>
      </c>
      <c r="D4018" s="213" t="s">
        <v>33589</v>
      </c>
      <c r="E4018" s="213" t="s">
        <v>33590</v>
      </c>
      <c r="K4018" s="213" t="s">
        <v>63388</v>
      </c>
      <c r="L4018" s="213" t="s">
        <v>63418</v>
      </c>
      <c r="M4018" s="213" t="s">
        <v>63448</v>
      </c>
      <c r="N4018" s="213" t="s">
        <v>33591</v>
      </c>
      <c r="O4018" s="213" t="s">
        <v>33592</v>
      </c>
      <c r="P4018" s="213" t="s">
        <v>33593</v>
      </c>
      <c r="Q4018" s="213" t="s">
        <v>33594</v>
      </c>
      <c r="R4018" s="213" t="s">
        <v>33595</v>
      </c>
      <c r="S4018" s="213" t="s">
        <v>33596</v>
      </c>
      <c r="T4018" s="213" t="s">
        <v>33597</v>
      </c>
      <c r="U4018" s="213" t="s">
        <v>63478</v>
      </c>
    </row>
    <row r="4019" spans="1:21" x14ac:dyDescent="0.25">
      <c r="A4019" s="213" t="s">
        <v>327</v>
      </c>
      <c r="D4019" s="213" t="s">
        <v>33598</v>
      </c>
      <c r="E4019" s="213" t="s">
        <v>33599</v>
      </c>
      <c r="K4019" s="213" t="s">
        <v>63389</v>
      </c>
      <c r="L4019" s="213" t="s">
        <v>63419</v>
      </c>
      <c r="M4019" s="213" t="s">
        <v>63449</v>
      </c>
      <c r="N4019" s="213" t="s">
        <v>33600</v>
      </c>
      <c r="O4019" s="213" t="s">
        <v>33601</v>
      </c>
      <c r="P4019" s="213" t="s">
        <v>33602</v>
      </c>
      <c r="Q4019" s="213" t="s">
        <v>33603</v>
      </c>
      <c r="R4019" s="213" t="s">
        <v>33604</v>
      </c>
      <c r="S4019" s="213" t="s">
        <v>33605</v>
      </c>
      <c r="T4019" s="213" t="s">
        <v>33606</v>
      </c>
      <c r="U4019" s="213" t="s">
        <v>63479</v>
      </c>
    </row>
    <row r="4020" spans="1:21" x14ac:dyDescent="0.25">
      <c r="A4020" s="213" t="s">
        <v>327</v>
      </c>
      <c r="D4020" s="213" t="s">
        <v>33607</v>
      </c>
      <c r="E4020" s="213" t="s">
        <v>33608</v>
      </c>
      <c r="K4020" s="213" t="s">
        <v>63390</v>
      </c>
      <c r="L4020" s="213" t="s">
        <v>63420</v>
      </c>
      <c r="M4020" s="213" t="s">
        <v>63450</v>
      </c>
      <c r="N4020" s="213" t="s">
        <v>33609</v>
      </c>
      <c r="O4020" s="213" t="s">
        <v>33610</v>
      </c>
      <c r="P4020" s="213" t="s">
        <v>33611</v>
      </c>
      <c r="Q4020" s="213" t="s">
        <v>33612</v>
      </c>
      <c r="R4020" s="213" t="s">
        <v>33613</v>
      </c>
      <c r="S4020" s="213" t="s">
        <v>33614</v>
      </c>
      <c r="T4020" s="213" t="s">
        <v>33615</v>
      </c>
      <c r="U4020" s="213" t="s">
        <v>63480</v>
      </c>
    </row>
    <row r="4021" spans="1:21" x14ac:dyDescent="0.25">
      <c r="A4021" s="213" t="s">
        <v>327</v>
      </c>
      <c r="D4021" s="213" t="s">
        <v>33616</v>
      </c>
      <c r="E4021" s="213" t="s">
        <v>33617</v>
      </c>
      <c r="K4021" s="213" t="s">
        <v>63391</v>
      </c>
      <c r="L4021" s="213" t="s">
        <v>63421</v>
      </c>
      <c r="M4021" s="213" t="s">
        <v>63451</v>
      </c>
      <c r="N4021" s="213" t="s">
        <v>33618</v>
      </c>
      <c r="O4021" s="213" t="s">
        <v>33619</v>
      </c>
      <c r="P4021" s="213" t="s">
        <v>33620</v>
      </c>
      <c r="Q4021" s="213" t="s">
        <v>33621</v>
      </c>
      <c r="R4021" s="213" t="s">
        <v>33622</v>
      </c>
      <c r="S4021" s="213" t="s">
        <v>33623</v>
      </c>
      <c r="T4021" s="213" t="s">
        <v>33624</v>
      </c>
      <c r="U4021" s="213" t="s">
        <v>63481</v>
      </c>
    </row>
    <row r="4022" spans="1:21" x14ac:dyDescent="0.25">
      <c r="A4022" s="213" t="s">
        <v>327</v>
      </c>
      <c r="D4022" s="213" t="s">
        <v>33625</v>
      </c>
      <c r="E4022" s="213" t="s">
        <v>33626</v>
      </c>
      <c r="K4022" s="213" t="s">
        <v>63392</v>
      </c>
      <c r="L4022" s="213" t="s">
        <v>63422</v>
      </c>
      <c r="M4022" s="213" t="s">
        <v>63452</v>
      </c>
      <c r="N4022" s="213" t="s">
        <v>33627</v>
      </c>
      <c r="O4022" s="213" t="s">
        <v>33628</v>
      </c>
      <c r="P4022" s="213" t="s">
        <v>33629</v>
      </c>
      <c r="Q4022" s="213" t="s">
        <v>33630</v>
      </c>
      <c r="R4022" s="213" t="s">
        <v>33631</v>
      </c>
      <c r="S4022" s="213" t="s">
        <v>33632</v>
      </c>
      <c r="T4022" s="213" t="s">
        <v>33633</v>
      </c>
      <c r="U4022" s="213" t="s">
        <v>63482</v>
      </c>
    </row>
    <row r="4023" spans="1:21" x14ac:dyDescent="0.25">
      <c r="A4023" s="213" t="s">
        <v>327</v>
      </c>
      <c r="D4023" s="213" t="s">
        <v>33634</v>
      </c>
      <c r="E4023" s="213" t="s">
        <v>33635</v>
      </c>
      <c r="K4023" s="213" t="s">
        <v>63393</v>
      </c>
      <c r="L4023" s="213" t="s">
        <v>63423</v>
      </c>
      <c r="M4023" s="213" t="s">
        <v>63453</v>
      </c>
      <c r="N4023" s="213" t="s">
        <v>33636</v>
      </c>
      <c r="O4023" s="213" t="s">
        <v>33637</v>
      </c>
      <c r="P4023" s="213" t="s">
        <v>33638</v>
      </c>
      <c r="Q4023" s="213" t="s">
        <v>33639</v>
      </c>
      <c r="R4023" s="213" t="s">
        <v>33640</v>
      </c>
      <c r="S4023" s="213" t="s">
        <v>33641</v>
      </c>
      <c r="T4023" s="213" t="s">
        <v>33642</v>
      </c>
      <c r="U4023" s="213" t="s">
        <v>63483</v>
      </c>
    </row>
    <row r="4024" spans="1:21" x14ac:dyDescent="0.25">
      <c r="A4024" s="213" t="s">
        <v>327</v>
      </c>
      <c r="D4024" s="213" t="s">
        <v>33643</v>
      </c>
      <c r="E4024" s="213" t="s">
        <v>33644</v>
      </c>
      <c r="K4024" s="213" t="s">
        <v>63394</v>
      </c>
      <c r="L4024" s="213" t="s">
        <v>63424</v>
      </c>
      <c r="M4024" s="213" t="s">
        <v>63454</v>
      </c>
      <c r="N4024" s="213" t="s">
        <v>33645</v>
      </c>
      <c r="O4024" s="213" t="s">
        <v>33646</v>
      </c>
      <c r="P4024" s="213" t="s">
        <v>33647</v>
      </c>
      <c r="Q4024" s="213" t="s">
        <v>33648</v>
      </c>
      <c r="R4024" s="213" t="s">
        <v>33649</v>
      </c>
      <c r="S4024" s="213" t="s">
        <v>33650</v>
      </c>
      <c r="T4024" s="213" t="s">
        <v>33651</v>
      </c>
      <c r="U4024" s="213" t="s">
        <v>63484</v>
      </c>
    </row>
    <row r="4025" spans="1:21" x14ac:dyDescent="0.25">
      <c r="A4025" s="213" t="s">
        <v>327</v>
      </c>
      <c r="D4025" s="213" t="s">
        <v>33652</v>
      </c>
      <c r="E4025" s="213" t="s">
        <v>33653</v>
      </c>
      <c r="K4025" s="213" t="s">
        <v>63395</v>
      </c>
      <c r="L4025" s="213" t="s">
        <v>63425</v>
      </c>
      <c r="M4025" s="213" t="s">
        <v>63455</v>
      </c>
      <c r="N4025" s="213" t="s">
        <v>33654</v>
      </c>
      <c r="O4025" s="213" t="s">
        <v>33655</v>
      </c>
      <c r="P4025" s="213" t="s">
        <v>33656</v>
      </c>
      <c r="Q4025" s="213" t="s">
        <v>33657</v>
      </c>
      <c r="R4025" s="213" t="s">
        <v>33658</v>
      </c>
      <c r="S4025" s="213" t="s">
        <v>33659</v>
      </c>
      <c r="T4025" s="213" t="s">
        <v>33660</v>
      </c>
      <c r="U4025" s="213" t="s">
        <v>63485</v>
      </c>
    </row>
    <row r="4026" spans="1:21" x14ac:dyDescent="0.25">
      <c r="A4026" s="213" t="s">
        <v>327</v>
      </c>
      <c r="D4026" s="213" t="s">
        <v>33661</v>
      </c>
      <c r="E4026" s="213" t="s">
        <v>33662</v>
      </c>
      <c r="K4026" s="213" t="s">
        <v>63396</v>
      </c>
      <c r="L4026" s="213" t="s">
        <v>63426</v>
      </c>
      <c r="M4026" s="213" t="s">
        <v>63456</v>
      </c>
      <c r="N4026" s="213" t="s">
        <v>33663</v>
      </c>
      <c r="O4026" s="213" t="s">
        <v>33664</v>
      </c>
      <c r="P4026" s="213" t="s">
        <v>33665</v>
      </c>
      <c r="Q4026" s="213" t="s">
        <v>33666</v>
      </c>
      <c r="R4026" s="213" t="s">
        <v>33667</v>
      </c>
      <c r="S4026" s="213" t="s">
        <v>33668</v>
      </c>
      <c r="T4026" s="213" t="s">
        <v>33669</v>
      </c>
      <c r="U4026" s="213" t="s">
        <v>63486</v>
      </c>
    </row>
    <row r="4027" spans="1:21" x14ac:dyDescent="0.25">
      <c r="A4027" s="213" t="s">
        <v>327</v>
      </c>
      <c r="D4027" s="213" t="s">
        <v>33670</v>
      </c>
      <c r="E4027" s="213" t="s">
        <v>33671</v>
      </c>
      <c r="K4027" s="213" t="s">
        <v>63397</v>
      </c>
      <c r="L4027" s="213" t="s">
        <v>63427</v>
      </c>
      <c r="M4027" s="213" t="s">
        <v>63457</v>
      </c>
      <c r="N4027" s="213" t="s">
        <v>33672</v>
      </c>
      <c r="O4027" s="213" t="s">
        <v>33673</v>
      </c>
      <c r="P4027" s="213" t="s">
        <v>33674</v>
      </c>
      <c r="Q4027" s="213" t="s">
        <v>33675</v>
      </c>
      <c r="R4027" s="213" t="s">
        <v>33676</v>
      </c>
      <c r="S4027" s="213" t="s">
        <v>33677</v>
      </c>
      <c r="T4027" s="213" t="s">
        <v>33678</v>
      </c>
      <c r="U4027" s="213" t="s">
        <v>63487</v>
      </c>
    </row>
    <row r="4028" spans="1:21" x14ac:dyDescent="0.25">
      <c r="A4028" s="213" t="s">
        <v>327</v>
      </c>
      <c r="D4028" s="213" t="s">
        <v>33679</v>
      </c>
      <c r="E4028" s="213" t="s">
        <v>33680</v>
      </c>
      <c r="K4028" s="213" t="s">
        <v>63398</v>
      </c>
      <c r="L4028" s="213" t="s">
        <v>63428</v>
      </c>
      <c r="M4028" s="213" t="s">
        <v>63458</v>
      </c>
      <c r="N4028" s="213" t="s">
        <v>33681</v>
      </c>
      <c r="O4028" s="213" t="s">
        <v>33682</v>
      </c>
      <c r="P4028" s="213" t="s">
        <v>33683</v>
      </c>
      <c r="Q4028" s="213" t="s">
        <v>33684</v>
      </c>
      <c r="R4028" s="213" t="s">
        <v>33685</v>
      </c>
      <c r="S4028" s="213" t="s">
        <v>33686</v>
      </c>
      <c r="T4028" s="213" t="s">
        <v>33687</v>
      </c>
      <c r="U4028" s="213" t="s">
        <v>63488</v>
      </c>
    </row>
    <row r="4029" spans="1:21" x14ac:dyDescent="0.25">
      <c r="A4029" s="213" t="s">
        <v>327</v>
      </c>
      <c r="D4029" s="213" t="s">
        <v>33688</v>
      </c>
      <c r="E4029" s="213" t="s">
        <v>33689</v>
      </c>
      <c r="K4029" s="213" t="s">
        <v>63399</v>
      </c>
      <c r="L4029" s="213" t="s">
        <v>63429</v>
      </c>
      <c r="M4029" s="213" t="s">
        <v>63459</v>
      </c>
      <c r="N4029" s="213" t="s">
        <v>33690</v>
      </c>
      <c r="O4029" s="213" t="s">
        <v>33691</v>
      </c>
      <c r="P4029" s="213" t="s">
        <v>33692</v>
      </c>
      <c r="Q4029" s="213" t="s">
        <v>33693</v>
      </c>
      <c r="R4029" s="213" t="s">
        <v>33694</v>
      </c>
      <c r="S4029" s="213" t="s">
        <v>33695</v>
      </c>
      <c r="T4029" s="213" t="s">
        <v>33696</v>
      </c>
      <c r="U4029" s="213" t="s">
        <v>63489</v>
      </c>
    </row>
    <row r="4030" spans="1:21" x14ac:dyDescent="0.25">
      <c r="A4030" s="213" t="s">
        <v>327</v>
      </c>
    </row>
    <row r="4031" spans="1:21" x14ac:dyDescent="0.25">
      <c r="A4031" s="213" t="s">
        <v>327</v>
      </c>
    </row>
    <row r="4032" spans="1:21" x14ac:dyDescent="0.25">
      <c r="A4032" s="213" t="s">
        <v>327</v>
      </c>
      <c r="C4032" s="213" t="s">
        <v>33697</v>
      </c>
      <c r="E4032" s="213" t="s">
        <v>33698</v>
      </c>
      <c r="H4032" s="213" t="s">
        <v>33699</v>
      </c>
      <c r="I4032" s="213" t="s">
        <v>33700</v>
      </c>
      <c r="J4032" s="213" t="s">
        <v>33701</v>
      </c>
      <c r="L4032" s="213" t="s">
        <v>33702</v>
      </c>
      <c r="O4032" s="213" t="s">
        <v>33703</v>
      </c>
      <c r="P4032" s="213" t="s">
        <v>33704</v>
      </c>
      <c r="Q4032" s="213" t="s">
        <v>33705</v>
      </c>
      <c r="R4032" s="213" t="s">
        <v>33706</v>
      </c>
      <c r="S4032" s="213" t="s">
        <v>33707</v>
      </c>
      <c r="T4032" s="213" t="s">
        <v>33708</v>
      </c>
    </row>
    <row r="4033" spans="1:21" x14ac:dyDescent="0.25">
      <c r="A4033" s="213" t="s">
        <v>327</v>
      </c>
      <c r="C4033" s="213" t="s">
        <v>33709</v>
      </c>
      <c r="E4033" s="213" t="s">
        <v>33710</v>
      </c>
      <c r="I4033" s="213" t="s">
        <v>33711</v>
      </c>
    </row>
    <row r="4034" spans="1:21" x14ac:dyDescent="0.25">
      <c r="A4034" s="213" t="s">
        <v>327</v>
      </c>
      <c r="C4034" s="213" t="s">
        <v>33712</v>
      </c>
      <c r="E4034" s="213" t="s">
        <v>33713</v>
      </c>
      <c r="I4034" s="213" t="s">
        <v>33714</v>
      </c>
    </row>
    <row r="4035" spans="1:21" x14ac:dyDescent="0.25">
      <c r="A4035" s="213" t="s">
        <v>328</v>
      </c>
    </row>
    <row r="4036" spans="1:21" x14ac:dyDescent="0.25">
      <c r="A4036" s="213" t="s">
        <v>327</v>
      </c>
      <c r="D4036" s="213" t="s">
        <v>33715</v>
      </c>
      <c r="E4036" s="213" t="s">
        <v>33716</v>
      </c>
      <c r="K4036" s="213" t="s">
        <v>63294</v>
      </c>
      <c r="L4036" s="213" t="s">
        <v>63313</v>
      </c>
      <c r="M4036" s="213" t="s">
        <v>63332</v>
      </c>
      <c r="N4036" s="213" t="s">
        <v>33717</v>
      </c>
      <c r="O4036" s="213" t="s">
        <v>33718</v>
      </c>
      <c r="P4036" s="213" t="s">
        <v>33719</v>
      </c>
      <c r="Q4036" s="213" t="s">
        <v>33720</v>
      </c>
      <c r="R4036" s="213" t="s">
        <v>33721</v>
      </c>
      <c r="S4036" s="213" t="s">
        <v>33722</v>
      </c>
      <c r="T4036" s="213" t="s">
        <v>33723</v>
      </c>
      <c r="U4036" s="213" t="s">
        <v>63351</v>
      </c>
    </row>
    <row r="4037" spans="1:21" x14ac:dyDescent="0.25">
      <c r="A4037" s="213" t="s">
        <v>327</v>
      </c>
      <c r="D4037" s="213" t="s">
        <v>33724</v>
      </c>
      <c r="E4037" s="213" t="s">
        <v>33725</v>
      </c>
      <c r="K4037" s="213" t="s">
        <v>63295</v>
      </c>
      <c r="L4037" s="213" t="s">
        <v>63314</v>
      </c>
      <c r="M4037" s="213" t="s">
        <v>63333</v>
      </c>
      <c r="N4037" s="213" t="s">
        <v>33726</v>
      </c>
      <c r="O4037" s="213" t="s">
        <v>33727</v>
      </c>
      <c r="P4037" s="213" t="s">
        <v>33728</v>
      </c>
      <c r="Q4037" s="213" t="s">
        <v>33729</v>
      </c>
      <c r="R4037" s="213" t="s">
        <v>33730</v>
      </c>
      <c r="S4037" s="213" t="s">
        <v>33731</v>
      </c>
      <c r="T4037" s="213" t="s">
        <v>33732</v>
      </c>
      <c r="U4037" s="213" t="s">
        <v>63352</v>
      </c>
    </row>
    <row r="4038" spans="1:21" x14ac:dyDescent="0.25">
      <c r="A4038" s="213" t="s">
        <v>327</v>
      </c>
      <c r="D4038" s="213" t="s">
        <v>33733</v>
      </c>
      <c r="E4038" s="213" t="s">
        <v>33734</v>
      </c>
      <c r="K4038" s="213" t="s">
        <v>63296</v>
      </c>
      <c r="L4038" s="213" t="s">
        <v>63315</v>
      </c>
      <c r="M4038" s="213" t="s">
        <v>63334</v>
      </c>
      <c r="N4038" s="213" t="s">
        <v>33735</v>
      </c>
      <c r="O4038" s="213" t="s">
        <v>33736</v>
      </c>
      <c r="P4038" s="213" t="s">
        <v>33737</v>
      </c>
      <c r="Q4038" s="213" t="s">
        <v>33738</v>
      </c>
      <c r="R4038" s="213" t="s">
        <v>33739</v>
      </c>
      <c r="S4038" s="213" t="s">
        <v>33740</v>
      </c>
      <c r="T4038" s="213" t="s">
        <v>33741</v>
      </c>
      <c r="U4038" s="213" t="s">
        <v>63353</v>
      </c>
    </row>
    <row r="4039" spans="1:21" x14ac:dyDescent="0.25">
      <c r="A4039" s="213" t="s">
        <v>327</v>
      </c>
      <c r="D4039" s="213" t="s">
        <v>33742</v>
      </c>
      <c r="E4039" s="213" t="s">
        <v>33743</v>
      </c>
      <c r="K4039" s="213" t="s">
        <v>63297</v>
      </c>
      <c r="L4039" s="213" t="s">
        <v>63316</v>
      </c>
      <c r="M4039" s="213" t="s">
        <v>63335</v>
      </c>
      <c r="N4039" s="213" t="s">
        <v>33744</v>
      </c>
      <c r="O4039" s="213" t="s">
        <v>33745</v>
      </c>
      <c r="P4039" s="213" t="s">
        <v>33746</v>
      </c>
      <c r="Q4039" s="213" t="s">
        <v>33747</v>
      </c>
      <c r="R4039" s="213" t="s">
        <v>33748</v>
      </c>
      <c r="S4039" s="213" t="s">
        <v>33749</v>
      </c>
      <c r="T4039" s="213" t="s">
        <v>33750</v>
      </c>
      <c r="U4039" s="213" t="s">
        <v>63354</v>
      </c>
    </row>
    <row r="4040" spans="1:21" x14ac:dyDescent="0.25">
      <c r="A4040" s="213" t="s">
        <v>327</v>
      </c>
      <c r="D4040" s="213" t="s">
        <v>33751</v>
      </c>
      <c r="E4040" s="213" t="s">
        <v>33752</v>
      </c>
      <c r="K4040" s="213" t="s">
        <v>63298</v>
      </c>
      <c r="L4040" s="213" t="s">
        <v>63317</v>
      </c>
      <c r="M4040" s="213" t="s">
        <v>63336</v>
      </c>
      <c r="N4040" s="213" t="s">
        <v>33753</v>
      </c>
      <c r="O4040" s="213" t="s">
        <v>33754</v>
      </c>
      <c r="P4040" s="213" t="s">
        <v>33755</v>
      </c>
      <c r="Q4040" s="213" t="s">
        <v>33756</v>
      </c>
      <c r="R4040" s="213" t="s">
        <v>33757</v>
      </c>
      <c r="S4040" s="213" t="s">
        <v>33758</v>
      </c>
      <c r="T4040" s="213" t="s">
        <v>33759</v>
      </c>
      <c r="U4040" s="213" t="s">
        <v>63355</v>
      </c>
    </row>
    <row r="4041" spans="1:21" x14ac:dyDescent="0.25">
      <c r="A4041" s="213" t="s">
        <v>327</v>
      </c>
      <c r="D4041" s="213" t="s">
        <v>33760</v>
      </c>
      <c r="E4041" s="213" t="s">
        <v>33761</v>
      </c>
      <c r="K4041" s="213" t="s">
        <v>63299</v>
      </c>
      <c r="L4041" s="213" t="s">
        <v>63318</v>
      </c>
      <c r="M4041" s="213" t="s">
        <v>63337</v>
      </c>
      <c r="N4041" s="213" t="s">
        <v>33762</v>
      </c>
      <c r="O4041" s="213" t="s">
        <v>33763</v>
      </c>
      <c r="P4041" s="213" t="s">
        <v>33764</v>
      </c>
      <c r="Q4041" s="213" t="s">
        <v>33765</v>
      </c>
      <c r="R4041" s="213" t="s">
        <v>33766</v>
      </c>
      <c r="S4041" s="213" t="s">
        <v>33767</v>
      </c>
      <c r="T4041" s="213" t="s">
        <v>33768</v>
      </c>
      <c r="U4041" s="213" t="s">
        <v>63356</v>
      </c>
    </row>
    <row r="4042" spans="1:21" x14ac:dyDescent="0.25">
      <c r="A4042" s="213" t="s">
        <v>327</v>
      </c>
      <c r="D4042" s="213" t="s">
        <v>33769</v>
      </c>
      <c r="E4042" s="213" t="s">
        <v>33770</v>
      </c>
      <c r="K4042" s="213" t="s">
        <v>63300</v>
      </c>
      <c r="L4042" s="213" t="s">
        <v>63319</v>
      </c>
      <c r="M4042" s="213" t="s">
        <v>63338</v>
      </c>
      <c r="N4042" s="213" t="s">
        <v>33771</v>
      </c>
      <c r="O4042" s="213" t="s">
        <v>33772</v>
      </c>
      <c r="P4042" s="213" t="s">
        <v>33773</v>
      </c>
      <c r="Q4042" s="213" t="s">
        <v>33774</v>
      </c>
      <c r="R4042" s="213" t="s">
        <v>33775</v>
      </c>
      <c r="S4042" s="213" t="s">
        <v>33776</v>
      </c>
      <c r="T4042" s="213" t="s">
        <v>33777</v>
      </c>
      <c r="U4042" s="213" t="s">
        <v>63357</v>
      </c>
    </row>
    <row r="4043" spans="1:21" x14ac:dyDescent="0.25">
      <c r="A4043" s="213" t="s">
        <v>327</v>
      </c>
      <c r="D4043" s="213" t="s">
        <v>33778</v>
      </c>
      <c r="E4043" s="213" t="s">
        <v>33779</v>
      </c>
      <c r="K4043" s="213" t="s">
        <v>63301</v>
      </c>
      <c r="L4043" s="213" t="s">
        <v>63320</v>
      </c>
      <c r="M4043" s="213" t="s">
        <v>63339</v>
      </c>
      <c r="N4043" s="213" t="s">
        <v>33780</v>
      </c>
      <c r="O4043" s="213" t="s">
        <v>33781</v>
      </c>
      <c r="P4043" s="213" t="s">
        <v>33782</v>
      </c>
      <c r="Q4043" s="213" t="s">
        <v>33783</v>
      </c>
      <c r="R4043" s="213" t="s">
        <v>33784</v>
      </c>
      <c r="S4043" s="213" t="s">
        <v>33785</v>
      </c>
      <c r="T4043" s="213" t="s">
        <v>33786</v>
      </c>
      <c r="U4043" s="213" t="s">
        <v>63358</v>
      </c>
    </row>
    <row r="4044" spans="1:21" x14ac:dyDescent="0.25">
      <c r="A4044" s="213" t="s">
        <v>327</v>
      </c>
      <c r="D4044" s="213" t="s">
        <v>33787</v>
      </c>
      <c r="E4044" s="213" t="s">
        <v>33788</v>
      </c>
      <c r="K4044" s="213" t="s">
        <v>63302</v>
      </c>
      <c r="L4044" s="213" t="s">
        <v>63321</v>
      </c>
      <c r="M4044" s="213" t="s">
        <v>63340</v>
      </c>
      <c r="N4044" s="213" t="s">
        <v>33789</v>
      </c>
      <c r="O4044" s="213" t="s">
        <v>33790</v>
      </c>
      <c r="P4044" s="213" t="s">
        <v>33791</v>
      </c>
      <c r="Q4044" s="213" t="s">
        <v>33792</v>
      </c>
      <c r="R4044" s="213" t="s">
        <v>33793</v>
      </c>
      <c r="S4044" s="213" t="s">
        <v>33794</v>
      </c>
      <c r="T4044" s="213" t="s">
        <v>33795</v>
      </c>
      <c r="U4044" s="213" t="s">
        <v>63359</v>
      </c>
    </row>
    <row r="4045" spans="1:21" x14ac:dyDescent="0.25">
      <c r="A4045" s="213" t="s">
        <v>327</v>
      </c>
      <c r="D4045" s="213" t="s">
        <v>33796</v>
      </c>
      <c r="E4045" s="213" t="s">
        <v>33797</v>
      </c>
      <c r="K4045" s="213" t="s">
        <v>63303</v>
      </c>
      <c r="L4045" s="213" t="s">
        <v>63322</v>
      </c>
      <c r="M4045" s="213" t="s">
        <v>63341</v>
      </c>
      <c r="N4045" s="213" t="s">
        <v>33798</v>
      </c>
      <c r="O4045" s="213" t="s">
        <v>33799</v>
      </c>
      <c r="P4045" s="213" t="s">
        <v>33800</v>
      </c>
      <c r="Q4045" s="213" t="s">
        <v>33801</v>
      </c>
      <c r="R4045" s="213" t="s">
        <v>33802</v>
      </c>
      <c r="S4045" s="213" t="s">
        <v>33803</v>
      </c>
      <c r="T4045" s="213" t="s">
        <v>33804</v>
      </c>
      <c r="U4045" s="213" t="s">
        <v>63360</v>
      </c>
    </row>
    <row r="4046" spans="1:21" x14ac:dyDescent="0.25">
      <c r="A4046" s="213" t="s">
        <v>327</v>
      </c>
      <c r="D4046" s="213" t="s">
        <v>33805</v>
      </c>
      <c r="E4046" s="213" t="s">
        <v>33806</v>
      </c>
      <c r="K4046" s="213" t="s">
        <v>63304</v>
      </c>
      <c r="L4046" s="213" t="s">
        <v>63323</v>
      </c>
      <c r="M4046" s="213" t="s">
        <v>63342</v>
      </c>
      <c r="N4046" s="213" t="s">
        <v>33807</v>
      </c>
      <c r="O4046" s="213" t="s">
        <v>33808</v>
      </c>
      <c r="P4046" s="213" t="s">
        <v>33809</v>
      </c>
      <c r="Q4046" s="213" t="s">
        <v>33810</v>
      </c>
      <c r="R4046" s="213" t="s">
        <v>33811</v>
      </c>
      <c r="S4046" s="213" t="s">
        <v>33812</v>
      </c>
      <c r="T4046" s="213" t="s">
        <v>33813</v>
      </c>
      <c r="U4046" s="213" t="s">
        <v>63361</v>
      </c>
    </row>
    <row r="4047" spans="1:21" x14ac:dyDescent="0.25">
      <c r="A4047" s="213" t="s">
        <v>327</v>
      </c>
      <c r="D4047" s="213" t="s">
        <v>33814</v>
      </c>
      <c r="E4047" s="213" t="s">
        <v>33815</v>
      </c>
      <c r="K4047" s="213" t="s">
        <v>63305</v>
      </c>
      <c r="L4047" s="213" t="s">
        <v>63324</v>
      </c>
      <c r="M4047" s="213" t="s">
        <v>63343</v>
      </c>
      <c r="N4047" s="213" t="s">
        <v>33816</v>
      </c>
      <c r="O4047" s="213" t="s">
        <v>33817</v>
      </c>
      <c r="P4047" s="213" t="s">
        <v>33818</v>
      </c>
      <c r="Q4047" s="213" t="s">
        <v>33819</v>
      </c>
      <c r="R4047" s="213" t="s">
        <v>33820</v>
      </c>
      <c r="S4047" s="213" t="s">
        <v>33821</v>
      </c>
      <c r="T4047" s="213" t="s">
        <v>33822</v>
      </c>
      <c r="U4047" s="213" t="s">
        <v>63362</v>
      </c>
    </row>
    <row r="4048" spans="1:21" x14ac:dyDescent="0.25">
      <c r="A4048" s="213" t="s">
        <v>327</v>
      </c>
      <c r="D4048" s="213" t="s">
        <v>33823</v>
      </c>
      <c r="E4048" s="213" t="s">
        <v>33824</v>
      </c>
      <c r="K4048" s="213" t="s">
        <v>63306</v>
      </c>
      <c r="L4048" s="213" t="s">
        <v>63325</v>
      </c>
      <c r="M4048" s="213" t="s">
        <v>63344</v>
      </c>
      <c r="N4048" s="213" t="s">
        <v>33825</v>
      </c>
      <c r="O4048" s="213" t="s">
        <v>33826</v>
      </c>
      <c r="P4048" s="213" t="s">
        <v>33827</v>
      </c>
      <c r="Q4048" s="213" t="s">
        <v>33828</v>
      </c>
      <c r="R4048" s="213" t="s">
        <v>33829</v>
      </c>
      <c r="S4048" s="213" t="s">
        <v>33830</v>
      </c>
      <c r="T4048" s="213" t="s">
        <v>33831</v>
      </c>
      <c r="U4048" s="213" t="s">
        <v>63363</v>
      </c>
    </row>
    <row r="4049" spans="1:21" x14ac:dyDescent="0.25">
      <c r="A4049" s="213" t="s">
        <v>327</v>
      </c>
      <c r="D4049" s="213" t="s">
        <v>33832</v>
      </c>
      <c r="E4049" s="213" t="s">
        <v>33833</v>
      </c>
      <c r="K4049" s="213" t="s">
        <v>63307</v>
      </c>
      <c r="L4049" s="213" t="s">
        <v>63326</v>
      </c>
      <c r="M4049" s="213" t="s">
        <v>63345</v>
      </c>
      <c r="N4049" s="213" t="s">
        <v>33834</v>
      </c>
      <c r="O4049" s="213" t="s">
        <v>33835</v>
      </c>
      <c r="P4049" s="213" t="s">
        <v>33836</v>
      </c>
      <c r="Q4049" s="213" t="s">
        <v>33837</v>
      </c>
      <c r="R4049" s="213" t="s">
        <v>33838</v>
      </c>
      <c r="S4049" s="213" t="s">
        <v>33839</v>
      </c>
      <c r="T4049" s="213" t="s">
        <v>33840</v>
      </c>
      <c r="U4049" s="213" t="s">
        <v>63364</v>
      </c>
    </row>
    <row r="4050" spans="1:21" x14ac:dyDescent="0.25">
      <c r="A4050" s="213" t="s">
        <v>327</v>
      </c>
      <c r="D4050" s="213" t="s">
        <v>33841</v>
      </c>
      <c r="E4050" s="213" t="s">
        <v>33842</v>
      </c>
      <c r="K4050" s="213" t="s">
        <v>63308</v>
      </c>
      <c r="L4050" s="213" t="s">
        <v>63327</v>
      </c>
      <c r="M4050" s="213" t="s">
        <v>63346</v>
      </c>
      <c r="N4050" s="213" t="s">
        <v>33843</v>
      </c>
      <c r="O4050" s="213" t="s">
        <v>33844</v>
      </c>
      <c r="P4050" s="213" t="s">
        <v>33845</v>
      </c>
      <c r="Q4050" s="213" t="s">
        <v>33846</v>
      </c>
      <c r="R4050" s="213" t="s">
        <v>33847</v>
      </c>
      <c r="S4050" s="213" t="s">
        <v>33848</v>
      </c>
      <c r="T4050" s="213" t="s">
        <v>33849</v>
      </c>
      <c r="U4050" s="213" t="s">
        <v>63365</v>
      </c>
    </row>
    <row r="4051" spans="1:21" x14ac:dyDescent="0.25">
      <c r="A4051" s="213" t="s">
        <v>327</v>
      </c>
      <c r="D4051" s="213" t="s">
        <v>33850</v>
      </c>
      <c r="E4051" s="213" t="s">
        <v>33851</v>
      </c>
      <c r="K4051" s="213" t="s">
        <v>63309</v>
      </c>
      <c r="L4051" s="213" t="s">
        <v>63328</v>
      </c>
      <c r="M4051" s="213" t="s">
        <v>63347</v>
      </c>
      <c r="N4051" s="213" t="s">
        <v>33852</v>
      </c>
      <c r="O4051" s="213" t="s">
        <v>33853</v>
      </c>
      <c r="P4051" s="213" t="s">
        <v>33854</v>
      </c>
      <c r="Q4051" s="213" t="s">
        <v>33855</v>
      </c>
      <c r="R4051" s="213" t="s">
        <v>33856</v>
      </c>
      <c r="S4051" s="213" t="s">
        <v>33857</v>
      </c>
      <c r="T4051" s="213" t="s">
        <v>33858</v>
      </c>
      <c r="U4051" s="213" t="s">
        <v>63366</v>
      </c>
    </row>
    <row r="4052" spans="1:21" x14ac:dyDescent="0.25">
      <c r="A4052" s="213" t="s">
        <v>327</v>
      </c>
      <c r="D4052" s="213" t="s">
        <v>33859</v>
      </c>
      <c r="E4052" s="213" t="s">
        <v>33860</v>
      </c>
      <c r="K4052" s="213" t="s">
        <v>63310</v>
      </c>
      <c r="L4052" s="213" t="s">
        <v>63329</v>
      </c>
      <c r="M4052" s="213" t="s">
        <v>63348</v>
      </c>
      <c r="N4052" s="213" t="s">
        <v>33861</v>
      </c>
      <c r="O4052" s="213" t="s">
        <v>33862</v>
      </c>
      <c r="P4052" s="213" t="s">
        <v>33863</v>
      </c>
      <c r="Q4052" s="213" t="s">
        <v>33864</v>
      </c>
      <c r="R4052" s="213" t="s">
        <v>33865</v>
      </c>
      <c r="S4052" s="213" t="s">
        <v>33866</v>
      </c>
      <c r="T4052" s="213" t="s">
        <v>33867</v>
      </c>
      <c r="U4052" s="213" t="s">
        <v>63367</v>
      </c>
    </row>
    <row r="4053" spans="1:21" x14ac:dyDescent="0.25">
      <c r="A4053" s="213" t="s">
        <v>327</v>
      </c>
      <c r="D4053" s="213" t="s">
        <v>33868</v>
      </c>
      <c r="E4053" s="213" t="s">
        <v>33869</v>
      </c>
      <c r="K4053" s="213" t="s">
        <v>63311</v>
      </c>
      <c r="L4053" s="213" t="s">
        <v>63330</v>
      </c>
      <c r="M4053" s="213" t="s">
        <v>63349</v>
      </c>
      <c r="N4053" s="213" t="s">
        <v>33870</v>
      </c>
      <c r="O4053" s="213" t="s">
        <v>33871</v>
      </c>
      <c r="P4053" s="213" t="s">
        <v>33872</v>
      </c>
      <c r="Q4053" s="213" t="s">
        <v>33873</v>
      </c>
      <c r="R4053" s="213" t="s">
        <v>33874</v>
      </c>
      <c r="S4053" s="213" t="s">
        <v>33875</v>
      </c>
      <c r="T4053" s="213" t="s">
        <v>33876</v>
      </c>
      <c r="U4053" s="213" t="s">
        <v>63368</v>
      </c>
    </row>
    <row r="4054" spans="1:21" x14ac:dyDescent="0.25">
      <c r="A4054" s="213" t="s">
        <v>327</v>
      </c>
      <c r="D4054" s="213" t="s">
        <v>33877</v>
      </c>
      <c r="E4054" s="213" t="s">
        <v>33878</v>
      </c>
      <c r="K4054" s="213" t="s">
        <v>63312</v>
      </c>
      <c r="L4054" s="213" t="s">
        <v>63331</v>
      </c>
      <c r="M4054" s="213" t="s">
        <v>63350</v>
      </c>
      <c r="N4054" s="213" t="s">
        <v>33879</v>
      </c>
      <c r="O4054" s="213" t="s">
        <v>33880</v>
      </c>
      <c r="P4054" s="213" t="s">
        <v>33881</v>
      </c>
      <c r="Q4054" s="213" t="s">
        <v>33882</v>
      </c>
      <c r="R4054" s="213" t="s">
        <v>33883</v>
      </c>
      <c r="S4054" s="213" t="s">
        <v>33884</v>
      </c>
      <c r="T4054" s="213" t="s">
        <v>33885</v>
      </c>
      <c r="U4054" s="213" t="s">
        <v>63369</v>
      </c>
    </row>
    <row r="4055" spans="1:21" x14ac:dyDescent="0.25">
      <c r="A4055" s="213" t="s">
        <v>327</v>
      </c>
    </row>
    <row r="4056" spans="1:21" x14ac:dyDescent="0.25">
      <c r="A4056" s="213" t="s">
        <v>327</v>
      </c>
    </row>
    <row r="4057" spans="1:21" x14ac:dyDescent="0.25">
      <c r="A4057" s="213" t="s">
        <v>327</v>
      </c>
      <c r="C4057" s="213" t="s">
        <v>33886</v>
      </c>
      <c r="E4057" s="213" t="s">
        <v>33887</v>
      </c>
      <c r="H4057" s="213" t="s">
        <v>33888</v>
      </c>
      <c r="I4057" s="213" t="s">
        <v>33889</v>
      </c>
      <c r="J4057" s="213" t="s">
        <v>33890</v>
      </c>
      <c r="L4057" s="213" t="s">
        <v>33891</v>
      </c>
      <c r="O4057" s="213" t="s">
        <v>33892</v>
      </c>
      <c r="P4057" s="213" t="s">
        <v>33893</v>
      </c>
      <c r="Q4057" s="213" t="s">
        <v>33894</v>
      </c>
      <c r="R4057" s="213" t="s">
        <v>33895</v>
      </c>
      <c r="S4057" s="213" t="s">
        <v>33896</v>
      </c>
      <c r="T4057" s="213" t="s">
        <v>33897</v>
      </c>
    </row>
    <row r="4058" spans="1:21" x14ac:dyDescent="0.25">
      <c r="A4058" s="213" t="s">
        <v>327</v>
      </c>
      <c r="C4058" s="213" t="s">
        <v>33898</v>
      </c>
      <c r="E4058" s="213" t="s">
        <v>33899</v>
      </c>
      <c r="I4058" s="213" t="s">
        <v>33900</v>
      </c>
    </row>
    <row r="4059" spans="1:21" x14ac:dyDescent="0.25">
      <c r="A4059" s="213" t="s">
        <v>327</v>
      </c>
      <c r="C4059" s="213" t="s">
        <v>33901</v>
      </c>
      <c r="E4059" s="213" t="s">
        <v>33902</v>
      </c>
      <c r="I4059" s="213" t="s">
        <v>33903</v>
      </c>
    </row>
    <row r="4060" spans="1:21" x14ac:dyDescent="0.25">
      <c r="A4060" s="213" t="s">
        <v>328</v>
      </c>
    </row>
    <row r="4061" spans="1:21" x14ac:dyDescent="0.25">
      <c r="A4061" s="213" t="s">
        <v>327</v>
      </c>
      <c r="D4061" s="213" t="s">
        <v>33904</v>
      </c>
      <c r="E4061" s="213" t="s">
        <v>33905</v>
      </c>
      <c r="K4061" s="213" t="s">
        <v>63114</v>
      </c>
      <c r="L4061" s="213" t="s">
        <v>63159</v>
      </c>
      <c r="M4061" s="213" t="s">
        <v>63204</v>
      </c>
      <c r="N4061" s="213" t="s">
        <v>33906</v>
      </c>
      <c r="O4061" s="213" t="s">
        <v>33907</v>
      </c>
      <c r="P4061" s="213" t="s">
        <v>33908</v>
      </c>
      <c r="Q4061" s="213" t="s">
        <v>33909</v>
      </c>
      <c r="R4061" s="213" t="s">
        <v>33910</v>
      </c>
      <c r="S4061" s="213" t="s">
        <v>33911</v>
      </c>
      <c r="T4061" s="213" t="s">
        <v>33912</v>
      </c>
      <c r="U4061" s="213" t="s">
        <v>63249</v>
      </c>
    </row>
    <row r="4062" spans="1:21" x14ac:dyDescent="0.25">
      <c r="A4062" s="213" t="s">
        <v>327</v>
      </c>
      <c r="D4062" s="213" t="s">
        <v>33913</v>
      </c>
      <c r="E4062" s="213" t="s">
        <v>33914</v>
      </c>
      <c r="K4062" s="213" t="s">
        <v>63115</v>
      </c>
      <c r="L4062" s="213" t="s">
        <v>63160</v>
      </c>
      <c r="M4062" s="213" t="s">
        <v>63205</v>
      </c>
      <c r="N4062" s="213" t="s">
        <v>33915</v>
      </c>
      <c r="O4062" s="213" t="s">
        <v>33916</v>
      </c>
      <c r="P4062" s="213" t="s">
        <v>33917</v>
      </c>
      <c r="Q4062" s="213" t="s">
        <v>33918</v>
      </c>
      <c r="R4062" s="213" t="s">
        <v>33919</v>
      </c>
      <c r="S4062" s="213" t="s">
        <v>33920</v>
      </c>
      <c r="T4062" s="213" t="s">
        <v>33921</v>
      </c>
      <c r="U4062" s="213" t="s">
        <v>63250</v>
      </c>
    </row>
    <row r="4063" spans="1:21" x14ac:dyDescent="0.25">
      <c r="A4063" s="213" t="s">
        <v>327</v>
      </c>
      <c r="D4063" s="213" t="s">
        <v>33922</v>
      </c>
      <c r="E4063" s="213" t="s">
        <v>33923</v>
      </c>
      <c r="K4063" s="213" t="s">
        <v>63116</v>
      </c>
      <c r="L4063" s="213" t="s">
        <v>63161</v>
      </c>
      <c r="M4063" s="213" t="s">
        <v>63206</v>
      </c>
      <c r="N4063" s="213" t="s">
        <v>33924</v>
      </c>
      <c r="O4063" s="213" t="s">
        <v>33925</v>
      </c>
      <c r="P4063" s="213" t="s">
        <v>33926</v>
      </c>
      <c r="Q4063" s="213" t="s">
        <v>33927</v>
      </c>
      <c r="R4063" s="213" t="s">
        <v>33928</v>
      </c>
      <c r="S4063" s="213" t="s">
        <v>33929</v>
      </c>
      <c r="T4063" s="213" t="s">
        <v>33930</v>
      </c>
      <c r="U4063" s="213" t="s">
        <v>63251</v>
      </c>
    </row>
    <row r="4064" spans="1:21" x14ac:dyDescent="0.25">
      <c r="A4064" s="213" t="s">
        <v>327</v>
      </c>
      <c r="D4064" s="213" t="s">
        <v>33931</v>
      </c>
      <c r="E4064" s="213" t="s">
        <v>33932</v>
      </c>
      <c r="K4064" s="213" t="s">
        <v>63117</v>
      </c>
      <c r="L4064" s="213" t="s">
        <v>63162</v>
      </c>
      <c r="M4064" s="213" t="s">
        <v>63207</v>
      </c>
      <c r="N4064" s="213" t="s">
        <v>33933</v>
      </c>
      <c r="O4064" s="213" t="s">
        <v>33934</v>
      </c>
      <c r="P4064" s="213" t="s">
        <v>33935</v>
      </c>
      <c r="Q4064" s="213" t="s">
        <v>33936</v>
      </c>
      <c r="R4064" s="213" t="s">
        <v>33937</v>
      </c>
      <c r="S4064" s="213" t="s">
        <v>33938</v>
      </c>
      <c r="T4064" s="213" t="s">
        <v>33939</v>
      </c>
      <c r="U4064" s="213" t="s">
        <v>63252</v>
      </c>
    </row>
    <row r="4065" spans="1:21" x14ac:dyDescent="0.25">
      <c r="A4065" s="213" t="s">
        <v>327</v>
      </c>
      <c r="D4065" s="213" t="s">
        <v>33940</v>
      </c>
      <c r="E4065" s="213" t="s">
        <v>33941</v>
      </c>
      <c r="K4065" s="213" t="s">
        <v>63118</v>
      </c>
      <c r="L4065" s="213" t="s">
        <v>63163</v>
      </c>
      <c r="M4065" s="213" t="s">
        <v>63208</v>
      </c>
      <c r="N4065" s="213" t="s">
        <v>33942</v>
      </c>
      <c r="O4065" s="213" t="s">
        <v>33943</v>
      </c>
      <c r="P4065" s="213" t="s">
        <v>33944</v>
      </c>
      <c r="Q4065" s="213" t="s">
        <v>33945</v>
      </c>
      <c r="R4065" s="213" t="s">
        <v>33946</v>
      </c>
      <c r="S4065" s="213" t="s">
        <v>33947</v>
      </c>
      <c r="T4065" s="213" t="s">
        <v>33948</v>
      </c>
      <c r="U4065" s="213" t="s">
        <v>63253</v>
      </c>
    </row>
    <row r="4066" spans="1:21" x14ac:dyDescent="0.25">
      <c r="A4066" s="213" t="s">
        <v>327</v>
      </c>
      <c r="D4066" s="213" t="s">
        <v>33949</v>
      </c>
      <c r="E4066" s="213" t="s">
        <v>33950</v>
      </c>
      <c r="K4066" s="213" t="s">
        <v>63119</v>
      </c>
      <c r="L4066" s="213" t="s">
        <v>63164</v>
      </c>
      <c r="M4066" s="213" t="s">
        <v>63209</v>
      </c>
      <c r="N4066" s="213" t="s">
        <v>33951</v>
      </c>
      <c r="O4066" s="213" t="s">
        <v>33952</v>
      </c>
      <c r="P4066" s="213" t="s">
        <v>33953</v>
      </c>
      <c r="Q4066" s="213" t="s">
        <v>33954</v>
      </c>
      <c r="R4066" s="213" t="s">
        <v>33955</v>
      </c>
      <c r="S4066" s="213" t="s">
        <v>33956</v>
      </c>
      <c r="T4066" s="213" t="s">
        <v>33957</v>
      </c>
      <c r="U4066" s="213" t="s">
        <v>63254</v>
      </c>
    </row>
    <row r="4067" spans="1:21" x14ac:dyDescent="0.25">
      <c r="A4067" s="213" t="s">
        <v>327</v>
      </c>
      <c r="D4067" s="213" t="s">
        <v>33958</v>
      </c>
      <c r="E4067" s="213" t="s">
        <v>33959</v>
      </c>
      <c r="K4067" s="213" t="s">
        <v>63120</v>
      </c>
      <c r="L4067" s="213" t="s">
        <v>63165</v>
      </c>
      <c r="M4067" s="213" t="s">
        <v>63210</v>
      </c>
      <c r="N4067" s="213" t="s">
        <v>33960</v>
      </c>
      <c r="O4067" s="213" t="s">
        <v>33961</v>
      </c>
      <c r="P4067" s="213" t="s">
        <v>33962</v>
      </c>
      <c r="Q4067" s="213" t="s">
        <v>33963</v>
      </c>
      <c r="R4067" s="213" t="s">
        <v>33964</v>
      </c>
      <c r="S4067" s="213" t="s">
        <v>33965</v>
      </c>
      <c r="T4067" s="213" t="s">
        <v>33966</v>
      </c>
      <c r="U4067" s="213" t="s">
        <v>63255</v>
      </c>
    </row>
    <row r="4068" spans="1:21" x14ac:dyDescent="0.25">
      <c r="A4068" s="213" t="s">
        <v>327</v>
      </c>
      <c r="D4068" s="213" t="s">
        <v>33967</v>
      </c>
      <c r="E4068" s="213" t="s">
        <v>33968</v>
      </c>
      <c r="K4068" s="213" t="s">
        <v>63121</v>
      </c>
      <c r="L4068" s="213" t="s">
        <v>63166</v>
      </c>
      <c r="M4068" s="213" t="s">
        <v>63211</v>
      </c>
      <c r="N4068" s="213" t="s">
        <v>33969</v>
      </c>
      <c r="O4068" s="213" t="s">
        <v>33970</v>
      </c>
      <c r="P4068" s="213" t="s">
        <v>33971</v>
      </c>
      <c r="Q4068" s="213" t="s">
        <v>33972</v>
      </c>
      <c r="R4068" s="213" t="s">
        <v>33973</v>
      </c>
      <c r="S4068" s="213" t="s">
        <v>33974</v>
      </c>
      <c r="T4068" s="213" t="s">
        <v>33975</v>
      </c>
      <c r="U4068" s="213" t="s">
        <v>63256</v>
      </c>
    </row>
    <row r="4069" spans="1:21" x14ac:dyDescent="0.25">
      <c r="A4069" s="213" t="s">
        <v>327</v>
      </c>
      <c r="D4069" s="213" t="s">
        <v>33976</v>
      </c>
      <c r="E4069" s="213" t="s">
        <v>33977</v>
      </c>
      <c r="K4069" s="213" t="s">
        <v>63122</v>
      </c>
      <c r="L4069" s="213" t="s">
        <v>63167</v>
      </c>
      <c r="M4069" s="213" t="s">
        <v>63212</v>
      </c>
      <c r="N4069" s="213" t="s">
        <v>33978</v>
      </c>
      <c r="O4069" s="213" t="s">
        <v>33979</v>
      </c>
      <c r="P4069" s="213" t="s">
        <v>33980</v>
      </c>
      <c r="Q4069" s="213" t="s">
        <v>33981</v>
      </c>
      <c r="R4069" s="213" t="s">
        <v>33982</v>
      </c>
      <c r="S4069" s="213" t="s">
        <v>33983</v>
      </c>
      <c r="T4069" s="213" t="s">
        <v>33984</v>
      </c>
      <c r="U4069" s="213" t="s">
        <v>63257</v>
      </c>
    </row>
    <row r="4070" spans="1:21" x14ac:dyDescent="0.25">
      <c r="A4070" s="213" t="s">
        <v>327</v>
      </c>
      <c r="D4070" s="213" t="s">
        <v>33985</v>
      </c>
      <c r="E4070" s="213" t="s">
        <v>33986</v>
      </c>
      <c r="K4070" s="213" t="s">
        <v>63123</v>
      </c>
      <c r="L4070" s="213" t="s">
        <v>63168</v>
      </c>
      <c r="M4070" s="213" t="s">
        <v>63213</v>
      </c>
      <c r="N4070" s="213" t="s">
        <v>33987</v>
      </c>
      <c r="O4070" s="213" t="s">
        <v>33988</v>
      </c>
      <c r="P4070" s="213" t="s">
        <v>33989</v>
      </c>
      <c r="Q4070" s="213" t="s">
        <v>33990</v>
      </c>
      <c r="R4070" s="213" t="s">
        <v>33991</v>
      </c>
      <c r="S4070" s="213" t="s">
        <v>33992</v>
      </c>
      <c r="T4070" s="213" t="s">
        <v>33993</v>
      </c>
      <c r="U4070" s="213" t="s">
        <v>63258</v>
      </c>
    </row>
    <row r="4071" spans="1:21" x14ac:dyDescent="0.25">
      <c r="A4071" s="213" t="s">
        <v>327</v>
      </c>
      <c r="D4071" s="213" t="s">
        <v>33994</v>
      </c>
      <c r="E4071" s="213" t="s">
        <v>33995</v>
      </c>
      <c r="K4071" s="213" t="s">
        <v>63124</v>
      </c>
      <c r="L4071" s="213" t="s">
        <v>63169</v>
      </c>
      <c r="M4071" s="213" t="s">
        <v>63214</v>
      </c>
      <c r="N4071" s="213" t="s">
        <v>33996</v>
      </c>
      <c r="O4071" s="213" t="s">
        <v>33997</v>
      </c>
      <c r="P4071" s="213" t="s">
        <v>33998</v>
      </c>
      <c r="Q4071" s="213" t="s">
        <v>33999</v>
      </c>
      <c r="R4071" s="213" t="s">
        <v>34000</v>
      </c>
      <c r="S4071" s="213" t="s">
        <v>34001</v>
      </c>
      <c r="T4071" s="213" t="s">
        <v>34002</v>
      </c>
      <c r="U4071" s="213" t="s">
        <v>63259</v>
      </c>
    </row>
    <row r="4072" spans="1:21" x14ac:dyDescent="0.25">
      <c r="A4072" s="213" t="s">
        <v>327</v>
      </c>
      <c r="D4072" s="213" t="s">
        <v>34003</v>
      </c>
      <c r="E4072" s="213" t="s">
        <v>34004</v>
      </c>
      <c r="K4072" s="213" t="s">
        <v>63125</v>
      </c>
      <c r="L4072" s="213" t="s">
        <v>63170</v>
      </c>
      <c r="M4072" s="213" t="s">
        <v>63215</v>
      </c>
      <c r="N4072" s="213" t="s">
        <v>34005</v>
      </c>
      <c r="O4072" s="213" t="s">
        <v>34006</v>
      </c>
      <c r="P4072" s="213" t="s">
        <v>34007</v>
      </c>
      <c r="Q4072" s="213" t="s">
        <v>34008</v>
      </c>
      <c r="R4072" s="213" t="s">
        <v>34009</v>
      </c>
      <c r="S4072" s="213" t="s">
        <v>34010</v>
      </c>
      <c r="T4072" s="213" t="s">
        <v>34011</v>
      </c>
      <c r="U4072" s="213" t="s">
        <v>63260</v>
      </c>
    </row>
    <row r="4073" spans="1:21" x14ac:dyDescent="0.25">
      <c r="A4073" s="213" t="s">
        <v>327</v>
      </c>
      <c r="D4073" s="213" t="s">
        <v>34012</v>
      </c>
      <c r="E4073" s="213" t="s">
        <v>34013</v>
      </c>
      <c r="K4073" s="213" t="s">
        <v>63126</v>
      </c>
      <c r="L4073" s="213" t="s">
        <v>63171</v>
      </c>
      <c r="M4073" s="213" t="s">
        <v>63216</v>
      </c>
      <c r="N4073" s="213" t="s">
        <v>34014</v>
      </c>
      <c r="O4073" s="213" t="s">
        <v>34015</v>
      </c>
      <c r="P4073" s="213" t="s">
        <v>34016</v>
      </c>
      <c r="Q4073" s="213" t="s">
        <v>34017</v>
      </c>
      <c r="R4073" s="213" t="s">
        <v>34018</v>
      </c>
      <c r="S4073" s="213" t="s">
        <v>34019</v>
      </c>
      <c r="T4073" s="213" t="s">
        <v>34020</v>
      </c>
      <c r="U4073" s="213" t="s">
        <v>63261</v>
      </c>
    </row>
    <row r="4074" spans="1:21" x14ac:dyDescent="0.25">
      <c r="A4074" s="213" t="s">
        <v>327</v>
      </c>
      <c r="D4074" s="213" t="s">
        <v>34021</v>
      </c>
      <c r="E4074" s="213" t="s">
        <v>34022</v>
      </c>
      <c r="K4074" s="213" t="s">
        <v>63127</v>
      </c>
      <c r="L4074" s="213" t="s">
        <v>63172</v>
      </c>
      <c r="M4074" s="213" t="s">
        <v>63217</v>
      </c>
      <c r="N4074" s="213" t="s">
        <v>34023</v>
      </c>
      <c r="O4074" s="213" t="s">
        <v>34024</v>
      </c>
      <c r="P4074" s="213" t="s">
        <v>34025</v>
      </c>
      <c r="Q4074" s="213" t="s">
        <v>34026</v>
      </c>
      <c r="R4074" s="213" t="s">
        <v>34027</v>
      </c>
      <c r="S4074" s="213" t="s">
        <v>34028</v>
      </c>
      <c r="T4074" s="213" t="s">
        <v>34029</v>
      </c>
      <c r="U4074" s="213" t="s">
        <v>63262</v>
      </c>
    </row>
    <row r="4075" spans="1:21" x14ac:dyDescent="0.25">
      <c r="A4075" s="213" t="s">
        <v>327</v>
      </c>
      <c r="D4075" s="213" t="s">
        <v>34030</v>
      </c>
      <c r="E4075" s="213" t="s">
        <v>34031</v>
      </c>
      <c r="K4075" s="213" t="s">
        <v>63128</v>
      </c>
      <c r="L4075" s="213" t="s">
        <v>63173</v>
      </c>
      <c r="M4075" s="213" t="s">
        <v>63218</v>
      </c>
      <c r="N4075" s="213" t="s">
        <v>34032</v>
      </c>
      <c r="O4075" s="213" t="s">
        <v>34033</v>
      </c>
      <c r="P4075" s="213" t="s">
        <v>34034</v>
      </c>
      <c r="Q4075" s="213" t="s">
        <v>34035</v>
      </c>
      <c r="R4075" s="213" t="s">
        <v>34036</v>
      </c>
      <c r="S4075" s="213" t="s">
        <v>34037</v>
      </c>
      <c r="T4075" s="213" t="s">
        <v>34038</v>
      </c>
      <c r="U4075" s="213" t="s">
        <v>63263</v>
      </c>
    </row>
    <row r="4076" spans="1:21" x14ac:dyDescent="0.25">
      <c r="A4076" s="213" t="s">
        <v>327</v>
      </c>
      <c r="D4076" s="213" t="s">
        <v>34039</v>
      </c>
      <c r="E4076" s="213" t="s">
        <v>34040</v>
      </c>
      <c r="K4076" s="213" t="s">
        <v>63129</v>
      </c>
      <c r="L4076" s="213" t="s">
        <v>63174</v>
      </c>
      <c r="M4076" s="213" t="s">
        <v>63219</v>
      </c>
      <c r="N4076" s="213" t="s">
        <v>34041</v>
      </c>
      <c r="O4076" s="213" t="s">
        <v>34042</v>
      </c>
      <c r="P4076" s="213" t="s">
        <v>34043</v>
      </c>
      <c r="Q4076" s="213" t="s">
        <v>34044</v>
      </c>
      <c r="R4076" s="213" t="s">
        <v>34045</v>
      </c>
      <c r="S4076" s="213" t="s">
        <v>34046</v>
      </c>
      <c r="T4076" s="213" t="s">
        <v>34047</v>
      </c>
      <c r="U4076" s="213" t="s">
        <v>63264</v>
      </c>
    </row>
    <row r="4077" spans="1:21" x14ac:dyDescent="0.25">
      <c r="A4077" s="213" t="s">
        <v>327</v>
      </c>
      <c r="D4077" s="213" t="s">
        <v>34048</v>
      </c>
      <c r="E4077" s="213" t="s">
        <v>34049</v>
      </c>
      <c r="K4077" s="213" t="s">
        <v>63130</v>
      </c>
      <c r="L4077" s="213" t="s">
        <v>63175</v>
      </c>
      <c r="M4077" s="213" t="s">
        <v>63220</v>
      </c>
      <c r="N4077" s="213" t="s">
        <v>34050</v>
      </c>
      <c r="O4077" s="213" t="s">
        <v>34051</v>
      </c>
      <c r="P4077" s="213" t="s">
        <v>34052</v>
      </c>
      <c r="Q4077" s="213" t="s">
        <v>34053</v>
      </c>
      <c r="R4077" s="213" t="s">
        <v>34054</v>
      </c>
      <c r="S4077" s="213" t="s">
        <v>34055</v>
      </c>
      <c r="T4077" s="213" t="s">
        <v>34056</v>
      </c>
      <c r="U4077" s="213" t="s">
        <v>63265</v>
      </c>
    </row>
    <row r="4078" spans="1:21" x14ac:dyDescent="0.25">
      <c r="A4078" s="213" t="s">
        <v>327</v>
      </c>
      <c r="D4078" s="213" t="s">
        <v>34057</v>
      </c>
      <c r="E4078" s="213" t="s">
        <v>34058</v>
      </c>
      <c r="K4078" s="213" t="s">
        <v>63131</v>
      </c>
      <c r="L4078" s="213" t="s">
        <v>63176</v>
      </c>
      <c r="M4078" s="213" t="s">
        <v>63221</v>
      </c>
      <c r="N4078" s="213" t="s">
        <v>34059</v>
      </c>
      <c r="O4078" s="213" t="s">
        <v>34060</v>
      </c>
      <c r="P4078" s="213" t="s">
        <v>34061</v>
      </c>
      <c r="Q4078" s="213" t="s">
        <v>34062</v>
      </c>
      <c r="R4078" s="213" t="s">
        <v>34063</v>
      </c>
      <c r="S4078" s="213" t="s">
        <v>34064</v>
      </c>
      <c r="T4078" s="213" t="s">
        <v>34065</v>
      </c>
      <c r="U4078" s="213" t="s">
        <v>63266</v>
      </c>
    </row>
    <row r="4079" spans="1:21" x14ac:dyDescent="0.25">
      <c r="A4079" s="213" t="s">
        <v>327</v>
      </c>
      <c r="D4079" s="213" t="s">
        <v>34066</v>
      </c>
      <c r="E4079" s="213" t="s">
        <v>34067</v>
      </c>
      <c r="K4079" s="213" t="s">
        <v>63132</v>
      </c>
      <c r="L4079" s="213" t="s">
        <v>63177</v>
      </c>
      <c r="M4079" s="213" t="s">
        <v>63222</v>
      </c>
      <c r="N4079" s="213" t="s">
        <v>34068</v>
      </c>
      <c r="O4079" s="213" t="s">
        <v>34069</v>
      </c>
      <c r="P4079" s="213" t="s">
        <v>34070</v>
      </c>
      <c r="Q4079" s="213" t="s">
        <v>34071</v>
      </c>
      <c r="R4079" s="213" t="s">
        <v>34072</v>
      </c>
      <c r="S4079" s="213" t="s">
        <v>34073</v>
      </c>
      <c r="T4079" s="213" t="s">
        <v>34074</v>
      </c>
      <c r="U4079" s="213" t="s">
        <v>63267</v>
      </c>
    </row>
    <row r="4080" spans="1:21" x14ac:dyDescent="0.25">
      <c r="A4080" s="213" t="s">
        <v>327</v>
      </c>
      <c r="D4080" s="213" t="s">
        <v>34075</v>
      </c>
      <c r="E4080" s="213" t="s">
        <v>34076</v>
      </c>
      <c r="K4080" s="213" t="s">
        <v>63133</v>
      </c>
      <c r="L4080" s="213" t="s">
        <v>63178</v>
      </c>
      <c r="M4080" s="213" t="s">
        <v>63223</v>
      </c>
      <c r="N4080" s="213" t="s">
        <v>34077</v>
      </c>
      <c r="O4080" s="213" t="s">
        <v>34078</v>
      </c>
      <c r="P4080" s="213" t="s">
        <v>34079</v>
      </c>
      <c r="Q4080" s="213" t="s">
        <v>34080</v>
      </c>
      <c r="R4080" s="213" t="s">
        <v>34081</v>
      </c>
      <c r="S4080" s="213" t="s">
        <v>34082</v>
      </c>
      <c r="T4080" s="213" t="s">
        <v>34083</v>
      </c>
      <c r="U4080" s="213" t="s">
        <v>63268</v>
      </c>
    </row>
    <row r="4081" spans="1:21" x14ac:dyDescent="0.25">
      <c r="A4081" s="213" t="s">
        <v>327</v>
      </c>
      <c r="D4081" s="213" t="s">
        <v>34084</v>
      </c>
      <c r="E4081" s="213" t="s">
        <v>34085</v>
      </c>
      <c r="K4081" s="213" t="s">
        <v>63134</v>
      </c>
      <c r="L4081" s="213" t="s">
        <v>63179</v>
      </c>
      <c r="M4081" s="213" t="s">
        <v>63224</v>
      </c>
      <c r="N4081" s="213" t="s">
        <v>34086</v>
      </c>
      <c r="O4081" s="213" t="s">
        <v>34087</v>
      </c>
      <c r="P4081" s="213" t="s">
        <v>34088</v>
      </c>
      <c r="Q4081" s="213" t="s">
        <v>34089</v>
      </c>
      <c r="R4081" s="213" t="s">
        <v>34090</v>
      </c>
      <c r="S4081" s="213" t="s">
        <v>34091</v>
      </c>
      <c r="T4081" s="213" t="s">
        <v>34092</v>
      </c>
      <c r="U4081" s="213" t="s">
        <v>63269</v>
      </c>
    </row>
    <row r="4082" spans="1:21" x14ac:dyDescent="0.25">
      <c r="A4082" s="213" t="s">
        <v>327</v>
      </c>
      <c r="D4082" s="213" t="s">
        <v>34093</v>
      </c>
      <c r="E4082" s="213" t="s">
        <v>34094</v>
      </c>
      <c r="K4082" s="213" t="s">
        <v>63135</v>
      </c>
      <c r="L4082" s="213" t="s">
        <v>63180</v>
      </c>
      <c r="M4082" s="213" t="s">
        <v>63225</v>
      </c>
      <c r="N4082" s="213" t="s">
        <v>34095</v>
      </c>
      <c r="O4082" s="213" t="s">
        <v>34096</v>
      </c>
      <c r="P4082" s="213" t="s">
        <v>34097</v>
      </c>
      <c r="Q4082" s="213" t="s">
        <v>34098</v>
      </c>
      <c r="R4082" s="213" t="s">
        <v>34099</v>
      </c>
      <c r="S4082" s="213" t="s">
        <v>34100</v>
      </c>
      <c r="T4082" s="213" t="s">
        <v>34101</v>
      </c>
      <c r="U4082" s="213" t="s">
        <v>63270</v>
      </c>
    </row>
    <row r="4083" spans="1:21" x14ac:dyDescent="0.25">
      <c r="A4083" s="213" t="s">
        <v>327</v>
      </c>
      <c r="D4083" s="213" t="s">
        <v>34102</v>
      </c>
      <c r="E4083" s="213" t="s">
        <v>34103</v>
      </c>
      <c r="K4083" s="213" t="s">
        <v>63136</v>
      </c>
      <c r="L4083" s="213" t="s">
        <v>63181</v>
      </c>
      <c r="M4083" s="213" t="s">
        <v>63226</v>
      </c>
      <c r="N4083" s="213" t="s">
        <v>34104</v>
      </c>
      <c r="O4083" s="213" t="s">
        <v>34105</v>
      </c>
      <c r="P4083" s="213" t="s">
        <v>34106</v>
      </c>
      <c r="Q4083" s="213" t="s">
        <v>34107</v>
      </c>
      <c r="R4083" s="213" t="s">
        <v>34108</v>
      </c>
      <c r="S4083" s="213" t="s">
        <v>34109</v>
      </c>
      <c r="T4083" s="213" t="s">
        <v>34110</v>
      </c>
      <c r="U4083" s="213" t="s">
        <v>63271</v>
      </c>
    </row>
    <row r="4084" spans="1:21" x14ac:dyDescent="0.25">
      <c r="A4084" s="213" t="s">
        <v>327</v>
      </c>
      <c r="D4084" s="213" t="s">
        <v>34111</v>
      </c>
      <c r="E4084" s="213" t="s">
        <v>34112</v>
      </c>
      <c r="K4084" s="213" t="s">
        <v>63137</v>
      </c>
      <c r="L4084" s="213" t="s">
        <v>63182</v>
      </c>
      <c r="M4084" s="213" t="s">
        <v>63227</v>
      </c>
      <c r="N4084" s="213" t="s">
        <v>34113</v>
      </c>
      <c r="O4084" s="213" t="s">
        <v>34114</v>
      </c>
      <c r="P4084" s="213" t="s">
        <v>34115</v>
      </c>
      <c r="Q4084" s="213" t="s">
        <v>34116</v>
      </c>
      <c r="R4084" s="213" t="s">
        <v>34117</v>
      </c>
      <c r="S4084" s="213" t="s">
        <v>34118</v>
      </c>
      <c r="T4084" s="213" t="s">
        <v>34119</v>
      </c>
      <c r="U4084" s="213" t="s">
        <v>63272</v>
      </c>
    </row>
    <row r="4085" spans="1:21" x14ac:dyDescent="0.25">
      <c r="A4085" s="213" t="s">
        <v>327</v>
      </c>
      <c r="D4085" s="213" t="s">
        <v>34120</v>
      </c>
      <c r="E4085" s="213" t="s">
        <v>34121</v>
      </c>
      <c r="K4085" s="213" t="s">
        <v>63138</v>
      </c>
      <c r="L4085" s="213" t="s">
        <v>63183</v>
      </c>
      <c r="M4085" s="213" t="s">
        <v>63228</v>
      </c>
      <c r="N4085" s="213" t="s">
        <v>34122</v>
      </c>
      <c r="O4085" s="213" t="s">
        <v>34123</v>
      </c>
      <c r="P4085" s="213" t="s">
        <v>34124</v>
      </c>
      <c r="Q4085" s="213" t="s">
        <v>34125</v>
      </c>
      <c r="R4085" s="213" t="s">
        <v>34126</v>
      </c>
      <c r="S4085" s="213" t="s">
        <v>34127</v>
      </c>
      <c r="T4085" s="213" t="s">
        <v>34128</v>
      </c>
      <c r="U4085" s="213" t="s">
        <v>63273</v>
      </c>
    </row>
    <row r="4086" spans="1:21" x14ac:dyDescent="0.25">
      <c r="A4086" s="213" t="s">
        <v>327</v>
      </c>
      <c r="D4086" s="213" t="s">
        <v>34129</v>
      </c>
      <c r="E4086" s="213" t="s">
        <v>34130</v>
      </c>
      <c r="K4086" s="213" t="s">
        <v>63139</v>
      </c>
      <c r="L4086" s="213" t="s">
        <v>63184</v>
      </c>
      <c r="M4086" s="213" t="s">
        <v>63229</v>
      </c>
      <c r="N4086" s="213" t="s">
        <v>34131</v>
      </c>
      <c r="O4086" s="213" t="s">
        <v>34132</v>
      </c>
      <c r="P4086" s="213" t="s">
        <v>34133</v>
      </c>
      <c r="Q4086" s="213" t="s">
        <v>34134</v>
      </c>
      <c r="R4086" s="213" t="s">
        <v>34135</v>
      </c>
      <c r="S4086" s="213" t="s">
        <v>34136</v>
      </c>
      <c r="T4086" s="213" t="s">
        <v>34137</v>
      </c>
      <c r="U4086" s="213" t="s">
        <v>63274</v>
      </c>
    </row>
    <row r="4087" spans="1:21" x14ac:dyDescent="0.25">
      <c r="A4087" s="213" t="s">
        <v>327</v>
      </c>
      <c r="D4087" s="213" t="s">
        <v>34138</v>
      </c>
      <c r="E4087" s="213" t="s">
        <v>34139</v>
      </c>
      <c r="K4087" s="213" t="s">
        <v>63140</v>
      </c>
      <c r="L4087" s="213" t="s">
        <v>63185</v>
      </c>
      <c r="M4087" s="213" t="s">
        <v>63230</v>
      </c>
      <c r="N4087" s="213" t="s">
        <v>34140</v>
      </c>
      <c r="O4087" s="213" t="s">
        <v>34141</v>
      </c>
      <c r="P4087" s="213" t="s">
        <v>34142</v>
      </c>
      <c r="Q4087" s="213" t="s">
        <v>34143</v>
      </c>
      <c r="R4087" s="213" t="s">
        <v>34144</v>
      </c>
      <c r="S4087" s="213" t="s">
        <v>34145</v>
      </c>
      <c r="T4087" s="213" t="s">
        <v>34146</v>
      </c>
      <c r="U4087" s="213" t="s">
        <v>63275</v>
      </c>
    </row>
    <row r="4088" spans="1:21" x14ac:dyDescent="0.25">
      <c r="A4088" s="213" t="s">
        <v>327</v>
      </c>
      <c r="D4088" s="213" t="s">
        <v>34147</v>
      </c>
      <c r="E4088" s="213" t="s">
        <v>34148</v>
      </c>
      <c r="K4088" s="213" t="s">
        <v>63141</v>
      </c>
      <c r="L4088" s="213" t="s">
        <v>63186</v>
      </c>
      <c r="M4088" s="213" t="s">
        <v>63231</v>
      </c>
      <c r="N4088" s="213" t="s">
        <v>34149</v>
      </c>
      <c r="O4088" s="213" t="s">
        <v>34150</v>
      </c>
      <c r="P4088" s="213" t="s">
        <v>34151</v>
      </c>
      <c r="Q4088" s="213" t="s">
        <v>34152</v>
      </c>
      <c r="R4088" s="213" t="s">
        <v>34153</v>
      </c>
      <c r="S4088" s="213" t="s">
        <v>34154</v>
      </c>
      <c r="T4088" s="213" t="s">
        <v>34155</v>
      </c>
      <c r="U4088" s="213" t="s">
        <v>63276</v>
      </c>
    </row>
    <row r="4089" spans="1:21" x14ac:dyDescent="0.25">
      <c r="A4089" s="213" t="s">
        <v>327</v>
      </c>
      <c r="D4089" s="213" t="s">
        <v>34156</v>
      </c>
      <c r="E4089" s="213" t="s">
        <v>34157</v>
      </c>
      <c r="K4089" s="213" t="s">
        <v>63142</v>
      </c>
      <c r="L4089" s="213" t="s">
        <v>63187</v>
      </c>
      <c r="M4089" s="213" t="s">
        <v>63232</v>
      </c>
      <c r="N4089" s="213" t="s">
        <v>34158</v>
      </c>
      <c r="O4089" s="213" t="s">
        <v>34159</v>
      </c>
      <c r="P4089" s="213" t="s">
        <v>34160</v>
      </c>
      <c r="Q4089" s="213" t="s">
        <v>34161</v>
      </c>
      <c r="R4089" s="213" t="s">
        <v>34162</v>
      </c>
      <c r="S4089" s="213" t="s">
        <v>34163</v>
      </c>
      <c r="T4089" s="213" t="s">
        <v>34164</v>
      </c>
      <c r="U4089" s="213" t="s">
        <v>63277</v>
      </c>
    </row>
    <row r="4090" spans="1:21" x14ac:dyDescent="0.25">
      <c r="A4090" s="213" t="s">
        <v>327</v>
      </c>
      <c r="D4090" s="213" t="s">
        <v>34165</v>
      </c>
      <c r="E4090" s="213" t="s">
        <v>34166</v>
      </c>
      <c r="K4090" s="213" t="s">
        <v>63143</v>
      </c>
      <c r="L4090" s="213" t="s">
        <v>63188</v>
      </c>
      <c r="M4090" s="213" t="s">
        <v>63233</v>
      </c>
      <c r="N4090" s="213" t="s">
        <v>34167</v>
      </c>
      <c r="O4090" s="213" t="s">
        <v>34168</v>
      </c>
      <c r="P4090" s="213" t="s">
        <v>34169</v>
      </c>
      <c r="Q4090" s="213" t="s">
        <v>34170</v>
      </c>
      <c r="R4090" s="213" t="s">
        <v>34171</v>
      </c>
      <c r="S4090" s="213" t="s">
        <v>34172</v>
      </c>
      <c r="T4090" s="213" t="s">
        <v>34173</v>
      </c>
      <c r="U4090" s="213" t="s">
        <v>63278</v>
      </c>
    </row>
    <row r="4091" spans="1:21" x14ac:dyDescent="0.25">
      <c r="A4091" s="213" t="s">
        <v>327</v>
      </c>
      <c r="D4091" s="213" t="s">
        <v>34174</v>
      </c>
      <c r="E4091" s="213" t="s">
        <v>34175</v>
      </c>
      <c r="K4091" s="213" t="s">
        <v>63144</v>
      </c>
      <c r="L4091" s="213" t="s">
        <v>63189</v>
      </c>
      <c r="M4091" s="213" t="s">
        <v>63234</v>
      </c>
      <c r="N4091" s="213" t="s">
        <v>34176</v>
      </c>
      <c r="O4091" s="213" t="s">
        <v>34177</v>
      </c>
      <c r="P4091" s="213" t="s">
        <v>34178</v>
      </c>
      <c r="Q4091" s="213" t="s">
        <v>34179</v>
      </c>
      <c r="R4091" s="213" t="s">
        <v>34180</v>
      </c>
      <c r="S4091" s="213" t="s">
        <v>34181</v>
      </c>
      <c r="T4091" s="213" t="s">
        <v>34182</v>
      </c>
      <c r="U4091" s="213" t="s">
        <v>63279</v>
      </c>
    </row>
    <row r="4092" spans="1:21" x14ac:dyDescent="0.25">
      <c r="A4092" s="213" t="s">
        <v>327</v>
      </c>
      <c r="D4092" s="213" t="s">
        <v>34183</v>
      </c>
      <c r="E4092" s="213" t="s">
        <v>34184</v>
      </c>
      <c r="K4092" s="213" t="s">
        <v>63145</v>
      </c>
      <c r="L4092" s="213" t="s">
        <v>63190</v>
      </c>
      <c r="M4092" s="213" t="s">
        <v>63235</v>
      </c>
      <c r="N4092" s="213" t="s">
        <v>34185</v>
      </c>
      <c r="O4092" s="213" t="s">
        <v>34186</v>
      </c>
      <c r="P4092" s="213" t="s">
        <v>34187</v>
      </c>
      <c r="Q4092" s="213" t="s">
        <v>34188</v>
      </c>
      <c r="R4092" s="213" t="s">
        <v>34189</v>
      </c>
      <c r="S4092" s="213" t="s">
        <v>34190</v>
      </c>
      <c r="T4092" s="213" t="s">
        <v>34191</v>
      </c>
      <c r="U4092" s="213" t="s">
        <v>63280</v>
      </c>
    </row>
    <row r="4093" spans="1:21" x14ac:dyDescent="0.25">
      <c r="A4093" s="213" t="s">
        <v>327</v>
      </c>
      <c r="D4093" s="213" t="s">
        <v>34192</v>
      </c>
      <c r="E4093" s="213" t="s">
        <v>34193</v>
      </c>
      <c r="K4093" s="213" t="s">
        <v>63146</v>
      </c>
      <c r="L4093" s="213" t="s">
        <v>63191</v>
      </c>
      <c r="M4093" s="213" t="s">
        <v>63236</v>
      </c>
      <c r="N4093" s="213" t="s">
        <v>34194</v>
      </c>
      <c r="O4093" s="213" t="s">
        <v>34195</v>
      </c>
      <c r="P4093" s="213" t="s">
        <v>34196</v>
      </c>
      <c r="Q4093" s="213" t="s">
        <v>34197</v>
      </c>
      <c r="R4093" s="213" t="s">
        <v>34198</v>
      </c>
      <c r="S4093" s="213" t="s">
        <v>34199</v>
      </c>
      <c r="T4093" s="213" t="s">
        <v>34200</v>
      </c>
      <c r="U4093" s="213" t="s">
        <v>63281</v>
      </c>
    </row>
    <row r="4094" spans="1:21" x14ac:dyDescent="0.25">
      <c r="A4094" s="213" t="s">
        <v>327</v>
      </c>
      <c r="D4094" s="213" t="s">
        <v>34201</v>
      </c>
      <c r="E4094" s="213" t="s">
        <v>34202</v>
      </c>
      <c r="K4094" s="213" t="s">
        <v>63147</v>
      </c>
      <c r="L4094" s="213" t="s">
        <v>63192</v>
      </c>
      <c r="M4094" s="213" t="s">
        <v>63237</v>
      </c>
      <c r="N4094" s="213" t="s">
        <v>34203</v>
      </c>
      <c r="O4094" s="213" t="s">
        <v>34204</v>
      </c>
      <c r="P4094" s="213" t="s">
        <v>34205</v>
      </c>
      <c r="Q4094" s="213" t="s">
        <v>34206</v>
      </c>
      <c r="R4094" s="213" t="s">
        <v>34207</v>
      </c>
      <c r="S4094" s="213" t="s">
        <v>34208</v>
      </c>
      <c r="T4094" s="213" t="s">
        <v>34209</v>
      </c>
      <c r="U4094" s="213" t="s">
        <v>63282</v>
      </c>
    </row>
    <row r="4095" spans="1:21" x14ac:dyDescent="0.25">
      <c r="A4095" s="213" t="s">
        <v>327</v>
      </c>
      <c r="D4095" s="213" t="s">
        <v>34210</v>
      </c>
      <c r="E4095" s="213" t="s">
        <v>34211</v>
      </c>
      <c r="K4095" s="213" t="s">
        <v>63148</v>
      </c>
      <c r="L4095" s="213" t="s">
        <v>63193</v>
      </c>
      <c r="M4095" s="213" t="s">
        <v>63238</v>
      </c>
      <c r="N4095" s="213" t="s">
        <v>34212</v>
      </c>
      <c r="O4095" s="213" t="s">
        <v>34213</v>
      </c>
      <c r="P4095" s="213" t="s">
        <v>34214</v>
      </c>
      <c r="Q4095" s="213" t="s">
        <v>34215</v>
      </c>
      <c r="R4095" s="213" t="s">
        <v>34216</v>
      </c>
      <c r="S4095" s="213" t="s">
        <v>34217</v>
      </c>
      <c r="T4095" s="213" t="s">
        <v>34218</v>
      </c>
      <c r="U4095" s="213" t="s">
        <v>63283</v>
      </c>
    </row>
    <row r="4096" spans="1:21" x14ac:dyDescent="0.25">
      <c r="A4096" s="213" t="s">
        <v>327</v>
      </c>
      <c r="D4096" s="213" t="s">
        <v>34219</v>
      </c>
      <c r="E4096" s="213" t="s">
        <v>34220</v>
      </c>
      <c r="K4096" s="213" t="s">
        <v>63149</v>
      </c>
      <c r="L4096" s="213" t="s">
        <v>63194</v>
      </c>
      <c r="M4096" s="213" t="s">
        <v>63239</v>
      </c>
      <c r="N4096" s="213" t="s">
        <v>34221</v>
      </c>
      <c r="O4096" s="213" t="s">
        <v>34222</v>
      </c>
      <c r="P4096" s="213" t="s">
        <v>34223</v>
      </c>
      <c r="Q4096" s="213" t="s">
        <v>34224</v>
      </c>
      <c r="R4096" s="213" t="s">
        <v>34225</v>
      </c>
      <c r="S4096" s="213" t="s">
        <v>34226</v>
      </c>
      <c r="T4096" s="213" t="s">
        <v>34227</v>
      </c>
      <c r="U4096" s="213" t="s">
        <v>63284</v>
      </c>
    </row>
    <row r="4097" spans="1:21" x14ac:dyDescent="0.25">
      <c r="A4097" s="213" t="s">
        <v>327</v>
      </c>
      <c r="D4097" s="213" t="s">
        <v>34228</v>
      </c>
      <c r="E4097" s="213" t="s">
        <v>34229</v>
      </c>
      <c r="K4097" s="213" t="s">
        <v>63150</v>
      </c>
      <c r="L4097" s="213" t="s">
        <v>63195</v>
      </c>
      <c r="M4097" s="213" t="s">
        <v>63240</v>
      </c>
      <c r="N4097" s="213" t="s">
        <v>34230</v>
      </c>
      <c r="O4097" s="213" t="s">
        <v>34231</v>
      </c>
      <c r="P4097" s="213" t="s">
        <v>34232</v>
      </c>
      <c r="Q4097" s="213" t="s">
        <v>34233</v>
      </c>
      <c r="R4097" s="213" t="s">
        <v>34234</v>
      </c>
      <c r="S4097" s="213" t="s">
        <v>34235</v>
      </c>
      <c r="T4097" s="213" t="s">
        <v>34236</v>
      </c>
      <c r="U4097" s="213" t="s">
        <v>63285</v>
      </c>
    </row>
    <row r="4098" spans="1:21" x14ac:dyDescent="0.25">
      <c r="A4098" s="213" t="s">
        <v>327</v>
      </c>
      <c r="D4098" s="213" t="s">
        <v>34237</v>
      </c>
      <c r="E4098" s="213" t="s">
        <v>34238</v>
      </c>
      <c r="K4098" s="213" t="s">
        <v>63151</v>
      </c>
      <c r="L4098" s="213" t="s">
        <v>63196</v>
      </c>
      <c r="M4098" s="213" t="s">
        <v>63241</v>
      </c>
      <c r="N4098" s="213" t="s">
        <v>34239</v>
      </c>
      <c r="O4098" s="213" t="s">
        <v>34240</v>
      </c>
      <c r="P4098" s="213" t="s">
        <v>34241</v>
      </c>
      <c r="Q4098" s="213" t="s">
        <v>34242</v>
      </c>
      <c r="R4098" s="213" t="s">
        <v>34243</v>
      </c>
      <c r="S4098" s="213" t="s">
        <v>34244</v>
      </c>
      <c r="T4098" s="213" t="s">
        <v>34245</v>
      </c>
      <c r="U4098" s="213" t="s">
        <v>63286</v>
      </c>
    </row>
    <row r="4099" spans="1:21" x14ac:dyDescent="0.25">
      <c r="A4099" s="213" t="s">
        <v>327</v>
      </c>
      <c r="D4099" s="213" t="s">
        <v>34246</v>
      </c>
      <c r="E4099" s="213" t="s">
        <v>34247</v>
      </c>
      <c r="K4099" s="213" t="s">
        <v>63152</v>
      </c>
      <c r="L4099" s="213" t="s">
        <v>63197</v>
      </c>
      <c r="M4099" s="213" t="s">
        <v>63242</v>
      </c>
      <c r="N4099" s="213" t="s">
        <v>34248</v>
      </c>
      <c r="O4099" s="213" t="s">
        <v>34249</v>
      </c>
      <c r="P4099" s="213" t="s">
        <v>34250</v>
      </c>
      <c r="Q4099" s="213" t="s">
        <v>34251</v>
      </c>
      <c r="R4099" s="213" t="s">
        <v>34252</v>
      </c>
      <c r="S4099" s="213" t="s">
        <v>34253</v>
      </c>
      <c r="T4099" s="213" t="s">
        <v>34254</v>
      </c>
      <c r="U4099" s="213" t="s">
        <v>63287</v>
      </c>
    </row>
    <row r="4100" spans="1:21" x14ac:dyDescent="0.25">
      <c r="A4100" s="213" t="s">
        <v>327</v>
      </c>
      <c r="D4100" s="213" t="s">
        <v>34255</v>
      </c>
      <c r="E4100" s="213" t="s">
        <v>34256</v>
      </c>
      <c r="K4100" s="213" t="s">
        <v>63153</v>
      </c>
      <c r="L4100" s="213" t="s">
        <v>63198</v>
      </c>
      <c r="M4100" s="213" t="s">
        <v>63243</v>
      </c>
      <c r="N4100" s="213" t="s">
        <v>34257</v>
      </c>
      <c r="O4100" s="213" t="s">
        <v>34258</v>
      </c>
      <c r="P4100" s="213" t="s">
        <v>34259</v>
      </c>
      <c r="Q4100" s="213" t="s">
        <v>34260</v>
      </c>
      <c r="R4100" s="213" t="s">
        <v>34261</v>
      </c>
      <c r="S4100" s="213" t="s">
        <v>34262</v>
      </c>
      <c r="T4100" s="213" t="s">
        <v>34263</v>
      </c>
      <c r="U4100" s="213" t="s">
        <v>63288</v>
      </c>
    </row>
    <row r="4101" spans="1:21" x14ac:dyDescent="0.25">
      <c r="A4101" s="213" t="s">
        <v>327</v>
      </c>
      <c r="D4101" s="213" t="s">
        <v>34264</v>
      </c>
      <c r="E4101" s="213" t="s">
        <v>34265</v>
      </c>
      <c r="K4101" s="213" t="s">
        <v>63154</v>
      </c>
      <c r="L4101" s="213" t="s">
        <v>63199</v>
      </c>
      <c r="M4101" s="213" t="s">
        <v>63244</v>
      </c>
      <c r="N4101" s="213" t="s">
        <v>34266</v>
      </c>
      <c r="O4101" s="213" t="s">
        <v>34267</v>
      </c>
      <c r="P4101" s="213" t="s">
        <v>34268</v>
      </c>
      <c r="Q4101" s="213" t="s">
        <v>34269</v>
      </c>
      <c r="R4101" s="213" t="s">
        <v>34270</v>
      </c>
      <c r="S4101" s="213" t="s">
        <v>34271</v>
      </c>
      <c r="T4101" s="213" t="s">
        <v>34272</v>
      </c>
      <c r="U4101" s="213" t="s">
        <v>63289</v>
      </c>
    </row>
    <row r="4102" spans="1:21" x14ac:dyDescent="0.25">
      <c r="A4102" s="213" t="s">
        <v>327</v>
      </c>
      <c r="D4102" s="213" t="s">
        <v>34273</v>
      </c>
      <c r="E4102" s="213" t="s">
        <v>34274</v>
      </c>
      <c r="K4102" s="213" t="s">
        <v>63155</v>
      </c>
      <c r="L4102" s="213" t="s">
        <v>63200</v>
      </c>
      <c r="M4102" s="213" t="s">
        <v>63245</v>
      </c>
      <c r="N4102" s="213" t="s">
        <v>34275</v>
      </c>
      <c r="O4102" s="213" t="s">
        <v>34276</v>
      </c>
      <c r="P4102" s="213" t="s">
        <v>34277</v>
      </c>
      <c r="Q4102" s="213" t="s">
        <v>34278</v>
      </c>
      <c r="R4102" s="213" t="s">
        <v>34279</v>
      </c>
      <c r="S4102" s="213" t="s">
        <v>34280</v>
      </c>
      <c r="T4102" s="213" t="s">
        <v>34281</v>
      </c>
      <c r="U4102" s="213" t="s">
        <v>63290</v>
      </c>
    </row>
    <row r="4103" spans="1:21" x14ac:dyDescent="0.25">
      <c r="A4103" s="213" t="s">
        <v>327</v>
      </c>
      <c r="D4103" s="213" t="s">
        <v>34282</v>
      </c>
      <c r="E4103" s="213" t="s">
        <v>34283</v>
      </c>
      <c r="K4103" s="213" t="s">
        <v>63156</v>
      </c>
      <c r="L4103" s="213" t="s">
        <v>63201</v>
      </c>
      <c r="M4103" s="213" t="s">
        <v>63246</v>
      </c>
      <c r="N4103" s="213" t="s">
        <v>34284</v>
      </c>
      <c r="O4103" s="213" t="s">
        <v>34285</v>
      </c>
      <c r="P4103" s="213" t="s">
        <v>34286</v>
      </c>
      <c r="Q4103" s="213" t="s">
        <v>34287</v>
      </c>
      <c r="R4103" s="213" t="s">
        <v>34288</v>
      </c>
      <c r="S4103" s="213" t="s">
        <v>34289</v>
      </c>
      <c r="T4103" s="213" t="s">
        <v>34290</v>
      </c>
      <c r="U4103" s="213" t="s">
        <v>63291</v>
      </c>
    </row>
    <row r="4104" spans="1:21" x14ac:dyDescent="0.25">
      <c r="A4104" s="213" t="s">
        <v>327</v>
      </c>
      <c r="D4104" s="213" t="s">
        <v>34291</v>
      </c>
      <c r="E4104" s="213" t="s">
        <v>34292</v>
      </c>
      <c r="K4104" s="213" t="s">
        <v>63157</v>
      </c>
      <c r="L4104" s="213" t="s">
        <v>63202</v>
      </c>
      <c r="M4104" s="213" t="s">
        <v>63247</v>
      </c>
      <c r="N4104" s="213" t="s">
        <v>34293</v>
      </c>
      <c r="O4104" s="213" t="s">
        <v>34294</v>
      </c>
      <c r="P4104" s="213" t="s">
        <v>34295</v>
      </c>
      <c r="Q4104" s="213" t="s">
        <v>34296</v>
      </c>
      <c r="R4104" s="213" t="s">
        <v>34297</v>
      </c>
      <c r="S4104" s="213" t="s">
        <v>34298</v>
      </c>
      <c r="T4104" s="213" t="s">
        <v>34299</v>
      </c>
      <c r="U4104" s="213" t="s">
        <v>63292</v>
      </c>
    </row>
    <row r="4105" spans="1:21" x14ac:dyDescent="0.25">
      <c r="A4105" s="213" t="s">
        <v>327</v>
      </c>
      <c r="D4105" s="213" t="s">
        <v>34300</v>
      </c>
      <c r="E4105" s="213" t="s">
        <v>34301</v>
      </c>
      <c r="K4105" s="213" t="s">
        <v>63158</v>
      </c>
      <c r="L4105" s="213" t="s">
        <v>63203</v>
      </c>
      <c r="M4105" s="213" t="s">
        <v>63248</v>
      </c>
      <c r="N4105" s="213" t="s">
        <v>34302</v>
      </c>
      <c r="O4105" s="213" t="s">
        <v>34303</v>
      </c>
      <c r="P4105" s="213" t="s">
        <v>34304</v>
      </c>
      <c r="Q4105" s="213" t="s">
        <v>34305</v>
      </c>
      <c r="R4105" s="213" t="s">
        <v>34306</v>
      </c>
      <c r="S4105" s="213" t="s">
        <v>34307</v>
      </c>
      <c r="T4105" s="213" t="s">
        <v>34308</v>
      </c>
      <c r="U4105" s="213" t="s">
        <v>63293</v>
      </c>
    </row>
    <row r="4106" spans="1:21" x14ac:dyDescent="0.25">
      <c r="A4106" s="213" t="s">
        <v>327</v>
      </c>
    </row>
    <row r="4107" spans="1:21" x14ac:dyDescent="0.25">
      <c r="A4107" s="213" t="s">
        <v>327</v>
      </c>
    </row>
    <row r="4108" spans="1:21" x14ac:dyDescent="0.25">
      <c r="A4108" s="213" t="s">
        <v>327</v>
      </c>
      <c r="C4108" s="213" t="s">
        <v>34309</v>
      </c>
      <c r="E4108" s="213" t="s">
        <v>34310</v>
      </c>
      <c r="H4108" s="213" t="s">
        <v>34311</v>
      </c>
      <c r="I4108" s="213" t="s">
        <v>34312</v>
      </c>
      <c r="J4108" s="213" t="s">
        <v>34313</v>
      </c>
      <c r="L4108" s="213" t="s">
        <v>34314</v>
      </c>
      <c r="O4108" s="213" t="s">
        <v>34315</v>
      </c>
      <c r="P4108" s="213" t="s">
        <v>34316</v>
      </c>
      <c r="Q4108" s="213" t="s">
        <v>34317</v>
      </c>
      <c r="R4108" s="213" t="s">
        <v>34318</v>
      </c>
      <c r="S4108" s="213" t="s">
        <v>34319</v>
      </c>
      <c r="T4108" s="213" t="s">
        <v>34320</v>
      </c>
    </row>
    <row r="4109" spans="1:21" x14ac:dyDescent="0.25">
      <c r="A4109" s="213" t="s">
        <v>327</v>
      </c>
      <c r="C4109" s="213" t="s">
        <v>34321</v>
      </c>
      <c r="E4109" s="213" t="s">
        <v>34322</v>
      </c>
      <c r="I4109" s="213" t="s">
        <v>34323</v>
      </c>
    </row>
    <row r="4110" spans="1:21" x14ac:dyDescent="0.25">
      <c r="A4110" s="213" t="s">
        <v>327</v>
      </c>
      <c r="C4110" s="213" t="s">
        <v>34324</v>
      </c>
      <c r="E4110" s="213" t="s">
        <v>34325</v>
      </c>
      <c r="I4110" s="213" t="s">
        <v>34326</v>
      </c>
    </row>
    <row r="4111" spans="1:21" x14ac:dyDescent="0.25">
      <c r="A4111" s="213" t="s">
        <v>328</v>
      </c>
    </row>
    <row r="4112" spans="1:21" x14ac:dyDescent="0.25">
      <c r="A4112" s="213" t="s">
        <v>327</v>
      </c>
      <c r="D4112" s="213" t="s">
        <v>34327</v>
      </c>
      <c r="E4112" s="213" t="s">
        <v>34328</v>
      </c>
      <c r="K4112" s="213" t="s">
        <v>62990</v>
      </c>
      <c r="L4112" s="213" t="s">
        <v>63021</v>
      </c>
      <c r="M4112" s="213" t="s">
        <v>63052</v>
      </c>
      <c r="N4112" s="213" t="s">
        <v>34329</v>
      </c>
      <c r="O4112" s="213" t="s">
        <v>34330</v>
      </c>
      <c r="P4112" s="213" t="s">
        <v>34331</v>
      </c>
      <c r="Q4112" s="213" t="s">
        <v>34332</v>
      </c>
      <c r="R4112" s="213" t="s">
        <v>34333</v>
      </c>
      <c r="S4112" s="213" t="s">
        <v>34334</v>
      </c>
      <c r="T4112" s="213" t="s">
        <v>34335</v>
      </c>
      <c r="U4112" s="213" t="s">
        <v>63083</v>
      </c>
    </row>
    <row r="4113" spans="1:21" x14ac:dyDescent="0.25">
      <c r="A4113" s="213" t="s">
        <v>327</v>
      </c>
      <c r="D4113" s="213" t="s">
        <v>34336</v>
      </c>
      <c r="E4113" s="213" t="s">
        <v>34337</v>
      </c>
      <c r="K4113" s="213" t="s">
        <v>62991</v>
      </c>
      <c r="L4113" s="213" t="s">
        <v>63022</v>
      </c>
      <c r="M4113" s="213" t="s">
        <v>63053</v>
      </c>
      <c r="N4113" s="213" t="s">
        <v>34338</v>
      </c>
      <c r="O4113" s="213" t="s">
        <v>34339</v>
      </c>
      <c r="P4113" s="213" t="s">
        <v>34340</v>
      </c>
      <c r="Q4113" s="213" t="s">
        <v>34341</v>
      </c>
      <c r="R4113" s="213" t="s">
        <v>34342</v>
      </c>
      <c r="S4113" s="213" t="s">
        <v>34343</v>
      </c>
      <c r="T4113" s="213" t="s">
        <v>34344</v>
      </c>
      <c r="U4113" s="213" t="s">
        <v>63084</v>
      </c>
    </row>
    <row r="4114" spans="1:21" x14ac:dyDescent="0.25">
      <c r="A4114" s="213" t="s">
        <v>327</v>
      </c>
      <c r="D4114" s="213" t="s">
        <v>34345</v>
      </c>
      <c r="E4114" s="213" t="s">
        <v>34346</v>
      </c>
      <c r="K4114" s="213" t="s">
        <v>62992</v>
      </c>
      <c r="L4114" s="213" t="s">
        <v>63023</v>
      </c>
      <c r="M4114" s="213" t="s">
        <v>63054</v>
      </c>
      <c r="N4114" s="213" t="s">
        <v>34347</v>
      </c>
      <c r="O4114" s="213" t="s">
        <v>34348</v>
      </c>
      <c r="P4114" s="213" t="s">
        <v>34349</v>
      </c>
      <c r="Q4114" s="213" t="s">
        <v>34350</v>
      </c>
      <c r="R4114" s="213" t="s">
        <v>34351</v>
      </c>
      <c r="S4114" s="213" t="s">
        <v>34352</v>
      </c>
      <c r="T4114" s="213" t="s">
        <v>34353</v>
      </c>
      <c r="U4114" s="213" t="s">
        <v>63085</v>
      </c>
    </row>
    <row r="4115" spans="1:21" x14ac:dyDescent="0.25">
      <c r="A4115" s="213" t="s">
        <v>327</v>
      </c>
      <c r="D4115" s="213" t="s">
        <v>34354</v>
      </c>
      <c r="E4115" s="213" t="s">
        <v>34355</v>
      </c>
      <c r="K4115" s="213" t="s">
        <v>62993</v>
      </c>
      <c r="L4115" s="213" t="s">
        <v>63024</v>
      </c>
      <c r="M4115" s="213" t="s">
        <v>63055</v>
      </c>
      <c r="N4115" s="213" t="s">
        <v>34356</v>
      </c>
      <c r="O4115" s="213" t="s">
        <v>34357</v>
      </c>
      <c r="P4115" s="213" t="s">
        <v>34358</v>
      </c>
      <c r="Q4115" s="213" t="s">
        <v>34359</v>
      </c>
      <c r="R4115" s="213" t="s">
        <v>34360</v>
      </c>
      <c r="S4115" s="213" t="s">
        <v>34361</v>
      </c>
      <c r="T4115" s="213" t="s">
        <v>34362</v>
      </c>
      <c r="U4115" s="213" t="s">
        <v>63086</v>
      </c>
    </row>
    <row r="4116" spans="1:21" x14ac:dyDescent="0.25">
      <c r="A4116" s="213" t="s">
        <v>327</v>
      </c>
      <c r="D4116" s="213" t="s">
        <v>34363</v>
      </c>
      <c r="E4116" s="213" t="s">
        <v>34364</v>
      </c>
      <c r="K4116" s="213" t="s">
        <v>62994</v>
      </c>
      <c r="L4116" s="213" t="s">
        <v>63025</v>
      </c>
      <c r="M4116" s="213" t="s">
        <v>63056</v>
      </c>
      <c r="N4116" s="213" t="s">
        <v>34365</v>
      </c>
      <c r="O4116" s="213" t="s">
        <v>34366</v>
      </c>
      <c r="P4116" s="213" t="s">
        <v>34367</v>
      </c>
      <c r="Q4116" s="213" t="s">
        <v>34368</v>
      </c>
      <c r="R4116" s="213" t="s">
        <v>34369</v>
      </c>
      <c r="S4116" s="213" t="s">
        <v>34370</v>
      </c>
      <c r="T4116" s="213" t="s">
        <v>34371</v>
      </c>
      <c r="U4116" s="213" t="s">
        <v>63087</v>
      </c>
    </row>
    <row r="4117" spans="1:21" x14ac:dyDescent="0.25">
      <c r="A4117" s="213" t="s">
        <v>327</v>
      </c>
      <c r="D4117" s="213" t="s">
        <v>34372</v>
      </c>
      <c r="E4117" s="213" t="s">
        <v>34373</v>
      </c>
      <c r="K4117" s="213" t="s">
        <v>62995</v>
      </c>
      <c r="L4117" s="213" t="s">
        <v>63026</v>
      </c>
      <c r="M4117" s="213" t="s">
        <v>63057</v>
      </c>
      <c r="N4117" s="213" t="s">
        <v>34374</v>
      </c>
      <c r="O4117" s="213" t="s">
        <v>34375</v>
      </c>
      <c r="P4117" s="213" t="s">
        <v>34376</v>
      </c>
      <c r="Q4117" s="213" t="s">
        <v>34377</v>
      </c>
      <c r="R4117" s="213" t="s">
        <v>34378</v>
      </c>
      <c r="S4117" s="213" t="s">
        <v>34379</v>
      </c>
      <c r="T4117" s="213" t="s">
        <v>34380</v>
      </c>
      <c r="U4117" s="213" t="s">
        <v>63088</v>
      </c>
    </row>
    <row r="4118" spans="1:21" x14ac:dyDescent="0.25">
      <c r="A4118" s="213" t="s">
        <v>327</v>
      </c>
      <c r="D4118" s="213" t="s">
        <v>34381</v>
      </c>
      <c r="E4118" s="213" t="s">
        <v>34382</v>
      </c>
      <c r="K4118" s="213" t="s">
        <v>62996</v>
      </c>
      <c r="L4118" s="213" t="s">
        <v>63027</v>
      </c>
      <c r="M4118" s="213" t="s">
        <v>63058</v>
      </c>
      <c r="N4118" s="213" t="s">
        <v>34383</v>
      </c>
      <c r="O4118" s="213" t="s">
        <v>34384</v>
      </c>
      <c r="P4118" s="213" t="s">
        <v>34385</v>
      </c>
      <c r="Q4118" s="213" t="s">
        <v>34386</v>
      </c>
      <c r="R4118" s="213" t="s">
        <v>34387</v>
      </c>
      <c r="S4118" s="213" t="s">
        <v>34388</v>
      </c>
      <c r="T4118" s="213" t="s">
        <v>34389</v>
      </c>
      <c r="U4118" s="213" t="s">
        <v>63089</v>
      </c>
    </row>
    <row r="4119" spans="1:21" x14ac:dyDescent="0.25">
      <c r="A4119" s="213" t="s">
        <v>327</v>
      </c>
      <c r="D4119" s="213" t="s">
        <v>34390</v>
      </c>
      <c r="E4119" s="213" t="s">
        <v>34391</v>
      </c>
      <c r="K4119" s="213" t="s">
        <v>62997</v>
      </c>
      <c r="L4119" s="213" t="s">
        <v>63028</v>
      </c>
      <c r="M4119" s="213" t="s">
        <v>63059</v>
      </c>
      <c r="N4119" s="213" t="s">
        <v>34392</v>
      </c>
      <c r="O4119" s="213" t="s">
        <v>34393</v>
      </c>
      <c r="P4119" s="213" t="s">
        <v>34394</v>
      </c>
      <c r="Q4119" s="213" t="s">
        <v>34395</v>
      </c>
      <c r="R4119" s="213" t="s">
        <v>34396</v>
      </c>
      <c r="S4119" s="213" t="s">
        <v>34397</v>
      </c>
      <c r="T4119" s="213" t="s">
        <v>34398</v>
      </c>
      <c r="U4119" s="213" t="s">
        <v>63090</v>
      </c>
    </row>
    <row r="4120" spans="1:21" x14ac:dyDescent="0.25">
      <c r="A4120" s="213" t="s">
        <v>327</v>
      </c>
      <c r="D4120" s="213" t="s">
        <v>34399</v>
      </c>
      <c r="E4120" s="213" t="s">
        <v>34400</v>
      </c>
      <c r="K4120" s="213" t="s">
        <v>62998</v>
      </c>
      <c r="L4120" s="213" t="s">
        <v>63029</v>
      </c>
      <c r="M4120" s="213" t="s">
        <v>63060</v>
      </c>
      <c r="N4120" s="213" t="s">
        <v>34401</v>
      </c>
      <c r="O4120" s="213" t="s">
        <v>34402</v>
      </c>
      <c r="P4120" s="213" t="s">
        <v>34403</v>
      </c>
      <c r="Q4120" s="213" t="s">
        <v>34404</v>
      </c>
      <c r="R4120" s="213" t="s">
        <v>34405</v>
      </c>
      <c r="S4120" s="213" t="s">
        <v>34406</v>
      </c>
      <c r="T4120" s="213" t="s">
        <v>34407</v>
      </c>
      <c r="U4120" s="213" t="s">
        <v>63091</v>
      </c>
    </row>
    <row r="4121" spans="1:21" x14ac:dyDescent="0.25">
      <c r="A4121" s="213" t="s">
        <v>327</v>
      </c>
      <c r="D4121" s="213" t="s">
        <v>34408</v>
      </c>
      <c r="E4121" s="213" t="s">
        <v>34409</v>
      </c>
      <c r="K4121" s="213" t="s">
        <v>62999</v>
      </c>
      <c r="L4121" s="213" t="s">
        <v>63030</v>
      </c>
      <c r="M4121" s="213" t="s">
        <v>63061</v>
      </c>
      <c r="N4121" s="213" t="s">
        <v>34410</v>
      </c>
      <c r="O4121" s="213" t="s">
        <v>34411</v>
      </c>
      <c r="P4121" s="213" t="s">
        <v>34412</v>
      </c>
      <c r="Q4121" s="213" t="s">
        <v>34413</v>
      </c>
      <c r="R4121" s="213" t="s">
        <v>34414</v>
      </c>
      <c r="S4121" s="213" t="s">
        <v>34415</v>
      </c>
      <c r="T4121" s="213" t="s">
        <v>34416</v>
      </c>
      <c r="U4121" s="213" t="s">
        <v>63092</v>
      </c>
    </row>
    <row r="4122" spans="1:21" x14ac:dyDescent="0.25">
      <c r="A4122" s="213" t="s">
        <v>327</v>
      </c>
      <c r="D4122" s="213" t="s">
        <v>34417</v>
      </c>
      <c r="E4122" s="213" t="s">
        <v>34418</v>
      </c>
      <c r="K4122" s="213" t="s">
        <v>63000</v>
      </c>
      <c r="L4122" s="213" t="s">
        <v>63031</v>
      </c>
      <c r="M4122" s="213" t="s">
        <v>63062</v>
      </c>
      <c r="N4122" s="213" t="s">
        <v>34419</v>
      </c>
      <c r="O4122" s="213" t="s">
        <v>34420</v>
      </c>
      <c r="P4122" s="213" t="s">
        <v>34421</v>
      </c>
      <c r="Q4122" s="213" t="s">
        <v>34422</v>
      </c>
      <c r="R4122" s="213" t="s">
        <v>34423</v>
      </c>
      <c r="S4122" s="213" t="s">
        <v>34424</v>
      </c>
      <c r="T4122" s="213" t="s">
        <v>34425</v>
      </c>
      <c r="U4122" s="213" t="s">
        <v>63093</v>
      </c>
    </row>
    <row r="4123" spans="1:21" x14ac:dyDescent="0.25">
      <c r="A4123" s="213" t="s">
        <v>327</v>
      </c>
      <c r="D4123" s="213" t="s">
        <v>34426</v>
      </c>
      <c r="E4123" s="213" t="s">
        <v>34427</v>
      </c>
      <c r="K4123" s="213" t="s">
        <v>63001</v>
      </c>
      <c r="L4123" s="213" t="s">
        <v>63032</v>
      </c>
      <c r="M4123" s="213" t="s">
        <v>63063</v>
      </c>
      <c r="N4123" s="213" t="s">
        <v>34428</v>
      </c>
      <c r="O4123" s="213" t="s">
        <v>34429</v>
      </c>
      <c r="P4123" s="213" t="s">
        <v>34430</v>
      </c>
      <c r="Q4123" s="213" t="s">
        <v>34431</v>
      </c>
      <c r="R4123" s="213" t="s">
        <v>34432</v>
      </c>
      <c r="S4123" s="213" t="s">
        <v>34433</v>
      </c>
      <c r="T4123" s="213" t="s">
        <v>34434</v>
      </c>
      <c r="U4123" s="213" t="s">
        <v>63094</v>
      </c>
    </row>
    <row r="4124" spans="1:21" x14ac:dyDescent="0.25">
      <c r="A4124" s="213" t="s">
        <v>327</v>
      </c>
      <c r="D4124" s="213" t="s">
        <v>34435</v>
      </c>
      <c r="E4124" s="213" t="s">
        <v>34436</v>
      </c>
      <c r="K4124" s="213" t="s">
        <v>63002</v>
      </c>
      <c r="L4124" s="213" t="s">
        <v>63033</v>
      </c>
      <c r="M4124" s="213" t="s">
        <v>63064</v>
      </c>
      <c r="N4124" s="213" t="s">
        <v>34437</v>
      </c>
      <c r="O4124" s="213" t="s">
        <v>34438</v>
      </c>
      <c r="P4124" s="213" t="s">
        <v>34439</v>
      </c>
      <c r="Q4124" s="213" t="s">
        <v>34440</v>
      </c>
      <c r="R4124" s="213" t="s">
        <v>34441</v>
      </c>
      <c r="S4124" s="213" t="s">
        <v>34442</v>
      </c>
      <c r="T4124" s="213" t="s">
        <v>34443</v>
      </c>
      <c r="U4124" s="213" t="s">
        <v>63095</v>
      </c>
    </row>
    <row r="4125" spans="1:21" x14ac:dyDescent="0.25">
      <c r="A4125" s="213" t="s">
        <v>327</v>
      </c>
      <c r="D4125" s="213" t="s">
        <v>34444</v>
      </c>
      <c r="E4125" s="213" t="s">
        <v>34445</v>
      </c>
      <c r="K4125" s="213" t="s">
        <v>63003</v>
      </c>
      <c r="L4125" s="213" t="s">
        <v>63034</v>
      </c>
      <c r="M4125" s="213" t="s">
        <v>63065</v>
      </c>
      <c r="N4125" s="213" t="s">
        <v>34446</v>
      </c>
      <c r="O4125" s="213" t="s">
        <v>34447</v>
      </c>
      <c r="P4125" s="213" t="s">
        <v>34448</v>
      </c>
      <c r="Q4125" s="213" t="s">
        <v>34449</v>
      </c>
      <c r="R4125" s="213" t="s">
        <v>34450</v>
      </c>
      <c r="S4125" s="213" t="s">
        <v>34451</v>
      </c>
      <c r="T4125" s="213" t="s">
        <v>34452</v>
      </c>
      <c r="U4125" s="213" t="s">
        <v>63096</v>
      </c>
    </row>
    <row r="4126" spans="1:21" x14ac:dyDescent="0.25">
      <c r="A4126" s="213" t="s">
        <v>327</v>
      </c>
      <c r="D4126" s="213" t="s">
        <v>34453</v>
      </c>
      <c r="E4126" s="213" t="s">
        <v>34454</v>
      </c>
      <c r="K4126" s="213" t="s">
        <v>63004</v>
      </c>
      <c r="L4126" s="213" t="s">
        <v>63035</v>
      </c>
      <c r="M4126" s="213" t="s">
        <v>63066</v>
      </c>
      <c r="N4126" s="213" t="s">
        <v>34455</v>
      </c>
      <c r="O4126" s="213" t="s">
        <v>34456</v>
      </c>
      <c r="P4126" s="213" t="s">
        <v>34457</v>
      </c>
      <c r="Q4126" s="213" t="s">
        <v>34458</v>
      </c>
      <c r="R4126" s="213" t="s">
        <v>34459</v>
      </c>
      <c r="S4126" s="213" t="s">
        <v>34460</v>
      </c>
      <c r="T4126" s="213" t="s">
        <v>34461</v>
      </c>
      <c r="U4126" s="213" t="s">
        <v>63097</v>
      </c>
    </row>
    <row r="4127" spans="1:21" x14ac:dyDescent="0.25">
      <c r="A4127" s="213" t="s">
        <v>327</v>
      </c>
      <c r="D4127" s="213" t="s">
        <v>34462</v>
      </c>
      <c r="E4127" s="213" t="s">
        <v>34463</v>
      </c>
      <c r="K4127" s="213" t="s">
        <v>63005</v>
      </c>
      <c r="L4127" s="213" t="s">
        <v>63036</v>
      </c>
      <c r="M4127" s="213" t="s">
        <v>63067</v>
      </c>
      <c r="N4127" s="213" t="s">
        <v>34464</v>
      </c>
      <c r="O4127" s="213" t="s">
        <v>34465</v>
      </c>
      <c r="P4127" s="213" t="s">
        <v>34466</v>
      </c>
      <c r="Q4127" s="213" t="s">
        <v>34467</v>
      </c>
      <c r="R4127" s="213" t="s">
        <v>34468</v>
      </c>
      <c r="S4127" s="213" t="s">
        <v>34469</v>
      </c>
      <c r="T4127" s="213" t="s">
        <v>34470</v>
      </c>
      <c r="U4127" s="213" t="s">
        <v>63098</v>
      </c>
    </row>
    <row r="4128" spans="1:21" x14ac:dyDescent="0.25">
      <c r="A4128" s="213" t="s">
        <v>327</v>
      </c>
      <c r="D4128" s="213" t="s">
        <v>34471</v>
      </c>
      <c r="E4128" s="213" t="s">
        <v>34472</v>
      </c>
      <c r="K4128" s="213" t="s">
        <v>63006</v>
      </c>
      <c r="L4128" s="213" t="s">
        <v>63037</v>
      </c>
      <c r="M4128" s="213" t="s">
        <v>63068</v>
      </c>
      <c r="N4128" s="213" t="s">
        <v>34473</v>
      </c>
      <c r="O4128" s="213" t="s">
        <v>34474</v>
      </c>
      <c r="P4128" s="213" t="s">
        <v>34475</v>
      </c>
      <c r="Q4128" s="213" t="s">
        <v>34476</v>
      </c>
      <c r="R4128" s="213" t="s">
        <v>34477</v>
      </c>
      <c r="S4128" s="213" t="s">
        <v>34478</v>
      </c>
      <c r="T4128" s="213" t="s">
        <v>34479</v>
      </c>
      <c r="U4128" s="213" t="s">
        <v>63099</v>
      </c>
    </row>
    <row r="4129" spans="1:21" x14ac:dyDescent="0.25">
      <c r="A4129" s="213" t="s">
        <v>327</v>
      </c>
      <c r="D4129" s="213" t="s">
        <v>34480</v>
      </c>
      <c r="E4129" s="213" t="s">
        <v>34481</v>
      </c>
      <c r="K4129" s="213" t="s">
        <v>63007</v>
      </c>
      <c r="L4129" s="213" t="s">
        <v>63038</v>
      </c>
      <c r="M4129" s="213" t="s">
        <v>63069</v>
      </c>
      <c r="N4129" s="213" t="s">
        <v>34482</v>
      </c>
      <c r="O4129" s="213" t="s">
        <v>34483</v>
      </c>
      <c r="P4129" s="213" t="s">
        <v>34484</v>
      </c>
      <c r="Q4129" s="213" t="s">
        <v>34485</v>
      </c>
      <c r="R4129" s="213" t="s">
        <v>34486</v>
      </c>
      <c r="S4129" s="213" t="s">
        <v>34487</v>
      </c>
      <c r="T4129" s="213" t="s">
        <v>34488</v>
      </c>
      <c r="U4129" s="213" t="s">
        <v>63100</v>
      </c>
    </row>
    <row r="4130" spans="1:21" x14ac:dyDescent="0.25">
      <c r="A4130" s="213" t="s">
        <v>327</v>
      </c>
      <c r="D4130" s="213" t="s">
        <v>34489</v>
      </c>
      <c r="E4130" s="213" t="s">
        <v>34490</v>
      </c>
      <c r="K4130" s="213" t="s">
        <v>63008</v>
      </c>
      <c r="L4130" s="213" t="s">
        <v>63039</v>
      </c>
      <c r="M4130" s="213" t="s">
        <v>63070</v>
      </c>
      <c r="N4130" s="213" t="s">
        <v>34491</v>
      </c>
      <c r="O4130" s="213" t="s">
        <v>34492</v>
      </c>
      <c r="P4130" s="213" t="s">
        <v>34493</v>
      </c>
      <c r="Q4130" s="213" t="s">
        <v>34494</v>
      </c>
      <c r="R4130" s="213" t="s">
        <v>34495</v>
      </c>
      <c r="S4130" s="213" t="s">
        <v>34496</v>
      </c>
      <c r="T4130" s="213" t="s">
        <v>34497</v>
      </c>
      <c r="U4130" s="213" t="s">
        <v>63101</v>
      </c>
    </row>
    <row r="4131" spans="1:21" x14ac:dyDescent="0.25">
      <c r="A4131" s="213" t="s">
        <v>327</v>
      </c>
      <c r="D4131" s="213" t="s">
        <v>34498</v>
      </c>
      <c r="E4131" s="213" t="s">
        <v>34499</v>
      </c>
      <c r="K4131" s="213" t="s">
        <v>63009</v>
      </c>
      <c r="L4131" s="213" t="s">
        <v>63040</v>
      </c>
      <c r="M4131" s="213" t="s">
        <v>63071</v>
      </c>
      <c r="N4131" s="213" t="s">
        <v>34500</v>
      </c>
      <c r="O4131" s="213" t="s">
        <v>34501</v>
      </c>
      <c r="P4131" s="213" t="s">
        <v>34502</v>
      </c>
      <c r="Q4131" s="213" t="s">
        <v>34503</v>
      </c>
      <c r="R4131" s="213" t="s">
        <v>34504</v>
      </c>
      <c r="S4131" s="213" t="s">
        <v>34505</v>
      </c>
      <c r="T4131" s="213" t="s">
        <v>34506</v>
      </c>
      <c r="U4131" s="213" t="s">
        <v>63102</v>
      </c>
    </row>
    <row r="4132" spans="1:21" x14ac:dyDescent="0.25">
      <c r="A4132" s="213" t="s">
        <v>327</v>
      </c>
      <c r="D4132" s="213" t="s">
        <v>34507</v>
      </c>
      <c r="E4132" s="213" t="s">
        <v>34508</v>
      </c>
      <c r="K4132" s="213" t="s">
        <v>63010</v>
      </c>
      <c r="L4132" s="213" t="s">
        <v>63041</v>
      </c>
      <c r="M4132" s="213" t="s">
        <v>63072</v>
      </c>
      <c r="N4132" s="213" t="s">
        <v>34509</v>
      </c>
      <c r="O4132" s="213" t="s">
        <v>34510</v>
      </c>
      <c r="P4132" s="213" t="s">
        <v>34511</v>
      </c>
      <c r="Q4132" s="213" t="s">
        <v>34512</v>
      </c>
      <c r="R4132" s="213" t="s">
        <v>34513</v>
      </c>
      <c r="S4132" s="213" t="s">
        <v>34514</v>
      </c>
      <c r="T4132" s="213" t="s">
        <v>34515</v>
      </c>
      <c r="U4132" s="213" t="s">
        <v>63103</v>
      </c>
    </row>
    <row r="4133" spans="1:21" x14ac:dyDescent="0.25">
      <c r="A4133" s="213" t="s">
        <v>327</v>
      </c>
      <c r="D4133" s="213" t="s">
        <v>34516</v>
      </c>
      <c r="E4133" s="213" t="s">
        <v>34517</v>
      </c>
      <c r="K4133" s="213" t="s">
        <v>63011</v>
      </c>
      <c r="L4133" s="213" t="s">
        <v>63042</v>
      </c>
      <c r="M4133" s="213" t="s">
        <v>63073</v>
      </c>
      <c r="N4133" s="213" t="s">
        <v>34518</v>
      </c>
      <c r="O4133" s="213" t="s">
        <v>34519</v>
      </c>
      <c r="P4133" s="213" t="s">
        <v>34520</v>
      </c>
      <c r="Q4133" s="213" t="s">
        <v>34521</v>
      </c>
      <c r="R4133" s="213" t="s">
        <v>34522</v>
      </c>
      <c r="S4133" s="213" t="s">
        <v>34523</v>
      </c>
      <c r="T4133" s="213" t="s">
        <v>34524</v>
      </c>
      <c r="U4133" s="213" t="s">
        <v>63104</v>
      </c>
    </row>
    <row r="4134" spans="1:21" x14ac:dyDescent="0.25">
      <c r="A4134" s="213" t="s">
        <v>327</v>
      </c>
      <c r="D4134" s="213" t="s">
        <v>34525</v>
      </c>
      <c r="E4134" s="213" t="s">
        <v>34526</v>
      </c>
      <c r="K4134" s="213" t="s">
        <v>63012</v>
      </c>
      <c r="L4134" s="213" t="s">
        <v>63043</v>
      </c>
      <c r="M4134" s="213" t="s">
        <v>63074</v>
      </c>
      <c r="N4134" s="213" t="s">
        <v>34527</v>
      </c>
      <c r="O4134" s="213" t="s">
        <v>34528</v>
      </c>
      <c r="P4134" s="213" t="s">
        <v>34529</v>
      </c>
      <c r="Q4134" s="213" t="s">
        <v>34530</v>
      </c>
      <c r="R4134" s="213" t="s">
        <v>34531</v>
      </c>
      <c r="S4134" s="213" t="s">
        <v>34532</v>
      </c>
      <c r="T4134" s="213" t="s">
        <v>34533</v>
      </c>
      <c r="U4134" s="213" t="s">
        <v>63105</v>
      </c>
    </row>
    <row r="4135" spans="1:21" x14ac:dyDescent="0.25">
      <c r="A4135" s="213" t="s">
        <v>327</v>
      </c>
      <c r="D4135" s="213" t="s">
        <v>34534</v>
      </c>
      <c r="E4135" s="213" t="s">
        <v>34535</v>
      </c>
      <c r="K4135" s="213" t="s">
        <v>63013</v>
      </c>
      <c r="L4135" s="213" t="s">
        <v>63044</v>
      </c>
      <c r="M4135" s="213" t="s">
        <v>63075</v>
      </c>
      <c r="N4135" s="213" t="s">
        <v>34536</v>
      </c>
      <c r="O4135" s="213" t="s">
        <v>34537</v>
      </c>
      <c r="P4135" s="213" t="s">
        <v>34538</v>
      </c>
      <c r="Q4135" s="213" t="s">
        <v>34539</v>
      </c>
      <c r="R4135" s="213" t="s">
        <v>34540</v>
      </c>
      <c r="S4135" s="213" t="s">
        <v>34541</v>
      </c>
      <c r="T4135" s="213" t="s">
        <v>34542</v>
      </c>
      <c r="U4135" s="213" t="s">
        <v>63106</v>
      </c>
    </row>
    <row r="4136" spans="1:21" x14ac:dyDescent="0.25">
      <c r="A4136" s="213" t="s">
        <v>327</v>
      </c>
      <c r="D4136" s="213" t="s">
        <v>34543</v>
      </c>
      <c r="E4136" s="213" t="s">
        <v>34544</v>
      </c>
      <c r="K4136" s="213" t="s">
        <v>63014</v>
      </c>
      <c r="L4136" s="213" t="s">
        <v>63045</v>
      </c>
      <c r="M4136" s="213" t="s">
        <v>63076</v>
      </c>
      <c r="N4136" s="213" t="s">
        <v>34545</v>
      </c>
      <c r="O4136" s="213" t="s">
        <v>34546</v>
      </c>
      <c r="P4136" s="213" t="s">
        <v>34547</v>
      </c>
      <c r="Q4136" s="213" t="s">
        <v>34548</v>
      </c>
      <c r="R4136" s="213" t="s">
        <v>34549</v>
      </c>
      <c r="S4136" s="213" t="s">
        <v>34550</v>
      </c>
      <c r="T4136" s="213" t="s">
        <v>34551</v>
      </c>
      <c r="U4136" s="213" t="s">
        <v>63107</v>
      </c>
    </row>
    <row r="4137" spans="1:21" x14ac:dyDescent="0.25">
      <c r="A4137" s="213" t="s">
        <v>327</v>
      </c>
      <c r="D4137" s="213" t="s">
        <v>34552</v>
      </c>
      <c r="E4137" s="213" t="s">
        <v>34553</v>
      </c>
      <c r="K4137" s="213" t="s">
        <v>63015</v>
      </c>
      <c r="L4137" s="213" t="s">
        <v>63046</v>
      </c>
      <c r="M4137" s="213" t="s">
        <v>63077</v>
      </c>
      <c r="N4137" s="213" t="s">
        <v>34554</v>
      </c>
      <c r="O4137" s="213" t="s">
        <v>34555</v>
      </c>
      <c r="P4137" s="213" t="s">
        <v>34556</v>
      </c>
      <c r="Q4137" s="213" t="s">
        <v>34557</v>
      </c>
      <c r="R4137" s="213" t="s">
        <v>34558</v>
      </c>
      <c r="S4137" s="213" t="s">
        <v>34559</v>
      </c>
      <c r="T4137" s="213" t="s">
        <v>34560</v>
      </c>
      <c r="U4137" s="213" t="s">
        <v>63108</v>
      </c>
    </row>
    <row r="4138" spans="1:21" x14ac:dyDescent="0.25">
      <c r="A4138" s="213" t="s">
        <v>327</v>
      </c>
      <c r="D4138" s="213" t="s">
        <v>34561</v>
      </c>
      <c r="E4138" s="213" t="s">
        <v>34562</v>
      </c>
      <c r="K4138" s="213" t="s">
        <v>63016</v>
      </c>
      <c r="L4138" s="213" t="s">
        <v>63047</v>
      </c>
      <c r="M4138" s="213" t="s">
        <v>63078</v>
      </c>
      <c r="N4138" s="213" t="s">
        <v>34563</v>
      </c>
      <c r="O4138" s="213" t="s">
        <v>34564</v>
      </c>
      <c r="P4138" s="213" t="s">
        <v>34565</v>
      </c>
      <c r="Q4138" s="213" t="s">
        <v>34566</v>
      </c>
      <c r="R4138" s="213" t="s">
        <v>34567</v>
      </c>
      <c r="S4138" s="213" t="s">
        <v>34568</v>
      </c>
      <c r="T4138" s="213" t="s">
        <v>34569</v>
      </c>
      <c r="U4138" s="213" t="s">
        <v>63109</v>
      </c>
    </row>
    <row r="4139" spans="1:21" x14ac:dyDescent="0.25">
      <c r="A4139" s="213" t="s">
        <v>327</v>
      </c>
      <c r="D4139" s="213" t="s">
        <v>34570</v>
      </c>
      <c r="E4139" s="213" t="s">
        <v>34571</v>
      </c>
      <c r="K4139" s="213" t="s">
        <v>63017</v>
      </c>
      <c r="L4139" s="213" t="s">
        <v>63048</v>
      </c>
      <c r="M4139" s="213" t="s">
        <v>63079</v>
      </c>
      <c r="N4139" s="213" t="s">
        <v>34572</v>
      </c>
      <c r="O4139" s="213" t="s">
        <v>34573</v>
      </c>
      <c r="P4139" s="213" t="s">
        <v>34574</v>
      </c>
      <c r="Q4139" s="213" t="s">
        <v>34575</v>
      </c>
      <c r="R4139" s="213" t="s">
        <v>34576</v>
      </c>
      <c r="S4139" s="213" t="s">
        <v>34577</v>
      </c>
      <c r="T4139" s="213" t="s">
        <v>34578</v>
      </c>
      <c r="U4139" s="213" t="s">
        <v>63110</v>
      </c>
    </row>
    <row r="4140" spans="1:21" x14ac:dyDescent="0.25">
      <c r="A4140" s="213" t="s">
        <v>327</v>
      </c>
      <c r="D4140" s="213" t="s">
        <v>34579</v>
      </c>
      <c r="E4140" s="213" t="s">
        <v>34580</v>
      </c>
      <c r="K4140" s="213" t="s">
        <v>63018</v>
      </c>
      <c r="L4140" s="213" t="s">
        <v>63049</v>
      </c>
      <c r="M4140" s="213" t="s">
        <v>63080</v>
      </c>
      <c r="N4140" s="213" t="s">
        <v>34581</v>
      </c>
      <c r="O4140" s="213" t="s">
        <v>34582</v>
      </c>
      <c r="P4140" s="213" t="s">
        <v>34583</v>
      </c>
      <c r="Q4140" s="213" t="s">
        <v>34584</v>
      </c>
      <c r="R4140" s="213" t="s">
        <v>34585</v>
      </c>
      <c r="S4140" s="213" t="s">
        <v>34586</v>
      </c>
      <c r="T4140" s="213" t="s">
        <v>34587</v>
      </c>
      <c r="U4140" s="213" t="s">
        <v>63111</v>
      </c>
    </row>
    <row r="4141" spans="1:21" x14ac:dyDescent="0.25">
      <c r="A4141" s="213" t="s">
        <v>327</v>
      </c>
      <c r="D4141" s="213" t="s">
        <v>34588</v>
      </c>
      <c r="E4141" s="213" t="s">
        <v>34589</v>
      </c>
      <c r="K4141" s="213" t="s">
        <v>63019</v>
      </c>
      <c r="L4141" s="213" t="s">
        <v>63050</v>
      </c>
      <c r="M4141" s="213" t="s">
        <v>63081</v>
      </c>
      <c r="N4141" s="213" t="s">
        <v>34590</v>
      </c>
      <c r="O4141" s="213" t="s">
        <v>34591</v>
      </c>
      <c r="P4141" s="213" t="s">
        <v>34592</v>
      </c>
      <c r="Q4141" s="213" t="s">
        <v>34593</v>
      </c>
      <c r="R4141" s="213" t="s">
        <v>34594</v>
      </c>
      <c r="S4141" s="213" t="s">
        <v>34595</v>
      </c>
      <c r="T4141" s="213" t="s">
        <v>34596</v>
      </c>
      <c r="U4141" s="213" t="s">
        <v>63112</v>
      </c>
    </row>
    <row r="4142" spans="1:21" x14ac:dyDescent="0.25">
      <c r="A4142" s="213" t="s">
        <v>327</v>
      </c>
      <c r="D4142" s="213" t="s">
        <v>34597</v>
      </c>
      <c r="E4142" s="213" t="s">
        <v>34598</v>
      </c>
      <c r="K4142" s="213" t="s">
        <v>63020</v>
      </c>
      <c r="L4142" s="213" t="s">
        <v>63051</v>
      </c>
      <c r="M4142" s="213" t="s">
        <v>63082</v>
      </c>
      <c r="N4142" s="213" t="s">
        <v>34599</v>
      </c>
      <c r="O4142" s="213" t="s">
        <v>34600</v>
      </c>
      <c r="P4142" s="213" t="s">
        <v>34601</v>
      </c>
      <c r="Q4142" s="213" t="s">
        <v>34602</v>
      </c>
      <c r="R4142" s="213" t="s">
        <v>34603</v>
      </c>
      <c r="S4142" s="213" t="s">
        <v>34604</v>
      </c>
      <c r="T4142" s="213" t="s">
        <v>34605</v>
      </c>
      <c r="U4142" s="213" t="s">
        <v>63113</v>
      </c>
    </row>
    <row r="4143" spans="1:21" x14ac:dyDescent="0.25">
      <c r="A4143" s="213" t="s">
        <v>327</v>
      </c>
    </row>
    <row r="4144" spans="1:21" x14ac:dyDescent="0.25">
      <c r="A4144" s="213" t="s">
        <v>327</v>
      </c>
    </row>
    <row r="4145" spans="1:21" x14ac:dyDescent="0.25">
      <c r="A4145" s="213" t="s">
        <v>327</v>
      </c>
      <c r="C4145" s="213" t="s">
        <v>34606</v>
      </c>
      <c r="E4145" s="213" t="s">
        <v>34607</v>
      </c>
      <c r="H4145" s="213" t="s">
        <v>34608</v>
      </c>
      <c r="I4145" s="213" t="s">
        <v>34609</v>
      </c>
      <c r="J4145" s="213" t="s">
        <v>34610</v>
      </c>
      <c r="L4145" s="213" t="s">
        <v>34611</v>
      </c>
      <c r="O4145" s="213" t="s">
        <v>34612</v>
      </c>
      <c r="P4145" s="213" t="s">
        <v>34613</v>
      </c>
      <c r="Q4145" s="213" t="s">
        <v>34614</v>
      </c>
      <c r="R4145" s="213" t="s">
        <v>34615</v>
      </c>
      <c r="S4145" s="213" t="s">
        <v>34616</v>
      </c>
      <c r="T4145" s="213" t="s">
        <v>34617</v>
      </c>
    </row>
    <row r="4146" spans="1:21" x14ac:dyDescent="0.25">
      <c r="A4146" s="213" t="s">
        <v>327</v>
      </c>
      <c r="C4146" s="213" t="s">
        <v>34618</v>
      </c>
      <c r="E4146" s="213" t="s">
        <v>34619</v>
      </c>
      <c r="I4146" s="213" t="s">
        <v>34620</v>
      </c>
    </row>
    <row r="4147" spans="1:21" x14ac:dyDescent="0.25">
      <c r="A4147" s="213" t="s">
        <v>327</v>
      </c>
      <c r="C4147" s="213" t="s">
        <v>34621</v>
      </c>
      <c r="E4147" s="213" t="s">
        <v>34622</v>
      </c>
      <c r="I4147" s="213" t="s">
        <v>34623</v>
      </c>
    </row>
    <row r="4148" spans="1:21" x14ac:dyDescent="0.25">
      <c r="A4148" s="213" t="s">
        <v>328</v>
      </c>
    </row>
    <row r="4149" spans="1:21" x14ac:dyDescent="0.25">
      <c r="A4149" s="213" t="s">
        <v>327</v>
      </c>
      <c r="D4149" s="213" t="s">
        <v>34624</v>
      </c>
      <c r="E4149" s="213" t="s">
        <v>34625</v>
      </c>
      <c r="K4149" s="213" t="s">
        <v>62922</v>
      </c>
      <c r="L4149" s="213" t="s">
        <v>62939</v>
      </c>
      <c r="M4149" s="213" t="s">
        <v>62956</v>
      </c>
      <c r="N4149" s="213" t="s">
        <v>34626</v>
      </c>
      <c r="O4149" s="213" t="s">
        <v>34627</v>
      </c>
      <c r="P4149" s="213" t="s">
        <v>34628</v>
      </c>
      <c r="Q4149" s="213" t="s">
        <v>34629</v>
      </c>
      <c r="R4149" s="213" t="s">
        <v>34630</v>
      </c>
      <c r="S4149" s="213" t="s">
        <v>34631</v>
      </c>
      <c r="T4149" s="213" t="s">
        <v>34632</v>
      </c>
      <c r="U4149" s="213" t="s">
        <v>62973</v>
      </c>
    </row>
    <row r="4150" spans="1:21" x14ac:dyDescent="0.25">
      <c r="A4150" s="213" t="s">
        <v>327</v>
      </c>
      <c r="D4150" s="213" t="s">
        <v>34633</v>
      </c>
      <c r="E4150" s="213" t="s">
        <v>34634</v>
      </c>
      <c r="K4150" s="213" t="s">
        <v>62923</v>
      </c>
      <c r="L4150" s="213" t="s">
        <v>62940</v>
      </c>
      <c r="M4150" s="213" t="s">
        <v>62957</v>
      </c>
      <c r="N4150" s="213" t="s">
        <v>34635</v>
      </c>
      <c r="O4150" s="213" t="s">
        <v>34636</v>
      </c>
      <c r="P4150" s="213" t="s">
        <v>34637</v>
      </c>
      <c r="Q4150" s="213" t="s">
        <v>34638</v>
      </c>
      <c r="R4150" s="213" t="s">
        <v>34639</v>
      </c>
      <c r="S4150" s="213" t="s">
        <v>34640</v>
      </c>
      <c r="T4150" s="213" t="s">
        <v>34641</v>
      </c>
      <c r="U4150" s="213" t="s">
        <v>62974</v>
      </c>
    </row>
    <row r="4151" spans="1:21" x14ac:dyDescent="0.25">
      <c r="A4151" s="213" t="s">
        <v>327</v>
      </c>
      <c r="D4151" s="213" t="s">
        <v>34642</v>
      </c>
      <c r="E4151" s="213" t="s">
        <v>34643</v>
      </c>
      <c r="K4151" s="213" t="s">
        <v>62924</v>
      </c>
      <c r="L4151" s="213" t="s">
        <v>62941</v>
      </c>
      <c r="M4151" s="213" t="s">
        <v>62958</v>
      </c>
      <c r="N4151" s="213" t="s">
        <v>34644</v>
      </c>
      <c r="O4151" s="213" t="s">
        <v>34645</v>
      </c>
      <c r="P4151" s="213" t="s">
        <v>34646</v>
      </c>
      <c r="Q4151" s="213" t="s">
        <v>34647</v>
      </c>
      <c r="R4151" s="213" t="s">
        <v>34648</v>
      </c>
      <c r="S4151" s="213" t="s">
        <v>34649</v>
      </c>
      <c r="T4151" s="213" t="s">
        <v>34650</v>
      </c>
      <c r="U4151" s="213" t="s">
        <v>62975</v>
      </c>
    </row>
    <row r="4152" spans="1:21" x14ac:dyDescent="0.25">
      <c r="A4152" s="213" t="s">
        <v>327</v>
      </c>
      <c r="D4152" s="213" t="s">
        <v>34651</v>
      </c>
      <c r="E4152" s="213" t="s">
        <v>34652</v>
      </c>
      <c r="K4152" s="213" t="s">
        <v>62925</v>
      </c>
      <c r="L4152" s="213" t="s">
        <v>62942</v>
      </c>
      <c r="M4152" s="213" t="s">
        <v>62959</v>
      </c>
      <c r="N4152" s="213" t="s">
        <v>34653</v>
      </c>
      <c r="O4152" s="213" t="s">
        <v>34654</v>
      </c>
      <c r="P4152" s="213" t="s">
        <v>34655</v>
      </c>
      <c r="Q4152" s="213" t="s">
        <v>34656</v>
      </c>
      <c r="R4152" s="213" t="s">
        <v>34657</v>
      </c>
      <c r="S4152" s="213" t="s">
        <v>34658</v>
      </c>
      <c r="T4152" s="213" t="s">
        <v>34659</v>
      </c>
      <c r="U4152" s="213" t="s">
        <v>62976</v>
      </c>
    </row>
    <row r="4153" spans="1:21" x14ac:dyDescent="0.25">
      <c r="A4153" s="213" t="s">
        <v>327</v>
      </c>
      <c r="D4153" s="213" t="s">
        <v>34660</v>
      </c>
      <c r="E4153" s="213" t="s">
        <v>34661</v>
      </c>
      <c r="K4153" s="213" t="s">
        <v>62926</v>
      </c>
      <c r="L4153" s="213" t="s">
        <v>62943</v>
      </c>
      <c r="M4153" s="213" t="s">
        <v>62960</v>
      </c>
      <c r="N4153" s="213" t="s">
        <v>34662</v>
      </c>
      <c r="O4153" s="213" t="s">
        <v>34663</v>
      </c>
      <c r="P4153" s="213" t="s">
        <v>34664</v>
      </c>
      <c r="Q4153" s="213" t="s">
        <v>34665</v>
      </c>
      <c r="R4153" s="213" t="s">
        <v>34666</v>
      </c>
      <c r="S4153" s="213" t="s">
        <v>34667</v>
      </c>
      <c r="T4153" s="213" t="s">
        <v>34668</v>
      </c>
      <c r="U4153" s="213" t="s">
        <v>62977</v>
      </c>
    </row>
    <row r="4154" spans="1:21" x14ac:dyDescent="0.25">
      <c r="A4154" s="213" t="s">
        <v>327</v>
      </c>
      <c r="D4154" s="213" t="s">
        <v>34669</v>
      </c>
      <c r="E4154" s="213" t="s">
        <v>34670</v>
      </c>
      <c r="K4154" s="213" t="s">
        <v>62927</v>
      </c>
      <c r="L4154" s="213" t="s">
        <v>62944</v>
      </c>
      <c r="M4154" s="213" t="s">
        <v>62961</v>
      </c>
      <c r="N4154" s="213" t="s">
        <v>34671</v>
      </c>
      <c r="O4154" s="213" t="s">
        <v>34672</v>
      </c>
      <c r="P4154" s="213" t="s">
        <v>34673</v>
      </c>
      <c r="Q4154" s="213" t="s">
        <v>34674</v>
      </c>
      <c r="R4154" s="213" t="s">
        <v>34675</v>
      </c>
      <c r="S4154" s="213" t="s">
        <v>34676</v>
      </c>
      <c r="T4154" s="213" t="s">
        <v>34677</v>
      </c>
      <c r="U4154" s="213" t="s">
        <v>62978</v>
      </c>
    </row>
    <row r="4155" spans="1:21" x14ac:dyDescent="0.25">
      <c r="A4155" s="213" t="s">
        <v>327</v>
      </c>
      <c r="D4155" s="213" t="s">
        <v>34678</v>
      </c>
      <c r="E4155" s="213" t="s">
        <v>34679</v>
      </c>
      <c r="K4155" s="213" t="s">
        <v>62928</v>
      </c>
      <c r="L4155" s="213" t="s">
        <v>62945</v>
      </c>
      <c r="M4155" s="213" t="s">
        <v>62962</v>
      </c>
      <c r="N4155" s="213" t="s">
        <v>34680</v>
      </c>
      <c r="O4155" s="213" t="s">
        <v>34681</v>
      </c>
      <c r="P4155" s="213" t="s">
        <v>34682</v>
      </c>
      <c r="Q4155" s="213" t="s">
        <v>34683</v>
      </c>
      <c r="R4155" s="213" t="s">
        <v>34684</v>
      </c>
      <c r="S4155" s="213" t="s">
        <v>34685</v>
      </c>
      <c r="T4155" s="213" t="s">
        <v>34686</v>
      </c>
      <c r="U4155" s="213" t="s">
        <v>62979</v>
      </c>
    </row>
    <row r="4156" spans="1:21" x14ac:dyDescent="0.25">
      <c r="A4156" s="213" t="s">
        <v>327</v>
      </c>
      <c r="D4156" s="213" t="s">
        <v>34687</v>
      </c>
      <c r="E4156" s="213" t="s">
        <v>34688</v>
      </c>
      <c r="K4156" s="213" t="s">
        <v>62929</v>
      </c>
      <c r="L4156" s="213" t="s">
        <v>62946</v>
      </c>
      <c r="M4156" s="213" t="s">
        <v>62963</v>
      </c>
      <c r="N4156" s="213" t="s">
        <v>34689</v>
      </c>
      <c r="O4156" s="213" t="s">
        <v>34690</v>
      </c>
      <c r="P4156" s="213" t="s">
        <v>34691</v>
      </c>
      <c r="Q4156" s="213" t="s">
        <v>34692</v>
      </c>
      <c r="R4156" s="213" t="s">
        <v>34693</v>
      </c>
      <c r="S4156" s="213" t="s">
        <v>34694</v>
      </c>
      <c r="T4156" s="213" t="s">
        <v>34695</v>
      </c>
      <c r="U4156" s="213" t="s">
        <v>62980</v>
      </c>
    </row>
    <row r="4157" spans="1:21" x14ac:dyDescent="0.25">
      <c r="A4157" s="213" t="s">
        <v>327</v>
      </c>
      <c r="D4157" s="213" t="s">
        <v>34696</v>
      </c>
      <c r="E4157" s="213" t="s">
        <v>34697</v>
      </c>
      <c r="K4157" s="213" t="s">
        <v>62930</v>
      </c>
      <c r="L4157" s="213" t="s">
        <v>62947</v>
      </c>
      <c r="M4157" s="213" t="s">
        <v>62964</v>
      </c>
      <c r="N4157" s="213" t="s">
        <v>34698</v>
      </c>
      <c r="O4157" s="213" t="s">
        <v>34699</v>
      </c>
      <c r="P4157" s="213" t="s">
        <v>34700</v>
      </c>
      <c r="Q4157" s="213" t="s">
        <v>34701</v>
      </c>
      <c r="R4157" s="213" t="s">
        <v>34702</v>
      </c>
      <c r="S4157" s="213" t="s">
        <v>34703</v>
      </c>
      <c r="T4157" s="213" t="s">
        <v>34704</v>
      </c>
      <c r="U4157" s="213" t="s">
        <v>62981</v>
      </c>
    </row>
    <row r="4158" spans="1:21" x14ac:dyDescent="0.25">
      <c r="A4158" s="213" t="s">
        <v>327</v>
      </c>
      <c r="D4158" s="213" t="s">
        <v>34705</v>
      </c>
      <c r="E4158" s="213" t="s">
        <v>34706</v>
      </c>
      <c r="K4158" s="213" t="s">
        <v>62931</v>
      </c>
      <c r="L4158" s="213" t="s">
        <v>62948</v>
      </c>
      <c r="M4158" s="213" t="s">
        <v>62965</v>
      </c>
      <c r="N4158" s="213" t="s">
        <v>34707</v>
      </c>
      <c r="O4158" s="213" t="s">
        <v>34708</v>
      </c>
      <c r="P4158" s="213" t="s">
        <v>34709</v>
      </c>
      <c r="Q4158" s="213" t="s">
        <v>34710</v>
      </c>
      <c r="R4158" s="213" t="s">
        <v>34711</v>
      </c>
      <c r="S4158" s="213" t="s">
        <v>34712</v>
      </c>
      <c r="T4158" s="213" t="s">
        <v>34713</v>
      </c>
      <c r="U4158" s="213" t="s">
        <v>62982</v>
      </c>
    </row>
    <row r="4159" spans="1:21" x14ac:dyDescent="0.25">
      <c r="A4159" s="213" t="s">
        <v>327</v>
      </c>
      <c r="D4159" s="213" t="s">
        <v>34714</v>
      </c>
      <c r="E4159" s="213" t="s">
        <v>34715</v>
      </c>
      <c r="K4159" s="213" t="s">
        <v>62932</v>
      </c>
      <c r="L4159" s="213" t="s">
        <v>62949</v>
      </c>
      <c r="M4159" s="213" t="s">
        <v>62966</v>
      </c>
      <c r="N4159" s="213" t="s">
        <v>34716</v>
      </c>
      <c r="O4159" s="213" t="s">
        <v>34717</v>
      </c>
      <c r="P4159" s="213" t="s">
        <v>34718</v>
      </c>
      <c r="Q4159" s="213" t="s">
        <v>34719</v>
      </c>
      <c r="R4159" s="213" t="s">
        <v>34720</v>
      </c>
      <c r="S4159" s="213" t="s">
        <v>34721</v>
      </c>
      <c r="T4159" s="213" t="s">
        <v>34722</v>
      </c>
      <c r="U4159" s="213" t="s">
        <v>62983</v>
      </c>
    </row>
    <row r="4160" spans="1:21" x14ac:dyDescent="0.25">
      <c r="A4160" s="213" t="s">
        <v>327</v>
      </c>
      <c r="D4160" s="213" t="s">
        <v>34723</v>
      </c>
      <c r="E4160" s="213" t="s">
        <v>34724</v>
      </c>
      <c r="K4160" s="213" t="s">
        <v>62933</v>
      </c>
      <c r="L4160" s="213" t="s">
        <v>62950</v>
      </c>
      <c r="M4160" s="213" t="s">
        <v>62967</v>
      </c>
      <c r="N4160" s="213" t="s">
        <v>34725</v>
      </c>
      <c r="O4160" s="213" t="s">
        <v>34726</v>
      </c>
      <c r="P4160" s="213" t="s">
        <v>34727</v>
      </c>
      <c r="Q4160" s="213" t="s">
        <v>34728</v>
      </c>
      <c r="R4160" s="213" t="s">
        <v>34729</v>
      </c>
      <c r="S4160" s="213" t="s">
        <v>34730</v>
      </c>
      <c r="T4160" s="213" t="s">
        <v>34731</v>
      </c>
      <c r="U4160" s="213" t="s">
        <v>62984</v>
      </c>
    </row>
    <row r="4161" spans="1:21" x14ac:dyDescent="0.25">
      <c r="A4161" s="213" t="s">
        <v>327</v>
      </c>
      <c r="D4161" s="213" t="s">
        <v>34732</v>
      </c>
      <c r="E4161" s="213" t="s">
        <v>34733</v>
      </c>
      <c r="K4161" s="213" t="s">
        <v>62934</v>
      </c>
      <c r="L4161" s="213" t="s">
        <v>62951</v>
      </c>
      <c r="M4161" s="213" t="s">
        <v>62968</v>
      </c>
      <c r="N4161" s="213" t="s">
        <v>34734</v>
      </c>
      <c r="O4161" s="213" t="s">
        <v>34735</v>
      </c>
      <c r="P4161" s="213" t="s">
        <v>34736</v>
      </c>
      <c r="Q4161" s="213" t="s">
        <v>34737</v>
      </c>
      <c r="R4161" s="213" t="s">
        <v>34738</v>
      </c>
      <c r="S4161" s="213" t="s">
        <v>34739</v>
      </c>
      <c r="T4161" s="213" t="s">
        <v>34740</v>
      </c>
      <c r="U4161" s="213" t="s">
        <v>62985</v>
      </c>
    </row>
    <row r="4162" spans="1:21" x14ac:dyDescent="0.25">
      <c r="A4162" s="213" t="s">
        <v>327</v>
      </c>
      <c r="D4162" s="213" t="s">
        <v>34741</v>
      </c>
      <c r="E4162" s="213" t="s">
        <v>34742</v>
      </c>
      <c r="K4162" s="213" t="s">
        <v>62935</v>
      </c>
      <c r="L4162" s="213" t="s">
        <v>62952</v>
      </c>
      <c r="M4162" s="213" t="s">
        <v>62969</v>
      </c>
      <c r="N4162" s="213" t="s">
        <v>34743</v>
      </c>
      <c r="O4162" s="213" t="s">
        <v>34744</v>
      </c>
      <c r="P4162" s="213" t="s">
        <v>34745</v>
      </c>
      <c r="Q4162" s="213" t="s">
        <v>34746</v>
      </c>
      <c r="R4162" s="213" t="s">
        <v>34747</v>
      </c>
      <c r="S4162" s="213" t="s">
        <v>34748</v>
      </c>
      <c r="T4162" s="213" t="s">
        <v>34749</v>
      </c>
      <c r="U4162" s="213" t="s">
        <v>62986</v>
      </c>
    </row>
    <row r="4163" spans="1:21" x14ac:dyDescent="0.25">
      <c r="A4163" s="213" t="s">
        <v>327</v>
      </c>
      <c r="D4163" s="213" t="s">
        <v>34750</v>
      </c>
      <c r="E4163" s="213" t="s">
        <v>34751</v>
      </c>
      <c r="K4163" s="213" t="s">
        <v>62936</v>
      </c>
      <c r="L4163" s="213" t="s">
        <v>62953</v>
      </c>
      <c r="M4163" s="213" t="s">
        <v>62970</v>
      </c>
      <c r="N4163" s="213" t="s">
        <v>34752</v>
      </c>
      <c r="O4163" s="213" t="s">
        <v>34753</v>
      </c>
      <c r="P4163" s="213" t="s">
        <v>34754</v>
      </c>
      <c r="Q4163" s="213" t="s">
        <v>34755</v>
      </c>
      <c r="R4163" s="213" t="s">
        <v>34756</v>
      </c>
      <c r="S4163" s="213" t="s">
        <v>34757</v>
      </c>
      <c r="T4163" s="213" t="s">
        <v>34758</v>
      </c>
      <c r="U4163" s="213" t="s">
        <v>62987</v>
      </c>
    </row>
    <row r="4164" spans="1:21" x14ac:dyDescent="0.25">
      <c r="A4164" s="213" t="s">
        <v>327</v>
      </c>
      <c r="D4164" s="213" t="s">
        <v>34759</v>
      </c>
      <c r="E4164" s="213" t="s">
        <v>34760</v>
      </c>
      <c r="K4164" s="213" t="s">
        <v>62937</v>
      </c>
      <c r="L4164" s="213" t="s">
        <v>62954</v>
      </c>
      <c r="M4164" s="213" t="s">
        <v>62971</v>
      </c>
      <c r="N4164" s="213" t="s">
        <v>34761</v>
      </c>
      <c r="O4164" s="213" t="s">
        <v>34762</v>
      </c>
      <c r="P4164" s="213" t="s">
        <v>34763</v>
      </c>
      <c r="Q4164" s="213" t="s">
        <v>34764</v>
      </c>
      <c r="R4164" s="213" t="s">
        <v>34765</v>
      </c>
      <c r="S4164" s="213" t="s">
        <v>34766</v>
      </c>
      <c r="T4164" s="213" t="s">
        <v>34767</v>
      </c>
      <c r="U4164" s="213" t="s">
        <v>62988</v>
      </c>
    </row>
    <row r="4165" spans="1:21" x14ac:dyDescent="0.25">
      <c r="A4165" s="213" t="s">
        <v>327</v>
      </c>
      <c r="D4165" s="213" t="s">
        <v>34768</v>
      </c>
      <c r="E4165" s="213" t="s">
        <v>34769</v>
      </c>
      <c r="K4165" s="213" t="s">
        <v>62938</v>
      </c>
      <c r="L4165" s="213" t="s">
        <v>62955</v>
      </c>
      <c r="M4165" s="213" t="s">
        <v>62972</v>
      </c>
      <c r="N4165" s="213" t="s">
        <v>34770</v>
      </c>
      <c r="O4165" s="213" t="s">
        <v>34771</v>
      </c>
      <c r="P4165" s="213" t="s">
        <v>34772</v>
      </c>
      <c r="Q4165" s="213" t="s">
        <v>34773</v>
      </c>
      <c r="R4165" s="213" t="s">
        <v>34774</v>
      </c>
      <c r="S4165" s="213" t="s">
        <v>34775</v>
      </c>
      <c r="T4165" s="213" t="s">
        <v>34776</v>
      </c>
      <c r="U4165" s="213" t="s">
        <v>62989</v>
      </c>
    </row>
    <row r="4166" spans="1:21" x14ac:dyDescent="0.25">
      <c r="A4166" s="213" t="s">
        <v>327</v>
      </c>
    </row>
    <row r="4167" spans="1:21" x14ac:dyDescent="0.25">
      <c r="A4167" s="213" t="s">
        <v>327</v>
      </c>
    </row>
    <row r="4168" spans="1:21" x14ac:dyDescent="0.25">
      <c r="A4168" s="213" t="s">
        <v>327</v>
      </c>
      <c r="C4168" s="213" t="s">
        <v>34777</v>
      </c>
      <c r="E4168" s="213" t="s">
        <v>34778</v>
      </c>
      <c r="H4168" s="213" t="s">
        <v>34779</v>
      </c>
      <c r="I4168" s="213" t="s">
        <v>34780</v>
      </c>
      <c r="J4168" s="213" t="s">
        <v>34781</v>
      </c>
      <c r="L4168" s="213" t="s">
        <v>34782</v>
      </c>
      <c r="O4168" s="213" t="s">
        <v>34783</v>
      </c>
      <c r="P4168" s="213" t="s">
        <v>34784</v>
      </c>
      <c r="Q4168" s="213" t="s">
        <v>34785</v>
      </c>
      <c r="R4168" s="213" t="s">
        <v>34786</v>
      </c>
      <c r="S4168" s="213" t="s">
        <v>34787</v>
      </c>
      <c r="T4168" s="213" t="s">
        <v>34788</v>
      </c>
    </row>
    <row r="4169" spans="1:21" x14ac:dyDescent="0.25">
      <c r="A4169" s="213" t="s">
        <v>327</v>
      </c>
      <c r="C4169" s="213" t="s">
        <v>34789</v>
      </c>
      <c r="E4169" s="213" t="s">
        <v>34790</v>
      </c>
      <c r="I4169" s="213" t="s">
        <v>34791</v>
      </c>
    </row>
    <row r="4170" spans="1:21" x14ac:dyDescent="0.25">
      <c r="A4170" s="213" t="s">
        <v>327</v>
      </c>
      <c r="C4170" s="213" t="s">
        <v>34792</v>
      </c>
      <c r="E4170" s="213" t="s">
        <v>34793</v>
      </c>
      <c r="I4170" s="213" t="s">
        <v>34794</v>
      </c>
    </row>
    <row r="4171" spans="1:21" x14ac:dyDescent="0.25">
      <c r="A4171" s="213" t="s">
        <v>328</v>
      </c>
    </row>
    <row r="4172" spans="1:21" x14ac:dyDescent="0.25">
      <c r="A4172" s="213" t="s">
        <v>327</v>
      </c>
      <c r="D4172" s="213" t="s">
        <v>34795</v>
      </c>
      <c r="E4172" s="213" t="s">
        <v>34796</v>
      </c>
      <c r="K4172" s="213" t="s">
        <v>62770</v>
      </c>
      <c r="L4172" s="213" t="s">
        <v>62808</v>
      </c>
      <c r="M4172" s="213" t="s">
        <v>62846</v>
      </c>
      <c r="N4172" s="213" t="s">
        <v>34797</v>
      </c>
      <c r="O4172" s="213" t="s">
        <v>34798</v>
      </c>
      <c r="P4172" s="213" t="s">
        <v>34799</v>
      </c>
      <c r="Q4172" s="213" t="s">
        <v>34800</v>
      </c>
      <c r="R4172" s="213" t="s">
        <v>34801</v>
      </c>
      <c r="S4172" s="213" t="s">
        <v>34802</v>
      </c>
      <c r="T4172" s="213" t="s">
        <v>34803</v>
      </c>
      <c r="U4172" s="213" t="s">
        <v>62884</v>
      </c>
    </row>
    <row r="4173" spans="1:21" x14ac:dyDescent="0.25">
      <c r="A4173" s="213" t="s">
        <v>327</v>
      </c>
      <c r="D4173" s="213" t="s">
        <v>34804</v>
      </c>
      <c r="E4173" s="213" t="s">
        <v>34805</v>
      </c>
      <c r="K4173" s="213" t="s">
        <v>62771</v>
      </c>
      <c r="L4173" s="213" t="s">
        <v>62809</v>
      </c>
      <c r="M4173" s="213" t="s">
        <v>62847</v>
      </c>
      <c r="N4173" s="213" t="s">
        <v>34806</v>
      </c>
      <c r="O4173" s="213" t="s">
        <v>34807</v>
      </c>
      <c r="P4173" s="213" t="s">
        <v>34808</v>
      </c>
      <c r="Q4173" s="213" t="s">
        <v>34809</v>
      </c>
      <c r="R4173" s="213" t="s">
        <v>34810</v>
      </c>
      <c r="S4173" s="213" t="s">
        <v>34811</v>
      </c>
      <c r="T4173" s="213" t="s">
        <v>34812</v>
      </c>
      <c r="U4173" s="213" t="s">
        <v>62885</v>
      </c>
    </row>
    <row r="4174" spans="1:21" x14ac:dyDescent="0.25">
      <c r="A4174" s="213" t="s">
        <v>327</v>
      </c>
      <c r="D4174" s="213" t="s">
        <v>34813</v>
      </c>
      <c r="E4174" s="213" t="s">
        <v>34814</v>
      </c>
      <c r="K4174" s="213" t="s">
        <v>62772</v>
      </c>
      <c r="L4174" s="213" t="s">
        <v>62810</v>
      </c>
      <c r="M4174" s="213" t="s">
        <v>62848</v>
      </c>
      <c r="N4174" s="213" t="s">
        <v>34815</v>
      </c>
      <c r="O4174" s="213" t="s">
        <v>34816</v>
      </c>
      <c r="P4174" s="213" t="s">
        <v>34817</v>
      </c>
      <c r="Q4174" s="213" t="s">
        <v>34818</v>
      </c>
      <c r="R4174" s="213" t="s">
        <v>34819</v>
      </c>
      <c r="S4174" s="213" t="s">
        <v>34820</v>
      </c>
      <c r="T4174" s="213" t="s">
        <v>34821</v>
      </c>
      <c r="U4174" s="213" t="s">
        <v>62886</v>
      </c>
    </row>
    <row r="4175" spans="1:21" x14ac:dyDescent="0.25">
      <c r="A4175" s="213" t="s">
        <v>327</v>
      </c>
      <c r="D4175" s="213" t="s">
        <v>34822</v>
      </c>
      <c r="E4175" s="213" t="s">
        <v>34823</v>
      </c>
      <c r="K4175" s="213" t="s">
        <v>62773</v>
      </c>
      <c r="L4175" s="213" t="s">
        <v>62811</v>
      </c>
      <c r="M4175" s="213" t="s">
        <v>62849</v>
      </c>
      <c r="N4175" s="213" t="s">
        <v>34824</v>
      </c>
      <c r="O4175" s="213" t="s">
        <v>34825</v>
      </c>
      <c r="P4175" s="213" t="s">
        <v>34826</v>
      </c>
      <c r="Q4175" s="213" t="s">
        <v>34827</v>
      </c>
      <c r="R4175" s="213" t="s">
        <v>34828</v>
      </c>
      <c r="S4175" s="213" t="s">
        <v>34829</v>
      </c>
      <c r="T4175" s="213" t="s">
        <v>34830</v>
      </c>
      <c r="U4175" s="213" t="s">
        <v>62887</v>
      </c>
    </row>
    <row r="4176" spans="1:21" x14ac:dyDescent="0.25">
      <c r="A4176" s="213" t="s">
        <v>327</v>
      </c>
      <c r="D4176" s="213" t="s">
        <v>34831</v>
      </c>
      <c r="E4176" s="213" t="s">
        <v>34832</v>
      </c>
      <c r="K4176" s="213" t="s">
        <v>62774</v>
      </c>
      <c r="L4176" s="213" t="s">
        <v>62812</v>
      </c>
      <c r="M4176" s="213" t="s">
        <v>62850</v>
      </c>
      <c r="N4176" s="213" t="s">
        <v>34833</v>
      </c>
      <c r="O4176" s="213" t="s">
        <v>34834</v>
      </c>
      <c r="P4176" s="213" t="s">
        <v>34835</v>
      </c>
      <c r="Q4176" s="213" t="s">
        <v>34836</v>
      </c>
      <c r="R4176" s="213" t="s">
        <v>34837</v>
      </c>
      <c r="S4176" s="213" t="s">
        <v>34838</v>
      </c>
      <c r="T4176" s="213" t="s">
        <v>34839</v>
      </c>
      <c r="U4176" s="213" t="s">
        <v>62888</v>
      </c>
    </row>
    <row r="4177" spans="1:21" x14ac:dyDescent="0.25">
      <c r="A4177" s="213" t="s">
        <v>327</v>
      </c>
      <c r="D4177" s="213" t="s">
        <v>34840</v>
      </c>
      <c r="E4177" s="213" t="s">
        <v>34841</v>
      </c>
      <c r="K4177" s="213" t="s">
        <v>62775</v>
      </c>
      <c r="L4177" s="213" t="s">
        <v>62813</v>
      </c>
      <c r="M4177" s="213" t="s">
        <v>62851</v>
      </c>
      <c r="N4177" s="213" t="s">
        <v>34842</v>
      </c>
      <c r="O4177" s="213" t="s">
        <v>34843</v>
      </c>
      <c r="P4177" s="213" t="s">
        <v>34844</v>
      </c>
      <c r="Q4177" s="213" t="s">
        <v>34845</v>
      </c>
      <c r="R4177" s="213" t="s">
        <v>34846</v>
      </c>
      <c r="S4177" s="213" t="s">
        <v>34847</v>
      </c>
      <c r="T4177" s="213" t="s">
        <v>34848</v>
      </c>
      <c r="U4177" s="213" t="s">
        <v>62889</v>
      </c>
    </row>
    <row r="4178" spans="1:21" x14ac:dyDescent="0.25">
      <c r="A4178" s="213" t="s">
        <v>327</v>
      </c>
      <c r="D4178" s="213" t="s">
        <v>34849</v>
      </c>
      <c r="E4178" s="213" t="s">
        <v>34850</v>
      </c>
      <c r="K4178" s="213" t="s">
        <v>62776</v>
      </c>
      <c r="L4178" s="213" t="s">
        <v>62814</v>
      </c>
      <c r="M4178" s="213" t="s">
        <v>62852</v>
      </c>
      <c r="N4178" s="213" t="s">
        <v>34851</v>
      </c>
      <c r="O4178" s="213" t="s">
        <v>34852</v>
      </c>
      <c r="P4178" s="213" t="s">
        <v>34853</v>
      </c>
      <c r="Q4178" s="213" t="s">
        <v>34854</v>
      </c>
      <c r="R4178" s="213" t="s">
        <v>34855</v>
      </c>
      <c r="S4178" s="213" t="s">
        <v>34856</v>
      </c>
      <c r="T4178" s="213" t="s">
        <v>34857</v>
      </c>
      <c r="U4178" s="213" t="s">
        <v>62890</v>
      </c>
    </row>
    <row r="4179" spans="1:21" x14ac:dyDescent="0.25">
      <c r="A4179" s="213" t="s">
        <v>327</v>
      </c>
      <c r="D4179" s="213" t="s">
        <v>34858</v>
      </c>
      <c r="E4179" s="213" t="s">
        <v>34859</v>
      </c>
      <c r="K4179" s="213" t="s">
        <v>62777</v>
      </c>
      <c r="L4179" s="213" t="s">
        <v>62815</v>
      </c>
      <c r="M4179" s="213" t="s">
        <v>62853</v>
      </c>
      <c r="N4179" s="213" t="s">
        <v>34860</v>
      </c>
      <c r="O4179" s="213" t="s">
        <v>34861</v>
      </c>
      <c r="P4179" s="213" t="s">
        <v>34862</v>
      </c>
      <c r="Q4179" s="213" t="s">
        <v>34863</v>
      </c>
      <c r="R4179" s="213" t="s">
        <v>34864</v>
      </c>
      <c r="S4179" s="213" t="s">
        <v>34865</v>
      </c>
      <c r="T4179" s="213" t="s">
        <v>34866</v>
      </c>
      <c r="U4179" s="213" t="s">
        <v>62891</v>
      </c>
    </row>
    <row r="4180" spans="1:21" x14ac:dyDescent="0.25">
      <c r="A4180" s="213" t="s">
        <v>327</v>
      </c>
      <c r="D4180" s="213" t="s">
        <v>34867</v>
      </c>
      <c r="E4180" s="213" t="s">
        <v>34868</v>
      </c>
      <c r="K4180" s="213" t="s">
        <v>62778</v>
      </c>
      <c r="L4180" s="213" t="s">
        <v>62816</v>
      </c>
      <c r="M4180" s="213" t="s">
        <v>62854</v>
      </c>
      <c r="N4180" s="213" t="s">
        <v>34869</v>
      </c>
      <c r="O4180" s="213" t="s">
        <v>34870</v>
      </c>
      <c r="P4180" s="213" t="s">
        <v>34871</v>
      </c>
      <c r="Q4180" s="213" t="s">
        <v>34872</v>
      </c>
      <c r="R4180" s="213" t="s">
        <v>34873</v>
      </c>
      <c r="S4180" s="213" t="s">
        <v>34874</v>
      </c>
      <c r="T4180" s="213" t="s">
        <v>34875</v>
      </c>
      <c r="U4180" s="213" t="s">
        <v>62892</v>
      </c>
    </row>
    <row r="4181" spans="1:21" x14ac:dyDescent="0.25">
      <c r="A4181" s="213" t="s">
        <v>327</v>
      </c>
      <c r="D4181" s="213" t="s">
        <v>34876</v>
      </c>
      <c r="E4181" s="213" t="s">
        <v>34877</v>
      </c>
      <c r="K4181" s="213" t="s">
        <v>62779</v>
      </c>
      <c r="L4181" s="213" t="s">
        <v>62817</v>
      </c>
      <c r="M4181" s="213" t="s">
        <v>62855</v>
      </c>
      <c r="N4181" s="213" t="s">
        <v>34878</v>
      </c>
      <c r="O4181" s="213" t="s">
        <v>34879</v>
      </c>
      <c r="P4181" s="213" t="s">
        <v>34880</v>
      </c>
      <c r="Q4181" s="213" t="s">
        <v>34881</v>
      </c>
      <c r="R4181" s="213" t="s">
        <v>34882</v>
      </c>
      <c r="S4181" s="213" t="s">
        <v>34883</v>
      </c>
      <c r="T4181" s="213" t="s">
        <v>34884</v>
      </c>
      <c r="U4181" s="213" t="s">
        <v>62893</v>
      </c>
    </row>
    <row r="4182" spans="1:21" x14ac:dyDescent="0.25">
      <c r="A4182" s="213" t="s">
        <v>327</v>
      </c>
      <c r="D4182" s="213" t="s">
        <v>34885</v>
      </c>
      <c r="E4182" s="213" t="s">
        <v>34886</v>
      </c>
      <c r="K4182" s="213" t="s">
        <v>62780</v>
      </c>
      <c r="L4182" s="213" t="s">
        <v>62818</v>
      </c>
      <c r="M4182" s="213" t="s">
        <v>62856</v>
      </c>
      <c r="N4182" s="213" t="s">
        <v>34887</v>
      </c>
      <c r="O4182" s="213" t="s">
        <v>34888</v>
      </c>
      <c r="P4182" s="213" t="s">
        <v>34889</v>
      </c>
      <c r="Q4182" s="213" t="s">
        <v>34890</v>
      </c>
      <c r="R4182" s="213" t="s">
        <v>34891</v>
      </c>
      <c r="S4182" s="213" t="s">
        <v>34892</v>
      </c>
      <c r="T4182" s="213" t="s">
        <v>34893</v>
      </c>
      <c r="U4182" s="213" t="s">
        <v>62894</v>
      </c>
    </row>
    <row r="4183" spans="1:21" x14ac:dyDescent="0.25">
      <c r="A4183" s="213" t="s">
        <v>327</v>
      </c>
      <c r="D4183" s="213" t="s">
        <v>34894</v>
      </c>
      <c r="E4183" s="213" t="s">
        <v>34895</v>
      </c>
      <c r="K4183" s="213" t="s">
        <v>62781</v>
      </c>
      <c r="L4183" s="213" t="s">
        <v>62819</v>
      </c>
      <c r="M4183" s="213" t="s">
        <v>62857</v>
      </c>
      <c r="N4183" s="213" t="s">
        <v>34896</v>
      </c>
      <c r="O4183" s="213" t="s">
        <v>34897</v>
      </c>
      <c r="P4183" s="213" t="s">
        <v>34898</v>
      </c>
      <c r="Q4183" s="213" t="s">
        <v>34899</v>
      </c>
      <c r="R4183" s="213" t="s">
        <v>34900</v>
      </c>
      <c r="S4183" s="213" t="s">
        <v>34901</v>
      </c>
      <c r="T4183" s="213" t="s">
        <v>34902</v>
      </c>
      <c r="U4183" s="213" t="s">
        <v>62895</v>
      </c>
    </row>
    <row r="4184" spans="1:21" x14ac:dyDescent="0.25">
      <c r="A4184" s="213" t="s">
        <v>327</v>
      </c>
      <c r="D4184" s="213" t="s">
        <v>34903</v>
      </c>
      <c r="E4184" s="213" t="s">
        <v>34904</v>
      </c>
      <c r="K4184" s="213" t="s">
        <v>62782</v>
      </c>
      <c r="L4184" s="213" t="s">
        <v>62820</v>
      </c>
      <c r="M4184" s="213" t="s">
        <v>62858</v>
      </c>
      <c r="N4184" s="213" t="s">
        <v>34905</v>
      </c>
      <c r="O4184" s="213" t="s">
        <v>34906</v>
      </c>
      <c r="P4184" s="213" t="s">
        <v>34907</v>
      </c>
      <c r="Q4184" s="213" t="s">
        <v>34908</v>
      </c>
      <c r="R4184" s="213" t="s">
        <v>34909</v>
      </c>
      <c r="S4184" s="213" t="s">
        <v>34910</v>
      </c>
      <c r="T4184" s="213" t="s">
        <v>34911</v>
      </c>
      <c r="U4184" s="213" t="s">
        <v>62896</v>
      </c>
    </row>
    <row r="4185" spans="1:21" x14ac:dyDescent="0.25">
      <c r="A4185" s="213" t="s">
        <v>327</v>
      </c>
      <c r="D4185" s="213" t="s">
        <v>34912</v>
      </c>
      <c r="E4185" s="213" t="s">
        <v>34913</v>
      </c>
      <c r="K4185" s="213" t="s">
        <v>62783</v>
      </c>
      <c r="L4185" s="213" t="s">
        <v>62821</v>
      </c>
      <c r="M4185" s="213" t="s">
        <v>62859</v>
      </c>
      <c r="N4185" s="213" t="s">
        <v>34914</v>
      </c>
      <c r="O4185" s="213" t="s">
        <v>34915</v>
      </c>
      <c r="P4185" s="213" t="s">
        <v>34916</v>
      </c>
      <c r="Q4185" s="213" t="s">
        <v>34917</v>
      </c>
      <c r="R4185" s="213" t="s">
        <v>34918</v>
      </c>
      <c r="S4185" s="213" t="s">
        <v>34919</v>
      </c>
      <c r="T4185" s="213" t="s">
        <v>34920</v>
      </c>
      <c r="U4185" s="213" t="s">
        <v>62897</v>
      </c>
    </row>
    <row r="4186" spans="1:21" x14ac:dyDescent="0.25">
      <c r="A4186" s="213" t="s">
        <v>327</v>
      </c>
      <c r="D4186" s="213" t="s">
        <v>34921</v>
      </c>
      <c r="E4186" s="213" t="s">
        <v>34922</v>
      </c>
      <c r="K4186" s="213" t="s">
        <v>62784</v>
      </c>
      <c r="L4186" s="213" t="s">
        <v>62822</v>
      </c>
      <c r="M4186" s="213" t="s">
        <v>62860</v>
      </c>
      <c r="N4186" s="213" t="s">
        <v>34923</v>
      </c>
      <c r="O4186" s="213" t="s">
        <v>34924</v>
      </c>
      <c r="P4186" s="213" t="s">
        <v>34925</v>
      </c>
      <c r="Q4186" s="213" t="s">
        <v>34926</v>
      </c>
      <c r="R4186" s="213" t="s">
        <v>34927</v>
      </c>
      <c r="S4186" s="213" t="s">
        <v>34928</v>
      </c>
      <c r="T4186" s="213" t="s">
        <v>34929</v>
      </c>
      <c r="U4186" s="213" t="s">
        <v>62898</v>
      </c>
    </row>
    <row r="4187" spans="1:21" x14ac:dyDescent="0.25">
      <c r="A4187" s="213" t="s">
        <v>327</v>
      </c>
      <c r="D4187" s="213" t="s">
        <v>34930</v>
      </c>
      <c r="E4187" s="213" t="s">
        <v>34931</v>
      </c>
      <c r="K4187" s="213" t="s">
        <v>62785</v>
      </c>
      <c r="L4187" s="213" t="s">
        <v>62823</v>
      </c>
      <c r="M4187" s="213" t="s">
        <v>62861</v>
      </c>
      <c r="N4187" s="213" t="s">
        <v>34932</v>
      </c>
      <c r="O4187" s="213" t="s">
        <v>34933</v>
      </c>
      <c r="P4187" s="213" t="s">
        <v>34934</v>
      </c>
      <c r="Q4187" s="213" t="s">
        <v>34935</v>
      </c>
      <c r="R4187" s="213" t="s">
        <v>34936</v>
      </c>
      <c r="S4187" s="213" t="s">
        <v>34937</v>
      </c>
      <c r="T4187" s="213" t="s">
        <v>34938</v>
      </c>
      <c r="U4187" s="213" t="s">
        <v>62899</v>
      </c>
    </row>
    <row r="4188" spans="1:21" x14ac:dyDescent="0.25">
      <c r="A4188" s="213" t="s">
        <v>327</v>
      </c>
      <c r="D4188" s="213" t="s">
        <v>34939</v>
      </c>
      <c r="E4188" s="213" t="s">
        <v>34940</v>
      </c>
      <c r="K4188" s="213" t="s">
        <v>62786</v>
      </c>
      <c r="L4188" s="213" t="s">
        <v>62824</v>
      </c>
      <c r="M4188" s="213" t="s">
        <v>62862</v>
      </c>
      <c r="N4188" s="213" t="s">
        <v>34941</v>
      </c>
      <c r="O4188" s="213" t="s">
        <v>34942</v>
      </c>
      <c r="P4188" s="213" t="s">
        <v>34943</v>
      </c>
      <c r="Q4188" s="213" t="s">
        <v>34944</v>
      </c>
      <c r="R4188" s="213" t="s">
        <v>34945</v>
      </c>
      <c r="S4188" s="213" t="s">
        <v>34946</v>
      </c>
      <c r="T4188" s="213" t="s">
        <v>34947</v>
      </c>
      <c r="U4188" s="213" t="s">
        <v>62900</v>
      </c>
    </row>
    <row r="4189" spans="1:21" x14ac:dyDescent="0.25">
      <c r="A4189" s="213" t="s">
        <v>327</v>
      </c>
      <c r="D4189" s="213" t="s">
        <v>34948</v>
      </c>
      <c r="E4189" s="213" t="s">
        <v>34949</v>
      </c>
      <c r="K4189" s="213" t="s">
        <v>62787</v>
      </c>
      <c r="L4189" s="213" t="s">
        <v>62825</v>
      </c>
      <c r="M4189" s="213" t="s">
        <v>62863</v>
      </c>
      <c r="N4189" s="213" t="s">
        <v>34950</v>
      </c>
      <c r="O4189" s="213" t="s">
        <v>34951</v>
      </c>
      <c r="P4189" s="213" t="s">
        <v>34952</v>
      </c>
      <c r="Q4189" s="213" t="s">
        <v>34953</v>
      </c>
      <c r="R4189" s="213" t="s">
        <v>34954</v>
      </c>
      <c r="S4189" s="213" t="s">
        <v>34955</v>
      </c>
      <c r="T4189" s="213" t="s">
        <v>34956</v>
      </c>
      <c r="U4189" s="213" t="s">
        <v>62901</v>
      </c>
    </row>
    <row r="4190" spans="1:21" x14ac:dyDescent="0.25">
      <c r="A4190" s="213" t="s">
        <v>327</v>
      </c>
      <c r="D4190" s="213" t="s">
        <v>34957</v>
      </c>
      <c r="E4190" s="213" t="s">
        <v>34958</v>
      </c>
      <c r="K4190" s="213" t="s">
        <v>62788</v>
      </c>
      <c r="L4190" s="213" t="s">
        <v>62826</v>
      </c>
      <c r="M4190" s="213" t="s">
        <v>62864</v>
      </c>
      <c r="N4190" s="213" t="s">
        <v>34959</v>
      </c>
      <c r="O4190" s="213" t="s">
        <v>34960</v>
      </c>
      <c r="P4190" s="213" t="s">
        <v>34961</v>
      </c>
      <c r="Q4190" s="213" t="s">
        <v>34962</v>
      </c>
      <c r="R4190" s="213" t="s">
        <v>34963</v>
      </c>
      <c r="S4190" s="213" t="s">
        <v>34964</v>
      </c>
      <c r="T4190" s="213" t="s">
        <v>34965</v>
      </c>
      <c r="U4190" s="213" t="s">
        <v>62902</v>
      </c>
    </row>
    <row r="4191" spans="1:21" x14ac:dyDescent="0.25">
      <c r="A4191" s="213" t="s">
        <v>327</v>
      </c>
      <c r="D4191" s="213" t="s">
        <v>34966</v>
      </c>
      <c r="E4191" s="213" t="s">
        <v>34967</v>
      </c>
      <c r="K4191" s="213" t="s">
        <v>62789</v>
      </c>
      <c r="L4191" s="213" t="s">
        <v>62827</v>
      </c>
      <c r="M4191" s="213" t="s">
        <v>62865</v>
      </c>
      <c r="N4191" s="213" t="s">
        <v>34968</v>
      </c>
      <c r="O4191" s="213" t="s">
        <v>34969</v>
      </c>
      <c r="P4191" s="213" t="s">
        <v>34970</v>
      </c>
      <c r="Q4191" s="213" t="s">
        <v>34971</v>
      </c>
      <c r="R4191" s="213" t="s">
        <v>34972</v>
      </c>
      <c r="S4191" s="213" t="s">
        <v>34973</v>
      </c>
      <c r="T4191" s="213" t="s">
        <v>34974</v>
      </c>
      <c r="U4191" s="213" t="s">
        <v>62903</v>
      </c>
    </row>
    <row r="4192" spans="1:21" x14ac:dyDescent="0.25">
      <c r="A4192" s="213" t="s">
        <v>327</v>
      </c>
      <c r="D4192" s="213" t="s">
        <v>34975</v>
      </c>
      <c r="E4192" s="213" t="s">
        <v>34976</v>
      </c>
      <c r="K4192" s="213" t="s">
        <v>62790</v>
      </c>
      <c r="L4192" s="213" t="s">
        <v>62828</v>
      </c>
      <c r="M4192" s="213" t="s">
        <v>62866</v>
      </c>
      <c r="N4192" s="213" t="s">
        <v>34977</v>
      </c>
      <c r="O4192" s="213" t="s">
        <v>34978</v>
      </c>
      <c r="P4192" s="213" t="s">
        <v>34979</v>
      </c>
      <c r="Q4192" s="213" t="s">
        <v>34980</v>
      </c>
      <c r="R4192" s="213" t="s">
        <v>34981</v>
      </c>
      <c r="S4192" s="213" t="s">
        <v>34982</v>
      </c>
      <c r="T4192" s="213" t="s">
        <v>34983</v>
      </c>
      <c r="U4192" s="213" t="s">
        <v>62904</v>
      </c>
    </row>
    <row r="4193" spans="1:21" x14ac:dyDescent="0.25">
      <c r="A4193" s="213" t="s">
        <v>327</v>
      </c>
      <c r="D4193" s="213" t="s">
        <v>34984</v>
      </c>
      <c r="E4193" s="213" t="s">
        <v>34985</v>
      </c>
      <c r="K4193" s="213" t="s">
        <v>62791</v>
      </c>
      <c r="L4193" s="213" t="s">
        <v>62829</v>
      </c>
      <c r="M4193" s="213" t="s">
        <v>62867</v>
      </c>
      <c r="N4193" s="213" t="s">
        <v>34986</v>
      </c>
      <c r="O4193" s="213" t="s">
        <v>34987</v>
      </c>
      <c r="P4193" s="213" t="s">
        <v>34988</v>
      </c>
      <c r="Q4193" s="213" t="s">
        <v>34989</v>
      </c>
      <c r="R4193" s="213" t="s">
        <v>34990</v>
      </c>
      <c r="S4193" s="213" t="s">
        <v>34991</v>
      </c>
      <c r="T4193" s="213" t="s">
        <v>34992</v>
      </c>
      <c r="U4193" s="213" t="s">
        <v>62905</v>
      </c>
    </row>
    <row r="4194" spans="1:21" x14ac:dyDescent="0.25">
      <c r="A4194" s="213" t="s">
        <v>327</v>
      </c>
      <c r="D4194" s="213" t="s">
        <v>34993</v>
      </c>
      <c r="E4194" s="213" t="s">
        <v>34994</v>
      </c>
      <c r="K4194" s="213" t="s">
        <v>62792</v>
      </c>
      <c r="L4194" s="213" t="s">
        <v>62830</v>
      </c>
      <c r="M4194" s="213" t="s">
        <v>62868</v>
      </c>
      <c r="N4194" s="213" t="s">
        <v>34995</v>
      </c>
      <c r="O4194" s="213" t="s">
        <v>34996</v>
      </c>
      <c r="P4194" s="213" t="s">
        <v>34997</v>
      </c>
      <c r="Q4194" s="213" t="s">
        <v>34998</v>
      </c>
      <c r="R4194" s="213" t="s">
        <v>34999</v>
      </c>
      <c r="S4194" s="213" t="s">
        <v>35000</v>
      </c>
      <c r="T4194" s="213" t="s">
        <v>35001</v>
      </c>
      <c r="U4194" s="213" t="s">
        <v>62906</v>
      </c>
    </row>
    <row r="4195" spans="1:21" x14ac:dyDescent="0.25">
      <c r="A4195" s="213" t="s">
        <v>327</v>
      </c>
      <c r="D4195" s="213" t="s">
        <v>35002</v>
      </c>
      <c r="E4195" s="213" t="s">
        <v>35003</v>
      </c>
      <c r="K4195" s="213" t="s">
        <v>62793</v>
      </c>
      <c r="L4195" s="213" t="s">
        <v>62831</v>
      </c>
      <c r="M4195" s="213" t="s">
        <v>62869</v>
      </c>
      <c r="N4195" s="213" t="s">
        <v>35004</v>
      </c>
      <c r="O4195" s="213" t="s">
        <v>35005</v>
      </c>
      <c r="P4195" s="213" t="s">
        <v>35006</v>
      </c>
      <c r="Q4195" s="213" t="s">
        <v>35007</v>
      </c>
      <c r="R4195" s="213" t="s">
        <v>35008</v>
      </c>
      <c r="S4195" s="213" t="s">
        <v>35009</v>
      </c>
      <c r="T4195" s="213" t="s">
        <v>35010</v>
      </c>
      <c r="U4195" s="213" t="s">
        <v>62907</v>
      </c>
    </row>
    <row r="4196" spans="1:21" x14ac:dyDescent="0.25">
      <c r="A4196" s="213" t="s">
        <v>327</v>
      </c>
      <c r="D4196" s="213" t="s">
        <v>35011</v>
      </c>
      <c r="E4196" s="213" t="s">
        <v>35012</v>
      </c>
      <c r="K4196" s="213" t="s">
        <v>62794</v>
      </c>
      <c r="L4196" s="213" t="s">
        <v>62832</v>
      </c>
      <c r="M4196" s="213" t="s">
        <v>62870</v>
      </c>
      <c r="N4196" s="213" t="s">
        <v>35013</v>
      </c>
      <c r="O4196" s="213" t="s">
        <v>35014</v>
      </c>
      <c r="P4196" s="213" t="s">
        <v>35015</v>
      </c>
      <c r="Q4196" s="213" t="s">
        <v>35016</v>
      </c>
      <c r="R4196" s="213" t="s">
        <v>35017</v>
      </c>
      <c r="S4196" s="213" t="s">
        <v>35018</v>
      </c>
      <c r="T4196" s="213" t="s">
        <v>35019</v>
      </c>
      <c r="U4196" s="213" t="s">
        <v>62908</v>
      </c>
    </row>
    <row r="4197" spans="1:21" x14ac:dyDescent="0.25">
      <c r="A4197" s="213" t="s">
        <v>327</v>
      </c>
      <c r="D4197" s="213" t="s">
        <v>35020</v>
      </c>
      <c r="E4197" s="213" t="s">
        <v>35021</v>
      </c>
      <c r="K4197" s="213" t="s">
        <v>62795</v>
      </c>
      <c r="L4197" s="213" t="s">
        <v>62833</v>
      </c>
      <c r="M4197" s="213" t="s">
        <v>62871</v>
      </c>
      <c r="N4197" s="213" t="s">
        <v>35022</v>
      </c>
      <c r="O4197" s="213" t="s">
        <v>35023</v>
      </c>
      <c r="P4197" s="213" t="s">
        <v>35024</v>
      </c>
      <c r="Q4197" s="213" t="s">
        <v>35025</v>
      </c>
      <c r="R4197" s="213" t="s">
        <v>35026</v>
      </c>
      <c r="S4197" s="213" t="s">
        <v>35027</v>
      </c>
      <c r="T4197" s="213" t="s">
        <v>35028</v>
      </c>
      <c r="U4197" s="213" t="s">
        <v>62909</v>
      </c>
    </row>
    <row r="4198" spans="1:21" x14ac:dyDescent="0.25">
      <c r="A4198" s="213" t="s">
        <v>327</v>
      </c>
      <c r="D4198" s="213" t="s">
        <v>35029</v>
      </c>
      <c r="E4198" s="213" t="s">
        <v>35030</v>
      </c>
      <c r="K4198" s="213" t="s">
        <v>62796</v>
      </c>
      <c r="L4198" s="213" t="s">
        <v>62834</v>
      </c>
      <c r="M4198" s="213" t="s">
        <v>62872</v>
      </c>
      <c r="N4198" s="213" t="s">
        <v>35031</v>
      </c>
      <c r="O4198" s="213" t="s">
        <v>35032</v>
      </c>
      <c r="P4198" s="213" t="s">
        <v>35033</v>
      </c>
      <c r="Q4198" s="213" t="s">
        <v>35034</v>
      </c>
      <c r="R4198" s="213" t="s">
        <v>35035</v>
      </c>
      <c r="S4198" s="213" t="s">
        <v>35036</v>
      </c>
      <c r="T4198" s="213" t="s">
        <v>35037</v>
      </c>
      <c r="U4198" s="213" t="s">
        <v>62910</v>
      </c>
    </row>
    <row r="4199" spans="1:21" x14ac:dyDescent="0.25">
      <c r="A4199" s="213" t="s">
        <v>327</v>
      </c>
      <c r="D4199" s="213" t="s">
        <v>35038</v>
      </c>
      <c r="E4199" s="213" t="s">
        <v>35039</v>
      </c>
      <c r="K4199" s="213" t="s">
        <v>62797</v>
      </c>
      <c r="L4199" s="213" t="s">
        <v>62835</v>
      </c>
      <c r="M4199" s="213" t="s">
        <v>62873</v>
      </c>
      <c r="N4199" s="213" t="s">
        <v>35040</v>
      </c>
      <c r="O4199" s="213" t="s">
        <v>35041</v>
      </c>
      <c r="P4199" s="213" t="s">
        <v>35042</v>
      </c>
      <c r="Q4199" s="213" t="s">
        <v>35043</v>
      </c>
      <c r="R4199" s="213" t="s">
        <v>35044</v>
      </c>
      <c r="S4199" s="213" t="s">
        <v>35045</v>
      </c>
      <c r="T4199" s="213" t="s">
        <v>35046</v>
      </c>
      <c r="U4199" s="213" t="s">
        <v>62911</v>
      </c>
    </row>
    <row r="4200" spans="1:21" x14ac:dyDescent="0.25">
      <c r="A4200" s="213" t="s">
        <v>327</v>
      </c>
      <c r="D4200" s="213" t="s">
        <v>35047</v>
      </c>
      <c r="E4200" s="213" t="s">
        <v>35048</v>
      </c>
      <c r="K4200" s="213" t="s">
        <v>62798</v>
      </c>
      <c r="L4200" s="213" t="s">
        <v>62836</v>
      </c>
      <c r="M4200" s="213" t="s">
        <v>62874</v>
      </c>
      <c r="N4200" s="213" t="s">
        <v>35049</v>
      </c>
      <c r="O4200" s="213" t="s">
        <v>35050</v>
      </c>
      <c r="P4200" s="213" t="s">
        <v>35051</v>
      </c>
      <c r="Q4200" s="213" t="s">
        <v>35052</v>
      </c>
      <c r="R4200" s="213" t="s">
        <v>35053</v>
      </c>
      <c r="S4200" s="213" t="s">
        <v>35054</v>
      </c>
      <c r="T4200" s="213" t="s">
        <v>35055</v>
      </c>
      <c r="U4200" s="213" t="s">
        <v>62912</v>
      </c>
    </row>
    <row r="4201" spans="1:21" x14ac:dyDescent="0.25">
      <c r="A4201" s="213" t="s">
        <v>327</v>
      </c>
      <c r="D4201" s="213" t="s">
        <v>35056</v>
      </c>
      <c r="E4201" s="213" t="s">
        <v>35057</v>
      </c>
      <c r="K4201" s="213" t="s">
        <v>62799</v>
      </c>
      <c r="L4201" s="213" t="s">
        <v>62837</v>
      </c>
      <c r="M4201" s="213" t="s">
        <v>62875</v>
      </c>
      <c r="N4201" s="213" t="s">
        <v>35058</v>
      </c>
      <c r="O4201" s="213" t="s">
        <v>35059</v>
      </c>
      <c r="P4201" s="213" t="s">
        <v>35060</v>
      </c>
      <c r="Q4201" s="213" t="s">
        <v>35061</v>
      </c>
      <c r="R4201" s="213" t="s">
        <v>35062</v>
      </c>
      <c r="S4201" s="213" t="s">
        <v>35063</v>
      </c>
      <c r="T4201" s="213" t="s">
        <v>35064</v>
      </c>
      <c r="U4201" s="213" t="s">
        <v>62913</v>
      </c>
    </row>
    <row r="4202" spans="1:21" x14ac:dyDescent="0.25">
      <c r="A4202" s="213" t="s">
        <v>327</v>
      </c>
      <c r="D4202" s="213" t="s">
        <v>35065</v>
      </c>
      <c r="E4202" s="213" t="s">
        <v>35066</v>
      </c>
      <c r="K4202" s="213" t="s">
        <v>62800</v>
      </c>
      <c r="L4202" s="213" t="s">
        <v>62838</v>
      </c>
      <c r="M4202" s="213" t="s">
        <v>62876</v>
      </c>
      <c r="N4202" s="213" t="s">
        <v>35067</v>
      </c>
      <c r="O4202" s="213" t="s">
        <v>35068</v>
      </c>
      <c r="P4202" s="213" t="s">
        <v>35069</v>
      </c>
      <c r="Q4202" s="213" t="s">
        <v>35070</v>
      </c>
      <c r="R4202" s="213" t="s">
        <v>35071</v>
      </c>
      <c r="S4202" s="213" t="s">
        <v>35072</v>
      </c>
      <c r="T4202" s="213" t="s">
        <v>35073</v>
      </c>
      <c r="U4202" s="213" t="s">
        <v>62914</v>
      </c>
    </row>
    <row r="4203" spans="1:21" x14ac:dyDescent="0.25">
      <c r="A4203" s="213" t="s">
        <v>327</v>
      </c>
      <c r="D4203" s="213" t="s">
        <v>35074</v>
      </c>
      <c r="E4203" s="213" t="s">
        <v>35075</v>
      </c>
      <c r="K4203" s="213" t="s">
        <v>62801</v>
      </c>
      <c r="L4203" s="213" t="s">
        <v>62839</v>
      </c>
      <c r="M4203" s="213" t="s">
        <v>62877</v>
      </c>
      <c r="N4203" s="213" t="s">
        <v>35076</v>
      </c>
      <c r="O4203" s="213" t="s">
        <v>35077</v>
      </c>
      <c r="P4203" s="213" t="s">
        <v>35078</v>
      </c>
      <c r="Q4203" s="213" t="s">
        <v>35079</v>
      </c>
      <c r="R4203" s="213" t="s">
        <v>35080</v>
      </c>
      <c r="S4203" s="213" t="s">
        <v>35081</v>
      </c>
      <c r="T4203" s="213" t="s">
        <v>35082</v>
      </c>
      <c r="U4203" s="213" t="s">
        <v>62915</v>
      </c>
    </row>
    <row r="4204" spans="1:21" x14ac:dyDescent="0.25">
      <c r="A4204" s="213" t="s">
        <v>327</v>
      </c>
      <c r="D4204" s="213" t="s">
        <v>35083</v>
      </c>
      <c r="E4204" s="213" t="s">
        <v>35084</v>
      </c>
      <c r="K4204" s="213" t="s">
        <v>62802</v>
      </c>
      <c r="L4204" s="213" t="s">
        <v>62840</v>
      </c>
      <c r="M4204" s="213" t="s">
        <v>62878</v>
      </c>
      <c r="N4204" s="213" t="s">
        <v>35085</v>
      </c>
      <c r="O4204" s="213" t="s">
        <v>35086</v>
      </c>
      <c r="P4204" s="213" t="s">
        <v>35087</v>
      </c>
      <c r="Q4204" s="213" t="s">
        <v>35088</v>
      </c>
      <c r="R4204" s="213" t="s">
        <v>35089</v>
      </c>
      <c r="S4204" s="213" t="s">
        <v>35090</v>
      </c>
      <c r="T4204" s="213" t="s">
        <v>35091</v>
      </c>
      <c r="U4204" s="213" t="s">
        <v>62916</v>
      </c>
    </row>
    <row r="4205" spans="1:21" x14ac:dyDescent="0.25">
      <c r="A4205" s="213" t="s">
        <v>327</v>
      </c>
      <c r="D4205" s="213" t="s">
        <v>35092</v>
      </c>
      <c r="E4205" s="213" t="s">
        <v>35093</v>
      </c>
      <c r="K4205" s="213" t="s">
        <v>62803</v>
      </c>
      <c r="L4205" s="213" t="s">
        <v>62841</v>
      </c>
      <c r="M4205" s="213" t="s">
        <v>62879</v>
      </c>
      <c r="N4205" s="213" t="s">
        <v>35094</v>
      </c>
      <c r="O4205" s="213" t="s">
        <v>35095</v>
      </c>
      <c r="P4205" s="213" t="s">
        <v>35096</v>
      </c>
      <c r="Q4205" s="213" t="s">
        <v>35097</v>
      </c>
      <c r="R4205" s="213" t="s">
        <v>35098</v>
      </c>
      <c r="S4205" s="213" t="s">
        <v>35099</v>
      </c>
      <c r="T4205" s="213" t="s">
        <v>35100</v>
      </c>
      <c r="U4205" s="213" t="s">
        <v>62917</v>
      </c>
    </row>
    <row r="4206" spans="1:21" x14ac:dyDescent="0.25">
      <c r="A4206" s="213" t="s">
        <v>327</v>
      </c>
      <c r="D4206" s="213" t="s">
        <v>35101</v>
      </c>
      <c r="E4206" s="213" t="s">
        <v>35102</v>
      </c>
      <c r="K4206" s="213" t="s">
        <v>62804</v>
      </c>
      <c r="L4206" s="213" t="s">
        <v>62842</v>
      </c>
      <c r="M4206" s="213" t="s">
        <v>62880</v>
      </c>
      <c r="N4206" s="213" t="s">
        <v>35103</v>
      </c>
      <c r="O4206" s="213" t="s">
        <v>35104</v>
      </c>
      <c r="P4206" s="213" t="s">
        <v>35105</v>
      </c>
      <c r="Q4206" s="213" t="s">
        <v>35106</v>
      </c>
      <c r="R4206" s="213" t="s">
        <v>35107</v>
      </c>
      <c r="S4206" s="213" t="s">
        <v>35108</v>
      </c>
      <c r="T4206" s="213" t="s">
        <v>35109</v>
      </c>
      <c r="U4206" s="213" t="s">
        <v>62918</v>
      </c>
    </row>
    <row r="4207" spans="1:21" x14ac:dyDescent="0.25">
      <c r="A4207" s="213" t="s">
        <v>327</v>
      </c>
      <c r="D4207" s="213" t="s">
        <v>35110</v>
      </c>
      <c r="E4207" s="213" t="s">
        <v>35111</v>
      </c>
      <c r="K4207" s="213" t="s">
        <v>62805</v>
      </c>
      <c r="L4207" s="213" t="s">
        <v>62843</v>
      </c>
      <c r="M4207" s="213" t="s">
        <v>62881</v>
      </c>
      <c r="N4207" s="213" t="s">
        <v>35112</v>
      </c>
      <c r="O4207" s="213" t="s">
        <v>35113</v>
      </c>
      <c r="P4207" s="213" t="s">
        <v>35114</v>
      </c>
      <c r="Q4207" s="213" t="s">
        <v>35115</v>
      </c>
      <c r="R4207" s="213" t="s">
        <v>35116</v>
      </c>
      <c r="S4207" s="213" t="s">
        <v>35117</v>
      </c>
      <c r="T4207" s="213" t="s">
        <v>35118</v>
      </c>
      <c r="U4207" s="213" t="s">
        <v>62919</v>
      </c>
    </row>
    <row r="4208" spans="1:21" x14ac:dyDescent="0.25">
      <c r="A4208" s="213" t="s">
        <v>327</v>
      </c>
      <c r="D4208" s="213" t="s">
        <v>35119</v>
      </c>
      <c r="E4208" s="213" t="s">
        <v>35120</v>
      </c>
      <c r="K4208" s="213" t="s">
        <v>62806</v>
      </c>
      <c r="L4208" s="213" t="s">
        <v>62844</v>
      </c>
      <c r="M4208" s="213" t="s">
        <v>62882</v>
      </c>
      <c r="N4208" s="213" t="s">
        <v>35121</v>
      </c>
      <c r="O4208" s="213" t="s">
        <v>35122</v>
      </c>
      <c r="P4208" s="213" t="s">
        <v>35123</v>
      </c>
      <c r="Q4208" s="213" t="s">
        <v>35124</v>
      </c>
      <c r="R4208" s="213" t="s">
        <v>35125</v>
      </c>
      <c r="S4208" s="213" t="s">
        <v>35126</v>
      </c>
      <c r="T4208" s="213" t="s">
        <v>35127</v>
      </c>
      <c r="U4208" s="213" t="s">
        <v>62920</v>
      </c>
    </row>
    <row r="4209" spans="1:21" x14ac:dyDescent="0.25">
      <c r="A4209" s="213" t="s">
        <v>327</v>
      </c>
      <c r="D4209" s="213" t="s">
        <v>35128</v>
      </c>
      <c r="E4209" s="213" t="s">
        <v>35129</v>
      </c>
      <c r="K4209" s="213" t="s">
        <v>62807</v>
      </c>
      <c r="L4209" s="213" t="s">
        <v>62845</v>
      </c>
      <c r="M4209" s="213" t="s">
        <v>62883</v>
      </c>
      <c r="N4209" s="213" t="s">
        <v>35130</v>
      </c>
      <c r="O4209" s="213" t="s">
        <v>35131</v>
      </c>
      <c r="P4209" s="213" t="s">
        <v>35132</v>
      </c>
      <c r="Q4209" s="213" t="s">
        <v>35133</v>
      </c>
      <c r="R4209" s="213" t="s">
        <v>35134</v>
      </c>
      <c r="S4209" s="213" t="s">
        <v>35135</v>
      </c>
      <c r="T4209" s="213" t="s">
        <v>35136</v>
      </c>
      <c r="U4209" s="213" t="s">
        <v>62921</v>
      </c>
    </row>
    <row r="4210" spans="1:21" x14ac:dyDescent="0.25">
      <c r="A4210" s="213" t="s">
        <v>327</v>
      </c>
    </row>
    <row r="4211" spans="1:21" x14ac:dyDescent="0.25">
      <c r="A4211" s="213" t="s">
        <v>327</v>
      </c>
    </row>
    <row r="4212" spans="1:21" x14ac:dyDescent="0.25">
      <c r="A4212" s="213" t="s">
        <v>327</v>
      </c>
      <c r="C4212" s="213" t="s">
        <v>35137</v>
      </c>
      <c r="E4212" s="213" t="s">
        <v>35138</v>
      </c>
      <c r="H4212" s="213" t="s">
        <v>35139</v>
      </c>
      <c r="I4212" s="213" t="s">
        <v>35140</v>
      </c>
      <c r="J4212" s="213" t="s">
        <v>35141</v>
      </c>
      <c r="L4212" s="213" t="s">
        <v>35142</v>
      </c>
      <c r="O4212" s="213" t="s">
        <v>35143</v>
      </c>
      <c r="P4212" s="213" t="s">
        <v>35144</v>
      </c>
      <c r="Q4212" s="213" t="s">
        <v>35145</v>
      </c>
      <c r="R4212" s="213" t="s">
        <v>35146</v>
      </c>
      <c r="S4212" s="213" t="s">
        <v>35147</v>
      </c>
      <c r="T4212" s="213" t="s">
        <v>35148</v>
      </c>
    </row>
    <row r="4213" spans="1:21" x14ac:dyDescent="0.25">
      <c r="A4213" s="213" t="s">
        <v>327</v>
      </c>
      <c r="C4213" s="213" t="s">
        <v>35149</v>
      </c>
      <c r="E4213" s="213" t="s">
        <v>35150</v>
      </c>
      <c r="I4213" s="213" t="s">
        <v>35151</v>
      </c>
    </row>
    <row r="4214" spans="1:21" x14ac:dyDescent="0.25">
      <c r="A4214" s="213" t="s">
        <v>327</v>
      </c>
      <c r="C4214" s="213" t="s">
        <v>35152</v>
      </c>
      <c r="E4214" s="213" t="s">
        <v>35153</v>
      </c>
      <c r="I4214" s="213" t="s">
        <v>35154</v>
      </c>
    </row>
    <row r="4215" spans="1:21" x14ac:dyDescent="0.25">
      <c r="A4215" s="213" t="s">
        <v>328</v>
      </c>
    </row>
    <row r="4216" spans="1:21" x14ac:dyDescent="0.25">
      <c r="A4216" s="213" t="s">
        <v>327</v>
      </c>
      <c r="D4216" s="213" t="s">
        <v>35155</v>
      </c>
      <c r="E4216" s="213" t="s">
        <v>35156</v>
      </c>
      <c r="K4216" s="213" t="s">
        <v>62578</v>
      </c>
      <c r="L4216" s="213" t="s">
        <v>62626</v>
      </c>
      <c r="M4216" s="213" t="s">
        <v>62674</v>
      </c>
      <c r="N4216" s="213" t="s">
        <v>35157</v>
      </c>
      <c r="O4216" s="213" t="s">
        <v>35158</v>
      </c>
      <c r="P4216" s="213" t="s">
        <v>35159</v>
      </c>
      <c r="Q4216" s="213" t="s">
        <v>35160</v>
      </c>
      <c r="R4216" s="213" t="s">
        <v>35161</v>
      </c>
      <c r="S4216" s="213" t="s">
        <v>35162</v>
      </c>
      <c r="T4216" s="213" t="s">
        <v>35163</v>
      </c>
      <c r="U4216" s="213" t="s">
        <v>62722</v>
      </c>
    </row>
    <row r="4217" spans="1:21" x14ac:dyDescent="0.25">
      <c r="A4217" s="213" t="s">
        <v>327</v>
      </c>
      <c r="D4217" s="213" t="s">
        <v>35164</v>
      </c>
      <c r="E4217" s="213" t="s">
        <v>35165</v>
      </c>
      <c r="K4217" s="213" t="s">
        <v>62579</v>
      </c>
      <c r="L4217" s="213" t="s">
        <v>62627</v>
      </c>
      <c r="M4217" s="213" t="s">
        <v>62675</v>
      </c>
      <c r="N4217" s="213" t="s">
        <v>35166</v>
      </c>
      <c r="O4217" s="213" t="s">
        <v>35167</v>
      </c>
      <c r="P4217" s="213" t="s">
        <v>35168</v>
      </c>
      <c r="Q4217" s="213" t="s">
        <v>35169</v>
      </c>
      <c r="R4217" s="213" t="s">
        <v>35170</v>
      </c>
      <c r="S4217" s="213" t="s">
        <v>35171</v>
      </c>
      <c r="T4217" s="213" t="s">
        <v>35172</v>
      </c>
      <c r="U4217" s="213" t="s">
        <v>62723</v>
      </c>
    </row>
    <row r="4218" spans="1:21" x14ac:dyDescent="0.25">
      <c r="A4218" s="213" t="s">
        <v>327</v>
      </c>
      <c r="D4218" s="213" t="s">
        <v>353</v>
      </c>
      <c r="E4218" s="213" t="s">
        <v>35173</v>
      </c>
      <c r="K4218" s="213" t="s">
        <v>62580</v>
      </c>
      <c r="L4218" s="213" t="s">
        <v>62628</v>
      </c>
      <c r="M4218" s="213" t="s">
        <v>62676</v>
      </c>
      <c r="N4218" s="213" t="s">
        <v>35174</v>
      </c>
      <c r="O4218" s="213" t="s">
        <v>35175</v>
      </c>
      <c r="P4218" s="213" t="s">
        <v>35176</v>
      </c>
      <c r="Q4218" s="213" t="s">
        <v>35177</v>
      </c>
      <c r="R4218" s="213" t="s">
        <v>35178</v>
      </c>
      <c r="S4218" s="213" t="s">
        <v>35179</v>
      </c>
      <c r="T4218" s="213" t="s">
        <v>35180</v>
      </c>
      <c r="U4218" s="213" t="s">
        <v>62724</v>
      </c>
    </row>
    <row r="4219" spans="1:21" x14ac:dyDescent="0.25">
      <c r="A4219" s="213" t="s">
        <v>327</v>
      </c>
      <c r="D4219" s="213" t="s">
        <v>35181</v>
      </c>
      <c r="E4219" s="213" t="s">
        <v>35182</v>
      </c>
      <c r="K4219" s="213" t="s">
        <v>62581</v>
      </c>
      <c r="L4219" s="213" t="s">
        <v>62629</v>
      </c>
      <c r="M4219" s="213" t="s">
        <v>62677</v>
      </c>
      <c r="N4219" s="213" t="s">
        <v>35183</v>
      </c>
      <c r="O4219" s="213" t="s">
        <v>35184</v>
      </c>
      <c r="P4219" s="213" t="s">
        <v>35185</v>
      </c>
      <c r="Q4219" s="213" t="s">
        <v>35186</v>
      </c>
      <c r="R4219" s="213" t="s">
        <v>35187</v>
      </c>
      <c r="S4219" s="213" t="s">
        <v>35188</v>
      </c>
      <c r="T4219" s="213" t="s">
        <v>35189</v>
      </c>
      <c r="U4219" s="213" t="s">
        <v>62725</v>
      </c>
    </row>
    <row r="4220" spans="1:21" x14ac:dyDescent="0.25">
      <c r="A4220" s="213" t="s">
        <v>327</v>
      </c>
      <c r="D4220" s="213" t="s">
        <v>35190</v>
      </c>
      <c r="E4220" s="213" t="s">
        <v>35191</v>
      </c>
      <c r="K4220" s="213" t="s">
        <v>62582</v>
      </c>
      <c r="L4220" s="213" t="s">
        <v>62630</v>
      </c>
      <c r="M4220" s="213" t="s">
        <v>62678</v>
      </c>
      <c r="N4220" s="213" t="s">
        <v>35192</v>
      </c>
      <c r="O4220" s="213" t="s">
        <v>35193</v>
      </c>
      <c r="P4220" s="213" t="s">
        <v>35194</v>
      </c>
      <c r="Q4220" s="213" t="s">
        <v>35195</v>
      </c>
      <c r="R4220" s="213" t="s">
        <v>35196</v>
      </c>
      <c r="S4220" s="213" t="s">
        <v>35197</v>
      </c>
      <c r="T4220" s="213" t="s">
        <v>35198</v>
      </c>
      <c r="U4220" s="213" t="s">
        <v>62726</v>
      </c>
    </row>
    <row r="4221" spans="1:21" x14ac:dyDescent="0.25">
      <c r="A4221" s="213" t="s">
        <v>327</v>
      </c>
      <c r="D4221" s="213" t="s">
        <v>35199</v>
      </c>
      <c r="E4221" s="213" t="s">
        <v>35200</v>
      </c>
      <c r="K4221" s="213" t="s">
        <v>62583</v>
      </c>
      <c r="L4221" s="213" t="s">
        <v>62631</v>
      </c>
      <c r="M4221" s="213" t="s">
        <v>62679</v>
      </c>
      <c r="N4221" s="213" t="s">
        <v>35201</v>
      </c>
      <c r="O4221" s="213" t="s">
        <v>35202</v>
      </c>
      <c r="P4221" s="213" t="s">
        <v>35203</v>
      </c>
      <c r="Q4221" s="213" t="s">
        <v>35204</v>
      </c>
      <c r="R4221" s="213" t="s">
        <v>35205</v>
      </c>
      <c r="S4221" s="213" t="s">
        <v>35206</v>
      </c>
      <c r="T4221" s="213" t="s">
        <v>35207</v>
      </c>
      <c r="U4221" s="213" t="s">
        <v>62727</v>
      </c>
    </row>
    <row r="4222" spans="1:21" x14ac:dyDescent="0.25">
      <c r="A4222" s="213" t="s">
        <v>327</v>
      </c>
      <c r="D4222" s="213" t="s">
        <v>35208</v>
      </c>
      <c r="E4222" s="213" t="s">
        <v>35209</v>
      </c>
      <c r="K4222" s="213" t="s">
        <v>62584</v>
      </c>
      <c r="L4222" s="213" t="s">
        <v>62632</v>
      </c>
      <c r="M4222" s="213" t="s">
        <v>62680</v>
      </c>
      <c r="N4222" s="213" t="s">
        <v>35210</v>
      </c>
      <c r="O4222" s="213" t="s">
        <v>35211</v>
      </c>
      <c r="P4222" s="213" t="s">
        <v>35212</v>
      </c>
      <c r="Q4222" s="213" t="s">
        <v>35213</v>
      </c>
      <c r="R4222" s="213" t="s">
        <v>35214</v>
      </c>
      <c r="S4222" s="213" t="s">
        <v>35215</v>
      </c>
      <c r="T4222" s="213" t="s">
        <v>35216</v>
      </c>
      <c r="U4222" s="213" t="s">
        <v>62728</v>
      </c>
    </row>
    <row r="4223" spans="1:21" x14ac:dyDescent="0.25">
      <c r="A4223" s="213" t="s">
        <v>327</v>
      </c>
      <c r="D4223" s="213" t="s">
        <v>35217</v>
      </c>
      <c r="E4223" s="213" t="s">
        <v>35218</v>
      </c>
      <c r="K4223" s="213" t="s">
        <v>62585</v>
      </c>
      <c r="L4223" s="213" t="s">
        <v>62633</v>
      </c>
      <c r="M4223" s="213" t="s">
        <v>62681</v>
      </c>
      <c r="N4223" s="213" t="s">
        <v>35219</v>
      </c>
      <c r="O4223" s="213" t="s">
        <v>35220</v>
      </c>
      <c r="P4223" s="213" t="s">
        <v>35221</v>
      </c>
      <c r="Q4223" s="213" t="s">
        <v>35222</v>
      </c>
      <c r="R4223" s="213" t="s">
        <v>35223</v>
      </c>
      <c r="S4223" s="213" t="s">
        <v>35224</v>
      </c>
      <c r="T4223" s="213" t="s">
        <v>35225</v>
      </c>
      <c r="U4223" s="213" t="s">
        <v>62729</v>
      </c>
    </row>
    <row r="4224" spans="1:21" x14ac:dyDescent="0.25">
      <c r="A4224" s="213" t="s">
        <v>327</v>
      </c>
      <c r="D4224" s="213" t="s">
        <v>35226</v>
      </c>
      <c r="E4224" s="213" t="s">
        <v>35227</v>
      </c>
      <c r="K4224" s="213" t="s">
        <v>62586</v>
      </c>
      <c r="L4224" s="213" t="s">
        <v>62634</v>
      </c>
      <c r="M4224" s="213" t="s">
        <v>62682</v>
      </c>
      <c r="N4224" s="213" t="s">
        <v>35228</v>
      </c>
      <c r="O4224" s="213" t="s">
        <v>35229</v>
      </c>
      <c r="P4224" s="213" t="s">
        <v>35230</v>
      </c>
      <c r="Q4224" s="213" t="s">
        <v>35231</v>
      </c>
      <c r="R4224" s="213" t="s">
        <v>35232</v>
      </c>
      <c r="S4224" s="213" t="s">
        <v>35233</v>
      </c>
      <c r="T4224" s="213" t="s">
        <v>35234</v>
      </c>
      <c r="U4224" s="213" t="s">
        <v>62730</v>
      </c>
    </row>
    <row r="4225" spans="1:21" x14ac:dyDescent="0.25">
      <c r="A4225" s="213" t="s">
        <v>327</v>
      </c>
      <c r="D4225" s="213" t="s">
        <v>35235</v>
      </c>
      <c r="E4225" s="213" t="s">
        <v>35236</v>
      </c>
      <c r="K4225" s="213" t="s">
        <v>62587</v>
      </c>
      <c r="L4225" s="213" t="s">
        <v>62635</v>
      </c>
      <c r="M4225" s="213" t="s">
        <v>62683</v>
      </c>
      <c r="N4225" s="213" t="s">
        <v>35237</v>
      </c>
      <c r="O4225" s="213" t="s">
        <v>35238</v>
      </c>
      <c r="P4225" s="213" t="s">
        <v>35239</v>
      </c>
      <c r="Q4225" s="213" t="s">
        <v>35240</v>
      </c>
      <c r="R4225" s="213" t="s">
        <v>35241</v>
      </c>
      <c r="S4225" s="213" t="s">
        <v>35242</v>
      </c>
      <c r="T4225" s="213" t="s">
        <v>35243</v>
      </c>
      <c r="U4225" s="213" t="s">
        <v>62731</v>
      </c>
    </row>
    <row r="4226" spans="1:21" x14ac:dyDescent="0.25">
      <c r="A4226" s="213" t="s">
        <v>327</v>
      </c>
      <c r="D4226" s="213" t="s">
        <v>35244</v>
      </c>
      <c r="E4226" s="213" t="s">
        <v>35245</v>
      </c>
      <c r="K4226" s="213" t="s">
        <v>62588</v>
      </c>
      <c r="L4226" s="213" t="s">
        <v>62636</v>
      </c>
      <c r="M4226" s="213" t="s">
        <v>62684</v>
      </c>
      <c r="N4226" s="213" t="s">
        <v>35246</v>
      </c>
      <c r="O4226" s="213" t="s">
        <v>35247</v>
      </c>
      <c r="P4226" s="213" t="s">
        <v>35248</v>
      </c>
      <c r="Q4226" s="213" t="s">
        <v>35249</v>
      </c>
      <c r="R4226" s="213" t="s">
        <v>35250</v>
      </c>
      <c r="S4226" s="213" t="s">
        <v>35251</v>
      </c>
      <c r="T4226" s="213" t="s">
        <v>35252</v>
      </c>
      <c r="U4226" s="213" t="s">
        <v>62732</v>
      </c>
    </row>
    <row r="4227" spans="1:21" x14ac:dyDescent="0.25">
      <c r="A4227" s="213" t="s">
        <v>327</v>
      </c>
      <c r="D4227" s="213" t="s">
        <v>35253</v>
      </c>
      <c r="E4227" s="213" t="s">
        <v>35254</v>
      </c>
      <c r="K4227" s="213" t="s">
        <v>62589</v>
      </c>
      <c r="L4227" s="213" t="s">
        <v>62637</v>
      </c>
      <c r="M4227" s="213" t="s">
        <v>62685</v>
      </c>
      <c r="N4227" s="213" t="s">
        <v>35255</v>
      </c>
      <c r="O4227" s="213" t="s">
        <v>35256</v>
      </c>
      <c r="P4227" s="213" t="s">
        <v>35257</v>
      </c>
      <c r="Q4227" s="213" t="s">
        <v>35258</v>
      </c>
      <c r="R4227" s="213" t="s">
        <v>35259</v>
      </c>
      <c r="S4227" s="213" t="s">
        <v>35260</v>
      </c>
      <c r="T4227" s="213" t="s">
        <v>35261</v>
      </c>
      <c r="U4227" s="213" t="s">
        <v>62733</v>
      </c>
    </row>
    <row r="4228" spans="1:21" x14ac:dyDescent="0.25">
      <c r="A4228" s="213" t="s">
        <v>327</v>
      </c>
      <c r="D4228" s="213" t="s">
        <v>35262</v>
      </c>
      <c r="E4228" s="213" t="s">
        <v>35263</v>
      </c>
      <c r="K4228" s="213" t="s">
        <v>62590</v>
      </c>
      <c r="L4228" s="213" t="s">
        <v>62638</v>
      </c>
      <c r="M4228" s="213" t="s">
        <v>62686</v>
      </c>
      <c r="N4228" s="213" t="s">
        <v>35264</v>
      </c>
      <c r="O4228" s="213" t="s">
        <v>35265</v>
      </c>
      <c r="P4228" s="213" t="s">
        <v>35266</v>
      </c>
      <c r="Q4228" s="213" t="s">
        <v>35267</v>
      </c>
      <c r="R4228" s="213" t="s">
        <v>35268</v>
      </c>
      <c r="S4228" s="213" t="s">
        <v>35269</v>
      </c>
      <c r="T4228" s="213" t="s">
        <v>35270</v>
      </c>
      <c r="U4228" s="213" t="s">
        <v>62734</v>
      </c>
    </row>
    <row r="4229" spans="1:21" x14ac:dyDescent="0.25">
      <c r="A4229" s="213" t="s">
        <v>327</v>
      </c>
      <c r="D4229" s="213" t="s">
        <v>35271</v>
      </c>
      <c r="E4229" s="213" t="s">
        <v>35272</v>
      </c>
      <c r="K4229" s="213" t="s">
        <v>62591</v>
      </c>
      <c r="L4229" s="213" t="s">
        <v>62639</v>
      </c>
      <c r="M4229" s="213" t="s">
        <v>62687</v>
      </c>
      <c r="N4229" s="213" t="s">
        <v>35273</v>
      </c>
      <c r="O4229" s="213" t="s">
        <v>35274</v>
      </c>
      <c r="P4229" s="213" t="s">
        <v>35275</v>
      </c>
      <c r="Q4229" s="213" t="s">
        <v>35276</v>
      </c>
      <c r="R4229" s="213" t="s">
        <v>35277</v>
      </c>
      <c r="S4229" s="213" t="s">
        <v>35278</v>
      </c>
      <c r="T4229" s="213" t="s">
        <v>35279</v>
      </c>
      <c r="U4229" s="213" t="s">
        <v>62735</v>
      </c>
    </row>
    <row r="4230" spans="1:21" x14ac:dyDescent="0.25">
      <c r="A4230" s="213" t="s">
        <v>327</v>
      </c>
      <c r="D4230" s="213" t="s">
        <v>35280</v>
      </c>
      <c r="E4230" s="213" t="s">
        <v>35281</v>
      </c>
      <c r="K4230" s="213" t="s">
        <v>62592</v>
      </c>
      <c r="L4230" s="213" t="s">
        <v>62640</v>
      </c>
      <c r="M4230" s="213" t="s">
        <v>62688</v>
      </c>
      <c r="N4230" s="213" t="s">
        <v>35282</v>
      </c>
      <c r="O4230" s="213" t="s">
        <v>35283</v>
      </c>
      <c r="P4230" s="213" t="s">
        <v>35284</v>
      </c>
      <c r="Q4230" s="213" t="s">
        <v>35285</v>
      </c>
      <c r="R4230" s="213" t="s">
        <v>35286</v>
      </c>
      <c r="S4230" s="213" t="s">
        <v>35287</v>
      </c>
      <c r="T4230" s="213" t="s">
        <v>35288</v>
      </c>
      <c r="U4230" s="213" t="s">
        <v>62736</v>
      </c>
    </row>
    <row r="4231" spans="1:21" x14ac:dyDescent="0.25">
      <c r="A4231" s="213" t="s">
        <v>327</v>
      </c>
      <c r="D4231" s="213" t="s">
        <v>35289</v>
      </c>
      <c r="E4231" s="213" t="s">
        <v>35290</v>
      </c>
      <c r="K4231" s="213" t="s">
        <v>62593</v>
      </c>
      <c r="L4231" s="213" t="s">
        <v>62641</v>
      </c>
      <c r="M4231" s="213" t="s">
        <v>62689</v>
      </c>
      <c r="N4231" s="213" t="s">
        <v>35291</v>
      </c>
      <c r="O4231" s="213" t="s">
        <v>35292</v>
      </c>
      <c r="P4231" s="213" t="s">
        <v>35293</v>
      </c>
      <c r="Q4231" s="213" t="s">
        <v>35294</v>
      </c>
      <c r="R4231" s="213" t="s">
        <v>35295</v>
      </c>
      <c r="S4231" s="213" t="s">
        <v>35296</v>
      </c>
      <c r="T4231" s="213" t="s">
        <v>35297</v>
      </c>
      <c r="U4231" s="213" t="s">
        <v>62737</v>
      </c>
    </row>
    <row r="4232" spans="1:21" x14ac:dyDescent="0.25">
      <c r="A4232" s="213" t="s">
        <v>327</v>
      </c>
      <c r="D4232" s="213" t="s">
        <v>35298</v>
      </c>
      <c r="E4232" s="213" t="s">
        <v>35299</v>
      </c>
      <c r="K4232" s="213" t="s">
        <v>62594</v>
      </c>
      <c r="L4232" s="213" t="s">
        <v>62642</v>
      </c>
      <c r="M4232" s="213" t="s">
        <v>62690</v>
      </c>
      <c r="N4232" s="213" t="s">
        <v>35300</v>
      </c>
      <c r="O4232" s="213" t="s">
        <v>35301</v>
      </c>
      <c r="P4232" s="213" t="s">
        <v>35302</v>
      </c>
      <c r="Q4232" s="213" t="s">
        <v>35303</v>
      </c>
      <c r="R4232" s="213" t="s">
        <v>35304</v>
      </c>
      <c r="S4232" s="213" t="s">
        <v>35305</v>
      </c>
      <c r="T4232" s="213" t="s">
        <v>35306</v>
      </c>
      <c r="U4232" s="213" t="s">
        <v>62738</v>
      </c>
    </row>
    <row r="4233" spans="1:21" x14ac:dyDescent="0.25">
      <c r="A4233" s="213" t="s">
        <v>327</v>
      </c>
      <c r="D4233" s="213" t="s">
        <v>35307</v>
      </c>
      <c r="E4233" s="213" t="s">
        <v>35308</v>
      </c>
      <c r="K4233" s="213" t="s">
        <v>62595</v>
      </c>
      <c r="L4233" s="213" t="s">
        <v>62643</v>
      </c>
      <c r="M4233" s="213" t="s">
        <v>62691</v>
      </c>
      <c r="N4233" s="213" t="s">
        <v>35309</v>
      </c>
      <c r="O4233" s="213" t="s">
        <v>35310</v>
      </c>
      <c r="P4233" s="213" t="s">
        <v>35311</v>
      </c>
      <c r="Q4233" s="213" t="s">
        <v>35312</v>
      </c>
      <c r="R4233" s="213" t="s">
        <v>35313</v>
      </c>
      <c r="S4233" s="213" t="s">
        <v>35314</v>
      </c>
      <c r="T4233" s="213" t="s">
        <v>35315</v>
      </c>
      <c r="U4233" s="213" t="s">
        <v>62739</v>
      </c>
    </row>
    <row r="4234" spans="1:21" x14ac:dyDescent="0.25">
      <c r="A4234" s="213" t="s">
        <v>327</v>
      </c>
      <c r="D4234" s="213" t="s">
        <v>35316</v>
      </c>
      <c r="E4234" s="213" t="s">
        <v>35317</v>
      </c>
      <c r="K4234" s="213" t="s">
        <v>62596</v>
      </c>
      <c r="L4234" s="213" t="s">
        <v>62644</v>
      </c>
      <c r="M4234" s="213" t="s">
        <v>62692</v>
      </c>
      <c r="N4234" s="213" t="s">
        <v>35318</v>
      </c>
      <c r="O4234" s="213" t="s">
        <v>35319</v>
      </c>
      <c r="P4234" s="213" t="s">
        <v>35320</v>
      </c>
      <c r="Q4234" s="213" t="s">
        <v>35321</v>
      </c>
      <c r="R4234" s="213" t="s">
        <v>35322</v>
      </c>
      <c r="S4234" s="213" t="s">
        <v>35323</v>
      </c>
      <c r="T4234" s="213" t="s">
        <v>35324</v>
      </c>
      <c r="U4234" s="213" t="s">
        <v>62740</v>
      </c>
    </row>
    <row r="4235" spans="1:21" x14ac:dyDescent="0.25">
      <c r="A4235" s="213" t="s">
        <v>327</v>
      </c>
      <c r="D4235" s="213" t="s">
        <v>35325</v>
      </c>
      <c r="E4235" s="213" t="s">
        <v>35326</v>
      </c>
      <c r="K4235" s="213" t="s">
        <v>62597</v>
      </c>
      <c r="L4235" s="213" t="s">
        <v>62645</v>
      </c>
      <c r="M4235" s="213" t="s">
        <v>62693</v>
      </c>
      <c r="N4235" s="213" t="s">
        <v>35327</v>
      </c>
      <c r="O4235" s="213" t="s">
        <v>35328</v>
      </c>
      <c r="P4235" s="213" t="s">
        <v>35329</v>
      </c>
      <c r="Q4235" s="213" t="s">
        <v>35330</v>
      </c>
      <c r="R4235" s="213" t="s">
        <v>35331</v>
      </c>
      <c r="S4235" s="213" t="s">
        <v>35332</v>
      </c>
      <c r="T4235" s="213" t="s">
        <v>35333</v>
      </c>
      <c r="U4235" s="213" t="s">
        <v>62741</v>
      </c>
    </row>
    <row r="4236" spans="1:21" x14ac:dyDescent="0.25">
      <c r="A4236" s="213" t="s">
        <v>327</v>
      </c>
      <c r="D4236" s="213" t="s">
        <v>35334</v>
      </c>
      <c r="E4236" s="213" t="s">
        <v>35335</v>
      </c>
      <c r="K4236" s="213" t="s">
        <v>62598</v>
      </c>
      <c r="L4236" s="213" t="s">
        <v>62646</v>
      </c>
      <c r="M4236" s="213" t="s">
        <v>62694</v>
      </c>
      <c r="N4236" s="213" t="s">
        <v>35336</v>
      </c>
      <c r="O4236" s="213" t="s">
        <v>35337</v>
      </c>
      <c r="P4236" s="213" t="s">
        <v>35338</v>
      </c>
      <c r="Q4236" s="213" t="s">
        <v>35339</v>
      </c>
      <c r="R4236" s="213" t="s">
        <v>35340</v>
      </c>
      <c r="S4236" s="213" t="s">
        <v>35341</v>
      </c>
      <c r="T4236" s="213" t="s">
        <v>35342</v>
      </c>
      <c r="U4236" s="213" t="s">
        <v>62742</v>
      </c>
    </row>
    <row r="4237" spans="1:21" x14ac:dyDescent="0.25">
      <c r="A4237" s="213" t="s">
        <v>327</v>
      </c>
      <c r="D4237" s="213" t="s">
        <v>35343</v>
      </c>
      <c r="E4237" s="213" t="s">
        <v>35344</v>
      </c>
      <c r="K4237" s="213" t="s">
        <v>62599</v>
      </c>
      <c r="L4237" s="213" t="s">
        <v>62647</v>
      </c>
      <c r="M4237" s="213" t="s">
        <v>62695</v>
      </c>
      <c r="N4237" s="213" t="s">
        <v>35345</v>
      </c>
      <c r="O4237" s="213" t="s">
        <v>35346</v>
      </c>
      <c r="P4237" s="213" t="s">
        <v>35347</v>
      </c>
      <c r="Q4237" s="213" t="s">
        <v>35348</v>
      </c>
      <c r="R4237" s="213" t="s">
        <v>35349</v>
      </c>
      <c r="S4237" s="213" t="s">
        <v>35350</v>
      </c>
      <c r="T4237" s="213" t="s">
        <v>35351</v>
      </c>
      <c r="U4237" s="213" t="s">
        <v>62743</v>
      </c>
    </row>
    <row r="4238" spans="1:21" x14ac:dyDescent="0.25">
      <c r="A4238" s="213" t="s">
        <v>327</v>
      </c>
      <c r="D4238" s="213" t="s">
        <v>35352</v>
      </c>
      <c r="E4238" s="213" t="s">
        <v>35353</v>
      </c>
      <c r="K4238" s="213" t="s">
        <v>62600</v>
      </c>
      <c r="L4238" s="213" t="s">
        <v>62648</v>
      </c>
      <c r="M4238" s="213" t="s">
        <v>62696</v>
      </c>
      <c r="N4238" s="213" t="s">
        <v>35354</v>
      </c>
      <c r="O4238" s="213" t="s">
        <v>35355</v>
      </c>
      <c r="P4238" s="213" t="s">
        <v>35356</v>
      </c>
      <c r="Q4238" s="213" t="s">
        <v>35357</v>
      </c>
      <c r="R4238" s="213" t="s">
        <v>35358</v>
      </c>
      <c r="S4238" s="213" t="s">
        <v>35359</v>
      </c>
      <c r="T4238" s="213" t="s">
        <v>35360</v>
      </c>
      <c r="U4238" s="213" t="s">
        <v>62744</v>
      </c>
    </row>
    <row r="4239" spans="1:21" x14ac:dyDescent="0.25">
      <c r="A4239" s="213" t="s">
        <v>327</v>
      </c>
      <c r="D4239" s="213" t="s">
        <v>35361</v>
      </c>
      <c r="E4239" s="213" t="s">
        <v>35362</v>
      </c>
      <c r="K4239" s="213" t="s">
        <v>62601</v>
      </c>
      <c r="L4239" s="213" t="s">
        <v>62649</v>
      </c>
      <c r="M4239" s="213" t="s">
        <v>62697</v>
      </c>
      <c r="N4239" s="213" t="s">
        <v>35363</v>
      </c>
      <c r="O4239" s="213" t="s">
        <v>35364</v>
      </c>
      <c r="P4239" s="213" t="s">
        <v>35365</v>
      </c>
      <c r="Q4239" s="213" t="s">
        <v>35366</v>
      </c>
      <c r="R4239" s="213" t="s">
        <v>35367</v>
      </c>
      <c r="S4239" s="213" t="s">
        <v>35368</v>
      </c>
      <c r="T4239" s="213" t="s">
        <v>35369</v>
      </c>
      <c r="U4239" s="213" t="s">
        <v>62745</v>
      </c>
    </row>
    <row r="4240" spans="1:21" x14ac:dyDescent="0.25">
      <c r="A4240" s="213" t="s">
        <v>327</v>
      </c>
      <c r="D4240" s="213" t="s">
        <v>35370</v>
      </c>
      <c r="E4240" s="213" t="s">
        <v>35371</v>
      </c>
      <c r="K4240" s="213" t="s">
        <v>62602</v>
      </c>
      <c r="L4240" s="213" t="s">
        <v>62650</v>
      </c>
      <c r="M4240" s="213" t="s">
        <v>62698</v>
      </c>
      <c r="N4240" s="213" t="s">
        <v>35372</v>
      </c>
      <c r="O4240" s="213" t="s">
        <v>35373</v>
      </c>
      <c r="P4240" s="213" t="s">
        <v>35374</v>
      </c>
      <c r="Q4240" s="213" t="s">
        <v>35375</v>
      </c>
      <c r="R4240" s="213" t="s">
        <v>35376</v>
      </c>
      <c r="S4240" s="213" t="s">
        <v>35377</v>
      </c>
      <c r="T4240" s="213" t="s">
        <v>35378</v>
      </c>
      <c r="U4240" s="213" t="s">
        <v>62746</v>
      </c>
    </row>
    <row r="4241" spans="1:21" x14ac:dyDescent="0.25">
      <c r="A4241" s="213" t="s">
        <v>327</v>
      </c>
      <c r="D4241" s="213" t="s">
        <v>35379</v>
      </c>
      <c r="E4241" s="213" t="s">
        <v>35380</v>
      </c>
      <c r="K4241" s="213" t="s">
        <v>62603</v>
      </c>
      <c r="L4241" s="213" t="s">
        <v>62651</v>
      </c>
      <c r="M4241" s="213" t="s">
        <v>62699</v>
      </c>
      <c r="N4241" s="213" t="s">
        <v>35381</v>
      </c>
      <c r="O4241" s="213" t="s">
        <v>35382</v>
      </c>
      <c r="P4241" s="213" t="s">
        <v>35383</v>
      </c>
      <c r="Q4241" s="213" t="s">
        <v>35384</v>
      </c>
      <c r="R4241" s="213" t="s">
        <v>35385</v>
      </c>
      <c r="S4241" s="213" t="s">
        <v>35386</v>
      </c>
      <c r="T4241" s="213" t="s">
        <v>35387</v>
      </c>
      <c r="U4241" s="213" t="s">
        <v>62747</v>
      </c>
    </row>
    <row r="4242" spans="1:21" x14ac:dyDescent="0.25">
      <c r="A4242" s="213" t="s">
        <v>327</v>
      </c>
      <c r="D4242" s="213" t="s">
        <v>35388</v>
      </c>
      <c r="E4242" s="213" t="s">
        <v>35389</v>
      </c>
      <c r="K4242" s="213" t="s">
        <v>62604</v>
      </c>
      <c r="L4242" s="213" t="s">
        <v>62652</v>
      </c>
      <c r="M4242" s="213" t="s">
        <v>62700</v>
      </c>
      <c r="N4242" s="213" t="s">
        <v>35390</v>
      </c>
      <c r="O4242" s="213" t="s">
        <v>35391</v>
      </c>
      <c r="P4242" s="213" t="s">
        <v>35392</v>
      </c>
      <c r="Q4242" s="213" t="s">
        <v>35393</v>
      </c>
      <c r="R4242" s="213" t="s">
        <v>35394</v>
      </c>
      <c r="S4242" s="213" t="s">
        <v>35395</v>
      </c>
      <c r="T4242" s="213" t="s">
        <v>35396</v>
      </c>
      <c r="U4242" s="213" t="s">
        <v>62748</v>
      </c>
    </row>
    <row r="4243" spans="1:21" x14ac:dyDescent="0.25">
      <c r="A4243" s="213" t="s">
        <v>327</v>
      </c>
      <c r="D4243" s="213" t="s">
        <v>35397</v>
      </c>
      <c r="E4243" s="213" t="s">
        <v>35398</v>
      </c>
      <c r="K4243" s="213" t="s">
        <v>62605</v>
      </c>
      <c r="L4243" s="213" t="s">
        <v>62653</v>
      </c>
      <c r="M4243" s="213" t="s">
        <v>62701</v>
      </c>
      <c r="N4243" s="213" t="s">
        <v>35399</v>
      </c>
      <c r="O4243" s="213" t="s">
        <v>35400</v>
      </c>
      <c r="P4243" s="213" t="s">
        <v>35401</v>
      </c>
      <c r="Q4243" s="213" t="s">
        <v>35402</v>
      </c>
      <c r="R4243" s="213" t="s">
        <v>35403</v>
      </c>
      <c r="S4243" s="213" t="s">
        <v>35404</v>
      </c>
      <c r="T4243" s="213" t="s">
        <v>35405</v>
      </c>
      <c r="U4243" s="213" t="s">
        <v>62749</v>
      </c>
    </row>
    <row r="4244" spans="1:21" x14ac:dyDescent="0.25">
      <c r="A4244" s="213" t="s">
        <v>327</v>
      </c>
      <c r="D4244" s="213" t="s">
        <v>35406</v>
      </c>
      <c r="E4244" s="213" t="s">
        <v>35407</v>
      </c>
      <c r="K4244" s="213" t="s">
        <v>62606</v>
      </c>
      <c r="L4244" s="213" t="s">
        <v>62654</v>
      </c>
      <c r="M4244" s="213" t="s">
        <v>62702</v>
      </c>
      <c r="N4244" s="213" t="s">
        <v>35408</v>
      </c>
      <c r="O4244" s="213" t="s">
        <v>35409</v>
      </c>
      <c r="P4244" s="213" t="s">
        <v>35410</v>
      </c>
      <c r="Q4244" s="213" t="s">
        <v>35411</v>
      </c>
      <c r="R4244" s="213" t="s">
        <v>35412</v>
      </c>
      <c r="S4244" s="213" t="s">
        <v>35413</v>
      </c>
      <c r="T4244" s="213" t="s">
        <v>35414</v>
      </c>
      <c r="U4244" s="213" t="s">
        <v>62750</v>
      </c>
    </row>
    <row r="4245" spans="1:21" x14ac:dyDescent="0.25">
      <c r="A4245" s="213" t="s">
        <v>327</v>
      </c>
      <c r="D4245" s="213" t="s">
        <v>35415</v>
      </c>
      <c r="E4245" s="213" t="s">
        <v>35416</v>
      </c>
      <c r="K4245" s="213" t="s">
        <v>62607</v>
      </c>
      <c r="L4245" s="213" t="s">
        <v>62655</v>
      </c>
      <c r="M4245" s="213" t="s">
        <v>62703</v>
      </c>
      <c r="N4245" s="213" t="s">
        <v>35417</v>
      </c>
      <c r="O4245" s="213" t="s">
        <v>35418</v>
      </c>
      <c r="P4245" s="213" t="s">
        <v>35419</v>
      </c>
      <c r="Q4245" s="213" t="s">
        <v>35420</v>
      </c>
      <c r="R4245" s="213" t="s">
        <v>35421</v>
      </c>
      <c r="S4245" s="213" t="s">
        <v>35422</v>
      </c>
      <c r="T4245" s="213" t="s">
        <v>35423</v>
      </c>
      <c r="U4245" s="213" t="s">
        <v>62751</v>
      </c>
    </row>
    <row r="4246" spans="1:21" x14ac:dyDescent="0.25">
      <c r="A4246" s="213" t="s">
        <v>327</v>
      </c>
      <c r="D4246" s="213" t="s">
        <v>35424</v>
      </c>
      <c r="E4246" s="213" t="s">
        <v>35425</v>
      </c>
      <c r="K4246" s="213" t="s">
        <v>62608</v>
      </c>
      <c r="L4246" s="213" t="s">
        <v>62656</v>
      </c>
      <c r="M4246" s="213" t="s">
        <v>62704</v>
      </c>
      <c r="N4246" s="213" t="s">
        <v>35426</v>
      </c>
      <c r="O4246" s="213" t="s">
        <v>35427</v>
      </c>
      <c r="P4246" s="213" t="s">
        <v>35428</v>
      </c>
      <c r="Q4246" s="213" t="s">
        <v>35429</v>
      </c>
      <c r="R4246" s="213" t="s">
        <v>35430</v>
      </c>
      <c r="S4246" s="213" t="s">
        <v>35431</v>
      </c>
      <c r="T4246" s="213" t="s">
        <v>35432</v>
      </c>
      <c r="U4246" s="213" t="s">
        <v>62752</v>
      </c>
    </row>
    <row r="4247" spans="1:21" x14ac:dyDescent="0.25">
      <c r="A4247" s="213" t="s">
        <v>327</v>
      </c>
      <c r="D4247" s="213" t="s">
        <v>35433</v>
      </c>
      <c r="E4247" s="213" t="s">
        <v>35434</v>
      </c>
      <c r="K4247" s="213" t="s">
        <v>62609</v>
      </c>
      <c r="L4247" s="213" t="s">
        <v>62657</v>
      </c>
      <c r="M4247" s="213" t="s">
        <v>62705</v>
      </c>
      <c r="N4247" s="213" t="s">
        <v>35435</v>
      </c>
      <c r="O4247" s="213" t="s">
        <v>35436</v>
      </c>
      <c r="P4247" s="213" t="s">
        <v>35437</v>
      </c>
      <c r="Q4247" s="213" t="s">
        <v>35438</v>
      </c>
      <c r="R4247" s="213" t="s">
        <v>35439</v>
      </c>
      <c r="S4247" s="213" t="s">
        <v>35440</v>
      </c>
      <c r="T4247" s="213" t="s">
        <v>35441</v>
      </c>
      <c r="U4247" s="213" t="s">
        <v>62753</v>
      </c>
    </row>
    <row r="4248" spans="1:21" x14ac:dyDescent="0.25">
      <c r="A4248" s="213" t="s">
        <v>327</v>
      </c>
      <c r="D4248" s="213" t="s">
        <v>35442</v>
      </c>
      <c r="E4248" s="213" t="s">
        <v>35443</v>
      </c>
      <c r="K4248" s="213" t="s">
        <v>62610</v>
      </c>
      <c r="L4248" s="213" t="s">
        <v>62658</v>
      </c>
      <c r="M4248" s="213" t="s">
        <v>62706</v>
      </c>
      <c r="N4248" s="213" t="s">
        <v>35444</v>
      </c>
      <c r="O4248" s="213" t="s">
        <v>35445</v>
      </c>
      <c r="P4248" s="213" t="s">
        <v>35446</v>
      </c>
      <c r="Q4248" s="213" t="s">
        <v>35447</v>
      </c>
      <c r="R4248" s="213" t="s">
        <v>35448</v>
      </c>
      <c r="S4248" s="213" t="s">
        <v>35449</v>
      </c>
      <c r="T4248" s="213" t="s">
        <v>35450</v>
      </c>
      <c r="U4248" s="213" t="s">
        <v>62754</v>
      </c>
    </row>
    <row r="4249" spans="1:21" x14ac:dyDescent="0.25">
      <c r="A4249" s="213" t="s">
        <v>327</v>
      </c>
      <c r="D4249" s="213" t="s">
        <v>35451</v>
      </c>
      <c r="E4249" s="213" t="s">
        <v>35452</v>
      </c>
      <c r="K4249" s="213" t="s">
        <v>62611</v>
      </c>
      <c r="L4249" s="213" t="s">
        <v>62659</v>
      </c>
      <c r="M4249" s="213" t="s">
        <v>62707</v>
      </c>
      <c r="N4249" s="213" t="s">
        <v>35453</v>
      </c>
      <c r="O4249" s="213" t="s">
        <v>35454</v>
      </c>
      <c r="P4249" s="213" t="s">
        <v>35455</v>
      </c>
      <c r="Q4249" s="213" t="s">
        <v>35456</v>
      </c>
      <c r="R4249" s="213" t="s">
        <v>35457</v>
      </c>
      <c r="S4249" s="213" t="s">
        <v>35458</v>
      </c>
      <c r="T4249" s="213" t="s">
        <v>35459</v>
      </c>
      <c r="U4249" s="213" t="s">
        <v>62755</v>
      </c>
    </row>
    <row r="4250" spans="1:21" x14ac:dyDescent="0.25">
      <c r="A4250" s="213" t="s">
        <v>327</v>
      </c>
      <c r="D4250" s="213" t="s">
        <v>35460</v>
      </c>
      <c r="E4250" s="213" t="s">
        <v>35461</v>
      </c>
      <c r="K4250" s="213" t="s">
        <v>62612</v>
      </c>
      <c r="L4250" s="213" t="s">
        <v>62660</v>
      </c>
      <c r="M4250" s="213" t="s">
        <v>62708</v>
      </c>
      <c r="N4250" s="213" t="s">
        <v>35462</v>
      </c>
      <c r="O4250" s="213" t="s">
        <v>35463</v>
      </c>
      <c r="P4250" s="213" t="s">
        <v>35464</v>
      </c>
      <c r="Q4250" s="213" t="s">
        <v>35465</v>
      </c>
      <c r="R4250" s="213" t="s">
        <v>35466</v>
      </c>
      <c r="S4250" s="213" t="s">
        <v>35467</v>
      </c>
      <c r="T4250" s="213" t="s">
        <v>35468</v>
      </c>
      <c r="U4250" s="213" t="s">
        <v>62756</v>
      </c>
    </row>
    <row r="4251" spans="1:21" x14ac:dyDescent="0.25">
      <c r="A4251" s="213" t="s">
        <v>327</v>
      </c>
      <c r="D4251" s="213" t="s">
        <v>35469</v>
      </c>
      <c r="E4251" s="213" t="s">
        <v>35470</v>
      </c>
      <c r="K4251" s="213" t="s">
        <v>62613</v>
      </c>
      <c r="L4251" s="213" t="s">
        <v>62661</v>
      </c>
      <c r="M4251" s="213" t="s">
        <v>62709</v>
      </c>
      <c r="N4251" s="213" t="s">
        <v>35471</v>
      </c>
      <c r="O4251" s="213" t="s">
        <v>35472</v>
      </c>
      <c r="P4251" s="213" t="s">
        <v>35473</v>
      </c>
      <c r="Q4251" s="213" t="s">
        <v>35474</v>
      </c>
      <c r="R4251" s="213" t="s">
        <v>35475</v>
      </c>
      <c r="S4251" s="213" t="s">
        <v>35476</v>
      </c>
      <c r="T4251" s="213" t="s">
        <v>35477</v>
      </c>
      <c r="U4251" s="213" t="s">
        <v>62757</v>
      </c>
    </row>
    <row r="4252" spans="1:21" x14ac:dyDescent="0.25">
      <c r="A4252" s="213" t="s">
        <v>327</v>
      </c>
      <c r="D4252" s="213" t="s">
        <v>35478</v>
      </c>
      <c r="E4252" s="213" t="s">
        <v>35479</v>
      </c>
      <c r="K4252" s="213" t="s">
        <v>62614</v>
      </c>
      <c r="L4252" s="213" t="s">
        <v>62662</v>
      </c>
      <c r="M4252" s="213" t="s">
        <v>62710</v>
      </c>
      <c r="N4252" s="213" t="s">
        <v>35480</v>
      </c>
      <c r="O4252" s="213" t="s">
        <v>35481</v>
      </c>
      <c r="P4252" s="213" t="s">
        <v>35482</v>
      </c>
      <c r="Q4252" s="213" t="s">
        <v>35483</v>
      </c>
      <c r="R4252" s="213" t="s">
        <v>35484</v>
      </c>
      <c r="S4252" s="213" t="s">
        <v>35485</v>
      </c>
      <c r="T4252" s="213" t="s">
        <v>35486</v>
      </c>
      <c r="U4252" s="213" t="s">
        <v>62758</v>
      </c>
    </row>
    <row r="4253" spans="1:21" x14ac:dyDescent="0.25">
      <c r="A4253" s="213" t="s">
        <v>327</v>
      </c>
      <c r="D4253" s="213" t="s">
        <v>35487</v>
      </c>
      <c r="E4253" s="213" t="s">
        <v>35488</v>
      </c>
      <c r="K4253" s="213" t="s">
        <v>62615</v>
      </c>
      <c r="L4253" s="213" t="s">
        <v>62663</v>
      </c>
      <c r="M4253" s="213" t="s">
        <v>62711</v>
      </c>
      <c r="N4253" s="213" t="s">
        <v>35489</v>
      </c>
      <c r="O4253" s="213" t="s">
        <v>35490</v>
      </c>
      <c r="P4253" s="213" t="s">
        <v>35491</v>
      </c>
      <c r="Q4253" s="213" t="s">
        <v>35492</v>
      </c>
      <c r="R4253" s="213" t="s">
        <v>35493</v>
      </c>
      <c r="S4253" s="213" t="s">
        <v>35494</v>
      </c>
      <c r="T4253" s="213" t="s">
        <v>35495</v>
      </c>
      <c r="U4253" s="213" t="s">
        <v>62759</v>
      </c>
    </row>
    <row r="4254" spans="1:21" x14ac:dyDescent="0.25">
      <c r="A4254" s="213" t="s">
        <v>327</v>
      </c>
      <c r="D4254" s="213" t="s">
        <v>35496</v>
      </c>
      <c r="E4254" s="213" t="s">
        <v>35497</v>
      </c>
      <c r="K4254" s="213" t="s">
        <v>62616</v>
      </c>
      <c r="L4254" s="213" t="s">
        <v>62664</v>
      </c>
      <c r="M4254" s="213" t="s">
        <v>62712</v>
      </c>
      <c r="N4254" s="213" t="s">
        <v>35498</v>
      </c>
      <c r="O4254" s="213" t="s">
        <v>35499</v>
      </c>
      <c r="P4254" s="213" t="s">
        <v>35500</v>
      </c>
      <c r="Q4254" s="213" t="s">
        <v>35501</v>
      </c>
      <c r="R4254" s="213" t="s">
        <v>35502</v>
      </c>
      <c r="S4254" s="213" t="s">
        <v>35503</v>
      </c>
      <c r="T4254" s="213" t="s">
        <v>35504</v>
      </c>
      <c r="U4254" s="213" t="s">
        <v>62760</v>
      </c>
    </row>
    <row r="4255" spans="1:21" x14ac:dyDescent="0.25">
      <c r="A4255" s="213" t="s">
        <v>327</v>
      </c>
      <c r="D4255" s="213" t="s">
        <v>35505</v>
      </c>
      <c r="E4255" s="213" t="s">
        <v>35506</v>
      </c>
      <c r="K4255" s="213" t="s">
        <v>62617</v>
      </c>
      <c r="L4255" s="213" t="s">
        <v>62665</v>
      </c>
      <c r="M4255" s="213" t="s">
        <v>62713</v>
      </c>
      <c r="N4255" s="213" t="s">
        <v>35507</v>
      </c>
      <c r="O4255" s="213" t="s">
        <v>35508</v>
      </c>
      <c r="P4255" s="213" t="s">
        <v>35509</v>
      </c>
      <c r="Q4255" s="213" t="s">
        <v>35510</v>
      </c>
      <c r="R4255" s="213" t="s">
        <v>35511</v>
      </c>
      <c r="S4255" s="213" t="s">
        <v>35512</v>
      </c>
      <c r="T4255" s="213" t="s">
        <v>35513</v>
      </c>
      <c r="U4255" s="213" t="s">
        <v>62761</v>
      </c>
    </row>
    <row r="4256" spans="1:21" x14ac:dyDescent="0.25">
      <c r="A4256" s="213" t="s">
        <v>327</v>
      </c>
      <c r="D4256" s="213" t="s">
        <v>35514</v>
      </c>
      <c r="E4256" s="213" t="s">
        <v>35515</v>
      </c>
      <c r="K4256" s="213" t="s">
        <v>62618</v>
      </c>
      <c r="L4256" s="213" t="s">
        <v>62666</v>
      </c>
      <c r="M4256" s="213" t="s">
        <v>62714</v>
      </c>
      <c r="N4256" s="213" t="s">
        <v>35516</v>
      </c>
      <c r="O4256" s="213" t="s">
        <v>35517</v>
      </c>
      <c r="P4256" s="213" t="s">
        <v>35518</v>
      </c>
      <c r="Q4256" s="213" t="s">
        <v>35519</v>
      </c>
      <c r="R4256" s="213" t="s">
        <v>35520</v>
      </c>
      <c r="S4256" s="213" t="s">
        <v>35521</v>
      </c>
      <c r="T4256" s="213" t="s">
        <v>35522</v>
      </c>
      <c r="U4256" s="213" t="s">
        <v>62762</v>
      </c>
    </row>
    <row r="4257" spans="1:21" x14ac:dyDescent="0.25">
      <c r="A4257" s="213" t="s">
        <v>327</v>
      </c>
      <c r="D4257" s="213" t="s">
        <v>35523</v>
      </c>
      <c r="E4257" s="213" t="s">
        <v>35524</v>
      </c>
      <c r="K4257" s="213" t="s">
        <v>62619</v>
      </c>
      <c r="L4257" s="213" t="s">
        <v>62667</v>
      </c>
      <c r="M4257" s="213" t="s">
        <v>62715</v>
      </c>
      <c r="N4257" s="213" t="s">
        <v>35525</v>
      </c>
      <c r="O4257" s="213" t="s">
        <v>35526</v>
      </c>
      <c r="P4257" s="213" t="s">
        <v>35527</v>
      </c>
      <c r="Q4257" s="213" t="s">
        <v>35528</v>
      </c>
      <c r="R4257" s="213" t="s">
        <v>35529</v>
      </c>
      <c r="S4257" s="213" t="s">
        <v>35530</v>
      </c>
      <c r="T4257" s="213" t="s">
        <v>35531</v>
      </c>
      <c r="U4257" s="213" t="s">
        <v>62763</v>
      </c>
    </row>
    <row r="4258" spans="1:21" x14ac:dyDescent="0.25">
      <c r="A4258" s="213" t="s">
        <v>327</v>
      </c>
      <c r="D4258" s="213" t="s">
        <v>35532</v>
      </c>
      <c r="E4258" s="213" t="s">
        <v>35533</v>
      </c>
      <c r="K4258" s="213" t="s">
        <v>62620</v>
      </c>
      <c r="L4258" s="213" t="s">
        <v>62668</v>
      </c>
      <c r="M4258" s="213" t="s">
        <v>62716</v>
      </c>
      <c r="N4258" s="213" t="s">
        <v>35534</v>
      </c>
      <c r="O4258" s="213" t="s">
        <v>35535</v>
      </c>
      <c r="P4258" s="213" t="s">
        <v>35536</v>
      </c>
      <c r="Q4258" s="213" t="s">
        <v>35537</v>
      </c>
      <c r="R4258" s="213" t="s">
        <v>35538</v>
      </c>
      <c r="S4258" s="213" t="s">
        <v>35539</v>
      </c>
      <c r="T4258" s="213" t="s">
        <v>35540</v>
      </c>
      <c r="U4258" s="213" t="s">
        <v>62764</v>
      </c>
    </row>
    <row r="4259" spans="1:21" x14ac:dyDescent="0.25">
      <c r="A4259" s="213" t="s">
        <v>327</v>
      </c>
      <c r="D4259" s="213" t="s">
        <v>35541</v>
      </c>
      <c r="E4259" s="213" t="s">
        <v>35542</v>
      </c>
      <c r="K4259" s="213" t="s">
        <v>62621</v>
      </c>
      <c r="L4259" s="213" t="s">
        <v>62669</v>
      </c>
      <c r="M4259" s="213" t="s">
        <v>62717</v>
      </c>
      <c r="N4259" s="213" t="s">
        <v>35543</v>
      </c>
      <c r="O4259" s="213" t="s">
        <v>35544</v>
      </c>
      <c r="P4259" s="213" t="s">
        <v>35545</v>
      </c>
      <c r="Q4259" s="213" t="s">
        <v>35546</v>
      </c>
      <c r="R4259" s="213" t="s">
        <v>35547</v>
      </c>
      <c r="S4259" s="213" t="s">
        <v>35548</v>
      </c>
      <c r="T4259" s="213" t="s">
        <v>35549</v>
      </c>
      <c r="U4259" s="213" t="s">
        <v>62765</v>
      </c>
    </row>
    <row r="4260" spans="1:21" x14ac:dyDescent="0.25">
      <c r="A4260" s="213" t="s">
        <v>327</v>
      </c>
      <c r="D4260" s="213" t="s">
        <v>35550</v>
      </c>
      <c r="E4260" s="213" t="s">
        <v>35551</v>
      </c>
      <c r="K4260" s="213" t="s">
        <v>62622</v>
      </c>
      <c r="L4260" s="213" t="s">
        <v>62670</v>
      </c>
      <c r="M4260" s="213" t="s">
        <v>62718</v>
      </c>
      <c r="N4260" s="213" t="s">
        <v>35552</v>
      </c>
      <c r="O4260" s="213" t="s">
        <v>35553</v>
      </c>
      <c r="P4260" s="213" t="s">
        <v>35554</v>
      </c>
      <c r="Q4260" s="213" t="s">
        <v>35555</v>
      </c>
      <c r="R4260" s="213" t="s">
        <v>35556</v>
      </c>
      <c r="S4260" s="213" t="s">
        <v>35557</v>
      </c>
      <c r="T4260" s="213" t="s">
        <v>35558</v>
      </c>
      <c r="U4260" s="213" t="s">
        <v>62766</v>
      </c>
    </row>
    <row r="4261" spans="1:21" x14ac:dyDescent="0.25">
      <c r="A4261" s="213" t="s">
        <v>327</v>
      </c>
      <c r="D4261" s="213" t="s">
        <v>35559</v>
      </c>
      <c r="E4261" s="213" t="s">
        <v>35560</v>
      </c>
      <c r="K4261" s="213" t="s">
        <v>62623</v>
      </c>
      <c r="L4261" s="213" t="s">
        <v>62671</v>
      </c>
      <c r="M4261" s="213" t="s">
        <v>62719</v>
      </c>
      <c r="N4261" s="213" t="s">
        <v>35561</v>
      </c>
      <c r="O4261" s="213" t="s">
        <v>35562</v>
      </c>
      <c r="P4261" s="213" t="s">
        <v>35563</v>
      </c>
      <c r="Q4261" s="213" t="s">
        <v>35564</v>
      </c>
      <c r="R4261" s="213" t="s">
        <v>35565</v>
      </c>
      <c r="S4261" s="213" t="s">
        <v>35566</v>
      </c>
      <c r="T4261" s="213" t="s">
        <v>35567</v>
      </c>
      <c r="U4261" s="213" t="s">
        <v>62767</v>
      </c>
    </row>
    <row r="4262" spans="1:21" x14ac:dyDescent="0.25">
      <c r="A4262" s="213" t="s">
        <v>327</v>
      </c>
      <c r="D4262" s="213" t="s">
        <v>35568</v>
      </c>
      <c r="E4262" s="213" t="s">
        <v>35569</v>
      </c>
      <c r="K4262" s="213" t="s">
        <v>62624</v>
      </c>
      <c r="L4262" s="213" t="s">
        <v>62672</v>
      </c>
      <c r="M4262" s="213" t="s">
        <v>62720</v>
      </c>
      <c r="N4262" s="213" t="s">
        <v>35570</v>
      </c>
      <c r="O4262" s="213" t="s">
        <v>35571</v>
      </c>
      <c r="P4262" s="213" t="s">
        <v>35572</v>
      </c>
      <c r="Q4262" s="213" t="s">
        <v>35573</v>
      </c>
      <c r="R4262" s="213" t="s">
        <v>35574</v>
      </c>
      <c r="S4262" s="213" t="s">
        <v>35575</v>
      </c>
      <c r="T4262" s="213" t="s">
        <v>35576</v>
      </c>
      <c r="U4262" s="213" t="s">
        <v>62768</v>
      </c>
    </row>
    <row r="4263" spans="1:21" x14ac:dyDescent="0.25">
      <c r="A4263" s="213" t="s">
        <v>327</v>
      </c>
      <c r="D4263" s="213" t="s">
        <v>35577</v>
      </c>
      <c r="E4263" s="213" t="s">
        <v>35578</v>
      </c>
      <c r="K4263" s="213" t="s">
        <v>62625</v>
      </c>
      <c r="L4263" s="213" t="s">
        <v>62673</v>
      </c>
      <c r="M4263" s="213" t="s">
        <v>62721</v>
      </c>
      <c r="N4263" s="213" t="s">
        <v>35579</v>
      </c>
      <c r="O4263" s="213" t="s">
        <v>35580</v>
      </c>
      <c r="P4263" s="213" t="s">
        <v>35581</v>
      </c>
      <c r="Q4263" s="213" t="s">
        <v>35582</v>
      </c>
      <c r="R4263" s="213" t="s">
        <v>35583</v>
      </c>
      <c r="S4263" s="213" t="s">
        <v>35584</v>
      </c>
      <c r="T4263" s="213" t="s">
        <v>35585</v>
      </c>
      <c r="U4263" s="213" t="s">
        <v>62769</v>
      </c>
    </row>
    <row r="4264" spans="1:21" x14ac:dyDescent="0.25">
      <c r="A4264" s="213" t="s">
        <v>327</v>
      </c>
    </row>
    <row r="4265" spans="1:21" x14ac:dyDescent="0.25">
      <c r="A4265" s="213" t="s">
        <v>327</v>
      </c>
    </row>
    <row r="4266" spans="1:21" x14ac:dyDescent="0.25">
      <c r="A4266" s="213" t="s">
        <v>327</v>
      </c>
      <c r="C4266" s="213" t="s">
        <v>35586</v>
      </c>
      <c r="E4266" s="213" t="s">
        <v>35587</v>
      </c>
      <c r="H4266" s="213" t="s">
        <v>35588</v>
      </c>
      <c r="I4266" s="213" t="s">
        <v>35589</v>
      </c>
      <c r="J4266" s="213" t="s">
        <v>35590</v>
      </c>
      <c r="L4266" s="213" t="s">
        <v>35591</v>
      </c>
      <c r="O4266" s="213" t="s">
        <v>35592</v>
      </c>
      <c r="P4266" s="213" t="s">
        <v>35593</v>
      </c>
      <c r="Q4266" s="213" t="s">
        <v>35594</v>
      </c>
      <c r="R4266" s="213" t="s">
        <v>35595</v>
      </c>
      <c r="S4266" s="213" t="s">
        <v>35596</v>
      </c>
      <c r="T4266" s="213" t="s">
        <v>35597</v>
      </c>
    </row>
    <row r="4267" spans="1:21" x14ac:dyDescent="0.25">
      <c r="A4267" s="213" t="s">
        <v>327</v>
      </c>
      <c r="C4267" s="213" t="s">
        <v>35598</v>
      </c>
      <c r="E4267" s="213" t="s">
        <v>35599</v>
      </c>
      <c r="I4267" s="213" t="s">
        <v>35600</v>
      </c>
    </row>
    <row r="4268" spans="1:21" x14ac:dyDescent="0.25">
      <c r="A4268" s="213" t="s">
        <v>327</v>
      </c>
      <c r="C4268" s="213" t="s">
        <v>35601</v>
      </c>
      <c r="E4268" s="213" t="s">
        <v>35602</v>
      </c>
      <c r="I4268" s="213" t="s">
        <v>35603</v>
      </c>
    </row>
    <row r="4269" spans="1:21" x14ac:dyDescent="0.25">
      <c r="A4269" s="213" t="s">
        <v>328</v>
      </c>
    </row>
    <row r="4270" spans="1:21" x14ac:dyDescent="0.25">
      <c r="A4270" s="213" t="s">
        <v>327</v>
      </c>
      <c r="D4270" s="213" t="s">
        <v>35604</v>
      </c>
      <c r="E4270" s="213" t="s">
        <v>35605</v>
      </c>
      <c r="K4270" s="213" t="s">
        <v>62338</v>
      </c>
      <c r="L4270" s="213" t="s">
        <v>62398</v>
      </c>
      <c r="M4270" s="213" t="s">
        <v>62458</v>
      </c>
      <c r="N4270" s="213" t="s">
        <v>35606</v>
      </c>
      <c r="O4270" s="213" t="s">
        <v>35607</v>
      </c>
      <c r="P4270" s="213" t="s">
        <v>35608</v>
      </c>
      <c r="Q4270" s="213" t="s">
        <v>35609</v>
      </c>
      <c r="R4270" s="213" t="s">
        <v>35610</v>
      </c>
      <c r="S4270" s="213" t="s">
        <v>35611</v>
      </c>
      <c r="T4270" s="213" t="s">
        <v>35612</v>
      </c>
      <c r="U4270" s="213" t="s">
        <v>62518</v>
      </c>
    </row>
    <row r="4271" spans="1:21" x14ac:dyDescent="0.25">
      <c r="A4271" s="213" t="s">
        <v>327</v>
      </c>
      <c r="D4271" s="213" t="s">
        <v>35613</v>
      </c>
      <c r="E4271" s="213" t="s">
        <v>35614</v>
      </c>
      <c r="K4271" s="213" t="s">
        <v>62339</v>
      </c>
      <c r="L4271" s="213" t="s">
        <v>62399</v>
      </c>
      <c r="M4271" s="213" t="s">
        <v>62459</v>
      </c>
      <c r="N4271" s="213" t="s">
        <v>35615</v>
      </c>
      <c r="O4271" s="213" t="s">
        <v>35616</v>
      </c>
      <c r="P4271" s="213" t="s">
        <v>35617</v>
      </c>
      <c r="Q4271" s="213" t="s">
        <v>35618</v>
      </c>
      <c r="R4271" s="213" t="s">
        <v>35619</v>
      </c>
      <c r="S4271" s="213" t="s">
        <v>35620</v>
      </c>
      <c r="T4271" s="213" t="s">
        <v>35621</v>
      </c>
      <c r="U4271" s="213" t="s">
        <v>62519</v>
      </c>
    </row>
    <row r="4272" spans="1:21" x14ac:dyDescent="0.25">
      <c r="A4272" s="213" t="s">
        <v>327</v>
      </c>
      <c r="D4272" s="213" t="s">
        <v>35622</v>
      </c>
      <c r="E4272" s="213" t="s">
        <v>35623</v>
      </c>
      <c r="K4272" s="213" t="s">
        <v>62340</v>
      </c>
      <c r="L4272" s="213" t="s">
        <v>62400</v>
      </c>
      <c r="M4272" s="213" t="s">
        <v>62460</v>
      </c>
      <c r="N4272" s="213" t="s">
        <v>35624</v>
      </c>
      <c r="O4272" s="213" t="s">
        <v>35625</v>
      </c>
      <c r="P4272" s="213" t="s">
        <v>35626</v>
      </c>
      <c r="Q4272" s="213" t="s">
        <v>35627</v>
      </c>
      <c r="R4272" s="213" t="s">
        <v>35628</v>
      </c>
      <c r="S4272" s="213" t="s">
        <v>35629</v>
      </c>
      <c r="T4272" s="213" t="s">
        <v>35630</v>
      </c>
      <c r="U4272" s="213" t="s">
        <v>62520</v>
      </c>
    </row>
    <row r="4273" spans="1:21" x14ac:dyDescent="0.25">
      <c r="A4273" s="213" t="s">
        <v>327</v>
      </c>
      <c r="D4273" s="213" t="s">
        <v>35631</v>
      </c>
      <c r="E4273" s="213" t="s">
        <v>35632</v>
      </c>
      <c r="K4273" s="213" t="s">
        <v>62341</v>
      </c>
      <c r="L4273" s="213" t="s">
        <v>62401</v>
      </c>
      <c r="M4273" s="213" t="s">
        <v>62461</v>
      </c>
      <c r="N4273" s="213" t="s">
        <v>35633</v>
      </c>
      <c r="O4273" s="213" t="s">
        <v>35634</v>
      </c>
      <c r="P4273" s="213" t="s">
        <v>35635</v>
      </c>
      <c r="Q4273" s="213" t="s">
        <v>35636</v>
      </c>
      <c r="R4273" s="213" t="s">
        <v>35637</v>
      </c>
      <c r="S4273" s="213" t="s">
        <v>35638</v>
      </c>
      <c r="T4273" s="213" t="s">
        <v>35639</v>
      </c>
      <c r="U4273" s="213" t="s">
        <v>62521</v>
      </c>
    </row>
    <row r="4274" spans="1:21" x14ac:dyDescent="0.25">
      <c r="A4274" s="213" t="s">
        <v>327</v>
      </c>
      <c r="D4274" s="213" t="s">
        <v>35640</v>
      </c>
      <c r="E4274" s="213" t="s">
        <v>35641</v>
      </c>
      <c r="K4274" s="213" t="s">
        <v>62342</v>
      </c>
      <c r="L4274" s="213" t="s">
        <v>62402</v>
      </c>
      <c r="M4274" s="213" t="s">
        <v>62462</v>
      </c>
      <c r="N4274" s="213" t="s">
        <v>35642</v>
      </c>
      <c r="O4274" s="213" t="s">
        <v>35643</v>
      </c>
      <c r="P4274" s="213" t="s">
        <v>35644</v>
      </c>
      <c r="Q4274" s="213" t="s">
        <v>35645</v>
      </c>
      <c r="R4274" s="213" t="s">
        <v>35646</v>
      </c>
      <c r="S4274" s="213" t="s">
        <v>35647</v>
      </c>
      <c r="T4274" s="213" t="s">
        <v>35648</v>
      </c>
      <c r="U4274" s="213" t="s">
        <v>62522</v>
      </c>
    </row>
    <row r="4275" spans="1:21" x14ac:dyDescent="0.25">
      <c r="A4275" s="213" t="s">
        <v>327</v>
      </c>
      <c r="D4275" s="213" t="s">
        <v>35649</v>
      </c>
      <c r="E4275" s="213" t="s">
        <v>35650</v>
      </c>
      <c r="K4275" s="213" t="s">
        <v>62343</v>
      </c>
      <c r="L4275" s="213" t="s">
        <v>62403</v>
      </c>
      <c r="M4275" s="213" t="s">
        <v>62463</v>
      </c>
      <c r="N4275" s="213" t="s">
        <v>35651</v>
      </c>
      <c r="O4275" s="213" t="s">
        <v>35652</v>
      </c>
      <c r="P4275" s="213" t="s">
        <v>35653</v>
      </c>
      <c r="Q4275" s="213" t="s">
        <v>35654</v>
      </c>
      <c r="R4275" s="213" t="s">
        <v>35655</v>
      </c>
      <c r="S4275" s="213" t="s">
        <v>35656</v>
      </c>
      <c r="T4275" s="213" t="s">
        <v>35657</v>
      </c>
      <c r="U4275" s="213" t="s">
        <v>62523</v>
      </c>
    </row>
    <row r="4276" spans="1:21" x14ac:dyDescent="0.25">
      <c r="A4276" s="213" t="s">
        <v>327</v>
      </c>
      <c r="D4276" s="213" t="s">
        <v>35658</v>
      </c>
      <c r="E4276" s="213" t="s">
        <v>35659</v>
      </c>
      <c r="K4276" s="213" t="s">
        <v>62344</v>
      </c>
      <c r="L4276" s="213" t="s">
        <v>62404</v>
      </c>
      <c r="M4276" s="213" t="s">
        <v>62464</v>
      </c>
      <c r="N4276" s="213" t="s">
        <v>35660</v>
      </c>
      <c r="O4276" s="213" t="s">
        <v>35661</v>
      </c>
      <c r="P4276" s="213" t="s">
        <v>35662</v>
      </c>
      <c r="Q4276" s="213" t="s">
        <v>35663</v>
      </c>
      <c r="R4276" s="213" t="s">
        <v>35664</v>
      </c>
      <c r="S4276" s="213" t="s">
        <v>35665</v>
      </c>
      <c r="T4276" s="213" t="s">
        <v>35666</v>
      </c>
      <c r="U4276" s="213" t="s">
        <v>62524</v>
      </c>
    </row>
    <row r="4277" spans="1:21" x14ac:dyDescent="0.25">
      <c r="A4277" s="213" t="s">
        <v>327</v>
      </c>
      <c r="D4277" s="213" t="s">
        <v>35667</v>
      </c>
      <c r="E4277" s="213" t="s">
        <v>35668</v>
      </c>
      <c r="K4277" s="213" t="s">
        <v>62345</v>
      </c>
      <c r="L4277" s="213" t="s">
        <v>62405</v>
      </c>
      <c r="M4277" s="213" t="s">
        <v>62465</v>
      </c>
      <c r="N4277" s="213" t="s">
        <v>35669</v>
      </c>
      <c r="O4277" s="213" t="s">
        <v>35670</v>
      </c>
      <c r="P4277" s="213" t="s">
        <v>35671</v>
      </c>
      <c r="Q4277" s="213" t="s">
        <v>35672</v>
      </c>
      <c r="R4277" s="213" t="s">
        <v>35673</v>
      </c>
      <c r="S4277" s="213" t="s">
        <v>35674</v>
      </c>
      <c r="T4277" s="213" t="s">
        <v>35675</v>
      </c>
      <c r="U4277" s="213" t="s">
        <v>62525</v>
      </c>
    </row>
    <row r="4278" spans="1:21" x14ac:dyDescent="0.25">
      <c r="A4278" s="213" t="s">
        <v>327</v>
      </c>
      <c r="D4278" s="213" t="s">
        <v>35676</v>
      </c>
      <c r="E4278" s="213" t="s">
        <v>35677</v>
      </c>
      <c r="K4278" s="213" t="s">
        <v>62346</v>
      </c>
      <c r="L4278" s="213" t="s">
        <v>62406</v>
      </c>
      <c r="M4278" s="213" t="s">
        <v>62466</v>
      </c>
      <c r="N4278" s="213" t="s">
        <v>35678</v>
      </c>
      <c r="O4278" s="213" t="s">
        <v>35679</v>
      </c>
      <c r="P4278" s="213" t="s">
        <v>35680</v>
      </c>
      <c r="Q4278" s="213" t="s">
        <v>35681</v>
      </c>
      <c r="R4278" s="213" t="s">
        <v>35682</v>
      </c>
      <c r="S4278" s="213" t="s">
        <v>35683</v>
      </c>
      <c r="T4278" s="213" t="s">
        <v>35684</v>
      </c>
      <c r="U4278" s="213" t="s">
        <v>62526</v>
      </c>
    </row>
    <row r="4279" spans="1:21" x14ac:dyDescent="0.25">
      <c r="A4279" s="213" t="s">
        <v>327</v>
      </c>
      <c r="D4279" s="213" t="s">
        <v>35685</v>
      </c>
      <c r="E4279" s="213" t="s">
        <v>35686</v>
      </c>
      <c r="K4279" s="213" t="s">
        <v>62347</v>
      </c>
      <c r="L4279" s="213" t="s">
        <v>62407</v>
      </c>
      <c r="M4279" s="213" t="s">
        <v>62467</v>
      </c>
      <c r="N4279" s="213" t="s">
        <v>35687</v>
      </c>
      <c r="O4279" s="213" t="s">
        <v>35688</v>
      </c>
      <c r="P4279" s="213" t="s">
        <v>35689</v>
      </c>
      <c r="Q4279" s="213" t="s">
        <v>35690</v>
      </c>
      <c r="R4279" s="213" t="s">
        <v>35691</v>
      </c>
      <c r="S4279" s="213" t="s">
        <v>35692</v>
      </c>
      <c r="T4279" s="213" t="s">
        <v>35693</v>
      </c>
      <c r="U4279" s="213" t="s">
        <v>62527</v>
      </c>
    </row>
    <row r="4280" spans="1:21" x14ac:dyDescent="0.25">
      <c r="A4280" s="213" t="s">
        <v>327</v>
      </c>
      <c r="D4280" s="213" t="s">
        <v>35694</v>
      </c>
      <c r="E4280" s="213" t="s">
        <v>35695</v>
      </c>
      <c r="K4280" s="213" t="s">
        <v>62348</v>
      </c>
      <c r="L4280" s="213" t="s">
        <v>62408</v>
      </c>
      <c r="M4280" s="213" t="s">
        <v>62468</v>
      </c>
      <c r="N4280" s="213" t="s">
        <v>35696</v>
      </c>
      <c r="O4280" s="213" t="s">
        <v>35697</v>
      </c>
      <c r="P4280" s="213" t="s">
        <v>35698</v>
      </c>
      <c r="Q4280" s="213" t="s">
        <v>35699</v>
      </c>
      <c r="R4280" s="213" t="s">
        <v>35700</v>
      </c>
      <c r="S4280" s="213" t="s">
        <v>35701</v>
      </c>
      <c r="T4280" s="213" t="s">
        <v>35702</v>
      </c>
      <c r="U4280" s="213" t="s">
        <v>62528</v>
      </c>
    </row>
    <row r="4281" spans="1:21" x14ac:dyDescent="0.25">
      <c r="A4281" s="213" t="s">
        <v>327</v>
      </c>
      <c r="D4281" s="213" t="s">
        <v>35703</v>
      </c>
      <c r="E4281" s="213" t="s">
        <v>35704</v>
      </c>
      <c r="K4281" s="213" t="s">
        <v>62349</v>
      </c>
      <c r="L4281" s="213" t="s">
        <v>62409</v>
      </c>
      <c r="M4281" s="213" t="s">
        <v>62469</v>
      </c>
      <c r="N4281" s="213" t="s">
        <v>35705</v>
      </c>
      <c r="O4281" s="213" t="s">
        <v>35706</v>
      </c>
      <c r="P4281" s="213" t="s">
        <v>35707</v>
      </c>
      <c r="Q4281" s="213" t="s">
        <v>35708</v>
      </c>
      <c r="R4281" s="213" t="s">
        <v>35709</v>
      </c>
      <c r="S4281" s="213" t="s">
        <v>35710</v>
      </c>
      <c r="T4281" s="213" t="s">
        <v>35711</v>
      </c>
      <c r="U4281" s="213" t="s">
        <v>62529</v>
      </c>
    </row>
    <row r="4282" spans="1:21" x14ac:dyDescent="0.25">
      <c r="A4282" s="213" t="s">
        <v>327</v>
      </c>
      <c r="D4282" s="213" t="s">
        <v>35712</v>
      </c>
      <c r="E4282" s="213" t="s">
        <v>35713</v>
      </c>
      <c r="K4282" s="213" t="s">
        <v>62350</v>
      </c>
      <c r="L4282" s="213" t="s">
        <v>62410</v>
      </c>
      <c r="M4282" s="213" t="s">
        <v>62470</v>
      </c>
      <c r="N4282" s="213" t="s">
        <v>35714</v>
      </c>
      <c r="O4282" s="213" t="s">
        <v>35715</v>
      </c>
      <c r="P4282" s="213" t="s">
        <v>35716</v>
      </c>
      <c r="Q4282" s="213" t="s">
        <v>35717</v>
      </c>
      <c r="R4282" s="213" t="s">
        <v>35718</v>
      </c>
      <c r="S4282" s="213" t="s">
        <v>35719</v>
      </c>
      <c r="T4282" s="213" t="s">
        <v>35720</v>
      </c>
      <c r="U4282" s="213" t="s">
        <v>62530</v>
      </c>
    </row>
    <row r="4283" spans="1:21" x14ac:dyDescent="0.25">
      <c r="A4283" s="213" t="s">
        <v>327</v>
      </c>
      <c r="D4283" s="213" t="s">
        <v>35721</v>
      </c>
      <c r="E4283" s="213" t="s">
        <v>35722</v>
      </c>
      <c r="K4283" s="213" t="s">
        <v>62351</v>
      </c>
      <c r="L4283" s="213" t="s">
        <v>62411</v>
      </c>
      <c r="M4283" s="213" t="s">
        <v>62471</v>
      </c>
      <c r="N4283" s="213" t="s">
        <v>35723</v>
      </c>
      <c r="O4283" s="213" t="s">
        <v>35724</v>
      </c>
      <c r="P4283" s="213" t="s">
        <v>35725</v>
      </c>
      <c r="Q4283" s="213" t="s">
        <v>35726</v>
      </c>
      <c r="R4283" s="213" t="s">
        <v>35727</v>
      </c>
      <c r="S4283" s="213" t="s">
        <v>35728</v>
      </c>
      <c r="T4283" s="213" t="s">
        <v>35729</v>
      </c>
      <c r="U4283" s="213" t="s">
        <v>62531</v>
      </c>
    </row>
    <row r="4284" spans="1:21" x14ac:dyDescent="0.25">
      <c r="A4284" s="213" t="s">
        <v>327</v>
      </c>
      <c r="D4284" s="213" t="s">
        <v>35730</v>
      </c>
      <c r="E4284" s="213" t="s">
        <v>35731</v>
      </c>
      <c r="K4284" s="213" t="s">
        <v>62352</v>
      </c>
      <c r="L4284" s="213" t="s">
        <v>62412</v>
      </c>
      <c r="M4284" s="213" t="s">
        <v>62472</v>
      </c>
      <c r="N4284" s="213" t="s">
        <v>35732</v>
      </c>
      <c r="O4284" s="213" t="s">
        <v>35733</v>
      </c>
      <c r="P4284" s="213" t="s">
        <v>35734</v>
      </c>
      <c r="Q4284" s="213" t="s">
        <v>35735</v>
      </c>
      <c r="R4284" s="213" t="s">
        <v>35736</v>
      </c>
      <c r="S4284" s="213" t="s">
        <v>35737</v>
      </c>
      <c r="T4284" s="213" t="s">
        <v>35738</v>
      </c>
      <c r="U4284" s="213" t="s">
        <v>62532</v>
      </c>
    </row>
    <row r="4285" spans="1:21" x14ac:dyDescent="0.25">
      <c r="A4285" s="213" t="s">
        <v>327</v>
      </c>
      <c r="D4285" s="213" t="s">
        <v>35739</v>
      </c>
      <c r="E4285" s="213" t="s">
        <v>35740</v>
      </c>
      <c r="K4285" s="213" t="s">
        <v>62353</v>
      </c>
      <c r="L4285" s="213" t="s">
        <v>62413</v>
      </c>
      <c r="M4285" s="213" t="s">
        <v>62473</v>
      </c>
      <c r="N4285" s="213" t="s">
        <v>35741</v>
      </c>
      <c r="O4285" s="213" t="s">
        <v>35742</v>
      </c>
      <c r="P4285" s="213" t="s">
        <v>35743</v>
      </c>
      <c r="Q4285" s="213" t="s">
        <v>35744</v>
      </c>
      <c r="R4285" s="213" t="s">
        <v>35745</v>
      </c>
      <c r="S4285" s="213" t="s">
        <v>35746</v>
      </c>
      <c r="T4285" s="213" t="s">
        <v>35747</v>
      </c>
      <c r="U4285" s="213" t="s">
        <v>62533</v>
      </c>
    </row>
    <row r="4286" spans="1:21" x14ac:dyDescent="0.25">
      <c r="A4286" s="213" t="s">
        <v>327</v>
      </c>
      <c r="D4286" s="213" t="s">
        <v>35748</v>
      </c>
      <c r="E4286" s="213" t="s">
        <v>35749</v>
      </c>
      <c r="K4286" s="213" t="s">
        <v>62354</v>
      </c>
      <c r="L4286" s="213" t="s">
        <v>62414</v>
      </c>
      <c r="M4286" s="213" t="s">
        <v>62474</v>
      </c>
      <c r="N4286" s="213" t="s">
        <v>35750</v>
      </c>
      <c r="O4286" s="213" t="s">
        <v>35751</v>
      </c>
      <c r="P4286" s="213" t="s">
        <v>35752</v>
      </c>
      <c r="Q4286" s="213" t="s">
        <v>35753</v>
      </c>
      <c r="R4286" s="213" t="s">
        <v>35754</v>
      </c>
      <c r="S4286" s="213" t="s">
        <v>35755</v>
      </c>
      <c r="T4286" s="213" t="s">
        <v>35756</v>
      </c>
      <c r="U4286" s="213" t="s">
        <v>62534</v>
      </c>
    </row>
    <row r="4287" spans="1:21" x14ac:dyDescent="0.25">
      <c r="A4287" s="213" t="s">
        <v>327</v>
      </c>
      <c r="D4287" s="213" t="s">
        <v>35757</v>
      </c>
      <c r="E4287" s="213" t="s">
        <v>35758</v>
      </c>
      <c r="K4287" s="213" t="s">
        <v>62355</v>
      </c>
      <c r="L4287" s="213" t="s">
        <v>62415</v>
      </c>
      <c r="M4287" s="213" t="s">
        <v>62475</v>
      </c>
      <c r="N4287" s="213" t="s">
        <v>35759</v>
      </c>
      <c r="O4287" s="213" t="s">
        <v>35760</v>
      </c>
      <c r="P4287" s="213" t="s">
        <v>35761</v>
      </c>
      <c r="Q4287" s="213" t="s">
        <v>35762</v>
      </c>
      <c r="R4287" s="213" t="s">
        <v>35763</v>
      </c>
      <c r="S4287" s="213" t="s">
        <v>35764</v>
      </c>
      <c r="T4287" s="213" t="s">
        <v>35765</v>
      </c>
      <c r="U4287" s="213" t="s">
        <v>62535</v>
      </c>
    </row>
    <row r="4288" spans="1:21" x14ac:dyDescent="0.25">
      <c r="A4288" s="213" t="s">
        <v>327</v>
      </c>
      <c r="D4288" s="213" t="s">
        <v>35766</v>
      </c>
      <c r="E4288" s="213" t="s">
        <v>35767</v>
      </c>
      <c r="K4288" s="213" t="s">
        <v>62356</v>
      </c>
      <c r="L4288" s="213" t="s">
        <v>62416</v>
      </c>
      <c r="M4288" s="213" t="s">
        <v>62476</v>
      </c>
      <c r="N4288" s="213" t="s">
        <v>35768</v>
      </c>
      <c r="O4288" s="213" t="s">
        <v>35769</v>
      </c>
      <c r="P4288" s="213" t="s">
        <v>35770</v>
      </c>
      <c r="Q4288" s="213" t="s">
        <v>35771</v>
      </c>
      <c r="R4288" s="213" t="s">
        <v>35772</v>
      </c>
      <c r="S4288" s="213" t="s">
        <v>35773</v>
      </c>
      <c r="T4288" s="213" t="s">
        <v>35774</v>
      </c>
      <c r="U4288" s="213" t="s">
        <v>62536</v>
      </c>
    </row>
    <row r="4289" spans="1:21" x14ac:dyDescent="0.25">
      <c r="A4289" s="213" t="s">
        <v>327</v>
      </c>
      <c r="D4289" s="213" t="s">
        <v>35775</v>
      </c>
      <c r="E4289" s="213" t="s">
        <v>35776</v>
      </c>
      <c r="K4289" s="213" t="s">
        <v>62357</v>
      </c>
      <c r="L4289" s="213" t="s">
        <v>62417</v>
      </c>
      <c r="M4289" s="213" t="s">
        <v>62477</v>
      </c>
      <c r="N4289" s="213" t="s">
        <v>35777</v>
      </c>
      <c r="O4289" s="213" t="s">
        <v>35778</v>
      </c>
      <c r="P4289" s="213" t="s">
        <v>35779</v>
      </c>
      <c r="Q4289" s="213" t="s">
        <v>35780</v>
      </c>
      <c r="R4289" s="213" t="s">
        <v>35781</v>
      </c>
      <c r="S4289" s="213" t="s">
        <v>35782</v>
      </c>
      <c r="T4289" s="213" t="s">
        <v>35783</v>
      </c>
      <c r="U4289" s="213" t="s">
        <v>62537</v>
      </c>
    </row>
    <row r="4290" spans="1:21" x14ac:dyDescent="0.25">
      <c r="A4290" s="213" t="s">
        <v>327</v>
      </c>
      <c r="D4290" s="213" t="s">
        <v>35784</v>
      </c>
      <c r="E4290" s="213" t="s">
        <v>35785</v>
      </c>
      <c r="K4290" s="213" t="s">
        <v>62358</v>
      </c>
      <c r="L4290" s="213" t="s">
        <v>62418</v>
      </c>
      <c r="M4290" s="213" t="s">
        <v>62478</v>
      </c>
      <c r="N4290" s="213" t="s">
        <v>35786</v>
      </c>
      <c r="O4290" s="213" t="s">
        <v>35787</v>
      </c>
      <c r="P4290" s="213" t="s">
        <v>35788</v>
      </c>
      <c r="Q4290" s="213" t="s">
        <v>35789</v>
      </c>
      <c r="R4290" s="213" t="s">
        <v>35790</v>
      </c>
      <c r="S4290" s="213" t="s">
        <v>35791</v>
      </c>
      <c r="T4290" s="213" t="s">
        <v>35792</v>
      </c>
      <c r="U4290" s="213" t="s">
        <v>62538</v>
      </c>
    </row>
    <row r="4291" spans="1:21" x14ac:dyDescent="0.25">
      <c r="A4291" s="213" t="s">
        <v>327</v>
      </c>
      <c r="D4291" s="213" t="s">
        <v>35793</v>
      </c>
      <c r="E4291" s="213" t="s">
        <v>35794</v>
      </c>
      <c r="K4291" s="213" t="s">
        <v>62359</v>
      </c>
      <c r="L4291" s="213" t="s">
        <v>62419</v>
      </c>
      <c r="M4291" s="213" t="s">
        <v>62479</v>
      </c>
      <c r="N4291" s="213" t="s">
        <v>35795</v>
      </c>
      <c r="O4291" s="213" t="s">
        <v>35796</v>
      </c>
      <c r="P4291" s="213" t="s">
        <v>35797</v>
      </c>
      <c r="Q4291" s="213" t="s">
        <v>35798</v>
      </c>
      <c r="R4291" s="213" t="s">
        <v>35799</v>
      </c>
      <c r="S4291" s="213" t="s">
        <v>35800</v>
      </c>
      <c r="T4291" s="213" t="s">
        <v>35801</v>
      </c>
      <c r="U4291" s="213" t="s">
        <v>62539</v>
      </c>
    </row>
    <row r="4292" spans="1:21" x14ac:dyDescent="0.25">
      <c r="A4292" s="213" t="s">
        <v>327</v>
      </c>
      <c r="D4292" s="213" t="s">
        <v>35802</v>
      </c>
      <c r="E4292" s="213" t="s">
        <v>35803</v>
      </c>
      <c r="K4292" s="213" t="s">
        <v>62360</v>
      </c>
      <c r="L4292" s="213" t="s">
        <v>62420</v>
      </c>
      <c r="M4292" s="213" t="s">
        <v>62480</v>
      </c>
      <c r="N4292" s="213" t="s">
        <v>35804</v>
      </c>
      <c r="O4292" s="213" t="s">
        <v>35805</v>
      </c>
      <c r="P4292" s="213" t="s">
        <v>35806</v>
      </c>
      <c r="Q4292" s="213" t="s">
        <v>35807</v>
      </c>
      <c r="R4292" s="213" t="s">
        <v>35808</v>
      </c>
      <c r="S4292" s="213" t="s">
        <v>35809</v>
      </c>
      <c r="T4292" s="213" t="s">
        <v>35810</v>
      </c>
      <c r="U4292" s="213" t="s">
        <v>62540</v>
      </c>
    </row>
    <row r="4293" spans="1:21" x14ac:dyDescent="0.25">
      <c r="A4293" s="213" t="s">
        <v>327</v>
      </c>
      <c r="D4293" s="213" t="s">
        <v>35811</v>
      </c>
      <c r="E4293" s="213" t="s">
        <v>35812</v>
      </c>
      <c r="K4293" s="213" t="s">
        <v>62361</v>
      </c>
      <c r="L4293" s="213" t="s">
        <v>62421</v>
      </c>
      <c r="M4293" s="213" t="s">
        <v>62481</v>
      </c>
      <c r="N4293" s="213" t="s">
        <v>35813</v>
      </c>
      <c r="O4293" s="213" t="s">
        <v>35814</v>
      </c>
      <c r="P4293" s="213" t="s">
        <v>35815</v>
      </c>
      <c r="Q4293" s="213" t="s">
        <v>35816</v>
      </c>
      <c r="R4293" s="213" t="s">
        <v>35817</v>
      </c>
      <c r="S4293" s="213" t="s">
        <v>35818</v>
      </c>
      <c r="T4293" s="213" t="s">
        <v>35819</v>
      </c>
      <c r="U4293" s="213" t="s">
        <v>62541</v>
      </c>
    </row>
    <row r="4294" spans="1:21" x14ac:dyDescent="0.25">
      <c r="A4294" s="213" t="s">
        <v>327</v>
      </c>
      <c r="D4294" s="213" t="s">
        <v>35820</v>
      </c>
      <c r="E4294" s="213" t="s">
        <v>35821</v>
      </c>
      <c r="K4294" s="213" t="s">
        <v>62362</v>
      </c>
      <c r="L4294" s="213" t="s">
        <v>62422</v>
      </c>
      <c r="M4294" s="213" t="s">
        <v>62482</v>
      </c>
      <c r="N4294" s="213" t="s">
        <v>35822</v>
      </c>
      <c r="O4294" s="213" t="s">
        <v>35823</v>
      </c>
      <c r="P4294" s="213" t="s">
        <v>35824</v>
      </c>
      <c r="Q4294" s="213" t="s">
        <v>35825</v>
      </c>
      <c r="R4294" s="213" t="s">
        <v>35826</v>
      </c>
      <c r="S4294" s="213" t="s">
        <v>35827</v>
      </c>
      <c r="T4294" s="213" t="s">
        <v>35828</v>
      </c>
      <c r="U4294" s="213" t="s">
        <v>62542</v>
      </c>
    </row>
    <row r="4295" spans="1:21" x14ac:dyDescent="0.25">
      <c r="A4295" s="213" t="s">
        <v>327</v>
      </c>
      <c r="D4295" s="213" t="s">
        <v>35829</v>
      </c>
      <c r="E4295" s="213" t="s">
        <v>35830</v>
      </c>
      <c r="K4295" s="213" t="s">
        <v>62363</v>
      </c>
      <c r="L4295" s="213" t="s">
        <v>62423</v>
      </c>
      <c r="M4295" s="213" t="s">
        <v>62483</v>
      </c>
      <c r="N4295" s="213" t="s">
        <v>35831</v>
      </c>
      <c r="O4295" s="213" t="s">
        <v>35832</v>
      </c>
      <c r="P4295" s="213" t="s">
        <v>35833</v>
      </c>
      <c r="Q4295" s="213" t="s">
        <v>35834</v>
      </c>
      <c r="R4295" s="213" t="s">
        <v>35835</v>
      </c>
      <c r="S4295" s="213" t="s">
        <v>35836</v>
      </c>
      <c r="T4295" s="213" t="s">
        <v>35837</v>
      </c>
      <c r="U4295" s="213" t="s">
        <v>62543</v>
      </c>
    </row>
    <row r="4296" spans="1:21" x14ac:dyDescent="0.25">
      <c r="A4296" s="213" t="s">
        <v>327</v>
      </c>
      <c r="D4296" s="213" t="s">
        <v>35838</v>
      </c>
      <c r="E4296" s="213" t="s">
        <v>35839</v>
      </c>
      <c r="K4296" s="213" t="s">
        <v>62364</v>
      </c>
      <c r="L4296" s="213" t="s">
        <v>62424</v>
      </c>
      <c r="M4296" s="213" t="s">
        <v>62484</v>
      </c>
      <c r="N4296" s="213" t="s">
        <v>35840</v>
      </c>
      <c r="O4296" s="213" t="s">
        <v>35841</v>
      </c>
      <c r="P4296" s="213" t="s">
        <v>35842</v>
      </c>
      <c r="Q4296" s="213" t="s">
        <v>35843</v>
      </c>
      <c r="R4296" s="213" t="s">
        <v>35844</v>
      </c>
      <c r="S4296" s="213" t="s">
        <v>35845</v>
      </c>
      <c r="T4296" s="213" t="s">
        <v>35846</v>
      </c>
      <c r="U4296" s="213" t="s">
        <v>62544</v>
      </c>
    </row>
    <row r="4297" spans="1:21" x14ac:dyDescent="0.25">
      <c r="A4297" s="213" t="s">
        <v>327</v>
      </c>
      <c r="D4297" s="213" t="s">
        <v>35847</v>
      </c>
      <c r="E4297" s="213" t="s">
        <v>35848</v>
      </c>
      <c r="K4297" s="213" t="s">
        <v>62365</v>
      </c>
      <c r="L4297" s="213" t="s">
        <v>62425</v>
      </c>
      <c r="M4297" s="213" t="s">
        <v>62485</v>
      </c>
      <c r="N4297" s="213" t="s">
        <v>35849</v>
      </c>
      <c r="O4297" s="213" t="s">
        <v>35850</v>
      </c>
      <c r="P4297" s="213" t="s">
        <v>35851</v>
      </c>
      <c r="Q4297" s="213" t="s">
        <v>35852</v>
      </c>
      <c r="R4297" s="213" t="s">
        <v>35853</v>
      </c>
      <c r="S4297" s="213" t="s">
        <v>35854</v>
      </c>
      <c r="T4297" s="213" t="s">
        <v>35855</v>
      </c>
      <c r="U4297" s="213" t="s">
        <v>62545</v>
      </c>
    </row>
    <row r="4298" spans="1:21" x14ac:dyDescent="0.25">
      <c r="A4298" s="213" t="s">
        <v>327</v>
      </c>
      <c r="D4298" s="213" t="s">
        <v>35856</v>
      </c>
      <c r="E4298" s="213" t="s">
        <v>35857</v>
      </c>
      <c r="K4298" s="213" t="s">
        <v>62366</v>
      </c>
      <c r="L4298" s="213" t="s">
        <v>62426</v>
      </c>
      <c r="M4298" s="213" t="s">
        <v>62486</v>
      </c>
      <c r="N4298" s="213" t="s">
        <v>35858</v>
      </c>
      <c r="O4298" s="213" t="s">
        <v>35859</v>
      </c>
      <c r="P4298" s="213" t="s">
        <v>35860</v>
      </c>
      <c r="Q4298" s="213" t="s">
        <v>35861</v>
      </c>
      <c r="R4298" s="213" t="s">
        <v>35862</v>
      </c>
      <c r="S4298" s="213" t="s">
        <v>35863</v>
      </c>
      <c r="T4298" s="213" t="s">
        <v>35864</v>
      </c>
      <c r="U4298" s="213" t="s">
        <v>62546</v>
      </c>
    </row>
    <row r="4299" spans="1:21" x14ac:dyDescent="0.25">
      <c r="A4299" s="213" t="s">
        <v>327</v>
      </c>
      <c r="D4299" s="213" t="s">
        <v>35865</v>
      </c>
      <c r="E4299" s="213" t="s">
        <v>35866</v>
      </c>
      <c r="K4299" s="213" t="s">
        <v>62367</v>
      </c>
      <c r="L4299" s="213" t="s">
        <v>62427</v>
      </c>
      <c r="M4299" s="213" t="s">
        <v>62487</v>
      </c>
      <c r="N4299" s="213" t="s">
        <v>35867</v>
      </c>
      <c r="O4299" s="213" t="s">
        <v>35868</v>
      </c>
      <c r="P4299" s="213" t="s">
        <v>35869</v>
      </c>
      <c r="Q4299" s="213" t="s">
        <v>35870</v>
      </c>
      <c r="R4299" s="213" t="s">
        <v>35871</v>
      </c>
      <c r="S4299" s="213" t="s">
        <v>35872</v>
      </c>
      <c r="T4299" s="213" t="s">
        <v>35873</v>
      </c>
      <c r="U4299" s="213" t="s">
        <v>62547</v>
      </c>
    </row>
    <row r="4300" spans="1:21" x14ac:dyDescent="0.25">
      <c r="A4300" s="213" t="s">
        <v>327</v>
      </c>
      <c r="D4300" s="213" t="s">
        <v>35874</v>
      </c>
      <c r="E4300" s="213" t="s">
        <v>35875</v>
      </c>
      <c r="K4300" s="213" t="s">
        <v>62368</v>
      </c>
      <c r="L4300" s="213" t="s">
        <v>62428</v>
      </c>
      <c r="M4300" s="213" t="s">
        <v>62488</v>
      </c>
      <c r="N4300" s="213" t="s">
        <v>35876</v>
      </c>
      <c r="O4300" s="213" t="s">
        <v>35877</v>
      </c>
      <c r="P4300" s="213" t="s">
        <v>35878</v>
      </c>
      <c r="Q4300" s="213" t="s">
        <v>35879</v>
      </c>
      <c r="R4300" s="213" t="s">
        <v>35880</v>
      </c>
      <c r="S4300" s="213" t="s">
        <v>35881</v>
      </c>
      <c r="T4300" s="213" t="s">
        <v>35882</v>
      </c>
      <c r="U4300" s="213" t="s">
        <v>62548</v>
      </c>
    </row>
    <row r="4301" spans="1:21" x14ac:dyDescent="0.25">
      <c r="A4301" s="213" t="s">
        <v>327</v>
      </c>
      <c r="D4301" s="213" t="s">
        <v>35883</v>
      </c>
      <c r="E4301" s="213" t="s">
        <v>35884</v>
      </c>
      <c r="K4301" s="213" t="s">
        <v>62369</v>
      </c>
      <c r="L4301" s="213" t="s">
        <v>62429</v>
      </c>
      <c r="M4301" s="213" t="s">
        <v>62489</v>
      </c>
      <c r="N4301" s="213" t="s">
        <v>35885</v>
      </c>
      <c r="O4301" s="213" t="s">
        <v>35886</v>
      </c>
      <c r="P4301" s="213" t="s">
        <v>35887</v>
      </c>
      <c r="Q4301" s="213" t="s">
        <v>35888</v>
      </c>
      <c r="R4301" s="213" t="s">
        <v>35889</v>
      </c>
      <c r="S4301" s="213" t="s">
        <v>35890</v>
      </c>
      <c r="T4301" s="213" t="s">
        <v>35891</v>
      </c>
      <c r="U4301" s="213" t="s">
        <v>62549</v>
      </c>
    </row>
    <row r="4302" spans="1:21" x14ac:dyDescent="0.25">
      <c r="A4302" s="213" t="s">
        <v>327</v>
      </c>
      <c r="D4302" s="213" t="s">
        <v>35892</v>
      </c>
      <c r="E4302" s="213" t="s">
        <v>35893</v>
      </c>
      <c r="K4302" s="213" t="s">
        <v>62370</v>
      </c>
      <c r="L4302" s="213" t="s">
        <v>62430</v>
      </c>
      <c r="M4302" s="213" t="s">
        <v>62490</v>
      </c>
      <c r="N4302" s="213" t="s">
        <v>35894</v>
      </c>
      <c r="O4302" s="213" t="s">
        <v>35895</v>
      </c>
      <c r="P4302" s="213" t="s">
        <v>35896</v>
      </c>
      <c r="Q4302" s="213" t="s">
        <v>35897</v>
      </c>
      <c r="R4302" s="213" t="s">
        <v>35898</v>
      </c>
      <c r="S4302" s="213" t="s">
        <v>35899</v>
      </c>
      <c r="T4302" s="213" t="s">
        <v>35900</v>
      </c>
      <c r="U4302" s="213" t="s">
        <v>62550</v>
      </c>
    </row>
    <row r="4303" spans="1:21" x14ac:dyDescent="0.25">
      <c r="A4303" s="213" t="s">
        <v>327</v>
      </c>
      <c r="D4303" s="213" t="s">
        <v>35901</v>
      </c>
      <c r="E4303" s="213" t="s">
        <v>35902</v>
      </c>
      <c r="K4303" s="213" t="s">
        <v>62371</v>
      </c>
      <c r="L4303" s="213" t="s">
        <v>62431</v>
      </c>
      <c r="M4303" s="213" t="s">
        <v>62491</v>
      </c>
      <c r="N4303" s="213" t="s">
        <v>35903</v>
      </c>
      <c r="O4303" s="213" t="s">
        <v>35904</v>
      </c>
      <c r="P4303" s="213" t="s">
        <v>35905</v>
      </c>
      <c r="Q4303" s="213" t="s">
        <v>35906</v>
      </c>
      <c r="R4303" s="213" t="s">
        <v>35907</v>
      </c>
      <c r="S4303" s="213" t="s">
        <v>35908</v>
      </c>
      <c r="T4303" s="213" t="s">
        <v>35909</v>
      </c>
      <c r="U4303" s="213" t="s">
        <v>62551</v>
      </c>
    </row>
    <row r="4304" spans="1:21" x14ac:dyDescent="0.25">
      <c r="A4304" s="213" t="s">
        <v>327</v>
      </c>
      <c r="D4304" s="213" t="s">
        <v>35910</v>
      </c>
      <c r="E4304" s="213" t="s">
        <v>35911</v>
      </c>
      <c r="K4304" s="213" t="s">
        <v>62372</v>
      </c>
      <c r="L4304" s="213" t="s">
        <v>62432</v>
      </c>
      <c r="M4304" s="213" t="s">
        <v>62492</v>
      </c>
      <c r="N4304" s="213" t="s">
        <v>35912</v>
      </c>
      <c r="O4304" s="213" t="s">
        <v>35913</v>
      </c>
      <c r="P4304" s="213" t="s">
        <v>35914</v>
      </c>
      <c r="Q4304" s="213" t="s">
        <v>35915</v>
      </c>
      <c r="R4304" s="213" t="s">
        <v>35916</v>
      </c>
      <c r="S4304" s="213" t="s">
        <v>35917</v>
      </c>
      <c r="T4304" s="213" t="s">
        <v>35918</v>
      </c>
      <c r="U4304" s="213" t="s">
        <v>62552</v>
      </c>
    </row>
    <row r="4305" spans="1:21" x14ac:dyDescent="0.25">
      <c r="A4305" s="213" t="s">
        <v>327</v>
      </c>
      <c r="D4305" s="213" t="s">
        <v>35919</v>
      </c>
      <c r="E4305" s="213" t="s">
        <v>35920</v>
      </c>
      <c r="K4305" s="213" t="s">
        <v>62373</v>
      </c>
      <c r="L4305" s="213" t="s">
        <v>62433</v>
      </c>
      <c r="M4305" s="213" t="s">
        <v>62493</v>
      </c>
      <c r="N4305" s="213" t="s">
        <v>35921</v>
      </c>
      <c r="O4305" s="213" t="s">
        <v>35922</v>
      </c>
      <c r="P4305" s="213" t="s">
        <v>35923</v>
      </c>
      <c r="Q4305" s="213" t="s">
        <v>35924</v>
      </c>
      <c r="R4305" s="213" t="s">
        <v>35925</v>
      </c>
      <c r="S4305" s="213" t="s">
        <v>35926</v>
      </c>
      <c r="T4305" s="213" t="s">
        <v>35927</v>
      </c>
      <c r="U4305" s="213" t="s">
        <v>62553</v>
      </c>
    </row>
    <row r="4306" spans="1:21" x14ac:dyDescent="0.25">
      <c r="A4306" s="213" t="s">
        <v>327</v>
      </c>
      <c r="D4306" s="213" t="s">
        <v>35928</v>
      </c>
      <c r="E4306" s="213" t="s">
        <v>35929</v>
      </c>
      <c r="K4306" s="213" t="s">
        <v>62374</v>
      </c>
      <c r="L4306" s="213" t="s">
        <v>62434</v>
      </c>
      <c r="M4306" s="213" t="s">
        <v>62494</v>
      </c>
      <c r="N4306" s="213" t="s">
        <v>35930</v>
      </c>
      <c r="O4306" s="213" t="s">
        <v>35931</v>
      </c>
      <c r="P4306" s="213" t="s">
        <v>35932</v>
      </c>
      <c r="Q4306" s="213" t="s">
        <v>35933</v>
      </c>
      <c r="R4306" s="213" t="s">
        <v>35934</v>
      </c>
      <c r="S4306" s="213" t="s">
        <v>35935</v>
      </c>
      <c r="T4306" s="213" t="s">
        <v>35936</v>
      </c>
      <c r="U4306" s="213" t="s">
        <v>62554</v>
      </c>
    </row>
    <row r="4307" spans="1:21" x14ac:dyDescent="0.25">
      <c r="A4307" s="213" t="s">
        <v>327</v>
      </c>
      <c r="D4307" s="213" t="s">
        <v>35937</v>
      </c>
      <c r="E4307" s="213" t="s">
        <v>35938</v>
      </c>
      <c r="K4307" s="213" t="s">
        <v>62375</v>
      </c>
      <c r="L4307" s="213" t="s">
        <v>62435</v>
      </c>
      <c r="M4307" s="213" t="s">
        <v>62495</v>
      </c>
      <c r="N4307" s="213" t="s">
        <v>35939</v>
      </c>
      <c r="O4307" s="213" t="s">
        <v>35940</v>
      </c>
      <c r="P4307" s="213" t="s">
        <v>35941</v>
      </c>
      <c r="Q4307" s="213" t="s">
        <v>35942</v>
      </c>
      <c r="R4307" s="213" t="s">
        <v>35943</v>
      </c>
      <c r="S4307" s="213" t="s">
        <v>35944</v>
      </c>
      <c r="T4307" s="213" t="s">
        <v>35945</v>
      </c>
      <c r="U4307" s="213" t="s">
        <v>62555</v>
      </c>
    </row>
    <row r="4308" spans="1:21" x14ac:dyDescent="0.25">
      <c r="A4308" s="213" t="s">
        <v>327</v>
      </c>
      <c r="D4308" s="213" t="s">
        <v>35946</v>
      </c>
      <c r="E4308" s="213" t="s">
        <v>35947</v>
      </c>
      <c r="K4308" s="213" t="s">
        <v>62376</v>
      </c>
      <c r="L4308" s="213" t="s">
        <v>62436</v>
      </c>
      <c r="M4308" s="213" t="s">
        <v>62496</v>
      </c>
      <c r="N4308" s="213" t="s">
        <v>35948</v>
      </c>
      <c r="O4308" s="213" t="s">
        <v>35949</v>
      </c>
      <c r="P4308" s="213" t="s">
        <v>35950</v>
      </c>
      <c r="Q4308" s="213" t="s">
        <v>35951</v>
      </c>
      <c r="R4308" s="213" t="s">
        <v>35952</v>
      </c>
      <c r="S4308" s="213" t="s">
        <v>35953</v>
      </c>
      <c r="T4308" s="213" t="s">
        <v>35954</v>
      </c>
      <c r="U4308" s="213" t="s">
        <v>62556</v>
      </c>
    </row>
    <row r="4309" spans="1:21" x14ac:dyDescent="0.25">
      <c r="A4309" s="213" t="s">
        <v>327</v>
      </c>
      <c r="D4309" s="213" t="s">
        <v>35955</v>
      </c>
      <c r="E4309" s="213" t="s">
        <v>35956</v>
      </c>
      <c r="K4309" s="213" t="s">
        <v>62377</v>
      </c>
      <c r="L4309" s="213" t="s">
        <v>62437</v>
      </c>
      <c r="M4309" s="213" t="s">
        <v>62497</v>
      </c>
      <c r="N4309" s="213" t="s">
        <v>35957</v>
      </c>
      <c r="O4309" s="213" t="s">
        <v>35958</v>
      </c>
      <c r="P4309" s="213" t="s">
        <v>35959</v>
      </c>
      <c r="Q4309" s="213" t="s">
        <v>35960</v>
      </c>
      <c r="R4309" s="213" t="s">
        <v>35961</v>
      </c>
      <c r="S4309" s="213" t="s">
        <v>35962</v>
      </c>
      <c r="T4309" s="213" t="s">
        <v>35963</v>
      </c>
      <c r="U4309" s="213" t="s">
        <v>62557</v>
      </c>
    </row>
    <row r="4310" spans="1:21" x14ac:dyDescent="0.25">
      <c r="A4310" s="213" t="s">
        <v>327</v>
      </c>
      <c r="D4310" s="213" t="s">
        <v>35964</v>
      </c>
      <c r="E4310" s="213" t="s">
        <v>35965</v>
      </c>
      <c r="K4310" s="213" t="s">
        <v>62378</v>
      </c>
      <c r="L4310" s="213" t="s">
        <v>62438</v>
      </c>
      <c r="M4310" s="213" t="s">
        <v>62498</v>
      </c>
      <c r="N4310" s="213" t="s">
        <v>35966</v>
      </c>
      <c r="O4310" s="213" t="s">
        <v>35967</v>
      </c>
      <c r="P4310" s="213" t="s">
        <v>35968</v>
      </c>
      <c r="Q4310" s="213" t="s">
        <v>35969</v>
      </c>
      <c r="R4310" s="213" t="s">
        <v>35970</v>
      </c>
      <c r="S4310" s="213" t="s">
        <v>35971</v>
      </c>
      <c r="T4310" s="213" t="s">
        <v>35972</v>
      </c>
      <c r="U4310" s="213" t="s">
        <v>62558</v>
      </c>
    </row>
    <row r="4311" spans="1:21" x14ac:dyDescent="0.25">
      <c r="A4311" s="213" t="s">
        <v>327</v>
      </c>
      <c r="D4311" s="213" t="s">
        <v>35973</v>
      </c>
      <c r="E4311" s="213" t="s">
        <v>35974</v>
      </c>
      <c r="K4311" s="213" t="s">
        <v>62379</v>
      </c>
      <c r="L4311" s="213" t="s">
        <v>62439</v>
      </c>
      <c r="M4311" s="213" t="s">
        <v>62499</v>
      </c>
      <c r="N4311" s="213" t="s">
        <v>35975</v>
      </c>
      <c r="O4311" s="213" t="s">
        <v>35976</v>
      </c>
      <c r="P4311" s="213" t="s">
        <v>35977</v>
      </c>
      <c r="Q4311" s="213" t="s">
        <v>35978</v>
      </c>
      <c r="R4311" s="213" t="s">
        <v>35979</v>
      </c>
      <c r="S4311" s="213" t="s">
        <v>35980</v>
      </c>
      <c r="T4311" s="213" t="s">
        <v>35981</v>
      </c>
      <c r="U4311" s="213" t="s">
        <v>62559</v>
      </c>
    </row>
    <row r="4312" spans="1:21" x14ac:dyDescent="0.25">
      <c r="A4312" s="213" t="s">
        <v>327</v>
      </c>
      <c r="D4312" s="213" t="s">
        <v>35982</v>
      </c>
      <c r="E4312" s="213" t="s">
        <v>35983</v>
      </c>
      <c r="K4312" s="213" t="s">
        <v>62380</v>
      </c>
      <c r="L4312" s="213" t="s">
        <v>62440</v>
      </c>
      <c r="M4312" s="213" t="s">
        <v>62500</v>
      </c>
      <c r="N4312" s="213" t="s">
        <v>35984</v>
      </c>
      <c r="O4312" s="213" t="s">
        <v>35985</v>
      </c>
      <c r="P4312" s="213" t="s">
        <v>35986</v>
      </c>
      <c r="Q4312" s="213" t="s">
        <v>35987</v>
      </c>
      <c r="R4312" s="213" t="s">
        <v>35988</v>
      </c>
      <c r="S4312" s="213" t="s">
        <v>35989</v>
      </c>
      <c r="T4312" s="213" t="s">
        <v>35990</v>
      </c>
      <c r="U4312" s="213" t="s">
        <v>62560</v>
      </c>
    </row>
    <row r="4313" spans="1:21" x14ac:dyDescent="0.25">
      <c r="A4313" s="213" t="s">
        <v>327</v>
      </c>
      <c r="D4313" s="213" t="s">
        <v>35991</v>
      </c>
      <c r="E4313" s="213" t="s">
        <v>35992</v>
      </c>
      <c r="K4313" s="213" t="s">
        <v>62381</v>
      </c>
      <c r="L4313" s="213" t="s">
        <v>62441</v>
      </c>
      <c r="M4313" s="213" t="s">
        <v>62501</v>
      </c>
      <c r="N4313" s="213" t="s">
        <v>35993</v>
      </c>
      <c r="O4313" s="213" t="s">
        <v>35994</v>
      </c>
      <c r="P4313" s="213" t="s">
        <v>35995</v>
      </c>
      <c r="Q4313" s="213" t="s">
        <v>35996</v>
      </c>
      <c r="R4313" s="213" t="s">
        <v>35997</v>
      </c>
      <c r="S4313" s="213" t="s">
        <v>35998</v>
      </c>
      <c r="T4313" s="213" t="s">
        <v>35999</v>
      </c>
      <c r="U4313" s="213" t="s">
        <v>62561</v>
      </c>
    </row>
    <row r="4314" spans="1:21" x14ac:dyDescent="0.25">
      <c r="A4314" s="213" t="s">
        <v>327</v>
      </c>
      <c r="D4314" s="213" t="s">
        <v>36000</v>
      </c>
      <c r="E4314" s="213" t="s">
        <v>36001</v>
      </c>
      <c r="K4314" s="213" t="s">
        <v>62382</v>
      </c>
      <c r="L4314" s="213" t="s">
        <v>62442</v>
      </c>
      <c r="M4314" s="213" t="s">
        <v>62502</v>
      </c>
      <c r="N4314" s="213" t="s">
        <v>36002</v>
      </c>
      <c r="O4314" s="213" t="s">
        <v>36003</v>
      </c>
      <c r="P4314" s="213" t="s">
        <v>36004</v>
      </c>
      <c r="Q4314" s="213" t="s">
        <v>36005</v>
      </c>
      <c r="R4314" s="213" t="s">
        <v>36006</v>
      </c>
      <c r="S4314" s="213" t="s">
        <v>36007</v>
      </c>
      <c r="T4314" s="213" t="s">
        <v>36008</v>
      </c>
      <c r="U4314" s="213" t="s">
        <v>62562</v>
      </c>
    </row>
    <row r="4315" spans="1:21" x14ac:dyDescent="0.25">
      <c r="A4315" s="213" t="s">
        <v>327</v>
      </c>
      <c r="D4315" s="213" t="s">
        <v>36009</v>
      </c>
      <c r="E4315" s="213" t="s">
        <v>36010</v>
      </c>
      <c r="K4315" s="213" t="s">
        <v>62383</v>
      </c>
      <c r="L4315" s="213" t="s">
        <v>62443</v>
      </c>
      <c r="M4315" s="213" t="s">
        <v>62503</v>
      </c>
      <c r="N4315" s="213" t="s">
        <v>36011</v>
      </c>
      <c r="O4315" s="213" t="s">
        <v>36012</v>
      </c>
      <c r="P4315" s="213" t="s">
        <v>36013</v>
      </c>
      <c r="Q4315" s="213" t="s">
        <v>36014</v>
      </c>
      <c r="R4315" s="213" t="s">
        <v>36015</v>
      </c>
      <c r="S4315" s="213" t="s">
        <v>36016</v>
      </c>
      <c r="T4315" s="213" t="s">
        <v>36017</v>
      </c>
      <c r="U4315" s="213" t="s">
        <v>62563</v>
      </c>
    </row>
    <row r="4316" spans="1:21" x14ac:dyDescent="0.25">
      <c r="A4316" s="213" t="s">
        <v>327</v>
      </c>
      <c r="D4316" s="213" t="s">
        <v>36018</v>
      </c>
      <c r="E4316" s="213" t="s">
        <v>36019</v>
      </c>
      <c r="K4316" s="213" t="s">
        <v>62384</v>
      </c>
      <c r="L4316" s="213" t="s">
        <v>62444</v>
      </c>
      <c r="M4316" s="213" t="s">
        <v>62504</v>
      </c>
      <c r="N4316" s="213" t="s">
        <v>36020</v>
      </c>
      <c r="O4316" s="213" t="s">
        <v>36021</v>
      </c>
      <c r="P4316" s="213" t="s">
        <v>36022</v>
      </c>
      <c r="Q4316" s="213" t="s">
        <v>36023</v>
      </c>
      <c r="R4316" s="213" t="s">
        <v>36024</v>
      </c>
      <c r="S4316" s="213" t="s">
        <v>36025</v>
      </c>
      <c r="T4316" s="213" t="s">
        <v>36026</v>
      </c>
      <c r="U4316" s="213" t="s">
        <v>62564</v>
      </c>
    </row>
    <row r="4317" spans="1:21" x14ac:dyDescent="0.25">
      <c r="A4317" s="213" t="s">
        <v>327</v>
      </c>
      <c r="D4317" s="213" t="s">
        <v>36027</v>
      </c>
      <c r="E4317" s="213" t="s">
        <v>36028</v>
      </c>
      <c r="K4317" s="213" t="s">
        <v>62385</v>
      </c>
      <c r="L4317" s="213" t="s">
        <v>62445</v>
      </c>
      <c r="M4317" s="213" t="s">
        <v>62505</v>
      </c>
      <c r="N4317" s="213" t="s">
        <v>36029</v>
      </c>
      <c r="O4317" s="213" t="s">
        <v>36030</v>
      </c>
      <c r="P4317" s="213" t="s">
        <v>36031</v>
      </c>
      <c r="Q4317" s="213" t="s">
        <v>36032</v>
      </c>
      <c r="R4317" s="213" t="s">
        <v>36033</v>
      </c>
      <c r="S4317" s="213" t="s">
        <v>36034</v>
      </c>
      <c r="T4317" s="213" t="s">
        <v>36035</v>
      </c>
      <c r="U4317" s="213" t="s">
        <v>62565</v>
      </c>
    </row>
    <row r="4318" spans="1:21" x14ac:dyDescent="0.25">
      <c r="A4318" s="213" t="s">
        <v>327</v>
      </c>
      <c r="D4318" s="213" t="s">
        <v>36036</v>
      </c>
      <c r="E4318" s="213" t="s">
        <v>36037</v>
      </c>
      <c r="K4318" s="213" t="s">
        <v>62386</v>
      </c>
      <c r="L4318" s="213" t="s">
        <v>62446</v>
      </c>
      <c r="M4318" s="213" t="s">
        <v>62506</v>
      </c>
      <c r="N4318" s="213" t="s">
        <v>36038</v>
      </c>
      <c r="O4318" s="213" t="s">
        <v>36039</v>
      </c>
      <c r="P4318" s="213" t="s">
        <v>36040</v>
      </c>
      <c r="Q4318" s="213" t="s">
        <v>36041</v>
      </c>
      <c r="R4318" s="213" t="s">
        <v>36042</v>
      </c>
      <c r="S4318" s="213" t="s">
        <v>36043</v>
      </c>
      <c r="T4318" s="213" t="s">
        <v>36044</v>
      </c>
      <c r="U4318" s="213" t="s">
        <v>62566</v>
      </c>
    </row>
    <row r="4319" spans="1:21" x14ac:dyDescent="0.25">
      <c r="A4319" s="213" t="s">
        <v>327</v>
      </c>
      <c r="D4319" s="213" t="s">
        <v>36045</v>
      </c>
      <c r="E4319" s="213" t="s">
        <v>36046</v>
      </c>
      <c r="K4319" s="213" t="s">
        <v>62387</v>
      </c>
      <c r="L4319" s="213" t="s">
        <v>62447</v>
      </c>
      <c r="M4319" s="213" t="s">
        <v>62507</v>
      </c>
      <c r="N4319" s="213" t="s">
        <v>36047</v>
      </c>
      <c r="O4319" s="213" t="s">
        <v>36048</v>
      </c>
      <c r="P4319" s="213" t="s">
        <v>36049</v>
      </c>
      <c r="Q4319" s="213" t="s">
        <v>36050</v>
      </c>
      <c r="R4319" s="213" t="s">
        <v>36051</v>
      </c>
      <c r="S4319" s="213" t="s">
        <v>36052</v>
      </c>
      <c r="T4319" s="213" t="s">
        <v>36053</v>
      </c>
      <c r="U4319" s="213" t="s">
        <v>62567</v>
      </c>
    </row>
    <row r="4320" spans="1:21" x14ac:dyDescent="0.25">
      <c r="A4320" s="213" t="s">
        <v>327</v>
      </c>
      <c r="D4320" s="213" t="s">
        <v>36054</v>
      </c>
      <c r="E4320" s="213" t="s">
        <v>36055</v>
      </c>
      <c r="K4320" s="213" t="s">
        <v>62388</v>
      </c>
      <c r="L4320" s="213" t="s">
        <v>62448</v>
      </c>
      <c r="M4320" s="213" t="s">
        <v>62508</v>
      </c>
      <c r="N4320" s="213" t="s">
        <v>36056</v>
      </c>
      <c r="O4320" s="213" t="s">
        <v>36057</v>
      </c>
      <c r="P4320" s="213" t="s">
        <v>36058</v>
      </c>
      <c r="Q4320" s="213" t="s">
        <v>36059</v>
      </c>
      <c r="R4320" s="213" t="s">
        <v>36060</v>
      </c>
      <c r="S4320" s="213" t="s">
        <v>36061</v>
      </c>
      <c r="T4320" s="213" t="s">
        <v>36062</v>
      </c>
      <c r="U4320" s="213" t="s">
        <v>62568</v>
      </c>
    </row>
    <row r="4321" spans="1:21" x14ac:dyDescent="0.25">
      <c r="A4321" s="213" t="s">
        <v>327</v>
      </c>
      <c r="D4321" s="213" t="s">
        <v>36063</v>
      </c>
      <c r="E4321" s="213" t="s">
        <v>36064</v>
      </c>
      <c r="K4321" s="213" t="s">
        <v>62389</v>
      </c>
      <c r="L4321" s="213" t="s">
        <v>62449</v>
      </c>
      <c r="M4321" s="213" t="s">
        <v>62509</v>
      </c>
      <c r="N4321" s="213" t="s">
        <v>36065</v>
      </c>
      <c r="O4321" s="213" t="s">
        <v>36066</v>
      </c>
      <c r="P4321" s="213" t="s">
        <v>36067</v>
      </c>
      <c r="Q4321" s="213" t="s">
        <v>36068</v>
      </c>
      <c r="R4321" s="213" t="s">
        <v>36069</v>
      </c>
      <c r="S4321" s="213" t="s">
        <v>36070</v>
      </c>
      <c r="T4321" s="213" t="s">
        <v>36071</v>
      </c>
      <c r="U4321" s="213" t="s">
        <v>62569</v>
      </c>
    </row>
    <row r="4322" spans="1:21" x14ac:dyDescent="0.25">
      <c r="A4322" s="213" t="s">
        <v>327</v>
      </c>
      <c r="D4322" s="213" t="s">
        <v>36072</v>
      </c>
      <c r="E4322" s="213" t="s">
        <v>36073</v>
      </c>
      <c r="K4322" s="213" t="s">
        <v>62390</v>
      </c>
      <c r="L4322" s="213" t="s">
        <v>62450</v>
      </c>
      <c r="M4322" s="213" t="s">
        <v>62510</v>
      </c>
      <c r="N4322" s="213" t="s">
        <v>36074</v>
      </c>
      <c r="O4322" s="213" t="s">
        <v>36075</v>
      </c>
      <c r="P4322" s="213" t="s">
        <v>36076</v>
      </c>
      <c r="Q4322" s="213" t="s">
        <v>36077</v>
      </c>
      <c r="R4322" s="213" t="s">
        <v>36078</v>
      </c>
      <c r="S4322" s="213" t="s">
        <v>36079</v>
      </c>
      <c r="T4322" s="213" t="s">
        <v>36080</v>
      </c>
      <c r="U4322" s="213" t="s">
        <v>62570</v>
      </c>
    </row>
    <row r="4323" spans="1:21" x14ac:dyDescent="0.25">
      <c r="A4323" s="213" t="s">
        <v>327</v>
      </c>
      <c r="D4323" s="213" t="s">
        <v>36081</v>
      </c>
      <c r="E4323" s="213" t="s">
        <v>36082</v>
      </c>
      <c r="K4323" s="213" t="s">
        <v>62391</v>
      </c>
      <c r="L4323" s="213" t="s">
        <v>62451</v>
      </c>
      <c r="M4323" s="213" t="s">
        <v>62511</v>
      </c>
      <c r="N4323" s="213" t="s">
        <v>36083</v>
      </c>
      <c r="O4323" s="213" t="s">
        <v>36084</v>
      </c>
      <c r="P4323" s="213" t="s">
        <v>36085</v>
      </c>
      <c r="Q4323" s="213" t="s">
        <v>36086</v>
      </c>
      <c r="R4323" s="213" t="s">
        <v>36087</v>
      </c>
      <c r="S4323" s="213" t="s">
        <v>36088</v>
      </c>
      <c r="T4323" s="213" t="s">
        <v>36089</v>
      </c>
      <c r="U4323" s="213" t="s">
        <v>62571</v>
      </c>
    </row>
    <row r="4324" spans="1:21" x14ac:dyDescent="0.25">
      <c r="A4324" s="213" t="s">
        <v>327</v>
      </c>
      <c r="D4324" s="213" t="s">
        <v>36090</v>
      </c>
      <c r="E4324" s="213" t="s">
        <v>36091</v>
      </c>
      <c r="K4324" s="213" t="s">
        <v>62392</v>
      </c>
      <c r="L4324" s="213" t="s">
        <v>62452</v>
      </c>
      <c r="M4324" s="213" t="s">
        <v>62512</v>
      </c>
      <c r="N4324" s="213" t="s">
        <v>36092</v>
      </c>
      <c r="O4324" s="213" t="s">
        <v>36093</v>
      </c>
      <c r="P4324" s="213" t="s">
        <v>36094</v>
      </c>
      <c r="Q4324" s="213" t="s">
        <v>36095</v>
      </c>
      <c r="R4324" s="213" t="s">
        <v>36096</v>
      </c>
      <c r="S4324" s="213" t="s">
        <v>36097</v>
      </c>
      <c r="T4324" s="213" t="s">
        <v>36098</v>
      </c>
      <c r="U4324" s="213" t="s">
        <v>62572</v>
      </c>
    </row>
    <row r="4325" spans="1:21" x14ac:dyDescent="0.25">
      <c r="A4325" s="213" t="s">
        <v>327</v>
      </c>
      <c r="D4325" s="213" t="s">
        <v>36099</v>
      </c>
      <c r="E4325" s="213" t="s">
        <v>36100</v>
      </c>
      <c r="K4325" s="213" t="s">
        <v>62393</v>
      </c>
      <c r="L4325" s="213" t="s">
        <v>62453</v>
      </c>
      <c r="M4325" s="213" t="s">
        <v>62513</v>
      </c>
      <c r="N4325" s="213" t="s">
        <v>36101</v>
      </c>
      <c r="O4325" s="213" t="s">
        <v>36102</v>
      </c>
      <c r="P4325" s="213" t="s">
        <v>36103</v>
      </c>
      <c r="Q4325" s="213" t="s">
        <v>36104</v>
      </c>
      <c r="R4325" s="213" t="s">
        <v>36105</v>
      </c>
      <c r="S4325" s="213" t="s">
        <v>36106</v>
      </c>
      <c r="T4325" s="213" t="s">
        <v>36107</v>
      </c>
      <c r="U4325" s="213" t="s">
        <v>62573</v>
      </c>
    </row>
    <row r="4326" spans="1:21" x14ac:dyDescent="0.25">
      <c r="A4326" s="213" t="s">
        <v>327</v>
      </c>
      <c r="D4326" s="213" t="s">
        <v>36108</v>
      </c>
      <c r="E4326" s="213" t="s">
        <v>36109</v>
      </c>
      <c r="K4326" s="213" t="s">
        <v>62394</v>
      </c>
      <c r="L4326" s="213" t="s">
        <v>62454</v>
      </c>
      <c r="M4326" s="213" t="s">
        <v>62514</v>
      </c>
      <c r="N4326" s="213" t="s">
        <v>36110</v>
      </c>
      <c r="O4326" s="213" t="s">
        <v>36111</v>
      </c>
      <c r="P4326" s="213" t="s">
        <v>36112</v>
      </c>
      <c r="Q4326" s="213" t="s">
        <v>36113</v>
      </c>
      <c r="R4326" s="213" t="s">
        <v>36114</v>
      </c>
      <c r="S4326" s="213" t="s">
        <v>36115</v>
      </c>
      <c r="T4326" s="213" t="s">
        <v>36116</v>
      </c>
      <c r="U4326" s="213" t="s">
        <v>62574</v>
      </c>
    </row>
    <row r="4327" spans="1:21" x14ac:dyDescent="0.25">
      <c r="A4327" s="213" t="s">
        <v>327</v>
      </c>
      <c r="D4327" s="213" t="s">
        <v>36117</v>
      </c>
      <c r="E4327" s="213" t="s">
        <v>36118</v>
      </c>
      <c r="K4327" s="213" t="s">
        <v>62395</v>
      </c>
      <c r="L4327" s="213" t="s">
        <v>62455</v>
      </c>
      <c r="M4327" s="213" t="s">
        <v>62515</v>
      </c>
      <c r="N4327" s="213" t="s">
        <v>36119</v>
      </c>
      <c r="O4327" s="213" t="s">
        <v>36120</v>
      </c>
      <c r="P4327" s="213" t="s">
        <v>36121</v>
      </c>
      <c r="Q4327" s="213" t="s">
        <v>36122</v>
      </c>
      <c r="R4327" s="213" t="s">
        <v>36123</v>
      </c>
      <c r="S4327" s="213" t="s">
        <v>36124</v>
      </c>
      <c r="T4327" s="213" t="s">
        <v>36125</v>
      </c>
      <c r="U4327" s="213" t="s">
        <v>62575</v>
      </c>
    </row>
    <row r="4328" spans="1:21" x14ac:dyDescent="0.25">
      <c r="A4328" s="213" t="s">
        <v>327</v>
      </c>
      <c r="D4328" s="213" t="s">
        <v>36126</v>
      </c>
      <c r="E4328" s="213" t="s">
        <v>36127</v>
      </c>
      <c r="K4328" s="213" t="s">
        <v>62396</v>
      </c>
      <c r="L4328" s="213" t="s">
        <v>62456</v>
      </c>
      <c r="M4328" s="213" t="s">
        <v>62516</v>
      </c>
      <c r="N4328" s="213" t="s">
        <v>36128</v>
      </c>
      <c r="O4328" s="213" t="s">
        <v>36129</v>
      </c>
      <c r="P4328" s="213" t="s">
        <v>36130</v>
      </c>
      <c r="Q4328" s="213" t="s">
        <v>36131</v>
      </c>
      <c r="R4328" s="213" t="s">
        <v>36132</v>
      </c>
      <c r="S4328" s="213" t="s">
        <v>36133</v>
      </c>
      <c r="T4328" s="213" t="s">
        <v>36134</v>
      </c>
      <c r="U4328" s="213" t="s">
        <v>62576</v>
      </c>
    </row>
    <row r="4329" spans="1:21" x14ac:dyDescent="0.25">
      <c r="A4329" s="213" t="s">
        <v>327</v>
      </c>
      <c r="D4329" s="213" t="s">
        <v>36135</v>
      </c>
      <c r="E4329" s="213" t="s">
        <v>36136</v>
      </c>
      <c r="K4329" s="213" t="s">
        <v>62397</v>
      </c>
      <c r="L4329" s="213" t="s">
        <v>62457</v>
      </c>
      <c r="M4329" s="213" t="s">
        <v>62517</v>
      </c>
      <c r="N4329" s="213" t="s">
        <v>36137</v>
      </c>
      <c r="O4329" s="213" t="s">
        <v>36138</v>
      </c>
      <c r="P4329" s="213" t="s">
        <v>36139</v>
      </c>
      <c r="Q4329" s="213" t="s">
        <v>36140</v>
      </c>
      <c r="R4329" s="213" t="s">
        <v>36141</v>
      </c>
      <c r="S4329" s="213" t="s">
        <v>36142</v>
      </c>
      <c r="T4329" s="213" t="s">
        <v>36143</v>
      </c>
      <c r="U4329" s="213" t="s">
        <v>62577</v>
      </c>
    </row>
    <row r="4330" spans="1:21" x14ac:dyDescent="0.25">
      <c r="A4330" s="213" t="s">
        <v>327</v>
      </c>
    </row>
    <row r="4331" spans="1:21" x14ac:dyDescent="0.25">
      <c r="A4331" s="213" t="s">
        <v>327</v>
      </c>
    </row>
    <row r="4332" spans="1:21" x14ac:dyDescent="0.25">
      <c r="A4332" s="213" t="s">
        <v>327</v>
      </c>
      <c r="C4332" s="213" t="s">
        <v>36144</v>
      </c>
      <c r="E4332" s="213" t="s">
        <v>36145</v>
      </c>
      <c r="H4332" s="213" t="s">
        <v>36146</v>
      </c>
      <c r="I4332" s="213" t="s">
        <v>36147</v>
      </c>
      <c r="J4332" s="213" t="s">
        <v>36148</v>
      </c>
      <c r="L4332" s="213" t="s">
        <v>36149</v>
      </c>
      <c r="O4332" s="213" t="s">
        <v>36150</v>
      </c>
      <c r="P4332" s="213" t="s">
        <v>36151</v>
      </c>
      <c r="Q4332" s="213" t="s">
        <v>36152</v>
      </c>
      <c r="R4332" s="213" t="s">
        <v>36153</v>
      </c>
      <c r="S4332" s="213" t="s">
        <v>36154</v>
      </c>
      <c r="T4332" s="213" t="s">
        <v>36155</v>
      </c>
    </row>
    <row r="4333" spans="1:21" x14ac:dyDescent="0.25">
      <c r="A4333" s="213" t="s">
        <v>327</v>
      </c>
      <c r="C4333" s="213" t="s">
        <v>36156</v>
      </c>
      <c r="E4333" s="213" t="s">
        <v>36157</v>
      </c>
      <c r="I4333" s="213" t="s">
        <v>36158</v>
      </c>
    </row>
    <row r="4334" spans="1:21" x14ac:dyDescent="0.25">
      <c r="A4334" s="213" t="s">
        <v>327</v>
      </c>
      <c r="C4334" s="213" t="s">
        <v>36159</v>
      </c>
      <c r="E4334" s="213" t="s">
        <v>36160</v>
      </c>
      <c r="I4334" s="213" t="s">
        <v>36161</v>
      </c>
    </row>
    <row r="4335" spans="1:21" x14ac:dyDescent="0.25">
      <c r="A4335" s="213" t="s">
        <v>328</v>
      </c>
    </row>
    <row r="4336" spans="1:21" x14ac:dyDescent="0.25">
      <c r="A4336" s="213" t="s">
        <v>327</v>
      </c>
      <c r="D4336" s="213" t="s">
        <v>36162</v>
      </c>
      <c r="E4336" s="213" t="s">
        <v>36163</v>
      </c>
      <c r="K4336" s="213" t="s">
        <v>62278</v>
      </c>
      <c r="L4336" s="213" t="s">
        <v>62293</v>
      </c>
      <c r="M4336" s="213" t="s">
        <v>62308</v>
      </c>
      <c r="N4336" s="213" t="s">
        <v>36164</v>
      </c>
      <c r="O4336" s="213" t="s">
        <v>36165</v>
      </c>
      <c r="P4336" s="213" t="s">
        <v>36166</v>
      </c>
      <c r="Q4336" s="213" t="s">
        <v>36167</v>
      </c>
      <c r="R4336" s="213" t="s">
        <v>36168</v>
      </c>
      <c r="S4336" s="213" t="s">
        <v>36169</v>
      </c>
      <c r="T4336" s="213" t="s">
        <v>36170</v>
      </c>
      <c r="U4336" s="213" t="s">
        <v>62323</v>
      </c>
    </row>
    <row r="4337" spans="1:21" x14ac:dyDescent="0.25">
      <c r="A4337" s="213" t="s">
        <v>327</v>
      </c>
      <c r="D4337" s="213" t="s">
        <v>36171</v>
      </c>
      <c r="E4337" s="213" t="s">
        <v>36172</v>
      </c>
      <c r="K4337" s="213" t="s">
        <v>62279</v>
      </c>
      <c r="L4337" s="213" t="s">
        <v>62294</v>
      </c>
      <c r="M4337" s="213" t="s">
        <v>62309</v>
      </c>
      <c r="N4337" s="213" t="s">
        <v>36173</v>
      </c>
      <c r="O4337" s="213" t="s">
        <v>36174</v>
      </c>
      <c r="P4337" s="213" t="s">
        <v>36175</v>
      </c>
      <c r="Q4337" s="213" t="s">
        <v>36176</v>
      </c>
      <c r="R4337" s="213" t="s">
        <v>36177</v>
      </c>
      <c r="S4337" s="213" t="s">
        <v>36178</v>
      </c>
      <c r="T4337" s="213" t="s">
        <v>36179</v>
      </c>
      <c r="U4337" s="213" t="s">
        <v>62324</v>
      </c>
    </row>
    <row r="4338" spans="1:21" x14ac:dyDescent="0.25">
      <c r="A4338" s="213" t="s">
        <v>327</v>
      </c>
      <c r="D4338" s="213" t="s">
        <v>36180</v>
      </c>
      <c r="E4338" s="213" t="s">
        <v>36181</v>
      </c>
      <c r="K4338" s="213" t="s">
        <v>62280</v>
      </c>
      <c r="L4338" s="213" t="s">
        <v>62295</v>
      </c>
      <c r="M4338" s="213" t="s">
        <v>62310</v>
      </c>
      <c r="N4338" s="213" t="s">
        <v>36182</v>
      </c>
      <c r="O4338" s="213" t="s">
        <v>36183</v>
      </c>
      <c r="P4338" s="213" t="s">
        <v>36184</v>
      </c>
      <c r="Q4338" s="213" t="s">
        <v>36185</v>
      </c>
      <c r="R4338" s="213" t="s">
        <v>36186</v>
      </c>
      <c r="S4338" s="213" t="s">
        <v>36187</v>
      </c>
      <c r="T4338" s="213" t="s">
        <v>36188</v>
      </c>
      <c r="U4338" s="213" t="s">
        <v>62325</v>
      </c>
    </row>
    <row r="4339" spans="1:21" x14ac:dyDescent="0.25">
      <c r="A4339" s="213" t="s">
        <v>327</v>
      </c>
      <c r="D4339" s="213" t="s">
        <v>36189</v>
      </c>
      <c r="E4339" s="213" t="s">
        <v>36190</v>
      </c>
      <c r="K4339" s="213" t="s">
        <v>62281</v>
      </c>
      <c r="L4339" s="213" t="s">
        <v>62296</v>
      </c>
      <c r="M4339" s="213" t="s">
        <v>62311</v>
      </c>
      <c r="N4339" s="213" t="s">
        <v>36191</v>
      </c>
      <c r="O4339" s="213" t="s">
        <v>36192</v>
      </c>
      <c r="P4339" s="213" t="s">
        <v>36193</v>
      </c>
      <c r="Q4339" s="213" t="s">
        <v>36194</v>
      </c>
      <c r="R4339" s="213" t="s">
        <v>36195</v>
      </c>
      <c r="S4339" s="213" t="s">
        <v>36196</v>
      </c>
      <c r="T4339" s="213" t="s">
        <v>36197</v>
      </c>
      <c r="U4339" s="213" t="s">
        <v>62326</v>
      </c>
    </row>
    <row r="4340" spans="1:21" x14ac:dyDescent="0.25">
      <c r="A4340" s="213" t="s">
        <v>327</v>
      </c>
      <c r="D4340" s="213" t="s">
        <v>36198</v>
      </c>
      <c r="E4340" s="213" t="s">
        <v>36199</v>
      </c>
      <c r="K4340" s="213" t="s">
        <v>62282</v>
      </c>
      <c r="L4340" s="213" t="s">
        <v>62297</v>
      </c>
      <c r="M4340" s="213" t="s">
        <v>62312</v>
      </c>
      <c r="N4340" s="213" t="s">
        <v>36200</v>
      </c>
      <c r="O4340" s="213" t="s">
        <v>36201</v>
      </c>
      <c r="P4340" s="213" t="s">
        <v>36202</v>
      </c>
      <c r="Q4340" s="213" t="s">
        <v>36203</v>
      </c>
      <c r="R4340" s="213" t="s">
        <v>36204</v>
      </c>
      <c r="S4340" s="213" t="s">
        <v>36205</v>
      </c>
      <c r="T4340" s="213" t="s">
        <v>36206</v>
      </c>
      <c r="U4340" s="213" t="s">
        <v>62327</v>
      </c>
    </row>
    <row r="4341" spans="1:21" x14ac:dyDescent="0.25">
      <c r="A4341" s="213" t="s">
        <v>327</v>
      </c>
      <c r="D4341" s="213" t="s">
        <v>36207</v>
      </c>
      <c r="E4341" s="213" t="s">
        <v>36208</v>
      </c>
      <c r="K4341" s="213" t="s">
        <v>62283</v>
      </c>
      <c r="L4341" s="213" t="s">
        <v>62298</v>
      </c>
      <c r="M4341" s="213" t="s">
        <v>62313</v>
      </c>
      <c r="N4341" s="213" t="s">
        <v>36209</v>
      </c>
      <c r="O4341" s="213" t="s">
        <v>36210</v>
      </c>
      <c r="P4341" s="213" t="s">
        <v>36211</v>
      </c>
      <c r="Q4341" s="213" t="s">
        <v>36212</v>
      </c>
      <c r="R4341" s="213" t="s">
        <v>36213</v>
      </c>
      <c r="S4341" s="213" t="s">
        <v>36214</v>
      </c>
      <c r="T4341" s="213" t="s">
        <v>36215</v>
      </c>
      <c r="U4341" s="213" t="s">
        <v>62328</v>
      </c>
    </row>
    <row r="4342" spans="1:21" x14ac:dyDescent="0.25">
      <c r="A4342" s="213" t="s">
        <v>327</v>
      </c>
      <c r="D4342" s="213" t="s">
        <v>36216</v>
      </c>
      <c r="E4342" s="213" t="s">
        <v>36217</v>
      </c>
      <c r="K4342" s="213" t="s">
        <v>62284</v>
      </c>
      <c r="L4342" s="213" t="s">
        <v>62299</v>
      </c>
      <c r="M4342" s="213" t="s">
        <v>62314</v>
      </c>
      <c r="N4342" s="213" t="s">
        <v>36218</v>
      </c>
      <c r="O4342" s="213" t="s">
        <v>36219</v>
      </c>
      <c r="P4342" s="213" t="s">
        <v>36220</v>
      </c>
      <c r="Q4342" s="213" t="s">
        <v>36221</v>
      </c>
      <c r="R4342" s="213" t="s">
        <v>36222</v>
      </c>
      <c r="S4342" s="213" t="s">
        <v>36223</v>
      </c>
      <c r="T4342" s="213" t="s">
        <v>36224</v>
      </c>
      <c r="U4342" s="213" t="s">
        <v>62329</v>
      </c>
    </row>
    <row r="4343" spans="1:21" x14ac:dyDescent="0.25">
      <c r="A4343" s="213" t="s">
        <v>327</v>
      </c>
      <c r="D4343" s="213" t="s">
        <v>36225</v>
      </c>
      <c r="E4343" s="213" t="s">
        <v>36226</v>
      </c>
      <c r="K4343" s="213" t="s">
        <v>62285</v>
      </c>
      <c r="L4343" s="213" t="s">
        <v>62300</v>
      </c>
      <c r="M4343" s="213" t="s">
        <v>62315</v>
      </c>
      <c r="N4343" s="213" t="s">
        <v>36227</v>
      </c>
      <c r="O4343" s="213" t="s">
        <v>36228</v>
      </c>
      <c r="P4343" s="213" t="s">
        <v>36229</v>
      </c>
      <c r="Q4343" s="213" t="s">
        <v>36230</v>
      </c>
      <c r="R4343" s="213" t="s">
        <v>36231</v>
      </c>
      <c r="S4343" s="213" t="s">
        <v>36232</v>
      </c>
      <c r="T4343" s="213" t="s">
        <v>36233</v>
      </c>
      <c r="U4343" s="213" t="s">
        <v>62330</v>
      </c>
    </row>
    <row r="4344" spans="1:21" x14ac:dyDescent="0.25">
      <c r="A4344" s="213" t="s">
        <v>327</v>
      </c>
      <c r="D4344" s="213" t="s">
        <v>36234</v>
      </c>
      <c r="E4344" s="213" t="s">
        <v>36235</v>
      </c>
      <c r="K4344" s="213" t="s">
        <v>62286</v>
      </c>
      <c r="L4344" s="213" t="s">
        <v>62301</v>
      </c>
      <c r="M4344" s="213" t="s">
        <v>62316</v>
      </c>
      <c r="N4344" s="213" t="s">
        <v>36236</v>
      </c>
      <c r="O4344" s="213" t="s">
        <v>36237</v>
      </c>
      <c r="P4344" s="213" t="s">
        <v>36238</v>
      </c>
      <c r="Q4344" s="213" t="s">
        <v>36239</v>
      </c>
      <c r="R4344" s="213" t="s">
        <v>36240</v>
      </c>
      <c r="S4344" s="213" t="s">
        <v>36241</v>
      </c>
      <c r="T4344" s="213" t="s">
        <v>36242</v>
      </c>
      <c r="U4344" s="213" t="s">
        <v>62331</v>
      </c>
    </row>
    <row r="4345" spans="1:21" x14ac:dyDescent="0.25">
      <c r="A4345" s="213" t="s">
        <v>327</v>
      </c>
      <c r="D4345" s="213" t="s">
        <v>36243</v>
      </c>
      <c r="E4345" s="213" t="s">
        <v>36244</v>
      </c>
      <c r="K4345" s="213" t="s">
        <v>62287</v>
      </c>
      <c r="L4345" s="213" t="s">
        <v>62302</v>
      </c>
      <c r="M4345" s="213" t="s">
        <v>62317</v>
      </c>
      <c r="N4345" s="213" t="s">
        <v>36245</v>
      </c>
      <c r="O4345" s="213" t="s">
        <v>36246</v>
      </c>
      <c r="P4345" s="213" t="s">
        <v>36247</v>
      </c>
      <c r="Q4345" s="213" t="s">
        <v>36248</v>
      </c>
      <c r="R4345" s="213" t="s">
        <v>36249</v>
      </c>
      <c r="S4345" s="213" t="s">
        <v>36250</v>
      </c>
      <c r="T4345" s="213" t="s">
        <v>36251</v>
      </c>
      <c r="U4345" s="213" t="s">
        <v>62332</v>
      </c>
    </row>
    <row r="4346" spans="1:21" x14ac:dyDescent="0.25">
      <c r="A4346" s="213" t="s">
        <v>327</v>
      </c>
      <c r="D4346" s="213" t="s">
        <v>36252</v>
      </c>
      <c r="E4346" s="213" t="s">
        <v>36253</v>
      </c>
      <c r="K4346" s="213" t="s">
        <v>62288</v>
      </c>
      <c r="L4346" s="213" t="s">
        <v>62303</v>
      </c>
      <c r="M4346" s="213" t="s">
        <v>62318</v>
      </c>
      <c r="N4346" s="213" t="s">
        <v>36254</v>
      </c>
      <c r="O4346" s="213" t="s">
        <v>36255</v>
      </c>
      <c r="P4346" s="213" t="s">
        <v>36256</v>
      </c>
      <c r="Q4346" s="213" t="s">
        <v>36257</v>
      </c>
      <c r="R4346" s="213" t="s">
        <v>36258</v>
      </c>
      <c r="S4346" s="213" t="s">
        <v>36259</v>
      </c>
      <c r="T4346" s="213" t="s">
        <v>36260</v>
      </c>
      <c r="U4346" s="213" t="s">
        <v>62333</v>
      </c>
    </row>
    <row r="4347" spans="1:21" x14ac:dyDescent="0.25">
      <c r="A4347" s="213" t="s">
        <v>327</v>
      </c>
      <c r="D4347" s="213" t="s">
        <v>36261</v>
      </c>
      <c r="E4347" s="213" t="s">
        <v>36262</v>
      </c>
      <c r="K4347" s="213" t="s">
        <v>62289</v>
      </c>
      <c r="L4347" s="213" t="s">
        <v>62304</v>
      </c>
      <c r="M4347" s="213" t="s">
        <v>62319</v>
      </c>
      <c r="N4347" s="213" t="s">
        <v>36263</v>
      </c>
      <c r="O4347" s="213" t="s">
        <v>36264</v>
      </c>
      <c r="P4347" s="213" t="s">
        <v>36265</v>
      </c>
      <c r="Q4347" s="213" t="s">
        <v>36266</v>
      </c>
      <c r="R4347" s="213" t="s">
        <v>36267</v>
      </c>
      <c r="S4347" s="213" t="s">
        <v>36268</v>
      </c>
      <c r="T4347" s="213" t="s">
        <v>36269</v>
      </c>
      <c r="U4347" s="213" t="s">
        <v>62334</v>
      </c>
    </row>
    <row r="4348" spans="1:21" x14ac:dyDescent="0.25">
      <c r="A4348" s="213" t="s">
        <v>327</v>
      </c>
      <c r="D4348" s="213" t="s">
        <v>36270</v>
      </c>
      <c r="E4348" s="213" t="s">
        <v>36271</v>
      </c>
      <c r="K4348" s="213" t="s">
        <v>62290</v>
      </c>
      <c r="L4348" s="213" t="s">
        <v>62305</v>
      </c>
      <c r="M4348" s="213" t="s">
        <v>62320</v>
      </c>
      <c r="N4348" s="213" t="s">
        <v>36272</v>
      </c>
      <c r="O4348" s="213" t="s">
        <v>36273</v>
      </c>
      <c r="P4348" s="213" t="s">
        <v>36274</v>
      </c>
      <c r="Q4348" s="213" t="s">
        <v>36275</v>
      </c>
      <c r="R4348" s="213" t="s">
        <v>36276</v>
      </c>
      <c r="S4348" s="213" t="s">
        <v>36277</v>
      </c>
      <c r="T4348" s="213" t="s">
        <v>36278</v>
      </c>
      <c r="U4348" s="213" t="s">
        <v>62335</v>
      </c>
    </row>
    <row r="4349" spans="1:21" x14ac:dyDescent="0.25">
      <c r="A4349" s="213" t="s">
        <v>327</v>
      </c>
      <c r="D4349" s="213" t="s">
        <v>36279</v>
      </c>
      <c r="E4349" s="213" t="s">
        <v>36280</v>
      </c>
      <c r="K4349" s="213" t="s">
        <v>62291</v>
      </c>
      <c r="L4349" s="213" t="s">
        <v>62306</v>
      </c>
      <c r="M4349" s="213" t="s">
        <v>62321</v>
      </c>
      <c r="N4349" s="213" t="s">
        <v>36281</v>
      </c>
      <c r="O4349" s="213" t="s">
        <v>36282</v>
      </c>
      <c r="P4349" s="213" t="s">
        <v>36283</v>
      </c>
      <c r="Q4349" s="213" t="s">
        <v>36284</v>
      </c>
      <c r="R4349" s="213" t="s">
        <v>36285</v>
      </c>
      <c r="S4349" s="213" t="s">
        <v>36286</v>
      </c>
      <c r="T4349" s="213" t="s">
        <v>36287</v>
      </c>
      <c r="U4349" s="213" t="s">
        <v>62336</v>
      </c>
    </row>
    <row r="4350" spans="1:21" x14ac:dyDescent="0.25">
      <c r="A4350" s="213" t="s">
        <v>327</v>
      </c>
      <c r="D4350" s="213" t="s">
        <v>36288</v>
      </c>
      <c r="E4350" s="213" t="s">
        <v>36289</v>
      </c>
      <c r="K4350" s="213" t="s">
        <v>62292</v>
      </c>
      <c r="L4350" s="213" t="s">
        <v>62307</v>
      </c>
      <c r="M4350" s="213" t="s">
        <v>62322</v>
      </c>
      <c r="N4350" s="213" t="s">
        <v>36290</v>
      </c>
      <c r="O4350" s="213" t="s">
        <v>36291</v>
      </c>
      <c r="P4350" s="213" t="s">
        <v>36292</v>
      </c>
      <c r="Q4350" s="213" t="s">
        <v>36293</v>
      </c>
      <c r="R4350" s="213" t="s">
        <v>36294</v>
      </c>
      <c r="S4350" s="213" t="s">
        <v>36295</v>
      </c>
      <c r="T4350" s="213" t="s">
        <v>36296</v>
      </c>
      <c r="U4350" s="213" t="s">
        <v>62337</v>
      </c>
    </row>
    <row r="4351" spans="1:21" x14ac:dyDescent="0.25">
      <c r="A4351" s="213" t="s">
        <v>327</v>
      </c>
    </row>
    <row r="4352" spans="1:21" x14ac:dyDescent="0.25">
      <c r="A4352" s="213" t="s">
        <v>327</v>
      </c>
    </row>
    <row r="4353" spans="1:21" x14ac:dyDescent="0.25">
      <c r="A4353" s="213" t="s">
        <v>327</v>
      </c>
      <c r="C4353" s="213" t="s">
        <v>36297</v>
      </c>
      <c r="E4353" s="213" t="s">
        <v>36298</v>
      </c>
      <c r="H4353" s="213" t="s">
        <v>36299</v>
      </c>
      <c r="I4353" s="213" t="s">
        <v>36300</v>
      </c>
      <c r="J4353" s="213" t="s">
        <v>36301</v>
      </c>
      <c r="L4353" s="213" t="s">
        <v>36302</v>
      </c>
      <c r="O4353" s="213" t="s">
        <v>36303</v>
      </c>
      <c r="P4353" s="213" t="s">
        <v>36304</v>
      </c>
      <c r="Q4353" s="213" t="s">
        <v>36305</v>
      </c>
      <c r="R4353" s="213" t="s">
        <v>36306</v>
      </c>
      <c r="S4353" s="213" t="s">
        <v>36307</v>
      </c>
      <c r="T4353" s="213" t="s">
        <v>36308</v>
      </c>
    </row>
    <row r="4354" spans="1:21" x14ac:dyDescent="0.25">
      <c r="A4354" s="213" t="s">
        <v>327</v>
      </c>
      <c r="C4354" s="213" t="s">
        <v>36309</v>
      </c>
      <c r="E4354" s="213" t="s">
        <v>36310</v>
      </c>
      <c r="I4354" s="213" t="s">
        <v>36311</v>
      </c>
    </row>
    <row r="4355" spans="1:21" x14ac:dyDescent="0.25">
      <c r="A4355" s="213" t="s">
        <v>327</v>
      </c>
      <c r="C4355" s="213" t="s">
        <v>36312</v>
      </c>
      <c r="E4355" s="213" t="s">
        <v>36313</v>
      </c>
      <c r="I4355" s="213" t="s">
        <v>36314</v>
      </c>
    </row>
    <row r="4356" spans="1:21" x14ac:dyDescent="0.25">
      <c r="A4356" s="213" t="s">
        <v>328</v>
      </c>
    </row>
    <row r="4357" spans="1:21" x14ac:dyDescent="0.25">
      <c r="A4357" s="213" t="s">
        <v>327</v>
      </c>
      <c r="D4357" s="213" t="s">
        <v>36315</v>
      </c>
      <c r="E4357" s="213" t="s">
        <v>36316</v>
      </c>
      <c r="K4357" s="213" t="s">
        <v>62178</v>
      </c>
      <c r="L4357" s="213" t="s">
        <v>62203</v>
      </c>
      <c r="M4357" s="213" t="s">
        <v>62228</v>
      </c>
      <c r="N4357" s="213" t="s">
        <v>36317</v>
      </c>
      <c r="O4357" s="213" t="s">
        <v>36318</v>
      </c>
      <c r="P4357" s="213" t="s">
        <v>36319</v>
      </c>
      <c r="Q4357" s="213" t="s">
        <v>36320</v>
      </c>
      <c r="R4357" s="213" t="s">
        <v>36321</v>
      </c>
      <c r="S4357" s="213" t="s">
        <v>36322</v>
      </c>
      <c r="T4357" s="213" t="s">
        <v>36323</v>
      </c>
      <c r="U4357" s="213" t="s">
        <v>62253</v>
      </c>
    </row>
    <row r="4358" spans="1:21" x14ac:dyDescent="0.25">
      <c r="A4358" s="213" t="s">
        <v>327</v>
      </c>
      <c r="D4358" s="213" t="s">
        <v>36324</v>
      </c>
      <c r="E4358" s="213" t="s">
        <v>36325</v>
      </c>
      <c r="K4358" s="213" t="s">
        <v>62179</v>
      </c>
      <c r="L4358" s="213" t="s">
        <v>62204</v>
      </c>
      <c r="M4358" s="213" t="s">
        <v>62229</v>
      </c>
      <c r="N4358" s="213" t="s">
        <v>36326</v>
      </c>
      <c r="O4358" s="213" t="s">
        <v>36327</v>
      </c>
      <c r="P4358" s="213" t="s">
        <v>36328</v>
      </c>
      <c r="Q4358" s="213" t="s">
        <v>36329</v>
      </c>
      <c r="R4358" s="213" t="s">
        <v>36330</v>
      </c>
      <c r="S4358" s="213" t="s">
        <v>36331</v>
      </c>
      <c r="T4358" s="213" t="s">
        <v>36332</v>
      </c>
      <c r="U4358" s="213" t="s">
        <v>62254</v>
      </c>
    </row>
    <row r="4359" spans="1:21" x14ac:dyDescent="0.25">
      <c r="A4359" s="213" t="s">
        <v>327</v>
      </c>
      <c r="D4359" s="213" t="s">
        <v>36333</v>
      </c>
      <c r="E4359" s="213" t="s">
        <v>36334</v>
      </c>
      <c r="K4359" s="213" t="s">
        <v>62180</v>
      </c>
      <c r="L4359" s="213" t="s">
        <v>62205</v>
      </c>
      <c r="M4359" s="213" t="s">
        <v>62230</v>
      </c>
      <c r="N4359" s="213" t="s">
        <v>36335</v>
      </c>
      <c r="O4359" s="213" t="s">
        <v>36336</v>
      </c>
      <c r="P4359" s="213" t="s">
        <v>36337</v>
      </c>
      <c r="Q4359" s="213" t="s">
        <v>36338</v>
      </c>
      <c r="R4359" s="213" t="s">
        <v>36339</v>
      </c>
      <c r="S4359" s="213" t="s">
        <v>36340</v>
      </c>
      <c r="T4359" s="213" t="s">
        <v>36341</v>
      </c>
      <c r="U4359" s="213" t="s">
        <v>62255</v>
      </c>
    </row>
    <row r="4360" spans="1:21" x14ac:dyDescent="0.25">
      <c r="A4360" s="213" t="s">
        <v>327</v>
      </c>
      <c r="D4360" s="213" t="s">
        <v>36342</v>
      </c>
      <c r="E4360" s="213" t="s">
        <v>36343</v>
      </c>
      <c r="K4360" s="213" t="s">
        <v>62181</v>
      </c>
      <c r="L4360" s="213" t="s">
        <v>62206</v>
      </c>
      <c r="M4360" s="213" t="s">
        <v>62231</v>
      </c>
      <c r="N4360" s="213" t="s">
        <v>36344</v>
      </c>
      <c r="O4360" s="213" t="s">
        <v>36345</v>
      </c>
      <c r="P4360" s="213" t="s">
        <v>36346</v>
      </c>
      <c r="Q4360" s="213" t="s">
        <v>36347</v>
      </c>
      <c r="R4360" s="213" t="s">
        <v>36348</v>
      </c>
      <c r="S4360" s="213" t="s">
        <v>36349</v>
      </c>
      <c r="T4360" s="213" t="s">
        <v>36350</v>
      </c>
      <c r="U4360" s="213" t="s">
        <v>62256</v>
      </c>
    </row>
    <row r="4361" spans="1:21" x14ac:dyDescent="0.25">
      <c r="A4361" s="213" t="s">
        <v>327</v>
      </c>
      <c r="D4361" s="213" t="s">
        <v>36351</v>
      </c>
      <c r="E4361" s="213" t="s">
        <v>36352</v>
      </c>
      <c r="K4361" s="213" t="s">
        <v>62182</v>
      </c>
      <c r="L4361" s="213" t="s">
        <v>62207</v>
      </c>
      <c r="M4361" s="213" t="s">
        <v>62232</v>
      </c>
      <c r="N4361" s="213" t="s">
        <v>36353</v>
      </c>
      <c r="O4361" s="213" t="s">
        <v>36354</v>
      </c>
      <c r="P4361" s="213" t="s">
        <v>36355</v>
      </c>
      <c r="Q4361" s="213" t="s">
        <v>36356</v>
      </c>
      <c r="R4361" s="213" t="s">
        <v>36357</v>
      </c>
      <c r="S4361" s="213" t="s">
        <v>36358</v>
      </c>
      <c r="T4361" s="213" t="s">
        <v>36359</v>
      </c>
      <c r="U4361" s="213" t="s">
        <v>62257</v>
      </c>
    </row>
    <row r="4362" spans="1:21" x14ac:dyDescent="0.25">
      <c r="A4362" s="213" t="s">
        <v>327</v>
      </c>
      <c r="D4362" s="213" t="s">
        <v>36360</v>
      </c>
      <c r="E4362" s="213" t="s">
        <v>36361</v>
      </c>
      <c r="K4362" s="213" t="s">
        <v>62183</v>
      </c>
      <c r="L4362" s="213" t="s">
        <v>62208</v>
      </c>
      <c r="M4362" s="213" t="s">
        <v>62233</v>
      </c>
      <c r="N4362" s="213" t="s">
        <v>36362</v>
      </c>
      <c r="O4362" s="213" t="s">
        <v>36363</v>
      </c>
      <c r="P4362" s="213" t="s">
        <v>36364</v>
      </c>
      <c r="Q4362" s="213" t="s">
        <v>36365</v>
      </c>
      <c r="R4362" s="213" t="s">
        <v>36366</v>
      </c>
      <c r="S4362" s="213" t="s">
        <v>36367</v>
      </c>
      <c r="T4362" s="213" t="s">
        <v>36368</v>
      </c>
      <c r="U4362" s="213" t="s">
        <v>62258</v>
      </c>
    </row>
    <row r="4363" spans="1:21" x14ac:dyDescent="0.25">
      <c r="A4363" s="213" t="s">
        <v>327</v>
      </c>
      <c r="D4363" s="213" t="s">
        <v>36369</v>
      </c>
      <c r="E4363" s="213" t="s">
        <v>36370</v>
      </c>
      <c r="K4363" s="213" t="s">
        <v>62184</v>
      </c>
      <c r="L4363" s="213" t="s">
        <v>62209</v>
      </c>
      <c r="M4363" s="213" t="s">
        <v>62234</v>
      </c>
      <c r="N4363" s="213" t="s">
        <v>36371</v>
      </c>
      <c r="O4363" s="213" t="s">
        <v>36372</v>
      </c>
      <c r="P4363" s="213" t="s">
        <v>36373</v>
      </c>
      <c r="Q4363" s="213" t="s">
        <v>36374</v>
      </c>
      <c r="R4363" s="213" t="s">
        <v>36375</v>
      </c>
      <c r="S4363" s="213" t="s">
        <v>36376</v>
      </c>
      <c r="T4363" s="213" t="s">
        <v>36377</v>
      </c>
      <c r="U4363" s="213" t="s">
        <v>62259</v>
      </c>
    </row>
    <row r="4364" spans="1:21" x14ac:dyDescent="0.25">
      <c r="A4364" s="213" t="s">
        <v>327</v>
      </c>
      <c r="D4364" s="213" t="s">
        <v>36378</v>
      </c>
      <c r="E4364" s="213" t="s">
        <v>36379</v>
      </c>
      <c r="K4364" s="213" t="s">
        <v>62185</v>
      </c>
      <c r="L4364" s="213" t="s">
        <v>62210</v>
      </c>
      <c r="M4364" s="213" t="s">
        <v>62235</v>
      </c>
      <c r="N4364" s="213" t="s">
        <v>36380</v>
      </c>
      <c r="O4364" s="213" t="s">
        <v>36381</v>
      </c>
      <c r="P4364" s="213" t="s">
        <v>36382</v>
      </c>
      <c r="Q4364" s="213" t="s">
        <v>36383</v>
      </c>
      <c r="R4364" s="213" t="s">
        <v>36384</v>
      </c>
      <c r="S4364" s="213" t="s">
        <v>36385</v>
      </c>
      <c r="T4364" s="213" t="s">
        <v>36386</v>
      </c>
      <c r="U4364" s="213" t="s">
        <v>62260</v>
      </c>
    </row>
    <row r="4365" spans="1:21" x14ac:dyDescent="0.25">
      <c r="A4365" s="213" t="s">
        <v>327</v>
      </c>
      <c r="D4365" s="213" t="s">
        <v>36387</v>
      </c>
      <c r="E4365" s="213" t="s">
        <v>36388</v>
      </c>
      <c r="K4365" s="213" t="s">
        <v>62186</v>
      </c>
      <c r="L4365" s="213" t="s">
        <v>62211</v>
      </c>
      <c r="M4365" s="213" t="s">
        <v>62236</v>
      </c>
      <c r="N4365" s="213" t="s">
        <v>36389</v>
      </c>
      <c r="O4365" s="213" t="s">
        <v>36390</v>
      </c>
      <c r="P4365" s="213" t="s">
        <v>36391</v>
      </c>
      <c r="Q4365" s="213" t="s">
        <v>36392</v>
      </c>
      <c r="R4365" s="213" t="s">
        <v>36393</v>
      </c>
      <c r="S4365" s="213" t="s">
        <v>36394</v>
      </c>
      <c r="T4365" s="213" t="s">
        <v>36395</v>
      </c>
      <c r="U4365" s="213" t="s">
        <v>62261</v>
      </c>
    </row>
    <row r="4366" spans="1:21" x14ac:dyDescent="0.25">
      <c r="A4366" s="213" t="s">
        <v>327</v>
      </c>
      <c r="D4366" s="213" t="s">
        <v>36396</v>
      </c>
      <c r="E4366" s="213" t="s">
        <v>36397</v>
      </c>
      <c r="K4366" s="213" t="s">
        <v>62187</v>
      </c>
      <c r="L4366" s="213" t="s">
        <v>62212</v>
      </c>
      <c r="M4366" s="213" t="s">
        <v>62237</v>
      </c>
      <c r="N4366" s="213" t="s">
        <v>36398</v>
      </c>
      <c r="O4366" s="213" t="s">
        <v>36399</v>
      </c>
      <c r="P4366" s="213" t="s">
        <v>36400</v>
      </c>
      <c r="Q4366" s="213" t="s">
        <v>36401</v>
      </c>
      <c r="R4366" s="213" t="s">
        <v>36402</v>
      </c>
      <c r="S4366" s="213" t="s">
        <v>36403</v>
      </c>
      <c r="T4366" s="213" t="s">
        <v>36404</v>
      </c>
      <c r="U4366" s="213" t="s">
        <v>62262</v>
      </c>
    </row>
    <row r="4367" spans="1:21" x14ac:dyDescent="0.25">
      <c r="A4367" s="213" t="s">
        <v>327</v>
      </c>
      <c r="D4367" s="213" t="s">
        <v>36405</v>
      </c>
      <c r="E4367" s="213" t="s">
        <v>36406</v>
      </c>
      <c r="K4367" s="213" t="s">
        <v>62188</v>
      </c>
      <c r="L4367" s="213" t="s">
        <v>62213</v>
      </c>
      <c r="M4367" s="213" t="s">
        <v>62238</v>
      </c>
      <c r="N4367" s="213" t="s">
        <v>36407</v>
      </c>
      <c r="O4367" s="213" t="s">
        <v>36408</v>
      </c>
      <c r="P4367" s="213" t="s">
        <v>36409</v>
      </c>
      <c r="Q4367" s="213" t="s">
        <v>36410</v>
      </c>
      <c r="R4367" s="213" t="s">
        <v>36411</v>
      </c>
      <c r="S4367" s="213" t="s">
        <v>36412</v>
      </c>
      <c r="T4367" s="213" t="s">
        <v>36413</v>
      </c>
      <c r="U4367" s="213" t="s">
        <v>62263</v>
      </c>
    </row>
    <row r="4368" spans="1:21" x14ac:dyDescent="0.25">
      <c r="A4368" s="213" t="s">
        <v>327</v>
      </c>
      <c r="D4368" s="213" t="s">
        <v>36414</v>
      </c>
      <c r="E4368" s="213" t="s">
        <v>36415</v>
      </c>
      <c r="K4368" s="213" t="s">
        <v>62189</v>
      </c>
      <c r="L4368" s="213" t="s">
        <v>62214</v>
      </c>
      <c r="M4368" s="213" t="s">
        <v>62239</v>
      </c>
      <c r="N4368" s="213" t="s">
        <v>36416</v>
      </c>
      <c r="O4368" s="213" t="s">
        <v>36417</v>
      </c>
      <c r="P4368" s="213" t="s">
        <v>36418</v>
      </c>
      <c r="Q4368" s="213" t="s">
        <v>36419</v>
      </c>
      <c r="R4368" s="213" t="s">
        <v>36420</v>
      </c>
      <c r="S4368" s="213" t="s">
        <v>36421</v>
      </c>
      <c r="T4368" s="213" t="s">
        <v>36422</v>
      </c>
      <c r="U4368" s="213" t="s">
        <v>62264</v>
      </c>
    </row>
    <row r="4369" spans="1:21" x14ac:dyDescent="0.25">
      <c r="A4369" s="213" t="s">
        <v>327</v>
      </c>
      <c r="D4369" s="213" t="s">
        <v>36423</v>
      </c>
      <c r="E4369" s="213" t="s">
        <v>36424</v>
      </c>
      <c r="K4369" s="213" t="s">
        <v>62190</v>
      </c>
      <c r="L4369" s="213" t="s">
        <v>62215</v>
      </c>
      <c r="M4369" s="213" t="s">
        <v>62240</v>
      </c>
      <c r="N4369" s="213" t="s">
        <v>36425</v>
      </c>
      <c r="O4369" s="213" t="s">
        <v>36426</v>
      </c>
      <c r="P4369" s="213" t="s">
        <v>36427</v>
      </c>
      <c r="Q4369" s="213" t="s">
        <v>36428</v>
      </c>
      <c r="R4369" s="213" t="s">
        <v>36429</v>
      </c>
      <c r="S4369" s="213" t="s">
        <v>36430</v>
      </c>
      <c r="T4369" s="213" t="s">
        <v>36431</v>
      </c>
      <c r="U4369" s="213" t="s">
        <v>62265</v>
      </c>
    </row>
    <row r="4370" spans="1:21" x14ac:dyDescent="0.25">
      <c r="A4370" s="213" t="s">
        <v>327</v>
      </c>
      <c r="D4370" s="213" t="s">
        <v>36432</v>
      </c>
      <c r="E4370" s="213" t="s">
        <v>36433</v>
      </c>
      <c r="K4370" s="213" t="s">
        <v>62191</v>
      </c>
      <c r="L4370" s="213" t="s">
        <v>62216</v>
      </c>
      <c r="M4370" s="213" t="s">
        <v>62241</v>
      </c>
      <c r="N4370" s="213" t="s">
        <v>36434</v>
      </c>
      <c r="O4370" s="213" t="s">
        <v>36435</v>
      </c>
      <c r="P4370" s="213" t="s">
        <v>36436</v>
      </c>
      <c r="Q4370" s="213" t="s">
        <v>36437</v>
      </c>
      <c r="R4370" s="213" t="s">
        <v>36438</v>
      </c>
      <c r="S4370" s="213" t="s">
        <v>36439</v>
      </c>
      <c r="T4370" s="213" t="s">
        <v>36440</v>
      </c>
      <c r="U4370" s="213" t="s">
        <v>62266</v>
      </c>
    </row>
    <row r="4371" spans="1:21" x14ac:dyDescent="0.25">
      <c r="A4371" s="213" t="s">
        <v>327</v>
      </c>
      <c r="D4371" s="213" t="s">
        <v>36441</v>
      </c>
      <c r="E4371" s="213" t="s">
        <v>36442</v>
      </c>
      <c r="K4371" s="213" t="s">
        <v>62192</v>
      </c>
      <c r="L4371" s="213" t="s">
        <v>62217</v>
      </c>
      <c r="M4371" s="213" t="s">
        <v>62242</v>
      </c>
      <c r="N4371" s="213" t="s">
        <v>36443</v>
      </c>
      <c r="O4371" s="213" t="s">
        <v>36444</v>
      </c>
      <c r="P4371" s="213" t="s">
        <v>36445</v>
      </c>
      <c r="Q4371" s="213" t="s">
        <v>36446</v>
      </c>
      <c r="R4371" s="213" t="s">
        <v>36447</v>
      </c>
      <c r="S4371" s="213" t="s">
        <v>36448</v>
      </c>
      <c r="T4371" s="213" t="s">
        <v>36449</v>
      </c>
      <c r="U4371" s="213" t="s">
        <v>62267</v>
      </c>
    </row>
    <row r="4372" spans="1:21" x14ac:dyDescent="0.25">
      <c r="A4372" s="213" t="s">
        <v>327</v>
      </c>
      <c r="D4372" s="213" t="s">
        <v>36450</v>
      </c>
      <c r="E4372" s="213" t="s">
        <v>36451</v>
      </c>
      <c r="K4372" s="213" t="s">
        <v>62193</v>
      </c>
      <c r="L4372" s="213" t="s">
        <v>62218</v>
      </c>
      <c r="M4372" s="213" t="s">
        <v>62243</v>
      </c>
      <c r="N4372" s="213" t="s">
        <v>36452</v>
      </c>
      <c r="O4372" s="213" t="s">
        <v>36453</v>
      </c>
      <c r="P4372" s="213" t="s">
        <v>36454</v>
      </c>
      <c r="Q4372" s="213" t="s">
        <v>36455</v>
      </c>
      <c r="R4372" s="213" t="s">
        <v>36456</v>
      </c>
      <c r="S4372" s="213" t="s">
        <v>36457</v>
      </c>
      <c r="T4372" s="213" t="s">
        <v>36458</v>
      </c>
      <c r="U4372" s="213" t="s">
        <v>62268</v>
      </c>
    </row>
    <row r="4373" spans="1:21" x14ac:dyDescent="0.25">
      <c r="A4373" s="213" t="s">
        <v>327</v>
      </c>
      <c r="D4373" s="213" t="s">
        <v>36459</v>
      </c>
      <c r="E4373" s="213" t="s">
        <v>36460</v>
      </c>
      <c r="K4373" s="213" t="s">
        <v>62194</v>
      </c>
      <c r="L4373" s="213" t="s">
        <v>62219</v>
      </c>
      <c r="M4373" s="213" t="s">
        <v>62244</v>
      </c>
      <c r="N4373" s="213" t="s">
        <v>36461</v>
      </c>
      <c r="O4373" s="213" t="s">
        <v>36462</v>
      </c>
      <c r="P4373" s="213" t="s">
        <v>36463</v>
      </c>
      <c r="Q4373" s="213" t="s">
        <v>36464</v>
      </c>
      <c r="R4373" s="213" t="s">
        <v>36465</v>
      </c>
      <c r="S4373" s="213" t="s">
        <v>36466</v>
      </c>
      <c r="T4373" s="213" t="s">
        <v>36467</v>
      </c>
      <c r="U4373" s="213" t="s">
        <v>62269</v>
      </c>
    </row>
    <row r="4374" spans="1:21" x14ac:dyDescent="0.25">
      <c r="A4374" s="213" t="s">
        <v>327</v>
      </c>
      <c r="D4374" s="213" t="s">
        <v>36468</v>
      </c>
      <c r="E4374" s="213" t="s">
        <v>36469</v>
      </c>
      <c r="K4374" s="213" t="s">
        <v>62195</v>
      </c>
      <c r="L4374" s="213" t="s">
        <v>62220</v>
      </c>
      <c r="M4374" s="213" t="s">
        <v>62245</v>
      </c>
      <c r="N4374" s="213" t="s">
        <v>36470</v>
      </c>
      <c r="O4374" s="213" t="s">
        <v>36471</v>
      </c>
      <c r="P4374" s="213" t="s">
        <v>36472</v>
      </c>
      <c r="Q4374" s="213" t="s">
        <v>36473</v>
      </c>
      <c r="R4374" s="213" t="s">
        <v>36474</v>
      </c>
      <c r="S4374" s="213" t="s">
        <v>36475</v>
      </c>
      <c r="T4374" s="213" t="s">
        <v>36476</v>
      </c>
      <c r="U4374" s="213" t="s">
        <v>62270</v>
      </c>
    </row>
    <row r="4375" spans="1:21" x14ac:dyDescent="0.25">
      <c r="A4375" s="213" t="s">
        <v>327</v>
      </c>
      <c r="D4375" s="213" t="s">
        <v>36477</v>
      </c>
      <c r="E4375" s="213" t="s">
        <v>36478</v>
      </c>
      <c r="K4375" s="213" t="s">
        <v>62196</v>
      </c>
      <c r="L4375" s="213" t="s">
        <v>62221</v>
      </c>
      <c r="M4375" s="213" t="s">
        <v>62246</v>
      </c>
      <c r="N4375" s="213" t="s">
        <v>36479</v>
      </c>
      <c r="O4375" s="213" t="s">
        <v>36480</v>
      </c>
      <c r="P4375" s="213" t="s">
        <v>36481</v>
      </c>
      <c r="Q4375" s="213" t="s">
        <v>36482</v>
      </c>
      <c r="R4375" s="213" t="s">
        <v>36483</v>
      </c>
      <c r="S4375" s="213" t="s">
        <v>36484</v>
      </c>
      <c r="T4375" s="213" t="s">
        <v>36485</v>
      </c>
      <c r="U4375" s="213" t="s">
        <v>62271</v>
      </c>
    </row>
    <row r="4376" spans="1:21" x14ac:dyDescent="0.25">
      <c r="A4376" s="213" t="s">
        <v>327</v>
      </c>
      <c r="D4376" s="213" t="s">
        <v>36486</v>
      </c>
      <c r="E4376" s="213" t="s">
        <v>36487</v>
      </c>
      <c r="K4376" s="213" t="s">
        <v>62197</v>
      </c>
      <c r="L4376" s="213" t="s">
        <v>62222</v>
      </c>
      <c r="M4376" s="213" t="s">
        <v>62247</v>
      </c>
      <c r="N4376" s="213" t="s">
        <v>36488</v>
      </c>
      <c r="O4376" s="213" t="s">
        <v>36489</v>
      </c>
      <c r="P4376" s="213" t="s">
        <v>36490</v>
      </c>
      <c r="Q4376" s="213" t="s">
        <v>36491</v>
      </c>
      <c r="R4376" s="213" t="s">
        <v>36492</v>
      </c>
      <c r="S4376" s="213" t="s">
        <v>36493</v>
      </c>
      <c r="T4376" s="213" t="s">
        <v>36494</v>
      </c>
      <c r="U4376" s="213" t="s">
        <v>62272</v>
      </c>
    </row>
    <row r="4377" spans="1:21" x14ac:dyDescent="0.25">
      <c r="A4377" s="213" t="s">
        <v>327</v>
      </c>
      <c r="D4377" s="213" t="s">
        <v>36495</v>
      </c>
      <c r="E4377" s="213" t="s">
        <v>36496</v>
      </c>
      <c r="K4377" s="213" t="s">
        <v>62198</v>
      </c>
      <c r="L4377" s="213" t="s">
        <v>62223</v>
      </c>
      <c r="M4377" s="213" t="s">
        <v>62248</v>
      </c>
      <c r="N4377" s="213" t="s">
        <v>36497</v>
      </c>
      <c r="O4377" s="213" t="s">
        <v>36498</v>
      </c>
      <c r="P4377" s="213" t="s">
        <v>36499</v>
      </c>
      <c r="Q4377" s="213" t="s">
        <v>36500</v>
      </c>
      <c r="R4377" s="213" t="s">
        <v>36501</v>
      </c>
      <c r="S4377" s="213" t="s">
        <v>36502</v>
      </c>
      <c r="T4377" s="213" t="s">
        <v>36503</v>
      </c>
      <c r="U4377" s="213" t="s">
        <v>62273</v>
      </c>
    </row>
    <row r="4378" spans="1:21" x14ac:dyDescent="0.25">
      <c r="A4378" s="213" t="s">
        <v>327</v>
      </c>
      <c r="D4378" s="213" t="s">
        <v>36504</v>
      </c>
      <c r="E4378" s="213" t="s">
        <v>36505</v>
      </c>
      <c r="K4378" s="213" t="s">
        <v>62199</v>
      </c>
      <c r="L4378" s="213" t="s">
        <v>62224</v>
      </c>
      <c r="M4378" s="213" t="s">
        <v>62249</v>
      </c>
      <c r="N4378" s="213" t="s">
        <v>36506</v>
      </c>
      <c r="O4378" s="213" t="s">
        <v>36507</v>
      </c>
      <c r="P4378" s="213" t="s">
        <v>36508</v>
      </c>
      <c r="Q4378" s="213" t="s">
        <v>36509</v>
      </c>
      <c r="R4378" s="213" t="s">
        <v>36510</v>
      </c>
      <c r="S4378" s="213" t="s">
        <v>36511</v>
      </c>
      <c r="T4378" s="213" t="s">
        <v>36512</v>
      </c>
      <c r="U4378" s="213" t="s">
        <v>62274</v>
      </c>
    </row>
    <row r="4379" spans="1:21" x14ac:dyDescent="0.25">
      <c r="A4379" s="213" t="s">
        <v>327</v>
      </c>
      <c r="D4379" s="213" t="s">
        <v>36513</v>
      </c>
      <c r="E4379" s="213" t="s">
        <v>36514</v>
      </c>
      <c r="K4379" s="213" t="s">
        <v>62200</v>
      </c>
      <c r="L4379" s="213" t="s">
        <v>62225</v>
      </c>
      <c r="M4379" s="213" t="s">
        <v>62250</v>
      </c>
      <c r="N4379" s="213" t="s">
        <v>36515</v>
      </c>
      <c r="O4379" s="213" t="s">
        <v>36516</v>
      </c>
      <c r="P4379" s="213" t="s">
        <v>36517</v>
      </c>
      <c r="Q4379" s="213" t="s">
        <v>36518</v>
      </c>
      <c r="R4379" s="213" t="s">
        <v>36519</v>
      </c>
      <c r="S4379" s="213" t="s">
        <v>36520</v>
      </c>
      <c r="T4379" s="213" t="s">
        <v>36521</v>
      </c>
      <c r="U4379" s="213" t="s">
        <v>62275</v>
      </c>
    </row>
    <row r="4380" spans="1:21" x14ac:dyDescent="0.25">
      <c r="A4380" s="213" t="s">
        <v>327</v>
      </c>
      <c r="D4380" s="213" t="s">
        <v>36522</v>
      </c>
      <c r="E4380" s="213" t="s">
        <v>36523</v>
      </c>
      <c r="K4380" s="213" t="s">
        <v>62201</v>
      </c>
      <c r="L4380" s="213" t="s">
        <v>62226</v>
      </c>
      <c r="M4380" s="213" t="s">
        <v>62251</v>
      </c>
      <c r="N4380" s="213" t="s">
        <v>36524</v>
      </c>
      <c r="O4380" s="213" t="s">
        <v>36525</v>
      </c>
      <c r="P4380" s="213" t="s">
        <v>36526</v>
      </c>
      <c r="Q4380" s="213" t="s">
        <v>36527</v>
      </c>
      <c r="R4380" s="213" t="s">
        <v>36528</v>
      </c>
      <c r="S4380" s="213" t="s">
        <v>36529</v>
      </c>
      <c r="T4380" s="213" t="s">
        <v>36530</v>
      </c>
      <c r="U4380" s="213" t="s">
        <v>62276</v>
      </c>
    </row>
    <row r="4381" spans="1:21" x14ac:dyDescent="0.25">
      <c r="A4381" s="213" t="s">
        <v>327</v>
      </c>
      <c r="D4381" s="213" t="s">
        <v>36531</v>
      </c>
      <c r="E4381" s="213" t="s">
        <v>36532</v>
      </c>
      <c r="K4381" s="213" t="s">
        <v>62202</v>
      </c>
      <c r="L4381" s="213" t="s">
        <v>62227</v>
      </c>
      <c r="M4381" s="213" t="s">
        <v>62252</v>
      </c>
      <c r="N4381" s="213" t="s">
        <v>36533</v>
      </c>
      <c r="O4381" s="213" t="s">
        <v>36534</v>
      </c>
      <c r="P4381" s="213" t="s">
        <v>36535</v>
      </c>
      <c r="Q4381" s="213" t="s">
        <v>36536</v>
      </c>
      <c r="R4381" s="213" t="s">
        <v>36537</v>
      </c>
      <c r="S4381" s="213" t="s">
        <v>36538</v>
      </c>
      <c r="T4381" s="213" t="s">
        <v>36539</v>
      </c>
      <c r="U4381" s="213" t="s">
        <v>62277</v>
      </c>
    </row>
    <row r="4382" spans="1:21" x14ac:dyDescent="0.25">
      <c r="A4382" s="213" t="s">
        <v>327</v>
      </c>
    </row>
    <row r="4383" spans="1:21" x14ac:dyDescent="0.25">
      <c r="A4383" s="213" t="s">
        <v>327</v>
      </c>
    </row>
    <row r="4384" spans="1:21" x14ac:dyDescent="0.25">
      <c r="A4384" s="213" t="s">
        <v>327</v>
      </c>
      <c r="C4384" s="213" t="s">
        <v>36540</v>
      </c>
      <c r="E4384" s="213" t="s">
        <v>36541</v>
      </c>
      <c r="H4384" s="213" t="s">
        <v>36542</v>
      </c>
      <c r="I4384" s="213" t="s">
        <v>36543</v>
      </c>
      <c r="J4384" s="213" t="s">
        <v>36544</v>
      </c>
      <c r="L4384" s="213" t="s">
        <v>36545</v>
      </c>
      <c r="O4384" s="213" t="s">
        <v>36546</v>
      </c>
      <c r="P4384" s="213" t="s">
        <v>36547</v>
      </c>
      <c r="Q4384" s="213" t="s">
        <v>36548</v>
      </c>
      <c r="R4384" s="213" t="s">
        <v>36549</v>
      </c>
      <c r="S4384" s="213" t="s">
        <v>36550</v>
      </c>
      <c r="T4384" s="213" t="s">
        <v>36551</v>
      </c>
    </row>
    <row r="4385" spans="1:21" x14ac:dyDescent="0.25">
      <c r="A4385" s="213" t="s">
        <v>327</v>
      </c>
      <c r="C4385" s="213" t="s">
        <v>36552</v>
      </c>
      <c r="E4385" s="213" t="s">
        <v>36553</v>
      </c>
      <c r="I4385" s="213" t="s">
        <v>36554</v>
      </c>
    </row>
    <row r="4386" spans="1:21" x14ac:dyDescent="0.25">
      <c r="A4386" s="213" t="s">
        <v>327</v>
      </c>
      <c r="C4386" s="213" t="s">
        <v>36555</v>
      </c>
      <c r="E4386" s="213" t="s">
        <v>36556</v>
      </c>
      <c r="I4386" s="213" t="s">
        <v>36557</v>
      </c>
    </row>
    <row r="4387" spans="1:21" x14ac:dyDescent="0.25">
      <c r="A4387" s="213" t="s">
        <v>328</v>
      </c>
    </row>
    <row r="4388" spans="1:21" x14ac:dyDescent="0.25">
      <c r="A4388" s="213" t="s">
        <v>327</v>
      </c>
      <c r="D4388" s="213" t="s">
        <v>36558</v>
      </c>
      <c r="E4388" s="213" t="s">
        <v>36559</v>
      </c>
      <c r="K4388" s="213" t="s">
        <v>62122</v>
      </c>
      <c r="L4388" s="213" t="s">
        <v>62136</v>
      </c>
      <c r="M4388" s="213" t="s">
        <v>62150</v>
      </c>
      <c r="N4388" s="213" t="s">
        <v>36560</v>
      </c>
      <c r="O4388" s="213" t="s">
        <v>36561</v>
      </c>
      <c r="P4388" s="213" t="s">
        <v>36562</v>
      </c>
      <c r="Q4388" s="213" t="s">
        <v>36563</v>
      </c>
      <c r="R4388" s="213" t="s">
        <v>36564</v>
      </c>
      <c r="S4388" s="213" t="s">
        <v>36565</v>
      </c>
      <c r="T4388" s="213" t="s">
        <v>36566</v>
      </c>
      <c r="U4388" s="213" t="s">
        <v>62164</v>
      </c>
    </row>
    <row r="4389" spans="1:21" x14ac:dyDescent="0.25">
      <c r="A4389" s="213" t="s">
        <v>327</v>
      </c>
      <c r="D4389" s="213" t="s">
        <v>36567</v>
      </c>
      <c r="E4389" s="213" t="s">
        <v>36568</v>
      </c>
      <c r="K4389" s="213" t="s">
        <v>62123</v>
      </c>
      <c r="L4389" s="213" t="s">
        <v>62137</v>
      </c>
      <c r="M4389" s="213" t="s">
        <v>62151</v>
      </c>
      <c r="N4389" s="213" t="s">
        <v>36569</v>
      </c>
      <c r="O4389" s="213" t="s">
        <v>36570</v>
      </c>
      <c r="P4389" s="213" t="s">
        <v>36571</v>
      </c>
      <c r="Q4389" s="213" t="s">
        <v>36572</v>
      </c>
      <c r="R4389" s="213" t="s">
        <v>36573</v>
      </c>
      <c r="S4389" s="213" t="s">
        <v>36574</v>
      </c>
      <c r="T4389" s="213" t="s">
        <v>36575</v>
      </c>
      <c r="U4389" s="213" t="s">
        <v>62165</v>
      </c>
    </row>
    <row r="4390" spans="1:21" x14ac:dyDescent="0.25">
      <c r="A4390" s="213" t="s">
        <v>327</v>
      </c>
      <c r="D4390" s="213" t="s">
        <v>36576</v>
      </c>
      <c r="E4390" s="213" t="s">
        <v>36577</v>
      </c>
      <c r="K4390" s="213" t="s">
        <v>62124</v>
      </c>
      <c r="L4390" s="213" t="s">
        <v>62138</v>
      </c>
      <c r="M4390" s="213" t="s">
        <v>62152</v>
      </c>
      <c r="N4390" s="213" t="s">
        <v>36578</v>
      </c>
      <c r="O4390" s="213" t="s">
        <v>36579</v>
      </c>
      <c r="P4390" s="213" t="s">
        <v>36580</v>
      </c>
      <c r="Q4390" s="213" t="s">
        <v>36581</v>
      </c>
      <c r="R4390" s="213" t="s">
        <v>36582</v>
      </c>
      <c r="S4390" s="213" t="s">
        <v>36583</v>
      </c>
      <c r="T4390" s="213" t="s">
        <v>36584</v>
      </c>
      <c r="U4390" s="213" t="s">
        <v>62166</v>
      </c>
    </row>
    <row r="4391" spans="1:21" x14ac:dyDescent="0.25">
      <c r="A4391" s="213" t="s">
        <v>327</v>
      </c>
      <c r="D4391" s="213" t="s">
        <v>36585</v>
      </c>
      <c r="E4391" s="213" t="s">
        <v>36586</v>
      </c>
      <c r="K4391" s="213" t="s">
        <v>62125</v>
      </c>
      <c r="L4391" s="213" t="s">
        <v>62139</v>
      </c>
      <c r="M4391" s="213" t="s">
        <v>62153</v>
      </c>
      <c r="N4391" s="213" t="s">
        <v>36587</v>
      </c>
      <c r="O4391" s="213" t="s">
        <v>36588</v>
      </c>
      <c r="P4391" s="213" t="s">
        <v>36589</v>
      </c>
      <c r="Q4391" s="213" t="s">
        <v>36590</v>
      </c>
      <c r="R4391" s="213" t="s">
        <v>36591</v>
      </c>
      <c r="S4391" s="213" t="s">
        <v>36592</v>
      </c>
      <c r="T4391" s="213" t="s">
        <v>36593</v>
      </c>
      <c r="U4391" s="213" t="s">
        <v>62167</v>
      </c>
    </row>
    <row r="4392" spans="1:21" x14ac:dyDescent="0.25">
      <c r="A4392" s="213" t="s">
        <v>327</v>
      </c>
      <c r="D4392" s="213" t="s">
        <v>36594</v>
      </c>
      <c r="E4392" s="213" t="s">
        <v>36595</v>
      </c>
      <c r="K4392" s="213" t="s">
        <v>62126</v>
      </c>
      <c r="L4392" s="213" t="s">
        <v>62140</v>
      </c>
      <c r="M4392" s="213" t="s">
        <v>62154</v>
      </c>
      <c r="N4392" s="213" t="s">
        <v>36596</v>
      </c>
      <c r="O4392" s="213" t="s">
        <v>36597</v>
      </c>
      <c r="P4392" s="213" t="s">
        <v>36598</v>
      </c>
      <c r="Q4392" s="213" t="s">
        <v>36599</v>
      </c>
      <c r="R4392" s="213" t="s">
        <v>36600</v>
      </c>
      <c r="S4392" s="213" t="s">
        <v>36601</v>
      </c>
      <c r="T4392" s="213" t="s">
        <v>36602</v>
      </c>
      <c r="U4392" s="213" t="s">
        <v>62168</v>
      </c>
    </row>
    <row r="4393" spans="1:21" x14ac:dyDescent="0.25">
      <c r="A4393" s="213" t="s">
        <v>327</v>
      </c>
      <c r="D4393" s="213" t="s">
        <v>36603</v>
      </c>
      <c r="E4393" s="213" t="s">
        <v>36604</v>
      </c>
      <c r="K4393" s="213" t="s">
        <v>62127</v>
      </c>
      <c r="L4393" s="213" t="s">
        <v>62141</v>
      </c>
      <c r="M4393" s="213" t="s">
        <v>62155</v>
      </c>
      <c r="N4393" s="213" t="s">
        <v>36605</v>
      </c>
      <c r="O4393" s="213" t="s">
        <v>36606</v>
      </c>
      <c r="P4393" s="213" t="s">
        <v>36607</v>
      </c>
      <c r="Q4393" s="213" t="s">
        <v>36608</v>
      </c>
      <c r="R4393" s="213" t="s">
        <v>36609</v>
      </c>
      <c r="S4393" s="213" t="s">
        <v>36610</v>
      </c>
      <c r="T4393" s="213" t="s">
        <v>36611</v>
      </c>
      <c r="U4393" s="213" t="s">
        <v>62169</v>
      </c>
    </row>
    <row r="4394" spans="1:21" x14ac:dyDescent="0.25">
      <c r="A4394" s="213" t="s">
        <v>327</v>
      </c>
      <c r="D4394" s="213" t="s">
        <v>36612</v>
      </c>
      <c r="E4394" s="213" t="s">
        <v>36613</v>
      </c>
      <c r="K4394" s="213" t="s">
        <v>62128</v>
      </c>
      <c r="L4394" s="213" t="s">
        <v>62142</v>
      </c>
      <c r="M4394" s="213" t="s">
        <v>62156</v>
      </c>
      <c r="N4394" s="213" t="s">
        <v>36614</v>
      </c>
      <c r="O4394" s="213" t="s">
        <v>36615</v>
      </c>
      <c r="P4394" s="213" t="s">
        <v>36616</v>
      </c>
      <c r="Q4394" s="213" t="s">
        <v>36617</v>
      </c>
      <c r="R4394" s="213" t="s">
        <v>36618</v>
      </c>
      <c r="S4394" s="213" t="s">
        <v>36619</v>
      </c>
      <c r="T4394" s="213" t="s">
        <v>36620</v>
      </c>
      <c r="U4394" s="213" t="s">
        <v>62170</v>
      </c>
    </row>
    <row r="4395" spans="1:21" x14ac:dyDescent="0.25">
      <c r="A4395" s="213" t="s">
        <v>327</v>
      </c>
      <c r="D4395" s="213" t="s">
        <v>36621</v>
      </c>
      <c r="E4395" s="213" t="s">
        <v>36622</v>
      </c>
      <c r="K4395" s="213" t="s">
        <v>62129</v>
      </c>
      <c r="L4395" s="213" t="s">
        <v>62143</v>
      </c>
      <c r="M4395" s="213" t="s">
        <v>62157</v>
      </c>
      <c r="N4395" s="213" t="s">
        <v>36623</v>
      </c>
      <c r="O4395" s="213" t="s">
        <v>36624</v>
      </c>
      <c r="P4395" s="213" t="s">
        <v>36625</v>
      </c>
      <c r="Q4395" s="213" t="s">
        <v>36626</v>
      </c>
      <c r="R4395" s="213" t="s">
        <v>36627</v>
      </c>
      <c r="S4395" s="213" t="s">
        <v>36628</v>
      </c>
      <c r="T4395" s="213" t="s">
        <v>36629</v>
      </c>
      <c r="U4395" s="213" t="s">
        <v>62171</v>
      </c>
    </row>
    <row r="4396" spans="1:21" x14ac:dyDescent="0.25">
      <c r="A4396" s="213" t="s">
        <v>327</v>
      </c>
      <c r="D4396" s="213" t="s">
        <v>36630</v>
      </c>
      <c r="E4396" s="213" t="s">
        <v>36631</v>
      </c>
      <c r="K4396" s="213" t="s">
        <v>62130</v>
      </c>
      <c r="L4396" s="213" t="s">
        <v>62144</v>
      </c>
      <c r="M4396" s="213" t="s">
        <v>62158</v>
      </c>
      <c r="N4396" s="213" t="s">
        <v>36632</v>
      </c>
      <c r="O4396" s="213" t="s">
        <v>36633</v>
      </c>
      <c r="P4396" s="213" t="s">
        <v>36634</v>
      </c>
      <c r="Q4396" s="213" t="s">
        <v>36635</v>
      </c>
      <c r="R4396" s="213" t="s">
        <v>36636</v>
      </c>
      <c r="S4396" s="213" t="s">
        <v>36637</v>
      </c>
      <c r="T4396" s="213" t="s">
        <v>36638</v>
      </c>
      <c r="U4396" s="213" t="s">
        <v>62172</v>
      </c>
    </row>
    <row r="4397" spans="1:21" x14ac:dyDescent="0.25">
      <c r="A4397" s="213" t="s">
        <v>327</v>
      </c>
      <c r="D4397" s="213" t="s">
        <v>36639</v>
      </c>
      <c r="E4397" s="213" t="s">
        <v>36640</v>
      </c>
      <c r="K4397" s="213" t="s">
        <v>62131</v>
      </c>
      <c r="L4397" s="213" t="s">
        <v>62145</v>
      </c>
      <c r="M4397" s="213" t="s">
        <v>62159</v>
      </c>
      <c r="N4397" s="213" t="s">
        <v>36641</v>
      </c>
      <c r="O4397" s="213" t="s">
        <v>36642</v>
      </c>
      <c r="P4397" s="213" t="s">
        <v>36643</v>
      </c>
      <c r="Q4397" s="213" t="s">
        <v>36644</v>
      </c>
      <c r="R4397" s="213" t="s">
        <v>36645</v>
      </c>
      <c r="S4397" s="213" t="s">
        <v>36646</v>
      </c>
      <c r="T4397" s="213" t="s">
        <v>36647</v>
      </c>
      <c r="U4397" s="213" t="s">
        <v>62173</v>
      </c>
    </row>
    <row r="4398" spans="1:21" x14ac:dyDescent="0.25">
      <c r="A4398" s="213" t="s">
        <v>327</v>
      </c>
      <c r="D4398" s="213" t="s">
        <v>36648</v>
      </c>
      <c r="E4398" s="213" t="s">
        <v>36649</v>
      </c>
      <c r="K4398" s="213" t="s">
        <v>62132</v>
      </c>
      <c r="L4398" s="213" t="s">
        <v>62146</v>
      </c>
      <c r="M4398" s="213" t="s">
        <v>62160</v>
      </c>
      <c r="N4398" s="213" t="s">
        <v>36650</v>
      </c>
      <c r="O4398" s="213" t="s">
        <v>36651</v>
      </c>
      <c r="P4398" s="213" t="s">
        <v>36652</v>
      </c>
      <c r="Q4398" s="213" t="s">
        <v>36653</v>
      </c>
      <c r="R4398" s="213" t="s">
        <v>36654</v>
      </c>
      <c r="S4398" s="213" t="s">
        <v>36655</v>
      </c>
      <c r="T4398" s="213" t="s">
        <v>36656</v>
      </c>
      <c r="U4398" s="213" t="s">
        <v>62174</v>
      </c>
    </row>
    <row r="4399" spans="1:21" x14ac:dyDescent="0.25">
      <c r="A4399" s="213" t="s">
        <v>327</v>
      </c>
      <c r="D4399" s="213" t="s">
        <v>36657</v>
      </c>
      <c r="E4399" s="213" t="s">
        <v>36658</v>
      </c>
      <c r="K4399" s="213" t="s">
        <v>62133</v>
      </c>
      <c r="L4399" s="213" t="s">
        <v>62147</v>
      </c>
      <c r="M4399" s="213" t="s">
        <v>62161</v>
      </c>
      <c r="N4399" s="213" t="s">
        <v>36659</v>
      </c>
      <c r="O4399" s="213" t="s">
        <v>36660</v>
      </c>
      <c r="P4399" s="213" t="s">
        <v>36661</v>
      </c>
      <c r="Q4399" s="213" t="s">
        <v>36662</v>
      </c>
      <c r="R4399" s="213" t="s">
        <v>36663</v>
      </c>
      <c r="S4399" s="213" t="s">
        <v>36664</v>
      </c>
      <c r="T4399" s="213" t="s">
        <v>36665</v>
      </c>
      <c r="U4399" s="213" t="s">
        <v>62175</v>
      </c>
    </row>
    <row r="4400" spans="1:21" x14ac:dyDescent="0.25">
      <c r="A4400" s="213" t="s">
        <v>327</v>
      </c>
      <c r="D4400" s="213" t="s">
        <v>36666</v>
      </c>
      <c r="E4400" s="213" t="s">
        <v>36667</v>
      </c>
      <c r="K4400" s="213" t="s">
        <v>62134</v>
      </c>
      <c r="L4400" s="213" t="s">
        <v>62148</v>
      </c>
      <c r="M4400" s="213" t="s">
        <v>62162</v>
      </c>
      <c r="N4400" s="213" t="s">
        <v>36668</v>
      </c>
      <c r="O4400" s="213" t="s">
        <v>36669</v>
      </c>
      <c r="P4400" s="213" t="s">
        <v>36670</v>
      </c>
      <c r="Q4400" s="213" t="s">
        <v>36671</v>
      </c>
      <c r="R4400" s="213" t="s">
        <v>36672</v>
      </c>
      <c r="S4400" s="213" t="s">
        <v>36673</v>
      </c>
      <c r="T4400" s="213" t="s">
        <v>36674</v>
      </c>
      <c r="U4400" s="213" t="s">
        <v>62176</v>
      </c>
    </row>
    <row r="4401" spans="1:21" x14ac:dyDescent="0.25">
      <c r="A4401" s="213" t="s">
        <v>327</v>
      </c>
      <c r="D4401" s="213" t="s">
        <v>36675</v>
      </c>
      <c r="E4401" s="213" t="s">
        <v>36676</v>
      </c>
      <c r="K4401" s="213" t="s">
        <v>62135</v>
      </c>
      <c r="L4401" s="213" t="s">
        <v>62149</v>
      </c>
      <c r="M4401" s="213" t="s">
        <v>62163</v>
      </c>
      <c r="N4401" s="213" t="s">
        <v>36677</v>
      </c>
      <c r="O4401" s="213" t="s">
        <v>36678</v>
      </c>
      <c r="P4401" s="213" t="s">
        <v>36679</v>
      </c>
      <c r="Q4401" s="213" t="s">
        <v>36680</v>
      </c>
      <c r="R4401" s="213" t="s">
        <v>36681</v>
      </c>
      <c r="S4401" s="213" t="s">
        <v>36682</v>
      </c>
      <c r="T4401" s="213" t="s">
        <v>36683</v>
      </c>
      <c r="U4401" s="213" t="s">
        <v>62177</v>
      </c>
    </row>
    <row r="4402" spans="1:21" x14ac:dyDescent="0.25">
      <c r="A4402" s="213" t="s">
        <v>327</v>
      </c>
    </row>
    <row r="4403" spans="1:21" x14ac:dyDescent="0.25">
      <c r="A4403" s="213" t="s">
        <v>327</v>
      </c>
    </row>
    <row r="4404" spans="1:21" x14ac:dyDescent="0.25">
      <c r="A4404" s="213" t="s">
        <v>327</v>
      </c>
      <c r="C4404" s="213" t="s">
        <v>36684</v>
      </c>
      <c r="E4404" s="213" t="s">
        <v>36685</v>
      </c>
      <c r="H4404" s="213" t="s">
        <v>36686</v>
      </c>
      <c r="I4404" s="213" t="s">
        <v>36687</v>
      </c>
      <c r="J4404" s="213" t="s">
        <v>36688</v>
      </c>
      <c r="L4404" s="213" t="s">
        <v>36689</v>
      </c>
      <c r="O4404" s="213" t="s">
        <v>36690</v>
      </c>
      <c r="P4404" s="213" t="s">
        <v>36691</v>
      </c>
      <c r="Q4404" s="213" t="s">
        <v>36692</v>
      </c>
      <c r="R4404" s="213" t="s">
        <v>36693</v>
      </c>
      <c r="S4404" s="213" t="s">
        <v>36694</v>
      </c>
      <c r="T4404" s="213" t="s">
        <v>36695</v>
      </c>
    </row>
    <row r="4405" spans="1:21" x14ac:dyDescent="0.25">
      <c r="A4405" s="213" t="s">
        <v>327</v>
      </c>
      <c r="C4405" s="213" t="s">
        <v>36696</v>
      </c>
      <c r="E4405" s="213" t="s">
        <v>36697</v>
      </c>
      <c r="I4405" s="213" t="s">
        <v>36698</v>
      </c>
    </row>
    <row r="4406" spans="1:21" x14ac:dyDescent="0.25">
      <c r="A4406" s="213" t="s">
        <v>327</v>
      </c>
      <c r="C4406" s="213" t="s">
        <v>36699</v>
      </c>
      <c r="E4406" s="213" t="s">
        <v>36700</v>
      </c>
      <c r="I4406" s="213" t="s">
        <v>36701</v>
      </c>
    </row>
    <row r="4407" spans="1:21" x14ac:dyDescent="0.25">
      <c r="A4407" s="213" t="s">
        <v>328</v>
      </c>
    </row>
    <row r="4408" spans="1:21" x14ac:dyDescent="0.25">
      <c r="A4408" s="213" t="s">
        <v>327</v>
      </c>
      <c r="D4408" s="213" t="s">
        <v>36702</v>
      </c>
      <c r="E4408" s="213" t="s">
        <v>36703</v>
      </c>
      <c r="K4408" s="213" t="s">
        <v>62050</v>
      </c>
      <c r="L4408" s="213" t="s">
        <v>62068</v>
      </c>
      <c r="M4408" s="213" t="s">
        <v>62086</v>
      </c>
      <c r="N4408" s="213" t="s">
        <v>36704</v>
      </c>
      <c r="O4408" s="213" t="s">
        <v>36705</v>
      </c>
      <c r="P4408" s="213" t="s">
        <v>36706</v>
      </c>
      <c r="Q4408" s="213" t="s">
        <v>36707</v>
      </c>
      <c r="R4408" s="213" t="s">
        <v>36708</v>
      </c>
      <c r="S4408" s="213" t="s">
        <v>36709</v>
      </c>
      <c r="T4408" s="213" t="s">
        <v>36710</v>
      </c>
      <c r="U4408" s="213" t="s">
        <v>62104</v>
      </c>
    </row>
    <row r="4409" spans="1:21" x14ac:dyDescent="0.25">
      <c r="A4409" s="213" t="s">
        <v>327</v>
      </c>
      <c r="D4409" s="213" t="s">
        <v>36711</v>
      </c>
      <c r="E4409" s="213" t="s">
        <v>36712</v>
      </c>
      <c r="K4409" s="213" t="s">
        <v>62051</v>
      </c>
      <c r="L4409" s="213" t="s">
        <v>62069</v>
      </c>
      <c r="M4409" s="213" t="s">
        <v>62087</v>
      </c>
      <c r="N4409" s="213" t="s">
        <v>36713</v>
      </c>
      <c r="O4409" s="213" t="s">
        <v>36714</v>
      </c>
      <c r="P4409" s="213" t="s">
        <v>36715</v>
      </c>
      <c r="Q4409" s="213" t="s">
        <v>36716</v>
      </c>
      <c r="R4409" s="213" t="s">
        <v>36717</v>
      </c>
      <c r="S4409" s="213" t="s">
        <v>36718</v>
      </c>
      <c r="T4409" s="213" t="s">
        <v>36719</v>
      </c>
      <c r="U4409" s="213" t="s">
        <v>62105</v>
      </c>
    </row>
    <row r="4410" spans="1:21" x14ac:dyDescent="0.25">
      <c r="A4410" s="213" t="s">
        <v>327</v>
      </c>
      <c r="D4410" s="213" t="s">
        <v>36720</v>
      </c>
      <c r="E4410" s="213" t="s">
        <v>36721</v>
      </c>
      <c r="K4410" s="213" t="s">
        <v>62052</v>
      </c>
      <c r="L4410" s="213" t="s">
        <v>62070</v>
      </c>
      <c r="M4410" s="213" t="s">
        <v>62088</v>
      </c>
      <c r="N4410" s="213" t="s">
        <v>36722</v>
      </c>
      <c r="O4410" s="213" t="s">
        <v>36723</v>
      </c>
      <c r="P4410" s="213" t="s">
        <v>36724</v>
      </c>
      <c r="Q4410" s="213" t="s">
        <v>36725</v>
      </c>
      <c r="R4410" s="213" t="s">
        <v>36726</v>
      </c>
      <c r="S4410" s="213" t="s">
        <v>36727</v>
      </c>
      <c r="T4410" s="213" t="s">
        <v>36728</v>
      </c>
      <c r="U4410" s="213" t="s">
        <v>62106</v>
      </c>
    </row>
    <row r="4411" spans="1:21" x14ac:dyDescent="0.25">
      <c r="A4411" s="213" t="s">
        <v>327</v>
      </c>
      <c r="D4411" s="213" t="s">
        <v>36729</v>
      </c>
      <c r="E4411" s="213" t="s">
        <v>36730</v>
      </c>
      <c r="K4411" s="213" t="s">
        <v>62053</v>
      </c>
      <c r="L4411" s="213" t="s">
        <v>62071</v>
      </c>
      <c r="M4411" s="213" t="s">
        <v>62089</v>
      </c>
      <c r="N4411" s="213" t="s">
        <v>36731</v>
      </c>
      <c r="O4411" s="213" t="s">
        <v>36732</v>
      </c>
      <c r="P4411" s="213" t="s">
        <v>36733</v>
      </c>
      <c r="Q4411" s="213" t="s">
        <v>36734</v>
      </c>
      <c r="R4411" s="213" t="s">
        <v>36735</v>
      </c>
      <c r="S4411" s="213" t="s">
        <v>36736</v>
      </c>
      <c r="T4411" s="213" t="s">
        <v>36737</v>
      </c>
      <c r="U4411" s="213" t="s">
        <v>62107</v>
      </c>
    </row>
    <row r="4412" spans="1:21" x14ac:dyDescent="0.25">
      <c r="A4412" s="213" t="s">
        <v>327</v>
      </c>
      <c r="D4412" s="213" t="s">
        <v>36738</v>
      </c>
      <c r="E4412" s="213" t="s">
        <v>36739</v>
      </c>
      <c r="K4412" s="213" t="s">
        <v>62054</v>
      </c>
      <c r="L4412" s="213" t="s">
        <v>62072</v>
      </c>
      <c r="M4412" s="213" t="s">
        <v>62090</v>
      </c>
      <c r="N4412" s="213" t="s">
        <v>36740</v>
      </c>
      <c r="O4412" s="213" t="s">
        <v>36741</v>
      </c>
      <c r="P4412" s="213" t="s">
        <v>36742</v>
      </c>
      <c r="Q4412" s="213" t="s">
        <v>36743</v>
      </c>
      <c r="R4412" s="213" t="s">
        <v>36744</v>
      </c>
      <c r="S4412" s="213" t="s">
        <v>36745</v>
      </c>
      <c r="T4412" s="213" t="s">
        <v>36746</v>
      </c>
      <c r="U4412" s="213" t="s">
        <v>62108</v>
      </c>
    </row>
    <row r="4413" spans="1:21" x14ac:dyDescent="0.25">
      <c r="A4413" s="213" t="s">
        <v>327</v>
      </c>
      <c r="D4413" s="213" t="s">
        <v>36747</v>
      </c>
      <c r="E4413" s="213" t="s">
        <v>36748</v>
      </c>
      <c r="K4413" s="213" t="s">
        <v>62055</v>
      </c>
      <c r="L4413" s="213" t="s">
        <v>62073</v>
      </c>
      <c r="M4413" s="213" t="s">
        <v>62091</v>
      </c>
      <c r="N4413" s="213" t="s">
        <v>36749</v>
      </c>
      <c r="O4413" s="213" t="s">
        <v>36750</v>
      </c>
      <c r="P4413" s="213" t="s">
        <v>36751</v>
      </c>
      <c r="Q4413" s="213" t="s">
        <v>36752</v>
      </c>
      <c r="R4413" s="213" t="s">
        <v>36753</v>
      </c>
      <c r="S4413" s="213" t="s">
        <v>36754</v>
      </c>
      <c r="T4413" s="213" t="s">
        <v>36755</v>
      </c>
      <c r="U4413" s="213" t="s">
        <v>62109</v>
      </c>
    </row>
    <row r="4414" spans="1:21" x14ac:dyDescent="0.25">
      <c r="A4414" s="213" t="s">
        <v>327</v>
      </c>
      <c r="D4414" s="213" t="s">
        <v>36756</v>
      </c>
      <c r="E4414" s="213" t="s">
        <v>36757</v>
      </c>
      <c r="K4414" s="213" t="s">
        <v>62056</v>
      </c>
      <c r="L4414" s="213" t="s">
        <v>62074</v>
      </c>
      <c r="M4414" s="213" t="s">
        <v>62092</v>
      </c>
      <c r="N4414" s="213" t="s">
        <v>36758</v>
      </c>
      <c r="O4414" s="213" t="s">
        <v>36759</v>
      </c>
      <c r="P4414" s="213" t="s">
        <v>36760</v>
      </c>
      <c r="Q4414" s="213" t="s">
        <v>36761</v>
      </c>
      <c r="R4414" s="213" t="s">
        <v>36762</v>
      </c>
      <c r="S4414" s="213" t="s">
        <v>36763</v>
      </c>
      <c r="T4414" s="213" t="s">
        <v>36764</v>
      </c>
      <c r="U4414" s="213" t="s">
        <v>62110</v>
      </c>
    </row>
    <row r="4415" spans="1:21" x14ac:dyDescent="0.25">
      <c r="A4415" s="213" t="s">
        <v>327</v>
      </c>
      <c r="D4415" s="213" t="s">
        <v>36765</v>
      </c>
      <c r="E4415" s="213" t="s">
        <v>36766</v>
      </c>
      <c r="K4415" s="213" t="s">
        <v>62057</v>
      </c>
      <c r="L4415" s="213" t="s">
        <v>62075</v>
      </c>
      <c r="M4415" s="213" t="s">
        <v>62093</v>
      </c>
      <c r="N4415" s="213" t="s">
        <v>36767</v>
      </c>
      <c r="O4415" s="213" t="s">
        <v>36768</v>
      </c>
      <c r="P4415" s="213" t="s">
        <v>36769</v>
      </c>
      <c r="Q4415" s="213" t="s">
        <v>36770</v>
      </c>
      <c r="R4415" s="213" t="s">
        <v>36771</v>
      </c>
      <c r="S4415" s="213" t="s">
        <v>36772</v>
      </c>
      <c r="T4415" s="213" t="s">
        <v>36773</v>
      </c>
      <c r="U4415" s="213" t="s">
        <v>62111</v>
      </c>
    </row>
    <row r="4416" spans="1:21" x14ac:dyDescent="0.25">
      <c r="A4416" s="213" t="s">
        <v>327</v>
      </c>
      <c r="D4416" s="213" t="s">
        <v>36774</v>
      </c>
      <c r="E4416" s="213" t="s">
        <v>36775</v>
      </c>
      <c r="K4416" s="213" t="s">
        <v>62058</v>
      </c>
      <c r="L4416" s="213" t="s">
        <v>62076</v>
      </c>
      <c r="M4416" s="213" t="s">
        <v>62094</v>
      </c>
      <c r="N4416" s="213" t="s">
        <v>36776</v>
      </c>
      <c r="O4416" s="213" t="s">
        <v>36777</v>
      </c>
      <c r="P4416" s="213" t="s">
        <v>36778</v>
      </c>
      <c r="Q4416" s="213" t="s">
        <v>36779</v>
      </c>
      <c r="R4416" s="213" t="s">
        <v>36780</v>
      </c>
      <c r="S4416" s="213" t="s">
        <v>36781</v>
      </c>
      <c r="T4416" s="213" t="s">
        <v>36782</v>
      </c>
      <c r="U4416" s="213" t="s">
        <v>62112</v>
      </c>
    </row>
    <row r="4417" spans="1:21" x14ac:dyDescent="0.25">
      <c r="A4417" s="213" t="s">
        <v>327</v>
      </c>
      <c r="D4417" s="213" t="s">
        <v>36783</v>
      </c>
      <c r="E4417" s="213" t="s">
        <v>36784</v>
      </c>
      <c r="K4417" s="213" t="s">
        <v>62059</v>
      </c>
      <c r="L4417" s="213" t="s">
        <v>62077</v>
      </c>
      <c r="M4417" s="213" t="s">
        <v>62095</v>
      </c>
      <c r="N4417" s="213" t="s">
        <v>36785</v>
      </c>
      <c r="O4417" s="213" t="s">
        <v>36786</v>
      </c>
      <c r="P4417" s="213" t="s">
        <v>36787</v>
      </c>
      <c r="Q4417" s="213" t="s">
        <v>36788</v>
      </c>
      <c r="R4417" s="213" t="s">
        <v>36789</v>
      </c>
      <c r="S4417" s="213" t="s">
        <v>36790</v>
      </c>
      <c r="T4417" s="213" t="s">
        <v>36791</v>
      </c>
      <c r="U4417" s="213" t="s">
        <v>62113</v>
      </c>
    </row>
    <row r="4418" spans="1:21" x14ac:dyDescent="0.25">
      <c r="A4418" s="213" t="s">
        <v>327</v>
      </c>
      <c r="D4418" s="213" t="s">
        <v>36792</v>
      </c>
      <c r="E4418" s="213" t="s">
        <v>36793</v>
      </c>
      <c r="K4418" s="213" t="s">
        <v>62060</v>
      </c>
      <c r="L4418" s="213" t="s">
        <v>62078</v>
      </c>
      <c r="M4418" s="213" t="s">
        <v>62096</v>
      </c>
      <c r="N4418" s="213" t="s">
        <v>36794</v>
      </c>
      <c r="O4418" s="213" t="s">
        <v>36795</v>
      </c>
      <c r="P4418" s="213" t="s">
        <v>36796</v>
      </c>
      <c r="Q4418" s="213" t="s">
        <v>36797</v>
      </c>
      <c r="R4418" s="213" t="s">
        <v>36798</v>
      </c>
      <c r="S4418" s="213" t="s">
        <v>36799</v>
      </c>
      <c r="T4418" s="213" t="s">
        <v>36800</v>
      </c>
      <c r="U4418" s="213" t="s">
        <v>62114</v>
      </c>
    </row>
    <row r="4419" spans="1:21" x14ac:dyDescent="0.25">
      <c r="A4419" s="213" t="s">
        <v>327</v>
      </c>
      <c r="D4419" s="213" t="s">
        <v>36801</v>
      </c>
      <c r="E4419" s="213" t="s">
        <v>36802</v>
      </c>
      <c r="K4419" s="213" t="s">
        <v>62061</v>
      </c>
      <c r="L4419" s="213" t="s">
        <v>62079</v>
      </c>
      <c r="M4419" s="213" t="s">
        <v>62097</v>
      </c>
      <c r="N4419" s="213" t="s">
        <v>36803</v>
      </c>
      <c r="O4419" s="213" t="s">
        <v>36804</v>
      </c>
      <c r="P4419" s="213" t="s">
        <v>36805</v>
      </c>
      <c r="Q4419" s="213" t="s">
        <v>36806</v>
      </c>
      <c r="R4419" s="213" t="s">
        <v>36807</v>
      </c>
      <c r="S4419" s="213" t="s">
        <v>36808</v>
      </c>
      <c r="T4419" s="213" t="s">
        <v>36809</v>
      </c>
      <c r="U4419" s="213" t="s">
        <v>62115</v>
      </c>
    </row>
    <row r="4420" spans="1:21" x14ac:dyDescent="0.25">
      <c r="A4420" s="213" t="s">
        <v>327</v>
      </c>
      <c r="D4420" s="213" t="s">
        <v>36810</v>
      </c>
      <c r="E4420" s="213" t="s">
        <v>36811</v>
      </c>
      <c r="K4420" s="213" t="s">
        <v>62062</v>
      </c>
      <c r="L4420" s="213" t="s">
        <v>62080</v>
      </c>
      <c r="M4420" s="213" t="s">
        <v>62098</v>
      </c>
      <c r="N4420" s="213" t="s">
        <v>36812</v>
      </c>
      <c r="O4420" s="213" t="s">
        <v>36813</v>
      </c>
      <c r="P4420" s="213" t="s">
        <v>36814</v>
      </c>
      <c r="Q4420" s="213" t="s">
        <v>36815</v>
      </c>
      <c r="R4420" s="213" t="s">
        <v>36816</v>
      </c>
      <c r="S4420" s="213" t="s">
        <v>36817</v>
      </c>
      <c r="T4420" s="213" t="s">
        <v>36818</v>
      </c>
      <c r="U4420" s="213" t="s">
        <v>62116</v>
      </c>
    </row>
    <row r="4421" spans="1:21" x14ac:dyDescent="0.25">
      <c r="A4421" s="213" t="s">
        <v>327</v>
      </c>
      <c r="D4421" s="213" t="s">
        <v>36819</v>
      </c>
      <c r="E4421" s="213" t="s">
        <v>36820</v>
      </c>
      <c r="K4421" s="213" t="s">
        <v>62063</v>
      </c>
      <c r="L4421" s="213" t="s">
        <v>62081</v>
      </c>
      <c r="M4421" s="213" t="s">
        <v>62099</v>
      </c>
      <c r="N4421" s="213" t="s">
        <v>36821</v>
      </c>
      <c r="O4421" s="213" t="s">
        <v>36822</v>
      </c>
      <c r="P4421" s="213" t="s">
        <v>36823</v>
      </c>
      <c r="Q4421" s="213" t="s">
        <v>36824</v>
      </c>
      <c r="R4421" s="213" t="s">
        <v>36825</v>
      </c>
      <c r="S4421" s="213" t="s">
        <v>36826</v>
      </c>
      <c r="T4421" s="213" t="s">
        <v>36827</v>
      </c>
      <c r="U4421" s="213" t="s">
        <v>62117</v>
      </c>
    </row>
    <row r="4422" spans="1:21" x14ac:dyDescent="0.25">
      <c r="A4422" s="213" t="s">
        <v>327</v>
      </c>
      <c r="D4422" s="213" t="s">
        <v>36828</v>
      </c>
      <c r="E4422" s="213" t="s">
        <v>36829</v>
      </c>
      <c r="K4422" s="213" t="s">
        <v>62064</v>
      </c>
      <c r="L4422" s="213" t="s">
        <v>62082</v>
      </c>
      <c r="M4422" s="213" t="s">
        <v>62100</v>
      </c>
      <c r="N4422" s="213" t="s">
        <v>36830</v>
      </c>
      <c r="O4422" s="213" t="s">
        <v>36831</v>
      </c>
      <c r="P4422" s="213" t="s">
        <v>36832</v>
      </c>
      <c r="Q4422" s="213" t="s">
        <v>36833</v>
      </c>
      <c r="R4422" s="213" t="s">
        <v>36834</v>
      </c>
      <c r="S4422" s="213" t="s">
        <v>36835</v>
      </c>
      <c r="T4422" s="213" t="s">
        <v>36836</v>
      </c>
      <c r="U4422" s="213" t="s">
        <v>62118</v>
      </c>
    </row>
    <row r="4423" spans="1:21" x14ac:dyDescent="0.25">
      <c r="A4423" s="213" t="s">
        <v>327</v>
      </c>
      <c r="D4423" s="213" t="s">
        <v>36837</v>
      </c>
      <c r="E4423" s="213" t="s">
        <v>36838</v>
      </c>
      <c r="K4423" s="213" t="s">
        <v>62065</v>
      </c>
      <c r="L4423" s="213" t="s">
        <v>62083</v>
      </c>
      <c r="M4423" s="213" t="s">
        <v>62101</v>
      </c>
      <c r="N4423" s="213" t="s">
        <v>36839</v>
      </c>
      <c r="O4423" s="213" t="s">
        <v>36840</v>
      </c>
      <c r="P4423" s="213" t="s">
        <v>36841</v>
      </c>
      <c r="Q4423" s="213" t="s">
        <v>36842</v>
      </c>
      <c r="R4423" s="213" t="s">
        <v>36843</v>
      </c>
      <c r="S4423" s="213" t="s">
        <v>36844</v>
      </c>
      <c r="T4423" s="213" t="s">
        <v>36845</v>
      </c>
      <c r="U4423" s="213" t="s">
        <v>62119</v>
      </c>
    </row>
    <row r="4424" spans="1:21" x14ac:dyDescent="0.25">
      <c r="A4424" s="213" t="s">
        <v>327</v>
      </c>
      <c r="D4424" s="213" t="s">
        <v>36846</v>
      </c>
      <c r="E4424" s="213" t="s">
        <v>36847</v>
      </c>
      <c r="K4424" s="213" t="s">
        <v>62066</v>
      </c>
      <c r="L4424" s="213" t="s">
        <v>62084</v>
      </c>
      <c r="M4424" s="213" t="s">
        <v>62102</v>
      </c>
      <c r="N4424" s="213" t="s">
        <v>36848</v>
      </c>
      <c r="O4424" s="213" t="s">
        <v>36849</v>
      </c>
      <c r="P4424" s="213" t="s">
        <v>36850</v>
      </c>
      <c r="Q4424" s="213" t="s">
        <v>36851</v>
      </c>
      <c r="R4424" s="213" t="s">
        <v>36852</v>
      </c>
      <c r="S4424" s="213" t="s">
        <v>36853</v>
      </c>
      <c r="T4424" s="213" t="s">
        <v>36854</v>
      </c>
      <c r="U4424" s="213" t="s">
        <v>62120</v>
      </c>
    </row>
    <row r="4425" spans="1:21" x14ac:dyDescent="0.25">
      <c r="A4425" s="213" t="s">
        <v>327</v>
      </c>
      <c r="D4425" s="213" t="s">
        <v>36855</v>
      </c>
      <c r="E4425" s="213" t="s">
        <v>36856</v>
      </c>
      <c r="K4425" s="213" t="s">
        <v>62067</v>
      </c>
      <c r="L4425" s="213" t="s">
        <v>62085</v>
      </c>
      <c r="M4425" s="213" t="s">
        <v>62103</v>
      </c>
      <c r="N4425" s="213" t="s">
        <v>36857</v>
      </c>
      <c r="O4425" s="213" t="s">
        <v>36858</v>
      </c>
      <c r="P4425" s="213" t="s">
        <v>36859</v>
      </c>
      <c r="Q4425" s="213" t="s">
        <v>36860</v>
      </c>
      <c r="R4425" s="213" t="s">
        <v>36861</v>
      </c>
      <c r="S4425" s="213" t="s">
        <v>36862</v>
      </c>
      <c r="T4425" s="213" t="s">
        <v>36863</v>
      </c>
      <c r="U4425" s="213" t="s">
        <v>62121</v>
      </c>
    </row>
    <row r="4426" spans="1:21" x14ac:dyDescent="0.25">
      <c r="A4426" s="213" t="s">
        <v>327</v>
      </c>
    </row>
    <row r="4427" spans="1:21" x14ac:dyDescent="0.25">
      <c r="A4427" s="213" t="s">
        <v>327</v>
      </c>
    </row>
    <row r="4428" spans="1:21" x14ac:dyDescent="0.25">
      <c r="A4428" s="213" t="s">
        <v>327</v>
      </c>
      <c r="C4428" s="213" t="s">
        <v>36864</v>
      </c>
      <c r="E4428" s="213" t="s">
        <v>36865</v>
      </c>
      <c r="H4428" s="213" t="s">
        <v>36866</v>
      </c>
      <c r="I4428" s="213" t="s">
        <v>36867</v>
      </c>
      <c r="J4428" s="213" t="s">
        <v>36868</v>
      </c>
      <c r="L4428" s="213" t="s">
        <v>36869</v>
      </c>
      <c r="O4428" s="213" t="s">
        <v>36870</v>
      </c>
      <c r="P4428" s="213" t="s">
        <v>36871</v>
      </c>
      <c r="Q4428" s="213" t="s">
        <v>36872</v>
      </c>
      <c r="R4428" s="213" t="s">
        <v>36873</v>
      </c>
      <c r="S4428" s="213" t="s">
        <v>36874</v>
      </c>
      <c r="T4428" s="213" t="s">
        <v>36875</v>
      </c>
    </row>
    <row r="4429" spans="1:21" x14ac:dyDescent="0.25">
      <c r="A4429" s="213" t="s">
        <v>327</v>
      </c>
      <c r="C4429" s="213" t="s">
        <v>36876</v>
      </c>
      <c r="E4429" s="213" t="s">
        <v>36877</v>
      </c>
      <c r="I4429" s="213" t="s">
        <v>36878</v>
      </c>
    </row>
    <row r="4430" spans="1:21" x14ac:dyDescent="0.25">
      <c r="A4430" s="213" t="s">
        <v>327</v>
      </c>
      <c r="C4430" s="213" t="s">
        <v>36879</v>
      </c>
      <c r="E4430" s="213" t="s">
        <v>36880</v>
      </c>
      <c r="I4430" s="213" t="s">
        <v>36881</v>
      </c>
    </row>
    <row r="4431" spans="1:21" x14ac:dyDescent="0.25">
      <c r="A4431" s="213" t="s">
        <v>328</v>
      </c>
    </row>
    <row r="4432" spans="1:21" x14ac:dyDescent="0.25">
      <c r="A4432" s="213" t="s">
        <v>327</v>
      </c>
      <c r="D4432" s="213" t="s">
        <v>36882</v>
      </c>
      <c r="E4432" s="213" t="s">
        <v>36883</v>
      </c>
      <c r="K4432" s="213" t="s">
        <v>61894</v>
      </c>
      <c r="L4432" s="213" t="s">
        <v>61933</v>
      </c>
      <c r="M4432" s="213" t="s">
        <v>61972</v>
      </c>
      <c r="N4432" s="213" t="s">
        <v>36884</v>
      </c>
      <c r="O4432" s="213" t="s">
        <v>36885</v>
      </c>
      <c r="P4432" s="213" t="s">
        <v>36886</v>
      </c>
      <c r="Q4432" s="213" t="s">
        <v>36887</v>
      </c>
      <c r="R4432" s="213" t="s">
        <v>36888</v>
      </c>
      <c r="S4432" s="213" t="s">
        <v>36889</v>
      </c>
      <c r="T4432" s="213" t="s">
        <v>36890</v>
      </c>
      <c r="U4432" s="213" t="s">
        <v>62011</v>
      </c>
    </row>
    <row r="4433" spans="1:21" x14ac:dyDescent="0.25">
      <c r="A4433" s="213" t="s">
        <v>327</v>
      </c>
      <c r="D4433" s="213" t="s">
        <v>36891</v>
      </c>
      <c r="E4433" s="213" t="s">
        <v>36892</v>
      </c>
      <c r="K4433" s="213" t="s">
        <v>61895</v>
      </c>
      <c r="L4433" s="213" t="s">
        <v>61934</v>
      </c>
      <c r="M4433" s="213" t="s">
        <v>61973</v>
      </c>
      <c r="N4433" s="213" t="s">
        <v>36893</v>
      </c>
      <c r="O4433" s="213" t="s">
        <v>36894</v>
      </c>
      <c r="P4433" s="213" t="s">
        <v>36895</v>
      </c>
      <c r="Q4433" s="213" t="s">
        <v>36896</v>
      </c>
      <c r="R4433" s="213" t="s">
        <v>36897</v>
      </c>
      <c r="S4433" s="213" t="s">
        <v>36898</v>
      </c>
      <c r="T4433" s="213" t="s">
        <v>36899</v>
      </c>
      <c r="U4433" s="213" t="s">
        <v>62012</v>
      </c>
    </row>
    <row r="4434" spans="1:21" x14ac:dyDescent="0.25">
      <c r="A4434" s="213" t="s">
        <v>327</v>
      </c>
      <c r="D4434" s="213" t="s">
        <v>36900</v>
      </c>
      <c r="E4434" s="213" t="s">
        <v>36901</v>
      </c>
      <c r="K4434" s="213" t="s">
        <v>61896</v>
      </c>
      <c r="L4434" s="213" t="s">
        <v>61935</v>
      </c>
      <c r="M4434" s="213" t="s">
        <v>61974</v>
      </c>
      <c r="N4434" s="213" t="s">
        <v>36902</v>
      </c>
      <c r="O4434" s="213" t="s">
        <v>36903</v>
      </c>
      <c r="P4434" s="213" t="s">
        <v>36904</v>
      </c>
      <c r="Q4434" s="213" t="s">
        <v>36905</v>
      </c>
      <c r="R4434" s="213" t="s">
        <v>36906</v>
      </c>
      <c r="S4434" s="213" t="s">
        <v>36907</v>
      </c>
      <c r="T4434" s="213" t="s">
        <v>36908</v>
      </c>
      <c r="U4434" s="213" t="s">
        <v>62013</v>
      </c>
    </row>
    <row r="4435" spans="1:21" x14ac:dyDescent="0.25">
      <c r="A4435" s="213" t="s">
        <v>327</v>
      </c>
      <c r="D4435" s="213" t="s">
        <v>36909</v>
      </c>
      <c r="E4435" s="213" t="s">
        <v>36910</v>
      </c>
      <c r="K4435" s="213" t="s">
        <v>61897</v>
      </c>
      <c r="L4435" s="213" t="s">
        <v>61936</v>
      </c>
      <c r="M4435" s="213" t="s">
        <v>61975</v>
      </c>
      <c r="N4435" s="213" t="s">
        <v>36911</v>
      </c>
      <c r="O4435" s="213" t="s">
        <v>36912</v>
      </c>
      <c r="P4435" s="213" t="s">
        <v>36913</v>
      </c>
      <c r="Q4435" s="213" t="s">
        <v>36914</v>
      </c>
      <c r="R4435" s="213" t="s">
        <v>36915</v>
      </c>
      <c r="S4435" s="213" t="s">
        <v>36916</v>
      </c>
      <c r="T4435" s="213" t="s">
        <v>36917</v>
      </c>
      <c r="U4435" s="213" t="s">
        <v>62014</v>
      </c>
    </row>
    <row r="4436" spans="1:21" x14ac:dyDescent="0.25">
      <c r="A4436" s="213" t="s">
        <v>327</v>
      </c>
      <c r="D4436" s="213" t="s">
        <v>36918</v>
      </c>
      <c r="E4436" s="213" t="s">
        <v>36919</v>
      </c>
      <c r="K4436" s="213" t="s">
        <v>61898</v>
      </c>
      <c r="L4436" s="213" t="s">
        <v>61937</v>
      </c>
      <c r="M4436" s="213" t="s">
        <v>61976</v>
      </c>
      <c r="N4436" s="213" t="s">
        <v>36920</v>
      </c>
      <c r="O4436" s="213" t="s">
        <v>36921</v>
      </c>
      <c r="P4436" s="213" t="s">
        <v>36922</v>
      </c>
      <c r="Q4436" s="213" t="s">
        <v>36923</v>
      </c>
      <c r="R4436" s="213" t="s">
        <v>36924</v>
      </c>
      <c r="S4436" s="213" t="s">
        <v>36925</v>
      </c>
      <c r="T4436" s="213" t="s">
        <v>36926</v>
      </c>
      <c r="U4436" s="213" t="s">
        <v>62015</v>
      </c>
    </row>
    <row r="4437" spans="1:21" x14ac:dyDescent="0.25">
      <c r="A4437" s="213" t="s">
        <v>327</v>
      </c>
      <c r="D4437" s="213" t="s">
        <v>36927</v>
      </c>
      <c r="E4437" s="213" t="s">
        <v>36928</v>
      </c>
      <c r="K4437" s="213" t="s">
        <v>61899</v>
      </c>
      <c r="L4437" s="213" t="s">
        <v>61938</v>
      </c>
      <c r="M4437" s="213" t="s">
        <v>61977</v>
      </c>
      <c r="N4437" s="213" t="s">
        <v>36929</v>
      </c>
      <c r="O4437" s="213" t="s">
        <v>36930</v>
      </c>
      <c r="P4437" s="213" t="s">
        <v>36931</v>
      </c>
      <c r="Q4437" s="213" t="s">
        <v>36932</v>
      </c>
      <c r="R4437" s="213" t="s">
        <v>36933</v>
      </c>
      <c r="S4437" s="213" t="s">
        <v>36934</v>
      </c>
      <c r="T4437" s="213" t="s">
        <v>36935</v>
      </c>
      <c r="U4437" s="213" t="s">
        <v>62016</v>
      </c>
    </row>
    <row r="4438" spans="1:21" x14ac:dyDescent="0.25">
      <c r="A4438" s="213" t="s">
        <v>327</v>
      </c>
      <c r="D4438" s="213" t="s">
        <v>36936</v>
      </c>
      <c r="E4438" s="213" t="s">
        <v>36937</v>
      </c>
      <c r="K4438" s="213" t="s">
        <v>61900</v>
      </c>
      <c r="L4438" s="213" t="s">
        <v>61939</v>
      </c>
      <c r="M4438" s="213" t="s">
        <v>61978</v>
      </c>
      <c r="N4438" s="213" t="s">
        <v>36938</v>
      </c>
      <c r="O4438" s="213" t="s">
        <v>36939</v>
      </c>
      <c r="P4438" s="213" t="s">
        <v>36940</v>
      </c>
      <c r="Q4438" s="213" t="s">
        <v>36941</v>
      </c>
      <c r="R4438" s="213" t="s">
        <v>36942</v>
      </c>
      <c r="S4438" s="213" t="s">
        <v>36943</v>
      </c>
      <c r="T4438" s="213" t="s">
        <v>36944</v>
      </c>
      <c r="U4438" s="213" t="s">
        <v>62017</v>
      </c>
    </row>
    <row r="4439" spans="1:21" x14ac:dyDescent="0.25">
      <c r="A4439" s="213" t="s">
        <v>327</v>
      </c>
      <c r="D4439" s="213" t="s">
        <v>36945</v>
      </c>
      <c r="E4439" s="213" t="s">
        <v>36946</v>
      </c>
      <c r="K4439" s="213" t="s">
        <v>61901</v>
      </c>
      <c r="L4439" s="213" t="s">
        <v>61940</v>
      </c>
      <c r="M4439" s="213" t="s">
        <v>61979</v>
      </c>
      <c r="N4439" s="213" t="s">
        <v>36947</v>
      </c>
      <c r="O4439" s="213" t="s">
        <v>36948</v>
      </c>
      <c r="P4439" s="213" t="s">
        <v>36949</v>
      </c>
      <c r="Q4439" s="213" t="s">
        <v>36950</v>
      </c>
      <c r="R4439" s="213" t="s">
        <v>36951</v>
      </c>
      <c r="S4439" s="213" t="s">
        <v>36952</v>
      </c>
      <c r="T4439" s="213" t="s">
        <v>36953</v>
      </c>
      <c r="U4439" s="213" t="s">
        <v>62018</v>
      </c>
    </row>
    <row r="4440" spans="1:21" x14ac:dyDescent="0.25">
      <c r="A4440" s="213" t="s">
        <v>327</v>
      </c>
      <c r="D4440" s="213" t="s">
        <v>36954</v>
      </c>
      <c r="E4440" s="213" t="s">
        <v>36955</v>
      </c>
      <c r="K4440" s="213" t="s">
        <v>61902</v>
      </c>
      <c r="L4440" s="213" t="s">
        <v>61941</v>
      </c>
      <c r="M4440" s="213" t="s">
        <v>61980</v>
      </c>
      <c r="N4440" s="213" t="s">
        <v>36956</v>
      </c>
      <c r="O4440" s="213" t="s">
        <v>36957</v>
      </c>
      <c r="P4440" s="213" t="s">
        <v>36958</v>
      </c>
      <c r="Q4440" s="213" t="s">
        <v>36959</v>
      </c>
      <c r="R4440" s="213" t="s">
        <v>36960</v>
      </c>
      <c r="S4440" s="213" t="s">
        <v>36961</v>
      </c>
      <c r="T4440" s="213" t="s">
        <v>36962</v>
      </c>
      <c r="U4440" s="213" t="s">
        <v>62019</v>
      </c>
    </row>
    <row r="4441" spans="1:21" x14ac:dyDescent="0.25">
      <c r="A4441" s="213" t="s">
        <v>327</v>
      </c>
      <c r="D4441" s="213" t="s">
        <v>36963</v>
      </c>
      <c r="E4441" s="213" t="s">
        <v>36964</v>
      </c>
      <c r="K4441" s="213" t="s">
        <v>61903</v>
      </c>
      <c r="L4441" s="213" t="s">
        <v>61942</v>
      </c>
      <c r="M4441" s="213" t="s">
        <v>61981</v>
      </c>
      <c r="N4441" s="213" t="s">
        <v>36965</v>
      </c>
      <c r="O4441" s="213" t="s">
        <v>36966</v>
      </c>
      <c r="P4441" s="213" t="s">
        <v>36967</v>
      </c>
      <c r="Q4441" s="213" t="s">
        <v>36968</v>
      </c>
      <c r="R4441" s="213" t="s">
        <v>36969</v>
      </c>
      <c r="S4441" s="213" t="s">
        <v>36970</v>
      </c>
      <c r="T4441" s="213" t="s">
        <v>36971</v>
      </c>
      <c r="U4441" s="213" t="s">
        <v>62020</v>
      </c>
    </row>
    <row r="4442" spans="1:21" x14ac:dyDescent="0.25">
      <c r="A4442" s="213" t="s">
        <v>327</v>
      </c>
      <c r="D4442" s="213" t="s">
        <v>36972</v>
      </c>
      <c r="E4442" s="213" t="s">
        <v>36973</v>
      </c>
      <c r="K4442" s="213" t="s">
        <v>61904</v>
      </c>
      <c r="L4442" s="213" t="s">
        <v>61943</v>
      </c>
      <c r="M4442" s="213" t="s">
        <v>61982</v>
      </c>
      <c r="N4442" s="213" t="s">
        <v>36974</v>
      </c>
      <c r="O4442" s="213" t="s">
        <v>36975</v>
      </c>
      <c r="P4442" s="213" t="s">
        <v>36976</v>
      </c>
      <c r="Q4442" s="213" t="s">
        <v>36977</v>
      </c>
      <c r="R4442" s="213" t="s">
        <v>36978</v>
      </c>
      <c r="S4442" s="213" t="s">
        <v>36979</v>
      </c>
      <c r="T4442" s="213" t="s">
        <v>36980</v>
      </c>
      <c r="U4442" s="213" t="s">
        <v>62021</v>
      </c>
    </row>
    <row r="4443" spans="1:21" x14ac:dyDescent="0.25">
      <c r="A4443" s="213" t="s">
        <v>327</v>
      </c>
      <c r="D4443" s="213" t="s">
        <v>36981</v>
      </c>
      <c r="E4443" s="213" t="s">
        <v>36982</v>
      </c>
      <c r="K4443" s="213" t="s">
        <v>61905</v>
      </c>
      <c r="L4443" s="213" t="s">
        <v>61944</v>
      </c>
      <c r="M4443" s="213" t="s">
        <v>61983</v>
      </c>
      <c r="N4443" s="213" t="s">
        <v>36983</v>
      </c>
      <c r="O4443" s="213" t="s">
        <v>36984</v>
      </c>
      <c r="P4443" s="213" t="s">
        <v>36985</v>
      </c>
      <c r="Q4443" s="213" t="s">
        <v>36986</v>
      </c>
      <c r="R4443" s="213" t="s">
        <v>36987</v>
      </c>
      <c r="S4443" s="213" t="s">
        <v>36988</v>
      </c>
      <c r="T4443" s="213" t="s">
        <v>36989</v>
      </c>
      <c r="U4443" s="213" t="s">
        <v>62022</v>
      </c>
    </row>
    <row r="4444" spans="1:21" x14ac:dyDescent="0.25">
      <c r="A4444" s="213" t="s">
        <v>327</v>
      </c>
      <c r="D4444" s="213" t="s">
        <v>36990</v>
      </c>
      <c r="E4444" s="213" t="s">
        <v>36991</v>
      </c>
      <c r="K4444" s="213" t="s">
        <v>61906</v>
      </c>
      <c r="L4444" s="213" t="s">
        <v>61945</v>
      </c>
      <c r="M4444" s="213" t="s">
        <v>61984</v>
      </c>
      <c r="N4444" s="213" t="s">
        <v>36992</v>
      </c>
      <c r="O4444" s="213" t="s">
        <v>36993</v>
      </c>
      <c r="P4444" s="213" t="s">
        <v>36994</v>
      </c>
      <c r="Q4444" s="213" t="s">
        <v>36995</v>
      </c>
      <c r="R4444" s="213" t="s">
        <v>36996</v>
      </c>
      <c r="S4444" s="213" t="s">
        <v>36997</v>
      </c>
      <c r="T4444" s="213" t="s">
        <v>36998</v>
      </c>
      <c r="U4444" s="213" t="s">
        <v>62023</v>
      </c>
    </row>
    <row r="4445" spans="1:21" x14ac:dyDescent="0.25">
      <c r="A4445" s="213" t="s">
        <v>327</v>
      </c>
      <c r="D4445" s="213" t="s">
        <v>36999</v>
      </c>
      <c r="E4445" s="213" t="s">
        <v>37000</v>
      </c>
      <c r="K4445" s="213" t="s">
        <v>61907</v>
      </c>
      <c r="L4445" s="213" t="s">
        <v>61946</v>
      </c>
      <c r="M4445" s="213" t="s">
        <v>61985</v>
      </c>
      <c r="N4445" s="213" t="s">
        <v>37001</v>
      </c>
      <c r="O4445" s="213" t="s">
        <v>37002</v>
      </c>
      <c r="P4445" s="213" t="s">
        <v>37003</v>
      </c>
      <c r="Q4445" s="213" t="s">
        <v>37004</v>
      </c>
      <c r="R4445" s="213" t="s">
        <v>37005</v>
      </c>
      <c r="S4445" s="213" t="s">
        <v>37006</v>
      </c>
      <c r="T4445" s="213" t="s">
        <v>37007</v>
      </c>
      <c r="U4445" s="213" t="s">
        <v>62024</v>
      </c>
    </row>
    <row r="4446" spans="1:21" x14ac:dyDescent="0.25">
      <c r="A4446" s="213" t="s">
        <v>327</v>
      </c>
      <c r="D4446" s="213" t="s">
        <v>37008</v>
      </c>
      <c r="E4446" s="213" t="s">
        <v>37009</v>
      </c>
      <c r="K4446" s="213" t="s">
        <v>61908</v>
      </c>
      <c r="L4446" s="213" t="s">
        <v>61947</v>
      </c>
      <c r="M4446" s="213" t="s">
        <v>61986</v>
      </c>
      <c r="N4446" s="213" t="s">
        <v>37010</v>
      </c>
      <c r="O4446" s="213" t="s">
        <v>37011</v>
      </c>
      <c r="P4446" s="213" t="s">
        <v>37012</v>
      </c>
      <c r="Q4446" s="213" t="s">
        <v>37013</v>
      </c>
      <c r="R4446" s="213" t="s">
        <v>37014</v>
      </c>
      <c r="S4446" s="213" t="s">
        <v>37015</v>
      </c>
      <c r="T4446" s="213" t="s">
        <v>37016</v>
      </c>
      <c r="U4446" s="213" t="s">
        <v>62025</v>
      </c>
    </row>
    <row r="4447" spans="1:21" x14ac:dyDescent="0.25">
      <c r="A4447" s="213" t="s">
        <v>327</v>
      </c>
      <c r="D4447" s="213" t="s">
        <v>37017</v>
      </c>
      <c r="E4447" s="213" t="s">
        <v>37018</v>
      </c>
      <c r="K4447" s="213" t="s">
        <v>61909</v>
      </c>
      <c r="L4447" s="213" t="s">
        <v>61948</v>
      </c>
      <c r="M4447" s="213" t="s">
        <v>61987</v>
      </c>
      <c r="N4447" s="213" t="s">
        <v>37019</v>
      </c>
      <c r="O4447" s="213" t="s">
        <v>37020</v>
      </c>
      <c r="P4447" s="213" t="s">
        <v>37021</v>
      </c>
      <c r="Q4447" s="213" t="s">
        <v>37022</v>
      </c>
      <c r="R4447" s="213" t="s">
        <v>37023</v>
      </c>
      <c r="S4447" s="213" t="s">
        <v>37024</v>
      </c>
      <c r="T4447" s="213" t="s">
        <v>37025</v>
      </c>
      <c r="U4447" s="213" t="s">
        <v>62026</v>
      </c>
    </row>
    <row r="4448" spans="1:21" x14ac:dyDescent="0.25">
      <c r="A4448" s="213" t="s">
        <v>327</v>
      </c>
      <c r="D4448" s="213" t="s">
        <v>37026</v>
      </c>
      <c r="E4448" s="213" t="s">
        <v>37027</v>
      </c>
      <c r="K4448" s="213" t="s">
        <v>61910</v>
      </c>
      <c r="L4448" s="213" t="s">
        <v>61949</v>
      </c>
      <c r="M4448" s="213" t="s">
        <v>61988</v>
      </c>
      <c r="N4448" s="213" t="s">
        <v>37028</v>
      </c>
      <c r="O4448" s="213" t="s">
        <v>37029</v>
      </c>
      <c r="P4448" s="213" t="s">
        <v>37030</v>
      </c>
      <c r="Q4448" s="213" t="s">
        <v>37031</v>
      </c>
      <c r="R4448" s="213" t="s">
        <v>37032</v>
      </c>
      <c r="S4448" s="213" t="s">
        <v>37033</v>
      </c>
      <c r="T4448" s="213" t="s">
        <v>37034</v>
      </c>
      <c r="U4448" s="213" t="s">
        <v>62027</v>
      </c>
    </row>
    <row r="4449" spans="1:21" x14ac:dyDescent="0.25">
      <c r="A4449" s="213" t="s">
        <v>327</v>
      </c>
      <c r="D4449" s="213" t="s">
        <v>37035</v>
      </c>
      <c r="E4449" s="213" t="s">
        <v>37036</v>
      </c>
      <c r="K4449" s="213" t="s">
        <v>61911</v>
      </c>
      <c r="L4449" s="213" t="s">
        <v>61950</v>
      </c>
      <c r="M4449" s="213" t="s">
        <v>61989</v>
      </c>
      <c r="N4449" s="213" t="s">
        <v>37037</v>
      </c>
      <c r="O4449" s="213" t="s">
        <v>37038</v>
      </c>
      <c r="P4449" s="213" t="s">
        <v>37039</v>
      </c>
      <c r="Q4449" s="213" t="s">
        <v>37040</v>
      </c>
      <c r="R4449" s="213" t="s">
        <v>37041</v>
      </c>
      <c r="S4449" s="213" t="s">
        <v>37042</v>
      </c>
      <c r="T4449" s="213" t="s">
        <v>37043</v>
      </c>
      <c r="U4449" s="213" t="s">
        <v>62028</v>
      </c>
    </row>
    <row r="4450" spans="1:21" x14ac:dyDescent="0.25">
      <c r="A4450" s="213" t="s">
        <v>327</v>
      </c>
      <c r="D4450" s="213" t="s">
        <v>37044</v>
      </c>
      <c r="E4450" s="213" t="s">
        <v>37045</v>
      </c>
      <c r="K4450" s="213" t="s">
        <v>61912</v>
      </c>
      <c r="L4450" s="213" t="s">
        <v>61951</v>
      </c>
      <c r="M4450" s="213" t="s">
        <v>61990</v>
      </c>
      <c r="N4450" s="213" t="s">
        <v>37046</v>
      </c>
      <c r="O4450" s="213" t="s">
        <v>37047</v>
      </c>
      <c r="P4450" s="213" t="s">
        <v>37048</v>
      </c>
      <c r="Q4450" s="213" t="s">
        <v>37049</v>
      </c>
      <c r="R4450" s="213" t="s">
        <v>37050</v>
      </c>
      <c r="S4450" s="213" t="s">
        <v>37051</v>
      </c>
      <c r="T4450" s="213" t="s">
        <v>37052</v>
      </c>
      <c r="U4450" s="213" t="s">
        <v>62029</v>
      </c>
    </row>
    <row r="4451" spans="1:21" x14ac:dyDescent="0.25">
      <c r="A4451" s="213" t="s">
        <v>327</v>
      </c>
      <c r="D4451" s="213" t="s">
        <v>37053</v>
      </c>
      <c r="E4451" s="213" t="s">
        <v>37054</v>
      </c>
      <c r="K4451" s="213" t="s">
        <v>61913</v>
      </c>
      <c r="L4451" s="213" t="s">
        <v>61952</v>
      </c>
      <c r="M4451" s="213" t="s">
        <v>61991</v>
      </c>
      <c r="N4451" s="213" t="s">
        <v>37055</v>
      </c>
      <c r="O4451" s="213" t="s">
        <v>37056</v>
      </c>
      <c r="P4451" s="213" t="s">
        <v>37057</v>
      </c>
      <c r="Q4451" s="213" t="s">
        <v>37058</v>
      </c>
      <c r="R4451" s="213" t="s">
        <v>37059</v>
      </c>
      <c r="S4451" s="213" t="s">
        <v>37060</v>
      </c>
      <c r="T4451" s="213" t="s">
        <v>37061</v>
      </c>
      <c r="U4451" s="213" t="s">
        <v>62030</v>
      </c>
    </row>
    <row r="4452" spans="1:21" x14ac:dyDescent="0.25">
      <c r="A4452" s="213" t="s">
        <v>327</v>
      </c>
      <c r="D4452" s="213" t="s">
        <v>37062</v>
      </c>
      <c r="E4452" s="213" t="s">
        <v>37063</v>
      </c>
      <c r="K4452" s="213" t="s">
        <v>61914</v>
      </c>
      <c r="L4452" s="213" t="s">
        <v>61953</v>
      </c>
      <c r="M4452" s="213" t="s">
        <v>61992</v>
      </c>
      <c r="N4452" s="213" t="s">
        <v>37064</v>
      </c>
      <c r="O4452" s="213" t="s">
        <v>37065</v>
      </c>
      <c r="P4452" s="213" t="s">
        <v>37066</v>
      </c>
      <c r="Q4452" s="213" t="s">
        <v>37067</v>
      </c>
      <c r="R4452" s="213" t="s">
        <v>37068</v>
      </c>
      <c r="S4452" s="213" t="s">
        <v>37069</v>
      </c>
      <c r="T4452" s="213" t="s">
        <v>37070</v>
      </c>
      <c r="U4452" s="213" t="s">
        <v>62031</v>
      </c>
    </row>
    <row r="4453" spans="1:21" x14ac:dyDescent="0.25">
      <c r="A4453" s="213" t="s">
        <v>327</v>
      </c>
      <c r="D4453" s="213" t="s">
        <v>37071</v>
      </c>
      <c r="E4453" s="213" t="s">
        <v>37072</v>
      </c>
      <c r="K4453" s="213" t="s">
        <v>61915</v>
      </c>
      <c r="L4453" s="213" t="s">
        <v>61954</v>
      </c>
      <c r="M4453" s="213" t="s">
        <v>61993</v>
      </c>
      <c r="N4453" s="213" t="s">
        <v>37073</v>
      </c>
      <c r="O4453" s="213" t="s">
        <v>37074</v>
      </c>
      <c r="P4453" s="213" t="s">
        <v>37075</v>
      </c>
      <c r="Q4453" s="213" t="s">
        <v>37076</v>
      </c>
      <c r="R4453" s="213" t="s">
        <v>37077</v>
      </c>
      <c r="S4453" s="213" t="s">
        <v>37078</v>
      </c>
      <c r="T4453" s="213" t="s">
        <v>37079</v>
      </c>
      <c r="U4453" s="213" t="s">
        <v>62032</v>
      </c>
    </row>
    <row r="4454" spans="1:21" x14ac:dyDescent="0.25">
      <c r="A4454" s="213" t="s">
        <v>327</v>
      </c>
      <c r="D4454" s="213" t="s">
        <v>37080</v>
      </c>
      <c r="E4454" s="213" t="s">
        <v>37081</v>
      </c>
      <c r="K4454" s="213" t="s">
        <v>61916</v>
      </c>
      <c r="L4454" s="213" t="s">
        <v>61955</v>
      </c>
      <c r="M4454" s="213" t="s">
        <v>61994</v>
      </c>
      <c r="N4454" s="213" t="s">
        <v>37082</v>
      </c>
      <c r="O4454" s="213" t="s">
        <v>37083</v>
      </c>
      <c r="P4454" s="213" t="s">
        <v>37084</v>
      </c>
      <c r="Q4454" s="213" t="s">
        <v>37085</v>
      </c>
      <c r="R4454" s="213" t="s">
        <v>37086</v>
      </c>
      <c r="S4454" s="213" t="s">
        <v>37087</v>
      </c>
      <c r="T4454" s="213" t="s">
        <v>37088</v>
      </c>
      <c r="U4454" s="213" t="s">
        <v>62033</v>
      </c>
    </row>
    <row r="4455" spans="1:21" x14ac:dyDescent="0.25">
      <c r="A4455" s="213" t="s">
        <v>327</v>
      </c>
      <c r="D4455" s="213" t="s">
        <v>37089</v>
      </c>
      <c r="E4455" s="213" t="s">
        <v>37090</v>
      </c>
      <c r="K4455" s="213" t="s">
        <v>61917</v>
      </c>
      <c r="L4455" s="213" t="s">
        <v>61956</v>
      </c>
      <c r="M4455" s="213" t="s">
        <v>61995</v>
      </c>
      <c r="N4455" s="213" t="s">
        <v>37091</v>
      </c>
      <c r="O4455" s="213" t="s">
        <v>37092</v>
      </c>
      <c r="P4455" s="213" t="s">
        <v>37093</v>
      </c>
      <c r="Q4455" s="213" t="s">
        <v>37094</v>
      </c>
      <c r="R4455" s="213" t="s">
        <v>37095</v>
      </c>
      <c r="S4455" s="213" t="s">
        <v>37096</v>
      </c>
      <c r="T4455" s="213" t="s">
        <v>37097</v>
      </c>
      <c r="U4455" s="213" t="s">
        <v>62034</v>
      </c>
    </row>
    <row r="4456" spans="1:21" x14ac:dyDescent="0.25">
      <c r="A4456" s="213" t="s">
        <v>327</v>
      </c>
      <c r="D4456" s="213" t="s">
        <v>37098</v>
      </c>
      <c r="E4456" s="213" t="s">
        <v>37099</v>
      </c>
      <c r="K4456" s="213" t="s">
        <v>61918</v>
      </c>
      <c r="L4456" s="213" t="s">
        <v>61957</v>
      </c>
      <c r="M4456" s="213" t="s">
        <v>61996</v>
      </c>
      <c r="N4456" s="213" t="s">
        <v>37100</v>
      </c>
      <c r="O4456" s="213" t="s">
        <v>37101</v>
      </c>
      <c r="P4456" s="213" t="s">
        <v>37102</v>
      </c>
      <c r="Q4456" s="213" t="s">
        <v>37103</v>
      </c>
      <c r="R4456" s="213" t="s">
        <v>37104</v>
      </c>
      <c r="S4456" s="213" t="s">
        <v>37105</v>
      </c>
      <c r="T4456" s="213" t="s">
        <v>37106</v>
      </c>
      <c r="U4456" s="213" t="s">
        <v>62035</v>
      </c>
    </row>
    <row r="4457" spans="1:21" x14ac:dyDescent="0.25">
      <c r="A4457" s="213" t="s">
        <v>327</v>
      </c>
      <c r="D4457" s="213" t="s">
        <v>37107</v>
      </c>
      <c r="E4457" s="213" t="s">
        <v>37108</v>
      </c>
      <c r="K4457" s="213" t="s">
        <v>61919</v>
      </c>
      <c r="L4457" s="213" t="s">
        <v>61958</v>
      </c>
      <c r="M4457" s="213" t="s">
        <v>61997</v>
      </c>
      <c r="N4457" s="213" t="s">
        <v>37109</v>
      </c>
      <c r="O4457" s="213" t="s">
        <v>37110</v>
      </c>
      <c r="P4457" s="213" t="s">
        <v>37111</v>
      </c>
      <c r="Q4457" s="213" t="s">
        <v>37112</v>
      </c>
      <c r="R4457" s="213" t="s">
        <v>37113</v>
      </c>
      <c r="S4457" s="213" t="s">
        <v>37114</v>
      </c>
      <c r="T4457" s="213" t="s">
        <v>37115</v>
      </c>
      <c r="U4457" s="213" t="s">
        <v>62036</v>
      </c>
    </row>
    <row r="4458" spans="1:21" x14ac:dyDescent="0.25">
      <c r="A4458" s="213" t="s">
        <v>327</v>
      </c>
      <c r="D4458" s="213" t="s">
        <v>37116</v>
      </c>
      <c r="E4458" s="213" t="s">
        <v>37117</v>
      </c>
      <c r="K4458" s="213" t="s">
        <v>61920</v>
      </c>
      <c r="L4458" s="213" t="s">
        <v>61959</v>
      </c>
      <c r="M4458" s="213" t="s">
        <v>61998</v>
      </c>
      <c r="N4458" s="213" t="s">
        <v>37118</v>
      </c>
      <c r="O4458" s="213" t="s">
        <v>37119</v>
      </c>
      <c r="P4458" s="213" t="s">
        <v>37120</v>
      </c>
      <c r="Q4458" s="213" t="s">
        <v>37121</v>
      </c>
      <c r="R4458" s="213" t="s">
        <v>37122</v>
      </c>
      <c r="S4458" s="213" t="s">
        <v>37123</v>
      </c>
      <c r="T4458" s="213" t="s">
        <v>37124</v>
      </c>
      <c r="U4458" s="213" t="s">
        <v>62037</v>
      </c>
    </row>
    <row r="4459" spans="1:21" x14ac:dyDescent="0.25">
      <c r="A4459" s="213" t="s">
        <v>327</v>
      </c>
      <c r="D4459" s="213" t="s">
        <v>37125</v>
      </c>
      <c r="E4459" s="213" t="s">
        <v>37126</v>
      </c>
      <c r="K4459" s="213" t="s">
        <v>61921</v>
      </c>
      <c r="L4459" s="213" t="s">
        <v>61960</v>
      </c>
      <c r="M4459" s="213" t="s">
        <v>61999</v>
      </c>
      <c r="N4459" s="213" t="s">
        <v>37127</v>
      </c>
      <c r="O4459" s="213" t="s">
        <v>37128</v>
      </c>
      <c r="P4459" s="213" t="s">
        <v>37129</v>
      </c>
      <c r="Q4459" s="213" t="s">
        <v>37130</v>
      </c>
      <c r="R4459" s="213" t="s">
        <v>37131</v>
      </c>
      <c r="S4459" s="213" t="s">
        <v>37132</v>
      </c>
      <c r="T4459" s="213" t="s">
        <v>37133</v>
      </c>
      <c r="U4459" s="213" t="s">
        <v>62038</v>
      </c>
    </row>
    <row r="4460" spans="1:21" x14ac:dyDescent="0.25">
      <c r="A4460" s="213" t="s">
        <v>327</v>
      </c>
      <c r="D4460" s="213" t="s">
        <v>37134</v>
      </c>
      <c r="E4460" s="213" t="s">
        <v>37135</v>
      </c>
      <c r="K4460" s="213" t="s">
        <v>61922</v>
      </c>
      <c r="L4460" s="213" t="s">
        <v>61961</v>
      </c>
      <c r="M4460" s="213" t="s">
        <v>62000</v>
      </c>
      <c r="N4460" s="213" t="s">
        <v>37136</v>
      </c>
      <c r="O4460" s="213" t="s">
        <v>37137</v>
      </c>
      <c r="P4460" s="213" t="s">
        <v>37138</v>
      </c>
      <c r="Q4460" s="213" t="s">
        <v>37139</v>
      </c>
      <c r="R4460" s="213" t="s">
        <v>37140</v>
      </c>
      <c r="S4460" s="213" t="s">
        <v>37141</v>
      </c>
      <c r="T4460" s="213" t="s">
        <v>37142</v>
      </c>
      <c r="U4460" s="213" t="s">
        <v>62039</v>
      </c>
    </row>
    <row r="4461" spans="1:21" x14ac:dyDescent="0.25">
      <c r="A4461" s="213" t="s">
        <v>327</v>
      </c>
      <c r="D4461" s="213" t="s">
        <v>37143</v>
      </c>
      <c r="E4461" s="213" t="s">
        <v>37144</v>
      </c>
      <c r="K4461" s="213" t="s">
        <v>61923</v>
      </c>
      <c r="L4461" s="213" t="s">
        <v>61962</v>
      </c>
      <c r="M4461" s="213" t="s">
        <v>62001</v>
      </c>
      <c r="N4461" s="213" t="s">
        <v>37145</v>
      </c>
      <c r="O4461" s="213" t="s">
        <v>37146</v>
      </c>
      <c r="P4461" s="213" t="s">
        <v>37147</v>
      </c>
      <c r="Q4461" s="213" t="s">
        <v>37148</v>
      </c>
      <c r="R4461" s="213" t="s">
        <v>37149</v>
      </c>
      <c r="S4461" s="213" t="s">
        <v>37150</v>
      </c>
      <c r="T4461" s="213" t="s">
        <v>37151</v>
      </c>
      <c r="U4461" s="213" t="s">
        <v>62040</v>
      </c>
    </row>
    <row r="4462" spans="1:21" x14ac:dyDescent="0.25">
      <c r="A4462" s="213" t="s">
        <v>327</v>
      </c>
      <c r="D4462" s="213" t="s">
        <v>37152</v>
      </c>
      <c r="E4462" s="213" t="s">
        <v>37153</v>
      </c>
      <c r="K4462" s="213" t="s">
        <v>61924</v>
      </c>
      <c r="L4462" s="213" t="s">
        <v>61963</v>
      </c>
      <c r="M4462" s="213" t="s">
        <v>62002</v>
      </c>
      <c r="N4462" s="213" t="s">
        <v>37154</v>
      </c>
      <c r="O4462" s="213" t="s">
        <v>37155</v>
      </c>
      <c r="P4462" s="213" t="s">
        <v>37156</v>
      </c>
      <c r="Q4462" s="213" t="s">
        <v>37157</v>
      </c>
      <c r="R4462" s="213" t="s">
        <v>37158</v>
      </c>
      <c r="S4462" s="213" t="s">
        <v>37159</v>
      </c>
      <c r="T4462" s="213" t="s">
        <v>37160</v>
      </c>
      <c r="U4462" s="213" t="s">
        <v>62041</v>
      </c>
    </row>
    <row r="4463" spans="1:21" x14ac:dyDescent="0.25">
      <c r="A4463" s="213" t="s">
        <v>327</v>
      </c>
      <c r="D4463" s="213" t="s">
        <v>37161</v>
      </c>
      <c r="E4463" s="213" t="s">
        <v>37162</v>
      </c>
      <c r="K4463" s="213" t="s">
        <v>61925</v>
      </c>
      <c r="L4463" s="213" t="s">
        <v>61964</v>
      </c>
      <c r="M4463" s="213" t="s">
        <v>62003</v>
      </c>
      <c r="N4463" s="213" t="s">
        <v>37163</v>
      </c>
      <c r="O4463" s="213" t="s">
        <v>37164</v>
      </c>
      <c r="P4463" s="213" t="s">
        <v>37165</v>
      </c>
      <c r="Q4463" s="213" t="s">
        <v>37166</v>
      </c>
      <c r="R4463" s="213" t="s">
        <v>37167</v>
      </c>
      <c r="S4463" s="213" t="s">
        <v>37168</v>
      </c>
      <c r="T4463" s="213" t="s">
        <v>37169</v>
      </c>
      <c r="U4463" s="213" t="s">
        <v>62042</v>
      </c>
    </row>
    <row r="4464" spans="1:21" x14ac:dyDescent="0.25">
      <c r="A4464" s="213" t="s">
        <v>327</v>
      </c>
      <c r="D4464" s="213" t="s">
        <v>37170</v>
      </c>
      <c r="E4464" s="213" t="s">
        <v>37171</v>
      </c>
      <c r="K4464" s="213" t="s">
        <v>61926</v>
      </c>
      <c r="L4464" s="213" t="s">
        <v>61965</v>
      </c>
      <c r="M4464" s="213" t="s">
        <v>62004</v>
      </c>
      <c r="N4464" s="213" t="s">
        <v>37172</v>
      </c>
      <c r="O4464" s="213" t="s">
        <v>37173</v>
      </c>
      <c r="P4464" s="213" t="s">
        <v>37174</v>
      </c>
      <c r="Q4464" s="213" t="s">
        <v>37175</v>
      </c>
      <c r="R4464" s="213" t="s">
        <v>37176</v>
      </c>
      <c r="S4464" s="213" t="s">
        <v>37177</v>
      </c>
      <c r="T4464" s="213" t="s">
        <v>37178</v>
      </c>
      <c r="U4464" s="213" t="s">
        <v>62043</v>
      </c>
    </row>
    <row r="4465" spans="1:21" x14ac:dyDescent="0.25">
      <c r="A4465" s="213" t="s">
        <v>327</v>
      </c>
      <c r="D4465" s="213" t="s">
        <v>37179</v>
      </c>
      <c r="E4465" s="213" t="s">
        <v>37180</v>
      </c>
      <c r="K4465" s="213" t="s">
        <v>61927</v>
      </c>
      <c r="L4465" s="213" t="s">
        <v>61966</v>
      </c>
      <c r="M4465" s="213" t="s">
        <v>62005</v>
      </c>
      <c r="N4465" s="213" t="s">
        <v>37181</v>
      </c>
      <c r="O4465" s="213" t="s">
        <v>37182</v>
      </c>
      <c r="P4465" s="213" t="s">
        <v>37183</v>
      </c>
      <c r="Q4465" s="213" t="s">
        <v>37184</v>
      </c>
      <c r="R4465" s="213" t="s">
        <v>37185</v>
      </c>
      <c r="S4465" s="213" t="s">
        <v>37186</v>
      </c>
      <c r="T4465" s="213" t="s">
        <v>37187</v>
      </c>
      <c r="U4465" s="213" t="s">
        <v>62044</v>
      </c>
    </row>
    <row r="4466" spans="1:21" x14ac:dyDescent="0.25">
      <c r="A4466" s="213" t="s">
        <v>327</v>
      </c>
      <c r="D4466" s="213" t="s">
        <v>37188</v>
      </c>
      <c r="E4466" s="213" t="s">
        <v>37189</v>
      </c>
      <c r="K4466" s="213" t="s">
        <v>61928</v>
      </c>
      <c r="L4466" s="213" t="s">
        <v>61967</v>
      </c>
      <c r="M4466" s="213" t="s">
        <v>62006</v>
      </c>
      <c r="N4466" s="213" t="s">
        <v>37190</v>
      </c>
      <c r="O4466" s="213" t="s">
        <v>37191</v>
      </c>
      <c r="P4466" s="213" t="s">
        <v>37192</v>
      </c>
      <c r="Q4466" s="213" t="s">
        <v>37193</v>
      </c>
      <c r="R4466" s="213" t="s">
        <v>37194</v>
      </c>
      <c r="S4466" s="213" t="s">
        <v>37195</v>
      </c>
      <c r="T4466" s="213" t="s">
        <v>37196</v>
      </c>
      <c r="U4466" s="213" t="s">
        <v>62045</v>
      </c>
    </row>
    <row r="4467" spans="1:21" x14ac:dyDescent="0.25">
      <c r="A4467" s="213" t="s">
        <v>327</v>
      </c>
      <c r="D4467" s="213" t="s">
        <v>37197</v>
      </c>
      <c r="E4467" s="213" t="s">
        <v>37198</v>
      </c>
      <c r="K4467" s="213" t="s">
        <v>61929</v>
      </c>
      <c r="L4467" s="213" t="s">
        <v>61968</v>
      </c>
      <c r="M4467" s="213" t="s">
        <v>62007</v>
      </c>
      <c r="N4467" s="213" t="s">
        <v>37199</v>
      </c>
      <c r="O4467" s="213" t="s">
        <v>37200</v>
      </c>
      <c r="P4467" s="213" t="s">
        <v>37201</v>
      </c>
      <c r="Q4467" s="213" t="s">
        <v>37202</v>
      </c>
      <c r="R4467" s="213" t="s">
        <v>37203</v>
      </c>
      <c r="S4467" s="213" t="s">
        <v>37204</v>
      </c>
      <c r="T4467" s="213" t="s">
        <v>37205</v>
      </c>
      <c r="U4467" s="213" t="s">
        <v>62046</v>
      </c>
    </row>
    <row r="4468" spans="1:21" x14ac:dyDescent="0.25">
      <c r="A4468" s="213" t="s">
        <v>327</v>
      </c>
      <c r="D4468" s="213" t="s">
        <v>37206</v>
      </c>
      <c r="E4468" s="213" t="s">
        <v>37207</v>
      </c>
      <c r="K4468" s="213" t="s">
        <v>61930</v>
      </c>
      <c r="L4468" s="213" t="s">
        <v>61969</v>
      </c>
      <c r="M4468" s="213" t="s">
        <v>62008</v>
      </c>
      <c r="N4468" s="213" t="s">
        <v>37208</v>
      </c>
      <c r="O4468" s="213" t="s">
        <v>37209</v>
      </c>
      <c r="P4468" s="213" t="s">
        <v>37210</v>
      </c>
      <c r="Q4468" s="213" t="s">
        <v>37211</v>
      </c>
      <c r="R4468" s="213" t="s">
        <v>37212</v>
      </c>
      <c r="S4468" s="213" t="s">
        <v>37213</v>
      </c>
      <c r="T4468" s="213" t="s">
        <v>37214</v>
      </c>
      <c r="U4468" s="213" t="s">
        <v>62047</v>
      </c>
    </row>
    <row r="4469" spans="1:21" x14ac:dyDescent="0.25">
      <c r="A4469" s="213" t="s">
        <v>327</v>
      </c>
      <c r="D4469" s="213" t="s">
        <v>37215</v>
      </c>
      <c r="E4469" s="213" t="s">
        <v>37216</v>
      </c>
      <c r="K4469" s="213" t="s">
        <v>61931</v>
      </c>
      <c r="L4469" s="213" t="s">
        <v>61970</v>
      </c>
      <c r="M4469" s="213" t="s">
        <v>62009</v>
      </c>
      <c r="N4469" s="213" t="s">
        <v>37217</v>
      </c>
      <c r="O4469" s="213" t="s">
        <v>37218</v>
      </c>
      <c r="P4469" s="213" t="s">
        <v>37219</v>
      </c>
      <c r="Q4469" s="213" t="s">
        <v>37220</v>
      </c>
      <c r="R4469" s="213" t="s">
        <v>37221</v>
      </c>
      <c r="S4469" s="213" t="s">
        <v>37222</v>
      </c>
      <c r="T4469" s="213" t="s">
        <v>37223</v>
      </c>
      <c r="U4469" s="213" t="s">
        <v>62048</v>
      </c>
    </row>
    <row r="4470" spans="1:21" x14ac:dyDescent="0.25">
      <c r="A4470" s="213" t="s">
        <v>327</v>
      </c>
      <c r="D4470" s="213" t="s">
        <v>37224</v>
      </c>
      <c r="E4470" s="213" t="s">
        <v>37225</v>
      </c>
      <c r="K4470" s="213" t="s">
        <v>61932</v>
      </c>
      <c r="L4470" s="213" t="s">
        <v>61971</v>
      </c>
      <c r="M4470" s="213" t="s">
        <v>62010</v>
      </c>
      <c r="N4470" s="213" t="s">
        <v>37226</v>
      </c>
      <c r="O4470" s="213" t="s">
        <v>37227</v>
      </c>
      <c r="P4470" s="213" t="s">
        <v>37228</v>
      </c>
      <c r="Q4470" s="213" t="s">
        <v>37229</v>
      </c>
      <c r="R4470" s="213" t="s">
        <v>37230</v>
      </c>
      <c r="S4470" s="213" t="s">
        <v>37231</v>
      </c>
      <c r="T4470" s="213" t="s">
        <v>37232</v>
      </c>
      <c r="U4470" s="213" t="s">
        <v>62049</v>
      </c>
    </row>
    <row r="4471" spans="1:21" x14ac:dyDescent="0.25">
      <c r="A4471" s="213" t="s">
        <v>327</v>
      </c>
    </row>
    <row r="4472" spans="1:21" x14ac:dyDescent="0.25">
      <c r="A4472" s="213" t="s">
        <v>327</v>
      </c>
    </row>
    <row r="4473" spans="1:21" x14ac:dyDescent="0.25">
      <c r="A4473" s="213" t="s">
        <v>327</v>
      </c>
      <c r="C4473" s="213" t="s">
        <v>37233</v>
      </c>
      <c r="E4473" s="213" t="s">
        <v>37234</v>
      </c>
      <c r="H4473" s="213" t="s">
        <v>37235</v>
      </c>
      <c r="I4473" s="213" t="s">
        <v>37236</v>
      </c>
      <c r="J4473" s="213" t="s">
        <v>37237</v>
      </c>
      <c r="L4473" s="213" t="s">
        <v>37238</v>
      </c>
      <c r="O4473" s="213" t="s">
        <v>37239</v>
      </c>
      <c r="P4473" s="213" t="s">
        <v>37240</v>
      </c>
      <c r="Q4473" s="213" t="s">
        <v>37241</v>
      </c>
      <c r="R4473" s="213" t="s">
        <v>37242</v>
      </c>
      <c r="S4473" s="213" t="s">
        <v>37243</v>
      </c>
      <c r="T4473" s="213" t="s">
        <v>37244</v>
      </c>
    </row>
    <row r="4474" spans="1:21" x14ac:dyDescent="0.25">
      <c r="A4474" s="213" t="s">
        <v>327</v>
      </c>
      <c r="C4474" s="213" t="s">
        <v>37245</v>
      </c>
      <c r="E4474" s="213" t="s">
        <v>37246</v>
      </c>
      <c r="I4474" s="213" t="s">
        <v>37247</v>
      </c>
    </row>
    <row r="4475" spans="1:21" x14ac:dyDescent="0.25">
      <c r="A4475" s="213" t="s">
        <v>327</v>
      </c>
      <c r="C4475" s="213" t="s">
        <v>37248</v>
      </c>
      <c r="E4475" s="213" t="s">
        <v>37249</v>
      </c>
      <c r="I4475" s="213" t="s">
        <v>37250</v>
      </c>
    </row>
    <row r="4476" spans="1:21" x14ac:dyDescent="0.25">
      <c r="A4476" s="213" t="s">
        <v>328</v>
      </c>
    </row>
    <row r="4477" spans="1:21" x14ac:dyDescent="0.25">
      <c r="A4477" s="213" t="s">
        <v>327</v>
      </c>
      <c r="D4477" s="213" t="s">
        <v>37251</v>
      </c>
      <c r="E4477" s="213" t="s">
        <v>37252</v>
      </c>
      <c r="K4477" s="213" t="s">
        <v>61722</v>
      </c>
      <c r="L4477" s="213" t="s">
        <v>61765</v>
      </c>
      <c r="M4477" s="213" t="s">
        <v>61808</v>
      </c>
      <c r="N4477" s="213" t="s">
        <v>37253</v>
      </c>
      <c r="O4477" s="213" t="s">
        <v>37254</v>
      </c>
      <c r="P4477" s="213" t="s">
        <v>37255</v>
      </c>
      <c r="Q4477" s="213" t="s">
        <v>37256</v>
      </c>
      <c r="R4477" s="213" t="s">
        <v>37257</v>
      </c>
      <c r="S4477" s="213" t="s">
        <v>37258</v>
      </c>
      <c r="T4477" s="213" t="s">
        <v>37259</v>
      </c>
      <c r="U4477" s="213" t="s">
        <v>61851</v>
      </c>
    </row>
    <row r="4478" spans="1:21" x14ac:dyDescent="0.25">
      <c r="A4478" s="213" t="s">
        <v>327</v>
      </c>
      <c r="D4478" s="213" t="s">
        <v>37260</v>
      </c>
      <c r="E4478" s="213" t="s">
        <v>37261</v>
      </c>
      <c r="K4478" s="213" t="s">
        <v>61723</v>
      </c>
      <c r="L4478" s="213" t="s">
        <v>61766</v>
      </c>
      <c r="M4478" s="213" t="s">
        <v>61809</v>
      </c>
      <c r="N4478" s="213" t="s">
        <v>37262</v>
      </c>
      <c r="O4478" s="213" t="s">
        <v>37263</v>
      </c>
      <c r="P4478" s="213" t="s">
        <v>37264</v>
      </c>
      <c r="Q4478" s="213" t="s">
        <v>37265</v>
      </c>
      <c r="R4478" s="213" t="s">
        <v>37266</v>
      </c>
      <c r="S4478" s="213" t="s">
        <v>37267</v>
      </c>
      <c r="T4478" s="213" t="s">
        <v>37268</v>
      </c>
      <c r="U4478" s="213" t="s">
        <v>61852</v>
      </c>
    </row>
    <row r="4479" spans="1:21" x14ac:dyDescent="0.25">
      <c r="A4479" s="213" t="s">
        <v>327</v>
      </c>
      <c r="D4479" s="213" t="s">
        <v>37269</v>
      </c>
      <c r="E4479" s="213" t="s">
        <v>37270</v>
      </c>
      <c r="K4479" s="213" t="s">
        <v>61724</v>
      </c>
      <c r="L4479" s="213" t="s">
        <v>61767</v>
      </c>
      <c r="M4479" s="213" t="s">
        <v>61810</v>
      </c>
      <c r="N4479" s="213" t="s">
        <v>37271</v>
      </c>
      <c r="O4479" s="213" t="s">
        <v>37272</v>
      </c>
      <c r="P4479" s="213" t="s">
        <v>37273</v>
      </c>
      <c r="Q4479" s="213" t="s">
        <v>37274</v>
      </c>
      <c r="R4479" s="213" t="s">
        <v>37275</v>
      </c>
      <c r="S4479" s="213" t="s">
        <v>37276</v>
      </c>
      <c r="T4479" s="213" t="s">
        <v>37277</v>
      </c>
      <c r="U4479" s="213" t="s">
        <v>61853</v>
      </c>
    </row>
    <row r="4480" spans="1:21" x14ac:dyDescent="0.25">
      <c r="A4480" s="213" t="s">
        <v>327</v>
      </c>
      <c r="D4480" s="213" t="s">
        <v>37278</v>
      </c>
      <c r="E4480" s="213" t="s">
        <v>37279</v>
      </c>
      <c r="K4480" s="213" t="s">
        <v>61725</v>
      </c>
      <c r="L4480" s="213" t="s">
        <v>61768</v>
      </c>
      <c r="M4480" s="213" t="s">
        <v>61811</v>
      </c>
      <c r="N4480" s="213" t="s">
        <v>37280</v>
      </c>
      <c r="O4480" s="213" t="s">
        <v>37281</v>
      </c>
      <c r="P4480" s="213" t="s">
        <v>37282</v>
      </c>
      <c r="Q4480" s="213" t="s">
        <v>37283</v>
      </c>
      <c r="R4480" s="213" t="s">
        <v>37284</v>
      </c>
      <c r="S4480" s="213" t="s">
        <v>37285</v>
      </c>
      <c r="T4480" s="213" t="s">
        <v>37286</v>
      </c>
      <c r="U4480" s="213" t="s">
        <v>61854</v>
      </c>
    </row>
    <row r="4481" spans="1:21" x14ac:dyDescent="0.25">
      <c r="A4481" s="213" t="s">
        <v>327</v>
      </c>
      <c r="D4481" s="213" t="s">
        <v>37287</v>
      </c>
      <c r="E4481" s="213" t="s">
        <v>37288</v>
      </c>
      <c r="K4481" s="213" t="s">
        <v>61726</v>
      </c>
      <c r="L4481" s="213" t="s">
        <v>61769</v>
      </c>
      <c r="M4481" s="213" t="s">
        <v>61812</v>
      </c>
      <c r="N4481" s="213" t="s">
        <v>37289</v>
      </c>
      <c r="O4481" s="213" t="s">
        <v>37290</v>
      </c>
      <c r="P4481" s="213" t="s">
        <v>37291</v>
      </c>
      <c r="Q4481" s="213" t="s">
        <v>37292</v>
      </c>
      <c r="R4481" s="213" t="s">
        <v>37293</v>
      </c>
      <c r="S4481" s="213" t="s">
        <v>37294</v>
      </c>
      <c r="T4481" s="213" t="s">
        <v>37295</v>
      </c>
      <c r="U4481" s="213" t="s">
        <v>61855</v>
      </c>
    </row>
    <row r="4482" spans="1:21" x14ac:dyDescent="0.25">
      <c r="A4482" s="213" t="s">
        <v>327</v>
      </c>
      <c r="D4482" s="213" t="s">
        <v>37296</v>
      </c>
      <c r="E4482" s="213" t="s">
        <v>37297</v>
      </c>
      <c r="K4482" s="213" t="s">
        <v>61727</v>
      </c>
      <c r="L4482" s="213" t="s">
        <v>61770</v>
      </c>
      <c r="M4482" s="213" t="s">
        <v>61813</v>
      </c>
      <c r="N4482" s="213" t="s">
        <v>37298</v>
      </c>
      <c r="O4482" s="213" t="s">
        <v>37299</v>
      </c>
      <c r="P4482" s="213" t="s">
        <v>37300</v>
      </c>
      <c r="Q4482" s="213" t="s">
        <v>37301</v>
      </c>
      <c r="R4482" s="213" t="s">
        <v>37302</v>
      </c>
      <c r="S4482" s="213" t="s">
        <v>37303</v>
      </c>
      <c r="T4482" s="213" t="s">
        <v>37304</v>
      </c>
      <c r="U4482" s="213" t="s">
        <v>61856</v>
      </c>
    </row>
    <row r="4483" spans="1:21" x14ac:dyDescent="0.25">
      <c r="A4483" s="213" t="s">
        <v>327</v>
      </c>
      <c r="D4483" s="213" t="s">
        <v>37305</v>
      </c>
      <c r="E4483" s="213" t="s">
        <v>37306</v>
      </c>
      <c r="K4483" s="213" t="s">
        <v>61728</v>
      </c>
      <c r="L4483" s="213" t="s">
        <v>61771</v>
      </c>
      <c r="M4483" s="213" t="s">
        <v>61814</v>
      </c>
      <c r="N4483" s="213" t="s">
        <v>37307</v>
      </c>
      <c r="O4483" s="213" t="s">
        <v>37308</v>
      </c>
      <c r="P4483" s="213" t="s">
        <v>37309</v>
      </c>
      <c r="Q4483" s="213" t="s">
        <v>37310</v>
      </c>
      <c r="R4483" s="213" t="s">
        <v>37311</v>
      </c>
      <c r="S4483" s="213" t="s">
        <v>37312</v>
      </c>
      <c r="T4483" s="213" t="s">
        <v>37313</v>
      </c>
      <c r="U4483" s="213" t="s">
        <v>61857</v>
      </c>
    </row>
    <row r="4484" spans="1:21" x14ac:dyDescent="0.25">
      <c r="A4484" s="213" t="s">
        <v>327</v>
      </c>
      <c r="D4484" s="213" t="s">
        <v>37314</v>
      </c>
      <c r="E4484" s="213" t="s">
        <v>37315</v>
      </c>
      <c r="K4484" s="213" t="s">
        <v>61729</v>
      </c>
      <c r="L4484" s="213" t="s">
        <v>61772</v>
      </c>
      <c r="M4484" s="213" t="s">
        <v>61815</v>
      </c>
      <c r="N4484" s="213" t="s">
        <v>37316</v>
      </c>
      <c r="O4484" s="213" t="s">
        <v>37317</v>
      </c>
      <c r="P4484" s="213" t="s">
        <v>37318</v>
      </c>
      <c r="Q4484" s="213" t="s">
        <v>37319</v>
      </c>
      <c r="R4484" s="213" t="s">
        <v>37320</v>
      </c>
      <c r="S4484" s="213" t="s">
        <v>37321</v>
      </c>
      <c r="T4484" s="213" t="s">
        <v>37322</v>
      </c>
      <c r="U4484" s="213" t="s">
        <v>61858</v>
      </c>
    </row>
    <row r="4485" spans="1:21" x14ac:dyDescent="0.25">
      <c r="A4485" s="213" t="s">
        <v>327</v>
      </c>
      <c r="D4485" s="213" t="s">
        <v>37323</v>
      </c>
      <c r="E4485" s="213" t="s">
        <v>37324</v>
      </c>
      <c r="K4485" s="213" t="s">
        <v>61730</v>
      </c>
      <c r="L4485" s="213" t="s">
        <v>61773</v>
      </c>
      <c r="M4485" s="213" t="s">
        <v>61816</v>
      </c>
      <c r="N4485" s="213" t="s">
        <v>37325</v>
      </c>
      <c r="O4485" s="213" t="s">
        <v>37326</v>
      </c>
      <c r="P4485" s="213" t="s">
        <v>37327</v>
      </c>
      <c r="Q4485" s="213" t="s">
        <v>37328</v>
      </c>
      <c r="R4485" s="213" t="s">
        <v>37329</v>
      </c>
      <c r="S4485" s="213" t="s">
        <v>37330</v>
      </c>
      <c r="T4485" s="213" t="s">
        <v>37331</v>
      </c>
      <c r="U4485" s="213" t="s">
        <v>61859</v>
      </c>
    </row>
    <row r="4486" spans="1:21" x14ac:dyDescent="0.25">
      <c r="A4486" s="213" t="s">
        <v>327</v>
      </c>
      <c r="D4486" s="213" t="s">
        <v>37332</v>
      </c>
      <c r="E4486" s="213" t="s">
        <v>37333</v>
      </c>
      <c r="K4486" s="213" t="s">
        <v>61731</v>
      </c>
      <c r="L4486" s="213" t="s">
        <v>61774</v>
      </c>
      <c r="M4486" s="213" t="s">
        <v>61817</v>
      </c>
      <c r="N4486" s="213" t="s">
        <v>37334</v>
      </c>
      <c r="O4486" s="213" t="s">
        <v>37335</v>
      </c>
      <c r="P4486" s="213" t="s">
        <v>37336</v>
      </c>
      <c r="Q4486" s="213" t="s">
        <v>37337</v>
      </c>
      <c r="R4486" s="213" t="s">
        <v>37338</v>
      </c>
      <c r="S4486" s="213" t="s">
        <v>37339</v>
      </c>
      <c r="T4486" s="213" t="s">
        <v>37340</v>
      </c>
      <c r="U4486" s="213" t="s">
        <v>61860</v>
      </c>
    </row>
    <row r="4487" spans="1:21" x14ac:dyDescent="0.25">
      <c r="A4487" s="213" t="s">
        <v>327</v>
      </c>
      <c r="D4487" s="213" t="s">
        <v>37341</v>
      </c>
      <c r="E4487" s="213" t="s">
        <v>37342</v>
      </c>
      <c r="K4487" s="213" t="s">
        <v>61732</v>
      </c>
      <c r="L4487" s="213" t="s">
        <v>61775</v>
      </c>
      <c r="M4487" s="213" t="s">
        <v>61818</v>
      </c>
      <c r="N4487" s="213" t="s">
        <v>37343</v>
      </c>
      <c r="O4487" s="213" t="s">
        <v>37344</v>
      </c>
      <c r="P4487" s="213" t="s">
        <v>37345</v>
      </c>
      <c r="Q4487" s="213" t="s">
        <v>37346</v>
      </c>
      <c r="R4487" s="213" t="s">
        <v>37347</v>
      </c>
      <c r="S4487" s="213" t="s">
        <v>37348</v>
      </c>
      <c r="T4487" s="213" t="s">
        <v>37349</v>
      </c>
      <c r="U4487" s="213" t="s">
        <v>61861</v>
      </c>
    </row>
    <row r="4488" spans="1:21" x14ac:dyDescent="0.25">
      <c r="A4488" s="213" t="s">
        <v>327</v>
      </c>
      <c r="D4488" s="213" t="s">
        <v>37350</v>
      </c>
      <c r="E4488" s="213" t="s">
        <v>37351</v>
      </c>
      <c r="K4488" s="213" t="s">
        <v>61733</v>
      </c>
      <c r="L4488" s="213" t="s">
        <v>61776</v>
      </c>
      <c r="M4488" s="213" t="s">
        <v>61819</v>
      </c>
      <c r="N4488" s="213" t="s">
        <v>37352</v>
      </c>
      <c r="O4488" s="213" t="s">
        <v>37353</v>
      </c>
      <c r="P4488" s="213" t="s">
        <v>37354</v>
      </c>
      <c r="Q4488" s="213" t="s">
        <v>37355</v>
      </c>
      <c r="R4488" s="213" t="s">
        <v>37356</v>
      </c>
      <c r="S4488" s="213" t="s">
        <v>37357</v>
      </c>
      <c r="T4488" s="213" t="s">
        <v>37358</v>
      </c>
      <c r="U4488" s="213" t="s">
        <v>61862</v>
      </c>
    </row>
    <row r="4489" spans="1:21" x14ac:dyDescent="0.25">
      <c r="A4489" s="213" t="s">
        <v>327</v>
      </c>
      <c r="D4489" s="213" t="s">
        <v>37359</v>
      </c>
      <c r="E4489" s="213" t="s">
        <v>37360</v>
      </c>
      <c r="K4489" s="213" t="s">
        <v>61734</v>
      </c>
      <c r="L4489" s="213" t="s">
        <v>61777</v>
      </c>
      <c r="M4489" s="213" t="s">
        <v>61820</v>
      </c>
      <c r="N4489" s="213" t="s">
        <v>37361</v>
      </c>
      <c r="O4489" s="213" t="s">
        <v>37362</v>
      </c>
      <c r="P4489" s="213" t="s">
        <v>37363</v>
      </c>
      <c r="Q4489" s="213" t="s">
        <v>37364</v>
      </c>
      <c r="R4489" s="213" t="s">
        <v>37365</v>
      </c>
      <c r="S4489" s="213" t="s">
        <v>37366</v>
      </c>
      <c r="T4489" s="213" t="s">
        <v>37367</v>
      </c>
      <c r="U4489" s="213" t="s">
        <v>61863</v>
      </c>
    </row>
    <row r="4490" spans="1:21" x14ac:dyDescent="0.25">
      <c r="A4490" s="213" t="s">
        <v>327</v>
      </c>
      <c r="D4490" s="213" t="s">
        <v>37368</v>
      </c>
      <c r="E4490" s="213" t="s">
        <v>37369</v>
      </c>
      <c r="K4490" s="213" t="s">
        <v>61735</v>
      </c>
      <c r="L4490" s="213" t="s">
        <v>61778</v>
      </c>
      <c r="M4490" s="213" t="s">
        <v>61821</v>
      </c>
      <c r="N4490" s="213" t="s">
        <v>37370</v>
      </c>
      <c r="O4490" s="213" t="s">
        <v>37371</v>
      </c>
      <c r="P4490" s="213" t="s">
        <v>37372</v>
      </c>
      <c r="Q4490" s="213" t="s">
        <v>37373</v>
      </c>
      <c r="R4490" s="213" t="s">
        <v>37374</v>
      </c>
      <c r="S4490" s="213" t="s">
        <v>37375</v>
      </c>
      <c r="T4490" s="213" t="s">
        <v>37376</v>
      </c>
      <c r="U4490" s="213" t="s">
        <v>61864</v>
      </c>
    </row>
    <row r="4491" spans="1:21" x14ac:dyDescent="0.25">
      <c r="A4491" s="213" t="s">
        <v>327</v>
      </c>
      <c r="D4491" s="213" t="s">
        <v>37377</v>
      </c>
      <c r="E4491" s="213" t="s">
        <v>37378</v>
      </c>
      <c r="K4491" s="213" t="s">
        <v>61736</v>
      </c>
      <c r="L4491" s="213" t="s">
        <v>61779</v>
      </c>
      <c r="M4491" s="213" t="s">
        <v>61822</v>
      </c>
      <c r="N4491" s="213" t="s">
        <v>37379</v>
      </c>
      <c r="O4491" s="213" t="s">
        <v>37380</v>
      </c>
      <c r="P4491" s="213" t="s">
        <v>37381</v>
      </c>
      <c r="Q4491" s="213" t="s">
        <v>37382</v>
      </c>
      <c r="R4491" s="213" t="s">
        <v>37383</v>
      </c>
      <c r="S4491" s="213" t="s">
        <v>37384</v>
      </c>
      <c r="T4491" s="213" t="s">
        <v>37385</v>
      </c>
      <c r="U4491" s="213" t="s">
        <v>61865</v>
      </c>
    </row>
    <row r="4492" spans="1:21" x14ac:dyDescent="0.25">
      <c r="A4492" s="213" t="s">
        <v>327</v>
      </c>
      <c r="D4492" s="213" t="s">
        <v>37386</v>
      </c>
      <c r="E4492" s="213" t="s">
        <v>37387</v>
      </c>
      <c r="K4492" s="213" t="s">
        <v>61737</v>
      </c>
      <c r="L4492" s="213" t="s">
        <v>61780</v>
      </c>
      <c r="M4492" s="213" t="s">
        <v>61823</v>
      </c>
      <c r="N4492" s="213" t="s">
        <v>37388</v>
      </c>
      <c r="O4492" s="213" t="s">
        <v>37389</v>
      </c>
      <c r="P4492" s="213" t="s">
        <v>37390</v>
      </c>
      <c r="Q4492" s="213" t="s">
        <v>37391</v>
      </c>
      <c r="R4492" s="213" t="s">
        <v>37392</v>
      </c>
      <c r="S4492" s="213" t="s">
        <v>37393</v>
      </c>
      <c r="T4492" s="213" t="s">
        <v>37394</v>
      </c>
      <c r="U4492" s="213" t="s">
        <v>61866</v>
      </c>
    </row>
    <row r="4493" spans="1:21" x14ac:dyDescent="0.25">
      <c r="A4493" s="213" t="s">
        <v>327</v>
      </c>
      <c r="D4493" s="213" t="s">
        <v>37395</v>
      </c>
      <c r="E4493" s="213" t="s">
        <v>37396</v>
      </c>
      <c r="K4493" s="213" t="s">
        <v>61738</v>
      </c>
      <c r="L4493" s="213" t="s">
        <v>61781</v>
      </c>
      <c r="M4493" s="213" t="s">
        <v>61824</v>
      </c>
      <c r="N4493" s="213" t="s">
        <v>37397</v>
      </c>
      <c r="O4493" s="213" t="s">
        <v>37398</v>
      </c>
      <c r="P4493" s="213" t="s">
        <v>37399</v>
      </c>
      <c r="Q4493" s="213" t="s">
        <v>37400</v>
      </c>
      <c r="R4493" s="213" t="s">
        <v>37401</v>
      </c>
      <c r="S4493" s="213" t="s">
        <v>37402</v>
      </c>
      <c r="T4493" s="213" t="s">
        <v>37403</v>
      </c>
      <c r="U4493" s="213" t="s">
        <v>61867</v>
      </c>
    </row>
    <row r="4494" spans="1:21" x14ac:dyDescent="0.25">
      <c r="A4494" s="213" t="s">
        <v>327</v>
      </c>
      <c r="D4494" s="213" t="s">
        <v>37404</v>
      </c>
      <c r="E4494" s="213" t="s">
        <v>37405</v>
      </c>
      <c r="K4494" s="213" t="s">
        <v>61739</v>
      </c>
      <c r="L4494" s="213" t="s">
        <v>61782</v>
      </c>
      <c r="M4494" s="213" t="s">
        <v>61825</v>
      </c>
      <c r="N4494" s="213" t="s">
        <v>37406</v>
      </c>
      <c r="O4494" s="213" t="s">
        <v>37407</v>
      </c>
      <c r="P4494" s="213" t="s">
        <v>37408</v>
      </c>
      <c r="Q4494" s="213" t="s">
        <v>37409</v>
      </c>
      <c r="R4494" s="213" t="s">
        <v>37410</v>
      </c>
      <c r="S4494" s="213" t="s">
        <v>37411</v>
      </c>
      <c r="T4494" s="213" t="s">
        <v>37412</v>
      </c>
      <c r="U4494" s="213" t="s">
        <v>61868</v>
      </c>
    </row>
    <row r="4495" spans="1:21" x14ac:dyDescent="0.25">
      <c r="A4495" s="213" t="s">
        <v>327</v>
      </c>
      <c r="D4495" s="213" t="s">
        <v>37413</v>
      </c>
      <c r="E4495" s="213" t="s">
        <v>37414</v>
      </c>
      <c r="K4495" s="213" t="s">
        <v>61740</v>
      </c>
      <c r="L4495" s="213" t="s">
        <v>61783</v>
      </c>
      <c r="M4495" s="213" t="s">
        <v>61826</v>
      </c>
      <c r="N4495" s="213" t="s">
        <v>37415</v>
      </c>
      <c r="O4495" s="213" t="s">
        <v>37416</v>
      </c>
      <c r="P4495" s="213" t="s">
        <v>37417</v>
      </c>
      <c r="Q4495" s="213" t="s">
        <v>37418</v>
      </c>
      <c r="R4495" s="213" t="s">
        <v>37419</v>
      </c>
      <c r="S4495" s="213" t="s">
        <v>37420</v>
      </c>
      <c r="T4495" s="213" t="s">
        <v>37421</v>
      </c>
      <c r="U4495" s="213" t="s">
        <v>61869</v>
      </c>
    </row>
    <row r="4496" spans="1:21" x14ac:dyDescent="0.25">
      <c r="A4496" s="213" t="s">
        <v>327</v>
      </c>
      <c r="D4496" s="213" t="s">
        <v>37422</v>
      </c>
      <c r="E4496" s="213" t="s">
        <v>37423</v>
      </c>
      <c r="K4496" s="213" t="s">
        <v>61741</v>
      </c>
      <c r="L4496" s="213" t="s">
        <v>61784</v>
      </c>
      <c r="M4496" s="213" t="s">
        <v>61827</v>
      </c>
      <c r="N4496" s="213" t="s">
        <v>37424</v>
      </c>
      <c r="O4496" s="213" t="s">
        <v>37425</v>
      </c>
      <c r="P4496" s="213" t="s">
        <v>37426</v>
      </c>
      <c r="Q4496" s="213" t="s">
        <v>37427</v>
      </c>
      <c r="R4496" s="213" t="s">
        <v>37428</v>
      </c>
      <c r="S4496" s="213" t="s">
        <v>37429</v>
      </c>
      <c r="T4496" s="213" t="s">
        <v>37430</v>
      </c>
      <c r="U4496" s="213" t="s">
        <v>61870</v>
      </c>
    </row>
    <row r="4497" spans="1:21" x14ac:dyDescent="0.25">
      <c r="A4497" s="213" t="s">
        <v>327</v>
      </c>
      <c r="D4497" s="213" t="s">
        <v>37431</v>
      </c>
      <c r="E4497" s="213" t="s">
        <v>37432</v>
      </c>
      <c r="K4497" s="213" t="s">
        <v>61742</v>
      </c>
      <c r="L4497" s="213" t="s">
        <v>61785</v>
      </c>
      <c r="M4497" s="213" t="s">
        <v>61828</v>
      </c>
      <c r="N4497" s="213" t="s">
        <v>37433</v>
      </c>
      <c r="O4497" s="213" t="s">
        <v>37434</v>
      </c>
      <c r="P4497" s="213" t="s">
        <v>37435</v>
      </c>
      <c r="Q4497" s="213" t="s">
        <v>37436</v>
      </c>
      <c r="R4497" s="213" t="s">
        <v>37437</v>
      </c>
      <c r="S4497" s="213" t="s">
        <v>37438</v>
      </c>
      <c r="T4497" s="213" t="s">
        <v>37439</v>
      </c>
      <c r="U4497" s="213" t="s">
        <v>61871</v>
      </c>
    </row>
    <row r="4498" spans="1:21" x14ac:dyDescent="0.25">
      <c r="A4498" s="213" t="s">
        <v>327</v>
      </c>
      <c r="D4498" s="213" t="s">
        <v>37440</v>
      </c>
      <c r="E4498" s="213" t="s">
        <v>37441</v>
      </c>
      <c r="K4498" s="213" t="s">
        <v>61743</v>
      </c>
      <c r="L4498" s="213" t="s">
        <v>61786</v>
      </c>
      <c r="M4498" s="213" t="s">
        <v>61829</v>
      </c>
      <c r="N4498" s="213" t="s">
        <v>37442</v>
      </c>
      <c r="O4498" s="213" t="s">
        <v>37443</v>
      </c>
      <c r="P4498" s="213" t="s">
        <v>37444</v>
      </c>
      <c r="Q4498" s="213" t="s">
        <v>37445</v>
      </c>
      <c r="R4498" s="213" t="s">
        <v>37446</v>
      </c>
      <c r="S4498" s="213" t="s">
        <v>37447</v>
      </c>
      <c r="T4498" s="213" t="s">
        <v>37448</v>
      </c>
      <c r="U4498" s="213" t="s">
        <v>61872</v>
      </c>
    </row>
    <row r="4499" spans="1:21" x14ac:dyDescent="0.25">
      <c r="A4499" s="213" t="s">
        <v>327</v>
      </c>
      <c r="D4499" s="213" t="s">
        <v>37449</v>
      </c>
      <c r="E4499" s="213" t="s">
        <v>37450</v>
      </c>
      <c r="K4499" s="213" t="s">
        <v>61744</v>
      </c>
      <c r="L4499" s="213" t="s">
        <v>61787</v>
      </c>
      <c r="M4499" s="213" t="s">
        <v>61830</v>
      </c>
      <c r="N4499" s="213" t="s">
        <v>37451</v>
      </c>
      <c r="O4499" s="213" t="s">
        <v>37452</v>
      </c>
      <c r="P4499" s="213" t="s">
        <v>37453</v>
      </c>
      <c r="Q4499" s="213" t="s">
        <v>37454</v>
      </c>
      <c r="R4499" s="213" t="s">
        <v>37455</v>
      </c>
      <c r="S4499" s="213" t="s">
        <v>37456</v>
      </c>
      <c r="T4499" s="213" t="s">
        <v>37457</v>
      </c>
      <c r="U4499" s="213" t="s">
        <v>61873</v>
      </c>
    </row>
    <row r="4500" spans="1:21" x14ac:dyDescent="0.25">
      <c r="A4500" s="213" t="s">
        <v>327</v>
      </c>
      <c r="D4500" s="213" t="s">
        <v>37458</v>
      </c>
      <c r="E4500" s="213" t="s">
        <v>37459</v>
      </c>
      <c r="K4500" s="213" t="s">
        <v>61745</v>
      </c>
      <c r="L4500" s="213" t="s">
        <v>61788</v>
      </c>
      <c r="M4500" s="213" t="s">
        <v>61831</v>
      </c>
      <c r="N4500" s="213" t="s">
        <v>37460</v>
      </c>
      <c r="O4500" s="213" t="s">
        <v>37461</v>
      </c>
      <c r="P4500" s="213" t="s">
        <v>37462</v>
      </c>
      <c r="Q4500" s="213" t="s">
        <v>37463</v>
      </c>
      <c r="R4500" s="213" t="s">
        <v>37464</v>
      </c>
      <c r="S4500" s="213" t="s">
        <v>37465</v>
      </c>
      <c r="T4500" s="213" t="s">
        <v>37466</v>
      </c>
      <c r="U4500" s="213" t="s">
        <v>61874</v>
      </c>
    </row>
    <row r="4501" spans="1:21" x14ac:dyDescent="0.25">
      <c r="A4501" s="213" t="s">
        <v>327</v>
      </c>
      <c r="D4501" s="213" t="s">
        <v>37467</v>
      </c>
      <c r="E4501" s="213" t="s">
        <v>37468</v>
      </c>
      <c r="K4501" s="213" t="s">
        <v>61746</v>
      </c>
      <c r="L4501" s="213" t="s">
        <v>61789</v>
      </c>
      <c r="M4501" s="213" t="s">
        <v>61832</v>
      </c>
      <c r="N4501" s="213" t="s">
        <v>37469</v>
      </c>
      <c r="O4501" s="213" t="s">
        <v>37470</v>
      </c>
      <c r="P4501" s="213" t="s">
        <v>37471</v>
      </c>
      <c r="Q4501" s="213" t="s">
        <v>37472</v>
      </c>
      <c r="R4501" s="213" t="s">
        <v>37473</v>
      </c>
      <c r="S4501" s="213" t="s">
        <v>37474</v>
      </c>
      <c r="T4501" s="213" t="s">
        <v>37475</v>
      </c>
      <c r="U4501" s="213" t="s">
        <v>61875</v>
      </c>
    </row>
    <row r="4502" spans="1:21" x14ac:dyDescent="0.25">
      <c r="A4502" s="213" t="s">
        <v>327</v>
      </c>
      <c r="D4502" s="213" t="s">
        <v>37476</v>
      </c>
      <c r="E4502" s="213" t="s">
        <v>37477</v>
      </c>
      <c r="K4502" s="213" t="s">
        <v>61747</v>
      </c>
      <c r="L4502" s="213" t="s">
        <v>61790</v>
      </c>
      <c r="M4502" s="213" t="s">
        <v>61833</v>
      </c>
      <c r="N4502" s="213" t="s">
        <v>37478</v>
      </c>
      <c r="O4502" s="213" t="s">
        <v>37479</v>
      </c>
      <c r="P4502" s="213" t="s">
        <v>37480</v>
      </c>
      <c r="Q4502" s="213" t="s">
        <v>37481</v>
      </c>
      <c r="R4502" s="213" t="s">
        <v>37482</v>
      </c>
      <c r="S4502" s="213" t="s">
        <v>37483</v>
      </c>
      <c r="T4502" s="213" t="s">
        <v>37484</v>
      </c>
      <c r="U4502" s="213" t="s">
        <v>61876</v>
      </c>
    </row>
    <row r="4503" spans="1:21" x14ac:dyDescent="0.25">
      <c r="A4503" s="213" t="s">
        <v>327</v>
      </c>
      <c r="D4503" s="213" t="s">
        <v>37485</v>
      </c>
      <c r="E4503" s="213" t="s">
        <v>37486</v>
      </c>
      <c r="K4503" s="213" t="s">
        <v>61748</v>
      </c>
      <c r="L4503" s="213" t="s">
        <v>61791</v>
      </c>
      <c r="M4503" s="213" t="s">
        <v>61834</v>
      </c>
      <c r="N4503" s="213" t="s">
        <v>37487</v>
      </c>
      <c r="O4503" s="213" t="s">
        <v>37488</v>
      </c>
      <c r="P4503" s="213" t="s">
        <v>37489</v>
      </c>
      <c r="Q4503" s="213" t="s">
        <v>37490</v>
      </c>
      <c r="R4503" s="213" t="s">
        <v>37491</v>
      </c>
      <c r="S4503" s="213" t="s">
        <v>37492</v>
      </c>
      <c r="T4503" s="213" t="s">
        <v>37493</v>
      </c>
      <c r="U4503" s="213" t="s">
        <v>61877</v>
      </c>
    </row>
    <row r="4504" spans="1:21" x14ac:dyDescent="0.25">
      <c r="A4504" s="213" t="s">
        <v>327</v>
      </c>
      <c r="D4504" s="213" t="s">
        <v>37494</v>
      </c>
      <c r="E4504" s="213" t="s">
        <v>37495</v>
      </c>
      <c r="K4504" s="213" t="s">
        <v>61749</v>
      </c>
      <c r="L4504" s="213" t="s">
        <v>61792</v>
      </c>
      <c r="M4504" s="213" t="s">
        <v>61835</v>
      </c>
      <c r="N4504" s="213" t="s">
        <v>37496</v>
      </c>
      <c r="O4504" s="213" t="s">
        <v>37497</v>
      </c>
      <c r="P4504" s="213" t="s">
        <v>37498</v>
      </c>
      <c r="Q4504" s="213" t="s">
        <v>37499</v>
      </c>
      <c r="R4504" s="213" t="s">
        <v>37500</v>
      </c>
      <c r="S4504" s="213" t="s">
        <v>37501</v>
      </c>
      <c r="T4504" s="213" t="s">
        <v>37502</v>
      </c>
      <c r="U4504" s="213" t="s">
        <v>61878</v>
      </c>
    </row>
    <row r="4505" spans="1:21" x14ac:dyDescent="0.25">
      <c r="A4505" s="213" t="s">
        <v>327</v>
      </c>
      <c r="D4505" s="213" t="s">
        <v>37503</v>
      </c>
      <c r="E4505" s="213" t="s">
        <v>37504</v>
      </c>
      <c r="K4505" s="213" t="s">
        <v>61750</v>
      </c>
      <c r="L4505" s="213" t="s">
        <v>61793</v>
      </c>
      <c r="M4505" s="213" t="s">
        <v>61836</v>
      </c>
      <c r="N4505" s="213" t="s">
        <v>37505</v>
      </c>
      <c r="O4505" s="213" t="s">
        <v>37506</v>
      </c>
      <c r="P4505" s="213" t="s">
        <v>37507</v>
      </c>
      <c r="Q4505" s="213" t="s">
        <v>37508</v>
      </c>
      <c r="R4505" s="213" t="s">
        <v>37509</v>
      </c>
      <c r="S4505" s="213" t="s">
        <v>37510</v>
      </c>
      <c r="T4505" s="213" t="s">
        <v>37511</v>
      </c>
      <c r="U4505" s="213" t="s">
        <v>61879</v>
      </c>
    </row>
    <row r="4506" spans="1:21" x14ac:dyDescent="0.25">
      <c r="A4506" s="213" t="s">
        <v>327</v>
      </c>
      <c r="D4506" s="213" t="s">
        <v>37512</v>
      </c>
      <c r="E4506" s="213" t="s">
        <v>37513</v>
      </c>
      <c r="K4506" s="213" t="s">
        <v>61751</v>
      </c>
      <c r="L4506" s="213" t="s">
        <v>61794</v>
      </c>
      <c r="M4506" s="213" t="s">
        <v>61837</v>
      </c>
      <c r="N4506" s="213" t="s">
        <v>37514</v>
      </c>
      <c r="O4506" s="213" t="s">
        <v>37515</v>
      </c>
      <c r="P4506" s="213" t="s">
        <v>37516</v>
      </c>
      <c r="Q4506" s="213" t="s">
        <v>37517</v>
      </c>
      <c r="R4506" s="213" t="s">
        <v>37518</v>
      </c>
      <c r="S4506" s="213" t="s">
        <v>37519</v>
      </c>
      <c r="T4506" s="213" t="s">
        <v>37520</v>
      </c>
      <c r="U4506" s="213" t="s">
        <v>61880</v>
      </c>
    </row>
    <row r="4507" spans="1:21" x14ac:dyDescent="0.25">
      <c r="A4507" s="213" t="s">
        <v>327</v>
      </c>
      <c r="D4507" s="213" t="s">
        <v>37521</v>
      </c>
      <c r="E4507" s="213" t="s">
        <v>37522</v>
      </c>
      <c r="K4507" s="213" t="s">
        <v>61752</v>
      </c>
      <c r="L4507" s="213" t="s">
        <v>61795</v>
      </c>
      <c r="M4507" s="213" t="s">
        <v>61838</v>
      </c>
      <c r="N4507" s="213" t="s">
        <v>37523</v>
      </c>
      <c r="O4507" s="213" t="s">
        <v>37524</v>
      </c>
      <c r="P4507" s="213" t="s">
        <v>37525</v>
      </c>
      <c r="Q4507" s="213" t="s">
        <v>37526</v>
      </c>
      <c r="R4507" s="213" t="s">
        <v>37527</v>
      </c>
      <c r="S4507" s="213" t="s">
        <v>37528</v>
      </c>
      <c r="T4507" s="213" t="s">
        <v>37529</v>
      </c>
      <c r="U4507" s="213" t="s">
        <v>61881</v>
      </c>
    </row>
    <row r="4508" spans="1:21" x14ac:dyDescent="0.25">
      <c r="A4508" s="213" t="s">
        <v>327</v>
      </c>
      <c r="D4508" s="213" t="s">
        <v>37530</v>
      </c>
      <c r="E4508" s="213" t="s">
        <v>37531</v>
      </c>
      <c r="K4508" s="213" t="s">
        <v>61753</v>
      </c>
      <c r="L4508" s="213" t="s">
        <v>61796</v>
      </c>
      <c r="M4508" s="213" t="s">
        <v>61839</v>
      </c>
      <c r="N4508" s="213" t="s">
        <v>37532</v>
      </c>
      <c r="O4508" s="213" t="s">
        <v>37533</v>
      </c>
      <c r="P4508" s="213" t="s">
        <v>37534</v>
      </c>
      <c r="Q4508" s="213" t="s">
        <v>37535</v>
      </c>
      <c r="R4508" s="213" t="s">
        <v>37536</v>
      </c>
      <c r="S4508" s="213" t="s">
        <v>37537</v>
      </c>
      <c r="T4508" s="213" t="s">
        <v>37538</v>
      </c>
      <c r="U4508" s="213" t="s">
        <v>61882</v>
      </c>
    </row>
    <row r="4509" spans="1:21" x14ac:dyDescent="0.25">
      <c r="A4509" s="213" t="s">
        <v>327</v>
      </c>
      <c r="D4509" s="213" t="s">
        <v>37539</v>
      </c>
      <c r="E4509" s="213" t="s">
        <v>37540</v>
      </c>
      <c r="K4509" s="213" t="s">
        <v>61754</v>
      </c>
      <c r="L4509" s="213" t="s">
        <v>61797</v>
      </c>
      <c r="M4509" s="213" t="s">
        <v>61840</v>
      </c>
      <c r="N4509" s="213" t="s">
        <v>37541</v>
      </c>
      <c r="O4509" s="213" t="s">
        <v>37542</v>
      </c>
      <c r="P4509" s="213" t="s">
        <v>37543</v>
      </c>
      <c r="Q4509" s="213" t="s">
        <v>37544</v>
      </c>
      <c r="R4509" s="213" t="s">
        <v>37545</v>
      </c>
      <c r="S4509" s="213" t="s">
        <v>37546</v>
      </c>
      <c r="T4509" s="213" t="s">
        <v>37547</v>
      </c>
      <c r="U4509" s="213" t="s">
        <v>61883</v>
      </c>
    </row>
    <row r="4510" spans="1:21" x14ac:dyDescent="0.25">
      <c r="A4510" s="213" t="s">
        <v>327</v>
      </c>
      <c r="D4510" s="213" t="s">
        <v>37548</v>
      </c>
      <c r="E4510" s="213" t="s">
        <v>37549</v>
      </c>
      <c r="K4510" s="213" t="s">
        <v>61755</v>
      </c>
      <c r="L4510" s="213" t="s">
        <v>61798</v>
      </c>
      <c r="M4510" s="213" t="s">
        <v>61841</v>
      </c>
      <c r="N4510" s="213" t="s">
        <v>37550</v>
      </c>
      <c r="O4510" s="213" t="s">
        <v>37551</v>
      </c>
      <c r="P4510" s="213" t="s">
        <v>37552</v>
      </c>
      <c r="Q4510" s="213" t="s">
        <v>37553</v>
      </c>
      <c r="R4510" s="213" t="s">
        <v>37554</v>
      </c>
      <c r="S4510" s="213" t="s">
        <v>37555</v>
      </c>
      <c r="T4510" s="213" t="s">
        <v>37556</v>
      </c>
      <c r="U4510" s="213" t="s">
        <v>61884</v>
      </c>
    </row>
    <row r="4511" spans="1:21" x14ac:dyDescent="0.25">
      <c r="A4511" s="213" t="s">
        <v>327</v>
      </c>
      <c r="D4511" s="213" t="s">
        <v>37557</v>
      </c>
      <c r="E4511" s="213" t="s">
        <v>37558</v>
      </c>
      <c r="K4511" s="213" t="s">
        <v>61756</v>
      </c>
      <c r="L4511" s="213" t="s">
        <v>61799</v>
      </c>
      <c r="M4511" s="213" t="s">
        <v>61842</v>
      </c>
      <c r="N4511" s="213" t="s">
        <v>37559</v>
      </c>
      <c r="O4511" s="213" t="s">
        <v>37560</v>
      </c>
      <c r="P4511" s="213" t="s">
        <v>37561</v>
      </c>
      <c r="Q4511" s="213" t="s">
        <v>37562</v>
      </c>
      <c r="R4511" s="213" t="s">
        <v>37563</v>
      </c>
      <c r="S4511" s="213" t="s">
        <v>37564</v>
      </c>
      <c r="T4511" s="213" t="s">
        <v>37565</v>
      </c>
      <c r="U4511" s="213" t="s">
        <v>61885</v>
      </c>
    </row>
    <row r="4512" spans="1:21" x14ac:dyDescent="0.25">
      <c r="A4512" s="213" t="s">
        <v>327</v>
      </c>
      <c r="D4512" s="213" t="s">
        <v>37566</v>
      </c>
      <c r="E4512" s="213" t="s">
        <v>37567</v>
      </c>
      <c r="K4512" s="213" t="s">
        <v>61757</v>
      </c>
      <c r="L4512" s="213" t="s">
        <v>61800</v>
      </c>
      <c r="M4512" s="213" t="s">
        <v>61843</v>
      </c>
      <c r="N4512" s="213" t="s">
        <v>37568</v>
      </c>
      <c r="O4512" s="213" t="s">
        <v>37569</v>
      </c>
      <c r="P4512" s="213" t="s">
        <v>37570</v>
      </c>
      <c r="Q4512" s="213" t="s">
        <v>37571</v>
      </c>
      <c r="R4512" s="213" t="s">
        <v>37572</v>
      </c>
      <c r="S4512" s="213" t="s">
        <v>37573</v>
      </c>
      <c r="T4512" s="213" t="s">
        <v>37574</v>
      </c>
      <c r="U4512" s="213" t="s">
        <v>61886</v>
      </c>
    </row>
    <row r="4513" spans="1:21" x14ac:dyDescent="0.25">
      <c r="A4513" s="213" t="s">
        <v>327</v>
      </c>
      <c r="D4513" s="213" t="s">
        <v>37575</v>
      </c>
      <c r="E4513" s="213" t="s">
        <v>37576</v>
      </c>
      <c r="K4513" s="213" t="s">
        <v>61758</v>
      </c>
      <c r="L4513" s="213" t="s">
        <v>61801</v>
      </c>
      <c r="M4513" s="213" t="s">
        <v>61844</v>
      </c>
      <c r="N4513" s="213" t="s">
        <v>37577</v>
      </c>
      <c r="O4513" s="213" t="s">
        <v>37578</v>
      </c>
      <c r="P4513" s="213" t="s">
        <v>37579</v>
      </c>
      <c r="Q4513" s="213" t="s">
        <v>37580</v>
      </c>
      <c r="R4513" s="213" t="s">
        <v>37581</v>
      </c>
      <c r="S4513" s="213" t="s">
        <v>37582</v>
      </c>
      <c r="T4513" s="213" t="s">
        <v>37583</v>
      </c>
      <c r="U4513" s="213" t="s">
        <v>61887</v>
      </c>
    </row>
    <row r="4514" spans="1:21" x14ac:dyDescent="0.25">
      <c r="A4514" s="213" t="s">
        <v>327</v>
      </c>
      <c r="D4514" s="213" t="s">
        <v>37584</v>
      </c>
      <c r="E4514" s="213" t="s">
        <v>37585</v>
      </c>
      <c r="K4514" s="213" t="s">
        <v>61759</v>
      </c>
      <c r="L4514" s="213" t="s">
        <v>61802</v>
      </c>
      <c r="M4514" s="213" t="s">
        <v>61845</v>
      </c>
      <c r="N4514" s="213" t="s">
        <v>37586</v>
      </c>
      <c r="O4514" s="213" t="s">
        <v>37587</v>
      </c>
      <c r="P4514" s="213" t="s">
        <v>37588</v>
      </c>
      <c r="Q4514" s="213" t="s">
        <v>37589</v>
      </c>
      <c r="R4514" s="213" t="s">
        <v>37590</v>
      </c>
      <c r="S4514" s="213" t="s">
        <v>37591</v>
      </c>
      <c r="T4514" s="213" t="s">
        <v>37592</v>
      </c>
      <c r="U4514" s="213" t="s">
        <v>61888</v>
      </c>
    </row>
    <row r="4515" spans="1:21" x14ac:dyDescent="0.25">
      <c r="A4515" s="213" t="s">
        <v>327</v>
      </c>
      <c r="D4515" s="213" t="s">
        <v>37593</v>
      </c>
      <c r="E4515" s="213" t="s">
        <v>37594</v>
      </c>
      <c r="K4515" s="213" t="s">
        <v>61760</v>
      </c>
      <c r="L4515" s="213" t="s">
        <v>61803</v>
      </c>
      <c r="M4515" s="213" t="s">
        <v>61846</v>
      </c>
      <c r="N4515" s="213" t="s">
        <v>37595</v>
      </c>
      <c r="O4515" s="213" t="s">
        <v>37596</v>
      </c>
      <c r="P4515" s="213" t="s">
        <v>37597</v>
      </c>
      <c r="Q4515" s="213" t="s">
        <v>37598</v>
      </c>
      <c r="R4515" s="213" t="s">
        <v>37599</v>
      </c>
      <c r="S4515" s="213" t="s">
        <v>37600</v>
      </c>
      <c r="T4515" s="213" t="s">
        <v>37601</v>
      </c>
      <c r="U4515" s="213" t="s">
        <v>61889</v>
      </c>
    </row>
    <row r="4516" spans="1:21" x14ac:dyDescent="0.25">
      <c r="A4516" s="213" t="s">
        <v>327</v>
      </c>
      <c r="D4516" s="213" t="s">
        <v>37602</v>
      </c>
      <c r="E4516" s="213" t="s">
        <v>37603</v>
      </c>
      <c r="K4516" s="213" t="s">
        <v>61761</v>
      </c>
      <c r="L4516" s="213" t="s">
        <v>61804</v>
      </c>
      <c r="M4516" s="213" t="s">
        <v>61847</v>
      </c>
      <c r="N4516" s="213" t="s">
        <v>37604</v>
      </c>
      <c r="O4516" s="213" t="s">
        <v>37605</v>
      </c>
      <c r="P4516" s="213" t="s">
        <v>37606</v>
      </c>
      <c r="Q4516" s="213" t="s">
        <v>37607</v>
      </c>
      <c r="R4516" s="213" t="s">
        <v>37608</v>
      </c>
      <c r="S4516" s="213" t="s">
        <v>37609</v>
      </c>
      <c r="T4516" s="213" t="s">
        <v>37610</v>
      </c>
      <c r="U4516" s="213" t="s">
        <v>61890</v>
      </c>
    </row>
    <row r="4517" spans="1:21" x14ac:dyDescent="0.25">
      <c r="A4517" s="213" t="s">
        <v>327</v>
      </c>
      <c r="D4517" s="213" t="s">
        <v>37611</v>
      </c>
      <c r="E4517" s="213" t="s">
        <v>37612</v>
      </c>
      <c r="K4517" s="213" t="s">
        <v>61762</v>
      </c>
      <c r="L4517" s="213" t="s">
        <v>61805</v>
      </c>
      <c r="M4517" s="213" t="s">
        <v>61848</v>
      </c>
      <c r="N4517" s="213" t="s">
        <v>37613</v>
      </c>
      <c r="O4517" s="213" t="s">
        <v>37614</v>
      </c>
      <c r="P4517" s="213" t="s">
        <v>37615</v>
      </c>
      <c r="Q4517" s="213" t="s">
        <v>37616</v>
      </c>
      <c r="R4517" s="213" t="s">
        <v>37617</v>
      </c>
      <c r="S4517" s="213" t="s">
        <v>37618</v>
      </c>
      <c r="T4517" s="213" t="s">
        <v>37619</v>
      </c>
      <c r="U4517" s="213" t="s">
        <v>61891</v>
      </c>
    </row>
    <row r="4518" spans="1:21" x14ac:dyDescent="0.25">
      <c r="A4518" s="213" t="s">
        <v>327</v>
      </c>
      <c r="D4518" s="213" t="s">
        <v>37620</v>
      </c>
      <c r="E4518" s="213" t="s">
        <v>37621</v>
      </c>
      <c r="K4518" s="213" t="s">
        <v>61763</v>
      </c>
      <c r="L4518" s="213" t="s">
        <v>61806</v>
      </c>
      <c r="M4518" s="213" t="s">
        <v>61849</v>
      </c>
      <c r="N4518" s="213" t="s">
        <v>37622</v>
      </c>
      <c r="O4518" s="213" t="s">
        <v>37623</v>
      </c>
      <c r="P4518" s="213" t="s">
        <v>37624</v>
      </c>
      <c r="Q4518" s="213" t="s">
        <v>37625</v>
      </c>
      <c r="R4518" s="213" t="s">
        <v>37626</v>
      </c>
      <c r="S4518" s="213" t="s">
        <v>37627</v>
      </c>
      <c r="T4518" s="213" t="s">
        <v>37628</v>
      </c>
      <c r="U4518" s="213" t="s">
        <v>61892</v>
      </c>
    </row>
    <row r="4519" spans="1:21" x14ac:dyDescent="0.25">
      <c r="A4519" s="213" t="s">
        <v>327</v>
      </c>
      <c r="D4519" s="213" t="s">
        <v>37629</v>
      </c>
      <c r="E4519" s="213" t="s">
        <v>37630</v>
      </c>
      <c r="K4519" s="213" t="s">
        <v>61764</v>
      </c>
      <c r="L4519" s="213" t="s">
        <v>61807</v>
      </c>
      <c r="M4519" s="213" t="s">
        <v>61850</v>
      </c>
      <c r="N4519" s="213" t="s">
        <v>37631</v>
      </c>
      <c r="O4519" s="213" t="s">
        <v>37632</v>
      </c>
      <c r="P4519" s="213" t="s">
        <v>37633</v>
      </c>
      <c r="Q4519" s="213" t="s">
        <v>37634</v>
      </c>
      <c r="R4519" s="213" t="s">
        <v>37635</v>
      </c>
      <c r="S4519" s="213" t="s">
        <v>37636</v>
      </c>
      <c r="T4519" s="213" t="s">
        <v>37637</v>
      </c>
      <c r="U4519" s="213" t="s">
        <v>61893</v>
      </c>
    </row>
    <row r="4520" spans="1:21" x14ac:dyDescent="0.25">
      <c r="A4520" s="213" t="s">
        <v>327</v>
      </c>
    </row>
    <row r="4521" spans="1:21" x14ac:dyDescent="0.25">
      <c r="A4521" s="213" t="s">
        <v>327</v>
      </c>
    </row>
    <row r="4522" spans="1:21" x14ac:dyDescent="0.25">
      <c r="A4522" s="213" t="s">
        <v>327</v>
      </c>
      <c r="C4522" s="213" t="s">
        <v>37638</v>
      </c>
      <c r="E4522" s="213" t="s">
        <v>37639</v>
      </c>
      <c r="H4522" s="213" t="s">
        <v>37640</v>
      </c>
      <c r="I4522" s="213" t="s">
        <v>37641</v>
      </c>
      <c r="J4522" s="213" t="s">
        <v>37642</v>
      </c>
      <c r="L4522" s="213" t="s">
        <v>37643</v>
      </c>
      <c r="O4522" s="213" t="s">
        <v>37644</v>
      </c>
      <c r="P4522" s="213" t="s">
        <v>37645</v>
      </c>
      <c r="Q4522" s="213" t="s">
        <v>37646</v>
      </c>
      <c r="R4522" s="213" t="s">
        <v>37647</v>
      </c>
      <c r="S4522" s="213" t="s">
        <v>37648</v>
      </c>
      <c r="T4522" s="213" t="s">
        <v>37649</v>
      </c>
    </row>
    <row r="4523" spans="1:21" x14ac:dyDescent="0.25">
      <c r="A4523" s="213" t="s">
        <v>327</v>
      </c>
      <c r="C4523" s="213" t="s">
        <v>37650</v>
      </c>
      <c r="E4523" s="213" t="s">
        <v>37651</v>
      </c>
      <c r="I4523" s="213" t="s">
        <v>37652</v>
      </c>
    </row>
    <row r="4524" spans="1:21" x14ac:dyDescent="0.25">
      <c r="A4524" s="213" t="s">
        <v>327</v>
      </c>
      <c r="C4524" s="213" t="s">
        <v>37653</v>
      </c>
      <c r="E4524" s="213" t="s">
        <v>37654</v>
      </c>
      <c r="I4524" s="213" t="s">
        <v>37655</v>
      </c>
    </row>
    <row r="4525" spans="1:21" x14ac:dyDescent="0.25">
      <c r="A4525" s="213" t="s">
        <v>328</v>
      </c>
    </row>
    <row r="4526" spans="1:21" x14ac:dyDescent="0.25">
      <c r="A4526" s="213" t="s">
        <v>327</v>
      </c>
      <c r="D4526" s="213" t="s">
        <v>37656</v>
      </c>
      <c r="E4526" s="213" t="s">
        <v>37657</v>
      </c>
      <c r="K4526" s="213" t="s">
        <v>61650</v>
      </c>
      <c r="L4526" s="213" t="s">
        <v>61668</v>
      </c>
      <c r="M4526" s="213" t="s">
        <v>61686</v>
      </c>
      <c r="N4526" s="213" t="s">
        <v>37658</v>
      </c>
      <c r="O4526" s="213" t="s">
        <v>37659</v>
      </c>
      <c r="P4526" s="213" t="s">
        <v>37660</v>
      </c>
      <c r="Q4526" s="213" t="s">
        <v>37661</v>
      </c>
      <c r="R4526" s="213" t="s">
        <v>37662</v>
      </c>
      <c r="S4526" s="213" t="s">
        <v>37663</v>
      </c>
      <c r="T4526" s="213" t="s">
        <v>37664</v>
      </c>
      <c r="U4526" s="213" t="s">
        <v>61704</v>
      </c>
    </row>
    <row r="4527" spans="1:21" x14ac:dyDescent="0.25">
      <c r="A4527" s="213" t="s">
        <v>327</v>
      </c>
      <c r="D4527" s="213" t="s">
        <v>37665</v>
      </c>
      <c r="E4527" s="213" t="s">
        <v>37666</v>
      </c>
      <c r="K4527" s="213" t="s">
        <v>61651</v>
      </c>
      <c r="L4527" s="213" t="s">
        <v>61669</v>
      </c>
      <c r="M4527" s="213" t="s">
        <v>61687</v>
      </c>
      <c r="N4527" s="213" t="s">
        <v>37667</v>
      </c>
      <c r="O4527" s="213" t="s">
        <v>37668</v>
      </c>
      <c r="P4527" s="213" t="s">
        <v>37669</v>
      </c>
      <c r="Q4527" s="213" t="s">
        <v>37670</v>
      </c>
      <c r="R4527" s="213" t="s">
        <v>37671</v>
      </c>
      <c r="S4527" s="213" t="s">
        <v>37672</v>
      </c>
      <c r="T4527" s="213" t="s">
        <v>37673</v>
      </c>
      <c r="U4527" s="213" t="s">
        <v>61705</v>
      </c>
    </row>
    <row r="4528" spans="1:21" x14ac:dyDescent="0.25">
      <c r="A4528" s="213" t="s">
        <v>327</v>
      </c>
      <c r="D4528" s="213" t="s">
        <v>37674</v>
      </c>
      <c r="E4528" s="213" t="s">
        <v>37675</v>
      </c>
      <c r="K4528" s="213" t="s">
        <v>61652</v>
      </c>
      <c r="L4528" s="213" t="s">
        <v>61670</v>
      </c>
      <c r="M4528" s="213" t="s">
        <v>61688</v>
      </c>
      <c r="N4528" s="213" t="s">
        <v>37676</v>
      </c>
      <c r="O4528" s="213" t="s">
        <v>37677</v>
      </c>
      <c r="P4528" s="213" t="s">
        <v>37678</v>
      </c>
      <c r="Q4528" s="213" t="s">
        <v>37679</v>
      </c>
      <c r="R4528" s="213" t="s">
        <v>37680</v>
      </c>
      <c r="S4528" s="213" t="s">
        <v>37681</v>
      </c>
      <c r="T4528" s="213" t="s">
        <v>37682</v>
      </c>
      <c r="U4528" s="213" t="s">
        <v>61706</v>
      </c>
    </row>
    <row r="4529" spans="1:21" x14ac:dyDescent="0.25">
      <c r="A4529" s="213" t="s">
        <v>327</v>
      </c>
      <c r="D4529" s="213" t="s">
        <v>37683</v>
      </c>
      <c r="E4529" s="213" t="s">
        <v>37684</v>
      </c>
      <c r="K4529" s="213" t="s">
        <v>61653</v>
      </c>
      <c r="L4529" s="213" t="s">
        <v>61671</v>
      </c>
      <c r="M4529" s="213" t="s">
        <v>61689</v>
      </c>
      <c r="N4529" s="213" t="s">
        <v>37685</v>
      </c>
      <c r="O4529" s="213" t="s">
        <v>37686</v>
      </c>
      <c r="P4529" s="213" t="s">
        <v>37687</v>
      </c>
      <c r="Q4529" s="213" t="s">
        <v>37688</v>
      </c>
      <c r="R4529" s="213" t="s">
        <v>37689</v>
      </c>
      <c r="S4529" s="213" t="s">
        <v>37690</v>
      </c>
      <c r="T4529" s="213" t="s">
        <v>37691</v>
      </c>
      <c r="U4529" s="213" t="s">
        <v>61707</v>
      </c>
    </row>
    <row r="4530" spans="1:21" x14ac:dyDescent="0.25">
      <c r="A4530" s="213" t="s">
        <v>327</v>
      </c>
      <c r="D4530" s="213" t="s">
        <v>37692</v>
      </c>
      <c r="E4530" s="213" t="s">
        <v>37693</v>
      </c>
      <c r="K4530" s="213" t="s">
        <v>61654</v>
      </c>
      <c r="L4530" s="213" t="s">
        <v>61672</v>
      </c>
      <c r="M4530" s="213" t="s">
        <v>61690</v>
      </c>
      <c r="N4530" s="213" t="s">
        <v>37694</v>
      </c>
      <c r="O4530" s="213" t="s">
        <v>37695</v>
      </c>
      <c r="P4530" s="213" t="s">
        <v>37696</v>
      </c>
      <c r="Q4530" s="213" t="s">
        <v>37697</v>
      </c>
      <c r="R4530" s="213" t="s">
        <v>37698</v>
      </c>
      <c r="S4530" s="213" t="s">
        <v>37699</v>
      </c>
      <c r="T4530" s="213" t="s">
        <v>37700</v>
      </c>
      <c r="U4530" s="213" t="s">
        <v>61708</v>
      </c>
    </row>
    <row r="4531" spans="1:21" x14ac:dyDescent="0.25">
      <c r="A4531" s="213" t="s">
        <v>327</v>
      </c>
      <c r="D4531" s="213" t="s">
        <v>37701</v>
      </c>
      <c r="E4531" s="213" t="s">
        <v>37702</v>
      </c>
      <c r="K4531" s="213" t="s">
        <v>61655</v>
      </c>
      <c r="L4531" s="213" t="s">
        <v>61673</v>
      </c>
      <c r="M4531" s="213" t="s">
        <v>61691</v>
      </c>
      <c r="N4531" s="213" t="s">
        <v>37703</v>
      </c>
      <c r="O4531" s="213" t="s">
        <v>37704</v>
      </c>
      <c r="P4531" s="213" t="s">
        <v>37705</v>
      </c>
      <c r="Q4531" s="213" t="s">
        <v>37706</v>
      </c>
      <c r="R4531" s="213" t="s">
        <v>37707</v>
      </c>
      <c r="S4531" s="213" t="s">
        <v>37708</v>
      </c>
      <c r="T4531" s="213" t="s">
        <v>37709</v>
      </c>
      <c r="U4531" s="213" t="s">
        <v>61709</v>
      </c>
    </row>
    <row r="4532" spans="1:21" x14ac:dyDescent="0.25">
      <c r="A4532" s="213" t="s">
        <v>327</v>
      </c>
      <c r="D4532" s="213" t="s">
        <v>37710</v>
      </c>
      <c r="E4532" s="213" t="s">
        <v>37711</v>
      </c>
      <c r="K4532" s="213" t="s">
        <v>61656</v>
      </c>
      <c r="L4532" s="213" t="s">
        <v>61674</v>
      </c>
      <c r="M4532" s="213" t="s">
        <v>61692</v>
      </c>
      <c r="N4532" s="213" t="s">
        <v>37712</v>
      </c>
      <c r="O4532" s="213" t="s">
        <v>37713</v>
      </c>
      <c r="P4532" s="213" t="s">
        <v>37714</v>
      </c>
      <c r="Q4532" s="213" t="s">
        <v>37715</v>
      </c>
      <c r="R4532" s="213" t="s">
        <v>37716</v>
      </c>
      <c r="S4532" s="213" t="s">
        <v>37717</v>
      </c>
      <c r="T4532" s="213" t="s">
        <v>37718</v>
      </c>
      <c r="U4532" s="213" t="s">
        <v>61710</v>
      </c>
    </row>
    <row r="4533" spans="1:21" x14ac:dyDescent="0.25">
      <c r="A4533" s="213" t="s">
        <v>327</v>
      </c>
      <c r="D4533" s="213" t="s">
        <v>37719</v>
      </c>
      <c r="E4533" s="213" t="s">
        <v>37720</v>
      </c>
      <c r="K4533" s="213" t="s">
        <v>61657</v>
      </c>
      <c r="L4533" s="213" t="s">
        <v>61675</v>
      </c>
      <c r="M4533" s="213" t="s">
        <v>61693</v>
      </c>
      <c r="N4533" s="213" t="s">
        <v>37721</v>
      </c>
      <c r="O4533" s="213" t="s">
        <v>37722</v>
      </c>
      <c r="P4533" s="213" t="s">
        <v>37723</v>
      </c>
      <c r="Q4533" s="213" t="s">
        <v>37724</v>
      </c>
      <c r="R4533" s="213" t="s">
        <v>37725</v>
      </c>
      <c r="S4533" s="213" t="s">
        <v>37726</v>
      </c>
      <c r="T4533" s="213" t="s">
        <v>37727</v>
      </c>
      <c r="U4533" s="213" t="s">
        <v>61711</v>
      </c>
    </row>
    <row r="4534" spans="1:21" x14ac:dyDescent="0.25">
      <c r="A4534" s="213" t="s">
        <v>327</v>
      </c>
      <c r="D4534" s="213" t="s">
        <v>37728</v>
      </c>
      <c r="E4534" s="213" t="s">
        <v>37729</v>
      </c>
      <c r="K4534" s="213" t="s">
        <v>61658</v>
      </c>
      <c r="L4534" s="213" t="s">
        <v>61676</v>
      </c>
      <c r="M4534" s="213" t="s">
        <v>61694</v>
      </c>
      <c r="N4534" s="213" t="s">
        <v>37730</v>
      </c>
      <c r="O4534" s="213" t="s">
        <v>37731</v>
      </c>
      <c r="P4534" s="213" t="s">
        <v>37732</v>
      </c>
      <c r="Q4534" s="213" t="s">
        <v>37733</v>
      </c>
      <c r="R4534" s="213" t="s">
        <v>37734</v>
      </c>
      <c r="S4534" s="213" t="s">
        <v>37735</v>
      </c>
      <c r="T4534" s="213" t="s">
        <v>37736</v>
      </c>
      <c r="U4534" s="213" t="s">
        <v>61712</v>
      </c>
    </row>
    <row r="4535" spans="1:21" x14ac:dyDescent="0.25">
      <c r="A4535" s="213" t="s">
        <v>327</v>
      </c>
      <c r="D4535" s="213" t="s">
        <v>37737</v>
      </c>
      <c r="E4535" s="213" t="s">
        <v>37738</v>
      </c>
      <c r="K4535" s="213" t="s">
        <v>61659</v>
      </c>
      <c r="L4535" s="213" t="s">
        <v>61677</v>
      </c>
      <c r="M4535" s="213" t="s">
        <v>61695</v>
      </c>
      <c r="N4535" s="213" t="s">
        <v>37739</v>
      </c>
      <c r="O4535" s="213" t="s">
        <v>37740</v>
      </c>
      <c r="P4535" s="213" t="s">
        <v>37741</v>
      </c>
      <c r="Q4535" s="213" t="s">
        <v>37742</v>
      </c>
      <c r="R4535" s="213" t="s">
        <v>37743</v>
      </c>
      <c r="S4535" s="213" t="s">
        <v>37744</v>
      </c>
      <c r="T4535" s="213" t="s">
        <v>37745</v>
      </c>
      <c r="U4535" s="213" t="s">
        <v>61713</v>
      </c>
    </row>
    <row r="4536" spans="1:21" x14ac:dyDescent="0.25">
      <c r="A4536" s="213" t="s">
        <v>327</v>
      </c>
      <c r="D4536" s="213" t="s">
        <v>37746</v>
      </c>
      <c r="E4536" s="213" t="s">
        <v>37747</v>
      </c>
      <c r="K4536" s="213" t="s">
        <v>61660</v>
      </c>
      <c r="L4536" s="213" t="s">
        <v>61678</v>
      </c>
      <c r="M4536" s="213" t="s">
        <v>61696</v>
      </c>
      <c r="N4536" s="213" t="s">
        <v>37748</v>
      </c>
      <c r="O4536" s="213" t="s">
        <v>37749</v>
      </c>
      <c r="P4536" s="213" t="s">
        <v>37750</v>
      </c>
      <c r="Q4536" s="213" t="s">
        <v>37751</v>
      </c>
      <c r="R4536" s="213" t="s">
        <v>37752</v>
      </c>
      <c r="S4536" s="213" t="s">
        <v>37753</v>
      </c>
      <c r="T4536" s="213" t="s">
        <v>37754</v>
      </c>
      <c r="U4536" s="213" t="s">
        <v>61714</v>
      </c>
    </row>
    <row r="4537" spans="1:21" x14ac:dyDescent="0.25">
      <c r="A4537" s="213" t="s">
        <v>327</v>
      </c>
      <c r="D4537" s="213" t="s">
        <v>37755</v>
      </c>
      <c r="E4537" s="213" t="s">
        <v>37756</v>
      </c>
      <c r="K4537" s="213" t="s">
        <v>61661</v>
      </c>
      <c r="L4537" s="213" t="s">
        <v>61679</v>
      </c>
      <c r="M4537" s="213" t="s">
        <v>61697</v>
      </c>
      <c r="N4537" s="213" t="s">
        <v>37757</v>
      </c>
      <c r="O4537" s="213" t="s">
        <v>37758</v>
      </c>
      <c r="P4537" s="213" t="s">
        <v>37759</v>
      </c>
      <c r="Q4537" s="213" t="s">
        <v>37760</v>
      </c>
      <c r="R4537" s="213" t="s">
        <v>37761</v>
      </c>
      <c r="S4537" s="213" t="s">
        <v>37762</v>
      </c>
      <c r="T4537" s="213" t="s">
        <v>37763</v>
      </c>
      <c r="U4537" s="213" t="s">
        <v>61715</v>
      </c>
    </row>
    <row r="4538" spans="1:21" x14ac:dyDescent="0.25">
      <c r="A4538" s="213" t="s">
        <v>327</v>
      </c>
      <c r="D4538" s="213" t="s">
        <v>37764</v>
      </c>
      <c r="E4538" s="213" t="s">
        <v>37765</v>
      </c>
      <c r="K4538" s="213" t="s">
        <v>61662</v>
      </c>
      <c r="L4538" s="213" t="s">
        <v>61680</v>
      </c>
      <c r="M4538" s="213" t="s">
        <v>61698</v>
      </c>
      <c r="N4538" s="213" t="s">
        <v>37766</v>
      </c>
      <c r="O4538" s="213" t="s">
        <v>37767</v>
      </c>
      <c r="P4538" s="213" t="s">
        <v>37768</v>
      </c>
      <c r="Q4538" s="213" t="s">
        <v>37769</v>
      </c>
      <c r="R4538" s="213" t="s">
        <v>37770</v>
      </c>
      <c r="S4538" s="213" t="s">
        <v>37771</v>
      </c>
      <c r="T4538" s="213" t="s">
        <v>37772</v>
      </c>
      <c r="U4538" s="213" t="s">
        <v>61716</v>
      </c>
    </row>
    <row r="4539" spans="1:21" x14ac:dyDescent="0.25">
      <c r="A4539" s="213" t="s">
        <v>327</v>
      </c>
      <c r="D4539" s="213" t="s">
        <v>37773</v>
      </c>
      <c r="E4539" s="213" t="s">
        <v>37774</v>
      </c>
      <c r="K4539" s="213" t="s">
        <v>61663</v>
      </c>
      <c r="L4539" s="213" t="s">
        <v>61681</v>
      </c>
      <c r="M4539" s="213" t="s">
        <v>61699</v>
      </c>
      <c r="N4539" s="213" t="s">
        <v>37775</v>
      </c>
      <c r="O4539" s="213" t="s">
        <v>37776</v>
      </c>
      <c r="P4539" s="213" t="s">
        <v>37777</v>
      </c>
      <c r="Q4539" s="213" t="s">
        <v>37778</v>
      </c>
      <c r="R4539" s="213" t="s">
        <v>37779</v>
      </c>
      <c r="S4539" s="213" t="s">
        <v>37780</v>
      </c>
      <c r="T4539" s="213" t="s">
        <v>37781</v>
      </c>
      <c r="U4539" s="213" t="s">
        <v>61717</v>
      </c>
    </row>
    <row r="4540" spans="1:21" x14ac:dyDescent="0.25">
      <c r="A4540" s="213" t="s">
        <v>327</v>
      </c>
      <c r="D4540" s="213" t="s">
        <v>37782</v>
      </c>
      <c r="E4540" s="213" t="s">
        <v>37783</v>
      </c>
      <c r="K4540" s="213" t="s">
        <v>61664</v>
      </c>
      <c r="L4540" s="213" t="s">
        <v>61682</v>
      </c>
      <c r="M4540" s="213" t="s">
        <v>61700</v>
      </c>
      <c r="N4540" s="213" t="s">
        <v>37784</v>
      </c>
      <c r="O4540" s="213" t="s">
        <v>37785</v>
      </c>
      <c r="P4540" s="213" t="s">
        <v>37786</v>
      </c>
      <c r="Q4540" s="213" t="s">
        <v>37787</v>
      </c>
      <c r="R4540" s="213" t="s">
        <v>37788</v>
      </c>
      <c r="S4540" s="213" t="s">
        <v>37789</v>
      </c>
      <c r="T4540" s="213" t="s">
        <v>37790</v>
      </c>
      <c r="U4540" s="213" t="s">
        <v>61718</v>
      </c>
    </row>
    <row r="4541" spans="1:21" x14ac:dyDescent="0.25">
      <c r="A4541" s="213" t="s">
        <v>327</v>
      </c>
      <c r="D4541" s="213" t="s">
        <v>37791</v>
      </c>
      <c r="E4541" s="213" t="s">
        <v>37792</v>
      </c>
      <c r="K4541" s="213" t="s">
        <v>61665</v>
      </c>
      <c r="L4541" s="213" t="s">
        <v>61683</v>
      </c>
      <c r="M4541" s="213" t="s">
        <v>61701</v>
      </c>
      <c r="N4541" s="213" t="s">
        <v>37793</v>
      </c>
      <c r="O4541" s="213" t="s">
        <v>37794</v>
      </c>
      <c r="P4541" s="213" t="s">
        <v>37795</v>
      </c>
      <c r="Q4541" s="213" t="s">
        <v>37796</v>
      </c>
      <c r="R4541" s="213" t="s">
        <v>37797</v>
      </c>
      <c r="S4541" s="213" t="s">
        <v>37798</v>
      </c>
      <c r="T4541" s="213" t="s">
        <v>37799</v>
      </c>
      <c r="U4541" s="213" t="s">
        <v>61719</v>
      </c>
    </row>
    <row r="4542" spans="1:21" x14ac:dyDescent="0.25">
      <c r="A4542" s="213" t="s">
        <v>327</v>
      </c>
      <c r="D4542" s="213" t="s">
        <v>37800</v>
      </c>
      <c r="E4542" s="213" t="s">
        <v>37801</v>
      </c>
      <c r="K4542" s="213" t="s">
        <v>61666</v>
      </c>
      <c r="L4542" s="213" t="s">
        <v>61684</v>
      </c>
      <c r="M4542" s="213" t="s">
        <v>61702</v>
      </c>
      <c r="N4542" s="213" t="s">
        <v>37802</v>
      </c>
      <c r="O4542" s="213" t="s">
        <v>37803</v>
      </c>
      <c r="P4542" s="213" t="s">
        <v>37804</v>
      </c>
      <c r="Q4542" s="213" t="s">
        <v>37805</v>
      </c>
      <c r="R4542" s="213" t="s">
        <v>37806</v>
      </c>
      <c r="S4542" s="213" t="s">
        <v>37807</v>
      </c>
      <c r="T4542" s="213" t="s">
        <v>37808</v>
      </c>
      <c r="U4542" s="213" t="s">
        <v>61720</v>
      </c>
    </row>
    <row r="4543" spans="1:21" x14ac:dyDescent="0.25">
      <c r="A4543" s="213" t="s">
        <v>327</v>
      </c>
      <c r="D4543" s="213" t="s">
        <v>37809</v>
      </c>
      <c r="E4543" s="213" t="s">
        <v>37810</v>
      </c>
      <c r="K4543" s="213" t="s">
        <v>61667</v>
      </c>
      <c r="L4543" s="213" t="s">
        <v>61685</v>
      </c>
      <c r="M4543" s="213" t="s">
        <v>61703</v>
      </c>
      <c r="N4543" s="213" t="s">
        <v>37811</v>
      </c>
      <c r="O4543" s="213" t="s">
        <v>37812</v>
      </c>
      <c r="P4543" s="213" t="s">
        <v>37813</v>
      </c>
      <c r="Q4543" s="213" t="s">
        <v>37814</v>
      </c>
      <c r="R4543" s="213" t="s">
        <v>37815</v>
      </c>
      <c r="S4543" s="213" t="s">
        <v>37816</v>
      </c>
      <c r="T4543" s="213" t="s">
        <v>37817</v>
      </c>
      <c r="U4543" s="213" t="s">
        <v>61721</v>
      </c>
    </row>
    <row r="4544" spans="1:21" x14ac:dyDescent="0.25">
      <c r="A4544" s="213" t="s">
        <v>327</v>
      </c>
    </row>
    <row r="4545" spans="1:21" x14ac:dyDescent="0.25">
      <c r="A4545" s="213" t="s">
        <v>327</v>
      </c>
    </row>
    <row r="4546" spans="1:21" x14ac:dyDescent="0.25">
      <c r="A4546" s="213" t="s">
        <v>327</v>
      </c>
      <c r="C4546" s="213" t="s">
        <v>37818</v>
      </c>
      <c r="E4546" s="213" t="s">
        <v>37819</v>
      </c>
      <c r="H4546" s="213" t="s">
        <v>37820</v>
      </c>
      <c r="I4546" s="213" t="s">
        <v>37821</v>
      </c>
      <c r="J4546" s="213" t="s">
        <v>37822</v>
      </c>
      <c r="L4546" s="213" t="s">
        <v>37823</v>
      </c>
      <c r="O4546" s="213" t="s">
        <v>37824</v>
      </c>
      <c r="P4546" s="213" t="s">
        <v>37825</v>
      </c>
      <c r="Q4546" s="213" t="s">
        <v>37826</v>
      </c>
      <c r="R4546" s="213" t="s">
        <v>37827</v>
      </c>
      <c r="S4546" s="213" t="s">
        <v>37828</v>
      </c>
      <c r="T4546" s="213" t="s">
        <v>37829</v>
      </c>
    </row>
    <row r="4547" spans="1:21" x14ac:dyDescent="0.25">
      <c r="A4547" s="213" t="s">
        <v>327</v>
      </c>
      <c r="C4547" s="213" t="s">
        <v>37830</v>
      </c>
      <c r="E4547" s="213" t="s">
        <v>37831</v>
      </c>
      <c r="I4547" s="213" t="s">
        <v>37832</v>
      </c>
    </row>
    <row r="4548" spans="1:21" x14ac:dyDescent="0.25">
      <c r="A4548" s="213" t="s">
        <v>327</v>
      </c>
      <c r="C4548" s="213" t="s">
        <v>37833</v>
      </c>
      <c r="E4548" s="213" t="s">
        <v>37834</v>
      </c>
      <c r="I4548" s="213" t="s">
        <v>37835</v>
      </c>
    </row>
    <row r="4549" spans="1:21" x14ac:dyDescent="0.25">
      <c r="A4549" s="213" t="s">
        <v>328</v>
      </c>
    </row>
    <row r="4550" spans="1:21" x14ac:dyDescent="0.25">
      <c r="A4550" s="213" t="s">
        <v>327</v>
      </c>
      <c r="D4550" s="213" t="s">
        <v>37836</v>
      </c>
      <c r="E4550" s="213" t="s">
        <v>37837</v>
      </c>
      <c r="K4550" s="213" t="s">
        <v>61486</v>
      </c>
      <c r="L4550" s="213" t="s">
        <v>61527</v>
      </c>
      <c r="M4550" s="213" t="s">
        <v>61568</v>
      </c>
      <c r="N4550" s="213" t="s">
        <v>37838</v>
      </c>
      <c r="O4550" s="213" t="s">
        <v>37839</v>
      </c>
      <c r="P4550" s="213" t="s">
        <v>37840</v>
      </c>
      <c r="Q4550" s="213" t="s">
        <v>37841</v>
      </c>
      <c r="R4550" s="213" t="s">
        <v>37842</v>
      </c>
      <c r="S4550" s="213" t="s">
        <v>37843</v>
      </c>
      <c r="T4550" s="213" t="s">
        <v>37844</v>
      </c>
      <c r="U4550" s="213" t="s">
        <v>61609</v>
      </c>
    </row>
    <row r="4551" spans="1:21" x14ac:dyDescent="0.25">
      <c r="A4551" s="213" t="s">
        <v>327</v>
      </c>
      <c r="D4551" s="213" t="s">
        <v>37845</v>
      </c>
      <c r="E4551" s="213" t="s">
        <v>37846</v>
      </c>
      <c r="K4551" s="213" t="s">
        <v>61487</v>
      </c>
      <c r="L4551" s="213" t="s">
        <v>61528</v>
      </c>
      <c r="M4551" s="213" t="s">
        <v>61569</v>
      </c>
      <c r="N4551" s="213" t="s">
        <v>37847</v>
      </c>
      <c r="O4551" s="213" t="s">
        <v>37848</v>
      </c>
      <c r="P4551" s="213" t="s">
        <v>37849</v>
      </c>
      <c r="Q4551" s="213" t="s">
        <v>37850</v>
      </c>
      <c r="R4551" s="213" t="s">
        <v>37851</v>
      </c>
      <c r="S4551" s="213" t="s">
        <v>37852</v>
      </c>
      <c r="T4551" s="213" t="s">
        <v>37853</v>
      </c>
      <c r="U4551" s="213" t="s">
        <v>61610</v>
      </c>
    </row>
    <row r="4552" spans="1:21" x14ac:dyDescent="0.25">
      <c r="A4552" s="213" t="s">
        <v>327</v>
      </c>
      <c r="D4552" s="213" t="s">
        <v>37854</v>
      </c>
      <c r="E4552" s="213" t="s">
        <v>37855</v>
      </c>
      <c r="K4552" s="213" t="s">
        <v>61488</v>
      </c>
      <c r="L4552" s="213" t="s">
        <v>61529</v>
      </c>
      <c r="M4552" s="213" t="s">
        <v>61570</v>
      </c>
      <c r="N4552" s="213" t="s">
        <v>37856</v>
      </c>
      <c r="O4552" s="213" t="s">
        <v>37857</v>
      </c>
      <c r="P4552" s="213" t="s">
        <v>37858</v>
      </c>
      <c r="Q4552" s="213" t="s">
        <v>37859</v>
      </c>
      <c r="R4552" s="213" t="s">
        <v>37860</v>
      </c>
      <c r="S4552" s="213" t="s">
        <v>37861</v>
      </c>
      <c r="T4552" s="213" t="s">
        <v>37862</v>
      </c>
      <c r="U4552" s="213" t="s">
        <v>61611</v>
      </c>
    </row>
    <row r="4553" spans="1:21" x14ac:dyDescent="0.25">
      <c r="A4553" s="213" t="s">
        <v>327</v>
      </c>
      <c r="D4553" s="213" t="s">
        <v>37863</v>
      </c>
      <c r="E4553" s="213" t="s">
        <v>37864</v>
      </c>
      <c r="K4553" s="213" t="s">
        <v>61489</v>
      </c>
      <c r="L4553" s="213" t="s">
        <v>61530</v>
      </c>
      <c r="M4553" s="213" t="s">
        <v>61571</v>
      </c>
      <c r="N4553" s="213" t="s">
        <v>37865</v>
      </c>
      <c r="O4553" s="213" t="s">
        <v>37866</v>
      </c>
      <c r="P4553" s="213" t="s">
        <v>37867</v>
      </c>
      <c r="Q4553" s="213" t="s">
        <v>37868</v>
      </c>
      <c r="R4553" s="213" t="s">
        <v>37869</v>
      </c>
      <c r="S4553" s="213" t="s">
        <v>37870</v>
      </c>
      <c r="T4553" s="213" t="s">
        <v>37871</v>
      </c>
      <c r="U4553" s="213" t="s">
        <v>61612</v>
      </c>
    </row>
    <row r="4554" spans="1:21" x14ac:dyDescent="0.25">
      <c r="A4554" s="213" t="s">
        <v>327</v>
      </c>
      <c r="D4554" s="213" t="s">
        <v>37872</v>
      </c>
      <c r="E4554" s="213" t="s">
        <v>37873</v>
      </c>
      <c r="K4554" s="213" t="s">
        <v>61490</v>
      </c>
      <c r="L4554" s="213" t="s">
        <v>61531</v>
      </c>
      <c r="M4554" s="213" t="s">
        <v>61572</v>
      </c>
      <c r="N4554" s="213" t="s">
        <v>37874</v>
      </c>
      <c r="O4554" s="213" t="s">
        <v>37875</v>
      </c>
      <c r="P4554" s="213" t="s">
        <v>37876</v>
      </c>
      <c r="Q4554" s="213" t="s">
        <v>37877</v>
      </c>
      <c r="R4554" s="213" t="s">
        <v>37878</v>
      </c>
      <c r="S4554" s="213" t="s">
        <v>37879</v>
      </c>
      <c r="T4554" s="213" t="s">
        <v>37880</v>
      </c>
      <c r="U4554" s="213" t="s">
        <v>61613</v>
      </c>
    </row>
    <row r="4555" spans="1:21" x14ac:dyDescent="0.25">
      <c r="A4555" s="213" t="s">
        <v>327</v>
      </c>
      <c r="D4555" s="213" t="s">
        <v>37881</v>
      </c>
      <c r="E4555" s="213" t="s">
        <v>37882</v>
      </c>
      <c r="K4555" s="213" t="s">
        <v>61491</v>
      </c>
      <c r="L4555" s="213" t="s">
        <v>61532</v>
      </c>
      <c r="M4555" s="213" t="s">
        <v>61573</v>
      </c>
      <c r="N4555" s="213" t="s">
        <v>37883</v>
      </c>
      <c r="O4555" s="213" t="s">
        <v>37884</v>
      </c>
      <c r="P4555" s="213" t="s">
        <v>37885</v>
      </c>
      <c r="Q4555" s="213" t="s">
        <v>37886</v>
      </c>
      <c r="R4555" s="213" t="s">
        <v>37887</v>
      </c>
      <c r="S4555" s="213" t="s">
        <v>37888</v>
      </c>
      <c r="T4555" s="213" t="s">
        <v>37889</v>
      </c>
      <c r="U4555" s="213" t="s">
        <v>61614</v>
      </c>
    </row>
    <row r="4556" spans="1:21" x14ac:dyDescent="0.25">
      <c r="A4556" s="213" t="s">
        <v>327</v>
      </c>
      <c r="D4556" s="213" t="s">
        <v>37890</v>
      </c>
      <c r="E4556" s="213" t="s">
        <v>37891</v>
      </c>
      <c r="K4556" s="213" t="s">
        <v>61492</v>
      </c>
      <c r="L4556" s="213" t="s">
        <v>61533</v>
      </c>
      <c r="M4556" s="213" t="s">
        <v>61574</v>
      </c>
      <c r="N4556" s="213" t="s">
        <v>37892</v>
      </c>
      <c r="O4556" s="213" t="s">
        <v>37893</v>
      </c>
      <c r="P4556" s="213" t="s">
        <v>37894</v>
      </c>
      <c r="Q4556" s="213" t="s">
        <v>37895</v>
      </c>
      <c r="R4556" s="213" t="s">
        <v>37896</v>
      </c>
      <c r="S4556" s="213" t="s">
        <v>37897</v>
      </c>
      <c r="T4556" s="213" t="s">
        <v>37898</v>
      </c>
      <c r="U4556" s="213" t="s">
        <v>61615</v>
      </c>
    </row>
    <row r="4557" spans="1:21" x14ac:dyDescent="0.25">
      <c r="A4557" s="213" t="s">
        <v>327</v>
      </c>
      <c r="D4557" s="213" t="s">
        <v>37899</v>
      </c>
      <c r="E4557" s="213" t="s">
        <v>37900</v>
      </c>
      <c r="K4557" s="213" t="s">
        <v>61493</v>
      </c>
      <c r="L4557" s="213" t="s">
        <v>61534</v>
      </c>
      <c r="M4557" s="213" t="s">
        <v>61575</v>
      </c>
      <c r="N4557" s="213" t="s">
        <v>37901</v>
      </c>
      <c r="O4557" s="213" t="s">
        <v>37902</v>
      </c>
      <c r="P4557" s="213" t="s">
        <v>37903</v>
      </c>
      <c r="Q4557" s="213" t="s">
        <v>37904</v>
      </c>
      <c r="R4557" s="213" t="s">
        <v>37905</v>
      </c>
      <c r="S4557" s="213" t="s">
        <v>37906</v>
      </c>
      <c r="T4557" s="213" t="s">
        <v>37907</v>
      </c>
      <c r="U4557" s="213" t="s">
        <v>61616</v>
      </c>
    </row>
    <row r="4558" spans="1:21" x14ac:dyDescent="0.25">
      <c r="A4558" s="213" t="s">
        <v>327</v>
      </c>
      <c r="D4558" s="213" t="s">
        <v>37908</v>
      </c>
      <c r="E4558" s="213" t="s">
        <v>37909</v>
      </c>
      <c r="K4558" s="213" t="s">
        <v>61494</v>
      </c>
      <c r="L4558" s="213" t="s">
        <v>61535</v>
      </c>
      <c r="M4558" s="213" t="s">
        <v>61576</v>
      </c>
      <c r="N4558" s="213" t="s">
        <v>37910</v>
      </c>
      <c r="O4558" s="213" t="s">
        <v>37911</v>
      </c>
      <c r="P4558" s="213" t="s">
        <v>37912</v>
      </c>
      <c r="Q4558" s="213" t="s">
        <v>37913</v>
      </c>
      <c r="R4558" s="213" t="s">
        <v>37914</v>
      </c>
      <c r="S4558" s="213" t="s">
        <v>37915</v>
      </c>
      <c r="T4558" s="213" t="s">
        <v>37916</v>
      </c>
      <c r="U4558" s="213" t="s">
        <v>61617</v>
      </c>
    </row>
    <row r="4559" spans="1:21" x14ac:dyDescent="0.25">
      <c r="A4559" s="213" t="s">
        <v>327</v>
      </c>
      <c r="D4559" s="213" t="s">
        <v>37917</v>
      </c>
      <c r="E4559" s="213" t="s">
        <v>37918</v>
      </c>
      <c r="K4559" s="213" t="s">
        <v>61495</v>
      </c>
      <c r="L4559" s="213" t="s">
        <v>61536</v>
      </c>
      <c r="M4559" s="213" t="s">
        <v>61577</v>
      </c>
      <c r="N4559" s="213" t="s">
        <v>37919</v>
      </c>
      <c r="O4559" s="213" t="s">
        <v>37920</v>
      </c>
      <c r="P4559" s="213" t="s">
        <v>37921</v>
      </c>
      <c r="Q4559" s="213" t="s">
        <v>37922</v>
      </c>
      <c r="R4559" s="213" t="s">
        <v>37923</v>
      </c>
      <c r="S4559" s="213" t="s">
        <v>37924</v>
      </c>
      <c r="T4559" s="213" t="s">
        <v>37925</v>
      </c>
      <c r="U4559" s="213" t="s">
        <v>61618</v>
      </c>
    </row>
    <row r="4560" spans="1:21" x14ac:dyDescent="0.25">
      <c r="A4560" s="213" t="s">
        <v>327</v>
      </c>
      <c r="D4560" s="213" t="s">
        <v>37926</v>
      </c>
      <c r="E4560" s="213" t="s">
        <v>37927</v>
      </c>
      <c r="K4560" s="213" t="s">
        <v>61496</v>
      </c>
      <c r="L4560" s="213" t="s">
        <v>61537</v>
      </c>
      <c r="M4560" s="213" t="s">
        <v>61578</v>
      </c>
      <c r="N4560" s="213" t="s">
        <v>37928</v>
      </c>
      <c r="O4560" s="213" t="s">
        <v>37929</v>
      </c>
      <c r="P4560" s="213" t="s">
        <v>37930</v>
      </c>
      <c r="Q4560" s="213" t="s">
        <v>37931</v>
      </c>
      <c r="R4560" s="213" t="s">
        <v>37932</v>
      </c>
      <c r="S4560" s="213" t="s">
        <v>37933</v>
      </c>
      <c r="T4560" s="213" t="s">
        <v>37934</v>
      </c>
      <c r="U4560" s="213" t="s">
        <v>61619</v>
      </c>
    </row>
    <row r="4561" spans="1:21" x14ac:dyDescent="0.25">
      <c r="A4561" s="213" t="s">
        <v>327</v>
      </c>
      <c r="D4561" s="213" t="s">
        <v>37935</v>
      </c>
      <c r="E4561" s="213" t="s">
        <v>37936</v>
      </c>
      <c r="K4561" s="213" t="s">
        <v>61497</v>
      </c>
      <c r="L4561" s="213" t="s">
        <v>61538</v>
      </c>
      <c r="M4561" s="213" t="s">
        <v>61579</v>
      </c>
      <c r="N4561" s="213" t="s">
        <v>37937</v>
      </c>
      <c r="O4561" s="213" t="s">
        <v>37938</v>
      </c>
      <c r="P4561" s="213" t="s">
        <v>37939</v>
      </c>
      <c r="Q4561" s="213" t="s">
        <v>37940</v>
      </c>
      <c r="R4561" s="213" t="s">
        <v>37941</v>
      </c>
      <c r="S4561" s="213" t="s">
        <v>37942</v>
      </c>
      <c r="T4561" s="213" t="s">
        <v>37943</v>
      </c>
      <c r="U4561" s="213" t="s">
        <v>61620</v>
      </c>
    </row>
    <row r="4562" spans="1:21" x14ac:dyDescent="0.25">
      <c r="A4562" s="213" t="s">
        <v>327</v>
      </c>
      <c r="D4562" s="213" t="s">
        <v>37944</v>
      </c>
      <c r="E4562" s="213" t="s">
        <v>37945</v>
      </c>
      <c r="K4562" s="213" t="s">
        <v>61498</v>
      </c>
      <c r="L4562" s="213" t="s">
        <v>61539</v>
      </c>
      <c r="M4562" s="213" t="s">
        <v>61580</v>
      </c>
      <c r="N4562" s="213" t="s">
        <v>37946</v>
      </c>
      <c r="O4562" s="213" t="s">
        <v>37947</v>
      </c>
      <c r="P4562" s="213" t="s">
        <v>37948</v>
      </c>
      <c r="Q4562" s="213" t="s">
        <v>37949</v>
      </c>
      <c r="R4562" s="213" t="s">
        <v>37950</v>
      </c>
      <c r="S4562" s="213" t="s">
        <v>37951</v>
      </c>
      <c r="T4562" s="213" t="s">
        <v>37952</v>
      </c>
      <c r="U4562" s="213" t="s">
        <v>61621</v>
      </c>
    </row>
    <row r="4563" spans="1:21" x14ac:dyDescent="0.25">
      <c r="A4563" s="213" t="s">
        <v>327</v>
      </c>
      <c r="D4563" s="213" t="s">
        <v>37953</v>
      </c>
      <c r="E4563" s="213" t="s">
        <v>37954</v>
      </c>
      <c r="K4563" s="213" t="s">
        <v>61499</v>
      </c>
      <c r="L4563" s="213" t="s">
        <v>61540</v>
      </c>
      <c r="M4563" s="213" t="s">
        <v>61581</v>
      </c>
      <c r="N4563" s="213" t="s">
        <v>37955</v>
      </c>
      <c r="O4563" s="213" t="s">
        <v>37956</v>
      </c>
      <c r="P4563" s="213" t="s">
        <v>37957</v>
      </c>
      <c r="Q4563" s="213" t="s">
        <v>37958</v>
      </c>
      <c r="R4563" s="213" t="s">
        <v>37959</v>
      </c>
      <c r="S4563" s="213" t="s">
        <v>37960</v>
      </c>
      <c r="T4563" s="213" t="s">
        <v>37961</v>
      </c>
      <c r="U4563" s="213" t="s">
        <v>61622</v>
      </c>
    </row>
    <row r="4564" spans="1:21" x14ac:dyDescent="0.25">
      <c r="A4564" s="213" t="s">
        <v>327</v>
      </c>
      <c r="D4564" s="213" t="s">
        <v>37962</v>
      </c>
      <c r="E4564" s="213" t="s">
        <v>37963</v>
      </c>
      <c r="K4564" s="213" t="s">
        <v>61500</v>
      </c>
      <c r="L4564" s="213" t="s">
        <v>61541</v>
      </c>
      <c r="M4564" s="213" t="s">
        <v>61582</v>
      </c>
      <c r="N4564" s="213" t="s">
        <v>37964</v>
      </c>
      <c r="O4564" s="213" t="s">
        <v>37965</v>
      </c>
      <c r="P4564" s="213" t="s">
        <v>37966</v>
      </c>
      <c r="Q4564" s="213" t="s">
        <v>37967</v>
      </c>
      <c r="R4564" s="213" t="s">
        <v>37968</v>
      </c>
      <c r="S4564" s="213" t="s">
        <v>37969</v>
      </c>
      <c r="T4564" s="213" t="s">
        <v>37970</v>
      </c>
      <c r="U4564" s="213" t="s">
        <v>61623</v>
      </c>
    </row>
    <row r="4565" spans="1:21" x14ac:dyDescent="0.25">
      <c r="A4565" s="213" t="s">
        <v>327</v>
      </c>
      <c r="D4565" s="213" t="s">
        <v>37971</v>
      </c>
      <c r="E4565" s="213" t="s">
        <v>37972</v>
      </c>
      <c r="K4565" s="213" t="s">
        <v>61501</v>
      </c>
      <c r="L4565" s="213" t="s">
        <v>61542</v>
      </c>
      <c r="M4565" s="213" t="s">
        <v>61583</v>
      </c>
      <c r="N4565" s="213" t="s">
        <v>37973</v>
      </c>
      <c r="O4565" s="213" t="s">
        <v>37974</v>
      </c>
      <c r="P4565" s="213" t="s">
        <v>37975</v>
      </c>
      <c r="Q4565" s="213" t="s">
        <v>37976</v>
      </c>
      <c r="R4565" s="213" t="s">
        <v>37977</v>
      </c>
      <c r="S4565" s="213" t="s">
        <v>37978</v>
      </c>
      <c r="T4565" s="213" t="s">
        <v>37979</v>
      </c>
      <c r="U4565" s="213" t="s">
        <v>61624</v>
      </c>
    </row>
    <row r="4566" spans="1:21" x14ac:dyDescent="0.25">
      <c r="A4566" s="213" t="s">
        <v>327</v>
      </c>
      <c r="D4566" s="213" t="s">
        <v>37980</v>
      </c>
      <c r="E4566" s="213" t="s">
        <v>37981</v>
      </c>
      <c r="K4566" s="213" t="s">
        <v>61502</v>
      </c>
      <c r="L4566" s="213" t="s">
        <v>61543</v>
      </c>
      <c r="M4566" s="213" t="s">
        <v>61584</v>
      </c>
      <c r="N4566" s="213" t="s">
        <v>37982</v>
      </c>
      <c r="O4566" s="213" t="s">
        <v>37983</v>
      </c>
      <c r="P4566" s="213" t="s">
        <v>37984</v>
      </c>
      <c r="Q4566" s="213" t="s">
        <v>37985</v>
      </c>
      <c r="R4566" s="213" t="s">
        <v>37986</v>
      </c>
      <c r="S4566" s="213" t="s">
        <v>37987</v>
      </c>
      <c r="T4566" s="213" t="s">
        <v>37988</v>
      </c>
      <c r="U4566" s="213" t="s">
        <v>61625</v>
      </c>
    </row>
    <row r="4567" spans="1:21" x14ac:dyDescent="0.25">
      <c r="A4567" s="213" t="s">
        <v>327</v>
      </c>
      <c r="D4567" s="213" t="s">
        <v>37989</v>
      </c>
      <c r="E4567" s="213" t="s">
        <v>37990</v>
      </c>
      <c r="K4567" s="213" t="s">
        <v>61503</v>
      </c>
      <c r="L4567" s="213" t="s">
        <v>61544</v>
      </c>
      <c r="M4567" s="213" t="s">
        <v>61585</v>
      </c>
      <c r="N4567" s="213" t="s">
        <v>37991</v>
      </c>
      <c r="O4567" s="213" t="s">
        <v>37992</v>
      </c>
      <c r="P4567" s="213" t="s">
        <v>37993</v>
      </c>
      <c r="Q4567" s="213" t="s">
        <v>37994</v>
      </c>
      <c r="R4567" s="213" t="s">
        <v>37995</v>
      </c>
      <c r="S4567" s="213" t="s">
        <v>37996</v>
      </c>
      <c r="T4567" s="213" t="s">
        <v>37997</v>
      </c>
      <c r="U4567" s="213" t="s">
        <v>61626</v>
      </c>
    </row>
    <row r="4568" spans="1:21" x14ac:dyDescent="0.25">
      <c r="A4568" s="213" t="s">
        <v>327</v>
      </c>
      <c r="D4568" s="213" t="s">
        <v>37998</v>
      </c>
      <c r="E4568" s="213" t="s">
        <v>37999</v>
      </c>
      <c r="K4568" s="213" t="s">
        <v>61504</v>
      </c>
      <c r="L4568" s="213" t="s">
        <v>61545</v>
      </c>
      <c r="M4568" s="213" t="s">
        <v>61586</v>
      </c>
      <c r="N4568" s="213" t="s">
        <v>38000</v>
      </c>
      <c r="O4568" s="213" t="s">
        <v>38001</v>
      </c>
      <c r="P4568" s="213" t="s">
        <v>38002</v>
      </c>
      <c r="Q4568" s="213" t="s">
        <v>38003</v>
      </c>
      <c r="R4568" s="213" t="s">
        <v>38004</v>
      </c>
      <c r="S4568" s="213" t="s">
        <v>38005</v>
      </c>
      <c r="T4568" s="213" t="s">
        <v>38006</v>
      </c>
      <c r="U4568" s="213" t="s">
        <v>61627</v>
      </c>
    </row>
    <row r="4569" spans="1:21" x14ac:dyDescent="0.25">
      <c r="A4569" s="213" t="s">
        <v>327</v>
      </c>
      <c r="D4569" s="213" t="s">
        <v>38007</v>
      </c>
      <c r="E4569" s="213" t="s">
        <v>38008</v>
      </c>
      <c r="K4569" s="213" t="s">
        <v>61505</v>
      </c>
      <c r="L4569" s="213" t="s">
        <v>61546</v>
      </c>
      <c r="M4569" s="213" t="s">
        <v>61587</v>
      </c>
      <c r="N4569" s="213" t="s">
        <v>38009</v>
      </c>
      <c r="O4569" s="213" t="s">
        <v>38010</v>
      </c>
      <c r="P4569" s="213" t="s">
        <v>38011</v>
      </c>
      <c r="Q4569" s="213" t="s">
        <v>38012</v>
      </c>
      <c r="R4569" s="213" t="s">
        <v>38013</v>
      </c>
      <c r="S4569" s="213" t="s">
        <v>38014</v>
      </c>
      <c r="T4569" s="213" t="s">
        <v>38015</v>
      </c>
      <c r="U4569" s="213" t="s">
        <v>61628</v>
      </c>
    </row>
    <row r="4570" spans="1:21" x14ac:dyDescent="0.25">
      <c r="A4570" s="213" t="s">
        <v>327</v>
      </c>
      <c r="D4570" s="213" t="s">
        <v>38016</v>
      </c>
      <c r="E4570" s="213" t="s">
        <v>38017</v>
      </c>
      <c r="K4570" s="213" t="s">
        <v>61506</v>
      </c>
      <c r="L4570" s="213" t="s">
        <v>61547</v>
      </c>
      <c r="M4570" s="213" t="s">
        <v>61588</v>
      </c>
      <c r="N4570" s="213" t="s">
        <v>38018</v>
      </c>
      <c r="O4570" s="213" t="s">
        <v>38019</v>
      </c>
      <c r="P4570" s="213" t="s">
        <v>38020</v>
      </c>
      <c r="Q4570" s="213" t="s">
        <v>38021</v>
      </c>
      <c r="R4570" s="213" t="s">
        <v>38022</v>
      </c>
      <c r="S4570" s="213" t="s">
        <v>38023</v>
      </c>
      <c r="T4570" s="213" t="s">
        <v>38024</v>
      </c>
      <c r="U4570" s="213" t="s">
        <v>61629</v>
      </c>
    </row>
    <row r="4571" spans="1:21" x14ac:dyDescent="0.25">
      <c r="A4571" s="213" t="s">
        <v>327</v>
      </c>
      <c r="D4571" s="213" t="s">
        <v>38025</v>
      </c>
      <c r="E4571" s="213" t="s">
        <v>38026</v>
      </c>
      <c r="K4571" s="213" t="s">
        <v>61507</v>
      </c>
      <c r="L4571" s="213" t="s">
        <v>61548</v>
      </c>
      <c r="M4571" s="213" t="s">
        <v>61589</v>
      </c>
      <c r="N4571" s="213" t="s">
        <v>38027</v>
      </c>
      <c r="O4571" s="213" t="s">
        <v>38028</v>
      </c>
      <c r="P4571" s="213" t="s">
        <v>38029</v>
      </c>
      <c r="Q4571" s="213" t="s">
        <v>38030</v>
      </c>
      <c r="R4571" s="213" t="s">
        <v>38031</v>
      </c>
      <c r="S4571" s="213" t="s">
        <v>38032</v>
      </c>
      <c r="T4571" s="213" t="s">
        <v>38033</v>
      </c>
      <c r="U4571" s="213" t="s">
        <v>61630</v>
      </c>
    </row>
    <row r="4572" spans="1:21" x14ac:dyDescent="0.25">
      <c r="A4572" s="213" t="s">
        <v>327</v>
      </c>
      <c r="D4572" s="213" t="s">
        <v>38034</v>
      </c>
      <c r="E4572" s="213" t="s">
        <v>38035</v>
      </c>
      <c r="K4572" s="213" t="s">
        <v>61508</v>
      </c>
      <c r="L4572" s="213" t="s">
        <v>61549</v>
      </c>
      <c r="M4572" s="213" t="s">
        <v>61590</v>
      </c>
      <c r="N4572" s="213" t="s">
        <v>38036</v>
      </c>
      <c r="O4572" s="213" t="s">
        <v>38037</v>
      </c>
      <c r="P4572" s="213" t="s">
        <v>38038</v>
      </c>
      <c r="Q4572" s="213" t="s">
        <v>38039</v>
      </c>
      <c r="R4572" s="213" t="s">
        <v>38040</v>
      </c>
      <c r="S4572" s="213" t="s">
        <v>38041</v>
      </c>
      <c r="T4572" s="213" t="s">
        <v>38042</v>
      </c>
      <c r="U4572" s="213" t="s">
        <v>61631</v>
      </c>
    </row>
    <row r="4573" spans="1:21" x14ac:dyDescent="0.25">
      <c r="A4573" s="213" t="s">
        <v>327</v>
      </c>
      <c r="D4573" s="213" t="s">
        <v>38043</v>
      </c>
      <c r="E4573" s="213" t="s">
        <v>38044</v>
      </c>
      <c r="K4573" s="213" t="s">
        <v>61509</v>
      </c>
      <c r="L4573" s="213" t="s">
        <v>61550</v>
      </c>
      <c r="M4573" s="213" t="s">
        <v>61591</v>
      </c>
      <c r="N4573" s="213" t="s">
        <v>38045</v>
      </c>
      <c r="O4573" s="213" t="s">
        <v>38046</v>
      </c>
      <c r="P4573" s="213" t="s">
        <v>38047</v>
      </c>
      <c r="Q4573" s="213" t="s">
        <v>38048</v>
      </c>
      <c r="R4573" s="213" t="s">
        <v>38049</v>
      </c>
      <c r="S4573" s="213" t="s">
        <v>38050</v>
      </c>
      <c r="T4573" s="213" t="s">
        <v>38051</v>
      </c>
      <c r="U4573" s="213" t="s">
        <v>61632</v>
      </c>
    </row>
    <row r="4574" spans="1:21" x14ac:dyDescent="0.25">
      <c r="A4574" s="213" t="s">
        <v>327</v>
      </c>
      <c r="D4574" s="213" t="s">
        <v>38052</v>
      </c>
      <c r="E4574" s="213" t="s">
        <v>38053</v>
      </c>
      <c r="K4574" s="213" t="s">
        <v>61510</v>
      </c>
      <c r="L4574" s="213" t="s">
        <v>61551</v>
      </c>
      <c r="M4574" s="213" t="s">
        <v>61592</v>
      </c>
      <c r="N4574" s="213" t="s">
        <v>38054</v>
      </c>
      <c r="O4574" s="213" t="s">
        <v>38055</v>
      </c>
      <c r="P4574" s="213" t="s">
        <v>38056</v>
      </c>
      <c r="Q4574" s="213" t="s">
        <v>38057</v>
      </c>
      <c r="R4574" s="213" t="s">
        <v>38058</v>
      </c>
      <c r="S4574" s="213" t="s">
        <v>38059</v>
      </c>
      <c r="T4574" s="213" t="s">
        <v>38060</v>
      </c>
      <c r="U4574" s="213" t="s">
        <v>61633</v>
      </c>
    </row>
    <row r="4575" spans="1:21" x14ac:dyDescent="0.25">
      <c r="A4575" s="213" t="s">
        <v>327</v>
      </c>
      <c r="D4575" s="213" t="s">
        <v>38061</v>
      </c>
      <c r="E4575" s="213" t="s">
        <v>38062</v>
      </c>
      <c r="K4575" s="213" t="s">
        <v>61511</v>
      </c>
      <c r="L4575" s="213" t="s">
        <v>61552</v>
      </c>
      <c r="M4575" s="213" t="s">
        <v>61593</v>
      </c>
      <c r="N4575" s="213" t="s">
        <v>38063</v>
      </c>
      <c r="O4575" s="213" t="s">
        <v>38064</v>
      </c>
      <c r="P4575" s="213" t="s">
        <v>38065</v>
      </c>
      <c r="Q4575" s="213" t="s">
        <v>38066</v>
      </c>
      <c r="R4575" s="213" t="s">
        <v>38067</v>
      </c>
      <c r="S4575" s="213" t="s">
        <v>38068</v>
      </c>
      <c r="T4575" s="213" t="s">
        <v>38069</v>
      </c>
      <c r="U4575" s="213" t="s">
        <v>61634</v>
      </c>
    </row>
    <row r="4576" spans="1:21" x14ac:dyDescent="0.25">
      <c r="A4576" s="213" t="s">
        <v>327</v>
      </c>
      <c r="D4576" s="213" t="s">
        <v>38070</v>
      </c>
      <c r="E4576" s="213" t="s">
        <v>38071</v>
      </c>
      <c r="K4576" s="213" t="s">
        <v>61512</v>
      </c>
      <c r="L4576" s="213" t="s">
        <v>61553</v>
      </c>
      <c r="M4576" s="213" t="s">
        <v>61594</v>
      </c>
      <c r="N4576" s="213" t="s">
        <v>38072</v>
      </c>
      <c r="O4576" s="213" t="s">
        <v>38073</v>
      </c>
      <c r="P4576" s="213" t="s">
        <v>38074</v>
      </c>
      <c r="Q4576" s="213" t="s">
        <v>38075</v>
      </c>
      <c r="R4576" s="213" t="s">
        <v>38076</v>
      </c>
      <c r="S4576" s="213" t="s">
        <v>38077</v>
      </c>
      <c r="T4576" s="213" t="s">
        <v>38078</v>
      </c>
      <c r="U4576" s="213" t="s">
        <v>61635</v>
      </c>
    </row>
    <row r="4577" spans="1:21" x14ac:dyDescent="0.25">
      <c r="A4577" s="213" t="s">
        <v>327</v>
      </c>
      <c r="D4577" s="213" t="s">
        <v>38079</v>
      </c>
      <c r="E4577" s="213" t="s">
        <v>38080</v>
      </c>
      <c r="K4577" s="213" t="s">
        <v>61513</v>
      </c>
      <c r="L4577" s="213" t="s">
        <v>61554</v>
      </c>
      <c r="M4577" s="213" t="s">
        <v>61595</v>
      </c>
      <c r="N4577" s="213" t="s">
        <v>38081</v>
      </c>
      <c r="O4577" s="213" t="s">
        <v>38082</v>
      </c>
      <c r="P4577" s="213" t="s">
        <v>38083</v>
      </c>
      <c r="Q4577" s="213" t="s">
        <v>38084</v>
      </c>
      <c r="R4577" s="213" t="s">
        <v>38085</v>
      </c>
      <c r="S4577" s="213" t="s">
        <v>38086</v>
      </c>
      <c r="T4577" s="213" t="s">
        <v>38087</v>
      </c>
      <c r="U4577" s="213" t="s">
        <v>61636</v>
      </c>
    </row>
    <row r="4578" spans="1:21" x14ac:dyDescent="0.25">
      <c r="A4578" s="213" t="s">
        <v>327</v>
      </c>
      <c r="D4578" s="213" t="s">
        <v>38088</v>
      </c>
      <c r="E4578" s="213" t="s">
        <v>38089</v>
      </c>
      <c r="K4578" s="213" t="s">
        <v>61514</v>
      </c>
      <c r="L4578" s="213" t="s">
        <v>61555</v>
      </c>
      <c r="M4578" s="213" t="s">
        <v>61596</v>
      </c>
      <c r="N4578" s="213" t="s">
        <v>38090</v>
      </c>
      <c r="O4578" s="213" t="s">
        <v>38091</v>
      </c>
      <c r="P4578" s="213" t="s">
        <v>38092</v>
      </c>
      <c r="Q4578" s="213" t="s">
        <v>38093</v>
      </c>
      <c r="R4578" s="213" t="s">
        <v>38094</v>
      </c>
      <c r="S4578" s="213" t="s">
        <v>38095</v>
      </c>
      <c r="T4578" s="213" t="s">
        <v>38096</v>
      </c>
      <c r="U4578" s="213" t="s">
        <v>61637</v>
      </c>
    </row>
    <row r="4579" spans="1:21" x14ac:dyDescent="0.25">
      <c r="A4579" s="213" t="s">
        <v>327</v>
      </c>
      <c r="D4579" s="213" t="s">
        <v>38097</v>
      </c>
      <c r="E4579" s="213" t="s">
        <v>38098</v>
      </c>
      <c r="K4579" s="213" t="s">
        <v>61515</v>
      </c>
      <c r="L4579" s="213" t="s">
        <v>61556</v>
      </c>
      <c r="M4579" s="213" t="s">
        <v>61597</v>
      </c>
      <c r="N4579" s="213" t="s">
        <v>38099</v>
      </c>
      <c r="O4579" s="213" t="s">
        <v>38100</v>
      </c>
      <c r="P4579" s="213" t="s">
        <v>38101</v>
      </c>
      <c r="Q4579" s="213" t="s">
        <v>38102</v>
      </c>
      <c r="R4579" s="213" t="s">
        <v>38103</v>
      </c>
      <c r="S4579" s="213" t="s">
        <v>38104</v>
      </c>
      <c r="T4579" s="213" t="s">
        <v>38105</v>
      </c>
      <c r="U4579" s="213" t="s">
        <v>61638</v>
      </c>
    </row>
    <row r="4580" spans="1:21" x14ac:dyDescent="0.25">
      <c r="A4580" s="213" t="s">
        <v>327</v>
      </c>
      <c r="D4580" s="213" t="s">
        <v>38106</v>
      </c>
      <c r="E4580" s="213" t="s">
        <v>38107</v>
      </c>
      <c r="K4580" s="213" t="s">
        <v>61516</v>
      </c>
      <c r="L4580" s="213" t="s">
        <v>61557</v>
      </c>
      <c r="M4580" s="213" t="s">
        <v>61598</v>
      </c>
      <c r="N4580" s="213" t="s">
        <v>38108</v>
      </c>
      <c r="O4580" s="213" t="s">
        <v>38109</v>
      </c>
      <c r="P4580" s="213" t="s">
        <v>38110</v>
      </c>
      <c r="Q4580" s="213" t="s">
        <v>38111</v>
      </c>
      <c r="R4580" s="213" t="s">
        <v>38112</v>
      </c>
      <c r="S4580" s="213" t="s">
        <v>38113</v>
      </c>
      <c r="T4580" s="213" t="s">
        <v>38114</v>
      </c>
      <c r="U4580" s="213" t="s">
        <v>61639</v>
      </c>
    </row>
    <row r="4581" spans="1:21" x14ac:dyDescent="0.25">
      <c r="A4581" s="213" t="s">
        <v>327</v>
      </c>
      <c r="D4581" s="213" t="s">
        <v>38115</v>
      </c>
      <c r="E4581" s="213" t="s">
        <v>38116</v>
      </c>
      <c r="K4581" s="213" t="s">
        <v>61517</v>
      </c>
      <c r="L4581" s="213" t="s">
        <v>61558</v>
      </c>
      <c r="M4581" s="213" t="s">
        <v>61599</v>
      </c>
      <c r="N4581" s="213" t="s">
        <v>38117</v>
      </c>
      <c r="O4581" s="213" t="s">
        <v>38118</v>
      </c>
      <c r="P4581" s="213" t="s">
        <v>38119</v>
      </c>
      <c r="Q4581" s="213" t="s">
        <v>38120</v>
      </c>
      <c r="R4581" s="213" t="s">
        <v>38121</v>
      </c>
      <c r="S4581" s="213" t="s">
        <v>38122</v>
      </c>
      <c r="T4581" s="213" t="s">
        <v>38123</v>
      </c>
      <c r="U4581" s="213" t="s">
        <v>61640</v>
      </c>
    </row>
    <row r="4582" spans="1:21" x14ac:dyDescent="0.25">
      <c r="A4582" s="213" t="s">
        <v>327</v>
      </c>
      <c r="D4582" s="213" t="s">
        <v>38124</v>
      </c>
      <c r="E4582" s="213" t="s">
        <v>38125</v>
      </c>
      <c r="K4582" s="213" t="s">
        <v>61518</v>
      </c>
      <c r="L4582" s="213" t="s">
        <v>61559</v>
      </c>
      <c r="M4582" s="213" t="s">
        <v>61600</v>
      </c>
      <c r="N4582" s="213" t="s">
        <v>38126</v>
      </c>
      <c r="O4582" s="213" t="s">
        <v>38127</v>
      </c>
      <c r="P4582" s="213" t="s">
        <v>38128</v>
      </c>
      <c r="Q4582" s="213" t="s">
        <v>38129</v>
      </c>
      <c r="R4582" s="213" t="s">
        <v>38130</v>
      </c>
      <c r="S4582" s="213" t="s">
        <v>38131</v>
      </c>
      <c r="T4582" s="213" t="s">
        <v>38132</v>
      </c>
      <c r="U4582" s="213" t="s">
        <v>61641</v>
      </c>
    </row>
    <row r="4583" spans="1:21" x14ac:dyDescent="0.25">
      <c r="A4583" s="213" t="s">
        <v>327</v>
      </c>
      <c r="D4583" s="213" t="s">
        <v>38133</v>
      </c>
      <c r="E4583" s="213" t="s">
        <v>38134</v>
      </c>
      <c r="K4583" s="213" t="s">
        <v>61519</v>
      </c>
      <c r="L4583" s="213" t="s">
        <v>61560</v>
      </c>
      <c r="M4583" s="213" t="s">
        <v>61601</v>
      </c>
      <c r="N4583" s="213" t="s">
        <v>38135</v>
      </c>
      <c r="O4583" s="213" t="s">
        <v>38136</v>
      </c>
      <c r="P4583" s="213" t="s">
        <v>38137</v>
      </c>
      <c r="Q4583" s="213" t="s">
        <v>38138</v>
      </c>
      <c r="R4583" s="213" t="s">
        <v>38139</v>
      </c>
      <c r="S4583" s="213" t="s">
        <v>38140</v>
      </c>
      <c r="T4583" s="213" t="s">
        <v>38141</v>
      </c>
      <c r="U4583" s="213" t="s">
        <v>61642</v>
      </c>
    </row>
    <row r="4584" spans="1:21" x14ac:dyDescent="0.25">
      <c r="A4584" s="213" t="s">
        <v>327</v>
      </c>
      <c r="D4584" s="213" t="s">
        <v>38142</v>
      </c>
      <c r="E4584" s="213" t="s">
        <v>38143</v>
      </c>
      <c r="K4584" s="213" t="s">
        <v>61520</v>
      </c>
      <c r="L4584" s="213" t="s">
        <v>61561</v>
      </c>
      <c r="M4584" s="213" t="s">
        <v>61602</v>
      </c>
      <c r="N4584" s="213" t="s">
        <v>38144</v>
      </c>
      <c r="O4584" s="213" t="s">
        <v>38145</v>
      </c>
      <c r="P4584" s="213" t="s">
        <v>38146</v>
      </c>
      <c r="Q4584" s="213" t="s">
        <v>38147</v>
      </c>
      <c r="R4584" s="213" t="s">
        <v>38148</v>
      </c>
      <c r="S4584" s="213" t="s">
        <v>38149</v>
      </c>
      <c r="T4584" s="213" t="s">
        <v>38150</v>
      </c>
      <c r="U4584" s="213" t="s">
        <v>61643</v>
      </c>
    </row>
    <row r="4585" spans="1:21" x14ac:dyDescent="0.25">
      <c r="A4585" s="213" t="s">
        <v>327</v>
      </c>
      <c r="D4585" s="213" t="s">
        <v>38151</v>
      </c>
      <c r="E4585" s="213" t="s">
        <v>38152</v>
      </c>
      <c r="K4585" s="213" t="s">
        <v>61521</v>
      </c>
      <c r="L4585" s="213" t="s">
        <v>61562</v>
      </c>
      <c r="M4585" s="213" t="s">
        <v>61603</v>
      </c>
      <c r="N4585" s="213" t="s">
        <v>38153</v>
      </c>
      <c r="O4585" s="213" t="s">
        <v>38154</v>
      </c>
      <c r="P4585" s="213" t="s">
        <v>38155</v>
      </c>
      <c r="Q4585" s="213" t="s">
        <v>38156</v>
      </c>
      <c r="R4585" s="213" t="s">
        <v>38157</v>
      </c>
      <c r="S4585" s="213" t="s">
        <v>38158</v>
      </c>
      <c r="T4585" s="213" t="s">
        <v>38159</v>
      </c>
      <c r="U4585" s="213" t="s">
        <v>61644</v>
      </c>
    </row>
    <row r="4586" spans="1:21" x14ac:dyDescent="0.25">
      <c r="A4586" s="213" t="s">
        <v>327</v>
      </c>
      <c r="D4586" s="213" t="s">
        <v>38160</v>
      </c>
      <c r="E4586" s="213" t="s">
        <v>38161</v>
      </c>
      <c r="K4586" s="213" t="s">
        <v>61522</v>
      </c>
      <c r="L4586" s="213" t="s">
        <v>61563</v>
      </c>
      <c r="M4586" s="213" t="s">
        <v>61604</v>
      </c>
      <c r="N4586" s="213" t="s">
        <v>38162</v>
      </c>
      <c r="O4586" s="213" t="s">
        <v>38163</v>
      </c>
      <c r="P4586" s="213" t="s">
        <v>38164</v>
      </c>
      <c r="Q4586" s="213" t="s">
        <v>38165</v>
      </c>
      <c r="R4586" s="213" t="s">
        <v>38166</v>
      </c>
      <c r="S4586" s="213" t="s">
        <v>38167</v>
      </c>
      <c r="T4586" s="213" t="s">
        <v>38168</v>
      </c>
      <c r="U4586" s="213" t="s">
        <v>61645</v>
      </c>
    </row>
    <row r="4587" spans="1:21" x14ac:dyDescent="0.25">
      <c r="A4587" s="213" t="s">
        <v>327</v>
      </c>
      <c r="D4587" s="213" t="s">
        <v>38169</v>
      </c>
      <c r="E4587" s="213" t="s">
        <v>38170</v>
      </c>
      <c r="K4587" s="213" t="s">
        <v>61523</v>
      </c>
      <c r="L4587" s="213" t="s">
        <v>61564</v>
      </c>
      <c r="M4587" s="213" t="s">
        <v>61605</v>
      </c>
      <c r="N4587" s="213" t="s">
        <v>38171</v>
      </c>
      <c r="O4587" s="213" t="s">
        <v>38172</v>
      </c>
      <c r="P4587" s="213" t="s">
        <v>38173</v>
      </c>
      <c r="Q4587" s="213" t="s">
        <v>38174</v>
      </c>
      <c r="R4587" s="213" t="s">
        <v>38175</v>
      </c>
      <c r="S4587" s="213" t="s">
        <v>38176</v>
      </c>
      <c r="T4587" s="213" t="s">
        <v>38177</v>
      </c>
      <c r="U4587" s="213" t="s">
        <v>61646</v>
      </c>
    </row>
    <row r="4588" spans="1:21" x14ac:dyDescent="0.25">
      <c r="A4588" s="213" t="s">
        <v>327</v>
      </c>
      <c r="D4588" s="213" t="s">
        <v>38178</v>
      </c>
      <c r="E4588" s="213" t="s">
        <v>38179</v>
      </c>
      <c r="K4588" s="213" t="s">
        <v>61524</v>
      </c>
      <c r="L4588" s="213" t="s">
        <v>61565</v>
      </c>
      <c r="M4588" s="213" t="s">
        <v>61606</v>
      </c>
      <c r="N4588" s="213" t="s">
        <v>38180</v>
      </c>
      <c r="O4588" s="213" t="s">
        <v>38181</v>
      </c>
      <c r="P4588" s="213" t="s">
        <v>38182</v>
      </c>
      <c r="Q4588" s="213" t="s">
        <v>38183</v>
      </c>
      <c r="R4588" s="213" t="s">
        <v>38184</v>
      </c>
      <c r="S4588" s="213" t="s">
        <v>38185</v>
      </c>
      <c r="T4588" s="213" t="s">
        <v>38186</v>
      </c>
      <c r="U4588" s="213" t="s">
        <v>61647</v>
      </c>
    </row>
    <row r="4589" spans="1:21" x14ac:dyDescent="0.25">
      <c r="A4589" s="213" t="s">
        <v>327</v>
      </c>
      <c r="D4589" s="213" t="s">
        <v>38187</v>
      </c>
      <c r="E4589" s="213" t="s">
        <v>38188</v>
      </c>
      <c r="K4589" s="213" t="s">
        <v>61525</v>
      </c>
      <c r="L4589" s="213" t="s">
        <v>61566</v>
      </c>
      <c r="M4589" s="213" t="s">
        <v>61607</v>
      </c>
      <c r="N4589" s="213" t="s">
        <v>38189</v>
      </c>
      <c r="O4589" s="213" t="s">
        <v>38190</v>
      </c>
      <c r="P4589" s="213" t="s">
        <v>38191</v>
      </c>
      <c r="Q4589" s="213" t="s">
        <v>38192</v>
      </c>
      <c r="R4589" s="213" t="s">
        <v>38193</v>
      </c>
      <c r="S4589" s="213" t="s">
        <v>38194</v>
      </c>
      <c r="T4589" s="213" t="s">
        <v>38195</v>
      </c>
      <c r="U4589" s="213" t="s">
        <v>61648</v>
      </c>
    </row>
    <row r="4590" spans="1:21" x14ac:dyDescent="0.25">
      <c r="A4590" s="213" t="s">
        <v>327</v>
      </c>
      <c r="D4590" s="213" t="s">
        <v>38196</v>
      </c>
      <c r="E4590" s="213" t="s">
        <v>38197</v>
      </c>
      <c r="K4590" s="213" t="s">
        <v>61526</v>
      </c>
      <c r="L4590" s="213" t="s">
        <v>61567</v>
      </c>
      <c r="M4590" s="213" t="s">
        <v>61608</v>
      </c>
      <c r="N4590" s="213" t="s">
        <v>38198</v>
      </c>
      <c r="O4590" s="213" t="s">
        <v>38199</v>
      </c>
      <c r="P4590" s="213" t="s">
        <v>38200</v>
      </c>
      <c r="Q4590" s="213" t="s">
        <v>38201</v>
      </c>
      <c r="R4590" s="213" t="s">
        <v>38202</v>
      </c>
      <c r="S4590" s="213" t="s">
        <v>38203</v>
      </c>
      <c r="T4590" s="213" t="s">
        <v>38204</v>
      </c>
      <c r="U4590" s="213" t="s">
        <v>61649</v>
      </c>
    </row>
    <row r="4591" spans="1:21" x14ac:dyDescent="0.25">
      <c r="A4591" s="213" t="s">
        <v>327</v>
      </c>
    </row>
    <row r="4592" spans="1:21" x14ac:dyDescent="0.25">
      <c r="A4592" s="213" t="s">
        <v>327</v>
      </c>
    </row>
    <row r="4593" spans="1:21" x14ac:dyDescent="0.25">
      <c r="A4593" s="213" t="s">
        <v>327</v>
      </c>
      <c r="C4593" s="213" t="s">
        <v>38205</v>
      </c>
      <c r="E4593" s="213" t="s">
        <v>38206</v>
      </c>
      <c r="H4593" s="213" t="s">
        <v>38207</v>
      </c>
      <c r="I4593" s="213" t="s">
        <v>38208</v>
      </c>
      <c r="J4593" s="213" t="s">
        <v>38209</v>
      </c>
      <c r="L4593" s="213" t="s">
        <v>38210</v>
      </c>
      <c r="O4593" s="213" t="s">
        <v>38211</v>
      </c>
      <c r="P4593" s="213" t="s">
        <v>38212</v>
      </c>
      <c r="Q4593" s="213" t="s">
        <v>38213</v>
      </c>
      <c r="R4593" s="213" t="s">
        <v>38214</v>
      </c>
      <c r="S4593" s="213" t="s">
        <v>38215</v>
      </c>
      <c r="T4593" s="213" t="s">
        <v>38216</v>
      </c>
    </row>
    <row r="4594" spans="1:21" x14ac:dyDescent="0.25">
      <c r="A4594" s="213" t="s">
        <v>327</v>
      </c>
      <c r="C4594" s="213" t="s">
        <v>38217</v>
      </c>
      <c r="E4594" s="213" t="s">
        <v>38218</v>
      </c>
      <c r="I4594" s="213" t="s">
        <v>38219</v>
      </c>
    </row>
    <row r="4595" spans="1:21" x14ac:dyDescent="0.25">
      <c r="A4595" s="213" t="s">
        <v>327</v>
      </c>
      <c r="C4595" s="213" t="s">
        <v>38220</v>
      </c>
      <c r="E4595" s="213" t="s">
        <v>38221</v>
      </c>
      <c r="I4595" s="213" t="s">
        <v>38222</v>
      </c>
    </row>
    <row r="4596" spans="1:21" x14ac:dyDescent="0.25">
      <c r="A4596" s="213" t="s">
        <v>328</v>
      </c>
    </row>
    <row r="4597" spans="1:21" x14ac:dyDescent="0.25">
      <c r="A4597" s="213" t="s">
        <v>327</v>
      </c>
      <c r="D4597" s="213" t="s">
        <v>38223</v>
      </c>
      <c r="E4597" s="213" t="s">
        <v>38224</v>
      </c>
      <c r="K4597" s="213" t="s">
        <v>61222</v>
      </c>
      <c r="L4597" s="213" t="s">
        <v>61288</v>
      </c>
      <c r="M4597" s="213" t="s">
        <v>61354</v>
      </c>
      <c r="N4597" s="213" t="s">
        <v>38225</v>
      </c>
      <c r="O4597" s="213" t="s">
        <v>38226</v>
      </c>
      <c r="P4597" s="213" t="s">
        <v>38227</v>
      </c>
      <c r="Q4597" s="213" t="s">
        <v>38228</v>
      </c>
      <c r="R4597" s="213" t="s">
        <v>38229</v>
      </c>
      <c r="S4597" s="213" t="s">
        <v>38230</v>
      </c>
      <c r="T4597" s="213" t="s">
        <v>38231</v>
      </c>
      <c r="U4597" s="213" t="s">
        <v>61420</v>
      </c>
    </row>
    <row r="4598" spans="1:21" x14ac:dyDescent="0.25">
      <c r="A4598" s="213" t="s">
        <v>327</v>
      </c>
      <c r="D4598" s="213" t="s">
        <v>38232</v>
      </c>
      <c r="E4598" s="213" t="s">
        <v>38233</v>
      </c>
      <c r="K4598" s="213" t="s">
        <v>61223</v>
      </c>
      <c r="L4598" s="213" t="s">
        <v>61289</v>
      </c>
      <c r="M4598" s="213" t="s">
        <v>61355</v>
      </c>
      <c r="N4598" s="213" t="s">
        <v>38234</v>
      </c>
      <c r="O4598" s="213" t="s">
        <v>38235</v>
      </c>
      <c r="P4598" s="213" t="s">
        <v>38236</v>
      </c>
      <c r="Q4598" s="213" t="s">
        <v>38237</v>
      </c>
      <c r="R4598" s="213" t="s">
        <v>38238</v>
      </c>
      <c r="S4598" s="213" t="s">
        <v>38239</v>
      </c>
      <c r="T4598" s="213" t="s">
        <v>38240</v>
      </c>
      <c r="U4598" s="213" t="s">
        <v>61421</v>
      </c>
    </row>
    <row r="4599" spans="1:21" x14ac:dyDescent="0.25">
      <c r="A4599" s="213" t="s">
        <v>327</v>
      </c>
      <c r="D4599" s="213" t="s">
        <v>38241</v>
      </c>
      <c r="E4599" s="213" t="s">
        <v>38242</v>
      </c>
      <c r="K4599" s="213" t="s">
        <v>61224</v>
      </c>
      <c r="L4599" s="213" t="s">
        <v>61290</v>
      </c>
      <c r="M4599" s="213" t="s">
        <v>61356</v>
      </c>
      <c r="N4599" s="213" t="s">
        <v>38243</v>
      </c>
      <c r="O4599" s="213" t="s">
        <v>38244</v>
      </c>
      <c r="P4599" s="213" t="s">
        <v>38245</v>
      </c>
      <c r="Q4599" s="213" t="s">
        <v>38246</v>
      </c>
      <c r="R4599" s="213" t="s">
        <v>38247</v>
      </c>
      <c r="S4599" s="213" t="s">
        <v>38248</v>
      </c>
      <c r="T4599" s="213" t="s">
        <v>38249</v>
      </c>
      <c r="U4599" s="213" t="s">
        <v>61422</v>
      </c>
    </row>
    <row r="4600" spans="1:21" x14ac:dyDescent="0.25">
      <c r="A4600" s="213" t="s">
        <v>327</v>
      </c>
      <c r="D4600" s="213" t="s">
        <v>38250</v>
      </c>
      <c r="E4600" s="213" t="s">
        <v>38251</v>
      </c>
      <c r="K4600" s="213" t="s">
        <v>61225</v>
      </c>
      <c r="L4600" s="213" t="s">
        <v>61291</v>
      </c>
      <c r="M4600" s="213" t="s">
        <v>61357</v>
      </c>
      <c r="N4600" s="213" t="s">
        <v>38252</v>
      </c>
      <c r="O4600" s="213" t="s">
        <v>38253</v>
      </c>
      <c r="P4600" s="213" t="s">
        <v>38254</v>
      </c>
      <c r="Q4600" s="213" t="s">
        <v>38255</v>
      </c>
      <c r="R4600" s="213" t="s">
        <v>38256</v>
      </c>
      <c r="S4600" s="213" t="s">
        <v>38257</v>
      </c>
      <c r="T4600" s="213" t="s">
        <v>38258</v>
      </c>
      <c r="U4600" s="213" t="s">
        <v>61423</v>
      </c>
    </row>
    <row r="4601" spans="1:21" x14ac:dyDescent="0.25">
      <c r="A4601" s="213" t="s">
        <v>327</v>
      </c>
      <c r="D4601" s="213" t="s">
        <v>38259</v>
      </c>
      <c r="E4601" s="213" t="s">
        <v>38260</v>
      </c>
      <c r="K4601" s="213" t="s">
        <v>61226</v>
      </c>
      <c r="L4601" s="213" t="s">
        <v>61292</v>
      </c>
      <c r="M4601" s="213" t="s">
        <v>61358</v>
      </c>
      <c r="N4601" s="213" t="s">
        <v>38261</v>
      </c>
      <c r="O4601" s="213" t="s">
        <v>38262</v>
      </c>
      <c r="P4601" s="213" t="s">
        <v>38263</v>
      </c>
      <c r="Q4601" s="213" t="s">
        <v>38264</v>
      </c>
      <c r="R4601" s="213" t="s">
        <v>38265</v>
      </c>
      <c r="S4601" s="213" t="s">
        <v>38266</v>
      </c>
      <c r="T4601" s="213" t="s">
        <v>38267</v>
      </c>
      <c r="U4601" s="213" t="s">
        <v>61424</v>
      </c>
    </row>
    <row r="4602" spans="1:21" x14ac:dyDescent="0.25">
      <c r="A4602" s="213" t="s">
        <v>327</v>
      </c>
      <c r="D4602" s="213" t="s">
        <v>38268</v>
      </c>
      <c r="E4602" s="213" t="s">
        <v>38269</v>
      </c>
      <c r="K4602" s="213" t="s">
        <v>61227</v>
      </c>
      <c r="L4602" s="213" t="s">
        <v>61293</v>
      </c>
      <c r="M4602" s="213" t="s">
        <v>61359</v>
      </c>
      <c r="N4602" s="213" t="s">
        <v>38270</v>
      </c>
      <c r="O4602" s="213" t="s">
        <v>38271</v>
      </c>
      <c r="P4602" s="213" t="s">
        <v>38272</v>
      </c>
      <c r="Q4602" s="213" t="s">
        <v>38273</v>
      </c>
      <c r="R4602" s="213" t="s">
        <v>38274</v>
      </c>
      <c r="S4602" s="213" t="s">
        <v>38275</v>
      </c>
      <c r="T4602" s="213" t="s">
        <v>38276</v>
      </c>
      <c r="U4602" s="213" t="s">
        <v>61425</v>
      </c>
    </row>
    <row r="4603" spans="1:21" x14ac:dyDescent="0.25">
      <c r="A4603" s="213" t="s">
        <v>327</v>
      </c>
      <c r="D4603" s="213" t="s">
        <v>38277</v>
      </c>
      <c r="E4603" s="213" t="s">
        <v>38278</v>
      </c>
      <c r="K4603" s="213" t="s">
        <v>61228</v>
      </c>
      <c r="L4603" s="213" t="s">
        <v>61294</v>
      </c>
      <c r="M4603" s="213" t="s">
        <v>61360</v>
      </c>
      <c r="N4603" s="213" t="s">
        <v>38279</v>
      </c>
      <c r="O4603" s="213" t="s">
        <v>38280</v>
      </c>
      <c r="P4603" s="213" t="s">
        <v>38281</v>
      </c>
      <c r="Q4603" s="213" t="s">
        <v>38282</v>
      </c>
      <c r="R4603" s="213" t="s">
        <v>38283</v>
      </c>
      <c r="S4603" s="213" t="s">
        <v>38284</v>
      </c>
      <c r="T4603" s="213" t="s">
        <v>38285</v>
      </c>
      <c r="U4603" s="213" t="s">
        <v>61426</v>
      </c>
    </row>
    <row r="4604" spans="1:21" x14ac:dyDescent="0.25">
      <c r="A4604" s="213" t="s">
        <v>327</v>
      </c>
      <c r="D4604" s="213" t="s">
        <v>38286</v>
      </c>
      <c r="E4604" s="213" t="s">
        <v>38287</v>
      </c>
      <c r="K4604" s="213" t="s">
        <v>61229</v>
      </c>
      <c r="L4604" s="213" t="s">
        <v>61295</v>
      </c>
      <c r="M4604" s="213" t="s">
        <v>61361</v>
      </c>
      <c r="N4604" s="213" t="s">
        <v>38288</v>
      </c>
      <c r="O4604" s="213" t="s">
        <v>38289</v>
      </c>
      <c r="P4604" s="213" t="s">
        <v>38290</v>
      </c>
      <c r="Q4604" s="213" t="s">
        <v>38291</v>
      </c>
      <c r="R4604" s="213" t="s">
        <v>38292</v>
      </c>
      <c r="S4604" s="213" t="s">
        <v>38293</v>
      </c>
      <c r="T4604" s="213" t="s">
        <v>38294</v>
      </c>
      <c r="U4604" s="213" t="s">
        <v>61427</v>
      </c>
    </row>
    <row r="4605" spans="1:21" x14ac:dyDescent="0.25">
      <c r="A4605" s="213" t="s">
        <v>327</v>
      </c>
      <c r="D4605" s="213" t="s">
        <v>38295</v>
      </c>
      <c r="E4605" s="213" t="s">
        <v>38296</v>
      </c>
      <c r="K4605" s="213" t="s">
        <v>61230</v>
      </c>
      <c r="L4605" s="213" t="s">
        <v>61296</v>
      </c>
      <c r="M4605" s="213" t="s">
        <v>61362</v>
      </c>
      <c r="N4605" s="213" t="s">
        <v>38297</v>
      </c>
      <c r="O4605" s="213" t="s">
        <v>38298</v>
      </c>
      <c r="P4605" s="213" t="s">
        <v>38299</v>
      </c>
      <c r="Q4605" s="213" t="s">
        <v>38300</v>
      </c>
      <c r="R4605" s="213" t="s">
        <v>38301</v>
      </c>
      <c r="S4605" s="213" t="s">
        <v>38302</v>
      </c>
      <c r="T4605" s="213" t="s">
        <v>38303</v>
      </c>
      <c r="U4605" s="213" t="s">
        <v>61428</v>
      </c>
    </row>
    <row r="4606" spans="1:21" x14ac:dyDescent="0.25">
      <c r="A4606" s="213" t="s">
        <v>327</v>
      </c>
      <c r="D4606" s="213" t="s">
        <v>38304</v>
      </c>
      <c r="E4606" s="213" t="s">
        <v>38305</v>
      </c>
      <c r="K4606" s="213" t="s">
        <v>61231</v>
      </c>
      <c r="L4606" s="213" t="s">
        <v>61297</v>
      </c>
      <c r="M4606" s="213" t="s">
        <v>61363</v>
      </c>
      <c r="N4606" s="213" t="s">
        <v>38306</v>
      </c>
      <c r="O4606" s="213" t="s">
        <v>38307</v>
      </c>
      <c r="P4606" s="213" t="s">
        <v>38308</v>
      </c>
      <c r="Q4606" s="213" t="s">
        <v>38309</v>
      </c>
      <c r="R4606" s="213" t="s">
        <v>38310</v>
      </c>
      <c r="S4606" s="213" t="s">
        <v>38311</v>
      </c>
      <c r="T4606" s="213" t="s">
        <v>38312</v>
      </c>
      <c r="U4606" s="213" t="s">
        <v>61429</v>
      </c>
    </row>
    <row r="4607" spans="1:21" x14ac:dyDescent="0.25">
      <c r="A4607" s="213" t="s">
        <v>327</v>
      </c>
      <c r="D4607" s="213" t="s">
        <v>38313</v>
      </c>
      <c r="E4607" s="213" t="s">
        <v>38314</v>
      </c>
      <c r="K4607" s="213" t="s">
        <v>61232</v>
      </c>
      <c r="L4607" s="213" t="s">
        <v>61298</v>
      </c>
      <c r="M4607" s="213" t="s">
        <v>61364</v>
      </c>
      <c r="N4607" s="213" t="s">
        <v>38315</v>
      </c>
      <c r="O4607" s="213" t="s">
        <v>38316</v>
      </c>
      <c r="P4607" s="213" t="s">
        <v>38317</v>
      </c>
      <c r="Q4607" s="213" t="s">
        <v>38318</v>
      </c>
      <c r="R4607" s="213" t="s">
        <v>38319</v>
      </c>
      <c r="S4607" s="213" t="s">
        <v>38320</v>
      </c>
      <c r="T4607" s="213" t="s">
        <v>38321</v>
      </c>
      <c r="U4607" s="213" t="s">
        <v>61430</v>
      </c>
    </row>
    <row r="4608" spans="1:21" x14ac:dyDescent="0.25">
      <c r="A4608" s="213" t="s">
        <v>327</v>
      </c>
      <c r="D4608" s="213" t="s">
        <v>38322</v>
      </c>
      <c r="E4608" s="213" t="s">
        <v>38323</v>
      </c>
      <c r="K4608" s="213" t="s">
        <v>61233</v>
      </c>
      <c r="L4608" s="213" t="s">
        <v>61299</v>
      </c>
      <c r="M4608" s="213" t="s">
        <v>61365</v>
      </c>
      <c r="N4608" s="213" t="s">
        <v>38324</v>
      </c>
      <c r="O4608" s="213" t="s">
        <v>38325</v>
      </c>
      <c r="P4608" s="213" t="s">
        <v>38326</v>
      </c>
      <c r="Q4608" s="213" t="s">
        <v>38327</v>
      </c>
      <c r="R4608" s="213" t="s">
        <v>38328</v>
      </c>
      <c r="S4608" s="213" t="s">
        <v>38329</v>
      </c>
      <c r="T4608" s="213" t="s">
        <v>38330</v>
      </c>
      <c r="U4608" s="213" t="s">
        <v>61431</v>
      </c>
    </row>
    <row r="4609" spans="1:21" x14ac:dyDescent="0.25">
      <c r="A4609" s="213" t="s">
        <v>327</v>
      </c>
      <c r="D4609" s="213" t="s">
        <v>38331</v>
      </c>
      <c r="E4609" s="213" t="s">
        <v>38332</v>
      </c>
      <c r="K4609" s="213" t="s">
        <v>61234</v>
      </c>
      <c r="L4609" s="213" t="s">
        <v>61300</v>
      </c>
      <c r="M4609" s="213" t="s">
        <v>61366</v>
      </c>
      <c r="N4609" s="213" t="s">
        <v>38333</v>
      </c>
      <c r="O4609" s="213" t="s">
        <v>38334</v>
      </c>
      <c r="P4609" s="213" t="s">
        <v>38335</v>
      </c>
      <c r="Q4609" s="213" t="s">
        <v>38336</v>
      </c>
      <c r="R4609" s="213" t="s">
        <v>38337</v>
      </c>
      <c r="S4609" s="213" t="s">
        <v>38338</v>
      </c>
      <c r="T4609" s="213" t="s">
        <v>38339</v>
      </c>
      <c r="U4609" s="213" t="s">
        <v>61432</v>
      </c>
    </row>
    <row r="4610" spans="1:21" x14ac:dyDescent="0.25">
      <c r="A4610" s="213" t="s">
        <v>327</v>
      </c>
      <c r="D4610" s="213" t="s">
        <v>38340</v>
      </c>
      <c r="E4610" s="213" t="s">
        <v>38341</v>
      </c>
      <c r="K4610" s="213" t="s">
        <v>61235</v>
      </c>
      <c r="L4610" s="213" t="s">
        <v>61301</v>
      </c>
      <c r="M4610" s="213" t="s">
        <v>61367</v>
      </c>
      <c r="N4610" s="213" t="s">
        <v>38342</v>
      </c>
      <c r="O4610" s="213" t="s">
        <v>38343</v>
      </c>
      <c r="P4610" s="213" t="s">
        <v>38344</v>
      </c>
      <c r="Q4610" s="213" t="s">
        <v>38345</v>
      </c>
      <c r="R4610" s="213" t="s">
        <v>38346</v>
      </c>
      <c r="S4610" s="213" t="s">
        <v>38347</v>
      </c>
      <c r="T4610" s="213" t="s">
        <v>38348</v>
      </c>
      <c r="U4610" s="213" t="s">
        <v>61433</v>
      </c>
    </row>
    <row r="4611" spans="1:21" x14ac:dyDescent="0.25">
      <c r="A4611" s="213" t="s">
        <v>327</v>
      </c>
      <c r="D4611" s="213" t="s">
        <v>38349</v>
      </c>
      <c r="E4611" s="213" t="s">
        <v>38350</v>
      </c>
      <c r="K4611" s="213" t="s">
        <v>61236</v>
      </c>
      <c r="L4611" s="213" t="s">
        <v>61302</v>
      </c>
      <c r="M4611" s="213" t="s">
        <v>61368</v>
      </c>
      <c r="N4611" s="213" t="s">
        <v>38351</v>
      </c>
      <c r="O4611" s="213" t="s">
        <v>38352</v>
      </c>
      <c r="P4611" s="213" t="s">
        <v>38353</v>
      </c>
      <c r="Q4611" s="213" t="s">
        <v>38354</v>
      </c>
      <c r="R4611" s="213" t="s">
        <v>38355</v>
      </c>
      <c r="S4611" s="213" t="s">
        <v>38356</v>
      </c>
      <c r="T4611" s="213" t="s">
        <v>38357</v>
      </c>
      <c r="U4611" s="213" t="s">
        <v>61434</v>
      </c>
    </row>
    <row r="4612" spans="1:21" x14ac:dyDescent="0.25">
      <c r="A4612" s="213" t="s">
        <v>327</v>
      </c>
      <c r="D4612" s="213" t="s">
        <v>38358</v>
      </c>
      <c r="E4612" s="213" t="s">
        <v>38359</v>
      </c>
      <c r="K4612" s="213" t="s">
        <v>61237</v>
      </c>
      <c r="L4612" s="213" t="s">
        <v>61303</v>
      </c>
      <c r="M4612" s="213" t="s">
        <v>61369</v>
      </c>
      <c r="N4612" s="213" t="s">
        <v>38360</v>
      </c>
      <c r="O4612" s="213" t="s">
        <v>38361</v>
      </c>
      <c r="P4612" s="213" t="s">
        <v>38362</v>
      </c>
      <c r="Q4612" s="213" t="s">
        <v>38363</v>
      </c>
      <c r="R4612" s="213" t="s">
        <v>38364</v>
      </c>
      <c r="S4612" s="213" t="s">
        <v>38365</v>
      </c>
      <c r="T4612" s="213" t="s">
        <v>38366</v>
      </c>
      <c r="U4612" s="213" t="s">
        <v>61435</v>
      </c>
    </row>
    <row r="4613" spans="1:21" x14ac:dyDescent="0.25">
      <c r="A4613" s="213" t="s">
        <v>327</v>
      </c>
      <c r="D4613" s="213" t="s">
        <v>38367</v>
      </c>
      <c r="E4613" s="213" t="s">
        <v>38368</v>
      </c>
      <c r="K4613" s="213" t="s">
        <v>61238</v>
      </c>
      <c r="L4613" s="213" t="s">
        <v>61304</v>
      </c>
      <c r="M4613" s="213" t="s">
        <v>61370</v>
      </c>
      <c r="N4613" s="213" t="s">
        <v>38369</v>
      </c>
      <c r="O4613" s="213" t="s">
        <v>38370</v>
      </c>
      <c r="P4613" s="213" t="s">
        <v>38371</v>
      </c>
      <c r="Q4613" s="213" t="s">
        <v>38372</v>
      </c>
      <c r="R4613" s="213" t="s">
        <v>38373</v>
      </c>
      <c r="S4613" s="213" t="s">
        <v>38374</v>
      </c>
      <c r="T4613" s="213" t="s">
        <v>38375</v>
      </c>
      <c r="U4613" s="213" t="s">
        <v>61436</v>
      </c>
    </row>
    <row r="4614" spans="1:21" x14ac:dyDescent="0.25">
      <c r="A4614" s="213" t="s">
        <v>327</v>
      </c>
      <c r="D4614" s="213" t="s">
        <v>38376</v>
      </c>
      <c r="E4614" s="213" t="s">
        <v>38377</v>
      </c>
      <c r="K4614" s="213" t="s">
        <v>61239</v>
      </c>
      <c r="L4614" s="213" t="s">
        <v>61305</v>
      </c>
      <c r="M4614" s="213" t="s">
        <v>61371</v>
      </c>
      <c r="N4614" s="213" t="s">
        <v>38378</v>
      </c>
      <c r="O4614" s="213" t="s">
        <v>38379</v>
      </c>
      <c r="P4614" s="213" t="s">
        <v>38380</v>
      </c>
      <c r="Q4614" s="213" t="s">
        <v>38381</v>
      </c>
      <c r="R4614" s="213" t="s">
        <v>38382</v>
      </c>
      <c r="S4614" s="213" t="s">
        <v>38383</v>
      </c>
      <c r="T4614" s="213" t="s">
        <v>38384</v>
      </c>
      <c r="U4614" s="213" t="s">
        <v>61437</v>
      </c>
    </row>
    <row r="4615" spans="1:21" x14ac:dyDescent="0.25">
      <c r="A4615" s="213" t="s">
        <v>327</v>
      </c>
      <c r="D4615" s="213" t="s">
        <v>38385</v>
      </c>
      <c r="E4615" s="213" t="s">
        <v>38386</v>
      </c>
      <c r="K4615" s="213" t="s">
        <v>61240</v>
      </c>
      <c r="L4615" s="213" t="s">
        <v>61306</v>
      </c>
      <c r="M4615" s="213" t="s">
        <v>61372</v>
      </c>
      <c r="N4615" s="213" t="s">
        <v>38387</v>
      </c>
      <c r="O4615" s="213" t="s">
        <v>38388</v>
      </c>
      <c r="P4615" s="213" t="s">
        <v>38389</v>
      </c>
      <c r="Q4615" s="213" t="s">
        <v>38390</v>
      </c>
      <c r="R4615" s="213" t="s">
        <v>38391</v>
      </c>
      <c r="S4615" s="213" t="s">
        <v>38392</v>
      </c>
      <c r="T4615" s="213" t="s">
        <v>38393</v>
      </c>
      <c r="U4615" s="213" t="s">
        <v>61438</v>
      </c>
    </row>
    <row r="4616" spans="1:21" x14ac:dyDescent="0.25">
      <c r="A4616" s="213" t="s">
        <v>327</v>
      </c>
      <c r="D4616" s="213" t="s">
        <v>38394</v>
      </c>
      <c r="E4616" s="213" t="s">
        <v>38395</v>
      </c>
      <c r="K4616" s="213" t="s">
        <v>61241</v>
      </c>
      <c r="L4616" s="213" t="s">
        <v>61307</v>
      </c>
      <c r="M4616" s="213" t="s">
        <v>61373</v>
      </c>
      <c r="N4616" s="213" t="s">
        <v>38396</v>
      </c>
      <c r="O4616" s="213" t="s">
        <v>38397</v>
      </c>
      <c r="P4616" s="213" t="s">
        <v>38398</v>
      </c>
      <c r="Q4616" s="213" t="s">
        <v>38399</v>
      </c>
      <c r="R4616" s="213" t="s">
        <v>38400</v>
      </c>
      <c r="S4616" s="213" t="s">
        <v>38401</v>
      </c>
      <c r="T4616" s="213" t="s">
        <v>38402</v>
      </c>
      <c r="U4616" s="213" t="s">
        <v>61439</v>
      </c>
    </row>
    <row r="4617" spans="1:21" x14ac:dyDescent="0.25">
      <c r="A4617" s="213" t="s">
        <v>327</v>
      </c>
      <c r="D4617" s="213" t="s">
        <v>38403</v>
      </c>
      <c r="E4617" s="213" t="s">
        <v>38404</v>
      </c>
      <c r="K4617" s="213" t="s">
        <v>61242</v>
      </c>
      <c r="L4617" s="213" t="s">
        <v>61308</v>
      </c>
      <c r="M4617" s="213" t="s">
        <v>61374</v>
      </c>
      <c r="N4617" s="213" t="s">
        <v>38405</v>
      </c>
      <c r="O4617" s="213" t="s">
        <v>38406</v>
      </c>
      <c r="P4617" s="213" t="s">
        <v>38407</v>
      </c>
      <c r="Q4617" s="213" t="s">
        <v>38408</v>
      </c>
      <c r="R4617" s="213" t="s">
        <v>38409</v>
      </c>
      <c r="S4617" s="213" t="s">
        <v>38410</v>
      </c>
      <c r="T4617" s="213" t="s">
        <v>38411</v>
      </c>
      <c r="U4617" s="213" t="s">
        <v>61440</v>
      </c>
    </row>
    <row r="4618" spans="1:21" x14ac:dyDescent="0.25">
      <c r="A4618" s="213" t="s">
        <v>327</v>
      </c>
      <c r="D4618" s="213" t="s">
        <v>38412</v>
      </c>
      <c r="E4618" s="213" t="s">
        <v>38413</v>
      </c>
      <c r="K4618" s="213" t="s">
        <v>61243</v>
      </c>
      <c r="L4618" s="213" t="s">
        <v>61309</v>
      </c>
      <c r="M4618" s="213" t="s">
        <v>61375</v>
      </c>
      <c r="N4618" s="213" t="s">
        <v>38414</v>
      </c>
      <c r="O4618" s="213" t="s">
        <v>38415</v>
      </c>
      <c r="P4618" s="213" t="s">
        <v>38416</v>
      </c>
      <c r="Q4618" s="213" t="s">
        <v>38417</v>
      </c>
      <c r="R4618" s="213" t="s">
        <v>38418</v>
      </c>
      <c r="S4618" s="213" t="s">
        <v>38419</v>
      </c>
      <c r="T4618" s="213" t="s">
        <v>38420</v>
      </c>
      <c r="U4618" s="213" t="s">
        <v>61441</v>
      </c>
    </row>
    <row r="4619" spans="1:21" x14ac:dyDescent="0.25">
      <c r="A4619" s="213" t="s">
        <v>327</v>
      </c>
      <c r="D4619" s="213" t="s">
        <v>38421</v>
      </c>
      <c r="E4619" s="213" t="s">
        <v>38422</v>
      </c>
      <c r="K4619" s="213" t="s">
        <v>61244</v>
      </c>
      <c r="L4619" s="213" t="s">
        <v>61310</v>
      </c>
      <c r="M4619" s="213" t="s">
        <v>61376</v>
      </c>
      <c r="N4619" s="213" t="s">
        <v>38423</v>
      </c>
      <c r="O4619" s="213" t="s">
        <v>38424</v>
      </c>
      <c r="P4619" s="213" t="s">
        <v>38425</v>
      </c>
      <c r="Q4619" s="213" t="s">
        <v>38426</v>
      </c>
      <c r="R4619" s="213" t="s">
        <v>38427</v>
      </c>
      <c r="S4619" s="213" t="s">
        <v>38428</v>
      </c>
      <c r="T4619" s="213" t="s">
        <v>38429</v>
      </c>
      <c r="U4619" s="213" t="s">
        <v>61442</v>
      </c>
    </row>
    <row r="4620" spans="1:21" x14ac:dyDescent="0.25">
      <c r="A4620" s="213" t="s">
        <v>327</v>
      </c>
      <c r="D4620" s="213" t="s">
        <v>38430</v>
      </c>
      <c r="E4620" s="213" t="s">
        <v>38431</v>
      </c>
      <c r="K4620" s="213" t="s">
        <v>61245</v>
      </c>
      <c r="L4620" s="213" t="s">
        <v>61311</v>
      </c>
      <c r="M4620" s="213" t="s">
        <v>61377</v>
      </c>
      <c r="N4620" s="213" t="s">
        <v>38432</v>
      </c>
      <c r="O4620" s="213" t="s">
        <v>38433</v>
      </c>
      <c r="P4620" s="213" t="s">
        <v>38434</v>
      </c>
      <c r="Q4620" s="213" t="s">
        <v>38435</v>
      </c>
      <c r="R4620" s="213" t="s">
        <v>38436</v>
      </c>
      <c r="S4620" s="213" t="s">
        <v>38437</v>
      </c>
      <c r="T4620" s="213" t="s">
        <v>38438</v>
      </c>
      <c r="U4620" s="213" t="s">
        <v>61443</v>
      </c>
    </row>
    <row r="4621" spans="1:21" x14ac:dyDescent="0.25">
      <c r="A4621" s="213" t="s">
        <v>327</v>
      </c>
      <c r="D4621" s="213" t="s">
        <v>38439</v>
      </c>
      <c r="E4621" s="213" t="s">
        <v>38440</v>
      </c>
      <c r="K4621" s="213" t="s">
        <v>61246</v>
      </c>
      <c r="L4621" s="213" t="s">
        <v>61312</v>
      </c>
      <c r="M4621" s="213" t="s">
        <v>61378</v>
      </c>
      <c r="N4621" s="213" t="s">
        <v>38441</v>
      </c>
      <c r="O4621" s="213" t="s">
        <v>38442</v>
      </c>
      <c r="P4621" s="213" t="s">
        <v>38443</v>
      </c>
      <c r="Q4621" s="213" t="s">
        <v>38444</v>
      </c>
      <c r="R4621" s="213" t="s">
        <v>38445</v>
      </c>
      <c r="S4621" s="213" t="s">
        <v>38446</v>
      </c>
      <c r="T4621" s="213" t="s">
        <v>38447</v>
      </c>
      <c r="U4621" s="213" t="s">
        <v>61444</v>
      </c>
    </row>
    <row r="4622" spans="1:21" x14ac:dyDescent="0.25">
      <c r="A4622" s="213" t="s">
        <v>327</v>
      </c>
      <c r="D4622" s="213" t="s">
        <v>38448</v>
      </c>
      <c r="E4622" s="213" t="s">
        <v>38449</v>
      </c>
      <c r="K4622" s="213" t="s">
        <v>61247</v>
      </c>
      <c r="L4622" s="213" t="s">
        <v>61313</v>
      </c>
      <c r="M4622" s="213" t="s">
        <v>61379</v>
      </c>
      <c r="N4622" s="213" t="s">
        <v>38450</v>
      </c>
      <c r="O4622" s="213" t="s">
        <v>38451</v>
      </c>
      <c r="P4622" s="213" t="s">
        <v>38452</v>
      </c>
      <c r="Q4622" s="213" t="s">
        <v>38453</v>
      </c>
      <c r="R4622" s="213" t="s">
        <v>38454</v>
      </c>
      <c r="S4622" s="213" t="s">
        <v>38455</v>
      </c>
      <c r="T4622" s="213" t="s">
        <v>38456</v>
      </c>
      <c r="U4622" s="213" t="s">
        <v>61445</v>
      </c>
    </row>
    <row r="4623" spans="1:21" x14ac:dyDescent="0.25">
      <c r="A4623" s="213" t="s">
        <v>327</v>
      </c>
      <c r="D4623" s="213" t="s">
        <v>38457</v>
      </c>
      <c r="E4623" s="213" t="s">
        <v>38458</v>
      </c>
      <c r="K4623" s="213" t="s">
        <v>61248</v>
      </c>
      <c r="L4623" s="213" t="s">
        <v>61314</v>
      </c>
      <c r="M4623" s="213" t="s">
        <v>61380</v>
      </c>
      <c r="N4623" s="213" t="s">
        <v>38459</v>
      </c>
      <c r="O4623" s="213" t="s">
        <v>38460</v>
      </c>
      <c r="P4623" s="213" t="s">
        <v>38461</v>
      </c>
      <c r="Q4623" s="213" t="s">
        <v>38462</v>
      </c>
      <c r="R4623" s="213" t="s">
        <v>38463</v>
      </c>
      <c r="S4623" s="213" t="s">
        <v>38464</v>
      </c>
      <c r="T4623" s="213" t="s">
        <v>38465</v>
      </c>
      <c r="U4623" s="213" t="s">
        <v>61446</v>
      </c>
    </row>
    <row r="4624" spans="1:21" x14ac:dyDescent="0.25">
      <c r="A4624" s="213" t="s">
        <v>327</v>
      </c>
      <c r="D4624" s="213" t="s">
        <v>38466</v>
      </c>
      <c r="E4624" s="213" t="s">
        <v>38467</v>
      </c>
      <c r="K4624" s="213" t="s">
        <v>61249</v>
      </c>
      <c r="L4624" s="213" t="s">
        <v>61315</v>
      </c>
      <c r="M4624" s="213" t="s">
        <v>61381</v>
      </c>
      <c r="N4624" s="213" t="s">
        <v>38468</v>
      </c>
      <c r="O4624" s="213" t="s">
        <v>38469</v>
      </c>
      <c r="P4624" s="213" t="s">
        <v>38470</v>
      </c>
      <c r="Q4624" s="213" t="s">
        <v>38471</v>
      </c>
      <c r="R4624" s="213" t="s">
        <v>38472</v>
      </c>
      <c r="S4624" s="213" t="s">
        <v>38473</v>
      </c>
      <c r="T4624" s="213" t="s">
        <v>38474</v>
      </c>
      <c r="U4624" s="213" t="s">
        <v>61447</v>
      </c>
    </row>
    <row r="4625" spans="1:21" x14ac:dyDescent="0.25">
      <c r="A4625" s="213" t="s">
        <v>327</v>
      </c>
      <c r="D4625" s="213" t="s">
        <v>38475</v>
      </c>
      <c r="E4625" s="213" t="s">
        <v>38476</v>
      </c>
      <c r="K4625" s="213" t="s">
        <v>61250</v>
      </c>
      <c r="L4625" s="213" t="s">
        <v>61316</v>
      </c>
      <c r="M4625" s="213" t="s">
        <v>61382</v>
      </c>
      <c r="N4625" s="213" t="s">
        <v>38477</v>
      </c>
      <c r="O4625" s="213" t="s">
        <v>38478</v>
      </c>
      <c r="P4625" s="213" t="s">
        <v>38479</v>
      </c>
      <c r="Q4625" s="213" t="s">
        <v>38480</v>
      </c>
      <c r="R4625" s="213" t="s">
        <v>38481</v>
      </c>
      <c r="S4625" s="213" t="s">
        <v>38482</v>
      </c>
      <c r="T4625" s="213" t="s">
        <v>38483</v>
      </c>
      <c r="U4625" s="213" t="s">
        <v>61448</v>
      </c>
    </row>
    <row r="4626" spans="1:21" x14ac:dyDescent="0.25">
      <c r="A4626" s="213" t="s">
        <v>327</v>
      </c>
      <c r="D4626" s="213" t="s">
        <v>38484</v>
      </c>
      <c r="E4626" s="213" t="s">
        <v>38485</v>
      </c>
      <c r="K4626" s="213" t="s">
        <v>61251</v>
      </c>
      <c r="L4626" s="213" t="s">
        <v>61317</v>
      </c>
      <c r="M4626" s="213" t="s">
        <v>61383</v>
      </c>
      <c r="N4626" s="213" t="s">
        <v>38486</v>
      </c>
      <c r="O4626" s="213" t="s">
        <v>38487</v>
      </c>
      <c r="P4626" s="213" t="s">
        <v>38488</v>
      </c>
      <c r="Q4626" s="213" t="s">
        <v>38489</v>
      </c>
      <c r="R4626" s="213" t="s">
        <v>38490</v>
      </c>
      <c r="S4626" s="213" t="s">
        <v>38491</v>
      </c>
      <c r="T4626" s="213" t="s">
        <v>38492</v>
      </c>
      <c r="U4626" s="213" t="s">
        <v>61449</v>
      </c>
    </row>
    <row r="4627" spans="1:21" x14ac:dyDescent="0.25">
      <c r="A4627" s="213" t="s">
        <v>327</v>
      </c>
      <c r="D4627" s="213" t="s">
        <v>38493</v>
      </c>
      <c r="E4627" s="213" t="s">
        <v>38494</v>
      </c>
      <c r="K4627" s="213" t="s">
        <v>61252</v>
      </c>
      <c r="L4627" s="213" t="s">
        <v>61318</v>
      </c>
      <c r="M4627" s="213" t="s">
        <v>61384</v>
      </c>
      <c r="N4627" s="213" t="s">
        <v>38495</v>
      </c>
      <c r="O4627" s="213" t="s">
        <v>38496</v>
      </c>
      <c r="P4627" s="213" t="s">
        <v>38497</v>
      </c>
      <c r="Q4627" s="213" t="s">
        <v>38498</v>
      </c>
      <c r="R4627" s="213" t="s">
        <v>38499</v>
      </c>
      <c r="S4627" s="213" t="s">
        <v>38500</v>
      </c>
      <c r="T4627" s="213" t="s">
        <v>38501</v>
      </c>
      <c r="U4627" s="213" t="s">
        <v>61450</v>
      </c>
    </row>
    <row r="4628" spans="1:21" x14ac:dyDescent="0.25">
      <c r="A4628" s="213" t="s">
        <v>327</v>
      </c>
      <c r="D4628" s="213" t="s">
        <v>38502</v>
      </c>
      <c r="E4628" s="213" t="s">
        <v>38503</v>
      </c>
      <c r="K4628" s="213" t="s">
        <v>61253</v>
      </c>
      <c r="L4628" s="213" t="s">
        <v>61319</v>
      </c>
      <c r="M4628" s="213" t="s">
        <v>61385</v>
      </c>
      <c r="N4628" s="213" t="s">
        <v>38504</v>
      </c>
      <c r="O4628" s="213" t="s">
        <v>38505</v>
      </c>
      <c r="P4628" s="213" t="s">
        <v>38506</v>
      </c>
      <c r="Q4628" s="213" t="s">
        <v>38507</v>
      </c>
      <c r="R4628" s="213" t="s">
        <v>38508</v>
      </c>
      <c r="S4628" s="213" t="s">
        <v>38509</v>
      </c>
      <c r="T4628" s="213" t="s">
        <v>38510</v>
      </c>
      <c r="U4628" s="213" t="s">
        <v>61451</v>
      </c>
    </row>
    <row r="4629" spans="1:21" x14ac:dyDescent="0.25">
      <c r="A4629" s="213" t="s">
        <v>327</v>
      </c>
      <c r="D4629" s="213" t="s">
        <v>38511</v>
      </c>
      <c r="E4629" s="213" t="s">
        <v>38512</v>
      </c>
      <c r="K4629" s="213" t="s">
        <v>61254</v>
      </c>
      <c r="L4629" s="213" t="s">
        <v>61320</v>
      </c>
      <c r="M4629" s="213" t="s">
        <v>61386</v>
      </c>
      <c r="N4629" s="213" t="s">
        <v>38513</v>
      </c>
      <c r="O4629" s="213" t="s">
        <v>38514</v>
      </c>
      <c r="P4629" s="213" t="s">
        <v>38515</v>
      </c>
      <c r="Q4629" s="213" t="s">
        <v>38516</v>
      </c>
      <c r="R4629" s="213" t="s">
        <v>38517</v>
      </c>
      <c r="S4629" s="213" t="s">
        <v>38518</v>
      </c>
      <c r="T4629" s="213" t="s">
        <v>38519</v>
      </c>
      <c r="U4629" s="213" t="s">
        <v>61452</v>
      </c>
    </row>
    <row r="4630" spans="1:21" x14ac:dyDescent="0.25">
      <c r="A4630" s="213" t="s">
        <v>327</v>
      </c>
      <c r="D4630" s="213" t="s">
        <v>38520</v>
      </c>
      <c r="E4630" s="213" t="s">
        <v>38521</v>
      </c>
      <c r="K4630" s="213" t="s">
        <v>61255</v>
      </c>
      <c r="L4630" s="213" t="s">
        <v>61321</v>
      </c>
      <c r="M4630" s="213" t="s">
        <v>61387</v>
      </c>
      <c r="N4630" s="213" t="s">
        <v>38522</v>
      </c>
      <c r="O4630" s="213" t="s">
        <v>38523</v>
      </c>
      <c r="P4630" s="213" t="s">
        <v>38524</v>
      </c>
      <c r="Q4630" s="213" t="s">
        <v>38525</v>
      </c>
      <c r="R4630" s="213" t="s">
        <v>38526</v>
      </c>
      <c r="S4630" s="213" t="s">
        <v>38527</v>
      </c>
      <c r="T4630" s="213" t="s">
        <v>38528</v>
      </c>
      <c r="U4630" s="213" t="s">
        <v>61453</v>
      </c>
    </row>
    <row r="4631" spans="1:21" x14ac:dyDescent="0.25">
      <c r="A4631" s="213" t="s">
        <v>327</v>
      </c>
      <c r="D4631" s="213" t="s">
        <v>38529</v>
      </c>
      <c r="E4631" s="213" t="s">
        <v>38530</v>
      </c>
      <c r="K4631" s="213" t="s">
        <v>61256</v>
      </c>
      <c r="L4631" s="213" t="s">
        <v>61322</v>
      </c>
      <c r="M4631" s="213" t="s">
        <v>61388</v>
      </c>
      <c r="N4631" s="213" t="s">
        <v>38531</v>
      </c>
      <c r="O4631" s="213" t="s">
        <v>38532</v>
      </c>
      <c r="P4631" s="213" t="s">
        <v>38533</v>
      </c>
      <c r="Q4631" s="213" t="s">
        <v>38534</v>
      </c>
      <c r="R4631" s="213" t="s">
        <v>38535</v>
      </c>
      <c r="S4631" s="213" t="s">
        <v>38536</v>
      </c>
      <c r="T4631" s="213" t="s">
        <v>38537</v>
      </c>
      <c r="U4631" s="213" t="s">
        <v>61454</v>
      </c>
    </row>
    <row r="4632" spans="1:21" x14ac:dyDescent="0.25">
      <c r="A4632" s="213" t="s">
        <v>327</v>
      </c>
      <c r="D4632" s="213" t="s">
        <v>38538</v>
      </c>
      <c r="E4632" s="213" t="s">
        <v>38539</v>
      </c>
      <c r="K4632" s="213" t="s">
        <v>61257</v>
      </c>
      <c r="L4632" s="213" t="s">
        <v>61323</v>
      </c>
      <c r="M4632" s="213" t="s">
        <v>61389</v>
      </c>
      <c r="N4632" s="213" t="s">
        <v>38540</v>
      </c>
      <c r="O4632" s="213" t="s">
        <v>38541</v>
      </c>
      <c r="P4632" s="213" t="s">
        <v>38542</v>
      </c>
      <c r="Q4632" s="213" t="s">
        <v>38543</v>
      </c>
      <c r="R4632" s="213" t="s">
        <v>38544</v>
      </c>
      <c r="S4632" s="213" t="s">
        <v>38545</v>
      </c>
      <c r="T4632" s="213" t="s">
        <v>38546</v>
      </c>
      <c r="U4632" s="213" t="s">
        <v>61455</v>
      </c>
    </row>
    <row r="4633" spans="1:21" x14ac:dyDescent="0.25">
      <c r="A4633" s="213" t="s">
        <v>327</v>
      </c>
      <c r="D4633" s="213" t="s">
        <v>38547</v>
      </c>
      <c r="E4633" s="213" t="s">
        <v>38548</v>
      </c>
      <c r="K4633" s="213" t="s">
        <v>61258</v>
      </c>
      <c r="L4633" s="213" t="s">
        <v>61324</v>
      </c>
      <c r="M4633" s="213" t="s">
        <v>61390</v>
      </c>
      <c r="N4633" s="213" t="s">
        <v>38549</v>
      </c>
      <c r="O4633" s="213" t="s">
        <v>38550</v>
      </c>
      <c r="P4633" s="213" t="s">
        <v>38551</v>
      </c>
      <c r="Q4633" s="213" t="s">
        <v>38552</v>
      </c>
      <c r="R4633" s="213" t="s">
        <v>38553</v>
      </c>
      <c r="S4633" s="213" t="s">
        <v>38554</v>
      </c>
      <c r="T4633" s="213" t="s">
        <v>38555</v>
      </c>
      <c r="U4633" s="213" t="s">
        <v>61456</v>
      </c>
    </row>
    <row r="4634" spans="1:21" x14ac:dyDescent="0.25">
      <c r="A4634" s="213" t="s">
        <v>327</v>
      </c>
      <c r="D4634" s="213" t="s">
        <v>38556</v>
      </c>
      <c r="E4634" s="213" t="s">
        <v>38557</v>
      </c>
      <c r="K4634" s="213" t="s">
        <v>61259</v>
      </c>
      <c r="L4634" s="213" t="s">
        <v>61325</v>
      </c>
      <c r="M4634" s="213" t="s">
        <v>61391</v>
      </c>
      <c r="N4634" s="213" t="s">
        <v>38558</v>
      </c>
      <c r="O4634" s="213" t="s">
        <v>38559</v>
      </c>
      <c r="P4634" s="213" t="s">
        <v>38560</v>
      </c>
      <c r="Q4634" s="213" t="s">
        <v>38561</v>
      </c>
      <c r="R4634" s="213" t="s">
        <v>38562</v>
      </c>
      <c r="S4634" s="213" t="s">
        <v>38563</v>
      </c>
      <c r="T4634" s="213" t="s">
        <v>38564</v>
      </c>
      <c r="U4634" s="213" t="s">
        <v>61457</v>
      </c>
    </row>
    <row r="4635" spans="1:21" x14ac:dyDescent="0.25">
      <c r="A4635" s="213" t="s">
        <v>327</v>
      </c>
      <c r="D4635" s="213" t="s">
        <v>38565</v>
      </c>
      <c r="E4635" s="213" t="s">
        <v>38566</v>
      </c>
      <c r="K4635" s="213" t="s">
        <v>61260</v>
      </c>
      <c r="L4635" s="213" t="s">
        <v>61326</v>
      </c>
      <c r="M4635" s="213" t="s">
        <v>61392</v>
      </c>
      <c r="N4635" s="213" t="s">
        <v>38567</v>
      </c>
      <c r="O4635" s="213" t="s">
        <v>38568</v>
      </c>
      <c r="P4635" s="213" t="s">
        <v>38569</v>
      </c>
      <c r="Q4635" s="213" t="s">
        <v>38570</v>
      </c>
      <c r="R4635" s="213" t="s">
        <v>38571</v>
      </c>
      <c r="S4635" s="213" t="s">
        <v>38572</v>
      </c>
      <c r="T4635" s="213" t="s">
        <v>38573</v>
      </c>
      <c r="U4635" s="213" t="s">
        <v>61458</v>
      </c>
    </row>
    <row r="4636" spans="1:21" x14ac:dyDescent="0.25">
      <c r="A4636" s="213" t="s">
        <v>327</v>
      </c>
      <c r="D4636" s="213" t="s">
        <v>38574</v>
      </c>
      <c r="E4636" s="213" t="s">
        <v>38575</v>
      </c>
      <c r="K4636" s="213" t="s">
        <v>61261</v>
      </c>
      <c r="L4636" s="213" t="s">
        <v>61327</v>
      </c>
      <c r="M4636" s="213" t="s">
        <v>61393</v>
      </c>
      <c r="N4636" s="213" t="s">
        <v>38576</v>
      </c>
      <c r="O4636" s="213" t="s">
        <v>38577</v>
      </c>
      <c r="P4636" s="213" t="s">
        <v>38578</v>
      </c>
      <c r="Q4636" s="213" t="s">
        <v>38579</v>
      </c>
      <c r="R4636" s="213" t="s">
        <v>38580</v>
      </c>
      <c r="S4636" s="213" t="s">
        <v>38581</v>
      </c>
      <c r="T4636" s="213" t="s">
        <v>38582</v>
      </c>
      <c r="U4636" s="213" t="s">
        <v>61459</v>
      </c>
    </row>
    <row r="4637" spans="1:21" x14ac:dyDescent="0.25">
      <c r="A4637" s="213" t="s">
        <v>327</v>
      </c>
      <c r="D4637" s="213" t="s">
        <v>38583</v>
      </c>
      <c r="E4637" s="213" t="s">
        <v>38584</v>
      </c>
      <c r="K4637" s="213" t="s">
        <v>61262</v>
      </c>
      <c r="L4637" s="213" t="s">
        <v>61328</v>
      </c>
      <c r="M4637" s="213" t="s">
        <v>61394</v>
      </c>
      <c r="N4637" s="213" t="s">
        <v>38585</v>
      </c>
      <c r="O4637" s="213" t="s">
        <v>38586</v>
      </c>
      <c r="P4637" s="213" t="s">
        <v>38587</v>
      </c>
      <c r="Q4637" s="213" t="s">
        <v>38588</v>
      </c>
      <c r="R4637" s="213" t="s">
        <v>38589</v>
      </c>
      <c r="S4637" s="213" t="s">
        <v>38590</v>
      </c>
      <c r="T4637" s="213" t="s">
        <v>38591</v>
      </c>
      <c r="U4637" s="213" t="s">
        <v>61460</v>
      </c>
    </row>
    <row r="4638" spans="1:21" x14ac:dyDescent="0.25">
      <c r="A4638" s="213" t="s">
        <v>327</v>
      </c>
      <c r="D4638" s="213" t="s">
        <v>38592</v>
      </c>
      <c r="E4638" s="213" t="s">
        <v>38593</v>
      </c>
      <c r="K4638" s="213" t="s">
        <v>61263</v>
      </c>
      <c r="L4638" s="213" t="s">
        <v>61329</v>
      </c>
      <c r="M4638" s="213" t="s">
        <v>61395</v>
      </c>
      <c r="N4638" s="213" t="s">
        <v>38594</v>
      </c>
      <c r="O4638" s="213" t="s">
        <v>38595</v>
      </c>
      <c r="P4638" s="213" t="s">
        <v>38596</v>
      </c>
      <c r="Q4638" s="213" t="s">
        <v>38597</v>
      </c>
      <c r="R4638" s="213" t="s">
        <v>38598</v>
      </c>
      <c r="S4638" s="213" t="s">
        <v>38599</v>
      </c>
      <c r="T4638" s="213" t="s">
        <v>38600</v>
      </c>
      <c r="U4638" s="213" t="s">
        <v>61461</v>
      </c>
    </row>
    <row r="4639" spans="1:21" x14ac:dyDescent="0.25">
      <c r="A4639" s="213" t="s">
        <v>327</v>
      </c>
      <c r="D4639" s="213" t="s">
        <v>38601</v>
      </c>
      <c r="E4639" s="213" t="s">
        <v>38602</v>
      </c>
      <c r="K4639" s="213" t="s">
        <v>61264</v>
      </c>
      <c r="L4639" s="213" t="s">
        <v>61330</v>
      </c>
      <c r="M4639" s="213" t="s">
        <v>61396</v>
      </c>
      <c r="N4639" s="213" t="s">
        <v>38603</v>
      </c>
      <c r="O4639" s="213" t="s">
        <v>38604</v>
      </c>
      <c r="P4639" s="213" t="s">
        <v>38605</v>
      </c>
      <c r="Q4639" s="213" t="s">
        <v>38606</v>
      </c>
      <c r="R4639" s="213" t="s">
        <v>38607</v>
      </c>
      <c r="S4639" s="213" t="s">
        <v>38608</v>
      </c>
      <c r="T4639" s="213" t="s">
        <v>38609</v>
      </c>
      <c r="U4639" s="213" t="s">
        <v>61462</v>
      </c>
    </row>
    <row r="4640" spans="1:21" x14ac:dyDescent="0.25">
      <c r="A4640" s="213" t="s">
        <v>327</v>
      </c>
      <c r="D4640" s="213" t="s">
        <v>38610</v>
      </c>
      <c r="E4640" s="213" t="s">
        <v>38611</v>
      </c>
      <c r="K4640" s="213" t="s">
        <v>61265</v>
      </c>
      <c r="L4640" s="213" t="s">
        <v>61331</v>
      </c>
      <c r="M4640" s="213" t="s">
        <v>61397</v>
      </c>
      <c r="N4640" s="213" t="s">
        <v>38612</v>
      </c>
      <c r="O4640" s="213" t="s">
        <v>38613</v>
      </c>
      <c r="P4640" s="213" t="s">
        <v>38614</v>
      </c>
      <c r="Q4640" s="213" t="s">
        <v>38615</v>
      </c>
      <c r="R4640" s="213" t="s">
        <v>38616</v>
      </c>
      <c r="S4640" s="213" t="s">
        <v>38617</v>
      </c>
      <c r="T4640" s="213" t="s">
        <v>38618</v>
      </c>
      <c r="U4640" s="213" t="s">
        <v>61463</v>
      </c>
    </row>
    <row r="4641" spans="1:21" x14ac:dyDescent="0.25">
      <c r="A4641" s="213" t="s">
        <v>327</v>
      </c>
      <c r="D4641" s="213" t="s">
        <v>38619</v>
      </c>
      <c r="E4641" s="213" t="s">
        <v>38620</v>
      </c>
      <c r="K4641" s="213" t="s">
        <v>61266</v>
      </c>
      <c r="L4641" s="213" t="s">
        <v>61332</v>
      </c>
      <c r="M4641" s="213" t="s">
        <v>61398</v>
      </c>
      <c r="N4641" s="213" t="s">
        <v>38621</v>
      </c>
      <c r="O4641" s="213" t="s">
        <v>38622</v>
      </c>
      <c r="P4641" s="213" t="s">
        <v>38623</v>
      </c>
      <c r="Q4641" s="213" t="s">
        <v>38624</v>
      </c>
      <c r="R4641" s="213" t="s">
        <v>38625</v>
      </c>
      <c r="S4641" s="213" t="s">
        <v>38626</v>
      </c>
      <c r="T4641" s="213" t="s">
        <v>38627</v>
      </c>
      <c r="U4641" s="213" t="s">
        <v>61464</v>
      </c>
    </row>
    <row r="4642" spans="1:21" x14ac:dyDescent="0.25">
      <c r="A4642" s="213" t="s">
        <v>327</v>
      </c>
      <c r="D4642" s="213" t="s">
        <v>38628</v>
      </c>
      <c r="E4642" s="213" t="s">
        <v>38629</v>
      </c>
      <c r="K4642" s="213" t="s">
        <v>61267</v>
      </c>
      <c r="L4642" s="213" t="s">
        <v>61333</v>
      </c>
      <c r="M4642" s="213" t="s">
        <v>61399</v>
      </c>
      <c r="N4642" s="213" t="s">
        <v>38630</v>
      </c>
      <c r="O4642" s="213" t="s">
        <v>38631</v>
      </c>
      <c r="P4642" s="213" t="s">
        <v>38632</v>
      </c>
      <c r="Q4642" s="213" t="s">
        <v>38633</v>
      </c>
      <c r="R4642" s="213" t="s">
        <v>38634</v>
      </c>
      <c r="S4642" s="213" t="s">
        <v>38635</v>
      </c>
      <c r="T4642" s="213" t="s">
        <v>38636</v>
      </c>
      <c r="U4642" s="213" t="s">
        <v>61465</v>
      </c>
    </row>
    <row r="4643" spans="1:21" x14ac:dyDescent="0.25">
      <c r="A4643" s="213" t="s">
        <v>327</v>
      </c>
      <c r="D4643" s="213" t="s">
        <v>38637</v>
      </c>
      <c r="E4643" s="213" t="s">
        <v>38638</v>
      </c>
      <c r="K4643" s="213" t="s">
        <v>61268</v>
      </c>
      <c r="L4643" s="213" t="s">
        <v>61334</v>
      </c>
      <c r="M4643" s="213" t="s">
        <v>61400</v>
      </c>
      <c r="N4643" s="213" t="s">
        <v>38639</v>
      </c>
      <c r="O4643" s="213" t="s">
        <v>38640</v>
      </c>
      <c r="P4643" s="213" t="s">
        <v>38641</v>
      </c>
      <c r="Q4643" s="213" t="s">
        <v>38642</v>
      </c>
      <c r="R4643" s="213" t="s">
        <v>38643</v>
      </c>
      <c r="S4643" s="213" t="s">
        <v>38644</v>
      </c>
      <c r="T4643" s="213" t="s">
        <v>38645</v>
      </c>
      <c r="U4643" s="213" t="s">
        <v>61466</v>
      </c>
    </row>
    <row r="4644" spans="1:21" x14ac:dyDescent="0.25">
      <c r="A4644" s="213" t="s">
        <v>327</v>
      </c>
      <c r="D4644" s="213" t="s">
        <v>38646</v>
      </c>
      <c r="E4644" s="213" t="s">
        <v>38647</v>
      </c>
      <c r="K4644" s="213" t="s">
        <v>61269</v>
      </c>
      <c r="L4644" s="213" t="s">
        <v>61335</v>
      </c>
      <c r="M4644" s="213" t="s">
        <v>61401</v>
      </c>
      <c r="N4644" s="213" t="s">
        <v>38648</v>
      </c>
      <c r="O4644" s="213" t="s">
        <v>38649</v>
      </c>
      <c r="P4644" s="213" t="s">
        <v>38650</v>
      </c>
      <c r="Q4644" s="213" t="s">
        <v>38651</v>
      </c>
      <c r="R4644" s="213" t="s">
        <v>38652</v>
      </c>
      <c r="S4644" s="213" t="s">
        <v>38653</v>
      </c>
      <c r="T4644" s="213" t="s">
        <v>38654</v>
      </c>
      <c r="U4644" s="213" t="s">
        <v>61467</v>
      </c>
    </row>
    <row r="4645" spans="1:21" x14ac:dyDescent="0.25">
      <c r="A4645" s="213" t="s">
        <v>327</v>
      </c>
      <c r="D4645" s="213" t="s">
        <v>38655</v>
      </c>
      <c r="E4645" s="213" t="s">
        <v>38656</v>
      </c>
      <c r="K4645" s="213" t="s">
        <v>61270</v>
      </c>
      <c r="L4645" s="213" t="s">
        <v>61336</v>
      </c>
      <c r="M4645" s="213" t="s">
        <v>61402</v>
      </c>
      <c r="N4645" s="213" t="s">
        <v>38657</v>
      </c>
      <c r="O4645" s="213" t="s">
        <v>38658</v>
      </c>
      <c r="P4645" s="213" t="s">
        <v>38659</v>
      </c>
      <c r="Q4645" s="213" t="s">
        <v>38660</v>
      </c>
      <c r="R4645" s="213" t="s">
        <v>38661</v>
      </c>
      <c r="S4645" s="213" t="s">
        <v>38662</v>
      </c>
      <c r="T4645" s="213" t="s">
        <v>38663</v>
      </c>
      <c r="U4645" s="213" t="s">
        <v>61468</v>
      </c>
    </row>
    <row r="4646" spans="1:21" x14ac:dyDescent="0.25">
      <c r="A4646" s="213" t="s">
        <v>327</v>
      </c>
      <c r="D4646" s="213" t="s">
        <v>38664</v>
      </c>
      <c r="E4646" s="213" t="s">
        <v>38665</v>
      </c>
      <c r="K4646" s="213" t="s">
        <v>61271</v>
      </c>
      <c r="L4646" s="213" t="s">
        <v>61337</v>
      </c>
      <c r="M4646" s="213" t="s">
        <v>61403</v>
      </c>
      <c r="N4646" s="213" t="s">
        <v>38666</v>
      </c>
      <c r="O4646" s="213" t="s">
        <v>38667</v>
      </c>
      <c r="P4646" s="213" t="s">
        <v>38668</v>
      </c>
      <c r="Q4646" s="213" t="s">
        <v>38669</v>
      </c>
      <c r="R4646" s="213" t="s">
        <v>38670</v>
      </c>
      <c r="S4646" s="213" t="s">
        <v>38671</v>
      </c>
      <c r="T4646" s="213" t="s">
        <v>38672</v>
      </c>
      <c r="U4646" s="213" t="s">
        <v>61469</v>
      </c>
    </row>
    <row r="4647" spans="1:21" x14ac:dyDescent="0.25">
      <c r="A4647" s="213" t="s">
        <v>327</v>
      </c>
      <c r="D4647" s="213" t="s">
        <v>38673</v>
      </c>
      <c r="E4647" s="213" t="s">
        <v>38674</v>
      </c>
      <c r="K4647" s="213" t="s">
        <v>61272</v>
      </c>
      <c r="L4647" s="213" t="s">
        <v>61338</v>
      </c>
      <c r="M4647" s="213" t="s">
        <v>61404</v>
      </c>
      <c r="N4647" s="213" t="s">
        <v>38675</v>
      </c>
      <c r="O4647" s="213" t="s">
        <v>38676</v>
      </c>
      <c r="P4647" s="213" t="s">
        <v>38677</v>
      </c>
      <c r="Q4647" s="213" t="s">
        <v>38678</v>
      </c>
      <c r="R4647" s="213" t="s">
        <v>38679</v>
      </c>
      <c r="S4647" s="213" t="s">
        <v>38680</v>
      </c>
      <c r="T4647" s="213" t="s">
        <v>38681</v>
      </c>
      <c r="U4647" s="213" t="s">
        <v>61470</v>
      </c>
    </row>
    <row r="4648" spans="1:21" x14ac:dyDescent="0.25">
      <c r="A4648" s="213" t="s">
        <v>327</v>
      </c>
      <c r="D4648" s="213" t="s">
        <v>38682</v>
      </c>
      <c r="E4648" s="213" t="s">
        <v>38683</v>
      </c>
      <c r="K4648" s="213" t="s">
        <v>61273</v>
      </c>
      <c r="L4648" s="213" t="s">
        <v>61339</v>
      </c>
      <c r="M4648" s="213" t="s">
        <v>61405</v>
      </c>
      <c r="N4648" s="213" t="s">
        <v>38684</v>
      </c>
      <c r="O4648" s="213" t="s">
        <v>38685</v>
      </c>
      <c r="P4648" s="213" t="s">
        <v>38686</v>
      </c>
      <c r="Q4648" s="213" t="s">
        <v>38687</v>
      </c>
      <c r="R4648" s="213" t="s">
        <v>38688</v>
      </c>
      <c r="S4648" s="213" t="s">
        <v>38689</v>
      </c>
      <c r="T4648" s="213" t="s">
        <v>38690</v>
      </c>
      <c r="U4648" s="213" t="s">
        <v>61471</v>
      </c>
    </row>
    <row r="4649" spans="1:21" x14ac:dyDescent="0.25">
      <c r="A4649" s="213" t="s">
        <v>327</v>
      </c>
      <c r="D4649" s="213" t="s">
        <v>38691</v>
      </c>
      <c r="E4649" s="213" t="s">
        <v>38692</v>
      </c>
      <c r="K4649" s="213" t="s">
        <v>61274</v>
      </c>
      <c r="L4649" s="213" t="s">
        <v>61340</v>
      </c>
      <c r="M4649" s="213" t="s">
        <v>61406</v>
      </c>
      <c r="N4649" s="213" t="s">
        <v>38693</v>
      </c>
      <c r="O4649" s="213" t="s">
        <v>38694</v>
      </c>
      <c r="P4649" s="213" t="s">
        <v>38695</v>
      </c>
      <c r="Q4649" s="213" t="s">
        <v>38696</v>
      </c>
      <c r="R4649" s="213" t="s">
        <v>38697</v>
      </c>
      <c r="S4649" s="213" t="s">
        <v>38698</v>
      </c>
      <c r="T4649" s="213" t="s">
        <v>38699</v>
      </c>
      <c r="U4649" s="213" t="s">
        <v>61472</v>
      </c>
    </row>
    <row r="4650" spans="1:21" x14ac:dyDescent="0.25">
      <c r="A4650" s="213" t="s">
        <v>327</v>
      </c>
      <c r="D4650" s="213" t="s">
        <v>38700</v>
      </c>
      <c r="E4650" s="213" t="s">
        <v>38701</v>
      </c>
      <c r="K4650" s="213" t="s">
        <v>61275</v>
      </c>
      <c r="L4650" s="213" t="s">
        <v>61341</v>
      </c>
      <c r="M4650" s="213" t="s">
        <v>61407</v>
      </c>
      <c r="N4650" s="213" t="s">
        <v>38702</v>
      </c>
      <c r="O4650" s="213" t="s">
        <v>38703</v>
      </c>
      <c r="P4650" s="213" t="s">
        <v>38704</v>
      </c>
      <c r="Q4650" s="213" t="s">
        <v>38705</v>
      </c>
      <c r="R4650" s="213" t="s">
        <v>38706</v>
      </c>
      <c r="S4650" s="213" t="s">
        <v>38707</v>
      </c>
      <c r="T4650" s="213" t="s">
        <v>38708</v>
      </c>
      <c r="U4650" s="213" t="s">
        <v>61473</v>
      </c>
    </row>
    <row r="4651" spans="1:21" x14ac:dyDescent="0.25">
      <c r="A4651" s="213" t="s">
        <v>327</v>
      </c>
      <c r="D4651" s="213" t="s">
        <v>38709</v>
      </c>
      <c r="E4651" s="213" t="s">
        <v>38710</v>
      </c>
      <c r="K4651" s="213" t="s">
        <v>61276</v>
      </c>
      <c r="L4651" s="213" t="s">
        <v>61342</v>
      </c>
      <c r="M4651" s="213" t="s">
        <v>61408</v>
      </c>
      <c r="N4651" s="213" t="s">
        <v>38711</v>
      </c>
      <c r="O4651" s="213" t="s">
        <v>38712</v>
      </c>
      <c r="P4651" s="213" t="s">
        <v>38713</v>
      </c>
      <c r="Q4651" s="213" t="s">
        <v>38714</v>
      </c>
      <c r="R4651" s="213" t="s">
        <v>38715</v>
      </c>
      <c r="S4651" s="213" t="s">
        <v>38716</v>
      </c>
      <c r="T4651" s="213" t="s">
        <v>38717</v>
      </c>
      <c r="U4651" s="213" t="s">
        <v>61474</v>
      </c>
    </row>
    <row r="4652" spans="1:21" x14ac:dyDescent="0.25">
      <c r="A4652" s="213" t="s">
        <v>327</v>
      </c>
      <c r="D4652" s="213" t="s">
        <v>38718</v>
      </c>
      <c r="E4652" s="213" t="s">
        <v>38719</v>
      </c>
      <c r="K4652" s="213" t="s">
        <v>61277</v>
      </c>
      <c r="L4652" s="213" t="s">
        <v>61343</v>
      </c>
      <c r="M4652" s="213" t="s">
        <v>61409</v>
      </c>
      <c r="N4652" s="213" t="s">
        <v>38720</v>
      </c>
      <c r="O4652" s="213" t="s">
        <v>38721</v>
      </c>
      <c r="P4652" s="213" t="s">
        <v>38722</v>
      </c>
      <c r="Q4652" s="213" t="s">
        <v>38723</v>
      </c>
      <c r="R4652" s="213" t="s">
        <v>38724</v>
      </c>
      <c r="S4652" s="213" t="s">
        <v>38725</v>
      </c>
      <c r="T4652" s="213" t="s">
        <v>38726</v>
      </c>
      <c r="U4652" s="213" t="s">
        <v>61475</v>
      </c>
    </row>
    <row r="4653" spans="1:21" x14ac:dyDescent="0.25">
      <c r="A4653" s="213" t="s">
        <v>327</v>
      </c>
      <c r="D4653" s="213" t="s">
        <v>38727</v>
      </c>
      <c r="E4653" s="213" t="s">
        <v>38728</v>
      </c>
      <c r="K4653" s="213" t="s">
        <v>61278</v>
      </c>
      <c r="L4653" s="213" t="s">
        <v>61344</v>
      </c>
      <c r="M4653" s="213" t="s">
        <v>61410</v>
      </c>
      <c r="N4653" s="213" t="s">
        <v>38729</v>
      </c>
      <c r="O4653" s="213" t="s">
        <v>38730</v>
      </c>
      <c r="P4653" s="213" t="s">
        <v>38731</v>
      </c>
      <c r="Q4653" s="213" t="s">
        <v>38732</v>
      </c>
      <c r="R4653" s="213" t="s">
        <v>38733</v>
      </c>
      <c r="S4653" s="213" t="s">
        <v>38734</v>
      </c>
      <c r="T4653" s="213" t="s">
        <v>38735</v>
      </c>
      <c r="U4653" s="213" t="s">
        <v>61476</v>
      </c>
    </row>
    <row r="4654" spans="1:21" x14ac:dyDescent="0.25">
      <c r="A4654" s="213" t="s">
        <v>327</v>
      </c>
      <c r="D4654" s="213" t="s">
        <v>38736</v>
      </c>
      <c r="E4654" s="213" t="s">
        <v>38737</v>
      </c>
      <c r="K4654" s="213" t="s">
        <v>61279</v>
      </c>
      <c r="L4654" s="213" t="s">
        <v>61345</v>
      </c>
      <c r="M4654" s="213" t="s">
        <v>61411</v>
      </c>
      <c r="N4654" s="213" t="s">
        <v>38738</v>
      </c>
      <c r="O4654" s="213" t="s">
        <v>38739</v>
      </c>
      <c r="P4654" s="213" t="s">
        <v>38740</v>
      </c>
      <c r="Q4654" s="213" t="s">
        <v>38741</v>
      </c>
      <c r="R4654" s="213" t="s">
        <v>38742</v>
      </c>
      <c r="S4654" s="213" t="s">
        <v>38743</v>
      </c>
      <c r="T4654" s="213" t="s">
        <v>38744</v>
      </c>
      <c r="U4654" s="213" t="s">
        <v>61477</v>
      </c>
    </row>
    <row r="4655" spans="1:21" x14ac:dyDescent="0.25">
      <c r="A4655" s="213" t="s">
        <v>327</v>
      </c>
      <c r="D4655" s="213" t="s">
        <v>38745</v>
      </c>
      <c r="E4655" s="213" t="s">
        <v>38746</v>
      </c>
      <c r="K4655" s="213" t="s">
        <v>61280</v>
      </c>
      <c r="L4655" s="213" t="s">
        <v>61346</v>
      </c>
      <c r="M4655" s="213" t="s">
        <v>61412</v>
      </c>
      <c r="N4655" s="213" t="s">
        <v>38747</v>
      </c>
      <c r="O4655" s="213" t="s">
        <v>38748</v>
      </c>
      <c r="P4655" s="213" t="s">
        <v>38749</v>
      </c>
      <c r="Q4655" s="213" t="s">
        <v>38750</v>
      </c>
      <c r="R4655" s="213" t="s">
        <v>38751</v>
      </c>
      <c r="S4655" s="213" t="s">
        <v>38752</v>
      </c>
      <c r="T4655" s="213" t="s">
        <v>38753</v>
      </c>
      <c r="U4655" s="213" t="s">
        <v>61478</v>
      </c>
    </row>
    <row r="4656" spans="1:21" x14ac:dyDescent="0.25">
      <c r="A4656" s="213" t="s">
        <v>327</v>
      </c>
      <c r="D4656" s="213" t="s">
        <v>38754</v>
      </c>
      <c r="E4656" s="213" t="s">
        <v>38755</v>
      </c>
      <c r="K4656" s="213" t="s">
        <v>61281</v>
      </c>
      <c r="L4656" s="213" t="s">
        <v>61347</v>
      </c>
      <c r="M4656" s="213" t="s">
        <v>61413</v>
      </c>
      <c r="N4656" s="213" t="s">
        <v>38756</v>
      </c>
      <c r="O4656" s="213" t="s">
        <v>38757</v>
      </c>
      <c r="P4656" s="213" t="s">
        <v>38758</v>
      </c>
      <c r="Q4656" s="213" t="s">
        <v>38759</v>
      </c>
      <c r="R4656" s="213" t="s">
        <v>38760</v>
      </c>
      <c r="S4656" s="213" t="s">
        <v>38761</v>
      </c>
      <c r="T4656" s="213" t="s">
        <v>38762</v>
      </c>
      <c r="U4656" s="213" t="s">
        <v>61479</v>
      </c>
    </row>
    <row r="4657" spans="1:21" x14ac:dyDescent="0.25">
      <c r="A4657" s="213" t="s">
        <v>327</v>
      </c>
      <c r="D4657" s="213" t="s">
        <v>38763</v>
      </c>
      <c r="E4657" s="213" t="s">
        <v>38764</v>
      </c>
      <c r="K4657" s="213" t="s">
        <v>61282</v>
      </c>
      <c r="L4657" s="213" t="s">
        <v>61348</v>
      </c>
      <c r="M4657" s="213" t="s">
        <v>61414</v>
      </c>
      <c r="N4657" s="213" t="s">
        <v>38765</v>
      </c>
      <c r="O4657" s="213" t="s">
        <v>38766</v>
      </c>
      <c r="P4657" s="213" t="s">
        <v>38767</v>
      </c>
      <c r="Q4657" s="213" t="s">
        <v>38768</v>
      </c>
      <c r="R4657" s="213" t="s">
        <v>38769</v>
      </c>
      <c r="S4657" s="213" t="s">
        <v>38770</v>
      </c>
      <c r="T4657" s="213" t="s">
        <v>38771</v>
      </c>
      <c r="U4657" s="213" t="s">
        <v>61480</v>
      </c>
    </row>
    <row r="4658" spans="1:21" x14ac:dyDescent="0.25">
      <c r="A4658" s="213" t="s">
        <v>327</v>
      </c>
      <c r="D4658" s="213" t="s">
        <v>38772</v>
      </c>
      <c r="E4658" s="213" t="s">
        <v>38773</v>
      </c>
      <c r="K4658" s="213" t="s">
        <v>61283</v>
      </c>
      <c r="L4658" s="213" t="s">
        <v>61349</v>
      </c>
      <c r="M4658" s="213" t="s">
        <v>61415</v>
      </c>
      <c r="N4658" s="213" t="s">
        <v>38774</v>
      </c>
      <c r="O4658" s="213" t="s">
        <v>38775</v>
      </c>
      <c r="P4658" s="213" t="s">
        <v>38776</v>
      </c>
      <c r="Q4658" s="213" t="s">
        <v>38777</v>
      </c>
      <c r="R4658" s="213" t="s">
        <v>38778</v>
      </c>
      <c r="S4658" s="213" t="s">
        <v>38779</v>
      </c>
      <c r="T4658" s="213" t="s">
        <v>38780</v>
      </c>
      <c r="U4658" s="213" t="s">
        <v>61481</v>
      </c>
    </row>
    <row r="4659" spans="1:21" x14ac:dyDescent="0.25">
      <c r="A4659" s="213" t="s">
        <v>327</v>
      </c>
      <c r="D4659" s="213" t="s">
        <v>38781</v>
      </c>
      <c r="E4659" s="213" t="s">
        <v>38782</v>
      </c>
      <c r="K4659" s="213" t="s">
        <v>61284</v>
      </c>
      <c r="L4659" s="213" t="s">
        <v>61350</v>
      </c>
      <c r="M4659" s="213" t="s">
        <v>61416</v>
      </c>
      <c r="N4659" s="213" t="s">
        <v>38783</v>
      </c>
      <c r="O4659" s="213" t="s">
        <v>38784</v>
      </c>
      <c r="P4659" s="213" t="s">
        <v>38785</v>
      </c>
      <c r="Q4659" s="213" t="s">
        <v>38786</v>
      </c>
      <c r="R4659" s="213" t="s">
        <v>38787</v>
      </c>
      <c r="S4659" s="213" t="s">
        <v>38788</v>
      </c>
      <c r="T4659" s="213" t="s">
        <v>38789</v>
      </c>
      <c r="U4659" s="213" t="s">
        <v>61482</v>
      </c>
    </row>
    <row r="4660" spans="1:21" x14ac:dyDescent="0.25">
      <c r="A4660" s="213" t="s">
        <v>327</v>
      </c>
      <c r="D4660" s="213" t="s">
        <v>38790</v>
      </c>
      <c r="E4660" s="213" t="s">
        <v>38791</v>
      </c>
      <c r="K4660" s="213" t="s">
        <v>61285</v>
      </c>
      <c r="L4660" s="213" t="s">
        <v>61351</v>
      </c>
      <c r="M4660" s="213" t="s">
        <v>61417</v>
      </c>
      <c r="N4660" s="213" t="s">
        <v>38792</v>
      </c>
      <c r="O4660" s="213" t="s">
        <v>38793</v>
      </c>
      <c r="P4660" s="213" t="s">
        <v>38794</v>
      </c>
      <c r="Q4660" s="213" t="s">
        <v>38795</v>
      </c>
      <c r="R4660" s="213" t="s">
        <v>38796</v>
      </c>
      <c r="S4660" s="213" t="s">
        <v>38797</v>
      </c>
      <c r="T4660" s="213" t="s">
        <v>38798</v>
      </c>
      <c r="U4660" s="213" t="s">
        <v>61483</v>
      </c>
    </row>
    <row r="4661" spans="1:21" x14ac:dyDescent="0.25">
      <c r="A4661" s="213" t="s">
        <v>327</v>
      </c>
      <c r="D4661" s="213" t="s">
        <v>38799</v>
      </c>
      <c r="E4661" s="213" t="s">
        <v>38800</v>
      </c>
      <c r="K4661" s="213" t="s">
        <v>61286</v>
      </c>
      <c r="L4661" s="213" t="s">
        <v>61352</v>
      </c>
      <c r="M4661" s="213" t="s">
        <v>61418</v>
      </c>
      <c r="N4661" s="213" t="s">
        <v>38801</v>
      </c>
      <c r="O4661" s="213" t="s">
        <v>38802</v>
      </c>
      <c r="P4661" s="213" t="s">
        <v>38803</v>
      </c>
      <c r="Q4661" s="213" t="s">
        <v>38804</v>
      </c>
      <c r="R4661" s="213" t="s">
        <v>38805</v>
      </c>
      <c r="S4661" s="213" t="s">
        <v>38806</v>
      </c>
      <c r="T4661" s="213" t="s">
        <v>38807</v>
      </c>
      <c r="U4661" s="213" t="s">
        <v>61484</v>
      </c>
    </row>
    <row r="4662" spans="1:21" x14ac:dyDescent="0.25">
      <c r="A4662" s="213" t="s">
        <v>327</v>
      </c>
      <c r="D4662" s="213" t="s">
        <v>38808</v>
      </c>
      <c r="E4662" s="213" t="s">
        <v>38809</v>
      </c>
      <c r="K4662" s="213" t="s">
        <v>61287</v>
      </c>
      <c r="L4662" s="213" t="s">
        <v>61353</v>
      </c>
      <c r="M4662" s="213" t="s">
        <v>61419</v>
      </c>
      <c r="N4662" s="213" t="s">
        <v>38810</v>
      </c>
      <c r="O4662" s="213" t="s">
        <v>38811</v>
      </c>
      <c r="P4662" s="213" t="s">
        <v>38812</v>
      </c>
      <c r="Q4662" s="213" t="s">
        <v>38813</v>
      </c>
      <c r="R4662" s="213" t="s">
        <v>38814</v>
      </c>
      <c r="S4662" s="213" t="s">
        <v>38815</v>
      </c>
      <c r="T4662" s="213" t="s">
        <v>38816</v>
      </c>
      <c r="U4662" s="213" t="s">
        <v>61485</v>
      </c>
    </row>
    <row r="4663" spans="1:21" x14ac:dyDescent="0.25">
      <c r="A4663" s="213" t="s">
        <v>327</v>
      </c>
    </row>
    <row r="4664" spans="1:21" x14ac:dyDescent="0.25">
      <c r="A4664" s="213" t="s">
        <v>327</v>
      </c>
    </row>
    <row r="4665" spans="1:21" x14ac:dyDescent="0.25">
      <c r="A4665" s="213" t="s">
        <v>327</v>
      </c>
      <c r="C4665" s="213" t="s">
        <v>38817</v>
      </c>
      <c r="E4665" s="213" t="s">
        <v>38818</v>
      </c>
      <c r="H4665" s="213" t="s">
        <v>38819</v>
      </c>
      <c r="I4665" s="213" t="s">
        <v>38820</v>
      </c>
      <c r="J4665" s="213" t="s">
        <v>38821</v>
      </c>
      <c r="L4665" s="213" t="s">
        <v>38822</v>
      </c>
      <c r="O4665" s="213" t="s">
        <v>38823</v>
      </c>
      <c r="P4665" s="213" t="s">
        <v>38824</v>
      </c>
      <c r="Q4665" s="213" t="s">
        <v>38825</v>
      </c>
      <c r="R4665" s="213" t="s">
        <v>38826</v>
      </c>
      <c r="S4665" s="213" t="s">
        <v>38827</v>
      </c>
      <c r="T4665" s="213" t="s">
        <v>38828</v>
      </c>
    </row>
    <row r="4666" spans="1:21" x14ac:dyDescent="0.25">
      <c r="A4666" s="213" t="s">
        <v>327</v>
      </c>
      <c r="C4666" s="213" t="s">
        <v>38829</v>
      </c>
      <c r="E4666" s="213" t="s">
        <v>38830</v>
      </c>
      <c r="I4666" s="213" t="s">
        <v>38831</v>
      </c>
    </row>
    <row r="4667" spans="1:21" x14ac:dyDescent="0.25">
      <c r="A4667" s="213" t="s">
        <v>327</v>
      </c>
      <c r="C4667" s="213" t="s">
        <v>38832</v>
      </c>
      <c r="E4667" s="213" t="s">
        <v>38833</v>
      </c>
      <c r="I4667" s="213" t="s">
        <v>38834</v>
      </c>
    </row>
    <row r="4668" spans="1:21" x14ac:dyDescent="0.25">
      <c r="A4668" s="213" t="s">
        <v>328</v>
      </c>
    </row>
    <row r="4669" spans="1:21" x14ac:dyDescent="0.25">
      <c r="A4669" s="213" t="s">
        <v>327</v>
      </c>
      <c r="D4669" s="213" t="s">
        <v>38835</v>
      </c>
      <c r="E4669" s="213" t="s">
        <v>38836</v>
      </c>
      <c r="K4669" s="213" t="s">
        <v>61066</v>
      </c>
      <c r="L4669" s="213" t="s">
        <v>61105</v>
      </c>
      <c r="M4669" s="213" t="s">
        <v>61144</v>
      </c>
      <c r="N4669" s="213" t="s">
        <v>38837</v>
      </c>
      <c r="O4669" s="213" t="s">
        <v>38838</v>
      </c>
      <c r="P4669" s="213" t="s">
        <v>38839</v>
      </c>
      <c r="Q4669" s="213" t="s">
        <v>38840</v>
      </c>
      <c r="R4669" s="213" t="s">
        <v>38841</v>
      </c>
      <c r="S4669" s="213" t="s">
        <v>38842</v>
      </c>
      <c r="T4669" s="213" t="s">
        <v>38843</v>
      </c>
      <c r="U4669" s="213" t="s">
        <v>61183</v>
      </c>
    </row>
    <row r="4670" spans="1:21" x14ac:dyDescent="0.25">
      <c r="A4670" s="213" t="s">
        <v>327</v>
      </c>
      <c r="D4670" s="213" t="s">
        <v>38844</v>
      </c>
      <c r="E4670" s="213" t="s">
        <v>38845</v>
      </c>
      <c r="K4670" s="213" t="s">
        <v>61067</v>
      </c>
      <c r="L4670" s="213" t="s">
        <v>61106</v>
      </c>
      <c r="M4670" s="213" t="s">
        <v>61145</v>
      </c>
      <c r="N4670" s="213" t="s">
        <v>38846</v>
      </c>
      <c r="O4670" s="213" t="s">
        <v>38847</v>
      </c>
      <c r="P4670" s="213" t="s">
        <v>38848</v>
      </c>
      <c r="Q4670" s="213" t="s">
        <v>38849</v>
      </c>
      <c r="R4670" s="213" t="s">
        <v>38850</v>
      </c>
      <c r="S4670" s="213" t="s">
        <v>38851</v>
      </c>
      <c r="T4670" s="213" t="s">
        <v>38852</v>
      </c>
      <c r="U4670" s="213" t="s">
        <v>61184</v>
      </c>
    </row>
    <row r="4671" spans="1:21" x14ac:dyDescent="0.25">
      <c r="A4671" s="213" t="s">
        <v>327</v>
      </c>
      <c r="D4671" s="213" t="s">
        <v>38853</v>
      </c>
      <c r="E4671" s="213" t="s">
        <v>38854</v>
      </c>
      <c r="K4671" s="213" t="s">
        <v>61068</v>
      </c>
      <c r="L4671" s="213" t="s">
        <v>61107</v>
      </c>
      <c r="M4671" s="213" t="s">
        <v>61146</v>
      </c>
      <c r="N4671" s="213" t="s">
        <v>38855</v>
      </c>
      <c r="O4671" s="213" t="s">
        <v>38856</v>
      </c>
      <c r="P4671" s="213" t="s">
        <v>38857</v>
      </c>
      <c r="Q4671" s="213" t="s">
        <v>38858</v>
      </c>
      <c r="R4671" s="213" t="s">
        <v>38859</v>
      </c>
      <c r="S4671" s="213" t="s">
        <v>38860</v>
      </c>
      <c r="T4671" s="213" t="s">
        <v>38861</v>
      </c>
      <c r="U4671" s="213" t="s">
        <v>61185</v>
      </c>
    </row>
    <row r="4672" spans="1:21" x14ac:dyDescent="0.25">
      <c r="A4672" s="213" t="s">
        <v>327</v>
      </c>
      <c r="D4672" s="213" t="s">
        <v>38862</v>
      </c>
      <c r="E4672" s="213" t="s">
        <v>38863</v>
      </c>
      <c r="K4672" s="213" t="s">
        <v>61069</v>
      </c>
      <c r="L4672" s="213" t="s">
        <v>61108</v>
      </c>
      <c r="M4672" s="213" t="s">
        <v>61147</v>
      </c>
      <c r="N4672" s="213" t="s">
        <v>38864</v>
      </c>
      <c r="O4672" s="213" t="s">
        <v>38865</v>
      </c>
      <c r="P4672" s="213" t="s">
        <v>38866</v>
      </c>
      <c r="Q4672" s="213" t="s">
        <v>38867</v>
      </c>
      <c r="R4672" s="213" t="s">
        <v>38868</v>
      </c>
      <c r="S4672" s="213" t="s">
        <v>38869</v>
      </c>
      <c r="T4672" s="213" t="s">
        <v>38870</v>
      </c>
      <c r="U4672" s="213" t="s">
        <v>61186</v>
      </c>
    </row>
    <row r="4673" spans="1:21" x14ac:dyDescent="0.25">
      <c r="A4673" s="213" t="s">
        <v>327</v>
      </c>
      <c r="D4673" s="213" t="s">
        <v>38871</v>
      </c>
      <c r="E4673" s="213" t="s">
        <v>38872</v>
      </c>
      <c r="K4673" s="213" t="s">
        <v>61070</v>
      </c>
      <c r="L4673" s="213" t="s">
        <v>61109</v>
      </c>
      <c r="M4673" s="213" t="s">
        <v>61148</v>
      </c>
      <c r="N4673" s="213" t="s">
        <v>38873</v>
      </c>
      <c r="O4673" s="213" t="s">
        <v>38874</v>
      </c>
      <c r="P4673" s="213" t="s">
        <v>38875</v>
      </c>
      <c r="Q4673" s="213" t="s">
        <v>38876</v>
      </c>
      <c r="R4673" s="213" t="s">
        <v>38877</v>
      </c>
      <c r="S4673" s="213" t="s">
        <v>38878</v>
      </c>
      <c r="T4673" s="213" t="s">
        <v>38879</v>
      </c>
      <c r="U4673" s="213" t="s">
        <v>61187</v>
      </c>
    </row>
    <row r="4674" spans="1:21" x14ac:dyDescent="0.25">
      <c r="A4674" s="213" t="s">
        <v>327</v>
      </c>
      <c r="D4674" s="213" t="s">
        <v>38880</v>
      </c>
      <c r="E4674" s="213" t="s">
        <v>38881</v>
      </c>
      <c r="K4674" s="213" t="s">
        <v>61071</v>
      </c>
      <c r="L4674" s="213" t="s">
        <v>61110</v>
      </c>
      <c r="M4674" s="213" t="s">
        <v>61149</v>
      </c>
      <c r="N4674" s="213" t="s">
        <v>38882</v>
      </c>
      <c r="O4674" s="213" t="s">
        <v>38883</v>
      </c>
      <c r="P4674" s="213" t="s">
        <v>38884</v>
      </c>
      <c r="Q4674" s="213" t="s">
        <v>38885</v>
      </c>
      <c r="R4674" s="213" t="s">
        <v>38886</v>
      </c>
      <c r="S4674" s="213" t="s">
        <v>38887</v>
      </c>
      <c r="T4674" s="213" t="s">
        <v>38888</v>
      </c>
      <c r="U4674" s="213" t="s">
        <v>61188</v>
      </c>
    </row>
    <row r="4675" spans="1:21" x14ac:dyDescent="0.25">
      <c r="A4675" s="213" t="s">
        <v>327</v>
      </c>
      <c r="D4675" s="213" t="s">
        <v>38889</v>
      </c>
      <c r="E4675" s="213" t="s">
        <v>38890</v>
      </c>
      <c r="K4675" s="213" t="s">
        <v>61072</v>
      </c>
      <c r="L4675" s="213" t="s">
        <v>61111</v>
      </c>
      <c r="M4675" s="213" t="s">
        <v>61150</v>
      </c>
      <c r="N4675" s="213" t="s">
        <v>38891</v>
      </c>
      <c r="O4675" s="213" t="s">
        <v>38892</v>
      </c>
      <c r="P4675" s="213" t="s">
        <v>38893</v>
      </c>
      <c r="Q4675" s="213" t="s">
        <v>38894</v>
      </c>
      <c r="R4675" s="213" t="s">
        <v>38895</v>
      </c>
      <c r="S4675" s="213" t="s">
        <v>38896</v>
      </c>
      <c r="T4675" s="213" t="s">
        <v>38897</v>
      </c>
      <c r="U4675" s="213" t="s">
        <v>61189</v>
      </c>
    </row>
    <row r="4676" spans="1:21" x14ac:dyDescent="0.25">
      <c r="A4676" s="213" t="s">
        <v>327</v>
      </c>
      <c r="D4676" s="213" t="s">
        <v>38898</v>
      </c>
      <c r="E4676" s="213" t="s">
        <v>38899</v>
      </c>
      <c r="K4676" s="213" t="s">
        <v>61073</v>
      </c>
      <c r="L4676" s="213" t="s">
        <v>61112</v>
      </c>
      <c r="M4676" s="213" t="s">
        <v>61151</v>
      </c>
      <c r="N4676" s="213" t="s">
        <v>38900</v>
      </c>
      <c r="O4676" s="213" t="s">
        <v>38901</v>
      </c>
      <c r="P4676" s="213" t="s">
        <v>38902</v>
      </c>
      <c r="Q4676" s="213" t="s">
        <v>38903</v>
      </c>
      <c r="R4676" s="213" t="s">
        <v>38904</v>
      </c>
      <c r="S4676" s="213" t="s">
        <v>38905</v>
      </c>
      <c r="T4676" s="213" t="s">
        <v>38906</v>
      </c>
      <c r="U4676" s="213" t="s">
        <v>61190</v>
      </c>
    </row>
    <row r="4677" spans="1:21" x14ac:dyDescent="0.25">
      <c r="A4677" s="213" t="s">
        <v>327</v>
      </c>
      <c r="D4677" s="213" t="s">
        <v>38907</v>
      </c>
      <c r="E4677" s="213" t="s">
        <v>38908</v>
      </c>
      <c r="K4677" s="213" t="s">
        <v>61074</v>
      </c>
      <c r="L4677" s="213" t="s">
        <v>61113</v>
      </c>
      <c r="M4677" s="213" t="s">
        <v>61152</v>
      </c>
      <c r="N4677" s="213" t="s">
        <v>38909</v>
      </c>
      <c r="O4677" s="213" t="s">
        <v>38910</v>
      </c>
      <c r="P4677" s="213" t="s">
        <v>38911</v>
      </c>
      <c r="Q4677" s="213" t="s">
        <v>38912</v>
      </c>
      <c r="R4677" s="213" t="s">
        <v>38913</v>
      </c>
      <c r="S4677" s="213" t="s">
        <v>38914</v>
      </c>
      <c r="T4677" s="213" t="s">
        <v>38915</v>
      </c>
      <c r="U4677" s="213" t="s">
        <v>61191</v>
      </c>
    </row>
    <row r="4678" spans="1:21" x14ac:dyDescent="0.25">
      <c r="A4678" s="213" t="s">
        <v>327</v>
      </c>
      <c r="D4678" s="213" t="s">
        <v>38916</v>
      </c>
      <c r="E4678" s="213" t="s">
        <v>38917</v>
      </c>
      <c r="K4678" s="213" t="s">
        <v>61075</v>
      </c>
      <c r="L4678" s="213" t="s">
        <v>61114</v>
      </c>
      <c r="M4678" s="213" t="s">
        <v>61153</v>
      </c>
      <c r="N4678" s="213" t="s">
        <v>38918</v>
      </c>
      <c r="O4678" s="213" t="s">
        <v>38919</v>
      </c>
      <c r="P4678" s="213" t="s">
        <v>38920</v>
      </c>
      <c r="Q4678" s="213" t="s">
        <v>38921</v>
      </c>
      <c r="R4678" s="213" t="s">
        <v>38922</v>
      </c>
      <c r="S4678" s="213" t="s">
        <v>38923</v>
      </c>
      <c r="T4678" s="213" t="s">
        <v>38924</v>
      </c>
      <c r="U4678" s="213" t="s">
        <v>61192</v>
      </c>
    </row>
    <row r="4679" spans="1:21" x14ac:dyDescent="0.25">
      <c r="A4679" s="213" t="s">
        <v>327</v>
      </c>
      <c r="D4679" s="213" t="s">
        <v>38925</v>
      </c>
      <c r="E4679" s="213" t="s">
        <v>38926</v>
      </c>
      <c r="K4679" s="213" t="s">
        <v>61076</v>
      </c>
      <c r="L4679" s="213" t="s">
        <v>61115</v>
      </c>
      <c r="M4679" s="213" t="s">
        <v>61154</v>
      </c>
      <c r="N4679" s="213" t="s">
        <v>38927</v>
      </c>
      <c r="O4679" s="213" t="s">
        <v>38928</v>
      </c>
      <c r="P4679" s="213" t="s">
        <v>38929</v>
      </c>
      <c r="Q4679" s="213" t="s">
        <v>38930</v>
      </c>
      <c r="R4679" s="213" t="s">
        <v>38931</v>
      </c>
      <c r="S4679" s="213" t="s">
        <v>38932</v>
      </c>
      <c r="T4679" s="213" t="s">
        <v>38933</v>
      </c>
      <c r="U4679" s="213" t="s">
        <v>61193</v>
      </c>
    </row>
    <row r="4680" spans="1:21" x14ac:dyDescent="0.25">
      <c r="A4680" s="213" t="s">
        <v>327</v>
      </c>
      <c r="D4680" s="213" t="s">
        <v>38934</v>
      </c>
      <c r="E4680" s="213" t="s">
        <v>38935</v>
      </c>
      <c r="K4680" s="213" t="s">
        <v>61077</v>
      </c>
      <c r="L4680" s="213" t="s">
        <v>61116</v>
      </c>
      <c r="M4680" s="213" t="s">
        <v>61155</v>
      </c>
      <c r="N4680" s="213" t="s">
        <v>38936</v>
      </c>
      <c r="O4680" s="213" t="s">
        <v>38937</v>
      </c>
      <c r="P4680" s="213" t="s">
        <v>38938</v>
      </c>
      <c r="Q4680" s="213" t="s">
        <v>38939</v>
      </c>
      <c r="R4680" s="213" t="s">
        <v>38940</v>
      </c>
      <c r="S4680" s="213" t="s">
        <v>38941</v>
      </c>
      <c r="T4680" s="213" t="s">
        <v>38942</v>
      </c>
      <c r="U4680" s="213" t="s">
        <v>61194</v>
      </c>
    </row>
    <row r="4681" spans="1:21" x14ac:dyDescent="0.25">
      <c r="A4681" s="213" t="s">
        <v>327</v>
      </c>
      <c r="D4681" s="213" t="s">
        <v>38943</v>
      </c>
      <c r="E4681" s="213" t="s">
        <v>38944</v>
      </c>
      <c r="K4681" s="213" t="s">
        <v>61078</v>
      </c>
      <c r="L4681" s="213" t="s">
        <v>61117</v>
      </c>
      <c r="M4681" s="213" t="s">
        <v>61156</v>
      </c>
      <c r="N4681" s="213" t="s">
        <v>38945</v>
      </c>
      <c r="O4681" s="213" t="s">
        <v>38946</v>
      </c>
      <c r="P4681" s="213" t="s">
        <v>38947</v>
      </c>
      <c r="Q4681" s="213" t="s">
        <v>38948</v>
      </c>
      <c r="R4681" s="213" t="s">
        <v>38949</v>
      </c>
      <c r="S4681" s="213" t="s">
        <v>38950</v>
      </c>
      <c r="T4681" s="213" t="s">
        <v>38951</v>
      </c>
      <c r="U4681" s="213" t="s">
        <v>61195</v>
      </c>
    </row>
    <row r="4682" spans="1:21" x14ac:dyDescent="0.25">
      <c r="A4682" s="213" t="s">
        <v>327</v>
      </c>
      <c r="D4682" s="213" t="s">
        <v>38952</v>
      </c>
      <c r="E4682" s="213" t="s">
        <v>38953</v>
      </c>
      <c r="K4682" s="213" t="s">
        <v>61079</v>
      </c>
      <c r="L4682" s="213" t="s">
        <v>61118</v>
      </c>
      <c r="M4682" s="213" t="s">
        <v>61157</v>
      </c>
      <c r="N4682" s="213" t="s">
        <v>38954</v>
      </c>
      <c r="O4682" s="213" t="s">
        <v>38955</v>
      </c>
      <c r="P4682" s="213" t="s">
        <v>38956</v>
      </c>
      <c r="Q4682" s="213" t="s">
        <v>38957</v>
      </c>
      <c r="R4682" s="213" t="s">
        <v>38958</v>
      </c>
      <c r="S4682" s="213" t="s">
        <v>38959</v>
      </c>
      <c r="T4682" s="213" t="s">
        <v>38960</v>
      </c>
      <c r="U4682" s="213" t="s">
        <v>61196</v>
      </c>
    </row>
    <row r="4683" spans="1:21" x14ac:dyDescent="0.25">
      <c r="A4683" s="213" t="s">
        <v>327</v>
      </c>
      <c r="D4683" s="213" t="s">
        <v>38961</v>
      </c>
      <c r="E4683" s="213" t="s">
        <v>38962</v>
      </c>
      <c r="K4683" s="213" t="s">
        <v>61080</v>
      </c>
      <c r="L4683" s="213" t="s">
        <v>61119</v>
      </c>
      <c r="M4683" s="213" t="s">
        <v>61158</v>
      </c>
      <c r="N4683" s="213" t="s">
        <v>38963</v>
      </c>
      <c r="O4683" s="213" t="s">
        <v>38964</v>
      </c>
      <c r="P4683" s="213" t="s">
        <v>38965</v>
      </c>
      <c r="Q4683" s="213" t="s">
        <v>38966</v>
      </c>
      <c r="R4683" s="213" t="s">
        <v>38967</v>
      </c>
      <c r="S4683" s="213" t="s">
        <v>38968</v>
      </c>
      <c r="T4683" s="213" t="s">
        <v>38969</v>
      </c>
      <c r="U4683" s="213" t="s">
        <v>61197</v>
      </c>
    </row>
    <row r="4684" spans="1:21" x14ac:dyDescent="0.25">
      <c r="A4684" s="213" t="s">
        <v>327</v>
      </c>
      <c r="D4684" s="213" t="s">
        <v>38970</v>
      </c>
      <c r="E4684" s="213" t="s">
        <v>38971</v>
      </c>
      <c r="K4684" s="213" t="s">
        <v>61081</v>
      </c>
      <c r="L4684" s="213" t="s">
        <v>61120</v>
      </c>
      <c r="M4684" s="213" t="s">
        <v>61159</v>
      </c>
      <c r="N4684" s="213" t="s">
        <v>38972</v>
      </c>
      <c r="O4684" s="213" t="s">
        <v>38973</v>
      </c>
      <c r="P4684" s="213" t="s">
        <v>38974</v>
      </c>
      <c r="Q4684" s="213" t="s">
        <v>38975</v>
      </c>
      <c r="R4684" s="213" t="s">
        <v>38976</v>
      </c>
      <c r="S4684" s="213" t="s">
        <v>38977</v>
      </c>
      <c r="T4684" s="213" t="s">
        <v>38978</v>
      </c>
      <c r="U4684" s="213" t="s">
        <v>61198</v>
      </c>
    </row>
    <row r="4685" spans="1:21" x14ac:dyDescent="0.25">
      <c r="A4685" s="213" t="s">
        <v>327</v>
      </c>
      <c r="D4685" s="213" t="s">
        <v>38979</v>
      </c>
      <c r="E4685" s="213" t="s">
        <v>38980</v>
      </c>
      <c r="K4685" s="213" t="s">
        <v>61082</v>
      </c>
      <c r="L4685" s="213" t="s">
        <v>61121</v>
      </c>
      <c r="M4685" s="213" t="s">
        <v>61160</v>
      </c>
      <c r="N4685" s="213" t="s">
        <v>38981</v>
      </c>
      <c r="O4685" s="213" t="s">
        <v>38982</v>
      </c>
      <c r="P4685" s="213" t="s">
        <v>38983</v>
      </c>
      <c r="Q4685" s="213" t="s">
        <v>38984</v>
      </c>
      <c r="R4685" s="213" t="s">
        <v>38985</v>
      </c>
      <c r="S4685" s="213" t="s">
        <v>38986</v>
      </c>
      <c r="T4685" s="213" t="s">
        <v>38987</v>
      </c>
      <c r="U4685" s="213" t="s">
        <v>61199</v>
      </c>
    </row>
    <row r="4686" spans="1:21" x14ac:dyDescent="0.25">
      <c r="A4686" s="213" t="s">
        <v>327</v>
      </c>
      <c r="D4686" s="213" t="s">
        <v>38988</v>
      </c>
      <c r="E4686" s="213" t="s">
        <v>38989</v>
      </c>
      <c r="K4686" s="213" t="s">
        <v>61083</v>
      </c>
      <c r="L4686" s="213" t="s">
        <v>61122</v>
      </c>
      <c r="M4686" s="213" t="s">
        <v>61161</v>
      </c>
      <c r="N4686" s="213" t="s">
        <v>38990</v>
      </c>
      <c r="O4686" s="213" t="s">
        <v>38991</v>
      </c>
      <c r="P4686" s="213" t="s">
        <v>38992</v>
      </c>
      <c r="Q4686" s="213" t="s">
        <v>38993</v>
      </c>
      <c r="R4686" s="213" t="s">
        <v>38994</v>
      </c>
      <c r="S4686" s="213" t="s">
        <v>38995</v>
      </c>
      <c r="T4686" s="213" t="s">
        <v>38996</v>
      </c>
      <c r="U4686" s="213" t="s">
        <v>61200</v>
      </c>
    </row>
    <row r="4687" spans="1:21" x14ac:dyDescent="0.25">
      <c r="A4687" s="213" t="s">
        <v>327</v>
      </c>
      <c r="D4687" s="213" t="s">
        <v>38997</v>
      </c>
      <c r="E4687" s="213" t="s">
        <v>38998</v>
      </c>
      <c r="K4687" s="213" t="s">
        <v>61084</v>
      </c>
      <c r="L4687" s="213" t="s">
        <v>61123</v>
      </c>
      <c r="M4687" s="213" t="s">
        <v>61162</v>
      </c>
      <c r="N4687" s="213" t="s">
        <v>38999</v>
      </c>
      <c r="O4687" s="213" t="s">
        <v>39000</v>
      </c>
      <c r="P4687" s="213" t="s">
        <v>39001</v>
      </c>
      <c r="Q4687" s="213" t="s">
        <v>39002</v>
      </c>
      <c r="R4687" s="213" t="s">
        <v>39003</v>
      </c>
      <c r="S4687" s="213" t="s">
        <v>39004</v>
      </c>
      <c r="T4687" s="213" t="s">
        <v>39005</v>
      </c>
      <c r="U4687" s="213" t="s">
        <v>61201</v>
      </c>
    </row>
    <row r="4688" spans="1:21" x14ac:dyDescent="0.25">
      <c r="A4688" s="213" t="s">
        <v>327</v>
      </c>
      <c r="D4688" s="213" t="s">
        <v>39006</v>
      </c>
      <c r="E4688" s="213" t="s">
        <v>39007</v>
      </c>
      <c r="K4688" s="213" t="s">
        <v>61085</v>
      </c>
      <c r="L4688" s="213" t="s">
        <v>61124</v>
      </c>
      <c r="M4688" s="213" t="s">
        <v>61163</v>
      </c>
      <c r="N4688" s="213" t="s">
        <v>39008</v>
      </c>
      <c r="O4688" s="213" t="s">
        <v>39009</v>
      </c>
      <c r="P4688" s="213" t="s">
        <v>39010</v>
      </c>
      <c r="Q4688" s="213" t="s">
        <v>39011</v>
      </c>
      <c r="R4688" s="213" t="s">
        <v>39012</v>
      </c>
      <c r="S4688" s="213" t="s">
        <v>39013</v>
      </c>
      <c r="T4688" s="213" t="s">
        <v>39014</v>
      </c>
      <c r="U4688" s="213" t="s">
        <v>61202</v>
      </c>
    </row>
    <row r="4689" spans="1:21" x14ac:dyDescent="0.25">
      <c r="A4689" s="213" t="s">
        <v>327</v>
      </c>
      <c r="D4689" s="213" t="s">
        <v>39015</v>
      </c>
      <c r="E4689" s="213" t="s">
        <v>39016</v>
      </c>
      <c r="K4689" s="213" t="s">
        <v>61086</v>
      </c>
      <c r="L4689" s="213" t="s">
        <v>61125</v>
      </c>
      <c r="M4689" s="213" t="s">
        <v>61164</v>
      </c>
      <c r="N4689" s="213" t="s">
        <v>39017</v>
      </c>
      <c r="O4689" s="213" t="s">
        <v>39018</v>
      </c>
      <c r="P4689" s="213" t="s">
        <v>39019</v>
      </c>
      <c r="Q4689" s="213" t="s">
        <v>39020</v>
      </c>
      <c r="R4689" s="213" t="s">
        <v>39021</v>
      </c>
      <c r="S4689" s="213" t="s">
        <v>39022</v>
      </c>
      <c r="T4689" s="213" t="s">
        <v>39023</v>
      </c>
      <c r="U4689" s="213" t="s">
        <v>61203</v>
      </c>
    </row>
    <row r="4690" spans="1:21" x14ac:dyDescent="0.25">
      <c r="A4690" s="213" t="s">
        <v>327</v>
      </c>
      <c r="D4690" s="213" t="s">
        <v>39024</v>
      </c>
      <c r="E4690" s="213" t="s">
        <v>39025</v>
      </c>
      <c r="K4690" s="213" t="s">
        <v>61087</v>
      </c>
      <c r="L4690" s="213" t="s">
        <v>61126</v>
      </c>
      <c r="M4690" s="213" t="s">
        <v>61165</v>
      </c>
      <c r="N4690" s="213" t="s">
        <v>39026</v>
      </c>
      <c r="O4690" s="213" t="s">
        <v>39027</v>
      </c>
      <c r="P4690" s="213" t="s">
        <v>39028</v>
      </c>
      <c r="Q4690" s="213" t="s">
        <v>39029</v>
      </c>
      <c r="R4690" s="213" t="s">
        <v>39030</v>
      </c>
      <c r="S4690" s="213" t="s">
        <v>39031</v>
      </c>
      <c r="T4690" s="213" t="s">
        <v>39032</v>
      </c>
      <c r="U4690" s="213" t="s">
        <v>61204</v>
      </c>
    </row>
    <row r="4691" spans="1:21" x14ac:dyDescent="0.25">
      <c r="A4691" s="213" t="s">
        <v>327</v>
      </c>
      <c r="D4691" s="213" t="s">
        <v>39033</v>
      </c>
      <c r="E4691" s="213" t="s">
        <v>39034</v>
      </c>
      <c r="K4691" s="213" t="s">
        <v>61088</v>
      </c>
      <c r="L4691" s="213" t="s">
        <v>61127</v>
      </c>
      <c r="M4691" s="213" t="s">
        <v>61166</v>
      </c>
      <c r="N4691" s="213" t="s">
        <v>39035</v>
      </c>
      <c r="O4691" s="213" t="s">
        <v>39036</v>
      </c>
      <c r="P4691" s="213" t="s">
        <v>39037</v>
      </c>
      <c r="Q4691" s="213" t="s">
        <v>39038</v>
      </c>
      <c r="R4691" s="213" t="s">
        <v>39039</v>
      </c>
      <c r="S4691" s="213" t="s">
        <v>39040</v>
      </c>
      <c r="T4691" s="213" t="s">
        <v>39041</v>
      </c>
      <c r="U4691" s="213" t="s">
        <v>61205</v>
      </c>
    </row>
    <row r="4692" spans="1:21" x14ac:dyDescent="0.25">
      <c r="A4692" s="213" t="s">
        <v>327</v>
      </c>
      <c r="D4692" s="213" t="s">
        <v>39042</v>
      </c>
      <c r="E4692" s="213" t="s">
        <v>39043</v>
      </c>
      <c r="K4692" s="213" t="s">
        <v>61089</v>
      </c>
      <c r="L4692" s="213" t="s">
        <v>61128</v>
      </c>
      <c r="M4692" s="213" t="s">
        <v>61167</v>
      </c>
      <c r="N4692" s="213" t="s">
        <v>39044</v>
      </c>
      <c r="O4692" s="213" t="s">
        <v>39045</v>
      </c>
      <c r="P4692" s="213" t="s">
        <v>39046</v>
      </c>
      <c r="Q4692" s="213" t="s">
        <v>39047</v>
      </c>
      <c r="R4692" s="213" t="s">
        <v>39048</v>
      </c>
      <c r="S4692" s="213" t="s">
        <v>39049</v>
      </c>
      <c r="T4692" s="213" t="s">
        <v>39050</v>
      </c>
      <c r="U4692" s="213" t="s">
        <v>61206</v>
      </c>
    </row>
    <row r="4693" spans="1:21" x14ac:dyDescent="0.25">
      <c r="A4693" s="213" t="s">
        <v>327</v>
      </c>
      <c r="D4693" s="213" t="s">
        <v>39051</v>
      </c>
      <c r="E4693" s="213" t="s">
        <v>39052</v>
      </c>
      <c r="K4693" s="213" t="s">
        <v>61090</v>
      </c>
      <c r="L4693" s="213" t="s">
        <v>61129</v>
      </c>
      <c r="M4693" s="213" t="s">
        <v>61168</v>
      </c>
      <c r="N4693" s="213" t="s">
        <v>39053</v>
      </c>
      <c r="O4693" s="213" t="s">
        <v>39054</v>
      </c>
      <c r="P4693" s="213" t="s">
        <v>39055</v>
      </c>
      <c r="Q4693" s="213" t="s">
        <v>39056</v>
      </c>
      <c r="R4693" s="213" t="s">
        <v>39057</v>
      </c>
      <c r="S4693" s="213" t="s">
        <v>39058</v>
      </c>
      <c r="T4693" s="213" t="s">
        <v>39059</v>
      </c>
      <c r="U4693" s="213" t="s">
        <v>61207</v>
      </c>
    </row>
    <row r="4694" spans="1:21" x14ac:dyDescent="0.25">
      <c r="A4694" s="213" t="s">
        <v>327</v>
      </c>
      <c r="D4694" s="213" t="s">
        <v>39060</v>
      </c>
      <c r="E4694" s="213" t="s">
        <v>39061</v>
      </c>
      <c r="K4694" s="213" t="s">
        <v>61091</v>
      </c>
      <c r="L4694" s="213" t="s">
        <v>61130</v>
      </c>
      <c r="M4694" s="213" t="s">
        <v>61169</v>
      </c>
      <c r="N4694" s="213" t="s">
        <v>39062</v>
      </c>
      <c r="O4694" s="213" t="s">
        <v>39063</v>
      </c>
      <c r="P4694" s="213" t="s">
        <v>39064</v>
      </c>
      <c r="Q4694" s="213" t="s">
        <v>39065</v>
      </c>
      <c r="R4694" s="213" t="s">
        <v>39066</v>
      </c>
      <c r="S4694" s="213" t="s">
        <v>39067</v>
      </c>
      <c r="T4694" s="213" t="s">
        <v>39068</v>
      </c>
      <c r="U4694" s="213" t="s">
        <v>61208</v>
      </c>
    </row>
    <row r="4695" spans="1:21" x14ac:dyDescent="0.25">
      <c r="A4695" s="213" t="s">
        <v>327</v>
      </c>
      <c r="D4695" s="213" t="s">
        <v>39069</v>
      </c>
      <c r="E4695" s="213" t="s">
        <v>39070</v>
      </c>
      <c r="K4695" s="213" t="s">
        <v>61092</v>
      </c>
      <c r="L4695" s="213" t="s">
        <v>61131</v>
      </c>
      <c r="M4695" s="213" t="s">
        <v>61170</v>
      </c>
      <c r="N4695" s="213" t="s">
        <v>39071</v>
      </c>
      <c r="O4695" s="213" t="s">
        <v>39072</v>
      </c>
      <c r="P4695" s="213" t="s">
        <v>39073</v>
      </c>
      <c r="Q4695" s="213" t="s">
        <v>39074</v>
      </c>
      <c r="R4695" s="213" t="s">
        <v>39075</v>
      </c>
      <c r="S4695" s="213" t="s">
        <v>39076</v>
      </c>
      <c r="T4695" s="213" t="s">
        <v>39077</v>
      </c>
      <c r="U4695" s="213" t="s">
        <v>61209</v>
      </c>
    </row>
    <row r="4696" spans="1:21" x14ac:dyDescent="0.25">
      <c r="A4696" s="213" t="s">
        <v>327</v>
      </c>
      <c r="D4696" s="213" t="s">
        <v>39078</v>
      </c>
      <c r="E4696" s="213" t="s">
        <v>39079</v>
      </c>
      <c r="K4696" s="213" t="s">
        <v>61093</v>
      </c>
      <c r="L4696" s="213" t="s">
        <v>61132</v>
      </c>
      <c r="M4696" s="213" t="s">
        <v>61171</v>
      </c>
      <c r="N4696" s="213" t="s">
        <v>39080</v>
      </c>
      <c r="O4696" s="213" t="s">
        <v>39081</v>
      </c>
      <c r="P4696" s="213" t="s">
        <v>39082</v>
      </c>
      <c r="Q4696" s="213" t="s">
        <v>39083</v>
      </c>
      <c r="R4696" s="213" t="s">
        <v>39084</v>
      </c>
      <c r="S4696" s="213" t="s">
        <v>39085</v>
      </c>
      <c r="T4696" s="213" t="s">
        <v>39086</v>
      </c>
      <c r="U4696" s="213" t="s">
        <v>61210</v>
      </c>
    </row>
    <row r="4697" spans="1:21" x14ac:dyDescent="0.25">
      <c r="A4697" s="213" t="s">
        <v>327</v>
      </c>
      <c r="D4697" s="213" t="s">
        <v>39087</v>
      </c>
      <c r="E4697" s="213" t="s">
        <v>39088</v>
      </c>
      <c r="K4697" s="213" t="s">
        <v>61094</v>
      </c>
      <c r="L4697" s="213" t="s">
        <v>61133</v>
      </c>
      <c r="M4697" s="213" t="s">
        <v>61172</v>
      </c>
      <c r="N4697" s="213" t="s">
        <v>39089</v>
      </c>
      <c r="O4697" s="213" t="s">
        <v>39090</v>
      </c>
      <c r="P4697" s="213" t="s">
        <v>39091</v>
      </c>
      <c r="Q4697" s="213" t="s">
        <v>39092</v>
      </c>
      <c r="R4697" s="213" t="s">
        <v>39093</v>
      </c>
      <c r="S4697" s="213" t="s">
        <v>39094</v>
      </c>
      <c r="T4697" s="213" t="s">
        <v>39095</v>
      </c>
      <c r="U4697" s="213" t="s">
        <v>61211</v>
      </c>
    </row>
    <row r="4698" spans="1:21" x14ac:dyDescent="0.25">
      <c r="A4698" s="213" t="s">
        <v>327</v>
      </c>
      <c r="D4698" s="213" t="s">
        <v>39096</v>
      </c>
      <c r="E4698" s="213" t="s">
        <v>39097</v>
      </c>
      <c r="K4698" s="213" t="s">
        <v>61095</v>
      </c>
      <c r="L4698" s="213" t="s">
        <v>61134</v>
      </c>
      <c r="M4698" s="213" t="s">
        <v>61173</v>
      </c>
      <c r="N4698" s="213" t="s">
        <v>39098</v>
      </c>
      <c r="O4698" s="213" t="s">
        <v>39099</v>
      </c>
      <c r="P4698" s="213" t="s">
        <v>39100</v>
      </c>
      <c r="Q4698" s="213" t="s">
        <v>39101</v>
      </c>
      <c r="R4698" s="213" t="s">
        <v>39102</v>
      </c>
      <c r="S4698" s="213" t="s">
        <v>39103</v>
      </c>
      <c r="T4698" s="213" t="s">
        <v>39104</v>
      </c>
      <c r="U4698" s="213" t="s">
        <v>61212</v>
      </c>
    </row>
    <row r="4699" spans="1:21" x14ac:dyDescent="0.25">
      <c r="A4699" s="213" t="s">
        <v>327</v>
      </c>
      <c r="D4699" s="213" t="s">
        <v>39105</v>
      </c>
      <c r="E4699" s="213" t="s">
        <v>39106</v>
      </c>
      <c r="K4699" s="213" t="s">
        <v>61096</v>
      </c>
      <c r="L4699" s="213" t="s">
        <v>61135</v>
      </c>
      <c r="M4699" s="213" t="s">
        <v>61174</v>
      </c>
      <c r="N4699" s="213" t="s">
        <v>39107</v>
      </c>
      <c r="O4699" s="213" t="s">
        <v>39108</v>
      </c>
      <c r="P4699" s="213" t="s">
        <v>39109</v>
      </c>
      <c r="Q4699" s="213" t="s">
        <v>39110</v>
      </c>
      <c r="R4699" s="213" t="s">
        <v>39111</v>
      </c>
      <c r="S4699" s="213" t="s">
        <v>39112</v>
      </c>
      <c r="T4699" s="213" t="s">
        <v>39113</v>
      </c>
      <c r="U4699" s="213" t="s">
        <v>61213</v>
      </c>
    </row>
    <row r="4700" spans="1:21" x14ac:dyDescent="0.25">
      <c r="A4700" s="213" t="s">
        <v>327</v>
      </c>
      <c r="D4700" s="213" t="s">
        <v>39114</v>
      </c>
      <c r="E4700" s="213" t="s">
        <v>39115</v>
      </c>
      <c r="K4700" s="213" t="s">
        <v>61097</v>
      </c>
      <c r="L4700" s="213" t="s">
        <v>61136</v>
      </c>
      <c r="M4700" s="213" t="s">
        <v>61175</v>
      </c>
      <c r="N4700" s="213" t="s">
        <v>39116</v>
      </c>
      <c r="O4700" s="213" t="s">
        <v>39117</v>
      </c>
      <c r="P4700" s="213" t="s">
        <v>39118</v>
      </c>
      <c r="Q4700" s="213" t="s">
        <v>39119</v>
      </c>
      <c r="R4700" s="213" t="s">
        <v>39120</v>
      </c>
      <c r="S4700" s="213" t="s">
        <v>39121</v>
      </c>
      <c r="T4700" s="213" t="s">
        <v>39122</v>
      </c>
      <c r="U4700" s="213" t="s">
        <v>61214</v>
      </c>
    </row>
    <row r="4701" spans="1:21" x14ac:dyDescent="0.25">
      <c r="A4701" s="213" t="s">
        <v>327</v>
      </c>
      <c r="D4701" s="213" t="s">
        <v>39123</v>
      </c>
      <c r="E4701" s="213" t="s">
        <v>39124</v>
      </c>
      <c r="K4701" s="213" t="s">
        <v>61098</v>
      </c>
      <c r="L4701" s="213" t="s">
        <v>61137</v>
      </c>
      <c r="M4701" s="213" t="s">
        <v>61176</v>
      </c>
      <c r="N4701" s="213" t="s">
        <v>39125</v>
      </c>
      <c r="O4701" s="213" t="s">
        <v>39126</v>
      </c>
      <c r="P4701" s="213" t="s">
        <v>39127</v>
      </c>
      <c r="Q4701" s="213" t="s">
        <v>39128</v>
      </c>
      <c r="R4701" s="213" t="s">
        <v>39129</v>
      </c>
      <c r="S4701" s="213" t="s">
        <v>39130</v>
      </c>
      <c r="T4701" s="213" t="s">
        <v>39131</v>
      </c>
      <c r="U4701" s="213" t="s">
        <v>61215</v>
      </c>
    </row>
    <row r="4702" spans="1:21" x14ac:dyDescent="0.25">
      <c r="A4702" s="213" t="s">
        <v>327</v>
      </c>
      <c r="D4702" s="213" t="s">
        <v>39132</v>
      </c>
      <c r="E4702" s="213" t="s">
        <v>39133</v>
      </c>
      <c r="K4702" s="213" t="s">
        <v>61099</v>
      </c>
      <c r="L4702" s="213" t="s">
        <v>61138</v>
      </c>
      <c r="M4702" s="213" t="s">
        <v>61177</v>
      </c>
      <c r="N4702" s="213" t="s">
        <v>39134</v>
      </c>
      <c r="O4702" s="213" t="s">
        <v>39135</v>
      </c>
      <c r="P4702" s="213" t="s">
        <v>39136</v>
      </c>
      <c r="Q4702" s="213" t="s">
        <v>39137</v>
      </c>
      <c r="R4702" s="213" t="s">
        <v>39138</v>
      </c>
      <c r="S4702" s="213" t="s">
        <v>39139</v>
      </c>
      <c r="T4702" s="213" t="s">
        <v>39140</v>
      </c>
      <c r="U4702" s="213" t="s">
        <v>61216</v>
      </c>
    </row>
    <row r="4703" spans="1:21" x14ac:dyDescent="0.25">
      <c r="A4703" s="213" t="s">
        <v>327</v>
      </c>
      <c r="D4703" s="213" t="s">
        <v>39141</v>
      </c>
      <c r="E4703" s="213" t="s">
        <v>39142</v>
      </c>
      <c r="K4703" s="213" t="s">
        <v>61100</v>
      </c>
      <c r="L4703" s="213" t="s">
        <v>61139</v>
      </c>
      <c r="M4703" s="213" t="s">
        <v>61178</v>
      </c>
      <c r="N4703" s="213" t="s">
        <v>39143</v>
      </c>
      <c r="O4703" s="213" t="s">
        <v>39144</v>
      </c>
      <c r="P4703" s="213" t="s">
        <v>39145</v>
      </c>
      <c r="Q4703" s="213" t="s">
        <v>39146</v>
      </c>
      <c r="R4703" s="213" t="s">
        <v>39147</v>
      </c>
      <c r="S4703" s="213" t="s">
        <v>39148</v>
      </c>
      <c r="T4703" s="213" t="s">
        <v>39149</v>
      </c>
      <c r="U4703" s="213" t="s">
        <v>61217</v>
      </c>
    </row>
    <row r="4704" spans="1:21" x14ac:dyDescent="0.25">
      <c r="A4704" s="213" t="s">
        <v>327</v>
      </c>
      <c r="D4704" s="213" t="s">
        <v>39150</v>
      </c>
      <c r="E4704" s="213" t="s">
        <v>39151</v>
      </c>
      <c r="K4704" s="213" t="s">
        <v>61101</v>
      </c>
      <c r="L4704" s="213" t="s">
        <v>61140</v>
      </c>
      <c r="M4704" s="213" t="s">
        <v>61179</v>
      </c>
      <c r="N4704" s="213" t="s">
        <v>39152</v>
      </c>
      <c r="O4704" s="213" t="s">
        <v>39153</v>
      </c>
      <c r="P4704" s="213" t="s">
        <v>39154</v>
      </c>
      <c r="Q4704" s="213" t="s">
        <v>39155</v>
      </c>
      <c r="R4704" s="213" t="s">
        <v>39156</v>
      </c>
      <c r="S4704" s="213" t="s">
        <v>39157</v>
      </c>
      <c r="T4704" s="213" t="s">
        <v>39158</v>
      </c>
      <c r="U4704" s="213" t="s">
        <v>61218</v>
      </c>
    </row>
    <row r="4705" spans="1:21" x14ac:dyDescent="0.25">
      <c r="A4705" s="213" t="s">
        <v>327</v>
      </c>
      <c r="D4705" s="213" t="s">
        <v>39159</v>
      </c>
      <c r="E4705" s="213" t="s">
        <v>39160</v>
      </c>
      <c r="K4705" s="213" t="s">
        <v>61102</v>
      </c>
      <c r="L4705" s="213" t="s">
        <v>61141</v>
      </c>
      <c r="M4705" s="213" t="s">
        <v>61180</v>
      </c>
      <c r="N4705" s="213" t="s">
        <v>39161</v>
      </c>
      <c r="O4705" s="213" t="s">
        <v>39162</v>
      </c>
      <c r="P4705" s="213" t="s">
        <v>39163</v>
      </c>
      <c r="Q4705" s="213" t="s">
        <v>39164</v>
      </c>
      <c r="R4705" s="213" t="s">
        <v>39165</v>
      </c>
      <c r="S4705" s="213" t="s">
        <v>39166</v>
      </c>
      <c r="T4705" s="213" t="s">
        <v>39167</v>
      </c>
      <c r="U4705" s="213" t="s">
        <v>61219</v>
      </c>
    </row>
    <row r="4706" spans="1:21" x14ac:dyDescent="0.25">
      <c r="A4706" s="213" t="s">
        <v>327</v>
      </c>
      <c r="D4706" s="213" t="s">
        <v>39168</v>
      </c>
      <c r="E4706" s="213" t="s">
        <v>39169</v>
      </c>
      <c r="K4706" s="213" t="s">
        <v>61103</v>
      </c>
      <c r="L4706" s="213" t="s">
        <v>61142</v>
      </c>
      <c r="M4706" s="213" t="s">
        <v>61181</v>
      </c>
      <c r="N4706" s="213" t="s">
        <v>39170</v>
      </c>
      <c r="O4706" s="213" t="s">
        <v>39171</v>
      </c>
      <c r="P4706" s="213" t="s">
        <v>39172</v>
      </c>
      <c r="Q4706" s="213" t="s">
        <v>39173</v>
      </c>
      <c r="R4706" s="213" t="s">
        <v>39174</v>
      </c>
      <c r="S4706" s="213" t="s">
        <v>39175</v>
      </c>
      <c r="T4706" s="213" t="s">
        <v>39176</v>
      </c>
      <c r="U4706" s="213" t="s">
        <v>61220</v>
      </c>
    </row>
    <row r="4707" spans="1:21" x14ac:dyDescent="0.25">
      <c r="A4707" s="213" t="s">
        <v>327</v>
      </c>
      <c r="D4707" s="213" t="s">
        <v>39177</v>
      </c>
      <c r="E4707" s="213" t="s">
        <v>39178</v>
      </c>
      <c r="K4707" s="213" t="s">
        <v>61104</v>
      </c>
      <c r="L4707" s="213" t="s">
        <v>61143</v>
      </c>
      <c r="M4707" s="213" t="s">
        <v>61182</v>
      </c>
      <c r="N4707" s="213" t="s">
        <v>39179</v>
      </c>
      <c r="O4707" s="213" t="s">
        <v>39180</v>
      </c>
      <c r="P4707" s="213" t="s">
        <v>39181</v>
      </c>
      <c r="Q4707" s="213" t="s">
        <v>39182</v>
      </c>
      <c r="R4707" s="213" t="s">
        <v>39183</v>
      </c>
      <c r="S4707" s="213" t="s">
        <v>39184</v>
      </c>
      <c r="T4707" s="213" t="s">
        <v>39185</v>
      </c>
      <c r="U4707" s="213" t="s">
        <v>61221</v>
      </c>
    </row>
    <row r="4708" spans="1:21" x14ac:dyDescent="0.25">
      <c r="A4708" s="213" t="s">
        <v>327</v>
      </c>
    </row>
    <row r="4709" spans="1:21" x14ac:dyDescent="0.25">
      <c r="A4709" s="213" t="s">
        <v>327</v>
      </c>
    </row>
    <row r="4710" spans="1:21" x14ac:dyDescent="0.25">
      <c r="A4710" s="213" t="s">
        <v>327</v>
      </c>
      <c r="C4710" s="213" t="s">
        <v>39186</v>
      </c>
      <c r="E4710" s="213" t="s">
        <v>39187</v>
      </c>
      <c r="H4710" s="213" t="s">
        <v>39188</v>
      </c>
      <c r="I4710" s="213" t="s">
        <v>39189</v>
      </c>
      <c r="J4710" s="213" t="s">
        <v>39190</v>
      </c>
      <c r="L4710" s="213" t="s">
        <v>39191</v>
      </c>
      <c r="O4710" s="213" t="s">
        <v>39192</v>
      </c>
      <c r="P4710" s="213" t="s">
        <v>39193</v>
      </c>
      <c r="Q4710" s="213" t="s">
        <v>39194</v>
      </c>
      <c r="R4710" s="213" t="s">
        <v>39195</v>
      </c>
      <c r="S4710" s="213" t="s">
        <v>39196</v>
      </c>
      <c r="T4710" s="213" t="s">
        <v>39197</v>
      </c>
    </row>
    <row r="4711" spans="1:21" x14ac:dyDescent="0.25">
      <c r="A4711" s="213" t="s">
        <v>327</v>
      </c>
      <c r="C4711" s="213" t="s">
        <v>39198</v>
      </c>
      <c r="E4711" s="213" t="s">
        <v>39199</v>
      </c>
      <c r="I4711" s="213" t="s">
        <v>39200</v>
      </c>
    </row>
    <row r="4712" spans="1:21" x14ac:dyDescent="0.25">
      <c r="A4712" s="213" t="s">
        <v>327</v>
      </c>
      <c r="C4712" s="213" t="s">
        <v>39201</v>
      </c>
      <c r="E4712" s="213" t="s">
        <v>39202</v>
      </c>
      <c r="I4712" s="213" t="s">
        <v>39203</v>
      </c>
    </row>
    <row r="4713" spans="1:21" x14ac:dyDescent="0.25">
      <c r="A4713" s="213" t="s">
        <v>328</v>
      </c>
    </row>
    <row r="4714" spans="1:21" x14ac:dyDescent="0.25">
      <c r="A4714" s="213" t="s">
        <v>327</v>
      </c>
      <c r="D4714" s="213" t="s">
        <v>39204</v>
      </c>
      <c r="E4714" s="213" t="s">
        <v>39205</v>
      </c>
      <c r="K4714" s="213" t="s">
        <v>60982</v>
      </c>
      <c r="L4714" s="213" t="s">
        <v>61003</v>
      </c>
      <c r="M4714" s="213" t="s">
        <v>61024</v>
      </c>
      <c r="N4714" s="213" t="s">
        <v>39206</v>
      </c>
      <c r="O4714" s="213" t="s">
        <v>39207</v>
      </c>
      <c r="P4714" s="213" t="s">
        <v>39208</v>
      </c>
      <c r="Q4714" s="213" t="s">
        <v>39209</v>
      </c>
      <c r="R4714" s="213" t="s">
        <v>39210</v>
      </c>
      <c r="S4714" s="213" t="s">
        <v>39211</v>
      </c>
      <c r="T4714" s="213" t="s">
        <v>39212</v>
      </c>
      <c r="U4714" s="213" t="s">
        <v>61045</v>
      </c>
    </row>
    <row r="4715" spans="1:21" x14ac:dyDescent="0.25">
      <c r="A4715" s="213" t="s">
        <v>327</v>
      </c>
      <c r="D4715" s="213" t="s">
        <v>39213</v>
      </c>
      <c r="E4715" s="213" t="s">
        <v>39214</v>
      </c>
      <c r="K4715" s="213" t="s">
        <v>60983</v>
      </c>
      <c r="L4715" s="213" t="s">
        <v>61004</v>
      </c>
      <c r="M4715" s="213" t="s">
        <v>61025</v>
      </c>
      <c r="N4715" s="213" t="s">
        <v>39215</v>
      </c>
      <c r="O4715" s="213" t="s">
        <v>39216</v>
      </c>
      <c r="P4715" s="213" t="s">
        <v>39217</v>
      </c>
      <c r="Q4715" s="213" t="s">
        <v>39218</v>
      </c>
      <c r="R4715" s="213" t="s">
        <v>39219</v>
      </c>
      <c r="S4715" s="213" t="s">
        <v>39220</v>
      </c>
      <c r="T4715" s="213" t="s">
        <v>39221</v>
      </c>
      <c r="U4715" s="213" t="s">
        <v>61046</v>
      </c>
    </row>
    <row r="4716" spans="1:21" x14ac:dyDescent="0.25">
      <c r="A4716" s="213" t="s">
        <v>327</v>
      </c>
      <c r="D4716" s="213" t="s">
        <v>39222</v>
      </c>
      <c r="E4716" s="213" t="s">
        <v>39223</v>
      </c>
      <c r="K4716" s="213" t="s">
        <v>60984</v>
      </c>
      <c r="L4716" s="213" t="s">
        <v>61005</v>
      </c>
      <c r="M4716" s="213" t="s">
        <v>61026</v>
      </c>
      <c r="N4716" s="213" t="s">
        <v>39224</v>
      </c>
      <c r="O4716" s="213" t="s">
        <v>39225</v>
      </c>
      <c r="P4716" s="213" t="s">
        <v>39226</v>
      </c>
      <c r="Q4716" s="213" t="s">
        <v>39227</v>
      </c>
      <c r="R4716" s="213" t="s">
        <v>39228</v>
      </c>
      <c r="S4716" s="213" t="s">
        <v>39229</v>
      </c>
      <c r="T4716" s="213" t="s">
        <v>39230</v>
      </c>
      <c r="U4716" s="213" t="s">
        <v>61047</v>
      </c>
    </row>
    <row r="4717" spans="1:21" x14ac:dyDescent="0.25">
      <c r="A4717" s="213" t="s">
        <v>327</v>
      </c>
      <c r="D4717" s="213" t="s">
        <v>39231</v>
      </c>
      <c r="E4717" s="213" t="s">
        <v>39232</v>
      </c>
      <c r="K4717" s="213" t="s">
        <v>60985</v>
      </c>
      <c r="L4717" s="213" t="s">
        <v>61006</v>
      </c>
      <c r="M4717" s="213" t="s">
        <v>61027</v>
      </c>
      <c r="N4717" s="213" t="s">
        <v>39233</v>
      </c>
      <c r="O4717" s="213" t="s">
        <v>39234</v>
      </c>
      <c r="P4717" s="213" t="s">
        <v>39235</v>
      </c>
      <c r="Q4717" s="213" t="s">
        <v>39236</v>
      </c>
      <c r="R4717" s="213" t="s">
        <v>39237</v>
      </c>
      <c r="S4717" s="213" t="s">
        <v>39238</v>
      </c>
      <c r="T4717" s="213" t="s">
        <v>39239</v>
      </c>
      <c r="U4717" s="213" t="s">
        <v>61048</v>
      </c>
    </row>
    <row r="4718" spans="1:21" x14ac:dyDescent="0.25">
      <c r="A4718" s="213" t="s">
        <v>327</v>
      </c>
      <c r="D4718" s="213" t="s">
        <v>39240</v>
      </c>
      <c r="E4718" s="213" t="s">
        <v>39241</v>
      </c>
      <c r="K4718" s="213" t="s">
        <v>60986</v>
      </c>
      <c r="L4718" s="213" t="s">
        <v>61007</v>
      </c>
      <c r="M4718" s="213" t="s">
        <v>61028</v>
      </c>
      <c r="N4718" s="213" t="s">
        <v>39242</v>
      </c>
      <c r="O4718" s="213" t="s">
        <v>39243</v>
      </c>
      <c r="P4718" s="213" t="s">
        <v>39244</v>
      </c>
      <c r="Q4718" s="213" t="s">
        <v>39245</v>
      </c>
      <c r="R4718" s="213" t="s">
        <v>39246</v>
      </c>
      <c r="S4718" s="213" t="s">
        <v>39247</v>
      </c>
      <c r="T4718" s="213" t="s">
        <v>39248</v>
      </c>
      <c r="U4718" s="213" t="s">
        <v>61049</v>
      </c>
    </row>
    <row r="4719" spans="1:21" x14ac:dyDescent="0.25">
      <c r="A4719" s="213" t="s">
        <v>327</v>
      </c>
      <c r="D4719" s="213" t="s">
        <v>39249</v>
      </c>
      <c r="E4719" s="213" t="s">
        <v>39250</v>
      </c>
      <c r="K4719" s="213" t="s">
        <v>60987</v>
      </c>
      <c r="L4719" s="213" t="s">
        <v>61008</v>
      </c>
      <c r="M4719" s="213" t="s">
        <v>61029</v>
      </c>
      <c r="N4719" s="213" t="s">
        <v>39251</v>
      </c>
      <c r="O4719" s="213" t="s">
        <v>39252</v>
      </c>
      <c r="P4719" s="213" t="s">
        <v>39253</v>
      </c>
      <c r="Q4719" s="213" t="s">
        <v>39254</v>
      </c>
      <c r="R4719" s="213" t="s">
        <v>39255</v>
      </c>
      <c r="S4719" s="213" t="s">
        <v>39256</v>
      </c>
      <c r="T4719" s="213" t="s">
        <v>39257</v>
      </c>
      <c r="U4719" s="213" t="s">
        <v>61050</v>
      </c>
    </row>
    <row r="4720" spans="1:21" x14ac:dyDescent="0.25">
      <c r="A4720" s="213" t="s">
        <v>327</v>
      </c>
      <c r="D4720" s="213" t="s">
        <v>39258</v>
      </c>
      <c r="E4720" s="213" t="s">
        <v>39259</v>
      </c>
      <c r="K4720" s="213" t="s">
        <v>60988</v>
      </c>
      <c r="L4720" s="213" t="s">
        <v>61009</v>
      </c>
      <c r="M4720" s="213" t="s">
        <v>61030</v>
      </c>
      <c r="N4720" s="213" t="s">
        <v>39260</v>
      </c>
      <c r="O4720" s="213" t="s">
        <v>39261</v>
      </c>
      <c r="P4720" s="213" t="s">
        <v>39262</v>
      </c>
      <c r="Q4720" s="213" t="s">
        <v>39263</v>
      </c>
      <c r="R4720" s="213" t="s">
        <v>39264</v>
      </c>
      <c r="S4720" s="213" t="s">
        <v>39265</v>
      </c>
      <c r="T4720" s="213" t="s">
        <v>39266</v>
      </c>
      <c r="U4720" s="213" t="s">
        <v>61051</v>
      </c>
    </row>
    <row r="4721" spans="1:21" x14ac:dyDescent="0.25">
      <c r="A4721" s="213" t="s">
        <v>327</v>
      </c>
      <c r="D4721" s="213" t="s">
        <v>39267</v>
      </c>
      <c r="E4721" s="213" t="s">
        <v>39268</v>
      </c>
      <c r="K4721" s="213" t="s">
        <v>60989</v>
      </c>
      <c r="L4721" s="213" t="s">
        <v>61010</v>
      </c>
      <c r="M4721" s="213" t="s">
        <v>61031</v>
      </c>
      <c r="N4721" s="213" t="s">
        <v>39269</v>
      </c>
      <c r="O4721" s="213" t="s">
        <v>39270</v>
      </c>
      <c r="P4721" s="213" t="s">
        <v>39271</v>
      </c>
      <c r="Q4721" s="213" t="s">
        <v>39272</v>
      </c>
      <c r="R4721" s="213" t="s">
        <v>39273</v>
      </c>
      <c r="S4721" s="213" t="s">
        <v>39274</v>
      </c>
      <c r="T4721" s="213" t="s">
        <v>39275</v>
      </c>
      <c r="U4721" s="213" t="s">
        <v>61052</v>
      </c>
    </row>
    <row r="4722" spans="1:21" x14ac:dyDescent="0.25">
      <c r="A4722" s="213" t="s">
        <v>327</v>
      </c>
      <c r="D4722" s="213" t="s">
        <v>39276</v>
      </c>
      <c r="E4722" s="213" t="s">
        <v>39277</v>
      </c>
      <c r="K4722" s="213" t="s">
        <v>60990</v>
      </c>
      <c r="L4722" s="213" t="s">
        <v>61011</v>
      </c>
      <c r="M4722" s="213" t="s">
        <v>61032</v>
      </c>
      <c r="N4722" s="213" t="s">
        <v>39278</v>
      </c>
      <c r="O4722" s="213" t="s">
        <v>39279</v>
      </c>
      <c r="P4722" s="213" t="s">
        <v>39280</v>
      </c>
      <c r="Q4722" s="213" t="s">
        <v>39281</v>
      </c>
      <c r="R4722" s="213" t="s">
        <v>39282</v>
      </c>
      <c r="S4722" s="213" t="s">
        <v>39283</v>
      </c>
      <c r="T4722" s="213" t="s">
        <v>39284</v>
      </c>
      <c r="U4722" s="213" t="s">
        <v>61053</v>
      </c>
    </row>
    <row r="4723" spans="1:21" x14ac:dyDescent="0.25">
      <c r="A4723" s="213" t="s">
        <v>327</v>
      </c>
      <c r="D4723" s="213" t="s">
        <v>39285</v>
      </c>
      <c r="E4723" s="213" t="s">
        <v>39286</v>
      </c>
      <c r="K4723" s="213" t="s">
        <v>60991</v>
      </c>
      <c r="L4723" s="213" t="s">
        <v>61012</v>
      </c>
      <c r="M4723" s="213" t="s">
        <v>61033</v>
      </c>
      <c r="N4723" s="213" t="s">
        <v>39287</v>
      </c>
      <c r="O4723" s="213" t="s">
        <v>39288</v>
      </c>
      <c r="P4723" s="213" t="s">
        <v>39289</v>
      </c>
      <c r="Q4723" s="213" t="s">
        <v>39290</v>
      </c>
      <c r="R4723" s="213" t="s">
        <v>39291</v>
      </c>
      <c r="S4723" s="213" t="s">
        <v>39292</v>
      </c>
      <c r="T4723" s="213" t="s">
        <v>39293</v>
      </c>
      <c r="U4723" s="213" t="s">
        <v>61054</v>
      </c>
    </row>
    <row r="4724" spans="1:21" x14ac:dyDescent="0.25">
      <c r="A4724" s="213" t="s">
        <v>327</v>
      </c>
      <c r="D4724" s="213" t="s">
        <v>39294</v>
      </c>
      <c r="E4724" s="213" t="s">
        <v>39295</v>
      </c>
      <c r="K4724" s="213" t="s">
        <v>60992</v>
      </c>
      <c r="L4724" s="213" t="s">
        <v>61013</v>
      </c>
      <c r="M4724" s="213" t="s">
        <v>61034</v>
      </c>
      <c r="N4724" s="213" t="s">
        <v>39296</v>
      </c>
      <c r="O4724" s="213" t="s">
        <v>39297</v>
      </c>
      <c r="P4724" s="213" t="s">
        <v>39298</v>
      </c>
      <c r="Q4724" s="213" t="s">
        <v>39299</v>
      </c>
      <c r="R4724" s="213" t="s">
        <v>39300</v>
      </c>
      <c r="S4724" s="213" t="s">
        <v>39301</v>
      </c>
      <c r="T4724" s="213" t="s">
        <v>39302</v>
      </c>
      <c r="U4724" s="213" t="s">
        <v>61055</v>
      </c>
    </row>
    <row r="4725" spans="1:21" x14ac:dyDescent="0.25">
      <c r="A4725" s="213" t="s">
        <v>327</v>
      </c>
      <c r="D4725" s="213" t="s">
        <v>39303</v>
      </c>
      <c r="E4725" s="213" t="s">
        <v>39304</v>
      </c>
      <c r="K4725" s="213" t="s">
        <v>60993</v>
      </c>
      <c r="L4725" s="213" t="s">
        <v>61014</v>
      </c>
      <c r="M4725" s="213" t="s">
        <v>61035</v>
      </c>
      <c r="N4725" s="213" t="s">
        <v>39305</v>
      </c>
      <c r="O4725" s="213" t="s">
        <v>39306</v>
      </c>
      <c r="P4725" s="213" t="s">
        <v>39307</v>
      </c>
      <c r="Q4725" s="213" t="s">
        <v>39308</v>
      </c>
      <c r="R4725" s="213" t="s">
        <v>39309</v>
      </c>
      <c r="S4725" s="213" t="s">
        <v>39310</v>
      </c>
      <c r="T4725" s="213" t="s">
        <v>39311</v>
      </c>
      <c r="U4725" s="213" t="s">
        <v>61056</v>
      </c>
    </row>
    <row r="4726" spans="1:21" x14ac:dyDescent="0.25">
      <c r="A4726" s="213" t="s">
        <v>327</v>
      </c>
      <c r="D4726" s="213" t="s">
        <v>39312</v>
      </c>
      <c r="E4726" s="213" t="s">
        <v>39313</v>
      </c>
      <c r="K4726" s="213" t="s">
        <v>60994</v>
      </c>
      <c r="L4726" s="213" t="s">
        <v>61015</v>
      </c>
      <c r="M4726" s="213" t="s">
        <v>61036</v>
      </c>
      <c r="N4726" s="213" t="s">
        <v>39314</v>
      </c>
      <c r="O4726" s="213" t="s">
        <v>39315</v>
      </c>
      <c r="P4726" s="213" t="s">
        <v>39316</v>
      </c>
      <c r="Q4726" s="213" t="s">
        <v>39317</v>
      </c>
      <c r="R4726" s="213" t="s">
        <v>39318</v>
      </c>
      <c r="S4726" s="213" t="s">
        <v>39319</v>
      </c>
      <c r="T4726" s="213" t="s">
        <v>39320</v>
      </c>
      <c r="U4726" s="213" t="s">
        <v>61057</v>
      </c>
    </row>
    <row r="4727" spans="1:21" x14ac:dyDescent="0.25">
      <c r="A4727" s="213" t="s">
        <v>327</v>
      </c>
      <c r="D4727" s="213" t="s">
        <v>39321</v>
      </c>
      <c r="E4727" s="213" t="s">
        <v>39322</v>
      </c>
      <c r="K4727" s="213" t="s">
        <v>60995</v>
      </c>
      <c r="L4727" s="213" t="s">
        <v>61016</v>
      </c>
      <c r="M4727" s="213" t="s">
        <v>61037</v>
      </c>
      <c r="N4727" s="213" t="s">
        <v>39323</v>
      </c>
      <c r="O4727" s="213" t="s">
        <v>39324</v>
      </c>
      <c r="P4727" s="213" t="s">
        <v>39325</v>
      </c>
      <c r="Q4727" s="213" t="s">
        <v>39326</v>
      </c>
      <c r="R4727" s="213" t="s">
        <v>39327</v>
      </c>
      <c r="S4727" s="213" t="s">
        <v>39328</v>
      </c>
      <c r="T4727" s="213" t="s">
        <v>39329</v>
      </c>
      <c r="U4727" s="213" t="s">
        <v>61058</v>
      </c>
    </row>
    <row r="4728" spans="1:21" x14ac:dyDescent="0.25">
      <c r="A4728" s="213" t="s">
        <v>327</v>
      </c>
      <c r="D4728" s="213" t="s">
        <v>39330</v>
      </c>
      <c r="E4728" s="213" t="s">
        <v>39331</v>
      </c>
      <c r="K4728" s="213" t="s">
        <v>60996</v>
      </c>
      <c r="L4728" s="213" t="s">
        <v>61017</v>
      </c>
      <c r="M4728" s="213" t="s">
        <v>61038</v>
      </c>
      <c r="N4728" s="213" t="s">
        <v>39332</v>
      </c>
      <c r="O4728" s="213" t="s">
        <v>39333</v>
      </c>
      <c r="P4728" s="213" t="s">
        <v>39334</v>
      </c>
      <c r="Q4728" s="213" t="s">
        <v>39335</v>
      </c>
      <c r="R4728" s="213" t="s">
        <v>39336</v>
      </c>
      <c r="S4728" s="213" t="s">
        <v>39337</v>
      </c>
      <c r="T4728" s="213" t="s">
        <v>39338</v>
      </c>
      <c r="U4728" s="213" t="s">
        <v>61059</v>
      </c>
    </row>
    <row r="4729" spans="1:21" x14ac:dyDescent="0.25">
      <c r="A4729" s="213" t="s">
        <v>327</v>
      </c>
      <c r="D4729" s="213" t="s">
        <v>39339</v>
      </c>
      <c r="E4729" s="213" t="s">
        <v>39340</v>
      </c>
      <c r="K4729" s="213" t="s">
        <v>60997</v>
      </c>
      <c r="L4729" s="213" t="s">
        <v>61018</v>
      </c>
      <c r="M4729" s="213" t="s">
        <v>61039</v>
      </c>
      <c r="N4729" s="213" t="s">
        <v>39341</v>
      </c>
      <c r="O4729" s="213" t="s">
        <v>39342</v>
      </c>
      <c r="P4729" s="213" t="s">
        <v>39343</v>
      </c>
      <c r="Q4729" s="213" t="s">
        <v>39344</v>
      </c>
      <c r="R4729" s="213" t="s">
        <v>39345</v>
      </c>
      <c r="S4729" s="213" t="s">
        <v>39346</v>
      </c>
      <c r="T4729" s="213" t="s">
        <v>39347</v>
      </c>
      <c r="U4729" s="213" t="s">
        <v>61060</v>
      </c>
    </row>
    <row r="4730" spans="1:21" x14ac:dyDescent="0.25">
      <c r="A4730" s="213" t="s">
        <v>327</v>
      </c>
      <c r="D4730" s="213" t="s">
        <v>39348</v>
      </c>
      <c r="E4730" s="213" t="s">
        <v>39349</v>
      </c>
      <c r="K4730" s="213" t="s">
        <v>60998</v>
      </c>
      <c r="L4730" s="213" t="s">
        <v>61019</v>
      </c>
      <c r="M4730" s="213" t="s">
        <v>61040</v>
      </c>
      <c r="N4730" s="213" t="s">
        <v>39350</v>
      </c>
      <c r="O4730" s="213" t="s">
        <v>39351</v>
      </c>
      <c r="P4730" s="213" t="s">
        <v>39352</v>
      </c>
      <c r="Q4730" s="213" t="s">
        <v>39353</v>
      </c>
      <c r="R4730" s="213" t="s">
        <v>39354</v>
      </c>
      <c r="S4730" s="213" t="s">
        <v>39355</v>
      </c>
      <c r="T4730" s="213" t="s">
        <v>39356</v>
      </c>
      <c r="U4730" s="213" t="s">
        <v>61061</v>
      </c>
    </row>
    <row r="4731" spans="1:21" x14ac:dyDescent="0.25">
      <c r="A4731" s="213" t="s">
        <v>327</v>
      </c>
      <c r="D4731" s="213" t="s">
        <v>39357</v>
      </c>
      <c r="E4731" s="213" t="s">
        <v>39358</v>
      </c>
      <c r="K4731" s="213" t="s">
        <v>60999</v>
      </c>
      <c r="L4731" s="213" t="s">
        <v>61020</v>
      </c>
      <c r="M4731" s="213" t="s">
        <v>61041</v>
      </c>
      <c r="N4731" s="213" t="s">
        <v>39359</v>
      </c>
      <c r="O4731" s="213" t="s">
        <v>39360</v>
      </c>
      <c r="P4731" s="213" t="s">
        <v>39361</v>
      </c>
      <c r="Q4731" s="213" t="s">
        <v>39362</v>
      </c>
      <c r="R4731" s="213" t="s">
        <v>39363</v>
      </c>
      <c r="S4731" s="213" t="s">
        <v>39364</v>
      </c>
      <c r="T4731" s="213" t="s">
        <v>39365</v>
      </c>
      <c r="U4731" s="213" t="s">
        <v>61062</v>
      </c>
    </row>
    <row r="4732" spans="1:21" x14ac:dyDescent="0.25">
      <c r="A4732" s="213" t="s">
        <v>327</v>
      </c>
      <c r="D4732" s="213" t="s">
        <v>39366</v>
      </c>
      <c r="E4732" s="213" t="s">
        <v>39367</v>
      </c>
      <c r="K4732" s="213" t="s">
        <v>61000</v>
      </c>
      <c r="L4732" s="213" t="s">
        <v>61021</v>
      </c>
      <c r="M4732" s="213" t="s">
        <v>61042</v>
      </c>
      <c r="N4732" s="213" t="s">
        <v>39368</v>
      </c>
      <c r="O4732" s="213" t="s">
        <v>39369</v>
      </c>
      <c r="P4732" s="213" t="s">
        <v>39370</v>
      </c>
      <c r="Q4732" s="213" t="s">
        <v>39371</v>
      </c>
      <c r="R4732" s="213" t="s">
        <v>39372</v>
      </c>
      <c r="S4732" s="213" t="s">
        <v>39373</v>
      </c>
      <c r="T4732" s="213" t="s">
        <v>39374</v>
      </c>
      <c r="U4732" s="213" t="s">
        <v>61063</v>
      </c>
    </row>
    <row r="4733" spans="1:21" x14ac:dyDescent="0.25">
      <c r="A4733" s="213" t="s">
        <v>327</v>
      </c>
      <c r="D4733" s="213" t="s">
        <v>39375</v>
      </c>
      <c r="E4733" s="213" t="s">
        <v>39376</v>
      </c>
      <c r="K4733" s="213" t="s">
        <v>61001</v>
      </c>
      <c r="L4733" s="213" t="s">
        <v>61022</v>
      </c>
      <c r="M4733" s="213" t="s">
        <v>61043</v>
      </c>
      <c r="N4733" s="213" t="s">
        <v>39377</v>
      </c>
      <c r="O4733" s="213" t="s">
        <v>39378</v>
      </c>
      <c r="P4733" s="213" t="s">
        <v>39379</v>
      </c>
      <c r="Q4733" s="213" t="s">
        <v>39380</v>
      </c>
      <c r="R4733" s="213" t="s">
        <v>39381</v>
      </c>
      <c r="S4733" s="213" t="s">
        <v>39382</v>
      </c>
      <c r="T4733" s="213" t="s">
        <v>39383</v>
      </c>
      <c r="U4733" s="213" t="s">
        <v>61064</v>
      </c>
    </row>
    <row r="4734" spans="1:21" x14ac:dyDescent="0.25">
      <c r="A4734" s="213" t="s">
        <v>327</v>
      </c>
      <c r="D4734" s="213" t="s">
        <v>39384</v>
      </c>
      <c r="E4734" s="213" t="s">
        <v>39385</v>
      </c>
      <c r="K4734" s="213" t="s">
        <v>61002</v>
      </c>
      <c r="L4734" s="213" t="s">
        <v>61023</v>
      </c>
      <c r="M4734" s="213" t="s">
        <v>61044</v>
      </c>
      <c r="N4734" s="213" t="s">
        <v>39386</v>
      </c>
      <c r="O4734" s="213" t="s">
        <v>39387</v>
      </c>
      <c r="P4734" s="213" t="s">
        <v>39388</v>
      </c>
      <c r="Q4734" s="213" t="s">
        <v>39389</v>
      </c>
      <c r="R4734" s="213" t="s">
        <v>39390</v>
      </c>
      <c r="S4734" s="213" t="s">
        <v>39391</v>
      </c>
      <c r="T4734" s="213" t="s">
        <v>39392</v>
      </c>
      <c r="U4734" s="213" t="s">
        <v>61065</v>
      </c>
    </row>
    <row r="4735" spans="1:21" x14ac:dyDescent="0.25">
      <c r="A4735" s="213" t="s">
        <v>327</v>
      </c>
    </row>
    <row r="4736" spans="1:21" x14ac:dyDescent="0.25">
      <c r="A4736" s="213" t="s">
        <v>327</v>
      </c>
    </row>
    <row r="4737" spans="1:21" x14ac:dyDescent="0.25">
      <c r="A4737" s="213" t="s">
        <v>327</v>
      </c>
      <c r="C4737" s="213" t="s">
        <v>39393</v>
      </c>
      <c r="E4737" s="213" t="s">
        <v>39394</v>
      </c>
      <c r="H4737" s="213" t="s">
        <v>39395</v>
      </c>
      <c r="I4737" s="213" t="s">
        <v>39396</v>
      </c>
      <c r="J4737" s="213" t="s">
        <v>39397</v>
      </c>
      <c r="L4737" s="213" t="s">
        <v>39398</v>
      </c>
      <c r="O4737" s="213" t="s">
        <v>39399</v>
      </c>
      <c r="P4737" s="213" t="s">
        <v>39400</v>
      </c>
      <c r="Q4737" s="213" t="s">
        <v>39401</v>
      </c>
      <c r="R4737" s="213" t="s">
        <v>39402</v>
      </c>
      <c r="S4737" s="213" t="s">
        <v>39403</v>
      </c>
      <c r="T4737" s="213" t="s">
        <v>39404</v>
      </c>
    </row>
    <row r="4738" spans="1:21" x14ac:dyDescent="0.25">
      <c r="A4738" s="213" t="s">
        <v>327</v>
      </c>
      <c r="C4738" s="213" t="s">
        <v>39405</v>
      </c>
      <c r="E4738" s="213" t="s">
        <v>39406</v>
      </c>
      <c r="I4738" s="213" t="s">
        <v>39407</v>
      </c>
    </row>
    <row r="4739" spans="1:21" x14ac:dyDescent="0.25">
      <c r="A4739" s="213" t="s">
        <v>327</v>
      </c>
      <c r="C4739" s="213" t="s">
        <v>39408</v>
      </c>
      <c r="E4739" s="213" t="s">
        <v>39409</v>
      </c>
      <c r="I4739" s="213" t="s">
        <v>39410</v>
      </c>
    </row>
    <row r="4740" spans="1:21" x14ac:dyDescent="0.25">
      <c r="A4740" s="213" t="s">
        <v>328</v>
      </c>
    </row>
    <row r="4741" spans="1:21" x14ac:dyDescent="0.25">
      <c r="A4741" s="213" t="s">
        <v>327</v>
      </c>
      <c r="D4741" s="213" t="s">
        <v>39411</v>
      </c>
      <c r="E4741" s="213" t="s">
        <v>39412</v>
      </c>
      <c r="K4741" s="213" t="s">
        <v>60714</v>
      </c>
      <c r="L4741" s="213" t="s">
        <v>60781</v>
      </c>
      <c r="M4741" s="213" t="s">
        <v>60848</v>
      </c>
      <c r="N4741" s="213" t="s">
        <v>39413</v>
      </c>
      <c r="O4741" s="213" t="s">
        <v>39414</v>
      </c>
      <c r="P4741" s="213" t="s">
        <v>39415</v>
      </c>
      <c r="Q4741" s="213" t="s">
        <v>39416</v>
      </c>
      <c r="R4741" s="213" t="s">
        <v>39417</v>
      </c>
      <c r="S4741" s="213" t="s">
        <v>39418</v>
      </c>
      <c r="T4741" s="213" t="s">
        <v>39419</v>
      </c>
      <c r="U4741" s="213" t="s">
        <v>60915</v>
      </c>
    </row>
    <row r="4742" spans="1:21" x14ac:dyDescent="0.25">
      <c r="A4742" s="213" t="s">
        <v>327</v>
      </c>
      <c r="D4742" s="213" t="s">
        <v>39420</v>
      </c>
      <c r="E4742" s="213" t="s">
        <v>39421</v>
      </c>
      <c r="K4742" s="213" t="s">
        <v>60715</v>
      </c>
      <c r="L4742" s="213" t="s">
        <v>60782</v>
      </c>
      <c r="M4742" s="213" t="s">
        <v>60849</v>
      </c>
      <c r="N4742" s="213" t="s">
        <v>39422</v>
      </c>
      <c r="O4742" s="213" t="s">
        <v>39423</v>
      </c>
      <c r="P4742" s="213" t="s">
        <v>39424</v>
      </c>
      <c r="Q4742" s="213" t="s">
        <v>39425</v>
      </c>
      <c r="R4742" s="213" t="s">
        <v>39426</v>
      </c>
      <c r="S4742" s="213" t="s">
        <v>39427</v>
      </c>
      <c r="T4742" s="213" t="s">
        <v>39428</v>
      </c>
      <c r="U4742" s="213" t="s">
        <v>60916</v>
      </c>
    </row>
    <row r="4743" spans="1:21" x14ac:dyDescent="0.25">
      <c r="A4743" s="213" t="s">
        <v>327</v>
      </c>
      <c r="D4743" s="213" t="s">
        <v>39429</v>
      </c>
      <c r="E4743" s="213" t="s">
        <v>39430</v>
      </c>
      <c r="K4743" s="213" t="s">
        <v>60716</v>
      </c>
      <c r="L4743" s="213" t="s">
        <v>60783</v>
      </c>
      <c r="M4743" s="213" t="s">
        <v>60850</v>
      </c>
      <c r="N4743" s="213" t="s">
        <v>39431</v>
      </c>
      <c r="O4743" s="213" t="s">
        <v>39432</v>
      </c>
      <c r="P4743" s="213" t="s">
        <v>39433</v>
      </c>
      <c r="Q4743" s="213" t="s">
        <v>39434</v>
      </c>
      <c r="R4743" s="213" t="s">
        <v>39435</v>
      </c>
      <c r="S4743" s="213" t="s">
        <v>39436</v>
      </c>
      <c r="T4743" s="213" t="s">
        <v>39437</v>
      </c>
      <c r="U4743" s="213" t="s">
        <v>60917</v>
      </c>
    </row>
    <row r="4744" spans="1:21" x14ac:dyDescent="0.25">
      <c r="A4744" s="213" t="s">
        <v>327</v>
      </c>
      <c r="D4744" s="213" t="s">
        <v>39438</v>
      </c>
      <c r="E4744" s="213" t="s">
        <v>39439</v>
      </c>
      <c r="K4744" s="213" t="s">
        <v>60717</v>
      </c>
      <c r="L4744" s="213" t="s">
        <v>60784</v>
      </c>
      <c r="M4744" s="213" t="s">
        <v>60851</v>
      </c>
      <c r="N4744" s="213" t="s">
        <v>39440</v>
      </c>
      <c r="O4744" s="213" t="s">
        <v>39441</v>
      </c>
      <c r="P4744" s="213" t="s">
        <v>39442</v>
      </c>
      <c r="Q4744" s="213" t="s">
        <v>39443</v>
      </c>
      <c r="R4744" s="213" t="s">
        <v>39444</v>
      </c>
      <c r="S4744" s="213" t="s">
        <v>39445</v>
      </c>
      <c r="T4744" s="213" t="s">
        <v>39446</v>
      </c>
      <c r="U4744" s="213" t="s">
        <v>60918</v>
      </c>
    </row>
    <row r="4745" spans="1:21" x14ac:dyDescent="0.25">
      <c r="A4745" s="213" t="s">
        <v>327</v>
      </c>
      <c r="D4745" s="213" t="s">
        <v>39447</v>
      </c>
      <c r="E4745" s="213" t="s">
        <v>39448</v>
      </c>
      <c r="K4745" s="213" t="s">
        <v>60718</v>
      </c>
      <c r="L4745" s="213" t="s">
        <v>60785</v>
      </c>
      <c r="M4745" s="213" t="s">
        <v>60852</v>
      </c>
      <c r="N4745" s="213" t="s">
        <v>39449</v>
      </c>
      <c r="O4745" s="213" t="s">
        <v>39450</v>
      </c>
      <c r="P4745" s="213" t="s">
        <v>39451</v>
      </c>
      <c r="Q4745" s="213" t="s">
        <v>39452</v>
      </c>
      <c r="R4745" s="213" t="s">
        <v>39453</v>
      </c>
      <c r="S4745" s="213" t="s">
        <v>39454</v>
      </c>
      <c r="T4745" s="213" t="s">
        <v>39455</v>
      </c>
      <c r="U4745" s="213" t="s">
        <v>60919</v>
      </c>
    </row>
    <row r="4746" spans="1:21" x14ac:dyDescent="0.25">
      <c r="A4746" s="213" t="s">
        <v>327</v>
      </c>
      <c r="D4746" s="213" t="s">
        <v>39456</v>
      </c>
      <c r="E4746" s="213" t="s">
        <v>39457</v>
      </c>
      <c r="K4746" s="213" t="s">
        <v>60719</v>
      </c>
      <c r="L4746" s="213" t="s">
        <v>60786</v>
      </c>
      <c r="M4746" s="213" t="s">
        <v>60853</v>
      </c>
      <c r="N4746" s="213" t="s">
        <v>39458</v>
      </c>
      <c r="O4746" s="213" t="s">
        <v>39459</v>
      </c>
      <c r="P4746" s="213" t="s">
        <v>39460</v>
      </c>
      <c r="Q4746" s="213" t="s">
        <v>39461</v>
      </c>
      <c r="R4746" s="213" t="s">
        <v>39462</v>
      </c>
      <c r="S4746" s="213" t="s">
        <v>39463</v>
      </c>
      <c r="T4746" s="213" t="s">
        <v>39464</v>
      </c>
      <c r="U4746" s="213" t="s">
        <v>60920</v>
      </c>
    </row>
    <row r="4747" spans="1:21" x14ac:dyDescent="0.25">
      <c r="A4747" s="213" t="s">
        <v>327</v>
      </c>
      <c r="D4747" s="213" t="s">
        <v>39465</v>
      </c>
      <c r="E4747" s="213" t="s">
        <v>39466</v>
      </c>
      <c r="K4747" s="213" t="s">
        <v>60720</v>
      </c>
      <c r="L4747" s="213" t="s">
        <v>60787</v>
      </c>
      <c r="M4747" s="213" t="s">
        <v>60854</v>
      </c>
      <c r="N4747" s="213" t="s">
        <v>39467</v>
      </c>
      <c r="O4747" s="213" t="s">
        <v>39468</v>
      </c>
      <c r="P4747" s="213" t="s">
        <v>39469</v>
      </c>
      <c r="Q4747" s="213" t="s">
        <v>39470</v>
      </c>
      <c r="R4747" s="213" t="s">
        <v>39471</v>
      </c>
      <c r="S4747" s="213" t="s">
        <v>39472</v>
      </c>
      <c r="T4747" s="213" t="s">
        <v>39473</v>
      </c>
      <c r="U4747" s="213" t="s">
        <v>60921</v>
      </c>
    </row>
    <row r="4748" spans="1:21" x14ac:dyDescent="0.25">
      <c r="A4748" s="213" t="s">
        <v>327</v>
      </c>
      <c r="D4748" s="213" t="s">
        <v>39474</v>
      </c>
      <c r="E4748" s="213" t="s">
        <v>39475</v>
      </c>
      <c r="K4748" s="213" t="s">
        <v>60721</v>
      </c>
      <c r="L4748" s="213" t="s">
        <v>60788</v>
      </c>
      <c r="M4748" s="213" t="s">
        <v>60855</v>
      </c>
      <c r="N4748" s="213" t="s">
        <v>39476</v>
      </c>
      <c r="O4748" s="213" t="s">
        <v>39477</v>
      </c>
      <c r="P4748" s="213" t="s">
        <v>39478</v>
      </c>
      <c r="Q4748" s="213" t="s">
        <v>39479</v>
      </c>
      <c r="R4748" s="213" t="s">
        <v>39480</v>
      </c>
      <c r="S4748" s="213" t="s">
        <v>39481</v>
      </c>
      <c r="T4748" s="213" t="s">
        <v>39482</v>
      </c>
      <c r="U4748" s="213" t="s">
        <v>60922</v>
      </c>
    </row>
    <row r="4749" spans="1:21" x14ac:dyDescent="0.25">
      <c r="A4749" s="213" t="s">
        <v>327</v>
      </c>
      <c r="D4749" s="213" t="s">
        <v>39483</v>
      </c>
      <c r="E4749" s="213" t="s">
        <v>39484</v>
      </c>
      <c r="K4749" s="213" t="s">
        <v>60722</v>
      </c>
      <c r="L4749" s="213" t="s">
        <v>60789</v>
      </c>
      <c r="M4749" s="213" t="s">
        <v>60856</v>
      </c>
      <c r="N4749" s="213" t="s">
        <v>39485</v>
      </c>
      <c r="O4749" s="213" t="s">
        <v>39486</v>
      </c>
      <c r="P4749" s="213" t="s">
        <v>39487</v>
      </c>
      <c r="Q4749" s="213" t="s">
        <v>39488</v>
      </c>
      <c r="R4749" s="213" t="s">
        <v>39489</v>
      </c>
      <c r="S4749" s="213" t="s">
        <v>39490</v>
      </c>
      <c r="T4749" s="213" t="s">
        <v>39491</v>
      </c>
      <c r="U4749" s="213" t="s">
        <v>60923</v>
      </c>
    </row>
    <row r="4750" spans="1:21" x14ac:dyDescent="0.25">
      <c r="A4750" s="213" t="s">
        <v>327</v>
      </c>
      <c r="D4750" s="213" t="s">
        <v>39492</v>
      </c>
      <c r="E4750" s="213" t="s">
        <v>39493</v>
      </c>
      <c r="K4750" s="213" t="s">
        <v>60723</v>
      </c>
      <c r="L4750" s="213" t="s">
        <v>60790</v>
      </c>
      <c r="M4750" s="213" t="s">
        <v>60857</v>
      </c>
      <c r="N4750" s="213" t="s">
        <v>39494</v>
      </c>
      <c r="O4750" s="213" t="s">
        <v>39495</v>
      </c>
      <c r="P4750" s="213" t="s">
        <v>39496</v>
      </c>
      <c r="Q4750" s="213" t="s">
        <v>39497</v>
      </c>
      <c r="R4750" s="213" t="s">
        <v>39498</v>
      </c>
      <c r="S4750" s="213" t="s">
        <v>39499</v>
      </c>
      <c r="T4750" s="213" t="s">
        <v>39500</v>
      </c>
      <c r="U4750" s="213" t="s">
        <v>60924</v>
      </c>
    </row>
    <row r="4751" spans="1:21" x14ac:dyDescent="0.25">
      <c r="A4751" s="213" t="s">
        <v>327</v>
      </c>
      <c r="D4751" s="213" t="s">
        <v>39501</v>
      </c>
      <c r="E4751" s="213" t="s">
        <v>39502</v>
      </c>
      <c r="K4751" s="213" t="s">
        <v>60724</v>
      </c>
      <c r="L4751" s="213" t="s">
        <v>60791</v>
      </c>
      <c r="M4751" s="213" t="s">
        <v>60858</v>
      </c>
      <c r="N4751" s="213" t="s">
        <v>39503</v>
      </c>
      <c r="O4751" s="213" t="s">
        <v>39504</v>
      </c>
      <c r="P4751" s="213" t="s">
        <v>39505</v>
      </c>
      <c r="Q4751" s="213" t="s">
        <v>39506</v>
      </c>
      <c r="R4751" s="213" t="s">
        <v>39507</v>
      </c>
      <c r="S4751" s="213" t="s">
        <v>39508</v>
      </c>
      <c r="T4751" s="213" t="s">
        <v>39509</v>
      </c>
      <c r="U4751" s="213" t="s">
        <v>60925</v>
      </c>
    </row>
    <row r="4752" spans="1:21" x14ac:dyDescent="0.25">
      <c r="A4752" s="213" t="s">
        <v>327</v>
      </c>
      <c r="D4752" s="213" t="s">
        <v>39510</v>
      </c>
      <c r="E4752" s="213" t="s">
        <v>39511</v>
      </c>
      <c r="K4752" s="213" t="s">
        <v>60725</v>
      </c>
      <c r="L4752" s="213" t="s">
        <v>60792</v>
      </c>
      <c r="M4752" s="213" t="s">
        <v>60859</v>
      </c>
      <c r="N4752" s="213" t="s">
        <v>39512</v>
      </c>
      <c r="O4752" s="213" t="s">
        <v>39513</v>
      </c>
      <c r="P4752" s="213" t="s">
        <v>39514</v>
      </c>
      <c r="Q4752" s="213" t="s">
        <v>39515</v>
      </c>
      <c r="R4752" s="213" t="s">
        <v>39516</v>
      </c>
      <c r="S4752" s="213" t="s">
        <v>39517</v>
      </c>
      <c r="T4752" s="213" t="s">
        <v>39518</v>
      </c>
      <c r="U4752" s="213" t="s">
        <v>60926</v>
      </c>
    </row>
    <row r="4753" spans="1:21" x14ac:dyDescent="0.25">
      <c r="A4753" s="213" t="s">
        <v>327</v>
      </c>
      <c r="D4753" s="213" t="s">
        <v>39519</v>
      </c>
      <c r="E4753" s="213" t="s">
        <v>39520</v>
      </c>
      <c r="K4753" s="213" t="s">
        <v>60726</v>
      </c>
      <c r="L4753" s="213" t="s">
        <v>60793</v>
      </c>
      <c r="M4753" s="213" t="s">
        <v>60860</v>
      </c>
      <c r="N4753" s="213" t="s">
        <v>39521</v>
      </c>
      <c r="O4753" s="213" t="s">
        <v>39522</v>
      </c>
      <c r="P4753" s="213" t="s">
        <v>39523</v>
      </c>
      <c r="Q4753" s="213" t="s">
        <v>39524</v>
      </c>
      <c r="R4753" s="213" t="s">
        <v>39525</v>
      </c>
      <c r="S4753" s="213" t="s">
        <v>39526</v>
      </c>
      <c r="T4753" s="213" t="s">
        <v>39527</v>
      </c>
      <c r="U4753" s="213" t="s">
        <v>60927</v>
      </c>
    </row>
    <row r="4754" spans="1:21" x14ac:dyDescent="0.25">
      <c r="A4754" s="213" t="s">
        <v>327</v>
      </c>
      <c r="D4754" s="213" t="s">
        <v>39528</v>
      </c>
      <c r="E4754" s="213" t="s">
        <v>39529</v>
      </c>
      <c r="K4754" s="213" t="s">
        <v>60727</v>
      </c>
      <c r="L4754" s="213" t="s">
        <v>60794</v>
      </c>
      <c r="M4754" s="213" t="s">
        <v>60861</v>
      </c>
      <c r="N4754" s="213" t="s">
        <v>39530</v>
      </c>
      <c r="O4754" s="213" t="s">
        <v>39531</v>
      </c>
      <c r="P4754" s="213" t="s">
        <v>39532</v>
      </c>
      <c r="Q4754" s="213" t="s">
        <v>39533</v>
      </c>
      <c r="R4754" s="213" t="s">
        <v>39534</v>
      </c>
      <c r="S4754" s="213" t="s">
        <v>39535</v>
      </c>
      <c r="T4754" s="213" t="s">
        <v>39536</v>
      </c>
      <c r="U4754" s="213" t="s">
        <v>60928</v>
      </c>
    </row>
    <row r="4755" spans="1:21" x14ac:dyDescent="0.25">
      <c r="A4755" s="213" t="s">
        <v>327</v>
      </c>
      <c r="D4755" s="213" t="s">
        <v>39537</v>
      </c>
      <c r="E4755" s="213" t="s">
        <v>39538</v>
      </c>
      <c r="K4755" s="213" t="s">
        <v>60728</v>
      </c>
      <c r="L4755" s="213" t="s">
        <v>60795</v>
      </c>
      <c r="M4755" s="213" t="s">
        <v>60862</v>
      </c>
      <c r="N4755" s="213" t="s">
        <v>39539</v>
      </c>
      <c r="O4755" s="213" t="s">
        <v>39540</v>
      </c>
      <c r="P4755" s="213" t="s">
        <v>39541</v>
      </c>
      <c r="Q4755" s="213" t="s">
        <v>39542</v>
      </c>
      <c r="R4755" s="213" t="s">
        <v>39543</v>
      </c>
      <c r="S4755" s="213" t="s">
        <v>39544</v>
      </c>
      <c r="T4755" s="213" t="s">
        <v>39545</v>
      </c>
      <c r="U4755" s="213" t="s">
        <v>60929</v>
      </c>
    </row>
    <row r="4756" spans="1:21" x14ac:dyDescent="0.25">
      <c r="A4756" s="213" t="s">
        <v>327</v>
      </c>
      <c r="D4756" s="213" t="s">
        <v>39546</v>
      </c>
      <c r="E4756" s="213" t="s">
        <v>39547</v>
      </c>
      <c r="K4756" s="213" t="s">
        <v>60729</v>
      </c>
      <c r="L4756" s="213" t="s">
        <v>60796</v>
      </c>
      <c r="M4756" s="213" t="s">
        <v>60863</v>
      </c>
      <c r="N4756" s="213" t="s">
        <v>39548</v>
      </c>
      <c r="O4756" s="213" t="s">
        <v>39549</v>
      </c>
      <c r="P4756" s="213" t="s">
        <v>39550</v>
      </c>
      <c r="Q4756" s="213" t="s">
        <v>39551</v>
      </c>
      <c r="R4756" s="213" t="s">
        <v>39552</v>
      </c>
      <c r="S4756" s="213" t="s">
        <v>39553</v>
      </c>
      <c r="T4756" s="213" t="s">
        <v>39554</v>
      </c>
      <c r="U4756" s="213" t="s">
        <v>60930</v>
      </c>
    </row>
    <row r="4757" spans="1:21" x14ac:dyDescent="0.25">
      <c r="A4757" s="213" t="s">
        <v>327</v>
      </c>
      <c r="D4757" s="213" t="s">
        <v>39555</v>
      </c>
      <c r="E4757" s="213" t="s">
        <v>39556</v>
      </c>
      <c r="K4757" s="213" t="s">
        <v>60730</v>
      </c>
      <c r="L4757" s="213" t="s">
        <v>60797</v>
      </c>
      <c r="M4757" s="213" t="s">
        <v>60864</v>
      </c>
      <c r="N4757" s="213" t="s">
        <v>39557</v>
      </c>
      <c r="O4757" s="213" t="s">
        <v>39558</v>
      </c>
      <c r="P4757" s="213" t="s">
        <v>39559</v>
      </c>
      <c r="Q4757" s="213" t="s">
        <v>39560</v>
      </c>
      <c r="R4757" s="213" t="s">
        <v>39561</v>
      </c>
      <c r="S4757" s="213" t="s">
        <v>39562</v>
      </c>
      <c r="T4757" s="213" t="s">
        <v>39563</v>
      </c>
      <c r="U4757" s="213" t="s">
        <v>60931</v>
      </c>
    </row>
    <row r="4758" spans="1:21" x14ac:dyDescent="0.25">
      <c r="A4758" s="213" t="s">
        <v>327</v>
      </c>
      <c r="D4758" s="213" t="s">
        <v>39564</v>
      </c>
      <c r="E4758" s="213" t="s">
        <v>39565</v>
      </c>
      <c r="K4758" s="213" t="s">
        <v>60731</v>
      </c>
      <c r="L4758" s="213" t="s">
        <v>60798</v>
      </c>
      <c r="M4758" s="213" t="s">
        <v>60865</v>
      </c>
      <c r="N4758" s="213" t="s">
        <v>39566</v>
      </c>
      <c r="O4758" s="213" t="s">
        <v>39567</v>
      </c>
      <c r="P4758" s="213" t="s">
        <v>39568</v>
      </c>
      <c r="Q4758" s="213" t="s">
        <v>39569</v>
      </c>
      <c r="R4758" s="213" t="s">
        <v>39570</v>
      </c>
      <c r="S4758" s="213" t="s">
        <v>39571</v>
      </c>
      <c r="T4758" s="213" t="s">
        <v>39572</v>
      </c>
      <c r="U4758" s="213" t="s">
        <v>60932</v>
      </c>
    </row>
    <row r="4759" spans="1:21" x14ac:dyDescent="0.25">
      <c r="A4759" s="213" t="s">
        <v>327</v>
      </c>
      <c r="D4759" s="213" t="s">
        <v>39573</v>
      </c>
      <c r="E4759" s="213" t="s">
        <v>39574</v>
      </c>
      <c r="K4759" s="213" t="s">
        <v>60732</v>
      </c>
      <c r="L4759" s="213" t="s">
        <v>60799</v>
      </c>
      <c r="M4759" s="213" t="s">
        <v>60866</v>
      </c>
      <c r="N4759" s="213" t="s">
        <v>39575</v>
      </c>
      <c r="O4759" s="213" t="s">
        <v>39576</v>
      </c>
      <c r="P4759" s="213" t="s">
        <v>39577</v>
      </c>
      <c r="Q4759" s="213" t="s">
        <v>39578</v>
      </c>
      <c r="R4759" s="213" t="s">
        <v>39579</v>
      </c>
      <c r="S4759" s="213" t="s">
        <v>39580</v>
      </c>
      <c r="T4759" s="213" t="s">
        <v>39581</v>
      </c>
      <c r="U4759" s="213" t="s">
        <v>60933</v>
      </c>
    </row>
    <row r="4760" spans="1:21" x14ac:dyDescent="0.25">
      <c r="A4760" s="213" t="s">
        <v>327</v>
      </c>
      <c r="D4760" s="213" t="s">
        <v>39582</v>
      </c>
      <c r="E4760" s="213" t="s">
        <v>39583</v>
      </c>
      <c r="K4760" s="213" t="s">
        <v>60733</v>
      </c>
      <c r="L4760" s="213" t="s">
        <v>60800</v>
      </c>
      <c r="M4760" s="213" t="s">
        <v>60867</v>
      </c>
      <c r="N4760" s="213" t="s">
        <v>39584</v>
      </c>
      <c r="O4760" s="213" t="s">
        <v>39585</v>
      </c>
      <c r="P4760" s="213" t="s">
        <v>39586</v>
      </c>
      <c r="Q4760" s="213" t="s">
        <v>39587</v>
      </c>
      <c r="R4760" s="213" t="s">
        <v>39588</v>
      </c>
      <c r="S4760" s="213" t="s">
        <v>39589</v>
      </c>
      <c r="T4760" s="213" t="s">
        <v>39590</v>
      </c>
      <c r="U4760" s="213" t="s">
        <v>60934</v>
      </c>
    </row>
    <row r="4761" spans="1:21" x14ac:dyDescent="0.25">
      <c r="A4761" s="213" t="s">
        <v>327</v>
      </c>
      <c r="D4761" s="213" t="s">
        <v>39591</v>
      </c>
      <c r="E4761" s="213" t="s">
        <v>39592</v>
      </c>
      <c r="K4761" s="213" t="s">
        <v>60734</v>
      </c>
      <c r="L4761" s="213" t="s">
        <v>60801</v>
      </c>
      <c r="M4761" s="213" t="s">
        <v>60868</v>
      </c>
      <c r="N4761" s="213" t="s">
        <v>39593</v>
      </c>
      <c r="O4761" s="213" t="s">
        <v>39594</v>
      </c>
      <c r="P4761" s="213" t="s">
        <v>39595</v>
      </c>
      <c r="Q4761" s="213" t="s">
        <v>39596</v>
      </c>
      <c r="R4761" s="213" t="s">
        <v>39597</v>
      </c>
      <c r="S4761" s="213" t="s">
        <v>39598</v>
      </c>
      <c r="T4761" s="213" t="s">
        <v>39599</v>
      </c>
      <c r="U4761" s="213" t="s">
        <v>60935</v>
      </c>
    </row>
    <row r="4762" spans="1:21" x14ac:dyDescent="0.25">
      <c r="A4762" s="213" t="s">
        <v>327</v>
      </c>
      <c r="D4762" s="213" t="s">
        <v>39600</v>
      </c>
      <c r="E4762" s="213" t="s">
        <v>39601</v>
      </c>
      <c r="K4762" s="213" t="s">
        <v>60735</v>
      </c>
      <c r="L4762" s="213" t="s">
        <v>60802</v>
      </c>
      <c r="M4762" s="213" t="s">
        <v>60869</v>
      </c>
      <c r="N4762" s="213" t="s">
        <v>39602</v>
      </c>
      <c r="O4762" s="213" t="s">
        <v>39603</v>
      </c>
      <c r="P4762" s="213" t="s">
        <v>39604</v>
      </c>
      <c r="Q4762" s="213" t="s">
        <v>39605</v>
      </c>
      <c r="R4762" s="213" t="s">
        <v>39606</v>
      </c>
      <c r="S4762" s="213" t="s">
        <v>39607</v>
      </c>
      <c r="T4762" s="213" t="s">
        <v>39608</v>
      </c>
      <c r="U4762" s="213" t="s">
        <v>60936</v>
      </c>
    </row>
    <row r="4763" spans="1:21" x14ac:dyDescent="0.25">
      <c r="A4763" s="213" t="s">
        <v>327</v>
      </c>
      <c r="D4763" s="213" t="s">
        <v>39609</v>
      </c>
      <c r="E4763" s="213" t="s">
        <v>39610</v>
      </c>
      <c r="K4763" s="213" t="s">
        <v>60736</v>
      </c>
      <c r="L4763" s="213" t="s">
        <v>60803</v>
      </c>
      <c r="M4763" s="213" t="s">
        <v>60870</v>
      </c>
      <c r="N4763" s="213" t="s">
        <v>39611</v>
      </c>
      <c r="O4763" s="213" t="s">
        <v>39612</v>
      </c>
      <c r="P4763" s="213" t="s">
        <v>39613</v>
      </c>
      <c r="Q4763" s="213" t="s">
        <v>39614</v>
      </c>
      <c r="R4763" s="213" t="s">
        <v>39615</v>
      </c>
      <c r="S4763" s="213" t="s">
        <v>39616</v>
      </c>
      <c r="T4763" s="213" t="s">
        <v>39617</v>
      </c>
      <c r="U4763" s="213" t="s">
        <v>60937</v>
      </c>
    </row>
    <row r="4764" spans="1:21" x14ac:dyDescent="0.25">
      <c r="A4764" s="213" t="s">
        <v>327</v>
      </c>
      <c r="D4764" s="213" t="s">
        <v>39618</v>
      </c>
      <c r="E4764" s="213" t="s">
        <v>39619</v>
      </c>
      <c r="K4764" s="213" t="s">
        <v>60737</v>
      </c>
      <c r="L4764" s="213" t="s">
        <v>60804</v>
      </c>
      <c r="M4764" s="213" t="s">
        <v>60871</v>
      </c>
      <c r="N4764" s="213" t="s">
        <v>39620</v>
      </c>
      <c r="O4764" s="213" t="s">
        <v>39621</v>
      </c>
      <c r="P4764" s="213" t="s">
        <v>39622</v>
      </c>
      <c r="Q4764" s="213" t="s">
        <v>39623</v>
      </c>
      <c r="R4764" s="213" t="s">
        <v>39624</v>
      </c>
      <c r="S4764" s="213" t="s">
        <v>39625</v>
      </c>
      <c r="T4764" s="213" t="s">
        <v>39626</v>
      </c>
      <c r="U4764" s="213" t="s">
        <v>60938</v>
      </c>
    </row>
    <row r="4765" spans="1:21" x14ac:dyDescent="0.25">
      <c r="A4765" s="213" t="s">
        <v>327</v>
      </c>
      <c r="D4765" s="213" t="s">
        <v>39627</v>
      </c>
      <c r="E4765" s="213" t="s">
        <v>39628</v>
      </c>
      <c r="K4765" s="213" t="s">
        <v>60738</v>
      </c>
      <c r="L4765" s="213" t="s">
        <v>60805</v>
      </c>
      <c r="M4765" s="213" t="s">
        <v>60872</v>
      </c>
      <c r="N4765" s="213" t="s">
        <v>39629</v>
      </c>
      <c r="O4765" s="213" t="s">
        <v>39630</v>
      </c>
      <c r="P4765" s="213" t="s">
        <v>39631</v>
      </c>
      <c r="Q4765" s="213" t="s">
        <v>39632</v>
      </c>
      <c r="R4765" s="213" t="s">
        <v>39633</v>
      </c>
      <c r="S4765" s="213" t="s">
        <v>39634</v>
      </c>
      <c r="T4765" s="213" t="s">
        <v>39635</v>
      </c>
      <c r="U4765" s="213" t="s">
        <v>60939</v>
      </c>
    </row>
    <row r="4766" spans="1:21" x14ac:dyDescent="0.25">
      <c r="A4766" s="213" t="s">
        <v>327</v>
      </c>
      <c r="D4766" s="213" t="s">
        <v>39636</v>
      </c>
      <c r="E4766" s="213" t="s">
        <v>39637</v>
      </c>
      <c r="K4766" s="213" t="s">
        <v>60739</v>
      </c>
      <c r="L4766" s="213" t="s">
        <v>60806</v>
      </c>
      <c r="M4766" s="213" t="s">
        <v>60873</v>
      </c>
      <c r="N4766" s="213" t="s">
        <v>39638</v>
      </c>
      <c r="O4766" s="213" t="s">
        <v>39639</v>
      </c>
      <c r="P4766" s="213" t="s">
        <v>39640</v>
      </c>
      <c r="Q4766" s="213" t="s">
        <v>39641</v>
      </c>
      <c r="R4766" s="213" t="s">
        <v>39642</v>
      </c>
      <c r="S4766" s="213" t="s">
        <v>39643</v>
      </c>
      <c r="T4766" s="213" t="s">
        <v>39644</v>
      </c>
      <c r="U4766" s="213" t="s">
        <v>60940</v>
      </c>
    </row>
    <row r="4767" spans="1:21" x14ac:dyDescent="0.25">
      <c r="A4767" s="213" t="s">
        <v>327</v>
      </c>
      <c r="D4767" s="213" t="s">
        <v>39645</v>
      </c>
      <c r="E4767" s="213" t="s">
        <v>39646</v>
      </c>
      <c r="K4767" s="213" t="s">
        <v>60740</v>
      </c>
      <c r="L4767" s="213" t="s">
        <v>60807</v>
      </c>
      <c r="M4767" s="213" t="s">
        <v>60874</v>
      </c>
      <c r="N4767" s="213" t="s">
        <v>39647</v>
      </c>
      <c r="O4767" s="213" t="s">
        <v>39648</v>
      </c>
      <c r="P4767" s="213" t="s">
        <v>39649</v>
      </c>
      <c r="Q4767" s="213" t="s">
        <v>39650</v>
      </c>
      <c r="R4767" s="213" t="s">
        <v>39651</v>
      </c>
      <c r="S4767" s="213" t="s">
        <v>39652</v>
      </c>
      <c r="T4767" s="213" t="s">
        <v>39653</v>
      </c>
      <c r="U4767" s="213" t="s">
        <v>60941</v>
      </c>
    </row>
    <row r="4768" spans="1:21" x14ac:dyDescent="0.25">
      <c r="A4768" s="213" t="s">
        <v>327</v>
      </c>
      <c r="D4768" s="213" t="s">
        <v>39654</v>
      </c>
      <c r="E4768" s="213" t="s">
        <v>39655</v>
      </c>
      <c r="K4768" s="213" t="s">
        <v>60741</v>
      </c>
      <c r="L4768" s="213" t="s">
        <v>60808</v>
      </c>
      <c r="M4768" s="213" t="s">
        <v>60875</v>
      </c>
      <c r="N4768" s="213" t="s">
        <v>39656</v>
      </c>
      <c r="O4768" s="213" t="s">
        <v>39657</v>
      </c>
      <c r="P4768" s="213" t="s">
        <v>39658</v>
      </c>
      <c r="Q4768" s="213" t="s">
        <v>39659</v>
      </c>
      <c r="R4768" s="213" t="s">
        <v>39660</v>
      </c>
      <c r="S4768" s="213" t="s">
        <v>39661</v>
      </c>
      <c r="T4768" s="213" t="s">
        <v>39662</v>
      </c>
      <c r="U4768" s="213" t="s">
        <v>60942</v>
      </c>
    </row>
    <row r="4769" spans="1:21" x14ac:dyDescent="0.25">
      <c r="A4769" s="213" t="s">
        <v>327</v>
      </c>
      <c r="D4769" s="213" t="s">
        <v>39663</v>
      </c>
      <c r="E4769" s="213" t="s">
        <v>39664</v>
      </c>
      <c r="K4769" s="213" t="s">
        <v>60742</v>
      </c>
      <c r="L4769" s="213" t="s">
        <v>60809</v>
      </c>
      <c r="M4769" s="213" t="s">
        <v>60876</v>
      </c>
      <c r="N4769" s="213" t="s">
        <v>39665</v>
      </c>
      <c r="O4769" s="213" t="s">
        <v>39666</v>
      </c>
      <c r="P4769" s="213" t="s">
        <v>39667</v>
      </c>
      <c r="Q4769" s="213" t="s">
        <v>39668</v>
      </c>
      <c r="R4769" s="213" t="s">
        <v>39669</v>
      </c>
      <c r="S4769" s="213" t="s">
        <v>39670</v>
      </c>
      <c r="T4769" s="213" t="s">
        <v>39671</v>
      </c>
      <c r="U4769" s="213" t="s">
        <v>60943</v>
      </c>
    </row>
    <row r="4770" spans="1:21" x14ac:dyDescent="0.25">
      <c r="A4770" s="213" t="s">
        <v>327</v>
      </c>
      <c r="D4770" s="213" t="s">
        <v>39672</v>
      </c>
      <c r="E4770" s="213" t="s">
        <v>39673</v>
      </c>
      <c r="K4770" s="213" t="s">
        <v>60743</v>
      </c>
      <c r="L4770" s="213" t="s">
        <v>60810</v>
      </c>
      <c r="M4770" s="213" t="s">
        <v>60877</v>
      </c>
      <c r="N4770" s="213" t="s">
        <v>39674</v>
      </c>
      <c r="O4770" s="213" t="s">
        <v>39675</v>
      </c>
      <c r="P4770" s="213" t="s">
        <v>39676</v>
      </c>
      <c r="Q4770" s="213" t="s">
        <v>39677</v>
      </c>
      <c r="R4770" s="213" t="s">
        <v>39678</v>
      </c>
      <c r="S4770" s="213" t="s">
        <v>39679</v>
      </c>
      <c r="T4770" s="213" t="s">
        <v>39680</v>
      </c>
      <c r="U4770" s="213" t="s">
        <v>60944</v>
      </c>
    </row>
    <row r="4771" spans="1:21" x14ac:dyDescent="0.25">
      <c r="A4771" s="213" t="s">
        <v>327</v>
      </c>
      <c r="D4771" s="213" t="s">
        <v>39681</v>
      </c>
      <c r="E4771" s="213" t="s">
        <v>39682</v>
      </c>
      <c r="K4771" s="213" t="s">
        <v>60744</v>
      </c>
      <c r="L4771" s="213" t="s">
        <v>60811</v>
      </c>
      <c r="M4771" s="213" t="s">
        <v>60878</v>
      </c>
      <c r="N4771" s="213" t="s">
        <v>39683</v>
      </c>
      <c r="O4771" s="213" t="s">
        <v>39684</v>
      </c>
      <c r="P4771" s="213" t="s">
        <v>39685</v>
      </c>
      <c r="Q4771" s="213" t="s">
        <v>39686</v>
      </c>
      <c r="R4771" s="213" t="s">
        <v>39687</v>
      </c>
      <c r="S4771" s="213" t="s">
        <v>39688</v>
      </c>
      <c r="T4771" s="213" t="s">
        <v>39689</v>
      </c>
      <c r="U4771" s="213" t="s">
        <v>60945</v>
      </c>
    </row>
    <row r="4772" spans="1:21" x14ac:dyDescent="0.25">
      <c r="A4772" s="213" t="s">
        <v>327</v>
      </c>
      <c r="D4772" s="213" t="s">
        <v>39690</v>
      </c>
      <c r="E4772" s="213" t="s">
        <v>39691</v>
      </c>
      <c r="K4772" s="213" t="s">
        <v>60745</v>
      </c>
      <c r="L4772" s="213" t="s">
        <v>60812</v>
      </c>
      <c r="M4772" s="213" t="s">
        <v>60879</v>
      </c>
      <c r="N4772" s="213" t="s">
        <v>39692</v>
      </c>
      <c r="O4772" s="213" t="s">
        <v>39693</v>
      </c>
      <c r="P4772" s="213" t="s">
        <v>39694</v>
      </c>
      <c r="Q4772" s="213" t="s">
        <v>39695</v>
      </c>
      <c r="R4772" s="213" t="s">
        <v>39696</v>
      </c>
      <c r="S4772" s="213" t="s">
        <v>39697</v>
      </c>
      <c r="T4772" s="213" t="s">
        <v>39698</v>
      </c>
      <c r="U4772" s="213" t="s">
        <v>60946</v>
      </c>
    </row>
    <row r="4773" spans="1:21" x14ac:dyDescent="0.25">
      <c r="A4773" s="213" t="s">
        <v>327</v>
      </c>
      <c r="D4773" s="213" t="s">
        <v>39699</v>
      </c>
      <c r="E4773" s="213" t="s">
        <v>39700</v>
      </c>
      <c r="K4773" s="213" t="s">
        <v>60746</v>
      </c>
      <c r="L4773" s="213" t="s">
        <v>60813</v>
      </c>
      <c r="M4773" s="213" t="s">
        <v>60880</v>
      </c>
      <c r="N4773" s="213" t="s">
        <v>39701</v>
      </c>
      <c r="O4773" s="213" t="s">
        <v>39702</v>
      </c>
      <c r="P4773" s="213" t="s">
        <v>39703</v>
      </c>
      <c r="Q4773" s="213" t="s">
        <v>39704</v>
      </c>
      <c r="R4773" s="213" t="s">
        <v>39705</v>
      </c>
      <c r="S4773" s="213" t="s">
        <v>39706</v>
      </c>
      <c r="T4773" s="213" t="s">
        <v>39707</v>
      </c>
      <c r="U4773" s="213" t="s">
        <v>60947</v>
      </c>
    </row>
    <row r="4774" spans="1:21" x14ac:dyDescent="0.25">
      <c r="A4774" s="213" t="s">
        <v>327</v>
      </c>
      <c r="D4774" s="213" t="s">
        <v>39708</v>
      </c>
      <c r="E4774" s="213" t="s">
        <v>39709</v>
      </c>
      <c r="K4774" s="213" t="s">
        <v>60747</v>
      </c>
      <c r="L4774" s="213" t="s">
        <v>60814</v>
      </c>
      <c r="M4774" s="213" t="s">
        <v>60881</v>
      </c>
      <c r="N4774" s="213" t="s">
        <v>39710</v>
      </c>
      <c r="O4774" s="213" t="s">
        <v>39711</v>
      </c>
      <c r="P4774" s="213" t="s">
        <v>39712</v>
      </c>
      <c r="Q4774" s="213" t="s">
        <v>39713</v>
      </c>
      <c r="R4774" s="213" t="s">
        <v>39714</v>
      </c>
      <c r="S4774" s="213" t="s">
        <v>39715</v>
      </c>
      <c r="T4774" s="213" t="s">
        <v>39716</v>
      </c>
      <c r="U4774" s="213" t="s">
        <v>60948</v>
      </c>
    </row>
    <row r="4775" spans="1:21" x14ac:dyDescent="0.25">
      <c r="A4775" s="213" t="s">
        <v>327</v>
      </c>
      <c r="D4775" s="213" t="s">
        <v>39717</v>
      </c>
      <c r="E4775" s="213" t="s">
        <v>39718</v>
      </c>
      <c r="K4775" s="213" t="s">
        <v>60748</v>
      </c>
      <c r="L4775" s="213" t="s">
        <v>60815</v>
      </c>
      <c r="M4775" s="213" t="s">
        <v>60882</v>
      </c>
      <c r="N4775" s="213" t="s">
        <v>39719</v>
      </c>
      <c r="O4775" s="213" t="s">
        <v>39720</v>
      </c>
      <c r="P4775" s="213" t="s">
        <v>39721</v>
      </c>
      <c r="Q4775" s="213" t="s">
        <v>39722</v>
      </c>
      <c r="R4775" s="213" t="s">
        <v>39723</v>
      </c>
      <c r="S4775" s="213" t="s">
        <v>39724</v>
      </c>
      <c r="T4775" s="213" t="s">
        <v>39725</v>
      </c>
      <c r="U4775" s="213" t="s">
        <v>60949</v>
      </c>
    </row>
    <row r="4776" spans="1:21" x14ac:dyDescent="0.25">
      <c r="A4776" s="213" t="s">
        <v>327</v>
      </c>
      <c r="D4776" s="213" t="s">
        <v>39726</v>
      </c>
      <c r="E4776" s="213" t="s">
        <v>39727</v>
      </c>
      <c r="K4776" s="213" t="s">
        <v>60749</v>
      </c>
      <c r="L4776" s="213" t="s">
        <v>60816</v>
      </c>
      <c r="M4776" s="213" t="s">
        <v>60883</v>
      </c>
      <c r="N4776" s="213" t="s">
        <v>39728</v>
      </c>
      <c r="O4776" s="213" t="s">
        <v>39729</v>
      </c>
      <c r="P4776" s="213" t="s">
        <v>39730</v>
      </c>
      <c r="Q4776" s="213" t="s">
        <v>39731</v>
      </c>
      <c r="R4776" s="213" t="s">
        <v>39732</v>
      </c>
      <c r="S4776" s="213" t="s">
        <v>39733</v>
      </c>
      <c r="T4776" s="213" t="s">
        <v>39734</v>
      </c>
      <c r="U4776" s="213" t="s">
        <v>60950</v>
      </c>
    </row>
    <row r="4777" spans="1:21" x14ac:dyDescent="0.25">
      <c r="A4777" s="213" t="s">
        <v>327</v>
      </c>
      <c r="D4777" s="213" t="s">
        <v>39735</v>
      </c>
      <c r="E4777" s="213" t="s">
        <v>39736</v>
      </c>
      <c r="K4777" s="213" t="s">
        <v>60750</v>
      </c>
      <c r="L4777" s="213" t="s">
        <v>60817</v>
      </c>
      <c r="M4777" s="213" t="s">
        <v>60884</v>
      </c>
      <c r="N4777" s="213" t="s">
        <v>39737</v>
      </c>
      <c r="O4777" s="213" t="s">
        <v>39738</v>
      </c>
      <c r="P4777" s="213" t="s">
        <v>39739</v>
      </c>
      <c r="Q4777" s="213" t="s">
        <v>39740</v>
      </c>
      <c r="R4777" s="213" t="s">
        <v>39741</v>
      </c>
      <c r="S4777" s="213" t="s">
        <v>39742</v>
      </c>
      <c r="T4777" s="213" t="s">
        <v>39743</v>
      </c>
      <c r="U4777" s="213" t="s">
        <v>60951</v>
      </c>
    </row>
    <row r="4778" spans="1:21" x14ac:dyDescent="0.25">
      <c r="A4778" s="213" t="s">
        <v>327</v>
      </c>
      <c r="D4778" s="213" t="s">
        <v>39744</v>
      </c>
      <c r="E4778" s="213" t="s">
        <v>39745</v>
      </c>
      <c r="K4778" s="213" t="s">
        <v>60751</v>
      </c>
      <c r="L4778" s="213" t="s">
        <v>60818</v>
      </c>
      <c r="M4778" s="213" t="s">
        <v>60885</v>
      </c>
      <c r="N4778" s="213" t="s">
        <v>39746</v>
      </c>
      <c r="O4778" s="213" t="s">
        <v>39747</v>
      </c>
      <c r="P4778" s="213" t="s">
        <v>39748</v>
      </c>
      <c r="Q4778" s="213" t="s">
        <v>39749</v>
      </c>
      <c r="R4778" s="213" t="s">
        <v>39750</v>
      </c>
      <c r="S4778" s="213" t="s">
        <v>39751</v>
      </c>
      <c r="T4778" s="213" t="s">
        <v>39752</v>
      </c>
      <c r="U4778" s="213" t="s">
        <v>60952</v>
      </c>
    </row>
    <row r="4779" spans="1:21" x14ac:dyDescent="0.25">
      <c r="A4779" s="213" t="s">
        <v>327</v>
      </c>
      <c r="D4779" s="213" t="s">
        <v>39753</v>
      </c>
      <c r="E4779" s="213" t="s">
        <v>39754</v>
      </c>
      <c r="K4779" s="213" t="s">
        <v>60752</v>
      </c>
      <c r="L4779" s="213" t="s">
        <v>60819</v>
      </c>
      <c r="M4779" s="213" t="s">
        <v>60886</v>
      </c>
      <c r="N4779" s="213" t="s">
        <v>39755</v>
      </c>
      <c r="O4779" s="213" t="s">
        <v>39756</v>
      </c>
      <c r="P4779" s="213" t="s">
        <v>39757</v>
      </c>
      <c r="Q4779" s="213" t="s">
        <v>39758</v>
      </c>
      <c r="R4779" s="213" t="s">
        <v>39759</v>
      </c>
      <c r="S4779" s="213" t="s">
        <v>39760</v>
      </c>
      <c r="T4779" s="213" t="s">
        <v>39761</v>
      </c>
      <c r="U4779" s="213" t="s">
        <v>60953</v>
      </c>
    </row>
    <row r="4780" spans="1:21" x14ac:dyDescent="0.25">
      <c r="A4780" s="213" t="s">
        <v>327</v>
      </c>
      <c r="D4780" s="213" t="s">
        <v>39762</v>
      </c>
      <c r="E4780" s="213" t="s">
        <v>39763</v>
      </c>
      <c r="K4780" s="213" t="s">
        <v>60753</v>
      </c>
      <c r="L4780" s="213" t="s">
        <v>60820</v>
      </c>
      <c r="M4780" s="213" t="s">
        <v>60887</v>
      </c>
      <c r="N4780" s="213" t="s">
        <v>39764</v>
      </c>
      <c r="O4780" s="213" t="s">
        <v>39765</v>
      </c>
      <c r="P4780" s="213" t="s">
        <v>39766</v>
      </c>
      <c r="Q4780" s="213" t="s">
        <v>39767</v>
      </c>
      <c r="R4780" s="213" t="s">
        <v>39768</v>
      </c>
      <c r="S4780" s="213" t="s">
        <v>39769</v>
      </c>
      <c r="T4780" s="213" t="s">
        <v>39770</v>
      </c>
      <c r="U4780" s="213" t="s">
        <v>60954</v>
      </c>
    </row>
    <row r="4781" spans="1:21" x14ac:dyDescent="0.25">
      <c r="A4781" s="213" t="s">
        <v>327</v>
      </c>
      <c r="D4781" s="213" t="s">
        <v>39771</v>
      </c>
      <c r="E4781" s="213" t="s">
        <v>39772</v>
      </c>
      <c r="K4781" s="213" t="s">
        <v>60754</v>
      </c>
      <c r="L4781" s="213" t="s">
        <v>60821</v>
      </c>
      <c r="M4781" s="213" t="s">
        <v>60888</v>
      </c>
      <c r="N4781" s="213" t="s">
        <v>39773</v>
      </c>
      <c r="O4781" s="213" t="s">
        <v>39774</v>
      </c>
      <c r="P4781" s="213" t="s">
        <v>39775</v>
      </c>
      <c r="Q4781" s="213" t="s">
        <v>39776</v>
      </c>
      <c r="R4781" s="213" t="s">
        <v>39777</v>
      </c>
      <c r="S4781" s="213" t="s">
        <v>39778</v>
      </c>
      <c r="T4781" s="213" t="s">
        <v>39779</v>
      </c>
      <c r="U4781" s="213" t="s">
        <v>60955</v>
      </c>
    </row>
    <row r="4782" spans="1:21" x14ac:dyDescent="0.25">
      <c r="A4782" s="213" t="s">
        <v>327</v>
      </c>
      <c r="D4782" s="213" t="s">
        <v>39780</v>
      </c>
      <c r="E4782" s="213" t="s">
        <v>39781</v>
      </c>
      <c r="K4782" s="213" t="s">
        <v>60755</v>
      </c>
      <c r="L4782" s="213" t="s">
        <v>60822</v>
      </c>
      <c r="M4782" s="213" t="s">
        <v>60889</v>
      </c>
      <c r="N4782" s="213" t="s">
        <v>39782</v>
      </c>
      <c r="O4782" s="213" t="s">
        <v>39783</v>
      </c>
      <c r="P4782" s="213" t="s">
        <v>39784</v>
      </c>
      <c r="Q4782" s="213" t="s">
        <v>39785</v>
      </c>
      <c r="R4782" s="213" t="s">
        <v>39786</v>
      </c>
      <c r="S4782" s="213" t="s">
        <v>39787</v>
      </c>
      <c r="T4782" s="213" t="s">
        <v>39788</v>
      </c>
      <c r="U4782" s="213" t="s">
        <v>60956</v>
      </c>
    </row>
    <row r="4783" spans="1:21" x14ac:dyDescent="0.25">
      <c r="A4783" s="213" t="s">
        <v>327</v>
      </c>
      <c r="D4783" s="213" t="s">
        <v>39789</v>
      </c>
      <c r="E4783" s="213" t="s">
        <v>39790</v>
      </c>
      <c r="K4783" s="213" t="s">
        <v>60756</v>
      </c>
      <c r="L4783" s="213" t="s">
        <v>60823</v>
      </c>
      <c r="M4783" s="213" t="s">
        <v>60890</v>
      </c>
      <c r="N4783" s="213" t="s">
        <v>39791</v>
      </c>
      <c r="O4783" s="213" t="s">
        <v>39792</v>
      </c>
      <c r="P4783" s="213" t="s">
        <v>39793</v>
      </c>
      <c r="Q4783" s="213" t="s">
        <v>39794</v>
      </c>
      <c r="R4783" s="213" t="s">
        <v>39795</v>
      </c>
      <c r="S4783" s="213" t="s">
        <v>39796</v>
      </c>
      <c r="T4783" s="213" t="s">
        <v>39797</v>
      </c>
      <c r="U4783" s="213" t="s">
        <v>60957</v>
      </c>
    </row>
    <row r="4784" spans="1:21" x14ac:dyDescent="0.25">
      <c r="A4784" s="213" t="s">
        <v>327</v>
      </c>
      <c r="D4784" s="213" t="s">
        <v>39798</v>
      </c>
      <c r="E4784" s="213" t="s">
        <v>39799</v>
      </c>
      <c r="K4784" s="213" t="s">
        <v>60757</v>
      </c>
      <c r="L4784" s="213" t="s">
        <v>60824</v>
      </c>
      <c r="M4784" s="213" t="s">
        <v>60891</v>
      </c>
      <c r="N4784" s="213" t="s">
        <v>39800</v>
      </c>
      <c r="O4784" s="213" t="s">
        <v>39801</v>
      </c>
      <c r="P4784" s="213" t="s">
        <v>39802</v>
      </c>
      <c r="Q4784" s="213" t="s">
        <v>39803</v>
      </c>
      <c r="R4784" s="213" t="s">
        <v>39804</v>
      </c>
      <c r="S4784" s="213" t="s">
        <v>39805</v>
      </c>
      <c r="T4784" s="213" t="s">
        <v>39806</v>
      </c>
      <c r="U4784" s="213" t="s">
        <v>60958</v>
      </c>
    </row>
    <row r="4785" spans="1:21" x14ac:dyDescent="0.25">
      <c r="A4785" s="213" t="s">
        <v>327</v>
      </c>
      <c r="D4785" s="213" t="s">
        <v>39807</v>
      </c>
      <c r="E4785" s="213" t="s">
        <v>39808</v>
      </c>
      <c r="K4785" s="213" t="s">
        <v>60758</v>
      </c>
      <c r="L4785" s="213" t="s">
        <v>60825</v>
      </c>
      <c r="M4785" s="213" t="s">
        <v>60892</v>
      </c>
      <c r="N4785" s="213" t="s">
        <v>39809</v>
      </c>
      <c r="O4785" s="213" t="s">
        <v>39810</v>
      </c>
      <c r="P4785" s="213" t="s">
        <v>39811</v>
      </c>
      <c r="Q4785" s="213" t="s">
        <v>39812</v>
      </c>
      <c r="R4785" s="213" t="s">
        <v>39813</v>
      </c>
      <c r="S4785" s="213" t="s">
        <v>39814</v>
      </c>
      <c r="T4785" s="213" t="s">
        <v>39815</v>
      </c>
      <c r="U4785" s="213" t="s">
        <v>60959</v>
      </c>
    </row>
    <row r="4786" spans="1:21" x14ac:dyDescent="0.25">
      <c r="A4786" s="213" t="s">
        <v>327</v>
      </c>
      <c r="D4786" s="213" t="s">
        <v>39816</v>
      </c>
      <c r="E4786" s="213" t="s">
        <v>39817</v>
      </c>
      <c r="K4786" s="213" t="s">
        <v>60759</v>
      </c>
      <c r="L4786" s="213" t="s">
        <v>60826</v>
      </c>
      <c r="M4786" s="213" t="s">
        <v>60893</v>
      </c>
      <c r="N4786" s="213" t="s">
        <v>39818</v>
      </c>
      <c r="O4786" s="213" t="s">
        <v>39819</v>
      </c>
      <c r="P4786" s="213" t="s">
        <v>39820</v>
      </c>
      <c r="Q4786" s="213" t="s">
        <v>39821</v>
      </c>
      <c r="R4786" s="213" t="s">
        <v>39822</v>
      </c>
      <c r="S4786" s="213" t="s">
        <v>39823</v>
      </c>
      <c r="T4786" s="213" t="s">
        <v>39824</v>
      </c>
      <c r="U4786" s="213" t="s">
        <v>60960</v>
      </c>
    </row>
    <row r="4787" spans="1:21" x14ac:dyDescent="0.25">
      <c r="A4787" s="213" t="s">
        <v>327</v>
      </c>
      <c r="D4787" s="213" t="s">
        <v>39825</v>
      </c>
      <c r="E4787" s="213" t="s">
        <v>39826</v>
      </c>
      <c r="K4787" s="213" t="s">
        <v>60760</v>
      </c>
      <c r="L4787" s="213" t="s">
        <v>60827</v>
      </c>
      <c r="M4787" s="213" t="s">
        <v>60894</v>
      </c>
      <c r="N4787" s="213" t="s">
        <v>39827</v>
      </c>
      <c r="O4787" s="213" t="s">
        <v>39828</v>
      </c>
      <c r="P4787" s="213" t="s">
        <v>39829</v>
      </c>
      <c r="Q4787" s="213" t="s">
        <v>39830</v>
      </c>
      <c r="R4787" s="213" t="s">
        <v>39831</v>
      </c>
      <c r="S4787" s="213" t="s">
        <v>39832</v>
      </c>
      <c r="T4787" s="213" t="s">
        <v>39833</v>
      </c>
      <c r="U4787" s="213" t="s">
        <v>60961</v>
      </c>
    </row>
    <row r="4788" spans="1:21" x14ac:dyDescent="0.25">
      <c r="A4788" s="213" t="s">
        <v>327</v>
      </c>
      <c r="D4788" s="213" t="s">
        <v>39834</v>
      </c>
      <c r="E4788" s="213" t="s">
        <v>39835</v>
      </c>
      <c r="K4788" s="213" t="s">
        <v>60761</v>
      </c>
      <c r="L4788" s="213" t="s">
        <v>60828</v>
      </c>
      <c r="M4788" s="213" t="s">
        <v>60895</v>
      </c>
      <c r="N4788" s="213" t="s">
        <v>39836</v>
      </c>
      <c r="O4788" s="213" t="s">
        <v>39837</v>
      </c>
      <c r="P4788" s="213" t="s">
        <v>39838</v>
      </c>
      <c r="Q4788" s="213" t="s">
        <v>39839</v>
      </c>
      <c r="R4788" s="213" t="s">
        <v>39840</v>
      </c>
      <c r="S4788" s="213" t="s">
        <v>39841</v>
      </c>
      <c r="T4788" s="213" t="s">
        <v>39842</v>
      </c>
      <c r="U4788" s="213" t="s">
        <v>60962</v>
      </c>
    </row>
    <row r="4789" spans="1:21" x14ac:dyDescent="0.25">
      <c r="A4789" s="213" t="s">
        <v>327</v>
      </c>
      <c r="D4789" s="213" t="s">
        <v>39843</v>
      </c>
      <c r="E4789" s="213" t="s">
        <v>39844</v>
      </c>
      <c r="K4789" s="213" t="s">
        <v>60762</v>
      </c>
      <c r="L4789" s="213" t="s">
        <v>60829</v>
      </c>
      <c r="M4789" s="213" t="s">
        <v>60896</v>
      </c>
      <c r="N4789" s="213" t="s">
        <v>39845</v>
      </c>
      <c r="O4789" s="213" t="s">
        <v>39846</v>
      </c>
      <c r="P4789" s="213" t="s">
        <v>39847</v>
      </c>
      <c r="Q4789" s="213" t="s">
        <v>39848</v>
      </c>
      <c r="R4789" s="213" t="s">
        <v>39849</v>
      </c>
      <c r="S4789" s="213" t="s">
        <v>39850</v>
      </c>
      <c r="T4789" s="213" t="s">
        <v>39851</v>
      </c>
      <c r="U4789" s="213" t="s">
        <v>60963</v>
      </c>
    </row>
    <row r="4790" spans="1:21" x14ac:dyDescent="0.25">
      <c r="A4790" s="213" t="s">
        <v>327</v>
      </c>
      <c r="D4790" s="213" t="s">
        <v>39852</v>
      </c>
      <c r="E4790" s="213" t="s">
        <v>39853</v>
      </c>
      <c r="K4790" s="213" t="s">
        <v>60763</v>
      </c>
      <c r="L4790" s="213" t="s">
        <v>60830</v>
      </c>
      <c r="M4790" s="213" t="s">
        <v>60897</v>
      </c>
      <c r="N4790" s="213" t="s">
        <v>39854</v>
      </c>
      <c r="O4790" s="213" t="s">
        <v>39855</v>
      </c>
      <c r="P4790" s="213" t="s">
        <v>39856</v>
      </c>
      <c r="Q4790" s="213" t="s">
        <v>39857</v>
      </c>
      <c r="R4790" s="213" t="s">
        <v>39858</v>
      </c>
      <c r="S4790" s="213" t="s">
        <v>39859</v>
      </c>
      <c r="T4790" s="213" t="s">
        <v>39860</v>
      </c>
      <c r="U4790" s="213" t="s">
        <v>60964</v>
      </c>
    </row>
    <row r="4791" spans="1:21" x14ac:dyDescent="0.25">
      <c r="A4791" s="213" t="s">
        <v>327</v>
      </c>
      <c r="D4791" s="213" t="s">
        <v>39861</v>
      </c>
      <c r="E4791" s="213" t="s">
        <v>39862</v>
      </c>
      <c r="K4791" s="213" t="s">
        <v>60764</v>
      </c>
      <c r="L4791" s="213" t="s">
        <v>60831</v>
      </c>
      <c r="M4791" s="213" t="s">
        <v>60898</v>
      </c>
      <c r="N4791" s="213" t="s">
        <v>39863</v>
      </c>
      <c r="O4791" s="213" t="s">
        <v>39864</v>
      </c>
      <c r="P4791" s="213" t="s">
        <v>39865</v>
      </c>
      <c r="Q4791" s="213" t="s">
        <v>39866</v>
      </c>
      <c r="R4791" s="213" t="s">
        <v>39867</v>
      </c>
      <c r="S4791" s="213" t="s">
        <v>39868</v>
      </c>
      <c r="T4791" s="213" t="s">
        <v>39869</v>
      </c>
      <c r="U4791" s="213" t="s">
        <v>60965</v>
      </c>
    </row>
    <row r="4792" spans="1:21" x14ac:dyDescent="0.25">
      <c r="A4792" s="213" t="s">
        <v>327</v>
      </c>
      <c r="D4792" s="213" t="s">
        <v>39870</v>
      </c>
      <c r="E4792" s="213" t="s">
        <v>39871</v>
      </c>
      <c r="K4792" s="213" t="s">
        <v>60765</v>
      </c>
      <c r="L4792" s="213" t="s">
        <v>60832</v>
      </c>
      <c r="M4792" s="213" t="s">
        <v>60899</v>
      </c>
      <c r="N4792" s="213" t="s">
        <v>39872</v>
      </c>
      <c r="O4792" s="213" t="s">
        <v>39873</v>
      </c>
      <c r="P4792" s="213" t="s">
        <v>39874</v>
      </c>
      <c r="Q4792" s="213" t="s">
        <v>39875</v>
      </c>
      <c r="R4792" s="213" t="s">
        <v>39876</v>
      </c>
      <c r="S4792" s="213" t="s">
        <v>39877</v>
      </c>
      <c r="T4792" s="213" t="s">
        <v>39878</v>
      </c>
      <c r="U4792" s="213" t="s">
        <v>60966</v>
      </c>
    </row>
    <row r="4793" spans="1:21" x14ac:dyDescent="0.25">
      <c r="A4793" s="213" t="s">
        <v>327</v>
      </c>
      <c r="D4793" s="213" t="s">
        <v>39879</v>
      </c>
      <c r="E4793" s="213" t="s">
        <v>39880</v>
      </c>
      <c r="K4793" s="213" t="s">
        <v>60766</v>
      </c>
      <c r="L4793" s="213" t="s">
        <v>60833</v>
      </c>
      <c r="M4793" s="213" t="s">
        <v>60900</v>
      </c>
      <c r="N4793" s="213" t="s">
        <v>39881</v>
      </c>
      <c r="O4793" s="213" t="s">
        <v>39882</v>
      </c>
      <c r="P4793" s="213" t="s">
        <v>39883</v>
      </c>
      <c r="Q4793" s="213" t="s">
        <v>39884</v>
      </c>
      <c r="R4793" s="213" t="s">
        <v>39885</v>
      </c>
      <c r="S4793" s="213" t="s">
        <v>39886</v>
      </c>
      <c r="T4793" s="213" t="s">
        <v>39887</v>
      </c>
      <c r="U4793" s="213" t="s">
        <v>60967</v>
      </c>
    </row>
    <row r="4794" spans="1:21" x14ac:dyDescent="0.25">
      <c r="A4794" s="213" t="s">
        <v>327</v>
      </c>
      <c r="D4794" s="213" t="s">
        <v>39888</v>
      </c>
      <c r="E4794" s="213" t="s">
        <v>39889</v>
      </c>
      <c r="K4794" s="213" t="s">
        <v>60767</v>
      </c>
      <c r="L4794" s="213" t="s">
        <v>60834</v>
      </c>
      <c r="M4794" s="213" t="s">
        <v>60901</v>
      </c>
      <c r="N4794" s="213" t="s">
        <v>39890</v>
      </c>
      <c r="O4794" s="213" t="s">
        <v>39891</v>
      </c>
      <c r="P4794" s="213" t="s">
        <v>39892</v>
      </c>
      <c r="Q4794" s="213" t="s">
        <v>39893</v>
      </c>
      <c r="R4794" s="213" t="s">
        <v>39894</v>
      </c>
      <c r="S4794" s="213" t="s">
        <v>39895</v>
      </c>
      <c r="T4794" s="213" t="s">
        <v>39896</v>
      </c>
      <c r="U4794" s="213" t="s">
        <v>60968</v>
      </c>
    </row>
    <row r="4795" spans="1:21" x14ac:dyDescent="0.25">
      <c r="A4795" s="213" t="s">
        <v>327</v>
      </c>
      <c r="D4795" s="213" t="s">
        <v>39897</v>
      </c>
      <c r="E4795" s="213" t="s">
        <v>39898</v>
      </c>
      <c r="K4795" s="213" t="s">
        <v>60768</v>
      </c>
      <c r="L4795" s="213" t="s">
        <v>60835</v>
      </c>
      <c r="M4795" s="213" t="s">
        <v>60902</v>
      </c>
      <c r="N4795" s="213" t="s">
        <v>39899</v>
      </c>
      <c r="O4795" s="213" t="s">
        <v>39900</v>
      </c>
      <c r="P4795" s="213" t="s">
        <v>39901</v>
      </c>
      <c r="Q4795" s="213" t="s">
        <v>39902</v>
      </c>
      <c r="R4795" s="213" t="s">
        <v>39903</v>
      </c>
      <c r="S4795" s="213" t="s">
        <v>39904</v>
      </c>
      <c r="T4795" s="213" t="s">
        <v>39905</v>
      </c>
      <c r="U4795" s="213" t="s">
        <v>60969</v>
      </c>
    </row>
    <row r="4796" spans="1:21" x14ac:dyDescent="0.25">
      <c r="A4796" s="213" t="s">
        <v>327</v>
      </c>
      <c r="D4796" s="213" t="s">
        <v>39906</v>
      </c>
      <c r="E4796" s="213" t="s">
        <v>39907</v>
      </c>
      <c r="K4796" s="213" t="s">
        <v>60769</v>
      </c>
      <c r="L4796" s="213" t="s">
        <v>60836</v>
      </c>
      <c r="M4796" s="213" t="s">
        <v>60903</v>
      </c>
      <c r="N4796" s="213" t="s">
        <v>39908</v>
      </c>
      <c r="O4796" s="213" t="s">
        <v>39909</v>
      </c>
      <c r="P4796" s="213" t="s">
        <v>39910</v>
      </c>
      <c r="Q4796" s="213" t="s">
        <v>39911</v>
      </c>
      <c r="R4796" s="213" t="s">
        <v>39912</v>
      </c>
      <c r="S4796" s="213" t="s">
        <v>39913</v>
      </c>
      <c r="T4796" s="213" t="s">
        <v>39914</v>
      </c>
      <c r="U4796" s="213" t="s">
        <v>60970</v>
      </c>
    </row>
    <row r="4797" spans="1:21" x14ac:dyDescent="0.25">
      <c r="A4797" s="213" t="s">
        <v>327</v>
      </c>
      <c r="D4797" s="213" t="s">
        <v>39915</v>
      </c>
      <c r="E4797" s="213" t="s">
        <v>39916</v>
      </c>
      <c r="K4797" s="213" t="s">
        <v>60770</v>
      </c>
      <c r="L4797" s="213" t="s">
        <v>60837</v>
      </c>
      <c r="M4797" s="213" t="s">
        <v>60904</v>
      </c>
      <c r="N4797" s="213" t="s">
        <v>39917</v>
      </c>
      <c r="O4797" s="213" t="s">
        <v>39918</v>
      </c>
      <c r="P4797" s="213" t="s">
        <v>39919</v>
      </c>
      <c r="Q4797" s="213" t="s">
        <v>39920</v>
      </c>
      <c r="R4797" s="213" t="s">
        <v>39921</v>
      </c>
      <c r="S4797" s="213" t="s">
        <v>39922</v>
      </c>
      <c r="T4797" s="213" t="s">
        <v>39923</v>
      </c>
      <c r="U4797" s="213" t="s">
        <v>60971</v>
      </c>
    </row>
    <row r="4798" spans="1:21" x14ac:dyDescent="0.25">
      <c r="A4798" s="213" t="s">
        <v>327</v>
      </c>
      <c r="D4798" s="213" t="s">
        <v>39924</v>
      </c>
      <c r="E4798" s="213" t="s">
        <v>39925</v>
      </c>
      <c r="K4798" s="213" t="s">
        <v>60771</v>
      </c>
      <c r="L4798" s="213" t="s">
        <v>60838</v>
      </c>
      <c r="M4798" s="213" t="s">
        <v>60905</v>
      </c>
      <c r="N4798" s="213" t="s">
        <v>39926</v>
      </c>
      <c r="O4798" s="213" t="s">
        <v>39927</v>
      </c>
      <c r="P4798" s="213" t="s">
        <v>39928</v>
      </c>
      <c r="Q4798" s="213" t="s">
        <v>39929</v>
      </c>
      <c r="R4798" s="213" t="s">
        <v>39930</v>
      </c>
      <c r="S4798" s="213" t="s">
        <v>39931</v>
      </c>
      <c r="T4798" s="213" t="s">
        <v>39932</v>
      </c>
      <c r="U4798" s="213" t="s">
        <v>60972</v>
      </c>
    </row>
    <row r="4799" spans="1:21" x14ac:dyDescent="0.25">
      <c r="A4799" s="213" t="s">
        <v>327</v>
      </c>
      <c r="D4799" s="213" t="s">
        <v>39933</v>
      </c>
      <c r="E4799" s="213" t="s">
        <v>39934</v>
      </c>
      <c r="K4799" s="213" t="s">
        <v>60772</v>
      </c>
      <c r="L4799" s="213" t="s">
        <v>60839</v>
      </c>
      <c r="M4799" s="213" t="s">
        <v>60906</v>
      </c>
      <c r="N4799" s="213" t="s">
        <v>39935</v>
      </c>
      <c r="O4799" s="213" t="s">
        <v>39936</v>
      </c>
      <c r="P4799" s="213" t="s">
        <v>39937</v>
      </c>
      <c r="Q4799" s="213" t="s">
        <v>39938</v>
      </c>
      <c r="R4799" s="213" t="s">
        <v>39939</v>
      </c>
      <c r="S4799" s="213" t="s">
        <v>39940</v>
      </c>
      <c r="T4799" s="213" t="s">
        <v>39941</v>
      </c>
      <c r="U4799" s="213" t="s">
        <v>60973</v>
      </c>
    </row>
    <row r="4800" spans="1:21" x14ac:dyDescent="0.25">
      <c r="A4800" s="213" t="s">
        <v>327</v>
      </c>
      <c r="D4800" s="213" t="s">
        <v>39942</v>
      </c>
      <c r="E4800" s="213" t="s">
        <v>39943</v>
      </c>
      <c r="K4800" s="213" t="s">
        <v>60773</v>
      </c>
      <c r="L4800" s="213" t="s">
        <v>60840</v>
      </c>
      <c r="M4800" s="213" t="s">
        <v>60907</v>
      </c>
      <c r="N4800" s="213" t="s">
        <v>39944</v>
      </c>
      <c r="O4800" s="213" t="s">
        <v>39945</v>
      </c>
      <c r="P4800" s="213" t="s">
        <v>39946</v>
      </c>
      <c r="Q4800" s="213" t="s">
        <v>39947</v>
      </c>
      <c r="R4800" s="213" t="s">
        <v>39948</v>
      </c>
      <c r="S4800" s="213" t="s">
        <v>39949</v>
      </c>
      <c r="T4800" s="213" t="s">
        <v>39950</v>
      </c>
      <c r="U4800" s="213" t="s">
        <v>60974</v>
      </c>
    </row>
    <row r="4801" spans="1:21" x14ac:dyDescent="0.25">
      <c r="A4801" s="213" t="s">
        <v>327</v>
      </c>
      <c r="D4801" s="213" t="s">
        <v>39951</v>
      </c>
      <c r="E4801" s="213" t="s">
        <v>39952</v>
      </c>
      <c r="K4801" s="213" t="s">
        <v>60774</v>
      </c>
      <c r="L4801" s="213" t="s">
        <v>60841</v>
      </c>
      <c r="M4801" s="213" t="s">
        <v>60908</v>
      </c>
      <c r="N4801" s="213" t="s">
        <v>39953</v>
      </c>
      <c r="O4801" s="213" t="s">
        <v>39954</v>
      </c>
      <c r="P4801" s="213" t="s">
        <v>39955</v>
      </c>
      <c r="Q4801" s="213" t="s">
        <v>39956</v>
      </c>
      <c r="R4801" s="213" t="s">
        <v>39957</v>
      </c>
      <c r="S4801" s="213" t="s">
        <v>39958</v>
      </c>
      <c r="T4801" s="213" t="s">
        <v>39959</v>
      </c>
      <c r="U4801" s="213" t="s">
        <v>60975</v>
      </c>
    </row>
    <row r="4802" spans="1:21" x14ac:dyDescent="0.25">
      <c r="A4802" s="213" t="s">
        <v>327</v>
      </c>
      <c r="D4802" s="213" t="s">
        <v>39960</v>
      </c>
      <c r="E4802" s="213" t="s">
        <v>39961</v>
      </c>
      <c r="K4802" s="213" t="s">
        <v>60775</v>
      </c>
      <c r="L4802" s="213" t="s">
        <v>60842</v>
      </c>
      <c r="M4802" s="213" t="s">
        <v>60909</v>
      </c>
      <c r="N4802" s="213" t="s">
        <v>39962</v>
      </c>
      <c r="O4802" s="213" t="s">
        <v>39963</v>
      </c>
      <c r="P4802" s="213" t="s">
        <v>39964</v>
      </c>
      <c r="Q4802" s="213" t="s">
        <v>39965</v>
      </c>
      <c r="R4802" s="213" t="s">
        <v>39966</v>
      </c>
      <c r="S4802" s="213" t="s">
        <v>39967</v>
      </c>
      <c r="T4802" s="213" t="s">
        <v>39968</v>
      </c>
      <c r="U4802" s="213" t="s">
        <v>60976</v>
      </c>
    </row>
    <row r="4803" spans="1:21" x14ac:dyDescent="0.25">
      <c r="A4803" s="213" t="s">
        <v>327</v>
      </c>
      <c r="D4803" s="213" t="s">
        <v>39969</v>
      </c>
      <c r="E4803" s="213" t="s">
        <v>39970</v>
      </c>
      <c r="K4803" s="213" t="s">
        <v>60776</v>
      </c>
      <c r="L4803" s="213" t="s">
        <v>60843</v>
      </c>
      <c r="M4803" s="213" t="s">
        <v>60910</v>
      </c>
      <c r="N4803" s="213" t="s">
        <v>39971</v>
      </c>
      <c r="O4803" s="213" t="s">
        <v>39972</v>
      </c>
      <c r="P4803" s="213" t="s">
        <v>39973</v>
      </c>
      <c r="Q4803" s="213" t="s">
        <v>39974</v>
      </c>
      <c r="R4803" s="213" t="s">
        <v>39975</v>
      </c>
      <c r="S4803" s="213" t="s">
        <v>39976</v>
      </c>
      <c r="T4803" s="213" t="s">
        <v>39977</v>
      </c>
      <c r="U4803" s="213" t="s">
        <v>60977</v>
      </c>
    </row>
    <row r="4804" spans="1:21" x14ac:dyDescent="0.25">
      <c r="A4804" s="213" t="s">
        <v>327</v>
      </c>
      <c r="D4804" s="213" t="s">
        <v>39978</v>
      </c>
      <c r="E4804" s="213" t="s">
        <v>39979</v>
      </c>
      <c r="K4804" s="213" t="s">
        <v>60777</v>
      </c>
      <c r="L4804" s="213" t="s">
        <v>60844</v>
      </c>
      <c r="M4804" s="213" t="s">
        <v>60911</v>
      </c>
      <c r="N4804" s="213" t="s">
        <v>39980</v>
      </c>
      <c r="O4804" s="213" t="s">
        <v>39981</v>
      </c>
      <c r="P4804" s="213" t="s">
        <v>39982</v>
      </c>
      <c r="Q4804" s="213" t="s">
        <v>39983</v>
      </c>
      <c r="R4804" s="213" t="s">
        <v>39984</v>
      </c>
      <c r="S4804" s="213" t="s">
        <v>39985</v>
      </c>
      <c r="T4804" s="213" t="s">
        <v>39986</v>
      </c>
      <c r="U4804" s="213" t="s">
        <v>60978</v>
      </c>
    </row>
    <row r="4805" spans="1:21" x14ac:dyDescent="0.25">
      <c r="A4805" s="213" t="s">
        <v>327</v>
      </c>
      <c r="D4805" s="213" t="s">
        <v>39987</v>
      </c>
      <c r="E4805" s="213" t="s">
        <v>39988</v>
      </c>
      <c r="K4805" s="213" t="s">
        <v>60778</v>
      </c>
      <c r="L4805" s="213" t="s">
        <v>60845</v>
      </c>
      <c r="M4805" s="213" t="s">
        <v>60912</v>
      </c>
      <c r="N4805" s="213" t="s">
        <v>39989</v>
      </c>
      <c r="O4805" s="213" t="s">
        <v>39990</v>
      </c>
      <c r="P4805" s="213" t="s">
        <v>39991</v>
      </c>
      <c r="Q4805" s="213" t="s">
        <v>39992</v>
      </c>
      <c r="R4805" s="213" t="s">
        <v>39993</v>
      </c>
      <c r="S4805" s="213" t="s">
        <v>39994</v>
      </c>
      <c r="T4805" s="213" t="s">
        <v>39995</v>
      </c>
      <c r="U4805" s="213" t="s">
        <v>60979</v>
      </c>
    </row>
    <row r="4806" spans="1:21" x14ac:dyDescent="0.25">
      <c r="A4806" s="213" t="s">
        <v>327</v>
      </c>
      <c r="D4806" s="213" t="s">
        <v>39996</v>
      </c>
      <c r="E4806" s="213" t="s">
        <v>39997</v>
      </c>
      <c r="K4806" s="213" t="s">
        <v>60779</v>
      </c>
      <c r="L4806" s="213" t="s">
        <v>60846</v>
      </c>
      <c r="M4806" s="213" t="s">
        <v>60913</v>
      </c>
      <c r="N4806" s="213" t="s">
        <v>39998</v>
      </c>
      <c r="O4806" s="213" t="s">
        <v>39999</v>
      </c>
      <c r="P4806" s="213" t="s">
        <v>40000</v>
      </c>
      <c r="Q4806" s="213" t="s">
        <v>40001</v>
      </c>
      <c r="R4806" s="213" t="s">
        <v>40002</v>
      </c>
      <c r="S4806" s="213" t="s">
        <v>40003</v>
      </c>
      <c r="T4806" s="213" t="s">
        <v>40004</v>
      </c>
      <c r="U4806" s="213" t="s">
        <v>60980</v>
      </c>
    </row>
    <row r="4807" spans="1:21" x14ac:dyDescent="0.25">
      <c r="A4807" s="213" t="s">
        <v>327</v>
      </c>
      <c r="D4807" s="213" t="s">
        <v>40005</v>
      </c>
      <c r="E4807" s="213" t="s">
        <v>40006</v>
      </c>
      <c r="K4807" s="213" t="s">
        <v>60780</v>
      </c>
      <c r="L4807" s="213" t="s">
        <v>60847</v>
      </c>
      <c r="M4807" s="213" t="s">
        <v>60914</v>
      </c>
      <c r="N4807" s="213" t="s">
        <v>40007</v>
      </c>
      <c r="O4807" s="213" t="s">
        <v>40008</v>
      </c>
      <c r="P4807" s="213" t="s">
        <v>40009</v>
      </c>
      <c r="Q4807" s="213" t="s">
        <v>40010</v>
      </c>
      <c r="R4807" s="213" t="s">
        <v>40011</v>
      </c>
      <c r="S4807" s="213" t="s">
        <v>40012</v>
      </c>
      <c r="T4807" s="213" t="s">
        <v>40013</v>
      </c>
      <c r="U4807" s="213" t="s">
        <v>60981</v>
      </c>
    </row>
    <row r="4808" spans="1:21" x14ac:dyDescent="0.25">
      <c r="A4808" s="213" t="s">
        <v>327</v>
      </c>
    </row>
    <row r="4809" spans="1:21" x14ac:dyDescent="0.25">
      <c r="A4809" s="213" t="s">
        <v>327</v>
      </c>
    </row>
    <row r="4810" spans="1:21" x14ac:dyDescent="0.25">
      <c r="A4810" s="213" t="s">
        <v>327</v>
      </c>
      <c r="C4810" s="213" t="s">
        <v>40014</v>
      </c>
      <c r="E4810" s="213" t="s">
        <v>40015</v>
      </c>
      <c r="H4810" s="213" t="s">
        <v>40016</v>
      </c>
      <c r="I4810" s="213" t="s">
        <v>40017</v>
      </c>
      <c r="J4810" s="213" t="s">
        <v>40018</v>
      </c>
      <c r="L4810" s="213" t="s">
        <v>40019</v>
      </c>
      <c r="O4810" s="213" t="s">
        <v>40020</v>
      </c>
      <c r="P4810" s="213" t="s">
        <v>40021</v>
      </c>
      <c r="Q4810" s="213" t="s">
        <v>40022</v>
      </c>
      <c r="R4810" s="213" t="s">
        <v>40023</v>
      </c>
      <c r="S4810" s="213" t="s">
        <v>40024</v>
      </c>
      <c r="T4810" s="213" t="s">
        <v>40025</v>
      </c>
    </row>
    <row r="4811" spans="1:21" x14ac:dyDescent="0.25">
      <c r="A4811" s="213" t="s">
        <v>327</v>
      </c>
      <c r="C4811" s="213" t="s">
        <v>40026</v>
      </c>
      <c r="E4811" s="213" t="s">
        <v>40027</v>
      </c>
      <c r="I4811" s="213" t="s">
        <v>40028</v>
      </c>
    </row>
    <row r="4812" spans="1:21" x14ac:dyDescent="0.25">
      <c r="A4812" s="213" t="s">
        <v>327</v>
      </c>
      <c r="C4812" s="213" t="s">
        <v>40029</v>
      </c>
      <c r="E4812" s="213" t="s">
        <v>40030</v>
      </c>
      <c r="I4812" s="213" t="s">
        <v>40031</v>
      </c>
    </row>
    <row r="4813" spans="1:21" x14ac:dyDescent="0.25">
      <c r="A4813" s="213" t="s">
        <v>328</v>
      </c>
    </row>
    <row r="4814" spans="1:21" x14ac:dyDescent="0.25">
      <c r="A4814" s="213" t="s">
        <v>327</v>
      </c>
      <c r="D4814" s="213" t="s">
        <v>40032</v>
      </c>
      <c r="E4814" s="213" t="s">
        <v>40033</v>
      </c>
      <c r="K4814" s="213" t="s">
        <v>60422</v>
      </c>
      <c r="L4814" s="213" t="s">
        <v>60495</v>
      </c>
      <c r="M4814" s="213" t="s">
        <v>60568</v>
      </c>
      <c r="N4814" s="213" t="s">
        <v>40034</v>
      </c>
      <c r="O4814" s="213" t="s">
        <v>40035</v>
      </c>
      <c r="P4814" s="213" t="s">
        <v>40036</v>
      </c>
      <c r="Q4814" s="213" t="s">
        <v>40037</v>
      </c>
      <c r="R4814" s="213" t="s">
        <v>40038</v>
      </c>
      <c r="S4814" s="213" t="s">
        <v>40039</v>
      </c>
      <c r="T4814" s="213" t="s">
        <v>40040</v>
      </c>
      <c r="U4814" s="213" t="s">
        <v>60641</v>
      </c>
    </row>
    <row r="4815" spans="1:21" x14ac:dyDescent="0.25">
      <c r="A4815" s="213" t="s">
        <v>327</v>
      </c>
      <c r="D4815" s="213" t="s">
        <v>40041</v>
      </c>
      <c r="E4815" s="213" t="s">
        <v>40042</v>
      </c>
      <c r="K4815" s="213" t="s">
        <v>60423</v>
      </c>
      <c r="L4815" s="213" t="s">
        <v>60496</v>
      </c>
      <c r="M4815" s="213" t="s">
        <v>60569</v>
      </c>
      <c r="N4815" s="213" t="s">
        <v>40043</v>
      </c>
      <c r="O4815" s="213" t="s">
        <v>40044</v>
      </c>
      <c r="P4815" s="213" t="s">
        <v>40045</v>
      </c>
      <c r="Q4815" s="213" t="s">
        <v>40046</v>
      </c>
      <c r="R4815" s="213" t="s">
        <v>40047</v>
      </c>
      <c r="S4815" s="213" t="s">
        <v>40048</v>
      </c>
      <c r="T4815" s="213" t="s">
        <v>40049</v>
      </c>
      <c r="U4815" s="213" t="s">
        <v>60642</v>
      </c>
    </row>
    <row r="4816" spans="1:21" x14ac:dyDescent="0.25">
      <c r="A4816" s="213" t="s">
        <v>327</v>
      </c>
      <c r="D4816" s="213" t="s">
        <v>40050</v>
      </c>
      <c r="E4816" s="213" t="s">
        <v>40051</v>
      </c>
      <c r="K4816" s="213" t="s">
        <v>60424</v>
      </c>
      <c r="L4816" s="213" t="s">
        <v>60497</v>
      </c>
      <c r="M4816" s="213" t="s">
        <v>60570</v>
      </c>
      <c r="N4816" s="213" t="s">
        <v>40052</v>
      </c>
      <c r="O4816" s="213" t="s">
        <v>40053</v>
      </c>
      <c r="P4816" s="213" t="s">
        <v>40054</v>
      </c>
      <c r="Q4816" s="213" t="s">
        <v>40055</v>
      </c>
      <c r="R4816" s="213" t="s">
        <v>40056</v>
      </c>
      <c r="S4816" s="213" t="s">
        <v>40057</v>
      </c>
      <c r="T4816" s="213" t="s">
        <v>40058</v>
      </c>
      <c r="U4816" s="213" t="s">
        <v>60643</v>
      </c>
    </row>
    <row r="4817" spans="1:21" x14ac:dyDescent="0.25">
      <c r="A4817" s="213" t="s">
        <v>327</v>
      </c>
      <c r="D4817" s="213" t="s">
        <v>40059</v>
      </c>
      <c r="E4817" s="213" t="s">
        <v>40060</v>
      </c>
      <c r="K4817" s="213" t="s">
        <v>60425</v>
      </c>
      <c r="L4817" s="213" t="s">
        <v>60498</v>
      </c>
      <c r="M4817" s="213" t="s">
        <v>60571</v>
      </c>
      <c r="N4817" s="213" t="s">
        <v>40061</v>
      </c>
      <c r="O4817" s="213" t="s">
        <v>40062</v>
      </c>
      <c r="P4817" s="213" t="s">
        <v>40063</v>
      </c>
      <c r="Q4817" s="213" t="s">
        <v>40064</v>
      </c>
      <c r="R4817" s="213" t="s">
        <v>40065</v>
      </c>
      <c r="S4817" s="213" t="s">
        <v>40066</v>
      </c>
      <c r="T4817" s="213" t="s">
        <v>40067</v>
      </c>
      <c r="U4817" s="213" t="s">
        <v>60644</v>
      </c>
    </row>
    <row r="4818" spans="1:21" x14ac:dyDescent="0.25">
      <c r="A4818" s="213" t="s">
        <v>327</v>
      </c>
      <c r="D4818" s="213" t="s">
        <v>40068</v>
      </c>
      <c r="E4818" s="213" t="s">
        <v>40069</v>
      </c>
      <c r="K4818" s="213" t="s">
        <v>60426</v>
      </c>
      <c r="L4818" s="213" t="s">
        <v>60499</v>
      </c>
      <c r="M4818" s="213" t="s">
        <v>60572</v>
      </c>
      <c r="N4818" s="213" t="s">
        <v>40070</v>
      </c>
      <c r="O4818" s="213" t="s">
        <v>40071</v>
      </c>
      <c r="P4818" s="213" t="s">
        <v>40072</v>
      </c>
      <c r="Q4818" s="213" t="s">
        <v>40073</v>
      </c>
      <c r="R4818" s="213" t="s">
        <v>40074</v>
      </c>
      <c r="S4818" s="213" t="s">
        <v>40075</v>
      </c>
      <c r="T4818" s="213" t="s">
        <v>40076</v>
      </c>
      <c r="U4818" s="213" t="s">
        <v>60645</v>
      </c>
    </row>
    <row r="4819" spans="1:21" x14ac:dyDescent="0.25">
      <c r="A4819" s="213" t="s">
        <v>327</v>
      </c>
      <c r="D4819" s="213" t="s">
        <v>40077</v>
      </c>
      <c r="E4819" s="213" t="s">
        <v>40078</v>
      </c>
      <c r="K4819" s="213" t="s">
        <v>60427</v>
      </c>
      <c r="L4819" s="213" t="s">
        <v>60500</v>
      </c>
      <c r="M4819" s="213" t="s">
        <v>60573</v>
      </c>
      <c r="N4819" s="213" t="s">
        <v>40079</v>
      </c>
      <c r="O4819" s="213" t="s">
        <v>40080</v>
      </c>
      <c r="P4819" s="213" t="s">
        <v>40081</v>
      </c>
      <c r="Q4819" s="213" t="s">
        <v>40082</v>
      </c>
      <c r="R4819" s="213" t="s">
        <v>40083</v>
      </c>
      <c r="S4819" s="213" t="s">
        <v>40084</v>
      </c>
      <c r="T4819" s="213" t="s">
        <v>40085</v>
      </c>
      <c r="U4819" s="213" t="s">
        <v>60646</v>
      </c>
    </row>
    <row r="4820" spans="1:21" x14ac:dyDescent="0.25">
      <c r="A4820" s="213" t="s">
        <v>327</v>
      </c>
      <c r="D4820" s="213" t="s">
        <v>40086</v>
      </c>
      <c r="E4820" s="213" t="s">
        <v>40087</v>
      </c>
      <c r="K4820" s="213" t="s">
        <v>60428</v>
      </c>
      <c r="L4820" s="213" t="s">
        <v>60501</v>
      </c>
      <c r="M4820" s="213" t="s">
        <v>60574</v>
      </c>
      <c r="N4820" s="213" t="s">
        <v>40088</v>
      </c>
      <c r="O4820" s="213" t="s">
        <v>40089</v>
      </c>
      <c r="P4820" s="213" t="s">
        <v>40090</v>
      </c>
      <c r="Q4820" s="213" t="s">
        <v>40091</v>
      </c>
      <c r="R4820" s="213" t="s">
        <v>40092</v>
      </c>
      <c r="S4820" s="213" t="s">
        <v>40093</v>
      </c>
      <c r="T4820" s="213" t="s">
        <v>40094</v>
      </c>
      <c r="U4820" s="213" t="s">
        <v>60647</v>
      </c>
    </row>
    <row r="4821" spans="1:21" x14ac:dyDescent="0.25">
      <c r="A4821" s="213" t="s">
        <v>327</v>
      </c>
      <c r="D4821" s="213" t="s">
        <v>40095</v>
      </c>
      <c r="E4821" s="213" t="s">
        <v>40096</v>
      </c>
      <c r="K4821" s="213" t="s">
        <v>60429</v>
      </c>
      <c r="L4821" s="213" t="s">
        <v>60502</v>
      </c>
      <c r="M4821" s="213" t="s">
        <v>60575</v>
      </c>
      <c r="N4821" s="213" t="s">
        <v>40097</v>
      </c>
      <c r="O4821" s="213" t="s">
        <v>40098</v>
      </c>
      <c r="P4821" s="213" t="s">
        <v>40099</v>
      </c>
      <c r="Q4821" s="213" t="s">
        <v>40100</v>
      </c>
      <c r="R4821" s="213" t="s">
        <v>40101</v>
      </c>
      <c r="S4821" s="213" t="s">
        <v>40102</v>
      </c>
      <c r="T4821" s="213" t="s">
        <v>40103</v>
      </c>
      <c r="U4821" s="213" t="s">
        <v>60648</v>
      </c>
    </row>
    <row r="4822" spans="1:21" x14ac:dyDescent="0.25">
      <c r="A4822" s="213" t="s">
        <v>327</v>
      </c>
      <c r="D4822" s="213" t="s">
        <v>40104</v>
      </c>
      <c r="E4822" s="213" t="s">
        <v>40105</v>
      </c>
      <c r="K4822" s="213" t="s">
        <v>60430</v>
      </c>
      <c r="L4822" s="213" t="s">
        <v>60503</v>
      </c>
      <c r="M4822" s="213" t="s">
        <v>60576</v>
      </c>
      <c r="N4822" s="213" t="s">
        <v>40106</v>
      </c>
      <c r="O4822" s="213" t="s">
        <v>40107</v>
      </c>
      <c r="P4822" s="213" t="s">
        <v>40108</v>
      </c>
      <c r="Q4822" s="213" t="s">
        <v>40109</v>
      </c>
      <c r="R4822" s="213" t="s">
        <v>40110</v>
      </c>
      <c r="S4822" s="213" t="s">
        <v>40111</v>
      </c>
      <c r="T4822" s="213" t="s">
        <v>40112</v>
      </c>
      <c r="U4822" s="213" t="s">
        <v>60649</v>
      </c>
    </row>
    <row r="4823" spans="1:21" x14ac:dyDescent="0.25">
      <c r="A4823" s="213" t="s">
        <v>327</v>
      </c>
      <c r="D4823" s="213" t="s">
        <v>40113</v>
      </c>
      <c r="E4823" s="213" t="s">
        <v>40114</v>
      </c>
      <c r="K4823" s="213" t="s">
        <v>60431</v>
      </c>
      <c r="L4823" s="213" t="s">
        <v>60504</v>
      </c>
      <c r="M4823" s="213" t="s">
        <v>60577</v>
      </c>
      <c r="N4823" s="213" t="s">
        <v>40115</v>
      </c>
      <c r="O4823" s="213" t="s">
        <v>40116</v>
      </c>
      <c r="P4823" s="213" t="s">
        <v>40117</v>
      </c>
      <c r="Q4823" s="213" t="s">
        <v>40118</v>
      </c>
      <c r="R4823" s="213" t="s">
        <v>40119</v>
      </c>
      <c r="S4823" s="213" t="s">
        <v>40120</v>
      </c>
      <c r="T4823" s="213" t="s">
        <v>40121</v>
      </c>
      <c r="U4823" s="213" t="s">
        <v>60650</v>
      </c>
    </row>
    <row r="4824" spans="1:21" x14ac:dyDescent="0.25">
      <c r="A4824" s="213" t="s">
        <v>327</v>
      </c>
      <c r="D4824" s="213" t="s">
        <v>40122</v>
      </c>
      <c r="E4824" s="213" t="s">
        <v>40123</v>
      </c>
      <c r="K4824" s="213" t="s">
        <v>60432</v>
      </c>
      <c r="L4824" s="213" t="s">
        <v>60505</v>
      </c>
      <c r="M4824" s="213" t="s">
        <v>60578</v>
      </c>
      <c r="N4824" s="213" t="s">
        <v>40124</v>
      </c>
      <c r="O4824" s="213" t="s">
        <v>40125</v>
      </c>
      <c r="P4824" s="213" t="s">
        <v>40126</v>
      </c>
      <c r="Q4824" s="213" t="s">
        <v>40127</v>
      </c>
      <c r="R4824" s="213" t="s">
        <v>40128</v>
      </c>
      <c r="S4824" s="213" t="s">
        <v>40129</v>
      </c>
      <c r="T4824" s="213" t="s">
        <v>40130</v>
      </c>
      <c r="U4824" s="213" t="s">
        <v>60651</v>
      </c>
    </row>
    <row r="4825" spans="1:21" x14ac:dyDescent="0.25">
      <c r="A4825" s="213" t="s">
        <v>327</v>
      </c>
      <c r="D4825" s="213" t="s">
        <v>40131</v>
      </c>
      <c r="E4825" s="213" t="s">
        <v>40132</v>
      </c>
      <c r="K4825" s="213" t="s">
        <v>60433</v>
      </c>
      <c r="L4825" s="213" t="s">
        <v>60506</v>
      </c>
      <c r="M4825" s="213" t="s">
        <v>60579</v>
      </c>
      <c r="N4825" s="213" t="s">
        <v>40133</v>
      </c>
      <c r="O4825" s="213" t="s">
        <v>40134</v>
      </c>
      <c r="P4825" s="213" t="s">
        <v>40135</v>
      </c>
      <c r="Q4825" s="213" t="s">
        <v>40136</v>
      </c>
      <c r="R4825" s="213" t="s">
        <v>40137</v>
      </c>
      <c r="S4825" s="213" t="s">
        <v>40138</v>
      </c>
      <c r="T4825" s="213" t="s">
        <v>40139</v>
      </c>
      <c r="U4825" s="213" t="s">
        <v>60652</v>
      </c>
    </row>
    <row r="4826" spans="1:21" x14ac:dyDescent="0.25">
      <c r="A4826" s="213" t="s">
        <v>327</v>
      </c>
      <c r="D4826" s="213" t="s">
        <v>40140</v>
      </c>
      <c r="E4826" s="213" t="s">
        <v>40141</v>
      </c>
      <c r="K4826" s="213" t="s">
        <v>60434</v>
      </c>
      <c r="L4826" s="213" t="s">
        <v>60507</v>
      </c>
      <c r="M4826" s="213" t="s">
        <v>60580</v>
      </c>
      <c r="N4826" s="213" t="s">
        <v>40142</v>
      </c>
      <c r="O4826" s="213" t="s">
        <v>40143</v>
      </c>
      <c r="P4826" s="213" t="s">
        <v>40144</v>
      </c>
      <c r="Q4826" s="213" t="s">
        <v>40145</v>
      </c>
      <c r="R4826" s="213" t="s">
        <v>40146</v>
      </c>
      <c r="S4826" s="213" t="s">
        <v>40147</v>
      </c>
      <c r="T4826" s="213" t="s">
        <v>40148</v>
      </c>
      <c r="U4826" s="213" t="s">
        <v>60653</v>
      </c>
    </row>
    <row r="4827" spans="1:21" x14ac:dyDescent="0.25">
      <c r="A4827" s="213" t="s">
        <v>327</v>
      </c>
      <c r="D4827" s="213" t="s">
        <v>40149</v>
      </c>
      <c r="E4827" s="213" t="s">
        <v>40150</v>
      </c>
      <c r="K4827" s="213" t="s">
        <v>60435</v>
      </c>
      <c r="L4827" s="213" t="s">
        <v>60508</v>
      </c>
      <c r="M4827" s="213" t="s">
        <v>60581</v>
      </c>
      <c r="N4827" s="213" t="s">
        <v>40151</v>
      </c>
      <c r="O4827" s="213" t="s">
        <v>40152</v>
      </c>
      <c r="P4827" s="213" t="s">
        <v>40153</v>
      </c>
      <c r="Q4827" s="213" t="s">
        <v>40154</v>
      </c>
      <c r="R4827" s="213" t="s">
        <v>40155</v>
      </c>
      <c r="S4827" s="213" t="s">
        <v>40156</v>
      </c>
      <c r="T4827" s="213" t="s">
        <v>40157</v>
      </c>
      <c r="U4827" s="213" t="s">
        <v>60654</v>
      </c>
    </row>
    <row r="4828" spans="1:21" x14ac:dyDescent="0.25">
      <c r="A4828" s="213" t="s">
        <v>327</v>
      </c>
      <c r="D4828" s="213" t="s">
        <v>40158</v>
      </c>
      <c r="E4828" s="213" t="s">
        <v>40159</v>
      </c>
      <c r="K4828" s="213" t="s">
        <v>60436</v>
      </c>
      <c r="L4828" s="213" t="s">
        <v>60509</v>
      </c>
      <c r="M4828" s="213" t="s">
        <v>60582</v>
      </c>
      <c r="N4828" s="213" t="s">
        <v>40160</v>
      </c>
      <c r="O4828" s="213" t="s">
        <v>40161</v>
      </c>
      <c r="P4828" s="213" t="s">
        <v>40162</v>
      </c>
      <c r="Q4828" s="213" t="s">
        <v>40163</v>
      </c>
      <c r="R4828" s="213" t="s">
        <v>40164</v>
      </c>
      <c r="S4828" s="213" t="s">
        <v>40165</v>
      </c>
      <c r="T4828" s="213" t="s">
        <v>40166</v>
      </c>
      <c r="U4828" s="213" t="s">
        <v>60655</v>
      </c>
    </row>
    <row r="4829" spans="1:21" x14ac:dyDescent="0.25">
      <c r="A4829" s="213" t="s">
        <v>327</v>
      </c>
      <c r="D4829" s="213" t="s">
        <v>40167</v>
      </c>
      <c r="E4829" s="213" t="s">
        <v>40168</v>
      </c>
      <c r="K4829" s="213" t="s">
        <v>60437</v>
      </c>
      <c r="L4829" s="213" t="s">
        <v>60510</v>
      </c>
      <c r="M4829" s="213" t="s">
        <v>60583</v>
      </c>
      <c r="N4829" s="213" t="s">
        <v>40169</v>
      </c>
      <c r="O4829" s="213" t="s">
        <v>40170</v>
      </c>
      <c r="P4829" s="213" t="s">
        <v>40171</v>
      </c>
      <c r="Q4829" s="213" t="s">
        <v>40172</v>
      </c>
      <c r="R4829" s="213" t="s">
        <v>40173</v>
      </c>
      <c r="S4829" s="213" t="s">
        <v>40174</v>
      </c>
      <c r="T4829" s="213" t="s">
        <v>40175</v>
      </c>
      <c r="U4829" s="213" t="s">
        <v>60656</v>
      </c>
    </row>
    <row r="4830" spans="1:21" x14ac:dyDescent="0.25">
      <c r="A4830" s="213" t="s">
        <v>327</v>
      </c>
      <c r="D4830" s="213" t="s">
        <v>40176</v>
      </c>
      <c r="E4830" s="213" t="s">
        <v>40177</v>
      </c>
      <c r="K4830" s="213" t="s">
        <v>60438</v>
      </c>
      <c r="L4830" s="213" t="s">
        <v>60511</v>
      </c>
      <c r="M4830" s="213" t="s">
        <v>60584</v>
      </c>
      <c r="N4830" s="213" t="s">
        <v>40178</v>
      </c>
      <c r="O4830" s="213" t="s">
        <v>40179</v>
      </c>
      <c r="P4830" s="213" t="s">
        <v>40180</v>
      </c>
      <c r="Q4830" s="213" t="s">
        <v>40181</v>
      </c>
      <c r="R4830" s="213" t="s">
        <v>40182</v>
      </c>
      <c r="S4830" s="213" t="s">
        <v>40183</v>
      </c>
      <c r="T4830" s="213" t="s">
        <v>40184</v>
      </c>
      <c r="U4830" s="213" t="s">
        <v>60657</v>
      </c>
    </row>
    <row r="4831" spans="1:21" x14ac:dyDescent="0.25">
      <c r="A4831" s="213" t="s">
        <v>327</v>
      </c>
      <c r="D4831" s="213" t="s">
        <v>40185</v>
      </c>
      <c r="E4831" s="213" t="s">
        <v>40186</v>
      </c>
      <c r="K4831" s="213" t="s">
        <v>60439</v>
      </c>
      <c r="L4831" s="213" t="s">
        <v>60512</v>
      </c>
      <c r="M4831" s="213" t="s">
        <v>60585</v>
      </c>
      <c r="N4831" s="213" t="s">
        <v>40187</v>
      </c>
      <c r="O4831" s="213" t="s">
        <v>40188</v>
      </c>
      <c r="P4831" s="213" t="s">
        <v>40189</v>
      </c>
      <c r="Q4831" s="213" t="s">
        <v>40190</v>
      </c>
      <c r="R4831" s="213" t="s">
        <v>40191</v>
      </c>
      <c r="S4831" s="213" t="s">
        <v>40192</v>
      </c>
      <c r="T4831" s="213" t="s">
        <v>40193</v>
      </c>
      <c r="U4831" s="213" t="s">
        <v>60658</v>
      </c>
    </row>
    <row r="4832" spans="1:21" x14ac:dyDescent="0.25">
      <c r="A4832" s="213" t="s">
        <v>327</v>
      </c>
      <c r="D4832" s="213" t="s">
        <v>40194</v>
      </c>
      <c r="E4832" s="213" t="s">
        <v>40195</v>
      </c>
      <c r="K4832" s="213" t="s">
        <v>60440</v>
      </c>
      <c r="L4832" s="213" t="s">
        <v>60513</v>
      </c>
      <c r="M4832" s="213" t="s">
        <v>60586</v>
      </c>
      <c r="N4832" s="213" t="s">
        <v>40196</v>
      </c>
      <c r="O4832" s="213" t="s">
        <v>40197</v>
      </c>
      <c r="P4832" s="213" t="s">
        <v>40198</v>
      </c>
      <c r="Q4832" s="213" t="s">
        <v>40199</v>
      </c>
      <c r="R4832" s="213" t="s">
        <v>40200</v>
      </c>
      <c r="S4832" s="213" t="s">
        <v>40201</v>
      </c>
      <c r="T4832" s="213" t="s">
        <v>40202</v>
      </c>
      <c r="U4832" s="213" t="s">
        <v>60659</v>
      </c>
    </row>
    <row r="4833" spans="1:21" x14ac:dyDescent="0.25">
      <c r="A4833" s="213" t="s">
        <v>327</v>
      </c>
      <c r="D4833" s="213" t="s">
        <v>40203</v>
      </c>
      <c r="E4833" s="213" t="s">
        <v>40204</v>
      </c>
      <c r="K4833" s="213" t="s">
        <v>60441</v>
      </c>
      <c r="L4833" s="213" t="s">
        <v>60514</v>
      </c>
      <c r="M4833" s="213" t="s">
        <v>60587</v>
      </c>
      <c r="N4833" s="213" t="s">
        <v>40205</v>
      </c>
      <c r="O4833" s="213" t="s">
        <v>40206</v>
      </c>
      <c r="P4833" s="213" t="s">
        <v>40207</v>
      </c>
      <c r="Q4833" s="213" t="s">
        <v>40208</v>
      </c>
      <c r="R4833" s="213" t="s">
        <v>40209</v>
      </c>
      <c r="S4833" s="213" t="s">
        <v>40210</v>
      </c>
      <c r="T4833" s="213" t="s">
        <v>40211</v>
      </c>
      <c r="U4833" s="213" t="s">
        <v>60660</v>
      </c>
    </row>
    <row r="4834" spans="1:21" x14ac:dyDescent="0.25">
      <c r="A4834" s="213" t="s">
        <v>327</v>
      </c>
      <c r="D4834" s="213" t="s">
        <v>40212</v>
      </c>
      <c r="E4834" s="213" t="s">
        <v>40213</v>
      </c>
      <c r="K4834" s="213" t="s">
        <v>60442</v>
      </c>
      <c r="L4834" s="213" t="s">
        <v>60515</v>
      </c>
      <c r="M4834" s="213" t="s">
        <v>60588</v>
      </c>
      <c r="N4834" s="213" t="s">
        <v>40214</v>
      </c>
      <c r="O4834" s="213" t="s">
        <v>40215</v>
      </c>
      <c r="P4834" s="213" t="s">
        <v>40216</v>
      </c>
      <c r="Q4834" s="213" t="s">
        <v>40217</v>
      </c>
      <c r="R4834" s="213" t="s">
        <v>40218</v>
      </c>
      <c r="S4834" s="213" t="s">
        <v>40219</v>
      </c>
      <c r="T4834" s="213" t="s">
        <v>40220</v>
      </c>
      <c r="U4834" s="213" t="s">
        <v>60661</v>
      </c>
    </row>
    <row r="4835" spans="1:21" x14ac:dyDescent="0.25">
      <c r="A4835" s="213" t="s">
        <v>327</v>
      </c>
      <c r="D4835" s="213" t="s">
        <v>40221</v>
      </c>
      <c r="E4835" s="213" t="s">
        <v>40222</v>
      </c>
      <c r="K4835" s="213" t="s">
        <v>60443</v>
      </c>
      <c r="L4835" s="213" t="s">
        <v>60516</v>
      </c>
      <c r="M4835" s="213" t="s">
        <v>60589</v>
      </c>
      <c r="N4835" s="213" t="s">
        <v>40223</v>
      </c>
      <c r="O4835" s="213" t="s">
        <v>40224</v>
      </c>
      <c r="P4835" s="213" t="s">
        <v>40225</v>
      </c>
      <c r="Q4835" s="213" t="s">
        <v>40226</v>
      </c>
      <c r="R4835" s="213" t="s">
        <v>40227</v>
      </c>
      <c r="S4835" s="213" t="s">
        <v>40228</v>
      </c>
      <c r="T4835" s="213" t="s">
        <v>40229</v>
      </c>
      <c r="U4835" s="213" t="s">
        <v>60662</v>
      </c>
    </row>
    <row r="4836" spans="1:21" x14ac:dyDescent="0.25">
      <c r="A4836" s="213" t="s">
        <v>327</v>
      </c>
      <c r="D4836" s="213" t="s">
        <v>40230</v>
      </c>
      <c r="E4836" s="213" t="s">
        <v>40231</v>
      </c>
      <c r="K4836" s="213" t="s">
        <v>60444</v>
      </c>
      <c r="L4836" s="213" t="s">
        <v>60517</v>
      </c>
      <c r="M4836" s="213" t="s">
        <v>60590</v>
      </c>
      <c r="N4836" s="213" t="s">
        <v>40232</v>
      </c>
      <c r="O4836" s="213" t="s">
        <v>40233</v>
      </c>
      <c r="P4836" s="213" t="s">
        <v>40234</v>
      </c>
      <c r="Q4836" s="213" t="s">
        <v>40235</v>
      </c>
      <c r="R4836" s="213" t="s">
        <v>40236</v>
      </c>
      <c r="S4836" s="213" t="s">
        <v>40237</v>
      </c>
      <c r="T4836" s="213" t="s">
        <v>40238</v>
      </c>
      <c r="U4836" s="213" t="s">
        <v>60663</v>
      </c>
    </row>
    <row r="4837" spans="1:21" x14ac:dyDescent="0.25">
      <c r="A4837" s="213" t="s">
        <v>327</v>
      </c>
      <c r="D4837" s="213" t="s">
        <v>40239</v>
      </c>
      <c r="E4837" s="213" t="s">
        <v>40240</v>
      </c>
      <c r="K4837" s="213" t="s">
        <v>60445</v>
      </c>
      <c r="L4837" s="213" t="s">
        <v>60518</v>
      </c>
      <c r="M4837" s="213" t="s">
        <v>60591</v>
      </c>
      <c r="N4837" s="213" t="s">
        <v>40241</v>
      </c>
      <c r="O4837" s="213" t="s">
        <v>40242</v>
      </c>
      <c r="P4837" s="213" t="s">
        <v>40243</v>
      </c>
      <c r="Q4837" s="213" t="s">
        <v>40244</v>
      </c>
      <c r="R4837" s="213" t="s">
        <v>40245</v>
      </c>
      <c r="S4837" s="213" t="s">
        <v>40246</v>
      </c>
      <c r="T4837" s="213" t="s">
        <v>40247</v>
      </c>
      <c r="U4837" s="213" t="s">
        <v>60664</v>
      </c>
    </row>
    <row r="4838" spans="1:21" x14ac:dyDescent="0.25">
      <c r="A4838" s="213" t="s">
        <v>327</v>
      </c>
      <c r="D4838" s="213" t="s">
        <v>40248</v>
      </c>
      <c r="E4838" s="213" t="s">
        <v>40249</v>
      </c>
      <c r="K4838" s="213" t="s">
        <v>60446</v>
      </c>
      <c r="L4838" s="213" t="s">
        <v>60519</v>
      </c>
      <c r="M4838" s="213" t="s">
        <v>60592</v>
      </c>
      <c r="N4838" s="213" t="s">
        <v>40250</v>
      </c>
      <c r="O4838" s="213" t="s">
        <v>40251</v>
      </c>
      <c r="P4838" s="213" t="s">
        <v>40252</v>
      </c>
      <c r="Q4838" s="213" t="s">
        <v>40253</v>
      </c>
      <c r="R4838" s="213" t="s">
        <v>40254</v>
      </c>
      <c r="S4838" s="213" t="s">
        <v>40255</v>
      </c>
      <c r="T4838" s="213" t="s">
        <v>40256</v>
      </c>
      <c r="U4838" s="213" t="s">
        <v>60665</v>
      </c>
    </row>
    <row r="4839" spans="1:21" x14ac:dyDescent="0.25">
      <c r="A4839" s="213" t="s">
        <v>327</v>
      </c>
      <c r="D4839" s="213" t="s">
        <v>40257</v>
      </c>
      <c r="E4839" s="213" t="s">
        <v>40258</v>
      </c>
      <c r="K4839" s="213" t="s">
        <v>60447</v>
      </c>
      <c r="L4839" s="213" t="s">
        <v>60520</v>
      </c>
      <c r="M4839" s="213" t="s">
        <v>60593</v>
      </c>
      <c r="N4839" s="213" t="s">
        <v>40259</v>
      </c>
      <c r="O4839" s="213" t="s">
        <v>40260</v>
      </c>
      <c r="P4839" s="213" t="s">
        <v>40261</v>
      </c>
      <c r="Q4839" s="213" t="s">
        <v>40262</v>
      </c>
      <c r="R4839" s="213" t="s">
        <v>40263</v>
      </c>
      <c r="S4839" s="213" t="s">
        <v>40264</v>
      </c>
      <c r="T4839" s="213" t="s">
        <v>40265</v>
      </c>
      <c r="U4839" s="213" t="s">
        <v>60666</v>
      </c>
    </row>
    <row r="4840" spans="1:21" x14ac:dyDescent="0.25">
      <c r="A4840" s="213" t="s">
        <v>327</v>
      </c>
      <c r="D4840" s="213" t="s">
        <v>40266</v>
      </c>
      <c r="E4840" s="213" t="s">
        <v>40267</v>
      </c>
      <c r="K4840" s="213" t="s">
        <v>60448</v>
      </c>
      <c r="L4840" s="213" t="s">
        <v>60521</v>
      </c>
      <c r="M4840" s="213" t="s">
        <v>60594</v>
      </c>
      <c r="N4840" s="213" t="s">
        <v>40268</v>
      </c>
      <c r="O4840" s="213" t="s">
        <v>40269</v>
      </c>
      <c r="P4840" s="213" t="s">
        <v>40270</v>
      </c>
      <c r="Q4840" s="213" t="s">
        <v>40271</v>
      </c>
      <c r="R4840" s="213" t="s">
        <v>40272</v>
      </c>
      <c r="S4840" s="213" t="s">
        <v>40273</v>
      </c>
      <c r="T4840" s="213" t="s">
        <v>40274</v>
      </c>
      <c r="U4840" s="213" t="s">
        <v>60667</v>
      </c>
    </row>
    <row r="4841" spans="1:21" x14ac:dyDescent="0.25">
      <c r="A4841" s="213" t="s">
        <v>327</v>
      </c>
      <c r="D4841" s="213" t="s">
        <v>40275</v>
      </c>
      <c r="E4841" s="213" t="s">
        <v>40276</v>
      </c>
      <c r="K4841" s="213" t="s">
        <v>60449</v>
      </c>
      <c r="L4841" s="213" t="s">
        <v>60522</v>
      </c>
      <c r="M4841" s="213" t="s">
        <v>60595</v>
      </c>
      <c r="N4841" s="213" t="s">
        <v>40277</v>
      </c>
      <c r="O4841" s="213" t="s">
        <v>40278</v>
      </c>
      <c r="P4841" s="213" t="s">
        <v>40279</v>
      </c>
      <c r="Q4841" s="213" t="s">
        <v>40280</v>
      </c>
      <c r="R4841" s="213" t="s">
        <v>40281</v>
      </c>
      <c r="S4841" s="213" t="s">
        <v>40282</v>
      </c>
      <c r="T4841" s="213" t="s">
        <v>40283</v>
      </c>
      <c r="U4841" s="213" t="s">
        <v>60668</v>
      </c>
    </row>
    <row r="4842" spans="1:21" x14ac:dyDescent="0.25">
      <c r="A4842" s="213" t="s">
        <v>327</v>
      </c>
      <c r="D4842" s="213" t="s">
        <v>40284</v>
      </c>
      <c r="E4842" s="213" t="s">
        <v>40285</v>
      </c>
      <c r="K4842" s="213" t="s">
        <v>60450</v>
      </c>
      <c r="L4842" s="213" t="s">
        <v>60523</v>
      </c>
      <c r="M4842" s="213" t="s">
        <v>60596</v>
      </c>
      <c r="N4842" s="213" t="s">
        <v>40286</v>
      </c>
      <c r="O4842" s="213" t="s">
        <v>40287</v>
      </c>
      <c r="P4842" s="213" t="s">
        <v>40288</v>
      </c>
      <c r="Q4842" s="213" t="s">
        <v>40289</v>
      </c>
      <c r="R4842" s="213" t="s">
        <v>40290</v>
      </c>
      <c r="S4842" s="213" t="s">
        <v>40291</v>
      </c>
      <c r="T4842" s="213" t="s">
        <v>40292</v>
      </c>
      <c r="U4842" s="213" t="s">
        <v>60669</v>
      </c>
    </row>
    <row r="4843" spans="1:21" x14ac:dyDescent="0.25">
      <c r="A4843" s="213" t="s">
        <v>327</v>
      </c>
      <c r="D4843" s="213" t="s">
        <v>40293</v>
      </c>
      <c r="E4843" s="213" t="s">
        <v>40294</v>
      </c>
      <c r="K4843" s="213" t="s">
        <v>60451</v>
      </c>
      <c r="L4843" s="213" t="s">
        <v>60524</v>
      </c>
      <c r="M4843" s="213" t="s">
        <v>60597</v>
      </c>
      <c r="N4843" s="213" t="s">
        <v>40295</v>
      </c>
      <c r="O4843" s="213" t="s">
        <v>40296</v>
      </c>
      <c r="P4843" s="213" t="s">
        <v>40297</v>
      </c>
      <c r="Q4843" s="213" t="s">
        <v>40298</v>
      </c>
      <c r="R4843" s="213" t="s">
        <v>40299</v>
      </c>
      <c r="S4843" s="213" t="s">
        <v>40300</v>
      </c>
      <c r="T4843" s="213" t="s">
        <v>40301</v>
      </c>
      <c r="U4843" s="213" t="s">
        <v>60670</v>
      </c>
    </row>
    <row r="4844" spans="1:21" x14ac:dyDescent="0.25">
      <c r="A4844" s="213" t="s">
        <v>327</v>
      </c>
      <c r="D4844" s="213" t="s">
        <v>40302</v>
      </c>
      <c r="E4844" s="213" t="s">
        <v>40303</v>
      </c>
      <c r="K4844" s="213" t="s">
        <v>60452</v>
      </c>
      <c r="L4844" s="213" t="s">
        <v>60525</v>
      </c>
      <c r="M4844" s="213" t="s">
        <v>60598</v>
      </c>
      <c r="N4844" s="213" t="s">
        <v>40304</v>
      </c>
      <c r="O4844" s="213" t="s">
        <v>40305</v>
      </c>
      <c r="P4844" s="213" t="s">
        <v>40306</v>
      </c>
      <c r="Q4844" s="213" t="s">
        <v>40307</v>
      </c>
      <c r="R4844" s="213" t="s">
        <v>40308</v>
      </c>
      <c r="S4844" s="213" t="s">
        <v>40309</v>
      </c>
      <c r="T4844" s="213" t="s">
        <v>40310</v>
      </c>
      <c r="U4844" s="213" t="s">
        <v>60671</v>
      </c>
    </row>
    <row r="4845" spans="1:21" x14ac:dyDescent="0.25">
      <c r="A4845" s="213" t="s">
        <v>327</v>
      </c>
      <c r="D4845" s="213" t="s">
        <v>40311</v>
      </c>
      <c r="E4845" s="213" t="s">
        <v>40312</v>
      </c>
      <c r="K4845" s="213" t="s">
        <v>60453</v>
      </c>
      <c r="L4845" s="213" t="s">
        <v>60526</v>
      </c>
      <c r="M4845" s="213" t="s">
        <v>60599</v>
      </c>
      <c r="N4845" s="213" t="s">
        <v>40313</v>
      </c>
      <c r="O4845" s="213" t="s">
        <v>40314</v>
      </c>
      <c r="P4845" s="213" t="s">
        <v>40315</v>
      </c>
      <c r="Q4845" s="213" t="s">
        <v>40316</v>
      </c>
      <c r="R4845" s="213" t="s">
        <v>40317</v>
      </c>
      <c r="S4845" s="213" t="s">
        <v>40318</v>
      </c>
      <c r="T4845" s="213" t="s">
        <v>40319</v>
      </c>
      <c r="U4845" s="213" t="s">
        <v>60672</v>
      </c>
    </row>
    <row r="4846" spans="1:21" x14ac:dyDescent="0.25">
      <c r="A4846" s="213" t="s">
        <v>327</v>
      </c>
      <c r="D4846" s="213" t="s">
        <v>40320</v>
      </c>
      <c r="E4846" s="213" t="s">
        <v>40321</v>
      </c>
      <c r="K4846" s="213" t="s">
        <v>60454</v>
      </c>
      <c r="L4846" s="213" t="s">
        <v>60527</v>
      </c>
      <c r="M4846" s="213" t="s">
        <v>60600</v>
      </c>
      <c r="N4846" s="213" t="s">
        <v>40322</v>
      </c>
      <c r="O4846" s="213" t="s">
        <v>40323</v>
      </c>
      <c r="P4846" s="213" t="s">
        <v>40324</v>
      </c>
      <c r="Q4846" s="213" t="s">
        <v>40325</v>
      </c>
      <c r="R4846" s="213" t="s">
        <v>40326</v>
      </c>
      <c r="S4846" s="213" t="s">
        <v>40327</v>
      </c>
      <c r="T4846" s="213" t="s">
        <v>40328</v>
      </c>
      <c r="U4846" s="213" t="s">
        <v>60673</v>
      </c>
    </row>
    <row r="4847" spans="1:21" x14ac:dyDescent="0.25">
      <c r="A4847" s="213" t="s">
        <v>327</v>
      </c>
      <c r="D4847" s="213" t="s">
        <v>40329</v>
      </c>
      <c r="E4847" s="213" t="s">
        <v>40330</v>
      </c>
      <c r="K4847" s="213" t="s">
        <v>60455</v>
      </c>
      <c r="L4847" s="213" t="s">
        <v>60528</v>
      </c>
      <c r="M4847" s="213" t="s">
        <v>60601</v>
      </c>
      <c r="N4847" s="213" t="s">
        <v>40331</v>
      </c>
      <c r="O4847" s="213" t="s">
        <v>40332</v>
      </c>
      <c r="P4847" s="213" t="s">
        <v>40333</v>
      </c>
      <c r="Q4847" s="213" t="s">
        <v>40334</v>
      </c>
      <c r="R4847" s="213" t="s">
        <v>40335</v>
      </c>
      <c r="S4847" s="213" t="s">
        <v>40336</v>
      </c>
      <c r="T4847" s="213" t="s">
        <v>40337</v>
      </c>
      <c r="U4847" s="213" t="s">
        <v>60674</v>
      </c>
    </row>
    <row r="4848" spans="1:21" x14ac:dyDescent="0.25">
      <c r="A4848" s="213" t="s">
        <v>327</v>
      </c>
      <c r="D4848" s="213" t="s">
        <v>40338</v>
      </c>
      <c r="E4848" s="213" t="s">
        <v>40339</v>
      </c>
      <c r="K4848" s="213" t="s">
        <v>60456</v>
      </c>
      <c r="L4848" s="213" t="s">
        <v>60529</v>
      </c>
      <c r="M4848" s="213" t="s">
        <v>60602</v>
      </c>
      <c r="N4848" s="213" t="s">
        <v>40340</v>
      </c>
      <c r="O4848" s="213" t="s">
        <v>40341</v>
      </c>
      <c r="P4848" s="213" t="s">
        <v>40342</v>
      </c>
      <c r="Q4848" s="213" t="s">
        <v>40343</v>
      </c>
      <c r="R4848" s="213" t="s">
        <v>40344</v>
      </c>
      <c r="S4848" s="213" t="s">
        <v>40345</v>
      </c>
      <c r="T4848" s="213" t="s">
        <v>40346</v>
      </c>
      <c r="U4848" s="213" t="s">
        <v>60675</v>
      </c>
    </row>
    <row r="4849" spans="1:21" x14ac:dyDescent="0.25">
      <c r="A4849" s="213" t="s">
        <v>327</v>
      </c>
      <c r="D4849" s="213" t="s">
        <v>40347</v>
      </c>
      <c r="E4849" s="213" t="s">
        <v>40348</v>
      </c>
      <c r="K4849" s="213" t="s">
        <v>60457</v>
      </c>
      <c r="L4849" s="213" t="s">
        <v>60530</v>
      </c>
      <c r="M4849" s="213" t="s">
        <v>60603</v>
      </c>
      <c r="N4849" s="213" t="s">
        <v>40349</v>
      </c>
      <c r="O4849" s="213" t="s">
        <v>40350</v>
      </c>
      <c r="P4849" s="213" t="s">
        <v>40351</v>
      </c>
      <c r="Q4849" s="213" t="s">
        <v>40352</v>
      </c>
      <c r="R4849" s="213" t="s">
        <v>40353</v>
      </c>
      <c r="S4849" s="213" t="s">
        <v>40354</v>
      </c>
      <c r="T4849" s="213" t="s">
        <v>40355</v>
      </c>
      <c r="U4849" s="213" t="s">
        <v>60676</v>
      </c>
    </row>
    <row r="4850" spans="1:21" x14ac:dyDescent="0.25">
      <c r="A4850" s="213" t="s">
        <v>327</v>
      </c>
      <c r="D4850" s="213" t="s">
        <v>40356</v>
      </c>
      <c r="E4850" s="213" t="s">
        <v>40357</v>
      </c>
      <c r="K4850" s="213" t="s">
        <v>60458</v>
      </c>
      <c r="L4850" s="213" t="s">
        <v>60531</v>
      </c>
      <c r="M4850" s="213" t="s">
        <v>60604</v>
      </c>
      <c r="N4850" s="213" t="s">
        <v>40358</v>
      </c>
      <c r="O4850" s="213" t="s">
        <v>40359</v>
      </c>
      <c r="P4850" s="213" t="s">
        <v>40360</v>
      </c>
      <c r="Q4850" s="213" t="s">
        <v>40361</v>
      </c>
      <c r="R4850" s="213" t="s">
        <v>40362</v>
      </c>
      <c r="S4850" s="213" t="s">
        <v>40363</v>
      </c>
      <c r="T4850" s="213" t="s">
        <v>40364</v>
      </c>
      <c r="U4850" s="213" t="s">
        <v>60677</v>
      </c>
    </row>
    <row r="4851" spans="1:21" x14ac:dyDescent="0.25">
      <c r="A4851" s="213" t="s">
        <v>327</v>
      </c>
      <c r="D4851" s="213" t="s">
        <v>40365</v>
      </c>
      <c r="E4851" s="213" t="s">
        <v>40366</v>
      </c>
      <c r="K4851" s="213" t="s">
        <v>60459</v>
      </c>
      <c r="L4851" s="213" t="s">
        <v>60532</v>
      </c>
      <c r="M4851" s="213" t="s">
        <v>60605</v>
      </c>
      <c r="N4851" s="213" t="s">
        <v>40367</v>
      </c>
      <c r="O4851" s="213" t="s">
        <v>40368</v>
      </c>
      <c r="P4851" s="213" t="s">
        <v>40369</v>
      </c>
      <c r="Q4851" s="213" t="s">
        <v>40370</v>
      </c>
      <c r="R4851" s="213" t="s">
        <v>40371</v>
      </c>
      <c r="S4851" s="213" t="s">
        <v>40372</v>
      </c>
      <c r="T4851" s="213" t="s">
        <v>40373</v>
      </c>
      <c r="U4851" s="213" t="s">
        <v>60678</v>
      </c>
    </row>
    <row r="4852" spans="1:21" x14ac:dyDescent="0.25">
      <c r="A4852" s="213" t="s">
        <v>327</v>
      </c>
      <c r="D4852" s="213" t="s">
        <v>40374</v>
      </c>
      <c r="E4852" s="213" t="s">
        <v>40375</v>
      </c>
      <c r="K4852" s="213" t="s">
        <v>60460</v>
      </c>
      <c r="L4852" s="213" t="s">
        <v>60533</v>
      </c>
      <c r="M4852" s="213" t="s">
        <v>60606</v>
      </c>
      <c r="N4852" s="213" t="s">
        <v>40376</v>
      </c>
      <c r="O4852" s="213" t="s">
        <v>40377</v>
      </c>
      <c r="P4852" s="213" t="s">
        <v>40378</v>
      </c>
      <c r="Q4852" s="213" t="s">
        <v>40379</v>
      </c>
      <c r="R4852" s="213" t="s">
        <v>40380</v>
      </c>
      <c r="S4852" s="213" t="s">
        <v>40381</v>
      </c>
      <c r="T4852" s="213" t="s">
        <v>40382</v>
      </c>
      <c r="U4852" s="213" t="s">
        <v>60679</v>
      </c>
    </row>
    <row r="4853" spans="1:21" x14ac:dyDescent="0.25">
      <c r="A4853" s="213" t="s">
        <v>327</v>
      </c>
      <c r="D4853" s="213" t="s">
        <v>40383</v>
      </c>
      <c r="E4853" s="213" t="s">
        <v>40384</v>
      </c>
      <c r="K4853" s="213" t="s">
        <v>60461</v>
      </c>
      <c r="L4853" s="213" t="s">
        <v>60534</v>
      </c>
      <c r="M4853" s="213" t="s">
        <v>60607</v>
      </c>
      <c r="N4853" s="213" t="s">
        <v>40385</v>
      </c>
      <c r="O4853" s="213" t="s">
        <v>40386</v>
      </c>
      <c r="P4853" s="213" t="s">
        <v>40387</v>
      </c>
      <c r="Q4853" s="213" t="s">
        <v>40388</v>
      </c>
      <c r="R4853" s="213" t="s">
        <v>40389</v>
      </c>
      <c r="S4853" s="213" t="s">
        <v>40390</v>
      </c>
      <c r="T4853" s="213" t="s">
        <v>40391</v>
      </c>
      <c r="U4853" s="213" t="s">
        <v>60680</v>
      </c>
    </row>
    <row r="4854" spans="1:21" x14ac:dyDescent="0.25">
      <c r="A4854" s="213" t="s">
        <v>327</v>
      </c>
      <c r="D4854" s="213" t="s">
        <v>40392</v>
      </c>
      <c r="E4854" s="213" t="s">
        <v>40393</v>
      </c>
      <c r="K4854" s="213" t="s">
        <v>60462</v>
      </c>
      <c r="L4854" s="213" t="s">
        <v>60535</v>
      </c>
      <c r="M4854" s="213" t="s">
        <v>60608</v>
      </c>
      <c r="N4854" s="213" t="s">
        <v>40394</v>
      </c>
      <c r="O4854" s="213" t="s">
        <v>40395</v>
      </c>
      <c r="P4854" s="213" t="s">
        <v>40396</v>
      </c>
      <c r="Q4854" s="213" t="s">
        <v>40397</v>
      </c>
      <c r="R4854" s="213" t="s">
        <v>40398</v>
      </c>
      <c r="S4854" s="213" t="s">
        <v>40399</v>
      </c>
      <c r="T4854" s="213" t="s">
        <v>40400</v>
      </c>
      <c r="U4854" s="213" t="s">
        <v>60681</v>
      </c>
    </row>
    <row r="4855" spans="1:21" x14ac:dyDescent="0.25">
      <c r="A4855" s="213" t="s">
        <v>327</v>
      </c>
      <c r="D4855" s="213" t="s">
        <v>40401</v>
      </c>
      <c r="E4855" s="213" t="s">
        <v>40402</v>
      </c>
      <c r="K4855" s="213" t="s">
        <v>60463</v>
      </c>
      <c r="L4855" s="213" t="s">
        <v>60536</v>
      </c>
      <c r="M4855" s="213" t="s">
        <v>60609</v>
      </c>
      <c r="N4855" s="213" t="s">
        <v>40403</v>
      </c>
      <c r="O4855" s="213" t="s">
        <v>40404</v>
      </c>
      <c r="P4855" s="213" t="s">
        <v>40405</v>
      </c>
      <c r="Q4855" s="213" t="s">
        <v>40406</v>
      </c>
      <c r="R4855" s="213" t="s">
        <v>40407</v>
      </c>
      <c r="S4855" s="213" t="s">
        <v>40408</v>
      </c>
      <c r="T4855" s="213" t="s">
        <v>40409</v>
      </c>
      <c r="U4855" s="213" t="s">
        <v>60682</v>
      </c>
    </row>
    <row r="4856" spans="1:21" x14ac:dyDescent="0.25">
      <c r="A4856" s="213" t="s">
        <v>327</v>
      </c>
      <c r="D4856" s="213" t="s">
        <v>40410</v>
      </c>
      <c r="E4856" s="213" t="s">
        <v>40411</v>
      </c>
      <c r="K4856" s="213" t="s">
        <v>60464</v>
      </c>
      <c r="L4856" s="213" t="s">
        <v>60537</v>
      </c>
      <c r="M4856" s="213" t="s">
        <v>60610</v>
      </c>
      <c r="N4856" s="213" t="s">
        <v>40412</v>
      </c>
      <c r="O4856" s="213" t="s">
        <v>40413</v>
      </c>
      <c r="P4856" s="213" t="s">
        <v>40414</v>
      </c>
      <c r="Q4856" s="213" t="s">
        <v>40415</v>
      </c>
      <c r="R4856" s="213" t="s">
        <v>40416</v>
      </c>
      <c r="S4856" s="213" t="s">
        <v>40417</v>
      </c>
      <c r="T4856" s="213" t="s">
        <v>40418</v>
      </c>
      <c r="U4856" s="213" t="s">
        <v>60683</v>
      </c>
    </row>
    <row r="4857" spans="1:21" x14ac:dyDescent="0.25">
      <c r="A4857" s="213" t="s">
        <v>327</v>
      </c>
      <c r="D4857" s="213" t="s">
        <v>40419</v>
      </c>
      <c r="E4857" s="213" t="s">
        <v>40420</v>
      </c>
      <c r="K4857" s="213" t="s">
        <v>60465</v>
      </c>
      <c r="L4857" s="213" t="s">
        <v>60538</v>
      </c>
      <c r="M4857" s="213" t="s">
        <v>60611</v>
      </c>
      <c r="N4857" s="213" t="s">
        <v>40421</v>
      </c>
      <c r="O4857" s="213" t="s">
        <v>40422</v>
      </c>
      <c r="P4857" s="213" t="s">
        <v>40423</v>
      </c>
      <c r="Q4857" s="213" t="s">
        <v>40424</v>
      </c>
      <c r="R4857" s="213" t="s">
        <v>40425</v>
      </c>
      <c r="S4857" s="213" t="s">
        <v>40426</v>
      </c>
      <c r="T4857" s="213" t="s">
        <v>40427</v>
      </c>
      <c r="U4857" s="213" t="s">
        <v>60684</v>
      </c>
    </row>
    <row r="4858" spans="1:21" x14ac:dyDescent="0.25">
      <c r="A4858" s="213" t="s">
        <v>327</v>
      </c>
      <c r="D4858" s="213" t="s">
        <v>40428</v>
      </c>
      <c r="E4858" s="213" t="s">
        <v>40429</v>
      </c>
      <c r="K4858" s="213" t="s">
        <v>60466</v>
      </c>
      <c r="L4858" s="213" t="s">
        <v>60539</v>
      </c>
      <c r="M4858" s="213" t="s">
        <v>60612</v>
      </c>
      <c r="N4858" s="213" t="s">
        <v>40430</v>
      </c>
      <c r="O4858" s="213" t="s">
        <v>40431</v>
      </c>
      <c r="P4858" s="213" t="s">
        <v>40432</v>
      </c>
      <c r="Q4858" s="213" t="s">
        <v>40433</v>
      </c>
      <c r="R4858" s="213" t="s">
        <v>40434</v>
      </c>
      <c r="S4858" s="213" t="s">
        <v>40435</v>
      </c>
      <c r="T4858" s="213" t="s">
        <v>40436</v>
      </c>
      <c r="U4858" s="213" t="s">
        <v>60685</v>
      </c>
    </row>
    <row r="4859" spans="1:21" x14ac:dyDescent="0.25">
      <c r="A4859" s="213" t="s">
        <v>327</v>
      </c>
      <c r="D4859" s="213" t="s">
        <v>40437</v>
      </c>
      <c r="E4859" s="213" t="s">
        <v>40438</v>
      </c>
      <c r="K4859" s="213" t="s">
        <v>60467</v>
      </c>
      <c r="L4859" s="213" t="s">
        <v>60540</v>
      </c>
      <c r="M4859" s="213" t="s">
        <v>60613</v>
      </c>
      <c r="N4859" s="213" t="s">
        <v>40439</v>
      </c>
      <c r="O4859" s="213" t="s">
        <v>40440</v>
      </c>
      <c r="P4859" s="213" t="s">
        <v>40441</v>
      </c>
      <c r="Q4859" s="213" t="s">
        <v>40442</v>
      </c>
      <c r="R4859" s="213" t="s">
        <v>40443</v>
      </c>
      <c r="S4859" s="213" t="s">
        <v>40444</v>
      </c>
      <c r="T4859" s="213" t="s">
        <v>40445</v>
      </c>
      <c r="U4859" s="213" t="s">
        <v>60686</v>
      </c>
    </row>
    <row r="4860" spans="1:21" x14ac:dyDescent="0.25">
      <c r="A4860" s="213" t="s">
        <v>327</v>
      </c>
      <c r="D4860" s="213" t="s">
        <v>40446</v>
      </c>
      <c r="E4860" s="213" t="s">
        <v>40447</v>
      </c>
      <c r="K4860" s="213" t="s">
        <v>60468</v>
      </c>
      <c r="L4860" s="213" t="s">
        <v>60541</v>
      </c>
      <c r="M4860" s="213" t="s">
        <v>60614</v>
      </c>
      <c r="N4860" s="213" t="s">
        <v>40448</v>
      </c>
      <c r="O4860" s="213" t="s">
        <v>40449</v>
      </c>
      <c r="P4860" s="213" t="s">
        <v>40450</v>
      </c>
      <c r="Q4860" s="213" t="s">
        <v>40451</v>
      </c>
      <c r="R4860" s="213" t="s">
        <v>40452</v>
      </c>
      <c r="S4860" s="213" t="s">
        <v>40453</v>
      </c>
      <c r="T4860" s="213" t="s">
        <v>40454</v>
      </c>
      <c r="U4860" s="213" t="s">
        <v>60687</v>
      </c>
    </row>
    <row r="4861" spans="1:21" x14ac:dyDescent="0.25">
      <c r="A4861" s="213" t="s">
        <v>327</v>
      </c>
      <c r="D4861" s="213" t="s">
        <v>40455</v>
      </c>
      <c r="E4861" s="213" t="s">
        <v>40456</v>
      </c>
      <c r="K4861" s="213" t="s">
        <v>60469</v>
      </c>
      <c r="L4861" s="213" t="s">
        <v>60542</v>
      </c>
      <c r="M4861" s="213" t="s">
        <v>60615</v>
      </c>
      <c r="N4861" s="213" t="s">
        <v>40457</v>
      </c>
      <c r="O4861" s="213" t="s">
        <v>40458</v>
      </c>
      <c r="P4861" s="213" t="s">
        <v>40459</v>
      </c>
      <c r="Q4861" s="213" t="s">
        <v>40460</v>
      </c>
      <c r="R4861" s="213" t="s">
        <v>40461</v>
      </c>
      <c r="S4861" s="213" t="s">
        <v>40462</v>
      </c>
      <c r="T4861" s="213" t="s">
        <v>40463</v>
      </c>
      <c r="U4861" s="213" t="s">
        <v>60688</v>
      </c>
    </row>
    <row r="4862" spans="1:21" x14ac:dyDescent="0.25">
      <c r="A4862" s="213" t="s">
        <v>327</v>
      </c>
      <c r="D4862" s="213" t="s">
        <v>40464</v>
      </c>
      <c r="E4862" s="213" t="s">
        <v>40465</v>
      </c>
      <c r="K4862" s="213" t="s">
        <v>60470</v>
      </c>
      <c r="L4862" s="213" t="s">
        <v>60543</v>
      </c>
      <c r="M4862" s="213" t="s">
        <v>60616</v>
      </c>
      <c r="N4862" s="213" t="s">
        <v>40466</v>
      </c>
      <c r="O4862" s="213" t="s">
        <v>40467</v>
      </c>
      <c r="P4862" s="213" t="s">
        <v>40468</v>
      </c>
      <c r="Q4862" s="213" t="s">
        <v>40469</v>
      </c>
      <c r="R4862" s="213" t="s">
        <v>40470</v>
      </c>
      <c r="S4862" s="213" t="s">
        <v>40471</v>
      </c>
      <c r="T4862" s="213" t="s">
        <v>40472</v>
      </c>
      <c r="U4862" s="213" t="s">
        <v>60689</v>
      </c>
    </row>
    <row r="4863" spans="1:21" x14ac:dyDescent="0.25">
      <c r="A4863" s="213" t="s">
        <v>327</v>
      </c>
      <c r="D4863" s="213" t="s">
        <v>40473</v>
      </c>
      <c r="E4863" s="213" t="s">
        <v>40474</v>
      </c>
      <c r="K4863" s="213" t="s">
        <v>60471</v>
      </c>
      <c r="L4863" s="213" t="s">
        <v>60544</v>
      </c>
      <c r="M4863" s="213" t="s">
        <v>60617</v>
      </c>
      <c r="N4863" s="213" t="s">
        <v>40475</v>
      </c>
      <c r="O4863" s="213" t="s">
        <v>40476</v>
      </c>
      <c r="P4863" s="213" t="s">
        <v>40477</v>
      </c>
      <c r="Q4863" s="213" t="s">
        <v>40478</v>
      </c>
      <c r="R4863" s="213" t="s">
        <v>40479</v>
      </c>
      <c r="S4863" s="213" t="s">
        <v>40480</v>
      </c>
      <c r="T4863" s="213" t="s">
        <v>40481</v>
      </c>
      <c r="U4863" s="213" t="s">
        <v>60690</v>
      </c>
    </row>
    <row r="4864" spans="1:21" x14ac:dyDescent="0.25">
      <c r="A4864" s="213" t="s">
        <v>327</v>
      </c>
      <c r="D4864" s="213" t="s">
        <v>40482</v>
      </c>
      <c r="E4864" s="213" t="s">
        <v>40483</v>
      </c>
      <c r="K4864" s="213" t="s">
        <v>60472</v>
      </c>
      <c r="L4864" s="213" t="s">
        <v>60545</v>
      </c>
      <c r="M4864" s="213" t="s">
        <v>60618</v>
      </c>
      <c r="N4864" s="213" t="s">
        <v>40484</v>
      </c>
      <c r="O4864" s="213" t="s">
        <v>40485</v>
      </c>
      <c r="P4864" s="213" t="s">
        <v>40486</v>
      </c>
      <c r="Q4864" s="213" t="s">
        <v>40487</v>
      </c>
      <c r="R4864" s="213" t="s">
        <v>40488</v>
      </c>
      <c r="S4864" s="213" t="s">
        <v>40489</v>
      </c>
      <c r="T4864" s="213" t="s">
        <v>40490</v>
      </c>
      <c r="U4864" s="213" t="s">
        <v>60691</v>
      </c>
    </row>
    <row r="4865" spans="1:21" x14ac:dyDescent="0.25">
      <c r="A4865" s="213" t="s">
        <v>327</v>
      </c>
      <c r="D4865" s="213" t="s">
        <v>40491</v>
      </c>
      <c r="E4865" s="213" t="s">
        <v>40492</v>
      </c>
      <c r="K4865" s="213" t="s">
        <v>60473</v>
      </c>
      <c r="L4865" s="213" t="s">
        <v>60546</v>
      </c>
      <c r="M4865" s="213" t="s">
        <v>60619</v>
      </c>
      <c r="N4865" s="213" t="s">
        <v>40493</v>
      </c>
      <c r="O4865" s="213" t="s">
        <v>40494</v>
      </c>
      <c r="P4865" s="213" t="s">
        <v>40495</v>
      </c>
      <c r="Q4865" s="213" t="s">
        <v>40496</v>
      </c>
      <c r="R4865" s="213" t="s">
        <v>40497</v>
      </c>
      <c r="S4865" s="213" t="s">
        <v>40498</v>
      </c>
      <c r="T4865" s="213" t="s">
        <v>40499</v>
      </c>
      <c r="U4865" s="213" t="s">
        <v>60692</v>
      </c>
    </row>
    <row r="4866" spans="1:21" x14ac:dyDescent="0.25">
      <c r="A4866" s="213" t="s">
        <v>327</v>
      </c>
      <c r="D4866" s="213" t="s">
        <v>40500</v>
      </c>
      <c r="E4866" s="213" t="s">
        <v>40501</v>
      </c>
      <c r="K4866" s="213" t="s">
        <v>60474</v>
      </c>
      <c r="L4866" s="213" t="s">
        <v>60547</v>
      </c>
      <c r="M4866" s="213" t="s">
        <v>60620</v>
      </c>
      <c r="N4866" s="213" t="s">
        <v>40502</v>
      </c>
      <c r="O4866" s="213" t="s">
        <v>40503</v>
      </c>
      <c r="P4866" s="213" t="s">
        <v>40504</v>
      </c>
      <c r="Q4866" s="213" t="s">
        <v>40505</v>
      </c>
      <c r="R4866" s="213" t="s">
        <v>40506</v>
      </c>
      <c r="S4866" s="213" t="s">
        <v>40507</v>
      </c>
      <c r="T4866" s="213" t="s">
        <v>40508</v>
      </c>
      <c r="U4866" s="213" t="s">
        <v>60693</v>
      </c>
    </row>
    <row r="4867" spans="1:21" x14ac:dyDescent="0.25">
      <c r="A4867" s="213" t="s">
        <v>327</v>
      </c>
      <c r="D4867" s="213" t="s">
        <v>40509</v>
      </c>
      <c r="E4867" s="213" t="s">
        <v>40510</v>
      </c>
      <c r="K4867" s="213" t="s">
        <v>60475</v>
      </c>
      <c r="L4867" s="213" t="s">
        <v>60548</v>
      </c>
      <c r="M4867" s="213" t="s">
        <v>60621</v>
      </c>
      <c r="N4867" s="213" t="s">
        <v>40511</v>
      </c>
      <c r="O4867" s="213" t="s">
        <v>40512</v>
      </c>
      <c r="P4867" s="213" t="s">
        <v>40513</v>
      </c>
      <c r="Q4867" s="213" t="s">
        <v>40514</v>
      </c>
      <c r="R4867" s="213" t="s">
        <v>40515</v>
      </c>
      <c r="S4867" s="213" t="s">
        <v>40516</v>
      </c>
      <c r="T4867" s="213" t="s">
        <v>40517</v>
      </c>
      <c r="U4867" s="213" t="s">
        <v>60694</v>
      </c>
    </row>
    <row r="4868" spans="1:21" x14ac:dyDescent="0.25">
      <c r="A4868" s="213" t="s">
        <v>327</v>
      </c>
      <c r="D4868" s="213" t="s">
        <v>40518</v>
      </c>
      <c r="E4868" s="213" t="s">
        <v>40519</v>
      </c>
      <c r="K4868" s="213" t="s">
        <v>60476</v>
      </c>
      <c r="L4868" s="213" t="s">
        <v>60549</v>
      </c>
      <c r="M4868" s="213" t="s">
        <v>60622</v>
      </c>
      <c r="N4868" s="213" t="s">
        <v>40520</v>
      </c>
      <c r="O4868" s="213" t="s">
        <v>40521</v>
      </c>
      <c r="P4868" s="213" t="s">
        <v>40522</v>
      </c>
      <c r="Q4868" s="213" t="s">
        <v>40523</v>
      </c>
      <c r="R4868" s="213" t="s">
        <v>40524</v>
      </c>
      <c r="S4868" s="213" t="s">
        <v>40525</v>
      </c>
      <c r="T4868" s="213" t="s">
        <v>40526</v>
      </c>
      <c r="U4868" s="213" t="s">
        <v>60695</v>
      </c>
    </row>
    <row r="4869" spans="1:21" x14ac:dyDescent="0.25">
      <c r="A4869" s="213" t="s">
        <v>327</v>
      </c>
      <c r="D4869" s="213" t="s">
        <v>40527</v>
      </c>
      <c r="E4869" s="213" t="s">
        <v>40528</v>
      </c>
      <c r="K4869" s="213" t="s">
        <v>60477</v>
      </c>
      <c r="L4869" s="213" t="s">
        <v>60550</v>
      </c>
      <c r="M4869" s="213" t="s">
        <v>60623</v>
      </c>
      <c r="N4869" s="213" t="s">
        <v>40529</v>
      </c>
      <c r="O4869" s="213" t="s">
        <v>40530</v>
      </c>
      <c r="P4869" s="213" t="s">
        <v>40531</v>
      </c>
      <c r="Q4869" s="213" t="s">
        <v>40532</v>
      </c>
      <c r="R4869" s="213" t="s">
        <v>40533</v>
      </c>
      <c r="S4869" s="213" t="s">
        <v>40534</v>
      </c>
      <c r="T4869" s="213" t="s">
        <v>40535</v>
      </c>
      <c r="U4869" s="213" t="s">
        <v>60696</v>
      </c>
    </row>
    <row r="4870" spans="1:21" x14ac:dyDescent="0.25">
      <c r="A4870" s="213" t="s">
        <v>327</v>
      </c>
      <c r="D4870" s="213" t="s">
        <v>40536</v>
      </c>
      <c r="E4870" s="213" t="s">
        <v>40537</v>
      </c>
      <c r="K4870" s="213" t="s">
        <v>60478</v>
      </c>
      <c r="L4870" s="213" t="s">
        <v>60551</v>
      </c>
      <c r="M4870" s="213" t="s">
        <v>60624</v>
      </c>
      <c r="N4870" s="213" t="s">
        <v>40538</v>
      </c>
      <c r="O4870" s="213" t="s">
        <v>40539</v>
      </c>
      <c r="P4870" s="213" t="s">
        <v>40540</v>
      </c>
      <c r="Q4870" s="213" t="s">
        <v>40541</v>
      </c>
      <c r="R4870" s="213" t="s">
        <v>40542</v>
      </c>
      <c r="S4870" s="213" t="s">
        <v>40543</v>
      </c>
      <c r="T4870" s="213" t="s">
        <v>40544</v>
      </c>
      <c r="U4870" s="213" t="s">
        <v>60697</v>
      </c>
    </row>
    <row r="4871" spans="1:21" x14ac:dyDescent="0.25">
      <c r="A4871" s="213" t="s">
        <v>327</v>
      </c>
      <c r="D4871" s="213" t="s">
        <v>40545</v>
      </c>
      <c r="E4871" s="213" t="s">
        <v>40546</v>
      </c>
      <c r="K4871" s="213" t="s">
        <v>60479</v>
      </c>
      <c r="L4871" s="213" t="s">
        <v>60552</v>
      </c>
      <c r="M4871" s="213" t="s">
        <v>60625</v>
      </c>
      <c r="N4871" s="213" t="s">
        <v>40547</v>
      </c>
      <c r="O4871" s="213" t="s">
        <v>40548</v>
      </c>
      <c r="P4871" s="213" t="s">
        <v>40549</v>
      </c>
      <c r="Q4871" s="213" t="s">
        <v>40550</v>
      </c>
      <c r="R4871" s="213" t="s">
        <v>40551</v>
      </c>
      <c r="S4871" s="213" t="s">
        <v>40552</v>
      </c>
      <c r="T4871" s="213" t="s">
        <v>40553</v>
      </c>
      <c r="U4871" s="213" t="s">
        <v>60698</v>
      </c>
    </row>
    <row r="4872" spans="1:21" x14ac:dyDescent="0.25">
      <c r="A4872" s="213" t="s">
        <v>327</v>
      </c>
      <c r="D4872" s="213" t="s">
        <v>40554</v>
      </c>
      <c r="E4872" s="213" t="s">
        <v>40555</v>
      </c>
      <c r="K4872" s="213" t="s">
        <v>60480</v>
      </c>
      <c r="L4872" s="213" t="s">
        <v>60553</v>
      </c>
      <c r="M4872" s="213" t="s">
        <v>60626</v>
      </c>
      <c r="N4872" s="213" t="s">
        <v>40556</v>
      </c>
      <c r="O4872" s="213" t="s">
        <v>40557</v>
      </c>
      <c r="P4872" s="213" t="s">
        <v>40558</v>
      </c>
      <c r="Q4872" s="213" t="s">
        <v>40559</v>
      </c>
      <c r="R4872" s="213" t="s">
        <v>40560</v>
      </c>
      <c r="S4872" s="213" t="s">
        <v>40561</v>
      </c>
      <c r="T4872" s="213" t="s">
        <v>40562</v>
      </c>
      <c r="U4872" s="213" t="s">
        <v>60699</v>
      </c>
    </row>
    <row r="4873" spans="1:21" x14ac:dyDescent="0.25">
      <c r="A4873" s="213" t="s">
        <v>327</v>
      </c>
      <c r="D4873" s="213" t="s">
        <v>40563</v>
      </c>
      <c r="E4873" s="213" t="s">
        <v>40564</v>
      </c>
      <c r="K4873" s="213" t="s">
        <v>60481</v>
      </c>
      <c r="L4873" s="213" t="s">
        <v>60554</v>
      </c>
      <c r="M4873" s="213" t="s">
        <v>60627</v>
      </c>
      <c r="N4873" s="213" t="s">
        <v>40565</v>
      </c>
      <c r="O4873" s="213" t="s">
        <v>40566</v>
      </c>
      <c r="P4873" s="213" t="s">
        <v>40567</v>
      </c>
      <c r="Q4873" s="213" t="s">
        <v>40568</v>
      </c>
      <c r="R4873" s="213" t="s">
        <v>40569</v>
      </c>
      <c r="S4873" s="213" t="s">
        <v>40570</v>
      </c>
      <c r="T4873" s="213" t="s">
        <v>40571</v>
      </c>
      <c r="U4873" s="213" t="s">
        <v>60700</v>
      </c>
    </row>
    <row r="4874" spans="1:21" x14ac:dyDescent="0.25">
      <c r="A4874" s="213" t="s">
        <v>327</v>
      </c>
      <c r="D4874" s="213" t="s">
        <v>40572</v>
      </c>
      <c r="E4874" s="213" t="s">
        <v>40573</v>
      </c>
      <c r="K4874" s="213" t="s">
        <v>60482</v>
      </c>
      <c r="L4874" s="213" t="s">
        <v>60555</v>
      </c>
      <c r="M4874" s="213" t="s">
        <v>60628</v>
      </c>
      <c r="N4874" s="213" t="s">
        <v>40574</v>
      </c>
      <c r="O4874" s="213" t="s">
        <v>40575</v>
      </c>
      <c r="P4874" s="213" t="s">
        <v>40576</v>
      </c>
      <c r="Q4874" s="213" t="s">
        <v>40577</v>
      </c>
      <c r="R4874" s="213" t="s">
        <v>40578</v>
      </c>
      <c r="S4874" s="213" t="s">
        <v>40579</v>
      </c>
      <c r="T4874" s="213" t="s">
        <v>40580</v>
      </c>
      <c r="U4874" s="213" t="s">
        <v>60701</v>
      </c>
    </row>
    <row r="4875" spans="1:21" x14ac:dyDescent="0.25">
      <c r="A4875" s="213" t="s">
        <v>327</v>
      </c>
      <c r="D4875" s="213" t="s">
        <v>40581</v>
      </c>
      <c r="E4875" s="213" t="s">
        <v>40582</v>
      </c>
      <c r="K4875" s="213" t="s">
        <v>60483</v>
      </c>
      <c r="L4875" s="213" t="s">
        <v>60556</v>
      </c>
      <c r="M4875" s="213" t="s">
        <v>60629</v>
      </c>
      <c r="N4875" s="213" t="s">
        <v>40583</v>
      </c>
      <c r="O4875" s="213" t="s">
        <v>40584</v>
      </c>
      <c r="P4875" s="213" t="s">
        <v>40585</v>
      </c>
      <c r="Q4875" s="213" t="s">
        <v>40586</v>
      </c>
      <c r="R4875" s="213" t="s">
        <v>40587</v>
      </c>
      <c r="S4875" s="213" t="s">
        <v>40588</v>
      </c>
      <c r="T4875" s="213" t="s">
        <v>40589</v>
      </c>
      <c r="U4875" s="213" t="s">
        <v>60702</v>
      </c>
    </row>
    <row r="4876" spans="1:21" x14ac:dyDescent="0.25">
      <c r="A4876" s="213" t="s">
        <v>327</v>
      </c>
      <c r="D4876" s="213" t="s">
        <v>40590</v>
      </c>
      <c r="E4876" s="213" t="s">
        <v>40591</v>
      </c>
      <c r="K4876" s="213" t="s">
        <v>60484</v>
      </c>
      <c r="L4876" s="213" t="s">
        <v>60557</v>
      </c>
      <c r="M4876" s="213" t="s">
        <v>60630</v>
      </c>
      <c r="N4876" s="213" t="s">
        <v>40592</v>
      </c>
      <c r="O4876" s="213" t="s">
        <v>40593</v>
      </c>
      <c r="P4876" s="213" t="s">
        <v>40594</v>
      </c>
      <c r="Q4876" s="213" t="s">
        <v>40595</v>
      </c>
      <c r="R4876" s="213" t="s">
        <v>40596</v>
      </c>
      <c r="S4876" s="213" t="s">
        <v>40597</v>
      </c>
      <c r="T4876" s="213" t="s">
        <v>40598</v>
      </c>
      <c r="U4876" s="213" t="s">
        <v>60703</v>
      </c>
    </row>
    <row r="4877" spans="1:21" x14ac:dyDescent="0.25">
      <c r="A4877" s="213" t="s">
        <v>327</v>
      </c>
      <c r="D4877" s="213" t="s">
        <v>40599</v>
      </c>
      <c r="E4877" s="213" t="s">
        <v>40600</v>
      </c>
      <c r="K4877" s="213" t="s">
        <v>60485</v>
      </c>
      <c r="L4877" s="213" t="s">
        <v>60558</v>
      </c>
      <c r="M4877" s="213" t="s">
        <v>60631</v>
      </c>
      <c r="N4877" s="213" t="s">
        <v>40601</v>
      </c>
      <c r="O4877" s="213" t="s">
        <v>40602</v>
      </c>
      <c r="P4877" s="213" t="s">
        <v>40603</v>
      </c>
      <c r="Q4877" s="213" t="s">
        <v>40604</v>
      </c>
      <c r="R4877" s="213" t="s">
        <v>40605</v>
      </c>
      <c r="S4877" s="213" t="s">
        <v>40606</v>
      </c>
      <c r="T4877" s="213" t="s">
        <v>40607</v>
      </c>
      <c r="U4877" s="213" t="s">
        <v>60704</v>
      </c>
    </row>
    <row r="4878" spans="1:21" x14ac:dyDescent="0.25">
      <c r="A4878" s="213" t="s">
        <v>327</v>
      </c>
      <c r="D4878" s="213" t="s">
        <v>40608</v>
      </c>
      <c r="E4878" s="213" t="s">
        <v>40609</v>
      </c>
      <c r="K4878" s="213" t="s">
        <v>60486</v>
      </c>
      <c r="L4878" s="213" t="s">
        <v>60559</v>
      </c>
      <c r="M4878" s="213" t="s">
        <v>60632</v>
      </c>
      <c r="N4878" s="213" t="s">
        <v>40610</v>
      </c>
      <c r="O4878" s="213" t="s">
        <v>40611</v>
      </c>
      <c r="P4878" s="213" t="s">
        <v>40612</v>
      </c>
      <c r="Q4878" s="213" t="s">
        <v>40613</v>
      </c>
      <c r="R4878" s="213" t="s">
        <v>40614</v>
      </c>
      <c r="S4878" s="213" t="s">
        <v>40615</v>
      </c>
      <c r="T4878" s="213" t="s">
        <v>40616</v>
      </c>
      <c r="U4878" s="213" t="s">
        <v>60705</v>
      </c>
    </row>
    <row r="4879" spans="1:21" x14ac:dyDescent="0.25">
      <c r="A4879" s="213" t="s">
        <v>327</v>
      </c>
      <c r="D4879" s="213" t="s">
        <v>40617</v>
      </c>
      <c r="E4879" s="213" t="s">
        <v>40618</v>
      </c>
      <c r="K4879" s="213" t="s">
        <v>60487</v>
      </c>
      <c r="L4879" s="213" t="s">
        <v>60560</v>
      </c>
      <c r="M4879" s="213" t="s">
        <v>60633</v>
      </c>
      <c r="N4879" s="213" t="s">
        <v>40619</v>
      </c>
      <c r="O4879" s="213" t="s">
        <v>40620</v>
      </c>
      <c r="P4879" s="213" t="s">
        <v>40621</v>
      </c>
      <c r="Q4879" s="213" t="s">
        <v>40622</v>
      </c>
      <c r="R4879" s="213" t="s">
        <v>40623</v>
      </c>
      <c r="S4879" s="213" t="s">
        <v>40624</v>
      </c>
      <c r="T4879" s="213" t="s">
        <v>40625</v>
      </c>
      <c r="U4879" s="213" t="s">
        <v>60706</v>
      </c>
    </row>
    <row r="4880" spans="1:21" x14ac:dyDescent="0.25">
      <c r="A4880" s="213" t="s">
        <v>327</v>
      </c>
      <c r="D4880" s="213" t="s">
        <v>40626</v>
      </c>
      <c r="E4880" s="213" t="s">
        <v>40627</v>
      </c>
      <c r="K4880" s="213" t="s">
        <v>60488</v>
      </c>
      <c r="L4880" s="213" t="s">
        <v>60561</v>
      </c>
      <c r="M4880" s="213" t="s">
        <v>60634</v>
      </c>
      <c r="N4880" s="213" t="s">
        <v>40628</v>
      </c>
      <c r="O4880" s="213" t="s">
        <v>40629</v>
      </c>
      <c r="P4880" s="213" t="s">
        <v>40630</v>
      </c>
      <c r="Q4880" s="213" t="s">
        <v>40631</v>
      </c>
      <c r="R4880" s="213" t="s">
        <v>40632</v>
      </c>
      <c r="S4880" s="213" t="s">
        <v>40633</v>
      </c>
      <c r="T4880" s="213" t="s">
        <v>40634</v>
      </c>
      <c r="U4880" s="213" t="s">
        <v>60707</v>
      </c>
    </row>
    <row r="4881" spans="1:21" x14ac:dyDescent="0.25">
      <c r="A4881" s="213" t="s">
        <v>327</v>
      </c>
      <c r="D4881" s="213" t="s">
        <v>40635</v>
      </c>
      <c r="E4881" s="213" t="s">
        <v>40636</v>
      </c>
      <c r="K4881" s="213" t="s">
        <v>60489</v>
      </c>
      <c r="L4881" s="213" t="s">
        <v>60562</v>
      </c>
      <c r="M4881" s="213" t="s">
        <v>60635</v>
      </c>
      <c r="N4881" s="213" t="s">
        <v>40637</v>
      </c>
      <c r="O4881" s="213" t="s">
        <v>40638</v>
      </c>
      <c r="P4881" s="213" t="s">
        <v>40639</v>
      </c>
      <c r="Q4881" s="213" t="s">
        <v>40640</v>
      </c>
      <c r="R4881" s="213" t="s">
        <v>40641</v>
      </c>
      <c r="S4881" s="213" t="s">
        <v>40642</v>
      </c>
      <c r="T4881" s="213" t="s">
        <v>40643</v>
      </c>
      <c r="U4881" s="213" t="s">
        <v>60708</v>
      </c>
    </row>
    <row r="4882" spans="1:21" x14ac:dyDescent="0.25">
      <c r="A4882" s="213" t="s">
        <v>327</v>
      </c>
      <c r="D4882" s="213" t="s">
        <v>40644</v>
      </c>
      <c r="E4882" s="213" t="s">
        <v>40645</v>
      </c>
      <c r="K4882" s="213" t="s">
        <v>60490</v>
      </c>
      <c r="L4882" s="213" t="s">
        <v>60563</v>
      </c>
      <c r="M4882" s="213" t="s">
        <v>60636</v>
      </c>
      <c r="N4882" s="213" t="s">
        <v>40646</v>
      </c>
      <c r="O4882" s="213" t="s">
        <v>40647</v>
      </c>
      <c r="P4882" s="213" t="s">
        <v>40648</v>
      </c>
      <c r="Q4882" s="213" t="s">
        <v>40649</v>
      </c>
      <c r="R4882" s="213" t="s">
        <v>40650</v>
      </c>
      <c r="S4882" s="213" t="s">
        <v>40651</v>
      </c>
      <c r="T4882" s="213" t="s">
        <v>40652</v>
      </c>
      <c r="U4882" s="213" t="s">
        <v>60709</v>
      </c>
    </row>
    <row r="4883" spans="1:21" x14ac:dyDescent="0.25">
      <c r="A4883" s="213" t="s">
        <v>327</v>
      </c>
      <c r="D4883" s="213" t="s">
        <v>40653</v>
      </c>
      <c r="E4883" s="213" t="s">
        <v>40654</v>
      </c>
      <c r="K4883" s="213" t="s">
        <v>60491</v>
      </c>
      <c r="L4883" s="213" t="s">
        <v>60564</v>
      </c>
      <c r="M4883" s="213" t="s">
        <v>60637</v>
      </c>
      <c r="N4883" s="213" t="s">
        <v>40655</v>
      </c>
      <c r="O4883" s="213" t="s">
        <v>40656</v>
      </c>
      <c r="P4883" s="213" t="s">
        <v>40657</v>
      </c>
      <c r="Q4883" s="213" t="s">
        <v>40658</v>
      </c>
      <c r="R4883" s="213" t="s">
        <v>40659</v>
      </c>
      <c r="S4883" s="213" t="s">
        <v>40660</v>
      </c>
      <c r="T4883" s="213" t="s">
        <v>40661</v>
      </c>
      <c r="U4883" s="213" t="s">
        <v>60710</v>
      </c>
    </row>
    <row r="4884" spans="1:21" x14ac:dyDescent="0.25">
      <c r="A4884" s="213" t="s">
        <v>327</v>
      </c>
      <c r="D4884" s="213" t="s">
        <v>40662</v>
      </c>
      <c r="E4884" s="213" t="s">
        <v>40663</v>
      </c>
      <c r="K4884" s="213" t="s">
        <v>60492</v>
      </c>
      <c r="L4884" s="213" t="s">
        <v>60565</v>
      </c>
      <c r="M4884" s="213" t="s">
        <v>60638</v>
      </c>
      <c r="N4884" s="213" t="s">
        <v>40664</v>
      </c>
      <c r="O4884" s="213" t="s">
        <v>40665</v>
      </c>
      <c r="P4884" s="213" t="s">
        <v>40666</v>
      </c>
      <c r="Q4884" s="213" t="s">
        <v>40667</v>
      </c>
      <c r="R4884" s="213" t="s">
        <v>40668</v>
      </c>
      <c r="S4884" s="213" t="s">
        <v>40669</v>
      </c>
      <c r="T4884" s="213" t="s">
        <v>40670</v>
      </c>
      <c r="U4884" s="213" t="s">
        <v>60711</v>
      </c>
    </row>
    <row r="4885" spans="1:21" x14ac:dyDescent="0.25">
      <c r="A4885" s="213" t="s">
        <v>327</v>
      </c>
      <c r="D4885" s="213" t="s">
        <v>40671</v>
      </c>
      <c r="E4885" s="213" t="s">
        <v>40672</v>
      </c>
      <c r="K4885" s="213" t="s">
        <v>60493</v>
      </c>
      <c r="L4885" s="213" t="s">
        <v>60566</v>
      </c>
      <c r="M4885" s="213" t="s">
        <v>60639</v>
      </c>
      <c r="N4885" s="213" t="s">
        <v>40673</v>
      </c>
      <c r="O4885" s="213" t="s">
        <v>40674</v>
      </c>
      <c r="P4885" s="213" t="s">
        <v>40675</v>
      </c>
      <c r="Q4885" s="213" t="s">
        <v>40676</v>
      </c>
      <c r="R4885" s="213" t="s">
        <v>40677</v>
      </c>
      <c r="S4885" s="213" t="s">
        <v>40678</v>
      </c>
      <c r="T4885" s="213" t="s">
        <v>40679</v>
      </c>
      <c r="U4885" s="213" t="s">
        <v>60712</v>
      </c>
    </row>
    <row r="4886" spans="1:21" x14ac:dyDescent="0.25">
      <c r="A4886" s="213" t="s">
        <v>327</v>
      </c>
      <c r="D4886" s="213" t="s">
        <v>40680</v>
      </c>
      <c r="E4886" s="213" t="s">
        <v>40681</v>
      </c>
      <c r="K4886" s="213" t="s">
        <v>60494</v>
      </c>
      <c r="L4886" s="213" t="s">
        <v>60567</v>
      </c>
      <c r="M4886" s="213" t="s">
        <v>60640</v>
      </c>
      <c r="N4886" s="213" t="s">
        <v>40682</v>
      </c>
      <c r="O4886" s="213" t="s">
        <v>40683</v>
      </c>
      <c r="P4886" s="213" t="s">
        <v>40684</v>
      </c>
      <c r="Q4886" s="213" t="s">
        <v>40685</v>
      </c>
      <c r="R4886" s="213" t="s">
        <v>40686</v>
      </c>
      <c r="S4886" s="213" t="s">
        <v>40687</v>
      </c>
      <c r="T4886" s="213" t="s">
        <v>40688</v>
      </c>
      <c r="U4886" s="213" t="s">
        <v>60713</v>
      </c>
    </row>
    <row r="4887" spans="1:21" x14ac:dyDescent="0.25">
      <c r="A4887" s="213" t="s">
        <v>327</v>
      </c>
    </row>
    <row r="4888" spans="1:21" x14ac:dyDescent="0.25">
      <c r="A4888" s="213" t="s">
        <v>327</v>
      </c>
    </row>
    <row r="4889" spans="1:21" x14ac:dyDescent="0.25">
      <c r="A4889" s="213" t="s">
        <v>327</v>
      </c>
      <c r="C4889" s="213" t="s">
        <v>40689</v>
      </c>
      <c r="E4889" s="213" t="s">
        <v>40690</v>
      </c>
      <c r="H4889" s="213" t="s">
        <v>40691</v>
      </c>
      <c r="I4889" s="213" t="s">
        <v>40692</v>
      </c>
      <c r="J4889" s="213" t="s">
        <v>40693</v>
      </c>
      <c r="L4889" s="213" t="s">
        <v>40694</v>
      </c>
      <c r="O4889" s="213" t="s">
        <v>40695</v>
      </c>
      <c r="P4889" s="213" t="s">
        <v>40696</v>
      </c>
      <c r="Q4889" s="213" t="s">
        <v>40697</v>
      </c>
      <c r="R4889" s="213" t="s">
        <v>40698</v>
      </c>
      <c r="S4889" s="213" t="s">
        <v>40699</v>
      </c>
      <c r="T4889" s="213" t="s">
        <v>40700</v>
      </c>
    </row>
    <row r="4890" spans="1:21" x14ac:dyDescent="0.25">
      <c r="A4890" s="213" t="s">
        <v>327</v>
      </c>
      <c r="C4890" s="213" t="s">
        <v>40701</v>
      </c>
      <c r="E4890" s="213" t="s">
        <v>40702</v>
      </c>
      <c r="I4890" s="213" t="s">
        <v>40703</v>
      </c>
    </row>
    <row r="4891" spans="1:21" x14ac:dyDescent="0.25">
      <c r="A4891" s="213" t="s">
        <v>327</v>
      </c>
      <c r="C4891" s="213" t="s">
        <v>40704</v>
      </c>
      <c r="E4891" s="213" t="s">
        <v>40705</v>
      </c>
      <c r="I4891" s="213" t="s">
        <v>40706</v>
      </c>
    </row>
    <row r="4892" spans="1:21" x14ac:dyDescent="0.25">
      <c r="A4892" s="213" t="s">
        <v>328</v>
      </c>
    </row>
    <row r="4893" spans="1:21" x14ac:dyDescent="0.25">
      <c r="A4893" s="213" t="s">
        <v>327</v>
      </c>
      <c r="D4893" s="213" t="s">
        <v>40707</v>
      </c>
      <c r="E4893" s="213" t="s">
        <v>40708</v>
      </c>
      <c r="K4893" s="213" t="s">
        <v>60250</v>
      </c>
      <c r="L4893" s="213" t="s">
        <v>60293</v>
      </c>
      <c r="M4893" s="213" t="s">
        <v>60336</v>
      </c>
      <c r="N4893" s="213" t="s">
        <v>40709</v>
      </c>
      <c r="O4893" s="213" t="s">
        <v>40710</v>
      </c>
      <c r="P4893" s="213" t="s">
        <v>40711</v>
      </c>
      <c r="Q4893" s="213" t="s">
        <v>40712</v>
      </c>
      <c r="R4893" s="213" t="s">
        <v>40713</v>
      </c>
      <c r="S4893" s="213" t="s">
        <v>40714</v>
      </c>
      <c r="T4893" s="213" t="s">
        <v>40715</v>
      </c>
      <c r="U4893" s="213" t="s">
        <v>60379</v>
      </c>
    </row>
    <row r="4894" spans="1:21" x14ac:dyDescent="0.25">
      <c r="A4894" s="213" t="s">
        <v>327</v>
      </c>
      <c r="D4894" s="213" t="s">
        <v>40716</v>
      </c>
      <c r="E4894" s="213" t="s">
        <v>40717</v>
      </c>
      <c r="K4894" s="213" t="s">
        <v>60251</v>
      </c>
      <c r="L4894" s="213" t="s">
        <v>60294</v>
      </c>
      <c r="M4894" s="213" t="s">
        <v>60337</v>
      </c>
      <c r="N4894" s="213" t="s">
        <v>40718</v>
      </c>
      <c r="O4894" s="213" t="s">
        <v>40719</v>
      </c>
      <c r="P4894" s="213" t="s">
        <v>40720</v>
      </c>
      <c r="Q4894" s="213" t="s">
        <v>40721</v>
      </c>
      <c r="R4894" s="213" t="s">
        <v>40722</v>
      </c>
      <c r="S4894" s="213" t="s">
        <v>40723</v>
      </c>
      <c r="T4894" s="213" t="s">
        <v>40724</v>
      </c>
      <c r="U4894" s="213" t="s">
        <v>60380</v>
      </c>
    </row>
    <row r="4895" spans="1:21" x14ac:dyDescent="0.25">
      <c r="A4895" s="213" t="s">
        <v>327</v>
      </c>
      <c r="D4895" s="213" t="s">
        <v>40725</v>
      </c>
      <c r="E4895" s="213" t="s">
        <v>40726</v>
      </c>
      <c r="K4895" s="213" t="s">
        <v>60252</v>
      </c>
      <c r="L4895" s="213" t="s">
        <v>60295</v>
      </c>
      <c r="M4895" s="213" t="s">
        <v>60338</v>
      </c>
      <c r="N4895" s="213" t="s">
        <v>40727</v>
      </c>
      <c r="O4895" s="213" t="s">
        <v>40728</v>
      </c>
      <c r="P4895" s="213" t="s">
        <v>40729</v>
      </c>
      <c r="Q4895" s="213" t="s">
        <v>40730</v>
      </c>
      <c r="R4895" s="213" t="s">
        <v>40731</v>
      </c>
      <c r="S4895" s="213" t="s">
        <v>40732</v>
      </c>
      <c r="T4895" s="213" t="s">
        <v>40733</v>
      </c>
      <c r="U4895" s="213" t="s">
        <v>60381</v>
      </c>
    </row>
    <row r="4896" spans="1:21" x14ac:dyDescent="0.25">
      <c r="A4896" s="213" t="s">
        <v>327</v>
      </c>
      <c r="D4896" s="213" t="s">
        <v>40734</v>
      </c>
      <c r="E4896" s="213" t="s">
        <v>40735</v>
      </c>
      <c r="K4896" s="213" t="s">
        <v>60253</v>
      </c>
      <c r="L4896" s="213" t="s">
        <v>60296</v>
      </c>
      <c r="M4896" s="213" t="s">
        <v>60339</v>
      </c>
      <c r="N4896" s="213" t="s">
        <v>40736</v>
      </c>
      <c r="O4896" s="213" t="s">
        <v>40737</v>
      </c>
      <c r="P4896" s="213" t="s">
        <v>40738</v>
      </c>
      <c r="Q4896" s="213" t="s">
        <v>40739</v>
      </c>
      <c r="R4896" s="213" t="s">
        <v>40740</v>
      </c>
      <c r="S4896" s="213" t="s">
        <v>40741</v>
      </c>
      <c r="T4896" s="213" t="s">
        <v>40742</v>
      </c>
      <c r="U4896" s="213" t="s">
        <v>60382</v>
      </c>
    </row>
    <row r="4897" spans="1:21" x14ac:dyDescent="0.25">
      <c r="A4897" s="213" t="s">
        <v>327</v>
      </c>
      <c r="D4897" s="213" t="s">
        <v>40743</v>
      </c>
      <c r="E4897" s="213" t="s">
        <v>40744</v>
      </c>
      <c r="K4897" s="213" t="s">
        <v>60254</v>
      </c>
      <c r="L4897" s="213" t="s">
        <v>60297</v>
      </c>
      <c r="M4897" s="213" t="s">
        <v>60340</v>
      </c>
      <c r="N4897" s="213" t="s">
        <v>40745</v>
      </c>
      <c r="O4897" s="213" t="s">
        <v>40746</v>
      </c>
      <c r="P4897" s="213" t="s">
        <v>40747</v>
      </c>
      <c r="Q4897" s="213" t="s">
        <v>40748</v>
      </c>
      <c r="R4897" s="213" t="s">
        <v>40749</v>
      </c>
      <c r="S4897" s="213" t="s">
        <v>40750</v>
      </c>
      <c r="T4897" s="213" t="s">
        <v>40751</v>
      </c>
      <c r="U4897" s="213" t="s">
        <v>60383</v>
      </c>
    </row>
    <row r="4898" spans="1:21" x14ac:dyDescent="0.25">
      <c r="A4898" s="213" t="s">
        <v>327</v>
      </c>
      <c r="D4898" s="213" t="s">
        <v>40752</v>
      </c>
      <c r="E4898" s="213" t="s">
        <v>40753</v>
      </c>
      <c r="K4898" s="213" t="s">
        <v>60255</v>
      </c>
      <c r="L4898" s="213" t="s">
        <v>60298</v>
      </c>
      <c r="M4898" s="213" t="s">
        <v>60341</v>
      </c>
      <c r="N4898" s="213" t="s">
        <v>40754</v>
      </c>
      <c r="O4898" s="213" t="s">
        <v>40755</v>
      </c>
      <c r="P4898" s="213" t="s">
        <v>40756</v>
      </c>
      <c r="Q4898" s="213" t="s">
        <v>40757</v>
      </c>
      <c r="R4898" s="213" t="s">
        <v>40758</v>
      </c>
      <c r="S4898" s="213" t="s">
        <v>40759</v>
      </c>
      <c r="T4898" s="213" t="s">
        <v>40760</v>
      </c>
      <c r="U4898" s="213" t="s">
        <v>60384</v>
      </c>
    </row>
    <row r="4899" spans="1:21" x14ac:dyDescent="0.25">
      <c r="A4899" s="213" t="s">
        <v>327</v>
      </c>
      <c r="D4899" s="213" t="s">
        <v>40761</v>
      </c>
      <c r="E4899" s="213" t="s">
        <v>40762</v>
      </c>
      <c r="K4899" s="213" t="s">
        <v>60256</v>
      </c>
      <c r="L4899" s="213" t="s">
        <v>60299</v>
      </c>
      <c r="M4899" s="213" t="s">
        <v>60342</v>
      </c>
      <c r="N4899" s="213" t="s">
        <v>40763</v>
      </c>
      <c r="O4899" s="213" t="s">
        <v>40764</v>
      </c>
      <c r="P4899" s="213" t="s">
        <v>40765</v>
      </c>
      <c r="Q4899" s="213" t="s">
        <v>40766</v>
      </c>
      <c r="R4899" s="213" t="s">
        <v>40767</v>
      </c>
      <c r="S4899" s="213" t="s">
        <v>40768</v>
      </c>
      <c r="T4899" s="213" t="s">
        <v>40769</v>
      </c>
      <c r="U4899" s="213" t="s">
        <v>60385</v>
      </c>
    </row>
    <row r="4900" spans="1:21" x14ac:dyDescent="0.25">
      <c r="A4900" s="213" t="s">
        <v>327</v>
      </c>
      <c r="D4900" s="213" t="s">
        <v>40770</v>
      </c>
      <c r="E4900" s="213" t="s">
        <v>40771</v>
      </c>
      <c r="K4900" s="213" t="s">
        <v>60257</v>
      </c>
      <c r="L4900" s="213" t="s">
        <v>60300</v>
      </c>
      <c r="M4900" s="213" t="s">
        <v>60343</v>
      </c>
      <c r="N4900" s="213" t="s">
        <v>40772</v>
      </c>
      <c r="O4900" s="213" t="s">
        <v>40773</v>
      </c>
      <c r="P4900" s="213" t="s">
        <v>40774</v>
      </c>
      <c r="Q4900" s="213" t="s">
        <v>40775</v>
      </c>
      <c r="R4900" s="213" t="s">
        <v>40776</v>
      </c>
      <c r="S4900" s="213" t="s">
        <v>40777</v>
      </c>
      <c r="T4900" s="213" t="s">
        <v>40778</v>
      </c>
      <c r="U4900" s="213" t="s">
        <v>60386</v>
      </c>
    </row>
    <row r="4901" spans="1:21" x14ac:dyDescent="0.25">
      <c r="A4901" s="213" t="s">
        <v>327</v>
      </c>
      <c r="D4901" s="213" t="s">
        <v>40779</v>
      </c>
      <c r="E4901" s="213" t="s">
        <v>40780</v>
      </c>
      <c r="K4901" s="213" t="s">
        <v>60258</v>
      </c>
      <c r="L4901" s="213" t="s">
        <v>60301</v>
      </c>
      <c r="M4901" s="213" t="s">
        <v>60344</v>
      </c>
      <c r="N4901" s="213" t="s">
        <v>40781</v>
      </c>
      <c r="O4901" s="213" t="s">
        <v>40782</v>
      </c>
      <c r="P4901" s="213" t="s">
        <v>40783</v>
      </c>
      <c r="Q4901" s="213" t="s">
        <v>40784</v>
      </c>
      <c r="R4901" s="213" t="s">
        <v>40785</v>
      </c>
      <c r="S4901" s="213" t="s">
        <v>40786</v>
      </c>
      <c r="T4901" s="213" t="s">
        <v>40787</v>
      </c>
      <c r="U4901" s="213" t="s">
        <v>60387</v>
      </c>
    </row>
    <row r="4902" spans="1:21" x14ac:dyDescent="0.25">
      <c r="A4902" s="213" t="s">
        <v>327</v>
      </c>
      <c r="D4902" s="213" t="s">
        <v>40788</v>
      </c>
      <c r="E4902" s="213" t="s">
        <v>40789</v>
      </c>
      <c r="K4902" s="213" t="s">
        <v>60259</v>
      </c>
      <c r="L4902" s="213" t="s">
        <v>60302</v>
      </c>
      <c r="M4902" s="213" t="s">
        <v>60345</v>
      </c>
      <c r="N4902" s="213" t="s">
        <v>40790</v>
      </c>
      <c r="O4902" s="213" t="s">
        <v>40791</v>
      </c>
      <c r="P4902" s="213" t="s">
        <v>40792</v>
      </c>
      <c r="Q4902" s="213" t="s">
        <v>40793</v>
      </c>
      <c r="R4902" s="213" t="s">
        <v>40794</v>
      </c>
      <c r="S4902" s="213" t="s">
        <v>40795</v>
      </c>
      <c r="T4902" s="213" t="s">
        <v>40796</v>
      </c>
      <c r="U4902" s="213" t="s">
        <v>60388</v>
      </c>
    </row>
    <row r="4903" spans="1:21" x14ac:dyDescent="0.25">
      <c r="A4903" s="213" t="s">
        <v>327</v>
      </c>
      <c r="D4903" s="213" t="s">
        <v>40797</v>
      </c>
      <c r="E4903" s="213" t="s">
        <v>40798</v>
      </c>
      <c r="K4903" s="213" t="s">
        <v>60260</v>
      </c>
      <c r="L4903" s="213" t="s">
        <v>60303</v>
      </c>
      <c r="M4903" s="213" t="s">
        <v>60346</v>
      </c>
      <c r="N4903" s="213" t="s">
        <v>40799</v>
      </c>
      <c r="O4903" s="213" t="s">
        <v>40800</v>
      </c>
      <c r="P4903" s="213" t="s">
        <v>40801</v>
      </c>
      <c r="Q4903" s="213" t="s">
        <v>40802</v>
      </c>
      <c r="R4903" s="213" t="s">
        <v>40803</v>
      </c>
      <c r="S4903" s="213" t="s">
        <v>40804</v>
      </c>
      <c r="T4903" s="213" t="s">
        <v>40805</v>
      </c>
      <c r="U4903" s="213" t="s">
        <v>60389</v>
      </c>
    </row>
    <row r="4904" spans="1:21" x14ac:dyDescent="0.25">
      <c r="A4904" s="213" t="s">
        <v>327</v>
      </c>
      <c r="D4904" s="213" t="s">
        <v>40806</v>
      </c>
      <c r="E4904" s="213" t="s">
        <v>40807</v>
      </c>
      <c r="K4904" s="213" t="s">
        <v>60261</v>
      </c>
      <c r="L4904" s="213" t="s">
        <v>60304</v>
      </c>
      <c r="M4904" s="213" t="s">
        <v>60347</v>
      </c>
      <c r="N4904" s="213" t="s">
        <v>40808</v>
      </c>
      <c r="O4904" s="213" t="s">
        <v>40809</v>
      </c>
      <c r="P4904" s="213" t="s">
        <v>40810</v>
      </c>
      <c r="Q4904" s="213" t="s">
        <v>40811</v>
      </c>
      <c r="R4904" s="213" t="s">
        <v>40812</v>
      </c>
      <c r="S4904" s="213" t="s">
        <v>40813</v>
      </c>
      <c r="T4904" s="213" t="s">
        <v>40814</v>
      </c>
      <c r="U4904" s="213" t="s">
        <v>60390</v>
      </c>
    </row>
    <row r="4905" spans="1:21" x14ac:dyDescent="0.25">
      <c r="A4905" s="213" t="s">
        <v>327</v>
      </c>
      <c r="D4905" s="213" t="s">
        <v>40815</v>
      </c>
      <c r="E4905" s="213" t="s">
        <v>40816</v>
      </c>
      <c r="K4905" s="213" t="s">
        <v>60262</v>
      </c>
      <c r="L4905" s="213" t="s">
        <v>60305</v>
      </c>
      <c r="M4905" s="213" t="s">
        <v>60348</v>
      </c>
      <c r="N4905" s="213" t="s">
        <v>40817</v>
      </c>
      <c r="O4905" s="213" t="s">
        <v>40818</v>
      </c>
      <c r="P4905" s="213" t="s">
        <v>40819</v>
      </c>
      <c r="Q4905" s="213" t="s">
        <v>40820</v>
      </c>
      <c r="R4905" s="213" t="s">
        <v>40821</v>
      </c>
      <c r="S4905" s="213" t="s">
        <v>40822</v>
      </c>
      <c r="T4905" s="213" t="s">
        <v>40823</v>
      </c>
      <c r="U4905" s="213" t="s">
        <v>60391</v>
      </c>
    </row>
    <row r="4906" spans="1:21" x14ac:dyDescent="0.25">
      <c r="A4906" s="213" t="s">
        <v>327</v>
      </c>
      <c r="D4906" s="213" t="s">
        <v>40824</v>
      </c>
      <c r="E4906" s="213" t="s">
        <v>40825</v>
      </c>
      <c r="K4906" s="213" t="s">
        <v>60263</v>
      </c>
      <c r="L4906" s="213" t="s">
        <v>60306</v>
      </c>
      <c r="M4906" s="213" t="s">
        <v>60349</v>
      </c>
      <c r="N4906" s="213" t="s">
        <v>40826</v>
      </c>
      <c r="O4906" s="213" t="s">
        <v>40827</v>
      </c>
      <c r="P4906" s="213" t="s">
        <v>40828</v>
      </c>
      <c r="Q4906" s="213" t="s">
        <v>40829</v>
      </c>
      <c r="R4906" s="213" t="s">
        <v>40830</v>
      </c>
      <c r="S4906" s="213" t="s">
        <v>40831</v>
      </c>
      <c r="T4906" s="213" t="s">
        <v>40832</v>
      </c>
      <c r="U4906" s="213" t="s">
        <v>60392</v>
      </c>
    </row>
    <row r="4907" spans="1:21" x14ac:dyDescent="0.25">
      <c r="A4907" s="213" t="s">
        <v>327</v>
      </c>
      <c r="D4907" s="213" t="s">
        <v>40833</v>
      </c>
      <c r="E4907" s="213" t="s">
        <v>40834</v>
      </c>
      <c r="K4907" s="213" t="s">
        <v>60264</v>
      </c>
      <c r="L4907" s="213" t="s">
        <v>60307</v>
      </c>
      <c r="M4907" s="213" t="s">
        <v>60350</v>
      </c>
      <c r="N4907" s="213" t="s">
        <v>40835</v>
      </c>
      <c r="O4907" s="213" t="s">
        <v>40836</v>
      </c>
      <c r="P4907" s="213" t="s">
        <v>40837</v>
      </c>
      <c r="Q4907" s="213" t="s">
        <v>40838</v>
      </c>
      <c r="R4907" s="213" t="s">
        <v>40839</v>
      </c>
      <c r="S4907" s="213" t="s">
        <v>40840</v>
      </c>
      <c r="T4907" s="213" t="s">
        <v>40841</v>
      </c>
      <c r="U4907" s="213" t="s">
        <v>60393</v>
      </c>
    </row>
    <row r="4908" spans="1:21" x14ac:dyDescent="0.25">
      <c r="A4908" s="213" t="s">
        <v>327</v>
      </c>
      <c r="D4908" s="213" t="s">
        <v>40842</v>
      </c>
      <c r="E4908" s="213" t="s">
        <v>40843</v>
      </c>
      <c r="K4908" s="213" t="s">
        <v>60265</v>
      </c>
      <c r="L4908" s="213" t="s">
        <v>60308</v>
      </c>
      <c r="M4908" s="213" t="s">
        <v>60351</v>
      </c>
      <c r="N4908" s="213" t="s">
        <v>40844</v>
      </c>
      <c r="O4908" s="213" t="s">
        <v>40845</v>
      </c>
      <c r="P4908" s="213" t="s">
        <v>40846</v>
      </c>
      <c r="Q4908" s="213" t="s">
        <v>40847</v>
      </c>
      <c r="R4908" s="213" t="s">
        <v>40848</v>
      </c>
      <c r="S4908" s="213" t="s">
        <v>40849</v>
      </c>
      <c r="T4908" s="213" t="s">
        <v>40850</v>
      </c>
      <c r="U4908" s="213" t="s">
        <v>60394</v>
      </c>
    </row>
    <row r="4909" spans="1:21" x14ac:dyDescent="0.25">
      <c r="A4909" s="213" t="s">
        <v>327</v>
      </c>
      <c r="D4909" s="213" t="s">
        <v>40851</v>
      </c>
      <c r="E4909" s="213" t="s">
        <v>40852</v>
      </c>
      <c r="K4909" s="213" t="s">
        <v>60266</v>
      </c>
      <c r="L4909" s="213" t="s">
        <v>60309</v>
      </c>
      <c r="M4909" s="213" t="s">
        <v>60352</v>
      </c>
      <c r="N4909" s="213" t="s">
        <v>40853</v>
      </c>
      <c r="O4909" s="213" t="s">
        <v>40854</v>
      </c>
      <c r="P4909" s="213" t="s">
        <v>40855</v>
      </c>
      <c r="Q4909" s="213" t="s">
        <v>40856</v>
      </c>
      <c r="R4909" s="213" t="s">
        <v>40857</v>
      </c>
      <c r="S4909" s="213" t="s">
        <v>40858</v>
      </c>
      <c r="T4909" s="213" t="s">
        <v>40859</v>
      </c>
      <c r="U4909" s="213" t="s">
        <v>60395</v>
      </c>
    </row>
    <row r="4910" spans="1:21" x14ac:dyDescent="0.25">
      <c r="A4910" s="213" t="s">
        <v>327</v>
      </c>
      <c r="D4910" s="213" t="s">
        <v>40860</v>
      </c>
      <c r="E4910" s="213" t="s">
        <v>40861</v>
      </c>
      <c r="K4910" s="213" t="s">
        <v>60267</v>
      </c>
      <c r="L4910" s="213" t="s">
        <v>60310</v>
      </c>
      <c r="M4910" s="213" t="s">
        <v>60353</v>
      </c>
      <c r="N4910" s="213" t="s">
        <v>40862</v>
      </c>
      <c r="O4910" s="213" t="s">
        <v>40863</v>
      </c>
      <c r="P4910" s="213" t="s">
        <v>40864</v>
      </c>
      <c r="Q4910" s="213" t="s">
        <v>40865</v>
      </c>
      <c r="R4910" s="213" t="s">
        <v>40866</v>
      </c>
      <c r="S4910" s="213" t="s">
        <v>40867</v>
      </c>
      <c r="T4910" s="213" t="s">
        <v>40868</v>
      </c>
      <c r="U4910" s="213" t="s">
        <v>60396</v>
      </c>
    </row>
    <row r="4911" spans="1:21" x14ac:dyDescent="0.25">
      <c r="A4911" s="213" t="s">
        <v>327</v>
      </c>
      <c r="D4911" s="213" t="s">
        <v>40869</v>
      </c>
      <c r="E4911" s="213" t="s">
        <v>40870</v>
      </c>
      <c r="K4911" s="213" t="s">
        <v>60268</v>
      </c>
      <c r="L4911" s="213" t="s">
        <v>60311</v>
      </c>
      <c r="M4911" s="213" t="s">
        <v>60354</v>
      </c>
      <c r="N4911" s="213" t="s">
        <v>40871</v>
      </c>
      <c r="O4911" s="213" t="s">
        <v>40872</v>
      </c>
      <c r="P4911" s="213" t="s">
        <v>40873</v>
      </c>
      <c r="Q4911" s="213" t="s">
        <v>40874</v>
      </c>
      <c r="R4911" s="213" t="s">
        <v>40875</v>
      </c>
      <c r="S4911" s="213" t="s">
        <v>40876</v>
      </c>
      <c r="T4911" s="213" t="s">
        <v>40877</v>
      </c>
      <c r="U4911" s="213" t="s">
        <v>60397</v>
      </c>
    </row>
    <row r="4912" spans="1:21" x14ac:dyDescent="0.25">
      <c r="A4912" s="213" t="s">
        <v>327</v>
      </c>
      <c r="D4912" s="213" t="s">
        <v>40878</v>
      </c>
      <c r="E4912" s="213" t="s">
        <v>40879</v>
      </c>
      <c r="K4912" s="213" t="s">
        <v>60269</v>
      </c>
      <c r="L4912" s="213" t="s">
        <v>60312</v>
      </c>
      <c r="M4912" s="213" t="s">
        <v>60355</v>
      </c>
      <c r="N4912" s="213" t="s">
        <v>40880</v>
      </c>
      <c r="O4912" s="213" t="s">
        <v>40881</v>
      </c>
      <c r="P4912" s="213" t="s">
        <v>40882</v>
      </c>
      <c r="Q4912" s="213" t="s">
        <v>40883</v>
      </c>
      <c r="R4912" s="213" t="s">
        <v>40884</v>
      </c>
      <c r="S4912" s="213" t="s">
        <v>40885</v>
      </c>
      <c r="T4912" s="213" t="s">
        <v>40886</v>
      </c>
      <c r="U4912" s="213" t="s">
        <v>60398</v>
      </c>
    </row>
    <row r="4913" spans="1:21" x14ac:dyDescent="0.25">
      <c r="A4913" s="213" t="s">
        <v>327</v>
      </c>
      <c r="D4913" s="213" t="s">
        <v>40887</v>
      </c>
      <c r="E4913" s="213" t="s">
        <v>40888</v>
      </c>
      <c r="K4913" s="213" t="s">
        <v>60270</v>
      </c>
      <c r="L4913" s="213" t="s">
        <v>60313</v>
      </c>
      <c r="M4913" s="213" t="s">
        <v>60356</v>
      </c>
      <c r="N4913" s="213" t="s">
        <v>40889</v>
      </c>
      <c r="O4913" s="213" t="s">
        <v>40890</v>
      </c>
      <c r="P4913" s="213" t="s">
        <v>40891</v>
      </c>
      <c r="Q4913" s="213" t="s">
        <v>40892</v>
      </c>
      <c r="R4913" s="213" t="s">
        <v>40893</v>
      </c>
      <c r="S4913" s="213" t="s">
        <v>40894</v>
      </c>
      <c r="T4913" s="213" t="s">
        <v>40895</v>
      </c>
      <c r="U4913" s="213" t="s">
        <v>60399</v>
      </c>
    </row>
    <row r="4914" spans="1:21" x14ac:dyDescent="0.25">
      <c r="A4914" s="213" t="s">
        <v>327</v>
      </c>
      <c r="D4914" s="213" t="s">
        <v>40896</v>
      </c>
      <c r="E4914" s="213" t="s">
        <v>40897</v>
      </c>
      <c r="K4914" s="213" t="s">
        <v>60271</v>
      </c>
      <c r="L4914" s="213" t="s">
        <v>60314</v>
      </c>
      <c r="M4914" s="213" t="s">
        <v>60357</v>
      </c>
      <c r="N4914" s="213" t="s">
        <v>40898</v>
      </c>
      <c r="O4914" s="213" t="s">
        <v>40899</v>
      </c>
      <c r="P4914" s="213" t="s">
        <v>40900</v>
      </c>
      <c r="Q4914" s="213" t="s">
        <v>40901</v>
      </c>
      <c r="R4914" s="213" t="s">
        <v>40902</v>
      </c>
      <c r="S4914" s="213" t="s">
        <v>40903</v>
      </c>
      <c r="T4914" s="213" t="s">
        <v>40904</v>
      </c>
      <c r="U4914" s="213" t="s">
        <v>60400</v>
      </c>
    </row>
    <row r="4915" spans="1:21" x14ac:dyDescent="0.25">
      <c r="A4915" s="213" t="s">
        <v>327</v>
      </c>
      <c r="D4915" s="213" t="s">
        <v>40905</v>
      </c>
      <c r="E4915" s="213" t="s">
        <v>40906</v>
      </c>
      <c r="K4915" s="213" t="s">
        <v>60272</v>
      </c>
      <c r="L4915" s="213" t="s">
        <v>60315</v>
      </c>
      <c r="M4915" s="213" t="s">
        <v>60358</v>
      </c>
      <c r="N4915" s="213" t="s">
        <v>40907</v>
      </c>
      <c r="O4915" s="213" t="s">
        <v>40908</v>
      </c>
      <c r="P4915" s="213" t="s">
        <v>40909</v>
      </c>
      <c r="Q4915" s="213" t="s">
        <v>40910</v>
      </c>
      <c r="R4915" s="213" t="s">
        <v>40911</v>
      </c>
      <c r="S4915" s="213" t="s">
        <v>40912</v>
      </c>
      <c r="T4915" s="213" t="s">
        <v>40913</v>
      </c>
      <c r="U4915" s="213" t="s">
        <v>60401</v>
      </c>
    </row>
    <row r="4916" spans="1:21" x14ac:dyDescent="0.25">
      <c r="A4916" s="213" t="s">
        <v>327</v>
      </c>
      <c r="D4916" s="213" t="s">
        <v>40914</v>
      </c>
      <c r="E4916" s="213" t="s">
        <v>40915</v>
      </c>
      <c r="K4916" s="213" t="s">
        <v>60273</v>
      </c>
      <c r="L4916" s="213" t="s">
        <v>60316</v>
      </c>
      <c r="M4916" s="213" t="s">
        <v>60359</v>
      </c>
      <c r="N4916" s="213" t="s">
        <v>40916</v>
      </c>
      <c r="O4916" s="213" t="s">
        <v>40917</v>
      </c>
      <c r="P4916" s="213" t="s">
        <v>40918</v>
      </c>
      <c r="Q4916" s="213" t="s">
        <v>40919</v>
      </c>
      <c r="R4916" s="213" t="s">
        <v>40920</v>
      </c>
      <c r="S4916" s="213" t="s">
        <v>40921</v>
      </c>
      <c r="T4916" s="213" t="s">
        <v>40922</v>
      </c>
      <c r="U4916" s="213" t="s">
        <v>60402</v>
      </c>
    </row>
    <row r="4917" spans="1:21" x14ac:dyDescent="0.25">
      <c r="A4917" s="213" t="s">
        <v>327</v>
      </c>
      <c r="D4917" s="213" t="s">
        <v>40923</v>
      </c>
      <c r="E4917" s="213" t="s">
        <v>40924</v>
      </c>
      <c r="K4917" s="213" t="s">
        <v>60274</v>
      </c>
      <c r="L4917" s="213" t="s">
        <v>60317</v>
      </c>
      <c r="M4917" s="213" t="s">
        <v>60360</v>
      </c>
      <c r="N4917" s="213" t="s">
        <v>40925</v>
      </c>
      <c r="O4917" s="213" t="s">
        <v>40926</v>
      </c>
      <c r="P4917" s="213" t="s">
        <v>40927</v>
      </c>
      <c r="Q4917" s="213" t="s">
        <v>40928</v>
      </c>
      <c r="R4917" s="213" t="s">
        <v>40929</v>
      </c>
      <c r="S4917" s="213" t="s">
        <v>40930</v>
      </c>
      <c r="T4917" s="213" t="s">
        <v>40931</v>
      </c>
      <c r="U4917" s="213" t="s">
        <v>60403</v>
      </c>
    </row>
    <row r="4918" spans="1:21" x14ac:dyDescent="0.25">
      <c r="A4918" s="213" t="s">
        <v>327</v>
      </c>
      <c r="D4918" s="213" t="s">
        <v>40932</v>
      </c>
      <c r="E4918" s="213" t="s">
        <v>40933</v>
      </c>
      <c r="K4918" s="213" t="s">
        <v>60275</v>
      </c>
      <c r="L4918" s="213" t="s">
        <v>60318</v>
      </c>
      <c r="M4918" s="213" t="s">
        <v>60361</v>
      </c>
      <c r="N4918" s="213" t="s">
        <v>40934</v>
      </c>
      <c r="O4918" s="213" t="s">
        <v>40935</v>
      </c>
      <c r="P4918" s="213" t="s">
        <v>40936</v>
      </c>
      <c r="Q4918" s="213" t="s">
        <v>40937</v>
      </c>
      <c r="R4918" s="213" t="s">
        <v>40938</v>
      </c>
      <c r="S4918" s="213" t="s">
        <v>40939</v>
      </c>
      <c r="T4918" s="213" t="s">
        <v>40940</v>
      </c>
      <c r="U4918" s="213" t="s">
        <v>60404</v>
      </c>
    </row>
    <row r="4919" spans="1:21" x14ac:dyDescent="0.25">
      <c r="A4919" s="213" t="s">
        <v>327</v>
      </c>
      <c r="D4919" s="213" t="s">
        <v>40941</v>
      </c>
      <c r="E4919" s="213" t="s">
        <v>40942</v>
      </c>
      <c r="K4919" s="213" t="s">
        <v>60276</v>
      </c>
      <c r="L4919" s="213" t="s">
        <v>60319</v>
      </c>
      <c r="M4919" s="213" t="s">
        <v>60362</v>
      </c>
      <c r="N4919" s="213" t="s">
        <v>40943</v>
      </c>
      <c r="O4919" s="213" t="s">
        <v>40944</v>
      </c>
      <c r="P4919" s="213" t="s">
        <v>40945</v>
      </c>
      <c r="Q4919" s="213" t="s">
        <v>40946</v>
      </c>
      <c r="R4919" s="213" t="s">
        <v>40947</v>
      </c>
      <c r="S4919" s="213" t="s">
        <v>40948</v>
      </c>
      <c r="T4919" s="213" t="s">
        <v>40949</v>
      </c>
      <c r="U4919" s="213" t="s">
        <v>60405</v>
      </c>
    </row>
    <row r="4920" spans="1:21" x14ac:dyDescent="0.25">
      <c r="A4920" s="213" t="s">
        <v>327</v>
      </c>
      <c r="D4920" s="213" t="s">
        <v>40950</v>
      </c>
      <c r="E4920" s="213" t="s">
        <v>40951</v>
      </c>
      <c r="K4920" s="213" t="s">
        <v>60277</v>
      </c>
      <c r="L4920" s="213" t="s">
        <v>60320</v>
      </c>
      <c r="M4920" s="213" t="s">
        <v>60363</v>
      </c>
      <c r="N4920" s="213" t="s">
        <v>40952</v>
      </c>
      <c r="O4920" s="213" t="s">
        <v>40953</v>
      </c>
      <c r="P4920" s="213" t="s">
        <v>40954</v>
      </c>
      <c r="Q4920" s="213" t="s">
        <v>40955</v>
      </c>
      <c r="R4920" s="213" t="s">
        <v>40956</v>
      </c>
      <c r="S4920" s="213" t="s">
        <v>40957</v>
      </c>
      <c r="T4920" s="213" t="s">
        <v>40958</v>
      </c>
      <c r="U4920" s="213" t="s">
        <v>60406</v>
      </c>
    </row>
    <row r="4921" spans="1:21" x14ac:dyDescent="0.25">
      <c r="A4921" s="213" t="s">
        <v>327</v>
      </c>
      <c r="D4921" s="213" t="s">
        <v>40959</v>
      </c>
      <c r="E4921" s="213" t="s">
        <v>40960</v>
      </c>
      <c r="K4921" s="213" t="s">
        <v>60278</v>
      </c>
      <c r="L4921" s="213" t="s">
        <v>60321</v>
      </c>
      <c r="M4921" s="213" t="s">
        <v>60364</v>
      </c>
      <c r="N4921" s="213" t="s">
        <v>40961</v>
      </c>
      <c r="O4921" s="213" t="s">
        <v>40962</v>
      </c>
      <c r="P4921" s="213" t="s">
        <v>40963</v>
      </c>
      <c r="Q4921" s="213" t="s">
        <v>40964</v>
      </c>
      <c r="R4921" s="213" t="s">
        <v>40965</v>
      </c>
      <c r="S4921" s="213" t="s">
        <v>40966</v>
      </c>
      <c r="T4921" s="213" t="s">
        <v>40967</v>
      </c>
      <c r="U4921" s="213" t="s">
        <v>60407</v>
      </c>
    </row>
    <row r="4922" spans="1:21" x14ac:dyDescent="0.25">
      <c r="A4922" s="213" t="s">
        <v>327</v>
      </c>
      <c r="D4922" s="213" t="s">
        <v>40968</v>
      </c>
      <c r="E4922" s="213" t="s">
        <v>40969</v>
      </c>
      <c r="K4922" s="213" t="s">
        <v>60279</v>
      </c>
      <c r="L4922" s="213" t="s">
        <v>60322</v>
      </c>
      <c r="M4922" s="213" t="s">
        <v>60365</v>
      </c>
      <c r="N4922" s="213" t="s">
        <v>40970</v>
      </c>
      <c r="O4922" s="213" t="s">
        <v>40971</v>
      </c>
      <c r="P4922" s="213" t="s">
        <v>40972</v>
      </c>
      <c r="Q4922" s="213" t="s">
        <v>40973</v>
      </c>
      <c r="R4922" s="213" t="s">
        <v>40974</v>
      </c>
      <c r="S4922" s="213" t="s">
        <v>40975</v>
      </c>
      <c r="T4922" s="213" t="s">
        <v>40976</v>
      </c>
      <c r="U4922" s="213" t="s">
        <v>60408</v>
      </c>
    </row>
    <row r="4923" spans="1:21" x14ac:dyDescent="0.25">
      <c r="A4923" s="213" t="s">
        <v>327</v>
      </c>
      <c r="D4923" s="213" t="s">
        <v>40977</v>
      </c>
      <c r="E4923" s="213" t="s">
        <v>40978</v>
      </c>
      <c r="K4923" s="213" t="s">
        <v>60280</v>
      </c>
      <c r="L4923" s="213" t="s">
        <v>60323</v>
      </c>
      <c r="M4923" s="213" t="s">
        <v>60366</v>
      </c>
      <c r="N4923" s="213" t="s">
        <v>40979</v>
      </c>
      <c r="O4923" s="213" t="s">
        <v>40980</v>
      </c>
      <c r="P4923" s="213" t="s">
        <v>40981</v>
      </c>
      <c r="Q4923" s="213" t="s">
        <v>40982</v>
      </c>
      <c r="R4923" s="213" t="s">
        <v>40983</v>
      </c>
      <c r="S4923" s="213" t="s">
        <v>40984</v>
      </c>
      <c r="T4923" s="213" t="s">
        <v>40985</v>
      </c>
      <c r="U4923" s="213" t="s">
        <v>60409</v>
      </c>
    </row>
    <row r="4924" spans="1:21" x14ac:dyDescent="0.25">
      <c r="A4924" s="213" t="s">
        <v>327</v>
      </c>
      <c r="D4924" s="213" t="s">
        <v>40986</v>
      </c>
      <c r="E4924" s="213" t="s">
        <v>40987</v>
      </c>
      <c r="K4924" s="213" t="s">
        <v>60281</v>
      </c>
      <c r="L4924" s="213" t="s">
        <v>60324</v>
      </c>
      <c r="M4924" s="213" t="s">
        <v>60367</v>
      </c>
      <c r="N4924" s="213" t="s">
        <v>40988</v>
      </c>
      <c r="O4924" s="213" t="s">
        <v>40989</v>
      </c>
      <c r="P4924" s="213" t="s">
        <v>40990</v>
      </c>
      <c r="Q4924" s="213" t="s">
        <v>40991</v>
      </c>
      <c r="R4924" s="213" t="s">
        <v>40992</v>
      </c>
      <c r="S4924" s="213" t="s">
        <v>40993</v>
      </c>
      <c r="T4924" s="213" t="s">
        <v>40994</v>
      </c>
      <c r="U4924" s="213" t="s">
        <v>60410</v>
      </c>
    </row>
    <row r="4925" spans="1:21" x14ac:dyDescent="0.25">
      <c r="A4925" s="213" t="s">
        <v>327</v>
      </c>
      <c r="D4925" s="213" t="s">
        <v>40995</v>
      </c>
      <c r="E4925" s="213" t="s">
        <v>40996</v>
      </c>
      <c r="K4925" s="213" t="s">
        <v>60282</v>
      </c>
      <c r="L4925" s="213" t="s">
        <v>60325</v>
      </c>
      <c r="M4925" s="213" t="s">
        <v>60368</v>
      </c>
      <c r="N4925" s="213" t="s">
        <v>40997</v>
      </c>
      <c r="O4925" s="213" t="s">
        <v>40998</v>
      </c>
      <c r="P4925" s="213" t="s">
        <v>40999</v>
      </c>
      <c r="Q4925" s="213" t="s">
        <v>41000</v>
      </c>
      <c r="R4925" s="213" t="s">
        <v>41001</v>
      </c>
      <c r="S4925" s="213" t="s">
        <v>41002</v>
      </c>
      <c r="T4925" s="213" t="s">
        <v>41003</v>
      </c>
      <c r="U4925" s="213" t="s">
        <v>60411</v>
      </c>
    </row>
    <row r="4926" spans="1:21" x14ac:dyDescent="0.25">
      <c r="A4926" s="213" t="s">
        <v>327</v>
      </c>
      <c r="D4926" s="213" t="s">
        <v>41004</v>
      </c>
      <c r="E4926" s="213" t="s">
        <v>41005</v>
      </c>
      <c r="K4926" s="213" t="s">
        <v>60283</v>
      </c>
      <c r="L4926" s="213" t="s">
        <v>60326</v>
      </c>
      <c r="M4926" s="213" t="s">
        <v>60369</v>
      </c>
      <c r="N4926" s="213" t="s">
        <v>41006</v>
      </c>
      <c r="O4926" s="213" t="s">
        <v>41007</v>
      </c>
      <c r="P4926" s="213" t="s">
        <v>41008</v>
      </c>
      <c r="Q4926" s="213" t="s">
        <v>41009</v>
      </c>
      <c r="R4926" s="213" t="s">
        <v>41010</v>
      </c>
      <c r="S4926" s="213" t="s">
        <v>41011</v>
      </c>
      <c r="T4926" s="213" t="s">
        <v>41012</v>
      </c>
      <c r="U4926" s="213" t="s">
        <v>60412</v>
      </c>
    </row>
    <row r="4927" spans="1:21" x14ac:dyDescent="0.25">
      <c r="A4927" s="213" t="s">
        <v>327</v>
      </c>
      <c r="D4927" s="213" t="s">
        <v>41013</v>
      </c>
      <c r="E4927" s="213" t="s">
        <v>41014</v>
      </c>
      <c r="K4927" s="213" t="s">
        <v>60284</v>
      </c>
      <c r="L4927" s="213" t="s">
        <v>60327</v>
      </c>
      <c r="M4927" s="213" t="s">
        <v>60370</v>
      </c>
      <c r="N4927" s="213" t="s">
        <v>41015</v>
      </c>
      <c r="O4927" s="213" t="s">
        <v>41016</v>
      </c>
      <c r="P4927" s="213" t="s">
        <v>41017</v>
      </c>
      <c r="Q4927" s="213" t="s">
        <v>41018</v>
      </c>
      <c r="R4927" s="213" t="s">
        <v>41019</v>
      </c>
      <c r="S4927" s="213" t="s">
        <v>41020</v>
      </c>
      <c r="T4927" s="213" t="s">
        <v>41021</v>
      </c>
      <c r="U4927" s="213" t="s">
        <v>60413</v>
      </c>
    </row>
    <row r="4928" spans="1:21" x14ac:dyDescent="0.25">
      <c r="A4928" s="213" t="s">
        <v>327</v>
      </c>
      <c r="D4928" s="213" t="s">
        <v>41022</v>
      </c>
      <c r="E4928" s="213" t="s">
        <v>41023</v>
      </c>
      <c r="K4928" s="213" t="s">
        <v>60285</v>
      </c>
      <c r="L4928" s="213" t="s">
        <v>60328</v>
      </c>
      <c r="M4928" s="213" t="s">
        <v>60371</v>
      </c>
      <c r="N4928" s="213" t="s">
        <v>41024</v>
      </c>
      <c r="O4928" s="213" t="s">
        <v>41025</v>
      </c>
      <c r="P4928" s="213" t="s">
        <v>41026</v>
      </c>
      <c r="Q4928" s="213" t="s">
        <v>41027</v>
      </c>
      <c r="R4928" s="213" t="s">
        <v>41028</v>
      </c>
      <c r="S4928" s="213" t="s">
        <v>41029</v>
      </c>
      <c r="T4928" s="213" t="s">
        <v>41030</v>
      </c>
      <c r="U4928" s="213" t="s">
        <v>60414</v>
      </c>
    </row>
    <row r="4929" spans="1:21" x14ac:dyDescent="0.25">
      <c r="A4929" s="213" t="s">
        <v>327</v>
      </c>
      <c r="D4929" s="213" t="s">
        <v>41031</v>
      </c>
      <c r="E4929" s="213" t="s">
        <v>41032</v>
      </c>
      <c r="K4929" s="213" t="s">
        <v>60286</v>
      </c>
      <c r="L4929" s="213" t="s">
        <v>60329</v>
      </c>
      <c r="M4929" s="213" t="s">
        <v>60372</v>
      </c>
      <c r="N4929" s="213" t="s">
        <v>41033</v>
      </c>
      <c r="O4929" s="213" t="s">
        <v>41034</v>
      </c>
      <c r="P4929" s="213" t="s">
        <v>41035</v>
      </c>
      <c r="Q4929" s="213" t="s">
        <v>41036</v>
      </c>
      <c r="R4929" s="213" t="s">
        <v>41037</v>
      </c>
      <c r="S4929" s="213" t="s">
        <v>41038</v>
      </c>
      <c r="T4929" s="213" t="s">
        <v>41039</v>
      </c>
      <c r="U4929" s="213" t="s">
        <v>60415</v>
      </c>
    </row>
    <row r="4930" spans="1:21" x14ac:dyDescent="0.25">
      <c r="A4930" s="213" t="s">
        <v>327</v>
      </c>
      <c r="D4930" s="213" t="s">
        <v>41040</v>
      </c>
      <c r="E4930" s="213" t="s">
        <v>41041</v>
      </c>
      <c r="K4930" s="213" t="s">
        <v>60287</v>
      </c>
      <c r="L4930" s="213" t="s">
        <v>60330</v>
      </c>
      <c r="M4930" s="213" t="s">
        <v>60373</v>
      </c>
      <c r="N4930" s="213" t="s">
        <v>41042</v>
      </c>
      <c r="O4930" s="213" t="s">
        <v>41043</v>
      </c>
      <c r="P4930" s="213" t="s">
        <v>41044</v>
      </c>
      <c r="Q4930" s="213" t="s">
        <v>41045</v>
      </c>
      <c r="R4930" s="213" t="s">
        <v>41046</v>
      </c>
      <c r="S4930" s="213" t="s">
        <v>41047</v>
      </c>
      <c r="T4930" s="213" t="s">
        <v>41048</v>
      </c>
      <c r="U4930" s="213" t="s">
        <v>60416</v>
      </c>
    </row>
    <row r="4931" spans="1:21" x14ac:dyDescent="0.25">
      <c r="A4931" s="213" t="s">
        <v>327</v>
      </c>
      <c r="D4931" s="213" t="s">
        <v>41049</v>
      </c>
      <c r="E4931" s="213" t="s">
        <v>41050</v>
      </c>
      <c r="K4931" s="213" t="s">
        <v>60288</v>
      </c>
      <c r="L4931" s="213" t="s">
        <v>60331</v>
      </c>
      <c r="M4931" s="213" t="s">
        <v>60374</v>
      </c>
      <c r="N4931" s="213" t="s">
        <v>41051</v>
      </c>
      <c r="O4931" s="213" t="s">
        <v>41052</v>
      </c>
      <c r="P4931" s="213" t="s">
        <v>41053</v>
      </c>
      <c r="Q4931" s="213" t="s">
        <v>41054</v>
      </c>
      <c r="R4931" s="213" t="s">
        <v>41055</v>
      </c>
      <c r="S4931" s="213" t="s">
        <v>41056</v>
      </c>
      <c r="T4931" s="213" t="s">
        <v>41057</v>
      </c>
      <c r="U4931" s="213" t="s">
        <v>60417</v>
      </c>
    </row>
    <row r="4932" spans="1:21" x14ac:dyDescent="0.25">
      <c r="A4932" s="213" t="s">
        <v>327</v>
      </c>
      <c r="D4932" s="213" t="s">
        <v>41058</v>
      </c>
      <c r="E4932" s="213" t="s">
        <v>41059</v>
      </c>
      <c r="K4932" s="213" t="s">
        <v>60289</v>
      </c>
      <c r="L4932" s="213" t="s">
        <v>60332</v>
      </c>
      <c r="M4932" s="213" t="s">
        <v>60375</v>
      </c>
      <c r="N4932" s="213" t="s">
        <v>41060</v>
      </c>
      <c r="O4932" s="213" t="s">
        <v>41061</v>
      </c>
      <c r="P4932" s="213" t="s">
        <v>41062</v>
      </c>
      <c r="Q4932" s="213" t="s">
        <v>41063</v>
      </c>
      <c r="R4932" s="213" t="s">
        <v>41064</v>
      </c>
      <c r="S4932" s="213" t="s">
        <v>41065</v>
      </c>
      <c r="T4932" s="213" t="s">
        <v>41066</v>
      </c>
      <c r="U4932" s="213" t="s">
        <v>60418</v>
      </c>
    </row>
    <row r="4933" spans="1:21" x14ac:dyDescent="0.25">
      <c r="A4933" s="213" t="s">
        <v>327</v>
      </c>
      <c r="D4933" s="213" t="s">
        <v>41067</v>
      </c>
      <c r="E4933" s="213" t="s">
        <v>41068</v>
      </c>
      <c r="K4933" s="213" t="s">
        <v>60290</v>
      </c>
      <c r="L4933" s="213" t="s">
        <v>60333</v>
      </c>
      <c r="M4933" s="213" t="s">
        <v>60376</v>
      </c>
      <c r="N4933" s="213" t="s">
        <v>41069</v>
      </c>
      <c r="O4933" s="213" t="s">
        <v>41070</v>
      </c>
      <c r="P4933" s="213" t="s">
        <v>41071</v>
      </c>
      <c r="Q4933" s="213" t="s">
        <v>41072</v>
      </c>
      <c r="R4933" s="213" t="s">
        <v>41073</v>
      </c>
      <c r="S4933" s="213" t="s">
        <v>41074</v>
      </c>
      <c r="T4933" s="213" t="s">
        <v>41075</v>
      </c>
      <c r="U4933" s="213" t="s">
        <v>60419</v>
      </c>
    </row>
    <row r="4934" spans="1:21" x14ac:dyDescent="0.25">
      <c r="A4934" s="213" t="s">
        <v>327</v>
      </c>
      <c r="D4934" s="213" t="s">
        <v>41076</v>
      </c>
      <c r="E4934" s="213" t="s">
        <v>41077</v>
      </c>
      <c r="K4934" s="213" t="s">
        <v>60291</v>
      </c>
      <c r="L4934" s="213" t="s">
        <v>60334</v>
      </c>
      <c r="M4934" s="213" t="s">
        <v>60377</v>
      </c>
      <c r="N4934" s="213" t="s">
        <v>41078</v>
      </c>
      <c r="O4934" s="213" t="s">
        <v>41079</v>
      </c>
      <c r="P4934" s="213" t="s">
        <v>41080</v>
      </c>
      <c r="Q4934" s="213" t="s">
        <v>41081</v>
      </c>
      <c r="R4934" s="213" t="s">
        <v>41082</v>
      </c>
      <c r="S4934" s="213" t="s">
        <v>41083</v>
      </c>
      <c r="T4934" s="213" t="s">
        <v>41084</v>
      </c>
      <c r="U4934" s="213" t="s">
        <v>60420</v>
      </c>
    </row>
    <row r="4935" spans="1:21" x14ac:dyDescent="0.25">
      <c r="A4935" s="213" t="s">
        <v>327</v>
      </c>
      <c r="D4935" s="213" t="s">
        <v>41085</v>
      </c>
      <c r="E4935" s="213" t="s">
        <v>41086</v>
      </c>
      <c r="K4935" s="213" t="s">
        <v>60292</v>
      </c>
      <c r="L4935" s="213" t="s">
        <v>60335</v>
      </c>
      <c r="M4935" s="213" t="s">
        <v>60378</v>
      </c>
      <c r="N4935" s="213" t="s">
        <v>41087</v>
      </c>
      <c r="O4935" s="213" t="s">
        <v>41088</v>
      </c>
      <c r="P4935" s="213" t="s">
        <v>41089</v>
      </c>
      <c r="Q4935" s="213" t="s">
        <v>41090</v>
      </c>
      <c r="R4935" s="213" t="s">
        <v>41091</v>
      </c>
      <c r="S4935" s="213" t="s">
        <v>41092</v>
      </c>
      <c r="T4935" s="213" t="s">
        <v>41093</v>
      </c>
      <c r="U4935" s="213" t="s">
        <v>60421</v>
      </c>
    </row>
    <row r="4936" spans="1:21" x14ac:dyDescent="0.25">
      <c r="A4936" s="213" t="s">
        <v>327</v>
      </c>
    </row>
    <row r="4937" spans="1:21" x14ac:dyDescent="0.25">
      <c r="A4937" s="213" t="s">
        <v>327</v>
      </c>
    </row>
    <row r="4938" spans="1:21" x14ac:dyDescent="0.25">
      <c r="A4938" s="213" t="s">
        <v>327</v>
      </c>
      <c r="C4938" s="213" t="s">
        <v>41094</v>
      </c>
      <c r="E4938" s="213" t="s">
        <v>41095</v>
      </c>
      <c r="H4938" s="213" t="s">
        <v>41096</v>
      </c>
      <c r="I4938" s="213" t="s">
        <v>41097</v>
      </c>
      <c r="J4938" s="213" t="s">
        <v>41098</v>
      </c>
      <c r="L4938" s="213" t="s">
        <v>41099</v>
      </c>
      <c r="O4938" s="213" t="s">
        <v>41100</v>
      </c>
      <c r="P4938" s="213" t="s">
        <v>41101</v>
      </c>
      <c r="Q4938" s="213" t="s">
        <v>41102</v>
      </c>
      <c r="R4938" s="213" t="s">
        <v>41103</v>
      </c>
      <c r="S4938" s="213" t="s">
        <v>41104</v>
      </c>
      <c r="T4938" s="213" t="s">
        <v>41105</v>
      </c>
    </row>
    <row r="4939" spans="1:21" x14ac:dyDescent="0.25">
      <c r="A4939" s="213" t="s">
        <v>327</v>
      </c>
      <c r="C4939" s="213" t="s">
        <v>41106</v>
      </c>
      <c r="E4939" s="213" t="s">
        <v>41107</v>
      </c>
      <c r="I4939" s="213" t="s">
        <v>41108</v>
      </c>
    </row>
    <row r="4940" spans="1:21" x14ac:dyDescent="0.25">
      <c r="A4940" s="213" t="s">
        <v>327</v>
      </c>
      <c r="C4940" s="213" t="s">
        <v>41109</v>
      </c>
      <c r="E4940" s="213" t="s">
        <v>41110</v>
      </c>
      <c r="I4940" s="213" t="s">
        <v>41111</v>
      </c>
    </row>
    <row r="4941" spans="1:21" x14ac:dyDescent="0.25">
      <c r="A4941" s="213" t="s">
        <v>328</v>
      </c>
    </row>
    <row r="4942" spans="1:21" x14ac:dyDescent="0.25">
      <c r="A4942" s="213" t="s">
        <v>327</v>
      </c>
      <c r="D4942" s="213" t="s">
        <v>41112</v>
      </c>
      <c r="E4942" s="213" t="s">
        <v>41113</v>
      </c>
      <c r="K4942" s="213" t="s">
        <v>59906</v>
      </c>
      <c r="L4942" s="213" t="s">
        <v>59992</v>
      </c>
      <c r="M4942" s="213" t="s">
        <v>60078</v>
      </c>
      <c r="N4942" s="213" t="s">
        <v>41114</v>
      </c>
      <c r="O4942" s="213" t="s">
        <v>41115</v>
      </c>
      <c r="P4942" s="213" t="s">
        <v>41116</v>
      </c>
      <c r="Q4942" s="213" t="s">
        <v>41117</v>
      </c>
      <c r="R4942" s="213" t="s">
        <v>41118</v>
      </c>
      <c r="S4942" s="213" t="s">
        <v>41119</v>
      </c>
      <c r="T4942" s="213" t="s">
        <v>41120</v>
      </c>
      <c r="U4942" s="213" t="s">
        <v>60164</v>
      </c>
    </row>
    <row r="4943" spans="1:21" x14ac:dyDescent="0.25">
      <c r="A4943" s="213" t="s">
        <v>327</v>
      </c>
      <c r="D4943" s="213" t="s">
        <v>41121</v>
      </c>
      <c r="E4943" s="213" t="s">
        <v>41122</v>
      </c>
      <c r="K4943" s="213" t="s">
        <v>59907</v>
      </c>
      <c r="L4943" s="213" t="s">
        <v>59993</v>
      </c>
      <c r="M4943" s="213" t="s">
        <v>60079</v>
      </c>
      <c r="N4943" s="213" t="s">
        <v>41123</v>
      </c>
      <c r="O4943" s="213" t="s">
        <v>41124</v>
      </c>
      <c r="P4943" s="213" t="s">
        <v>41125</v>
      </c>
      <c r="Q4943" s="213" t="s">
        <v>41126</v>
      </c>
      <c r="R4943" s="213" t="s">
        <v>41127</v>
      </c>
      <c r="S4943" s="213" t="s">
        <v>41128</v>
      </c>
      <c r="T4943" s="213" t="s">
        <v>41129</v>
      </c>
      <c r="U4943" s="213" t="s">
        <v>60165</v>
      </c>
    </row>
    <row r="4944" spans="1:21" x14ac:dyDescent="0.25">
      <c r="A4944" s="213" t="s">
        <v>327</v>
      </c>
      <c r="D4944" s="213" t="s">
        <v>41130</v>
      </c>
      <c r="E4944" s="213" t="s">
        <v>41131</v>
      </c>
      <c r="K4944" s="213" t="s">
        <v>59908</v>
      </c>
      <c r="L4944" s="213" t="s">
        <v>59994</v>
      </c>
      <c r="M4944" s="213" t="s">
        <v>60080</v>
      </c>
      <c r="N4944" s="213" t="s">
        <v>41132</v>
      </c>
      <c r="O4944" s="213" t="s">
        <v>41133</v>
      </c>
      <c r="P4944" s="213" t="s">
        <v>41134</v>
      </c>
      <c r="Q4944" s="213" t="s">
        <v>41135</v>
      </c>
      <c r="R4944" s="213" t="s">
        <v>41136</v>
      </c>
      <c r="S4944" s="213" t="s">
        <v>41137</v>
      </c>
      <c r="T4944" s="213" t="s">
        <v>41138</v>
      </c>
      <c r="U4944" s="213" t="s">
        <v>60166</v>
      </c>
    </row>
    <row r="4945" spans="1:21" x14ac:dyDescent="0.25">
      <c r="A4945" s="213" t="s">
        <v>327</v>
      </c>
      <c r="D4945" s="213" t="s">
        <v>41139</v>
      </c>
      <c r="E4945" s="213" t="s">
        <v>41140</v>
      </c>
      <c r="K4945" s="213" t="s">
        <v>59909</v>
      </c>
      <c r="L4945" s="213" t="s">
        <v>59995</v>
      </c>
      <c r="M4945" s="213" t="s">
        <v>60081</v>
      </c>
      <c r="N4945" s="213" t="s">
        <v>41141</v>
      </c>
      <c r="O4945" s="213" t="s">
        <v>41142</v>
      </c>
      <c r="P4945" s="213" t="s">
        <v>41143</v>
      </c>
      <c r="Q4945" s="213" t="s">
        <v>41144</v>
      </c>
      <c r="R4945" s="213" t="s">
        <v>41145</v>
      </c>
      <c r="S4945" s="213" t="s">
        <v>41146</v>
      </c>
      <c r="T4945" s="213" t="s">
        <v>41147</v>
      </c>
      <c r="U4945" s="213" t="s">
        <v>60167</v>
      </c>
    </row>
    <row r="4946" spans="1:21" x14ac:dyDescent="0.25">
      <c r="A4946" s="213" t="s">
        <v>327</v>
      </c>
      <c r="D4946" s="213" t="s">
        <v>41148</v>
      </c>
      <c r="E4946" s="213" t="s">
        <v>41149</v>
      </c>
      <c r="K4946" s="213" t="s">
        <v>59910</v>
      </c>
      <c r="L4946" s="213" t="s">
        <v>59996</v>
      </c>
      <c r="M4946" s="213" t="s">
        <v>60082</v>
      </c>
      <c r="N4946" s="213" t="s">
        <v>41150</v>
      </c>
      <c r="O4946" s="213" t="s">
        <v>41151</v>
      </c>
      <c r="P4946" s="213" t="s">
        <v>41152</v>
      </c>
      <c r="Q4946" s="213" t="s">
        <v>41153</v>
      </c>
      <c r="R4946" s="213" t="s">
        <v>41154</v>
      </c>
      <c r="S4946" s="213" t="s">
        <v>41155</v>
      </c>
      <c r="T4946" s="213" t="s">
        <v>41156</v>
      </c>
      <c r="U4946" s="213" t="s">
        <v>60168</v>
      </c>
    </row>
    <row r="4947" spans="1:21" x14ac:dyDescent="0.25">
      <c r="A4947" s="213" t="s">
        <v>327</v>
      </c>
      <c r="D4947" s="213" t="s">
        <v>41157</v>
      </c>
      <c r="E4947" s="213" t="s">
        <v>41158</v>
      </c>
      <c r="K4947" s="213" t="s">
        <v>59911</v>
      </c>
      <c r="L4947" s="213" t="s">
        <v>59997</v>
      </c>
      <c r="M4947" s="213" t="s">
        <v>60083</v>
      </c>
      <c r="N4947" s="213" t="s">
        <v>41159</v>
      </c>
      <c r="O4947" s="213" t="s">
        <v>41160</v>
      </c>
      <c r="P4947" s="213" t="s">
        <v>41161</v>
      </c>
      <c r="Q4947" s="213" t="s">
        <v>41162</v>
      </c>
      <c r="R4947" s="213" t="s">
        <v>41163</v>
      </c>
      <c r="S4947" s="213" t="s">
        <v>41164</v>
      </c>
      <c r="T4947" s="213" t="s">
        <v>41165</v>
      </c>
      <c r="U4947" s="213" t="s">
        <v>60169</v>
      </c>
    </row>
    <row r="4948" spans="1:21" x14ac:dyDescent="0.25">
      <c r="A4948" s="213" t="s">
        <v>327</v>
      </c>
      <c r="D4948" s="213" t="s">
        <v>41166</v>
      </c>
      <c r="E4948" s="213" t="s">
        <v>41167</v>
      </c>
      <c r="K4948" s="213" t="s">
        <v>59912</v>
      </c>
      <c r="L4948" s="213" t="s">
        <v>59998</v>
      </c>
      <c r="M4948" s="213" t="s">
        <v>60084</v>
      </c>
      <c r="N4948" s="213" t="s">
        <v>41168</v>
      </c>
      <c r="O4948" s="213" t="s">
        <v>41169</v>
      </c>
      <c r="P4948" s="213" t="s">
        <v>41170</v>
      </c>
      <c r="Q4948" s="213" t="s">
        <v>41171</v>
      </c>
      <c r="R4948" s="213" t="s">
        <v>41172</v>
      </c>
      <c r="S4948" s="213" t="s">
        <v>41173</v>
      </c>
      <c r="T4948" s="213" t="s">
        <v>41174</v>
      </c>
      <c r="U4948" s="213" t="s">
        <v>60170</v>
      </c>
    </row>
    <row r="4949" spans="1:21" x14ac:dyDescent="0.25">
      <c r="A4949" s="213" t="s">
        <v>327</v>
      </c>
      <c r="D4949" s="213" t="s">
        <v>41175</v>
      </c>
      <c r="E4949" s="213" t="s">
        <v>41176</v>
      </c>
      <c r="K4949" s="213" t="s">
        <v>59913</v>
      </c>
      <c r="L4949" s="213" t="s">
        <v>59999</v>
      </c>
      <c r="M4949" s="213" t="s">
        <v>60085</v>
      </c>
      <c r="N4949" s="213" t="s">
        <v>41177</v>
      </c>
      <c r="O4949" s="213" t="s">
        <v>41178</v>
      </c>
      <c r="P4949" s="213" t="s">
        <v>41179</v>
      </c>
      <c r="Q4949" s="213" t="s">
        <v>41180</v>
      </c>
      <c r="R4949" s="213" t="s">
        <v>41181</v>
      </c>
      <c r="S4949" s="213" t="s">
        <v>41182</v>
      </c>
      <c r="T4949" s="213" t="s">
        <v>41183</v>
      </c>
      <c r="U4949" s="213" t="s">
        <v>60171</v>
      </c>
    </row>
    <row r="4950" spans="1:21" x14ac:dyDescent="0.25">
      <c r="A4950" s="213" t="s">
        <v>327</v>
      </c>
      <c r="D4950" s="213" t="s">
        <v>41184</v>
      </c>
      <c r="E4950" s="213" t="s">
        <v>41185</v>
      </c>
      <c r="K4950" s="213" t="s">
        <v>59914</v>
      </c>
      <c r="L4950" s="213" t="s">
        <v>60000</v>
      </c>
      <c r="M4950" s="213" t="s">
        <v>60086</v>
      </c>
      <c r="N4950" s="213" t="s">
        <v>41186</v>
      </c>
      <c r="O4950" s="213" t="s">
        <v>41187</v>
      </c>
      <c r="P4950" s="213" t="s">
        <v>41188</v>
      </c>
      <c r="Q4950" s="213" t="s">
        <v>41189</v>
      </c>
      <c r="R4950" s="213" t="s">
        <v>41190</v>
      </c>
      <c r="S4950" s="213" t="s">
        <v>41191</v>
      </c>
      <c r="T4950" s="213" t="s">
        <v>41192</v>
      </c>
      <c r="U4950" s="213" t="s">
        <v>60172</v>
      </c>
    </row>
    <row r="4951" spans="1:21" x14ac:dyDescent="0.25">
      <c r="A4951" s="213" t="s">
        <v>327</v>
      </c>
      <c r="D4951" s="213" t="s">
        <v>41193</v>
      </c>
      <c r="E4951" s="213" t="s">
        <v>41194</v>
      </c>
      <c r="K4951" s="213" t="s">
        <v>59915</v>
      </c>
      <c r="L4951" s="213" t="s">
        <v>60001</v>
      </c>
      <c r="M4951" s="213" t="s">
        <v>60087</v>
      </c>
      <c r="N4951" s="213" t="s">
        <v>41195</v>
      </c>
      <c r="O4951" s="213" t="s">
        <v>41196</v>
      </c>
      <c r="P4951" s="213" t="s">
        <v>41197</v>
      </c>
      <c r="Q4951" s="213" t="s">
        <v>41198</v>
      </c>
      <c r="R4951" s="213" t="s">
        <v>41199</v>
      </c>
      <c r="S4951" s="213" t="s">
        <v>41200</v>
      </c>
      <c r="T4951" s="213" t="s">
        <v>41201</v>
      </c>
      <c r="U4951" s="213" t="s">
        <v>60173</v>
      </c>
    </row>
    <row r="4952" spans="1:21" x14ac:dyDescent="0.25">
      <c r="A4952" s="213" t="s">
        <v>327</v>
      </c>
      <c r="D4952" s="213" t="s">
        <v>41202</v>
      </c>
      <c r="E4952" s="213" t="s">
        <v>41203</v>
      </c>
      <c r="K4952" s="213" t="s">
        <v>59916</v>
      </c>
      <c r="L4952" s="213" t="s">
        <v>60002</v>
      </c>
      <c r="M4952" s="213" t="s">
        <v>60088</v>
      </c>
      <c r="N4952" s="213" t="s">
        <v>41204</v>
      </c>
      <c r="O4952" s="213" t="s">
        <v>41205</v>
      </c>
      <c r="P4952" s="213" t="s">
        <v>41206</v>
      </c>
      <c r="Q4952" s="213" t="s">
        <v>41207</v>
      </c>
      <c r="R4952" s="213" t="s">
        <v>41208</v>
      </c>
      <c r="S4952" s="213" t="s">
        <v>41209</v>
      </c>
      <c r="T4952" s="213" t="s">
        <v>41210</v>
      </c>
      <c r="U4952" s="213" t="s">
        <v>60174</v>
      </c>
    </row>
    <row r="4953" spans="1:21" x14ac:dyDescent="0.25">
      <c r="A4953" s="213" t="s">
        <v>327</v>
      </c>
      <c r="D4953" s="213" t="s">
        <v>41211</v>
      </c>
      <c r="E4953" s="213" t="s">
        <v>41212</v>
      </c>
      <c r="K4953" s="213" t="s">
        <v>59917</v>
      </c>
      <c r="L4953" s="213" t="s">
        <v>60003</v>
      </c>
      <c r="M4953" s="213" t="s">
        <v>60089</v>
      </c>
      <c r="N4953" s="213" t="s">
        <v>41213</v>
      </c>
      <c r="O4953" s="213" t="s">
        <v>41214</v>
      </c>
      <c r="P4953" s="213" t="s">
        <v>41215</v>
      </c>
      <c r="Q4953" s="213" t="s">
        <v>41216</v>
      </c>
      <c r="R4953" s="213" t="s">
        <v>41217</v>
      </c>
      <c r="S4953" s="213" t="s">
        <v>41218</v>
      </c>
      <c r="T4953" s="213" t="s">
        <v>41219</v>
      </c>
      <c r="U4953" s="213" t="s">
        <v>60175</v>
      </c>
    </row>
    <row r="4954" spans="1:21" x14ac:dyDescent="0.25">
      <c r="A4954" s="213" t="s">
        <v>327</v>
      </c>
      <c r="D4954" s="213" t="s">
        <v>41220</v>
      </c>
      <c r="E4954" s="213" t="s">
        <v>41221</v>
      </c>
      <c r="K4954" s="213" t="s">
        <v>59918</v>
      </c>
      <c r="L4954" s="213" t="s">
        <v>60004</v>
      </c>
      <c r="M4954" s="213" t="s">
        <v>60090</v>
      </c>
      <c r="N4954" s="213" t="s">
        <v>41222</v>
      </c>
      <c r="O4954" s="213" t="s">
        <v>41223</v>
      </c>
      <c r="P4954" s="213" t="s">
        <v>41224</v>
      </c>
      <c r="Q4954" s="213" t="s">
        <v>41225</v>
      </c>
      <c r="R4954" s="213" t="s">
        <v>41226</v>
      </c>
      <c r="S4954" s="213" t="s">
        <v>41227</v>
      </c>
      <c r="T4954" s="213" t="s">
        <v>41228</v>
      </c>
      <c r="U4954" s="213" t="s">
        <v>60176</v>
      </c>
    </row>
    <row r="4955" spans="1:21" x14ac:dyDescent="0.25">
      <c r="A4955" s="213" t="s">
        <v>327</v>
      </c>
      <c r="D4955" s="213" t="s">
        <v>41229</v>
      </c>
      <c r="E4955" s="213" t="s">
        <v>41230</v>
      </c>
      <c r="K4955" s="213" t="s">
        <v>59919</v>
      </c>
      <c r="L4955" s="213" t="s">
        <v>60005</v>
      </c>
      <c r="M4955" s="213" t="s">
        <v>60091</v>
      </c>
      <c r="N4955" s="213" t="s">
        <v>41231</v>
      </c>
      <c r="O4955" s="213" t="s">
        <v>41232</v>
      </c>
      <c r="P4955" s="213" t="s">
        <v>41233</v>
      </c>
      <c r="Q4955" s="213" t="s">
        <v>41234</v>
      </c>
      <c r="R4955" s="213" t="s">
        <v>41235</v>
      </c>
      <c r="S4955" s="213" t="s">
        <v>41236</v>
      </c>
      <c r="T4955" s="213" t="s">
        <v>41237</v>
      </c>
      <c r="U4955" s="213" t="s">
        <v>60177</v>
      </c>
    </row>
    <row r="4956" spans="1:21" x14ac:dyDescent="0.25">
      <c r="A4956" s="213" t="s">
        <v>327</v>
      </c>
      <c r="D4956" s="213" t="s">
        <v>41238</v>
      </c>
      <c r="E4956" s="213" t="s">
        <v>41239</v>
      </c>
      <c r="K4956" s="213" t="s">
        <v>59920</v>
      </c>
      <c r="L4956" s="213" t="s">
        <v>60006</v>
      </c>
      <c r="M4956" s="213" t="s">
        <v>60092</v>
      </c>
      <c r="N4956" s="213" t="s">
        <v>41240</v>
      </c>
      <c r="O4956" s="213" t="s">
        <v>41241</v>
      </c>
      <c r="P4956" s="213" t="s">
        <v>41242</v>
      </c>
      <c r="Q4956" s="213" t="s">
        <v>41243</v>
      </c>
      <c r="R4956" s="213" t="s">
        <v>41244</v>
      </c>
      <c r="S4956" s="213" t="s">
        <v>41245</v>
      </c>
      <c r="T4956" s="213" t="s">
        <v>41246</v>
      </c>
      <c r="U4956" s="213" t="s">
        <v>60178</v>
      </c>
    </row>
    <row r="4957" spans="1:21" x14ac:dyDescent="0.25">
      <c r="A4957" s="213" t="s">
        <v>327</v>
      </c>
      <c r="D4957" s="213" t="s">
        <v>41247</v>
      </c>
      <c r="E4957" s="213" t="s">
        <v>41248</v>
      </c>
      <c r="K4957" s="213" t="s">
        <v>59921</v>
      </c>
      <c r="L4957" s="213" t="s">
        <v>60007</v>
      </c>
      <c r="M4957" s="213" t="s">
        <v>60093</v>
      </c>
      <c r="N4957" s="213" t="s">
        <v>41249</v>
      </c>
      <c r="O4957" s="213" t="s">
        <v>41250</v>
      </c>
      <c r="P4957" s="213" t="s">
        <v>41251</v>
      </c>
      <c r="Q4957" s="213" t="s">
        <v>41252</v>
      </c>
      <c r="R4957" s="213" t="s">
        <v>41253</v>
      </c>
      <c r="S4957" s="213" t="s">
        <v>41254</v>
      </c>
      <c r="T4957" s="213" t="s">
        <v>41255</v>
      </c>
      <c r="U4957" s="213" t="s">
        <v>60179</v>
      </c>
    </row>
    <row r="4958" spans="1:21" x14ac:dyDescent="0.25">
      <c r="A4958" s="213" t="s">
        <v>327</v>
      </c>
      <c r="D4958" s="213" t="s">
        <v>41256</v>
      </c>
      <c r="E4958" s="213" t="s">
        <v>41257</v>
      </c>
      <c r="K4958" s="213" t="s">
        <v>59922</v>
      </c>
      <c r="L4958" s="213" t="s">
        <v>60008</v>
      </c>
      <c r="M4958" s="213" t="s">
        <v>60094</v>
      </c>
      <c r="N4958" s="213" t="s">
        <v>41258</v>
      </c>
      <c r="O4958" s="213" t="s">
        <v>41259</v>
      </c>
      <c r="P4958" s="213" t="s">
        <v>41260</v>
      </c>
      <c r="Q4958" s="213" t="s">
        <v>41261</v>
      </c>
      <c r="R4958" s="213" t="s">
        <v>41262</v>
      </c>
      <c r="S4958" s="213" t="s">
        <v>41263</v>
      </c>
      <c r="T4958" s="213" t="s">
        <v>41264</v>
      </c>
      <c r="U4958" s="213" t="s">
        <v>60180</v>
      </c>
    </row>
    <row r="4959" spans="1:21" x14ac:dyDescent="0.25">
      <c r="A4959" s="213" t="s">
        <v>327</v>
      </c>
      <c r="D4959" s="213" t="s">
        <v>41265</v>
      </c>
      <c r="E4959" s="213" t="s">
        <v>41266</v>
      </c>
      <c r="K4959" s="213" t="s">
        <v>59923</v>
      </c>
      <c r="L4959" s="213" t="s">
        <v>60009</v>
      </c>
      <c r="M4959" s="213" t="s">
        <v>60095</v>
      </c>
      <c r="N4959" s="213" t="s">
        <v>41267</v>
      </c>
      <c r="O4959" s="213" t="s">
        <v>41268</v>
      </c>
      <c r="P4959" s="213" t="s">
        <v>41269</v>
      </c>
      <c r="Q4959" s="213" t="s">
        <v>41270</v>
      </c>
      <c r="R4959" s="213" t="s">
        <v>41271</v>
      </c>
      <c r="S4959" s="213" t="s">
        <v>41272</v>
      </c>
      <c r="T4959" s="213" t="s">
        <v>41273</v>
      </c>
      <c r="U4959" s="213" t="s">
        <v>60181</v>
      </c>
    </row>
    <row r="4960" spans="1:21" x14ac:dyDescent="0.25">
      <c r="A4960" s="213" t="s">
        <v>327</v>
      </c>
      <c r="D4960" s="213" t="s">
        <v>41274</v>
      </c>
      <c r="E4960" s="213" t="s">
        <v>41275</v>
      </c>
      <c r="K4960" s="213" t="s">
        <v>59924</v>
      </c>
      <c r="L4960" s="213" t="s">
        <v>60010</v>
      </c>
      <c r="M4960" s="213" t="s">
        <v>60096</v>
      </c>
      <c r="N4960" s="213" t="s">
        <v>41276</v>
      </c>
      <c r="O4960" s="213" t="s">
        <v>41277</v>
      </c>
      <c r="P4960" s="213" t="s">
        <v>41278</v>
      </c>
      <c r="Q4960" s="213" t="s">
        <v>41279</v>
      </c>
      <c r="R4960" s="213" t="s">
        <v>41280</v>
      </c>
      <c r="S4960" s="213" t="s">
        <v>41281</v>
      </c>
      <c r="T4960" s="213" t="s">
        <v>41282</v>
      </c>
      <c r="U4960" s="213" t="s">
        <v>60182</v>
      </c>
    </row>
    <row r="4961" spans="1:21" x14ac:dyDescent="0.25">
      <c r="A4961" s="213" t="s">
        <v>327</v>
      </c>
      <c r="D4961" s="213" t="s">
        <v>41283</v>
      </c>
      <c r="E4961" s="213" t="s">
        <v>41284</v>
      </c>
      <c r="K4961" s="213" t="s">
        <v>59925</v>
      </c>
      <c r="L4961" s="213" t="s">
        <v>60011</v>
      </c>
      <c r="M4961" s="213" t="s">
        <v>60097</v>
      </c>
      <c r="N4961" s="213" t="s">
        <v>41285</v>
      </c>
      <c r="O4961" s="213" t="s">
        <v>41286</v>
      </c>
      <c r="P4961" s="213" t="s">
        <v>41287</v>
      </c>
      <c r="Q4961" s="213" t="s">
        <v>41288</v>
      </c>
      <c r="R4961" s="213" t="s">
        <v>41289</v>
      </c>
      <c r="S4961" s="213" t="s">
        <v>41290</v>
      </c>
      <c r="T4961" s="213" t="s">
        <v>41291</v>
      </c>
      <c r="U4961" s="213" t="s">
        <v>60183</v>
      </c>
    </row>
    <row r="4962" spans="1:21" x14ac:dyDescent="0.25">
      <c r="A4962" s="213" t="s">
        <v>327</v>
      </c>
      <c r="D4962" s="213" t="s">
        <v>41292</v>
      </c>
      <c r="E4962" s="213" t="s">
        <v>41293</v>
      </c>
      <c r="K4962" s="213" t="s">
        <v>59926</v>
      </c>
      <c r="L4962" s="213" t="s">
        <v>60012</v>
      </c>
      <c r="M4962" s="213" t="s">
        <v>60098</v>
      </c>
      <c r="N4962" s="213" t="s">
        <v>41294</v>
      </c>
      <c r="O4962" s="213" t="s">
        <v>41295</v>
      </c>
      <c r="P4962" s="213" t="s">
        <v>41296</v>
      </c>
      <c r="Q4962" s="213" t="s">
        <v>41297</v>
      </c>
      <c r="R4962" s="213" t="s">
        <v>41298</v>
      </c>
      <c r="S4962" s="213" t="s">
        <v>41299</v>
      </c>
      <c r="T4962" s="213" t="s">
        <v>41300</v>
      </c>
      <c r="U4962" s="213" t="s">
        <v>60184</v>
      </c>
    </row>
    <row r="4963" spans="1:21" x14ac:dyDescent="0.25">
      <c r="A4963" s="213" t="s">
        <v>327</v>
      </c>
      <c r="D4963" s="213" t="s">
        <v>41301</v>
      </c>
      <c r="E4963" s="213" t="s">
        <v>41302</v>
      </c>
      <c r="K4963" s="213" t="s">
        <v>59927</v>
      </c>
      <c r="L4963" s="213" t="s">
        <v>60013</v>
      </c>
      <c r="M4963" s="213" t="s">
        <v>60099</v>
      </c>
      <c r="N4963" s="213" t="s">
        <v>41303</v>
      </c>
      <c r="O4963" s="213" t="s">
        <v>41304</v>
      </c>
      <c r="P4963" s="213" t="s">
        <v>41305</v>
      </c>
      <c r="Q4963" s="213" t="s">
        <v>41306</v>
      </c>
      <c r="R4963" s="213" t="s">
        <v>41307</v>
      </c>
      <c r="S4963" s="213" t="s">
        <v>41308</v>
      </c>
      <c r="T4963" s="213" t="s">
        <v>41309</v>
      </c>
      <c r="U4963" s="213" t="s">
        <v>60185</v>
      </c>
    </row>
    <row r="4964" spans="1:21" x14ac:dyDescent="0.25">
      <c r="A4964" s="213" t="s">
        <v>327</v>
      </c>
      <c r="D4964" s="213" t="s">
        <v>41310</v>
      </c>
      <c r="E4964" s="213" t="s">
        <v>41311</v>
      </c>
      <c r="K4964" s="213" t="s">
        <v>59928</v>
      </c>
      <c r="L4964" s="213" t="s">
        <v>60014</v>
      </c>
      <c r="M4964" s="213" t="s">
        <v>60100</v>
      </c>
      <c r="N4964" s="213" t="s">
        <v>41312</v>
      </c>
      <c r="O4964" s="213" t="s">
        <v>41313</v>
      </c>
      <c r="P4964" s="213" t="s">
        <v>41314</v>
      </c>
      <c r="Q4964" s="213" t="s">
        <v>41315</v>
      </c>
      <c r="R4964" s="213" t="s">
        <v>41316</v>
      </c>
      <c r="S4964" s="213" t="s">
        <v>41317</v>
      </c>
      <c r="T4964" s="213" t="s">
        <v>41318</v>
      </c>
      <c r="U4964" s="213" t="s">
        <v>60186</v>
      </c>
    </row>
    <row r="4965" spans="1:21" x14ac:dyDescent="0.25">
      <c r="A4965" s="213" t="s">
        <v>327</v>
      </c>
      <c r="D4965" s="213" t="s">
        <v>41319</v>
      </c>
      <c r="E4965" s="213" t="s">
        <v>41320</v>
      </c>
      <c r="K4965" s="213" t="s">
        <v>59929</v>
      </c>
      <c r="L4965" s="213" t="s">
        <v>60015</v>
      </c>
      <c r="M4965" s="213" t="s">
        <v>60101</v>
      </c>
      <c r="N4965" s="213" t="s">
        <v>41321</v>
      </c>
      <c r="O4965" s="213" t="s">
        <v>41322</v>
      </c>
      <c r="P4965" s="213" t="s">
        <v>41323</v>
      </c>
      <c r="Q4965" s="213" t="s">
        <v>41324</v>
      </c>
      <c r="R4965" s="213" t="s">
        <v>41325</v>
      </c>
      <c r="S4965" s="213" t="s">
        <v>41326</v>
      </c>
      <c r="T4965" s="213" t="s">
        <v>41327</v>
      </c>
      <c r="U4965" s="213" t="s">
        <v>60187</v>
      </c>
    </row>
    <row r="4966" spans="1:21" x14ac:dyDescent="0.25">
      <c r="A4966" s="213" t="s">
        <v>327</v>
      </c>
      <c r="D4966" s="213" t="s">
        <v>41328</v>
      </c>
      <c r="E4966" s="213" t="s">
        <v>41329</v>
      </c>
      <c r="K4966" s="213" t="s">
        <v>59930</v>
      </c>
      <c r="L4966" s="213" t="s">
        <v>60016</v>
      </c>
      <c r="M4966" s="213" t="s">
        <v>60102</v>
      </c>
      <c r="N4966" s="213" t="s">
        <v>41330</v>
      </c>
      <c r="O4966" s="213" t="s">
        <v>41331</v>
      </c>
      <c r="P4966" s="213" t="s">
        <v>41332</v>
      </c>
      <c r="Q4966" s="213" t="s">
        <v>41333</v>
      </c>
      <c r="R4966" s="213" t="s">
        <v>41334</v>
      </c>
      <c r="S4966" s="213" t="s">
        <v>41335</v>
      </c>
      <c r="T4966" s="213" t="s">
        <v>41336</v>
      </c>
      <c r="U4966" s="213" t="s">
        <v>60188</v>
      </c>
    </row>
    <row r="4967" spans="1:21" x14ac:dyDescent="0.25">
      <c r="A4967" s="213" t="s">
        <v>327</v>
      </c>
      <c r="D4967" s="213" t="s">
        <v>41337</v>
      </c>
      <c r="E4967" s="213" t="s">
        <v>41338</v>
      </c>
      <c r="K4967" s="213" t="s">
        <v>59931</v>
      </c>
      <c r="L4967" s="213" t="s">
        <v>60017</v>
      </c>
      <c r="M4967" s="213" t="s">
        <v>60103</v>
      </c>
      <c r="N4967" s="213" t="s">
        <v>41339</v>
      </c>
      <c r="O4967" s="213" t="s">
        <v>41340</v>
      </c>
      <c r="P4967" s="213" t="s">
        <v>41341</v>
      </c>
      <c r="Q4967" s="213" t="s">
        <v>41342</v>
      </c>
      <c r="R4967" s="213" t="s">
        <v>41343</v>
      </c>
      <c r="S4967" s="213" t="s">
        <v>41344</v>
      </c>
      <c r="T4967" s="213" t="s">
        <v>41345</v>
      </c>
      <c r="U4967" s="213" t="s">
        <v>60189</v>
      </c>
    </row>
    <row r="4968" spans="1:21" x14ac:dyDescent="0.25">
      <c r="A4968" s="213" t="s">
        <v>327</v>
      </c>
      <c r="D4968" s="213" t="s">
        <v>41346</v>
      </c>
      <c r="E4968" s="213" t="s">
        <v>41347</v>
      </c>
      <c r="K4968" s="213" t="s">
        <v>59932</v>
      </c>
      <c r="L4968" s="213" t="s">
        <v>60018</v>
      </c>
      <c r="M4968" s="213" t="s">
        <v>60104</v>
      </c>
      <c r="N4968" s="213" t="s">
        <v>41348</v>
      </c>
      <c r="O4968" s="213" t="s">
        <v>41349</v>
      </c>
      <c r="P4968" s="213" t="s">
        <v>41350</v>
      </c>
      <c r="Q4968" s="213" t="s">
        <v>41351</v>
      </c>
      <c r="R4968" s="213" t="s">
        <v>41352</v>
      </c>
      <c r="S4968" s="213" t="s">
        <v>41353</v>
      </c>
      <c r="T4968" s="213" t="s">
        <v>41354</v>
      </c>
      <c r="U4968" s="213" t="s">
        <v>60190</v>
      </c>
    </row>
    <row r="4969" spans="1:21" x14ac:dyDescent="0.25">
      <c r="A4969" s="213" t="s">
        <v>327</v>
      </c>
      <c r="D4969" s="213" t="s">
        <v>41355</v>
      </c>
      <c r="E4969" s="213" t="s">
        <v>41356</v>
      </c>
      <c r="K4969" s="213" t="s">
        <v>59933</v>
      </c>
      <c r="L4969" s="213" t="s">
        <v>60019</v>
      </c>
      <c r="M4969" s="213" t="s">
        <v>60105</v>
      </c>
      <c r="N4969" s="213" t="s">
        <v>41357</v>
      </c>
      <c r="O4969" s="213" t="s">
        <v>41358</v>
      </c>
      <c r="P4969" s="213" t="s">
        <v>41359</v>
      </c>
      <c r="Q4969" s="213" t="s">
        <v>41360</v>
      </c>
      <c r="R4969" s="213" t="s">
        <v>41361</v>
      </c>
      <c r="S4969" s="213" t="s">
        <v>41362</v>
      </c>
      <c r="T4969" s="213" t="s">
        <v>41363</v>
      </c>
      <c r="U4969" s="213" t="s">
        <v>60191</v>
      </c>
    </row>
    <row r="4970" spans="1:21" x14ac:dyDescent="0.25">
      <c r="A4970" s="213" t="s">
        <v>327</v>
      </c>
      <c r="D4970" s="213" t="s">
        <v>41364</v>
      </c>
      <c r="E4970" s="213" t="s">
        <v>41365</v>
      </c>
      <c r="K4970" s="213" t="s">
        <v>59934</v>
      </c>
      <c r="L4970" s="213" t="s">
        <v>60020</v>
      </c>
      <c r="M4970" s="213" t="s">
        <v>60106</v>
      </c>
      <c r="N4970" s="213" t="s">
        <v>41366</v>
      </c>
      <c r="O4970" s="213" t="s">
        <v>41367</v>
      </c>
      <c r="P4970" s="213" t="s">
        <v>41368</v>
      </c>
      <c r="Q4970" s="213" t="s">
        <v>41369</v>
      </c>
      <c r="R4970" s="213" t="s">
        <v>41370</v>
      </c>
      <c r="S4970" s="213" t="s">
        <v>41371</v>
      </c>
      <c r="T4970" s="213" t="s">
        <v>41372</v>
      </c>
      <c r="U4970" s="213" t="s">
        <v>60192</v>
      </c>
    </row>
    <row r="4971" spans="1:21" x14ac:dyDescent="0.25">
      <c r="A4971" s="213" t="s">
        <v>327</v>
      </c>
      <c r="D4971" s="213" t="s">
        <v>41373</v>
      </c>
      <c r="E4971" s="213" t="s">
        <v>41374</v>
      </c>
      <c r="K4971" s="213" t="s">
        <v>59935</v>
      </c>
      <c r="L4971" s="213" t="s">
        <v>60021</v>
      </c>
      <c r="M4971" s="213" t="s">
        <v>60107</v>
      </c>
      <c r="N4971" s="213" t="s">
        <v>41375</v>
      </c>
      <c r="O4971" s="213" t="s">
        <v>41376</v>
      </c>
      <c r="P4971" s="213" t="s">
        <v>41377</v>
      </c>
      <c r="Q4971" s="213" t="s">
        <v>41378</v>
      </c>
      <c r="R4971" s="213" t="s">
        <v>41379</v>
      </c>
      <c r="S4971" s="213" t="s">
        <v>41380</v>
      </c>
      <c r="T4971" s="213" t="s">
        <v>41381</v>
      </c>
      <c r="U4971" s="213" t="s">
        <v>60193</v>
      </c>
    </row>
    <row r="4972" spans="1:21" x14ac:dyDescent="0.25">
      <c r="A4972" s="213" t="s">
        <v>327</v>
      </c>
      <c r="D4972" s="213" t="s">
        <v>41382</v>
      </c>
      <c r="E4972" s="213" t="s">
        <v>41383</v>
      </c>
      <c r="K4972" s="213" t="s">
        <v>59936</v>
      </c>
      <c r="L4972" s="213" t="s">
        <v>60022</v>
      </c>
      <c r="M4972" s="213" t="s">
        <v>60108</v>
      </c>
      <c r="N4972" s="213" t="s">
        <v>41384</v>
      </c>
      <c r="O4972" s="213" t="s">
        <v>41385</v>
      </c>
      <c r="P4972" s="213" t="s">
        <v>41386</v>
      </c>
      <c r="Q4972" s="213" t="s">
        <v>41387</v>
      </c>
      <c r="R4972" s="213" t="s">
        <v>41388</v>
      </c>
      <c r="S4972" s="213" t="s">
        <v>41389</v>
      </c>
      <c r="T4972" s="213" t="s">
        <v>41390</v>
      </c>
      <c r="U4972" s="213" t="s">
        <v>60194</v>
      </c>
    </row>
    <row r="4973" spans="1:21" x14ac:dyDescent="0.25">
      <c r="A4973" s="213" t="s">
        <v>327</v>
      </c>
      <c r="D4973" s="213" t="s">
        <v>41391</v>
      </c>
      <c r="E4973" s="213" t="s">
        <v>41392</v>
      </c>
      <c r="K4973" s="213" t="s">
        <v>59937</v>
      </c>
      <c r="L4973" s="213" t="s">
        <v>60023</v>
      </c>
      <c r="M4973" s="213" t="s">
        <v>60109</v>
      </c>
      <c r="N4973" s="213" t="s">
        <v>41393</v>
      </c>
      <c r="O4973" s="213" t="s">
        <v>41394</v>
      </c>
      <c r="P4973" s="213" t="s">
        <v>41395</v>
      </c>
      <c r="Q4973" s="213" t="s">
        <v>41396</v>
      </c>
      <c r="R4973" s="213" t="s">
        <v>41397</v>
      </c>
      <c r="S4973" s="213" t="s">
        <v>41398</v>
      </c>
      <c r="T4973" s="213" t="s">
        <v>41399</v>
      </c>
      <c r="U4973" s="213" t="s">
        <v>60195</v>
      </c>
    </row>
    <row r="4974" spans="1:21" x14ac:dyDescent="0.25">
      <c r="A4974" s="213" t="s">
        <v>327</v>
      </c>
      <c r="D4974" s="213" t="s">
        <v>41400</v>
      </c>
      <c r="E4974" s="213" t="s">
        <v>41401</v>
      </c>
      <c r="K4974" s="213" t="s">
        <v>59938</v>
      </c>
      <c r="L4974" s="213" t="s">
        <v>60024</v>
      </c>
      <c r="M4974" s="213" t="s">
        <v>60110</v>
      </c>
      <c r="N4974" s="213" t="s">
        <v>41402</v>
      </c>
      <c r="O4974" s="213" t="s">
        <v>41403</v>
      </c>
      <c r="P4974" s="213" t="s">
        <v>41404</v>
      </c>
      <c r="Q4974" s="213" t="s">
        <v>41405</v>
      </c>
      <c r="R4974" s="213" t="s">
        <v>41406</v>
      </c>
      <c r="S4974" s="213" t="s">
        <v>41407</v>
      </c>
      <c r="T4974" s="213" t="s">
        <v>41408</v>
      </c>
      <c r="U4974" s="213" t="s">
        <v>60196</v>
      </c>
    </row>
    <row r="4975" spans="1:21" x14ac:dyDescent="0.25">
      <c r="A4975" s="213" t="s">
        <v>327</v>
      </c>
      <c r="D4975" s="213" t="s">
        <v>41409</v>
      </c>
      <c r="E4975" s="213" t="s">
        <v>41410</v>
      </c>
      <c r="K4975" s="213" t="s">
        <v>59939</v>
      </c>
      <c r="L4975" s="213" t="s">
        <v>60025</v>
      </c>
      <c r="M4975" s="213" t="s">
        <v>60111</v>
      </c>
      <c r="N4975" s="213" t="s">
        <v>41411</v>
      </c>
      <c r="O4975" s="213" t="s">
        <v>41412</v>
      </c>
      <c r="P4975" s="213" t="s">
        <v>41413</v>
      </c>
      <c r="Q4975" s="213" t="s">
        <v>41414</v>
      </c>
      <c r="R4975" s="213" t="s">
        <v>41415</v>
      </c>
      <c r="S4975" s="213" t="s">
        <v>41416</v>
      </c>
      <c r="T4975" s="213" t="s">
        <v>41417</v>
      </c>
      <c r="U4975" s="213" t="s">
        <v>60197</v>
      </c>
    </row>
    <row r="4976" spans="1:21" x14ac:dyDescent="0.25">
      <c r="A4976" s="213" t="s">
        <v>327</v>
      </c>
      <c r="D4976" s="213" t="s">
        <v>41418</v>
      </c>
      <c r="E4976" s="213" t="s">
        <v>41419</v>
      </c>
      <c r="K4976" s="213" t="s">
        <v>59940</v>
      </c>
      <c r="L4976" s="213" t="s">
        <v>60026</v>
      </c>
      <c r="M4976" s="213" t="s">
        <v>60112</v>
      </c>
      <c r="N4976" s="213" t="s">
        <v>41420</v>
      </c>
      <c r="O4976" s="213" t="s">
        <v>41421</v>
      </c>
      <c r="P4976" s="213" t="s">
        <v>41422</v>
      </c>
      <c r="Q4976" s="213" t="s">
        <v>41423</v>
      </c>
      <c r="R4976" s="213" t="s">
        <v>41424</v>
      </c>
      <c r="S4976" s="213" t="s">
        <v>41425</v>
      </c>
      <c r="T4976" s="213" t="s">
        <v>41426</v>
      </c>
      <c r="U4976" s="213" t="s">
        <v>60198</v>
      </c>
    </row>
    <row r="4977" spans="1:21" x14ac:dyDescent="0.25">
      <c r="A4977" s="213" t="s">
        <v>327</v>
      </c>
      <c r="D4977" s="213" t="s">
        <v>41427</v>
      </c>
      <c r="E4977" s="213" t="s">
        <v>41428</v>
      </c>
      <c r="K4977" s="213" t="s">
        <v>59941</v>
      </c>
      <c r="L4977" s="213" t="s">
        <v>60027</v>
      </c>
      <c r="M4977" s="213" t="s">
        <v>60113</v>
      </c>
      <c r="N4977" s="213" t="s">
        <v>41429</v>
      </c>
      <c r="O4977" s="213" t="s">
        <v>41430</v>
      </c>
      <c r="P4977" s="213" t="s">
        <v>41431</v>
      </c>
      <c r="Q4977" s="213" t="s">
        <v>41432</v>
      </c>
      <c r="R4977" s="213" t="s">
        <v>41433</v>
      </c>
      <c r="S4977" s="213" t="s">
        <v>41434</v>
      </c>
      <c r="T4977" s="213" t="s">
        <v>41435</v>
      </c>
      <c r="U4977" s="213" t="s">
        <v>60199</v>
      </c>
    </row>
    <row r="4978" spans="1:21" x14ac:dyDescent="0.25">
      <c r="A4978" s="213" t="s">
        <v>327</v>
      </c>
      <c r="D4978" s="213" t="s">
        <v>41436</v>
      </c>
      <c r="E4978" s="213" t="s">
        <v>41437</v>
      </c>
      <c r="K4978" s="213" t="s">
        <v>59942</v>
      </c>
      <c r="L4978" s="213" t="s">
        <v>60028</v>
      </c>
      <c r="M4978" s="213" t="s">
        <v>60114</v>
      </c>
      <c r="N4978" s="213" t="s">
        <v>41438</v>
      </c>
      <c r="O4978" s="213" t="s">
        <v>41439</v>
      </c>
      <c r="P4978" s="213" t="s">
        <v>41440</v>
      </c>
      <c r="Q4978" s="213" t="s">
        <v>41441</v>
      </c>
      <c r="R4978" s="213" t="s">
        <v>41442</v>
      </c>
      <c r="S4978" s="213" t="s">
        <v>41443</v>
      </c>
      <c r="T4978" s="213" t="s">
        <v>41444</v>
      </c>
      <c r="U4978" s="213" t="s">
        <v>60200</v>
      </c>
    </row>
    <row r="4979" spans="1:21" x14ac:dyDescent="0.25">
      <c r="A4979" s="213" t="s">
        <v>327</v>
      </c>
      <c r="D4979" s="213" t="s">
        <v>41445</v>
      </c>
      <c r="E4979" s="213" t="s">
        <v>41446</v>
      </c>
      <c r="K4979" s="213" t="s">
        <v>59943</v>
      </c>
      <c r="L4979" s="213" t="s">
        <v>60029</v>
      </c>
      <c r="M4979" s="213" t="s">
        <v>60115</v>
      </c>
      <c r="N4979" s="213" t="s">
        <v>41447</v>
      </c>
      <c r="O4979" s="213" t="s">
        <v>41448</v>
      </c>
      <c r="P4979" s="213" t="s">
        <v>41449</v>
      </c>
      <c r="Q4979" s="213" t="s">
        <v>41450</v>
      </c>
      <c r="R4979" s="213" t="s">
        <v>41451</v>
      </c>
      <c r="S4979" s="213" t="s">
        <v>41452</v>
      </c>
      <c r="T4979" s="213" t="s">
        <v>41453</v>
      </c>
      <c r="U4979" s="213" t="s">
        <v>60201</v>
      </c>
    </row>
    <row r="4980" spans="1:21" x14ac:dyDescent="0.25">
      <c r="A4980" s="213" t="s">
        <v>327</v>
      </c>
      <c r="D4980" s="213" t="s">
        <v>41454</v>
      </c>
      <c r="E4980" s="213" t="s">
        <v>41455</v>
      </c>
      <c r="K4980" s="213" t="s">
        <v>59944</v>
      </c>
      <c r="L4980" s="213" t="s">
        <v>60030</v>
      </c>
      <c r="M4980" s="213" t="s">
        <v>60116</v>
      </c>
      <c r="N4980" s="213" t="s">
        <v>41456</v>
      </c>
      <c r="O4980" s="213" t="s">
        <v>41457</v>
      </c>
      <c r="P4980" s="213" t="s">
        <v>41458</v>
      </c>
      <c r="Q4980" s="213" t="s">
        <v>41459</v>
      </c>
      <c r="R4980" s="213" t="s">
        <v>41460</v>
      </c>
      <c r="S4980" s="213" t="s">
        <v>41461</v>
      </c>
      <c r="T4980" s="213" t="s">
        <v>41462</v>
      </c>
      <c r="U4980" s="213" t="s">
        <v>60202</v>
      </c>
    </row>
    <row r="4981" spans="1:21" x14ac:dyDescent="0.25">
      <c r="A4981" s="213" t="s">
        <v>327</v>
      </c>
      <c r="D4981" s="213" t="s">
        <v>41463</v>
      </c>
      <c r="E4981" s="213" t="s">
        <v>41464</v>
      </c>
      <c r="K4981" s="213" t="s">
        <v>59945</v>
      </c>
      <c r="L4981" s="213" t="s">
        <v>60031</v>
      </c>
      <c r="M4981" s="213" t="s">
        <v>60117</v>
      </c>
      <c r="N4981" s="213" t="s">
        <v>41465</v>
      </c>
      <c r="O4981" s="213" t="s">
        <v>41466</v>
      </c>
      <c r="P4981" s="213" t="s">
        <v>41467</v>
      </c>
      <c r="Q4981" s="213" t="s">
        <v>41468</v>
      </c>
      <c r="R4981" s="213" t="s">
        <v>41469</v>
      </c>
      <c r="S4981" s="213" t="s">
        <v>41470</v>
      </c>
      <c r="T4981" s="213" t="s">
        <v>41471</v>
      </c>
      <c r="U4981" s="213" t="s">
        <v>60203</v>
      </c>
    </row>
    <row r="4982" spans="1:21" x14ac:dyDescent="0.25">
      <c r="A4982" s="213" t="s">
        <v>327</v>
      </c>
      <c r="D4982" s="213" t="s">
        <v>41472</v>
      </c>
      <c r="E4982" s="213" t="s">
        <v>41473</v>
      </c>
      <c r="K4982" s="213" t="s">
        <v>59946</v>
      </c>
      <c r="L4982" s="213" t="s">
        <v>60032</v>
      </c>
      <c r="M4982" s="213" t="s">
        <v>60118</v>
      </c>
      <c r="N4982" s="213" t="s">
        <v>41474</v>
      </c>
      <c r="O4982" s="213" t="s">
        <v>41475</v>
      </c>
      <c r="P4982" s="213" t="s">
        <v>41476</v>
      </c>
      <c r="Q4982" s="213" t="s">
        <v>41477</v>
      </c>
      <c r="R4982" s="213" t="s">
        <v>41478</v>
      </c>
      <c r="S4982" s="213" t="s">
        <v>41479</v>
      </c>
      <c r="T4982" s="213" t="s">
        <v>41480</v>
      </c>
      <c r="U4982" s="213" t="s">
        <v>60204</v>
      </c>
    </row>
    <row r="4983" spans="1:21" x14ac:dyDescent="0.25">
      <c r="A4983" s="213" t="s">
        <v>327</v>
      </c>
      <c r="D4983" s="213" t="s">
        <v>41481</v>
      </c>
      <c r="E4983" s="213" t="s">
        <v>41482</v>
      </c>
      <c r="K4983" s="213" t="s">
        <v>59947</v>
      </c>
      <c r="L4983" s="213" t="s">
        <v>60033</v>
      </c>
      <c r="M4983" s="213" t="s">
        <v>60119</v>
      </c>
      <c r="N4983" s="213" t="s">
        <v>41483</v>
      </c>
      <c r="O4983" s="213" t="s">
        <v>41484</v>
      </c>
      <c r="P4983" s="213" t="s">
        <v>41485</v>
      </c>
      <c r="Q4983" s="213" t="s">
        <v>41486</v>
      </c>
      <c r="R4983" s="213" t="s">
        <v>41487</v>
      </c>
      <c r="S4983" s="213" t="s">
        <v>41488</v>
      </c>
      <c r="T4983" s="213" t="s">
        <v>41489</v>
      </c>
      <c r="U4983" s="213" t="s">
        <v>60205</v>
      </c>
    </row>
    <row r="4984" spans="1:21" x14ac:dyDescent="0.25">
      <c r="A4984" s="213" t="s">
        <v>327</v>
      </c>
      <c r="D4984" s="213" t="s">
        <v>41490</v>
      </c>
      <c r="E4984" s="213" t="s">
        <v>41491</v>
      </c>
      <c r="K4984" s="213" t="s">
        <v>59948</v>
      </c>
      <c r="L4984" s="213" t="s">
        <v>60034</v>
      </c>
      <c r="M4984" s="213" t="s">
        <v>60120</v>
      </c>
      <c r="N4984" s="213" t="s">
        <v>41492</v>
      </c>
      <c r="O4984" s="213" t="s">
        <v>41493</v>
      </c>
      <c r="P4984" s="213" t="s">
        <v>41494</v>
      </c>
      <c r="Q4984" s="213" t="s">
        <v>41495</v>
      </c>
      <c r="R4984" s="213" t="s">
        <v>41496</v>
      </c>
      <c r="S4984" s="213" t="s">
        <v>41497</v>
      </c>
      <c r="T4984" s="213" t="s">
        <v>41498</v>
      </c>
      <c r="U4984" s="213" t="s">
        <v>60206</v>
      </c>
    </row>
    <row r="4985" spans="1:21" x14ac:dyDescent="0.25">
      <c r="A4985" s="213" t="s">
        <v>327</v>
      </c>
      <c r="D4985" s="213" t="s">
        <v>41499</v>
      </c>
      <c r="E4985" s="213" t="s">
        <v>41500</v>
      </c>
      <c r="K4985" s="213" t="s">
        <v>59949</v>
      </c>
      <c r="L4985" s="213" t="s">
        <v>60035</v>
      </c>
      <c r="M4985" s="213" t="s">
        <v>60121</v>
      </c>
      <c r="N4985" s="213" t="s">
        <v>41501</v>
      </c>
      <c r="O4985" s="213" t="s">
        <v>41502</v>
      </c>
      <c r="P4985" s="213" t="s">
        <v>41503</v>
      </c>
      <c r="Q4985" s="213" t="s">
        <v>41504</v>
      </c>
      <c r="R4985" s="213" t="s">
        <v>41505</v>
      </c>
      <c r="S4985" s="213" t="s">
        <v>41506</v>
      </c>
      <c r="T4985" s="213" t="s">
        <v>41507</v>
      </c>
      <c r="U4985" s="213" t="s">
        <v>60207</v>
      </c>
    </row>
    <row r="4986" spans="1:21" x14ac:dyDescent="0.25">
      <c r="A4986" s="213" t="s">
        <v>327</v>
      </c>
      <c r="D4986" s="213" t="s">
        <v>41508</v>
      </c>
      <c r="E4986" s="213" t="s">
        <v>41509</v>
      </c>
      <c r="K4986" s="213" t="s">
        <v>59950</v>
      </c>
      <c r="L4986" s="213" t="s">
        <v>60036</v>
      </c>
      <c r="M4986" s="213" t="s">
        <v>60122</v>
      </c>
      <c r="N4986" s="213" t="s">
        <v>41510</v>
      </c>
      <c r="O4986" s="213" t="s">
        <v>41511</v>
      </c>
      <c r="P4986" s="213" t="s">
        <v>41512</v>
      </c>
      <c r="Q4986" s="213" t="s">
        <v>41513</v>
      </c>
      <c r="R4986" s="213" t="s">
        <v>41514</v>
      </c>
      <c r="S4986" s="213" t="s">
        <v>41515</v>
      </c>
      <c r="T4986" s="213" t="s">
        <v>41516</v>
      </c>
      <c r="U4986" s="213" t="s">
        <v>60208</v>
      </c>
    </row>
    <row r="4987" spans="1:21" x14ac:dyDescent="0.25">
      <c r="A4987" s="213" t="s">
        <v>327</v>
      </c>
      <c r="D4987" s="213" t="s">
        <v>41517</v>
      </c>
      <c r="E4987" s="213" t="s">
        <v>41518</v>
      </c>
      <c r="K4987" s="213" t="s">
        <v>59951</v>
      </c>
      <c r="L4987" s="213" t="s">
        <v>60037</v>
      </c>
      <c r="M4987" s="213" t="s">
        <v>60123</v>
      </c>
      <c r="N4987" s="213" t="s">
        <v>41519</v>
      </c>
      <c r="O4987" s="213" t="s">
        <v>41520</v>
      </c>
      <c r="P4987" s="213" t="s">
        <v>41521</v>
      </c>
      <c r="Q4987" s="213" t="s">
        <v>41522</v>
      </c>
      <c r="R4987" s="213" t="s">
        <v>41523</v>
      </c>
      <c r="S4987" s="213" t="s">
        <v>41524</v>
      </c>
      <c r="T4987" s="213" t="s">
        <v>41525</v>
      </c>
      <c r="U4987" s="213" t="s">
        <v>60209</v>
      </c>
    </row>
    <row r="4988" spans="1:21" x14ac:dyDescent="0.25">
      <c r="A4988" s="213" t="s">
        <v>327</v>
      </c>
      <c r="D4988" s="213" t="s">
        <v>41526</v>
      </c>
      <c r="E4988" s="213" t="s">
        <v>41527</v>
      </c>
      <c r="K4988" s="213" t="s">
        <v>59952</v>
      </c>
      <c r="L4988" s="213" t="s">
        <v>60038</v>
      </c>
      <c r="M4988" s="213" t="s">
        <v>60124</v>
      </c>
      <c r="N4988" s="213" t="s">
        <v>41528</v>
      </c>
      <c r="O4988" s="213" t="s">
        <v>41529</v>
      </c>
      <c r="P4988" s="213" t="s">
        <v>41530</v>
      </c>
      <c r="Q4988" s="213" t="s">
        <v>41531</v>
      </c>
      <c r="R4988" s="213" t="s">
        <v>41532</v>
      </c>
      <c r="S4988" s="213" t="s">
        <v>41533</v>
      </c>
      <c r="T4988" s="213" t="s">
        <v>41534</v>
      </c>
      <c r="U4988" s="213" t="s">
        <v>60210</v>
      </c>
    </row>
    <row r="4989" spans="1:21" x14ac:dyDescent="0.25">
      <c r="A4989" s="213" t="s">
        <v>327</v>
      </c>
      <c r="D4989" s="213" t="s">
        <v>41535</v>
      </c>
      <c r="E4989" s="213" t="s">
        <v>41536</v>
      </c>
      <c r="K4989" s="213" t="s">
        <v>59953</v>
      </c>
      <c r="L4989" s="213" t="s">
        <v>60039</v>
      </c>
      <c r="M4989" s="213" t="s">
        <v>60125</v>
      </c>
      <c r="N4989" s="213" t="s">
        <v>41537</v>
      </c>
      <c r="O4989" s="213" t="s">
        <v>41538</v>
      </c>
      <c r="P4989" s="213" t="s">
        <v>41539</v>
      </c>
      <c r="Q4989" s="213" t="s">
        <v>41540</v>
      </c>
      <c r="R4989" s="213" t="s">
        <v>41541</v>
      </c>
      <c r="S4989" s="213" t="s">
        <v>41542</v>
      </c>
      <c r="T4989" s="213" t="s">
        <v>41543</v>
      </c>
      <c r="U4989" s="213" t="s">
        <v>60211</v>
      </c>
    </row>
    <row r="4990" spans="1:21" x14ac:dyDescent="0.25">
      <c r="A4990" s="213" t="s">
        <v>327</v>
      </c>
      <c r="D4990" s="213" t="s">
        <v>41544</v>
      </c>
      <c r="E4990" s="213" t="s">
        <v>41545</v>
      </c>
      <c r="K4990" s="213" t="s">
        <v>59954</v>
      </c>
      <c r="L4990" s="213" t="s">
        <v>60040</v>
      </c>
      <c r="M4990" s="213" t="s">
        <v>60126</v>
      </c>
      <c r="N4990" s="213" t="s">
        <v>41546</v>
      </c>
      <c r="O4990" s="213" t="s">
        <v>41547</v>
      </c>
      <c r="P4990" s="213" t="s">
        <v>41548</v>
      </c>
      <c r="Q4990" s="213" t="s">
        <v>41549</v>
      </c>
      <c r="R4990" s="213" t="s">
        <v>41550</v>
      </c>
      <c r="S4990" s="213" t="s">
        <v>41551</v>
      </c>
      <c r="T4990" s="213" t="s">
        <v>41552</v>
      </c>
      <c r="U4990" s="213" t="s">
        <v>60212</v>
      </c>
    </row>
    <row r="4991" spans="1:21" x14ac:dyDescent="0.25">
      <c r="A4991" s="213" t="s">
        <v>327</v>
      </c>
      <c r="D4991" s="213" t="s">
        <v>41553</v>
      </c>
      <c r="E4991" s="213" t="s">
        <v>41554</v>
      </c>
      <c r="K4991" s="213" t="s">
        <v>59955</v>
      </c>
      <c r="L4991" s="213" t="s">
        <v>60041</v>
      </c>
      <c r="M4991" s="213" t="s">
        <v>60127</v>
      </c>
      <c r="N4991" s="213" t="s">
        <v>41555</v>
      </c>
      <c r="O4991" s="213" t="s">
        <v>41556</v>
      </c>
      <c r="P4991" s="213" t="s">
        <v>41557</v>
      </c>
      <c r="Q4991" s="213" t="s">
        <v>41558</v>
      </c>
      <c r="R4991" s="213" t="s">
        <v>41559</v>
      </c>
      <c r="S4991" s="213" t="s">
        <v>41560</v>
      </c>
      <c r="T4991" s="213" t="s">
        <v>41561</v>
      </c>
      <c r="U4991" s="213" t="s">
        <v>60213</v>
      </c>
    </row>
    <row r="4992" spans="1:21" x14ac:dyDescent="0.25">
      <c r="A4992" s="213" t="s">
        <v>327</v>
      </c>
      <c r="D4992" s="213" t="s">
        <v>41562</v>
      </c>
      <c r="E4992" s="213" t="s">
        <v>41563</v>
      </c>
      <c r="K4992" s="213" t="s">
        <v>59956</v>
      </c>
      <c r="L4992" s="213" t="s">
        <v>60042</v>
      </c>
      <c r="M4992" s="213" t="s">
        <v>60128</v>
      </c>
      <c r="N4992" s="213" t="s">
        <v>41564</v>
      </c>
      <c r="O4992" s="213" t="s">
        <v>41565</v>
      </c>
      <c r="P4992" s="213" t="s">
        <v>41566</v>
      </c>
      <c r="Q4992" s="213" t="s">
        <v>41567</v>
      </c>
      <c r="R4992" s="213" t="s">
        <v>41568</v>
      </c>
      <c r="S4992" s="213" t="s">
        <v>41569</v>
      </c>
      <c r="T4992" s="213" t="s">
        <v>41570</v>
      </c>
      <c r="U4992" s="213" t="s">
        <v>60214</v>
      </c>
    </row>
    <row r="4993" spans="1:21" x14ac:dyDescent="0.25">
      <c r="A4993" s="213" t="s">
        <v>327</v>
      </c>
      <c r="D4993" s="213" t="s">
        <v>41571</v>
      </c>
      <c r="E4993" s="213" t="s">
        <v>41572</v>
      </c>
      <c r="K4993" s="213" t="s">
        <v>59957</v>
      </c>
      <c r="L4993" s="213" t="s">
        <v>60043</v>
      </c>
      <c r="M4993" s="213" t="s">
        <v>60129</v>
      </c>
      <c r="N4993" s="213" t="s">
        <v>41573</v>
      </c>
      <c r="O4993" s="213" t="s">
        <v>41574</v>
      </c>
      <c r="P4993" s="213" t="s">
        <v>41575</v>
      </c>
      <c r="Q4993" s="213" t="s">
        <v>41576</v>
      </c>
      <c r="R4993" s="213" t="s">
        <v>41577</v>
      </c>
      <c r="S4993" s="213" t="s">
        <v>41578</v>
      </c>
      <c r="T4993" s="213" t="s">
        <v>41579</v>
      </c>
      <c r="U4993" s="213" t="s">
        <v>60215</v>
      </c>
    </row>
    <row r="4994" spans="1:21" x14ac:dyDescent="0.25">
      <c r="A4994" s="213" t="s">
        <v>327</v>
      </c>
      <c r="D4994" s="213" t="s">
        <v>41580</v>
      </c>
      <c r="E4994" s="213" t="s">
        <v>41581</v>
      </c>
      <c r="K4994" s="213" t="s">
        <v>59958</v>
      </c>
      <c r="L4994" s="213" t="s">
        <v>60044</v>
      </c>
      <c r="M4994" s="213" t="s">
        <v>60130</v>
      </c>
      <c r="N4994" s="213" t="s">
        <v>41582</v>
      </c>
      <c r="O4994" s="213" t="s">
        <v>41583</v>
      </c>
      <c r="P4994" s="213" t="s">
        <v>41584</v>
      </c>
      <c r="Q4994" s="213" t="s">
        <v>41585</v>
      </c>
      <c r="R4994" s="213" t="s">
        <v>41586</v>
      </c>
      <c r="S4994" s="213" t="s">
        <v>41587</v>
      </c>
      <c r="T4994" s="213" t="s">
        <v>41588</v>
      </c>
      <c r="U4994" s="213" t="s">
        <v>60216</v>
      </c>
    </row>
    <row r="4995" spans="1:21" x14ac:dyDescent="0.25">
      <c r="A4995" s="213" t="s">
        <v>327</v>
      </c>
      <c r="D4995" s="213" t="s">
        <v>41589</v>
      </c>
      <c r="E4995" s="213" t="s">
        <v>41590</v>
      </c>
      <c r="K4995" s="213" t="s">
        <v>59959</v>
      </c>
      <c r="L4995" s="213" t="s">
        <v>60045</v>
      </c>
      <c r="M4995" s="213" t="s">
        <v>60131</v>
      </c>
      <c r="N4995" s="213" t="s">
        <v>41591</v>
      </c>
      <c r="O4995" s="213" t="s">
        <v>41592</v>
      </c>
      <c r="P4995" s="213" t="s">
        <v>41593</v>
      </c>
      <c r="Q4995" s="213" t="s">
        <v>41594</v>
      </c>
      <c r="R4995" s="213" t="s">
        <v>41595</v>
      </c>
      <c r="S4995" s="213" t="s">
        <v>41596</v>
      </c>
      <c r="T4995" s="213" t="s">
        <v>41597</v>
      </c>
      <c r="U4995" s="213" t="s">
        <v>60217</v>
      </c>
    </row>
    <row r="4996" spans="1:21" x14ac:dyDescent="0.25">
      <c r="A4996" s="213" t="s">
        <v>327</v>
      </c>
      <c r="D4996" s="213" t="s">
        <v>41598</v>
      </c>
      <c r="E4996" s="213" t="s">
        <v>41599</v>
      </c>
      <c r="K4996" s="213" t="s">
        <v>59960</v>
      </c>
      <c r="L4996" s="213" t="s">
        <v>60046</v>
      </c>
      <c r="M4996" s="213" t="s">
        <v>60132</v>
      </c>
      <c r="N4996" s="213" t="s">
        <v>41600</v>
      </c>
      <c r="O4996" s="213" t="s">
        <v>41601</v>
      </c>
      <c r="P4996" s="213" t="s">
        <v>41602</v>
      </c>
      <c r="Q4996" s="213" t="s">
        <v>41603</v>
      </c>
      <c r="R4996" s="213" t="s">
        <v>41604</v>
      </c>
      <c r="S4996" s="213" t="s">
        <v>41605</v>
      </c>
      <c r="T4996" s="213" t="s">
        <v>41606</v>
      </c>
      <c r="U4996" s="213" t="s">
        <v>60218</v>
      </c>
    </row>
    <row r="4997" spans="1:21" x14ac:dyDescent="0.25">
      <c r="A4997" s="213" t="s">
        <v>327</v>
      </c>
      <c r="D4997" s="213" t="s">
        <v>41607</v>
      </c>
      <c r="E4997" s="213" t="s">
        <v>41608</v>
      </c>
      <c r="K4997" s="213" t="s">
        <v>59961</v>
      </c>
      <c r="L4997" s="213" t="s">
        <v>60047</v>
      </c>
      <c r="M4997" s="213" t="s">
        <v>60133</v>
      </c>
      <c r="N4997" s="213" t="s">
        <v>41609</v>
      </c>
      <c r="O4997" s="213" t="s">
        <v>41610</v>
      </c>
      <c r="P4997" s="213" t="s">
        <v>41611</v>
      </c>
      <c r="Q4997" s="213" t="s">
        <v>41612</v>
      </c>
      <c r="R4997" s="213" t="s">
        <v>41613</v>
      </c>
      <c r="S4997" s="213" t="s">
        <v>41614</v>
      </c>
      <c r="T4997" s="213" t="s">
        <v>41615</v>
      </c>
      <c r="U4997" s="213" t="s">
        <v>60219</v>
      </c>
    </row>
    <row r="4998" spans="1:21" x14ac:dyDescent="0.25">
      <c r="A4998" s="213" t="s">
        <v>327</v>
      </c>
      <c r="D4998" s="213" t="s">
        <v>41616</v>
      </c>
      <c r="E4998" s="213" t="s">
        <v>41617</v>
      </c>
      <c r="K4998" s="213" t="s">
        <v>59962</v>
      </c>
      <c r="L4998" s="213" t="s">
        <v>60048</v>
      </c>
      <c r="M4998" s="213" t="s">
        <v>60134</v>
      </c>
      <c r="N4998" s="213" t="s">
        <v>41618</v>
      </c>
      <c r="O4998" s="213" t="s">
        <v>41619</v>
      </c>
      <c r="P4998" s="213" t="s">
        <v>41620</v>
      </c>
      <c r="Q4998" s="213" t="s">
        <v>41621</v>
      </c>
      <c r="R4998" s="213" t="s">
        <v>41622</v>
      </c>
      <c r="S4998" s="213" t="s">
        <v>41623</v>
      </c>
      <c r="T4998" s="213" t="s">
        <v>41624</v>
      </c>
      <c r="U4998" s="213" t="s">
        <v>60220</v>
      </c>
    </row>
    <row r="4999" spans="1:21" x14ac:dyDescent="0.25">
      <c r="A4999" s="213" t="s">
        <v>327</v>
      </c>
      <c r="D4999" s="213" t="s">
        <v>41625</v>
      </c>
      <c r="E4999" s="213" t="s">
        <v>41626</v>
      </c>
      <c r="K4999" s="213" t="s">
        <v>59963</v>
      </c>
      <c r="L4999" s="213" t="s">
        <v>60049</v>
      </c>
      <c r="M4999" s="213" t="s">
        <v>60135</v>
      </c>
      <c r="N4999" s="213" t="s">
        <v>41627</v>
      </c>
      <c r="O4999" s="213" t="s">
        <v>41628</v>
      </c>
      <c r="P4999" s="213" t="s">
        <v>41629</v>
      </c>
      <c r="Q4999" s="213" t="s">
        <v>41630</v>
      </c>
      <c r="R4999" s="213" t="s">
        <v>41631</v>
      </c>
      <c r="S4999" s="213" t="s">
        <v>41632</v>
      </c>
      <c r="T4999" s="213" t="s">
        <v>41633</v>
      </c>
      <c r="U4999" s="213" t="s">
        <v>60221</v>
      </c>
    </row>
    <row r="5000" spans="1:21" x14ac:dyDescent="0.25">
      <c r="A5000" s="213" t="s">
        <v>327</v>
      </c>
      <c r="D5000" s="213" t="s">
        <v>41634</v>
      </c>
      <c r="E5000" s="213" t="s">
        <v>41635</v>
      </c>
      <c r="K5000" s="213" t="s">
        <v>59964</v>
      </c>
      <c r="L5000" s="213" t="s">
        <v>60050</v>
      </c>
      <c r="M5000" s="213" t="s">
        <v>60136</v>
      </c>
      <c r="N5000" s="213" t="s">
        <v>41636</v>
      </c>
      <c r="O5000" s="213" t="s">
        <v>41637</v>
      </c>
      <c r="P5000" s="213" t="s">
        <v>41638</v>
      </c>
      <c r="Q5000" s="213" t="s">
        <v>41639</v>
      </c>
      <c r="R5000" s="213" t="s">
        <v>41640</v>
      </c>
      <c r="S5000" s="213" t="s">
        <v>41641</v>
      </c>
      <c r="T5000" s="213" t="s">
        <v>41642</v>
      </c>
      <c r="U5000" s="213" t="s">
        <v>60222</v>
      </c>
    </row>
    <row r="5001" spans="1:21" x14ac:dyDescent="0.25">
      <c r="A5001" s="213" t="s">
        <v>327</v>
      </c>
      <c r="D5001" s="213" t="s">
        <v>41643</v>
      </c>
      <c r="E5001" s="213" t="s">
        <v>41644</v>
      </c>
      <c r="K5001" s="213" t="s">
        <v>59965</v>
      </c>
      <c r="L5001" s="213" t="s">
        <v>60051</v>
      </c>
      <c r="M5001" s="213" t="s">
        <v>60137</v>
      </c>
      <c r="N5001" s="213" t="s">
        <v>41645</v>
      </c>
      <c r="O5001" s="213" t="s">
        <v>41646</v>
      </c>
      <c r="P5001" s="213" t="s">
        <v>41647</v>
      </c>
      <c r="Q5001" s="213" t="s">
        <v>41648</v>
      </c>
      <c r="R5001" s="213" t="s">
        <v>41649</v>
      </c>
      <c r="S5001" s="213" t="s">
        <v>41650</v>
      </c>
      <c r="T5001" s="213" t="s">
        <v>41651</v>
      </c>
      <c r="U5001" s="213" t="s">
        <v>60223</v>
      </c>
    </row>
    <row r="5002" spans="1:21" x14ac:dyDescent="0.25">
      <c r="A5002" s="213" t="s">
        <v>327</v>
      </c>
      <c r="D5002" s="213" t="s">
        <v>41652</v>
      </c>
      <c r="E5002" s="213" t="s">
        <v>41653</v>
      </c>
      <c r="K5002" s="213" t="s">
        <v>59966</v>
      </c>
      <c r="L5002" s="213" t="s">
        <v>60052</v>
      </c>
      <c r="M5002" s="213" t="s">
        <v>60138</v>
      </c>
      <c r="N5002" s="213" t="s">
        <v>41654</v>
      </c>
      <c r="O5002" s="213" t="s">
        <v>41655</v>
      </c>
      <c r="P5002" s="213" t="s">
        <v>41656</v>
      </c>
      <c r="Q5002" s="213" t="s">
        <v>41657</v>
      </c>
      <c r="R5002" s="213" t="s">
        <v>41658</v>
      </c>
      <c r="S5002" s="213" t="s">
        <v>41659</v>
      </c>
      <c r="T5002" s="213" t="s">
        <v>41660</v>
      </c>
      <c r="U5002" s="213" t="s">
        <v>60224</v>
      </c>
    </row>
    <row r="5003" spans="1:21" x14ac:dyDescent="0.25">
      <c r="A5003" s="213" t="s">
        <v>327</v>
      </c>
      <c r="D5003" s="213" t="s">
        <v>41661</v>
      </c>
      <c r="E5003" s="213" t="s">
        <v>41662</v>
      </c>
      <c r="K5003" s="213" t="s">
        <v>59967</v>
      </c>
      <c r="L5003" s="213" t="s">
        <v>60053</v>
      </c>
      <c r="M5003" s="213" t="s">
        <v>60139</v>
      </c>
      <c r="N5003" s="213" t="s">
        <v>41663</v>
      </c>
      <c r="O5003" s="213" t="s">
        <v>41664</v>
      </c>
      <c r="P5003" s="213" t="s">
        <v>41665</v>
      </c>
      <c r="Q5003" s="213" t="s">
        <v>41666</v>
      </c>
      <c r="R5003" s="213" t="s">
        <v>41667</v>
      </c>
      <c r="S5003" s="213" t="s">
        <v>41668</v>
      </c>
      <c r="T5003" s="213" t="s">
        <v>41669</v>
      </c>
      <c r="U5003" s="213" t="s">
        <v>60225</v>
      </c>
    </row>
    <row r="5004" spans="1:21" x14ac:dyDescent="0.25">
      <c r="A5004" s="213" t="s">
        <v>327</v>
      </c>
      <c r="D5004" s="213" t="s">
        <v>41670</v>
      </c>
      <c r="E5004" s="213" t="s">
        <v>41671</v>
      </c>
      <c r="K5004" s="213" t="s">
        <v>59968</v>
      </c>
      <c r="L5004" s="213" t="s">
        <v>60054</v>
      </c>
      <c r="M5004" s="213" t="s">
        <v>60140</v>
      </c>
      <c r="N5004" s="213" t="s">
        <v>41672</v>
      </c>
      <c r="O5004" s="213" t="s">
        <v>41673</v>
      </c>
      <c r="P5004" s="213" t="s">
        <v>41674</v>
      </c>
      <c r="Q5004" s="213" t="s">
        <v>41675</v>
      </c>
      <c r="R5004" s="213" t="s">
        <v>41676</v>
      </c>
      <c r="S5004" s="213" t="s">
        <v>41677</v>
      </c>
      <c r="T5004" s="213" t="s">
        <v>41678</v>
      </c>
      <c r="U5004" s="213" t="s">
        <v>60226</v>
      </c>
    </row>
    <row r="5005" spans="1:21" x14ac:dyDescent="0.25">
      <c r="A5005" s="213" t="s">
        <v>327</v>
      </c>
      <c r="D5005" s="213" t="s">
        <v>41679</v>
      </c>
      <c r="E5005" s="213" t="s">
        <v>41680</v>
      </c>
      <c r="K5005" s="213" t="s">
        <v>59969</v>
      </c>
      <c r="L5005" s="213" t="s">
        <v>60055</v>
      </c>
      <c r="M5005" s="213" t="s">
        <v>60141</v>
      </c>
      <c r="N5005" s="213" t="s">
        <v>41681</v>
      </c>
      <c r="O5005" s="213" t="s">
        <v>41682</v>
      </c>
      <c r="P5005" s="213" t="s">
        <v>41683</v>
      </c>
      <c r="Q5005" s="213" t="s">
        <v>41684</v>
      </c>
      <c r="R5005" s="213" t="s">
        <v>41685</v>
      </c>
      <c r="S5005" s="213" t="s">
        <v>41686</v>
      </c>
      <c r="T5005" s="213" t="s">
        <v>41687</v>
      </c>
      <c r="U5005" s="213" t="s">
        <v>60227</v>
      </c>
    </row>
    <row r="5006" spans="1:21" x14ac:dyDescent="0.25">
      <c r="A5006" s="213" t="s">
        <v>327</v>
      </c>
      <c r="D5006" s="213" t="s">
        <v>41688</v>
      </c>
      <c r="E5006" s="213" t="s">
        <v>41689</v>
      </c>
      <c r="K5006" s="213" t="s">
        <v>59970</v>
      </c>
      <c r="L5006" s="213" t="s">
        <v>60056</v>
      </c>
      <c r="M5006" s="213" t="s">
        <v>60142</v>
      </c>
      <c r="N5006" s="213" t="s">
        <v>41690</v>
      </c>
      <c r="O5006" s="213" t="s">
        <v>41691</v>
      </c>
      <c r="P5006" s="213" t="s">
        <v>41692</v>
      </c>
      <c r="Q5006" s="213" t="s">
        <v>41693</v>
      </c>
      <c r="R5006" s="213" t="s">
        <v>41694</v>
      </c>
      <c r="S5006" s="213" t="s">
        <v>41695</v>
      </c>
      <c r="T5006" s="213" t="s">
        <v>41696</v>
      </c>
      <c r="U5006" s="213" t="s">
        <v>60228</v>
      </c>
    </row>
    <row r="5007" spans="1:21" x14ac:dyDescent="0.25">
      <c r="A5007" s="213" t="s">
        <v>327</v>
      </c>
      <c r="D5007" s="213" t="s">
        <v>41697</v>
      </c>
      <c r="E5007" s="213" t="s">
        <v>41698</v>
      </c>
      <c r="K5007" s="213" t="s">
        <v>59971</v>
      </c>
      <c r="L5007" s="213" t="s">
        <v>60057</v>
      </c>
      <c r="M5007" s="213" t="s">
        <v>60143</v>
      </c>
      <c r="N5007" s="213" t="s">
        <v>41699</v>
      </c>
      <c r="O5007" s="213" t="s">
        <v>41700</v>
      </c>
      <c r="P5007" s="213" t="s">
        <v>41701</v>
      </c>
      <c r="Q5007" s="213" t="s">
        <v>41702</v>
      </c>
      <c r="R5007" s="213" t="s">
        <v>41703</v>
      </c>
      <c r="S5007" s="213" t="s">
        <v>41704</v>
      </c>
      <c r="T5007" s="213" t="s">
        <v>41705</v>
      </c>
      <c r="U5007" s="213" t="s">
        <v>60229</v>
      </c>
    </row>
    <row r="5008" spans="1:21" x14ac:dyDescent="0.25">
      <c r="A5008" s="213" t="s">
        <v>327</v>
      </c>
      <c r="D5008" s="213" t="s">
        <v>41706</v>
      </c>
      <c r="E5008" s="213" t="s">
        <v>41707</v>
      </c>
      <c r="K5008" s="213" t="s">
        <v>59972</v>
      </c>
      <c r="L5008" s="213" t="s">
        <v>60058</v>
      </c>
      <c r="M5008" s="213" t="s">
        <v>60144</v>
      </c>
      <c r="N5008" s="213" t="s">
        <v>41708</v>
      </c>
      <c r="O5008" s="213" t="s">
        <v>41709</v>
      </c>
      <c r="P5008" s="213" t="s">
        <v>41710</v>
      </c>
      <c r="Q5008" s="213" t="s">
        <v>41711</v>
      </c>
      <c r="R5008" s="213" t="s">
        <v>41712</v>
      </c>
      <c r="S5008" s="213" t="s">
        <v>41713</v>
      </c>
      <c r="T5008" s="213" t="s">
        <v>41714</v>
      </c>
      <c r="U5008" s="213" t="s">
        <v>60230</v>
      </c>
    </row>
    <row r="5009" spans="1:21" x14ac:dyDescent="0.25">
      <c r="A5009" s="213" t="s">
        <v>327</v>
      </c>
      <c r="D5009" s="213" t="s">
        <v>41715</v>
      </c>
      <c r="E5009" s="213" t="s">
        <v>41716</v>
      </c>
      <c r="K5009" s="213" t="s">
        <v>59973</v>
      </c>
      <c r="L5009" s="213" t="s">
        <v>60059</v>
      </c>
      <c r="M5009" s="213" t="s">
        <v>60145</v>
      </c>
      <c r="N5009" s="213" t="s">
        <v>41717</v>
      </c>
      <c r="O5009" s="213" t="s">
        <v>41718</v>
      </c>
      <c r="P5009" s="213" t="s">
        <v>41719</v>
      </c>
      <c r="Q5009" s="213" t="s">
        <v>41720</v>
      </c>
      <c r="R5009" s="213" t="s">
        <v>41721</v>
      </c>
      <c r="S5009" s="213" t="s">
        <v>41722</v>
      </c>
      <c r="T5009" s="213" t="s">
        <v>41723</v>
      </c>
      <c r="U5009" s="213" t="s">
        <v>60231</v>
      </c>
    </row>
    <row r="5010" spans="1:21" x14ac:dyDescent="0.25">
      <c r="A5010" s="213" t="s">
        <v>327</v>
      </c>
      <c r="D5010" s="213" t="s">
        <v>41724</v>
      </c>
      <c r="E5010" s="213" t="s">
        <v>41725</v>
      </c>
      <c r="K5010" s="213" t="s">
        <v>59974</v>
      </c>
      <c r="L5010" s="213" t="s">
        <v>60060</v>
      </c>
      <c r="M5010" s="213" t="s">
        <v>60146</v>
      </c>
      <c r="N5010" s="213" t="s">
        <v>41726</v>
      </c>
      <c r="O5010" s="213" t="s">
        <v>41727</v>
      </c>
      <c r="P5010" s="213" t="s">
        <v>41728</v>
      </c>
      <c r="Q5010" s="213" t="s">
        <v>41729</v>
      </c>
      <c r="R5010" s="213" t="s">
        <v>41730</v>
      </c>
      <c r="S5010" s="213" t="s">
        <v>41731</v>
      </c>
      <c r="T5010" s="213" t="s">
        <v>41732</v>
      </c>
      <c r="U5010" s="213" t="s">
        <v>60232</v>
      </c>
    </row>
    <row r="5011" spans="1:21" x14ac:dyDescent="0.25">
      <c r="A5011" s="213" t="s">
        <v>327</v>
      </c>
      <c r="D5011" s="213" t="s">
        <v>41733</v>
      </c>
      <c r="E5011" s="213" t="s">
        <v>41734</v>
      </c>
      <c r="K5011" s="213" t="s">
        <v>59975</v>
      </c>
      <c r="L5011" s="213" t="s">
        <v>60061</v>
      </c>
      <c r="M5011" s="213" t="s">
        <v>60147</v>
      </c>
      <c r="N5011" s="213" t="s">
        <v>41735</v>
      </c>
      <c r="O5011" s="213" t="s">
        <v>41736</v>
      </c>
      <c r="P5011" s="213" t="s">
        <v>41737</v>
      </c>
      <c r="Q5011" s="213" t="s">
        <v>41738</v>
      </c>
      <c r="R5011" s="213" t="s">
        <v>41739</v>
      </c>
      <c r="S5011" s="213" t="s">
        <v>41740</v>
      </c>
      <c r="T5011" s="213" t="s">
        <v>41741</v>
      </c>
      <c r="U5011" s="213" t="s">
        <v>60233</v>
      </c>
    </row>
    <row r="5012" spans="1:21" x14ac:dyDescent="0.25">
      <c r="A5012" s="213" t="s">
        <v>327</v>
      </c>
      <c r="D5012" s="213" t="s">
        <v>41742</v>
      </c>
      <c r="E5012" s="213" t="s">
        <v>41743</v>
      </c>
      <c r="K5012" s="213" t="s">
        <v>59976</v>
      </c>
      <c r="L5012" s="213" t="s">
        <v>60062</v>
      </c>
      <c r="M5012" s="213" t="s">
        <v>60148</v>
      </c>
      <c r="N5012" s="213" t="s">
        <v>41744</v>
      </c>
      <c r="O5012" s="213" t="s">
        <v>41745</v>
      </c>
      <c r="P5012" s="213" t="s">
        <v>41746</v>
      </c>
      <c r="Q5012" s="213" t="s">
        <v>41747</v>
      </c>
      <c r="R5012" s="213" t="s">
        <v>41748</v>
      </c>
      <c r="S5012" s="213" t="s">
        <v>41749</v>
      </c>
      <c r="T5012" s="213" t="s">
        <v>41750</v>
      </c>
      <c r="U5012" s="213" t="s">
        <v>60234</v>
      </c>
    </row>
    <row r="5013" spans="1:21" x14ac:dyDescent="0.25">
      <c r="A5013" s="213" t="s">
        <v>327</v>
      </c>
      <c r="D5013" s="213" t="s">
        <v>41751</v>
      </c>
      <c r="E5013" s="213" t="s">
        <v>41752</v>
      </c>
      <c r="K5013" s="213" t="s">
        <v>59977</v>
      </c>
      <c r="L5013" s="213" t="s">
        <v>60063</v>
      </c>
      <c r="M5013" s="213" t="s">
        <v>60149</v>
      </c>
      <c r="N5013" s="213" t="s">
        <v>41753</v>
      </c>
      <c r="O5013" s="213" t="s">
        <v>41754</v>
      </c>
      <c r="P5013" s="213" t="s">
        <v>41755</v>
      </c>
      <c r="Q5013" s="213" t="s">
        <v>41756</v>
      </c>
      <c r="R5013" s="213" t="s">
        <v>41757</v>
      </c>
      <c r="S5013" s="213" t="s">
        <v>41758</v>
      </c>
      <c r="T5013" s="213" t="s">
        <v>41759</v>
      </c>
      <c r="U5013" s="213" t="s">
        <v>60235</v>
      </c>
    </row>
    <row r="5014" spans="1:21" x14ac:dyDescent="0.25">
      <c r="A5014" s="213" t="s">
        <v>327</v>
      </c>
      <c r="D5014" s="213" t="s">
        <v>41760</v>
      </c>
      <c r="E5014" s="213" t="s">
        <v>41761</v>
      </c>
      <c r="K5014" s="213" t="s">
        <v>59978</v>
      </c>
      <c r="L5014" s="213" t="s">
        <v>60064</v>
      </c>
      <c r="M5014" s="213" t="s">
        <v>60150</v>
      </c>
      <c r="N5014" s="213" t="s">
        <v>41762</v>
      </c>
      <c r="O5014" s="213" t="s">
        <v>41763</v>
      </c>
      <c r="P5014" s="213" t="s">
        <v>41764</v>
      </c>
      <c r="Q5014" s="213" t="s">
        <v>41765</v>
      </c>
      <c r="R5014" s="213" t="s">
        <v>41766</v>
      </c>
      <c r="S5014" s="213" t="s">
        <v>41767</v>
      </c>
      <c r="T5014" s="213" t="s">
        <v>41768</v>
      </c>
      <c r="U5014" s="213" t="s">
        <v>60236</v>
      </c>
    </row>
    <row r="5015" spans="1:21" x14ac:dyDescent="0.25">
      <c r="A5015" s="213" t="s">
        <v>327</v>
      </c>
      <c r="D5015" s="213" t="s">
        <v>41769</v>
      </c>
      <c r="E5015" s="213" t="s">
        <v>41770</v>
      </c>
      <c r="K5015" s="213" t="s">
        <v>59979</v>
      </c>
      <c r="L5015" s="213" t="s">
        <v>60065</v>
      </c>
      <c r="M5015" s="213" t="s">
        <v>60151</v>
      </c>
      <c r="N5015" s="213" t="s">
        <v>41771</v>
      </c>
      <c r="O5015" s="213" t="s">
        <v>41772</v>
      </c>
      <c r="P5015" s="213" t="s">
        <v>41773</v>
      </c>
      <c r="Q5015" s="213" t="s">
        <v>41774</v>
      </c>
      <c r="R5015" s="213" t="s">
        <v>41775</v>
      </c>
      <c r="S5015" s="213" t="s">
        <v>41776</v>
      </c>
      <c r="T5015" s="213" t="s">
        <v>41777</v>
      </c>
      <c r="U5015" s="213" t="s">
        <v>60237</v>
      </c>
    </row>
    <row r="5016" spans="1:21" x14ac:dyDescent="0.25">
      <c r="A5016" s="213" t="s">
        <v>327</v>
      </c>
      <c r="D5016" s="213" t="s">
        <v>41778</v>
      </c>
      <c r="E5016" s="213" t="s">
        <v>41779</v>
      </c>
      <c r="K5016" s="213" t="s">
        <v>59980</v>
      </c>
      <c r="L5016" s="213" t="s">
        <v>60066</v>
      </c>
      <c r="M5016" s="213" t="s">
        <v>60152</v>
      </c>
      <c r="N5016" s="213" t="s">
        <v>41780</v>
      </c>
      <c r="O5016" s="213" t="s">
        <v>41781</v>
      </c>
      <c r="P5016" s="213" t="s">
        <v>41782</v>
      </c>
      <c r="Q5016" s="213" t="s">
        <v>41783</v>
      </c>
      <c r="R5016" s="213" t="s">
        <v>41784</v>
      </c>
      <c r="S5016" s="213" t="s">
        <v>41785</v>
      </c>
      <c r="T5016" s="213" t="s">
        <v>41786</v>
      </c>
      <c r="U5016" s="213" t="s">
        <v>60238</v>
      </c>
    </row>
    <row r="5017" spans="1:21" x14ac:dyDescent="0.25">
      <c r="A5017" s="213" t="s">
        <v>327</v>
      </c>
      <c r="D5017" s="213" t="s">
        <v>41787</v>
      </c>
      <c r="E5017" s="213" t="s">
        <v>41788</v>
      </c>
      <c r="K5017" s="213" t="s">
        <v>59981</v>
      </c>
      <c r="L5017" s="213" t="s">
        <v>60067</v>
      </c>
      <c r="M5017" s="213" t="s">
        <v>60153</v>
      </c>
      <c r="N5017" s="213" t="s">
        <v>41789</v>
      </c>
      <c r="O5017" s="213" t="s">
        <v>41790</v>
      </c>
      <c r="P5017" s="213" t="s">
        <v>41791</v>
      </c>
      <c r="Q5017" s="213" t="s">
        <v>41792</v>
      </c>
      <c r="R5017" s="213" t="s">
        <v>41793</v>
      </c>
      <c r="S5017" s="213" t="s">
        <v>41794</v>
      </c>
      <c r="T5017" s="213" t="s">
        <v>41795</v>
      </c>
      <c r="U5017" s="213" t="s">
        <v>60239</v>
      </c>
    </row>
    <row r="5018" spans="1:21" x14ac:dyDescent="0.25">
      <c r="A5018" s="213" t="s">
        <v>327</v>
      </c>
      <c r="D5018" s="213" t="s">
        <v>41796</v>
      </c>
      <c r="E5018" s="213" t="s">
        <v>41797</v>
      </c>
      <c r="K5018" s="213" t="s">
        <v>59982</v>
      </c>
      <c r="L5018" s="213" t="s">
        <v>60068</v>
      </c>
      <c r="M5018" s="213" t="s">
        <v>60154</v>
      </c>
      <c r="N5018" s="213" t="s">
        <v>41798</v>
      </c>
      <c r="O5018" s="213" t="s">
        <v>41799</v>
      </c>
      <c r="P5018" s="213" t="s">
        <v>41800</v>
      </c>
      <c r="Q5018" s="213" t="s">
        <v>41801</v>
      </c>
      <c r="R5018" s="213" t="s">
        <v>41802</v>
      </c>
      <c r="S5018" s="213" t="s">
        <v>41803</v>
      </c>
      <c r="T5018" s="213" t="s">
        <v>41804</v>
      </c>
      <c r="U5018" s="213" t="s">
        <v>60240</v>
      </c>
    </row>
    <row r="5019" spans="1:21" x14ac:dyDescent="0.25">
      <c r="A5019" s="213" t="s">
        <v>327</v>
      </c>
      <c r="D5019" s="213" t="s">
        <v>41805</v>
      </c>
      <c r="E5019" s="213" t="s">
        <v>41806</v>
      </c>
      <c r="K5019" s="213" t="s">
        <v>59983</v>
      </c>
      <c r="L5019" s="213" t="s">
        <v>60069</v>
      </c>
      <c r="M5019" s="213" t="s">
        <v>60155</v>
      </c>
      <c r="N5019" s="213" t="s">
        <v>41807</v>
      </c>
      <c r="O5019" s="213" t="s">
        <v>41808</v>
      </c>
      <c r="P5019" s="213" t="s">
        <v>41809</v>
      </c>
      <c r="Q5019" s="213" t="s">
        <v>41810</v>
      </c>
      <c r="R5019" s="213" t="s">
        <v>41811</v>
      </c>
      <c r="S5019" s="213" t="s">
        <v>41812</v>
      </c>
      <c r="T5019" s="213" t="s">
        <v>41813</v>
      </c>
      <c r="U5019" s="213" t="s">
        <v>60241</v>
      </c>
    </row>
    <row r="5020" spans="1:21" x14ac:dyDescent="0.25">
      <c r="A5020" s="213" t="s">
        <v>327</v>
      </c>
      <c r="D5020" s="213" t="s">
        <v>41814</v>
      </c>
      <c r="E5020" s="213" t="s">
        <v>41815</v>
      </c>
      <c r="K5020" s="213" t="s">
        <v>59984</v>
      </c>
      <c r="L5020" s="213" t="s">
        <v>60070</v>
      </c>
      <c r="M5020" s="213" t="s">
        <v>60156</v>
      </c>
      <c r="N5020" s="213" t="s">
        <v>41816</v>
      </c>
      <c r="O5020" s="213" t="s">
        <v>41817</v>
      </c>
      <c r="P5020" s="213" t="s">
        <v>41818</v>
      </c>
      <c r="Q5020" s="213" t="s">
        <v>41819</v>
      </c>
      <c r="R5020" s="213" t="s">
        <v>41820</v>
      </c>
      <c r="S5020" s="213" t="s">
        <v>41821</v>
      </c>
      <c r="T5020" s="213" t="s">
        <v>41822</v>
      </c>
      <c r="U5020" s="213" t="s">
        <v>60242</v>
      </c>
    </row>
    <row r="5021" spans="1:21" x14ac:dyDescent="0.25">
      <c r="A5021" s="213" t="s">
        <v>327</v>
      </c>
      <c r="D5021" s="213" t="s">
        <v>41823</v>
      </c>
      <c r="E5021" s="213" t="s">
        <v>41824</v>
      </c>
      <c r="K5021" s="213" t="s">
        <v>59985</v>
      </c>
      <c r="L5021" s="213" t="s">
        <v>60071</v>
      </c>
      <c r="M5021" s="213" t="s">
        <v>60157</v>
      </c>
      <c r="N5021" s="213" t="s">
        <v>41825</v>
      </c>
      <c r="O5021" s="213" t="s">
        <v>41826</v>
      </c>
      <c r="P5021" s="213" t="s">
        <v>41827</v>
      </c>
      <c r="Q5021" s="213" t="s">
        <v>41828</v>
      </c>
      <c r="R5021" s="213" t="s">
        <v>41829</v>
      </c>
      <c r="S5021" s="213" t="s">
        <v>41830</v>
      </c>
      <c r="T5021" s="213" t="s">
        <v>41831</v>
      </c>
      <c r="U5021" s="213" t="s">
        <v>60243</v>
      </c>
    </row>
    <row r="5022" spans="1:21" x14ac:dyDescent="0.25">
      <c r="A5022" s="213" t="s">
        <v>327</v>
      </c>
      <c r="D5022" s="213" t="s">
        <v>41832</v>
      </c>
      <c r="E5022" s="213" t="s">
        <v>41833</v>
      </c>
      <c r="K5022" s="213" t="s">
        <v>59986</v>
      </c>
      <c r="L5022" s="213" t="s">
        <v>60072</v>
      </c>
      <c r="M5022" s="213" t="s">
        <v>60158</v>
      </c>
      <c r="N5022" s="213" t="s">
        <v>41834</v>
      </c>
      <c r="O5022" s="213" t="s">
        <v>41835</v>
      </c>
      <c r="P5022" s="213" t="s">
        <v>41836</v>
      </c>
      <c r="Q5022" s="213" t="s">
        <v>41837</v>
      </c>
      <c r="R5022" s="213" t="s">
        <v>41838</v>
      </c>
      <c r="S5022" s="213" t="s">
        <v>41839</v>
      </c>
      <c r="T5022" s="213" t="s">
        <v>41840</v>
      </c>
      <c r="U5022" s="213" t="s">
        <v>60244</v>
      </c>
    </row>
    <row r="5023" spans="1:21" x14ac:dyDescent="0.25">
      <c r="A5023" s="213" t="s">
        <v>327</v>
      </c>
      <c r="D5023" s="213" t="s">
        <v>41841</v>
      </c>
      <c r="E5023" s="213" t="s">
        <v>41842</v>
      </c>
      <c r="K5023" s="213" t="s">
        <v>59987</v>
      </c>
      <c r="L5023" s="213" t="s">
        <v>60073</v>
      </c>
      <c r="M5023" s="213" t="s">
        <v>60159</v>
      </c>
      <c r="N5023" s="213" t="s">
        <v>41843</v>
      </c>
      <c r="O5023" s="213" t="s">
        <v>41844</v>
      </c>
      <c r="P5023" s="213" t="s">
        <v>41845</v>
      </c>
      <c r="Q5023" s="213" t="s">
        <v>41846</v>
      </c>
      <c r="R5023" s="213" t="s">
        <v>41847</v>
      </c>
      <c r="S5023" s="213" t="s">
        <v>41848</v>
      </c>
      <c r="T5023" s="213" t="s">
        <v>41849</v>
      </c>
      <c r="U5023" s="213" t="s">
        <v>60245</v>
      </c>
    </row>
    <row r="5024" spans="1:21" x14ac:dyDescent="0.25">
      <c r="A5024" s="213" t="s">
        <v>327</v>
      </c>
      <c r="D5024" s="213" t="s">
        <v>41850</v>
      </c>
      <c r="E5024" s="213" t="s">
        <v>41851</v>
      </c>
      <c r="K5024" s="213" t="s">
        <v>59988</v>
      </c>
      <c r="L5024" s="213" t="s">
        <v>60074</v>
      </c>
      <c r="M5024" s="213" t="s">
        <v>60160</v>
      </c>
      <c r="N5024" s="213" t="s">
        <v>41852</v>
      </c>
      <c r="O5024" s="213" t="s">
        <v>41853</v>
      </c>
      <c r="P5024" s="213" t="s">
        <v>41854</v>
      </c>
      <c r="Q5024" s="213" t="s">
        <v>41855</v>
      </c>
      <c r="R5024" s="213" t="s">
        <v>41856</v>
      </c>
      <c r="S5024" s="213" t="s">
        <v>41857</v>
      </c>
      <c r="T5024" s="213" t="s">
        <v>41858</v>
      </c>
      <c r="U5024" s="213" t="s">
        <v>60246</v>
      </c>
    </row>
    <row r="5025" spans="1:21" x14ac:dyDescent="0.25">
      <c r="A5025" s="213" t="s">
        <v>327</v>
      </c>
      <c r="D5025" s="213" t="s">
        <v>41859</v>
      </c>
      <c r="E5025" s="213" t="s">
        <v>41860</v>
      </c>
      <c r="K5025" s="213" t="s">
        <v>59989</v>
      </c>
      <c r="L5025" s="213" t="s">
        <v>60075</v>
      </c>
      <c r="M5025" s="213" t="s">
        <v>60161</v>
      </c>
      <c r="N5025" s="213" t="s">
        <v>41861</v>
      </c>
      <c r="O5025" s="213" t="s">
        <v>41862</v>
      </c>
      <c r="P5025" s="213" t="s">
        <v>41863</v>
      </c>
      <c r="Q5025" s="213" t="s">
        <v>41864</v>
      </c>
      <c r="R5025" s="213" t="s">
        <v>41865</v>
      </c>
      <c r="S5025" s="213" t="s">
        <v>41866</v>
      </c>
      <c r="T5025" s="213" t="s">
        <v>41867</v>
      </c>
      <c r="U5025" s="213" t="s">
        <v>60247</v>
      </c>
    </row>
    <row r="5026" spans="1:21" x14ac:dyDescent="0.25">
      <c r="A5026" s="213" t="s">
        <v>327</v>
      </c>
      <c r="D5026" s="213" t="s">
        <v>41868</v>
      </c>
      <c r="E5026" s="213" t="s">
        <v>41869</v>
      </c>
      <c r="K5026" s="213" t="s">
        <v>59990</v>
      </c>
      <c r="L5026" s="213" t="s">
        <v>60076</v>
      </c>
      <c r="M5026" s="213" t="s">
        <v>60162</v>
      </c>
      <c r="N5026" s="213" t="s">
        <v>41870</v>
      </c>
      <c r="O5026" s="213" t="s">
        <v>41871</v>
      </c>
      <c r="P5026" s="213" t="s">
        <v>41872</v>
      </c>
      <c r="Q5026" s="213" t="s">
        <v>41873</v>
      </c>
      <c r="R5026" s="213" t="s">
        <v>41874</v>
      </c>
      <c r="S5026" s="213" t="s">
        <v>41875</v>
      </c>
      <c r="T5026" s="213" t="s">
        <v>41876</v>
      </c>
      <c r="U5026" s="213" t="s">
        <v>60248</v>
      </c>
    </row>
    <row r="5027" spans="1:21" x14ac:dyDescent="0.25">
      <c r="A5027" s="213" t="s">
        <v>327</v>
      </c>
      <c r="D5027" s="213" t="s">
        <v>41877</v>
      </c>
      <c r="E5027" s="213" t="s">
        <v>41878</v>
      </c>
      <c r="K5027" s="213" t="s">
        <v>59991</v>
      </c>
      <c r="L5027" s="213" t="s">
        <v>60077</v>
      </c>
      <c r="M5027" s="213" t="s">
        <v>60163</v>
      </c>
      <c r="N5027" s="213" t="s">
        <v>41879</v>
      </c>
      <c r="O5027" s="213" t="s">
        <v>41880</v>
      </c>
      <c r="P5027" s="213" t="s">
        <v>41881</v>
      </c>
      <c r="Q5027" s="213" t="s">
        <v>41882</v>
      </c>
      <c r="R5027" s="213" t="s">
        <v>41883</v>
      </c>
      <c r="S5027" s="213" t="s">
        <v>41884</v>
      </c>
      <c r="T5027" s="213" t="s">
        <v>41885</v>
      </c>
      <c r="U5027" s="213" t="s">
        <v>60249</v>
      </c>
    </row>
    <row r="5028" spans="1:21" x14ac:dyDescent="0.25">
      <c r="A5028" s="213" t="s">
        <v>327</v>
      </c>
    </row>
    <row r="5029" spans="1:21" x14ac:dyDescent="0.25">
      <c r="A5029" s="213" t="s">
        <v>327</v>
      </c>
    </row>
    <row r="5030" spans="1:21" x14ac:dyDescent="0.25">
      <c r="A5030" s="213" t="s">
        <v>327</v>
      </c>
      <c r="C5030" s="213" t="s">
        <v>41886</v>
      </c>
      <c r="E5030" s="213" t="s">
        <v>41887</v>
      </c>
      <c r="H5030" s="213" t="s">
        <v>41888</v>
      </c>
      <c r="I5030" s="213" t="s">
        <v>41889</v>
      </c>
      <c r="J5030" s="213" t="s">
        <v>41890</v>
      </c>
      <c r="L5030" s="213" t="s">
        <v>41891</v>
      </c>
      <c r="O5030" s="213" t="s">
        <v>41892</v>
      </c>
      <c r="P5030" s="213" t="s">
        <v>41893</v>
      </c>
      <c r="Q5030" s="213" t="s">
        <v>41894</v>
      </c>
      <c r="R5030" s="213" t="s">
        <v>41895</v>
      </c>
      <c r="S5030" s="213" t="s">
        <v>41896</v>
      </c>
      <c r="T5030" s="213" t="s">
        <v>41897</v>
      </c>
    </row>
    <row r="5031" spans="1:21" x14ac:dyDescent="0.25">
      <c r="A5031" s="213" t="s">
        <v>327</v>
      </c>
      <c r="C5031" s="213" t="s">
        <v>41898</v>
      </c>
      <c r="E5031" s="213" t="s">
        <v>41899</v>
      </c>
      <c r="I5031" s="213" t="s">
        <v>41900</v>
      </c>
    </row>
    <row r="5032" spans="1:21" x14ac:dyDescent="0.25">
      <c r="A5032" s="213" t="s">
        <v>327</v>
      </c>
      <c r="C5032" s="213" t="s">
        <v>41901</v>
      </c>
      <c r="E5032" s="213" t="s">
        <v>41902</v>
      </c>
      <c r="I5032" s="213" t="s">
        <v>41903</v>
      </c>
    </row>
    <row r="5033" spans="1:21" x14ac:dyDescent="0.25">
      <c r="A5033" s="213" t="s">
        <v>328</v>
      </c>
    </row>
    <row r="5034" spans="1:21" x14ac:dyDescent="0.25">
      <c r="A5034" s="213" t="s">
        <v>327</v>
      </c>
      <c r="D5034" s="213" t="s">
        <v>41904</v>
      </c>
      <c r="E5034" s="213" t="s">
        <v>41905</v>
      </c>
      <c r="K5034" s="213" t="s">
        <v>59766</v>
      </c>
      <c r="L5034" s="213" t="s">
        <v>59801</v>
      </c>
      <c r="M5034" s="213" t="s">
        <v>59836</v>
      </c>
      <c r="N5034" s="213" t="s">
        <v>41906</v>
      </c>
      <c r="O5034" s="213" t="s">
        <v>41907</v>
      </c>
      <c r="P5034" s="213" t="s">
        <v>41908</v>
      </c>
      <c r="Q5034" s="213" t="s">
        <v>41909</v>
      </c>
      <c r="R5034" s="213" t="s">
        <v>41910</v>
      </c>
      <c r="S5034" s="213" t="s">
        <v>41911</v>
      </c>
      <c r="T5034" s="213" t="s">
        <v>41912</v>
      </c>
      <c r="U5034" s="213" t="s">
        <v>59871</v>
      </c>
    </row>
    <row r="5035" spans="1:21" x14ac:dyDescent="0.25">
      <c r="A5035" s="213" t="s">
        <v>327</v>
      </c>
      <c r="D5035" s="213" t="s">
        <v>41913</v>
      </c>
      <c r="E5035" s="213" t="s">
        <v>41914</v>
      </c>
      <c r="K5035" s="213" t="s">
        <v>59767</v>
      </c>
      <c r="L5035" s="213" t="s">
        <v>59802</v>
      </c>
      <c r="M5035" s="213" t="s">
        <v>59837</v>
      </c>
      <c r="N5035" s="213" t="s">
        <v>41915</v>
      </c>
      <c r="O5035" s="213" t="s">
        <v>41916</v>
      </c>
      <c r="P5035" s="213" t="s">
        <v>41917</v>
      </c>
      <c r="Q5035" s="213" t="s">
        <v>41918</v>
      </c>
      <c r="R5035" s="213" t="s">
        <v>41919</v>
      </c>
      <c r="S5035" s="213" t="s">
        <v>41920</v>
      </c>
      <c r="T5035" s="213" t="s">
        <v>41921</v>
      </c>
      <c r="U5035" s="213" t="s">
        <v>59872</v>
      </c>
    </row>
    <row r="5036" spans="1:21" x14ac:dyDescent="0.25">
      <c r="A5036" s="213" t="s">
        <v>327</v>
      </c>
      <c r="D5036" s="213" t="s">
        <v>41922</v>
      </c>
      <c r="E5036" s="213" t="s">
        <v>41923</v>
      </c>
      <c r="K5036" s="213" t="s">
        <v>59768</v>
      </c>
      <c r="L5036" s="213" t="s">
        <v>59803</v>
      </c>
      <c r="M5036" s="213" t="s">
        <v>59838</v>
      </c>
      <c r="N5036" s="213" t="s">
        <v>41924</v>
      </c>
      <c r="O5036" s="213" t="s">
        <v>41925</v>
      </c>
      <c r="P5036" s="213" t="s">
        <v>41926</v>
      </c>
      <c r="Q5036" s="213" t="s">
        <v>41927</v>
      </c>
      <c r="R5036" s="213" t="s">
        <v>41928</v>
      </c>
      <c r="S5036" s="213" t="s">
        <v>41929</v>
      </c>
      <c r="T5036" s="213" t="s">
        <v>41930</v>
      </c>
      <c r="U5036" s="213" t="s">
        <v>59873</v>
      </c>
    </row>
    <row r="5037" spans="1:21" x14ac:dyDescent="0.25">
      <c r="A5037" s="213" t="s">
        <v>327</v>
      </c>
      <c r="D5037" s="213" t="s">
        <v>41931</v>
      </c>
      <c r="E5037" s="213" t="s">
        <v>41932</v>
      </c>
      <c r="K5037" s="213" t="s">
        <v>59769</v>
      </c>
      <c r="L5037" s="213" t="s">
        <v>59804</v>
      </c>
      <c r="M5037" s="213" t="s">
        <v>59839</v>
      </c>
      <c r="N5037" s="213" t="s">
        <v>41933</v>
      </c>
      <c r="O5037" s="213" t="s">
        <v>41934</v>
      </c>
      <c r="P5037" s="213" t="s">
        <v>41935</v>
      </c>
      <c r="Q5037" s="213" t="s">
        <v>41936</v>
      </c>
      <c r="R5037" s="213" t="s">
        <v>41937</v>
      </c>
      <c r="S5037" s="213" t="s">
        <v>41938</v>
      </c>
      <c r="T5037" s="213" t="s">
        <v>41939</v>
      </c>
      <c r="U5037" s="213" t="s">
        <v>59874</v>
      </c>
    </row>
    <row r="5038" spans="1:21" x14ac:dyDescent="0.25">
      <c r="A5038" s="213" t="s">
        <v>327</v>
      </c>
      <c r="D5038" s="213" t="s">
        <v>41940</v>
      </c>
      <c r="E5038" s="213" t="s">
        <v>41941</v>
      </c>
      <c r="K5038" s="213" t="s">
        <v>59770</v>
      </c>
      <c r="L5038" s="213" t="s">
        <v>59805</v>
      </c>
      <c r="M5038" s="213" t="s">
        <v>59840</v>
      </c>
      <c r="N5038" s="213" t="s">
        <v>41942</v>
      </c>
      <c r="O5038" s="213" t="s">
        <v>41943</v>
      </c>
      <c r="P5038" s="213" t="s">
        <v>41944</v>
      </c>
      <c r="Q5038" s="213" t="s">
        <v>41945</v>
      </c>
      <c r="R5038" s="213" t="s">
        <v>41946</v>
      </c>
      <c r="S5038" s="213" t="s">
        <v>41947</v>
      </c>
      <c r="T5038" s="213" t="s">
        <v>41948</v>
      </c>
      <c r="U5038" s="213" t="s">
        <v>59875</v>
      </c>
    </row>
    <row r="5039" spans="1:21" x14ac:dyDescent="0.25">
      <c r="A5039" s="213" t="s">
        <v>327</v>
      </c>
      <c r="D5039" s="213" t="s">
        <v>41949</v>
      </c>
      <c r="E5039" s="213" t="s">
        <v>41950</v>
      </c>
      <c r="K5039" s="213" t="s">
        <v>59771</v>
      </c>
      <c r="L5039" s="213" t="s">
        <v>59806</v>
      </c>
      <c r="M5039" s="213" t="s">
        <v>59841</v>
      </c>
      <c r="N5039" s="213" t="s">
        <v>41951</v>
      </c>
      <c r="O5039" s="213" t="s">
        <v>41952</v>
      </c>
      <c r="P5039" s="213" t="s">
        <v>41953</v>
      </c>
      <c r="Q5039" s="213" t="s">
        <v>41954</v>
      </c>
      <c r="R5039" s="213" t="s">
        <v>41955</v>
      </c>
      <c r="S5039" s="213" t="s">
        <v>41956</v>
      </c>
      <c r="T5039" s="213" t="s">
        <v>41957</v>
      </c>
      <c r="U5039" s="213" t="s">
        <v>59876</v>
      </c>
    </row>
    <row r="5040" spans="1:21" x14ac:dyDescent="0.25">
      <c r="A5040" s="213" t="s">
        <v>327</v>
      </c>
      <c r="D5040" s="213" t="s">
        <v>41958</v>
      </c>
      <c r="E5040" s="213" t="s">
        <v>41959</v>
      </c>
      <c r="K5040" s="213" t="s">
        <v>59772</v>
      </c>
      <c r="L5040" s="213" t="s">
        <v>59807</v>
      </c>
      <c r="M5040" s="213" t="s">
        <v>59842</v>
      </c>
      <c r="N5040" s="213" t="s">
        <v>41960</v>
      </c>
      <c r="O5040" s="213" t="s">
        <v>41961</v>
      </c>
      <c r="P5040" s="213" t="s">
        <v>41962</v>
      </c>
      <c r="Q5040" s="213" t="s">
        <v>41963</v>
      </c>
      <c r="R5040" s="213" t="s">
        <v>41964</v>
      </c>
      <c r="S5040" s="213" t="s">
        <v>41965</v>
      </c>
      <c r="T5040" s="213" t="s">
        <v>41966</v>
      </c>
      <c r="U5040" s="213" t="s">
        <v>59877</v>
      </c>
    </row>
    <row r="5041" spans="1:21" x14ac:dyDescent="0.25">
      <c r="A5041" s="213" t="s">
        <v>327</v>
      </c>
      <c r="D5041" s="213" t="s">
        <v>41967</v>
      </c>
      <c r="E5041" s="213" t="s">
        <v>41968</v>
      </c>
      <c r="K5041" s="213" t="s">
        <v>59773</v>
      </c>
      <c r="L5041" s="213" t="s">
        <v>59808</v>
      </c>
      <c r="M5041" s="213" t="s">
        <v>59843</v>
      </c>
      <c r="N5041" s="213" t="s">
        <v>41969</v>
      </c>
      <c r="O5041" s="213" t="s">
        <v>41970</v>
      </c>
      <c r="P5041" s="213" t="s">
        <v>41971</v>
      </c>
      <c r="Q5041" s="213" t="s">
        <v>41972</v>
      </c>
      <c r="R5041" s="213" t="s">
        <v>41973</v>
      </c>
      <c r="S5041" s="213" t="s">
        <v>41974</v>
      </c>
      <c r="T5041" s="213" t="s">
        <v>41975</v>
      </c>
      <c r="U5041" s="213" t="s">
        <v>59878</v>
      </c>
    </row>
    <row r="5042" spans="1:21" x14ac:dyDescent="0.25">
      <c r="A5042" s="213" t="s">
        <v>327</v>
      </c>
      <c r="D5042" s="213" t="s">
        <v>41976</v>
      </c>
      <c r="E5042" s="213" t="s">
        <v>41977</v>
      </c>
      <c r="K5042" s="213" t="s">
        <v>59774</v>
      </c>
      <c r="L5042" s="213" t="s">
        <v>59809</v>
      </c>
      <c r="M5042" s="213" t="s">
        <v>59844</v>
      </c>
      <c r="N5042" s="213" t="s">
        <v>41978</v>
      </c>
      <c r="O5042" s="213" t="s">
        <v>41979</v>
      </c>
      <c r="P5042" s="213" t="s">
        <v>41980</v>
      </c>
      <c r="Q5042" s="213" t="s">
        <v>41981</v>
      </c>
      <c r="R5042" s="213" t="s">
        <v>41982</v>
      </c>
      <c r="S5042" s="213" t="s">
        <v>41983</v>
      </c>
      <c r="T5042" s="213" t="s">
        <v>41984</v>
      </c>
      <c r="U5042" s="213" t="s">
        <v>59879</v>
      </c>
    </row>
    <row r="5043" spans="1:21" x14ac:dyDescent="0.25">
      <c r="A5043" s="213" t="s">
        <v>327</v>
      </c>
      <c r="D5043" s="213" t="s">
        <v>41985</v>
      </c>
      <c r="E5043" s="213" t="s">
        <v>41986</v>
      </c>
      <c r="K5043" s="213" t="s">
        <v>59775</v>
      </c>
      <c r="L5043" s="213" t="s">
        <v>59810</v>
      </c>
      <c r="M5043" s="213" t="s">
        <v>59845</v>
      </c>
      <c r="N5043" s="213" t="s">
        <v>41987</v>
      </c>
      <c r="O5043" s="213" t="s">
        <v>41988</v>
      </c>
      <c r="P5043" s="213" t="s">
        <v>41989</v>
      </c>
      <c r="Q5043" s="213" t="s">
        <v>41990</v>
      </c>
      <c r="R5043" s="213" t="s">
        <v>41991</v>
      </c>
      <c r="S5043" s="213" t="s">
        <v>41992</v>
      </c>
      <c r="T5043" s="213" t="s">
        <v>41993</v>
      </c>
      <c r="U5043" s="213" t="s">
        <v>59880</v>
      </c>
    </row>
    <row r="5044" spans="1:21" x14ac:dyDescent="0.25">
      <c r="A5044" s="213" t="s">
        <v>327</v>
      </c>
      <c r="D5044" s="213" t="s">
        <v>41994</v>
      </c>
      <c r="E5044" s="213" t="s">
        <v>41995</v>
      </c>
      <c r="K5044" s="213" t="s">
        <v>59776</v>
      </c>
      <c r="L5044" s="213" t="s">
        <v>59811</v>
      </c>
      <c r="M5044" s="213" t="s">
        <v>59846</v>
      </c>
      <c r="N5044" s="213" t="s">
        <v>41996</v>
      </c>
      <c r="O5044" s="213" t="s">
        <v>41997</v>
      </c>
      <c r="P5044" s="213" t="s">
        <v>41998</v>
      </c>
      <c r="Q5044" s="213" t="s">
        <v>41999</v>
      </c>
      <c r="R5044" s="213" t="s">
        <v>42000</v>
      </c>
      <c r="S5044" s="213" t="s">
        <v>42001</v>
      </c>
      <c r="T5044" s="213" t="s">
        <v>42002</v>
      </c>
      <c r="U5044" s="213" t="s">
        <v>59881</v>
      </c>
    </row>
    <row r="5045" spans="1:21" x14ac:dyDescent="0.25">
      <c r="A5045" s="213" t="s">
        <v>327</v>
      </c>
      <c r="D5045" s="213" t="s">
        <v>42003</v>
      </c>
      <c r="E5045" s="213" t="s">
        <v>42004</v>
      </c>
      <c r="K5045" s="213" t="s">
        <v>59777</v>
      </c>
      <c r="L5045" s="213" t="s">
        <v>59812</v>
      </c>
      <c r="M5045" s="213" t="s">
        <v>59847</v>
      </c>
      <c r="N5045" s="213" t="s">
        <v>42005</v>
      </c>
      <c r="O5045" s="213" t="s">
        <v>42006</v>
      </c>
      <c r="P5045" s="213" t="s">
        <v>42007</v>
      </c>
      <c r="Q5045" s="213" t="s">
        <v>42008</v>
      </c>
      <c r="R5045" s="213" t="s">
        <v>42009</v>
      </c>
      <c r="S5045" s="213" t="s">
        <v>42010</v>
      </c>
      <c r="T5045" s="213" t="s">
        <v>42011</v>
      </c>
      <c r="U5045" s="213" t="s">
        <v>59882</v>
      </c>
    </row>
    <row r="5046" spans="1:21" x14ac:dyDescent="0.25">
      <c r="A5046" s="213" t="s">
        <v>327</v>
      </c>
      <c r="D5046" s="213" t="s">
        <v>42012</v>
      </c>
      <c r="E5046" s="213" t="s">
        <v>42013</v>
      </c>
      <c r="K5046" s="213" t="s">
        <v>59778</v>
      </c>
      <c r="L5046" s="213" t="s">
        <v>59813</v>
      </c>
      <c r="M5046" s="213" t="s">
        <v>59848</v>
      </c>
      <c r="N5046" s="213" t="s">
        <v>42014</v>
      </c>
      <c r="O5046" s="213" t="s">
        <v>42015</v>
      </c>
      <c r="P5046" s="213" t="s">
        <v>42016</v>
      </c>
      <c r="Q5046" s="213" t="s">
        <v>42017</v>
      </c>
      <c r="R5046" s="213" t="s">
        <v>42018</v>
      </c>
      <c r="S5046" s="213" t="s">
        <v>42019</v>
      </c>
      <c r="T5046" s="213" t="s">
        <v>42020</v>
      </c>
      <c r="U5046" s="213" t="s">
        <v>59883</v>
      </c>
    </row>
    <row r="5047" spans="1:21" x14ac:dyDescent="0.25">
      <c r="A5047" s="213" t="s">
        <v>327</v>
      </c>
      <c r="D5047" s="213" t="s">
        <v>42021</v>
      </c>
      <c r="E5047" s="213" t="s">
        <v>42022</v>
      </c>
      <c r="K5047" s="213" t="s">
        <v>59779</v>
      </c>
      <c r="L5047" s="213" t="s">
        <v>59814</v>
      </c>
      <c r="M5047" s="213" t="s">
        <v>59849</v>
      </c>
      <c r="N5047" s="213" t="s">
        <v>42023</v>
      </c>
      <c r="O5047" s="213" t="s">
        <v>42024</v>
      </c>
      <c r="P5047" s="213" t="s">
        <v>42025</v>
      </c>
      <c r="Q5047" s="213" t="s">
        <v>42026</v>
      </c>
      <c r="R5047" s="213" t="s">
        <v>42027</v>
      </c>
      <c r="S5047" s="213" t="s">
        <v>42028</v>
      </c>
      <c r="T5047" s="213" t="s">
        <v>42029</v>
      </c>
      <c r="U5047" s="213" t="s">
        <v>59884</v>
      </c>
    </row>
    <row r="5048" spans="1:21" x14ac:dyDescent="0.25">
      <c r="A5048" s="213" t="s">
        <v>327</v>
      </c>
      <c r="D5048" s="213" t="s">
        <v>42030</v>
      </c>
      <c r="E5048" s="213" t="s">
        <v>42031</v>
      </c>
      <c r="K5048" s="213" t="s">
        <v>59780</v>
      </c>
      <c r="L5048" s="213" t="s">
        <v>59815</v>
      </c>
      <c r="M5048" s="213" t="s">
        <v>59850</v>
      </c>
      <c r="N5048" s="213" t="s">
        <v>42032</v>
      </c>
      <c r="O5048" s="213" t="s">
        <v>42033</v>
      </c>
      <c r="P5048" s="213" t="s">
        <v>42034</v>
      </c>
      <c r="Q5048" s="213" t="s">
        <v>42035</v>
      </c>
      <c r="R5048" s="213" t="s">
        <v>42036</v>
      </c>
      <c r="S5048" s="213" t="s">
        <v>42037</v>
      </c>
      <c r="T5048" s="213" t="s">
        <v>42038</v>
      </c>
      <c r="U5048" s="213" t="s">
        <v>59885</v>
      </c>
    </row>
    <row r="5049" spans="1:21" x14ac:dyDescent="0.25">
      <c r="A5049" s="213" t="s">
        <v>327</v>
      </c>
      <c r="D5049" s="213" t="s">
        <v>42039</v>
      </c>
      <c r="E5049" s="213" t="s">
        <v>42040</v>
      </c>
      <c r="K5049" s="213" t="s">
        <v>59781</v>
      </c>
      <c r="L5049" s="213" t="s">
        <v>59816</v>
      </c>
      <c r="M5049" s="213" t="s">
        <v>59851</v>
      </c>
      <c r="N5049" s="213" t="s">
        <v>42041</v>
      </c>
      <c r="O5049" s="213" t="s">
        <v>42042</v>
      </c>
      <c r="P5049" s="213" t="s">
        <v>42043</v>
      </c>
      <c r="Q5049" s="213" t="s">
        <v>42044</v>
      </c>
      <c r="R5049" s="213" t="s">
        <v>42045</v>
      </c>
      <c r="S5049" s="213" t="s">
        <v>42046</v>
      </c>
      <c r="T5049" s="213" t="s">
        <v>42047</v>
      </c>
      <c r="U5049" s="213" t="s">
        <v>59886</v>
      </c>
    </row>
    <row r="5050" spans="1:21" x14ac:dyDescent="0.25">
      <c r="A5050" s="213" t="s">
        <v>327</v>
      </c>
      <c r="D5050" s="213" t="s">
        <v>42048</v>
      </c>
      <c r="E5050" s="213" t="s">
        <v>42049</v>
      </c>
      <c r="K5050" s="213" t="s">
        <v>59782</v>
      </c>
      <c r="L5050" s="213" t="s">
        <v>59817</v>
      </c>
      <c r="M5050" s="213" t="s">
        <v>59852</v>
      </c>
      <c r="N5050" s="213" t="s">
        <v>42050</v>
      </c>
      <c r="O5050" s="213" t="s">
        <v>42051</v>
      </c>
      <c r="P5050" s="213" t="s">
        <v>42052</v>
      </c>
      <c r="Q5050" s="213" t="s">
        <v>42053</v>
      </c>
      <c r="R5050" s="213" t="s">
        <v>42054</v>
      </c>
      <c r="S5050" s="213" t="s">
        <v>42055</v>
      </c>
      <c r="T5050" s="213" t="s">
        <v>42056</v>
      </c>
      <c r="U5050" s="213" t="s">
        <v>59887</v>
      </c>
    </row>
    <row r="5051" spans="1:21" x14ac:dyDescent="0.25">
      <c r="A5051" s="213" t="s">
        <v>327</v>
      </c>
      <c r="D5051" s="213" t="s">
        <v>42057</v>
      </c>
      <c r="E5051" s="213" t="s">
        <v>42058</v>
      </c>
      <c r="K5051" s="213" t="s">
        <v>59783</v>
      </c>
      <c r="L5051" s="213" t="s">
        <v>59818</v>
      </c>
      <c r="M5051" s="213" t="s">
        <v>59853</v>
      </c>
      <c r="N5051" s="213" t="s">
        <v>42059</v>
      </c>
      <c r="O5051" s="213" t="s">
        <v>42060</v>
      </c>
      <c r="P5051" s="213" t="s">
        <v>42061</v>
      </c>
      <c r="Q5051" s="213" t="s">
        <v>42062</v>
      </c>
      <c r="R5051" s="213" t="s">
        <v>42063</v>
      </c>
      <c r="S5051" s="213" t="s">
        <v>42064</v>
      </c>
      <c r="T5051" s="213" t="s">
        <v>42065</v>
      </c>
      <c r="U5051" s="213" t="s">
        <v>59888</v>
      </c>
    </row>
    <row r="5052" spans="1:21" x14ac:dyDescent="0.25">
      <c r="A5052" s="213" t="s">
        <v>327</v>
      </c>
      <c r="D5052" s="213" t="s">
        <v>42066</v>
      </c>
      <c r="E5052" s="213" t="s">
        <v>42067</v>
      </c>
      <c r="K5052" s="213" t="s">
        <v>59784</v>
      </c>
      <c r="L5052" s="213" t="s">
        <v>59819</v>
      </c>
      <c r="M5052" s="213" t="s">
        <v>59854</v>
      </c>
      <c r="N5052" s="213" t="s">
        <v>42068</v>
      </c>
      <c r="O5052" s="213" t="s">
        <v>42069</v>
      </c>
      <c r="P5052" s="213" t="s">
        <v>42070</v>
      </c>
      <c r="Q5052" s="213" t="s">
        <v>42071</v>
      </c>
      <c r="R5052" s="213" t="s">
        <v>42072</v>
      </c>
      <c r="S5052" s="213" t="s">
        <v>42073</v>
      </c>
      <c r="T5052" s="213" t="s">
        <v>42074</v>
      </c>
      <c r="U5052" s="213" t="s">
        <v>59889</v>
      </c>
    </row>
    <row r="5053" spans="1:21" x14ac:dyDescent="0.25">
      <c r="A5053" s="213" t="s">
        <v>327</v>
      </c>
      <c r="D5053" s="213" t="s">
        <v>42075</v>
      </c>
      <c r="E5053" s="213" t="s">
        <v>42076</v>
      </c>
      <c r="K5053" s="213" t="s">
        <v>59785</v>
      </c>
      <c r="L5053" s="213" t="s">
        <v>59820</v>
      </c>
      <c r="M5053" s="213" t="s">
        <v>59855</v>
      </c>
      <c r="N5053" s="213" t="s">
        <v>42077</v>
      </c>
      <c r="O5053" s="213" t="s">
        <v>42078</v>
      </c>
      <c r="P5053" s="213" t="s">
        <v>42079</v>
      </c>
      <c r="Q5053" s="213" t="s">
        <v>42080</v>
      </c>
      <c r="R5053" s="213" t="s">
        <v>42081</v>
      </c>
      <c r="S5053" s="213" t="s">
        <v>42082</v>
      </c>
      <c r="T5053" s="213" t="s">
        <v>42083</v>
      </c>
      <c r="U5053" s="213" t="s">
        <v>59890</v>
      </c>
    </row>
    <row r="5054" spans="1:21" x14ac:dyDescent="0.25">
      <c r="A5054" s="213" t="s">
        <v>327</v>
      </c>
      <c r="D5054" s="213" t="s">
        <v>42084</v>
      </c>
      <c r="E5054" s="213" t="s">
        <v>42085</v>
      </c>
      <c r="K5054" s="213" t="s">
        <v>59786</v>
      </c>
      <c r="L5054" s="213" t="s">
        <v>59821</v>
      </c>
      <c r="M5054" s="213" t="s">
        <v>59856</v>
      </c>
      <c r="N5054" s="213" t="s">
        <v>42086</v>
      </c>
      <c r="O5054" s="213" t="s">
        <v>42087</v>
      </c>
      <c r="P5054" s="213" t="s">
        <v>42088</v>
      </c>
      <c r="Q5054" s="213" t="s">
        <v>42089</v>
      </c>
      <c r="R5054" s="213" t="s">
        <v>42090</v>
      </c>
      <c r="S5054" s="213" t="s">
        <v>42091</v>
      </c>
      <c r="T5054" s="213" t="s">
        <v>42092</v>
      </c>
      <c r="U5054" s="213" t="s">
        <v>59891</v>
      </c>
    </row>
    <row r="5055" spans="1:21" x14ac:dyDescent="0.25">
      <c r="A5055" s="213" t="s">
        <v>327</v>
      </c>
      <c r="D5055" s="213" t="s">
        <v>42093</v>
      </c>
      <c r="E5055" s="213" t="s">
        <v>42094</v>
      </c>
      <c r="K5055" s="213" t="s">
        <v>59787</v>
      </c>
      <c r="L5055" s="213" t="s">
        <v>59822</v>
      </c>
      <c r="M5055" s="213" t="s">
        <v>59857</v>
      </c>
      <c r="N5055" s="213" t="s">
        <v>42095</v>
      </c>
      <c r="O5055" s="213" t="s">
        <v>42096</v>
      </c>
      <c r="P5055" s="213" t="s">
        <v>42097</v>
      </c>
      <c r="Q5055" s="213" t="s">
        <v>42098</v>
      </c>
      <c r="R5055" s="213" t="s">
        <v>42099</v>
      </c>
      <c r="S5055" s="213" t="s">
        <v>42100</v>
      </c>
      <c r="T5055" s="213" t="s">
        <v>42101</v>
      </c>
      <c r="U5055" s="213" t="s">
        <v>59892</v>
      </c>
    </row>
    <row r="5056" spans="1:21" x14ac:dyDescent="0.25">
      <c r="A5056" s="213" t="s">
        <v>327</v>
      </c>
      <c r="D5056" s="213" t="s">
        <v>42102</v>
      </c>
      <c r="E5056" s="213" t="s">
        <v>42103</v>
      </c>
      <c r="K5056" s="213" t="s">
        <v>59788</v>
      </c>
      <c r="L5056" s="213" t="s">
        <v>59823</v>
      </c>
      <c r="M5056" s="213" t="s">
        <v>59858</v>
      </c>
      <c r="N5056" s="213" t="s">
        <v>42104</v>
      </c>
      <c r="O5056" s="213" t="s">
        <v>42105</v>
      </c>
      <c r="P5056" s="213" t="s">
        <v>42106</v>
      </c>
      <c r="Q5056" s="213" t="s">
        <v>42107</v>
      </c>
      <c r="R5056" s="213" t="s">
        <v>42108</v>
      </c>
      <c r="S5056" s="213" t="s">
        <v>42109</v>
      </c>
      <c r="T5056" s="213" t="s">
        <v>42110</v>
      </c>
      <c r="U5056" s="213" t="s">
        <v>59893</v>
      </c>
    </row>
    <row r="5057" spans="1:21" x14ac:dyDescent="0.25">
      <c r="A5057" s="213" t="s">
        <v>327</v>
      </c>
      <c r="D5057" s="213" t="s">
        <v>42111</v>
      </c>
      <c r="E5057" s="213" t="s">
        <v>42112</v>
      </c>
      <c r="K5057" s="213" t="s">
        <v>59789</v>
      </c>
      <c r="L5057" s="213" t="s">
        <v>59824</v>
      </c>
      <c r="M5057" s="213" t="s">
        <v>59859</v>
      </c>
      <c r="N5057" s="213" t="s">
        <v>42113</v>
      </c>
      <c r="O5057" s="213" t="s">
        <v>42114</v>
      </c>
      <c r="P5057" s="213" t="s">
        <v>42115</v>
      </c>
      <c r="Q5057" s="213" t="s">
        <v>42116</v>
      </c>
      <c r="R5057" s="213" t="s">
        <v>42117</v>
      </c>
      <c r="S5057" s="213" t="s">
        <v>42118</v>
      </c>
      <c r="T5057" s="213" t="s">
        <v>42119</v>
      </c>
      <c r="U5057" s="213" t="s">
        <v>59894</v>
      </c>
    </row>
    <row r="5058" spans="1:21" x14ac:dyDescent="0.25">
      <c r="A5058" s="213" t="s">
        <v>327</v>
      </c>
      <c r="D5058" s="213" t="s">
        <v>42120</v>
      </c>
      <c r="E5058" s="213" t="s">
        <v>42121</v>
      </c>
      <c r="K5058" s="213" t="s">
        <v>59790</v>
      </c>
      <c r="L5058" s="213" t="s">
        <v>59825</v>
      </c>
      <c r="M5058" s="213" t="s">
        <v>59860</v>
      </c>
      <c r="N5058" s="213" t="s">
        <v>42122</v>
      </c>
      <c r="O5058" s="213" t="s">
        <v>42123</v>
      </c>
      <c r="P5058" s="213" t="s">
        <v>42124</v>
      </c>
      <c r="Q5058" s="213" t="s">
        <v>42125</v>
      </c>
      <c r="R5058" s="213" t="s">
        <v>42126</v>
      </c>
      <c r="S5058" s="213" t="s">
        <v>42127</v>
      </c>
      <c r="T5058" s="213" t="s">
        <v>42128</v>
      </c>
      <c r="U5058" s="213" t="s">
        <v>59895</v>
      </c>
    </row>
    <row r="5059" spans="1:21" x14ac:dyDescent="0.25">
      <c r="A5059" s="213" t="s">
        <v>327</v>
      </c>
      <c r="D5059" s="213" t="s">
        <v>42129</v>
      </c>
      <c r="E5059" s="213" t="s">
        <v>42130</v>
      </c>
      <c r="K5059" s="213" t="s">
        <v>59791</v>
      </c>
      <c r="L5059" s="213" t="s">
        <v>59826</v>
      </c>
      <c r="M5059" s="213" t="s">
        <v>59861</v>
      </c>
      <c r="N5059" s="213" t="s">
        <v>42131</v>
      </c>
      <c r="O5059" s="213" t="s">
        <v>42132</v>
      </c>
      <c r="P5059" s="213" t="s">
        <v>42133</v>
      </c>
      <c r="Q5059" s="213" t="s">
        <v>42134</v>
      </c>
      <c r="R5059" s="213" t="s">
        <v>42135</v>
      </c>
      <c r="S5059" s="213" t="s">
        <v>42136</v>
      </c>
      <c r="T5059" s="213" t="s">
        <v>42137</v>
      </c>
      <c r="U5059" s="213" t="s">
        <v>59896</v>
      </c>
    </row>
    <row r="5060" spans="1:21" x14ac:dyDescent="0.25">
      <c r="A5060" s="213" t="s">
        <v>327</v>
      </c>
      <c r="D5060" s="213" t="s">
        <v>42138</v>
      </c>
      <c r="E5060" s="213" t="s">
        <v>42139</v>
      </c>
      <c r="K5060" s="213" t="s">
        <v>59792</v>
      </c>
      <c r="L5060" s="213" t="s">
        <v>59827</v>
      </c>
      <c r="M5060" s="213" t="s">
        <v>59862</v>
      </c>
      <c r="N5060" s="213" t="s">
        <v>42140</v>
      </c>
      <c r="O5060" s="213" t="s">
        <v>42141</v>
      </c>
      <c r="P5060" s="213" t="s">
        <v>42142</v>
      </c>
      <c r="Q5060" s="213" t="s">
        <v>42143</v>
      </c>
      <c r="R5060" s="213" t="s">
        <v>42144</v>
      </c>
      <c r="S5060" s="213" t="s">
        <v>42145</v>
      </c>
      <c r="T5060" s="213" t="s">
        <v>42146</v>
      </c>
      <c r="U5060" s="213" t="s">
        <v>59897</v>
      </c>
    </row>
    <row r="5061" spans="1:21" x14ac:dyDescent="0.25">
      <c r="A5061" s="213" t="s">
        <v>327</v>
      </c>
      <c r="D5061" s="213" t="s">
        <v>42147</v>
      </c>
      <c r="E5061" s="213" t="s">
        <v>42148</v>
      </c>
      <c r="K5061" s="213" t="s">
        <v>59793</v>
      </c>
      <c r="L5061" s="213" t="s">
        <v>59828</v>
      </c>
      <c r="M5061" s="213" t="s">
        <v>59863</v>
      </c>
      <c r="N5061" s="213" t="s">
        <v>42149</v>
      </c>
      <c r="O5061" s="213" t="s">
        <v>42150</v>
      </c>
      <c r="P5061" s="213" t="s">
        <v>42151</v>
      </c>
      <c r="Q5061" s="213" t="s">
        <v>42152</v>
      </c>
      <c r="R5061" s="213" t="s">
        <v>42153</v>
      </c>
      <c r="S5061" s="213" t="s">
        <v>42154</v>
      </c>
      <c r="T5061" s="213" t="s">
        <v>42155</v>
      </c>
      <c r="U5061" s="213" t="s">
        <v>59898</v>
      </c>
    </row>
    <row r="5062" spans="1:21" x14ac:dyDescent="0.25">
      <c r="A5062" s="213" t="s">
        <v>327</v>
      </c>
      <c r="D5062" s="213" t="s">
        <v>42156</v>
      </c>
      <c r="E5062" s="213" t="s">
        <v>42157</v>
      </c>
      <c r="K5062" s="213" t="s">
        <v>59794</v>
      </c>
      <c r="L5062" s="213" t="s">
        <v>59829</v>
      </c>
      <c r="M5062" s="213" t="s">
        <v>59864</v>
      </c>
      <c r="N5062" s="213" t="s">
        <v>42158</v>
      </c>
      <c r="O5062" s="213" t="s">
        <v>42159</v>
      </c>
      <c r="P5062" s="213" t="s">
        <v>42160</v>
      </c>
      <c r="Q5062" s="213" t="s">
        <v>42161</v>
      </c>
      <c r="R5062" s="213" t="s">
        <v>42162</v>
      </c>
      <c r="S5062" s="213" t="s">
        <v>42163</v>
      </c>
      <c r="T5062" s="213" t="s">
        <v>42164</v>
      </c>
      <c r="U5062" s="213" t="s">
        <v>59899</v>
      </c>
    </row>
    <row r="5063" spans="1:21" x14ac:dyDescent="0.25">
      <c r="A5063" s="213" t="s">
        <v>327</v>
      </c>
      <c r="D5063" s="213" t="s">
        <v>42165</v>
      </c>
      <c r="E5063" s="213" t="s">
        <v>42166</v>
      </c>
      <c r="K5063" s="213" t="s">
        <v>59795</v>
      </c>
      <c r="L5063" s="213" t="s">
        <v>59830</v>
      </c>
      <c r="M5063" s="213" t="s">
        <v>59865</v>
      </c>
      <c r="N5063" s="213" t="s">
        <v>42167</v>
      </c>
      <c r="O5063" s="213" t="s">
        <v>42168</v>
      </c>
      <c r="P5063" s="213" t="s">
        <v>42169</v>
      </c>
      <c r="Q5063" s="213" t="s">
        <v>42170</v>
      </c>
      <c r="R5063" s="213" t="s">
        <v>42171</v>
      </c>
      <c r="S5063" s="213" t="s">
        <v>42172</v>
      </c>
      <c r="T5063" s="213" t="s">
        <v>42173</v>
      </c>
      <c r="U5063" s="213" t="s">
        <v>59900</v>
      </c>
    </row>
    <row r="5064" spans="1:21" x14ac:dyDescent="0.25">
      <c r="A5064" s="213" t="s">
        <v>327</v>
      </c>
      <c r="D5064" s="213" t="s">
        <v>42174</v>
      </c>
      <c r="E5064" s="213" t="s">
        <v>42175</v>
      </c>
      <c r="K5064" s="213" t="s">
        <v>59796</v>
      </c>
      <c r="L5064" s="213" t="s">
        <v>59831</v>
      </c>
      <c r="M5064" s="213" t="s">
        <v>59866</v>
      </c>
      <c r="N5064" s="213" t="s">
        <v>42176</v>
      </c>
      <c r="O5064" s="213" t="s">
        <v>42177</v>
      </c>
      <c r="P5064" s="213" t="s">
        <v>42178</v>
      </c>
      <c r="Q5064" s="213" t="s">
        <v>42179</v>
      </c>
      <c r="R5064" s="213" t="s">
        <v>42180</v>
      </c>
      <c r="S5064" s="213" t="s">
        <v>42181</v>
      </c>
      <c r="T5064" s="213" t="s">
        <v>42182</v>
      </c>
      <c r="U5064" s="213" t="s">
        <v>59901</v>
      </c>
    </row>
    <row r="5065" spans="1:21" x14ac:dyDescent="0.25">
      <c r="A5065" s="213" t="s">
        <v>327</v>
      </c>
      <c r="D5065" s="213" t="s">
        <v>42183</v>
      </c>
      <c r="E5065" s="213" t="s">
        <v>42184</v>
      </c>
      <c r="K5065" s="213" t="s">
        <v>59797</v>
      </c>
      <c r="L5065" s="213" t="s">
        <v>59832</v>
      </c>
      <c r="M5065" s="213" t="s">
        <v>59867</v>
      </c>
      <c r="N5065" s="213" t="s">
        <v>42185</v>
      </c>
      <c r="O5065" s="213" t="s">
        <v>42186</v>
      </c>
      <c r="P5065" s="213" t="s">
        <v>42187</v>
      </c>
      <c r="Q5065" s="213" t="s">
        <v>42188</v>
      </c>
      <c r="R5065" s="213" t="s">
        <v>42189</v>
      </c>
      <c r="S5065" s="213" t="s">
        <v>42190</v>
      </c>
      <c r="T5065" s="213" t="s">
        <v>42191</v>
      </c>
      <c r="U5065" s="213" t="s">
        <v>59902</v>
      </c>
    </row>
    <row r="5066" spans="1:21" x14ac:dyDescent="0.25">
      <c r="A5066" s="213" t="s">
        <v>327</v>
      </c>
      <c r="D5066" s="213" t="s">
        <v>42192</v>
      </c>
      <c r="E5066" s="213" t="s">
        <v>42193</v>
      </c>
      <c r="K5066" s="213" t="s">
        <v>59798</v>
      </c>
      <c r="L5066" s="213" t="s">
        <v>59833</v>
      </c>
      <c r="M5066" s="213" t="s">
        <v>59868</v>
      </c>
      <c r="N5066" s="213" t="s">
        <v>42194</v>
      </c>
      <c r="O5066" s="213" t="s">
        <v>42195</v>
      </c>
      <c r="P5066" s="213" t="s">
        <v>42196</v>
      </c>
      <c r="Q5066" s="213" t="s">
        <v>42197</v>
      </c>
      <c r="R5066" s="213" t="s">
        <v>42198</v>
      </c>
      <c r="S5066" s="213" t="s">
        <v>42199</v>
      </c>
      <c r="T5066" s="213" t="s">
        <v>42200</v>
      </c>
      <c r="U5066" s="213" t="s">
        <v>59903</v>
      </c>
    </row>
    <row r="5067" spans="1:21" x14ac:dyDescent="0.25">
      <c r="A5067" s="213" t="s">
        <v>327</v>
      </c>
      <c r="D5067" s="213" t="s">
        <v>42201</v>
      </c>
      <c r="E5067" s="213" t="s">
        <v>42202</v>
      </c>
      <c r="K5067" s="213" t="s">
        <v>59799</v>
      </c>
      <c r="L5067" s="213" t="s">
        <v>59834</v>
      </c>
      <c r="M5067" s="213" t="s">
        <v>59869</v>
      </c>
      <c r="N5067" s="213" t="s">
        <v>42203</v>
      </c>
      <c r="O5067" s="213" t="s">
        <v>42204</v>
      </c>
      <c r="P5067" s="213" t="s">
        <v>42205</v>
      </c>
      <c r="Q5067" s="213" t="s">
        <v>42206</v>
      </c>
      <c r="R5067" s="213" t="s">
        <v>42207</v>
      </c>
      <c r="S5067" s="213" t="s">
        <v>42208</v>
      </c>
      <c r="T5067" s="213" t="s">
        <v>42209</v>
      </c>
      <c r="U5067" s="213" t="s">
        <v>59904</v>
      </c>
    </row>
    <row r="5068" spans="1:21" x14ac:dyDescent="0.25">
      <c r="A5068" s="213" t="s">
        <v>327</v>
      </c>
      <c r="D5068" s="213" t="s">
        <v>42210</v>
      </c>
      <c r="E5068" s="213" t="s">
        <v>42211</v>
      </c>
      <c r="K5068" s="213" t="s">
        <v>59800</v>
      </c>
      <c r="L5068" s="213" t="s">
        <v>59835</v>
      </c>
      <c r="M5068" s="213" t="s">
        <v>59870</v>
      </c>
      <c r="N5068" s="213" t="s">
        <v>42212</v>
      </c>
      <c r="O5068" s="213" t="s">
        <v>42213</v>
      </c>
      <c r="P5068" s="213" t="s">
        <v>42214</v>
      </c>
      <c r="Q5068" s="213" t="s">
        <v>42215</v>
      </c>
      <c r="R5068" s="213" t="s">
        <v>42216</v>
      </c>
      <c r="S5068" s="213" t="s">
        <v>42217</v>
      </c>
      <c r="T5068" s="213" t="s">
        <v>42218</v>
      </c>
      <c r="U5068" s="213" t="s">
        <v>59905</v>
      </c>
    </row>
    <row r="5069" spans="1:21" x14ac:dyDescent="0.25">
      <c r="A5069" s="213" t="s">
        <v>327</v>
      </c>
    </row>
    <row r="5070" spans="1:21" x14ac:dyDescent="0.25">
      <c r="A5070" s="213" t="s">
        <v>327</v>
      </c>
    </row>
    <row r="5071" spans="1:21" x14ac:dyDescent="0.25">
      <c r="A5071" s="213" t="s">
        <v>327</v>
      </c>
      <c r="C5071" s="213" t="s">
        <v>42219</v>
      </c>
      <c r="E5071" s="213" t="s">
        <v>42220</v>
      </c>
      <c r="H5071" s="213" t="s">
        <v>42221</v>
      </c>
      <c r="I5071" s="213" t="s">
        <v>42222</v>
      </c>
      <c r="J5071" s="213" t="s">
        <v>42223</v>
      </c>
      <c r="L5071" s="213" t="s">
        <v>42224</v>
      </c>
      <c r="O5071" s="213" t="s">
        <v>42225</v>
      </c>
      <c r="P5071" s="213" t="s">
        <v>42226</v>
      </c>
      <c r="Q5071" s="213" t="s">
        <v>42227</v>
      </c>
      <c r="R5071" s="213" t="s">
        <v>42228</v>
      </c>
      <c r="S5071" s="213" t="s">
        <v>42229</v>
      </c>
      <c r="T5071" s="213" t="s">
        <v>42230</v>
      </c>
    </row>
    <row r="5072" spans="1:21" x14ac:dyDescent="0.25">
      <c r="A5072" s="213" t="s">
        <v>327</v>
      </c>
      <c r="C5072" s="213" t="s">
        <v>42231</v>
      </c>
      <c r="E5072" s="213" t="s">
        <v>42232</v>
      </c>
      <c r="I5072" s="213" t="s">
        <v>42233</v>
      </c>
    </row>
    <row r="5073" spans="1:21" x14ac:dyDescent="0.25">
      <c r="A5073" s="213" t="s">
        <v>327</v>
      </c>
      <c r="C5073" s="213" t="s">
        <v>42234</v>
      </c>
      <c r="E5073" s="213" t="s">
        <v>42235</v>
      </c>
      <c r="I5073" s="213" t="s">
        <v>42236</v>
      </c>
    </row>
    <row r="5074" spans="1:21" x14ac:dyDescent="0.25">
      <c r="A5074" s="213" t="s">
        <v>328</v>
      </c>
    </row>
    <row r="5075" spans="1:21" x14ac:dyDescent="0.25">
      <c r="A5075" s="213" t="s">
        <v>327</v>
      </c>
      <c r="D5075" s="213" t="s">
        <v>42237</v>
      </c>
      <c r="E5075" s="213" t="s">
        <v>42238</v>
      </c>
      <c r="K5075" s="213" t="s">
        <v>59206</v>
      </c>
      <c r="L5075" s="213" t="s">
        <v>59346</v>
      </c>
      <c r="M5075" s="213" t="s">
        <v>59486</v>
      </c>
      <c r="N5075" s="213" t="s">
        <v>42239</v>
      </c>
      <c r="O5075" s="213" t="s">
        <v>42240</v>
      </c>
      <c r="P5075" s="213" t="s">
        <v>42241</v>
      </c>
      <c r="Q5075" s="213" t="s">
        <v>42242</v>
      </c>
      <c r="R5075" s="213" t="s">
        <v>42243</v>
      </c>
      <c r="S5075" s="213" t="s">
        <v>42244</v>
      </c>
      <c r="T5075" s="213" t="s">
        <v>42245</v>
      </c>
      <c r="U5075" s="213" t="s">
        <v>59626</v>
      </c>
    </row>
    <row r="5076" spans="1:21" x14ac:dyDescent="0.25">
      <c r="A5076" s="213" t="s">
        <v>327</v>
      </c>
      <c r="D5076" s="213" t="s">
        <v>42246</v>
      </c>
      <c r="E5076" s="213" t="s">
        <v>42247</v>
      </c>
      <c r="K5076" s="213" t="s">
        <v>59207</v>
      </c>
      <c r="L5076" s="213" t="s">
        <v>59347</v>
      </c>
      <c r="M5076" s="213" t="s">
        <v>59487</v>
      </c>
      <c r="N5076" s="213" t="s">
        <v>42248</v>
      </c>
      <c r="O5076" s="213" t="s">
        <v>42249</v>
      </c>
      <c r="P5076" s="213" t="s">
        <v>42250</v>
      </c>
      <c r="Q5076" s="213" t="s">
        <v>42251</v>
      </c>
      <c r="R5076" s="213" t="s">
        <v>42252</v>
      </c>
      <c r="S5076" s="213" t="s">
        <v>42253</v>
      </c>
      <c r="T5076" s="213" t="s">
        <v>42254</v>
      </c>
      <c r="U5076" s="213" t="s">
        <v>59627</v>
      </c>
    </row>
    <row r="5077" spans="1:21" x14ac:dyDescent="0.25">
      <c r="A5077" s="213" t="s">
        <v>327</v>
      </c>
      <c r="D5077" s="213" t="s">
        <v>42255</v>
      </c>
      <c r="E5077" s="213" t="s">
        <v>42256</v>
      </c>
      <c r="K5077" s="213" t="s">
        <v>59208</v>
      </c>
      <c r="L5077" s="213" t="s">
        <v>59348</v>
      </c>
      <c r="M5077" s="213" t="s">
        <v>59488</v>
      </c>
      <c r="N5077" s="213" t="s">
        <v>42257</v>
      </c>
      <c r="O5077" s="213" t="s">
        <v>42258</v>
      </c>
      <c r="P5077" s="213" t="s">
        <v>42259</v>
      </c>
      <c r="Q5077" s="213" t="s">
        <v>42260</v>
      </c>
      <c r="R5077" s="213" t="s">
        <v>42261</v>
      </c>
      <c r="S5077" s="213" t="s">
        <v>42262</v>
      </c>
      <c r="T5077" s="213" t="s">
        <v>42263</v>
      </c>
      <c r="U5077" s="213" t="s">
        <v>59628</v>
      </c>
    </row>
    <row r="5078" spans="1:21" x14ac:dyDescent="0.25">
      <c r="A5078" s="213" t="s">
        <v>327</v>
      </c>
      <c r="D5078" s="213" t="s">
        <v>42264</v>
      </c>
      <c r="E5078" s="213" t="s">
        <v>42265</v>
      </c>
      <c r="K5078" s="213" t="s">
        <v>59209</v>
      </c>
      <c r="L5078" s="213" t="s">
        <v>59349</v>
      </c>
      <c r="M5078" s="213" t="s">
        <v>59489</v>
      </c>
      <c r="N5078" s="213" t="s">
        <v>42266</v>
      </c>
      <c r="O5078" s="213" t="s">
        <v>42267</v>
      </c>
      <c r="P5078" s="213" t="s">
        <v>42268</v>
      </c>
      <c r="Q5078" s="213" t="s">
        <v>42269</v>
      </c>
      <c r="R5078" s="213" t="s">
        <v>42270</v>
      </c>
      <c r="S5078" s="213" t="s">
        <v>42271</v>
      </c>
      <c r="T5078" s="213" t="s">
        <v>42272</v>
      </c>
      <c r="U5078" s="213" t="s">
        <v>59629</v>
      </c>
    </row>
    <row r="5079" spans="1:21" x14ac:dyDescent="0.25">
      <c r="A5079" s="213" t="s">
        <v>327</v>
      </c>
      <c r="D5079" s="213" t="s">
        <v>42273</v>
      </c>
      <c r="E5079" s="213" t="s">
        <v>42274</v>
      </c>
      <c r="K5079" s="213" t="s">
        <v>59210</v>
      </c>
      <c r="L5079" s="213" t="s">
        <v>59350</v>
      </c>
      <c r="M5079" s="213" t="s">
        <v>59490</v>
      </c>
      <c r="N5079" s="213" t="s">
        <v>42275</v>
      </c>
      <c r="O5079" s="213" t="s">
        <v>42276</v>
      </c>
      <c r="P5079" s="213" t="s">
        <v>42277</v>
      </c>
      <c r="Q5079" s="213" t="s">
        <v>42278</v>
      </c>
      <c r="R5079" s="213" t="s">
        <v>42279</v>
      </c>
      <c r="S5079" s="213" t="s">
        <v>42280</v>
      </c>
      <c r="T5079" s="213" t="s">
        <v>42281</v>
      </c>
      <c r="U5079" s="213" t="s">
        <v>59630</v>
      </c>
    </row>
    <row r="5080" spans="1:21" x14ac:dyDescent="0.25">
      <c r="A5080" s="213" t="s">
        <v>327</v>
      </c>
      <c r="D5080" s="213" t="s">
        <v>42282</v>
      </c>
      <c r="E5080" s="213" t="s">
        <v>42283</v>
      </c>
      <c r="K5080" s="213" t="s">
        <v>59211</v>
      </c>
      <c r="L5080" s="213" t="s">
        <v>59351</v>
      </c>
      <c r="M5080" s="213" t="s">
        <v>59491</v>
      </c>
      <c r="N5080" s="213" t="s">
        <v>42284</v>
      </c>
      <c r="O5080" s="213" t="s">
        <v>42285</v>
      </c>
      <c r="P5080" s="213" t="s">
        <v>42286</v>
      </c>
      <c r="Q5080" s="213" t="s">
        <v>42287</v>
      </c>
      <c r="R5080" s="213" t="s">
        <v>42288</v>
      </c>
      <c r="S5080" s="213" t="s">
        <v>42289</v>
      </c>
      <c r="T5080" s="213" t="s">
        <v>42290</v>
      </c>
      <c r="U5080" s="213" t="s">
        <v>59631</v>
      </c>
    </row>
    <row r="5081" spans="1:21" x14ac:dyDescent="0.25">
      <c r="A5081" s="213" t="s">
        <v>327</v>
      </c>
      <c r="D5081" s="213" t="s">
        <v>42291</v>
      </c>
      <c r="E5081" s="213" t="s">
        <v>42292</v>
      </c>
      <c r="K5081" s="213" t="s">
        <v>59212</v>
      </c>
      <c r="L5081" s="213" t="s">
        <v>59352</v>
      </c>
      <c r="M5081" s="213" t="s">
        <v>59492</v>
      </c>
      <c r="N5081" s="213" t="s">
        <v>42293</v>
      </c>
      <c r="O5081" s="213" t="s">
        <v>42294</v>
      </c>
      <c r="P5081" s="213" t="s">
        <v>42295</v>
      </c>
      <c r="Q5081" s="213" t="s">
        <v>42296</v>
      </c>
      <c r="R5081" s="213" t="s">
        <v>42297</v>
      </c>
      <c r="S5081" s="213" t="s">
        <v>42298</v>
      </c>
      <c r="T5081" s="213" t="s">
        <v>42299</v>
      </c>
      <c r="U5081" s="213" t="s">
        <v>59632</v>
      </c>
    </row>
    <row r="5082" spans="1:21" x14ac:dyDescent="0.25">
      <c r="A5082" s="213" t="s">
        <v>327</v>
      </c>
      <c r="D5082" s="213" t="s">
        <v>42300</v>
      </c>
      <c r="E5082" s="213" t="s">
        <v>42301</v>
      </c>
      <c r="K5082" s="213" t="s">
        <v>59213</v>
      </c>
      <c r="L5082" s="213" t="s">
        <v>59353</v>
      </c>
      <c r="M5082" s="213" t="s">
        <v>59493</v>
      </c>
      <c r="N5082" s="213" t="s">
        <v>42302</v>
      </c>
      <c r="O5082" s="213" t="s">
        <v>42303</v>
      </c>
      <c r="P5082" s="213" t="s">
        <v>42304</v>
      </c>
      <c r="Q5082" s="213" t="s">
        <v>42305</v>
      </c>
      <c r="R5082" s="213" t="s">
        <v>42306</v>
      </c>
      <c r="S5082" s="213" t="s">
        <v>42307</v>
      </c>
      <c r="T5082" s="213" t="s">
        <v>42308</v>
      </c>
      <c r="U5082" s="213" t="s">
        <v>59633</v>
      </c>
    </row>
    <row r="5083" spans="1:21" x14ac:dyDescent="0.25">
      <c r="A5083" s="213" t="s">
        <v>327</v>
      </c>
      <c r="D5083" s="213" t="s">
        <v>42309</v>
      </c>
      <c r="E5083" s="213" t="s">
        <v>42310</v>
      </c>
      <c r="K5083" s="213" t="s">
        <v>59214</v>
      </c>
      <c r="L5083" s="213" t="s">
        <v>59354</v>
      </c>
      <c r="M5083" s="213" t="s">
        <v>59494</v>
      </c>
      <c r="N5083" s="213" t="s">
        <v>42311</v>
      </c>
      <c r="O5083" s="213" t="s">
        <v>42312</v>
      </c>
      <c r="P5083" s="213" t="s">
        <v>42313</v>
      </c>
      <c r="Q5083" s="213" t="s">
        <v>42314</v>
      </c>
      <c r="R5083" s="213" t="s">
        <v>42315</v>
      </c>
      <c r="S5083" s="213" t="s">
        <v>42316</v>
      </c>
      <c r="T5083" s="213" t="s">
        <v>42317</v>
      </c>
      <c r="U5083" s="213" t="s">
        <v>59634</v>
      </c>
    </row>
    <row r="5084" spans="1:21" x14ac:dyDescent="0.25">
      <c r="A5084" s="213" t="s">
        <v>327</v>
      </c>
      <c r="D5084" s="213" t="s">
        <v>42318</v>
      </c>
      <c r="E5084" s="213" t="s">
        <v>42319</v>
      </c>
      <c r="K5084" s="213" t="s">
        <v>59215</v>
      </c>
      <c r="L5084" s="213" t="s">
        <v>59355</v>
      </c>
      <c r="M5084" s="213" t="s">
        <v>59495</v>
      </c>
      <c r="N5084" s="213" t="s">
        <v>42320</v>
      </c>
      <c r="O5084" s="213" t="s">
        <v>42321</v>
      </c>
      <c r="P5084" s="213" t="s">
        <v>42322</v>
      </c>
      <c r="Q5084" s="213" t="s">
        <v>42323</v>
      </c>
      <c r="R5084" s="213" t="s">
        <v>42324</v>
      </c>
      <c r="S5084" s="213" t="s">
        <v>42325</v>
      </c>
      <c r="T5084" s="213" t="s">
        <v>42326</v>
      </c>
      <c r="U5084" s="213" t="s">
        <v>59635</v>
      </c>
    </row>
    <row r="5085" spans="1:21" x14ac:dyDescent="0.25">
      <c r="A5085" s="213" t="s">
        <v>327</v>
      </c>
      <c r="D5085" s="213" t="s">
        <v>42327</v>
      </c>
      <c r="E5085" s="213" t="s">
        <v>42328</v>
      </c>
      <c r="K5085" s="213" t="s">
        <v>59216</v>
      </c>
      <c r="L5085" s="213" t="s">
        <v>59356</v>
      </c>
      <c r="M5085" s="213" t="s">
        <v>59496</v>
      </c>
      <c r="N5085" s="213" t="s">
        <v>42329</v>
      </c>
      <c r="O5085" s="213" t="s">
        <v>42330</v>
      </c>
      <c r="P5085" s="213" t="s">
        <v>42331</v>
      </c>
      <c r="Q5085" s="213" t="s">
        <v>42332</v>
      </c>
      <c r="R5085" s="213" t="s">
        <v>42333</v>
      </c>
      <c r="S5085" s="213" t="s">
        <v>42334</v>
      </c>
      <c r="T5085" s="213" t="s">
        <v>42335</v>
      </c>
      <c r="U5085" s="213" t="s">
        <v>59636</v>
      </c>
    </row>
    <row r="5086" spans="1:21" x14ac:dyDescent="0.25">
      <c r="A5086" s="213" t="s">
        <v>327</v>
      </c>
      <c r="D5086" s="213" t="s">
        <v>42336</v>
      </c>
      <c r="E5086" s="213" t="s">
        <v>42337</v>
      </c>
      <c r="K5086" s="213" t="s">
        <v>59217</v>
      </c>
      <c r="L5086" s="213" t="s">
        <v>59357</v>
      </c>
      <c r="M5086" s="213" t="s">
        <v>59497</v>
      </c>
      <c r="N5086" s="213" t="s">
        <v>42338</v>
      </c>
      <c r="O5086" s="213" t="s">
        <v>42339</v>
      </c>
      <c r="P5086" s="213" t="s">
        <v>42340</v>
      </c>
      <c r="Q5086" s="213" t="s">
        <v>42341</v>
      </c>
      <c r="R5086" s="213" t="s">
        <v>42342</v>
      </c>
      <c r="S5086" s="213" t="s">
        <v>42343</v>
      </c>
      <c r="T5086" s="213" t="s">
        <v>42344</v>
      </c>
      <c r="U5086" s="213" t="s">
        <v>59637</v>
      </c>
    </row>
    <row r="5087" spans="1:21" x14ac:dyDescent="0.25">
      <c r="A5087" s="213" t="s">
        <v>327</v>
      </c>
      <c r="D5087" s="213" t="s">
        <v>42345</v>
      </c>
      <c r="E5087" s="213" t="s">
        <v>42346</v>
      </c>
      <c r="K5087" s="213" t="s">
        <v>59218</v>
      </c>
      <c r="L5087" s="213" t="s">
        <v>59358</v>
      </c>
      <c r="M5087" s="213" t="s">
        <v>59498</v>
      </c>
      <c r="N5087" s="213" t="s">
        <v>42347</v>
      </c>
      <c r="O5087" s="213" t="s">
        <v>42348</v>
      </c>
      <c r="P5087" s="213" t="s">
        <v>42349</v>
      </c>
      <c r="Q5087" s="213" t="s">
        <v>42350</v>
      </c>
      <c r="R5087" s="213" t="s">
        <v>42351</v>
      </c>
      <c r="S5087" s="213" t="s">
        <v>42352</v>
      </c>
      <c r="T5087" s="213" t="s">
        <v>42353</v>
      </c>
      <c r="U5087" s="213" t="s">
        <v>59638</v>
      </c>
    </row>
    <row r="5088" spans="1:21" x14ac:dyDescent="0.25">
      <c r="A5088" s="213" t="s">
        <v>327</v>
      </c>
      <c r="D5088" s="213" t="s">
        <v>42354</v>
      </c>
      <c r="E5088" s="213" t="s">
        <v>42355</v>
      </c>
      <c r="K5088" s="213" t="s">
        <v>59219</v>
      </c>
      <c r="L5088" s="213" t="s">
        <v>59359</v>
      </c>
      <c r="M5088" s="213" t="s">
        <v>59499</v>
      </c>
      <c r="N5088" s="213" t="s">
        <v>42356</v>
      </c>
      <c r="O5088" s="213" t="s">
        <v>42357</v>
      </c>
      <c r="P5088" s="213" t="s">
        <v>42358</v>
      </c>
      <c r="Q5088" s="213" t="s">
        <v>42359</v>
      </c>
      <c r="R5088" s="213" t="s">
        <v>42360</v>
      </c>
      <c r="S5088" s="213" t="s">
        <v>42361</v>
      </c>
      <c r="T5088" s="213" t="s">
        <v>42362</v>
      </c>
      <c r="U5088" s="213" t="s">
        <v>59639</v>
      </c>
    </row>
    <row r="5089" spans="1:21" x14ac:dyDescent="0.25">
      <c r="A5089" s="213" t="s">
        <v>327</v>
      </c>
      <c r="D5089" s="213" t="s">
        <v>42363</v>
      </c>
      <c r="E5089" s="213" t="s">
        <v>42364</v>
      </c>
      <c r="K5089" s="213" t="s">
        <v>59220</v>
      </c>
      <c r="L5089" s="213" t="s">
        <v>59360</v>
      </c>
      <c r="M5089" s="213" t="s">
        <v>59500</v>
      </c>
      <c r="N5089" s="213" t="s">
        <v>42365</v>
      </c>
      <c r="O5089" s="213" t="s">
        <v>42366</v>
      </c>
      <c r="P5089" s="213" t="s">
        <v>42367</v>
      </c>
      <c r="Q5089" s="213" t="s">
        <v>42368</v>
      </c>
      <c r="R5089" s="213" t="s">
        <v>42369</v>
      </c>
      <c r="S5089" s="213" t="s">
        <v>42370</v>
      </c>
      <c r="T5089" s="213" t="s">
        <v>42371</v>
      </c>
      <c r="U5089" s="213" t="s">
        <v>59640</v>
      </c>
    </row>
    <row r="5090" spans="1:21" x14ac:dyDescent="0.25">
      <c r="A5090" s="213" t="s">
        <v>327</v>
      </c>
      <c r="D5090" s="213" t="s">
        <v>42372</v>
      </c>
      <c r="E5090" s="213" t="s">
        <v>42373</v>
      </c>
      <c r="K5090" s="213" t="s">
        <v>59221</v>
      </c>
      <c r="L5090" s="213" t="s">
        <v>59361</v>
      </c>
      <c r="M5090" s="213" t="s">
        <v>59501</v>
      </c>
      <c r="N5090" s="213" t="s">
        <v>42374</v>
      </c>
      <c r="O5090" s="213" t="s">
        <v>42375</v>
      </c>
      <c r="P5090" s="213" t="s">
        <v>42376</v>
      </c>
      <c r="Q5090" s="213" t="s">
        <v>42377</v>
      </c>
      <c r="R5090" s="213" t="s">
        <v>42378</v>
      </c>
      <c r="S5090" s="213" t="s">
        <v>42379</v>
      </c>
      <c r="T5090" s="213" t="s">
        <v>42380</v>
      </c>
      <c r="U5090" s="213" t="s">
        <v>59641</v>
      </c>
    </row>
    <row r="5091" spans="1:21" x14ac:dyDescent="0.25">
      <c r="A5091" s="213" t="s">
        <v>327</v>
      </c>
      <c r="D5091" s="213" t="s">
        <v>42381</v>
      </c>
      <c r="E5091" s="213" t="s">
        <v>42382</v>
      </c>
      <c r="K5091" s="213" t="s">
        <v>59222</v>
      </c>
      <c r="L5091" s="213" t="s">
        <v>59362</v>
      </c>
      <c r="M5091" s="213" t="s">
        <v>59502</v>
      </c>
      <c r="N5091" s="213" t="s">
        <v>42383</v>
      </c>
      <c r="O5091" s="213" t="s">
        <v>42384</v>
      </c>
      <c r="P5091" s="213" t="s">
        <v>42385</v>
      </c>
      <c r="Q5091" s="213" t="s">
        <v>42386</v>
      </c>
      <c r="R5091" s="213" t="s">
        <v>42387</v>
      </c>
      <c r="S5091" s="213" t="s">
        <v>42388</v>
      </c>
      <c r="T5091" s="213" t="s">
        <v>42389</v>
      </c>
      <c r="U5091" s="213" t="s">
        <v>59642</v>
      </c>
    </row>
    <row r="5092" spans="1:21" x14ac:dyDescent="0.25">
      <c r="A5092" s="213" t="s">
        <v>327</v>
      </c>
      <c r="D5092" s="213" t="s">
        <v>42390</v>
      </c>
      <c r="E5092" s="213" t="s">
        <v>42391</v>
      </c>
      <c r="K5092" s="213" t="s">
        <v>59223</v>
      </c>
      <c r="L5092" s="213" t="s">
        <v>59363</v>
      </c>
      <c r="M5092" s="213" t="s">
        <v>59503</v>
      </c>
      <c r="N5092" s="213" t="s">
        <v>42392</v>
      </c>
      <c r="O5092" s="213" t="s">
        <v>42393</v>
      </c>
      <c r="P5092" s="213" t="s">
        <v>42394</v>
      </c>
      <c r="Q5092" s="213" t="s">
        <v>42395</v>
      </c>
      <c r="R5092" s="213" t="s">
        <v>42396</v>
      </c>
      <c r="S5092" s="213" t="s">
        <v>42397</v>
      </c>
      <c r="T5092" s="213" t="s">
        <v>42398</v>
      </c>
      <c r="U5092" s="213" t="s">
        <v>59643</v>
      </c>
    </row>
    <row r="5093" spans="1:21" x14ac:dyDescent="0.25">
      <c r="A5093" s="213" t="s">
        <v>327</v>
      </c>
      <c r="D5093" s="213" t="s">
        <v>42399</v>
      </c>
      <c r="E5093" s="213" t="s">
        <v>42400</v>
      </c>
      <c r="K5093" s="213" t="s">
        <v>59224</v>
      </c>
      <c r="L5093" s="213" t="s">
        <v>59364</v>
      </c>
      <c r="M5093" s="213" t="s">
        <v>59504</v>
      </c>
      <c r="N5093" s="213" t="s">
        <v>42401</v>
      </c>
      <c r="O5093" s="213" t="s">
        <v>42402</v>
      </c>
      <c r="P5093" s="213" t="s">
        <v>42403</v>
      </c>
      <c r="Q5093" s="213" t="s">
        <v>42404</v>
      </c>
      <c r="R5093" s="213" t="s">
        <v>42405</v>
      </c>
      <c r="S5093" s="213" t="s">
        <v>42406</v>
      </c>
      <c r="T5093" s="213" t="s">
        <v>42407</v>
      </c>
      <c r="U5093" s="213" t="s">
        <v>59644</v>
      </c>
    </row>
    <row r="5094" spans="1:21" x14ac:dyDescent="0.25">
      <c r="A5094" s="213" t="s">
        <v>327</v>
      </c>
      <c r="D5094" s="213" t="s">
        <v>42408</v>
      </c>
      <c r="E5094" s="213" t="s">
        <v>42409</v>
      </c>
      <c r="K5094" s="213" t="s">
        <v>59225</v>
      </c>
      <c r="L5094" s="213" t="s">
        <v>59365</v>
      </c>
      <c r="M5094" s="213" t="s">
        <v>59505</v>
      </c>
      <c r="N5094" s="213" t="s">
        <v>42410</v>
      </c>
      <c r="O5094" s="213" t="s">
        <v>42411</v>
      </c>
      <c r="P5094" s="213" t="s">
        <v>42412</v>
      </c>
      <c r="Q5094" s="213" t="s">
        <v>42413</v>
      </c>
      <c r="R5094" s="213" t="s">
        <v>42414</v>
      </c>
      <c r="S5094" s="213" t="s">
        <v>42415</v>
      </c>
      <c r="T5094" s="213" t="s">
        <v>42416</v>
      </c>
      <c r="U5094" s="213" t="s">
        <v>59645</v>
      </c>
    </row>
    <row r="5095" spans="1:21" x14ac:dyDescent="0.25">
      <c r="A5095" s="213" t="s">
        <v>327</v>
      </c>
      <c r="D5095" s="213" t="s">
        <v>42417</v>
      </c>
      <c r="E5095" s="213" t="s">
        <v>42418</v>
      </c>
      <c r="K5095" s="213" t="s">
        <v>59226</v>
      </c>
      <c r="L5095" s="213" t="s">
        <v>59366</v>
      </c>
      <c r="M5095" s="213" t="s">
        <v>59506</v>
      </c>
      <c r="N5095" s="213" t="s">
        <v>42419</v>
      </c>
      <c r="O5095" s="213" t="s">
        <v>42420</v>
      </c>
      <c r="P5095" s="213" t="s">
        <v>42421</v>
      </c>
      <c r="Q5095" s="213" t="s">
        <v>42422</v>
      </c>
      <c r="R5095" s="213" t="s">
        <v>42423</v>
      </c>
      <c r="S5095" s="213" t="s">
        <v>42424</v>
      </c>
      <c r="T5095" s="213" t="s">
        <v>42425</v>
      </c>
      <c r="U5095" s="213" t="s">
        <v>59646</v>
      </c>
    </row>
    <row r="5096" spans="1:21" x14ac:dyDescent="0.25">
      <c r="A5096" s="213" t="s">
        <v>327</v>
      </c>
      <c r="D5096" s="213" t="s">
        <v>42426</v>
      </c>
      <c r="E5096" s="213" t="s">
        <v>42427</v>
      </c>
      <c r="K5096" s="213" t="s">
        <v>59227</v>
      </c>
      <c r="L5096" s="213" t="s">
        <v>59367</v>
      </c>
      <c r="M5096" s="213" t="s">
        <v>59507</v>
      </c>
      <c r="N5096" s="213" t="s">
        <v>42428</v>
      </c>
      <c r="O5096" s="213" t="s">
        <v>42429</v>
      </c>
      <c r="P5096" s="213" t="s">
        <v>42430</v>
      </c>
      <c r="Q5096" s="213" t="s">
        <v>42431</v>
      </c>
      <c r="R5096" s="213" t="s">
        <v>42432</v>
      </c>
      <c r="S5096" s="213" t="s">
        <v>42433</v>
      </c>
      <c r="T5096" s="213" t="s">
        <v>42434</v>
      </c>
      <c r="U5096" s="213" t="s">
        <v>59647</v>
      </c>
    </row>
    <row r="5097" spans="1:21" x14ac:dyDescent="0.25">
      <c r="A5097" s="213" t="s">
        <v>327</v>
      </c>
      <c r="D5097" s="213" t="s">
        <v>42435</v>
      </c>
      <c r="E5097" s="213" t="s">
        <v>42436</v>
      </c>
      <c r="K5097" s="213" t="s">
        <v>59228</v>
      </c>
      <c r="L5097" s="213" t="s">
        <v>59368</v>
      </c>
      <c r="M5097" s="213" t="s">
        <v>59508</v>
      </c>
      <c r="N5097" s="213" t="s">
        <v>42437</v>
      </c>
      <c r="O5097" s="213" t="s">
        <v>42438</v>
      </c>
      <c r="P5097" s="213" t="s">
        <v>42439</v>
      </c>
      <c r="Q5097" s="213" t="s">
        <v>42440</v>
      </c>
      <c r="R5097" s="213" t="s">
        <v>42441</v>
      </c>
      <c r="S5097" s="213" t="s">
        <v>42442</v>
      </c>
      <c r="T5097" s="213" t="s">
        <v>42443</v>
      </c>
      <c r="U5097" s="213" t="s">
        <v>59648</v>
      </c>
    </row>
    <row r="5098" spans="1:21" x14ac:dyDescent="0.25">
      <c r="A5098" s="213" t="s">
        <v>327</v>
      </c>
      <c r="D5098" s="213" t="s">
        <v>42444</v>
      </c>
      <c r="E5098" s="213" t="s">
        <v>42445</v>
      </c>
      <c r="K5098" s="213" t="s">
        <v>59229</v>
      </c>
      <c r="L5098" s="213" t="s">
        <v>59369</v>
      </c>
      <c r="M5098" s="213" t="s">
        <v>59509</v>
      </c>
      <c r="N5098" s="213" t="s">
        <v>42446</v>
      </c>
      <c r="O5098" s="213" t="s">
        <v>42447</v>
      </c>
      <c r="P5098" s="213" t="s">
        <v>42448</v>
      </c>
      <c r="Q5098" s="213" t="s">
        <v>42449</v>
      </c>
      <c r="R5098" s="213" t="s">
        <v>42450</v>
      </c>
      <c r="S5098" s="213" t="s">
        <v>42451</v>
      </c>
      <c r="T5098" s="213" t="s">
        <v>42452</v>
      </c>
      <c r="U5098" s="213" t="s">
        <v>59649</v>
      </c>
    </row>
    <row r="5099" spans="1:21" x14ac:dyDescent="0.25">
      <c r="A5099" s="213" t="s">
        <v>327</v>
      </c>
      <c r="D5099" s="213" t="s">
        <v>42453</v>
      </c>
      <c r="E5099" s="213" t="s">
        <v>42454</v>
      </c>
      <c r="K5099" s="213" t="s">
        <v>59230</v>
      </c>
      <c r="L5099" s="213" t="s">
        <v>59370</v>
      </c>
      <c r="M5099" s="213" t="s">
        <v>59510</v>
      </c>
      <c r="N5099" s="213" t="s">
        <v>42455</v>
      </c>
      <c r="O5099" s="213" t="s">
        <v>42456</v>
      </c>
      <c r="P5099" s="213" t="s">
        <v>42457</v>
      </c>
      <c r="Q5099" s="213" t="s">
        <v>42458</v>
      </c>
      <c r="R5099" s="213" t="s">
        <v>42459</v>
      </c>
      <c r="S5099" s="213" t="s">
        <v>42460</v>
      </c>
      <c r="T5099" s="213" t="s">
        <v>42461</v>
      </c>
      <c r="U5099" s="213" t="s">
        <v>59650</v>
      </c>
    </row>
    <row r="5100" spans="1:21" x14ac:dyDescent="0.25">
      <c r="A5100" s="213" t="s">
        <v>327</v>
      </c>
      <c r="D5100" s="213" t="s">
        <v>42462</v>
      </c>
      <c r="E5100" s="213" t="s">
        <v>42463</v>
      </c>
      <c r="K5100" s="213" t="s">
        <v>59231</v>
      </c>
      <c r="L5100" s="213" t="s">
        <v>59371</v>
      </c>
      <c r="M5100" s="213" t="s">
        <v>59511</v>
      </c>
      <c r="N5100" s="213" t="s">
        <v>42464</v>
      </c>
      <c r="O5100" s="213" t="s">
        <v>42465</v>
      </c>
      <c r="P5100" s="213" t="s">
        <v>42466</v>
      </c>
      <c r="Q5100" s="213" t="s">
        <v>42467</v>
      </c>
      <c r="R5100" s="213" t="s">
        <v>42468</v>
      </c>
      <c r="S5100" s="213" t="s">
        <v>42469</v>
      </c>
      <c r="T5100" s="213" t="s">
        <v>42470</v>
      </c>
      <c r="U5100" s="213" t="s">
        <v>59651</v>
      </c>
    </row>
    <row r="5101" spans="1:21" x14ac:dyDescent="0.25">
      <c r="A5101" s="213" t="s">
        <v>327</v>
      </c>
      <c r="D5101" s="213" t="s">
        <v>42471</v>
      </c>
      <c r="E5101" s="213" t="s">
        <v>42472</v>
      </c>
      <c r="K5101" s="213" t="s">
        <v>59232</v>
      </c>
      <c r="L5101" s="213" t="s">
        <v>59372</v>
      </c>
      <c r="M5101" s="213" t="s">
        <v>59512</v>
      </c>
      <c r="N5101" s="213" t="s">
        <v>42473</v>
      </c>
      <c r="O5101" s="213" t="s">
        <v>42474</v>
      </c>
      <c r="P5101" s="213" t="s">
        <v>42475</v>
      </c>
      <c r="Q5101" s="213" t="s">
        <v>42476</v>
      </c>
      <c r="R5101" s="213" t="s">
        <v>42477</v>
      </c>
      <c r="S5101" s="213" t="s">
        <v>42478</v>
      </c>
      <c r="T5101" s="213" t="s">
        <v>42479</v>
      </c>
      <c r="U5101" s="213" t="s">
        <v>59652</v>
      </c>
    </row>
    <row r="5102" spans="1:21" x14ac:dyDescent="0.25">
      <c r="A5102" s="213" t="s">
        <v>327</v>
      </c>
      <c r="D5102" s="213" t="s">
        <v>42480</v>
      </c>
      <c r="E5102" s="213" t="s">
        <v>42481</v>
      </c>
      <c r="K5102" s="213" t="s">
        <v>59233</v>
      </c>
      <c r="L5102" s="213" t="s">
        <v>59373</v>
      </c>
      <c r="M5102" s="213" t="s">
        <v>59513</v>
      </c>
      <c r="N5102" s="213" t="s">
        <v>42482</v>
      </c>
      <c r="O5102" s="213" t="s">
        <v>42483</v>
      </c>
      <c r="P5102" s="213" t="s">
        <v>42484</v>
      </c>
      <c r="Q5102" s="213" t="s">
        <v>42485</v>
      </c>
      <c r="R5102" s="213" t="s">
        <v>42486</v>
      </c>
      <c r="S5102" s="213" t="s">
        <v>42487</v>
      </c>
      <c r="T5102" s="213" t="s">
        <v>42488</v>
      </c>
      <c r="U5102" s="213" t="s">
        <v>59653</v>
      </c>
    </row>
    <row r="5103" spans="1:21" x14ac:dyDescent="0.25">
      <c r="A5103" s="213" t="s">
        <v>327</v>
      </c>
      <c r="D5103" s="213" t="s">
        <v>42489</v>
      </c>
      <c r="E5103" s="213" t="s">
        <v>42490</v>
      </c>
      <c r="K5103" s="213" t="s">
        <v>59234</v>
      </c>
      <c r="L5103" s="213" t="s">
        <v>59374</v>
      </c>
      <c r="M5103" s="213" t="s">
        <v>59514</v>
      </c>
      <c r="N5103" s="213" t="s">
        <v>42491</v>
      </c>
      <c r="O5103" s="213" t="s">
        <v>42492</v>
      </c>
      <c r="P5103" s="213" t="s">
        <v>42493</v>
      </c>
      <c r="Q5103" s="213" t="s">
        <v>42494</v>
      </c>
      <c r="R5103" s="213" t="s">
        <v>42495</v>
      </c>
      <c r="S5103" s="213" t="s">
        <v>42496</v>
      </c>
      <c r="T5103" s="213" t="s">
        <v>42497</v>
      </c>
      <c r="U5103" s="213" t="s">
        <v>59654</v>
      </c>
    </row>
    <row r="5104" spans="1:21" x14ac:dyDescent="0.25">
      <c r="A5104" s="213" t="s">
        <v>327</v>
      </c>
      <c r="D5104" s="213" t="s">
        <v>42498</v>
      </c>
      <c r="E5104" s="213" t="s">
        <v>42499</v>
      </c>
      <c r="K5104" s="213" t="s">
        <v>59235</v>
      </c>
      <c r="L5104" s="213" t="s">
        <v>59375</v>
      </c>
      <c r="M5104" s="213" t="s">
        <v>59515</v>
      </c>
      <c r="N5104" s="213" t="s">
        <v>42500</v>
      </c>
      <c r="O5104" s="213" t="s">
        <v>42501</v>
      </c>
      <c r="P5104" s="213" t="s">
        <v>42502</v>
      </c>
      <c r="Q5104" s="213" t="s">
        <v>42503</v>
      </c>
      <c r="R5104" s="213" t="s">
        <v>42504</v>
      </c>
      <c r="S5104" s="213" t="s">
        <v>42505</v>
      </c>
      <c r="T5104" s="213" t="s">
        <v>42506</v>
      </c>
      <c r="U5104" s="213" t="s">
        <v>59655</v>
      </c>
    </row>
    <row r="5105" spans="1:21" x14ac:dyDescent="0.25">
      <c r="A5105" s="213" t="s">
        <v>327</v>
      </c>
      <c r="D5105" s="213" t="s">
        <v>42507</v>
      </c>
      <c r="E5105" s="213" t="s">
        <v>42508</v>
      </c>
      <c r="K5105" s="213" t="s">
        <v>59236</v>
      </c>
      <c r="L5105" s="213" t="s">
        <v>59376</v>
      </c>
      <c r="M5105" s="213" t="s">
        <v>59516</v>
      </c>
      <c r="N5105" s="213" t="s">
        <v>42509</v>
      </c>
      <c r="O5105" s="213" t="s">
        <v>42510</v>
      </c>
      <c r="P5105" s="213" t="s">
        <v>42511</v>
      </c>
      <c r="Q5105" s="213" t="s">
        <v>42512</v>
      </c>
      <c r="R5105" s="213" t="s">
        <v>42513</v>
      </c>
      <c r="S5105" s="213" t="s">
        <v>42514</v>
      </c>
      <c r="T5105" s="213" t="s">
        <v>42515</v>
      </c>
      <c r="U5105" s="213" t="s">
        <v>59656</v>
      </c>
    </row>
    <row r="5106" spans="1:21" x14ac:dyDescent="0.25">
      <c r="A5106" s="213" t="s">
        <v>327</v>
      </c>
      <c r="D5106" s="213" t="s">
        <v>42516</v>
      </c>
      <c r="E5106" s="213" t="s">
        <v>42517</v>
      </c>
      <c r="K5106" s="213" t="s">
        <v>59237</v>
      </c>
      <c r="L5106" s="213" t="s">
        <v>59377</v>
      </c>
      <c r="M5106" s="213" t="s">
        <v>59517</v>
      </c>
      <c r="N5106" s="213" t="s">
        <v>42518</v>
      </c>
      <c r="O5106" s="213" t="s">
        <v>42519</v>
      </c>
      <c r="P5106" s="213" t="s">
        <v>42520</v>
      </c>
      <c r="Q5106" s="213" t="s">
        <v>42521</v>
      </c>
      <c r="R5106" s="213" t="s">
        <v>42522</v>
      </c>
      <c r="S5106" s="213" t="s">
        <v>42523</v>
      </c>
      <c r="T5106" s="213" t="s">
        <v>42524</v>
      </c>
      <c r="U5106" s="213" t="s">
        <v>59657</v>
      </c>
    </row>
    <row r="5107" spans="1:21" x14ac:dyDescent="0.25">
      <c r="A5107" s="213" t="s">
        <v>327</v>
      </c>
      <c r="D5107" s="213" t="s">
        <v>42525</v>
      </c>
      <c r="E5107" s="213" t="s">
        <v>42526</v>
      </c>
      <c r="K5107" s="213" t="s">
        <v>59238</v>
      </c>
      <c r="L5107" s="213" t="s">
        <v>59378</v>
      </c>
      <c r="M5107" s="213" t="s">
        <v>59518</v>
      </c>
      <c r="N5107" s="213" t="s">
        <v>42527</v>
      </c>
      <c r="O5107" s="213" t="s">
        <v>42528</v>
      </c>
      <c r="P5107" s="213" t="s">
        <v>42529</v>
      </c>
      <c r="Q5107" s="213" t="s">
        <v>42530</v>
      </c>
      <c r="R5107" s="213" t="s">
        <v>42531</v>
      </c>
      <c r="S5107" s="213" t="s">
        <v>42532</v>
      </c>
      <c r="T5107" s="213" t="s">
        <v>42533</v>
      </c>
      <c r="U5107" s="213" t="s">
        <v>59658</v>
      </c>
    </row>
    <row r="5108" spans="1:21" x14ac:dyDescent="0.25">
      <c r="A5108" s="213" t="s">
        <v>327</v>
      </c>
      <c r="D5108" s="213" t="s">
        <v>42534</v>
      </c>
      <c r="E5108" s="213" t="s">
        <v>42535</v>
      </c>
      <c r="K5108" s="213" t="s">
        <v>59239</v>
      </c>
      <c r="L5108" s="213" t="s">
        <v>59379</v>
      </c>
      <c r="M5108" s="213" t="s">
        <v>59519</v>
      </c>
      <c r="N5108" s="213" t="s">
        <v>42536</v>
      </c>
      <c r="O5108" s="213" t="s">
        <v>42537</v>
      </c>
      <c r="P5108" s="213" t="s">
        <v>42538</v>
      </c>
      <c r="Q5108" s="213" t="s">
        <v>42539</v>
      </c>
      <c r="R5108" s="213" t="s">
        <v>42540</v>
      </c>
      <c r="S5108" s="213" t="s">
        <v>42541</v>
      </c>
      <c r="T5108" s="213" t="s">
        <v>42542</v>
      </c>
      <c r="U5108" s="213" t="s">
        <v>59659</v>
      </c>
    </row>
    <row r="5109" spans="1:21" x14ac:dyDescent="0.25">
      <c r="A5109" s="213" t="s">
        <v>327</v>
      </c>
      <c r="D5109" s="213" t="s">
        <v>42543</v>
      </c>
      <c r="E5109" s="213" t="s">
        <v>42544</v>
      </c>
      <c r="K5109" s="213" t="s">
        <v>59240</v>
      </c>
      <c r="L5109" s="213" t="s">
        <v>59380</v>
      </c>
      <c r="M5109" s="213" t="s">
        <v>59520</v>
      </c>
      <c r="N5109" s="213" t="s">
        <v>42545</v>
      </c>
      <c r="O5109" s="213" t="s">
        <v>42546</v>
      </c>
      <c r="P5109" s="213" t="s">
        <v>42547</v>
      </c>
      <c r="Q5109" s="213" t="s">
        <v>42548</v>
      </c>
      <c r="R5109" s="213" t="s">
        <v>42549</v>
      </c>
      <c r="S5109" s="213" t="s">
        <v>42550</v>
      </c>
      <c r="T5109" s="213" t="s">
        <v>42551</v>
      </c>
      <c r="U5109" s="213" t="s">
        <v>59660</v>
      </c>
    </row>
    <row r="5110" spans="1:21" x14ac:dyDescent="0.25">
      <c r="A5110" s="213" t="s">
        <v>327</v>
      </c>
      <c r="D5110" s="213" t="s">
        <v>42552</v>
      </c>
      <c r="E5110" s="213" t="s">
        <v>42553</v>
      </c>
      <c r="K5110" s="213" t="s">
        <v>59241</v>
      </c>
      <c r="L5110" s="213" t="s">
        <v>59381</v>
      </c>
      <c r="M5110" s="213" t="s">
        <v>59521</v>
      </c>
      <c r="N5110" s="213" t="s">
        <v>42554</v>
      </c>
      <c r="O5110" s="213" t="s">
        <v>42555</v>
      </c>
      <c r="P5110" s="213" t="s">
        <v>42556</v>
      </c>
      <c r="Q5110" s="213" t="s">
        <v>42557</v>
      </c>
      <c r="R5110" s="213" t="s">
        <v>42558</v>
      </c>
      <c r="S5110" s="213" t="s">
        <v>42559</v>
      </c>
      <c r="T5110" s="213" t="s">
        <v>42560</v>
      </c>
      <c r="U5110" s="213" t="s">
        <v>59661</v>
      </c>
    </row>
    <row r="5111" spans="1:21" x14ac:dyDescent="0.25">
      <c r="A5111" s="213" t="s">
        <v>327</v>
      </c>
      <c r="D5111" s="213" t="s">
        <v>42561</v>
      </c>
      <c r="E5111" s="213" t="s">
        <v>42562</v>
      </c>
      <c r="K5111" s="213" t="s">
        <v>59242</v>
      </c>
      <c r="L5111" s="213" t="s">
        <v>59382</v>
      </c>
      <c r="M5111" s="213" t="s">
        <v>59522</v>
      </c>
      <c r="N5111" s="213" t="s">
        <v>42563</v>
      </c>
      <c r="O5111" s="213" t="s">
        <v>42564</v>
      </c>
      <c r="P5111" s="213" t="s">
        <v>42565</v>
      </c>
      <c r="Q5111" s="213" t="s">
        <v>42566</v>
      </c>
      <c r="R5111" s="213" t="s">
        <v>42567</v>
      </c>
      <c r="S5111" s="213" t="s">
        <v>42568</v>
      </c>
      <c r="T5111" s="213" t="s">
        <v>42569</v>
      </c>
      <c r="U5111" s="213" t="s">
        <v>59662</v>
      </c>
    </row>
    <row r="5112" spans="1:21" x14ac:dyDescent="0.25">
      <c r="A5112" s="213" t="s">
        <v>327</v>
      </c>
      <c r="D5112" s="213" t="s">
        <v>42570</v>
      </c>
      <c r="E5112" s="213" t="s">
        <v>42571</v>
      </c>
      <c r="K5112" s="213" t="s">
        <v>59243</v>
      </c>
      <c r="L5112" s="213" t="s">
        <v>59383</v>
      </c>
      <c r="M5112" s="213" t="s">
        <v>59523</v>
      </c>
      <c r="N5112" s="213" t="s">
        <v>42572</v>
      </c>
      <c r="O5112" s="213" t="s">
        <v>42573</v>
      </c>
      <c r="P5112" s="213" t="s">
        <v>42574</v>
      </c>
      <c r="Q5112" s="213" t="s">
        <v>42575</v>
      </c>
      <c r="R5112" s="213" t="s">
        <v>42576</v>
      </c>
      <c r="S5112" s="213" t="s">
        <v>42577</v>
      </c>
      <c r="T5112" s="213" t="s">
        <v>42578</v>
      </c>
      <c r="U5112" s="213" t="s">
        <v>59663</v>
      </c>
    </row>
    <row r="5113" spans="1:21" x14ac:dyDescent="0.25">
      <c r="A5113" s="213" t="s">
        <v>327</v>
      </c>
      <c r="D5113" s="213" t="s">
        <v>42579</v>
      </c>
      <c r="E5113" s="213" t="s">
        <v>42580</v>
      </c>
      <c r="K5113" s="213" t="s">
        <v>59244</v>
      </c>
      <c r="L5113" s="213" t="s">
        <v>59384</v>
      </c>
      <c r="M5113" s="213" t="s">
        <v>59524</v>
      </c>
      <c r="N5113" s="213" t="s">
        <v>42581</v>
      </c>
      <c r="O5113" s="213" t="s">
        <v>42582</v>
      </c>
      <c r="P5113" s="213" t="s">
        <v>42583</v>
      </c>
      <c r="Q5113" s="213" t="s">
        <v>42584</v>
      </c>
      <c r="R5113" s="213" t="s">
        <v>42585</v>
      </c>
      <c r="S5113" s="213" t="s">
        <v>42586</v>
      </c>
      <c r="T5113" s="213" t="s">
        <v>42587</v>
      </c>
      <c r="U5113" s="213" t="s">
        <v>59664</v>
      </c>
    </row>
    <row r="5114" spans="1:21" x14ac:dyDescent="0.25">
      <c r="A5114" s="213" t="s">
        <v>327</v>
      </c>
      <c r="D5114" s="213" t="s">
        <v>42588</v>
      </c>
      <c r="E5114" s="213" t="s">
        <v>42589</v>
      </c>
      <c r="K5114" s="213" t="s">
        <v>59245</v>
      </c>
      <c r="L5114" s="213" t="s">
        <v>59385</v>
      </c>
      <c r="M5114" s="213" t="s">
        <v>59525</v>
      </c>
      <c r="N5114" s="213" t="s">
        <v>42590</v>
      </c>
      <c r="O5114" s="213" t="s">
        <v>42591</v>
      </c>
      <c r="P5114" s="213" t="s">
        <v>42592</v>
      </c>
      <c r="Q5114" s="213" t="s">
        <v>42593</v>
      </c>
      <c r="R5114" s="213" t="s">
        <v>42594</v>
      </c>
      <c r="S5114" s="213" t="s">
        <v>42595</v>
      </c>
      <c r="T5114" s="213" t="s">
        <v>42596</v>
      </c>
      <c r="U5114" s="213" t="s">
        <v>59665</v>
      </c>
    </row>
    <row r="5115" spans="1:21" x14ac:dyDescent="0.25">
      <c r="A5115" s="213" t="s">
        <v>327</v>
      </c>
      <c r="D5115" s="213" t="s">
        <v>42597</v>
      </c>
      <c r="E5115" s="213" t="s">
        <v>42598</v>
      </c>
      <c r="K5115" s="213" t="s">
        <v>59246</v>
      </c>
      <c r="L5115" s="213" t="s">
        <v>59386</v>
      </c>
      <c r="M5115" s="213" t="s">
        <v>59526</v>
      </c>
      <c r="N5115" s="213" t="s">
        <v>42599</v>
      </c>
      <c r="O5115" s="213" t="s">
        <v>42600</v>
      </c>
      <c r="P5115" s="213" t="s">
        <v>42601</v>
      </c>
      <c r="Q5115" s="213" t="s">
        <v>42602</v>
      </c>
      <c r="R5115" s="213" t="s">
        <v>42603</v>
      </c>
      <c r="S5115" s="213" t="s">
        <v>42604</v>
      </c>
      <c r="T5115" s="213" t="s">
        <v>42605</v>
      </c>
      <c r="U5115" s="213" t="s">
        <v>59666</v>
      </c>
    </row>
    <row r="5116" spans="1:21" x14ac:dyDescent="0.25">
      <c r="A5116" s="213" t="s">
        <v>327</v>
      </c>
      <c r="D5116" s="213" t="s">
        <v>42606</v>
      </c>
      <c r="E5116" s="213" t="s">
        <v>42607</v>
      </c>
      <c r="K5116" s="213" t="s">
        <v>59247</v>
      </c>
      <c r="L5116" s="213" t="s">
        <v>59387</v>
      </c>
      <c r="M5116" s="213" t="s">
        <v>59527</v>
      </c>
      <c r="N5116" s="213" t="s">
        <v>42608</v>
      </c>
      <c r="O5116" s="213" t="s">
        <v>42609</v>
      </c>
      <c r="P5116" s="213" t="s">
        <v>42610</v>
      </c>
      <c r="Q5116" s="213" t="s">
        <v>42611</v>
      </c>
      <c r="R5116" s="213" t="s">
        <v>42612</v>
      </c>
      <c r="S5116" s="213" t="s">
        <v>42613</v>
      </c>
      <c r="T5116" s="213" t="s">
        <v>42614</v>
      </c>
      <c r="U5116" s="213" t="s">
        <v>59667</v>
      </c>
    </row>
    <row r="5117" spans="1:21" x14ac:dyDescent="0.25">
      <c r="A5117" s="213" t="s">
        <v>327</v>
      </c>
      <c r="D5117" s="213" t="s">
        <v>42615</v>
      </c>
      <c r="E5117" s="213" t="s">
        <v>42616</v>
      </c>
      <c r="K5117" s="213" t="s">
        <v>59248</v>
      </c>
      <c r="L5117" s="213" t="s">
        <v>59388</v>
      </c>
      <c r="M5117" s="213" t="s">
        <v>59528</v>
      </c>
      <c r="N5117" s="213" t="s">
        <v>42617</v>
      </c>
      <c r="O5117" s="213" t="s">
        <v>42618</v>
      </c>
      <c r="P5117" s="213" t="s">
        <v>42619</v>
      </c>
      <c r="Q5117" s="213" t="s">
        <v>42620</v>
      </c>
      <c r="R5117" s="213" t="s">
        <v>42621</v>
      </c>
      <c r="S5117" s="213" t="s">
        <v>42622</v>
      </c>
      <c r="T5117" s="213" t="s">
        <v>42623</v>
      </c>
      <c r="U5117" s="213" t="s">
        <v>59668</v>
      </c>
    </row>
    <row r="5118" spans="1:21" x14ac:dyDescent="0.25">
      <c r="A5118" s="213" t="s">
        <v>327</v>
      </c>
      <c r="D5118" s="213" t="s">
        <v>42624</v>
      </c>
      <c r="E5118" s="213" t="s">
        <v>42625</v>
      </c>
      <c r="K5118" s="213" t="s">
        <v>59249</v>
      </c>
      <c r="L5118" s="213" t="s">
        <v>59389</v>
      </c>
      <c r="M5118" s="213" t="s">
        <v>59529</v>
      </c>
      <c r="N5118" s="213" t="s">
        <v>42626</v>
      </c>
      <c r="O5118" s="213" t="s">
        <v>42627</v>
      </c>
      <c r="P5118" s="213" t="s">
        <v>42628</v>
      </c>
      <c r="Q5118" s="213" t="s">
        <v>42629</v>
      </c>
      <c r="R5118" s="213" t="s">
        <v>42630</v>
      </c>
      <c r="S5118" s="213" t="s">
        <v>42631</v>
      </c>
      <c r="T5118" s="213" t="s">
        <v>42632</v>
      </c>
      <c r="U5118" s="213" t="s">
        <v>59669</v>
      </c>
    </row>
    <row r="5119" spans="1:21" x14ac:dyDescent="0.25">
      <c r="A5119" s="213" t="s">
        <v>327</v>
      </c>
      <c r="D5119" s="213" t="s">
        <v>42633</v>
      </c>
      <c r="E5119" s="213" t="s">
        <v>42634</v>
      </c>
      <c r="K5119" s="213" t="s">
        <v>59250</v>
      </c>
      <c r="L5119" s="213" t="s">
        <v>59390</v>
      </c>
      <c r="M5119" s="213" t="s">
        <v>59530</v>
      </c>
      <c r="N5119" s="213" t="s">
        <v>42635</v>
      </c>
      <c r="O5119" s="213" t="s">
        <v>42636</v>
      </c>
      <c r="P5119" s="213" t="s">
        <v>42637</v>
      </c>
      <c r="Q5119" s="213" t="s">
        <v>42638</v>
      </c>
      <c r="R5119" s="213" t="s">
        <v>42639</v>
      </c>
      <c r="S5119" s="213" t="s">
        <v>42640</v>
      </c>
      <c r="T5119" s="213" t="s">
        <v>42641</v>
      </c>
      <c r="U5119" s="213" t="s">
        <v>59670</v>
      </c>
    </row>
    <row r="5120" spans="1:21" x14ac:dyDescent="0.25">
      <c r="A5120" s="213" t="s">
        <v>327</v>
      </c>
      <c r="D5120" s="213" t="s">
        <v>42642</v>
      </c>
      <c r="E5120" s="213" t="s">
        <v>42643</v>
      </c>
      <c r="K5120" s="213" t="s">
        <v>59251</v>
      </c>
      <c r="L5120" s="213" t="s">
        <v>59391</v>
      </c>
      <c r="M5120" s="213" t="s">
        <v>59531</v>
      </c>
      <c r="N5120" s="213" t="s">
        <v>42644</v>
      </c>
      <c r="O5120" s="213" t="s">
        <v>42645</v>
      </c>
      <c r="P5120" s="213" t="s">
        <v>42646</v>
      </c>
      <c r="Q5120" s="213" t="s">
        <v>42647</v>
      </c>
      <c r="R5120" s="213" t="s">
        <v>42648</v>
      </c>
      <c r="S5120" s="213" t="s">
        <v>42649</v>
      </c>
      <c r="T5120" s="213" t="s">
        <v>42650</v>
      </c>
      <c r="U5120" s="213" t="s">
        <v>59671</v>
      </c>
    </row>
    <row r="5121" spans="1:21" x14ac:dyDescent="0.25">
      <c r="A5121" s="213" t="s">
        <v>327</v>
      </c>
      <c r="D5121" s="213" t="s">
        <v>42651</v>
      </c>
      <c r="E5121" s="213" t="s">
        <v>42652</v>
      </c>
      <c r="K5121" s="213" t="s">
        <v>59252</v>
      </c>
      <c r="L5121" s="213" t="s">
        <v>59392</v>
      </c>
      <c r="M5121" s="213" t="s">
        <v>59532</v>
      </c>
      <c r="N5121" s="213" t="s">
        <v>42653</v>
      </c>
      <c r="O5121" s="213" t="s">
        <v>42654</v>
      </c>
      <c r="P5121" s="213" t="s">
        <v>42655</v>
      </c>
      <c r="Q5121" s="213" t="s">
        <v>42656</v>
      </c>
      <c r="R5121" s="213" t="s">
        <v>42657</v>
      </c>
      <c r="S5121" s="213" t="s">
        <v>42658</v>
      </c>
      <c r="T5121" s="213" t="s">
        <v>42659</v>
      </c>
      <c r="U5121" s="213" t="s">
        <v>59672</v>
      </c>
    </row>
    <row r="5122" spans="1:21" x14ac:dyDescent="0.25">
      <c r="A5122" s="213" t="s">
        <v>327</v>
      </c>
      <c r="D5122" s="213" t="s">
        <v>42660</v>
      </c>
      <c r="E5122" s="213" t="s">
        <v>42661</v>
      </c>
      <c r="K5122" s="213" t="s">
        <v>59253</v>
      </c>
      <c r="L5122" s="213" t="s">
        <v>59393</v>
      </c>
      <c r="M5122" s="213" t="s">
        <v>59533</v>
      </c>
      <c r="N5122" s="213" t="s">
        <v>42662</v>
      </c>
      <c r="O5122" s="213" t="s">
        <v>42663</v>
      </c>
      <c r="P5122" s="213" t="s">
        <v>42664</v>
      </c>
      <c r="Q5122" s="213" t="s">
        <v>42665</v>
      </c>
      <c r="R5122" s="213" t="s">
        <v>42666</v>
      </c>
      <c r="S5122" s="213" t="s">
        <v>42667</v>
      </c>
      <c r="T5122" s="213" t="s">
        <v>42668</v>
      </c>
      <c r="U5122" s="213" t="s">
        <v>59673</v>
      </c>
    </row>
    <row r="5123" spans="1:21" x14ac:dyDescent="0.25">
      <c r="A5123" s="213" t="s">
        <v>327</v>
      </c>
      <c r="D5123" s="213" t="s">
        <v>42669</v>
      </c>
      <c r="E5123" s="213" t="s">
        <v>42670</v>
      </c>
      <c r="K5123" s="213" t="s">
        <v>59254</v>
      </c>
      <c r="L5123" s="213" t="s">
        <v>59394</v>
      </c>
      <c r="M5123" s="213" t="s">
        <v>59534</v>
      </c>
      <c r="N5123" s="213" t="s">
        <v>42671</v>
      </c>
      <c r="O5123" s="213" t="s">
        <v>42672</v>
      </c>
      <c r="P5123" s="213" t="s">
        <v>42673</v>
      </c>
      <c r="Q5123" s="213" t="s">
        <v>42674</v>
      </c>
      <c r="R5123" s="213" t="s">
        <v>42675</v>
      </c>
      <c r="S5123" s="213" t="s">
        <v>42676</v>
      </c>
      <c r="T5123" s="213" t="s">
        <v>42677</v>
      </c>
      <c r="U5123" s="213" t="s">
        <v>59674</v>
      </c>
    </row>
    <row r="5124" spans="1:21" x14ac:dyDescent="0.25">
      <c r="A5124" s="213" t="s">
        <v>327</v>
      </c>
      <c r="D5124" s="213" t="s">
        <v>42678</v>
      </c>
      <c r="E5124" s="213" t="s">
        <v>42679</v>
      </c>
      <c r="K5124" s="213" t="s">
        <v>59255</v>
      </c>
      <c r="L5124" s="213" t="s">
        <v>59395</v>
      </c>
      <c r="M5124" s="213" t="s">
        <v>59535</v>
      </c>
      <c r="N5124" s="213" t="s">
        <v>42680</v>
      </c>
      <c r="O5124" s="213" t="s">
        <v>42681</v>
      </c>
      <c r="P5124" s="213" t="s">
        <v>42682</v>
      </c>
      <c r="Q5124" s="213" t="s">
        <v>42683</v>
      </c>
      <c r="R5124" s="213" t="s">
        <v>42684</v>
      </c>
      <c r="S5124" s="213" t="s">
        <v>42685</v>
      </c>
      <c r="T5124" s="213" t="s">
        <v>42686</v>
      </c>
      <c r="U5124" s="213" t="s">
        <v>59675</v>
      </c>
    </row>
    <row r="5125" spans="1:21" x14ac:dyDescent="0.25">
      <c r="A5125" s="213" t="s">
        <v>327</v>
      </c>
      <c r="D5125" s="213" t="s">
        <v>42687</v>
      </c>
      <c r="E5125" s="213" t="s">
        <v>42688</v>
      </c>
      <c r="K5125" s="213" t="s">
        <v>59256</v>
      </c>
      <c r="L5125" s="213" t="s">
        <v>59396</v>
      </c>
      <c r="M5125" s="213" t="s">
        <v>59536</v>
      </c>
      <c r="N5125" s="213" t="s">
        <v>42689</v>
      </c>
      <c r="O5125" s="213" t="s">
        <v>42690</v>
      </c>
      <c r="P5125" s="213" t="s">
        <v>42691</v>
      </c>
      <c r="Q5125" s="213" t="s">
        <v>42692</v>
      </c>
      <c r="R5125" s="213" t="s">
        <v>42693</v>
      </c>
      <c r="S5125" s="213" t="s">
        <v>42694</v>
      </c>
      <c r="T5125" s="213" t="s">
        <v>42695</v>
      </c>
      <c r="U5125" s="213" t="s">
        <v>59676</v>
      </c>
    </row>
    <row r="5126" spans="1:21" x14ac:dyDescent="0.25">
      <c r="A5126" s="213" t="s">
        <v>327</v>
      </c>
      <c r="D5126" s="213" t="s">
        <v>42696</v>
      </c>
      <c r="E5126" s="213" t="s">
        <v>42697</v>
      </c>
      <c r="K5126" s="213" t="s">
        <v>59257</v>
      </c>
      <c r="L5126" s="213" t="s">
        <v>59397</v>
      </c>
      <c r="M5126" s="213" t="s">
        <v>59537</v>
      </c>
      <c r="N5126" s="213" t="s">
        <v>42698</v>
      </c>
      <c r="O5126" s="213" t="s">
        <v>42699</v>
      </c>
      <c r="P5126" s="213" t="s">
        <v>42700</v>
      </c>
      <c r="Q5126" s="213" t="s">
        <v>42701</v>
      </c>
      <c r="R5126" s="213" t="s">
        <v>42702</v>
      </c>
      <c r="S5126" s="213" t="s">
        <v>42703</v>
      </c>
      <c r="T5126" s="213" t="s">
        <v>42704</v>
      </c>
      <c r="U5126" s="213" t="s">
        <v>59677</v>
      </c>
    </row>
    <row r="5127" spans="1:21" x14ac:dyDescent="0.25">
      <c r="A5127" s="213" t="s">
        <v>327</v>
      </c>
      <c r="D5127" s="213" t="s">
        <v>42705</v>
      </c>
      <c r="E5127" s="213" t="s">
        <v>42706</v>
      </c>
      <c r="K5127" s="213" t="s">
        <v>59258</v>
      </c>
      <c r="L5127" s="213" t="s">
        <v>59398</v>
      </c>
      <c r="M5127" s="213" t="s">
        <v>59538</v>
      </c>
      <c r="N5127" s="213" t="s">
        <v>42707</v>
      </c>
      <c r="O5127" s="213" t="s">
        <v>42708</v>
      </c>
      <c r="P5127" s="213" t="s">
        <v>42709</v>
      </c>
      <c r="Q5127" s="213" t="s">
        <v>42710</v>
      </c>
      <c r="R5127" s="213" t="s">
        <v>42711</v>
      </c>
      <c r="S5127" s="213" t="s">
        <v>42712</v>
      </c>
      <c r="T5127" s="213" t="s">
        <v>42713</v>
      </c>
      <c r="U5127" s="213" t="s">
        <v>59678</v>
      </c>
    </row>
    <row r="5128" spans="1:21" x14ac:dyDescent="0.25">
      <c r="A5128" s="213" t="s">
        <v>327</v>
      </c>
      <c r="D5128" s="213" t="s">
        <v>42714</v>
      </c>
      <c r="E5128" s="213" t="s">
        <v>42715</v>
      </c>
      <c r="K5128" s="213" t="s">
        <v>59259</v>
      </c>
      <c r="L5128" s="213" t="s">
        <v>59399</v>
      </c>
      <c r="M5128" s="213" t="s">
        <v>59539</v>
      </c>
      <c r="N5128" s="213" t="s">
        <v>42716</v>
      </c>
      <c r="O5128" s="213" t="s">
        <v>42717</v>
      </c>
      <c r="P5128" s="213" t="s">
        <v>42718</v>
      </c>
      <c r="Q5128" s="213" t="s">
        <v>42719</v>
      </c>
      <c r="R5128" s="213" t="s">
        <v>42720</v>
      </c>
      <c r="S5128" s="213" t="s">
        <v>42721</v>
      </c>
      <c r="T5128" s="213" t="s">
        <v>42722</v>
      </c>
      <c r="U5128" s="213" t="s">
        <v>59679</v>
      </c>
    </row>
    <row r="5129" spans="1:21" x14ac:dyDescent="0.25">
      <c r="A5129" s="213" t="s">
        <v>327</v>
      </c>
      <c r="D5129" s="213" t="s">
        <v>42723</v>
      </c>
      <c r="E5129" s="213" t="s">
        <v>42724</v>
      </c>
      <c r="K5129" s="213" t="s">
        <v>59260</v>
      </c>
      <c r="L5129" s="213" t="s">
        <v>59400</v>
      </c>
      <c r="M5129" s="213" t="s">
        <v>59540</v>
      </c>
      <c r="N5129" s="213" t="s">
        <v>42725</v>
      </c>
      <c r="O5129" s="213" t="s">
        <v>42726</v>
      </c>
      <c r="P5129" s="213" t="s">
        <v>42727</v>
      </c>
      <c r="Q5129" s="213" t="s">
        <v>42728</v>
      </c>
      <c r="R5129" s="213" t="s">
        <v>42729</v>
      </c>
      <c r="S5129" s="213" t="s">
        <v>42730</v>
      </c>
      <c r="T5129" s="213" t="s">
        <v>42731</v>
      </c>
      <c r="U5129" s="213" t="s">
        <v>59680</v>
      </c>
    </row>
    <row r="5130" spans="1:21" x14ac:dyDescent="0.25">
      <c r="A5130" s="213" t="s">
        <v>327</v>
      </c>
      <c r="D5130" s="213" t="s">
        <v>42732</v>
      </c>
      <c r="E5130" s="213" t="s">
        <v>42733</v>
      </c>
      <c r="K5130" s="213" t="s">
        <v>59261</v>
      </c>
      <c r="L5130" s="213" t="s">
        <v>59401</v>
      </c>
      <c r="M5130" s="213" t="s">
        <v>59541</v>
      </c>
      <c r="N5130" s="213" t="s">
        <v>42734</v>
      </c>
      <c r="O5130" s="213" t="s">
        <v>42735</v>
      </c>
      <c r="P5130" s="213" t="s">
        <v>42736</v>
      </c>
      <c r="Q5130" s="213" t="s">
        <v>42737</v>
      </c>
      <c r="R5130" s="213" t="s">
        <v>42738</v>
      </c>
      <c r="S5130" s="213" t="s">
        <v>42739</v>
      </c>
      <c r="T5130" s="213" t="s">
        <v>42740</v>
      </c>
      <c r="U5130" s="213" t="s">
        <v>59681</v>
      </c>
    </row>
    <row r="5131" spans="1:21" x14ac:dyDescent="0.25">
      <c r="A5131" s="213" t="s">
        <v>327</v>
      </c>
      <c r="D5131" s="213" t="s">
        <v>42741</v>
      </c>
      <c r="E5131" s="213" t="s">
        <v>42742</v>
      </c>
      <c r="K5131" s="213" t="s">
        <v>59262</v>
      </c>
      <c r="L5131" s="213" t="s">
        <v>59402</v>
      </c>
      <c r="M5131" s="213" t="s">
        <v>59542</v>
      </c>
      <c r="N5131" s="213" t="s">
        <v>42743</v>
      </c>
      <c r="O5131" s="213" t="s">
        <v>42744</v>
      </c>
      <c r="P5131" s="213" t="s">
        <v>42745</v>
      </c>
      <c r="Q5131" s="213" t="s">
        <v>42746</v>
      </c>
      <c r="R5131" s="213" t="s">
        <v>42747</v>
      </c>
      <c r="S5131" s="213" t="s">
        <v>42748</v>
      </c>
      <c r="T5131" s="213" t="s">
        <v>42749</v>
      </c>
      <c r="U5131" s="213" t="s">
        <v>59682</v>
      </c>
    </row>
    <row r="5132" spans="1:21" x14ac:dyDescent="0.25">
      <c r="A5132" s="213" t="s">
        <v>327</v>
      </c>
      <c r="D5132" s="213" t="s">
        <v>42750</v>
      </c>
      <c r="E5132" s="213" t="s">
        <v>42751</v>
      </c>
      <c r="K5132" s="213" t="s">
        <v>59263</v>
      </c>
      <c r="L5132" s="213" t="s">
        <v>59403</v>
      </c>
      <c r="M5132" s="213" t="s">
        <v>59543</v>
      </c>
      <c r="N5132" s="213" t="s">
        <v>42752</v>
      </c>
      <c r="O5132" s="213" t="s">
        <v>42753</v>
      </c>
      <c r="P5132" s="213" t="s">
        <v>42754</v>
      </c>
      <c r="Q5132" s="213" t="s">
        <v>42755</v>
      </c>
      <c r="R5132" s="213" t="s">
        <v>42756</v>
      </c>
      <c r="S5132" s="213" t="s">
        <v>42757</v>
      </c>
      <c r="T5132" s="213" t="s">
        <v>42758</v>
      </c>
      <c r="U5132" s="213" t="s">
        <v>59683</v>
      </c>
    </row>
    <row r="5133" spans="1:21" x14ac:dyDescent="0.25">
      <c r="A5133" s="213" t="s">
        <v>327</v>
      </c>
      <c r="D5133" s="213" t="s">
        <v>42759</v>
      </c>
      <c r="E5133" s="213" t="s">
        <v>42760</v>
      </c>
      <c r="K5133" s="213" t="s">
        <v>59264</v>
      </c>
      <c r="L5133" s="213" t="s">
        <v>59404</v>
      </c>
      <c r="M5133" s="213" t="s">
        <v>59544</v>
      </c>
      <c r="N5133" s="213" t="s">
        <v>42761</v>
      </c>
      <c r="O5133" s="213" t="s">
        <v>42762</v>
      </c>
      <c r="P5133" s="213" t="s">
        <v>42763</v>
      </c>
      <c r="Q5133" s="213" t="s">
        <v>42764</v>
      </c>
      <c r="R5133" s="213" t="s">
        <v>42765</v>
      </c>
      <c r="S5133" s="213" t="s">
        <v>42766</v>
      </c>
      <c r="T5133" s="213" t="s">
        <v>42767</v>
      </c>
      <c r="U5133" s="213" t="s">
        <v>59684</v>
      </c>
    </row>
    <row r="5134" spans="1:21" x14ac:dyDescent="0.25">
      <c r="A5134" s="213" t="s">
        <v>327</v>
      </c>
      <c r="D5134" s="213" t="s">
        <v>42768</v>
      </c>
      <c r="E5134" s="213" t="s">
        <v>42769</v>
      </c>
      <c r="K5134" s="213" t="s">
        <v>59265</v>
      </c>
      <c r="L5134" s="213" t="s">
        <v>59405</v>
      </c>
      <c r="M5134" s="213" t="s">
        <v>59545</v>
      </c>
      <c r="N5134" s="213" t="s">
        <v>42770</v>
      </c>
      <c r="O5134" s="213" t="s">
        <v>42771</v>
      </c>
      <c r="P5134" s="213" t="s">
        <v>42772</v>
      </c>
      <c r="Q5134" s="213" t="s">
        <v>42773</v>
      </c>
      <c r="R5134" s="213" t="s">
        <v>42774</v>
      </c>
      <c r="S5134" s="213" t="s">
        <v>42775</v>
      </c>
      <c r="T5134" s="213" t="s">
        <v>42776</v>
      </c>
      <c r="U5134" s="213" t="s">
        <v>59685</v>
      </c>
    </row>
    <row r="5135" spans="1:21" x14ac:dyDescent="0.25">
      <c r="A5135" s="213" t="s">
        <v>327</v>
      </c>
      <c r="D5135" s="213" t="s">
        <v>42777</v>
      </c>
      <c r="E5135" s="213" t="s">
        <v>42778</v>
      </c>
      <c r="K5135" s="213" t="s">
        <v>59266</v>
      </c>
      <c r="L5135" s="213" t="s">
        <v>59406</v>
      </c>
      <c r="M5135" s="213" t="s">
        <v>59546</v>
      </c>
      <c r="N5135" s="213" t="s">
        <v>42779</v>
      </c>
      <c r="O5135" s="213" t="s">
        <v>42780</v>
      </c>
      <c r="P5135" s="213" t="s">
        <v>42781</v>
      </c>
      <c r="Q5135" s="213" t="s">
        <v>42782</v>
      </c>
      <c r="R5135" s="213" t="s">
        <v>42783</v>
      </c>
      <c r="S5135" s="213" t="s">
        <v>42784</v>
      </c>
      <c r="T5135" s="213" t="s">
        <v>42785</v>
      </c>
      <c r="U5135" s="213" t="s">
        <v>59686</v>
      </c>
    </row>
    <row r="5136" spans="1:21" x14ac:dyDescent="0.25">
      <c r="A5136" s="213" t="s">
        <v>327</v>
      </c>
      <c r="D5136" s="213" t="s">
        <v>42786</v>
      </c>
      <c r="E5136" s="213" t="s">
        <v>42787</v>
      </c>
      <c r="K5136" s="213" t="s">
        <v>59267</v>
      </c>
      <c r="L5136" s="213" t="s">
        <v>59407</v>
      </c>
      <c r="M5136" s="213" t="s">
        <v>59547</v>
      </c>
      <c r="N5136" s="213" t="s">
        <v>42788</v>
      </c>
      <c r="O5136" s="213" t="s">
        <v>42789</v>
      </c>
      <c r="P5136" s="213" t="s">
        <v>42790</v>
      </c>
      <c r="Q5136" s="213" t="s">
        <v>42791</v>
      </c>
      <c r="R5136" s="213" t="s">
        <v>42792</v>
      </c>
      <c r="S5136" s="213" t="s">
        <v>42793</v>
      </c>
      <c r="T5136" s="213" t="s">
        <v>42794</v>
      </c>
      <c r="U5136" s="213" t="s">
        <v>59687</v>
      </c>
    </row>
    <row r="5137" spans="1:21" x14ac:dyDescent="0.25">
      <c r="A5137" s="213" t="s">
        <v>327</v>
      </c>
      <c r="D5137" s="213" t="s">
        <v>42795</v>
      </c>
      <c r="E5137" s="213" t="s">
        <v>42796</v>
      </c>
      <c r="K5137" s="213" t="s">
        <v>59268</v>
      </c>
      <c r="L5137" s="213" t="s">
        <v>59408</v>
      </c>
      <c r="M5137" s="213" t="s">
        <v>59548</v>
      </c>
      <c r="N5137" s="213" t="s">
        <v>42797</v>
      </c>
      <c r="O5137" s="213" t="s">
        <v>42798</v>
      </c>
      <c r="P5137" s="213" t="s">
        <v>42799</v>
      </c>
      <c r="Q5137" s="213" t="s">
        <v>42800</v>
      </c>
      <c r="R5137" s="213" t="s">
        <v>42801</v>
      </c>
      <c r="S5137" s="213" t="s">
        <v>42802</v>
      </c>
      <c r="T5137" s="213" t="s">
        <v>42803</v>
      </c>
      <c r="U5137" s="213" t="s">
        <v>59688</v>
      </c>
    </row>
    <row r="5138" spans="1:21" x14ac:dyDescent="0.25">
      <c r="A5138" s="213" t="s">
        <v>327</v>
      </c>
      <c r="D5138" s="213" t="s">
        <v>42804</v>
      </c>
      <c r="E5138" s="213" t="s">
        <v>42805</v>
      </c>
      <c r="K5138" s="213" t="s">
        <v>59269</v>
      </c>
      <c r="L5138" s="213" t="s">
        <v>59409</v>
      </c>
      <c r="M5138" s="213" t="s">
        <v>59549</v>
      </c>
      <c r="N5138" s="213" t="s">
        <v>42806</v>
      </c>
      <c r="O5138" s="213" t="s">
        <v>42807</v>
      </c>
      <c r="P5138" s="213" t="s">
        <v>42808</v>
      </c>
      <c r="Q5138" s="213" t="s">
        <v>42809</v>
      </c>
      <c r="R5138" s="213" t="s">
        <v>42810</v>
      </c>
      <c r="S5138" s="213" t="s">
        <v>42811</v>
      </c>
      <c r="T5138" s="213" t="s">
        <v>42812</v>
      </c>
      <c r="U5138" s="213" t="s">
        <v>59689</v>
      </c>
    </row>
    <row r="5139" spans="1:21" x14ac:dyDescent="0.25">
      <c r="A5139" s="213" t="s">
        <v>327</v>
      </c>
      <c r="D5139" s="213" t="s">
        <v>42813</v>
      </c>
      <c r="E5139" s="213" t="s">
        <v>42814</v>
      </c>
      <c r="K5139" s="213" t="s">
        <v>59270</v>
      </c>
      <c r="L5139" s="213" t="s">
        <v>59410</v>
      </c>
      <c r="M5139" s="213" t="s">
        <v>59550</v>
      </c>
      <c r="N5139" s="213" t="s">
        <v>42815</v>
      </c>
      <c r="O5139" s="213" t="s">
        <v>42816</v>
      </c>
      <c r="P5139" s="213" t="s">
        <v>42817</v>
      </c>
      <c r="Q5139" s="213" t="s">
        <v>42818</v>
      </c>
      <c r="R5139" s="213" t="s">
        <v>42819</v>
      </c>
      <c r="S5139" s="213" t="s">
        <v>42820</v>
      </c>
      <c r="T5139" s="213" t="s">
        <v>42821</v>
      </c>
      <c r="U5139" s="213" t="s">
        <v>59690</v>
      </c>
    </row>
    <row r="5140" spans="1:21" x14ac:dyDescent="0.25">
      <c r="A5140" s="213" t="s">
        <v>327</v>
      </c>
      <c r="D5140" s="213" t="s">
        <v>42822</v>
      </c>
      <c r="E5140" s="213" t="s">
        <v>42823</v>
      </c>
      <c r="K5140" s="213" t="s">
        <v>59271</v>
      </c>
      <c r="L5140" s="213" t="s">
        <v>59411</v>
      </c>
      <c r="M5140" s="213" t="s">
        <v>59551</v>
      </c>
      <c r="N5140" s="213" t="s">
        <v>42824</v>
      </c>
      <c r="O5140" s="213" t="s">
        <v>42825</v>
      </c>
      <c r="P5140" s="213" t="s">
        <v>42826</v>
      </c>
      <c r="Q5140" s="213" t="s">
        <v>42827</v>
      </c>
      <c r="R5140" s="213" t="s">
        <v>42828</v>
      </c>
      <c r="S5140" s="213" t="s">
        <v>42829</v>
      </c>
      <c r="T5140" s="213" t="s">
        <v>42830</v>
      </c>
      <c r="U5140" s="213" t="s">
        <v>59691</v>
      </c>
    </row>
    <row r="5141" spans="1:21" x14ac:dyDescent="0.25">
      <c r="A5141" s="213" t="s">
        <v>327</v>
      </c>
      <c r="D5141" s="213" t="s">
        <v>42831</v>
      </c>
      <c r="E5141" s="213" t="s">
        <v>42832</v>
      </c>
      <c r="K5141" s="213" t="s">
        <v>59272</v>
      </c>
      <c r="L5141" s="213" t="s">
        <v>59412</v>
      </c>
      <c r="M5141" s="213" t="s">
        <v>59552</v>
      </c>
      <c r="N5141" s="213" t="s">
        <v>42833</v>
      </c>
      <c r="O5141" s="213" t="s">
        <v>42834</v>
      </c>
      <c r="P5141" s="213" t="s">
        <v>42835</v>
      </c>
      <c r="Q5141" s="213" t="s">
        <v>42836</v>
      </c>
      <c r="R5141" s="213" t="s">
        <v>42837</v>
      </c>
      <c r="S5141" s="213" t="s">
        <v>42838</v>
      </c>
      <c r="T5141" s="213" t="s">
        <v>42839</v>
      </c>
      <c r="U5141" s="213" t="s">
        <v>59692</v>
      </c>
    </row>
    <row r="5142" spans="1:21" x14ac:dyDescent="0.25">
      <c r="A5142" s="213" t="s">
        <v>327</v>
      </c>
      <c r="D5142" s="213" t="s">
        <v>42840</v>
      </c>
      <c r="E5142" s="213" t="s">
        <v>42841</v>
      </c>
      <c r="K5142" s="213" t="s">
        <v>59273</v>
      </c>
      <c r="L5142" s="213" t="s">
        <v>59413</v>
      </c>
      <c r="M5142" s="213" t="s">
        <v>59553</v>
      </c>
      <c r="N5142" s="213" t="s">
        <v>42842</v>
      </c>
      <c r="O5142" s="213" t="s">
        <v>42843</v>
      </c>
      <c r="P5142" s="213" t="s">
        <v>42844</v>
      </c>
      <c r="Q5142" s="213" t="s">
        <v>42845</v>
      </c>
      <c r="R5142" s="213" t="s">
        <v>42846</v>
      </c>
      <c r="S5142" s="213" t="s">
        <v>42847</v>
      </c>
      <c r="T5142" s="213" t="s">
        <v>42848</v>
      </c>
      <c r="U5142" s="213" t="s">
        <v>59693</v>
      </c>
    </row>
    <row r="5143" spans="1:21" x14ac:dyDescent="0.25">
      <c r="A5143" s="213" t="s">
        <v>327</v>
      </c>
      <c r="D5143" s="213" t="s">
        <v>42849</v>
      </c>
      <c r="E5143" s="213" t="s">
        <v>42850</v>
      </c>
      <c r="K5143" s="213" t="s">
        <v>59274</v>
      </c>
      <c r="L5143" s="213" t="s">
        <v>59414</v>
      </c>
      <c r="M5143" s="213" t="s">
        <v>59554</v>
      </c>
      <c r="N5143" s="213" t="s">
        <v>42851</v>
      </c>
      <c r="O5143" s="213" t="s">
        <v>42852</v>
      </c>
      <c r="P5143" s="213" t="s">
        <v>42853</v>
      </c>
      <c r="Q5143" s="213" t="s">
        <v>42854</v>
      </c>
      <c r="R5143" s="213" t="s">
        <v>42855</v>
      </c>
      <c r="S5143" s="213" t="s">
        <v>42856</v>
      </c>
      <c r="T5143" s="213" t="s">
        <v>42857</v>
      </c>
      <c r="U5143" s="213" t="s">
        <v>59694</v>
      </c>
    </row>
    <row r="5144" spans="1:21" x14ac:dyDescent="0.25">
      <c r="A5144" s="213" t="s">
        <v>327</v>
      </c>
      <c r="D5144" s="213" t="s">
        <v>42858</v>
      </c>
      <c r="E5144" s="213" t="s">
        <v>42859</v>
      </c>
      <c r="K5144" s="213" t="s">
        <v>59275</v>
      </c>
      <c r="L5144" s="213" t="s">
        <v>59415</v>
      </c>
      <c r="M5144" s="213" t="s">
        <v>59555</v>
      </c>
      <c r="N5144" s="213" t="s">
        <v>42860</v>
      </c>
      <c r="O5144" s="213" t="s">
        <v>42861</v>
      </c>
      <c r="P5144" s="213" t="s">
        <v>42862</v>
      </c>
      <c r="Q5144" s="213" t="s">
        <v>42863</v>
      </c>
      <c r="R5144" s="213" t="s">
        <v>42864</v>
      </c>
      <c r="S5144" s="213" t="s">
        <v>42865</v>
      </c>
      <c r="T5144" s="213" t="s">
        <v>42866</v>
      </c>
      <c r="U5144" s="213" t="s">
        <v>59695</v>
      </c>
    </row>
    <row r="5145" spans="1:21" x14ac:dyDescent="0.25">
      <c r="A5145" s="213" t="s">
        <v>327</v>
      </c>
      <c r="D5145" s="213" t="s">
        <v>42867</v>
      </c>
      <c r="E5145" s="213" t="s">
        <v>42868</v>
      </c>
      <c r="K5145" s="213" t="s">
        <v>59276</v>
      </c>
      <c r="L5145" s="213" t="s">
        <v>59416</v>
      </c>
      <c r="M5145" s="213" t="s">
        <v>59556</v>
      </c>
      <c r="N5145" s="213" t="s">
        <v>42869</v>
      </c>
      <c r="O5145" s="213" t="s">
        <v>42870</v>
      </c>
      <c r="P5145" s="213" t="s">
        <v>42871</v>
      </c>
      <c r="Q5145" s="213" t="s">
        <v>42872</v>
      </c>
      <c r="R5145" s="213" t="s">
        <v>42873</v>
      </c>
      <c r="S5145" s="213" t="s">
        <v>42874</v>
      </c>
      <c r="T5145" s="213" t="s">
        <v>42875</v>
      </c>
      <c r="U5145" s="213" t="s">
        <v>59696</v>
      </c>
    </row>
    <row r="5146" spans="1:21" x14ac:dyDescent="0.25">
      <c r="A5146" s="213" t="s">
        <v>327</v>
      </c>
      <c r="D5146" s="213" t="s">
        <v>42876</v>
      </c>
      <c r="E5146" s="213" t="s">
        <v>42877</v>
      </c>
      <c r="K5146" s="213" t="s">
        <v>59277</v>
      </c>
      <c r="L5146" s="213" t="s">
        <v>59417</v>
      </c>
      <c r="M5146" s="213" t="s">
        <v>59557</v>
      </c>
      <c r="N5146" s="213" t="s">
        <v>42878</v>
      </c>
      <c r="O5146" s="213" t="s">
        <v>42879</v>
      </c>
      <c r="P5146" s="213" t="s">
        <v>42880</v>
      </c>
      <c r="Q5146" s="213" t="s">
        <v>42881</v>
      </c>
      <c r="R5146" s="213" t="s">
        <v>42882</v>
      </c>
      <c r="S5146" s="213" t="s">
        <v>42883</v>
      </c>
      <c r="T5146" s="213" t="s">
        <v>42884</v>
      </c>
      <c r="U5146" s="213" t="s">
        <v>59697</v>
      </c>
    </row>
    <row r="5147" spans="1:21" x14ac:dyDescent="0.25">
      <c r="A5147" s="213" t="s">
        <v>327</v>
      </c>
      <c r="D5147" s="213" t="s">
        <v>42885</v>
      </c>
      <c r="E5147" s="213" t="s">
        <v>42886</v>
      </c>
      <c r="K5147" s="213" t="s">
        <v>59278</v>
      </c>
      <c r="L5147" s="213" t="s">
        <v>59418</v>
      </c>
      <c r="M5147" s="213" t="s">
        <v>59558</v>
      </c>
      <c r="N5147" s="213" t="s">
        <v>42887</v>
      </c>
      <c r="O5147" s="213" t="s">
        <v>42888</v>
      </c>
      <c r="P5147" s="213" t="s">
        <v>42889</v>
      </c>
      <c r="Q5147" s="213" t="s">
        <v>42890</v>
      </c>
      <c r="R5147" s="213" t="s">
        <v>42891</v>
      </c>
      <c r="S5147" s="213" t="s">
        <v>42892</v>
      </c>
      <c r="T5147" s="213" t="s">
        <v>42893</v>
      </c>
      <c r="U5147" s="213" t="s">
        <v>59698</v>
      </c>
    </row>
    <row r="5148" spans="1:21" x14ac:dyDescent="0.25">
      <c r="A5148" s="213" t="s">
        <v>327</v>
      </c>
      <c r="D5148" s="213" t="s">
        <v>42894</v>
      </c>
      <c r="E5148" s="213" t="s">
        <v>42895</v>
      </c>
      <c r="K5148" s="213" t="s">
        <v>59279</v>
      </c>
      <c r="L5148" s="213" t="s">
        <v>59419</v>
      </c>
      <c r="M5148" s="213" t="s">
        <v>59559</v>
      </c>
      <c r="N5148" s="213" t="s">
        <v>42896</v>
      </c>
      <c r="O5148" s="213" t="s">
        <v>42897</v>
      </c>
      <c r="P5148" s="213" t="s">
        <v>42898</v>
      </c>
      <c r="Q5148" s="213" t="s">
        <v>42899</v>
      </c>
      <c r="R5148" s="213" t="s">
        <v>42900</v>
      </c>
      <c r="S5148" s="213" t="s">
        <v>42901</v>
      </c>
      <c r="T5148" s="213" t="s">
        <v>42902</v>
      </c>
      <c r="U5148" s="213" t="s">
        <v>59699</v>
      </c>
    </row>
    <row r="5149" spans="1:21" x14ac:dyDescent="0.25">
      <c r="A5149" s="213" t="s">
        <v>327</v>
      </c>
      <c r="D5149" s="213" t="s">
        <v>42903</v>
      </c>
      <c r="E5149" s="213" t="s">
        <v>42904</v>
      </c>
      <c r="K5149" s="213" t="s">
        <v>59280</v>
      </c>
      <c r="L5149" s="213" t="s">
        <v>59420</v>
      </c>
      <c r="M5149" s="213" t="s">
        <v>59560</v>
      </c>
      <c r="N5149" s="213" t="s">
        <v>42905</v>
      </c>
      <c r="O5149" s="213" t="s">
        <v>42906</v>
      </c>
      <c r="P5149" s="213" t="s">
        <v>42907</v>
      </c>
      <c r="Q5149" s="213" t="s">
        <v>42908</v>
      </c>
      <c r="R5149" s="213" t="s">
        <v>42909</v>
      </c>
      <c r="S5149" s="213" t="s">
        <v>42910</v>
      </c>
      <c r="T5149" s="213" t="s">
        <v>42911</v>
      </c>
      <c r="U5149" s="213" t="s">
        <v>59700</v>
      </c>
    </row>
    <row r="5150" spans="1:21" x14ac:dyDescent="0.25">
      <c r="A5150" s="213" t="s">
        <v>327</v>
      </c>
      <c r="D5150" s="213" t="s">
        <v>42912</v>
      </c>
      <c r="E5150" s="213" t="s">
        <v>42913</v>
      </c>
      <c r="K5150" s="213" t="s">
        <v>59281</v>
      </c>
      <c r="L5150" s="213" t="s">
        <v>59421</v>
      </c>
      <c r="M5150" s="213" t="s">
        <v>59561</v>
      </c>
      <c r="N5150" s="213" t="s">
        <v>42914</v>
      </c>
      <c r="O5150" s="213" t="s">
        <v>42915</v>
      </c>
      <c r="P5150" s="213" t="s">
        <v>42916</v>
      </c>
      <c r="Q5150" s="213" t="s">
        <v>42917</v>
      </c>
      <c r="R5150" s="213" t="s">
        <v>42918</v>
      </c>
      <c r="S5150" s="213" t="s">
        <v>42919</v>
      </c>
      <c r="T5150" s="213" t="s">
        <v>42920</v>
      </c>
      <c r="U5150" s="213" t="s">
        <v>59701</v>
      </c>
    </row>
    <row r="5151" spans="1:21" x14ac:dyDescent="0.25">
      <c r="A5151" s="213" t="s">
        <v>327</v>
      </c>
      <c r="D5151" s="213" t="s">
        <v>42921</v>
      </c>
      <c r="E5151" s="213" t="s">
        <v>42922</v>
      </c>
      <c r="K5151" s="213" t="s">
        <v>59282</v>
      </c>
      <c r="L5151" s="213" t="s">
        <v>59422</v>
      </c>
      <c r="M5151" s="213" t="s">
        <v>59562</v>
      </c>
      <c r="N5151" s="213" t="s">
        <v>42923</v>
      </c>
      <c r="O5151" s="213" t="s">
        <v>42924</v>
      </c>
      <c r="P5151" s="213" t="s">
        <v>42925</v>
      </c>
      <c r="Q5151" s="213" t="s">
        <v>42926</v>
      </c>
      <c r="R5151" s="213" t="s">
        <v>42927</v>
      </c>
      <c r="S5151" s="213" t="s">
        <v>42928</v>
      </c>
      <c r="T5151" s="213" t="s">
        <v>42929</v>
      </c>
      <c r="U5151" s="213" t="s">
        <v>59702</v>
      </c>
    </row>
    <row r="5152" spans="1:21" x14ac:dyDescent="0.25">
      <c r="A5152" s="213" t="s">
        <v>327</v>
      </c>
      <c r="D5152" s="213" t="s">
        <v>42930</v>
      </c>
      <c r="E5152" s="213" t="s">
        <v>42931</v>
      </c>
      <c r="K5152" s="213" t="s">
        <v>59283</v>
      </c>
      <c r="L5152" s="213" t="s">
        <v>59423</v>
      </c>
      <c r="M5152" s="213" t="s">
        <v>59563</v>
      </c>
      <c r="N5152" s="213" t="s">
        <v>42932</v>
      </c>
      <c r="O5152" s="213" t="s">
        <v>42933</v>
      </c>
      <c r="P5152" s="213" t="s">
        <v>42934</v>
      </c>
      <c r="Q5152" s="213" t="s">
        <v>42935</v>
      </c>
      <c r="R5152" s="213" t="s">
        <v>42936</v>
      </c>
      <c r="S5152" s="213" t="s">
        <v>42937</v>
      </c>
      <c r="T5152" s="213" t="s">
        <v>42938</v>
      </c>
      <c r="U5152" s="213" t="s">
        <v>59703</v>
      </c>
    </row>
    <row r="5153" spans="1:21" x14ac:dyDescent="0.25">
      <c r="A5153" s="213" t="s">
        <v>327</v>
      </c>
      <c r="D5153" s="213" t="s">
        <v>42939</v>
      </c>
      <c r="E5153" s="213" t="s">
        <v>42940</v>
      </c>
      <c r="K5153" s="213" t="s">
        <v>59284</v>
      </c>
      <c r="L5153" s="213" t="s">
        <v>59424</v>
      </c>
      <c r="M5153" s="213" t="s">
        <v>59564</v>
      </c>
      <c r="N5153" s="213" t="s">
        <v>42941</v>
      </c>
      <c r="O5153" s="213" t="s">
        <v>42942</v>
      </c>
      <c r="P5153" s="213" t="s">
        <v>42943</v>
      </c>
      <c r="Q5153" s="213" t="s">
        <v>42944</v>
      </c>
      <c r="R5153" s="213" t="s">
        <v>42945</v>
      </c>
      <c r="S5153" s="213" t="s">
        <v>42946</v>
      </c>
      <c r="T5153" s="213" t="s">
        <v>42947</v>
      </c>
      <c r="U5153" s="213" t="s">
        <v>59704</v>
      </c>
    </row>
    <row r="5154" spans="1:21" x14ac:dyDescent="0.25">
      <c r="A5154" s="213" t="s">
        <v>327</v>
      </c>
      <c r="D5154" s="213" t="s">
        <v>42948</v>
      </c>
      <c r="E5154" s="213" t="s">
        <v>42949</v>
      </c>
      <c r="K5154" s="213" t="s">
        <v>59285</v>
      </c>
      <c r="L5154" s="213" t="s">
        <v>59425</v>
      </c>
      <c r="M5154" s="213" t="s">
        <v>59565</v>
      </c>
      <c r="N5154" s="213" t="s">
        <v>42950</v>
      </c>
      <c r="O5154" s="213" t="s">
        <v>42951</v>
      </c>
      <c r="P5154" s="213" t="s">
        <v>42952</v>
      </c>
      <c r="Q5154" s="213" t="s">
        <v>42953</v>
      </c>
      <c r="R5154" s="213" t="s">
        <v>42954</v>
      </c>
      <c r="S5154" s="213" t="s">
        <v>42955</v>
      </c>
      <c r="T5154" s="213" t="s">
        <v>42956</v>
      </c>
      <c r="U5154" s="213" t="s">
        <v>59705</v>
      </c>
    </row>
    <row r="5155" spans="1:21" x14ac:dyDescent="0.25">
      <c r="A5155" s="213" t="s">
        <v>327</v>
      </c>
      <c r="D5155" s="213" t="s">
        <v>42957</v>
      </c>
      <c r="E5155" s="213" t="s">
        <v>42958</v>
      </c>
      <c r="K5155" s="213" t="s">
        <v>59286</v>
      </c>
      <c r="L5155" s="213" t="s">
        <v>59426</v>
      </c>
      <c r="M5155" s="213" t="s">
        <v>59566</v>
      </c>
      <c r="N5155" s="213" t="s">
        <v>42959</v>
      </c>
      <c r="O5155" s="213" t="s">
        <v>42960</v>
      </c>
      <c r="P5155" s="213" t="s">
        <v>42961</v>
      </c>
      <c r="Q5155" s="213" t="s">
        <v>42962</v>
      </c>
      <c r="R5155" s="213" t="s">
        <v>42963</v>
      </c>
      <c r="S5155" s="213" t="s">
        <v>42964</v>
      </c>
      <c r="T5155" s="213" t="s">
        <v>42965</v>
      </c>
      <c r="U5155" s="213" t="s">
        <v>59706</v>
      </c>
    </row>
    <row r="5156" spans="1:21" x14ac:dyDescent="0.25">
      <c r="A5156" s="213" t="s">
        <v>327</v>
      </c>
      <c r="D5156" s="213" t="s">
        <v>42966</v>
      </c>
      <c r="E5156" s="213" t="s">
        <v>42967</v>
      </c>
      <c r="K5156" s="213" t="s">
        <v>59287</v>
      </c>
      <c r="L5156" s="213" t="s">
        <v>59427</v>
      </c>
      <c r="M5156" s="213" t="s">
        <v>59567</v>
      </c>
      <c r="N5156" s="213" t="s">
        <v>42968</v>
      </c>
      <c r="O5156" s="213" t="s">
        <v>42969</v>
      </c>
      <c r="P5156" s="213" t="s">
        <v>42970</v>
      </c>
      <c r="Q5156" s="213" t="s">
        <v>42971</v>
      </c>
      <c r="R5156" s="213" t="s">
        <v>42972</v>
      </c>
      <c r="S5156" s="213" t="s">
        <v>42973</v>
      </c>
      <c r="T5156" s="213" t="s">
        <v>42974</v>
      </c>
      <c r="U5156" s="213" t="s">
        <v>59707</v>
      </c>
    </row>
    <row r="5157" spans="1:21" x14ac:dyDescent="0.25">
      <c r="A5157" s="213" t="s">
        <v>327</v>
      </c>
      <c r="D5157" s="213" t="s">
        <v>42975</v>
      </c>
      <c r="E5157" s="213" t="s">
        <v>42976</v>
      </c>
      <c r="K5157" s="213" t="s">
        <v>59288</v>
      </c>
      <c r="L5157" s="213" t="s">
        <v>59428</v>
      </c>
      <c r="M5157" s="213" t="s">
        <v>59568</v>
      </c>
      <c r="N5157" s="213" t="s">
        <v>42977</v>
      </c>
      <c r="O5157" s="213" t="s">
        <v>42978</v>
      </c>
      <c r="P5157" s="213" t="s">
        <v>42979</v>
      </c>
      <c r="Q5157" s="213" t="s">
        <v>42980</v>
      </c>
      <c r="R5157" s="213" t="s">
        <v>42981</v>
      </c>
      <c r="S5157" s="213" t="s">
        <v>42982</v>
      </c>
      <c r="T5157" s="213" t="s">
        <v>42983</v>
      </c>
      <c r="U5157" s="213" t="s">
        <v>59708</v>
      </c>
    </row>
    <row r="5158" spans="1:21" x14ac:dyDescent="0.25">
      <c r="A5158" s="213" t="s">
        <v>327</v>
      </c>
      <c r="D5158" s="213" t="s">
        <v>42984</v>
      </c>
      <c r="E5158" s="213" t="s">
        <v>42985</v>
      </c>
      <c r="K5158" s="213" t="s">
        <v>59289</v>
      </c>
      <c r="L5158" s="213" t="s">
        <v>59429</v>
      </c>
      <c r="M5158" s="213" t="s">
        <v>59569</v>
      </c>
      <c r="N5158" s="213" t="s">
        <v>42986</v>
      </c>
      <c r="O5158" s="213" t="s">
        <v>42987</v>
      </c>
      <c r="P5158" s="213" t="s">
        <v>42988</v>
      </c>
      <c r="Q5158" s="213" t="s">
        <v>42989</v>
      </c>
      <c r="R5158" s="213" t="s">
        <v>42990</v>
      </c>
      <c r="S5158" s="213" t="s">
        <v>42991</v>
      </c>
      <c r="T5158" s="213" t="s">
        <v>42992</v>
      </c>
      <c r="U5158" s="213" t="s">
        <v>59709</v>
      </c>
    </row>
    <row r="5159" spans="1:21" x14ac:dyDescent="0.25">
      <c r="A5159" s="213" t="s">
        <v>327</v>
      </c>
      <c r="D5159" s="213" t="s">
        <v>42993</v>
      </c>
      <c r="E5159" s="213" t="s">
        <v>42994</v>
      </c>
      <c r="K5159" s="213" t="s">
        <v>59290</v>
      </c>
      <c r="L5159" s="213" t="s">
        <v>59430</v>
      </c>
      <c r="M5159" s="213" t="s">
        <v>59570</v>
      </c>
      <c r="N5159" s="213" t="s">
        <v>42995</v>
      </c>
      <c r="O5159" s="213" t="s">
        <v>42996</v>
      </c>
      <c r="P5159" s="213" t="s">
        <v>42997</v>
      </c>
      <c r="Q5159" s="213" t="s">
        <v>42998</v>
      </c>
      <c r="R5159" s="213" t="s">
        <v>42999</v>
      </c>
      <c r="S5159" s="213" t="s">
        <v>43000</v>
      </c>
      <c r="T5159" s="213" t="s">
        <v>43001</v>
      </c>
      <c r="U5159" s="213" t="s">
        <v>59710</v>
      </c>
    </row>
    <row r="5160" spans="1:21" x14ac:dyDescent="0.25">
      <c r="A5160" s="213" t="s">
        <v>327</v>
      </c>
      <c r="D5160" s="213" t="s">
        <v>43002</v>
      </c>
      <c r="E5160" s="213" t="s">
        <v>43003</v>
      </c>
      <c r="K5160" s="213" t="s">
        <v>59291</v>
      </c>
      <c r="L5160" s="213" t="s">
        <v>59431</v>
      </c>
      <c r="M5160" s="213" t="s">
        <v>59571</v>
      </c>
      <c r="N5160" s="213" t="s">
        <v>43004</v>
      </c>
      <c r="O5160" s="213" t="s">
        <v>43005</v>
      </c>
      <c r="P5160" s="213" t="s">
        <v>43006</v>
      </c>
      <c r="Q5160" s="213" t="s">
        <v>43007</v>
      </c>
      <c r="R5160" s="213" t="s">
        <v>43008</v>
      </c>
      <c r="S5160" s="213" t="s">
        <v>43009</v>
      </c>
      <c r="T5160" s="213" t="s">
        <v>43010</v>
      </c>
      <c r="U5160" s="213" t="s">
        <v>59711</v>
      </c>
    </row>
    <row r="5161" spans="1:21" x14ac:dyDescent="0.25">
      <c r="A5161" s="213" t="s">
        <v>327</v>
      </c>
      <c r="D5161" s="213" t="s">
        <v>43011</v>
      </c>
      <c r="E5161" s="213" t="s">
        <v>43012</v>
      </c>
      <c r="K5161" s="213" t="s">
        <v>59292</v>
      </c>
      <c r="L5161" s="213" t="s">
        <v>59432</v>
      </c>
      <c r="M5161" s="213" t="s">
        <v>59572</v>
      </c>
      <c r="N5161" s="213" t="s">
        <v>43013</v>
      </c>
      <c r="O5161" s="213" t="s">
        <v>43014</v>
      </c>
      <c r="P5161" s="213" t="s">
        <v>43015</v>
      </c>
      <c r="Q5161" s="213" t="s">
        <v>43016</v>
      </c>
      <c r="R5161" s="213" t="s">
        <v>43017</v>
      </c>
      <c r="S5161" s="213" t="s">
        <v>43018</v>
      </c>
      <c r="T5161" s="213" t="s">
        <v>43019</v>
      </c>
      <c r="U5161" s="213" t="s">
        <v>59712</v>
      </c>
    </row>
    <row r="5162" spans="1:21" x14ac:dyDescent="0.25">
      <c r="A5162" s="213" t="s">
        <v>327</v>
      </c>
      <c r="D5162" s="213" t="s">
        <v>43020</v>
      </c>
      <c r="E5162" s="213" t="s">
        <v>43021</v>
      </c>
      <c r="K5162" s="213" t="s">
        <v>59293</v>
      </c>
      <c r="L5162" s="213" t="s">
        <v>59433</v>
      </c>
      <c r="M5162" s="213" t="s">
        <v>59573</v>
      </c>
      <c r="N5162" s="213" t="s">
        <v>43022</v>
      </c>
      <c r="O5162" s="213" t="s">
        <v>43023</v>
      </c>
      <c r="P5162" s="213" t="s">
        <v>43024</v>
      </c>
      <c r="Q5162" s="213" t="s">
        <v>43025</v>
      </c>
      <c r="R5162" s="213" t="s">
        <v>43026</v>
      </c>
      <c r="S5162" s="213" t="s">
        <v>43027</v>
      </c>
      <c r="T5162" s="213" t="s">
        <v>43028</v>
      </c>
      <c r="U5162" s="213" t="s">
        <v>59713</v>
      </c>
    </row>
    <row r="5163" spans="1:21" x14ac:dyDescent="0.25">
      <c r="A5163" s="213" t="s">
        <v>327</v>
      </c>
      <c r="D5163" s="213" t="s">
        <v>43029</v>
      </c>
      <c r="E5163" s="213" t="s">
        <v>43030</v>
      </c>
      <c r="K5163" s="213" t="s">
        <v>59294</v>
      </c>
      <c r="L5163" s="213" t="s">
        <v>59434</v>
      </c>
      <c r="M5163" s="213" t="s">
        <v>59574</v>
      </c>
      <c r="N5163" s="213" t="s">
        <v>43031</v>
      </c>
      <c r="O5163" s="213" t="s">
        <v>43032</v>
      </c>
      <c r="P5163" s="213" t="s">
        <v>43033</v>
      </c>
      <c r="Q5163" s="213" t="s">
        <v>43034</v>
      </c>
      <c r="R5163" s="213" t="s">
        <v>43035</v>
      </c>
      <c r="S5163" s="213" t="s">
        <v>43036</v>
      </c>
      <c r="T5163" s="213" t="s">
        <v>43037</v>
      </c>
      <c r="U5163" s="213" t="s">
        <v>59714</v>
      </c>
    </row>
    <row r="5164" spans="1:21" x14ac:dyDescent="0.25">
      <c r="A5164" s="213" t="s">
        <v>327</v>
      </c>
      <c r="D5164" s="213" t="s">
        <v>43038</v>
      </c>
      <c r="E5164" s="213" t="s">
        <v>43039</v>
      </c>
      <c r="K5164" s="213" t="s">
        <v>59295</v>
      </c>
      <c r="L5164" s="213" t="s">
        <v>59435</v>
      </c>
      <c r="M5164" s="213" t="s">
        <v>59575</v>
      </c>
      <c r="N5164" s="213" t="s">
        <v>43040</v>
      </c>
      <c r="O5164" s="213" t="s">
        <v>43041</v>
      </c>
      <c r="P5164" s="213" t="s">
        <v>43042</v>
      </c>
      <c r="Q5164" s="213" t="s">
        <v>43043</v>
      </c>
      <c r="R5164" s="213" t="s">
        <v>43044</v>
      </c>
      <c r="S5164" s="213" t="s">
        <v>43045</v>
      </c>
      <c r="T5164" s="213" t="s">
        <v>43046</v>
      </c>
      <c r="U5164" s="213" t="s">
        <v>59715</v>
      </c>
    </row>
    <row r="5165" spans="1:21" x14ac:dyDescent="0.25">
      <c r="A5165" s="213" t="s">
        <v>327</v>
      </c>
      <c r="D5165" s="213" t="s">
        <v>43047</v>
      </c>
      <c r="E5165" s="213" t="s">
        <v>43048</v>
      </c>
      <c r="K5165" s="213" t="s">
        <v>59296</v>
      </c>
      <c r="L5165" s="213" t="s">
        <v>59436</v>
      </c>
      <c r="M5165" s="213" t="s">
        <v>59576</v>
      </c>
      <c r="N5165" s="213" t="s">
        <v>43049</v>
      </c>
      <c r="O5165" s="213" t="s">
        <v>43050</v>
      </c>
      <c r="P5165" s="213" t="s">
        <v>43051</v>
      </c>
      <c r="Q5165" s="213" t="s">
        <v>43052</v>
      </c>
      <c r="R5165" s="213" t="s">
        <v>43053</v>
      </c>
      <c r="S5165" s="213" t="s">
        <v>43054</v>
      </c>
      <c r="T5165" s="213" t="s">
        <v>43055</v>
      </c>
      <c r="U5165" s="213" t="s">
        <v>59716</v>
      </c>
    </row>
    <row r="5166" spans="1:21" x14ac:dyDescent="0.25">
      <c r="A5166" s="213" t="s">
        <v>327</v>
      </c>
      <c r="D5166" s="213" t="s">
        <v>43056</v>
      </c>
      <c r="E5166" s="213" t="s">
        <v>43057</v>
      </c>
      <c r="K5166" s="213" t="s">
        <v>59297</v>
      </c>
      <c r="L5166" s="213" t="s">
        <v>59437</v>
      </c>
      <c r="M5166" s="213" t="s">
        <v>59577</v>
      </c>
      <c r="N5166" s="213" t="s">
        <v>43058</v>
      </c>
      <c r="O5166" s="213" t="s">
        <v>43059</v>
      </c>
      <c r="P5166" s="213" t="s">
        <v>43060</v>
      </c>
      <c r="Q5166" s="213" t="s">
        <v>43061</v>
      </c>
      <c r="R5166" s="213" t="s">
        <v>43062</v>
      </c>
      <c r="S5166" s="213" t="s">
        <v>43063</v>
      </c>
      <c r="T5166" s="213" t="s">
        <v>43064</v>
      </c>
      <c r="U5166" s="213" t="s">
        <v>59717</v>
      </c>
    </row>
    <row r="5167" spans="1:21" x14ac:dyDescent="0.25">
      <c r="A5167" s="213" t="s">
        <v>327</v>
      </c>
      <c r="D5167" s="213" t="s">
        <v>43065</v>
      </c>
      <c r="E5167" s="213" t="s">
        <v>43066</v>
      </c>
      <c r="K5167" s="213" t="s">
        <v>59298</v>
      </c>
      <c r="L5167" s="213" t="s">
        <v>59438</v>
      </c>
      <c r="M5167" s="213" t="s">
        <v>59578</v>
      </c>
      <c r="N5167" s="213" t="s">
        <v>43067</v>
      </c>
      <c r="O5167" s="213" t="s">
        <v>43068</v>
      </c>
      <c r="P5167" s="213" t="s">
        <v>43069</v>
      </c>
      <c r="Q5167" s="213" t="s">
        <v>43070</v>
      </c>
      <c r="R5167" s="213" t="s">
        <v>43071</v>
      </c>
      <c r="S5167" s="213" t="s">
        <v>43072</v>
      </c>
      <c r="T5167" s="213" t="s">
        <v>43073</v>
      </c>
      <c r="U5167" s="213" t="s">
        <v>59718</v>
      </c>
    </row>
    <row r="5168" spans="1:21" x14ac:dyDescent="0.25">
      <c r="A5168" s="213" t="s">
        <v>327</v>
      </c>
      <c r="D5168" s="213" t="s">
        <v>43074</v>
      </c>
      <c r="E5168" s="213" t="s">
        <v>43075</v>
      </c>
      <c r="K5168" s="213" t="s">
        <v>59299</v>
      </c>
      <c r="L5168" s="213" t="s">
        <v>59439</v>
      </c>
      <c r="M5168" s="213" t="s">
        <v>59579</v>
      </c>
      <c r="N5168" s="213" t="s">
        <v>43076</v>
      </c>
      <c r="O5168" s="213" t="s">
        <v>43077</v>
      </c>
      <c r="P5168" s="213" t="s">
        <v>43078</v>
      </c>
      <c r="Q5168" s="213" t="s">
        <v>43079</v>
      </c>
      <c r="R5168" s="213" t="s">
        <v>43080</v>
      </c>
      <c r="S5168" s="213" t="s">
        <v>43081</v>
      </c>
      <c r="T5168" s="213" t="s">
        <v>43082</v>
      </c>
      <c r="U5168" s="213" t="s">
        <v>59719</v>
      </c>
    </row>
    <row r="5169" spans="1:21" x14ac:dyDescent="0.25">
      <c r="A5169" s="213" t="s">
        <v>327</v>
      </c>
      <c r="D5169" s="213" t="s">
        <v>43083</v>
      </c>
      <c r="E5169" s="213" t="s">
        <v>43084</v>
      </c>
      <c r="K5169" s="213" t="s">
        <v>59300</v>
      </c>
      <c r="L5169" s="213" t="s">
        <v>59440</v>
      </c>
      <c r="M5169" s="213" t="s">
        <v>59580</v>
      </c>
      <c r="N5169" s="213" t="s">
        <v>43085</v>
      </c>
      <c r="O5169" s="213" t="s">
        <v>43086</v>
      </c>
      <c r="P5169" s="213" t="s">
        <v>43087</v>
      </c>
      <c r="Q5169" s="213" t="s">
        <v>43088</v>
      </c>
      <c r="R5169" s="213" t="s">
        <v>43089</v>
      </c>
      <c r="S5169" s="213" t="s">
        <v>43090</v>
      </c>
      <c r="T5169" s="213" t="s">
        <v>43091</v>
      </c>
      <c r="U5169" s="213" t="s">
        <v>59720</v>
      </c>
    </row>
    <row r="5170" spans="1:21" x14ac:dyDescent="0.25">
      <c r="A5170" s="213" t="s">
        <v>327</v>
      </c>
      <c r="D5170" s="213" t="s">
        <v>43092</v>
      </c>
      <c r="E5170" s="213" t="s">
        <v>43093</v>
      </c>
      <c r="K5170" s="213" t="s">
        <v>59301</v>
      </c>
      <c r="L5170" s="213" t="s">
        <v>59441</v>
      </c>
      <c r="M5170" s="213" t="s">
        <v>59581</v>
      </c>
      <c r="N5170" s="213" t="s">
        <v>43094</v>
      </c>
      <c r="O5170" s="213" t="s">
        <v>43095</v>
      </c>
      <c r="P5170" s="213" t="s">
        <v>43096</v>
      </c>
      <c r="Q5170" s="213" t="s">
        <v>43097</v>
      </c>
      <c r="R5170" s="213" t="s">
        <v>43098</v>
      </c>
      <c r="S5170" s="213" t="s">
        <v>43099</v>
      </c>
      <c r="T5170" s="213" t="s">
        <v>43100</v>
      </c>
      <c r="U5170" s="213" t="s">
        <v>59721</v>
      </c>
    </row>
    <row r="5171" spans="1:21" x14ac:dyDescent="0.25">
      <c r="A5171" s="213" t="s">
        <v>327</v>
      </c>
      <c r="D5171" s="213" t="s">
        <v>43101</v>
      </c>
      <c r="E5171" s="213" t="s">
        <v>43102</v>
      </c>
      <c r="K5171" s="213" t="s">
        <v>59302</v>
      </c>
      <c r="L5171" s="213" t="s">
        <v>59442</v>
      </c>
      <c r="M5171" s="213" t="s">
        <v>59582</v>
      </c>
      <c r="N5171" s="213" t="s">
        <v>43103</v>
      </c>
      <c r="O5171" s="213" t="s">
        <v>43104</v>
      </c>
      <c r="P5171" s="213" t="s">
        <v>43105</v>
      </c>
      <c r="Q5171" s="213" t="s">
        <v>43106</v>
      </c>
      <c r="R5171" s="213" t="s">
        <v>43107</v>
      </c>
      <c r="S5171" s="213" t="s">
        <v>43108</v>
      </c>
      <c r="T5171" s="213" t="s">
        <v>43109</v>
      </c>
      <c r="U5171" s="213" t="s">
        <v>59722</v>
      </c>
    </row>
    <row r="5172" spans="1:21" x14ac:dyDescent="0.25">
      <c r="A5172" s="213" t="s">
        <v>327</v>
      </c>
      <c r="D5172" s="213" t="s">
        <v>43110</v>
      </c>
      <c r="E5172" s="213" t="s">
        <v>43111</v>
      </c>
      <c r="K5172" s="213" t="s">
        <v>59303</v>
      </c>
      <c r="L5172" s="213" t="s">
        <v>59443</v>
      </c>
      <c r="M5172" s="213" t="s">
        <v>59583</v>
      </c>
      <c r="N5172" s="213" t="s">
        <v>43112</v>
      </c>
      <c r="O5172" s="213" t="s">
        <v>43113</v>
      </c>
      <c r="P5172" s="213" t="s">
        <v>43114</v>
      </c>
      <c r="Q5172" s="213" t="s">
        <v>43115</v>
      </c>
      <c r="R5172" s="213" t="s">
        <v>43116</v>
      </c>
      <c r="S5172" s="213" t="s">
        <v>43117</v>
      </c>
      <c r="T5172" s="213" t="s">
        <v>43118</v>
      </c>
      <c r="U5172" s="213" t="s">
        <v>59723</v>
      </c>
    </row>
    <row r="5173" spans="1:21" x14ac:dyDescent="0.25">
      <c r="A5173" s="213" t="s">
        <v>327</v>
      </c>
      <c r="D5173" s="213" t="s">
        <v>43119</v>
      </c>
      <c r="E5173" s="213" t="s">
        <v>43120</v>
      </c>
      <c r="K5173" s="213" t="s">
        <v>59304</v>
      </c>
      <c r="L5173" s="213" t="s">
        <v>59444</v>
      </c>
      <c r="M5173" s="213" t="s">
        <v>59584</v>
      </c>
      <c r="N5173" s="213" t="s">
        <v>43121</v>
      </c>
      <c r="O5173" s="213" t="s">
        <v>43122</v>
      </c>
      <c r="P5173" s="213" t="s">
        <v>43123</v>
      </c>
      <c r="Q5173" s="213" t="s">
        <v>43124</v>
      </c>
      <c r="R5173" s="213" t="s">
        <v>43125</v>
      </c>
      <c r="S5173" s="213" t="s">
        <v>43126</v>
      </c>
      <c r="T5173" s="213" t="s">
        <v>43127</v>
      </c>
      <c r="U5173" s="213" t="s">
        <v>59724</v>
      </c>
    </row>
    <row r="5174" spans="1:21" x14ac:dyDescent="0.25">
      <c r="A5174" s="213" t="s">
        <v>327</v>
      </c>
      <c r="D5174" s="213" t="s">
        <v>43128</v>
      </c>
      <c r="E5174" s="213" t="s">
        <v>43129</v>
      </c>
      <c r="K5174" s="213" t="s">
        <v>59305</v>
      </c>
      <c r="L5174" s="213" t="s">
        <v>59445</v>
      </c>
      <c r="M5174" s="213" t="s">
        <v>59585</v>
      </c>
      <c r="N5174" s="213" t="s">
        <v>43130</v>
      </c>
      <c r="O5174" s="213" t="s">
        <v>43131</v>
      </c>
      <c r="P5174" s="213" t="s">
        <v>43132</v>
      </c>
      <c r="Q5174" s="213" t="s">
        <v>43133</v>
      </c>
      <c r="R5174" s="213" t="s">
        <v>43134</v>
      </c>
      <c r="S5174" s="213" t="s">
        <v>43135</v>
      </c>
      <c r="T5174" s="213" t="s">
        <v>43136</v>
      </c>
      <c r="U5174" s="213" t="s">
        <v>59725</v>
      </c>
    </row>
    <row r="5175" spans="1:21" x14ac:dyDescent="0.25">
      <c r="A5175" s="213" t="s">
        <v>327</v>
      </c>
      <c r="D5175" s="213" t="s">
        <v>43137</v>
      </c>
      <c r="E5175" s="213" t="s">
        <v>43138</v>
      </c>
      <c r="K5175" s="213" t="s">
        <v>59306</v>
      </c>
      <c r="L5175" s="213" t="s">
        <v>59446</v>
      </c>
      <c r="M5175" s="213" t="s">
        <v>59586</v>
      </c>
      <c r="N5175" s="213" t="s">
        <v>43139</v>
      </c>
      <c r="O5175" s="213" t="s">
        <v>43140</v>
      </c>
      <c r="P5175" s="213" t="s">
        <v>43141</v>
      </c>
      <c r="Q5175" s="213" t="s">
        <v>43142</v>
      </c>
      <c r="R5175" s="213" t="s">
        <v>43143</v>
      </c>
      <c r="S5175" s="213" t="s">
        <v>43144</v>
      </c>
      <c r="T5175" s="213" t="s">
        <v>43145</v>
      </c>
      <c r="U5175" s="213" t="s">
        <v>59726</v>
      </c>
    </row>
    <row r="5176" spans="1:21" x14ac:dyDescent="0.25">
      <c r="A5176" s="213" t="s">
        <v>327</v>
      </c>
      <c r="D5176" s="213" t="s">
        <v>43146</v>
      </c>
      <c r="E5176" s="213" t="s">
        <v>43147</v>
      </c>
      <c r="K5176" s="213" t="s">
        <v>59307</v>
      </c>
      <c r="L5176" s="213" t="s">
        <v>59447</v>
      </c>
      <c r="M5176" s="213" t="s">
        <v>59587</v>
      </c>
      <c r="N5176" s="213" t="s">
        <v>43148</v>
      </c>
      <c r="O5176" s="213" t="s">
        <v>43149</v>
      </c>
      <c r="P5176" s="213" t="s">
        <v>43150</v>
      </c>
      <c r="Q5176" s="213" t="s">
        <v>43151</v>
      </c>
      <c r="R5176" s="213" t="s">
        <v>43152</v>
      </c>
      <c r="S5176" s="213" t="s">
        <v>43153</v>
      </c>
      <c r="T5176" s="213" t="s">
        <v>43154</v>
      </c>
      <c r="U5176" s="213" t="s">
        <v>59727</v>
      </c>
    </row>
    <row r="5177" spans="1:21" x14ac:dyDescent="0.25">
      <c r="A5177" s="213" t="s">
        <v>327</v>
      </c>
      <c r="D5177" s="213" t="s">
        <v>43155</v>
      </c>
      <c r="E5177" s="213" t="s">
        <v>43156</v>
      </c>
      <c r="K5177" s="213" t="s">
        <v>59308</v>
      </c>
      <c r="L5177" s="213" t="s">
        <v>59448</v>
      </c>
      <c r="M5177" s="213" t="s">
        <v>59588</v>
      </c>
      <c r="N5177" s="213" t="s">
        <v>43157</v>
      </c>
      <c r="O5177" s="213" t="s">
        <v>43158</v>
      </c>
      <c r="P5177" s="213" t="s">
        <v>43159</v>
      </c>
      <c r="Q5177" s="213" t="s">
        <v>43160</v>
      </c>
      <c r="R5177" s="213" t="s">
        <v>43161</v>
      </c>
      <c r="S5177" s="213" t="s">
        <v>43162</v>
      </c>
      <c r="T5177" s="213" t="s">
        <v>43163</v>
      </c>
      <c r="U5177" s="213" t="s">
        <v>59728</v>
      </c>
    </row>
    <row r="5178" spans="1:21" x14ac:dyDescent="0.25">
      <c r="A5178" s="213" t="s">
        <v>327</v>
      </c>
      <c r="D5178" s="213" t="s">
        <v>43164</v>
      </c>
      <c r="E5178" s="213" t="s">
        <v>43165</v>
      </c>
      <c r="K5178" s="213" t="s">
        <v>59309</v>
      </c>
      <c r="L5178" s="213" t="s">
        <v>59449</v>
      </c>
      <c r="M5178" s="213" t="s">
        <v>59589</v>
      </c>
      <c r="N5178" s="213" t="s">
        <v>43166</v>
      </c>
      <c r="O5178" s="213" t="s">
        <v>43167</v>
      </c>
      <c r="P5178" s="213" t="s">
        <v>43168</v>
      </c>
      <c r="Q5178" s="213" t="s">
        <v>43169</v>
      </c>
      <c r="R5178" s="213" t="s">
        <v>43170</v>
      </c>
      <c r="S5178" s="213" t="s">
        <v>43171</v>
      </c>
      <c r="T5178" s="213" t="s">
        <v>43172</v>
      </c>
      <c r="U5178" s="213" t="s">
        <v>59729</v>
      </c>
    </row>
    <row r="5179" spans="1:21" x14ac:dyDescent="0.25">
      <c r="A5179" s="213" t="s">
        <v>327</v>
      </c>
      <c r="D5179" s="213" t="s">
        <v>43173</v>
      </c>
      <c r="E5179" s="213" t="s">
        <v>43174</v>
      </c>
      <c r="K5179" s="213" t="s">
        <v>59310</v>
      </c>
      <c r="L5179" s="213" t="s">
        <v>59450</v>
      </c>
      <c r="M5179" s="213" t="s">
        <v>59590</v>
      </c>
      <c r="N5179" s="213" t="s">
        <v>43175</v>
      </c>
      <c r="O5179" s="213" t="s">
        <v>43176</v>
      </c>
      <c r="P5179" s="213" t="s">
        <v>43177</v>
      </c>
      <c r="Q5179" s="213" t="s">
        <v>43178</v>
      </c>
      <c r="R5179" s="213" t="s">
        <v>43179</v>
      </c>
      <c r="S5179" s="213" t="s">
        <v>43180</v>
      </c>
      <c r="T5179" s="213" t="s">
        <v>43181</v>
      </c>
      <c r="U5179" s="213" t="s">
        <v>59730</v>
      </c>
    </row>
    <row r="5180" spans="1:21" x14ac:dyDescent="0.25">
      <c r="A5180" s="213" t="s">
        <v>327</v>
      </c>
      <c r="D5180" s="213" t="s">
        <v>43182</v>
      </c>
      <c r="E5180" s="213" t="s">
        <v>43183</v>
      </c>
      <c r="K5180" s="213" t="s">
        <v>59311</v>
      </c>
      <c r="L5180" s="213" t="s">
        <v>59451</v>
      </c>
      <c r="M5180" s="213" t="s">
        <v>59591</v>
      </c>
      <c r="N5180" s="213" t="s">
        <v>43184</v>
      </c>
      <c r="O5180" s="213" t="s">
        <v>43185</v>
      </c>
      <c r="P5180" s="213" t="s">
        <v>43186</v>
      </c>
      <c r="Q5180" s="213" t="s">
        <v>43187</v>
      </c>
      <c r="R5180" s="213" t="s">
        <v>43188</v>
      </c>
      <c r="S5180" s="213" t="s">
        <v>43189</v>
      </c>
      <c r="T5180" s="213" t="s">
        <v>43190</v>
      </c>
      <c r="U5180" s="213" t="s">
        <v>59731</v>
      </c>
    </row>
    <row r="5181" spans="1:21" x14ac:dyDescent="0.25">
      <c r="A5181" s="213" t="s">
        <v>327</v>
      </c>
      <c r="D5181" s="213" t="s">
        <v>43191</v>
      </c>
      <c r="E5181" s="213" t="s">
        <v>43192</v>
      </c>
      <c r="K5181" s="213" t="s">
        <v>59312</v>
      </c>
      <c r="L5181" s="213" t="s">
        <v>59452</v>
      </c>
      <c r="M5181" s="213" t="s">
        <v>59592</v>
      </c>
      <c r="N5181" s="213" t="s">
        <v>43193</v>
      </c>
      <c r="O5181" s="213" t="s">
        <v>43194</v>
      </c>
      <c r="P5181" s="213" t="s">
        <v>43195</v>
      </c>
      <c r="Q5181" s="213" t="s">
        <v>43196</v>
      </c>
      <c r="R5181" s="213" t="s">
        <v>43197</v>
      </c>
      <c r="S5181" s="213" t="s">
        <v>43198</v>
      </c>
      <c r="T5181" s="213" t="s">
        <v>43199</v>
      </c>
      <c r="U5181" s="213" t="s">
        <v>59732</v>
      </c>
    </row>
    <row r="5182" spans="1:21" x14ac:dyDescent="0.25">
      <c r="A5182" s="213" t="s">
        <v>327</v>
      </c>
      <c r="D5182" s="213" t="s">
        <v>43200</v>
      </c>
      <c r="E5182" s="213" t="s">
        <v>43201</v>
      </c>
      <c r="K5182" s="213" t="s">
        <v>59313</v>
      </c>
      <c r="L5182" s="213" t="s">
        <v>59453</v>
      </c>
      <c r="M5182" s="213" t="s">
        <v>59593</v>
      </c>
      <c r="N5182" s="213" t="s">
        <v>43202</v>
      </c>
      <c r="O5182" s="213" t="s">
        <v>43203</v>
      </c>
      <c r="P5182" s="213" t="s">
        <v>43204</v>
      </c>
      <c r="Q5182" s="213" t="s">
        <v>43205</v>
      </c>
      <c r="R5182" s="213" t="s">
        <v>43206</v>
      </c>
      <c r="S5182" s="213" t="s">
        <v>43207</v>
      </c>
      <c r="T5182" s="213" t="s">
        <v>43208</v>
      </c>
      <c r="U5182" s="213" t="s">
        <v>59733</v>
      </c>
    </row>
    <row r="5183" spans="1:21" x14ac:dyDescent="0.25">
      <c r="A5183" s="213" t="s">
        <v>327</v>
      </c>
      <c r="D5183" s="213" t="s">
        <v>43209</v>
      </c>
      <c r="E5183" s="213" t="s">
        <v>43210</v>
      </c>
      <c r="K5183" s="213" t="s">
        <v>59314</v>
      </c>
      <c r="L5183" s="213" t="s">
        <v>59454</v>
      </c>
      <c r="M5183" s="213" t="s">
        <v>59594</v>
      </c>
      <c r="N5183" s="213" t="s">
        <v>43211</v>
      </c>
      <c r="O5183" s="213" t="s">
        <v>43212</v>
      </c>
      <c r="P5183" s="213" t="s">
        <v>43213</v>
      </c>
      <c r="Q5183" s="213" t="s">
        <v>43214</v>
      </c>
      <c r="R5183" s="213" t="s">
        <v>43215</v>
      </c>
      <c r="S5183" s="213" t="s">
        <v>43216</v>
      </c>
      <c r="T5183" s="213" t="s">
        <v>43217</v>
      </c>
      <c r="U5183" s="213" t="s">
        <v>59734</v>
      </c>
    </row>
    <row r="5184" spans="1:21" x14ac:dyDescent="0.25">
      <c r="A5184" s="213" t="s">
        <v>327</v>
      </c>
      <c r="D5184" s="213" t="s">
        <v>43218</v>
      </c>
      <c r="E5184" s="213" t="s">
        <v>43219</v>
      </c>
      <c r="K5184" s="213" t="s">
        <v>59315</v>
      </c>
      <c r="L5184" s="213" t="s">
        <v>59455</v>
      </c>
      <c r="M5184" s="213" t="s">
        <v>59595</v>
      </c>
      <c r="N5184" s="213" t="s">
        <v>43220</v>
      </c>
      <c r="O5184" s="213" t="s">
        <v>43221</v>
      </c>
      <c r="P5184" s="213" t="s">
        <v>43222</v>
      </c>
      <c r="Q5184" s="213" t="s">
        <v>43223</v>
      </c>
      <c r="R5184" s="213" t="s">
        <v>43224</v>
      </c>
      <c r="S5184" s="213" t="s">
        <v>43225</v>
      </c>
      <c r="T5184" s="213" t="s">
        <v>43226</v>
      </c>
      <c r="U5184" s="213" t="s">
        <v>59735</v>
      </c>
    </row>
    <row r="5185" spans="1:21" x14ac:dyDescent="0.25">
      <c r="A5185" s="213" t="s">
        <v>327</v>
      </c>
      <c r="D5185" s="213" t="s">
        <v>43227</v>
      </c>
      <c r="E5185" s="213" t="s">
        <v>43228</v>
      </c>
      <c r="K5185" s="213" t="s">
        <v>59316</v>
      </c>
      <c r="L5185" s="213" t="s">
        <v>59456</v>
      </c>
      <c r="M5185" s="213" t="s">
        <v>59596</v>
      </c>
      <c r="N5185" s="213" t="s">
        <v>43229</v>
      </c>
      <c r="O5185" s="213" t="s">
        <v>43230</v>
      </c>
      <c r="P5185" s="213" t="s">
        <v>43231</v>
      </c>
      <c r="Q5185" s="213" t="s">
        <v>43232</v>
      </c>
      <c r="R5185" s="213" t="s">
        <v>43233</v>
      </c>
      <c r="S5185" s="213" t="s">
        <v>43234</v>
      </c>
      <c r="T5185" s="213" t="s">
        <v>43235</v>
      </c>
      <c r="U5185" s="213" t="s">
        <v>59736</v>
      </c>
    </row>
    <row r="5186" spans="1:21" x14ac:dyDescent="0.25">
      <c r="A5186" s="213" t="s">
        <v>327</v>
      </c>
      <c r="D5186" s="213" t="s">
        <v>43236</v>
      </c>
      <c r="E5186" s="213" t="s">
        <v>43237</v>
      </c>
      <c r="K5186" s="213" t="s">
        <v>59317</v>
      </c>
      <c r="L5186" s="213" t="s">
        <v>59457</v>
      </c>
      <c r="M5186" s="213" t="s">
        <v>59597</v>
      </c>
      <c r="N5186" s="213" t="s">
        <v>43238</v>
      </c>
      <c r="O5186" s="213" t="s">
        <v>43239</v>
      </c>
      <c r="P5186" s="213" t="s">
        <v>43240</v>
      </c>
      <c r="Q5186" s="213" t="s">
        <v>43241</v>
      </c>
      <c r="R5186" s="213" t="s">
        <v>43242</v>
      </c>
      <c r="S5186" s="213" t="s">
        <v>43243</v>
      </c>
      <c r="T5186" s="213" t="s">
        <v>43244</v>
      </c>
      <c r="U5186" s="213" t="s">
        <v>59737</v>
      </c>
    </row>
    <row r="5187" spans="1:21" x14ac:dyDescent="0.25">
      <c r="A5187" s="213" t="s">
        <v>327</v>
      </c>
      <c r="D5187" s="213" t="s">
        <v>43245</v>
      </c>
      <c r="E5187" s="213" t="s">
        <v>43246</v>
      </c>
      <c r="K5187" s="213" t="s">
        <v>59318</v>
      </c>
      <c r="L5187" s="213" t="s">
        <v>59458</v>
      </c>
      <c r="M5187" s="213" t="s">
        <v>59598</v>
      </c>
      <c r="N5187" s="213" t="s">
        <v>43247</v>
      </c>
      <c r="O5187" s="213" t="s">
        <v>43248</v>
      </c>
      <c r="P5187" s="213" t="s">
        <v>43249</v>
      </c>
      <c r="Q5187" s="213" t="s">
        <v>43250</v>
      </c>
      <c r="R5187" s="213" t="s">
        <v>43251</v>
      </c>
      <c r="S5187" s="213" t="s">
        <v>43252</v>
      </c>
      <c r="T5187" s="213" t="s">
        <v>43253</v>
      </c>
      <c r="U5187" s="213" t="s">
        <v>59738</v>
      </c>
    </row>
    <row r="5188" spans="1:21" x14ac:dyDescent="0.25">
      <c r="A5188" s="213" t="s">
        <v>327</v>
      </c>
      <c r="D5188" s="213" t="s">
        <v>43254</v>
      </c>
      <c r="E5188" s="213" t="s">
        <v>43255</v>
      </c>
      <c r="K5188" s="213" t="s">
        <v>59319</v>
      </c>
      <c r="L5188" s="213" t="s">
        <v>59459</v>
      </c>
      <c r="M5188" s="213" t="s">
        <v>59599</v>
      </c>
      <c r="N5188" s="213" t="s">
        <v>43256</v>
      </c>
      <c r="O5188" s="213" t="s">
        <v>43257</v>
      </c>
      <c r="P5188" s="213" t="s">
        <v>43258</v>
      </c>
      <c r="Q5188" s="213" t="s">
        <v>43259</v>
      </c>
      <c r="R5188" s="213" t="s">
        <v>43260</v>
      </c>
      <c r="S5188" s="213" t="s">
        <v>43261</v>
      </c>
      <c r="T5188" s="213" t="s">
        <v>43262</v>
      </c>
      <c r="U5188" s="213" t="s">
        <v>59739</v>
      </c>
    </row>
    <row r="5189" spans="1:21" x14ac:dyDescent="0.25">
      <c r="A5189" s="213" t="s">
        <v>327</v>
      </c>
      <c r="D5189" s="213" t="s">
        <v>43263</v>
      </c>
      <c r="E5189" s="213" t="s">
        <v>43264</v>
      </c>
      <c r="K5189" s="213" t="s">
        <v>59320</v>
      </c>
      <c r="L5189" s="213" t="s">
        <v>59460</v>
      </c>
      <c r="M5189" s="213" t="s">
        <v>59600</v>
      </c>
      <c r="N5189" s="213" t="s">
        <v>43265</v>
      </c>
      <c r="O5189" s="213" t="s">
        <v>43266</v>
      </c>
      <c r="P5189" s="213" t="s">
        <v>43267</v>
      </c>
      <c r="Q5189" s="213" t="s">
        <v>43268</v>
      </c>
      <c r="R5189" s="213" t="s">
        <v>43269</v>
      </c>
      <c r="S5189" s="213" t="s">
        <v>43270</v>
      </c>
      <c r="T5189" s="213" t="s">
        <v>43271</v>
      </c>
      <c r="U5189" s="213" t="s">
        <v>59740</v>
      </c>
    </row>
    <row r="5190" spans="1:21" x14ac:dyDescent="0.25">
      <c r="A5190" s="213" t="s">
        <v>327</v>
      </c>
      <c r="D5190" s="213" t="s">
        <v>43272</v>
      </c>
      <c r="E5190" s="213" t="s">
        <v>43273</v>
      </c>
      <c r="K5190" s="213" t="s">
        <v>59321</v>
      </c>
      <c r="L5190" s="213" t="s">
        <v>59461</v>
      </c>
      <c r="M5190" s="213" t="s">
        <v>59601</v>
      </c>
      <c r="N5190" s="213" t="s">
        <v>43274</v>
      </c>
      <c r="O5190" s="213" t="s">
        <v>43275</v>
      </c>
      <c r="P5190" s="213" t="s">
        <v>43276</v>
      </c>
      <c r="Q5190" s="213" t="s">
        <v>43277</v>
      </c>
      <c r="R5190" s="213" t="s">
        <v>43278</v>
      </c>
      <c r="S5190" s="213" t="s">
        <v>43279</v>
      </c>
      <c r="T5190" s="213" t="s">
        <v>43280</v>
      </c>
      <c r="U5190" s="213" t="s">
        <v>59741</v>
      </c>
    </row>
    <row r="5191" spans="1:21" x14ac:dyDescent="0.25">
      <c r="A5191" s="213" t="s">
        <v>327</v>
      </c>
      <c r="D5191" s="213" t="s">
        <v>43281</v>
      </c>
      <c r="E5191" s="213" t="s">
        <v>43282</v>
      </c>
      <c r="K5191" s="213" t="s">
        <v>59322</v>
      </c>
      <c r="L5191" s="213" t="s">
        <v>59462</v>
      </c>
      <c r="M5191" s="213" t="s">
        <v>59602</v>
      </c>
      <c r="N5191" s="213" t="s">
        <v>43283</v>
      </c>
      <c r="O5191" s="213" t="s">
        <v>43284</v>
      </c>
      <c r="P5191" s="213" t="s">
        <v>43285</v>
      </c>
      <c r="Q5191" s="213" t="s">
        <v>43286</v>
      </c>
      <c r="R5191" s="213" t="s">
        <v>43287</v>
      </c>
      <c r="S5191" s="213" t="s">
        <v>43288</v>
      </c>
      <c r="T5191" s="213" t="s">
        <v>43289</v>
      </c>
      <c r="U5191" s="213" t="s">
        <v>59742</v>
      </c>
    </row>
    <row r="5192" spans="1:21" x14ac:dyDescent="0.25">
      <c r="A5192" s="213" t="s">
        <v>327</v>
      </c>
      <c r="D5192" s="213" t="s">
        <v>43290</v>
      </c>
      <c r="E5192" s="213" t="s">
        <v>43291</v>
      </c>
      <c r="K5192" s="213" t="s">
        <v>59323</v>
      </c>
      <c r="L5192" s="213" t="s">
        <v>59463</v>
      </c>
      <c r="M5192" s="213" t="s">
        <v>59603</v>
      </c>
      <c r="N5192" s="213" t="s">
        <v>43292</v>
      </c>
      <c r="O5192" s="213" t="s">
        <v>43293</v>
      </c>
      <c r="P5192" s="213" t="s">
        <v>43294</v>
      </c>
      <c r="Q5192" s="213" t="s">
        <v>43295</v>
      </c>
      <c r="R5192" s="213" t="s">
        <v>43296</v>
      </c>
      <c r="S5192" s="213" t="s">
        <v>43297</v>
      </c>
      <c r="T5192" s="213" t="s">
        <v>43298</v>
      </c>
      <c r="U5192" s="213" t="s">
        <v>59743</v>
      </c>
    </row>
    <row r="5193" spans="1:21" x14ac:dyDescent="0.25">
      <c r="A5193" s="213" t="s">
        <v>327</v>
      </c>
      <c r="D5193" s="213" t="s">
        <v>43299</v>
      </c>
      <c r="E5193" s="213" t="s">
        <v>43300</v>
      </c>
      <c r="K5193" s="213" t="s">
        <v>59324</v>
      </c>
      <c r="L5193" s="213" t="s">
        <v>59464</v>
      </c>
      <c r="M5193" s="213" t="s">
        <v>59604</v>
      </c>
      <c r="N5193" s="213" t="s">
        <v>43301</v>
      </c>
      <c r="O5193" s="213" t="s">
        <v>43302</v>
      </c>
      <c r="P5193" s="213" t="s">
        <v>43303</v>
      </c>
      <c r="Q5193" s="213" t="s">
        <v>43304</v>
      </c>
      <c r="R5193" s="213" t="s">
        <v>43305</v>
      </c>
      <c r="S5193" s="213" t="s">
        <v>43306</v>
      </c>
      <c r="T5193" s="213" t="s">
        <v>43307</v>
      </c>
      <c r="U5193" s="213" t="s">
        <v>59744</v>
      </c>
    </row>
    <row r="5194" spans="1:21" x14ac:dyDescent="0.25">
      <c r="A5194" s="213" t="s">
        <v>327</v>
      </c>
      <c r="D5194" s="213" t="s">
        <v>43308</v>
      </c>
      <c r="E5194" s="213" t="s">
        <v>43309</v>
      </c>
      <c r="K5194" s="213" t="s">
        <v>59325</v>
      </c>
      <c r="L5194" s="213" t="s">
        <v>59465</v>
      </c>
      <c r="M5194" s="213" t="s">
        <v>59605</v>
      </c>
      <c r="N5194" s="213" t="s">
        <v>43310</v>
      </c>
      <c r="O5194" s="213" t="s">
        <v>43311</v>
      </c>
      <c r="P5194" s="213" t="s">
        <v>43312</v>
      </c>
      <c r="Q5194" s="213" t="s">
        <v>43313</v>
      </c>
      <c r="R5194" s="213" t="s">
        <v>43314</v>
      </c>
      <c r="S5194" s="213" t="s">
        <v>43315</v>
      </c>
      <c r="T5194" s="213" t="s">
        <v>43316</v>
      </c>
      <c r="U5194" s="213" t="s">
        <v>59745</v>
      </c>
    </row>
    <row r="5195" spans="1:21" x14ac:dyDescent="0.25">
      <c r="A5195" s="213" t="s">
        <v>327</v>
      </c>
      <c r="D5195" s="213" t="s">
        <v>43317</v>
      </c>
      <c r="E5195" s="213" t="s">
        <v>43318</v>
      </c>
      <c r="K5195" s="213" t="s">
        <v>59326</v>
      </c>
      <c r="L5195" s="213" t="s">
        <v>59466</v>
      </c>
      <c r="M5195" s="213" t="s">
        <v>59606</v>
      </c>
      <c r="N5195" s="213" t="s">
        <v>43319</v>
      </c>
      <c r="O5195" s="213" t="s">
        <v>43320</v>
      </c>
      <c r="P5195" s="213" t="s">
        <v>43321</v>
      </c>
      <c r="Q5195" s="213" t="s">
        <v>43322</v>
      </c>
      <c r="R5195" s="213" t="s">
        <v>43323</v>
      </c>
      <c r="S5195" s="213" t="s">
        <v>43324</v>
      </c>
      <c r="T5195" s="213" t="s">
        <v>43325</v>
      </c>
      <c r="U5195" s="213" t="s">
        <v>59746</v>
      </c>
    </row>
    <row r="5196" spans="1:21" x14ac:dyDescent="0.25">
      <c r="A5196" s="213" t="s">
        <v>327</v>
      </c>
      <c r="D5196" s="213" t="s">
        <v>43326</v>
      </c>
      <c r="E5196" s="213" t="s">
        <v>43327</v>
      </c>
      <c r="K5196" s="213" t="s">
        <v>59327</v>
      </c>
      <c r="L5196" s="213" t="s">
        <v>59467</v>
      </c>
      <c r="M5196" s="213" t="s">
        <v>59607</v>
      </c>
      <c r="N5196" s="213" t="s">
        <v>43328</v>
      </c>
      <c r="O5196" s="213" t="s">
        <v>43329</v>
      </c>
      <c r="P5196" s="213" t="s">
        <v>43330</v>
      </c>
      <c r="Q5196" s="213" t="s">
        <v>43331</v>
      </c>
      <c r="R5196" s="213" t="s">
        <v>43332</v>
      </c>
      <c r="S5196" s="213" t="s">
        <v>43333</v>
      </c>
      <c r="T5196" s="213" t="s">
        <v>43334</v>
      </c>
      <c r="U5196" s="213" t="s">
        <v>59747</v>
      </c>
    </row>
    <row r="5197" spans="1:21" x14ac:dyDescent="0.25">
      <c r="A5197" s="213" t="s">
        <v>327</v>
      </c>
      <c r="D5197" s="213" t="s">
        <v>43335</v>
      </c>
      <c r="E5197" s="213" t="s">
        <v>43336</v>
      </c>
      <c r="K5197" s="213" t="s">
        <v>59328</v>
      </c>
      <c r="L5197" s="213" t="s">
        <v>59468</v>
      </c>
      <c r="M5197" s="213" t="s">
        <v>59608</v>
      </c>
      <c r="N5197" s="213" t="s">
        <v>43337</v>
      </c>
      <c r="O5197" s="213" t="s">
        <v>43338</v>
      </c>
      <c r="P5197" s="213" t="s">
        <v>43339</v>
      </c>
      <c r="Q5197" s="213" t="s">
        <v>43340</v>
      </c>
      <c r="R5197" s="213" t="s">
        <v>43341</v>
      </c>
      <c r="S5197" s="213" t="s">
        <v>43342</v>
      </c>
      <c r="T5197" s="213" t="s">
        <v>43343</v>
      </c>
      <c r="U5197" s="213" t="s">
        <v>59748</v>
      </c>
    </row>
    <row r="5198" spans="1:21" x14ac:dyDescent="0.25">
      <c r="A5198" s="213" t="s">
        <v>327</v>
      </c>
      <c r="D5198" s="213" t="s">
        <v>43344</v>
      </c>
      <c r="E5198" s="213" t="s">
        <v>43345</v>
      </c>
      <c r="K5198" s="213" t="s">
        <v>59329</v>
      </c>
      <c r="L5198" s="213" t="s">
        <v>59469</v>
      </c>
      <c r="M5198" s="213" t="s">
        <v>59609</v>
      </c>
      <c r="N5198" s="213" t="s">
        <v>43346</v>
      </c>
      <c r="O5198" s="213" t="s">
        <v>43347</v>
      </c>
      <c r="P5198" s="213" t="s">
        <v>43348</v>
      </c>
      <c r="Q5198" s="213" t="s">
        <v>43349</v>
      </c>
      <c r="R5198" s="213" t="s">
        <v>43350</v>
      </c>
      <c r="S5198" s="213" t="s">
        <v>43351</v>
      </c>
      <c r="T5198" s="213" t="s">
        <v>43352</v>
      </c>
      <c r="U5198" s="213" t="s">
        <v>59749</v>
      </c>
    </row>
    <row r="5199" spans="1:21" x14ac:dyDescent="0.25">
      <c r="A5199" s="213" t="s">
        <v>327</v>
      </c>
      <c r="D5199" s="213" t="s">
        <v>43353</v>
      </c>
      <c r="E5199" s="213" t="s">
        <v>43354</v>
      </c>
      <c r="K5199" s="213" t="s">
        <v>59330</v>
      </c>
      <c r="L5199" s="213" t="s">
        <v>59470</v>
      </c>
      <c r="M5199" s="213" t="s">
        <v>59610</v>
      </c>
      <c r="N5199" s="213" t="s">
        <v>43355</v>
      </c>
      <c r="O5199" s="213" t="s">
        <v>43356</v>
      </c>
      <c r="P5199" s="213" t="s">
        <v>43357</v>
      </c>
      <c r="Q5199" s="213" t="s">
        <v>43358</v>
      </c>
      <c r="R5199" s="213" t="s">
        <v>43359</v>
      </c>
      <c r="S5199" s="213" t="s">
        <v>43360</v>
      </c>
      <c r="T5199" s="213" t="s">
        <v>43361</v>
      </c>
      <c r="U5199" s="213" t="s">
        <v>59750</v>
      </c>
    </row>
    <row r="5200" spans="1:21" x14ac:dyDescent="0.25">
      <c r="A5200" s="213" t="s">
        <v>327</v>
      </c>
      <c r="D5200" s="213" t="s">
        <v>43362</v>
      </c>
      <c r="E5200" s="213" t="s">
        <v>43363</v>
      </c>
      <c r="K5200" s="213" t="s">
        <v>59331</v>
      </c>
      <c r="L5200" s="213" t="s">
        <v>59471</v>
      </c>
      <c r="M5200" s="213" t="s">
        <v>59611</v>
      </c>
      <c r="N5200" s="213" t="s">
        <v>43364</v>
      </c>
      <c r="O5200" s="213" t="s">
        <v>43365</v>
      </c>
      <c r="P5200" s="213" t="s">
        <v>43366</v>
      </c>
      <c r="Q5200" s="213" t="s">
        <v>43367</v>
      </c>
      <c r="R5200" s="213" t="s">
        <v>43368</v>
      </c>
      <c r="S5200" s="213" t="s">
        <v>43369</v>
      </c>
      <c r="T5200" s="213" t="s">
        <v>43370</v>
      </c>
      <c r="U5200" s="213" t="s">
        <v>59751</v>
      </c>
    </row>
    <row r="5201" spans="1:21" x14ac:dyDescent="0.25">
      <c r="A5201" s="213" t="s">
        <v>327</v>
      </c>
      <c r="D5201" s="213" t="s">
        <v>43371</v>
      </c>
      <c r="E5201" s="213" t="s">
        <v>43372</v>
      </c>
      <c r="K5201" s="213" t="s">
        <v>59332</v>
      </c>
      <c r="L5201" s="213" t="s">
        <v>59472</v>
      </c>
      <c r="M5201" s="213" t="s">
        <v>59612</v>
      </c>
      <c r="N5201" s="213" t="s">
        <v>43373</v>
      </c>
      <c r="O5201" s="213" t="s">
        <v>43374</v>
      </c>
      <c r="P5201" s="213" t="s">
        <v>43375</v>
      </c>
      <c r="Q5201" s="213" t="s">
        <v>43376</v>
      </c>
      <c r="R5201" s="213" t="s">
        <v>43377</v>
      </c>
      <c r="S5201" s="213" t="s">
        <v>43378</v>
      </c>
      <c r="T5201" s="213" t="s">
        <v>43379</v>
      </c>
      <c r="U5201" s="213" t="s">
        <v>59752</v>
      </c>
    </row>
    <row r="5202" spans="1:21" x14ac:dyDescent="0.25">
      <c r="A5202" s="213" t="s">
        <v>327</v>
      </c>
      <c r="D5202" s="213" t="s">
        <v>43380</v>
      </c>
      <c r="E5202" s="213" t="s">
        <v>43381</v>
      </c>
      <c r="K5202" s="213" t="s">
        <v>59333</v>
      </c>
      <c r="L5202" s="213" t="s">
        <v>59473</v>
      </c>
      <c r="M5202" s="213" t="s">
        <v>59613</v>
      </c>
      <c r="N5202" s="213" t="s">
        <v>43382</v>
      </c>
      <c r="O5202" s="213" t="s">
        <v>43383</v>
      </c>
      <c r="P5202" s="213" t="s">
        <v>43384</v>
      </c>
      <c r="Q5202" s="213" t="s">
        <v>43385</v>
      </c>
      <c r="R5202" s="213" t="s">
        <v>43386</v>
      </c>
      <c r="S5202" s="213" t="s">
        <v>43387</v>
      </c>
      <c r="T5202" s="213" t="s">
        <v>43388</v>
      </c>
      <c r="U5202" s="213" t="s">
        <v>59753</v>
      </c>
    </row>
    <row r="5203" spans="1:21" x14ac:dyDescent="0.25">
      <c r="A5203" s="213" t="s">
        <v>327</v>
      </c>
      <c r="D5203" s="213" t="s">
        <v>43389</v>
      </c>
      <c r="E5203" s="213" t="s">
        <v>43390</v>
      </c>
      <c r="K5203" s="213" t="s">
        <v>59334</v>
      </c>
      <c r="L5203" s="213" t="s">
        <v>59474</v>
      </c>
      <c r="M5203" s="213" t="s">
        <v>59614</v>
      </c>
      <c r="N5203" s="213" t="s">
        <v>43391</v>
      </c>
      <c r="O5203" s="213" t="s">
        <v>43392</v>
      </c>
      <c r="P5203" s="213" t="s">
        <v>43393</v>
      </c>
      <c r="Q5203" s="213" t="s">
        <v>43394</v>
      </c>
      <c r="R5203" s="213" t="s">
        <v>43395</v>
      </c>
      <c r="S5203" s="213" t="s">
        <v>43396</v>
      </c>
      <c r="T5203" s="213" t="s">
        <v>43397</v>
      </c>
      <c r="U5203" s="213" t="s">
        <v>59754</v>
      </c>
    </row>
    <row r="5204" spans="1:21" x14ac:dyDescent="0.25">
      <c r="A5204" s="213" t="s">
        <v>327</v>
      </c>
      <c r="D5204" s="213" t="s">
        <v>43398</v>
      </c>
      <c r="E5204" s="213" t="s">
        <v>43399</v>
      </c>
      <c r="K5204" s="213" t="s">
        <v>59335</v>
      </c>
      <c r="L5204" s="213" t="s">
        <v>59475</v>
      </c>
      <c r="M5204" s="213" t="s">
        <v>59615</v>
      </c>
      <c r="N5204" s="213" t="s">
        <v>43400</v>
      </c>
      <c r="O5204" s="213" t="s">
        <v>43401</v>
      </c>
      <c r="P5204" s="213" t="s">
        <v>43402</v>
      </c>
      <c r="Q5204" s="213" t="s">
        <v>43403</v>
      </c>
      <c r="R5204" s="213" t="s">
        <v>43404</v>
      </c>
      <c r="S5204" s="213" t="s">
        <v>43405</v>
      </c>
      <c r="T5204" s="213" t="s">
        <v>43406</v>
      </c>
      <c r="U5204" s="213" t="s">
        <v>59755</v>
      </c>
    </row>
    <row r="5205" spans="1:21" x14ac:dyDescent="0.25">
      <c r="A5205" s="213" t="s">
        <v>327</v>
      </c>
      <c r="D5205" s="213" t="s">
        <v>43407</v>
      </c>
      <c r="E5205" s="213" t="s">
        <v>43408</v>
      </c>
      <c r="K5205" s="213" t="s">
        <v>59336</v>
      </c>
      <c r="L5205" s="213" t="s">
        <v>59476</v>
      </c>
      <c r="M5205" s="213" t="s">
        <v>59616</v>
      </c>
      <c r="N5205" s="213" t="s">
        <v>43409</v>
      </c>
      <c r="O5205" s="213" t="s">
        <v>43410</v>
      </c>
      <c r="P5205" s="213" t="s">
        <v>43411</v>
      </c>
      <c r="Q5205" s="213" t="s">
        <v>43412</v>
      </c>
      <c r="R5205" s="213" t="s">
        <v>43413</v>
      </c>
      <c r="S5205" s="213" t="s">
        <v>43414</v>
      </c>
      <c r="T5205" s="213" t="s">
        <v>43415</v>
      </c>
      <c r="U5205" s="213" t="s">
        <v>59756</v>
      </c>
    </row>
    <row r="5206" spans="1:21" x14ac:dyDescent="0.25">
      <c r="A5206" s="213" t="s">
        <v>327</v>
      </c>
      <c r="D5206" s="213" t="s">
        <v>43416</v>
      </c>
      <c r="E5206" s="213" t="s">
        <v>43417</v>
      </c>
      <c r="K5206" s="213" t="s">
        <v>59337</v>
      </c>
      <c r="L5206" s="213" t="s">
        <v>59477</v>
      </c>
      <c r="M5206" s="213" t="s">
        <v>59617</v>
      </c>
      <c r="N5206" s="213" t="s">
        <v>43418</v>
      </c>
      <c r="O5206" s="213" t="s">
        <v>43419</v>
      </c>
      <c r="P5206" s="213" t="s">
        <v>43420</v>
      </c>
      <c r="Q5206" s="213" t="s">
        <v>43421</v>
      </c>
      <c r="R5206" s="213" t="s">
        <v>43422</v>
      </c>
      <c r="S5206" s="213" t="s">
        <v>43423</v>
      </c>
      <c r="T5206" s="213" t="s">
        <v>43424</v>
      </c>
      <c r="U5206" s="213" t="s">
        <v>59757</v>
      </c>
    </row>
    <row r="5207" spans="1:21" x14ac:dyDescent="0.25">
      <c r="A5207" s="213" t="s">
        <v>327</v>
      </c>
      <c r="D5207" s="213" t="s">
        <v>43425</v>
      </c>
      <c r="E5207" s="213" t="s">
        <v>43426</v>
      </c>
      <c r="K5207" s="213" t="s">
        <v>59338</v>
      </c>
      <c r="L5207" s="213" t="s">
        <v>59478</v>
      </c>
      <c r="M5207" s="213" t="s">
        <v>59618</v>
      </c>
      <c r="N5207" s="213" t="s">
        <v>43427</v>
      </c>
      <c r="O5207" s="213" t="s">
        <v>43428</v>
      </c>
      <c r="P5207" s="213" t="s">
        <v>43429</v>
      </c>
      <c r="Q5207" s="213" t="s">
        <v>43430</v>
      </c>
      <c r="R5207" s="213" t="s">
        <v>43431</v>
      </c>
      <c r="S5207" s="213" t="s">
        <v>43432</v>
      </c>
      <c r="T5207" s="213" t="s">
        <v>43433</v>
      </c>
      <c r="U5207" s="213" t="s">
        <v>59758</v>
      </c>
    </row>
    <row r="5208" spans="1:21" x14ac:dyDescent="0.25">
      <c r="A5208" s="213" t="s">
        <v>327</v>
      </c>
      <c r="D5208" s="213" t="s">
        <v>43434</v>
      </c>
      <c r="E5208" s="213" t="s">
        <v>43435</v>
      </c>
      <c r="K5208" s="213" t="s">
        <v>59339</v>
      </c>
      <c r="L5208" s="213" t="s">
        <v>59479</v>
      </c>
      <c r="M5208" s="213" t="s">
        <v>59619</v>
      </c>
      <c r="N5208" s="213" t="s">
        <v>43436</v>
      </c>
      <c r="O5208" s="213" t="s">
        <v>43437</v>
      </c>
      <c r="P5208" s="213" t="s">
        <v>43438</v>
      </c>
      <c r="Q5208" s="213" t="s">
        <v>43439</v>
      </c>
      <c r="R5208" s="213" t="s">
        <v>43440</v>
      </c>
      <c r="S5208" s="213" t="s">
        <v>43441</v>
      </c>
      <c r="T5208" s="213" t="s">
        <v>43442</v>
      </c>
      <c r="U5208" s="213" t="s">
        <v>59759</v>
      </c>
    </row>
    <row r="5209" spans="1:21" x14ac:dyDescent="0.25">
      <c r="A5209" s="213" t="s">
        <v>327</v>
      </c>
      <c r="D5209" s="213" t="s">
        <v>43443</v>
      </c>
      <c r="E5209" s="213" t="s">
        <v>43444</v>
      </c>
      <c r="K5209" s="213" t="s">
        <v>59340</v>
      </c>
      <c r="L5209" s="213" t="s">
        <v>59480</v>
      </c>
      <c r="M5209" s="213" t="s">
        <v>59620</v>
      </c>
      <c r="N5209" s="213" t="s">
        <v>43445</v>
      </c>
      <c r="O5209" s="213" t="s">
        <v>43446</v>
      </c>
      <c r="P5209" s="213" t="s">
        <v>43447</v>
      </c>
      <c r="Q5209" s="213" t="s">
        <v>43448</v>
      </c>
      <c r="R5209" s="213" t="s">
        <v>43449</v>
      </c>
      <c r="S5209" s="213" t="s">
        <v>43450</v>
      </c>
      <c r="T5209" s="213" t="s">
        <v>43451</v>
      </c>
      <c r="U5209" s="213" t="s">
        <v>59760</v>
      </c>
    </row>
    <row r="5210" spans="1:21" x14ac:dyDescent="0.25">
      <c r="A5210" s="213" t="s">
        <v>327</v>
      </c>
      <c r="D5210" s="213" t="s">
        <v>43452</v>
      </c>
      <c r="E5210" s="213" t="s">
        <v>43453</v>
      </c>
      <c r="K5210" s="213" t="s">
        <v>59341</v>
      </c>
      <c r="L5210" s="213" t="s">
        <v>59481</v>
      </c>
      <c r="M5210" s="213" t="s">
        <v>59621</v>
      </c>
      <c r="N5210" s="213" t="s">
        <v>43454</v>
      </c>
      <c r="O5210" s="213" t="s">
        <v>43455</v>
      </c>
      <c r="P5210" s="213" t="s">
        <v>43456</v>
      </c>
      <c r="Q5210" s="213" t="s">
        <v>43457</v>
      </c>
      <c r="R5210" s="213" t="s">
        <v>43458</v>
      </c>
      <c r="S5210" s="213" t="s">
        <v>43459</v>
      </c>
      <c r="T5210" s="213" t="s">
        <v>43460</v>
      </c>
      <c r="U5210" s="213" t="s">
        <v>59761</v>
      </c>
    </row>
    <row r="5211" spans="1:21" x14ac:dyDescent="0.25">
      <c r="A5211" s="213" t="s">
        <v>327</v>
      </c>
      <c r="D5211" s="213" t="s">
        <v>43461</v>
      </c>
      <c r="E5211" s="213" t="s">
        <v>43462</v>
      </c>
      <c r="K5211" s="213" t="s">
        <v>59342</v>
      </c>
      <c r="L5211" s="213" t="s">
        <v>59482</v>
      </c>
      <c r="M5211" s="213" t="s">
        <v>59622</v>
      </c>
      <c r="N5211" s="213" t="s">
        <v>43463</v>
      </c>
      <c r="O5211" s="213" t="s">
        <v>43464</v>
      </c>
      <c r="P5211" s="213" t="s">
        <v>43465</v>
      </c>
      <c r="Q5211" s="213" t="s">
        <v>43466</v>
      </c>
      <c r="R5211" s="213" t="s">
        <v>43467</v>
      </c>
      <c r="S5211" s="213" t="s">
        <v>43468</v>
      </c>
      <c r="T5211" s="213" t="s">
        <v>43469</v>
      </c>
      <c r="U5211" s="213" t="s">
        <v>59762</v>
      </c>
    </row>
    <row r="5212" spans="1:21" x14ac:dyDescent="0.25">
      <c r="A5212" s="213" t="s">
        <v>327</v>
      </c>
      <c r="D5212" s="213" t="s">
        <v>43470</v>
      </c>
      <c r="E5212" s="213" t="s">
        <v>43471</v>
      </c>
      <c r="K5212" s="213" t="s">
        <v>59343</v>
      </c>
      <c r="L5212" s="213" t="s">
        <v>59483</v>
      </c>
      <c r="M5212" s="213" t="s">
        <v>59623</v>
      </c>
      <c r="N5212" s="213" t="s">
        <v>43472</v>
      </c>
      <c r="O5212" s="213" t="s">
        <v>43473</v>
      </c>
      <c r="P5212" s="213" t="s">
        <v>43474</v>
      </c>
      <c r="Q5212" s="213" t="s">
        <v>43475</v>
      </c>
      <c r="R5212" s="213" t="s">
        <v>43476</v>
      </c>
      <c r="S5212" s="213" t="s">
        <v>43477</v>
      </c>
      <c r="T5212" s="213" t="s">
        <v>43478</v>
      </c>
      <c r="U5212" s="213" t="s">
        <v>59763</v>
      </c>
    </row>
    <row r="5213" spans="1:21" x14ac:dyDescent="0.25">
      <c r="A5213" s="213" t="s">
        <v>327</v>
      </c>
      <c r="D5213" s="213" t="s">
        <v>43479</v>
      </c>
      <c r="E5213" s="213" t="s">
        <v>43480</v>
      </c>
      <c r="K5213" s="213" t="s">
        <v>59344</v>
      </c>
      <c r="L5213" s="213" t="s">
        <v>59484</v>
      </c>
      <c r="M5213" s="213" t="s">
        <v>59624</v>
      </c>
      <c r="N5213" s="213" t="s">
        <v>43481</v>
      </c>
      <c r="O5213" s="213" t="s">
        <v>43482</v>
      </c>
      <c r="P5213" s="213" t="s">
        <v>43483</v>
      </c>
      <c r="Q5213" s="213" t="s">
        <v>43484</v>
      </c>
      <c r="R5213" s="213" t="s">
        <v>43485</v>
      </c>
      <c r="S5213" s="213" t="s">
        <v>43486</v>
      </c>
      <c r="T5213" s="213" t="s">
        <v>43487</v>
      </c>
      <c r="U5213" s="213" t="s">
        <v>59764</v>
      </c>
    </row>
    <row r="5214" spans="1:21" x14ac:dyDescent="0.25">
      <c r="A5214" s="213" t="s">
        <v>327</v>
      </c>
      <c r="D5214" s="213" t="s">
        <v>43488</v>
      </c>
      <c r="E5214" s="213" t="s">
        <v>43489</v>
      </c>
      <c r="K5214" s="213" t="s">
        <v>59345</v>
      </c>
      <c r="L5214" s="213" t="s">
        <v>59485</v>
      </c>
      <c r="M5214" s="213" t="s">
        <v>59625</v>
      </c>
      <c r="N5214" s="213" t="s">
        <v>43490</v>
      </c>
      <c r="O5214" s="213" t="s">
        <v>43491</v>
      </c>
      <c r="P5214" s="213" t="s">
        <v>43492</v>
      </c>
      <c r="Q5214" s="213" t="s">
        <v>43493</v>
      </c>
      <c r="R5214" s="213" t="s">
        <v>43494</v>
      </c>
      <c r="S5214" s="213" t="s">
        <v>43495</v>
      </c>
      <c r="T5214" s="213" t="s">
        <v>43496</v>
      </c>
      <c r="U5214" s="213" t="s">
        <v>59765</v>
      </c>
    </row>
    <row r="5215" spans="1:21" x14ac:dyDescent="0.25">
      <c r="A5215" s="213" t="s">
        <v>327</v>
      </c>
    </row>
    <row r="5216" spans="1:21" x14ac:dyDescent="0.25">
      <c r="A5216" s="213" t="s">
        <v>327</v>
      </c>
    </row>
    <row r="5217" spans="1:21" x14ac:dyDescent="0.25">
      <c r="A5217" s="213" t="s">
        <v>327</v>
      </c>
      <c r="C5217" s="213" t="s">
        <v>43497</v>
      </c>
      <c r="E5217" s="213" t="s">
        <v>43498</v>
      </c>
      <c r="H5217" s="213" t="s">
        <v>43499</v>
      </c>
      <c r="I5217" s="213" t="s">
        <v>43500</v>
      </c>
      <c r="J5217" s="213" t="s">
        <v>43501</v>
      </c>
      <c r="L5217" s="213" t="s">
        <v>43502</v>
      </c>
      <c r="O5217" s="213" t="s">
        <v>43503</v>
      </c>
      <c r="P5217" s="213" t="s">
        <v>43504</v>
      </c>
      <c r="Q5217" s="213" t="s">
        <v>43505</v>
      </c>
      <c r="R5217" s="213" t="s">
        <v>43506</v>
      </c>
      <c r="S5217" s="213" t="s">
        <v>43507</v>
      </c>
      <c r="T5217" s="213" t="s">
        <v>43508</v>
      </c>
    </row>
    <row r="5218" spans="1:21" x14ac:dyDescent="0.25">
      <c r="A5218" s="213" t="s">
        <v>327</v>
      </c>
      <c r="C5218" s="213" t="s">
        <v>43509</v>
      </c>
      <c r="E5218" s="213" t="s">
        <v>43510</v>
      </c>
      <c r="I5218" s="213" t="s">
        <v>43511</v>
      </c>
    </row>
    <row r="5219" spans="1:21" x14ac:dyDescent="0.25">
      <c r="A5219" s="213" t="s">
        <v>327</v>
      </c>
      <c r="C5219" s="213" t="s">
        <v>43512</v>
      </c>
      <c r="E5219" s="213" t="s">
        <v>43513</v>
      </c>
      <c r="I5219" s="213" t="s">
        <v>43514</v>
      </c>
    </row>
    <row r="5220" spans="1:21" x14ac:dyDescent="0.25">
      <c r="A5220" s="213" t="s">
        <v>328</v>
      </c>
    </row>
    <row r="5221" spans="1:21" x14ac:dyDescent="0.25">
      <c r="A5221" s="213" t="s">
        <v>327</v>
      </c>
      <c r="D5221" s="213" t="s">
        <v>43515</v>
      </c>
      <c r="E5221" s="213" t="s">
        <v>43516</v>
      </c>
      <c r="K5221" s="213" t="s">
        <v>58830</v>
      </c>
      <c r="L5221" s="213" t="s">
        <v>58924</v>
      </c>
      <c r="M5221" s="213" t="s">
        <v>59018</v>
      </c>
      <c r="N5221" s="213" t="s">
        <v>43517</v>
      </c>
      <c r="O5221" s="213" t="s">
        <v>43518</v>
      </c>
      <c r="P5221" s="213" t="s">
        <v>43519</v>
      </c>
      <c r="Q5221" s="213" t="s">
        <v>43520</v>
      </c>
      <c r="R5221" s="213" t="s">
        <v>43521</v>
      </c>
      <c r="S5221" s="213" t="s">
        <v>43522</v>
      </c>
      <c r="T5221" s="213" t="s">
        <v>43523</v>
      </c>
      <c r="U5221" s="213" t="s">
        <v>59112</v>
      </c>
    </row>
    <row r="5222" spans="1:21" x14ac:dyDescent="0.25">
      <c r="A5222" s="213" t="s">
        <v>327</v>
      </c>
      <c r="D5222" s="213" t="s">
        <v>43524</v>
      </c>
      <c r="E5222" s="213" t="s">
        <v>43525</v>
      </c>
      <c r="K5222" s="213" t="s">
        <v>58831</v>
      </c>
      <c r="L5222" s="213" t="s">
        <v>58925</v>
      </c>
      <c r="M5222" s="213" t="s">
        <v>59019</v>
      </c>
      <c r="N5222" s="213" t="s">
        <v>43526</v>
      </c>
      <c r="O5222" s="213" t="s">
        <v>43527</v>
      </c>
      <c r="P5222" s="213" t="s">
        <v>43528</v>
      </c>
      <c r="Q5222" s="213" t="s">
        <v>43529</v>
      </c>
      <c r="R5222" s="213" t="s">
        <v>43530</v>
      </c>
      <c r="S5222" s="213" t="s">
        <v>43531</v>
      </c>
      <c r="T5222" s="213" t="s">
        <v>43532</v>
      </c>
      <c r="U5222" s="213" t="s">
        <v>59113</v>
      </c>
    </row>
    <row r="5223" spans="1:21" x14ac:dyDescent="0.25">
      <c r="A5223" s="213" t="s">
        <v>327</v>
      </c>
      <c r="D5223" s="213" t="s">
        <v>43533</v>
      </c>
      <c r="E5223" s="213" t="s">
        <v>43534</v>
      </c>
      <c r="K5223" s="213" t="s">
        <v>58832</v>
      </c>
      <c r="L5223" s="213" t="s">
        <v>58926</v>
      </c>
      <c r="M5223" s="213" t="s">
        <v>59020</v>
      </c>
      <c r="N5223" s="213" t="s">
        <v>43535</v>
      </c>
      <c r="O5223" s="213" t="s">
        <v>43536</v>
      </c>
      <c r="P5223" s="213" t="s">
        <v>43537</v>
      </c>
      <c r="Q5223" s="213" t="s">
        <v>43538</v>
      </c>
      <c r="R5223" s="213" t="s">
        <v>43539</v>
      </c>
      <c r="S5223" s="213" t="s">
        <v>43540</v>
      </c>
      <c r="T5223" s="213" t="s">
        <v>43541</v>
      </c>
      <c r="U5223" s="213" t="s">
        <v>59114</v>
      </c>
    </row>
    <row r="5224" spans="1:21" x14ac:dyDescent="0.25">
      <c r="A5224" s="213" t="s">
        <v>327</v>
      </c>
      <c r="D5224" s="213" t="s">
        <v>43542</v>
      </c>
      <c r="E5224" s="213" t="s">
        <v>43543</v>
      </c>
      <c r="K5224" s="213" t="s">
        <v>58833</v>
      </c>
      <c r="L5224" s="213" t="s">
        <v>58927</v>
      </c>
      <c r="M5224" s="213" t="s">
        <v>59021</v>
      </c>
      <c r="N5224" s="213" t="s">
        <v>43544</v>
      </c>
      <c r="O5224" s="213" t="s">
        <v>43545</v>
      </c>
      <c r="P5224" s="213" t="s">
        <v>43546</v>
      </c>
      <c r="Q5224" s="213" t="s">
        <v>43547</v>
      </c>
      <c r="R5224" s="213" t="s">
        <v>43548</v>
      </c>
      <c r="S5224" s="213" t="s">
        <v>43549</v>
      </c>
      <c r="T5224" s="213" t="s">
        <v>43550</v>
      </c>
      <c r="U5224" s="213" t="s">
        <v>59115</v>
      </c>
    </row>
    <row r="5225" spans="1:21" x14ac:dyDescent="0.25">
      <c r="A5225" s="213" t="s">
        <v>327</v>
      </c>
      <c r="D5225" s="213" t="s">
        <v>43551</v>
      </c>
      <c r="E5225" s="213" t="s">
        <v>43552</v>
      </c>
      <c r="K5225" s="213" t="s">
        <v>58834</v>
      </c>
      <c r="L5225" s="213" t="s">
        <v>58928</v>
      </c>
      <c r="M5225" s="213" t="s">
        <v>59022</v>
      </c>
      <c r="N5225" s="213" t="s">
        <v>43553</v>
      </c>
      <c r="O5225" s="213" t="s">
        <v>43554</v>
      </c>
      <c r="P5225" s="213" t="s">
        <v>43555</v>
      </c>
      <c r="Q5225" s="213" t="s">
        <v>43556</v>
      </c>
      <c r="R5225" s="213" t="s">
        <v>43557</v>
      </c>
      <c r="S5225" s="213" t="s">
        <v>43558</v>
      </c>
      <c r="T5225" s="213" t="s">
        <v>43559</v>
      </c>
      <c r="U5225" s="213" t="s">
        <v>59116</v>
      </c>
    </row>
    <row r="5226" spans="1:21" x14ac:dyDescent="0.25">
      <c r="A5226" s="213" t="s">
        <v>327</v>
      </c>
      <c r="D5226" s="213" t="s">
        <v>43560</v>
      </c>
      <c r="E5226" s="213" t="s">
        <v>43561</v>
      </c>
      <c r="K5226" s="213" t="s">
        <v>58835</v>
      </c>
      <c r="L5226" s="213" t="s">
        <v>58929</v>
      </c>
      <c r="M5226" s="213" t="s">
        <v>59023</v>
      </c>
      <c r="N5226" s="213" t="s">
        <v>43562</v>
      </c>
      <c r="O5226" s="213" t="s">
        <v>43563</v>
      </c>
      <c r="P5226" s="213" t="s">
        <v>43564</v>
      </c>
      <c r="Q5226" s="213" t="s">
        <v>43565</v>
      </c>
      <c r="R5226" s="213" t="s">
        <v>43566</v>
      </c>
      <c r="S5226" s="213" t="s">
        <v>43567</v>
      </c>
      <c r="T5226" s="213" t="s">
        <v>43568</v>
      </c>
      <c r="U5226" s="213" t="s">
        <v>59117</v>
      </c>
    </row>
    <row r="5227" spans="1:21" x14ac:dyDescent="0.25">
      <c r="A5227" s="213" t="s">
        <v>327</v>
      </c>
      <c r="D5227" s="213" t="s">
        <v>43569</v>
      </c>
      <c r="E5227" s="213" t="s">
        <v>43570</v>
      </c>
      <c r="K5227" s="213" t="s">
        <v>58836</v>
      </c>
      <c r="L5227" s="213" t="s">
        <v>58930</v>
      </c>
      <c r="M5227" s="213" t="s">
        <v>59024</v>
      </c>
      <c r="N5227" s="213" t="s">
        <v>43571</v>
      </c>
      <c r="O5227" s="213" t="s">
        <v>43572</v>
      </c>
      <c r="P5227" s="213" t="s">
        <v>43573</v>
      </c>
      <c r="Q5227" s="213" t="s">
        <v>43574</v>
      </c>
      <c r="R5227" s="213" t="s">
        <v>43575</v>
      </c>
      <c r="S5227" s="213" t="s">
        <v>43576</v>
      </c>
      <c r="T5227" s="213" t="s">
        <v>43577</v>
      </c>
      <c r="U5227" s="213" t="s">
        <v>59118</v>
      </c>
    </row>
    <row r="5228" spans="1:21" x14ac:dyDescent="0.25">
      <c r="A5228" s="213" t="s">
        <v>327</v>
      </c>
      <c r="D5228" s="213" t="s">
        <v>43578</v>
      </c>
      <c r="E5228" s="213" t="s">
        <v>43579</v>
      </c>
      <c r="K5228" s="213" t="s">
        <v>58837</v>
      </c>
      <c r="L5228" s="213" t="s">
        <v>58931</v>
      </c>
      <c r="M5228" s="213" t="s">
        <v>59025</v>
      </c>
      <c r="N5228" s="213" t="s">
        <v>43580</v>
      </c>
      <c r="O5228" s="213" t="s">
        <v>43581</v>
      </c>
      <c r="P5228" s="213" t="s">
        <v>43582</v>
      </c>
      <c r="Q5228" s="213" t="s">
        <v>43583</v>
      </c>
      <c r="R5228" s="213" t="s">
        <v>43584</v>
      </c>
      <c r="S5228" s="213" t="s">
        <v>43585</v>
      </c>
      <c r="T5228" s="213" t="s">
        <v>43586</v>
      </c>
      <c r="U5228" s="213" t="s">
        <v>59119</v>
      </c>
    </row>
    <row r="5229" spans="1:21" x14ac:dyDescent="0.25">
      <c r="A5229" s="213" t="s">
        <v>327</v>
      </c>
      <c r="D5229" s="213" t="s">
        <v>43587</v>
      </c>
      <c r="E5229" s="213" t="s">
        <v>43588</v>
      </c>
      <c r="K5229" s="213" t="s">
        <v>58838</v>
      </c>
      <c r="L5229" s="213" t="s">
        <v>58932</v>
      </c>
      <c r="M5229" s="213" t="s">
        <v>59026</v>
      </c>
      <c r="N5229" s="213" t="s">
        <v>43589</v>
      </c>
      <c r="O5229" s="213" t="s">
        <v>43590</v>
      </c>
      <c r="P5229" s="213" t="s">
        <v>43591</v>
      </c>
      <c r="Q5229" s="213" t="s">
        <v>43592</v>
      </c>
      <c r="R5229" s="213" t="s">
        <v>43593</v>
      </c>
      <c r="S5229" s="213" t="s">
        <v>43594</v>
      </c>
      <c r="T5229" s="213" t="s">
        <v>43595</v>
      </c>
      <c r="U5229" s="213" t="s">
        <v>59120</v>
      </c>
    </row>
    <row r="5230" spans="1:21" x14ac:dyDescent="0.25">
      <c r="A5230" s="213" t="s">
        <v>327</v>
      </c>
      <c r="D5230" s="213" t="s">
        <v>349</v>
      </c>
      <c r="E5230" s="213" t="s">
        <v>43596</v>
      </c>
      <c r="K5230" s="213" t="s">
        <v>58839</v>
      </c>
      <c r="L5230" s="213" t="s">
        <v>58933</v>
      </c>
      <c r="M5230" s="213" t="s">
        <v>59027</v>
      </c>
      <c r="N5230" s="213" t="s">
        <v>43597</v>
      </c>
      <c r="O5230" s="213" t="s">
        <v>43598</v>
      </c>
      <c r="P5230" s="213" t="s">
        <v>43599</v>
      </c>
      <c r="Q5230" s="213" t="s">
        <v>43600</v>
      </c>
      <c r="R5230" s="213" t="s">
        <v>43601</v>
      </c>
      <c r="S5230" s="213" t="s">
        <v>43602</v>
      </c>
      <c r="T5230" s="213" t="s">
        <v>43603</v>
      </c>
      <c r="U5230" s="213" t="s">
        <v>59121</v>
      </c>
    </row>
    <row r="5231" spans="1:21" x14ac:dyDescent="0.25">
      <c r="A5231" s="213" t="s">
        <v>327</v>
      </c>
      <c r="D5231" s="213" t="s">
        <v>43604</v>
      </c>
      <c r="E5231" s="213" t="s">
        <v>43605</v>
      </c>
      <c r="K5231" s="213" t="s">
        <v>58840</v>
      </c>
      <c r="L5231" s="213" t="s">
        <v>58934</v>
      </c>
      <c r="M5231" s="213" t="s">
        <v>59028</v>
      </c>
      <c r="N5231" s="213" t="s">
        <v>43606</v>
      </c>
      <c r="O5231" s="213" t="s">
        <v>43607</v>
      </c>
      <c r="P5231" s="213" t="s">
        <v>43608</v>
      </c>
      <c r="Q5231" s="213" t="s">
        <v>43609</v>
      </c>
      <c r="R5231" s="213" t="s">
        <v>43610</v>
      </c>
      <c r="S5231" s="213" t="s">
        <v>43611</v>
      </c>
      <c r="T5231" s="213" t="s">
        <v>43612</v>
      </c>
      <c r="U5231" s="213" t="s">
        <v>59122</v>
      </c>
    </row>
    <row r="5232" spans="1:21" x14ac:dyDescent="0.25">
      <c r="A5232" s="213" t="s">
        <v>327</v>
      </c>
      <c r="D5232" s="213" t="s">
        <v>43613</v>
      </c>
      <c r="E5232" s="213" t="s">
        <v>43614</v>
      </c>
      <c r="K5232" s="213" t="s">
        <v>58841</v>
      </c>
      <c r="L5232" s="213" t="s">
        <v>58935</v>
      </c>
      <c r="M5232" s="213" t="s">
        <v>59029</v>
      </c>
      <c r="N5232" s="213" t="s">
        <v>43615</v>
      </c>
      <c r="O5232" s="213" t="s">
        <v>43616</v>
      </c>
      <c r="P5232" s="213" t="s">
        <v>43617</v>
      </c>
      <c r="Q5232" s="213" t="s">
        <v>43618</v>
      </c>
      <c r="R5232" s="213" t="s">
        <v>43619</v>
      </c>
      <c r="S5232" s="213" t="s">
        <v>43620</v>
      </c>
      <c r="T5232" s="213" t="s">
        <v>43621</v>
      </c>
      <c r="U5232" s="213" t="s">
        <v>59123</v>
      </c>
    </row>
    <row r="5233" spans="1:21" x14ac:dyDescent="0.25">
      <c r="A5233" s="213" t="s">
        <v>327</v>
      </c>
      <c r="D5233" s="213" t="s">
        <v>43622</v>
      </c>
      <c r="E5233" s="213" t="s">
        <v>43623</v>
      </c>
      <c r="K5233" s="213" t="s">
        <v>58842</v>
      </c>
      <c r="L5233" s="213" t="s">
        <v>58936</v>
      </c>
      <c r="M5233" s="213" t="s">
        <v>59030</v>
      </c>
      <c r="N5233" s="213" t="s">
        <v>43624</v>
      </c>
      <c r="O5233" s="213" t="s">
        <v>43625</v>
      </c>
      <c r="P5233" s="213" t="s">
        <v>43626</v>
      </c>
      <c r="Q5233" s="213" t="s">
        <v>43627</v>
      </c>
      <c r="R5233" s="213" t="s">
        <v>43628</v>
      </c>
      <c r="S5233" s="213" t="s">
        <v>43629</v>
      </c>
      <c r="T5233" s="213" t="s">
        <v>43630</v>
      </c>
      <c r="U5233" s="213" t="s">
        <v>59124</v>
      </c>
    </row>
    <row r="5234" spans="1:21" x14ac:dyDescent="0.25">
      <c r="A5234" s="213" t="s">
        <v>327</v>
      </c>
      <c r="D5234" s="213" t="s">
        <v>43631</v>
      </c>
      <c r="E5234" s="213" t="s">
        <v>43632</v>
      </c>
      <c r="K5234" s="213" t="s">
        <v>58843</v>
      </c>
      <c r="L5234" s="213" t="s">
        <v>58937</v>
      </c>
      <c r="M5234" s="213" t="s">
        <v>59031</v>
      </c>
      <c r="N5234" s="213" t="s">
        <v>43633</v>
      </c>
      <c r="O5234" s="213" t="s">
        <v>43634</v>
      </c>
      <c r="P5234" s="213" t="s">
        <v>43635</v>
      </c>
      <c r="Q5234" s="213" t="s">
        <v>43636</v>
      </c>
      <c r="R5234" s="213" t="s">
        <v>43637</v>
      </c>
      <c r="S5234" s="213" t="s">
        <v>43638</v>
      </c>
      <c r="T5234" s="213" t="s">
        <v>43639</v>
      </c>
      <c r="U5234" s="213" t="s">
        <v>59125</v>
      </c>
    </row>
    <row r="5235" spans="1:21" x14ac:dyDescent="0.25">
      <c r="A5235" s="213" t="s">
        <v>327</v>
      </c>
      <c r="D5235" s="213" t="s">
        <v>43640</v>
      </c>
      <c r="E5235" s="213" t="s">
        <v>43641</v>
      </c>
      <c r="K5235" s="213" t="s">
        <v>58844</v>
      </c>
      <c r="L5235" s="213" t="s">
        <v>58938</v>
      </c>
      <c r="M5235" s="213" t="s">
        <v>59032</v>
      </c>
      <c r="N5235" s="213" t="s">
        <v>43642</v>
      </c>
      <c r="O5235" s="213" t="s">
        <v>43643</v>
      </c>
      <c r="P5235" s="213" t="s">
        <v>43644</v>
      </c>
      <c r="Q5235" s="213" t="s">
        <v>43645</v>
      </c>
      <c r="R5235" s="213" t="s">
        <v>43646</v>
      </c>
      <c r="S5235" s="213" t="s">
        <v>43647</v>
      </c>
      <c r="T5235" s="213" t="s">
        <v>43648</v>
      </c>
      <c r="U5235" s="213" t="s">
        <v>59126</v>
      </c>
    </row>
    <row r="5236" spans="1:21" x14ac:dyDescent="0.25">
      <c r="A5236" s="213" t="s">
        <v>327</v>
      </c>
      <c r="D5236" s="213" t="s">
        <v>43649</v>
      </c>
      <c r="E5236" s="213" t="s">
        <v>43650</v>
      </c>
      <c r="K5236" s="213" t="s">
        <v>58845</v>
      </c>
      <c r="L5236" s="213" t="s">
        <v>58939</v>
      </c>
      <c r="M5236" s="213" t="s">
        <v>59033</v>
      </c>
      <c r="N5236" s="213" t="s">
        <v>43651</v>
      </c>
      <c r="O5236" s="213" t="s">
        <v>43652</v>
      </c>
      <c r="P5236" s="213" t="s">
        <v>43653</v>
      </c>
      <c r="Q5236" s="213" t="s">
        <v>43654</v>
      </c>
      <c r="R5236" s="213" t="s">
        <v>43655</v>
      </c>
      <c r="S5236" s="213" t="s">
        <v>43656</v>
      </c>
      <c r="T5236" s="213" t="s">
        <v>43657</v>
      </c>
      <c r="U5236" s="213" t="s">
        <v>59127</v>
      </c>
    </row>
    <row r="5237" spans="1:21" x14ac:dyDescent="0.25">
      <c r="A5237" s="213" t="s">
        <v>327</v>
      </c>
      <c r="D5237" s="213" t="s">
        <v>43658</v>
      </c>
      <c r="E5237" s="213" t="s">
        <v>43659</v>
      </c>
      <c r="K5237" s="213" t="s">
        <v>58846</v>
      </c>
      <c r="L5237" s="213" t="s">
        <v>58940</v>
      </c>
      <c r="M5237" s="213" t="s">
        <v>59034</v>
      </c>
      <c r="N5237" s="213" t="s">
        <v>43660</v>
      </c>
      <c r="O5237" s="213" t="s">
        <v>43661</v>
      </c>
      <c r="P5237" s="213" t="s">
        <v>43662</v>
      </c>
      <c r="Q5237" s="213" t="s">
        <v>43663</v>
      </c>
      <c r="R5237" s="213" t="s">
        <v>43664</v>
      </c>
      <c r="S5237" s="213" t="s">
        <v>43665</v>
      </c>
      <c r="T5237" s="213" t="s">
        <v>43666</v>
      </c>
      <c r="U5237" s="213" t="s">
        <v>59128</v>
      </c>
    </row>
    <row r="5238" spans="1:21" x14ac:dyDescent="0.25">
      <c r="A5238" s="213" t="s">
        <v>327</v>
      </c>
      <c r="D5238" s="213" t="s">
        <v>43667</v>
      </c>
      <c r="E5238" s="213" t="s">
        <v>43668</v>
      </c>
      <c r="K5238" s="213" t="s">
        <v>58847</v>
      </c>
      <c r="L5238" s="213" t="s">
        <v>58941</v>
      </c>
      <c r="M5238" s="213" t="s">
        <v>59035</v>
      </c>
      <c r="N5238" s="213" t="s">
        <v>43669</v>
      </c>
      <c r="O5238" s="213" t="s">
        <v>43670</v>
      </c>
      <c r="P5238" s="213" t="s">
        <v>43671</v>
      </c>
      <c r="Q5238" s="213" t="s">
        <v>43672</v>
      </c>
      <c r="R5238" s="213" t="s">
        <v>43673</v>
      </c>
      <c r="S5238" s="213" t="s">
        <v>43674</v>
      </c>
      <c r="T5238" s="213" t="s">
        <v>43675</v>
      </c>
      <c r="U5238" s="213" t="s">
        <v>59129</v>
      </c>
    </row>
    <row r="5239" spans="1:21" x14ac:dyDescent="0.25">
      <c r="A5239" s="213" t="s">
        <v>327</v>
      </c>
      <c r="D5239" s="213" t="s">
        <v>43676</v>
      </c>
      <c r="E5239" s="213" t="s">
        <v>43677</v>
      </c>
      <c r="K5239" s="213" t="s">
        <v>58848</v>
      </c>
      <c r="L5239" s="213" t="s">
        <v>58942</v>
      </c>
      <c r="M5239" s="213" t="s">
        <v>59036</v>
      </c>
      <c r="N5239" s="213" t="s">
        <v>43678</v>
      </c>
      <c r="O5239" s="213" t="s">
        <v>43679</v>
      </c>
      <c r="P5239" s="213" t="s">
        <v>43680</v>
      </c>
      <c r="Q5239" s="213" t="s">
        <v>43681</v>
      </c>
      <c r="R5239" s="213" t="s">
        <v>43682</v>
      </c>
      <c r="S5239" s="213" t="s">
        <v>43683</v>
      </c>
      <c r="T5239" s="213" t="s">
        <v>43684</v>
      </c>
      <c r="U5239" s="213" t="s">
        <v>59130</v>
      </c>
    </row>
    <row r="5240" spans="1:21" x14ac:dyDescent="0.25">
      <c r="A5240" s="213" t="s">
        <v>327</v>
      </c>
      <c r="D5240" s="213" t="s">
        <v>43685</v>
      </c>
      <c r="E5240" s="213" t="s">
        <v>43686</v>
      </c>
      <c r="K5240" s="213" t="s">
        <v>58849</v>
      </c>
      <c r="L5240" s="213" t="s">
        <v>58943</v>
      </c>
      <c r="M5240" s="213" t="s">
        <v>59037</v>
      </c>
      <c r="N5240" s="213" t="s">
        <v>43687</v>
      </c>
      <c r="O5240" s="213" t="s">
        <v>43688</v>
      </c>
      <c r="P5240" s="213" t="s">
        <v>43689</v>
      </c>
      <c r="Q5240" s="213" t="s">
        <v>43690</v>
      </c>
      <c r="R5240" s="213" t="s">
        <v>43691</v>
      </c>
      <c r="S5240" s="213" t="s">
        <v>43692</v>
      </c>
      <c r="T5240" s="213" t="s">
        <v>43693</v>
      </c>
      <c r="U5240" s="213" t="s">
        <v>59131</v>
      </c>
    </row>
    <row r="5241" spans="1:21" x14ac:dyDescent="0.25">
      <c r="A5241" s="213" t="s">
        <v>327</v>
      </c>
      <c r="D5241" s="213" t="s">
        <v>43694</v>
      </c>
      <c r="E5241" s="213" t="s">
        <v>43695</v>
      </c>
      <c r="K5241" s="213" t="s">
        <v>58850</v>
      </c>
      <c r="L5241" s="213" t="s">
        <v>58944</v>
      </c>
      <c r="M5241" s="213" t="s">
        <v>59038</v>
      </c>
      <c r="N5241" s="213" t="s">
        <v>43696</v>
      </c>
      <c r="O5241" s="213" t="s">
        <v>43697</v>
      </c>
      <c r="P5241" s="213" t="s">
        <v>43698</v>
      </c>
      <c r="Q5241" s="213" t="s">
        <v>43699</v>
      </c>
      <c r="R5241" s="213" t="s">
        <v>43700</v>
      </c>
      <c r="S5241" s="213" t="s">
        <v>43701</v>
      </c>
      <c r="T5241" s="213" t="s">
        <v>43702</v>
      </c>
      <c r="U5241" s="213" t="s">
        <v>59132</v>
      </c>
    </row>
    <row r="5242" spans="1:21" x14ac:dyDescent="0.25">
      <c r="A5242" s="213" t="s">
        <v>327</v>
      </c>
      <c r="D5242" s="213" t="s">
        <v>43703</v>
      </c>
      <c r="E5242" s="213" t="s">
        <v>43704</v>
      </c>
      <c r="K5242" s="213" t="s">
        <v>58851</v>
      </c>
      <c r="L5242" s="213" t="s">
        <v>58945</v>
      </c>
      <c r="M5242" s="213" t="s">
        <v>59039</v>
      </c>
      <c r="N5242" s="213" t="s">
        <v>43705</v>
      </c>
      <c r="O5242" s="213" t="s">
        <v>43706</v>
      </c>
      <c r="P5242" s="213" t="s">
        <v>43707</v>
      </c>
      <c r="Q5242" s="213" t="s">
        <v>43708</v>
      </c>
      <c r="R5242" s="213" t="s">
        <v>43709</v>
      </c>
      <c r="S5242" s="213" t="s">
        <v>43710</v>
      </c>
      <c r="T5242" s="213" t="s">
        <v>43711</v>
      </c>
      <c r="U5242" s="213" t="s">
        <v>59133</v>
      </c>
    </row>
    <row r="5243" spans="1:21" x14ac:dyDescent="0.25">
      <c r="A5243" s="213" t="s">
        <v>327</v>
      </c>
      <c r="D5243" s="213" t="s">
        <v>43712</v>
      </c>
      <c r="E5243" s="213" t="s">
        <v>43713</v>
      </c>
      <c r="K5243" s="213" t="s">
        <v>58852</v>
      </c>
      <c r="L5243" s="213" t="s">
        <v>58946</v>
      </c>
      <c r="M5243" s="213" t="s">
        <v>59040</v>
      </c>
      <c r="N5243" s="213" t="s">
        <v>43714</v>
      </c>
      <c r="O5243" s="213" t="s">
        <v>43715</v>
      </c>
      <c r="P5243" s="213" t="s">
        <v>43716</v>
      </c>
      <c r="Q5243" s="213" t="s">
        <v>43717</v>
      </c>
      <c r="R5243" s="213" t="s">
        <v>43718</v>
      </c>
      <c r="S5243" s="213" t="s">
        <v>43719</v>
      </c>
      <c r="T5243" s="213" t="s">
        <v>43720</v>
      </c>
      <c r="U5243" s="213" t="s">
        <v>59134</v>
      </c>
    </row>
    <row r="5244" spans="1:21" x14ac:dyDescent="0.25">
      <c r="A5244" s="213" t="s">
        <v>327</v>
      </c>
      <c r="D5244" s="213" t="s">
        <v>43721</v>
      </c>
      <c r="E5244" s="213" t="s">
        <v>43722</v>
      </c>
      <c r="K5244" s="213" t="s">
        <v>58853</v>
      </c>
      <c r="L5244" s="213" t="s">
        <v>58947</v>
      </c>
      <c r="M5244" s="213" t="s">
        <v>59041</v>
      </c>
      <c r="N5244" s="213" t="s">
        <v>43723</v>
      </c>
      <c r="O5244" s="213" t="s">
        <v>43724</v>
      </c>
      <c r="P5244" s="213" t="s">
        <v>43725</v>
      </c>
      <c r="Q5244" s="213" t="s">
        <v>43726</v>
      </c>
      <c r="R5244" s="213" t="s">
        <v>43727</v>
      </c>
      <c r="S5244" s="213" t="s">
        <v>43728</v>
      </c>
      <c r="T5244" s="213" t="s">
        <v>43729</v>
      </c>
      <c r="U5244" s="213" t="s">
        <v>59135</v>
      </c>
    </row>
    <row r="5245" spans="1:21" x14ac:dyDescent="0.25">
      <c r="A5245" s="213" t="s">
        <v>327</v>
      </c>
      <c r="D5245" s="213" t="s">
        <v>43730</v>
      </c>
      <c r="E5245" s="213" t="s">
        <v>43731</v>
      </c>
      <c r="K5245" s="213" t="s">
        <v>58854</v>
      </c>
      <c r="L5245" s="213" t="s">
        <v>58948</v>
      </c>
      <c r="M5245" s="213" t="s">
        <v>59042</v>
      </c>
      <c r="N5245" s="213" t="s">
        <v>43732</v>
      </c>
      <c r="O5245" s="213" t="s">
        <v>43733</v>
      </c>
      <c r="P5245" s="213" t="s">
        <v>43734</v>
      </c>
      <c r="Q5245" s="213" t="s">
        <v>43735</v>
      </c>
      <c r="R5245" s="213" t="s">
        <v>43736</v>
      </c>
      <c r="S5245" s="213" t="s">
        <v>43737</v>
      </c>
      <c r="T5245" s="213" t="s">
        <v>43738</v>
      </c>
      <c r="U5245" s="213" t="s">
        <v>59136</v>
      </c>
    </row>
    <row r="5246" spans="1:21" x14ac:dyDescent="0.25">
      <c r="A5246" s="213" t="s">
        <v>327</v>
      </c>
      <c r="D5246" s="213" t="s">
        <v>43739</v>
      </c>
      <c r="E5246" s="213" t="s">
        <v>43740</v>
      </c>
      <c r="K5246" s="213" t="s">
        <v>58855</v>
      </c>
      <c r="L5246" s="213" t="s">
        <v>58949</v>
      </c>
      <c r="M5246" s="213" t="s">
        <v>59043</v>
      </c>
      <c r="N5246" s="213" t="s">
        <v>43741</v>
      </c>
      <c r="O5246" s="213" t="s">
        <v>43742</v>
      </c>
      <c r="P5246" s="213" t="s">
        <v>43743</v>
      </c>
      <c r="Q5246" s="213" t="s">
        <v>43744</v>
      </c>
      <c r="R5246" s="213" t="s">
        <v>43745</v>
      </c>
      <c r="S5246" s="213" t="s">
        <v>43746</v>
      </c>
      <c r="T5246" s="213" t="s">
        <v>43747</v>
      </c>
      <c r="U5246" s="213" t="s">
        <v>59137</v>
      </c>
    </row>
    <row r="5247" spans="1:21" x14ac:dyDescent="0.25">
      <c r="A5247" s="213" t="s">
        <v>327</v>
      </c>
      <c r="D5247" s="213" t="s">
        <v>43748</v>
      </c>
      <c r="E5247" s="213" t="s">
        <v>43749</v>
      </c>
      <c r="K5247" s="213" t="s">
        <v>58856</v>
      </c>
      <c r="L5247" s="213" t="s">
        <v>58950</v>
      </c>
      <c r="M5247" s="213" t="s">
        <v>59044</v>
      </c>
      <c r="N5247" s="213" t="s">
        <v>43750</v>
      </c>
      <c r="O5247" s="213" t="s">
        <v>43751</v>
      </c>
      <c r="P5247" s="213" t="s">
        <v>43752</v>
      </c>
      <c r="Q5247" s="213" t="s">
        <v>43753</v>
      </c>
      <c r="R5247" s="213" t="s">
        <v>43754</v>
      </c>
      <c r="S5247" s="213" t="s">
        <v>43755</v>
      </c>
      <c r="T5247" s="213" t="s">
        <v>43756</v>
      </c>
      <c r="U5247" s="213" t="s">
        <v>59138</v>
      </c>
    </row>
    <row r="5248" spans="1:21" x14ac:dyDescent="0.25">
      <c r="A5248" s="213" t="s">
        <v>327</v>
      </c>
      <c r="D5248" s="213" t="s">
        <v>43757</v>
      </c>
      <c r="E5248" s="213" t="s">
        <v>43758</v>
      </c>
      <c r="K5248" s="213" t="s">
        <v>58857</v>
      </c>
      <c r="L5248" s="213" t="s">
        <v>58951</v>
      </c>
      <c r="M5248" s="213" t="s">
        <v>59045</v>
      </c>
      <c r="N5248" s="213" t="s">
        <v>43759</v>
      </c>
      <c r="O5248" s="213" t="s">
        <v>43760</v>
      </c>
      <c r="P5248" s="213" t="s">
        <v>43761</v>
      </c>
      <c r="Q5248" s="213" t="s">
        <v>43762</v>
      </c>
      <c r="R5248" s="213" t="s">
        <v>43763</v>
      </c>
      <c r="S5248" s="213" t="s">
        <v>43764</v>
      </c>
      <c r="T5248" s="213" t="s">
        <v>43765</v>
      </c>
      <c r="U5248" s="213" t="s">
        <v>59139</v>
      </c>
    </row>
    <row r="5249" spans="1:21" x14ac:dyDescent="0.25">
      <c r="A5249" s="213" t="s">
        <v>327</v>
      </c>
      <c r="D5249" s="213" t="s">
        <v>43766</v>
      </c>
      <c r="E5249" s="213" t="s">
        <v>43767</v>
      </c>
      <c r="K5249" s="213" t="s">
        <v>58858</v>
      </c>
      <c r="L5249" s="213" t="s">
        <v>58952</v>
      </c>
      <c r="M5249" s="213" t="s">
        <v>59046</v>
      </c>
      <c r="N5249" s="213" t="s">
        <v>43768</v>
      </c>
      <c r="O5249" s="213" t="s">
        <v>43769</v>
      </c>
      <c r="P5249" s="213" t="s">
        <v>43770</v>
      </c>
      <c r="Q5249" s="213" t="s">
        <v>43771</v>
      </c>
      <c r="R5249" s="213" t="s">
        <v>43772</v>
      </c>
      <c r="S5249" s="213" t="s">
        <v>43773</v>
      </c>
      <c r="T5249" s="213" t="s">
        <v>43774</v>
      </c>
      <c r="U5249" s="213" t="s">
        <v>59140</v>
      </c>
    </row>
    <row r="5250" spans="1:21" x14ac:dyDescent="0.25">
      <c r="A5250" s="213" t="s">
        <v>327</v>
      </c>
      <c r="D5250" s="213" t="s">
        <v>43775</v>
      </c>
      <c r="E5250" s="213" t="s">
        <v>43776</v>
      </c>
      <c r="K5250" s="213" t="s">
        <v>58859</v>
      </c>
      <c r="L5250" s="213" t="s">
        <v>58953</v>
      </c>
      <c r="M5250" s="213" t="s">
        <v>59047</v>
      </c>
      <c r="N5250" s="213" t="s">
        <v>43777</v>
      </c>
      <c r="O5250" s="213" t="s">
        <v>43778</v>
      </c>
      <c r="P5250" s="213" t="s">
        <v>43779</v>
      </c>
      <c r="Q5250" s="213" t="s">
        <v>43780</v>
      </c>
      <c r="R5250" s="213" t="s">
        <v>43781</v>
      </c>
      <c r="S5250" s="213" t="s">
        <v>43782</v>
      </c>
      <c r="T5250" s="213" t="s">
        <v>43783</v>
      </c>
      <c r="U5250" s="213" t="s">
        <v>59141</v>
      </c>
    </row>
    <row r="5251" spans="1:21" x14ac:dyDescent="0.25">
      <c r="A5251" s="213" t="s">
        <v>327</v>
      </c>
      <c r="D5251" s="213" t="s">
        <v>43784</v>
      </c>
      <c r="E5251" s="213" t="s">
        <v>43785</v>
      </c>
      <c r="K5251" s="213" t="s">
        <v>58860</v>
      </c>
      <c r="L5251" s="213" t="s">
        <v>58954</v>
      </c>
      <c r="M5251" s="213" t="s">
        <v>59048</v>
      </c>
      <c r="N5251" s="213" t="s">
        <v>43786</v>
      </c>
      <c r="O5251" s="213" t="s">
        <v>43787</v>
      </c>
      <c r="P5251" s="213" t="s">
        <v>43788</v>
      </c>
      <c r="Q5251" s="213" t="s">
        <v>43789</v>
      </c>
      <c r="R5251" s="213" t="s">
        <v>43790</v>
      </c>
      <c r="S5251" s="213" t="s">
        <v>43791</v>
      </c>
      <c r="T5251" s="213" t="s">
        <v>43792</v>
      </c>
      <c r="U5251" s="213" t="s">
        <v>59142</v>
      </c>
    </row>
    <row r="5252" spans="1:21" x14ac:dyDescent="0.25">
      <c r="A5252" s="213" t="s">
        <v>327</v>
      </c>
      <c r="D5252" s="213" t="s">
        <v>43793</v>
      </c>
      <c r="E5252" s="213" t="s">
        <v>43794</v>
      </c>
      <c r="K5252" s="213" t="s">
        <v>58861</v>
      </c>
      <c r="L5252" s="213" t="s">
        <v>58955</v>
      </c>
      <c r="M5252" s="213" t="s">
        <v>59049</v>
      </c>
      <c r="N5252" s="213" t="s">
        <v>43795</v>
      </c>
      <c r="O5252" s="213" t="s">
        <v>43796</v>
      </c>
      <c r="P5252" s="213" t="s">
        <v>43797</v>
      </c>
      <c r="Q5252" s="213" t="s">
        <v>43798</v>
      </c>
      <c r="R5252" s="213" t="s">
        <v>43799</v>
      </c>
      <c r="S5252" s="213" t="s">
        <v>43800</v>
      </c>
      <c r="T5252" s="213" t="s">
        <v>43801</v>
      </c>
      <c r="U5252" s="213" t="s">
        <v>59143</v>
      </c>
    </row>
    <row r="5253" spans="1:21" x14ac:dyDescent="0.25">
      <c r="A5253" s="213" t="s">
        <v>327</v>
      </c>
      <c r="D5253" s="213" t="s">
        <v>43802</v>
      </c>
      <c r="E5253" s="213" t="s">
        <v>43803</v>
      </c>
      <c r="K5253" s="213" t="s">
        <v>58862</v>
      </c>
      <c r="L5253" s="213" t="s">
        <v>58956</v>
      </c>
      <c r="M5253" s="213" t="s">
        <v>59050</v>
      </c>
      <c r="N5253" s="213" t="s">
        <v>43804</v>
      </c>
      <c r="O5253" s="213" t="s">
        <v>43805</v>
      </c>
      <c r="P5253" s="213" t="s">
        <v>43806</v>
      </c>
      <c r="Q5253" s="213" t="s">
        <v>43807</v>
      </c>
      <c r="R5253" s="213" t="s">
        <v>43808</v>
      </c>
      <c r="S5253" s="213" t="s">
        <v>43809</v>
      </c>
      <c r="T5253" s="213" t="s">
        <v>43810</v>
      </c>
      <c r="U5253" s="213" t="s">
        <v>59144</v>
      </c>
    </row>
    <row r="5254" spans="1:21" x14ac:dyDescent="0.25">
      <c r="A5254" s="213" t="s">
        <v>327</v>
      </c>
      <c r="D5254" s="213" t="s">
        <v>43811</v>
      </c>
      <c r="E5254" s="213" t="s">
        <v>43812</v>
      </c>
      <c r="K5254" s="213" t="s">
        <v>58863</v>
      </c>
      <c r="L5254" s="213" t="s">
        <v>58957</v>
      </c>
      <c r="M5254" s="213" t="s">
        <v>59051</v>
      </c>
      <c r="N5254" s="213" t="s">
        <v>43813</v>
      </c>
      <c r="O5254" s="213" t="s">
        <v>43814</v>
      </c>
      <c r="P5254" s="213" t="s">
        <v>43815</v>
      </c>
      <c r="Q5254" s="213" t="s">
        <v>43816</v>
      </c>
      <c r="R5254" s="213" t="s">
        <v>43817</v>
      </c>
      <c r="S5254" s="213" t="s">
        <v>43818</v>
      </c>
      <c r="T5254" s="213" t="s">
        <v>43819</v>
      </c>
      <c r="U5254" s="213" t="s">
        <v>59145</v>
      </c>
    </row>
    <row r="5255" spans="1:21" x14ac:dyDescent="0.25">
      <c r="A5255" s="213" t="s">
        <v>327</v>
      </c>
      <c r="D5255" s="213" t="s">
        <v>43820</v>
      </c>
      <c r="E5255" s="213" t="s">
        <v>43821</v>
      </c>
      <c r="K5255" s="213" t="s">
        <v>58864</v>
      </c>
      <c r="L5255" s="213" t="s">
        <v>58958</v>
      </c>
      <c r="M5255" s="213" t="s">
        <v>59052</v>
      </c>
      <c r="N5255" s="213" t="s">
        <v>43822</v>
      </c>
      <c r="O5255" s="213" t="s">
        <v>43823</v>
      </c>
      <c r="P5255" s="213" t="s">
        <v>43824</v>
      </c>
      <c r="Q5255" s="213" t="s">
        <v>43825</v>
      </c>
      <c r="R5255" s="213" t="s">
        <v>43826</v>
      </c>
      <c r="S5255" s="213" t="s">
        <v>43827</v>
      </c>
      <c r="T5255" s="213" t="s">
        <v>43828</v>
      </c>
      <c r="U5255" s="213" t="s">
        <v>59146</v>
      </c>
    </row>
    <row r="5256" spans="1:21" x14ac:dyDescent="0.25">
      <c r="A5256" s="213" t="s">
        <v>327</v>
      </c>
      <c r="D5256" s="213" t="s">
        <v>43829</v>
      </c>
      <c r="E5256" s="213" t="s">
        <v>43830</v>
      </c>
      <c r="K5256" s="213" t="s">
        <v>58865</v>
      </c>
      <c r="L5256" s="213" t="s">
        <v>58959</v>
      </c>
      <c r="M5256" s="213" t="s">
        <v>59053</v>
      </c>
      <c r="N5256" s="213" t="s">
        <v>43831</v>
      </c>
      <c r="O5256" s="213" t="s">
        <v>43832</v>
      </c>
      <c r="P5256" s="213" t="s">
        <v>43833</v>
      </c>
      <c r="Q5256" s="213" t="s">
        <v>43834</v>
      </c>
      <c r="R5256" s="213" t="s">
        <v>43835</v>
      </c>
      <c r="S5256" s="213" t="s">
        <v>43836</v>
      </c>
      <c r="T5256" s="213" t="s">
        <v>43837</v>
      </c>
      <c r="U5256" s="213" t="s">
        <v>59147</v>
      </c>
    </row>
    <row r="5257" spans="1:21" x14ac:dyDescent="0.25">
      <c r="A5257" s="213" t="s">
        <v>327</v>
      </c>
      <c r="D5257" s="213" t="s">
        <v>43838</v>
      </c>
      <c r="E5257" s="213" t="s">
        <v>43839</v>
      </c>
      <c r="K5257" s="213" t="s">
        <v>58866</v>
      </c>
      <c r="L5257" s="213" t="s">
        <v>58960</v>
      </c>
      <c r="M5257" s="213" t="s">
        <v>59054</v>
      </c>
      <c r="N5257" s="213" t="s">
        <v>43840</v>
      </c>
      <c r="O5257" s="213" t="s">
        <v>43841</v>
      </c>
      <c r="P5257" s="213" t="s">
        <v>43842</v>
      </c>
      <c r="Q5257" s="213" t="s">
        <v>43843</v>
      </c>
      <c r="R5257" s="213" t="s">
        <v>43844</v>
      </c>
      <c r="S5257" s="213" t="s">
        <v>43845</v>
      </c>
      <c r="T5257" s="213" t="s">
        <v>43846</v>
      </c>
      <c r="U5257" s="213" t="s">
        <v>59148</v>
      </c>
    </row>
    <row r="5258" spans="1:21" x14ac:dyDescent="0.25">
      <c r="A5258" s="213" t="s">
        <v>327</v>
      </c>
      <c r="D5258" s="213" t="s">
        <v>43847</v>
      </c>
      <c r="E5258" s="213" t="s">
        <v>43848</v>
      </c>
      <c r="K5258" s="213" t="s">
        <v>58867</v>
      </c>
      <c r="L5258" s="213" t="s">
        <v>58961</v>
      </c>
      <c r="M5258" s="213" t="s">
        <v>59055</v>
      </c>
      <c r="N5258" s="213" t="s">
        <v>43849</v>
      </c>
      <c r="O5258" s="213" t="s">
        <v>43850</v>
      </c>
      <c r="P5258" s="213" t="s">
        <v>43851</v>
      </c>
      <c r="Q5258" s="213" t="s">
        <v>43852</v>
      </c>
      <c r="R5258" s="213" t="s">
        <v>43853</v>
      </c>
      <c r="S5258" s="213" t="s">
        <v>43854</v>
      </c>
      <c r="T5258" s="213" t="s">
        <v>43855</v>
      </c>
      <c r="U5258" s="213" t="s">
        <v>59149</v>
      </c>
    </row>
    <row r="5259" spans="1:21" x14ac:dyDescent="0.25">
      <c r="A5259" s="213" t="s">
        <v>327</v>
      </c>
      <c r="D5259" s="213" t="s">
        <v>43856</v>
      </c>
      <c r="E5259" s="213" t="s">
        <v>43857</v>
      </c>
      <c r="K5259" s="213" t="s">
        <v>58868</v>
      </c>
      <c r="L5259" s="213" t="s">
        <v>58962</v>
      </c>
      <c r="M5259" s="213" t="s">
        <v>59056</v>
      </c>
      <c r="N5259" s="213" t="s">
        <v>43858</v>
      </c>
      <c r="O5259" s="213" t="s">
        <v>43859</v>
      </c>
      <c r="P5259" s="213" t="s">
        <v>43860</v>
      </c>
      <c r="Q5259" s="213" t="s">
        <v>43861</v>
      </c>
      <c r="R5259" s="213" t="s">
        <v>43862</v>
      </c>
      <c r="S5259" s="213" t="s">
        <v>43863</v>
      </c>
      <c r="T5259" s="213" t="s">
        <v>43864</v>
      </c>
      <c r="U5259" s="213" t="s">
        <v>59150</v>
      </c>
    </row>
    <row r="5260" spans="1:21" x14ac:dyDescent="0.25">
      <c r="A5260" s="213" t="s">
        <v>327</v>
      </c>
      <c r="D5260" s="213" t="s">
        <v>43865</v>
      </c>
      <c r="E5260" s="213" t="s">
        <v>43866</v>
      </c>
      <c r="K5260" s="213" t="s">
        <v>58869</v>
      </c>
      <c r="L5260" s="213" t="s">
        <v>58963</v>
      </c>
      <c r="M5260" s="213" t="s">
        <v>59057</v>
      </c>
      <c r="N5260" s="213" t="s">
        <v>43867</v>
      </c>
      <c r="O5260" s="213" t="s">
        <v>43868</v>
      </c>
      <c r="P5260" s="213" t="s">
        <v>43869</v>
      </c>
      <c r="Q5260" s="213" t="s">
        <v>43870</v>
      </c>
      <c r="R5260" s="213" t="s">
        <v>43871</v>
      </c>
      <c r="S5260" s="213" t="s">
        <v>43872</v>
      </c>
      <c r="T5260" s="213" t="s">
        <v>43873</v>
      </c>
      <c r="U5260" s="213" t="s">
        <v>59151</v>
      </c>
    </row>
    <row r="5261" spans="1:21" x14ac:dyDescent="0.25">
      <c r="A5261" s="213" t="s">
        <v>327</v>
      </c>
      <c r="D5261" s="213" t="s">
        <v>43874</v>
      </c>
      <c r="E5261" s="213" t="s">
        <v>43875</v>
      </c>
      <c r="K5261" s="213" t="s">
        <v>58870</v>
      </c>
      <c r="L5261" s="213" t="s">
        <v>58964</v>
      </c>
      <c r="M5261" s="213" t="s">
        <v>59058</v>
      </c>
      <c r="N5261" s="213" t="s">
        <v>43876</v>
      </c>
      <c r="O5261" s="213" t="s">
        <v>43877</v>
      </c>
      <c r="P5261" s="213" t="s">
        <v>43878</v>
      </c>
      <c r="Q5261" s="213" t="s">
        <v>43879</v>
      </c>
      <c r="R5261" s="213" t="s">
        <v>43880</v>
      </c>
      <c r="S5261" s="213" t="s">
        <v>43881</v>
      </c>
      <c r="T5261" s="213" t="s">
        <v>43882</v>
      </c>
      <c r="U5261" s="213" t="s">
        <v>59152</v>
      </c>
    </row>
    <row r="5262" spans="1:21" x14ac:dyDescent="0.25">
      <c r="A5262" s="213" t="s">
        <v>327</v>
      </c>
      <c r="D5262" s="213" t="s">
        <v>43883</v>
      </c>
      <c r="E5262" s="213" t="s">
        <v>43884</v>
      </c>
      <c r="K5262" s="213" t="s">
        <v>58871</v>
      </c>
      <c r="L5262" s="213" t="s">
        <v>58965</v>
      </c>
      <c r="M5262" s="213" t="s">
        <v>59059</v>
      </c>
      <c r="N5262" s="213" t="s">
        <v>43885</v>
      </c>
      <c r="O5262" s="213" t="s">
        <v>43886</v>
      </c>
      <c r="P5262" s="213" t="s">
        <v>43887</v>
      </c>
      <c r="Q5262" s="213" t="s">
        <v>43888</v>
      </c>
      <c r="R5262" s="213" t="s">
        <v>43889</v>
      </c>
      <c r="S5262" s="213" t="s">
        <v>43890</v>
      </c>
      <c r="T5262" s="213" t="s">
        <v>43891</v>
      </c>
      <c r="U5262" s="213" t="s">
        <v>59153</v>
      </c>
    </row>
    <row r="5263" spans="1:21" x14ac:dyDescent="0.25">
      <c r="A5263" s="213" t="s">
        <v>327</v>
      </c>
      <c r="D5263" s="213" t="s">
        <v>43892</v>
      </c>
      <c r="E5263" s="213" t="s">
        <v>43893</v>
      </c>
      <c r="K5263" s="213" t="s">
        <v>58872</v>
      </c>
      <c r="L5263" s="213" t="s">
        <v>58966</v>
      </c>
      <c r="M5263" s="213" t="s">
        <v>59060</v>
      </c>
      <c r="N5263" s="213" t="s">
        <v>43894</v>
      </c>
      <c r="O5263" s="213" t="s">
        <v>43895</v>
      </c>
      <c r="P5263" s="213" t="s">
        <v>43896</v>
      </c>
      <c r="Q5263" s="213" t="s">
        <v>43897</v>
      </c>
      <c r="R5263" s="213" t="s">
        <v>43898</v>
      </c>
      <c r="S5263" s="213" t="s">
        <v>43899</v>
      </c>
      <c r="T5263" s="213" t="s">
        <v>43900</v>
      </c>
      <c r="U5263" s="213" t="s">
        <v>59154</v>
      </c>
    </row>
    <row r="5264" spans="1:21" x14ac:dyDescent="0.25">
      <c r="A5264" s="213" t="s">
        <v>327</v>
      </c>
      <c r="D5264" s="213" t="s">
        <v>43901</v>
      </c>
      <c r="E5264" s="213" t="s">
        <v>43902</v>
      </c>
      <c r="K5264" s="213" t="s">
        <v>58873</v>
      </c>
      <c r="L5264" s="213" t="s">
        <v>58967</v>
      </c>
      <c r="M5264" s="213" t="s">
        <v>59061</v>
      </c>
      <c r="N5264" s="213" t="s">
        <v>43903</v>
      </c>
      <c r="O5264" s="213" t="s">
        <v>43904</v>
      </c>
      <c r="P5264" s="213" t="s">
        <v>43905</v>
      </c>
      <c r="Q5264" s="213" t="s">
        <v>43906</v>
      </c>
      <c r="R5264" s="213" t="s">
        <v>43907</v>
      </c>
      <c r="S5264" s="213" t="s">
        <v>43908</v>
      </c>
      <c r="T5264" s="213" t="s">
        <v>43909</v>
      </c>
      <c r="U5264" s="213" t="s">
        <v>59155</v>
      </c>
    </row>
    <row r="5265" spans="1:21" x14ac:dyDescent="0.25">
      <c r="A5265" s="213" t="s">
        <v>327</v>
      </c>
      <c r="D5265" s="213" t="s">
        <v>43910</v>
      </c>
      <c r="E5265" s="213" t="s">
        <v>43911</v>
      </c>
      <c r="K5265" s="213" t="s">
        <v>58874</v>
      </c>
      <c r="L5265" s="213" t="s">
        <v>58968</v>
      </c>
      <c r="M5265" s="213" t="s">
        <v>59062</v>
      </c>
      <c r="N5265" s="213" t="s">
        <v>43912</v>
      </c>
      <c r="O5265" s="213" t="s">
        <v>43913</v>
      </c>
      <c r="P5265" s="213" t="s">
        <v>43914</v>
      </c>
      <c r="Q5265" s="213" t="s">
        <v>43915</v>
      </c>
      <c r="R5265" s="213" t="s">
        <v>43916</v>
      </c>
      <c r="S5265" s="213" t="s">
        <v>43917</v>
      </c>
      <c r="T5265" s="213" t="s">
        <v>43918</v>
      </c>
      <c r="U5265" s="213" t="s">
        <v>59156</v>
      </c>
    </row>
    <row r="5266" spans="1:21" x14ac:dyDescent="0.25">
      <c r="A5266" s="213" t="s">
        <v>327</v>
      </c>
      <c r="D5266" s="213" t="s">
        <v>43919</v>
      </c>
      <c r="E5266" s="213" t="s">
        <v>43920</v>
      </c>
      <c r="K5266" s="213" t="s">
        <v>58875</v>
      </c>
      <c r="L5266" s="213" t="s">
        <v>58969</v>
      </c>
      <c r="M5266" s="213" t="s">
        <v>59063</v>
      </c>
      <c r="N5266" s="213" t="s">
        <v>43921</v>
      </c>
      <c r="O5266" s="213" t="s">
        <v>43922</v>
      </c>
      <c r="P5266" s="213" t="s">
        <v>43923</v>
      </c>
      <c r="Q5266" s="213" t="s">
        <v>43924</v>
      </c>
      <c r="R5266" s="213" t="s">
        <v>43925</v>
      </c>
      <c r="S5266" s="213" t="s">
        <v>43926</v>
      </c>
      <c r="T5266" s="213" t="s">
        <v>43927</v>
      </c>
      <c r="U5266" s="213" t="s">
        <v>59157</v>
      </c>
    </row>
    <row r="5267" spans="1:21" x14ac:dyDescent="0.25">
      <c r="A5267" s="213" t="s">
        <v>327</v>
      </c>
      <c r="D5267" s="213" t="s">
        <v>43928</v>
      </c>
      <c r="E5267" s="213" t="s">
        <v>43929</v>
      </c>
      <c r="K5267" s="213" t="s">
        <v>58876</v>
      </c>
      <c r="L5267" s="213" t="s">
        <v>58970</v>
      </c>
      <c r="M5267" s="213" t="s">
        <v>59064</v>
      </c>
      <c r="N5267" s="213" t="s">
        <v>43930</v>
      </c>
      <c r="O5267" s="213" t="s">
        <v>43931</v>
      </c>
      <c r="P5267" s="213" t="s">
        <v>43932</v>
      </c>
      <c r="Q5267" s="213" t="s">
        <v>43933</v>
      </c>
      <c r="R5267" s="213" t="s">
        <v>43934</v>
      </c>
      <c r="S5267" s="213" t="s">
        <v>43935</v>
      </c>
      <c r="T5267" s="213" t="s">
        <v>43936</v>
      </c>
      <c r="U5267" s="213" t="s">
        <v>59158</v>
      </c>
    </row>
    <row r="5268" spans="1:21" x14ac:dyDescent="0.25">
      <c r="A5268" s="213" t="s">
        <v>327</v>
      </c>
      <c r="D5268" s="213" t="s">
        <v>43937</v>
      </c>
      <c r="E5268" s="213" t="s">
        <v>43938</v>
      </c>
      <c r="K5268" s="213" t="s">
        <v>58877</v>
      </c>
      <c r="L5268" s="213" t="s">
        <v>58971</v>
      </c>
      <c r="M5268" s="213" t="s">
        <v>59065</v>
      </c>
      <c r="N5268" s="213" t="s">
        <v>43939</v>
      </c>
      <c r="O5268" s="213" t="s">
        <v>43940</v>
      </c>
      <c r="P5268" s="213" t="s">
        <v>43941</v>
      </c>
      <c r="Q5268" s="213" t="s">
        <v>43942</v>
      </c>
      <c r="R5268" s="213" t="s">
        <v>43943</v>
      </c>
      <c r="S5268" s="213" t="s">
        <v>43944</v>
      </c>
      <c r="T5268" s="213" t="s">
        <v>43945</v>
      </c>
      <c r="U5268" s="213" t="s">
        <v>59159</v>
      </c>
    </row>
    <row r="5269" spans="1:21" x14ac:dyDescent="0.25">
      <c r="A5269" s="213" t="s">
        <v>327</v>
      </c>
      <c r="D5269" s="213" t="s">
        <v>43946</v>
      </c>
      <c r="E5269" s="213" t="s">
        <v>43947</v>
      </c>
      <c r="K5269" s="213" t="s">
        <v>58878</v>
      </c>
      <c r="L5269" s="213" t="s">
        <v>58972</v>
      </c>
      <c r="M5269" s="213" t="s">
        <v>59066</v>
      </c>
      <c r="N5269" s="213" t="s">
        <v>43948</v>
      </c>
      <c r="O5269" s="213" t="s">
        <v>43949</v>
      </c>
      <c r="P5269" s="213" t="s">
        <v>43950</v>
      </c>
      <c r="Q5269" s="213" t="s">
        <v>43951</v>
      </c>
      <c r="R5269" s="213" t="s">
        <v>43952</v>
      </c>
      <c r="S5269" s="213" t="s">
        <v>43953</v>
      </c>
      <c r="T5269" s="213" t="s">
        <v>43954</v>
      </c>
      <c r="U5269" s="213" t="s">
        <v>59160</v>
      </c>
    </row>
    <row r="5270" spans="1:21" x14ac:dyDescent="0.25">
      <c r="A5270" s="213" t="s">
        <v>327</v>
      </c>
      <c r="D5270" s="213" t="s">
        <v>43955</v>
      </c>
      <c r="E5270" s="213" t="s">
        <v>43956</v>
      </c>
      <c r="K5270" s="213" t="s">
        <v>58879</v>
      </c>
      <c r="L5270" s="213" t="s">
        <v>58973</v>
      </c>
      <c r="M5270" s="213" t="s">
        <v>59067</v>
      </c>
      <c r="N5270" s="213" t="s">
        <v>43957</v>
      </c>
      <c r="O5270" s="213" t="s">
        <v>43958</v>
      </c>
      <c r="P5270" s="213" t="s">
        <v>43959</v>
      </c>
      <c r="Q5270" s="213" t="s">
        <v>43960</v>
      </c>
      <c r="R5270" s="213" t="s">
        <v>43961</v>
      </c>
      <c r="S5270" s="213" t="s">
        <v>43962</v>
      </c>
      <c r="T5270" s="213" t="s">
        <v>43963</v>
      </c>
      <c r="U5270" s="213" t="s">
        <v>59161</v>
      </c>
    </row>
    <row r="5271" spans="1:21" x14ac:dyDescent="0.25">
      <c r="A5271" s="213" t="s">
        <v>327</v>
      </c>
      <c r="D5271" s="213" t="s">
        <v>43964</v>
      </c>
      <c r="E5271" s="213" t="s">
        <v>43965</v>
      </c>
      <c r="K5271" s="213" t="s">
        <v>58880</v>
      </c>
      <c r="L5271" s="213" t="s">
        <v>58974</v>
      </c>
      <c r="M5271" s="213" t="s">
        <v>59068</v>
      </c>
      <c r="N5271" s="213" t="s">
        <v>43966</v>
      </c>
      <c r="O5271" s="213" t="s">
        <v>43967</v>
      </c>
      <c r="P5271" s="213" t="s">
        <v>43968</v>
      </c>
      <c r="Q5271" s="213" t="s">
        <v>43969</v>
      </c>
      <c r="R5271" s="213" t="s">
        <v>43970</v>
      </c>
      <c r="S5271" s="213" t="s">
        <v>43971</v>
      </c>
      <c r="T5271" s="213" t="s">
        <v>43972</v>
      </c>
      <c r="U5271" s="213" t="s">
        <v>59162</v>
      </c>
    </row>
    <row r="5272" spans="1:21" x14ac:dyDescent="0.25">
      <c r="A5272" s="213" t="s">
        <v>327</v>
      </c>
      <c r="D5272" s="213" t="s">
        <v>43973</v>
      </c>
      <c r="E5272" s="213" t="s">
        <v>43974</v>
      </c>
      <c r="K5272" s="213" t="s">
        <v>58881</v>
      </c>
      <c r="L5272" s="213" t="s">
        <v>58975</v>
      </c>
      <c r="M5272" s="213" t="s">
        <v>59069</v>
      </c>
      <c r="N5272" s="213" t="s">
        <v>43975</v>
      </c>
      <c r="O5272" s="213" t="s">
        <v>43976</v>
      </c>
      <c r="P5272" s="213" t="s">
        <v>43977</v>
      </c>
      <c r="Q5272" s="213" t="s">
        <v>43978</v>
      </c>
      <c r="R5272" s="213" t="s">
        <v>43979</v>
      </c>
      <c r="S5272" s="213" t="s">
        <v>43980</v>
      </c>
      <c r="T5272" s="213" t="s">
        <v>43981</v>
      </c>
      <c r="U5272" s="213" t="s">
        <v>59163</v>
      </c>
    </row>
    <row r="5273" spans="1:21" x14ac:dyDescent="0.25">
      <c r="A5273" s="213" t="s">
        <v>327</v>
      </c>
      <c r="D5273" s="213" t="s">
        <v>43982</v>
      </c>
      <c r="E5273" s="213" t="s">
        <v>43983</v>
      </c>
      <c r="K5273" s="213" t="s">
        <v>58882</v>
      </c>
      <c r="L5273" s="213" t="s">
        <v>58976</v>
      </c>
      <c r="M5273" s="213" t="s">
        <v>59070</v>
      </c>
      <c r="N5273" s="213" t="s">
        <v>43984</v>
      </c>
      <c r="O5273" s="213" t="s">
        <v>43985</v>
      </c>
      <c r="P5273" s="213" t="s">
        <v>43986</v>
      </c>
      <c r="Q5273" s="213" t="s">
        <v>43987</v>
      </c>
      <c r="R5273" s="213" t="s">
        <v>43988</v>
      </c>
      <c r="S5273" s="213" t="s">
        <v>43989</v>
      </c>
      <c r="T5273" s="213" t="s">
        <v>43990</v>
      </c>
      <c r="U5273" s="213" t="s">
        <v>59164</v>
      </c>
    </row>
    <row r="5274" spans="1:21" x14ac:dyDescent="0.25">
      <c r="A5274" s="213" t="s">
        <v>327</v>
      </c>
      <c r="D5274" s="213" t="s">
        <v>43991</v>
      </c>
      <c r="E5274" s="213" t="s">
        <v>43992</v>
      </c>
      <c r="K5274" s="213" t="s">
        <v>58883</v>
      </c>
      <c r="L5274" s="213" t="s">
        <v>58977</v>
      </c>
      <c r="M5274" s="213" t="s">
        <v>59071</v>
      </c>
      <c r="N5274" s="213" t="s">
        <v>43993</v>
      </c>
      <c r="O5274" s="213" t="s">
        <v>43994</v>
      </c>
      <c r="P5274" s="213" t="s">
        <v>43995</v>
      </c>
      <c r="Q5274" s="213" t="s">
        <v>43996</v>
      </c>
      <c r="R5274" s="213" t="s">
        <v>43997</v>
      </c>
      <c r="S5274" s="213" t="s">
        <v>43998</v>
      </c>
      <c r="T5274" s="213" t="s">
        <v>43999</v>
      </c>
      <c r="U5274" s="213" t="s">
        <v>59165</v>
      </c>
    </row>
    <row r="5275" spans="1:21" x14ac:dyDescent="0.25">
      <c r="A5275" s="213" t="s">
        <v>327</v>
      </c>
      <c r="D5275" s="213" t="s">
        <v>44000</v>
      </c>
      <c r="E5275" s="213" t="s">
        <v>44001</v>
      </c>
      <c r="K5275" s="213" t="s">
        <v>58884</v>
      </c>
      <c r="L5275" s="213" t="s">
        <v>58978</v>
      </c>
      <c r="M5275" s="213" t="s">
        <v>59072</v>
      </c>
      <c r="N5275" s="213" t="s">
        <v>44002</v>
      </c>
      <c r="O5275" s="213" t="s">
        <v>44003</v>
      </c>
      <c r="P5275" s="213" t="s">
        <v>44004</v>
      </c>
      <c r="Q5275" s="213" t="s">
        <v>44005</v>
      </c>
      <c r="R5275" s="213" t="s">
        <v>44006</v>
      </c>
      <c r="S5275" s="213" t="s">
        <v>44007</v>
      </c>
      <c r="T5275" s="213" t="s">
        <v>44008</v>
      </c>
      <c r="U5275" s="213" t="s">
        <v>59166</v>
      </c>
    </row>
    <row r="5276" spans="1:21" x14ac:dyDescent="0.25">
      <c r="A5276" s="213" t="s">
        <v>327</v>
      </c>
      <c r="D5276" s="213" t="s">
        <v>44009</v>
      </c>
      <c r="E5276" s="213" t="s">
        <v>44010</v>
      </c>
      <c r="K5276" s="213" t="s">
        <v>58885</v>
      </c>
      <c r="L5276" s="213" t="s">
        <v>58979</v>
      </c>
      <c r="M5276" s="213" t="s">
        <v>59073</v>
      </c>
      <c r="N5276" s="213" t="s">
        <v>44011</v>
      </c>
      <c r="O5276" s="213" t="s">
        <v>44012</v>
      </c>
      <c r="P5276" s="213" t="s">
        <v>44013</v>
      </c>
      <c r="Q5276" s="213" t="s">
        <v>44014</v>
      </c>
      <c r="R5276" s="213" t="s">
        <v>44015</v>
      </c>
      <c r="S5276" s="213" t="s">
        <v>44016</v>
      </c>
      <c r="T5276" s="213" t="s">
        <v>44017</v>
      </c>
      <c r="U5276" s="213" t="s">
        <v>59167</v>
      </c>
    </row>
    <row r="5277" spans="1:21" x14ac:dyDescent="0.25">
      <c r="A5277" s="213" t="s">
        <v>327</v>
      </c>
      <c r="D5277" s="213" t="s">
        <v>44018</v>
      </c>
      <c r="E5277" s="213" t="s">
        <v>44019</v>
      </c>
      <c r="K5277" s="213" t="s">
        <v>58886</v>
      </c>
      <c r="L5277" s="213" t="s">
        <v>58980</v>
      </c>
      <c r="M5277" s="213" t="s">
        <v>59074</v>
      </c>
      <c r="N5277" s="213" t="s">
        <v>44020</v>
      </c>
      <c r="O5277" s="213" t="s">
        <v>44021</v>
      </c>
      <c r="P5277" s="213" t="s">
        <v>44022</v>
      </c>
      <c r="Q5277" s="213" t="s">
        <v>44023</v>
      </c>
      <c r="R5277" s="213" t="s">
        <v>44024</v>
      </c>
      <c r="S5277" s="213" t="s">
        <v>44025</v>
      </c>
      <c r="T5277" s="213" t="s">
        <v>44026</v>
      </c>
      <c r="U5277" s="213" t="s">
        <v>59168</v>
      </c>
    </row>
    <row r="5278" spans="1:21" x14ac:dyDescent="0.25">
      <c r="A5278" s="213" t="s">
        <v>327</v>
      </c>
      <c r="D5278" s="213" t="s">
        <v>44027</v>
      </c>
      <c r="E5278" s="213" t="s">
        <v>44028</v>
      </c>
      <c r="K5278" s="213" t="s">
        <v>58887</v>
      </c>
      <c r="L5278" s="213" t="s">
        <v>58981</v>
      </c>
      <c r="M5278" s="213" t="s">
        <v>59075</v>
      </c>
      <c r="N5278" s="213" t="s">
        <v>44029</v>
      </c>
      <c r="O5278" s="213" t="s">
        <v>44030</v>
      </c>
      <c r="P5278" s="213" t="s">
        <v>44031</v>
      </c>
      <c r="Q5278" s="213" t="s">
        <v>44032</v>
      </c>
      <c r="R5278" s="213" t="s">
        <v>44033</v>
      </c>
      <c r="S5278" s="213" t="s">
        <v>44034</v>
      </c>
      <c r="T5278" s="213" t="s">
        <v>44035</v>
      </c>
      <c r="U5278" s="213" t="s">
        <v>59169</v>
      </c>
    </row>
    <row r="5279" spans="1:21" x14ac:dyDescent="0.25">
      <c r="A5279" s="213" t="s">
        <v>327</v>
      </c>
      <c r="D5279" s="213" t="s">
        <v>44036</v>
      </c>
      <c r="E5279" s="213" t="s">
        <v>44037</v>
      </c>
      <c r="K5279" s="213" t="s">
        <v>58888</v>
      </c>
      <c r="L5279" s="213" t="s">
        <v>58982</v>
      </c>
      <c r="M5279" s="213" t="s">
        <v>59076</v>
      </c>
      <c r="N5279" s="213" t="s">
        <v>44038</v>
      </c>
      <c r="O5279" s="213" t="s">
        <v>44039</v>
      </c>
      <c r="P5279" s="213" t="s">
        <v>44040</v>
      </c>
      <c r="Q5279" s="213" t="s">
        <v>44041</v>
      </c>
      <c r="R5279" s="213" t="s">
        <v>44042</v>
      </c>
      <c r="S5279" s="213" t="s">
        <v>44043</v>
      </c>
      <c r="T5279" s="213" t="s">
        <v>44044</v>
      </c>
      <c r="U5279" s="213" t="s">
        <v>59170</v>
      </c>
    </row>
    <row r="5280" spans="1:21" x14ac:dyDescent="0.25">
      <c r="A5280" s="213" t="s">
        <v>327</v>
      </c>
      <c r="D5280" s="213" t="s">
        <v>44045</v>
      </c>
      <c r="E5280" s="213" t="s">
        <v>44046</v>
      </c>
      <c r="K5280" s="213" t="s">
        <v>58889</v>
      </c>
      <c r="L5280" s="213" t="s">
        <v>58983</v>
      </c>
      <c r="M5280" s="213" t="s">
        <v>59077</v>
      </c>
      <c r="N5280" s="213" t="s">
        <v>44047</v>
      </c>
      <c r="O5280" s="213" t="s">
        <v>44048</v>
      </c>
      <c r="P5280" s="213" t="s">
        <v>44049</v>
      </c>
      <c r="Q5280" s="213" t="s">
        <v>44050</v>
      </c>
      <c r="R5280" s="213" t="s">
        <v>44051</v>
      </c>
      <c r="S5280" s="213" t="s">
        <v>44052</v>
      </c>
      <c r="T5280" s="213" t="s">
        <v>44053</v>
      </c>
      <c r="U5280" s="213" t="s">
        <v>59171</v>
      </c>
    </row>
    <row r="5281" spans="1:21" x14ac:dyDescent="0.25">
      <c r="A5281" s="213" t="s">
        <v>327</v>
      </c>
      <c r="D5281" s="213" t="s">
        <v>44054</v>
      </c>
      <c r="E5281" s="213" t="s">
        <v>44055</v>
      </c>
      <c r="K5281" s="213" t="s">
        <v>58890</v>
      </c>
      <c r="L5281" s="213" t="s">
        <v>58984</v>
      </c>
      <c r="M5281" s="213" t="s">
        <v>59078</v>
      </c>
      <c r="N5281" s="213" t="s">
        <v>44056</v>
      </c>
      <c r="O5281" s="213" t="s">
        <v>44057</v>
      </c>
      <c r="P5281" s="213" t="s">
        <v>44058</v>
      </c>
      <c r="Q5281" s="213" t="s">
        <v>44059</v>
      </c>
      <c r="R5281" s="213" t="s">
        <v>44060</v>
      </c>
      <c r="S5281" s="213" t="s">
        <v>44061</v>
      </c>
      <c r="T5281" s="213" t="s">
        <v>44062</v>
      </c>
      <c r="U5281" s="213" t="s">
        <v>59172</v>
      </c>
    </row>
    <row r="5282" spans="1:21" x14ac:dyDescent="0.25">
      <c r="A5282" s="213" t="s">
        <v>327</v>
      </c>
      <c r="D5282" s="213" t="s">
        <v>44063</v>
      </c>
      <c r="E5282" s="213" t="s">
        <v>44064</v>
      </c>
      <c r="K5282" s="213" t="s">
        <v>58891</v>
      </c>
      <c r="L5282" s="213" t="s">
        <v>58985</v>
      </c>
      <c r="M5282" s="213" t="s">
        <v>59079</v>
      </c>
      <c r="N5282" s="213" t="s">
        <v>44065</v>
      </c>
      <c r="O5282" s="213" t="s">
        <v>44066</v>
      </c>
      <c r="P5282" s="213" t="s">
        <v>44067</v>
      </c>
      <c r="Q5282" s="213" t="s">
        <v>44068</v>
      </c>
      <c r="R5282" s="213" t="s">
        <v>44069</v>
      </c>
      <c r="S5282" s="213" t="s">
        <v>44070</v>
      </c>
      <c r="T5282" s="213" t="s">
        <v>44071</v>
      </c>
      <c r="U5282" s="213" t="s">
        <v>59173</v>
      </c>
    </row>
    <row r="5283" spans="1:21" x14ac:dyDescent="0.25">
      <c r="A5283" s="213" t="s">
        <v>327</v>
      </c>
      <c r="D5283" s="213" t="s">
        <v>44072</v>
      </c>
      <c r="E5283" s="213" t="s">
        <v>44073</v>
      </c>
      <c r="K5283" s="213" t="s">
        <v>58892</v>
      </c>
      <c r="L5283" s="213" t="s">
        <v>58986</v>
      </c>
      <c r="M5283" s="213" t="s">
        <v>59080</v>
      </c>
      <c r="N5283" s="213" t="s">
        <v>44074</v>
      </c>
      <c r="O5283" s="213" t="s">
        <v>44075</v>
      </c>
      <c r="P5283" s="213" t="s">
        <v>44076</v>
      </c>
      <c r="Q5283" s="213" t="s">
        <v>44077</v>
      </c>
      <c r="R5283" s="213" t="s">
        <v>44078</v>
      </c>
      <c r="S5283" s="213" t="s">
        <v>44079</v>
      </c>
      <c r="T5283" s="213" t="s">
        <v>44080</v>
      </c>
      <c r="U5283" s="213" t="s">
        <v>59174</v>
      </c>
    </row>
    <row r="5284" spans="1:21" x14ac:dyDescent="0.25">
      <c r="A5284" s="213" t="s">
        <v>327</v>
      </c>
      <c r="D5284" s="213" t="s">
        <v>44081</v>
      </c>
      <c r="E5284" s="213" t="s">
        <v>44082</v>
      </c>
      <c r="K5284" s="213" t="s">
        <v>58893</v>
      </c>
      <c r="L5284" s="213" t="s">
        <v>58987</v>
      </c>
      <c r="M5284" s="213" t="s">
        <v>59081</v>
      </c>
      <c r="N5284" s="213" t="s">
        <v>44083</v>
      </c>
      <c r="O5284" s="213" t="s">
        <v>44084</v>
      </c>
      <c r="P5284" s="213" t="s">
        <v>44085</v>
      </c>
      <c r="Q5284" s="213" t="s">
        <v>44086</v>
      </c>
      <c r="R5284" s="213" t="s">
        <v>44087</v>
      </c>
      <c r="S5284" s="213" t="s">
        <v>44088</v>
      </c>
      <c r="T5284" s="213" t="s">
        <v>44089</v>
      </c>
      <c r="U5284" s="213" t="s">
        <v>59175</v>
      </c>
    </row>
    <row r="5285" spans="1:21" x14ac:dyDescent="0.25">
      <c r="A5285" s="213" t="s">
        <v>327</v>
      </c>
      <c r="D5285" s="213" t="s">
        <v>44090</v>
      </c>
      <c r="E5285" s="213" t="s">
        <v>44091</v>
      </c>
      <c r="K5285" s="213" t="s">
        <v>58894</v>
      </c>
      <c r="L5285" s="213" t="s">
        <v>58988</v>
      </c>
      <c r="M5285" s="213" t="s">
        <v>59082</v>
      </c>
      <c r="N5285" s="213" t="s">
        <v>44092</v>
      </c>
      <c r="O5285" s="213" t="s">
        <v>44093</v>
      </c>
      <c r="P5285" s="213" t="s">
        <v>44094</v>
      </c>
      <c r="Q5285" s="213" t="s">
        <v>44095</v>
      </c>
      <c r="R5285" s="213" t="s">
        <v>44096</v>
      </c>
      <c r="S5285" s="213" t="s">
        <v>44097</v>
      </c>
      <c r="T5285" s="213" t="s">
        <v>44098</v>
      </c>
      <c r="U5285" s="213" t="s">
        <v>59176</v>
      </c>
    </row>
    <row r="5286" spans="1:21" x14ac:dyDescent="0.25">
      <c r="A5286" s="213" t="s">
        <v>327</v>
      </c>
      <c r="D5286" s="213" t="s">
        <v>44099</v>
      </c>
      <c r="E5286" s="213" t="s">
        <v>44100</v>
      </c>
      <c r="K5286" s="213" t="s">
        <v>58895</v>
      </c>
      <c r="L5286" s="213" t="s">
        <v>58989</v>
      </c>
      <c r="M5286" s="213" t="s">
        <v>59083</v>
      </c>
      <c r="N5286" s="213" t="s">
        <v>44101</v>
      </c>
      <c r="O5286" s="213" t="s">
        <v>44102</v>
      </c>
      <c r="P5286" s="213" t="s">
        <v>44103</v>
      </c>
      <c r="Q5286" s="213" t="s">
        <v>44104</v>
      </c>
      <c r="R5286" s="213" t="s">
        <v>44105</v>
      </c>
      <c r="S5286" s="213" t="s">
        <v>44106</v>
      </c>
      <c r="T5286" s="213" t="s">
        <v>44107</v>
      </c>
      <c r="U5286" s="213" t="s">
        <v>59177</v>
      </c>
    </row>
    <row r="5287" spans="1:21" x14ac:dyDescent="0.25">
      <c r="A5287" s="213" t="s">
        <v>327</v>
      </c>
      <c r="D5287" s="213" t="s">
        <v>44108</v>
      </c>
      <c r="E5287" s="213" t="s">
        <v>44109</v>
      </c>
      <c r="K5287" s="213" t="s">
        <v>58896</v>
      </c>
      <c r="L5287" s="213" t="s">
        <v>58990</v>
      </c>
      <c r="M5287" s="213" t="s">
        <v>59084</v>
      </c>
      <c r="N5287" s="213" t="s">
        <v>44110</v>
      </c>
      <c r="O5287" s="213" t="s">
        <v>44111</v>
      </c>
      <c r="P5287" s="213" t="s">
        <v>44112</v>
      </c>
      <c r="Q5287" s="213" t="s">
        <v>44113</v>
      </c>
      <c r="R5287" s="213" t="s">
        <v>44114</v>
      </c>
      <c r="S5287" s="213" t="s">
        <v>44115</v>
      </c>
      <c r="T5287" s="213" t="s">
        <v>44116</v>
      </c>
      <c r="U5287" s="213" t="s">
        <v>59178</v>
      </c>
    </row>
    <row r="5288" spans="1:21" x14ac:dyDescent="0.25">
      <c r="A5288" s="213" t="s">
        <v>327</v>
      </c>
      <c r="D5288" s="213" t="s">
        <v>44117</v>
      </c>
      <c r="E5288" s="213" t="s">
        <v>44118</v>
      </c>
      <c r="K5288" s="213" t="s">
        <v>58897</v>
      </c>
      <c r="L5288" s="213" t="s">
        <v>58991</v>
      </c>
      <c r="M5288" s="213" t="s">
        <v>59085</v>
      </c>
      <c r="N5288" s="213" t="s">
        <v>44119</v>
      </c>
      <c r="O5288" s="213" t="s">
        <v>44120</v>
      </c>
      <c r="P5288" s="213" t="s">
        <v>44121</v>
      </c>
      <c r="Q5288" s="213" t="s">
        <v>44122</v>
      </c>
      <c r="R5288" s="213" t="s">
        <v>44123</v>
      </c>
      <c r="S5288" s="213" t="s">
        <v>44124</v>
      </c>
      <c r="T5288" s="213" t="s">
        <v>44125</v>
      </c>
      <c r="U5288" s="213" t="s">
        <v>59179</v>
      </c>
    </row>
    <row r="5289" spans="1:21" x14ac:dyDescent="0.25">
      <c r="A5289" s="213" t="s">
        <v>327</v>
      </c>
      <c r="D5289" s="213" t="s">
        <v>44126</v>
      </c>
      <c r="E5289" s="213" t="s">
        <v>44127</v>
      </c>
      <c r="K5289" s="213" t="s">
        <v>58898</v>
      </c>
      <c r="L5289" s="213" t="s">
        <v>58992</v>
      </c>
      <c r="M5289" s="213" t="s">
        <v>59086</v>
      </c>
      <c r="N5289" s="213" t="s">
        <v>44128</v>
      </c>
      <c r="O5289" s="213" t="s">
        <v>44129</v>
      </c>
      <c r="P5289" s="213" t="s">
        <v>44130</v>
      </c>
      <c r="Q5289" s="213" t="s">
        <v>44131</v>
      </c>
      <c r="R5289" s="213" t="s">
        <v>44132</v>
      </c>
      <c r="S5289" s="213" t="s">
        <v>44133</v>
      </c>
      <c r="T5289" s="213" t="s">
        <v>44134</v>
      </c>
      <c r="U5289" s="213" t="s">
        <v>59180</v>
      </c>
    </row>
    <row r="5290" spans="1:21" x14ac:dyDescent="0.25">
      <c r="A5290" s="213" t="s">
        <v>327</v>
      </c>
      <c r="D5290" s="213" t="s">
        <v>44135</v>
      </c>
      <c r="E5290" s="213" t="s">
        <v>44136</v>
      </c>
      <c r="K5290" s="213" t="s">
        <v>58899</v>
      </c>
      <c r="L5290" s="213" t="s">
        <v>58993</v>
      </c>
      <c r="M5290" s="213" t="s">
        <v>59087</v>
      </c>
      <c r="N5290" s="213" t="s">
        <v>44137</v>
      </c>
      <c r="O5290" s="213" t="s">
        <v>44138</v>
      </c>
      <c r="P5290" s="213" t="s">
        <v>44139</v>
      </c>
      <c r="Q5290" s="213" t="s">
        <v>44140</v>
      </c>
      <c r="R5290" s="213" t="s">
        <v>44141</v>
      </c>
      <c r="S5290" s="213" t="s">
        <v>44142</v>
      </c>
      <c r="T5290" s="213" t="s">
        <v>44143</v>
      </c>
      <c r="U5290" s="213" t="s">
        <v>59181</v>
      </c>
    </row>
    <row r="5291" spans="1:21" x14ac:dyDescent="0.25">
      <c r="A5291" s="213" t="s">
        <v>327</v>
      </c>
      <c r="D5291" s="213" t="s">
        <v>44144</v>
      </c>
      <c r="E5291" s="213" t="s">
        <v>44145</v>
      </c>
      <c r="K5291" s="213" t="s">
        <v>58900</v>
      </c>
      <c r="L5291" s="213" t="s">
        <v>58994</v>
      </c>
      <c r="M5291" s="213" t="s">
        <v>59088</v>
      </c>
      <c r="N5291" s="213" t="s">
        <v>44146</v>
      </c>
      <c r="O5291" s="213" t="s">
        <v>44147</v>
      </c>
      <c r="P5291" s="213" t="s">
        <v>44148</v>
      </c>
      <c r="Q5291" s="213" t="s">
        <v>44149</v>
      </c>
      <c r="R5291" s="213" t="s">
        <v>44150</v>
      </c>
      <c r="S5291" s="213" t="s">
        <v>44151</v>
      </c>
      <c r="T5291" s="213" t="s">
        <v>44152</v>
      </c>
      <c r="U5291" s="213" t="s">
        <v>59182</v>
      </c>
    </row>
    <row r="5292" spans="1:21" x14ac:dyDescent="0.25">
      <c r="A5292" s="213" t="s">
        <v>327</v>
      </c>
      <c r="D5292" s="213" t="s">
        <v>44153</v>
      </c>
      <c r="E5292" s="213" t="s">
        <v>44154</v>
      </c>
      <c r="K5292" s="213" t="s">
        <v>58901</v>
      </c>
      <c r="L5292" s="213" t="s">
        <v>58995</v>
      </c>
      <c r="M5292" s="213" t="s">
        <v>59089</v>
      </c>
      <c r="N5292" s="213" t="s">
        <v>44155</v>
      </c>
      <c r="O5292" s="213" t="s">
        <v>44156</v>
      </c>
      <c r="P5292" s="213" t="s">
        <v>44157</v>
      </c>
      <c r="Q5292" s="213" t="s">
        <v>44158</v>
      </c>
      <c r="R5292" s="213" t="s">
        <v>44159</v>
      </c>
      <c r="S5292" s="213" t="s">
        <v>44160</v>
      </c>
      <c r="T5292" s="213" t="s">
        <v>44161</v>
      </c>
      <c r="U5292" s="213" t="s">
        <v>59183</v>
      </c>
    </row>
    <row r="5293" spans="1:21" x14ac:dyDescent="0.25">
      <c r="A5293" s="213" t="s">
        <v>327</v>
      </c>
      <c r="D5293" s="213" t="s">
        <v>44162</v>
      </c>
      <c r="E5293" s="213" t="s">
        <v>44163</v>
      </c>
      <c r="K5293" s="213" t="s">
        <v>58902</v>
      </c>
      <c r="L5293" s="213" t="s">
        <v>58996</v>
      </c>
      <c r="M5293" s="213" t="s">
        <v>59090</v>
      </c>
      <c r="N5293" s="213" t="s">
        <v>44164</v>
      </c>
      <c r="O5293" s="213" t="s">
        <v>44165</v>
      </c>
      <c r="P5293" s="213" t="s">
        <v>44166</v>
      </c>
      <c r="Q5293" s="213" t="s">
        <v>44167</v>
      </c>
      <c r="R5293" s="213" t="s">
        <v>44168</v>
      </c>
      <c r="S5293" s="213" t="s">
        <v>44169</v>
      </c>
      <c r="T5293" s="213" t="s">
        <v>44170</v>
      </c>
      <c r="U5293" s="213" t="s">
        <v>59184</v>
      </c>
    </row>
    <row r="5294" spans="1:21" x14ac:dyDescent="0.25">
      <c r="A5294" s="213" t="s">
        <v>327</v>
      </c>
      <c r="D5294" s="213" t="s">
        <v>44171</v>
      </c>
      <c r="E5294" s="213" t="s">
        <v>44172</v>
      </c>
      <c r="K5294" s="213" t="s">
        <v>58903</v>
      </c>
      <c r="L5294" s="213" t="s">
        <v>58997</v>
      </c>
      <c r="M5294" s="213" t="s">
        <v>59091</v>
      </c>
      <c r="N5294" s="213" t="s">
        <v>44173</v>
      </c>
      <c r="O5294" s="213" t="s">
        <v>44174</v>
      </c>
      <c r="P5294" s="213" t="s">
        <v>44175</v>
      </c>
      <c r="Q5294" s="213" t="s">
        <v>44176</v>
      </c>
      <c r="R5294" s="213" t="s">
        <v>44177</v>
      </c>
      <c r="S5294" s="213" t="s">
        <v>44178</v>
      </c>
      <c r="T5294" s="213" t="s">
        <v>44179</v>
      </c>
      <c r="U5294" s="213" t="s">
        <v>59185</v>
      </c>
    </row>
    <row r="5295" spans="1:21" x14ac:dyDescent="0.25">
      <c r="A5295" s="213" t="s">
        <v>327</v>
      </c>
      <c r="D5295" s="213" t="s">
        <v>44180</v>
      </c>
      <c r="E5295" s="213" t="s">
        <v>44181</v>
      </c>
      <c r="K5295" s="213" t="s">
        <v>58904</v>
      </c>
      <c r="L5295" s="213" t="s">
        <v>58998</v>
      </c>
      <c r="M5295" s="213" t="s">
        <v>59092</v>
      </c>
      <c r="N5295" s="213" t="s">
        <v>44182</v>
      </c>
      <c r="O5295" s="213" t="s">
        <v>44183</v>
      </c>
      <c r="P5295" s="213" t="s">
        <v>44184</v>
      </c>
      <c r="Q5295" s="213" t="s">
        <v>44185</v>
      </c>
      <c r="R5295" s="213" t="s">
        <v>44186</v>
      </c>
      <c r="S5295" s="213" t="s">
        <v>44187</v>
      </c>
      <c r="T5295" s="213" t="s">
        <v>44188</v>
      </c>
      <c r="U5295" s="213" t="s">
        <v>59186</v>
      </c>
    </row>
    <row r="5296" spans="1:21" x14ac:dyDescent="0.25">
      <c r="A5296" s="213" t="s">
        <v>327</v>
      </c>
      <c r="D5296" s="213" t="s">
        <v>44189</v>
      </c>
      <c r="E5296" s="213" t="s">
        <v>44190</v>
      </c>
      <c r="K5296" s="213" t="s">
        <v>58905</v>
      </c>
      <c r="L5296" s="213" t="s">
        <v>58999</v>
      </c>
      <c r="M5296" s="213" t="s">
        <v>59093</v>
      </c>
      <c r="N5296" s="213" t="s">
        <v>44191</v>
      </c>
      <c r="O5296" s="213" t="s">
        <v>44192</v>
      </c>
      <c r="P5296" s="213" t="s">
        <v>44193</v>
      </c>
      <c r="Q5296" s="213" t="s">
        <v>44194</v>
      </c>
      <c r="R5296" s="213" t="s">
        <v>44195</v>
      </c>
      <c r="S5296" s="213" t="s">
        <v>44196</v>
      </c>
      <c r="T5296" s="213" t="s">
        <v>44197</v>
      </c>
      <c r="U5296" s="213" t="s">
        <v>59187</v>
      </c>
    </row>
    <row r="5297" spans="1:21" x14ac:dyDescent="0.25">
      <c r="A5297" s="213" t="s">
        <v>327</v>
      </c>
      <c r="D5297" s="213" t="s">
        <v>44198</v>
      </c>
      <c r="E5297" s="213" t="s">
        <v>44199</v>
      </c>
      <c r="K5297" s="213" t="s">
        <v>58906</v>
      </c>
      <c r="L5297" s="213" t="s">
        <v>59000</v>
      </c>
      <c r="M5297" s="213" t="s">
        <v>59094</v>
      </c>
      <c r="N5297" s="213" t="s">
        <v>44200</v>
      </c>
      <c r="O5297" s="213" t="s">
        <v>44201</v>
      </c>
      <c r="P5297" s="213" t="s">
        <v>44202</v>
      </c>
      <c r="Q5297" s="213" t="s">
        <v>44203</v>
      </c>
      <c r="R5297" s="213" t="s">
        <v>44204</v>
      </c>
      <c r="S5297" s="213" t="s">
        <v>44205</v>
      </c>
      <c r="T5297" s="213" t="s">
        <v>44206</v>
      </c>
      <c r="U5297" s="213" t="s">
        <v>59188</v>
      </c>
    </row>
    <row r="5298" spans="1:21" x14ac:dyDescent="0.25">
      <c r="A5298" s="213" t="s">
        <v>327</v>
      </c>
      <c r="D5298" s="213" t="s">
        <v>44207</v>
      </c>
      <c r="E5298" s="213" t="s">
        <v>44208</v>
      </c>
      <c r="K5298" s="213" t="s">
        <v>58907</v>
      </c>
      <c r="L5298" s="213" t="s">
        <v>59001</v>
      </c>
      <c r="M5298" s="213" t="s">
        <v>59095</v>
      </c>
      <c r="N5298" s="213" t="s">
        <v>44209</v>
      </c>
      <c r="O5298" s="213" t="s">
        <v>44210</v>
      </c>
      <c r="P5298" s="213" t="s">
        <v>44211</v>
      </c>
      <c r="Q5298" s="213" t="s">
        <v>44212</v>
      </c>
      <c r="R5298" s="213" t="s">
        <v>44213</v>
      </c>
      <c r="S5298" s="213" t="s">
        <v>44214</v>
      </c>
      <c r="T5298" s="213" t="s">
        <v>44215</v>
      </c>
      <c r="U5298" s="213" t="s">
        <v>59189</v>
      </c>
    </row>
    <row r="5299" spans="1:21" x14ac:dyDescent="0.25">
      <c r="A5299" s="213" t="s">
        <v>327</v>
      </c>
      <c r="D5299" s="213" t="s">
        <v>44216</v>
      </c>
      <c r="E5299" s="213" t="s">
        <v>44217</v>
      </c>
      <c r="K5299" s="213" t="s">
        <v>58908</v>
      </c>
      <c r="L5299" s="213" t="s">
        <v>59002</v>
      </c>
      <c r="M5299" s="213" t="s">
        <v>59096</v>
      </c>
      <c r="N5299" s="213" t="s">
        <v>44218</v>
      </c>
      <c r="O5299" s="213" t="s">
        <v>44219</v>
      </c>
      <c r="P5299" s="213" t="s">
        <v>44220</v>
      </c>
      <c r="Q5299" s="213" t="s">
        <v>44221</v>
      </c>
      <c r="R5299" s="213" t="s">
        <v>44222</v>
      </c>
      <c r="S5299" s="213" t="s">
        <v>44223</v>
      </c>
      <c r="T5299" s="213" t="s">
        <v>44224</v>
      </c>
      <c r="U5299" s="213" t="s">
        <v>59190</v>
      </c>
    </row>
    <row r="5300" spans="1:21" x14ac:dyDescent="0.25">
      <c r="A5300" s="213" t="s">
        <v>327</v>
      </c>
      <c r="D5300" s="213" t="s">
        <v>44225</v>
      </c>
      <c r="E5300" s="213" t="s">
        <v>44226</v>
      </c>
      <c r="K5300" s="213" t="s">
        <v>58909</v>
      </c>
      <c r="L5300" s="213" t="s">
        <v>59003</v>
      </c>
      <c r="M5300" s="213" t="s">
        <v>59097</v>
      </c>
      <c r="N5300" s="213" t="s">
        <v>44227</v>
      </c>
      <c r="O5300" s="213" t="s">
        <v>44228</v>
      </c>
      <c r="P5300" s="213" t="s">
        <v>44229</v>
      </c>
      <c r="Q5300" s="213" t="s">
        <v>44230</v>
      </c>
      <c r="R5300" s="213" t="s">
        <v>44231</v>
      </c>
      <c r="S5300" s="213" t="s">
        <v>44232</v>
      </c>
      <c r="T5300" s="213" t="s">
        <v>44233</v>
      </c>
      <c r="U5300" s="213" t="s">
        <v>59191</v>
      </c>
    </row>
    <row r="5301" spans="1:21" x14ac:dyDescent="0.25">
      <c r="A5301" s="213" t="s">
        <v>327</v>
      </c>
      <c r="D5301" s="213" t="s">
        <v>44234</v>
      </c>
      <c r="E5301" s="213" t="s">
        <v>44235</v>
      </c>
      <c r="K5301" s="213" t="s">
        <v>58910</v>
      </c>
      <c r="L5301" s="213" t="s">
        <v>59004</v>
      </c>
      <c r="M5301" s="213" t="s">
        <v>59098</v>
      </c>
      <c r="N5301" s="213" t="s">
        <v>44236</v>
      </c>
      <c r="O5301" s="213" t="s">
        <v>44237</v>
      </c>
      <c r="P5301" s="213" t="s">
        <v>44238</v>
      </c>
      <c r="Q5301" s="213" t="s">
        <v>44239</v>
      </c>
      <c r="R5301" s="213" t="s">
        <v>44240</v>
      </c>
      <c r="S5301" s="213" t="s">
        <v>44241</v>
      </c>
      <c r="T5301" s="213" t="s">
        <v>44242</v>
      </c>
      <c r="U5301" s="213" t="s">
        <v>59192</v>
      </c>
    </row>
    <row r="5302" spans="1:21" x14ac:dyDescent="0.25">
      <c r="A5302" s="213" t="s">
        <v>327</v>
      </c>
      <c r="D5302" s="213" t="s">
        <v>44243</v>
      </c>
      <c r="E5302" s="213" t="s">
        <v>44244</v>
      </c>
      <c r="K5302" s="213" t="s">
        <v>58911</v>
      </c>
      <c r="L5302" s="213" t="s">
        <v>59005</v>
      </c>
      <c r="M5302" s="213" t="s">
        <v>59099</v>
      </c>
      <c r="N5302" s="213" t="s">
        <v>44245</v>
      </c>
      <c r="O5302" s="213" t="s">
        <v>44246</v>
      </c>
      <c r="P5302" s="213" t="s">
        <v>44247</v>
      </c>
      <c r="Q5302" s="213" t="s">
        <v>44248</v>
      </c>
      <c r="R5302" s="213" t="s">
        <v>44249</v>
      </c>
      <c r="S5302" s="213" t="s">
        <v>44250</v>
      </c>
      <c r="T5302" s="213" t="s">
        <v>44251</v>
      </c>
      <c r="U5302" s="213" t="s">
        <v>59193</v>
      </c>
    </row>
    <row r="5303" spans="1:21" x14ac:dyDescent="0.25">
      <c r="A5303" s="213" t="s">
        <v>327</v>
      </c>
      <c r="D5303" s="213" t="s">
        <v>44252</v>
      </c>
      <c r="E5303" s="213" t="s">
        <v>44253</v>
      </c>
      <c r="K5303" s="213" t="s">
        <v>58912</v>
      </c>
      <c r="L5303" s="213" t="s">
        <v>59006</v>
      </c>
      <c r="M5303" s="213" t="s">
        <v>59100</v>
      </c>
      <c r="N5303" s="213" t="s">
        <v>44254</v>
      </c>
      <c r="O5303" s="213" t="s">
        <v>44255</v>
      </c>
      <c r="P5303" s="213" t="s">
        <v>44256</v>
      </c>
      <c r="Q5303" s="213" t="s">
        <v>44257</v>
      </c>
      <c r="R5303" s="213" t="s">
        <v>44258</v>
      </c>
      <c r="S5303" s="213" t="s">
        <v>44259</v>
      </c>
      <c r="T5303" s="213" t="s">
        <v>44260</v>
      </c>
      <c r="U5303" s="213" t="s">
        <v>59194</v>
      </c>
    </row>
    <row r="5304" spans="1:21" x14ac:dyDescent="0.25">
      <c r="A5304" s="213" t="s">
        <v>327</v>
      </c>
      <c r="D5304" s="213" t="s">
        <v>44261</v>
      </c>
      <c r="E5304" s="213" t="s">
        <v>44262</v>
      </c>
      <c r="K5304" s="213" t="s">
        <v>58913</v>
      </c>
      <c r="L5304" s="213" t="s">
        <v>59007</v>
      </c>
      <c r="M5304" s="213" t="s">
        <v>59101</v>
      </c>
      <c r="N5304" s="213" t="s">
        <v>44263</v>
      </c>
      <c r="O5304" s="213" t="s">
        <v>44264</v>
      </c>
      <c r="P5304" s="213" t="s">
        <v>44265</v>
      </c>
      <c r="Q5304" s="213" t="s">
        <v>44266</v>
      </c>
      <c r="R5304" s="213" t="s">
        <v>44267</v>
      </c>
      <c r="S5304" s="213" t="s">
        <v>44268</v>
      </c>
      <c r="T5304" s="213" t="s">
        <v>44269</v>
      </c>
      <c r="U5304" s="213" t="s">
        <v>59195</v>
      </c>
    </row>
    <row r="5305" spans="1:21" x14ac:dyDescent="0.25">
      <c r="A5305" s="213" t="s">
        <v>327</v>
      </c>
      <c r="D5305" s="213" t="s">
        <v>44270</v>
      </c>
      <c r="E5305" s="213" t="s">
        <v>44271</v>
      </c>
      <c r="K5305" s="213" t="s">
        <v>58914</v>
      </c>
      <c r="L5305" s="213" t="s">
        <v>59008</v>
      </c>
      <c r="M5305" s="213" t="s">
        <v>59102</v>
      </c>
      <c r="N5305" s="213" t="s">
        <v>44272</v>
      </c>
      <c r="O5305" s="213" t="s">
        <v>44273</v>
      </c>
      <c r="P5305" s="213" t="s">
        <v>44274</v>
      </c>
      <c r="Q5305" s="213" t="s">
        <v>44275</v>
      </c>
      <c r="R5305" s="213" t="s">
        <v>44276</v>
      </c>
      <c r="S5305" s="213" t="s">
        <v>44277</v>
      </c>
      <c r="T5305" s="213" t="s">
        <v>44278</v>
      </c>
      <c r="U5305" s="213" t="s">
        <v>59196</v>
      </c>
    </row>
    <row r="5306" spans="1:21" x14ac:dyDescent="0.25">
      <c r="A5306" s="213" t="s">
        <v>327</v>
      </c>
      <c r="D5306" s="213" t="s">
        <v>44279</v>
      </c>
      <c r="E5306" s="213" t="s">
        <v>44280</v>
      </c>
      <c r="K5306" s="213" t="s">
        <v>58915</v>
      </c>
      <c r="L5306" s="213" t="s">
        <v>59009</v>
      </c>
      <c r="M5306" s="213" t="s">
        <v>59103</v>
      </c>
      <c r="N5306" s="213" t="s">
        <v>44281</v>
      </c>
      <c r="O5306" s="213" t="s">
        <v>44282</v>
      </c>
      <c r="P5306" s="213" t="s">
        <v>44283</v>
      </c>
      <c r="Q5306" s="213" t="s">
        <v>44284</v>
      </c>
      <c r="R5306" s="213" t="s">
        <v>44285</v>
      </c>
      <c r="S5306" s="213" t="s">
        <v>44286</v>
      </c>
      <c r="T5306" s="213" t="s">
        <v>44287</v>
      </c>
      <c r="U5306" s="213" t="s">
        <v>59197</v>
      </c>
    </row>
    <row r="5307" spans="1:21" x14ac:dyDescent="0.25">
      <c r="A5307" s="213" t="s">
        <v>327</v>
      </c>
      <c r="D5307" s="213" t="s">
        <v>44288</v>
      </c>
      <c r="E5307" s="213" t="s">
        <v>44289</v>
      </c>
      <c r="K5307" s="213" t="s">
        <v>58916</v>
      </c>
      <c r="L5307" s="213" t="s">
        <v>59010</v>
      </c>
      <c r="M5307" s="213" t="s">
        <v>59104</v>
      </c>
      <c r="N5307" s="213" t="s">
        <v>44290</v>
      </c>
      <c r="O5307" s="213" t="s">
        <v>44291</v>
      </c>
      <c r="P5307" s="213" t="s">
        <v>44292</v>
      </c>
      <c r="Q5307" s="213" t="s">
        <v>44293</v>
      </c>
      <c r="R5307" s="213" t="s">
        <v>44294</v>
      </c>
      <c r="S5307" s="213" t="s">
        <v>44295</v>
      </c>
      <c r="T5307" s="213" t="s">
        <v>44296</v>
      </c>
      <c r="U5307" s="213" t="s">
        <v>59198</v>
      </c>
    </row>
    <row r="5308" spans="1:21" x14ac:dyDescent="0.25">
      <c r="A5308" s="213" t="s">
        <v>327</v>
      </c>
      <c r="D5308" s="213" t="s">
        <v>44297</v>
      </c>
      <c r="E5308" s="213" t="s">
        <v>44298</v>
      </c>
      <c r="K5308" s="213" t="s">
        <v>58917</v>
      </c>
      <c r="L5308" s="213" t="s">
        <v>59011</v>
      </c>
      <c r="M5308" s="213" t="s">
        <v>59105</v>
      </c>
      <c r="N5308" s="213" t="s">
        <v>44299</v>
      </c>
      <c r="O5308" s="213" t="s">
        <v>44300</v>
      </c>
      <c r="P5308" s="213" t="s">
        <v>44301</v>
      </c>
      <c r="Q5308" s="213" t="s">
        <v>44302</v>
      </c>
      <c r="R5308" s="213" t="s">
        <v>44303</v>
      </c>
      <c r="S5308" s="213" t="s">
        <v>44304</v>
      </c>
      <c r="T5308" s="213" t="s">
        <v>44305</v>
      </c>
      <c r="U5308" s="213" t="s">
        <v>59199</v>
      </c>
    </row>
    <row r="5309" spans="1:21" x14ac:dyDescent="0.25">
      <c r="A5309" s="213" t="s">
        <v>327</v>
      </c>
      <c r="D5309" s="213" t="s">
        <v>44306</v>
      </c>
      <c r="E5309" s="213" t="s">
        <v>44307</v>
      </c>
      <c r="K5309" s="213" t="s">
        <v>58918</v>
      </c>
      <c r="L5309" s="213" t="s">
        <v>59012</v>
      </c>
      <c r="M5309" s="213" t="s">
        <v>59106</v>
      </c>
      <c r="N5309" s="213" t="s">
        <v>44308</v>
      </c>
      <c r="O5309" s="213" t="s">
        <v>44309</v>
      </c>
      <c r="P5309" s="213" t="s">
        <v>44310</v>
      </c>
      <c r="Q5309" s="213" t="s">
        <v>44311</v>
      </c>
      <c r="R5309" s="213" t="s">
        <v>44312</v>
      </c>
      <c r="S5309" s="213" t="s">
        <v>44313</v>
      </c>
      <c r="T5309" s="213" t="s">
        <v>44314</v>
      </c>
      <c r="U5309" s="213" t="s">
        <v>59200</v>
      </c>
    </row>
    <row r="5310" spans="1:21" x14ac:dyDescent="0.25">
      <c r="A5310" s="213" t="s">
        <v>327</v>
      </c>
      <c r="D5310" s="213" t="s">
        <v>44315</v>
      </c>
      <c r="E5310" s="213" t="s">
        <v>44316</v>
      </c>
      <c r="K5310" s="213" t="s">
        <v>58919</v>
      </c>
      <c r="L5310" s="213" t="s">
        <v>59013</v>
      </c>
      <c r="M5310" s="213" t="s">
        <v>59107</v>
      </c>
      <c r="N5310" s="213" t="s">
        <v>44317</v>
      </c>
      <c r="O5310" s="213" t="s">
        <v>44318</v>
      </c>
      <c r="P5310" s="213" t="s">
        <v>44319</v>
      </c>
      <c r="Q5310" s="213" t="s">
        <v>44320</v>
      </c>
      <c r="R5310" s="213" t="s">
        <v>44321</v>
      </c>
      <c r="S5310" s="213" t="s">
        <v>44322</v>
      </c>
      <c r="T5310" s="213" t="s">
        <v>44323</v>
      </c>
      <c r="U5310" s="213" t="s">
        <v>59201</v>
      </c>
    </row>
    <row r="5311" spans="1:21" x14ac:dyDescent="0.25">
      <c r="A5311" s="213" t="s">
        <v>327</v>
      </c>
      <c r="D5311" s="213" t="s">
        <v>44324</v>
      </c>
      <c r="E5311" s="213" t="s">
        <v>44325</v>
      </c>
      <c r="K5311" s="213" t="s">
        <v>58920</v>
      </c>
      <c r="L5311" s="213" t="s">
        <v>59014</v>
      </c>
      <c r="M5311" s="213" t="s">
        <v>59108</v>
      </c>
      <c r="N5311" s="213" t="s">
        <v>44326</v>
      </c>
      <c r="O5311" s="213" t="s">
        <v>44327</v>
      </c>
      <c r="P5311" s="213" t="s">
        <v>44328</v>
      </c>
      <c r="Q5311" s="213" t="s">
        <v>44329</v>
      </c>
      <c r="R5311" s="213" t="s">
        <v>44330</v>
      </c>
      <c r="S5311" s="213" t="s">
        <v>44331</v>
      </c>
      <c r="T5311" s="213" t="s">
        <v>44332</v>
      </c>
      <c r="U5311" s="213" t="s">
        <v>59202</v>
      </c>
    </row>
    <row r="5312" spans="1:21" x14ac:dyDescent="0.25">
      <c r="A5312" s="213" t="s">
        <v>327</v>
      </c>
      <c r="D5312" s="213" t="s">
        <v>44333</v>
      </c>
      <c r="E5312" s="213" t="s">
        <v>44334</v>
      </c>
      <c r="K5312" s="213" t="s">
        <v>58921</v>
      </c>
      <c r="L5312" s="213" t="s">
        <v>59015</v>
      </c>
      <c r="M5312" s="213" t="s">
        <v>59109</v>
      </c>
      <c r="N5312" s="213" t="s">
        <v>44335</v>
      </c>
      <c r="O5312" s="213" t="s">
        <v>44336</v>
      </c>
      <c r="P5312" s="213" t="s">
        <v>44337</v>
      </c>
      <c r="Q5312" s="213" t="s">
        <v>44338</v>
      </c>
      <c r="R5312" s="213" t="s">
        <v>44339</v>
      </c>
      <c r="S5312" s="213" t="s">
        <v>44340</v>
      </c>
      <c r="T5312" s="213" t="s">
        <v>44341</v>
      </c>
      <c r="U5312" s="213" t="s">
        <v>59203</v>
      </c>
    </row>
    <row r="5313" spans="1:21" x14ac:dyDescent="0.25">
      <c r="A5313" s="213" t="s">
        <v>327</v>
      </c>
      <c r="D5313" s="213" t="s">
        <v>44342</v>
      </c>
      <c r="E5313" s="213" t="s">
        <v>44343</v>
      </c>
      <c r="K5313" s="213" t="s">
        <v>58922</v>
      </c>
      <c r="L5313" s="213" t="s">
        <v>59016</v>
      </c>
      <c r="M5313" s="213" t="s">
        <v>59110</v>
      </c>
      <c r="N5313" s="213" t="s">
        <v>44344</v>
      </c>
      <c r="O5313" s="213" t="s">
        <v>44345</v>
      </c>
      <c r="P5313" s="213" t="s">
        <v>44346</v>
      </c>
      <c r="Q5313" s="213" t="s">
        <v>44347</v>
      </c>
      <c r="R5313" s="213" t="s">
        <v>44348</v>
      </c>
      <c r="S5313" s="213" t="s">
        <v>44349</v>
      </c>
      <c r="T5313" s="213" t="s">
        <v>44350</v>
      </c>
      <c r="U5313" s="213" t="s">
        <v>59204</v>
      </c>
    </row>
    <row r="5314" spans="1:21" x14ac:dyDescent="0.25">
      <c r="A5314" s="213" t="s">
        <v>327</v>
      </c>
      <c r="D5314" s="213" t="s">
        <v>44351</v>
      </c>
      <c r="E5314" s="213" t="s">
        <v>44352</v>
      </c>
      <c r="K5314" s="213" t="s">
        <v>58923</v>
      </c>
      <c r="L5314" s="213" t="s">
        <v>59017</v>
      </c>
      <c r="M5314" s="213" t="s">
        <v>59111</v>
      </c>
      <c r="N5314" s="213" t="s">
        <v>44353</v>
      </c>
      <c r="O5314" s="213" t="s">
        <v>44354</v>
      </c>
      <c r="P5314" s="213" t="s">
        <v>44355</v>
      </c>
      <c r="Q5314" s="213" t="s">
        <v>44356</v>
      </c>
      <c r="R5314" s="213" t="s">
        <v>44357</v>
      </c>
      <c r="S5314" s="213" t="s">
        <v>44358</v>
      </c>
      <c r="T5314" s="213" t="s">
        <v>44359</v>
      </c>
      <c r="U5314" s="213" t="s">
        <v>59205</v>
      </c>
    </row>
    <row r="5315" spans="1:21" x14ac:dyDescent="0.25">
      <c r="A5315" s="213" t="s">
        <v>327</v>
      </c>
    </row>
    <row r="5316" spans="1:21" x14ac:dyDescent="0.25">
      <c r="A5316" s="213" t="s">
        <v>327</v>
      </c>
    </row>
    <row r="5317" spans="1:21" x14ac:dyDescent="0.25">
      <c r="A5317" s="213" t="s">
        <v>327</v>
      </c>
      <c r="C5317" s="213" t="s">
        <v>44360</v>
      </c>
      <c r="E5317" s="213" t="s">
        <v>44361</v>
      </c>
      <c r="H5317" s="213" t="s">
        <v>44362</v>
      </c>
      <c r="I5317" s="213" t="s">
        <v>44363</v>
      </c>
      <c r="J5317" s="213" t="s">
        <v>44364</v>
      </c>
      <c r="L5317" s="213" t="s">
        <v>44365</v>
      </c>
      <c r="O5317" s="213" t="s">
        <v>44366</v>
      </c>
      <c r="P5317" s="213" t="s">
        <v>44367</v>
      </c>
      <c r="Q5317" s="213" t="s">
        <v>44368</v>
      </c>
      <c r="R5317" s="213" t="s">
        <v>44369</v>
      </c>
      <c r="S5317" s="213" t="s">
        <v>44370</v>
      </c>
      <c r="T5317" s="213" t="s">
        <v>44371</v>
      </c>
    </row>
    <row r="5318" spans="1:21" x14ac:dyDescent="0.25">
      <c r="A5318" s="213" t="s">
        <v>327</v>
      </c>
      <c r="C5318" s="213" t="s">
        <v>44372</v>
      </c>
      <c r="E5318" s="213" t="s">
        <v>44373</v>
      </c>
      <c r="I5318" s="213" t="s">
        <v>44374</v>
      </c>
    </row>
    <row r="5319" spans="1:21" x14ac:dyDescent="0.25">
      <c r="A5319" s="213" t="s">
        <v>327</v>
      </c>
      <c r="C5319" s="213" t="s">
        <v>44375</v>
      </c>
      <c r="E5319" s="213" t="s">
        <v>44376</v>
      </c>
      <c r="I5319" s="213" t="s">
        <v>44377</v>
      </c>
    </row>
    <row r="5320" spans="1:21" x14ac:dyDescent="0.25">
      <c r="A5320" s="213" t="s">
        <v>328</v>
      </c>
    </row>
    <row r="5321" spans="1:21" x14ac:dyDescent="0.25">
      <c r="A5321" s="213" t="s">
        <v>327</v>
      </c>
      <c r="D5321" s="213" t="s">
        <v>44378</v>
      </c>
      <c r="E5321" s="213" t="s">
        <v>44379</v>
      </c>
      <c r="K5321" s="213" t="s">
        <v>58702</v>
      </c>
      <c r="L5321" s="213" t="s">
        <v>58734</v>
      </c>
      <c r="M5321" s="213" t="s">
        <v>58766</v>
      </c>
      <c r="N5321" s="213" t="s">
        <v>44380</v>
      </c>
      <c r="O5321" s="213" t="s">
        <v>44381</v>
      </c>
      <c r="P5321" s="213" t="s">
        <v>44382</v>
      </c>
      <c r="Q5321" s="213" t="s">
        <v>44383</v>
      </c>
      <c r="R5321" s="213" t="s">
        <v>44384</v>
      </c>
      <c r="S5321" s="213" t="s">
        <v>44385</v>
      </c>
      <c r="T5321" s="213" t="s">
        <v>44386</v>
      </c>
      <c r="U5321" s="213" t="s">
        <v>58798</v>
      </c>
    </row>
    <row r="5322" spans="1:21" x14ac:dyDescent="0.25">
      <c r="A5322" s="213" t="s">
        <v>327</v>
      </c>
      <c r="D5322" s="213" t="s">
        <v>44387</v>
      </c>
      <c r="E5322" s="213" t="s">
        <v>44388</v>
      </c>
      <c r="K5322" s="213" t="s">
        <v>58703</v>
      </c>
      <c r="L5322" s="213" t="s">
        <v>58735</v>
      </c>
      <c r="M5322" s="213" t="s">
        <v>58767</v>
      </c>
      <c r="N5322" s="213" t="s">
        <v>44389</v>
      </c>
      <c r="O5322" s="213" t="s">
        <v>44390</v>
      </c>
      <c r="P5322" s="213" t="s">
        <v>44391</v>
      </c>
      <c r="Q5322" s="213" t="s">
        <v>44392</v>
      </c>
      <c r="R5322" s="213" t="s">
        <v>44393</v>
      </c>
      <c r="S5322" s="213" t="s">
        <v>44394</v>
      </c>
      <c r="T5322" s="213" t="s">
        <v>44395</v>
      </c>
      <c r="U5322" s="213" t="s">
        <v>58799</v>
      </c>
    </row>
    <row r="5323" spans="1:21" x14ac:dyDescent="0.25">
      <c r="A5323" s="213" t="s">
        <v>327</v>
      </c>
      <c r="D5323" s="213" t="s">
        <v>44396</v>
      </c>
      <c r="E5323" s="213" t="s">
        <v>44397</v>
      </c>
      <c r="K5323" s="213" t="s">
        <v>58704</v>
      </c>
      <c r="L5323" s="213" t="s">
        <v>58736</v>
      </c>
      <c r="M5323" s="213" t="s">
        <v>58768</v>
      </c>
      <c r="N5323" s="213" t="s">
        <v>44398</v>
      </c>
      <c r="O5323" s="213" t="s">
        <v>44399</v>
      </c>
      <c r="P5323" s="213" t="s">
        <v>44400</v>
      </c>
      <c r="Q5323" s="213" t="s">
        <v>44401</v>
      </c>
      <c r="R5323" s="213" t="s">
        <v>44402</v>
      </c>
      <c r="S5323" s="213" t="s">
        <v>44403</v>
      </c>
      <c r="T5323" s="213" t="s">
        <v>44404</v>
      </c>
      <c r="U5323" s="213" t="s">
        <v>58800</v>
      </c>
    </row>
    <row r="5324" spans="1:21" x14ac:dyDescent="0.25">
      <c r="A5324" s="213" t="s">
        <v>327</v>
      </c>
      <c r="D5324" s="213" t="s">
        <v>44405</v>
      </c>
      <c r="E5324" s="213" t="s">
        <v>44406</v>
      </c>
      <c r="K5324" s="213" t="s">
        <v>58705</v>
      </c>
      <c r="L5324" s="213" t="s">
        <v>58737</v>
      </c>
      <c r="M5324" s="213" t="s">
        <v>58769</v>
      </c>
      <c r="N5324" s="213" t="s">
        <v>44407</v>
      </c>
      <c r="O5324" s="213" t="s">
        <v>44408</v>
      </c>
      <c r="P5324" s="213" t="s">
        <v>44409</v>
      </c>
      <c r="Q5324" s="213" t="s">
        <v>44410</v>
      </c>
      <c r="R5324" s="213" t="s">
        <v>44411</v>
      </c>
      <c r="S5324" s="213" t="s">
        <v>44412</v>
      </c>
      <c r="T5324" s="213" t="s">
        <v>44413</v>
      </c>
      <c r="U5324" s="213" t="s">
        <v>58801</v>
      </c>
    </row>
    <row r="5325" spans="1:21" x14ac:dyDescent="0.25">
      <c r="A5325" s="213" t="s">
        <v>327</v>
      </c>
      <c r="D5325" s="213" t="s">
        <v>44414</v>
      </c>
      <c r="E5325" s="213" t="s">
        <v>44415</v>
      </c>
      <c r="K5325" s="213" t="s">
        <v>58706</v>
      </c>
      <c r="L5325" s="213" t="s">
        <v>58738</v>
      </c>
      <c r="M5325" s="213" t="s">
        <v>58770</v>
      </c>
      <c r="N5325" s="213" t="s">
        <v>44416</v>
      </c>
      <c r="O5325" s="213" t="s">
        <v>44417</v>
      </c>
      <c r="P5325" s="213" t="s">
        <v>44418</v>
      </c>
      <c r="Q5325" s="213" t="s">
        <v>44419</v>
      </c>
      <c r="R5325" s="213" t="s">
        <v>44420</v>
      </c>
      <c r="S5325" s="213" t="s">
        <v>44421</v>
      </c>
      <c r="T5325" s="213" t="s">
        <v>44422</v>
      </c>
      <c r="U5325" s="213" t="s">
        <v>58802</v>
      </c>
    </row>
    <row r="5326" spans="1:21" x14ac:dyDescent="0.25">
      <c r="A5326" s="213" t="s">
        <v>327</v>
      </c>
      <c r="D5326" s="213" t="s">
        <v>44423</v>
      </c>
      <c r="E5326" s="213" t="s">
        <v>44424</v>
      </c>
      <c r="K5326" s="213" t="s">
        <v>58707</v>
      </c>
      <c r="L5326" s="213" t="s">
        <v>58739</v>
      </c>
      <c r="M5326" s="213" t="s">
        <v>58771</v>
      </c>
      <c r="N5326" s="213" t="s">
        <v>44425</v>
      </c>
      <c r="O5326" s="213" t="s">
        <v>44426</v>
      </c>
      <c r="P5326" s="213" t="s">
        <v>44427</v>
      </c>
      <c r="Q5326" s="213" t="s">
        <v>44428</v>
      </c>
      <c r="R5326" s="213" t="s">
        <v>44429</v>
      </c>
      <c r="S5326" s="213" t="s">
        <v>44430</v>
      </c>
      <c r="T5326" s="213" t="s">
        <v>44431</v>
      </c>
      <c r="U5326" s="213" t="s">
        <v>58803</v>
      </c>
    </row>
    <row r="5327" spans="1:21" x14ac:dyDescent="0.25">
      <c r="A5327" s="213" t="s">
        <v>327</v>
      </c>
      <c r="D5327" s="213" t="s">
        <v>44432</v>
      </c>
      <c r="E5327" s="213" t="s">
        <v>44433</v>
      </c>
      <c r="K5327" s="213" t="s">
        <v>58708</v>
      </c>
      <c r="L5327" s="213" t="s">
        <v>58740</v>
      </c>
      <c r="M5327" s="213" t="s">
        <v>58772</v>
      </c>
      <c r="N5327" s="213" t="s">
        <v>44434</v>
      </c>
      <c r="O5327" s="213" t="s">
        <v>44435</v>
      </c>
      <c r="P5327" s="213" t="s">
        <v>44436</v>
      </c>
      <c r="Q5327" s="213" t="s">
        <v>44437</v>
      </c>
      <c r="R5327" s="213" t="s">
        <v>44438</v>
      </c>
      <c r="S5327" s="213" t="s">
        <v>44439</v>
      </c>
      <c r="T5327" s="213" t="s">
        <v>44440</v>
      </c>
      <c r="U5327" s="213" t="s">
        <v>58804</v>
      </c>
    </row>
    <row r="5328" spans="1:21" x14ac:dyDescent="0.25">
      <c r="A5328" s="213" t="s">
        <v>327</v>
      </c>
      <c r="D5328" s="213" t="s">
        <v>44441</v>
      </c>
      <c r="E5328" s="213" t="s">
        <v>44442</v>
      </c>
      <c r="K5328" s="213" t="s">
        <v>58709</v>
      </c>
      <c r="L5328" s="213" t="s">
        <v>58741</v>
      </c>
      <c r="M5328" s="213" t="s">
        <v>58773</v>
      </c>
      <c r="N5328" s="213" t="s">
        <v>44443</v>
      </c>
      <c r="O5328" s="213" t="s">
        <v>44444</v>
      </c>
      <c r="P5328" s="213" t="s">
        <v>44445</v>
      </c>
      <c r="Q5328" s="213" t="s">
        <v>44446</v>
      </c>
      <c r="R5328" s="213" t="s">
        <v>44447</v>
      </c>
      <c r="S5328" s="213" t="s">
        <v>44448</v>
      </c>
      <c r="T5328" s="213" t="s">
        <v>44449</v>
      </c>
      <c r="U5328" s="213" t="s">
        <v>58805</v>
      </c>
    </row>
    <row r="5329" spans="1:21" x14ac:dyDescent="0.25">
      <c r="A5329" s="213" t="s">
        <v>327</v>
      </c>
      <c r="D5329" s="213" t="s">
        <v>44450</v>
      </c>
      <c r="E5329" s="213" t="s">
        <v>44451</v>
      </c>
      <c r="K5329" s="213" t="s">
        <v>58710</v>
      </c>
      <c r="L5329" s="213" t="s">
        <v>58742</v>
      </c>
      <c r="M5329" s="213" t="s">
        <v>58774</v>
      </c>
      <c r="N5329" s="213" t="s">
        <v>44452</v>
      </c>
      <c r="O5329" s="213" t="s">
        <v>44453</v>
      </c>
      <c r="P5329" s="213" t="s">
        <v>44454</v>
      </c>
      <c r="Q5329" s="213" t="s">
        <v>44455</v>
      </c>
      <c r="R5329" s="213" t="s">
        <v>44456</v>
      </c>
      <c r="S5329" s="213" t="s">
        <v>44457</v>
      </c>
      <c r="T5329" s="213" t="s">
        <v>44458</v>
      </c>
      <c r="U5329" s="213" t="s">
        <v>58806</v>
      </c>
    </row>
    <row r="5330" spans="1:21" x14ac:dyDescent="0.25">
      <c r="A5330" s="213" t="s">
        <v>327</v>
      </c>
      <c r="D5330" s="213" t="s">
        <v>44459</v>
      </c>
      <c r="E5330" s="213" t="s">
        <v>44460</v>
      </c>
      <c r="K5330" s="213" t="s">
        <v>58711</v>
      </c>
      <c r="L5330" s="213" t="s">
        <v>58743</v>
      </c>
      <c r="M5330" s="213" t="s">
        <v>58775</v>
      </c>
      <c r="N5330" s="213" t="s">
        <v>44461</v>
      </c>
      <c r="O5330" s="213" t="s">
        <v>44462</v>
      </c>
      <c r="P5330" s="213" t="s">
        <v>44463</v>
      </c>
      <c r="Q5330" s="213" t="s">
        <v>44464</v>
      </c>
      <c r="R5330" s="213" t="s">
        <v>44465</v>
      </c>
      <c r="S5330" s="213" t="s">
        <v>44466</v>
      </c>
      <c r="T5330" s="213" t="s">
        <v>44467</v>
      </c>
      <c r="U5330" s="213" t="s">
        <v>58807</v>
      </c>
    </row>
    <row r="5331" spans="1:21" x14ac:dyDescent="0.25">
      <c r="A5331" s="213" t="s">
        <v>327</v>
      </c>
      <c r="D5331" s="213" t="s">
        <v>44468</v>
      </c>
      <c r="E5331" s="213" t="s">
        <v>44469</v>
      </c>
      <c r="K5331" s="213" t="s">
        <v>58712</v>
      </c>
      <c r="L5331" s="213" t="s">
        <v>58744</v>
      </c>
      <c r="M5331" s="213" t="s">
        <v>58776</v>
      </c>
      <c r="N5331" s="213" t="s">
        <v>44470</v>
      </c>
      <c r="O5331" s="213" t="s">
        <v>44471</v>
      </c>
      <c r="P5331" s="213" t="s">
        <v>44472</v>
      </c>
      <c r="Q5331" s="213" t="s">
        <v>44473</v>
      </c>
      <c r="R5331" s="213" t="s">
        <v>44474</v>
      </c>
      <c r="S5331" s="213" t="s">
        <v>44475</v>
      </c>
      <c r="T5331" s="213" t="s">
        <v>44476</v>
      </c>
      <c r="U5331" s="213" t="s">
        <v>58808</v>
      </c>
    </row>
    <row r="5332" spans="1:21" x14ac:dyDescent="0.25">
      <c r="A5332" s="213" t="s">
        <v>327</v>
      </c>
      <c r="D5332" s="213" t="s">
        <v>44477</v>
      </c>
      <c r="E5332" s="213" t="s">
        <v>44478</v>
      </c>
      <c r="K5332" s="213" t="s">
        <v>58713</v>
      </c>
      <c r="L5332" s="213" t="s">
        <v>58745</v>
      </c>
      <c r="M5332" s="213" t="s">
        <v>58777</v>
      </c>
      <c r="N5332" s="213" t="s">
        <v>44479</v>
      </c>
      <c r="O5332" s="213" t="s">
        <v>44480</v>
      </c>
      <c r="P5332" s="213" t="s">
        <v>44481</v>
      </c>
      <c r="Q5332" s="213" t="s">
        <v>44482</v>
      </c>
      <c r="R5332" s="213" t="s">
        <v>44483</v>
      </c>
      <c r="S5332" s="213" t="s">
        <v>44484</v>
      </c>
      <c r="T5332" s="213" t="s">
        <v>44485</v>
      </c>
      <c r="U5332" s="213" t="s">
        <v>58809</v>
      </c>
    </row>
    <row r="5333" spans="1:21" x14ac:dyDescent="0.25">
      <c r="A5333" s="213" t="s">
        <v>327</v>
      </c>
      <c r="D5333" s="213" t="s">
        <v>44486</v>
      </c>
      <c r="E5333" s="213" t="s">
        <v>44487</v>
      </c>
      <c r="K5333" s="213" t="s">
        <v>58714</v>
      </c>
      <c r="L5333" s="213" t="s">
        <v>58746</v>
      </c>
      <c r="M5333" s="213" t="s">
        <v>58778</v>
      </c>
      <c r="N5333" s="213" t="s">
        <v>44488</v>
      </c>
      <c r="O5333" s="213" t="s">
        <v>44489</v>
      </c>
      <c r="P5333" s="213" t="s">
        <v>44490</v>
      </c>
      <c r="Q5333" s="213" t="s">
        <v>44491</v>
      </c>
      <c r="R5333" s="213" t="s">
        <v>44492</v>
      </c>
      <c r="S5333" s="213" t="s">
        <v>44493</v>
      </c>
      <c r="T5333" s="213" t="s">
        <v>44494</v>
      </c>
      <c r="U5333" s="213" t="s">
        <v>58810</v>
      </c>
    </row>
    <row r="5334" spans="1:21" x14ac:dyDescent="0.25">
      <c r="A5334" s="213" t="s">
        <v>327</v>
      </c>
      <c r="D5334" s="213" t="s">
        <v>44495</v>
      </c>
      <c r="E5334" s="213" t="s">
        <v>44496</v>
      </c>
      <c r="K5334" s="213" t="s">
        <v>58715</v>
      </c>
      <c r="L5334" s="213" t="s">
        <v>58747</v>
      </c>
      <c r="M5334" s="213" t="s">
        <v>58779</v>
      </c>
      <c r="N5334" s="213" t="s">
        <v>44497</v>
      </c>
      <c r="O5334" s="213" t="s">
        <v>44498</v>
      </c>
      <c r="P5334" s="213" t="s">
        <v>44499</v>
      </c>
      <c r="Q5334" s="213" t="s">
        <v>44500</v>
      </c>
      <c r="R5334" s="213" t="s">
        <v>44501</v>
      </c>
      <c r="S5334" s="213" t="s">
        <v>44502</v>
      </c>
      <c r="T5334" s="213" t="s">
        <v>44503</v>
      </c>
      <c r="U5334" s="213" t="s">
        <v>58811</v>
      </c>
    </row>
    <row r="5335" spans="1:21" x14ac:dyDescent="0.25">
      <c r="A5335" s="213" t="s">
        <v>327</v>
      </c>
      <c r="D5335" s="213" t="s">
        <v>44504</v>
      </c>
      <c r="E5335" s="213" t="s">
        <v>44505</v>
      </c>
      <c r="K5335" s="213" t="s">
        <v>58716</v>
      </c>
      <c r="L5335" s="213" t="s">
        <v>58748</v>
      </c>
      <c r="M5335" s="213" t="s">
        <v>58780</v>
      </c>
      <c r="N5335" s="213" t="s">
        <v>44506</v>
      </c>
      <c r="O5335" s="213" t="s">
        <v>44507</v>
      </c>
      <c r="P5335" s="213" t="s">
        <v>44508</v>
      </c>
      <c r="Q5335" s="213" t="s">
        <v>44509</v>
      </c>
      <c r="R5335" s="213" t="s">
        <v>44510</v>
      </c>
      <c r="S5335" s="213" t="s">
        <v>44511</v>
      </c>
      <c r="T5335" s="213" t="s">
        <v>44512</v>
      </c>
      <c r="U5335" s="213" t="s">
        <v>58812</v>
      </c>
    </row>
    <row r="5336" spans="1:21" x14ac:dyDescent="0.25">
      <c r="A5336" s="213" t="s">
        <v>327</v>
      </c>
      <c r="D5336" s="213" t="s">
        <v>44513</v>
      </c>
      <c r="E5336" s="213" t="s">
        <v>44514</v>
      </c>
      <c r="K5336" s="213" t="s">
        <v>58717</v>
      </c>
      <c r="L5336" s="213" t="s">
        <v>58749</v>
      </c>
      <c r="M5336" s="213" t="s">
        <v>58781</v>
      </c>
      <c r="N5336" s="213" t="s">
        <v>44515</v>
      </c>
      <c r="O5336" s="213" t="s">
        <v>44516</v>
      </c>
      <c r="P5336" s="213" t="s">
        <v>44517</v>
      </c>
      <c r="Q5336" s="213" t="s">
        <v>44518</v>
      </c>
      <c r="R5336" s="213" t="s">
        <v>44519</v>
      </c>
      <c r="S5336" s="213" t="s">
        <v>44520</v>
      </c>
      <c r="T5336" s="213" t="s">
        <v>44521</v>
      </c>
      <c r="U5336" s="213" t="s">
        <v>58813</v>
      </c>
    </row>
    <row r="5337" spans="1:21" x14ac:dyDescent="0.25">
      <c r="A5337" s="213" t="s">
        <v>327</v>
      </c>
      <c r="D5337" s="213" t="s">
        <v>44522</v>
      </c>
      <c r="E5337" s="213" t="s">
        <v>44523</v>
      </c>
      <c r="K5337" s="213" t="s">
        <v>58718</v>
      </c>
      <c r="L5337" s="213" t="s">
        <v>58750</v>
      </c>
      <c r="M5337" s="213" t="s">
        <v>58782</v>
      </c>
      <c r="N5337" s="213" t="s">
        <v>44524</v>
      </c>
      <c r="O5337" s="213" t="s">
        <v>44525</v>
      </c>
      <c r="P5337" s="213" t="s">
        <v>44526</v>
      </c>
      <c r="Q5337" s="213" t="s">
        <v>44527</v>
      </c>
      <c r="R5337" s="213" t="s">
        <v>44528</v>
      </c>
      <c r="S5337" s="213" t="s">
        <v>44529</v>
      </c>
      <c r="T5337" s="213" t="s">
        <v>44530</v>
      </c>
      <c r="U5337" s="213" t="s">
        <v>58814</v>
      </c>
    </row>
    <row r="5338" spans="1:21" x14ac:dyDescent="0.25">
      <c r="A5338" s="213" t="s">
        <v>327</v>
      </c>
      <c r="D5338" s="213" t="s">
        <v>44531</v>
      </c>
      <c r="E5338" s="213" t="s">
        <v>44532</v>
      </c>
      <c r="K5338" s="213" t="s">
        <v>58719</v>
      </c>
      <c r="L5338" s="213" t="s">
        <v>58751</v>
      </c>
      <c r="M5338" s="213" t="s">
        <v>58783</v>
      </c>
      <c r="N5338" s="213" t="s">
        <v>44533</v>
      </c>
      <c r="O5338" s="213" t="s">
        <v>44534</v>
      </c>
      <c r="P5338" s="213" t="s">
        <v>44535</v>
      </c>
      <c r="Q5338" s="213" t="s">
        <v>44536</v>
      </c>
      <c r="R5338" s="213" t="s">
        <v>44537</v>
      </c>
      <c r="S5338" s="213" t="s">
        <v>44538</v>
      </c>
      <c r="T5338" s="213" t="s">
        <v>44539</v>
      </c>
      <c r="U5338" s="213" t="s">
        <v>58815</v>
      </c>
    </row>
    <row r="5339" spans="1:21" x14ac:dyDescent="0.25">
      <c r="A5339" s="213" t="s">
        <v>327</v>
      </c>
      <c r="D5339" s="213" t="s">
        <v>44540</v>
      </c>
      <c r="E5339" s="213" t="s">
        <v>44541</v>
      </c>
      <c r="K5339" s="213" t="s">
        <v>58720</v>
      </c>
      <c r="L5339" s="213" t="s">
        <v>58752</v>
      </c>
      <c r="M5339" s="213" t="s">
        <v>58784</v>
      </c>
      <c r="N5339" s="213" t="s">
        <v>44542</v>
      </c>
      <c r="O5339" s="213" t="s">
        <v>44543</v>
      </c>
      <c r="P5339" s="213" t="s">
        <v>44544</v>
      </c>
      <c r="Q5339" s="213" t="s">
        <v>44545</v>
      </c>
      <c r="R5339" s="213" t="s">
        <v>44546</v>
      </c>
      <c r="S5339" s="213" t="s">
        <v>44547</v>
      </c>
      <c r="T5339" s="213" t="s">
        <v>44548</v>
      </c>
      <c r="U5339" s="213" t="s">
        <v>58816</v>
      </c>
    </row>
    <row r="5340" spans="1:21" x14ac:dyDescent="0.25">
      <c r="A5340" s="213" t="s">
        <v>327</v>
      </c>
      <c r="D5340" s="213" t="s">
        <v>44549</v>
      </c>
      <c r="E5340" s="213" t="s">
        <v>44550</v>
      </c>
      <c r="K5340" s="213" t="s">
        <v>58721</v>
      </c>
      <c r="L5340" s="213" t="s">
        <v>58753</v>
      </c>
      <c r="M5340" s="213" t="s">
        <v>58785</v>
      </c>
      <c r="N5340" s="213" t="s">
        <v>44551</v>
      </c>
      <c r="O5340" s="213" t="s">
        <v>44552</v>
      </c>
      <c r="P5340" s="213" t="s">
        <v>44553</v>
      </c>
      <c r="Q5340" s="213" t="s">
        <v>44554</v>
      </c>
      <c r="R5340" s="213" t="s">
        <v>44555</v>
      </c>
      <c r="S5340" s="213" t="s">
        <v>44556</v>
      </c>
      <c r="T5340" s="213" t="s">
        <v>44557</v>
      </c>
      <c r="U5340" s="213" t="s">
        <v>58817</v>
      </c>
    </row>
    <row r="5341" spans="1:21" x14ac:dyDescent="0.25">
      <c r="A5341" s="213" t="s">
        <v>327</v>
      </c>
      <c r="D5341" s="213" t="s">
        <v>44558</v>
      </c>
      <c r="E5341" s="213" t="s">
        <v>44559</v>
      </c>
      <c r="K5341" s="213" t="s">
        <v>58722</v>
      </c>
      <c r="L5341" s="213" t="s">
        <v>58754</v>
      </c>
      <c r="M5341" s="213" t="s">
        <v>58786</v>
      </c>
      <c r="N5341" s="213" t="s">
        <v>44560</v>
      </c>
      <c r="O5341" s="213" t="s">
        <v>44561</v>
      </c>
      <c r="P5341" s="213" t="s">
        <v>44562</v>
      </c>
      <c r="Q5341" s="213" t="s">
        <v>44563</v>
      </c>
      <c r="R5341" s="213" t="s">
        <v>44564</v>
      </c>
      <c r="S5341" s="213" t="s">
        <v>44565</v>
      </c>
      <c r="T5341" s="213" t="s">
        <v>44566</v>
      </c>
      <c r="U5341" s="213" t="s">
        <v>58818</v>
      </c>
    </row>
    <row r="5342" spans="1:21" x14ac:dyDescent="0.25">
      <c r="A5342" s="213" t="s">
        <v>327</v>
      </c>
      <c r="D5342" s="213" t="s">
        <v>44567</v>
      </c>
      <c r="E5342" s="213" t="s">
        <v>44568</v>
      </c>
      <c r="K5342" s="213" t="s">
        <v>58723</v>
      </c>
      <c r="L5342" s="213" t="s">
        <v>58755</v>
      </c>
      <c r="M5342" s="213" t="s">
        <v>58787</v>
      </c>
      <c r="N5342" s="213" t="s">
        <v>44569</v>
      </c>
      <c r="O5342" s="213" t="s">
        <v>44570</v>
      </c>
      <c r="P5342" s="213" t="s">
        <v>44571</v>
      </c>
      <c r="Q5342" s="213" t="s">
        <v>44572</v>
      </c>
      <c r="R5342" s="213" t="s">
        <v>44573</v>
      </c>
      <c r="S5342" s="213" t="s">
        <v>44574</v>
      </c>
      <c r="T5342" s="213" t="s">
        <v>44575</v>
      </c>
      <c r="U5342" s="213" t="s">
        <v>58819</v>
      </c>
    </row>
    <row r="5343" spans="1:21" x14ac:dyDescent="0.25">
      <c r="A5343" s="213" t="s">
        <v>327</v>
      </c>
      <c r="D5343" s="213" t="s">
        <v>44576</v>
      </c>
      <c r="E5343" s="213" t="s">
        <v>44577</v>
      </c>
      <c r="K5343" s="213" t="s">
        <v>58724</v>
      </c>
      <c r="L5343" s="213" t="s">
        <v>58756</v>
      </c>
      <c r="M5343" s="213" t="s">
        <v>58788</v>
      </c>
      <c r="N5343" s="213" t="s">
        <v>44578</v>
      </c>
      <c r="O5343" s="213" t="s">
        <v>44579</v>
      </c>
      <c r="P5343" s="213" t="s">
        <v>44580</v>
      </c>
      <c r="Q5343" s="213" t="s">
        <v>44581</v>
      </c>
      <c r="R5343" s="213" t="s">
        <v>44582</v>
      </c>
      <c r="S5343" s="213" t="s">
        <v>44583</v>
      </c>
      <c r="T5343" s="213" t="s">
        <v>44584</v>
      </c>
      <c r="U5343" s="213" t="s">
        <v>58820</v>
      </c>
    </row>
    <row r="5344" spans="1:21" x14ac:dyDescent="0.25">
      <c r="A5344" s="213" t="s">
        <v>327</v>
      </c>
      <c r="D5344" s="213" t="s">
        <v>44585</v>
      </c>
      <c r="E5344" s="213" t="s">
        <v>44586</v>
      </c>
      <c r="K5344" s="213" t="s">
        <v>58725</v>
      </c>
      <c r="L5344" s="213" t="s">
        <v>58757</v>
      </c>
      <c r="M5344" s="213" t="s">
        <v>58789</v>
      </c>
      <c r="N5344" s="213" t="s">
        <v>44587</v>
      </c>
      <c r="O5344" s="213" t="s">
        <v>44588</v>
      </c>
      <c r="P5344" s="213" t="s">
        <v>44589</v>
      </c>
      <c r="Q5344" s="213" t="s">
        <v>44590</v>
      </c>
      <c r="R5344" s="213" t="s">
        <v>44591</v>
      </c>
      <c r="S5344" s="213" t="s">
        <v>44592</v>
      </c>
      <c r="T5344" s="213" t="s">
        <v>44593</v>
      </c>
      <c r="U5344" s="213" t="s">
        <v>58821</v>
      </c>
    </row>
    <row r="5345" spans="1:21" x14ac:dyDescent="0.25">
      <c r="A5345" s="213" t="s">
        <v>327</v>
      </c>
      <c r="D5345" s="213" t="s">
        <v>44594</v>
      </c>
      <c r="E5345" s="213" t="s">
        <v>44595</v>
      </c>
      <c r="K5345" s="213" t="s">
        <v>58726</v>
      </c>
      <c r="L5345" s="213" t="s">
        <v>58758</v>
      </c>
      <c r="M5345" s="213" t="s">
        <v>58790</v>
      </c>
      <c r="N5345" s="213" t="s">
        <v>44596</v>
      </c>
      <c r="O5345" s="213" t="s">
        <v>44597</v>
      </c>
      <c r="P5345" s="213" t="s">
        <v>44598</v>
      </c>
      <c r="Q5345" s="213" t="s">
        <v>44599</v>
      </c>
      <c r="R5345" s="213" t="s">
        <v>44600</v>
      </c>
      <c r="S5345" s="213" t="s">
        <v>44601</v>
      </c>
      <c r="T5345" s="213" t="s">
        <v>44602</v>
      </c>
      <c r="U5345" s="213" t="s">
        <v>58822</v>
      </c>
    </row>
    <row r="5346" spans="1:21" x14ac:dyDescent="0.25">
      <c r="A5346" s="213" t="s">
        <v>327</v>
      </c>
      <c r="D5346" s="213" t="s">
        <v>44603</v>
      </c>
      <c r="E5346" s="213" t="s">
        <v>44604</v>
      </c>
      <c r="K5346" s="213" t="s">
        <v>58727</v>
      </c>
      <c r="L5346" s="213" t="s">
        <v>58759</v>
      </c>
      <c r="M5346" s="213" t="s">
        <v>58791</v>
      </c>
      <c r="N5346" s="213" t="s">
        <v>44605</v>
      </c>
      <c r="O5346" s="213" t="s">
        <v>44606</v>
      </c>
      <c r="P5346" s="213" t="s">
        <v>44607</v>
      </c>
      <c r="Q5346" s="213" t="s">
        <v>44608</v>
      </c>
      <c r="R5346" s="213" t="s">
        <v>44609</v>
      </c>
      <c r="S5346" s="213" t="s">
        <v>44610</v>
      </c>
      <c r="T5346" s="213" t="s">
        <v>44611</v>
      </c>
      <c r="U5346" s="213" t="s">
        <v>58823</v>
      </c>
    </row>
    <row r="5347" spans="1:21" x14ac:dyDescent="0.25">
      <c r="A5347" s="213" t="s">
        <v>327</v>
      </c>
      <c r="D5347" s="213" t="s">
        <v>44612</v>
      </c>
      <c r="E5347" s="213" t="s">
        <v>44613</v>
      </c>
      <c r="K5347" s="213" t="s">
        <v>58728</v>
      </c>
      <c r="L5347" s="213" t="s">
        <v>58760</v>
      </c>
      <c r="M5347" s="213" t="s">
        <v>58792</v>
      </c>
      <c r="N5347" s="213" t="s">
        <v>44614</v>
      </c>
      <c r="O5347" s="213" t="s">
        <v>44615</v>
      </c>
      <c r="P5347" s="213" t="s">
        <v>44616</v>
      </c>
      <c r="Q5347" s="213" t="s">
        <v>44617</v>
      </c>
      <c r="R5347" s="213" t="s">
        <v>44618</v>
      </c>
      <c r="S5347" s="213" t="s">
        <v>44619</v>
      </c>
      <c r="T5347" s="213" t="s">
        <v>44620</v>
      </c>
      <c r="U5347" s="213" t="s">
        <v>58824</v>
      </c>
    </row>
    <row r="5348" spans="1:21" x14ac:dyDescent="0.25">
      <c r="A5348" s="213" t="s">
        <v>327</v>
      </c>
      <c r="D5348" s="213" t="s">
        <v>44621</v>
      </c>
      <c r="E5348" s="213" t="s">
        <v>44622</v>
      </c>
      <c r="K5348" s="213" t="s">
        <v>58729</v>
      </c>
      <c r="L5348" s="213" t="s">
        <v>58761</v>
      </c>
      <c r="M5348" s="213" t="s">
        <v>58793</v>
      </c>
      <c r="N5348" s="213" t="s">
        <v>44623</v>
      </c>
      <c r="O5348" s="213" t="s">
        <v>44624</v>
      </c>
      <c r="P5348" s="213" t="s">
        <v>44625</v>
      </c>
      <c r="Q5348" s="213" t="s">
        <v>44626</v>
      </c>
      <c r="R5348" s="213" t="s">
        <v>44627</v>
      </c>
      <c r="S5348" s="213" t="s">
        <v>44628</v>
      </c>
      <c r="T5348" s="213" t="s">
        <v>44629</v>
      </c>
      <c r="U5348" s="213" t="s">
        <v>58825</v>
      </c>
    </row>
    <row r="5349" spans="1:21" x14ac:dyDescent="0.25">
      <c r="A5349" s="213" t="s">
        <v>327</v>
      </c>
      <c r="D5349" s="213" t="s">
        <v>44630</v>
      </c>
      <c r="E5349" s="213" t="s">
        <v>44631</v>
      </c>
      <c r="K5349" s="213" t="s">
        <v>58730</v>
      </c>
      <c r="L5349" s="213" t="s">
        <v>58762</v>
      </c>
      <c r="M5349" s="213" t="s">
        <v>58794</v>
      </c>
      <c r="N5349" s="213" t="s">
        <v>44632</v>
      </c>
      <c r="O5349" s="213" t="s">
        <v>44633</v>
      </c>
      <c r="P5349" s="213" t="s">
        <v>44634</v>
      </c>
      <c r="Q5349" s="213" t="s">
        <v>44635</v>
      </c>
      <c r="R5349" s="213" t="s">
        <v>44636</v>
      </c>
      <c r="S5349" s="213" t="s">
        <v>44637</v>
      </c>
      <c r="T5349" s="213" t="s">
        <v>44638</v>
      </c>
      <c r="U5349" s="213" t="s">
        <v>58826</v>
      </c>
    </row>
    <row r="5350" spans="1:21" x14ac:dyDescent="0.25">
      <c r="A5350" s="213" t="s">
        <v>327</v>
      </c>
      <c r="D5350" s="213" t="s">
        <v>44639</v>
      </c>
      <c r="E5350" s="213" t="s">
        <v>44640</v>
      </c>
      <c r="K5350" s="213" t="s">
        <v>58731</v>
      </c>
      <c r="L5350" s="213" t="s">
        <v>58763</v>
      </c>
      <c r="M5350" s="213" t="s">
        <v>58795</v>
      </c>
      <c r="N5350" s="213" t="s">
        <v>44641</v>
      </c>
      <c r="O5350" s="213" t="s">
        <v>44642</v>
      </c>
      <c r="P5350" s="213" t="s">
        <v>44643</v>
      </c>
      <c r="Q5350" s="213" t="s">
        <v>44644</v>
      </c>
      <c r="R5350" s="213" t="s">
        <v>44645</v>
      </c>
      <c r="S5350" s="213" t="s">
        <v>44646</v>
      </c>
      <c r="T5350" s="213" t="s">
        <v>44647</v>
      </c>
      <c r="U5350" s="213" t="s">
        <v>58827</v>
      </c>
    </row>
    <row r="5351" spans="1:21" x14ac:dyDescent="0.25">
      <c r="A5351" s="213" t="s">
        <v>327</v>
      </c>
      <c r="D5351" s="213" t="s">
        <v>44648</v>
      </c>
      <c r="E5351" s="213" t="s">
        <v>44649</v>
      </c>
      <c r="K5351" s="213" t="s">
        <v>58732</v>
      </c>
      <c r="L5351" s="213" t="s">
        <v>58764</v>
      </c>
      <c r="M5351" s="213" t="s">
        <v>58796</v>
      </c>
      <c r="N5351" s="213" t="s">
        <v>44650</v>
      </c>
      <c r="O5351" s="213" t="s">
        <v>44651</v>
      </c>
      <c r="P5351" s="213" t="s">
        <v>44652</v>
      </c>
      <c r="Q5351" s="213" t="s">
        <v>44653</v>
      </c>
      <c r="R5351" s="213" t="s">
        <v>44654</v>
      </c>
      <c r="S5351" s="213" t="s">
        <v>44655</v>
      </c>
      <c r="T5351" s="213" t="s">
        <v>44656</v>
      </c>
      <c r="U5351" s="213" t="s">
        <v>58828</v>
      </c>
    </row>
    <row r="5352" spans="1:21" x14ac:dyDescent="0.25">
      <c r="A5352" s="213" t="s">
        <v>327</v>
      </c>
      <c r="D5352" s="213" t="s">
        <v>44657</v>
      </c>
      <c r="E5352" s="213" t="s">
        <v>44658</v>
      </c>
      <c r="K5352" s="213" t="s">
        <v>58733</v>
      </c>
      <c r="L5352" s="213" t="s">
        <v>58765</v>
      </c>
      <c r="M5352" s="213" t="s">
        <v>58797</v>
      </c>
      <c r="N5352" s="213" t="s">
        <v>44659</v>
      </c>
      <c r="O5352" s="213" t="s">
        <v>44660</v>
      </c>
      <c r="P5352" s="213" t="s">
        <v>44661</v>
      </c>
      <c r="Q5352" s="213" t="s">
        <v>44662</v>
      </c>
      <c r="R5352" s="213" t="s">
        <v>44663</v>
      </c>
      <c r="S5352" s="213" t="s">
        <v>44664</v>
      </c>
      <c r="T5352" s="213" t="s">
        <v>44665</v>
      </c>
      <c r="U5352" s="213" t="s">
        <v>58829</v>
      </c>
    </row>
    <row r="5353" spans="1:21" x14ac:dyDescent="0.25">
      <c r="A5353" s="213" t="s">
        <v>327</v>
      </c>
    </row>
    <row r="5354" spans="1:21" x14ac:dyDescent="0.25">
      <c r="A5354" s="213" t="s">
        <v>327</v>
      </c>
    </row>
    <row r="5355" spans="1:21" x14ac:dyDescent="0.25">
      <c r="A5355" s="213" t="s">
        <v>327</v>
      </c>
      <c r="C5355" s="213" t="s">
        <v>44666</v>
      </c>
      <c r="E5355" s="213" t="s">
        <v>44667</v>
      </c>
      <c r="H5355" s="213" t="s">
        <v>44668</v>
      </c>
      <c r="I5355" s="213" t="s">
        <v>44669</v>
      </c>
      <c r="J5355" s="213" t="s">
        <v>44670</v>
      </c>
      <c r="L5355" s="213" t="s">
        <v>44671</v>
      </c>
      <c r="O5355" s="213" t="s">
        <v>44672</v>
      </c>
      <c r="P5355" s="213" t="s">
        <v>44673</v>
      </c>
      <c r="Q5355" s="213" t="s">
        <v>44674</v>
      </c>
      <c r="R5355" s="213" t="s">
        <v>44675</v>
      </c>
      <c r="S5355" s="213" t="s">
        <v>44676</v>
      </c>
      <c r="T5355" s="213" t="s">
        <v>44677</v>
      </c>
    </row>
    <row r="5356" spans="1:21" x14ac:dyDescent="0.25">
      <c r="A5356" s="213" t="s">
        <v>327</v>
      </c>
      <c r="C5356" s="213" t="s">
        <v>44678</v>
      </c>
      <c r="E5356" s="213" t="s">
        <v>44679</v>
      </c>
      <c r="I5356" s="213" t="s">
        <v>44680</v>
      </c>
    </row>
    <row r="5357" spans="1:21" x14ac:dyDescent="0.25">
      <c r="A5357" s="213" t="s">
        <v>327</v>
      </c>
      <c r="C5357" s="213" t="s">
        <v>44681</v>
      </c>
      <c r="E5357" s="213" t="s">
        <v>44682</v>
      </c>
      <c r="I5357" s="213" t="s">
        <v>44683</v>
      </c>
    </row>
    <row r="5358" spans="1:21" x14ac:dyDescent="0.25">
      <c r="A5358" s="213" t="s">
        <v>328</v>
      </c>
    </row>
    <row r="5359" spans="1:21" x14ac:dyDescent="0.25">
      <c r="A5359" s="213" t="s">
        <v>327</v>
      </c>
      <c r="D5359" s="213" t="s">
        <v>44684</v>
      </c>
      <c r="E5359" s="213" t="s">
        <v>44685</v>
      </c>
      <c r="K5359" s="213" t="s">
        <v>58602</v>
      </c>
      <c r="L5359" s="213" t="s">
        <v>58627</v>
      </c>
      <c r="M5359" s="213" t="s">
        <v>58652</v>
      </c>
      <c r="N5359" s="213" t="s">
        <v>44686</v>
      </c>
      <c r="O5359" s="213" t="s">
        <v>44687</v>
      </c>
      <c r="P5359" s="213" t="s">
        <v>44688</v>
      </c>
      <c r="Q5359" s="213" t="s">
        <v>44689</v>
      </c>
      <c r="R5359" s="213" t="s">
        <v>44690</v>
      </c>
      <c r="S5359" s="213" t="s">
        <v>44691</v>
      </c>
      <c r="T5359" s="213" t="s">
        <v>44692</v>
      </c>
      <c r="U5359" s="213" t="s">
        <v>58677</v>
      </c>
    </row>
    <row r="5360" spans="1:21" x14ac:dyDescent="0.25">
      <c r="A5360" s="213" t="s">
        <v>327</v>
      </c>
      <c r="D5360" s="213" t="s">
        <v>44693</v>
      </c>
      <c r="E5360" s="213" t="s">
        <v>44694</v>
      </c>
      <c r="K5360" s="213" t="s">
        <v>58603</v>
      </c>
      <c r="L5360" s="213" t="s">
        <v>58628</v>
      </c>
      <c r="M5360" s="213" t="s">
        <v>58653</v>
      </c>
      <c r="N5360" s="213" t="s">
        <v>44695</v>
      </c>
      <c r="O5360" s="213" t="s">
        <v>44696</v>
      </c>
      <c r="P5360" s="213" t="s">
        <v>44697</v>
      </c>
      <c r="Q5360" s="213" t="s">
        <v>44698</v>
      </c>
      <c r="R5360" s="213" t="s">
        <v>44699</v>
      </c>
      <c r="S5360" s="213" t="s">
        <v>44700</v>
      </c>
      <c r="T5360" s="213" t="s">
        <v>44701</v>
      </c>
      <c r="U5360" s="213" t="s">
        <v>58678</v>
      </c>
    </row>
    <row r="5361" spans="1:21" x14ac:dyDescent="0.25">
      <c r="A5361" s="213" t="s">
        <v>327</v>
      </c>
      <c r="D5361" s="213" t="s">
        <v>44702</v>
      </c>
      <c r="E5361" s="213" t="s">
        <v>44703</v>
      </c>
      <c r="K5361" s="213" t="s">
        <v>58604</v>
      </c>
      <c r="L5361" s="213" t="s">
        <v>58629</v>
      </c>
      <c r="M5361" s="213" t="s">
        <v>58654</v>
      </c>
      <c r="N5361" s="213" t="s">
        <v>44704</v>
      </c>
      <c r="O5361" s="213" t="s">
        <v>44705</v>
      </c>
      <c r="P5361" s="213" t="s">
        <v>44706</v>
      </c>
      <c r="Q5361" s="213" t="s">
        <v>44707</v>
      </c>
      <c r="R5361" s="213" t="s">
        <v>44708</v>
      </c>
      <c r="S5361" s="213" t="s">
        <v>44709</v>
      </c>
      <c r="T5361" s="213" t="s">
        <v>44710</v>
      </c>
      <c r="U5361" s="213" t="s">
        <v>58679</v>
      </c>
    </row>
    <row r="5362" spans="1:21" x14ac:dyDescent="0.25">
      <c r="A5362" s="213" t="s">
        <v>327</v>
      </c>
      <c r="D5362" s="213" t="s">
        <v>44711</v>
      </c>
      <c r="E5362" s="213" t="s">
        <v>44712</v>
      </c>
      <c r="K5362" s="213" t="s">
        <v>58605</v>
      </c>
      <c r="L5362" s="213" t="s">
        <v>58630</v>
      </c>
      <c r="M5362" s="213" t="s">
        <v>58655</v>
      </c>
      <c r="N5362" s="213" t="s">
        <v>44713</v>
      </c>
      <c r="O5362" s="213" t="s">
        <v>44714</v>
      </c>
      <c r="P5362" s="213" t="s">
        <v>44715</v>
      </c>
      <c r="Q5362" s="213" t="s">
        <v>44716</v>
      </c>
      <c r="R5362" s="213" t="s">
        <v>44717</v>
      </c>
      <c r="S5362" s="213" t="s">
        <v>44718</v>
      </c>
      <c r="T5362" s="213" t="s">
        <v>44719</v>
      </c>
      <c r="U5362" s="213" t="s">
        <v>58680</v>
      </c>
    </row>
    <row r="5363" spans="1:21" x14ac:dyDescent="0.25">
      <c r="A5363" s="213" t="s">
        <v>327</v>
      </c>
      <c r="D5363" s="213" t="s">
        <v>44720</v>
      </c>
      <c r="E5363" s="213" t="s">
        <v>44721</v>
      </c>
      <c r="K5363" s="213" t="s">
        <v>58606</v>
      </c>
      <c r="L5363" s="213" t="s">
        <v>58631</v>
      </c>
      <c r="M5363" s="213" t="s">
        <v>58656</v>
      </c>
      <c r="N5363" s="213" t="s">
        <v>44722</v>
      </c>
      <c r="O5363" s="213" t="s">
        <v>44723</v>
      </c>
      <c r="P5363" s="213" t="s">
        <v>44724</v>
      </c>
      <c r="Q5363" s="213" t="s">
        <v>44725</v>
      </c>
      <c r="R5363" s="213" t="s">
        <v>44726</v>
      </c>
      <c r="S5363" s="213" t="s">
        <v>44727</v>
      </c>
      <c r="T5363" s="213" t="s">
        <v>44728</v>
      </c>
      <c r="U5363" s="213" t="s">
        <v>58681</v>
      </c>
    </row>
    <row r="5364" spans="1:21" x14ac:dyDescent="0.25">
      <c r="A5364" s="213" t="s">
        <v>327</v>
      </c>
      <c r="D5364" s="213" t="s">
        <v>44729</v>
      </c>
      <c r="E5364" s="213" t="s">
        <v>44730</v>
      </c>
      <c r="K5364" s="213" t="s">
        <v>58607</v>
      </c>
      <c r="L5364" s="213" t="s">
        <v>58632</v>
      </c>
      <c r="M5364" s="213" t="s">
        <v>58657</v>
      </c>
      <c r="N5364" s="213" t="s">
        <v>44731</v>
      </c>
      <c r="O5364" s="213" t="s">
        <v>44732</v>
      </c>
      <c r="P5364" s="213" t="s">
        <v>44733</v>
      </c>
      <c r="Q5364" s="213" t="s">
        <v>44734</v>
      </c>
      <c r="R5364" s="213" t="s">
        <v>44735</v>
      </c>
      <c r="S5364" s="213" t="s">
        <v>44736</v>
      </c>
      <c r="T5364" s="213" t="s">
        <v>44737</v>
      </c>
      <c r="U5364" s="213" t="s">
        <v>58682</v>
      </c>
    </row>
    <row r="5365" spans="1:21" x14ac:dyDescent="0.25">
      <c r="A5365" s="213" t="s">
        <v>327</v>
      </c>
      <c r="D5365" s="213" t="s">
        <v>44738</v>
      </c>
      <c r="E5365" s="213" t="s">
        <v>44739</v>
      </c>
      <c r="K5365" s="213" t="s">
        <v>58608</v>
      </c>
      <c r="L5365" s="213" t="s">
        <v>58633</v>
      </c>
      <c r="M5365" s="213" t="s">
        <v>58658</v>
      </c>
      <c r="N5365" s="213" t="s">
        <v>44740</v>
      </c>
      <c r="O5365" s="213" t="s">
        <v>44741</v>
      </c>
      <c r="P5365" s="213" t="s">
        <v>44742</v>
      </c>
      <c r="Q5365" s="213" t="s">
        <v>44743</v>
      </c>
      <c r="R5365" s="213" t="s">
        <v>44744</v>
      </c>
      <c r="S5365" s="213" t="s">
        <v>44745</v>
      </c>
      <c r="T5365" s="213" t="s">
        <v>44746</v>
      </c>
      <c r="U5365" s="213" t="s">
        <v>58683</v>
      </c>
    </row>
    <row r="5366" spans="1:21" x14ac:dyDescent="0.25">
      <c r="A5366" s="213" t="s">
        <v>327</v>
      </c>
      <c r="D5366" s="213" t="s">
        <v>44747</v>
      </c>
      <c r="E5366" s="213" t="s">
        <v>44748</v>
      </c>
      <c r="K5366" s="213" t="s">
        <v>58609</v>
      </c>
      <c r="L5366" s="213" t="s">
        <v>58634</v>
      </c>
      <c r="M5366" s="213" t="s">
        <v>58659</v>
      </c>
      <c r="N5366" s="213" t="s">
        <v>44749</v>
      </c>
      <c r="O5366" s="213" t="s">
        <v>44750</v>
      </c>
      <c r="P5366" s="213" t="s">
        <v>44751</v>
      </c>
      <c r="Q5366" s="213" t="s">
        <v>44752</v>
      </c>
      <c r="R5366" s="213" t="s">
        <v>44753</v>
      </c>
      <c r="S5366" s="213" t="s">
        <v>44754</v>
      </c>
      <c r="T5366" s="213" t="s">
        <v>44755</v>
      </c>
      <c r="U5366" s="213" t="s">
        <v>58684</v>
      </c>
    </row>
    <row r="5367" spans="1:21" x14ac:dyDescent="0.25">
      <c r="A5367" s="213" t="s">
        <v>327</v>
      </c>
      <c r="D5367" s="213" t="s">
        <v>44756</v>
      </c>
      <c r="E5367" s="213" t="s">
        <v>44757</v>
      </c>
      <c r="K5367" s="213" t="s">
        <v>58610</v>
      </c>
      <c r="L5367" s="213" t="s">
        <v>58635</v>
      </c>
      <c r="M5367" s="213" t="s">
        <v>58660</v>
      </c>
      <c r="N5367" s="213" t="s">
        <v>44758</v>
      </c>
      <c r="O5367" s="213" t="s">
        <v>44759</v>
      </c>
      <c r="P5367" s="213" t="s">
        <v>44760</v>
      </c>
      <c r="Q5367" s="213" t="s">
        <v>44761</v>
      </c>
      <c r="R5367" s="213" t="s">
        <v>44762</v>
      </c>
      <c r="S5367" s="213" t="s">
        <v>44763</v>
      </c>
      <c r="T5367" s="213" t="s">
        <v>44764</v>
      </c>
      <c r="U5367" s="213" t="s">
        <v>58685</v>
      </c>
    </row>
    <row r="5368" spans="1:21" x14ac:dyDescent="0.25">
      <c r="A5368" s="213" t="s">
        <v>327</v>
      </c>
      <c r="D5368" s="213" t="s">
        <v>44765</v>
      </c>
      <c r="E5368" s="213" t="s">
        <v>44766</v>
      </c>
      <c r="K5368" s="213" t="s">
        <v>58611</v>
      </c>
      <c r="L5368" s="213" t="s">
        <v>58636</v>
      </c>
      <c r="M5368" s="213" t="s">
        <v>58661</v>
      </c>
      <c r="N5368" s="213" t="s">
        <v>44767</v>
      </c>
      <c r="O5368" s="213" t="s">
        <v>44768</v>
      </c>
      <c r="P5368" s="213" t="s">
        <v>44769</v>
      </c>
      <c r="Q5368" s="213" t="s">
        <v>44770</v>
      </c>
      <c r="R5368" s="213" t="s">
        <v>44771</v>
      </c>
      <c r="S5368" s="213" t="s">
        <v>44772</v>
      </c>
      <c r="T5368" s="213" t="s">
        <v>44773</v>
      </c>
      <c r="U5368" s="213" t="s">
        <v>58686</v>
      </c>
    </row>
    <row r="5369" spans="1:21" x14ac:dyDescent="0.25">
      <c r="A5369" s="213" t="s">
        <v>327</v>
      </c>
      <c r="D5369" s="213" t="s">
        <v>44774</v>
      </c>
      <c r="E5369" s="213" t="s">
        <v>44775</v>
      </c>
      <c r="K5369" s="213" t="s">
        <v>58612</v>
      </c>
      <c r="L5369" s="213" t="s">
        <v>58637</v>
      </c>
      <c r="M5369" s="213" t="s">
        <v>58662</v>
      </c>
      <c r="N5369" s="213" t="s">
        <v>44776</v>
      </c>
      <c r="O5369" s="213" t="s">
        <v>44777</v>
      </c>
      <c r="P5369" s="213" t="s">
        <v>44778</v>
      </c>
      <c r="Q5369" s="213" t="s">
        <v>44779</v>
      </c>
      <c r="R5369" s="213" t="s">
        <v>44780</v>
      </c>
      <c r="S5369" s="213" t="s">
        <v>44781</v>
      </c>
      <c r="T5369" s="213" t="s">
        <v>44782</v>
      </c>
      <c r="U5369" s="213" t="s">
        <v>58687</v>
      </c>
    </row>
    <row r="5370" spans="1:21" x14ac:dyDescent="0.25">
      <c r="A5370" s="213" t="s">
        <v>327</v>
      </c>
      <c r="D5370" s="213" t="s">
        <v>44783</v>
      </c>
      <c r="E5370" s="213" t="s">
        <v>44784</v>
      </c>
      <c r="K5370" s="213" t="s">
        <v>58613</v>
      </c>
      <c r="L5370" s="213" t="s">
        <v>58638</v>
      </c>
      <c r="M5370" s="213" t="s">
        <v>58663</v>
      </c>
      <c r="N5370" s="213" t="s">
        <v>44785</v>
      </c>
      <c r="O5370" s="213" t="s">
        <v>44786</v>
      </c>
      <c r="P5370" s="213" t="s">
        <v>44787</v>
      </c>
      <c r="Q5370" s="213" t="s">
        <v>44788</v>
      </c>
      <c r="R5370" s="213" t="s">
        <v>44789</v>
      </c>
      <c r="S5370" s="213" t="s">
        <v>44790</v>
      </c>
      <c r="T5370" s="213" t="s">
        <v>44791</v>
      </c>
      <c r="U5370" s="213" t="s">
        <v>58688</v>
      </c>
    </row>
    <row r="5371" spans="1:21" x14ac:dyDescent="0.25">
      <c r="A5371" s="213" t="s">
        <v>327</v>
      </c>
      <c r="D5371" s="213" t="s">
        <v>44792</v>
      </c>
      <c r="E5371" s="213" t="s">
        <v>44793</v>
      </c>
      <c r="K5371" s="213" t="s">
        <v>58614</v>
      </c>
      <c r="L5371" s="213" t="s">
        <v>58639</v>
      </c>
      <c r="M5371" s="213" t="s">
        <v>58664</v>
      </c>
      <c r="N5371" s="213" t="s">
        <v>44794</v>
      </c>
      <c r="O5371" s="213" t="s">
        <v>44795</v>
      </c>
      <c r="P5371" s="213" t="s">
        <v>44796</v>
      </c>
      <c r="Q5371" s="213" t="s">
        <v>44797</v>
      </c>
      <c r="R5371" s="213" t="s">
        <v>44798</v>
      </c>
      <c r="S5371" s="213" t="s">
        <v>44799</v>
      </c>
      <c r="T5371" s="213" t="s">
        <v>44800</v>
      </c>
      <c r="U5371" s="213" t="s">
        <v>58689</v>
      </c>
    </row>
    <row r="5372" spans="1:21" x14ac:dyDescent="0.25">
      <c r="A5372" s="213" t="s">
        <v>327</v>
      </c>
      <c r="D5372" s="213" t="s">
        <v>44801</v>
      </c>
      <c r="E5372" s="213" t="s">
        <v>44802</v>
      </c>
      <c r="K5372" s="213" t="s">
        <v>58615</v>
      </c>
      <c r="L5372" s="213" t="s">
        <v>58640</v>
      </c>
      <c r="M5372" s="213" t="s">
        <v>58665</v>
      </c>
      <c r="N5372" s="213" t="s">
        <v>44803</v>
      </c>
      <c r="O5372" s="213" t="s">
        <v>44804</v>
      </c>
      <c r="P5372" s="213" t="s">
        <v>44805</v>
      </c>
      <c r="Q5372" s="213" t="s">
        <v>44806</v>
      </c>
      <c r="R5372" s="213" t="s">
        <v>44807</v>
      </c>
      <c r="S5372" s="213" t="s">
        <v>44808</v>
      </c>
      <c r="T5372" s="213" t="s">
        <v>44809</v>
      </c>
      <c r="U5372" s="213" t="s">
        <v>58690</v>
      </c>
    </row>
    <row r="5373" spans="1:21" x14ac:dyDescent="0.25">
      <c r="A5373" s="213" t="s">
        <v>327</v>
      </c>
      <c r="D5373" s="213" t="s">
        <v>44810</v>
      </c>
      <c r="E5373" s="213" t="s">
        <v>44811</v>
      </c>
      <c r="K5373" s="213" t="s">
        <v>58616</v>
      </c>
      <c r="L5373" s="213" t="s">
        <v>58641</v>
      </c>
      <c r="M5373" s="213" t="s">
        <v>58666</v>
      </c>
      <c r="N5373" s="213" t="s">
        <v>44812</v>
      </c>
      <c r="O5373" s="213" t="s">
        <v>44813</v>
      </c>
      <c r="P5373" s="213" t="s">
        <v>44814</v>
      </c>
      <c r="Q5373" s="213" t="s">
        <v>44815</v>
      </c>
      <c r="R5373" s="213" t="s">
        <v>44816</v>
      </c>
      <c r="S5373" s="213" t="s">
        <v>44817</v>
      </c>
      <c r="T5373" s="213" t="s">
        <v>44818</v>
      </c>
      <c r="U5373" s="213" t="s">
        <v>58691</v>
      </c>
    </row>
    <row r="5374" spans="1:21" x14ac:dyDescent="0.25">
      <c r="A5374" s="213" t="s">
        <v>327</v>
      </c>
      <c r="D5374" s="213" t="s">
        <v>44819</v>
      </c>
      <c r="E5374" s="213" t="s">
        <v>44820</v>
      </c>
      <c r="K5374" s="213" t="s">
        <v>58617</v>
      </c>
      <c r="L5374" s="213" t="s">
        <v>58642</v>
      </c>
      <c r="M5374" s="213" t="s">
        <v>58667</v>
      </c>
      <c r="N5374" s="213" t="s">
        <v>44821</v>
      </c>
      <c r="O5374" s="213" t="s">
        <v>44822</v>
      </c>
      <c r="P5374" s="213" t="s">
        <v>44823</v>
      </c>
      <c r="Q5374" s="213" t="s">
        <v>44824</v>
      </c>
      <c r="R5374" s="213" t="s">
        <v>44825</v>
      </c>
      <c r="S5374" s="213" t="s">
        <v>44826</v>
      </c>
      <c r="T5374" s="213" t="s">
        <v>44827</v>
      </c>
      <c r="U5374" s="213" t="s">
        <v>58692</v>
      </c>
    </row>
    <row r="5375" spans="1:21" x14ac:dyDescent="0.25">
      <c r="A5375" s="213" t="s">
        <v>327</v>
      </c>
      <c r="D5375" s="213" t="s">
        <v>44828</v>
      </c>
      <c r="E5375" s="213" t="s">
        <v>44829</v>
      </c>
      <c r="K5375" s="213" t="s">
        <v>58618</v>
      </c>
      <c r="L5375" s="213" t="s">
        <v>58643</v>
      </c>
      <c r="M5375" s="213" t="s">
        <v>58668</v>
      </c>
      <c r="N5375" s="213" t="s">
        <v>44830</v>
      </c>
      <c r="O5375" s="213" t="s">
        <v>44831</v>
      </c>
      <c r="P5375" s="213" t="s">
        <v>44832</v>
      </c>
      <c r="Q5375" s="213" t="s">
        <v>44833</v>
      </c>
      <c r="R5375" s="213" t="s">
        <v>44834</v>
      </c>
      <c r="S5375" s="213" t="s">
        <v>44835</v>
      </c>
      <c r="T5375" s="213" t="s">
        <v>44836</v>
      </c>
      <c r="U5375" s="213" t="s">
        <v>58693</v>
      </c>
    </row>
    <row r="5376" spans="1:21" x14ac:dyDescent="0.25">
      <c r="A5376" s="213" t="s">
        <v>327</v>
      </c>
      <c r="D5376" s="213" t="s">
        <v>44837</v>
      </c>
      <c r="E5376" s="213" t="s">
        <v>44838</v>
      </c>
      <c r="K5376" s="213" t="s">
        <v>58619</v>
      </c>
      <c r="L5376" s="213" t="s">
        <v>58644</v>
      </c>
      <c r="M5376" s="213" t="s">
        <v>58669</v>
      </c>
      <c r="N5376" s="213" t="s">
        <v>44839</v>
      </c>
      <c r="O5376" s="213" t="s">
        <v>44840</v>
      </c>
      <c r="P5376" s="213" t="s">
        <v>44841</v>
      </c>
      <c r="Q5376" s="213" t="s">
        <v>44842</v>
      </c>
      <c r="R5376" s="213" t="s">
        <v>44843</v>
      </c>
      <c r="S5376" s="213" t="s">
        <v>44844</v>
      </c>
      <c r="T5376" s="213" t="s">
        <v>44845</v>
      </c>
      <c r="U5376" s="213" t="s">
        <v>58694</v>
      </c>
    </row>
    <row r="5377" spans="1:21" x14ac:dyDescent="0.25">
      <c r="A5377" s="213" t="s">
        <v>327</v>
      </c>
      <c r="D5377" s="213" t="s">
        <v>44846</v>
      </c>
      <c r="E5377" s="213" t="s">
        <v>44847</v>
      </c>
      <c r="K5377" s="213" t="s">
        <v>58620</v>
      </c>
      <c r="L5377" s="213" t="s">
        <v>58645</v>
      </c>
      <c r="M5377" s="213" t="s">
        <v>58670</v>
      </c>
      <c r="N5377" s="213" t="s">
        <v>44848</v>
      </c>
      <c r="O5377" s="213" t="s">
        <v>44849</v>
      </c>
      <c r="P5377" s="213" t="s">
        <v>44850</v>
      </c>
      <c r="Q5377" s="213" t="s">
        <v>44851</v>
      </c>
      <c r="R5377" s="213" t="s">
        <v>44852</v>
      </c>
      <c r="S5377" s="213" t="s">
        <v>44853</v>
      </c>
      <c r="T5377" s="213" t="s">
        <v>44854</v>
      </c>
      <c r="U5377" s="213" t="s">
        <v>58695</v>
      </c>
    </row>
    <row r="5378" spans="1:21" x14ac:dyDescent="0.25">
      <c r="A5378" s="213" t="s">
        <v>327</v>
      </c>
      <c r="D5378" s="213" t="s">
        <v>44855</v>
      </c>
      <c r="E5378" s="213" t="s">
        <v>44856</v>
      </c>
      <c r="K5378" s="213" t="s">
        <v>58621</v>
      </c>
      <c r="L5378" s="213" t="s">
        <v>58646</v>
      </c>
      <c r="M5378" s="213" t="s">
        <v>58671</v>
      </c>
      <c r="N5378" s="213" t="s">
        <v>44857</v>
      </c>
      <c r="O5378" s="213" t="s">
        <v>44858</v>
      </c>
      <c r="P5378" s="213" t="s">
        <v>44859</v>
      </c>
      <c r="Q5378" s="213" t="s">
        <v>44860</v>
      </c>
      <c r="R5378" s="213" t="s">
        <v>44861</v>
      </c>
      <c r="S5378" s="213" t="s">
        <v>44862</v>
      </c>
      <c r="T5378" s="213" t="s">
        <v>44863</v>
      </c>
      <c r="U5378" s="213" t="s">
        <v>58696</v>
      </c>
    </row>
    <row r="5379" spans="1:21" x14ac:dyDescent="0.25">
      <c r="A5379" s="213" t="s">
        <v>327</v>
      </c>
      <c r="D5379" s="213" t="s">
        <v>44864</v>
      </c>
      <c r="E5379" s="213" t="s">
        <v>44865</v>
      </c>
      <c r="K5379" s="213" t="s">
        <v>58622</v>
      </c>
      <c r="L5379" s="213" t="s">
        <v>58647</v>
      </c>
      <c r="M5379" s="213" t="s">
        <v>58672</v>
      </c>
      <c r="N5379" s="213" t="s">
        <v>44866</v>
      </c>
      <c r="O5379" s="213" t="s">
        <v>44867</v>
      </c>
      <c r="P5379" s="213" t="s">
        <v>44868</v>
      </c>
      <c r="Q5379" s="213" t="s">
        <v>44869</v>
      </c>
      <c r="R5379" s="213" t="s">
        <v>44870</v>
      </c>
      <c r="S5379" s="213" t="s">
        <v>44871</v>
      </c>
      <c r="T5379" s="213" t="s">
        <v>44872</v>
      </c>
      <c r="U5379" s="213" t="s">
        <v>58697</v>
      </c>
    </row>
    <row r="5380" spans="1:21" x14ac:dyDescent="0.25">
      <c r="A5380" s="213" t="s">
        <v>327</v>
      </c>
      <c r="D5380" s="213" t="s">
        <v>44873</v>
      </c>
      <c r="E5380" s="213" t="s">
        <v>44874</v>
      </c>
      <c r="K5380" s="213" t="s">
        <v>58623</v>
      </c>
      <c r="L5380" s="213" t="s">
        <v>58648</v>
      </c>
      <c r="M5380" s="213" t="s">
        <v>58673</v>
      </c>
      <c r="N5380" s="213" t="s">
        <v>44875</v>
      </c>
      <c r="O5380" s="213" t="s">
        <v>44876</v>
      </c>
      <c r="P5380" s="213" t="s">
        <v>44877</v>
      </c>
      <c r="Q5380" s="213" t="s">
        <v>44878</v>
      </c>
      <c r="R5380" s="213" t="s">
        <v>44879</v>
      </c>
      <c r="S5380" s="213" t="s">
        <v>44880</v>
      </c>
      <c r="T5380" s="213" t="s">
        <v>44881</v>
      </c>
      <c r="U5380" s="213" t="s">
        <v>58698</v>
      </c>
    </row>
    <row r="5381" spans="1:21" x14ac:dyDescent="0.25">
      <c r="A5381" s="213" t="s">
        <v>327</v>
      </c>
      <c r="D5381" s="213" t="s">
        <v>44882</v>
      </c>
      <c r="E5381" s="213" t="s">
        <v>44883</v>
      </c>
      <c r="K5381" s="213" t="s">
        <v>58624</v>
      </c>
      <c r="L5381" s="213" t="s">
        <v>58649</v>
      </c>
      <c r="M5381" s="213" t="s">
        <v>58674</v>
      </c>
      <c r="N5381" s="213" t="s">
        <v>44884</v>
      </c>
      <c r="O5381" s="213" t="s">
        <v>44885</v>
      </c>
      <c r="P5381" s="213" t="s">
        <v>44886</v>
      </c>
      <c r="Q5381" s="213" t="s">
        <v>44887</v>
      </c>
      <c r="R5381" s="213" t="s">
        <v>44888</v>
      </c>
      <c r="S5381" s="213" t="s">
        <v>44889</v>
      </c>
      <c r="T5381" s="213" t="s">
        <v>44890</v>
      </c>
      <c r="U5381" s="213" t="s">
        <v>58699</v>
      </c>
    </row>
    <row r="5382" spans="1:21" x14ac:dyDescent="0.25">
      <c r="A5382" s="213" t="s">
        <v>327</v>
      </c>
      <c r="D5382" s="213" t="s">
        <v>44891</v>
      </c>
      <c r="E5382" s="213" t="s">
        <v>44892</v>
      </c>
      <c r="K5382" s="213" t="s">
        <v>58625</v>
      </c>
      <c r="L5382" s="213" t="s">
        <v>58650</v>
      </c>
      <c r="M5382" s="213" t="s">
        <v>58675</v>
      </c>
      <c r="N5382" s="213" t="s">
        <v>44893</v>
      </c>
      <c r="O5382" s="213" t="s">
        <v>44894</v>
      </c>
      <c r="P5382" s="213" t="s">
        <v>44895</v>
      </c>
      <c r="Q5382" s="213" t="s">
        <v>44896</v>
      </c>
      <c r="R5382" s="213" t="s">
        <v>44897</v>
      </c>
      <c r="S5382" s="213" t="s">
        <v>44898</v>
      </c>
      <c r="T5382" s="213" t="s">
        <v>44899</v>
      </c>
      <c r="U5382" s="213" t="s">
        <v>58700</v>
      </c>
    </row>
    <row r="5383" spans="1:21" x14ac:dyDescent="0.25">
      <c r="A5383" s="213" t="s">
        <v>327</v>
      </c>
      <c r="D5383" s="213" t="s">
        <v>44900</v>
      </c>
      <c r="E5383" s="213" t="s">
        <v>44901</v>
      </c>
      <c r="K5383" s="213" t="s">
        <v>58626</v>
      </c>
      <c r="L5383" s="213" t="s">
        <v>58651</v>
      </c>
      <c r="M5383" s="213" t="s">
        <v>58676</v>
      </c>
      <c r="N5383" s="213" t="s">
        <v>44902</v>
      </c>
      <c r="O5383" s="213" t="s">
        <v>44903</v>
      </c>
      <c r="P5383" s="213" t="s">
        <v>44904</v>
      </c>
      <c r="Q5383" s="213" t="s">
        <v>44905</v>
      </c>
      <c r="R5383" s="213" t="s">
        <v>44906</v>
      </c>
      <c r="S5383" s="213" t="s">
        <v>44907</v>
      </c>
      <c r="T5383" s="213" t="s">
        <v>44908</v>
      </c>
      <c r="U5383" s="213" t="s">
        <v>58701</v>
      </c>
    </row>
    <row r="5384" spans="1:21" x14ac:dyDescent="0.25">
      <c r="A5384" s="213" t="s">
        <v>327</v>
      </c>
    </row>
    <row r="5385" spans="1:21" x14ac:dyDescent="0.25">
      <c r="A5385" s="213" t="s">
        <v>327</v>
      </c>
    </row>
    <row r="5386" spans="1:21" x14ac:dyDescent="0.25">
      <c r="A5386" s="213" t="s">
        <v>327</v>
      </c>
      <c r="C5386" s="213" t="s">
        <v>44909</v>
      </c>
      <c r="E5386" s="213" t="s">
        <v>44910</v>
      </c>
      <c r="H5386" s="213" t="s">
        <v>44911</v>
      </c>
      <c r="I5386" s="213" t="s">
        <v>44912</v>
      </c>
      <c r="J5386" s="213" t="s">
        <v>44913</v>
      </c>
      <c r="L5386" s="213" t="s">
        <v>44914</v>
      </c>
      <c r="O5386" s="213" t="s">
        <v>44915</v>
      </c>
      <c r="P5386" s="213" t="s">
        <v>44916</v>
      </c>
      <c r="Q5386" s="213" t="s">
        <v>44917</v>
      </c>
      <c r="R5386" s="213" t="s">
        <v>44918</v>
      </c>
      <c r="S5386" s="213" t="s">
        <v>44919</v>
      </c>
      <c r="T5386" s="213" t="s">
        <v>44920</v>
      </c>
    </row>
    <row r="5387" spans="1:21" x14ac:dyDescent="0.25">
      <c r="A5387" s="213" t="s">
        <v>327</v>
      </c>
      <c r="C5387" s="213" t="s">
        <v>44921</v>
      </c>
      <c r="E5387" s="213" t="s">
        <v>44922</v>
      </c>
      <c r="I5387" s="213" t="s">
        <v>44923</v>
      </c>
    </row>
    <row r="5388" spans="1:21" x14ac:dyDescent="0.25">
      <c r="A5388" s="213" t="s">
        <v>327</v>
      </c>
      <c r="C5388" s="213" t="s">
        <v>44924</v>
      </c>
      <c r="E5388" s="213" t="s">
        <v>44925</v>
      </c>
      <c r="I5388" s="213" t="s">
        <v>44926</v>
      </c>
    </row>
    <row r="5389" spans="1:21" x14ac:dyDescent="0.25">
      <c r="A5389" s="213" t="s">
        <v>328</v>
      </c>
    </row>
    <row r="5390" spans="1:21" x14ac:dyDescent="0.25">
      <c r="A5390" s="213" t="s">
        <v>327</v>
      </c>
      <c r="D5390" s="213" t="s">
        <v>44927</v>
      </c>
      <c r="E5390" s="213" t="s">
        <v>44928</v>
      </c>
      <c r="K5390" s="213" t="s">
        <v>58238</v>
      </c>
      <c r="L5390" s="213" t="s">
        <v>58329</v>
      </c>
      <c r="M5390" s="213" t="s">
        <v>58420</v>
      </c>
      <c r="N5390" s="213" t="s">
        <v>44929</v>
      </c>
      <c r="O5390" s="213" t="s">
        <v>44930</v>
      </c>
      <c r="P5390" s="213" t="s">
        <v>44931</v>
      </c>
      <c r="Q5390" s="213" t="s">
        <v>44932</v>
      </c>
      <c r="R5390" s="213" t="s">
        <v>44933</v>
      </c>
      <c r="S5390" s="213" t="s">
        <v>44934</v>
      </c>
      <c r="T5390" s="213" t="s">
        <v>44935</v>
      </c>
      <c r="U5390" s="213" t="s">
        <v>58511</v>
      </c>
    </row>
    <row r="5391" spans="1:21" x14ac:dyDescent="0.25">
      <c r="A5391" s="213" t="s">
        <v>327</v>
      </c>
      <c r="D5391" s="213" t="s">
        <v>44936</v>
      </c>
      <c r="E5391" s="213" t="s">
        <v>44937</v>
      </c>
      <c r="K5391" s="213" t="s">
        <v>58239</v>
      </c>
      <c r="L5391" s="213" t="s">
        <v>58330</v>
      </c>
      <c r="M5391" s="213" t="s">
        <v>58421</v>
      </c>
      <c r="N5391" s="213" t="s">
        <v>44938</v>
      </c>
      <c r="O5391" s="213" t="s">
        <v>44939</v>
      </c>
      <c r="P5391" s="213" t="s">
        <v>44940</v>
      </c>
      <c r="Q5391" s="213" t="s">
        <v>44941</v>
      </c>
      <c r="R5391" s="213" t="s">
        <v>44942</v>
      </c>
      <c r="S5391" s="213" t="s">
        <v>44943</v>
      </c>
      <c r="T5391" s="213" t="s">
        <v>44944</v>
      </c>
      <c r="U5391" s="213" t="s">
        <v>58512</v>
      </c>
    </row>
    <row r="5392" spans="1:21" x14ac:dyDescent="0.25">
      <c r="A5392" s="213" t="s">
        <v>327</v>
      </c>
      <c r="D5392" s="213" t="s">
        <v>44945</v>
      </c>
      <c r="E5392" s="213" t="s">
        <v>44946</v>
      </c>
      <c r="K5392" s="213" t="s">
        <v>58240</v>
      </c>
      <c r="L5392" s="213" t="s">
        <v>58331</v>
      </c>
      <c r="M5392" s="213" t="s">
        <v>58422</v>
      </c>
      <c r="N5392" s="213" t="s">
        <v>44947</v>
      </c>
      <c r="O5392" s="213" t="s">
        <v>44948</v>
      </c>
      <c r="P5392" s="213" t="s">
        <v>44949</v>
      </c>
      <c r="Q5392" s="213" t="s">
        <v>44950</v>
      </c>
      <c r="R5392" s="213" t="s">
        <v>44951</v>
      </c>
      <c r="S5392" s="213" t="s">
        <v>44952</v>
      </c>
      <c r="T5392" s="213" t="s">
        <v>44953</v>
      </c>
      <c r="U5392" s="213" t="s">
        <v>58513</v>
      </c>
    </row>
    <row r="5393" spans="1:21" x14ac:dyDescent="0.25">
      <c r="A5393" s="213" t="s">
        <v>327</v>
      </c>
      <c r="D5393" s="213" t="s">
        <v>44954</v>
      </c>
      <c r="E5393" s="213" t="s">
        <v>44955</v>
      </c>
      <c r="K5393" s="213" t="s">
        <v>58241</v>
      </c>
      <c r="L5393" s="213" t="s">
        <v>58332</v>
      </c>
      <c r="M5393" s="213" t="s">
        <v>58423</v>
      </c>
      <c r="N5393" s="213" t="s">
        <v>44956</v>
      </c>
      <c r="O5393" s="213" t="s">
        <v>44957</v>
      </c>
      <c r="P5393" s="213" t="s">
        <v>44958</v>
      </c>
      <c r="Q5393" s="213" t="s">
        <v>44959</v>
      </c>
      <c r="R5393" s="213" t="s">
        <v>44960</v>
      </c>
      <c r="S5393" s="213" t="s">
        <v>44961</v>
      </c>
      <c r="T5393" s="213" t="s">
        <v>44962</v>
      </c>
      <c r="U5393" s="213" t="s">
        <v>58514</v>
      </c>
    </row>
    <row r="5394" spans="1:21" x14ac:dyDescent="0.25">
      <c r="A5394" s="213" t="s">
        <v>327</v>
      </c>
      <c r="D5394" s="213" t="s">
        <v>44963</v>
      </c>
      <c r="E5394" s="213" t="s">
        <v>44964</v>
      </c>
      <c r="K5394" s="213" t="s">
        <v>58242</v>
      </c>
      <c r="L5394" s="213" t="s">
        <v>58333</v>
      </c>
      <c r="M5394" s="213" t="s">
        <v>58424</v>
      </c>
      <c r="N5394" s="213" t="s">
        <v>44965</v>
      </c>
      <c r="O5394" s="213" t="s">
        <v>44966</v>
      </c>
      <c r="P5394" s="213" t="s">
        <v>44967</v>
      </c>
      <c r="Q5394" s="213" t="s">
        <v>44968</v>
      </c>
      <c r="R5394" s="213" t="s">
        <v>44969</v>
      </c>
      <c r="S5394" s="213" t="s">
        <v>44970</v>
      </c>
      <c r="T5394" s="213" t="s">
        <v>44971</v>
      </c>
      <c r="U5394" s="213" t="s">
        <v>58515</v>
      </c>
    </row>
    <row r="5395" spans="1:21" x14ac:dyDescent="0.25">
      <c r="A5395" s="213" t="s">
        <v>327</v>
      </c>
      <c r="D5395" s="213" t="s">
        <v>44972</v>
      </c>
      <c r="E5395" s="213" t="s">
        <v>44973</v>
      </c>
      <c r="K5395" s="213" t="s">
        <v>58243</v>
      </c>
      <c r="L5395" s="213" t="s">
        <v>58334</v>
      </c>
      <c r="M5395" s="213" t="s">
        <v>58425</v>
      </c>
      <c r="N5395" s="213" t="s">
        <v>44974</v>
      </c>
      <c r="O5395" s="213" t="s">
        <v>44975</v>
      </c>
      <c r="P5395" s="213" t="s">
        <v>44976</v>
      </c>
      <c r="Q5395" s="213" t="s">
        <v>44977</v>
      </c>
      <c r="R5395" s="213" t="s">
        <v>44978</v>
      </c>
      <c r="S5395" s="213" t="s">
        <v>44979</v>
      </c>
      <c r="T5395" s="213" t="s">
        <v>44980</v>
      </c>
      <c r="U5395" s="213" t="s">
        <v>58516</v>
      </c>
    </row>
    <row r="5396" spans="1:21" x14ac:dyDescent="0.25">
      <c r="A5396" s="213" t="s">
        <v>327</v>
      </c>
      <c r="D5396" s="213" t="s">
        <v>44981</v>
      </c>
      <c r="E5396" s="213" t="s">
        <v>44982</v>
      </c>
      <c r="K5396" s="213" t="s">
        <v>58244</v>
      </c>
      <c r="L5396" s="213" t="s">
        <v>58335</v>
      </c>
      <c r="M5396" s="213" t="s">
        <v>58426</v>
      </c>
      <c r="N5396" s="213" t="s">
        <v>44983</v>
      </c>
      <c r="O5396" s="213" t="s">
        <v>44984</v>
      </c>
      <c r="P5396" s="213" t="s">
        <v>44985</v>
      </c>
      <c r="Q5396" s="213" t="s">
        <v>44986</v>
      </c>
      <c r="R5396" s="213" t="s">
        <v>44987</v>
      </c>
      <c r="S5396" s="213" t="s">
        <v>44988</v>
      </c>
      <c r="T5396" s="213" t="s">
        <v>44989</v>
      </c>
      <c r="U5396" s="213" t="s">
        <v>58517</v>
      </c>
    </row>
    <row r="5397" spans="1:21" x14ac:dyDescent="0.25">
      <c r="A5397" s="213" t="s">
        <v>327</v>
      </c>
      <c r="D5397" s="213" t="s">
        <v>44990</v>
      </c>
      <c r="E5397" s="213" t="s">
        <v>44991</v>
      </c>
      <c r="K5397" s="213" t="s">
        <v>58245</v>
      </c>
      <c r="L5397" s="213" t="s">
        <v>58336</v>
      </c>
      <c r="M5397" s="213" t="s">
        <v>58427</v>
      </c>
      <c r="N5397" s="213" t="s">
        <v>44992</v>
      </c>
      <c r="O5397" s="213" t="s">
        <v>44993</v>
      </c>
      <c r="P5397" s="213" t="s">
        <v>44994</v>
      </c>
      <c r="Q5397" s="213" t="s">
        <v>44995</v>
      </c>
      <c r="R5397" s="213" t="s">
        <v>44996</v>
      </c>
      <c r="S5397" s="213" t="s">
        <v>44997</v>
      </c>
      <c r="T5397" s="213" t="s">
        <v>44998</v>
      </c>
      <c r="U5397" s="213" t="s">
        <v>58518</v>
      </c>
    </row>
    <row r="5398" spans="1:21" x14ac:dyDescent="0.25">
      <c r="A5398" s="213" t="s">
        <v>327</v>
      </c>
      <c r="D5398" s="213" t="s">
        <v>44999</v>
      </c>
      <c r="E5398" s="213" t="s">
        <v>45000</v>
      </c>
      <c r="K5398" s="213" t="s">
        <v>58246</v>
      </c>
      <c r="L5398" s="213" t="s">
        <v>58337</v>
      </c>
      <c r="M5398" s="213" t="s">
        <v>58428</v>
      </c>
      <c r="N5398" s="213" t="s">
        <v>45001</v>
      </c>
      <c r="O5398" s="213" t="s">
        <v>45002</v>
      </c>
      <c r="P5398" s="213" t="s">
        <v>45003</v>
      </c>
      <c r="Q5398" s="213" t="s">
        <v>45004</v>
      </c>
      <c r="R5398" s="213" t="s">
        <v>45005</v>
      </c>
      <c r="S5398" s="213" t="s">
        <v>45006</v>
      </c>
      <c r="T5398" s="213" t="s">
        <v>45007</v>
      </c>
      <c r="U5398" s="213" t="s">
        <v>58519</v>
      </c>
    </row>
    <row r="5399" spans="1:21" x14ac:dyDescent="0.25">
      <c r="A5399" s="213" t="s">
        <v>327</v>
      </c>
      <c r="D5399" s="213" t="s">
        <v>45008</v>
      </c>
      <c r="E5399" s="213" t="s">
        <v>45009</v>
      </c>
      <c r="K5399" s="213" t="s">
        <v>58247</v>
      </c>
      <c r="L5399" s="213" t="s">
        <v>58338</v>
      </c>
      <c r="M5399" s="213" t="s">
        <v>58429</v>
      </c>
      <c r="N5399" s="213" t="s">
        <v>45010</v>
      </c>
      <c r="O5399" s="213" t="s">
        <v>45011</v>
      </c>
      <c r="P5399" s="213" t="s">
        <v>45012</v>
      </c>
      <c r="Q5399" s="213" t="s">
        <v>45013</v>
      </c>
      <c r="R5399" s="213" t="s">
        <v>45014</v>
      </c>
      <c r="S5399" s="213" t="s">
        <v>45015</v>
      </c>
      <c r="T5399" s="213" t="s">
        <v>45016</v>
      </c>
      <c r="U5399" s="213" t="s">
        <v>58520</v>
      </c>
    </row>
    <row r="5400" spans="1:21" x14ac:dyDescent="0.25">
      <c r="A5400" s="213" t="s">
        <v>327</v>
      </c>
      <c r="D5400" s="213" t="s">
        <v>45017</v>
      </c>
      <c r="E5400" s="213" t="s">
        <v>45018</v>
      </c>
      <c r="K5400" s="213" t="s">
        <v>58248</v>
      </c>
      <c r="L5400" s="213" t="s">
        <v>58339</v>
      </c>
      <c r="M5400" s="213" t="s">
        <v>58430</v>
      </c>
      <c r="N5400" s="213" t="s">
        <v>45019</v>
      </c>
      <c r="O5400" s="213" t="s">
        <v>45020</v>
      </c>
      <c r="P5400" s="213" t="s">
        <v>45021</v>
      </c>
      <c r="Q5400" s="213" t="s">
        <v>45022</v>
      </c>
      <c r="R5400" s="213" t="s">
        <v>45023</v>
      </c>
      <c r="S5400" s="213" t="s">
        <v>45024</v>
      </c>
      <c r="T5400" s="213" t="s">
        <v>45025</v>
      </c>
      <c r="U5400" s="213" t="s">
        <v>58521</v>
      </c>
    </row>
    <row r="5401" spans="1:21" x14ac:dyDescent="0.25">
      <c r="A5401" s="213" t="s">
        <v>327</v>
      </c>
      <c r="D5401" s="213" t="s">
        <v>45026</v>
      </c>
      <c r="E5401" s="213" t="s">
        <v>45027</v>
      </c>
      <c r="K5401" s="213" t="s">
        <v>58249</v>
      </c>
      <c r="L5401" s="213" t="s">
        <v>58340</v>
      </c>
      <c r="M5401" s="213" t="s">
        <v>58431</v>
      </c>
      <c r="N5401" s="213" t="s">
        <v>45028</v>
      </c>
      <c r="O5401" s="213" t="s">
        <v>45029</v>
      </c>
      <c r="P5401" s="213" t="s">
        <v>45030</v>
      </c>
      <c r="Q5401" s="213" t="s">
        <v>45031</v>
      </c>
      <c r="R5401" s="213" t="s">
        <v>45032</v>
      </c>
      <c r="S5401" s="213" t="s">
        <v>45033</v>
      </c>
      <c r="T5401" s="213" t="s">
        <v>45034</v>
      </c>
      <c r="U5401" s="213" t="s">
        <v>58522</v>
      </c>
    </row>
    <row r="5402" spans="1:21" x14ac:dyDescent="0.25">
      <c r="A5402" s="213" t="s">
        <v>327</v>
      </c>
      <c r="D5402" s="213" t="s">
        <v>45035</v>
      </c>
      <c r="E5402" s="213" t="s">
        <v>45036</v>
      </c>
      <c r="K5402" s="213" t="s">
        <v>58250</v>
      </c>
      <c r="L5402" s="213" t="s">
        <v>58341</v>
      </c>
      <c r="M5402" s="213" t="s">
        <v>58432</v>
      </c>
      <c r="N5402" s="213" t="s">
        <v>45037</v>
      </c>
      <c r="O5402" s="213" t="s">
        <v>45038</v>
      </c>
      <c r="P5402" s="213" t="s">
        <v>45039</v>
      </c>
      <c r="Q5402" s="213" t="s">
        <v>45040</v>
      </c>
      <c r="R5402" s="213" t="s">
        <v>45041</v>
      </c>
      <c r="S5402" s="213" t="s">
        <v>45042</v>
      </c>
      <c r="T5402" s="213" t="s">
        <v>45043</v>
      </c>
      <c r="U5402" s="213" t="s">
        <v>58523</v>
      </c>
    </row>
    <row r="5403" spans="1:21" x14ac:dyDescent="0.25">
      <c r="A5403" s="213" t="s">
        <v>327</v>
      </c>
      <c r="D5403" s="213" t="s">
        <v>45044</v>
      </c>
      <c r="E5403" s="213" t="s">
        <v>45045</v>
      </c>
      <c r="K5403" s="213" t="s">
        <v>58251</v>
      </c>
      <c r="L5403" s="213" t="s">
        <v>58342</v>
      </c>
      <c r="M5403" s="213" t="s">
        <v>58433</v>
      </c>
      <c r="N5403" s="213" t="s">
        <v>45046</v>
      </c>
      <c r="O5403" s="213" t="s">
        <v>45047</v>
      </c>
      <c r="P5403" s="213" t="s">
        <v>45048</v>
      </c>
      <c r="Q5403" s="213" t="s">
        <v>45049</v>
      </c>
      <c r="R5403" s="213" t="s">
        <v>45050</v>
      </c>
      <c r="S5403" s="213" t="s">
        <v>45051</v>
      </c>
      <c r="T5403" s="213" t="s">
        <v>45052</v>
      </c>
      <c r="U5403" s="213" t="s">
        <v>58524</v>
      </c>
    </row>
    <row r="5404" spans="1:21" x14ac:dyDescent="0.25">
      <c r="A5404" s="213" t="s">
        <v>327</v>
      </c>
      <c r="D5404" s="213" t="s">
        <v>45053</v>
      </c>
      <c r="E5404" s="213" t="s">
        <v>45054</v>
      </c>
      <c r="K5404" s="213" t="s">
        <v>58252</v>
      </c>
      <c r="L5404" s="213" t="s">
        <v>58343</v>
      </c>
      <c r="M5404" s="213" t="s">
        <v>58434</v>
      </c>
      <c r="N5404" s="213" t="s">
        <v>45055</v>
      </c>
      <c r="O5404" s="213" t="s">
        <v>45056</v>
      </c>
      <c r="P5404" s="213" t="s">
        <v>45057</v>
      </c>
      <c r="Q5404" s="213" t="s">
        <v>45058</v>
      </c>
      <c r="R5404" s="213" t="s">
        <v>45059</v>
      </c>
      <c r="S5404" s="213" t="s">
        <v>45060</v>
      </c>
      <c r="T5404" s="213" t="s">
        <v>45061</v>
      </c>
      <c r="U5404" s="213" t="s">
        <v>58525</v>
      </c>
    </row>
    <row r="5405" spans="1:21" x14ac:dyDescent="0.25">
      <c r="A5405" s="213" t="s">
        <v>327</v>
      </c>
      <c r="D5405" s="213" t="s">
        <v>45062</v>
      </c>
      <c r="E5405" s="213" t="s">
        <v>45063</v>
      </c>
      <c r="K5405" s="213" t="s">
        <v>58253</v>
      </c>
      <c r="L5405" s="213" t="s">
        <v>58344</v>
      </c>
      <c r="M5405" s="213" t="s">
        <v>58435</v>
      </c>
      <c r="N5405" s="213" t="s">
        <v>45064</v>
      </c>
      <c r="O5405" s="213" t="s">
        <v>45065</v>
      </c>
      <c r="P5405" s="213" t="s">
        <v>45066</v>
      </c>
      <c r="Q5405" s="213" t="s">
        <v>45067</v>
      </c>
      <c r="R5405" s="213" t="s">
        <v>45068</v>
      </c>
      <c r="S5405" s="213" t="s">
        <v>45069</v>
      </c>
      <c r="T5405" s="213" t="s">
        <v>45070</v>
      </c>
      <c r="U5405" s="213" t="s">
        <v>58526</v>
      </c>
    </row>
    <row r="5406" spans="1:21" x14ac:dyDescent="0.25">
      <c r="A5406" s="213" t="s">
        <v>327</v>
      </c>
      <c r="D5406" s="213" t="s">
        <v>45071</v>
      </c>
      <c r="E5406" s="213" t="s">
        <v>45072</v>
      </c>
      <c r="K5406" s="213" t="s">
        <v>58254</v>
      </c>
      <c r="L5406" s="213" t="s">
        <v>58345</v>
      </c>
      <c r="M5406" s="213" t="s">
        <v>58436</v>
      </c>
      <c r="N5406" s="213" t="s">
        <v>45073</v>
      </c>
      <c r="O5406" s="213" t="s">
        <v>45074</v>
      </c>
      <c r="P5406" s="213" t="s">
        <v>45075</v>
      </c>
      <c r="Q5406" s="213" t="s">
        <v>45076</v>
      </c>
      <c r="R5406" s="213" t="s">
        <v>45077</v>
      </c>
      <c r="S5406" s="213" t="s">
        <v>45078</v>
      </c>
      <c r="T5406" s="213" t="s">
        <v>45079</v>
      </c>
      <c r="U5406" s="213" t="s">
        <v>58527</v>
      </c>
    </row>
    <row r="5407" spans="1:21" x14ac:dyDescent="0.25">
      <c r="A5407" s="213" t="s">
        <v>327</v>
      </c>
      <c r="D5407" s="213" t="s">
        <v>45080</v>
      </c>
      <c r="E5407" s="213" t="s">
        <v>45081</v>
      </c>
      <c r="K5407" s="213" t="s">
        <v>58255</v>
      </c>
      <c r="L5407" s="213" t="s">
        <v>58346</v>
      </c>
      <c r="M5407" s="213" t="s">
        <v>58437</v>
      </c>
      <c r="N5407" s="213" t="s">
        <v>45082</v>
      </c>
      <c r="O5407" s="213" t="s">
        <v>45083</v>
      </c>
      <c r="P5407" s="213" t="s">
        <v>45084</v>
      </c>
      <c r="Q5407" s="213" t="s">
        <v>45085</v>
      </c>
      <c r="R5407" s="213" t="s">
        <v>45086</v>
      </c>
      <c r="S5407" s="213" t="s">
        <v>45087</v>
      </c>
      <c r="T5407" s="213" t="s">
        <v>45088</v>
      </c>
      <c r="U5407" s="213" t="s">
        <v>58528</v>
      </c>
    </row>
    <row r="5408" spans="1:21" x14ac:dyDescent="0.25">
      <c r="A5408" s="213" t="s">
        <v>327</v>
      </c>
      <c r="D5408" s="213" t="s">
        <v>45089</v>
      </c>
      <c r="E5408" s="213" t="s">
        <v>45090</v>
      </c>
      <c r="K5408" s="213" t="s">
        <v>58256</v>
      </c>
      <c r="L5408" s="213" t="s">
        <v>58347</v>
      </c>
      <c r="M5408" s="213" t="s">
        <v>58438</v>
      </c>
      <c r="N5408" s="213" t="s">
        <v>45091</v>
      </c>
      <c r="O5408" s="213" t="s">
        <v>45092</v>
      </c>
      <c r="P5408" s="213" t="s">
        <v>45093</v>
      </c>
      <c r="Q5408" s="213" t="s">
        <v>45094</v>
      </c>
      <c r="R5408" s="213" t="s">
        <v>45095</v>
      </c>
      <c r="S5408" s="213" t="s">
        <v>45096</v>
      </c>
      <c r="T5408" s="213" t="s">
        <v>45097</v>
      </c>
      <c r="U5408" s="213" t="s">
        <v>58529</v>
      </c>
    </row>
    <row r="5409" spans="1:21" x14ac:dyDescent="0.25">
      <c r="A5409" s="213" t="s">
        <v>327</v>
      </c>
      <c r="D5409" s="213" t="s">
        <v>45098</v>
      </c>
      <c r="E5409" s="213" t="s">
        <v>45099</v>
      </c>
      <c r="K5409" s="213" t="s">
        <v>58257</v>
      </c>
      <c r="L5409" s="213" t="s">
        <v>58348</v>
      </c>
      <c r="M5409" s="213" t="s">
        <v>58439</v>
      </c>
      <c r="N5409" s="213" t="s">
        <v>45100</v>
      </c>
      <c r="O5409" s="213" t="s">
        <v>45101</v>
      </c>
      <c r="P5409" s="213" t="s">
        <v>45102</v>
      </c>
      <c r="Q5409" s="213" t="s">
        <v>45103</v>
      </c>
      <c r="R5409" s="213" t="s">
        <v>45104</v>
      </c>
      <c r="S5409" s="213" t="s">
        <v>45105</v>
      </c>
      <c r="T5409" s="213" t="s">
        <v>45106</v>
      </c>
      <c r="U5409" s="213" t="s">
        <v>58530</v>
      </c>
    </row>
    <row r="5410" spans="1:21" x14ac:dyDescent="0.25">
      <c r="A5410" s="213" t="s">
        <v>327</v>
      </c>
      <c r="D5410" s="213" t="s">
        <v>45107</v>
      </c>
      <c r="E5410" s="213" t="s">
        <v>45108</v>
      </c>
      <c r="K5410" s="213" t="s">
        <v>58258</v>
      </c>
      <c r="L5410" s="213" t="s">
        <v>58349</v>
      </c>
      <c r="M5410" s="213" t="s">
        <v>58440</v>
      </c>
      <c r="N5410" s="213" t="s">
        <v>45109</v>
      </c>
      <c r="O5410" s="213" t="s">
        <v>45110</v>
      </c>
      <c r="P5410" s="213" t="s">
        <v>45111</v>
      </c>
      <c r="Q5410" s="213" t="s">
        <v>45112</v>
      </c>
      <c r="R5410" s="213" t="s">
        <v>45113</v>
      </c>
      <c r="S5410" s="213" t="s">
        <v>45114</v>
      </c>
      <c r="T5410" s="213" t="s">
        <v>45115</v>
      </c>
      <c r="U5410" s="213" t="s">
        <v>58531</v>
      </c>
    </row>
    <row r="5411" spans="1:21" x14ac:dyDescent="0.25">
      <c r="A5411" s="213" t="s">
        <v>327</v>
      </c>
      <c r="D5411" s="213" t="s">
        <v>45116</v>
      </c>
      <c r="E5411" s="213" t="s">
        <v>45117</v>
      </c>
      <c r="K5411" s="213" t="s">
        <v>58259</v>
      </c>
      <c r="L5411" s="213" t="s">
        <v>58350</v>
      </c>
      <c r="M5411" s="213" t="s">
        <v>58441</v>
      </c>
      <c r="N5411" s="213" t="s">
        <v>45118</v>
      </c>
      <c r="O5411" s="213" t="s">
        <v>45119</v>
      </c>
      <c r="P5411" s="213" t="s">
        <v>45120</v>
      </c>
      <c r="Q5411" s="213" t="s">
        <v>45121</v>
      </c>
      <c r="R5411" s="213" t="s">
        <v>45122</v>
      </c>
      <c r="S5411" s="213" t="s">
        <v>45123</v>
      </c>
      <c r="T5411" s="213" t="s">
        <v>45124</v>
      </c>
      <c r="U5411" s="213" t="s">
        <v>58532</v>
      </c>
    </row>
    <row r="5412" spans="1:21" x14ac:dyDescent="0.25">
      <c r="A5412" s="213" t="s">
        <v>327</v>
      </c>
      <c r="D5412" s="213" t="s">
        <v>45125</v>
      </c>
      <c r="E5412" s="213" t="s">
        <v>45126</v>
      </c>
      <c r="K5412" s="213" t="s">
        <v>58260</v>
      </c>
      <c r="L5412" s="213" t="s">
        <v>58351</v>
      </c>
      <c r="M5412" s="213" t="s">
        <v>58442</v>
      </c>
      <c r="N5412" s="213" t="s">
        <v>45127</v>
      </c>
      <c r="O5412" s="213" t="s">
        <v>45128</v>
      </c>
      <c r="P5412" s="213" t="s">
        <v>45129</v>
      </c>
      <c r="Q5412" s="213" t="s">
        <v>45130</v>
      </c>
      <c r="R5412" s="213" t="s">
        <v>45131</v>
      </c>
      <c r="S5412" s="213" t="s">
        <v>45132</v>
      </c>
      <c r="T5412" s="213" t="s">
        <v>45133</v>
      </c>
      <c r="U5412" s="213" t="s">
        <v>58533</v>
      </c>
    </row>
    <row r="5413" spans="1:21" x14ac:dyDescent="0.25">
      <c r="A5413" s="213" t="s">
        <v>327</v>
      </c>
      <c r="D5413" s="213" t="s">
        <v>45134</v>
      </c>
      <c r="E5413" s="213" t="s">
        <v>45135</v>
      </c>
      <c r="K5413" s="213" t="s">
        <v>58261</v>
      </c>
      <c r="L5413" s="213" t="s">
        <v>58352</v>
      </c>
      <c r="M5413" s="213" t="s">
        <v>58443</v>
      </c>
      <c r="N5413" s="213" t="s">
        <v>45136</v>
      </c>
      <c r="O5413" s="213" t="s">
        <v>45137</v>
      </c>
      <c r="P5413" s="213" t="s">
        <v>45138</v>
      </c>
      <c r="Q5413" s="213" t="s">
        <v>45139</v>
      </c>
      <c r="R5413" s="213" t="s">
        <v>45140</v>
      </c>
      <c r="S5413" s="213" t="s">
        <v>45141</v>
      </c>
      <c r="T5413" s="213" t="s">
        <v>45142</v>
      </c>
      <c r="U5413" s="213" t="s">
        <v>58534</v>
      </c>
    </row>
    <row r="5414" spans="1:21" x14ac:dyDescent="0.25">
      <c r="A5414" s="213" t="s">
        <v>327</v>
      </c>
      <c r="D5414" s="213" t="s">
        <v>45143</v>
      </c>
      <c r="E5414" s="213" t="s">
        <v>45144</v>
      </c>
      <c r="K5414" s="213" t="s">
        <v>58262</v>
      </c>
      <c r="L5414" s="213" t="s">
        <v>58353</v>
      </c>
      <c r="M5414" s="213" t="s">
        <v>58444</v>
      </c>
      <c r="N5414" s="213" t="s">
        <v>45145</v>
      </c>
      <c r="O5414" s="213" t="s">
        <v>45146</v>
      </c>
      <c r="P5414" s="213" t="s">
        <v>45147</v>
      </c>
      <c r="Q5414" s="213" t="s">
        <v>45148</v>
      </c>
      <c r="R5414" s="213" t="s">
        <v>45149</v>
      </c>
      <c r="S5414" s="213" t="s">
        <v>45150</v>
      </c>
      <c r="T5414" s="213" t="s">
        <v>45151</v>
      </c>
      <c r="U5414" s="213" t="s">
        <v>58535</v>
      </c>
    </row>
    <row r="5415" spans="1:21" x14ac:dyDescent="0.25">
      <c r="A5415" s="213" t="s">
        <v>327</v>
      </c>
      <c r="D5415" s="213" t="s">
        <v>45152</v>
      </c>
      <c r="E5415" s="213" t="s">
        <v>45153</v>
      </c>
      <c r="K5415" s="213" t="s">
        <v>58263</v>
      </c>
      <c r="L5415" s="213" t="s">
        <v>58354</v>
      </c>
      <c r="M5415" s="213" t="s">
        <v>58445</v>
      </c>
      <c r="N5415" s="213" t="s">
        <v>45154</v>
      </c>
      <c r="O5415" s="213" t="s">
        <v>45155</v>
      </c>
      <c r="P5415" s="213" t="s">
        <v>45156</v>
      </c>
      <c r="Q5415" s="213" t="s">
        <v>45157</v>
      </c>
      <c r="R5415" s="213" t="s">
        <v>45158</v>
      </c>
      <c r="S5415" s="213" t="s">
        <v>45159</v>
      </c>
      <c r="T5415" s="213" t="s">
        <v>45160</v>
      </c>
      <c r="U5415" s="213" t="s">
        <v>58536</v>
      </c>
    </row>
    <row r="5416" spans="1:21" x14ac:dyDescent="0.25">
      <c r="A5416" s="213" t="s">
        <v>327</v>
      </c>
      <c r="D5416" s="213" t="s">
        <v>45161</v>
      </c>
      <c r="E5416" s="213" t="s">
        <v>45162</v>
      </c>
      <c r="K5416" s="213" t="s">
        <v>58264</v>
      </c>
      <c r="L5416" s="213" t="s">
        <v>58355</v>
      </c>
      <c r="M5416" s="213" t="s">
        <v>58446</v>
      </c>
      <c r="N5416" s="213" t="s">
        <v>45163</v>
      </c>
      <c r="O5416" s="213" t="s">
        <v>45164</v>
      </c>
      <c r="P5416" s="213" t="s">
        <v>45165</v>
      </c>
      <c r="Q5416" s="213" t="s">
        <v>45166</v>
      </c>
      <c r="R5416" s="213" t="s">
        <v>45167</v>
      </c>
      <c r="S5416" s="213" t="s">
        <v>45168</v>
      </c>
      <c r="T5416" s="213" t="s">
        <v>45169</v>
      </c>
      <c r="U5416" s="213" t="s">
        <v>58537</v>
      </c>
    </row>
    <row r="5417" spans="1:21" x14ac:dyDescent="0.25">
      <c r="A5417" s="213" t="s">
        <v>327</v>
      </c>
      <c r="D5417" s="213" t="s">
        <v>45170</v>
      </c>
      <c r="E5417" s="213" t="s">
        <v>45171</v>
      </c>
      <c r="K5417" s="213" t="s">
        <v>58265</v>
      </c>
      <c r="L5417" s="213" t="s">
        <v>58356</v>
      </c>
      <c r="M5417" s="213" t="s">
        <v>58447</v>
      </c>
      <c r="N5417" s="213" t="s">
        <v>45172</v>
      </c>
      <c r="O5417" s="213" t="s">
        <v>45173</v>
      </c>
      <c r="P5417" s="213" t="s">
        <v>45174</v>
      </c>
      <c r="Q5417" s="213" t="s">
        <v>45175</v>
      </c>
      <c r="R5417" s="213" t="s">
        <v>45176</v>
      </c>
      <c r="S5417" s="213" t="s">
        <v>45177</v>
      </c>
      <c r="T5417" s="213" t="s">
        <v>45178</v>
      </c>
      <c r="U5417" s="213" t="s">
        <v>58538</v>
      </c>
    </row>
    <row r="5418" spans="1:21" x14ac:dyDescent="0.25">
      <c r="A5418" s="213" t="s">
        <v>327</v>
      </c>
      <c r="D5418" s="213" t="s">
        <v>45179</v>
      </c>
      <c r="E5418" s="213" t="s">
        <v>45180</v>
      </c>
      <c r="K5418" s="213" t="s">
        <v>58266</v>
      </c>
      <c r="L5418" s="213" t="s">
        <v>58357</v>
      </c>
      <c r="M5418" s="213" t="s">
        <v>58448</v>
      </c>
      <c r="N5418" s="213" t="s">
        <v>45181</v>
      </c>
      <c r="O5418" s="213" t="s">
        <v>45182</v>
      </c>
      <c r="P5418" s="213" t="s">
        <v>45183</v>
      </c>
      <c r="Q5418" s="213" t="s">
        <v>45184</v>
      </c>
      <c r="R5418" s="213" t="s">
        <v>45185</v>
      </c>
      <c r="S5418" s="213" t="s">
        <v>45186</v>
      </c>
      <c r="T5418" s="213" t="s">
        <v>45187</v>
      </c>
      <c r="U5418" s="213" t="s">
        <v>58539</v>
      </c>
    </row>
    <row r="5419" spans="1:21" x14ac:dyDescent="0.25">
      <c r="A5419" s="213" t="s">
        <v>327</v>
      </c>
      <c r="D5419" s="213" t="s">
        <v>45188</v>
      </c>
      <c r="E5419" s="213" t="s">
        <v>45189</v>
      </c>
      <c r="K5419" s="213" t="s">
        <v>58267</v>
      </c>
      <c r="L5419" s="213" t="s">
        <v>58358</v>
      </c>
      <c r="M5419" s="213" t="s">
        <v>58449</v>
      </c>
      <c r="N5419" s="213" t="s">
        <v>45190</v>
      </c>
      <c r="O5419" s="213" t="s">
        <v>45191</v>
      </c>
      <c r="P5419" s="213" t="s">
        <v>45192</v>
      </c>
      <c r="Q5419" s="213" t="s">
        <v>45193</v>
      </c>
      <c r="R5419" s="213" t="s">
        <v>45194</v>
      </c>
      <c r="S5419" s="213" t="s">
        <v>45195</v>
      </c>
      <c r="T5419" s="213" t="s">
        <v>45196</v>
      </c>
      <c r="U5419" s="213" t="s">
        <v>58540</v>
      </c>
    </row>
    <row r="5420" spans="1:21" x14ac:dyDescent="0.25">
      <c r="A5420" s="213" t="s">
        <v>327</v>
      </c>
      <c r="D5420" s="213" t="s">
        <v>45197</v>
      </c>
      <c r="E5420" s="213" t="s">
        <v>45198</v>
      </c>
      <c r="K5420" s="213" t="s">
        <v>58268</v>
      </c>
      <c r="L5420" s="213" t="s">
        <v>58359</v>
      </c>
      <c r="M5420" s="213" t="s">
        <v>58450</v>
      </c>
      <c r="N5420" s="213" t="s">
        <v>45199</v>
      </c>
      <c r="O5420" s="213" t="s">
        <v>45200</v>
      </c>
      <c r="P5420" s="213" t="s">
        <v>45201</v>
      </c>
      <c r="Q5420" s="213" t="s">
        <v>45202</v>
      </c>
      <c r="R5420" s="213" t="s">
        <v>45203</v>
      </c>
      <c r="S5420" s="213" t="s">
        <v>45204</v>
      </c>
      <c r="T5420" s="213" t="s">
        <v>45205</v>
      </c>
      <c r="U5420" s="213" t="s">
        <v>58541</v>
      </c>
    </row>
    <row r="5421" spans="1:21" x14ac:dyDescent="0.25">
      <c r="A5421" s="213" t="s">
        <v>327</v>
      </c>
      <c r="D5421" s="213" t="s">
        <v>45206</v>
      </c>
      <c r="E5421" s="213" t="s">
        <v>45207</v>
      </c>
      <c r="K5421" s="213" t="s">
        <v>58269</v>
      </c>
      <c r="L5421" s="213" t="s">
        <v>58360</v>
      </c>
      <c r="M5421" s="213" t="s">
        <v>58451</v>
      </c>
      <c r="N5421" s="213" t="s">
        <v>45208</v>
      </c>
      <c r="O5421" s="213" t="s">
        <v>45209</v>
      </c>
      <c r="P5421" s="213" t="s">
        <v>45210</v>
      </c>
      <c r="Q5421" s="213" t="s">
        <v>45211</v>
      </c>
      <c r="R5421" s="213" t="s">
        <v>45212</v>
      </c>
      <c r="S5421" s="213" t="s">
        <v>45213</v>
      </c>
      <c r="T5421" s="213" t="s">
        <v>45214</v>
      </c>
      <c r="U5421" s="213" t="s">
        <v>58542</v>
      </c>
    </row>
    <row r="5422" spans="1:21" x14ac:dyDescent="0.25">
      <c r="A5422" s="213" t="s">
        <v>327</v>
      </c>
      <c r="D5422" s="213" t="s">
        <v>45215</v>
      </c>
      <c r="E5422" s="213" t="s">
        <v>45216</v>
      </c>
      <c r="K5422" s="213" t="s">
        <v>58270</v>
      </c>
      <c r="L5422" s="213" t="s">
        <v>58361</v>
      </c>
      <c r="M5422" s="213" t="s">
        <v>58452</v>
      </c>
      <c r="N5422" s="213" t="s">
        <v>45217</v>
      </c>
      <c r="O5422" s="213" t="s">
        <v>45218</v>
      </c>
      <c r="P5422" s="213" t="s">
        <v>45219</v>
      </c>
      <c r="Q5422" s="213" t="s">
        <v>45220</v>
      </c>
      <c r="R5422" s="213" t="s">
        <v>45221</v>
      </c>
      <c r="S5422" s="213" t="s">
        <v>45222</v>
      </c>
      <c r="T5422" s="213" t="s">
        <v>45223</v>
      </c>
      <c r="U5422" s="213" t="s">
        <v>58543</v>
      </c>
    </row>
    <row r="5423" spans="1:21" x14ac:dyDescent="0.25">
      <c r="A5423" s="213" t="s">
        <v>327</v>
      </c>
      <c r="D5423" s="213" t="s">
        <v>45224</v>
      </c>
      <c r="E5423" s="213" t="s">
        <v>45225</v>
      </c>
      <c r="K5423" s="213" t="s">
        <v>58271</v>
      </c>
      <c r="L5423" s="213" t="s">
        <v>58362</v>
      </c>
      <c r="M5423" s="213" t="s">
        <v>58453</v>
      </c>
      <c r="N5423" s="213" t="s">
        <v>45226</v>
      </c>
      <c r="O5423" s="213" t="s">
        <v>45227</v>
      </c>
      <c r="P5423" s="213" t="s">
        <v>45228</v>
      </c>
      <c r="Q5423" s="213" t="s">
        <v>45229</v>
      </c>
      <c r="R5423" s="213" t="s">
        <v>45230</v>
      </c>
      <c r="S5423" s="213" t="s">
        <v>45231</v>
      </c>
      <c r="T5423" s="213" t="s">
        <v>45232</v>
      </c>
      <c r="U5423" s="213" t="s">
        <v>58544</v>
      </c>
    </row>
    <row r="5424" spans="1:21" x14ac:dyDescent="0.25">
      <c r="A5424" s="213" t="s">
        <v>327</v>
      </c>
      <c r="D5424" s="213" t="s">
        <v>45233</v>
      </c>
      <c r="E5424" s="213" t="s">
        <v>45234</v>
      </c>
      <c r="K5424" s="213" t="s">
        <v>58272</v>
      </c>
      <c r="L5424" s="213" t="s">
        <v>58363</v>
      </c>
      <c r="M5424" s="213" t="s">
        <v>58454</v>
      </c>
      <c r="N5424" s="213" t="s">
        <v>45235</v>
      </c>
      <c r="O5424" s="213" t="s">
        <v>45236</v>
      </c>
      <c r="P5424" s="213" t="s">
        <v>45237</v>
      </c>
      <c r="Q5424" s="213" t="s">
        <v>45238</v>
      </c>
      <c r="R5424" s="213" t="s">
        <v>45239</v>
      </c>
      <c r="S5424" s="213" t="s">
        <v>45240</v>
      </c>
      <c r="T5424" s="213" t="s">
        <v>45241</v>
      </c>
      <c r="U5424" s="213" t="s">
        <v>58545</v>
      </c>
    </row>
    <row r="5425" spans="1:21" x14ac:dyDescent="0.25">
      <c r="A5425" s="213" t="s">
        <v>327</v>
      </c>
      <c r="D5425" s="213" t="s">
        <v>45242</v>
      </c>
      <c r="E5425" s="213" t="s">
        <v>45243</v>
      </c>
      <c r="K5425" s="213" t="s">
        <v>58273</v>
      </c>
      <c r="L5425" s="213" t="s">
        <v>58364</v>
      </c>
      <c r="M5425" s="213" t="s">
        <v>58455</v>
      </c>
      <c r="N5425" s="213" t="s">
        <v>45244</v>
      </c>
      <c r="O5425" s="213" t="s">
        <v>45245</v>
      </c>
      <c r="P5425" s="213" t="s">
        <v>45246</v>
      </c>
      <c r="Q5425" s="213" t="s">
        <v>45247</v>
      </c>
      <c r="R5425" s="213" t="s">
        <v>45248</v>
      </c>
      <c r="S5425" s="213" t="s">
        <v>45249</v>
      </c>
      <c r="T5425" s="213" t="s">
        <v>45250</v>
      </c>
      <c r="U5425" s="213" t="s">
        <v>58546</v>
      </c>
    </row>
    <row r="5426" spans="1:21" x14ac:dyDescent="0.25">
      <c r="A5426" s="213" t="s">
        <v>327</v>
      </c>
      <c r="D5426" s="213" t="s">
        <v>45251</v>
      </c>
      <c r="E5426" s="213" t="s">
        <v>45252</v>
      </c>
      <c r="K5426" s="213" t="s">
        <v>58274</v>
      </c>
      <c r="L5426" s="213" t="s">
        <v>58365</v>
      </c>
      <c r="M5426" s="213" t="s">
        <v>58456</v>
      </c>
      <c r="N5426" s="213" t="s">
        <v>45253</v>
      </c>
      <c r="O5426" s="213" t="s">
        <v>45254</v>
      </c>
      <c r="P5426" s="213" t="s">
        <v>45255</v>
      </c>
      <c r="Q5426" s="213" t="s">
        <v>45256</v>
      </c>
      <c r="R5426" s="213" t="s">
        <v>45257</v>
      </c>
      <c r="S5426" s="213" t="s">
        <v>45258</v>
      </c>
      <c r="T5426" s="213" t="s">
        <v>45259</v>
      </c>
      <c r="U5426" s="213" t="s">
        <v>58547</v>
      </c>
    </row>
    <row r="5427" spans="1:21" x14ac:dyDescent="0.25">
      <c r="A5427" s="213" t="s">
        <v>327</v>
      </c>
      <c r="D5427" s="213" t="s">
        <v>45260</v>
      </c>
      <c r="E5427" s="213" t="s">
        <v>45261</v>
      </c>
      <c r="K5427" s="213" t="s">
        <v>58275</v>
      </c>
      <c r="L5427" s="213" t="s">
        <v>58366</v>
      </c>
      <c r="M5427" s="213" t="s">
        <v>58457</v>
      </c>
      <c r="N5427" s="213" t="s">
        <v>45262</v>
      </c>
      <c r="O5427" s="213" t="s">
        <v>45263</v>
      </c>
      <c r="P5427" s="213" t="s">
        <v>45264</v>
      </c>
      <c r="Q5427" s="213" t="s">
        <v>45265</v>
      </c>
      <c r="R5427" s="213" t="s">
        <v>45266</v>
      </c>
      <c r="S5427" s="213" t="s">
        <v>45267</v>
      </c>
      <c r="T5427" s="213" t="s">
        <v>45268</v>
      </c>
      <c r="U5427" s="213" t="s">
        <v>58548</v>
      </c>
    </row>
    <row r="5428" spans="1:21" x14ac:dyDescent="0.25">
      <c r="A5428" s="213" t="s">
        <v>327</v>
      </c>
      <c r="D5428" s="213" t="s">
        <v>45269</v>
      </c>
      <c r="E5428" s="213" t="s">
        <v>45270</v>
      </c>
      <c r="K5428" s="213" t="s">
        <v>58276</v>
      </c>
      <c r="L5428" s="213" t="s">
        <v>58367</v>
      </c>
      <c r="M5428" s="213" t="s">
        <v>58458</v>
      </c>
      <c r="N5428" s="213" t="s">
        <v>45271</v>
      </c>
      <c r="O5428" s="213" t="s">
        <v>45272</v>
      </c>
      <c r="P5428" s="213" t="s">
        <v>45273</v>
      </c>
      <c r="Q5428" s="213" t="s">
        <v>45274</v>
      </c>
      <c r="R5428" s="213" t="s">
        <v>45275</v>
      </c>
      <c r="S5428" s="213" t="s">
        <v>45276</v>
      </c>
      <c r="T5428" s="213" t="s">
        <v>45277</v>
      </c>
      <c r="U5428" s="213" t="s">
        <v>58549</v>
      </c>
    </row>
    <row r="5429" spans="1:21" x14ac:dyDescent="0.25">
      <c r="A5429" s="213" t="s">
        <v>327</v>
      </c>
      <c r="D5429" s="213" t="s">
        <v>45278</v>
      </c>
      <c r="E5429" s="213" t="s">
        <v>45279</v>
      </c>
      <c r="K5429" s="213" t="s">
        <v>58277</v>
      </c>
      <c r="L5429" s="213" t="s">
        <v>58368</v>
      </c>
      <c r="M5429" s="213" t="s">
        <v>58459</v>
      </c>
      <c r="N5429" s="213" t="s">
        <v>45280</v>
      </c>
      <c r="O5429" s="213" t="s">
        <v>45281</v>
      </c>
      <c r="P5429" s="213" t="s">
        <v>45282</v>
      </c>
      <c r="Q5429" s="213" t="s">
        <v>45283</v>
      </c>
      <c r="R5429" s="213" t="s">
        <v>45284</v>
      </c>
      <c r="S5429" s="213" t="s">
        <v>45285</v>
      </c>
      <c r="T5429" s="213" t="s">
        <v>45286</v>
      </c>
      <c r="U5429" s="213" t="s">
        <v>58550</v>
      </c>
    </row>
    <row r="5430" spans="1:21" x14ac:dyDescent="0.25">
      <c r="A5430" s="213" t="s">
        <v>327</v>
      </c>
      <c r="D5430" s="213" t="s">
        <v>45287</v>
      </c>
      <c r="E5430" s="213" t="s">
        <v>45288</v>
      </c>
      <c r="K5430" s="213" t="s">
        <v>58278</v>
      </c>
      <c r="L5430" s="213" t="s">
        <v>58369</v>
      </c>
      <c r="M5430" s="213" t="s">
        <v>58460</v>
      </c>
      <c r="N5430" s="213" t="s">
        <v>45289</v>
      </c>
      <c r="O5430" s="213" t="s">
        <v>45290</v>
      </c>
      <c r="P5430" s="213" t="s">
        <v>45291</v>
      </c>
      <c r="Q5430" s="213" t="s">
        <v>45292</v>
      </c>
      <c r="R5430" s="213" t="s">
        <v>45293</v>
      </c>
      <c r="S5430" s="213" t="s">
        <v>45294</v>
      </c>
      <c r="T5430" s="213" t="s">
        <v>45295</v>
      </c>
      <c r="U5430" s="213" t="s">
        <v>58551</v>
      </c>
    </row>
    <row r="5431" spans="1:21" x14ac:dyDescent="0.25">
      <c r="A5431" s="213" t="s">
        <v>327</v>
      </c>
      <c r="D5431" s="213" t="s">
        <v>45296</v>
      </c>
      <c r="E5431" s="213" t="s">
        <v>45297</v>
      </c>
      <c r="K5431" s="213" t="s">
        <v>58279</v>
      </c>
      <c r="L5431" s="213" t="s">
        <v>58370</v>
      </c>
      <c r="M5431" s="213" t="s">
        <v>58461</v>
      </c>
      <c r="N5431" s="213" t="s">
        <v>45298</v>
      </c>
      <c r="O5431" s="213" t="s">
        <v>45299</v>
      </c>
      <c r="P5431" s="213" t="s">
        <v>45300</v>
      </c>
      <c r="Q5431" s="213" t="s">
        <v>45301</v>
      </c>
      <c r="R5431" s="213" t="s">
        <v>45302</v>
      </c>
      <c r="S5431" s="213" t="s">
        <v>45303</v>
      </c>
      <c r="T5431" s="213" t="s">
        <v>45304</v>
      </c>
      <c r="U5431" s="213" t="s">
        <v>58552</v>
      </c>
    </row>
    <row r="5432" spans="1:21" x14ac:dyDescent="0.25">
      <c r="A5432" s="213" t="s">
        <v>327</v>
      </c>
      <c r="D5432" s="213" t="s">
        <v>45305</v>
      </c>
      <c r="E5432" s="213" t="s">
        <v>45306</v>
      </c>
      <c r="K5432" s="213" t="s">
        <v>58280</v>
      </c>
      <c r="L5432" s="213" t="s">
        <v>58371</v>
      </c>
      <c r="M5432" s="213" t="s">
        <v>58462</v>
      </c>
      <c r="N5432" s="213" t="s">
        <v>45307</v>
      </c>
      <c r="O5432" s="213" t="s">
        <v>45308</v>
      </c>
      <c r="P5432" s="213" t="s">
        <v>45309</v>
      </c>
      <c r="Q5432" s="213" t="s">
        <v>45310</v>
      </c>
      <c r="R5432" s="213" t="s">
        <v>45311</v>
      </c>
      <c r="S5432" s="213" t="s">
        <v>45312</v>
      </c>
      <c r="T5432" s="213" t="s">
        <v>45313</v>
      </c>
      <c r="U5432" s="213" t="s">
        <v>58553</v>
      </c>
    </row>
    <row r="5433" spans="1:21" x14ac:dyDescent="0.25">
      <c r="A5433" s="213" t="s">
        <v>327</v>
      </c>
      <c r="D5433" s="213" t="s">
        <v>45314</v>
      </c>
      <c r="E5433" s="213" t="s">
        <v>45315</v>
      </c>
      <c r="K5433" s="213" t="s">
        <v>58281</v>
      </c>
      <c r="L5433" s="213" t="s">
        <v>58372</v>
      </c>
      <c r="M5433" s="213" t="s">
        <v>58463</v>
      </c>
      <c r="N5433" s="213" t="s">
        <v>45316</v>
      </c>
      <c r="O5433" s="213" t="s">
        <v>45317</v>
      </c>
      <c r="P5433" s="213" t="s">
        <v>45318</v>
      </c>
      <c r="Q5433" s="213" t="s">
        <v>45319</v>
      </c>
      <c r="R5433" s="213" t="s">
        <v>45320</v>
      </c>
      <c r="S5433" s="213" t="s">
        <v>45321</v>
      </c>
      <c r="T5433" s="213" t="s">
        <v>45322</v>
      </c>
      <c r="U5433" s="213" t="s">
        <v>58554</v>
      </c>
    </row>
    <row r="5434" spans="1:21" x14ac:dyDescent="0.25">
      <c r="A5434" s="213" t="s">
        <v>327</v>
      </c>
      <c r="D5434" s="213" t="s">
        <v>45323</v>
      </c>
      <c r="E5434" s="213" t="s">
        <v>45324</v>
      </c>
      <c r="K5434" s="213" t="s">
        <v>58282</v>
      </c>
      <c r="L5434" s="213" t="s">
        <v>58373</v>
      </c>
      <c r="M5434" s="213" t="s">
        <v>58464</v>
      </c>
      <c r="N5434" s="213" t="s">
        <v>45325</v>
      </c>
      <c r="O5434" s="213" t="s">
        <v>45326</v>
      </c>
      <c r="P5434" s="213" t="s">
        <v>45327</v>
      </c>
      <c r="Q5434" s="213" t="s">
        <v>45328</v>
      </c>
      <c r="R5434" s="213" t="s">
        <v>45329</v>
      </c>
      <c r="S5434" s="213" t="s">
        <v>45330</v>
      </c>
      <c r="T5434" s="213" t="s">
        <v>45331</v>
      </c>
      <c r="U5434" s="213" t="s">
        <v>58555</v>
      </c>
    </row>
    <row r="5435" spans="1:21" x14ac:dyDescent="0.25">
      <c r="A5435" s="213" t="s">
        <v>327</v>
      </c>
      <c r="D5435" s="213" t="s">
        <v>45332</v>
      </c>
      <c r="E5435" s="213" t="s">
        <v>45333</v>
      </c>
      <c r="K5435" s="213" t="s">
        <v>58283</v>
      </c>
      <c r="L5435" s="213" t="s">
        <v>58374</v>
      </c>
      <c r="M5435" s="213" t="s">
        <v>58465</v>
      </c>
      <c r="N5435" s="213" t="s">
        <v>45334</v>
      </c>
      <c r="O5435" s="213" t="s">
        <v>45335</v>
      </c>
      <c r="P5435" s="213" t="s">
        <v>45336</v>
      </c>
      <c r="Q5435" s="213" t="s">
        <v>45337</v>
      </c>
      <c r="R5435" s="213" t="s">
        <v>45338</v>
      </c>
      <c r="S5435" s="213" t="s">
        <v>45339</v>
      </c>
      <c r="T5435" s="213" t="s">
        <v>45340</v>
      </c>
      <c r="U5435" s="213" t="s">
        <v>58556</v>
      </c>
    </row>
    <row r="5436" spans="1:21" x14ac:dyDescent="0.25">
      <c r="A5436" s="213" t="s">
        <v>327</v>
      </c>
      <c r="D5436" s="213" t="s">
        <v>45341</v>
      </c>
      <c r="E5436" s="213" t="s">
        <v>45342</v>
      </c>
      <c r="K5436" s="213" t="s">
        <v>58284</v>
      </c>
      <c r="L5436" s="213" t="s">
        <v>58375</v>
      </c>
      <c r="M5436" s="213" t="s">
        <v>58466</v>
      </c>
      <c r="N5436" s="213" t="s">
        <v>45343</v>
      </c>
      <c r="O5436" s="213" t="s">
        <v>45344</v>
      </c>
      <c r="P5436" s="213" t="s">
        <v>45345</v>
      </c>
      <c r="Q5436" s="213" t="s">
        <v>45346</v>
      </c>
      <c r="R5436" s="213" t="s">
        <v>45347</v>
      </c>
      <c r="S5436" s="213" t="s">
        <v>45348</v>
      </c>
      <c r="T5436" s="213" t="s">
        <v>45349</v>
      </c>
      <c r="U5436" s="213" t="s">
        <v>58557</v>
      </c>
    </row>
    <row r="5437" spans="1:21" x14ac:dyDescent="0.25">
      <c r="A5437" s="213" t="s">
        <v>327</v>
      </c>
      <c r="D5437" s="213" t="s">
        <v>45350</v>
      </c>
      <c r="E5437" s="213" t="s">
        <v>45351</v>
      </c>
      <c r="K5437" s="213" t="s">
        <v>58285</v>
      </c>
      <c r="L5437" s="213" t="s">
        <v>58376</v>
      </c>
      <c r="M5437" s="213" t="s">
        <v>58467</v>
      </c>
      <c r="N5437" s="213" t="s">
        <v>45352</v>
      </c>
      <c r="O5437" s="213" t="s">
        <v>45353</v>
      </c>
      <c r="P5437" s="213" t="s">
        <v>45354</v>
      </c>
      <c r="Q5437" s="213" t="s">
        <v>45355</v>
      </c>
      <c r="R5437" s="213" t="s">
        <v>45356</v>
      </c>
      <c r="S5437" s="213" t="s">
        <v>45357</v>
      </c>
      <c r="T5437" s="213" t="s">
        <v>45358</v>
      </c>
      <c r="U5437" s="213" t="s">
        <v>58558</v>
      </c>
    </row>
    <row r="5438" spans="1:21" x14ac:dyDescent="0.25">
      <c r="A5438" s="213" t="s">
        <v>327</v>
      </c>
      <c r="D5438" s="213" t="s">
        <v>45359</v>
      </c>
      <c r="E5438" s="213" t="s">
        <v>45360</v>
      </c>
      <c r="K5438" s="213" t="s">
        <v>58286</v>
      </c>
      <c r="L5438" s="213" t="s">
        <v>58377</v>
      </c>
      <c r="M5438" s="213" t="s">
        <v>58468</v>
      </c>
      <c r="N5438" s="213" t="s">
        <v>45361</v>
      </c>
      <c r="O5438" s="213" t="s">
        <v>45362</v>
      </c>
      <c r="P5438" s="213" t="s">
        <v>45363</v>
      </c>
      <c r="Q5438" s="213" t="s">
        <v>45364</v>
      </c>
      <c r="R5438" s="213" t="s">
        <v>45365</v>
      </c>
      <c r="S5438" s="213" t="s">
        <v>45366</v>
      </c>
      <c r="T5438" s="213" t="s">
        <v>45367</v>
      </c>
      <c r="U5438" s="213" t="s">
        <v>58559</v>
      </c>
    </row>
    <row r="5439" spans="1:21" x14ac:dyDescent="0.25">
      <c r="A5439" s="213" t="s">
        <v>327</v>
      </c>
      <c r="D5439" s="213" t="s">
        <v>45368</v>
      </c>
      <c r="E5439" s="213" t="s">
        <v>45369</v>
      </c>
      <c r="K5439" s="213" t="s">
        <v>58287</v>
      </c>
      <c r="L5439" s="213" t="s">
        <v>58378</v>
      </c>
      <c r="M5439" s="213" t="s">
        <v>58469</v>
      </c>
      <c r="N5439" s="213" t="s">
        <v>45370</v>
      </c>
      <c r="O5439" s="213" t="s">
        <v>45371</v>
      </c>
      <c r="P5439" s="213" t="s">
        <v>45372</v>
      </c>
      <c r="Q5439" s="213" t="s">
        <v>45373</v>
      </c>
      <c r="R5439" s="213" t="s">
        <v>45374</v>
      </c>
      <c r="S5439" s="213" t="s">
        <v>45375</v>
      </c>
      <c r="T5439" s="213" t="s">
        <v>45376</v>
      </c>
      <c r="U5439" s="213" t="s">
        <v>58560</v>
      </c>
    </row>
    <row r="5440" spans="1:21" x14ac:dyDescent="0.25">
      <c r="A5440" s="213" t="s">
        <v>327</v>
      </c>
      <c r="D5440" s="213" t="s">
        <v>45377</v>
      </c>
      <c r="E5440" s="213" t="s">
        <v>45378</v>
      </c>
      <c r="K5440" s="213" t="s">
        <v>58288</v>
      </c>
      <c r="L5440" s="213" t="s">
        <v>58379</v>
      </c>
      <c r="M5440" s="213" t="s">
        <v>58470</v>
      </c>
      <c r="N5440" s="213" t="s">
        <v>45379</v>
      </c>
      <c r="O5440" s="213" t="s">
        <v>45380</v>
      </c>
      <c r="P5440" s="213" t="s">
        <v>45381</v>
      </c>
      <c r="Q5440" s="213" t="s">
        <v>45382</v>
      </c>
      <c r="R5440" s="213" t="s">
        <v>45383</v>
      </c>
      <c r="S5440" s="213" t="s">
        <v>45384</v>
      </c>
      <c r="T5440" s="213" t="s">
        <v>45385</v>
      </c>
      <c r="U5440" s="213" t="s">
        <v>58561</v>
      </c>
    </row>
    <row r="5441" spans="1:21" x14ac:dyDescent="0.25">
      <c r="A5441" s="213" t="s">
        <v>327</v>
      </c>
      <c r="D5441" s="213" t="s">
        <v>45386</v>
      </c>
      <c r="E5441" s="213" t="s">
        <v>45387</v>
      </c>
      <c r="K5441" s="213" t="s">
        <v>58289</v>
      </c>
      <c r="L5441" s="213" t="s">
        <v>58380</v>
      </c>
      <c r="M5441" s="213" t="s">
        <v>58471</v>
      </c>
      <c r="N5441" s="213" t="s">
        <v>45388</v>
      </c>
      <c r="O5441" s="213" t="s">
        <v>45389</v>
      </c>
      <c r="P5441" s="213" t="s">
        <v>45390</v>
      </c>
      <c r="Q5441" s="213" t="s">
        <v>45391</v>
      </c>
      <c r="R5441" s="213" t="s">
        <v>45392</v>
      </c>
      <c r="S5441" s="213" t="s">
        <v>45393</v>
      </c>
      <c r="T5441" s="213" t="s">
        <v>45394</v>
      </c>
      <c r="U5441" s="213" t="s">
        <v>58562</v>
      </c>
    </row>
    <row r="5442" spans="1:21" x14ac:dyDescent="0.25">
      <c r="A5442" s="213" t="s">
        <v>327</v>
      </c>
      <c r="D5442" s="213" t="s">
        <v>45395</v>
      </c>
      <c r="E5442" s="213" t="s">
        <v>45396</v>
      </c>
      <c r="K5442" s="213" t="s">
        <v>58290</v>
      </c>
      <c r="L5442" s="213" t="s">
        <v>58381</v>
      </c>
      <c r="M5442" s="213" t="s">
        <v>58472</v>
      </c>
      <c r="N5442" s="213" t="s">
        <v>45397</v>
      </c>
      <c r="O5442" s="213" t="s">
        <v>45398</v>
      </c>
      <c r="P5442" s="213" t="s">
        <v>45399</v>
      </c>
      <c r="Q5442" s="213" t="s">
        <v>45400</v>
      </c>
      <c r="R5442" s="213" t="s">
        <v>45401</v>
      </c>
      <c r="S5442" s="213" t="s">
        <v>45402</v>
      </c>
      <c r="T5442" s="213" t="s">
        <v>45403</v>
      </c>
      <c r="U5442" s="213" t="s">
        <v>58563</v>
      </c>
    </row>
    <row r="5443" spans="1:21" x14ac:dyDescent="0.25">
      <c r="A5443" s="213" t="s">
        <v>327</v>
      </c>
      <c r="D5443" s="213" t="s">
        <v>45404</v>
      </c>
      <c r="E5443" s="213" t="s">
        <v>45405</v>
      </c>
      <c r="K5443" s="213" t="s">
        <v>58291</v>
      </c>
      <c r="L5443" s="213" t="s">
        <v>58382</v>
      </c>
      <c r="M5443" s="213" t="s">
        <v>58473</v>
      </c>
      <c r="N5443" s="213" t="s">
        <v>45406</v>
      </c>
      <c r="O5443" s="213" t="s">
        <v>45407</v>
      </c>
      <c r="P5443" s="213" t="s">
        <v>45408</v>
      </c>
      <c r="Q5443" s="213" t="s">
        <v>45409</v>
      </c>
      <c r="R5443" s="213" t="s">
        <v>45410</v>
      </c>
      <c r="S5443" s="213" t="s">
        <v>45411</v>
      </c>
      <c r="T5443" s="213" t="s">
        <v>45412</v>
      </c>
      <c r="U5443" s="213" t="s">
        <v>58564</v>
      </c>
    </row>
    <row r="5444" spans="1:21" x14ac:dyDescent="0.25">
      <c r="A5444" s="213" t="s">
        <v>327</v>
      </c>
      <c r="D5444" s="213" t="s">
        <v>45413</v>
      </c>
      <c r="E5444" s="213" t="s">
        <v>45414</v>
      </c>
      <c r="K5444" s="213" t="s">
        <v>58292</v>
      </c>
      <c r="L5444" s="213" t="s">
        <v>58383</v>
      </c>
      <c r="M5444" s="213" t="s">
        <v>58474</v>
      </c>
      <c r="N5444" s="213" t="s">
        <v>45415</v>
      </c>
      <c r="O5444" s="213" t="s">
        <v>45416</v>
      </c>
      <c r="P5444" s="213" t="s">
        <v>45417</v>
      </c>
      <c r="Q5444" s="213" t="s">
        <v>45418</v>
      </c>
      <c r="R5444" s="213" t="s">
        <v>45419</v>
      </c>
      <c r="S5444" s="213" t="s">
        <v>45420</v>
      </c>
      <c r="T5444" s="213" t="s">
        <v>45421</v>
      </c>
      <c r="U5444" s="213" t="s">
        <v>58565</v>
      </c>
    </row>
    <row r="5445" spans="1:21" x14ac:dyDescent="0.25">
      <c r="A5445" s="213" t="s">
        <v>327</v>
      </c>
      <c r="D5445" s="213" t="s">
        <v>45422</v>
      </c>
      <c r="E5445" s="213" t="s">
        <v>45423</v>
      </c>
      <c r="K5445" s="213" t="s">
        <v>58293</v>
      </c>
      <c r="L5445" s="213" t="s">
        <v>58384</v>
      </c>
      <c r="M5445" s="213" t="s">
        <v>58475</v>
      </c>
      <c r="N5445" s="213" t="s">
        <v>45424</v>
      </c>
      <c r="O5445" s="213" t="s">
        <v>45425</v>
      </c>
      <c r="P5445" s="213" t="s">
        <v>45426</v>
      </c>
      <c r="Q5445" s="213" t="s">
        <v>45427</v>
      </c>
      <c r="R5445" s="213" t="s">
        <v>45428</v>
      </c>
      <c r="S5445" s="213" t="s">
        <v>45429</v>
      </c>
      <c r="T5445" s="213" t="s">
        <v>45430</v>
      </c>
      <c r="U5445" s="213" t="s">
        <v>58566</v>
      </c>
    </row>
    <row r="5446" spans="1:21" x14ac:dyDescent="0.25">
      <c r="A5446" s="213" t="s">
        <v>327</v>
      </c>
      <c r="D5446" s="213" t="s">
        <v>45431</v>
      </c>
      <c r="E5446" s="213" t="s">
        <v>45432</v>
      </c>
      <c r="K5446" s="213" t="s">
        <v>58294</v>
      </c>
      <c r="L5446" s="213" t="s">
        <v>58385</v>
      </c>
      <c r="M5446" s="213" t="s">
        <v>58476</v>
      </c>
      <c r="N5446" s="213" t="s">
        <v>45433</v>
      </c>
      <c r="O5446" s="213" t="s">
        <v>45434</v>
      </c>
      <c r="P5446" s="213" t="s">
        <v>45435</v>
      </c>
      <c r="Q5446" s="213" t="s">
        <v>45436</v>
      </c>
      <c r="R5446" s="213" t="s">
        <v>45437</v>
      </c>
      <c r="S5446" s="213" t="s">
        <v>45438</v>
      </c>
      <c r="T5446" s="213" t="s">
        <v>45439</v>
      </c>
      <c r="U5446" s="213" t="s">
        <v>58567</v>
      </c>
    </row>
    <row r="5447" spans="1:21" x14ac:dyDescent="0.25">
      <c r="A5447" s="213" t="s">
        <v>327</v>
      </c>
      <c r="D5447" s="213" t="s">
        <v>45440</v>
      </c>
      <c r="E5447" s="213" t="s">
        <v>45441</v>
      </c>
      <c r="K5447" s="213" t="s">
        <v>58295</v>
      </c>
      <c r="L5447" s="213" t="s">
        <v>58386</v>
      </c>
      <c r="M5447" s="213" t="s">
        <v>58477</v>
      </c>
      <c r="N5447" s="213" t="s">
        <v>45442</v>
      </c>
      <c r="O5447" s="213" t="s">
        <v>45443</v>
      </c>
      <c r="P5447" s="213" t="s">
        <v>45444</v>
      </c>
      <c r="Q5447" s="213" t="s">
        <v>45445</v>
      </c>
      <c r="R5447" s="213" t="s">
        <v>45446</v>
      </c>
      <c r="S5447" s="213" t="s">
        <v>45447</v>
      </c>
      <c r="T5447" s="213" t="s">
        <v>45448</v>
      </c>
      <c r="U5447" s="213" t="s">
        <v>58568</v>
      </c>
    </row>
    <row r="5448" spans="1:21" x14ac:dyDescent="0.25">
      <c r="A5448" s="213" t="s">
        <v>327</v>
      </c>
      <c r="D5448" s="213" t="s">
        <v>45449</v>
      </c>
      <c r="E5448" s="213" t="s">
        <v>45450</v>
      </c>
      <c r="K5448" s="213" t="s">
        <v>58296</v>
      </c>
      <c r="L5448" s="213" t="s">
        <v>58387</v>
      </c>
      <c r="M5448" s="213" t="s">
        <v>58478</v>
      </c>
      <c r="N5448" s="213" t="s">
        <v>45451</v>
      </c>
      <c r="O5448" s="213" t="s">
        <v>45452</v>
      </c>
      <c r="P5448" s="213" t="s">
        <v>45453</v>
      </c>
      <c r="Q5448" s="213" t="s">
        <v>45454</v>
      </c>
      <c r="R5448" s="213" t="s">
        <v>45455</v>
      </c>
      <c r="S5448" s="213" t="s">
        <v>45456</v>
      </c>
      <c r="T5448" s="213" t="s">
        <v>45457</v>
      </c>
      <c r="U5448" s="213" t="s">
        <v>58569</v>
      </c>
    </row>
    <row r="5449" spans="1:21" x14ac:dyDescent="0.25">
      <c r="A5449" s="213" t="s">
        <v>327</v>
      </c>
      <c r="D5449" s="213" t="s">
        <v>45458</v>
      </c>
      <c r="E5449" s="213" t="s">
        <v>45459</v>
      </c>
      <c r="K5449" s="213" t="s">
        <v>58297</v>
      </c>
      <c r="L5449" s="213" t="s">
        <v>58388</v>
      </c>
      <c r="M5449" s="213" t="s">
        <v>58479</v>
      </c>
      <c r="N5449" s="213" t="s">
        <v>45460</v>
      </c>
      <c r="O5449" s="213" t="s">
        <v>45461</v>
      </c>
      <c r="P5449" s="213" t="s">
        <v>45462</v>
      </c>
      <c r="Q5449" s="213" t="s">
        <v>45463</v>
      </c>
      <c r="R5449" s="213" t="s">
        <v>45464</v>
      </c>
      <c r="S5449" s="213" t="s">
        <v>45465</v>
      </c>
      <c r="T5449" s="213" t="s">
        <v>45466</v>
      </c>
      <c r="U5449" s="213" t="s">
        <v>58570</v>
      </c>
    </row>
    <row r="5450" spans="1:21" x14ac:dyDescent="0.25">
      <c r="A5450" s="213" t="s">
        <v>327</v>
      </c>
      <c r="D5450" s="213" t="s">
        <v>45467</v>
      </c>
      <c r="E5450" s="213" t="s">
        <v>45468</v>
      </c>
      <c r="K5450" s="213" t="s">
        <v>58298</v>
      </c>
      <c r="L5450" s="213" t="s">
        <v>58389</v>
      </c>
      <c r="M5450" s="213" t="s">
        <v>58480</v>
      </c>
      <c r="N5450" s="213" t="s">
        <v>45469</v>
      </c>
      <c r="O5450" s="213" t="s">
        <v>45470</v>
      </c>
      <c r="P5450" s="213" t="s">
        <v>45471</v>
      </c>
      <c r="Q5450" s="213" t="s">
        <v>45472</v>
      </c>
      <c r="R5450" s="213" t="s">
        <v>45473</v>
      </c>
      <c r="S5450" s="213" t="s">
        <v>45474</v>
      </c>
      <c r="T5450" s="213" t="s">
        <v>45475</v>
      </c>
      <c r="U5450" s="213" t="s">
        <v>58571</v>
      </c>
    </row>
    <row r="5451" spans="1:21" x14ac:dyDescent="0.25">
      <c r="A5451" s="213" t="s">
        <v>327</v>
      </c>
      <c r="D5451" s="213" t="s">
        <v>45476</v>
      </c>
      <c r="E5451" s="213" t="s">
        <v>45477</v>
      </c>
      <c r="K5451" s="213" t="s">
        <v>58299</v>
      </c>
      <c r="L5451" s="213" t="s">
        <v>58390</v>
      </c>
      <c r="M5451" s="213" t="s">
        <v>58481</v>
      </c>
      <c r="N5451" s="213" t="s">
        <v>45478</v>
      </c>
      <c r="O5451" s="213" t="s">
        <v>45479</v>
      </c>
      <c r="P5451" s="213" t="s">
        <v>45480</v>
      </c>
      <c r="Q5451" s="213" t="s">
        <v>45481</v>
      </c>
      <c r="R5451" s="213" t="s">
        <v>45482</v>
      </c>
      <c r="S5451" s="213" t="s">
        <v>45483</v>
      </c>
      <c r="T5451" s="213" t="s">
        <v>45484</v>
      </c>
      <c r="U5451" s="213" t="s">
        <v>58572</v>
      </c>
    </row>
    <row r="5452" spans="1:21" x14ac:dyDescent="0.25">
      <c r="A5452" s="213" t="s">
        <v>327</v>
      </c>
      <c r="D5452" s="213" t="s">
        <v>45485</v>
      </c>
      <c r="E5452" s="213" t="s">
        <v>45486</v>
      </c>
      <c r="K5452" s="213" t="s">
        <v>58300</v>
      </c>
      <c r="L5452" s="213" t="s">
        <v>58391</v>
      </c>
      <c r="M5452" s="213" t="s">
        <v>58482</v>
      </c>
      <c r="N5452" s="213" t="s">
        <v>45487</v>
      </c>
      <c r="O5452" s="213" t="s">
        <v>45488</v>
      </c>
      <c r="P5452" s="213" t="s">
        <v>45489</v>
      </c>
      <c r="Q5452" s="213" t="s">
        <v>45490</v>
      </c>
      <c r="R5452" s="213" t="s">
        <v>45491</v>
      </c>
      <c r="S5452" s="213" t="s">
        <v>45492</v>
      </c>
      <c r="T5452" s="213" t="s">
        <v>45493</v>
      </c>
      <c r="U5452" s="213" t="s">
        <v>58573</v>
      </c>
    </row>
    <row r="5453" spans="1:21" x14ac:dyDescent="0.25">
      <c r="A5453" s="213" t="s">
        <v>327</v>
      </c>
      <c r="D5453" s="213" t="s">
        <v>45494</v>
      </c>
      <c r="E5453" s="213" t="s">
        <v>45495</v>
      </c>
      <c r="K5453" s="213" t="s">
        <v>58301</v>
      </c>
      <c r="L5453" s="213" t="s">
        <v>58392</v>
      </c>
      <c r="M5453" s="213" t="s">
        <v>58483</v>
      </c>
      <c r="N5453" s="213" t="s">
        <v>45496</v>
      </c>
      <c r="O5453" s="213" t="s">
        <v>45497</v>
      </c>
      <c r="P5453" s="213" t="s">
        <v>45498</v>
      </c>
      <c r="Q5453" s="213" t="s">
        <v>45499</v>
      </c>
      <c r="R5453" s="213" t="s">
        <v>45500</v>
      </c>
      <c r="S5453" s="213" t="s">
        <v>45501</v>
      </c>
      <c r="T5453" s="213" t="s">
        <v>45502</v>
      </c>
      <c r="U5453" s="213" t="s">
        <v>58574</v>
      </c>
    </row>
    <row r="5454" spans="1:21" x14ac:dyDescent="0.25">
      <c r="A5454" s="213" t="s">
        <v>327</v>
      </c>
      <c r="D5454" s="213" t="s">
        <v>45503</v>
      </c>
      <c r="E5454" s="213" t="s">
        <v>45504</v>
      </c>
      <c r="K5454" s="213" t="s">
        <v>58302</v>
      </c>
      <c r="L5454" s="213" t="s">
        <v>58393</v>
      </c>
      <c r="M5454" s="213" t="s">
        <v>58484</v>
      </c>
      <c r="N5454" s="213" t="s">
        <v>45505</v>
      </c>
      <c r="O5454" s="213" t="s">
        <v>45506</v>
      </c>
      <c r="P5454" s="213" t="s">
        <v>45507</v>
      </c>
      <c r="Q5454" s="213" t="s">
        <v>45508</v>
      </c>
      <c r="R5454" s="213" t="s">
        <v>45509</v>
      </c>
      <c r="S5454" s="213" t="s">
        <v>45510</v>
      </c>
      <c r="T5454" s="213" t="s">
        <v>45511</v>
      </c>
      <c r="U5454" s="213" t="s">
        <v>58575</v>
      </c>
    </row>
    <row r="5455" spans="1:21" x14ac:dyDescent="0.25">
      <c r="A5455" s="213" t="s">
        <v>327</v>
      </c>
      <c r="D5455" s="213" t="s">
        <v>45512</v>
      </c>
      <c r="E5455" s="213" t="s">
        <v>45513</v>
      </c>
      <c r="K5455" s="213" t="s">
        <v>58303</v>
      </c>
      <c r="L5455" s="213" t="s">
        <v>58394</v>
      </c>
      <c r="M5455" s="213" t="s">
        <v>58485</v>
      </c>
      <c r="N5455" s="213" t="s">
        <v>45514</v>
      </c>
      <c r="O5455" s="213" t="s">
        <v>45515</v>
      </c>
      <c r="P5455" s="213" t="s">
        <v>45516</v>
      </c>
      <c r="Q5455" s="213" t="s">
        <v>45517</v>
      </c>
      <c r="R5455" s="213" t="s">
        <v>45518</v>
      </c>
      <c r="S5455" s="213" t="s">
        <v>45519</v>
      </c>
      <c r="T5455" s="213" t="s">
        <v>45520</v>
      </c>
      <c r="U5455" s="213" t="s">
        <v>58576</v>
      </c>
    </row>
    <row r="5456" spans="1:21" x14ac:dyDescent="0.25">
      <c r="A5456" s="213" t="s">
        <v>327</v>
      </c>
      <c r="D5456" s="213" t="s">
        <v>45521</v>
      </c>
      <c r="E5456" s="213" t="s">
        <v>45522</v>
      </c>
      <c r="K5456" s="213" t="s">
        <v>58304</v>
      </c>
      <c r="L5456" s="213" t="s">
        <v>58395</v>
      </c>
      <c r="M5456" s="213" t="s">
        <v>58486</v>
      </c>
      <c r="N5456" s="213" t="s">
        <v>45523</v>
      </c>
      <c r="O5456" s="213" t="s">
        <v>45524</v>
      </c>
      <c r="P5456" s="213" t="s">
        <v>45525</v>
      </c>
      <c r="Q5456" s="213" t="s">
        <v>45526</v>
      </c>
      <c r="R5456" s="213" t="s">
        <v>45527</v>
      </c>
      <c r="S5456" s="213" t="s">
        <v>45528</v>
      </c>
      <c r="T5456" s="213" t="s">
        <v>45529</v>
      </c>
      <c r="U5456" s="213" t="s">
        <v>58577</v>
      </c>
    </row>
    <row r="5457" spans="1:21" x14ac:dyDescent="0.25">
      <c r="A5457" s="213" t="s">
        <v>327</v>
      </c>
      <c r="D5457" s="213" t="s">
        <v>45530</v>
      </c>
      <c r="E5457" s="213" t="s">
        <v>45531</v>
      </c>
      <c r="K5457" s="213" t="s">
        <v>58305</v>
      </c>
      <c r="L5457" s="213" t="s">
        <v>58396</v>
      </c>
      <c r="M5457" s="213" t="s">
        <v>58487</v>
      </c>
      <c r="N5457" s="213" t="s">
        <v>45532</v>
      </c>
      <c r="O5457" s="213" t="s">
        <v>45533</v>
      </c>
      <c r="P5457" s="213" t="s">
        <v>45534</v>
      </c>
      <c r="Q5457" s="213" t="s">
        <v>45535</v>
      </c>
      <c r="R5457" s="213" t="s">
        <v>45536</v>
      </c>
      <c r="S5457" s="213" t="s">
        <v>45537</v>
      </c>
      <c r="T5457" s="213" t="s">
        <v>45538</v>
      </c>
      <c r="U5457" s="213" t="s">
        <v>58578</v>
      </c>
    </row>
    <row r="5458" spans="1:21" x14ac:dyDescent="0.25">
      <c r="A5458" s="213" t="s">
        <v>327</v>
      </c>
      <c r="D5458" s="213" t="s">
        <v>45539</v>
      </c>
      <c r="E5458" s="213" t="s">
        <v>45540</v>
      </c>
      <c r="K5458" s="213" t="s">
        <v>58306</v>
      </c>
      <c r="L5458" s="213" t="s">
        <v>58397</v>
      </c>
      <c r="M5458" s="213" t="s">
        <v>58488</v>
      </c>
      <c r="N5458" s="213" t="s">
        <v>45541</v>
      </c>
      <c r="O5458" s="213" t="s">
        <v>45542</v>
      </c>
      <c r="P5458" s="213" t="s">
        <v>45543</v>
      </c>
      <c r="Q5458" s="213" t="s">
        <v>45544</v>
      </c>
      <c r="R5458" s="213" t="s">
        <v>45545</v>
      </c>
      <c r="S5458" s="213" t="s">
        <v>45546</v>
      </c>
      <c r="T5458" s="213" t="s">
        <v>45547</v>
      </c>
      <c r="U5458" s="213" t="s">
        <v>58579</v>
      </c>
    </row>
    <row r="5459" spans="1:21" x14ac:dyDescent="0.25">
      <c r="A5459" s="213" t="s">
        <v>327</v>
      </c>
      <c r="D5459" s="213" t="s">
        <v>45548</v>
      </c>
      <c r="E5459" s="213" t="s">
        <v>45549</v>
      </c>
      <c r="K5459" s="213" t="s">
        <v>58307</v>
      </c>
      <c r="L5459" s="213" t="s">
        <v>58398</v>
      </c>
      <c r="M5459" s="213" t="s">
        <v>58489</v>
      </c>
      <c r="N5459" s="213" t="s">
        <v>45550</v>
      </c>
      <c r="O5459" s="213" t="s">
        <v>45551</v>
      </c>
      <c r="P5459" s="213" t="s">
        <v>45552</v>
      </c>
      <c r="Q5459" s="213" t="s">
        <v>45553</v>
      </c>
      <c r="R5459" s="213" t="s">
        <v>45554</v>
      </c>
      <c r="S5459" s="213" t="s">
        <v>45555</v>
      </c>
      <c r="T5459" s="213" t="s">
        <v>45556</v>
      </c>
      <c r="U5459" s="213" t="s">
        <v>58580</v>
      </c>
    </row>
    <row r="5460" spans="1:21" x14ac:dyDescent="0.25">
      <c r="A5460" s="213" t="s">
        <v>327</v>
      </c>
      <c r="D5460" s="213" t="s">
        <v>45557</v>
      </c>
      <c r="E5460" s="213" t="s">
        <v>45558</v>
      </c>
      <c r="K5460" s="213" t="s">
        <v>58308</v>
      </c>
      <c r="L5460" s="213" t="s">
        <v>58399</v>
      </c>
      <c r="M5460" s="213" t="s">
        <v>58490</v>
      </c>
      <c r="N5460" s="213" t="s">
        <v>45559</v>
      </c>
      <c r="O5460" s="213" t="s">
        <v>45560</v>
      </c>
      <c r="P5460" s="213" t="s">
        <v>45561</v>
      </c>
      <c r="Q5460" s="213" t="s">
        <v>45562</v>
      </c>
      <c r="R5460" s="213" t="s">
        <v>45563</v>
      </c>
      <c r="S5460" s="213" t="s">
        <v>45564</v>
      </c>
      <c r="T5460" s="213" t="s">
        <v>45565</v>
      </c>
      <c r="U5460" s="213" t="s">
        <v>58581</v>
      </c>
    </row>
    <row r="5461" spans="1:21" x14ac:dyDescent="0.25">
      <c r="A5461" s="213" t="s">
        <v>327</v>
      </c>
      <c r="D5461" s="213" t="s">
        <v>45566</v>
      </c>
      <c r="E5461" s="213" t="s">
        <v>45567</v>
      </c>
      <c r="K5461" s="213" t="s">
        <v>58309</v>
      </c>
      <c r="L5461" s="213" t="s">
        <v>58400</v>
      </c>
      <c r="M5461" s="213" t="s">
        <v>58491</v>
      </c>
      <c r="N5461" s="213" t="s">
        <v>45568</v>
      </c>
      <c r="O5461" s="213" t="s">
        <v>45569</v>
      </c>
      <c r="P5461" s="213" t="s">
        <v>45570</v>
      </c>
      <c r="Q5461" s="213" t="s">
        <v>45571</v>
      </c>
      <c r="R5461" s="213" t="s">
        <v>45572</v>
      </c>
      <c r="S5461" s="213" t="s">
        <v>45573</v>
      </c>
      <c r="T5461" s="213" t="s">
        <v>45574</v>
      </c>
      <c r="U5461" s="213" t="s">
        <v>58582</v>
      </c>
    </row>
    <row r="5462" spans="1:21" x14ac:dyDescent="0.25">
      <c r="A5462" s="213" t="s">
        <v>327</v>
      </c>
      <c r="D5462" s="213" t="s">
        <v>45575</v>
      </c>
      <c r="E5462" s="213" t="s">
        <v>45576</v>
      </c>
      <c r="K5462" s="213" t="s">
        <v>58310</v>
      </c>
      <c r="L5462" s="213" t="s">
        <v>58401</v>
      </c>
      <c r="M5462" s="213" t="s">
        <v>58492</v>
      </c>
      <c r="N5462" s="213" t="s">
        <v>45577</v>
      </c>
      <c r="O5462" s="213" t="s">
        <v>45578</v>
      </c>
      <c r="P5462" s="213" t="s">
        <v>45579</v>
      </c>
      <c r="Q5462" s="213" t="s">
        <v>45580</v>
      </c>
      <c r="R5462" s="213" t="s">
        <v>45581</v>
      </c>
      <c r="S5462" s="213" t="s">
        <v>45582</v>
      </c>
      <c r="T5462" s="213" t="s">
        <v>45583</v>
      </c>
      <c r="U5462" s="213" t="s">
        <v>58583</v>
      </c>
    </row>
    <row r="5463" spans="1:21" x14ac:dyDescent="0.25">
      <c r="A5463" s="213" t="s">
        <v>327</v>
      </c>
      <c r="D5463" s="213" t="s">
        <v>45584</v>
      </c>
      <c r="E5463" s="213" t="s">
        <v>45585</v>
      </c>
      <c r="K5463" s="213" t="s">
        <v>58311</v>
      </c>
      <c r="L5463" s="213" t="s">
        <v>58402</v>
      </c>
      <c r="M5463" s="213" t="s">
        <v>58493</v>
      </c>
      <c r="N5463" s="213" t="s">
        <v>45586</v>
      </c>
      <c r="O5463" s="213" t="s">
        <v>45587</v>
      </c>
      <c r="P5463" s="213" t="s">
        <v>45588</v>
      </c>
      <c r="Q5463" s="213" t="s">
        <v>45589</v>
      </c>
      <c r="R5463" s="213" t="s">
        <v>45590</v>
      </c>
      <c r="S5463" s="213" t="s">
        <v>45591</v>
      </c>
      <c r="T5463" s="213" t="s">
        <v>45592</v>
      </c>
      <c r="U5463" s="213" t="s">
        <v>58584</v>
      </c>
    </row>
    <row r="5464" spans="1:21" x14ac:dyDescent="0.25">
      <c r="A5464" s="213" t="s">
        <v>327</v>
      </c>
      <c r="D5464" s="213" t="s">
        <v>45593</v>
      </c>
      <c r="E5464" s="213" t="s">
        <v>45594</v>
      </c>
      <c r="K5464" s="213" t="s">
        <v>58312</v>
      </c>
      <c r="L5464" s="213" t="s">
        <v>58403</v>
      </c>
      <c r="M5464" s="213" t="s">
        <v>58494</v>
      </c>
      <c r="N5464" s="213" t="s">
        <v>45595</v>
      </c>
      <c r="O5464" s="213" t="s">
        <v>45596</v>
      </c>
      <c r="P5464" s="213" t="s">
        <v>45597</v>
      </c>
      <c r="Q5464" s="213" t="s">
        <v>45598</v>
      </c>
      <c r="R5464" s="213" t="s">
        <v>45599</v>
      </c>
      <c r="S5464" s="213" t="s">
        <v>45600</v>
      </c>
      <c r="T5464" s="213" t="s">
        <v>45601</v>
      </c>
      <c r="U5464" s="213" t="s">
        <v>58585</v>
      </c>
    </row>
    <row r="5465" spans="1:21" x14ac:dyDescent="0.25">
      <c r="A5465" s="213" t="s">
        <v>327</v>
      </c>
      <c r="D5465" s="213" t="s">
        <v>45602</v>
      </c>
      <c r="E5465" s="213" t="s">
        <v>45603</v>
      </c>
      <c r="K5465" s="213" t="s">
        <v>58313</v>
      </c>
      <c r="L5465" s="213" t="s">
        <v>58404</v>
      </c>
      <c r="M5465" s="213" t="s">
        <v>58495</v>
      </c>
      <c r="N5465" s="213" t="s">
        <v>45604</v>
      </c>
      <c r="O5465" s="213" t="s">
        <v>45605</v>
      </c>
      <c r="P5465" s="213" t="s">
        <v>45606</v>
      </c>
      <c r="Q5465" s="213" t="s">
        <v>45607</v>
      </c>
      <c r="R5465" s="213" t="s">
        <v>45608</v>
      </c>
      <c r="S5465" s="213" t="s">
        <v>45609</v>
      </c>
      <c r="T5465" s="213" t="s">
        <v>45610</v>
      </c>
      <c r="U5465" s="213" t="s">
        <v>58586</v>
      </c>
    </row>
    <row r="5466" spans="1:21" x14ac:dyDescent="0.25">
      <c r="A5466" s="213" t="s">
        <v>327</v>
      </c>
      <c r="D5466" s="213" t="s">
        <v>45611</v>
      </c>
      <c r="E5466" s="213" t="s">
        <v>45612</v>
      </c>
      <c r="K5466" s="213" t="s">
        <v>58314</v>
      </c>
      <c r="L5466" s="213" t="s">
        <v>58405</v>
      </c>
      <c r="M5466" s="213" t="s">
        <v>58496</v>
      </c>
      <c r="N5466" s="213" t="s">
        <v>45613</v>
      </c>
      <c r="O5466" s="213" t="s">
        <v>45614</v>
      </c>
      <c r="P5466" s="213" t="s">
        <v>45615</v>
      </c>
      <c r="Q5466" s="213" t="s">
        <v>45616</v>
      </c>
      <c r="R5466" s="213" t="s">
        <v>45617</v>
      </c>
      <c r="S5466" s="213" t="s">
        <v>45618</v>
      </c>
      <c r="T5466" s="213" t="s">
        <v>45619</v>
      </c>
      <c r="U5466" s="213" t="s">
        <v>58587</v>
      </c>
    </row>
    <row r="5467" spans="1:21" x14ac:dyDescent="0.25">
      <c r="A5467" s="213" t="s">
        <v>327</v>
      </c>
      <c r="D5467" s="213" t="s">
        <v>45620</v>
      </c>
      <c r="E5467" s="213" t="s">
        <v>45621</v>
      </c>
      <c r="K5467" s="213" t="s">
        <v>58315</v>
      </c>
      <c r="L5467" s="213" t="s">
        <v>58406</v>
      </c>
      <c r="M5467" s="213" t="s">
        <v>58497</v>
      </c>
      <c r="N5467" s="213" t="s">
        <v>45622</v>
      </c>
      <c r="O5467" s="213" t="s">
        <v>45623</v>
      </c>
      <c r="P5467" s="213" t="s">
        <v>45624</v>
      </c>
      <c r="Q5467" s="213" t="s">
        <v>45625</v>
      </c>
      <c r="R5467" s="213" t="s">
        <v>45626</v>
      </c>
      <c r="S5467" s="213" t="s">
        <v>45627</v>
      </c>
      <c r="T5467" s="213" t="s">
        <v>45628</v>
      </c>
      <c r="U5467" s="213" t="s">
        <v>58588</v>
      </c>
    </row>
    <row r="5468" spans="1:21" x14ac:dyDescent="0.25">
      <c r="A5468" s="213" t="s">
        <v>327</v>
      </c>
      <c r="D5468" s="213" t="s">
        <v>45629</v>
      </c>
      <c r="E5468" s="213" t="s">
        <v>45630</v>
      </c>
      <c r="K5468" s="213" t="s">
        <v>58316</v>
      </c>
      <c r="L5468" s="213" t="s">
        <v>58407</v>
      </c>
      <c r="M5468" s="213" t="s">
        <v>58498</v>
      </c>
      <c r="N5468" s="213" t="s">
        <v>45631</v>
      </c>
      <c r="O5468" s="213" t="s">
        <v>45632</v>
      </c>
      <c r="P5468" s="213" t="s">
        <v>45633</v>
      </c>
      <c r="Q5468" s="213" t="s">
        <v>45634</v>
      </c>
      <c r="R5468" s="213" t="s">
        <v>45635</v>
      </c>
      <c r="S5468" s="213" t="s">
        <v>45636</v>
      </c>
      <c r="T5468" s="213" t="s">
        <v>45637</v>
      </c>
      <c r="U5468" s="213" t="s">
        <v>58589</v>
      </c>
    </row>
    <row r="5469" spans="1:21" x14ac:dyDescent="0.25">
      <c r="A5469" s="213" t="s">
        <v>327</v>
      </c>
      <c r="D5469" s="213" t="s">
        <v>45638</v>
      </c>
      <c r="E5469" s="213" t="s">
        <v>45639</v>
      </c>
      <c r="K5469" s="213" t="s">
        <v>58317</v>
      </c>
      <c r="L5469" s="213" t="s">
        <v>58408</v>
      </c>
      <c r="M5469" s="213" t="s">
        <v>58499</v>
      </c>
      <c r="N5469" s="213" t="s">
        <v>45640</v>
      </c>
      <c r="O5469" s="213" t="s">
        <v>45641</v>
      </c>
      <c r="P5469" s="213" t="s">
        <v>45642</v>
      </c>
      <c r="Q5469" s="213" t="s">
        <v>45643</v>
      </c>
      <c r="R5469" s="213" t="s">
        <v>45644</v>
      </c>
      <c r="S5469" s="213" t="s">
        <v>45645</v>
      </c>
      <c r="T5469" s="213" t="s">
        <v>45646</v>
      </c>
      <c r="U5469" s="213" t="s">
        <v>58590</v>
      </c>
    </row>
    <row r="5470" spans="1:21" x14ac:dyDescent="0.25">
      <c r="A5470" s="213" t="s">
        <v>327</v>
      </c>
      <c r="D5470" s="213" t="s">
        <v>45647</v>
      </c>
      <c r="E5470" s="213" t="s">
        <v>45648</v>
      </c>
      <c r="K5470" s="213" t="s">
        <v>58318</v>
      </c>
      <c r="L5470" s="213" t="s">
        <v>58409</v>
      </c>
      <c r="M5470" s="213" t="s">
        <v>58500</v>
      </c>
      <c r="N5470" s="213" t="s">
        <v>45649</v>
      </c>
      <c r="O5470" s="213" t="s">
        <v>45650</v>
      </c>
      <c r="P5470" s="213" t="s">
        <v>45651</v>
      </c>
      <c r="Q5470" s="213" t="s">
        <v>45652</v>
      </c>
      <c r="R5470" s="213" t="s">
        <v>45653</v>
      </c>
      <c r="S5470" s="213" t="s">
        <v>45654</v>
      </c>
      <c r="T5470" s="213" t="s">
        <v>45655</v>
      </c>
      <c r="U5470" s="213" t="s">
        <v>58591</v>
      </c>
    </row>
    <row r="5471" spans="1:21" x14ac:dyDescent="0.25">
      <c r="A5471" s="213" t="s">
        <v>327</v>
      </c>
      <c r="D5471" s="213" t="s">
        <v>45656</v>
      </c>
      <c r="E5471" s="213" t="s">
        <v>45657</v>
      </c>
      <c r="K5471" s="213" t="s">
        <v>58319</v>
      </c>
      <c r="L5471" s="213" t="s">
        <v>58410</v>
      </c>
      <c r="M5471" s="213" t="s">
        <v>58501</v>
      </c>
      <c r="N5471" s="213" t="s">
        <v>45658</v>
      </c>
      <c r="O5471" s="213" t="s">
        <v>45659</v>
      </c>
      <c r="P5471" s="213" t="s">
        <v>45660</v>
      </c>
      <c r="Q5471" s="213" t="s">
        <v>45661</v>
      </c>
      <c r="R5471" s="213" t="s">
        <v>45662</v>
      </c>
      <c r="S5471" s="213" t="s">
        <v>45663</v>
      </c>
      <c r="T5471" s="213" t="s">
        <v>45664</v>
      </c>
      <c r="U5471" s="213" t="s">
        <v>58592</v>
      </c>
    </row>
    <row r="5472" spans="1:21" x14ac:dyDescent="0.25">
      <c r="A5472" s="213" t="s">
        <v>327</v>
      </c>
      <c r="D5472" s="213" t="s">
        <v>45665</v>
      </c>
      <c r="E5472" s="213" t="s">
        <v>45666</v>
      </c>
      <c r="K5472" s="213" t="s">
        <v>58320</v>
      </c>
      <c r="L5472" s="213" t="s">
        <v>58411</v>
      </c>
      <c r="M5472" s="213" t="s">
        <v>58502</v>
      </c>
      <c r="N5472" s="213" t="s">
        <v>45667</v>
      </c>
      <c r="O5472" s="213" t="s">
        <v>45668</v>
      </c>
      <c r="P5472" s="213" t="s">
        <v>45669</v>
      </c>
      <c r="Q5472" s="213" t="s">
        <v>45670</v>
      </c>
      <c r="R5472" s="213" t="s">
        <v>45671</v>
      </c>
      <c r="S5472" s="213" t="s">
        <v>45672</v>
      </c>
      <c r="T5472" s="213" t="s">
        <v>45673</v>
      </c>
      <c r="U5472" s="213" t="s">
        <v>58593</v>
      </c>
    </row>
    <row r="5473" spans="1:21" x14ac:dyDescent="0.25">
      <c r="A5473" s="213" t="s">
        <v>327</v>
      </c>
      <c r="D5473" s="213" t="s">
        <v>45674</v>
      </c>
      <c r="E5473" s="213" t="s">
        <v>45675</v>
      </c>
      <c r="K5473" s="213" t="s">
        <v>58321</v>
      </c>
      <c r="L5473" s="213" t="s">
        <v>58412</v>
      </c>
      <c r="M5473" s="213" t="s">
        <v>58503</v>
      </c>
      <c r="N5473" s="213" t="s">
        <v>45676</v>
      </c>
      <c r="O5473" s="213" t="s">
        <v>45677</v>
      </c>
      <c r="P5473" s="213" t="s">
        <v>45678</v>
      </c>
      <c r="Q5473" s="213" t="s">
        <v>45679</v>
      </c>
      <c r="R5473" s="213" t="s">
        <v>45680</v>
      </c>
      <c r="S5473" s="213" t="s">
        <v>45681</v>
      </c>
      <c r="T5473" s="213" t="s">
        <v>45682</v>
      </c>
      <c r="U5473" s="213" t="s">
        <v>58594</v>
      </c>
    </row>
    <row r="5474" spans="1:21" x14ac:dyDescent="0.25">
      <c r="A5474" s="213" t="s">
        <v>327</v>
      </c>
      <c r="D5474" s="213" t="s">
        <v>45683</v>
      </c>
      <c r="E5474" s="213" t="s">
        <v>45684</v>
      </c>
      <c r="K5474" s="213" t="s">
        <v>58322</v>
      </c>
      <c r="L5474" s="213" t="s">
        <v>58413</v>
      </c>
      <c r="M5474" s="213" t="s">
        <v>58504</v>
      </c>
      <c r="N5474" s="213" t="s">
        <v>45685</v>
      </c>
      <c r="O5474" s="213" t="s">
        <v>45686</v>
      </c>
      <c r="P5474" s="213" t="s">
        <v>45687</v>
      </c>
      <c r="Q5474" s="213" t="s">
        <v>45688</v>
      </c>
      <c r="R5474" s="213" t="s">
        <v>45689</v>
      </c>
      <c r="S5474" s="213" t="s">
        <v>45690</v>
      </c>
      <c r="T5474" s="213" t="s">
        <v>45691</v>
      </c>
      <c r="U5474" s="213" t="s">
        <v>58595</v>
      </c>
    </row>
    <row r="5475" spans="1:21" x14ac:dyDescent="0.25">
      <c r="A5475" s="213" t="s">
        <v>327</v>
      </c>
      <c r="D5475" s="213" t="s">
        <v>45692</v>
      </c>
      <c r="E5475" s="213" t="s">
        <v>45693</v>
      </c>
      <c r="K5475" s="213" t="s">
        <v>58323</v>
      </c>
      <c r="L5475" s="213" t="s">
        <v>58414</v>
      </c>
      <c r="M5475" s="213" t="s">
        <v>58505</v>
      </c>
      <c r="N5475" s="213" t="s">
        <v>45694</v>
      </c>
      <c r="O5475" s="213" t="s">
        <v>45695</v>
      </c>
      <c r="P5475" s="213" t="s">
        <v>45696</v>
      </c>
      <c r="Q5475" s="213" t="s">
        <v>45697</v>
      </c>
      <c r="R5475" s="213" t="s">
        <v>45698</v>
      </c>
      <c r="S5475" s="213" t="s">
        <v>45699</v>
      </c>
      <c r="T5475" s="213" t="s">
        <v>45700</v>
      </c>
      <c r="U5475" s="213" t="s">
        <v>58596</v>
      </c>
    </row>
    <row r="5476" spans="1:21" x14ac:dyDescent="0.25">
      <c r="A5476" s="213" t="s">
        <v>327</v>
      </c>
      <c r="D5476" s="213" t="s">
        <v>45701</v>
      </c>
      <c r="E5476" s="213" t="s">
        <v>45702</v>
      </c>
      <c r="K5476" s="213" t="s">
        <v>58324</v>
      </c>
      <c r="L5476" s="213" t="s">
        <v>58415</v>
      </c>
      <c r="M5476" s="213" t="s">
        <v>58506</v>
      </c>
      <c r="N5476" s="213" t="s">
        <v>45703</v>
      </c>
      <c r="O5476" s="213" t="s">
        <v>45704</v>
      </c>
      <c r="P5476" s="213" t="s">
        <v>45705</v>
      </c>
      <c r="Q5476" s="213" t="s">
        <v>45706</v>
      </c>
      <c r="R5476" s="213" t="s">
        <v>45707</v>
      </c>
      <c r="S5476" s="213" t="s">
        <v>45708</v>
      </c>
      <c r="T5476" s="213" t="s">
        <v>45709</v>
      </c>
      <c r="U5476" s="213" t="s">
        <v>58597</v>
      </c>
    </row>
    <row r="5477" spans="1:21" x14ac:dyDescent="0.25">
      <c r="A5477" s="213" t="s">
        <v>327</v>
      </c>
      <c r="D5477" s="213" t="s">
        <v>45710</v>
      </c>
      <c r="E5477" s="213" t="s">
        <v>45711</v>
      </c>
      <c r="K5477" s="213" t="s">
        <v>58325</v>
      </c>
      <c r="L5477" s="213" t="s">
        <v>58416</v>
      </c>
      <c r="M5477" s="213" t="s">
        <v>58507</v>
      </c>
      <c r="N5477" s="213" t="s">
        <v>45712</v>
      </c>
      <c r="O5477" s="213" t="s">
        <v>45713</v>
      </c>
      <c r="P5477" s="213" t="s">
        <v>45714</v>
      </c>
      <c r="Q5477" s="213" t="s">
        <v>45715</v>
      </c>
      <c r="R5477" s="213" t="s">
        <v>45716</v>
      </c>
      <c r="S5477" s="213" t="s">
        <v>45717</v>
      </c>
      <c r="T5477" s="213" t="s">
        <v>45718</v>
      </c>
      <c r="U5477" s="213" t="s">
        <v>58598</v>
      </c>
    </row>
    <row r="5478" spans="1:21" x14ac:dyDescent="0.25">
      <c r="A5478" s="213" t="s">
        <v>327</v>
      </c>
      <c r="D5478" s="213" t="s">
        <v>45719</v>
      </c>
      <c r="E5478" s="213" t="s">
        <v>45720</v>
      </c>
      <c r="K5478" s="213" t="s">
        <v>58326</v>
      </c>
      <c r="L5478" s="213" t="s">
        <v>58417</v>
      </c>
      <c r="M5478" s="213" t="s">
        <v>58508</v>
      </c>
      <c r="N5478" s="213" t="s">
        <v>45721</v>
      </c>
      <c r="O5478" s="213" t="s">
        <v>45722</v>
      </c>
      <c r="P5478" s="213" t="s">
        <v>45723</v>
      </c>
      <c r="Q5478" s="213" t="s">
        <v>45724</v>
      </c>
      <c r="R5478" s="213" t="s">
        <v>45725</v>
      </c>
      <c r="S5478" s="213" t="s">
        <v>45726</v>
      </c>
      <c r="T5478" s="213" t="s">
        <v>45727</v>
      </c>
      <c r="U5478" s="213" t="s">
        <v>58599</v>
      </c>
    </row>
    <row r="5479" spans="1:21" x14ac:dyDescent="0.25">
      <c r="A5479" s="213" t="s">
        <v>327</v>
      </c>
      <c r="D5479" s="213" t="s">
        <v>45728</v>
      </c>
      <c r="E5479" s="213" t="s">
        <v>45729</v>
      </c>
      <c r="K5479" s="213" t="s">
        <v>58327</v>
      </c>
      <c r="L5479" s="213" t="s">
        <v>58418</v>
      </c>
      <c r="M5479" s="213" t="s">
        <v>58509</v>
      </c>
      <c r="N5479" s="213" t="s">
        <v>45730</v>
      </c>
      <c r="O5479" s="213" t="s">
        <v>45731</v>
      </c>
      <c r="P5479" s="213" t="s">
        <v>45732</v>
      </c>
      <c r="Q5479" s="213" t="s">
        <v>45733</v>
      </c>
      <c r="R5479" s="213" t="s">
        <v>45734</v>
      </c>
      <c r="S5479" s="213" t="s">
        <v>45735</v>
      </c>
      <c r="T5479" s="213" t="s">
        <v>45736</v>
      </c>
      <c r="U5479" s="213" t="s">
        <v>58600</v>
      </c>
    </row>
    <row r="5480" spans="1:21" x14ac:dyDescent="0.25">
      <c r="A5480" s="213" t="s">
        <v>327</v>
      </c>
      <c r="D5480" s="213" t="s">
        <v>45737</v>
      </c>
      <c r="E5480" s="213" t="s">
        <v>45738</v>
      </c>
      <c r="K5480" s="213" t="s">
        <v>58328</v>
      </c>
      <c r="L5480" s="213" t="s">
        <v>58419</v>
      </c>
      <c r="M5480" s="213" t="s">
        <v>58510</v>
      </c>
      <c r="N5480" s="213" t="s">
        <v>45739</v>
      </c>
      <c r="O5480" s="213" t="s">
        <v>45740</v>
      </c>
      <c r="P5480" s="213" t="s">
        <v>45741</v>
      </c>
      <c r="Q5480" s="213" t="s">
        <v>45742</v>
      </c>
      <c r="R5480" s="213" t="s">
        <v>45743</v>
      </c>
      <c r="S5480" s="213" t="s">
        <v>45744</v>
      </c>
      <c r="T5480" s="213" t="s">
        <v>45745</v>
      </c>
      <c r="U5480" s="213" t="s">
        <v>58601</v>
      </c>
    </row>
    <row r="5481" spans="1:21" x14ac:dyDescent="0.25">
      <c r="A5481" s="213" t="s">
        <v>327</v>
      </c>
    </row>
    <row r="5482" spans="1:21" x14ac:dyDescent="0.25">
      <c r="A5482" s="213" t="s">
        <v>327</v>
      </c>
    </row>
    <row r="5483" spans="1:21" x14ac:dyDescent="0.25">
      <c r="A5483" s="213" t="s">
        <v>327</v>
      </c>
      <c r="C5483" s="213" t="s">
        <v>45746</v>
      </c>
      <c r="E5483" s="213" t="s">
        <v>45747</v>
      </c>
      <c r="H5483" s="213" t="s">
        <v>45748</v>
      </c>
      <c r="I5483" s="213" t="s">
        <v>45749</v>
      </c>
      <c r="J5483" s="213" t="s">
        <v>45750</v>
      </c>
      <c r="L5483" s="213" t="s">
        <v>45751</v>
      </c>
      <c r="O5483" s="213" t="s">
        <v>45752</v>
      </c>
      <c r="P5483" s="213" t="s">
        <v>45753</v>
      </c>
      <c r="Q5483" s="213" t="s">
        <v>45754</v>
      </c>
      <c r="R5483" s="213" t="s">
        <v>45755</v>
      </c>
      <c r="S5483" s="213" t="s">
        <v>45756</v>
      </c>
      <c r="T5483" s="213" t="s">
        <v>45757</v>
      </c>
    </row>
    <row r="5484" spans="1:21" x14ac:dyDescent="0.25">
      <c r="A5484" s="213" t="s">
        <v>327</v>
      </c>
      <c r="C5484" s="213" t="s">
        <v>45758</v>
      </c>
      <c r="E5484" s="213" t="s">
        <v>45759</v>
      </c>
      <c r="I5484" s="213" t="s">
        <v>45760</v>
      </c>
    </row>
    <row r="5485" spans="1:21" x14ac:dyDescent="0.25">
      <c r="A5485" s="213" t="s">
        <v>327</v>
      </c>
      <c r="C5485" s="213" t="s">
        <v>45761</v>
      </c>
      <c r="E5485" s="213" t="s">
        <v>45762</v>
      </c>
      <c r="I5485" s="213" t="s">
        <v>45763</v>
      </c>
    </row>
    <row r="5486" spans="1:21" x14ac:dyDescent="0.25">
      <c r="A5486" s="213" t="s">
        <v>328</v>
      </c>
    </row>
    <row r="5487" spans="1:21" x14ac:dyDescent="0.25">
      <c r="A5487" s="213" t="s">
        <v>327</v>
      </c>
      <c r="D5487" s="213" t="s">
        <v>45764</v>
      </c>
      <c r="E5487" s="213" t="s">
        <v>45765</v>
      </c>
      <c r="K5487" s="213" t="s">
        <v>57846</v>
      </c>
      <c r="L5487" s="213" t="s">
        <v>57944</v>
      </c>
      <c r="M5487" s="213" t="s">
        <v>58042</v>
      </c>
      <c r="N5487" s="213" t="s">
        <v>45766</v>
      </c>
      <c r="O5487" s="213" t="s">
        <v>45767</v>
      </c>
      <c r="P5487" s="213" t="s">
        <v>45768</v>
      </c>
      <c r="Q5487" s="213" t="s">
        <v>45769</v>
      </c>
      <c r="R5487" s="213" t="s">
        <v>45770</v>
      </c>
      <c r="S5487" s="213" t="s">
        <v>45771</v>
      </c>
      <c r="T5487" s="213" t="s">
        <v>45772</v>
      </c>
      <c r="U5487" s="213" t="s">
        <v>58140</v>
      </c>
    </row>
    <row r="5488" spans="1:21" x14ac:dyDescent="0.25">
      <c r="A5488" s="213" t="s">
        <v>327</v>
      </c>
      <c r="D5488" s="213" t="s">
        <v>45773</v>
      </c>
      <c r="E5488" s="213" t="s">
        <v>45774</v>
      </c>
      <c r="K5488" s="213" t="s">
        <v>57847</v>
      </c>
      <c r="L5488" s="213" t="s">
        <v>57945</v>
      </c>
      <c r="M5488" s="213" t="s">
        <v>58043</v>
      </c>
      <c r="N5488" s="213" t="s">
        <v>45775</v>
      </c>
      <c r="O5488" s="213" t="s">
        <v>45776</v>
      </c>
      <c r="P5488" s="213" t="s">
        <v>45777</v>
      </c>
      <c r="Q5488" s="213" t="s">
        <v>45778</v>
      </c>
      <c r="R5488" s="213" t="s">
        <v>45779</v>
      </c>
      <c r="S5488" s="213" t="s">
        <v>45780</v>
      </c>
      <c r="T5488" s="213" t="s">
        <v>45781</v>
      </c>
      <c r="U5488" s="213" t="s">
        <v>58141</v>
      </c>
    </row>
    <row r="5489" spans="1:21" x14ac:dyDescent="0.25">
      <c r="A5489" s="213" t="s">
        <v>327</v>
      </c>
      <c r="D5489" s="213" t="s">
        <v>45782</v>
      </c>
      <c r="E5489" s="213" t="s">
        <v>45783</v>
      </c>
      <c r="K5489" s="213" t="s">
        <v>57848</v>
      </c>
      <c r="L5489" s="213" t="s">
        <v>57946</v>
      </c>
      <c r="M5489" s="213" t="s">
        <v>58044</v>
      </c>
      <c r="N5489" s="213" t="s">
        <v>45784</v>
      </c>
      <c r="O5489" s="213" t="s">
        <v>45785</v>
      </c>
      <c r="P5489" s="213" t="s">
        <v>45786</v>
      </c>
      <c r="Q5489" s="213" t="s">
        <v>45787</v>
      </c>
      <c r="R5489" s="213" t="s">
        <v>45788</v>
      </c>
      <c r="S5489" s="213" t="s">
        <v>45789</v>
      </c>
      <c r="T5489" s="213" t="s">
        <v>45790</v>
      </c>
      <c r="U5489" s="213" t="s">
        <v>58142</v>
      </c>
    </row>
    <row r="5490" spans="1:21" x14ac:dyDescent="0.25">
      <c r="A5490" s="213" t="s">
        <v>327</v>
      </c>
      <c r="D5490" s="213" t="s">
        <v>45791</v>
      </c>
      <c r="E5490" s="213" t="s">
        <v>45792</v>
      </c>
      <c r="K5490" s="213" t="s">
        <v>57849</v>
      </c>
      <c r="L5490" s="213" t="s">
        <v>57947</v>
      </c>
      <c r="M5490" s="213" t="s">
        <v>58045</v>
      </c>
      <c r="N5490" s="213" t="s">
        <v>45793</v>
      </c>
      <c r="O5490" s="213" t="s">
        <v>45794</v>
      </c>
      <c r="P5490" s="213" t="s">
        <v>45795</v>
      </c>
      <c r="Q5490" s="213" t="s">
        <v>45796</v>
      </c>
      <c r="R5490" s="213" t="s">
        <v>45797</v>
      </c>
      <c r="S5490" s="213" t="s">
        <v>45798</v>
      </c>
      <c r="T5490" s="213" t="s">
        <v>45799</v>
      </c>
      <c r="U5490" s="213" t="s">
        <v>58143</v>
      </c>
    </row>
    <row r="5491" spans="1:21" x14ac:dyDescent="0.25">
      <c r="A5491" s="213" t="s">
        <v>327</v>
      </c>
      <c r="D5491" s="213" t="s">
        <v>45800</v>
      </c>
      <c r="E5491" s="213" t="s">
        <v>45801</v>
      </c>
      <c r="K5491" s="213" t="s">
        <v>57850</v>
      </c>
      <c r="L5491" s="213" t="s">
        <v>57948</v>
      </c>
      <c r="M5491" s="213" t="s">
        <v>58046</v>
      </c>
      <c r="N5491" s="213" t="s">
        <v>45802</v>
      </c>
      <c r="O5491" s="213" t="s">
        <v>45803</v>
      </c>
      <c r="P5491" s="213" t="s">
        <v>45804</v>
      </c>
      <c r="Q5491" s="213" t="s">
        <v>45805</v>
      </c>
      <c r="R5491" s="213" t="s">
        <v>45806</v>
      </c>
      <c r="S5491" s="213" t="s">
        <v>45807</v>
      </c>
      <c r="T5491" s="213" t="s">
        <v>45808</v>
      </c>
      <c r="U5491" s="213" t="s">
        <v>58144</v>
      </c>
    </row>
    <row r="5492" spans="1:21" x14ac:dyDescent="0.25">
      <c r="A5492" s="213" t="s">
        <v>327</v>
      </c>
      <c r="D5492" s="213" t="s">
        <v>45809</v>
      </c>
      <c r="E5492" s="213" t="s">
        <v>45810</v>
      </c>
      <c r="K5492" s="213" t="s">
        <v>57851</v>
      </c>
      <c r="L5492" s="213" t="s">
        <v>57949</v>
      </c>
      <c r="M5492" s="213" t="s">
        <v>58047</v>
      </c>
      <c r="N5492" s="213" t="s">
        <v>45811</v>
      </c>
      <c r="O5492" s="213" t="s">
        <v>45812</v>
      </c>
      <c r="P5492" s="213" t="s">
        <v>45813</v>
      </c>
      <c r="Q5492" s="213" t="s">
        <v>45814</v>
      </c>
      <c r="R5492" s="213" t="s">
        <v>45815</v>
      </c>
      <c r="S5492" s="213" t="s">
        <v>45816</v>
      </c>
      <c r="T5492" s="213" t="s">
        <v>45817</v>
      </c>
      <c r="U5492" s="213" t="s">
        <v>58145</v>
      </c>
    </row>
    <row r="5493" spans="1:21" x14ac:dyDescent="0.25">
      <c r="A5493" s="213" t="s">
        <v>327</v>
      </c>
      <c r="D5493" s="213" t="s">
        <v>45818</v>
      </c>
      <c r="E5493" s="213" t="s">
        <v>45819</v>
      </c>
      <c r="K5493" s="213" t="s">
        <v>57852</v>
      </c>
      <c r="L5493" s="213" t="s">
        <v>57950</v>
      </c>
      <c r="M5493" s="213" t="s">
        <v>58048</v>
      </c>
      <c r="N5493" s="213" t="s">
        <v>45820</v>
      </c>
      <c r="O5493" s="213" t="s">
        <v>45821</v>
      </c>
      <c r="P5493" s="213" t="s">
        <v>45822</v>
      </c>
      <c r="Q5493" s="213" t="s">
        <v>45823</v>
      </c>
      <c r="R5493" s="213" t="s">
        <v>45824</v>
      </c>
      <c r="S5493" s="213" t="s">
        <v>45825</v>
      </c>
      <c r="T5493" s="213" t="s">
        <v>45826</v>
      </c>
      <c r="U5493" s="213" t="s">
        <v>58146</v>
      </c>
    </row>
    <row r="5494" spans="1:21" x14ac:dyDescent="0.25">
      <c r="A5494" s="213" t="s">
        <v>327</v>
      </c>
      <c r="D5494" s="213" t="s">
        <v>45827</v>
      </c>
      <c r="E5494" s="213" t="s">
        <v>45828</v>
      </c>
      <c r="K5494" s="213" t="s">
        <v>57853</v>
      </c>
      <c r="L5494" s="213" t="s">
        <v>57951</v>
      </c>
      <c r="M5494" s="213" t="s">
        <v>58049</v>
      </c>
      <c r="N5494" s="213" t="s">
        <v>45829</v>
      </c>
      <c r="O5494" s="213" t="s">
        <v>45830</v>
      </c>
      <c r="P5494" s="213" t="s">
        <v>45831</v>
      </c>
      <c r="Q5494" s="213" t="s">
        <v>45832</v>
      </c>
      <c r="R5494" s="213" t="s">
        <v>45833</v>
      </c>
      <c r="S5494" s="213" t="s">
        <v>45834</v>
      </c>
      <c r="T5494" s="213" t="s">
        <v>45835</v>
      </c>
      <c r="U5494" s="213" t="s">
        <v>58147</v>
      </c>
    </row>
    <row r="5495" spans="1:21" x14ac:dyDescent="0.25">
      <c r="A5495" s="213" t="s">
        <v>327</v>
      </c>
      <c r="D5495" s="213" t="s">
        <v>45836</v>
      </c>
      <c r="E5495" s="213" t="s">
        <v>45837</v>
      </c>
      <c r="K5495" s="213" t="s">
        <v>57854</v>
      </c>
      <c r="L5495" s="213" t="s">
        <v>57952</v>
      </c>
      <c r="M5495" s="213" t="s">
        <v>58050</v>
      </c>
      <c r="N5495" s="213" t="s">
        <v>45838</v>
      </c>
      <c r="O5495" s="213" t="s">
        <v>45839</v>
      </c>
      <c r="P5495" s="213" t="s">
        <v>45840</v>
      </c>
      <c r="Q5495" s="213" t="s">
        <v>45841</v>
      </c>
      <c r="R5495" s="213" t="s">
        <v>45842</v>
      </c>
      <c r="S5495" s="213" t="s">
        <v>45843</v>
      </c>
      <c r="T5495" s="213" t="s">
        <v>45844</v>
      </c>
      <c r="U5495" s="213" t="s">
        <v>58148</v>
      </c>
    </row>
    <row r="5496" spans="1:21" x14ac:dyDescent="0.25">
      <c r="A5496" s="213" t="s">
        <v>327</v>
      </c>
      <c r="D5496" s="213" t="s">
        <v>45845</v>
      </c>
      <c r="E5496" s="213" t="s">
        <v>45846</v>
      </c>
      <c r="K5496" s="213" t="s">
        <v>57855</v>
      </c>
      <c r="L5496" s="213" t="s">
        <v>57953</v>
      </c>
      <c r="M5496" s="213" t="s">
        <v>58051</v>
      </c>
      <c r="N5496" s="213" t="s">
        <v>45847</v>
      </c>
      <c r="O5496" s="213" t="s">
        <v>45848</v>
      </c>
      <c r="P5496" s="213" t="s">
        <v>45849</v>
      </c>
      <c r="Q5496" s="213" t="s">
        <v>45850</v>
      </c>
      <c r="R5496" s="213" t="s">
        <v>45851</v>
      </c>
      <c r="S5496" s="213" t="s">
        <v>45852</v>
      </c>
      <c r="T5496" s="213" t="s">
        <v>45853</v>
      </c>
      <c r="U5496" s="213" t="s">
        <v>58149</v>
      </c>
    </row>
    <row r="5497" spans="1:21" x14ac:dyDescent="0.25">
      <c r="A5497" s="213" t="s">
        <v>327</v>
      </c>
      <c r="D5497" s="213" t="s">
        <v>45854</v>
      </c>
      <c r="E5497" s="213" t="s">
        <v>45855</v>
      </c>
      <c r="K5497" s="213" t="s">
        <v>57856</v>
      </c>
      <c r="L5497" s="213" t="s">
        <v>57954</v>
      </c>
      <c r="M5497" s="213" t="s">
        <v>58052</v>
      </c>
      <c r="N5497" s="213" t="s">
        <v>45856</v>
      </c>
      <c r="O5497" s="213" t="s">
        <v>45857</v>
      </c>
      <c r="P5497" s="213" t="s">
        <v>45858</v>
      </c>
      <c r="Q5497" s="213" t="s">
        <v>45859</v>
      </c>
      <c r="R5497" s="213" t="s">
        <v>45860</v>
      </c>
      <c r="S5497" s="213" t="s">
        <v>45861</v>
      </c>
      <c r="T5497" s="213" t="s">
        <v>45862</v>
      </c>
      <c r="U5497" s="213" t="s">
        <v>58150</v>
      </c>
    </row>
    <row r="5498" spans="1:21" x14ac:dyDescent="0.25">
      <c r="A5498" s="213" t="s">
        <v>327</v>
      </c>
      <c r="D5498" s="213" t="s">
        <v>45863</v>
      </c>
      <c r="E5498" s="213" t="s">
        <v>45864</v>
      </c>
      <c r="K5498" s="213" t="s">
        <v>57857</v>
      </c>
      <c r="L5498" s="213" t="s">
        <v>57955</v>
      </c>
      <c r="M5498" s="213" t="s">
        <v>58053</v>
      </c>
      <c r="N5498" s="213" t="s">
        <v>45865</v>
      </c>
      <c r="O5498" s="213" t="s">
        <v>45866</v>
      </c>
      <c r="P5498" s="213" t="s">
        <v>45867</v>
      </c>
      <c r="Q5498" s="213" t="s">
        <v>45868</v>
      </c>
      <c r="R5498" s="213" t="s">
        <v>45869</v>
      </c>
      <c r="S5498" s="213" t="s">
        <v>45870</v>
      </c>
      <c r="T5498" s="213" t="s">
        <v>45871</v>
      </c>
      <c r="U5498" s="213" t="s">
        <v>58151</v>
      </c>
    </row>
    <row r="5499" spans="1:21" x14ac:dyDescent="0.25">
      <c r="A5499" s="213" t="s">
        <v>327</v>
      </c>
      <c r="D5499" s="213" t="s">
        <v>45872</v>
      </c>
      <c r="E5499" s="213" t="s">
        <v>45873</v>
      </c>
      <c r="K5499" s="213" t="s">
        <v>57858</v>
      </c>
      <c r="L5499" s="213" t="s">
        <v>57956</v>
      </c>
      <c r="M5499" s="213" t="s">
        <v>58054</v>
      </c>
      <c r="N5499" s="213" t="s">
        <v>45874</v>
      </c>
      <c r="O5499" s="213" t="s">
        <v>45875</v>
      </c>
      <c r="P5499" s="213" t="s">
        <v>45876</v>
      </c>
      <c r="Q5499" s="213" t="s">
        <v>45877</v>
      </c>
      <c r="R5499" s="213" t="s">
        <v>45878</v>
      </c>
      <c r="S5499" s="213" t="s">
        <v>45879</v>
      </c>
      <c r="T5499" s="213" t="s">
        <v>45880</v>
      </c>
      <c r="U5499" s="213" t="s">
        <v>58152</v>
      </c>
    </row>
    <row r="5500" spans="1:21" x14ac:dyDescent="0.25">
      <c r="A5500" s="213" t="s">
        <v>327</v>
      </c>
      <c r="D5500" s="213" t="s">
        <v>45881</v>
      </c>
      <c r="E5500" s="213" t="s">
        <v>45882</v>
      </c>
      <c r="K5500" s="213" t="s">
        <v>57859</v>
      </c>
      <c r="L5500" s="213" t="s">
        <v>57957</v>
      </c>
      <c r="M5500" s="213" t="s">
        <v>58055</v>
      </c>
      <c r="N5500" s="213" t="s">
        <v>45883</v>
      </c>
      <c r="O5500" s="213" t="s">
        <v>45884</v>
      </c>
      <c r="P5500" s="213" t="s">
        <v>45885</v>
      </c>
      <c r="Q5500" s="213" t="s">
        <v>45886</v>
      </c>
      <c r="R5500" s="213" t="s">
        <v>45887</v>
      </c>
      <c r="S5500" s="213" t="s">
        <v>45888</v>
      </c>
      <c r="T5500" s="213" t="s">
        <v>45889</v>
      </c>
      <c r="U5500" s="213" t="s">
        <v>58153</v>
      </c>
    </row>
    <row r="5501" spans="1:21" x14ac:dyDescent="0.25">
      <c r="A5501" s="213" t="s">
        <v>327</v>
      </c>
      <c r="D5501" s="213" t="s">
        <v>45890</v>
      </c>
      <c r="E5501" s="213" t="s">
        <v>45891</v>
      </c>
      <c r="K5501" s="213" t="s">
        <v>57860</v>
      </c>
      <c r="L5501" s="213" t="s">
        <v>57958</v>
      </c>
      <c r="M5501" s="213" t="s">
        <v>58056</v>
      </c>
      <c r="N5501" s="213" t="s">
        <v>45892</v>
      </c>
      <c r="O5501" s="213" t="s">
        <v>45893</v>
      </c>
      <c r="P5501" s="213" t="s">
        <v>45894</v>
      </c>
      <c r="Q5501" s="213" t="s">
        <v>45895</v>
      </c>
      <c r="R5501" s="213" t="s">
        <v>45896</v>
      </c>
      <c r="S5501" s="213" t="s">
        <v>45897</v>
      </c>
      <c r="T5501" s="213" t="s">
        <v>45898</v>
      </c>
      <c r="U5501" s="213" t="s">
        <v>58154</v>
      </c>
    </row>
    <row r="5502" spans="1:21" x14ac:dyDescent="0.25">
      <c r="A5502" s="213" t="s">
        <v>327</v>
      </c>
      <c r="D5502" s="213" t="s">
        <v>45899</v>
      </c>
      <c r="E5502" s="213" t="s">
        <v>45900</v>
      </c>
      <c r="K5502" s="213" t="s">
        <v>57861</v>
      </c>
      <c r="L5502" s="213" t="s">
        <v>57959</v>
      </c>
      <c r="M5502" s="213" t="s">
        <v>58057</v>
      </c>
      <c r="N5502" s="213" t="s">
        <v>45901</v>
      </c>
      <c r="O5502" s="213" t="s">
        <v>45902</v>
      </c>
      <c r="P5502" s="213" t="s">
        <v>45903</v>
      </c>
      <c r="Q5502" s="213" t="s">
        <v>45904</v>
      </c>
      <c r="R5502" s="213" t="s">
        <v>45905</v>
      </c>
      <c r="S5502" s="213" t="s">
        <v>45906</v>
      </c>
      <c r="T5502" s="213" t="s">
        <v>45907</v>
      </c>
      <c r="U5502" s="213" t="s">
        <v>58155</v>
      </c>
    </row>
    <row r="5503" spans="1:21" x14ac:dyDescent="0.25">
      <c r="A5503" s="213" t="s">
        <v>327</v>
      </c>
      <c r="D5503" s="213" t="s">
        <v>45908</v>
      </c>
      <c r="E5503" s="213" t="s">
        <v>45909</v>
      </c>
      <c r="K5503" s="213" t="s">
        <v>57862</v>
      </c>
      <c r="L5503" s="213" t="s">
        <v>57960</v>
      </c>
      <c r="M5503" s="213" t="s">
        <v>58058</v>
      </c>
      <c r="N5503" s="213" t="s">
        <v>45910</v>
      </c>
      <c r="O5503" s="213" t="s">
        <v>45911</v>
      </c>
      <c r="P5503" s="213" t="s">
        <v>45912</v>
      </c>
      <c r="Q5503" s="213" t="s">
        <v>45913</v>
      </c>
      <c r="R5503" s="213" t="s">
        <v>45914</v>
      </c>
      <c r="S5503" s="213" t="s">
        <v>45915</v>
      </c>
      <c r="T5503" s="213" t="s">
        <v>45916</v>
      </c>
      <c r="U5503" s="213" t="s">
        <v>58156</v>
      </c>
    </row>
    <row r="5504" spans="1:21" x14ac:dyDescent="0.25">
      <c r="A5504" s="213" t="s">
        <v>327</v>
      </c>
      <c r="D5504" s="213" t="s">
        <v>45917</v>
      </c>
      <c r="E5504" s="213" t="s">
        <v>45918</v>
      </c>
      <c r="K5504" s="213" t="s">
        <v>57863</v>
      </c>
      <c r="L5504" s="213" t="s">
        <v>57961</v>
      </c>
      <c r="M5504" s="213" t="s">
        <v>58059</v>
      </c>
      <c r="N5504" s="213" t="s">
        <v>45919</v>
      </c>
      <c r="O5504" s="213" t="s">
        <v>45920</v>
      </c>
      <c r="P5504" s="213" t="s">
        <v>45921</v>
      </c>
      <c r="Q5504" s="213" t="s">
        <v>45922</v>
      </c>
      <c r="R5504" s="213" t="s">
        <v>45923</v>
      </c>
      <c r="S5504" s="213" t="s">
        <v>45924</v>
      </c>
      <c r="T5504" s="213" t="s">
        <v>45925</v>
      </c>
      <c r="U5504" s="213" t="s">
        <v>58157</v>
      </c>
    </row>
    <row r="5505" spans="1:21" x14ac:dyDescent="0.25">
      <c r="A5505" s="213" t="s">
        <v>327</v>
      </c>
      <c r="D5505" s="213" t="s">
        <v>45926</v>
      </c>
      <c r="E5505" s="213" t="s">
        <v>45927</v>
      </c>
      <c r="K5505" s="213" t="s">
        <v>57864</v>
      </c>
      <c r="L5505" s="213" t="s">
        <v>57962</v>
      </c>
      <c r="M5505" s="213" t="s">
        <v>58060</v>
      </c>
      <c r="N5505" s="213" t="s">
        <v>45928</v>
      </c>
      <c r="O5505" s="213" t="s">
        <v>45929</v>
      </c>
      <c r="P5505" s="213" t="s">
        <v>45930</v>
      </c>
      <c r="Q5505" s="213" t="s">
        <v>45931</v>
      </c>
      <c r="R5505" s="213" t="s">
        <v>45932</v>
      </c>
      <c r="S5505" s="213" t="s">
        <v>45933</v>
      </c>
      <c r="T5505" s="213" t="s">
        <v>45934</v>
      </c>
      <c r="U5505" s="213" t="s">
        <v>58158</v>
      </c>
    </row>
    <row r="5506" spans="1:21" x14ac:dyDescent="0.25">
      <c r="A5506" s="213" t="s">
        <v>327</v>
      </c>
      <c r="D5506" s="213" t="s">
        <v>45935</v>
      </c>
      <c r="E5506" s="213" t="s">
        <v>45936</v>
      </c>
      <c r="K5506" s="213" t="s">
        <v>57865</v>
      </c>
      <c r="L5506" s="213" t="s">
        <v>57963</v>
      </c>
      <c r="M5506" s="213" t="s">
        <v>58061</v>
      </c>
      <c r="N5506" s="213" t="s">
        <v>45937</v>
      </c>
      <c r="O5506" s="213" t="s">
        <v>45938</v>
      </c>
      <c r="P5506" s="213" t="s">
        <v>45939</v>
      </c>
      <c r="Q5506" s="213" t="s">
        <v>45940</v>
      </c>
      <c r="R5506" s="213" t="s">
        <v>45941</v>
      </c>
      <c r="S5506" s="213" t="s">
        <v>45942</v>
      </c>
      <c r="T5506" s="213" t="s">
        <v>45943</v>
      </c>
      <c r="U5506" s="213" t="s">
        <v>58159</v>
      </c>
    </row>
    <row r="5507" spans="1:21" x14ac:dyDescent="0.25">
      <c r="A5507" s="213" t="s">
        <v>327</v>
      </c>
      <c r="D5507" s="213" t="s">
        <v>45944</v>
      </c>
      <c r="E5507" s="213" t="s">
        <v>45945</v>
      </c>
      <c r="K5507" s="213" t="s">
        <v>57866</v>
      </c>
      <c r="L5507" s="213" t="s">
        <v>57964</v>
      </c>
      <c r="M5507" s="213" t="s">
        <v>58062</v>
      </c>
      <c r="N5507" s="213" t="s">
        <v>45946</v>
      </c>
      <c r="O5507" s="213" t="s">
        <v>45947</v>
      </c>
      <c r="P5507" s="213" t="s">
        <v>45948</v>
      </c>
      <c r="Q5507" s="213" t="s">
        <v>45949</v>
      </c>
      <c r="R5507" s="213" t="s">
        <v>45950</v>
      </c>
      <c r="S5507" s="213" t="s">
        <v>45951</v>
      </c>
      <c r="T5507" s="213" t="s">
        <v>45952</v>
      </c>
      <c r="U5507" s="213" t="s">
        <v>58160</v>
      </c>
    </row>
    <row r="5508" spans="1:21" x14ac:dyDescent="0.25">
      <c r="A5508" s="213" t="s">
        <v>327</v>
      </c>
      <c r="D5508" s="213" t="s">
        <v>45953</v>
      </c>
      <c r="E5508" s="213" t="s">
        <v>45954</v>
      </c>
      <c r="K5508" s="213" t="s">
        <v>57867</v>
      </c>
      <c r="L5508" s="213" t="s">
        <v>57965</v>
      </c>
      <c r="M5508" s="213" t="s">
        <v>58063</v>
      </c>
      <c r="N5508" s="213" t="s">
        <v>45955</v>
      </c>
      <c r="O5508" s="213" t="s">
        <v>45956</v>
      </c>
      <c r="P5508" s="213" t="s">
        <v>45957</v>
      </c>
      <c r="Q5508" s="213" t="s">
        <v>45958</v>
      </c>
      <c r="R5508" s="213" t="s">
        <v>45959</v>
      </c>
      <c r="S5508" s="213" t="s">
        <v>45960</v>
      </c>
      <c r="T5508" s="213" t="s">
        <v>45961</v>
      </c>
      <c r="U5508" s="213" t="s">
        <v>58161</v>
      </c>
    </row>
    <row r="5509" spans="1:21" x14ac:dyDescent="0.25">
      <c r="A5509" s="213" t="s">
        <v>327</v>
      </c>
      <c r="D5509" s="213" t="s">
        <v>45962</v>
      </c>
      <c r="E5509" s="213" t="s">
        <v>45963</v>
      </c>
      <c r="K5509" s="213" t="s">
        <v>57868</v>
      </c>
      <c r="L5509" s="213" t="s">
        <v>57966</v>
      </c>
      <c r="M5509" s="213" t="s">
        <v>58064</v>
      </c>
      <c r="N5509" s="213" t="s">
        <v>45964</v>
      </c>
      <c r="O5509" s="213" t="s">
        <v>45965</v>
      </c>
      <c r="P5509" s="213" t="s">
        <v>45966</v>
      </c>
      <c r="Q5509" s="213" t="s">
        <v>45967</v>
      </c>
      <c r="R5509" s="213" t="s">
        <v>45968</v>
      </c>
      <c r="S5509" s="213" t="s">
        <v>45969</v>
      </c>
      <c r="T5509" s="213" t="s">
        <v>45970</v>
      </c>
      <c r="U5509" s="213" t="s">
        <v>58162</v>
      </c>
    </row>
    <row r="5510" spans="1:21" x14ac:dyDescent="0.25">
      <c r="A5510" s="213" t="s">
        <v>327</v>
      </c>
      <c r="D5510" s="213" t="s">
        <v>45971</v>
      </c>
      <c r="E5510" s="213" t="s">
        <v>45972</v>
      </c>
      <c r="K5510" s="213" t="s">
        <v>57869</v>
      </c>
      <c r="L5510" s="213" t="s">
        <v>57967</v>
      </c>
      <c r="M5510" s="213" t="s">
        <v>58065</v>
      </c>
      <c r="N5510" s="213" t="s">
        <v>45973</v>
      </c>
      <c r="O5510" s="213" t="s">
        <v>45974</v>
      </c>
      <c r="P5510" s="213" t="s">
        <v>45975</v>
      </c>
      <c r="Q5510" s="213" t="s">
        <v>45976</v>
      </c>
      <c r="R5510" s="213" t="s">
        <v>45977</v>
      </c>
      <c r="S5510" s="213" t="s">
        <v>45978</v>
      </c>
      <c r="T5510" s="213" t="s">
        <v>45979</v>
      </c>
      <c r="U5510" s="213" t="s">
        <v>58163</v>
      </c>
    </row>
    <row r="5511" spans="1:21" x14ac:dyDescent="0.25">
      <c r="A5511" s="213" t="s">
        <v>327</v>
      </c>
      <c r="D5511" s="213" t="s">
        <v>45980</v>
      </c>
      <c r="E5511" s="213" t="s">
        <v>45981</v>
      </c>
      <c r="K5511" s="213" t="s">
        <v>57870</v>
      </c>
      <c r="L5511" s="213" t="s">
        <v>57968</v>
      </c>
      <c r="M5511" s="213" t="s">
        <v>58066</v>
      </c>
      <c r="N5511" s="213" t="s">
        <v>45982</v>
      </c>
      <c r="O5511" s="213" t="s">
        <v>45983</v>
      </c>
      <c r="P5511" s="213" t="s">
        <v>45984</v>
      </c>
      <c r="Q5511" s="213" t="s">
        <v>45985</v>
      </c>
      <c r="R5511" s="213" t="s">
        <v>45986</v>
      </c>
      <c r="S5511" s="213" t="s">
        <v>45987</v>
      </c>
      <c r="T5511" s="213" t="s">
        <v>45988</v>
      </c>
      <c r="U5511" s="213" t="s">
        <v>58164</v>
      </c>
    </row>
    <row r="5512" spans="1:21" x14ac:dyDescent="0.25">
      <c r="A5512" s="213" t="s">
        <v>327</v>
      </c>
      <c r="D5512" s="213" t="s">
        <v>45989</v>
      </c>
      <c r="E5512" s="213" t="s">
        <v>45990</v>
      </c>
      <c r="K5512" s="213" t="s">
        <v>57871</v>
      </c>
      <c r="L5512" s="213" t="s">
        <v>57969</v>
      </c>
      <c r="M5512" s="213" t="s">
        <v>58067</v>
      </c>
      <c r="N5512" s="213" t="s">
        <v>45991</v>
      </c>
      <c r="O5512" s="213" t="s">
        <v>45992</v>
      </c>
      <c r="P5512" s="213" t="s">
        <v>45993</v>
      </c>
      <c r="Q5512" s="213" t="s">
        <v>45994</v>
      </c>
      <c r="R5512" s="213" t="s">
        <v>45995</v>
      </c>
      <c r="S5512" s="213" t="s">
        <v>45996</v>
      </c>
      <c r="T5512" s="213" t="s">
        <v>45997</v>
      </c>
      <c r="U5512" s="213" t="s">
        <v>58165</v>
      </c>
    </row>
    <row r="5513" spans="1:21" x14ac:dyDescent="0.25">
      <c r="A5513" s="213" t="s">
        <v>327</v>
      </c>
      <c r="D5513" s="213" t="s">
        <v>45998</v>
      </c>
      <c r="E5513" s="213" t="s">
        <v>45999</v>
      </c>
      <c r="K5513" s="213" t="s">
        <v>57872</v>
      </c>
      <c r="L5513" s="213" t="s">
        <v>57970</v>
      </c>
      <c r="M5513" s="213" t="s">
        <v>58068</v>
      </c>
      <c r="N5513" s="213" t="s">
        <v>46000</v>
      </c>
      <c r="O5513" s="213" t="s">
        <v>46001</v>
      </c>
      <c r="P5513" s="213" t="s">
        <v>46002</v>
      </c>
      <c r="Q5513" s="213" t="s">
        <v>46003</v>
      </c>
      <c r="R5513" s="213" t="s">
        <v>46004</v>
      </c>
      <c r="S5513" s="213" t="s">
        <v>46005</v>
      </c>
      <c r="T5513" s="213" t="s">
        <v>46006</v>
      </c>
      <c r="U5513" s="213" t="s">
        <v>58166</v>
      </c>
    </row>
    <row r="5514" spans="1:21" x14ac:dyDescent="0.25">
      <c r="A5514" s="213" t="s">
        <v>327</v>
      </c>
      <c r="D5514" s="213" t="s">
        <v>46007</v>
      </c>
      <c r="E5514" s="213" t="s">
        <v>46008</v>
      </c>
      <c r="K5514" s="213" t="s">
        <v>57873</v>
      </c>
      <c r="L5514" s="213" t="s">
        <v>57971</v>
      </c>
      <c r="M5514" s="213" t="s">
        <v>58069</v>
      </c>
      <c r="N5514" s="213" t="s">
        <v>46009</v>
      </c>
      <c r="O5514" s="213" t="s">
        <v>46010</v>
      </c>
      <c r="P5514" s="213" t="s">
        <v>46011</v>
      </c>
      <c r="Q5514" s="213" t="s">
        <v>46012</v>
      </c>
      <c r="R5514" s="213" t="s">
        <v>46013</v>
      </c>
      <c r="S5514" s="213" t="s">
        <v>46014</v>
      </c>
      <c r="T5514" s="213" t="s">
        <v>46015</v>
      </c>
      <c r="U5514" s="213" t="s">
        <v>58167</v>
      </c>
    </row>
    <row r="5515" spans="1:21" x14ac:dyDescent="0.25">
      <c r="A5515" s="213" t="s">
        <v>327</v>
      </c>
      <c r="D5515" s="213" t="s">
        <v>46016</v>
      </c>
      <c r="E5515" s="213" t="s">
        <v>46017</v>
      </c>
      <c r="K5515" s="213" t="s">
        <v>57874</v>
      </c>
      <c r="L5515" s="213" t="s">
        <v>57972</v>
      </c>
      <c r="M5515" s="213" t="s">
        <v>58070</v>
      </c>
      <c r="N5515" s="213" t="s">
        <v>46018</v>
      </c>
      <c r="O5515" s="213" t="s">
        <v>46019</v>
      </c>
      <c r="P5515" s="213" t="s">
        <v>46020</v>
      </c>
      <c r="Q5515" s="213" t="s">
        <v>46021</v>
      </c>
      <c r="R5515" s="213" t="s">
        <v>46022</v>
      </c>
      <c r="S5515" s="213" t="s">
        <v>46023</v>
      </c>
      <c r="T5515" s="213" t="s">
        <v>46024</v>
      </c>
      <c r="U5515" s="213" t="s">
        <v>58168</v>
      </c>
    </row>
    <row r="5516" spans="1:21" x14ac:dyDescent="0.25">
      <c r="A5516" s="213" t="s">
        <v>327</v>
      </c>
      <c r="D5516" s="213" t="s">
        <v>46025</v>
      </c>
      <c r="E5516" s="213" t="s">
        <v>46026</v>
      </c>
      <c r="K5516" s="213" t="s">
        <v>57875</v>
      </c>
      <c r="L5516" s="213" t="s">
        <v>57973</v>
      </c>
      <c r="M5516" s="213" t="s">
        <v>58071</v>
      </c>
      <c r="N5516" s="213" t="s">
        <v>46027</v>
      </c>
      <c r="O5516" s="213" t="s">
        <v>46028</v>
      </c>
      <c r="P5516" s="213" t="s">
        <v>46029</v>
      </c>
      <c r="Q5516" s="213" t="s">
        <v>46030</v>
      </c>
      <c r="R5516" s="213" t="s">
        <v>46031</v>
      </c>
      <c r="S5516" s="213" t="s">
        <v>46032</v>
      </c>
      <c r="T5516" s="213" t="s">
        <v>46033</v>
      </c>
      <c r="U5516" s="213" t="s">
        <v>58169</v>
      </c>
    </row>
    <row r="5517" spans="1:21" x14ac:dyDescent="0.25">
      <c r="A5517" s="213" t="s">
        <v>327</v>
      </c>
      <c r="D5517" s="213" t="s">
        <v>46034</v>
      </c>
      <c r="E5517" s="213" t="s">
        <v>46035</v>
      </c>
      <c r="K5517" s="213" t="s">
        <v>57876</v>
      </c>
      <c r="L5517" s="213" t="s">
        <v>57974</v>
      </c>
      <c r="M5517" s="213" t="s">
        <v>58072</v>
      </c>
      <c r="N5517" s="213" t="s">
        <v>46036</v>
      </c>
      <c r="O5517" s="213" t="s">
        <v>46037</v>
      </c>
      <c r="P5517" s="213" t="s">
        <v>46038</v>
      </c>
      <c r="Q5517" s="213" t="s">
        <v>46039</v>
      </c>
      <c r="R5517" s="213" t="s">
        <v>46040</v>
      </c>
      <c r="S5517" s="213" t="s">
        <v>46041</v>
      </c>
      <c r="T5517" s="213" t="s">
        <v>46042</v>
      </c>
      <c r="U5517" s="213" t="s">
        <v>58170</v>
      </c>
    </row>
    <row r="5518" spans="1:21" x14ac:dyDescent="0.25">
      <c r="A5518" s="213" t="s">
        <v>327</v>
      </c>
      <c r="D5518" s="213" t="s">
        <v>46043</v>
      </c>
      <c r="E5518" s="213" t="s">
        <v>46044</v>
      </c>
      <c r="K5518" s="213" t="s">
        <v>57877</v>
      </c>
      <c r="L5518" s="213" t="s">
        <v>57975</v>
      </c>
      <c r="M5518" s="213" t="s">
        <v>58073</v>
      </c>
      <c r="N5518" s="213" t="s">
        <v>46045</v>
      </c>
      <c r="O5518" s="213" t="s">
        <v>46046</v>
      </c>
      <c r="P5518" s="213" t="s">
        <v>46047</v>
      </c>
      <c r="Q5518" s="213" t="s">
        <v>46048</v>
      </c>
      <c r="R5518" s="213" t="s">
        <v>46049</v>
      </c>
      <c r="S5518" s="213" t="s">
        <v>46050</v>
      </c>
      <c r="T5518" s="213" t="s">
        <v>46051</v>
      </c>
      <c r="U5518" s="213" t="s">
        <v>58171</v>
      </c>
    </row>
    <row r="5519" spans="1:21" x14ac:dyDescent="0.25">
      <c r="A5519" s="213" t="s">
        <v>327</v>
      </c>
      <c r="D5519" s="213" t="s">
        <v>46052</v>
      </c>
      <c r="E5519" s="213" t="s">
        <v>46053</v>
      </c>
      <c r="K5519" s="213" t="s">
        <v>57878</v>
      </c>
      <c r="L5519" s="213" t="s">
        <v>57976</v>
      </c>
      <c r="M5519" s="213" t="s">
        <v>58074</v>
      </c>
      <c r="N5519" s="213" t="s">
        <v>46054</v>
      </c>
      <c r="O5519" s="213" t="s">
        <v>46055</v>
      </c>
      <c r="P5519" s="213" t="s">
        <v>46056</v>
      </c>
      <c r="Q5519" s="213" t="s">
        <v>46057</v>
      </c>
      <c r="R5519" s="213" t="s">
        <v>46058</v>
      </c>
      <c r="S5519" s="213" t="s">
        <v>46059</v>
      </c>
      <c r="T5519" s="213" t="s">
        <v>46060</v>
      </c>
      <c r="U5519" s="213" t="s">
        <v>58172</v>
      </c>
    </row>
    <row r="5520" spans="1:21" x14ac:dyDescent="0.25">
      <c r="A5520" s="213" t="s">
        <v>327</v>
      </c>
      <c r="D5520" s="213" t="s">
        <v>46061</v>
      </c>
      <c r="E5520" s="213" t="s">
        <v>46062</v>
      </c>
      <c r="K5520" s="213" t="s">
        <v>57879</v>
      </c>
      <c r="L5520" s="213" t="s">
        <v>57977</v>
      </c>
      <c r="M5520" s="213" t="s">
        <v>58075</v>
      </c>
      <c r="N5520" s="213" t="s">
        <v>46063</v>
      </c>
      <c r="O5520" s="213" t="s">
        <v>46064</v>
      </c>
      <c r="P5520" s="213" t="s">
        <v>46065</v>
      </c>
      <c r="Q5520" s="213" t="s">
        <v>46066</v>
      </c>
      <c r="R5520" s="213" t="s">
        <v>46067</v>
      </c>
      <c r="S5520" s="213" t="s">
        <v>46068</v>
      </c>
      <c r="T5520" s="213" t="s">
        <v>46069</v>
      </c>
      <c r="U5520" s="213" t="s">
        <v>58173</v>
      </c>
    </row>
    <row r="5521" spans="1:21" x14ac:dyDescent="0.25">
      <c r="A5521" s="213" t="s">
        <v>327</v>
      </c>
      <c r="D5521" s="213" t="s">
        <v>46070</v>
      </c>
      <c r="E5521" s="213" t="s">
        <v>46071</v>
      </c>
      <c r="K5521" s="213" t="s">
        <v>57880</v>
      </c>
      <c r="L5521" s="213" t="s">
        <v>57978</v>
      </c>
      <c r="M5521" s="213" t="s">
        <v>58076</v>
      </c>
      <c r="N5521" s="213" t="s">
        <v>46072</v>
      </c>
      <c r="O5521" s="213" t="s">
        <v>46073</v>
      </c>
      <c r="P5521" s="213" t="s">
        <v>46074</v>
      </c>
      <c r="Q5521" s="213" t="s">
        <v>46075</v>
      </c>
      <c r="R5521" s="213" t="s">
        <v>46076</v>
      </c>
      <c r="S5521" s="213" t="s">
        <v>46077</v>
      </c>
      <c r="T5521" s="213" t="s">
        <v>46078</v>
      </c>
      <c r="U5521" s="213" t="s">
        <v>58174</v>
      </c>
    </row>
    <row r="5522" spans="1:21" x14ac:dyDescent="0.25">
      <c r="A5522" s="213" t="s">
        <v>327</v>
      </c>
      <c r="D5522" s="213" t="s">
        <v>46079</v>
      </c>
      <c r="E5522" s="213" t="s">
        <v>46080</v>
      </c>
      <c r="K5522" s="213" t="s">
        <v>57881</v>
      </c>
      <c r="L5522" s="213" t="s">
        <v>57979</v>
      </c>
      <c r="M5522" s="213" t="s">
        <v>58077</v>
      </c>
      <c r="N5522" s="213" t="s">
        <v>46081</v>
      </c>
      <c r="O5522" s="213" t="s">
        <v>46082</v>
      </c>
      <c r="P5522" s="213" t="s">
        <v>46083</v>
      </c>
      <c r="Q5522" s="213" t="s">
        <v>46084</v>
      </c>
      <c r="R5522" s="213" t="s">
        <v>46085</v>
      </c>
      <c r="S5522" s="213" t="s">
        <v>46086</v>
      </c>
      <c r="T5522" s="213" t="s">
        <v>46087</v>
      </c>
      <c r="U5522" s="213" t="s">
        <v>58175</v>
      </c>
    </row>
    <row r="5523" spans="1:21" x14ac:dyDescent="0.25">
      <c r="A5523" s="213" t="s">
        <v>327</v>
      </c>
      <c r="D5523" s="213" t="s">
        <v>46088</v>
      </c>
      <c r="E5523" s="213" t="s">
        <v>46089</v>
      </c>
      <c r="K5523" s="213" t="s">
        <v>57882</v>
      </c>
      <c r="L5523" s="213" t="s">
        <v>57980</v>
      </c>
      <c r="M5523" s="213" t="s">
        <v>58078</v>
      </c>
      <c r="N5523" s="213" t="s">
        <v>46090</v>
      </c>
      <c r="O5523" s="213" t="s">
        <v>46091</v>
      </c>
      <c r="P5523" s="213" t="s">
        <v>46092</v>
      </c>
      <c r="Q5523" s="213" t="s">
        <v>46093</v>
      </c>
      <c r="R5523" s="213" t="s">
        <v>46094</v>
      </c>
      <c r="S5523" s="213" t="s">
        <v>46095</v>
      </c>
      <c r="T5523" s="213" t="s">
        <v>46096</v>
      </c>
      <c r="U5523" s="213" t="s">
        <v>58176</v>
      </c>
    </row>
    <row r="5524" spans="1:21" x14ac:dyDescent="0.25">
      <c r="A5524" s="213" t="s">
        <v>327</v>
      </c>
      <c r="D5524" s="213" t="s">
        <v>46097</v>
      </c>
      <c r="E5524" s="213" t="s">
        <v>46098</v>
      </c>
      <c r="K5524" s="213" t="s">
        <v>57883</v>
      </c>
      <c r="L5524" s="213" t="s">
        <v>57981</v>
      </c>
      <c r="M5524" s="213" t="s">
        <v>58079</v>
      </c>
      <c r="N5524" s="213" t="s">
        <v>46099</v>
      </c>
      <c r="O5524" s="213" t="s">
        <v>46100</v>
      </c>
      <c r="P5524" s="213" t="s">
        <v>46101</v>
      </c>
      <c r="Q5524" s="213" t="s">
        <v>46102</v>
      </c>
      <c r="R5524" s="213" t="s">
        <v>46103</v>
      </c>
      <c r="S5524" s="213" t="s">
        <v>46104</v>
      </c>
      <c r="T5524" s="213" t="s">
        <v>46105</v>
      </c>
      <c r="U5524" s="213" t="s">
        <v>58177</v>
      </c>
    </row>
    <row r="5525" spans="1:21" x14ac:dyDescent="0.25">
      <c r="A5525" s="213" t="s">
        <v>327</v>
      </c>
      <c r="D5525" s="213" t="s">
        <v>46106</v>
      </c>
      <c r="E5525" s="213" t="s">
        <v>46107</v>
      </c>
      <c r="K5525" s="213" t="s">
        <v>57884</v>
      </c>
      <c r="L5525" s="213" t="s">
        <v>57982</v>
      </c>
      <c r="M5525" s="213" t="s">
        <v>58080</v>
      </c>
      <c r="N5525" s="213" t="s">
        <v>46108</v>
      </c>
      <c r="O5525" s="213" t="s">
        <v>46109</v>
      </c>
      <c r="P5525" s="213" t="s">
        <v>46110</v>
      </c>
      <c r="Q5525" s="213" t="s">
        <v>46111</v>
      </c>
      <c r="R5525" s="213" t="s">
        <v>46112</v>
      </c>
      <c r="S5525" s="213" t="s">
        <v>46113</v>
      </c>
      <c r="T5525" s="213" t="s">
        <v>46114</v>
      </c>
      <c r="U5525" s="213" t="s">
        <v>58178</v>
      </c>
    </row>
    <row r="5526" spans="1:21" x14ac:dyDescent="0.25">
      <c r="A5526" s="213" t="s">
        <v>327</v>
      </c>
      <c r="D5526" s="213" t="s">
        <v>46115</v>
      </c>
      <c r="E5526" s="213" t="s">
        <v>46116</v>
      </c>
      <c r="K5526" s="213" t="s">
        <v>57885</v>
      </c>
      <c r="L5526" s="213" t="s">
        <v>57983</v>
      </c>
      <c r="M5526" s="213" t="s">
        <v>58081</v>
      </c>
      <c r="N5526" s="213" t="s">
        <v>46117</v>
      </c>
      <c r="O5526" s="213" t="s">
        <v>46118</v>
      </c>
      <c r="P5526" s="213" t="s">
        <v>46119</v>
      </c>
      <c r="Q5526" s="213" t="s">
        <v>46120</v>
      </c>
      <c r="R5526" s="213" t="s">
        <v>46121</v>
      </c>
      <c r="S5526" s="213" t="s">
        <v>46122</v>
      </c>
      <c r="T5526" s="213" t="s">
        <v>46123</v>
      </c>
      <c r="U5526" s="213" t="s">
        <v>58179</v>
      </c>
    </row>
    <row r="5527" spans="1:21" x14ac:dyDescent="0.25">
      <c r="A5527" s="213" t="s">
        <v>327</v>
      </c>
      <c r="D5527" s="213" t="s">
        <v>46124</v>
      </c>
      <c r="E5527" s="213" t="s">
        <v>46125</v>
      </c>
      <c r="K5527" s="213" t="s">
        <v>57886</v>
      </c>
      <c r="L5527" s="213" t="s">
        <v>57984</v>
      </c>
      <c r="M5527" s="213" t="s">
        <v>58082</v>
      </c>
      <c r="N5527" s="213" t="s">
        <v>46126</v>
      </c>
      <c r="O5527" s="213" t="s">
        <v>46127</v>
      </c>
      <c r="P5527" s="213" t="s">
        <v>46128</v>
      </c>
      <c r="Q5527" s="213" t="s">
        <v>46129</v>
      </c>
      <c r="R5527" s="213" t="s">
        <v>46130</v>
      </c>
      <c r="S5527" s="213" t="s">
        <v>46131</v>
      </c>
      <c r="T5527" s="213" t="s">
        <v>46132</v>
      </c>
      <c r="U5527" s="213" t="s">
        <v>58180</v>
      </c>
    </row>
    <row r="5528" spans="1:21" x14ac:dyDescent="0.25">
      <c r="A5528" s="213" t="s">
        <v>327</v>
      </c>
      <c r="D5528" s="213" t="s">
        <v>46133</v>
      </c>
      <c r="E5528" s="213" t="s">
        <v>46134</v>
      </c>
      <c r="K5528" s="213" t="s">
        <v>57887</v>
      </c>
      <c r="L5528" s="213" t="s">
        <v>57985</v>
      </c>
      <c r="M5528" s="213" t="s">
        <v>58083</v>
      </c>
      <c r="N5528" s="213" t="s">
        <v>46135</v>
      </c>
      <c r="O5528" s="213" t="s">
        <v>46136</v>
      </c>
      <c r="P5528" s="213" t="s">
        <v>46137</v>
      </c>
      <c r="Q5528" s="213" t="s">
        <v>46138</v>
      </c>
      <c r="R5528" s="213" t="s">
        <v>46139</v>
      </c>
      <c r="S5528" s="213" t="s">
        <v>46140</v>
      </c>
      <c r="T5528" s="213" t="s">
        <v>46141</v>
      </c>
      <c r="U5528" s="213" t="s">
        <v>58181</v>
      </c>
    </row>
    <row r="5529" spans="1:21" x14ac:dyDescent="0.25">
      <c r="A5529" s="213" t="s">
        <v>327</v>
      </c>
      <c r="D5529" s="213" t="s">
        <v>46142</v>
      </c>
      <c r="E5529" s="213" t="s">
        <v>46143</v>
      </c>
      <c r="K5529" s="213" t="s">
        <v>57888</v>
      </c>
      <c r="L5529" s="213" t="s">
        <v>57986</v>
      </c>
      <c r="M5529" s="213" t="s">
        <v>58084</v>
      </c>
      <c r="N5529" s="213" t="s">
        <v>46144</v>
      </c>
      <c r="O5529" s="213" t="s">
        <v>46145</v>
      </c>
      <c r="P5529" s="213" t="s">
        <v>46146</v>
      </c>
      <c r="Q5529" s="213" t="s">
        <v>46147</v>
      </c>
      <c r="R5529" s="213" t="s">
        <v>46148</v>
      </c>
      <c r="S5529" s="213" t="s">
        <v>46149</v>
      </c>
      <c r="T5529" s="213" t="s">
        <v>46150</v>
      </c>
      <c r="U5529" s="213" t="s">
        <v>58182</v>
      </c>
    </row>
    <row r="5530" spans="1:21" x14ac:dyDescent="0.25">
      <c r="A5530" s="213" t="s">
        <v>327</v>
      </c>
      <c r="D5530" s="213" t="s">
        <v>46151</v>
      </c>
      <c r="E5530" s="213" t="s">
        <v>46152</v>
      </c>
      <c r="K5530" s="213" t="s">
        <v>57889</v>
      </c>
      <c r="L5530" s="213" t="s">
        <v>57987</v>
      </c>
      <c r="M5530" s="213" t="s">
        <v>58085</v>
      </c>
      <c r="N5530" s="213" t="s">
        <v>46153</v>
      </c>
      <c r="O5530" s="213" t="s">
        <v>46154</v>
      </c>
      <c r="P5530" s="213" t="s">
        <v>46155</v>
      </c>
      <c r="Q5530" s="213" t="s">
        <v>46156</v>
      </c>
      <c r="R5530" s="213" t="s">
        <v>46157</v>
      </c>
      <c r="S5530" s="213" t="s">
        <v>46158</v>
      </c>
      <c r="T5530" s="213" t="s">
        <v>46159</v>
      </c>
      <c r="U5530" s="213" t="s">
        <v>58183</v>
      </c>
    </row>
    <row r="5531" spans="1:21" x14ac:dyDescent="0.25">
      <c r="A5531" s="213" t="s">
        <v>327</v>
      </c>
      <c r="D5531" s="213" t="s">
        <v>46160</v>
      </c>
      <c r="E5531" s="213" t="s">
        <v>46161</v>
      </c>
      <c r="K5531" s="213" t="s">
        <v>57890</v>
      </c>
      <c r="L5531" s="213" t="s">
        <v>57988</v>
      </c>
      <c r="M5531" s="213" t="s">
        <v>58086</v>
      </c>
      <c r="N5531" s="213" t="s">
        <v>46162</v>
      </c>
      <c r="O5531" s="213" t="s">
        <v>46163</v>
      </c>
      <c r="P5531" s="213" t="s">
        <v>46164</v>
      </c>
      <c r="Q5531" s="213" t="s">
        <v>46165</v>
      </c>
      <c r="R5531" s="213" t="s">
        <v>46166</v>
      </c>
      <c r="S5531" s="213" t="s">
        <v>46167</v>
      </c>
      <c r="T5531" s="213" t="s">
        <v>46168</v>
      </c>
      <c r="U5531" s="213" t="s">
        <v>58184</v>
      </c>
    </row>
    <row r="5532" spans="1:21" x14ac:dyDescent="0.25">
      <c r="A5532" s="213" t="s">
        <v>327</v>
      </c>
      <c r="D5532" s="213" t="s">
        <v>46169</v>
      </c>
      <c r="E5532" s="213" t="s">
        <v>46170</v>
      </c>
      <c r="K5532" s="213" t="s">
        <v>57891</v>
      </c>
      <c r="L5532" s="213" t="s">
        <v>57989</v>
      </c>
      <c r="M5532" s="213" t="s">
        <v>58087</v>
      </c>
      <c r="N5532" s="213" t="s">
        <v>46171</v>
      </c>
      <c r="O5532" s="213" t="s">
        <v>46172</v>
      </c>
      <c r="P5532" s="213" t="s">
        <v>46173</v>
      </c>
      <c r="Q5532" s="213" t="s">
        <v>46174</v>
      </c>
      <c r="R5532" s="213" t="s">
        <v>46175</v>
      </c>
      <c r="S5532" s="213" t="s">
        <v>46176</v>
      </c>
      <c r="T5532" s="213" t="s">
        <v>46177</v>
      </c>
      <c r="U5532" s="213" t="s">
        <v>58185</v>
      </c>
    </row>
    <row r="5533" spans="1:21" x14ac:dyDescent="0.25">
      <c r="A5533" s="213" t="s">
        <v>327</v>
      </c>
      <c r="D5533" s="213" t="s">
        <v>46178</v>
      </c>
      <c r="E5533" s="213" t="s">
        <v>46179</v>
      </c>
      <c r="K5533" s="213" t="s">
        <v>57892</v>
      </c>
      <c r="L5533" s="213" t="s">
        <v>57990</v>
      </c>
      <c r="M5533" s="213" t="s">
        <v>58088</v>
      </c>
      <c r="N5533" s="213" t="s">
        <v>46180</v>
      </c>
      <c r="O5533" s="213" t="s">
        <v>46181</v>
      </c>
      <c r="P5533" s="213" t="s">
        <v>46182</v>
      </c>
      <c r="Q5533" s="213" t="s">
        <v>46183</v>
      </c>
      <c r="R5533" s="213" t="s">
        <v>46184</v>
      </c>
      <c r="S5533" s="213" t="s">
        <v>46185</v>
      </c>
      <c r="T5533" s="213" t="s">
        <v>46186</v>
      </c>
      <c r="U5533" s="213" t="s">
        <v>58186</v>
      </c>
    </row>
    <row r="5534" spans="1:21" x14ac:dyDescent="0.25">
      <c r="A5534" s="213" t="s">
        <v>327</v>
      </c>
      <c r="D5534" s="213" t="s">
        <v>46187</v>
      </c>
      <c r="E5534" s="213" t="s">
        <v>46188</v>
      </c>
      <c r="K5534" s="213" t="s">
        <v>57893</v>
      </c>
      <c r="L5534" s="213" t="s">
        <v>57991</v>
      </c>
      <c r="M5534" s="213" t="s">
        <v>58089</v>
      </c>
      <c r="N5534" s="213" t="s">
        <v>46189</v>
      </c>
      <c r="O5534" s="213" t="s">
        <v>46190</v>
      </c>
      <c r="P5534" s="213" t="s">
        <v>46191</v>
      </c>
      <c r="Q5534" s="213" t="s">
        <v>46192</v>
      </c>
      <c r="R5534" s="213" t="s">
        <v>46193</v>
      </c>
      <c r="S5534" s="213" t="s">
        <v>46194</v>
      </c>
      <c r="T5534" s="213" t="s">
        <v>46195</v>
      </c>
      <c r="U5534" s="213" t="s">
        <v>58187</v>
      </c>
    </row>
    <row r="5535" spans="1:21" x14ac:dyDescent="0.25">
      <c r="A5535" s="213" t="s">
        <v>327</v>
      </c>
      <c r="D5535" s="213" t="s">
        <v>46196</v>
      </c>
      <c r="E5535" s="213" t="s">
        <v>46197</v>
      </c>
      <c r="K5535" s="213" t="s">
        <v>57894</v>
      </c>
      <c r="L5535" s="213" t="s">
        <v>57992</v>
      </c>
      <c r="M5535" s="213" t="s">
        <v>58090</v>
      </c>
      <c r="N5535" s="213" t="s">
        <v>46198</v>
      </c>
      <c r="O5535" s="213" t="s">
        <v>46199</v>
      </c>
      <c r="P5535" s="213" t="s">
        <v>46200</v>
      </c>
      <c r="Q5535" s="213" t="s">
        <v>46201</v>
      </c>
      <c r="R5535" s="213" t="s">
        <v>46202</v>
      </c>
      <c r="S5535" s="213" t="s">
        <v>46203</v>
      </c>
      <c r="T5535" s="213" t="s">
        <v>46204</v>
      </c>
      <c r="U5535" s="213" t="s">
        <v>58188</v>
      </c>
    </row>
    <row r="5536" spans="1:21" x14ac:dyDescent="0.25">
      <c r="A5536" s="213" t="s">
        <v>327</v>
      </c>
      <c r="D5536" s="213" t="s">
        <v>46205</v>
      </c>
      <c r="E5536" s="213" t="s">
        <v>46206</v>
      </c>
      <c r="K5536" s="213" t="s">
        <v>57895</v>
      </c>
      <c r="L5536" s="213" t="s">
        <v>57993</v>
      </c>
      <c r="M5536" s="213" t="s">
        <v>58091</v>
      </c>
      <c r="N5536" s="213" t="s">
        <v>46207</v>
      </c>
      <c r="O5536" s="213" t="s">
        <v>46208</v>
      </c>
      <c r="P5536" s="213" t="s">
        <v>46209</v>
      </c>
      <c r="Q5536" s="213" t="s">
        <v>46210</v>
      </c>
      <c r="R5536" s="213" t="s">
        <v>46211</v>
      </c>
      <c r="S5536" s="213" t="s">
        <v>46212</v>
      </c>
      <c r="T5536" s="213" t="s">
        <v>46213</v>
      </c>
      <c r="U5536" s="213" t="s">
        <v>58189</v>
      </c>
    </row>
    <row r="5537" spans="1:21" x14ac:dyDescent="0.25">
      <c r="A5537" s="213" t="s">
        <v>327</v>
      </c>
      <c r="D5537" s="213" t="s">
        <v>46214</v>
      </c>
      <c r="E5537" s="213" t="s">
        <v>46215</v>
      </c>
      <c r="K5537" s="213" t="s">
        <v>57896</v>
      </c>
      <c r="L5537" s="213" t="s">
        <v>57994</v>
      </c>
      <c r="M5537" s="213" t="s">
        <v>58092</v>
      </c>
      <c r="N5537" s="213" t="s">
        <v>46216</v>
      </c>
      <c r="O5537" s="213" t="s">
        <v>46217</v>
      </c>
      <c r="P5537" s="213" t="s">
        <v>46218</v>
      </c>
      <c r="Q5537" s="213" t="s">
        <v>46219</v>
      </c>
      <c r="R5537" s="213" t="s">
        <v>46220</v>
      </c>
      <c r="S5537" s="213" t="s">
        <v>46221</v>
      </c>
      <c r="T5537" s="213" t="s">
        <v>46222</v>
      </c>
      <c r="U5537" s="213" t="s">
        <v>58190</v>
      </c>
    </row>
    <row r="5538" spans="1:21" x14ac:dyDescent="0.25">
      <c r="A5538" s="213" t="s">
        <v>327</v>
      </c>
      <c r="D5538" s="213" t="s">
        <v>46223</v>
      </c>
      <c r="E5538" s="213" t="s">
        <v>46224</v>
      </c>
      <c r="K5538" s="213" t="s">
        <v>57897</v>
      </c>
      <c r="L5538" s="213" t="s">
        <v>57995</v>
      </c>
      <c r="M5538" s="213" t="s">
        <v>58093</v>
      </c>
      <c r="N5538" s="213" t="s">
        <v>46225</v>
      </c>
      <c r="O5538" s="213" t="s">
        <v>46226</v>
      </c>
      <c r="P5538" s="213" t="s">
        <v>46227</v>
      </c>
      <c r="Q5538" s="213" t="s">
        <v>46228</v>
      </c>
      <c r="R5538" s="213" t="s">
        <v>46229</v>
      </c>
      <c r="S5538" s="213" t="s">
        <v>46230</v>
      </c>
      <c r="T5538" s="213" t="s">
        <v>46231</v>
      </c>
      <c r="U5538" s="213" t="s">
        <v>58191</v>
      </c>
    </row>
    <row r="5539" spans="1:21" x14ac:dyDescent="0.25">
      <c r="A5539" s="213" t="s">
        <v>327</v>
      </c>
      <c r="D5539" s="213" t="s">
        <v>46232</v>
      </c>
      <c r="E5539" s="213" t="s">
        <v>46233</v>
      </c>
      <c r="K5539" s="213" t="s">
        <v>57898</v>
      </c>
      <c r="L5539" s="213" t="s">
        <v>57996</v>
      </c>
      <c r="M5539" s="213" t="s">
        <v>58094</v>
      </c>
      <c r="N5539" s="213" t="s">
        <v>46234</v>
      </c>
      <c r="O5539" s="213" t="s">
        <v>46235</v>
      </c>
      <c r="P5539" s="213" t="s">
        <v>46236</v>
      </c>
      <c r="Q5539" s="213" t="s">
        <v>46237</v>
      </c>
      <c r="R5539" s="213" t="s">
        <v>46238</v>
      </c>
      <c r="S5539" s="213" t="s">
        <v>46239</v>
      </c>
      <c r="T5539" s="213" t="s">
        <v>46240</v>
      </c>
      <c r="U5539" s="213" t="s">
        <v>58192</v>
      </c>
    </row>
    <row r="5540" spans="1:21" x14ac:dyDescent="0.25">
      <c r="A5540" s="213" t="s">
        <v>327</v>
      </c>
      <c r="D5540" s="213" t="s">
        <v>46241</v>
      </c>
      <c r="E5540" s="213" t="s">
        <v>46242</v>
      </c>
      <c r="K5540" s="213" t="s">
        <v>57899</v>
      </c>
      <c r="L5540" s="213" t="s">
        <v>57997</v>
      </c>
      <c r="M5540" s="213" t="s">
        <v>58095</v>
      </c>
      <c r="N5540" s="213" t="s">
        <v>46243</v>
      </c>
      <c r="O5540" s="213" t="s">
        <v>46244</v>
      </c>
      <c r="P5540" s="213" t="s">
        <v>46245</v>
      </c>
      <c r="Q5540" s="213" t="s">
        <v>46246</v>
      </c>
      <c r="R5540" s="213" t="s">
        <v>46247</v>
      </c>
      <c r="S5540" s="213" t="s">
        <v>46248</v>
      </c>
      <c r="T5540" s="213" t="s">
        <v>46249</v>
      </c>
      <c r="U5540" s="213" t="s">
        <v>58193</v>
      </c>
    </row>
    <row r="5541" spans="1:21" x14ac:dyDescent="0.25">
      <c r="A5541" s="213" t="s">
        <v>327</v>
      </c>
      <c r="D5541" s="213" t="s">
        <v>46250</v>
      </c>
      <c r="E5541" s="213" t="s">
        <v>46251</v>
      </c>
      <c r="K5541" s="213" t="s">
        <v>57900</v>
      </c>
      <c r="L5541" s="213" t="s">
        <v>57998</v>
      </c>
      <c r="M5541" s="213" t="s">
        <v>58096</v>
      </c>
      <c r="N5541" s="213" t="s">
        <v>46252</v>
      </c>
      <c r="O5541" s="213" t="s">
        <v>46253</v>
      </c>
      <c r="P5541" s="213" t="s">
        <v>46254</v>
      </c>
      <c r="Q5541" s="213" t="s">
        <v>46255</v>
      </c>
      <c r="R5541" s="213" t="s">
        <v>46256</v>
      </c>
      <c r="S5541" s="213" t="s">
        <v>46257</v>
      </c>
      <c r="T5541" s="213" t="s">
        <v>46258</v>
      </c>
      <c r="U5541" s="213" t="s">
        <v>58194</v>
      </c>
    </row>
    <row r="5542" spans="1:21" x14ac:dyDescent="0.25">
      <c r="A5542" s="213" t="s">
        <v>327</v>
      </c>
      <c r="D5542" s="213" t="s">
        <v>46259</v>
      </c>
      <c r="E5542" s="213" t="s">
        <v>46260</v>
      </c>
      <c r="K5542" s="213" t="s">
        <v>57901</v>
      </c>
      <c r="L5542" s="213" t="s">
        <v>57999</v>
      </c>
      <c r="M5542" s="213" t="s">
        <v>58097</v>
      </c>
      <c r="N5542" s="213" t="s">
        <v>46261</v>
      </c>
      <c r="O5542" s="213" t="s">
        <v>46262</v>
      </c>
      <c r="P5542" s="213" t="s">
        <v>46263</v>
      </c>
      <c r="Q5542" s="213" t="s">
        <v>46264</v>
      </c>
      <c r="R5542" s="213" t="s">
        <v>46265</v>
      </c>
      <c r="S5542" s="213" t="s">
        <v>46266</v>
      </c>
      <c r="T5542" s="213" t="s">
        <v>46267</v>
      </c>
      <c r="U5542" s="213" t="s">
        <v>58195</v>
      </c>
    </row>
    <row r="5543" spans="1:21" x14ac:dyDescent="0.25">
      <c r="A5543" s="213" t="s">
        <v>327</v>
      </c>
      <c r="D5543" s="213" t="s">
        <v>46268</v>
      </c>
      <c r="E5543" s="213" t="s">
        <v>46269</v>
      </c>
      <c r="K5543" s="213" t="s">
        <v>57902</v>
      </c>
      <c r="L5543" s="213" t="s">
        <v>58000</v>
      </c>
      <c r="M5543" s="213" t="s">
        <v>58098</v>
      </c>
      <c r="N5543" s="213" t="s">
        <v>46270</v>
      </c>
      <c r="O5543" s="213" t="s">
        <v>46271</v>
      </c>
      <c r="P5543" s="213" t="s">
        <v>46272</v>
      </c>
      <c r="Q5543" s="213" t="s">
        <v>46273</v>
      </c>
      <c r="R5543" s="213" t="s">
        <v>46274</v>
      </c>
      <c r="S5543" s="213" t="s">
        <v>46275</v>
      </c>
      <c r="T5543" s="213" t="s">
        <v>46276</v>
      </c>
      <c r="U5543" s="213" t="s">
        <v>58196</v>
      </c>
    </row>
    <row r="5544" spans="1:21" x14ac:dyDescent="0.25">
      <c r="A5544" s="213" t="s">
        <v>327</v>
      </c>
      <c r="D5544" s="213" t="s">
        <v>46277</v>
      </c>
      <c r="E5544" s="213" t="s">
        <v>46278</v>
      </c>
      <c r="K5544" s="213" t="s">
        <v>57903</v>
      </c>
      <c r="L5544" s="213" t="s">
        <v>58001</v>
      </c>
      <c r="M5544" s="213" t="s">
        <v>58099</v>
      </c>
      <c r="N5544" s="213" t="s">
        <v>46279</v>
      </c>
      <c r="O5544" s="213" t="s">
        <v>46280</v>
      </c>
      <c r="P5544" s="213" t="s">
        <v>46281</v>
      </c>
      <c r="Q5544" s="213" t="s">
        <v>46282</v>
      </c>
      <c r="R5544" s="213" t="s">
        <v>46283</v>
      </c>
      <c r="S5544" s="213" t="s">
        <v>46284</v>
      </c>
      <c r="T5544" s="213" t="s">
        <v>46285</v>
      </c>
      <c r="U5544" s="213" t="s">
        <v>58197</v>
      </c>
    </row>
    <row r="5545" spans="1:21" x14ac:dyDescent="0.25">
      <c r="A5545" s="213" t="s">
        <v>327</v>
      </c>
      <c r="D5545" s="213" t="s">
        <v>46286</v>
      </c>
      <c r="E5545" s="213" t="s">
        <v>46287</v>
      </c>
      <c r="K5545" s="213" t="s">
        <v>57904</v>
      </c>
      <c r="L5545" s="213" t="s">
        <v>58002</v>
      </c>
      <c r="M5545" s="213" t="s">
        <v>58100</v>
      </c>
      <c r="N5545" s="213" t="s">
        <v>46288</v>
      </c>
      <c r="O5545" s="213" t="s">
        <v>46289</v>
      </c>
      <c r="P5545" s="213" t="s">
        <v>46290</v>
      </c>
      <c r="Q5545" s="213" t="s">
        <v>46291</v>
      </c>
      <c r="R5545" s="213" t="s">
        <v>46292</v>
      </c>
      <c r="S5545" s="213" t="s">
        <v>46293</v>
      </c>
      <c r="T5545" s="213" t="s">
        <v>46294</v>
      </c>
      <c r="U5545" s="213" t="s">
        <v>58198</v>
      </c>
    </row>
    <row r="5546" spans="1:21" x14ac:dyDescent="0.25">
      <c r="A5546" s="213" t="s">
        <v>327</v>
      </c>
      <c r="D5546" s="213" t="s">
        <v>46295</v>
      </c>
      <c r="E5546" s="213" t="s">
        <v>46296</v>
      </c>
      <c r="K5546" s="213" t="s">
        <v>57905</v>
      </c>
      <c r="L5546" s="213" t="s">
        <v>58003</v>
      </c>
      <c r="M5546" s="213" t="s">
        <v>58101</v>
      </c>
      <c r="N5546" s="213" t="s">
        <v>46297</v>
      </c>
      <c r="O5546" s="213" t="s">
        <v>46298</v>
      </c>
      <c r="P5546" s="213" t="s">
        <v>46299</v>
      </c>
      <c r="Q5546" s="213" t="s">
        <v>46300</v>
      </c>
      <c r="R5546" s="213" t="s">
        <v>46301</v>
      </c>
      <c r="S5546" s="213" t="s">
        <v>46302</v>
      </c>
      <c r="T5546" s="213" t="s">
        <v>46303</v>
      </c>
      <c r="U5546" s="213" t="s">
        <v>58199</v>
      </c>
    </row>
    <row r="5547" spans="1:21" x14ac:dyDescent="0.25">
      <c r="A5547" s="213" t="s">
        <v>327</v>
      </c>
      <c r="D5547" s="213" t="s">
        <v>46304</v>
      </c>
      <c r="E5547" s="213" t="s">
        <v>46305</v>
      </c>
      <c r="K5547" s="213" t="s">
        <v>57906</v>
      </c>
      <c r="L5547" s="213" t="s">
        <v>58004</v>
      </c>
      <c r="M5547" s="213" t="s">
        <v>58102</v>
      </c>
      <c r="N5547" s="213" t="s">
        <v>46306</v>
      </c>
      <c r="O5547" s="213" t="s">
        <v>46307</v>
      </c>
      <c r="P5547" s="213" t="s">
        <v>46308</v>
      </c>
      <c r="Q5547" s="213" t="s">
        <v>46309</v>
      </c>
      <c r="R5547" s="213" t="s">
        <v>46310</v>
      </c>
      <c r="S5547" s="213" t="s">
        <v>46311</v>
      </c>
      <c r="T5547" s="213" t="s">
        <v>46312</v>
      </c>
      <c r="U5547" s="213" t="s">
        <v>58200</v>
      </c>
    </row>
    <row r="5548" spans="1:21" x14ac:dyDescent="0.25">
      <c r="A5548" s="213" t="s">
        <v>327</v>
      </c>
      <c r="D5548" s="213" t="s">
        <v>46313</v>
      </c>
      <c r="E5548" s="213" t="s">
        <v>46314</v>
      </c>
      <c r="K5548" s="213" t="s">
        <v>57907</v>
      </c>
      <c r="L5548" s="213" t="s">
        <v>58005</v>
      </c>
      <c r="M5548" s="213" t="s">
        <v>58103</v>
      </c>
      <c r="N5548" s="213" t="s">
        <v>46315</v>
      </c>
      <c r="O5548" s="213" t="s">
        <v>46316</v>
      </c>
      <c r="P5548" s="213" t="s">
        <v>46317</v>
      </c>
      <c r="Q5548" s="213" t="s">
        <v>46318</v>
      </c>
      <c r="R5548" s="213" t="s">
        <v>46319</v>
      </c>
      <c r="S5548" s="213" t="s">
        <v>46320</v>
      </c>
      <c r="T5548" s="213" t="s">
        <v>46321</v>
      </c>
      <c r="U5548" s="213" t="s">
        <v>58201</v>
      </c>
    </row>
    <row r="5549" spans="1:21" x14ac:dyDescent="0.25">
      <c r="A5549" s="213" t="s">
        <v>327</v>
      </c>
      <c r="D5549" s="213" t="s">
        <v>46322</v>
      </c>
      <c r="E5549" s="213" t="s">
        <v>46323</v>
      </c>
      <c r="K5549" s="213" t="s">
        <v>57908</v>
      </c>
      <c r="L5549" s="213" t="s">
        <v>58006</v>
      </c>
      <c r="M5549" s="213" t="s">
        <v>58104</v>
      </c>
      <c r="N5549" s="213" t="s">
        <v>46324</v>
      </c>
      <c r="O5549" s="213" t="s">
        <v>46325</v>
      </c>
      <c r="P5549" s="213" t="s">
        <v>46326</v>
      </c>
      <c r="Q5549" s="213" t="s">
        <v>46327</v>
      </c>
      <c r="R5549" s="213" t="s">
        <v>46328</v>
      </c>
      <c r="S5549" s="213" t="s">
        <v>46329</v>
      </c>
      <c r="T5549" s="213" t="s">
        <v>46330</v>
      </c>
      <c r="U5549" s="213" t="s">
        <v>58202</v>
      </c>
    </row>
    <row r="5550" spans="1:21" x14ac:dyDescent="0.25">
      <c r="A5550" s="213" t="s">
        <v>327</v>
      </c>
      <c r="D5550" s="213" t="s">
        <v>46331</v>
      </c>
      <c r="E5550" s="213" t="s">
        <v>46332</v>
      </c>
      <c r="K5550" s="213" t="s">
        <v>57909</v>
      </c>
      <c r="L5550" s="213" t="s">
        <v>58007</v>
      </c>
      <c r="M5550" s="213" t="s">
        <v>58105</v>
      </c>
      <c r="N5550" s="213" t="s">
        <v>46333</v>
      </c>
      <c r="O5550" s="213" t="s">
        <v>46334</v>
      </c>
      <c r="P5550" s="213" t="s">
        <v>46335</v>
      </c>
      <c r="Q5550" s="213" t="s">
        <v>46336</v>
      </c>
      <c r="R5550" s="213" t="s">
        <v>46337</v>
      </c>
      <c r="S5550" s="213" t="s">
        <v>46338</v>
      </c>
      <c r="T5550" s="213" t="s">
        <v>46339</v>
      </c>
      <c r="U5550" s="213" t="s">
        <v>58203</v>
      </c>
    </row>
    <row r="5551" spans="1:21" x14ac:dyDescent="0.25">
      <c r="A5551" s="213" t="s">
        <v>327</v>
      </c>
      <c r="D5551" s="213" t="s">
        <v>46340</v>
      </c>
      <c r="E5551" s="213" t="s">
        <v>46341</v>
      </c>
      <c r="K5551" s="213" t="s">
        <v>57910</v>
      </c>
      <c r="L5551" s="213" t="s">
        <v>58008</v>
      </c>
      <c r="M5551" s="213" t="s">
        <v>58106</v>
      </c>
      <c r="N5551" s="213" t="s">
        <v>46342</v>
      </c>
      <c r="O5551" s="213" t="s">
        <v>46343</v>
      </c>
      <c r="P5551" s="213" t="s">
        <v>46344</v>
      </c>
      <c r="Q5551" s="213" t="s">
        <v>46345</v>
      </c>
      <c r="R5551" s="213" t="s">
        <v>46346</v>
      </c>
      <c r="S5551" s="213" t="s">
        <v>46347</v>
      </c>
      <c r="T5551" s="213" t="s">
        <v>46348</v>
      </c>
      <c r="U5551" s="213" t="s">
        <v>58204</v>
      </c>
    </row>
    <row r="5552" spans="1:21" x14ac:dyDescent="0.25">
      <c r="A5552" s="213" t="s">
        <v>327</v>
      </c>
      <c r="D5552" s="213" t="s">
        <v>46349</v>
      </c>
      <c r="E5552" s="213" t="s">
        <v>46350</v>
      </c>
      <c r="K5552" s="213" t="s">
        <v>57911</v>
      </c>
      <c r="L5552" s="213" t="s">
        <v>58009</v>
      </c>
      <c r="M5552" s="213" t="s">
        <v>58107</v>
      </c>
      <c r="N5552" s="213" t="s">
        <v>46351</v>
      </c>
      <c r="O5552" s="213" t="s">
        <v>46352</v>
      </c>
      <c r="P5552" s="213" t="s">
        <v>46353</v>
      </c>
      <c r="Q5552" s="213" t="s">
        <v>46354</v>
      </c>
      <c r="R5552" s="213" t="s">
        <v>46355</v>
      </c>
      <c r="S5552" s="213" t="s">
        <v>46356</v>
      </c>
      <c r="T5552" s="213" t="s">
        <v>46357</v>
      </c>
      <c r="U5552" s="213" t="s">
        <v>58205</v>
      </c>
    </row>
    <row r="5553" spans="1:21" x14ac:dyDescent="0.25">
      <c r="A5553" s="213" t="s">
        <v>327</v>
      </c>
      <c r="D5553" s="213" t="s">
        <v>46358</v>
      </c>
      <c r="E5553" s="213" t="s">
        <v>46359</v>
      </c>
      <c r="K5553" s="213" t="s">
        <v>57912</v>
      </c>
      <c r="L5553" s="213" t="s">
        <v>58010</v>
      </c>
      <c r="M5553" s="213" t="s">
        <v>58108</v>
      </c>
      <c r="N5553" s="213" t="s">
        <v>46360</v>
      </c>
      <c r="O5553" s="213" t="s">
        <v>46361</v>
      </c>
      <c r="P5553" s="213" t="s">
        <v>46362</v>
      </c>
      <c r="Q5553" s="213" t="s">
        <v>46363</v>
      </c>
      <c r="R5553" s="213" t="s">
        <v>46364</v>
      </c>
      <c r="S5553" s="213" t="s">
        <v>46365</v>
      </c>
      <c r="T5553" s="213" t="s">
        <v>46366</v>
      </c>
      <c r="U5553" s="213" t="s">
        <v>58206</v>
      </c>
    </row>
    <row r="5554" spans="1:21" x14ac:dyDescent="0.25">
      <c r="A5554" s="213" t="s">
        <v>327</v>
      </c>
      <c r="D5554" s="213" t="s">
        <v>46367</v>
      </c>
      <c r="E5554" s="213" t="s">
        <v>46368</v>
      </c>
      <c r="K5554" s="213" t="s">
        <v>57913</v>
      </c>
      <c r="L5554" s="213" t="s">
        <v>58011</v>
      </c>
      <c r="M5554" s="213" t="s">
        <v>58109</v>
      </c>
      <c r="N5554" s="213" t="s">
        <v>46369</v>
      </c>
      <c r="O5554" s="213" t="s">
        <v>46370</v>
      </c>
      <c r="P5554" s="213" t="s">
        <v>46371</v>
      </c>
      <c r="Q5554" s="213" t="s">
        <v>46372</v>
      </c>
      <c r="R5554" s="213" t="s">
        <v>46373</v>
      </c>
      <c r="S5554" s="213" t="s">
        <v>46374</v>
      </c>
      <c r="T5554" s="213" t="s">
        <v>46375</v>
      </c>
      <c r="U5554" s="213" t="s">
        <v>58207</v>
      </c>
    </row>
    <row r="5555" spans="1:21" x14ac:dyDescent="0.25">
      <c r="A5555" s="213" t="s">
        <v>327</v>
      </c>
      <c r="D5555" s="213" t="s">
        <v>46376</v>
      </c>
      <c r="E5555" s="213" t="s">
        <v>46377</v>
      </c>
      <c r="K5555" s="213" t="s">
        <v>57914</v>
      </c>
      <c r="L5555" s="213" t="s">
        <v>58012</v>
      </c>
      <c r="M5555" s="213" t="s">
        <v>58110</v>
      </c>
      <c r="N5555" s="213" t="s">
        <v>46378</v>
      </c>
      <c r="O5555" s="213" t="s">
        <v>46379</v>
      </c>
      <c r="P5555" s="213" t="s">
        <v>46380</v>
      </c>
      <c r="Q5555" s="213" t="s">
        <v>46381</v>
      </c>
      <c r="R5555" s="213" t="s">
        <v>46382</v>
      </c>
      <c r="S5555" s="213" t="s">
        <v>46383</v>
      </c>
      <c r="T5555" s="213" t="s">
        <v>46384</v>
      </c>
      <c r="U5555" s="213" t="s">
        <v>58208</v>
      </c>
    </row>
    <row r="5556" spans="1:21" x14ac:dyDescent="0.25">
      <c r="A5556" s="213" t="s">
        <v>327</v>
      </c>
      <c r="D5556" s="213" t="s">
        <v>46385</v>
      </c>
      <c r="E5556" s="213" t="s">
        <v>46386</v>
      </c>
      <c r="K5556" s="213" t="s">
        <v>57915</v>
      </c>
      <c r="L5556" s="213" t="s">
        <v>58013</v>
      </c>
      <c r="M5556" s="213" t="s">
        <v>58111</v>
      </c>
      <c r="N5556" s="213" t="s">
        <v>46387</v>
      </c>
      <c r="O5556" s="213" t="s">
        <v>46388</v>
      </c>
      <c r="P5556" s="213" t="s">
        <v>46389</v>
      </c>
      <c r="Q5556" s="213" t="s">
        <v>46390</v>
      </c>
      <c r="R5556" s="213" t="s">
        <v>46391</v>
      </c>
      <c r="S5556" s="213" t="s">
        <v>46392</v>
      </c>
      <c r="T5556" s="213" t="s">
        <v>46393</v>
      </c>
      <c r="U5556" s="213" t="s">
        <v>58209</v>
      </c>
    </row>
    <row r="5557" spans="1:21" x14ac:dyDescent="0.25">
      <c r="A5557" s="213" t="s">
        <v>327</v>
      </c>
      <c r="D5557" s="213" t="s">
        <v>46394</v>
      </c>
      <c r="E5557" s="213" t="s">
        <v>46395</v>
      </c>
      <c r="K5557" s="213" t="s">
        <v>57916</v>
      </c>
      <c r="L5557" s="213" t="s">
        <v>58014</v>
      </c>
      <c r="M5557" s="213" t="s">
        <v>58112</v>
      </c>
      <c r="N5557" s="213" t="s">
        <v>46396</v>
      </c>
      <c r="O5557" s="213" t="s">
        <v>46397</v>
      </c>
      <c r="P5557" s="213" t="s">
        <v>46398</v>
      </c>
      <c r="Q5557" s="213" t="s">
        <v>46399</v>
      </c>
      <c r="R5557" s="213" t="s">
        <v>46400</v>
      </c>
      <c r="S5557" s="213" t="s">
        <v>46401</v>
      </c>
      <c r="T5557" s="213" t="s">
        <v>46402</v>
      </c>
      <c r="U5557" s="213" t="s">
        <v>58210</v>
      </c>
    </row>
    <row r="5558" spans="1:21" x14ac:dyDescent="0.25">
      <c r="A5558" s="213" t="s">
        <v>327</v>
      </c>
      <c r="D5558" s="213" t="s">
        <v>46403</v>
      </c>
      <c r="E5558" s="213" t="s">
        <v>46404</v>
      </c>
      <c r="K5558" s="213" t="s">
        <v>57917</v>
      </c>
      <c r="L5558" s="213" t="s">
        <v>58015</v>
      </c>
      <c r="M5558" s="213" t="s">
        <v>58113</v>
      </c>
      <c r="N5558" s="213" t="s">
        <v>46405</v>
      </c>
      <c r="O5558" s="213" t="s">
        <v>46406</v>
      </c>
      <c r="P5558" s="213" t="s">
        <v>46407</v>
      </c>
      <c r="Q5558" s="213" t="s">
        <v>46408</v>
      </c>
      <c r="R5558" s="213" t="s">
        <v>46409</v>
      </c>
      <c r="S5558" s="213" t="s">
        <v>46410</v>
      </c>
      <c r="T5558" s="213" t="s">
        <v>46411</v>
      </c>
      <c r="U5558" s="213" t="s">
        <v>58211</v>
      </c>
    </row>
    <row r="5559" spans="1:21" x14ac:dyDescent="0.25">
      <c r="A5559" s="213" t="s">
        <v>327</v>
      </c>
      <c r="D5559" s="213" t="s">
        <v>46412</v>
      </c>
      <c r="E5559" s="213" t="s">
        <v>46413</v>
      </c>
      <c r="K5559" s="213" t="s">
        <v>57918</v>
      </c>
      <c r="L5559" s="213" t="s">
        <v>58016</v>
      </c>
      <c r="M5559" s="213" t="s">
        <v>58114</v>
      </c>
      <c r="N5559" s="213" t="s">
        <v>46414</v>
      </c>
      <c r="O5559" s="213" t="s">
        <v>46415</v>
      </c>
      <c r="P5559" s="213" t="s">
        <v>46416</v>
      </c>
      <c r="Q5559" s="213" t="s">
        <v>46417</v>
      </c>
      <c r="R5559" s="213" t="s">
        <v>46418</v>
      </c>
      <c r="S5559" s="213" t="s">
        <v>46419</v>
      </c>
      <c r="T5559" s="213" t="s">
        <v>46420</v>
      </c>
      <c r="U5559" s="213" t="s">
        <v>58212</v>
      </c>
    </row>
    <row r="5560" spans="1:21" x14ac:dyDescent="0.25">
      <c r="A5560" s="213" t="s">
        <v>327</v>
      </c>
      <c r="D5560" s="213" t="s">
        <v>46421</v>
      </c>
      <c r="E5560" s="213" t="s">
        <v>46422</v>
      </c>
      <c r="K5560" s="213" t="s">
        <v>57919</v>
      </c>
      <c r="L5560" s="213" t="s">
        <v>58017</v>
      </c>
      <c r="M5560" s="213" t="s">
        <v>58115</v>
      </c>
      <c r="N5560" s="213" t="s">
        <v>46423</v>
      </c>
      <c r="O5560" s="213" t="s">
        <v>46424</v>
      </c>
      <c r="P5560" s="213" t="s">
        <v>46425</v>
      </c>
      <c r="Q5560" s="213" t="s">
        <v>46426</v>
      </c>
      <c r="R5560" s="213" t="s">
        <v>46427</v>
      </c>
      <c r="S5560" s="213" t="s">
        <v>46428</v>
      </c>
      <c r="T5560" s="213" t="s">
        <v>46429</v>
      </c>
      <c r="U5560" s="213" t="s">
        <v>58213</v>
      </c>
    </row>
    <row r="5561" spans="1:21" x14ac:dyDescent="0.25">
      <c r="A5561" s="213" t="s">
        <v>327</v>
      </c>
      <c r="D5561" s="213" t="s">
        <v>46430</v>
      </c>
      <c r="E5561" s="213" t="s">
        <v>46431</v>
      </c>
      <c r="K5561" s="213" t="s">
        <v>57920</v>
      </c>
      <c r="L5561" s="213" t="s">
        <v>58018</v>
      </c>
      <c r="M5561" s="213" t="s">
        <v>58116</v>
      </c>
      <c r="N5561" s="213" t="s">
        <v>46432</v>
      </c>
      <c r="O5561" s="213" t="s">
        <v>46433</v>
      </c>
      <c r="P5561" s="213" t="s">
        <v>46434</v>
      </c>
      <c r="Q5561" s="213" t="s">
        <v>46435</v>
      </c>
      <c r="R5561" s="213" t="s">
        <v>46436</v>
      </c>
      <c r="S5561" s="213" t="s">
        <v>46437</v>
      </c>
      <c r="T5561" s="213" t="s">
        <v>46438</v>
      </c>
      <c r="U5561" s="213" t="s">
        <v>58214</v>
      </c>
    </row>
    <row r="5562" spans="1:21" x14ac:dyDescent="0.25">
      <c r="A5562" s="213" t="s">
        <v>327</v>
      </c>
      <c r="D5562" s="213" t="s">
        <v>46439</v>
      </c>
      <c r="E5562" s="213" t="s">
        <v>46440</v>
      </c>
      <c r="K5562" s="213" t="s">
        <v>57921</v>
      </c>
      <c r="L5562" s="213" t="s">
        <v>58019</v>
      </c>
      <c r="M5562" s="213" t="s">
        <v>58117</v>
      </c>
      <c r="N5562" s="213" t="s">
        <v>46441</v>
      </c>
      <c r="O5562" s="213" t="s">
        <v>46442</v>
      </c>
      <c r="P5562" s="213" t="s">
        <v>46443</v>
      </c>
      <c r="Q5562" s="213" t="s">
        <v>46444</v>
      </c>
      <c r="R5562" s="213" t="s">
        <v>46445</v>
      </c>
      <c r="S5562" s="213" t="s">
        <v>46446</v>
      </c>
      <c r="T5562" s="213" t="s">
        <v>46447</v>
      </c>
      <c r="U5562" s="213" t="s">
        <v>58215</v>
      </c>
    </row>
    <row r="5563" spans="1:21" x14ac:dyDescent="0.25">
      <c r="A5563" s="213" t="s">
        <v>327</v>
      </c>
      <c r="D5563" s="213" t="s">
        <v>46448</v>
      </c>
      <c r="E5563" s="213" t="s">
        <v>46449</v>
      </c>
      <c r="K5563" s="213" t="s">
        <v>57922</v>
      </c>
      <c r="L5563" s="213" t="s">
        <v>58020</v>
      </c>
      <c r="M5563" s="213" t="s">
        <v>58118</v>
      </c>
      <c r="N5563" s="213" t="s">
        <v>46450</v>
      </c>
      <c r="O5563" s="213" t="s">
        <v>46451</v>
      </c>
      <c r="P5563" s="213" t="s">
        <v>46452</v>
      </c>
      <c r="Q5563" s="213" t="s">
        <v>46453</v>
      </c>
      <c r="R5563" s="213" t="s">
        <v>46454</v>
      </c>
      <c r="S5563" s="213" t="s">
        <v>46455</v>
      </c>
      <c r="T5563" s="213" t="s">
        <v>46456</v>
      </c>
      <c r="U5563" s="213" t="s">
        <v>58216</v>
      </c>
    </row>
    <row r="5564" spans="1:21" x14ac:dyDescent="0.25">
      <c r="A5564" s="213" t="s">
        <v>327</v>
      </c>
      <c r="D5564" s="213" t="s">
        <v>46457</v>
      </c>
      <c r="E5564" s="213" t="s">
        <v>46458</v>
      </c>
      <c r="K5564" s="213" t="s">
        <v>57923</v>
      </c>
      <c r="L5564" s="213" t="s">
        <v>58021</v>
      </c>
      <c r="M5564" s="213" t="s">
        <v>58119</v>
      </c>
      <c r="N5564" s="213" t="s">
        <v>46459</v>
      </c>
      <c r="O5564" s="213" t="s">
        <v>46460</v>
      </c>
      <c r="P5564" s="213" t="s">
        <v>46461</v>
      </c>
      <c r="Q5564" s="213" t="s">
        <v>46462</v>
      </c>
      <c r="R5564" s="213" t="s">
        <v>46463</v>
      </c>
      <c r="S5564" s="213" t="s">
        <v>46464</v>
      </c>
      <c r="T5564" s="213" t="s">
        <v>46465</v>
      </c>
      <c r="U5564" s="213" t="s">
        <v>58217</v>
      </c>
    </row>
    <row r="5565" spans="1:21" x14ac:dyDescent="0.25">
      <c r="A5565" s="213" t="s">
        <v>327</v>
      </c>
      <c r="D5565" s="213" t="s">
        <v>46466</v>
      </c>
      <c r="E5565" s="213" t="s">
        <v>46467</v>
      </c>
      <c r="K5565" s="213" t="s">
        <v>57924</v>
      </c>
      <c r="L5565" s="213" t="s">
        <v>58022</v>
      </c>
      <c r="M5565" s="213" t="s">
        <v>58120</v>
      </c>
      <c r="N5565" s="213" t="s">
        <v>46468</v>
      </c>
      <c r="O5565" s="213" t="s">
        <v>46469</v>
      </c>
      <c r="P5565" s="213" t="s">
        <v>46470</v>
      </c>
      <c r="Q5565" s="213" t="s">
        <v>46471</v>
      </c>
      <c r="R5565" s="213" t="s">
        <v>46472</v>
      </c>
      <c r="S5565" s="213" t="s">
        <v>46473</v>
      </c>
      <c r="T5565" s="213" t="s">
        <v>46474</v>
      </c>
      <c r="U5565" s="213" t="s">
        <v>58218</v>
      </c>
    </row>
    <row r="5566" spans="1:21" x14ac:dyDescent="0.25">
      <c r="A5566" s="213" t="s">
        <v>327</v>
      </c>
      <c r="D5566" s="213" t="s">
        <v>46475</v>
      </c>
      <c r="E5566" s="213" t="s">
        <v>46476</v>
      </c>
      <c r="K5566" s="213" t="s">
        <v>57925</v>
      </c>
      <c r="L5566" s="213" t="s">
        <v>58023</v>
      </c>
      <c r="M5566" s="213" t="s">
        <v>58121</v>
      </c>
      <c r="N5566" s="213" t="s">
        <v>46477</v>
      </c>
      <c r="O5566" s="213" t="s">
        <v>46478</v>
      </c>
      <c r="P5566" s="213" t="s">
        <v>46479</v>
      </c>
      <c r="Q5566" s="213" t="s">
        <v>46480</v>
      </c>
      <c r="R5566" s="213" t="s">
        <v>46481</v>
      </c>
      <c r="S5566" s="213" t="s">
        <v>46482</v>
      </c>
      <c r="T5566" s="213" t="s">
        <v>46483</v>
      </c>
      <c r="U5566" s="213" t="s">
        <v>58219</v>
      </c>
    </row>
    <row r="5567" spans="1:21" x14ac:dyDescent="0.25">
      <c r="A5567" s="213" t="s">
        <v>327</v>
      </c>
      <c r="D5567" s="213" t="s">
        <v>46484</v>
      </c>
      <c r="E5567" s="213" t="s">
        <v>46485</v>
      </c>
      <c r="K5567" s="213" t="s">
        <v>57926</v>
      </c>
      <c r="L5567" s="213" t="s">
        <v>58024</v>
      </c>
      <c r="M5567" s="213" t="s">
        <v>58122</v>
      </c>
      <c r="N5567" s="213" t="s">
        <v>46486</v>
      </c>
      <c r="O5567" s="213" t="s">
        <v>46487</v>
      </c>
      <c r="P5567" s="213" t="s">
        <v>46488</v>
      </c>
      <c r="Q5567" s="213" t="s">
        <v>46489</v>
      </c>
      <c r="R5567" s="213" t="s">
        <v>46490</v>
      </c>
      <c r="S5567" s="213" t="s">
        <v>46491</v>
      </c>
      <c r="T5567" s="213" t="s">
        <v>46492</v>
      </c>
      <c r="U5567" s="213" t="s">
        <v>58220</v>
      </c>
    </row>
    <row r="5568" spans="1:21" x14ac:dyDescent="0.25">
      <c r="A5568" s="213" t="s">
        <v>327</v>
      </c>
      <c r="D5568" s="213" t="s">
        <v>46493</v>
      </c>
      <c r="E5568" s="213" t="s">
        <v>46494</v>
      </c>
      <c r="K5568" s="213" t="s">
        <v>57927</v>
      </c>
      <c r="L5568" s="213" t="s">
        <v>58025</v>
      </c>
      <c r="M5568" s="213" t="s">
        <v>58123</v>
      </c>
      <c r="N5568" s="213" t="s">
        <v>46495</v>
      </c>
      <c r="O5568" s="213" t="s">
        <v>46496</v>
      </c>
      <c r="P5568" s="213" t="s">
        <v>46497</v>
      </c>
      <c r="Q5568" s="213" t="s">
        <v>46498</v>
      </c>
      <c r="R5568" s="213" t="s">
        <v>46499</v>
      </c>
      <c r="S5568" s="213" t="s">
        <v>46500</v>
      </c>
      <c r="T5568" s="213" t="s">
        <v>46501</v>
      </c>
      <c r="U5568" s="213" t="s">
        <v>58221</v>
      </c>
    </row>
    <row r="5569" spans="1:21" x14ac:dyDescent="0.25">
      <c r="A5569" s="213" t="s">
        <v>327</v>
      </c>
      <c r="D5569" s="213" t="s">
        <v>46502</v>
      </c>
      <c r="E5569" s="213" t="s">
        <v>46503</v>
      </c>
      <c r="K5569" s="213" t="s">
        <v>57928</v>
      </c>
      <c r="L5569" s="213" t="s">
        <v>58026</v>
      </c>
      <c r="M5569" s="213" t="s">
        <v>58124</v>
      </c>
      <c r="N5569" s="213" t="s">
        <v>46504</v>
      </c>
      <c r="O5569" s="213" t="s">
        <v>46505</v>
      </c>
      <c r="P5569" s="213" t="s">
        <v>46506</v>
      </c>
      <c r="Q5569" s="213" t="s">
        <v>46507</v>
      </c>
      <c r="R5569" s="213" t="s">
        <v>46508</v>
      </c>
      <c r="S5569" s="213" t="s">
        <v>46509</v>
      </c>
      <c r="T5569" s="213" t="s">
        <v>46510</v>
      </c>
      <c r="U5569" s="213" t="s">
        <v>58222</v>
      </c>
    </row>
    <row r="5570" spans="1:21" x14ac:dyDescent="0.25">
      <c r="A5570" s="213" t="s">
        <v>327</v>
      </c>
      <c r="D5570" s="213" t="s">
        <v>46511</v>
      </c>
      <c r="E5570" s="213" t="s">
        <v>46512</v>
      </c>
      <c r="K5570" s="213" t="s">
        <v>57929</v>
      </c>
      <c r="L5570" s="213" t="s">
        <v>58027</v>
      </c>
      <c r="M5570" s="213" t="s">
        <v>58125</v>
      </c>
      <c r="N5570" s="213" t="s">
        <v>46513</v>
      </c>
      <c r="O5570" s="213" t="s">
        <v>46514</v>
      </c>
      <c r="P5570" s="213" t="s">
        <v>46515</v>
      </c>
      <c r="Q5570" s="213" t="s">
        <v>46516</v>
      </c>
      <c r="R5570" s="213" t="s">
        <v>46517</v>
      </c>
      <c r="S5570" s="213" t="s">
        <v>46518</v>
      </c>
      <c r="T5570" s="213" t="s">
        <v>46519</v>
      </c>
      <c r="U5570" s="213" t="s">
        <v>58223</v>
      </c>
    </row>
    <row r="5571" spans="1:21" x14ac:dyDescent="0.25">
      <c r="A5571" s="213" t="s">
        <v>327</v>
      </c>
      <c r="D5571" s="213" t="s">
        <v>46520</v>
      </c>
      <c r="E5571" s="213" t="s">
        <v>46521</v>
      </c>
      <c r="K5571" s="213" t="s">
        <v>57930</v>
      </c>
      <c r="L5571" s="213" t="s">
        <v>58028</v>
      </c>
      <c r="M5571" s="213" t="s">
        <v>58126</v>
      </c>
      <c r="N5571" s="213" t="s">
        <v>46522</v>
      </c>
      <c r="O5571" s="213" t="s">
        <v>46523</v>
      </c>
      <c r="P5571" s="213" t="s">
        <v>46524</v>
      </c>
      <c r="Q5571" s="213" t="s">
        <v>46525</v>
      </c>
      <c r="R5571" s="213" t="s">
        <v>46526</v>
      </c>
      <c r="S5571" s="213" t="s">
        <v>46527</v>
      </c>
      <c r="T5571" s="213" t="s">
        <v>46528</v>
      </c>
      <c r="U5571" s="213" t="s">
        <v>58224</v>
      </c>
    </row>
    <row r="5572" spans="1:21" x14ac:dyDescent="0.25">
      <c r="A5572" s="213" t="s">
        <v>327</v>
      </c>
      <c r="D5572" s="213" t="s">
        <v>46529</v>
      </c>
      <c r="E5572" s="213" t="s">
        <v>46530</v>
      </c>
      <c r="K5572" s="213" t="s">
        <v>57931</v>
      </c>
      <c r="L5572" s="213" t="s">
        <v>58029</v>
      </c>
      <c r="M5572" s="213" t="s">
        <v>58127</v>
      </c>
      <c r="N5572" s="213" t="s">
        <v>46531</v>
      </c>
      <c r="O5572" s="213" t="s">
        <v>46532</v>
      </c>
      <c r="P5572" s="213" t="s">
        <v>46533</v>
      </c>
      <c r="Q5572" s="213" t="s">
        <v>46534</v>
      </c>
      <c r="R5572" s="213" t="s">
        <v>46535</v>
      </c>
      <c r="S5572" s="213" t="s">
        <v>46536</v>
      </c>
      <c r="T5572" s="213" t="s">
        <v>46537</v>
      </c>
      <c r="U5572" s="213" t="s">
        <v>58225</v>
      </c>
    </row>
    <row r="5573" spans="1:21" x14ac:dyDescent="0.25">
      <c r="A5573" s="213" t="s">
        <v>327</v>
      </c>
      <c r="D5573" s="213" t="s">
        <v>46538</v>
      </c>
      <c r="E5573" s="213" t="s">
        <v>46539</v>
      </c>
      <c r="K5573" s="213" t="s">
        <v>57932</v>
      </c>
      <c r="L5573" s="213" t="s">
        <v>58030</v>
      </c>
      <c r="M5573" s="213" t="s">
        <v>58128</v>
      </c>
      <c r="N5573" s="213" t="s">
        <v>46540</v>
      </c>
      <c r="O5573" s="213" t="s">
        <v>46541</v>
      </c>
      <c r="P5573" s="213" t="s">
        <v>46542</v>
      </c>
      <c r="Q5573" s="213" t="s">
        <v>46543</v>
      </c>
      <c r="R5573" s="213" t="s">
        <v>46544</v>
      </c>
      <c r="S5573" s="213" t="s">
        <v>46545</v>
      </c>
      <c r="T5573" s="213" t="s">
        <v>46546</v>
      </c>
      <c r="U5573" s="213" t="s">
        <v>58226</v>
      </c>
    </row>
    <row r="5574" spans="1:21" x14ac:dyDescent="0.25">
      <c r="A5574" s="213" t="s">
        <v>327</v>
      </c>
      <c r="D5574" s="213" t="s">
        <v>46547</v>
      </c>
      <c r="E5574" s="213" t="s">
        <v>46548</v>
      </c>
      <c r="K5574" s="213" t="s">
        <v>57933</v>
      </c>
      <c r="L5574" s="213" t="s">
        <v>58031</v>
      </c>
      <c r="M5574" s="213" t="s">
        <v>58129</v>
      </c>
      <c r="N5574" s="213" t="s">
        <v>46549</v>
      </c>
      <c r="O5574" s="213" t="s">
        <v>46550</v>
      </c>
      <c r="P5574" s="213" t="s">
        <v>46551</v>
      </c>
      <c r="Q5574" s="213" t="s">
        <v>46552</v>
      </c>
      <c r="R5574" s="213" t="s">
        <v>46553</v>
      </c>
      <c r="S5574" s="213" t="s">
        <v>46554</v>
      </c>
      <c r="T5574" s="213" t="s">
        <v>46555</v>
      </c>
      <c r="U5574" s="213" t="s">
        <v>58227</v>
      </c>
    </row>
    <row r="5575" spans="1:21" x14ac:dyDescent="0.25">
      <c r="A5575" s="213" t="s">
        <v>327</v>
      </c>
      <c r="D5575" s="213" t="s">
        <v>46556</v>
      </c>
      <c r="E5575" s="213" t="s">
        <v>46557</v>
      </c>
      <c r="K5575" s="213" t="s">
        <v>57934</v>
      </c>
      <c r="L5575" s="213" t="s">
        <v>58032</v>
      </c>
      <c r="M5575" s="213" t="s">
        <v>58130</v>
      </c>
      <c r="N5575" s="213" t="s">
        <v>46558</v>
      </c>
      <c r="O5575" s="213" t="s">
        <v>46559</v>
      </c>
      <c r="P5575" s="213" t="s">
        <v>46560</v>
      </c>
      <c r="Q5575" s="213" t="s">
        <v>46561</v>
      </c>
      <c r="R5575" s="213" t="s">
        <v>46562</v>
      </c>
      <c r="S5575" s="213" t="s">
        <v>46563</v>
      </c>
      <c r="T5575" s="213" t="s">
        <v>46564</v>
      </c>
      <c r="U5575" s="213" t="s">
        <v>58228</v>
      </c>
    </row>
    <row r="5576" spans="1:21" x14ac:dyDescent="0.25">
      <c r="A5576" s="213" t="s">
        <v>327</v>
      </c>
      <c r="D5576" s="213" t="s">
        <v>46565</v>
      </c>
      <c r="E5576" s="213" t="s">
        <v>46566</v>
      </c>
      <c r="K5576" s="213" t="s">
        <v>57935</v>
      </c>
      <c r="L5576" s="213" t="s">
        <v>58033</v>
      </c>
      <c r="M5576" s="213" t="s">
        <v>58131</v>
      </c>
      <c r="N5576" s="213" t="s">
        <v>46567</v>
      </c>
      <c r="O5576" s="213" t="s">
        <v>46568</v>
      </c>
      <c r="P5576" s="213" t="s">
        <v>46569</v>
      </c>
      <c r="Q5576" s="213" t="s">
        <v>46570</v>
      </c>
      <c r="R5576" s="213" t="s">
        <v>46571</v>
      </c>
      <c r="S5576" s="213" t="s">
        <v>46572</v>
      </c>
      <c r="T5576" s="213" t="s">
        <v>46573</v>
      </c>
      <c r="U5576" s="213" t="s">
        <v>58229</v>
      </c>
    </row>
    <row r="5577" spans="1:21" x14ac:dyDescent="0.25">
      <c r="A5577" s="213" t="s">
        <v>327</v>
      </c>
      <c r="D5577" s="213" t="s">
        <v>46574</v>
      </c>
      <c r="E5577" s="213" t="s">
        <v>46575</v>
      </c>
      <c r="K5577" s="213" t="s">
        <v>57936</v>
      </c>
      <c r="L5577" s="213" t="s">
        <v>58034</v>
      </c>
      <c r="M5577" s="213" t="s">
        <v>58132</v>
      </c>
      <c r="N5577" s="213" t="s">
        <v>46576</v>
      </c>
      <c r="O5577" s="213" t="s">
        <v>46577</v>
      </c>
      <c r="P5577" s="213" t="s">
        <v>46578</v>
      </c>
      <c r="Q5577" s="213" t="s">
        <v>46579</v>
      </c>
      <c r="R5577" s="213" t="s">
        <v>46580</v>
      </c>
      <c r="S5577" s="213" t="s">
        <v>46581</v>
      </c>
      <c r="T5577" s="213" t="s">
        <v>46582</v>
      </c>
      <c r="U5577" s="213" t="s">
        <v>58230</v>
      </c>
    </row>
    <row r="5578" spans="1:21" x14ac:dyDescent="0.25">
      <c r="A5578" s="213" t="s">
        <v>327</v>
      </c>
      <c r="D5578" s="213" t="s">
        <v>46583</v>
      </c>
      <c r="E5578" s="213" t="s">
        <v>46584</v>
      </c>
      <c r="K5578" s="213" t="s">
        <v>57937</v>
      </c>
      <c r="L5578" s="213" t="s">
        <v>58035</v>
      </c>
      <c r="M5578" s="213" t="s">
        <v>58133</v>
      </c>
      <c r="N5578" s="213" t="s">
        <v>46585</v>
      </c>
      <c r="O5578" s="213" t="s">
        <v>46586</v>
      </c>
      <c r="P5578" s="213" t="s">
        <v>46587</v>
      </c>
      <c r="Q5578" s="213" t="s">
        <v>46588</v>
      </c>
      <c r="R5578" s="213" t="s">
        <v>46589</v>
      </c>
      <c r="S5578" s="213" t="s">
        <v>46590</v>
      </c>
      <c r="T5578" s="213" t="s">
        <v>46591</v>
      </c>
      <c r="U5578" s="213" t="s">
        <v>58231</v>
      </c>
    </row>
    <row r="5579" spans="1:21" x14ac:dyDescent="0.25">
      <c r="A5579" s="213" t="s">
        <v>327</v>
      </c>
      <c r="D5579" s="213" t="s">
        <v>46592</v>
      </c>
      <c r="E5579" s="213" t="s">
        <v>46593</v>
      </c>
      <c r="K5579" s="213" t="s">
        <v>57938</v>
      </c>
      <c r="L5579" s="213" t="s">
        <v>58036</v>
      </c>
      <c r="M5579" s="213" t="s">
        <v>58134</v>
      </c>
      <c r="N5579" s="213" t="s">
        <v>46594</v>
      </c>
      <c r="O5579" s="213" t="s">
        <v>46595</v>
      </c>
      <c r="P5579" s="213" t="s">
        <v>46596</v>
      </c>
      <c r="Q5579" s="213" t="s">
        <v>46597</v>
      </c>
      <c r="R5579" s="213" t="s">
        <v>46598</v>
      </c>
      <c r="S5579" s="213" t="s">
        <v>46599</v>
      </c>
      <c r="T5579" s="213" t="s">
        <v>46600</v>
      </c>
      <c r="U5579" s="213" t="s">
        <v>58232</v>
      </c>
    </row>
    <row r="5580" spans="1:21" x14ac:dyDescent="0.25">
      <c r="A5580" s="213" t="s">
        <v>327</v>
      </c>
      <c r="D5580" s="213" t="s">
        <v>46601</v>
      </c>
      <c r="E5580" s="213" t="s">
        <v>46602</v>
      </c>
      <c r="K5580" s="213" t="s">
        <v>57939</v>
      </c>
      <c r="L5580" s="213" t="s">
        <v>58037</v>
      </c>
      <c r="M5580" s="213" t="s">
        <v>58135</v>
      </c>
      <c r="N5580" s="213" t="s">
        <v>46603</v>
      </c>
      <c r="O5580" s="213" t="s">
        <v>46604</v>
      </c>
      <c r="P5580" s="213" t="s">
        <v>46605</v>
      </c>
      <c r="Q5580" s="213" t="s">
        <v>46606</v>
      </c>
      <c r="R5580" s="213" t="s">
        <v>46607</v>
      </c>
      <c r="S5580" s="213" t="s">
        <v>46608</v>
      </c>
      <c r="T5580" s="213" t="s">
        <v>46609</v>
      </c>
      <c r="U5580" s="213" t="s">
        <v>58233</v>
      </c>
    </row>
    <row r="5581" spans="1:21" x14ac:dyDescent="0.25">
      <c r="A5581" s="213" t="s">
        <v>327</v>
      </c>
      <c r="D5581" s="213" t="s">
        <v>46610</v>
      </c>
      <c r="E5581" s="213" t="s">
        <v>46611</v>
      </c>
      <c r="K5581" s="213" t="s">
        <v>57940</v>
      </c>
      <c r="L5581" s="213" t="s">
        <v>58038</v>
      </c>
      <c r="M5581" s="213" t="s">
        <v>58136</v>
      </c>
      <c r="N5581" s="213" t="s">
        <v>46612</v>
      </c>
      <c r="O5581" s="213" t="s">
        <v>46613</v>
      </c>
      <c r="P5581" s="213" t="s">
        <v>46614</v>
      </c>
      <c r="Q5581" s="213" t="s">
        <v>46615</v>
      </c>
      <c r="R5581" s="213" t="s">
        <v>46616</v>
      </c>
      <c r="S5581" s="213" t="s">
        <v>46617</v>
      </c>
      <c r="T5581" s="213" t="s">
        <v>46618</v>
      </c>
      <c r="U5581" s="213" t="s">
        <v>58234</v>
      </c>
    </row>
    <row r="5582" spans="1:21" x14ac:dyDescent="0.25">
      <c r="A5582" s="213" t="s">
        <v>327</v>
      </c>
      <c r="D5582" s="213" t="s">
        <v>46619</v>
      </c>
      <c r="E5582" s="213" t="s">
        <v>46620</v>
      </c>
      <c r="K5582" s="213" t="s">
        <v>57941</v>
      </c>
      <c r="L5582" s="213" t="s">
        <v>58039</v>
      </c>
      <c r="M5582" s="213" t="s">
        <v>58137</v>
      </c>
      <c r="N5582" s="213" t="s">
        <v>46621</v>
      </c>
      <c r="O5582" s="213" t="s">
        <v>46622</v>
      </c>
      <c r="P5582" s="213" t="s">
        <v>46623</v>
      </c>
      <c r="Q5582" s="213" t="s">
        <v>46624</v>
      </c>
      <c r="R5582" s="213" t="s">
        <v>46625</v>
      </c>
      <c r="S5582" s="213" t="s">
        <v>46626</v>
      </c>
      <c r="T5582" s="213" t="s">
        <v>46627</v>
      </c>
      <c r="U5582" s="213" t="s">
        <v>58235</v>
      </c>
    </row>
    <row r="5583" spans="1:21" x14ac:dyDescent="0.25">
      <c r="A5583" s="213" t="s">
        <v>327</v>
      </c>
      <c r="D5583" s="213" t="s">
        <v>46628</v>
      </c>
      <c r="E5583" s="213" t="s">
        <v>46629</v>
      </c>
      <c r="K5583" s="213" t="s">
        <v>57942</v>
      </c>
      <c r="L5583" s="213" t="s">
        <v>58040</v>
      </c>
      <c r="M5583" s="213" t="s">
        <v>58138</v>
      </c>
      <c r="N5583" s="213" t="s">
        <v>46630</v>
      </c>
      <c r="O5583" s="213" t="s">
        <v>46631</v>
      </c>
      <c r="P5583" s="213" t="s">
        <v>46632</v>
      </c>
      <c r="Q5583" s="213" t="s">
        <v>46633</v>
      </c>
      <c r="R5583" s="213" t="s">
        <v>46634</v>
      </c>
      <c r="S5583" s="213" t="s">
        <v>46635</v>
      </c>
      <c r="T5583" s="213" t="s">
        <v>46636</v>
      </c>
      <c r="U5583" s="213" t="s">
        <v>58236</v>
      </c>
    </row>
    <row r="5584" spans="1:21" x14ac:dyDescent="0.25">
      <c r="A5584" s="213" t="s">
        <v>327</v>
      </c>
      <c r="D5584" s="213" t="s">
        <v>46637</v>
      </c>
      <c r="E5584" s="213" t="s">
        <v>46638</v>
      </c>
      <c r="K5584" s="213" t="s">
        <v>57943</v>
      </c>
      <c r="L5584" s="213" t="s">
        <v>58041</v>
      </c>
      <c r="M5584" s="213" t="s">
        <v>58139</v>
      </c>
      <c r="N5584" s="213" t="s">
        <v>46639</v>
      </c>
      <c r="O5584" s="213" t="s">
        <v>46640</v>
      </c>
      <c r="P5584" s="213" t="s">
        <v>46641</v>
      </c>
      <c r="Q5584" s="213" t="s">
        <v>46642</v>
      </c>
      <c r="R5584" s="213" t="s">
        <v>46643</v>
      </c>
      <c r="S5584" s="213" t="s">
        <v>46644</v>
      </c>
      <c r="T5584" s="213" t="s">
        <v>46645</v>
      </c>
      <c r="U5584" s="213" t="s">
        <v>58237</v>
      </c>
    </row>
    <row r="5585" spans="1:21" x14ac:dyDescent="0.25">
      <c r="A5585" s="213" t="s">
        <v>327</v>
      </c>
    </row>
    <row r="5586" spans="1:21" x14ac:dyDescent="0.25">
      <c r="A5586" s="213" t="s">
        <v>327</v>
      </c>
    </row>
    <row r="5587" spans="1:21" x14ac:dyDescent="0.25">
      <c r="A5587" s="213" t="s">
        <v>327</v>
      </c>
      <c r="C5587" s="213" t="s">
        <v>46646</v>
      </c>
      <c r="E5587" s="213" t="s">
        <v>46647</v>
      </c>
      <c r="H5587" s="213" t="s">
        <v>46648</v>
      </c>
      <c r="I5587" s="213" t="s">
        <v>46649</v>
      </c>
      <c r="J5587" s="213" t="s">
        <v>46650</v>
      </c>
      <c r="L5587" s="213" t="s">
        <v>46651</v>
      </c>
      <c r="O5587" s="213" t="s">
        <v>46652</v>
      </c>
      <c r="P5587" s="213" t="s">
        <v>46653</v>
      </c>
      <c r="Q5587" s="213" t="s">
        <v>46654</v>
      </c>
      <c r="R5587" s="213" t="s">
        <v>46655</v>
      </c>
      <c r="S5587" s="213" t="s">
        <v>46656</v>
      </c>
      <c r="T5587" s="213" t="s">
        <v>46657</v>
      </c>
    </row>
    <row r="5588" spans="1:21" x14ac:dyDescent="0.25">
      <c r="A5588" s="213" t="s">
        <v>327</v>
      </c>
      <c r="C5588" s="213" t="s">
        <v>46658</v>
      </c>
      <c r="E5588" s="213" t="s">
        <v>46659</v>
      </c>
      <c r="I5588" s="213" t="s">
        <v>46660</v>
      </c>
    </row>
    <row r="5589" spans="1:21" x14ac:dyDescent="0.25">
      <c r="A5589" s="213" t="s">
        <v>327</v>
      </c>
      <c r="C5589" s="213" t="s">
        <v>46661</v>
      </c>
      <c r="E5589" s="213" t="s">
        <v>46662</v>
      </c>
      <c r="I5589" s="213" t="s">
        <v>46663</v>
      </c>
    </row>
    <row r="5590" spans="1:21" x14ac:dyDescent="0.25">
      <c r="A5590" s="213" t="s">
        <v>328</v>
      </c>
    </row>
    <row r="5591" spans="1:21" x14ac:dyDescent="0.25">
      <c r="A5591" s="213" t="s">
        <v>327</v>
      </c>
      <c r="D5591" s="213" t="s">
        <v>46664</v>
      </c>
      <c r="E5591" s="213" t="s">
        <v>46665</v>
      </c>
      <c r="K5591" s="213" t="s">
        <v>57654</v>
      </c>
      <c r="L5591" s="213" t="s">
        <v>57702</v>
      </c>
      <c r="M5591" s="213" t="s">
        <v>57750</v>
      </c>
      <c r="N5591" s="213" t="s">
        <v>46666</v>
      </c>
      <c r="O5591" s="213" t="s">
        <v>46667</v>
      </c>
      <c r="P5591" s="213" t="s">
        <v>46668</v>
      </c>
      <c r="Q5591" s="213" t="s">
        <v>46669</v>
      </c>
      <c r="R5591" s="213" t="s">
        <v>46670</v>
      </c>
      <c r="S5591" s="213" t="s">
        <v>46671</v>
      </c>
      <c r="T5591" s="213" t="s">
        <v>46672</v>
      </c>
      <c r="U5591" s="213" t="s">
        <v>57798</v>
      </c>
    </row>
    <row r="5592" spans="1:21" x14ac:dyDescent="0.25">
      <c r="A5592" s="213" t="s">
        <v>327</v>
      </c>
      <c r="D5592" s="213" t="s">
        <v>46673</v>
      </c>
      <c r="E5592" s="213" t="s">
        <v>46674</v>
      </c>
      <c r="K5592" s="213" t="s">
        <v>57655</v>
      </c>
      <c r="L5592" s="213" t="s">
        <v>57703</v>
      </c>
      <c r="M5592" s="213" t="s">
        <v>57751</v>
      </c>
      <c r="N5592" s="213" t="s">
        <v>46675</v>
      </c>
      <c r="O5592" s="213" t="s">
        <v>46676</v>
      </c>
      <c r="P5592" s="213" t="s">
        <v>46677</v>
      </c>
      <c r="Q5592" s="213" t="s">
        <v>46678</v>
      </c>
      <c r="R5592" s="213" t="s">
        <v>46679</v>
      </c>
      <c r="S5592" s="213" t="s">
        <v>46680</v>
      </c>
      <c r="T5592" s="213" t="s">
        <v>46681</v>
      </c>
      <c r="U5592" s="213" t="s">
        <v>57799</v>
      </c>
    </row>
    <row r="5593" spans="1:21" x14ac:dyDescent="0.25">
      <c r="A5593" s="213" t="s">
        <v>327</v>
      </c>
      <c r="D5593" s="213" t="s">
        <v>46682</v>
      </c>
      <c r="E5593" s="213" t="s">
        <v>46683</v>
      </c>
      <c r="K5593" s="213" t="s">
        <v>57656</v>
      </c>
      <c r="L5593" s="213" t="s">
        <v>57704</v>
      </c>
      <c r="M5593" s="213" t="s">
        <v>57752</v>
      </c>
      <c r="N5593" s="213" t="s">
        <v>46684</v>
      </c>
      <c r="O5593" s="213" t="s">
        <v>46685</v>
      </c>
      <c r="P5593" s="213" t="s">
        <v>46686</v>
      </c>
      <c r="Q5593" s="213" t="s">
        <v>46687</v>
      </c>
      <c r="R5593" s="213" t="s">
        <v>46688</v>
      </c>
      <c r="S5593" s="213" t="s">
        <v>46689</v>
      </c>
      <c r="T5593" s="213" t="s">
        <v>46690</v>
      </c>
      <c r="U5593" s="213" t="s">
        <v>57800</v>
      </c>
    </row>
    <row r="5594" spans="1:21" x14ac:dyDescent="0.25">
      <c r="A5594" s="213" t="s">
        <v>327</v>
      </c>
      <c r="D5594" s="213" t="s">
        <v>46691</v>
      </c>
      <c r="E5594" s="213" t="s">
        <v>46692</v>
      </c>
      <c r="K5594" s="213" t="s">
        <v>57657</v>
      </c>
      <c r="L5594" s="213" t="s">
        <v>57705</v>
      </c>
      <c r="M5594" s="213" t="s">
        <v>57753</v>
      </c>
      <c r="N5594" s="213" t="s">
        <v>46693</v>
      </c>
      <c r="O5594" s="213" t="s">
        <v>46694</v>
      </c>
      <c r="P5594" s="213" t="s">
        <v>46695</v>
      </c>
      <c r="Q5594" s="213" t="s">
        <v>46696</v>
      </c>
      <c r="R5594" s="213" t="s">
        <v>46697</v>
      </c>
      <c r="S5594" s="213" t="s">
        <v>46698</v>
      </c>
      <c r="T5594" s="213" t="s">
        <v>46699</v>
      </c>
      <c r="U5594" s="213" t="s">
        <v>57801</v>
      </c>
    </row>
    <row r="5595" spans="1:21" x14ac:dyDescent="0.25">
      <c r="A5595" s="213" t="s">
        <v>327</v>
      </c>
      <c r="D5595" s="213" t="s">
        <v>46700</v>
      </c>
      <c r="E5595" s="213" t="s">
        <v>46701</v>
      </c>
      <c r="K5595" s="213" t="s">
        <v>57658</v>
      </c>
      <c r="L5595" s="213" t="s">
        <v>57706</v>
      </c>
      <c r="M5595" s="213" t="s">
        <v>57754</v>
      </c>
      <c r="N5595" s="213" t="s">
        <v>46702</v>
      </c>
      <c r="O5595" s="213" t="s">
        <v>46703</v>
      </c>
      <c r="P5595" s="213" t="s">
        <v>46704</v>
      </c>
      <c r="Q5595" s="213" t="s">
        <v>46705</v>
      </c>
      <c r="R5595" s="213" t="s">
        <v>46706</v>
      </c>
      <c r="S5595" s="213" t="s">
        <v>46707</v>
      </c>
      <c r="T5595" s="213" t="s">
        <v>46708</v>
      </c>
      <c r="U5595" s="213" t="s">
        <v>57802</v>
      </c>
    </row>
    <row r="5596" spans="1:21" x14ac:dyDescent="0.25">
      <c r="A5596" s="213" t="s">
        <v>327</v>
      </c>
      <c r="D5596" s="213" t="s">
        <v>46709</v>
      </c>
      <c r="E5596" s="213" t="s">
        <v>46710</v>
      </c>
      <c r="K5596" s="213" t="s">
        <v>57659</v>
      </c>
      <c r="L5596" s="213" t="s">
        <v>57707</v>
      </c>
      <c r="M5596" s="213" t="s">
        <v>57755</v>
      </c>
      <c r="N5596" s="213" t="s">
        <v>46711</v>
      </c>
      <c r="O5596" s="213" t="s">
        <v>46712</v>
      </c>
      <c r="P5596" s="213" t="s">
        <v>46713</v>
      </c>
      <c r="Q5596" s="213" t="s">
        <v>46714</v>
      </c>
      <c r="R5596" s="213" t="s">
        <v>46715</v>
      </c>
      <c r="S5596" s="213" t="s">
        <v>46716</v>
      </c>
      <c r="T5596" s="213" t="s">
        <v>46717</v>
      </c>
      <c r="U5596" s="213" t="s">
        <v>57803</v>
      </c>
    </row>
    <row r="5597" spans="1:21" x14ac:dyDescent="0.25">
      <c r="A5597" s="213" t="s">
        <v>327</v>
      </c>
      <c r="D5597" s="213" t="s">
        <v>46718</v>
      </c>
      <c r="E5597" s="213" t="s">
        <v>46719</v>
      </c>
      <c r="K5597" s="213" t="s">
        <v>57660</v>
      </c>
      <c r="L5597" s="213" t="s">
        <v>57708</v>
      </c>
      <c r="M5597" s="213" t="s">
        <v>57756</v>
      </c>
      <c r="N5597" s="213" t="s">
        <v>46720</v>
      </c>
      <c r="O5597" s="213" t="s">
        <v>46721</v>
      </c>
      <c r="P5597" s="213" t="s">
        <v>46722</v>
      </c>
      <c r="Q5597" s="213" t="s">
        <v>46723</v>
      </c>
      <c r="R5597" s="213" t="s">
        <v>46724</v>
      </c>
      <c r="S5597" s="213" t="s">
        <v>46725</v>
      </c>
      <c r="T5597" s="213" t="s">
        <v>46726</v>
      </c>
      <c r="U5597" s="213" t="s">
        <v>57804</v>
      </c>
    </row>
    <row r="5598" spans="1:21" x14ac:dyDescent="0.25">
      <c r="A5598" s="213" t="s">
        <v>327</v>
      </c>
      <c r="D5598" s="213" t="s">
        <v>46727</v>
      </c>
      <c r="E5598" s="213" t="s">
        <v>46728</v>
      </c>
      <c r="K5598" s="213" t="s">
        <v>57661</v>
      </c>
      <c r="L5598" s="213" t="s">
        <v>57709</v>
      </c>
      <c r="M5598" s="213" t="s">
        <v>57757</v>
      </c>
      <c r="N5598" s="213" t="s">
        <v>46729</v>
      </c>
      <c r="O5598" s="213" t="s">
        <v>46730</v>
      </c>
      <c r="P5598" s="213" t="s">
        <v>46731</v>
      </c>
      <c r="Q5598" s="213" t="s">
        <v>46732</v>
      </c>
      <c r="R5598" s="213" t="s">
        <v>46733</v>
      </c>
      <c r="S5598" s="213" t="s">
        <v>46734</v>
      </c>
      <c r="T5598" s="213" t="s">
        <v>46735</v>
      </c>
      <c r="U5598" s="213" t="s">
        <v>57805</v>
      </c>
    </row>
    <row r="5599" spans="1:21" x14ac:dyDescent="0.25">
      <c r="A5599" s="213" t="s">
        <v>327</v>
      </c>
      <c r="D5599" s="213" t="s">
        <v>46736</v>
      </c>
      <c r="E5599" s="213" t="s">
        <v>46737</v>
      </c>
      <c r="K5599" s="213" t="s">
        <v>57662</v>
      </c>
      <c r="L5599" s="213" t="s">
        <v>57710</v>
      </c>
      <c r="M5599" s="213" t="s">
        <v>57758</v>
      </c>
      <c r="N5599" s="213" t="s">
        <v>46738</v>
      </c>
      <c r="O5599" s="213" t="s">
        <v>46739</v>
      </c>
      <c r="P5599" s="213" t="s">
        <v>46740</v>
      </c>
      <c r="Q5599" s="213" t="s">
        <v>46741</v>
      </c>
      <c r="R5599" s="213" t="s">
        <v>46742</v>
      </c>
      <c r="S5599" s="213" t="s">
        <v>46743</v>
      </c>
      <c r="T5599" s="213" t="s">
        <v>46744</v>
      </c>
      <c r="U5599" s="213" t="s">
        <v>57806</v>
      </c>
    </row>
    <row r="5600" spans="1:21" x14ac:dyDescent="0.25">
      <c r="A5600" s="213" t="s">
        <v>327</v>
      </c>
      <c r="D5600" s="213" t="s">
        <v>46745</v>
      </c>
      <c r="E5600" s="213" t="s">
        <v>46746</v>
      </c>
      <c r="K5600" s="213" t="s">
        <v>57663</v>
      </c>
      <c r="L5600" s="213" t="s">
        <v>57711</v>
      </c>
      <c r="M5600" s="213" t="s">
        <v>57759</v>
      </c>
      <c r="N5600" s="213" t="s">
        <v>46747</v>
      </c>
      <c r="O5600" s="213" t="s">
        <v>46748</v>
      </c>
      <c r="P5600" s="213" t="s">
        <v>46749</v>
      </c>
      <c r="Q5600" s="213" t="s">
        <v>46750</v>
      </c>
      <c r="R5600" s="213" t="s">
        <v>46751</v>
      </c>
      <c r="S5600" s="213" t="s">
        <v>46752</v>
      </c>
      <c r="T5600" s="213" t="s">
        <v>46753</v>
      </c>
      <c r="U5600" s="213" t="s">
        <v>57807</v>
      </c>
    </row>
    <row r="5601" spans="1:21" x14ac:dyDescent="0.25">
      <c r="A5601" s="213" t="s">
        <v>327</v>
      </c>
      <c r="D5601" s="213" t="s">
        <v>46754</v>
      </c>
      <c r="E5601" s="213" t="s">
        <v>46755</v>
      </c>
      <c r="K5601" s="213" t="s">
        <v>57664</v>
      </c>
      <c r="L5601" s="213" t="s">
        <v>57712</v>
      </c>
      <c r="M5601" s="213" t="s">
        <v>57760</v>
      </c>
      <c r="N5601" s="213" t="s">
        <v>46756</v>
      </c>
      <c r="O5601" s="213" t="s">
        <v>46757</v>
      </c>
      <c r="P5601" s="213" t="s">
        <v>46758</v>
      </c>
      <c r="Q5601" s="213" t="s">
        <v>46759</v>
      </c>
      <c r="R5601" s="213" t="s">
        <v>46760</v>
      </c>
      <c r="S5601" s="213" t="s">
        <v>46761</v>
      </c>
      <c r="T5601" s="213" t="s">
        <v>46762</v>
      </c>
      <c r="U5601" s="213" t="s">
        <v>57808</v>
      </c>
    </row>
    <row r="5602" spans="1:21" x14ac:dyDescent="0.25">
      <c r="A5602" s="213" t="s">
        <v>327</v>
      </c>
      <c r="D5602" s="213" t="s">
        <v>46763</v>
      </c>
      <c r="E5602" s="213" t="s">
        <v>46764</v>
      </c>
      <c r="K5602" s="213" t="s">
        <v>57665</v>
      </c>
      <c r="L5602" s="213" t="s">
        <v>57713</v>
      </c>
      <c r="M5602" s="213" t="s">
        <v>57761</v>
      </c>
      <c r="N5602" s="213" t="s">
        <v>46765</v>
      </c>
      <c r="O5602" s="213" t="s">
        <v>46766</v>
      </c>
      <c r="P5602" s="213" t="s">
        <v>46767</v>
      </c>
      <c r="Q5602" s="213" t="s">
        <v>46768</v>
      </c>
      <c r="R5602" s="213" t="s">
        <v>46769</v>
      </c>
      <c r="S5602" s="213" t="s">
        <v>46770</v>
      </c>
      <c r="T5602" s="213" t="s">
        <v>46771</v>
      </c>
      <c r="U5602" s="213" t="s">
        <v>57809</v>
      </c>
    </row>
    <row r="5603" spans="1:21" x14ac:dyDescent="0.25">
      <c r="A5603" s="213" t="s">
        <v>327</v>
      </c>
      <c r="D5603" s="213" t="s">
        <v>46772</v>
      </c>
      <c r="E5603" s="213" t="s">
        <v>46773</v>
      </c>
      <c r="K5603" s="213" t="s">
        <v>57666</v>
      </c>
      <c r="L5603" s="213" t="s">
        <v>57714</v>
      </c>
      <c r="M5603" s="213" t="s">
        <v>57762</v>
      </c>
      <c r="N5603" s="213" t="s">
        <v>46774</v>
      </c>
      <c r="O5603" s="213" t="s">
        <v>46775</v>
      </c>
      <c r="P5603" s="213" t="s">
        <v>46776</v>
      </c>
      <c r="Q5603" s="213" t="s">
        <v>46777</v>
      </c>
      <c r="R5603" s="213" t="s">
        <v>46778</v>
      </c>
      <c r="S5603" s="213" t="s">
        <v>46779</v>
      </c>
      <c r="T5603" s="213" t="s">
        <v>46780</v>
      </c>
      <c r="U5603" s="213" t="s">
        <v>57810</v>
      </c>
    </row>
    <row r="5604" spans="1:21" x14ac:dyDescent="0.25">
      <c r="A5604" s="213" t="s">
        <v>327</v>
      </c>
      <c r="D5604" s="213" t="s">
        <v>46781</v>
      </c>
      <c r="E5604" s="213" t="s">
        <v>46782</v>
      </c>
      <c r="K5604" s="213" t="s">
        <v>57667</v>
      </c>
      <c r="L5604" s="213" t="s">
        <v>57715</v>
      </c>
      <c r="M5604" s="213" t="s">
        <v>57763</v>
      </c>
      <c r="N5604" s="213" t="s">
        <v>46783</v>
      </c>
      <c r="O5604" s="213" t="s">
        <v>46784</v>
      </c>
      <c r="P5604" s="213" t="s">
        <v>46785</v>
      </c>
      <c r="Q5604" s="213" t="s">
        <v>46786</v>
      </c>
      <c r="R5604" s="213" t="s">
        <v>46787</v>
      </c>
      <c r="S5604" s="213" t="s">
        <v>46788</v>
      </c>
      <c r="T5604" s="213" t="s">
        <v>46789</v>
      </c>
      <c r="U5604" s="213" t="s">
        <v>57811</v>
      </c>
    </row>
    <row r="5605" spans="1:21" x14ac:dyDescent="0.25">
      <c r="A5605" s="213" t="s">
        <v>327</v>
      </c>
      <c r="D5605" s="213" t="s">
        <v>46790</v>
      </c>
      <c r="E5605" s="213" t="s">
        <v>46791</v>
      </c>
      <c r="K5605" s="213" t="s">
        <v>57668</v>
      </c>
      <c r="L5605" s="213" t="s">
        <v>57716</v>
      </c>
      <c r="M5605" s="213" t="s">
        <v>57764</v>
      </c>
      <c r="N5605" s="213" t="s">
        <v>46792</v>
      </c>
      <c r="O5605" s="213" t="s">
        <v>46793</v>
      </c>
      <c r="P5605" s="213" t="s">
        <v>46794</v>
      </c>
      <c r="Q5605" s="213" t="s">
        <v>46795</v>
      </c>
      <c r="R5605" s="213" t="s">
        <v>46796</v>
      </c>
      <c r="S5605" s="213" t="s">
        <v>46797</v>
      </c>
      <c r="T5605" s="213" t="s">
        <v>46798</v>
      </c>
      <c r="U5605" s="213" t="s">
        <v>57812</v>
      </c>
    </row>
    <row r="5606" spans="1:21" x14ac:dyDescent="0.25">
      <c r="A5606" s="213" t="s">
        <v>327</v>
      </c>
      <c r="D5606" s="213" t="s">
        <v>46799</v>
      </c>
      <c r="E5606" s="213" t="s">
        <v>46800</v>
      </c>
      <c r="K5606" s="213" t="s">
        <v>57669</v>
      </c>
      <c r="L5606" s="213" t="s">
        <v>57717</v>
      </c>
      <c r="M5606" s="213" t="s">
        <v>57765</v>
      </c>
      <c r="N5606" s="213" t="s">
        <v>46801</v>
      </c>
      <c r="O5606" s="213" t="s">
        <v>46802</v>
      </c>
      <c r="P5606" s="213" t="s">
        <v>46803</v>
      </c>
      <c r="Q5606" s="213" t="s">
        <v>46804</v>
      </c>
      <c r="R5606" s="213" t="s">
        <v>46805</v>
      </c>
      <c r="S5606" s="213" t="s">
        <v>46806</v>
      </c>
      <c r="T5606" s="213" t="s">
        <v>46807</v>
      </c>
      <c r="U5606" s="213" t="s">
        <v>57813</v>
      </c>
    </row>
    <row r="5607" spans="1:21" x14ac:dyDescent="0.25">
      <c r="A5607" s="213" t="s">
        <v>327</v>
      </c>
      <c r="D5607" s="213" t="s">
        <v>46808</v>
      </c>
      <c r="E5607" s="213" t="s">
        <v>46809</v>
      </c>
      <c r="K5607" s="213" t="s">
        <v>57670</v>
      </c>
      <c r="L5607" s="213" t="s">
        <v>57718</v>
      </c>
      <c r="M5607" s="213" t="s">
        <v>57766</v>
      </c>
      <c r="N5607" s="213" t="s">
        <v>46810</v>
      </c>
      <c r="O5607" s="213" t="s">
        <v>46811</v>
      </c>
      <c r="P5607" s="213" t="s">
        <v>46812</v>
      </c>
      <c r="Q5607" s="213" t="s">
        <v>46813</v>
      </c>
      <c r="R5607" s="213" t="s">
        <v>46814</v>
      </c>
      <c r="S5607" s="213" t="s">
        <v>46815</v>
      </c>
      <c r="T5607" s="213" t="s">
        <v>46816</v>
      </c>
      <c r="U5607" s="213" t="s">
        <v>57814</v>
      </c>
    </row>
    <row r="5608" spans="1:21" x14ac:dyDescent="0.25">
      <c r="A5608" s="213" t="s">
        <v>327</v>
      </c>
      <c r="D5608" s="213" t="s">
        <v>46817</v>
      </c>
      <c r="E5608" s="213" t="s">
        <v>46818</v>
      </c>
      <c r="K5608" s="213" t="s">
        <v>57671</v>
      </c>
      <c r="L5608" s="213" t="s">
        <v>57719</v>
      </c>
      <c r="M5608" s="213" t="s">
        <v>57767</v>
      </c>
      <c r="N5608" s="213" t="s">
        <v>46819</v>
      </c>
      <c r="O5608" s="213" t="s">
        <v>46820</v>
      </c>
      <c r="P5608" s="213" t="s">
        <v>46821</v>
      </c>
      <c r="Q5608" s="213" t="s">
        <v>46822</v>
      </c>
      <c r="R5608" s="213" t="s">
        <v>46823</v>
      </c>
      <c r="S5608" s="213" t="s">
        <v>46824</v>
      </c>
      <c r="T5608" s="213" t="s">
        <v>46825</v>
      </c>
      <c r="U5608" s="213" t="s">
        <v>57815</v>
      </c>
    </row>
    <row r="5609" spans="1:21" x14ac:dyDescent="0.25">
      <c r="A5609" s="213" t="s">
        <v>327</v>
      </c>
      <c r="D5609" s="213" t="s">
        <v>46826</v>
      </c>
      <c r="E5609" s="213" t="s">
        <v>46827</v>
      </c>
      <c r="K5609" s="213" t="s">
        <v>57672</v>
      </c>
      <c r="L5609" s="213" t="s">
        <v>57720</v>
      </c>
      <c r="M5609" s="213" t="s">
        <v>57768</v>
      </c>
      <c r="N5609" s="213" t="s">
        <v>46828</v>
      </c>
      <c r="O5609" s="213" t="s">
        <v>46829</v>
      </c>
      <c r="P5609" s="213" t="s">
        <v>46830</v>
      </c>
      <c r="Q5609" s="213" t="s">
        <v>46831</v>
      </c>
      <c r="R5609" s="213" t="s">
        <v>46832</v>
      </c>
      <c r="S5609" s="213" t="s">
        <v>46833</v>
      </c>
      <c r="T5609" s="213" t="s">
        <v>46834</v>
      </c>
      <c r="U5609" s="213" t="s">
        <v>57816</v>
      </c>
    </row>
    <row r="5610" spans="1:21" x14ac:dyDescent="0.25">
      <c r="A5610" s="213" t="s">
        <v>327</v>
      </c>
      <c r="D5610" s="213" t="s">
        <v>46835</v>
      </c>
      <c r="E5610" s="213" t="s">
        <v>46836</v>
      </c>
      <c r="K5610" s="213" t="s">
        <v>57673</v>
      </c>
      <c r="L5610" s="213" t="s">
        <v>57721</v>
      </c>
      <c r="M5610" s="213" t="s">
        <v>57769</v>
      </c>
      <c r="N5610" s="213" t="s">
        <v>46837</v>
      </c>
      <c r="O5610" s="213" t="s">
        <v>46838</v>
      </c>
      <c r="P5610" s="213" t="s">
        <v>46839</v>
      </c>
      <c r="Q5610" s="213" t="s">
        <v>46840</v>
      </c>
      <c r="R5610" s="213" t="s">
        <v>46841</v>
      </c>
      <c r="S5610" s="213" t="s">
        <v>46842</v>
      </c>
      <c r="T5610" s="213" t="s">
        <v>46843</v>
      </c>
      <c r="U5610" s="213" t="s">
        <v>57817</v>
      </c>
    </row>
    <row r="5611" spans="1:21" x14ac:dyDescent="0.25">
      <c r="A5611" s="213" t="s">
        <v>327</v>
      </c>
      <c r="D5611" s="213" t="s">
        <v>46844</v>
      </c>
      <c r="E5611" s="213" t="s">
        <v>46845</v>
      </c>
      <c r="K5611" s="213" t="s">
        <v>57674</v>
      </c>
      <c r="L5611" s="213" t="s">
        <v>57722</v>
      </c>
      <c r="M5611" s="213" t="s">
        <v>57770</v>
      </c>
      <c r="N5611" s="213" t="s">
        <v>46846</v>
      </c>
      <c r="O5611" s="213" t="s">
        <v>46847</v>
      </c>
      <c r="P5611" s="213" t="s">
        <v>46848</v>
      </c>
      <c r="Q5611" s="213" t="s">
        <v>46849</v>
      </c>
      <c r="R5611" s="213" t="s">
        <v>46850</v>
      </c>
      <c r="S5611" s="213" t="s">
        <v>46851</v>
      </c>
      <c r="T5611" s="213" t="s">
        <v>46852</v>
      </c>
      <c r="U5611" s="213" t="s">
        <v>57818</v>
      </c>
    </row>
    <row r="5612" spans="1:21" x14ac:dyDescent="0.25">
      <c r="A5612" s="213" t="s">
        <v>327</v>
      </c>
      <c r="D5612" s="213" t="s">
        <v>46853</v>
      </c>
      <c r="E5612" s="213" t="s">
        <v>46854</v>
      </c>
      <c r="K5612" s="213" t="s">
        <v>57675</v>
      </c>
      <c r="L5612" s="213" t="s">
        <v>57723</v>
      </c>
      <c r="M5612" s="213" t="s">
        <v>57771</v>
      </c>
      <c r="N5612" s="213" t="s">
        <v>46855</v>
      </c>
      <c r="O5612" s="213" t="s">
        <v>46856</v>
      </c>
      <c r="P5612" s="213" t="s">
        <v>46857</v>
      </c>
      <c r="Q5612" s="213" t="s">
        <v>46858</v>
      </c>
      <c r="R5612" s="213" t="s">
        <v>46859</v>
      </c>
      <c r="S5612" s="213" t="s">
        <v>46860</v>
      </c>
      <c r="T5612" s="213" t="s">
        <v>46861</v>
      </c>
      <c r="U5612" s="213" t="s">
        <v>57819</v>
      </c>
    </row>
    <row r="5613" spans="1:21" x14ac:dyDescent="0.25">
      <c r="A5613" s="213" t="s">
        <v>327</v>
      </c>
      <c r="D5613" s="213" t="s">
        <v>46862</v>
      </c>
      <c r="E5613" s="213" t="s">
        <v>46863</v>
      </c>
      <c r="K5613" s="213" t="s">
        <v>57676</v>
      </c>
      <c r="L5613" s="213" t="s">
        <v>57724</v>
      </c>
      <c r="M5613" s="213" t="s">
        <v>57772</v>
      </c>
      <c r="N5613" s="213" t="s">
        <v>46864</v>
      </c>
      <c r="O5613" s="213" t="s">
        <v>46865</v>
      </c>
      <c r="P5613" s="213" t="s">
        <v>46866</v>
      </c>
      <c r="Q5613" s="213" t="s">
        <v>46867</v>
      </c>
      <c r="R5613" s="213" t="s">
        <v>46868</v>
      </c>
      <c r="S5613" s="213" t="s">
        <v>46869</v>
      </c>
      <c r="T5613" s="213" t="s">
        <v>46870</v>
      </c>
      <c r="U5613" s="213" t="s">
        <v>57820</v>
      </c>
    </row>
    <row r="5614" spans="1:21" x14ac:dyDescent="0.25">
      <c r="A5614" s="213" t="s">
        <v>327</v>
      </c>
      <c r="D5614" s="213" t="s">
        <v>46871</v>
      </c>
      <c r="E5614" s="213" t="s">
        <v>46872</v>
      </c>
      <c r="K5614" s="213" t="s">
        <v>57677</v>
      </c>
      <c r="L5614" s="213" t="s">
        <v>57725</v>
      </c>
      <c r="M5614" s="213" t="s">
        <v>57773</v>
      </c>
      <c r="N5614" s="213" t="s">
        <v>46873</v>
      </c>
      <c r="O5614" s="213" t="s">
        <v>46874</v>
      </c>
      <c r="P5614" s="213" t="s">
        <v>46875</v>
      </c>
      <c r="Q5614" s="213" t="s">
        <v>46876</v>
      </c>
      <c r="R5614" s="213" t="s">
        <v>46877</v>
      </c>
      <c r="S5614" s="213" t="s">
        <v>46878</v>
      </c>
      <c r="T5614" s="213" t="s">
        <v>46879</v>
      </c>
      <c r="U5614" s="213" t="s">
        <v>57821</v>
      </c>
    </row>
    <row r="5615" spans="1:21" x14ac:dyDescent="0.25">
      <c r="A5615" s="213" t="s">
        <v>327</v>
      </c>
      <c r="D5615" s="213" t="s">
        <v>46880</v>
      </c>
      <c r="E5615" s="213" t="s">
        <v>46881</v>
      </c>
      <c r="K5615" s="213" t="s">
        <v>57678</v>
      </c>
      <c r="L5615" s="213" t="s">
        <v>57726</v>
      </c>
      <c r="M5615" s="213" t="s">
        <v>57774</v>
      </c>
      <c r="N5615" s="213" t="s">
        <v>46882</v>
      </c>
      <c r="O5615" s="213" t="s">
        <v>46883</v>
      </c>
      <c r="P5615" s="213" t="s">
        <v>46884</v>
      </c>
      <c r="Q5615" s="213" t="s">
        <v>46885</v>
      </c>
      <c r="R5615" s="213" t="s">
        <v>46886</v>
      </c>
      <c r="S5615" s="213" t="s">
        <v>46887</v>
      </c>
      <c r="T5615" s="213" t="s">
        <v>46888</v>
      </c>
      <c r="U5615" s="213" t="s">
        <v>57822</v>
      </c>
    </row>
    <row r="5616" spans="1:21" x14ac:dyDescent="0.25">
      <c r="A5616" s="213" t="s">
        <v>327</v>
      </c>
      <c r="D5616" s="213" t="s">
        <v>46889</v>
      </c>
      <c r="E5616" s="213" t="s">
        <v>46890</v>
      </c>
      <c r="K5616" s="213" t="s">
        <v>57679</v>
      </c>
      <c r="L5616" s="213" t="s">
        <v>57727</v>
      </c>
      <c r="M5616" s="213" t="s">
        <v>57775</v>
      </c>
      <c r="N5616" s="213" t="s">
        <v>46891</v>
      </c>
      <c r="O5616" s="213" t="s">
        <v>46892</v>
      </c>
      <c r="P5616" s="213" t="s">
        <v>46893</v>
      </c>
      <c r="Q5616" s="213" t="s">
        <v>46894</v>
      </c>
      <c r="R5616" s="213" t="s">
        <v>46895</v>
      </c>
      <c r="S5616" s="213" t="s">
        <v>46896</v>
      </c>
      <c r="T5616" s="213" t="s">
        <v>46897</v>
      </c>
      <c r="U5616" s="213" t="s">
        <v>57823</v>
      </c>
    </row>
    <row r="5617" spans="1:21" x14ac:dyDescent="0.25">
      <c r="A5617" s="213" t="s">
        <v>327</v>
      </c>
      <c r="D5617" s="213" t="s">
        <v>46898</v>
      </c>
      <c r="E5617" s="213" t="s">
        <v>46899</v>
      </c>
      <c r="K5617" s="213" t="s">
        <v>57680</v>
      </c>
      <c r="L5617" s="213" t="s">
        <v>57728</v>
      </c>
      <c r="M5617" s="213" t="s">
        <v>57776</v>
      </c>
      <c r="N5617" s="213" t="s">
        <v>46900</v>
      </c>
      <c r="O5617" s="213" t="s">
        <v>46901</v>
      </c>
      <c r="P5617" s="213" t="s">
        <v>46902</v>
      </c>
      <c r="Q5617" s="213" t="s">
        <v>46903</v>
      </c>
      <c r="R5617" s="213" t="s">
        <v>46904</v>
      </c>
      <c r="S5617" s="213" t="s">
        <v>46905</v>
      </c>
      <c r="T5617" s="213" t="s">
        <v>46906</v>
      </c>
      <c r="U5617" s="213" t="s">
        <v>57824</v>
      </c>
    </row>
    <row r="5618" spans="1:21" x14ac:dyDescent="0.25">
      <c r="A5618" s="213" t="s">
        <v>327</v>
      </c>
      <c r="D5618" s="213" t="s">
        <v>46907</v>
      </c>
      <c r="E5618" s="213" t="s">
        <v>46908</v>
      </c>
      <c r="K5618" s="213" t="s">
        <v>57681</v>
      </c>
      <c r="L5618" s="213" t="s">
        <v>57729</v>
      </c>
      <c r="M5618" s="213" t="s">
        <v>57777</v>
      </c>
      <c r="N5618" s="213" t="s">
        <v>46909</v>
      </c>
      <c r="O5618" s="213" t="s">
        <v>46910</v>
      </c>
      <c r="P5618" s="213" t="s">
        <v>46911</v>
      </c>
      <c r="Q5618" s="213" t="s">
        <v>46912</v>
      </c>
      <c r="R5618" s="213" t="s">
        <v>46913</v>
      </c>
      <c r="S5618" s="213" t="s">
        <v>46914</v>
      </c>
      <c r="T5618" s="213" t="s">
        <v>46915</v>
      </c>
      <c r="U5618" s="213" t="s">
        <v>57825</v>
      </c>
    </row>
    <row r="5619" spans="1:21" x14ac:dyDescent="0.25">
      <c r="A5619" s="213" t="s">
        <v>327</v>
      </c>
      <c r="D5619" s="213" t="s">
        <v>46916</v>
      </c>
      <c r="E5619" s="213" t="s">
        <v>46917</v>
      </c>
      <c r="K5619" s="213" t="s">
        <v>57682</v>
      </c>
      <c r="L5619" s="213" t="s">
        <v>57730</v>
      </c>
      <c r="M5619" s="213" t="s">
        <v>57778</v>
      </c>
      <c r="N5619" s="213" t="s">
        <v>46918</v>
      </c>
      <c r="O5619" s="213" t="s">
        <v>46919</v>
      </c>
      <c r="P5619" s="213" t="s">
        <v>46920</v>
      </c>
      <c r="Q5619" s="213" t="s">
        <v>46921</v>
      </c>
      <c r="R5619" s="213" t="s">
        <v>46922</v>
      </c>
      <c r="S5619" s="213" t="s">
        <v>46923</v>
      </c>
      <c r="T5619" s="213" t="s">
        <v>46924</v>
      </c>
      <c r="U5619" s="213" t="s">
        <v>57826</v>
      </c>
    </row>
    <row r="5620" spans="1:21" x14ac:dyDescent="0.25">
      <c r="A5620" s="213" t="s">
        <v>327</v>
      </c>
      <c r="D5620" s="213" t="s">
        <v>46925</v>
      </c>
      <c r="E5620" s="213" t="s">
        <v>46926</v>
      </c>
      <c r="K5620" s="213" t="s">
        <v>57683</v>
      </c>
      <c r="L5620" s="213" t="s">
        <v>57731</v>
      </c>
      <c r="M5620" s="213" t="s">
        <v>57779</v>
      </c>
      <c r="N5620" s="213" t="s">
        <v>46927</v>
      </c>
      <c r="O5620" s="213" t="s">
        <v>46928</v>
      </c>
      <c r="P5620" s="213" t="s">
        <v>46929</v>
      </c>
      <c r="Q5620" s="213" t="s">
        <v>46930</v>
      </c>
      <c r="R5620" s="213" t="s">
        <v>46931</v>
      </c>
      <c r="S5620" s="213" t="s">
        <v>46932</v>
      </c>
      <c r="T5620" s="213" t="s">
        <v>46933</v>
      </c>
      <c r="U5620" s="213" t="s">
        <v>57827</v>
      </c>
    </row>
    <row r="5621" spans="1:21" x14ac:dyDescent="0.25">
      <c r="A5621" s="213" t="s">
        <v>327</v>
      </c>
      <c r="D5621" s="213" t="s">
        <v>46934</v>
      </c>
      <c r="E5621" s="213" t="s">
        <v>46935</v>
      </c>
      <c r="K5621" s="213" t="s">
        <v>57684</v>
      </c>
      <c r="L5621" s="213" t="s">
        <v>57732</v>
      </c>
      <c r="M5621" s="213" t="s">
        <v>57780</v>
      </c>
      <c r="N5621" s="213" t="s">
        <v>46936</v>
      </c>
      <c r="O5621" s="213" t="s">
        <v>46937</v>
      </c>
      <c r="P5621" s="213" t="s">
        <v>46938</v>
      </c>
      <c r="Q5621" s="213" t="s">
        <v>46939</v>
      </c>
      <c r="R5621" s="213" t="s">
        <v>46940</v>
      </c>
      <c r="S5621" s="213" t="s">
        <v>46941</v>
      </c>
      <c r="T5621" s="213" t="s">
        <v>46942</v>
      </c>
      <c r="U5621" s="213" t="s">
        <v>57828</v>
      </c>
    </row>
    <row r="5622" spans="1:21" x14ac:dyDescent="0.25">
      <c r="A5622" s="213" t="s">
        <v>327</v>
      </c>
      <c r="D5622" s="213" t="s">
        <v>46943</v>
      </c>
      <c r="E5622" s="213" t="s">
        <v>46944</v>
      </c>
      <c r="K5622" s="213" t="s">
        <v>57685</v>
      </c>
      <c r="L5622" s="213" t="s">
        <v>57733</v>
      </c>
      <c r="M5622" s="213" t="s">
        <v>57781</v>
      </c>
      <c r="N5622" s="213" t="s">
        <v>46945</v>
      </c>
      <c r="O5622" s="213" t="s">
        <v>46946</v>
      </c>
      <c r="P5622" s="213" t="s">
        <v>46947</v>
      </c>
      <c r="Q5622" s="213" t="s">
        <v>46948</v>
      </c>
      <c r="R5622" s="213" t="s">
        <v>46949</v>
      </c>
      <c r="S5622" s="213" t="s">
        <v>46950</v>
      </c>
      <c r="T5622" s="213" t="s">
        <v>46951</v>
      </c>
      <c r="U5622" s="213" t="s">
        <v>57829</v>
      </c>
    </row>
    <row r="5623" spans="1:21" x14ac:dyDescent="0.25">
      <c r="A5623" s="213" t="s">
        <v>327</v>
      </c>
      <c r="D5623" s="213" t="s">
        <v>46952</v>
      </c>
      <c r="E5623" s="213" t="s">
        <v>46953</v>
      </c>
      <c r="K5623" s="213" t="s">
        <v>57686</v>
      </c>
      <c r="L5623" s="213" t="s">
        <v>57734</v>
      </c>
      <c r="M5623" s="213" t="s">
        <v>57782</v>
      </c>
      <c r="N5623" s="213" t="s">
        <v>46954</v>
      </c>
      <c r="O5623" s="213" t="s">
        <v>46955</v>
      </c>
      <c r="P5623" s="213" t="s">
        <v>46956</v>
      </c>
      <c r="Q5623" s="213" t="s">
        <v>46957</v>
      </c>
      <c r="R5623" s="213" t="s">
        <v>46958</v>
      </c>
      <c r="S5623" s="213" t="s">
        <v>46959</v>
      </c>
      <c r="T5623" s="213" t="s">
        <v>46960</v>
      </c>
      <c r="U5623" s="213" t="s">
        <v>57830</v>
      </c>
    </row>
    <row r="5624" spans="1:21" x14ac:dyDescent="0.25">
      <c r="A5624" s="213" t="s">
        <v>327</v>
      </c>
      <c r="D5624" s="213" t="s">
        <v>46961</v>
      </c>
      <c r="E5624" s="213" t="s">
        <v>46962</v>
      </c>
      <c r="K5624" s="213" t="s">
        <v>57687</v>
      </c>
      <c r="L5624" s="213" t="s">
        <v>57735</v>
      </c>
      <c r="M5624" s="213" t="s">
        <v>57783</v>
      </c>
      <c r="N5624" s="213" t="s">
        <v>46963</v>
      </c>
      <c r="O5624" s="213" t="s">
        <v>46964</v>
      </c>
      <c r="P5624" s="213" t="s">
        <v>46965</v>
      </c>
      <c r="Q5624" s="213" t="s">
        <v>46966</v>
      </c>
      <c r="R5624" s="213" t="s">
        <v>46967</v>
      </c>
      <c r="S5624" s="213" t="s">
        <v>46968</v>
      </c>
      <c r="T5624" s="213" t="s">
        <v>46969</v>
      </c>
      <c r="U5624" s="213" t="s">
        <v>57831</v>
      </c>
    </row>
    <row r="5625" spans="1:21" x14ac:dyDescent="0.25">
      <c r="A5625" s="213" t="s">
        <v>327</v>
      </c>
      <c r="D5625" s="213" t="s">
        <v>46970</v>
      </c>
      <c r="E5625" s="213" t="s">
        <v>46971</v>
      </c>
      <c r="K5625" s="213" t="s">
        <v>57688</v>
      </c>
      <c r="L5625" s="213" t="s">
        <v>57736</v>
      </c>
      <c r="M5625" s="213" t="s">
        <v>57784</v>
      </c>
      <c r="N5625" s="213" t="s">
        <v>46972</v>
      </c>
      <c r="O5625" s="213" t="s">
        <v>46973</v>
      </c>
      <c r="P5625" s="213" t="s">
        <v>46974</v>
      </c>
      <c r="Q5625" s="213" t="s">
        <v>46975</v>
      </c>
      <c r="R5625" s="213" t="s">
        <v>46976</v>
      </c>
      <c r="S5625" s="213" t="s">
        <v>46977</v>
      </c>
      <c r="T5625" s="213" t="s">
        <v>46978</v>
      </c>
      <c r="U5625" s="213" t="s">
        <v>57832</v>
      </c>
    </row>
    <row r="5626" spans="1:21" x14ac:dyDescent="0.25">
      <c r="A5626" s="213" t="s">
        <v>327</v>
      </c>
      <c r="D5626" s="213" t="s">
        <v>46979</v>
      </c>
      <c r="E5626" s="213" t="s">
        <v>46980</v>
      </c>
      <c r="K5626" s="213" t="s">
        <v>57689</v>
      </c>
      <c r="L5626" s="213" t="s">
        <v>57737</v>
      </c>
      <c r="M5626" s="213" t="s">
        <v>57785</v>
      </c>
      <c r="N5626" s="213" t="s">
        <v>46981</v>
      </c>
      <c r="O5626" s="213" t="s">
        <v>46982</v>
      </c>
      <c r="P5626" s="213" t="s">
        <v>46983</v>
      </c>
      <c r="Q5626" s="213" t="s">
        <v>46984</v>
      </c>
      <c r="R5626" s="213" t="s">
        <v>46985</v>
      </c>
      <c r="S5626" s="213" t="s">
        <v>46986</v>
      </c>
      <c r="T5626" s="213" t="s">
        <v>46987</v>
      </c>
      <c r="U5626" s="213" t="s">
        <v>57833</v>
      </c>
    </row>
    <row r="5627" spans="1:21" x14ac:dyDescent="0.25">
      <c r="A5627" s="213" t="s">
        <v>327</v>
      </c>
      <c r="D5627" s="213" t="s">
        <v>46988</v>
      </c>
      <c r="E5627" s="213" t="s">
        <v>46989</v>
      </c>
      <c r="K5627" s="213" t="s">
        <v>57690</v>
      </c>
      <c r="L5627" s="213" t="s">
        <v>57738</v>
      </c>
      <c r="M5627" s="213" t="s">
        <v>57786</v>
      </c>
      <c r="N5627" s="213" t="s">
        <v>46990</v>
      </c>
      <c r="O5627" s="213" t="s">
        <v>46991</v>
      </c>
      <c r="P5627" s="213" t="s">
        <v>46992</v>
      </c>
      <c r="Q5627" s="213" t="s">
        <v>46993</v>
      </c>
      <c r="R5627" s="213" t="s">
        <v>46994</v>
      </c>
      <c r="S5627" s="213" t="s">
        <v>46995</v>
      </c>
      <c r="T5627" s="213" t="s">
        <v>46996</v>
      </c>
      <c r="U5627" s="213" t="s">
        <v>57834</v>
      </c>
    </row>
    <row r="5628" spans="1:21" x14ac:dyDescent="0.25">
      <c r="A5628" s="213" t="s">
        <v>327</v>
      </c>
      <c r="D5628" s="213" t="s">
        <v>46997</v>
      </c>
      <c r="E5628" s="213" t="s">
        <v>46998</v>
      </c>
      <c r="K5628" s="213" t="s">
        <v>57691</v>
      </c>
      <c r="L5628" s="213" t="s">
        <v>57739</v>
      </c>
      <c r="M5628" s="213" t="s">
        <v>57787</v>
      </c>
      <c r="N5628" s="213" t="s">
        <v>46999</v>
      </c>
      <c r="O5628" s="213" t="s">
        <v>47000</v>
      </c>
      <c r="P5628" s="213" t="s">
        <v>47001</v>
      </c>
      <c r="Q5628" s="213" t="s">
        <v>47002</v>
      </c>
      <c r="R5628" s="213" t="s">
        <v>47003</v>
      </c>
      <c r="S5628" s="213" t="s">
        <v>47004</v>
      </c>
      <c r="T5628" s="213" t="s">
        <v>47005</v>
      </c>
      <c r="U5628" s="213" t="s">
        <v>57835</v>
      </c>
    </row>
    <row r="5629" spans="1:21" x14ac:dyDescent="0.25">
      <c r="A5629" s="213" t="s">
        <v>327</v>
      </c>
      <c r="D5629" s="213" t="s">
        <v>47006</v>
      </c>
      <c r="E5629" s="213" t="s">
        <v>47007</v>
      </c>
      <c r="K5629" s="213" t="s">
        <v>57692</v>
      </c>
      <c r="L5629" s="213" t="s">
        <v>57740</v>
      </c>
      <c r="M5629" s="213" t="s">
        <v>57788</v>
      </c>
      <c r="N5629" s="213" t="s">
        <v>47008</v>
      </c>
      <c r="O5629" s="213" t="s">
        <v>47009</v>
      </c>
      <c r="P5629" s="213" t="s">
        <v>47010</v>
      </c>
      <c r="Q5629" s="213" t="s">
        <v>47011</v>
      </c>
      <c r="R5629" s="213" t="s">
        <v>47012</v>
      </c>
      <c r="S5629" s="213" t="s">
        <v>47013</v>
      </c>
      <c r="T5629" s="213" t="s">
        <v>47014</v>
      </c>
      <c r="U5629" s="213" t="s">
        <v>57836</v>
      </c>
    </row>
    <row r="5630" spans="1:21" x14ac:dyDescent="0.25">
      <c r="A5630" s="213" t="s">
        <v>327</v>
      </c>
      <c r="D5630" s="213" t="s">
        <v>47015</v>
      </c>
      <c r="E5630" s="213" t="s">
        <v>47016</v>
      </c>
      <c r="K5630" s="213" t="s">
        <v>57693</v>
      </c>
      <c r="L5630" s="213" t="s">
        <v>57741</v>
      </c>
      <c r="M5630" s="213" t="s">
        <v>57789</v>
      </c>
      <c r="N5630" s="213" t="s">
        <v>47017</v>
      </c>
      <c r="O5630" s="213" t="s">
        <v>47018</v>
      </c>
      <c r="P5630" s="213" t="s">
        <v>47019</v>
      </c>
      <c r="Q5630" s="213" t="s">
        <v>47020</v>
      </c>
      <c r="R5630" s="213" t="s">
        <v>47021</v>
      </c>
      <c r="S5630" s="213" t="s">
        <v>47022</v>
      </c>
      <c r="T5630" s="213" t="s">
        <v>47023</v>
      </c>
      <c r="U5630" s="213" t="s">
        <v>57837</v>
      </c>
    </row>
    <row r="5631" spans="1:21" x14ac:dyDescent="0.25">
      <c r="A5631" s="213" t="s">
        <v>327</v>
      </c>
      <c r="D5631" s="213" t="s">
        <v>47024</v>
      </c>
      <c r="E5631" s="213" t="s">
        <v>47025</v>
      </c>
      <c r="K5631" s="213" t="s">
        <v>57694</v>
      </c>
      <c r="L5631" s="213" t="s">
        <v>57742</v>
      </c>
      <c r="M5631" s="213" t="s">
        <v>57790</v>
      </c>
      <c r="N5631" s="213" t="s">
        <v>47026</v>
      </c>
      <c r="O5631" s="213" t="s">
        <v>47027</v>
      </c>
      <c r="P5631" s="213" t="s">
        <v>47028</v>
      </c>
      <c r="Q5631" s="213" t="s">
        <v>47029</v>
      </c>
      <c r="R5631" s="213" t="s">
        <v>47030</v>
      </c>
      <c r="S5631" s="213" t="s">
        <v>47031</v>
      </c>
      <c r="T5631" s="213" t="s">
        <v>47032</v>
      </c>
      <c r="U5631" s="213" t="s">
        <v>57838</v>
      </c>
    </row>
    <row r="5632" spans="1:21" x14ac:dyDescent="0.25">
      <c r="A5632" s="213" t="s">
        <v>327</v>
      </c>
      <c r="D5632" s="213" t="s">
        <v>47033</v>
      </c>
      <c r="E5632" s="213" t="s">
        <v>47034</v>
      </c>
      <c r="K5632" s="213" t="s">
        <v>57695</v>
      </c>
      <c r="L5632" s="213" t="s">
        <v>57743</v>
      </c>
      <c r="M5632" s="213" t="s">
        <v>57791</v>
      </c>
      <c r="N5632" s="213" t="s">
        <v>47035</v>
      </c>
      <c r="O5632" s="213" t="s">
        <v>47036</v>
      </c>
      <c r="P5632" s="213" t="s">
        <v>47037</v>
      </c>
      <c r="Q5632" s="213" t="s">
        <v>47038</v>
      </c>
      <c r="R5632" s="213" t="s">
        <v>47039</v>
      </c>
      <c r="S5632" s="213" t="s">
        <v>47040</v>
      </c>
      <c r="T5632" s="213" t="s">
        <v>47041</v>
      </c>
      <c r="U5632" s="213" t="s">
        <v>57839</v>
      </c>
    </row>
    <row r="5633" spans="1:21" x14ac:dyDescent="0.25">
      <c r="A5633" s="213" t="s">
        <v>327</v>
      </c>
      <c r="D5633" s="213" t="s">
        <v>47042</v>
      </c>
      <c r="E5633" s="213" t="s">
        <v>47043</v>
      </c>
      <c r="K5633" s="213" t="s">
        <v>57696</v>
      </c>
      <c r="L5633" s="213" t="s">
        <v>57744</v>
      </c>
      <c r="M5633" s="213" t="s">
        <v>57792</v>
      </c>
      <c r="N5633" s="213" t="s">
        <v>47044</v>
      </c>
      <c r="O5633" s="213" t="s">
        <v>47045</v>
      </c>
      <c r="P5633" s="213" t="s">
        <v>47046</v>
      </c>
      <c r="Q5633" s="213" t="s">
        <v>47047</v>
      </c>
      <c r="R5633" s="213" t="s">
        <v>47048</v>
      </c>
      <c r="S5633" s="213" t="s">
        <v>47049</v>
      </c>
      <c r="T5633" s="213" t="s">
        <v>47050</v>
      </c>
      <c r="U5633" s="213" t="s">
        <v>57840</v>
      </c>
    </row>
    <row r="5634" spans="1:21" x14ac:dyDescent="0.25">
      <c r="A5634" s="213" t="s">
        <v>327</v>
      </c>
      <c r="D5634" s="213" t="s">
        <v>47051</v>
      </c>
      <c r="E5634" s="213" t="s">
        <v>47052</v>
      </c>
      <c r="K5634" s="213" t="s">
        <v>57697</v>
      </c>
      <c r="L5634" s="213" t="s">
        <v>57745</v>
      </c>
      <c r="M5634" s="213" t="s">
        <v>57793</v>
      </c>
      <c r="N5634" s="213" t="s">
        <v>47053</v>
      </c>
      <c r="O5634" s="213" t="s">
        <v>47054</v>
      </c>
      <c r="P5634" s="213" t="s">
        <v>47055</v>
      </c>
      <c r="Q5634" s="213" t="s">
        <v>47056</v>
      </c>
      <c r="R5634" s="213" t="s">
        <v>47057</v>
      </c>
      <c r="S5634" s="213" t="s">
        <v>47058</v>
      </c>
      <c r="T5634" s="213" t="s">
        <v>47059</v>
      </c>
      <c r="U5634" s="213" t="s">
        <v>57841</v>
      </c>
    </row>
    <row r="5635" spans="1:21" x14ac:dyDescent="0.25">
      <c r="A5635" s="213" t="s">
        <v>327</v>
      </c>
      <c r="D5635" s="213" t="s">
        <v>47060</v>
      </c>
      <c r="E5635" s="213" t="s">
        <v>47061</v>
      </c>
      <c r="K5635" s="213" t="s">
        <v>57698</v>
      </c>
      <c r="L5635" s="213" t="s">
        <v>57746</v>
      </c>
      <c r="M5635" s="213" t="s">
        <v>57794</v>
      </c>
      <c r="N5635" s="213" t="s">
        <v>47062</v>
      </c>
      <c r="O5635" s="213" t="s">
        <v>47063</v>
      </c>
      <c r="P5635" s="213" t="s">
        <v>47064</v>
      </c>
      <c r="Q5635" s="213" t="s">
        <v>47065</v>
      </c>
      <c r="R5635" s="213" t="s">
        <v>47066</v>
      </c>
      <c r="S5635" s="213" t="s">
        <v>47067</v>
      </c>
      <c r="T5635" s="213" t="s">
        <v>47068</v>
      </c>
      <c r="U5635" s="213" t="s">
        <v>57842</v>
      </c>
    </row>
    <row r="5636" spans="1:21" x14ac:dyDescent="0.25">
      <c r="A5636" s="213" t="s">
        <v>327</v>
      </c>
      <c r="D5636" s="213" t="s">
        <v>47069</v>
      </c>
      <c r="E5636" s="213" t="s">
        <v>47070</v>
      </c>
      <c r="K5636" s="213" t="s">
        <v>57699</v>
      </c>
      <c r="L5636" s="213" t="s">
        <v>57747</v>
      </c>
      <c r="M5636" s="213" t="s">
        <v>57795</v>
      </c>
      <c r="N5636" s="213" t="s">
        <v>47071</v>
      </c>
      <c r="O5636" s="213" t="s">
        <v>47072</v>
      </c>
      <c r="P5636" s="213" t="s">
        <v>47073</v>
      </c>
      <c r="Q5636" s="213" t="s">
        <v>47074</v>
      </c>
      <c r="R5636" s="213" t="s">
        <v>47075</v>
      </c>
      <c r="S5636" s="213" t="s">
        <v>47076</v>
      </c>
      <c r="T5636" s="213" t="s">
        <v>47077</v>
      </c>
      <c r="U5636" s="213" t="s">
        <v>57843</v>
      </c>
    </row>
    <row r="5637" spans="1:21" x14ac:dyDescent="0.25">
      <c r="A5637" s="213" t="s">
        <v>327</v>
      </c>
      <c r="D5637" s="213" t="s">
        <v>47078</v>
      </c>
      <c r="E5637" s="213" t="s">
        <v>47079</v>
      </c>
      <c r="K5637" s="213" t="s">
        <v>57700</v>
      </c>
      <c r="L5637" s="213" t="s">
        <v>57748</v>
      </c>
      <c r="M5637" s="213" t="s">
        <v>57796</v>
      </c>
      <c r="N5637" s="213" t="s">
        <v>47080</v>
      </c>
      <c r="O5637" s="213" t="s">
        <v>47081</v>
      </c>
      <c r="P5637" s="213" t="s">
        <v>47082</v>
      </c>
      <c r="Q5637" s="213" t="s">
        <v>47083</v>
      </c>
      <c r="R5637" s="213" t="s">
        <v>47084</v>
      </c>
      <c r="S5637" s="213" t="s">
        <v>47085</v>
      </c>
      <c r="T5637" s="213" t="s">
        <v>47086</v>
      </c>
      <c r="U5637" s="213" t="s">
        <v>57844</v>
      </c>
    </row>
    <row r="5638" spans="1:21" x14ac:dyDescent="0.25">
      <c r="A5638" s="213" t="s">
        <v>327</v>
      </c>
      <c r="D5638" s="213" t="s">
        <v>47087</v>
      </c>
      <c r="E5638" s="213" t="s">
        <v>47088</v>
      </c>
      <c r="K5638" s="213" t="s">
        <v>57701</v>
      </c>
      <c r="L5638" s="213" t="s">
        <v>57749</v>
      </c>
      <c r="M5638" s="213" t="s">
        <v>57797</v>
      </c>
      <c r="N5638" s="213" t="s">
        <v>47089</v>
      </c>
      <c r="O5638" s="213" t="s">
        <v>47090</v>
      </c>
      <c r="P5638" s="213" t="s">
        <v>47091</v>
      </c>
      <c r="Q5638" s="213" t="s">
        <v>47092</v>
      </c>
      <c r="R5638" s="213" t="s">
        <v>47093</v>
      </c>
      <c r="S5638" s="213" t="s">
        <v>47094</v>
      </c>
      <c r="T5638" s="213" t="s">
        <v>47095</v>
      </c>
      <c r="U5638" s="213" t="s">
        <v>57845</v>
      </c>
    </row>
    <row r="5639" spans="1:21" x14ac:dyDescent="0.25">
      <c r="A5639" s="213" t="s">
        <v>327</v>
      </c>
    </row>
    <row r="5640" spans="1:21" x14ac:dyDescent="0.25">
      <c r="A5640" s="213" t="s">
        <v>327</v>
      </c>
    </row>
    <row r="5641" spans="1:21" x14ac:dyDescent="0.25">
      <c r="A5641" s="213" t="s">
        <v>327</v>
      </c>
      <c r="C5641" s="213" t="s">
        <v>47096</v>
      </c>
      <c r="E5641" s="213" t="s">
        <v>47097</v>
      </c>
      <c r="H5641" s="213" t="s">
        <v>47098</v>
      </c>
      <c r="I5641" s="213" t="s">
        <v>47099</v>
      </c>
      <c r="J5641" s="213" t="s">
        <v>47100</v>
      </c>
      <c r="L5641" s="213" t="s">
        <v>47101</v>
      </c>
      <c r="O5641" s="213" t="s">
        <v>47102</v>
      </c>
      <c r="P5641" s="213" t="s">
        <v>47103</v>
      </c>
      <c r="Q5641" s="213" t="s">
        <v>47104</v>
      </c>
      <c r="R5641" s="213" t="s">
        <v>47105</v>
      </c>
      <c r="S5641" s="213" t="s">
        <v>47106</v>
      </c>
      <c r="T5641" s="213" t="s">
        <v>47107</v>
      </c>
    </row>
    <row r="5642" spans="1:21" x14ac:dyDescent="0.25">
      <c r="A5642" s="213" t="s">
        <v>327</v>
      </c>
      <c r="C5642" s="213" t="s">
        <v>47108</v>
      </c>
      <c r="E5642" s="213" t="s">
        <v>47109</v>
      </c>
      <c r="I5642" s="213" t="s">
        <v>47110</v>
      </c>
    </row>
    <row r="5643" spans="1:21" x14ac:dyDescent="0.25">
      <c r="A5643" s="213" t="s">
        <v>327</v>
      </c>
      <c r="C5643" s="213" t="s">
        <v>47111</v>
      </c>
      <c r="E5643" s="213" t="s">
        <v>47112</v>
      </c>
      <c r="I5643" s="213" t="s">
        <v>47113</v>
      </c>
    </row>
    <row r="5644" spans="1:21" x14ac:dyDescent="0.25">
      <c r="A5644" s="213" t="s">
        <v>328</v>
      </c>
    </row>
    <row r="5645" spans="1:21" x14ac:dyDescent="0.25">
      <c r="A5645" s="213" t="s">
        <v>327</v>
      </c>
      <c r="D5645" s="213" t="s">
        <v>47114</v>
      </c>
      <c r="E5645" s="213" t="s">
        <v>47115</v>
      </c>
      <c r="K5645" s="213" t="s">
        <v>57538</v>
      </c>
      <c r="L5645" s="213" t="s">
        <v>57567</v>
      </c>
      <c r="M5645" s="213" t="s">
        <v>57596</v>
      </c>
      <c r="N5645" s="213" t="s">
        <v>47116</v>
      </c>
      <c r="O5645" s="213" t="s">
        <v>47117</v>
      </c>
      <c r="P5645" s="213" t="s">
        <v>47118</v>
      </c>
      <c r="Q5645" s="213" t="s">
        <v>47119</v>
      </c>
      <c r="R5645" s="213" t="s">
        <v>47120</v>
      </c>
      <c r="S5645" s="213" t="s">
        <v>47121</v>
      </c>
      <c r="T5645" s="213" t="s">
        <v>47122</v>
      </c>
      <c r="U5645" s="213" t="s">
        <v>57625</v>
      </c>
    </row>
    <row r="5646" spans="1:21" x14ac:dyDescent="0.25">
      <c r="A5646" s="213" t="s">
        <v>327</v>
      </c>
      <c r="D5646" s="213" t="s">
        <v>47123</v>
      </c>
      <c r="E5646" s="213" t="s">
        <v>47124</v>
      </c>
      <c r="K5646" s="213" t="s">
        <v>57539</v>
      </c>
      <c r="L5646" s="213" t="s">
        <v>57568</v>
      </c>
      <c r="M5646" s="213" t="s">
        <v>57597</v>
      </c>
      <c r="N5646" s="213" t="s">
        <v>47125</v>
      </c>
      <c r="O5646" s="213" t="s">
        <v>47126</v>
      </c>
      <c r="P5646" s="213" t="s">
        <v>47127</v>
      </c>
      <c r="Q5646" s="213" t="s">
        <v>47128</v>
      </c>
      <c r="R5646" s="213" t="s">
        <v>47129</v>
      </c>
      <c r="S5646" s="213" t="s">
        <v>47130</v>
      </c>
      <c r="T5646" s="213" t="s">
        <v>47131</v>
      </c>
      <c r="U5646" s="213" t="s">
        <v>57626</v>
      </c>
    </row>
    <row r="5647" spans="1:21" x14ac:dyDescent="0.25">
      <c r="A5647" s="213" t="s">
        <v>327</v>
      </c>
      <c r="D5647" s="213" t="s">
        <v>47132</v>
      </c>
      <c r="E5647" s="213" t="s">
        <v>47133</v>
      </c>
      <c r="K5647" s="213" t="s">
        <v>57540</v>
      </c>
      <c r="L5647" s="213" t="s">
        <v>57569</v>
      </c>
      <c r="M5647" s="213" t="s">
        <v>57598</v>
      </c>
      <c r="N5647" s="213" t="s">
        <v>47134</v>
      </c>
      <c r="O5647" s="213" t="s">
        <v>47135</v>
      </c>
      <c r="P5647" s="213" t="s">
        <v>47136</v>
      </c>
      <c r="Q5647" s="213" t="s">
        <v>47137</v>
      </c>
      <c r="R5647" s="213" t="s">
        <v>47138</v>
      </c>
      <c r="S5647" s="213" t="s">
        <v>47139</v>
      </c>
      <c r="T5647" s="213" t="s">
        <v>47140</v>
      </c>
      <c r="U5647" s="213" t="s">
        <v>57627</v>
      </c>
    </row>
    <row r="5648" spans="1:21" x14ac:dyDescent="0.25">
      <c r="A5648" s="213" t="s">
        <v>327</v>
      </c>
      <c r="D5648" s="213" t="s">
        <v>47141</v>
      </c>
      <c r="E5648" s="213" t="s">
        <v>47142</v>
      </c>
      <c r="K5648" s="213" t="s">
        <v>57541</v>
      </c>
      <c r="L5648" s="213" t="s">
        <v>57570</v>
      </c>
      <c r="M5648" s="213" t="s">
        <v>57599</v>
      </c>
      <c r="N5648" s="213" t="s">
        <v>47143</v>
      </c>
      <c r="O5648" s="213" t="s">
        <v>47144</v>
      </c>
      <c r="P5648" s="213" t="s">
        <v>47145</v>
      </c>
      <c r="Q5648" s="213" t="s">
        <v>47146</v>
      </c>
      <c r="R5648" s="213" t="s">
        <v>47147</v>
      </c>
      <c r="S5648" s="213" t="s">
        <v>47148</v>
      </c>
      <c r="T5648" s="213" t="s">
        <v>47149</v>
      </c>
      <c r="U5648" s="213" t="s">
        <v>57628</v>
      </c>
    </row>
    <row r="5649" spans="1:21" x14ac:dyDescent="0.25">
      <c r="A5649" s="213" t="s">
        <v>327</v>
      </c>
      <c r="D5649" s="213" t="s">
        <v>47150</v>
      </c>
      <c r="E5649" s="213" t="s">
        <v>47151</v>
      </c>
      <c r="K5649" s="213" t="s">
        <v>57542</v>
      </c>
      <c r="L5649" s="213" t="s">
        <v>57571</v>
      </c>
      <c r="M5649" s="213" t="s">
        <v>57600</v>
      </c>
      <c r="N5649" s="213" t="s">
        <v>47152</v>
      </c>
      <c r="O5649" s="213" t="s">
        <v>47153</v>
      </c>
      <c r="P5649" s="213" t="s">
        <v>47154</v>
      </c>
      <c r="Q5649" s="213" t="s">
        <v>47155</v>
      </c>
      <c r="R5649" s="213" t="s">
        <v>47156</v>
      </c>
      <c r="S5649" s="213" t="s">
        <v>47157</v>
      </c>
      <c r="T5649" s="213" t="s">
        <v>47158</v>
      </c>
      <c r="U5649" s="213" t="s">
        <v>57629</v>
      </c>
    </row>
    <row r="5650" spans="1:21" x14ac:dyDescent="0.25">
      <c r="A5650" s="213" t="s">
        <v>327</v>
      </c>
      <c r="D5650" s="213" t="s">
        <v>47159</v>
      </c>
      <c r="E5650" s="213" t="s">
        <v>47160</v>
      </c>
      <c r="K5650" s="213" t="s">
        <v>57543</v>
      </c>
      <c r="L5650" s="213" t="s">
        <v>57572</v>
      </c>
      <c r="M5650" s="213" t="s">
        <v>57601</v>
      </c>
      <c r="N5650" s="213" t="s">
        <v>47161</v>
      </c>
      <c r="O5650" s="213" t="s">
        <v>47162</v>
      </c>
      <c r="P5650" s="213" t="s">
        <v>47163</v>
      </c>
      <c r="Q5650" s="213" t="s">
        <v>47164</v>
      </c>
      <c r="R5650" s="213" t="s">
        <v>47165</v>
      </c>
      <c r="S5650" s="213" t="s">
        <v>47166</v>
      </c>
      <c r="T5650" s="213" t="s">
        <v>47167</v>
      </c>
      <c r="U5650" s="213" t="s">
        <v>57630</v>
      </c>
    </row>
    <row r="5651" spans="1:21" x14ac:dyDescent="0.25">
      <c r="A5651" s="213" t="s">
        <v>327</v>
      </c>
      <c r="D5651" s="213" t="s">
        <v>47168</v>
      </c>
      <c r="E5651" s="213" t="s">
        <v>47169</v>
      </c>
      <c r="K5651" s="213" t="s">
        <v>57544</v>
      </c>
      <c r="L5651" s="213" t="s">
        <v>57573</v>
      </c>
      <c r="M5651" s="213" t="s">
        <v>57602</v>
      </c>
      <c r="N5651" s="213" t="s">
        <v>47170</v>
      </c>
      <c r="O5651" s="213" t="s">
        <v>47171</v>
      </c>
      <c r="P5651" s="213" t="s">
        <v>47172</v>
      </c>
      <c r="Q5651" s="213" t="s">
        <v>47173</v>
      </c>
      <c r="R5651" s="213" t="s">
        <v>47174</v>
      </c>
      <c r="S5651" s="213" t="s">
        <v>47175</v>
      </c>
      <c r="T5651" s="213" t="s">
        <v>47176</v>
      </c>
      <c r="U5651" s="213" t="s">
        <v>57631</v>
      </c>
    </row>
    <row r="5652" spans="1:21" x14ac:dyDescent="0.25">
      <c r="A5652" s="213" t="s">
        <v>327</v>
      </c>
      <c r="D5652" s="213" t="s">
        <v>47177</v>
      </c>
      <c r="E5652" s="213" t="s">
        <v>47178</v>
      </c>
      <c r="K5652" s="213" t="s">
        <v>57545</v>
      </c>
      <c r="L5652" s="213" t="s">
        <v>57574</v>
      </c>
      <c r="M5652" s="213" t="s">
        <v>57603</v>
      </c>
      <c r="N5652" s="213" t="s">
        <v>47179</v>
      </c>
      <c r="O5652" s="213" t="s">
        <v>47180</v>
      </c>
      <c r="P5652" s="213" t="s">
        <v>47181</v>
      </c>
      <c r="Q5652" s="213" t="s">
        <v>47182</v>
      </c>
      <c r="R5652" s="213" t="s">
        <v>47183</v>
      </c>
      <c r="S5652" s="213" t="s">
        <v>47184</v>
      </c>
      <c r="T5652" s="213" t="s">
        <v>47185</v>
      </c>
      <c r="U5652" s="213" t="s">
        <v>57632</v>
      </c>
    </row>
    <row r="5653" spans="1:21" x14ac:dyDescent="0.25">
      <c r="A5653" s="213" t="s">
        <v>327</v>
      </c>
      <c r="D5653" s="213" t="s">
        <v>47186</v>
      </c>
      <c r="E5653" s="213" t="s">
        <v>47187</v>
      </c>
      <c r="K5653" s="213" t="s">
        <v>57546</v>
      </c>
      <c r="L5653" s="213" t="s">
        <v>57575</v>
      </c>
      <c r="M5653" s="213" t="s">
        <v>57604</v>
      </c>
      <c r="N5653" s="213" t="s">
        <v>47188</v>
      </c>
      <c r="O5653" s="213" t="s">
        <v>47189</v>
      </c>
      <c r="P5653" s="213" t="s">
        <v>47190</v>
      </c>
      <c r="Q5653" s="213" t="s">
        <v>47191</v>
      </c>
      <c r="R5653" s="213" t="s">
        <v>47192</v>
      </c>
      <c r="S5653" s="213" t="s">
        <v>47193</v>
      </c>
      <c r="T5653" s="213" t="s">
        <v>47194</v>
      </c>
      <c r="U5653" s="213" t="s">
        <v>57633</v>
      </c>
    </row>
    <row r="5654" spans="1:21" x14ac:dyDescent="0.25">
      <c r="A5654" s="213" t="s">
        <v>327</v>
      </c>
      <c r="D5654" s="213" t="s">
        <v>47195</v>
      </c>
      <c r="E5654" s="213" t="s">
        <v>47196</v>
      </c>
      <c r="K5654" s="213" t="s">
        <v>57547</v>
      </c>
      <c r="L5654" s="213" t="s">
        <v>57576</v>
      </c>
      <c r="M5654" s="213" t="s">
        <v>57605</v>
      </c>
      <c r="N5654" s="213" t="s">
        <v>47197</v>
      </c>
      <c r="O5654" s="213" t="s">
        <v>47198</v>
      </c>
      <c r="P5654" s="213" t="s">
        <v>47199</v>
      </c>
      <c r="Q5654" s="213" t="s">
        <v>47200</v>
      </c>
      <c r="R5654" s="213" t="s">
        <v>47201</v>
      </c>
      <c r="S5654" s="213" t="s">
        <v>47202</v>
      </c>
      <c r="T5654" s="213" t="s">
        <v>47203</v>
      </c>
      <c r="U5654" s="213" t="s">
        <v>57634</v>
      </c>
    </row>
    <row r="5655" spans="1:21" x14ac:dyDescent="0.25">
      <c r="A5655" s="213" t="s">
        <v>327</v>
      </c>
      <c r="D5655" s="213" t="s">
        <v>47204</v>
      </c>
      <c r="E5655" s="213" t="s">
        <v>47205</v>
      </c>
      <c r="K5655" s="213" t="s">
        <v>57548</v>
      </c>
      <c r="L5655" s="213" t="s">
        <v>57577</v>
      </c>
      <c r="M5655" s="213" t="s">
        <v>57606</v>
      </c>
      <c r="N5655" s="213" t="s">
        <v>47206</v>
      </c>
      <c r="O5655" s="213" t="s">
        <v>47207</v>
      </c>
      <c r="P5655" s="213" t="s">
        <v>47208</v>
      </c>
      <c r="Q5655" s="213" t="s">
        <v>47209</v>
      </c>
      <c r="R5655" s="213" t="s">
        <v>47210</v>
      </c>
      <c r="S5655" s="213" t="s">
        <v>47211</v>
      </c>
      <c r="T5655" s="213" t="s">
        <v>47212</v>
      </c>
      <c r="U5655" s="213" t="s">
        <v>57635</v>
      </c>
    </row>
    <row r="5656" spans="1:21" x14ac:dyDescent="0.25">
      <c r="A5656" s="213" t="s">
        <v>327</v>
      </c>
      <c r="D5656" s="213" t="s">
        <v>47213</v>
      </c>
      <c r="E5656" s="213" t="s">
        <v>47214</v>
      </c>
      <c r="K5656" s="213" t="s">
        <v>57549</v>
      </c>
      <c r="L5656" s="213" t="s">
        <v>57578</v>
      </c>
      <c r="M5656" s="213" t="s">
        <v>57607</v>
      </c>
      <c r="N5656" s="213" t="s">
        <v>47215</v>
      </c>
      <c r="O5656" s="213" t="s">
        <v>47216</v>
      </c>
      <c r="P5656" s="213" t="s">
        <v>47217</v>
      </c>
      <c r="Q5656" s="213" t="s">
        <v>47218</v>
      </c>
      <c r="R5656" s="213" t="s">
        <v>47219</v>
      </c>
      <c r="S5656" s="213" t="s">
        <v>47220</v>
      </c>
      <c r="T5656" s="213" t="s">
        <v>47221</v>
      </c>
      <c r="U5656" s="213" t="s">
        <v>57636</v>
      </c>
    </row>
    <row r="5657" spans="1:21" x14ac:dyDescent="0.25">
      <c r="A5657" s="213" t="s">
        <v>327</v>
      </c>
      <c r="D5657" s="213" t="s">
        <v>47222</v>
      </c>
      <c r="E5657" s="213" t="s">
        <v>47223</v>
      </c>
      <c r="K5657" s="213" t="s">
        <v>57550</v>
      </c>
      <c r="L5657" s="213" t="s">
        <v>57579</v>
      </c>
      <c r="M5657" s="213" t="s">
        <v>57608</v>
      </c>
      <c r="N5657" s="213" t="s">
        <v>47224</v>
      </c>
      <c r="O5657" s="213" t="s">
        <v>47225</v>
      </c>
      <c r="P5657" s="213" t="s">
        <v>47226</v>
      </c>
      <c r="Q5657" s="213" t="s">
        <v>47227</v>
      </c>
      <c r="R5657" s="213" t="s">
        <v>47228</v>
      </c>
      <c r="S5657" s="213" t="s">
        <v>47229</v>
      </c>
      <c r="T5657" s="213" t="s">
        <v>47230</v>
      </c>
      <c r="U5657" s="213" t="s">
        <v>57637</v>
      </c>
    </row>
    <row r="5658" spans="1:21" x14ac:dyDescent="0.25">
      <c r="A5658" s="213" t="s">
        <v>327</v>
      </c>
      <c r="D5658" s="213" t="s">
        <v>47231</v>
      </c>
      <c r="E5658" s="213" t="s">
        <v>47232</v>
      </c>
      <c r="K5658" s="213" t="s">
        <v>57551</v>
      </c>
      <c r="L5658" s="213" t="s">
        <v>57580</v>
      </c>
      <c r="M5658" s="213" t="s">
        <v>57609</v>
      </c>
      <c r="N5658" s="213" t="s">
        <v>47233</v>
      </c>
      <c r="O5658" s="213" t="s">
        <v>47234</v>
      </c>
      <c r="P5658" s="213" t="s">
        <v>47235</v>
      </c>
      <c r="Q5658" s="213" t="s">
        <v>47236</v>
      </c>
      <c r="R5658" s="213" t="s">
        <v>47237</v>
      </c>
      <c r="S5658" s="213" t="s">
        <v>47238</v>
      </c>
      <c r="T5658" s="213" t="s">
        <v>47239</v>
      </c>
      <c r="U5658" s="213" t="s">
        <v>57638</v>
      </c>
    </row>
    <row r="5659" spans="1:21" x14ac:dyDescent="0.25">
      <c r="A5659" s="213" t="s">
        <v>327</v>
      </c>
      <c r="D5659" s="213" t="s">
        <v>47240</v>
      </c>
      <c r="E5659" s="213" t="s">
        <v>47241</v>
      </c>
      <c r="K5659" s="213" t="s">
        <v>57552</v>
      </c>
      <c r="L5659" s="213" t="s">
        <v>57581</v>
      </c>
      <c r="M5659" s="213" t="s">
        <v>57610</v>
      </c>
      <c r="N5659" s="213" t="s">
        <v>47242</v>
      </c>
      <c r="O5659" s="213" t="s">
        <v>47243</v>
      </c>
      <c r="P5659" s="213" t="s">
        <v>47244</v>
      </c>
      <c r="Q5659" s="213" t="s">
        <v>47245</v>
      </c>
      <c r="R5659" s="213" t="s">
        <v>47246</v>
      </c>
      <c r="S5659" s="213" t="s">
        <v>47247</v>
      </c>
      <c r="T5659" s="213" t="s">
        <v>47248</v>
      </c>
      <c r="U5659" s="213" t="s">
        <v>57639</v>
      </c>
    </row>
    <row r="5660" spans="1:21" x14ac:dyDescent="0.25">
      <c r="A5660" s="213" t="s">
        <v>327</v>
      </c>
      <c r="D5660" s="213" t="s">
        <v>47249</v>
      </c>
      <c r="E5660" s="213" t="s">
        <v>47250</v>
      </c>
      <c r="K5660" s="213" t="s">
        <v>57553</v>
      </c>
      <c r="L5660" s="213" t="s">
        <v>57582</v>
      </c>
      <c r="M5660" s="213" t="s">
        <v>57611</v>
      </c>
      <c r="N5660" s="213" t="s">
        <v>47251</v>
      </c>
      <c r="O5660" s="213" t="s">
        <v>47252</v>
      </c>
      <c r="P5660" s="213" t="s">
        <v>47253</v>
      </c>
      <c r="Q5660" s="213" t="s">
        <v>47254</v>
      </c>
      <c r="R5660" s="213" t="s">
        <v>47255</v>
      </c>
      <c r="S5660" s="213" t="s">
        <v>47256</v>
      </c>
      <c r="T5660" s="213" t="s">
        <v>47257</v>
      </c>
      <c r="U5660" s="213" t="s">
        <v>57640</v>
      </c>
    </row>
    <row r="5661" spans="1:21" x14ac:dyDescent="0.25">
      <c r="A5661" s="213" t="s">
        <v>327</v>
      </c>
      <c r="D5661" s="213" t="s">
        <v>47258</v>
      </c>
      <c r="E5661" s="213" t="s">
        <v>47259</v>
      </c>
      <c r="K5661" s="213" t="s">
        <v>57554</v>
      </c>
      <c r="L5661" s="213" t="s">
        <v>57583</v>
      </c>
      <c r="M5661" s="213" t="s">
        <v>57612</v>
      </c>
      <c r="N5661" s="213" t="s">
        <v>47260</v>
      </c>
      <c r="O5661" s="213" t="s">
        <v>47261</v>
      </c>
      <c r="P5661" s="213" t="s">
        <v>47262</v>
      </c>
      <c r="Q5661" s="213" t="s">
        <v>47263</v>
      </c>
      <c r="R5661" s="213" t="s">
        <v>47264</v>
      </c>
      <c r="S5661" s="213" t="s">
        <v>47265</v>
      </c>
      <c r="T5661" s="213" t="s">
        <v>47266</v>
      </c>
      <c r="U5661" s="213" t="s">
        <v>57641</v>
      </c>
    </row>
    <row r="5662" spans="1:21" x14ac:dyDescent="0.25">
      <c r="A5662" s="213" t="s">
        <v>327</v>
      </c>
      <c r="D5662" s="213" t="s">
        <v>47267</v>
      </c>
      <c r="E5662" s="213" t="s">
        <v>47268</v>
      </c>
      <c r="K5662" s="213" t="s">
        <v>57555</v>
      </c>
      <c r="L5662" s="213" t="s">
        <v>57584</v>
      </c>
      <c r="M5662" s="213" t="s">
        <v>57613</v>
      </c>
      <c r="N5662" s="213" t="s">
        <v>47269</v>
      </c>
      <c r="O5662" s="213" t="s">
        <v>47270</v>
      </c>
      <c r="P5662" s="213" t="s">
        <v>47271</v>
      </c>
      <c r="Q5662" s="213" t="s">
        <v>47272</v>
      </c>
      <c r="R5662" s="213" t="s">
        <v>47273</v>
      </c>
      <c r="S5662" s="213" t="s">
        <v>47274</v>
      </c>
      <c r="T5662" s="213" t="s">
        <v>47275</v>
      </c>
      <c r="U5662" s="213" t="s">
        <v>57642</v>
      </c>
    </row>
    <row r="5663" spans="1:21" x14ac:dyDescent="0.25">
      <c r="A5663" s="213" t="s">
        <v>327</v>
      </c>
      <c r="D5663" s="213" t="s">
        <v>47276</v>
      </c>
      <c r="E5663" s="213" t="s">
        <v>47277</v>
      </c>
      <c r="K5663" s="213" t="s">
        <v>57556</v>
      </c>
      <c r="L5663" s="213" t="s">
        <v>57585</v>
      </c>
      <c r="M5663" s="213" t="s">
        <v>57614</v>
      </c>
      <c r="N5663" s="213" t="s">
        <v>47278</v>
      </c>
      <c r="O5663" s="213" t="s">
        <v>47279</v>
      </c>
      <c r="P5663" s="213" t="s">
        <v>47280</v>
      </c>
      <c r="Q5663" s="213" t="s">
        <v>47281</v>
      </c>
      <c r="R5663" s="213" t="s">
        <v>47282</v>
      </c>
      <c r="S5663" s="213" t="s">
        <v>47283</v>
      </c>
      <c r="T5663" s="213" t="s">
        <v>47284</v>
      </c>
      <c r="U5663" s="213" t="s">
        <v>57643</v>
      </c>
    </row>
    <row r="5664" spans="1:21" x14ac:dyDescent="0.25">
      <c r="A5664" s="213" t="s">
        <v>327</v>
      </c>
      <c r="D5664" s="213" t="s">
        <v>47285</v>
      </c>
      <c r="E5664" s="213" t="s">
        <v>47286</v>
      </c>
      <c r="K5664" s="213" t="s">
        <v>57557</v>
      </c>
      <c r="L5664" s="213" t="s">
        <v>57586</v>
      </c>
      <c r="M5664" s="213" t="s">
        <v>57615</v>
      </c>
      <c r="N5664" s="213" t="s">
        <v>47287</v>
      </c>
      <c r="O5664" s="213" t="s">
        <v>47288</v>
      </c>
      <c r="P5664" s="213" t="s">
        <v>47289</v>
      </c>
      <c r="Q5664" s="213" t="s">
        <v>47290</v>
      </c>
      <c r="R5664" s="213" t="s">
        <v>47291</v>
      </c>
      <c r="S5664" s="213" t="s">
        <v>47292</v>
      </c>
      <c r="T5664" s="213" t="s">
        <v>47293</v>
      </c>
      <c r="U5664" s="213" t="s">
        <v>57644</v>
      </c>
    </row>
    <row r="5665" spans="1:21" x14ac:dyDescent="0.25">
      <c r="A5665" s="213" t="s">
        <v>327</v>
      </c>
      <c r="D5665" s="213" t="s">
        <v>47294</v>
      </c>
      <c r="E5665" s="213" t="s">
        <v>47295</v>
      </c>
      <c r="K5665" s="213" t="s">
        <v>57558</v>
      </c>
      <c r="L5665" s="213" t="s">
        <v>57587</v>
      </c>
      <c r="M5665" s="213" t="s">
        <v>57616</v>
      </c>
      <c r="N5665" s="213" t="s">
        <v>47296</v>
      </c>
      <c r="O5665" s="213" t="s">
        <v>47297</v>
      </c>
      <c r="P5665" s="213" t="s">
        <v>47298</v>
      </c>
      <c r="Q5665" s="213" t="s">
        <v>47299</v>
      </c>
      <c r="R5665" s="213" t="s">
        <v>47300</v>
      </c>
      <c r="S5665" s="213" t="s">
        <v>47301</v>
      </c>
      <c r="T5665" s="213" t="s">
        <v>47302</v>
      </c>
      <c r="U5665" s="213" t="s">
        <v>57645</v>
      </c>
    </row>
    <row r="5666" spans="1:21" x14ac:dyDescent="0.25">
      <c r="A5666" s="213" t="s">
        <v>327</v>
      </c>
      <c r="D5666" s="213" t="s">
        <v>47303</v>
      </c>
      <c r="E5666" s="213" t="s">
        <v>47304</v>
      </c>
      <c r="K5666" s="213" t="s">
        <v>57559</v>
      </c>
      <c r="L5666" s="213" t="s">
        <v>57588</v>
      </c>
      <c r="M5666" s="213" t="s">
        <v>57617</v>
      </c>
      <c r="N5666" s="213" t="s">
        <v>47305</v>
      </c>
      <c r="O5666" s="213" t="s">
        <v>47306</v>
      </c>
      <c r="P5666" s="213" t="s">
        <v>47307</v>
      </c>
      <c r="Q5666" s="213" t="s">
        <v>47308</v>
      </c>
      <c r="R5666" s="213" t="s">
        <v>47309</v>
      </c>
      <c r="S5666" s="213" t="s">
        <v>47310</v>
      </c>
      <c r="T5666" s="213" t="s">
        <v>47311</v>
      </c>
      <c r="U5666" s="213" t="s">
        <v>57646</v>
      </c>
    </row>
    <row r="5667" spans="1:21" x14ac:dyDescent="0.25">
      <c r="A5667" s="213" t="s">
        <v>327</v>
      </c>
      <c r="D5667" s="213" t="s">
        <v>47312</v>
      </c>
      <c r="E5667" s="213" t="s">
        <v>47313</v>
      </c>
      <c r="K5667" s="213" t="s">
        <v>57560</v>
      </c>
      <c r="L5667" s="213" t="s">
        <v>57589</v>
      </c>
      <c r="M5667" s="213" t="s">
        <v>57618</v>
      </c>
      <c r="N5667" s="213" t="s">
        <v>47314</v>
      </c>
      <c r="O5667" s="213" t="s">
        <v>47315</v>
      </c>
      <c r="P5667" s="213" t="s">
        <v>47316</v>
      </c>
      <c r="Q5667" s="213" t="s">
        <v>47317</v>
      </c>
      <c r="R5667" s="213" t="s">
        <v>47318</v>
      </c>
      <c r="S5667" s="213" t="s">
        <v>47319</v>
      </c>
      <c r="T5667" s="213" t="s">
        <v>47320</v>
      </c>
      <c r="U5667" s="213" t="s">
        <v>57647</v>
      </c>
    </row>
    <row r="5668" spans="1:21" x14ac:dyDescent="0.25">
      <c r="A5668" s="213" t="s">
        <v>327</v>
      </c>
      <c r="D5668" s="213" t="s">
        <v>47321</v>
      </c>
      <c r="E5668" s="213" t="s">
        <v>47322</v>
      </c>
      <c r="K5668" s="213" t="s">
        <v>57561</v>
      </c>
      <c r="L5668" s="213" t="s">
        <v>57590</v>
      </c>
      <c r="M5668" s="213" t="s">
        <v>57619</v>
      </c>
      <c r="N5668" s="213" t="s">
        <v>47323</v>
      </c>
      <c r="O5668" s="213" t="s">
        <v>47324</v>
      </c>
      <c r="P5668" s="213" t="s">
        <v>47325</v>
      </c>
      <c r="Q5668" s="213" t="s">
        <v>47326</v>
      </c>
      <c r="R5668" s="213" t="s">
        <v>47327</v>
      </c>
      <c r="S5668" s="213" t="s">
        <v>47328</v>
      </c>
      <c r="T5668" s="213" t="s">
        <v>47329</v>
      </c>
      <c r="U5668" s="213" t="s">
        <v>57648</v>
      </c>
    </row>
    <row r="5669" spans="1:21" x14ac:dyDescent="0.25">
      <c r="A5669" s="213" t="s">
        <v>327</v>
      </c>
      <c r="D5669" s="213" t="s">
        <v>47330</v>
      </c>
      <c r="E5669" s="213" t="s">
        <v>47331</v>
      </c>
      <c r="K5669" s="213" t="s">
        <v>57562</v>
      </c>
      <c r="L5669" s="213" t="s">
        <v>57591</v>
      </c>
      <c r="M5669" s="213" t="s">
        <v>57620</v>
      </c>
      <c r="N5669" s="213" t="s">
        <v>47332</v>
      </c>
      <c r="O5669" s="213" t="s">
        <v>47333</v>
      </c>
      <c r="P5669" s="213" t="s">
        <v>47334</v>
      </c>
      <c r="Q5669" s="213" t="s">
        <v>47335</v>
      </c>
      <c r="R5669" s="213" t="s">
        <v>47336</v>
      </c>
      <c r="S5669" s="213" t="s">
        <v>47337</v>
      </c>
      <c r="T5669" s="213" t="s">
        <v>47338</v>
      </c>
      <c r="U5669" s="213" t="s">
        <v>57649</v>
      </c>
    </row>
    <row r="5670" spans="1:21" x14ac:dyDescent="0.25">
      <c r="A5670" s="213" t="s">
        <v>327</v>
      </c>
      <c r="D5670" s="213" t="s">
        <v>47339</v>
      </c>
      <c r="E5670" s="213" t="s">
        <v>47340</v>
      </c>
      <c r="K5670" s="213" t="s">
        <v>57563</v>
      </c>
      <c r="L5670" s="213" t="s">
        <v>57592</v>
      </c>
      <c r="M5670" s="213" t="s">
        <v>57621</v>
      </c>
      <c r="N5670" s="213" t="s">
        <v>47341</v>
      </c>
      <c r="O5670" s="213" t="s">
        <v>47342</v>
      </c>
      <c r="P5670" s="213" t="s">
        <v>47343</v>
      </c>
      <c r="Q5670" s="213" t="s">
        <v>47344</v>
      </c>
      <c r="R5670" s="213" t="s">
        <v>47345</v>
      </c>
      <c r="S5670" s="213" t="s">
        <v>47346</v>
      </c>
      <c r="T5670" s="213" t="s">
        <v>47347</v>
      </c>
      <c r="U5670" s="213" t="s">
        <v>57650</v>
      </c>
    </row>
    <row r="5671" spans="1:21" x14ac:dyDescent="0.25">
      <c r="A5671" s="213" t="s">
        <v>327</v>
      </c>
      <c r="D5671" s="213" t="s">
        <v>47348</v>
      </c>
      <c r="E5671" s="213" t="s">
        <v>47349</v>
      </c>
      <c r="K5671" s="213" t="s">
        <v>57564</v>
      </c>
      <c r="L5671" s="213" t="s">
        <v>57593</v>
      </c>
      <c r="M5671" s="213" t="s">
        <v>57622</v>
      </c>
      <c r="N5671" s="213" t="s">
        <v>47350</v>
      </c>
      <c r="O5671" s="213" t="s">
        <v>47351</v>
      </c>
      <c r="P5671" s="213" t="s">
        <v>47352</v>
      </c>
      <c r="Q5671" s="213" t="s">
        <v>47353</v>
      </c>
      <c r="R5671" s="213" t="s">
        <v>47354</v>
      </c>
      <c r="S5671" s="213" t="s">
        <v>47355</v>
      </c>
      <c r="T5671" s="213" t="s">
        <v>47356</v>
      </c>
      <c r="U5671" s="213" t="s">
        <v>57651</v>
      </c>
    </row>
    <row r="5672" spans="1:21" x14ac:dyDescent="0.25">
      <c r="A5672" s="213" t="s">
        <v>327</v>
      </c>
      <c r="D5672" s="213" t="s">
        <v>47357</v>
      </c>
      <c r="E5672" s="213" t="s">
        <v>47358</v>
      </c>
      <c r="K5672" s="213" t="s">
        <v>57565</v>
      </c>
      <c r="L5672" s="213" t="s">
        <v>57594</v>
      </c>
      <c r="M5672" s="213" t="s">
        <v>57623</v>
      </c>
      <c r="N5672" s="213" t="s">
        <v>47359</v>
      </c>
      <c r="O5672" s="213" t="s">
        <v>47360</v>
      </c>
      <c r="P5672" s="213" t="s">
        <v>47361</v>
      </c>
      <c r="Q5672" s="213" t="s">
        <v>47362</v>
      </c>
      <c r="R5672" s="213" t="s">
        <v>47363</v>
      </c>
      <c r="S5672" s="213" t="s">
        <v>47364</v>
      </c>
      <c r="T5672" s="213" t="s">
        <v>47365</v>
      </c>
      <c r="U5672" s="213" t="s">
        <v>57652</v>
      </c>
    </row>
    <row r="5673" spans="1:21" x14ac:dyDescent="0.25">
      <c r="A5673" s="213" t="s">
        <v>327</v>
      </c>
      <c r="D5673" s="213" t="s">
        <v>47366</v>
      </c>
      <c r="E5673" s="213" t="s">
        <v>47367</v>
      </c>
      <c r="K5673" s="213" t="s">
        <v>57566</v>
      </c>
      <c r="L5673" s="213" t="s">
        <v>57595</v>
      </c>
      <c r="M5673" s="213" t="s">
        <v>57624</v>
      </c>
      <c r="N5673" s="213" t="s">
        <v>47368</v>
      </c>
      <c r="O5673" s="213" t="s">
        <v>47369</v>
      </c>
      <c r="P5673" s="213" t="s">
        <v>47370</v>
      </c>
      <c r="Q5673" s="213" t="s">
        <v>47371</v>
      </c>
      <c r="R5673" s="213" t="s">
        <v>47372</v>
      </c>
      <c r="S5673" s="213" t="s">
        <v>47373</v>
      </c>
      <c r="T5673" s="213" t="s">
        <v>47374</v>
      </c>
      <c r="U5673" s="213" t="s">
        <v>57653</v>
      </c>
    </row>
    <row r="5674" spans="1:21" x14ac:dyDescent="0.25">
      <c r="A5674" s="213" t="s">
        <v>327</v>
      </c>
    </row>
    <row r="5675" spans="1:21" x14ac:dyDescent="0.25">
      <c r="A5675" s="213" t="s">
        <v>327</v>
      </c>
    </row>
    <row r="5676" spans="1:21" x14ac:dyDescent="0.25">
      <c r="A5676" s="213" t="s">
        <v>327</v>
      </c>
      <c r="C5676" s="213" t="s">
        <v>47375</v>
      </c>
      <c r="E5676" s="213" t="s">
        <v>47376</v>
      </c>
      <c r="H5676" s="213" t="s">
        <v>47377</v>
      </c>
      <c r="I5676" s="213" t="s">
        <v>47378</v>
      </c>
      <c r="J5676" s="213" t="s">
        <v>47379</v>
      </c>
      <c r="L5676" s="213" t="s">
        <v>47380</v>
      </c>
      <c r="O5676" s="213" t="s">
        <v>47381</v>
      </c>
      <c r="P5676" s="213" t="s">
        <v>47382</v>
      </c>
      <c r="Q5676" s="213" t="s">
        <v>47383</v>
      </c>
      <c r="R5676" s="213" t="s">
        <v>47384</v>
      </c>
      <c r="S5676" s="213" t="s">
        <v>47385</v>
      </c>
      <c r="T5676" s="213" t="s">
        <v>47386</v>
      </c>
    </row>
    <row r="5677" spans="1:21" x14ac:dyDescent="0.25">
      <c r="A5677" s="213" t="s">
        <v>327</v>
      </c>
      <c r="C5677" s="213" t="s">
        <v>47387</v>
      </c>
      <c r="E5677" s="213" t="s">
        <v>47388</v>
      </c>
      <c r="I5677" s="213" t="s">
        <v>47389</v>
      </c>
    </row>
    <row r="5678" spans="1:21" x14ac:dyDescent="0.25">
      <c r="A5678" s="213" t="s">
        <v>327</v>
      </c>
      <c r="C5678" s="213" t="s">
        <v>47390</v>
      </c>
      <c r="E5678" s="213" t="s">
        <v>47391</v>
      </c>
      <c r="I5678" s="213" t="s">
        <v>47392</v>
      </c>
    </row>
    <row r="5679" spans="1:21" x14ac:dyDescent="0.25">
      <c r="A5679" s="213" t="s">
        <v>328</v>
      </c>
    </row>
    <row r="5680" spans="1:21" x14ac:dyDescent="0.25">
      <c r="A5680" s="213" t="s">
        <v>327</v>
      </c>
      <c r="D5680" s="213" t="s">
        <v>47393</v>
      </c>
      <c r="E5680" s="213" t="s">
        <v>47394</v>
      </c>
      <c r="K5680" s="213" t="s">
        <v>57382</v>
      </c>
      <c r="L5680" s="213" t="s">
        <v>57421</v>
      </c>
      <c r="M5680" s="213" t="s">
        <v>57460</v>
      </c>
      <c r="N5680" s="213" t="s">
        <v>47395</v>
      </c>
      <c r="O5680" s="213" t="s">
        <v>47396</v>
      </c>
      <c r="P5680" s="213" t="s">
        <v>47397</v>
      </c>
      <c r="Q5680" s="213" t="s">
        <v>47398</v>
      </c>
      <c r="R5680" s="213" t="s">
        <v>47399</v>
      </c>
      <c r="S5680" s="213" t="s">
        <v>47400</v>
      </c>
      <c r="T5680" s="213" t="s">
        <v>47401</v>
      </c>
      <c r="U5680" s="213" t="s">
        <v>57499</v>
      </c>
    </row>
    <row r="5681" spans="1:21" x14ac:dyDescent="0.25">
      <c r="A5681" s="213" t="s">
        <v>327</v>
      </c>
      <c r="D5681" s="213" t="s">
        <v>47402</v>
      </c>
      <c r="E5681" s="213" t="s">
        <v>47403</v>
      </c>
      <c r="K5681" s="213" t="s">
        <v>57383</v>
      </c>
      <c r="L5681" s="213" t="s">
        <v>57422</v>
      </c>
      <c r="M5681" s="213" t="s">
        <v>57461</v>
      </c>
      <c r="N5681" s="213" t="s">
        <v>47404</v>
      </c>
      <c r="O5681" s="213" t="s">
        <v>47405</v>
      </c>
      <c r="P5681" s="213" t="s">
        <v>47406</v>
      </c>
      <c r="Q5681" s="213" t="s">
        <v>47407</v>
      </c>
      <c r="R5681" s="213" t="s">
        <v>47408</v>
      </c>
      <c r="S5681" s="213" t="s">
        <v>47409</v>
      </c>
      <c r="T5681" s="213" t="s">
        <v>47410</v>
      </c>
      <c r="U5681" s="213" t="s">
        <v>57500</v>
      </c>
    </row>
    <row r="5682" spans="1:21" x14ac:dyDescent="0.25">
      <c r="A5682" s="213" t="s">
        <v>327</v>
      </c>
      <c r="D5682" s="213" t="s">
        <v>47411</v>
      </c>
      <c r="E5682" s="213" t="s">
        <v>47412</v>
      </c>
      <c r="K5682" s="213" t="s">
        <v>57384</v>
      </c>
      <c r="L5682" s="213" t="s">
        <v>57423</v>
      </c>
      <c r="M5682" s="213" t="s">
        <v>57462</v>
      </c>
      <c r="N5682" s="213" t="s">
        <v>47413</v>
      </c>
      <c r="O5682" s="213" t="s">
        <v>47414</v>
      </c>
      <c r="P5682" s="213" t="s">
        <v>47415</v>
      </c>
      <c r="Q5682" s="213" t="s">
        <v>47416</v>
      </c>
      <c r="R5682" s="213" t="s">
        <v>47417</v>
      </c>
      <c r="S5682" s="213" t="s">
        <v>47418</v>
      </c>
      <c r="T5682" s="213" t="s">
        <v>47419</v>
      </c>
      <c r="U5682" s="213" t="s">
        <v>57501</v>
      </c>
    </row>
    <row r="5683" spans="1:21" x14ac:dyDescent="0.25">
      <c r="A5683" s="213" t="s">
        <v>327</v>
      </c>
      <c r="D5683" s="213" t="s">
        <v>47420</v>
      </c>
      <c r="E5683" s="213" t="s">
        <v>47421</v>
      </c>
      <c r="K5683" s="213" t="s">
        <v>57385</v>
      </c>
      <c r="L5683" s="213" t="s">
        <v>57424</v>
      </c>
      <c r="M5683" s="213" t="s">
        <v>57463</v>
      </c>
      <c r="N5683" s="213" t="s">
        <v>47422</v>
      </c>
      <c r="O5683" s="213" t="s">
        <v>47423</v>
      </c>
      <c r="P5683" s="213" t="s">
        <v>47424</v>
      </c>
      <c r="Q5683" s="213" t="s">
        <v>47425</v>
      </c>
      <c r="R5683" s="213" t="s">
        <v>47426</v>
      </c>
      <c r="S5683" s="213" t="s">
        <v>47427</v>
      </c>
      <c r="T5683" s="213" t="s">
        <v>47428</v>
      </c>
      <c r="U5683" s="213" t="s">
        <v>57502</v>
      </c>
    </row>
    <row r="5684" spans="1:21" x14ac:dyDescent="0.25">
      <c r="A5684" s="213" t="s">
        <v>327</v>
      </c>
      <c r="D5684" s="213" t="s">
        <v>47429</v>
      </c>
      <c r="E5684" s="213" t="s">
        <v>47430</v>
      </c>
      <c r="K5684" s="213" t="s">
        <v>57386</v>
      </c>
      <c r="L5684" s="213" t="s">
        <v>57425</v>
      </c>
      <c r="M5684" s="213" t="s">
        <v>57464</v>
      </c>
      <c r="N5684" s="213" t="s">
        <v>47431</v>
      </c>
      <c r="O5684" s="213" t="s">
        <v>47432</v>
      </c>
      <c r="P5684" s="213" t="s">
        <v>47433</v>
      </c>
      <c r="Q5684" s="213" t="s">
        <v>47434</v>
      </c>
      <c r="R5684" s="213" t="s">
        <v>47435</v>
      </c>
      <c r="S5684" s="213" t="s">
        <v>47436</v>
      </c>
      <c r="T5684" s="213" t="s">
        <v>47437</v>
      </c>
      <c r="U5684" s="213" t="s">
        <v>57503</v>
      </c>
    </row>
    <row r="5685" spans="1:21" x14ac:dyDescent="0.25">
      <c r="A5685" s="213" t="s">
        <v>327</v>
      </c>
      <c r="D5685" s="213" t="s">
        <v>47438</v>
      </c>
      <c r="E5685" s="213" t="s">
        <v>47439</v>
      </c>
      <c r="K5685" s="213" t="s">
        <v>57387</v>
      </c>
      <c r="L5685" s="213" t="s">
        <v>57426</v>
      </c>
      <c r="M5685" s="213" t="s">
        <v>57465</v>
      </c>
      <c r="N5685" s="213" t="s">
        <v>47440</v>
      </c>
      <c r="O5685" s="213" t="s">
        <v>47441</v>
      </c>
      <c r="P5685" s="213" t="s">
        <v>47442</v>
      </c>
      <c r="Q5685" s="213" t="s">
        <v>47443</v>
      </c>
      <c r="R5685" s="213" t="s">
        <v>47444</v>
      </c>
      <c r="S5685" s="213" t="s">
        <v>47445</v>
      </c>
      <c r="T5685" s="213" t="s">
        <v>47446</v>
      </c>
      <c r="U5685" s="213" t="s">
        <v>57504</v>
      </c>
    </row>
    <row r="5686" spans="1:21" x14ac:dyDescent="0.25">
      <c r="A5686" s="213" t="s">
        <v>327</v>
      </c>
      <c r="D5686" s="213" t="s">
        <v>47447</v>
      </c>
      <c r="E5686" s="213" t="s">
        <v>47448</v>
      </c>
      <c r="K5686" s="213" t="s">
        <v>57388</v>
      </c>
      <c r="L5686" s="213" t="s">
        <v>57427</v>
      </c>
      <c r="M5686" s="213" t="s">
        <v>57466</v>
      </c>
      <c r="N5686" s="213" t="s">
        <v>47449</v>
      </c>
      <c r="O5686" s="213" t="s">
        <v>47450</v>
      </c>
      <c r="P5686" s="213" t="s">
        <v>47451</v>
      </c>
      <c r="Q5686" s="213" t="s">
        <v>47452</v>
      </c>
      <c r="R5686" s="213" t="s">
        <v>47453</v>
      </c>
      <c r="S5686" s="213" t="s">
        <v>47454</v>
      </c>
      <c r="T5686" s="213" t="s">
        <v>47455</v>
      </c>
      <c r="U5686" s="213" t="s">
        <v>57505</v>
      </c>
    </row>
    <row r="5687" spans="1:21" x14ac:dyDescent="0.25">
      <c r="A5687" s="213" t="s">
        <v>327</v>
      </c>
      <c r="D5687" s="213" t="s">
        <v>47456</v>
      </c>
      <c r="E5687" s="213" t="s">
        <v>47457</v>
      </c>
      <c r="K5687" s="213" t="s">
        <v>57389</v>
      </c>
      <c r="L5687" s="213" t="s">
        <v>57428</v>
      </c>
      <c r="M5687" s="213" t="s">
        <v>57467</v>
      </c>
      <c r="N5687" s="213" t="s">
        <v>47458</v>
      </c>
      <c r="O5687" s="213" t="s">
        <v>47459</v>
      </c>
      <c r="P5687" s="213" t="s">
        <v>47460</v>
      </c>
      <c r="Q5687" s="213" t="s">
        <v>47461</v>
      </c>
      <c r="R5687" s="213" t="s">
        <v>47462</v>
      </c>
      <c r="S5687" s="213" t="s">
        <v>47463</v>
      </c>
      <c r="T5687" s="213" t="s">
        <v>47464</v>
      </c>
      <c r="U5687" s="213" t="s">
        <v>57506</v>
      </c>
    </row>
    <row r="5688" spans="1:21" x14ac:dyDescent="0.25">
      <c r="A5688" s="213" t="s">
        <v>327</v>
      </c>
      <c r="D5688" s="213" t="s">
        <v>47465</v>
      </c>
      <c r="E5688" s="213" t="s">
        <v>47466</v>
      </c>
      <c r="K5688" s="213" t="s">
        <v>57390</v>
      </c>
      <c r="L5688" s="213" t="s">
        <v>57429</v>
      </c>
      <c r="M5688" s="213" t="s">
        <v>57468</v>
      </c>
      <c r="N5688" s="213" t="s">
        <v>47467</v>
      </c>
      <c r="O5688" s="213" t="s">
        <v>47468</v>
      </c>
      <c r="P5688" s="213" t="s">
        <v>47469</v>
      </c>
      <c r="Q5688" s="213" t="s">
        <v>47470</v>
      </c>
      <c r="R5688" s="213" t="s">
        <v>47471</v>
      </c>
      <c r="S5688" s="213" t="s">
        <v>47472</v>
      </c>
      <c r="T5688" s="213" t="s">
        <v>47473</v>
      </c>
      <c r="U5688" s="213" t="s">
        <v>57507</v>
      </c>
    </row>
    <row r="5689" spans="1:21" x14ac:dyDescent="0.25">
      <c r="A5689" s="213" t="s">
        <v>327</v>
      </c>
      <c r="D5689" s="213" t="s">
        <v>47474</v>
      </c>
      <c r="E5689" s="213" t="s">
        <v>47475</v>
      </c>
      <c r="K5689" s="213" t="s">
        <v>57391</v>
      </c>
      <c r="L5689" s="213" t="s">
        <v>57430</v>
      </c>
      <c r="M5689" s="213" t="s">
        <v>57469</v>
      </c>
      <c r="N5689" s="213" t="s">
        <v>47476</v>
      </c>
      <c r="O5689" s="213" t="s">
        <v>47477</v>
      </c>
      <c r="P5689" s="213" t="s">
        <v>47478</v>
      </c>
      <c r="Q5689" s="213" t="s">
        <v>47479</v>
      </c>
      <c r="R5689" s="213" t="s">
        <v>47480</v>
      </c>
      <c r="S5689" s="213" t="s">
        <v>47481</v>
      </c>
      <c r="T5689" s="213" t="s">
        <v>47482</v>
      </c>
      <c r="U5689" s="213" t="s">
        <v>57508</v>
      </c>
    </row>
    <row r="5690" spans="1:21" x14ac:dyDescent="0.25">
      <c r="A5690" s="213" t="s">
        <v>327</v>
      </c>
      <c r="D5690" s="213" t="s">
        <v>47483</v>
      </c>
      <c r="E5690" s="213" t="s">
        <v>47484</v>
      </c>
      <c r="K5690" s="213" t="s">
        <v>57392</v>
      </c>
      <c r="L5690" s="213" t="s">
        <v>57431</v>
      </c>
      <c r="M5690" s="213" t="s">
        <v>57470</v>
      </c>
      <c r="N5690" s="213" t="s">
        <v>47485</v>
      </c>
      <c r="O5690" s="213" t="s">
        <v>47486</v>
      </c>
      <c r="P5690" s="213" t="s">
        <v>47487</v>
      </c>
      <c r="Q5690" s="213" t="s">
        <v>47488</v>
      </c>
      <c r="R5690" s="213" t="s">
        <v>47489</v>
      </c>
      <c r="S5690" s="213" t="s">
        <v>47490</v>
      </c>
      <c r="T5690" s="213" t="s">
        <v>47491</v>
      </c>
      <c r="U5690" s="213" t="s">
        <v>57509</v>
      </c>
    </row>
    <row r="5691" spans="1:21" x14ac:dyDescent="0.25">
      <c r="A5691" s="213" t="s">
        <v>327</v>
      </c>
      <c r="D5691" s="213" t="s">
        <v>47492</v>
      </c>
      <c r="E5691" s="213" t="s">
        <v>47493</v>
      </c>
      <c r="K5691" s="213" t="s">
        <v>57393</v>
      </c>
      <c r="L5691" s="213" t="s">
        <v>57432</v>
      </c>
      <c r="M5691" s="213" t="s">
        <v>57471</v>
      </c>
      <c r="N5691" s="213" t="s">
        <v>47494</v>
      </c>
      <c r="O5691" s="213" t="s">
        <v>47495</v>
      </c>
      <c r="P5691" s="213" t="s">
        <v>47496</v>
      </c>
      <c r="Q5691" s="213" t="s">
        <v>47497</v>
      </c>
      <c r="R5691" s="213" t="s">
        <v>47498</v>
      </c>
      <c r="S5691" s="213" t="s">
        <v>47499</v>
      </c>
      <c r="T5691" s="213" t="s">
        <v>47500</v>
      </c>
      <c r="U5691" s="213" t="s">
        <v>57510</v>
      </c>
    </row>
    <row r="5692" spans="1:21" x14ac:dyDescent="0.25">
      <c r="A5692" s="213" t="s">
        <v>327</v>
      </c>
      <c r="D5692" s="213" t="s">
        <v>47501</v>
      </c>
      <c r="E5692" s="213" t="s">
        <v>47502</v>
      </c>
      <c r="K5692" s="213" t="s">
        <v>57394</v>
      </c>
      <c r="L5692" s="213" t="s">
        <v>57433</v>
      </c>
      <c r="M5692" s="213" t="s">
        <v>57472</v>
      </c>
      <c r="N5692" s="213" t="s">
        <v>47503</v>
      </c>
      <c r="O5692" s="213" t="s">
        <v>47504</v>
      </c>
      <c r="P5692" s="213" t="s">
        <v>47505</v>
      </c>
      <c r="Q5692" s="213" t="s">
        <v>47506</v>
      </c>
      <c r="R5692" s="213" t="s">
        <v>47507</v>
      </c>
      <c r="S5692" s="213" t="s">
        <v>47508</v>
      </c>
      <c r="T5692" s="213" t="s">
        <v>47509</v>
      </c>
      <c r="U5692" s="213" t="s">
        <v>57511</v>
      </c>
    </row>
    <row r="5693" spans="1:21" x14ac:dyDescent="0.25">
      <c r="A5693" s="213" t="s">
        <v>327</v>
      </c>
      <c r="D5693" s="213" t="s">
        <v>47510</v>
      </c>
      <c r="E5693" s="213" t="s">
        <v>47511</v>
      </c>
      <c r="K5693" s="213" t="s">
        <v>57395</v>
      </c>
      <c r="L5693" s="213" t="s">
        <v>57434</v>
      </c>
      <c r="M5693" s="213" t="s">
        <v>57473</v>
      </c>
      <c r="N5693" s="213" t="s">
        <v>47512</v>
      </c>
      <c r="O5693" s="213" t="s">
        <v>47513</v>
      </c>
      <c r="P5693" s="213" t="s">
        <v>47514</v>
      </c>
      <c r="Q5693" s="213" t="s">
        <v>47515</v>
      </c>
      <c r="R5693" s="213" t="s">
        <v>47516</v>
      </c>
      <c r="S5693" s="213" t="s">
        <v>47517</v>
      </c>
      <c r="T5693" s="213" t="s">
        <v>47518</v>
      </c>
      <c r="U5693" s="213" t="s">
        <v>57512</v>
      </c>
    </row>
    <row r="5694" spans="1:21" x14ac:dyDescent="0.25">
      <c r="A5694" s="213" t="s">
        <v>327</v>
      </c>
      <c r="D5694" s="213" t="s">
        <v>47519</v>
      </c>
      <c r="E5694" s="213" t="s">
        <v>47520</v>
      </c>
      <c r="K5694" s="213" t="s">
        <v>57396</v>
      </c>
      <c r="L5694" s="213" t="s">
        <v>57435</v>
      </c>
      <c r="M5694" s="213" t="s">
        <v>57474</v>
      </c>
      <c r="N5694" s="213" t="s">
        <v>47521</v>
      </c>
      <c r="O5694" s="213" t="s">
        <v>47522</v>
      </c>
      <c r="P5694" s="213" t="s">
        <v>47523</v>
      </c>
      <c r="Q5694" s="213" t="s">
        <v>47524</v>
      </c>
      <c r="R5694" s="213" t="s">
        <v>47525</v>
      </c>
      <c r="S5694" s="213" t="s">
        <v>47526</v>
      </c>
      <c r="T5694" s="213" t="s">
        <v>47527</v>
      </c>
      <c r="U5694" s="213" t="s">
        <v>57513</v>
      </c>
    </row>
    <row r="5695" spans="1:21" x14ac:dyDescent="0.25">
      <c r="A5695" s="213" t="s">
        <v>327</v>
      </c>
      <c r="D5695" s="213" t="s">
        <v>47528</v>
      </c>
      <c r="E5695" s="213" t="s">
        <v>47529</v>
      </c>
      <c r="K5695" s="213" t="s">
        <v>57397</v>
      </c>
      <c r="L5695" s="213" t="s">
        <v>57436</v>
      </c>
      <c r="M5695" s="213" t="s">
        <v>57475</v>
      </c>
      <c r="N5695" s="213" t="s">
        <v>47530</v>
      </c>
      <c r="O5695" s="213" t="s">
        <v>47531</v>
      </c>
      <c r="P5695" s="213" t="s">
        <v>47532</v>
      </c>
      <c r="Q5695" s="213" t="s">
        <v>47533</v>
      </c>
      <c r="R5695" s="213" t="s">
        <v>47534</v>
      </c>
      <c r="S5695" s="213" t="s">
        <v>47535</v>
      </c>
      <c r="T5695" s="213" t="s">
        <v>47536</v>
      </c>
      <c r="U5695" s="213" t="s">
        <v>57514</v>
      </c>
    </row>
    <row r="5696" spans="1:21" x14ac:dyDescent="0.25">
      <c r="A5696" s="213" t="s">
        <v>327</v>
      </c>
      <c r="D5696" s="213" t="s">
        <v>47537</v>
      </c>
      <c r="E5696" s="213" t="s">
        <v>47538</v>
      </c>
      <c r="K5696" s="213" t="s">
        <v>57398</v>
      </c>
      <c r="L5696" s="213" t="s">
        <v>57437</v>
      </c>
      <c r="M5696" s="213" t="s">
        <v>57476</v>
      </c>
      <c r="N5696" s="213" t="s">
        <v>47539</v>
      </c>
      <c r="O5696" s="213" t="s">
        <v>47540</v>
      </c>
      <c r="P5696" s="213" t="s">
        <v>47541</v>
      </c>
      <c r="Q5696" s="213" t="s">
        <v>47542</v>
      </c>
      <c r="R5696" s="213" t="s">
        <v>47543</v>
      </c>
      <c r="S5696" s="213" t="s">
        <v>47544</v>
      </c>
      <c r="T5696" s="213" t="s">
        <v>47545</v>
      </c>
      <c r="U5696" s="213" t="s">
        <v>57515</v>
      </c>
    </row>
    <row r="5697" spans="1:21" x14ac:dyDescent="0.25">
      <c r="A5697" s="213" t="s">
        <v>327</v>
      </c>
      <c r="D5697" s="213" t="s">
        <v>47546</v>
      </c>
      <c r="E5697" s="213" t="s">
        <v>47547</v>
      </c>
      <c r="K5697" s="213" t="s">
        <v>57399</v>
      </c>
      <c r="L5697" s="213" t="s">
        <v>57438</v>
      </c>
      <c r="M5697" s="213" t="s">
        <v>57477</v>
      </c>
      <c r="N5697" s="213" t="s">
        <v>47548</v>
      </c>
      <c r="O5697" s="213" t="s">
        <v>47549</v>
      </c>
      <c r="P5697" s="213" t="s">
        <v>47550</v>
      </c>
      <c r="Q5697" s="213" t="s">
        <v>47551</v>
      </c>
      <c r="R5697" s="213" t="s">
        <v>47552</v>
      </c>
      <c r="S5697" s="213" t="s">
        <v>47553</v>
      </c>
      <c r="T5697" s="213" t="s">
        <v>47554</v>
      </c>
      <c r="U5697" s="213" t="s">
        <v>57516</v>
      </c>
    </row>
    <row r="5698" spans="1:21" x14ac:dyDescent="0.25">
      <c r="A5698" s="213" t="s">
        <v>327</v>
      </c>
      <c r="D5698" s="213" t="s">
        <v>47555</v>
      </c>
      <c r="E5698" s="213" t="s">
        <v>47556</v>
      </c>
      <c r="K5698" s="213" t="s">
        <v>57400</v>
      </c>
      <c r="L5698" s="213" t="s">
        <v>57439</v>
      </c>
      <c r="M5698" s="213" t="s">
        <v>57478</v>
      </c>
      <c r="N5698" s="213" t="s">
        <v>47557</v>
      </c>
      <c r="O5698" s="213" t="s">
        <v>47558</v>
      </c>
      <c r="P5698" s="213" t="s">
        <v>47559</v>
      </c>
      <c r="Q5698" s="213" t="s">
        <v>47560</v>
      </c>
      <c r="R5698" s="213" t="s">
        <v>47561</v>
      </c>
      <c r="S5698" s="213" t="s">
        <v>47562</v>
      </c>
      <c r="T5698" s="213" t="s">
        <v>47563</v>
      </c>
      <c r="U5698" s="213" t="s">
        <v>57517</v>
      </c>
    </row>
    <row r="5699" spans="1:21" x14ac:dyDescent="0.25">
      <c r="A5699" s="213" t="s">
        <v>327</v>
      </c>
      <c r="D5699" s="213" t="s">
        <v>47564</v>
      </c>
      <c r="E5699" s="213" t="s">
        <v>47565</v>
      </c>
      <c r="K5699" s="213" t="s">
        <v>57401</v>
      </c>
      <c r="L5699" s="213" t="s">
        <v>57440</v>
      </c>
      <c r="M5699" s="213" t="s">
        <v>57479</v>
      </c>
      <c r="N5699" s="213" t="s">
        <v>47566</v>
      </c>
      <c r="O5699" s="213" t="s">
        <v>47567</v>
      </c>
      <c r="P5699" s="213" t="s">
        <v>47568</v>
      </c>
      <c r="Q5699" s="213" t="s">
        <v>47569</v>
      </c>
      <c r="R5699" s="213" t="s">
        <v>47570</v>
      </c>
      <c r="S5699" s="213" t="s">
        <v>47571</v>
      </c>
      <c r="T5699" s="213" t="s">
        <v>47572</v>
      </c>
      <c r="U5699" s="213" t="s">
        <v>57518</v>
      </c>
    </row>
    <row r="5700" spans="1:21" x14ac:dyDescent="0.25">
      <c r="A5700" s="213" t="s">
        <v>327</v>
      </c>
      <c r="D5700" s="213" t="s">
        <v>47573</v>
      </c>
      <c r="E5700" s="213" t="s">
        <v>47574</v>
      </c>
      <c r="K5700" s="213" t="s">
        <v>57402</v>
      </c>
      <c r="L5700" s="213" t="s">
        <v>57441</v>
      </c>
      <c r="M5700" s="213" t="s">
        <v>57480</v>
      </c>
      <c r="N5700" s="213" t="s">
        <v>47575</v>
      </c>
      <c r="O5700" s="213" t="s">
        <v>47576</v>
      </c>
      <c r="P5700" s="213" t="s">
        <v>47577</v>
      </c>
      <c r="Q5700" s="213" t="s">
        <v>47578</v>
      </c>
      <c r="R5700" s="213" t="s">
        <v>47579</v>
      </c>
      <c r="S5700" s="213" t="s">
        <v>47580</v>
      </c>
      <c r="T5700" s="213" t="s">
        <v>47581</v>
      </c>
      <c r="U5700" s="213" t="s">
        <v>57519</v>
      </c>
    </row>
    <row r="5701" spans="1:21" x14ac:dyDescent="0.25">
      <c r="A5701" s="213" t="s">
        <v>327</v>
      </c>
      <c r="D5701" s="213" t="s">
        <v>47582</v>
      </c>
      <c r="E5701" s="213" t="s">
        <v>47583</v>
      </c>
      <c r="K5701" s="213" t="s">
        <v>57403</v>
      </c>
      <c r="L5701" s="213" t="s">
        <v>57442</v>
      </c>
      <c r="M5701" s="213" t="s">
        <v>57481</v>
      </c>
      <c r="N5701" s="213" t="s">
        <v>47584</v>
      </c>
      <c r="O5701" s="213" t="s">
        <v>47585</v>
      </c>
      <c r="P5701" s="213" t="s">
        <v>47586</v>
      </c>
      <c r="Q5701" s="213" t="s">
        <v>47587</v>
      </c>
      <c r="R5701" s="213" t="s">
        <v>47588</v>
      </c>
      <c r="S5701" s="213" t="s">
        <v>47589</v>
      </c>
      <c r="T5701" s="213" t="s">
        <v>47590</v>
      </c>
      <c r="U5701" s="213" t="s">
        <v>57520</v>
      </c>
    </row>
    <row r="5702" spans="1:21" x14ac:dyDescent="0.25">
      <c r="A5702" s="213" t="s">
        <v>327</v>
      </c>
      <c r="D5702" s="213" t="s">
        <v>47591</v>
      </c>
      <c r="E5702" s="213" t="s">
        <v>47592</v>
      </c>
      <c r="K5702" s="213" t="s">
        <v>57404</v>
      </c>
      <c r="L5702" s="213" t="s">
        <v>57443</v>
      </c>
      <c r="M5702" s="213" t="s">
        <v>57482</v>
      </c>
      <c r="N5702" s="213" t="s">
        <v>47593</v>
      </c>
      <c r="O5702" s="213" t="s">
        <v>47594</v>
      </c>
      <c r="P5702" s="213" t="s">
        <v>47595</v>
      </c>
      <c r="Q5702" s="213" t="s">
        <v>47596</v>
      </c>
      <c r="R5702" s="213" t="s">
        <v>47597</v>
      </c>
      <c r="S5702" s="213" t="s">
        <v>47598</v>
      </c>
      <c r="T5702" s="213" t="s">
        <v>47599</v>
      </c>
      <c r="U5702" s="213" t="s">
        <v>57521</v>
      </c>
    </row>
    <row r="5703" spans="1:21" x14ac:dyDescent="0.25">
      <c r="A5703" s="213" t="s">
        <v>327</v>
      </c>
      <c r="D5703" s="213" t="s">
        <v>47600</v>
      </c>
      <c r="E5703" s="213" t="s">
        <v>47601</v>
      </c>
      <c r="K5703" s="213" t="s">
        <v>57405</v>
      </c>
      <c r="L5703" s="213" t="s">
        <v>57444</v>
      </c>
      <c r="M5703" s="213" t="s">
        <v>57483</v>
      </c>
      <c r="N5703" s="213" t="s">
        <v>47602</v>
      </c>
      <c r="O5703" s="213" t="s">
        <v>47603</v>
      </c>
      <c r="P5703" s="213" t="s">
        <v>47604</v>
      </c>
      <c r="Q5703" s="213" t="s">
        <v>47605</v>
      </c>
      <c r="R5703" s="213" t="s">
        <v>47606</v>
      </c>
      <c r="S5703" s="213" t="s">
        <v>47607</v>
      </c>
      <c r="T5703" s="213" t="s">
        <v>47608</v>
      </c>
      <c r="U5703" s="213" t="s">
        <v>57522</v>
      </c>
    </row>
    <row r="5704" spans="1:21" x14ac:dyDescent="0.25">
      <c r="A5704" s="213" t="s">
        <v>327</v>
      </c>
      <c r="D5704" s="213" t="s">
        <v>47609</v>
      </c>
      <c r="E5704" s="213" t="s">
        <v>47610</v>
      </c>
      <c r="K5704" s="213" t="s">
        <v>57406</v>
      </c>
      <c r="L5704" s="213" t="s">
        <v>57445</v>
      </c>
      <c r="M5704" s="213" t="s">
        <v>57484</v>
      </c>
      <c r="N5704" s="213" t="s">
        <v>47611</v>
      </c>
      <c r="O5704" s="213" t="s">
        <v>47612</v>
      </c>
      <c r="P5704" s="213" t="s">
        <v>47613</v>
      </c>
      <c r="Q5704" s="213" t="s">
        <v>47614</v>
      </c>
      <c r="R5704" s="213" t="s">
        <v>47615</v>
      </c>
      <c r="S5704" s="213" t="s">
        <v>47616</v>
      </c>
      <c r="T5704" s="213" t="s">
        <v>47617</v>
      </c>
      <c r="U5704" s="213" t="s">
        <v>57523</v>
      </c>
    </row>
    <row r="5705" spans="1:21" x14ac:dyDescent="0.25">
      <c r="A5705" s="213" t="s">
        <v>327</v>
      </c>
      <c r="D5705" s="213" t="s">
        <v>47618</v>
      </c>
      <c r="E5705" s="213" t="s">
        <v>47619</v>
      </c>
      <c r="K5705" s="213" t="s">
        <v>57407</v>
      </c>
      <c r="L5705" s="213" t="s">
        <v>57446</v>
      </c>
      <c r="M5705" s="213" t="s">
        <v>57485</v>
      </c>
      <c r="N5705" s="213" t="s">
        <v>47620</v>
      </c>
      <c r="O5705" s="213" t="s">
        <v>47621</v>
      </c>
      <c r="P5705" s="213" t="s">
        <v>47622</v>
      </c>
      <c r="Q5705" s="213" t="s">
        <v>47623</v>
      </c>
      <c r="R5705" s="213" t="s">
        <v>47624</v>
      </c>
      <c r="S5705" s="213" t="s">
        <v>47625</v>
      </c>
      <c r="T5705" s="213" t="s">
        <v>47626</v>
      </c>
      <c r="U5705" s="213" t="s">
        <v>57524</v>
      </c>
    </row>
    <row r="5706" spans="1:21" x14ac:dyDescent="0.25">
      <c r="A5706" s="213" t="s">
        <v>327</v>
      </c>
      <c r="D5706" s="213" t="s">
        <v>47627</v>
      </c>
      <c r="E5706" s="213" t="s">
        <v>47628</v>
      </c>
      <c r="K5706" s="213" t="s">
        <v>57408</v>
      </c>
      <c r="L5706" s="213" t="s">
        <v>57447</v>
      </c>
      <c r="M5706" s="213" t="s">
        <v>57486</v>
      </c>
      <c r="N5706" s="213" t="s">
        <v>47629</v>
      </c>
      <c r="O5706" s="213" t="s">
        <v>47630</v>
      </c>
      <c r="P5706" s="213" t="s">
        <v>47631</v>
      </c>
      <c r="Q5706" s="213" t="s">
        <v>47632</v>
      </c>
      <c r="R5706" s="213" t="s">
        <v>47633</v>
      </c>
      <c r="S5706" s="213" t="s">
        <v>47634</v>
      </c>
      <c r="T5706" s="213" t="s">
        <v>47635</v>
      </c>
      <c r="U5706" s="213" t="s">
        <v>57525</v>
      </c>
    </row>
    <row r="5707" spans="1:21" x14ac:dyDescent="0.25">
      <c r="A5707" s="213" t="s">
        <v>327</v>
      </c>
      <c r="D5707" s="213" t="s">
        <v>47636</v>
      </c>
      <c r="E5707" s="213" t="s">
        <v>47637</v>
      </c>
      <c r="K5707" s="213" t="s">
        <v>57409</v>
      </c>
      <c r="L5707" s="213" t="s">
        <v>57448</v>
      </c>
      <c r="M5707" s="213" t="s">
        <v>57487</v>
      </c>
      <c r="N5707" s="213" t="s">
        <v>47638</v>
      </c>
      <c r="O5707" s="213" t="s">
        <v>47639</v>
      </c>
      <c r="P5707" s="213" t="s">
        <v>47640</v>
      </c>
      <c r="Q5707" s="213" t="s">
        <v>47641</v>
      </c>
      <c r="R5707" s="213" t="s">
        <v>47642</v>
      </c>
      <c r="S5707" s="213" t="s">
        <v>47643</v>
      </c>
      <c r="T5707" s="213" t="s">
        <v>47644</v>
      </c>
      <c r="U5707" s="213" t="s">
        <v>57526</v>
      </c>
    </row>
    <row r="5708" spans="1:21" x14ac:dyDescent="0.25">
      <c r="A5708" s="213" t="s">
        <v>327</v>
      </c>
      <c r="D5708" s="213" t="s">
        <v>47645</v>
      </c>
      <c r="E5708" s="213" t="s">
        <v>47646</v>
      </c>
      <c r="K5708" s="213" t="s">
        <v>57410</v>
      </c>
      <c r="L5708" s="213" t="s">
        <v>57449</v>
      </c>
      <c r="M5708" s="213" t="s">
        <v>57488</v>
      </c>
      <c r="N5708" s="213" t="s">
        <v>47647</v>
      </c>
      <c r="O5708" s="213" t="s">
        <v>47648</v>
      </c>
      <c r="P5708" s="213" t="s">
        <v>47649</v>
      </c>
      <c r="Q5708" s="213" t="s">
        <v>47650</v>
      </c>
      <c r="R5708" s="213" t="s">
        <v>47651</v>
      </c>
      <c r="S5708" s="213" t="s">
        <v>47652</v>
      </c>
      <c r="T5708" s="213" t="s">
        <v>47653</v>
      </c>
      <c r="U5708" s="213" t="s">
        <v>57527</v>
      </c>
    </row>
    <row r="5709" spans="1:21" x14ac:dyDescent="0.25">
      <c r="A5709" s="213" t="s">
        <v>327</v>
      </c>
      <c r="D5709" s="213" t="s">
        <v>47654</v>
      </c>
      <c r="E5709" s="213" t="s">
        <v>47655</v>
      </c>
      <c r="K5709" s="213" t="s">
        <v>57411</v>
      </c>
      <c r="L5709" s="213" t="s">
        <v>57450</v>
      </c>
      <c r="M5709" s="213" t="s">
        <v>57489</v>
      </c>
      <c r="N5709" s="213" t="s">
        <v>47656</v>
      </c>
      <c r="O5709" s="213" t="s">
        <v>47657</v>
      </c>
      <c r="P5709" s="213" t="s">
        <v>47658</v>
      </c>
      <c r="Q5709" s="213" t="s">
        <v>47659</v>
      </c>
      <c r="R5709" s="213" t="s">
        <v>47660</v>
      </c>
      <c r="S5709" s="213" t="s">
        <v>47661</v>
      </c>
      <c r="T5709" s="213" t="s">
        <v>47662</v>
      </c>
      <c r="U5709" s="213" t="s">
        <v>57528</v>
      </c>
    </row>
    <row r="5710" spans="1:21" x14ac:dyDescent="0.25">
      <c r="A5710" s="213" t="s">
        <v>327</v>
      </c>
      <c r="D5710" s="213" t="s">
        <v>47663</v>
      </c>
      <c r="E5710" s="213" t="s">
        <v>47664</v>
      </c>
      <c r="K5710" s="213" t="s">
        <v>57412</v>
      </c>
      <c r="L5710" s="213" t="s">
        <v>57451</v>
      </c>
      <c r="M5710" s="213" t="s">
        <v>57490</v>
      </c>
      <c r="N5710" s="213" t="s">
        <v>47665</v>
      </c>
      <c r="O5710" s="213" t="s">
        <v>47666</v>
      </c>
      <c r="P5710" s="213" t="s">
        <v>47667</v>
      </c>
      <c r="Q5710" s="213" t="s">
        <v>47668</v>
      </c>
      <c r="R5710" s="213" t="s">
        <v>47669</v>
      </c>
      <c r="S5710" s="213" t="s">
        <v>47670</v>
      </c>
      <c r="T5710" s="213" t="s">
        <v>47671</v>
      </c>
      <c r="U5710" s="213" t="s">
        <v>57529</v>
      </c>
    </row>
    <row r="5711" spans="1:21" x14ac:dyDescent="0.25">
      <c r="A5711" s="213" t="s">
        <v>327</v>
      </c>
      <c r="D5711" s="213" t="s">
        <v>47672</v>
      </c>
      <c r="E5711" s="213" t="s">
        <v>47673</v>
      </c>
      <c r="K5711" s="213" t="s">
        <v>57413</v>
      </c>
      <c r="L5711" s="213" t="s">
        <v>57452</v>
      </c>
      <c r="M5711" s="213" t="s">
        <v>57491</v>
      </c>
      <c r="N5711" s="213" t="s">
        <v>47674</v>
      </c>
      <c r="O5711" s="213" t="s">
        <v>47675</v>
      </c>
      <c r="P5711" s="213" t="s">
        <v>47676</v>
      </c>
      <c r="Q5711" s="213" t="s">
        <v>47677</v>
      </c>
      <c r="R5711" s="213" t="s">
        <v>47678</v>
      </c>
      <c r="S5711" s="213" t="s">
        <v>47679</v>
      </c>
      <c r="T5711" s="213" t="s">
        <v>47680</v>
      </c>
      <c r="U5711" s="213" t="s">
        <v>57530</v>
      </c>
    </row>
    <row r="5712" spans="1:21" x14ac:dyDescent="0.25">
      <c r="A5712" s="213" t="s">
        <v>327</v>
      </c>
      <c r="D5712" s="213" t="s">
        <v>47681</v>
      </c>
      <c r="E5712" s="213" t="s">
        <v>47682</v>
      </c>
      <c r="K5712" s="213" t="s">
        <v>57414</v>
      </c>
      <c r="L5712" s="213" t="s">
        <v>57453</v>
      </c>
      <c r="M5712" s="213" t="s">
        <v>57492</v>
      </c>
      <c r="N5712" s="213" t="s">
        <v>47683</v>
      </c>
      <c r="O5712" s="213" t="s">
        <v>47684</v>
      </c>
      <c r="P5712" s="213" t="s">
        <v>47685</v>
      </c>
      <c r="Q5712" s="213" t="s">
        <v>47686</v>
      </c>
      <c r="R5712" s="213" t="s">
        <v>47687</v>
      </c>
      <c r="S5712" s="213" t="s">
        <v>47688</v>
      </c>
      <c r="T5712" s="213" t="s">
        <v>47689</v>
      </c>
      <c r="U5712" s="213" t="s">
        <v>57531</v>
      </c>
    </row>
    <row r="5713" spans="1:21" x14ac:dyDescent="0.25">
      <c r="A5713" s="213" t="s">
        <v>327</v>
      </c>
      <c r="D5713" s="213" t="s">
        <v>47690</v>
      </c>
      <c r="E5713" s="213" t="s">
        <v>47691</v>
      </c>
      <c r="K5713" s="213" t="s">
        <v>57415</v>
      </c>
      <c r="L5713" s="213" t="s">
        <v>57454</v>
      </c>
      <c r="M5713" s="213" t="s">
        <v>57493</v>
      </c>
      <c r="N5713" s="213" t="s">
        <v>47692</v>
      </c>
      <c r="O5713" s="213" t="s">
        <v>47693</v>
      </c>
      <c r="P5713" s="213" t="s">
        <v>47694</v>
      </c>
      <c r="Q5713" s="213" t="s">
        <v>47695</v>
      </c>
      <c r="R5713" s="213" t="s">
        <v>47696</v>
      </c>
      <c r="S5713" s="213" t="s">
        <v>47697</v>
      </c>
      <c r="T5713" s="213" t="s">
        <v>47698</v>
      </c>
      <c r="U5713" s="213" t="s">
        <v>57532</v>
      </c>
    </row>
    <row r="5714" spans="1:21" x14ac:dyDescent="0.25">
      <c r="A5714" s="213" t="s">
        <v>327</v>
      </c>
      <c r="D5714" s="213" t="s">
        <v>47699</v>
      </c>
      <c r="E5714" s="213" t="s">
        <v>47700</v>
      </c>
      <c r="K5714" s="213" t="s">
        <v>57416</v>
      </c>
      <c r="L5714" s="213" t="s">
        <v>57455</v>
      </c>
      <c r="M5714" s="213" t="s">
        <v>57494</v>
      </c>
      <c r="N5714" s="213" t="s">
        <v>47701</v>
      </c>
      <c r="O5714" s="213" t="s">
        <v>47702</v>
      </c>
      <c r="P5714" s="213" t="s">
        <v>47703</v>
      </c>
      <c r="Q5714" s="213" t="s">
        <v>47704</v>
      </c>
      <c r="R5714" s="213" t="s">
        <v>47705</v>
      </c>
      <c r="S5714" s="213" t="s">
        <v>47706</v>
      </c>
      <c r="T5714" s="213" t="s">
        <v>47707</v>
      </c>
      <c r="U5714" s="213" t="s">
        <v>57533</v>
      </c>
    </row>
    <row r="5715" spans="1:21" x14ac:dyDescent="0.25">
      <c r="A5715" s="213" t="s">
        <v>327</v>
      </c>
      <c r="D5715" s="213" t="s">
        <v>47708</v>
      </c>
      <c r="E5715" s="213" t="s">
        <v>47709</v>
      </c>
      <c r="K5715" s="213" t="s">
        <v>57417</v>
      </c>
      <c r="L5715" s="213" t="s">
        <v>57456</v>
      </c>
      <c r="M5715" s="213" t="s">
        <v>57495</v>
      </c>
      <c r="N5715" s="213" t="s">
        <v>47710</v>
      </c>
      <c r="O5715" s="213" t="s">
        <v>47711</v>
      </c>
      <c r="P5715" s="213" t="s">
        <v>47712</v>
      </c>
      <c r="Q5715" s="213" t="s">
        <v>47713</v>
      </c>
      <c r="R5715" s="213" t="s">
        <v>47714</v>
      </c>
      <c r="S5715" s="213" t="s">
        <v>47715</v>
      </c>
      <c r="T5715" s="213" t="s">
        <v>47716</v>
      </c>
      <c r="U5715" s="213" t="s">
        <v>57534</v>
      </c>
    </row>
    <row r="5716" spans="1:21" x14ac:dyDescent="0.25">
      <c r="A5716" s="213" t="s">
        <v>327</v>
      </c>
      <c r="D5716" s="213" t="s">
        <v>47717</v>
      </c>
      <c r="E5716" s="213" t="s">
        <v>47718</v>
      </c>
      <c r="K5716" s="213" t="s">
        <v>57418</v>
      </c>
      <c r="L5716" s="213" t="s">
        <v>57457</v>
      </c>
      <c r="M5716" s="213" t="s">
        <v>57496</v>
      </c>
      <c r="N5716" s="213" t="s">
        <v>47719</v>
      </c>
      <c r="O5716" s="213" t="s">
        <v>47720</v>
      </c>
      <c r="P5716" s="213" t="s">
        <v>47721</v>
      </c>
      <c r="Q5716" s="213" t="s">
        <v>47722</v>
      </c>
      <c r="R5716" s="213" t="s">
        <v>47723</v>
      </c>
      <c r="S5716" s="213" t="s">
        <v>47724</v>
      </c>
      <c r="T5716" s="213" t="s">
        <v>47725</v>
      </c>
      <c r="U5716" s="213" t="s">
        <v>57535</v>
      </c>
    </row>
    <row r="5717" spans="1:21" x14ac:dyDescent="0.25">
      <c r="A5717" s="213" t="s">
        <v>327</v>
      </c>
      <c r="D5717" s="213" t="s">
        <v>47726</v>
      </c>
      <c r="E5717" s="213" t="s">
        <v>47727</v>
      </c>
      <c r="K5717" s="213" t="s">
        <v>57419</v>
      </c>
      <c r="L5717" s="213" t="s">
        <v>57458</v>
      </c>
      <c r="M5717" s="213" t="s">
        <v>57497</v>
      </c>
      <c r="N5717" s="213" t="s">
        <v>47728</v>
      </c>
      <c r="O5717" s="213" t="s">
        <v>47729</v>
      </c>
      <c r="P5717" s="213" t="s">
        <v>47730</v>
      </c>
      <c r="Q5717" s="213" t="s">
        <v>47731</v>
      </c>
      <c r="R5717" s="213" t="s">
        <v>47732</v>
      </c>
      <c r="S5717" s="213" t="s">
        <v>47733</v>
      </c>
      <c r="T5717" s="213" t="s">
        <v>47734</v>
      </c>
      <c r="U5717" s="213" t="s">
        <v>57536</v>
      </c>
    </row>
    <row r="5718" spans="1:21" x14ac:dyDescent="0.25">
      <c r="A5718" s="213" t="s">
        <v>327</v>
      </c>
      <c r="D5718" s="213" t="s">
        <v>47735</v>
      </c>
      <c r="E5718" s="213" t="s">
        <v>47736</v>
      </c>
      <c r="K5718" s="213" t="s">
        <v>57420</v>
      </c>
      <c r="L5718" s="213" t="s">
        <v>57459</v>
      </c>
      <c r="M5718" s="213" t="s">
        <v>57498</v>
      </c>
      <c r="N5718" s="213" t="s">
        <v>47737</v>
      </c>
      <c r="O5718" s="213" t="s">
        <v>47738</v>
      </c>
      <c r="P5718" s="213" t="s">
        <v>47739</v>
      </c>
      <c r="Q5718" s="213" t="s">
        <v>47740</v>
      </c>
      <c r="R5718" s="213" t="s">
        <v>47741</v>
      </c>
      <c r="S5718" s="213" t="s">
        <v>47742</v>
      </c>
      <c r="T5718" s="213" t="s">
        <v>47743</v>
      </c>
      <c r="U5718" s="213" t="s">
        <v>57537</v>
      </c>
    </row>
    <row r="5719" spans="1:21" x14ac:dyDescent="0.25">
      <c r="A5719" s="213" t="s">
        <v>327</v>
      </c>
    </row>
    <row r="5720" spans="1:21" x14ac:dyDescent="0.25">
      <c r="A5720" s="213" t="s">
        <v>327</v>
      </c>
    </row>
    <row r="5721" spans="1:21" x14ac:dyDescent="0.25">
      <c r="A5721" s="213" t="s">
        <v>327</v>
      </c>
      <c r="C5721" s="213" t="s">
        <v>47744</v>
      </c>
      <c r="E5721" s="213" t="s">
        <v>47745</v>
      </c>
      <c r="H5721" s="213" t="s">
        <v>47746</v>
      </c>
      <c r="I5721" s="213" t="s">
        <v>47747</v>
      </c>
      <c r="J5721" s="213" t="s">
        <v>47748</v>
      </c>
      <c r="L5721" s="213" t="s">
        <v>47749</v>
      </c>
      <c r="O5721" s="213" t="s">
        <v>47750</v>
      </c>
      <c r="P5721" s="213" t="s">
        <v>47751</v>
      </c>
      <c r="Q5721" s="213" t="s">
        <v>47752</v>
      </c>
      <c r="R5721" s="213" t="s">
        <v>47753</v>
      </c>
      <c r="S5721" s="213" t="s">
        <v>47754</v>
      </c>
      <c r="T5721" s="213" t="s">
        <v>47755</v>
      </c>
    </row>
    <row r="5722" spans="1:21" x14ac:dyDescent="0.25">
      <c r="A5722" s="213" t="s">
        <v>327</v>
      </c>
      <c r="C5722" s="213" t="s">
        <v>47756</v>
      </c>
      <c r="E5722" s="213" t="s">
        <v>47757</v>
      </c>
      <c r="I5722" s="213" t="s">
        <v>47758</v>
      </c>
    </row>
    <row r="5723" spans="1:21" x14ac:dyDescent="0.25">
      <c r="A5723" s="213" t="s">
        <v>327</v>
      </c>
      <c r="C5723" s="213" t="s">
        <v>47759</v>
      </c>
      <c r="E5723" s="213" t="s">
        <v>47760</v>
      </c>
      <c r="I5723" s="213" t="s">
        <v>47761</v>
      </c>
    </row>
    <row r="5724" spans="1:21" x14ac:dyDescent="0.25">
      <c r="A5724" s="213" t="s">
        <v>328</v>
      </c>
    </row>
    <row r="5725" spans="1:21" x14ac:dyDescent="0.25">
      <c r="A5725" s="213" t="s">
        <v>327</v>
      </c>
      <c r="D5725" s="213" t="s">
        <v>47762</v>
      </c>
      <c r="E5725" s="213" t="s">
        <v>47763</v>
      </c>
      <c r="K5725" s="213" t="s">
        <v>57286</v>
      </c>
      <c r="L5725" s="213" t="s">
        <v>57310</v>
      </c>
      <c r="M5725" s="213" t="s">
        <v>57334</v>
      </c>
      <c r="N5725" s="213" t="s">
        <v>47764</v>
      </c>
      <c r="O5725" s="213" t="s">
        <v>47765</v>
      </c>
      <c r="P5725" s="213" t="s">
        <v>47766</v>
      </c>
      <c r="Q5725" s="213" t="s">
        <v>47767</v>
      </c>
      <c r="R5725" s="213" t="s">
        <v>47768</v>
      </c>
      <c r="S5725" s="213" t="s">
        <v>47769</v>
      </c>
      <c r="T5725" s="213" t="s">
        <v>47770</v>
      </c>
      <c r="U5725" s="213" t="s">
        <v>57358</v>
      </c>
    </row>
    <row r="5726" spans="1:21" x14ac:dyDescent="0.25">
      <c r="A5726" s="213" t="s">
        <v>327</v>
      </c>
      <c r="D5726" s="213" t="s">
        <v>47771</v>
      </c>
      <c r="E5726" s="213" t="s">
        <v>47772</v>
      </c>
      <c r="K5726" s="213" t="s">
        <v>57287</v>
      </c>
      <c r="L5726" s="213" t="s">
        <v>57311</v>
      </c>
      <c r="M5726" s="213" t="s">
        <v>57335</v>
      </c>
      <c r="N5726" s="213" t="s">
        <v>47773</v>
      </c>
      <c r="O5726" s="213" t="s">
        <v>47774</v>
      </c>
      <c r="P5726" s="213" t="s">
        <v>47775</v>
      </c>
      <c r="Q5726" s="213" t="s">
        <v>47776</v>
      </c>
      <c r="R5726" s="213" t="s">
        <v>47777</v>
      </c>
      <c r="S5726" s="213" t="s">
        <v>47778</v>
      </c>
      <c r="T5726" s="213" t="s">
        <v>47779</v>
      </c>
      <c r="U5726" s="213" t="s">
        <v>57359</v>
      </c>
    </row>
    <row r="5727" spans="1:21" x14ac:dyDescent="0.25">
      <c r="A5727" s="213" t="s">
        <v>327</v>
      </c>
      <c r="D5727" s="213" t="s">
        <v>47780</v>
      </c>
      <c r="E5727" s="213" t="s">
        <v>47781</v>
      </c>
      <c r="K5727" s="213" t="s">
        <v>57288</v>
      </c>
      <c r="L5727" s="213" t="s">
        <v>57312</v>
      </c>
      <c r="M5727" s="213" t="s">
        <v>57336</v>
      </c>
      <c r="N5727" s="213" t="s">
        <v>47782</v>
      </c>
      <c r="O5727" s="213" t="s">
        <v>47783</v>
      </c>
      <c r="P5727" s="213" t="s">
        <v>47784</v>
      </c>
      <c r="Q5727" s="213" t="s">
        <v>47785</v>
      </c>
      <c r="R5727" s="213" t="s">
        <v>47786</v>
      </c>
      <c r="S5727" s="213" t="s">
        <v>47787</v>
      </c>
      <c r="T5727" s="213" t="s">
        <v>47788</v>
      </c>
      <c r="U5727" s="213" t="s">
        <v>57360</v>
      </c>
    </row>
    <row r="5728" spans="1:21" x14ac:dyDescent="0.25">
      <c r="A5728" s="213" t="s">
        <v>327</v>
      </c>
      <c r="D5728" s="213" t="s">
        <v>47789</v>
      </c>
      <c r="E5728" s="213" t="s">
        <v>47790</v>
      </c>
      <c r="K5728" s="213" t="s">
        <v>57289</v>
      </c>
      <c r="L5728" s="213" t="s">
        <v>57313</v>
      </c>
      <c r="M5728" s="213" t="s">
        <v>57337</v>
      </c>
      <c r="N5728" s="213" t="s">
        <v>47791</v>
      </c>
      <c r="O5728" s="213" t="s">
        <v>47792</v>
      </c>
      <c r="P5728" s="213" t="s">
        <v>47793</v>
      </c>
      <c r="Q5728" s="213" t="s">
        <v>47794</v>
      </c>
      <c r="R5728" s="213" t="s">
        <v>47795</v>
      </c>
      <c r="S5728" s="213" t="s">
        <v>47796</v>
      </c>
      <c r="T5728" s="213" t="s">
        <v>47797</v>
      </c>
      <c r="U5728" s="213" t="s">
        <v>57361</v>
      </c>
    </row>
    <row r="5729" spans="1:21" x14ac:dyDescent="0.25">
      <c r="A5729" s="213" t="s">
        <v>327</v>
      </c>
      <c r="D5729" s="213" t="s">
        <v>47798</v>
      </c>
      <c r="E5729" s="213" t="s">
        <v>47799</v>
      </c>
      <c r="K5729" s="213" t="s">
        <v>57290</v>
      </c>
      <c r="L5729" s="213" t="s">
        <v>57314</v>
      </c>
      <c r="M5729" s="213" t="s">
        <v>57338</v>
      </c>
      <c r="N5729" s="213" t="s">
        <v>47800</v>
      </c>
      <c r="O5729" s="213" t="s">
        <v>47801</v>
      </c>
      <c r="P5729" s="213" t="s">
        <v>47802</v>
      </c>
      <c r="Q5729" s="213" t="s">
        <v>47803</v>
      </c>
      <c r="R5729" s="213" t="s">
        <v>47804</v>
      </c>
      <c r="S5729" s="213" t="s">
        <v>47805</v>
      </c>
      <c r="T5729" s="213" t="s">
        <v>47806</v>
      </c>
      <c r="U5729" s="213" t="s">
        <v>57362</v>
      </c>
    </row>
    <row r="5730" spans="1:21" x14ac:dyDescent="0.25">
      <c r="A5730" s="213" t="s">
        <v>327</v>
      </c>
      <c r="D5730" s="213" t="s">
        <v>47807</v>
      </c>
      <c r="E5730" s="213" t="s">
        <v>47808</v>
      </c>
      <c r="K5730" s="213" t="s">
        <v>57291</v>
      </c>
      <c r="L5730" s="213" t="s">
        <v>57315</v>
      </c>
      <c r="M5730" s="213" t="s">
        <v>57339</v>
      </c>
      <c r="N5730" s="213" t="s">
        <v>47809</v>
      </c>
      <c r="O5730" s="213" t="s">
        <v>47810</v>
      </c>
      <c r="P5730" s="213" t="s">
        <v>47811</v>
      </c>
      <c r="Q5730" s="213" t="s">
        <v>47812</v>
      </c>
      <c r="R5730" s="213" t="s">
        <v>47813</v>
      </c>
      <c r="S5730" s="213" t="s">
        <v>47814</v>
      </c>
      <c r="T5730" s="213" t="s">
        <v>47815</v>
      </c>
      <c r="U5730" s="213" t="s">
        <v>57363</v>
      </c>
    </row>
    <row r="5731" spans="1:21" x14ac:dyDescent="0.25">
      <c r="A5731" s="213" t="s">
        <v>327</v>
      </c>
      <c r="D5731" s="213" t="s">
        <v>47816</v>
      </c>
      <c r="E5731" s="213" t="s">
        <v>47817</v>
      </c>
      <c r="K5731" s="213" t="s">
        <v>57292</v>
      </c>
      <c r="L5731" s="213" t="s">
        <v>57316</v>
      </c>
      <c r="M5731" s="213" t="s">
        <v>57340</v>
      </c>
      <c r="N5731" s="213" t="s">
        <v>47818</v>
      </c>
      <c r="O5731" s="213" t="s">
        <v>47819</v>
      </c>
      <c r="P5731" s="213" t="s">
        <v>47820</v>
      </c>
      <c r="Q5731" s="213" t="s">
        <v>47821</v>
      </c>
      <c r="R5731" s="213" t="s">
        <v>47822</v>
      </c>
      <c r="S5731" s="213" t="s">
        <v>47823</v>
      </c>
      <c r="T5731" s="213" t="s">
        <v>47824</v>
      </c>
      <c r="U5731" s="213" t="s">
        <v>57364</v>
      </c>
    </row>
    <row r="5732" spans="1:21" x14ac:dyDescent="0.25">
      <c r="A5732" s="213" t="s">
        <v>327</v>
      </c>
      <c r="D5732" s="213" t="s">
        <v>47825</v>
      </c>
      <c r="E5732" s="213" t="s">
        <v>47826</v>
      </c>
      <c r="K5732" s="213" t="s">
        <v>57293</v>
      </c>
      <c r="L5732" s="213" t="s">
        <v>57317</v>
      </c>
      <c r="M5732" s="213" t="s">
        <v>57341</v>
      </c>
      <c r="N5732" s="213" t="s">
        <v>47827</v>
      </c>
      <c r="O5732" s="213" t="s">
        <v>47828</v>
      </c>
      <c r="P5732" s="213" t="s">
        <v>47829</v>
      </c>
      <c r="Q5732" s="213" t="s">
        <v>47830</v>
      </c>
      <c r="R5732" s="213" t="s">
        <v>47831</v>
      </c>
      <c r="S5732" s="213" t="s">
        <v>47832</v>
      </c>
      <c r="T5732" s="213" t="s">
        <v>47833</v>
      </c>
      <c r="U5732" s="213" t="s">
        <v>57365</v>
      </c>
    </row>
    <row r="5733" spans="1:21" x14ac:dyDescent="0.25">
      <c r="A5733" s="213" t="s">
        <v>327</v>
      </c>
      <c r="D5733" s="213" t="s">
        <v>47834</v>
      </c>
      <c r="E5733" s="213" t="s">
        <v>47835</v>
      </c>
      <c r="K5733" s="213" t="s">
        <v>57294</v>
      </c>
      <c r="L5733" s="213" t="s">
        <v>57318</v>
      </c>
      <c r="M5733" s="213" t="s">
        <v>57342</v>
      </c>
      <c r="N5733" s="213" t="s">
        <v>47836</v>
      </c>
      <c r="O5733" s="213" t="s">
        <v>47837</v>
      </c>
      <c r="P5733" s="213" t="s">
        <v>47838</v>
      </c>
      <c r="Q5733" s="213" t="s">
        <v>47839</v>
      </c>
      <c r="R5733" s="213" t="s">
        <v>47840</v>
      </c>
      <c r="S5733" s="213" t="s">
        <v>47841</v>
      </c>
      <c r="T5733" s="213" t="s">
        <v>47842</v>
      </c>
      <c r="U5733" s="213" t="s">
        <v>57366</v>
      </c>
    </row>
    <row r="5734" spans="1:21" x14ac:dyDescent="0.25">
      <c r="A5734" s="213" t="s">
        <v>327</v>
      </c>
      <c r="D5734" s="213" t="s">
        <v>47843</v>
      </c>
      <c r="E5734" s="213" t="s">
        <v>47844</v>
      </c>
      <c r="K5734" s="213" t="s">
        <v>57295</v>
      </c>
      <c r="L5734" s="213" t="s">
        <v>57319</v>
      </c>
      <c r="M5734" s="213" t="s">
        <v>57343</v>
      </c>
      <c r="N5734" s="213" t="s">
        <v>47845</v>
      </c>
      <c r="O5734" s="213" t="s">
        <v>47846</v>
      </c>
      <c r="P5734" s="213" t="s">
        <v>47847</v>
      </c>
      <c r="Q5734" s="213" t="s">
        <v>47848</v>
      </c>
      <c r="R5734" s="213" t="s">
        <v>47849</v>
      </c>
      <c r="S5734" s="213" t="s">
        <v>47850</v>
      </c>
      <c r="T5734" s="213" t="s">
        <v>47851</v>
      </c>
      <c r="U5734" s="213" t="s">
        <v>57367</v>
      </c>
    </row>
    <row r="5735" spans="1:21" x14ac:dyDescent="0.25">
      <c r="A5735" s="213" t="s">
        <v>327</v>
      </c>
      <c r="D5735" s="213" t="s">
        <v>47852</v>
      </c>
      <c r="E5735" s="213" t="s">
        <v>47853</v>
      </c>
      <c r="K5735" s="213" t="s">
        <v>57296</v>
      </c>
      <c r="L5735" s="213" t="s">
        <v>57320</v>
      </c>
      <c r="M5735" s="213" t="s">
        <v>57344</v>
      </c>
      <c r="N5735" s="213" t="s">
        <v>47854</v>
      </c>
      <c r="O5735" s="213" t="s">
        <v>47855</v>
      </c>
      <c r="P5735" s="213" t="s">
        <v>47856</v>
      </c>
      <c r="Q5735" s="213" t="s">
        <v>47857</v>
      </c>
      <c r="R5735" s="213" t="s">
        <v>47858</v>
      </c>
      <c r="S5735" s="213" t="s">
        <v>47859</v>
      </c>
      <c r="T5735" s="213" t="s">
        <v>47860</v>
      </c>
      <c r="U5735" s="213" t="s">
        <v>57368</v>
      </c>
    </row>
    <row r="5736" spans="1:21" x14ac:dyDescent="0.25">
      <c r="A5736" s="213" t="s">
        <v>327</v>
      </c>
      <c r="D5736" s="213" t="s">
        <v>47861</v>
      </c>
      <c r="E5736" s="213" t="s">
        <v>47862</v>
      </c>
      <c r="K5736" s="213" t="s">
        <v>57297</v>
      </c>
      <c r="L5736" s="213" t="s">
        <v>57321</v>
      </c>
      <c r="M5736" s="213" t="s">
        <v>57345</v>
      </c>
      <c r="N5736" s="213" t="s">
        <v>47863</v>
      </c>
      <c r="O5736" s="213" t="s">
        <v>47864</v>
      </c>
      <c r="P5736" s="213" t="s">
        <v>47865</v>
      </c>
      <c r="Q5736" s="213" t="s">
        <v>47866</v>
      </c>
      <c r="R5736" s="213" t="s">
        <v>47867</v>
      </c>
      <c r="S5736" s="213" t="s">
        <v>47868</v>
      </c>
      <c r="T5736" s="213" t="s">
        <v>47869</v>
      </c>
      <c r="U5736" s="213" t="s">
        <v>57369</v>
      </c>
    </row>
    <row r="5737" spans="1:21" x14ac:dyDescent="0.25">
      <c r="A5737" s="213" t="s">
        <v>327</v>
      </c>
      <c r="D5737" s="213" t="s">
        <v>47870</v>
      </c>
      <c r="E5737" s="213" t="s">
        <v>47871</v>
      </c>
      <c r="K5737" s="213" t="s">
        <v>57298</v>
      </c>
      <c r="L5737" s="213" t="s">
        <v>57322</v>
      </c>
      <c r="M5737" s="213" t="s">
        <v>57346</v>
      </c>
      <c r="N5737" s="213" t="s">
        <v>47872</v>
      </c>
      <c r="O5737" s="213" t="s">
        <v>47873</v>
      </c>
      <c r="P5737" s="213" t="s">
        <v>47874</v>
      </c>
      <c r="Q5737" s="213" t="s">
        <v>47875</v>
      </c>
      <c r="R5737" s="213" t="s">
        <v>47876</v>
      </c>
      <c r="S5737" s="213" t="s">
        <v>47877</v>
      </c>
      <c r="T5737" s="213" t="s">
        <v>47878</v>
      </c>
      <c r="U5737" s="213" t="s">
        <v>57370</v>
      </c>
    </row>
    <row r="5738" spans="1:21" x14ac:dyDescent="0.25">
      <c r="A5738" s="213" t="s">
        <v>327</v>
      </c>
      <c r="D5738" s="213" t="s">
        <v>47879</v>
      </c>
      <c r="E5738" s="213" t="s">
        <v>47880</v>
      </c>
      <c r="K5738" s="213" t="s">
        <v>57299</v>
      </c>
      <c r="L5738" s="213" t="s">
        <v>57323</v>
      </c>
      <c r="M5738" s="213" t="s">
        <v>57347</v>
      </c>
      <c r="N5738" s="213" t="s">
        <v>47881</v>
      </c>
      <c r="O5738" s="213" t="s">
        <v>47882</v>
      </c>
      <c r="P5738" s="213" t="s">
        <v>47883</v>
      </c>
      <c r="Q5738" s="213" t="s">
        <v>47884</v>
      </c>
      <c r="R5738" s="213" t="s">
        <v>47885</v>
      </c>
      <c r="S5738" s="213" t="s">
        <v>47886</v>
      </c>
      <c r="T5738" s="213" t="s">
        <v>47887</v>
      </c>
      <c r="U5738" s="213" t="s">
        <v>57371</v>
      </c>
    </row>
    <row r="5739" spans="1:21" x14ac:dyDescent="0.25">
      <c r="A5739" s="213" t="s">
        <v>327</v>
      </c>
      <c r="D5739" s="213" t="s">
        <v>47888</v>
      </c>
      <c r="E5739" s="213" t="s">
        <v>47889</v>
      </c>
      <c r="K5739" s="213" t="s">
        <v>57300</v>
      </c>
      <c r="L5739" s="213" t="s">
        <v>57324</v>
      </c>
      <c r="M5739" s="213" t="s">
        <v>57348</v>
      </c>
      <c r="N5739" s="213" t="s">
        <v>47890</v>
      </c>
      <c r="O5739" s="213" t="s">
        <v>47891</v>
      </c>
      <c r="P5739" s="213" t="s">
        <v>47892</v>
      </c>
      <c r="Q5739" s="213" t="s">
        <v>47893</v>
      </c>
      <c r="R5739" s="213" t="s">
        <v>47894</v>
      </c>
      <c r="S5739" s="213" t="s">
        <v>47895</v>
      </c>
      <c r="T5739" s="213" t="s">
        <v>47896</v>
      </c>
      <c r="U5739" s="213" t="s">
        <v>57372</v>
      </c>
    </row>
    <row r="5740" spans="1:21" x14ac:dyDescent="0.25">
      <c r="A5740" s="213" t="s">
        <v>327</v>
      </c>
      <c r="D5740" s="213" t="s">
        <v>47897</v>
      </c>
      <c r="E5740" s="213" t="s">
        <v>47898</v>
      </c>
      <c r="K5740" s="213" t="s">
        <v>57301</v>
      </c>
      <c r="L5740" s="213" t="s">
        <v>57325</v>
      </c>
      <c r="M5740" s="213" t="s">
        <v>57349</v>
      </c>
      <c r="N5740" s="213" t="s">
        <v>47899</v>
      </c>
      <c r="O5740" s="213" t="s">
        <v>47900</v>
      </c>
      <c r="P5740" s="213" t="s">
        <v>47901</v>
      </c>
      <c r="Q5740" s="213" t="s">
        <v>47902</v>
      </c>
      <c r="R5740" s="213" t="s">
        <v>47903</v>
      </c>
      <c r="S5740" s="213" t="s">
        <v>47904</v>
      </c>
      <c r="T5740" s="213" t="s">
        <v>47905</v>
      </c>
      <c r="U5740" s="213" t="s">
        <v>57373</v>
      </c>
    </row>
    <row r="5741" spans="1:21" x14ac:dyDescent="0.25">
      <c r="A5741" s="213" t="s">
        <v>327</v>
      </c>
      <c r="D5741" s="213" t="s">
        <v>47906</v>
      </c>
      <c r="E5741" s="213" t="s">
        <v>47907</v>
      </c>
      <c r="K5741" s="213" t="s">
        <v>57302</v>
      </c>
      <c r="L5741" s="213" t="s">
        <v>57326</v>
      </c>
      <c r="M5741" s="213" t="s">
        <v>57350</v>
      </c>
      <c r="N5741" s="213" t="s">
        <v>47908</v>
      </c>
      <c r="O5741" s="213" t="s">
        <v>47909</v>
      </c>
      <c r="P5741" s="213" t="s">
        <v>47910</v>
      </c>
      <c r="Q5741" s="213" t="s">
        <v>47911</v>
      </c>
      <c r="R5741" s="213" t="s">
        <v>47912</v>
      </c>
      <c r="S5741" s="213" t="s">
        <v>47913</v>
      </c>
      <c r="T5741" s="213" t="s">
        <v>47914</v>
      </c>
      <c r="U5741" s="213" t="s">
        <v>57374</v>
      </c>
    </row>
    <row r="5742" spans="1:21" x14ac:dyDescent="0.25">
      <c r="A5742" s="213" t="s">
        <v>327</v>
      </c>
      <c r="D5742" s="213" t="s">
        <v>47915</v>
      </c>
      <c r="E5742" s="213" t="s">
        <v>47916</v>
      </c>
      <c r="K5742" s="213" t="s">
        <v>57303</v>
      </c>
      <c r="L5742" s="213" t="s">
        <v>57327</v>
      </c>
      <c r="M5742" s="213" t="s">
        <v>57351</v>
      </c>
      <c r="N5742" s="213" t="s">
        <v>47917</v>
      </c>
      <c r="O5742" s="213" t="s">
        <v>47918</v>
      </c>
      <c r="P5742" s="213" t="s">
        <v>47919</v>
      </c>
      <c r="Q5742" s="213" t="s">
        <v>47920</v>
      </c>
      <c r="R5742" s="213" t="s">
        <v>47921</v>
      </c>
      <c r="S5742" s="213" t="s">
        <v>47922</v>
      </c>
      <c r="T5742" s="213" t="s">
        <v>47923</v>
      </c>
      <c r="U5742" s="213" t="s">
        <v>57375</v>
      </c>
    </row>
    <row r="5743" spans="1:21" x14ac:dyDescent="0.25">
      <c r="A5743" s="213" t="s">
        <v>327</v>
      </c>
      <c r="D5743" s="213" t="s">
        <v>47924</v>
      </c>
      <c r="E5743" s="213" t="s">
        <v>47925</v>
      </c>
      <c r="K5743" s="213" t="s">
        <v>57304</v>
      </c>
      <c r="L5743" s="213" t="s">
        <v>57328</v>
      </c>
      <c r="M5743" s="213" t="s">
        <v>57352</v>
      </c>
      <c r="N5743" s="213" t="s">
        <v>47926</v>
      </c>
      <c r="O5743" s="213" t="s">
        <v>47927</v>
      </c>
      <c r="P5743" s="213" t="s">
        <v>47928</v>
      </c>
      <c r="Q5743" s="213" t="s">
        <v>47929</v>
      </c>
      <c r="R5743" s="213" t="s">
        <v>47930</v>
      </c>
      <c r="S5743" s="213" t="s">
        <v>47931</v>
      </c>
      <c r="T5743" s="213" t="s">
        <v>47932</v>
      </c>
      <c r="U5743" s="213" t="s">
        <v>57376</v>
      </c>
    </row>
    <row r="5744" spans="1:21" x14ac:dyDescent="0.25">
      <c r="A5744" s="213" t="s">
        <v>327</v>
      </c>
      <c r="D5744" s="213" t="s">
        <v>47933</v>
      </c>
      <c r="E5744" s="213" t="s">
        <v>47934</v>
      </c>
      <c r="K5744" s="213" t="s">
        <v>57305</v>
      </c>
      <c r="L5744" s="213" t="s">
        <v>57329</v>
      </c>
      <c r="M5744" s="213" t="s">
        <v>57353</v>
      </c>
      <c r="N5744" s="213" t="s">
        <v>47935</v>
      </c>
      <c r="O5744" s="213" t="s">
        <v>47936</v>
      </c>
      <c r="P5744" s="213" t="s">
        <v>47937</v>
      </c>
      <c r="Q5744" s="213" t="s">
        <v>47938</v>
      </c>
      <c r="R5744" s="213" t="s">
        <v>47939</v>
      </c>
      <c r="S5744" s="213" t="s">
        <v>47940</v>
      </c>
      <c r="T5744" s="213" t="s">
        <v>47941</v>
      </c>
      <c r="U5744" s="213" t="s">
        <v>57377</v>
      </c>
    </row>
    <row r="5745" spans="1:21" x14ac:dyDescent="0.25">
      <c r="A5745" s="213" t="s">
        <v>327</v>
      </c>
      <c r="D5745" s="213" t="s">
        <v>47942</v>
      </c>
      <c r="E5745" s="213" t="s">
        <v>47943</v>
      </c>
      <c r="K5745" s="213" t="s">
        <v>57306</v>
      </c>
      <c r="L5745" s="213" t="s">
        <v>57330</v>
      </c>
      <c r="M5745" s="213" t="s">
        <v>57354</v>
      </c>
      <c r="N5745" s="213" t="s">
        <v>47944</v>
      </c>
      <c r="O5745" s="213" t="s">
        <v>47945</v>
      </c>
      <c r="P5745" s="213" t="s">
        <v>47946</v>
      </c>
      <c r="Q5745" s="213" t="s">
        <v>47947</v>
      </c>
      <c r="R5745" s="213" t="s">
        <v>47948</v>
      </c>
      <c r="S5745" s="213" t="s">
        <v>47949</v>
      </c>
      <c r="T5745" s="213" t="s">
        <v>47950</v>
      </c>
      <c r="U5745" s="213" t="s">
        <v>57378</v>
      </c>
    </row>
    <row r="5746" spans="1:21" x14ac:dyDescent="0.25">
      <c r="A5746" s="213" t="s">
        <v>327</v>
      </c>
      <c r="D5746" s="213" t="s">
        <v>47951</v>
      </c>
      <c r="E5746" s="213" t="s">
        <v>47952</v>
      </c>
      <c r="K5746" s="213" t="s">
        <v>57307</v>
      </c>
      <c r="L5746" s="213" t="s">
        <v>57331</v>
      </c>
      <c r="M5746" s="213" t="s">
        <v>57355</v>
      </c>
      <c r="N5746" s="213" t="s">
        <v>47953</v>
      </c>
      <c r="O5746" s="213" t="s">
        <v>47954</v>
      </c>
      <c r="P5746" s="213" t="s">
        <v>47955</v>
      </c>
      <c r="Q5746" s="213" t="s">
        <v>47956</v>
      </c>
      <c r="R5746" s="213" t="s">
        <v>47957</v>
      </c>
      <c r="S5746" s="213" t="s">
        <v>47958</v>
      </c>
      <c r="T5746" s="213" t="s">
        <v>47959</v>
      </c>
      <c r="U5746" s="213" t="s">
        <v>57379</v>
      </c>
    </row>
    <row r="5747" spans="1:21" x14ac:dyDescent="0.25">
      <c r="A5747" s="213" t="s">
        <v>327</v>
      </c>
      <c r="D5747" s="213" t="s">
        <v>47960</v>
      </c>
      <c r="E5747" s="213" t="s">
        <v>47961</v>
      </c>
      <c r="K5747" s="213" t="s">
        <v>57308</v>
      </c>
      <c r="L5747" s="213" t="s">
        <v>57332</v>
      </c>
      <c r="M5747" s="213" t="s">
        <v>57356</v>
      </c>
      <c r="N5747" s="213" t="s">
        <v>47962</v>
      </c>
      <c r="O5747" s="213" t="s">
        <v>47963</v>
      </c>
      <c r="P5747" s="213" t="s">
        <v>47964</v>
      </c>
      <c r="Q5747" s="213" t="s">
        <v>47965</v>
      </c>
      <c r="R5747" s="213" t="s">
        <v>47966</v>
      </c>
      <c r="S5747" s="213" t="s">
        <v>47967</v>
      </c>
      <c r="T5747" s="213" t="s">
        <v>47968</v>
      </c>
      <c r="U5747" s="213" t="s">
        <v>57380</v>
      </c>
    </row>
    <row r="5748" spans="1:21" x14ac:dyDescent="0.25">
      <c r="A5748" s="213" t="s">
        <v>327</v>
      </c>
      <c r="D5748" s="213" t="s">
        <v>47969</v>
      </c>
      <c r="E5748" s="213" t="s">
        <v>47970</v>
      </c>
      <c r="K5748" s="213" t="s">
        <v>57309</v>
      </c>
      <c r="L5748" s="213" t="s">
        <v>57333</v>
      </c>
      <c r="M5748" s="213" t="s">
        <v>57357</v>
      </c>
      <c r="N5748" s="213" t="s">
        <v>47971</v>
      </c>
      <c r="O5748" s="213" t="s">
        <v>47972</v>
      </c>
      <c r="P5748" s="213" t="s">
        <v>47973</v>
      </c>
      <c r="Q5748" s="213" t="s">
        <v>47974</v>
      </c>
      <c r="R5748" s="213" t="s">
        <v>47975</v>
      </c>
      <c r="S5748" s="213" t="s">
        <v>47976</v>
      </c>
      <c r="T5748" s="213" t="s">
        <v>47977</v>
      </c>
      <c r="U5748" s="213" t="s">
        <v>57381</v>
      </c>
    </row>
    <row r="5749" spans="1:21" x14ac:dyDescent="0.25">
      <c r="A5749" s="213" t="s">
        <v>327</v>
      </c>
    </row>
    <row r="5750" spans="1:21" x14ac:dyDescent="0.25">
      <c r="A5750" s="213" t="s">
        <v>327</v>
      </c>
    </row>
    <row r="5751" spans="1:21" x14ac:dyDescent="0.25">
      <c r="A5751" s="213" t="s">
        <v>327</v>
      </c>
      <c r="C5751" s="213" t="s">
        <v>47978</v>
      </c>
      <c r="E5751" s="213" t="s">
        <v>47979</v>
      </c>
      <c r="H5751" s="213" t="s">
        <v>47980</v>
      </c>
      <c r="I5751" s="213" t="s">
        <v>47981</v>
      </c>
      <c r="J5751" s="213" t="s">
        <v>47982</v>
      </c>
      <c r="L5751" s="213" t="s">
        <v>47983</v>
      </c>
      <c r="O5751" s="213" t="s">
        <v>47984</v>
      </c>
      <c r="P5751" s="213" t="s">
        <v>47985</v>
      </c>
      <c r="Q5751" s="213" t="s">
        <v>47986</v>
      </c>
      <c r="R5751" s="213" t="s">
        <v>47987</v>
      </c>
      <c r="S5751" s="213" t="s">
        <v>47988</v>
      </c>
      <c r="T5751" s="213" t="s">
        <v>47989</v>
      </c>
    </row>
    <row r="5752" spans="1:21" x14ac:dyDescent="0.25">
      <c r="A5752" s="213" t="s">
        <v>327</v>
      </c>
      <c r="C5752" s="213" t="s">
        <v>47990</v>
      </c>
      <c r="E5752" s="213" t="s">
        <v>47991</v>
      </c>
      <c r="I5752" s="213" t="s">
        <v>47992</v>
      </c>
    </row>
    <row r="5753" spans="1:21" x14ac:dyDescent="0.25">
      <c r="A5753" s="213" t="s">
        <v>327</v>
      </c>
      <c r="C5753" s="213" t="s">
        <v>47993</v>
      </c>
      <c r="E5753" s="213" t="s">
        <v>47994</v>
      </c>
      <c r="I5753" s="213" t="s">
        <v>47995</v>
      </c>
    </row>
    <row r="5754" spans="1:21" x14ac:dyDescent="0.25">
      <c r="A5754" s="213" t="s">
        <v>328</v>
      </c>
    </row>
    <row r="5755" spans="1:21" x14ac:dyDescent="0.25">
      <c r="A5755" s="213" t="s">
        <v>327</v>
      </c>
      <c r="D5755" s="213" t="s">
        <v>47996</v>
      </c>
      <c r="E5755" s="213" t="s">
        <v>47997</v>
      </c>
      <c r="K5755" s="213" t="s">
        <v>57202</v>
      </c>
      <c r="L5755" s="213" t="s">
        <v>57223</v>
      </c>
      <c r="M5755" s="213" t="s">
        <v>57244</v>
      </c>
      <c r="N5755" s="213" t="s">
        <v>47998</v>
      </c>
      <c r="O5755" s="213" t="s">
        <v>47999</v>
      </c>
      <c r="P5755" s="213" t="s">
        <v>48000</v>
      </c>
      <c r="Q5755" s="213" t="s">
        <v>48001</v>
      </c>
      <c r="R5755" s="213" t="s">
        <v>48002</v>
      </c>
      <c r="S5755" s="213" t="s">
        <v>48003</v>
      </c>
      <c r="T5755" s="213" t="s">
        <v>48004</v>
      </c>
      <c r="U5755" s="213" t="s">
        <v>57265</v>
      </c>
    </row>
    <row r="5756" spans="1:21" x14ac:dyDescent="0.25">
      <c r="A5756" s="213" t="s">
        <v>327</v>
      </c>
      <c r="D5756" s="213" t="s">
        <v>48005</v>
      </c>
      <c r="E5756" s="213" t="s">
        <v>48006</v>
      </c>
      <c r="K5756" s="213" t="s">
        <v>57203</v>
      </c>
      <c r="L5756" s="213" t="s">
        <v>57224</v>
      </c>
      <c r="M5756" s="213" t="s">
        <v>57245</v>
      </c>
      <c r="N5756" s="213" t="s">
        <v>48007</v>
      </c>
      <c r="O5756" s="213" t="s">
        <v>48008</v>
      </c>
      <c r="P5756" s="213" t="s">
        <v>48009</v>
      </c>
      <c r="Q5756" s="213" t="s">
        <v>48010</v>
      </c>
      <c r="R5756" s="213" t="s">
        <v>48011</v>
      </c>
      <c r="S5756" s="213" t="s">
        <v>48012</v>
      </c>
      <c r="T5756" s="213" t="s">
        <v>48013</v>
      </c>
      <c r="U5756" s="213" t="s">
        <v>57266</v>
      </c>
    </row>
    <row r="5757" spans="1:21" x14ac:dyDescent="0.25">
      <c r="A5757" s="213" t="s">
        <v>327</v>
      </c>
      <c r="D5757" s="213" t="s">
        <v>48014</v>
      </c>
      <c r="E5757" s="213" t="s">
        <v>48015</v>
      </c>
      <c r="K5757" s="213" t="s">
        <v>57204</v>
      </c>
      <c r="L5757" s="213" t="s">
        <v>57225</v>
      </c>
      <c r="M5757" s="213" t="s">
        <v>57246</v>
      </c>
      <c r="N5757" s="213" t="s">
        <v>48016</v>
      </c>
      <c r="O5757" s="213" t="s">
        <v>48017</v>
      </c>
      <c r="P5757" s="213" t="s">
        <v>48018</v>
      </c>
      <c r="Q5757" s="213" t="s">
        <v>48019</v>
      </c>
      <c r="R5757" s="213" t="s">
        <v>48020</v>
      </c>
      <c r="S5757" s="213" t="s">
        <v>48021</v>
      </c>
      <c r="T5757" s="213" t="s">
        <v>48022</v>
      </c>
      <c r="U5757" s="213" t="s">
        <v>57267</v>
      </c>
    </row>
    <row r="5758" spans="1:21" x14ac:dyDescent="0.25">
      <c r="A5758" s="213" t="s">
        <v>327</v>
      </c>
      <c r="D5758" s="213" t="s">
        <v>48023</v>
      </c>
      <c r="E5758" s="213" t="s">
        <v>48024</v>
      </c>
      <c r="K5758" s="213" t="s">
        <v>57205</v>
      </c>
      <c r="L5758" s="213" t="s">
        <v>57226</v>
      </c>
      <c r="M5758" s="213" t="s">
        <v>57247</v>
      </c>
      <c r="N5758" s="213" t="s">
        <v>48025</v>
      </c>
      <c r="O5758" s="213" t="s">
        <v>48026</v>
      </c>
      <c r="P5758" s="213" t="s">
        <v>48027</v>
      </c>
      <c r="Q5758" s="213" t="s">
        <v>48028</v>
      </c>
      <c r="R5758" s="213" t="s">
        <v>48029</v>
      </c>
      <c r="S5758" s="213" t="s">
        <v>48030</v>
      </c>
      <c r="T5758" s="213" t="s">
        <v>48031</v>
      </c>
      <c r="U5758" s="213" t="s">
        <v>57268</v>
      </c>
    </row>
    <row r="5759" spans="1:21" x14ac:dyDescent="0.25">
      <c r="A5759" s="213" t="s">
        <v>327</v>
      </c>
      <c r="D5759" s="213" t="s">
        <v>48032</v>
      </c>
      <c r="E5759" s="213" t="s">
        <v>48033</v>
      </c>
      <c r="K5759" s="213" t="s">
        <v>57206</v>
      </c>
      <c r="L5759" s="213" t="s">
        <v>57227</v>
      </c>
      <c r="M5759" s="213" t="s">
        <v>57248</v>
      </c>
      <c r="N5759" s="213" t="s">
        <v>48034</v>
      </c>
      <c r="O5759" s="213" t="s">
        <v>48035</v>
      </c>
      <c r="P5759" s="213" t="s">
        <v>48036</v>
      </c>
      <c r="Q5759" s="213" t="s">
        <v>48037</v>
      </c>
      <c r="R5759" s="213" t="s">
        <v>48038</v>
      </c>
      <c r="S5759" s="213" t="s">
        <v>48039</v>
      </c>
      <c r="T5759" s="213" t="s">
        <v>48040</v>
      </c>
      <c r="U5759" s="213" t="s">
        <v>57269</v>
      </c>
    </row>
    <row r="5760" spans="1:21" x14ac:dyDescent="0.25">
      <c r="A5760" s="213" t="s">
        <v>327</v>
      </c>
      <c r="D5760" s="213" t="s">
        <v>48041</v>
      </c>
      <c r="E5760" s="213" t="s">
        <v>48042</v>
      </c>
      <c r="K5760" s="213" t="s">
        <v>57207</v>
      </c>
      <c r="L5760" s="213" t="s">
        <v>57228</v>
      </c>
      <c r="M5760" s="213" t="s">
        <v>57249</v>
      </c>
      <c r="N5760" s="213" t="s">
        <v>48043</v>
      </c>
      <c r="O5760" s="213" t="s">
        <v>48044</v>
      </c>
      <c r="P5760" s="213" t="s">
        <v>48045</v>
      </c>
      <c r="Q5760" s="213" t="s">
        <v>48046</v>
      </c>
      <c r="R5760" s="213" t="s">
        <v>48047</v>
      </c>
      <c r="S5760" s="213" t="s">
        <v>48048</v>
      </c>
      <c r="T5760" s="213" t="s">
        <v>48049</v>
      </c>
      <c r="U5760" s="213" t="s">
        <v>57270</v>
      </c>
    </row>
    <row r="5761" spans="1:21" x14ac:dyDescent="0.25">
      <c r="A5761" s="213" t="s">
        <v>327</v>
      </c>
      <c r="D5761" s="213" t="s">
        <v>48050</v>
      </c>
      <c r="E5761" s="213" t="s">
        <v>48051</v>
      </c>
      <c r="K5761" s="213" t="s">
        <v>57208</v>
      </c>
      <c r="L5761" s="213" t="s">
        <v>57229</v>
      </c>
      <c r="M5761" s="213" t="s">
        <v>57250</v>
      </c>
      <c r="N5761" s="213" t="s">
        <v>48052</v>
      </c>
      <c r="O5761" s="213" t="s">
        <v>48053</v>
      </c>
      <c r="P5761" s="213" t="s">
        <v>48054</v>
      </c>
      <c r="Q5761" s="213" t="s">
        <v>48055</v>
      </c>
      <c r="R5761" s="213" t="s">
        <v>48056</v>
      </c>
      <c r="S5761" s="213" t="s">
        <v>48057</v>
      </c>
      <c r="T5761" s="213" t="s">
        <v>48058</v>
      </c>
      <c r="U5761" s="213" t="s">
        <v>57271</v>
      </c>
    </row>
    <row r="5762" spans="1:21" x14ac:dyDescent="0.25">
      <c r="A5762" s="213" t="s">
        <v>327</v>
      </c>
      <c r="D5762" s="213" t="s">
        <v>48059</v>
      </c>
      <c r="E5762" s="213" t="s">
        <v>48060</v>
      </c>
      <c r="K5762" s="213" t="s">
        <v>57209</v>
      </c>
      <c r="L5762" s="213" t="s">
        <v>57230</v>
      </c>
      <c r="M5762" s="213" t="s">
        <v>57251</v>
      </c>
      <c r="N5762" s="213" t="s">
        <v>48061</v>
      </c>
      <c r="O5762" s="213" t="s">
        <v>48062</v>
      </c>
      <c r="P5762" s="213" t="s">
        <v>48063</v>
      </c>
      <c r="Q5762" s="213" t="s">
        <v>48064</v>
      </c>
      <c r="R5762" s="213" t="s">
        <v>48065</v>
      </c>
      <c r="S5762" s="213" t="s">
        <v>48066</v>
      </c>
      <c r="T5762" s="213" t="s">
        <v>48067</v>
      </c>
      <c r="U5762" s="213" t="s">
        <v>57272</v>
      </c>
    </row>
    <row r="5763" spans="1:21" x14ac:dyDescent="0.25">
      <c r="A5763" s="213" t="s">
        <v>327</v>
      </c>
      <c r="D5763" s="213" t="s">
        <v>48068</v>
      </c>
      <c r="E5763" s="213" t="s">
        <v>48069</v>
      </c>
      <c r="K5763" s="213" t="s">
        <v>57210</v>
      </c>
      <c r="L5763" s="213" t="s">
        <v>57231</v>
      </c>
      <c r="M5763" s="213" t="s">
        <v>57252</v>
      </c>
      <c r="N5763" s="213" t="s">
        <v>48070</v>
      </c>
      <c r="O5763" s="213" t="s">
        <v>48071</v>
      </c>
      <c r="P5763" s="213" t="s">
        <v>48072</v>
      </c>
      <c r="Q5763" s="213" t="s">
        <v>48073</v>
      </c>
      <c r="R5763" s="213" t="s">
        <v>48074</v>
      </c>
      <c r="S5763" s="213" t="s">
        <v>48075</v>
      </c>
      <c r="T5763" s="213" t="s">
        <v>48076</v>
      </c>
      <c r="U5763" s="213" t="s">
        <v>57273</v>
      </c>
    </row>
    <row r="5764" spans="1:21" x14ac:dyDescent="0.25">
      <c r="A5764" s="213" t="s">
        <v>327</v>
      </c>
      <c r="D5764" s="213" t="s">
        <v>48077</v>
      </c>
      <c r="E5764" s="213" t="s">
        <v>48078</v>
      </c>
      <c r="K5764" s="213" t="s">
        <v>57211</v>
      </c>
      <c r="L5764" s="213" t="s">
        <v>57232</v>
      </c>
      <c r="M5764" s="213" t="s">
        <v>57253</v>
      </c>
      <c r="N5764" s="213" t="s">
        <v>48079</v>
      </c>
      <c r="O5764" s="213" t="s">
        <v>48080</v>
      </c>
      <c r="P5764" s="213" t="s">
        <v>48081</v>
      </c>
      <c r="Q5764" s="213" t="s">
        <v>48082</v>
      </c>
      <c r="R5764" s="213" t="s">
        <v>48083</v>
      </c>
      <c r="S5764" s="213" t="s">
        <v>48084</v>
      </c>
      <c r="T5764" s="213" t="s">
        <v>48085</v>
      </c>
      <c r="U5764" s="213" t="s">
        <v>57274</v>
      </c>
    </row>
    <row r="5765" spans="1:21" x14ac:dyDescent="0.25">
      <c r="A5765" s="213" t="s">
        <v>327</v>
      </c>
      <c r="D5765" s="213" t="s">
        <v>48086</v>
      </c>
      <c r="E5765" s="213" t="s">
        <v>48087</v>
      </c>
      <c r="K5765" s="213" t="s">
        <v>57212</v>
      </c>
      <c r="L5765" s="213" t="s">
        <v>57233</v>
      </c>
      <c r="M5765" s="213" t="s">
        <v>57254</v>
      </c>
      <c r="N5765" s="213" t="s">
        <v>48088</v>
      </c>
      <c r="O5765" s="213" t="s">
        <v>48089</v>
      </c>
      <c r="P5765" s="213" t="s">
        <v>48090</v>
      </c>
      <c r="Q5765" s="213" t="s">
        <v>48091</v>
      </c>
      <c r="R5765" s="213" t="s">
        <v>48092</v>
      </c>
      <c r="S5765" s="213" t="s">
        <v>48093</v>
      </c>
      <c r="T5765" s="213" t="s">
        <v>48094</v>
      </c>
      <c r="U5765" s="213" t="s">
        <v>57275</v>
      </c>
    </row>
    <row r="5766" spans="1:21" x14ac:dyDescent="0.25">
      <c r="A5766" s="213" t="s">
        <v>327</v>
      </c>
      <c r="D5766" s="213" t="s">
        <v>48095</v>
      </c>
      <c r="E5766" s="213" t="s">
        <v>48096</v>
      </c>
      <c r="K5766" s="213" t="s">
        <v>57213</v>
      </c>
      <c r="L5766" s="213" t="s">
        <v>57234</v>
      </c>
      <c r="M5766" s="213" t="s">
        <v>57255</v>
      </c>
      <c r="N5766" s="213" t="s">
        <v>48097</v>
      </c>
      <c r="O5766" s="213" t="s">
        <v>48098</v>
      </c>
      <c r="P5766" s="213" t="s">
        <v>48099</v>
      </c>
      <c r="Q5766" s="213" t="s">
        <v>48100</v>
      </c>
      <c r="R5766" s="213" t="s">
        <v>48101</v>
      </c>
      <c r="S5766" s="213" t="s">
        <v>48102</v>
      </c>
      <c r="T5766" s="213" t="s">
        <v>48103</v>
      </c>
      <c r="U5766" s="213" t="s">
        <v>57276</v>
      </c>
    </row>
    <row r="5767" spans="1:21" x14ac:dyDescent="0.25">
      <c r="A5767" s="213" t="s">
        <v>327</v>
      </c>
      <c r="D5767" s="213" t="s">
        <v>48104</v>
      </c>
      <c r="E5767" s="213" t="s">
        <v>48105</v>
      </c>
      <c r="K5767" s="213" t="s">
        <v>57214</v>
      </c>
      <c r="L5767" s="213" t="s">
        <v>57235</v>
      </c>
      <c r="M5767" s="213" t="s">
        <v>57256</v>
      </c>
      <c r="N5767" s="213" t="s">
        <v>48106</v>
      </c>
      <c r="O5767" s="213" t="s">
        <v>48107</v>
      </c>
      <c r="P5767" s="213" t="s">
        <v>48108</v>
      </c>
      <c r="Q5767" s="213" t="s">
        <v>48109</v>
      </c>
      <c r="R5767" s="213" t="s">
        <v>48110</v>
      </c>
      <c r="S5767" s="213" t="s">
        <v>48111</v>
      </c>
      <c r="T5767" s="213" t="s">
        <v>48112</v>
      </c>
      <c r="U5767" s="213" t="s">
        <v>57277</v>
      </c>
    </row>
    <row r="5768" spans="1:21" x14ac:dyDescent="0.25">
      <c r="A5768" s="213" t="s">
        <v>327</v>
      </c>
      <c r="D5768" s="213" t="s">
        <v>48113</v>
      </c>
      <c r="E5768" s="213" t="s">
        <v>48114</v>
      </c>
      <c r="K5768" s="213" t="s">
        <v>57215</v>
      </c>
      <c r="L5768" s="213" t="s">
        <v>57236</v>
      </c>
      <c r="M5768" s="213" t="s">
        <v>57257</v>
      </c>
      <c r="N5768" s="213" t="s">
        <v>48115</v>
      </c>
      <c r="O5768" s="213" t="s">
        <v>48116</v>
      </c>
      <c r="P5768" s="213" t="s">
        <v>48117</v>
      </c>
      <c r="Q5768" s="213" t="s">
        <v>48118</v>
      </c>
      <c r="R5768" s="213" t="s">
        <v>48119</v>
      </c>
      <c r="S5768" s="213" t="s">
        <v>48120</v>
      </c>
      <c r="T5768" s="213" t="s">
        <v>48121</v>
      </c>
      <c r="U5768" s="213" t="s">
        <v>57278</v>
      </c>
    </row>
    <row r="5769" spans="1:21" x14ac:dyDescent="0.25">
      <c r="A5769" s="213" t="s">
        <v>327</v>
      </c>
      <c r="D5769" s="213" t="s">
        <v>48122</v>
      </c>
      <c r="E5769" s="213" t="s">
        <v>48123</v>
      </c>
      <c r="K5769" s="213" t="s">
        <v>57216</v>
      </c>
      <c r="L5769" s="213" t="s">
        <v>57237</v>
      </c>
      <c r="M5769" s="213" t="s">
        <v>57258</v>
      </c>
      <c r="N5769" s="213" t="s">
        <v>48124</v>
      </c>
      <c r="O5769" s="213" t="s">
        <v>48125</v>
      </c>
      <c r="P5769" s="213" t="s">
        <v>48126</v>
      </c>
      <c r="Q5769" s="213" t="s">
        <v>48127</v>
      </c>
      <c r="R5769" s="213" t="s">
        <v>48128</v>
      </c>
      <c r="S5769" s="213" t="s">
        <v>48129</v>
      </c>
      <c r="T5769" s="213" t="s">
        <v>48130</v>
      </c>
      <c r="U5769" s="213" t="s">
        <v>57279</v>
      </c>
    </row>
    <row r="5770" spans="1:21" x14ac:dyDescent="0.25">
      <c r="A5770" s="213" t="s">
        <v>327</v>
      </c>
      <c r="D5770" s="213" t="s">
        <v>48131</v>
      </c>
      <c r="E5770" s="213" t="s">
        <v>48132</v>
      </c>
      <c r="K5770" s="213" t="s">
        <v>57217</v>
      </c>
      <c r="L5770" s="213" t="s">
        <v>57238</v>
      </c>
      <c r="M5770" s="213" t="s">
        <v>57259</v>
      </c>
      <c r="N5770" s="213" t="s">
        <v>48133</v>
      </c>
      <c r="O5770" s="213" t="s">
        <v>48134</v>
      </c>
      <c r="P5770" s="213" t="s">
        <v>48135</v>
      </c>
      <c r="Q5770" s="213" t="s">
        <v>48136</v>
      </c>
      <c r="R5770" s="213" t="s">
        <v>48137</v>
      </c>
      <c r="S5770" s="213" t="s">
        <v>48138</v>
      </c>
      <c r="T5770" s="213" t="s">
        <v>48139</v>
      </c>
      <c r="U5770" s="213" t="s">
        <v>57280</v>
      </c>
    </row>
    <row r="5771" spans="1:21" x14ac:dyDescent="0.25">
      <c r="A5771" s="213" t="s">
        <v>327</v>
      </c>
      <c r="D5771" s="213" t="s">
        <v>48140</v>
      </c>
      <c r="E5771" s="213" t="s">
        <v>48141</v>
      </c>
      <c r="K5771" s="213" t="s">
        <v>57218</v>
      </c>
      <c r="L5771" s="213" t="s">
        <v>57239</v>
      </c>
      <c r="M5771" s="213" t="s">
        <v>57260</v>
      </c>
      <c r="N5771" s="213" t="s">
        <v>48142</v>
      </c>
      <c r="O5771" s="213" t="s">
        <v>48143</v>
      </c>
      <c r="P5771" s="213" t="s">
        <v>48144</v>
      </c>
      <c r="Q5771" s="213" t="s">
        <v>48145</v>
      </c>
      <c r="R5771" s="213" t="s">
        <v>48146</v>
      </c>
      <c r="S5771" s="213" t="s">
        <v>48147</v>
      </c>
      <c r="T5771" s="213" t="s">
        <v>48148</v>
      </c>
      <c r="U5771" s="213" t="s">
        <v>57281</v>
      </c>
    </row>
    <row r="5772" spans="1:21" x14ac:dyDescent="0.25">
      <c r="A5772" s="213" t="s">
        <v>327</v>
      </c>
      <c r="D5772" s="213" t="s">
        <v>48149</v>
      </c>
      <c r="E5772" s="213" t="s">
        <v>48150</v>
      </c>
      <c r="K5772" s="213" t="s">
        <v>57219</v>
      </c>
      <c r="L5772" s="213" t="s">
        <v>57240</v>
      </c>
      <c r="M5772" s="213" t="s">
        <v>57261</v>
      </c>
      <c r="N5772" s="213" t="s">
        <v>48151</v>
      </c>
      <c r="O5772" s="213" t="s">
        <v>48152</v>
      </c>
      <c r="P5772" s="213" t="s">
        <v>48153</v>
      </c>
      <c r="Q5772" s="213" t="s">
        <v>48154</v>
      </c>
      <c r="R5772" s="213" t="s">
        <v>48155</v>
      </c>
      <c r="S5772" s="213" t="s">
        <v>48156</v>
      </c>
      <c r="T5772" s="213" t="s">
        <v>48157</v>
      </c>
      <c r="U5772" s="213" t="s">
        <v>57282</v>
      </c>
    </row>
    <row r="5773" spans="1:21" x14ac:dyDescent="0.25">
      <c r="A5773" s="213" t="s">
        <v>327</v>
      </c>
      <c r="D5773" s="213" t="s">
        <v>48158</v>
      </c>
      <c r="E5773" s="213" t="s">
        <v>48159</v>
      </c>
      <c r="K5773" s="213" t="s">
        <v>57220</v>
      </c>
      <c r="L5773" s="213" t="s">
        <v>57241</v>
      </c>
      <c r="M5773" s="213" t="s">
        <v>57262</v>
      </c>
      <c r="N5773" s="213" t="s">
        <v>48160</v>
      </c>
      <c r="O5773" s="213" t="s">
        <v>48161</v>
      </c>
      <c r="P5773" s="213" t="s">
        <v>48162</v>
      </c>
      <c r="Q5773" s="213" t="s">
        <v>48163</v>
      </c>
      <c r="R5773" s="213" t="s">
        <v>48164</v>
      </c>
      <c r="S5773" s="213" t="s">
        <v>48165</v>
      </c>
      <c r="T5773" s="213" t="s">
        <v>48166</v>
      </c>
      <c r="U5773" s="213" t="s">
        <v>57283</v>
      </c>
    </row>
    <row r="5774" spans="1:21" x14ac:dyDescent="0.25">
      <c r="A5774" s="213" t="s">
        <v>327</v>
      </c>
      <c r="D5774" s="213" t="s">
        <v>48167</v>
      </c>
      <c r="E5774" s="213" t="s">
        <v>48168</v>
      </c>
      <c r="K5774" s="213" t="s">
        <v>57221</v>
      </c>
      <c r="L5774" s="213" t="s">
        <v>57242</v>
      </c>
      <c r="M5774" s="213" t="s">
        <v>57263</v>
      </c>
      <c r="N5774" s="213" t="s">
        <v>48169</v>
      </c>
      <c r="O5774" s="213" t="s">
        <v>48170</v>
      </c>
      <c r="P5774" s="213" t="s">
        <v>48171</v>
      </c>
      <c r="Q5774" s="213" t="s">
        <v>48172</v>
      </c>
      <c r="R5774" s="213" t="s">
        <v>48173</v>
      </c>
      <c r="S5774" s="213" t="s">
        <v>48174</v>
      </c>
      <c r="T5774" s="213" t="s">
        <v>48175</v>
      </c>
      <c r="U5774" s="213" t="s">
        <v>57284</v>
      </c>
    </row>
    <row r="5775" spans="1:21" x14ac:dyDescent="0.25">
      <c r="A5775" s="213" t="s">
        <v>327</v>
      </c>
      <c r="D5775" s="213" t="s">
        <v>48176</v>
      </c>
      <c r="E5775" s="213" t="s">
        <v>48177</v>
      </c>
      <c r="K5775" s="213" t="s">
        <v>57222</v>
      </c>
      <c r="L5775" s="213" t="s">
        <v>57243</v>
      </c>
      <c r="M5775" s="213" t="s">
        <v>57264</v>
      </c>
      <c r="N5775" s="213" t="s">
        <v>48178</v>
      </c>
      <c r="O5775" s="213" t="s">
        <v>48179</v>
      </c>
      <c r="P5775" s="213" t="s">
        <v>48180</v>
      </c>
      <c r="Q5775" s="213" t="s">
        <v>48181</v>
      </c>
      <c r="R5775" s="213" t="s">
        <v>48182</v>
      </c>
      <c r="S5775" s="213" t="s">
        <v>48183</v>
      </c>
      <c r="T5775" s="213" t="s">
        <v>48184</v>
      </c>
      <c r="U5775" s="213" t="s">
        <v>57285</v>
      </c>
    </row>
    <row r="5776" spans="1:21" x14ac:dyDescent="0.25">
      <c r="A5776" s="213" t="s">
        <v>327</v>
      </c>
    </row>
    <row r="5777" spans="1:21" x14ac:dyDescent="0.25">
      <c r="A5777" s="213" t="s">
        <v>327</v>
      </c>
    </row>
    <row r="5778" spans="1:21" x14ac:dyDescent="0.25">
      <c r="A5778" s="213" t="s">
        <v>327</v>
      </c>
      <c r="C5778" s="213" t="s">
        <v>48185</v>
      </c>
      <c r="E5778" s="213" t="s">
        <v>48186</v>
      </c>
      <c r="H5778" s="213" t="s">
        <v>48187</v>
      </c>
      <c r="I5778" s="213" t="s">
        <v>48188</v>
      </c>
      <c r="J5778" s="213" t="s">
        <v>48189</v>
      </c>
      <c r="L5778" s="213" t="s">
        <v>48190</v>
      </c>
      <c r="O5778" s="213" t="s">
        <v>48191</v>
      </c>
      <c r="P5778" s="213" t="s">
        <v>48192</v>
      </c>
      <c r="Q5778" s="213" t="s">
        <v>48193</v>
      </c>
      <c r="R5778" s="213" t="s">
        <v>48194</v>
      </c>
      <c r="S5778" s="213" t="s">
        <v>48195</v>
      </c>
      <c r="T5778" s="213" t="s">
        <v>48196</v>
      </c>
    </row>
    <row r="5779" spans="1:21" x14ac:dyDescent="0.25">
      <c r="A5779" s="213" t="s">
        <v>327</v>
      </c>
      <c r="C5779" s="213" t="s">
        <v>48197</v>
      </c>
      <c r="E5779" s="213" t="s">
        <v>48198</v>
      </c>
      <c r="I5779" s="213" t="s">
        <v>48199</v>
      </c>
    </row>
    <row r="5780" spans="1:21" x14ac:dyDescent="0.25">
      <c r="A5780" s="213" t="s">
        <v>327</v>
      </c>
      <c r="C5780" s="213" t="s">
        <v>48200</v>
      </c>
      <c r="E5780" s="213" t="s">
        <v>48201</v>
      </c>
      <c r="I5780" s="213" t="s">
        <v>48202</v>
      </c>
    </row>
    <row r="5781" spans="1:21" x14ac:dyDescent="0.25">
      <c r="A5781" s="213" t="s">
        <v>328</v>
      </c>
    </row>
    <row r="5782" spans="1:21" x14ac:dyDescent="0.25">
      <c r="A5782" s="213" t="s">
        <v>327</v>
      </c>
      <c r="D5782" s="213" t="s">
        <v>48203</v>
      </c>
      <c r="E5782" s="213" t="s">
        <v>48204</v>
      </c>
      <c r="K5782" s="213" t="s">
        <v>57094</v>
      </c>
      <c r="L5782" s="213" t="s">
        <v>57121</v>
      </c>
      <c r="M5782" s="213" t="s">
        <v>57148</v>
      </c>
      <c r="N5782" s="213" t="s">
        <v>48205</v>
      </c>
      <c r="O5782" s="213" t="s">
        <v>48206</v>
      </c>
      <c r="P5782" s="213" t="s">
        <v>48207</v>
      </c>
      <c r="Q5782" s="213" t="s">
        <v>48208</v>
      </c>
      <c r="R5782" s="213" t="s">
        <v>48209</v>
      </c>
      <c r="S5782" s="213" t="s">
        <v>48210</v>
      </c>
      <c r="T5782" s="213" t="s">
        <v>48211</v>
      </c>
      <c r="U5782" s="213" t="s">
        <v>57175</v>
      </c>
    </row>
    <row r="5783" spans="1:21" x14ac:dyDescent="0.25">
      <c r="A5783" s="213" t="s">
        <v>327</v>
      </c>
      <c r="D5783" s="213" t="s">
        <v>48212</v>
      </c>
      <c r="E5783" s="213" t="s">
        <v>48213</v>
      </c>
      <c r="K5783" s="213" t="s">
        <v>57095</v>
      </c>
      <c r="L5783" s="213" t="s">
        <v>57122</v>
      </c>
      <c r="M5783" s="213" t="s">
        <v>57149</v>
      </c>
      <c r="N5783" s="213" t="s">
        <v>48214</v>
      </c>
      <c r="O5783" s="213" t="s">
        <v>48215</v>
      </c>
      <c r="P5783" s="213" t="s">
        <v>48216</v>
      </c>
      <c r="Q5783" s="213" t="s">
        <v>48217</v>
      </c>
      <c r="R5783" s="213" t="s">
        <v>48218</v>
      </c>
      <c r="S5783" s="213" t="s">
        <v>48219</v>
      </c>
      <c r="T5783" s="213" t="s">
        <v>48220</v>
      </c>
      <c r="U5783" s="213" t="s">
        <v>57176</v>
      </c>
    </row>
    <row r="5784" spans="1:21" x14ac:dyDescent="0.25">
      <c r="A5784" s="213" t="s">
        <v>327</v>
      </c>
      <c r="D5784" s="213" t="s">
        <v>48221</v>
      </c>
      <c r="E5784" s="213" t="s">
        <v>48222</v>
      </c>
      <c r="K5784" s="213" t="s">
        <v>57096</v>
      </c>
      <c r="L5784" s="213" t="s">
        <v>57123</v>
      </c>
      <c r="M5784" s="213" t="s">
        <v>57150</v>
      </c>
      <c r="N5784" s="213" t="s">
        <v>48223</v>
      </c>
      <c r="O5784" s="213" t="s">
        <v>48224</v>
      </c>
      <c r="P5784" s="213" t="s">
        <v>48225</v>
      </c>
      <c r="Q5784" s="213" t="s">
        <v>48226</v>
      </c>
      <c r="R5784" s="213" t="s">
        <v>48227</v>
      </c>
      <c r="S5784" s="213" t="s">
        <v>48228</v>
      </c>
      <c r="T5784" s="213" t="s">
        <v>48229</v>
      </c>
      <c r="U5784" s="213" t="s">
        <v>57177</v>
      </c>
    </row>
    <row r="5785" spans="1:21" x14ac:dyDescent="0.25">
      <c r="A5785" s="213" t="s">
        <v>327</v>
      </c>
      <c r="D5785" s="213" t="s">
        <v>48230</v>
      </c>
      <c r="E5785" s="213" t="s">
        <v>48231</v>
      </c>
      <c r="K5785" s="213" t="s">
        <v>57097</v>
      </c>
      <c r="L5785" s="213" t="s">
        <v>57124</v>
      </c>
      <c r="M5785" s="213" t="s">
        <v>57151</v>
      </c>
      <c r="N5785" s="213" t="s">
        <v>48232</v>
      </c>
      <c r="O5785" s="213" t="s">
        <v>48233</v>
      </c>
      <c r="P5785" s="213" t="s">
        <v>48234</v>
      </c>
      <c r="Q5785" s="213" t="s">
        <v>48235</v>
      </c>
      <c r="R5785" s="213" t="s">
        <v>48236</v>
      </c>
      <c r="S5785" s="213" t="s">
        <v>48237</v>
      </c>
      <c r="T5785" s="213" t="s">
        <v>48238</v>
      </c>
      <c r="U5785" s="213" t="s">
        <v>57178</v>
      </c>
    </row>
    <row r="5786" spans="1:21" x14ac:dyDescent="0.25">
      <c r="A5786" s="213" t="s">
        <v>327</v>
      </c>
      <c r="D5786" s="213" t="s">
        <v>48239</v>
      </c>
      <c r="E5786" s="213" t="s">
        <v>48240</v>
      </c>
      <c r="K5786" s="213" t="s">
        <v>57098</v>
      </c>
      <c r="L5786" s="213" t="s">
        <v>57125</v>
      </c>
      <c r="M5786" s="213" t="s">
        <v>57152</v>
      </c>
      <c r="N5786" s="213" t="s">
        <v>48241</v>
      </c>
      <c r="O5786" s="213" t="s">
        <v>48242</v>
      </c>
      <c r="P5786" s="213" t="s">
        <v>48243</v>
      </c>
      <c r="Q5786" s="213" t="s">
        <v>48244</v>
      </c>
      <c r="R5786" s="213" t="s">
        <v>48245</v>
      </c>
      <c r="S5786" s="213" t="s">
        <v>48246</v>
      </c>
      <c r="T5786" s="213" t="s">
        <v>48247</v>
      </c>
      <c r="U5786" s="213" t="s">
        <v>57179</v>
      </c>
    </row>
    <row r="5787" spans="1:21" x14ac:dyDescent="0.25">
      <c r="A5787" s="213" t="s">
        <v>327</v>
      </c>
      <c r="D5787" s="213" t="s">
        <v>48248</v>
      </c>
      <c r="E5787" s="213" t="s">
        <v>48249</v>
      </c>
      <c r="K5787" s="213" t="s">
        <v>57099</v>
      </c>
      <c r="L5787" s="213" t="s">
        <v>57126</v>
      </c>
      <c r="M5787" s="213" t="s">
        <v>57153</v>
      </c>
      <c r="N5787" s="213" t="s">
        <v>48250</v>
      </c>
      <c r="O5787" s="213" t="s">
        <v>48251</v>
      </c>
      <c r="P5787" s="213" t="s">
        <v>48252</v>
      </c>
      <c r="Q5787" s="213" t="s">
        <v>48253</v>
      </c>
      <c r="R5787" s="213" t="s">
        <v>48254</v>
      </c>
      <c r="S5787" s="213" t="s">
        <v>48255</v>
      </c>
      <c r="T5787" s="213" t="s">
        <v>48256</v>
      </c>
      <c r="U5787" s="213" t="s">
        <v>57180</v>
      </c>
    </row>
    <row r="5788" spans="1:21" x14ac:dyDescent="0.25">
      <c r="A5788" s="213" t="s">
        <v>327</v>
      </c>
      <c r="D5788" s="213" t="s">
        <v>48257</v>
      </c>
      <c r="E5788" s="213" t="s">
        <v>48258</v>
      </c>
      <c r="K5788" s="213" t="s">
        <v>57100</v>
      </c>
      <c r="L5788" s="213" t="s">
        <v>57127</v>
      </c>
      <c r="M5788" s="213" t="s">
        <v>57154</v>
      </c>
      <c r="N5788" s="213" t="s">
        <v>48259</v>
      </c>
      <c r="O5788" s="213" t="s">
        <v>48260</v>
      </c>
      <c r="P5788" s="213" t="s">
        <v>48261</v>
      </c>
      <c r="Q5788" s="213" t="s">
        <v>48262</v>
      </c>
      <c r="R5788" s="213" t="s">
        <v>48263</v>
      </c>
      <c r="S5788" s="213" t="s">
        <v>48264</v>
      </c>
      <c r="T5788" s="213" t="s">
        <v>48265</v>
      </c>
      <c r="U5788" s="213" t="s">
        <v>57181</v>
      </c>
    </row>
    <row r="5789" spans="1:21" x14ac:dyDescent="0.25">
      <c r="A5789" s="213" t="s">
        <v>327</v>
      </c>
      <c r="D5789" s="213" t="s">
        <v>48266</v>
      </c>
      <c r="E5789" s="213" t="s">
        <v>48267</v>
      </c>
      <c r="K5789" s="213" t="s">
        <v>57101</v>
      </c>
      <c r="L5789" s="213" t="s">
        <v>57128</v>
      </c>
      <c r="M5789" s="213" t="s">
        <v>57155</v>
      </c>
      <c r="N5789" s="213" t="s">
        <v>48268</v>
      </c>
      <c r="O5789" s="213" t="s">
        <v>48269</v>
      </c>
      <c r="P5789" s="213" t="s">
        <v>48270</v>
      </c>
      <c r="Q5789" s="213" t="s">
        <v>48271</v>
      </c>
      <c r="R5789" s="213" t="s">
        <v>48272</v>
      </c>
      <c r="S5789" s="213" t="s">
        <v>48273</v>
      </c>
      <c r="T5789" s="213" t="s">
        <v>48274</v>
      </c>
      <c r="U5789" s="213" t="s">
        <v>57182</v>
      </c>
    </row>
    <row r="5790" spans="1:21" x14ac:dyDescent="0.25">
      <c r="A5790" s="213" t="s">
        <v>327</v>
      </c>
      <c r="D5790" s="213" t="s">
        <v>48275</v>
      </c>
      <c r="E5790" s="213" t="s">
        <v>48276</v>
      </c>
      <c r="K5790" s="213" t="s">
        <v>57102</v>
      </c>
      <c r="L5790" s="213" t="s">
        <v>57129</v>
      </c>
      <c r="M5790" s="213" t="s">
        <v>57156</v>
      </c>
      <c r="N5790" s="213" t="s">
        <v>48277</v>
      </c>
      <c r="O5790" s="213" t="s">
        <v>48278</v>
      </c>
      <c r="P5790" s="213" t="s">
        <v>48279</v>
      </c>
      <c r="Q5790" s="213" t="s">
        <v>48280</v>
      </c>
      <c r="R5790" s="213" t="s">
        <v>48281</v>
      </c>
      <c r="S5790" s="213" t="s">
        <v>48282</v>
      </c>
      <c r="T5790" s="213" t="s">
        <v>48283</v>
      </c>
      <c r="U5790" s="213" t="s">
        <v>57183</v>
      </c>
    </row>
    <row r="5791" spans="1:21" x14ac:dyDescent="0.25">
      <c r="A5791" s="213" t="s">
        <v>327</v>
      </c>
      <c r="D5791" s="213" t="s">
        <v>48284</v>
      </c>
      <c r="E5791" s="213" t="s">
        <v>48285</v>
      </c>
      <c r="K5791" s="213" t="s">
        <v>57103</v>
      </c>
      <c r="L5791" s="213" t="s">
        <v>57130</v>
      </c>
      <c r="M5791" s="213" t="s">
        <v>57157</v>
      </c>
      <c r="N5791" s="213" t="s">
        <v>48286</v>
      </c>
      <c r="O5791" s="213" t="s">
        <v>48287</v>
      </c>
      <c r="P5791" s="213" t="s">
        <v>48288</v>
      </c>
      <c r="Q5791" s="213" t="s">
        <v>48289</v>
      </c>
      <c r="R5791" s="213" t="s">
        <v>48290</v>
      </c>
      <c r="S5791" s="213" t="s">
        <v>48291</v>
      </c>
      <c r="T5791" s="213" t="s">
        <v>48292</v>
      </c>
      <c r="U5791" s="213" t="s">
        <v>57184</v>
      </c>
    </row>
    <row r="5792" spans="1:21" x14ac:dyDescent="0.25">
      <c r="A5792" s="213" t="s">
        <v>327</v>
      </c>
      <c r="D5792" s="213" t="s">
        <v>48293</v>
      </c>
      <c r="E5792" s="213" t="s">
        <v>48294</v>
      </c>
      <c r="K5792" s="213" t="s">
        <v>57104</v>
      </c>
      <c r="L5792" s="213" t="s">
        <v>57131</v>
      </c>
      <c r="M5792" s="213" t="s">
        <v>57158</v>
      </c>
      <c r="N5792" s="213" t="s">
        <v>48295</v>
      </c>
      <c r="O5792" s="213" t="s">
        <v>48296</v>
      </c>
      <c r="P5792" s="213" t="s">
        <v>48297</v>
      </c>
      <c r="Q5792" s="213" t="s">
        <v>48298</v>
      </c>
      <c r="R5792" s="213" t="s">
        <v>48299</v>
      </c>
      <c r="S5792" s="213" t="s">
        <v>48300</v>
      </c>
      <c r="T5792" s="213" t="s">
        <v>48301</v>
      </c>
      <c r="U5792" s="213" t="s">
        <v>57185</v>
      </c>
    </row>
    <row r="5793" spans="1:21" x14ac:dyDescent="0.25">
      <c r="A5793" s="213" t="s">
        <v>327</v>
      </c>
      <c r="D5793" s="213" t="s">
        <v>48302</v>
      </c>
      <c r="E5793" s="213" t="s">
        <v>48303</v>
      </c>
      <c r="K5793" s="213" t="s">
        <v>57105</v>
      </c>
      <c r="L5793" s="213" t="s">
        <v>57132</v>
      </c>
      <c r="M5793" s="213" t="s">
        <v>57159</v>
      </c>
      <c r="N5793" s="213" t="s">
        <v>48304</v>
      </c>
      <c r="O5793" s="213" t="s">
        <v>48305</v>
      </c>
      <c r="P5793" s="213" t="s">
        <v>48306</v>
      </c>
      <c r="Q5793" s="213" t="s">
        <v>48307</v>
      </c>
      <c r="R5793" s="213" t="s">
        <v>48308</v>
      </c>
      <c r="S5793" s="213" t="s">
        <v>48309</v>
      </c>
      <c r="T5793" s="213" t="s">
        <v>48310</v>
      </c>
      <c r="U5793" s="213" t="s">
        <v>57186</v>
      </c>
    </row>
    <row r="5794" spans="1:21" x14ac:dyDescent="0.25">
      <c r="A5794" s="213" t="s">
        <v>327</v>
      </c>
      <c r="D5794" s="213" t="s">
        <v>48311</v>
      </c>
      <c r="E5794" s="213" t="s">
        <v>48312</v>
      </c>
      <c r="K5794" s="213" t="s">
        <v>57106</v>
      </c>
      <c r="L5794" s="213" t="s">
        <v>57133</v>
      </c>
      <c r="M5794" s="213" t="s">
        <v>57160</v>
      </c>
      <c r="N5794" s="213" t="s">
        <v>48313</v>
      </c>
      <c r="O5794" s="213" t="s">
        <v>48314</v>
      </c>
      <c r="P5794" s="213" t="s">
        <v>48315</v>
      </c>
      <c r="Q5794" s="213" t="s">
        <v>48316</v>
      </c>
      <c r="R5794" s="213" t="s">
        <v>48317</v>
      </c>
      <c r="S5794" s="213" t="s">
        <v>48318</v>
      </c>
      <c r="T5794" s="213" t="s">
        <v>48319</v>
      </c>
      <c r="U5794" s="213" t="s">
        <v>57187</v>
      </c>
    </row>
    <row r="5795" spans="1:21" x14ac:dyDescent="0.25">
      <c r="A5795" s="213" t="s">
        <v>327</v>
      </c>
      <c r="D5795" s="213" t="s">
        <v>48320</v>
      </c>
      <c r="E5795" s="213" t="s">
        <v>48321</v>
      </c>
      <c r="K5795" s="213" t="s">
        <v>57107</v>
      </c>
      <c r="L5795" s="213" t="s">
        <v>57134</v>
      </c>
      <c r="M5795" s="213" t="s">
        <v>57161</v>
      </c>
      <c r="N5795" s="213" t="s">
        <v>48322</v>
      </c>
      <c r="O5795" s="213" t="s">
        <v>48323</v>
      </c>
      <c r="P5795" s="213" t="s">
        <v>48324</v>
      </c>
      <c r="Q5795" s="213" t="s">
        <v>48325</v>
      </c>
      <c r="R5795" s="213" t="s">
        <v>48326</v>
      </c>
      <c r="S5795" s="213" t="s">
        <v>48327</v>
      </c>
      <c r="T5795" s="213" t="s">
        <v>48328</v>
      </c>
      <c r="U5795" s="213" t="s">
        <v>57188</v>
      </c>
    </row>
    <row r="5796" spans="1:21" x14ac:dyDescent="0.25">
      <c r="A5796" s="213" t="s">
        <v>327</v>
      </c>
      <c r="D5796" s="213" t="s">
        <v>48329</v>
      </c>
      <c r="E5796" s="213" t="s">
        <v>48330</v>
      </c>
      <c r="K5796" s="213" t="s">
        <v>57108</v>
      </c>
      <c r="L5796" s="213" t="s">
        <v>57135</v>
      </c>
      <c r="M5796" s="213" t="s">
        <v>57162</v>
      </c>
      <c r="N5796" s="213" t="s">
        <v>48331</v>
      </c>
      <c r="O5796" s="213" t="s">
        <v>48332</v>
      </c>
      <c r="P5796" s="213" t="s">
        <v>48333</v>
      </c>
      <c r="Q5796" s="213" t="s">
        <v>48334</v>
      </c>
      <c r="R5796" s="213" t="s">
        <v>48335</v>
      </c>
      <c r="S5796" s="213" t="s">
        <v>48336</v>
      </c>
      <c r="T5796" s="213" t="s">
        <v>48337</v>
      </c>
      <c r="U5796" s="213" t="s">
        <v>57189</v>
      </c>
    </row>
    <row r="5797" spans="1:21" x14ac:dyDescent="0.25">
      <c r="A5797" s="213" t="s">
        <v>327</v>
      </c>
      <c r="D5797" s="213" t="s">
        <v>48338</v>
      </c>
      <c r="E5797" s="213" t="s">
        <v>48339</v>
      </c>
      <c r="K5797" s="213" t="s">
        <v>57109</v>
      </c>
      <c r="L5797" s="213" t="s">
        <v>57136</v>
      </c>
      <c r="M5797" s="213" t="s">
        <v>57163</v>
      </c>
      <c r="N5797" s="213" t="s">
        <v>48340</v>
      </c>
      <c r="O5797" s="213" t="s">
        <v>48341</v>
      </c>
      <c r="P5797" s="213" t="s">
        <v>48342</v>
      </c>
      <c r="Q5797" s="213" t="s">
        <v>48343</v>
      </c>
      <c r="R5797" s="213" t="s">
        <v>48344</v>
      </c>
      <c r="S5797" s="213" t="s">
        <v>48345</v>
      </c>
      <c r="T5797" s="213" t="s">
        <v>48346</v>
      </c>
      <c r="U5797" s="213" t="s">
        <v>57190</v>
      </c>
    </row>
    <row r="5798" spans="1:21" x14ac:dyDescent="0.25">
      <c r="A5798" s="213" t="s">
        <v>327</v>
      </c>
      <c r="D5798" s="213" t="s">
        <v>48347</v>
      </c>
      <c r="E5798" s="213" t="s">
        <v>48348</v>
      </c>
      <c r="K5798" s="213" t="s">
        <v>57110</v>
      </c>
      <c r="L5798" s="213" t="s">
        <v>57137</v>
      </c>
      <c r="M5798" s="213" t="s">
        <v>57164</v>
      </c>
      <c r="N5798" s="213" t="s">
        <v>48349</v>
      </c>
      <c r="O5798" s="213" t="s">
        <v>48350</v>
      </c>
      <c r="P5798" s="213" t="s">
        <v>48351</v>
      </c>
      <c r="Q5798" s="213" t="s">
        <v>48352</v>
      </c>
      <c r="R5798" s="213" t="s">
        <v>48353</v>
      </c>
      <c r="S5798" s="213" t="s">
        <v>48354</v>
      </c>
      <c r="T5798" s="213" t="s">
        <v>48355</v>
      </c>
      <c r="U5798" s="213" t="s">
        <v>57191</v>
      </c>
    </row>
    <row r="5799" spans="1:21" x14ac:dyDescent="0.25">
      <c r="A5799" s="213" t="s">
        <v>327</v>
      </c>
      <c r="D5799" s="213" t="s">
        <v>48356</v>
      </c>
      <c r="E5799" s="213" t="s">
        <v>48357</v>
      </c>
      <c r="K5799" s="213" t="s">
        <v>57111</v>
      </c>
      <c r="L5799" s="213" t="s">
        <v>57138</v>
      </c>
      <c r="M5799" s="213" t="s">
        <v>57165</v>
      </c>
      <c r="N5799" s="213" t="s">
        <v>48358</v>
      </c>
      <c r="O5799" s="213" t="s">
        <v>48359</v>
      </c>
      <c r="P5799" s="213" t="s">
        <v>48360</v>
      </c>
      <c r="Q5799" s="213" t="s">
        <v>48361</v>
      </c>
      <c r="R5799" s="213" t="s">
        <v>48362</v>
      </c>
      <c r="S5799" s="213" t="s">
        <v>48363</v>
      </c>
      <c r="T5799" s="213" t="s">
        <v>48364</v>
      </c>
      <c r="U5799" s="213" t="s">
        <v>57192</v>
      </c>
    </row>
    <row r="5800" spans="1:21" x14ac:dyDescent="0.25">
      <c r="A5800" s="213" t="s">
        <v>327</v>
      </c>
      <c r="D5800" s="213" t="s">
        <v>48365</v>
      </c>
      <c r="E5800" s="213" t="s">
        <v>48366</v>
      </c>
      <c r="K5800" s="213" t="s">
        <v>57112</v>
      </c>
      <c r="L5800" s="213" t="s">
        <v>57139</v>
      </c>
      <c r="M5800" s="213" t="s">
        <v>57166</v>
      </c>
      <c r="N5800" s="213" t="s">
        <v>48367</v>
      </c>
      <c r="O5800" s="213" t="s">
        <v>48368</v>
      </c>
      <c r="P5800" s="213" t="s">
        <v>48369</v>
      </c>
      <c r="Q5800" s="213" t="s">
        <v>48370</v>
      </c>
      <c r="R5800" s="213" t="s">
        <v>48371</v>
      </c>
      <c r="S5800" s="213" t="s">
        <v>48372</v>
      </c>
      <c r="T5800" s="213" t="s">
        <v>48373</v>
      </c>
      <c r="U5800" s="213" t="s">
        <v>57193</v>
      </c>
    </row>
    <row r="5801" spans="1:21" x14ac:dyDescent="0.25">
      <c r="A5801" s="213" t="s">
        <v>327</v>
      </c>
      <c r="D5801" s="213" t="s">
        <v>48374</v>
      </c>
      <c r="E5801" s="213" t="s">
        <v>48375</v>
      </c>
      <c r="K5801" s="213" t="s">
        <v>57113</v>
      </c>
      <c r="L5801" s="213" t="s">
        <v>57140</v>
      </c>
      <c r="M5801" s="213" t="s">
        <v>57167</v>
      </c>
      <c r="N5801" s="213" t="s">
        <v>48376</v>
      </c>
      <c r="O5801" s="213" t="s">
        <v>48377</v>
      </c>
      <c r="P5801" s="213" t="s">
        <v>48378</v>
      </c>
      <c r="Q5801" s="213" t="s">
        <v>48379</v>
      </c>
      <c r="R5801" s="213" t="s">
        <v>48380</v>
      </c>
      <c r="S5801" s="213" t="s">
        <v>48381</v>
      </c>
      <c r="T5801" s="213" t="s">
        <v>48382</v>
      </c>
      <c r="U5801" s="213" t="s">
        <v>57194</v>
      </c>
    </row>
    <row r="5802" spans="1:21" x14ac:dyDescent="0.25">
      <c r="A5802" s="213" t="s">
        <v>327</v>
      </c>
      <c r="D5802" s="213" t="s">
        <v>48383</v>
      </c>
      <c r="E5802" s="213" t="s">
        <v>48384</v>
      </c>
      <c r="K5802" s="213" t="s">
        <v>57114</v>
      </c>
      <c r="L5802" s="213" t="s">
        <v>57141</v>
      </c>
      <c r="M5802" s="213" t="s">
        <v>57168</v>
      </c>
      <c r="N5802" s="213" t="s">
        <v>48385</v>
      </c>
      <c r="O5802" s="213" t="s">
        <v>48386</v>
      </c>
      <c r="P5802" s="213" t="s">
        <v>48387</v>
      </c>
      <c r="Q5802" s="213" t="s">
        <v>48388</v>
      </c>
      <c r="R5802" s="213" t="s">
        <v>48389</v>
      </c>
      <c r="S5802" s="213" t="s">
        <v>48390</v>
      </c>
      <c r="T5802" s="213" t="s">
        <v>48391</v>
      </c>
      <c r="U5802" s="213" t="s">
        <v>57195</v>
      </c>
    </row>
    <row r="5803" spans="1:21" x14ac:dyDescent="0.25">
      <c r="A5803" s="213" t="s">
        <v>327</v>
      </c>
      <c r="D5803" s="213" t="s">
        <v>48392</v>
      </c>
      <c r="E5803" s="213" t="s">
        <v>48393</v>
      </c>
      <c r="K5803" s="213" t="s">
        <v>57115</v>
      </c>
      <c r="L5803" s="213" t="s">
        <v>57142</v>
      </c>
      <c r="M5803" s="213" t="s">
        <v>57169</v>
      </c>
      <c r="N5803" s="213" t="s">
        <v>48394</v>
      </c>
      <c r="O5803" s="213" t="s">
        <v>48395</v>
      </c>
      <c r="P5803" s="213" t="s">
        <v>48396</v>
      </c>
      <c r="Q5803" s="213" t="s">
        <v>48397</v>
      </c>
      <c r="R5803" s="213" t="s">
        <v>48398</v>
      </c>
      <c r="S5803" s="213" t="s">
        <v>48399</v>
      </c>
      <c r="T5803" s="213" t="s">
        <v>48400</v>
      </c>
      <c r="U5803" s="213" t="s">
        <v>57196</v>
      </c>
    </row>
    <row r="5804" spans="1:21" x14ac:dyDescent="0.25">
      <c r="A5804" s="213" t="s">
        <v>327</v>
      </c>
      <c r="D5804" s="213" t="s">
        <v>48401</v>
      </c>
      <c r="E5804" s="213" t="s">
        <v>48402</v>
      </c>
      <c r="K5804" s="213" t="s">
        <v>57116</v>
      </c>
      <c r="L5804" s="213" t="s">
        <v>57143</v>
      </c>
      <c r="M5804" s="213" t="s">
        <v>57170</v>
      </c>
      <c r="N5804" s="213" t="s">
        <v>48403</v>
      </c>
      <c r="O5804" s="213" t="s">
        <v>48404</v>
      </c>
      <c r="P5804" s="213" t="s">
        <v>48405</v>
      </c>
      <c r="Q5804" s="213" t="s">
        <v>48406</v>
      </c>
      <c r="R5804" s="213" t="s">
        <v>48407</v>
      </c>
      <c r="S5804" s="213" t="s">
        <v>48408</v>
      </c>
      <c r="T5804" s="213" t="s">
        <v>48409</v>
      </c>
      <c r="U5804" s="213" t="s">
        <v>57197</v>
      </c>
    </row>
    <row r="5805" spans="1:21" x14ac:dyDescent="0.25">
      <c r="A5805" s="213" t="s">
        <v>327</v>
      </c>
      <c r="D5805" s="213" t="s">
        <v>48410</v>
      </c>
      <c r="E5805" s="213" t="s">
        <v>48411</v>
      </c>
      <c r="K5805" s="213" t="s">
        <v>57117</v>
      </c>
      <c r="L5805" s="213" t="s">
        <v>57144</v>
      </c>
      <c r="M5805" s="213" t="s">
        <v>57171</v>
      </c>
      <c r="N5805" s="213" t="s">
        <v>48412</v>
      </c>
      <c r="O5805" s="213" t="s">
        <v>48413</v>
      </c>
      <c r="P5805" s="213" t="s">
        <v>48414</v>
      </c>
      <c r="Q5805" s="213" t="s">
        <v>48415</v>
      </c>
      <c r="R5805" s="213" t="s">
        <v>48416</v>
      </c>
      <c r="S5805" s="213" t="s">
        <v>48417</v>
      </c>
      <c r="T5805" s="213" t="s">
        <v>48418</v>
      </c>
      <c r="U5805" s="213" t="s">
        <v>57198</v>
      </c>
    </row>
    <row r="5806" spans="1:21" x14ac:dyDescent="0.25">
      <c r="A5806" s="213" t="s">
        <v>327</v>
      </c>
      <c r="D5806" s="213" t="s">
        <v>48419</v>
      </c>
      <c r="E5806" s="213" t="s">
        <v>48420</v>
      </c>
      <c r="K5806" s="213" t="s">
        <v>57118</v>
      </c>
      <c r="L5806" s="213" t="s">
        <v>57145</v>
      </c>
      <c r="M5806" s="213" t="s">
        <v>57172</v>
      </c>
      <c r="N5806" s="213" t="s">
        <v>48421</v>
      </c>
      <c r="O5806" s="213" t="s">
        <v>48422</v>
      </c>
      <c r="P5806" s="213" t="s">
        <v>48423</v>
      </c>
      <c r="Q5806" s="213" t="s">
        <v>48424</v>
      </c>
      <c r="R5806" s="213" t="s">
        <v>48425</v>
      </c>
      <c r="S5806" s="213" t="s">
        <v>48426</v>
      </c>
      <c r="T5806" s="213" t="s">
        <v>48427</v>
      </c>
      <c r="U5806" s="213" t="s">
        <v>57199</v>
      </c>
    </row>
    <row r="5807" spans="1:21" x14ac:dyDescent="0.25">
      <c r="A5807" s="213" t="s">
        <v>327</v>
      </c>
      <c r="D5807" s="213" t="s">
        <v>48428</v>
      </c>
      <c r="E5807" s="213" t="s">
        <v>48429</v>
      </c>
      <c r="K5807" s="213" t="s">
        <v>57119</v>
      </c>
      <c r="L5807" s="213" t="s">
        <v>57146</v>
      </c>
      <c r="M5807" s="213" t="s">
        <v>57173</v>
      </c>
      <c r="N5807" s="213" t="s">
        <v>48430</v>
      </c>
      <c r="O5807" s="213" t="s">
        <v>48431</v>
      </c>
      <c r="P5807" s="213" t="s">
        <v>48432</v>
      </c>
      <c r="Q5807" s="213" t="s">
        <v>48433</v>
      </c>
      <c r="R5807" s="213" t="s">
        <v>48434</v>
      </c>
      <c r="S5807" s="213" t="s">
        <v>48435</v>
      </c>
      <c r="T5807" s="213" t="s">
        <v>48436</v>
      </c>
      <c r="U5807" s="213" t="s">
        <v>57200</v>
      </c>
    </row>
    <row r="5808" spans="1:21" x14ac:dyDescent="0.25">
      <c r="A5808" s="213" t="s">
        <v>327</v>
      </c>
      <c r="D5808" s="213" t="s">
        <v>48437</v>
      </c>
      <c r="E5808" s="213" t="s">
        <v>48438</v>
      </c>
      <c r="K5808" s="213" t="s">
        <v>57120</v>
      </c>
      <c r="L5808" s="213" t="s">
        <v>57147</v>
      </c>
      <c r="M5808" s="213" t="s">
        <v>57174</v>
      </c>
      <c r="N5808" s="213" t="s">
        <v>48439</v>
      </c>
      <c r="O5808" s="213" t="s">
        <v>48440</v>
      </c>
      <c r="P5808" s="213" t="s">
        <v>48441</v>
      </c>
      <c r="Q5808" s="213" t="s">
        <v>48442</v>
      </c>
      <c r="R5808" s="213" t="s">
        <v>48443</v>
      </c>
      <c r="S5808" s="213" t="s">
        <v>48444</v>
      </c>
      <c r="T5808" s="213" t="s">
        <v>48445</v>
      </c>
      <c r="U5808" s="213" t="s">
        <v>57201</v>
      </c>
    </row>
    <row r="5809" spans="1:21" x14ac:dyDescent="0.25">
      <c r="A5809" s="213" t="s">
        <v>327</v>
      </c>
    </row>
    <row r="5810" spans="1:21" x14ac:dyDescent="0.25">
      <c r="A5810" s="213" t="s">
        <v>327</v>
      </c>
    </row>
    <row r="5811" spans="1:21" x14ac:dyDescent="0.25">
      <c r="A5811" s="213" t="s">
        <v>327</v>
      </c>
      <c r="C5811" s="213" t="s">
        <v>48446</v>
      </c>
      <c r="E5811" s="213" t="s">
        <v>48447</v>
      </c>
      <c r="H5811" s="213" t="s">
        <v>48448</v>
      </c>
      <c r="I5811" s="213" t="s">
        <v>48449</v>
      </c>
      <c r="J5811" s="213" t="s">
        <v>48450</v>
      </c>
      <c r="L5811" s="213" t="s">
        <v>48451</v>
      </c>
      <c r="O5811" s="213" t="s">
        <v>48452</v>
      </c>
      <c r="P5811" s="213" t="s">
        <v>48453</v>
      </c>
      <c r="Q5811" s="213" t="s">
        <v>48454</v>
      </c>
      <c r="R5811" s="213" t="s">
        <v>48455</v>
      </c>
      <c r="S5811" s="213" t="s">
        <v>48456</v>
      </c>
      <c r="T5811" s="213" t="s">
        <v>48457</v>
      </c>
    </row>
    <row r="5812" spans="1:21" x14ac:dyDescent="0.25">
      <c r="A5812" s="213" t="s">
        <v>327</v>
      </c>
      <c r="C5812" s="213" t="s">
        <v>48458</v>
      </c>
      <c r="E5812" s="213" t="s">
        <v>48459</v>
      </c>
      <c r="I5812" s="213" t="s">
        <v>48460</v>
      </c>
    </row>
    <row r="5813" spans="1:21" x14ac:dyDescent="0.25">
      <c r="A5813" s="213" t="s">
        <v>327</v>
      </c>
      <c r="C5813" s="213" t="s">
        <v>48461</v>
      </c>
      <c r="E5813" s="213" t="s">
        <v>48462</v>
      </c>
      <c r="I5813" s="213" t="s">
        <v>48463</v>
      </c>
    </row>
    <row r="5814" spans="1:21" x14ac:dyDescent="0.25">
      <c r="A5814" s="213" t="s">
        <v>328</v>
      </c>
    </row>
    <row r="5815" spans="1:21" x14ac:dyDescent="0.25">
      <c r="A5815" s="213" t="s">
        <v>327</v>
      </c>
      <c r="D5815" s="213" t="s">
        <v>48464</v>
      </c>
      <c r="E5815" s="213" t="s">
        <v>48465</v>
      </c>
      <c r="K5815" s="213" t="s">
        <v>56978</v>
      </c>
      <c r="L5815" s="213" t="s">
        <v>57007</v>
      </c>
      <c r="M5815" s="213" t="s">
        <v>57036</v>
      </c>
      <c r="N5815" s="213" t="s">
        <v>48466</v>
      </c>
      <c r="O5815" s="213" t="s">
        <v>48467</v>
      </c>
      <c r="P5815" s="213" t="s">
        <v>48468</v>
      </c>
      <c r="Q5815" s="213" t="s">
        <v>48469</v>
      </c>
      <c r="R5815" s="213" t="s">
        <v>48470</v>
      </c>
      <c r="S5815" s="213" t="s">
        <v>48471</v>
      </c>
      <c r="T5815" s="213" t="s">
        <v>48472</v>
      </c>
      <c r="U5815" s="213" t="s">
        <v>57065</v>
      </c>
    </row>
    <row r="5816" spans="1:21" x14ac:dyDescent="0.25">
      <c r="A5816" s="213" t="s">
        <v>327</v>
      </c>
      <c r="D5816" s="213" t="s">
        <v>48473</v>
      </c>
      <c r="E5816" s="213" t="s">
        <v>48474</v>
      </c>
      <c r="K5816" s="213" t="s">
        <v>56979</v>
      </c>
      <c r="L5816" s="213" t="s">
        <v>57008</v>
      </c>
      <c r="M5816" s="213" t="s">
        <v>57037</v>
      </c>
      <c r="N5816" s="213" t="s">
        <v>48475</v>
      </c>
      <c r="O5816" s="213" t="s">
        <v>48476</v>
      </c>
      <c r="P5816" s="213" t="s">
        <v>48477</v>
      </c>
      <c r="Q5816" s="213" t="s">
        <v>48478</v>
      </c>
      <c r="R5816" s="213" t="s">
        <v>48479</v>
      </c>
      <c r="S5816" s="213" t="s">
        <v>48480</v>
      </c>
      <c r="T5816" s="213" t="s">
        <v>48481</v>
      </c>
      <c r="U5816" s="213" t="s">
        <v>57066</v>
      </c>
    </row>
    <row r="5817" spans="1:21" x14ac:dyDescent="0.25">
      <c r="A5817" s="213" t="s">
        <v>327</v>
      </c>
      <c r="D5817" s="213" t="s">
        <v>48482</v>
      </c>
      <c r="E5817" s="213" t="s">
        <v>48483</v>
      </c>
      <c r="K5817" s="213" t="s">
        <v>56980</v>
      </c>
      <c r="L5817" s="213" t="s">
        <v>57009</v>
      </c>
      <c r="M5817" s="213" t="s">
        <v>57038</v>
      </c>
      <c r="N5817" s="213" t="s">
        <v>48484</v>
      </c>
      <c r="O5817" s="213" t="s">
        <v>48485</v>
      </c>
      <c r="P5817" s="213" t="s">
        <v>48486</v>
      </c>
      <c r="Q5817" s="213" t="s">
        <v>48487</v>
      </c>
      <c r="R5817" s="213" t="s">
        <v>48488</v>
      </c>
      <c r="S5817" s="213" t="s">
        <v>48489</v>
      </c>
      <c r="T5817" s="213" t="s">
        <v>48490</v>
      </c>
      <c r="U5817" s="213" t="s">
        <v>57067</v>
      </c>
    </row>
    <row r="5818" spans="1:21" x14ac:dyDescent="0.25">
      <c r="A5818" s="213" t="s">
        <v>327</v>
      </c>
      <c r="D5818" s="213" t="s">
        <v>48491</v>
      </c>
      <c r="E5818" s="213" t="s">
        <v>48492</v>
      </c>
      <c r="K5818" s="213" t="s">
        <v>56981</v>
      </c>
      <c r="L5818" s="213" t="s">
        <v>57010</v>
      </c>
      <c r="M5818" s="213" t="s">
        <v>57039</v>
      </c>
      <c r="N5818" s="213" t="s">
        <v>48493</v>
      </c>
      <c r="O5818" s="213" t="s">
        <v>48494</v>
      </c>
      <c r="P5818" s="213" t="s">
        <v>48495</v>
      </c>
      <c r="Q5818" s="213" t="s">
        <v>48496</v>
      </c>
      <c r="R5818" s="213" t="s">
        <v>48497</v>
      </c>
      <c r="S5818" s="213" t="s">
        <v>48498</v>
      </c>
      <c r="T5818" s="213" t="s">
        <v>48499</v>
      </c>
      <c r="U5818" s="213" t="s">
        <v>57068</v>
      </c>
    </row>
    <row r="5819" spans="1:21" x14ac:dyDescent="0.25">
      <c r="A5819" s="213" t="s">
        <v>327</v>
      </c>
      <c r="D5819" s="213" t="s">
        <v>48500</v>
      </c>
      <c r="E5819" s="213" t="s">
        <v>48501</v>
      </c>
      <c r="K5819" s="213" t="s">
        <v>56982</v>
      </c>
      <c r="L5819" s="213" t="s">
        <v>57011</v>
      </c>
      <c r="M5819" s="213" t="s">
        <v>57040</v>
      </c>
      <c r="N5819" s="213" t="s">
        <v>48502</v>
      </c>
      <c r="O5819" s="213" t="s">
        <v>48503</v>
      </c>
      <c r="P5819" s="213" t="s">
        <v>48504</v>
      </c>
      <c r="Q5819" s="213" t="s">
        <v>48505</v>
      </c>
      <c r="R5819" s="213" t="s">
        <v>48506</v>
      </c>
      <c r="S5819" s="213" t="s">
        <v>48507</v>
      </c>
      <c r="T5819" s="213" t="s">
        <v>48508</v>
      </c>
      <c r="U5819" s="213" t="s">
        <v>57069</v>
      </c>
    </row>
    <row r="5820" spans="1:21" x14ac:dyDescent="0.25">
      <c r="A5820" s="213" t="s">
        <v>327</v>
      </c>
      <c r="D5820" s="213" t="s">
        <v>48509</v>
      </c>
      <c r="E5820" s="213" t="s">
        <v>48510</v>
      </c>
      <c r="K5820" s="213" t="s">
        <v>56983</v>
      </c>
      <c r="L5820" s="213" t="s">
        <v>57012</v>
      </c>
      <c r="M5820" s="213" t="s">
        <v>57041</v>
      </c>
      <c r="N5820" s="213" t="s">
        <v>48511</v>
      </c>
      <c r="O5820" s="213" t="s">
        <v>48512</v>
      </c>
      <c r="P5820" s="213" t="s">
        <v>48513</v>
      </c>
      <c r="Q5820" s="213" t="s">
        <v>48514</v>
      </c>
      <c r="R5820" s="213" t="s">
        <v>48515</v>
      </c>
      <c r="S5820" s="213" t="s">
        <v>48516</v>
      </c>
      <c r="T5820" s="213" t="s">
        <v>48517</v>
      </c>
      <c r="U5820" s="213" t="s">
        <v>57070</v>
      </c>
    </row>
    <row r="5821" spans="1:21" x14ac:dyDescent="0.25">
      <c r="A5821" s="213" t="s">
        <v>327</v>
      </c>
      <c r="D5821" s="213" t="s">
        <v>48518</v>
      </c>
      <c r="E5821" s="213" t="s">
        <v>48519</v>
      </c>
      <c r="K5821" s="213" t="s">
        <v>56984</v>
      </c>
      <c r="L5821" s="213" t="s">
        <v>57013</v>
      </c>
      <c r="M5821" s="213" t="s">
        <v>57042</v>
      </c>
      <c r="N5821" s="213" t="s">
        <v>48520</v>
      </c>
      <c r="O5821" s="213" t="s">
        <v>48521</v>
      </c>
      <c r="P5821" s="213" t="s">
        <v>48522</v>
      </c>
      <c r="Q5821" s="213" t="s">
        <v>48523</v>
      </c>
      <c r="R5821" s="213" t="s">
        <v>48524</v>
      </c>
      <c r="S5821" s="213" t="s">
        <v>48525</v>
      </c>
      <c r="T5821" s="213" t="s">
        <v>48526</v>
      </c>
      <c r="U5821" s="213" t="s">
        <v>57071</v>
      </c>
    </row>
    <row r="5822" spans="1:21" x14ac:dyDescent="0.25">
      <c r="A5822" s="213" t="s">
        <v>327</v>
      </c>
      <c r="D5822" s="213" t="s">
        <v>48527</v>
      </c>
      <c r="E5822" s="213" t="s">
        <v>48528</v>
      </c>
      <c r="K5822" s="213" t="s">
        <v>56985</v>
      </c>
      <c r="L5822" s="213" t="s">
        <v>57014</v>
      </c>
      <c r="M5822" s="213" t="s">
        <v>57043</v>
      </c>
      <c r="N5822" s="213" t="s">
        <v>48529</v>
      </c>
      <c r="O5822" s="213" t="s">
        <v>48530</v>
      </c>
      <c r="P5822" s="213" t="s">
        <v>48531</v>
      </c>
      <c r="Q5822" s="213" t="s">
        <v>48532</v>
      </c>
      <c r="R5822" s="213" t="s">
        <v>48533</v>
      </c>
      <c r="S5822" s="213" t="s">
        <v>48534</v>
      </c>
      <c r="T5822" s="213" t="s">
        <v>48535</v>
      </c>
      <c r="U5822" s="213" t="s">
        <v>57072</v>
      </c>
    </row>
    <row r="5823" spans="1:21" x14ac:dyDescent="0.25">
      <c r="A5823" s="213" t="s">
        <v>327</v>
      </c>
      <c r="D5823" s="213" t="s">
        <v>48536</v>
      </c>
      <c r="E5823" s="213" t="s">
        <v>48537</v>
      </c>
      <c r="K5823" s="213" t="s">
        <v>56986</v>
      </c>
      <c r="L5823" s="213" t="s">
        <v>57015</v>
      </c>
      <c r="M5823" s="213" t="s">
        <v>57044</v>
      </c>
      <c r="N5823" s="213" t="s">
        <v>48538</v>
      </c>
      <c r="O5823" s="213" t="s">
        <v>48539</v>
      </c>
      <c r="P5823" s="213" t="s">
        <v>48540</v>
      </c>
      <c r="Q5823" s="213" t="s">
        <v>48541</v>
      </c>
      <c r="R5823" s="213" t="s">
        <v>48542</v>
      </c>
      <c r="S5823" s="213" t="s">
        <v>48543</v>
      </c>
      <c r="T5823" s="213" t="s">
        <v>48544</v>
      </c>
      <c r="U5823" s="213" t="s">
        <v>57073</v>
      </c>
    </row>
    <row r="5824" spans="1:21" x14ac:dyDescent="0.25">
      <c r="A5824" s="213" t="s">
        <v>327</v>
      </c>
      <c r="D5824" s="213" t="s">
        <v>48545</v>
      </c>
      <c r="E5824" s="213" t="s">
        <v>48546</v>
      </c>
      <c r="K5824" s="213" t="s">
        <v>56987</v>
      </c>
      <c r="L5824" s="213" t="s">
        <v>57016</v>
      </c>
      <c r="M5824" s="213" t="s">
        <v>57045</v>
      </c>
      <c r="N5824" s="213" t="s">
        <v>48547</v>
      </c>
      <c r="O5824" s="213" t="s">
        <v>48548</v>
      </c>
      <c r="P5824" s="213" t="s">
        <v>48549</v>
      </c>
      <c r="Q5824" s="213" t="s">
        <v>48550</v>
      </c>
      <c r="R5824" s="213" t="s">
        <v>48551</v>
      </c>
      <c r="S5824" s="213" t="s">
        <v>48552</v>
      </c>
      <c r="T5824" s="213" t="s">
        <v>48553</v>
      </c>
      <c r="U5824" s="213" t="s">
        <v>57074</v>
      </c>
    </row>
    <row r="5825" spans="1:21" x14ac:dyDescent="0.25">
      <c r="A5825" s="213" t="s">
        <v>327</v>
      </c>
      <c r="D5825" s="213" t="s">
        <v>48554</v>
      </c>
      <c r="E5825" s="213" t="s">
        <v>48555</v>
      </c>
      <c r="K5825" s="213" t="s">
        <v>56988</v>
      </c>
      <c r="L5825" s="213" t="s">
        <v>57017</v>
      </c>
      <c r="M5825" s="213" t="s">
        <v>57046</v>
      </c>
      <c r="N5825" s="213" t="s">
        <v>48556</v>
      </c>
      <c r="O5825" s="213" t="s">
        <v>48557</v>
      </c>
      <c r="P5825" s="213" t="s">
        <v>48558</v>
      </c>
      <c r="Q5825" s="213" t="s">
        <v>48559</v>
      </c>
      <c r="R5825" s="213" t="s">
        <v>48560</v>
      </c>
      <c r="S5825" s="213" t="s">
        <v>48561</v>
      </c>
      <c r="T5825" s="213" t="s">
        <v>48562</v>
      </c>
      <c r="U5825" s="213" t="s">
        <v>57075</v>
      </c>
    </row>
    <row r="5826" spans="1:21" x14ac:dyDescent="0.25">
      <c r="A5826" s="213" t="s">
        <v>327</v>
      </c>
      <c r="D5826" s="213" t="s">
        <v>48563</v>
      </c>
      <c r="E5826" s="213" t="s">
        <v>48564</v>
      </c>
      <c r="K5826" s="213" t="s">
        <v>56989</v>
      </c>
      <c r="L5826" s="213" t="s">
        <v>57018</v>
      </c>
      <c r="M5826" s="213" t="s">
        <v>57047</v>
      </c>
      <c r="N5826" s="213" t="s">
        <v>48565</v>
      </c>
      <c r="O5826" s="213" t="s">
        <v>48566</v>
      </c>
      <c r="P5826" s="213" t="s">
        <v>48567</v>
      </c>
      <c r="Q5826" s="213" t="s">
        <v>48568</v>
      </c>
      <c r="R5826" s="213" t="s">
        <v>48569</v>
      </c>
      <c r="S5826" s="213" t="s">
        <v>48570</v>
      </c>
      <c r="T5826" s="213" t="s">
        <v>48571</v>
      </c>
      <c r="U5826" s="213" t="s">
        <v>57076</v>
      </c>
    </row>
    <row r="5827" spans="1:21" x14ac:dyDescent="0.25">
      <c r="A5827" s="213" t="s">
        <v>327</v>
      </c>
      <c r="D5827" s="213" t="s">
        <v>48572</v>
      </c>
      <c r="E5827" s="213" t="s">
        <v>48573</v>
      </c>
      <c r="K5827" s="213" t="s">
        <v>56990</v>
      </c>
      <c r="L5827" s="213" t="s">
        <v>57019</v>
      </c>
      <c r="M5827" s="213" t="s">
        <v>57048</v>
      </c>
      <c r="N5827" s="213" t="s">
        <v>48574</v>
      </c>
      <c r="O5827" s="213" t="s">
        <v>48575</v>
      </c>
      <c r="P5827" s="213" t="s">
        <v>48576</v>
      </c>
      <c r="Q5827" s="213" t="s">
        <v>48577</v>
      </c>
      <c r="R5827" s="213" t="s">
        <v>48578</v>
      </c>
      <c r="S5827" s="213" t="s">
        <v>48579</v>
      </c>
      <c r="T5827" s="213" t="s">
        <v>48580</v>
      </c>
      <c r="U5827" s="213" t="s">
        <v>57077</v>
      </c>
    </row>
    <row r="5828" spans="1:21" x14ac:dyDescent="0.25">
      <c r="A5828" s="213" t="s">
        <v>327</v>
      </c>
      <c r="D5828" s="213" t="s">
        <v>48581</v>
      </c>
      <c r="E5828" s="213" t="s">
        <v>48582</v>
      </c>
      <c r="K5828" s="213" t="s">
        <v>56991</v>
      </c>
      <c r="L5828" s="213" t="s">
        <v>57020</v>
      </c>
      <c r="M5828" s="213" t="s">
        <v>57049</v>
      </c>
      <c r="N5828" s="213" t="s">
        <v>48583</v>
      </c>
      <c r="O5828" s="213" t="s">
        <v>48584</v>
      </c>
      <c r="P5828" s="213" t="s">
        <v>48585</v>
      </c>
      <c r="Q5828" s="213" t="s">
        <v>48586</v>
      </c>
      <c r="R5828" s="213" t="s">
        <v>48587</v>
      </c>
      <c r="S5828" s="213" t="s">
        <v>48588</v>
      </c>
      <c r="T5828" s="213" t="s">
        <v>48589</v>
      </c>
      <c r="U5828" s="213" t="s">
        <v>57078</v>
      </c>
    </row>
    <row r="5829" spans="1:21" x14ac:dyDescent="0.25">
      <c r="A5829" s="213" t="s">
        <v>327</v>
      </c>
      <c r="D5829" s="213" t="s">
        <v>48590</v>
      </c>
      <c r="E5829" s="213" t="s">
        <v>48591</v>
      </c>
      <c r="K5829" s="213" t="s">
        <v>56992</v>
      </c>
      <c r="L5829" s="213" t="s">
        <v>57021</v>
      </c>
      <c r="M5829" s="213" t="s">
        <v>57050</v>
      </c>
      <c r="N5829" s="213" t="s">
        <v>48592</v>
      </c>
      <c r="O5829" s="213" t="s">
        <v>48593</v>
      </c>
      <c r="P5829" s="213" t="s">
        <v>48594</v>
      </c>
      <c r="Q5829" s="213" t="s">
        <v>48595</v>
      </c>
      <c r="R5829" s="213" t="s">
        <v>48596</v>
      </c>
      <c r="S5829" s="213" t="s">
        <v>48597</v>
      </c>
      <c r="T5829" s="213" t="s">
        <v>48598</v>
      </c>
      <c r="U5829" s="213" t="s">
        <v>57079</v>
      </c>
    </row>
    <row r="5830" spans="1:21" x14ac:dyDescent="0.25">
      <c r="A5830" s="213" t="s">
        <v>327</v>
      </c>
      <c r="D5830" s="213" t="s">
        <v>48599</v>
      </c>
      <c r="E5830" s="213" t="s">
        <v>48600</v>
      </c>
      <c r="K5830" s="213" t="s">
        <v>56993</v>
      </c>
      <c r="L5830" s="213" t="s">
        <v>57022</v>
      </c>
      <c r="M5830" s="213" t="s">
        <v>57051</v>
      </c>
      <c r="N5830" s="213" t="s">
        <v>48601</v>
      </c>
      <c r="O5830" s="213" t="s">
        <v>48602</v>
      </c>
      <c r="P5830" s="213" t="s">
        <v>48603</v>
      </c>
      <c r="Q5830" s="213" t="s">
        <v>48604</v>
      </c>
      <c r="R5830" s="213" t="s">
        <v>48605</v>
      </c>
      <c r="S5830" s="213" t="s">
        <v>48606</v>
      </c>
      <c r="T5830" s="213" t="s">
        <v>48607</v>
      </c>
      <c r="U5830" s="213" t="s">
        <v>57080</v>
      </c>
    </row>
    <row r="5831" spans="1:21" x14ac:dyDescent="0.25">
      <c r="A5831" s="213" t="s">
        <v>327</v>
      </c>
      <c r="D5831" s="213" t="s">
        <v>48608</v>
      </c>
      <c r="E5831" s="213" t="s">
        <v>48609</v>
      </c>
      <c r="K5831" s="213" t="s">
        <v>56994</v>
      </c>
      <c r="L5831" s="213" t="s">
        <v>57023</v>
      </c>
      <c r="M5831" s="213" t="s">
        <v>57052</v>
      </c>
      <c r="N5831" s="213" t="s">
        <v>48610</v>
      </c>
      <c r="O5831" s="213" t="s">
        <v>48611</v>
      </c>
      <c r="P5831" s="213" t="s">
        <v>48612</v>
      </c>
      <c r="Q5831" s="213" t="s">
        <v>48613</v>
      </c>
      <c r="R5831" s="213" t="s">
        <v>48614</v>
      </c>
      <c r="S5831" s="213" t="s">
        <v>48615</v>
      </c>
      <c r="T5831" s="213" t="s">
        <v>48616</v>
      </c>
      <c r="U5831" s="213" t="s">
        <v>57081</v>
      </c>
    </row>
    <row r="5832" spans="1:21" x14ac:dyDescent="0.25">
      <c r="A5832" s="213" t="s">
        <v>327</v>
      </c>
      <c r="D5832" s="213" t="s">
        <v>48617</v>
      </c>
      <c r="E5832" s="213" t="s">
        <v>48618</v>
      </c>
      <c r="K5832" s="213" t="s">
        <v>56995</v>
      </c>
      <c r="L5832" s="213" t="s">
        <v>57024</v>
      </c>
      <c r="M5832" s="213" t="s">
        <v>57053</v>
      </c>
      <c r="N5832" s="213" t="s">
        <v>48619</v>
      </c>
      <c r="O5832" s="213" t="s">
        <v>48620</v>
      </c>
      <c r="P5832" s="213" t="s">
        <v>48621</v>
      </c>
      <c r="Q5832" s="213" t="s">
        <v>48622</v>
      </c>
      <c r="R5832" s="213" t="s">
        <v>48623</v>
      </c>
      <c r="S5832" s="213" t="s">
        <v>48624</v>
      </c>
      <c r="T5832" s="213" t="s">
        <v>48625</v>
      </c>
      <c r="U5832" s="213" t="s">
        <v>57082</v>
      </c>
    </row>
    <row r="5833" spans="1:21" x14ac:dyDescent="0.25">
      <c r="A5833" s="213" t="s">
        <v>327</v>
      </c>
      <c r="D5833" s="213" t="s">
        <v>48626</v>
      </c>
      <c r="E5833" s="213" t="s">
        <v>48627</v>
      </c>
      <c r="K5833" s="213" t="s">
        <v>56996</v>
      </c>
      <c r="L5833" s="213" t="s">
        <v>57025</v>
      </c>
      <c r="M5833" s="213" t="s">
        <v>57054</v>
      </c>
      <c r="N5833" s="213" t="s">
        <v>48628</v>
      </c>
      <c r="O5833" s="213" t="s">
        <v>48629</v>
      </c>
      <c r="P5833" s="213" t="s">
        <v>48630</v>
      </c>
      <c r="Q5833" s="213" t="s">
        <v>48631</v>
      </c>
      <c r="R5833" s="213" t="s">
        <v>48632</v>
      </c>
      <c r="S5833" s="213" t="s">
        <v>48633</v>
      </c>
      <c r="T5833" s="213" t="s">
        <v>48634</v>
      </c>
      <c r="U5833" s="213" t="s">
        <v>57083</v>
      </c>
    </row>
    <row r="5834" spans="1:21" x14ac:dyDescent="0.25">
      <c r="A5834" s="213" t="s">
        <v>327</v>
      </c>
      <c r="D5834" s="213" t="s">
        <v>48635</v>
      </c>
      <c r="E5834" s="213" t="s">
        <v>48636</v>
      </c>
      <c r="K5834" s="213" t="s">
        <v>56997</v>
      </c>
      <c r="L5834" s="213" t="s">
        <v>57026</v>
      </c>
      <c r="M5834" s="213" t="s">
        <v>57055</v>
      </c>
      <c r="N5834" s="213" t="s">
        <v>48637</v>
      </c>
      <c r="O5834" s="213" t="s">
        <v>48638</v>
      </c>
      <c r="P5834" s="213" t="s">
        <v>48639</v>
      </c>
      <c r="Q5834" s="213" t="s">
        <v>48640</v>
      </c>
      <c r="R5834" s="213" t="s">
        <v>48641</v>
      </c>
      <c r="S5834" s="213" t="s">
        <v>48642</v>
      </c>
      <c r="T5834" s="213" t="s">
        <v>48643</v>
      </c>
      <c r="U5834" s="213" t="s">
        <v>57084</v>
      </c>
    </row>
    <row r="5835" spans="1:21" x14ac:dyDescent="0.25">
      <c r="A5835" s="213" t="s">
        <v>327</v>
      </c>
      <c r="D5835" s="213" t="s">
        <v>48644</v>
      </c>
      <c r="E5835" s="213" t="s">
        <v>48645</v>
      </c>
      <c r="K5835" s="213" t="s">
        <v>56998</v>
      </c>
      <c r="L5835" s="213" t="s">
        <v>57027</v>
      </c>
      <c r="M5835" s="213" t="s">
        <v>57056</v>
      </c>
      <c r="N5835" s="213" t="s">
        <v>48646</v>
      </c>
      <c r="O5835" s="213" t="s">
        <v>48647</v>
      </c>
      <c r="P5835" s="213" t="s">
        <v>48648</v>
      </c>
      <c r="Q5835" s="213" t="s">
        <v>48649</v>
      </c>
      <c r="R5835" s="213" t="s">
        <v>48650</v>
      </c>
      <c r="S5835" s="213" t="s">
        <v>48651</v>
      </c>
      <c r="T5835" s="213" t="s">
        <v>48652</v>
      </c>
      <c r="U5835" s="213" t="s">
        <v>57085</v>
      </c>
    </row>
    <row r="5836" spans="1:21" x14ac:dyDescent="0.25">
      <c r="A5836" s="213" t="s">
        <v>327</v>
      </c>
      <c r="D5836" s="213" t="s">
        <v>48653</v>
      </c>
      <c r="E5836" s="213" t="s">
        <v>48654</v>
      </c>
      <c r="K5836" s="213" t="s">
        <v>56999</v>
      </c>
      <c r="L5836" s="213" t="s">
        <v>57028</v>
      </c>
      <c r="M5836" s="213" t="s">
        <v>57057</v>
      </c>
      <c r="N5836" s="213" t="s">
        <v>48655</v>
      </c>
      <c r="O5836" s="213" t="s">
        <v>48656</v>
      </c>
      <c r="P5836" s="213" t="s">
        <v>48657</v>
      </c>
      <c r="Q5836" s="213" t="s">
        <v>48658</v>
      </c>
      <c r="R5836" s="213" t="s">
        <v>48659</v>
      </c>
      <c r="S5836" s="213" t="s">
        <v>48660</v>
      </c>
      <c r="T5836" s="213" t="s">
        <v>48661</v>
      </c>
      <c r="U5836" s="213" t="s">
        <v>57086</v>
      </c>
    </row>
    <row r="5837" spans="1:21" x14ac:dyDescent="0.25">
      <c r="A5837" s="213" t="s">
        <v>327</v>
      </c>
      <c r="D5837" s="213" t="s">
        <v>48662</v>
      </c>
      <c r="E5837" s="213" t="s">
        <v>48663</v>
      </c>
      <c r="K5837" s="213" t="s">
        <v>57000</v>
      </c>
      <c r="L5837" s="213" t="s">
        <v>57029</v>
      </c>
      <c r="M5837" s="213" t="s">
        <v>57058</v>
      </c>
      <c r="N5837" s="213" t="s">
        <v>48664</v>
      </c>
      <c r="O5837" s="213" t="s">
        <v>48665</v>
      </c>
      <c r="P5837" s="213" t="s">
        <v>48666</v>
      </c>
      <c r="Q5837" s="213" t="s">
        <v>48667</v>
      </c>
      <c r="R5837" s="213" t="s">
        <v>48668</v>
      </c>
      <c r="S5837" s="213" t="s">
        <v>48669</v>
      </c>
      <c r="T5837" s="213" t="s">
        <v>48670</v>
      </c>
      <c r="U5837" s="213" t="s">
        <v>57087</v>
      </c>
    </row>
    <row r="5838" spans="1:21" x14ac:dyDescent="0.25">
      <c r="A5838" s="213" t="s">
        <v>327</v>
      </c>
      <c r="D5838" s="213" t="s">
        <v>48671</v>
      </c>
      <c r="E5838" s="213" t="s">
        <v>48672</v>
      </c>
      <c r="K5838" s="213" t="s">
        <v>57001</v>
      </c>
      <c r="L5838" s="213" t="s">
        <v>57030</v>
      </c>
      <c r="M5838" s="213" t="s">
        <v>57059</v>
      </c>
      <c r="N5838" s="213" t="s">
        <v>48673</v>
      </c>
      <c r="O5838" s="213" t="s">
        <v>48674</v>
      </c>
      <c r="P5838" s="213" t="s">
        <v>48675</v>
      </c>
      <c r="Q5838" s="213" t="s">
        <v>48676</v>
      </c>
      <c r="R5838" s="213" t="s">
        <v>48677</v>
      </c>
      <c r="S5838" s="213" t="s">
        <v>48678</v>
      </c>
      <c r="T5838" s="213" t="s">
        <v>48679</v>
      </c>
      <c r="U5838" s="213" t="s">
        <v>57088</v>
      </c>
    </row>
    <row r="5839" spans="1:21" x14ac:dyDescent="0.25">
      <c r="A5839" s="213" t="s">
        <v>327</v>
      </c>
      <c r="D5839" s="213" t="s">
        <v>48680</v>
      </c>
      <c r="E5839" s="213" t="s">
        <v>48681</v>
      </c>
      <c r="K5839" s="213" t="s">
        <v>57002</v>
      </c>
      <c r="L5839" s="213" t="s">
        <v>57031</v>
      </c>
      <c r="M5839" s="213" t="s">
        <v>57060</v>
      </c>
      <c r="N5839" s="213" t="s">
        <v>48682</v>
      </c>
      <c r="O5839" s="213" t="s">
        <v>48683</v>
      </c>
      <c r="P5839" s="213" t="s">
        <v>48684</v>
      </c>
      <c r="Q5839" s="213" t="s">
        <v>48685</v>
      </c>
      <c r="R5839" s="213" t="s">
        <v>48686</v>
      </c>
      <c r="S5839" s="213" t="s">
        <v>48687</v>
      </c>
      <c r="T5839" s="213" t="s">
        <v>48688</v>
      </c>
      <c r="U5839" s="213" t="s">
        <v>57089</v>
      </c>
    </row>
    <row r="5840" spans="1:21" x14ac:dyDescent="0.25">
      <c r="A5840" s="213" t="s">
        <v>327</v>
      </c>
      <c r="D5840" s="213" t="s">
        <v>48689</v>
      </c>
      <c r="E5840" s="213" t="s">
        <v>48690</v>
      </c>
      <c r="K5840" s="213" t="s">
        <v>57003</v>
      </c>
      <c r="L5840" s="213" t="s">
        <v>57032</v>
      </c>
      <c r="M5840" s="213" t="s">
        <v>57061</v>
      </c>
      <c r="N5840" s="213" t="s">
        <v>48691</v>
      </c>
      <c r="O5840" s="213" t="s">
        <v>48692</v>
      </c>
      <c r="P5840" s="213" t="s">
        <v>48693</v>
      </c>
      <c r="Q5840" s="213" t="s">
        <v>48694</v>
      </c>
      <c r="R5840" s="213" t="s">
        <v>48695</v>
      </c>
      <c r="S5840" s="213" t="s">
        <v>48696</v>
      </c>
      <c r="T5840" s="213" t="s">
        <v>48697</v>
      </c>
      <c r="U5840" s="213" t="s">
        <v>57090</v>
      </c>
    </row>
    <row r="5841" spans="1:21" x14ac:dyDescent="0.25">
      <c r="A5841" s="213" t="s">
        <v>327</v>
      </c>
      <c r="D5841" s="213" t="s">
        <v>48698</v>
      </c>
      <c r="E5841" s="213" t="s">
        <v>48699</v>
      </c>
      <c r="K5841" s="213" t="s">
        <v>57004</v>
      </c>
      <c r="L5841" s="213" t="s">
        <v>57033</v>
      </c>
      <c r="M5841" s="213" t="s">
        <v>57062</v>
      </c>
      <c r="N5841" s="213" t="s">
        <v>48700</v>
      </c>
      <c r="O5841" s="213" t="s">
        <v>48701</v>
      </c>
      <c r="P5841" s="213" t="s">
        <v>48702</v>
      </c>
      <c r="Q5841" s="213" t="s">
        <v>48703</v>
      </c>
      <c r="R5841" s="213" t="s">
        <v>48704</v>
      </c>
      <c r="S5841" s="213" t="s">
        <v>48705</v>
      </c>
      <c r="T5841" s="213" t="s">
        <v>48706</v>
      </c>
      <c r="U5841" s="213" t="s">
        <v>57091</v>
      </c>
    </row>
    <row r="5842" spans="1:21" x14ac:dyDescent="0.25">
      <c r="A5842" s="213" t="s">
        <v>327</v>
      </c>
      <c r="D5842" s="213" t="s">
        <v>48707</v>
      </c>
      <c r="E5842" s="213" t="s">
        <v>48708</v>
      </c>
      <c r="K5842" s="213" t="s">
        <v>57005</v>
      </c>
      <c r="L5842" s="213" t="s">
        <v>57034</v>
      </c>
      <c r="M5842" s="213" t="s">
        <v>57063</v>
      </c>
      <c r="N5842" s="213" t="s">
        <v>48709</v>
      </c>
      <c r="O5842" s="213" t="s">
        <v>48710</v>
      </c>
      <c r="P5842" s="213" t="s">
        <v>48711</v>
      </c>
      <c r="Q5842" s="213" t="s">
        <v>48712</v>
      </c>
      <c r="R5842" s="213" t="s">
        <v>48713</v>
      </c>
      <c r="S5842" s="213" t="s">
        <v>48714</v>
      </c>
      <c r="T5842" s="213" t="s">
        <v>48715</v>
      </c>
      <c r="U5842" s="213" t="s">
        <v>57092</v>
      </c>
    </row>
    <row r="5843" spans="1:21" x14ac:dyDescent="0.25">
      <c r="A5843" s="213" t="s">
        <v>327</v>
      </c>
      <c r="D5843" s="213" t="s">
        <v>48716</v>
      </c>
      <c r="E5843" s="213" t="s">
        <v>48717</v>
      </c>
      <c r="K5843" s="213" t="s">
        <v>57006</v>
      </c>
      <c r="L5843" s="213" t="s">
        <v>57035</v>
      </c>
      <c r="M5843" s="213" t="s">
        <v>57064</v>
      </c>
      <c r="N5843" s="213" t="s">
        <v>48718</v>
      </c>
      <c r="O5843" s="213" t="s">
        <v>48719</v>
      </c>
      <c r="P5843" s="213" t="s">
        <v>48720</v>
      </c>
      <c r="Q5843" s="213" t="s">
        <v>48721</v>
      </c>
      <c r="R5843" s="213" t="s">
        <v>48722</v>
      </c>
      <c r="S5843" s="213" t="s">
        <v>48723</v>
      </c>
      <c r="T5843" s="213" t="s">
        <v>48724</v>
      </c>
      <c r="U5843" s="213" t="s">
        <v>57093</v>
      </c>
    </row>
    <row r="5844" spans="1:21" x14ac:dyDescent="0.25">
      <c r="A5844" s="213" t="s">
        <v>327</v>
      </c>
    </row>
    <row r="5845" spans="1:21" x14ac:dyDescent="0.25">
      <c r="A5845" s="213" t="s">
        <v>327</v>
      </c>
    </row>
    <row r="5846" spans="1:21" x14ac:dyDescent="0.25">
      <c r="A5846" s="213" t="s">
        <v>327</v>
      </c>
      <c r="C5846" s="213" t="s">
        <v>48725</v>
      </c>
      <c r="E5846" s="213" t="s">
        <v>48726</v>
      </c>
      <c r="H5846" s="213" t="s">
        <v>48727</v>
      </c>
      <c r="I5846" s="213" t="s">
        <v>48728</v>
      </c>
      <c r="J5846" s="213" t="s">
        <v>48729</v>
      </c>
      <c r="L5846" s="213" t="s">
        <v>48730</v>
      </c>
      <c r="O5846" s="213" t="s">
        <v>48731</v>
      </c>
      <c r="P5846" s="213" t="s">
        <v>48732</v>
      </c>
      <c r="Q5846" s="213" t="s">
        <v>48733</v>
      </c>
      <c r="R5846" s="213" t="s">
        <v>48734</v>
      </c>
      <c r="S5846" s="213" t="s">
        <v>48735</v>
      </c>
      <c r="T5846" s="213" t="s">
        <v>48736</v>
      </c>
    </row>
    <row r="5847" spans="1:21" x14ac:dyDescent="0.25">
      <c r="A5847" s="213" t="s">
        <v>327</v>
      </c>
      <c r="C5847" s="213" t="s">
        <v>48737</v>
      </c>
      <c r="E5847" s="213" t="s">
        <v>48738</v>
      </c>
      <c r="I5847" s="213" t="s">
        <v>48739</v>
      </c>
    </row>
    <row r="5848" spans="1:21" x14ac:dyDescent="0.25">
      <c r="A5848" s="213" t="s">
        <v>327</v>
      </c>
      <c r="C5848" s="213" t="s">
        <v>48740</v>
      </c>
      <c r="E5848" s="213" t="s">
        <v>48741</v>
      </c>
      <c r="I5848" s="213" t="s">
        <v>48742</v>
      </c>
    </row>
    <row r="5849" spans="1:21" x14ac:dyDescent="0.25">
      <c r="A5849" s="213" t="s">
        <v>328</v>
      </c>
    </row>
    <row r="5850" spans="1:21" x14ac:dyDescent="0.25">
      <c r="A5850" s="213" t="s">
        <v>327</v>
      </c>
      <c r="D5850" s="213" t="s">
        <v>48743</v>
      </c>
      <c r="E5850" s="213" t="s">
        <v>48744</v>
      </c>
      <c r="K5850" s="213" t="s">
        <v>56866</v>
      </c>
      <c r="L5850" s="213" t="s">
        <v>56894</v>
      </c>
      <c r="M5850" s="213" t="s">
        <v>56922</v>
      </c>
      <c r="N5850" s="213" t="s">
        <v>48745</v>
      </c>
      <c r="O5850" s="213" t="s">
        <v>48746</v>
      </c>
      <c r="P5850" s="213" t="s">
        <v>48747</v>
      </c>
      <c r="Q5850" s="213" t="s">
        <v>48748</v>
      </c>
      <c r="R5850" s="213" t="s">
        <v>48749</v>
      </c>
      <c r="S5850" s="213" t="s">
        <v>48750</v>
      </c>
      <c r="T5850" s="213" t="s">
        <v>48751</v>
      </c>
      <c r="U5850" s="213" t="s">
        <v>56950</v>
      </c>
    </row>
    <row r="5851" spans="1:21" x14ac:dyDescent="0.25">
      <c r="A5851" s="213" t="s">
        <v>327</v>
      </c>
      <c r="D5851" s="213" t="s">
        <v>48752</v>
      </c>
      <c r="E5851" s="213" t="s">
        <v>48753</v>
      </c>
      <c r="K5851" s="213" t="s">
        <v>56867</v>
      </c>
      <c r="L5851" s="213" t="s">
        <v>56895</v>
      </c>
      <c r="M5851" s="213" t="s">
        <v>56923</v>
      </c>
      <c r="N5851" s="213" t="s">
        <v>48754</v>
      </c>
      <c r="O5851" s="213" t="s">
        <v>48755</v>
      </c>
      <c r="P5851" s="213" t="s">
        <v>48756</v>
      </c>
      <c r="Q5851" s="213" t="s">
        <v>48757</v>
      </c>
      <c r="R5851" s="213" t="s">
        <v>48758</v>
      </c>
      <c r="S5851" s="213" t="s">
        <v>48759</v>
      </c>
      <c r="T5851" s="213" t="s">
        <v>48760</v>
      </c>
      <c r="U5851" s="213" t="s">
        <v>56951</v>
      </c>
    </row>
    <row r="5852" spans="1:21" x14ac:dyDescent="0.25">
      <c r="A5852" s="213" t="s">
        <v>327</v>
      </c>
      <c r="D5852" s="213" t="s">
        <v>48761</v>
      </c>
      <c r="E5852" s="213" t="s">
        <v>48762</v>
      </c>
      <c r="K5852" s="213" t="s">
        <v>56868</v>
      </c>
      <c r="L5852" s="213" t="s">
        <v>56896</v>
      </c>
      <c r="M5852" s="213" t="s">
        <v>56924</v>
      </c>
      <c r="N5852" s="213" t="s">
        <v>48763</v>
      </c>
      <c r="O5852" s="213" t="s">
        <v>48764</v>
      </c>
      <c r="P5852" s="213" t="s">
        <v>48765</v>
      </c>
      <c r="Q5852" s="213" t="s">
        <v>48766</v>
      </c>
      <c r="R5852" s="213" t="s">
        <v>48767</v>
      </c>
      <c r="S5852" s="213" t="s">
        <v>48768</v>
      </c>
      <c r="T5852" s="213" t="s">
        <v>48769</v>
      </c>
      <c r="U5852" s="213" t="s">
        <v>56952</v>
      </c>
    </row>
    <row r="5853" spans="1:21" x14ac:dyDescent="0.25">
      <c r="A5853" s="213" t="s">
        <v>327</v>
      </c>
      <c r="D5853" s="213" t="s">
        <v>48770</v>
      </c>
      <c r="E5853" s="213" t="s">
        <v>48771</v>
      </c>
      <c r="K5853" s="213" t="s">
        <v>56869</v>
      </c>
      <c r="L5853" s="213" t="s">
        <v>56897</v>
      </c>
      <c r="M5853" s="213" t="s">
        <v>56925</v>
      </c>
      <c r="N5853" s="213" t="s">
        <v>48772</v>
      </c>
      <c r="O5853" s="213" t="s">
        <v>48773</v>
      </c>
      <c r="P5853" s="213" t="s">
        <v>48774</v>
      </c>
      <c r="Q5853" s="213" t="s">
        <v>48775</v>
      </c>
      <c r="R5853" s="213" t="s">
        <v>48776</v>
      </c>
      <c r="S5853" s="213" t="s">
        <v>48777</v>
      </c>
      <c r="T5853" s="213" t="s">
        <v>48778</v>
      </c>
      <c r="U5853" s="213" t="s">
        <v>56953</v>
      </c>
    </row>
    <row r="5854" spans="1:21" x14ac:dyDescent="0.25">
      <c r="A5854" s="213" t="s">
        <v>327</v>
      </c>
      <c r="D5854" s="213" t="s">
        <v>48779</v>
      </c>
      <c r="E5854" s="213" t="s">
        <v>48780</v>
      </c>
      <c r="K5854" s="213" t="s">
        <v>56870</v>
      </c>
      <c r="L5854" s="213" t="s">
        <v>56898</v>
      </c>
      <c r="M5854" s="213" t="s">
        <v>56926</v>
      </c>
      <c r="N5854" s="213" t="s">
        <v>48781</v>
      </c>
      <c r="O5854" s="213" t="s">
        <v>48782</v>
      </c>
      <c r="P5854" s="213" t="s">
        <v>48783</v>
      </c>
      <c r="Q5854" s="213" t="s">
        <v>48784</v>
      </c>
      <c r="R5854" s="213" t="s">
        <v>48785</v>
      </c>
      <c r="S5854" s="213" t="s">
        <v>48786</v>
      </c>
      <c r="T5854" s="213" t="s">
        <v>48787</v>
      </c>
      <c r="U5854" s="213" t="s">
        <v>56954</v>
      </c>
    </row>
    <row r="5855" spans="1:21" x14ac:dyDescent="0.25">
      <c r="A5855" s="213" t="s">
        <v>327</v>
      </c>
      <c r="D5855" s="213" t="s">
        <v>48788</v>
      </c>
      <c r="E5855" s="213" t="s">
        <v>48789</v>
      </c>
      <c r="K5855" s="213" t="s">
        <v>56871</v>
      </c>
      <c r="L5855" s="213" t="s">
        <v>56899</v>
      </c>
      <c r="M5855" s="213" t="s">
        <v>56927</v>
      </c>
      <c r="N5855" s="213" t="s">
        <v>48790</v>
      </c>
      <c r="O5855" s="213" t="s">
        <v>48791</v>
      </c>
      <c r="P5855" s="213" t="s">
        <v>48792</v>
      </c>
      <c r="Q5855" s="213" t="s">
        <v>48793</v>
      </c>
      <c r="R5855" s="213" t="s">
        <v>48794</v>
      </c>
      <c r="S5855" s="213" t="s">
        <v>48795</v>
      </c>
      <c r="T5855" s="213" t="s">
        <v>48796</v>
      </c>
      <c r="U5855" s="213" t="s">
        <v>56955</v>
      </c>
    </row>
    <row r="5856" spans="1:21" x14ac:dyDescent="0.25">
      <c r="A5856" s="213" t="s">
        <v>327</v>
      </c>
      <c r="D5856" s="213" t="s">
        <v>48797</v>
      </c>
      <c r="E5856" s="213" t="s">
        <v>48798</v>
      </c>
      <c r="K5856" s="213" t="s">
        <v>56872</v>
      </c>
      <c r="L5856" s="213" t="s">
        <v>56900</v>
      </c>
      <c r="M5856" s="213" t="s">
        <v>56928</v>
      </c>
      <c r="N5856" s="213" t="s">
        <v>48799</v>
      </c>
      <c r="O5856" s="213" t="s">
        <v>48800</v>
      </c>
      <c r="P5856" s="213" t="s">
        <v>48801</v>
      </c>
      <c r="Q5856" s="213" t="s">
        <v>48802</v>
      </c>
      <c r="R5856" s="213" t="s">
        <v>48803</v>
      </c>
      <c r="S5856" s="213" t="s">
        <v>48804</v>
      </c>
      <c r="T5856" s="213" t="s">
        <v>48805</v>
      </c>
      <c r="U5856" s="213" t="s">
        <v>56956</v>
      </c>
    </row>
    <row r="5857" spans="1:21" x14ac:dyDescent="0.25">
      <c r="A5857" s="213" t="s">
        <v>327</v>
      </c>
      <c r="D5857" s="213" t="s">
        <v>48806</v>
      </c>
      <c r="E5857" s="213" t="s">
        <v>48807</v>
      </c>
      <c r="K5857" s="213" t="s">
        <v>56873</v>
      </c>
      <c r="L5857" s="213" t="s">
        <v>56901</v>
      </c>
      <c r="M5857" s="213" t="s">
        <v>56929</v>
      </c>
      <c r="N5857" s="213" t="s">
        <v>48808</v>
      </c>
      <c r="O5857" s="213" t="s">
        <v>48809</v>
      </c>
      <c r="P5857" s="213" t="s">
        <v>48810</v>
      </c>
      <c r="Q5857" s="213" t="s">
        <v>48811</v>
      </c>
      <c r="R5857" s="213" t="s">
        <v>48812</v>
      </c>
      <c r="S5857" s="213" t="s">
        <v>48813</v>
      </c>
      <c r="T5857" s="213" t="s">
        <v>48814</v>
      </c>
      <c r="U5857" s="213" t="s">
        <v>56957</v>
      </c>
    </row>
    <row r="5858" spans="1:21" x14ac:dyDescent="0.25">
      <c r="A5858" s="213" t="s">
        <v>327</v>
      </c>
      <c r="D5858" s="213" t="s">
        <v>48815</v>
      </c>
      <c r="E5858" s="213" t="s">
        <v>48816</v>
      </c>
      <c r="K5858" s="213" t="s">
        <v>56874</v>
      </c>
      <c r="L5858" s="213" t="s">
        <v>56902</v>
      </c>
      <c r="M5858" s="213" t="s">
        <v>56930</v>
      </c>
      <c r="N5858" s="213" t="s">
        <v>48817</v>
      </c>
      <c r="O5858" s="213" t="s">
        <v>48818</v>
      </c>
      <c r="P5858" s="213" t="s">
        <v>48819</v>
      </c>
      <c r="Q5858" s="213" t="s">
        <v>48820</v>
      </c>
      <c r="R5858" s="213" t="s">
        <v>48821</v>
      </c>
      <c r="S5858" s="213" t="s">
        <v>48822</v>
      </c>
      <c r="T5858" s="213" t="s">
        <v>48823</v>
      </c>
      <c r="U5858" s="213" t="s">
        <v>56958</v>
      </c>
    </row>
    <row r="5859" spans="1:21" x14ac:dyDescent="0.25">
      <c r="A5859" s="213" t="s">
        <v>327</v>
      </c>
      <c r="D5859" s="213" t="s">
        <v>48824</v>
      </c>
      <c r="E5859" s="213" t="s">
        <v>48825</v>
      </c>
      <c r="K5859" s="213" t="s">
        <v>56875</v>
      </c>
      <c r="L5859" s="213" t="s">
        <v>56903</v>
      </c>
      <c r="M5859" s="213" t="s">
        <v>56931</v>
      </c>
      <c r="N5859" s="213" t="s">
        <v>48826</v>
      </c>
      <c r="O5859" s="213" t="s">
        <v>48827</v>
      </c>
      <c r="P5859" s="213" t="s">
        <v>48828</v>
      </c>
      <c r="Q5859" s="213" t="s">
        <v>48829</v>
      </c>
      <c r="R5859" s="213" t="s">
        <v>48830</v>
      </c>
      <c r="S5859" s="213" t="s">
        <v>48831</v>
      </c>
      <c r="T5859" s="213" t="s">
        <v>48832</v>
      </c>
      <c r="U5859" s="213" t="s">
        <v>56959</v>
      </c>
    </row>
    <row r="5860" spans="1:21" x14ac:dyDescent="0.25">
      <c r="A5860" s="213" t="s">
        <v>327</v>
      </c>
      <c r="D5860" s="213" t="s">
        <v>48833</v>
      </c>
      <c r="E5860" s="213" t="s">
        <v>48834</v>
      </c>
      <c r="K5860" s="213" t="s">
        <v>56876</v>
      </c>
      <c r="L5860" s="213" t="s">
        <v>56904</v>
      </c>
      <c r="M5860" s="213" t="s">
        <v>56932</v>
      </c>
      <c r="N5860" s="213" t="s">
        <v>48835</v>
      </c>
      <c r="O5860" s="213" t="s">
        <v>48836</v>
      </c>
      <c r="P5860" s="213" t="s">
        <v>48837</v>
      </c>
      <c r="Q5860" s="213" t="s">
        <v>48838</v>
      </c>
      <c r="R5860" s="213" t="s">
        <v>48839</v>
      </c>
      <c r="S5860" s="213" t="s">
        <v>48840</v>
      </c>
      <c r="T5860" s="213" t="s">
        <v>48841</v>
      </c>
      <c r="U5860" s="213" t="s">
        <v>56960</v>
      </c>
    </row>
    <row r="5861" spans="1:21" x14ac:dyDescent="0.25">
      <c r="A5861" s="213" t="s">
        <v>327</v>
      </c>
      <c r="D5861" s="213" t="s">
        <v>48842</v>
      </c>
      <c r="E5861" s="213" t="s">
        <v>48843</v>
      </c>
      <c r="K5861" s="213" t="s">
        <v>56877</v>
      </c>
      <c r="L5861" s="213" t="s">
        <v>56905</v>
      </c>
      <c r="M5861" s="213" t="s">
        <v>56933</v>
      </c>
      <c r="N5861" s="213" t="s">
        <v>48844</v>
      </c>
      <c r="O5861" s="213" t="s">
        <v>48845</v>
      </c>
      <c r="P5861" s="213" t="s">
        <v>48846</v>
      </c>
      <c r="Q5861" s="213" t="s">
        <v>48847</v>
      </c>
      <c r="R5861" s="213" t="s">
        <v>48848</v>
      </c>
      <c r="S5861" s="213" t="s">
        <v>48849</v>
      </c>
      <c r="T5861" s="213" t="s">
        <v>48850</v>
      </c>
      <c r="U5861" s="213" t="s">
        <v>56961</v>
      </c>
    </row>
    <row r="5862" spans="1:21" x14ac:dyDescent="0.25">
      <c r="A5862" s="213" t="s">
        <v>327</v>
      </c>
      <c r="D5862" s="213" t="s">
        <v>48851</v>
      </c>
      <c r="E5862" s="213" t="s">
        <v>48852</v>
      </c>
      <c r="K5862" s="213" t="s">
        <v>56878</v>
      </c>
      <c r="L5862" s="213" t="s">
        <v>56906</v>
      </c>
      <c r="M5862" s="213" t="s">
        <v>56934</v>
      </c>
      <c r="N5862" s="213" t="s">
        <v>48853</v>
      </c>
      <c r="O5862" s="213" t="s">
        <v>48854</v>
      </c>
      <c r="P5862" s="213" t="s">
        <v>48855</v>
      </c>
      <c r="Q5862" s="213" t="s">
        <v>48856</v>
      </c>
      <c r="R5862" s="213" t="s">
        <v>48857</v>
      </c>
      <c r="S5862" s="213" t="s">
        <v>48858</v>
      </c>
      <c r="T5862" s="213" t="s">
        <v>48859</v>
      </c>
      <c r="U5862" s="213" t="s">
        <v>56962</v>
      </c>
    </row>
    <row r="5863" spans="1:21" x14ac:dyDescent="0.25">
      <c r="A5863" s="213" t="s">
        <v>327</v>
      </c>
      <c r="D5863" s="213" t="s">
        <v>48860</v>
      </c>
      <c r="E5863" s="213" t="s">
        <v>48861</v>
      </c>
      <c r="K5863" s="213" t="s">
        <v>56879</v>
      </c>
      <c r="L5863" s="213" t="s">
        <v>56907</v>
      </c>
      <c r="M5863" s="213" t="s">
        <v>56935</v>
      </c>
      <c r="N5863" s="213" t="s">
        <v>48862</v>
      </c>
      <c r="O5863" s="213" t="s">
        <v>48863</v>
      </c>
      <c r="P5863" s="213" t="s">
        <v>48864</v>
      </c>
      <c r="Q5863" s="213" t="s">
        <v>48865</v>
      </c>
      <c r="R5863" s="213" t="s">
        <v>48866</v>
      </c>
      <c r="S5863" s="213" t="s">
        <v>48867</v>
      </c>
      <c r="T5863" s="213" t="s">
        <v>48868</v>
      </c>
      <c r="U5863" s="213" t="s">
        <v>56963</v>
      </c>
    </row>
    <row r="5864" spans="1:21" x14ac:dyDescent="0.25">
      <c r="A5864" s="213" t="s">
        <v>327</v>
      </c>
      <c r="D5864" s="213" t="s">
        <v>48869</v>
      </c>
      <c r="E5864" s="213" t="s">
        <v>48870</v>
      </c>
      <c r="K5864" s="213" t="s">
        <v>56880</v>
      </c>
      <c r="L5864" s="213" t="s">
        <v>56908</v>
      </c>
      <c r="M5864" s="213" t="s">
        <v>56936</v>
      </c>
      <c r="N5864" s="213" t="s">
        <v>48871</v>
      </c>
      <c r="O5864" s="213" t="s">
        <v>48872</v>
      </c>
      <c r="P5864" s="213" t="s">
        <v>48873</v>
      </c>
      <c r="Q5864" s="213" t="s">
        <v>48874</v>
      </c>
      <c r="R5864" s="213" t="s">
        <v>48875</v>
      </c>
      <c r="S5864" s="213" t="s">
        <v>48876</v>
      </c>
      <c r="T5864" s="213" t="s">
        <v>48877</v>
      </c>
      <c r="U5864" s="213" t="s">
        <v>56964</v>
      </c>
    </row>
    <row r="5865" spans="1:21" x14ac:dyDescent="0.25">
      <c r="A5865" s="213" t="s">
        <v>327</v>
      </c>
      <c r="D5865" s="213" t="s">
        <v>48878</v>
      </c>
      <c r="E5865" s="213" t="s">
        <v>48879</v>
      </c>
      <c r="K5865" s="213" t="s">
        <v>56881</v>
      </c>
      <c r="L5865" s="213" t="s">
        <v>56909</v>
      </c>
      <c r="M5865" s="213" t="s">
        <v>56937</v>
      </c>
      <c r="N5865" s="213" t="s">
        <v>48880</v>
      </c>
      <c r="O5865" s="213" t="s">
        <v>48881</v>
      </c>
      <c r="P5865" s="213" t="s">
        <v>48882</v>
      </c>
      <c r="Q5865" s="213" t="s">
        <v>48883</v>
      </c>
      <c r="R5865" s="213" t="s">
        <v>48884</v>
      </c>
      <c r="S5865" s="213" t="s">
        <v>48885</v>
      </c>
      <c r="T5865" s="213" t="s">
        <v>48886</v>
      </c>
      <c r="U5865" s="213" t="s">
        <v>56965</v>
      </c>
    </row>
    <row r="5866" spans="1:21" x14ac:dyDescent="0.25">
      <c r="A5866" s="213" t="s">
        <v>327</v>
      </c>
      <c r="D5866" s="213" t="s">
        <v>48887</v>
      </c>
      <c r="E5866" s="213" t="s">
        <v>48888</v>
      </c>
      <c r="K5866" s="213" t="s">
        <v>56882</v>
      </c>
      <c r="L5866" s="213" t="s">
        <v>56910</v>
      </c>
      <c r="M5866" s="213" t="s">
        <v>56938</v>
      </c>
      <c r="N5866" s="213" t="s">
        <v>48889</v>
      </c>
      <c r="O5866" s="213" t="s">
        <v>48890</v>
      </c>
      <c r="P5866" s="213" t="s">
        <v>48891</v>
      </c>
      <c r="Q5866" s="213" t="s">
        <v>48892</v>
      </c>
      <c r="R5866" s="213" t="s">
        <v>48893</v>
      </c>
      <c r="S5866" s="213" t="s">
        <v>48894</v>
      </c>
      <c r="T5866" s="213" t="s">
        <v>48895</v>
      </c>
      <c r="U5866" s="213" t="s">
        <v>56966</v>
      </c>
    </row>
    <row r="5867" spans="1:21" x14ac:dyDescent="0.25">
      <c r="A5867" s="213" t="s">
        <v>327</v>
      </c>
      <c r="D5867" s="213" t="s">
        <v>48896</v>
      </c>
      <c r="E5867" s="213" t="s">
        <v>48897</v>
      </c>
      <c r="K5867" s="213" t="s">
        <v>56883</v>
      </c>
      <c r="L5867" s="213" t="s">
        <v>56911</v>
      </c>
      <c r="M5867" s="213" t="s">
        <v>56939</v>
      </c>
      <c r="N5867" s="213" t="s">
        <v>48898</v>
      </c>
      <c r="O5867" s="213" t="s">
        <v>48899</v>
      </c>
      <c r="P5867" s="213" t="s">
        <v>48900</v>
      </c>
      <c r="Q5867" s="213" t="s">
        <v>48901</v>
      </c>
      <c r="R5867" s="213" t="s">
        <v>48902</v>
      </c>
      <c r="S5867" s="213" t="s">
        <v>48903</v>
      </c>
      <c r="T5867" s="213" t="s">
        <v>48904</v>
      </c>
      <c r="U5867" s="213" t="s">
        <v>56967</v>
      </c>
    </row>
    <row r="5868" spans="1:21" x14ac:dyDescent="0.25">
      <c r="A5868" s="213" t="s">
        <v>327</v>
      </c>
      <c r="D5868" s="213" t="s">
        <v>48905</v>
      </c>
      <c r="E5868" s="213" t="s">
        <v>48906</v>
      </c>
      <c r="K5868" s="213" t="s">
        <v>56884</v>
      </c>
      <c r="L5868" s="213" t="s">
        <v>56912</v>
      </c>
      <c r="M5868" s="213" t="s">
        <v>56940</v>
      </c>
      <c r="N5868" s="213" t="s">
        <v>48907</v>
      </c>
      <c r="O5868" s="213" t="s">
        <v>48908</v>
      </c>
      <c r="P5868" s="213" t="s">
        <v>48909</v>
      </c>
      <c r="Q5868" s="213" t="s">
        <v>48910</v>
      </c>
      <c r="R5868" s="213" t="s">
        <v>48911</v>
      </c>
      <c r="S5868" s="213" t="s">
        <v>48912</v>
      </c>
      <c r="T5868" s="213" t="s">
        <v>48913</v>
      </c>
      <c r="U5868" s="213" t="s">
        <v>56968</v>
      </c>
    </row>
    <row r="5869" spans="1:21" x14ac:dyDescent="0.25">
      <c r="A5869" s="213" t="s">
        <v>327</v>
      </c>
      <c r="D5869" s="213" t="s">
        <v>48914</v>
      </c>
      <c r="E5869" s="213" t="s">
        <v>48915</v>
      </c>
      <c r="K5869" s="213" t="s">
        <v>56885</v>
      </c>
      <c r="L5869" s="213" t="s">
        <v>56913</v>
      </c>
      <c r="M5869" s="213" t="s">
        <v>56941</v>
      </c>
      <c r="N5869" s="213" t="s">
        <v>48916</v>
      </c>
      <c r="O5869" s="213" t="s">
        <v>48917</v>
      </c>
      <c r="P5869" s="213" t="s">
        <v>48918</v>
      </c>
      <c r="Q5869" s="213" t="s">
        <v>48919</v>
      </c>
      <c r="R5869" s="213" t="s">
        <v>48920</v>
      </c>
      <c r="S5869" s="213" t="s">
        <v>48921</v>
      </c>
      <c r="T5869" s="213" t="s">
        <v>48922</v>
      </c>
      <c r="U5869" s="213" t="s">
        <v>56969</v>
      </c>
    </row>
    <row r="5870" spans="1:21" x14ac:dyDescent="0.25">
      <c r="A5870" s="213" t="s">
        <v>327</v>
      </c>
      <c r="D5870" s="213" t="s">
        <v>48923</v>
      </c>
      <c r="E5870" s="213" t="s">
        <v>48924</v>
      </c>
      <c r="K5870" s="213" t="s">
        <v>56886</v>
      </c>
      <c r="L5870" s="213" t="s">
        <v>56914</v>
      </c>
      <c r="M5870" s="213" t="s">
        <v>56942</v>
      </c>
      <c r="N5870" s="213" t="s">
        <v>48925</v>
      </c>
      <c r="O5870" s="213" t="s">
        <v>48926</v>
      </c>
      <c r="P5870" s="213" t="s">
        <v>48927</v>
      </c>
      <c r="Q5870" s="213" t="s">
        <v>48928</v>
      </c>
      <c r="R5870" s="213" t="s">
        <v>48929</v>
      </c>
      <c r="S5870" s="213" t="s">
        <v>48930</v>
      </c>
      <c r="T5870" s="213" t="s">
        <v>48931</v>
      </c>
      <c r="U5870" s="213" t="s">
        <v>56970</v>
      </c>
    </row>
    <row r="5871" spans="1:21" x14ac:dyDescent="0.25">
      <c r="A5871" s="213" t="s">
        <v>327</v>
      </c>
      <c r="D5871" s="213" t="s">
        <v>48932</v>
      </c>
      <c r="E5871" s="213" t="s">
        <v>48933</v>
      </c>
      <c r="K5871" s="213" t="s">
        <v>56887</v>
      </c>
      <c r="L5871" s="213" t="s">
        <v>56915</v>
      </c>
      <c r="M5871" s="213" t="s">
        <v>56943</v>
      </c>
      <c r="N5871" s="213" t="s">
        <v>48934</v>
      </c>
      <c r="O5871" s="213" t="s">
        <v>48935</v>
      </c>
      <c r="P5871" s="213" t="s">
        <v>48936</v>
      </c>
      <c r="Q5871" s="213" t="s">
        <v>48937</v>
      </c>
      <c r="R5871" s="213" t="s">
        <v>48938</v>
      </c>
      <c r="S5871" s="213" t="s">
        <v>48939</v>
      </c>
      <c r="T5871" s="213" t="s">
        <v>48940</v>
      </c>
      <c r="U5871" s="213" t="s">
        <v>56971</v>
      </c>
    </row>
    <row r="5872" spans="1:21" x14ac:dyDescent="0.25">
      <c r="A5872" s="213" t="s">
        <v>327</v>
      </c>
      <c r="D5872" s="213" t="s">
        <v>48941</v>
      </c>
      <c r="E5872" s="213" t="s">
        <v>48942</v>
      </c>
      <c r="K5872" s="213" t="s">
        <v>56888</v>
      </c>
      <c r="L5872" s="213" t="s">
        <v>56916</v>
      </c>
      <c r="M5872" s="213" t="s">
        <v>56944</v>
      </c>
      <c r="N5872" s="213" t="s">
        <v>48943</v>
      </c>
      <c r="O5872" s="213" t="s">
        <v>48944</v>
      </c>
      <c r="P5872" s="213" t="s">
        <v>48945</v>
      </c>
      <c r="Q5872" s="213" t="s">
        <v>48946</v>
      </c>
      <c r="R5872" s="213" t="s">
        <v>48947</v>
      </c>
      <c r="S5872" s="213" t="s">
        <v>48948</v>
      </c>
      <c r="T5872" s="213" t="s">
        <v>48949</v>
      </c>
      <c r="U5872" s="213" t="s">
        <v>56972</v>
      </c>
    </row>
    <row r="5873" spans="1:21" x14ac:dyDescent="0.25">
      <c r="A5873" s="213" t="s">
        <v>327</v>
      </c>
      <c r="D5873" s="213" t="s">
        <v>48950</v>
      </c>
      <c r="E5873" s="213" t="s">
        <v>48951</v>
      </c>
      <c r="K5873" s="213" t="s">
        <v>56889</v>
      </c>
      <c r="L5873" s="213" t="s">
        <v>56917</v>
      </c>
      <c r="M5873" s="213" t="s">
        <v>56945</v>
      </c>
      <c r="N5873" s="213" t="s">
        <v>48952</v>
      </c>
      <c r="O5873" s="213" t="s">
        <v>48953</v>
      </c>
      <c r="P5873" s="213" t="s">
        <v>48954</v>
      </c>
      <c r="Q5873" s="213" t="s">
        <v>48955</v>
      </c>
      <c r="R5873" s="213" t="s">
        <v>48956</v>
      </c>
      <c r="S5873" s="213" t="s">
        <v>48957</v>
      </c>
      <c r="T5873" s="213" t="s">
        <v>48958</v>
      </c>
      <c r="U5873" s="213" t="s">
        <v>56973</v>
      </c>
    </row>
    <row r="5874" spans="1:21" x14ac:dyDescent="0.25">
      <c r="A5874" s="213" t="s">
        <v>327</v>
      </c>
      <c r="D5874" s="213" t="s">
        <v>48959</v>
      </c>
      <c r="E5874" s="213" t="s">
        <v>48960</v>
      </c>
      <c r="K5874" s="213" t="s">
        <v>56890</v>
      </c>
      <c r="L5874" s="213" t="s">
        <v>56918</v>
      </c>
      <c r="M5874" s="213" t="s">
        <v>56946</v>
      </c>
      <c r="N5874" s="213" t="s">
        <v>48961</v>
      </c>
      <c r="O5874" s="213" t="s">
        <v>48962</v>
      </c>
      <c r="P5874" s="213" t="s">
        <v>48963</v>
      </c>
      <c r="Q5874" s="213" t="s">
        <v>48964</v>
      </c>
      <c r="R5874" s="213" t="s">
        <v>48965</v>
      </c>
      <c r="S5874" s="213" t="s">
        <v>48966</v>
      </c>
      <c r="T5874" s="213" t="s">
        <v>48967</v>
      </c>
      <c r="U5874" s="213" t="s">
        <v>56974</v>
      </c>
    </row>
    <row r="5875" spans="1:21" x14ac:dyDescent="0.25">
      <c r="A5875" s="213" t="s">
        <v>327</v>
      </c>
      <c r="D5875" s="213" t="s">
        <v>48968</v>
      </c>
      <c r="E5875" s="213" t="s">
        <v>48969</v>
      </c>
      <c r="K5875" s="213" t="s">
        <v>56891</v>
      </c>
      <c r="L5875" s="213" t="s">
        <v>56919</v>
      </c>
      <c r="M5875" s="213" t="s">
        <v>56947</v>
      </c>
      <c r="N5875" s="213" t="s">
        <v>48970</v>
      </c>
      <c r="O5875" s="213" t="s">
        <v>48971</v>
      </c>
      <c r="P5875" s="213" t="s">
        <v>48972</v>
      </c>
      <c r="Q5875" s="213" t="s">
        <v>48973</v>
      </c>
      <c r="R5875" s="213" t="s">
        <v>48974</v>
      </c>
      <c r="S5875" s="213" t="s">
        <v>48975</v>
      </c>
      <c r="T5875" s="213" t="s">
        <v>48976</v>
      </c>
      <c r="U5875" s="213" t="s">
        <v>56975</v>
      </c>
    </row>
    <row r="5876" spans="1:21" x14ac:dyDescent="0.25">
      <c r="A5876" s="213" t="s">
        <v>327</v>
      </c>
      <c r="D5876" s="213" t="s">
        <v>48977</v>
      </c>
      <c r="E5876" s="213" t="s">
        <v>48978</v>
      </c>
      <c r="K5876" s="213" t="s">
        <v>56892</v>
      </c>
      <c r="L5876" s="213" t="s">
        <v>56920</v>
      </c>
      <c r="M5876" s="213" t="s">
        <v>56948</v>
      </c>
      <c r="N5876" s="213" t="s">
        <v>48979</v>
      </c>
      <c r="O5876" s="213" t="s">
        <v>48980</v>
      </c>
      <c r="P5876" s="213" t="s">
        <v>48981</v>
      </c>
      <c r="Q5876" s="213" t="s">
        <v>48982</v>
      </c>
      <c r="R5876" s="213" t="s">
        <v>48983</v>
      </c>
      <c r="S5876" s="213" t="s">
        <v>48984</v>
      </c>
      <c r="T5876" s="213" t="s">
        <v>48985</v>
      </c>
      <c r="U5876" s="213" t="s">
        <v>56976</v>
      </c>
    </row>
    <row r="5877" spans="1:21" x14ac:dyDescent="0.25">
      <c r="A5877" s="213" t="s">
        <v>327</v>
      </c>
      <c r="D5877" s="213" t="s">
        <v>48986</v>
      </c>
      <c r="E5877" s="213" t="s">
        <v>48987</v>
      </c>
      <c r="K5877" s="213" t="s">
        <v>56893</v>
      </c>
      <c r="L5877" s="213" t="s">
        <v>56921</v>
      </c>
      <c r="M5877" s="213" t="s">
        <v>56949</v>
      </c>
      <c r="N5877" s="213" t="s">
        <v>48988</v>
      </c>
      <c r="O5877" s="213" t="s">
        <v>48989</v>
      </c>
      <c r="P5877" s="213" t="s">
        <v>48990</v>
      </c>
      <c r="Q5877" s="213" t="s">
        <v>48991</v>
      </c>
      <c r="R5877" s="213" t="s">
        <v>48992</v>
      </c>
      <c r="S5877" s="213" t="s">
        <v>48993</v>
      </c>
      <c r="T5877" s="213" t="s">
        <v>48994</v>
      </c>
      <c r="U5877" s="213" t="s">
        <v>56977</v>
      </c>
    </row>
    <row r="5878" spans="1:21" x14ac:dyDescent="0.25">
      <c r="A5878" s="213" t="s">
        <v>327</v>
      </c>
    </row>
    <row r="5879" spans="1:21" x14ac:dyDescent="0.25">
      <c r="A5879" s="213" t="s">
        <v>327</v>
      </c>
    </row>
    <row r="5880" spans="1:21" x14ac:dyDescent="0.25">
      <c r="A5880" s="213" t="s">
        <v>327</v>
      </c>
      <c r="C5880" s="213" t="s">
        <v>48995</v>
      </c>
      <c r="E5880" s="213" t="s">
        <v>48996</v>
      </c>
      <c r="H5880" s="213" t="s">
        <v>48997</v>
      </c>
      <c r="I5880" s="213" t="s">
        <v>48998</v>
      </c>
      <c r="J5880" s="213" t="s">
        <v>48999</v>
      </c>
      <c r="L5880" s="213" t="s">
        <v>49000</v>
      </c>
      <c r="O5880" s="213" t="s">
        <v>49001</v>
      </c>
      <c r="P5880" s="213" t="s">
        <v>49002</v>
      </c>
      <c r="Q5880" s="213" t="s">
        <v>49003</v>
      </c>
      <c r="R5880" s="213" t="s">
        <v>49004</v>
      </c>
      <c r="S5880" s="213" t="s">
        <v>49005</v>
      </c>
      <c r="T5880" s="213" t="s">
        <v>49006</v>
      </c>
    </row>
    <row r="5881" spans="1:21" x14ac:dyDescent="0.25">
      <c r="A5881" s="213" t="s">
        <v>327</v>
      </c>
      <c r="C5881" s="213" t="s">
        <v>49007</v>
      </c>
      <c r="E5881" s="213" t="s">
        <v>49008</v>
      </c>
      <c r="I5881" s="213" t="s">
        <v>49009</v>
      </c>
    </row>
    <row r="5882" spans="1:21" x14ac:dyDescent="0.25">
      <c r="A5882" s="213" t="s">
        <v>327</v>
      </c>
      <c r="C5882" s="213" t="s">
        <v>49010</v>
      </c>
      <c r="E5882" s="213" t="s">
        <v>49011</v>
      </c>
      <c r="I5882" s="213" t="s">
        <v>49012</v>
      </c>
    </row>
    <row r="5883" spans="1:21" x14ac:dyDescent="0.25">
      <c r="A5883" s="213" t="s">
        <v>328</v>
      </c>
    </row>
    <row r="5884" spans="1:21" x14ac:dyDescent="0.25">
      <c r="A5884" s="213" t="s">
        <v>327</v>
      </c>
      <c r="D5884" s="213" t="s">
        <v>49013</v>
      </c>
      <c r="E5884" s="213" t="s">
        <v>49014</v>
      </c>
      <c r="K5884" s="213" t="s">
        <v>56754</v>
      </c>
      <c r="L5884" s="213" t="s">
        <v>56782</v>
      </c>
      <c r="M5884" s="213" t="s">
        <v>56810</v>
      </c>
      <c r="N5884" s="213" t="s">
        <v>49015</v>
      </c>
      <c r="O5884" s="213" t="s">
        <v>49016</v>
      </c>
      <c r="P5884" s="213" t="s">
        <v>49017</v>
      </c>
      <c r="Q5884" s="213" t="s">
        <v>49018</v>
      </c>
      <c r="R5884" s="213" t="s">
        <v>49019</v>
      </c>
      <c r="S5884" s="213" t="s">
        <v>49020</v>
      </c>
      <c r="T5884" s="213" t="s">
        <v>49021</v>
      </c>
      <c r="U5884" s="213" t="s">
        <v>56838</v>
      </c>
    </row>
    <row r="5885" spans="1:21" x14ac:dyDescent="0.25">
      <c r="A5885" s="213" t="s">
        <v>327</v>
      </c>
      <c r="D5885" s="213" t="s">
        <v>49022</v>
      </c>
      <c r="E5885" s="213" t="s">
        <v>49023</v>
      </c>
      <c r="K5885" s="213" t="s">
        <v>56755</v>
      </c>
      <c r="L5885" s="213" t="s">
        <v>56783</v>
      </c>
      <c r="M5885" s="213" t="s">
        <v>56811</v>
      </c>
      <c r="N5885" s="213" t="s">
        <v>49024</v>
      </c>
      <c r="O5885" s="213" t="s">
        <v>49025</v>
      </c>
      <c r="P5885" s="213" t="s">
        <v>49026</v>
      </c>
      <c r="Q5885" s="213" t="s">
        <v>49027</v>
      </c>
      <c r="R5885" s="213" t="s">
        <v>49028</v>
      </c>
      <c r="S5885" s="213" t="s">
        <v>49029</v>
      </c>
      <c r="T5885" s="213" t="s">
        <v>49030</v>
      </c>
      <c r="U5885" s="213" t="s">
        <v>56839</v>
      </c>
    </row>
    <row r="5886" spans="1:21" x14ac:dyDescent="0.25">
      <c r="A5886" s="213" t="s">
        <v>327</v>
      </c>
      <c r="D5886" s="213" t="s">
        <v>49031</v>
      </c>
      <c r="E5886" s="213" t="s">
        <v>49032</v>
      </c>
      <c r="K5886" s="213" t="s">
        <v>56756</v>
      </c>
      <c r="L5886" s="213" t="s">
        <v>56784</v>
      </c>
      <c r="M5886" s="213" t="s">
        <v>56812</v>
      </c>
      <c r="N5886" s="213" t="s">
        <v>49033</v>
      </c>
      <c r="O5886" s="213" t="s">
        <v>49034</v>
      </c>
      <c r="P5886" s="213" t="s">
        <v>49035</v>
      </c>
      <c r="Q5886" s="213" t="s">
        <v>49036</v>
      </c>
      <c r="R5886" s="213" t="s">
        <v>49037</v>
      </c>
      <c r="S5886" s="213" t="s">
        <v>49038</v>
      </c>
      <c r="T5886" s="213" t="s">
        <v>49039</v>
      </c>
      <c r="U5886" s="213" t="s">
        <v>56840</v>
      </c>
    </row>
    <row r="5887" spans="1:21" x14ac:dyDescent="0.25">
      <c r="A5887" s="213" t="s">
        <v>327</v>
      </c>
      <c r="D5887" s="213" t="s">
        <v>49040</v>
      </c>
      <c r="E5887" s="213" t="s">
        <v>49041</v>
      </c>
      <c r="K5887" s="213" t="s">
        <v>56757</v>
      </c>
      <c r="L5887" s="213" t="s">
        <v>56785</v>
      </c>
      <c r="M5887" s="213" t="s">
        <v>56813</v>
      </c>
      <c r="N5887" s="213" t="s">
        <v>49042</v>
      </c>
      <c r="O5887" s="213" t="s">
        <v>49043</v>
      </c>
      <c r="P5887" s="213" t="s">
        <v>49044</v>
      </c>
      <c r="Q5887" s="213" t="s">
        <v>49045</v>
      </c>
      <c r="R5887" s="213" t="s">
        <v>49046</v>
      </c>
      <c r="S5887" s="213" t="s">
        <v>49047</v>
      </c>
      <c r="T5887" s="213" t="s">
        <v>49048</v>
      </c>
      <c r="U5887" s="213" t="s">
        <v>56841</v>
      </c>
    </row>
    <row r="5888" spans="1:21" x14ac:dyDescent="0.25">
      <c r="A5888" s="213" t="s">
        <v>327</v>
      </c>
      <c r="D5888" s="213" t="s">
        <v>49049</v>
      </c>
      <c r="E5888" s="213" t="s">
        <v>49050</v>
      </c>
      <c r="K5888" s="213" t="s">
        <v>56758</v>
      </c>
      <c r="L5888" s="213" t="s">
        <v>56786</v>
      </c>
      <c r="M5888" s="213" t="s">
        <v>56814</v>
      </c>
      <c r="N5888" s="213" t="s">
        <v>49051</v>
      </c>
      <c r="O5888" s="213" t="s">
        <v>49052</v>
      </c>
      <c r="P5888" s="213" t="s">
        <v>49053</v>
      </c>
      <c r="Q5888" s="213" t="s">
        <v>49054</v>
      </c>
      <c r="R5888" s="213" t="s">
        <v>49055</v>
      </c>
      <c r="S5888" s="213" t="s">
        <v>49056</v>
      </c>
      <c r="T5888" s="213" t="s">
        <v>49057</v>
      </c>
      <c r="U5888" s="213" t="s">
        <v>56842</v>
      </c>
    </row>
    <row r="5889" spans="1:21" x14ac:dyDescent="0.25">
      <c r="A5889" s="213" t="s">
        <v>327</v>
      </c>
      <c r="D5889" s="213" t="s">
        <v>49058</v>
      </c>
      <c r="E5889" s="213" t="s">
        <v>49059</v>
      </c>
      <c r="K5889" s="213" t="s">
        <v>56759</v>
      </c>
      <c r="L5889" s="213" t="s">
        <v>56787</v>
      </c>
      <c r="M5889" s="213" t="s">
        <v>56815</v>
      </c>
      <c r="N5889" s="213" t="s">
        <v>49060</v>
      </c>
      <c r="O5889" s="213" t="s">
        <v>49061</v>
      </c>
      <c r="P5889" s="213" t="s">
        <v>49062</v>
      </c>
      <c r="Q5889" s="213" t="s">
        <v>49063</v>
      </c>
      <c r="R5889" s="213" t="s">
        <v>49064</v>
      </c>
      <c r="S5889" s="213" t="s">
        <v>49065</v>
      </c>
      <c r="T5889" s="213" t="s">
        <v>49066</v>
      </c>
      <c r="U5889" s="213" t="s">
        <v>56843</v>
      </c>
    </row>
    <row r="5890" spans="1:21" x14ac:dyDescent="0.25">
      <c r="A5890" s="213" t="s">
        <v>327</v>
      </c>
      <c r="D5890" s="213" t="s">
        <v>49067</v>
      </c>
      <c r="E5890" s="213" t="s">
        <v>49068</v>
      </c>
      <c r="K5890" s="213" t="s">
        <v>56760</v>
      </c>
      <c r="L5890" s="213" t="s">
        <v>56788</v>
      </c>
      <c r="M5890" s="213" t="s">
        <v>56816</v>
      </c>
      <c r="N5890" s="213" t="s">
        <v>49069</v>
      </c>
      <c r="O5890" s="213" t="s">
        <v>49070</v>
      </c>
      <c r="P5890" s="213" t="s">
        <v>49071</v>
      </c>
      <c r="Q5890" s="213" t="s">
        <v>49072</v>
      </c>
      <c r="R5890" s="213" t="s">
        <v>49073</v>
      </c>
      <c r="S5890" s="213" t="s">
        <v>49074</v>
      </c>
      <c r="T5890" s="213" t="s">
        <v>49075</v>
      </c>
      <c r="U5890" s="213" t="s">
        <v>56844</v>
      </c>
    </row>
    <row r="5891" spans="1:21" x14ac:dyDescent="0.25">
      <c r="A5891" s="213" t="s">
        <v>327</v>
      </c>
      <c r="D5891" s="213" t="s">
        <v>49076</v>
      </c>
      <c r="E5891" s="213" t="s">
        <v>49077</v>
      </c>
      <c r="K5891" s="213" t="s">
        <v>56761</v>
      </c>
      <c r="L5891" s="213" t="s">
        <v>56789</v>
      </c>
      <c r="M5891" s="213" t="s">
        <v>56817</v>
      </c>
      <c r="N5891" s="213" t="s">
        <v>49078</v>
      </c>
      <c r="O5891" s="213" t="s">
        <v>49079</v>
      </c>
      <c r="P5891" s="213" t="s">
        <v>49080</v>
      </c>
      <c r="Q5891" s="213" t="s">
        <v>49081</v>
      </c>
      <c r="R5891" s="213" t="s">
        <v>49082</v>
      </c>
      <c r="S5891" s="213" t="s">
        <v>49083</v>
      </c>
      <c r="T5891" s="213" t="s">
        <v>49084</v>
      </c>
      <c r="U5891" s="213" t="s">
        <v>56845</v>
      </c>
    </row>
    <row r="5892" spans="1:21" x14ac:dyDescent="0.25">
      <c r="A5892" s="213" t="s">
        <v>327</v>
      </c>
      <c r="D5892" s="213" t="s">
        <v>49085</v>
      </c>
      <c r="E5892" s="213" t="s">
        <v>49086</v>
      </c>
      <c r="K5892" s="213" t="s">
        <v>56762</v>
      </c>
      <c r="L5892" s="213" t="s">
        <v>56790</v>
      </c>
      <c r="M5892" s="213" t="s">
        <v>56818</v>
      </c>
      <c r="N5892" s="213" t="s">
        <v>49087</v>
      </c>
      <c r="O5892" s="213" t="s">
        <v>49088</v>
      </c>
      <c r="P5892" s="213" t="s">
        <v>49089</v>
      </c>
      <c r="Q5892" s="213" t="s">
        <v>49090</v>
      </c>
      <c r="R5892" s="213" t="s">
        <v>49091</v>
      </c>
      <c r="S5892" s="213" t="s">
        <v>49092</v>
      </c>
      <c r="T5892" s="213" t="s">
        <v>49093</v>
      </c>
      <c r="U5892" s="213" t="s">
        <v>56846</v>
      </c>
    </row>
    <row r="5893" spans="1:21" x14ac:dyDescent="0.25">
      <c r="A5893" s="213" t="s">
        <v>327</v>
      </c>
      <c r="D5893" s="213" t="s">
        <v>49094</v>
      </c>
      <c r="E5893" s="213" t="s">
        <v>49095</v>
      </c>
      <c r="K5893" s="213" t="s">
        <v>56763</v>
      </c>
      <c r="L5893" s="213" t="s">
        <v>56791</v>
      </c>
      <c r="M5893" s="213" t="s">
        <v>56819</v>
      </c>
      <c r="N5893" s="213" t="s">
        <v>49096</v>
      </c>
      <c r="O5893" s="213" t="s">
        <v>49097</v>
      </c>
      <c r="P5893" s="213" t="s">
        <v>49098</v>
      </c>
      <c r="Q5893" s="213" t="s">
        <v>49099</v>
      </c>
      <c r="R5893" s="213" t="s">
        <v>49100</v>
      </c>
      <c r="S5893" s="213" t="s">
        <v>49101</v>
      </c>
      <c r="T5893" s="213" t="s">
        <v>49102</v>
      </c>
      <c r="U5893" s="213" t="s">
        <v>56847</v>
      </c>
    </row>
    <row r="5894" spans="1:21" x14ac:dyDescent="0.25">
      <c r="A5894" s="213" t="s">
        <v>327</v>
      </c>
      <c r="D5894" s="213" t="s">
        <v>49103</v>
      </c>
      <c r="E5894" s="213" t="s">
        <v>49104</v>
      </c>
      <c r="K5894" s="213" t="s">
        <v>56764</v>
      </c>
      <c r="L5894" s="213" t="s">
        <v>56792</v>
      </c>
      <c r="M5894" s="213" t="s">
        <v>56820</v>
      </c>
      <c r="N5894" s="213" t="s">
        <v>49105</v>
      </c>
      <c r="O5894" s="213" t="s">
        <v>49106</v>
      </c>
      <c r="P5894" s="213" t="s">
        <v>49107</v>
      </c>
      <c r="Q5894" s="213" t="s">
        <v>49108</v>
      </c>
      <c r="R5894" s="213" t="s">
        <v>49109</v>
      </c>
      <c r="S5894" s="213" t="s">
        <v>49110</v>
      </c>
      <c r="T5894" s="213" t="s">
        <v>49111</v>
      </c>
      <c r="U5894" s="213" t="s">
        <v>56848</v>
      </c>
    </row>
    <row r="5895" spans="1:21" x14ac:dyDescent="0.25">
      <c r="A5895" s="213" t="s">
        <v>327</v>
      </c>
      <c r="D5895" s="213" t="s">
        <v>49112</v>
      </c>
      <c r="E5895" s="213" t="s">
        <v>49113</v>
      </c>
      <c r="K5895" s="213" t="s">
        <v>56765</v>
      </c>
      <c r="L5895" s="213" t="s">
        <v>56793</v>
      </c>
      <c r="M5895" s="213" t="s">
        <v>56821</v>
      </c>
      <c r="N5895" s="213" t="s">
        <v>49114</v>
      </c>
      <c r="O5895" s="213" t="s">
        <v>49115</v>
      </c>
      <c r="P5895" s="213" t="s">
        <v>49116</v>
      </c>
      <c r="Q5895" s="213" t="s">
        <v>49117</v>
      </c>
      <c r="R5895" s="213" t="s">
        <v>49118</v>
      </c>
      <c r="S5895" s="213" t="s">
        <v>49119</v>
      </c>
      <c r="T5895" s="213" t="s">
        <v>49120</v>
      </c>
      <c r="U5895" s="213" t="s">
        <v>56849</v>
      </c>
    </row>
    <row r="5896" spans="1:21" x14ac:dyDescent="0.25">
      <c r="A5896" s="213" t="s">
        <v>327</v>
      </c>
      <c r="D5896" s="213" t="s">
        <v>49121</v>
      </c>
      <c r="E5896" s="213" t="s">
        <v>49122</v>
      </c>
      <c r="K5896" s="213" t="s">
        <v>56766</v>
      </c>
      <c r="L5896" s="213" t="s">
        <v>56794</v>
      </c>
      <c r="M5896" s="213" t="s">
        <v>56822</v>
      </c>
      <c r="N5896" s="213" t="s">
        <v>49123</v>
      </c>
      <c r="O5896" s="213" t="s">
        <v>49124</v>
      </c>
      <c r="P5896" s="213" t="s">
        <v>49125</v>
      </c>
      <c r="Q5896" s="213" t="s">
        <v>49126</v>
      </c>
      <c r="R5896" s="213" t="s">
        <v>49127</v>
      </c>
      <c r="S5896" s="213" t="s">
        <v>49128</v>
      </c>
      <c r="T5896" s="213" t="s">
        <v>49129</v>
      </c>
      <c r="U5896" s="213" t="s">
        <v>56850</v>
      </c>
    </row>
    <row r="5897" spans="1:21" x14ac:dyDescent="0.25">
      <c r="A5897" s="213" t="s">
        <v>327</v>
      </c>
      <c r="D5897" s="213" t="s">
        <v>49130</v>
      </c>
      <c r="E5897" s="213" t="s">
        <v>49131</v>
      </c>
      <c r="K5897" s="213" t="s">
        <v>56767</v>
      </c>
      <c r="L5897" s="213" t="s">
        <v>56795</v>
      </c>
      <c r="M5897" s="213" t="s">
        <v>56823</v>
      </c>
      <c r="N5897" s="213" t="s">
        <v>49132</v>
      </c>
      <c r="O5897" s="213" t="s">
        <v>49133</v>
      </c>
      <c r="P5897" s="213" t="s">
        <v>49134</v>
      </c>
      <c r="Q5897" s="213" t="s">
        <v>49135</v>
      </c>
      <c r="R5897" s="213" t="s">
        <v>49136</v>
      </c>
      <c r="S5897" s="213" t="s">
        <v>49137</v>
      </c>
      <c r="T5897" s="213" t="s">
        <v>49138</v>
      </c>
      <c r="U5897" s="213" t="s">
        <v>56851</v>
      </c>
    </row>
    <row r="5898" spans="1:21" x14ac:dyDescent="0.25">
      <c r="A5898" s="213" t="s">
        <v>327</v>
      </c>
      <c r="D5898" s="213" t="s">
        <v>49139</v>
      </c>
      <c r="E5898" s="213" t="s">
        <v>49140</v>
      </c>
      <c r="K5898" s="213" t="s">
        <v>56768</v>
      </c>
      <c r="L5898" s="213" t="s">
        <v>56796</v>
      </c>
      <c r="M5898" s="213" t="s">
        <v>56824</v>
      </c>
      <c r="N5898" s="213" t="s">
        <v>49141</v>
      </c>
      <c r="O5898" s="213" t="s">
        <v>49142</v>
      </c>
      <c r="P5898" s="213" t="s">
        <v>49143</v>
      </c>
      <c r="Q5898" s="213" t="s">
        <v>49144</v>
      </c>
      <c r="R5898" s="213" t="s">
        <v>49145</v>
      </c>
      <c r="S5898" s="213" t="s">
        <v>49146</v>
      </c>
      <c r="T5898" s="213" t="s">
        <v>49147</v>
      </c>
      <c r="U5898" s="213" t="s">
        <v>56852</v>
      </c>
    </row>
    <row r="5899" spans="1:21" x14ac:dyDescent="0.25">
      <c r="A5899" s="213" t="s">
        <v>327</v>
      </c>
      <c r="D5899" s="213" t="s">
        <v>49148</v>
      </c>
      <c r="E5899" s="213" t="s">
        <v>49149</v>
      </c>
      <c r="K5899" s="213" t="s">
        <v>56769</v>
      </c>
      <c r="L5899" s="213" t="s">
        <v>56797</v>
      </c>
      <c r="M5899" s="213" t="s">
        <v>56825</v>
      </c>
      <c r="N5899" s="213" t="s">
        <v>49150</v>
      </c>
      <c r="O5899" s="213" t="s">
        <v>49151</v>
      </c>
      <c r="P5899" s="213" t="s">
        <v>49152</v>
      </c>
      <c r="Q5899" s="213" t="s">
        <v>49153</v>
      </c>
      <c r="R5899" s="213" t="s">
        <v>49154</v>
      </c>
      <c r="S5899" s="213" t="s">
        <v>49155</v>
      </c>
      <c r="T5899" s="213" t="s">
        <v>49156</v>
      </c>
      <c r="U5899" s="213" t="s">
        <v>56853</v>
      </c>
    </row>
    <row r="5900" spans="1:21" x14ac:dyDescent="0.25">
      <c r="A5900" s="213" t="s">
        <v>327</v>
      </c>
      <c r="D5900" s="213" t="s">
        <v>49157</v>
      </c>
      <c r="E5900" s="213" t="s">
        <v>49158</v>
      </c>
      <c r="K5900" s="213" t="s">
        <v>56770</v>
      </c>
      <c r="L5900" s="213" t="s">
        <v>56798</v>
      </c>
      <c r="M5900" s="213" t="s">
        <v>56826</v>
      </c>
      <c r="N5900" s="213" t="s">
        <v>49159</v>
      </c>
      <c r="O5900" s="213" t="s">
        <v>49160</v>
      </c>
      <c r="P5900" s="213" t="s">
        <v>49161</v>
      </c>
      <c r="Q5900" s="213" t="s">
        <v>49162</v>
      </c>
      <c r="R5900" s="213" t="s">
        <v>49163</v>
      </c>
      <c r="S5900" s="213" t="s">
        <v>49164</v>
      </c>
      <c r="T5900" s="213" t="s">
        <v>49165</v>
      </c>
      <c r="U5900" s="213" t="s">
        <v>56854</v>
      </c>
    </row>
    <row r="5901" spans="1:21" x14ac:dyDescent="0.25">
      <c r="A5901" s="213" t="s">
        <v>327</v>
      </c>
      <c r="D5901" s="213" t="s">
        <v>49166</v>
      </c>
      <c r="E5901" s="213" t="s">
        <v>49167</v>
      </c>
      <c r="K5901" s="213" t="s">
        <v>56771</v>
      </c>
      <c r="L5901" s="213" t="s">
        <v>56799</v>
      </c>
      <c r="M5901" s="213" t="s">
        <v>56827</v>
      </c>
      <c r="N5901" s="213" t="s">
        <v>49168</v>
      </c>
      <c r="O5901" s="213" t="s">
        <v>49169</v>
      </c>
      <c r="P5901" s="213" t="s">
        <v>49170</v>
      </c>
      <c r="Q5901" s="213" t="s">
        <v>49171</v>
      </c>
      <c r="R5901" s="213" t="s">
        <v>49172</v>
      </c>
      <c r="S5901" s="213" t="s">
        <v>49173</v>
      </c>
      <c r="T5901" s="213" t="s">
        <v>49174</v>
      </c>
      <c r="U5901" s="213" t="s">
        <v>56855</v>
      </c>
    </row>
    <row r="5902" spans="1:21" x14ac:dyDescent="0.25">
      <c r="A5902" s="213" t="s">
        <v>327</v>
      </c>
      <c r="D5902" s="213" t="s">
        <v>49175</v>
      </c>
      <c r="E5902" s="213" t="s">
        <v>49176</v>
      </c>
      <c r="K5902" s="213" t="s">
        <v>56772</v>
      </c>
      <c r="L5902" s="213" t="s">
        <v>56800</v>
      </c>
      <c r="M5902" s="213" t="s">
        <v>56828</v>
      </c>
      <c r="N5902" s="213" t="s">
        <v>49177</v>
      </c>
      <c r="O5902" s="213" t="s">
        <v>49178</v>
      </c>
      <c r="P5902" s="213" t="s">
        <v>49179</v>
      </c>
      <c r="Q5902" s="213" t="s">
        <v>49180</v>
      </c>
      <c r="R5902" s="213" t="s">
        <v>49181</v>
      </c>
      <c r="S5902" s="213" t="s">
        <v>49182</v>
      </c>
      <c r="T5902" s="213" t="s">
        <v>49183</v>
      </c>
      <c r="U5902" s="213" t="s">
        <v>56856</v>
      </c>
    </row>
    <row r="5903" spans="1:21" x14ac:dyDescent="0.25">
      <c r="A5903" s="213" t="s">
        <v>327</v>
      </c>
      <c r="D5903" s="213" t="s">
        <v>49184</v>
      </c>
      <c r="E5903" s="213" t="s">
        <v>49185</v>
      </c>
      <c r="K5903" s="213" t="s">
        <v>56773</v>
      </c>
      <c r="L5903" s="213" t="s">
        <v>56801</v>
      </c>
      <c r="M5903" s="213" t="s">
        <v>56829</v>
      </c>
      <c r="N5903" s="213" t="s">
        <v>49186</v>
      </c>
      <c r="O5903" s="213" t="s">
        <v>49187</v>
      </c>
      <c r="P5903" s="213" t="s">
        <v>49188</v>
      </c>
      <c r="Q5903" s="213" t="s">
        <v>49189</v>
      </c>
      <c r="R5903" s="213" t="s">
        <v>49190</v>
      </c>
      <c r="S5903" s="213" t="s">
        <v>49191</v>
      </c>
      <c r="T5903" s="213" t="s">
        <v>49192</v>
      </c>
      <c r="U5903" s="213" t="s">
        <v>56857</v>
      </c>
    </row>
    <row r="5904" spans="1:21" x14ac:dyDescent="0.25">
      <c r="A5904" s="213" t="s">
        <v>327</v>
      </c>
      <c r="D5904" s="213" t="s">
        <v>49193</v>
      </c>
      <c r="E5904" s="213" t="s">
        <v>49194</v>
      </c>
      <c r="K5904" s="213" t="s">
        <v>56774</v>
      </c>
      <c r="L5904" s="213" t="s">
        <v>56802</v>
      </c>
      <c r="M5904" s="213" t="s">
        <v>56830</v>
      </c>
      <c r="N5904" s="213" t="s">
        <v>49195</v>
      </c>
      <c r="O5904" s="213" t="s">
        <v>49196</v>
      </c>
      <c r="P5904" s="213" t="s">
        <v>49197</v>
      </c>
      <c r="Q5904" s="213" t="s">
        <v>49198</v>
      </c>
      <c r="R5904" s="213" t="s">
        <v>49199</v>
      </c>
      <c r="S5904" s="213" t="s">
        <v>49200</v>
      </c>
      <c r="T5904" s="213" t="s">
        <v>49201</v>
      </c>
      <c r="U5904" s="213" t="s">
        <v>56858</v>
      </c>
    </row>
    <row r="5905" spans="1:21" x14ac:dyDescent="0.25">
      <c r="A5905" s="213" t="s">
        <v>327</v>
      </c>
      <c r="D5905" s="213" t="s">
        <v>49202</v>
      </c>
      <c r="E5905" s="213" t="s">
        <v>49203</v>
      </c>
      <c r="K5905" s="213" t="s">
        <v>56775</v>
      </c>
      <c r="L5905" s="213" t="s">
        <v>56803</v>
      </c>
      <c r="M5905" s="213" t="s">
        <v>56831</v>
      </c>
      <c r="N5905" s="213" t="s">
        <v>49204</v>
      </c>
      <c r="O5905" s="213" t="s">
        <v>49205</v>
      </c>
      <c r="P5905" s="213" t="s">
        <v>49206</v>
      </c>
      <c r="Q5905" s="213" t="s">
        <v>49207</v>
      </c>
      <c r="R5905" s="213" t="s">
        <v>49208</v>
      </c>
      <c r="S5905" s="213" t="s">
        <v>49209</v>
      </c>
      <c r="T5905" s="213" t="s">
        <v>49210</v>
      </c>
      <c r="U5905" s="213" t="s">
        <v>56859</v>
      </c>
    </row>
    <row r="5906" spans="1:21" x14ac:dyDescent="0.25">
      <c r="A5906" s="213" t="s">
        <v>327</v>
      </c>
      <c r="D5906" s="213" t="s">
        <v>49211</v>
      </c>
      <c r="E5906" s="213" t="s">
        <v>49212</v>
      </c>
      <c r="K5906" s="213" t="s">
        <v>56776</v>
      </c>
      <c r="L5906" s="213" t="s">
        <v>56804</v>
      </c>
      <c r="M5906" s="213" t="s">
        <v>56832</v>
      </c>
      <c r="N5906" s="213" t="s">
        <v>49213</v>
      </c>
      <c r="O5906" s="213" t="s">
        <v>49214</v>
      </c>
      <c r="P5906" s="213" t="s">
        <v>49215</v>
      </c>
      <c r="Q5906" s="213" t="s">
        <v>49216</v>
      </c>
      <c r="R5906" s="213" t="s">
        <v>49217</v>
      </c>
      <c r="S5906" s="213" t="s">
        <v>49218</v>
      </c>
      <c r="T5906" s="213" t="s">
        <v>49219</v>
      </c>
      <c r="U5906" s="213" t="s">
        <v>56860</v>
      </c>
    </row>
    <row r="5907" spans="1:21" x14ac:dyDescent="0.25">
      <c r="A5907" s="213" t="s">
        <v>327</v>
      </c>
      <c r="D5907" s="213" t="s">
        <v>49220</v>
      </c>
      <c r="E5907" s="213" t="s">
        <v>49221</v>
      </c>
      <c r="K5907" s="213" t="s">
        <v>56777</v>
      </c>
      <c r="L5907" s="213" t="s">
        <v>56805</v>
      </c>
      <c r="M5907" s="213" t="s">
        <v>56833</v>
      </c>
      <c r="N5907" s="213" t="s">
        <v>49222</v>
      </c>
      <c r="O5907" s="213" t="s">
        <v>49223</v>
      </c>
      <c r="P5907" s="213" t="s">
        <v>49224</v>
      </c>
      <c r="Q5907" s="213" t="s">
        <v>49225</v>
      </c>
      <c r="R5907" s="213" t="s">
        <v>49226</v>
      </c>
      <c r="S5907" s="213" t="s">
        <v>49227</v>
      </c>
      <c r="T5907" s="213" t="s">
        <v>49228</v>
      </c>
      <c r="U5907" s="213" t="s">
        <v>56861</v>
      </c>
    </row>
    <row r="5908" spans="1:21" x14ac:dyDescent="0.25">
      <c r="A5908" s="213" t="s">
        <v>327</v>
      </c>
      <c r="D5908" s="213" t="s">
        <v>49229</v>
      </c>
      <c r="E5908" s="213" t="s">
        <v>49230</v>
      </c>
      <c r="K5908" s="213" t="s">
        <v>56778</v>
      </c>
      <c r="L5908" s="213" t="s">
        <v>56806</v>
      </c>
      <c r="M5908" s="213" t="s">
        <v>56834</v>
      </c>
      <c r="N5908" s="213" t="s">
        <v>49231</v>
      </c>
      <c r="O5908" s="213" t="s">
        <v>49232</v>
      </c>
      <c r="P5908" s="213" t="s">
        <v>49233</v>
      </c>
      <c r="Q5908" s="213" t="s">
        <v>49234</v>
      </c>
      <c r="R5908" s="213" t="s">
        <v>49235</v>
      </c>
      <c r="S5908" s="213" t="s">
        <v>49236</v>
      </c>
      <c r="T5908" s="213" t="s">
        <v>49237</v>
      </c>
      <c r="U5908" s="213" t="s">
        <v>56862</v>
      </c>
    </row>
    <row r="5909" spans="1:21" x14ac:dyDescent="0.25">
      <c r="A5909" s="213" t="s">
        <v>327</v>
      </c>
      <c r="D5909" s="213" t="s">
        <v>49238</v>
      </c>
      <c r="E5909" s="213" t="s">
        <v>49239</v>
      </c>
      <c r="K5909" s="213" t="s">
        <v>56779</v>
      </c>
      <c r="L5909" s="213" t="s">
        <v>56807</v>
      </c>
      <c r="M5909" s="213" t="s">
        <v>56835</v>
      </c>
      <c r="N5909" s="213" t="s">
        <v>49240</v>
      </c>
      <c r="O5909" s="213" t="s">
        <v>49241</v>
      </c>
      <c r="P5909" s="213" t="s">
        <v>49242</v>
      </c>
      <c r="Q5909" s="213" t="s">
        <v>49243</v>
      </c>
      <c r="R5909" s="213" t="s">
        <v>49244</v>
      </c>
      <c r="S5909" s="213" t="s">
        <v>49245</v>
      </c>
      <c r="T5909" s="213" t="s">
        <v>49246</v>
      </c>
      <c r="U5909" s="213" t="s">
        <v>56863</v>
      </c>
    </row>
    <row r="5910" spans="1:21" x14ac:dyDescent="0.25">
      <c r="A5910" s="213" t="s">
        <v>327</v>
      </c>
      <c r="D5910" s="213" t="s">
        <v>49247</v>
      </c>
      <c r="E5910" s="213" t="s">
        <v>49248</v>
      </c>
      <c r="K5910" s="213" t="s">
        <v>56780</v>
      </c>
      <c r="L5910" s="213" t="s">
        <v>56808</v>
      </c>
      <c r="M5910" s="213" t="s">
        <v>56836</v>
      </c>
      <c r="N5910" s="213" t="s">
        <v>49249</v>
      </c>
      <c r="O5910" s="213" t="s">
        <v>49250</v>
      </c>
      <c r="P5910" s="213" t="s">
        <v>49251</v>
      </c>
      <c r="Q5910" s="213" t="s">
        <v>49252</v>
      </c>
      <c r="R5910" s="213" t="s">
        <v>49253</v>
      </c>
      <c r="S5910" s="213" t="s">
        <v>49254</v>
      </c>
      <c r="T5910" s="213" t="s">
        <v>49255</v>
      </c>
      <c r="U5910" s="213" t="s">
        <v>56864</v>
      </c>
    </row>
    <row r="5911" spans="1:21" x14ac:dyDescent="0.25">
      <c r="A5911" s="213" t="s">
        <v>327</v>
      </c>
      <c r="D5911" s="213" t="s">
        <v>49256</v>
      </c>
      <c r="E5911" s="213" t="s">
        <v>49257</v>
      </c>
      <c r="K5911" s="213" t="s">
        <v>56781</v>
      </c>
      <c r="L5911" s="213" t="s">
        <v>56809</v>
      </c>
      <c r="M5911" s="213" t="s">
        <v>56837</v>
      </c>
      <c r="N5911" s="213" t="s">
        <v>49258</v>
      </c>
      <c r="O5911" s="213" t="s">
        <v>49259</v>
      </c>
      <c r="P5911" s="213" t="s">
        <v>49260</v>
      </c>
      <c r="Q5911" s="213" t="s">
        <v>49261</v>
      </c>
      <c r="R5911" s="213" t="s">
        <v>49262</v>
      </c>
      <c r="S5911" s="213" t="s">
        <v>49263</v>
      </c>
      <c r="T5911" s="213" t="s">
        <v>49264</v>
      </c>
      <c r="U5911" s="213" t="s">
        <v>56865</v>
      </c>
    </row>
    <row r="5912" spans="1:21" x14ac:dyDescent="0.25">
      <c r="A5912" s="213" t="s">
        <v>327</v>
      </c>
    </row>
    <row r="5913" spans="1:21" x14ac:dyDescent="0.25">
      <c r="A5913" s="213" t="s">
        <v>327</v>
      </c>
    </row>
    <row r="5914" spans="1:21" x14ac:dyDescent="0.25">
      <c r="A5914" s="213" t="s">
        <v>327</v>
      </c>
      <c r="C5914" s="213" t="s">
        <v>49265</v>
      </c>
      <c r="E5914" s="213" t="s">
        <v>49266</v>
      </c>
      <c r="H5914" s="213" t="s">
        <v>49267</v>
      </c>
      <c r="I5914" s="213" t="s">
        <v>49268</v>
      </c>
      <c r="J5914" s="213" t="s">
        <v>49269</v>
      </c>
      <c r="L5914" s="213" t="s">
        <v>49270</v>
      </c>
      <c r="O5914" s="213" t="s">
        <v>49271</v>
      </c>
      <c r="P5914" s="213" t="s">
        <v>49272</v>
      </c>
      <c r="Q5914" s="213" t="s">
        <v>49273</v>
      </c>
      <c r="R5914" s="213" t="s">
        <v>49274</v>
      </c>
      <c r="S5914" s="213" t="s">
        <v>49275</v>
      </c>
      <c r="T5914" s="213" t="s">
        <v>49276</v>
      </c>
    </row>
    <row r="5915" spans="1:21" x14ac:dyDescent="0.25">
      <c r="A5915" s="213" t="s">
        <v>327</v>
      </c>
      <c r="C5915" s="213" t="s">
        <v>49277</v>
      </c>
      <c r="E5915" s="213" t="s">
        <v>49278</v>
      </c>
      <c r="I5915" s="213" t="s">
        <v>49279</v>
      </c>
    </row>
    <row r="5916" spans="1:21" x14ac:dyDescent="0.25">
      <c r="A5916" s="213" t="s">
        <v>327</v>
      </c>
      <c r="C5916" s="213" t="s">
        <v>49280</v>
      </c>
      <c r="E5916" s="213" t="s">
        <v>49281</v>
      </c>
      <c r="I5916" s="213" t="s">
        <v>49282</v>
      </c>
    </row>
    <row r="5917" spans="1:21" x14ac:dyDescent="0.25">
      <c r="A5917" s="213" t="s">
        <v>328</v>
      </c>
    </row>
    <row r="5918" spans="1:21" x14ac:dyDescent="0.25">
      <c r="A5918" s="213" t="s">
        <v>327</v>
      </c>
      <c r="D5918" s="213" t="s">
        <v>49283</v>
      </c>
      <c r="E5918" s="213" t="s">
        <v>49284</v>
      </c>
      <c r="K5918" s="213" t="s">
        <v>56666</v>
      </c>
      <c r="L5918" s="213" t="s">
        <v>56688</v>
      </c>
      <c r="M5918" s="213" t="s">
        <v>56710</v>
      </c>
      <c r="N5918" s="213" t="s">
        <v>49285</v>
      </c>
      <c r="O5918" s="213" t="s">
        <v>49286</v>
      </c>
      <c r="P5918" s="213" t="s">
        <v>49287</v>
      </c>
      <c r="Q5918" s="213" t="s">
        <v>49288</v>
      </c>
      <c r="R5918" s="213" t="s">
        <v>49289</v>
      </c>
      <c r="S5918" s="213" t="s">
        <v>49290</v>
      </c>
      <c r="T5918" s="213" t="s">
        <v>49291</v>
      </c>
      <c r="U5918" s="213" t="s">
        <v>56732</v>
      </c>
    </row>
    <row r="5919" spans="1:21" x14ac:dyDescent="0.25">
      <c r="A5919" s="213" t="s">
        <v>327</v>
      </c>
      <c r="D5919" s="213" t="s">
        <v>49292</v>
      </c>
      <c r="E5919" s="213" t="s">
        <v>49293</v>
      </c>
      <c r="K5919" s="213" t="s">
        <v>56667</v>
      </c>
      <c r="L5919" s="213" t="s">
        <v>56689</v>
      </c>
      <c r="M5919" s="213" t="s">
        <v>56711</v>
      </c>
      <c r="N5919" s="213" t="s">
        <v>49294</v>
      </c>
      <c r="O5919" s="213" t="s">
        <v>49295</v>
      </c>
      <c r="P5919" s="213" t="s">
        <v>49296</v>
      </c>
      <c r="Q5919" s="213" t="s">
        <v>49297</v>
      </c>
      <c r="R5919" s="213" t="s">
        <v>49298</v>
      </c>
      <c r="S5919" s="213" t="s">
        <v>49299</v>
      </c>
      <c r="T5919" s="213" t="s">
        <v>49300</v>
      </c>
      <c r="U5919" s="213" t="s">
        <v>56733</v>
      </c>
    </row>
    <row r="5920" spans="1:21" x14ac:dyDescent="0.25">
      <c r="A5920" s="213" t="s">
        <v>327</v>
      </c>
      <c r="D5920" s="213" t="s">
        <v>49301</v>
      </c>
      <c r="E5920" s="213" t="s">
        <v>49302</v>
      </c>
      <c r="K5920" s="213" t="s">
        <v>56668</v>
      </c>
      <c r="L5920" s="213" t="s">
        <v>56690</v>
      </c>
      <c r="M5920" s="213" t="s">
        <v>56712</v>
      </c>
      <c r="N5920" s="213" t="s">
        <v>49303</v>
      </c>
      <c r="O5920" s="213" t="s">
        <v>49304</v>
      </c>
      <c r="P5920" s="213" t="s">
        <v>49305</v>
      </c>
      <c r="Q5920" s="213" t="s">
        <v>49306</v>
      </c>
      <c r="R5920" s="213" t="s">
        <v>49307</v>
      </c>
      <c r="S5920" s="213" t="s">
        <v>49308</v>
      </c>
      <c r="T5920" s="213" t="s">
        <v>49309</v>
      </c>
      <c r="U5920" s="213" t="s">
        <v>56734</v>
      </c>
    </row>
    <row r="5921" spans="1:21" x14ac:dyDescent="0.25">
      <c r="A5921" s="213" t="s">
        <v>327</v>
      </c>
      <c r="D5921" s="213" t="s">
        <v>49310</v>
      </c>
      <c r="E5921" s="213" t="s">
        <v>49311</v>
      </c>
      <c r="K5921" s="213" t="s">
        <v>56669</v>
      </c>
      <c r="L5921" s="213" t="s">
        <v>56691</v>
      </c>
      <c r="M5921" s="213" t="s">
        <v>56713</v>
      </c>
      <c r="N5921" s="213" t="s">
        <v>49312</v>
      </c>
      <c r="O5921" s="213" t="s">
        <v>49313</v>
      </c>
      <c r="P5921" s="213" t="s">
        <v>49314</v>
      </c>
      <c r="Q5921" s="213" t="s">
        <v>49315</v>
      </c>
      <c r="R5921" s="213" t="s">
        <v>49316</v>
      </c>
      <c r="S5921" s="213" t="s">
        <v>49317</v>
      </c>
      <c r="T5921" s="213" t="s">
        <v>49318</v>
      </c>
      <c r="U5921" s="213" t="s">
        <v>56735</v>
      </c>
    </row>
    <row r="5922" spans="1:21" x14ac:dyDescent="0.25">
      <c r="A5922" s="213" t="s">
        <v>327</v>
      </c>
      <c r="D5922" s="213" t="s">
        <v>49319</v>
      </c>
      <c r="E5922" s="213" t="s">
        <v>49320</v>
      </c>
      <c r="K5922" s="213" t="s">
        <v>56670</v>
      </c>
      <c r="L5922" s="213" t="s">
        <v>56692</v>
      </c>
      <c r="M5922" s="213" t="s">
        <v>56714</v>
      </c>
      <c r="N5922" s="213" t="s">
        <v>49321</v>
      </c>
      <c r="O5922" s="213" t="s">
        <v>49322</v>
      </c>
      <c r="P5922" s="213" t="s">
        <v>49323</v>
      </c>
      <c r="Q5922" s="213" t="s">
        <v>49324</v>
      </c>
      <c r="R5922" s="213" t="s">
        <v>49325</v>
      </c>
      <c r="S5922" s="213" t="s">
        <v>49326</v>
      </c>
      <c r="T5922" s="213" t="s">
        <v>49327</v>
      </c>
      <c r="U5922" s="213" t="s">
        <v>56736</v>
      </c>
    </row>
    <row r="5923" spans="1:21" x14ac:dyDescent="0.25">
      <c r="A5923" s="213" t="s">
        <v>327</v>
      </c>
      <c r="D5923" s="213" t="s">
        <v>49328</v>
      </c>
      <c r="E5923" s="213" t="s">
        <v>49329</v>
      </c>
      <c r="K5923" s="213" t="s">
        <v>56671</v>
      </c>
      <c r="L5923" s="213" t="s">
        <v>56693</v>
      </c>
      <c r="M5923" s="213" t="s">
        <v>56715</v>
      </c>
      <c r="N5923" s="213" t="s">
        <v>49330</v>
      </c>
      <c r="O5923" s="213" t="s">
        <v>49331</v>
      </c>
      <c r="P5923" s="213" t="s">
        <v>49332</v>
      </c>
      <c r="Q5923" s="213" t="s">
        <v>49333</v>
      </c>
      <c r="R5923" s="213" t="s">
        <v>49334</v>
      </c>
      <c r="S5923" s="213" t="s">
        <v>49335</v>
      </c>
      <c r="T5923" s="213" t="s">
        <v>49336</v>
      </c>
      <c r="U5923" s="213" t="s">
        <v>56737</v>
      </c>
    </row>
    <row r="5924" spans="1:21" x14ac:dyDescent="0.25">
      <c r="A5924" s="213" t="s">
        <v>327</v>
      </c>
      <c r="D5924" s="213" t="s">
        <v>49337</v>
      </c>
      <c r="E5924" s="213" t="s">
        <v>49338</v>
      </c>
      <c r="K5924" s="213" t="s">
        <v>56672</v>
      </c>
      <c r="L5924" s="213" t="s">
        <v>56694</v>
      </c>
      <c r="M5924" s="213" t="s">
        <v>56716</v>
      </c>
      <c r="N5924" s="213" t="s">
        <v>49339</v>
      </c>
      <c r="O5924" s="213" t="s">
        <v>49340</v>
      </c>
      <c r="P5924" s="213" t="s">
        <v>49341</v>
      </c>
      <c r="Q5924" s="213" t="s">
        <v>49342</v>
      </c>
      <c r="R5924" s="213" t="s">
        <v>49343</v>
      </c>
      <c r="S5924" s="213" t="s">
        <v>49344</v>
      </c>
      <c r="T5924" s="213" t="s">
        <v>49345</v>
      </c>
      <c r="U5924" s="213" t="s">
        <v>56738</v>
      </c>
    </row>
    <row r="5925" spans="1:21" x14ac:dyDescent="0.25">
      <c r="A5925" s="213" t="s">
        <v>327</v>
      </c>
      <c r="D5925" s="213" t="s">
        <v>49346</v>
      </c>
      <c r="E5925" s="213" t="s">
        <v>49347</v>
      </c>
      <c r="K5925" s="213" t="s">
        <v>56673</v>
      </c>
      <c r="L5925" s="213" t="s">
        <v>56695</v>
      </c>
      <c r="M5925" s="213" t="s">
        <v>56717</v>
      </c>
      <c r="N5925" s="213" t="s">
        <v>49348</v>
      </c>
      <c r="O5925" s="213" t="s">
        <v>49349</v>
      </c>
      <c r="P5925" s="213" t="s">
        <v>49350</v>
      </c>
      <c r="Q5925" s="213" t="s">
        <v>49351</v>
      </c>
      <c r="R5925" s="213" t="s">
        <v>49352</v>
      </c>
      <c r="S5925" s="213" t="s">
        <v>49353</v>
      </c>
      <c r="T5925" s="213" t="s">
        <v>49354</v>
      </c>
      <c r="U5925" s="213" t="s">
        <v>56739</v>
      </c>
    </row>
    <row r="5926" spans="1:21" x14ac:dyDescent="0.25">
      <c r="A5926" s="213" t="s">
        <v>327</v>
      </c>
      <c r="D5926" s="213" t="s">
        <v>49355</v>
      </c>
      <c r="E5926" s="213" t="s">
        <v>49356</v>
      </c>
      <c r="K5926" s="213" t="s">
        <v>56674</v>
      </c>
      <c r="L5926" s="213" t="s">
        <v>56696</v>
      </c>
      <c r="M5926" s="213" t="s">
        <v>56718</v>
      </c>
      <c r="N5926" s="213" t="s">
        <v>49357</v>
      </c>
      <c r="O5926" s="213" t="s">
        <v>49358</v>
      </c>
      <c r="P5926" s="213" t="s">
        <v>49359</v>
      </c>
      <c r="Q5926" s="213" t="s">
        <v>49360</v>
      </c>
      <c r="R5926" s="213" t="s">
        <v>49361</v>
      </c>
      <c r="S5926" s="213" t="s">
        <v>49362</v>
      </c>
      <c r="T5926" s="213" t="s">
        <v>49363</v>
      </c>
      <c r="U5926" s="213" t="s">
        <v>56740</v>
      </c>
    </row>
    <row r="5927" spans="1:21" x14ac:dyDescent="0.25">
      <c r="A5927" s="213" t="s">
        <v>327</v>
      </c>
      <c r="D5927" s="213" t="s">
        <v>49364</v>
      </c>
      <c r="E5927" s="213" t="s">
        <v>49365</v>
      </c>
      <c r="K5927" s="213" t="s">
        <v>56675</v>
      </c>
      <c r="L5927" s="213" t="s">
        <v>56697</v>
      </c>
      <c r="M5927" s="213" t="s">
        <v>56719</v>
      </c>
      <c r="N5927" s="213" t="s">
        <v>49366</v>
      </c>
      <c r="O5927" s="213" t="s">
        <v>49367</v>
      </c>
      <c r="P5927" s="213" t="s">
        <v>49368</v>
      </c>
      <c r="Q5927" s="213" t="s">
        <v>49369</v>
      </c>
      <c r="R5927" s="213" t="s">
        <v>49370</v>
      </c>
      <c r="S5927" s="213" t="s">
        <v>49371</v>
      </c>
      <c r="T5927" s="213" t="s">
        <v>49372</v>
      </c>
      <c r="U5927" s="213" t="s">
        <v>56741</v>
      </c>
    </row>
    <row r="5928" spans="1:21" x14ac:dyDescent="0.25">
      <c r="A5928" s="213" t="s">
        <v>327</v>
      </c>
      <c r="D5928" s="213" t="s">
        <v>49373</v>
      </c>
      <c r="E5928" s="213" t="s">
        <v>49374</v>
      </c>
      <c r="K5928" s="213" t="s">
        <v>56676</v>
      </c>
      <c r="L5928" s="213" t="s">
        <v>56698</v>
      </c>
      <c r="M5928" s="213" t="s">
        <v>56720</v>
      </c>
      <c r="N5928" s="213" t="s">
        <v>49375</v>
      </c>
      <c r="O5928" s="213" t="s">
        <v>49376</v>
      </c>
      <c r="P5928" s="213" t="s">
        <v>49377</v>
      </c>
      <c r="Q5928" s="213" t="s">
        <v>49378</v>
      </c>
      <c r="R5928" s="213" t="s">
        <v>49379</v>
      </c>
      <c r="S5928" s="213" t="s">
        <v>49380</v>
      </c>
      <c r="T5928" s="213" t="s">
        <v>49381</v>
      </c>
      <c r="U5928" s="213" t="s">
        <v>56742</v>
      </c>
    </row>
    <row r="5929" spans="1:21" x14ac:dyDescent="0.25">
      <c r="A5929" s="213" t="s">
        <v>327</v>
      </c>
      <c r="D5929" s="213" t="s">
        <v>49382</v>
      </c>
      <c r="E5929" s="213" t="s">
        <v>49383</v>
      </c>
      <c r="K5929" s="213" t="s">
        <v>56677</v>
      </c>
      <c r="L5929" s="213" t="s">
        <v>56699</v>
      </c>
      <c r="M5929" s="213" t="s">
        <v>56721</v>
      </c>
      <c r="N5929" s="213" t="s">
        <v>49384</v>
      </c>
      <c r="O5929" s="213" t="s">
        <v>49385</v>
      </c>
      <c r="P5929" s="213" t="s">
        <v>49386</v>
      </c>
      <c r="Q5929" s="213" t="s">
        <v>49387</v>
      </c>
      <c r="R5929" s="213" t="s">
        <v>49388</v>
      </c>
      <c r="S5929" s="213" t="s">
        <v>49389</v>
      </c>
      <c r="T5929" s="213" t="s">
        <v>49390</v>
      </c>
      <c r="U5929" s="213" t="s">
        <v>56743</v>
      </c>
    </row>
    <row r="5930" spans="1:21" x14ac:dyDescent="0.25">
      <c r="A5930" s="213" t="s">
        <v>327</v>
      </c>
      <c r="D5930" s="213" t="s">
        <v>49391</v>
      </c>
      <c r="E5930" s="213" t="s">
        <v>49392</v>
      </c>
      <c r="K5930" s="213" t="s">
        <v>56678</v>
      </c>
      <c r="L5930" s="213" t="s">
        <v>56700</v>
      </c>
      <c r="M5930" s="213" t="s">
        <v>56722</v>
      </c>
      <c r="N5930" s="213" t="s">
        <v>49393</v>
      </c>
      <c r="O5930" s="213" t="s">
        <v>49394</v>
      </c>
      <c r="P5930" s="213" t="s">
        <v>49395</v>
      </c>
      <c r="Q5930" s="213" t="s">
        <v>49396</v>
      </c>
      <c r="R5930" s="213" t="s">
        <v>49397</v>
      </c>
      <c r="S5930" s="213" t="s">
        <v>49398</v>
      </c>
      <c r="T5930" s="213" t="s">
        <v>49399</v>
      </c>
      <c r="U5930" s="213" t="s">
        <v>56744</v>
      </c>
    </row>
    <row r="5931" spans="1:21" x14ac:dyDescent="0.25">
      <c r="A5931" s="213" t="s">
        <v>327</v>
      </c>
      <c r="D5931" s="213" t="s">
        <v>49400</v>
      </c>
      <c r="E5931" s="213" t="s">
        <v>49401</v>
      </c>
      <c r="K5931" s="213" t="s">
        <v>56679</v>
      </c>
      <c r="L5931" s="213" t="s">
        <v>56701</v>
      </c>
      <c r="M5931" s="213" t="s">
        <v>56723</v>
      </c>
      <c r="N5931" s="213" t="s">
        <v>49402</v>
      </c>
      <c r="O5931" s="213" t="s">
        <v>49403</v>
      </c>
      <c r="P5931" s="213" t="s">
        <v>49404</v>
      </c>
      <c r="Q5931" s="213" t="s">
        <v>49405</v>
      </c>
      <c r="R5931" s="213" t="s">
        <v>49406</v>
      </c>
      <c r="S5931" s="213" t="s">
        <v>49407</v>
      </c>
      <c r="T5931" s="213" t="s">
        <v>49408</v>
      </c>
      <c r="U5931" s="213" t="s">
        <v>56745</v>
      </c>
    </row>
    <row r="5932" spans="1:21" x14ac:dyDescent="0.25">
      <c r="A5932" s="213" t="s">
        <v>327</v>
      </c>
      <c r="D5932" s="213" t="s">
        <v>49409</v>
      </c>
      <c r="E5932" s="213" t="s">
        <v>49410</v>
      </c>
      <c r="K5932" s="213" t="s">
        <v>56680</v>
      </c>
      <c r="L5932" s="213" t="s">
        <v>56702</v>
      </c>
      <c r="M5932" s="213" t="s">
        <v>56724</v>
      </c>
      <c r="N5932" s="213" t="s">
        <v>49411</v>
      </c>
      <c r="O5932" s="213" t="s">
        <v>49412</v>
      </c>
      <c r="P5932" s="213" t="s">
        <v>49413</v>
      </c>
      <c r="Q5932" s="213" t="s">
        <v>49414</v>
      </c>
      <c r="R5932" s="213" t="s">
        <v>49415</v>
      </c>
      <c r="S5932" s="213" t="s">
        <v>49416</v>
      </c>
      <c r="T5932" s="213" t="s">
        <v>49417</v>
      </c>
      <c r="U5932" s="213" t="s">
        <v>56746</v>
      </c>
    </row>
    <row r="5933" spans="1:21" x14ac:dyDescent="0.25">
      <c r="A5933" s="213" t="s">
        <v>327</v>
      </c>
      <c r="D5933" s="213" t="s">
        <v>49418</v>
      </c>
      <c r="E5933" s="213" t="s">
        <v>49419</v>
      </c>
      <c r="K5933" s="213" t="s">
        <v>56681</v>
      </c>
      <c r="L5933" s="213" t="s">
        <v>56703</v>
      </c>
      <c r="M5933" s="213" t="s">
        <v>56725</v>
      </c>
      <c r="N5933" s="213" t="s">
        <v>49420</v>
      </c>
      <c r="O5933" s="213" t="s">
        <v>49421</v>
      </c>
      <c r="P5933" s="213" t="s">
        <v>49422</v>
      </c>
      <c r="Q5933" s="213" t="s">
        <v>49423</v>
      </c>
      <c r="R5933" s="213" t="s">
        <v>49424</v>
      </c>
      <c r="S5933" s="213" t="s">
        <v>49425</v>
      </c>
      <c r="T5933" s="213" t="s">
        <v>49426</v>
      </c>
      <c r="U5933" s="213" t="s">
        <v>56747</v>
      </c>
    </row>
    <row r="5934" spans="1:21" x14ac:dyDescent="0.25">
      <c r="A5934" s="213" t="s">
        <v>327</v>
      </c>
      <c r="D5934" s="213" t="s">
        <v>49427</v>
      </c>
      <c r="E5934" s="213" t="s">
        <v>49428</v>
      </c>
      <c r="K5934" s="213" t="s">
        <v>56682</v>
      </c>
      <c r="L5934" s="213" t="s">
        <v>56704</v>
      </c>
      <c r="M5934" s="213" t="s">
        <v>56726</v>
      </c>
      <c r="N5934" s="213" t="s">
        <v>49429</v>
      </c>
      <c r="O5934" s="213" t="s">
        <v>49430</v>
      </c>
      <c r="P5934" s="213" t="s">
        <v>49431</v>
      </c>
      <c r="Q5934" s="213" t="s">
        <v>49432</v>
      </c>
      <c r="R5934" s="213" t="s">
        <v>49433</v>
      </c>
      <c r="S5934" s="213" t="s">
        <v>49434</v>
      </c>
      <c r="T5934" s="213" t="s">
        <v>49435</v>
      </c>
      <c r="U5934" s="213" t="s">
        <v>56748</v>
      </c>
    </row>
    <row r="5935" spans="1:21" x14ac:dyDescent="0.25">
      <c r="A5935" s="213" t="s">
        <v>327</v>
      </c>
      <c r="D5935" s="213" t="s">
        <v>49436</v>
      </c>
      <c r="E5935" s="213" t="s">
        <v>49437</v>
      </c>
      <c r="K5935" s="213" t="s">
        <v>56683</v>
      </c>
      <c r="L5935" s="213" t="s">
        <v>56705</v>
      </c>
      <c r="M5935" s="213" t="s">
        <v>56727</v>
      </c>
      <c r="N5935" s="213" t="s">
        <v>49438</v>
      </c>
      <c r="O5935" s="213" t="s">
        <v>49439</v>
      </c>
      <c r="P5935" s="213" t="s">
        <v>49440</v>
      </c>
      <c r="Q5935" s="213" t="s">
        <v>49441</v>
      </c>
      <c r="R5935" s="213" t="s">
        <v>49442</v>
      </c>
      <c r="S5935" s="213" t="s">
        <v>49443</v>
      </c>
      <c r="T5935" s="213" t="s">
        <v>49444</v>
      </c>
      <c r="U5935" s="213" t="s">
        <v>56749</v>
      </c>
    </row>
    <row r="5936" spans="1:21" x14ac:dyDescent="0.25">
      <c r="A5936" s="213" t="s">
        <v>327</v>
      </c>
      <c r="D5936" s="213" t="s">
        <v>49445</v>
      </c>
      <c r="E5936" s="213" t="s">
        <v>49446</v>
      </c>
      <c r="K5936" s="213" t="s">
        <v>56684</v>
      </c>
      <c r="L5936" s="213" t="s">
        <v>56706</v>
      </c>
      <c r="M5936" s="213" t="s">
        <v>56728</v>
      </c>
      <c r="N5936" s="213" t="s">
        <v>49447</v>
      </c>
      <c r="O5936" s="213" t="s">
        <v>49448</v>
      </c>
      <c r="P5936" s="213" t="s">
        <v>49449</v>
      </c>
      <c r="Q5936" s="213" t="s">
        <v>49450</v>
      </c>
      <c r="R5936" s="213" t="s">
        <v>49451</v>
      </c>
      <c r="S5936" s="213" t="s">
        <v>49452</v>
      </c>
      <c r="T5936" s="213" t="s">
        <v>49453</v>
      </c>
      <c r="U5936" s="213" t="s">
        <v>56750</v>
      </c>
    </row>
    <row r="5937" spans="1:21" x14ac:dyDescent="0.25">
      <c r="A5937" s="213" t="s">
        <v>327</v>
      </c>
      <c r="D5937" s="213" t="s">
        <v>49454</v>
      </c>
      <c r="E5937" s="213" t="s">
        <v>49455</v>
      </c>
      <c r="K5937" s="213" t="s">
        <v>56685</v>
      </c>
      <c r="L5937" s="213" t="s">
        <v>56707</v>
      </c>
      <c r="M5937" s="213" t="s">
        <v>56729</v>
      </c>
      <c r="N5937" s="213" t="s">
        <v>49456</v>
      </c>
      <c r="O5937" s="213" t="s">
        <v>49457</v>
      </c>
      <c r="P5937" s="213" t="s">
        <v>49458</v>
      </c>
      <c r="Q5937" s="213" t="s">
        <v>49459</v>
      </c>
      <c r="R5937" s="213" t="s">
        <v>49460</v>
      </c>
      <c r="S5937" s="213" t="s">
        <v>49461</v>
      </c>
      <c r="T5937" s="213" t="s">
        <v>49462</v>
      </c>
      <c r="U5937" s="213" t="s">
        <v>56751</v>
      </c>
    </row>
    <row r="5938" spans="1:21" x14ac:dyDescent="0.25">
      <c r="A5938" s="213" t="s">
        <v>327</v>
      </c>
      <c r="D5938" s="213" t="s">
        <v>49463</v>
      </c>
      <c r="E5938" s="213" t="s">
        <v>49464</v>
      </c>
      <c r="K5938" s="213" t="s">
        <v>56686</v>
      </c>
      <c r="L5938" s="213" t="s">
        <v>56708</v>
      </c>
      <c r="M5938" s="213" t="s">
        <v>56730</v>
      </c>
      <c r="N5938" s="213" t="s">
        <v>49465</v>
      </c>
      <c r="O5938" s="213" t="s">
        <v>49466</v>
      </c>
      <c r="P5938" s="213" t="s">
        <v>49467</v>
      </c>
      <c r="Q5938" s="213" t="s">
        <v>49468</v>
      </c>
      <c r="R5938" s="213" t="s">
        <v>49469</v>
      </c>
      <c r="S5938" s="213" t="s">
        <v>49470</v>
      </c>
      <c r="T5938" s="213" t="s">
        <v>49471</v>
      </c>
      <c r="U5938" s="213" t="s">
        <v>56752</v>
      </c>
    </row>
    <row r="5939" spans="1:21" x14ac:dyDescent="0.25">
      <c r="A5939" s="213" t="s">
        <v>327</v>
      </c>
      <c r="D5939" s="213" t="s">
        <v>49472</v>
      </c>
      <c r="E5939" s="213" t="s">
        <v>49473</v>
      </c>
      <c r="K5939" s="213" t="s">
        <v>56687</v>
      </c>
      <c r="L5939" s="213" t="s">
        <v>56709</v>
      </c>
      <c r="M5939" s="213" t="s">
        <v>56731</v>
      </c>
      <c r="N5939" s="213" t="s">
        <v>49474</v>
      </c>
      <c r="O5939" s="213" t="s">
        <v>49475</v>
      </c>
      <c r="P5939" s="213" t="s">
        <v>49476</v>
      </c>
      <c r="Q5939" s="213" t="s">
        <v>49477</v>
      </c>
      <c r="R5939" s="213" t="s">
        <v>49478</v>
      </c>
      <c r="S5939" s="213" t="s">
        <v>49479</v>
      </c>
      <c r="T5939" s="213" t="s">
        <v>49480</v>
      </c>
      <c r="U5939" s="213" t="s">
        <v>56753</v>
      </c>
    </row>
    <row r="5940" spans="1:21" x14ac:dyDescent="0.25">
      <c r="A5940" s="213" t="s">
        <v>327</v>
      </c>
    </row>
    <row r="5941" spans="1:21" x14ac:dyDescent="0.25">
      <c r="A5941" s="213" t="s">
        <v>327</v>
      </c>
    </row>
    <row r="5942" spans="1:21" x14ac:dyDescent="0.25">
      <c r="A5942" s="213" t="s">
        <v>327</v>
      </c>
      <c r="C5942" s="213" t="s">
        <v>49481</v>
      </c>
      <c r="E5942" s="213" t="s">
        <v>49482</v>
      </c>
      <c r="H5942" s="213" t="s">
        <v>49483</v>
      </c>
      <c r="I5942" s="213" t="s">
        <v>49484</v>
      </c>
      <c r="J5942" s="213" t="s">
        <v>49485</v>
      </c>
      <c r="L5942" s="213" t="s">
        <v>49486</v>
      </c>
      <c r="O5942" s="213" t="s">
        <v>49487</v>
      </c>
      <c r="P5942" s="213" t="s">
        <v>49488</v>
      </c>
      <c r="Q5942" s="213" t="s">
        <v>49489</v>
      </c>
      <c r="R5942" s="213" t="s">
        <v>49490</v>
      </c>
      <c r="S5942" s="213" t="s">
        <v>49491</v>
      </c>
      <c r="T5942" s="213" t="s">
        <v>49492</v>
      </c>
    </row>
    <row r="5943" spans="1:21" x14ac:dyDescent="0.25">
      <c r="A5943" s="213" t="s">
        <v>327</v>
      </c>
      <c r="C5943" s="213" t="s">
        <v>49493</v>
      </c>
      <c r="E5943" s="213" t="s">
        <v>49494</v>
      </c>
      <c r="I5943" s="213" t="s">
        <v>49495</v>
      </c>
    </row>
    <row r="5944" spans="1:21" x14ac:dyDescent="0.25">
      <c r="A5944" s="213" t="s">
        <v>327</v>
      </c>
      <c r="C5944" s="213" t="s">
        <v>49496</v>
      </c>
      <c r="E5944" s="213" t="s">
        <v>49497</v>
      </c>
      <c r="I5944" s="213" t="s">
        <v>49498</v>
      </c>
    </row>
    <row r="5945" spans="1:21" x14ac:dyDescent="0.25">
      <c r="A5945" s="213" t="s">
        <v>328</v>
      </c>
    </row>
    <row r="5946" spans="1:21" x14ac:dyDescent="0.25">
      <c r="A5946" s="213" t="s">
        <v>327</v>
      </c>
      <c r="D5946" s="213" t="s">
        <v>49499</v>
      </c>
      <c r="E5946" s="213" t="s">
        <v>49500</v>
      </c>
      <c r="K5946" s="213" t="s">
        <v>56566</v>
      </c>
      <c r="L5946" s="213" t="s">
        <v>56591</v>
      </c>
      <c r="M5946" s="213" t="s">
        <v>56616</v>
      </c>
      <c r="N5946" s="213" t="s">
        <v>49501</v>
      </c>
      <c r="O5946" s="213" t="s">
        <v>49502</v>
      </c>
      <c r="P5946" s="213" t="s">
        <v>49503</v>
      </c>
      <c r="Q5946" s="213" t="s">
        <v>49504</v>
      </c>
      <c r="R5946" s="213" t="s">
        <v>49505</v>
      </c>
      <c r="S5946" s="213" t="s">
        <v>49506</v>
      </c>
      <c r="T5946" s="213" t="s">
        <v>49507</v>
      </c>
      <c r="U5946" s="213" t="s">
        <v>56641</v>
      </c>
    </row>
    <row r="5947" spans="1:21" x14ac:dyDescent="0.25">
      <c r="A5947" s="213" t="s">
        <v>327</v>
      </c>
      <c r="D5947" s="213" t="s">
        <v>49508</v>
      </c>
      <c r="E5947" s="213" t="s">
        <v>49509</v>
      </c>
      <c r="K5947" s="213" t="s">
        <v>56567</v>
      </c>
      <c r="L5947" s="213" t="s">
        <v>56592</v>
      </c>
      <c r="M5947" s="213" t="s">
        <v>56617</v>
      </c>
      <c r="N5947" s="213" t="s">
        <v>49510</v>
      </c>
      <c r="O5947" s="213" t="s">
        <v>49511</v>
      </c>
      <c r="P5947" s="213" t="s">
        <v>49512</v>
      </c>
      <c r="Q5947" s="213" t="s">
        <v>49513</v>
      </c>
      <c r="R5947" s="213" t="s">
        <v>49514</v>
      </c>
      <c r="S5947" s="213" t="s">
        <v>49515</v>
      </c>
      <c r="T5947" s="213" t="s">
        <v>49516</v>
      </c>
      <c r="U5947" s="213" t="s">
        <v>56642</v>
      </c>
    </row>
    <row r="5948" spans="1:21" x14ac:dyDescent="0.25">
      <c r="A5948" s="213" t="s">
        <v>327</v>
      </c>
      <c r="D5948" s="213" t="s">
        <v>49517</v>
      </c>
      <c r="E5948" s="213" t="s">
        <v>49518</v>
      </c>
      <c r="K5948" s="213" t="s">
        <v>56568</v>
      </c>
      <c r="L5948" s="213" t="s">
        <v>56593</v>
      </c>
      <c r="M5948" s="213" t="s">
        <v>56618</v>
      </c>
      <c r="N5948" s="213" t="s">
        <v>49519</v>
      </c>
      <c r="O5948" s="213" t="s">
        <v>49520</v>
      </c>
      <c r="P5948" s="213" t="s">
        <v>49521</v>
      </c>
      <c r="Q5948" s="213" t="s">
        <v>49522</v>
      </c>
      <c r="R5948" s="213" t="s">
        <v>49523</v>
      </c>
      <c r="S5948" s="213" t="s">
        <v>49524</v>
      </c>
      <c r="T5948" s="213" t="s">
        <v>49525</v>
      </c>
      <c r="U5948" s="213" t="s">
        <v>56643</v>
      </c>
    </row>
    <row r="5949" spans="1:21" x14ac:dyDescent="0.25">
      <c r="A5949" s="213" t="s">
        <v>327</v>
      </c>
      <c r="D5949" s="213" t="s">
        <v>49526</v>
      </c>
      <c r="E5949" s="213" t="s">
        <v>49527</v>
      </c>
      <c r="K5949" s="213" t="s">
        <v>56569</v>
      </c>
      <c r="L5949" s="213" t="s">
        <v>56594</v>
      </c>
      <c r="M5949" s="213" t="s">
        <v>56619</v>
      </c>
      <c r="N5949" s="213" t="s">
        <v>49528</v>
      </c>
      <c r="O5949" s="213" t="s">
        <v>49529</v>
      </c>
      <c r="P5949" s="213" t="s">
        <v>49530</v>
      </c>
      <c r="Q5949" s="213" t="s">
        <v>49531</v>
      </c>
      <c r="R5949" s="213" t="s">
        <v>49532</v>
      </c>
      <c r="S5949" s="213" t="s">
        <v>49533</v>
      </c>
      <c r="T5949" s="213" t="s">
        <v>49534</v>
      </c>
      <c r="U5949" s="213" t="s">
        <v>56644</v>
      </c>
    </row>
    <row r="5950" spans="1:21" x14ac:dyDescent="0.25">
      <c r="A5950" s="213" t="s">
        <v>327</v>
      </c>
      <c r="D5950" s="213" t="s">
        <v>49535</v>
      </c>
      <c r="E5950" s="213" t="s">
        <v>49536</v>
      </c>
      <c r="K5950" s="213" t="s">
        <v>56570</v>
      </c>
      <c r="L5950" s="213" t="s">
        <v>56595</v>
      </c>
      <c r="M5950" s="213" t="s">
        <v>56620</v>
      </c>
      <c r="N5950" s="213" t="s">
        <v>49537</v>
      </c>
      <c r="O5950" s="213" t="s">
        <v>49538</v>
      </c>
      <c r="P5950" s="213" t="s">
        <v>49539</v>
      </c>
      <c r="Q5950" s="213" t="s">
        <v>49540</v>
      </c>
      <c r="R5950" s="213" t="s">
        <v>49541</v>
      </c>
      <c r="S5950" s="213" t="s">
        <v>49542</v>
      </c>
      <c r="T5950" s="213" t="s">
        <v>49543</v>
      </c>
      <c r="U5950" s="213" t="s">
        <v>56645</v>
      </c>
    </row>
    <row r="5951" spans="1:21" x14ac:dyDescent="0.25">
      <c r="A5951" s="213" t="s">
        <v>327</v>
      </c>
      <c r="D5951" s="213" t="s">
        <v>49544</v>
      </c>
      <c r="E5951" s="213" t="s">
        <v>49545</v>
      </c>
      <c r="K5951" s="213" t="s">
        <v>56571</v>
      </c>
      <c r="L5951" s="213" t="s">
        <v>56596</v>
      </c>
      <c r="M5951" s="213" t="s">
        <v>56621</v>
      </c>
      <c r="N5951" s="213" t="s">
        <v>49546</v>
      </c>
      <c r="O5951" s="213" t="s">
        <v>49547</v>
      </c>
      <c r="P5951" s="213" t="s">
        <v>49548</v>
      </c>
      <c r="Q5951" s="213" t="s">
        <v>49549</v>
      </c>
      <c r="R5951" s="213" t="s">
        <v>49550</v>
      </c>
      <c r="S5951" s="213" t="s">
        <v>49551</v>
      </c>
      <c r="T5951" s="213" t="s">
        <v>49552</v>
      </c>
      <c r="U5951" s="213" t="s">
        <v>56646</v>
      </c>
    </row>
    <row r="5952" spans="1:21" x14ac:dyDescent="0.25">
      <c r="A5952" s="213" t="s">
        <v>327</v>
      </c>
      <c r="D5952" s="213" t="s">
        <v>49553</v>
      </c>
      <c r="E5952" s="213" t="s">
        <v>49554</v>
      </c>
      <c r="K5952" s="213" t="s">
        <v>56572</v>
      </c>
      <c r="L5952" s="213" t="s">
        <v>56597</v>
      </c>
      <c r="M5952" s="213" t="s">
        <v>56622</v>
      </c>
      <c r="N5952" s="213" t="s">
        <v>49555</v>
      </c>
      <c r="O5952" s="213" t="s">
        <v>49556</v>
      </c>
      <c r="P5952" s="213" t="s">
        <v>49557</v>
      </c>
      <c r="Q5952" s="213" t="s">
        <v>49558</v>
      </c>
      <c r="R5952" s="213" t="s">
        <v>49559</v>
      </c>
      <c r="S5952" s="213" t="s">
        <v>49560</v>
      </c>
      <c r="T5952" s="213" t="s">
        <v>49561</v>
      </c>
      <c r="U5952" s="213" t="s">
        <v>56647</v>
      </c>
    </row>
    <row r="5953" spans="1:21" x14ac:dyDescent="0.25">
      <c r="A5953" s="213" t="s">
        <v>327</v>
      </c>
      <c r="D5953" s="213" t="s">
        <v>49562</v>
      </c>
      <c r="E5953" s="213" t="s">
        <v>49563</v>
      </c>
      <c r="K5953" s="213" t="s">
        <v>56573</v>
      </c>
      <c r="L5953" s="213" t="s">
        <v>56598</v>
      </c>
      <c r="M5953" s="213" t="s">
        <v>56623</v>
      </c>
      <c r="N5953" s="213" t="s">
        <v>49564</v>
      </c>
      <c r="O5953" s="213" t="s">
        <v>49565</v>
      </c>
      <c r="P5953" s="213" t="s">
        <v>49566</v>
      </c>
      <c r="Q5953" s="213" t="s">
        <v>49567</v>
      </c>
      <c r="R5953" s="213" t="s">
        <v>49568</v>
      </c>
      <c r="S5953" s="213" t="s">
        <v>49569</v>
      </c>
      <c r="T5953" s="213" t="s">
        <v>49570</v>
      </c>
      <c r="U5953" s="213" t="s">
        <v>56648</v>
      </c>
    </row>
    <row r="5954" spans="1:21" x14ac:dyDescent="0.25">
      <c r="A5954" s="213" t="s">
        <v>327</v>
      </c>
      <c r="D5954" s="213" t="s">
        <v>49571</v>
      </c>
      <c r="E5954" s="213" t="s">
        <v>49572</v>
      </c>
      <c r="K5954" s="213" t="s">
        <v>56574</v>
      </c>
      <c r="L5954" s="213" t="s">
        <v>56599</v>
      </c>
      <c r="M5954" s="213" t="s">
        <v>56624</v>
      </c>
      <c r="N5954" s="213" t="s">
        <v>49573</v>
      </c>
      <c r="O5954" s="213" t="s">
        <v>49574</v>
      </c>
      <c r="P5954" s="213" t="s">
        <v>49575</v>
      </c>
      <c r="Q5954" s="213" t="s">
        <v>49576</v>
      </c>
      <c r="R5954" s="213" t="s">
        <v>49577</v>
      </c>
      <c r="S5954" s="213" t="s">
        <v>49578</v>
      </c>
      <c r="T5954" s="213" t="s">
        <v>49579</v>
      </c>
      <c r="U5954" s="213" t="s">
        <v>56649</v>
      </c>
    </row>
    <row r="5955" spans="1:21" x14ac:dyDescent="0.25">
      <c r="A5955" s="213" t="s">
        <v>327</v>
      </c>
      <c r="D5955" s="213" t="s">
        <v>49580</v>
      </c>
      <c r="E5955" s="213" t="s">
        <v>49581</v>
      </c>
      <c r="K5955" s="213" t="s">
        <v>56575</v>
      </c>
      <c r="L5955" s="213" t="s">
        <v>56600</v>
      </c>
      <c r="M5955" s="213" t="s">
        <v>56625</v>
      </c>
      <c r="N5955" s="213" t="s">
        <v>49582</v>
      </c>
      <c r="O5955" s="213" t="s">
        <v>49583</v>
      </c>
      <c r="P5955" s="213" t="s">
        <v>49584</v>
      </c>
      <c r="Q5955" s="213" t="s">
        <v>49585</v>
      </c>
      <c r="R5955" s="213" t="s">
        <v>49586</v>
      </c>
      <c r="S5955" s="213" t="s">
        <v>49587</v>
      </c>
      <c r="T5955" s="213" t="s">
        <v>49588</v>
      </c>
      <c r="U5955" s="213" t="s">
        <v>56650</v>
      </c>
    </row>
    <row r="5956" spans="1:21" x14ac:dyDescent="0.25">
      <c r="A5956" s="213" t="s">
        <v>327</v>
      </c>
      <c r="D5956" s="213" t="s">
        <v>49589</v>
      </c>
      <c r="E5956" s="213" t="s">
        <v>49590</v>
      </c>
      <c r="K5956" s="213" t="s">
        <v>56576</v>
      </c>
      <c r="L5956" s="213" t="s">
        <v>56601</v>
      </c>
      <c r="M5956" s="213" t="s">
        <v>56626</v>
      </c>
      <c r="N5956" s="213" t="s">
        <v>49591</v>
      </c>
      <c r="O5956" s="213" t="s">
        <v>49592</v>
      </c>
      <c r="P5956" s="213" t="s">
        <v>49593</v>
      </c>
      <c r="Q5956" s="213" t="s">
        <v>49594</v>
      </c>
      <c r="R5956" s="213" t="s">
        <v>49595</v>
      </c>
      <c r="S5956" s="213" t="s">
        <v>49596</v>
      </c>
      <c r="T5956" s="213" t="s">
        <v>49597</v>
      </c>
      <c r="U5956" s="213" t="s">
        <v>56651</v>
      </c>
    </row>
    <row r="5957" spans="1:21" x14ac:dyDescent="0.25">
      <c r="A5957" s="213" t="s">
        <v>327</v>
      </c>
      <c r="D5957" s="213" t="s">
        <v>49598</v>
      </c>
      <c r="E5957" s="213" t="s">
        <v>49599</v>
      </c>
      <c r="K5957" s="213" t="s">
        <v>56577</v>
      </c>
      <c r="L5957" s="213" t="s">
        <v>56602</v>
      </c>
      <c r="M5957" s="213" t="s">
        <v>56627</v>
      </c>
      <c r="N5957" s="213" t="s">
        <v>49600</v>
      </c>
      <c r="O5957" s="213" t="s">
        <v>49601</v>
      </c>
      <c r="P5957" s="213" t="s">
        <v>49602</v>
      </c>
      <c r="Q5957" s="213" t="s">
        <v>49603</v>
      </c>
      <c r="R5957" s="213" t="s">
        <v>49604</v>
      </c>
      <c r="S5957" s="213" t="s">
        <v>49605</v>
      </c>
      <c r="T5957" s="213" t="s">
        <v>49606</v>
      </c>
      <c r="U5957" s="213" t="s">
        <v>56652</v>
      </c>
    </row>
    <row r="5958" spans="1:21" x14ac:dyDescent="0.25">
      <c r="A5958" s="213" t="s">
        <v>327</v>
      </c>
      <c r="D5958" s="213" t="s">
        <v>49607</v>
      </c>
      <c r="E5958" s="213" t="s">
        <v>49608</v>
      </c>
      <c r="K5958" s="213" t="s">
        <v>56578</v>
      </c>
      <c r="L5958" s="213" t="s">
        <v>56603</v>
      </c>
      <c r="M5958" s="213" t="s">
        <v>56628</v>
      </c>
      <c r="N5958" s="213" t="s">
        <v>49609</v>
      </c>
      <c r="O5958" s="213" t="s">
        <v>49610</v>
      </c>
      <c r="P5958" s="213" t="s">
        <v>49611</v>
      </c>
      <c r="Q5958" s="213" t="s">
        <v>49612</v>
      </c>
      <c r="R5958" s="213" t="s">
        <v>49613</v>
      </c>
      <c r="S5958" s="213" t="s">
        <v>49614</v>
      </c>
      <c r="T5958" s="213" t="s">
        <v>49615</v>
      </c>
      <c r="U5958" s="213" t="s">
        <v>56653</v>
      </c>
    </row>
    <row r="5959" spans="1:21" x14ac:dyDescent="0.25">
      <c r="A5959" s="213" t="s">
        <v>327</v>
      </c>
      <c r="D5959" s="213" t="s">
        <v>49616</v>
      </c>
      <c r="E5959" s="213" t="s">
        <v>49617</v>
      </c>
      <c r="K5959" s="213" t="s">
        <v>56579</v>
      </c>
      <c r="L5959" s="213" t="s">
        <v>56604</v>
      </c>
      <c r="M5959" s="213" t="s">
        <v>56629</v>
      </c>
      <c r="N5959" s="213" t="s">
        <v>49618</v>
      </c>
      <c r="O5959" s="213" t="s">
        <v>49619</v>
      </c>
      <c r="P5959" s="213" t="s">
        <v>49620</v>
      </c>
      <c r="Q5959" s="213" t="s">
        <v>49621</v>
      </c>
      <c r="R5959" s="213" t="s">
        <v>49622</v>
      </c>
      <c r="S5959" s="213" t="s">
        <v>49623</v>
      </c>
      <c r="T5959" s="213" t="s">
        <v>49624</v>
      </c>
      <c r="U5959" s="213" t="s">
        <v>56654</v>
      </c>
    </row>
    <row r="5960" spans="1:21" x14ac:dyDescent="0.25">
      <c r="A5960" s="213" t="s">
        <v>327</v>
      </c>
      <c r="D5960" s="213" t="s">
        <v>49625</v>
      </c>
      <c r="E5960" s="213" t="s">
        <v>49626</v>
      </c>
      <c r="K5960" s="213" t="s">
        <v>56580</v>
      </c>
      <c r="L5960" s="213" t="s">
        <v>56605</v>
      </c>
      <c r="M5960" s="213" t="s">
        <v>56630</v>
      </c>
      <c r="N5960" s="213" t="s">
        <v>49627</v>
      </c>
      <c r="O5960" s="213" t="s">
        <v>49628</v>
      </c>
      <c r="P5960" s="213" t="s">
        <v>49629</v>
      </c>
      <c r="Q5960" s="213" t="s">
        <v>49630</v>
      </c>
      <c r="R5960" s="213" t="s">
        <v>49631</v>
      </c>
      <c r="S5960" s="213" t="s">
        <v>49632</v>
      </c>
      <c r="T5960" s="213" t="s">
        <v>49633</v>
      </c>
      <c r="U5960" s="213" t="s">
        <v>56655</v>
      </c>
    </row>
    <row r="5961" spans="1:21" x14ac:dyDescent="0.25">
      <c r="A5961" s="213" t="s">
        <v>327</v>
      </c>
      <c r="D5961" s="213" t="s">
        <v>49634</v>
      </c>
      <c r="E5961" s="213" t="s">
        <v>49635</v>
      </c>
      <c r="K5961" s="213" t="s">
        <v>56581</v>
      </c>
      <c r="L5961" s="213" t="s">
        <v>56606</v>
      </c>
      <c r="M5961" s="213" t="s">
        <v>56631</v>
      </c>
      <c r="N5961" s="213" t="s">
        <v>49636</v>
      </c>
      <c r="O5961" s="213" t="s">
        <v>49637</v>
      </c>
      <c r="P5961" s="213" t="s">
        <v>49638</v>
      </c>
      <c r="Q5961" s="213" t="s">
        <v>49639</v>
      </c>
      <c r="R5961" s="213" t="s">
        <v>49640</v>
      </c>
      <c r="S5961" s="213" t="s">
        <v>49641</v>
      </c>
      <c r="T5961" s="213" t="s">
        <v>49642</v>
      </c>
      <c r="U5961" s="213" t="s">
        <v>56656</v>
      </c>
    </row>
    <row r="5962" spans="1:21" x14ac:dyDescent="0.25">
      <c r="A5962" s="213" t="s">
        <v>327</v>
      </c>
      <c r="D5962" s="213" t="s">
        <v>49643</v>
      </c>
      <c r="E5962" s="213" t="s">
        <v>49644</v>
      </c>
      <c r="K5962" s="213" t="s">
        <v>56582</v>
      </c>
      <c r="L5962" s="213" t="s">
        <v>56607</v>
      </c>
      <c r="M5962" s="213" t="s">
        <v>56632</v>
      </c>
      <c r="N5962" s="213" t="s">
        <v>49645</v>
      </c>
      <c r="O5962" s="213" t="s">
        <v>49646</v>
      </c>
      <c r="P5962" s="213" t="s">
        <v>49647</v>
      </c>
      <c r="Q5962" s="213" t="s">
        <v>49648</v>
      </c>
      <c r="R5962" s="213" t="s">
        <v>49649</v>
      </c>
      <c r="S5962" s="213" t="s">
        <v>49650</v>
      </c>
      <c r="T5962" s="213" t="s">
        <v>49651</v>
      </c>
      <c r="U5962" s="213" t="s">
        <v>56657</v>
      </c>
    </row>
    <row r="5963" spans="1:21" x14ac:dyDescent="0.25">
      <c r="A5963" s="213" t="s">
        <v>327</v>
      </c>
      <c r="D5963" s="213" t="s">
        <v>49652</v>
      </c>
      <c r="E5963" s="213" t="s">
        <v>49653</v>
      </c>
      <c r="K5963" s="213" t="s">
        <v>56583</v>
      </c>
      <c r="L5963" s="213" t="s">
        <v>56608</v>
      </c>
      <c r="M5963" s="213" t="s">
        <v>56633</v>
      </c>
      <c r="N5963" s="213" t="s">
        <v>49654</v>
      </c>
      <c r="O5963" s="213" t="s">
        <v>49655</v>
      </c>
      <c r="P5963" s="213" t="s">
        <v>49656</v>
      </c>
      <c r="Q5963" s="213" t="s">
        <v>49657</v>
      </c>
      <c r="R5963" s="213" t="s">
        <v>49658</v>
      </c>
      <c r="S5963" s="213" t="s">
        <v>49659</v>
      </c>
      <c r="T5963" s="213" t="s">
        <v>49660</v>
      </c>
      <c r="U5963" s="213" t="s">
        <v>56658</v>
      </c>
    </row>
    <row r="5964" spans="1:21" x14ac:dyDescent="0.25">
      <c r="A5964" s="213" t="s">
        <v>327</v>
      </c>
      <c r="D5964" s="213" t="s">
        <v>49661</v>
      </c>
      <c r="E5964" s="213" t="s">
        <v>49662</v>
      </c>
      <c r="K5964" s="213" t="s">
        <v>56584</v>
      </c>
      <c r="L5964" s="213" t="s">
        <v>56609</v>
      </c>
      <c r="M5964" s="213" t="s">
        <v>56634</v>
      </c>
      <c r="N5964" s="213" t="s">
        <v>49663</v>
      </c>
      <c r="O5964" s="213" t="s">
        <v>49664</v>
      </c>
      <c r="P5964" s="213" t="s">
        <v>49665</v>
      </c>
      <c r="Q5964" s="213" t="s">
        <v>49666</v>
      </c>
      <c r="R5964" s="213" t="s">
        <v>49667</v>
      </c>
      <c r="S5964" s="213" t="s">
        <v>49668</v>
      </c>
      <c r="T5964" s="213" t="s">
        <v>49669</v>
      </c>
      <c r="U5964" s="213" t="s">
        <v>56659</v>
      </c>
    </row>
    <row r="5965" spans="1:21" x14ac:dyDescent="0.25">
      <c r="A5965" s="213" t="s">
        <v>327</v>
      </c>
      <c r="D5965" s="213" t="s">
        <v>49670</v>
      </c>
      <c r="E5965" s="213" t="s">
        <v>49671</v>
      </c>
      <c r="K5965" s="213" t="s">
        <v>56585</v>
      </c>
      <c r="L5965" s="213" t="s">
        <v>56610</v>
      </c>
      <c r="M5965" s="213" t="s">
        <v>56635</v>
      </c>
      <c r="N5965" s="213" t="s">
        <v>49672</v>
      </c>
      <c r="O5965" s="213" t="s">
        <v>49673</v>
      </c>
      <c r="P5965" s="213" t="s">
        <v>49674</v>
      </c>
      <c r="Q5965" s="213" t="s">
        <v>49675</v>
      </c>
      <c r="R5965" s="213" t="s">
        <v>49676</v>
      </c>
      <c r="S5965" s="213" t="s">
        <v>49677</v>
      </c>
      <c r="T5965" s="213" t="s">
        <v>49678</v>
      </c>
      <c r="U5965" s="213" t="s">
        <v>56660</v>
      </c>
    </row>
    <row r="5966" spans="1:21" x14ac:dyDescent="0.25">
      <c r="A5966" s="213" t="s">
        <v>327</v>
      </c>
      <c r="D5966" s="213" t="s">
        <v>49679</v>
      </c>
      <c r="E5966" s="213" t="s">
        <v>49680</v>
      </c>
      <c r="K5966" s="213" t="s">
        <v>56586</v>
      </c>
      <c r="L5966" s="213" t="s">
        <v>56611</v>
      </c>
      <c r="M5966" s="213" t="s">
        <v>56636</v>
      </c>
      <c r="N5966" s="213" t="s">
        <v>49681</v>
      </c>
      <c r="O5966" s="213" t="s">
        <v>49682</v>
      </c>
      <c r="P5966" s="213" t="s">
        <v>49683</v>
      </c>
      <c r="Q5966" s="213" t="s">
        <v>49684</v>
      </c>
      <c r="R5966" s="213" t="s">
        <v>49685</v>
      </c>
      <c r="S5966" s="213" t="s">
        <v>49686</v>
      </c>
      <c r="T5966" s="213" t="s">
        <v>49687</v>
      </c>
      <c r="U5966" s="213" t="s">
        <v>56661</v>
      </c>
    </row>
    <row r="5967" spans="1:21" x14ac:dyDescent="0.25">
      <c r="A5967" s="213" t="s">
        <v>327</v>
      </c>
      <c r="D5967" s="213" t="s">
        <v>49688</v>
      </c>
      <c r="E5967" s="213" t="s">
        <v>49689</v>
      </c>
      <c r="K5967" s="213" t="s">
        <v>56587</v>
      </c>
      <c r="L5967" s="213" t="s">
        <v>56612</v>
      </c>
      <c r="M5967" s="213" t="s">
        <v>56637</v>
      </c>
      <c r="N5967" s="213" t="s">
        <v>49690</v>
      </c>
      <c r="O5967" s="213" t="s">
        <v>49691</v>
      </c>
      <c r="P5967" s="213" t="s">
        <v>49692</v>
      </c>
      <c r="Q5967" s="213" t="s">
        <v>49693</v>
      </c>
      <c r="R5967" s="213" t="s">
        <v>49694</v>
      </c>
      <c r="S5967" s="213" t="s">
        <v>49695</v>
      </c>
      <c r="T5967" s="213" t="s">
        <v>49696</v>
      </c>
      <c r="U5967" s="213" t="s">
        <v>56662</v>
      </c>
    </row>
    <row r="5968" spans="1:21" x14ac:dyDescent="0.25">
      <c r="A5968" s="213" t="s">
        <v>327</v>
      </c>
      <c r="D5968" s="213" t="s">
        <v>49697</v>
      </c>
      <c r="E5968" s="213" t="s">
        <v>49698</v>
      </c>
      <c r="K5968" s="213" t="s">
        <v>56588</v>
      </c>
      <c r="L5968" s="213" t="s">
        <v>56613</v>
      </c>
      <c r="M5968" s="213" t="s">
        <v>56638</v>
      </c>
      <c r="N5968" s="213" t="s">
        <v>49699</v>
      </c>
      <c r="O5968" s="213" t="s">
        <v>49700</v>
      </c>
      <c r="P5968" s="213" t="s">
        <v>49701</v>
      </c>
      <c r="Q5968" s="213" t="s">
        <v>49702</v>
      </c>
      <c r="R5968" s="213" t="s">
        <v>49703</v>
      </c>
      <c r="S5968" s="213" t="s">
        <v>49704</v>
      </c>
      <c r="T5968" s="213" t="s">
        <v>49705</v>
      </c>
      <c r="U5968" s="213" t="s">
        <v>56663</v>
      </c>
    </row>
    <row r="5969" spans="1:21" x14ac:dyDescent="0.25">
      <c r="A5969" s="213" t="s">
        <v>327</v>
      </c>
      <c r="D5969" s="213" t="s">
        <v>49706</v>
      </c>
      <c r="E5969" s="213" t="s">
        <v>49707</v>
      </c>
      <c r="K5969" s="213" t="s">
        <v>56589</v>
      </c>
      <c r="L5969" s="213" t="s">
        <v>56614</v>
      </c>
      <c r="M5969" s="213" t="s">
        <v>56639</v>
      </c>
      <c r="N5969" s="213" t="s">
        <v>49708</v>
      </c>
      <c r="O5969" s="213" t="s">
        <v>49709</v>
      </c>
      <c r="P5969" s="213" t="s">
        <v>49710</v>
      </c>
      <c r="Q5969" s="213" t="s">
        <v>49711</v>
      </c>
      <c r="R5969" s="213" t="s">
        <v>49712</v>
      </c>
      <c r="S5969" s="213" t="s">
        <v>49713</v>
      </c>
      <c r="T5969" s="213" t="s">
        <v>49714</v>
      </c>
      <c r="U5969" s="213" t="s">
        <v>56664</v>
      </c>
    </row>
    <row r="5970" spans="1:21" x14ac:dyDescent="0.25">
      <c r="A5970" s="213" t="s">
        <v>327</v>
      </c>
      <c r="D5970" s="213" t="s">
        <v>49715</v>
      </c>
      <c r="E5970" s="213" t="s">
        <v>49716</v>
      </c>
      <c r="K5970" s="213" t="s">
        <v>56590</v>
      </c>
      <c r="L5970" s="213" t="s">
        <v>56615</v>
      </c>
      <c r="M5970" s="213" t="s">
        <v>56640</v>
      </c>
      <c r="N5970" s="213" t="s">
        <v>49717</v>
      </c>
      <c r="O5970" s="213" t="s">
        <v>49718</v>
      </c>
      <c r="P5970" s="213" t="s">
        <v>49719</v>
      </c>
      <c r="Q5970" s="213" t="s">
        <v>49720</v>
      </c>
      <c r="R5970" s="213" t="s">
        <v>49721</v>
      </c>
      <c r="S5970" s="213" t="s">
        <v>49722</v>
      </c>
      <c r="T5970" s="213" t="s">
        <v>49723</v>
      </c>
      <c r="U5970" s="213" t="s">
        <v>56665</v>
      </c>
    </row>
    <row r="5971" spans="1:21" x14ac:dyDescent="0.25">
      <c r="A5971" s="213" t="s">
        <v>327</v>
      </c>
    </row>
    <row r="5972" spans="1:21" x14ac:dyDescent="0.25">
      <c r="A5972" s="213" t="s">
        <v>327</v>
      </c>
    </row>
    <row r="5973" spans="1:21" x14ac:dyDescent="0.25">
      <c r="A5973" s="213" t="s">
        <v>327</v>
      </c>
      <c r="C5973" s="213" t="s">
        <v>49724</v>
      </c>
      <c r="E5973" s="213" t="s">
        <v>49725</v>
      </c>
      <c r="H5973" s="213" t="s">
        <v>49726</v>
      </c>
      <c r="I5973" s="213" t="s">
        <v>49727</v>
      </c>
      <c r="J5973" s="213" t="s">
        <v>49728</v>
      </c>
      <c r="L5973" s="213" t="s">
        <v>49729</v>
      </c>
      <c r="O5973" s="213" t="s">
        <v>49730</v>
      </c>
      <c r="P5973" s="213" t="s">
        <v>49731</v>
      </c>
      <c r="Q5973" s="213" t="s">
        <v>49732</v>
      </c>
      <c r="R5973" s="213" t="s">
        <v>49733</v>
      </c>
      <c r="S5973" s="213" t="s">
        <v>49734</v>
      </c>
      <c r="T5973" s="213" t="s">
        <v>49735</v>
      </c>
    </row>
    <row r="5974" spans="1:21" x14ac:dyDescent="0.25">
      <c r="A5974" s="213" t="s">
        <v>327</v>
      </c>
      <c r="C5974" s="213" t="s">
        <v>49736</v>
      </c>
      <c r="E5974" s="213" t="s">
        <v>49737</v>
      </c>
      <c r="I5974" s="213" t="s">
        <v>49738</v>
      </c>
    </row>
    <row r="5975" spans="1:21" x14ac:dyDescent="0.25">
      <c r="A5975" s="213" t="s">
        <v>327</v>
      </c>
      <c r="C5975" s="213" t="s">
        <v>49739</v>
      </c>
      <c r="E5975" s="213" t="s">
        <v>49740</v>
      </c>
      <c r="I5975" s="213" t="s">
        <v>49741</v>
      </c>
    </row>
    <row r="5976" spans="1:21" x14ac:dyDescent="0.25">
      <c r="A5976" s="213" t="s">
        <v>328</v>
      </c>
    </row>
    <row r="5977" spans="1:21" x14ac:dyDescent="0.25">
      <c r="A5977" s="213" t="s">
        <v>327</v>
      </c>
      <c r="D5977" s="213" t="s">
        <v>49742</v>
      </c>
      <c r="E5977" s="213" t="s">
        <v>49743</v>
      </c>
      <c r="K5977" s="213" t="s">
        <v>56450</v>
      </c>
      <c r="L5977" s="213" t="s">
        <v>56479</v>
      </c>
      <c r="M5977" s="213" t="s">
        <v>56508</v>
      </c>
      <c r="N5977" s="213" t="s">
        <v>49744</v>
      </c>
      <c r="O5977" s="213" t="s">
        <v>49745</v>
      </c>
      <c r="P5977" s="213" t="s">
        <v>49746</v>
      </c>
      <c r="Q5977" s="213" t="s">
        <v>49747</v>
      </c>
      <c r="R5977" s="213" t="s">
        <v>49748</v>
      </c>
      <c r="S5977" s="213" t="s">
        <v>49749</v>
      </c>
      <c r="T5977" s="213" t="s">
        <v>49750</v>
      </c>
      <c r="U5977" s="213" t="s">
        <v>56537</v>
      </c>
    </row>
    <row r="5978" spans="1:21" x14ac:dyDescent="0.25">
      <c r="A5978" s="213" t="s">
        <v>327</v>
      </c>
      <c r="D5978" s="213" t="s">
        <v>49751</v>
      </c>
      <c r="E5978" s="213" t="s">
        <v>49752</v>
      </c>
      <c r="K5978" s="213" t="s">
        <v>56451</v>
      </c>
      <c r="L5978" s="213" t="s">
        <v>56480</v>
      </c>
      <c r="M5978" s="213" t="s">
        <v>56509</v>
      </c>
      <c r="N5978" s="213" t="s">
        <v>49753</v>
      </c>
      <c r="O5978" s="213" t="s">
        <v>49754</v>
      </c>
      <c r="P5978" s="213" t="s">
        <v>49755</v>
      </c>
      <c r="Q5978" s="213" t="s">
        <v>49756</v>
      </c>
      <c r="R5978" s="213" t="s">
        <v>49757</v>
      </c>
      <c r="S5978" s="213" t="s">
        <v>49758</v>
      </c>
      <c r="T5978" s="213" t="s">
        <v>49759</v>
      </c>
      <c r="U5978" s="213" t="s">
        <v>56538</v>
      </c>
    </row>
    <row r="5979" spans="1:21" x14ac:dyDescent="0.25">
      <c r="A5979" s="213" t="s">
        <v>327</v>
      </c>
      <c r="D5979" s="213" t="s">
        <v>49760</v>
      </c>
      <c r="E5979" s="213" t="s">
        <v>49761</v>
      </c>
      <c r="K5979" s="213" t="s">
        <v>56452</v>
      </c>
      <c r="L5979" s="213" t="s">
        <v>56481</v>
      </c>
      <c r="M5979" s="213" t="s">
        <v>56510</v>
      </c>
      <c r="N5979" s="213" t="s">
        <v>49762</v>
      </c>
      <c r="O5979" s="213" t="s">
        <v>49763</v>
      </c>
      <c r="P5979" s="213" t="s">
        <v>49764</v>
      </c>
      <c r="Q5979" s="213" t="s">
        <v>49765</v>
      </c>
      <c r="R5979" s="213" t="s">
        <v>49766</v>
      </c>
      <c r="S5979" s="213" t="s">
        <v>49767</v>
      </c>
      <c r="T5979" s="213" t="s">
        <v>49768</v>
      </c>
      <c r="U5979" s="213" t="s">
        <v>56539</v>
      </c>
    </row>
    <row r="5980" spans="1:21" x14ac:dyDescent="0.25">
      <c r="A5980" s="213" t="s">
        <v>327</v>
      </c>
      <c r="D5980" s="213" t="s">
        <v>49769</v>
      </c>
      <c r="E5980" s="213" t="s">
        <v>49770</v>
      </c>
      <c r="K5980" s="213" t="s">
        <v>56453</v>
      </c>
      <c r="L5980" s="213" t="s">
        <v>56482</v>
      </c>
      <c r="M5980" s="213" t="s">
        <v>56511</v>
      </c>
      <c r="N5980" s="213" t="s">
        <v>49771</v>
      </c>
      <c r="O5980" s="213" t="s">
        <v>49772</v>
      </c>
      <c r="P5980" s="213" t="s">
        <v>49773</v>
      </c>
      <c r="Q5980" s="213" t="s">
        <v>49774</v>
      </c>
      <c r="R5980" s="213" t="s">
        <v>49775</v>
      </c>
      <c r="S5980" s="213" t="s">
        <v>49776</v>
      </c>
      <c r="T5980" s="213" t="s">
        <v>49777</v>
      </c>
      <c r="U5980" s="213" t="s">
        <v>56540</v>
      </c>
    </row>
    <row r="5981" spans="1:21" x14ac:dyDescent="0.25">
      <c r="A5981" s="213" t="s">
        <v>327</v>
      </c>
      <c r="D5981" s="213" t="s">
        <v>49778</v>
      </c>
      <c r="E5981" s="213" t="s">
        <v>49779</v>
      </c>
      <c r="K5981" s="213" t="s">
        <v>56454</v>
      </c>
      <c r="L5981" s="213" t="s">
        <v>56483</v>
      </c>
      <c r="M5981" s="213" t="s">
        <v>56512</v>
      </c>
      <c r="N5981" s="213" t="s">
        <v>49780</v>
      </c>
      <c r="O5981" s="213" t="s">
        <v>49781</v>
      </c>
      <c r="P5981" s="213" t="s">
        <v>49782</v>
      </c>
      <c r="Q5981" s="213" t="s">
        <v>49783</v>
      </c>
      <c r="R5981" s="213" t="s">
        <v>49784</v>
      </c>
      <c r="S5981" s="213" t="s">
        <v>49785</v>
      </c>
      <c r="T5981" s="213" t="s">
        <v>49786</v>
      </c>
      <c r="U5981" s="213" t="s">
        <v>56541</v>
      </c>
    </row>
    <row r="5982" spans="1:21" x14ac:dyDescent="0.25">
      <c r="A5982" s="213" t="s">
        <v>327</v>
      </c>
      <c r="D5982" s="213" t="s">
        <v>49787</v>
      </c>
      <c r="E5982" s="213" t="s">
        <v>49788</v>
      </c>
      <c r="K5982" s="213" t="s">
        <v>56455</v>
      </c>
      <c r="L5982" s="213" t="s">
        <v>56484</v>
      </c>
      <c r="M5982" s="213" t="s">
        <v>56513</v>
      </c>
      <c r="N5982" s="213" t="s">
        <v>49789</v>
      </c>
      <c r="O5982" s="213" t="s">
        <v>49790</v>
      </c>
      <c r="P5982" s="213" t="s">
        <v>49791</v>
      </c>
      <c r="Q5982" s="213" t="s">
        <v>49792</v>
      </c>
      <c r="R5982" s="213" t="s">
        <v>49793</v>
      </c>
      <c r="S5982" s="213" t="s">
        <v>49794</v>
      </c>
      <c r="T5982" s="213" t="s">
        <v>49795</v>
      </c>
      <c r="U5982" s="213" t="s">
        <v>56542</v>
      </c>
    </row>
    <row r="5983" spans="1:21" x14ac:dyDescent="0.25">
      <c r="A5983" s="213" t="s">
        <v>327</v>
      </c>
      <c r="D5983" s="213" t="s">
        <v>49796</v>
      </c>
      <c r="E5983" s="213" t="s">
        <v>49797</v>
      </c>
      <c r="K5983" s="213" t="s">
        <v>56456</v>
      </c>
      <c r="L5983" s="213" t="s">
        <v>56485</v>
      </c>
      <c r="M5983" s="213" t="s">
        <v>56514</v>
      </c>
      <c r="N5983" s="213" t="s">
        <v>49798</v>
      </c>
      <c r="O5983" s="213" t="s">
        <v>49799</v>
      </c>
      <c r="P5983" s="213" t="s">
        <v>49800</v>
      </c>
      <c r="Q5983" s="213" t="s">
        <v>49801</v>
      </c>
      <c r="R5983" s="213" t="s">
        <v>49802</v>
      </c>
      <c r="S5983" s="213" t="s">
        <v>49803</v>
      </c>
      <c r="T5983" s="213" t="s">
        <v>49804</v>
      </c>
      <c r="U5983" s="213" t="s">
        <v>56543</v>
      </c>
    </row>
    <row r="5984" spans="1:21" x14ac:dyDescent="0.25">
      <c r="A5984" s="213" t="s">
        <v>327</v>
      </c>
      <c r="D5984" s="213" t="s">
        <v>49805</v>
      </c>
      <c r="E5984" s="213" t="s">
        <v>49806</v>
      </c>
      <c r="K5984" s="213" t="s">
        <v>56457</v>
      </c>
      <c r="L5984" s="213" t="s">
        <v>56486</v>
      </c>
      <c r="M5984" s="213" t="s">
        <v>56515</v>
      </c>
      <c r="N5984" s="213" t="s">
        <v>49807</v>
      </c>
      <c r="O5984" s="213" t="s">
        <v>49808</v>
      </c>
      <c r="P5984" s="213" t="s">
        <v>49809</v>
      </c>
      <c r="Q5984" s="213" t="s">
        <v>49810</v>
      </c>
      <c r="R5984" s="213" t="s">
        <v>49811</v>
      </c>
      <c r="S5984" s="213" t="s">
        <v>49812</v>
      </c>
      <c r="T5984" s="213" t="s">
        <v>49813</v>
      </c>
      <c r="U5984" s="213" t="s">
        <v>56544</v>
      </c>
    </row>
    <row r="5985" spans="1:21" x14ac:dyDescent="0.25">
      <c r="A5985" s="213" t="s">
        <v>327</v>
      </c>
      <c r="D5985" s="213" t="s">
        <v>49814</v>
      </c>
      <c r="E5985" s="213" t="s">
        <v>49815</v>
      </c>
      <c r="K5985" s="213" t="s">
        <v>56458</v>
      </c>
      <c r="L5985" s="213" t="s">
        <v>56487</v>
      </c>
      <c r="M5985" s="213" t="s">
        <v>56516</v>
      </c>
      <c r="N5985" s="213" t="s">
        <v>49816</v>
      </c>
      <c r="O5985" s="213" t="s">
        <v>49817</v>
      </c>
      <c r="P5985" s="213" t="s">
        <v>49818</v>
      </c>
      <c r="Q5985" s="213" t="s">
        <v>49819</v>
      </c>
      <c r="R5985" s="213" t="s">
        <v>49820</v>
      </c>
      <c r="S5985" s="213" t="s">
        <v>49821</v>
      </c>
      <c r="T5985" s="213" t="s">
        <v>49822</v>
      </c>
      <c r="U5985" s="213" t="s">
        <v>56545</v>
      </c>
    </row>
    <row r="5986" spans="1:21" x14ac:dyDescent="0.25">
      <c r="A5986" s="213" t="s">
        <v>327</v>
      </c>
      <c r="D5986" s="213" t="s">
        <v>49823</v>
      </c>
      <c r="E5986" s="213" t="s">
        <v>49824</v>
      </c>
      <c r="K5986" s="213" t="s">
        <v>56459</v>
      </c>
      <c r="L5986" s="213" t="s">
        <v>56488</v>
      </c>
      <c r="M5986" s="213" t="s">
        <v>56517</v>
      </c>
      <c r="N5986" s="213" t="s">
        <v>49825</v>
      </c>
      <c r="O5986" s="213" t="s">
        <v>49826</v>
      </c>
      <c r="P5986" s="213" t="s">
        <v>49827</v>
      </c>
      <c r="Q5986" s="213" t="s">
        <v>49828</v>
      </c>
      <c r="R5986" s="213" t="s">
        <v>49829</v>
      </c>
      <c r="S5986" s="213" t="s">
        <v>49830</v>
      </c>
      <c r="T5986" s="213" t="s">
        <v>49831</v>
      </c>
      <c r="U5986" s="213" t="s">
        <v>56546</v>
      </c>
    </row>
    <row r="5987" spans="1:21" x14ac:dyDescent="0.25">
      <c r="A5987" s="213" t="s">
        <v>327</v>
      </c>
      <c r="D5987" s="213" t="s">
        <v>49832</v>
      </c>
      <c r="E5987" s="213" t="s">
        <v>49833</v>
      </c>
      <c r="K5987" s="213" t="s">
        <v>56460</v>
      </c>
      <c r="L5987" s="213" t="s">
        <v>56489</v>
      </c>
      <c r="M5987" s="213" t="s">
        <v>56518</v>
      </c>
      <c r="N5987" s="213" t="s">
        <v>49834</v>
      </c>
      <c r="O5987" s="213" t="s">
        <v>49835</v>
      </c>
      <c r="P5987" s="213" t="s">
        <v>49836</v>
      </c>
      <c r="Q5987" s="213" t="s">
        <v>49837</v>
      </c>
      <c r="R5987" s="213" t="s">
        <v>49838</v>
      </c>
      <c r="S5987" s="213" t="s">
        <v>49839</v>
      </c>
      <c r="T5987" s="213" t="s">
        <v>49840</v>
      </c>
      <c r="U5987" s="213" t="s">
        <v>56547</v>
      </c>
    </row>
    <row r="5988" spans="1:21" x14ac:dyDescent="0.25">
      <c r="A5988" s="213" t="s">
        <v>327</v>
      </c>
      <c r="D5988" s="213" t="s">
        <v>49841</v>
      </c>
      <c r="E5988" s="213" t="s">
        <v>49842</v>
      </c>
      <c r="K5988" s="213" t="s">
        <v>56461</v>
      </c>
      <c r="L5988" s="213" t="s">
        <v>56490</v>
      </c>
      <c r="M5988" s="213" t="s">
        <v>56519</v>
      </c>
      <c r="N5988" s="213" t="s">
        <v>49843</v>
      </c>
      <c r="O5988" s="213" t="s">
        <v>49844</v>
      </c>
      <c r="P5988" s="213" t="s">
        <v>49845</v>
      </c>
      <c r="Q5988" s="213" t="s">
        <v>49846</v>
      </c>
      <c r="R5988" s="213" t="s">
        <v>49847</v>
      </c>
      <c r="S5988" s="213" t="s">
        <v>49848</v>
      </c>
      <c r="T5988" s="213" t="s">
        <v>49849</v>
      </c>
      <c r="U5988" s="213" t="s">
        <v>56548</v>
      </c>
    </row>
    <row r="5989" spans="1:21" x14ac:dyDescent="0.25">
      <c r="A5989" s="213" t="s">
        <v>327</v>
      </c>
      <c r="D5989" s="213" t="s">
        <v>49850</v>
      </c>
      <c r="E5989" s="213" t="s">
        <v>49851</v>
      </c>
      <c r="K5989" s="213" t="s">
        <v>56462</v>
      </c>
      <c r="L5989" s="213" t="s">
        <v>56491</v>
      </c>
      <c r="M5989" s="213" t="s">
        <v>56520</v>
      </c>
      <c r="N5989" s="213" t="s">
        <v>49852</v>
      </c>
      <c r="O5989" s="213" t="s">
        <v>49853</v>
      </c>
      <c r="P5989" s="213" t="s">
        <v>49854</v>
      </c>
      <c r="Q5989" s="213" t="s">
        <v>49855</v>
      </c>
      <c r="R5989" s="213" t="s">
        <v>49856</v>
      </c>
      <c r="S5989" s="213" t="s">
        <v>49857</v>
      </c>
      <c r="T5989" s="213" t="s">
        <v>49858</v>
      </c>
      <c r="U5989" s="213" t="s">
        <v>56549</v>
      </c>
    </row>
    <row r="5990" spans="1:21" x14ac:dyDescent="0.25">
      <c r="A5990" s="213" t="s">
        <v>327</v>
      </c>
      <c r="D5990" s="213" t="s">
        <v>49859</v>
      </c>
      <c r="E5990" s="213" t="s">
        <v>49860</v>
      </c>
      <c r="K5990" s="213" t="s">
        <v>56463</v>
      </c>
      <c r="L5990" s="213" t="s">
        <v>56492</v>
      </c>
      <c r="M5990" s="213" t="s">
        <v>56521</v>
      </c>
      <c r="N5990" s="213" t="s">
        <v>49861</v>
      </c>
      <c r="O5990" s="213" t="s">
        <v>49862</v>
      </c>
      <c r="P5990" s="213" t="s">
        <v>49863</v>
      </c>
      <c r="Q5990" s="213" t="s">
        <v>49864</v>
      </c>
      <c r="R5990" s="213" t="s">
        <v>49865</v>
      </c>
      <c r="S5990" s="213" t="s">
        <v>49866</v>
      </c>
      <c r="T5990" s="213" t="s">
        <v>49867</v>
      </c>
      <c r="U5990" s="213" t="s">
        <v>56550</v>
      </c>
    </row>
    <row r="5991" spans="1:21" x14ac:dyDescent="0.25">
      <c r="A5991" s="213" t="s">
        <v>327</v>
      </c>
      <c r="D5991" s="213" t="s">
        <v>49868</v>
      </c>
      <c r="E5991" s="213" t="s">
        <v>49869</v>
      </c>
      <c r="K5991" s="213" t="s">
        <v>56464</v>
      </c>
      <c r="L5991" s="213" t="s">
        <v>56493</v>
      </c>
      <c r="M5991" s="213" t="s">
        <v>56522</v>
      </c>
      <c r="N5991" s="213" t="s">
        <v>49870</v>
      </c>
      <c r="O5991" s="213" t="s">
        <v>49871</v>
      </c>
      <c r="P5991" s="213" t="s">
        <v>49872</v>
      </c>
      <c r="Q5991" s="213" t="s">
        <v>49873</v>
      </c>
      <c r="R5991" s="213" t="s">
        <v>49874</v>
      </c>
      <c r="S5991" s="213" t="s">
        <v>49875</v>
      </c>
      <c r="T5991" s="213" t="s">
        <v>49876</v>
      </c>
      <c r="U5991" s="213" t="s">
        <v>56551</v>
      </c>
    </row>
    <row r="5992" spans="1:21" x14ac:dyDescent="0.25">
      <c r="A5992" s="213" t="s">
        <v>327</v>
      </c>
      <c r="D5992" s="213" t="s">
        <v>49877</v>
      </c>
      <c r="E5992" s="213" t="s">
        <v>49878</v>
      </c>
      <c r="K5992" s="213" t="s">
        <v>56465</v>
      </c>
      <c r="L5992" s="213" t="s">
        <v>56494</v>
      </c>
      <c r="M5992" s="213" t="s">
        <v>56523</v>
      </c>
      <c r="N5992" s="213" t="s">
        <v>49879</v>
      </c>
      <c r="O5992" s="213" t="s">
        <v>49880</v>
      </c>
      <c r="P5992" s="213" t="s">
        <v>49881</v>
      </c>
      <c r="Q5992" s="213" t="s">
        <v>49882</v>
      </c>
      <c r="R5992" s="213" t="s">
        <v>49883</v>
      </c>
      <c r="S5992" s="213" t="s">
        <v>49884</v>
      </c>
      <c r="T5992" s="213" t="s">
        <v>49885</v>
      </c>
      <c r="U5992" s="213" t="s">
        <v>56552</v>
      </c>
    </row>
    <row r="5993" spans="1:21" x14ac:dyDescent="0.25">
      <c r="A5993" s="213" t="s">
        <v>327</v>
      </c>
      <c r="D5993" s="213" t="s">
        <v>49886</v>
      </c>
      <c r="E5993" s="213" t="s">
        <v>49887</v>
      </c>
      <c r="K5993" s="213" t="s">
        <v>56466</v>
      </c>
      <c r="L5993" s="213" t="s">
        <v>56495</v>
      </c>
      <c r="M5993" s="213" t="s">
        <v>56524</v>
      </c>
      <c r="N5993" s="213" t="s">
        <v>49888</v>
      </c>
      <c r="O5993" s="213" t="s">
        <v>49889</v>
      </c>
      <c r="P5993" s="213" t="s">
        <v>49890</v>
      </c>
      <c r="Q5993" s="213" t="s">
        <v>49891</v>
      </c>
      <c r="R5993" s="213" t="s">
        <v>49892</v>
      </c>
      <c r="S5993" s="213" t="s">
        <v>49893</v>
      </c>
      <c r="T5993" s="213" t="s">
        <v>49894</v>
      </c>
      <c r="U5993" s="213" t="s">
        <v>56553</v>
      </c>
    </row>
    <row r="5994" spans="1:21" x14ac:dyDescent="0.25">
      <c r="A5994" s="213" t="s">
        <v>327</v>
      </c>
      <c r="D5994" s="213" t="s">
        <v>49895</v>
      </c>
      <c r="E5994" s="213" t="s">
        <v>49896</v>
      </c>
      <c r="K5994" s="213" t="s">
        <v>56467</v>
      </c>
      <c r="L5994" s="213" t="s">
        <v>56496</v>
      </c>
      <c r="M5994" s="213" t="s">
        <v>56525</v>
      </c>
      <c r="N5994" s="213" t="s">
        <v>49897</v>
      </c>
      <c r="O5994" s="213" t="s">
        <v>49898</v>
      </c>
      <c r="P5994" s="213" t="s">
        <v>49899</v>
      </c>
      <c r="Q5994" s="213" t="s">
        <v>49900</v>
      </c>
      <c r="R5994" s="213" t="s">
        <v>49901</v>
      </c>
      <c r="S5994" s="213" t="s">
        <v>49902</v>
      </c>
      <c r="T5994" s="213" t="s">
        <v>49903</v>
      </c>
      <c r="U5994" s="213" t="s">
        <v>56554</v>
      </c>
    </row>
    <row r="5995" spans="1:21" x14ac:dyDescent="0.25">
      <c r="A5995" s="213" t="s">
        <v>327</v>
      </c>
      <c r="D5995" s="213" t="s">
        <v>49904</v>
      </c>
      <c r="E5995" s="213" t="s">
        <v>49905</v>
      </c>
      <c r="K5995" s="213" t="s">
        <v>56468</v>
      </c>
      <c r="L5995" s="213" t="s">
        <v>56497</v>
      </c>
      <c r="M5995" s="213" t="s">
        <v>56526</v>
      </c>
      <c r="N5995" s="213" t="s">
        <v>49906</v>
      </c>
      <c r="O5995" s="213" t="s">
        <v>49907</v>
      </c>
      <c r="P5995" s="213" t="s">
        <v>49908</v>
      </c>
      <c r="Q5995" s="213" t="s">
        <v>49909</v>
      </c>
      <c r="R5995" s="213" t="s">
        <v>49910</v>
      </c>
      <c r="S5995" s="213" t="s">
        <v>49911</v>
      </c>
      <c r="T5995" s="213" t="s">
        <v>49912</v>
      </c>
      <c r="U5995" s="213" t="s">
        <v>56555</v>
      </c>
    </row>
    <row r="5996" spans="1:21" x14ac:dyDescent="0.25">
      <c r="A5996" s="213" t="s">
        <v>327</v>
      </c>
      <c r="D5996" s="213" t="s">
        <v>49913</v>
      </c>
      <c r="E5996" s="213" t="s">
        <v>49914</v>
      </c>
      <c r="K5996" s="213" t="s">
        <v>56469</v>
      </c>
      <c r="L5996" s="213" t="s">
        <v>56498</v>
      </c>
      <c r="M5996" s="213" t="s">
        <v>56527</v>
      </c>
      <c r="N5996" s="213" t="s">
        <v>49915</v>
      </c>
      <c r="O5996" s="213" t="s">
        <v>49916</v>
      </c>
      <c r="P5996" s="213" t="s">
        <v>49917</v>
      </c>
      <c r="Q5996" s="213" t="s">
        <v>49918</v>
      </c>
      <c r="R5996" s="213" t="s">
        <v>49919</v>
      </c>
      <c r="S5996" s="213" t="s">
        <v>49920</v>
      </c>
      <c r="T5996" s="213" t="s">
        <v>49921</v>
      </c>
      <c r="U5996" s="213" t="s">
        <v>56556</v>
      </c>
    </row>
    <row r="5997" spans="1:21" x14ac:dyDescent="0.25">
      <c r="A5997" s="213" t="s">
        <v>327</v>
      </c>
      <c r="D5997" s="213" t="s">
        <v>49922</v>
      </c>
      <c r="E5997" s="213" t="s">
        <v>49923</v>
      </c>
      <c r="K5997" s="213" t="s">
        <v>56470</v>
      </c>
      <c r="L5997" s="213" t="s">
        <v>56499</v>
      </c>
      <c r="M5997" s="213" t="s">
        <v>56528</v>
      </c>
      <c r="N5997" s="213" t="s">
        <v>49924</v>
      </c>
      <c r="O5997" s="213" t="s">
        <v>49925</v>
      </c>
      <c r="P5997" s="213" t="s">
        <v>49926</v>
      </c>
      <c r="Q5997" s="213" t="s">
        <v>49927</v>
      </c>
      <c r="R5997" s="213" t="s">
        <v>49928</v>
      </c>
      <c r="S5997" s="213" t="s">
        <v>49929</v>
      </c>
      <c r="T5997" s="213" t="s">
        <v>49930</v>
      </c>
      <c r="U5997" s="213" t="s">
        <v>56557</v>
      </c>
    </row>
    <row r="5998" spans="1:21" x14ac:dyDescent="0.25">
      <c r="A5998" s="213" t="s">
        <v>327</v>
      </c>
      <c r="D5998" s="213" t="s">
        <v>49931</v>
      </c>
      <c r="E5998" s="213" t="s">
        <v>49932</v>
      </c>
      <c r="K5998" s="213" t="s">
        <v>56471</v>
      </c>
      <c r="L5998" s="213" t="s">
        <v>56500</v>
      </c>
      <c r="M5998" s="213" t="s">
        <v>56529</v>
      </c>
      <c r="N5998" s="213" t="s">
        <v>49933</v>
      </c>
      <c r="O5998" s="213" t="s">
        <v>49934</v>
      </c>
      <c r="P5998" s="213" t="s">
        <v>49935</v>
      </c>
      <c r="Q5998" s="213" t="s">
        <v>49936</v>
      </c>
      <c r="R5998" s="213" t="s">
        <v>49937</v>
      </c>
      <c r="S5998" s="213" t="s">
        <v>49938</v>
      </c>
      <c r="T5998" s="213" t="s">
        <v>49939</v>
      </c>
      <c r="U5998" s="213" t="s">
        <v>56558</v>
      </c>
    </row>
    <row r="5999" spans="1:21" x14ac:dyDescent="0.25">
      <c r="A5999" s="213" t="s">
        <v>327</v>
      </c>
      <c r="D5999" s="213" t="s">
        <v>49940</v>
      </c>
      <c r="E5999" s="213" t="s">
        <v>49941</v>
      </c>
      <c r="K5999" s="213" t="s">
        <v>56472</v>
      </c>
      <c r="L5999" s="213" t="s">
        <v>56501</v>
      </c>
      <c r="M5999" s="213" t="s">
        <v>56530</v>
      </c>
      <c r="N5999" s="213" t="s">
        <v>49942</v>
      </c>
      <c r="O5999" s="213" t="s">
        <v>49943</v>
      </c>
      <c r="P5999" s="213" t="s">
        <v>49944</v>
      </c>
      <c r="Q5999" s="213" t="s">
        <v>49945</v>
      </c>
      <c r="R5999" s="213" t="s">
        <v>49946</v>
      </c>
      <c r="S5999" s="213" t="s">
        <v>49947</v>
      </c>
      <c r="T5999" s="213" t="s">
        <v>49948</v>
      </c>
      <c r="U5999" s="213" t="s">
        <v>56559</v>
      </c>
    </row>
    <row r="6000" spans="1:21" x14ac:dyDescent="0.25">
      <c r="A6000" s="213" t="s">
        <v>327</v>
      </c>
      <c r="D6000" s="213" t="s">
        <v>49949</v>
      </c>
      <c r="E6000" s="213" t="s">
        <v>49950</v>
      </c>
      <c r="K6000" s="213" t="s">
        <v>56473</v>
      </c>
      <c r="L6000" s="213" t="s">
        <v>56502</v>
      </c>
      <c r="M6000" s="213" t="s">
        <v>56531</v>
      </c>
      <c r="N6000" s="213" t="s">
        <v>49951</v>
      </c>
      <c r="O6000" s="213" t="s">
        <v>49952</v>
      </c>
      <c r="P6000" s="213" t="s">
        <v>49953</v>
      </c>
      <c r="Q6000" s="213" t="s">
        <v>49954</v>
      </c>
      <c r="R6000" s="213" t="s">
        <v>49955</v>
      </c>
      <c r="S6000" s="213" t="s">
        <v>49956</v>
      </c>
      <c r="T6000" s="213" t="s">
        <v>49957</v>
      </c>
      <c r="U6000" s="213" t="s">
        <v>56560</v>
      </c>
    </row>
    <row r="6001" spans="1:21" x14ac:dyDescent="0.25">
      <c r="A6001" s="213" t="s">
        <v>327</v>
      </c>
      <c r="D6001" s="213" t="s">
        <v>49958</v>
      </c>
      <c r="E6001" s="213" t="s">
        <v>49959</v>
      </c>
      <c r="K6001" s="213" t="s">
        <v>56474</v>
      </c>
      <c r="L6001" s="213" t="s">
        <v>56503</v>
      </c>
      <c r="M6001" s="213" t="s">
        <v>56532</v>
      </c>
      <c r="N6001" s="213" t="s">
        <v>49960</v>
      </c>
      <c r="O6001" s="213" t="s">
        <v>49961</v>
      </c>
      <c r="P6001" s="213" t="s">
        <v>49962</v>
      </c>
      <c r="Q6001" s="213" t="s">
        <v>49963</v>
      </c>
      <c r="R6001" s="213" t="s">
        <v>49964</v>
      </c>
      <c r="S6001" s="213" t="s">
        <v>49965</v>
      </c>
      <c r="T6001" s="213" t="s">
        <v>49966</v>
      </c>
      <c r="U6001" s="213" t="s">
        <v>56561</v>
      </c>
    </row>
    <row r="6002" spans="1:21" x14ac:dyDescent="0.25">
      <c r="A6002" s="213" t="s">
        <v>327</v>
      </c>
      <c r="D6002" s="213" t="s">
        <v>49967</v>
      </c>
      <c r="E6002" s="213" t="s">
        <v>49968</v>
      </c>
      <c r="K6002" s="213" t="s">
        <v>56475</v>
      </c>
      <c r="L6002" s="213" t="s">
        <v>56504</v>
      </c>
      <c r="M6002" s="213" t="s">
        <v>56533</v>
      </c>
      <c r="N6002" s="213" t="s">
        <v>49969</v>
      </c>
      <c r="O6002" s="213" t="s">
        <v>49970</v>
      </c>
      <c r="P6002" s="213" t="s">
        <v>49971</v>
      </c>
      <c r="Q6002" s="213" t="s">
        <v>49972</v>
      </c>
      <c r="R6002" s="213" t="s">
        <v>49973</v>
      </c>
      <c r="S6002" s="213" t="s">
        <v>49974</v>
      </c>
      <c r="T6002" s="213" t="s">
        <v>49975</v>
      </c>
      <c r="U6002" s="213" t="s">
        <v>56562</v>
      </c>
    </row>
    <row r="6003" spans="1:21" x14ac:dyDescent="0.25">
      <c r="A6003" s="213" t="s">
        <v>327</v>
      </c>
      <c r="D6003" s="213" t="s">
        <v>49976</v>
      </c>
      <c r="E6003" s="213" t="s">
        <v>49977</v>
      </c>
      <c r="K6003" s="213" t="s">
        <v>56476</v>
      </c>
      <c r="L6003" s="213" t="s">
        <v>56505</v>
      </c>
      <c r="M6003" s="213" t="s">
        <v>56534</v>
      </c>
      <c r="N6003" s="213" t="s">
        <v>49978</v>
      </c>
      <c r="O6003" s="213" t="s">
        <v>49979</v>
      </c>
      <c r="P6003" s="213" t="s">
        <v>49980</v>
      </c>
      <c r="Q6003" s="213" t="s">
        <v>49981</v>
      </c>
      <c r="R6003" s="213" t="s">
        <v>49982</v>
      </c>
      <c r="S6003" s="213" t="s">
        <v>49983</v>
      </c>
      <c r="T6003" s="213" t="s">
        <v>49984</v>
      </c>
      <c r="U6003" s="213" t="s">
        <v>56563</v>
      </c>
    </row>
    <row r="6004" spans="1:21" x14ac:dyDescent="0.25">
      <c r="A6004" s="213" t="s">
        <v>327</v>
      </c>
      <c r="D6004" s="213" t="s">
        <v>49985</v>
      </c>
      <c r="E6004" s="213" t="s">
        <v>49986</v>
      </c>
      <c r="K6004" s="213" t="s">
        <v>56477</v>
      </c>
      <c r="L6004" s="213" t="s">
        <v>56506</v>
      </c>
      <c r="M6004" s="213" t="s">
        <v>56535</v>
      </c>
      <c r="N6004" s="213" t="s">
        <v>49987</v>
      </c>
      <c r="O6004" s="213" t="s">
        <v>49988</v>
      </c>
      <c r="P6004" s="213" t="s">
        <v>49989</v>
      </c>
      <c r="Q6004" s="213" t="s">
        <v>49990</v>
      </c>
      <c r="R6004" s="213" t="s">
        <v>49991</v>
      </c>
      <c r="S6004" s="213" t="s">
        <v>49992</v>
      </c>
      <c r="T6004" s="213" t="s">
        <v>49993</v>
      </c>
      <c r="U6004" s="213" t="s">
        <v>56564</v>
      </c>
    </row>
    <row r="6005" spans="1:21" x14ac:dyDescent="0.25">
      <c r="A6005" s="213" t="s">
        <v>327</v>
      </c>
      <c r="D6005" s="213" t="s">
        <v>49994</v>
      </c>
      <c r="E6005" s="213" t="s">
        <v>49995</v>
      </c>
      <c r="K6005" s="213" t="s">
        <v>56478</v>
      </c>
      <c r="L6005" s="213" t="s">
        <v>56507</v>
      </c>
      <c r="M6005" s="213" t="s">
        <v>56536</v>
      </c>
      <c r="N6005" s="213" t="s">
        <v>49996</v>
      </c>
      <c r="O6005" s="213" t="s">
        <v>49997</v>
      </c>
      <c r="P6005" s="213" t="s">
        <v>49998</v>
      </c>
      <c r="Q6005" s="213" t="s">
        <v>49999</v>
      </c>
      <c r="R6005" s="213" t="s">
        <v>50000</v>
      </c>
      <c r="S6005" s="213" t="s">
        <v>50001</v>
      </c>
      <c r="T6005" s="213" t="s">
        <v>50002</v>
      </c>
      <c r="U6005" s="213" t="s">
        <v>56565</v>
      </c>
    </row>
    <row r="6006" spans="1:21" x14ac:dyDescent="0.25">
      <c r="A6006" s="213" t="s">
        <v>327</v>
      </c>
    </row>
    <row r="6007" spans="1:21" x14ac:dyDescent="0.25">
      <c r="A6007" s="213" t="s">
        <v>327</v>
      </c>
    </row>
    <row r="6008" spans="1:21" x14ac:dyDescent="0.25">
      <c r="A6008" s="213" t="s">
        <v>327</v>
      </c>
      <c r="C6008" s="213" t="s">
        <v>50003</v>
      </c>
      <c r="E6008" s="213" t="s">
        <v>50004</v>
      </c>
      <c r="H6008" s="213" t="s">
        <v>50005</v>
      </c>
      <c r="I6008" s="213" t="s">
        <v>50006</v>
      </c>
      <c r="J6008" s="213" t="s">
        <v>50007</v>
      </c>
      <c r="L6008" s="213" t="s">
        <v>50008</v>
      </c>
      <c r="O6008" s="213" t="s">
        <v>50009</v>
      </c>
      <c r="P6008" s="213" t="s">
        <v>50010</v>
      </c>
      <c r="Q6008" s="213" t="s">
        <v>50011</v>
      </c>
      <c r="R6008" s="213" t="s">
        <v>50012</v>
      </c>
      <c r="S6008" s="213" t="s">
        <v>50013</v>
      </c>
      <c r="T6008" s="213" t="s">
        <v>50014</v>
      </c>
    </row>
    <row r="6009" spans="1:21" x14ac:dyDescent="0.25">
      <c r="A6009" s="213" t="s">
        <v>327</v>
      </c>
      <c r="C6009" s="213" t="s">
        <v>50015</v>
      </c>
      <c r="E6009" s="213" t="s">
        <v>50016</v>
      </c>
      <c r="I6009" s="213" t="s">
        <v>50017</v>
      </c>
    </row>
    <row r="6010" spans="1:21" x14ac:dyDescent="0.25">
      <c r="A6010" s="213" t="s">
        <v>327</v>
      </c>
      <c r="C6010" s="213" t="s">
        <v>50018</v>
      </c>
      <c r="E6010" s="213" t="s">
        <v>50019</v>
      </c>
      <c r="I6010" s="213" t="s">
        <v>50020</v>
      </c>
    </row>
    <row r="6011" spans="1:21" x14ac:dyDescent="0.25">
      <c r="A6011" s="213" t="s">
        <v>328</v>
      </c>
    </row>
    <row r="6012" spans="1:21" x14ac:dyDescent="0.25">
      <c r="A6012" s="213" t="s">
        <v>327</v>
      </c>
      <c r="D6012" s="213" t="s">
        <v>50021</v>
      </c>
      <c r="E6012" s="213" t="s">
        <v>50022</v>
      </c>
      <c r="K6012" s="213" t="s">
        <v>56354</v>
      </c>
      <c r="L6012" s="213" t="s">
        <v>56378</v>
      </c>
      <c r="M6012" s="213" t="s">
        <v>56402</v>
      </c>
      <c r="N6012" s="213" t="s">
        <v>50023</v>
      </c>
      <c r="O6012" s="213" t="s">
        <v>50024</v>
      </c>
      <c r="P6012" s="213" t="s">
        <v>50025</v>
      </c>
      <c r="Q6012" s="213" t="s">
        <v>50026</v>
      </c>
      <c r="R6012" s="213" t="s">
        <v>50027</v>
      </c>
      <c r="S6012" s="213" t="s">
        <v>50028</v>
      </c>
      <c r="T6012" s="213" t="s">
        <v>50029</v>
      </c>
      <c r="U6012" s="213" t="s">
        <v>56426</v>
      </c>
    </row>
    <row r="6013" spans="1:21" x14ac:dyDescent="0.25">
      <c r="A6013" s="213" t="s">
        <v>327</v>
      </c>
      <c r="D6013" s="213" t="s">
        <v>50030</v>
      </c>
      <c r="E6013" s="213" t="s">
        <v>50031</v>
      </c>
      <c r="K6013" s="213" t="s">
        <v>56355</v>
      </c>
      <c r="L6013" s="213" t="s">
        <v>56379</v>
      </c>
      <c r="M6013" s="213" t="s">
        <v>56403</v>
      </c>
      <c r="N6013" s="213" t="s">
        <v>50032</v>
      </c>
      <c r="O6013" s="213" t="s">
        <v>50033</v>
      </c>
      <c r="P6013" s="213" t="s">
        <v>50034</v>
      </c>
      <c r="Q6013" s="213" t="s">
        <v>50035</v>
      </c>
      <c r="R6013" s="213" t="s">
        <v>50036</v>
      </c>
      <c r="S6013" s="213" t="s">
        <v>50037</v>
      </c>
      <c r="T6013" s="213" t="s">
        <v>50038</v>
      </c>
      <c r="U6013" s="213" t="s">
        <v>56427</v>
      </c>
    </row>
    <row r="6014" spans="1:21" x14ac:dyDescent="0.25">
      <c r="A6014" s="213" t="s">
        <v>327</v>
      </c>
      <c r="D6014" s="213" t="s">
        <v>50039</v>
      </c>
      <c r="E6014" s="213" t="s">
        <v>50040</v>
      </c>
      <c r="K6014" s="213" t="s">
        <v>56356</v>
      </c>
      <c r="L6014" s="213" t="s">
        <v>56380</v>
      </c>
      <c r="M6014" s="213" t="s">
        <v>56404</v>
      </c>
      <c r="N6014" s="213" t="s">
        <v>50041</v>
      </c>
      <c r="O6014" s="213" t="s">
        <v>50042</v>
      </c>
      <c r="P6014" s="213" t="s">
        <v>50043</v>
      </c>
      <c r="Q6014" s="213" t="s">
        <v>50044</v>
      </c>
      <c r="R6014" s="213" t="s">
        <v>50045</v>
      </c>
      <c r="S6014" s="213" t="s">
        <v>50046</v>
      </c>
      <c r="T6014" s="213" t="s">
        <v>50047</v>
      </c>
      <c r="U6014" s="213" t="s">
        <v>56428</v>
      </c>
    </row>
    <row r="6015" spans="1:21" x14ac:dyDescent="0.25">
      <c r="A6015" s="213" t="s">
        <v>327</v>
      </c>
      <c r="D6015" s="213" t="s">
        <v>50048</v>
      </c>
      <c r="E6015" s="213" t="s">
        <v>50049</v>
      </c>
      <c r="K6015" s="213" t="s">
        <v>56357</v>
      </c>
      <c r="L6015" s="213" t="s">
        <v>56381</v>
      </c>
      <c r="M6015" s="213" t="s">
        <v>56405</v>
      </c>
      <c r="N6015" s="213" t="s">
        <v>50050</v>
      </c>
      <c r="O6015" s="213" t="s">
        <v>50051</v>
      </c>
      <c r="P6015" s="213" t="s">
        <v>50052</v>
      </c>
      <c r="Q6015" s="213" t="s">
        <v>50053</v>
      </c>
      <c r="R6015" s="213" t="s">
        <v>50054</v>
      </c>
      <c r="S6015" s="213" t="s">
        <v>50055</v>
      </c>
      <c r="T6015" s="213" t="s">
        <v>50056</v>
      </c>
      <c r="U6015" s="213" t="s">
        <v>56429</v>
      </c>
    </row>
    <row r="6016" spans="1:21" x14ac:dyDescent="0.25">
      <c r="A6016" s="213" t="s">
        <v>327</v>
      </c>
      <c r="D6016" s="213" t="s">
        <v>50057</v>
      </c>
      <c r="E6016" s="213" t="s">
        <v>50058</v>
      </c>
      <c r="K6016" s="213" t="s">
        <v>56358</v>
      </c>
      <c r="L6016" s="213" t="s">
        <v>56382</v>
      </c>
      <c r="M6016" s="213" t="s">
        <v>56406</v>
      </c>
      <c r="N6016" s="213" t="s">
        <v>50059</v>
      </c>
      <c r="O6016" s="213" t="s">
        <v>50060</v>
      </c>
      <c r="P6016" s="213" t="s">
        <v>50061</v>
      </c>
      <c r="Q6016" s="213" t="s">
        <v>50062</v>
      </c>
      <c r="R6016" s="213" t="s">
        <v>50063</v>
      </c>
      <c r="S6016" s="213" t="s">
        <v>50064</v>
      </c>
      <c r="T6016" s="213" t="s">
        <v>50065</v>
      </c>
      <c r="U6016" s="213" t="s">
        <v>56430</v>
      </c>
    </row>
    <row r="6017" spans="1:21" x14ac:dyDescent="0.25">
      <c r="A6017" s="213" t="s">
        <v>327</v>
      </c>
      <c r="D6017" s="213" t="s">
        <v>50066</v>
      </c>
      <c r="E6017" s="213" t="s">
        <v>50067</v>
      </c>
      <c r="K6017" s="213" t="s">
        <v>56359</v>
      </c>
      <c r="L6017" s="213" t="s">
        <v>56383</v>
      </c>
      <c r="M6017" s="213" t="s">
        <v>56407</v>
      </c>
      <c r="N6017" s="213" t="s">
        <v>50068</v>
      </c>
      <c r="O6017" s="213" t="s">
        <v>50069</v>
      </c>
      <c r="P6017" s="213" t="s">
        <v>50070</v>
      </c>
      <c r="Q6017" s="213" t="s">
        <v>50071</v>
      </c>
      <c r="R6017" s="213" t="s">
        <v>50072</v>
      </c>
      <c r="S6017" s="213" t="s">
        <v>50073</v>
      </c>
      <c r="T6017" s="213" t="s">
        <v>50074</v>
      </c>
      <c r="U6017" s="213" t="s">
        <v>56431</v>
      </c>
    </row>
    <row r="6018" spans="1:21" x14ac:dyDescent="0.25">
      <c r="A6018" s="213" t="s">
        <v>327</v>
      </c>
      <c r="D6018" s="213" t="s">
        <v>50075</v>
      </c>
      <c r="E6018" s="213" t="s">
        <v>50076</v>
      </c>
      <c r="K6018" s="213" t="s">
        <v>56360</v>
      </c>
      <c r="L6018" s="213" t="s">
        <v>56384</v>
      </c>
      <c r="M6018" s="213" t="s">
        <v>56408</v>
      </c>
      <c r="N6018" s="213" t="s">
        <v>50077</v>
      </c>
      <c r="O6018" s="213" t="s">
        <v>50078</v>
      </c>
      <c r="P6018" s="213" t="s">
        <v>50079</v>
      </c>
      <c r="Q6018" s="213" t="s">
        <v>50080</v>
      </c>
      <c r="R6018" s="213" t="s">
        <v>50081</v>
      </c>
      <c r="S6018" s="213" t="s">
        <v>50082</v>
      </c>
      <c r="T6018" s="213" t="s">
        <v>50083</v>
      </c>
      <c r="U6018" s="213" t="s">
        <v>56432</v>
      </c>
    </row>
    <row r="6019" spans="1:21" x14ac:dyDescent="0.25">
      <c r="A6019" s="213" t="s">
        <v>327</v>
      </c>
      <c r="D6019" s="213" t="s">
        <v>50084</v>
      </c>
      <c r="E6019" s="213" t="s">
        <v>50085</v>
      </c>
      <c r="K6019" s="213" t="s">
        <v>56361</v>
      </c>
      <c r="L6019" s="213" t="s">
        <v>56385</v>
      </c>
      <c r="M6019" s="213" t="s">
        <v>56409</v>
      </c>
      <c r="N6019" s="213" t="s">
        <v>50086</v>
      </c>
      <c r="O6019" s="213" t="s">
        <v>50087</v>
      </c>
      <c r="P6019" s="213" t="s">
        <v>50088</v>
      </c>
      <c r="Q6019" s="213" t="s">
        <v>50089</v>
      </c>
      <c r="R6019" s="213" t="s">
        <v>50090</v>
      </c>
      <c r="S6019" s="213" t="s">
        <v>50091</v>
      </c>
      <c r="T6019" s="213" t="s">
        <v>50092</v>
      </c>
      <c r="U6019" s="213" t="s">
        <v>56433</v>
      </c>
    </row>
    <row r="6020" spans="1:21" x14ac:dyDescent="0.25">
      <c r="A6020" s="213" t="s">
        <v>327</v>
      </c>
      <c r="D6020" s="213" t="s">
        <v>50093</v>
      </c>
      <c r="E6020" s="213" t="s">
        <v>50094</v>
      </c>
      <c r="K6020" s="213" t="s">
        <v>56362</v>
      </c>
      <c r="L6020" s="213" t="s">
        <v>56386</v>
      </c>
      <c r="M6020" s="213" t="s">
        <v>56410</v>
      </c>
      <c r="N6020" s="213" t="s">
        <v>50095</v>
      </c>
      <c r="O6020" s="213" t="s">
        <v>50096</v>
      </c>
      <c r="P6020" s="213" t="s">
        <v>50097</v>
      </c>
      <c r="Q6020" s="213" t="s">
        <v>50098</v>
      </c>
      <c r="R6020" s="213" t="s">
        <v>50099</v>
      </c>
      <c r="S6020" s="213" t="s">
        <v>50100</v>
      </c>
      <c r="T6020" s="213" t="s">
        <v>50101</v>
      </c>
      <c r="U6020" s="213" t="s">
        <v>56434</v>
      </c>
    </row>
    <row r="6021" spans="1:21" x14ac:dyDescent="0.25">
      <c r="A6021" s="213" t="s">
        <v>327</v>
      </c>
      <c r="D6021" s="213" t="s">
        <v>50102</v>
      </c>
      <c r="E6021" s="213" t="s">
        <v>50103</v>
      </c>
      <c r="K6021" s="213" t="s">
        <v>56363</v>
      </c>
      <c r="L6021" s="213" t="s">
        <v>56387</v>
      </c>
      <c r="M6021" s="213" t="s">
        <v>56411</v>
      </c>
      <c r="N6021" s="213" t="s">
        <v>50104</v>
      </c>
      <c r="O6021" s="213" t="s">
        <v>50105</v>
      </c>
      <c r="P6021" s="213" t="s">
        <v>50106</v>
      </c>
      <c r="Q6021" s="213" t="s">
        <v>50107</v>
      </c>
      <c r="R6021" s="213" t="s">
        <v>50108</v>
      </c>
      <c r="S6021" s="213" t="s">
        <v>50109</v>
      </c>
      <c r="T6021" s="213" t="s">
        <v>50110</v>
      </c>
      <c r="U6021" s="213" t="s">
        <v>56435</v>
      </c>
    </row>
    <row r="6022" spans="1:21" x14ac:dyDescent="0.25">
      <c r="A6022" s="213" t="s">
        <v>327</v>
      </c>
      <c r="D6022" s="213" t="s">
        <v>50111</v>
      </c>
      <c r="E6022" s="213" t="s">
        <v>50112</v>
      </c>
      <c r="K6022" s="213" t="s">
        <v>56364</v>
      </c>
      <c r="L6022" s="213" t="s">
        <v>56388</v>
      </c>
      <c r="M6022" s="213" t="s">
        <v>56412</v>
      </c>
      <c r="N6022" s="213" t="s">
        <v>50113</v>
      </c>
      <c r="O6022" s="213" t="s">
        <v>50114</v>
      </c>
      <c r="P6022" s="213" t="s">
        <v>50115</v>
      </c>
      <c r="Q6022" s="213" t="s">
        <v>50116</v>
      </c>
      <c r="R6022" s="213" t="s">
        <v>50117</v>
      </c>
      <c r="S6022" s="213" t="s">
        <v>50118</v>
      </c>
      <c r="T6022" s="213" t="s">
        <v>50119</v>
      </c>
      <c r="U6022" s="213" t="s">
        <v>56436</v>
      </c>
    </row>
    <row r="6023" spans="1:21" x14ac:dyDescent="0.25">
      <c r="A6023" s="213" t="s">
        <v>327</v>
      </c>
      <c r="D6023" s="213" t="s">
        <v>50120</v>
      </c>
      <c r="E6023" s="213" t="s">
        <v>50121</v>
      </c>
      <c r="K6023" s="213" t="s">
        <v>56365</v>
      </c>
      <c r="L6023" s="213" t="s">
        <v>56389</v>
      </c>
      <c r="M6023" s="213" t="s">
        <v>56413</v>
      </c>
      <c r="N6023" s="213" t="s">
        <v>50122</v>
      </c>
      <c r="O6023" s="213" t="s">
        <v>50123</v>
      </c>
      <c r="P6023" s="213" t="s">
        <v>50124</v>
      </c>
      <c r="Q6023" s="213" t="s">
        <v>50125</v>
      </c>
      <c r="R6023" s="213" t="s">
        <v>50126</v>
      </c>
      <c r="S6023" s="213" t="s">
        <v>50127</v>
      </c>
      <c r="T6023" s="213" t="s">
        <v>50128</v>
      </c>
      <c r="U6023" s="213" t="s">
        <v>56437</v>
      </c>
    </row>
    <row r="6024" spans="1:21" x14ac:dyDescent="0.25">
      <c r="A6024" s="213" t="s">
        <v>327</v>
      </c>
      <c r="D6024" s="213" t="s">
        <v>50129</v>
      </c>
      <c r="E6024" s="213" t="s">
        <v>50130</v>
      </c>
      <c r="K6024" s="213" t="s">
        <v>56366</v>
      </c>
      <c r="L6024" s="213" t="s">
        <v>56390</v>
      </c>
      <c r="M6024" s="213" t="s">
        <v>56414</v>
      </c>
      <c r="N6024" s="213" t="s">
        <v>50131</v>
      </c>
      <c r="O6024" s="213" t="s">
        <v>50132</v>
      </c>
      <c r="P6024" s="213" t="s">
        <v>50133</v>
      </c>
      <c r="Q6024" s="213" t="s">
        <v>50134</v>
      </c>
      <c r="R6024" s="213" t="s">
        <v>50135</v>
      </c>
      <c r="S6024" s="213" t="s">
        <v>50136</v>
      </c>
      <c r="T6024" s="213" t="s">
        <v>50137</v>
      </c>
      <c r="U6024" s="213" t="s">
        <v>56438</v>
      </c>
    </row>
    <row r="6025" spans="1:21" x14ac:dyDescent="0.25">
      <c r="A6025" s="213" t="s">
        <v>327</v>
      </c>
      <c r="D6025" s="213" t="s">
        <v>50138</v>
      </c>
      <c r="E6025" s="213" t="s">
        <v>50139</v>
      </c>
      <c r="K6025" s="213" t="s">
        <v>56367</v>
      </c>
      <c r="L6025" s="213" t="s">
        <v>56391</v>
      </c>
      <c r="M6025" s="213" t="s">
        <v>56415</v>
      </c>
      <c r="N6025" s="213" t="s">
        <v>50140</v>
      </c>
      <c r="O6025" s="213" t="s">
        <v>50141</v>
      </c>
      <c r="P6025" s="213" t="s">
        <v>50142</v>
      </c>
      <c r="Q6025" s="213" t="s">
        <v>50143</v>
      </c>
      <c r="R6025" s="213" t="s">
        <v>50144</v>
      </c>
      <c r="S6025" s="213" t="s">
        <v>50145</v>
      </c>
      <c r="T6025" s="213" t="s">
        <v>50146</v>
      </c>
      <c r="U6025" s="213" t="s">
        <v>56439</v>
      </c>
    </row>
    <row r="6026" spans="1:21" x14ac:dyDescent="0.25">
      <c r="A6026" s="213" t="s">
        <v>327</v>
      </c>
      <c r="D6026" s="213" t="s">
        <v>50147</v>
      </c>
      <c r="E6026" s="213" t="s">
        <v>50148</v>
      </c>
      <c r="K6026" s="213" t="s">
        <v>56368</v>
      </c>
      <c r="L6026" s="213" t="s">
        <v>56392</v>
      </c>
      <c r="M6026" s="213" t="s">
        <v>56416</v>
      </c>
      <c r="N6026" s="213" t="s">
        <v>50149</v>
      </c>
      <c r="O6026" s="213" t="s">
        <v>50150</v>
      </c>
      <c r="P6026" s="213" t="s">
        <v>50151</v>
      </c>
      <c r="Q6026" s="213" t="s">
        <v>50152</v>
      </c>
      <c r="R6026" s="213" t="s">
        <v>50153</v>
      </c>
      <c r="S6026" s="213" t="s">
        <v>50154</v>
      </c>
      <c r="T6026" s="213" t="s">
        <v>50155</v>
      </c>
      <c r="U6026" s="213" t="s">
        <v>56440</v>
      </c>
    </row>
    <row r="6027" spans="1:21" x14ac:dyDescent="0.25">
      <c r="A6027" s="213" t="s">
        <v>327</v>
      </c>
      <c r="D6027" s="213" t="s">
        <v>50156</v>
      </c>
      <c r="E6027" s="213" t="s">
        <v>50157</v>
      </c>
      <c r="K6027" s="213" t="s">
        <v>56369</v>
      </c>
      <c r="L6027" s="213" t="s">
        <v>56393</v>
      </c>
      <c r="M6027" s="213" t="s">
        <v>56417</v>
      </c>
      <c r="N6027" s="213" t="s">
        <v>50158</v>
      </c>
      <c r="O6027" s="213" t="s">
        <v>50159</v>
      </c>
      <c r="P6027" s="213" t="s">
        <v>50160</v>
      </c>
      <c r="Q6027" s="213" t="s">
        <v>50161</v>
      </c>
      <c r="R6027" s="213" t="s">
        <v>50162</v>
      </c>
      <c r="S6027" s="213" t="s">
        <v>50163</v>
      </c>
      <c r="T6027" s="213" t="s">
        <v>50164</v>
      </c>
      <c r="U6027" s="213" t="s">
        <v>56441</v>
      </c>
    </row>
    <row r="6028" spans="1:21" x14ac:dyDescent="0.25">
      <c r="A6028" s="213" t="s">
        <v>327</v>
      </c>
      <c r="D6028" s="213" t="s">
        <v>50165</v>
      </c>
      <c r="E6028" s="213" t="s">
        <v>50166</v>
      </c>
      <c r="K6028" s="213" t="s">
        <v>56370</v>
      </c>
      <c r="L6028" s="213" t="s">
        <v>56394</v>
      </c>
      <c r="M6028" s="213" t="s">
        <v>56418</v>
      </c>
      <c r="N6028" s="213" t="s">
        <v>50167</v>
      </c>
      <c r="O6028" s="213" t="s">
        <v>50168</v>
      </c>
      <c r="P6028" s="213" t="s">
        <v>50169</v>
      </c>
      <c r="Q6028" s="213" t="s">
        <v>50170</v>
      </c>
      <c r="R6028" s="213" t="s">
        <v>50171</v>
      </c>
      <c r="S6028" s="213" t="s">
        <v>50172</v>
      </c>
      <c r="T6028" s="213" t="s">
        <v>50173</v>
      </c>
      <c r="U6028" s="213" t="s">
        <v>56442</v>
      </c>
    </row>
    <row r="6029" spans="1:21" x14ac:dyDescent="0.25">
      <c r="A6029" s="213" t="s">
        <v>327</v>
      </c>
      <c r="D6029" s="213" t="s">
        <v>50174</v>
      </c>
      <c r="E6029" s="213" t="s">
        <v>50175</v>
      </c>
      <c r="K6029" s="213" t="s">
        <v>56371</v>
      </c>
      <c r="L6029" s="213" t="s">
        <v>56395</v>
      </c>
      <c r="M6029" s="213" t="s">
        <v>56419</v>
      </c>
      <c r="N6029" s="213" t="s">
        <v>50176</v>
      </c>
      <c r="O6029" s="213" t="s">
        <v>50177</v>
      </c>
      <c r="P6029" s="213" t="s">
        <v>50178</v>
      </c>
      <c r="Q6029" s="213" t="s">
        <v>50179</v>
      </c>
      <c r="R6029" s="213" t="s">
        <v>50180</v>
      </c>
      <c r="S6029" s="213" t="s">
        <v>50181</v>
      </c>
      <c r="T6029" s="213" t="s">
        <v>50182</v>
      </c>
      <c r="U6029" s="213" t="s">
        <v>56443</v>
      </c>
    </row>
    <row r="6030" spans="1:21" x14ac:dyDescent="0.25">
      <c r="A6030" s="213" t="s">
        <v>327</v>
      </c>
      <c r="D6030" s="213" t="s">
        <v>50183</v>
      </c>
      <c r="E6030" s="213" t="s">
        <v>50184</v>
      </c>
      <c r="K6030" s="213" t="s">
        <v>56372</v>
      </c>
      <c r="L6030" s="213" t="s">
        <v>56396</v>
      </c>
      <c r="M6030" s="213" t="s">
        <v>56420</v>
      </c>
      <c r="N6030" s="213" t="s">
        <v>50185</v>
      </c>
      <c r="O6030" s="213" t="s">
        <v>50186</v>
      </c>
      <c r="P6030" s="213" t="s">
        <v>50187</v>
      </c>
      <c r="Q6030" s="213" t="s">
        <v>50188</v>
      </c>
      <c r="R6030" s="213" t="s">
        <v>50189</v>
      </c>
      <c r="S6030" s="213" t="s">
        <v>50190</v>
      </c>
      <c r="T6030" s="213" t="s">
        <v>50191</v>
      </c>
      <c r="U6030" s="213" t="s">
        <v>56444</v>
      </c>
    </row>
    <row r="6031" spans="1:21" x14ac:dyDescent="0.25">
      <c r="A6031" s="213" t="s">
        <v>327</v>
      </c>
      <c r="D6031" s="213" t="s">
        <v>50192</v>
      </c>
      <c r="E6031" s="213" t="s">
        <v>50193</v>
      </c>
      <c r="K6031" s="213" t="s">
        <v>56373</v>
      </c>
      <c r="L6031" s="213" t="s">
        <v>56397</v>
      </c>
      <c r="M6031" s="213" t="s">
        <v>56421</v>
      </c>
      <c r="N6031" s="213" t="s">
        <v>50194</v>
      </c>
      <c r="O6031" s="213" t="s">
        <v>50195</v>
      </c>
      <c r="P6031" s="213" t="s">
        <v>50196</v>
      </c>
      <c r="Q6031" s="213" t="s">
        <v>50197</v>
      </c>
      <c r="R6031" s="213" t="s">
        <v>50198</v>
      </c>
      <c r="S6031" s="213" t="s">
        <v>50199</v>
      </c>
      <c r="T6031" s="213" t="s">
        <v>50200</v>
      </c>
      <c r="U6031" s="213" t="s">
        <v>56445</v>
      </c>
    </row>
    <row r="6032" spans="1:21" x14ac:dyDescent="0.25">
      <c r="A6032" s="213" t="s">
        <v>327</v>
      </c>
      <c r="D6032" s="213" t="s">
        <v>50201</v>
      </c>
      <c r="E6032" s="213" t="s">
        <v>50202</v>
      </c>
      <c r="K6032" s="213" t="s">
        <v>56374</v>
      </c>
      <c r="L6032" s="213" t="s">
        <v>56398</v>
      </c>
      <c r="M6032" s="213" t="s">
        <v>56422</v>
      </c>
      <c r="N6032" s="213" t="s">
        <v>50203</v>
      </c>
      <c r="O6032" s="213" t="s">
        <v>50204</v>
      </c>
      <c r="P6032" s="213" t="s">
        <v>50205</v>
      </c>
      <c r="Q6032" s="213" t="s">
        <v>50206</v>
      </c>
      <c r="R6032" s="213" t="s">
        <v>50207</v>
      </c>
      <c r="S6032" s="213" t="s">
        <v>50208</v>
      </c>
      <c r="T6032" s="213" t="s">
        <v>50209</v>
      </c>
      <c r="U6032" s="213" t="s">
        <v>56446</v>
      </c>
    </row>
    <row r="6033" spans="1:21" x14ac:dyDescent="0.25">
      <c r="A6033" s="213" t="s">
        <v>327</v>
      </c>
      <c r="D6033" s="213" t="s">
        <v>50210</v>
      </c>
      <c r="E6033" s="213" t="s">
        <v>50211</v>
      </c>
      <c r="K6033" s="213" t="s">
        <v>56375</v>
      </c>
      <c r="L6033" s="213" t="s">
        <v>56399</v>
      </c>
      <c r="M6033" s="213" t="s">
        <v>56423</v>
      </c>
      <c r="N6033" s="213" t="s">
        <v>50212</v>
      </c>
      <c r="O6033" s="213" t="s">
        <v>50213</v>
      </c>
      <c r="P6033" s="213" t="s">
        <v>50214</v>
      </c>
      <c r="Q6033" s="213" t="s">
        <v>50215</v>
      </c>
      <c r="R6033" s="213" t="s">
        <v>50216</v>
      </c>
      <c r="S6033" s="213" t="s">
        <v>50217</v>
      </c>
      <c r="T6033" s="213" t="s">
        <v>50218</v>
      </c>
      <c r="U6033" s="213" t="s">
        <v>56447</v>
      </c>
    </row>
    <row r="6034" spans="1:21" x14ac:dyDescent="0.25">
      <c r="A6034" s="213" t="s">
        <v>327</v>
      </c>
      <c r="D6034" s="213" t="s">
        <v>50219</v>
      </c>
      <c r="E6034" s="213" t="s">
        <v>50220</v>
      </c>
      <c r="K6034" s="213" t="s">
        <v>56376</v>
      </c>
      <c r="L6034" s="213" t="s">
        <v>56400</v>
      </c>
      <c r="M6034" s="213" t="s">
        <v>56424</v>
      </c>
      <c r="N6034" s="213" t="s">
        <v>50221</v>
      </c>
      <c r="O6034" s="213" t="s">
        <v>50222</v>
      </c>
      <c r="P6034" s="213" t="s">
        <v>50223</v>
      </c>
      <c r="Q6034" s="213" t="s">
        <v>50224</v>
      </c>
      <c r="R6034" s="213" t="s">
        <v>50225</v>
      </c>
      <c r="S6034" s="213" t="s">
        <v>50226</v>
      </c>
      <c r="T6034" s="213" t="s">
        <v>50227</v>
      </c>
      <c r="U6034" s="213" t="s">
        <v>56448</v>
      </c>
    </row>
    <row r="6035" spans="1:21" x14ac:dyDescent="0.25">
      <c r="A6035" s="213" t="s">
        <v>327</v>
      </c>
      <c r="D6035" s="213" t="s">
        <v>50228</v>
      </c>
      <c r="E6035" s="213" t="s">
        <v>50229</v>
      </c>
      <c r="K6035" s="213" t="s">
        <v>56377</v>
      </c>
      <c r="L6035" s="213" t="s">
        <v>56401</v>
      </c>
      <c r="M6035" s="213" t="s">
        <v>56425</v>
      </c>
      <c r="N6035" s="213" t="s">
        <v>50230</v>
      </c>
      <c r="O6035" s="213" t="s">
        <v>50231</v>
      </c>
      <c r="P6035" s="213" t="s">
        <v>50232</v>
      </c>
      <c r="Q6035" s="213" t="s">
        <v>50233</v>
      </c>
      <c r="R6035" s="213" t="s">
        <v>50234</v>
      </c>
      <c r="S6035" s="213" t="s">
        <v>50235</v>
      </c>
      <c r="T6035" s="213" t="s">
        <v>50236</v>
      </c>
      <c r="U6035" s="213" t="s">
        <v>56449</v>
      </c>
    </row>
    <row r="6036" spans="1:21" x14ac:dyDescent="0.25">
      <c r="A6036" s="213" t="s">
        <v>327</v>
      </c>
    </row>
    <row r="6037" spans="1:21" x14ac:dyDescent="0.25">
      <c r="A6037" s="213" t="s">
        <v>327</v>
      </c>
    </row>
    <row r="6038" spans="1:21" x14ac:dyDescent="0.25">
      <c r="A6038" s="213" t="s">
        <v>327</v>
      </c>
      <c r="C6038" s="213" t="s">
        <v>50237</v>
      </c>
      <c r="E6038" s="213" t="s">
        <v>50238</v>
      </c>
      <c r="H6038" s="213" t="s">
        <v>50239</v>
      </c>
      <c r="I6038" s="213" t="s">
        <v>50240</v>
      </c>
      <c r="J6038" s="213" t="s">
        <v>50241</v>
      </c>
      <c r="L6038" s="213" t="s">
        <v>50242</v>
      </c>
      <c r="O6038" s="213" t="s">
        <v>50243</v>
      </c>
      <c r="P6038" s="213" t="s">
        <v>50244</v>
      </c>
      <c r="Q6038" s="213" t="s">
        <v>50245</v>
      </c>
      <c r="R6038" s="213" t="s">
        <v>50246</v>
      </c>
      <c r="S6038" s="213" t="s">
        <v>50247</v>
      </c>
      <c r="T6038" s="213" t="s">
        <v>50248</v>
      </c>
    </row>
    <row r="6039" spans="1:21" x14ac:dyDescent="0.25">
      <c r="A6039" s="213" t="s">
        <v>327</v>
      </c>
      <c r="C6039" s="213" t="s">
        <v>50249</v>
      </c>
      <c r="E6039" s="213" t="s">
        <v>50250</v>
      </c>
      <c r="I6039" s="213" t="s">
        <v>50251</v>
      </c>
    </row>
    <row r="6040" spans="1:21" x14ac:dyDescent="0.25">
      <c r="A6040" s="213" t="s">
        <v>327</v>
      </c>
      <c r="C6040" s="213" t="s">
        <v>50252</v>
      </c>
      <c r="E6040" s="213" t="s">
        <v>50253</v>
      </c>
      <c r="I6040" s="213" t="s">
        <v>50254</v>
      </c>
    </row>
    <row r="6041" spans="1:21" x14ac:dyDescent="0.25">
      <c r="A6041" s="213" t="s">
        <v>328</v>
      </c>
    </row>
    <row r="6042" spans="1:21" x14ac:dyDescent="0.25">
      <c r="A6042" s="213" t="s">
        <v>327</v>
      </c>
      <c r="D6042" s="213" t="s">
        <v>50255</v>
      </c>
      <c r="E6042" s="213" t="s">
        <v>50256</v>
      </c>
      <c r="K6042" s="213" t="s">
        <v>56266</v>
      </c>
      <c r="L6042" s="213" t="s">
        <v>56288</v>
      </c>
      <c r="M6042" s="213" t="s">
        <v>56310</v>
      </c>
      <c r="N6042" s="213" t="s">
        <v>50257</v>
      </c>
      <c r="O6042" s="213" t="s">
        <v>50258</v>
      </c>
      <c r="P6042" s="213" t="s">
        <v>50259</v>
      </c>
      <c r="Q6042" s="213" t="s">
        <v>50260</v>
      </c>
      <c r="R6042" s="213" t="s">
        <v>50261</v>
      </c>
      <c r="S6042" s="213" t="s">
        <v>50262</v>
      </c>
      <c r="T6042" s="213" t="s">
        <v>50263</v>
      </c>
      <c r="U6042" s="213" t="s">
        <v>56332</v>
      </c>
    </row>
    <row r="6043" spans="1:21" x14ac:dyDescent="0.25">
      <c r="A6043" s="213" t="s">
        <v>327</v>
      </c>
      <c r="D6043" s="213" t="s">
        <v>50264</v>
      </c>
      <c r="E6043" s="213" t="s">
        <v>50265</v>
      </c>
      <c r="K6043" s="213" t="s">
        <v>56267</v>
      </c>
      <c r="L6043" s="213" t="s">
        <v>56289</v>
      </c>
      <c r="M6043" s="213" t="s">
        <v>56311</v>
      </c>
      <c r="N6043" s="213" t="s">
        <v>50266</v>
      </c>
      <c r="O6043" s="213" t="s">
        <v>50267</v>
      </c>
      <c r="P6043" s="213" t="s">
        <v>50268</v>
      </c>
      <c r="Q6043" s="213" t="s">
        <v>50269</v>
      </c>
      <c r="R6043" s="213" t="s">
        <v>50270</v>
      </c>
      <c r="S6043" s="213" t="s">
        <v>50271</v>
      </c>
      <c r="T6043" s="213" t="s">
        <v>50272</v>
      </c>
      <c r="U6043" s="213" t="s">
        <v>56333</v>
      </c>
    </row>
    <row r="6044" spans="1:21" x14ac:dyDescent="0.25">
      <c r="A6044" s="213" t="s">
        <v>327</v>
      </c>
      <c r="D6044" s="213" t="s">
        <v>50273</v>
      </c>
      <c r="E6044" s="213" t="s">
        <v>50274</v>
      </c>
      <c r="K6044" s="213" t="s">
        <v>56268</v>
      </c>
      <c r="L6044" s="213" t="s">
        <v>56290</v>
      </c>
      <c r="M6044" s="213" t="s">
        <v>56312</v>
      </c>
      <c r="N6044" s="213" t="s">
        <v>50275</v>
      </c>
      <c r="O6044" s="213" t="s">
        <v>50276</v>
      </c>
      <c r="P6044" s="213" t="s">
        <v>50277</v>
      </c>
      <c r="Q6044" s="213" t="s">
        <v>50278</v>
      </c>
      <c r="R6044" s="213" t="s">
        <v>50279</v>
      </c>
      <c r="S6044" s="213" t="s">
        <v>50280</v>
      </c>
      <c r="T6044" s="213" t="s">
        <v>50281</v>
      </c>
      <c r="U6044" s="213" t="s">
        <v>56334</v>
      </c>
    </row>
    <row r="6045" spans="1:21" x14ac:dyDescent="0.25">
      <c r="A6045" s="213" t="s">
        <v>327</v>
      </c>
      <c r="D6045" s="213" t="s">
        <v>50282</v>
      </c>
      <c r="E6045" s="213" t="s">
        <v>50283</v>
      </c>
      <c r="K6045" s="213" t="s">
        <v>56269</v>
      </c>
      <c r="L6045" s="213" t="s">
        <v>56291</v>
      </c>
      <c r="M6045" s="213" t="s">
        <v>56313</v>
      </c>
      <c r="N6045" s="213" t="s">
        <v>50284</v>
      </c>
      <c r="O6045" s="213" t="s">
        <v>50285</v>
      </c>
      <c r="P6045" s="213" t="s">
        <v>50286</v>
      </c>
      <c r="Q6045" s="213" t="s">
        <v>50287</v>
      </c>
      <c r="R6045" s="213" t="s">
        <v>50288</v>
      </c>
      <c r="S6045" s="213" t="s">
        <v>50289</v>
      </c>
      <c r="T6045" s="213" t="s">
        <v>50290</v>
      </c>
      <c r="U6045" s="213" t="s">
        <v>56335</v>
      </c>
    </row>
    <row r="6046" spans="1:21" x14ac:dyDescent="0.25">
      <c r="A6046" s="213" t="s">
        <v>327</v>
      </c>
      <c r="D6046" s="213" t="s">
        <v>50291</v>
      </c>
      <c r="E6046" s="213" t="s">
        <v>50292</v>
      </c>
      <c r="K6046" s="213" t="s">
        <v>56270</v>
      </c>
      <c r="L6046" s="213" t="s">
        <v>56292</v>
      </c>
      <c r="M6046" s="213" t="s">
        <v>56314</v>
      </c>
      <c r="N6046" s="213" t="s">
        <v>50293</v>
      </c>
      <c r="O6046" s="213" t="s">
        <v>50294</v>
      </c>
      <c r="P6046" s="213" t="s">
        <v>50295</v>
      </c>
      <c r="Q6046" s="213" t="s">
        <v>50296</v>
      </c>
      <c r="R6046" s="213" t="s">
        <v>50297</v>
      </c>
      <c r="S6046" s="213" t="s">
        <v>50298</v>
      </c>
      <c r="T6046" s="213" t="s">
        <v>50299</v>
      </c>
      <c r="U6046" s="213" t="s">
        <v>56336</v>
      </c>
    </row>
    <row r="6047" spans="1:21" x14ac:dyDescent="0.25">
      <c r="A6047" s="213" t="s">
        <v>327</v>
      </c>
      <c r="D6047" s="213" t="s">
        <v>50300</v>
      </c>
      <c r="E6047" s="213" t="s">
        <v>50301</v>
      </c>
      <c r="K6047" s="213" t="s">
        <v>56271</v>
      </c>
      <c r="L6047" s="213" t="s">
        <v>56293</v>
      </c>
      <c r="M6047" s="213" t="s">
        <v>56315</v>
      </c>
      <c r="N6047" s="213" t="s">
        <v>50302</v>
      </c>
      <c r="O6047" s="213" t="s">
        <v>50303</v>
      </c>
      <c r="P6047" s="213" t="s">
        <v>50304</v>
      </c>
      <c r="Q6047" s="213" t="s">
        <v>50305</v>
      </c>
      <c r="R6047" s="213" t="s">
        <v>50306</v>
      </c>
      <c r="S6047" s="213" t="s">
        <v>50307</v>
      </c>
      <c r="T6047" s="213" t="s">
        <v>50308</v>
      </c>
      <c r="U6047" s="213" t="s">
        <v>56337</v>
      </c>
    </row>
    <row r="6048" spans="1:21" x14ac:dyDescent="0.25">
      <c r="A6048" s="213" t="s">
        <v>327</v>
      </c>
      <c r="D6048" s="213" t="s">
        <v>50309</v>
      </c>
      <c r="E6048" s="213" t="s">
        <v>50310</v>
      </c>
      <c r="K6048" s="213" t="s">
        <v>56272</v>
      </c>
      <c r="L6048" s="213" t="s">
        <v>56294</v>
      </c>
      <c r="M6048" s="213" t="s">
        <v>56316</v>
      </c>
      <c r="N6048" s="213" t="s">
        <v>50311</v>
      </c>
      <c r="O6048" s="213" t="s">
        <v>50312</v>
      </c>
      <c r="P6048" s="213" t="s">
        <v>50313</v>
      </c>
      <c r="Q6048" s="213" t="s">
        <v>50314</v>
      </c>
      <c r="R6048" s="213" t="s">
        <v>50315</v>
      </c>
      <c r="S6048" s="213" t="s">
        <v>50316</v>
      </c>
      <c r="T6048" s="213" t="s">
        <v>50317</v>
      </c>
      <c r="U6048" s="213" t="s">
        <v>56338</v>
      </c>
    </row>
    <row r="6049" spans="1:21" x14ac:dyDescent="0.25">
      <c r="A6049" s="213" t="s">
        <v>327</v>
      </c>
      <c r="D6049" s="213" t="s">
        <v>50318</v>
      </c>
      <c r="E6049" s="213" t="s">
        <v>50319</v>
      </c>
      <c r="K6049" s="213" t="s">
        <v>56273</v>
      </c>
      <c r="L6049" s="213" t="s">
        <v>56295</v>
      </c>
      <c r="M6049" s="213" t="s">
        <v>56317</v>
      </c>
      <c r="N6049" s="213" t="s">
        <v>50320</v>
      </c>
      <c r="O6049" s="213" t="s">
        <v>50321</v>
      </c>
      <c r="P6049" s="213" t="s">
        <v>50322</v>
      </c>
      <c r="Q6049" s="213" t="s">
        <v>50323</v>
      </c>
      <c r="R6049" s="213" t="s">
        <v>50324</v>
      </c>
      <c r="S6049" s="213" t="s">
        <v>50325</v>
      </c>
      <c r="T6049" s="213" t="s">
        <v>50326</v>
      </c>
      <c r="U6049" s="213" t="s">
        <v>56339</v>
      </c>
    </row>
    <row r="6050" spans="1:21" x14ac:dyDescent="0.25">
      <c r="A6050" s="213" t="s">
        <v>327</v>
      </c>
      <c r="D6050" s="213" t="s">
        <v>50327</v>
      </c>
      <c r="E6050" s="213" t="s">
        <v>50328</v>
      </c>
      <c r="K6050" s="213" t="s">
        <v>56274</v>
      </c>
      <c r="L6050" s="213" t="s">
        <v>56296</v>
      </c>
      <c r="M6050" s="213" t="s">
        <v>56318</v>
      </c>
      <c r="N6050" s="213" t="s">
        <v>50329</v>
      </c>
      <c r="O6050" s="213" t="s">
        <v>50330</v>
      </c>
      <c r="P6050" s="213" t="s">
        <v>50331</v>
      </c>
      <c r="Q6050" s="213" t="s">
        <v>50332</v>
      </c>
      <c r="R6050" s="213" t="s">
        <v>50333</v>
      </c>
      <c r="S6050" s="213" t="s">
        <v>50334</v>
      </c>
      <c r="T6050" s="213" t="s">
        <v>50335</v>
      </c>
      <c r="U6050" s="213" t="s">
        <v>56340</v>
      </c>
    </row>
    <row r="6051" spans="1:21" x14ac:dyDescent="0.25">
      <c r="A6051" s="213" t="s">
        <v>327</v>
      </c>
      <c r="D6051" s="213" t="s">
        <v>50336</v>
      </c>
      <c r="E6051" s="213" t="s">
        <v>50337</v>
      </c>
      <c r="K6051" s="213" t="s">
        <v>56275</v>
      </c>
      <c r="L6051" s="213" t="s">
        <v>56297</v>
      </c>
      <c r="M6051" s="213" t="s">
        <v>56319</v>
      </c>
      <c r="N6051" s="213" t="s">
        <v>50338</v>
      </c>
      <c r="O6051" s="213" t="s">
        <v>50339</v>
      </c>
      <c r="P6051" s="213" t="s">
        <v>50340</v>
      </c>
      <c r="Q6051" s="213" t="s">
        <v>50341</v>
      </c>
      <c r="R6051" s="213" t="s">
        <v>50342</v>
      </c>
      <c r="S6051" s="213" t="s">
        <v>50343</v>
      </c>
      <c r="T6051" s="213" t="s">
        <v>50344</v>
      </c>
      <c r="U6051" s="213" t="s">
        <v>56341</v>
      </c>
    </row>
    <row r="6052" spans="1:21" x14ac:dyDescent="0.25">
      <c r="A6052" s="213" t="s">
        <v>327</v>
      </c>
      <c r="D6052" s="213" t="s">
        <v>50345</v>
      </c>
      <c r="E6052" s="213" t="s">
        <v>50346</v>
      </c>
      <c r="K6052" s="213" t="s">
        <v>56276</v>
      </c>
      <c r="L6052" s="213" t="s">
        <v>56298</v>
      </c>
      <c r="M6052" s="213" t="s">
        <v>56320</v>
      </c>
      <c r="N6052" s="213" t="s">
        <v>50347</v>
      </c>
      <c r="O6052" s="213" t="s">
        <v>50348</v>
      </c>
      <c r="P6052" s="213" t="s">
        <v>50349</v>
      </c>
      <c r="Q6052" s="213" t="s">
        <v>50350</v>
      </c>
      <c r="R6052" s="213" t="s">
        <v>50351</v>
      </c>
      <c r="S6052" s="213" t="s">
        <v>50352</v>
      </c>
      <c r="T6052" s="213" t="s">
        <v>50353</v>
      </c>
      <c r="U6052" s="213" t="s">
        <v>56342</v>
      </c>
    </row>
    <row r="6053" spans="1:21" x14ac:dyDescent="0.25">
      <c r="A6053" s="213" t="s">
        <v>327</v>
      </c>
      <c r="D6053" s="213" t="s">
        <v>50354</v>
      </c>
      <c r="E6053" s="213" t="s">
        <v>50355</v>
      </c>
      <c r="K6053" s="213" t="s">
        <v>56277</v>
      </c>
      <c r="L6053" s="213" t="s">
        <v>56299</v>
      </c>
      <c r="M6053" s="213" t="s">
        <v>56321</v>
      </c>
      <c r="N6053" s="213" t="s">
        <v>50356</v>
      </c>
      <c r="O6053" s="213" t="s">
        <v>50357</v>
      </c>
      <c r="P6053" s="213" t="s">
        <v>50358</v>
      </c>
      <c r="Q6053" s="213" t="s">
        <v>50359</v>
      </c>
      <c r="R6053" s="213" t="s">
        <v>50360</v>
      </c>
      <c r="S6053" s="213" t="s">
        <v>50361</v>
      </c>
      <c r="T6053" s="213" t="s">
        <v>50362</v>
      </c>
      <c r="U6053" s="213" t="s">
        <v>56343</v>
      </c>
    </row>
    <row r="6054" spans="1:21" x14ac:dyDescent="0.25">
      <c r="A6054" s="213" t="s">
        <v>327</v>
      </c>
      <c r="D6054" s="213" t="s">
        <v>50363</v>
      </c>
      <c r="E6054" s="213" t="s">
        <v>50364</v>
      </c>
      <c r="K6054" s="213" t="s">
        <v>56278</v>
      </c>
      <c r="L6054" s="213" t="s">
        <v>56300</v>
      </c>
      <c r="M6054" s="213" t="s">
        <v>56322</v>
      </c>
      <c r="N6054" s="213" t="s">
        <v>50365</v>
      </c>
      <c r="O6054" s="213" t="s">
        <v>50366</v>
      </c>
      <c r="P6054" s="213" t="s">
        <v>50367</v>
      </c>
      <c r="Q6054" s="213" t="s">
        <v>50368</v>
      </c>
      <c r="R6054" s="213" t="s">
        <v>50369</v>
      </c>
      <c r="S6054" s="213" t="s">
        <v>50370</v>
      </c>
      <c r="T6054" s="213" t="s">
        <v>50371</v>
      </c>
      <c r="U6054" s="213" t="s">
        <v>56344</v>
      </c>
    </row>
    <row r="6055" spans="1:21" x14ac:dyDescent="0.25">
      <c r="A6055" s="213" t="s">
        <v>327</v>
      </c>
      <c r="D6055" s="213" t="s">
        <v>50372</v>
      </c>
      <c r="E6055" s="213" t="s">
        <v>50373</v>
      </c>
      <c r="K6055" s="213" t="s">
        <v>56279</v>
      </c>
      <c r="L6055" s="213" t="s">
        <v>56301</v>
      </c>
      <c r="M6055" s="213" t="s">
        <v>56323</v>
      </c>
      <c r="N6055" s="213" t="s">
        <v>50374</v>
      </c>
      <c r="O6055" s="213" t="s">
        <v>50375</v>
      </c>
      <c r="P6055" s="213" t="s">
        <v>50376</v>
      </c>
      <c r="Q6055" s="213" t="s">
        <v>50377</v>
      </c>
      <c r="R6055" s="213" t="s">
        <v>50378</v>
      </c>
      <c r="S6055" s="213" t="s">
        <v>50379</v>
      </c>
      <c r="T6055" s="213" t="s">
        <v>50380</v>
      </c>
      <c r="U6055" s="213" t="s">
        <v>56345</v>
      </c>
    </row>
    <row r="6056" spans="1:21" x14ac:dyDescent="0.25">
      <c r="A6056" s="213" t="s">
        <v>327</v>
      </c>
      <c r="D6056" s="213" t="s">
        <v>50381</v>
      </c>
      <c r="E6056" s="213" t="s">
        <v>50382</v>
      </c>
      <c r="K6056" s="213" t="s">
        <v>56280</v>
      </c>
      <c r="L6056" s="213" t="s">
        <v>56302</v>
      </c>
      <c r="M6056" s="213" t="s">
        <v>56324</v>
      </c>
      <c r="N6056" s="213" t="s">
        <v>50383</v>
      </c>
      <c r="O6056" s="213" t="s">
        <v>50384</v>
      </c>
      <c r="P6056" s="213" t="s">
        <v>50385</v>
      </c>
      <c r="Q6056" s="213" t="s">
        <v>50386</v>
      </c>
      <c r="R6056" s="213" t="s">
        <v>50387</v>
      </c>
      <c r="S6056" s="213" t="s">
        <v>50388</v>
      </c>
      <c r="T6056" s="213" t="s">
        <v>50389</v>
      </c>
      <c r="U6056" s="213" t="s">
        <v>56346</v>
      </c>
    </row>
    <row r="6057" spans="1:21" x14ac:dyDescent="0.25">
      <c r="A6057" s="213" t="s">
        <v>327</v>
      </c>
      <c r="D6057" s="213" t="s">
        <v>50390</v>
      </c>
      <c r="E6057" s="213" t="s">
        <v>50391</v>
      </c>
      <c r="K6057" s="213" t="s">
        <v>56281</v>
      </c>
      <c r="L6057" s="213" t="s">
        <v>56303</v>
      </c>
      <c r="M6057" s="213" t="s">
        <v>56325</v>
      </c>
      <c r="N6057" s="213" t="s">
        <v>50392</v>
      </c>
      <c r="O6057" s="213" t="s">
        <v>50393</v>
      </c>
      <c r="P6057" s="213" t="s">
        <v>50394</v>
      </c>
      <c r="Q6057" s="213" t="s">
        <v>50395</v>
      </c>
      <c r="R6057" s="213" t="s">
        <v>50396</v>
      </c>
      <c r="S6057" s="213" t="s">
        <v>50397</v>
      </c>
      <c r="T6057" s="213" t="s">
        <v>50398</v>
      </c>
      <c r="U6057" s="213" t="s">
        <v>56347</v>
      </c>
    </row>
    <row r="6058" spans="1:21" x14ac:dyDescent="0.25">
      <c r="A6058" s="213" t="s">
        <v>327</v>
      </c>
      <c r="D6058" s="213" t="s">
        <v>50399</v>
      </c>
      <c r="E6058" s="213" t="s">
        <v>50400</v>
      </c>
      <c r="K6058" s="213" t="s">
        <v>56282</v>
      </c>
      <c r="L6058" s="213" t="s">
        <v>56304</v>
      </c>
      <c r="M6058" s="213" t="s">
        <v>56326</v>
      </c>
      <c r="N6058" s="213" t="s">
        <v>50401</v>
      </c>
      <c r="O6058" s="213" t="s">
        <v>50402</v>
      </c>
      <c r="P6058" s="213" t="s">
        <v>50403</v>
      </c>
      <c r="Q6058" s="213" t="s">
        <v>50404</v>
      </c>
      <c r="R6058" s="213" t="s">
        <v>50405</v>
      </c>
      <c r="S6058" s="213" t="s">
        <v>50406</v>
      </c>
      <c r="T6058" s="213" t="s">
        <v>50407</v>
      </c>
      <c r="U6058" s="213" t="s">
        <v>56348</v>
      </c>
    </row>
    <row r="6059" spans="1:21" x14ac:dyDescent="0.25">
      <c r="A6059" s="213" t="s">
        <v>327</v>
      </c>
      <c r="D6059" s="213" t="s">
        <v>50408</v>
      </c>
      <c r="E6059" s="213" t="s">
        <v>50409</v>
      </c>
      <c r="K6059" s="213" t="s">
        <v>56283</v>
      </c>
      <c r="L6059" s="213" t="s">
        <v>56305</v>
      </c>
      <c r="M6059" s="213" t="s">
        <v>56327</v>
      </c>
      <c r="N6059" s="213" t="s">
        <v>50410</v>
      </c>
      <c r="O6059" s="213" t="s">
        <v>50411</v>
      </c>
      <c r="P6059" s="213" t="s">
        <v>50412</v>
      </c>
      <c r="Q6059" s="213" t="s">
        <v>50413</v>
      </c>
      <c r="R6059" s="213" t="s">
        <v>50414</v>
      </c>
      <c r="S6059" s="213" t="s">
        <v>50415</v>
      </c>
      <c r="T6059" s="213" t="s">
        <v>50416</v>
      </c>
      <c r="U6059" s="213" t="s">
        <v>56349</v>
      </c>
    </row>
    <row r="6060" spans="1:21" x14ac:dyDescent="0.25">
      <c r="A6060" s="213" t="s">
        <v>327</v>
      </c>
      <c r="D6060" s="213" t="s">
        <v>50417</v>
      </c>
      <c r="E6060" s="213" t="s">
        <v>50418</v>
      </c>
      <c r="K6060" s="213" t="s">
        <v>56284</v>
      </c>
      <c r="L6060" s="213" t="s">
        <v>56306</v>
      </c>
      <c r="M6060" s="213" t="s">
        <v>56328</v>
      </c>
      <c r="N6060" s="213" t="s">
        <v>50419</v>
      </c>
      <c r="O6060" s="213" t="s">
        <v>50420</v>
      </c>
      <c r="P6060" s="213" t="s">
        <v>50421</v>
      </c>
      <c r="Q6060" s="213" t="s">
        <v>50422</v>
      </c>
      <c r="R6060" s="213" t="s">
        <v>50423</v>
      </c>
      <c r="S6060" s="213" t="s">
        <v>50424</v>
      </c>
      <c r="T6060" s="213" t="s">
        <v>50425</v>
      </c>
      <c r="U6060" s="213" t="s">
        <v>56350</v>
      </c>
    </row>
    <row r="6061" spans="1:21" x14ac:dyDescent="0.25">
      <c r="A6061" s="213" t="s">
        <v>327</v>
      </c>
      <c r="D6061" s="213" t="s">
        <v>50426</v>
      </c>
      <c r="E6061" s="213" t="s">
        <v>50427</v>
      </c>
      <c r="K6061" s="213" t="s">
        <v>56285</v>
      </c>
      <c r="L6061" s="213" t="s">
        <v>56307</v>
      </c>
      <c r="M6061" s="213" t="s">
        <v>56329</v>
      </c>
      <c r="N6061" s="213" t="s">
        <v>50428</v>
      </c>
      <c r="O6061" s="213" t="s">
        <v>50429</v>
      </c>
      <c r="P6061" s="213" t="s">
        <v>50430</v>
      </c>
      <c r="Q6061" s="213" t="s">
        <v>50431</v>
      </c>
      <c r="R6061" s="213" t="s">
        <v>50432</v>
      </c>
      <c r="S6061" s="213" t="s">
        <v>50433</v>
      </c>
      <c r="T6061" s="213" t="s">
        <v>50434</v>
      </c>
      <c r="U6061" s="213" t="s">
        <v>56351</v>
      </c>
    </row>
    <row r="6062" spans="1:21" x14ac:dyDescent="0.25">
      <c r="A6062" s="213" t="s">
        <v>327</v>
      </c>
      <c r="D6062" s="213" t="s">
        <v>50435</v>
      </c>
      <c r="E6062" s="213" t="s">
        <v>50436</v>
      </c>
      <c r="K6062" s="213" t="s">
        <v>56286</v>
      </c>
      <c r="L6062" s="213" t="s">
        <v>56308</v>
      </c>
      <c r="M6062" s="213" t="s">
        <v>56330</v>
      </c>
      <c r="N6062" s="213" t="s">
        <v>50437</v>
      </c>
      <c r="O6062" s="213" t="s">
        <v>50438</v>
      </c>
      <c r="P6062" s="213" t="s">
        <v>50439</v>
      </c>
      <c r="Q6062" s="213" t="s">
        <v>50440</v>
      </c>
      <c r="R6062" s="213" t="s">
        <v>50441</v>
      </c>
      <c r="S6062" s="213" t="s">
        <v>50442</v>
      </c>
      <c r="T6062" s="213" t="s">
        <v>50443</v>
      </c>
      <c r="U6062" s="213" t="s">
        <v>56352</v>
      </c>
    </row>
    <row r="6063" spans="1:21" x14ac:dyDescent="0.25">
      <c r="A6063" s="213" t="s">
        <v>327</v>
      </c>
      <c r="D6063" s="213" t="s">
        <v>50444</v>
      </c>
      <c r="E6063" s="213" t="s">
        <v>50445</v>
      </c>
      <c r="K6063" s="213" t="s">
        <v>56287</v>
      </c>
      <c r="L6063" s="213" t="s">
        <v>56309</v>
      </c>
      <c r="M6063" s="213" t="s">
        <v>56331</v>
      </c>
      <c r="N6063" s="213" t="s">
        <v>50446</v>
      </c>
      <c r="O6063" s="213" t="s">
        <v>50447</v>
      </c>
      <c r="P6063" s="213" t="s">
        <v>50448</v>
      </c>
      <c r="Q6063" s="213" t="s">
        <v>50449</v>
      </c>
      <c r="R6063" s="213" t="s">
        <v>50450</v>
      </c>
      <c r="S6063" s="213" t="s">
        <v>50451</v>
      </c>
      <c r="T6063" s="213" t="s">
        <v>50452</v>
      </c>
      <c r="U6063" s="213" t="s">
        <v>56353</v>
      </c>
    </row>
    <row r="6064" spans="1:21" x14ac:dyDescent="0.25">
      <c r="A6064" s="213" t="s">
        <v>327</v>
      </c>
    </row>
    <row r="6065" spans="1:21" x14ac:dyDescent="0.25">
      <c r="A6065" s="213" t="s">
        <v>327</v>
      </c>
    </row>
    <row r="6066" spans="1:21" x14ac:dyDescent="0.25">
      <c r="A6066" s="213" t="s">
        <v>327</v>
      </c>
      <c r="C6066" s="213" t="s">
        <v>50453</v>
      </c>
      <c r="E6066" s="213" t="s">
        <v>50454</v>
      </c>
      <c r="H6066" s="213" t="s">
        <v>50455</v>
      </c>
      <c r="I6066" s="213" t="s">
        <v>50456</v>
      </c>
      <c r="J6066" s="213" t="s">
        <v>50457</v>
      </c>
      <c r="L6066" s="213" t="s">
        <v>50458</v>
      </c>
      <c r="O6066" s="213" t="s">
        <v>50459</v>
      </c>
      <c r="P6066" s="213" t="s">
        <v>50460</v>
      </c>
      <c r="Q6066" s="213" t="s">
        <v>50461</v>
      </c>
      <c r="R6066" s="213" t="s">
        <v>50462</v>
      </c>
      <c r="S6066" s="213" t="s">
        <v>50463</v>
      </c>
      <c r="T6066" s="213" t="s">
        <v>50464</v>
      </c>
    </row>
    <row r="6067" spans="1:21" x14ac:dyDescent="0.25">
      <c r="A6067" s="213" t="s">
        <v>327</v>
      </c>
      <c r="C6067" s="213" t="s">
        <v>50465</v>
      </c>
      <c r="E6067" s="213" t="s">
        <v>50466</v>
      </c>
      <c r="I6067" s="213" t="s">
        <v>50467</v>
      </c>
    </row>
    <row r="6068" spans="1:21" x14ac:dyDescent="0.25">
      <c r="A6068" s="213" t="s">
        <v>327</v>
      </c>
      <c r="C6068" s="213" t="s">
        <v>50468</v>
      </c>
      <c r="E6068" s="213" t="s">
        <v>50469</v>
      </c>
      <c r="I6068" s="213" t="s">
        <v>50470</v>
      </c>
    </row>
    <row r="6069" spans="1:21" x14ac:dyDescent="0.25">
      <c r="A6069" s="213" t="s">
        <v>328</v>
      </c>
    </row>
    <row r="6070" spans="1:21" x14ac:dyDescent="0.25">
      <c r="A6070" s="213" t="s">
        <v>327</v>
      </c>
      <c r="D6070" s="213" t="s">
        <v>50471</v>
      </c>
      <c r="E6070" s="213" t="s">
        <v>50472</v>
      </c>
      <c r="K6070" s="213" t="s">
        <v>56170</v>
      </c>
      <c r="L6070" s="213" t="s">
        <v>56194</v>
      </c>
      <c r="M6070" s="213" t="s">
        <v>56218</v>
      </c>
      <c r="N6070" s="213" t="s">
        <v>50473</v>
      </c>
      <c r="O6070" s="213" t="s">
        <v>50474</v>
      </c>
      <c r="P6070" s="213" t="s">
        <v>50475</v>
      </c>
      <c r="Q6070" s="213" t="s">
        <v>50476</v>
      </c>
      <c r="R6070" s="213" t="s">
        <v>50477</v>
      </c>
      <c r="S6070" s="213" t="s">
        <v>50478</v>
      </c>
      <c r="T6070" s="213" t="s">
        <v>50479</v>
      </c>
      <c r="U6070" s="213" t="s">
        <v>56242</v>
      </c>
    </row>
    <row r="6071" spans="1:21" x14ac:dyDescent="0.25">
      <c r="A6071" s="213" t="s">
        <v>327</v>
      </c>
      <c r="D6071" s="213" t="s">
        <v>50480</v>
      </c>
      <c r="E6071" s="213" t="s">
        <v>50481</v>
      </c>
      <c r="K6071" s="213" t="s">
        <v>56171</v>
      </c>
      <c r="L6071" s="213" t="s">
        <v>56195</v>
      </c>
      <c r="M6071" s="213" t="s">
        <v>56219</v>
      </c>
      <c r="N6071" s="213" t="s">
        <v>50482</v>
      </c>
      <c r="O6071" s="213" t="s">
        <v>50483</v>
      </c>
      <c r="P6071" s="213" t="s">
        <v>50484</v>
      </c>
      <c r="Q6071" s="213" t="s">
        <v>50485</v>
      </c>
      <c r="R6071" s="213" t="s">
        <v>50486</v>
      </c>
      <c r="S6071" s="213" t="s">
        <v>50487</v>
      </c>
      <c r="T6071" s="213" t="s">
        <v>50488</v>
      </c>
      <c r="U6071" s="213" t="s">
        <v>56243</v>
      </c>
    </row>
    <row r="6072" spans="1:21" x14ac:dyDescent="0.25">
      <c r="A6072" s="213" t="s">
        <v>327</v>
      </c>
      <c r="D6072" s="213" t="s">
        <v>50489</v>
      </c>
      <c r="E6072" s="213" t="s">
        <v>50490</v>
      </c>
      <c r="K6072" s="213" t="s">
        <v>56172</v>
      </c>
      <c r="L6072" s="213" t="s">
        <v>56196</v>
      </c>
      <c r="M6072" s="213" t="s">
        <v>56220</v>
      </c>
      <c r="N6072" s="213" t="s">
        <v>50491</v>
      </c>
      <c r="O6072" s="213" t="s">
        <v>50492</v>
      </c>
      <c r="P6072" s="213" t="s">
        <v>50493</v>
      </c>
      <c r="Q6072" s="213" t="s">
        <v>50494</v>
      </c>
      <c r="R6072" s="213" t="s">
        <v>50495</v>
      </c>
      <c r="S6072" s="213" t="s">
        <v>50496</v>
      </c>
      <c r="T6072" s="213" t="s">
        <v>50497</v>
      </c>
      <c r="U6072" s="213" t="s">
        <v>56244</v>
      </c>
    </row>
    <row r="6073" spans="1:21" x14ac:dyDescent="0.25">
      <c r="A6073" s="213" t="s">
        <v>327</v>
      </c>
      <c r="D6073" s="213" t="s">
        <v>50498</v>
      </c>
      <c r="E6073" s="213" t="s">
        <v>50499</v>
      </c>
      <c r="K6073" s="213" t="s">
        <v>56173</v>
      </c>
      <c r="L6073" s="213" t="s">
        <v>56197</v>
      </c>
      <c r="M6073" s="213" t="s">
        <v>56221</v>
      </c>
      <c r="N6073" s="213" t="s">
        <v>50500</v>
      </c>
      <c r="O6073" s="213" t="s">
        <v>50501</v>
      </c>
      <c r="P6073" s="213" t="s">
        <v>50502</v>
      </c>
      <c r="Q6073" s="213" t="s">
        <v>50503</v>
      </c>
      <c r="R6073" s="213" t="s">
        <v>50504</v>
      </c>
      <c r="S6073" s="213" t="s">
        <v>50505</v>
      </c>
      <c r="T6073" s="213" t="s">
        <v>50506</v>
      </c>
      <c r="U6073" s="213" t="s">
        <v>56245</v>
      </c>
    </row>
    <row r="6074" spans="1:21" x14ac:dyDescent="0.25">
      <c r="A6074" s="213" t="s">
        <v>327</v>
      </c>
      <c r="D6074" s="213" t="s">
        <v>50507</v>
      </c>
      <c r="E6074" s="213" t="s">
        <v>50508</v>
      </c>
      <c r="K6074" s="213" t="s">
        <v>56174</v>
      </c>
      <c r="L6074" s="213" t="s">
        <v>56198</v>
      </c>
      <c r="M6074" s="213" t="s">
        <v>56222</v>
      </c>
      <c r="N6074" s="213" t="s">
        <v>50509</v>
      </c>
      <c r="O6074" s="213" t="s">
        <v>50510</v>
      </c>
      <c r="P6074" s="213" t="s">
        <v>50511</v>
      </c>
      <c r="Q6074" s="213" t="s">
        <v>50512</v>
      </c>
      <c r="R6074" s="213" t="s">
        <v>50513</v>
      </c>
      <c r="S6074" s="213" t="s">
        <v>50514</v>
      </c>
      <c r="T6074" s="213" t="s">
        <v>50515</v>
      </c>
      <c r="U6074" s="213" t="s">
        <v>56246</v>
      </c>
    </row>
    <row r="6075" spans="1:21" x14ac:dyDescent="0.25">
      <c r="A6075" s="213" t="s">
        <v>327</v>
      </c>
      <c r="D6075" s="213" t="s">
        <v>50516</v>
      </c>
      <c r="E6075" s="213" t="s">
        <v>50517</v>
      </c>
      <c r="K6075" s="213" t="s">
        <v>56175</v>
      </c>
      <c r="L6075" s="213" t="s">
        <v>56199</v>
      </c>
      <c r="M6075" s="213" t="s">
        <v>56223</v>
      </c>
      <c r="N6075" s="213" t="s">
        <v>50518</v>
      </c>
      <c r="O6075" s="213" t="s">
        <v>50519</v>
      </c>
      <c r="P6075" s="213" t="s">
        <v>50520</v>
      </c>
      <c r="Q6075" s="213" t="s">
        <v>50521</v>
      </c>
      <c r="R6075" s="213" t="s">
        <v>50522</v>
      </c>
      <c r="S6075" s="213" t="s">
        <v>50523</v>
      </c>
      <c r="T6075" s="213" t="s">
        <v>50524</v>
      </c>
      <c r="U6075" s="213" t="s">
        <v>56247</v>
      </c>
    </row>
    <row r="6076" spans="1:21" x14ac:dyDescent="0.25">
      <c r="A6076" s="213" t="s">
        <v>327</v>
      </c>
      <c r="D6076" s="213" t="s">
        <v>50525</v>
      </c>
      <c r="E6076" s="213" t="s">
        <v>50526</v>
      </c>
      <c r="K6076" s="213" t="s">
        <v>56176</v>
      </c>
      <c r="L6076" s="213" t="s">
        <v>56200</v>
      </c>
      <c r="M6076" s="213" t="s">
        <v>56224</v>
      </c>
      <c r="N6076" s="213" t="s">
        <v>50527</v>
      </c>
      <c r="O6076" s="213" t="s">
        <v>50528</v>
      </c>
      <c r="P6076" s="213" t="s">
        <v>50529</v>
      </c>
      <c r="Q6076" s="213" t="s">
        <v>50530</v>
      </c>
      <c r="R6076" s="213" t="s">
        <v>50531</v>
      </c>
      <c r="S6076" s="213" t="s">
        <v>50532</v>
      </c>
      <c r="T6076" s="213" t="s">
        <v>50533</v>
      </c>
      <c r="U6076" s="213" t="s">
        <v>56248</v>
      </c>
    </row>
    <row r="6077" spans="1:21" x14ac:dyDescent="0.25">
      <c r="A6077" s="213" t="s">
        <v>327</v>
      </c>
      <c r="D6077" s="213" t="s">
        <v>50534</v>
      </c>
      <c r="E6077" s="213" t="s">
        <v>50535</v>
      </c>
      <c r="K6077" s="213" t="s">
        <v>56177</v>
      </c>
      <c r="L6077" s="213" t="s">
        <v>56201</v>
      </c>
      <c r="M6077" s="213" t="s">
        <v>56225</v>
      </c>
      <c r="N6077" s="213" t="s">
        <v>50536</v>
      </c>
      <c r="O6077" s="213" t="s">
        <v>50537</v>
      </c>
      <c r="P6077" s="213" t="s">
        <v>50538</v>
      </c>
      <c r="Q6077" s="213" t="s">
        <v>50539</v>
      </c>
      <c r="R6077" s="213" t="s">
        <v>50540</v>
      </c>
      <c r="S6077" s="213" t="s">
        <v>50541</v>
      </c>
      <c r="T6077" s="213" t="s">
        <v>50542</v>
      </c>
      <c r="U6077" s="213" t="s">
        <v>56249</v>
      </c>
    </row>
    <row r="6078" spans="1:21" x14ac:dyDescent="0.25">
      <c r="A6078" s="213" t="s">
        <v>327</v>
      </c>
      <c r="D6078" s="213" t="s">
        <v>50543</v>
      </c>
      <c r="E6078" s="213" t="s">
        <v>50544</v>
      </c>
      <c r="K6078" s="213" t="s">
        <v>56178</v>
      </c>
      <c r="L6078" s="213" t="s">
        <v>56202</v>
      </c>
      <c r="M6078" s="213" t="s">
        <v>56226</v>
      </c>
      <c r="N6078" s="213" t="s">
        <v>50545</v>
      </c>
      <c r="O6078" s="213" t="s">
        <v>50546</v>
      </c>
      <c r="P6078" s="213" t="s">
        <v>50547</v>
      </c>
      <c r="Q6078" s="213" t="s">
        <v>50548</v>
      </c>
      <c r="R6078" s="213" t="s">
        <v>50549</v>
      </c>
      <c r="S6078" s="213" t="s">
        <v>50550</v>
      </c>
      <c r="T6078" s="213" t="s">
        <v>50551</v>
      </c>
      <c r="U6078" s="213" t="s">
        <v>56250</v>
      </c>
    </row>
    <row r="6079" spans="1:21" x14ac:dyDescent="0.25">
      <c r="A6079" s="213" t="s">
        <v>327</v>
      </c>
      <c r="D6079" s="213" t="s">
        <v>50552</v>
      </c>
      <c r="E6079" s="213" t="s">
        <v>50553</v>
      </c>
      <c r="K6079" s="213" t="s">
        <v>56179</v>
      </c>
      <c r="L6079" s="213" t="s">
        <v>56203</v>
      </c>
      <c r="M6079" s="213" t="s">
        <v>56227</v>
      </c>
      <c r="N6079" s="213" t="s">
        <v>50554</v>
      </c>
      <c r="O6079" s="213" t="s">
        <v>50555</v>
      </c>
      <c r="P6079" s="213" t="s">
        <v>50556</v>
      </c>
      <c r="Q6079" s="213" t="s">
        <v>50557</v>
      </c>
      <c r="R6079" s="213" t="s">
        <v>50558</v>
      </c>
      <c r="S6079" s="213" t="s">
        <v>50559</v>
      </c>
      <c r="T6079" s="213" t="s">
        <v>50560</v>
      </c>
      <c r="U6079" s="213" t="s">
        <v>56251</v>
      </c>
    </row>
    <row r="6080" spans="1:21" x14ac:dyDescent="0.25">
      <c r="A6080" s="213" t="s">
        <v>327</v>
      </c>
      <c r="D6080" s="213" t="s">
        <v>50561</v>
      </c>
      <c r="E6080" s="213" t="s">
        <v>50562</v>
      </c>
      <c r="K6080" s="213" t="s">
        <v>56180</v>
      </c>
      <c r="L6080" s="213" t="s">
        <v>56204</v>
      </c>
      <c r="M6080" s="213" t="s">
        <v>56228</v>
      </c>
      <c r="N6080" s="213" t="s">
        <v>50563</v>
      </c>
      <c r="O6080" s="213" t="s">
        <v>50564</v>
      </c>
      <c r="P6080" s="213" t="s">
        <v>50565</v>
      </c>
      <c r="Q6080" s="213" t="s">
        <v>50566</v>
      </c>
      <c r="R6080" s="213" t="s">
        <v>50567</v>
      </c>
      <c r="S6080" s="213" t="s">
        <v>50568</v>
      </c>
      <c r="T6080" s="213" t="s">
        <v>50569</v>
      </c>
      <c r="U6080" s="213" t="s">
        <v>56252</v>
      </c>
    </row>
    <row r="6081" spans="1:21" x14ac:dyDescent="0.25">
      <c r="A6081" s="213" t="s">
        <v>327</v>
      </c>
      <c r="D6081" s="213" t="s">
        <v>50570</v>
      </c>
      <c r="E6081" s="213" t="s">
        <v>50571</v>
      </c>
      <c r="K6081" s="213" t="s">
        <v>56181</v>
      </c>
      <c r="L6081" s="213" t="s">
        <v>56205</v>
      </c>
      <c r="M6081" s="213" t="s">
        <v>56229</v>
      </c>
      <c r="N6081" s="213" t="s">
        <v>50572</v>
      </c>
      <c r="O6081" s="213" t="s">
        <v>50573</v>
      </c>
      <c r="P6081" s="213" t="s">
        <v>50574</v>
      </c>
      <c r="Q6081" s="213" t="s">
        <v>50575</v>
      </c>
      <c r="R6081" s="213" t="s">
        <v>50576</v>
      </c>
      <c r="S6081" s="213" t="s">
        <v>50577</v>
      </c>
      <c r="T6081" s="213" t="s">
        <v>50578</v>
      </c>
      <c r="U6081" s="213" t="s">
        <v>56253</v>
      </c>
    </row>
    <row r="6082" spans="1:21" x14ac:dyDescent="0.25">
      <c r="A6082" s="213" t="s">
        <v>327</v>
      </c>
      <c r="D6082" s="213" t="s">
        <v>50579</v>
      </c>
      <c r="E6082" s="213" t="s">
        <v>50580</v>
      </c>
      <c r="K6082" s="213" t="s">
        <v>56182</v>
      </c>
      <c r="L6082" s="213" t="s">
        <v>56206</v>
      </c>
      <c r="M6082" s="213" t="s">
        <v>56230</v>
      </c>
      <c r="N6082" s="213" t="s">
        <v>50581</v>
      </c>
      <c r="O6082" s="213" t="s">
        <v>50582</v>
      </c>
      <c r="P6082" s="213" t="s">
        <v>50583</v>
      </c>
      <c r="Q6082" s="213" t="s">
        <v>50584</v>
      </c>
      <c r="R6082" s="213" t="s">
        <v>50585</v>
      </c>
      <c r="S6082" s="213" t="s">
        <v>50586</v>
      </c>
      <c r="T6082" s="213" t="s">
        <v>50587</v>
      </c>
      <c r="U6082" s="213" t="s">
        <v>56254</v>
      </c>
    </row>
    <row r="6083" spans="1:21" x14ac:dyDescent="0.25">
      <c r="A6083" s="213" t="s">
        <v>327</v>
      </c>
      <c r="D6083" s="213" t="s">
        <v>50588</v>
      </c>
      <c r="E6083" s="213" t="s">
        <v>50589</v>
      </c>
      <c r="K6083" s="213" t="s">
        <v>56183</v>
      </c>
      <c r="L6083" s="213" t="s">
        <v>56207</v>
      </c>
      <c r="M6083" s="213" t="s">
        <v>56231</v>
      </c>
      <c r="N6083" s="213" t="s">
        <v>50590</v>
      </c>
      <c r="O6083" s="213" t="s">
        <v>50591</v>
      </c>
      <c r="P6083" s="213" t="s">
        <v>50592</v>
      </c>
      <c r="Q6083" s="213" t="s">
        <v>50593</v>
      </c>
      <c r="R6083" s="213" t="s">
        <v>50594</v>
      </c>
      <c r="S6083" s="213" t="s">
        <v>50595</v>
      </c>
      <c r="T6083" s="213" t="s">
        <v>50596</v>
      </c>
      <c r="U6083" s="213" t="s">
        <v>56255</v>
      </c>
    </row>
    <row r="6084" spans="1:21" x14ac:dyDescent="0.25">
      <c r="A6084" s="213" t="s">
        <v>327</v>
      </c>
      <c r="D6084" s="213" t="s">
        <v>50597</v>
      </c>
      <c r="E6084" s="213" t="s">
        <v>50598</v>
      </c>
      <c r="K6084" s="213" t="s">
        <v>56184</v>
      </c>
      <c r="L6084" s="213" t="s">
        <v>56208</v>
      </c>
      <c r="M6084" s="213" t="s">
        <v>56232</v>
      </c>
      <c r="N6084" s="213" t="s">
        <v>50599</v>
      </c>
      <c r="O6084" s="213" t="s">
        <v>50600</v>
      </c>
      <c r="P6084" s="213" t="s">
        <v>50601</v>
      </c>
      <c r="Q6084" s="213" t="s">
        <v>50602</v>
      </c>
      <c r="R6084" s="213" t="s">
        <v>50603</v>
      </c>
      <c r="S6084" s="213" t="s">
        <v>50604</v>
      </c>
      <c r="T6084" s="213" t="s">
        <v>50605</v>
      </c>
      <c r="U6084" s="213" t="s">
        <v>56256</v>
      </c>
    </row>
    <row r="6085" spans="1:21" x14ac:dyDescent="0.25">
      <c r="A6085" s="213" t="s">
        <v>327</v>
      </c>
      <c r="D6085" s="213" t="s">
        <v>50606</v>
      </c>
      <c r="E6085" s="213" t="s">
        <v>50607</v>
      </c>
      <c r="K6085" s="213" t="s">
        <v>56185</v>
      </c>
      <c r="L6085" s="213" t="s">
        <v>56209</v>
      </c>
      <c r="M6085" s="213" t="s">
        <v>56233</v>
      </c>
      <c r="N6085" s="213" t="s">
        <v>50608</v>
      </c>
      <c r="O6085" s="213" t="s">
        <v>50609</v>
      </c>
      <c r="P6085" s="213" t="s">
        <v>50610</v>
      </c>
      <c r="Q6085" s="213" t="s">
        <v>50611</v>
      </c>
      <c r="R6085" s="213" t="s">
        <v>50612</v>
      </c>
      <c r="S6085" s="213" t="s">
        <v>50613</v>
      </c>
      <c r="T6085" s="213" t="s">
        <v>50614</v>
      </c>
      <c r="U6085" s="213" t="s">
        <v>56257</v>
      </c>
    </row>
    <row r="6086" spans="1:21" x14ac:dyDescent="0.25">
      <c r="A6086" s="213" t="s">
        <v>327</v>
      </c>
      <c r="D6086" s="213" t="s">
        <v>50615</v>
      </c>
      <c r="E6086" s="213" t="s">
        <v>50616</v>
      </c>
      <c r="K6086" s="213" t="s">
        <v>56186</v>
      </c>
      <c r="L6086" s="213" t="s">
        <v>56210</v>
      </c>
      <c r="M6086" s="213" t="s">
        <v>56234</v>
      </c>
      <c r="N6086" s="213" t="s">
        <v>50617</v>
      </c>
      <c r="O6086" s="213" t="s">
        <v>50618</v>
      </c>
      <c r="P6086" s="213" t="s">
        <v>50619</v>
      </c>
      <c r="Q6086" s="213" t="s">
        <v>50620</v>
      </c>
      <c r="R6086" s="213" t="s">
        <v>50621</v>
      </c>
      <c r="S6086" s="213" t="s">
        <v>50622</v>
      </c>
      <c r="T6086" s="213" t="s">
        <v>50623</v>
      </c>
      <c r="U6086" s="213" t="s">
        <v>56258</v>
      </c>
    </row>
    <row r="6087" spans="1:21" x14ac:dyDescent="0.25">
      <c r="A6087" s="213" t="s">
        <v>327</v>
      </c>
      <c r="D6087" s="213" t="s">
        <v>50624</v>
      </c>
      <c r="E6087" s="213" t="s">
        <v>50625</v>
      </c>
      <c r="K6087" s="213" t="s">
        <v>56187</v>
      </c>
      <c r="L6087" s="213" t="s">
        <v>56211</v>
      </c>
      <c r="M6087" s="213" t="s">
        <v>56235</v>
      </c>
      <c r="N6087" s="213" t="s">
        <v>50626</v>
      </c>
      <c r="O6087" s="213" t="s">
        <v>50627</v>
      </c>
      <c r="P6087" s="213" t="s">
        <v>50628</v>
      </c>
      <c r="Q6087" s="213" t="s">
        <v>50629</v>
      </c>
      <c r="R6087" s="213" t="s">
        <v>50630</v>
      </c>
      <c r="S6087" s="213" t="s">
        <v>50631</v>
      </c>
      <c r="T6087" s="213" t="s">
        <v>50632</v>
      </c>
      <c r="U6087" s="213" t="s">
        <v>56259</v>
      </c>
    </row>
    <row r="6088" spans="1:21" x14ac:dyDescent="0.25">
      <c r="A6088" s="213" t="s">
        <v>327</v>
      </c>
      <c r="D6088" s="213" t="s">
        <v>50633</v>
      </c>
      <c r="E6088" s="213" t="s">
        <v>50634</v>
      </c>
      <c r="K6088" s="213" t="s">
        <v>56188</v>
      </c>
      <c r="L6088" s="213" t="s">
        <v>56212</v>
      </c>
      <c r="M6088" s="213" t="s">
        <v>56236</v>
      </c>
      <c r="N6088" s="213" t="s">
        <v>50635</v>
      </c>
      <c r="O6088" s="213" t="s">
        <v>50636</v>
      </c>
      <c r="P6088" s="213" t="s">
        <v>50637</v>
      </c>
      <c r="Q6088" s="213" t="s">
        <v>50638</v>
      </c>
      <c r="R6088" s="213" t="s">
        <v>50639</v>
      </c>
      <c r="S6088" s="213" t="s">
        <v>50640</v>
      </c>
      <c r="T6088" s="213" t="s">
        <v>50641</v>
      </c>
      <c r="U6088" s="213" t="s">
        <v>56260</v>
      </c>
    </row>
    <row r="6089" spans="1:21" x14ac:dyDescent="0.25">
      <c r="A6089" s="213" t="s">
        <v>327</v>
      </c>
      <c r="D6089" s="213" t="s">
        <v>50642</v>
      </c>
      <c r="E6089" s="213" t="s">
        <v>50643</v>
      </c>
      <c r="K6089" s="213" t="s">
        <v>56189</v>
      </c>
      <c r="L6089" s="213" t="s">
        <v>56213</v>
      </c>
      <c r="M6089" s="213" t="s">
        <v>56237</v>
      </c>
      <c r="N6089" s="213" t="s">
        <v>50644</v>
      </c>
      <c r="O6089" s="213" t="s">
        <v>50645</v>
      </c>
      <c r="P6089" s="213" t="s">
        <v>50646</v>
      </c>
      <c r="Q6089" s="213" t="s">
        <v>50647</v>
      </c>
      <c r="R6089" s="213" t="s">
        <v>50648</v>
      </c>
      <c r="S6089" s="213" t="s">
        <v>50649</v>
      </c>
      <c r="T6089" s="213" t="s">
        <v>50650</v>
      </c>
      <c r="U6089" s="213" t="s">
        <v>56261</v>
      </c>
    </row>
    <row r="6090" spans="1:21" x14ac:dyDescent="0.25">
      <c r="A6090" s="213" t="s">
        <v>327</v>
      </c>
      <c r="D6090" s="213" t="s">
        <v>50651</v>
      </c>
      <c r="E6090" s="213" t="s">
        <v>50652</v>
      </c>
      <c r="K6090" s="213" t="s">
        <v>56190</v>
      </c>
      <c r="L6090" s="213" t="s">
        <v>56214</v>
      </c>
      <c r="M6090" s="213" t="s">
        <v>56238</v>
      </c>
      <c r="N6090" s="213" t="s">
        <v>50653</v>
      </c>
      <c r="O6090" s="213" t="s">
        <v>50654</v>
      </c>
      <c r="P6090" s="213" t="s">
        <v>50655</v>
      </c>
      <c r="Q6090" s="213" t="s">
        <v>50656</v>
      </c>
      <c r="R6090" s="213" t="s">
        <v>50657</v>
      </c>
      <c r="S6090" s="213" t="s">
        <v>50658</v>
      </c>
      <c r="T6090" s="213" t="s">
        <v>50659</v>
      </c>
      <c r="U6090" s="213" t="s">
        <v>56262</v>
      </c>
    </row>
    <row r="6091" spans="1:21" x14ac:dyDescent="0.25">
      <c r="A6091" s="213" t="s">
        <v>327</v>
      </c>
      <c r="D6091" s="213" t="s">
        <v>50660</v>
      </c>
      <c r="E6091" s="213" t="s">
        <v>50661</v>
      </c>
      <c r="K6091" s="213" t="s">
        <v>56191</v>
      </c>
      <c r="L6091" s="213" t="s">
        <v>56215</v>
      </c>
      <c r="M6091" s="213" t="s">
        <v>56239</v>
      </c>
      <c r="N6091" s="213" t="s">
        <v>50662</v>
      </c>
      <c r="O6091" s="213" t="s">
        <v>50663</v>
      </c>
      <c r="P6091" s="213" t="s">
        <v>50664</v>
      </c>
      <c r="Q6091" s="213" t="s">
        <v>50665</v>
      </c>
      <c r="R6091" s="213" t="s">
        <v>50666</v>
      </c>
      <c r="S6091" s="213" t="s">
        <v>50667</v>
      </c>
      <c r="T6091" s="213" t="s">
        <v>50668</v>
      </c>
      <c r="U6091" s="213" t="s">
        <v>56263</v>
      </c>
    </row>
    <row r="6092" spans="1:21" x14ac:dyDescent="0.25">
      <c r="A6092" s="213" t="s">
        <v>327</v>
      </c>
      <c r="D6092" s="213" t="s">
        <v>50669</v>
      </c>
      <c r="E6092" s="213" t="s">
        <v>50670</v>
      </c>
      <c r="K6092" s="213" t="s">
        <v>56192</v>
      </c>
      <c r="L6092" s="213" t="s">
        <v>56216</v>
      </c>
      <c r="M6092" s="213" t="s">
        <v>56240</v>
      </c>
      <c r="N6092" s="213" t="s">
        <v>50671</v>
      </c>
      <c r="O6092" s="213" t="s">
        <v>50672</v>
      </c>
      <c r="P6092" s="213" t="s">
        <v>50673</v>
      </c>
      <c r="Q6092" s="213" t="s">
        <v>50674</v>
      </c>
      <c r="R6092" s="213" t="s">
        <v>50675</v>
      </c>
      <c r="S6092" s="213" t="s">
        <v>50676</v>
      </c>
      <c r="T6092" s="213" t="s">
        <v>50677</v>
      </c>
      <c r="U6092" s="213" t="s">
        <v>56264</v>
      </c>
    </row>
    <row r="6093" spans="1:21" x14ac:dyDescent="0.25">
      <c r="A6093" s="213" t="s">
        <v>327</v>
      </c>
      <c r="D6093" s="213" t="s">
        <v>50678</v>
      </c>
      <c r="E6093" s="213" t="s">
        <v>50679</v>
      </c>
      <c r="K6093" s="213" t="s">
        <v>56193</v>
      </c>
      <c r="L6093" s="213" t="s">
        <v>56217</v>
      </c>
      <c r="M6093" s="213" t="s">
        <v>56241</v>
      </c>
      <c r="N6093" s="213" t="s">
        <v>50680</v>
      </c>
      <c r="O6093" s="213" t="s">
        <v>50681</v>
      </c>
      <c r="P6093" s="213" t="s">
        <v>50682</v>
      </c>
      <c r="Q6093" s="213" t="s">
        <v>50683</v>
      </c>
      <c r="R6093" s="213" t="s">
        <v>50684</v>
      </c>
      <c r="S6093" s="213" t="s">
        <v>50685</v>
      </c>
      <c r="T6093" s="213" t="s">
        <v>50686</v>
      </c>
      <c r="U6093" s="213" t="s">
        <v>56265</v>
      </c>
    </row>
    <row r="6094" spans="1:21" x14ac:dyDescent="0.25">
      <c r="A6094" s="213" t="s">
        <v>327</v>
      </c>
    </row>
    <row r="6095" spans="1:21" x14ac:dyDescent="0.25">
      <c r="A6095" s="213" t="s">
        <v>327</v>
      </c>
    </row>
    <row r="6096" spans="1:21" x14ac:dyDescent="0.25">
      <c r="A6096" s="213" t="s">
        <v>327</v>
      </c>
      <c r="C6096" s="213" t="s">
        <v>50687</v>
      </c>
      <c r="E6096" s="213" t="s">
        <v>50688</v>
      </c>
      <c r="H6096" s="213" t="s">
        <v>50689</v>
      </c>
      <c r="I6096" s="213" t="s">
        <v>50690</v>
      </c>
      <c r="J6096" s="213" t="s">
        <v>50691</v>
      </c>
      <c r="L6096" s="213" t="s">
        <v>50692</v>
      </c>
      <c r="O6096" s="213" t="s">
        <v>50693</v>
      </c>
      <c r="P6096" s="213" t="s">
        <v>50694</v>
      </c>
      <c r="Q6096" s="213" t="s">
        <v>50695</v>
      </c>
      <c r="R6096" s="213" t="s">
        <v>50696</v>
      </c>
      <c r="S6096" s="213" t="s">
        <v>50697</v>
      </c>
      <c r="T6096" s="213" t="s">
        <v>50698</v>
      </c>
    </row>
    <row r="6097" spans="1:21" x14ac:dyDescent="0.25">
      <c r="A6097" s="213" t="s">
        <v>327</v>
      </c>
      <c r="C6097" s="213" t="s">
        <v>50699</v>
      </c>
      <c r="E6097" s="213" t="s">
        <v>50700</v>
      </c>
      <c r="I6097" s="213" t="s">
        <v>50701</v>
      </c>
    </row>
    <row r="6098" spans="1:21" x14ac:dyDescent="0.25">
      <c r="A6098" s="213" t="s">
        <v>327</v>
      </c>
      <c r="C6098" s="213" t="s">
        <v>50702</v>
      </c>
      <c r="E6098" s="213" t="s">
        <v>50703</v>
      </c>
      <c r="I6098" s="213" t="s">
        <v>50704</v>
      </c>
    </row>
    <row r="6099" spans="1:21" x14ac:dyDescent="0.25">
      <c r="A6099" s="213" t="s">
        <v>328</v>
      </c>
    </row>
    <row r="6100" spans="1:21" x14ac:dyDescent="0.25">
      <c r="A6100" s="213" t="s">
        <v>327</v>
      </c>
      <c r="D6100" s="213" t="s">
        <v>50705</v>
      </c>
      <c r="E6100" s="213" t="s">
        <v>50706</v>
      </c>
      <c r="K6100" s="213" t="s">
        <v>56086</v>
      </c>
      <c r="L6100" s="213" t="s">
        <v>56107</v>
      </c>
      <c r="M6100" s="213" t="s">
        <v>56128</v>
      </c>
      <c r="N6100" s="213" t="s">
        <v>50707</v>
      </c>
      <c r="O6100" s="213" t="s">
        <v>50708</v>
      </c>
      <c r="P6100" s="213" t="s">
        <v>50709</v>
      </c>
      <c r="Q6100" s="213" t="s">
        <v>50710</v>
      </c>
      <c r="R6100" s="213" t="s">
        <v>50711</v>
      </c>
      <c r="S6100" s="213" t="s">
        <v>50712</v>
      </c>
      <c r="T6100" s="213" t="s">
        <v>50713</v>
      </c>
      <c r="U6100" s="213" t="s">
        <v>56149</v>
      </c>
    </row>
    <row r="6101" spans="1:21" x14ac:dyDescent="0.25">
      <c r="A6101" s="213" t="s">
        <v>327</v>
      </c>
      <c r="D6101" s="213" t="s">
        <v>50714</v>
      </c>
      <c r="E6101" s="213" t="s">
        <v>50715</v>
      </c>
      <c r="K6101" s="213" t="s">
        <v>56087</v>
      </c>
      <c r="L6101" s="213" t="s">
        <v>56108</v>
      </c>
      <c r="M6101" s="213" t="s">
        <v>56129</v>
      </c>
      <c r="N6101" s="213" t="s">
        <v>50716</v>
      </c>
      <c r="O6101" s="213" t="s">
        <v>50717</v>
      </c>
      <c r="P6101" s="213" t="s">
        <v>50718</v>
      </c>
      <c r="Q6101" s="213" t="s">
        <v>50719</v>
      </c>
      <c r="R6101" s="213" t="s">
        <v>50720</v>
      </c>
      <c r="S6101" s="213" t="s">
        <v>50721</v>
      </c>
      <c r="T6101" s="213" t="s">
        <v>50722</v>
      </c>
      <c r="U6101" s="213" t="s">
        <v>56150</v>
      </c>
    </row>
    <row r="6102" spans="1:21" x14ac:dyDescent="0.25">
      <c r="A6102" s="213" t="s">
        <v>327</v>
      </c>
      <c r="D6102" s="213" t="s">
        <v>50723</v>
      </c>
      <c r="E6102" s="213" t="s">
        <v>50724</v>
      </c>
      <c r="K6102" s="213" t="s">
        <v>56088</v>
      </c>
      <c r="L6102" s="213" t="s">
        <v>56109</v>
      </c>
      <c r="M6102" s="213" t="s">
        <v>56130</v>
      </c>
      <c r="N6102" s="213" t="s">
        <v>50725</v>
      </c>
      <c r="O6102" s="213" t="s">
        <v>50726</v>
      </c>
      <c r="P6102" s="213" t="s">
        <v>50727</v>
      </c>
      <c r="Q6102" s="213" t="s">
        <v>50728</v>
      </c>
      <c r="R6102" s="213" t="s">
        <v>50729</v>
      </c>
      <c r="S6102" s="213" t="s">
        <v>50730</v>
      </c>
      <c r="T6102" s="213" t="s">
        <v>50731</v>
      </c>
      <c r="U6102" s="213" t="s">
        <v>56151</v>
      </c>
    </row>
    <row r="6103" spans="1:21" x14ac:dyDescent="0.25">
      <c r="A6103" s="213" t="s">
        <v>327</v>
      </c>
      <c r="D6103" s="213" t="s">
        <v>50732</v>
      </c>
      <c r="E6103" s="213" t="s">
        <v>50733</v>
      </c>
      <c r="K6103" s="213" t="s">
        <v>56089</v>
      </c>
      <c r="L6103" s="213" t="s">
        <v>56110</v>
      </c>
      <c r="M6103" s="213" t="s">
        <v>56131</v>
      </c>
      <c r="N6103" s="213" t="s">
        <v>50734</v>
      </c>
      <c r="O6103" s="213" t="s">
        <v>50735</v>
      </c>
      <c r="P6103" s="213" t="s">
        <v>50736</v>
      </c>
      <c r="Q6103" s="213" t="s">
        <v>50737</v>
      </c>
      <c r="R6103" s="213" t="s">
        <v>50738</v>
      </c>
      <c r="S6103" s="213" t="s">
        <v>50739</v>
      </c>
      <c r="T6103" s="213" t="s">
        <v>50740</v>
      </c>
      <c r="U6103" s="213" t="s">
        <v>56152</v>
      </c>
    </row>
    <row r="6104" spans="1:21" x14ac:dyDescent="0.25">
      <c r="A6104" s="213" t="s">
        <v>327</v>
      </c>
      <c r="D6104" s="213" t="s">
        <v>50741</v>
      </c>
      <c r="E6104" s="213" t="s">
        <v>50742</v>
      </c>
      <c r="K6104" s="213" t="s">
        <v>56090</v>
      </c>
      <c r="L6104" s="213" t="s">
        <v>56111</v>
      </c>
      <c r="M6104" s="213" t="s">
        <v>56132</v>
      </c>
      <c r="N6104" s="213" t="s">
        <v>50743</v>
      </c>
      <c r="O6104" s="213" t="s">
        <v>50744</v>
      </c>
      <c r="P6104" s="213" t="s">
        <v>50745</v>
      </c>
      <c r="Q6104" s="213" t="s">
        <v>50746</v>
      </c>
      <c r="R6104" s="213" t="s">
        <v>50747</v>
      </c>
      <c r="S6104" s="213" t="s">
        <v>50748</v>
      </c>
      <c r="T6104" s="213" t="s">
        <v>50749</v>
      </c>
      <c r="U6104" s="213" t="s">
        <v>56153</v>
      </c>
    </row>
    <row r="6105" spans="1:21" x14ac:dyDescent="0.25">
      <c r="A6105" s="213" t="s">
        <v>327</v>
      </c>
      <c r="D6105" s="213" t="s">
        <v>50750</v>
      </c>
      <c r="E6105" s="213" t="s">
        <v>50751</v>
      </c>
      <c r="K6105" s="213" t="s">
        <v>56091</v>
      </c>
      <c r="L6105" s="213" t="s">
        <v>56112</v>
      </c>
      <c r="M6105" s="213" t="s">
        <v>56133</v>
      </c>
      <c r="N6105" s="213" t="s">
        <v>50752</v>
      </c>
      <c r="O6105" s="213" t="s">
        <v>50753</v>
      </c>
      <c r="P6105" s="213" t="s">
        <v>50754</v>
      </c>
      <c r="Q6105" s="213" t="s">
        <v>50755</v>
      </c>
      <c r="R6105" s="213" t="s">
        <v>50756</v>
      </c>
      <c r="S6105" s="213" t="s">
        <v>50757</v>
      </c>
      <c r="T6105" s="213" t="s">
        <v>50758</v>
      </c>
      <c r="U6105" s="213" t="s">
        <v>56154</v>
      </c>
    </row>
    <row r="6106" spans="1:21" x14ac:dyDescent="0.25">
      <c r="A6106" s="213" t="s">
        <v>327</v>
      </c>
      <c r="D6106" s="213" t="s">
        <v>50759</v>
      </c>
      <c r="E6106" s="213" t="s">
        <v>50760</v>
      </c>
      <c r="K6106" s="213" t="s">
        <v>56092</v>
      </c>
      <c r="L6106" s="213" t="s">
        <v>56113</v>
      </c>
      <c r="M6106" s="213" t="s">
        <v>56134</v>
      </c>
      <c r="N6106" s="213" t="s">
        <v>50761</v>
      </c>
      <c r="O6106" s="213" t="s">
        <v>50762</v>
      </c>
      <c r="P6106" s="213" t="s">
        <v>50763</v>
      </c>
      <c r="Q6106" s="213" t="s">
        <v>50764</v>
      </c>
      <c r="R6106" s="213" t="s">
        <v>50765</v>
      </c>
      <c r="S6106" s="213" t="s">
        <v>50766</v>
      </c>
      <c r="T6106" s="213" t="s">
        <v>50767</v>
      </c>
      <c r="U6106" s="213" t="s">
        <v>56155</v>
      </c>
    </row>
    <row r="6107" spans="1:21" x14ac:dyDescent="0.25">
      <c r="A6107" s="213" t="s">
        <v>327</v>
      </c>
      <c r="D6107" s="213" t="s">
        <v>50768</v>
      </c>
      <c r="E6107" s="213" t="s">
        <v>50769</v>
      </c>
      <c r="K6107" s="213" t="s">
        <v>56093</v>
      </c>
      <c r="L6107" s="213" t="s">
        <v>56114</v>
      </c>
      <c r="M6107" s="213" t="s">
        <v>56135</v>
      </c>
      <c r="N6107" s="213" t="s">
        <v>50770</v>
      </c>
      <c r="O6107" s="213" t="s">
        <v>50771</v>
      </c>
      <c r="P6107" s="213" t="s">
        <v>50772</v>
      </c>
      <c r="Q6107" s="213" t="s">
        <v>50773</v>
      </c>
      <c r="R6107" s="213" t="s">
        <v>50774</v>
      </c>
      <c r="S6107" s="213" t="s">
        <v>50775</v>
      </c>
      <c r="T6107" s="213" t="s">
        <v>50776</v>
      </c>
      <c r="U6107" s="213" t="s">
        <v>56156</v>
      </c>
    </row>
    <row r="6108" spans="1:21" x14ac:dyDescent="0.25">
      <c r="A6108" s="213" t="s">
        <v>327</v>
      </c>
      <c r="D6108" s="213" t="s">
        <v>50777</v>
      </c>
      <c r="E6108" s="213" t="s">
        <v>50778</v>
      </c>
      <c r="K6108" s="213" t="s">
        <v>56094</v>
      </c>
      <c r="L6108" s="213" t="s">
        <v>56115</v>
      </c>
      <c r="M6108" s="213" t="s">
        <v>56136</v>
      </c>
      <c r="N6108" s="213" t="s">
        <v>50779</v>
      </c>
      <c r="O6108" s="213" t="s">
        <v>50780</v>
      </c>
      <c r="P6108" s="213" t="s">
        <v>50781</v>
      </c>
      <c r="Q6108" s="213" t="s">
        <v>50782</v>
      </c>
      <c r="R6108" s="213" t="s">
        <v>50783</v>
      </c>
      <c r="S6108" s="213" t="s">
        <v>50784</v>
      </c>
      <c r="T6108" s="213" t="s">
        <v>50785</v>
      </c>
      <c r="U6108" s="213" t="s">
        <v>56157</v>
      </c>
    </row>
    <row r="6109" spans="1:21" x14ac:dyDescent="0.25">
      <c r="A6109" s="213" t="s">
        <v>327</v>
      </c>
      <c r="D6109" s="213" t="s">
        <v>50786</v>
      </c>
      <c r="E6109" s="213" t="s">
        <v>50787</v>
      </c>
      <c r="K6109" s="213" t="s">
        <v>56095</v>
      </c>
      <c r="L6109" s="213" t="s">
        <v>56116</v>
      </c>
      <c r="M6109" s="213" t="s">
        <v>56137</v>
      </c>
      <c r="N6109" s="213" t="s">
        <v>50788</v>
      </c>
      <c r="O6109" s="213" t="s">
        <v>50789</v>
      </c>
      <c r="P6109" s="213" t="s">
        <v>50790</v>
      </c>
      <c r="Q6109" s="213" t="s">
        <v>50791</v>
      </c>
      <c r="R6109" s="213" t="s">
        <v>50792</v>
      </c>
      <c r="S6109" s="213" t="s">
        <v>50793</v>
      </c>
      <c r="T6109" s="213" t="s">
        <v>50794</v>
      </c>
      <c r="U6109" s="213" t="s">
        <v>56158</v>
      </c>
    </row>
    <row r="6110" spans="1:21" x14ac:dyDescent="0.25">
      <c r="A6110" s="213" t="s">
        <v>327</v>
      </c>
      <c r="D6110" s="213" t="s">
        <v>50795</v>
      </c>
      <c r="E6110" s="213" t="s">
        <v>50796</v>
      </c>
      <c r="K6110" s="213" t="s">
        <v>56096</v>
      </c>
      <c r="L6110" s="213" t="s">
        <v>56117</v>
      </c>
      <c r="M6110" s="213" t="s">
        <v>56138</v>
      </c>
      <c r="N6110" s="213" t="s">
        <v>50797</v>
      </c>
      <c r="O6110" s="213" t="s">
        <v>50798</v>
      </c>
      <c r="P6110" s="213" t="s">
        <v>50799</v>
      </c>
      <c r="Q6110" s="213" t="s">
        <v>50800</v>
      </c>
      <c r="R6110" s="213" t="s">
        <v>50801</v>
      </c>
      <c r="S6110" s="213" t="s">
        <v>50802</v>
      </c>
      <c r="T6110" s="213" t="s">
        <v>50803</v>
      </c>
      <c r="U6110" s="213" t="s">
        <v>56159</v>
      </c>
    </row>
    <row r="6111" spans="1:21" x14ac:dyDescent="0.25">
      <c r="A6111" s="213" t="s">
        <v>327</v>
      </c>
      <c r="D6111" s="213" t="s">
        <v>50804</v>
      </c>
      <c r="E6111" s="213" t="s">
        <v>50805</v>
      </c>
      <c r="K6111" s="213" t="s">
        <v>56097</v>
      </c>
      <c r="L6111" s="213" t="s">
        <v>56118</v>
      </c>
      <c r="M6111" s="213" t="s">
        <v>56139</v>
      </c>
      <c r="N6111" s="213" t="s">
        <v>50806</v>
      </c>
      <c r="O6111" s="213" t="s">
        <v>50807</v>
      </c>
      <c r="P6111" s="213" t="s">
        <v>50808</v>
      </c>
      <c r="Q6111" s="213" t="s">
        <v>50809</v>
      </c>
      <c r="R6111" s="213" t="s">
        <v>50810</v>
      </c>
      <c r="S6111" s="213" t="s">
        <v>50811</v>
      </c>
      <c r="T6111" s="213" t="s">
        <v>50812</v>
      </c>
      <c r="U6111" s="213" t="s">
        <v>56160</v>
      </c>
    </row>
    <row r="6112" spans="1:21" x14ac:dyDescent="0.25">
      <c r="A6112" s="213" t="s">
        <v>327</v>
      </c>
      <c r="D6112" s="213" t="s">
        <v>50813</v>
      </c>
      <c r="E6112" s="213" t="s">
        <v>50814</v>
      </c>
      <c r="K6112" s="213" t="s">
        <v>56098</v>
      </c>
      <c r="L6112" s="213" t="s">
        <v>56119</v>
      </c>
      <c r="M6112" s="213" t="s">
        <v>56140</v>
      </c>
      <c r="N6112" s="213" t="s">
        <v>50815</v>
      </c>
      <c r="O6112" s="213" t="s">
        <v>50816</v>
      </c>
      <c r="P6112" s="213" t="s">
        <v>50817</v>
      </c>
      <c r="Q6112" s="213" t="s">
        <v>50818</v>
      </c>
      <c r="R6112" s="213" t="s">
        <v>50819</v>
      </c>
      <c r="S6112" s="213" t="s">
        <v>50820</v>
      </c>
      <c r="T6112" s="213" t="s">
        <v>50821</v>
      </c>
      <c r="U6112" s="213" t="s">
        <v>56161</v>
      </c>
    </row>
    <row r="6113" spans="1:21" x14ac:dyDescent="0.25">
      <c r="A6113" s="213" t="s">
        <v>327</v>
      </c>
      <c r="D6113" s="213" t="s">
        <v>50822</v>
      </c>
      <c r="E6113" s="213" t="s">
        <v>50823</v>
      </c>
      <c r="K6113" s="213" t="s">
        <v>56099</v>
      </c>
      <c r="L6113" s="213" t="s">
        <v>56120</v>
      </c>
      <c r="M6113" s="213" t="s">
        <v>56141</v>
      </c>
      <c r="N6113" s="213" t="s">
        <v>50824</v>
      </c>
      <c r="O6113" s="213" t="s">
        <v>50825</v>
      </c>
      <c r="P6113" s="213" t="s">
        <v>50826</v>
      </c>
      <c r="Q6113" s="213" t="s">
        <v>50827</v>
      </c>
      <c r="R6113" s="213" t="s">
        <v>50828</v>
      </c>
      <c r="S6113" s="213" t="s">
        <v>50829</v>
      </c>
      <c r="T6113" s="213" t="s">
        <v>50830</v>
      </c>
      <c r="U6113" s="213" t="s">
        <v>56162</v>
      </c>
    </row>
    <row r="6114" spans="1:21" x14ac:dyDescent="0.25">
      <c r="A6114" s="213" t="s">
        <v>327</v>
      </c>
      <c r="D6114" s="213" t="s">
        <v>50831</v>
      </c>
      <c r="E6114" s="213" t="s">
        <v>50832</v>
      </c>
      <c r="K6114" s="213" t="s">
        <v>56100</v>
      </c>
      <c r="L6114" s="213" t="s">
        <v>56121</v>
      </c>
      <c r="M6114" s="213" t="s">
        <v>56142</v>
      </c>
      <c r="N6114" s="213" t="s">
        <v>50833</v>
      </c>
      <c r="O6114" s="213" t="s">
        <v>50834</v>
      </c>
      <c r="P6114" s="213" t="s">
        <v>50835</v>
      </c>
      <c r="Q6114" s="213" t="s">
        <v>50836</v>
      </c>
      <c r="R6114" s="213" t="s">
        <v>50837</v>
      </c>
      <c r="S6114" s="213" t="s">
        <v>50838</v>
      </c>
      <c r="T6114" s="213" t="s">
        <v>50839</v>
      </c>
      <c r="U6114" s="213" t="s">
        <v>56163</v>
      </c>
    </row>
    <row r="6115" spans="1:21" x14ac:dyDescent="0.25">
      <c r="A6115" s="213" t="s">
        <v>327</v>
      </c>
      <c r="D6115" s="213" t="s">
        <v>50840</v>
      </c>
      <c r="E6115" s="213" t="s">
        <v>50841</v>
      </c>
      <c r="K6115" s="213" t="s">
        <v>56101</v>
      </c>
      <c r="L6115" s="213" t="s">
        <v>56122</v>
      </c>
      <c r="M6115" s="213" t="s">
        <v>56143</v>
      </c>
      <c r="N6115" s="213" t="s">
        <v>50842</v>
      </c>
      <c r="O6115" s="213" t="s">
        <v>50843</v>
      </c>
      <c r="P6115" s="213" t="s">
        <v>50844</v>
      </c>
      <c r="Q6115" s="213" t="s">
        <v>50845</v>
      </c>
      <c r="R6115" s="213" t="s">
        <v>50846</v>
      </c>
      <c r="S6115" s="213" t="s">
        <v>50847</v>
      </c>
      <c r="T6115" s="213" t="s">
        <v>50848</v>
      </c>
      <c r="U6115" s="213" t="s">
        <v>56164</v>
      </c>
    </row>
    <row r="6116" spans="1:21" x14ac:dyDescent="0.25">
      <c r="A6116" s="213" t="s">
        <v>327</v>
      </c>
      <c r="D6116" s="213" t="s">
        <v>50849</v>
      </c>
      <c r="E6116" s="213" t="s">
        <v>50850</v>
      </c>
      <c r="K6116" s="213" t="s">
        <v>56102</v>
      </c>
      <c r="L6116" s="213" t="s">
        <v>56123</v>
      </c>
      <c r="M6116" s="213" t="s">
        <v>56144</v>
      </c>
      <c r="N6116" s="213" t="s">
        <v>50851</v>
      </c>
      <c r="O6116" s="213" t="s">
        <v>50852</v>
      </c>
      <c r="P6116" s="213" t="s">
        <v>50853</v>
      </c>
      <c r="Q6116" s="213" t="s">
        <v>50854</v>
      </c>
      <c r="R6116" s="213" t="s">
        <v>50855</v>
      </c>
      <c r="S6116" s="213" t="s">
        <v>50856</v>
      </c>
      <c r="T6116" s="213" t="s">
        <v>50857</v>
      </c>
      <c r="U6116" s="213" t="s">
        <v>56165</v>
      </c>
    </row>
    <row r="6117" spans="1:21" x14ac:dyDescent="0.25">
      <c r="A6117" s="213" t="s">
        <v>327</v>
      </c>
      <c r="D6117" s="213" t="s">
        <v>50858</v>
      </c>
      <c r="E6117" s="213" t="s">
        <v>50859</v>
      </c>
      <c r="K6117" s="213" t="s">
        <v>56103</v>
      </c>
      <c r="L6117" s="213" t="s">
        <v>56124</v>
      </c>
      <c r="M6117" s="213" t="s">
        <v>56145</v>
      </c>
      <c r="N6117" s="213" t="s">
        <v>50860</v>
      </c>
      <c r="O6117" s="213" t="s">
        <v>50861</v>
      </c>
      <c r="P6117" s="213" t="s">
        <v>50862</v>
      </c>
      <c r="Q6117" s="213" t="s">
        <v>50863</v>
      </c>
      <c r="R6117" s="213" t="s">
        <v>50864</v>
      </c>
      <c r="S6117" s="213" t="s">
        <v>50865</v>
      </c>
      <c r="T6117" s="213" t="s">
        <v>50866</v>
      </c>
      <c r="U6117" s="213" t="s">
        <v>56166</v>
      </c>
    </row>
    <row r="6118" spans="1:21" x14ac:dyDescent="0.25">
      <c r="A6118" s="213" t="s">
        <v>327</v>
      </c>
      <c r="D6118" s="213" t="s">
        <v>50867</v>
      </c>
      <c r="E6118" s="213" t="s">
        <v>50868</v>
      </c>
      <c r="K6118" s="213" t="s">
        <v>56104</v>
      </c>
      <c r="L6118" s="213" t="s">
        <v>56125</v>
      </c>
      <c r="M6118" s="213" t="s">
        <v>56146</v>
      </c>
      <c r="N6118" s="213" t="s">
        <v>50869</v>
      </c>
      <c r="O6118" s="213" t="s">
        <v>50870</v>
      </c>
      <c r="P6118" s="213" t="s">
        <v>50871</v>
      </c>
      <c r="Q6118" s="213" t="s">
        <v>50872</v>
      </c>
      <c r="R6118" s="213" t="s">
        <v>50873</v>
      </c>
      <c r="S6118" s="213" t="s">
        <v>50874</v>
      </c>
      <c r="T6118" s="213" t="s">
        <v>50875</v>
      </c>
      <c r="U6118" s="213" t="s">
        <v>56167</v>
      </c>
    </row>
    <row r="6119" spans="1:21" x14ac:dyDescent="0.25">
      <c r="A6119" s="213" t="s">
        <v>327</v>
      </c>
      <c r="D6119" s="213" t="s">
        <v>50876</v>
      </c>
      <c r="E6119" s="213" t="s">
        <v>50877</v>
      </c>
      <c r="K6119" s="213" t="s">
        <v>56105</v>
      </c>
      <c r="L6119" s="213" t="s">
        <v>56126</v>
      </c>
      <c r="M6119" s="213" t="s">
        <v>56147</v>
      </c>
      <c r="N6119" s="213" t="s">
        <v>50878</v>
      </c>
      <c r="O6119" s="213" t="s">
        <v>50879</v>
      </c>
      <c r="P6119" s="213" t="s">
        <v>50880</v>
      </c>
      <c r="Q6119" s="213" t="s">
        <v>50881</v>
      </c>
      <c r="R6119" s="213" t="s">
        <v>50882</v>
      </c>
      <c r="S6119" s="213" t="s">
        <v>50883</v>
      </c>
      <c r="T6119" s="213" t="s">
        <v>50884</v>
      </c>
      <c r="U6119" s="213" t="s">
        <v>56168</v>
      </c>
    </row>
    <row r="6120" spans="1:21" x14ac:dyDescent="0.25">
      <c r="A6120" s="213" t="s">
        <v>327</v>
      </c>
      <c r="D6120" s="213" t="s">
        <v>50885</v>
      </c>
      <c r="E6120" s="213" t="s">
        <v>50886</v>
      </c>
      <c r="K6120" s="213" t="s">
        <v>56106</v>
      </c>
      <c r="L6120" s="213" t="s">
        <v>56127</v>
      </c>
      <c r="M6120" s="213" t="s">
        <v>56148</v>
      </c>
      <c r="N6120" s="213" t="s">
        <v>50887</v>
      </c>
      <c r="O6120" s="213" t="s">
        <v>50888</v>
      </c>
      <c r="P6120" s="213" t="s">
        <v>50889</v>
      </c>
      <c r="Q6120" s="213" t="s">
        <v>50890</v>
      </c>
      <c r="R6120" s="213" t="s">
        <v>50891</v>
      </c>
      <c r="S6120" s="213" t="s">
        <v>50892</v>
      </c>
      <c r="T6120" s="213" t="s">
        <v>50893</v>
      </c>
      <c r="U6120" s="213" t="s">
        <v>56169</v>
      </c>
    </row>
    <row r="6121" spans="1:21" x14ac:dyDescent="0.25">
      <c r="A6121" s="213" t="s">
        <v>327</v>
      </c>
    </row>
    <row r="6122" spans="1:21" x14ac:dyDescent="0.25">
      <c r="A6122" s="213" t="s">
        <v>327</v>
      </c>
    </row>
    <row r="6123" spans="1:21" x14ac:dyDescent="0.25">
      <c r="A6123" s="213" t="s">
        <v>327</v>
      </c>
      <c r="C6123" s="213" t="s">
        <v>50894</v>
      </c>
      <c r="E6123" s="213" t="s">
        <v>50895</v>
      </c>
      <c r="H6123" s="213" t="s">
        <v>50896</v>
      </c>
      <c r="I6123" s="213" t="s">
        <v>50897</v>
      </c>
      <c r="J6123" s="213" t="s">
        <v>50898</v>
      </c>
      <c r="L6123" s="213" t="s">
        <v>50899</v>
      </c>
      <c r="O6123" s="213" t="s">
        <v>50900</v>
      </c>
      <c r="P6123" s="213" t="s">
        <v>50901</v>
      </c>
      <c r="Q6123" s="213" t="s">
        <v>50902</v>
      </c>
      <c r="R6123" s="213" t="s">
        <v>50903</v>
      </c>
      <c r="S6123" s="213" t="s">
        <v>50904</v>
      </c>
      <c r="T6123" s="213" t="s">
        <v>50905</v>
      </c>
    </row>
    <row r="6124" spans="1:21" x14ac:dyDescent="0.25">
      <c r="A6124" s="213" t="s">
        <v>327</v>
      </c>
      <c r="C6124" s="213" t="s">
        <v>50906</v>
      </c>
      <c r="E6124" s="213" t="s">
        <v>50907</v>
      </c>
      <c r="I6124" s="213" t="s">
        <v>50908</v>
      </c>
    </row>
    <row r="6125" spans="1:21" x14ac:dyDescent="0.25">
      <c r="A6125" s="213" t="s">
        <v>327</v>
      </c>
      <c r="C6125" s="213" t="s">
        <v>50909</v>
      </c>
      <c r="E6125" s="213" t="s">
        <v>50910</v>
      </c>
      <c r="I6125" s="213" t="s">
        <v>50911</v>
      </c>
    </row>
    <row r="6126" spans="1:21" x14ac:dyDescent="0.25">
      <c r="A6126" s="213" t="s">
        <v>328</v>
      </c>
    </row>
    <row r="6127" spans="1:21" x14ac:dyDescent="0.25">
      <c r="A6127" s="213" t="s">
        <v>327</v>
      </c>
      <c r="D6127" s="213" t="s">
        <v>50912</v>
      </c>
      <c r="E6127" s="213" t="s">
        <v>50913</v>
      </c>
      <c r="K6127" s="213" t="s">
        <v>55978</v>
      </c>
      <c r="L6127" s="213" t="s">
        <v>56005</v>
      </c>
      <c r="M6127" s="213" t="s">
        <v>56032</v>
      </c>
      <c r="N6127" s="213" t="s">
        <v>50914</v>
      </c>
      <c r="O6127" s="213" t="s">
        <v>50915</v>
      </c>
      <c r="P6127" s="213" t="s">
        <v>50916</v>
      </c>
      <c r="Q6127" s="213" t="s">
        <v>50917</v>
      </c>
      <c r="R6127" s="213" t="s">
        <v>50918</v>
      </c>
      <c r="S6127" s="213" t="s">
        <v>50919</v>
      </c>
      <c r="T6127" s="213" t="s">
        <v>50920</v>
      </c>
      <c r="U6127" s="213" t="s">
        <v>56059</v>
      </c>
    </row>
    <row r="6128" spans="1:21" x14ac:dyDescent="0.25">
      <c r="A6128" s="213" t="s">
        <v>327</v>
      </c>
      <c r="D6128" s="213" t="s">
        <v>50921</v>
      </c>
      <c r="E6128" s="213" t="s">
        <v>50922</v>
      </c>
      <c r="K6128" s="213" t="s">
        <v>55979</v>
      </c>
      <c r="L6128" s="213" t="s">
        <v>56006</v>
      </c>
      <c r="M6128" s="213" t="s">
        <v>56033</v>
      </c>
      <c r="N6128" s="213" t="s">
        <v>50923</v>
      </c>
      <c r="O6128" s="213" t="s">
        <v>50924</v>
      </c>
      <c r="P6128" s="213" t="s">
        <v>50925</v>
      </c>
      <c r="Q6128" s="213" t="s">
        <v>50926</v>
      </c>
      <c r="R6128" s="213" t="s">
        <v>50927</v>
      </c>
      <c r="S6128" s="213" t="s">
        <v>50928</v>
      </c>
      <c r="T6128" s="213" t="s">
        <v>50929</v>
      </c>
      <c r="U6128" s="213" t="s">
        <v>56060</v>
      </c>
    </row>
    <row r="6129" spans="1:21" x14ac:dyDescent="0.25">
      <c r="A6129" s="213" t="s">
        <v>327</v>
      </c>
      <c r="D6129" s="213" t="s">
        <v>50930</v>
      </c>
      <c r="E6129" s="213" t="s">
        <v>50931</v>
      </c>
      <c r="K6129" s="213" t="s">
        <v>55980</v>
      </c>
      <c r="L6129" s="213" t="s">
        <v>56007</v>
      </c>
      <c r="M6129" s="213" t="s">
        <v>56034</v>
      </c>
      <c r="N6129" s="213" t="s">
        <v>50932</v>
      </c>
      <c r="O6129" s="213" t="s">
        <v>50933</v>
      </c>
      <c r="P6129" s="213" t="s">
        <v>50934</v>
      </c>
      <c r="Q6129" s="213" t="s">
        <v>50935</v>
      </c>
      <c r="R6129" s="213" t="s">
        <v>50936</v>
      </c>
      <c r="S6129" s="213" t="s">
        <v>50937</v>
      </c>
      <c r="T6129" s="213" t="s">
        <v>50938</v>
      </c>
      <c r="U6129" s="213" t="s">
        <v>56061</v>
      </c>
    </row>
    <row r="6130" spans="1:21" x14ac:dyDescent="0.25">
      <c r="A6130" s="213" t="s">
        <v>327</v>
      </c>
      <c r="D6130" s="213" t="s">
        <v>50939</v>
      </c>
      <c r="E6130" s="213" t="s">
        <v>50940</v>
      </c>
      <c r="K6130" s="213" t="s">
        <v>55981</v>
      </c>
      <c r="L6130" s="213" t="s">
        <v>56008</v>
      </c>
      <c r="M6130" s="213" t="s">
        <v>56035</v>
      </c>
      <c r="N6130" s="213" t="s">
        <v>50941</v>
      </c>
      <c r="O6130" s="213" t="s">
        <v>50942</v>
      </c>
      <c r="P6130" s="213" t="s">
        <v>50943</v>
      </c>
      <c r="Q6130" s="213" t="s">
        <v>50944</v>
      </c>
      <c r="R6130" s="213" t="s">
        <v>50945</v>
      </c>
      <c r="S6130" s="213" t="s">
        <v>50946</v>
      </c>
      <c r="T6130" s="213" t="s">
        <v>50947</v>
      </c>
      <c r="U6130" s="213" t="s">
        <v>56062</v>
      </c>
    </row>
    <row r="6131" spans="1:21" x14ac:dyDescent="0.25">
      <c r="A6131" s="213" t="s">
        <v>327</v>
      </c>
      <c r="D6131" s="213" t="s">
        <v>50948</v>
      </c>
      <c r="E6131" s="213" t="s">
        <v>50949</v>
      </c>
      <c r="K6131" s="213" t="s">
        <v>55982</v>
      </c>
      <c r="L6131" s="213" t="s">
        <v>56009</v>
      </c>
      <c r="M6131" s="213" t="s">
        <v>56036</v>
      </c>
      <c r="N6131" s="213" t="s">
        <v>50950</v>
      </c>
      <c r="O6131" s="213" t="s">
        <v>50951</v>
      </c>
      <c r="P6131" s="213" t="s">
        <v>50952</v>
      </c>
      <c r="Q6131" s="213" t="s">
        <v>50953</v>
      </c>
      <c r="R6131" s="213" t="s">
        <v>50954</v>
      </c>
      <c r="S6131" s="213" t="s">
        <v>50955</v>
      </c>
      <c r="T6131" s="213" t="s">
        <v>50956</v>
      </c>
      <c r="U6131" s="213" t="s">
        <v>56063</v>
      </c>
    </row>
    <row r="6132" spans="1:21" x14ac:dyDescent="0.25">
      <c r="A6132" s="213" t="s">
        <v>327</v>
      </c>
      <c r="D6132" s="213" t="s">
        <v>50957</v>
      </c>
      <c r="E6132" s="213" t="s">
        <v>50958</v>
      </c>
      <c r="K6132" s="213" t="s">
        <v>55983</v>
      </c>
      <c r="L6132" s="213" t="s">
        <v>56010</v>
      </c>
      <c r="M6132" s="213" t="s">
        <v>56037</v>
      </c>
      <c r="N6132" s="213" t="s">
        <v>50959</v>
      </c>
      <c r="O6132" s="213" t="s">
        <v>50960</v>
      </c>
      <c r="P6132" s="213" t="s">
        <v>50961</v>
      </c>
      <c r="Q6132" s="213" t="s">
        <v>50962</v>
      </c>
      <c r="R6132" s="213" t="s">
        <v>50963</v>
      </c>
      <c r="S6132" s="213" t="s">
        <v>50964</v>
      </c>
      <c r="T6132" s="213" t="s">
        <v>50965</v>
      </c>
      <c r="U6132" s="213" t="s">
        <v>56064</v>
      </c>
    </row>
    <row r="6133" spans="1:21" x14ac:dyDescent="0.25">
      <c r="A6133" s="213" t="s">
        <v>327</v>
      </c>
      <c r="D6133" s="213" t="s">
        <v>50966</v>
      </c>
      <c r="E6133" s="213" t="s">
        <v>50967</v>
      </c>
      <c r="K6133" s="213" t="s">
        <v>55984</v>
      </c>
      <c r="L6133" s="213" t="s">
        <v>56011</v>
      </c>
      <c r="M6133" s="213" t="s">
        <v>56038</v>
      </c>
      <c r="N6133" s="213" t="s">
        <v>50968</v>
      </c>
      <c r="O6133" s="213" t="s">
        <v>50969</v>
      </c>
      <c r="P6133" s="213" t="s">
        <v>50970</v>
      </c>
      <c r="Q6133" s="213" t="s">
        <v>50971</v>
      </c>
      <c r="R6133" s="213" t="s">
        <v>50972</v>
      </c>
      <c r="S6133" s="213" t="s">
        <v>50973</v>
      </c>
      <c r="T6133" s="213" t="s">
        <v>50974</v>
      </c>
      <c r="U6133" s="213" t="s">
        <v>56065</v>
      </c>
    </row>
    <row r="6134" spans="1:21" x14ac:dyDescent="0.25">
      <c r="A6134" s="213" t="s">
        <v>327</v>
      </c>
      <c r="D6134" s="213" t="s">
        <v>50975</v>
      </c>
      <c r="E6134" s="213" t="s">
        <v>50976</v>
      </c>
      <c r="K6134" s="213" t="s">
        <v>55985</v>
      </c>
      <c r="L6134" s="213" t="s">
        <v>56012</v>
      </c>
      <c r="M6134" s="213" t="s">
        <v>56039</v>
      </c>
      <c r="N6134" s="213" t="s">
        <v>50977</v>
      </c>
      <c r="O6134" s="213" t="s">
        <v>50978</v>
      </c>
      <c r="P6134" s="213" t="s">
        <v>50979</v>
      </c>
      <c r="Q6134" s="213" t="s">
        <v>50980</v>
      </c>
      <c r="R6134" s="213" t="s">
        <v>50981</v>
      </c>
      <c r="S6134" s="213" t="s">
        <v>50982</v>
      </c>
      <c r="T6134" s="213" t="s">
        <v>50983</v>
      </c>
      <c r="U6134" s="213" t="s">
        <v>56066</v>
      </c>
    </row>
    <row r="6135" spans="1:21" x14ac:dyDescent="0.25">
      <c r="A6135" s="213" t="s">
        <v>327</v>
      </c>
      <c r="D6135" s="213" t="s">
        <v>50984</v>
      </c>
      <c r="E6135" s="213" t="s">
        <v>50985</v>
      </c>
      <c r="K6135" s="213" t="s">
        <v>55986</v>
      </c>
      <c r="L6135" s="213" t="s">
        <v>56013</v>
      </c>
      <c r="M6135" s="213" t="s">
        <v>56040</v>
      </c>
      <c r="N6135" s="213" t="s">
        <v>50986</v>
      </c>
      <c r="O6135" s="213" t="s">
        <v>50987</v>
      </c>
      <c r="P6135" s="213" t="s">
        <v>50988</v>
      </c>
      <c r="Q6135" s="213" t="s">
        <v>50989</v>
      </c>
      <c r="R6135" s="213" t="s">
        <v>50990</v>
      </c>
      <c r="S6135" s="213" t="s">
        <v>50991</v>
      </c>
      <c r="T6135" s="213" t="s">
        <v>50992</v>
      </c>
      <c r="U6135" s="213" t="s">
        <v>56067</v>
      </c>
    </row>
    <row r="6136" spans="1:21" x14ac:dyDescent="0.25">
      <c r="A6136" s="213" t="s">
        <v>327</v>
      </c>
      <c r="D6136" s="213" t="s">
        <v>50993</v>
      </c>
      <c r="E6136" s="213" t="s">
        <v>50994</v>
      </c>
      <c r="K6136" s="213" t="s">
        <v>55987</v>
      </c>
      <c r="L6136" s="213" t="s">
        <v>56014</v>
      </c>
      <c r="M6136" s="213" t="s">
        <v>56041</v>
      </c>
      <c r="N6136" s="213" t="s">
        <v>50995</v>
      </c>
      <c r="O6136" s="213" t="s">
        <v>50996</v>
      </c>
      <c r="P6136" s="213" t="s">
        <v>50997</v>
      </c>
      <c r="Q6136" s="213" t="s">
        <v>50998</v>
      </c>
      <c r="R6136" s="213" t="s">
        <v>50999</v>
      </c>
      <c r="S6136" s="213" t="s">
        <v>51000</v>
      </c>
      <c r="T6136" s="213" t="s">
        <v>51001</v>
      </c>
      <c r="U6136" s="213" t="s">
        <v>56068</v>
      </c>
    </row>
    <row r="6137" spans="1:21" x14ac:dyDescent="0.25">
      <c r="A6137" s="213" t="s">
        <v>327</v>
      </c>
      <c r="D6137" s="213" t="s">
        <v>51002</v>
      </c>
      <c r="E6137" s="213" t="s">
        <v>51003</v>
      </c>
      <c r="K6137" s="213" t="s">
        <v>55988</v>
      </c>
      <c r="L6137" s="213" t="s">
        <v>56015</v>
      </c>
      <c r="M6137" s="213" t="s">
        <v>56042</v>
      </c>
      <c r="N6137" s="213" t="s">
        <v>51004</v>
      </c>
      <c r="O6137" s="213" t="s">
        <v>51005</v>
      </c>
      <c r="P6137" s="213" t="s">
        <v>51006</v>
      </c>
      <c r="Q6137" s="213" t="s">
        <v>51007</v>
      </c>
      <c r="R6137" s="213" t="s">
        <v>51008</v>
      </c>
      <c r="S6137" s="213" t="s">
        <v>51009</v>
      </c>
      <c r="T6137" s="213" t="s">
        <v>51010</v>
      </c>
      <c r="U6137" s="213" t="s">
        <v>56069</v>
      </c>
    </row>
    <row r="6138" spans="1:21" x14ac:dyDescent="0.25">
      <c r="A6138" s="213" t="s">
        <v>327</v>
      </c>
      <c r="D6138" s="213" t="s">
        <v>51011</v>
      </c>
      <c r="E6138" s="213" t="s">
        <v>51012</v>
      </c>
      <c r="K6138" s="213" t="s">
        <v>55989</v>
      </c>
      <c r="L6138" s="213" t="s">
        <v>56016</v>
      </c>
      <c r="M6138" s="213" t="s">
        <v>56043</v>
      </c>
      <c r="N6138" s="213" t="s">
        <v>51013</v>
      </c>
      <c r="O6138" s="213" t="s">
        <v>51014</v>
      </c>
      <c r="P6138" s="213" t="s">
        <v>51015</v>
      </c>
      <c r="Q6138" s="213" t="s">
        <v>51016</v>
      </c>
      <c r="R6138" s="213" t="s">
        <v>51017</v>
      </c>
      <c r="S6138" s="213" t="s">
        <v>51018</v>
      </c>
      <c r="T6138" s="213" t="s">
        <v>51019</v>
      </c>
      <c r="U6138" s="213" t="s">
        <v>56070</v>
      </c>
    </row>
    <row r="6139" spans="1:21" x14ac:dyDescent="0.25">
      <c r="A6139" s="213" t="s">
        <v>327</v>
      </c>
      <c r="D6139" s="213" t="s">
        <v>51020</v>
      </c>
      <c r="E6139" s="213" t="s">
        <v>51021</v>
      </c>
      <c r="K6139" s="213" t="s">
        <v>55990</v>
      </c>
      <c r="L6139" s="213" t="s">
        <v>56017</v>
      </c>
      <c r="M6139" s="213" t="s">
        <v>56044</v>
      </c>
      <c r="N6139" s="213" t="s">
        <v>51022</v>
      </c>
      <c r="O6139" s="213" t="s">
        <v>51023</v>
      </c>
      <c r="P6139" s="213" t="s">
        <v>51024</v>
      </c>
      <c r="Q6139" s="213" t="s">
        <v>51025</v>
      </c>
      <c r="R6139" s="213" t="s">
        <v>51026</v>
      </c>
      <c r="S6139" s="213" t="s">
        <v>51027</v>
      </c>
      <c r="T6139" s="213" t="s">
        <v>51028</v>
      </c>
      <c r="U6139" s="213" t="s">
        <v>56071</v>
      </c>
    </row>
    <row r="6140" spans="1:21" x14ac:dyDescent="0.25">
      <c r="A6140" s="213" t="s">
        <v>327</v>
      </c>
      <c r="D6140" s="213" t="s">
        <v>51029</v>
      </c>
      <c r="E6140" s="213" t="s">
        <v>51030</v>
      </c>
      <c r="K6140" s="213" t="s">
        <v>55991</v>
      </c>
      <c r="L6140" s="213" t="s">
        <v>56018</v>
      </c>
      <c r="M6140" s="213" t="s">
        <v>56045</v>
      </c>
      <c r="N6140" s="213" t="s">
        <v>51031</v>
      </c>
      <c r="O6140" s="213" t="s">
        <v>51032</v>
      </c>
      <c r="P6140" s="213" t="s">
        <v>51033</v>
      </c>
      <c r="Q6140" s="213" t="s">
        <v>51034</v>
      </c>
      <c r="R6140" s="213" t="s">
        <v>51035</v>
      </c>
      <c r="S6140" s="213" t="s">
        <v>51036</v>
      </c>
      <c r="T6140" s="213" t="s">
        <v>51037</v>
      </c>
      <c r="U6140" s="213" t="s">
        <v>56072</v>
      </c>
    </row>
    <row r="6141" spans="1:21" x14ac:dyDescent="0.25">
      <c r="A6141" s="213" t="s">
        <v>327</v>
      </c>
      <c r="D6141" s="213" t="s">
        <v>51038</v>
      </c>
      <c r="E6141" s="213" t="s">
        <v>51039</v>
      </c>
      <c r="K6141" s="213" t="s">
        <v>55992</v>
      </c>
      <c r="L6141" s="213" t="s">
        <v>56019</v>
      </c>
      <c r="M6141" s="213" t="s">
        <v>56046</v>
      </c>
      <c r="N6141" s="213" t="s">
        <v>51040</v>
      </c>
      <c r="O6141" s="213" t="s">
        <v>51041</v>
      </c>
      <c r="P6141" s="213" t="s">
        <v>51042</v>
      </c>
      <c r="Q6141" s="213" t="s">
        <v>51043</v>
      </c>
      <c r="R6141" s="213" t="s">
        <v>51044</v>
      </c>
      <c r="S6141" s="213" t="s">
        <v>51045</v>
      </c>
      <c r="T6141" s="213" t="s">
        <v>51046</v>
      </c>
      <c r="U6141" s="213" t="s">
        <v>56073</v>
      </c>
    </row>
    <row r="6142" spans="1:21" x14ac:dyDescent="0.25">
      <c r="A6142" s="213" t="s">
        <v>327</v>
      </c>
      <c r="D6142" s="213" t="s">
        <v>51047</v>
      </c>
      <c r="E6142" s="213" t="s">
        <v>51048</v>
      </c>
      <c r="K6142" s="213" t="s">
        <v>55993</v>
      </c>
      <c r="L6142" s="213" t="s">
        <v>56020</v>
      </c>
      <c r="M6142" s="213" t="s">
        <v>56047</v>
      </c>
      <c r="N6142" s="213" t="s">
        <v>51049</v>
      </c>
      <c r="O6142" s="213" t="s">
        <v>51050</v>
      </c>
      <c r="P6142" s="213" t="s">
        <v>51051</v>
      </c>
      <c r="Q6142" s="213" t="s">
        <v>51052</v>
      </c>
      <c r="R6142" s="213" t="s">
        <v>51053</v>
      </c>
      <c r="S6142" s="213" t="s">
        <v>51054</v>
      </c>
      <c r="T6142" s="213" t="s">
        <v>51055</v>
      </c>
      <c r="U6142" s="213" t="s">
        <v>56074</v>
      </c>
    </row>
    <row r="6143" spans="1:21" x14ac:dyDescent="0.25">
      <c r="A6143" s="213" t="s">
        <v>327</v>
      </c>
      <c r="D6143" s="213" t="s">
        <v>51056</v>
      </c>
      <c r="E6143" s="213" t="s">
        <v>51057</v>
      </c>
      <c r="K6143" s="213" t="s">
        <v>55994</v>
      </c>
      <c r="L6143" s="213" t="s">
        <v>56021</v>
      </c>
      <c r="M6143" s="213" t="s">
        <v>56048</v>
      </c>
      <c r="N6143" s="213" t="s">
        <v>51058</v>
      </c>
      <c r="O6143" s="213" t="s">
        <v>51059</v>
      </c>
      <c r="P6143" s="213" t="s">
        <v>51060</v>
      </c>
      <c r="Q6143" s="213" t="s">
        <v>51061</v>
      </c>
      <c r="R6143" s="213" t="s">
        <v>51062</v>
      </c>
      <c r="S6143" s="213" t="s">
        <v>51063</v>
      </c>
      <c r="T6143" s="213" t="s">
        <v>51064</v>
      </c>
      <c r="U6143" s="213" t="s">
        <v>56075</v>
      </c>
    </row>
    <row r="6144" spans="1:21" x14ac:dyDescent="0.25">
      <c r="A6144" s="213" t="s">
        <v>327</v>
      </c>
      <c r="D6144" s="213" t="s">
        <v>51065</v>
      </c>
      <c r="E6144" s="213" t="s">
        <v>51066</v>
      </c>
      <c r="K6144" s="213" t="s">
        <v>55995</v>
      </c>
      <c r="L6144" s="213" t="s">
        <v>56022</v>
      </c>
      <c r="M6144" s="213" t="s">
        <v>56049</v>
      </c>
      <c r="N6144" s="213" t="s">
        <v>51067</v>
      </c>
      <c r="O6144" s="213" t="s">
        <v>51068</v>
      </c>
      <c r="P6144" s="213" t="s">
        <v>51069</v>
      </c>
      <c r="Q6144" s="213" t="s">
        <v>51070</v>
      </c>
      <c r="R6144" s="213" t="s">
        <v>51071</v>
      </c>
      <c r="S6144" s="213" t="s">
        <v>51072</v>
      </c>
      <c r="T6144" s="213" t="s">
        <v>51073</v>
      </c>
      <c r="U6144" s="213" t="s">
        <v>56076</v>
      </c>
    </row>
    <row r="6145" spans="1:21" x14ac:dyDescent="0.25">
      <c r="A6145" s="213" t="s">
        <v>327</v>
      </c>
      <c r="D6145" s="213" t="s">
        <v>51074</v>
      </c>
      <c r="E6145" s="213" t="s">
        <v>51075</v>
      </c>
      <c r="K6145" s="213" t="s">
        <v>55996</v>
      </c>
      <c r="L6145" s="213" t="s">
        <v>56023</v>
      </c>
      <c r="M6145" s="213" t="s">
        <v>56050</v>
      </c>
      <c r="N6145" s="213" t="s">
        <v>51076</v>
      </c>
      <c r="O6145" s="213" t="s">
        <v>51077</v>
      </c>
      <c r="P6145" s="213" t="s">
        <v>51078</v>
      </c>
      <c r="Q6145" s="213" t="s">
        <v>51079</v>
      </c>
      <c r="R6145" s="213" t="s">
        <v>51080</v>
      </c>
      <c r="S6145" s="213" t="s">
        <v>51081</v>
      </c>
      <c r="T6145" s="213" t="s">
        <v>51082</v>
      </c>
      <c r="U6145" s="213" t="s">
        <v>56077</v>
      </c>
    </row>
    <row r="6146" spans="1:21" x14ac:dyDescent="0.25">
      <c r="A6146" s="213" t="s">
        <v>327</v>
      </c>
      <c r="D6146" s="213" t="s">
        <v>51083</v>
      </c>
      <c r="E6146" s="213" t="s">
        <v>51084</v>
      </c>
      <c r="K6146" s="213" t="s">
        <v>55997</v>
      </c>
      <c r="L6146" s="213" t="s">
        <v>56024</v>
      </c>
      <c r="M6146" s="213" t="s">
        <v>56051</v>
      </c>
      <c r="N6146" s="213" t="s">
        <v>51085</v>
      </c>
      <c r="O6146" s="213" t="s">
        <v>51086</v>
      </c>
      <c r="P6146" s="213" t="s">
        <v>51087</v>
      </c>
      <c r="Q6146" s="213" t="s">
        <v>51088</v>
      </c>
      <c r="R6146" s="213" t="s">
        <v>51089</v>
      </c>
      <c r="S6146" s="213" t="s">
        <v>51090</v>
      </c>
      <c r="T6146" s="213" t="s">
        <v>51091</v>
      </c>
      <c r="U6146" s="213" t="s">
        <v>56078</v>
      </c>
    </row>
    <row r="6147" spans="1:21" x14ac:dyDescent="0.25">
      <c r="A6147" s="213" t="s">
        <v>327</v>
      </c>
      <c r="D6147" s="213" t="s">
        <v>51092</v>
      </c>
      <c r="E6147" s="213" t="s">
        <v>51093</v>
      </c>
      <c r="K6147" s="213" t="s">
        <v>55998</v>
      </c>
      <c r="L6147" s="213" t="s">
        <v>56025</v>
      </c>
      <c r="M6147" s="213" t="s">
        <v>56052</v>
      </c>
      <c r="N6147" s="213" t="s">
        <v>51094</v>
      </c>
      <c r="O6147" s="213" t="s">
        <v>51095</v>
      </c>
      <c r="P6147" s="213" t="s">
        <v>51096</v>
      </c>
      <c r="Q6147" s="213" t="s">
        <v>51097</v>
      </c>
      <c r="R6147" s="213" t="s">
        <v>51098</v>
      </c>
      <c r="S6147" s="213" t="s">
        <v>51099</v>
      </c>
      <c r="T6147" s="213" t="s">
        <v>51100</v>
      </c>
      <c r="U6147" s="213" t="s">
        <v>56079</v>
      </c>
    </row>
    <row r="6148" spans="1:21" x14ac:dyDescent="0.25">
      <c r="A6148" s="213" t="s">
        <v>327</v>
      </c>
      <c r="D6148" s="213" t="s">
        <v>51101</v>
      </c>
      <c r="E6148" s="213" t="s">
        <v>51102</v>
      </c>
      <c r="K6148" s="213" t="s">
        <v>55999</v>
      </c>
      <c r="L6148" s="213" t="s">
        <v>56026</v>
      </c>
      <c r="M6148" s="213" t="s">
        <v>56053</v>
      </c>
      <c r="N6148" s="213" t="s">
        <v>51103</v>
      </c>
      <c r="O6148" s="213" t="s">
        <v>51104</v>
      </c>
      <c r="P6148" s="213" t="s">
        <v>51105</v>
      </c>
      <c r="Q6148" s="213" t="s">
        <v>51106</v>
      </c>
      <c r="R6148" s="213" t="s">
        <v>51107</v>
      </c>
      <c r="S6148" s="213" t="s">
        <v>51108</v>
      </c>
      <c r="T6148" s="213" t="s">
        <v>51109</v>
      </c>
      <c r="U6148" s="213" t="s">
        <v>56080</v>
      </c>
    </row>
    <row r="6149" spans="1:21" x14ac:dyDescent="0.25">
      <c r="A6149" s="213" t="s">
        <v>327</v>
      </c>
      <c r="D6149" s="213" t="s">
        <v>51110</v>
      </c>
      <c r="E6149" s="213" t="s">
        <v>51111</v>
      </c>
      <c r="K6149" s="213" t="s">
        <v>56000</v>
      </c>
      <c r="L6149" s="213" t="s">
        <v>56027</v>
      </c>
      <c r="M6149" s="213" t="s">
        <v>56054</v>
      </c>
      <c r="N6149" s="213" t="s">
        <v>51112</v>
      </c>
      <c r="O6149" s="213" t="s">
        <v>51113</v>
      </c>
      <c r="P6149" s="213" t="s">
        <v>51114</v>
      </c>
      <c r="Q6149" s="213" t="s">
        <v>51115</v>
      </c>
      <c r="R6149" s="213" t="s">
        <v>51116</v>
      </c>
      <c r="S6149" s="213" t="s">
        <v>51117</v>
      </c>
      <c r="T6149" s="213" t="s">
        <v>51118</v>
      </c>
      <c r="U6149" s="213" t="s">
        <v>56081</v>
      </c>
    </row>
    <row r="6150" spans="1:21" x14ac:dyDescent="0.25">
      <c r="A6150" s="213" t="s">
        <v>327</v>
      </c>
      <c r="D6150" s="213" t="s">
        <v>51119</v>
      </c>
      <c r="E6150" s="213" t="s">
        <v>51120</v>
      </c>
      <c r="K6150" s="213" t="s">
        <v>56001</v>
      </c>
      <c r="L6150" s="213" t="s">
        <v>56028</v>
      </c>
      <c r="M6150" s="213" t="s">
        <v>56055</v>
      </c>
      <c r="N6150" s="213" t="s">
        <v>51121</v>
      </c>
      <c r="O6150" s="213" t="s">
        <v>51122</v>
      </c>
      <c r="P6150" s="213" t="s">
        <v>51123</v>
      </c>
      <c r="Q6150" s="213" t="s">
        <v>51124</v>
      </c>
      <c r="R6150" s="213" t="s">
        <v>51125</v>
      </c>
      <c r="S6150" s="213" t="s">
        <v>51126</v>
      </c>
      <c r="T6150" s="213" t="s">
        <v>51127</v>
      </c>
      <c r="U6150" s="213" t="s">
        <v>56082</v>
      </c>
    </row>
    <row r="6151" spans="1:21" x14ac:dyDescent="0.25">
      <c r="A6151" s="213" t="s">
        <v>327</v>
      </c>
      <c r="D6151" s="213" t="s">
        <v>51128</v>
      </c>
      <c r="E6151" s="213" t="s">
        <v>51129</v>
      </c>
      <c r="K6151" s="213" t="s">
        <v>56002</v>
      </c>
      <c r="L6151" s="213" t="s">
        <v>56029</v>
      </c>
      <c r="M6151" s="213" t="s">
        <v>56056</v>
      </c>
      <c r="N6151" s="213" t="s">
        <v>51130</v>
      </c>
      <c r="O6151" s="213" t="s">
        <v>51131</v>
      </c>
      <c r="P6151" s="213" t="s">
        <v>51132</v>
      </c>
      <c r="Q6151" s="213" t="s">
        <v>51133</v>
      </c>
      <c r="R6151" s="213" t="s">
        <v>51134</v>
      </c>
      <c r="S6151" s="213" t="s">
        <v>51135</v>
      </c>
      <c r="T6151" s="213" t="s">
        <v>51136</v>
      </c>
      <c r="U6151" s="213" t="s">
        <v>56083</v>
      </c>
    </row>
    <row r="6152" spans="1:21" x14ac:dyDescent="0.25">
      <c r="A6152" s="213" t="s">
        <v>327</v>
      </c>
      <c r="D6152" s="213" t="s">
        <v>51137</v>
      </c>
      <c r="E6152" s="213" t="s">
        <v>51138</v>
      </c>
      <c r="K6152" s="213" t="s">
        <v>56003</v>
      </c>
      <c r="L6152" s="213" t="s">
        <v>56030</v>
      </c>
      <c r="M6152" s="213" t="s">
        <v>56057</v>
      </c>
      <c r="N6152" s="213" t="s">
        <v>51139</v>
      </c>
      <c r="O6152" s="213" t="s">
        <v>51140</v>
      </c>
      <c r="P6152" s="213" t="s">
        <v>51141</v>
      </c>
      <c r="Q6152" s="213" t="s">
        <v>51142</v>
      </c>
      <c r="R6152" s="213" t="s">
        <v>51143</v>
      </c>
      <c r="S6152" s="213" t="s">
        <v>51144</v>
      </c>
      <c r="T6152" s="213" t="s">
        <v>51145</v>
      </c>
      <c r="U6152" s="213" t="s">
        <v>56084</v>
      </c>
    </row>
    <row r="6153" spans="1:21" x14ac:dyDescent="0.25">
      <c r="A6153" s="213" t="s">
        <v>327</v>
      </c>
      <c r="D6153" s="213" t="s">
        <v>51146</v>
      </c>
      <c r="E6153" s="213" t="s">
        <v>51147</v>
      </c>
      <c r="K6153" s="213" t="s">
        <v>56004</v>
      </c>
      <c r="L6153" s="213" t="s">
        <v>56031</v>
      </c>
      <c r="M6153" s="213" t="s">
        <v>56058</v>
      </c>
      <c r="N6153" s="213" t="s">
        <v>51148</v>
      </c>
      <c r="O6153" s="213" t="s">
        <v>51149</v>
      </c>
      <c r="P6153" s="213" t="s">
        <v>51150</v>
      </c>
      <c r="Q6153" s="213" t="s">
        <v>51151</v>
      </c>
      <c r="R6153" s="213" t="s">
        <v>51152</v>
      </c>
      <c r="S6153" s="213" t="s">
        <v>51153</v>
      </c>
      <c r="T6153" s="213" t="s">
        <v>51154</v>
      </c>
      <c r="U6153" s="213" t="s">
        <v>56085</v>
      </c>
    </row>
    <row r="6154" spans="1:21" x14ac:dyDescent="0.25">
      <c r="A6154" s="213" t="s">
        <v>327</v>
      </c>
    </row>
    <row r="6155" spans="1:21" x14ac:dyDescent="0.25">
      <c r="A6155" s="213" t="s">
        <v>327</v>
      </c>
    </row>
    <row r="6156" spans="1:21" x14ac:dyDescent="0.25">
      <c r="A6156" s="213" t="s">
        <v>327</v>
      </c>
      <c r="C6156" s="213" t="s">
        <v>51155</v>
      </c>
      <c r="E6156" s="213" t="s">
        <v>51156</v>
      </c>
      <c r="H6156" s="213" t="s">
        <v>51157</v>
      </c>
      <c r="I6156" s="213" t="s">
        <v>51158</v>
      </c>
      <c r="J6156" s="213" t="s">
        <v>51159</v>
      </c>
      <c r="L6156" s="213" t="s">
        <v>51160</v>
      </c>
      <c r="O6156" s="213" t="s">
        <v>51161</v>
      </c>
      <c r="P6156" s="213" t="s">
        <v>51162</v>
      </c>
      <c r="Q6156" s="213" t="s">
        <v>51163</v>
      </c>
      <c r="R6156" s="213" t="s">
        <v>51164</v>
      </c>
      <c r="S6156" s="213" t="s">
        <v>51165</v>
      </c>
      <c r="T6156" s="213" t="s">
        <v>51166</v>
      </c>
    </row>
    <row r="6157" spans="1:21" x14ac:dyDescent="0.25">
      <c r="A6157" s="213" t="s">
        <v>327</v>
      </c>
      <c r="C6157" s="213" t="s">
        <v>51167</v>
      </c>
      <c r="E6157" s="213" t="s">
        <v>51168</v>
      </c>
      <c r="I6157" s="213" t="s">
        <v>51169</v>
      </c>
    </row>
    <row r="6158" spans="1:21" x14ac:dyDescent="0.25">
      <c r="A6158" s="213" t="s">
        <v>327</v>
      </c>
      <c r="C6158" s="213" t="s">
        <v>51170</v>
      </c>
      <c r="E6158" s="213" t="s">
        <v>51171</v>
      </c>
      <c r="I6158" s="213" t="s">
        <v>51172</v>
      </c>
    </row>
    <row r="6159" spans="1:21" x14ac:dyDescent="0.25">
      <c r="A6159" s="213" t="s">
        <v>328</v>
      </c>
    </row>
    <row r="6160" spans="1:21" x14ac:dyDescent="0.25">
      <c r="A6160" s="213" t="s">
        <v>327</v>
      </c>
      <c r="D6160" s="213" t="s">
        <v>51173</v>
      </c>
      <c r="E6160" s="213" t="s">
        <v>51174</v>
      </c>
      <c r="K6160" s="213" t="s">
        <v>55846</v>
      </c>
      <c r="L6160" s="213" t="s">
        <v>55879</v>
      </c>
      <c r="M6160" s="213" t="s">
        <v>55912</v>
      </c>
      <c r="N6160" s="213" t="s">
        <v>51175</v>
      </c>
      <c r="O6160" s="213" t="s">
        <v>51176</v>
      </c>
      <c r="P6160" s="213" t="s">
        <v>51177</v>
      </c>
      <c r="Q6160" s="213" t="s">
        <v>51178</v>
      </c>
      <c r="R6160" s="213" t="s">
        <v>51179</v>
      </c>
      <c r="S6160" s="213" t="s">
        <v>51180</v>
      </c>
      <c r="T6160" s="213" t="s">
        <v>51181</v>
      </c>
      <c r="U6160" s="213" t="s">
        <v>55945</v>
      </c>
    </row>
    <row r="6161" spans="1:21" x14ac:dyDescent="0.25">
      <c r="A6161" s="213" t="s">
        <v>327</v>
      </c>
      <c r="D6161" s="213" t="s">
        <v>51182</v>
      </c>
      <c r="E6161" s="213" t="s">
        <v>51183</v>
      </c>
      <c r="K6161" s="213" t="s">
        <v>55847</v>
      </c>
      <c r="L6161" s="213" t="s">
        <v>55880</v>
      </c>
      <c r="M6161" s="213" t="s">
        <v>55913</v>
      </c>
      <c r="N6161" s="213" t="s">
        <v>51184</v>
      </c>
      <c r="O6161" s="213" t="s">
        <v>51185</v>
      </c>
      <c r="P6161" s="213" t="s">
        <v>51186</v>
      </c>
      <c r="Q6161" s="213" t="s">
        <v>51187</v>
      </c>
      <c r="R6161" s="213" t="s">
        <v>51188</v>
      </c>
      <c r="S6161" s="213" t="s">
        <v>51189</v>
      </c>
      <c r="T6161" s="213" t="s">
        <v>51190</v>
      </c>
      <c r="U6161" s="213" t="s">
        <v>55946</v>
      </c>
    </row>
    <row r="6162" spans="1:21" x14ac:dyDescent="0.25">
      <c r="A6162" s="213" t="s">
        <v>327</v>
      </c>
      <c r="D6162" s="213" t="s">
        <v>51191</v>
      </c>
      <c r="E6162" s="213" t="s">
        <v>51192</v>
      </c>
      <c r="K6162" s="213" t="s">
        <v>55848</v>
      </c>
      <c r="L6162" s="213" t="s">
        <v>55881</v>
      </c>
      <c r="M6162" s="213" t="s">
        <v>55914</v>
      </c>
      <c r="N6162" s="213" t="s">
        <v>51193</v>
      </c>
      <c r="O6162" s="213" t="s">
        <v>51194</v>
      </c>
      <c r="P6162" s="213" t="s">
        <v>51195</v>
      </c>
      <c r="Q6162" s="213" t="s">
        <v>51196</v>
      </c>
      <c r="R6162" s="213" t="s">
        <v>51197</v>
      </c>
      <c r="S6162" s="213" t="s">
        <v>51198</v>
      </c>
      <c r="T6162" s="213" t="s">
        <v>51199</v>
      </c>
      <c r="U6162" s="213" t="s">
        <v>55947</v>
      </c>
    </row>
    <row r="6163" spans="1:21" x14ac:dyDescent="0.25">
      <c r="A6163" s="213" t="s">
        <v>327</v>
      </c>
      <c r="D6163" s="213" t="s">
        <v>51200</v>
      </c>
      <c r="E6163" s="213" t="s">
        <v>51201</v>
      </c>
      <c r="K6163" s="213" t="s">
        <v>55849</v>
      </c>
      <c r="L6163" s="213" t="s">
        <v>55882</v>
      </c>
      <c r="M6163" s="213" t="s">
        <v>55915</v>
      </c>
      <c r="N6163" s="213" t="s">
        <v>51202</v>
      </c>
      <c r="O6163" s="213" t="s">
        <v>51203</v>
      </c>
      <c r="P6163" s="213" t="s">
        <v>51204</v>
      </c>
      <c r="Q6163" s="213" t="s">
        <v>51205</v>
      </c>
      <c r="R6163" s="213" t="s">
        <v>51206</v>
      </c>
      <c r="S6163" s="213" t="s">
        <v>51207</v>
      </c>
      <c r="T6163" s="213" t="s">
        <v>51208</v>
      </c>
      <c r="U6163" s="213" t="s">
        <v>55948</v>
      </c>
    </row>
    <row r="6164" spans="1:21" x14ac:dyDescent="0.25">
      <c r="A6164" s="213" t="s">
        <v>327</v>
      </c>
      <c r="D6164" s="213" t="s">
        <v>51209</v>
      </c>
      <c r="E6164" s="213" t="s">
        <v>51210</v>
      </c>
      <c r="K6164" s="213" t="s">
        <v>55850</v>
      </c>
      <c r="L6164" s="213" t="s">
        <v>55883</v>
      </c>
      <c r="M6164" s="213" t="s">
        <v>55916</v>
      </c>
      <c r="N6164" s="213" t="s">
        <v>51211</v>
      </c>
      <c r="O6164" s="213" t="s">
        <v>51212</v>
      </c>
      <c r="P6164" s="213" t="s">
        <v>51213</v>
      </c>
      <c r="Q6164" s="213" t="s">
        <v>51214</v>
      </c>
      <c r="R6164" s="213" t="s">
        <v>51215</v>
      </c>
      <c r="S6164" s="213" t="s">
        <v>51216</v>
      </c>
      <c r="T6164" s="213" t="s">
        <v>51217</v>
      </c>
      <c r="U6164" s="213" t="s">
        <v>55949</v>
      </c>
    </row>
    <row r="6165" spans="1:21" x14ac:dyDescent="0.25">
      <c r="A6165" s="213" t="s">
        <v>327</v>
      </c>
      <c r="D6165" s="213" t="s">
        <v>51218</v>
      </c>
      <c r="E6165" s="213" t="s">
        <v>51219</v>
      </c>
      <c r="K6165" s="213" t="s">
        <v>55851</v>
      </c>
      <c r="L6165" s="213" t="s">
        <v>55884</v>
      </c>
      <c r="M6165" s="213" t="s">
        <v>55917</v>
      </c>
      <c r="N6165" s="213" t="s">
        <v>51220</v>
      </c>
      <c r="O6165" s="213" t="s">
        <v>51221</v>
      </c>
      <c r="P6165" s="213" t="s">
        <v>51222</v>
      </c>
      <c r="Q6165" s="213" t="s">
        <v>51223</v>
      </c>
      <c r="R6165" s="213" t="s">
        <v>51224</v>
      </c>
      <c r="S6165" s="213" t="s">
        <v>51225</v>
      </c>
      <c r="T6165" s="213" t="s">
        <v>51226</v>
      </c>
      <c r="U6165" s="213" t="s">
        <v>55950</v>
      </c>
    </row>
    <row r="6166" spans="1:21" x14ac:dyDescent="0.25">
      <c r="A6166" s="213" t="s">
        <v>327</v>
      </c>
      <c r="D6166" s="213" t="s">
        <v>51227</v>
      </c>
      <c r="E6166" s="213" t="s">
        <v>51228</v>
      </c>
      <c r="K6166" s="213" t="s">
        <v>55852</v>
      </c>
      <c r="L6166" s="213" t="s">
        <v>55885</v>
      </c>
      <c r="M6166" s="213" t="s">
        <v>55918</v>
      </c>
      <c r="N6166" s="213" t="s">
        <v>51229</v>
      </c>
      <c r="O6166" s="213" t="s">
        <v>51230</v>
      </c>
      <c r="P6166" s="213" t="s">
        <v>51231</v>
      </c>
      <c r="Q6166" s="213" t="s">
        <v>51232</v>
      </c>
      <c r="R6166" s="213" t="s">
        <v>51233</v>
      </c>
      <c r="S6166" s="213" t="s">
        <v>51234</v>
      </c>
      <c r="T6166" s="213" t="s">
        <v>51235</v>
      </c>
      <c r="U6166" s="213" t="s">
        <v>55951</v>
      </c>
    </row>
    <row r="6167" spans="1:21" x14ac:dyDescent="0.25">
      <c r="A6167" s="213" t="s">
        <v>327</v>
      </c>
      <c r="D6167" s="213" t="s">
        <v>51236</v>
      </c>
      <c r="E6167" s="213" t="s">
        <v>51237</v>
      </c>
      <c r="K6167" s="213" t="s">
        <v>55853</v>
      </c>
      <c r="L6167" s="213" t="s">
        <v>55886</v>
      </c>
      <c r="M6167" s="213" t="s">
        <v>55919</v>
      </c>
      <c r="N6167" s="213" t="s">
        <v>51238</v>
      </c>
      <c r="O6167" s="213" t="s">
        <v>51239</v>
      </c>
      <c r="P6167" s="213" t="s">
        <v>51240</v>
      </c>
      <c r="Q6167" s="213" t="s">
        <v>51241</v>
      </c>
      <c r="R6167" s="213" t="s">
        <v>51242</v>
      </c>
      <c r="S6167" s="213" t="s">
        <v>51243</v>
      </c>
      <c r="T6167" s="213" t="s">
        <v>51244</v>
      </c>
      <c r="U6167" s="213" t="s">
        <v>55952</v>
      </c>
    </row>
    <row r="6168" spans="1:21" x14ac:dyDescent="0.25">
      <c r="A6168" s="213" t="s">
        <v>327</v>
      </c>
      <c r="D6168" s="213" t="s">
        <v>51245</v>
      </c>
      <c r="E6168" s="213" t="s">
        <v>51246</v>
      </c>
      <c r="K6168" s="213" t="s">
        <v>55854</v>
      </c>
      <c r="L6168" s="213" t="s">
        <v>55887</v>
      </c>
      <c r="M6168" s="213" t="s">
        <v>55920</v>
      </c>
      <c r="N6168" s="213" t="s">
        <v>51247</v>
      </c>
      <c r="O6168" s="213" t="s">
        <v>51248</v>
      </c>
      <c r="P6168" s="213" t="s">
        <v>51249</v>
      </c>
      <c r="Q6168" s="213" t="s">
        <v>51250</v>
      </c>
      <c r="R6168" s="213" t="s">
        <v>51251</v>
      </c>
      <c r="S6168" s="213" t="s">
        <v>51252</v>
      </c>
      <c r="T6168" s="213" t="s">
        <v>51253</v>
      </c>
      <c r="U6168" s="213" t="s">
        <v>55953</v>
      </c>
    </row>
    <row r="6169" spans="1:21" x14ac:dyDescent="0.25">
      <c r="A6169" s="213" t="s">
        <v>327</v>
      </c>
      <c r="D6169" s="213" t="s">
        <v>51254</v>
      </c>
      <c r="E6169" s="213" t="s">
        <v>51255</v>
      </c>
      <c r="K6169" s="213" t="s">
        <v>55855</v>
      </c>
      <c r="L6169" s="213" t="s">
        <v>55888</v>
      </c>
      <c r="M6169" s="213" t="s">
        <v>55921</v>
      </c>
      <c r="N6169" s="213" t="s">
        <v>51256</v>
      </c>
      <c r="O6169" s="213" t="s">
        <v>51257</v>
      </c>
      <c r="P6169" s="213" t="s">
        <v>51258</v>
      </c>
      <c r="Q6169" s="213" t="s">
        <v>51259</v>
      </c>
      <c r="R6169" s="213" t="s">
        <v>51260</v>
      </c>
      <c r="S6169" s="213" t="s">
        <v>51261</v>
      </c>
      <c r="T6169" s="213" t="s">
        <v>51262</v>
      </c>
      <c r="U6169" s="213" t="s">
        <v>55954</v>
      </c>
    </row>
    <row r="6170" spans="1:21" x14ac:dyDescent="0.25">
      <c r="A6170" s="213" t="s">
        <v>327</v>
      </c>
      <c r="D6170" s="213" t="s">
        <v>51263</v>
      </c>
      <c r="E6170" s="213" t="s">
        <v>51264</v>
      </c>
      <c r="K6170" s="213" t="s">
        <v>55856</v>
      </c>
      <c r="L6170" s="213" t="s">
        <v>55889</v>
      </c>
      <c r="M6170" s="213" t="s">
        <v>55922</v>
      </c>
      <c r="N6170" s="213" t="s">
        <v>51265</v>
      </c>
      <c r="O6170" s="213" t="s">
        <v>51266</v>
      </c>
      <c r="P6170" s="213" t="s">
        <v>51267</v>
      </c>
      <c r="Q6170" s="213" t="s">
        <v>51268</v>
      </c>
      <c r="R6170" s="213" t="s">
        <v>51269</v>
      </c>
      <c r="S6170" s="213" t="s">
        <v>51270</v>
      </c>
      <c r="T6170" s="213" t="s">
        <v>51271</v>
      </c>
      <c r="U6170" s="213" t="s">
        <v>55955</v>
      </c>
    </row>
    <row r="6171" spans="1:21" x14ac:dyDescent="0.25">
      <c r="A6171" s="213" t="s">
        <v>327</v>
      </c>
      <c r="D6171" s="213" t="s">
        <v>51272</v>
      </c>
      <c r="E6171" s="213" t="s">
        <v>51273</v>
      </c>
      <c r="K6171" s="213" t="s">
        <v>55857</v>
      </c>
      <c r="L6171" s="213" t="s">
        <v>55890</v>
      </c>
      <c r="M6171" s="213" t="s">
        <v>55923</v>
      </c>
      <c r="N6171" s="213" t="s">
        <v>51274</v>
      </c>
      <c r="O6171" s="213" t="s">
        <v>51275</v>
      </c>
      <c r="P6171" s="213" t="s">
        <v>51276</v>
      </c>
      <c r="Q6171" s="213" t="s">
        <v>51277</v>
      </c>
      <c r="R6171" s="213" t="s">
        <v>51278</v>
      </c>
      <c r="S6171" s="213" t="s">
        <v>51279</v>
      </c>
      <c r="T6171" s="213" t="s">
        <v>51280</v>
      </c>
      <c r="U6171" s="213" t="s">
        <v>55956</v>
      </c>
    </row>
    <row r="6172" spans="1:21" x14ac:dyDescent="0.25">
      <c r="A6172" s="213" t="s">
        <v>327</v>
      </c>
      <c r="D6172" s="213" t="s">
        <v>51281</v>
      </c>
      <c r="E6172" s="213" t="s">
        <v>51282</v>
      </c>
      <c r="K6172" s="213" t="s">
        <v>55858</v>
      </c>
      <c r="L6172" s="213" t="s">
        <v>55891</v>
      </c>
      <c r="M6172" s="213" t="s">
        <v>55924</v>
      </c>
      <c r="N6172" s="213" t="s">
        <v>51283</v>
      </c>
      <c r="O6172" s="213" t="s">
        <v>51284</v>
      </c>
      <c r="P6172" s="213" t="s">
        <v>51285</v>
      </c>
      <c r="Q6172" s="213" t="s">
        <v>51286</v>
      </c>
      <c r="R6172" s="213" t="s">
        <v>51287</v>
      </c>
      <c r="S6172" s="213" t="s">
        <v>51288</v>
      </c>
      <c r="T6172" s="213" t="s">
        <v>51289</v>
      </c>
      <c r="U6172" s="213" t="s">
        <v>55957</v>
      </c>
    </row>
    <row r="6173" spans="1:21" x14ac:dyDescent="0.25">
      <c r="A6173" s="213" t="s">
        <v>327</v>
      </c>
      <c r="D6173" s="213" t="s">
        <v>51290</v>
      </c>
      <c r="E6173" s="213" t="s">
        <v>51291</v>
      </c>
      <c r="K6173" s="213" t="s">
        <v>55859</v>
      </c>
      <c r="L6173" s="213" t="s">
        <v>55892</v>
      </c>
      <c r="M6173" s="213" t="s">
        <v>55925</v>
      </c>
      <c r="N6173" s="213" t="s">
        <v>51292</v>
      </c>
      <c r="O6173" s="213" t="s">
        <v>51293</v>
      </c>
      <c r="P6173" s="213" t="s">
        <v>51294</v>
      </c>
      <c r="Q6173" s="213" t="s">
        <v>51295</v>
      </c>
      <c r="R6173" s="213" t="s">
        <v>51296</v>
      </c>
      <c r="S6173" s="213" t="s">
        <v>51297</v>
      </c>
      <c r="T6173" s="213" t="s">
        <v>51298</v>
      </c>
      <c r="U6173" s="213" t="s">
        <v>55958</v>
      </c>
    </row>
    <row r="6174" spans="1:21" x14ac:dyDescent="0.25">
      <c r="A6174" s="213" t="s">
        <v>327</v>
      </c>
      <c r="D6174" s="213" t="s">
        <v>51299</v>
      </c>
      <c r="E6174" s="213" t="s">
        <v>51300</v>
      </c>
      <c r="K6174" s="213" t="s">
        <v>55860</v>
      </c>
      <c r="L6174" s="213" t="s">
        <v>55893</v>
      </c>
      <c r="M6174" s="213" t="s">
        <v>55926</v>
      </c>
      <c r="N6174" s="213" t="s">
        <v>51301</v>
      </c>
      <c r="O6174" s="213" t="s">
        <v>51302</v>
      </c>
      <c r="P6174" s="213" t="s">
        <v>51303</v>
      </c>
      <c r="Q6174" s="213" t="s">
        <v>51304</v>
      </c>
      <c r="R6174" s="213" t="s">
        <v>51305</v>
      </c>
      <c r="S6174" s="213" t="s">
        <v>51306</v>
      </c>
      <c r="T6174" s="213" t="s">
        <v>51307</v>
      </c>
      <c r="U6174" s="213" t="s">
        <v>55959</v>
      </c>
    </row>
    <row r="6175" spans="1:21" x14ac:dyDescent="0.25">
      <c r="A6175" s="213" t="s">
        <v>327</v>
      </c>
      <c r="D6175" s="213" t="s">
        <v>51308</v>
      </c>
      <c r="E6175" s="213" t="s">
        <v>51309</v>
      </c>
      <c r="K6175" s="213" t="s">
        <v>55861</v>
      </c>
      <c r="L6175" s="213" t="s">
        <v>55894</v>
      </c>
      <c r="M6175" s="213" t="s">
        <v>55927</v>
      </c>
      <c r="N6175" s="213" t="s">
        <v>51310</v>
      </c>
      <c r="O6175" s="213" t="s">
        <v>51311</v>
      </c>
      <c r="P6175" s="213" t="s">
        <v>51312</v>
      </c>
      <c r="Q6175" s="213" t="s">
        <v>51313</v>
      </c>
      <c r="R6175" s="213" t="s">
        <v>51314</v>
      </c>
      <c r="S6175" s="213" t="s">
        <v>51315</v>
      </c>
      <c r="T6175" s="213" t="s">
        <v>51316</v>
      </c>
      <c r="U6175" s="213" t="s">
        <v>55960</v>
      </c>
    </row>
    <row r="6176" spans="1:21" x14ac:dyDescent="0.25">
      <c r="A6176" s="213" t="s">
        <v>327</v>
      </c>
      <c r="D6176" s="213" t="s">
        <v>51317</v>
      </c>
      <c r="E6176" s="213" t="s">
        <v>51318</v>
      </c>
      <c r="K6176" s="213" t="s">
        <v>55862</v>
      </c>
      <c r="L6176" s="213" t="s">
        <v>55895</v>
      </c>
      <c r="M6176" s="213" t="s">
        <v>55928</v>
      </c>
      <c r="N6176" s="213" t="s">
        <v>51319</v>
      </c>
      <c r="O6176" s="213" t="s">
        <v>51320</v>
      </c>
      <c r="P6176" s="213" t="s">
        <v>51321</v>
      </c>
      <c r="Q6176" s="213" t="s">
        <v>51322</v>
      </c>
      <c r="R6176" s="213" t="s">
        <v>51323</v>
      </c>
      <c r="S6176" s="213" t="s">
        <v>51324</v>
      </c>
      <c r="T6176" s="213" t="s">
        <v>51325</v>
      </c>
      <c r="U6176" s="213" t="s">
        <v>55961</v>
      </c>
    </row>
    <row r="6177" spans="1:21" x14ac:dyDescent="0.25">
      <c r="A6177" s="213" t="s">
        <v>327</v>
      </c>
      <c r="D6177" s="213" t="s">
        <v>51326</v>
      </c>
      <c r="E6177" s="213" t="s">
        <v>51327</v>
      </c>
      <c r="K6177" s="213" t="s">
        <v>55863</v>
      </c>
      <c r="L6177" s="213" t="s">
        <v>55896</v>
      </c>
      <c r="M6177" s="213" t="s">
        <v>55929</v>
      </c>
      <c r="N6177" s="213" t="s">
        <v>51328</v>
      </c>
      <c r="O6177" s="213" t="s">
        <v>51329</v>
      </c>
      <c r="P6177" s="213" t="s">
        <v>51330</v>
      </c>
      <c r="Q6177" s="213" t="s">
        <v>51331</v>
      </c>
      <c r="R6177" s="213" t="s">
        <v>51332</v>
      </c>
      <c r="S6177" s="213" t="s">
        <v>51333</v>
      </c>
      <c r="T6177" s="213" t="s">
        <v>51334</v>
      </c>
      <c r="U6177" s="213" t="s">
        <v>55962</v>
      </c>
    </row>
    <row r="6178" spans="1:21" x14ac:dyDescent="0.25">
      <c r="A6178" s="213" t="s">
        <v>327</v>
      </c>
      <c r="D6178" s="213" t="s">
        <v>51335</v>
      </c>
      <c r="E6178" s="213" t="s">
        <v>51336</v>
      </c>
      <c r="K6178" s="213" t="s">
        <v>55864</v>
      </c>
      <c r="L6178" s="213" t="s">
        <v>55897</v>
      </c>
      <c r="M6178" s="213" t="s">
        <v>55930</v>
      </c>
      <c r="N6178" s="213" t="s">
        <v>51337</v>
      </c>
      <c r="O6178" s="213" t="s">
        <v>51338</v>
      </c>
      <c r="P6178" s="213" t="s">
        <v>51339</v>
      </c>
      <c r="Q6178" s="213" t="s">
        <v>51340</v>
      </c>
      <c r="R6178" s="213" t="s">
        <v>51341</v>
      </c>
      <c r="S6178" s="213" t="s">
        <v>51342</v>
      </c>
      <c r="T6178" s="213" t="s">
        <v>51343</v>
      </c>
      <c r="U6178" s="213" t="s">
        <v>55963</v>
      </c>
    </row>
    <row r="6179" spans="1:21" x14ac:dyDescent="0.25">
      <c r="A6179" s="213" t="s">
        <v>327</v>
      </c>
      <c r="D6179" s="213" t="s">
        <v>51344</v>
      </c>
      <c r="E6179" s="213" t="s">
        <v>51345</v>
      </c>
      <c r="K6179" s="213" t="s">
        <v>55865</v>
      </c>
      <c r="L6179" s="213" t="s">
        <v>55898</v>
      </c>
      <c r="M6179" s="213" t="s">
        <v>55931</v>
      </c>
      <c r="N6179" s="213" t="s">
        <v>51346</v>
      </c>
      <c r="O6179" s="213" t="s">
        <v>51347</v>
      </c>
      <c r="P6179" s="213" t="s">
        <v>51348</v>
      </c>
      <c r="Q6179" s="213" t="s">
        <v>51349</v>
      </c>
      <c r="R6179" s="213" t="s">
        <v>51350</v>
      </c>
      <c r="S6179" s="213" t="s">
        <v>51351</v>
      </c>
      <c r="T6179" s="213" t="s">
        <v>51352</v>
      </c>
      <c r="U6179" s="213" t="s">
        <v>55964</v>
      </c>
    </row>
    <row r="6180" spans="1:21" x14ac:dyDescent="0.25">
      <c r="A6180" s="213" t="s">
        <v>327</v>
      </c>
      <c r="D6180" s="213" t="s">
        <v>51353</v>
      </c>
      <c r="E6180" s="213" t="s">
        <v>51354</v>
      </c>
      <c r="K6180" s="213" t="s">
        <v>55866</v>
      </c>
      <c r="L6180" s="213" t="s">
        <v>55899</v>
      </c>
      <c r="M6180" s="213" t="s">
        <v>55932</v>
      </c>
      <c r="N6180" s="213" t="s">
        <v>51355</v>
      </c>
      <c r="O6180" s="213" t="s">
        <v>51356</v>
      </c>
      <c r="P6180" s="213" t="s">
        <v>51357</v>
      </c>
      <c r="Q6180" s="213" t="s">
        <v>51358</v>
      </c>
      <c r="R6180" s="213" t="s">
        <v>51359</v>
      </c>
      <c r="S6180" s="213" t="s">
        <v>51360</v>
      </c>
      <c r="T6180" s="213" t="s">
        <v>51361</v>
      </c>
      <c r="U6180" s="213" t="s">
        <v>55965</v>
      </c>
    </row>
    <row r="6181" spans="1:21" x14ac:dyDescent="0.25">
      <c r="A6181" s="213" t="s">
        <v>327</v>
      </c>
      <c r="D6181" s="213" t="s">
        <v>51362</v>
      </c>
      <c r="E6181" s="213" t="s">
        <v>51363</v>
      </c>
      <c r="K6181" s="213" t="s">
        <v>55867</v>
      </c>
      <c r="L6181" s="213" t="s">
        <v>55900</v>
      </c>
      <c r="M6181" s="213" t="s">
        <v>55933</v>
      </c>
      <c r="N6181" s="213" t="s">
        <v>51364</v>
      </c>
      <c r="O6181" s="213" t="s">
        <v>51365</v>
      </c>
      <c r="P6181" s="213" t="s">
        <v>51366</v>
      </c>
      <c r="Q6181" s="213" t="s">
        <v>51367</v>
      </c>
      <c r="R6181" s="213" t="s">
        <v>51368</v>
      </c>
      <c r="S6181" s="213" t="s">
        <v>51369</v>
      </c>
      <c r="T6181" s="213" t="s">
        <v>51370</v>
      </c>
      <c r="U6181" s="213" t="s">
        <v>55966</v>
      </c>
    </row>
    <row r="6182" spans="1:21" x14ac:dyDescent="0.25">
      <c r="A6182" s="213" t="s">
        <v>327</v>
      </c>
      <c r="D6182" s="213" t="s">
        <v>51371</v>
      </c>
      <c r="E6182" s="213" t="s">
        <v>51372</v>
      </c>
      <c r="K6182" s="213" t="s">
        <v>55868</v>
      </c>
      <c r="L6182" s="213" t="s">
        <v>55901</v>
      </c>
      <c r="M6182" s="213" t="s">
        <v>55934</v>
      </c>
      <c r="N6182" s="213" t="s">
        <v>51373</v>
      </c>
      <c r="O6182" s="213" t="s">
        <v>51374</v>
      </c>
      <c r="P6182" s="213" t="s">
        <v>51375</v>
      </c>
      <c r="Q6182" s="213" t="s">
        <v>51376</v>
      </c>
      <c r="R6182" s="213" t="s">
        <v>51377</v>
      </c>
      <c r="S6182" s="213" t="s">
        <v>51378</v>
      </c>
      <c r="T6182" s="213" t="s">
        <v>51379</v>
      </c>
      <c r="U6182" s="213" t="s">
        <v>55967</v>
      </c>
    </row>
    <row r="6183" spans="1:21" x14ac:dyDescent="0.25">
      <c r="A6183" s="213" t="s">
        <v>327</v>
      </c>
      <c r="D6183" s="213" t="s">
        <v>51380</v>
      </c>
      <c r="E6183" s="213" t="s">
        <v>51381</v>
      </c>
      <c r="K6183" s="213" t="s">
        <v>55869</v>
      </c>
      <c r="L6183" s="213" t="s">
        <v>55902</v>
      </c>
      <c r="M6183" s="213" t="s">
        <v>55935</v>
      </c>
      <c r="N6183" s="213" t="s">
        <v>51382</v>
      </c>
      <c r="O6183" s="213" t="s">
        <v>51383</v>
      </c>
      <c r="P6183" s="213" t="s">
        <v>51384</v>
      </c>
      <c r="Q6183" s="213" t="s">
        <v>51385</v>
      </c>
      <c r="R6183" s="213" t="s">
        <v>51386</v>
      </c>
      <c r="S6183" s="213" t="s">
        <v>51387</v>
      </c>
      <c r="T6183" s="213" t="s">
        <v>51388</v>
      </c>
      <c r="U6183" s="213" t="s">
        <v>55968</v>
      </c>
    </row>
    <row r="6184" spans="1:21" x14ac:dyDescent="0.25">
      <c r="A6184" s="213" t="s">
        <v>327</v>
      </c>
      <c r="D6184" s="213" t="s">
        <v>51389</v>
      </c>
      <c r="E6184" s="213" t="s">
        <v>51390</v>
      </c>
      <c r="K6184" s="213" t="s">
        <v>55870</v>
      </c>
      <c r="L6184" s="213" t="s">
        <v>55903</v>
      </c>
      <c r="M6184" s="213" t="s">
        <v>55936</v>
      </c>
      <c r="N6184" s="213" t="s">
        <v>51391</v>
      </c>
      <c r="O6184" s="213" t="s">
        <v>51392</v>
      </c>
      <c r="P6184" s="213" t="s">
        <v>51393</v>
      </c>
      <c r="Q6184" s="213" t="s">
        <v>51394</v>
      </c>
      <c r="R6184" s="213" t="s">
        <v>51395</v>
      </c>
      <c r="S6184" s="213" t="s">
        <v>51396</v>
      </c>
      <c r="T6184" s="213" t="s">
        <v>51397</v>
      </c>
      <c r="U6184" s="213" t="s">
        <v>55969</v>
      </c>
    </row>
    <row r="6185" spans="1:21" x14ac:dyDescent="0.25">
      <c r="A6185" s="213" t="s">
        <v>327</v>
      </c>
      <c r="D6185" s="213" t="s">
        <v>51398</v>
      </c>
      <c r="E6185" s="213" t="s">
        <v>51399</v>
      </c>
      <c r="K6185" s="213" t="s">
        <v>55871</v>
      </c>
      <c r="L6185" s="213" t="s">
        <v>55904</v>
      </c>
      <c r="M6185" s="213" t="s">
        <v>55937</v>
      </c>
      <c r="N6185" s="213" t="s">
        <v>51400</v>
      </c>
      <c r="O6185" s="213" t="s">
        <v>51401</v>
      </c>
      <c r="P6185" s="213" t="s">
        <v>51402</v>
      </c>
      <c r="Q6185" s="213" t="s">
        <v>51403</v>
      </c>
      <c r="R6185" s="213" t="s">
        <v>51404</v>
      </c>
      <c r="S6185" s="213" t="s">
        <v>51405</v>
      </c>
      <c r="T6185" s="213" t="s">
        <v>51406</v>
      </c>
      <c r="U6185" s="213" t="s">
        <v>55970</v>
      </c>
    </row>
    <row r="6186" spans="1:21" x14ac:dyDescent="0.25">
      <c r="A6186" s="213" t="s">
        <v>327</v>
      </c>
      <c r="D6186" s="213" t="s">
        <v>51407</v>
      </c>
      <c r="E6186" s="213" t="s">
        <v>51408</v>
      </c>
      <c r="K6186" s="213" t="s">
        <v>55872</v>
      </c>
      <c r="L6186" s="213" t="s">
        <v>55905</v>
      </c>
      <c r="M6186" s="213" t="s">
        <v>55938</v>
      </c>
      <c r="N6186" s="213" t="s">
        <v>51409</v>
      </c>
      <c r="O6186" s="213" t="s">
        <v>51410</v>
      </c>
      <c r="P6186" s="213" t="s">
        <v>51411</v>
      </c>
      <c r="Q6186" s="213" t="s">
        <v>51412</v>
      </c>
      <c r="R6186" s="213" t="s">
        <v>51413</v>
      </c>
      <c r="S6186" s="213" t="s">
        <v>51414</v>
      </c>
      <c r="T6186" s="213" t="s">
        <v>51415</v>
      </c>
      <c r="U6186" s="213" t="s">
        <v>55971</v>
      </c>
    </row>
    <row r="6187" spans="1:21" x14ac:dyDescent="0.25">
      <c r="A6187" s="213" t="s">
        <v>327</v>
      </c>
      <c r="D6187" s="213" t="s">
        <v>51416</v>
      </c>
      <c r="E6187" s="213" t="s">
        <v>51417</v>
      </c>
      <c r="K6187" s="213" t="s">
        <v>55873</v>
      </c>
      <c r="L6187" s="213" t="s">
        <v>55906</v>
      </c>
      <c r="M6187" s="213" t="s">
        <v>55939</v>
      </c>
      <c r="N6187" s="213" t="s">
        <v>51418</v>
      </c>
      <c r="O6187" s="213" t="s">
        <v>51419</v>
      </c>
      <c r="P6187" s="213" t="s">
        <v>51420</v>
      </c>
      <c r="Q6187" s="213" t="s">
        <v>51421</v>
      </c>
      <c r="R6187" s="213" t="s">
        <v>51422</v>
      </c>
      <c r="S6187" s="213" t="s">
        <v>51423</v>
      </c>
      <c r="T6187" s="213" t="s">
        <v>51424</v>
      </c>
      <c r="U6187" s="213" t="s">
        <v>55972</v>
      </c>
    </row>
    <row r="6188" spans="1:21" x14ac:dyDescent="0.25">
      <c r="A6188" s="213" t="s">
        <v>327</v>
      </c>
      <c r="D6188" s="213" t="s">
        <v>51425</v>
      </c>
      <c r="E6188" s="213" t="s">
        <v>51426</v>
      </c>
      <c r="K6188" s="213" t="s">
        <v>55874</v>
      </c>
      <c r="L6188" s="213" t="s">
        <v>55907</v>
      </c>
      <c r="M6188" s="213" t="s">
        <v>55940</v>
      </c>
      <c r="N6188" s="213" t="s">
        <v>51427</v>
      </c>
      <c r="O6188" s="213" t="s">
        <v>51428</v>
      </c>
      <c r="P6188" s="213" t="s">
        <v>51429</v>
      </c>
      <c r="Q6188" s="213" t="s">
        <v>51430</v>
      </c>
      <c r="R6188" s="213" t="s">
        <v>51431</v>
      </c>
      <c r="S6188" s="213" t="s">
        <v>51432</v>
      </c>
      <c r="T6188" s="213" t="s">
        <v>51433</v>
      </c>
      <c r="U6188" s="213" t="s">
        <v>55973</v>
      </c>
    </row>
    <row r="6189" spans="1:21" x14ac:dyDescent="0.25">
      <c r="A6189" s="213" t="s">
        <v>327</v>
      </c>
      <c r="D6189" s="213" t="s">
        <v>51434</v>
      </c>
      <c r="E6189" s="213" t="s">
        <v>51435</v>
      </c>
      <c r="K6189" s="213" t="s">
        <v>55875</v>
      </c>
      <c r="L6189" s="213" t="s">
        <v>55908</v>
      </c>
      <c r="M6189" s="213" t="s">
        <v>55941</v>
      </c>
      <c r="N6189" s="213" t="s">
        <v>51436</v>
      </c>
      <c r="O6189" s="213" t="s">
        <v>51437</v>
      </c>
      <c r="P6189" s="213" t="s">
        <v>51438</v>
      </c>
      <c r="Q6189" s="213" t="s">
        <v>51439</v>
      </c>
      <c r="R6189" s="213" t="s">
        <v>51440</v>
      </c>
      <c r="S6189" s="213" t="s">
        <v>51441</v>
      </c>
      <c r="T6189" s="213" t="s">
        <v>51442</v>
      </c>
      <c r="U6189" s="213" t="s">
        <v>55974</v>
      </c>
    </row>
    <row r="6190" spans="1:21" x14ac:dyDescent="0.25">
      <c r="A6190" s="213" t="s">
        <v>327</v>
      </c>
      <c r="D6190" s="213" t="s">
        <v>51443</v>
      </c>
      <c r="E6190" s="213" t="s">
        <v>51444</v>
      </c>
      <c r="K6190" s="213" t="s">
        <v>55876</v>
      </c>
      <c r="L6190" s="213" t="s">
        <v>55909</v>
      </c>
      <c r="M6190" s="213" t="s">
        <v>55942</v>
      </c>
      <c r="N6190" s="213" t="s">
        <v>51445</v>
      </c>
      <c r="O6190" s="213" t="s">
        <v>51446</v>
      </c>
      <c r="P6190" s="213" t="s">
        <v>51447</v>
      </c>
      <c r="Q6190" s="213" t="s">
        <v>51448</v>
      </c>
      <c r="R6190" s="213" t="s">
        <v>51449</v>
      </c>
      <c r="S6190" s="213" t="s">
        <v>51450</v>
      </c>
      <c r="T6190" s="213" t="s">
        <v>51451</v>
      </c>
      <c r="U6190" s="213" t="s">
        <v>55975</v>
      </c>
    </row>
    <row r="6191" spans="1:21" x14ac:dyDescent="0.25">
      <c r="A6191" s="213" t="s">
        <v>327</v>
      </c>
      <c r="D6191" s="213" t="s">
        <v>51452</v>
      </c>
      <c r="E6191" s="213" t="s">
        <v>51453</v>
      </c>
      <c r="K6191" s="213" t="s">
        <v>55877</v>
      </c>
      <c r="L6191" s="213" t="s">
        <v>55910</v>
      </c>
      <c r="M6191" s="213" t="s">
        <v>55943</v>
      </c>
      <c r="N6191" s="213" t="s">
        <v>51454</v>
      </c>
      <c r="O6191" s="213" t="s">
        <v>51455</v>
      </c>
      <c r="P6191" s="213" t="s">
        <v>51456</v>
      </c>
      <c r="Q6191" s="213" t="s">
        <v>51457</v>
      </c>
      <c r="R6191" s="213" t="s">
        <v>51458</v>
      </c>
      <c r="S6191" s="213" t="s">
        <v>51459</v>
      </c>
      <c r="T6191" s="213" t="s">
        <v>51460</v>
      </c>
      <c r="U6191" s="213" t="s">
        <v>55976</v>
      </c>
    </row>
    <row r="6192" spans="1:21" x14ac:dyDescent="0.25">
      <c r="A6192" s="213" t="s">
        <v>327</v>
      </c>
      <c r="D6192" s="213" t="s">
        <v>51461</v>
      </c>
      <c r="E6192" s="213" t="s">
        <v>51462</v>
      </c>
      <c r="K6192" s="213" t="s">
        <v>55878</v>
      </c>
      <c r="L6192" s="213" t="s">
        <v>55911</v>
      </c>
      <c r="M6192" s="213" t="s">
        <v>55944</v>
      </c>
      <c r="N6192" s="213" t="s">
        <v>51463</v>
      </c>
      <c r="O6192" s="213" t="s">
        <v>51464</v>
      </c>
      <c r="P6192" s="213" t="s">
        <v>51465</v>
      </c>
      <c r="Q6192" s="213" t="s">
        <v>51466</v>
      </c>
      <c r="R6192" s="213" t="s">
        <v>51467</v>
      </c>
      <c r="S6192" s="213" t="s">
        <v>51468</v>
      </c>
      <c r="T6192" s="213" t="s">
        <v>51469</v>
      </c>
      <c r="U6192" s="213" t="s">
        <v>55977</v>
      </c>
    </row>
    <row r="6193" spans="1:21" x14ac:dyDescent="0.25">
      <c r="A6193" s="213" t="s">
        <v>327</v>
      </c>
    </row>
    <row r="6194" spans="1:21" x14ac:dyDescent="0.25">
      <c r="A6194" s="213" t="s">
        <v>327</v>
      </c>
    </row>
    <row r="6195" spans="1:21" x14ac:dyDescent="0.25">
      <c r="A6195" s="213" t="s">
        <v>327</v>
      </c>
      <c r="C6195" s="213" t="s">
        <v>51470</v>
      </c>
      <c r="E6195" s="213" t="s">
        <v>51471</v>
      </c>
      <c r="H6195" s="213" t="s">
        <v>51472</v>
      </c>
      <c r="I6195" s="213" t="s">
        <v>51473</v>
      </c>
      <c r="J6195" s="213" t="s">
        <v>51474</v>
      </c>
      <c r="L6195" s="213" t="s">
        <v>51475</v>
      </c>
      <c r="O6195" s="213" t="s">
        <v>51476</v>
      </c>
      <c r="P6195" s="213" t="s">
        <v>51477</v>
      </c>
      <c r="Q6195" s="213" t="s">
        <v>51478</v>
      </c>
      <c r="R6195" s="213" t="s">
        <v>51479</v>
      </c>
      <c r="S6195" s="213" t="s">
        <v>51480</v>
      </c>
      <c r="T6195" s="213" t="s">
        <v>51481</v>
      </c>
    </row>
    <row r="6196" spans="1:21" x14ac:dyDescent="0.25">
      <c r="A6196" s="213" t="s">
        <v>327</v>
      </c>
      <c r="C6196" s="213" t="s">
        <v>51482</v>
      </c>
      <c r="E6196" s="213" t="s">
        <v>51483</v>
      </c>
      <c r="I6196" s="213" t="s">
        <v>51484</v>
      </c>
    </row>
    <row r="6197" spans="1:21" x14ac:dyDescent="0.25">
      <c r="A6197" s="213" t="s">
        <v>327</v>
      </c>
      <c r="C6197" s="213" t="s">
        <v>51485</v>
      </c>
      <c r="E6197" s="213" t="s">
        <v>51486</v>
      </c>
      <c r="I6197" s="213" t="s">
        <v>51487</v>
      </c>
    </row>
    <row r="6198" spans="1:21" x14ac:dyDescent="0.25">
      <c r="A6198" s="213" t="s">
        <v>328</v>
      </c>
    </row>
    <row r="6199" spans="1:21" x14ac:dyDescent="0.25">
      <c r="A6199" s="213" t="s">
        <v>327</v>
      </c>
      <c r="D6199" s="213" t="s">
        <v>51488</v>
      </c>
      <c r="E6199" s="213" t="s">
        <v>51489</v>
      </c>
      <c r="K6199" s="213" t="s">
        <v>55746</v>
      </c>
      <c r="L6199" s="213" t="s">
        <v>55771</v>
      </c>
      <c r="M6199" s="213" t="s">
        <v>55796</v>
      </c>
      <c r="N6199" s="213" t="s">
        <v>51490</v>
      </c>
      <c r="O6199" s="213" t="s">
        <v>51491</v>
      </c>
      <c r="P6199" s="213" t="s">
        <v>51492</v>
      </c>
      <c r="Q6199" s="213" t="s">
        <v>51493</v>
      </c>
      <c r="R6199" s="213" t="s">
        <v>51494</v>
      </c>
      <c r="S6199" s="213" t="s">
        <v>51495</v>
      </c>
      <c r="T6199" s="213" t="s">
        <v>51496</v>
      </c>
      <c r="U6199" s="213" t="s">
        <v>55821</v>
      </c>
    </row>
    <row r="6200" spans="1:21" x14ac:dyDescent="0.25">
      <c r="A6200" s="213" t="s">
        <v>327</v>
      </c>
      <c r="D6200" s="213" t="s">
        <v>51497</v>
      </c>
      <c r="E6200" s="213" t="s">
        <v>51498</v>
      </c>
      <c r="K6200" s="213" t="s">
        <v>55747</v>
      </c>
      <c r="L6200" s="213" t="s">
        <v>55772</v>
      </c>
      <c r="M6200" s="213" t="s">
        <v>55797</v>
      </c>
      <c r="N6200" s="213" t="s">
        <v>51499</v>
      </c>
      <c r="O6200" s="213" t="s">
        <v>51500</v>
      </c>
      <c r="P6200" s="213" t="s">
        <v>51501</v>
      </c>
      <c r="Q6200" s="213" t="s">
        <v>51502</v>
      </c>
      <c r="R6200" s="213" t="s">
        <v>51503</v>
      </c>
      <c r="S6200" s="213" t="s">
        <v>51504</v>
      </c>
      <c r="T6200" s="213" t="s">
        <v>51505</v>
      </c>
      <c r="U6200" s="213" t="s">
        <v>55822</v>
      </c>
    </row>
    <row r="6201" spans="1:21" x14ac:dyDescent="0.25">
      <c r="A6201" s="213" t="s">
        <v>327</v>
      </c>
      <c r="D6201" s="213" t="s">
        <v>51506</v>
      </c>
      <c r="E6201" s="213" t="s">
        <v>51507</v>
      </c>
      <c r="K6201" s="213" t="s">
        <v>55748</v>
      </c>
      <c r="L6201" s="213" t="s">
        <v>55773</v>
      </c>
      <c r="M6201" s="213" t="s">
        <v>55798</v>
      </c>
      <c r="N6201" s="213" t="s">
        <v>51508</v>
      </c>
      <c r="O6201" s="213" t="s">
        <v>51509</v>
      </c>
      <c r="P6201" s="213" t="s">
        <v>51510</v>
      </c>
      <c r="Q6201" s="213" t="s">
        <v>51511</v>
      </c>
      <c r="R6201" s="213" t="s">
        <v>51512</v>
      </c>
      <c r="S6201" s="213" t="s">
        <v>51513</v>
      </c>
      <c r="T6201" s="213" t="s">
        <v>51514</v>
      </c>
      <c r="U6201" s="213" t="s">
        <v>55823</v>
      </c>
    </row>
    <row r="6202" spans="1:21" x14ac:dyDescent="0.25">
      <c r="A6202" s="213" t="s">
        <v>327</v>
      </c>
      <c r="D6202" s="213" t="s">
        <v>51515</v>
      </c>
      <c r="E6202" s="213" t="s">
        <v>51516</v>
      </c>
      <c r="K6202" s="213" t="s">
        <v>55749</v>
      </c>
      <c r="L6202" s="213" t="s">
        <v>55774</v>
      </c>
      <c r="M6202" s="213" t="s">
        <v>55799</v>
      </c>
      <c r="N6202" s="213" t="s">
        <v>51517</v>
      </c>
      <c r="O6202" s="213" t="s">
        <v>51518</v>
      </c>
      <c r="P6202" s="213" t="s">
        <v>51519</v>
      </c>
      <c r="Q6202" s="213" t="s">
        <v>51520</v>
      </c>
      <c r="R6202" s="213" t="s">
        <v>51521</v>
      </c>
      <c r="S6202" s="213" t="s">
        <v>51522</v>
      </c>
      <c r="T6202" s="213" t="s">
        <v>51523</v>
      </c>
      <c r="U6202" s="213" t="s">
        <v>55824</v>
      </c>
    </row>
    <row r="6203" spans="1:21" x14ac:dyDescent="0.25">
      <c r="A6203" s="213" t="s">
        <v>327</v>
      </c>
      <c r="D6203" s="213" t="s">
        <v>51524</v>
      </c>
      <c r="E6203" s="213" t="s">
        <v>51525</v>
      </c>
      <c r="K6203" s="213" t="s">
        <v>55750</v>
      </c>
      <c r="L6203" s="213" t="s">
        <v>55775</v>
      </c>
      <c r="M6203" s="213" t="s">
        <v>55800</v>
      </c>
      <c r="N6203" s="213" t="s">
        <v>51526</v>
      </c>
      <c r="O6203" s="213" t="s">
        <v>51527</v>
      </c>
      <c r="P6203" s="213" t="s">
        <v>51528</v>
      </c>
      <c r="Q6203" s="213" t="s">
        <v>51529</v>
      </c>
      <c r="R6203" s="213" t="s">
        <v>51530</v>
      </c>
      <c r="S6203" s="213" t="s">
        <v>51531</v>
      </c>
      <c r="T6203" s="213" t="s">
        <v>51532</v>
      </c>
      <c r="U6203" s="213" t="s">
        <v>55825</v>
      </c>
    </row>
    <row r="6204" spans="1:21" x14ac:dyDescent="0.25">
      <c r="A6204" s="213" t="s">
        <v>327</v>
      </c>
      <c r="D6204" s="213" t="s">
        <v>51533</v>
      </c>
      <c r="E6204" s="213" t="s">
        <v>51534</v>
      </c>
      <c r="K6204" s="213" t="s">
        <v>55751</v>
      </c>
      <c r="L6204" s="213" t="s">
        <v>55776</v>
      </c>
      <c r="M6204" s="213" t="s">
        <v>55801</v>
      </c>
      <c r="N6204" s="213" t="s">
        <v>51535</v>
      </c>
      <c r="O6204" s="213" t="s">
        <v>51536</v>
      </c>
      <c r="P6204" s="213" t="s">
        <v>51537</v>
      </c>
      <c r="Q6204" s="213" t="s">
        <v>51538</v>
      </c>
      <c r="R6204" s="213" t="s">
        <v>51539</v>
      </c>
      <c r="S6204" s="213" t="s">
        <v>51540</v>
      </c>
      <c r="T6204" s="213" t="s">
        <v>51541</v>
      </c>
      <c r="U6204" s="213" t="s">
        <v>55826</v>
      </c>
    </row>
    <row r="6205" spans="1:21" x14ac:dyDescent="0.25">
      <c r="A6205" s="213" t="s">
        <v>327</v>
      </c>
      <c r="D6205" s="213" t="s">
        <v>51542</v>
      </c>
      <c r="E6205" s="213" t="s">
        <v>51543</v>
      </c>
      <c r="K6205" s="213" t="s">
        <v>55752</v>
      </c>
      <c r="L6205" s="213" t="s">
        <v>55777</v>
      </c>
      <c r="M6205" s="213" t="s">
        <v>55802</v>
      </c>
      <c r="N6205" s="213" t="s">
        <v>51544</v>
      </c>
      <c r="O6205" s="213" t="s">
        <v>51545</v>
      </c>
      <c r="P6205" s="213" t="s">
        <v>51546</v>
      </c>
      <c r="Q6205" s="213" t="s">
        <v>51547</v>
      </c>
      <c r="R6205" s="213" t="s">
        <v>51548</v>
      </c>
      <c r="S6205" s="213" t="s">
        <v>51549</v>
      </c>
      <c r="T6205" s="213" t="s">
        <v>51550</v>
      </c>
      <c r="U6205" s="213" t="s">
        <v>55827</v>
      </c>
    </row>
    <row r="6206" spans="1:21" x14ac:dyDescent="0.25">
      <c r="A6206" s="213" t="s">
        <v>327</v>
      </c>
      <c r="D6206" s="213" t="s">
        <v>51551</v>
      </c>
      <c r="E6206" s="213" t="s">
        <v>51552</v>
      </c>
      <c r="K6206" s="213" t="s">
        <v>55753</v>
      </c>
      <c r="L6206" s="213" t="s">
        <v>55778</v>
      </c>
      <c r="M6206" s="213" t="s">
        <v>55803</v>
      </c>
      <c r="N6206" s="213" t="s">
        <v>51553</v>
      </c>
      <c r="O6206" s="213" t="s">
        <v>51554</v>
      </c>
      <c r="P6206" s="213" t="s">
        <v>51555</v>
      </c>
      <c r="Q6206" s="213" t="s">
        <v>51556</v>
      </c>
      <c r="R6206" s="213" t="s">
        <v>51557</v>
      </c>
      <c r="S6206" s="213" t="s">
        <v>51558</v>
      </c>
      <c r="T6206" s="213" t="s">
        <v>51559</v>
      </c>
      <c r="U6206" s="213" t="s">
        <v>55828</v>
      </c>
    </row>
    <row r="6207" spans="1:21" x14ac:dyDescent="0.25">
      <c r="A6207" s="213" t="s">
        <v>327</v>
      </c>
      <c r="D6207" s="213" t="s">
        <v>51560</v>
      </c>
      <c r="E6207" s="213" t="s">
        <v>51561</v>
      </c>
      <c r="K6207" s="213" t="s">
        <v>55754</v>
      </c>
      <c r="L6207" s="213" t="s">
        <v>55779</v>
      </c>
      <c r="M6207" s="213" t="s">
        <v>55804</v>
      </c>
      <c r="N6207" s="213" t="s">
        <v>51562</v>
      </c>
      <c r="O6207" s="213" t="s">
        <v>51563</v>
      </c>
      <c r="P6207" s="213" t="s">
        <v>51564</v>
      </c>
      <c r="Q6207" s="213" t="s">
        <v>51565</v>
      </c>
      <c r="R6207" s="213" t="s">
        <v>51566</v>
      </c>
      <c r="S6207" s="213" t="s">
        <v>51567</v>
      </c>
      <c r="T6207" s="213" t="s">
        <v>51568</v>
      </c>
      <c r="U6207" s="213" t="s">
        <v>55829</v>
      </c>
    </row>
    <row r="6208" spans="1:21" x14ac:dyDescent="0.25">
      <c r="A6208" s="213" t="s">
        <v>327</v>
      </c>
      <c r="D6208" s="213" t="s">
        <v>51569</v>
      </c>
      <c r="E6208" s="213" t="s">
        <v>51570</v>
      </c>
      <c r="K6208" s="213" t="s">
        <v>55755</v>
      </c>
      <c r="L6208" s="213" t="s">
        <v>55780</v>
      </c>
      <c r="M6208" s="213" t="s">
        <v>55805</v>
      </c>
      <c r="N6208" s="213" t="s">
        <v>51571</v>
      </c>
      <c r="O6208" s="213" t="s">
        <v>51572</v>
      </c>
      <c r="P6208" s="213" t="s">
        <v>51573</v>
      </c>
      <c r="Q6208" s="213" t="s">
        <v>51574</v>
      </c>
      <c r="R6208" s="213" t="s">
        <v>51575</v>
      </c>
      <c r="S6208" s="213" t="s">
        <v>51576</v>
      </c>
      <c r="T6208" s="213" t="s">
        <v>51577</v>
      </c>
      <c r="U6208" s="213" t="s">
        <v>55830</v>
      </c>
    </row>
    <row r="6209" spans="1:21" x14ac:dyDescent="0.25">
      <c r="A6209" s="213" t="s">
        <v>327</v>
      </c>
      <c r="D6209" s="213" t="s">
        <v>51578</v>
      </c>
      <c r="E6209" s="213" t="s">
        <v>51579</v>
      </c>
      <c r="K6209" s="213" t="s">
        <v>55756</v>
      </c>
      <c r="L6209" s="213" t="s">
        <v>55781</v>
      </c>
      <c r="M6209" s="213" t="s">
        <v>55806</v>
      </c>
      <c r="N6209" s="213" t="s">
        <v>51580</v>
      </c>
      <c r="O6209" s="213" t="s">
        <v>51581</v>
      </c>
      <c r="P6209" s="213" t="s">
        <v>51582</v>
      </c>
      <c r="Q6209" s="213" t="s">
        <v>51583</v>
      </c>
      <c r="R6209" s="213" t="s">
        <v>51584</v>
      </c>
      <c r="S6209" s="213" t="s">
        <v>51585</v>
      </c>
      <c r="T6209" s="213" t="s">
        <v>51586</v>
      </c>
      <c r="U6209" s="213" t="s">
        <v>55831</v>
      </c>
    </row>
    <row r="6210" spans="1:21" x14ac:dyDescent="0.25">
      <c r="A6210" s="213" t="s">
        <v>327</v>
      </c>
      <c r="D6210" s="213" t="s">
        <v>51587</v>
      </c>
      <c r="E6210" s="213" t="s">
        <v>51588</v>
      </c>
      <c r="K6210" s="213" t="s">
        <v>55757</v>
      </c>
      <c r="L6210" s="213" t="s">
        <v>55782</v>
      </c>
      <c r="M6210" s="213" t="s">
        <v>55807</v>
      </c>
      <c r="N6210" s="213" t="s">
        <v>51589</v>
      </c>
      <c r="O6210" s="213" t="s">
        <v>51590</v>
      </c>
      <c r="P6210" s="213" t="s">
        <v>51591</v>
      </c>
      <c r="Q6210" s="213" t="s">
        <v>51592</v>
      </c>
      <c r="R6210" s="213" t="s">
        <v>51593</v>
      </c>
      <c r="S6210" s="213" t="s">
        <v>51594</v>
      </c>
      <c r="T6210" s="213" t="s">
        <v>51595</v>
      </c>
      <c r="U6210" s="213" t="s">
        <v>55832</v>
      </c>
    </row>
    <row r="6211" spans="1:21" x14ac:dyDescent="0.25">
      <c r="A6211" s="213" t="s">
        <v>327</v>
      </c>
      <c r="D6211" s="213" t="s">
        <v>51596</v>
      </c>
      <c r="E6211" s="213" t="s">
        <v>51597</v>
      </c>
      <c r="K6211" s="213" t="s">
        <v>55758</v>
      </c>
      <c r="L6211" s="213" t="s">
        <v>55783</v>
      </c>
      <c r="M6211" s="213" t="s">
        <v>55808</v>
      </c>
      <c r="N6211" s="213" t="s">
        <v>51598</v>
      </c>
      <c r="O6211" s="213" t="s">
        <v>51599</v>
      </c>
      <c r="P6211" s="213" t="s">
        <v>51600</v>
      </c>
      <c r="Q6211" s="213" t="s">
        <v>51601</v>
      </c>
      <c r="R6211" s="213" t="s">
        <v>51602</v>
      </c>
      <c r="S6211" s="213" t="s">
        <v>51603</v>
      </c>
      <c r="T6211" s="213" t="s">
        <v>51604</v>
      </c>
      <c r="U6211" s="213" t="s">
        <v>55833</v>
      </c>
    </row>
    <row r="6212" spans="1:21" x14ac:dyDescent="0.25">
      <c r="A6212" s="213" t="s">
        <v>327</v>
      </c>
      <c r="D6212" s="213" t="s">
        <v>51605</v>
      </c>
      <c r="E6212" s="213" t="s">
        <v>51606</v>
      </c>
      <c r="K6212" s="213" t="s">
        <v>55759</v>
      </c>
      <c r="L6212" s="213" t="s">
        <v>55784</v>
      </c>
      <c r="M6212" s="213" t="s">
        <v>55809</v>
      </c>
      <c r="N6212" s="213" t="s">
        <v>51607</v>
      </c>
      <c r="O6212" s="213" t="s">
        <v>51608</v>
      </c>
      <c r="P6212" s="213" t="s">
        <v>51609</v>
      </c>
      <c r="Q6212" s="213" t="s">
        <v>51610</v>
      </c>
      <c r="R6212" s="213" t="s">
        <v>51611</v>
      </c>
      <c r="S6212" s="213" t="s">
        <v>51612</v>
      </c>
      <c r="T6212" s="213" t="s">
        <v>51613</v>
      </c>
      <c r="U6212" s="213" t="s">
        <v>55834</v>
      </c>
    </row>
    <row r="6213" spans="1:21" x14ac:dyDescent="0.25">
      <c r="A6213" s="213" t="s">
        <v>327</v>
      </c>
      <c r="D6213" s="213" t="s">
        <v>51614</v>
      </c>
      <c r="E6213" s="213" t="s">
        <v>51615</v>
      </c>
      <c r="K6213" s="213" t="s">
        <v>55760</v>
      </c>
      <c r="L6213" s="213" t="s">
        <v>55785</v>
      </c>
      <c r="M6213" s="213" t="s">
        <v>55810</v>
      </c>
      <c r="N6213" s="213" t="s">
        <v>51616</v>
      </c>
      <c r="O6213" s="213" t="s">
        <v>51617</v>
      </c>
      <c r="P6213" s="213" t="s">
        <v>51618</v>
      </c>
      <c r="Q6213" s="213" t="s">
        <v>51619</v>
      </c>
      <c r="R6213" s="213" t="s">
        <v>51620</v>
      </c>
      <c r="S6213" s="213" t="s">
        <v>51621</v>
      </c>
      <c r="T6213" s="213" t="s">
        <v>51622</v>
      </c>
      <c r="U6213" s="213" t="s">
        <v>55835</v>
      </c>
    </row>
    <row r="6214" spans="1:21" x14ac:dyDescent="0.25">
      <c r="A6214" s="213" t="s">
        <v>327</v>
      </c>
      <c r="D6214" s="213" t="s">
        <v>51623</v>
      </c>
      <c r="E6214" s="213" t="s">
        <v>51624</v>
      </c>
      <c r="K6214" s="213" t="s">
        <v>55761</v>
      </c>
      <c r="L6214" s="213" t="s">
        <v>55786</v>
      </c>
      <c r="M6214" s="213" t="s">
        <v>55811</v>
      </c>
      <c r="N6214" s="213" t="s">
        <v>51625</v>
      </c>
      <c r="O6214" s="213" t="s">
        <v>51626</v>
      </c>
      <c r="P6214" s="213" t="s">
        <v>51627</v>
      </c>
      <c r="Q6214" s="213" t="s">
        <v>51628</v>
      </c>
      <c r="R6214" s="213" t="s">
        <v>51629</v>
      </c>
      <c r="S6214" s="213" t="s">
        <v>51630</v>
      </c>
      <c r="T6214" s="213" t="s">
        <v>51631</v>
      </c>
      <c r="U6214" s="213" t="s">
        <v>55836</v>
      </c>
    </row>
    <row r="6215" spans="1:21" x14ac:dyDescent="0.25">
      <c r="A6215" s="213" t="s">
        <v>327</v>
      </c>
      <c r="D6215" s="213" t="s">
        <v>51632</v>
      </c>
      <c r="E6215" s="213" t="s">
        <v>51633</v>
      </c>
      <c r="K6215" s="213" t="s">
        <v>55762</v>
      </c>
      <c r="L6215" s="213" t="s">
        <v>55787</v>
      </c>
      <c r="M6215" s="213" t="s">
        <v>55812</v>
      </c>
      <c r="N6215" s="213" t="s">
        <v>51634</v>
      </c>
      <c r="O6215" s="213" t="s">
        <v>51635</v>
      </c>
      <c r="P6215" s="213" t="s">
        <v>51636</v>
      </c>
      <c r="Q6215" s="213" t="s">
        <v>51637</v>
      </c>
      <c r="R6215" s="213" t="s">
        <v>51638</v>
      </c>
      <c r="S6215" s="213" t="s">
        <v>51639</v>
      </c>
      <c r="T6215" s="213" t="s">
        <v>51640</v>
      </c>
      <c r="U6215" s="213" t="s">
        <v>55837</v>
      </c>
    </row>
    <row r="6216" spans="1:21" x14ac:dyDescent="0.25">
      <c r="A6216" s="213" t="s">
        <v>327</v>
      </c>
      <c r="D6216" s="213" t="s">
        <v>51641</v>
      </c>
      <c r="E6216" s="213" t="s">
        <v>51642</v>
      </c>
      <c r="K6216" s="213" t="s">
        <v>55763</v>
      </c>
      <c r="L6216" s="213" t="s">
        <v>55788</v>
      </c>
      <c r="M6216" s="213" t="s">
        <v>55813</v>
      </c>
      <c r="N6216" s="213" t="s">
        <v>51643</v>
      </c>
      <c r="O6216" s="213" t="s">
        <v>51644</v>
      </c>
      <c r="P6216" s="213" t="s">
        <v>51645</v>
      </c>
      <c r="Q6216" s="213" t="s">
        <v>51646</v>
      </c>
      <c r="R6216" s="213" t="s">
        <v>51647</v>
      </c>
      <c r="S6216" s="213" t="s">
        <v>51648</v>
      </c>
      <c r="T6216" s="213" t="s">
        <v>51649</v>
      </c>
      <c r="U6216" s="213" t="s">
        <v>55838</v>
      </c>
    </row>
    <row r="6217" spans="1:21" x14ac:dyDescent="0.25">
      <c r="A6217" s="213" t="s">
        <v>327</v>
      </c>
      <c r="D6217" s="213" t="s">
        <v>51650</v>
      </c>
      <c r="E6217" s="213" t="s">
        <v>51651</v>
      </c>
      <c r="K6217" s="213" t="s">
        <v>55764</v>
      </c>
      <c r="L6217" s="213" t="s">
        <v>55789</v>
      </c>
      <c r="M6217" s="213" t="s">
        <v>55814</v>
      </c>
      <c r="N6217" s="213" t="s">
        <v>51652</v>
      </c>
      <c r="O6217" s="213" t="s">
        <v>51653</v>
      </c>
      <c r="P6217" s="213" t="s">
        <v>51654</v>
      </c>
      <c r="Q6217" s="213" t="s">
        <v>51655</v>
      </c>
      <c r="R6217" s="213" t="s">
        <v>51656</v>
      </c>
      <c r="S6217" s="213" t="s">
        <v>51657</v>
      </c>
      <c r="T6217" s="213" t="s">
        <v>51658</v>
      </c>
      <c r="U6217" s="213" t="s">
        <v>55839</v>
      </c>
    </row>
    <row r="6218" spans="1:21" x14ac:dyDescent="0.25">
      <c r="A6218" s="213" t="s">
        <v>327</v>
      </c>
      <c r="D6218" s="213" t="s">
        <v>51659</v>
      </c>
      <c r="E6218" s="213" t="s">
        <v>51660</v>
      </c>
      <c r="K6218" s="213" t="s">
        <v>55765</v>
      </c>
      <c r="L6218" s="213" t="s">
        <v>55790</v>
      </c>
      <c r="M6218" s="213" t="s">
        <v>55815</v>
      </c>
      <c r="N6218" s="213" t="s">
        <v>51661</v>
      </c>
      <c r="O6218" s="213" t="s">
        <v>51662</v>
      </c>
      <c r="P6218" s="213" t="s">
        <v>51663</v>
      </c>
      <c r="Q6218" s="213" t="s">
        <v>51664</v>
      </c>
      <c r="R6218" s="213" t="s">
        <v>51665</v>
      </c>
      <c r="S6218" s="213" t="s">
        <v>51666</v>
      </c>
      <c r="T6218" s="213" t="s">
        <v>51667</v>
      </c>
      <c r="U6218" s="213" t="s">
        <v>55840</v>
      </c>
    </row>
    <row r="6219" spans="1:21" x14ac:dyDescent="0.25">
      <c r="A6219" s="213" t="s">
        <v>327</v>
      </c>
      <c r="D6219" s="213" t="s">
        <v>51668</v>
      </c>
      <c r="E6219" s="213" t="s">
        <v>51669</v>
      </c>
      <c r="K6219" s="213" t="s">
        <v>55766</v>
      </c>
      <c r="L6219" s="213" t="s">
        <v>55791</v>
      </c>
      <c r="M6219" s="213" t="s">
        <v>55816</v>
      </c>
      <c r="N6219" s="213" t="s">
        <v>51670</v>
      </c>
      <c r="O6219" s="213" t="s">
        <v>51671</v>
      </c>
      <c r="P6219" s="213" t="s">
        <v>51672</v>
      </c>
      <c r="Q6219" s="213" t="s">
        <v>51673</v>
      </c>
      <c r="R6219" s="213" t="s">
        <v>51674</v>
      </c>
      <c r="S6219" s="213" t="s">
        <v>51675</v>
      </c>
      <c r="T6219" s="213" t="s">
        <v>51676</v>
      </c>
      <c r="U6219" s="213" t="s">
        <v>55841</v>
      </c>
    </row>
    <row r="6220" spans="1:21" x14ac:dyDescent="0.25">
      <c r="A6220" s="213" t="s">
        <v>327</v>
      </c>
      <c r="D6220" s="213" t="s">
        <v>51677</v>
      </c>
      <c r="E6220" s="213" t="s">
        <v>51678</v>
      </c>
      <c r="K6220" s="213" t="s">
        <v>55767</v>
      </c>
      <c r="L6220" s="213" t="s">
        <v>55792</v>
      </c>
      <c r="M6220" s="213" t="s">
        <v>55817</v>
      </c>
      <c r="N6220" s="213" t="s">
        <v>51679</v>
      </c>
      <c r="O6220" s="213" t="s">
        <v>51680</v>
      </c>
      <c r="P6220" s="213" t="s">
        <v>51681</v>
      </c>
      <c r="Q6220" s="213" t="s">
        <v>51682</v>
      </c>
      <c r="R6220" s="213" t="s">
        <v>51683</v>
      </c>
      <c r="S6220" s="213" t="s">
        <v>51684</v>
      </c>
      <c r="T6220" s="213" t="s">
        <v>51685</v>
      </c>
      <c r="U6220" s="213" t="s">
        <v>55842</v>
      </c>
    </row>
    <row r="6221" spans="1:21" x14ac:dyDescent="0.25">
      <c r="A6221" s="213" t="s">
        <v>327</v>
      </c>
      <c r="D6221" s="213" t="s">
        <v>51686</v>
      </c>
      <c r="E6221" s="213" t="s">
        <v>51687</v>
      </c>
      <c r="K6221" s="213" t="s">
        <v>55768</v>
      </c>
      <c r="L6221" s="213" t="s">
        <v>55793</v>
      </c>
      <c r="M6221" s="213" t="s">
        <v>55818</v>
      </c>
      <c r="N6221" s="213" t="s">
        <v>51688</v>
      </c>
      <c r="O6221" s="213" t="s">
        <v>51689</v>
      </c>
      <c r="P6221" s="213" t="s">
        <v>51690</v>
      </c>
      <c r="Q6221" s="213" t="s">
        <v>51691</v>
      </c>
      <c r="R6221" s="213" t="s">
        <v>51692</v>
      </c>
      <c r="S6221" s="213" t="s">
        <v>51693</v>
      </c>
      <c r="T6221" s="213" t="s">
        <v>51694</v>
      </c>
      <c r="U6221" s="213" t="s">
        <v>55843</v>
      </c>
    </row>
    <row r="6222" spans="1:21" x14ac:dyDescent="0.25">
      <c r="A6222" s="213" t="s">
        <v>327</v>
      </c>
      <c r="D6222" s="213" t="s">
        <v>51695</v>
      </c>
      <c r="E6222" s="213" t="s">
        <v>51696</v>
      </c>
      <c r="K6222" s="213" t="s">
        <v>55769</v>
      </c>
      <c r="L6222" s="213" t="s">
        <v>55794</v>
      </c>
      <c r="M6222" s="213" t="s">
        <v>55819</v>
      </c>
      <c r="N6222" s="213" t="s">
        <v>51697</v>
      </c>
      <c r="O6222" s="213" t="s">
        <v>51698</v>
      </c>
      <c r="P6222" s="213" t="s">
        <v>51699</v>
      </c>
      <c r="Q6222" s="213" t="s">
        <v>51700</v>
      </c>
      <c r="R6222" s="213" t="s">
        <v>51701</v>
      </c>
      <c r="S6222" s="213" t="s">
        <v>51702</v>
      </c>
      <c r="T6222" s="213" t="s">
        <v>51703</v>
      </c>
      <c r="U6222" s="213" t="s">
        <v>55844</v>
      </c>
    </row>
    <row r="6223" spans="1:21" x14ac:dyDescent="0.25">
      <c r="A6223" s="213" t="s">
        <v>327</v>
      </c>
      <c r="D6223" s="213" t="s">
        <v>51704</v>
      </c>
      <c r="E6223" s="213" t="s">
        <v>51705</v>
      </c>
      <c r="K6223" s="213" t="s">
        <v>55770</v>
      </c>
      <c r="L6223" s="213" t="s">
        <v>55795</v>
      </c>
      <c r="M6223" s="213" t="s">
        <v>55820</v>
      </c>
      <c r="N6223" s="213" t="s">
        <v>51706</v>
      </c>
      <c r="O6223" s="213" t="s">
        <v>51707</v>
      </c>
      <c r="P6223" s="213" t="s">
        <v>51708</v>
      </c>
      <c r="Q6223" s="213" t="s">
        <v>51709</v>
      </c>
      <c r="R6223" s="213" t="s">
        <v>51710</v>
      </c>
      <c r="S6223" s="213" t="s">
        <v>51711</v>
      </c>
      <c r="T6223" s="213" t="s">
        <v>51712</v>
      </c>
      <c r="U6223" s="213" t="s">
        <v>55845</v>
      </c>
    </row>
    <row r="6224" spans="1:21" x14ac:dyDescent="0.25">
      <c r="A6224" s="213" t="s">
        <v>327</v>
      </c>
    </row>
    <row r="6225" spans="1:21" x14ac:dyDescent="0.25">
      <c r="A6225" s="213" t="s">
        <v>327</v>
      </c>
    </row>
    <row r="6226" spans="1:21" x14ac:dyDescent="0.25">
      <c r="A6226" s="213" t="s">
        <v>327</v>
      </c>
      <c r="C6226" s="213" t="s">
        <v>51713</v>
      </c>
      <c r="E6226" s="213" t="s">
        <v>51714</v>
      </c>
      <c r="H6226" s="213" t="s">
        <v>51715</v>
      </c>
      <c r="I6226" s="213" t="s">
        <v>51716</v>
      </c>
      <c r="J6226" s="213" t="s">
        <v>51717</v>
      </c>
      <c r="L6226" s="213" t="s">
        <v>51718</v>
      </c>
      <c r="O6226" s="213" t="s">
        <v>51719</v>
      </c>
      <c r="P6226" s="213" t="s">
        <v>51720</v>
      </c>
      <c r="Q6226" s="213" t="s">
        <v>51721</v>
      </c>
      <c r="R6226" s="213" t="s">
        <v>51722</v>
      </c>
      <c r="S6226" s="213" t="s">
        <v>51723</v>
      </c>
      <c r="T6226" s="213" t="s">
        <v>51724</v>
      </c>
    </row>
    <row r="6227" spans="1:21" x14ac:dyDescent="0.25">
      <c r="A6227" s="213" t="s">
        <v>327</v>
      </c>
      <c r="C6227" s="213" t="s">
        <v>51725</v>
      </c>
      <c r="E6227" s="213" t="s">
        <v>51726</v>
      </c>
      <c r="I6227" s="213" t="s">
        <v>51727</v>
      </c>
    </row>
    <row r="6228" spans="1:21" x14ac:dyDescent="0.25">
      <c r="A6228" s="213" t="s">
        <v>327</v>
      </c>
      <c r="C6228" s="213" t="s">
        <v>51728</v>
      </c>
      <c r="E6228" s="213" t="s">
        <v>51729</v>
      </c>
      <c r="I6228" s="213" t="s">
        <v>51730</v>
      </c>
    </row>
    <row r="6229" spans="1:21" x14ac:dyDescent="0.25">
      <c r="A6229" s="213" t="s">
        <v>328</v>
      </c>
    </row>
    <row r="6230" spans="1:21" x14ac:dyDescent="0.25">
      <c r="A6230" s="213" t="s">
        <v>327</v>
      </c>
      <c r="D6230" s="213" t="s">
        <v>51731</v>
      </c>
      <c r="E6230" s="213" t="s">
        <v>51732</v>
      </c>
      <c r="K6230" s="213" t="s">
        <v>55618</v>
      </c>
      <c r="L6230" s="213" t="s">
        <v>55650</v>
      </c>
      <c r="M6230" s="213" t="s">
        <v>55682</v>
      </c>
      <c r="N6230" s="213" t="s">
        <v>51733</v>
      </c>
      <c r="O6230" s="213" t="s">
        <v>51734</v>
      </c>
      <c r="P6230" s="213" t="s">
        <v>51735</v>
      </c>
      <c r="Q6230" s="213" t="s">
        <v>51736</v>
      </c>
      <c r="R6230" s="213" t="s">
        <v>51737</v>
      </c>
      <c r="S6230" s="213" t="s">
        <v>51738</v>
      </c>
      <c r="T6230" s="213" t="s">
        <v>51739</v>
      </c>
      <c r="U6230" s="213" t="s">
        <v>55714</v>
      </c>
    </row>
    <row r="6231" spans="1:21" x14ac:dyDescent="0.25">
      <c r="A6231" s="213" t="s">
        <v>327</v>
      </c>
      <c r="D6231" s="213" t="s">
        <v>51740</v>
      </c>
      <c r="E6231" s="213" t="s">
        <v>51741</v>
      </c>
      <c r="K6231" s="213" t="s">
        <v>55619</v>
      </c>
      <c r="L6231" s="213" t="s">
        <v>55651</v>
      </c>
      <c r="M6231" s="213" t="s">
        <v>55683</v>
      </c>
      <c r="N6231" s="213" t="s">
        <v>51742</v>
      </c>
      <c r="O6231" s="213" t="s">
        <v>51743</v>
      </c>
      <c r="P6231" s="213" t="s">
        <v>51744</v>
      </c>
      <c r="Q6231" s="213" t="s">
        <v>51745</v>
      </c>
      <c r="R6231" s="213" t="s">
        <v>51746</v>
      </c>
      <c r="S6231" s="213" t="s">
        <v>51747</v>
      </c>
      <c r="T6231" s="213" t="s">
        <v>51748</v>
      </c>
      <c r="U6231" s="213" t="s">
        <v>55715</v>
      </c>
    </row>
    <row r="6232" spans="1:21" x14ac:dyDescent="0.25">
      <c r="A6232" s="213" t="s">
        <v>327</v>
      </c>
      <c r="D6232" s="213" t="s">
        <v>51749</v>
      </c>
      <c r="E6232" s="213" t="s">
        <v>51750</v>
      </c>
      <c r="K6232" s="213" t="s">
        <v>55620</v>
      </c>
      <c r="L6232" s="213" t="s">
        <v>55652</v>
      </c>
      <c r="M6232" s="213" t="s">
        <v>55684</v>
      </c>
      <c r="N6232" s="213" t="s">
        <v>51751</v>
      </c>
      <c r="O6232" s="213" t="s">
        <v>51752</v>
      </c>
      <c r="P6232" s="213" t="s">
        <v>51753</v>
      </c>
      <c r="Q6232" s="213" t="s">
        <v>51754</v>
      </c>
      <c r="R6232" s="213" t="s">
        <v>51755</v>
      </c>
      <c r="S6232" s="213" t="s">
        <v>51756</v>
      </c>
      <c r="T6232" s="213" t="s">
        <v>51757</v>
      </c>
      <c r="U6232" s="213" t="s">
        <v>55716</v>
      </c>
    </row>
    <row r="6233" spans="1:21" x14ac:dyDescent="0.25">
      <c r="A6233" s="213" t="s">
        <v>327</v>
      </c>
      <c r="D6233" s="213" t="s">
        <v>51758</v>
      </c>
      <c r="E6233" s="213" t="s">
        <v>51759</v>
      </c>
      <c r="K6233" s="213" t="s">
        <v>55621</v>
      </c>
      <c r="L6233" s="213" t="s">
        <v>55653</v>
      </c>
      <c r="M6233" s="213" t="s">
        <v>55685</v>
      </c>
      <c r="N6233" s="213" t="s">
        <v>51760</v>
      </c>
      <c r="O6233" s="213" t="s">
        <v>51761</v>
      </c>
      <c r="P6233" s="213" t="s">
        <v>51762</v>
      </c>
      <c r="Q6233" s="213" t="s">
        <v>51763</v>
      </c>
      <c r="R6233" s="213" t="s">
        <v>51764</v>
      </c>
      <c r="S6233" s="213" t="s">
        <v>51765</v>
      </c>
      <c r="T6233" s="213" t="s">
        <v>51766</v>
      </c>
      <c r="U6233" s="213" t="s">
        <v>55717</v>
      </c>
    </row>
    <row r="6234" spans="1:21" x14ac:dyDescent="0.25">
      <c r="A6234" s="213" t="s">
        <v>327</v>
      </c>
      <c r="D6234" s="213" t="s">
        <v>51767</v>
      </c>
      <c r="E6234" s="213" t="s">
        <v>51768</v>
      </c>
      <c r="K6234" s="213" t="s">
        <v>55622</v>
      </c>
      <c r="L6234" s="213" t="s">
        <v>55654</v>
      </c>
      <c r="M6234" s="213" t="s">
        <v>55686</v>
      </c>
      <c r="N6234" s="213" t="s">
        <v>51769</v>
      </c>
      <c r="O6234" s="213" t="s">
        <v>51770</v>
      </c>
      <c r="P6234" s="213" t="s">
        <v>51771</v>
      </c>
      <c r="Q6234" s="213" t="s">
        <v>51772</v>
      </c>
      <c r="R6234" s="213" t="s">
        <v>51773</v>
      </c>
      <c r="S6234" s="213" t="s">
        <v>51774</v>
      </c>
      <c r="T6234" s="213" t="s">
        <v>51775</v>
      </c>
      <c r="U6234" s="213" t="s">
        <v>55718</v>
      </c>
    </row>
    <row r="6235" spans="1:21" x14ac:dyDescent="0.25">
      <c r="A6235" s="213" t="s">
        <v>327</v>
      </c>
      <c r="D6235" s="213" t="s">
        <v>51776</v>
      </c>
      <c r="E6235" s="213" t="s">
        <v>51777</v>
      </c>
      <c r="K6235" s="213" t="s">
        <v>55623</v>
      </c>
      <c r="L6235" s="213" t="s">
        <v>55655</v>
      </c>
      <c r="M6235" s="213" t="s">
        <v>55687</v>
      </c>
      <c r="N6235" s="213" t="s">
        <v>51778</v>
      </c>
      <c r="O6235" s="213" t="s">
        <v>51779</v>
      </c>
      <c r="P6235" s="213" t="s">
        <v>51780</v>
      </c>
      <c r="Q6235" s="213" t="s">
        <v>51781</v>
      </c>
      <c r="R6235" s="213" t="s">
        <v>51782</v>
      </c>
      <c r="S6235" s="213" t="s">
        <v>51783</v>
      </c>
      <c r="T6235" s="213" t="s">
        <v>51784</v>
      </c>
      <c r="U6235" s="213" t="s">
        <v>55719</v>
      </c>
    </row>
    <row r="6236" spans="1:21" x14ac:dyDescent="0.25">
      <c r="A6236" s="213" t="s">
        <v>327</v>
      </c>
      <c r="D6236" s="213" t="s">
        <v>51785</v>
      </c>
      <c r="E6236" s="213" t="s">
        <v>51786</v>
      </c>
      <c r="K6236" s="213" t="s">
        <v>55624</v>
      </c>
      <c r="L6236" s="213" t="s">
        <v>55656</v>
      </c>
      <c r="M6236" s="213" t="s">
        <v>55688</v>
      </c>
      <c r="N6236" s="213" t="s">
        <v>51787</v>
      </c>
      <c r="O6236" s="213" t="s">
        <v>51788</v>
      </c>
      <c r="P6236" s="213" t="s">
        <v>51789</v>
      </c>
      <c r="Q6236" s="213" t="s">
        <v>51790</v>
      </c>
      <c r="R6236" s="213" t="s">
        <v>51791</v>
      </c>
      <c r="S6236" s="213" t="s">
        <v>51792</v>
      </c>
      <c r="T6236" s="213" t="s">
        <v>51793</v>
      </c>
      <c r="U6236" s="213" t="s">
        <v>55720</v>
      </c>
    </row>
    <row r="6237" spans="1:21" x14ac:dyDescent="0.25">
      <c r="A6237" s="213" t="s">
        <v>327</v>
      </c>
      <c r="D6237" s="213" t="s">
        <v>51794</v>
      </c>
      <c r="E6237" s="213" t="s">
        <v>51795</v>
      </c>
      <c r="K6237" s="213" t="s">
        <v>55625</v>
      </c>
      <c r="L6237" s="213" t="s">
        <v>55657</v>
      </c>
      <c r="M6237" s="213" t="s">
        <v>55689</v>
      </c>
      <c r="N6237" s="213" t="s">
        <v>51796</v>
      </c>
      <c r="O6237" s="213" t="s">
        <v>51797</v>
      </c>
      <c r="P6237" s="213" t="s">
        <v>51798</v>
      </c>
      <c r="Q6237" s="213" t="s">
        <v>51799</v>
      </c>
      <c r="R6237" s="213" t="s">
        <v>51800</v>
      </c>
      <c r="S6237" s="213" t="s">
        <v>51801</v>
      </c>
      <c r="T6237" s="213" t="s">
        <v>51802</v>
      </c>
      <c r="U6237" s="213" t="s">
        <v>55721</v>
      </c>
    </row>
    <row r="6238" spans="1:21" x14ac:dyDescent="0.25">
      <c r="A6238" s="213" t="s">
        <v>327</v>
      </c>
      <c r="D6238" s="213" t="s">
        <v>51803</v>
      </c>
      <c r="E6238" s="213" t="s">
        <v>51804</v>
      </c>
      <c r="K6238" s="213" t="s">
        <v>55626</v>
      </c>
      <c r="L6238" s="213" t="s">
        <v>55658</v>
      </c>
      <c r="M6238" s="213" t="s">
        <v>55690</v>
      </c>
      <c r="N6238" s="213" t="s">
        <v>51805</v>
      </c>
      <c r="O6238" s="213" t="s">
        <v>51806</v>
      </c>
      <c r="P6238" s="213" t="s">
        <v>51807</v>
      </c>
      <c r="Q6238" s="213" t="s">
        <v>51808</v>
      </c>
      <c r="R6238" s="213" t="s">
        <v>51809</v>
      </c>
      <c r="S6238" s="213" t="s">
        <v>51810</v>
      </c>
      <c r="T6238" s="213" t="s">
        <v>51811</v>
      </c>
      <c r="U6238" s="213" t="s">
        <v>55722</v>
      </c>
    </row>
    <row r="6239" spans="1:21" x14ac:dyDescent="0.25">
      <c r="A6239" s="213" t="s">
        <v>327</v>
      </c>
      <c r="D6239" s="213" t="s">
        <v>51812</v>
      </c>
      <c r="E6239" s="213" t="s">
        <v>51813</v>
      </c>
      <c r="K6239" s="213" t="s">
        <v>55627</v>
      </c>
      <c r="L6239" s="213" t="s">
        <v>55659</v>
      </c>
      <c r="M6239" s="213" t="s">
        <v>55691</v>
      </c>
      <c r="N6239" s="213" t="s">
        <v>51814</v>
      </c>
      <c r="O6239" s="213" t="s">
        <v>51815</v>
      </c>
      <c r="P6239" s="213" t="s">
        <v>51816</v>
      </c>
      <c r="Q6239" s="213" t="s">
        <v>51817</v>
      </c>
      <c r="R6239" s="213" t="s">
        <v>51818</v>
      </c>
      <c r="S6239" s="213" t="s">
        <v>51819</v>
      </c>
      <c r="T6239" s="213" t="s">
        <v>51820</v>
      </c>
      <c r="U6239" s="213" t="s">
        <v>55723</v>
      </c>
    </row>
    <row r="6240" spans="1:21" x14ac:dyDescent="0.25">
      <c r="A6240" s="213" t="s">
        <v>327</v>
      </c>
      <c r="D6240" s="213" t="s">
        <v>51821</v>
      </c>
      <c r="E6240" s="213" t="s">
        <v>51822</v>
      </c>
      <c r="K6240" s="213" t="s">
        <v>55628</v>
      </c>
      <c r="L6240" s="213" t="s">
        <v>55660</v>
      </c>
      <c r="M6240" s="213" t="s">
        <v>55692</v>
      </c>
      <c r="N6240" s="213" t="s">
        <v>51823</v>
      </c>
      <c r="O6240" s="213" t="s">
        <v>51824</v>
      </c>
      <c r="P6240" s="213" t="s">
        <v>51825</v>
      </c>
      <c r="Q6240" s="213" t="s">
        <v>51826</v>
      </c>
      <c r="R6240" s="213" t="s">
        <v>51827</v>
      </c>
      <c r="S6240" s="213" t="s">
        <v>51828</v>
      </c>
      <c r="T6240" s="213" t="s">
        <v>51829</v>
      </c>
      <c r="U6240" s="213" t="s">
        <v>55724</v>
      </c>
    </row>
    <row r="6241" spans="1:21" x14ac:dyDescent="0.25">
      <c r="A6241" s="213" t="s">
        <v>327</v>
      </c>
      <c r="D6241" s="213" t="s">
        <v>51830</v>
      </c>
      <c r="E6241" s="213" t="s">
        <v>51831</v>
      </c>
      <c r="K6241" s="213" t="s">
        <v>55629</v>
      </c>
      <c r="L6241" s="213" t="s">
        <v>55661</v>
      </c>
      <c r="M6241" s="213" t="s">
        <v>55693</v>
      </c>
      <c r="N6241" s="213" t="s">
        <v>51832</v>
      </c>
      <c r="O6241" s="213" t="s">
        <v>51833</v>
      </c>
      <c r="P6241" s="213" t="s">
        <v>51834</v>
      </c>
      <c r="Q6241" s="213" t="s">
        <v>51835</v>
      </c>
      <c r="R6241" s="213" t="s">
        <v>51836</v>
      </c>
      <c r="S6241" s="213" t="s">
        <v>51837</v>
      </c>
      <c r="T6241" s="213" t="s">
        <v>51838</v>
      </c>
      <c r="U6241" s="213" t="s">
        <v>55725</v>
      </c>
    </row>
    <row r="6242" spans="1:21" x14ac:dyDescent="0.25">
      <c r="A6242" s="213" t="s">
        <v>327</v>
      </c>
      <c r="D6242" s="213" t="s">
        <v>51839</v>
      </c>
      <c r="E6242" s="213" t="s">
        <v>51840</v>
      </c>
      <c r="K6242" s="213" t="s">
        <v>55630</v>
      </c>
      <c r="L6242" s="213" t="s">
        <v>55662</v>
      </c>
      <c r="M6242" s="213" t="s">
        <v>55694</v>
      </c>
      <c r="N6242" s="213" t="s">
        <v>51841</v>
      </c>
      <c r="O6242" s="213" t="s">
        <v>51842</v>
      </c>
      <c r="P6242" s="213" t="s">
        <v>51843</v>
      </c>
      <c r="Q6242" s="213" t="s">
        <v>51844</v>
      </c>
      <c r="R6242" s="213" t="s">
        <v>51845</v>
      </c>
      <c r="S6242" s="213" t="s">
        <v>51846</v>
      </c>
      <c r="T6242" s="213" t="s">
        <v>51847</v>
      </c>
      <c r="U6242" s="213" t="s">
        <v>55726</v>
      </c>
    </row>
    <row r="6243" spans="1:21" x14ac:dyDescent="0.25">
      <c r="A6243" s="213" t="s">
        <v>327</v>
      </c>
      <c r="D6243" s="213" t="s">
        <v>51848</v>
      </c>
      <c r="E6243" s="213" t="s">
        <v>51849</v>
      </c>
      <c r="K6243" s="213" t="s">
        <v>55631</v>
      </c>
      <c r="L6243" s="213" t="s">
        <v>55663</v>
      </c>
      <c r="M6243" s="213" t="s">
        <v>55695</v>
      </c>
      <c r="N6243" s="213" t="s">
        <v>51850</v>
      </c>
      <c r="O6243" s="213" t="s">
        <v>51851</v>
      </c>
      <c r="P6243" s="213" t="s">
        <v>51852</v>
      </c>
      <c r="Q6243" s="213" t="s">
        <v>51853</v>
      </c>
      <c r="R6243" s="213" t="s">
        <v>51854</v>
      </c>
      <c r="S6243" s="213" t="s">
        <v>51855</v>
      </c>
      <c r="T6243" s="213" t="s">
        <v>51856</v>
      </c>
      <c r="U6243" s="213" t="s">
        <v>55727</v>
      </c>
    </row>
    <row r="6244" spans="1:21" x14ac:dyDescent="0.25">
      <c r="A6244" s="213" t="s">
        <v>327</v>
      </c>
      <c r="D6244" s="213" t="s">
        <v>51857</v>
      </c>
      <c r="E6244" s="213" t="s">
        <v>51858</v>
      </c>
      <c r="K6244" s="213" t="s">
        <v>55632</v>
      </c>
      <c r="L6244" s="213" t="s">
        <v>55664</v>
      </c>
      <c r="M6244" s="213" t="s">
        <v>55696</v>
      </c>
      <c r="N6244" s="213" t="s">
        <v>51859</v>
      </c>
      <c r="O6244" s="213" t="s">
        <v>51860</v>
      </c>
      <c r="P6244" s="213" t="s">
        <v>51861</v>
      </c>
      <c r="Q6244" s="213" t="s">
        <v>51862</v>
      </c>
      <c r="R6244" s="213" t="s">
        <v>51863</v>
      </c>
      <c r="S6244" s="213" t="s">
        <v>51864</v>
      </c>
      <c r="T6244" s="213" t="s">
        <v>51865</v>
      </c>
      <c r="U6244" s="213" t="s">
        <v>55728</v>
      </c>
    </row>
    <row r="6245" spans="1:21" x14ac:dyDescent="0.25">
      <c r="A6245" s="213" t="s">
        <v>327</v>
      </c>
      <c r="D6245" s="213" t="s">
        <v>51866</v>
      </c>
      <c r="E6245" s="213" t="s">
        <v>51867</v>
      </c>
      <c r="K6245" s="213" t="s">
        <v>55633</v>
      </c>
      <c r="L6245" s="213" t="s">
        <v>55665</v>
      </c>
      <c r="M6245" s="213" t="s">
        <v>55697</v>
      </c>
      <c r="N6245" s="213" t="s">
        <v>51868</v>
      </c>
      <c r="O6245" s="213" t="s">
        <v>51869</v>
      </c>
      <c r="P6245" s="213" t="s">
        <v>51870</v>
      </c>
      <c r="Q6245" s="213" t="s">
        <v>51871</v>
      </c>
      <c r="R6245" s="213" t="s">
        <v>51872</v>
      </c>
      <c r="S6245" s="213" t="s">
        <v>51873</v>
      </c>
      <c r="T6245" s="213" t="s">
        <v>51874</v>
      </c>
      <c r="U6245" s="213" t="s">
        <v>55729</v>
      </c>
    </row>
    <row r="6246" spans="1:21" x14ac:dyDescent="0.25">
      <c r="A6246" s="213" t="s">
        <v>327</v>
      </c>
      <c r="D6246" s="213" t="s">
        <v>51875</v>
      </c>
      <c r="E6246" s="213" t="s">
        <v>51876</v>
      </c>
      <c r="K6246" s="213" t="s">
        <v>55634</v>
      </c>
      <c r="L6246" s="213" t="s">
        <v>55666</v>
      </c>
      <c r="M6246" s="213" t="s">
        <v>55698</v>
      </c>
      <c r="N6246" s="213" t="s">
        <v>51877</v>
      </c>
      <c r="O6246" s="213" t="s">
        <v>51878</v>
      </c>
      <c r="P6246" s="213" t="s">
        <v>51879</v>
      </c>
      <c r="Q6246" s="213" t="s">
        <v>51880</v>
      </c>
      <c r="R6246" s="213" t="s">
        <v>51881</v>
      </c>
      <c r="S6246" s="213" t="s">
        <v>51882</v>
      </c>
      <c r="T6246" s="213" t="s">
        <v>51883</v>
      </c>
      <c r="U6246" s="213" t="s">
        <v>55730</v>
      </c>
    </row>
    <row r="6247" spans="1:21" x14ac:dyDescent="0.25">
      <c r="A6247" s="213" t="s">
        <v>327</v>
      </c>
      <c r="D6247" s="213" t="s">
        <v>51884</v>
      </c>
      <c r="E6247" s="213" t="s">
        <v>51885</v>
      </c>
      <c r="K6247" s="213" t="s">
        <v>55635</v>
      </c>
      <c r="L6247" s="213" t="s">
        <v>55667</v>
      </c>
      <c r="M6247" s="213" t="s">
        <v>55699</v>
      </c>
      <c r="N6247" s="213" t="s">
        <v>51886</v>
      </c>
      <c r="O6247" s="213" t="s">
        <v>51887</v>
      </c>
      <c r="P6247" s="213" t="s">
        <v>51888</v>
      </c>
      <c r="Q6247" s="213" t="s">
        <v>51889</v>
      </c>
      <c r="R6247" s="213" t="s">
        <v>51890</v>
      </c>
      <c r="S6247" s="213" t="s">
        <v>51891</v>
      </c>
      <c r="T6247" s="213" t="s">
        <v>51892</v>
      </c>
      <c r="U6247" s="213" t="s">
        <v>55731</v>
      </c>
    </row>
    <row r="6248" spans="1:21" x14ac:dyDescent="0.25">
      <c r="A6248" s="213" t="s">
        <v>327</v>
      </c>
      <c r="D6248" s="213" t="s">
        <v>51893</v>
      </c>
      <c r="E6248" s="213" t="s">
        <v>51894</v>
      </c>
      <c r="K6248" s="213" t="s">
        <v>55636</v>
      </c>
      <c r="L6248" s="213" t="s">
        <v>55668</v>
      </c>
      <c r="M6248" s="213" t="s">
        <v>55700</v>
      </c>
      <c r="N6248" s="213" t="s">
        <v>51895</v>
      </c>
      <c r="O6248" s="213" t="s">
        <v>51896</v>
      </c>
      <c r="P6248" s="213" t="s">
        <v>51897</v>
      </c>
      <c r="Q6248" s="213" t="s">
        <v>51898</v>
      </c>
      <c r="R6248" s="213" t="s">
        <v>51899</v>
      </c>
      <c r="S6248" s="213" t="s">
        <v>51900</v>
      </c>
      <c r="T6248" s="213" t="s">
        <v>51901</v>
      </c>
      <c r="U6248" s="213" t="s">
        <v>55732</v>
      </c>
    </row>
    <row r="6249" spans="1:21" x14ac:dyDescent="0.25">
      <c r="A6249" s="213" t="s">
        <v>327</v>
      </c>
      <c r="D6249" s="213" t="s">
        <v>51902</v>
      </c>
      <c r="E6249" s="213" t="s">
        <v>51903</v>
      </c>
      <c r="K6249" s="213" t="s">
        <v>55637</v>
      </c>
      <c r="L6249" s="213" t="s">
        <v>55669</v>
      </c>
      <c r="M6249" s="213" t="s">
        <v>55701</v>
      </c>
      <c r="N6249" s="213" t="s">
        <v>51904</v>
      </c>
      <c r="O6249" s="213" t="s">
        <v>51905</v>
      </c>
      <c r="P6249" s="213" t="s">
        <v>51906</v>
      </c>
      <c r="Q6249" s="213" t="s">
        <v>51907</v>
      </c>
      <c r="R6249" s="213" t="s">
        <v>51908</v>
      </c>
      <c r="S6249" s="213" t="s">
        <v>51909</v>
      </c>
      <c r="T6249" s="213" t="s">
        <v>51910</v>
      </c>
      <c r="U6249" s="213" t="s">
        <v>55733</v>
      </c>
    </row>
    <row r="6250" spans="1:21" x14ac:dyDescent="0.25">
      <c r="A6250" s="213" t="s">
        <v>327</v>
      </c>
      <c r="D6250" s="213" t="s">
        <v>51911</v>
      </c>
      <c r="E6250" s="213" t="s">
        <v>51912</v>
      </c>
      <c r="K6250" s="213" t="s">
        <v>55638</v>
      </c>
      <c r="L6250" s="213" t="s">
        <v>55670</v>
      </c>
      <c r="M6250" s="213" t="s">
        <v>55702</v>
      </c>
      <c r="N6250" s="213" t="s">
        <v>51913</v>
      </c>
      <c r="O6250" s="213" t="s">
        <v>51914</v>
      </c>
      <c r="P6250" s="213" t="s">
        <v>51915</v>
      </c>
      <c r="Q6250" s="213" t="s">
        <v>51916</v>
      </c>
      <c r="R6250" s="213" t="s">
        <v>51917</v>
      </c>
      <c r="S6250" s="213" t="s">
        <v>51918</v>
      </c>
      <c r="T6250" s="213" t="s">
        <v>51919</v>
      </c>
      <c r="U6250" s="213" t="s">
        <v>55734</v>
      </c>
    </row>
    <row r="6251" spans="1:21" x14ac:dyDescent="0.25">
      <c r="A6251" s="213" t="s">
        <v>327</v>
      </c>
      <c r="D6251" s="213" t="s">
        <v>51920</v>
      </c>
      <c r="E6251" s="213" t="s">
        <v>51921</v>
      </c>
      <c r="K6251" s="213" t="s">
        <v>55639</v>
      </c>
      <c r="L6251" s="213" t="s">
        <v>55671</v>
      </c>
      <c r="M6251" s="213" t="s">
        <v>55703</v>
      </c>
      <c r="N6251" s="213" t="s">
        <v>51922</v>
      </c>
      <c r="O6251" s="213" t="s">
        <v>51923</v>
      </c>
      <c r="P6251" s="213" t="s">
        <v>51924</v>
      </c>
      <c r="Q6251" s="213" t="s">
        <v>51925</v>
      </c>
      <c r="R6251" s="213" t="s">
        <v>51926</v>
      </c>
      <c r="S6251" s="213" t="s">
        <v>51927</v>
      </c>
      <c r="T6251" s="213" t="s">
        <v>51928</v>
      </c>
      <c r="U6251" s="213" t="s">
        <v>55735</v>
      </c>
    </row>
    <row r="6252" spans="1:21" x14ac:dyDescent="0.25">
      <c r="A6252" s="213" t="s">
        <v>327</v>
      </c>
      <c r="D6252" s="213" t="s">
        <v>51929</v>
      </c>
      <c r="E6252" s="213" t="s">
        <v>51930</v>
      </c>
      <c r="K6252" s="213" t="s">
        <v>55640</v>
      </c>
      <c r="L6252" s="213" t="s">
        <v>55672</v>
      </c>
      <c r="M6252" s="213" t="s">
        <v>55704</v>
      </c>
      <c r="N6252" s="213" t="s">
        <v>51931</v>
      </c>
      <c r="O6252" s="213" t="s">
        <v>51932</v>
      </c>
      <c r="P6252" s="213" t="s">
        <v>51933</v>
      </c>
      <c r="Q6252" s="213" t="s">
        <v>51934</v>
      </c>
      <c r="R6252" s="213" t="s">
        <v>51935</v>
      </c>
      <c r="S6252" s="213" t="s">
        <v>51936</v>
      </c>
      <c r="T6252" s="213" t="s">
        <v>51937</v>
      </c>
      <c r="U6252" s="213" t="s">
        <v>55736</v>
      </c>
    </row>
    <row r="6253" spans="1:21" x14ac:dyDescent="0.25">
      <c r="A6253" s="213" t="s">
        <v>327</v>
      </c>
      <c r="D6253" s="213" t="s">
        <v>51938</v>
      </c>
      <c r="E6253" s="213" t="s">
        <v>51939</v>
      </c>
      <c r="K6253" s="213" t="s">
        <v>55641</v>
      </c>
      <c r="L6253" s="213" t="s">
        <v>55673</v>
      </c>
      <c r="M6253" s="213" t="s">
        <v>55705</v>
      </c>
      <c r="N6253" s="213" t="s">
        <v>51940</v>
      </c>
      <c r="O6253" s="213" t="s">
        <v>51941</v>
      </c>
      <c r="P6253" s="213" t="s">
        <v>51942</v>
      </c>
      <c r="Q6253" s="213" t="s">
        <v>51943</v>
      </c>
      <c r="R6253" s="213" t="s">
        <v>51944</v>
      </c>
      <c r="S6253" s="213" t="s">
        <v>51945</v>
      </c>
      <c r="T6253" s="213" t="s">
        <v>51946</v>
      </c>
      <c r="U6253" s="213" t="s">
        <v>55737</v>
      </c>
    </row>
    <row r="6254" spans="1:21" x14ac:dyDescent="0.25">
      <c r="A6254" s="213" t="s">
        <v>327</v>
      </c>
      <c r="D6254" s="213" t="s">
        <v>51947</v>
      </c>
      <c r="E6254" s="213" t="s">
        <v>51948</v>
      </c>
      <c r="K6254" s="213" t="s">
        <v>55642</v>
      </c>
      <c r="L6254" s="213" t="s">
        <v>55674</v>
      </c>
      <c r="M6254" s="213" t="s">
        <v>55706</v>
      </c>
      <c r="N6254" s="213" t="s">
        <v>51949</v>
      </c>
      <c r="O6254" s="213" t="s">
        <v>51950</v>
      </c>
      <c r="P6254" s="213" t="s">
        <v>51951</v>
      </c>
      <c r="Q6254" s="213" t="s">
        <v>51952</v>
      </c>
      <c r="R6254" s="213" t="s">
        <v>51953</v>
      </c>
      <c r="S6254" s="213" t="s">
        <v>51954</v>
      </c>
      <c r="T6254" s="213" t="s">
        <v>51955</v>
      </c>
      <c r="U6254" s="213" t="s">
        <v>55738</v>
      </c>
    </row>
    <row r="6255" spans="1:21" x14ac:dyDescent="0.25">
      <c r="A6255" s="213" t="s">
        <v>327</v>
      </c>
      <c r="D6255" s="213" t="s">
        <v>51956</v>
      </c>
      <c r="E6255" s="213" t="s">
        <v>51957</v>
      </c>
      <c r="K6255" s="213" t="s">
        <v>55643</v>
      </c>
      <c r="L6255" s="213" t="s">
        <v>55675</v>
      </c>
      <c r="M6255" s="213" t="s">
        <v>55707</v>
      </c>
      <c r="N6255" s="213" t="s">
        <v>51958</v>
      </c>
      <c r="O6255" s="213" t="s">
        <v>51959</v>
      </c>
      <c r="P6255" s="213" t="s">
        <v>51960</v>
      </c>
      <c r="Q6255" s="213" t="s">
        <v>51961</v>
      </c>
      <c r="R6255" s="213" t="s">
        <v>51962</v>
      </c>
      <c r="S6255" s="213" t="s">
        <v>51963</v>
      </c>
      <c r="T6255" s="213" t="s">
        <v>51964</v>
      </c>
      <c r="U6255" s="213" t="s">
        <v>55739</v>
      </c>
    </row>
    <row r="6256" spans="1:21" x14ac:dyDescent="0.25">
      <c r="A6256" s="213" t="s">
        <v>327</v>
      </c>
      <c r="D6256" s="213" t="s">
        <v>51965</v>
      </c>
      <c r="E6256" s="213" t="s">
        <v>51966</v>
      </c>
      <c r="K6256" s="213" t="s">
        <v>55644</v>
      </c>
      <c r="L6256" s="213" t="s">
        <v>55676</v>
      </c>
      <c r="M6256" s="213" t="s">
        <v>55708</v>
      </c>
      <c r="N6256" s="213" t="s">
        <v>51967</v>
      </c>
      <c r="O6256" s="213" t="s">
        <v>51968</v>
      </c>
      <c r="P6256" s="213" t="s">
        <v>51969</v>
      </c>
      <c r="Q6256" s="213" t="s">
        <v>51970</v>
      </c>
      <c r="R6256" s="213" t="s">
        <v>51971</v>
      </c>
      <c r="S6256" s="213" t="s">
        <v>51972</v>
      </c>
      <c r="T6256" s="213" t="s">
        <v>51973</v>
      </c>
      <c r="U6256" s="213" t="s">
        <v>55740</v>
      </c>
    </row>
    <row r="6257" spans="1:21" x14ac:dyDescent="0.25">
      <c r="A6257" s="213" t="s">
        <v>327</v>
      </c>
      <c r="D6257" s="213" t="s">
        <v>51974</v>
      </c>
      <c r="E6257" s="213" t="s">
        <v>51975</v>
      </c>
      <c r="K6257" s="213" t="s">
        <v>55645</v>
      </c>
      <c r="L6257" s="213" t="s">
        <v>55677</v>
      </c>
      <c r="M6257" s="213" t="s">
        <v>55709</v>
      </c>
      <c r="N6257" s="213" t="s">
        <v>51976</v>
      </c>
      <c r="O6257" s="213" t="s">
        <v>51977</v>
      </c>
      <c r="P6257" s="213" t="s">
        <v>51978</v>
      </c>
      <c r="Q6257" s="213" t="s">
        <v>51979</v>
      </c>
      <c r="R6257" s="213" t="s">
        <v>51980</v>
      </c>
      <c r="S6257" s="213" t="s">
        <v>51981</v>
      </c>
      <c r="T6257" s="213" t="s">
        <v>51982</v>
      </c>
      <c r="U6257" s="213" t="s">
        <v>55741</v>
      </c>
    </row>
    <row r="6258" spans="1:21" x14ac:dyDescent="0.25">
      <c r="A6258" s="213" t="s">
        <v>327</v>
      </c>
      <c r="D6258" s="213" t="s">
        <v>51983</v>
      </c>
      <c r="E6258" s="213" t="s">
        <v>51984</v>
      </c>
      <c r="K6258" s="213" t="s">
        <v>55646</v>
      </c>
      <c r="L6258" s="213" t="s">
        <v>55678</v>
      </c>
      <c r="M6258" s="213" t="s">
        <v>55710</v>
      </c>
      <c r="N6258" s="213" t="s">
        <v>51985</v>
      </c>
      <c r="O6258" s="213" t="s">
        <v>51986</v>
      </c>
      <c r="P6258" s="213" t="s">
        <v>51987</v>
      </c>
      <c r="Q6258" s="213" t="s">
        <v>51988</v>
      </c>
      <c r="R6258" s="213" t="s">
        <v>51989</v>
      </c>
      <c r="S6258" s="213" t="s">
        <v>51990</v>
      </c>
      <c r="T6258" s="213" t="s">
        <v>51991</v>
      </c>
      <c r="U6258" s="213" t="s">
        <v>55742</v>
      </c>
    </row>
    <row r="6259" spans="1:21" x14ac:dyDescent="0.25">
      <c r="A6259" s="213" t="s">
        <v>327</v>
      </c>
      <c r="D6259" s="213" t="s">
        <v>51992</v>
      </c>
      <c r="E6259" s="213" t="s">
        <v>51993</v>
      </c>
      <c r="K6259" s="213" t="s">
        <v>55647</v>
      </c>
      <c r="L6259" s="213" t="s">
        <v>55679</v>
      </c>
      <c r="M6259" s="213" t="s">
        <v>55711</v>
      </c>
      <c r="N6259" s="213" t="s">
        <v>51994</v>
      </c>
      <c r="O6259" s="213" t="s">
        <v>51995</v>
      </c>
      <c r="P6259" s="213" t="s">
        <v>51996</v>
      </c>
      <c r="Q6259" s="213" t="s">
        <v>51997</v>
      </c>
      <c r="R6259" s="213" t="s">
        <v>51998</v>
      </c>
      <c r="S6259" s="213" t="s">
        <v>51999</v>
      </c>
      <c r="T6259" s="213" t="s">
        <v>52000</v>
      </c>
      <c r="U6259" s="213" t="s">
        <v>55743</v>
      </c>
    </row>
    <row r="6260" spans="1:21" x14ac:dyDescent="0.25">
      <c r="A6260" s="213" t="s">
        <v>327</v>
      </c>
      <c r="D6260" s="213" t="s">
        <v>52001</v>
      </c>
      <c r="E6260" s="213" t="s">
        <v>52002</v>
      </c>
      <c r="K6260" s="213" t="s">
        <v>55648</v>
      </c>
      <c r="L6260" s="213" t="s">
        <v>55680</v>
      </c>
      <c r="M6260" s="213" t="s">
        <v>55712</v>
      </c>
      <c r="N6260" s="213" t="s">
        <v>52003</v>
      </c>
      <c r="O6260" s="213" t="s">
        <v>52004</v>
      </c>
      <c r="P6260" s="213" t="s">
        <v>52005</v>
      </c>
      <c r="Q6260" s="213" t="s">
        <v>52006</v>
      </c>
      <c r="R6260" s="213" t="s">
        <v>52007</v>
      </c>
      <c r="S6260" s="213" t="s">
        <v>52008</v>
      </c>
      <c r="T6260" s="213" t="s">
        <v>52009</v>
      </c>
      <c r="U6260" s="213" t="s">
        <v>55744</v>
      </c>
    </row>
    <row r="6261" spans="1:21" x14ac:dyDescent="0.25">
      <c r="A6261" s="213" t="s">
        <v>327</v>
      </c>
      <c r="D6261" s="213" t="s">
        <v>52010</v>
      </c>
      <c r="E6261" s="213" t="s">
        <v>52011</v>
      </c>
      <c r="K6261" s="213" t="s">
        <v>55649</v>
      </c>
      <c r="L6261" s="213" t="s">
        <v>55681</v>
      </c>
      <c r="M6261" s="213" t="s">
        <v>55713</v>
      </c>
      <c r="N6261" s="213" t="s">
        <v>52012</v>
      </c>
      <c r="O6261" s="213" t="s">
        <v>52013</v>
      </c>
      <c r="P6261" s="213" t="s">
        <v>52014</v>
      </c>
      <c r="Q6261" s="213" t="s">
        <v>52015</v>
      </c>
      <c r="R6261" s="213" t="s">
        <v>52016</v>
      </c>
      <c r="S6261" s="213" t="s">
        <v>52017</v>
      </c>
      <c r="T6261" s="213" t="s">
        <v>52018</v>
      </c>
      <c r="U6261" s="213" t="s">
        <v>55745</v>
      </c>
    </row>
    <row r="6262" spans="1:21" x14ac:dyDescent="0.25">
      <c r="A6262" s="213" t="s">
        <v>327</v>
      </c>
    </row>
    <row r="6263" spans="1:21" x14ac:dyDescent="0.25">
      <c r="A6263" s="213" t="s">
        <v>327</v>
      </c>
    </row>
    <row r="6264" spans="1:21" x14ac:dyDescent="0.25">
      <c r="A6264" s="213" t="s">
        <v>327</v>
      </c>
      <c r="C6264" s="213" t="s">
        <v>52019</v>
      </c>
      <c r="E6264" s="213" t="s">
        <v>52020</v>
      </c>
      <c r="H6264" s="213" t="s">
        <v>52021</v>
      </c>
      <c r="I6264" s="213" t="s">
        <v>52022</v>
      </c>
      <c r="J6264" s="213" t="s">
        <v>52023</v>
      </c>
      <c r="L6264" s="213" t="s">
        <v>52024</v>
      </c>
      <c r="O6264" s="213" t="s">
        <v>52025</v>
      </c>
      <c r="P6264" s="213" t="s">
        <v>52026</v>
      </c>
      <c r="Q6264" s="213" t="s">
        <v>52027</v>
      </c>
      <c r="R6264" s="213" t="s">
        <v>52028</v>
      </c>
      <c r="S6264" s="213" t="s">
        <v>52029</v>
      </c>
      <c r="T6264" s="213" t="s">
        <v>52030</v>
      </c>
    </row>
    <row r="6265" spans="1:21" x14ac:dyDescent="0.25">
      <c r="A6265" s="213" t="s">
        <v>327</v>
      </c>
      <c r="C6265" s="213" t="s">
        <v>52031</v>
      </c>
      <c r="E6265" s="213" t="s">
        <v>52032</v>
      </c>
      <c r="I6265" s="213" t="s">
        <v>52033</v>
      </c>
    </row>
    <row r="6266" spans="1:21" x14ac:dyDescent="0.25">
      <c r="A6266" s="213" t="s">
        <v>327</v>
      </c>
      <c r="C6266" s="213" t="s">
        <v>52034</v>
      </c>
      <c r="E6266" s="213" t="s">
        <v>52035</v>
      </c>
      <c r="I6266" s="213" t="s">
        <v>52036</v>
      </c>
    </row>
    <row r="6267" spans="1:21" x14ac:dyDescent="0.25">
      <c r="A6267" s="213" t="s">
        <v>328</v>
      </c>
    </row>
    <row r="6268" spans="1:21" x14ac:dyDescent="0.25">
      <c r="A6268" s="213" t="s">
        <v>327</v>
      </c>
      <c r="D6268" s="213" t="s">
        <v>52037</v>
      </c>
      <c r="E6268" s="213" t="s">
        <v>52038</v>
      </c>
      <c r="K6268" s="213" t="s">
        <v>55498</v>
      </c>
      <c r="L6268" s="213" t="s">
        <v>55528</v>
      </c>
      <c r="M6268" s="213" t="s">
        <v>55558</v>
      </c>
      <c r="N6268" s="213" t="s">
        <v>52039</v>
      </c>
      <c r="O6268" s="213" t="s">
        <v>52040</v>
      </c>
      <c r="P6268" s="213" t="s">
        <v>52041</v>
      </c>
      <c r="Q6268" s="213" t="s">
        <v>52042</v>
      </c>
      <c r="R6268" s="213" t="s">
        <v>52043</v>
      </c>
      <c r="S6268" s="213" t="s">
        <v>52044</v>
      </c>
      <c r="T6268" s="213" t="s">
        <v>52045</v>
      </c>
      <c r="U6268" s="213" t="s">
        <v>55588</v>
      </c>
    </row>
    <row r="6269" spans="1:21" x14ac:dyDescent="0.25">
      <c r="A6269" s="213" t="s">
        <v>327</v>
      </c>
      <c r="D6269" s="213" t="s">
        <v>52046</v>
      </c>
      <c r="E6269" s="213" t="s">
        <v>52047</v>
      </c>
      <c r="K6269" s="213" t="s">
        <v>55499</v>
      </c>
      <c r="L6269" s="213" t="s">
        <v>55529</v>
      </c>
      <c r="M6269" s="213" t="s">
        <v>55559</v>
      </c>
      <c r="N6269" s="213" t="s">
        <v>52048</v>
      </c>
      <c r="O6269" s="213" t="s">
        <v>52049</v>
      </c>
      <c r="P6269" s="213" t="s">
        <v>52050</v>
      </c>
      <c r="Q6269" s="213" t="s">
        <v>52051</v>
      </c>
      <c r="R6269" s="213" t="s">
        <v>52052</v>
      </c>
      <c r="S6269" s="213" t="s">
        <v>52053</v>
      </c>
      <c r="T6269" s="213" t="s">
        <v>52054</v>
      </c>
      <c r="U6269" s="213" t="s">
        <v>55589</v>
      </c>
    </row>
    <row r="6270" spans="1:21" x14ac:dyDescent="0.25">
      <c r="A6270" s="213" t="s">
        <v>327</v>
      </c>
      <c r="D6270" s="213" t="s">
        <v>52055</v>
      </c>
      <c r="E6270" s="213" t="s">
        <v>52056</v>
      </c>
      <c r="K6270" s="213" t="s">
        <v>55500</v>
      </c>
      <c r="L6270" s="213" t="s">
        <v>55530</v>
      </c>
      <c r="M6270" s="213" t="s">
        <v>55560</v>
      </c>
      <c r="N6270" s="213" t="s">
        <v>52057</v>
      </c>
      <c r="O6270" s="213" t="s">
        <v>52058</v>
      </c>
      <c r="P6270" s="213" t="s">
        <v>52059</v>
      </c>
      <c r="Q6270" s="213" t="s">
        <v>52060</v>
      </c>
      <c r="R6270" s="213" t="s">
        <v>52061</v>
      </c>
      <c r="S6270" s="213" t="s">
        <v>52062</v>
      </c>
      <c r="T6270" s="213" t="s">
        <v>52063</v>
      </c>
      <c r="U6270" s="213" t="s">
        <v>55590</v>
      </c>
    </row>
    <row r="6271" spans="1:21" x14ac:dyDescent="0.25">
      <c r="A6271" s="213" t="s">
        <v>327</v>
      </c>
      <c r="D6271" s="213" t="s">
        <v>52064</v>
      </c>
      <c r="E6271" s="213" t="s">
        <v>52065</v>
      </c>
      <c r="K6271" s="213" t="s">
        <v>55501</v>
      </c>
      <c r="L6271" s="213" t="s">
        <v>55531</v>
      </c>
      <c r="M6271" s="213" t="s">
        <v>55561</v>
      </c>
      <c r="N6271" s="213" t="s">
        <v>52066</v>
      </c>
      <c r="O6271" s="213" t="s">
        <v>52067</v>
      </c>
      <c r="P6271" s="213" t="s">
        <v>52068</v>
      </c>
      <c r="Q6271" s="213" t="s">
        <v>52069</v>
      </c>
      <c r="R6271" s="213" t="s">
        <v>52070</v>
      </c>
      <c r="S6271" s="213" t="s">
        <v>52071</v>
      </c>
      <c r="T6271" s="213" t="s">
        <v>52072</v>
      </c>
      <c r="U6271" s="213" t="s">
        <v>55591</v>
      </c>
    </row>
    <row r="6272" spans="1:21" x14ac:dyDescent="0.25">
      <c r="A6272" s="213" t="s">
        <v>327</v>
      </c>
      <c r="D6272" s="213" t="s">
        <v>52073</v>
      </c>
      <c r="E6272" s="213" t="s">
        <v>52074</v>
      </c>
      <c r="K6272" s="213" t="s">
        <v>55502</v>
      </c>
      <c r="L6272" s="213" t="s">
        <v>55532</v>
      </c>
      <c r="M6272" s="213" t="s">
        <v>55562</v>
      </c>
      <c r="N6272" s="213" t="s">
        <v>52075</v>
      </c>
      <c r="O6272" s="213" t="s">
        <v>52076</v>
      </c>
      <c r="P6272" s="213" t="s">
        <v>52077</v>
      </c>
      <c r="Q6272" s="213" t="s">
        <v>52078</v>
      </c>
      <c r="R6272" s="213" t="s">
        <v>52079</v>
      </c>
      <c r="S6272" s="213" t="s">
        <v>52080</v>
      </c>
      <c r="T6272" s="213" t="s">
        <v>52081</v>
      </c>
      <c r="U6272" s="213" t="s">
        <v>55592</v>
      </c>
    </row>
    <row r="6273" spans="1:21" x14ac:dyDescent="0.25">
      <c r="A6273" s="213" t="s">
        <v>327</v>
      </c>
      <c r="D6273" s="213" t="s">
        <v>52082</v>
      </c>
      <c r="E6273" s="213" t="s">
        <v>52083</v>
      </c>
      <c r="K6273" s="213" t="s">
        <v>55503</v>
      </c>
      <c r="L6273" s="213" t="s">
        <v>55533</v>
      </c>
      <c r="M6273" s="213" t="s">
        <v>55563</v>
      </c>
      <c r="N6273" s="213" t="s">
        <v>52084</v>
      </c>
      <c r="O6273" s="213" t="s">
        <v>52085</v>
      </c>
      <c r="P6273" s="213" t="s">
        <v>52086</v>
      </c>
      <c r="Q6273" s="213" t="s">
        <v>52087</v>
      </c>
      <c r="R6273" s="213" t="s">
        <v>52088</v>
      </c>
      <c r="S6273" s="213" t="s">
        <v>52089</v>
      </c>
      <c r="T6273" s="213" t="s">
        <v>52090</v>
      </c>
      <c r="U6273" s="213" t="s">
        <v>55593</v>
      </c>
    </row>
    <row r="6274" spans="1:21" x14ac:dyDescent="0.25">
      <c r="A6274" s="213" t="s">
        <v>327</v>
      </c>
      <c r="D6274" s="213" t="s">
        <v>52091</v>
      </c>
      <c r="E6274" s="213" t="s">
        <v>52092</v>
      </c>
      <c r="K6274" s="213" t="s">
        <v>55504</v>
      </c>
      <c r="L6274" s="213" t="s">
        <v>55534</v>
      </c>
      <c r="M6274" s="213" t="s">
        <v>55564</v>
      </c>
      <c r="N6274" s="213" t="s">
        <v>52093</v>
      </c>
      <c r="O6274" s="213" t="s">
        <v>52094</v>
      </c>
      <c r="P6274" s="213" t="s">
        <v>52095</v>
      </c>
      <c r="Q6274" s="213" t="s">
        <v>52096</v>
      </c>
      <c r="R6274" s="213" t="s">
        <v>52097</v>
      </c>
      <c r="S6274" s="213" t="s">
        <v>52098</v>
      </c>
      <c r="T6274" s="213" t="s">
        <v>52099</v>
      </c>
      <c r="U6274" s="213" t="s">
        <v>55594</v>
      </c>
    </row>
    <row r="6275" spans="1:21" x14ac:dyDescent="0.25">
      <c r="A6275" s="213" t="s">
        <v>327</v>
      </c>
      <c r="D6275" s="213" t="s">
        <v>52100</v>
      </c>
      <c r="E6275" s="213" t="s">
        <v>52101</v>
      </c>
      <c r="K6275" s="213" t="s">
        <v>55505</v>
      </c>
      <c r="L6275" s="213" t="s">
        <v>55535</v>
      </c>
      <c r="M6275" s="213" t="s">
        <v>55565</v>
      </c>
      <c r="N6275" s="213" t="s">
        <v>52102</v>
      </c>
      <c r="O6275" s="213" t="s">
        <v>52103</v>
      </c>
      <c r="P6275" s="213" t="s">
        <v>52104</v>
      </c>
      <c r="Q6275" s="213" t="s">
        <v>52105</v>
      </c>
      <c r="R6275" s="213" t="s">
        <v>52106</v>
      </c>
      <c r="S6275" s="213" t="s">
        <v>52107</v>
      </c>
      <c r="T6275" s="213" t="s">
        <v>52108</v>
      </c>
      <c r="U6275" s="213" t="s">
        <v>55595</v>
      </c>
    </row>
    <row r="6276" spans="1:21" x14ac:dyDescent="0.25">
      <c r="A6276" s="213" t="s">
        <v>327</v>
      </c>
      <c r="D6276" s="213" t="s">
        <v>52109</v>
      </c>
      <c r="E6276" s="213" t="s">
        <v>52110</v>
      </c>
      <c r="K6276" s="213" t="s">
        <v>55506</v>
      </c>
      <c r="L6276" s="213" t="s">
        <v>55536</v>
      </c>
      <c r="M6276" s="213" t="s">
        <v>55566</v>
      </c>
      <c r="N6276" s="213" t="s">
        <v>52111</v>
      </c>
      <c r="O6276" s="213" t="s">
        <v>52112</v>
      </c>
      <c r="P6276" s="213" t="s">
        <v>52113</v>
      </c>
      <c r="Q6276" s="213" t="s">
        <v>52114</v>
      </c>
      <c r="R6276" s="213" t="s">
        <v>52115</v>
      </c>
      <c r="S6276" s="213" t="s">
        <v>52116</v>
      </c>
      <c r="T6276" s="213" t="s">
        <v>52117</v>
      </c>
      <c r="U6276" s="213" t="s">
        <v>55596</v>
      </c>
    </row>
    <row r="6277" spans="1:21" x14ac:dyDescent="0.25">
      <c r="A6277" s="213" t="s">
        <v>327</v>
      </c>
      <c r="D6277" s="213" t="s">
        <v>52118</v>
      </c>
      <c r="E6277" s="213" t="s">
        <v>52119</v>
      </c>
      <c r="K6277" s="213" t="s">
        <v>55507</v>
      </c>
      <c r="L6277" s="213" t="s">
        <v>55537</v>
      </c>
      <c r="M6277" s="213" t="s">
        <v>55567</v>
      </c>
      <c r="N6277" s="213" t="s">
        <v>52120</v>
      </c>
      <c r="O6277" s="213" t="s">
        <v>52121</v>
      </c>
      <c r="P6277" s="213" t="s">
        <v>52122</v>
      </c>
      <c r="Q6277" s="213" t="s">
        <v>52123</v>
      </c>
      <c r="R6277" s="213" t="s">
        <v>52124</v>
      </c>
      <c r="S6277" s="213" t="s">
        <v>52125</v>
      </c>
      <c r="T6277" s="213" t="s">
        <v>52126</v>
      </c>
      <c r="U6277" s="213" t="s">
        <v>55597</v>
      </c>
    </row>
    <row r="6278" spans="1:21" x14ac:dyDescent="0.25">
      <c r="A6278" s="213" t="s">
        <v>327</v>
      </c>
      <c r="D6278" s="213" t="s">
        <v>52127</v>
      </c>
      <c r="E6278" s="213" t="s">
        <v>52128</v>
      </c>
      <c r="K6278" s="213" t="s">
        <v>55508</v>
      </c>
      <c r="L6278" s="213" t="s">
        <v>55538</v>
      </c>
      <c r="M6278" s="213" t="s">
        <v>55568</v>
      </c>
      <c r="N6278" s="213" t="s">
        <v>52129</v>
      </c>
      <c r="O6278" s="213" t="s">
        <v>52130</v>
      </c>
      <c r="P6278" s="213" t="s">
        <v>52131</v>
      </c>
      <c r="Q6278" s="213" t="s">
        <v>52132</v>
      </c>
      <c r="R6278" s="213" t="s">
        <v>52133</v>
      </c>
      <c r="S6278" s="213" t="s">
        <v>52134</v>
      </c>
      <c r="T6278" s="213" t="s">
        <v>52135</v>
      </c>
      <c r="U6278" s="213" t="s">
        <v>55598</v>
      </c>
    </row>
    <row r="6279" spans="1:21" x14ac:dyDescent="0.25">
      <c r="A6279" s="213" t="s">
        <v>327</v>
      </c>
      <c r="D6279" s="213" t="s">
        <v>52136</v>
      </c>
      <c r="E6279" s="213" t="s">
        <v>52137</v>
      </c>
      <c r="K6279" s="213" t="s">
        <v>55509</v>
      </c>
      <c r="L6279" s="213" t="s">
        <v>55539</v>
      </c>
      <c r="M6279" s="213" t="s">
        <v>55569</v>
      </c>
      <c r="N6279" s="213" t="s">
        <v>52138</v>
      </c>
      <c r="O6279" s="213" t="s">
        <v>52139</v>
      </c>
      <c r="P6279" s="213" t="s">
        <v>52140</v>
      </c>
      <c r="Q6279" s="213" t="s">
        <v>52141</v>
      </c>
      <c r="R6279" s="213" t="s">
        <v>52142</v>
      </c>
      <c r="S6279" s="213" t="s">
        <v>52143</v>
      </c>
      <c r="T6279" s="213" t="s">
        <v>52144</v>
      </c>
      <c r="U6279" s="213" t="s">
        <v>55599</v>
      </c>
    </row>
    <row r="6280" spans="1:21" x14ac:dyDescent="0.25">
      <c r="A6280" s="213" t="s">
        <v>327</v>
      </c>
      <c r="D6280" s="213" t="s">
        <v>52145</v>
      </c>
      <c r="E6280" s="213" t="s">
        <v>52146</v>
      </c>
      <c r="K6280" s="213" t="s">
        <v>55510</v>
      </c>
      <c r="L6280" s="213" t="s">
        <v>55540</v>
      </c>
      <c r="M6280" s="213" t="s">
        <v>55570</v>
      </c>
      <c r="N6280" s="213" t="s">
        <v>52147</v>
      </c>
      <c r="O6280" s="213" t="s">
        <v>52148</v>
      </c>
      <c r="P6280" s="213" t="s">
        <v>52149</v>
      </c>
      <c r="Q6280" s="213" t="s">
        <v>52150</v>
      </c>
      <c r="R6280" s="213" t="s">
        <v>52151</v>
      </c>
      <c r="S6280" s="213" t="s">
        <v>52152</v>
      </c>
      <c r="T6280" s="213" t="s">
        <v>52153</v>
      </c>
      <c r="U6280" s="213" t="s">
        <v>55600</v>
      </c>
    </row>
    <row r="6281" spans="1:21" x14ac:dyDescent="0.25">
      <c r="A6281" s="213" t="s">
        <v>327</v>
      </c>
      <c r="D6281" s="213" t="s">
        <v>52154</v>
      </c>
      <c r="E6281" s="213" t="s">
        <v>52155</v>
      </c>
      <c r="K6281" s="213" t="s">
        <v>55511</v>
      </c>
      <c r="L6281" s="213" t="s">
        <v>55541</v>
      </c>
      <c r="M6281" s="213" t="s">
        <v>55571</v>
      </c>
      <c r="N6281" s="213" t="s">
        <v>52156</v>
      </c>
      <c r="O6281" s="213" t="s">
        <v>52157</v>
      </c>
      <c r="P6281" s="213" t="s">
        <v>52158</v>
      </c>
      <c r="Q6281" s="213" t="s">
        <v>52159</v>
      </c>
      <c r="R6281" s="213" t="s">
        <v>52160</v>
      </c>
      <c r="S6281" s="213" t="s">
        <v>52161</v>
      </c>
      <c r="T6281" s="213" t="s">
        <v>52162</v>
      </c>
      <c r="U6281" s="213" t="s">
        <v>55601</v>
      </c>
    </row>
    <row r="6282" spans="1:21" x14ac:dyDescent="0.25">
      <c r="A6282" s="213" t="s">
        <v>327</v>
      </c>
      <c r="D6282" s="213" t="s">
        <v>52163</v>
      </c>
      <c r="E6282" s="213" t="s">
        <v>52164</v>
      </c>
      <c r="K6282" s="213" t="s">
        <v>55512</v>
      </c>
      <c r="L6282" s="213" t="s">
        <v>55542</v>
      </c>
      <c r="M6282" s="213" t="s">
        <v>55572</v>
      </c>
      <c r="N6282" s="213" t="s">
        <v>52165</v>
      </c>
      <c r="O6282" s="213" t="s">
        <v>52166</v>
      </c>
      <c r="P6282" s="213" t="s">
        <v>52167</v>
      </c>
      <c r="Q6282" s="213" t="s">
        <v>52168</v>
      </c>
      <c r="R6282" s="213" t="s">
        <v>52169</v>
      </c>
      <c r="S6282" s="213" t="s">
        <v>52170</v>
      </c>
      <c r="T6282" s="213" t="s">
        <v>52171</v>
      </c>
      <c r="U6282" s="213" t="s">
        <v>55602</v>
      </c>
    </row>
    <row r="6283" spans="1:21" x14ac:dyDescent="0.25">
      <c r="A6283" s="213" t="s">
        <v>327</v>
      </c>
      <c r="D6283" s="213" t="s">
        <v>52172</v>
      </c>
      <c r="E6283" s="213" t="s">
        <v>52173</v>
      </c>
      <c r="K6283" s="213" t="s">
        <v>55513</v>
      </c>
      <c r="L6283" s="213" t="s">
        <v>55543</v>
      </c>
      <c r="M6283" s="213" t="s">
        <v>55573</v>
      </c>
      <c r="N6283" s="213" t="s">
        <v>52174</v>
      </c>
      <c r="O6283" s="213" t="s">
        <v>52175</v>
      </c>
      <c r="P6283" s="213" t="s">
        <v>52176</v>
      </c>
      <c r="Q6283" s="213" t="s">
        <v>52177</v>
      </c>
      <c r="R6283" s="213" t="s">
        <v>52178</v>
      </c>
      <c r="S6283" s="213" t="s">
        <v>52179</v>
      </c>
      <c r="T6283" s="213" t="s">
        <v>52180</v>
      </c>
      <c r="U6283" s="213" t="s">
        <v>55603</v>
      </c>
    </row>
    <row r="6284" spans="1:21" x14ac:dyDescent="0.25">
      <c r="A6284" s="213" t="s">
        <v>327</v>
      </c>
      <c r="D6284" s="213" t="s">
        <v>52181</v>
      </c>
      <c r="E6284" s="213" t="s">
        <v>52182</v>
      </c>
      <c r="K6284" s="213" t="s">
        <v>55514</v>
      </c>
      <c r="L6284" s="213" t="s">
        <v>55544</v>
      </c>
      <c r="M6284" s="213" t="s">
        <v>55574</v>
      </c>
      <c r="N6284" s="213" t="s">
        <v>52183</v>
      </c>
      <c r="O6284" s="213" t="s">
        <v>52184</v>
      </c>
      <c r="P6284" s="213" t="s">
        <v>52185</v>
      </c>
      <c r="Q6284" s="213" t="s">
        <v>52186</v>
      </c>
      <c r="R6284" s="213" t="s">
        <v>52187</v>
      </c>
      <c r="S6284" s="213" t="s">
        <v>52188</v>
      </c>
      <c r="T6284" s="213" t="s">
        <v>52189</v>
      </c>
      <c r="U6284" s="213" t="s">
        <v>55604</v>
      </c>
    </row>
    <row r="6285" spans="1:21" x14ac:dyDescent="0.25">
      <c r="A6285" s="213" t="s">
        <v>327</v>
      </c>
      <c r="D6285" s="213" t="s">
        <v>52190</v>
      </c>
      <c r="E6285" s="213" t="s">
        <v>52191</v>
      </c>
      <c r="K6285" s="213" t="s">
        <v>55515</v>
      </c>
      <c r="L6285" s="213" t="s">
        <v>55545</v>
      </c>
      <c r="M6285" s="213" t="s">
        <v>55575</v>
      </c>
      <c r="N6285" s="213" t="s">
        <v>52192</v>
      </c>
      <c r="O6285" s="213" t="s">
        <v>52193</v>
      </c>
      <c r="P6285" s="213" t="s">
        <v>52194</v>
      </c>
      <c r="Q6285" s="213" t="s">
        <v>52195</v>
      </c>
      <c r="R6285" s="213" t="s">
        <v>52196</v>
      </c>
      <c r="S6285" s="213" t="s">
        <v>52197</v>
      </c>
      <c r="T6285" s="213" t="s">
        <v>52198</v>
      </c>
      <c r="U6285" s="213" t="s">
        <v>55605</v>
      </c>
    </row>
    <row r="6286" spans="1:21" x14ac:dyDescent="0.25">
      <c r="A6286" s="213" t="s">
        <v>327</v>
      </c>
      <c r="D6286" s="213" t="s">
        <v>52199</v>
      </c>
      <c r="E6286" s="213" t="s">
        <v>52200</v>
      </c>
      <c r="K6286" s="213" t="s">
        <v>55516</v>
      </c>
      <c r="L6286" s="213" t="s">
        <v>55546</v>
      </c>
      <c r="M6286" s="213" t="s">
        <v>55576</v>
      </c>
      <c r="N6286" s="213" t="s">
        <v>52201</v>
      </c>
      <c r="O6286" s="213" t="s">
        <v>52202</v>
      </c>
      <c r="P6286" s="213" t="s">
        <v>52203</v>
      </c>
      <c r="Q6286" s="213" t="s">
        <v>52204</v>
      </c>
      <c r="R6286" s="213" t="s">
        <v>52205</v>
      </c>
      <c r="S6286" s="213" t="s">
        <v>52206</v>
      </c>
      <c r="T6286" s="213" t="s">
        <v>52207</v>
      </c>
      <c r="U6286" s="213" t="s">
        <v>55606</v>
      </c>
    </row>
    <row r="6287" spans="1:21" x14ac:dyDescent="0.25">
      <c r="A6287" s="213" t="s">
        <v>327</v>
      </c>
      <c r="D6287" s="213" t="s">
        <v>52208</v>
      </c>
      <c r="E6287" s="213" t="s">
        <v>52209</v>
      </c>
      <c r="K6287" s="213" t="s">
        <v>55517</v>
      </c>
      <c r="L6287" s="213" t="s">
        <v>55547</v>
      </c>
      <c r="M6287" s="213" t="s">
        <v>55577</v>
      </c>
      <c r="N6287" s="213" t="s">
        <v>52210</v>
      </c>
      <c r="O6287" s="213" t="s">
        <v>52211</v>
      </c>
      <c r="P6287" s="213" t="s">
        <v>52212</v>
      </c>
      <c r="Q6287" s="213" t="s">
        <v>52213</v>
      </c>
      <c r="R6287" s="213" t="s">
        <v>52214</v>
      </c>
      <c r="S6287" s="213" t="s">
        <v>52215</v>
      </c>
      <c r="T6287" s="213" t="s">
        <v>52216</v>
      </c>
      <c r="U6287" s="213" t="s">
        <v>55607</v>
      </c>
    </row>
    <row r="6288" spans="1:21" x14ac:dyDescent="0.25">
      <c r="A6288" s="213" t="s">
        <v>327</v>
      </c>
      <c r="D6288" s="213" t="s">
        <v>52217</v>
      </c>
      <c r="E6288" s="213" t="s">
        <v>52218</v>
      </c>
      <c r="K6288" s="213" t="s">
        <v>55518</v>
      </c>
      <c r="L6288" s="213" t="s">
        <v>55548</v>
      </c>
      <c r="M6288" s="213" t="s">
        <v>55578</v>
      </c>
      <c r="N6288" s="213" t="s">
        <v>52219</v>
      </c>
      <c r="O6288" s="213" t="s">
        <v>52220</v>
      </c>
      <c r="P6288" s="213" t="s">
        <v>52221</v>
      </c>
      <c r="Q6288" s="213" t="s">
        <v>52222</v>
      </c>
      <c r="R6288" s="213" t="s">
        <v>52223</v>
      </c>
      <c r="S6288" s="213" t="s">
        <v>52224</v>
      </c>
      <c r="T6288" s="213" t="s">
        <v>52225</v>
      </c>
      <c r="U6288" s="213" t="s">
        <v>55608</v>
      </c>
    </row>
    <row r="6289" spans="1:21" x14ac:dyDescent="0.25">
      <c r="A6289" s="213" t="s">
        <v>327</v>
      </c>
      <c r="D6289" s="213" t="s">
        <v>52226</v>
      </c>
      <c r="E6289" s="213" t="s">
        <v>52227</v>
      </c>
      <c r="K6289" s="213" t="s">
        <v>55519</v>
      </c>
      <c r="L6289" s="213" t="s">
        <v>55549</v>
      </c>
      <c r="M6289" s="213" t="s">
        <v>55579</v>
      </c>
      <c r="N6289" s="213" t="s">
        <v>52228</v>
      </c>
      <c r="O6289" s="213" t="s">
        <v>52229</v>
      </c>
      <c r="P6289" s="213" t="s">
        <v>52230</v>
      </c>
      <c r="Q6289" s="213" t="s">
        <v>52231</v>
      </c>
      <c r="R6289" s="213" t="s">
        <v>52232</v>
      </c>
      <c r="S6289" s="213" t="s">
        <v>52233</v>
      </c>
      <c r="T6289" s="213" t="s">
        <v>52234</v>
      </c>
      <c r="U6289" s="213" t="s">
        <v>55609</v>
      </c>
    </row>
    <row r="6290" spans="1:21" x14ac:dyDescent="0.25">
      <c r="A6290" s="213" t="s">
        <v>327</v>
      </c>
      <c r="D6290" s="213" t="s">
        <v>52235</v>
      </c>
      <c r="E6290" s="213" t="s">
        <v>52236</v>
      </c>
      <c r="K6290" s="213" t="s">
        <v>55520</v>
      </c>
      <c r="L6290" s="213" t="s">
        <v>55550</v>
      </c>
      <c r="M6290" s="213" t="s">
        <v>55580</v>
      </c>
      <c r="N6290" s="213" t="s">
        <v>52237</v>
      </c>
      <c r="O6290" s="213" t="s">
        <v>52238</v>
      </c>
      <c r="P6290" s="213" t="s">
        <v>52239</v>
      </c>
      <c r="Q6290" s="213" t="s">
        <v>52240</v>
      </c>
      <c r="R6290" s="213" t="s">
        <v>52241</v>
      </c>
      <c r="S6290" s="213" t="s">
        <v>52242</v>
      </c>
      <c r="T6290" s="213" t="s">
        <v>52243</v>
      </c>
      <c r="U6290" s="213" t="s">
        <v>55610</v>
      </c>
    </row>
    <row r="6291" spans="1:21" x14ac:dyDescent="0.25">
      <c r="A6291" s="213" t="s">
        <v>327</v>
      </c>
      <c r="D6291" s="213" t="s">
        <v>52244</v>
      </c>
      <c r="E6291" s="213" t="s">
        <v>52245</v>
      </c>
      <c r="K6291" s="213" t="s">
        <v>55521</v>
      </c>
      <c r="L6291" s="213" t="s">
        <v>55551</v>
      </c>
      <c r="M6291" s="213" t="s">
        <v>55581</v>
      </c>
      <c r="N6291" s="213" t="s">
        <v>52246</v>
      </c>
      <c r="O6291" s="213" t="s">
        <v>52247</v>
      </c>
      <c r="P6291" s="213" t="s">
        <v>52248</v>
      </c>
      <c r="Q6291" s="213" t="s">
        <v>52249</v>
      </c>
      <c r="R6291" s="213" t="s">
        <v>52250</v>
      </c>
      <c r="S6291" s="213" t="s">
        <v>52251</v>
      </c>
      <c r="T6291" s="213" t="s">
        <v>52252</v>
      </c>
      <c r="U6291" s="213" t="s">
        <v>55611</v>
      </c>
    </row>
    <row r="6292" spans="1:21" x14ac:dyDescent="0.25">
      <c r="A6292" s="213" t="s">
        <v>327</v>
      </c>
      <c r="D6292" s="213" t="s">
        <v>52253</v>
      </c>
      <c r="E6292" s="213" t="s">
        <v>52254</v>
      </c>
      <c r="K6292" s="213" t="s">
        <v>55522</v>
      </c>
      <c r="L6292" s="213" t="s">
        <v>55552</v>
      </c>
      <c r="M6292" s="213" t="s">
        <v>55582</v>
      </c>
      <c r="N6292" s="213" t="s">
        <v>52255</v>
      </c>
      <c r="O6292" s="213" t="s">
        <v>52256</v>
      </c>
      <c r="P6292" s="213" t="s">
        <v>52257</v>
      </c>
      <c r="Q6292" s="213" t="s">
        <v>52258</v>
      </c>
      <c r="R6292" s="213" t="s">
        <v>52259</v>
      </c>
      <c r="S6292" s="213" t="s">
        <v>52260</v>
      </c>
      <c r="T6292" s="213" t="s">
        <v>52261</v>
      </c>
      <c r="U6292" s="213" t="s">
        <v>55612</v>
      </c>
    </row>
    <row r="6293" spans="1:21" x14ac:dyDescent="0.25">
      <c r="A6293" s="213" t="s">
        <v>327</v>
      </c>
      <c r="D6293" s="213" t="s">
        <v>52262</v>
      </c>
      <c r="E6293" s="213" t="s">
        <v>52263</v>
      </c>
      <c r="K6293" s="213" t="s">
        <v>55523</v>
      </c>
      <c r="L6293" s="213" t="s">
        <v>55553</v>
      </c>
      <c r="M6293" s="213" t="s">
        <v>55583</v>
      </c>
      <c r="N6293" s="213" t="s">
        <v>52264</v>
      </c>
      <c r="O6293" s="213" t="s">
        <v>52265</v>
      </c>
      <c r="P6293" s="213" t="s">
        <v>52266</v>
      </c>
      <c r="Q6293" s="213" t="s">
        <v>52267</v>
      </c>
      <c r="R6293" s="213" t="s">
        <v>52268</v>
      </c>
      <c r="S6293" s="213" t="s">
        <v>52269</v>
      </c>
      <c r="T6293" s="213" t="s">
        <v>52270</v>
      </c>
      <c r="U6293" s="213" t="s">
        <v>55613</v>
      </c>
    </row>
    <row r="6294" spans="1:21" x14ac:dyDescent="0.25">
      <c r="A6294" s="213" t="s">
        <v>327</v>
      </c>
      <c r="D6294" s="213" t="s">
        <v>52271</v>
      </c>
      <c r="E6294" s="213" t="s">
        <v>52272</v>
      </c>
      <c r="K6294" s="213" t="s">
        <v>55524</v>
      </c>
      <c r="L6294" s="213" t="s">
        <v>55554</v>
      </c>
      <c r="M6294" s="213" t="s">
        <v>55584</v>
      </c>
      <c r="N6294" s="213" t="s">
        <v>52273</v>
      </c>
      <c r="O6294" s="213" t="s">
        <v>52274</v>
      </c>
      <c r="P6294" s="213" t="s">
        <v>52275</v>
      </c>
      <c r="Q6294" s="213" t="s">
        <v>52276</v>
      </c>
      <c r="R6294" s="213" t="s">
        <v>52277</v>
      </c>
      <c r="S6294" s="213" t="s">
        <v>52278</v>
      </c>
      <c r="T6294" s="213" t="s">
        <v>52279</v>
      </c>
      <c r="U6294" s="213" t="s">
        <v>55614</v>
      </c>
    </row>
    <row r="6295" spans="1:21" x14ac:dyDescent="0.25">
      <c r="A6295" s="213" t="s">
        <v>327</v>
      </c>
      <c r="D6295" s="213" t="s">
        <v>52280</v>
      </c>
      <c r="E6295" s="213" t="s">
        <v>52281</v>
      </c>
      <c r="K6295" s="213" t="s">
        <v>55525</v>
      </c>
      <c r="L6295" s="213" t="s">
        <v>55555</v>
      </c>
      <c r="M6295" s="213" t="s">
        <v>55585</v>
      </c>
      <c r="N6295" s="213" t="s">
        <v>52282</v>
      </c>
      <c r="O6295" s="213" t="s">
        <v>52283</v>
      </c>
      <c r="P6295" s="213" t="s">
        <v>52284</v>
      </c>
      <c r="Q6295" s="213" t="s">
        <v>52285</v>
      </c>
      <c r="R6295" s="213" t="s">
        <v>52286</v>
      </c>
      <c r="S6295" s="213" t="s">
        <v>52287</v>
      </c>
      <c r="T6295" s="213" t="s">
        <v>52288</v>
      </c>
      <c r="U6295" s="213" t="s">
        <v>55615</v>
      </c>
    </row>
    <row r="6296" spans="1:21" x14ac:dyDescent="0.25">
      <c r="A6296" s="213" t="s">
        <v>327</v>
      </c>
      <c r="D6296" s="213" t="s">
        <v>52289</v>
      </c>
      <c r="E6296" s="213" t="s">
        <v>52290</v>
      </c>
      <c r="K6296" s="213" t="s">
        <v>55526</v>
      </c>
      <c r="L6296" s="213" t="s">
        <v>55556</v>
      </c>
      <c r="M6296" s="213" t="s">
        <v>55586</v>
      </c>
      <c r="N6296" s="213" t="s">
        <v>52291</v>
      </c>
      <c r="O6296" s="213" t="s">
        <v>52292</v>
      </c>
      <c r="P6296" s="213" t="s">
        <v>52293</v>
      </c>
      <c r="Q6296" s="213" t="s">
        <v>52294</v>
      </c>
      <c r="R6296" s="213" t="s">
        <v>52295</v>
      </c>
      <c r="S6296" s="213" t="s">
        <v>52296</v>
      </c>
      <c r="T6296" s="213" t="s">
        <v>52297</v>
      </c>
      <c r="U6296" s="213" t="s">
        <v>55616</v>
      </c>
    </row>
    <row r="6297" spans="1:21" x14ac:dyDescent="0.25">
      <c r="A6297" s="213" t="s">
        <v>327</v>
      </c>
      <c r="D6297" s="213" t="s">
        <v>52298</v>
      </c>
      <c r="E6297" s="213" t="s">
        <v>52299</v>
      </c>
      <c r="K6297" s="213" t="s">
        <v>55527</v>
      </c>
      <c r="L6297" s="213" t="s">
        <v>55557</v>
      </c>
      <c r="M6297" s="213" t="s">
        <v>55587</v>
      </c>
      <c r="N6297" s="213" t="s">
        <v>52300</v>
      </c>
      <c r="O6297" s="213" t="s">
        <v>52301</v>
      </c>
      <c r="P6297" s="213" t="s">
        <v>52302</v>
      </c>
      <c r="Q6297" s="213" t="s">
        <v>52303</v>
      </c>
      <c r="R6297" s="213" t="s">
        <v>52304</v>
      </c>
      <c r="S6297" s="213" t="s">
        <v>52305</v>
      </c>
      <c r="T6297" s="213" t="s">
        <v>52306</v>
      </c>
      <c r="U6297" s="213" t="s">
        <v>55617</v>
      </c>
    </row>
    <row r="6298" spans="1:21" x14ac:dyDescent="0.25">
      <c r="A6298" s="213" t="s">
        <v>327</v>
      </c>
    </row>
    <row r="6299" spans="1:21" x14ac:dyDescent="0.25">
      <c r="A6299" s="213" t="s">
        <v>327</v>
      </c>
    </row>
    <row r="6300" spans="1:21" x14ac:dyDescent="0.25">
      <c r="A6300" s="213" t="s">
        <v>327</v>
      </c>
      <c r="C6300" s="213" t="s">
        <v>52307</v>
      </c>
      <c r="E6300" s="213" t="s">
        <v>52308</v>
      </c>
      <c r="H6300" s="213" t="s">
        <v>52309</v>
      </c>
      <c r="I6300" s="213" t="s">
        <v>52310</v>
      </c>
      <c r="J6300" s="213" t="s">
        <v>52311</v>
      </c>
      <c r="L6300" s="213" t="s">
        <v>52312</v>
      </c>
      <c r="O6300" s="213" t="s">
        <v>52313</v>
      </c>
      <c r="P6300" s="213" t="s">
        <v>52314</v>
      </c>
      <c r="Q6300" s="213" t="s">
        <v>52315</v>
      </c>
      <c r="R6300" s="213" t="s">
        <v>52316</v>
      </c>
      <c r="S6300" s="213" t="s">
        <v>52317</v>
      </c>
      <c r="T6300" s="213" t="s">
        <v>52318</v>
      </c>
    </row>
    <row r="6301" spans="1:21" x14ac:dyDescent="0.25">
      <c r="A6301" s="213" t="s">
        <v>327</v>
      </c>
      <c r="C6301" s="213" t="s">
        <v>52319</v>
      </c>
      <c r="E6301" s="213" t="s">
        <v>52320</v>
      </c>
      <c r="I6301" s="213" t="s">
        <v>52321</v>
      </c>
    </row>
    <row r="6302" spans="1:21" x14ac:dyDescent="0.25">
      <c r="A6302" s="213" t="s">
        <v>327</v>
      </c>
      <c r="C6302" s="213" t="s">
        <v>52322</v>
      </c>
      <c r="E6302" s="213" t="s">
        <v>52323</v>
      </c>
      <c r="I6302" s="213" t="s">
        <v>52324</v>
      </c>
    </row>
    <row r="6303" spans="1:21" x14ac:dyDescent="0.25">
      <c r="A6303" s="213" t="s">
        <v>328</v>
      </c>
    </row>
    <row r="6304" spans="1:21" x14ac:dyDescent="0.25">
      <c r="A6304" s="213" t="s">
        <v>327</v>
      </c>
      <c r="D6304" s="213" t="s">
        <v>52325</v>
      </c>
      <c r="E6304" s="213" t="s">
        <v>52326</v>
      </c>
      <c r="K6304" s="213" t="s">
        <v>55398</v>
      </c>
      <c r="L6304" s="213" t="s">
        <v>55423</v>
      </c>
      <c r="M6304" s="213" t="s">
        <v>55448</v>
      </c>
      <c r="N6304" s="213" t="s">
        <v>52327</v>
      </c>
      <c r="O6304" s="213" t="s">
        <v>52328</v>
      </c>
      <c r="P6304" s="213" t="s">
        <v>52329</v>
      </c>
      <c r="Q6304" s="213" t="s">
        <v>52330</v>
      </c>
      <c r="R6304" s="213" t="s">
        <v>52331</v>
      </c>
      <c r="S6304" s="213" t="s">
        <v>52332</v>
      </c>
      <c r="T6304" s="213" t="s">
        <v>52333</v>
      </c>
      <c r="U6304" s="213" t="s">
        <v>55473</v>
      </c>
    </row>
    <row r="6305" spans="1:21" x14ac:dyDescent="0.25">
      <c r="A6305" s="213" t="s">
        <v>327</v>
      </c>
      <c r="D6305" s="213" t="s">
        <v>52334</v>
      </c>
      <c r="E6305" s="213" t="s">
        <v>52335</v>
      </c>
      <c r="K6305" s="213" t="s">
        <v>55399</v>
      </c>
      <c r="L6305" s="213" t="s">
        <v>55424</v>
      </c>
      <c r="M6305" s="213" t="s">
        <v>55449</v>
      </c>
      <c r="N6305" s="213" t="s">
        <v>52336</v>
      </c>
      <c r="O6305" s="213" t="s">
        <v>52337</v>
      </c>
      <c r="P6305" s="213" t="s">
        <v>52338</v>
      </c>
      <c r="Q6305" s="213" t="s">
        <v>52339</v>
      </c>
      <c r="R6305" s="213" t="s">
        <v>52340</v>
      </c>
      <c r="S6305" s="213" t="s">
        <v>52341</v>
      </c>
      <c r="T6305" s="213" t="s">
        <v>52342</v>
      </c>
      <c r="U6305" s="213" t="s">
        <v>55474</v>
      </c>
    </row>
    <row r="6306" spans="1:21" x14ac:dyDescent="0.25">
      <c r="A6306" s="213" t="s">
        <v>327</v>
      </c>
      <c r="D6306" s="213" t="s">
        <v>52343</v>
      </c>
      <c r="E6306" s="213" t="s">
        <v>52344</v>
      </c>
      <c r="K6306" s="213" t="s">
        <v>55400</v>
      </c>
      <c r="L6306" s="213" t="s">
        <v>55425</v>
      </c>
      <c r="M6306" s="213" t="s">
        <v>55450</v>
      </c>
      <c r="N6306" s="213" t="s">
        <v>52345</v>
      </c>
      <c r="O6306" s="213" t="s">
        <v>52346</v>
      </c>
      <c r="P6306" s="213" t="s">
        <v>52347</v>
      </c>
      <c r="Q6306" s="213" t="s">
        <v>52348</v>
      </c>
      <c r="R6306" s="213" t="s">
        <v>52349</v>
      </c>
      <c r="S6306" s="213" t="s">
        <v>52350</v>
      </c>
      <c r="T6306" s="213" t="s">
        <v>52351</v>
      </c>
      <c r="U6306" s="213" t="s">
        <v>55475</v>
      </c>
    </row>
    <row r="6307" spans="1:21" x14ac:dyDescent="0.25">
      <c r="A6307" s="213" t="s">
        <v>327</v>
      </c>
      <c r="D6307" s="213" t="s">
        <v>52352</v>
      </c>
      <c r="E6307" s="213" t="s">
        <v>52353</v>
      </c>
      <c r="K6307" s="213" t="s">
        <v>55401</v>
      </c>
      <c r="L6307" s="213" t="s">
        <v>55426</v>
      </c>
      <c r="M6307" s="213" t="s">
        <v>55451</v>
      </c>
      <c r="N6307" s="213" t="s">
        <v>52354</v>
      </c>
      <c r="O6307" s="213" t="s">
        <v>52355</v>
      </c>
      <c r="P6307" s="213" t="s">
        <v>52356</v>
      </c>
      <c r="Q6307" s="213" t="s">
        <v>52357</v>
      </c>
      <c r="R6307" s="213" t="s">
        <v>52358</v>
      </c>
      <c r="S6307" s="213" t="s">
        <v>52359</v>
      </c>
      <c r="T6307" s="213" t="s">
        <v>52360</v>
      </c>
      <c r="U6307" s="213" t="s">
        <v>55476</v>
      </c>
    </row>
    <row r="6308" spans="1:21" x14ac:dyDescent="0.25">
      <c r="A6308" s="213" t="s">
        <v>327</v>
      </c>
      <c r="D6308" s="213" t="s">
        <v>52361</v>
      </c>
      <c r="E6308" s="213" t="s">
        <v>52362</v>
      </c>
      <c r="K6308" s="213" t="s">
        <v>55402</v>
      </c>
      <c r="L6308" s="213" t="s">
        <v>55427</v>
      </c>
      <c r="M6308" s="213" t="s">
        <v>55452</v>
      </c>
      <c r="N6308" s="213" t="s">
        <v>52363</v>
      </c>
      <c r="O6308" s="213" t="s">
        <v>52364</v>
      </c>
      <c r="P6308" s="213" t="s">
        <v>52365</v>
      </c>
      <c r="Q6308" s="213" t="s">
        <v>52366</v>
      </c>
      <c r="R6308" s="213" t="s">
        <v>52367</v>
      </c>
      <c r="S6308" s="213" t="s">
        <v>52368</v>
      </c>
      <c r="T6308" s="213" t="s">
        <v>52369</v>
      </c>
      <c r="U6308" s="213" t="s">
        <v>55477</v>
      </c>
    </row>
    <row r="6309" spans="1:21" x14ac:dyDescent="0.25">
      <c r="A6309" s="213" t="s">
        <v>327</v>
      </c>
      <c r="D6309" s="213" t="s">
        <v>52370</v>
      </c>
      <c r="E6309" s="213" t="s">
        <v>52371</v>
      </c>
      <c r="K6309" s="213" t="s">
        <v>55403</v>
      </c>
      <c r="L6309" s="213" t="s">
        <v>55428</v>
      </c>
      <c r="M6309" s="213" t="s">
        <v>55453</v>
      </c>
      <c r="N6309" s="213" t="s">
        <v>52372</v>
      </c>
      <c r="O6309" s="213" t="s">
        <v>52373</v>
      </c>
      <c r="P6309" s="213" t="s">
        <v>52374</v>
      </c>
      <c r="Q6309" s="213" t="s">
        <v>52375</v>
      </c>
      <c r="R6309" s="213" t="s">
        <v>52376</v>
      </c>
      <c r="S6309" s="213" t="s">
        <v>52377</v>
      </c>
      <c r="T6309" s="213" t="s">
        <v>52378</v>
      </c>
      <c r="U6309" s="213" t="s">
        <v>55478</v>
      </c>
    </row>
    <row r="6310" spans="1:21" x14ac:dyDescent="0.25">
      <c r="A6310" s="213" t="s">
        <v>327</v>
      </c>
      <c r="D6310" s="213" t="s">
        <v>52379</v>
      </c>
      <c r="E6310" s="213" t="s">
        <v>52380</v>
      </c>
      <c r="K6310" s="213" t="s">
        <v>55404</v>
      </c>
      <c r="L6310" s="213" t="s">
        <v>55429</v>
      </c>
      <c r="M6310" s="213" t="s">
        <v>55454</v>
      </c>
      <c r="N6310" s="213" t="s">
        <v>52381</v>
      </c>
      <c r="O6310" s="213" t="s">
        <v>52382</v>
      </c>
      <c r="P6310" s="213" t="s">
        <v>52383</v>
      </c>
      <c r="Q6310" s="213" t="s">
        <v>52384</v>
      </c>
      <c r="R6310" s="213" t="s">
        <v>52385</v>
      </c>
      <c r="S6310" s="213" t="s">
        <v>52386</v>
      </c>
      <c r="T6310" s="213" t="s">
        <v>52387</v>
      </c>
      <c r="U6310" s="213" t="s">
        <v>55479</v>
      </c>
    </row>
    <row r="6311" spans="1:21" x14ac:dyDescent="0.25">
      <c r="A6311" s="213" t="s">
        <v>327</v>
      </c>
      <c r="D6311" s="213" t="s">
        <v>52388</v>
      </c>
      <c r="E6311" s="213" t="s">
        <v>52389</v>
      </c>
      <c r="K6311" s="213" t="s">
        <v>55405</v>
      </c>
      <c r="L6311" s="213" t="s">
        <v>55430</v>
      </c>
      <c r="M6311" s="213" t="s">
        <v>55455</v>
      </c>
      <c r="N6311" s="213" t="s">
        <v>52390</v>
      </c>
      <c r="O6311" s="213" t="s">
        <v>52391</v>
      </c>
      <c r="P6311" s="213" t="s">
        <v>52392</v>
      </c>
      <c r="Q6311" s="213" t="s">
        <v>52393</v>
      </c>
      <c r="R6311" s="213" t="s">
        <v>52394</v>
      </c>
      <c r="S6311" s="213" t="s">
        <v>52395</v>
      </c>
      <c r="T6311" s="213" t="s">
        <v>52396</v>
      </c>
      <c r="U6311" s="213" t="s">
        <v>55480</v>
      </c>
    </row>
    <row r="6312" spans="1:21" x14ac:dyDescent="0.25">
      <c r="A6312" s="213" t="s">
        <v>327</v>
      </c>
      <c r="D6312" s="213" t="s">
        <v>52397</v>
      </c>
      <c r="E6312" s="213" t="s">
        <v>52398</v>
      </c>
      <c r="K6312" s="213" t="s">
        <v>55406</v>
      </c>
      <c r="L6312" s="213" t="s">
        <v>55431</v>
      </c>
      <c r="M6312" s="213" t="s">
        <v>55456</v>
      </c>
      <c r="N6312" s="213" t="s">
        <v>52399</v>
      </c>
      <c r="O6312" s="213" t="s">
        <v>52400</v>
      </c>
      <c r="P6312" s="213" t="s">
        <v>52401</v>
      </c>
      <c r="Q6312" s="213" t="s">
        <v>52402</v>
      </c>
      <c r="R6312" s="213" t="s">
        <v>52403</v>
      </c>
      <c r="S6312" s="213" t="s">
        <v>52404</v>
      </c>
      <c r="T6312" s="213" t="s">
        <v>52405</v>
      </c>
      <c r="U6312" s="213" t="s">
        <v>55481</v>
      </c>
    </row>
    <row r="6313" spans="1:21" x14ac:dyDescent="0.25">
      <c r="A6313" s="213" t="s">
        <v>327</v>
      </c>
      <c r="D6313" s="213" t="s">
        <v>52406</v>
      </c>
      <c r="E6313" s="213" t="s">
        <v>52407</v>
      </c>
      <c r="K6313" s="213" t="s">
        <v>55407</v>
      </c>
      <c r="L6313" s="213" t="s">
        <v>55432</v>
      </c>
      <c r="M6313" s="213" t="s">
        <v>55457</v>
      </c>
      <c r="N6313" s="213" t="s">
        <v>52408</v>
      </c>
      <c r="O6313" s="213" t="s">
        <v>52409</v>
      </c>
      <c r="P6313" s="213" t="s">
        <v>52410</v>
      </c>
      <c r="Q6313" s="213" t="s">
        <v>52411</v>
      </c>
      <c r="R6313" s="213" t="s">
        <v>52412</v>
      </c>
      <c r="S6313" s="213" t="s">
        <v>52413</v>
      </c>
      <c r="T6313" s="213" t="s">
        <v>52414</v>
      </c>
      <c r="U6313" s="213" t="s">
        <v>55482</v>
      </c>
    </row>
    <row r="6314" spans="1:21" x14ac:dyDescent="0.25">
      <c r="A6314" s="213" t="s">
        <v>327</v>
      </c>
      <c r="D6314" s="213" t="s">
        <v>52415</v>
      </c>
      <c r="E6314" s="213" t="s">
        <v>52416</v>
      </c>
      <c r="K6314" s="213" t="s">
        <v>55408</v>
      </c>
      <c r="L6314" s="213" t="s">
        <v>55433</v>
      </c>
      <c r="M6314" s="213" t="s">
        <v>55458</v>
      </c>
      <c r="N6314" s="213" t="s">
        <v>52417</v>
      </c>
      <c r="O6314" s="213" t="s">
        <v>52418</v>
      </c>
      <c r="P6314" s="213" t="s">
        <v>52419</v>
      </c>
      <c r="Q6314" s="213" t="s">
        <v>52420</v>
      </c>
      <c r="R6314" s="213" t="s">
        <v>52421</v>
      </c>
      <c r="S6314" s="213" t="s">
        <v>52422</v>
      </c>
      <c r="T6314" s="213" t="s">
        <v>52423</v>
      </c>
      <c r="U6314" s="213" t="s">
        <v>55483</v>
      </c>
    </row>
    <row r="6315" spans="1:21" x14ac:dyDescent="0.25">
      <c r="A6315" s="213" t="s">
        <v>327</v>
      </c>
      <c r="D6315" s="213" t="s">
        <v>52424</v>
      </c>
      <c r="E6315" s="213" t="s">
        <v>52425</v>
      </c>
      <c r="K6315" s="213" t="s">
        <v>55409</v>
      </c>
      <c r="L6315" s="213" t="s">
        <v>55434</v>
      </c>
      <c r="M6315" s="213" t="s">
        <v>55459</v>
      </c>
      <c r="N6315" s="213" t="s">
        <v>52426</v>
      </c>
      <c r="O6315" s="213" t="s">
        <v>52427</v>
      </c>
      <c r="P6315" s="213" t="s">
        <v>52428</v>
      </c>
      <c r="Q6315" s="213" t="s">
        <v>52429</v>
      </c>
      <c r="R6315" s="213" t="s">
        <v>52430</v>
      </c>
      <c r="S6315" s="213" t="s">
        <v>52431</v>
      </c>
      <c r="T6315" s="213" t="s">
        <v>52432</v>
      </c>
      <c r="U6315" s="213" t="s">
        <v>55484</v>
      </c>
    </row>
    <row r="6316" spans="1:21" x14ac:dyDescent="0.25">
      <c r="A6316" s="213" t="s">
        <v>327</v>
      </c>
      <c r="D6316" s="213" t="s">
        <v>52433</v>
      </c>
      <c r="E6316" s="213" t="s">
        <v>52434</v>
      </c>
      <c r="K6316" s="213" t="s">
        <v>55410</v>
      </c>
      <c r="L6316" s="213" t="s">
        <v>55435</v>
      </c>
      <c r="M6316" s="213" t="s">
        <v>55460</v>
      </c>
      <c r="N6316" s="213" t="s">
        <v>52435</v>
      </c>
      <c r="O6316" s="213" t="s">
        <v>52436</v>
      </c>
      <c r="P6316" s="213" t="s">
        <v>52437</v>
      </c>
      <c r="Q6316" s="213" t="s">
        <v>52438</v>
      </c>
      <c r="R6316" s="213" t="s">
        <v>52439</v>
      </c>
      <c r="S6316" s="213" t="s">
        <v>52440</v>
      </c>
      <c r="T6316" s="213" t="s">
        <v>52441</v>
      </c>
      <c r="U6316" s="213" t="s">
        <v>55485</v>
      </c>
    </row>
    <row r="6317" spans="1:21" x14ac:dyDescent="0.25">
      <c r="A6317" s="213" t="s">
        <v>327</v>
      </c>
      <c r="D6317" s="213" t="s">
        <v>52442</v>
      </c>
      <c r="E6317" s="213" t="s">
        <v>52443</v>
      </c>
      <c r="K6317" s="213" t="s">
        <v>55411</v>
      </c>
      <c r="L6317" s="213" t="s">
        <v>55436</v>
      </c>
      <c r="M6317" s="213" t="s">
        <v>55461</v>
      </c>
      <c r="N6317" s="213" t="s">
        <v>52444</v>
      </c>
      <c r="O6317" s="213" t="s">
        <v>52445</v>
      </c>
      <c r="P6317" s="213" t="s">
        <v>52446</v>
      </c>
      <c r="Q6317" s="213" t="s">
        <v>52447</v>
      </c>
      <c r="R6317" s="213" t="s">
        <v>52448</v>
      </c>
      <c r="S6317" s="213" t="s">
        <v>52449</v>
      </c>
      <c r="T6317" s="213" t="s">
        <v>52450</v>
      </c>
      <c r="U6317" s="213" t="s">
        <v>55486</v>
      </c>
    </row>
    <row r="6318" spans="1:21" x14ac:dyDescent="0.25">
      <c r="A6318" s="213" t="s">
        <v>327</v>
      </c>
      <c r="D6318" s="213" t="s">
        <v>52451</v>
      </c>
      <c r="E6318" s="213" t="s">
        <v>52452</v>
      </c>
      <c r="K6318" s="213" t="s">
        <v>55412</v>
      </c>
      <c r="L6318" s="213" t="s">
        <v>55437</v>
      </c>
      <c r="M6318" s="213" t="s">
        <v>55462</v>
      </c>
      <c r="N6318" s="213" t="s">
        <v>52453</v>
      </c>
      <c r="O6318" s="213" t="s">
        <v>52454</v>
      </c>
      <c r="P6318" s="213" t="s">
        <v>52455</v>
      </c>
      <c r="Q6318" s="213" t="s">
        <v>52456</v>
      </c>
      <c r="R6318" s="213" t="s">
        <v>52457</v>
      </c>
      <c r="S6318" s="213" t="s">
        <v>52458</v>
      </c>
      <c r="T6318" s="213" t="s">
        <v>52459</v>
      </c>
      <c r="U6318" s="213" t="s">
        <v>55487</v>
      </c>
    </row>
    <row r="6319" spans="1:21" x14ac:dyDescent="0.25">
      <c r="A6319" s="213" t="s">
        <v>327</v>
      </c>
      <c r="D6319" s="213" t="s">
        <v>52460</v>
      </c>
      <c r="E6319" s="213" t="s">
        <v>52461</v>
      </c>
      <c r="K6319" s="213" t="s">
        <v>55413</v>
      </c>
      <c r="L6319" s="213" t="s">
        <v>55438</v>
      </c>
      <c r="M6319" s="213" t="s">
        <v>55463</v>
      </c>
      <c r="N6319" s="213" t="s">
        <v>52462</v>
      </c>
      <c r="O6319" s="213" t="s">
        <v>52463</v>
      </c>
      <c r="P6319" s="213" t="s">
        <v>52464</v>
      </c>
      <c r="Q6319" s="213" t="s">
        <v>52465</v>
      </c>
      <c r="R6319" s="213" t="s">
        <v>52466</v>
      </c>
      <c r="S6319" s="213" t="s">
        <v>52467</v>
      </c>
      <c r="T6319" s="213" t="s">
        <v>52468</v>
      </c>
      <c r="U6319" s="213" t="s">
        <v>55488</v>
      </c>
    </row>
    <row r="6320" spans="1:21" x14ac:dyDescent="0.25">
      <c r="A6320" s="213" t="s">
        <v>327</v>
      </c>
      <c r="D6320" s="213" t="s">
        <v>52469</v>
      </c>
      <c r="E6320" s="213" t="s">
        <v>52470</v>
      </c>
      <c r="K6320" s="213" t="s">
        <v>55414</v>
      </c>
      <c r="L6320" s="213" t="s">
        <v>55439</v>
      </c>
      <c r="M6320" s="213" t="s">
        <v>55464</v>
      </c>
      <c r="N6320" s="213" t="s">
        <v>52471</v>
      </c>
      <c r="O6320" s="213" t="s">
        <v>52472</v>
      </c>
      <c r="P6320" s="213" t="s">
        <v>52473</v>
      </c>
      <c r="Q6320" s="213" t="s">
        <v>52474</v>
      </c>
      <c r="R6320" s="213" t="s">
        <v>52475</v>
      </c>
      <c r="S6320" s="213" t="s">
        <v>52476</v>
      </c>
      <c r="T6320" s="213" t="s">
        <v>52477</v>
      </c>
      <c r="U6320" s="213" t="s">
        <v>55489</v>
      </c>
    </row>
    <row r="6321" spans="1:21" x14ac:dyDescent="0.25">
      <c r="A6321" s="213" t="s">
        <v>327</v>
      </c>
      <c r="D6321" s="213" t="s">
        <v>52478</v>
      </c>
      <c r="E6321" s="213" t="s">
        <v>52479</v>
      </c>
      <c r="K6321" s="213" t="s">
        <v>55415</v>
      </c>
      <c r="L6321" s="213" t="s">
        <v>55440</v>
      </c>
      <c r="M6321" s="213" t="s">
        <v>55465</v>
      </c>
      <c r="N6321" s="213" t="s">
        <v>52480</v>
      </c>
      <c r="O6321" s="213" t="s">
        <v>52481</v>
      </c>
      <c r="P6321" s="213" t="s">
        <v>52482</v>
      </c>
      <c r="Q6321" s="213" t="s">
        <v>52483</v>
      </c>
      <c r="R6321" s="213" t="s">
        <v>52484</v>
      </c>
      <c r="S6321" s="213" t="s">
        <v>52485</v>
      </c>
      <c r="T6321" s="213" t="s">
        <v>52486</v>
      </c>
      <c r="U6321" s="213" t="s">
        <v>55490</v>
      </c>
    </row>
    <row r="6322" spans="1:21" x14ac:dyDescent="0.25">
      <c r="A6322" s="213" t="s">
        <v>327</v>
      </c>
      <c r="D6322" s="213" t="s">
        <v>52487</v>
      </c>
      <c r="E6322" s="213" t="s">
        <v>52488</v>
      </c>
      <c r="K6322" s="213" t="s">
        <v>55416</v>
      </c>
      <c r="L6322" s="213" t="s">
        <v>55441</v>
      </c>
      <c r="M6322" s="213" t="s">
        <v>55466</v>
      </c>
      <c r="N6322" s="213" t="s">
        <v>52489</v>
      </c>
      <c r="O6322" s="213" t="s">
        <v>52490</v>
      </c>
      <c r="P6322" s="213" t="s">
        <v>52491</v>
      </c>
      <c r="Q6322" s="213" t="s">
        <v>52492</v>
      </c>
      <c r="R6322" s="213" t="s">
        <v>52493</v>
      </c>
      <c r="S6322" s="213" t="s">
        <v>52494</v>
      </c>
      <c r="T6322" s="213" t="s">
        <v>52495</v>
      </c>
      <c r="U6322" s="213" t="s">
        <v>55491</v>
      </c>
    </row>
    <row r="6323" spans="1:21" x14ac:dyDescent="0.25">
      <c r="A6323" s="213" t="s">
        <v>327</v>
      </c>
      <c r="D6323" s="213" t="s">
        <v>52496</v>
      </c>
      <c r="E6323" s="213" t="s">
        <v>52497</v>
      </c>
      <c r="K6323" s="213" t="s">
        <v>55417</v>
      </c>
      <c r="L6323" s="213" t="s">
        <v>55442</v>
      </c>
      <c r="M6323" s="213" t="s">
        <v>55467</v>
      </c>
      <c r="N6323" s="213" t="s">
        <v>52498</v>
      </c>
      <c r="O6323" s="213" t="s">
        <v>52499</v>
      </c>
      <c r="P6323" s="213" t="s">
        <v>52500</v>
      </c>
      <c r="Q6323" s="213" t="s">
        <v>52501</v>
      </c>
      <c r="R6323" s="213" t="s">
        <v>52502</v>
      </c>
      <c r="S6323" s="213" t="s">
        <v>52503</v>
      </c>
      <c r="T6323" s="213" t="s">
        <v>52504</v>
      </c>
      <c r="U6323" s="213" t="s">
        <v>55492</v>
      </c>
    </row>
    <row r="6324" spans="1:21" x14ac:dyDescent="0.25">
      <c r="A6324" s="213" t="s">
        <v>327</v>
      </c>
      <c r="D6324" s="213" t="s">
        <v>52505</v>
      </c>
      <c r="E6324" s="213" t="s">
        <v>52506</v>
      </c>
      <c r="K6324" s="213" t="s">
        <v>55418</v>
      </c>
      <c r="L6324" s="213" t="s">
        <v>55443</v>
      </c>
      <c r="M6324" s="213" t="s">
        <v>55468</v>
      </c>
      <c r="N6324" s="213" t="s">
        <v>52507</v>
      </c>
      <c r="O6324" s="213" t="s">
        <v>52508</v>
      </c>
      <c r="P6324" s="213" t="s">
        <v>52509</v>
      </c>
      <c r="Q6324" s="213" t="s">
        <v>52510</v>
      </c>
      <c r="R6324" s="213" t="s">
        <v>52511</v>
      </c>
      <c r="S6324" s="213" t="s">
        <v>52512</v>
      </c>
      <c r="T6324" s="213" t="s">
        <v>52513</v>
      </c>
      <c r="U6324" s="213" t="s">
        <v>55493</v>
      </c>
    </row>
    <row r="6325" spans="1:21" x14ac:dyDescent="0.25">
      <c r="A6325" s="213" t="s">
        <v>327</v>
      </c>
      <c r="D6325" s="213" t="s">
        <v>52514</v>
      </c>
      <c r="E6325" s="213" t="s">
        <v>52515</v>
      </c>
      <c r="K6325" s="213" t="s">
        <v>55419</v>
      </c>
      <c r="L6325" s="213" t="s">
        <v>55444</v>
      </c>
      <c r="M6325" s="213" t="s">
        <v>55469</v>
      </c>
      <c r="N6325" s="213" t="s">
        <v>52516</v>
      </c>
      <c r="O6325" s="213" t="s">
        <v>52517</v>
      </c>
      <c r="P6325" s="213" t="s">
        <v>52518</v>
      </c>
      <c r="Q6325" s="213" t="s">
        <v>52519</v>
      </c>
      <c r="R6325" s="213" t="s">
        <v>52520</v>
      </c>
      <c r="S6325" s="213" t="s">
        <v>52521</v>
      </c>
      <c r="T6325" s="213" t="s">
        <v>52522</v>
      </c>
      <c r="U6325" s="213" t="s">
        <v>55494</v>
      </c>
    </row>
    <row r="6326" spans="1:21" x14ac:dyDescent="0.25">
      <c r="A6326" s="213" t="s">
        <v>327</v>
      </c>
      <c r="D6326" s="213" t="s">
        <v>52523</v>
      </c>
      <c r="E6326" s="213" t="s">
        <v>52524</v>
      </c>
      <c r="K6326" s="213" t="s">
        <v>55420</v>
      </c>
      <c r="L6326" s="213" t="s">
        <v>55445</v>
      </c>
      <c r="M6326" s="213" t="s">
        <v>55470</v>
      </c>
      <c r="N6326" s="213" t="s">
        <v>52525</v>
      </c>
      <c r="O6326" s="213" t="s">
        <v>52526</v>
      </c>
      <c r="P6326" s="213" t="s">
        <v>52527</v>
      </c>
      <c r="Q6326" s="213" t="s">
        <v>52528</v>
      </c>
      <c r="R6326" s="213" t="s">
        <v>52529</v>
      </c>
      <c r="S6326" s="213" t="s">
        <v>52530</v>
      </c>
      <c r="T6326" s="213" t="s">
        <v>52531</v>
      </c>
      <c r="U6326" s="213" t="s">
        <v>55495</v>
      </c>
    </row>
    <row r="6327" spans="1:21" x14ac:dyDescent="0.25">
      <c r="A6327" s="213" t="s">
        <v>327</v>
      </c>
      <c r="D6327" s="213" t="s">
        <v>52532</v>
      </c>
      <c r="E6327" s="213" t="s">
        <v>52533</v>
      </c>
      <c r="K6327" s="213" t="s">
        <v>55421</v>
      </c>
      <c r="L6327" s="213" t="s">
        <v>55446</v>
      </c>
      <c r="M6327" s="213" t="s">
        <v>55471</v>
      </c>
      <c r="N6327" s="213" t="s">
        <v>52534</v>
      </c>
      <c r="O6327" s="213" t="s">
        <v>52535</v>
      </c>
      <c r="P6327" s="213" t="s">
        <v>52536</v>
      </c>
      <c r="Q6327" s="213" t="s">
        <v>52537</v>
      </c>
      <c r="R6327" s="213" t="s">
        <v>52538</v>
      </c>
      <c r="S6327" s="213" t="s">
        <v>52539</v>
      </c>
      <c r="T6327" s="213" t="s">
        <v>52540</v>
      </c>
      <c r="U6327" s="213" t="s">
        <v>55496</v>
      </c>
    </row>
    <row r="6328" spans="1:21" x14ac:dyDescent="0.25">
      <c r="A6328" s="213" t="s">
        <v>327</v>
      </c>
      <c r="D6328" s="213" t="s">
        <v>52541</v>
      </c>
      <c r="E6328" s="213" t="s">
        <v>52542</v>
      </c>
      <c r="K6328" s="213" t="s">
        <v>55422</v>
      </c>
      <c r="L6328" s="213" t="s">
        <v>55447</v>
      </c>
      <c r="M6328" s="213" t="s">
        <v>55472</v>
      </c>
      <c r="N6328" s="213" t="s">
        <v>52543</v>
      </c>
      <c r="O6328" s="213" t="s">
        <v>52544</v>
      </c>
      <c r="P6328" s="213" t="s">
        <v>52545</v>
      </c>
      <c r="Q6328" s="213" t="s">
        <v>52546</v>
      </c>
      <c r="R6328" s="213" t="s">
        <v>52547</v>
      </c>
      <c r="S6328" s="213" t="s">
        <v>52548</v>
      </c>
      <c r="T6328" s="213" t="s">
        <v>52549</v>
      </c>
      <c r="U6328" s="213" t="s">
        <v>55497</v>
      </c>
    </row>
    <row r="6329" spans="1:21" x14ac:dyDescent="0.25">
      <c r="A6329" s="213" t="s">
        <v>327</v>
      </c>
    </row>
    <row r="6330" spans="1:21" x14ac:dyDescent="0.25">
      <c r="A6330" s="213" t="s">
        <v>327</v>
      </c>
    </row>
    <row r="6331" spans="1:21" x14ac:dyDescent="0.25">
      <c r="A6331" s="213" t="s">
        <v>327</v>
      </c>
      <c r="C6331" s="213" t="s">
        <v>52550</v>
      </c>
      <c r="E6331" s="213" t="s">
        <v>52551</v>
      </c>
      <c r="H6331" s="213" t="s">
        <v>52552</v>
      </c>
      <c r="I6331" s="213" t="s">
        <v>52553</v>
      </c>
      <c r="J6331" s="213" t="s">
        <v>52554</v>
      </c>
      <c r="L6331" s="213" t="s">
        <v>52555</v>
      </c>
      <c r="O6331" s="213" t="s">
        <v>52556</v>
      </c>
      <c r="P6331" s="213" t="s">
        <v>52557</v>
      </c>
      <c r="Q6331" s="213" t="s">
        <v>52558</v>
      </c>
      <c r="R6331" s="213" t="s">
        <v>52559</v>
      </c>
      <c r="S6331" s="213" t="s">
        <v>52560</v>
      </c>
      <c r="T6331" s="213" t="s">
        <v>52561</v>
      </c>
    </row>
    <row r="6332" spans="1:21" x14ac:dyDescent="0.25">
      <c r="A6332" s="213" t="s">
        <v>327</v>
      </c>
      <c r="C6332" s="213" t="s">
        <v>52562</v>
      </c>
      <c r="E6332" s="213" t="s">
        <v>52563</v>
      </c>
      <c r="I6332" s="213" t="s">
        <v>52564</v>
      </c>
    </row>
    <row r="6333" spans="1:21" x14ac:dyDescent="0.25">
      <c r="A6333" s="213" t="s">
        <v>327</v>
      </c>
      <c r="C6333" s="213" t="s">
        <v>52565</v>
      </c>
      <c r="E6333" s="213" t="s">
        <v>52566</v>
      </c>
      <c r="I6333" s="213" t="s">
        <v>52567</v>
      </c>
    </row>
    <row r="6334" spans="1:21" x14ac:dyDescent="0.25">
      <c r="A6334" s="213" t="s">
        <v>328</v>
      </c>
    </row>
    <row r="6335" spans="1:21" x14ac:dyDescent="0.25">
      <c r="A6335" s="213" t="s">
        <v>327</v>
      </c>
      <c r="D6335" s="213" t="s">
        <v>52568</v>
      </c>
      <c r="E6335" s="213" t="s">
        <v>52569</v>
      </c>
      <c r="K6335" s="213" t="s">
        <v>55278</v>
      </c>
      <c r="L6335" s="213" t="s">
        <v>55308</v>
      </c>
      <c r="M6335" s="213" t="s">
        <v>55338</v>
      </c>
      <c r="N6335" s="213" t="s">
        <v>52570</v>
      </c>
      <c r="O6335" s="213" t="s">
        <v>52571</v>
      </c>
      <c r="P6335" s="213" t="s">
        <v>52572</v>
      </c>
      <c r="Q6335" s="213" t="s">
        <v>52573</v>
      </c>
      <c r="R6335" s="213" t="s">
        <v>52574</v>
      </c>
      <c r="S6335" s="213" t="s">
        <v>52575</v>
      </c>
      <c r="T6335" s="213" t="s">
        <v>52576</v>
      </c>
      <c r="U6335" s="213" t="s">
        <v>55368</v>
      </c>
    </row>
    <row r="6336" spans="1:21" x14ac:dyDescent="0.25">
      <c r="A6336" s="213" t="s">
        <v>327</v>
      </c>
      <c r="D6336" s="213" t="s">
        <v>52577</v>
      </c>
      <c r="E6336" s="213" t="s">
        <v>52578</v>
      </c>
      <c r="K6336" s="213" t="s">
        <v>55279</v>
      </c>
      <c r="L6336" s="213" t="s">
        <v>55309</v>
      </c>
      <c r="M6336" s="213" t="s">
        <v>55339</v>
      </c>
      <c r="N6336" s="213" t="s">
        <v>52579</v>
      </c>
      <c r="O6336" s="213" t="s">
        <v>52580</v>
      </c>
      <c r="P6336" s="213" t="s">
        <v>52581</v>
      </c>
      <c r="Q6336" s="213" t="s">
        <v>52582</v>
      </c>
      <c r="R6336" s="213" t="s">
        <v>52583</v>
      </c>
      <c r="S6336" s="213" t="s">
        <v>52584</v>
      </c>
      <c r="T6336" s="213" t="s">
        <v>52585</v>
      </c>
      <c r="U6336" s="213" t="s">
        <v>55369</v>
      </c>
    </row>
    <row r="6337" spans="1:21" x14ac:dyDescent="0.25">
      <c r="A6337" s="213" t="s">
        <v>327</v>
      </c>
      <c r="D6337" s="213" t="s">
        <v>52586</v>
      </c>
      <c r="E6337" s="213" t="s">
        <v>52587</v>
      </c>
      <c r="K6337" s="213" t="s">
        <v>55280</v>
      </c>
      <c r="L6337" s="213" t="s">
        <v>55310</v>
      </c>
      <c r="M6337" s="213" t="s">
        <v>55340</v>
      </c>
      <c r="N6337" s="213" t="s">
        <v>52588</v>
      </c>
      <c r="O6337" s="213" t="s">
        <v>52589</v>
      </c>
      <c r="P6337" s="213" t="s">
        <v>52590</v>
      </c>
      <c r="Q6337" s="213" t="s">
        <v>52591</v>
      </c>
      <c r="R6337" s="213" t="s">
        <v>52592</v>
      </c>
      <c r="S6337" s="213" t="s">
        <v>52593</v>
      </c>
      <c r="T6337" s="213" t="s">
        <v>52594</v>
      </c>
      <c r="U6337" s="213" t="s">
        <v>55370</v>
      </c>
    </row>
    <row r="6338" spans="1:21" x14ac:dyDescent="0.25">
      <c r="A6338" s="213" t="s">
        <v>327</v>
      </c>
      <c r="D6338" s="213" t="s">
        <v>52595</v>
      </c>
      <c r="E6338" s="213" t="s">
        <v>52596</v>
      </c>
      <c r="K6338" s="213" t="s">
        <v>55281</v>
      </c>
      <c r="L6338" s="213" t="s">
        <v>55311</v>
      </c>
      <c r="M6338" s="213" t="s">
        <v>55341</v>
      </c>
      <c r="N6338" s="213" t="s">
        <v>52597</v>
      </c>
      <c r="O6338" s="213" t="s">
        <v>52598</v>
      </c>
      <c r="P6338" s="213" t="s">
        <v>52599</v>
      </c>
      <c r="Q6338" s="213" t="s">
        <v>52600</v>
      </c>
      <c r="R6338" s="213" t="s">
        <v>52601</v>
      </c>
      <c r="S6338" s="213" t="s">
        <v>52602</v>
      </c>
      <c r="T6338" s="213" t="s">
        <v>52603</v>
      </c>
      <c r="U6338" s="213" t="s">
        <v>55371</v>
      </c>
    </row>
    <row r="6339" spans="1:21" x14ac:dyDescent="0.25">
      <c r="A6339" s="213" t="s">
        <v>327</v>
      </c>
      <c r="D6339" s="213" t="s">
        <v>52604</v>
      </c>
      <c r="E6339" s="213" t="s">
        <v>52605</v>
      </c>
      <c r="K6339" s="213" t="s">
        <v>55282</v>
      </c>
      <c r="L6339" s="213" t="s">
        <v>55312</v>
      </c>
      <c r="M6339" s="213" t="s">
        <v>55342</v>
      </c>
      <c r="N6339" s="213" t="s">
        <v>52606</v>
      </c>
      <c r="O6339" s="213" t="s">
        <v>52607</v>
      </c>
      <c r="P6339" s="213" t="s">
        <v>52608</v>
      </c>
      <c r="Q6339" s="213" t="s">
        <v>52609</v>
      </c>
      <c r="R6339" s="213" t="s">
        <v>52610</v>
      </c>
      <c r="S6339" s="213" t="s">
        <v>52611</v>
      </c>
      <c r="T6339" s="213" t="s">
        <v>52612</v>
      </c>
      <c r="U6339" s="213" t="s">
        <v>55372</v>
      </c>
    </row>
    <row r="6340" spans="1:21" x14ac:dyDescent="0.25">
      <c r="A6340" s="213" t="s">
        <v>327</v>
      </c>
      <c r="D6340" s="213" t="s">
        <v>52613</v>
      </c>
      <c r="E6340" s="213" t="s">
        <v>52614</v>
      </c>
      <c r="K6340" s="213" t="s">
        <v>55283</v>
      </c>
      <c r="L6340" s="213" t="s">
        <v>55313</v>
      </c>
      <c r="M6340" s="213" t="s">
        <v>55343</v>
      </c>
      <c r="N6340" s="213" t="s">
        <v>52615</v>
      </c>
      <c r="O6340" s="213" t="s">
        <v>52616</v>
      </c>
      <c r="P6340" s="213" t="s">
        <v>52617</v>
      </c>
      <c r="Q6340" s="213" t="s">
        <v>52618</v>
      </c>
      <c r="R6340" s="213" t="s">
        <v>52619</v>
      </c>
      <c r="S6340" s="213" t="s">
        <v>52620</v>
      </c>
      <c r="T6340" s="213" t="s">
        <v>52621</v>
      </c>
      <c r="U6340" s="213" t="s">
        <v>55373</v>
      </c>
    </row>
    <row r="6341" spans="1:21" x14ac:dyDescent="0.25">
      <c r="A6341" s="213" t="s">
        <v>327</v>
      </c>
      <c r="D6341" s="213" t="s">
        <v>52622</v>
      </c>
      <c r="E6341" s="213" t="s">
        <v>52623</v>
      </c>
      <c r="K6341" s="213" t="s">
        <v>55284</v>
      </c>
      <c r="L6341" s="213" t="s">
        <v>55314</v>
      </c>
      <c r="M6341" s="213" t="s">
        <v>55344</v>
      </c>
      <c r="N6341" s="213" t="s">
        <v>52624</v>
      </c>
      <c r="O6341" s="213" t="s">
        <v>52625</v>
      </c>
      <c r="P6341" s="213" t="s">
        <v>52626</v>
      </c>
      <c r="Q6341" s="213" t="s">
        <v>52627</v>
      </c>
      <c r="R6341" s="213" t="s">
        <v>52628</v>
      </c>
      <c r="S6341" s="213" t="s">
        <v>52629</v>
      </c>
      <c r="T6341" s="213" t="s">
        <v>52630</v>
      </c>
      <c r="U6341" s="213" t="s">
        <v>55374</v>
      </c>
    </row>
    <row r="6342" spans="1:21" x14ac:dyDescent="0.25">
      <c r="A6342" s="213" t="s">
        <v>327</v>
      </c>
      <c r="D6342" s="213" t="s">
        <v>52631</v>
      </c>
      <c r="E6342" s="213" t="s">
        <v>52632</v>
      </c>
      <c r="K6342" s="213" t="s">
        <v>55285</v>
      </c>
      <c r="L6342" s="213" t="s">
        <v>55315</v>
      </c>
      <c r="M6342" s="213" t="s">
        <v>55345</v>
      </c>
      <c r="N6342" s="213" t="s">
        <v>52633</v>
      </c>
      <c r="O6342" s="213" t="s">
        <v>52634</v>
      </c>
      <c r="P6342" s="213" t="s">
        <v>52635</v>
      </c>
      <c r="Q6342" s="213" t="s">
        <v>52636</v>
      </c>
      <c r="R6342" s="213" t="s">
        <v>52637</v>
      </c>
      <c r="S6342" s="213" t="s">
        <v>52638</v>
      </c>
      <c r="T6342" s="213" t="s">
        <v>52639</v>
      </c>
      <c r="U6342" s="213" t="s">
        <v>55375</v>
      </c>
    </row>
    <row r="6343" spans="1:21" x14ac:dyDescent="0.25">
      <c r="A6343" s="213" t="s">
        <v>327</v>
      </c>
      <c r="D6343" s="213" t="s">
        <v>52640</v>
      </c>
      <c r="E6343" s="213" t="s">
        <v>52641</v>
      </c>
      <c r="K6343" s="213" t="s">
        <v>55286</v>
      </c>
      <c r="L6343" s="213" t="s">
        <v>55316</v>
      </c>
      <c r="M6343" s="213" t="s">
        <v>55346</v>
      </c>
      <c r="N6343" s="213" t="s">
        <v>52642</v>
      </c>
      <c r="O6343" s="213" t="s">
        <v>52643</v>
      </c>
      <c r="P6343" s="213" t="s">
        <v>52644</v>
      </c>
      <c r="Q6343" s="213" t="s">
        <v>52645</v>
      </c>
      <c r="R6343" s="213" t="s">
        <v>52646</v>
      </c>
      <c r="S6343" s="213" t="s">
        <v>52647</v>
      </c>
      <c r="T6343" s="213" t="s">
        <v>52648</v>
      </c>
      <c r="U6343" s="213" t="s">
        <v>55376</v>
      </c>
    </row>
    <row r="6344" spans="1:21" x14ac:dyDescent="0.25">
      <c r="A6344" s="213" t="s">
        <v>327</v>
      </c>
      <c r="D6344" s="213" t="s">
        <v>52649</v>
      </c>
      <c r="E6344" s="213" t="s">
        <v>52650</v>
      </c>
      <c r="K6344" s="213" t="s">
        <v>55287</v>
      </c>
      <c r="L6344" s="213" t="s">
        <v>55317</v>
      </c>
      <c r="M6344" s="213" t="s">
        <v>55347</v>
      </c>
      <c r="N6344" s="213" t="s">
        <v>52651</v>
      </c>
      <c r="O6344" s="213" t="s">
        <v>52652</v>
      </c>
      <c r="P6344" s="213" t="s">
        <v>52653</v>
      </c>
      <c r="Q6344" s="213" t="s">
        <v>52654</v>
      </c>
      <c r="R6344" s="213" t="s">
        <v>52655</v>
      </c>
      <c r="S6344" s="213" t="s">
        <v>52656</v>
      </c>
      <c r="T6344" s="213" t="s">
        <v>52657</v>
      </c>
      <c r="U6344" s="213" t="s">
        <v>55377</v>
      </c>
    </row>
    <row r="6345" spans="1:21" x14ac:dyDescent="0.25">
      <c r="A6345" s="213" t="s">
        <v>327</v>
      </c>
      <c r="D6345" s="213" t="s">
        <v>52658</v>
      </c>
      <c r="E6345" s="213" t="s">
        <v>52659</v>
      </c>
      <c r="K6345" s="213" t="s">
        <v>55288</v>
      </c>
      <c r="L6345" s="213" t="s">
        <v>55318</v>
      </c>
      <c r="M6345" s="213" t="s">
        <v>55348</v>
      </c>
      <c r="N6345" s="213" t="s">
        <v>52660</v>
      </c>
      <c r="O6345" s="213" t="s">
        <v>52661</v>
      </c>
      <c r="P6345" s="213" t="s">
        <v>52662</v>
      </c>
      <c r="Q6345" s="213" t="s">
        <v>52663</v>
      </c>
      <c r="R6345" s="213" t="s">
        <v>52664</v>
      </c>
      <c r="S6345" s="213" t="s">
        <v>52665</v>
      </c>
      <c r="T6345" s="213" t="s">
        <v>52666</v>
      </c>
      <c r="U6345" s="213" t="s">
        <v>55378</v>
      </c>
    </row>
    <row r="6346" spans="1:21" x14ac:dyDescent="0.25">
      <c r="A6346" s="213" t="s">
        <v>327</v>
      </c>
      <c r="D6346" s="213" t="s">
        <v>52667</v>
      </c>
      <c r="E6346" s="213" t="s">
        <v>52668</v>
      </c>
      <c r="K6346" s="213" t="s">
        <v>55289</v>
      </c>
      <c r="L6346" s="213" t="s">
        <v>55319</v>
      </c>
      <c r="M6346" s="213" t="s">
        <v>55349</v>
      </c>
      <c r="N6346" s="213" t="s">
        <v>52669</v>
      </c>
      <c r="O6346" s="213" t="s">
        <v>52670</v>
      </c>
      <c r="P6346" s="213" t="s">
        <v>52671</v>
      </c>
      <c r="Q6346" s="213" t="s">
        <v>52672</v>
      </c>
      <c r="R6346" s="213" t="s">
        <v>52673</v>
      </c>
      <c r="S6346" s="213" t="s">
        <v>52674</v>
      </c>
      <c r="T6346" s="213" t="s">
        <v>52675</v>
      </c>
      <c r="U6346" s="213" t="s">
        <v>55379</v>
      </c>
    </row>
    <row r="6347" spans="1:21" x14ac:dyDescent="0.25">
      <c r="A6347" s="213" t="s">
        <v>327</v>
      </c>
      <c r="D6347" s="213" t="s">
        <v>52676</v>
      </c>
      <c r="E6347" s="213" t="s">
        <v>52677</v>
      </c>
      <c r="K6347" s="213" t="s">
        <v>55290</v>
      </c>
      <c r="L6347" s="213" t="s">
        <v>55320</v>
      </c>
      <c r="M6347" s="213" t="s">
        <v>55350</v>
      </c>
      <c r="N6347" s="213" t="s">
        <v>52678</v>
      </c>
      <c r="O6347" s="213" t="s">
        <v>52679</v>
      </c>
      <c r="P6347" s="213" t="s">
        <v>52680</v>
      </c>
      <c r="Q6347" s="213" t="s">
        <v>52681</v>
      </c>
      <c r="R6347" s="213" t="s">
        <v>52682</v>
      </c>
      <c r="S6347" s="213" t="s">
        <v>52683</v>
      </c>
      <c r="T6347" s="213" t="s">
        <v>52684</v>
      </c>
      <c r="U6347" s="213" t="s">
        <v>55380</v>
      </c>
    </row>
    <row r="6348" spans="1:21" x14ac:dyDescent="0.25">
      <c r="A6348" s="213" t="s">
        <v>327</v>
      </c>
      <c r="D6348" s="213" t="s">
        <v>52685</v>
      </c>
      <c r="E6348" s="213" t="s">
        <v>52686</v>
      </c>
      <c r="K6348" s="213" t="s">
        <v>55291</v>
      </c>
      <c r="L6348" s="213" t="s">
        <v>55321</v>
      </c>
      <c r="M6348" s="213" t="s">
        <v>55351</v>
      </c>
      <c r="N6348" s="213" t="s">
        <v>52687</v>
      </c>
      <c r="O6348" s="213" t="s">
        <v>52688</v>
      </c>
      <c r="P6348" s="213" t="s">
        <v>52689</v>
      </c>
      <c r="Q6348" s="213" t="s">
        <v>52690</v>
      </c>
      <c r="R6348" s="213" t="s">
        <v>52691</v>
      </c>
      <c r="S6348" s="213" t="s">
        <v>52692</v>
      </c>
      <c r="T6348" s="213" t="s">
        <v>52693</v>
      </c>
      <c r="U6348" s="213" t="s">
        <v>55381</v>
      </c>
    </row>
    <row r="6349" spans="1:21" x14ac:dyDescent="0.25">
      <c r="A6349" s="213" t="s">
        <v>327</v>
      </c>
      <c r="D6349" s="213" t="s">
        <v>52694</v>
      </c>
      <c r="E6349" s="213" t="s">
        <v>52695</v>
      </c>
      <c r="K6349" s="213" t="s">
        <v>55292</v>
      </c>
      <c r="L6349" s="213" t="s">
        <v>55322</v>
      </c>
      <c r="M6349" s="213" t="s">
        <v>55352</v>
      </c>
      <c r="N6349" s="213" t="s">
        <v>52696</v>
      </c>
      <c r="O6349" s="213" t="s">
        <v>52697</v>
      </c>
      <c r="P6349" s="213" t="s">
        <v>52698</v>
      </c>
      <c r="Q6349" s="213" t="s">
        <v>52699</v>
      </c>
      <c r="R6349" s="213" t="s">
        <v>52700</v>
      </c>
      <c r="S6349" s="213" t="s">
        <v>52701</v>
      </c>
      <c r="T6349" s="213" t="s">
        <v>52702</v>
      </c>
      <c r="U6349" s="213" t="s">
        <v>55382</v>
      </c>
    </row>
    <row r="6350" spans="1:21" x14ac:dyDescent="0.25">
      <c r="A6350" s="213" t="s">
        <v>327</v>
      </c>
      <c r="D6350" s="213" t="s">
        <v>52703</v>
      </c>
      <c r="E6350" s="213" t="s">
        <v>52704</v>
      </c>
      <c r="K6350" s="213" t="s">
        <v>55293</v>
      </c>
      <c r="L6350" s="213" t="s">
        <v>55323</v>
      </c>
      <c r="M6350" s="213" t="s">
        <v>55353</v>
      </c>
      <c r="N6350" s="213" t="s">
        <v>52705</v>
      </c>
      <c r="O6350" s="213" t="s">
        <v>52706</v>
      </c>
      <c r="P6350" s="213" t="s">
        <v>52707</v>
      </c>
      <c r="Q6350" s="213" t="s">
        <v>52708</v>
      </c>
      <c r="R6350" s="213" t="s">
        <v>52709</v>
      </c>
      <c r="S6350" s="213" t="s">
        <v>52710</v>
      </c>
      <c r="T6350" s="213" t="s">
        <v>52711</v>
      </c>
      <c r="U6350" s="213" t="s">
        <v>55383</v>
      </c>
    </row>
    <row r="6351" spans="1:21" x14ac:dyDescent="0.25">
      <c r="A6351" s="213" t="s">
        <v>327</v>
      </c>
      <c r="D6351" s="213" t="s">
        <v>52712</v>
      </c>
      <c r="E6351" s="213" t="s">
        <v>52713</v>
      </c>
      <c r="K6351" s="213" t="s">
        <v>55294</v>
      </c>
      <c r="L6351" s="213" t="s">
        <v>55324</v>
      </c>
      <c r="M6351" s="213" t="s">
        <v>55354</v>
      </c>
      <c r="N6351" s="213" t="s">
        <v>52714</v>
      </c>
      <c r="O6351" s="213" t="s">
        <v>52715</v>
      </c>
      <c r="P6351" s="213" t="s">
        <v>52716</v>
      </c>
      <c r="Q6351" s="213" t="s">
        <v>52717</v>
      </c>
      <c r="R6351" s="213" t="s">
        <v>52718</v>
      </c>
      <c r="S6351" s="213" t="s">
        <v>52719</v>
      </c>
      <c r="T6351" s="213" t="s">
        <v>52720</v>
      </c>
      <c r="U6351" s="213" t="s">
        <v>55384</v>
      </c>
    </row>
    <row r="6352" spans="1:21" x14ac:dyDescent="0.25">
      <c r="A6352" s="213" t="s">
        <v>327</v>
      </c>
      <c r="D6352" s="213" t="s">
        <v>52721</v>
      </c>
      <c r="E6352" s="213" t="s">
        <v>52722</v>
      </c>
      <c r="K6352" s="213" t="s">
        <v>55295</v>
      </c>
      <c r="L6352" s="213" t="s">
        <v>55325</v>
      </c>
      <c r="M6352" s="213" t="s">
        <v>55355</v>
      </c>
      <c r="N6352" s="213" t="s">
        <v>52723</v>
      </c>
      <c r="O6352" s="213" t="s">
        <v>52724</v>
      </c>
      <c r="P6352" s="213" t="s">
        <v>52725</v>
      </c>
      <c r="Q6352" s="213" t="s">
        <v>52726</v>
      </c>
      <c r="R6352" s="213" t="s">
        <v>52727</v>
      </c>
      <c r="S6352" s="213" t="s">
        <v>52728</v>
      </c>
      <c r="T6352" s="213" t="s">
        <v>52729</v>
      </c>
      <c r="U6352" s="213" t="s">
        <v>55385</v>
      </c>
    </row>
    <row r="6353" spans="1:21" x14ac:dyDescent="0.25">
      <c r="A6353" s="213" t="s">
        <v>327</v>
      </c>
      <c r="D6353" s="213" t="s">
        <v>52730</v>
      </c>
      <c r="E6353" s="213" t="s">
        <v>52731</v>
      </c>
      <c r="K6353" s="213" t="s">
        <v>55296</v>
      </c>
      <c r="L6353" s="213" t="s">
        <v>55326</v>
      </c>
      <c r="M6353" s="213" t="s">
        <v>55356</v>
      </c>
      <c r="N6353" s="213" t="s">
        <v>52732</v>
      </c>
      <c r="O6353" s="213" t="s">
        <v>52733</v>
      </c>
      <c r="P6353" s="213" t="s">
        <v>52734</v>
      </c>
      <c r="Q6353" s="213" t="s">
        <v>52735</v>
      </c>
      <c r="R6353" s="213" t="s">
        <v>52736</v>
      </c>
      <c r="S6353" s="213" t="s">
        <v>52737</v>
      </c>
      <c r="T6353" s="213" t="s">
        <v>52738</v>
      </c>
      <c r="U6353" s="213" t="s">
        <v>55386</v>
      </c>
    </row>
    <row r="6354" spans="1:21" x14ac:dyDescent="0.25">
      <c r="A6354" s="213" t="s">
        <v>327</v>
      </c>
      <c r="D6354" s="213" t="s">
        <v>52739</v>
      </c>
      <c r="E6354" s="213" t="s">
        <v>52740</v>
      </c>
      <c r="K6354" s="213" t="s">
        <v>55297</v>
      </c>
      <c r="L6354" s="213" t="s">
        <v>55327</v>
      </c>
      <c r="M6354" s="213" t="s">
        <v>55357</v>
      </c>
      <c r="N6354" s="213" t="s">
        <v>52741</v>
      </c>
      <c r="O6354" s="213" t="s">
        <v>52742</v>
      </c>
      <c r="P6354" s="213" t="s">
        <v>52743</v>
      </c>
      <c r="Q6354" s="213" t="s">
        <v>52744</v>
      </c>
      <c r="R6354" s="213" t="s">
        <v>52745</v>
      </c>
      <c r="S6354" s="213" t="s">
        <v>52746</v>
      </c>
      <c r="T6354" s="213" t="s">
        <v>52747</v>
      </c>
      <c r="U6354" s="213" t="s">
        <v>55387</v>
      </c>
    </row>
    <row r="6355" spans="1:21" x14ac:dyDescent="0.25">
      <c r="A6355" s="213" t="s">
        <v>327</v>
      </c>
      <c r="D6355" s="213" t="s">
        <v>52748</v>
      </c>
      <c r="E6355" s="213" t="s">
        <v>52749</v>
      </c>
      <c r="K6355" s="213" t="s">
        <v>55298</v>
      </c>
      <c r="L6355" s="213" t="s">
        <v>55328</v>
      </c>
      <c r="M6355" s="213" t="s">
        <v>55358</v>
      </c>
      <c r="N6355" s="213" t="s">
        <v>52750</v>
      </c>
      <c r="O6355" s="213" t="s">
        <v>52751</v>
      </c>
      <c r="P6355" s="213" t="s">
        <v>52752</v>
      </c>
      <c r="Q6355" s="213" t="s">
        <v>52753</v>
      </c>
      <c r="R6355" s="213" t="s">
        <v>52754</v>
      </c>
      <c r="S6355" s="213" t="s">
        <v>52755</v>
      </c>
      <c r="T6355" s="213" t="s">
        <v>52756</v>
      </c>
      <c r="U6355" s="213" t="s">
        <v>55388</v>
      </c>
    </row>
    <row r="6356" spans="1:21" x14ac:dyDescent="0.25">
      <c r="A6356" s="213" t="s">
        <v>327</v>
      </c>
      <c r="D6356" s="213" t="s">
        <v>52757</v>
      </c>
      <c r="E6356" s="213" t="s">
        <v>52758</v>
      </c>
      <c r="K6356" s="213" t="s">
        <v>55299</v>
      </c>
      <c r="L6356" s="213" t="s">
        <v>55329</v>
      </c>
      <c r="M6356" s="213" t="s">
        <v>55359</v>
      </c>
      <c r="N6356" s="213" t="s">
        <v>52759</v>
      </c>
      <c r="O6356" s="213" t="s">
        <v>52760</v>
      </c>
      <c r="P6356" s="213" t="s">
        <v>52761</v>
      </c>
      <c r="Q6356" s="213" t="s">
        <v>52762</v>
      </c>
      <c r="R6356" s="213" t="s">
        <v>52763</v>
      </c>
      <c r="S6356" s="213" t="s">
        <v>52764</v>
      </c>
      <c r="T6356" s="213" t="s">
        <v>52765</v>
      </c>
      <c r="U6356" s="213" t="s">
        <v>55389</v>
      </c>
    </row>
    <row r="6357" spans="1:21" x14ac:dyDescent="0.25">
      <c r="A6357" s="213" t="s">
        <v>327</v>
      </c>
      <c r="D6357" s="213" t="s">
        <v>52766</v>
      </c>
      <c r="E6357" s="213" t="s">
        <v>52767</v>
      </c>
      <c r="K6357" s="213" t="s">
        <v>55300</v>
      </c>
      <c r="L6357" s="213" t="s">
        <v>55330</v>
      </c>
      <c r="M6357" s="213" t="s">
        <v>55360</v>
      </c>
      <c r="N6357" s="213" t="s">
        <v>52768</v>
      </c>
      <c r="O6357" s="213" t="s">
        <v>52769</v>
      </c>
      <c r="P6357" s="213" t="s">
        <v>52770</v>
      </c>
      <c r="Q6357" s="213" t="s">
        <v>52771</v>
      </c>
      <c r="R6357" s="213" t="s">
        <v>52772</v>
      </c>
      <c r="S6357" s="213" t="s">
        <v>52773</v>
      </c>
      <c r="T6357" s="213" t="s">
        <v>52774</v>
      </c>
      <c r="U6357" s="213" t="s">
        <v>55390</v>
      </c>
    </row>
    <row r="6358" spans="1:21" x14ac:dyDescent="0.25">
      <c r="A6358" s="213" t="s">
        <v>327</v>
      </c>
      <c r="D6358" s="213" t="s">
        <v>52775</v>
      </c>
      <c r="E6358" s="213" t="s">
        <v>52776</v>
      </c>
      <c r="K6358" s="213" t="s">
        <v>55301</v>
      </c>
      <c r="L6358" s="213" t="s">
        <v>55331</v>
      </c>
      <c r="M6358" s="213" t="s">
        <v>55361</v>
      </c>
      <c r="N6358" s="213" t="s">
        <v>52777</v>
      </c>
      <c r="O6358" s="213" t="s">
        <v>52778</v>
      </c>
      <c r="P6358" s="213" t="s">
        <v>52779</v>
      </c>
      <c r="Q6358" s="213" t="s">
        <v>52780</v>
      </c>
      <c r="R6358" s="213" t="s">
        <v>52781</v>
      </c>
      <c r="S6358" s="213" t="s">
        <v>52782</v>
      </c>
      <c r="T6358" s="213" t="s">
        <v>52783</v>
      </c>
      <c r="U6358" s="213" t="s">
        <v>55391</v>
      </c>
    </row>
    <row r="6359" spans="1:21" x14ac:dyDescent="0.25">
      <c r="A6359" s="213" t="s">
        <v>327</v>
      </c>
      <c r="D6359" s="213" t="s">
        <v>52784</v>
      </c>
      <c r="E6359" s="213" t="s">
        <v>52785</v>
      </c>
      <c r="K6359" s="213" t="s">
        <v>55302</v>
      </c>
      <c r="L6359" s="213" t="s">
        <v>55332</v>
      </c>
      <c r="M6359" s="213" t="s">
        <v>55362</v>
      </c>
      <c r="N6359" s="213" t="s">
        <v>52786</v>
      </c>
      <c r="O6359" s="213" t="s">
        <v>52787</v>
      </c>
      <c r="P6359" s="213" t="s">
        <v>52788</v>
      </c>
      <c r="Q6359" s="213" t="s">
        <v>52789</v>
      </c>
      <c r="R6359" s="213" t="s">
        <v>52790</v>
      </c>
      <c r="S6359" s="213" t="s">
        <v>52791</v>
      </c>
      <c r="T6359" s="213" t="s">
        <v>52792</v>
      </c>
      <c r="U6359" s="213" t="s">
        <v>55392</v>
      </c>
    </row>
    <row r="6360" spans="1:21" x14ac:dyDescent="0.25">
      <c r="A6360" s="213" t="s">
        <v>327</v>
      </c>
      <c r="D6360" s="213" t="s">
        <v>52793</v>
      </c>
      <c r="E6360" s="213" t="s">
        <v>52794</v>
      </c>
      <c r="K6360" s="213" t="s">
        <v>55303</v>
      </c>
      <c r="L6360" s="213" t="s">
        <v>55333</v>
      </c>
      <c r="M6360" s="213" t="s">
        <v>55363</v>
      </c>
      <c r="N6360" s="213" t="s">
        <v>52795</v>
      </c>
      <c r="O6360" s="213" t="s">
        <v>52796</v>
      </c>
      <c r="P6360" s="213" t="s">
        <v>52797</v>
      </c>
      <c r="Q6360" s="213" t="s">
        <v>52798</v>
      </c>
      <c r="R6360" s="213" t="s">
        <v>52799</v>
      </c>
      <c r="S6360" s="213" t="s">
        <v>52800</v>
      </c>
      <c r="T6360" s="213" t="s">
        <v>52801</v>
      </c>
      <c r="U6360" s="213" t="s">
        <v>55393</v>
      </c>
    </row>
    <row r="6361" spans="1:21" x14ac:dyDescent="0.25">
      <c r="A6361" s="213" t="s">
        <v>327</v>
      </c>
      <c r="D6361" s="213" t="s">
        <v>52802</v>
      </c>
      <c r="E6361" s="213" t="s">
        <v>52803</v>
      </c>
      <c r="K6361" s="213" t="s">
        <v>55304</v>
      </c>
      <c r="L6361" s="213" t="s">
        <v>55334</v>
      </c>
      <c r="M6361" s="213" t="s">
        <v>55364</v>
      </c>
      <c r="N6361" s="213" t="s">
        <v>52804</v>
      </c>
      <c r="O6361" s="213" t="s">
        <v>52805</v>
      </c>
      <c r="P6361" s="213" t="s">
        <v>52806</v>
      </c>
      <c r="Q6361" s="213" t="s">
        <v>52807</v>
      </c>
      <c r="R6361" s="213" t="s">
        <v>52808</v>
      </c>
      <c r="S6361" s="213" t="s">
        <v>52809</v>
      </c>
      <c r="T6361" s="213" t="s">
        <v>52810</v>
      </c>
      <c r="U6361" s="213" t="s">
        <v>55394</v>
      </c>
    </row>
    <row r="6362" spans="1:21" x14ac:dyDescent="0.25">
      <c r="A6362" s="213" t="s">
        <v>327</v>
      </c>
      <c r="D6362" s="213" t="s">
        <v>52811</v>
      </c>
      <c r="E6362" s="213" t="s">
        <v>52812</v>
      </c>
      <c r="K6362" s="213" t="s">
        <v>55305</v>
      </c>
      <c r="L6362" s="213" t="s">
        <v>55335</v>
      </c>
      <c r="M6362" s="213" t="s">
        <v>55365</v>
      </c>
      <c r="N6362" s="213" t="s">
        <v>52813</v>
      </c>
      <c r="O6362" s="213" t="s">
        <v>52814</v>
      </c>
      <c r="P6362" s="213" t="s">
        <v>52815</v>
      </c>
      <c r="Q6362" s="213" t="s">
        <v>52816</v>
      </c>
      <c r="R6362" s="213" t="s">
        <v>52817</v>
      </c>
      <c r="S6362" s="213" t="s">
        <v>52818</v>
      </c>
      <c r="T6362" s="213" t="s">
        <v>52819</v>
      </c>
      <c r="U6362" s="213" t="s">
        <v>55395</v>
      </c>
    </row>
    <row r="6363" spans="1:21" x14ac:dyDescent="0.25">
      <c r="A6363" s="213" t="s">
        <v>327</v>
      </c>
      <c r="D6363" s="213" t="s">
        <v>52820</v>
      </c>
      <c r="E6363" s="213" t="s">
        <v>52821</v>
      </c>
      <c r="K6363" s="213" t="s">
        <v>55306</v>
      </c>
      <c r="L6363" s="213" t="s">
        <v>55336</v>
      </c>
      <c r="M6363" s="213" t="s">
        <v>55366</v>
      </c>
      <c r="N6363" s="213" t="s">
        <v>52822</v>
      </c>
      <c r="O6363" s="213" t="s">
        <v>52823</v>
      </c>
      <c r="P6363" s="213" t="s">
        <v>52824</v>
      </c>
      <c r="Q6363" s="213" t="s">
        <v>52825</v>
      </c>
      <c r="R6363" s="213" t="s">
        <v>52826</v>
      </c>
      <c r="S6363" s="213" t="s">
        <v>52827</v>
      </c>
      <c r="T6363" s="213" t="s">
        <v>52828</v>
      </c>
      <c r="U6363" s="213" t="s">
        <v>55396</v>
      </c>
    </row>
    <row r="6364" spans="1:21" x14ac:dyDescent="0.25">
      <c r="A6364" s="213" t="s">
        <v>327</v>
      </c>
      <c r="D6364" s="213" t="s">
        <v>52829</v>
      </c>
      <c r="E6364" s="213" t="s">
        <v>52830</v>
      </c>
      <c r="K6364" s="213" t="s">
        <v>55307</v>
      </c>
      <c r="L6364" s="213" t="s">
        <v>55337</v>
      </c>
      <c r="M6364" s="213" t="s">
        <v>55367</v>
      </c>
      <c r="N6364" s="213" t="s">
        <v>52831</v>
      </c>
      <c r="O6364" s="213" t="s">
        <v>52832</v>
      </c>
      <c r="P6364" s="213" t="s">
        <v>52833</v>
      </c>
      <c r="Q6364" s="213" t="s">
        <v>52834</v>
      </c>
      <c r="R6364" s="213" t="s">
        <v>52835</v>
      </c>
      <c r="S6364" s="213" t="s">
        <v>52836</v>
      </c>
      <c r="T6364" s="213" t="s">
        <v>52837</v>
      </c>
      <c r="U6364" s="213" t="s">
        <v>55397</v>
      </c>
    </row>
    <row r="6365" spans="1:21" x14ac:dyDescent="0.25">
      <c r="A6365" s="213" t="s">
        <v>327</v>
      </c>
    </row>
    <row r="6366" spans="1:21" x14ac:dyDescent="0.25">
      <c r="A6366" s="213" t="s">
        <v>327</v>
      </c>
    </row>
    <row r="6367" spans="1:21" x14ac:dyDescent="0.25">
      <c r="A6367" s="213" t="s">
        <v>327</v>
      </c>
      <c r="C6367" s="213" t="s">
        <v>52838</v>
      </c>
      <c r="E6367" s="213" t="s">
        <v>52839</v>
      </c>
      <c r="H6367" s="213" t="s">
        <v>52840</v>
      </c>
      <c r="I6367" s="213" t="s">
        <v>52841</v>
      </c>
      <c r="J6367" s="213" t="s">
        <v>52842</v>
      </c>
      <c r="L6367" s="213" t="s">
        <v>52843</v>
      </c>
      <c r="O6367" s="213" t="s">
        <v>52844</v>
      </c>
      <c r="P6367" s="213" t="s">
        <v>52845</v>
      </c>
      <c r="Q6367" s="213" t="s">
        <v>52846</v>
      </c>
      <c r="R6367" s="213" t="s">
        <v>52847</v>
      </c>
      <c r="S6367" s="213" t="s">
        <v>52848</v>
      </c>
      <c r="T6367" s="213" t="s">
        <v>52849</v>
      </c>
    </row>
    <row r="6368" spans="1:21" x14ac:dyDescent="0.25">
      <c r="A6368" s="213" t="s">
        <v>327</v>
      </c>
      <c r="C6368" s="213" t="s">
        <v>52850</v>
      </c>
      <c r="E6368" s="213" t="s">
        <v>52851</v>
      </c>
      <c r="I6368" s="213" t="s">
        <v>52852</v>
      </c>
    </row>
    <row r="6369" spans="1:21" x14ac:dyDescent="0.25">
      <c r="A6369" s="213" t="s">
        <v>327</v>
      </c>
      <c r="C6369" s="213" t="s">
        <v>52853</v>
      </c>
      <c r="E6369" s="213" t="s">
        <v>52854</v>
      </c>
      <c r="I6369" s="213" t="s">
        <v>52855</v>
      </c>
    </row>
    <row r="6370" spans="1:21" x14ac:dyDescent="0.25">
      <c r="A6370" s="213" t="s">
        <v>328</v>
      </c>
    </row>
    <row r="6371" spans="1:21" x14ac:dyDescent="0.25">
      <c r="A6371" s="213" t="s">
        <v>327</v>
      </c>
      <c r="D6371" s="213" t="s">
        <v>52856</v>
      </c>
      <c r="E6371" s="213" t="s">
        <v>52857</v>
      </c>
      <c r="K6371" s="213" t="s">
        <v>55158</v>
      </c>
      <c r="L6371" s="213" t="s">
        <v>55188</v>
      </c>
      <c r="M6371" s="213" t="s">
        <v>55218</v>
      </c>
      <c r="N6371" s="213" t="s">
        <v>52858</v>
      </c>
      <c r="O6371" s="213" t="s">
        <v>52859</v>
      </c>
      <c r="P6371" s="213" t="s">
        <v>52860</v>
      </c>
      <c r="Q6371" s="213" t="s">
        <v>52861</v>
      </c>
      <c r="R6371" s="213" t="s">
        <v>52862</v>
      </c>
      <c r="S6371" s="213" t="s">
        <v>52863</v>
      </c>
      <c r="T6371" s="213" t="s">
        <v>52864</v>
      </c>
      <c r="U6371" s="213" t="s">
        <v>55248</v>
      </c>
    </row>
    <row r="6372" spans="1:21" x14ac:dyDescent="0.25">
      <c r="A6372" s="213" t="s">
        <v>327</v>
      </c>
      <c r="D6372" s="213" t="s">
        <v>52865</v>
      </c>
      <c r="E6372" s="213" t="s">
        <v>52866</v>
      </c>
      <c r="K6372" s="213" t="s">
        <v>55159</v>
      </c>
      <c r="L6372" s="213" t="s">
        <v>55189</v>
      </c>
      <c r="M6372" s="213" t="s">
        <v>55219</v>
      </c>
      <c r="N6372" s="213" t="s">
        <v>52867</v>
      </c>
      <c r="O6372" s="213" t="s">
        <v>52868</v>
      </c>
      <c r="P6372" s="213" t="s">
        <v>52869</v>
      </c>
      <c r="Q6372" s="213" t="s">
        <v>52870</v>
      </c>
      <c r="R6372" s="213" t="s">
        <v>52871</v>
      </c>
      <c r="S6372" s="213" t="s">
        <v>52872</v>
      </c>
      <c r="T6372" s="213" t="s">
        <v>52873</v>
      </c>
      <c r="U6372" s="213" t="s">
        <v>55249</v>
      </c>
    </row>
    <row r="6373" spans="1:21" x14ac:dyDescent="0.25">
      <c r="A6373" s="213" t="s">
        <v>327</v>
      </c>
      <c r="D6373" s="213" t="s">
        <v>52874</v>
      </c>
      <c r="E6373" s="213" t="s">
        <v>52875</v>
      </c>
      <c r="K6373" s="213" t="s">
        <v>55160</v>
      </c>
      <c r="L6373" s="213" t="s">
        <v>55190</v>
      </c>
      <c r="M6373" s="213" t="s">
        <v>55220</v>
      </c>
      <c r="N6373" s="213" t="s">
        <v>52876</v>
      </c>
      <c r="O6373" s="213" t="s">
        <v>52877</v>
      </c>
      <c r="P6373" s="213" t="s">
        <v>52878</v>
      </c>
      <c r="Q6373" s="213" t="s">
        <v>52879</v>
      </c>
      <c r="R6373" s="213" t="s">
        <v>52880</v>
      </c>
      <c r="S6373" s="213" t="s">
        <v>52881</v>
      </c>
      <c r="T6373" s="213" t="s">
        <v>52882</v>
      </c>
      <c r="U6373" s="213" t="s">
        <v>55250</v>
      </c>
    </row>
    <row r="6374" spans="1:21" x14ac:dyDescent="0.25">
      <c r="A6374" s="213" t="s">
        <v>327</v>
      </c>
      <c r="D6374" s="213" t="s">
        <v>52883</v>
      </c>
      <c r="E6374" s="213" t="s">
        <v>52884</v>
      </c>
      <c r="K6374" s="213" t="s">
        <v>55161</v>
      </c>
      <c r="L6374" s="213" t="s">
        <v>55191</v>
      </c>
      <c r="M6374" s="213" t="s">
        <v>55221</v>
      </c>
      <c r="N6374" s="213" t="s">
        <v>52885</v>
      </c>
      <c r="O6374" s="213" t="s">
        <v>52886</v>
      </c>
      <c r="P6374" s="213" t="s">
        <v>52887</v>
      </c>
      <c r="Q6374" s="213" t="s">
        <v>52888</v>
      </c>
      <c r="R6374" s="213" t="s">
        <v>52889</v>
      </c>
      <c r="S6374" s="213" t="s">
        <v>52890</v>
      </c>
      <c r="T6374" s="213" t="s">
        <v>52891</v>
      </c>
      <c r="U6374" s="213" t="s">
        <v>55251</v>
      </c>
    </row>
    <row r="6375" spans="1:21" x14ac:dyDescent="0.25">
      <c r="A6375" s="213" t="s">
        <v>327</v>
      </c>
      <c r="D6375" s="213" t="s">
        <v>52892</v>
      </c>
      <c r="E6375" s="213" t="s">
        <v>52893</v>
      </c>
      <c r="K6375" s="213" t="s">
        <v>55162</v>
      </c>
      <c r="L6375" s="213" t="s">
        <v>55192</v>
      </c>
      <c r="M6375" s="213" t="s">
        <v>55222</v>
      </c>
      <c r="N6375" s="213" t="s">
        <v>52894</v>
      </c>
      <c r="O6375" s="213" t="s">
        <v>52895</v>
      </c>
      <c r="P6375" s="213" t="s">
        <v>52896</v>
      </c>
      <c r="Q6375" s="213" t="s">
        <v>52897</v>
      </c>
      <c r="R6375" s="213" t="s">
        <v>52898</v>
      </c>
      <c r="S6375" s="213" t="s">
        <v>52899</v>
      </c>
      <c r="T6375" s="213" t="s">
        <v>52900</v>
      </c>
      <c r="U6375" s="213" t="s">
        <v>55252</v>
      </c>
    </row>
    <row r="6376" spans="1:21" x14ac:dyDescent="0.25">
      <c r="A6376" s="213" t="s">
        <v>327</v>
      </c>
      <c r="D6376" s="213" t="s">
        <v>52901</v>
      </c>
      <c r="E6376" s="213" t="s">
        <v>52902</v>
      </c>
      <c r="K6376" s="213" t="s">
        <v>55163</v>
      </c>
      <c r="L6376" s="213" t="s">
        <v>55193</v>
      </c>
      <c r="M6376" s="213" t="s">
        <v>55223</v>
      </c>
      <c r="N6376" s="213" t="s">
        <v>52903</v>
      </c>
      <c r="O6376" s="213" t="s">
        <v>52904</v>
      </c>
      <c r="P6376" s="213" t="s">
        <v>52905</v>
      </c>
      <c r="Q6376" s="213" t="s">
        <v>52906</v>
      </c>
      <c r="R6376" s="213" t="s">
        <v>52907</v>
      </c>
      <c r="S6376" s="213" t="s">
        <v>52908</v>
      </c>
      <c r="T6376" s="213" t="s">
        <v>52909</v>
      </c>
      <c r="U6376" s="213" t="s">
        <v>55253</v>
      </c>
    </row>
    <row r="6377" spans="1:21" x14ac:dyDescent="0.25">
      <c r="A6377" s="213" t="s">
        <v>327</v>
      </c>
      <c r="D6377" s="213" t="s">
        <v>52910</v>
      </c>
      <c r="E6377" s="213" t="s">
        <v>52911</v>
      </c>
      <c r="K6377" s="213" t="s">
        <v>55164</v>
      </c>
      <c r="L6377" s="213" t="s">
        <v>55194</v>
      </c>
      <c r="M6377" s="213" t="s">
        <v>55224</v>
      </c>
      <c r="N6377" s="213" t="s">
        <v>52912</v>
      </c>
      <c r="O6377" s="213" t="s">
        <v>52913</v>
      </c>
      <c r="P6377" s="213" t="s">
        <v>52914</v>
      </c>
      <c r="Q6377" s="213" t="s">
        <v>52915</v>
      </c>
      <c r="R6377" s="213" t="s">
        <v>52916</v>
      </c>
      <c r="S6377" s="213" t="s">
        <v>52917</v>
      </c>
      <c r="T6377" s="213" t="s">
        <v>52918</v>
      </c>
      <c r="U6377" s="213" t="s">
        <v>55254</v>
      </c>
    </row>
    <row r="6378" spans="1:21" x14ac:dyDescent="0.25">
      <c r="A6378" s="213" t="s">
        <v>327</v>
      </c>
      <c r="D6378" s="213" t="s">
        <v>52919</v>
      </c>
      <c r="E6378" s="213" t="s">
        <v>52920</v>
      </c>
      <c r="K6378" s="213" t="s">
        <v>55165</v>
      </c>
      <c r="L6378" s="213" t="s">
        <v>55195</v>
      </c>
      <c r="M6378" s="213" t="s">
        <v>55225</v>
      </c>
      <c r="N6378" s="213" t="s">
        <v>52921</v>
      </c>
      <c r="O6378" s="213" t="s">
        <v>52922</v>
      </c>
      <c r="P6378" s="213" t="s">
        <v>52923</v>
      </c>
      <c r="Q6378" s="213" t="s">
        <v>52924</v>
      </c>
      <c r="R6378" s="213" t="s">
        <v>52925</v>
      </c>
      <c r="S6378" s="213" t="s">
        <v>52926</v>
      </c>
      <c r="T6378" s="213" t="s">
        <v>52927</v>
      </c>
      <c r="U6378" s="213" t="s">
        <v>55255</v>
      </c>
    </row>
    <row r="6379" spans="1:21" x14ac:dyDescent="0.25">
      <c r="A6379" s="213" t="s">
        <v>327</v>
      </c>
      <c r="D6379" s="213" t="s">
        <v>52928</v>
      </c>
      <c r="E6379" s="213" t="s">
        <v>52929</v>
      </c>
      <c r="K6379" s="213" t="s">
        <v>55166</v>
      </c>
      <c r="L6379" s="213" t="s">
        <v>55196</v>
      </c>
      <c r="M6379" s="213" t="s">
        <v>55226</v>
      </c>
      <c r="N6379" s="213" t="s">
        <v>52930</v>
      </c>
      <c r="O6379" s="213" t="s">
        <v>52931</v>
      </c>
      <c r="P6379" s="213" t="s">
        <v>52932</v>
      </c>
      <c r="Q6379" s="213" t="s">
        <v>52933</v>
      </c>
      <c r="R6379" s="213" t="s">
        <v>52934</v>
      </c>
      <c r="S6379" s="213" t="s">
        <v>52935</v>
      </c>
      <c r="T6379" s="213" t="s">
        <v>52936</v>
      </c>
      <c r="U6379" s="213" t="s">
        <v>55256</v>
      </c>
    </row>
    <row r="6380" spans="1:21" x14ac:dyDescent="0.25">
      <c r="A6380" s="213" t="s">
        <v>327</v>
      </c>
      <c r="D6380" s="213" t="s">
        <v>52937</v>
      </c>
      <c r="E6380" s="213" t="s">
        <v>52938</v>
      </c>
      <c r="K6380" s="213" t="s">
        <v>55167</v>
      </c>
      <c r="L6380" s="213" t="s">
        <v>55197</v>
      </c>
      <c r="M6380" s="213" t="s">
        <v>55227</v>
      </c>
      <c r="N6380" s="213" t="s">
        <v>52939</v>
      </c>
      <c r="O6380" s="213" t="s">
        <v>52940</v>
      </c>
      <c r="P6380" s="213" t="s">
        <v>52941</v>
      </c>
      <c r="Q6380" s="213" t="s">
        <v>52942</v>
      </c>
      <c r="R6380" s="213" t="s">
        <v>52943</v>
      </c>
      <c r="S6380" s="213" t="s">
        <v>52944</v>
      </c>
      <c r="T6380" s="213" t="s">
        <v>52945</v>
      </c>
      <c r="U6380" s="213" t="s">
        <v>55257</v>
      </c>
    </row>
    <row r="6381" spans="1:21" x14ac:dyDescent="0.25">
      <c r="A6381" s="213" t="s">
        <v>327</v>
      </c>
      <c r="D6381" s="213" t="s">
        <v>52946</v>
      </c>
      <c r="E6381" s="213" t="s">
        <v>52947</v>
      </c>
      <c r="K6381" s="213" t="s">
        <v>55168</v>
      </c>
      <c r="L6381" s="213" t="s">
        <v>55198</v>
      </c>
      <c r="M6381" s="213" t="s">
        <v>55228</v>
      </c>
      <c r="N6381" s="213" t="s">
        <v>52948</v>
      </c>
      <c r="O6381" s="213" t="s">
        <v>52949</v>
      </c>
      <c r="P6381" s="213" t="s">
        <v>52950</v>
      </c>
      <c r="Q6381" s="213" t="s">
        <v>52951</v>
      </c>
      <c r="R6381" s="213" t="s">
        <v>52952</v>
      </c>
      <c r="S6381" s="213" t="s">
        <v>52953</v>
      </c>
      <c r="T6381" s="213" t="s">
        <v>52954</v>
      </c>
      <c r="U6381" s="213" t="s">
        <v>55258</v>
      </c>
    </row>
    <row r="6382" spans="1:21" x14ac:dyDescent="0.25">
      <c r="A6382" s="213" t="s">
        <v>327</v>
      </c>
      <c r="D6382" s="213" t="s">
        <v>52955</v>
      </c>
      <c r="E6382" s="213" t="s">
        <v>52956</v>
      </c>
      <c r="K6382" s="213" t="s">
        <v>55169</v>
      </c>
      <c r="L6382" s="213" t="s">
        <v>55199</v>
      </c>
      <c r="M6382" s="213" t="s">
        <v>55229</v>
      </c>
      <c r="N6382" s="213" t="s">
        <v>52957</v>
      </c>
      <c r="O6382" s="213" t="s">
        <v>52958</v>
      </c>
      <c r="P6382" s="213" t="s">
        <v>52959</v>
      </c>
      <c r="Q6382" s="213" t="s">
        <v>52960</v>
      </c>
      <c r="R6382" s="213" t="s">
        <v>52961</v>
      </c>
      <c r="S6382" s="213" t="s">
        <v>52962</v>
      </c>
      <c r="T6382" s="213" t="s">
        <v>52963</v>
      </c>
      <c r="U6382" s="213" t="s">
        <v>55259</v>
      </c>
    </row>
    <row r="6383" spans="1:21" x14ac:dyDescent="0.25">
      <c r="A6383" s="213" t="s">
        <v>327</v>
      </c>
      <c r="D6383" s="213" t="s">
        <v>52964</v>
      </c>
      <c r="E6383" s="213" t="s">
        <v>52965</v>
      </c>
      <c r="K6383" s="213" t="s">
        <v>55170</v>
      </c>
      <c r="L6383" s="213" t="s">
        <v>55200</v>
      </c>
      <c r="M6383" s="213" t="s">
        <v>55230</v>
      </c>
      <c r="N6383" s="213" t="s">
        <v>52966</v>
      </c>
      <c r="O6383" s="213" t="s">
        <v>52967</v>
      </c>
      <c r="P6383" s="213" t="s">
        <v>52968</v>
      </c>
      <c r="Q6383" s="213" t="s">
        <v>52969</v>
      </c>
      <c r="R6383" s="213" t="s">
        <v>52970</v>
      </c>
      <c r="S6383" s="213" t="s">
        <v>52971</v>
      </c>
      <c r="T6383" s="213" t="s">
        <v>52972</v>
      </c>
      <c r="U6383" s="213" t="s">
        <v>55260</v>
      </c>
    </row>
    <row r="6384" spans="1:21" x14ac:dyDescent="0.25">
      <c r="A6384" s="213" t="s">
        <v>327</v>
      </c>
      <c r="D6384" s="213" t="s">
        <v>52973</v>
      </c>
      <c r="E6384" s="213" t="s">
        <v>52974</v>
      </c>
      <c r="K6384" s="213" t="s">
        <v>55171</v>
      </c>
      <c r="L6384" s="213" t="s">
        <v>55201</v>
      </c>
      <c r="M6384" s="213" t="s">
        <v>55231</v>
      </c>
      <c r="N6384" s="213" t="s">
        <v>52975</v>
      </c>
      <c r="O6384" s="213" t="s">
        <v>52976</v>
      </c>
      <c r="P6384" s="213" t="s">
        <v>52977</v>
      </c>
      <c r="Q6384" s="213" t="s">
        <v>52978</v>
      </c>
      <c r="R6384" s="213" t="s">
        <v>52979</v>
      </c>
      <c r="S6384" s="213" t="s">
        <v>52980</v>
      </c>
      <c r="T6384" s="213" t="s">
        <v>52981</v>
      </c>
      <c r="U6384" s="213" t="s">
        <v>55261</v>
      </c>
    </row>
    <row r="6385" spans="1:21" x14ac:dyDescent="0.25">
      <c r="A6385" s="213" t="s">
        <v>327</v>
      </c>
      <c r="D6385" s="213" t="s">
        <v>52982</v>
      </c>
      <c r="E6385" s="213" t="s">
        <v>52983</v>
      </c>
      <c r="K6385" s="213" t="s">
        <v>55172</v>
      </c>
      <c r="L6385" s="213" t="s">
        <v>55202</v>
      </c>
      <c r="M6385" s="213" t="s">
        <v>55232</v>
      </c>
      <c r="N6385" s="213" t="s">
        <v>52984</v>
      </c>
      <c r="O6385" s="213" t="s">
        <v>52985</v>
      </c>
      <c r="P6385" s="213" t="s">
        <v>52986</v>
      </c>
      <c r="Q6385" s="213" t="s">
        <v>52987</v>
      </c>
      <c r="R6385" s="213" t="s">
        <v>52988</v>
      </c>
      <c r="S6385" s="213" t="s">
        <v>52989</v>
      </c>
      <c r="T6385" s="213" t="s">
        <v>52990</v>
      </c>
      <c r="U6385" s="213" t="s">
        <v>55262</v>
      </c>
    </row>
    <row r="6386" spans="1:21" x14ac:dyDescent="0.25">
      <c r="A6386" s="213" t="s">
        <v>327</v>
      </c>
      <c r="D6386" s="213" t="s">
        <v>52991</v>
      </c>
      <c r="E6386" s="213" t="s">
        <v>52992</v>
      </c>
      <c r="K6386" s="213" t="s">
        <v>55173</v>
      </c>
      <c r="L6386" s="213" t="s">
        <v>55203</v>
      </c>
      <c r="M6386" s="213" t="s">
        <v>55233</v>
      </c>
      <c r="N6386" s="213" t="s">
        <v>52993</v>
      </c>
      <c r="O6386" s="213" t="s">
        <v>52994</v>
      </c>
      <c r="P6386" s="213" t="s">
        <v>52995</v>
      </c>
      <c r="Q6386" s="213" t="s">
        <v>52996</v>
      </c>
      <c r="R6386" s="213" t="s">
        <v>52997</v>
      </c>
      <c r="S6386" s="213" t="s">
        <v>52998</v>
      </c>
      <c r="T6386" s="213" t="s">
        <v>52999</v>
      </c>
      <c r="U6386" s="213" t="s">
        <v>55263</v>
      </c>
    </row>
    <row r="6387" spans="1:21" x14ac:dyDescent="0.25">
      <c r="A6387" s="213" t="s">
        <v>327</v>
      </c>
      <c r="D6387" s="213" t="s">
        <v>53000</v>
      </c>
      <c r="E6387" s="213" t="s">
        <v>53001</v>
      </c>
      <c r="K6387" s="213" t="s">
        <v>55174</v>
      </c>
      <c r="L6387" s="213" t="s">
        <v>55204</v>
      </c>
      <c r="M6387" s="213" t="s">
        <v>55234</v>
      </c>
      <c r="N6387" s="213" t="s">
        <v>53002</v>
      </c>
      <c r="O6387" s="213" t="s">
        <v>53003</v>
      </c>
      <c r="P6387" s="213" t="s">
        <v>53004</v>
      </c>
      <c r="Q6387" s="213" t="s">
        <v>53005</v>
      </c>
      <c r="R6387" s="213" t="s">
        <v>53006</v>
      </c>
      <c r="S6387" s="213" t="s">
        <v>53007</v>
      </c>
      <c r="T6387" s="213" t="s">
        <v>53008</v>
      </c>
      <c r="U6387" s="213" t="s">
        <v>55264</v>
      </c>
    </row>
    <row r="6388" spans="1:21" x14ac:dyDescent="0.25">
      <c r="A6388" s="213" t="s">
        <v>327</v>
      </c>
      <c r="D6388" s="213" t="s">
        <v>53009</v>
      </c>
      <c r="E6388" s="213" t="s">
        <v>53010</v>
      </c>
      <c r="K6388" s="213" t="s">
        <v>55175</v>
      </c>
      <c r="L6388" s="213" t="s">
        <v>55205</v>
      </c>
      <c r="M6388" s="213" t="s">
        <v>55235</v>
      </c>
      <c r="N6388" s="213" t="s">
        <v>53011</v>
      </c>
      <c r="O6388" s="213" t="s">
        <v>53012</v>
      </c>
      <c r="P6388" s="213" t="s">
        <v>53013</v>
      </c>
      <c r="Q6388" s="213" t="s">
        <v>53014</v>
      </c>
      <c r="R6388" s="213" t="s">
        <v>53015</v>
      </c>
      <c r="S6388" s="213" t="s">
        <v>53016</v>
      </c>
      <c r="T6388" s="213" t="s">
        <v>53017</v>
      </c>
      <c r="U6388" s="213" t="s">
        <v>55265</v>
      </c>
    </row>
    <row r="6389" spans="1:21" x14ac:dyDescent="0.25">
      <c r="A6389" s="213" t="s">
        <v>327</v>
      </c>
      <c r="D6389" s="213" t="s">
        <v>53018</v>
      </c>
      <c r="E6389" s="213" t="s">
        <v>53019</v>
      </c>
      <c r="K6389" s="213" t="s">
        <v>55176</v>
      </c>
      <c r="L6389" s="213" t="s">
        <v>55206</v>
      </c>
      <c r="M6389" s="213" t="s">
        <v>55236</v>
      </c>
      <c r="N6389" s="213" t="s">
        <v>53020</v>
      </c>
      <c r="O6389" s="213" t="s">
        <v>53021</v>
      </c>
      <c r="P6389" s="213" t="s">
        <v>53022</v>
      </c>
      <c r="Q6389" s="213" t="s">
        <v>53023</v>
      </c>
      <c r="R6389" s="213" t="s">
        <v>53024</v>
      </c>
      <c r="S6389" s="213" t="s">
        <v>53025</v>
      </c>
      <c r="T6389" s="213" t="s">
        <v>53026</v>
      </c>
      <c r="U6389" s="213" t="s">
        <v>55266</v>
      </c>
    </row>
    <row r="6390" spans="1:21" x14ac:dyDescent="0.25">
      <c r="A6390" s="213" t="s">
        <v>327</v>
      </c>
      <c r="D6390" s="213" t="s">
        <v>53027</v>
      </c>
      <c r="E6390" s="213" t="s">
        <v>53028</v>
      </c>
      <c r="K6390" s="213" t="s">
        <v>55177</v>
      </c>
      <c r="L6390" s="213" t="s">
        <v>55207</v>
      </c>
      <c r="M6390" s="213" t="s">
        <v>55237</v>
      </c>
      <c r="N6390" s="213" t="s">
        <v>53029</v>
      </c>
      <c r="O6390" s="213" t="s">
        <v>53030</v>
      </c>
      <c r="P6390" s="213" t="s">
        <v>53031</v>
      </c>
      <c r="Q6390" s="213" t="s">
        <v>53032</v>
      </c>
      <c r="R6390" s="213" t="s">
        <v>53033</v>
      </c>
      <c r="S6390" s="213" t="s">
        <v>53034</v>
      </c>
      <c r="T6390" s="213" t="s">
        <v>53035</v>
      </c>
      <c r="U6390" s="213" t="s">
        <v>55267</v>
      </c>
    </row>
    <row r="6391" spans="1:21" x14ac:dyDescent="0.25">
      <c r="A6391" s="213" t="s">
        <v>327</v>
      </c>
      <c r="D6391" s="213" t="s">
        <v>53036</v>
      </c>
      <c r="E6391" s="213" t="s">
        <v>53037</v>
      </c>
      <c r="K6391" s="213" t="s">
        <v>55178</v>
      </c>
      <c r="L6391" s="213" t="s">
        <v>55208</v>
      </c>
      <c r="M6391" s="213" t="s">
        <v>55238</v>
      </c>
      <c r="N6391" s="213" t="s">
        <v>53038</v>
      </c>
      <c r="O6391" s="213" t="s">
        <v>53039</v>
      </c>
      <c r="P6391" s="213" t="s">
        <v>53040</v>
      </c>
      <c r="Q6391" s="213" t="s">
        <v>53041</v>
      </c>
      <c r="R6391" s="213" t="s">
        <v>53042</v>
      </c>
      <c r="S6391" s="213" t="s">
        <v>53043</v>
      </c>
      <c r="T6391" s="213" t="s">
        <v>53044</v>
      </c>
      <c r="U6391" s="213" t="s">
        <v>55268</v>
      </c>
    </row>
    <row r="6392" spans="1:21" x14ac:dyDescent="0.25">
      <c r="A6392" s="213" t="s">
        <v>327</v>
      </c>
      <c r="D6392" s="213" t="s">
        <v>53045</v>
      </c>
      <c r="E6392" s="213" t="s">
        <v>53046</v>
      </c>
      <c r="K6392" s="213" t="s">
        <v>55179</v>
      </c>
      <c r="L6392" s="213" t="s">
        <v>55209</v>
      </c>
      <c r="M6392" s="213" t="s">
        <v>55239</v>
      </c>
      <c r="N6392" s="213" t="s">
        <v>53047</v>
      </c>
      <c r="O6392" s="213" t="s">
        <v>53048</v>
      </c>
      <c r="P6392" s="213" t="s">
        <v>53049</v>
      </c>
      <c r="Q6392" s="213" t="s">
        <v>53050</v>
      </c>
      <c r="R6392" s="213" t="s">
        <v>53051</v>
      </c>
      <c r="S6392" s="213" t="s">
        <v>53052</v>
      </c>
      <c r="T6392" s="213" t="s">
        <v>53053</v>
      </c>
      <c r="U6392" s="213" t="s">
        <v>55269</v>
      </c>
    </row>
    <row r="6393" spans="1:21" x14ac:dyDescent="0.25">
      <c r="A6393" s="213" t="s">
        <v>327</v>
      </c>
      <c r="D6393" s="213" t="s">
        <v>53054</v>
      </c>
      <c r="E6393" s="213" t="s">
        <v>53055</v>
      </c>
      <c r="K6393" s="213" t="s">
        <v>55180</v>
      </c>
      <c r="L6393" s="213" t="s">
        <v>55210</v>
      </c>
      <c r="M6393" s="213" t="s">
        <v>55240</v>
      </c>
      <c r="N6393" s="213" t="s">
        <v>53056</v>
      </c>
      <c r="O6393" s="213" t="s">
        <v>53057</v>
      </c>
      <c r="P6393" s="213" t="s">
        <v>53058</v>
      </c>
      <c r="Q6393" s="213" t="s">
        <v>53059</v>
      </c>
      <c r="R6393" s="213" t="s">
        <v>53060</v>
      </c>
      <c r="S6393" s="213" t="s">
        <v>53061</v>
      </c>
      <c r="T6393" s="213" t="s">
        <v>53062</v>
      </c>
      <c r="U6393" s="213" t="s">
        <v>55270</v>
      </c>
    </row>
    <row r="6394" spans="1:21" x14ac:dyDescent="0.25">
      <c r="A6394" s="213" t="s">
        <v>327</v>
      </c>
      <c r="D6394" s="213" t="s">
        <v>53063</v>
      </c>
      <c r="E6394" s="213" t="s">
        <v>53064</v>
      </c>
      <c r="K6394" s="213" t="s">
        <v>55181</v>
      </c>
      <c r="L6394" s="213" t="s">
        <v>55211</v>
      </c>
      <c r="M6394" s="213" t="s">
        <v>55241</v>
      </c>
      <c r="N6394" s="213" t="s">
        <v>53065</v>
      </c>
      <c r="O6394" s="213" t="s">
        <v>53066</v>
      </c>
      <c r="P6394" s="213" t="s">
        <v>53067</v>
      </c>
      <c r="Q6394" s="213" t="s">
        <v>53068</v>
      </c>
      <c r="R6394" s="213" t="s">
        <v>53069</v>
      </c>
      <c r="S6394" s="213" t="s">
        <v>53070</v>
      </c>
      <c r="T6394" s="213" t="s">
        <v>53071</v>
      </c>
      <c r="U6394" s="213" t="s">
        <v>55271</v>
      </c>
    </row>
    <row r="6395" spans="1:21" x14ac:dyDescent="0.25">
      <c r="A6395" s="213" t="s">
        <v>327</v>
      </c>
      <c r="D6395" s="213" t="s">
        <v>53072</v>
      </c>
      <c r="E6395" s="213" t="s">
        <v>53073</v>
      </c>
      <c r="K6395" s="213" t="s">
        <v>55182</v>
      </c>
      <c r="L6395" s="213" t="s">
        <v>55212</v>
      </c>
      <c r="M6395" s="213" t="s">
        <v>55242</v>
      </c>
      <c r="N6395" s="213" t="s">
        <v>53074</v>
      </c>
      <c r="O6395" s="213" t="s">
        <v>53075</v>
      </c>
      <c r="P6395" s="213" t="s">
        <v>53076</v>
      </c>
      <c r="Q6395" s="213" t="s">
        <v>53077</v>
      </c>
      <c r="R6395" s="213" t="s">
        <v>53078</v>
      </c>
      <c r="S6395" s="213" t="s">
        <v>53079</v>
      </c>
      <c r="T6395" s="213" t="s">
        <v>53080</v>
      </c>
      <c r="U6395" s="213" t="s">
        <v>55272</v>
      </c>
    </row>
    <row r="6396" spans="1:21" x14ac:dyDescent="0.25">
      <c r="A6396" s="213" t="s">
        <v>327</v>
      </c>
      <c r="D6396" s="213" t="s">
        <v>53081</v>
      </c>
      <c r="E6396" s="213" t="s">
        <v>53082</v>
      </c>
      <c r="K6396" s="213" t="s">
        <v>55183</v>
      </c>
      <c r="L6396" s="213" t="s">
        <v>55213</v>
      </c>
      <c r="M6396" s="213" t="s">
        <v>55243</v>
      </c>
      <c r="N6396" s="213" t="s">
        <v>53083</v>
      </c>
      <c r="O6396" s="213" t="s">
        <v>53084</v>
      </c>
      <c r="P6396" s="213" t="s">
        <v>53085</v>
      </c>
      <c r="Q6396" s="213" t="s">
        <v>53086</v>
      </c>
      <c r="R6396" s="213" t="s">
        <v>53087</v>
      </c>
      <c r="S6396" s="213" t="s">
        <v>53088</v>
      </c>
      <c r="T6396" s="213" t="s">
        <v>53089</v>
      </c>
      <c r="U6396" s="213" t="s">
        <v>55273</v>
      </c>
    </row>
    <row r="6397" spans="1:21" x14ac:dyDescent="0.25">
      <c r="A6397" s="213" t="s">
        <v>327</v>
      </c>
      <c r="D6397" s="213" t="s">
        <v>53090</v>
      </c>
      <c r="E6397" s="213" t="s">
        <v>53091</v>
      </c>
      <c r="K6397" s="213" t="s">
        <v>55184</v>
      </c>
      <c r="L6397" s="213" t="s">
        <v>55214</v>
      </c>
      <c r="M6397" s="213" t="s">
        <v>55244</v>
      </c>
      <c r="N6397" s="213" t="s">
        <v>53092</v>
      </c>
      <c r="O6397" s="213" t="s">
        <v>53093</v>
      </c>
      <c r="P6397" s="213" t="s">
        <v>53094</v>
      </c>
      <c r="Q6397" s="213" t="s">
        <v>53095</v>
      </c>
      <c r="R6397" s="213" t="s">
        <v>53096</v>
      </c>
      <c r="S6397" s="213" t="s">
        <v>53097</v>
      </c>
      <c r="T6397" s="213" t="s">
        <v>53098</v>
      </c>
      <c r="U6397" s="213" t="s">
        <v>55274</v>
      </c>
    </row>
    <row r="6398" spans="1:21" x14ac:dyDescent="0.25">
      <c r="A6398" s="213" t="s">
        <v>327</v>
      </c>
      <c r="D6398" s="213" t="s">
        <v>53099</v>
      </c>
      <c r="E6398" s="213" t="s">
        <v>53100</v>
      </c>
      <c r="K6398" s="213" t="s">
        <v>55185</v>
      </c>
      <c r="L6398" s="213" t="s">
        <v>55215</v>
      </c>
      <c r="M6398" s="213" t="s">
        <v>55245</v>
      </c>
      <c r="N6398" s="213" t="s">
        <v>53101</v>
      </c>
      <c r="O6398" s="213" t="s">
        <v>53102</v>
      </c>
      <c r="P6398" s="213" t="s">
        <v>53103</v>
      </c>
      <c r="Q6398" s="213" t="s">
        <v>53104</v>
      </c>
      <c r="R6398" s="213" t="s">
        <v>53105</v>
      </c>
      <c r="S6398" s="213" t="s">
        <v>53106</v>
      </c>
      <c r="T6398" s="213" t="s">
        <v>53107</v>
      </c>
      <c r="U6398" s="213" t="s">
        <v>55275</v>
      </c>
    </row>
    <row r="6399" spans="1:21" x14ac:dyDescent="0.25">
      <c r="A6399" s="213" t="s">
        <v>327</v>
      </c>
      <c r="D6399" s="213" t="s">
        <v>53108</v>
      </c>
      <c r="E6399" s="213" t="s">
        <v>53109</v>
      </c>
      <c r="K6399" s="213" t="s">
        <v>55186</v>
      </c>
      <c r="L6399" s="213" t="s">
        <v>55216</v>
      </c>
      <c r="M6399" s="213" t="s">
        <v>55246</v>
      </c>
      <c r="N6399" s="213" t="s">
        <v>53110</v>
      </c>
      <c r="O6399" s="213" t="s">
        <v>53111</v>
      </c>
      <c r="P6399" s="213" t="s">
        <v>53112</v>
      </c>
      <c r="Q6399" s="213" t="s">
        <v>53113</v>
      </c>
      <c r="R6399" s="213" t="s">
        <v>53114</v>
      </c>
      <c r="S6399" s="213" t="s">
        <v>53115</v>
      </c>
      <c r="T6399" s="213" t="s">
        <v>53116</v>
      </c>
      <c r="U6399" s="213" t="s">
        <v>55276</v>
      </c>
    </row>
    <row r="6400" spans="1:21" x14ac:dyDescent="0.25">
      <c r="A6400" s="213" t="s">
        <v>327</v>
      </c>
      <c r="D6400" s="213" t="s">
        <v>53117</v>
      </c>
      <c r="E6400" s="213" t="s">
        <v>53118</v>
      </c>
      <c r="K6400" s="213" t="s">
        <v>55187</v>
      </c>
      <c r="L6400" s="213" t="s">
        <v>55217</v>
      </c>
      <c r="M6400" s="213" t="s">
        <v>55247</v>
      </c>
      <c r="N6400" s="213" t="s">
        <v>53119</v>
      </c>
      <c r="O6400" s="213" t="s">
        <v>53120</v>
      </c>
      <c r="P6400" s="213" t="s">
        <v>53121</v>
      </c>
      <c r="Q6400" s="213" t="s">
        <v>53122</v>
      </c>
      <c r="R6400" s="213" t="s">
        <v>53123</v>
      </c>
      <c r="S6400" s="213" t="s">
        <v>53124</v>
      </c>
      <c r="T6400" s="213" t="s">
        <v>53125</v>
      </c>
      <c r="U6400" s="213" t="s">
        <v>55277</v>
      </c>
    </row>
    <row r="6401" spans="1:21" x14ac:dyDescent="0.25">
      <c r="A6401" s="213" t="s">
        <v>327</v>
      </c>
    </row>
    <row r="6402" spans="1:21" x14ac:dyDescent="0.25">
      <c r="A6402" s="213" t="s">
        <v>327</v>
      </c>
    </row>
    <row r="6403" spans="1:21" x14ac:dyDescent="0.25">
      <c r="A6403" s="213" t="s">
        <v>327</v>
      </c>
      <c r="C6403" s="213" t="s">
        <v>53126</v>
      </c>
      <c r="E6403" s="213" t="s">
        <v>53127</v>
      </c>
      <c r="H6403" s="213" t="s">
        <v>53128</v>
      </c>
      <c r="I6403" s="213" t="s">
        <v>53129</v>
      </c>
      <c r="J6403" s="213" t="s">
        <v>53130</v>
      </c>
      <c r="L6403" s="213" t="s">
        <v>53131</v>
      </c>
      <c r="O6403" s="213" t="s">
        <v>53132</v>
      </c>
      <c r="P6403" s="213" t="s">
        <v>53133</v>
      </c>
      <c r="Q6403" s="213" t="s">
        <v>53134</v>
      </c>
      <c r="R6403" s="213" t="s">
        <v>53135</v>
      </c>
      <c r="S6403" s="213" t="s">
        <v>53136</v>
      </c>
      <c r="T6403" s="213" t="s">
        <v>53137</v>
      </c>
    </row>
    <row r="6404" spans="1:21" x14ac:dyDescent="0.25">
      <c r="A6404" s="213" t="s">
        <v>327</v>
      </c>
      <c r="C6404" s="213" t="s">
        <v>53138</v>
      </c>
      <c r="E6404" s="213" t="s">
        <v>53139</v>
      </c>
      <c r="I6404" s="213" t="s">
        <v>53140</v>
      </c>
    </row>
    <row r="6405" spans="1:21" x14ac:dyDescent="0.25">
      <c r="A6405" s="213" t="s">
        <v>327</v>
      </c>
      <c r="C6405" s="213" t="s">
        <v>53141</v>
      </c>
      <c r="E6405" s="213" t="s">
        <v>53142</v>
      </c>
      <c r="I6405" s="213" t="s">
        <v>53143</v>
      </c>
    </row>
    <row r="6406" spans="1:21" x14ac:dyDescent="0.25">
      <c r="A6406" s="213" t="s">
        <v>328</v>
      </c>
    </row>
    <row r="6407" spans="1:21" x14ac:dyDescent="0.25">
      <c r="A6407" s="213" t="s">
        <v>327</v>
      </c>
      <c r="D6407" s="213" t="s">
        <v>53144</v>
      </c>
      <c r="E6407" s="213" t="s">
        <v>53145</v>
      </c>
      <c r="K6407" s="213" t="s">
        <v>55010</v>
      </c>
      <c r="L6407" s="213" t="s">
        <v>55047</v>
      </c>
      <c r="M6407" s="213" t="s">
        <v>55084</v>
      </c>
      <c r="N6407" s="213" t="s">
        <v>53146</v>
      </c>
      <c r="O6407" s="213" t="s">
        <v>53147</v>
      </c>
      <c r="P6407" s="213" t="s">
        <v>53148</v>
      </c>
      <c r="Q6407" s="213" t="s">
        <v>53149</v>
      </c>
      <c r="R6407" s="213" t="s">
        <v>53150</v>
      </c>
      <c r="S6407" s="213" t="s">
        <v>53151</v>
      </c>
      <c r="T6407" s="213" t="s">
        <v>53152</v>
      </c>
      <c r="U6407" s="213" t="s">
        <v>55121</v>
      </c>
    </row>
    <row r="6408" spans="1:21" x14ac:dyDescent="0.25">
      <c r="A6408" s="213" t="s">
        <v>327</v>
      </c>
      <c r="D6408" s="213" t="s">
        <v>53153</v>
      </c>
      <c r="E6408" s="213" t="s">
        <v>53154</v>
      </c>
      <c r="K6408" s="213" t="s">
        <v>55011</v>
      </c>
      <c r="L6408" s="213" t="s">
        <v>55048</v>
      </c>
      <c r="M6408" s="213" t="s">
        <v>55085</v>
      </c>
      <c r="N6408" s="213" t="s">
        <v>53155</v>
      </c>
      <c r="O6408" s="213" t="s">
        <v>53156</v>
      </c>
      <c r="P6408" s="213" t="s">
        <v>53157</v>
      </c>
      <c r="Q6408" s="213" t="s">
        <v>53158</v>
      </c>
      <c r="R6408" s="213" t="s">
        <v>53159</v>
      </c>
      <c r="S6408" s="213" t="s">
        <v>53160</v>
      </c>
      <c r="T6408" s="213" t="s">
        <v>53161</v>
      </c>
      <c r="U6408" s="213" t="s">
        <v>55122</v>
      </c>
    </row>
    <row r="6409" spans="1:21" x14ac:dyDescent="0.25">
      <c r="A6409" s="213" t="s">
        <v>327</v>
      </c>
      <c r="D6409" s="213" t="s">
        <v>53162</v>
      </c>
      <c r="E6409" s="213" t="s">
        <v>53163</v>
      </c>
      <c r="K6409" s="213" t="s">
        <v>55012</v>
      </c>
      <c r="L6409" s="213" t="s">
        <v>55049</v>
      </c>
      <c r="M6409" s="213" t="s">
        <v>55086</v>
      </c>
      <c r="N6409" s="213" t="s">
        <v>53164</v>
      </c>
      <c r="O6409" s="213" t="s">
        <v>53165</v>
      </c>
      <c r="P6409" s="213" t="s">
        <v>53166</v>
      </c>
      <c r="Q6409" s="213" t="s">
        <v>53167</v>
      </c>
      <c r="R6409" s="213" t="s">
        <v>53168</v>
      </c>
      <c r="S6409" s="213" t="s">
        <v>53169</v>
      </c>
      <c r="T6409" s="213" t="s">
        <v>53170</v>
      </c>
      <c r="U6409" s="213" t="s">
        <v>55123</v>
      </c>
    </row>
    <row r="6410" spans="1:21" x14ac:dyDescent="0.25">
      <c r="A6410" s="213" t="s">
        <v>327</v>
      </c>
      <c r="D6410" s="213" t="s">
        <v>53171</v>
      </c>
      <c r="E6410" s="213" t="s">
        <v>53172</v>
      </c>
      <c r="K6410" s="213" t="s">
        <v>55013</v>
      </c>
      <c r="L6410" s="213" t="s">
        <v>55050</v>
      </c>
      <c r="M6410" s="213" t="s">
        <v>55087</v>
      </c>
      <c r="N6410" s="213" t="s">
        <v>53173</v>
      </c>
      <c r="O6410" s="213" t="s">
        <v>53174</v>
      </c>
      <c r="P6410" s="213" t="s">
        <v>53175</v>
      </c>
      <c r="Q6410" s="213" t="s">
        <v>53176</v>
      </c>
      <c r="R6410" s="213" t="s">
        <v>53177</v>
      </c>
      <c r="S6410" s="213" t="s">
        <v>53178</v>
      </c>
      <c r="T6410" s="213" t="s">
        <v>53179</v>
      </c>
      <c r="U6410" s="213" t="s">
        <v>55124</v>
      </c>
    </row>
    <row r="6411" spans="1:21" x14ac:dyDescent="0.25">
      <c r="A6411" s="213" t="s">
        <v>327</v>
      </c>
      <c r="D6411" s="213" t="s">
        <v>53180</v>
      </c>
      <c r="E6411" s="213" t="s">
        <v>53181</v>
      </c>
      <c r="K6411" s="213" t="s">
        <v>55014</v>
      </c>
      <c r="L6411" s="213" t="s">
        <v>55051</v>
      </c>
      <c r="M6411" s="213" t="s">
        <v>55088</v>
      </c>
      <c r="N6411" s="213" t="s">
        <v>53182</v>
      </c>
      <c r="O6411" s="213" t="s">
        <v>53183</v>
      </c>
      <c r="P6411" s="213" t="s">
        <v>53184</v>
      </c>
      <c r="Q6411" s="213" t="s">
        <v>53185</v>
      </c>
      <c r="R6411" s="213" t="s">
        <v>53186</v>
      </c>
      <c r="S6411" s="213" t="s">
        <v>53187</v>
      </c>
      <c r="T6411" s="213" t="s">
        <v>53188</v>
      </c>
      <c r="U6411" s="213" t="s">
        <v>55125</v>
      </c>
    </row>
    <row r="6412" spans="1:21" x14ac:dyDescent="0.25">
      <c r="A6412" s="213" t="s">
        <v>327</v>
      </c>
      <c r="D6412" s="213" t="s">
        <v>53189</v>
      </c>
      <c r="E6412" s="213" t="s">
        <v>53190</v>
      </c>
      <c r="K6412" s="213" t="s">
        <v>55015</v>
      </c>
      <c r="L6412" s="213" t="s">
        <v>55052</v>
      </c>
      <c r="M6412" s="213" t="s">
        <v>55089</v>
      </c>
      <c r="N6412" s="213" t="s">
        <v>53191</v>
      </c>
      <c r="O6412" s="213" t="s">
        <v>53192</v>
      </c>
      <c r="P6412" s="213" t="s">
        <v>53193</v>
      </c>
      <c r="Q6412" s="213" t="s">
        <v>53194</v>
      </c>
      <c r="R6412" s="213" t="s">
        <v>53195</v>
      </c>
      <c r="S6412" s="213" t="s">
        <v>53196</v>
      </c>
      <c r="T6412" s="213" t="s">
        <v>53197</v>
      </c>
      <c r="U6412" s="213" t="s">
        <v>55126</v>
      </c>
    </row>
    <row r="6413" spans="1:21" x14ac:dyDescent="0.25">
      <c r="A6413" s="213" t="s">
        <v>327</v>
      </c>
      <c r="D6413" s="213" t="s">
        <v>53198</v>
      </c>
      <c r="E6413" s="213" t="s">
        <v>53199</v>
      </c>
      <c r="K6413" s="213" t="s">
        <v>55016</v>
      </c>
      <c r="L6413" s="213" t="s">
        <v>55053</v>
      </c>
      <c r="M6413" s="213" t="s">
        <v>55090</v>
      </c>
      <c r="N6413" s="213" t="s">
        <v>53200</v>
      </c>
      <c r="O6413" s="213" t="s">
        <v>53201</v>
      </c>
      <c r="P6413" s="213" t="s">
        <v>53202</v>
      </c>
      <c r="Q6413" s="213" t="s">
        <v>53203</v>
      </c>
      <c r="R6413" s="213" t="s">
        <v>53204</v>
      </c>
      <c r="S6413" s="213" t="s">
        <v>53205</v>
      </c>
      <c r="T6413" s="213" t="s">
        <v>53206</v>
      </c>
      <c r="U6413" s="213" t="s">
        <v>55127</v>
      </c>
    </row>
    <row r="6414" spans="1:21" x14ac:dyDescent="0.25">
      <c r="A6414" s="213" t="s">
        <v>327</v>
      </c>
      <c r="D6414" s="213" t="s">
        <v>53207</v>
      </c>
      <c r="E6414" s="213" t="s">
        <v>53208</v>
      </c>
      <c r="K6414" s="213" t="s">
        <v>55017</v>
      </c>
      <c r="L6414" s="213" t="s">
        <v>55054</v>
      </c>
      <c r="M6414" s="213" t="s">
        <v>55091</v>
      </c>
      <c r="N6414" s="213" t="s">
        <v>53209</v>
      </c>
      <c r="O6414" s="213" t="s">
        <v>53210</v>
      </c>
      <c r="P6414" s="213" t="s">
        <v>53211</v>
      </c>
      <c r="Q6414" s="213" t="s">
        <v>53212</v>
      </c>
      <c r="R6414" s="213" t="s">
        <v>53213</v>
      </c>
      <c r="S6414" s="213" t="s">
        <v>53214</v>
      </c>
      <c r="T6414" s="213" t="s">
        <v>53215</v>
      </c>
      <c r="U6414" s="213" t="s">
        <v>55128</v>
      </c>
    </row>
    <row r="6415" spans="1:21" x14ac:dyDescent="0.25">
      <c r="A6415" s="213" t="s">
        <v>327</v>
      </c>
      <c r="D6415" s="213" t="s">
        <v>53216</v>
      </c>
      <c r="E6415" s="213" t="s">
        <v>53217</v>
      </c>
      <c r="K6415" s="213" t="s">
        <v>55018</v>
      </c>
      <c r="L6415" s="213" t="s">
        <v>55055</v>
      </c>
      <c r="M6415" s="213" t="s">
        <v>55092</v>
      </c>
      <c r="N6415" s="213" t="s">
        <v>53218</v>
      </c>
      <c r="O6415" s="213" t="s">
        <v>53219</v>
      </c>
      <c r="P6415" s="213" t="s">
        <v>53220</v>
      </c>
      <c r="Q6415" s="213" t="s">
        <v>53221</v>
      </c>
      <c r="R6415" s="213" t="s">
        <v>53222</v>
      </c>
      <c r="S6415" s="213" t="s">
        <v>53223</v>
      </c>
      <c r="T6415" s="213" t="s">
        <v>53224</v>
      </c>
      <c r="U6415" s="213" t="s">
        <v>55129</v>
      </c>
    </row>
    <row r="6416" spans="1:21" x14ac:dyDescent="0.25">
      <c r="A6416" s="213" t="s">
        <v>327</v>
      </c>
      <c r="D6416" s="213" t="s">
        <v>53225</v>
      </c>
      <c r="E6416" s="213" t="s">
        <v>53226</v>
      </c>
      <c r="K6416" s="213" t="s">
        <v>55019</v>
      </c>
      <c r="L6416" s="213" t="s">
        <v>55056</v>
      </c>
      <c r="M6416" s="213" t="s">
        <v>55093</v>
      </c>
      <c r="N6416" s="213" t="s">
        <v>53227</v>
      </c>
      <c r="O6416" s="213" t="s">
        <v>53228</v>
      </c>
      <c r="P6416" s="213" t="s">
        <v>53229</v>
      </c>
      <c r="Q6416" s="213" t="s">
        <v>53230</v>
      </c>
      <c r="R6416" s="213" t="s">
        <v>53231</v>
      </c>
      <c r="S6416" s="213" t="s">
        <v>53232</v>
      </c>
      <c r="T6416" s="213" t="s">
        <v>53233</v>
      </c>
      <c r="U6416" s="213" t="s">
        <v>55130</v>
      </c>
    </row>
    <row r="6417" spans="1:21" x14ac:dyDescent="0.25">
      <c r="A6417" s="213" t="s">
        <v>327</v>
      </c>
      <c r="D6417" s="213" t="s">
        <v>53234</v>
      </c>
      <c r="E6417" s="213" t="s">
        <v>53235</v>
      </c>
      <c r="K6417" s="213" t="s">
        <v>55020</v>
      </c>
      <c r="L6417" s="213" t="s">
        <v>55057</v>
      </c>
      <c r="M6417" s="213" t="s">
        <v>55094</v>
      </c>
      <c r="N6417" s="213" t="s">
        <v>53236</v>
      </c>
      <c r="O6417" s="213" t="s">
        <v>53237</v>
      </c>
      <c r="P6417" s="213" t="s">
        <v>53238</v>
      </c>
      <c r="Q6417" s="213" t="s">
        <v>53239</v>
      </c>
      <c r="R6417" s="213" t="s">
        <v>53240</v>
      </c>
      <c r="S6417" s="213" t="s">
        <v>53241</v>
      </c>
      <c r="T6417" s="213" t="s">
        <v>53242</v>
      </c>
      <c r="U6417" s="213" t="s">
        <v>55131</v>
      </c>
    </row>
    <row r="6418" spans="1:21" x14ac:dyDescent="0.25">
      <c r="A6418" s="213" t="s">
        <v>327</v>
      </c>
      <c r="D6418" s="213" t="s">
        <v>53243</v>
      </c>
      <c r="E6418" s="213" t="s">
        <v>53244</v>
      </c>
      <c r="K6418" s="213" t="s">
        <v>55021</v>
      </c>
      <c r="L6418" s="213" t="s">
        <v>55058</v>
      </c>
      <c r="M6418" s="213" t="s">
        <v>55095</v>
      </c>
      <c r="N6418" s="213" t="s">
        <v>53245</v>
      </c>
      <c r="O6418" s="213" t="s">
        <v>53246</v>
      </c>
      <c r="P6418" s="213" t="s">
        <v>53247</v>
      </c>
      <c r="Q6418" s="213" t="s">
        <v>53248</v>
      </c>
      <c r="R6418" s="213" t="s">
        <v>53249</v>
      </c>
      <c r="S6418" s="213" t="s">
        <v>53250</v>
      </c>
      <c r="T6418" s="213" t="s">
        <v>53251</v>
      </c>
      <c r="U6418" s="213" t="s">
        <v>55132</v>
      </c>
    </row>
    <row r="6419" spans="1:21" x14ac:dyDescent="0.25">
      <c r="A6419" s="213" t="s">
        <v>327</v>
      </c>
      <c r="D6419" s="213" t="s">
        <v>53252</v>
      </c>
      <c r="E6419" s="213" t="s">
        <v>53253</v>
      </c>
      <c r="K6419" s="213" t="s">
        <v>55022</v>
      </c>
      <c r="L6419" s="213" t="s">
        <v>55059</v>
      </c>
      <c r="M6419" s="213" t="s">
        <v>55096</v>
      </c>
      <c r="N6419" s="213" t="s">
        <v>53254</v>
      </c>
      <c r="O6419" s="213" t="s">
        <v>53255</v>
      </c>
      <c r="P6419" s="213" t="s">
        <v>53256</v>
      </c>
      <c r="Q6419" s="213" t="s">
        <v>53257</v>
      </c>
      <c r="R6419" s="213" t="s">
        <v>53258</v>
      </c>
      <c r="S6419" s="213" t="s">
        <v>53259</v>
      </c>
      <c r="T6419" s="213" t="s">
        <v>53260</v>
      </c>
      <c r="U6419" s="213" t="s">
        <v>55133</v>
      </c>
    </row>
    <row r="6420" spans="1:21" x14ac:dyDescent="0.25">
      <c r="A6420" s="213" t="s">
        <v>327</v>
      </c>
      <c r="D6420" s="213" t="s">
        <v>53261</v>
      </c>
      <c r="E6420" s="213" t="s">
        <v>53262</v>
      </c>
      <c r="K6420" s="213" t="s">
        <v>55023</v>
      </c>
      <c r="L6420" s="213" t="s">
        <v>55060</v>
      </c>
      <c r="M6420" s="213" t="s">
        <v>55097</v>
      </c>
      <c r="N6420" s="213" t="s">
        <v>53263</v>
      </c>
      <c r="O6420" s="213" t="s">
        <v>53264</v>
      </c>
      <c r="P6420" s="213" t="s">
        <v>53265</v>
      </c>
      <c r="Q6420" s="213" t="s">
        <v>53266</v>
      </c>
      <c r="R6420" s="213" t="s">
        <v>53267</v>
      </c>
      <c r="S6420" s="213" t="s">
        <v>53268</v>
      </c>
      <c r="T6420" s="213" t="s">
        <v>53269</v>
      </c>
      <c r="U6420" s="213" t="s">
        <v>55134</v>
      </c>
    </row>
    <row r="6421" spans="1:21" x14ac:dyDescent="0.25">
      <c r="A6421" s="213" t="s">
        <v>327</v>
      </c>
      <c r="D6421" s="213" t="s">
        <v>53270</v>
      </c>
      <c r="E6421" s="213" t="s">
        <v>53271</v>
      </c>
      <c r="K6421" s="213" t="s">
        <v>55024</v>
      </c>
      <c r="L6421" s="213" t="s">
        <v>55061</v>
      </c>
      <c r="M6421" s="213" t="s">
        <v>55098</v>
      </c>
      <c r="N6421" s="213" t="s">
        <v>53272</v>
      </c>
      <c r="O6421" s="213" t="s">
        <v>53273</v>
      </c>
      <c r="P6421" s="213" t="s">
        <v>53274</v>
      </c>
      <c r="Q6421" s="213" t="s">
        <v>53275</v>
      </c>
      <c r="R6421" s="213" t="s">
        <v>53276</v>
      </c>
      <c r="S6421" s="213" t="s">
        <v>53277</v>
      </c>
      <c r="T6421" s="213" t="s">
        <v>53278</v>
      </c>
      <c r="U6421" s="213" t="s">
        <v>55135</v>
      </c>
    </row>
    <row r="6422" spans="1:21" x14ac:dyDescent="0.25">
      <c r="A6422" s="213" t="s">
        <v>327</v>
      </c>
      <c r="D6422" s="213" t="s">
        <v>53279</v>
      </c>
      <c r="E6422" s="213" t="s">
        <v>53280</v>
      </c>
      <c r="K6422" s="213" t="s">
        <v>55025</v>
      </c>
      <c r="L6422" s="213" t="s">
        <v>55062</v>
      </c>
      <c r="M6422" s="213" t="s">
        <v>55099</v>
      </c>
      <c r="N6422" s="213" t="s">
        <v>53281</v>
      </c>
      <c r="O6422" s="213" t="s">
        <v>53282</v>
      </c>
      <c r="P6422" s="213" t="s">
        <v>53283</v>
      </c>
      <c r="Q6422" s="213" t="s">
        <v>53284</v>
      </c>
      <c r="R6422" s="213" t="s">
        <v>53285</v>
      </c>
      <c r="S6422" s="213" t="s">
        <v>53286</v>
      </c>
      <c r="T6422" s="213" t="s">
        <v>53287</v>
      </c>
      <c r="U6422" s="213" t="s">
        <v>55136</v>
      </c>
    </row>
    <row r="6423" spans="1:21" x14ac:dyDescent="0.25">
      <c r="A6423" s="213" t="s">
        <v>327</v>
      </c>
      <c r="D6423" s="213" t="s">
        <v>53288</v>
      </c>
      <c r="E6423" s="213" t="s">
        <v>53289</v>
      </c>
      <c r="K6423" s="213" t="s">
        <v>55026</v>
      </c>
      <c r="L6423" s="213" t="s">
        <v>55063</v>
      </c>
      <c r="M6423" s="213" t="s">
        <v>55100</v>
      </c>
      <c r="N6423" s="213" t="s">
        <v>53290</v>
      </c>
      <c r="O6423" s="213" t="s">
        <v>53291</v>
      </c>
      <c r="P6423" s="213" t="s">
        <v>53292</v>
      </c>
      <c r="Q6423" s="213" t="s">
        <v>53293</v>
      </c>
      <c r="R6423" s="213" t="s">
        <v>53294</v>
      </c>
      <c r="S6423" s="213" t="s">
        <v>53295</v>
      </c>
      <c r="T6423" s="213" t="s">
        <v>53296</v>
      </c>
      <c r="U6423" s="213" t="s">
        <v>55137</v>
      </c>
    </row>
    <row r="6424" spans="1:21" x14ac:dyDescent="0.25">
      <c r="A6424" s="213" t="s">
        <v>327</v>
      </c>
      <c r="D6424" s="213" t="s">
        <v>53297</v>
      </c>
      <c r="E6424" s="213" t="s">
        <v>53298</v>
      </c>
      <c r="K6424" s="213" t="s">
        <v>55027</v>
      </c>
      <c r="L6424" s="213" t="s">
        <v>55064</v>
      </c>
      <c r="M6424" s="213" t="s">
        <v>55101</v>
      </c>
      <c r="N6424" s="213" t="s">
        <v>53299</v>
      </c>
      <c r="O6424" s="213" t="s">
        <v>53300</v>
      </c>
      <c r="P6424" s="213" t="s">
        <v>53301</v>
      </c>
      <c r="Q6424" s="213" t="s">
        <v>53302</v>
      </c>
      <c r="R6424" s="213" t="s">
        <v>53303</v>
      </c>
      <c r="S6424" s="213" t="s">
        <v>53304</v>
      </c>
      <c r="T6424" s="213" t="s">
        <v>53305</v>
      </c>
      <c r="U6424" s="213" t="s">
        <v>55138</v>
      </c>
    </row>
    <row r="6425" spans="1:21" x14ac:dyDescent="0.25">
      <c r="A6425" s="213" t="s">
        <v>327</v>
      </c>
      <c r="D6425" s="213" t="s">
        <v>53306</v>
      </c>
      <c r="E6425" s="213" t="s">
        <v>53307</v>
      </c>
      <c r="K6425" s="213" t="s">
        <v>55028</v>
      </c>
      <c r="L6425" s="213" t="s">
        <v>55065</v>
      </c>
      <c r="M6425" s="213" t="s">
        <v>55102</v>
      </c>
      <c r="N6425" s="213" t="s">
        <v>53308</v>
      </c>
      <c r="O6425" s="213" t="s">
        <v>53309</v>
      </c>
      <c r="P6425" s="213" t="s">
        <v>53310</v>
      </c>
      <c r="Q6425" s="213" t="s">
        <v>53311</v>
      </c>
      <c r="R6425" s="213" t="s">
        <v>53312</v>
      </c>
      <c r="S6425" s="213" t="s">
        <v>53313</v>
      </c>
      <c r="T6425" s="213" t="s">
        <v>53314</v>
      </c>
      <c r="U6425" s="213" t="s">
        <v>55139</v>
      </c>
    </row>
    <row r="6426" spans="1:21" x14ac:dyDescent="0.25">
      <c r="A6426" s="213" t="s">
        <v>327</v>
      </c>
      <c r="D6426" s="213" t="s">
        <v>53315</v>
      </c>
      <c r="E6426" s="213" t="s">
        <v>53316</v>
      </c>
      <c r="K6426" s="213" t="s">
        <v>55029</v>
      </c>
      <c r="L6426" s="213" t="s">
        <v>55066</v>
      </c>
      <c r="M6426" s="213" t="s">
        <v>55103</v>
      </c>
      <c r="N6426" s="213" t="s">
        <v>53317</v>
      </c>
      <c r="O6426" s="213" t="s">
        <v>53318</v>
      </c>
      <c r="P6426" s="213" t="s">
        <v>53319</v>
      </c>
      <c r="Q6426" s="213" t="s">
        <v>53320</v>
      </c>
      <c r="R6426" s="213" t="s">
        <v>53321</v>
      </c>
      <c r="S6426" s="213" t="s">
        <v>53322</v>
      </c>
      <c r="T6426" s="213" t="s">
        <v>53323</v>
      </c>
      <c r="U6426" s="213" t="s">
        <v>55140</v>
      </c>
    </row>
    <row r="6427" spans="1:21" x14ac:dyDescent="0.25">
      <c r="A6427" s="213" t="s">
        <v>327</v>
      </c>
      <c r="D6427" s="213" t="s">
        <v>53324</v>
      </c>
      <c r="E6427" s="213" t="s">
        <v>53325</v>
      </c>
      <c r="K6427" s="213" t="s">
        <v>55030</v>
      </c>
      <c r="L6427" s="213" t="s">
        <v>55067</v>
      </c>
      <c r="M6427" s="213" t="s">
        <v>55104</v>
      </c>
      <c r="N6427" s="213" t="s">
        <v>53326</v>
      </c>
      <c r="O6427" s="213" t="s">
        <v>53327</v>
      </c>
      <c r="P6427" s="213" t="s">
        <v>53328</v>
      </c>
      <c r="Q6427" s="213" t="s">
        <v>53329</v>
      </c>
      <c r="R6427" s="213" t="s">
        <v>53330</v>
      </c>
      <c r="S6427" s="213" t="s">
        <v>53331</v>
      </c>
      <c r="T6427" s="213" t="s">
        <v>53332</v>
      </c>
      <c r="U6427" s="213" t="s">
        <v>55141</v>
      </c>
    </row>
    <row r="6428" spans="1:21" x14ac:dyDescent="0.25">
      <c r="A6428" s="213" t="s">
        <v>327</v>
      </c>
      <c r="D6428" s="213" t="s">
        <v>53333</v>
      </c>
      <c r="E6428" s="213" t="s">
        <v>53334</v>
      </c>
      <c r="K6428" s="213" t="s">
        <v>55031</v>
      </c>
      <c r="L6428" s="213" t="s">
        <v>55068</v>
      </c>
      <c r="M6428" s="213" t="s">
        <v>55105</v>
      </c>
      <c r="N6428" s="213" t="s">
        <v>53335</v>
      </c>
      <c r="O6428" s="213" t="s">
        <v>53336</v>
      </c>
      <c r="P6428" s="213" t="s">
        <v>53337</v>
      </c>
      <c r="Q6428" s="213" t="s">
        <v>53338</v>
      </c>
      <c r="R6428" s="213" t="s">
        <v>53339</v>
      </c>
      <c r="S6428" s="213" t="s">
        <v>53340</v>
      </c>
      <c r="T6428" s="213" t="s">
        <v>53341</v>
      </c>
      <c r="U6428" s="213" t="s">
        <v>55142</v>
      </c>
    </row>
    <row r="6429" spans="1:21" x14ac:dyDescent="0.25">
      <c r="A6429" s="213" t="s">
        <v>327</v>
      </c>
      <c r="D6429" s="213" t="s">
        <v>53342</v>
      </c>
      <c r="E6429" s="213" t="s">
        <v>53343</v>
      </c>
      <c r="K6429" s="213" t="s">
        <v>55032</v>
      </c>
      <c r="L6429" s="213" t="s">
        <v>55069</v>
      </c>
      <c r="M6429" s="213" t="s">
        <v>55106</v>
      </c>
      <c r="N6429" s="213" t="s">
        <v>53344</v>
      </c>
      <c r="O6429" s="213" t="s">
        <v>53345</v>
      </c>
      <c r="P6429" s="213" t="s">
        <v>53346</v>
      </c>
      <c r="Q6429" s="213" t="s">
        <v>53347</v>
      </c>
      <c r="R6429" s="213" t="s">
        <v>53348</v>
      </c>
      <c r="S6429" s="213" t="s">
        <v>53349</v>
      </c>
      <c r="T6429" s="213" t="s">
        <v>53350</v>
      </c>
      <c r="U6429" s="213" t="s">
        <v>55143</v>
      </c>
    </row>
    <row r="6430" spans="1:21" x14ac:dyDescent="0.25">
      <c r="A6430" s="213" t="s">
        <v>327</v>
      </c>
      <c r="D6430" s="213" t="s">
        <v>53351</v>
      </c>
      <c r="E6430" s="213" t="s">
        <v>53352</v>
      </c>
      <c r="K6430" s="213" t="s">
        <v>55033</v>
      </c>
      <c r="L6430" s="213" t="s">
        <v>55070</v>
      </c>
      <c r="M6430" s="213" t="s">
        <v>55107</v>
      </c>
      <c r="N6430" s="213" t="s">
        <v>53353</v>
      </c>
      <c r="O6430" s="213" t="s">
        <v>53354</v>
      </c>
      <c r="P6430" s="213" t="s">
        <v>53355</v>
      </c>
      <c r="Q6430" s="213" t="s">
        <v>53356</v>
      </c>
      <c r="R6430" s="213" t="s">
        <v>53357</v>
      </c>
      <c r="S6430" s="213" t="s">
        <v>53358</v>
      </c>
      <c r="T6430" s="213" t="s">
        <v>53359</v>
      </c>
      <c r="U6430" s="213" t="s">
        <v>55144</v>
      </c>
    </row>
    <row r="6431" spans="1:21" x14ac:dyDescent="0.25">
      <c r="A6431" s="213" t="s">
        <v>327</v>
      </c>
      <c r="D6431" s="213" t="s">
        <v>53360</v>
      </c>
      <c r="E6431" s="213" t="s">
        <v>53361</v>
      </c>
      <c r="K6431" s="213" t="s">
        <v>55034</v>
      </c>
      <c r="L6431" s="213" t="s">
        <v>55071</v>
      </c>
      <c r="M6431" s="213" t="s">
        <v>55108</v>
      </c>
      <c r="N6431" s="213" t="s">
        <v>53362</v>
      </c>
      <c r="O6431" s="213" t="s">
        <v>53363</v>
      </c>
      <c r="P6431" s="213" t="s">
        <v>53364</v>
      </c>
      <c r="Q6431" s="213" t="s">
        <v>53365</v>
      </c>
      <c r="R6431" s="213" t="s">
        <v>53366</v>
      </c>
      <c r="S6431" s="213" t="s">
        <v>53367</v>
      </c>
      <c r="T6431" s="213" t="s">
        <v>53368</v>
      </c>
      <c r="U6431" s="213" t="s">
        <v>55145</v>
      </c>
    </row>
    <row r="6432" spans="1:21" x14ac:dyDescent="0.25">
      <c r="A6432" s="213" t="s">
        <v>327</v>
      </c>
      <c r="D6432" s="213" t="s">
        <v>53369</v>
      </c>
      <c r="E6432" s="213" t="s">
        <v>53370</v>
      </c>
      <c r="K6432" s="213" t="s">
        <v>55035</v>
      </c>
      <c r="L6432" s="213" t="s">
        <v>55072</v>
      </c>
      <c r="M6432" s="213" t="s">
        <v>55109</v>
      </c>
      <c r="N6432" s="213" t="s">
        <v>53371</v>
      </c>
      <c r="O6432" s="213" t="s">
        <v>53372</v>
      </c>
      <c r="P6432" s="213" t="s">
        <v>53373</v>
      </c>
      <c r="Q6432" s="213" t="s">
        <v>53374</v>
      </c>
      <c r="R6432" s="213" t="s">
        <v>53375</v>
      </c>
      <c r="S6432" s="213" t="s">
        <v>53376</v>
      </c>
      <c r="T6432" s="213" t="s">
        <v>53377</v>
      </c>
      <c r="U6432" s="213" t="s">
        <v>55146</v>
      </c>
    </row>
    <row r="6433" spans="1:21" x14ac:dyDescent="0.25">
      <c r="A6433" s="213" t="s">
        <v>327</v>
      </c>
      <c r="D6433" s="213" t="s">
        <v>53378</v>
      </c>
      <c r="E6433" s="213" t="s">
        <v>53379</v>
      </c>
      <c r="K6433" s="213" t="s">
        <v>55036</v>
      </c>
      <c r="L6433" s="213" t="s">
        <v>55073</v>
      </c>
      <c r="M6433" s="213" t="s">
        <v>55110</v>
      </c>
      <c r="N6433" s="213" t="s">
        <v>53380</v>
      </c>
      <c r="O6433" s="213" t="s">
        <v>53381</v>
      </c>
      <c r="P6433" s="213" t="s">
        <v>53382</v>
      </c>
      <c r="Q6433" s="213" t="s">
        <v>53383</v>
      </c>
      <c r="R6433" s="213" t="s">
        <v>53384</v>
      </c>
      <c r="S6433" s="213" t="s">
        <v>53385</v>
      </c>
      <c r="T6433" s="213" t="s">
        <v>53386</v>
      </c>
      <c r="U6433" s="213" t="s">
        <v>55147</v>
      </c>
    </row>
    <row r="6434" spans="1:21" x14ac:dyDescent="0.25">
      <c r="A6434" s="213" t="s">
        <v>327</v>
      </c>
      <c r="D6434" s="213" t="s">
        <v>53387</v>
      </c>
      <c r="E6434" s="213" t="s">
        <v>53388</v>
      </c>
      <c r="K6434" s="213" t="s">
        <v>55037</v>
      </c>
      <c r="L6434" s="213" t="s">
        <v>55074</v>
      </c>
      <c r="M6434" s="213" t="s">
        <v>55111</v>
      </c>
      <c r="N6434" s="213" t="s">
        <v>53389</v>
      </c>
      <c r="O6434" s="213" t="s">
        <v>53390</v>
      </c>
      <c r="P6434" s="213" t="s">
        <v>53391</v>
      </c>
      <c r="Q6434" s="213" t="s">
        <v>53392</v>
      </c>
      <c r="R6434" s="213" t="s">
        <v>53393</v>
      </c>
      <c r="S6434" s="213" t="s">
        <v>53394</v>
      </c>
      <c r="T6434" s="213" t="s">
        <v>53395</v>
      </c>
      <c r="U6434" s="213" t="s">
        <v>55148</v>
      </c>
    </row>
    <row r="6435" spans="1:21" x14ac:dyDescent="0.25">
      <c r="A6435" s="213" t="s">
        <v>327</v>
      </c>
      <c r="D6435" s="213" t="s">
        <v>53396</v>
      </c>
      <c r="E6435" s="213" t="s">
        <v>53397</v>
      </c>
      <c r="K6435" s="213" t="s">
        <v>55038</v>
      </c>
      <c r="L6435" s="213" t="s">
        <v>55075</v>
      </c>
      <c r="M6435" s="213" t="s">
        <v>55112</v>
      </c>
      <c r="N6435" s="213" t="s">
        <v>53398</v>
      </c>
      <c r="O6435" s="213" t="s">
        <v>53399</v>
      </c>
      <c r="P6435" s="213" t="s">
        <v>53400</v>
      </c>
      <c r="Q6435" s="213" t="s">
        <v>53401</v>
      </c>
      <c r="R6435" s="213" t="s">
        <v>53402</v>
      </c>
      <c r="S6435" s="213" t="s">
        <v>53403</v>
      </c>
      <c r="T6435" s="213" t="s">
        <v>53404</v>
      </c>
      <c r="U6435" s="213" t="s">
        <v>55149</v>
      </c>
    </row>
    <row r="6436" spans="1:21" x14ac:dyDescent="0.25">
      <c r="A6436" s="213" t="s">
        <v>327</v>
      </c>
      <c r="D6436" s="213" t="s">
        <v>53405</v>
      </c>
      <c r="E6436" s="213" t="s">
        <v>53406</v>
      </c>
      <c r="K6436" s="213" t="s">
        <v>55039</v>
      </c>
      <c r="L6436" s="213" t="s">
        <v>55076</v>
      </c>
      <c r="M6436" s="213" t="s">
        <v>55113</v>
      </c>
      <c r="N6436" s="213" t="s">
        <v>53407</v>
      </c>
      <c r="O6436" s="213" t="s">
        <v>53408</v>
      </c>
      <c r="P6436" s="213" t="s">
        <v>53409</v>
      </c>
      <c r="Q6436" s="213" t="s">
        <v>53410</v>
      </c>
      <c r="R6436" s="213" t="s">
        <v>53411</v>
      </c>
      <c r="S6436" s="213" t="s">
        <v>53412</v>
      </c>
      <c r="T6436" s="213" t="s">
        <v>53413</v>
      </c>
      <c r="U6436" s="213" t="s">
        <v>55150</v>
      </c>
    </row>
    <row r="6437" spans="1:21" x14ac:dyDescent="0.25">
      <c r="A6437" s="213" t="s">
        <v>327</v>
      </c>
      <c r="D6437" s="213" t="s">
        <v>53414</v>
      </c>
      <c r="E6437" s="213" t="s">
        <v>53415</v>
      </c>
      <c r="K6437" s="213" t="s">
        <v>55040</v>
      </c>
      <c r="L6437" s="213" t="s">
        <v>55077</v>
      </c>
      <c r="M6437" s="213" t="s">
        <v>55114</v>
      </c>
      <c r="N6437" s="213" t="s">
        <v>53416</v>
      </c>
      <c r="O6437" s="213" t="s">
        <v>53417</v>
      </c>
      <c r="P6437" s="213" t="s">
        <v>53418</v>
      </c>
      <c r="Q6437" s="213" t="s">
        <v>53419</v>
      </c>
      <c r="R6437" s="213" t="s">
        <v>53420</v>
      </c>
      <c r="S6437" s="213" t="s">
        <v>53421</v>
      </c>
      <c r="T6437" s="213" t="s">
        <v>53422</v>
      </c>
      <c r="U6437" s="213" t="s">
        <v>55151</v>
      </c>
    </row>
    <row r="6438" spans="1:21" x14ac:dyDescent="0.25">
      <c r="A6438" s="213" t="s">
        <v>327</v>
      </c>
      <c r="D6438" s="213" t="s">
        <v>53423</v>
      </c>
      <c r="E6438" s="213" t="s">
        <v>53424</v>
      </c>
      <c r="K6438" s="213" t="s">
        <v>55041</v>
      </c>
      <c r="L6438" s="213" t="s">
        <v>55078</v>
      </c>
      <c r="M6438" s="213" t="s">
        <v>55115</v>
      </c>
      <c r="N6438" s="213" t="s">
        <v>53425</v>
      </c>
      <c r="O6438" s="213" t="s">
        <v>53426</v>
      </c>
      <c r="P6438" s="213" t="s">
        <v>53427</v>
      </c>
      <c r="Q6438" s="213" t="s">
        <v>53428</v>
      </c>
      <c r="R6438" s="213" t="s">
        <v>53429</v>
      </c>
      <c r="S6438" s="213" t="s">
        <v>53430</v>
      </c>
      <c r="T6438" s="213" t="s">
        <v>53431</v>
      </c>
      <c r="U6438" s="213" t="s">
        <v>55152</v>
      </c>
    </row>
    <row r="6439" spans="1:21" x14ac:dyDescent="0.25">
      <c r="A6439" s="213" t="s">
        <v>327</v>
      </c>
      <c r="D6439" s="213" t="s">
        <v>53432</v>
      </c>
      <c r="E6439" s="213" t="s">
        <v>53433</v>
      </c>
      <c r="K6439" s="213" t="s">
        <v>55042</v>
      </c>
      <c r="L6439" s="213" t="s">
        <v>55079</v>
      </c>
      <c r="M6439" s="213" t="s">
        <v>55116</v>
      </c>
      <c r="N6439" s="213" t="s">
        <v>53434</v>
      </c>
      <c r="O6439" s="213" t="s">
        <v>53435</v>
      </c>
      <c r="P6439" s="213" t="s">
        <v>53436</v>
      </c>
      <c r="Q6439" s="213" t="s">
        <v>53437</v>
      </c>
      <c r="R6439" s="213" t="s">
        <v>53438</v>
      </c>
      <c r="S6439" s="213" t="s">
        <v>53439</v>
      </c>
      <c r="T6439" s="213" t="s">
        <v>53440</v>
      </c>
      <c r="U6439" s="213" t="s">
        <v>55153</v>
      </c>
    </row>
    <row r="6440" spans="1:21" x14ac:dyDescent="0.25">
      <c r="A6440" s="213" t="s">
        <v>327</v>
      </c>
      <c r="D6440" s="213" t="s">
        <v>53441</v>
      </c>
      <c r="E6440" s="213" t="s">
        <v>53442</v>
      </c>
      <c r="K6440" s="213" t="s">
        <v>55043</v>
      </c>
      <c r="L6440" s="213" t="s">
        <v>55080</v>
      </c>
      <c r="M6440" s="213" t="s">
        <v>55117</v>
      </c>
      <c r="N6440" s="213" t="s">
        <v>53443</v>
      </c>
      <c r="O6440" s="213" t="s">
        <v>53444</v>
      </c>
      <c r="P6440" s="213" t="s">
        <v>53445</v>
      </c>
      <c r="Q6440" s="213" t="s">
        <v>53446</v>
      </c>
      <c r="R6440" s="213" t="s">
        <v>53447</v>
      </c>
      <c r="S6440" s="213" t="s">
        <v>53448</v>
      </c>
      <c r="T6440" s="213" t="s">
        <v>53449</v>
      </c>
      <c r="U6440" s="213" t="s">
        <v>55154</v>
      </c>
    </row>
    <row r="6441" spans="1:21" x14ac:dyDescent="0.25">
      <c r="A6441" s="213" t="s">
        <v>327</v>
      </c>
      <c r="D6441" s="213" t="s">
        <v>53450</v>
      </c>
      <c r="E6441" s="213" t="s">
        <v>53451</v>
      </c>
      <c r="K6441" s="213" t="s">
        <v>55044</v>
      </c>
      <c r="L6441" s="213" t="s">
        <v>55081</v>
      </c>
      <c r="M6441" s="213" t="s">
        <v>55118</v>
      </c>
      <c r="N6441" s="213" t="s">
        <v>53452</v>
      </c>
      <c r="O6441" s="213" t="s">
        <v>53453</v>
      </c>
      <c r="P6441" s="213" t="s">
        <v>53454</v>
      </c>
      <c r="Q6441" s="213" t="s">
        <v>53455</v>
      </c>
      <c r="R6441" s="213" t="s">
        <v>53456</v>
      </c>
      <c r="S6441" s="213" t="s">
        <v>53457</v>
      </c>
      <c r="T6441" s="213" t="s">
        <v>53458</v>
      </c>
      <c r="U6441" s="213" t="s">
        <v>55155</v>
      </c>
    </row>
    <row r="6442" spans="1:21" x14ac:dyDescent="0.25">
      <c r="A6442" s="213" t="s">
        <v>327</v>
      </c>
      <c r="D6442" s="213" t="s">
        <v>53459</v>
      </c>
      <c r="E6442" s="213" t="s">
        <v>53460</v>
      </c>
      <c r="K6442" s="213" t="s">
        <v>55045</v>
      </c>
      <c r="L6442" s="213" t="s">
        <v>55082</v>
      </c>
      <c r="M6442" s="213" t="s">
        <v>55119</v>
      </c>
      <c r="N6442" s="213" t="s">
        <v>53461</v>
      </c>
      <c r="O6442" s="213" t="s">
        <v>53462</v>
      </c>
      <c r="P6442" s="213" t="s">
        <v>53463</v>
      </c>
      <c r="Q6442" s="213" t="s">
        <v>53464</v>
      </c>
      <c r="R6442" s="213" t="s">
        <v>53465</v>
      </c>
      <c r="S6442" s="213" t="s">
        <v>53466</v>
      </c>
      <c r="T6442" s="213" t="s">
        <v>53467</v>
      </c>
      <c r="U6442" s="213" t="s">
        <v>55156</v>
      </c>
    </row>
    <row r="6443" spans="1:21" x14ac:dyDescent="0.25">
      <c r="A6443" s="213" t="s">
        <v>327</v>
      </c>
      <c r="D6443" s="213" t="s">
        <v>53468</v>
      </c>
      <c r="E6443" s="213" t="s">
        <v>53469</v>
      </c>
      <c r="K6443" s="213" t="s">
        <v>55046</v>
      </c>
      <c r="L6443" s="213" t="s">
        <v>55083</v>
      </c>
      <c r="M6443" s="213" t="s">
        <v>55120</v>
      </c>
      <c r="N6443" s="213" t="s">
        <v>53470</v>
      </c>
      <c r="O6443" s="213" t="s">
        <v>53471</v>
      </c>
      <c r="P6443" s="213" t="s">
        <v>53472</v>
      </c>
      <c r="Q6443" s="213" t="s">
        <v>53473</v>
      </c>
      <c r="R6443" s="213" t="s">
        <v>53474</v>
      </c>
      <c r="S6443" s="213" t="s">
        <v>53475</v>
      </c>
      <c r="T6443" s="213" t="s">
        <v>53476</v>
      </c>
      <c r="U6443" s="213" t="s">
        <v>55157</v>
      </c>
    </row>
    <row r="6444" spans="1:21" x14ac:dyDescent="0.25">
      <c r="A6444" s="213" t="s">
        <v>327</v>
      </c>
    </row>
    <row r="6445" spans="1:21" x14ac:dyDescent="0.25">
      <c r="A6445" s="213" t="s">
        <v>327</v>
      </c>
    </row>
    <row r="6446" spans="1:21" x14ac:dyDescent="0.25">
      <c r="A6446" s="213" t="s">
        <v>327</v>
      </c>
      <c r="C6446" s="213" t="s">
        <v>53477</v>
      </c>
      <c r="E6446" s="213" t="s">
        <v>53478</v>
      </c>
      <c r="H6446" s="213" t="s">
        <v>53479</v>
      </c>
      <c r="I6446" s="213" t="s">
        <v>53480</v>
      </c>
      <c r="J6446" s="213" t="s">
        <v>53481</v>
      </c>
      <c r="L6446" s="213" t="s">
        <v>53482</v>
      </c>
      <c r="O6446" s="213" t="s">
        <v>53483</v>
      </c>
      <c r="P6446" s="213" t="s">
        <v>53484</v>
      </c>
      <c r="Q6446" s="213" t="s">
        <v>53485</v>
      </c>
      <c r="R6446" s="213" t="s">
        <v>53486</v>
      </c>
      <c r="S6446" s="213" t="s">
        <v>53487</v>
      </c>
      <c r="T6446" s="213" t="s">
        <v>53488</v>
      </c>
    </row>
    <row r="6447" spans="1:21" x14ac:dyDescent="0.25">
      <c r="A6447" s="213" t="s">
        <v>327</v>
      </c>
      <c r="C6447" s="213" t="s">
        <v>53489</v>
      </c>
      <c r="E6447" s="213" t="s">
        <v>53490</v>
      </c>
      <c r="I6447" s="213" t="s">
        <v>53491</v>
      </c>
    </row>
    <row r="6448" spans="1:21" x14ac:dyDescent="0.25">
      <c r="A6448" s="213" t="s">
        <v>327</v>
      </c>
      <c r="C6448" s="213" t="s">
        <v>53492</v>
      </c>
      <c r="E6448" s="213" t="s">
        <v>53493</v>
      </c>
      <c r="I6448" s="213" t="s">
        <v>53494</v>
      </c>
    </row>
    <row r="6449" spans="1:21" x14ac:dyDescent="0.25">
      <c r="A6449" s="213" t="s">
        <v>328</v>
      </c>
    </row>
    <row r="6450" spans="1:21" x14ac:dyDescent="0.25">
      <c r="A6450" s="213" t="s">
        <v>327</v>
      </c>
      <c r="D6450" s="213" t="s">
        <v>53495</v>
      </c>
      <c r="E6450" s="213" t="s">
        <v>53496</v>
      </c>
      <c r="K6450" s="213" t="s">
        <v>54910</v>
      </c>
      <c r="L6450" s="213" t="s">
        <v>54935</v>
      </c>
      <c r="M6450" s="213" t="s">
        <v>54960</v>
      </c>
      <c r="N6450" s="213" t="s">
        <v>53497</v>
      </c>
      <c r="O6450" s="213" t="s">
        <v>53498</v>
      </c>
      <c r="P6450" s="213" t="s">
        <v>53499</v>
      </c>
      <c r="Q6450" s="213" t="s">
        <v>53500</v>
      </c>
      <c r="R6450" s="213" t="s">
        <v>53501</v>
      </c>
      <c r="S6450" s="213" t="s">
        <v>53502</v>
      </c>
      <c r="T6450" s="213" t="s">
        <v>53503</v>
      </c>
      <c r="U6450" s="213" t="s">
        <v>54985</v>
      </c>
    </row>
    <row r="6451" spans="1:21" x14ac:dyDescent="0.25">
      <c r="A6451" s="213" t="s">
        <v>327</v>
      </c>
      <c r="D6451" s="213" t="s">
        <v>53504</v>
      </c>
      <c r="E6451" s="213" t="s">
        <v>53505</v>
      </c>
      <c r="K6451" s="213" t="s">
        <v>54911</v>
      </c>
      <c r="L6451" s="213" t="s">
        <v>54936</v>
      </c>
      <c r="M6451" s="213" t="s">
        <v>54961</v>
      </c>
      <c r="N6451" s="213" t="s">
        <v>53506</v>
      </c>
      <c r="O6451" s="213" t="s">
        <v>53507</v>
      </c>
      <c r="P6451" s="213" t="s">
        <v>53508</v>
      </c>
      <c r="Q6451" s="213" t="s">
        <v>53509</v>
      </c>
      <c r="R6451" s="213" t="s">
        <v>53510</v>
      </c>
      <c r="S6451" s="213" t="s">
        <v>53511</v>
      </c>
      <c r="T6451" s="213" t="s">
        <v>53512</v>
      </c>
      <c r="U6451" s="213" t="s">
        <v>54986</v>
      </c>
    </row>
    <row r="6452" spans="1:21" x14ac:dyDescent="0.25">
      <c r="A6452" s="213" t="s">
        <v>327</v>
      </c>
      <c r="D6452" s="213" t="s">
        <v>53513</v>
      </c>
      <c r="E6452" s="213" t="s">
        <v>53514</v>
      </c>
      <c r="K6452" s="213" t="s">
        <v>54912</v>
      </c>
      <c r="L6452" s="213" t="s">
        <v>54937</v>
      </c>
      <c r="M6452" s="213" t="s">
        <v>54962</v>
      </c>
      <c r="N6452" s="213" t="s">
        <v>53515</v>
      </c>
      <c r="O6452" s="213" t="s">
        <v>53516</v>
      </c>
      <c r="P6452" s="213" t="s">
        <v>53517</v>
      </c>
      <c r="Q6452" s="213" t="s">
        <v>53518</v>
      </c>
      <c r="R6452" s="213" t="s">
        <v>53519</v>
      </c>
      <c r="S6452" s="213" t="s">
        <v>53520</v>
      </c>
      <c r="T6452" s="213" t="s">
        <v>53521</v>
      </c>
      <c r="U6452" s="213" t="s">
        <v>54987</v>
      </c>
    </row>
    <row r="6453" spans="1:21" x14ac:dyDescent="0.25">
      <c r="A6453" s="213" t="s">
        <v>327</v>
      </c>
      <c r="D6453" s="213" t="s">
        <v>53522</v>
      </c>
      <c r="E6453" s="213" t="s">
        <v>53523</v>
      </c>
      <c r="K6453" s="213" t="s">
        <v>54913</v>
      </c>
      <c r="L6453" s="213" t="s">
        <v>54938</v>
      </c>
      <c r="M6453" s="213" t="s">
        <v>54963</v>
      </c>
      <c r="N6453" s="213" t="s">
        <v>53524</v>
      </c>
      <c r="O6453" s="213" t="s">
        <v>53525</v>
      </c>
      <c r="P6453" s="213" t="s">
        <v>53526</v>
      </c>
      <c r="Q6453" s="213" t="s">
        <v>53527</v>
      </c>
      <c r="R6453" s="213" t="s">
        <v>53528</v>
      </c>
      <c r="S6453" s="213" t="s">
        <v>53529</v>
      </c>
      <c r="T6453" s="213" t="s">
        <v>53530</v>
      </c>
      <c r="U6453" s="213" t="s">
        <v>54988</v>
      </c>
    </row>
    <row r="6454" spans="1:21" x14ac:dyDescent="0.25">
      <c r="A6454" s="213" t="s">
        <v>327</v>
      </c>
      <c r="D6454" s="213" t="s">
        <v>53531</v>
      </c>
      <c r="E6454" s="213" t="s">
        <v>53532</v>
      </c>
      <c r="K6454" s="213" t="s">
        <v>54914</v>
      </c>
      <c r="L6454" s="213" t="s">
        <v>54939</v>
      </c>
      <c r="M6454" s="213" t="s">
        <v>54964</v>
      </c>
      <c r="N6454" s="213" t="s">
        <v>53533</v>
      </c>
      <c r="O6454" s="213" t="s">
        <v>53534</v>
      </c>
      <c r="P6454" s="213" t="s">
        <v>53535</v>
      </c>
      <c r="Q6454" s="213" t="s">
        <v>53536</v>
      </c>
      <c r="R6454" s="213" t="s">
        <v>53537</v>
      </c>
      <c r="S6454" s="213" t="s">
        <v>53538</v>
      </c>
      <c r="T6454" s="213" t="s">
        <v>53539</v>
      </c>
      <c r="U6454" s="213" t="s">
        <v>54989</v>
      </c>
    </row>
    <row r="6455" spans="1:21" x14ac:dyDescent="0.25">
      <c r="A6455" s="213" t="s">
        <v>327</v>
      </c>
      <c r="D6455" s="213" t="s">
        <v>53540</v>
      </c>
      <c r="E6455" s="213" t="s">
        <v>53541</v>
      </c>
      <c r="K6455" s="213" t="s">
        <v>54915</v>
      </c>
      <c r="L6455" s="213" t="s">
        <v>54940</v>
      </c>
      <c r="M6455" s="213" t="s">
        <v>54965</v>
      </c>
      <c r="N6455" s="213" t="s">
        <v>53542</v>
      </c>
      <c r="O6455" s="213" t="s">
        <v>53543</v>
      </c>
      <c r="P6455" s="213" t="s">
        <v>53544</v>
      </c>
      <c r="Q6455" s="213" t="s">
        <v>53545</v>
      </c>
      <c r="R6455" s="213" t="s">
        <v>53546</v>
      </c>
      <c r="S6455" s="213" t="s">
        <v>53547</v>
      </c>
      <c r="T6455" s="213" t="s">
        <v>53548</v>
      </c>
      <c r="U6455" s="213" t="s">
        <v>54990</v>
      </c>
    </row>
    <row r="6456" spans="1:21" x14ac:dyDescent="0.25">
      <c r="A6456" s="213" t="s">
        <v>327</v>
      </c>
      <c r="D6456" s="213" t="s">
        <v>53549</v>
      </c>
      <c r="E6456" s="213" t="s">
        <v>53550</v>
      </c>
      <c r="K6456" s="213" t="s">
        <v>54916</v>
      </c>
      <c r="L6456" s="213" t="s">
        <v>54941</v>
      </c>
      <c r="M6456" s="213" t="s">
        <v>54966</v>
      </c>
      <c r="N6456" s="213" t="s">
        <v>53551</v>
      </c>
      <c r="O6456" s="213" t="s">
        <v>53552</v>
      </c>
      <c r="P6456" s="213" t="s">
        <v>53553</v>
      </c>
      <c r="Q6456" s="213" t="s">
        <v>53554</v>
      </c>
      <c r="R6456" s="213" t="s">
        <v>53555</v>
      </c>
      <c r="S6456" s="213" t="s">
        <v>53556</v>
      </c>
      <c r="T6456" s="213" t="s">
        <v>53557</v>
      </c>
      <c r="U6456" s="213" t="s">
        <v>54991</v>
      </c>
    </row>
    <row r="6457" spans="1:21" x14ac:dyDescent="0.25">
      <c r="A6457" s="213" t="s">
        <v>327</v>
      </c>
      <c r="D6457" s="213" t="s">
        <v>53558</v>
      </c>
      <c r="E6457" s="213" t="s">
        <v>53559</v>
      </c>
      <c r="K6457" s="213" t="s">
        <v>54917</v>
      </c>
      <c r="L6457" s="213" t="s">
        <v>54942</v>
      </c>
      <c r="M6457" s="213" t="s">
        <v>54967</v>
      </c>
      <c r="N6457" s="213" t="s">
        <v>53560</v>
      </c>
      <c r="O6457" s="213" t="s">
        <v>53561</v>
      </c>
      <c r="P6457" s="213" t="s">
        <v>53562</v>
      </c>
      <c r="Q6457" s="213" t="s">
        <v>53563</v>
      </c>
      <c r="R6457" s="213" t="s">
        <v>53564</v>
      </c>
      <c r="S6457" s="213" t="s">
        <v>53565</v>
      </c>
      <c r="T6457" s="213" t="s">
        <v>53566</v>
      </c>
      <c r="U6457" s="213" t="s">
        <v>54992</v>
      </c>
    </row>
    <row r="6458" spans="1:21" x14ac:dyDescent="0.25">
      <c r="A6458" s="213" t="s">
        <v>327</v>
      </c>
      <c r="D6458" s="213" t="s">
        <v>53567</v>
      </c>
      <c r="E6458" s="213" t="s">
        <v>53568</v>
      </c>
      <c r="K6458" s="213" t="s">
        <v>54918</v>
      </c>
      <c r="L6458" s="213" t="s">
        <v>54943</v>
      </c>
      <c r="M6458" s="213" t="s">
        <v>54968</v>
      </c>
      <c r="N6458" s="213" t="s">
        <v>53569</v>
      </c>
      <c r="O6458" s="213" t="s">
        <v>53570</v>
      </c>
      <c r="P6458" s="213" t="s">
        <v>53571</v>
      </c>
      <c r="Q6458" s="213" t="s">
        <v>53572</v>
      </c>
      <c r="R6458" s="213" t="s">
        <v>53573</v>
      </c>
      <c r="S6458" s="213" t="s">
        <v>53574</v>
      </c>
      <c r="T6458" s="213" t="s">
        <v>53575</v>
      </c>
      <c r="U6458" s="213" t="s">
        <v>54993</v>
      </c>
    </row>
    <row r="6459" spans="1:21" x14ac:dyDescent="0.25">
      <c r="A6459" s="213" t="s">
        <v>327</v>
      </c>
      <c r="D6459" s="213" t="s">
        <v>53576</v>
      </c>
      <c r="E6459" s="213" t="s">
        <v>53577</v>
      </c>
      <c r="K6459" s="213" t="s">
        <v>54919</v>
      </c>
      <c r="L6459" s="213" t="s">
        <v>54944</v>
      </c>
      <c r="M6459" s="213" t="s">
        <v>54969</v>
      </c>
      <c r="N6459" s="213" t="s">
        <v>53578</v>
      </c>
      <c r="O6459" s="213" t="s">
        <v>53579</v>
      </c>
      <c r="P6459" s="213" t="s">
        <v>53580</v>
      </c>
      <c r="Q6459" s="213" t="s">
        <v>53581</v>
      </c>
      <c r="R6459" s="213" t="s">
        <v>53582</v>
      </c>
      <c r="S6459" s="213" t="s">
        <v>53583</v>
      </c>
      <c r="T6459" s="213" t="s">
        <v>53584</v>
      </c>
      <c r="U6459" s="213" t="s">
        <v>54994</v>
      </c>
    </row>
    <row r="6460" spans="1:21" x14ac:dyDescent="0.25">
      <c r="A6460" s="213" t="s">
        <v>327</v>
      </c>
      <c r="D6460" s="213" t="s">
        <v>53585</v>
      </c>
      <c r="E6460" s="213" t="s">
        <v>53586</v>
      </c>
      <c r="K6460" s="213" t="s">
        <v>54920</v>
      </c>
      <c r="L6460" s="213" t="s">
        <v>54945</v>
      </c>
      <c r="M6460" s="213" t="s">
        <v>54970</v>
      </c>
      <c r="N6460" s="213" t="s">
        <v>53587</v>
      </c>
      <c r="O6460" s="213" t="s">
        <v>53588</v>
      </c>
      <c r="P6460" s="213" t="s">
        <v>53589</v>
      </c>
      <c r="Q6460" s="213" t="s">
        <v>53590</v>
      </c>
      <c r="R6460" s="213" t="s">
        <v>53591</v>
      </c>
      <c r="S6460" s="213" t="s">
        <v>53592</v>
      </c>
      <c r="T6460" s="213" t="s">
        <v>53593</v>
      </c>
      <c r="U6460" s="213" t="s">
        <v>54995</v>
      </c>
    </row>
    <row r="6461" spans="1:21" x14ac:dyDescent="0.25">
      <c r="A6461" s="213" t="s">
        <v>327</v>
      </c>
      <c r="D6461" s="213" t="s">
        <v>53594</v>
      </c>
      <c r="E6461" s="213" t="s">
        <v>53595</v>
      </c>
      <c r="K6461" s="213" t="s">
        <v>54921</v>
      </c>
      <c r="L6461" s="213" t="s">
        <v>54946</v>
      </c>
      <c r="M6461" s="213" t="s">
        <v>54971</v>
      </c>
      <c r="N6461" s="213" t="s">
        <v>53596</v>
      </c>
      <c r="O6461" s="213" t="s">
        <v>53597</v>
      </c>
      <c r="P6461" s="213" t="s">
        <v>53598</v>
      </c>
      <c r="Q6461" s="213" t="s">
        <v>53599</v>
      </c>
      <c r="R6461" s="213" t="s">
        <v>53600</v>
      </c>
      <c r="S6461" s="213" t="s">
        <v>53601</v>
      </c>
      <c r="T6461" s="213" t="s">
        <v>53602</v>
      </c>
      <c r="U6461" s="213" t="s">
        <v>54996</v>
      </c>
    </row>
    <row r="6462" spans="1:21" x14ac:dyDescent="0.25">
      <c r="A6462" s="213" t="s">
        <v>327</v>
      </c>
      <c r="D6462" s="213" t="s">
        <v>53603</v>
      </c>
      <c r="E6462" s="213" t="s">
        <v>53604</v>
      </c>
      <c r="K6462" s="213" t="s">
        <v>54922</v>
      </c>
      <c r="L6462" s="213" t="s">
        <v>54947</v>
      </c>
      <c r="M6462" s="213" t="s">
        <v>54972</v>
      </c>
      <c r="N6462" s="213" t="s">
        <v>53605</v>
      </c>
      <c r="O6462" s="213" t="s">
        <v>53606</v>
      </c>
      <c r="P6462" s="213" t="s">
        <v>53607</v>
      </c>
      <c r="Q6462" s="213" t="s">
        <v>53608</v>
      </c>
      <c r="R6462" s="213" t="s">
        <v>53609</v>
      </c>
      <c r="S6462" s="213" t="s">
        <v>53610</v>
      </c>
      <c r="T6462" s="213" t="s">
        <v>53611</v>
      </c>
      <c r="U6462" s="213" t="s">
        <v>54997</v>
      </c>
    </row>
    <row r="6463" spans="1:21" x14ac:dyDescent="0.25">
      <c r="A6463" s="213" t="s">
        <v>327</v>
      </c>
      <c r="D6463" s="213" t="s">
        <v>53612</v>
      </c>
      <c r="E6463" s="213" t="s">
        <v>53613</v>
      </c>
      <c r="K6463" s="213" t="s">
        <v>54923</v>
      </c>
      <c r="L6463" s="213" t="s">
        <v>54948</v>
      </c>
      <c r="M6463" s="213" t="s">
        <v>54973</v>
      </c>
      <c r="N6463" s="213" t="s">
        <v>53614</v>
      </c>
      <c r="O6463" s="213" t="s">
        <v>53615</v>
      </c>
      <c r="P6463" s="213" t="s">
        <v>53616</v>
      </c>
      <c r="Q6463" s="213" t="s">
        <v>53617</v>
      </c>
      <c r="R6463" s="213" t="s">
        <v>53618</v>
      </c>
      <c r="S6463" s="213" t="s">
        <v>53619</v>
      </c>
      <c r="T6463" s="213" t="s">
        <v>53620</v>
      </c>
      <c r="U6463" s="213" t="s">
        <v>54998</v>
      </c>
    </row>
    <row r="6464" spans="1:21" x14ac:dyDescent="0.25">
      <c r="A6464" s="213" t="s">
        <v>327</v>
      </c>
      <c r="D6464" s="213" t="s">
        <v>53621</v>
      </c>
      <c r="E6464" s="213" t="s">
        <v>53622</v>
      </c>
      <c r="K6464" s="213" t="s">
        <v>54924</v>
      </c>
      <c r="L6464" s="213" t="s">
        <v>54949</v>
      </c>
      <c r="M6464" s="213" t="s">
        <v>54974</v>
      </c>
      <c r="N6464" s="213" t="s">
        <v>53623</v>
      </c>
      <c r="O6464" s="213" t="s">
        <v>53624</v>
      </c>
      <c r="P6464" s="213" t="s">
        <v>53625</v>
      </c>
      <c r="Q6464" s="213" t="s">
        <v>53626</v>
      </c>
      <c r="R6464" s="213" t="s">
        <v>53627</v>
      </c>
      <c r="S6464" s="213" t="s">
        <v>53628</v>
      </c>
      <c r="T6464" s="213" t="s">
        <v>53629</v>
      </c>
      <c r="U6464" s="213" t="s">
        <v>54999</v>
      </c>
    </row>
    <row r="6465" spans="1:21" x14ac:dyDescent="0.25">
      <c r="A6465" s="213" t="s">
        <v>327</v>
      </c>
      <c r="D6465" s="213" t="s">
        <v>53630</v>
      </c>
      <c r="E6465" s="213" t="s">
        <v>53631</v>
      </c>
      <c r="K6465" s="213" t="s">
        <v>54925</v>
      </c>
      <c r="L6465" s="213" t="s">
        <v>54950</v>
      </c>
      <c r="M6465" s="213" t="s">
        <v>54975</v>
      </c>
      <c r="N6465" s="213" t="s">
        <v>53632</v>
      </c>
      <c r="O6465" s="213" t="s">
        <v>53633</v>
      </c>
      <c r="P6465" s="213" t="s">
        <v>53634</v>
      </c>
      <c r="Q6465" s="213" t="s">
        <v>53635</v>
      </c>
      <c r="R6465" s="213" t="s">
        <v>53636</v>
      </c>
      <c r="S6465" s="213" t="s">
        <v>53637</v>
      </c>
      <c r="T6465" s="213" t="s">
        <v>53638</v>
      </c>
      <c r="U6465" s="213" t="s">
        <v>55000</v>
      </c>
    </row>
    <row r="6466" spans="1:21" x14ac:dyDescent="0.25">
      <c r="A6466" s="213" t="s">
        <v>327</v>
      </c>
      <c r="D6466" s="213" t="s">
        <v>53639</v>
      </c>
      <c r="E6466" s="213" t="s">
        <v>53640</v>
      </c>
      <c r="K6466" s="213" t="s">
        <v>54926</v>
      </c>
      <c r="L6466" s="213" t="s">
        <v>54951</v>
      </c>
      <c r="M6466" s="213" t="s">
        <v>54976</v>
      </c>
      <c r="N6466" s="213" t="s">
        <v>53641</v>
      </c>
      <c r="O6466" s="213" t="s">
        <v>53642</v>
      </c>
      <c r="P6466" s="213" t="s">
        <v>53643</v>
      </c>
      <c r="Q6466" s="213" t="s">
        <v>53644</v>
      </c>
      <c r="R6466" s="213" t="s">
        <v>53645</v>
      </c>
      <c r="S6466" s="213" t="s">
        <v>53646</v>
      </c>
      <c r="T6466" s="213" t="s">
        <v>53647</v>
      </c>
      <c r="U6466" s="213" t="s">
        <v>55001</v>
      </c>
    </row>
    <row r="6467" spans="1:21" x14ac:dyDescent="0.25">
      <c r="A6467" s="213" t="s">
        <v>327</v>
      </c>
      <c r="D6467" s="213" t="s">
        <v>53648</v>
      </c>
      <c r="E6467" s="213" t="s">
        <v>53649</v>
      </c>
      <c r="K6467" s="213" t="s">
        <v>54927</v>
      </c>
      <c r="L6467" s="213" t="s">
        <v>54952</v>
      </c>
      <c r="M6467" s="213" t="s">
        <v>54977</v>
      </c>
      <c r="N6467" s="213" t="s">
        <v>53650</v>
      </c>
      <c r="O6467" s="213" t="s">
        <v>53651</v>
      </c>
      <c r="P6467" s="213" t="s">
        <v>53652</v>
      </c>
      <c r="Q6467" s="213" t="s">
        <v>53653</v>
      </c>
      <c r="R6467" s="213" t="s">
        <v>53654</v>
      </c>
      <c r="S6467" s="213" t="s">
        <v>53655</v>
      </c>
      <c r="T6467" s="213" t="s">
        <v>53656</v>
      </c>
      <c r="U6467" s="213" t="s">
        <v>55002</v>
      </c>
    </row>
    <row r="6468" spans="1:21" x14ac:dyDescent="0.25">
      <c r="A6468" s="213" t="s">
        <v>327</v>
      </c>
      <c r="D6468" s="213" t="s">
        <v>53657</v>
      </c>
      <c r="E6468" s="213" t="s">
        <v>53658</v>
      </c>
      <c r="K6468" s="213" t="s">
        <v>54928</v>
      </c>
      <c r="L6468" s="213" t="s">
        <v>54953</v>
      </c>
      <c r="M6468" s="213" t="s">
        <v>54978</v>
      </c>
      <c r="N6468" s="213" t="s">
        <v>53659</v>
      </c>
      <c r="O6468" s="213" t="s">
        <v>53660</v>
      </c>
      <c r="P6468" s="213" t="s">
        <v>53661</v>
      </c>
      <c r="Q6468" s="213" t="s">
        <v>53662</v>
      </c>
      <c r="R6468" s="213" t="s">
        <v>53663</v>
      </c>
      <c r="S6468" s="213" t="s">
        <v>53664</v>
      </c>
      <c r="T6468" s="213" t="s">
        <v>53665</v>
      </c>
      <c r="U6468" s="213" t="s">
        <v>55003</v>
      </c>
    </row>
    <row r="6469" spans="1:21" x14ac:dyDescent="0.25">
      <c r="A6469" s="213" t="s">
        <v>327</v>
      </c>
      <c r="D6469" s="213" t="s">
        <v>53666</v>
      </c>
      <c r="E6469" s="213" t="s">
        <v>53667</v>
      </c>
      <c r="K6469" s="213" t="s">
        <v>54929</v>
      </c>
      <c r="L6469" s="213" t="s">
        <v>54954</v>
      </c>
      <c r="M6469" s="213" t="s">
        <v>54979</v>
      </c>
      <c r="N6469" s="213" t="s">
        <v>53668</v>
      </c>
      <c r="O6469" s="213" t="s">
        <v>53669</v>
      </c>
      <c r="P6469" s="213" t="s">
        <v>53670</v>
      </c>
      <c r="Q6469" s="213" t="s">
        <v>53671</v>
      </c>
      <c r="R6469" s="213" t="s">
        <v>53672</v>
      </c>
      <c r="S6469" s="213" t="s">
        <v>53673</v>
      </c>
      <c r="T6469" s="213" t="s">
        <v>53674</v>
      </c>
      <c r="U6469" s="213" t="s">
        <v>55004</v>
      </c>
    </row>
    <row r="6470" spans="1:21" x14ac:dyDescent="0.25">
      <c r="A6470" s="213" t="s">
        <v>327</v>
      </c>
      <c r="D6470" s="213" t="s">
        <v>53675</v>
      </c>
      <c r="E6470" s="213" t="s">
        <v>53676</v>
      </c>
      <c r="K6470" s="213" t="s">
        <v>54930</v>
      </c>
      <c r="L6470" s="213" t="s">
        <v>54955</v>
      </c>
      <c r="M6470" s="213" t="s">
        <v>54980</v>
      </c>
      <c r="N6470" s="213" t="s">
        <v>53677</v>
      </c>
      <c r="O6470" s="213" t="s">
        <v>53678</v>
      </c>
      <c r="P6470" s="213" t="s">
        <v>53679</v>
      </c>
      <c r="Q6470" s="213" t="s">
        <v>53680</v>
      </c>
      <c r="R6470" s="213" t="s">
        <v>53681</v>
      </c>
      <c r="S6470" s="213" t="s">
        <v>53682</v>
      </c>
      <c r="T6470" s="213" t="s">
        <v>53683</v>
      </c>
      <c r="U6470" s="213" t="s">
        <v>55005</v>
      </c>
    </row>
    <row r="6471" spans="1:21" x14ac:dyDescent="0.25">
      <c r="A6471" s="213" t="s">
        <v>327</v>
      </c>
      <c r="D6471" s="213" t="s">
        <v>53684</v>
      </c>
      <c r="E6471" s="213" t="s">
        <v>53685</v>
      </c>
      <c r="K6471" s="213" t="s">
        <v>54931</v>
      </c>
      <c r="L6471" s="213" t="s">
        <v>54956</v>
      </c>
      <c r="M6471" s="213" t="s">
        <v>54981</v>
      </c>
      <c r="N6471" s="213" t="s">
        <v>53686</v>
      </c>
      <c r="O6471" s="213" t="s">
        <v>53687</v>
      </c>
      <c r="P6471" s="213" t="s">
        <v>53688</v>
      </c>
      <c r="Q6471" s="213" t="s">
        <v>53689</v>
      </c>
      <c r="R6471" s="213" t="s">
        <v>53690</v>
      </c>
      <c r="S6471" s="213" t="s">
        <v>53691</v>
      </c>
      <c r="T6471" s="213" t="s">
        <v>53692</v>
      </c>
      <c r="U6471" s="213" t="s">
        <v>55006</v>
      </c>
    </row>
    <row r="6472" spans="1:21" x14ac:dyDescent="0.25">
      <c r="A6472" s="213" t="s">
        <v>327</v>
      </c>
      <c r="D6472" s="213" t="s">
        <v>53693</v>
      </c>
      <c r="E6472" s="213" t="s">
        <v>53694</v>
      </c>
      <c r="K6472" s="213" t="s">
        <v>54932</v>
      </c>
      <c r="L6472" s="213" t="s">
        <v>54957</v>
      </c>
      <c r="M6472" s="213" t="s">
        <v>54982</v>
      </c>
      <c r="N6472" s="213" t="s">
        <v>53695</v>
      </c>
      <c r="O6472" s="213" t="s">
        <v>53696</v>
      </c>
      <c r="P6472" s="213" t="s">
        <v>53697</v>
      </c>
      <c r="Q6472" s="213" t="s">
        <v>53698</v>
      </c>
      <c r="R6472" s="213" t="s">
        <v>53699</v>
      </c>
      <c r="S6472" s="213" t="s">
        <v>53700</v>
      </c>
      <c r="T6472" s="213" t="s">
        <v>53701</v>
      </c>
      <c r="U6472" s="213" t="s">
        <v>55007</v>
      </c>
    </row>
    <row r="6473" spans="1:21" x14ac:dyDescent="0.25">
      <c r="A6473" s="213" t="s">
        <v>327</v>
      </c>
      <c r="D6473" s="213" t="s">
        <v>53702</v>
      </c>
      <c r="E6473" s="213" t="s">
        <v>53703</v>
      </c>
      <c r="K6473" s="213" t="s">
        <v>54933</v>
      </c>
      <c r="L6473" s="213" t="s">
        <v>54958</v>
      </c>
      <c r="M6473" s="213" t="s">
        <v>54983</v>
      </c>
      <c r="N6473" s="213" t="s">
        <v>53704</v>
      </c>
      <c r="O6473" s="213" t="s">
        <v>53705</v>
      </c>
      <c r="P6473" s="213" t="s">
        <v>53706</v>
      </c>
      <c r="Q6473" s="213" t="s">
        <v>53707</v>
      </c>
      <c r="R6473" s="213" t="s">
        <v>53708</v>
      </c>
      <c r="S6473" s="213" t="s">
        <v>53709</v>
      </c>
      <c r="T6473" s="213" t="s">
        <v>53710</v>
      </c>
      <c r="U6473" s="213" t="s">
        <v>55008</v>
      </c>
    </row>
    <row r="6474" spans="1:21" x14ac:dyDescent="0.25">
      <c r="A6474" s="213" t="s">
        <v>327</v>
      </c>
      <c r="D6474" s="213" t="s">
        <v>53711</v>
      </c>
      <c r="E6474" s="213" t="s">
        <v>53712</v>
      </c>
      <c r="K6474" s="213" t="s">
        <v>54934</v>
      </c>
      <c r="L6474" s="213" t="s">
        <v>54959</v>
      </c>
      <c r="M6474" s="213" t="s">
        <v>54984</v>
      </c>
      <c r="N6474" s="213" t="s">
        <v>53713</v>
      </c>
      <c r="O6474" s="213" t="s">
        <v>53714</v>
      </c>
      <c r="P6474" s="213" t="s">
        <v>53715</v>
      </c>
      <c r="Q6474" s="213" t="s">
        <v>53716</v>
      </c>
      <c r="R6474" s="213" t="s">
        <v>53717</v>
      </c>
      <c r="S6474" s="213" t="s">
        <v>53718</v>
      </c>
      <c r="T6474" s="213" t="s">
        <v>53719</v>
      </c>
      <c r="U6474" s="213" t="s">
        <v>55009</v>
      </c>
    </row>
    <row r="6475" spans="1:21" x14ac:dyDescent="0.25">
      <c r="A6475" s="213" t="s">
        <v>327</v>
      </c>
    </row>
    <row r="6476" spans="1:21" x14ac:dyDescent="0.25">
      <c r="A6476" s="213" t="s">
        <v>327</v>
      </c>
    </row>
    <row r="6477" spans="1:21" x14ac:dyDescent="0.25">
      <c r="A6477" s="213" t="s">
        <v>327</v>
      </c>
      <c r="C6477" s="213" t="s">
        <v>53720</v>
      </c>
      <c r="E6477" s="213" t="s">
        <v>53721</v>
      </c>
      <c r="H6477" s="213" t="s">
        <v>53722</v>
      </c>
      <c r="I6477" s="213" t="s">
        <v>53723</v>
      </c>
      <c r="J6477" s="213" t="s">
        <v>53724</v>
      </c>
      <c r="L6477" s="213" t="s">
        <v>53725</v>
      </c>
      <c r="O6477" s="213" t="s">
        <v>53726</v>
      </c>
      <c r="P6477" s="213" t="s">
        <v>53727</v>
      </c>
      <c r="Q6477" s="213" t="s">
        <v>53728</v>
      </c>
      <c r="R6477" s="213" t="s">
        <v>53729</v>
      </c>
      <c r="S6477" s="213" t="s">
        <v>53730</v>
      </c>
      <c r="T6477" s="213" t="s">
        <v>53731</v>
      </c>
    </row>
    <row r="6478" spans="1:21" x14ac:dyDescent="0.25">
      <c r="A6478" s="213" t="s">
        <v>327</v>
      </c>
      <c r="C6478" s="213" t="s">
        <v>53732</v>
      </c>
      <c r="E6478" s="213" t="s">
        <v>53733</v>
      </c>
      <c r="I6478" s="213" t="s">
        <v>53734</v>
      </c>
    </row>
    <row r="6479" spans="1:21" x14ac:dyDescent="0.25">
      <c r="A6479" s="213" t="s">
        <v>327</v>
      </c>
      <c r="C6479" s="213" t="s">
        <v>53735</v>
      </c>
      <c r="E6479" s="213" t="s">
        <v>53736</v>
      </c>
      <c r="I6479" s="213" t="s">
        <v>53737</v>
      </c>
    </row>
    <row r="6480" spans="1:21" x14ac:dyDescent="0.25">
      <c r="A6480" s="213" t="s">
        <v>328</v>
      </c>
    </row>
    <row r="6481" spans="1:21" x14ac:dyDescent="0.25">
      <c r="A6481" s="213" t="s">
        <v>327</v>
      </c>
      <c r="D6481" s="213" t="s">
        <v>53738</v>
      </c>
      <c r="E6481" s="213" t="s">
        <v>53739</v>
      </c>
      <c r="K6481" s="213" t="s">
        <v>54794</v>
      </c>
      <c r="L6481" s="213" t="s">
        <v>54823</v>
      </c>
      <c r="M6481" s="213" t="s">
        <v>54852</v>
      </c>
      <c r="N6481" s="213" t="s">
        <v>53740</v>
      </c>
      <c r="O6481" s="213" t="s">
        <v>53741</v>
      </c>
      <c r="P6481" s="213" t="s">
        <v>53742</v>
      </c>
      <c r="Q6481" s="213" t="s">
        <v>53743</v>
      </c>
      <c r="R6481" s="213" t="s">
        <v>53744</v>
      </c>
      <c r="S6481" s="213" t="s">
        <v>53745</v>
      </c>
      <c r="T6481" s="213" t="s">
        <v>53746</v>
      </c>
      <c r="U6481" s="213" t="s">
        <v>54881</v>
      </c>
    </row>
    <row r="6482" spans="1:21" x14ac:dyDescent="0.25">
      <c r="A6482" s="213" t="s">
        <v>327</v>
      </c>
      <c r="D6482" s="213" t="s">
        <v>53747</v>
      </c>
      <c r="E6482" s="213" t="s">
        <v>53748</v>
      </c>
      <c r="K6482" s="213" t="s">
        <v>54795</v>
      </c>
      <c r="L6482" s="213" t="s">
        <v>54824</v>
      </c>
      <c r="M6482" s="213" t="s">
        <v>54853</v>
      </c>
      <c r="N6482" s="213" t="s">
        <v>53749</v>
      </c>
      <c r="O6482" s="213" t="s">
        <v>53750</v>
      </c>
      <c r="P6482" s="213" t="s">
        <v>53751</v>
      </c>
      <c r="Q6482" s="213" t="s">
        <v>53752</v>
      </c>
      <c r="R6482" s="213" t="s">
        <v>53753</v>
      </c>
      <c r="S6482" s="213" t="s">
        <v>53754</v>
      </c>
      <c r="T6482" s="213" t="s">
        <v>53755</v>
      </c>
      <c r="U6482" s="213" t="s">
        <v>54882</v>
      </c>
    </row>
    <row r="6483" spans="1:21" x14ac:dyDescent="0.25">
      <c r="A6483" s="213" t="s">
        <v>327</v>
      </c>
      <c r="D6483" s="213" t="s">
        <v>53756</v>
      </c>
      <c r="E6483" s="213" t="s">
        <v>53757</v>
      </c>
      <c r="K6483" s="213" t="s">
        <v>54796</v>
      </c>
      <c r="L6483" s="213" t="s">
        <v>54825</v>
      </c>
      <c r="M6483" s="213" t="s">
        <v>54854</v>
      </c>
      <c r="N6483" s="213" t="s">
        <v>53758</v>
      </c>
      <c r="O6483" s="213" t="s">
        <v>53759</v>
      </c>
      <c r="P6483" s="213" t="s">
        <v>53760</v>
      </c>
      <c r="Q6483" s="213" t="s">
        <v>53761</v>
      </c>
      <c r="R6483" s="213" t="s">
        <v>53762</v>
      </c>
      <c r="S6483" s="213" t="s">
        <v>53763</v>
      </c>
      <c r="T6483" s="213" t="s">
        <v>53764</v>
      </c>
      <c r="U6483" s="213" t="s">
        <v>54883</v>
      </c>
    </row>
    <row r="6484" spans="1:21" x14ac:dyDescent="0.25">
      <c r="A6484" s="213" t="s">
        <v>327</v>
      </c>
      <c r="D6484" s="213" t="s">
        <v>53765</v>
      </c>
      <c r="E6484" s="213" t="s">
        <v>53766</v>
      </c>
      <c r="K6484" s="213" t="s">
        <v>54797</v>
      </c>
      <c r="L6484" s="213" t="s">
        <v>54826</v>
      </c>
      <c r="M6484" s="213" t="s">
        <v>54855</v>
      </c>
      <c r="N6484" s="213" t="s">
        <v>53767</v>
      </c>
      <c r="O6484" s="213" t="s">
        <v>53768</v>
      </c>
      <c r="P6484" s="213" t="s">
        <v>53769</v>
      </c>
      <c r="Q6484" s="213" t="s">
        <v>53770</v>
      </c>
      <c r="R6484" s="213" t="s">
        <v>53771</v>
      </c>
      <c r="S6484" s="213" t="s">
        <v>53772</v>
      </c>
      <c r="T6484" s="213" t="s">
        <v>53773</v>
      </c>
      <c r="U6484" s="213" t="s">
        <v>54884</v>
      </c>
    </row>
    <row r="6485" spans="1:21" x14ac:dyDescent="0.25">
      <c r="A6485" s="213" t="s">
        <v>327</v>
      </c>
      <c r="D6485" s="213" t="s">
        <v>53774</v>
      </c>
      <c r="E6485" s="213" t="s">
        <v>53775</v>
      </c>
      <c r="K6485" s="213" t="s">
        <v>54798</v>
      </c>
      <c r="L6485" s="213" t="s">
        <v>54827</v>
      </c>
      <c r="M6485" s="213" t="s">
        <v>54856</v>
      </c>
      <c r="N6485" s="213" t="s">
        <v>53776</v>
      </c>
      <c r="O6485" s="213" t="s">
        <v>53777</v>
      </c>
      <c r="P6485" s="213" t="s">
        <v>53778</v>
      </c>
      <c r="Q6485" s="213" t="s">
        <v>53779</v>
      </c>
      <c r="R6485" s="213" t="s">
        <v>53780</v>
      </c>
      <c r="S6485" s="213" t="s">
        <v>53781</v>
      </c>
      <c r="T6485" s="213" t="s">
        <v>53782</v>
      </c>
      <c r="U6485" s="213" t="s">
        <v>54885</v>
      </c>
    </row>
    <row r="6486" spans="1:21" x14ac:dyDescent="0.25">
      <c r="A6486" s="213" t="s">
        <v>327</v>
      </c>
      <c r="D6486" s="213" t="s">
        <v>53783</v>
      </c>
      <c r="E6486" s="213" t="s">
        <v>53784</v>
      </c>
      <c r="K6486" s="213" t="s">
        <v>54799</v>
      </c>
      <c r="L6486" s="213" t="s">
        <v>54828</v>
      </c>
      <c r="M6486" s="213" t="s">
        <v>54857</v>
      </c>
      <c r="N6486" s="213" t="s">
        <v>53785</v>
      </c>
      <c r="O6486" s="213" t="s">
        <v>53786</v>
      </c>
      <c r="P6486" s="213" t="s">
        <v>53787</v>
      </c>
      <c r="Q6486" s="213" t="s">
        <v>53788</v>
      </c>
      <c r="R6486" s="213" t="s">
        <v>53789</v>
      </c>
      <c r="S6486" s="213" t="s">
        <v>53790</v>
      </c>
      <c r="T6486" s="213" t="s">
        <v>53791</v>
      </c>
      <c r="U6486" s="213" t="s">
        <v>54886</v>
      </c>
    </row>
    <row r="6487" spans="1:21" x14ac:dyDescent="0.25">
      <c r="A6487" s="213" t="s">
        <v>327</v>
      </c>
      <c r="D6487" s="213" t="s">
        <v>53792</v>
      </c>
      <c r="E6487" s="213" t="s">
        <v>53793</v>
      </c>
      <c r="K6487" s="213" t="s">
        <v>54800</v>
      </c>
      <c r="L6487" s="213" t="s">
        <v>54829</v>
      </c>
      <c r="M6487" s="213" t="s">
        <v>54858</v>
      </c>
      <c r="N6487" s="213" t="s">
        <v>53794</v>
      </c>
      <c r="O6487" s="213" t="s">
        <v>53795</v>
      </c>
      <c r="P6487" s="213" t="s">
        <v>53796</v>
      </c>
      <c r="Q6487" s="213" t="s">
        <v>53797</v>
      </c>
      <c r="R6487" s="213" t="s">
        <v>53798</v>
      </c>
      <c r="S6487" s="213" t="s">
        <v>53799</v>
      </c>
      <c r="T6487" s="213" t="s">
        <v>53800</v>
      </c>
      <c r="U6487" s="213" t="s">
        <v>54887</v>
      </c>
    </row>
    <row r="6488" spans="1:21" x14ac:dyDescent="0.25">
      <c r="A6488" s="213" t="s">
        <v>327</v>
      </c>
      <c r="D6488" s="213" t="s">
        <v>53801</v>
      </c>
      <c r="E6488" s="213" t="s">
        <v>53802</v>
      </c>
      <c r="K6488" s="213" t="s">
        <v>54801</v>
      </c>
      <c r="L6488" s="213" t="s">
        <v>54830</v>
      </c>
      <c r="M6488" s="213" t="s">
        <v>54859</v>
      </c>
      <c r="N6488" s="213" t="s">
        <v>53803</v>
      </c>
      <c r="O6488" s="213" t="s">
        <v>53804</v>
      </c>
      <c r="P6488" s="213" t="s">
        <v>53805</v>
      </c>
      <c r="Q6488" s="213" t="s">
        <v>53806</v>
      </c>
      <c r="R6488" s="213" t="s">
        <v>53807</v>
      </c>
      <c r="S6488" s="213" t="s">
        <v>53808</v>
      </c>
      <c r="T6488" s="213" t="s">
        <v>53809</v>
      </c>
      <c r="U6488" s="213" t="s">
        <v>54888</v>
      </c>
    </row>
    <row r="6489" spans="1:21" x14ac:dyDescent="0.25">
      <c r="A6489" s="213" t="s">
        <v>327</v>
      </c>
      <c r="D6489" s="213" t="s">
        <v>53810</v>
      </c>
      <c r="E6489" s="213" t="s">
        <v>53811</v>
      </c>
      <c r="K6489" s="213" t="s">
        <v>54802</v>
      </c>
      <c r="L6489" s="213" t="s">
        <v>54831</v>
      </c>
      <c r="M6489" s="213" t="s">
        <v>54860</v>
      </c>
      <c r="N6489" s="213" t="s">
        <v>53812</v>
      </c>
      <c r="O6489" s="213" t="s">
        <v>53813</v>
      </c>
      <c r="P6489" s="213" t="s">
        <v>53814</v>
      </c>
      <c r="Q6489" s="213" t="s">
        <v>53815</v>
      </c>
      <c r="R6489" s="213" t="s">
        <v>53816</v>
      </c>
      <c r="S6489" s="213" t="s">
        <v>53817</v>
      </c>
      <c r="T6489" s="213" t="s">
        <v>53818</v>
      </c>
      <c r="U6489" s="213" t="s">
        <v>54889</v>
      </c>
    </row>
    <row r="6490" spans="1:21" x14ac:dyDescent="0.25">
      <c r="A6490" s="213" t="s">
        <v>327</v>
      </c>
      <c r="D6490" s="213" t="s">
        <v>53819</v>
      </c>
      <c r="E6490" s="213" t="s">
        <v>53820</v>
      </c>
      <c r="K6490" s="213" t="s">
        <v>54803</v>
      </c>
      <c r="L6490" s="213" t="s">
        <v>54832</v>
      </c>
      <c r="M6490" s="213" t="s">
        <v>54861</v>
      </c>
      <c r="N6490" s="213" t="s">
        <v>53821</v>
      </c>
      <c r="O6490" s="213" t="s">
        <v>53822</v>
      </c>
      <c r="P6490" s="213" t="s">
        <v>53823</v>
      </c>
      <c r="Q6490" s="213" t="s">
        <v>53824</v>
      </c>
      <c r="R6490" s="213" t="s">
        <v>53825</v>
      </c>
      <c r="S6490" s="213" t="s">
        <v>53826</v>
      </c>
      <c r="T6490" s="213" t="s">
        <v>53827</v>
      </c>
      <c r="U6490" s="213" t="s">
        <v>54890</v>
      </c>
    </row>
    <row r="6491" spans="1:21" x14ac:dyDescent="0.25">
      <c r="A6491" s="213" t="s">
        <v>327</v>
      </c>
      <c r="D6491" s="213" t="s">
        <v>53828</v>
      </c>
      <c r="E6491" s="213" t="s">
        <v>53829</v>
      </c>
      <c r="K6491" s="213" t="s">
        <v>54804</v>
      </c>
      <c r="L6491" s="213" t="s">
        <v>54833</v>
      </c>
      <c r="M6491" s="213" t="s">
        <v>54862</v>
      </c>
      <c r="N6491" s="213" t="s">
        <v>53830</v>
      </c>
      <c r="O6491" s="213" t="s">
        <v>53831</v>
      </c>
      <c r="P6491" s="213" t="s">
        <v>53832</v>
      </c>
      <c r="Q6491" s="213" t="s">
        <v>53833</v>
      </c>
      <c r="R6491" s="213" t="s">
        <v>53834</v>
      </c>
      <c r="S6491" s="213" t="s">
        <v>53835</v>
      </c>
      <c r="T6491" s="213" t="s">
        <v>53836</v>
      </c>
      <c r="U6491" s="213" t="s">
        <v>54891</v>
      </c>
    </row>
    <row r="6492" spans="1:21" x14ac:dyDescent="0.25">
      <c r="A6492" s="213" t="s">
        <v>327</v>
      </c>
      <c r="D6492" s="213" t="s">
        <v>53837</v>
      </c>
      <c r="E6492" s="213" t="s">
        <v>53838</v>
      </c>
      <c r="K6492" s="213" t="s">
        <v>54805</v>
      </c>
      <c r="L6492" s="213" t="s">
        <v>54834</v>
      </c>
      <c r="M6492" s="213" t="s">
        <v>54863</v>
      </c>
      <c r="N6492" s="213" t="s">
        <v>53839</v>
      </c>
      <c r="O6492" s="213" t="s">
        <v>53840</v>
      </c>
      <c r="P6492" s="213" t="s">
        <v>53841</v>
      </c>
      <c r="Q6492" s="213" t="s">
        <v>53842</v>
      </c>
      <c r="R6492" s="213" t="s">
        <v>53843</v>
      </c>
      <c r="S6492" s="213" t="s">
        <v>53844</v>
      </c>
      <c r="T6492" s="213" t="s">
        <v>53845</v>
      </c>
      <c r="U6492" s="213" t="s">
        <v>54892</v>
      </c>
    </row>
    <row r="6493" spans="1:21" x14ac:dyDescent="0.25">
      <c r="A6493" s="213" t="s">
        <v>327</v>
      </c>
      <c r="D6493" s="213" t="s">
        <v>53846</v>
      </c>
      <c r="E6493" s="213" t="s">
        <v>53847</v>
      </c>
      <c r="K6493" s="213" t="s">
        <v>54806</v>
      </c>
      <c r="L6493" s="213" t="s">
        <v>54835</v>
      </c>
      <c r="M6493" s="213" t="s">
        <v>54864</v>
      </c>
      <c r="N6493" s="213" t="s">
        <v>53848</v>
      </c>
      <c r="O6493" s="213" t="s">
        <v>53849</v>
      </c>
      <c r="P6493" s="213" t="s">
        <v>53850</v>
      </c>
      <c r="Q6493" s="213" t="s">
        <v>53851</v>
      </c>
      <c r="R6493" s="213" t="s">
        <v>53852</v>
      </c>
      <c r="S6493" s="213" t="s">
        <v>53853</v>
      </c>
      <c r="T6493" s="213" t="s">
        <v>53854</v>
      </c>
      <c r="U6493" s="213" t="s">
        <v>54893</v>
      </c>
    </row>
    <row r="6494" spans="1:21" x14ac:dyDescent="0.25">
      <c r="A6494" s="213" t="s">
        <v>327</v>
      </c>
      <c r="D6494" s="213" t="s">
        <v>53855</v>
      </c>
      <c r="E6494" s="213" t="s">
        <v>53856</v>
      </c>
      <c r="K6494" s="213" t="s">
        <v>54807</v>
      </c>
      <c r="L6494" s="213" t="s">
        <v>54836</v>
      </c>
      <c r="M6494" s="213" t="s">
        <v>54865</v>
      </c>
      <c r="N6494" s="213" t="s">
        <v>53857</v>
      </c>
      <c r="O6494" s="213" t="s">
        <v>53858</v>
      </c>
      <c r="P6494" s="213" t="s">
        <v>53859</v>
      </c>
      <c r="Q6494" s="213" t="s">
        <v>53860</v>
      </c>
      <c r="R6494" s="213" t="s">
        <v>53861</v>
      </c>
      <c r="S6494" s="213" t="s">
        <v>53862</v>
      </c>
      <c r="T6494" s="213" t="s">
        <v>53863</v>
      </c>
      <c r="U6494" s="213" t="s">
        <v>54894</v>
      </c>
    </row>
    <row r="6495" spans="1:21" x14ac:dyDescent="0.25">
      <c r="A6495" s="213" t="s">
        <v>327</v>
      </c>
      <c r="D6495" s="213" t="s">
        <v>53864</v>
      </c>
      <c r="E6495" s="213" t="s">
        <v>53865</v>
      </c>
      <c r="K6495" s="213" t="s">
        <v>54808</v>
      </c>
      <c r="L6495" s="213" t="s">
        <v>54837</v>
      </c>
      <c r="M6495" s="213" t="s">
        <v>54866</v>
      </c>
      <c r="N6495" s="213" t="s">
        <v>53866</v>
      </c>
      <c r="O6495" s="213" t="s">
        <v>53867</v>
      </c>
      <c r="P6495" s="213" t="s">
        <v>53868</v>
      </c>
      <c r="Q6495" s="213" t="s">
        <v>53869</v>
      </c>
      <c r="R6495" s="213" t="s">
        <v>53870</v>
      </c>
      <c r="S6495" s="213" t="s">
        <v>53871</v>
      </c>
      <c r="T6495" s="213" t="s">
        <v>53872</v>
      </c>
      <c r="U6495" s="213" t="s">
        <v>54895</v>
      </c>
    </row>
    <row r="6496" spans="1:21" x14ac:dyDescent="0.25">
      <c r="A6496" s="213" t="s">
        <v>327</v>
      </c>
      <c r="D6496" s="213" t="s">
        <v>53873</v>
      </c>
      <c r="E6496" s="213" t="s">
        <v>53874</v>
      </c>
      <c r="K6496" s="213" t="s">
        <v>54809</v>
      </c>
      <c r="L6496" s="213" t="s">
        <v>54838</v>
      </c>
      <c r="M6496" s="213" t="s">
        <v>54867</v>
      </c>
      <c r="N6496" s="213" t="s">
        <v>53875</v>
      </c>
      <c r="O6496" s="213" t="s">
        <v>53876</v>
      </c>
      <c r="P6496" s="213" t="s">
        <v>53877</v>
      </c>
      <c r="Q6496" s="213" t="s">
        <v>53878</v>
      </c>
      <c r="R6496" s="213" t="s">
        <v>53879</v>
      </c>
      <c r="S6496" s="213" t="s">
        <v>53880</v>
      </c>
      <c r="T6496" s="213" t="s">
        <v>53881</v>
      </c>
      <c r="U6496" s="213" t="s">
        <v>54896</v>
      </c>
    </row>
    <row r="6497" spans="1:21" x14ac:dyDescent="0.25">
      <c r="A6497" s="213" t="s">
        <v>327</v>
      </c>
      <c r="D6497" s="213" t="s">
        <v>53882</v>
      </c>
      <c r="E6497" s="213" t="s">
        <v>53883</v>
      </c>
      <c r="K6497" s="213" t="s">
        <v>54810</v>
      </c>
      <c r="L6497" s="213" t="s">
        <v>54839</v>
      </c>
      <c r="M6497" s="213" t="s">
        <v>54868</v>
      </c>
      <c r="N6497" s="213" t="s">
        <v>53884</v>
      </c>
      <c r="O6497" s="213" t="s">
        <v>53885</v>
      </c>
      <c r="P6497" s="213" t="s">
        <v>53886</v>
      </c>
      <c r="Q6497" s="213" t="s">
        <v>53887</v>
      </c>
      <c r="R6497" s="213" t="s">
        <v>53888</v>
      </c>
      <c r="S6497" s="213" t="s">
        <v>53889</v>
      </c>
      <c r="T6497" s="213" t="s">
        <v>53890</v>
      </c>
      <c r="U6497" s="213" t="s">
        <v>54897</v>
      </c>
    </row>
    <row r="6498" spans="1:21" x14ac:dyDescent="0.25">
      <c r="A6498" s="213" t="s">
        <v>327</v>
      </c>
      <c r="D6498" s="213" t="s">
        <v>53891</v>
      </c>
      <c r="E6498" s="213" t="s">
        <v>53892</v>
      </c>
      <c r="K6498" s="213" t="s">
        <v>54811</v>
      </c>
      <c r="L6498" s="213" t="s">
        <v>54840</v>
      </c>
      <c r="M6498" s="213" t="s">
        <v>54869</v>
      </c>
      <c r="N6498" s="213" t="s">
        <v>53893</v>
      </c>
      <c r="O6498" s="213" t="s">
        <v>53894</v>
      </c>
      <c r="P6498" s="213" t="s">
        <v>53895</v>
      </c>
      <c r="Q6498" s="213" t="s">
        <v>53896</v>
      </c>
      <c r="R6498" s="213" t="s">
        <v>53897</v>
      </c>
      <c r="S6498" s="213" t="s">
        <v>53898</v>
      </c>
      <c r="T6498" s="213" t="s">
        <v>53899</v>
      </c>
      <c r="U6498" s="213" t="s">
        <v>54898</v>
      </c>
    </row>
    <row r="6499" spans="1:21" x14ac:dyDescent="0.25">
      <c r="A6499" s="213" t="s">
        <v>327</v>
      </c>
      <c r="D6499" s="213" t="s">
        <v>53900</v>
      </c>
      <c r="E6499" s="213" t="s">
        <v>53901</v>
      </c>
      <c r="K6499" s="213" t="s">
        <v>54812</v>
      </c>
      <c r="L6499" s="213" t="s">
        <v>54841</v>
      </c>
      <c r="M6499" s="213" t="s">
        <v>54870</v>
      </c>
      <c r="N6499" s="213" t="s">
        <v>53902</v>
      </c>
      <c r="O6499" s="213" t="s">
        <v>53903</v>
      </c>
      <c r="P6499" s="213" t="s">
        <v>53904</v>
      </c>
      <c r="Q6499" s="213" t="s">
        <v>53905</v>
      </c>
      <c r="R6499" s="213" t="s">
        <v>53906</v>
      </c>
      <c r="S6499" s="213" t="s">
        <v>53907</v>
      </c>
      <c r="T6499" s="213" t="s">
        <v>53908</v>
      </c>
      <c r="U6499" s="213" t="s">
        <v>54899</v>
      </c>
    </row>
    <row r="6500" spans="1:21" x14ac:dyDescent="0.25">
      <c r="A6500" s="213" t="s">
        <v>327</v>
      </c>
      <c r="D6500" s="213" t="s">
        <v>53909</v>
      </c>
      <c r="E6500" s="213" t="s">
        <v>53910</v>
      </c>
      <c r="K6500" s="213" t="s">
        <v>54813</v>
      </c>
      <c r="L6500" s="213" t="s">
        <v>54842</v>
      </c>
      <c r="M6500" s="213" t="s">
        <v>54871</v>
      </c>
      <c r="N6500" s="213" t="s">
        <v>53911</v>
      </c>
      <c r="O6500" s="213" t="s">
        <v>53912</v>
      </c>
      <c r="P6500" s="213" t="s">
        <v>53913</v>
      </c>
      <c r="Q6500" s="213" t="s">
        <v>53914</v>
      </c>
      <c r="R6500" s="213" t="s">
        <v>53915</v>
      </c>
      <c r="S6500" s="213" t="s">
        <v>53916</v>
      </c>
      <c r="T6500" s="213" t="s">
        <v>53917</v>
      </c>
      <c r="U6500" s="213" t="s">
        <v>54900</v>
      </c>
    </row>
    <row r="6501" spans="1:21" x14ac:dyDescent="0.25">
      <c r="A6501" s="213" t="s">
        <v>327</v>
      </c>
      <c r="D6501" s="213" t="s">
        <v>53918</v>
      </c>
      <c r="E6501" s="213" t="s">
        <v>53919</v>
      </c>
      <c r="K6501" s="213" t="s">
        <v>54814</v>
      </c>
      <c r="L6501" s="213" t="s">
        <v>54843</v>
      </c>
      <c r="M6501" s="213" t="s">
        <v>54872</v>
      </c>
      <c r="N6501" s="213" t="s">
        <v>53920</v>
      </c>
      <c r="O6501" s="213" t="s">
        <v>53921</v>
      </c>
      <c r="P6501" s="213" t="s">
        <v>53922</v>
      </c>
      <c r="Q6501" s="213" t="s">
        <v>53923</v>
      </c>
      <c r="R6501" s="213" t="s">
        <v>53924</v>
      </c>
      <c r="S6501" s="213" t="s">
        <v>53925</v>
      </c>
      <c r="T6501" s="213" t="s">
        <v>53926</v>
      </c>
      <c r="U6501" s="213" t="s">
        <v>54901</v>
      </c>
    </row>
    <row r="6502" spans="1:21" x14ac:dyDescent="0.25">
      <c r="A6502" s="213" t="s">
        <v>327</v>
      </c>
      <c r="D6502" s="213" t="s">
        <v>53927</v>
      </c>
      <c r="E6502" s="213" t="s">
        <v>53928</v>
      </c>
      <c r="K6502" s="213" t="s">
        <v>54815</v>
      </c>
      <c r="L6502" s="213" t="s">
        <v>54844</v>
      </c>
      <c r="M6502" s="213" t="s">
        <v>54873</v>
      </c>
      <c r="N6502" s="213" t="s">
        <v>53929</v>
      </c>
      <c r="O6502" s="213" t="s">
        <v>53930</v>
      </c>
      <c r="P6502" s="213" t="s">
        <v>53931</v>
      </c>
      <c r="Q6502" s="213" t="s">
        <v>53932</v>
      </c>
      <c r="R6502" s="213" t="s">
        <v>53933</v>
      </c>
      <c r="S6502" s="213" t="s">
        <v>53934</v>
      </c>
      <c r="T6502" s="213" t="s">
        <v>53935</v>
      </c>
      <c r="U6502" s="213" t="s">
        <v>54902</v>
      </c>
    </row>
    <row r="6503" spans="1:21" x14ac:dyDescent="0.25">
      <c r="A6503" s="213" t="s">
        <v>327</v>
      </c>
      <c r="D6503" s="213" t="s">
        <v>53936</v>
      </c>
      <c r="E6503" s="213" t="s">
        <v>53937</v>
      </c>
      <c r="K6503" s="213" t="s">
        <v>54816</v>
      </c>
      <c r="L6503" s="213" t="s">
        <v>54845</v>
      </c>
      <c r="M6503" s="213" t="s">
        <v>54874</v>
      </c>
      <c r="N6503" s="213" t="s">
        <v>53938</v>
      </c>
      <c r="O6503" s="213" t="s">
        <v>53939</v>
      </c>
      <c r="P6503" s="213" t="s">
        <v>53940</v>
      </c>
      <c r="Q6503" s="213" t="s">
        <v>53941</v>
      </c>
      <c r="R6503" s="213" t="s">
        <v>53942</v>
      </c>
      <c r="S6503" s="213" t="s">
        <v>53943</v>
      </c>
      <c r="T6503" s="213" t="s">
        <v>53944</v>
      </c>
      <c r="U6503" s="213" t="s">
        <v>54903</v>
      </c>
    </row>
    <row r="6504" spans="1:21" x14ac:dyDescent="0.25">
      <c r="A6504" s="213" t="s">
        <v>327</v>
      </c>
      <c r="D6504" s="213" t="s">
        <v>53945</v>
      </c>
      <c r="E6504" s="213" t="s">
        <v>53946</v>
      </c>
      <c r="K6504" s="213" t="s">
        <v>54817</v>
      </c>
      <c r="L6504" s="213" t="s">
        <v>54846</v>
      </c>
      <c r="M6504" s="213" t="s">
        <v>54875</v>
      </c>
      <c r="N6504" s="213" t="s">
        <v>53947</v>
      </c>
      <c r="O6504" s="213" t="s">
        <v>53948</v>
      </c>
      <c r="P6504" s="213" t="s">
        <v>53949</v>
      </c>
      <c r="Q6504" s="213" t="s">
        <v>53950</v>
      </c>
      <c r="R6504" s="213" t="s">
        <v>53951</v>
      </c>
      <c r="S6504" s="213" t="s">
        <v>53952</v>
      </c>
      <c r="T6504" s="213" t="s">
        <v>53953</v>
      </c>
      <c r="U6504" s="213" t="s">
        <v>54904</v>
      </c>
    </row>
    <row r="6505" spans="1:21" x14ac:dyDescent="0.25">
      <c r="A6505" s="213" t="s">
        <v>327</v>
      </c>
      <c r="D6505" s="213" t="s">
        <v>53954</v>
      </c>
      <c r="E6505" s="213" t="s">
        <v>53955</v>
      </c>
      <c r="K6505" s="213" t="s">
        <v>54818</v>
      </c>
      <c r="L6505" s="213" t="s">
        <v>54847</v>
      </c>
      <c r="M6505" s="213" t="s">
        <v>54876</v>
      </c>
      <c r="N6505" s="213" t="s">
        <v>53956</v>
      </c>
      <c r="O6505" s="213" t="s">
        <v>53957</v>
      </c>
      <c r="P6505" s="213" t="s">
        <v>53958</v>
      </c>
      <c r="Q6505" s="213" t="s">
        <v>53959</v>
      </c>
      <c r="R6505" s="213" t="s">
        <v>53960</v>
      </c>
      <c r="S6505" s="213" t="s">
        <v>53961</v>
      </c>
      <c r="T6505" s="213" t="s">
        <v>53962</v>
      </c>
      <c r="U6505" s="213" t="s">
        <v>54905</v>
      </c>
    </row>
    <row r="6506" spans="1:21" x14ac:dyDescent="0.25">
      <c r="A6506" s="213" t="s">
        <v>327</v>
      </c>
      <c r="D6506" s="213" t="s">
        <v>53963</v>
      </c>
      <c r="E6506" s="213" t="s">
        <v>53964</v>
      </c>
      <c r="K6506" s="213" t="s">
        <v>54819</v>
      </c>
      <c r="L6506" s="213" t="s">
        <v>54848</v>
      </c>
      <c r="M6506" s="213" t="s">
        <v>54877</v>
      </c>
      <c r="N6506" s="213" t="s">
        <v>53965</v>
      </c>
      <c r="O6506" s="213" t="s">
        <v>53966</v>
      </c>
      <c r="P6506" s="213" t="s">
        <v>53967</v>
      </c>
      <c r="Q6506" s="213" t="s">
        <v>53968</v>
      </c>
      <c r="R6506" s="213" t="s">
        <v>53969</v>
      </c>
      <c r="S6506" s="213" t="s">
        <v>53970</v>
      </c>
      <c r="T6506" s="213" t="s">
        <v>53971</v>
      </c>
      <c r="U6506" s="213" t="s">
        <v>54906</v>
      </c>
    </row>
    <row r="6507" spans="1:21" x14ac:dyDescent="0.25">
      <c r="A6507" s="213" t="s">
        <v>327</v>
      </c>
      <c r="D6507" s="213" t="s">
        <v>53972</v>
      </c>
      <c r="E6507" s="213" t="s">
        <v>53973</v>
      </c>
      <c r="K6507" s="213" t="s">
        <v>54820</v>
      </c>
      <c r="L6507" s="213" t="s">
        <v>54849</v>
      </c>
      <c r="M6507" s="213" t="s">
        <v>54878</v>
      </c>
      <c r="N6507" s="213" t="s">
        <v>53974</v>
      </c>
      <c r="O6507" s="213" t="s">
        <v>53975</v>
      </c>
      <c r="P6507" s="213" t="s">
        <v>53976</v>
      </c>
      <c r="Q6507" s="213" t="s">
        <v>53977</v>
      </c>
      <c r="R6507" s="213" t="s">
        <v>53978</v>
      </c>
      <c r="S6507" s="213" t="s">
        <v>53979</v>
      </c>
      <c r="T6507" s="213" t="s">
        <v>53980</v>
      </c>
      <c r="U6507" s="213" t="s">
        <v>54907</v>
      </c>
    </row>
    <row r="6508" spans="1:21" x14ac:dyDescent="0.25">
      <c r="A6508" s="213" t="s">
        <v>327</v>
      </c>
      <c r="D6508" s="213" t="s">
        <v>53981</v>
      </c>
      <c r="E6508" s="213" t="s">
        <v>53982</v>
      </c>
      <c r="K6508" s="213" t="s">
        <v>54821</v>
      </c>
      <c r="L6508" s="213" t="s">
        <v>54850</v>
      </c>
      <c r="M6508" s="213" t="s">
        <v>54879</v>
      </c>
      <c r="N6508" s="213" t="s">
        <v>53983</v>
      </c>
      <c r="O6508" s="213" t="s">
        <v>53984</v>
      </c>
      <c r="P6508" s="213" t="s">
        <v>53985</v>
      </c>
      <c r="Q6508" s="213" t="s">
        <v>53986</v>
      </c>
      <c r="R6508" s="213" t="s">
        <v>53987</v>
      </c>
      <c r="S6508" s="213" t="s">
        <v>53988</v>
      </c>
      <c r="T6508" s="213" t="s">
        <v>53989</v>
      </c>
      <c r="U6508" s="213" t="s">
        <v>54908</v>
      </c>
    </row>
    <row r="6509" spans="1:21" x14ac:dyDescent="0.25">
      <c r="A6509" s="213" t="s">
        <v>327</v>
      </c>
      <c r="D6509" s="213" t="s">
        <v>53990</v>
      </c>
      <c r="E6509" s="213" t="s">
        <v>53991</v>
      </c>
      <c r="K6509" s="213" t="s">
        <v>54822</v>
      </c>
      <c r="L6509" s="213" t="s">
        <v>54851</v>
      </c>
      <c r="M6509" s="213" t="s">
        <v>54880</v>
      </c>
      <c r="N6509" s="213" t="s">
        <v>53992</v>
      </c>
      <c r="O6509" s="213" t="s">
        <v>53993</v>
      </c>
      <c r="P6509" s="213" t="s">
        <v>53994</v>
      </c>
      <c r="Q6509" s="213" t="s">
        <v>53995</v>
      </c>
      <c r="R6509" s="213" t="s">
        <v>53996</v>
      </c>
      <c r="S6509" s="213" t="s">
        <v>53997</v>
      </c>
      <c r="T6509" s="213" t="s">
        <v>53998</v>
      </c>
      <c r="U6509" s="213" t="s">
        <v>54909</v>
      </c>
    </row>
    <row r="6510" spans="1:21" x14ac:dyDescent="0.25">
      <c r="A6510" s="213" t="s">
        <v>327</v>
      </c>
    </row>
    <row r="6511" spans="1:21" x14ac:dyDescent="0.25">
      <c r="A6511" s="213" t="s">
        <v>327</v>
      </c>
    </row>
    <row r="6512" spans="1:21" x14ac:dyDescent="0.25">
      <c r="A6512" s="213" t="s">
        <v>327</v>
      </c>
      <c r="C6512" s="213" t="s">
        <v>53999</v>
      </c>
      <c r="E6512" s="213" t="s">
        <v>54000</v>
      </c>
      <c r="H6512" s="213" t="s">
        <v>54001</v>
      </c>
      <c r="I6512" s="213" t="s">
        <v>54002</v>
      </c>
      <c r="J6512" s="213" t="s">
        <v>54003</v>
      </c>
      <c r="L6512" s="213" t="s">
        <v>54004</v>
      </c>
      <c r="O6512" s="213" t="s">
        <v>54005</v>
      </c>
      <c r="P6512" s="213" t="s">
        <v>54006</v>
      </c>
      <c r="Q6512" s="213" t="s">
        <v>54007</v>
      </c>
      <c r="R6512" s="213" t="s">
        <v>54008</v>
      </c>
      <c r="S6512" s="213" t="s">
        <v>54009</v>
      </c>
      <c r="T6512" s="213" t="s">
        <v>54010</v>
      </c>
    </row>
    <row r="6513" spans="1:21" x14ac:dyDescent="0.25">
      <c r="A6513" s="213" t="s">
        <v>327</v>
      </c>
      <c r="C6513" s="213" t="s">
        <v>54011</v>
      </c>
      <c r="E6513" s="213" t="s">
        <v>54012</v>
      </c>
      <c r="I6513" s="213" t="s">
        <v>54013</v>
      </c>
    </row>
    <row r="6514" spans="1:21" x14ac:dyDescent="0.25">
      <c r="A6514" s="213" t="s">
        <v>327</v>
      </c>
      <c r="C6514" s="213" t="s">
        <v>54014</v>
      </c>
      <c r="E6514" s="213" t="s">
        <v>54015</v>
      </c>
      <c r="I6514" s="213" t="s">
        <v>54016</v>
      </c>
    </row>
    <row r="6515" spans="1:21" x14ac:dyDescent="0.25">
      <c r="A6515" s="213" t="s">
        <v>328</v>
      </c>
    </row>
    <row r="6516" spans="1:21" x14ac:dyDescent="0.25">
      <c r="A6516" s="213" t="s">
        <v>327</v>
      </c>
      <c r="D6516" s="213" t="s">
        <v>54017</v>
      </c>
      <c r="E6516" s="213" t="s">
        <v>54018</v>
      </c>
      <c r="K6516" s="213" t="s">
        <v>54614</v>
      </c>
      <c r="L6516" s="213" t="s">
        <v>54659</v>
      </c>
      <c r="M6516" s="213" t="s">
        <v>54704</v>
      </c>
      <c r="N6516" s="213" t="s">
        <v>54019</v>
      </c>
      <c r="O6516" s="213" t="s">
        <v>54020</v>
      </c>
      <c r="P6516" s="213" t="s">
        <v>54021</v>
      </c>
      <c r="Q6516" s="213" t="s">
        <v>54022</v>
      </c>
      <c r="R6516" s="213" t="s">
        <v>54023</v>
      </c>
      <c r="S6516" s="213" t="s">
        <v>54024</v>
      </c>
      <c r="T6516" s="213" t="s">
        <v>54025</v>
      </c>
      <c r="U6516" s="213" t="s">
        <v>54749</v>
      </c>
    </row>
    <row r="6517" spans="1:21" x14ac:dyDescent="0.25">
      <c r="A6517" s="213" t="s">
        <v>327</v>
      </c>
      <c r="D6517" s="213" t="s">
        <v>54026</v>
      </c>
      <c r="E6517" s="213" t="s">
        <v>54027</v>
      </c>
      <c r="K6517" s="213" t="s">
        <v>54615</v>
      </c>
      <c r="L6517" s="213" t="s">
        <v>54660</v>
      </c>
      <c r="M6517" s="213" t="s">
        <v>54705</v>
      </c>
      <c r="N6517" s="213" t="s">
        <v>54028</v>
      </c>
      <c r="O6517" s="213" t="s">
        <v>54029</v>
      </c>
      <c r="P6517" s="213" t="s">
        <v>54030</v>
      </c>
      <c r="Q6517" s="213" t="s">
        <v>54031</v>
      </c>
      <c r="R6517" s="213" t="s">
        <v>54032</v>
      </c>
      <c r="S6517" s="213" t="s">
        <v>54033</v>
      </c>
      <c r="T6517" s="213" t="s">
        <v>54034</v>
      </c>
      <c r="U6517" s="213" t="s">
        <v>54750</v>
      </c>
    </row>
    <row r="6518" spans="1:21" x14ac:dyDescent="0.25">
      <c r="A6518" s="213" t="s">
        <v>327</v>
      </c>
      <c r="D6518" s="213" t="s">
        <v>54035</v>
      </c>
      <c r="E6518" s="213" t="s">
        <v>54036</v>
      </c>
      <c r="K6518" s="213" t="s">
        <v>54616</v>
      </c>
      <c r="L6518" s="213" t="s">
        <v>54661</v>
      </c>
      <c r="M6518" s="213" t="s">
        <v>54706</v>
      </c>
      <c r="N6518" s="213" t="s">
        <v>54037</v>
      </c>
      <c r="O6518" s="213" t="s">
        <v>54038</v>
      </c>
      <c r="P6518" s="213" t="s">
        <v>54039</v>
      </c>
      <c r="Q6518" s="213" t="s">
        <v>54040</v>
      </c>
      <c r="R6518" s="213" t="s">
        <v>54041</v>
      </c>
      <c r="S6518" s="213" t="s">
        <v>54042</v>
      </c>
      <c r="T6518" s="213" t="s">
        <v>54043</v>
      </c>
      <c r="U6518" s="213" t="s">
        <v>54751</v>
      </c>
    </row>
    <row r="6519" spans="1:21" x14ac:dyDescent="0.25">
      <c r="A6519" s="213" t="s">
        <v>327</v>
      </c>
      <c r="D6519" s="213" t="s">
        <v>54044</v>
      </c>
      <c r="E6519" s="213" t="s">
        <v>54045</v>
      </c>
      <c r="K6519" s="213" t="s">
        <v>54617</v>
      </c>
      <c r="L6519" s="213" t="s">
        <v>54662</v>
      </c>
      <c r="M6519" s="213" t="s">
        <v>54707</v>
      </c>
      <c r="N6519" s="213" t="s">
        <v>54046</v>
      </c>
      <c r="O6519" s="213" t="s">
        <v>54047</v>
      </c>
      <c r="P6519" s="213" t="s">
        <v>54048</v>
      </c>
      <c r="Q6519" s="213" t="s">
        <v>54049</v>
      </c>
      <c r="R6519" s="213" t="s">
        <v>54050</v>
      </c>
      <c r="S6519" s="213" t="s">
        <v>54051</v>
      </c>
      <c r="T6519" s="213" t="s">
        <v>54052</v>
      </c>
      <c r="U6519" s="213" t="s">
        <v>54752</v>
      </c>
    </row>
    <row r="6520" spans="1:21" x14ac:dyDescent="0.25">
      <c r="A6520" s="213" t="s">
        <v>327</v>
      </c>
      <c r="D6520" s="213" t="s">
        <v>54053</v>
      </c>
      <c r="E6520" s="213" t="s">
        <v>54054</v>
      </c>
      <c r="K6520" s="213" t="s">
        <v>54618</v>
      </c>
      <c r="L6520" s="213" t="s">
        <v>54663</v>
      </c>
      <c r="M6520" s="213" t="s">
        <v>54708</v>
      </c>
      <c r="N6520" s="213" t="s">
        <v>54055</v>
      </c>
      <c r="O6520" s="213" t="s">
        <v>54056</v>
      </c>
      <c r="P6520" s="213" t="s">
        <v>54057</v>
      </c>
      <c r="Q6520" s="213" t="s">
        <v>54058</v>
      </c>
      <c r="R6520" s="213" t="s">
        <v>54059</v>
      </c>
      <c r="S6520" s="213" t="s">
        <v>54060</v>
      </c>
      <c r="T6520" s="213" t="s">
        <v>54061</v>
      </c>
      <c r="U6520" s="213" t="s">
        <v>54753</v>
      </c>
    </row>
    <row r="6521" spans="1:21" x14ac:dyDescent="0.25">
      <c r="A6521" s="213" t="s">
        <v>327</v>
      </c>
      <c r="D6521" s="213" t="s">
        <v>54062</v>
      </c>
      <c r="E6521" s="213" t="s">
        <v>54063</v>
      </c>
      <c r="K6521" s="213" t="s">
        <v>54619</v>
      </c>
      <c r="L6521" s="213" t="s">
        <v>54664</v>
      </c>
      <c r="M6521" s="213" t="s">
        <v>54709</v>
      </c>
      <c r="N6521" s="213" t="s">
        <v>54064</v>
      </c>
      <c r="O6521" s="213" t="s">
        <v>54065</v>
      </c>
      <c r="P6521" s="213" t="s">
        <v>54066</v>
      </c>
      <c r="Q6521" s="213" t="s">
        <v>54067</v>
      </c>
      <c r="R6521" s="213" t="s">
        <v>54068</v>
      </c>
      <c r="S6521" s="213" t="s">
        <v>54069</v>
      </c>
      <c r="T6521" s="213" t="s">
        <v>54070</v>
      </c>
      <c r="U6521" s="213" t="s">
        <v>54754</v>
      </c>
    </row>
    <row r="6522" spans="1:21" x14ac:dyDescent="0.25">
      <c r="A6522" s="213" t="s">
        <v>327</v>
      </c>
      <c r="D6522" s="213" t="s">
        <v>54071</v>
      </c>
      <c r="E6522" s="213" t="s">
        <v>54072</v>
      </c>
      <c r="K6522" s="213" t="s">
        <v>54620</v>
      </c>
      <c r="L6522" s="213" t="s">
        <v>54665</v>
      </c>
      <c r="M6522" s="213" t="s">
        <v>54710</v>
      </c>
      <c r="N6522" s="213" t="s">
        <v>54073</v>
      </c>
      <c r="O6522" s="213" t="s">
        <v>54074</v>
      </c>
      <c r="P6522" s="213" t="s">
        <v>54075</v>
      </c>
      <c r="Q6522" s="213" t="s">
        <v>54076</v>
      </c>
      <c r="R6522" s="213" t="s">
        <v>54077</v>
      </c>
      <c r="S6522" s="213" t="s">
        <v>54078</v>
      </c>
      <c r="T6522" s="213" t="s">
        <v>54079</v>
      </c>
      <c r="U6522" s="213" t="s">
        <v>54755</v>
      </c>
    </row>
    <row r="6523" spans="1:21" x14ac:dyDescent="0.25">
      <c r="A6523" s="213" t="s">
        <v>327</v>
      </c>
      <c r="D6523" s="213" t="s">
        <v>54080</v>
      </c>
      <c r="E6523" s="213" t="s">
        <v>54081</v>
      </c>
      <c r="K6523" s="213" t="s">
        <v>54621</v>
      </c>
      <c r="L6523" s="213" t="s">
        <v>54666</v>
      </c>
      <c r="M6523" s="213" t="s">
        <v>54711</v>
      </c>
      <c r="N6523" s="213" t="s">
        <v>54082</v>
      </c>
      <c r="O6523" s="213" t="s">
        <v>54083</v>
      </c>
      <c r="P6523" s="213" t="s">
        <v>54084</v>
      </c>
      <c r="Q6523" s="213" t="s">
        <v>54085</v>
      </c>
      <c r="R6523" s="213" t="s">
        <v>54086</v>
      </c>
      <c r="S6523" s="213" t="s">
        <v>54087</v>
      </c>
      <c r="T6523" s="213" t="s">
        <v>54088</v>
      </c>
      <c r="U6523" s="213" t="s">
        <v>54756</v>
      </c>
    </row>
    <row r="6524" spans="1:21" x14ac:dyDescent="0.25">
      <c r="A6524" s="213" t="s">
        <v>327</v>
      </c>
      <c r="D6524" s="213" t="s">
        <v>54089</v>
      </c>
      <c r="E6524" s="213" t="s">
        <v>54090</v>
      </c>
      <c r="K6524" s="213" t="s">
        <v>54622</v>
      </c>
      <c r="L6524" s="213" t="s">
        <v>54667</v>
      </c>
      <c r="M6524" s="213" t="s">
        <v>54712</v>
      </c>
      <c r="N6524" s="213" t="s">
        <v>54091</v>
      </c>
      <c r="O6524" s="213" t="s">
        <v>54092</v>
      </c>
      <c r="P6524" s="213" t="s">
        <v>54093</v>
      </c>
      <c r="Q6524" s="213" t="s">
        <v>54094</v>
      </c>
      <c r="R6524" s="213" t="s">
        <v>54095</v>
      </c>
      <c r="S6524" s="213" t="s">
        <v>54096</v>
      </c>
      <c r="T6524" s="213" t="s">
        <v>54097</v>
      </c>
      <c r="U6524" s="213" t="s">
        <v>54757</v>
      </c>
    </row>
    <row r="6525" spans="1:21" x14ac:dyDescent="0.25">
      <c r="A6525" s="213" t="s">
        <v>327</v>
      </c>
      <c r="D6525" s="213" t="s">
        <v>54098</v>
      </c>
      <c r="E6525" s="213" t="s">
        <v>54099</v>
      </c>
      <c r="K6525" s="213" t="s">
        <v>54623</v>
      </c>
      <c r="L6525" s="213" t="s">
        <v>54668</v>
      </c>
      <c r="M6525" s="213" t="s">
        <v>54713</v>
      </c>
      <c r="N6525" s="213" t="s">
        <v>54100</v>
      </c>
      <c r="O6525" s="213" t="s">
        <v>54101</v>
      </c>
      <c r="P6525" s="213" t="s">
        <v>54102</v>
      </c>
      <c r="Q6525" s="213" t="s">
        <v>54103</v>
      </c>
      <c r="R6525" s="213" t="s">
        <v>54104</v>
      </c>
      <c r="S6525" s="213" t="s">
        <v>54105</v>
      </c>
      <c r="T6525" s="213" t="s">
        <v>54106</v>
      </c>
      <c r="U6525" s="213" t="s">
        <v>54758</v>
      </c>
    </row>
    <row r="6526" spans="1:21" x14ac:dyDescent="0.25">
      <c r="A6526" s="213" t="s">
        <v>327</v>
      </c>
      <c r="D6526" s="213" t="s">
        <v>54107</v>
      </c>
      <c r="E6526" s="213" t="s">
        <v>54108</v>
      </c>
      <c r="K6526" s="213" t="s">
        <v>54624</v>
      </c>
      <c r="L6526" s="213" t="s">
        <v>54669</v>
      </c>
      <c r="M6526" s="213" t="s">
        <v>54714</v>
      </c>
      <c r="N6526" s="213" t="s">
        <v>54109</v>
      </c>
      <c r="O6526" s="213" t="s">
        <v>54110</v>
      </c>
      <c r="P6526" s="213" t="s">
        <v>54111</v>
      </c>
      <c r="Q6526" s="213" t="s">
        <v>54112</v>
      </c>
      <c r="R6526" s="213" t="s">
        <v>54113</v>
      </c>
      <c r="S6526" s="213" t="s">
        <v>54114</v>
      </c>
      <c r="T6526" s="213" t="s">
        <v>54115</v>
      </c>
      <c r="U6526" s="213" t="s">
        <v>54759</v>
      </c>
    </row>
    <row r="6527" spans="1:21" x14ac:dyDescent="0.25">
      <c r="A6527" s="213" t="s">
        <v>327</v>
      </c>
      <c r="D6527" s="213" t="s">
        <v>54116</v>
      </c>
      <c r="E6527" s="213" t="s">
        <v>54117</v>
      </c>
      <c r="K6527" s="213" t="s">
        <v>54625</v>
      </c>
      <c r="L6527" s="213" t="s">
        <v>54670</v>
      </c>
      <c r="M6527" s="213" t="s">
        <v>54715</v>
      </c>
      <c r="N6527" s="213" t="s">
        <v>54118</v>
      </c>
      <c r="O6527" s="213" t="s">
        <v>54119</v>
      </c>
      <c r="P6527" s="213" t="s">
        <v>54120</v>
      </c>
      <c r="Q6527" s="213" t="s">
        <v>54121</v>
      </c>
      <c r="R6527" s="213" t="s">
        <v>54122</v>
      </c>
      <c r="S6527" s="213" t="s">
        <v>54123</v>
      </c>
      <c r="T6527" s="213" t="s">
        <v>54124</v>
      </c>
      <c r="U6527" s="213" t="s">
        <v>54760</v>
      </c>
    </row>
    <row r="6528" spans="1:21" x14ac:dyDescent="0.25">
      <c r="A6528" s="213" t="s">
        <v>327</v>
      </c>
      <c r="D6528" s="213" t="s">
        <v>54125</v>
      </c>
      <c r="E6528" s="213" t="s">
        <v>54126</v>
      </c>
      <c r="K6528" s="213" t="s">
        <v>54626</v>
      </c>
      <c r="L6528" s="213" t="s">
        <v>54671</v>
      </c>
      <c r="M6528" s="213" t="s">
        <v>54716</v>
      </c>
      <c r="N6528" s="213" t="s">
        <v>54127</v>
      </c>
      <c r="O6528" s="213" t="s">
        <v>54128</v>
      </c>
      <c r="P6528" s="213" t="s">
        <v>54129</v>
      </c>
      <c r="Q6528" s="213" t="s">
        <v>54130</v>
      </c>
      <c r="R6528" s="213" t="s">
        <v>54131</v>
      </c>
      <c r="S6528" s="213" t="s">
        <v>54132</v>
      </c>
      <c r="T6528" s="213" t="s">
        <v>54133</v>
      </c>
      <c r="U6528" s="213" t="s">
        <v>54761</v>
      </c>
    </row>
    <row r="6529" spans="1:21" x14ac:dyDescent="0.25">
      <c r="A6529" s="213" t="s">
        <v>327</v>
      </c>
      <c r="D6529" s="213" t="s">
        <v>54134</v>
      </c>
      <c r="E6529" s="213" t="s">
        <v>54135</v>
      </c>
      <c r="K6529" s="213" t="s">
        <v>54627</v>
      </c>
      <c r="L6529" s="213" t="s">
        <v>54672</v>
      </c>
      <c r="M6529" s="213" t="s">
        <v>54717</v>
      </c>
      <c r="N6529" s="213" t="s">
        <v>54136</v>
      </c>
      <c r="O6529" s="213" t="s">
        <v>54137</v>
      </c>
      <c r="P6529" s="213" t="s">
        <v>54138</v>
      </c>
      <c r="Q6529" s="213" t="s">
        <v>54139</v>
      </c>
      <c r="R6529" s="213" t="s">
        <v>54140</v>
      </c>
      <c r="S6529" s="213" t="s">
        <v>54141</v>
      </c>
      <c r="T6529" s="213" t="s">
        <v>54142</v>
      </c>
      <c r="U6529" s="213" t="s">
        <v>54762</v>
      </c>
    </row>
    <row r="6530" spans="1:21" x14ac:dyDescent="0.25">
      <c r="A6530" s="213" t="s">
        <v>327</v>
      </c>
      <c r="D6530" s="213" t="s">
        <v>54143</v>
      </c>
      <c r="E6530" s="213" t="s">
        <v>54144</v>
      </c>
      <c r="K6530" s="213" t="s">
        <v>54628</v>
      </c>
      <c r="L6530" s="213" t="s">
        <v>54673</v>
      </c>
      <c r="M6530" s="213" t="s">
        <v>54718</v>
      </c>
      <c r="N6530" s="213" t="s">
        <v>54145</v>
      </c>
      <c r="O6530" s="213" t="s">
        <v>54146</v>
      </c>
      <c r="P6530" s="213" t="s">
        <v>54147</v>
      </c>
      <c r="Q6530" s="213" t="s">
        <v>54148</v>
      </c>
      <c r="R6530" s="213" t="s">
        <v>54149</v>
      </c>
      <c r="S6530" s="213" t="s">
        <v>54150</v>
      </c>
      <c r="T6530" s="213" t="s">
        <v>54151</v>
      </c>
      <c r="U6530" s="213" t="s">
        <v>54763</v>
      </c>
    </row>
    <row r="6531" spans="1:21" x14ac:dyDescent="0.25">
      <c r="A6531" s="213" t="s">
        <v>327</v>
      </c>
      <c r="D6531" s="213" t="s">
        <v>54152</v>
      </c>
      <c r="E6531" s="213" t="s">
        <v>54153</v>
      </c>
      <c r="K6531" s="213" t="s">
        <v>54629</v>
      </c>
      <c r="L6531" s="213" t="s">
        <v>54674</v>
      </c>
      <c r="M6531" s="213" t="s">
        <v>54719</v>
      </c>
      <c r="N6531" s="213" t="s">
        <v>54154</v>
      </c>
      <c r="O6531" s="213" t="s">
        <v>54155</v>
      </c>
      <c r="P6531" s="213" t="s">
        <v>54156</v>
      </c>
      <c r="Q6531" s="213" t="s">
        <v>54157</v>
      </c>
      <c r="R6531" s="213" t="s">
        <v>54158</v>
      </c>
      <c r="S6531" s="213" t="s">
        <v>54159</v>
      </c>
      <c r="T6531" s="213" t="s">
        <v>54160</v>
      </c>
      <c r="U6531" s="213" t="s">
        <v>54764</v>
      </c>
    </row>
    <row r="6532" spans="1:21" x14ac:dyDescent="0.25">
      <c r="A6532" s="213" t="s">
        <v>327</v>
      </c>
      <c r="D6532" s="213" t="s">
        <v>54161</v>
      </c>
      <c r="E6532" s="213" t="s">
        <v>54162</v>
      </c>
      <c r="K6532" s="213" t="s">
        <v>54630</v>
      </c>
      <c r="L6532" s="213" t="s">
        <v>54675</v>
      </c>
      <c r="M6532" s="213" t="s">
        <v>54720</v>
      </c>
      <c r="N6532" s="213" t="s">
        <v>54163</v>
      </c>
      <c r="O6532" s="213" t="s">
        <v>54164</v>
      </c>
      <c r="P6532" s="213" t="s">
        <v>54165</v>
      </c>
      <c r="Q6532" s="213" t="s">
        <v>54166</v>
      </c>
      <c r="R6532" s="213" t="s">
        <v>54167</v>
      </c>
      <c r="S6532" s="213" t="s">
        <v>54168</v>
      </c>
      <c r="T6532" s="213" t="s">
        <v>54169</v>
      </c>
      <c r="U6532" s="213" t="s">
        <v>54765</v>
      </c>
    </row>
    <row r="6533" spans="1:21" x14ac:dyDescent="0.25">
      <c r="A6533" s="213" t="s">
        <v>327</v>
      </c>
      <c r="D6533" s="213" t="s">
        <v>54170</v>
      </c>
      <c r="E6533" s="213" t="s">
        <v>54171</v>
      </c>
      <c r="K6533" s="213" t="s">
        <v>54631</v>
      </c>
      <c r="L6533" s="213" t="s">
        <v>54676</v>
      </c>
      <c r="M6533" s="213" t="s">
        <v>54721</v>
      </c>
      <c r="N6533" s="213" t="s">
        <v>54172</v>
      </c>
      <c r="O6533" s="213" t="s">
        <v>54173</v>
      </c>
      <c r="P6533" s="213" t="s">
        <v>54174</v>
      </c>
      <c r="Q6533" s="213" t="s">
        <v>54175</v>
      </c>
      <c r="R6533" s="213" t="s">
        <v>54176</v>
      </c>
      <c r="S6533" s="213" t="s">
        <v>54177</v>
      </c>
      <c r="T6533" s="213" t="s">
        <v>54178</v>
      </c>
      <c r="U6533" s="213" t="s">
        <v>54766</v>
      </c>
    </row>
    <row r="6534" spans="1:21" x14ac:dyDescent="0.25">
      <c r="A6534" s="213" t="s">
        <v>327</v>
      </c>
      <c r="D6534" s="213" t="s">
        <v>54179</v>
      </c>
      <c r="E6534" s="213" t="s">
        <v>54180</v>
      </c>
      <c r="K6534" s="213" t="s">
        <v>54632</v>
      </c>
      <c r="L6534" s="213" t="s">
        <v>54677</v>
      </c>
      <c r="M6534" s="213" t="s">
        <v>54722</v>
      </c>
      <c r="N6534" s="213" t="s">
        <v>54181</v>
      </c>
      <c r="O6534" s="213" t="s">
        <v>54182</v>
      </c>
      <c r="P6534" s="213" t="s">
        <v>54183</v>
      </c>
      <c r="Q6534" s="213" t="s">
        <v>54184</v>
      </c>
      <c r="R6534" s="213" t="s">
        <v>54185</v>
      </c>
      <c r="S6534" s="213" t="s">
        <v>54186</v>
      </c>
      <c r="T6534" s="213" t="s">
        <v>54187</v>
      </c>
      <c r="U6534" s="213" t="s">
        <v>54767</v>
      </c>
    </row>
    <row r="6535" spans="1:21" x14ac:dyDescent="0.25">
      <c r="A6535" s="213" t="s">
        <v>327</v>
      </c>
      <c r="D6535" s="213" t="s">
        <v>54188</v>
      </c>
      <c r="E6535" s="213" t="s">
        <v>54189</v>
      </c>
      <c r="K6535" s="213" t="s">
        <v>54633</v>
      </c>
      <c r="L6535" s="213" t="s">
        <v>54678</v>
      </c>
      <c r="M6535" s="213" t="s">
        <v>54723</v>
      </c>
      <c r="N6535" s="213" t="s">
        <v>54190</v>
      </c>
      <c r="O6535" s="213" t="s">
        <v>54191</v>
      </c>
      <c r="P6535" s="213" t="s">
        <v>54192</v>
      </c>
      <c r="Q6535" s="213" t="s">
        <v>54193</v>
      </c>
      <c r="R6535" s="213" t="s">
        <v>54194</v>
      </c>
      <c r="S6535" s="213" t="s">
        <v>54195</v>
      </c>
      <c r="T6535" s="213" t="s">
        <v>54196</v>
      </c>
      <c r="U6535" s="213" t="s">
        <v>54768</v>
      </c>
    </row>
    <row r="6536" spans="1:21" x14ac:dyDescent="0.25">
      <c r="A6536" s="213" t="s">
        <v>327</v>
      </c>
      <c r="D6536" s="213" t="s">
        <v>54197</v>
      </c>
      <c r="E6536" s="213" t="s">
        <v>54198</v>
      </c>
      <c r="K6536" s="213" t="s">
        <v>54634</v>
      </c>
      <c r="L6536" s="213" t="s">
        <v>54679</v>
      </c>
      <c r="M6536" s="213" t="s">
        <v>54724</v>
      </c>
      <c r="N6536" s="213" t="s">
        <v>54199</v>
      </c>
      <c r="O6536" s="213" t="s">
        <v>54200</v>
      </c>
      <c r="P6536" s="213" t="s">
        <v>54201</v>
      </c>
      <c r="Q6536" s="213" t="s">
        <v>54202</v>
      </c>
      <c r="R6536" s="213" t="s">
        <v>54203</v>
      </c>
      <c r="S6536" s="213" t="s">
        <v>54204</v>
      </c>
      <c r="T6536" s="213" t="s">
        <v>54205</v>
      </c>
      <c r="U6536" s="213" t="s">
        <v>54769</v>
      </c>
    </row>
    <row r="6537" spans="1:21" x14ac:dyDescent="0.25">
      <c r="A6537" s="213" t="s">
        <v>327</v>
      </c>
      <c r="D6537" s="213" t="s">
        <v>54206</v>
      </c>
      <c r="E6537" s="213" t="s">
        <v>54207</v>
      </c>
      <c r="K6537" s="213" t="s">
        <v>54635</v>
      </c>
      <c r="L6537" s="213" t="s">
        <v>54680</v>
      </c>
      <c r="M6537" s="213" t="s">
        <v>54725</v>
      </c>
      <c r="N6537" s="213" t="s">
        <v>54208</v>
      </c>
      <c r="O6537" s="213" t="s">
        <v>54209</v>
      </c>
      <c r="P6537" s="213" t="s">
        <v>54210</v>
      </c>
      <c r="Q6537" s="213" t="s">
        <v>54211</v>
      </c>
      <c r="R6537" s="213" t="s">
        <v>54212</v>
      </c>
      <c r="S6537" s="213" t="s">
        <v>54213</v>
      </c>
      <c r="T6537" s="213" t="s">
        <v>54214</v>
      </c>
      <c r="U6537" s="213" t="s">
        <v>54770</v>
      </c>
    </row>
    <row r="6538" spans="1:21" x14ac:dyDescent="0.25">
      <c r="A6538" s="213" t="s">
        <v>327</v>
      </c>
      <c r="D6538" s="213" t="s">
        <v>54215</v>
      </c>
      <c r="E6538" s="213" t="s">
        <v>54216</v>
      </c>
      <c r="K6538" s="213" t="s">
        <v>54636</v>
      </c>
      <c r="L6538" s="213" t="s">
        <v>54681</v>
      </c>
      <c r="M6538" s="213" t="s">
        <v>54726</v>
      </c>
      <c r="N6538" s="213" t="s">
        <v>54217</v>
      </c>
      <c r="O6538" s="213" t="s">
        <v>54218</v>
      </c>
      <c r="P6538" s="213" t="s">
        <v>54219</v>
      </c>
      <c r="Q6538" s="213" t="s">
        <v>54220</v>
      </c>
      <c r="R6538" s="213" t="s">
        <v>54221</v>
      </c>
      <c r="S6538" s="213" t="s">
        <v>54222</v>
      </c>
      <c r="T6538" s="213" t="s">
        <v>54223</v>
      </c>
      <c r="U6538" s="213" t="s">
        <v>54771</v>
      </c>
    </row>
    <row r="6539" spans="1:21" x14ac:dyDescent="0.25">
      <c r="A6539" s="213" t="s">
        <v>327</v>
      </c>
      <c r="D6539" s="213" t="s">
        <v>54224</v>
      </c>
      <c r="E6539" s="213" t="s">
        <v>54225</v>
      </c>
      <c r="K6539" s="213" t="s">
        <v>54637</v>
      </c>
      <c r="L6539" s="213" t="s">
        <v>54682</v>
      </c>
      <c r="M6539" s="213" t="s">
        <v>54727</v>
      </c>
      <c r="N6539" s="213" t="s">
        <v>54226</v>
      </c>
      <c r="O6539" s="213" t="s">
        <v>54227</v>
      </c>
      <c r="P6539" s="213" t="s">
        <v>54228</v>
      </c>
      <c r="Q6539" s="213" t="s">
        <v>54229</v>
      </c>
      <c r="R6539" s="213" t="s">
        <v>54230</v>
      </c>
      <c r="S6539" s="213" t="s">
        <v>54231</v>
      </c>
      <c r="T6539" s="213" t="s">
        <v>54232</v>
      </c>
      <c r="U6539" s="213" t="s">
        <v>54772</v>
      </c>
    </row>
    <row r="6540" spans="1:21" x14ac:dyDescent="0.25">
      <c r="A6540" s="213" t="s">
        <v>327</v>
      </c>
      <c r="D6540" s="213" t="s">
        <v>54233</v>
      </c>
      <c r="E6540" s="213" t="s">
        <v>54234</v>
      </c>
      <c r="K6540" s="213" t="s">
        <v>54638</v>
      </c>
      <c r="L6540" s="213" t="s">
        <v>54683</v>
      </c>
      <c r="M6540" s="213" t="s">
        <v>54728</v>
      </c>
      <c r="N6540" s="213" t="s">
        <v>54235</v>
      </c>
      <c r="O6540" s="213" t="s">
        <v>54236</v>
      </c>
      <c r="P6540" s="213" t="s">
        <v>54237</v>
      </c>
      <c r="Q6540" s="213" t="s">
        <v>54238</v>
      </c>
      <c r="R6540" s="213" t="s">
        <v>54239</v>
      </c>
      <c r="S6540" s="213" t="s">
        <v>54240</v>
      </c>
      <c r="T6540" s="213" t="s">
        <v>54241</v>
      </c>
      <c r="U6540" s="213" t="s">
        <v>54773</v>
      </c>
    </row>
    <row r="6541" spans="1:21" x14ac:dyDescent="0.25">
      <c r="A6541" s="213" t="s">
        <v>327</v>
      </c>
      <c r="D6541" s="213" t="s">
        <v>54242</v>
      </c>
      <c r="E6541" s="213" t="s">
        <v>54243</v>
      </c>
      <c r="K6541" s="213" t="s">
        <v>54639</v>
      </c>
      <c r="L6541" s="213" t="s">
        <v>54684</v>
      </c>
      <c r="M6541" s="213" t="s">
        <v>54729</v>
      </c>
      <c r="N6541" s="213" t="s">
        <v>54244</v>
      </c>
      <c r="O6541" s="213" t="s">
        <v>54245</v>
      </c>
      <c r="P6541" s="213" t="s">
        <v>54246</v>
      </c>
      <c r="Q6541" s="213" t="s">
        <v>54247</v>
      </c>
      <c r="R6541" s="213" t="s">
        <v>54248</v>
      </c>
      <c r="S6541" s="213" t="s">
        <v>54249</v>
      </c>
      <c r="T6541" s="213" t="s">
        <v>54250</v>
      </c>
      <c r="U6541" s="213" t="s">
        <v>54774</v>
      </c>
    </row>
    <row r="6542" spans="1:21" x14ac:dyDescent="0.25">
      <c r="A6542" s="213" t="s">
        <v>327</v>
      </c>
      <c r="D6542" s="213" t="s">
        <v>54251</v>
      </c>
      <c r="E6542" s="213" t="s">
        <v>54252</v>
      </c>
      <c r="K6542" s="213" t="s">
        <v>54640</v>
      </c>
      <c r="L6542" s="213" t="s">
        <v>54685</v>
      </c>
      <c r="M6542" s="213" t="s">
        <v>54730</v>
      </c>
      <c r="N6542" s="213" t="s">
        <v>54253</v>
      </c>
      <c r="O6542" s="213" t="s">
        <v>54254</v>
      </c>
      <c r="P6542" s="213" t="s">
        <v>54255</v>
      </c>
      <c r="Q6542" s="213" t="s">
        <v>54256</v>
      </c>
      <c r="R6542" s="213" t="s">
        <v>54257</v>
      </c>
      <c r="S6542" s="213" t="s">
        <v>54258</v>
      </c>
      <c r="T6542" s="213" t="s">
        <v>54259</v>
      </c>
      <c r="U6542" s="213" t="s">
        <v>54775</v>
      </c>
    </row>
    <row r="6543" spans="1:21" x14ac:dyDescent="0.25">
      <c r="A6543" s="213" t="s">
        <v>327</v>
      </c>
      <c r="D6543" s="213" t="s">
        <v>54260</v>
      </c>
      <c r="E6543" s="213" t="s">
        <v>54261</v>
      </c>
      <c r="K6543" s="213" t="s">
        <v>54641</v>
      </c>
      <c r="L6543" s="213" t="s">
        <v>54686</v>
      </c>
      <c r="M6543" s="213" t="s">
        <v>54731</v>
      </c>
      <c r="N6543" s="213" t="s">
        <v>54262</v>
      </c>
      <c r="O6543" s="213" t="s">
        <v>54263</v>
      </c>
      <c r="P6543" s="213" t="s">
        <v>54264</v>
      </c>
      <c r="Q6543" s="213" t="s">
        <v>54265</v>
      </c>
      <c r="R6543" s="213" t="s">
        <v>54266</v>
      </c>
      <c r="S6543" s="213" t="s">
        <v>54267</v>
      </c>
      <c r="T6543" s="213" t="s">
        <v>54268</v>
      </c>
      <c r="U6543" s="213" t="s">
        <v>54776</v>
      </c>
    </row>
    <row r="6544" spans="1:21" x14ac:dyDescent="0.25">
      <c r="A6544" s="213" t="s">
        <v>327</v>
      </c>
      <c r="D6544" s="213" t="s">
        <v>54269</v>
      </c>
      <c r="E6544" s="213" t="s">
        <v>54270</v>
      </c>
      <c r="K6544" s="213" t="s">
        <v>54642</v>
      </c>
      <c r="L6544" s="213" t="s">
        <v>54687</v>
      </c>
      <c r="M6544" s="213" t="s">
        <v>54732</v>
      </c>
      <c r="N6544" s="213" t="s">
        <v>54271</v>
      </c>
      <c r="O6544" s="213" t="s">
        <v>54272</v>
      </c>
      <c r="P6544" s="213" t="s">
        <v>54273</v>
      </c>
      <c r="Q6544" s="213" t="s">
        <v>54274</v>
      </c>
      <c r="R6544" s="213" t="s">
        <v>54275</v>
      </c>
      <c r="S6544" s="213" t="s">
        <v>54276</v>
      </c>
      <c r="T6544" s="213" t="s">
        <v>54277</v>
      </c>
      <c r="U6544" s="213" t="s">
        <v>54777</v>
      </c>
    </row>
    <row r="6545" spans="1:21" x14ac:dyDescent="0.25">
      <c r="A6545" s="213" t="s">
        <v>327</v>
      </c>
      <c r="D6545" s="213" t="s">
        <v>54278</v>
      </c>
      <c r="E6545" s="213" t="s">
        <v>54279</v>
      </c>
      <c r="K6545" s="213" t="s">
        <v>54643</v>
      </c>
      <c r="L6545" s="213" t="s">
        <v>54688</v>
      </c>
      <c r="M6545" s="213" t="s">
        <v>54733</v>
      </c>
      <c r="N6545" s="213" t="s">
        <v>54280</v>
      </c>
      <c r="O6545" s="213" t="s">
        <v>54281</v>
      </c>
      <c r="P6545" s="213" t="s">
        <v>54282</v>
      </c>
      <c r="Q6545" s="213" t="s">
        <v>54283</v>
      </c>
      <c r="R6545" s="213" t="s">
        <v>54284</v>
      </c>
      <c r="S6545" s="213" t="s">
        <v>54285</v>
      </c>
      <c r="T6545" s="213" t="s">
        <v>54286</v>
      </c>
      <c r="U6545" s="213" t="s">
        <v>54778</v>
      </c>
    </row>
    <row r="6546" spans="1:21" x14ac:dyDescent="0.25">
      <c r="A6546" s="213" t="s">
        <v>327</v>
      </c>
      <c r="D6546" s="213" t="s">
        <v>54287</v>
      </c>
      <c r="E6546" s="213" t="s">
        <v>54288</v>
      </c>
      <c r="K6546" s="213" t="s">
        <v>54644</v>
      </c>
      <c r="L6546" s="213" t="s">
        <v>54689</v>
      </c>
      <c r="M6546" s="213" t="s">
        <v>54734</v>
      </c>
      <c r="N6546" s="213" t="s">
        <v>54289</v>
      </c>
      <c r="O6546" s="213" t="s">
        <v>54290</v>
      </c>
      <c r="P6546" s="213" t="s">
        <v>54291</v>
      </c>
      <c r="Q6546" s="213" t="s">
        <v>54292</v>
      </c>
      <c r="R6546" s="213" t="s">
        <v>54293</v>
      </c>
      <c r="S6546" s="213" t="s">
        <v>54294</v>
      </c>
      <c r="T6546" s="213" t="s">
        <v>54295</v>
      </c>
      <c r="U6546" s="213" t="s">
        <v>54779</v>
      </c>
    </row>
    <row r="6547" spans="1:21" x14ac:dyDescent="0.25">
      <c r="A6547" s="213" t="s">
        <v>327</v>
      </c>
      <c r="D6547" s="213" t="s">
        <v>54296</v>
      </c>
      <c r="E6547" s="213" t="s">
        <v>54297</v>
      </c>
      <c r="K6547" s="213" t="s">
        <v>54645</v>
      </c>
      <c r="L6547" s="213" t="s">
        <v>54690</v>
      </c>
      <c r="M6547" s="213" t="s">
        <v>54735</v>
      </c>
      <c r="N6547" s="213" t="s">
        <v>54298</v>
      </c>
      <c r="O6547" s="213" t="s">
        <v>54299</v>
      </c>
      <c r="P6547" s="213" t="s">
        <v>54300</v>
      </c>
      <c r="Q6547" s="213" t="s">
        <v>54301</v>
      </c>
      <c r="R6547" s="213" t="s">
        <v>54302</v>
      </c>
      <c r="S6547" s="213" t="s">
        <v>54303</v>
      </c>
      <c r="T6547" s="213" t="s">
        <v>54304</v>
      </c>
      <c r="U6547" s="213" t="s">
        <v>54780</v>
      </c>
    </row>
    <row r="6548" spans="1:21" x14ac:dyDescent="0.25">
      <c r="A6548" s="213" t="s">
        <v>327</v>
      </c>
      <c r="D6548" s="213" t="s">
        <v>54305</v>
      </c>
      <c r="E6548" s="213" t="s">
        <v>54306</v>
      </c>
      <c r="K6548" s="213" t="s">
        <v>54646</v>
      </c>
      <c r="L6548" s="213" t="s">
        <v>54691</v>
      </c>
      <c r="M6548" s="213" t="s">
        <v>54736</v>
      </c>
      <c r="N6548" s="213" t="s">
        <v>54307</v>
      </c>
      <c r="O6548" s="213" t="s">
        <v>54308</v>
      </c>
      <c r="P6548" s="213" t="s">
        <v>54309</v>
      </c>
      <c r="Q6548" s="213" t="s">
        <v>54310</v>
      </c>
      <c r="R6548" s="213" t="s">
        <v>54311</v>
      </c>
      <c r="S6548" s="213" t="s">
        <v>54312</v>
      </c>
      <c r="T6548" s="213" t="s">
        <v>54313</v>
      </c>
      <c r="U6548" s="213" t="s">
        <v>54781</v>
      </c>
    </row>
    <row r="6549" spans="1:21" x14ac:dyDescent="0.25">
      <c r="A6549" s="213" t="s">
        <v>327</v>
      </c>
      <c r="D6549" s="213" t="s">
        <v>54314</v>
      </c>
      <c r="E6549" s="213" t="s">
        <v>54315</v>
      </c>
      <c r="K6549" s="213" t="s">
        <v>54647</v>
      </c>
      <c r="L6549" s="213" t="s">
        <v>54692</v>
      </c>
      <c r="M6549" s="213" t="s">
        <v>54737</v>
      </c>
      <c r="N6549" s="213" t="s">
        <v>54316</v>
      </c>
      <c r="O6549" s="213" t="s">
        <v>54317</v>
      </c>
      <c r="P6549" s="213" t="s">
        <v>54318</v>
      </c>
      <c r="Q6549" s="213" t="s">
        <v>54319</v>
      </c>
      <c r="R6549" s="213" t="s">
        <v>54320</v>
      </c>
      <c r="S6549" s="213" t="s">
        <v>54321</v>
      </c>
      <c r="T6549" s="213" t="s">
        <v>54322</v>
      </c>
      <c r="U6549" s="213" t="s">
        <v>54782</v>
      </c>
    </row>
    <row r="6550" spans="1:21" x14ac:dyDescent="0.25">
      <c r="A6550" s="213" t="s">
        <v>327</v>
      </c>
      <c r="D6550" s="213" t="s">
        <v>54323</v>
      </c>
      <c r="E6550" s="213" t="s">
        <v>54324</v>
      </c>
      <c r="K6550" s="213" t="s">
        <v>54648</v>
      </c>
      <c r="L6550" s="213" t="s">
        <v>54693</v>
      </c>
      <c r="M6550" s="213" t="s">
        <v>54738</v>
      </c>
      <c r="N6550" s="213" t="s">
        <v>54325</v>
      </c>
      <c r="O6550" s="213" t="s">
        <v>54326</v>
      </c>
      <c r="P6550" s="213" t="s">
        <v>54327</v>
      </c>
      <c r="Q6550" s="213" t="s">
        <v>54328</v>
      </c>
      <c r="R6550" s="213" t="s">
        <v>54329</v>
      </c>
      <c r="S6550" s="213" t="s">
        <v>54330</v>
      </c>
      <c r="T6550" s="213" t="s">
        <v>54331</v>
      </c>
      <c r="U6550" s="213" t="s">
        <v>54783</v>
      </c>
    </row>
    <row r="6551" spans="1:21" x14ac:dyDescent="0.25">
      <c r="A6551" s="213" t="s">
        <v>327</v>
      </c>
      <c r="D6551" s="213" t="s">
        <v>54332</v>
      </c>
      <c r="E6551" s="213" t="s">
        <v>54333</v>
      </c>
      <c r="K6551" s="213" t="s">
        <v>54649</v>
      </c>
      <c r="L6551" s="213" t="s">
        <v>54694</v>
      </c>
      <c r="M6551" s="213" t="s">
        <v>54739</v>
      </c>
      <c r="N6551" s="213" t="s">
        <v>54334</v>
      </c>
      <c r="O6551" s="213" t="s">
        <v>54335</v>
      </c>
      <c r="P6551" s="213" t="s">
        <v>54336</v>
      </c>
      <c r="Q6551" s="213" t="s">
        <v>54337</v>
      </c>
      <c r="R6551" s="213" t="s">
        <v>54338</v>
      </c>
      <c r="S6551" s="213" t="s">
        <v>54339</v>
      </c>
      <c r="T6551" s="213" t="s">
        <v>54340</v>
      </c>
      <c r="U6551" s="213" t="s">
        <v>54784</v>
      </c>
    </row>
    <row r="6552" spans="1:21" x14ac:dyDescent="0.25">
      <c r="A6552" s="213" t="s">
        <v>327</v>
      </c>
      <c r="D6552" s="213" t="s">
        <v>54341</v>
      </c>
      <c r="E6552" s="213" t="s">
        <v>54342</v>
      </c>
      <c r="K6552" s="213" t="s">
        <v>54650</v>
      </c>
      <c r="L6552" s="213" t="s">
        <v>54695</v>
      </c>
      <c r="M6552" s="213" t="s">
        <v>54740</v>
      </c>
      <c r="N6552" s="213" t="s">
        <v>54343</v>
      </c>
      <c r="O6552" s="213" t="s">
        <v>54344</v>
      </c>
      <c r="P6552" s="213" t="s">
        <v>54345</v>
      </c>
      <c r="Q6552" s="213" t="s">
        <v>54346</v>
      </c>
      <c r="R6552" s="213" t="s">
        <v>54347</v>
      </c>
      <c r="S6552" s="213" t="s">
        <v>54348</v>
      </c>
      <c r="T6552" s="213" t="s">
        <v>54349</v>
      </c>
      <c r="U6552" s="213" t="s">
        <v>54785</v>
      </c>
    </row>
    <row r="6553" spans="1:21" x14ac:dyDescent="0.25">
      <c r="A6553" s="213" t="s">
        <v>327</v>
      </c>
      <c r="D6553" s="213" t="s">
        <v>54350</v>
      </c>
      <c r="E6553" s="213" t="s">
        <v>54351</v>
      </c>
      <c r="K6553" s="213" t="s">
        <v>54651</v>
      </c>
      <c r="L6553" s="213" t="s">
        <v>54696</v>
      </c>
      <c r="M6553" s="213" t="s">
        <v>54741</v>
      </c>
      <c r="N6553" s="213" t="s">
        <v>54352</v>
      </c>
      <c r="O6553" s="213" t="s">
        <v>54353</v>
      </c>
      <c r="P6553" s="213" t="s">
        <v>54354</v>
      </c>
      <c r="Q6553" s="213" t="s">
        <v>54355</v>
      </c>
      <c r="R6553" s="213" t="s">
        <v>54356</v>
      </c>
      <c r="S6553" s="213" t="s">
        <v>54357</v>
      </c>
      <c r="T6553" s="213" t="s">
        <v>54358</v>
      </c>
      <c r="U6553" s="213" t="s">
        <v>54786</v>
      </c>
    </row>
    <row r="6554" spans="1:21" x14ac:dyDescent="0.25">
      <c r="A6554" s="213" t="s">
        <v>327</v>
      </c>
      <c r="D6554" s="213" t="s">
        <v>54359</v>
      </c>
      <c r="E6554" s="213" t="s">
        <v>54360</v>
      </c>
      <c r="K6554" s="213" t="s">
        <v>54652</v>
      </c>
      <c r="L6554" s="213" t="s">
        <v>54697</v>
      </c>
      <c r="M6554" s="213" t="s">
        <v>54742</v>
      </c>
      <c r="N6554" s="213" t="s">
        <v>54361</v>
      </c>
      <c r="O6554" s="213" t="s">
        <v>54362</v>
      </c>
      <c r="P6554" s="213" t="s">
        <v>54363</v>
      </c>
      <c r="Q6554" s="213" t="s">
        <v>54364</v>
      </c>
      <c r="R6554" s="213" t="s">
        <v>54365</v>
      </c>
      <c r="S6554" s="213" t="s">
        <v>54366</v>
      </c>
      <c r="T6554" s="213" t="s">
        <v>54367</v>
      </c>
      <c r="U6554" s="213" t="s">
        <v>54787</v>
      </c>
    </row>
    <row r="6555" spans="1:21" x14ac:dyDescent="0.25">
      <c r="A6555" s="213" t="s">
        <v>327</v>
      </c>
      <c r="D6555" s="213" t="s">
        <v>54368</v>
      </c>
      <c r="E6555" s="213" t="s">
        <v>54369</v>
      </c>
      <c r="K6555" s="213" t="s">
        <v>54653</v>
      </c>
      <c r="L6555" s="213" t="s">
        <v>54698</v>
      </c>
      <c r="M6555" s="213" t="s">
        <v>54743</v>
      </c>
      <c r="N6555" s="213" t="s">
        <v>54370</v>
      </c>
      <c r="O6555" s="213" t="s">
        <v>54371</v>
      </c>
      <c r="P6555" s="213" t="s">
        <v>54372</v>
      </c>
      <c r="Q6555" s="213" t="s">
        <v>54373</v>
      </c>
      <c r="R6555" s="213" t="s">
        <v>54374</v>
      </c>
      <c r="S6555" s="213" t="s">
        <v>54375</v>
      </c>
      <c r="T6555" s="213" t="s">
        <v>54376</v>
      </c>
      <c r="U6555" s="213" t="s">
        <v>54788</v>
      </c>
    </row>
    <row r="6556" spans="1:21" x14ac:dyDescent="0.25">
      <c r="A6556" s="213" t="s">
        <v>327</v>
      </c>
      <c r="D6556" s="213" t="s">
        <v>54377</v>
      </c>
      <c r="E6556" s="213" t="s">
        <v>54378</v>
      </c>
      <c r="K6556" s="213" t="s">
        <v>54654</v>
      </c>
      <c r="L6556" s="213" t="s">
        <v>54699</v>
      </c>
      <c r="M6556" s="213" t="s">
        <v>54744</v>
      </c>
      <c r="N6556" s="213" t="s">
        <v>54379</v>
      </c>
      <c r="O6556" s="213" t="s">
        <v>54380</v>
      </c>
      <c r="P6556" s="213" t="s">
        <v>54381</v>
      </c>
      <c r="Q6556" s="213" t="s">
        <v>54382</v>
      </c>
      <c r="R6556" s="213" t="s">
        <v>54383</v>
      </c>
      <c r="S6556" s="213" t="s">
        <v>54384</v>
      </c>
      <c r="T6556" s="213" t="s">
        <v>54385</v>
      </c>
      <c r="U6556" s="213" t="s">
        <v>54789</v>
      </c>
    </row>
    <row r="6557" spans="1:21" x14ac:dyDescent="0.25">
      <c r="A6557" s="213" t="s">
        <v>327</v>
      </c>
      <c r="D6557" s="213" t="s">
        <v>54386</v>
      </c>
      <c r="E6557" s="213" t="s">
        <v>54387</v>
      </c>
      <c r="K6557" s="213" t="s">
        <v>54655</v>
      </c>
      <c r="L6557" s="213" t="s">
        <v>54700</v>
      </c>
      <c r="M6557" s="213" t="s">
        <v>54745</v>
      </c>
      <c r="N6557" s="213" t="s">
        <v>54388</v>
      </c>
      <c r="O6557" s="213" t="s">
        <v>54389</v>
      </c>
      <c r="P6557" s="213" t="s">
        <v>54390</v>
      </c>
      <c r="Q6557" s="213" t="s">
        <v>54391</v>
      </c>
      <c r="R6557" s="213" t="s">
        <v>54392</v>
      </c>
      <c r="S6557" s="213" t="s">
        <v>54393</v>
      </c>
      <c r="T6557" s="213" t="s">
        <v>54394</v>
      </c>
      <c r="U6557" s="213" t="s">
        <v>54790</v>
      </c>
    </row>
    <row r="6558" spans="1:21" x14ac:dyDescent="0.25">
      <c r="A6558" s="213" t="s">
        <v>327</v>
      </c>
      <c r="D6558" s="213" t="s">
        <v>54395</v>
      </c>
      <c r="E6558" s="213" t="s">
        <v>54396</v>
      </c>
      <c r="K6558" s="213" t="s">
        <v>54656</v>
      </c>
      <c r="L6558" s="213" t="s">
        <v>54701</v>
      </c>
      <c r="M6558" s="213" t="s">
        <v>54746</v>
      </c>
      <c r="N6558" s="213" t="s">
        <v>54397</v>
      </c>
      <c r="O6558" s="213" t="s">
        <v>54398</v>
      </c>
      <c r="P6558" s="213" t="s">
        <v>54399</v>
      </c>
      <c r="Q6558" s="213" t="s">
        <v>54400</v>
      </c>
      <c r="R6558" s="213" t="s">
        <v>54401</v>
      </c>
      <c r="S6558" s="213" t="s">
        <v>54402</v>
      </c>
      <c r="T6558" s="213" t="s">
        <v>54403</v>
      </c>
      <c r="U6558" s="213" t="s">
        <v>54791</v>
      </c>
    </row>
    <row r="6559" spans="1:21" x14ac:dyDescent="0.25">
      <c r="A6559" s="213" t="s">
        <v>327</v>
      </c>
      <c r="D6559" s="213" t="s">
        <v>54404</v>
      </c>
      <c r="E6559" s="213" t="s">
        <v>54405</v>
      </c>
      <c r="K6559" s="213" t="s">
        <v>54657</v>
      </c>
      <c r="L6559" s="213" t="s">
        <v>54702</v>
      </c>
      <c r="M6559" s="213" t="s">
        <v>54747</v>
      </c>
      <c r="N6559" s="213" t="s">
        <v>54406</v>
      </c>
      <c r="O6559" s="213" t="s">
        <v>54407</v>
      </c>
      <c r="P6559" s="213" t="s">
        <v>54408</v>
      </c>
      <c r="Q6559" s="213" t="s">
        <v>54409</v>
      </c>
      <c r="R6559" s="213" t="s">
        <v>54410</v>
      </c>
      <c r="S6559" s="213" t="s">
        <v>54411</v>
      </c>
      <c r="T6559" s="213" t="s">
        <v>54412</v>
      </c>
      <c r="U6559" s="213" t="s">
        <v>54792</v>
      </c>
    </row>
    <row r="6560" spans="1:21" x14ac:dyDescent="0.25">
      <c r="A6560" s="213" t="s">
        <v>327</v>
      </c>
      <c r="D6560" s="213" t="s">
        <v>54413</v>
      </c>
      <c r="E6560" s="213" t="s">
        <v>54414</v>
      </c>
      <c r="K6560" s="213" t="s">
        <v>54658</v>
      </c>
      <c r="L6560" s="213" t="s">
        <v>54703</v>
      </c>
      <c r="M6560" s="213" t="s">
        <v>54748</v>
      </c>
      <c r="N6560" s="213" t="s">
        <v>54415</v>
      </c>
      <c r="O6560" s="213" t="s">
        <v>54416</v>
      </c>
      <c r="P6560" s="213" t="s">
        <v>54417</v>
      </c>
      <c r="Q6560" s="213" t="s">
        <v>54418</v>
      </c>
      <c r="R6560" s="213" t="s">
        <v>54419</v>
      </c>
      <c r="S6560" s="213" t="s">
        <v>54420</v>
      </c>
      <c r="T6560" s="213" t="s">
        <v>54421</v>
      </c>
      <c r="U6560" s="213" t="s">
        <v>54793</v>
      </c>
    </row>
    <row r="6561" spans="1:20" x14ac:dyDescent="0.25">
      <c r="A6561" s="213" t="s">
        <v>327</v>
      </c>
    </row>
    <row r="6562" spans="1:20" x14ac:dyDescent="0.25">
      <c r="A6562" s="213" t="s">
        <v>327</v>
      </c>
    </row>
    <row r="6563" spans="1:20" x14ac:dyDescent="0.25">
      <c r="A6563" s="213" t="s">
        <v>73</v>
      </c>
    </row>
    <row r="6564" spans="1:20" x14ac:dyDescent="0.25">
      <c r="K6564" s="213" t="s">
        <v>19</v>
      </c>
      <c r="O6564" s="213" t="s">
        <v>54422</v>
      </c>
      <c r="P6564" s="213" t="s">
        <v>54423</v>
      </c>
      <c r="Q6564" s="213" t="s">
        <v>54424</v>
      </c>
      <c r="R6564" s="213" t="s">
        <v>54425</v>
      </c>
      <c r="S6564" s="213" t="s">
        <v>54426</v>
      </c>
      <c r="T6564" s="213" t="s">
        <v>54427</v>
      </c>
    </row>
    <row r="6565" spans="1:20" x14ac:dyDescent="0.25">
      <c r="O6565" s="213" t="s">
        <v>69</v>
      </c>
      <c r="P6565" s="213" t="s">
        <v>54428</v>
      </c>
      <c r="Q6565" s="213" t="s">
        <v>54429</v>
      </c>
      <c r="R6565" s="213" t="s">
        <v>54430</v>
      </c>
      <c r="S6565" s="213" t="s">
        <v>54431</v>
      </c>
      <c r="T6565" s="213" t="s">
        <v>54432</v>
      </c>
    </row>
    <row r="6566" spans="1:20" x14ac:dyDescent="0.25">
      <c r="A6566" s="213" t="s">
        <v>1</v>
      </c>
      <c r="S6566" s="213" t="s">
        <v>54433</v>
      </c>
    </row>
    <row r="6567" spans="1:20" x14ac:dyDescent="0.25">
      <c r="K6567" s="213" t="s">
        <v>48</v>
      </c>
      <c r="L6567" s="213" t="s">
        <v>77410</v>
      </c>
      <c r="P6567" s="213" t="s">
        <v>77374</v>
      </c>
      <c r="Q6567" s="213" t="s">
        <v>77375</v>
      </c>
      <c r="R6567" s="213" t="s">
        <v>77376</v>
      </c>
      <c r="S6567" s="213" t="s">
        <v>77377</v>
      </c>
      <c r="T6567" s="213" t="s">
        <v>77378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61"/>
  <sheetViews>
    <sheetView showGridLines="0" tabSelected="1" topLeftCell="E2" zoomScale="68" zoomScaleNormal="68" workbookViewId="0"/>
  </sheetViews>
  <sheetFormatPr defaultColWidth="9.109375" defaultRowHeight="15" x14ac:dyDescent="0.25"/>
  <cols>
    <col min="1" max="1" width="9.109375" style="32" hidden="1" customWidth="1"/>
    <col min="2" max="2" width="22.88671875" style="32" hidden="1" customWidth="1"/>
    <col min="3" max="4" width="24.44140625" style="32" hidden="1" customWidth="1"/>
    <col min="5" max="5" width="7" style="33" customWidth="1"/>
    <col min="6" max="6" width="46" style="33" bestFit="1" customWidth="1"/>
    <col min="7" max="7" width="39" style="33" bestFit="1" customWidth="1"/>
    <col min="8" max="8" width="19" style="33" bestFit="1" customWidth="1"/>
    <col min="9" max="9" width="14.5546875" style="33" bestFit="1" customWidth="1"/>
    <col min="10" max="10" width="28.109375" style="33" bestFit="1" customWidth="1"/>
    <col min="11" max="11" width="13" style="33" bestFit="1" customWidth="1"/>
    <col min="12" max="12" width="10.44140625" style="33" bestFit="1" customWidth="1"/>
    <col min="13" max="13" width="6.6640625" style="33" customWidth="1"/>
    <col min="14" max="14" width="9.44140625" style="33" customWidth="1"/>
    <col min="15" max="15" width="3.88671875" style="33" customWidth="1"/>
    <col min="16" max="16" width="13.6640625" style="33" customWidth="1"/>
    <col min="17" max="17" width="3.6640625" style="33" customWidth="1"/>
    <col min="18" max="18" width="16.33203125" style="33" bestFit="1" customWidth="1"/>
    <col min="19" max="19" width="10.5546875" style="33" customWidth="1"/>
    <col min="20" max="20" width="12.88671875" style="33" customWidth="1"/>
    <col min="21" max="21" width="6.6640625" style="33" customWidth="1"/>
    <col min="22" max="16384" width="9.109375" style="33"/>
  </cols>
  <sheetData>
    <row r="1" spans="1:23" hidden="1" x14ac:dyDescent="0.25">
      <c r="A1" s="32" t="s">
        <v>77405</v>
      </c>
      <c r="B1" s="32" t="s">
        <v>1</v>
      </c>
      <c r="C1" s="32" t="s">
        <v>1</v>
      </c>
      <c r="D1" s="32" t="s">
        <v>1</v>
      </c>
      <c r="F1" s="33" t="s">
        <v>60</v>
      </c>
      <c r="G1" s="32" t="s">
        <v>10</v>
      </c>
      <c r="H1" s="32" t="s">
        <v>10</v>
      </c>
      <c r="I1" s="32" t="s">
        <v>10</v>
      </c>
      <c r="J1" s="32" t="s">
        <v>10</v>
      </c>
      <c r="K1" s="32" t="s">
        <v>10</v>
      </c>
      <c r="L1" s="32" t="s">
        <v>10</v>
      </c>
    </row>
    <row r="2" spans="1:23" ht="19.2" x14ac:dyDescent="0.45">
      <c r="B2" s="32" t="s">
        <v>7</v>
      </c>
      <c r="C2" s="34" t="str">
        <f>"*"</f>
        <v>*</v>
      </c>
      <c r="D2" s="34"/>
      <c r="F2" s="164"/>
      <c r="G2" s="164"/>
      <c r="H2" s="164"/>
      <c r="I2" s="164"/>
      <c r="J2" s="164"/>
      <c r="K2" s="164"/>
      <c r="L2" s="164"/>
      <c r="M2" s="164"/>
      <c r="N2" s="164"/>
      <c r="O2" s="164"/>
      <c r="P2" s="164"/>
      <c r="Q2" s="164"/>
      <c r="R2" s="164"/>
      <c r="S2" s="164"/>
    </row>
    <row r="3" spans="1:23" ht="19.2" hidden="1" x14ac:dyDescent="0.45">
      <c r="A3" s="32" t="s">
        <v>73</v>
      </c>
      <c r="D3" s="35"/>
      <c r="E3" s="36"/>
      <c r="F3" s="165"/>
      <c r="G3" s="165"/>
      <c r="H3" s="165"/>
      <c r="I3" s="164"/>
      <c r="J3" s="164"/>
      <c r="K3" s="164"/>
      <c r="L3" s="164"/>
      <c r="M3" s="164"/>
      <c r="N3" s="164"/>
      <c r="O3" s="164"/>
      <c r="P3" s="164"/>
      <c r="Q3" s="164"/>
      <c r="R3" s="164"/>
      <c r="S3" s="164"/>
    </row>
    <row r="4" spans="1:23" ht="19.2" hidden="1" x14ac:dyDescent="0.45">
      <c r="A4" s="32" t="s">
        <v>73</v>
      </c>
      <c r="B4" s="37" t="s">
        <v>62</v>
      </c>
      <c r="C4" s="38" t="str">
        <f>"12/12/19"</f>
        <v>12/12/19</v>
      </c>
      <c r="D4" s="38"/>
      <c r="E4" s="36"/>
      <c r="F4" s="165"/>
      <c r="G4" s="165"/>
      <c r="H4" s="164"/>
      <c r="I4" s="164"/>
      <c r="J4" s="164"/>
      <c r="K4" s="164"/>
      <c r="L4" s="164"/>
      <c r="M4" s="164"/>
      <c r="N4" s="164"/>
      <c r="O4" s="164"/>
      <c r="P4" s="164"/>
      <c r="Q4" s="164"/>
      <c r="R4" s="164"/>
      <c r="S4" s="164"/>
    </row>
    <row r="5" spans="1:23" ht="15.75" hidden="1" customHeight="1" x14ac:dyDescent="0.45">
      <c r="A5" s="32" t="s">
        <v>73</v>
      </c>
      <c r="B5" s="37" t="s">
        <v>63</v>
      </c>
      <c r="C5" s="39">
        <f>MONTH($C$4)</f>
        <v>12</v>
      </c>
      <c r="D5" s="39"/>
      <c r="E5" s="36"/>
      <c r="F5" s="164"/>
      <c r="G5" s="166"/>
      <c r="H5" s="164"/>
      <c r="I5" s="164"/>
      <c r="J5" s="164"/>
      <c r="K5" s="164"/>
      <c r="L5" s="164"/>
      <c r="M5" s="166"/>
      <c r="N5" s="166"/>
      <c r="O5" s="166"/>
      <c r="P5" s="166"/>
      <c r="Q5" s="166"/>
      <c r="R5" s="166"/>
      <c r="S5" s="166"/>
      <c r="T5" s="47"/>
      <c r="U5" s="47"/>
      <c r="V5" s="47"/>
      <c r="W5" s="47"/>
    </row>
    <row r="6" spans="1:23" ht="19.2" hidden="1" x14ac:dyDescent="0.45">
      <c r="A6" s="32" t="s">
        <v>73</v>
      </c>
      <c r="B6" s="37" t="s">
        <v>39</v>
      </c>
      <c r="C6" s="39" t="s">
        <v>41</v>
      </c>
      <c r="D6" s="39"/>
      <c r="E6" s="36"/>
      <c r="F6" s="164"/>
      <c r="G6" s="167"/>
      <c r="H6" s="167"/>
      <c r="I6" s="167"/>
      <c r="J6" s="164"/>
      <c r="K6" s="164"/>
      <c r="L6" s="164"/>
      <c r="M6" s="167"/>
      <c r="N6" s="167"/>
      <c r="O6" s="167"/>
      <c r="P6" s="167"/>
      <c r="Q6" s="167"/>
      <c r="R6" s="167"/>
      <c r="S6" s="167"/>
      <c r="T6" s="48"/>
      <c r="U6" s="48"/>
      <c r="V6" s="48"/>
      <c r="W6" s="48"/>
    </row>
    <row r="7" spans="1:23" ht="23.25" customHeight="1" x14ac:dyDescent="0.6">
      <c r="B7" s="40" t="s">
        <v>26</v>
      </c>
      <c r="C7" s="41">
        <f>DATE(YEAR($C$4),MONTH($C$4)-1,1)</f>
        <v>43770</v>
      </c>
      <c r="D7" s="41"/>
      <c r="E7" s="36"/>
      <c r="F7" s="210" t="s">
        <v>29</v>
      </c>
      <c r="G7" s="216"/>
      <c r="H7" s="216"/>
      <c r="I7" s="216"/>
      <c r="J7" s="216"/>
      <c r="K7" s="164"/>
      <c r="L7" s="164"/>
      <c r="M7" s="164"/>
      <c r="N7" s="164"/>
      <c r="O7" s="164"/>
      <c r="P7" s="164"/>
      <c r="Q7" s="164"/>
      <c r="R7" s="164"/>
      <c r="S7" s="164"/>
    </row>
    <row r="8" spans="1:23" ht="19.2" x14ac:dyDescent="0.45">
      <c r="B8" s="40" t="s">
        <v>27</v>
      </c>
      <c r="C8" s="41">
        <f>DATE(YEAR($C$7),MONTH($C$7)+1,1-1)</f>
        <v>43799</v>
      </c>
      <c r="D8" s="41"/>
      <c r="E8" s="36"/>
      <c r="F8" s="164" t="str">
        <f>"As of "&amp;TEXT($C$4,"DD-MMM-YY")</f>
        <v>As of 12-Dec-19</v>
      </c>
      <c r="G8" s="215"/>
      <c r="H8" s="215" t="s">
        <v>77395</v>
      </c>
      <c r="I8" s="215" t="str">
        <f>IF($C$2="*","ALL",$C$2)</f>
        <v>ALL</v>
      </c>
      <c r="J8" s="215"/>
      <c r="K8" s="164"/>
      <c r="L8" s="164"/>
      <c r="M8" s="164"/>
      <c r="N8" s="217" t="s">
        <v>77396</v>
      </c>
      <c r="O8" s="217"/>
      <c r="P8" s="217"/>
      <c r="Q8" s="217"/>
      <c r="R8" s="217"/>
      <c r="S8" s="217"/>
    </row>
    <row r="9" spans="1:23" ht="19.2" x14ac:dyDescent="0.45">
      <c r="B9" s="40" t="s">
        <v>8</v>
      </c>
      <c r="C9" s="39">
        <f>NETWORKDAYS($C$7,$C$8)</f>
        <v>21</v>
      </c>
      <c r="D9" s="39"/>
      <c r="E9" s="42"/>
      <c r="F9" s="164"/>
      <c r="G9" s="164"/>
      <c r="H9" s="164"/>
      <c r="I9" s="164"/>
      <c r="J9" s="164"/>
      <c r="K9" s="164"/>
      <c r="L9" s="164"/>
      <c r="M9" s="164"/>
      <c r="N9" s="164"/>
      <c r="O9" s="164"/>
      <c r="P9" s="164"/>
      <c r="Q9" s="164"/>
      <c r="R9" s="164"/>
      <c r="S9" s="164"/>
    </row>
    <row r="10" spans="1:23" ht="19.2" x14ac:dyDescent="0.45">
      <c r="B10" s="40" t="s">
        <v>38</v>
      </c>
      <c r="C10" s="43" t="str">
        <f>"..11/30/2019"</f>
        <v>..11/30/2019</v>
      </c>
      <c r="D10" s="44">
        <f>50950348.89</f>
        <v>50950348.890000001</v>
      </c>
      <c r="F10" s="164"/>
      <c r="G10" s="164"/>
      <c r="H10" s="168" t="s">
        <v>47</v>
      </c>
      <c r="I10" s="169" t="s">
        <v>45</v>
      </c>
      <c r="J10" s="170" t="s">
        <v>66</v>
      </c>
      <c r="K10" s="171" t="s">
        <v>46</v>
      </c>
      <c r="L10" s="172" t="s">
        <v>44</v>
      </c>
      <c r="M10" s="164"/>
      <c r="N10" s="164"/>
      <c r="O10" s="164"/>
      <c r="P10" s="164"/>
      <c r="Q10" s="164"/>
      <c r="R10" s="164"/>
      <c r="S10" s="164"/>
    </row>
    <row r="11" spans="1:23" ht="19.2" x14ac:dyDescent="0.45">
      <c r="B11" s="40" t="s">
        <v>23</v>
      </c>
      <c r="C11" s="45" t="str">
        <f>"11/1/2019..11/30/2019"</f>
        <v>11/1/2019..11/30/2019</v>
      </c>
      <c r="D11" s="44">
        <f>2383541.08</f>
        <v>2383541.08</v>
      </c>
      <c r="F11" s="164"/>
      <c r="G11" s="164"/>
      <c r="H11" s="173" t="str">
        <f>'AR Aging'!P22</f>
        <v>Current</v>
      </c>
      <c r="I11" s="174">
        <f>'AR Aging'!P6564</f>
        <v>775948.55999999982</v>
      </c>
      <c r="J11" s="175">
        <f>I11/$I$18</f>
        <v>1.4917236073558462E-2</v>
      </c>
      <c r="K11" s="176">
        <f>'AR Aging'!P6567</f>
        <v>75</v>
      </c>
      <c r="L11" s="177">
        <f>IF(ISERROR(I11/K11),0,(I11/K11))</f>
        <v>10345.980799999998</v>
      </c>
      <c r="M11" s="164"/>
      <c r="N11" s="164"/>
      <c r="O11" s="164"/>
      <c r="P11" s="164"/>
      <c r="Q11" s="164"/>
      <c r="R11" s="164"/>
      <c r="S11" s="164"/>
    </row>
    <row r="12" spans="1:23" ht="17.25" customHeight="1" x14ac:dyDescent="0.45">
      <c r="B12" s="37" t="s">
        <v>40</v>
      </c>
      <c r="C12" s="45"/>
      <c r="D12" s="41"/>
      <c r="F12" s="164"/>
      <c r="G12" s="164"/>
      <c r="H12" s="173" t="str">
        <f>'AR Aging'!Q22</f>
        <v>1-30</v>
      </c>
      <c r="I12" s="174">
        <f>'AR Aging'!Q6564</f>
        <v>1139763.5</v>
      </c>
      <c r="J12" s="175">
        <f>I12/$I$18</f>
        <v>2.1911402474315118E-2</v>
      </c>
      <c r="K12" s="176">
        <f>'AR Aging'!Q6567</f>
        <v>122</v>
      </c>
      <c r="L12" s="177">
        <f>IF(ISERROR(I12/K12),0,(I12/K12))</f>
        <v>9342.3237704918029</v>
      </c>
      <c r="M12" s="164"/>
      <c r="N12" s="164"/>
      <c r="O12" s="164"/>
      <c r="P12" s="164"/>
      <c r="Q12" s="164"/>
      <c r="R12" s="164"/>
      <c r="S12" s="164"/>
    </row>
    <row r="13" spans="1:23" ht="19.2" x14ac:dyDescent="0.45">
      <c r="B13" s="40" t="s">
        <v>26</v>
      </c>
      <c r="C13" s="41">
        <f>DATE(YEAR($C$7),MONTH($C$7)-3,1)</f>
        <v>43678</v>
      </c>
      <c r="D13" s="41"/>
      <c r="F13" s="164"/>
      <c r="G13" s="164"/>
      <c r="H13" s="173" t="str">
        <f>'AR Aging'!R22</f>
        <v>31-60</v>
      </c>
      <c r="I13" s="174">
        <f>'AR Aging'!R6564</f>
        <v>869599.64</v>
      </c>
      <c r="J13" s="175">
        <f>I13/$I$18</f>
        <v>1.6717632827827473E-2</v>
      </c>
      <c r="K13" s="176">
        <f>'AR Aging'!R6567</f>
        <v>107</v>
      </c>
      <c r="L13" s="177">
        <f>IF(ISERROR(I13/K13),0,(I13/K13))</f>
        <v>8127.0994392523362</v>
      </c>
      <c r="M13" s="164"/>
      <c r="N13" s="164"/>
      <c r="O13" s="164"/>
      <c r="P13" s="164"/>
      <c r="Q13" s="164"/>
      <c r="R13" s="164"/>
      <c r="S13" s="164"/>
    </row>
    <row r="14" spans="1:23" ht="19.2" x14ac:dyDescent="0.45">
      <c r="B14" s="40" t="s">
        <v>27</v>
      </c>
      <c r="C14" s="41">
        <f>DATE(YEAR($C$13),MONTH($C$13)+3,1-1)</f>
        <v>43769</v>
      </c>
      <c r="D14" s="39"/>
      <c r="F14" s="164"/>
      <c r="G14" s="164"/>
      <c r="H14" s="173" t="str">
        <f>'AR Aging'!S22</f>
        <v>61-90</v>
      </c>
      <c r="I14" s="174">
        <f>'AR Aging'!S6564</f>
        <v>793265.40999999992</v>
      </c>
      <c r="J14" s="175">
        <f>I14/$I$18</f>
        <v>1.5250144146099253E-2</v>
      </c>
      <c r="K14" s="176">
        <f>'AR Aging'!S6567</f>
        <v>91</v>
      </c>
      <c r="L14" s="177">
        <f>IF(ISERROR(I14/K14),0,(I14/K14))</f>
        <v>8717.2023076923069</v>
      </c>
      <c r="M14" s="164"/>
      <c r="N14" s="164"/>
      <c r="O14" s="164"/>
      <c r="P14" s="164"/>
      <c r="Q14" s="164"/>
      <c r="R14" s="164"/>
      <c r="S14" s="164"/>
    </row>
    <row r="15" spans="1:23" ht="19.2" x14ac:dyDescent="0.45">
      <c r="B15" s="40" t="s">
        <v>8</v>
      </c>
      <c r="C15" s="39">
        <f>NETWORKDAYS($C$13,$C$14)</f>
        <v>66</v>
      </c>
      <c r="D15" s="41"/>
      <c r="F15" s="164"/>
      <c r="G15" s="164"/>
      <c r="H15" s="173" t="str">
        <f>'AR Aging'!T22</f>
        <v>Over 90</v>
      </c>
      <c r="I15" s="174">
        <f>'AR Aging'!T6564</f>
        <v>48438335.150000177</v>
      </c>
      <c r="J15" s="175">
        <f>I15/$I$18</f>
        <v>0.93120358447819995</v>
      </c>
      <c r="K15" s="176">
        <f>'AR Aging'!T6567</f>
        <v>5340</v>
      </c>
      <c r="L15" s="177">
        <f>IF(ISERROR(I15/K15),0,(I15/K15))</f>
        <v>9070.8492790262499</v>
      </c>
      <c r="M15" s="164"/>
      <c r="N15" s="164"/>
      <c r="O15" s="164"/>
      <c r="P15" s="164"/>
      <c r="Q15" s="164"/>
      <c r="R15" s="164"/>
      <c r="S15" s="164"/>
    </row>
    <row r="16" spans="1:23" ht="19.2" x14ac:dyDescent="0.45">
      <c r="B16" s="40" t="s">
        <v>38</v>
      </c>
      <c r="C16" s="43" t="str">
        <f>"..10/31/2019"</f>
        <v>..10/31/2019</v>
      </c>
      <c r="D16" s="44">
        <f>49632780.02</f>
        <v>49632780.020000003</v>
      </c>
      <c r="F16" s="164"/>
      <c r="G16" s="164"/>
      <c r="H16" s="173"/>
      <c r="I16" s="174"/>
      <c r="J16" s="175"/>
      <c r="K16" s="176"/>
      <c r="L16" s="177"/>
      <c r="M16" s="164"/>
      <c r="N16" s="164"/>
      <c r="O16" s="164"/>
      <c r="P16" s="164"/>
      <c r="Q16" s="164"/>
      <c r="R16" s="164"/>
      <c r="S16" s="164"/>
    </row>
    <row r="17" spans="1:19" ht="19.2" x14ac:dyDescent="0.45">
      <c r="B17" s="40" t="s">
        <v>23</v>
      </c>
      <c r="C17" s="43" t="str">
        <f>"8/1/2019..10/31/2019"</f>
        <v>8/1/2019..10/31/2019</v>
      </c>
      <c r="D17" s="44">
        <f>5752460.55</f>
        <v>5752460.5499999998</v>
      </c>
      <c r="F17" s="164"/>
      <c r="G17" s="164"/>
      <c r="H17" s="173" t="s">
        <v>34</v>
      </c>
      <c r="I17" s="178">
        <f>SUM(I12:I16)</f>
        <v>51240963.700000174</v>
      </c>
      <c r="J17" s="175">
        <f>I17/$I$18</f>
        <v>0.98508276392644178</v>
      </c>
      <c r="K17" s="179">
        <f>SUM(K12:K16)</f>
        <v>5660</v>
      </c>
      <c r="L17" s="180">
        <f>SUM(L12:L16)</f>
        <v>35257.474796462695</v>
      </c>
      <c r="M17" s="164"/>
      <c r="N17" s="164"/>
      <c r="O17" s="164"/>
      <c r="P17" s="164"/>
      <c r="Q17" s="164"/>
      <c r="R17" s="164"/>
      <c r="S17" s="164"/>
    </row>
    <row r="18" spans="1:19" ht="19.2" x14ac:dyDescent="0.45">
      <c r="F18" s="164"/>
      <c r="G18" s="164"/>
      <c r="H18" s="181" t="s">
        <v>65</v>
      </c>
      <c r="I18" s="182">
        <f>'AR Aging'!O6564</f>
        <v>52016912.260000162</v>
      </c>
      <c r="J18" s="183"/>
      <c r="K18" s="184">
        <f>SUM(K11:K16)</f>
        <v>5735</v>
      </c>
      <c r="L18" s="185">
        <f>SUM(L15:L17)</f>
        <v>44328.324075488941</v>
      </c>
      <c r="M18" s="164"/>
      <c r="N18" s="164"/>
      <c r="O18" s="164"/>
      <c r="P18" s="164"/>
      <c r="Q18" s="164"/>
      <c r="R18" s="164"/>
      <c r="S18" s="164"/>
    </row>
    <row r="19" spans="1:19" ht="19.2" x14ac:dyDescent="0.45">
      <c r="F19" s="164"/>
      <c r="G19" s="164"/>
      <c r="H19" s="164"/>
      <c r="I19" s="164"/>
      <c r="J19" s="164"/>
      <c r="K19" s="164"/>
      <c r="L19" s="164"/>
      <c r="M19" s="164"/>
      <c r="N19" s="164"/>
      <c r="O19" s="164"/>
      <c r="P19" s="164"/>
      <c r="Q19" s="164"/>
      <c r="R19" s="164"/>
      <c r="S19" s="164"/>
    </row>
    <row r="20" spans="1:19" ht="19.2" x14ac:dyDescent="0.45">
      <c r="F20" s="186" t="s">
        <v>72</v>
      </c>
      <c r="G20" s="187"/>
      <c r="H20" s="188"/>
      <c r="I20" s="189"/>
      <c r="J20" s="189"/>
      <c r="K20" s="189"/>
      <c r="L20" s="190"/>
      <c r="M20" s="164"/>
      <c r="N20" s="164"/>
      <c r="O20" s="164"/>
      <c r="P20" s="164"/>
      <c r="Q20" s="164"/>
      <c r="R20" s="164"/>
      <c r="S20" s="164"/>
    </row>
    <row r="21" spans="1:19" ht="19.2" x14ac:dyDescent="0.45">
      <c r="F21" s="191" t="s">
        <v>30</v>
      </c>
      <c r="G21" s="192" t="s">
        <v>31</v>
      </c>
      <c r="H21" s="192"/>
      <c r="I21" s="193" t="s">
        <v>71</v>
      </c>
      <c r="J21" s="194" t="s">
        <v>32</v>
      </c>
      <c r="K21" s="195" t="s">
        <v>2</v>
      </c>
      <c r="L21" s="196" t="s">
        <v>67</v>
      </c>
      <c r="M21" s="164"/>
      <c r="N21" s="164"/>
      <c r="O21" s="164"/>
      <c r="P21" s="164"/>
      <c r="Q21" s="164"/>
      <c r="R21" s="164"/>
      <c r="S21" s="164"/>
    </row>
    <row r="22" spans="1:19" ht="19.2" x14ac:dyDescent="0.45">
      <c r="B22" s="32" t="str">
        <f>"""NAV Direct"",""CRONUS JetCorp USA"",""21"",""1"",""379271"""</f>
        <v>"NAV Direct","CRONUS JetCorp USA","21","1","379271"</v>
      </c>
      <c r="F22" s="197" t="str">
        <f>"C100073"</f>
        <v>C100073</v>
      </c>
      <c r="G22" s="164" t="str">
        <f>"Ravel M¢bler"</f>
        <v>Ravel M¢bler</v>
      </c>
      <c r="H22" s="164"/>
      <c r="I22" s="164" t="str">
        <f>"SI_111791"</f>
        <v>SI_111791</v>
      </c>
      <c r="J22" s="198">
        <v>43614</v>
      </c>
      <c r="K22" s="199">
        <v>43616</v>
      </c>
      <c r="L22" s="177">
        <v>27065.840000000004</v>
      </c>
      <c r="M22" s="164"/>
      <c r="N22" s="164"/>
      <c r="O22" s="164"/>
      <c r="P22" s="164"/>
      <c r="Q22" s="164"/>
      <c r="R22" s="164"/>
      <c r="S22" s="164"/>
    </row>
    <row r="23" spans="1:19" ht="19.2" x14ac:dyDescent="0.45">
      <c r="A23" s="32" t="s">
        <v>327</v>
      </c>
      <c r="B23" s="32" t="str">
        <f>"""NAV Direct"",""CRONUS JetCorp USA"",""21"",""1"",""375234"""</f>
        <v>"NAV Direct","CRONUS JetCorp USA","21","1","375234"</v>
      </c>
      <c r="F23" s="197" t="str">
        <f>"C100026"</f>
        <v>C100026</v>
      </c>
      <c r="G23" s="164" t="str">
        <f>"Designstudio Gmunden"</f>
        <v>Designstudio Gmunden</v>
      </c>
      <c r="H23" s="164"/>
      <c r="I23" s="164" t="str">
        <f>"SI_111680"</f>
        <v>SI_111680</v>
      </c>
      <c r="J23" s="198">
        <v>43622</v>
      </c>
      <c r="K23" s="199">
        <v>43652</v>
      </c>
      <c r="L23" s="177">
        <v>27023.16</v>
      </c>
      <c r="M23" s="164"/>
      <c r="N23" s="164"/>
      <c r="O23" s="164"/>
      <c r="P23" s="164"/>
      <c r="Q23" s="164"/>
      <c r="R23" s="164"/>
      <c r="S23" s="164"/>
    </row>
    <row r="24" spans="1:19" ht="19.2" x14ac:dyDescent="0.45">
      <c r="A24" s="32" t="s">
        <v>327</v>
      </c>
      <c r="B24" s="32" t="str">
        <f>"""NAV Direct"",""CRONUS JetCorp USA"",""21"",""1"",""379234"""</f>
        <v>"NAV Direct","CRONUS JetCorp USA","21","1","379234"</v>
      </c>
      <c r="F24" s="197" t="str">
        <f>"C100014"</f>
        <v>C100014</v>
      </c>
      <c r="G24" s="164" t="str">
        <f>"Candoxy Nederland BV"</f>
        <v>Candoxy Nederland BV</v>
      </c>
      <c r="H24" s="164"/>
      <c r="I24" s="164" t="str">
        <f>"SI_111790"</f>
        <v>SI_111790</v>
      </c>
      <c r="J24" s="198">
        <v>43594</v>
      </c>
      <c r="K24" s="199">
        <v>43616</v>
      </c>
      <c r="L24" s="177">
        <v>26513.85</v>
      </c>
      <c r="M24" s="164"/>
      <c r="N24" s="164"/>
      <c r="O24" s="164"/>
      <c r="P24" s="164"/>
      <c r="Q24" s="164"/>
      <c r="R24" s="164"/>
      <c r="S24" s="164"/>
    </row>
    <row r="25" spans="1:19" ht="19.2" x14ac:dyDescent="0.45">
      <c r="A25" s="32" t="s">
        <v>327</v>
      </c>
      <c r="B25" s="32" t="str">
        <f>"""NAV Direct"",""CRONUS JetCorp USA"",""21"",""1"",""376648"""</f>
        <v>"NAV Direct","CRONUS JetCorp USA","21","1","376648"</v>
      </c>
      <c r="F25" s="197" t="str">
        <f>"C100008"</f>
        <v>C100008</v>
      </c>
      <c r="G25" s="164" t="str">
        <f>"Blanemark Hifi Shop"</f>
        <v>Blanemark Hifi Shop</v>
      </c>
      <c r="H25" s="164"/>
      <c r="I25" s="164" t="str">
        <f>"SI_111714"</f>
        <v>SI_111714</v>
      </c>
      <c r="J25" s="198">
        <v>43999</v>
      </c>
      <c r="K25" s="199">
        <v>42202</v>
      </c>
      <c r="L25" s="177">
        <v>26291.3</v>
      </c>
      <c r="M25" s="164"/>
      <c r="N25" s="164"/>
      <c r="O25" s="164"/>
      <c r="P25" s="164"/>
      <c r="Q25" s="164"/>
      <c r="R25" s="164"/>
      <c r="S25" s="164"/>
    </row>
    <row r="26" spans="1:19" ht="19.2" x14ac:dyDescent="0.45">
      <c r="A26" s="32" t="s">
        <v>327</v>
      </c>
      <c r="B26" s="32" t="str">
        <f>"""NAV Direct"",""CRONUS JetCorp USA"",""21"",""1"",""376603"""</f>
        <v>"NAV Direct","CRONUS JetCorp USA","21","1","376603"</v>
      </c>
      <c r="F26" s="197" t="str">
        <f>"C100050"</f>
        <v>C100050</v>
      </c>
      <c r="G26" s="164" t="str">
        <f>"Lauritzen Kontorm¢bler A/S"</f>
        <v>Lauritzen Kontorm¢bler A/S</v>
      </c>
      <c r="H26" s="164"/>
      <c r="I26" s="164" t="str">
        <f>"SI_111713"</f>
        <v>SI_111713</v>
      </c>
      <c r="J26" s="198">
        <v>43999</v>
      </c>
      <c r="K26" s="199">
        <v>42202</v>
      </c>
      <c r="L26" s="177">
        <v>26291.200000000001</v>
      </c>
      <c r="M26" s="164"/>
      <c r="N26" s="164"/>
      <c r="O26" s="164"/>
      <c r="P26" s="164"/>
      <c r="Q26" s="164"/>
      <c r="R26" s="164"/>
      <c r="S26" s="164"/>
    </row>
    <row r="27" spans="1:19" ht="19.2" x14ac:dyDescent="0.45">
      <c r="A27" s="32" t="s">
        <v>327</v>
      </c>
      <c r="B27" s="32" t="str">
        <f>"""NAV Direct"",""CRONUS JetCorp USA"",""21"",""1"",""357449"""</f>
        <v>"NAV Direct","CRONUS JetCorp USA","21","1","357449"</v>
      </c>
      <c r="F27" s="197" t="str">
        <f>"C100102"</f>
        <v>C100102</v>
      </c>
      <c r="G27" s="164" t="str">
        <f>"BEI Outfitters "</f>
        <v xml:space="preserve">BEI Outfitters </v>
      </c>
      <c r="H27" s="164"/>
      <c r="I27" s="164" t="str">
        <f>"SI_111181"</f>
        <v>SI_111181</v>
      </c>
      <c r="J27" s="198">
        <v>43631</v>
      </c>
      <c r="K27" s="199">
        <v>43645</v>
      </c>
      <c r="L27" s="177">
        <v>26164.23</v>
      </c>
      <c r="M27" s="164"/>
      <c r="N27" s="164"/>
      <c r="O27" s="164"/>
      <c r="P27" s="164"/>
      <c r="Q27" s="164"/>
      <c r="R27" s="164"/>
      <c r="S27" s="164"/>
    </row>
    <row r="28" spans="1:19" ht="19.2" x14ac:dyDescent="0.45">
      <c r="A28" s="32" t="s">
        <v>327</v>
      </c>
      <c r="B28" s="32" t="str">
        <f>"""NAV Direct"",""CRONUS JetCorp USA"",""21"",""1"",""376558"""</f>
        <v>"NAV Direct","CRONUS JetCorp USA","21","1","376558"</v>
      </c>
      <c r="F28" s="197" t="str">
        <f>"C100059"</f>
        <v>C100059</v>
      </c>
      <c r="G28" s="164" t="str">
        <f>"Meersen Meubelen"</f>
        <v>Meersen Meubelen</v>
      </c>
      <c r="H28" s="164"/>
      <c r="I28" s="164" t="str">
        <f>"SI_111712"</f>
        <v>SI_111712</v>
      </c>
      <c r="J28" s="198">
        <v>43996</v>
      </c>
      <c r="K28" s="199">
        <v>42183</v>
      </c>
      <c r="L28" s="177">
        <v>26022.240000000002</v>
      </c>
      <c r="M28" s="164"/>
      <c r="N28" s="164"/>
      <c r="O28" s="164"/>
      <c r="P28" s="164"/>
      <c r="Q28" s="164"/>
      <c r="R28" s="164"/>
      <c r="S28" s="164"/>
    </row>
    <row r="29" spans="1:19" ht="19.2" x14ac:dyDescent="0.45">
      <c r="A29" s="32" t="s">
        <v>327</v>
      </c>
      <c r="B29" s="32" t="str">
        <f>"""NAV Direct"",""CRONUS JetCorp USA"",""21"",""1"",""357291"""</f>
        <v>"NAV Direct","CRONUS JetCorp USA","21","1","357291"</v>
      </c>
      <c r="F29" s="197" t="str">
        <f>"C100095"</f>
        <v>C100095</v>
      </c>
      <c r="G29" s="164" t="str">
        <f>"Randotax Outfitters"</f>
        <v>Randotax Outfitters</v>
      </c>
      <c r="H29" s="164"/>
      <c r="I29" s="164" t="str">
        <f>"SI_111177"</f>
        <v>SI_111177</v>
      </c>
      <c r="J29" s="198">
        <v>43624</v>
      </c>
      <c r="K29" s="199">
        <v>43638</v>
      </c>
      <c r="L29" s="177">
        <v>25897.480000000003</v>
      </c>
      <c r="M29" s="164"/>
      <c r="N29" s="164"/>
      <c r="O29" s="164"/>
      <c r="P29" s="164"/>
      <c r="Q29" s="164"/>
      <c r="R29" s="164"/>
      <c r="S29" s="164"/>
    </row>
    <row r="30" spans="1:19" ht="19.2" hidden="1" x14ac:dyDescent="0.45">
      <c r="A30" s="32" t="s">
        <v>1</v>
      </c>
      <c r="B30" s="33"/>
      <c r="F30" s="197"/>
      <c r="G30" s="212" t="s">
        <v>77</v>
      </c>
      <c r="H30" s="164"/>
      <c r="I30" s="164"/>
      <c r="J30" s="164"/>
      <c r="K30" s="164"/>
      <c r="L30" s="200">
        <v>0</v>
      </c>
      <c r="M30" s="164"/>
      <c r="N30" s="164"/>
      <c r="O30" s="164"/>
      <c r="P30" s="164"/>
      <c r="Q30" s="164"/>
      <c r="R30" s="164"/>
      <c r="S30" s="164"/>
    </row>
    <row r="31" spans="1:19" ht="19.2" x14ac:dyDescent="0.45">
      <c r="B31" s="33"/>
      <c r="F31" s="197"/>
      <c r="G31" s="164"/>
      <c r="H31" s="164"/>
      <c r="I31" s="164"/>
      <c r="J31" s="164"/>
      <c r="K31" s="201" t="s">
        <v>33</v>
      </c>
      <c r="L31" s="202">
        <f>SUM(L22:L30)</f>
        <v>211269.30000000002</v>
      </c>
      <c r="M31" s="164"/>
      <c r="N31" s="164"/>
      <c r="O31" s="164"/>
      <c r="P31" s="164"/>
      <c r="Q31" s="164"/>
      <c r="R31" s="164"/>
      <c r="S31" s="164"/>
    </row>
    <row r="32" spans="1:19" ht="19.2" x14ac:dyDescent="0.45">
      <c r="A32" s="33"/>
      <c r="F32" s="203"/>
      <c r="G32" s="204"/>
      <c r="H32" s="204"/>
      <c r="I32" s="204"/>
      <c r="J32" s="205" t="s">
        <v>43</v>
      </c>
      <c r="K32" s="205"/>
      <c r="L32" s="206">
        <f>L31/$I$18</f>
        <v>4.0615501924450327E-3</v>
      </c>
      <c r="M32" s="164"/>
      <c r="N32" s="164"/>
      <c r="O32" s="164"/>
      <c r="P32" s="164"/>
      <c r="Q32" s="164"/>
      <c r="R32" s="164"/>
      <c r="S32" s="164"/>
    </row>
    <row r="33" spans="1:19" ht="19.2" x14ac:dyDescent="0.45">
      <c r="F33" s="207" t="s">
        <v>74</v>
      </c>
      <c r="G33" s="208"/>
      <c r="H33" s="208"/>
      <c r="I33" s="189"/>
      <c r="J33" s="189"/>
      <c r="K33" s="189"/>
      <c r="L33" s="190"/>
      <c r="M33" s="164"/>
      <c r="N33" s="164"/>
      <c r="O33" s="164"/>
      <c r="P33" s="164"/>
      <c r="Q33" s="164"/>
      <c r="R33" s="164"/>
      <c r="S33" s="164"/>
    </row>
    <row r="34" spans="1:19" ht="19.2" x14ac:dyDescent="0.45">
      <c r="F34" s="191" t="s">
        <v>30</v>
      </c>
      <c r="G34" s="192" t="s">
        <v>31</v>
      </c>
      <c r="H34" s="192"/>
      <c r="I34" s="193" t="s">
        <v>64</v>
      </c>
      <c r="J34" s="194" t="s">
        <v>32</v>
      </c>
      <c r="K34" s="209" t="s">
        <v>2</v>
      </c>
      <c r="L34" s="196" t="s">
        <v>67</v>
      </c>
      <c r="M34" s="164"/>
      <c r="N34" s="164"/>
      <c r="O34" s="164"/>
      <c r="P34" s="164"/>
      <c r="Q34" s="164"/>
      <c r="R34" s="164"/>
      <c r="S34" s="164"/>
    </row>
    <row r="35" spans="1:19" ht="19.2" x14ac:dyDescent="0.45">
      <c r="B35" s="32" t="str">
        <f>"""NAV Direct"",""CRONUS JetCorp USA"",""21"",""1"",""383903"""</f>
        <v>"NAV Direct","CRONUS JetCorp USA","21","1","383903"</v>
      </c>
      <c r="F35" s="197" t="str">
        <f>"C100139"</f>
        <v>C100139</v>
      </c>
      <c r="G35" s="164" t="str">
        <f>"Gamma Ray's"</f>
        <v>Gamma Ray's</v>
      </c>
      <c r="H35" s="164"/>
      <c r="I35" s="164" t="str">
        <f>"SI_111923"</f>
        <v>SI_111923</v>
      </c>
      <c r="J35" s="198">
        <v>42370</v>
      </c>
      <c r="K35" s="199">
        <v>42384</v>
      </c>
      <c r="L35" s="177">
        <v>9199.9599999999991</v>
      </c>
      <c r="M35" s="164"/>
      <c r="N35" s="164"/>
      <c r="O35" s="164"/>
      <c r="P35" s="164"/>
      <c r="Q35" s="164"/>
      <c r="R35" s="164"/>
      <c r="S35" s="164"/>
    </row>
    <row r="36" spans="1:19" ht="19.2" x14ac:dyDescent="0.45">
      <c r="A36" s="32" t="s">
        <v>327</v>
      </c>
      <c r="B36" s="32" t="str">
        <f>"""NAV Direct"",""CRONUS JetCorp USA"",""21"",""1"",""383864"""</f>
        <v>"NAV Direct","CRONUS JetCorp USA","21","1","383864"</v>
      </c>
      <c r="F36" s="197" t="str">
        <f>"C100141"</f>
        <v>C100141</v>
      </c>
      <c r="G36" s="164" t="str">
        <f>"Bargottis"</f>
        <v>Bargottis</v>
      </c>
      <c r="H36" s="164"/>
      <c r="I36" s="164" t="str">
        <f>"SI_111922"</f>
        <v>SI_111922</v>
      </c>
      <c r="J36" s="198">
        <v>42372</v>
      </c>
      <c r="K36" s="199">
        <v>42386</v>
      </c>
      <c r="L36" s="177">
        <v>9599.93</v>
      </c>
      <c r="M36" s="164"/>
      <c r="N36" s="164"/>
      <c r="O36" s="164"/>
      <c r="P36" s="164"/>
      <c r="Q36" s="164"/>
      <c r="R36" s="164"/>
      <c r="S36" s="164"/>
    </row>
    <row r="37" spans="1:19" ht="19.2" x14ac:dyDescent="0.45">
      <c r="A37" s="32" t="s">
        <v>327</v>
      </c>
      <c r="B37" s="32" t="str">
        <f>"""NAV Direct"",""CRONUS JetCorp USA"",""21"",""1"",""313484"""</f>
        <v>"NAV Direct","CRONUS JetCorp USA","21","1","313484"</v>
      </c>
      <c r="F37" s="197" t="str">
        <f>"C100053"</f>
        <v>C100053</v>
      </c>
      <c r="G37" s="164" t="str">
        <f>"London Candoxy Storage Campus"</f>
        <v>London Candoxy Storage Campus</v>
      </c>
      <c r="H37" s="164"/>
      <c r="I37" s="164" t="str">
        <f>"SI_109712"</f>
        <v>SI_109712</v>
      </c>
      <c r="J37" s="198">
        <v>42373</v>
      </c>
      <c r="K37" s="199">
        <v>42400</v>
      </c>
      <c r="L37" s="177">
        <v>11749.679999999998</v>
      </c>
      <c r="M37" s="164"/>
      <c r="N37" s="164"/>
      <c r="O37" s="164"/>
      <c r="P37" s="164"/>
      <c r="Q37" s="164"/>
      <c r="R37" s="164"/>
      <c r="S37" s="164"/>
    </row>
    <row r="38" spans="1:19" ht="19.2" x14ac:dyDescent="0.45">
      <c r="A38" s="32" t="s">
        <v>327</v>
      </c>
      <c r="B38" s="32" t="str">
        <f>"""NAV Direct"",""CRONUS JetCorp USA"",""21"",""1"",""313538"""</f>
        <v>"NAV Direct","CRONUS JetCorp USA","21","1","313538"</v>
      </c>
      <c r="F38" s="197" t="str">
        <f>"C100083"</f>
        <v>C100083</v>
      </c>
      <c r="G38" s="164" t="str">
        <f>"Stanfords"</f>
        <v>Stanfords</v>
      </c>
      <c r="H38" s="164"/>
      <c r="I38" s="164" t="str">
        <f>"SI_109714"</f>
        <v>SI_109714</v>
      </c>
      <c r="J38" s="198">
        <v>42374</v>
      </c>
      <c r="K38" s="199">
        <v>42388</v>
      </c>
      <c r="L38" s="177">
        <v>11998.58</v>
      </c>
      <c r="M38" s="164"/>
      <c r="N38" s="164"/>
      <c r="O38" s="164"/>
      <c r="P38" s="164"/>
      <c r="Q38" s="164"/>
      <c r="R38" s="164"/>
      <c r="S38" s="164"/>
    </row>
    <row r="39" spans="1:19" ht="19.2" x14ac:dyDescent="0.45">
      <c r="A39" s="32" t="s">
        <v>327</v>
      </c>
      <c r="B39" s="32" t="str">
        <f>"""NAV Direct"",""CRONUS JetCorp USA"",""21"",""1"",""371098"""</f>
        <v>"NAV Direct","CRONUS JetCorp USA","21","1","371098"</v>
      </c>
      <c r="F39" s="197" t="str">
        <f>"C100026"</f>
        <v>C100026</v>
      </c>
      <c r="G39" s="164" t="str">
        <f>"Designstudio Gmunden"</f>
        <v>Designstudio Gmunden</v>
      </c>
      <c r="H39" s="164"/>
      <c r="I39" s="164" t="str">
        <f>"SI_111568"</f>
        <v>SI_111568</v>
      </c>
      <c r="J39" s="198">
        <v>42374</v>
      </c>
      <c r="K39" s="199">
        <v>42405</v>
      </c>
      <c r="L39" s="177">
        <v>14719.73</v>
      </c>
      <c r="M39" s="164"/>
      <c r="N39" s="164"/>
      <c r="O39" s="164"/>
      <c r="P39" s="164"/>
      <c r="Q39" s="164"/>
      <c r="R39" s="164"/>
      <c r="S39" s="164"/>
    </row>
    <row r="40" spans="1:19" ht="19.2" x14ac:dyDescent="0.45">
      <c r="A40" s="32" t="s">
        <v>327</v>
      </c>
      <c r="B40" s="32" t="str">
        <f>"""NAV Direct"",""CRONUS JetCorp USA"",""21"",""1"",""383732"""</f>
        <v>"NAV Direct","CRONUS JetCorp USA","21","1","383732"</v>
      </c>
      <c r="F40" s="197" t="str">
        <f>"C100119"</f>
        <v>C100119</v>
      </c>
      <c r="G40" s="164" t="str">
        <f>"Inchit, Inc."</f>
        <v>Inchit, Inc.</v>
      </c>
      <c r="H40" s="164"/>
      <c r="I40" s="164" t="str">
        <f>"SI_111920"</f>
        <v>SI_111920</v>
      </c>
      <c r="J40" s="198">
        <v>42374</v>
      </c>
      <c r="K40" s="199">
        <v>42388</v>
      </c>
      <c r="L40" s="177">
        <v>9199.93</v>
      </c>
      <c r="M40" s="164"/>
      <c r="N40" s="164"/>
      <c r="O40" s="164"/>
      <c r="P40" s="164"/>
      <c r="Q40" s="164"/>
      <c r="R40" s="164"/>
      <c r="S40" s="164"/>
    </row>
    <row r="41" spans="1:19" ht="19.2" x14ac:dyDescent="0.45">
      <c r="A41" s="32" t="s">
        <v>327</v>
      </c>
      <c r="B41" s="32" t="str">
        <f>"""NAV Direct"",""CRONUS JetCorp USA"",""21"",""1"",""313467"""</f>
        <v>"NAV Direct","CRONUS JetCorp USA","21","1","313467"</v>
      </c>
      <c r="F41" s="197" t="str">
        <f>"C100083"</f>
        <v>C100083</v>
      </c>
      <c r="G41" s="164" t="str">
        <f>"Stanfords"</f>
        <v>Stanfords</v>
      </c>
      <c r="H41" s="164"/>
      <c r="I41" s="164" t="str">
        <f>"SI_109711"</f>
        <v>SI_109711</v>
      </c>
      <c r="J41" s="198">
        <v>42375</v>
      </c>
      <c r="K41" s="199">
        <v>42389</v>
      </c>
      <c r="L41" s="177">
        <v>11748.890000000001</v>
      </c>
      <c r="M41" s="164"/>
      <c r="N41" s="164"/>
      <c r="O41" s="164"/>
      <c r="P41" s="164"/>
      <c r="Q41" s="164"/>
      <c r="R41" s="164"/>
      <c r="S41" s="164"/>
    </row>
    <row r="42" spans="1:19" ht="19.2" x14ac:dyDescent="0.45">
      <c r="A42" s="32" t="s">
        <v>327</v>
      </c>
      <c r="B42" s="32" t="str">
        <f>"""NAV Direct"",""CRONUS JetCorp USA"",""21"",""1"",""334902"""</f>
        <v>"NAV Direct","CRONUS JetCorp USA","21","1","334902"</v>
      </c>
      <c r="F42" s="197" t="str">
        <f>"C100035"</f>
        <v>C100035</v>
      </c>
      <c r="G42" s="164" t="str">
        <f>"First Touch Marketing"</f>
        <v>First Touch Marketing</v>
      </c>
      <c r="H42" s="164"/>
      <c r="I42" s="164" t="str">
        <f>"SI_110588"</f>
        <v>SI_110588</v>
      </c>
      <c r="J42" s="198">
        <v>42376</v>
      </c>
      <c r="K42" s="199">
        <v>42390</v>
      </c>
      <c r="L42" s="177">
        <v>17639.82</v>
      </c>
      <c r="M42" s="164"/>
      <c r="N42" s="164"/>
      <c r="O42" s="164"/>
      <c r="P42" s="164"/>
      <c r="Q42" s="164"/>
      <c r="R42" s="164"/>
      <c r="S42" s="164"/>
    </row>
    <row r="43" spans="1:19" ht="19.2" hidden="1" x14ac:dyDescent="0.45">
      <c r="A43" s="32" t="s">
        <v>1</v>
      </c>
      <c r="F43" s="197"/>
      <c r="G43" s="212" t="s">
        <v>77</v>
      </c>
      <c r="H43" s="164"/>
      <c r="I43" s="164"/>
      <c r="J43" s="164"/>
      <c r="K43" s="164"/>
      <c r="L43" s="200">
        <v>0</v>
      </c>
      <c r="M43" s="164"/>
      <c r="N43" s="164"/>
      <c r="O43" s="164"/>
      <c r="P43" s="164"/>
      <c r="Q43" s="164"/>
      <c r="R43" s="164"/>
      <c r="S43" s="164"/>
    </row>
    <row r="44" spans="1:19" ht="19.2" x14ac:dyDescent="0.45">
      <c r="B44" s="33"/>
      <c r="F44" s="197"/>
      <c r="G44" s="164"/>
      <c r="H44" s="164"/>
      <c r="I44" s="164"/>
      <c r="J44" s="164"/>
      <c r="K44" s="201" t="s">
        <v>33</v>
      </c>
      <c r="L44" s="202">
        <f>SUM(L35:L43)</f>
        <v>95856.51999999999</v>
      </c>
      <c r="M44" s="164"/>
      <c r="N44" s="164"/>
      <c r="O44" s="164"/>
      <c r="P44" s="164"/>
      <c r="Q44" s="164"/>
      <c r="R44" s="164"/>
      <c r="S44" s="164"/>
    </row>
    <row r="45" spans="1:19" ht="19.2" x14ac:dyDescent="0.45">
      <c r="F45" s="203"/>
      <c r="G45" s="204"/>
      <c r="H45" s="204"/>
      <c r="I45" s="204"/>
      <c r="J45" s="205" t="s">
        <v>43</v>
      </c>
      <c r="K45" s="205"/>
      <c r="L45" s="206">
        <f>L44/$I$18</f>
        <v>1.8427952724466405E-3</v>
      </c>
      <c r="M45" s="164"/>
      <c r="N45" s="164"/>
      <c r="O45" s="164" t="s">
        <v>58</v>
      </c>
      <c r="P45" s="164"/>
      <c r="Q45" s="164"/>
      <c r="R45" s="164"/>
      <c r="S45" s="164"/>
    </row>
    <row r="46" spans="1:19" ht="19.2" x14ac:dyDescent="0.45">
      <c r="A46" s="33"/>
      <c r="F46" s="164"/>
      <c r="G46" s="164"/>
      <c r="H46" s="164"/>
      <c r="I46" s="164"/>
      <c r="J46" s="164"/>
      <c r="K46" s="164"/>
      <c r="L46" s="164"/>
      <c r="M46" s="164"/>
      <c r="N46" s="164"/>
      <c r="O46" s="164"/>
      <c r="P46" s="164"/>
      <c r="Q46" s="164"/>
      <c r="R46" s="164"/>
      <c r="S46" s="164"/>
    </row>
    <row r="47" spans="1:19" ht="19.2" x14ac:dyDescent="0.45">
      <c r="F47" s="164"/>
      <c r="G47" s="164"/>
      <c r="H47" s="164"/>
      <c r="I47" s="164"/>
      <c r="J47" s="164"/>
      <c r="K47" s="164"/>
      <c r="L47" s="164"/>
      <c r="M47" s="164"/>
      <c r="N47" s="164"/>
      <c r="O47" s="164"/>
      <c r="P47" s="164"/>
      <c r="Q47" s="164"/>
      <c r="R47" s="164"/>
      <c r="S47" s="164"/>
    </row>
    <row r="48" spans="1:19" ht="19.2" x14ac:dyDescent="0.45">
      <c r="F48" s="164"/>
      <c r="G48" s="164"/>
      <c r="H48" s="164"/>
      <c r="I48" s="164"/>
      <c r="J48" s="164"/>
      <c r="K48" s="164"/>
      <c r="L48" s="164"/>
      <c r="M48" s="164"/>
      <c r="N48" s="164"/>
      <c r="O48" s="164"/>
      <c r="P48" s="164"/>
      <c r="Q48" s="164"/>
      <c r="R48" s="164"/>
      <c r="S48" s="164"/>
    </row>
    <row r="49" spans="6:19" ht="19.2" x14ac:dyDescent="0.45">
      <c r="F49" s="164"/>
      <c r="G49" s="164"/>
      <c r="H49" s="164"/>
      <c r="I49" s="164"/>
      <c r="J49" s="164"/>
      <c r="K49" s="164"/>
      <c r="L49" s="164"/>
      <c r="M49" s="164"/>
      <c r="N49" s="164"/>
      <c r="O49" s="164"/>
      <c r="P49" s="164"/>
      <c r="Q49" s="164"/>
      <c r="R49" s="164"/>
      <c r="S49" s="164"/>
    </row>
    <row r="50" spans="6:19" ht="19.2" x14ac:dyDescent="0.45">
      <c r="F50" s="164"/>
      <c r="G50" s="164"/>
      <c r="H50" s="164"/>
      <c r="I50" s="164"/>
      <c r="J50" s="164"/>
      <c r="K50" s="164"/>
      <c r="L50" s="164"/>
      <c r="M50" s="164"/>
      <c r="N50" s="164"/>
      <c r="O50" s="164"/>
      <c r="P50" s="164"/>
      <c r="Q50" s="164"/>
      <c r="R50" s="164"/>
      <c r="S50" s="164"/>
    </row>
    <row r="51" spans="6:19" ht="19.2" x14ac:dyDescent="0.45">
      <c r="F51" s="164"/>
      <c r="G51" s="164"/>
      <c r="H51" s="164"/>
      <c r="I51" s="164"/>
      <c r="J51" s="164"/>
      <c r="K51" s="164"/>
      <c r="L51" s="164"/>
      <c r="M51" s="164"/>
      <c r="N51" s="164"/>
      <c r="O51" s="164"/>
      <c r="P51" s="164"/>
      <c r="Q51" s="164"/>
      <c r="R51" s="164"/>
      <c r="S51" s="164"/>
    </row>
    <row r="61" spans="6:19" ht="15.6" x14ac:dyDescent="0.3">
      <c r="H61" s="46"/>
      <c r="I61" s="46"/>
      <c r="J61" s="46"/>
    </row>
  </sheetData>
  <mergeCells count="2">
    <mergeCell ref="G7:J7"/>
    <mergeCell ref="N8:S8"/>
  </mergeCells>
  <conditionalFormatting sqref="H11:L18">
    <cfRule type="expression" dxfId="7" priority="212">
      <formula>MOD(ROW(),2)=0</formula>
    </cfRule>
  </conditionalFormatting>
  <conditionalFormatting sqref="F22:G22 I22:L22 F35:G35 I35:L35">
    <cfRule type="expression" dxfId="6" priority="210">
      <formula>MOD(ROW(),2)=0</formula>
    </cfRule>
  </conditionalFormatting>
  <conditionalFormatting sqref="H22">
    <cfRule type="expression" dxfId="5" priority="168">
      <formula>MOD(ROW(),2)=0</formula>
    </cfRule>
  </conditionalFormatting>
  <conditionalFormatting sqref="H35">
    <cfRule type="expression" dxfId="4" priority="165">
      <formula>MOD(ROW(),2)=0</formula>
    </cfRule>
  </conditionalFormatting>
  <conditionalFormatting sqref="F23:G29 I23:L29">
    <cfRule type="expression" dxfId="3" priority="4">
      <formula>MOD(ROW(),2)=0</formula>
    </cfRule>
  </conditionalFormatting>
  <conditionalFormatting sqref="H23:H29">
    <cfRule type="expression" dxfId="2" priority="3">
      <formula>MOD(ROW(),2)=0</formula>
    </cfRule>
  </conditionalFormatting>
  <conditionalFormatting sqref="F36:G42 I36:L42">
    <cfRule type="expression" dxfId="1" priority="2">
      <formula>MOD(ROW(),2)=0</formula>
    </cfRule>
  </conditionalFormatting>
  <conditionalFormatting sqref="H36:H42">
    <cfRule type="expression" dxfId="0" priority="1">
      <formula>MOD(ROW(),2)=0</formula>
    </cfRule>
  </conditionalFormatting>
  <pageMargins left="0.7" right="0.7" top="0.75" bottom="0.75" header="0.3" footer="0.3"/>
  <pageSetup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9"/>
  <sheetViews>
    <sheetView topLeftCell="B2" zoomScaleNormal="100" zoomScaleSheetLayoutView="92" workbookViewId="0"/>
  </sheetViews>
  <sheetFormatPr defaultColWidth="9.109375" defaultRowHeight="13.2" x14ac:dyDescent="0.25"/>
  <cols>
    <col min="1" max="1" width="9.6640625" style="7" hidden="1" customWidth="1"/>
    <col min="2" max="2" width="8.33203125" style="7" bestFit="1" customWidth="1"/>
    <col min="3" max="3" width="9.109375" style="7" bestFit="1" customWidth="1"/>
    <col min="4" max="4" width="11.5546875" style="7" customWidth="1"/>
    <col min="5" max="5" width="13.6640625" style="7" customWidth="1"/>
    <col min="6" max="6" width="12" style="7" customWidth="1"/>
    <col min="7" max="7" width="13.88671875" style="7" customWidth="1"/>
    <col min="8" max="8" width="11.88671875" style="7" customWidth="1"/>
    <col min="9" max="9" width="20.44140625" style="7" bestFit="1" customWidth="1"/>
    <col min="10" max="10" width="19.6640625" style="7" customWidth="1"/>
    <col min="11" max="11" width="8.88671875" style="7" bestFit="1" customWidth="1"/>
    <col min="12" max="12" width="11.33203125" style="7" customWidth="1"/>
    <col min="13" max="13" width="13.88671875" style="7" customWidth="1"/>
    <col min="14" max="15" width="10.5546875" style="7" bestFit="1" customWidth="1"/>
    <col min="16" max="16" width="12.88671875" style="7" bestFit="1" customWidth="1"/>
    <col min="17" max="18" width="10.88671875" style="7" bestFit="1" customWidth="1"/>
    <col min="19" max="16384" width="9.109375" style="7"/>
  </cols>
  <sheetData>
    <row r="1" spans="1:20" ht="15" hidden="1" x14ac:dyDescent="0.35">
      <c r="A1" s="7" t="s">
        <v>77407</v>
      </c>
      <c r="B1" s="129"/>
      <c r="C1" s="129"/>
      <c r="D1" s="129"/>
      <c r="E1" s="129"/>
      <c r="F1" s="129"/>
      <c r="G1" s="129"/>
      <c r="H1" s="129"/>
      <c r="I1" s="129"/>
      <c r="J1" s="129"/>
      <c r="K1" s="129"/>
      <c r="L1" s="129"/>
      <c r="M1" s="129"/>
      <c r="N1" s="129"/>
      <c r="O1" s="129"/>
      <c r="P1" s="129"/>
      <c r="Q1" s="129"/>
      <c r="R1" s="129"/>
      <c r="S1" s="129"/>
      <c r="T1" s="129"/>
    </row>
    <row r="2" spans="1:20" ht="15" x14ac:dyDescent="0.35">
      <c r="B2" s="129"/>
      <c r="C2" s="130">
        <v>43780</v>
      </c>
      <c r="D2" s="129"/>
      <c r="E2" s="129"/>
      <c r="F2" s="129"/>
      <c r="G2" s="129"/>
      <c r="H2" s="129"/>
      <c r="I2" s="129"/>
      <c r="J2" s="131"/>
      <c r="K2" s="129"/>
      <c r="L2" s="129"/>
      <c r="M2" s="129"/>
      <c r="N2" s="129"/>
      <c r="O2" s="129"/>
      <c r="P2" s="129"/>
      <c r="Q2" s="129"/>
      <c r="R2" s="129"/>
      <c r="S2" s="129"/>
      <c r="T2" s="129"/>
    </row>
    <row r="3" spans="1:20" ht="15" x14ac:dyDescent="0.35">
      <c r="B3" s="129"/>
      <c r="C3" s="129"/>
      <c r="D3" s="129"/>
      <c r="E3" s="129"/>
      <c r="F3" s="129"/>
      <c r="G3" s="129"/>
      <c r="H3" s="129"/>
      <c r="I3" s="129"/>
      <c r="J3" s="129"/>
      <c r="K3" s="129"/>
      <c r="L3" s="129"/>
      <c r="M3" s="129"/>
      <c r="N3" s="129"/>
      <c r="O3" s="129"/>
      <c r="P3" s="129"/>
      <c r="Q3" s="129"/>
      <c r="R3" s="129"/>
      <c r="S3" s="129"/>
      <c r="T3" s="129"/>
    </row>
    <row r="4" spans="1:20" ht="20.399999999999999" x14ac:dyDescent="0.45">
      <c r="B4" s="129"/>
      <c r="C4" s="129"/>
      <c r="D4" s="224" t="s">
        <v>49</v>
      </c>
      <c r="E4" s="224"/>
      <c r="F4" s="224"/>
      <c r="G4" s="224"/>
      <c r="H4" s="224"/>
      <c r="I4" s="224"/>
      <c r="J4" s="224"/>
      <c r="K4" s="224"/>
      <c r="L4" s="224"/>
      <c r="M4" s="224"/>
      <c r="N4" s="224"/>
      <c r="O4" s="224"/>
      <c r="P4" s="224"/>
      <c r="Q4" s="129"/>
      <c r="R4" s="129"/>
      <c r="S4" s="129"/>
      <c r="T4" s="129"/>
    </row>
    <row r="5" spans="1:20" ht="15" x14ac:dyDescent="0.35">
      <c r="B5" s="129"/>
      <c r="C5" s="129"/>
      <c r="D5" s="129"/>
      <c r="E5" s="129"/>
      <c r="F5" s="129"/>
      <c r="G5" s="129"/>
      <c r="H5" s="129"/>
      <c r="I5" s="129" t="s">
        <v>77371</v>
      </c>
      <c r="J5" s="129"/>
      <c r="K5" s="129"/>
      <c r="L5" s="129"/>
      <c r="M5" s="129"/>
      <c r="N5" s="129"/>
      <c r="O5" s="129"/>
      <c r="P5" s="129"/>
      <c r="Q5" s="129"/>
      <c r="R5" s="129"/>
      <c r="S5" s="129"/>
      <c r="T5" s="129"/>
    </row>
    <row r="6" spans="1:20" ht="15" x14ac:dyDescent="0.35">
      <c r="B6" s="129"/>
      <c r="C6" s="129"/>
      <c r="D6" s="129"/>
      <c r="E6" s="129"/>
      <c r="F6" s="129"/>
      <c r="G6" s="129"/>
      <c r="H6" s="129"/>
      <c r="I6" s="129"/>
      <c r="J6" s="129"/>
      <c r="K6" s="129"/>
      <c r="L6" s="129"/>
      <c r="M6" s="129"/>
      <c r="N6" s="129"/>
      <c r="O6" s="129"/>
      <c r="P6" s="129"/>
      <c r="Q6" s="129"/>
      <c r="R6" s="129"/>
      <c r="S6" s="129"/>
      <c r="T6" s="129"/>
    </row>
    <row r="7" spans="1:20" ht="15" x14ac:dyDescent="0.35">
      <c r="B7" s="129"/>
      <c r="C7" s="129"/>
      <c r="D7" s="129"/>
      <c r="E7" s="129"/>
      <c r="F7" s="129"/>
      <c r="G7" s="129"/>
      <c r="H7" s="129"/>
      <c r="I7" s="129"/>
      <c r="J7" s="129"/>
      <c r="K7" s="129"/>
      <c r="L7" s="129"/>
      <c r="M7" s="129"/>
      <c r="N7" s="129"/>
      <c r="O7" s="129"/>
      <c r="P7" s="129"/>
      <c r="Q7" s="129"/>
      <c r="R7" s="129"/>
      <c r="S7" s="129"/>
      <c r="T7" s="129"/>
    </row>
    <row r="8" spans="1:20" ht="19.2" x14ac:dyDescent="0.45">
      <c r="B8" s="129"/>
      <c r="C8" s="132"/>
      <c r="D8" s="218">
        <f>YEAR($C$2)</f>
        <v>2019</v>
      </c>
      <c r="E8" s="219"/>
      <c r="F8" s="219"/>
      <c r="G8" s="219"/>
      <c r="H8" s="219"/>
      <c r="I8" s="219"/>
      <c r="J8" s="219"/>
      <c r="K8" s="219"/>
      <c r="L8" s="219"/>
      <c r="M8" s="219"/>
      <c r="N8" s="219"/>
      <c r="O8" s="219"/>
      <c r="P8" s="220"/>
      <c r="Q8" s="129"/>
      <c r="R8" s="129"/>
      <c r="S8" s="129"/>
      <c r="T8" s="129"/>
    </row>
    <row r="9" spans="1:20" ht="19.2" x14ac:dyDescent="0.45">
      <c r="B9" s="129"/>
      <c r="C9" s="133"/>
      <c r="D9" s="134"/>
      <c r="E9" s="135"/>
      <c r="F9" s="135"/>
      <c r="G9" s="135"/>
      <c r="H9" s="135"/>
      <c r="I9" s="135"/>
      <c r="J9" s="135"/>
      <c r="K9" s="135"/>
      <c r="L9" s="221"/>
      <c r="M9" s="222"/>
      <c r="N9" s="222"/>
      <c r="O9" s="222"/>
      <c r="P9" s="223"/>
      <c r="Q9" s="225" t="s">
        <v>59</v>
      </c>
      <c r="R9" s="226"/>
      <c r="S9" s="226"/>
      <c r="T9" s="226"/>
    </row>
    <row r="10" spans="1:20" s="8" customFormat="1" ht="39" customHeight="1" x14ac:dyDescent="0.35">
      <c r="B10" s="136"/>
      <c r="C10" s="137" t="s">
        <v>24</v>
      </c>
      <c r="D10" s="138" t="s">
        <v>26</v>
      </c>
      <c r="E10" s="139" t="s">
        <v>50</v>
      </c>
      <c r="F10" s="139" t="s">
        <v>27</v>
      </c>
      <c r="G10" s="139" t="s">
        <v>35</v>
      </c>
      <c r="H10" s="139" t="s">
        <v>51</v>
      </c>
      <c r="I10" s="139"/>
      <c r="J10" s="139" t="s">
        <v>52</v>
      </c>
      <c r="K10" s="139" t="s">
        <v>8</v>
      </c>
      <c r="L10" s="138" t="s">
        <v>53</v>
      </c>
      <c r="M10" s="139" t="s">
        <v>54</v>
      </c>
      <c r="N10" s="139" t="s">
        <v>55</v>
      </c>
      <c r="O10" s="139" t="s">
        <v>56</v>
      </c>
      <c r="P10" s="140" t="s">
        <v>57</v>
      </c>
      <c r="Q10" s="141" t="s">
        <v>25</v>
      </c>
      <c r="R10" s="141" t="s">
        <v>36</v>
      </c>
      <c r="S10" s="141" t="s">
        <v>37</v>
      </c>
      <c r="T10" s="141" t="str">
        <f>$D$7&amp;" DSO"</f>
        <v xml:space="preserve"> DSO</v>
      </c>
    </row>
    <row r="11" spans="1:20" ht="15" x14ac:dyDescent="0.35">
      <c r="B11" s="142">
        <f>MONTH($C$2)-5</f>
        <v>6</v>
      </c>
      <c r="C11" s="143">
        <f t="shared" ref="C11:C16" si="0">D11</f>
        <v>43617</v>
      </c>
      <c r="D11" s="144">
        <f t="shared" ref="D11:D16" si="1">DATE(D$8,$B11,1)</f>
        <v>43617</v>
      </c>
      <c r="E11" s="145" t="str">
        <f>"..6/1/2019"</f>
        <v>..6/1/2019</v>
      </c>
      <c r="F11" s="146">
        <f t="shared" ref="F11:F16" si="2">DATE(D$8,$B11+1,1-1)</f>
        <v>43646</v>
      </c>
      <c r="G11" s="147" t="str">
        <f>"..6/30/2019"</f>
        <v>..6/30/2019</v>
      </c>
      <c r="H11" s="148">
        <f t="shared" ref="H11:H16" si="3">+F11-29</f>
        <v>43617</v>
      </c>
      <c r="I11" s="147" t="str">
        <f>"6/1/2019..6/30/2019"</f>
        <v>6/1/2019..6/30/2019</v>
      </c>
      <c r="J11" s="147" t="str">
        <f>"6/1/2019..6/30/2019"</f>
        <v>6/1/2019..6/30/2019</v>
      </c>
      <c r="K11" s="147">
        <f t="shared" ref="K11:K16" si="4">NETWORKDAYS(D11,F11)</f>
        <v>20</v>
      </c>
      <c r="L11" s="149">
        <f>45490055.65</f>
        <v>45490055.649999999</v>
      </c>
      <c r="M11" s="150">
        <f>2517687.96</f>
        <v>2517687.96</v>
      </c>
      <c r="N11" s="150">
        <f>46775180.73</f>
        <v>46775180.729999997</v>
      </c>
      <c r="O11" s="151">
        <f>2465989.79</f>
        <v>2465989.79</v>
      </c>
      <c r="P11" s="152">
        <f>IFERROR((L11+M11-N11)/(L11+M11-O11)*100,"")</f>
        <v>2.706445792297778</v>
      </c>
      <c r="Q11" s="153">
        <f>46775180.73</f>
        <v>46775180.729999997</v>
      </c>
      <c r="R11" s="153">
        <f>2517687.96</f>
        <v>2517687.96</v>
      </c>
      <c r="S11" s="153">
        <f t="shared" ref="S11:S16" si="5">IF(ISERROR(R11/K11),"",R11/K11)</f>
        <v>125884.398</v>
      </c>
      <c r="T11" s="154">
        <f t="shared" ref="T11:T16" si="6">IF(ISERROR(Q11/S11),0,Q11/S11)</f>
        <v>371.57250201887604</v>
      </c>
    </row>
    <row r="12" spans="1:20" ht="15" x14ac:dyDescent="0.35">
      <c r="B12" s="142">
        <f>MONTH($C$2)-4</f>
        <v>7</v>
      </c>
      <c r="C12" s="143">
        <f t="shared" si="0"/>
        <v>43647</v>
      </c>
      <c r="D12" s="144">
        <f t="shared" si="1"/>
        <v>43647</v>
      </c>
      <c r="E12" s="145" t="str">
        <f>"..7/1/2019"</f>
        <v>..7/1/2019</v>
      </c>
      <c r="F12" s="146">
        <f t="shared" si="2"/>
        <v>43677</v>
      </c>
      <c r="G12" s="147" t="str">
        <f>"..7/31/2019"</f>
        <v>..7/31/2019</v>
      </c>
      <c r="H12" s="148">
        <f t="shared" si="3"/>
        <v>43648</v>
      </c>
      <c r="I12" s="147" t="str">
        <f>"7/2/2019..7/31/2019"</f>
        <v>7/2/2019..7/31/2019</v>
      </c>
      <c r="J12" s="147" t="str">
        <f>"7/1/2019..7/31/2019"</f>
        <v>7/1/2019..7/31/2019</v>
      </c>
      <c r="K12" s="147">
        <f t="shared" si="4"/>
        <v>23</v>
      </c>
      <c r="L12" s="149">
        <f>46743202.37</f>
        <v>46743202.369999997</v>
      </c>
      <c r="M12" s="150">
        <f>1977484.64</f>
        <v>1977484.64</v>
      </c>
      <c r="N12" s="150">
        <f>47410879.25</f>
        <v>47410879.25</v>
      </c>
      <c r="O12" s="151">
        <f>1898974.72</f>
        <v>1898974.72</v>
      </c>
      <c r="P12" s="152">
        <f>IFERROR((L12+M12-N12)/(L12+M12-O12)*100,"")</f>
        <v>2.7974366932320449</v>
      </c>
      <c r="Q12" s="153">
        <f>47410879.25</f>
        <v>47410879.25</v>
      </c>
      <c r="R12" s="153">
        <f>1977484.64</f>
        <v>1977484.64</v>
      </c>
      <c r="S12" s="153">
        <f t="shared" si="5"/>
        <v>85977.593043478249</v>
      </c>
      <c r="T12" s="154">
        <f t="shared" si="6"/>
        <v>551.43296726188487</v>
      </c>
    </row>
    <row r="13" spans="1:20" ht="15" x14ac:dyDescent="0.35">
      <c r="B13" s="142">
        <f>MONTH($C$2)-3</f>
        <v>8</v>
      </c>
      <c r="C13" s="143">
        <f t="shared" si="0"/>
        <v>43678</v>
      </c>
      <c r="D13" s="144">
        <f t="shared" si="1"/>
        <v>43678</v>
      </c>
      <c r="E13" s="145" t="str">
        <f>"..8/1/2019"</f>
        <v>..8/1/2019</v>
      </c>
      <c r="F13" s="146">
        <f t="shared" si="2"/>
        <v>43708</v>
      </c>
      <c r="G13" s="147" t="str">
        <f>"..8/31/2019"</f>
        <v>..8/31/2019</v>
      </c>
      <c r="H13" s="148">
        <f t="shared" si="3"/>
        <v>43679</v>
      </c>
      <c r="I13" s="147" t="str">
        <f>"8/2/2019..8/31/2019"</f>
        <v>8/2/2019..8/31/2019</v>
      </c>
      <c r="J13" s="147" t="str">
        <f>"8/1/2019..8/31/2019"</f>
        <v>8/1/2019..8/31/2019</v>
      </c>
      <c r="K13" s="147">
        <f t="shared" si="4"/>
        <v>22</v>
      </c>
      <c r="L13" s="149">
        <f>47458759.42</f>
        <v>47458759.420000002</v>
      </c>
      <c r="M13" s="150">
        <f>1863668.23</f>
        <v>1863668.23</v>
      </c>
      <c r="N13" s="150">
        <f>47987576.4</f>
        <v>47987576.399999999</v>
      </c>
      <c r="O13" s="151">
        <f>1759007.87</f>
        <v>1759007.87</v>
      </c>
      <c r="P13" s="152">
        <f>(L13+M13-N13)/(L13+M13-O13)*100</f>
        <v>2.8064660955293488</v>
      </c>
      <c r="Q13" s="153">
        <f>47987576.4</f>
        <v>47987576.399999999</v>
      </c>
      <c r="R13" s="153">
        <f>1863668.23</f>
        <v>1863668.23</v>
      </c>
      <c r="S13" s="153">
        <f t="shared" si="5"/>
        <v>84712.192272727276</v>
      </c>
      <c r="T13" s="154">
        <f t="shared" si="6"/>
        <v>566.47780104080005</v>
      </c>
    </row>
    <row r="14" spans="1:20" ht="15" x14ac:dyDescent="0.35">
      <c r="B14" s="142">
        <f>MONTH($C$2)-2</f>
        <v>9</v>
      </c>
      <c r="C14" s="143">
        <f t="shared" si="0"/>
        <v>43709</v>
      </c>
      <c r="D14" s="144">
        <f t="shared" si="1"/>
        <v>43709</v>
      </c>
      <c r="E14" s="145" t="str">
        <f>"..9/1/2019"</f>
        <v>..9/1/2019</v>
      </c>
      <c r="F14" s="146">
        <f t="shared" si="2"/>
        <v>43738</v>
      </c>
      <c r="G14" s="147" t="str">
        <f>"..9/30/2019"</f>
        <v>..9/30/2019</v>
      </c>
      <c r="H14" s="148">
        <f t="shared" si="3"/>
        <v>43709</v>
      </c>
      <c r="I14" s="147" t="str">
        <f>"9/1/2019..9/30/2019"</f>
        <v>9/1/2019..9/30/2019</v>
      </c>
      <c r="J14" s="147" t="str">
        <f>"9/1/2019..9/30/2019"</f>
        <v>9/1/2019..9/30/2019</v>
      </c>
      <c r="K14" s="147">
        <f t="shared" si="4"/>
        <v>21</v>
      </c>
      <c r="L14" s="149">
        <f>47990849.22</f>
        <v>47990849.219999999</v>
      </c>
      <c r="M14" s="150">
        <f>1819989.79</f>
        <v>1819989.79</v>
      </c>
      <c r="N14" s="150">
        <f>48560374.52</f>
        <v>48560374.520000003</v>
      </c>
      <c r="O14" s="151">
        <f>1682307.3</f>
        <v>1682307.3</v>
      </c>
      <c r="P14" s="152">
        <f>(L14+M14-N14)/(L14+M14-O14)*100</f>
        <v>2.5981771011314208</v>
      </c>
      <c r="Q14" s="153">
        <f>48560374.52</f>
        <v>48560374.520000003</v>
      </c>
      <c r="R14" s="153">
        <f>1819989.79</f>
        <v>1819989.79</v>
      </c>
      <c r="S14" s="153">
        <f t="shared" si="5"/>
        <v>86666.180476190479</v>
      </c>
      <c r="T14" s="154">
        <f t="shared" si="6"/>
        <v>560.31515699876536</v>
      </c>
    </row>
    <row r="15" spans="1:20" ht="15" x14ac:dyDescent="0.35">
      <c r="B15" s="142">
        <f>MONTH($C$2)-1</f>
        <v>10</v>
      </c>
      <c r="C15" s="143">
        <f t="shared" si="0"/>
        <v>43739</v>
      </c>
      <c r="D15" s="144">
        <f t="shared" si="1"/>
        <v>43739</v>
      </c>
      <c r="E15" s="145" t="str">
        <f>"..10/1/2019"</f>
        <v>..10/1/2019</v>
      </c>
      <c r="F15" s="146">
        <f t="shared" si="2"/>
        <v>43769</v>
      </c>
      <c r="G15" s="147" t="str">
        <f>"..10/31/2019"</f>
        <v>..10/31/2019</v>
      </c>
      <c r="H15" s="148">
        <f t="shared" si="3"/>
        <v>43740</v>
      </c>
      <c r="I15" s="147" t="str">
        <f>"10/2/2019..10/31/2019"</f>
        <v>10/2/2019..10/31/2019</v>
      </c>
      <c r="J15" s="147" t="str">
        <f>"10/1/2019..10/31/2019"</f>
        <v>10/1/2019..10/31/2019</v>
      </c>
      <c r="K15" s="147">
        <f t="shared" si="4"/>
        <v>23</v>
      </c>
      <c r="L15" s="149">
        <f>48547909.08</f>
        <v>48547909.079999998</v>
      </c>
      <c r="M15" s="150">
        <f>2068802.53</f>
        <v>2068802.53</v>
      </c>
      <c r="N15" s="150">
        <f>49632780.02</f>
        <v>49632780.020000003</v>
      </c>
      <c r="O15" s="151">
        <f>1783377.16</f>
        <v>1783377.16</v>
      </c>
      <c r="P15" s="152">
        <f>(L15+M15-N15)/(L15+M15-O15)*100</f>
        <v>2.0148769300352294</v>
      </c>
      <c r="Q15" s="153">
        <f>49632780.02</f>
        <v>49632780.020000003</v>
      </c>
      <c r="R15" s="153">
        <f>2068802.53</f>
        <v>2068802.53</v>
      </c>
      <c r="S15" s="153">
        <f t="shared" si="5"/>
        <v>89947.936086956528</v>
      </c>
      <c r="T15" s="154">
        <f t="shared" si="6"/>
        <v>551.7945400327792</v>
      </c>
    </row>
    <row r="16" spans="1:20" ht="15" x14ac:dyDescent="0.35">
      <c r="B16" s="129">
        <f>MONTH($C$2)</f>
        <v>11</v>
      </c>
      <c r="C16" s="155">
        <f t="shared" si="0"/>
        <v>43770</v>
      </c>
      <c r="D16" s="156">
        <f t="shared" si="1"/>
        <v>43770</v>
      </c>
      <c r="E16" s="157" t="str">
        <f>"..11/1/2019"</f>
        <v>..11/1/2019</v>
      </c>
      <c r="F16" s="158">
        <f t="shared" si="2"/>
        <v>43799</v>
      </c>
      <c r="G16" s="159" t="str">
        <f>"..11/30/2019"</f>
        <v>..11/30/2019</v>
      </c>
      <c r="H16" s="160">
        <f t="shared" si="3"/>
        <v>43770</v>
      </c>
      <c r="I16" s="159" t="str">
        <f>"11/1/2019..11/30/2019"</f>
        <v>11/1/2019..11/30/2019</v>
      </c>
      <c r="J16" s="159" t="str">
        <f>"11/1/2019..11/30/2019"</f>
        <v>11/1/2019..11/30/2019</v>
      </c>
      <c r="K16" s="159">
        <f t="shared" si="4"/>
        <v>21</v>
      </c>
      <c r="L16" s="161">
        <f>49678534.7</f>
        <v>49678534.700000003</v>
      </c>
      <c r="M16" s="150">
        <f>2383541.08</f>
        <v>2383541.08</v>
      </c>
      <c r="N16" s="150">
        <f>50950348.89</f>
        <v>50950348.890000001</v>
      </c>
      <c r="O16" s="151">
        <f>1704011.05</f>
        <v>1704011.05</v>
      </c>
      <c r="P16" s="162">
        <f>(L16+M16-N16)/(L16+M16-O16)*100</f>
        <v>2.2076441895863943</v>
      </c>
      <c r="Q16" s="153">
        <f>50950348.89</f>
        <v>50950348.890000001</v>
      </c>
      <c r="R16" s="153">
        <f>2383541.08</f>
        <v>2383541.08</v>
      </c>
      <c r="S16" s="153">
        <f t="shared" si="5"/>
        <v>113501.95619047619</v>
      </c>
      <c r="T16" s="154">
        <f t="shared" si="6"/>
        <v>448.89401557534723</v>
      </c>
    </row>
    <row r="17" spans="9:15" x14ac:dyDescent="0.25">
      <c r="I17" s="10"/>
      <c r="L17" s="9"/>
      <c r="M17" s="9"/>
    </row>
    <row r="18" spans="9:15" x14ac:dyDescent="0.25">
      <c r="I18" s="10"/>
      <c r="O18" s="9"/>
    </row>
    <row r="19" spans="9:15" x14ac:dyDescent="0.25">
      <c r="I19" s="10"/>
    </row>
  </sheetData>
  <mergeCells count="4">
    <mergeCell ref="D8:P8"/>
    <mergeCell ref="L9:P9"/>
    <mergeCell ref="D4:P4"/>
    <mergeCell ref="Q9:T9"/>
  </mergeCells>
  <pageMargins left="0.7" right="0.7" top="0.75" bottom="0.75" header="0.3" footer="0.3"/>
  <pageSetup scale="52"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6578"/>
  <sheetViews>
    <sheetView zoomScale="69" zoomScaleNormal="69" workbookViewId="0">
      <pane ySplit="22" topLeftCell="A23" activePane="bottomLeft" state="frozen"/>
      <selection activeCell="H1" sqref="H1"/>
      <selection pane="bottomLeft"/>
    </sheetView>
  </sheetViews>
  <sheetFormatPr defaultColWidth="9.109375" defaultRowHeight="17.399999999999999" outlineLevelRow="1" x14ac:dyDescent="0.3"/>
  <cols>
    <col min="1" max="3" width="3.109375" style="12" hidden="1" customWidth="1"/>
    <col min="4" max="4" width="18.44140625" style="12" hidden="1" customWidth="1"/>
    <col min="5" max="5" width="3.109375" style="12" hidden="1" customWidth="1"/>
    <col min="6" max="6" width="2.88671875" style="12" hidden="1" customWidth="1"/>
    <col min="7" max="7" width="4.5546875" style="12" customWidth="1"/>
    <col min="8" max="8" width="2.5546875" style="12" hidden="1" customWidth="1"/>
    <col min="9" max="9" width="48.33203125" style="13" customWidth="1"/>
    <col min="10" max="10" width="13.88671875" style="13" bestFit="1" customWidth="1"/>
    <col min="11" max="11" width="26.44140625" style="13" bestFit="1" customWidth="1"/>
    <col min="12" max="12" width="16.88671875" style="14" bestFit="1" customWidth="1"/>
    <col min="13" max="14" width="17.109375" style="14" bestFit="1" customWidth="1"/>
    <col min="15" max="15" width="30.44140625" style="14" bestFit="1" customWidth="1"/>
    <col min="16" max="16" width="17.33203125" style="14" bestFit="1" customWidth="1"/>
    <col min="17" max="18" width="30.109375" style="14" bestFit="1" customWidth="1"/>
    <col min="19" max="19" width="29.33203125" style="16" bestFit="1" customWidth="1"/>
    <col min="20" max="20" width="19.5546875" style="14" bestFit="1" customWidth="1"/>
    <col min="21" max="21" width="16.5546875" style="14" hidden="1" customWidth="1"/>
    <col min="22" max="22" width="17.44140625" style="14" customWidth="1"/>
    <col min="23" max="23" width="9.5546875" style="14" customWidth="1"/>
    <col min="24" max="16384" width="9.109375" style="14"/>
  </cols>
  <sheetData>
    <row r="1" spans="1:23" hidden="1" x14ac:dyDescent="0.3">
      <c r="A1" s="12" t="s">
        <v>77409</v>
      </c>
      <c r="B1" s="12" t="s">
        <v>1</v>
      </c>
      <c r="C1" s="12" t="s">
        <v>1</v>
      </c>
      <c r="D1" s="12" t="s">
        <v>1</v>
      </c>
      <c r="E1" s="12" t="s">
        <v>1</v>
      </c>
      <c r="F1" s="12" t="s">
        <v>1</v>
      </c>
      <c r="H1" s="12" t="s">
        <v>1</v>
      </c>
      <c r="J1" s="14" t="s">
        <v>10</v>
      </c>
      <c r="K1" s="14" t="s">
        <v>60</v>
      </c>
      <c r="L1" s="14" t="s">
        <v>10</v>
      </c>
      <c r="M1" s="14" t="s">
        <v>10</v>
      </c>
      <c r="N1" s="14" t="s">
        <v>10</v>
      </c>
      <c r="O1" s="14" t="s">
        <v>10</v>
      </c>
      <c r="P1" s="14" t="s">
        <v>10</v>
      </c>
      <c r="Q1" s="14" t="s">
        <v>10</v>
      </c>
      <c r="R1" s="14" t="s">
        <v>10</v>
      </c>
      <c r="S1" s="14" t="s">
        <v>10</v>
      </c>
      <c r="T1" s="14" t="s">
        <v>10</v>
      </c>
      <c r="U1" s="14" t="s">
        <v>1</v>
      </c>
      <c r="W1" s="15"/>
    </row>
    <row r="2" spans="1:23" ht="20.399999999999999" hidden="1" x14ac:dyDescent="0.45">
      <c r="A2" s="12" t="s">
        <v>9</v>
      </c>
      <c r="I2" s="49"/>
      <c r="J2" s="49"/>
      <c r="K2" s="49"/>
      <c r="L2" s="50"/>
      <c r="M2" s="50"/>
      <c r="N2" s="50"/>
      <c r="O2" s="50"/>
      <c r="P2" s="50"/>
      <c r="Q2" s="50"/>
      <c r="R2" s="51"/>
      <c r="S2" s="50"/>
      <c r="T2" s="50"/>
      <c r="U2" s="50"/>
    </row>
    <row r="3" spans="1:23" ht="20.399999999999999" x14ac:dyDescent="0.45">
      <c r="B3" s="17"/>
      <c r="I3" s="49"/>
      <c r="J3" s="49"/>
      <c r="K3" s="49"/>
      <c r="L3" s="50"/>
      <c r="M3" s="50"/>
      <c r="N3" s="50"/>
      <c r="O3" s="50"/>
      <c r="P3" s="50"/>
      <c r="Q3" s="50"/>
      <c r="R3" s="51"/>
      <c r="S3" s="50"/>
      <c r="T3" s="50"/>
      <c r="U3" s="50"/>
    </row>
    <row r="4" spans="1:23" ht="20.399999999999999" x14ac:dyDescent="0.45">
      <c r="B4" s="17"/>
      <c r="C4" s="12" t="s">
        <v>20</v>
      </c>
      <c r="D4" s="18">
        <v>43410</v>
      </c>
      <c r="I4" s="52"/>
      <c r="J4" s="49"/>
      <c r="K4" s="49"/>
      <c r="L4" s="50"/>
      <c r="M4" s="50"/>
      <c r="N4" s="50"/>
      <c r="O4" s="50"/>
      <c r="P4" s="50"/>
      <c r="Q4" s="50"/>
      <c r="R4" s="51"/>
      <c r="S4" s="50"/>
      <c r="T4" s="50"/>
      <c r="U4" s="50"/>
    </row>
    <row r="5" spans="1:23" ht="27" x14ac:dyDescent="0.6">
      <c r="D5" s="18"/>
      <c r="I5" s="127" t="s">
        <v>61</v>
      </c>
      <c r="J5" s="53"/>
      <c r="K5" s="53"/>
      <c r="L5" s="54"/>
      <c r="M5" s="54"/>
      <c r="N5" s="54"/>
      <c r="O5" s="54"/>
      <c r="P5" s="54"/>
      <c r="Q5" s="54"/>
      <c r="R5" s="54"/>
      <c r="S5" s="54"/>
      <c r="T5" s="54"/>
      <c r="U5" s="54"/>
    </row>
    <row r="6" spans="1:23" ht="27" x14ac:dyDescent="0.6">
      <c r="D6" s="18"/>
      <c r="I6" s="127" t="s">
        <v>28</v>
      </c>
      <c r="J6" s="53"/>
      <c r="K6" s="53"/>
      <c r="L6" s="54"/>
      <c r="M6" s="54"/>
      <c r="N6" s="54"/>
      <c r="O6" s="54"/>
      <c r="P6" s="54"/>
      <c r="Q6" s="54"/>
      <c r="R6" s="54"/>
      <c r="S6" s="54"/>
      <c r="T6" s="54"/>
      <c r="U6" s="54"/>
    </row>
    <row r="7" spans="1:23" ht="24.6" x14ac:dyDescent="0.55000000000000004">
      <c r="I7" s="55"/>
      <c r="J7" s="55"/>
      <c r="K7" s="55"/>
      <c r="L7" s="50"/>
      <c r="M7" s="50"/>
      <c r="N7" s="50"/>
      <c r="O7" s="50"/>
      <c r="P7" s="50"/>
      <c r="Q7" s="50"/>
      <c r="R7" s="51"/>
      <c r="S7" s="50"/>
      <c r="T7" s="50"/>
      <c r="U7" s="50"/>
    </row>
    <row r="8" spans="1:23" ht="24.6" x14ac:dyDescent="0.55000000000000004">
      <c r="I8" s="128" t="s">
        <v>62</v>
      </c>
      <c r="J8" s="57" t="str">
        <f>"12/12/19"</f>
        <v>12/12/19</v>
      </c>
      <c r="K8" s="57"/>
      <c r="L8" s="58"/>
      <c r="M8" s="58"/>
      <c r="N8" s="50"/>
      <c r="O8" s="50"/>
      <c r="P8" s="50"/>
      <c r="Q8" s="50"/>
      <c r="R8" s="51"/>
      <c r="S8" s="50"/>
      <c r="T8" s="50"/>
      <c r="U8" s="50"/>
    </row>
    <row r="9" spans="1:23" ht="24.6" x14ac:dyDescent="0.55000000000000004">
      <c r="I9" s="128" t="s">
        <v>11</v>
      </c>
      <c r="J9" s="59" t="str">
        <f>"*"</f>
        <v>*</v>
      </c>
      <c r="K9" s="59"/>
      <c r="L9" s="50"/>
      <c r="M9" s="50"/>
      <c r="N9" s="50"/>
      <c r="O9" s="50"/>
      <c r="P9" s="50"/>
      <c r="Q9" s="50"/>
      <c r="R9" s="51"/>
      <c r="S9" s="50"/>
      <c r="T9" s="50"/>
      <c r="U9" s="50"/>
    </row>
    <row r="10" spans="1:23" ht="24.6" x14ac:dyDescent="0.55000000000000004">
      <c r="I10" s="128" t="s">
        <v>21</v>
      </c>
      <c r="J10" s="59">
        <v>30</v>
      </c>
      <c r="K10" s="59"/>
      <c r="L10" s="50"/>
      <c r="M10" s="49"/>
      <c r="N10" s="49"/>
      <c r="O10" s="49"/>
      <c r="P10" s="49"/>
      <c r="Q10" s="163" t="s">
        <v>12</v>
      </c>
      <c r="R10" s="227">
        <v>43410.466736111113</v>
      </c>
      <c r="S10" s="227"/>
      <c r="T10" s="227"/>
      <c r="U10" s="50"/>
    </row>
    <row r="11" spans="1:23" ht="24.6" x14ac:dyDescent="0.55000000000000004">
      <c r="I11" s="55"/>
      <c r="J11" s="55"/>
      <c r="K11" s="60"/>
      <c r="L11" s="49"/>
      <c r="M11" s="49"/>
      <c r="N11" s="49"/>
      <c r="O11" s="49"/>
      <c r="P11" s="50"/>
      <c r="Q11" s="51"/>
      <c r="R11" s="50"/>
      <c r="S11" s="50"/>
      <c r="T11" s="50"/>
      <c r="U11" s="50"/>
    </row>
    <row r="12" spans="1:23" ht="24.6" x14ac:dyDescent="0.55000000000000004">
      <c r="I12" s="56"/>
      <c r="J12" s="59"/>
      <c r="K12" s="60"/>
      <c r="L12" s="49"/>
      <c r="M12" s="49"/>
      <c r="N12" s="49"/>
      <c r="O12" s="49"/>
      <c r="P12" s="49"/>
      <c r="Q12" s="50"/>
      <c r="R12" s="51"/>
      <c r="S12" s="50"/>
      <c r="T12" s="50"/>
      <c r="U12" s="50"/>
    </row>
    <row r="13" spans="1:23" ht="20.399999999999999" x14ac:dyDescent="0.45">
      <c r="I13" s="61"/>
      <c r="J13" s="62"/>
      <c r="K13" s="50"/>
      <c r="L13" s="49"/>
      <c r="M13" s="49"/>
      <c r="N13" s="49"/>
      <c r="O13" s="49"/>
      <c r="P13" s="49"/>
      <c r="Q13" s="50"/>
      <c r="R13" s="51"/>
      <c r="S13" s="50"/>
      <c r="T13" s="50"/>
      <c r="U13" s="50"/>
    </row>
    <row r="14" spans="1:23" s="12" customFormat="1" ht="20.399999999999999" hidden="1" x14ac:dyDescent="0.45">
      <c r="A14" s="12" t="s">
        <v>1</v>
      </c>
      <c r="I14" s="63"/>
      <c r="J14" s="64"/>
      <c r="K14" s="65"/>
      <c r="L14" s="66"/>
      <c r="M14" s="66"/>
      <c r="N14" s="66"/>
      <c r="O14" s="66"/>
      <c r="P14" s="66"/>
      <c r="Q14" s="66"/>
      <c r="R14" s="65"/>
      <c r="S14" s="67"/>
      <c r="T14" s="65"/>
      <c r="U14" s="65"/>
    </row>
    <row r="15" spans="1:23" s="12" customFormat="1" ht="20.399999999999999" hidden="1" x14ac:dyDescent="0.45">
      <c r="A15" s="12" t="s">
        <v>1</v>
      </c>
      <c r="C15" s="12" t="s">
        <v>13</v>
      </c>
      <c r="D15" s="20" t="str">
        <f>"12/12/2019"</f>
        <v>12/12/2019</v>
      </c>
      <c r="I15" s="66"/>
      <c r="J15" s="66"/>
      <c r="K15" s="66"/>
      <c r="L15" s="66"/>
      <c r="M15" s="66"/>
      <c r="N15" s="66"/>
      <c r="O15" s="66"/>
      <c r="P15" s="66"/>
      <c r="Q15" s="65"/>
      <c r="R15" s="67"/>
      <c r="S15" s="65"/>
      <c r="T15" s="65"/>
      <c r="U15" s="65"/>
    </row>
    <row r="16" spans="1:23" s="12" customFormat="1" ht="20.399999999999999" hidden="1" x14ac:dyDescent="0.45">
      <c r="A16" s="12" t="s">
        <v>1</v>
      </c>
      <c r="C16" s="12" t="s">
        <v>14</v>
      </c>
      <c r="D16" s="20" t="str">
        <f>"12/12/2019"</f>
        <v>12/12/2019</v>
      </c>
      <c r="I16" s="66"/>
      <c r="J16" s="66"/>
      <c r="K16" s="65"/>
      <c r="L16" s="65"/>
      <c r="M16" s="65"/>
      <c r="N16" s="65"/>
      <c r="O16" s="65"/>
      <c r="P16" s="65"/>
      <c r="Q16" s="68">
        <f>Q18-$J$10+1</f>
        <v>43782</v>
      </c>
      <c r="R16" s="68">
        <f>R18-$J$10+1</f>
        <v>43752</v>
      </c>
      <c r="S16" s="68">
        <f>S18-$J$10+1</f>
        <v>43722</v>
      </c>
      <c r="T16" s="68"/>
      <c r="U16" s="65"/>
    </row>
    <row r="17" spans="1:22" s="12" customFormat="1" ht="20.399999999999999" hidden="1" x14ac:dyDescent="0.45">
      <c r="A17" s="12" t="s">
        <v>1</v>
      </c>
      <c r="C17" s="12" t="s">
        <v>15</v>
      </c>
      <c r="D17" s="20" t="str">
        <f>"..12/12/2019"</f>
        <v>..12/12/2019</v>
      </c>
      <c r="I17" s="66"/>
      <c r="J17" s="66"/>
      <c r="K17" s="65"/>
      <c r="L17" s="65"/>
      <c r="M17" s="65"/>
      <c r="N17" s="65"/>
      <c r="O17" s="65"/>
      <c r="P17" s="66"/>
      <c r="Q17" s="68"/>
      <c r="R17" s="68"/>
      <c r="S17" s="68"/>
      <c r="T17" s="68"/>
      <c r="U17" s="65"/>
    </row>
    <row r="18" spans="1:22" s="12" customFormat="1" ht="20.399999999999999" hidden="1" x14ac:dyDescent="0.45">
      <c r="A18" s="12" t="s">
        <v>1</v>
      </c>
      <c r="D18" s="20"/>
      <c r="I18" s="69"/>
      <c r="J18" s="69"/>
      <c r="K18" s="228"/>
      <c r="L18" s="228"/>
      <c r="M18" s="70"/>
      <c r="N18" s="70"/>
      <c r="O18" s="70"/>
      <c r="P18" s="68">
        <f>J8+1</f>
        <v>43812</v>
      </c>
      <c r="Q18" s="68">
        <f>EndDate+0</f>
        <v>43811</v>
      </c>
      <c r="R18" s="68">
        <f>Q16-1</f>
        <v>43781</v>
      </c>
      <c r="S18" s="68">
        <f>R16-1</f>
        <v>43751</v>
      </c>
      <c r="T18" s="68">
        <f>S16-1</f>
        <v>43721</v>
      </c>
      <c r="U18" s="65"/>
    </row>
    <row r="19" spans="1:22" s="12" customFormat="1" ht="20.399999999999999" hidden="1" x14ac:dyDescent="0.45">
      <c r="A19" s="12" t="s">
        <v>1</v>
      </c>
      <c r="D19" s="20"/>
      <c r="I19" s="69"/>
      <c r="J19" s="69"/>
      <c r="K19" s="70"/>
      <c r="L19" s="70"/>
      <c r="M19" s="70"/>
      <c r="N19" s="70"/>
      <c r="O19" s="65" t="str">
        <f>"..12/12/2019"</f>
        <v>..12/12/2019</v>
      </c>
      <c r="P19" s="68" t="str">
        <f>"12/13/2019.."</f>
        <v>12/13/2019..</v>
      </c>
      <c r="Q19" s="68" t="str">
        <f>"11/13/2019..12/12/2019"</f>
        <v>11/13/2019..12/12/2019</v>
      </c>
      <c r="R19" s="68" t="str">
        <f>"10/14/2019..11/12/2019"</f>
        <v>10/14/2019..11/12/2019</v>
      </c>
      <c r="S19" s="68" t="str">
        <f>"9/14/2019..10/13/2019"</f>
        <v>9/14/2019..10/13/2019</v>
      </c>
      <c r="T19" s="68" t="str">
        <f>"..9/13/2019"</f>
        <v>..9/13/2019</v>
      </c>
      <c r="U19" s="65"/>
    </row>
    <row r="20" spans="1:22" ht="21" thickBot="1" x14ac:dyDescent="0.5">
      <c r="D20" s="20"/>
      <c r="I20" s="71"/>
      <c r="J20" s="71"/>
      <c r="K20" s="72"/>
      <c r="L20" s="72"/>
      <c r="M20" s="72"/>
      <c r="N20" s="72"/>
      <c r="O20" s="72"/>
      <c r="P20" s="72"/>
      <c r="Q20" s="73"/>
      <c r="R20" s="73"/>
      <c r="S20" s="73"/>
      <c r="T20" s="73"/>
      <c r="U20" s="50"/>
    </row>
    <row r="21" spans="1:22" s="25" customFormat="1" ht="27" customHeight="1" x14ac:dyDescent="0.25">
      <c r="A21" s="24"/>
      <c r="B21" s="24"/>
      <c r="C21" s="24"/>
      <c r="D21" s="24"/>
      <c r="E21" s="24"/>
      <c r="F21" s="24"/>
      <c r="G21" s="24"/>
      <c r="H21" s="24"/>
      <c r="I21" s="105" t="str">
        <f>"No.  -  Name"</f>
        <v>No.  -  Name</v>
      </c>
      <c r="J21" s="106" t="s">
        <v>68</v>
      </c>
      <c r="K21" s="106"/>
      <c r="L21" s="106"/>
      <c r="M21" s="106"/>
      <c r="N21" s="106"/>
      <c r="O21" s="106"/>
      <c r="P21" s="106"/>
      <c r="Q21" s="106"/>
      <c r="R21" s="106"/>
      <c r="S21" s="106"/>
      <c r="T21" s="107"/>
      <c r="U21" s="74" t="s">
        <v>18</v>
      </c>
    </row>
    <row r="22" spans="1:22" ht="27" customHeight="1" thickBot="1" x14ac:dyDescent="0.6">
      <c r="I22" s="108" t="str">
        <f>"Due Date"</f>
        <v>Due Date</v>
      </c>
      <c r="J22" s="109"/>
      <c r="K22" s="109" t="s">
        <v>70</v>
      </c>
      <c r="L22" s="110" t="s">
        <v>71</v>
      </c>
      <c r="M22" s="110" t="s">
        <v>2</v>
      </c>
      <c r="N22" s="111" t="s">
        <v>22</v>
      </c>
      <c r="O22" s="112" t="s">
        <v>16</v>
      </c>
      <c r="P22" s="113" t="s">
        <v>17</v>
      </c>
      <c r="Q22" s="114" t="str">
        <f>TEXT($Q$18-Q18+1,0)&amp;"-"&amp;TEXT($Q$18-Q16+1,0)</f>
        <v>1-30</v>
      </c>
      <c r="R22" s="114" t="str">
        <f>TEXT($Q$18-R18+1,0)&amp;"-"&amp;TEXT($Q$18-R16+1,0)</f>
        <v>31-60</v>
      </c>
      <c r="S22" s="114" t="str">
        <f>TEXT($Q$18-S18+1,0)&amp;"-"&amp;TEXT($Q$18-S16+1,0)</f>
        <v>61-90</v>
      </c>
      <c r="T22" s="115" t="str">
        <f>"Over "&amp;TEXT(Q$18-T18,0)</f>
        <v>Over 90</v>
      </c>
      <c r="U22" s="75"/>
    </row>
    <row r="23" spans="1:22" ht="20.399999999999999" x14ac:dyDescent="0.45">
      <c r="I23" s="76"/>
      <c r="J23" s="76"/>
      <c r="K23" s="76"/>
      <c r="L23" s="77"/>
      <c r="M23" s="77"/>
      <c r="N23" s="77"/>
      <c r="O23" s="78"/>
      <c r="P23" s="79"/>
      <c r="Q23" s="80"/>
      <c r="R23" s="80"/>
      <c r="S23" s="80"/>
      <c r="T23" s="80"/>
      <c r="U23" s="75"/>
    </row>
    <row r="24" spans="1:22" s="26" customFormat="1" ht="24.6" x14ac:dyDescent="0.55000000000000004">
      <c r="A24" s="27"/>
      <c r="B24" s="28"/>
      <c r="C24" s="27" t="str">
        <f>"""NAV Direct"",""CRONUS JetCorp USA"",""18"",""1"",""C100008"""</f>
        <v>"NAV Direct","CRONUS JetCorp USA","18","1","C100008"</v>
      </c>
      <c r="D24" s="27"/>
      <c r="E24" s="28" t="str">
        <f>H24</f>
        <v>C100008</v>
      </c>
      <c r="F24" s="28"/>
      <c r="G24" s="28"/>
      <c r="H24" s="28" t="str">
        <f>"C100008"</f>
        <v>C100008</v>
      </c>
      <c r="I24" s="116" t="str">
        <f>"C100008  -  Blanemark Hifi Shop"</f>
        <v>C100008  -  Blanemark Hifi Shop</v>
      </c>
      <c r="J24" s="117" t="str">
        <f>""</f>
        <v/>
      </c>
      <c r="K24" s="118"/>
      <c r="L24" s="119">
        <f>SUBTOTAL(3,L25:L74)</f>
        <v>46</v>
      </c>
      <c r="M24" s="118"/>
      <c r="N24" s="118"/>
      <c r="O24" s="120">
        <f t="shared" ref="O24:T24" si="0">SUBTOTAL(9,O25:O74)</f>
        <v>658091.78</v>
      </c>
      <c r="P24" s="120">
        <f t="shared" si="0"/>
        <v>19760.87</v>
      </c>
      <c r="Q24" s="120">
        <f t="shared" si="0"/>
        <v>18853.09</v>
      </c>
      <c r="R24" s="120">
        <f t="shared" si="0"/>
        <v>18082.91</v>
      </c>
      <c r="S24" s="120">
        <f t="shared" si="0"/>
        <v>0</v>
      </c>
      <c r="T24" s="120">
        <f t="shared" si="0"/>
        <v>601394.91</v>
      </c>
      <c r="U24" s="81"/>
    </row>
    <row r="25" spans="1:22" s="26" customFormat="1" ht="24.6" x14ac:dyDescent="0.55000000000000004">
      <c r="A25" s="27"/>
      <c r="B25" s="28"/>
      <c r="C25" s="27" t="str">
        <f>C24</f>
        <v>"NAV Direct","CRONUS JetCorp USA","18","1","C100008"</v>
      </c>
      <c r="D25" s="27"/>
      <c r="E25" s="28" t="str">
        <f>E24</f>
        <v>C100008</v>
      </c>
      <c r="F25" s="28"/>
      <c r="G25" s="28"/>
      <c r="H25" s="28"/>
      <c r="I25" s="121" t="str">
        <f>"Contact: Mike Everson"</f>
        <v>Contact: Mike Everson</v>
      </c>
      <c r="J25" s="121"/>
      <c r="K25" s="122"/>
      <c r="L25" s="123"/>
      <c r="M25" s="123"/>
      <c r="N25" s="124"/>
      <c r="O25" s="124"/>
      <c r="P25" s="123"/>
      <c r="Q25" s="125"/>
      <c r="R25" s="126"/>
      <c r="S25" s="126"/>
      <c r="T25" s="125"/>
      <c r="U25" s="81"/>
    </row>
    <row r="26" spans="1:22" s="26" customFormat="1" ht="24.6" x14ac:dyDescent="0.55000000000000004">
      <c r="A26" s="27"/>
      <c r="B26" s="28"/>
      <c r="C26" s="27" t="str">
        <f>C25</f>
        <v>"NAV Direct","CRONUS JetCorp USA","18","1","C100008"</v>
      </c>
      <c r="D26" s="27"/>
      <c r="E26" s="28" t="str">
        <f>E25</f>
        <v>C100008</v>
      </c>
      <c r="F26" s="28"/>
      <c r="G26" s="28"/>
      <c r="H26" s="28"/>
      <c r="I26" s="121" t="str">
        <f>"Afrifield Corporation@cronuscorp.net"</f>
        <v>Afrifield Corporation@cronuscorp.net</v>
      </c>
      <c r="J26" s="121"/>
      <c r="K26" s="122"/>
      <c r="L26" s="124"/>
      <c r="M26" s="124"/>
      <c r="N26" s="124"/>
      <c r="O26" s="124"/>
      <c r="P26" s="123"/>
      <c r="Q26" s="125"/>
      <c r="R26" s="126"/>
      <c r="S26" s="126"/>
      <c r="T26" s="125"/>
      <c r="U26" s="81"/>
    </row>
    <row r="27" spans="1:22" ht="12.75" hidden="1" customHeight="1" outlineLevel="1" x14ac:dyDescent="0.45">
      <c r="A27" s="12" t="s">
        <v>1</v>
      </c>
      <c r="B27" s="19"/>
      <c r="E27" s="19"/>
      <c r="F27" s="19"/>
      <c r="G27" s="19"/>
      <c r="H27" s="19"/>
      <c r="I27" s="61"/>
      <c r="J27" s="61"/>
      <c r="K27" s="61"/>
      <c r="L27" s="61"/>
      <c r="M27" s="61"/>
      <c r="N27" s="61"/>
      <c r="O27" s="61"/>
      <c r="P27" s="61"/>
      <c r="Q27" s="61"/>
      <c r="R27" s="61"/>
      <c r="S27" s="61"/>
      <c r="T27" s="61"/>
      <c r="U27" s="61"/>
      <c r="V27" s="21"/>
    </row>
    <row r="28" spans="1:22" s="30" customFormat="1" ht="24.6" hidden="1" outlineLevel="1" x14ac:dyDescent="0.55000000000000004">
      <c r="A28" s="27"/>
      <c r="B28" s="28"/>
      <c r="C28" s="27"/>
      <c r="D28" s="27" t="str">
        <f>"""NAV Direct"",""CRONUS JetCorp USA"",""21"",""1"",""94009"""</f>
        <v>"NAV Direct","CRONUS JetCorp USA","21","1","94009"</v>
      </c>
      <c r="E28" s="31" t="str">
        <f t="shared" ref="E28:E73" si="1">E26</f>
        <v>C100008</v>
      </c>
      <c r="F28" s="31"/>
      <c r="G28" s="31"/>
      <c r="H28" s="31"/>
      <c r="I28" s="56"/>
      <c r="J28" s="56"/>
      <c r="K28" s="82" t="str">
        <f t="shared" ref="K28:K65" si="2">"Invoice"</f>
        <v>Invoice</v>
      </c>
      <c r="L28" s="83" t="str">
        <f>"SI_106369"</f>
        <v>SI_106369</v>
      </c>
      <c r="M28" s="84">
        <v>42741</v>
      </c>
      <c r="N28" s="85">
        <f t="shared" ref="N28:N73" si="3">StartDate-$M28+1</f>
        <v>1071</v>
      </c>
      <c r="O28" s="86">
        <f t="shared" ref="O28:O73" si="4">SUM(P28:T28)</f>
        <v>20883.71</v>
      </c>
      <c r="P28" s="86">
        <f t="shared" ref="P28:P73" si="5">IF($M28&gt;=$P$18,U28,0)</f>
        <v>0</v>
      </c>
      <c r="Q28" s="86">
        <f t="shared" ref="Q28:Q73" si="6">IF(AND($M28&gt;=$Q$16,$M28&lt;=$Q$18),U28,0)</f>
        <v>0</v>
      </c>
      <c r="R28" s="86">
        <f t="shared" ref="R28:R73" si="7">IF(AND($M28&gt;=$R$16,$M28&lt;=$R$18),U28,0)</f>
        <v>0</v>
      </c>
      <c r="S28" s="86">
        <f t="shared" ref="S28:S73" si="8">IF(AND($M28&gt;=$S$16,$M28&lt;=$S$18),U28,0)</f>
        <v>0</v>
      </c>
      <c r="T28" s="86">
        <f t="shared" ref="T28:T73" si="9">IF($M28&lt;=$T$18,U28,0)</f>
        <v>20883.71</v>
      </c>
      <c r="U28" s="87">
        <v>20883.71</v>
      </c>
    </row>
    <row r="29" spans="1:22" s="30" customFormat="1" ht="24.6" hidden="1" outlineLevel="1" x14ac:dyDescent="0.55000000000000004">
      <c r="A29" s="27" t="s">
        <v>327</v>
      </c>
      <c r="B29" s="28"/>
      <c r="C29" s="27"/>
      <c r="D29" s="27" t="str">
        <f>"""NAV Direct"",""CRONUS JetCorp USA"",""21"",""1"",""371184"""</f>
        <v>"NAV Direct","CRONUS JetCorp USA","21","1","371184"</v>
      </c>
      <c r="E29" s="31">
        <f t="shared" si="1"/>
        <v>0</v>
      </c>
      <c r="F29" s="31"/>
      <c r="G29" s="31"/>
      <c r="H29" s="31"/>
      <c r="I29" s="56"/>
      <c r="J29" s="56"/>
      <c r="K29" s="82" t="str">
        <f t="shared" si="2"/>
        <v>Invoice</v>
      </c>
      <c r="L29" s="83" t="str">
        <f>"SI_111570"</f>
        <v>SI_111570</v>
      </c>
      <c r="M29" s="84">
        <v>42414</v>
      </c>
      <c r="N29" s="85">
        <f t="shared" si="3"/>
        <v>1398</v>
      </c>
      <c r="O29" s="86">
        <f t="shared" si="4"/>
        <v>14719.460000000001</v>
      </c>
      <c r="P29" s="86">
        <f t="shared" si="5"/>
        <v>0</v>
      </c>
      <c r="Q29" s="86">
        <f t="shared" si="6"/>
        <v>0</v>
      </c>
      <c r="R29" s="86">
        <f t="shared" si="7"/>
        <v>0</v>
      </c>
      <c r="S29" s="86">
        <f t="shared" si="8"/>
        <v>0</v>
      </c>
      <c r="T29" s="86">
        <f t="shared" si="9"/>
        <v>14719.460000000001</v>
      </c>
      <c r="U29" s="87">
        <v>14719.460000000001</v>
      </c>
    </row>
    <row r="30" spans="1:22" s="30" customFormat="1" ht="24.6" hidden="1" outlineLevel="1" x14ac:dyDescent="0.55000000000000004">
      <c r="A30" s="27" t="s">
        <v>327</v>
      </c>
      <c r="B30" s="28"/>
      <c r="C30" s="27"/>
      <c r="D30" s="27" t="str">
        <f>"""NAV Direct"",""CRONUS JetCorp USA"",""21"",""1"",""371221"""</f>
        <v>"NAV Direct","CRONUS JetCorp USA","21","1","371221"</v>
      </c>
      <c r="E30" s="31" t="str">
        <f t="shared" si="1"/>
        <v>C100008</v>
      </c>
      <c r="F30" s="31"/>
      <c r="G30" s="31"/>
      <c r="H30" s="31"/>
      <c r="I30" s="56"/>
      <c r="J30" s="56"/>
      <c r="K30" s="82" t="str">
        <f t="shared" si="2"/>
        <v>Invoice</v>
      </c>
      <c r="L30" s="83" t="str">
        <f>"SI_111571"</f>
        <v>SI_111571</v>
      </c>
      <c r="M30" s="84">
        <v>42442</v>
      </c>
      <c r="N30" s="85">
        <f t="shared" si="3"/>
        <v>1370</v>
      </c>
      <c r="O30" s="86">
        <f t="shared" si="4"/>
        <v>12674.679999999998</v>
      </c>
      <c r="P30" s="86">
        <f t="shared" si="5"/>
        <v>0</v>
      </c>
      <c r="Q30" s="86">
        <f t="shared" si="6"/>
        <v>0</v>
      </c>
      <c r="R30" s="86">
        <f t="shared" si="7"/>
        <v>0</v>
      </c>
      <c r="S30" s="86">
        <f t="shared" si="8"/>
        <v>0</v>
      </c>
      <c r="T30" s="86">
        <f t="shared" si="9"/>
        <v>12674.679999999998</v>
      </c>
      <c r="U30" s="87">
        <v>12674.679999999998</v>
      </c>
    </row>
    <row r="31" spans="1:22" s="30" customFormat="1" ht="24.6" hidden="1" outlineLevel="1" x14ac:dyDescent="0.55000000000000004">
      <c r="A31" s="27" t="s">
        <v>327</v>
      </c>
      <c r="B31" s="28"/>
      <c r="C31" s="27"/>
      <c r="D31" s="27" t="str">
        <f>"""NAV Direct"",""CRONUS JetCorp USA"",""21"",""1"",""371832"""</f>
        <v>"NAV Direct","CRONUS JetCorp USA","21","1","371832"</v>
      </c>
      <c r="E31" s="31">
        <f t="shared" si="1"/>
        <v>0</v>
      </c>
      <c r="F31" s="31"/>
      <c r="G31" s="31"/>
      <c r="H31" s="31"/>
      <c r="I31" s="56"/>
      <c r="J31" s="56"/>
      <c r="K31" s="82" t="str">
        <f t="shared" si="2"/>
        <v>Invoice</v>
      </c>
      <c r="L31" s="83" t="str">
        <f>"SI_111588"</f>
        <v>SI_111588</v>
      </c>
      <c r="M31" s="84">
        <v>42644</v>
      </c>
      <c r="N31" s="85">
        <f t="shared" si="3"/>
        <v>1168</v>
      </c>
      <c r="O31" s="86">
        <f t="shared" si="4"/>
        <v>13476.460000000001</v>
      </c>
      <c r="P31" s="86">
        <f t="shared" si="5"/>
        <v>0</v>
      </c>
      <c r="Q31" s="86">
        <f t="shared" si="6"/>
        <v>0</v>
      </c>
      <c r="R31" s="86">
        <f t="shared" si="7"/>
        <v>0</v>
      </c>
      <c r="S31" s="86">
        <f t="shared" si="8"/>
        <v>0</v>
      </c>
      <c r="T31" s="86">
        <f t="shared" si="9"/>
        <v>13476.460000000001</v>
      </c>
      <c r="U31" s="87">
        <v>13476.460000000001</v>
      </c>
    </row>
    <row r="32" spans="1:22" s="30" customFormat="1" ht="24.6" hidden="1" outlineLevel="1" x14ac:dyDescent="0.55000000000000004">
      <c r="A32" s="27" t="s">
        <v>327</v>
      </c>
      <c r="B32" s="28"/>
      <c r="C32" s="27"/>
      <c r="D32" s="27" t="str">
        <f>"""NAV Direct"",""CRONUS JetCorp USA"",""21"",""1"",""372144"""</f>
        <v>"NAV Direct","CRONUS JetCorp USA","21","1","372144"</v>
      </c>
      <c r="E32" s="31" t="str">
        <f t="shared" si="1"/>
        <v>C100008</v>
      </c>
      <c r="F32" s="31"/>
      <c r="G32" s="31"/>
      <c r="H32" s="31"/>
      <c r="I32" s="56"/>
      <c r="J32" s="56"/>
      <c r="K32" s="82" t="str">
        <f t="shared" si="2"/>
        <v>Invoice</v>
      </c>
      <c r="L32" s="83" t="str">
        <f>"SI_111596"</f>
        <v>SI_111596</v>
      </c>
      <c r="M32" s="84">
        <v>42750</v>
      </c>
      <c r="N32" s="85">
        <f t="shared" si="3"/>
        <v>1062</v>
      </c>
      <c r="O32" s="86">
        <f t="shared" si="4"/>
        <v>16079.52</v>
      </c>
      <c r="P32" s="86">
        <f t="shared" si="5"/>
        <v>0</v>
      </c>
      <c r="Q32" s="86">
        <f t="shared" si="6"/>
        <v>0</v>
      </c>
      <c r="R32" s="86">
        <f t="shared" si="7"/>
        <v>0</v>
      </c>
      <c r="S32" s="86">
        <f t="shared" si="8"/>
        <v>0</v>
      </c>
      <c r="T32" s="86">
        <f t="shared" si="9"/>
        <v>16079.52</v>
      </c>
      <c r="U32" s="87">
        <v>16079.52</v>
      </c>
    </row>
    <row r="33" spans="1:21" s="30" customFormat="1" ht="24.6" hidden="1" outlineLevel="1" x14ac:dyDescent="0.55000000000000004">
      <c r="A33" s="27" t="s">
        <v>327</v>
      </c>
      <c r="B33" s="28"/>
      <c r="C33" s="27"/>
      <c r="D33" s="27" t="str">
        <f>"""NAV Direct"",""CRONUS JetCorp USA"",""21"",""1"",""372177"""</f>
        <v>"NAV Direct","CRONUS JetCorp USA","21","1","372177"</v>
      </c>
      <c r="E33" s="31">
        <f t="shared" si="1"/>
        <v>0</v>
      </c>
      <c r="F33" s="31"/>
      <c r="G33" s="31"/>
      <c r="H33" s="31"/>
      <c r="I33" s="56"/>
      <c r="J33" s="56"/>
      <c r="K33" s="82" t="str">
        <f t="shared" si="2"/>
        <v>Invoice</v>
      </c>
      <c r="L33" s="83" t="str">
        <f>"SI_111597"</f>
        <v>SI_111597</v>
      </c>
      <c r="M33" s="84">
        <v>42756</v>
      </c>
      <c r="N33" s="85">
        <f t="shared" si="3"/>
        <v>1056</v>
      </c>
      <c r="O33" s="86">
        <f t="shared" si="4"/>
        <v>16764.78</v>
      </c>
      <c r="P33" s="86">
        <f t="shared" si="5"/>
        <v>0</v>
      </c>
      <c r="Q33" s="86">
        <f t="shared" si="6"/>
        <v>0</v>
      </c>
      <c r="R33" s="86">
        <f t="shared" si="7"/>
        <v>0</v>
      </c>
      <c r="S33" s="86">
        <f t="shared" si="8"/>
        <v>0</v>
      </c>
      <c r="T33" s="86">
        <f t="shared" si="9"/>
        <v>16764.78</v>
      </c>
      <c r="U33" s="87">
        <v>16764.78</v>
      </c>
    </row>
    <row r="34" spans="1:21" s="30" customFormat="1" ht="24.6" hidden="1" outlineLevel="1" x14ac:dyDescent="0.55000000000000004">
      <c r="A34" s="27" t="s">
        <v>327</v>
      </c>
      <c r="B34" s="28"/>
      <c r="C34" s="27"/>
      <c r="D34" s="27" t="str">
        <f>"""NAV Direct"",""CRONUS JetCorp USA"",""21"",""1"",""372212"""</f>
        <v>"NAV Direct","CRONUS JetCorp USA","21","1","372212"</v>
      </c>
      <c r="E34" s="31" t="str">
        <f t="shared" si="1"/>
        <v>C100008</v>
      </c>
      <c r="F34" s="31"/>
      <c r="G34" s="31"/>
      <c r="H34" s="31"/>
      <c r="I34" s="56"/>
      <c r="J34" s="56"/>
      <c r="K34" s="82" t="str">
        <f t="shared" si="2"/>
        <v>Invoice</v>
      </c>
      <c r="L34" s="83" t="str">
        <f>"SI_111598"</f>
        <v>SI_111598</v>
      </c>
      <c r="M34" s="84">
        <v>42767</v>
      </c>
      <c r="N34" s="85">
        <f t="shared" si="3"/>
        <v>1045</v>
      </c>
      <c r="O34" s="86">
        <f t="shared" si="4"/>
        <v>15308.98</v>
      </c>
      <c r="P34" s="86">
        <f t="shared" si="5"/>
        <v>0</v>
      </c>
      <c r="Q34" s="86">
        <f t="shared" si="6"/>
        <v>0</v>
      </c>
      <c r="R34" s="86">
        <f t="shared" si="7"/>
        <v>0</v>
      </c>
      <c r="S34" s="86">
        <f t="shared" si="8"/>
        <v>0</v>
      </c>
      <c r="T34" s="86">
        <f t="shared" si="9"/>
        <v>15308.98</v>
      </c>
      <c r="U34" s="87">
        <v>15308.98</v>
      </c>
    </row>
    <row r="35" spans="1:21" s="30" customFormat="1" ht="24.6" hidden="1" outlineLevel="1" x14ac:dyDescent="0.55000000000000004">
      <c r="A35" s="27" t="s">
        <v>327</v>
      </c>
      <c r="B35" s="28"/>
      <c r="C35" s="27"/>
      <c r="D35" s="27" t="str">
        <f>"""NAV Direct"",""CRONUS JetCorp USA"",""21"",""1"",""372455"""</f>
        <v>"NAV Direct","CRONUS JetCorp USA","21","1","372455"</v>
      </c>
      <c r="E35" s="31">
        <f t="shared" si="1"/>
        <v>0</v>
      </c>
      <c r="F35" s="31"/>
      <c r="G35" s="31"/>
      <c r="H35" s="31"/>
      <c r="I35" s="56"/>
      <c r="J35" s="56"/>
      <c r="K35" s="82" t="str">
        <f t="shared" si="2"/>
        <v>Invoice</v>
      </c>
      <c r="L35" s="83" t="str">
        <f>"SI_111605"</f>
        <v>SI_111605</v>
      </c>
      <c r="M35" s="84">
        <v>42846</v>
      </c>
      <c r="N35" s="85">
        <f t="shared" si="3"/>
        <v>966</v>
      </c>
      <c r="O35" s="86">
        <f t="shared" si="4"/>
        <v>14255.78</v>
      </c>
      <c r="P35" s="86">
        <f t="shared" si="5"/>
        <v>0</v>
      </c>
      <c r="Q35" s="86">
        <f t="shared" si="6"/>
        <v>0</v>
      </c>
      <c r="R35" s="86">
        <f t="shared" si="7"/>
        <v>0</v>
      </c>
      <c r="S35" s="86">
        <f t="shared" si="8"/>
        <v>0</v>
      </c>
      <c r="T35" s="86">
        <f t="shared" si="9"/>
        <v>14255.78</v>
      </c>
      <c r="U35" s="87">
        <v>14255.78</v>
      </c>
    </row>
    <row r="36" spans="1:21" s="30" customFormat="1" ht="24.6" hidden="1" outlineLevel="1" x14ac:dyDescent="0.55000000000000004">
      <c r="A36" s="27" t="s">
        <v>327</v>
      </c>
      <c r="B36" s="28"/>
      <c r="C36" s="27"/>
      <c r="D36" s="27" t="str">
        <f>"""NAV Direct"",""CRONUS JetCorp USA"",""21"",""1"",""372554"""</f>
        <v>"NAV Direct","CRONUS JetCorp USA","21","1","372554"</v>
      </c>
      <c r="E36" s="31" t="str">
        <f t="shared" si="1"/>
        <v>C100008</v>
      </c>
      <c r="F36" s="31"/>
      <c r="G36" s="31"/>
      <c r="H36" s="31"/>
      <c r="I36" s="56"/>
      <c r="J36" s="56"/>
      <c r="K36" s="82" t="str">
        <f t="shared" si="2"/>
        <v>Invoice</v>
      </c>
      <c r="L36" s="83" t="str">
        <f>"SI_111608"</f>
        <v>SI_111608</v>
      </c>
      <c r="M36" s="84">
        <v>42867</v>
      </c>
      <c r="N36" s="85">
        <f t="shared" si="3"/>
        <v>945</v>
      </c>
      <c r="O36" s="86">
        <f t="shared" si="4"/>
        <v>15110.95</v>
      </c>
      <c r="P36" s="86">
        <f t="shared" si="5"/>
        <v>0</v>
      </c>
      <c r="Q36" s="86">
        <f t="shared" si="6"/>
        <v>0</v>
      </c>
      <c r="R36" s="86">
        <f t="shared" si="7"/>
        <v>0</v>
      </c>
      <c r="S36" s="86">
        <f t="shared" si="8"/>
        <v>0</v>
      </c>
      <c r="T36" s="86">
        <f t="shared" si="9"/>
        <v>15110.95</v>
      </c>
      <c r="U36" s="87">
        <v>15110.95</v>
      </c>
    </row>
    <row r="37" spans="1:21" s="30" customFormat="1" ht="24.6" hidden="1" outlineLevel="1" x14ac:dyDescent="0.55000000000000004">
      <c r="A37" s="27" t="s">
        <v>327</v>
      </c>
      <c r="B37" s="28"/>
      <c r="C37" s="27"/>
      <c r="D37" s="27" t="str">
        <f>"""NAV Direct"",""CRONUS JetCorp USA"",""21"",""1"",""372632"""</f>
        <v>"NAV Direct","CRONUS JetCorp USA","21","1","372632"</v>
      </c>
      <c r="E37" s="31">
        <f t="shared" si="1"/>
        <v>0</v>
      </c>
      <c r="F37" s="31"/>
      <c r="G37" s="31"/>
      <c r="H37" s="31"/>
      <c r="I37" s="56"/>
      <c r="J37" s="56"/>
      <c r="K37" s="82" t="str">
        <f t="shared" si="2"/>
        <v>Invoice</v>
      </c>
      <c r="L37" s="83" t="str">
        <f>"SI_111610"</f>
        <v>SI_111610</v>
      </c>
      <c r="M37" s="84">
        <v>42900</v>
      </c>
      <c r="N37" s="85">
        <f t="shared" si="3"/>
        <v>912</v>
      </c>
      <c r="O37" s="86">
        <f t="shared" si="4"/>
        <v>15739.460000000001</v>
      </c>
      <c r="P37" s="86">
        <f t="shared" si="5"/>
        <v>0</v>
      </c>
      <c r="Q37" s="86">
        <f t="shared" si="6"/>
        <v>0</v>
      </c>
      <c r="R37" s="86">
        <f t="shared" si="7"/>
        <v>0</v>
      </c>
      <c r="S37" s="86">
        <f t="shared" si="8"/>
        <v>0</v>
      </c>
      <c r="T37" s="86">
        <f t="shared" si="9"/>
        <v>15739.460000000001</v>
      </c>
      <c r="U37" s="87">
        <v>15739.460000000001</v>
      </c>
    </row>
    <row r="38" spans="1:21" s="30" customFormat="1" ht="24.6" hidden="1" outlineLevel="1" x14ac:dyDescent="0.55000000000000004">
      <c r="A38" s="27" t="s">
        <v>327</v>
      </c>
      <c r="B38" s="28"/>
      <c r="C38" s="27"/>
      <c r="D38" s="27" t="str">
        <f>"""NAV Direct"",""CRONUS JetCorp USA"",""21"",""1"",""372667"""</f>
        <v>"NAV Direct","CRONUS JetCorp USA","21","1","372667"</v>
      </c>
      <c r="E38" s="31" t="str">
        <f t="shared" si="1"/>
        <v>C100008</v>
      </c>
      <c r="F38" s="31"/>
      <c r="G38" s="31"/>
      <c r="H38" s="31"/>
      <c r="I38" s="56"/>
      <c r="J38" s="56"/>
      <c r="K38" s="82" t="str">
        <f t="shared" si="2"/>
        <v>Invoice</v>
      </c>
      <c r="L38" s="83" t="str">
        <f>"SI_111611"</f>
        <v>SI_111611</v>
      </c>
      <c r="M38" s="84">
        <v>42902</v>
      </c>
      <c r="N38" s="85">
        <f t="shared" si="3"/>
        <v>910</v>
      </c>
      <c r="O38" s="86">
        <f t="shared" si="4"/>
        <v>16078.429999999998</v>
      </c>
      <c r="P38" s="86">
        <f t="shared" si="5"/>
        <v>0</v>
      </c>
      <c r="Q38" s="86">
        <f t="shared" si="6"/>
        <v>0</v>
      </c>
      <c r="R38" s="86">
        <f t="shared" si="7"/>
        <v>0</v>
      </c>
      <c r="S38" s="86">
        <f t="shared" si="8"/>
        <v>0</v>
      </c>
      <c r="T38" s="86">
        <f t="shared" si="9"/>
        <v>16078.429999999998</v>
      </c>
      <c r="U38" s="87">
        <v>16078.429999999998</v>
      </c>
    </row>
    <row r="39" spans="1:21" s="30" customFormat="1" ht="24.6" hidden="1" outlineLevel="1" x14ac:dyDescent="0.55000000000000004">
      <c r="A39" s="27" t="s">
        <v>327</v>
      </c>
      <c r="B39" s="28"/>
      <c r="C39" s="27"/>
      <c r="D39" s="27" t="str">
        <f>"""NAV Direct"",""CRONUS JetCorp USA"",""21"",""1"",""372809"""</f>
        <v>"NAV Direct","CRONUS JetCorp USA","21","1","372809"</v>
      </c>
      <c r="E39" s="31">
        <f t="shared" si="1"/>
        <v>0</v>
      </c>
      <c r="F39" s="31"/>
      <c r="G39" s="31"/>
      <c r="H39" s="31"/>
      <c r="I39" s="56"/>
      <c r="J39" s="56"/>
      <c r="K39" s="82" t="str">
        <f t="shared" si="2"/>
        <v>Invoice</v>
      </c>
      <c r="L39" s="83" t="str">
        <f>"SI_111615"</f>
        <v>SI_111615</v>
      </c>
      <c r="M39" s="84">
        <v>42956</v>
      </c>
      <c r="N39" s="85">
        <f t="shared" si="3"/>
        <v>856</v>
      </c>
      <c r="O39" s="86">
        <f t="shared" si="4"/>
        <v>16274.869999999999</v>
      </c>
      <c r="P39" s="86">
        <f t="shared" si="5"/>
        <v>0</v>
      </c>
      <c r="Q39" s="86">
        <f t="shared" si="6"/>
        <v>0</v>
      </c>
      <c r="R39" s="86">
        <f t="shared" si="7"/>
        <v>0</v>
      </c>
      <c r="S39" s="86">
        <f t="shared" si="8"/>
        <v>0</v>
      </c>
      <c r="T39" s="86">
        <f t="shared" si="9"/>
        <v>16274.869999999999</v>
      </c>
      <c r="U39" s="87">
        <v>16274.869999999999</v>
      </c>
    </row>
    <row r="40" spans="1:21" s="30" customFormat="1" ht="24.6" hidden="1" outlineLevel="1" x14ac:dyDescent="0.55000000000000004">
      <c r="A40" s="27" t="s">
        <v>327</v>
      </c>
      <c r="B40" s="28"/>
      <c r="C40" s="27"/>
      <c r="D40" s="27" t="str">
        <f>"""NAV Direct"",""CRONUS JetCorp USA"",""21"",""1"",""372887"""</f>
        <v>"NAV Direct","CRONUS JetCorp USA","21","1","372887"</v>
      </c>
      <c r="E40" s="31" t="str">
        <f t="shared" si="1"/>
        <v>C100008</v>
      </c>
      <c r="F40" s="31"/>
      <c r="G40" s="31"/>
      <c r="H40" s="31"/>
      <c r="I40" s="56"/>
      <c r="J40" s="56"/>
      <c r="K40" s="82" t="str">
        <f t="shared" si="2"/>
        <v>Invoice</v>
      </c>
      <c r="L40" s="83" t="str">
        <f>"SI_111617"</f>
        <v>SI_111617</v>
      </c>
      <c r="M40" s="84">
        <v>42964</v>
      </c>
      <c r="N40" s="85">
        <f t="shared" si="3"/>
        <v>848</v>
      </c>
      <c r="O40" s="86">
        <f t="shared" si="4"/>
        <v>15938.579999999998</v>
      </c>
      <c r="P40" s="86">
        <f t="shared" si="5"/>
        <v>0</v>
      </c>
      <c r="Q40" s="86">
        <f t="shared" si="6"/>
        <v>0</v>
      </c>
      <c r="R40" s="86">
        <f t="shared" si="7"/>
        <v>0</v>
      </c>
      <c r="S40" s="86">
        <f t="shared" si="8"/>
        <v>0</v>
      </c>
      <c r="T40" s="86">
        <f t="shared" si="9"/>
        <v>15938.579999999998</v>
      </c>
      <c r="U40" s="87">
        <v>15938.579999999998</v>
      </c>
    </row>
    <row r="41" spans="1:21" s="30" customFormat="1" ht="24.6" hidden="1" outlineLevel="1" x14ac:dyDescent="0.55000000000000004">
      <c r="A41" s="27" t="s">
        <v>327</v>
      </c>
      <c r="B41" s="28"/>
      <c r="C41" s="27"/>
      <c r="D41" s="27" t="str">
        <f>"""NAV Direct"",""CRONUS JetCorp USA"",""21"",""1"",""373033"""</f>
        <v>"NAV Direct","CRONUS JetCorp USA","21","1","373033"</v>
      </c>
      <c r="E41" s="31">
        <f t="shared" si="1"/>
        <v>0</v>
      </c>
      <c r="F41" s="31"/>
      <c r="G41" s="31"/>
      <c r="H41" s="31"/>
      <c r="I41" s="56"/>
      <c r="J41" s="56"/>
      <c r="K41" s="82" t="str">
        <f t="shared" si="2"/>
        <v>Invoice</v>
      </c>
      <c r="L41" s="83" t="str">
        <f>"SI_111621"</f>
        <v>SI_111621</v>
      </c>
      <c r="M41" s="84">
        <v>43014</v>
      </c>
      <c r="N41" s="85">
        <f t="shared" si="3"/>
        <v>798</v>
      </c>
      <c r="O41" s="86">
        <f t="shared" si="4"/>
        <v>13874.49</v>
      </c>
      <c r="P41" s="86">
        <f t="shared" si="5"/>
        <v>0</v>
      </c>
      <c r="Q41" s="86">
        <f t="shared" si="6"/>
        <v>0</v>
      </c>
      <c r="R41" s="86">
        <f t="shared" si="7"/>
        <v>0</v>
      </c>
      <c r="S41" s="86">
        <f t="shared" si="8"/>
        <v>0</v>
      </c>
      <c r="T41" s="86">
        <f t="shared" si="9"/>
        <v>13874.49</v>
      </c>
      <c r="U41" s="87">
        <v>13874.49</v>
      </c>
    </row>
    <row r="42" spans="1:21" s="30" customFormat="1" ht="24.6" hidden="1" outlineLevel="1" x14ac:dyDescent="0.55000000000000004">
      <c r="A42" s="27" t="s">
        <v>327</v>
      </c>
      <c r="B42" s="28"/>
      <c r="C42" s="27"/>
      <c r="D42" s="27" t="str">
        <f>"""NAV Direct"",""CRONUS JetCorp USA"",""21"",""1"",""373335"""</f>
        <v>"NAV Direct","CRONUS JetCorp USA","21","1","373335"</v>
      </c>
      <c r="E42" s="31" t="str">
        <f t="shared" si="1"/>
        <v>C100008</v>
      </c>
      <c r="F42" s="31"/>
      <c r="G42" s="31"/>
      <c r="H42" s="31"/>
      <c r="I42" s="56"/>
      <c r="J42" s="56"/>
      <c r="K42" s="82" t="str">
        <f t="shared" si="2"/>
        <v>Invoice</v>
      </c>
      <c r="L42" s="83" t="str">
        <f>"SI_111629"</f>
        <v>SI_111629</v>
      </c>
      <c r="M42" s="84">
        <v>43108</v>
      </c>
      <c r="N42" s="85">
        <f t="shared" si="3"/>
        <v>704</v>
      </c>
      <c r="O42" s="86">
        <f t="shared" si="4"/>
        <v>17610.43</v>
      </c>
      <c r="P42" s="86">
        <f t="shared" si="5"/>
        <v>0</v>
      </c>
      <c r="Q42" s="86">
        <f t="shared" si="6"/>
        <v>0</v>
      </c>
      <c r="R42" s="86">
        <f t="shared" si="7"/>
        <v>0</v>
      </c>
      <c r="S42" s="86">
        <f t="shared" si="8"/>
        <v>0</v>
      </c>
      <c r="T42" s="86">
        <f t="shared" si="9"/>
        <v>17610.43</v>
      </c>
      <c r="U42" s="87">
        <v>17610.43</v>
      </c>
    </row>
    <row r="43" spans="1:21" s="30" customFormat="1" ht="24.6" hidden="1" outlineLevel="1" x14ac:dyDescent="0.55000000000000004">
      <c r="A43" s="27" t="s">
        <v>327</v>
      </c>
      <c r="B43" s="28"/>
      <c r="C43" s="27"/>
      <c r="D43" s="27" t="str">
        <f>"""NAV Direct"",""CRONUS JetCorp USA"",""21"",""1"",""373514"""</f>
        <v>"NAV Direct","CRONUS JetCorp USA","21","1","373514"</v>
      </c>
      <c r="E43" s="31">
        <f t="shared" si="1"/>
        <v>0</v>
      </c>
      <c r="F43" s="31"/>
      <c r="G43" s="31"/>
      <c r="H43" s="31"/>
      <c r="I43" s="56"/>
      <c r="J43" s="56"/>
      <c r="K43" s="82" t="str">
        <f t="shared" si="2"/>
        <v>Invoice</v>
      </c>
      <c r="L43" s="83" t="str">
        <f>"SI_111634"</f>
        <v>SI_111634</v>
      </c>
      <c r="M43" s="84">
        <v>43191</v>
      </c>
      <c r="N43" s="85">
        <f t="shared" si="3"/>
        <v>621</v>
      </c>
      <c r="O43" s="86">
        <f t="shared" si="4"/>
        <v>16295.659999999998</v>
      </c>
      <c r="P43" s="86">
        <f t="shared" si="5"/>
        <v>0</v>
      </c>
      <c r="Q43" s="86">
        <f t="shared" si="6"/>
        <v>0</v>
      </c>
      <c r="R43" s="86">
        <f t="shared" si="7"/>
        <v>0</v>
      </c>
      <c r="S43" s="86">
        <f t="shared" si="8"/>
        <v>0</v>
      </c>
      <c r="T43" s="86">
        <f t="shared" si="9"/>
        <v>16295.659999999998</v>
      </c>
      <c r="U43" s="87">
        <v>16295.659999999998</v>
      </c>
    </row>
    <row r="44" spans="1:21" s="30" customFormat="1" ht="24.6" hidden="1" outlineLevel="1" x14ac:dyDescent="0.55000000000000004">
      <c r="A44" s="27" t="s">
        <v>327</v>
      </c>
      <c r="B44" s="28"/>
      <c r="C44" s="27"/>
      <c r="D44" s="27" t="str">
        <f>"""NAV Direct"",""CRONUS JetCorp USA"",""21"",""1"",""373594"""</f>
        <v>"NAV Direct","CRONUS JetCorp USA","21","1","373594"</v>
      </c>
      <c r="E44" s="31" t="str">
        <f t="shared" si="1"/>
        <v>C100008</v>
      </c>
      <c r="F44" s="31"/>
      <c r="G44" s="31"/>
      <c r="H44" s="31"/>
      <c r="I44" s="56"/>
      <c r="J44" s="56"/>
      <c r="K44" s="82" t="str">
        <f t="shared" si="2"/>
        <v>Invoice</v>
      </c>
      <c r="L44" s="83" t="str">
        <f>"SI_111636"</f>
        <v>SI_111636</v>
      </c>
      <c r="M44" s="84">
        <v>43196</v>
      </c>
      <c r="N44" s="85">
        <f t="shared" si="3"/>
        <v>616</v>
      </c>
      <c r="O44" s="86">
        <f t="shared" si="4"/>
        <v>15575.75</v>
      </c>
      <c r="P44" s="86">
        <f t="shared" si="5"/>
        <v>0</v>
      </c>
      <c r="Q44" s="86">
        <f t="shared" si="6"/>
        <v>0</v>
      </c>
      <c r="R44" s="86">
        <f t="shared" si="7"/>
        <v>0</v>
      </c>
      <c r="S44" s="86">
        <f t="shared" si="8"/>
        <v>0</v>
      </c>
      <c r="T44" s="86">
        <f t="shared" si="9"/>
        <v>15575.75</v>
      </c>
      <c r="U44" s="87">
        <v>15575.75</v>
      </c>
    </row>
    <row r="45" spans="1:21" s="30" customFormat="1" ht="24.6" hidden="1" outlineLevel="1" x14ac:dyDescent="0.55000000000000004">
      <c r="A45" s="27" t="s">
        <v>327</v>
      </c>
      <c r="B45" s="28"/>
      <c r="C45" s="27"/>
      <c r="D45" s="27" t="str">
        <f>"""NAV Direct"",""CRONUS JetCorp USA"",""21"",""1"",""373713"""</f>
        <v>"NAV Direct","CRONUS JetCorp USA","21","1","373713"</v>
      </c>
      <c r="E45" s="31">
        <f t="shared" si="1"/>
        <v>0</v>
      </c>
      <c r="F45" s="31"/>
      <c r="G45" s="31"/>
      <c r="H45" s="31"/>
      <c r="I45" s="56"/>
      <c r="J45" s="56"/>
      <c r="K45" s="82" t="str">
        <f t="shared" si="2"/>
        <v>Invoice</v>
      </c>
      <c r="L45" s="83" t="str">
        <f>"SI_111639"</f>
        <v>SI_111639</v>
      </c>
      <c r="M45" s="84">
        <v>43233</v>
      </c>
      <c r="N45" s="85">
        <f t="shared" si="3"/>
        <v>579</v>
      </c>
      <c r="O45" s="86">
        <f t="shared" si="4"/>
        <v>16842.579999999998</v>
      </c>
      <c r="P45" s="86">
        <f t="shared" si="5"/>
        <v>0</v>
      </c>
      <c r="Q45" s="86">
        <f t="shared" si="6"/>
        <v>0</v>
      </c>
      <c r="R45" s="86">
        <f t="shared" si="7"/>
        <v>0</v>
      </c>
      <c r="S45" s="86">
        <f t="shared" si="8"/>
        <v>0</v>
      </c>
      <c r="T45" s="86">
        <f t="shared" si="9"/>
        <v>16842.579999999998</v>
      </c>
      <c r="U45" s="87">
        <v>16842.579999999998</v>
      </c>
    </row>
    <row r="46" spans="1:21" s="30" customFormat="1" ht="24.6" hidden="1" outlineLevel="1" x14ac:dyDescent="0.55000000000000004">
      <c r="A46" s="27" t="s">
        <v>327</v>
      </c>
      <c r="B46" s="28"/>
      <c r="C46" s="27"/>
      <c r="D46" s="27" t="str">
        <f>"""NAV Direct"",""CRONUS JetCorp USA"",""21"",""1"",""373876"""</f>
        <v>"NAV Direct","CRONUS JetCorp USA","21","1","373876"</v>
      </c>
      <c r="E46" s="31" t="str">
        <f t="shared" si="1"/>
        <v>C100008</v>
      </c>
      <c r="F46" s="31"/>
      <c r="G46" s="31"/>
      <c r="H46" s="31"/>
      <c r="I46" s="56"/>
      <c r="J46" s="56"/>
      <c r="K46" s="82" t="str">
        <f t="shared" si="2"/>
        <v>Invoice</v>
      </c>
      <c r="L46" s="83" t="str">
        <f>"SI_111644"</f>
        <v>SI_111644</v>
      </c>
      <c r="M46" s="84">
        <v>43285</v>
      </c>
      <c r="N46" s="85">
        <f t="shared" si="3"/>
        <v>527</v>
      </c>
      <c r="O46" s="86">
        <f t="shared" si="4"/>
        <v>18760.939999999999</v>
      </c>
      <c r="P46" s="86">
        <f t="shared" si="5"/>
        <v>0</v>
      </c>
      <c r="Q46" s="86">
        <f t="shared" si="6"/>
        <v>0</v>
      </c>
      <c r="R46" s="86">
        <f t="shared" si="7"/>
        <v>0</v>
      </c>
      <c r="S46" s="86">
        <f t="shared" si="8"/>
        <v>0</v>
      </c>
      <c r="T46" s="86">
        <f t="shared" si="9"/>
        <v>18760.939999999999</v>
      </c>
      <c r="U46" s="87">
        <v>18760.939999999999</v>
      </c>
    </row>
    <row r="47" spans="1:21" s="30" customFormat="1" ht="24.6" hidden="1" outlineLevel="1" x14ac:dyDescent="0.55000000000000004">
      <c r="A47" s="27" t="s">
        <v>327</v>
      </c>
      <c r="B47" s="28"/>
      <c r="C47" s="27"/>
      <c r="D47" s="27" t="str">
        <f>"""NAV Direct"",""CRONUS JetCorp USA"",""21"",""1"",""373913"""</f>
        <v>"NAV Direct","CRONUS JetCorp USA","21","1","373913"</v>
      </c>
      <c r="E47" s="31">
        <f t="shared" si="1"/>
        <v>0</v>
      </c>
      <c r="F47" s="31"/>
      <c r="G47" s="31"/>
      <c r="H47" s="31"/>
      <c r="I47" s="56"/>
      <c r="J47" s="56"/>
      <c r="K47" s="82" t="str">
        <f t="shared" si="2"/>
        <v>Invoice</v>
      </c>
      <c r="L47" s="83" t="str">
        <f>"SI_111645"</f>
        <v>SI_111645</v>
      </c>
      <c r="M47" s="84">
        <v>43283</v>
      </c>
      <c r="N47" s="85">
        <f t="shared" si="3"/>
        <v>529</v>
      </c>
      <c r="O47" s="86">
        <f t="shared" si="4"/>
        <v>18960.55</v>
      </c>
      <c r="P47" s="86">
        <f t="shared" si="5"/>
        <v>0</v>
      </c>
      <c r="Q47" s="86">
        <f t="shared" si="6"/>
        <v>0</v>
      </c>
      <c r="R47" s="86">
        <f t="shared" si="7"/>
        <v>0</v>
      </c>
      <c r="S47" s="86">
        <f t="shared" si="8"/>
        <v>0</v>
      </c>
      <c r="T47" s="86">
        <f t="shared" si="9"/>
        <v>18960.55</v>
      </c>
      <c r="U47" s="87">
        <v>18960.55</v>
      </c>
    </row>
    <row r="48" spans="1:21" s="30" customFormat="1" ht="24.6" hidden="1" outlineLevel="1" x14ac:dyDescent="0.55000000000000004">
      <c r="A48" s="27" t="s">
        <v>327</v>
      </c>
      <c r="B48" s="28"/>
      <c r="C48" s="27"/>
      <c r="D48" s="27" t="str">
        <f>"""NAV Direct"",""CRONUS JetCorp USA"",""21"",""1"",""373964"""</f>
        <v>"NAV Direct","CRONUS JetCorp USA","21","1","373964"</v>
      </c>
      <c r="E48" s="31" t="str">
        <f t="shared" si="1"/>
        <v>C100008</v>
      </c>
      <c r="F48" s="31"/>
      <c r="G48" s="31"/>
      <c r="H48" s="31"/>
      <c r="I48" s="56"/>
      <c r="J48" s="56"/>
      <c r="K48" s="82" t="str">
        <f t="shared" si="2"/>
        <v>Invoice</v>
      </c>
      <c r="L48" s="83" t="str">
        <f>"SI_111646"</f>
        <v>SI_111646</v>
      </c>
      <c r="M48" s="84">
        <v>43293</v>
      </c>
      <c r="N48" s="85">
        <f t="shared" si="3"/>
        <v>519</v>
      </c>
      <c r="O48" s="86">
        <f t="shared" si="4"/>
        <v>19558.330000000002</v>
      </c>
      <c r="P48" s="86">
        <f t="shared" si="5"/>
        <v>0</v>
      </c>
      <c r="Q48" s="86">
        <f t="shared" si="6"/>
        <v>0</v>
      </c>
      <c r="R48" s="86">
        <f t="shared" si="7"/>
        <v>0</v>
      </c>
      <c r="S48" s="86">
        <f t="shared" si="8"/>
        <v>0</v>
      </c>
      <c r="T48" s="86">
        <f t="shared" si="9"/>
        <v>19558.330000000002</v>
      </c>
      <c r="U48" s="87">
        <v>19558.330000000002</v>
      </c>
    </row>
    <row r="49" spans="1:21" s="30" customFormat="1" ht="24.6" hidden="1" outlineLevel="1" x14ac:dyDescent="0.55000000000000004">
      <c r="A49" s="27" t="s">
        <v>327</v>
      </c>
      <c r="B49" s="28"/>
      <c r="C49" s="27"/>
      <c r="D49" s="27" t="str">
        <f>"""NAV Direct"",""CRONUS JetCorp USA"",""21"",""1"",""374052"""</f>
        <v>"NAV Direct","CRONUS JetCorp USA","21","1","374052"</v>
      </c>
      <c r="E49" s="31">
        <f t="shared" si="1"/>
        <v>0</v>
      </c>
      <c r="F49" s="31"/>
      <c r="G49" s="31"/>
      <c r="H49" s="31"/>
      <c r="I49" s="56"/>
      <c r="J49" s="56"/>
      <c r="K49" s="82" t="str">
        <f t="shared" si="2"/>
        <v>Invoice</v>
      </c>
      <c r="L49" s="83" t="str">
        <f>"SI_111648"</f>
        <v>SI_111648</v>
      </c>
      <c r="M49" s="84">
        <v>43325</v>
      </c>
      <c r="N49" s="85">
        <f t="shared" si="3"/>
        <v>487</v>
      </c>
      <c r="O49" s="86">
        <f t="shared" si="4"/>
        <v>18508.740000000002</v>
      </c>
      <c r="P49" s="86">
        <f t="shared" si="5"/>
        <v>0</v>
      </c>
      <c r="Q49" s="86">
        <f t="shared" si="6"/>
        <v>0</v>
      </c>
      <c r="R49" s="86">
        <f t="shared" si="7"/>
        <v>0</v>
      </c>
      <c r="S49" s="86">
        <f t="shared" si="8"/>
        <v>0</v>
      </c>
      <c r="T49" s="86">
        <f t="shared" si="9"/>
        <v>18508.740000000002</v>
      </c>
      <c r="U49" s="87">
        <v>18508.740000000002</v>
      </c>
    </row>
    <row r="50" spans="1:21" s="30" customFormat="1" ht="24.6" hidden="1" outlineLevel="1" x14ac:dyDescent="0.55000000000000004">
      <c r="A50" s="27" t="s">
        <v>327</v>
      </c>
      <c r="B50" s="28"/>
      <c r="C50" s="27"/>
      <c r="D50" s="27" t="str">
        <f>"""NAV Direct"",""CRONUS JetCorp USA"",""21"",""1"",""374087"""</f>
        <v>"NAV Direct","CRONUS JetCorp USA","21","1","374087"</v>
      </c>
      <c r="E50" s="31" t="str">
        <f t="shared" si="1"/>
        <v>C100008</v>
      </c>
      <c r="F50" s="31"/>
      <c r="G50" s="31"/>
      <c r="H50" s="31"/>
      <c r="I50" s="56"/>
      <c r="J50" s="56"/>
      <c r="K50" s="82" t="str">
        <f t="shared" si="2"/>
        <v>Invoice</v>
      </c>
      <c r="L50" s="83" t="str">
        <f>"SI_111649"</f>
        <v>SI_111649</v>
      </c>
      <c r="M50" s="84">
        <v>43327</v>
      </c>
      <c r="N50" s="85">
        <f t="shared" si="3"/>
        <v>485</v>
      </c>
      <c r="O50" s="86">
        <f t="shared" si="4"/>
        <v>18315.84</v>
      </c>
      <c r="P50" s="86">
        <f t="shared" si="5"/>
        <v>0</v>
      </c>
      <c r="Q50" s="86">
        <f t="shared" si="6"/>
        <v>0</v>
      </c>
      <c r="R50" s="86">
        <f t="shared" si="7"/>
        <v>0</v>
      </c>
      <c r="S50" s="86">
        <f t="shared" si="8"/>
        <v>0</v>
      </c>
      <c r="T50" s="86">
        <f t="shared" si="9"/>
        <v>18315.84</v>
      </c>
      <c r="U50" s="87">
        <v>18315.84</v>
      </c>
    </row>
    <row r="51" spans="1:21" s="30" customFormat="1" ht="24.6" hidden="1" outlineLevel="1" x14ac:dyDescent="0.55000000000000004">
      <c r="A51" s="27" t="s">
        <v>327</v>
      </c>
      <c r="B51" s="28"/>
      <c r="C51" s="27"/>
      <c r="D51" s="27" t="str">
        <f>"""NAV Direct"",""CRONUS JetCorp USA"",""21"",""1"",""374295"""</f>
        <v>"NAV Direct","CRONUS JetCorp USA","21","1","374295"</v>
      </c>
      <c r="E51" s="31">
        <f t="shared" si="1"/>
        <v>0</v>
      </c>
      <c r="F51" s="31"/>
      <c r="G51" s="31"/>
      <c r="H51" s="31"/>
      <c r="I51" s="56"/>
      <c r="J51" s="56"/>
      <c r="K51" s="82" t="str">
        <f t="shared" si="2"/>
        <v>Invoice</v>
      </c>
      <c r="L51" s="83" t="str">
        <f>"SI_111655"</f>
        <v>SI_111655</v>
      </c>
      <c r="M51" s="84">
        <v>43406</v>
      </c>
      <c r="N51" s="85">
        <f t="shared" si="3"/>
        <v>406</v>
      </c>
      <c r="O51" s="86">
        <f t="shared" si="4"/>
        <v>17340.39</v>
      </c>
      <c r="P51" s="86">
        <f t="shared" si="5"/>
        <v>0</v>
      </c>
      <c r="Q51" s="86">
        <f t="shared" si="6"/>
        <v>0</v>
      </c>
      <c r="R51" s="86">
        <f t="shared" si="7"/>
        <v>0</v>
      </c>
      <c r="S51" s="86">
        <f t="shared" si="8"/>
        <v>0</v>
      </c>
      <c r="T51" s="86">
        <f t="shared" si="9"/>
        <v>17340.39</v>
      </c>
      <c r="U51" s="87">
        <v>17340.39</v>
      </c>
    </row>
    <row r="52" spans="1:21" s="30" customFormat="1" ht="24.6" hidden="1" outlineLevel="1" x14ac:dyDescent="0.55000000000000004">
      <c r="A52" s="27" t="s">
        <v>327</v>
      </c>
      <c r="B52" s="28"/>
      <c r="C52" s="27"/>
      <c r="D52" s="27" t="str">
        <f>"""NAV Direct"",""CRONUS JetCorp USA"",""21"",""1"",""374508"""</f>
        <v>"NAV Direct","CRONUS JetCorp USA","21","1","374508"</v>
      </c>
      <c r="E52" s="31" t="str">
        <f t="shared" si="1"/>
        <v>C100008</v>
      </c>
      <c r="F52" s="31"/>
      <c r="G52" s="31"/>
      <c r="H52" s="31"/>
      <c r="I52" s="56"/>
      <c r="J52" s="56"/>
      <c r="K52" s="82" t="str">
        <f t="shared" si="2"/>
        <v>Invoice</v>
      </c>
      <c r="L52" s="83" t="str">
        <f>"SI_111660"</f>
        <v>SI_111660</v>
      </c>
      <c r="M52" s="84">
        <v>43445</v>
      </c>
      <c r="N52" s="85">
        <f t="shared" si="3"/>
        <v>367</v>
      </c>
      <c r="O52" s="86">
        <f t="shared" si="4"/>
        <v>16463.61</v>
      </c>
      <c r="P52" s="86">
        <f t="shared" si="5"/>
        <v>0</v>
      </c>
      <c r="Q52" s="86">
        <f t="shared" si="6"/>
        <v>0</v>
      </c>
      <c r="R52" s="86">
        <f t="shared" si="7"/>
        <v>0</v>
      </c>
      <c r="S52" s="86">
        <f t="shared" si="8"/>
        <v>0</v>
      </c>
      <c r="T52" s="86">
        <f t="shared" si="9"/>
        <v>16463.61</v>
      </c>
      <c r="U52" s="87">
        <v>16463.61</v>
      </c>
    </row>
    <row r="53" spans="1:21" s="30" customFormat="1" ht="24.6" hidden="1" outlineLevel="1" x14ac:dyDescent="0.55000000000000004">
      <c r="A53" s="27" t="s">
        <v>327</v>
      </c>
      <c r="B53" s="28"/>
      <c r="C53" s="27"/>
      <c r="D53" s="27" t="str">
        <f>"""NAV Direct"",""CRONUS JetCorp USA"",""21"",""1"",""374617"""</f>
        <v>"NAV Direct","CRONUS JetCorp USA","21","1","374617"</v>
      </c>
      <c r="E53" s="31">
        <f t="shared" si="1"/>
        <v>0</v>
      </c>
      <c r="F53" s="31"/>
      <c r="G53" s="31"/>
      <c r="H53" s="31"/>
      <c r="I53" s="56"/>
      <c r="J53" s="56"/>
      <c r="K53" s="82" t="str">
        <f t="shared" si="2"/>
        <v>Invoice</v>
      </c>
      <c r="L53" s="83" t="str">
        <f>"SI_111663"</f>
        <v>SI_111663</v>
      </c>
      <c r="M53" s="84">
        <v>43472</v>
      </c>
      <c r="N53" s="85">
        <f t="shared" si="3"/>
        <v>340</v>
      </c>
      <c r="O53" s="86">
        <f t="shared" si="4"/>
        <v>14817.6</v>
      </c>
      <c r="P53" s="86">
        <f t="shared" si="5"/>
        <v>0</v>
      </c>
      <c r="Q53" s="86">
        <f t="shared" si="6"/>
        <v>0</v>
      </c>
      <c r="R53" s="86">
        <f t="shared" si="7"/>
        <v>0</v>
      </c>
      <c r="S53" s="86">
        <f t="shared" si="8"/>
        <v>0</v>
      </c>
      <c r="T53" s="86">
        <f t="shared" si="9"/>
        <v>14817.6</v>
      </c>
      <c r="U53" s="87">
        <v>14817.6</v>
      </c>
    </row>
    <row r="54" spans="1:21" s="30" customFormat="1" ht="24.6" hidden="1" outlineLevel="1" x14ac:dyDescent="0.55000000000000004">
      <c r="A54" s="27" t="s">
        <v>327</v>
      </c>
      <c r="B54" s="28"/>
      <c r="C54" s="27"/>
      <c r="D54" s="27" t="str">
        <f>"""NAV Direct"",""CRONUS JetCorp USA"",""21"",""1"",""374696"""</f>
        <v>"NAV Direct","CRONUS JetCorp USA","21","1","374696"</v>
      </c>
      <c r="E54" s="31" t="str">
        <f t="shared" si="1"/>
        <v>C100008</v>
      </c>
      <c r="F54" s="31"/>
      <c r="G54" s="31"/>
      <c r="H54" s="31"/>
      <c r="I54" s="56"/>
      <c r="J54" s="56"/>
      <c r="K54" s="82" t="str">
        <f t="shared" si="2"/>
        <v>Invoice</v>
      </c>
      <c r="L54" s="83" t="str">
        <f>"SI_111666"</f>
        <v>SI_111666</v>
      </c>
      <c r="M54" s="84">
        <v>43512</v>
      </c>
      <c r="N54" s="85">
        <f t="shared" si="3"/>
        <v>300</v>
      </c>
      <c r="O54" s="86">
        <f t="shared" si="4"/>
        <v>14971.7</v>
      </c>
      <c r="P54" s="86">
        <f t="shared" si="5"/>
        <v>0</v>
      </c>
      <c r="Q54" s="86">
        <f t="shared" si="6"/>
        <v>0</v>
      </c>
      <c r="R54" s="86">
        <f t="shared" si="7"/>
        <v>0</v>
      </c>
      <c r="S54" s="86">
        <f t="shared" si="8"/>
        <v>0</v>
      </c>
      <c r="T54" s="86">
        <f t="shared" si="9"/>
        <v>14971.7</v>
      </c>
      <c r="U54" s="87">
        <v>14971.7</v>
      </c>
    </row>
    <row r="55" spans="1:21" s="30" customFormat="1" ht="24.6" hidden="1" outlineLevel="1" x14ac:dyDescent="0.55000000000000004">
      <c r="A55" s="27" t="s">
        <v>327</v>
      </c>
      <c r="B55" s="28"/>
      <c r="C55" s="27"/>
      <c r="D55" s="27" t="str">
        <f>"""NAV Direct"",""CRONUS JetCorp USA"",""21"",""1"",""374758"""</f>
        <v>"NAV Direct","CRONUS JetCorp USA","21","1","374758"</v>
      </c>
      <c r="E55" s="31">
        <f t="shared" si="1"/>
        <v>0</v>
      </c>
      <c r="F55" s="31"/>
      <c r="G55" s="31"/>
      <c r="H55" s="31"/>
      <c r="I55" s="56"/>
      <c r="J55" s="56"/>
      <c r="K55" s="82" t="str">
        <f t="shared" si="2"/>
        <v>Invoice</v>
      </c>
      <c r="L55" s="83" t="str">
        <f>"SI_111668"</f>
        <v>SI_111668</v>
      </c>
      <c r="M55" s="84">
        <v>43530</v>
      </c>
      <c r="N55" s="85">
        <f t="shared" si="3"/>
        <v>282</v>
      </c>
      <c r="O55" s="86">
        <f t="shared" si="4"/>
        <v>15450.19</v>
      </c>
      <c r="P55" s="86">
        <f t="shared" si="5"/>
        <v>0</v>
      </c>
      <c r="Q55" s="86">
        <f t="shared" si="6"/>
        <v>0</v>
      </c>
      <c r="R55" s="86">
        <f t="shared" si="7"/>
        <v>0</v>
      </c>
      <c r="S55" s="86">
        <f t="shared" si="8"/>
        <v>0</v>
      </c>
      <c r="T55" s="86">
        <f t="shared" si="9"/>
        <v>15450.19</v>
      </c>
      <c r="U55" s="87">
        <v>15450.19</v>
      </c>
    </row>
    <row r="56" spans="1:21" s="30" customFormat="1" ht="24.6" hidden="1" outlineLevel="1" x14ac:dyDescent="0.55000000000000004">
      <c r="A56" s="27" t="s">
        <v>327</v>
      </c>
      <c r="B56" s="28"/>
      <c r="C56" s="27"/>
      <c r="D56" s="27" t="str">
        <f>"""NAV Direct"",""CRONUS JetCorp USA"",""21"",""1"",""375001"""</f>
        <v>"NAV Direct","CRONUS JetCorp USA","21","1","375001"</v>
      </c>
      <c r="E56" s="31" t="str">
        <f t="shared" si="1"/>
        <v>C100008</v>
      </c>
      <c r="F56" s="31"/>
      <c r="G56" s="31"/>
      <c r="H56" s="31"/>
      <c r="I56" s="56"/>
      <c r="J56" s="56"/>
      <c r="K56" s="82" t="str">
        <f t="shared" si="2"/>
        <v>Invoice</v>
      </c>
      <c r="L56" s="83" t="str">
        <f>"SI_111675"</f>
        <v>SI_111675</v>
      </c>
      <c r="M56" s="84">
        <v>43591</v>
      </c>
      <c r="N56" s="85">
        <f t="shared" si="3"/>
        <v>221</v>
      </c>
      <c r="O56" s="86">
        <f t="shared" si="4"/>
        <v>22492.14</v>
      </c>
      <c r="P56" s="86">
        <f t="shared" si="5"/>
        <v>0</v>
      </c>
      <c r="Q56" s="86">
        <f t="shared" si="6"/>
        <v>0</v>
      </c>
      <c r="R56" s="86">
        <f t="shared" si="7"/>
        <v>0</v>
      </c>
      <c r="S56" s="86">
        <f t="shared" si="8"/>
        <v>0</v>
      </c>
      <c r="T56" s="86">
        <f t="shared" si="9"/>
        <v>22492.14</v>
      </c>
      <c r="U56" s="87">
        <v>22492.14</v>
      </c>
    </row>
    <row r="57" spans="1:21" s="30" customFormat="1" ht="24.6" hidden="1" outlineLevel="1" x14ac:dyDescent="0.55000000000000004">
      <c r="A57" s="27" t="s">
        <v>327</v>
      </c>
      <c r="B57" s="28"/>
      <c r="C57" s="27"/>
      <c r="D57" s="27" t="str">
        <f>"""NAV Direct"",""CRONUS JetCorp USA"",""21"",""1"",""375484"""</f>
        <v>"NAV Direct","CRONUS JetCorp USA","21","1","375484"</v>
      </c>
      <c r="E57" s="31">
        <f t="shared" si="1"/>
        <v>0</v>
      </c>
      <c r="F57" s="31"/>
      <c r="G57" s="31"/>
      <c r="H57" s="31"/>
      <c r="I57" s="56"/>
      <c r="J57" s="56"/>
      <c r="K57" s="82" t="str">
        <f t="shared" si="2"/>
        <v>Invoice</v>
      </c>
      <c r="L57" s="83" t="str">
        <f>"SI_111686"</f>
        <v>SI_111686</v>
      </c>
      <c r="M57" s="84">
        <v>43709</v>
      </c>
      <c r="N57" s="85">
        <f t="shared" si="3"/>
        <v>103</v>
      </c>
      <c r="O57" s="86">
        <f t="shared" si="4"/>
        <v>18166.990000000002</v>
      </c>
      <c r="P57" s="86">
        <f t="shared" si="5"/>
        <v>0</v>
      </c>
      <c r="Q57" s="86">
        <f t="shared" si="6"/>
        <v>0</v>
      </c>
      <c r="R57" s="86">
        <f t="shared" si="7"/>
        <v>0</v>
      </c>
      <c r="S57" s="86">
        <f t="shared" si="8"/>
        <v>0</v>
      </c>
      <c r="T57" s="86">
        <f t="shared" si="9"/>
        <v>18166.990000000002</v>
      </c>
      <c r="U57" s="87">
        <v>18166.990000000002</v>
      </c>
    </row>
    <row r="58" spans="1:21" s="30" customFormat="1" ht="24.6" hidden="1" outlineLevel="1" x14ac:dyDescent="0.55000000000000004">
      <c r="A58" s="27" t="s">
        <v>327</v>
      </c>
      <c r="B58" s="28"/>
      <c r="C58" s="27"/>
      <c r="D58" s="27" t="str">
        <f>"""NAV Direct"",""CRONUS JetCorp USA"",""21"",""1"",""375568"""</f>
        <v>"NAV Direct","CRONUS JetCorp USA","21","1","375568"</v>
      </c>
      <c r="E58" s="31" t="str">
        <f t="shared" si="1"/>
        <v>C100008</v>
      </c>
      <c r="F58" s="31"/>
      <c r="G58" s="31"/>
      <c r="H58" s="31"/>
      <c r="I58" s="56"/>
      <c r="J58" s="56"/>
      <c r="K58" s="82" t="str">
        <f t="shared" si="2"/>
        <v>Invoice</v>
      </c>
      <c r="L58" s="83" t="str">
        <f>"SI_111688"</f>
        <v>SI_111688</v>
      </c>
      <c r="M58" s="84">
        <v>43716</v>
      </c>
      <c r="N58" s="85">
        <f t="shared" si="3"/>
        <v>96</v>
      </c>
      <c r="O58" s="86">
        <f t="shared" si="4"/>
        <v>18353.59</v>
      </c>
      <c r="P58" s="86">
        <f t="shared" si="5"/>
        <v>0</v>
      </c>
      <c r="Q58" s="86">
        <f t="shared" si="6"/>
        <v>0</v>
      </c>
      <c r="R58" s="86">
        <f t="shared" si="7"/>
        <v>0</v>
      </c>
      <c r="S58" s="86">
        <f t="shared" si="8"/>
        <v>0</v>
      </c>
      <c r="T58" s="86">
        <f t="shared" si="9"/>
        <v>18353.59</v>
      </c>
      <c r="U58" s="87">
        <v>18353.59</v>
      </c>
    </row>
    <row r="59" spans="1:21" s="30" customFormat="1" ht="24.6" hidden="1" outlineLevel="1" x14ac:dyDescent="0.55000000000000004">
      <c r="A59" s="27" t="s">
        <v>327</v>
      </c>
      <c r="B59" s="28"/>
      <c r="C59" s="27"/>
      <c r="D59" s="27" t="str">
        <f>"""NAV Direct"",""CRONUS JetCorp USA"",""21"",""1"",""375650"""</f>
        <v>"NAV Direct","CRONUS JetCorp USA","21","1","375650"</v>
      </c>
      <c r="E59" s="31">
        <f t="shared" si="1"/>
        <v>0</v>
      </c>
      <c r="F59" s="31"/>
      <c r="G59" s="31"/>
      <c r="H59" s="31"/>
      <c r="I59" s="56"/>
      <c r="J59" s="56"/>
      <c r="K59" s="82" t="str">
        <f t="shared" si="2"/>
        <v>Invoice</v>
      </c>
      <c r="L59" s="83" t="str">
        <f>"SI_111690"</f>
        <v>SI_111690</v>
      </c>
      <c r="M59" s="84">
        <v>43778</v>
      </c>
      <c r="N59" s="85">
        <f t="shared" si="3"/>
        <v>34</v>
      </c>
      <c r="O59" s="86">
        <f t="shared" si="4"/>
        <v>18082.91</v>
      </c>
      <c r="P59" s="86">
        <f t="shared" si="5"/>
        <v>0</v>
      </c>
      <c r="Q59" s="86">
        <f t="shared" si="6"/>
        <v>0</v>
      </c>
      <c r="R59" s="86">
        <f t="shared" si="7"/>
        <v>18082.91</v>
      </c>
      <c r="S59" s="86">
        <f t="shared" si="8"/>
        <v>0</v>
      </c>
      <c r="T59" s="86">
        <f t="shared" si="9"/>
        <v>0</v>
      </c>
      <c r="U59" s="87">
        <v>18082.91</v>
      </c>
    </row>
    <row r="60" spans="1:21" s="30" customFormat="1" ht="24.6" hidden="1" outlineLevel="1" x14ac:dyDescent="0.55000000000000004">
      <c r="A60" s="27" t="s">
        <v>327</v>
      </c>
      <c r="B60" s="28"/>
      <c r="C60" s="27"/>
      <c r="D60" s="27" t="str">
        <f>"""NAV Direct"",""CRONUS JetCorp USA"",""21"",""1"",""375681"""</f>
        <v>"NAV Direct","CRONUS JetCorp USA","21","1","375681"</v>
      </c>
      <c r="E60" s="31" t="str">
        <f t="shared" si="1"/>
        <v>C100008</v>
      </c>
      <c r="F60" s="31"/>
      <c r="G60" s="31"/>
      <c r="H60" s="31"/>
      <c r="I60" s="56"/>
      <c r="J60" s="56"/>
      <c r="K60" s="82" t="str">
        <f t="shared" si="2"/>
        <v>Invoice</v>
      </c>
      <c r="L60" s="83" t="str">
        <f>"SI_111691"</f>
        <v>SI_111691</v>
      </c>
      <c r="M60" s="84">
        <v>43790</v>
      </c>
      <c r="N60" s="85">
        <f t="shared" si="3"/>
        <v>22</v>
      </c>
      <c r="O60" s="86">
        <f t="shared" si="4"/>
        <v>18853.09</v>
      </c>
      <c r="P60" s="86">
        <f t="shared" si="5"/>
        <v>0</v>
      </c>
      <c r="Q60" s="86">
        <f t="shared" si="6"/>
        <v>18853.09</v>
      </c>
      <c r="R60" s="86">
        <f t="shared" si="7"/>
        <v>0</v>
      </c>
      <c r="S60" s="86">
        <f t="shared" si="8"/>
        <v>0</v>
      </c>
      <c r="T60" s="86">
        <f t="shared" si="9"/>
        <v>0</v>
      </c>
      <c r="U60" s="87">
        <v>18853.09</v>
      </c>
    </row>
    <row r="61" spans="1:21" s="30" customFormat="1" ht="24.6" hidden="1" outlineLevel="1" x14ac:dyDescent="0.55000000000000004">
      <c r="A61" s="27" t="s">
        <v>327</v>
      </c>
      <c r="B61" s="28"/>
      <c r="C61" s="27"/>
      <c r="D61" s="27" t="str">
        <f>"""NAV Direct"",""CRONUS JetCorp USA"",""21"",""1"",""375873"""</f>
        <v>"NAV Direct","CRONUS JetCorp USA","21","1","375873"</v>
      </c>
      <c r="E61" s="31">
        <f t="shared" si="1"/>
        <v>0</v>
      </c>
      <c r="F61" s="31"/>
      <c r="G61" s="31"/>
      <c r="H61" s="31"/>
      <c r="I61" s="56"/>
      <c r="J61" s="56"/>
      <c r="K61" s="82" t="str">
        <f t="shared" si="2"/>
        <v>Invoice</v>
      </c>
      <c r="L61" s="83" t="str">
        <f>"SI_111695"</f>
        <v>SI_111695</v>
      </c>
      <c r="M61" s="84">
        <v>43821</v>
      </c>
      <c r="N61" s="85">
        <f t="shared" si="3"/>
        <v>-9</v>
      </c>
      <c r="O61" s="86">
        <f t="shared" si="4"/>
        <v>19760.87</v>
      </c>
      <c r="P61" s="86">
        <f t="shared" si="5"/>
        <v>19760.87</v>
      </c>
      <c r="Q61" s="86">
        <f t="shared" si="6"/>
        <v>0</v>
      </c>
      <c r="R61" s="86">
        <f t="shared" si="7"/>
        <v>0</v>
      </c>
      <c r="S61" s="86">
        <f t="shared" si="8"/>
        <v>0</v>
      </c>
      <c r="T61" s="86">
        <f t="shared" si="9"/>
        <v>0</v>
      </c>
      <c r="U61" s="87">
        <v>19760.87</v>
      </c>
    </row>
    <row r="62" spans="1:21" s="30" customFormat="1" ht="24.6" hidden="1" outlineLevel="1" x14ac:dyDescent="0.55000000000000004">
      <c r="A62" s="27" t="s">
        <v>327</v>
      </c>
      <c r="B62" s="28"/>
      <c r="C62" s="27"/>
      <c r="D62" s="27" t="str">
        <f>"""NAV Direct"",""CRONUS JetCorp USA"",""21"",""1"",""376058"""</f>
        <v>"NAV Direct","CRONUS JetCorp USA","21","1","376058"</v>
      </c>
      <c r="E62" s="31" t="str">
        <f t="shared" si="1"/>
        <v>C100008</v>
      </c>
      <c r="F62" s="31"/>
      <c r="G62" s="31"/>
      <c r="H62" s="31"/>
      <c r="I62" s="56"/>
      <c r="J62" s="56"/>
      <c r="K62" s="82" t="str">
        <f t="shared" si="2"/>
        <v>Invoice</v>
      </c>
      <c r="L62" s="83" t="str">
        <f>"SI_111700"</f>
        <v>SI_111700</v>
      </c>
      <c r="M62" s="84">
        <v>42040</v>
      </c>
      <c r="N62" s="85">
        <f t="shared" si="3"/>
        <v>1772</v>
      </c>
      <c r="O62" s="86">
        <f t="shared" si="4"/>
        <v>20562.780000000002</v>
      </c>
      <c r="P62" s="86">
        <f t="shared" si="5"/>
        <v>0</v>
      </c>
      <c r="Q62" s="86">
        <f t="shared" si="6"/>
        <v>0</v>
      </c>
      <c r="R62" s="86">
        <f t="shared" si="7"/>
        <v>0</v>
      </c>
      <c r="S62" s="86">
        <f t="shared" si="8"/>
        <v>0</v>
      </c>
      <c r="T62" s="86">
        <f t="shared" si="9"/>
        <v>20562.780000000002</v>
      </c>
      <c r="U62" s="87">
        <v>20562.780000000002</v>
      </c>
    </row>
    <row r="63" spans="1:21" s="30" customFormat="1" ht="24.6" hidden="1" outlineLevel="1" x14ac:dyDescent="0.55000000000000004">
      <c r="A63" s="27" t="s">
        <v>327</v>
      </c>
      <c r="B63" s="28"/>
      <c r="C63" s="27"/>
      <c r="D63" s="27" t="str">
        <f>"""NAV Direct"",""CRONUS JetCorp USA"",""21"",""1"",""376648"""</f>
        <v>"NAV Direct","CRONUS JetCorp USA","21","1","376648"</v>
      </c>
      <c r="E63" s="31">
        <f t="shared" si="1"/>
        <v>0</v>
      </c>
      <c r="F63" s="31"/>
      <c r="G63" s="31"/>
      <c r="H63" s="31"/>
      <c r="I63" s="56"/>
      <c r="J63" s="56"/>
      <c r="K63" s="82" t="str">
        <f t="shared" si="2"/>
        <v>Invoice</v>
      </c>
      <c r="L63" s="83" t="str">
        <f>"SI_111714"</f>
        <v>SI_111714</v>
      </c>
      <c r="M63" s="84">
        <v>42202</v>
      </c>
      <c r="N63" s="85">
        <f t="shared" si="3"/>
        <v>1610</v>
      </c>
      <c r="O63" s="86">
        <f t="shared" si="4"/>
        <v>26291.3</v>
      </c>
      <c r="P63" s="86">
        <f t="shared" si="5"/>
        <v>0</v>
      </c>
      <c r="Q63" s="86">
        <f t="shared" si="6"/>
        <v>0</v>
      </c>
      <c r="R63" s="86">
        <f t="shared" si="7"/>
        <v>0</v>
      </c>
      <c r="S63" s="86">
        <f t="shared" si="8"/>
        <v>0</v>
      </c>
      <c r="T63" s="86">
        <f t="shared" si="9"/>
        <v>26291.3</v>
      </c>
      <c r="U63" s="87">
        <v>26291.3</v>
      </c>
    </row>
    <row r="64" spans="1:21" s="30" customFormat="1" ht="24.6" hidden="1" outlineLevel="1" x14ac:dyDescent="0.55000000000000004">
      <c r="A64" s="27" t="s">
        <v>327</v>
      </c>
      <c r="B64" s="28"/>
      <c r="C64" s="27"/>
      <c r="D64" s="27" t="str">
        <f>"""NAV Direct"",""CRONUS JetCorp USA"",""21"",""1"",""377020"""</f>
        <v>"NAV Direct","CRONUS JetCorp USA","21","1","377020"</v>
      </c>
      <c r="E64" s="31" t="str">
        <f t="shared" si="1"/>
        <v>C100008</v>
      </c>
      <c r="F64" s="31"/>
      <c r="G64" s="31"/>
      <c r="H64" s="31"/>
      <c r="I64" s="56"/>
      <c r="J64" s="56"/>
      <c r="K64" s="82" t="str">
        <f t="shared" si="2"/>
        <v>Invoice</v>
      </c>
      <c r="L64" s="83" t="str">
        <f>"SI_111724"</f>
        <v>SI_111724</v>
      </c>
      <c r="M64" s="84">
        <v>42341</v>
      </c>
      <c r="N64" s="85">
        <f t="shared" si="3"/>
        <v>1471</v>
      </c>
      <c r="O64" s="86">
        <f t="shared" si="4"/>
        <v>19627.509999999998</v>
      </c>
      <c r="P64" s="86">
        <f t="shared" si="5"/>
        <v>0</v>
      </c>
      <c r="Q64" s="86">
        <f t="shared" si="6"/>
        <v>0</v>
      </c>
      <c r="R64" s="86">
        <f t="shared" si="7"/>
        <v>0</v>
      </c>
      <c r="S64" s="86">
        <f t="shared" si="8"/>
        <v>0</v>
      </c>
      <c r="T64" s="86">
        <f t="shared" si="9"/>
        <v>19627.509999999998</v>
      </c>
      <c r="U64" s="87">
        <v>19627.509999999998</v>
      </c>
    </row>
    <row r="65" spans="1:22" s="30" customFormat="1" ht="24.6" hidden="1" outlineLevel="1" x14ac:dyDescent="0.55000000000000004">
      <c r="A65" s="27" t="s">
        <v>327</v>
      </c>
      <c r="B65" s="28"/>
      <c r="C65" s="27"/>
      <c r="D65" s="27" t="str">
        <f>"""NAV Direct"",""CRONUS JetCorp USA"",""21"",""1"",""377215"""</f>
        <v>"NAV Direct","CRONUS JetCorp USA","21","1","377215"</v>
      </c>
      <c r="E65" s="31">
        <f t="shared" si="1"/>
        <v>0</v>
      </c>
      <c r="F65" s="31"/>
      <c r="G65" s="31"/>
      <c r="H65" s="31"/>
      <c r="I65" s="56"/>
      <c r="J65" s="56"/>
      <c r="K65" s="82" t="str">
        <f t="shared" si="2"/>
        <v>Invoice</v>
      </c>
      <c r="L65" s="83" t="str">
        <f>"SI_111729"</f>
        <v>SI_111729</v>
      </c>
      <c r="M65" s="84">
        <v>42755</v>
      </c>
      <c r="N65" s="85">
        <f t="shared" si="3"/>
        <v>1057</v>
      </c>
      <c r="O65" s="86">
        <f t="shared" si="4"/>
        <v>20883.5</v>
      </c>
      <c r="P65" s="86">
        <f t="shared" si="5"/>
        <v>0</v>
      </c>
      <c r="Q65" s="86">
        <f t="shared" si="6"/>
        <v>0</v>
      </c>
      <c r="R65" s="86">
        <f t="shared" si="7"/>
        <v>0</v>
      </c>
      <c r="S65" s="86">
        <f t="shared" si="8"/>
        <v>0</v>
      </c>
      <c r="T65" s="86">
        <f t="shared" si="9"/>
        <v>20883.5</v>
      </c>
      <c r="U65" s="87">
        <v>20883.5</v>
      </c>
    </row>
    <row r="66" spans="1:22" s="30" customFormat="1" ht="24.6" hidden="1" outlineLevel="1" x14ac:dyDescent="0.55000000000000004">
      <c r="A66" s="27" t="s">
        <v>327</v>
      </c>
      <c r="B66" s="28"/>
      <c r="C66" s="27"/>
      <c r="D66" s="27" t="str">
        <f>"""NAV Direct"",""CRONUS JetCorp USA"",""21"",""1"",""437321"""</f>
        <v>"NAV Direct","CRONUS JetCorp USA","21","1","437321"</v>
      </c>
      <c r="E66" s="31" t="str">
        <f t="shared" si="1"/>
        <v>C100008</v>
      </c>
      <c r="F66" s="31"/>
      <c r="G66" s="31"/>
      <c r="H66" s="31"/>
      <c r="I66" s="56"/>
      <c r="J66" s="56"/>
      <c r="K66" s="82" t="str">
        <f t="shared" ref="K66:K73" si="10">"Credit Memo"</f>
        <v>Credit Memo</v>
      </c>
      <c r="L66" s="83" t="str">
        <f>"SC_100739"</f>
        <v>SC_100739</v>
      </c>
      <c r="M66" s="84">
        <v>42541</v>
      </c>
      <c r="N66" s="85">
        <f t="shared" si="3"/>
        <v>1271</v>
      </c>
      <c r="O66" s="86">
        <f t="shared" si="4"/>
        <v>-163.13</v>
      </c>
      <c r="P66" s="86">
        <f t="shared" si="5"/>
        <v>0</v>
      </c>
      <c r="Q66" s="86">
        <f t="shared" si="6"/>
        <v>0</v>
      </c>
      <c r="R66" s="86">
        <f t="shared" si="7"/>
        <v>0</v>
      </c>
      <c r="S66" s="86">
        <f t="shared" si="8"/>
        <v>0</v>
      </c>
      <c r="T66" s="86">
        <f t="shared" si="9"/>
        <v>-163.13</v>
      </c>
      <c r="U66" s="87">
        <v>-163.13</v>
      </c>
    </row>
    <row r="67" spans="1:22" s="30" customFormat="1" ht="24.6" hidden="1" outlineLevel="1" x14ac:dyDescent="0.55000000000000004">
      <c r="A67" s="27" t="s">
        <v>327</v>
      </c>
      <c r="B67" s="28"/>
      <c r="C67" s="27"/>
      <c r="D67" s="27" t="str">
        <f>"""NAV Direct"",""CRONUS JetCorp USA"",""21"",""1"",""437532"""</f>
        <v>"NAV Direct","CRONUS JetCorp USA","21","1","437532"</v>
      </c>
      <c r="E67" s="31">
        <f t="shared" si="1"/>
        <v>0</v>
      </c>
      <c r="F67" s="31"/>
      <c r="G67" s="31"/>
      <c r="H67" s="31"/>
      <c r="I67" s="56"/>
      <c r="J67" s="56"/>
      <c r="K67" s="82" t="str">
        <f t="shared" si="10"/>
        <v>Credit Memo</v>
      </c>
      <c r="L67" s="83" t="str">
        <f>"SC_100752"</f>
        <v>SC_100752</v>
      </c>
      <c r="M67" s="84">
        <v>43296</v>
      </c>
      <c r="N67" s="85">
        <f t="shared" si="3"/>
        <v>516</v>
      </c>
      <c r="O67" s="86">
        <f t="shared" si="4"/>
        <v>-188.28</v>
      </c>
      <c r="P67" s="86">
        <f t="shared" si="5"/>
        <v>0</v>
      </c>
      <c r="Q67" s="86">
        <f t="shared" si="6"/>
        <v>0</v>
      </c>
      <c r="R67" s="86">
        <f t="shared" si="7"/>
        <v>0</v>
      </c>
      <c r="S67" s="86">
        <f t="shared" si="8"/>
        <v>0</v>
      </c>
      <c r="T67" s="86">
        <f t="shared" si="9"/>
        <v>-188.28</v>
      </c>
      <c r="U67" s="87">
        <v>-188.28</v>
      </c>
    </row>
    <row r="68" spans="1:22" s="30" customFormat="1" ht="24.6" hidden="1" outlineLevel="1" x14ac:dyDescent="0.55000000000000004">
      <c r="A68" s="27" t="s">
        <v>327</v>
      </c>
      <c r="B68" s="28"/>
      <c r="C68" s="27"/>
      <c r="D68" s="27" t="str">
        <f>"""NAV Direct"",""CRONUS JetCorp USA"",""21"",""1"",""437582"""</f>
        <v>"NAV Direct","CRONUS JetCorp USA","21","1","437582"</v>
      </c>
      <c r="E68" s="31" t="str">
        <f t="shared" si="1"/>
        <v>C100008</v>
      </c>
      <c r="F68" s="31"/>
      <c r="G68" s="31"/>
      <c r="H68" s="31"/>
      <c r="I68" s="56"/>
      <c r="J68" s="56"/>
      <c r="K68" s="82" t="str">
        <f t="shared" si="10"/>
        <v>Credit Memo</v>
      </c>
      <c r="L68" s="83" t="str">
        <f>"SC_100756"</f>
        <v>SC_100756</v>
      </c>
      <c r="M68" s="84">
        <v>43451</v>
      </c>
      <c r="N68" s="85">
        <f t="shared" si="3"/>
        <v>361</v>
      </c>
      <c r="O68" s="86">
        <f t="shared" si="4"/>
        <v>-138.77000000000001</v>
      </c>
      <c r="P68" s="86">
        <f t="shared" si="5"/>
        <v>0</v>
      </c>
      <c r="Q68" s="86">
        <f t="shared" si="6"/>
        <v>0</v>
      </c>
      <c r="R68" s="86">
        <f t="shared" si="7"/>
        <v>0</v>
      </c>
      <c r="S68" s="86">
        <f t="shared" si="8"/>
        <v>0</v>
      </c>
      <c r="T68" s="86">
        <f t="shared" si="9"/>
        <v>-138.77000000000001</v>
      </c>
      <c r="U68" s="87">
        <v>-138.77000000000001</v>
      </c>
    </row>
    <row r="69" spans="1:22" s="30" customFormat="1" ht="24.6" hidden="1" outlineLevel="1" x14ac:dyDescent="0.55000000000000004">
      <c r="A69" s="27" t="s">
        <v>327</v>
      </c>
      <c r="B69" s="28"/>
      <c r="C69" s="27"/>
      <c r="D69" s="27" t="str">
        <f>"""NAV Direct"",""CRONUS JetCorp USA"",""21"",""1"",""437627"""</f>
        <v>"NAV Direct","CRONUS JetCorp USA","21","1","437627"</v>
      </c>
      <c r="E69" s="31">
        <f t="shared" si="1"/>
        <v>0</v>
      </c>
      <c r="F69" s="31"/>
      <c r="G69" s="31"/>
      <c r="H69" s="31"/>
      <c r="I69" s="56"/>
      <c r="J69" s="56"/>
      <c r="K69" s="82" t="str">
        <f t="shared" si="10"/>
        <v>Credit Memo</v>
      </c>
      <c r="L69" s="83" t="str">
        <f>"SC_100759"</f>
        <v>SC_100759</v>
      </c>
      <c r="M69" s="84">
        <v>43562</v>
      </c>
      <c r="N69" s="85">
        <f t="shared" si="3"/>
        <v>250</v>
      </c>
      <c r="O69" s="86">
        <f t="shared" si="4"/>
        <v>-233.79000000000002</v>
      </c>
      <c r="P69" s="86">
        <f t="shared" si="5"/>
        <v>0</v>
      </c>
      <c r="Q69" s="86">
        <f t="shared" si="6"/>
        <v>0</v>
      </c>
      <c r="R69" s="86">
        <f t="shared" si="7"/>
        <v>0</v>
      </c>
      <c r="S69" s="86">
        <f t="shared" si="8"/>
        <v>0</v>
      </c>
      <c r="T69" s="86">
        <f t="shared" si="9"/>
        <v>-233.79000000000002</v>
      </c>
      <c r="U69" s="87">
        <v>-233.79000000000002</v>
      </c>
    </row>
    <row r="70" spans="1:22" s="30" customFormat="1" ht="24.6" hidden="1" outlineLevel="1" x14ac:dyDescent="0.55000000000000004">
      <c r="A70" s="27" t="s">
        <v>327</v>
      </c>
      <c r="B70" s="28"/>
      <c r="C70" s="27"/>
      <c r="D70" s="27" t="str">
        <f>"""NAV Direct"",""CRONUS JetCorp USA"",""21"",""1"",""437659"""</f>
        <v>"NAV Direct","CRONUS JetCorp USA","21","1","437659"</v>
      </c>
      <c r="E70" s="31" t="str">
        <f t="shared" si="1"/>
        <v>C100008</v>
      </c>
      <c r="F70" s="31"/>
      <c r="G70" s="31"/>
      <c r="H70" s="31"/>
      <c r="I70" s="56"/>
      <c r="J70" s="56"/>
      <c r="K70" s="82" t="str">
        <f t="shared" si="10"/>
        <v>Credit Memo</v>
      </c>
      <c r="L70" s="83" t="str">
        <f>"SC_100761"</f>
        <v>SC_100761</v>
      </c>
      <c r="M70" s="84">
        <v>43599</v>
      </c>
      <c r="N70" s="85">
        <f t="shared" si="3"/>
        <v>213</v>
      </c>
      <c r="O70" s="86">
        <f t="shared" si="4"/>
        <v>-243.11</v>
      </c>
      <c r="P70" s="86">
        <f t="shared" si="5"/>
        <v>0</v>
      </c>
      <c r="Q70" s="86">
        <f t="shared" si="6"/>
        <v>0</v>
      </c>
      <c r="R70" s="86">
        <f t="shared" si="7"/>
        <v>0</v>
      </c>
      <c r="S70" s="86">
        <f t="shared" si="8"/>
        <v>0</v>
      </c>
      <c r="T70" s="86">
        <f t="shared" si="9"/>
        <v>-243.11</v>
      </c>
      <c r="U70" s="87">
        <v>-243.11</v>
      </c>
    </row>
    <row r="71" spans="1:22" s="30" customFormat="1" ht="24.6" hidden="1" outlineLevel="1" x14ac:dyDescent="0.55000000000000004">
      <c r="A71" s="27" t="s">
        <v>327</v>
      </c>
      <c r="B71" s="28"/>
      <c r="C71" s="27"/>
      <c r="D71" s="27" t="str">
        <f>"""NAV Direct"",""CRONUS JetCorp USA"",""21"",""1"",""437786"""</f>
        <v>"NAV Direct","CRONUS JetCorp USA","21","1","437786"</v>
      </c>
      <c r="E71" s="31">
        <f t="shared" si="1"/>
        <v>0</v>
      </c>
      <c r="F71" s="31"/>
      <c r="G71" s="31"/>
      <c r="H71" s="31"/>
      <c r="I71" s="56"/>
      <c r="J71" s="56"/>
      <c r="K71" s="82" t="str">
        <f t="shared" si="10"/>
        <v>Credit Memo</v>
      </c>
      <c r="L71" s="83" t="str">
        <f>"SC_100770"</f>
        <v>SC_100770</v>
      </c>
      <c r="M71" s="84">
        <v>42134</v>
      </c>
      <c r="N71" s="85">
        <f t="shared" si="3"/>
        <v>1678</v>
      </c>
      <c r="O71" s="86">
        <f t="shared" si="4"/>
        <v>-243.82999999999998</v>
      </c>
      <c r="P71" s="86">
        <f t="shared" si="5"/>
        <v>0</v>
      </c>
      <c r="Q71" s="86">
        <f t="shared" si="6"/>
        <v>0</v>
      </c>
      <c r="R71" s="86">
        <f t="shared" si="7"/>
        <v>0</v>
      </c>
      <c r="S71" s="86">
        <f t="shared" si="8"/>
        <v>0</v>
      </c>
      <c r="T71" s="86">
        <f t="shared" si="9"/>
        <v>-243.82999999999998</v>
      </c>
      <c r="U71" s="87">
        <v>-243.82999999999998</v>
      </c>
    </row>
    <row r="72" spans="1:22" s="30" customFormat="1" ht="24.6" hidden="1" outlineLevel="1" x14ac:dyDescent="0.55000000000000004">
      <c r="A72" s="27" t="s">
        <v>327</v>
      </c>
      <c r="B72" s="28"/>
      <c r="C72" s="27"/>
      <c r="D72" s="27" t="str">
        <f>"""NAV Direct"",""CRONUS JetCorp USA"",""21"",""1"",""437797"""</f>
        <v>"NAV Direct","CRONUS JetCorp USA","21","1","437797"</v>
      </c>
      <c r="E72" s="31" t="str">
        <f t="shared" si="1"/>
        <v>C100008</v>
      </c>
      <c r="F72" s="31"/>
      <c r="G72" s="31"/>
      <c r="H72" s="31"/>
      <c r="I72" s="56"/>
      <c r="J72" s="56"/>
      <c r="K72" s="82" t="str">
        <f t="shared" si="10"/>
        <v>Credit Memo</v>
      </c>
      <c r="L72" s="83" t="str">
        <f>"SC_100771"</f>
        <v>SC_100771</v>
      </c>
      <c r="M72" s="84">
        <v>42144</v>
      </c>
      <c r="N72" s="85">
        <f t="shared" si="3"/>
        <v>1668</v>
      </c>
      <c r="O72" s="86">
        <f t="shared" si="4"/>
        <v>-246.52</v>
      </c>
      <c r="P72" s="86">
        <f t="shared" si="5"/>
        <v>0</v>
      </c>
      <c r="Q72" s="86">
        <f t="shared" si="6"/>
        <v>0</v>
      </c>
      <c r="R72" s="86">
        <f t="shared" si="7"/>
        <v>0</v>
      </c>
      <c r="S72" s="86">
        <f t="shared" si="8"/>
        <v>0</v>
      </c>
      <c r="T72" s="86">
        <f t="shared" si="9"/>
        <v>-246.52</v>
      </c>
      <c r="U72" s="87">
        <v>-246.52</v>
      </c>
    </row>
    <row r="73" spans="1:22" s="30" customFormat="1" ht="24.6" hidden="1" outlineLevel="1" x14ac:dyDescent="0.55000000000000004">
      <c r="A73" s="27" t="s">
        <v>327</v>
      </c>
      <c r="B73" s="28"/>
      <c r="C73" s="27"/>
      <c r="D73" s="27" t="str">
        <f>"""NAV Direct"",""CRONUS JetCorp USA"",""21"",""1"",""437846"""</f>
        <v>"NAV Direct","CRONUS JetCorp USA","21","1","437846"</v>
      </c>
      <c r="E73" s="31">
        <f t="shared" si="1"/>
        <v>0</v>
      </c>
      <c r="F73" s="31"/>
      <c r="G73" s="31"/>
      <c r="H73" s="31"/>
      <c r="I73" s="56"/>
      <c r="J73" s="56"/>
      <c r="K73" s="82" t="str">
        <f t="shared" si="10"/>
        <v>Credit Memo</v>
      </c>
      <c r="L73" s="83" t="str">
        <f>"SC_100774"</f>
        <v>SC_100774</v>
      </c>
      <c r="M73" s="84">
        <v>42227</v>
      </c>
      <c r="N73" s="85">
        <f t="shared" si="3"/>
        <v>1585</v>
      </c>
      <c r="O73" s="86">
        <f t="shared" si="4"/>
        <v>-177.93</v>
      </c>
      <c r="P73" s="86">
        <f t="shared" si="5"/>
        <v>0</v>
      </c>
      <c r="Q73" s="86">
        <f t="shared" si="6"/>
        <v>0</v>
      </c>
      <c r="R73" s="86">
        <f t="shared" si="7"/>
        <v>0</v>
      </c>
      <c r="S73" s="86">
        <f t="shared" si="8"/>
        <v>0</v>
      </c>
      <c r="T73" s="86">
        <f t="shared" si="9"/>
        <v>-177.93</v>
      </c>
      <c r="U73" s="87">
        <v>-177.93</v>
      </c>
    </row>
    <row r="74" spans="1:22" s="22" customFormat="1" ht="20.399999999999999" collapsed="1" x14ac:dyDescent="0.45">
      <c r="A74" s="12"/>
      <c r="B74" s="19"/>
      <c r="C74" s="12"/>
      <c r="D74" s="12"/>
      <c r="E74" s="23"/>
      <c r="F74" s="23"/>
      <c r="G74" s="23"/>
      <c r="H74" s="23"/>
      <c r="I74" s="49"/>
      <c r="J74" s="88"/>
      <c r="K74" s="88"/>
      <c r="L74" s="89"/>
      <c r="M74" s="89"/>
      <c r="N74" s="89"/>
      <c r="O74" s="89"/>
      <c r="P74" s="89"/>
      <c r="Q74" s="90"/>
      <c r="R74" s="90"/>
      <c r="S74" s="91"/>
      <c r="T74" s="92"/>
      <c r="U74" s="92"/>
    </row>
    <row r="75" spans="1:22" s="22" customFormat="1" ht="20.399999999999999" x14ac:dyDescent="0.45">
      <c r="A75" s="12"/>
      <c r="B75" s="19"/>
      <c r="C75" s="12"/>
      <c r="D75" s="12"/>
      <c r="E75" s="23"/>
      <c r="F75" s="23"/>
      <c r="G75" s="23"/>
      <c r="H75" s="23"/>
      <c r="I75" s="49"/>
      <c r="J75" s="88"/>
      <c r="K75" s="88"/>
      <c r="L75" s="89"/>
      <c r="M75" s="89"/>
      <c r="N75" s="89"/>
      <c r="O75" s="89"/>
      <c r="P75" s="89"/>
      <c r="Q75" s="90"/>
      <c r="R75" s="90"/>
      <c r="S75" s="91"/>
      <c r="T75" s="92"/>
      <c r="U75" s="92"/>
    </row>
    <row r="76" spans="1:22" s="26" customFormat="1" ht="24.6" x14ac:dyDescent="0.55000000000000004">
      <c r="A76" s="27" t="s">
        <v>327</v>
      </c>
      <c r="B76" s="28"/>
      <c r="C76" s="27" t="str">
        <f>"""NAV Direct"",""CRONUS JetCorp USA"",""18"",""1"",""C100012"""</f>
        <v>"NAV Direct","CRONUS JetCorp USA","18","1","C100012"</v>
      </c>
      <c r="D76" s="27"/>
      <c r="E76" s="28" t="str">
        <f>H76</f>
        <v>C100012</v>
      </c>
      <c r="F76" s="28"/>
      <c r="G76" s="28"/>
      <c r="H76" s="28" t="str">
        <f>"C100012"</f>
        <v>C100012</v>
      </c>
      <c r="I76" s="116" t="str">
        <f>"C100012  -  Bainbridges"</f>
        <v>C100012  -  Bainbridges</v>
      </c>
      <c r="J76" s="117" t="str">
        <f>""</f>
        <v/>
      </c>
      <c r="K76" s="118"/>
      <c r="L76" s="119">
        <f>SUBTOTAL(3,L77:L134)</f>
        <v>54</v>
      </c>
      <c r="M76" s="118"/>
      <c r="N76" s="118"/>
      <c r="O76" s="120">
        <f t="shared" ref="O76:T76" si="11">SUBTOTAL(9,O77:O134)</f>
        <v>702808.60000000021</v>
      </c>
      <c r="P76" s="120">
        <f t="shared" si="11"/>
        <v>0</v>
      </c>
      <c r="Q76" s="120">
        <f t="shared" si="11"/>
        <v>28729.06</v>
      </c>
      <c r="R76" s="120">
        <f t="shared" si="11"/>
        <v>12671</v>
      </c>
      <c r="S76" s="120">
        <f t="shared" si="11"/>
        <v>-144.12</v>
      </c>
      <c r="T76" s="120">
        <f t="shared" si="11"/>
        <v>661552.66000000015</v>
      </c>
      <c r="U76" s="81"/>
    </row>
    <row r="77" spans="1:22" s="26" customFormat="1" ht="24.6" x14ac:dyDescent="0.55000000000000004">
      <c r="A77" s="27" t="s">
        <v>327</v>
      </c>
      <c r="B77" s="28"/>
      <c r="C77" s="27" t="str">
        <f>C76</f>
        <v>"NAV Direct","CRONUS JetCorp USA","18","1","C100012"</v>
      </c>
      <c r="D77" s="27"/>
      <c r="E77" s="28" t="str">
        <f>E76</f>
        <v>C100012</v>
      </c>
      <c r="F77" s="28"/>
      <c r="G77" s="28"/>
      <c r="H77" s="28"/>
      <c r="I77" s="121" t="str">
        <f>"Contact: Susan Young"</f>
        <v>Contact: Susan Young</v>
      </c>
      <c r="J77" s="121"/>
      <c r="K77" s="122"/>
      <c r="L77" s="123"/>
      <c r="M77" s="123"/>
      <c r="N77" s="124"/>
      <c r="O77" s="124"/>
      <c r="P77" s="123"/>
      <c r="Q77" s="125"/>
      <c r="R77" s="126"/>
      <c r="S77" s="126"/>
      <c r="T77" s="125"/>
      <c r="U77" s="81"/>
    </row>
    <row r="78" spans="1:22" s="26" customFormat="1" ht="24.6" x14ac:dyDescent="0.55000000000000004">
      <c r="A78" s="27" t="s">
        <v>327</v>
      </c>
      <c r="B78" s="28"/>
      <c r="C78" s="27" t="str">
        <f>C77</f>
        <v>"NAV Direct","CRONUS JetCorp USA","18","1","C100012"</v>
      </c>
      <c r="D78" s="27"/>
      <c r="E78" s="28" t="str">
        <f>E77</f>
        <v>C100012</v>
      </c>
      <c r="F78" s="28"/>
      <c r="G78" s="28"/>
      <c r="H78" s="28"/>
      <c r="I78" s="121" t="str">
        <f>"candoxy.canada.inc@cronuscorp.net"</f>
        <v>candoxy.canada.inc@cronuscorp.net</v>
      </c>
      <c r="J78" s="121"/>
      <c r="K78" s="122"/>
      <c r="L78" s="124"/>
      <c r="M78" s="124"/>
      <c r="N78" s="124"/>
      <c r="O78" s="124"/>
      <c r="P78" s="123"/>
      <c r="Q78" s="125"/>
      <c r="R78" s="126"/>
      <c r="S78" s="126"/>
      <c r="T78" s="125"/>
      <c r="U78" s="81"/>
    </row>
    <row r="79" spans="1:22" ht="12.75" hidden="1" customHeight="1" outlineLevel="1" x14ac:dyDescent="0.45">
      <c r="A79" s="12" t="s">
        <v>328</v>
      </c>
      <c r="B79" s="19"/>
      <c r="E79" s="19"/>
      <c r="F79" s="19"/>
      <c r="G79" s="19"/>
      <c r="H79" s="19"/>
      <c r="I79" s="61"/>
      <c r="J79" s="61"/>
      <c r="K79" s="61"/>
      <c r="L79" s="61"/>
      <c r="M79" s="61"/>
      <c r="N79" s="61"/>
      <c r="O79" s="61"/>
      <c r="P79" s="61"/>
      <c r="Q79" s="61"/>
      <c r="R79" s="61"/>
      <c r="S79" s="61"/>
      <c r="T79" s="61"/>
      <c r="U79" s="61"/>
      <c r="V79" s="21"/>
    </row>
    <row r="80" spans="1:22" s="30" customFormat="1" ht="24.6" hidden="1" outlineLevel="1" x14ac:dyDescent="0.55000000000000004">
      <c r="A80" s="27" t="s">
        <v>327</v>
      </c>
      <c r="B80" s="28"/>
      <c r="C80" s="27"/>
      <c r="D80" s="27" t="str">
        <f>"""NAV Direct"",""CRONUS JetCorp USA"",""21"",""1"",""85986"""</f>
        <v>"NAV Direct","CRONUS JetCorp USA","21","1","85986"</v>
      </c>
      <c r="E80" s="31" t="str">
        <f t="shared" ref="E80:E111" si="12">E78</f>
        <v>C100012</v>
      </c>
      <c r="F80" s="31"/>
      <c r="G80" s="31"/>
      <c r="H80" s="31"/>
      <c r="I80" s="56"/>
      <c r="J80" s="56"/>
      <c r="K80" s="82" t="str">
        <f t="shared" ref="K80:K125" si="13">"Invoice"</f>
        <v>Invoice</v>
      </c>
      <c r="L80" s="83" t="str">
        <f>"SI_106156"</f>
        <v>SI_106156</v>
      </c>
      <c r="M80" s="84">
        <v>42329</v>
      </c>
      <c r="N80" s="85">
        <f t="shared" ref="N80:N111" si="14">StartDate-$M80+1</f>
        <v>1483</v>
      </c>
      <c r="O80" s="86">
        <f t="shared" ref="O80:O111" si="15">SUM(P80:T80)</f>
        <v>15549.26</v>
      </c>
      <c r="P80" s="86">
        <f t="shared" ref="P80:P111" si="16">IF($M80&gt;=$P$18,U80,0)</f>
        <v>0</v>
      </c>
      <c r="Q80" s="86">
        <f t="shared" ref="Q80:Q111" si="17">IF(AND($M80&gt;=$Q$16,$M80&lt;=$Q$18),U80,0)</f>
        <v>0</v>
      </c>
      <c r="R80" s="86">
        <f t="shared" ref="R80:R111" si="18">IF(AND($M80&gt;=$R$16,$M80&lt;=$R$18),U80,0)</f>
        <v>0</v>
      </c>
      <c r="S80" s="86">
        <f t="shared" ref="S80:S111" si="19">IF(AND($M80&gt;=$S$16,$M80&lt;=$S$18),U80,0)</f>
        <v>0</v>
      </c>
      <c r="T80" s="86">
        <f t="shared" ref="T80:T111" si="20">IF($M80&lt;=$T$18,U80,0)</f>
        <v>15549.26</v>
      </c>
      <c r="U80" s="87">
        <v>15549.26</v>
      </c>
    </row>
    <row r="81" spans="1:21" s="30" customFormat="1" ht="24.6" hidden="1" outlineLevel="1" x14ac:dyDescent="0.55000000000000004">
      <c r="A81" s="27" t="s">
        <v>327</v>
      </c>
      <c r="B81" s="28"/>
      <c r="C81" s="27"/>
      <c r="D81" s="27" t="str">
        <f>"""NAV Direct"",""CRONUS JetCorp USA"",""21"",""1"",""360905"""</f>
        <v>"NAV Direct","CRONUS JetCorp USA","21","1","360905"</v>
      </c>
      <c r="E81" s="31">
        <f t="shared" si="12"/>
        <v>0</v>
      </c>
      <c r="F81" s="31"/>
      <c r="G81" s="31"/>
      <c r="H81" s="31"/>
      <c r="I81" s="56"/>
      <c r="J81" s="56"/>
      <c r="K81" s="82" t="str">
        <f t="shared" si="13"/>
        <v>Invoice</v>
      </c>
      <c r="L81" s="83" t="str">
        <f>"SI_111281"</f>
        <v>SI_111281</v>
      </c>
      <c r="M81" s="84">
        <v>42448</v>
      </c>
      <c r="N81" s="85">
        <f t="shared" si="14"/>
        <v>1364</v>
      </c>
      <c r="O81" s="86">
        <f t="shared" si="15"/>
        <v>7431.5999999999995</v>
      </c>
      <c r="P81" s="86">
        <f t="shared" si="16"/>
        <v>0</v>
      </c>
      <c r="Q81" s="86">
        <f t="shared" si="17"/>
        <v>0</v>
      </c>
      <c r="R81" s="86">
        <f t="shared" si="18"/>
        <v>0</v>
      </c>
      <c r="S81" s="86">
        <f t="shared" si="19"/>
        <v>0</v>
      </c>
      <c r="T81" s="86">
        <f t="shared" si="20"/>
        <v>7431.5999999999995</v>
      </c>
      <c r="U81" s="87">
        <v>7431.5999999999995</v>
      </c>
    </row>
    <row r="82" spans="1:21" s="30" customFormat="1" ht="24.6" hidden="1" outlineLevel="1" x14ac:dyDescent="0.55000000000000004">
      <c r="A82" s="27" t="s">
        <v>327</v>
      </c>
      <c r="B82" s="28"/>
      <c r="C82" s="27"/>
      <c r="D82" s="27" t="str">
        <f>"""NAV Direct"",""CRONUS JetCorp USA"",""21"",""1"",""361050"""</f>
        <v>"NAV Direct","CRONUS JetCorp USA","21","1","361050"</v>
      </c>
      <c r="E82" s="31" t="str">
        <f t="shared" si="12"/>
        <v>C100012</v>
      </c>
      <c r="F82" s="31"/>
      <c r="G82" s="31"/>
      <c r="H82" s="31"/>
      <c r="I82" s="56"/>
      <c r="J82" s="56"/>
      <c r="K82" s="82" t="str">
        <f t="shared" si="13"/>
        <v>Invoice</v>
      </c>
      <c r="L82" s="83" t="str">
        <f>"SI_111286"</f>
        <v>SI_111286</v>
      </c>
      <c r="M82" s="84">
        <v>42518</v>
      </c>
      <c r="N82" s="85">
        <f t="shared" si="14"/>
        <v>1294</v>
      </c>
      <c r="O82" s="86">
        <f t="shared" si="15"/>
        <v>8561.5</v>
      </c>
      <c r="P82" s="86">
        <f t="shared" si="16"/>
        <v>0</v>
      </c>
      <c r="Q82" s="86">
        <f t="shared" si="17"/>
        <v>0</v>
      </c>
      <c r="R82" s="86">
        <f t="shared" si="18"/>
        <v>0</v>
      </c>
      <c r="S82" s="86">
        <f t="shared" si="19"/>
        <v>0</v>
      </c>
      <c r="T82" s="86">
        <f t="shared" si="20"/>
        <v>8561.5</v>
      </c>
      <c r="U82" s="87">
        <v>8561.5</v>
      </c>
    </row>
    <row r="83" spans="1:21" s="30" customFormat="1" ht="24.6" hidden="1" outlineLevel="1" x14ac:dyDescent="0.55000000000000004">
      <c r="A83" s="27" t="s">
        <v>327</v>
      </c>
      <c r="B83" s="28"/>
      <c r="C83" s="27"/>
      <c r="D83" s="27" t="str">
        <f>"""NAV Direct"",""CRONUS JetCorp USA"",""21"",""1"",""361143"""</f>
        <v>"NAV Direct","CRONUS JetCorp USA","21","1","361143"</v>
      </c>
      <c r="E83" s="31">
        <f t="shared" si="12"/>
        <v>0</v>
      </c>
      <c r="F83" s="31"/>
      <c r="G83" s="31"/>
      <c r="H83" s="31"/>
      <c r="I83" s="56"/>
      <c r="J83" s="56"/>
      <c r="K83" s="82" t="str">
        <f t="shared" si="13"/>
        <v>Invoice</v>
      </c>
      <c r="L83" s="83" t="str">
        <f>"SI_111289"</f>
        <v>SI_111289</v>
      </c>
      <c r="M83" s="84">
        <v>42553</v>
      </c>
      <c r="N83" s="85">
        <f t="shared" si="14"/>
        <v>1259</v>
      </c>
      <c r="O83" s="86">
        <f t="shared" si="15"/>
        <v>9452.56</v>
      </c>
      <c r="P83" s="86">
        <f t="shared" si="16"/>
        <v>0</v>
      </c>
      <c r="Q83" s="86">
        <f t="shared" si="17"/>
        <v>0</v>
      </c>
      <c r="R83" s="86">
        <f t="shared" si="18"/>
        <v>0</v>
      </c>
      <c r="S83" s="86">
        <f t="shared" si="19"/>
        <v>0</v>
      </c>
      <c r="T83" s="86">
        <f t="shared" si="20"/>
        <v>9452.56</v>
      </c>
      <c r="U83" s="87">
        <v>9452.56</v>
      </c>
    </row>
    <row r="84" spans="1:21" s="30" customFormat="1" ht="24.6" hidden="1" outlineLevel="1" x14ac:dyDescent="0.55000000000000004">
      <c r="A84" s="27" t="s">
        <v>327</v>
      </c>
      <c r="B84" s="28"/>
      <c r="C84" s="27"/>
      <c r="D84" s="27" t="str">
        <f>"""NAV Direct"",""CRONUS JetCorp USA"",""21"",""1"",""361437"""</f>
        <v>"NAV Direct","CRONUS JetCorp USA","21","1","361437"</v>
      </c>
      <c r="E84" s="31" t="str">
        <f t="shared" si="12"/>
        <v>C100012</v>
      </c>
      <c r="F84" s="31"/>
      <c r="G84" s="31"/>
      <c r="H84" s="31"/>
      <c r="I84" s="56"/>
      <c r="J84" s="56"/>
      <c r="K84" s="82" t="str">
        <f t="shared" si="13"/>
        <v>Invoice</v>
      </c>
      <c r="L84" s="83" t="str">
        <f>"SI_111299"</f>
        <v>SI_111299</v>
      </c>
      <c r="M84" s="84">
        <v>42630</v>
      </c>
      <c r="N84" s="85">
        <f t="shared" si="14"/>
        <v>1182</v>
      </c>
      <c r="O84" s="86">
        <f t="shared" si="15"/>
        <v>9622.18</v>
      </c>
      <c r="P84" s="86">
        <f t="shared" si="16"/>
        <v>0</v>
      </c>
      <c r="Q84" s="86">
        <f t="shared" si="17"/>
        <v>0</v>
      </c>
      <c r="R84" s="86">
        <f t="shared" si="18"/>
        <v>0</v>
      </c>
      <c r="S84" s="86">
        <f t="shared" si="19"/>
        <v>0</v>
      </c>
      <c r="T84" s="86">
        <f t="shared" si="20"/>
        <v>9622.18</v>
      </c>
      <c r="U84" s="87">
        <v>9622.18</v>
      </c>
    </row>
    <row r="85" spans="1:21" s="30" customFormat="1" ht="24.6" hidden="1" outlineLevel="1" x14ac:dyDescent="0.55000000000000004">
      <c r="A85" s="27" t="s">
        <v>327</v>
      </c>
      <c r="B85" s="28"/>
      <c r="C85" s="27"/>
      <c r="D85" s="27" t="str">
        <f>"""NAV Direct"",""CRONUS JetCorp USA"",""21"",""1"",""361464"""</f>
        <v>"NAV Direct","CRONUS JetCorp USA","21","1","361464"</v>
      </c>
      <c r="E85" s="31">
        <f t="shared" si="12"/>
        <v>0</v>
      </c>
      <c r="F85" s="31"/>
      <c r="G85" s="31"/>
      <c r="H85" s="31"/>
      <c r="I85" s="56"/>
      <c r="J85" s="56"/>
      <c r="K85" s="82" t="str">
        <f t="shared" si="13"/>
        <v>Invoice</v>
      </c>
      <c r="L85" s="83" t="str">
        <f>"SI_111300"</f>
        <v>SI_111300</v>
      </c>
      <c r="M85" s="84">
        <v>42628</v>
      </c>
      <c r="N85" s="85">
        <f t="shared" si="14"/>
        <v>1184</v>
      </c>
      <c r="O85" s="86">
        <f t="shared" si="15"/>
        <v>9622.65</v>
      </c>
      <c r="P85" s="86">
        <f t="shared" si="16"/>
        <v>0</v>
      </c>
      <c r="Q85" s="86">
        <f t="shared" si="17"/>
        <v>0</v>
      </c>
      <c r="R85" s="86">
        <f t="shared" si="18"/>
        <v>0</v>
      </c>
      <c r="S85" s="86">
        <f t="shared" si="19"/>
        <v>0</v>
      </c>
      <c r="T85" s="86">
        <f t="shared" si="20"/>
        <v>9622.65</v>
      </c>
      <c r="U85" s="87">
        <v>9622.65</v>
      </c>
    </row>
    <row r="86" spans="1:21" s="30" customFormat="1" ht="24.6" hidden="1" outlineLevel="1" x14ac:dyDescent="0.55000000000000004">
      <c r="A86" s="27" t="s">
        <v>327</v>
      </c>
      <c r="B86" s="28"/>
      <c r="C86" s="27"/>
      <c r="D86" s="27" t="str">
        <f>"""NAV Direct"",""CRONUS JetCorp USA"",""21"",""1"",""361497"""</f>
        <v>"NAV Direct","CRONUS JetCorp USA","21","1","361497"</v>
      </c>
      <c r="E86" s="31" t="str">
        <f t="shared" si="12"/>
        <v>C100012</v>
      </c>
      <c r="F86" s="31"/>
      <c r="G86" s="31"/>
      <c r="H86" s="31"/>
      <c r="I86" s="56"/>
      <c r="J86" s="56"/>
      <c r="K86" s="82" t="str">
        <f t="shared" si="13"/>
        <v>Invoice</v>
      </c>
      <c r="L86" s="83" t="str">
        <f>"SI_111301"</f>
        <v>SI_111301</v>
      </c>
      <c r="M86" s="84">
        <v>42654</v>
      </c>
      <c r="N86" s="85">
        <f t="shared" si="14"/>
        <v>1158</v>
      </c>
      <c r="O86" s="86">
        <f t="shared" si="15"/>
        <v>9430.5500000000011</v>
      </c>
      <c r="P86" s="86">
        <f t="shared" si="16"/>
        <v>0</v>
      </c>
      <c r="Q86" s="86">
        <f t="shared" si="17"/>
        <v>0</v>
      </c>
      <c r="R86" s="86">
        <f t="shared" si="18"/>
        <v>0</v>
      </c>
      <c r="S86" s="86">
        <f t="shared" si="19"/>
        <v>0</v>
      </c>
      <c r="T86" s="86">
        <f t="shared" si="20"/>
        <v>9430.5500000000011</v>
      </c>
      <c r="U86" s="87">
        <v>9430.5500000000011</v>
      </c>
    </row>
    <row r="87" spans="1:21" s="30" customFormat="1" ht="24.6" hidden="1" outlineLevel="1" x14ac:dyDescent="0.55000000000000004">
      <c r="A87" s="27" t="s">
        <v>327</v>
      </c>
      <c r="B87" s="28"/>
      <c r="C87" s="27"/>
      <c r="D87" s="27" t="str">
        <f>"""NAV Direct"",""CRONUS JetCorp USA"",""21"",""1"",""362159"""</f>
        <v>"NAV Direct","CRONUS JetCorp USA","21","1","362159"</v>
      </c>
      <c r="E87" s="31">
        <f t="shared" si="12"/>
        <v>0</v>
      </c>
      <c r="F87" s="31"/>
      <c r="G87" s="31"/>
      <c r="H87" s="31"/>
      <c r="I87" s="56"/>
      <c r="J87" s="56"/>
      <c r="K87" s="82" t="str">
        <f t="shared" si="13"/>
        <v>Invoice</v>
      </c>
      <c r="L87" s="83" t="str">
        <f>"SI_111319"</f>
        <v>SI_111319</v>
      </c>
      <c r="M87" s="84">
        <v>42779</v>
      </c>
      <c r="N87" s="85">
        <f t="shared" si="14"/>
        <v>1033</v>
      </c>
      <c r="O87" s="86">
        <f t="shared" si="15"/>
        <v>12382.900000000001</v>
      </c>
      <c r="P87" s="86">
        <f t="shared" si="16"/>
        <v>0</v>
      </c>
      <c r="Q87" s="86">
        <f t="shared" si="17"/>
        <v>0</v>
      </c>
      <c r="R87" s="86">
        <f t="shared" si="18"/>
        <v>0</v>
      </c>
      <c r="S87" s="86">
        <f t="shared" si="19"/>
        <v>0</v>
      </c>
      <c r="T87" s="86">
        <f t="shared" si="20"/>
        <v>12382.900000000001</v>
      </c>
      <c r="U87" s="87">
        <v>12382.900000000001</v>
      </c>
    </row>
    <row r="88" spans="1:21" s="30" customFormat="1" ht="24.6" hidden="1" outlineLevel="1" x14ac:dyDescent="0.55000000000000004">
      <c r="A88" s="27" t="s">
        <v>327</v>
      </c>
      <c r="B88" s="28"/>
      <c r="C88" s="27"/>
      <c r="D88" s="27" t="str">
        <f>"""NAV Direct"",""CRONUS JetCorp USA"",""21"",""1"",""362264"""</f>
        <v>"NAV Direct","CRONUS JetCorp USA","21","1","362264"</v>
      </c>
      <c r="E88" s="31" t="str">
        <f t="shared" si="12"/>
        <v>C100012</v>
      </c>
      <c r="F88" s="31"/>
      <c r="G88" s="31"/>
      <c r="H88" s="31"/>
      <c r="I88" s="56"/>
      <c r="J88" s="56"/>
      <c r="K88" s="82" t="str">
        <f t="shared" si="13"/>
        <v>Invoice</v>
      </c>
      <c r="L88" s="83" t="str">
        <f>"SI_111322"</f>
        <v>SI_111322</v>
      </c>
      <c r="M88" s="84">
        <v>42810</v>
      </c>
      <c r="N88" s="85">
        <f t="shared" si="14"/>
        <v>1002</v>
      </c>
      <c r="O88" s="86">
        <f t="shared" si="15"/>
        <v>12185.15</v>
      </c>
      <c r="P88" s="86">
        <f t="shared" si="16"/>
        <v>0</v>
      </c>
      <c r="Q88" s="86">
        <f t="shared" si="17"/>
        <v>0</v>
      </c>
      <c r="R88" s="86">
        <f t="shared" si="18"/>
        <v>0</v>
      </c>
      <c r="S88" s="86">
        <f t="shared" si="19"/>
        <v>0</v>
      </c>
      <c r="T88" s="86">
        <f t="shared" si="20"/>
        <v>12185.15</v>
      </c>
      <c r="U88" s="87">
        <v>12185.15</v>
      </c>
    </row>
    <row r="89" spans="1:21" s="30" customFormat="1" ht="24.6" hidden="1" outlineLevel="1" x14ac:dyDescent="0.55000000000000004">
      <c r="A89" s="27" t="s">
        <v>327</v>
      </c>
      <c r="B89" s="28"/>
      <c r="C89" s="27"/>
      <c r="D89" s="27" t="str">
        <f>"""NAV Direct"",""CRONUS JetCorp USA"",""21"",""1"",""362328"""</f>
        <v>"NAV Direct","CRONUS JetCorp USA","21","1","362328"</v>
      </c>
      <c r="E89" s="31">
        <f t="shared" si="12"/>
        <v>0</v>
      </c>
      <c r="F89" s="31"/>
      <c r="G89" s="31"/>
      <c r="H89" s="31"/>
      <c r="I89" s="56"/>
      <c r="J89" s="56"/>
      <c r="K89" s="82" t="str">
        <f t="shared" si="13"/>
        <v>Invoice</v>
      </c>
      <c r="L89" s="83" t="str">
        <f>"SI_111324"</f>
        <v>SI_111324</v>
      </c>
      <c r="M89" s="84">
        <v>42841</v>
      </c>
      <c r="N89" s="85">
        <f t="shared" si="14"/>
        <v>971</v>
      </c>
      <c r="O89" s="86">
        <f t="shared" si="15"/>
        <v>11551.26</v>
      </c>
      <c r="P89" s="86">
        <f t="shared" si="16"/>
        <v>0</v>
      </c>
      <c r="Q89" s="86">
        <f t="shared" si="17"/>
        <v>0</v>
      </c>
      <c r="R89" s="86">
        <f t="shared" si="18"/>
        <v>0</v>
      </c>
      <c r="S89" s="86">
        <f t="shared" si="19"/>
        <v>0</v>
      </c>
      <c r="T89" s="86">
        <f t="shared" si="20"/>
        <v>11551.26</v>
      </c>
      <c r="U89" s="87">
        <v>11551.26</v>
      </c>
    </row>
    <row r="90" spans="1:21" s="30" customFormat="1" ht="24.6" hidden="1" outlineLevel="1" x14ac:dyDescent="0.55000000000000004">
      <c r="A90" s="27" t="s">
        <v>327</v>
      </c>
      <c r="B90" s="28"/>
      <c r="C90" s="27"/>
      <c r="D90" s="27" t="str">
        <f>"""NAV Direct"",""CRONUS JetCorp USA"",""21"",""1"",""362349"""</f>
        <v>"NAV Direct","CRONUS JetCorp USA","21","1","362349"</v>
      </c>
      <c r="E90" s="31" t="str">
        <f t="shared" si="12"/>
        <v>C100012</v>
      </c>
      <c r="F90" s="31"/>
      <c r="G90" s="31"/>
      <c r="H90" s="31"/>
      <c r="I90" s="56"/>
      <c r="J90" s="56"/>
      <c r="K90" s="82" t="str">
        <f t="shared" si="13"/>
        <v>Invoice</v>
      </c>
      <c r="L90" s="83" t="str">
        <f>"SI_111325"</f>
        <v>SI_111325</v>
      </c>
      <c r="M90" s="84">
        <v>42854</v>
      </c>
      <c r="N90" s="85">
        <f t="shared" si="14"/>
        <v>958</v>
      </c>
      <c r="O90" s="86">
        <f t="shared" si="15"/>
        <v>11551.54</v>
      </c>
      <c r="P90" s="86">
        <f t="shared" si="16"/>
        <v>0</v>
      </c>
      <c r="Q90" s="86">
        <f t="shared" si="17"/>
        <v>0</v>
      </c>
      <c r="R90" s="86">
        <f t="shared" si="18"/>
        <v>0</v>
      </c>
      <c r="S90" s="86">
        <f t="shared" si="19"/>
        <v>0</v>
      </c>
      <c r="T90" s="86">
        <f t="shared" si="20"/>
        <v>11551.54</v>
      </c>
      <c r="U90" s="87">
        <v>11551.54</v>
      </c>
    </row>
    <row r="91" spans="1:21" s="30" customFormat="1" ht="24.6" hidden="1" outlineLevel="1" x14ac:dyDescent="0.55000000000000004">
      <c r="A91" s="27" t="s">
        <v>327</v>
      </c>
      <c r="B91" s="28"/>
      <c r="C91" s="27"/>
      <c r="D91" s="27" t="str">
        <f>"""NAV Direct"",""CRONUS JetCorp USA"",""21"",""1"",""362780"""</f>
        <v>"NAV Direct","CRONUS JetCorp USA","21","1","362780"</v>
      </c>
      <c r="E91" s="31">
        <f t="shared" si="12"/>
        <v>0</v>
      </c>
      <c r="F91" s="31"/>
      <c r="G91" s="31"/>
      <c r="H91" s="31"/>
      <c r="I91" s="56"/>
      <c r="J91" s="56"/>
      <c r="K91" s="82" t="str">
        <f t="shared" si="13"/>
        <v>Invoice</v>
      </c>
      <c r="L91" s="83" t="str">
        <f>"SI_111338"</f>
        <v>SI_111338</v>
      </c>
      <c r="M91" s="84">
        <v>42959</v>
      </c>
      <c r="N91" s="85">
        <f t="shared" si="14"/>
        <v>853</v>
      </c>
      <c r="O91" s="86">
        <f t="shared" si="15"/>
        <v>14264.19</v>
      </c>
      <c r="P91" s="86">
        <f t="shared" si="16"/>
        <v>0</v>
      </c>
      <c r="Q91" s="86">
        <f t="shared" si="17"/>
        <v>0</v>
      </c>
      <c r="R91" s="86">
        <f t="shared" si="18"/>
        <v>0</v>
      </c>
      <c r="S91" s="86">
        <f t="shared" si="19"/>
        <v>0</v>
      </c>
      <c r="T91" s="86">
        <f t="shared" si="20"/>
        <v>14264.19</v>
      </c>
      <c r="U91" s="87">
        <v>14264.19</v>
      </c>
    </row>
    <row r="92" spans="1:21" s="30" customFormat="1" ht="24.6" hidden="1" outlineLevel="1" x14ac:dyDescent="0.55000000000000004">
      <c r="A92" s="27" t="s">
        <v>327</v>
      </c>
      <c r="B92" s="28"/>
      <c r="C92" s="27"/>
      <c r="D92" s="27" t="str">
        <f>"""NAV Direct"",""CRONUS JetCorp USA"",""21"",""1"",""362817"""</f>
        <v>"NAV Direct","CRONUS JetCorp USA","21","1","362817"</v>
      </c>
      <c r="E92" s="31" t="str">
        <f t="shared" si="12"/>
        <v>C100012</v>
      </c>
      <c r="F92" s="31"/>
      <c r="G92" s="31"/>
      <c r="H92" s="31"/>
      <c r="I92" s="56"/>
      <c r="J92" s="56"/>
      <c r="K92" s="82" t="str">
        <f t="shared" si="13"/>
        <v>Invoice</v>
      </c>
      <c r="L92" s="83" t="str">
        <f>"SI_111339"</f>
        <v>SI_111339</v>
      </c>
      <c r="M92" s="84">
        <v>42959</v>
      </c>
      <c r="N92" s="85">
        <f t="shared" si="14"/>
        <v>853</v>
      </c>
      <c r="O92" s="86">
        <f t="shared" si="15"/>
        <v>14264.869999999999</v>
      </c>
      <c r="P92" s="86">
        <f t="shared" si="16"/>
        <v>0</v>
      </c>
      <c r="Q92" s="86">
        <f t="shared" si="17"/>
        <v>0</v>
      </c>
      <c r="R92" s="86">
        <f t="shared" si="18"/>
        <v>0</v>
      </c>
      <c r="S92" s="86">
        <f t="shared" si="19"/>
        <v>0</v>
      </c>
      <c r="T92" s="86">
        <f t="shared" si="20"/>
        <v>14264.869999999999</v>
      </c>
      <c r="U92" s="87">
        <v>14264.869999999999</v>
      </c>
    </row>
    <row r="93" spans="1:21" s="30" customFormat="1" ht="24.6" hidden="1" outlineLevel="1" x14ac:dyDescent="0.55000000000000004">
      <c r="A93" s="27" t="s">
        <v>327</v>
      </c>
      <c r="B93" s="28"/>
      <c r="C93" s="27"/>
      <c r="D93" s="27" t="str">
        <f>"""NAV Direct"",""CRONUS JetCorp USA"",""21"",""1"",""362854"""</f>
        <v>"NAV Direct","CRONUS JetCorp USA","21","1","362854"</v>
      </c>
      <c r="E93" s="31">
        <f t="shared" si="12"/>
        <v>0</v>
      </c>
      <c r="F93" s="31"/>
      <c r="G93" s="31"/>
      <c r="H93" s="31"/>
      <c r="I93" s="56"/>
      <c r="J93" s="56"/>
      <c r="K93" s="82" t="str">
        <f t="shared" si="13"/>
        <v>Invoice</v>
      </c>
      <c r="L93" s="83" t="str">
        <f>"SI_111340"</f>
        <v>SI_111340</v>
      </c>
      <c r="M93" s="84">
        <v>42976</v>
      </c>
      <c r="N93" s="85">
        <f t="shared" si="14"/>
        <v>836</v>
      </c>
      <c r="O93" s="86">
        <f t="shared" si="15"/>
        <v>14264.539999999999</v>
      </c>
      <c r="P93" s="86">
        <f t="shared" si="16"/>
        <v>0</v>
      </c>
      <c r="Q93" s="86">
        <f t="shared" si="17"/>
        <v>0</v>
      </c>
      <c r="R93" s="86">
        <f t="shared" si="18"/>
        <v>0</v>
      </c>
      <c r="S93" s="86">
        <f t="shared" si="19"/>
        <v>0</v>
      </c>
      <c r="T93" s="86">
        <f t="shared" si="20"/>
        <v>14264.539999999999</v>
      </c>
      <c r="U93" s="87">
        <v>14264.539999999999</v>
      </c>
    </row>
    <row r="94" spans="1:21" s="30" customFormat="1" ht="24.6" hidden="1" outlineLevel="1" x14ac:dyDescent="0.55000000000000004">
      <c r="A94" s="27" t="s">
        <v>327</v>
      </c>
      <c r="B94" s="28"/>
      <c r="C94" s="27"/>
      <c r="D94" s="27" t="str">
        <f>"""NAV Direct"",""CRONUS JetCorp USA"",""21"",""1"",""363458"""</f>
        <v>"NAV Direct","CRONUS JetCorp USA","21","1","363458"</v>
      </c>
      <c r="E94" s="31" t="str">
        <f t="shared" si="12"/>
        <v>C100012</v>
      </c>
      <c r="F94" s="31"/>
      <c r="G94" s="31"/>
      <c r="H94" s="31"/>
      <c r="I94" s="56"/>
      <c r="J94" s="56"/>
      <c r="K94" s="82" t="str">
        <f t="shared" si="13"/>
        <v>Invoice</v>
      </c>
      <c r="L94" s="83" t="str">
        <f>"SI_111358"</f>
        <v>SI_111358</v>
      </c>
      <c r="M94" s="84">
        <v>43105</v>
      </c>
      <c r="N94" s="85">
        <f t="shared" si="14"/>
        <v>707</v>
      </c>
      <c r="O94" s="86">
        <f t="shared" si="15"/>
        <v>16399.899999999998</v>
      </c>
      <c r="P94" s="86">
        <f t="shared" si="16"/>
        <v>0</v>
      </c>
      <c r="Q94" s="86">
        <f t="shared" si="17"/>
        <v>0</v>
      </c>
      <c r="R94" s="86">
        <f t="shared" si="18"/>
        <v>0</v>
      </c>
      <c r="S94" s="86">
        <f t="shared" si="19"/>
        <v>0</v>
      </c>
      <c r="T94" s="86">
        <f t="shared" si="20"/>
        <v>16399.899999999998</v>
      </c>
      <c r="U94" s="87">
        <v>16399.899999999998</v>
      </c>
    </row>
    <row r="95" spans="1:21" s="30" customFormat="1" ht="24.6" hidden="1" outlineLevel="1" x14ac:dyDescent="0.55000000000000004">
      <c r="A95" s="27" t="s">
        <v>327</v>
      </c>
      <c r="B95" s="28"/>
      <c r="C95" s="27"/>
      <c r="D95" s="27" t="str">
        <f>"""NAV Direct"",""CRONUS JetCorp USA"",""21"",""1"",""363538"""</f>
        <v>"NAV Direct","CRONUS JetCorp USA","21","1","363538"</v>
      </c>
      <c r="E95" s="31">
        <f t="shared" si="12"/>
        <v>0</v>
      </c>
      <c r="F95" s="31"/>
      <c r="G95" s="31"/>
      <c r="H95" s="31"/>
      <c r="I95" s="56"/>
      <c r="J95" s="56"/>
      <c r="K95" s="82" t="str">
        <f t="shared" si="13"/>
        <v>Invoice</v>
      </c>
      <c r="L95" s="83" t="str">
        <f>"SI_111360"</f>
        <v>SI_111360</v>
      </c>
      <c r="M95" s="84">
        <v>43114</v>
      </c>
      <c r="N95" s="85">
        <f t="shared" si="14"/>
        <v>698</v>
      </c>
      <c r="O95" s="86">
        <f t="shared" si="15"/>
        <v>16400.150000000001</v>
      </c>
      <c r="P95" s="86">
        <f t="shared" si="16"/>
        <v>0</v>
      </c>
      <c r="Q95" s="86">
        <f t="shared" si="17"/>
        <v>0</v>
      </c>
      <c r="R95" s="86">
        <f t="shared" si="18"/>
        <v>0</v>
      </c>
      <c r="S95" s="86">
        <f t="shared" si="19"/>
        <v>0</v>
      </c>
      <c r="T95" s="86">
        <f t="shared" si="20"/>
        <v>16400.150000000001</v>
      </c>
      <c r="U95" s="87">
        <v>16400.150000000001</v>
      </c>
    </row>
    <row r="96" spans="1:21" s="30" customFormat="1" ht="24.6" hidden="1" outlineLevel="1" x14ac:dyDescent="0.55000000000000004">
      <c r="A96" s="27" t="s">
        <v>327</v>
      </c>
      <c r="B96" s="28"/>
      <c r="C96" s="27"/>
      <c r="D96" s="27" t="str">
        <f>"""NAV Direct"",""CRONUS JetCorp USA"",""21"",""1"",""363667"""</f>
        <v>"NAV Direct","CRONUS JetCorp USA","21","1","363667"</v>
      </c>
      <c r="E96" s="31" t="str">
        <f t="shared" si="12"/>
        <v>C100012</v>
      </c>
      <c r="F96" s="31"/>
      <c r="G96" s="31"/>
      <c r="H96" s="31"/>
      <c r="I96" s="56"/>
      <c r="J96" s="56"/>
      <c r="K96" s="82" t="str">
        <f t="shared" si="13"/>
        <v>Invoice</v>
      </c>
      <c r="L96" s="83" t="str">
        <f>"SI_111363"</f>
        <v>SI_111363</v>
      </c>
      <c r="M96" s="84">
        <v>43137</v>
      </c>
      <c r="N96" s="85">
        <f t="shared" si="14"/>
        <v>675</v>
      </c>
      <c r="O96" s="86">
        <f t="shared" si="15"/>
        <v>15285.14</v>
      </c>
      <c r="P96" s="86">
        <f t="shared" si="16"/>
        <v>0</v>
      </c>
      <c r="Q96" s="86">
        <f t="shared" si="17"/>
        <v>0</v>
      </c>
      <c r="R96" s="86">
        <f t="shared" si="18"/>
        <v>0</v>
      </c>
      <c r="S96" s="86">
        <f t="shared" si="19"/>
        <v>0</v>
      </c>
      <c r="T96" s="86">
        <f t="shared" si="20"/>
        <v>15285.14</v>
      </c>
      <c r="U96" s="87">
        <v>15285.14</v>
      </c>
    </row>
    <row r="97" spans="1:21" s="30" customFormat="1" ht="24.6" hidden="1" outlineLevel="1" x14ac:dyDescent="0.55000000000000004">
      <c r="A97" s="27" t="s">
        <v>327</v>
      </c>
      <c r="B97" s="28"/>
      <c r="C97" s="27"/>
      <c r="D97" s="27" t="str">
        <f>"""NAV Direct"",""CRONUS JetCorp USA"",""21"",""1"",""363913"""</f>
        <v>"NAV Direct","CRONUS JetCorp USA","21","1","363913"</v>
      </c>
      <c r="E97" s="31">
        <f t="shared" si="12"/>
        <v>0</v>
      </c>
      <c r="F97" s="31"/>
      <c r="G97" s="31"/>
      <c r="H97" s="31"/>
      <c r="I97" s="56"/>
      <c r="J97" s="56"/>
      <c r="K97" s="82" t="str">
        <f t="shared" si="13"/>
        <v>Invoice</v>
      </c>
      <c r="L97" s="83" t="str">
        <f>"SI_111369"</f>
        <v>SI_111369</v>
      </c>
      <c r="M97" s="84">
        <v>43172</v>
      </c>
      <c r="N97" s="85">
        <f t="shared" si="14"/>
        <v>640</v>
      </c>
      <c r="O97" s="86">
        <f t="shared" si="15"/>
        <v>15284.85</v>
      </c>
      <c r="P97" s="86">
        <f t="shared" si="16"/>
        <v>0</v>
      </c>
      <c r="Q97" s="86">
        <f t="shared" si="17"/>
        <v>0</v>
      </c>
      <c r="R97" s="86">
        <f t="shared" si="18"/>
        <v>0</v>
      </c>
      <c r="S97" s="86">
        <f t="shared" si="19"/>
        <v>0</v>
      </c>
      <c r="T97" s="86">
        <f t="shared" si="20"/>
        <v>15284.85</v>
      </c>
      <c r="U97" s="87">
        <v>15284.85</v>
      </c>
    </row>
    <row r="98" spans="1:21" s="30" customFormat="1" ht="24.6" hidden="1" outlineLevel="1" x14ac:dyDescent="0.55000000000000004">
      <c r="A98" s="27" t="s">
        <v>327</v>
      </c>
      <c r="B98" s="28"/>
      <c r="C98" s="27"/>
      <c r="D98" s="27" t="str">
        <f>"""NAV Direct"",""CRONUS JetCorp USA"",""21"",""1"",""364000"""</f>
        <v>"NAV Direct","CRONUS JetCorp USA","21","1","364000"</v>
      </c>
      <c r="E98" s="31" t="str">
        <f t="shared" si="12"/>
        <v>C100012</v>
      </c>
      <c r="F98" s="31"/>
      <c r="G98" s="31"/>
      <c r="H98" s="31"/>
      <c r="I98" s="56"/>
      <c r="J98" s="56"/>
      <c r="K98" s="82" t="str">
        <f t="shared" si="13"/>
        <v>Invoice</v>
      </c>
      <c r="L98" s="83" t="str">
        <f>"SI_111372"</f>
        <v>SI_111372</v>
      </c>
      <c r="M98" s="84">
        <v>43184</v>
      </c>
      <c r="N98" s="85">
        <f t="shared" si="14"/>
        <v>628</v>
      </c>
      <c r="O98" s="86">
        <f t="shared" si="15"/>
        <v>15284.84</v>
      </c>
      <c r="P98" s="86">
        <f t="shared" si="16"/>
        <v>0</v>
      </c>
      <c r="Q98" s="86">
        <f t="shared" si="17"/>
        <v>0</v>
      </c>
      <c r="R98" s="86">
        <f t="shared" si="18"/>
        <v>0</v>
      </c>
      <c r="S98" s="86">
        <f t="shared" si="19"/>
        <v>0</v>
      </c>
      <c r="T98" s="86">
        <f t="shared" si="20"/>
        <v>15284.84</v>
      </c>
      <c r="U98" s="87">
        <v>15284.84</v>
      </c>
    </row>
    <row r="99" spans="1:21" s="30" customFormat="1" ht="24.6" hidden="1" outlineLevel="1" x14ac:dyDescent="0.55000000000000004">
      <c r="A99" s="27" t="s">
        <v>327</v>
      </c>
      <c r="B99" s="28"/>
      <c r="C99" s="27"/>
      <c r="D99" s="27" t="str">
        <f>"""NAV Direct"",""CRONUS JetCorp USA"",""21"",""1"",""364115"""</f>
        <v>"NAV Direct","CRONUS JetCorp USA","21","1","364115"</v>
      </c>
      <c r="E99" s="31">
        <f t="shared" si="12"/>
        <v>0</v>
      </c>
      <c r="F99" s="31"/>
      <c r="G99" s="31"/>
      <c r="H99" s="31"/>
      <c r="I99" s="56"/>
      <c r="J99" s="56"/>
      <c r="K99" s="82" t="str">
        <f t="shared" si="13"/>
        <v>Invoice</v>
      </c>
      <c r="L99" s="83" t="str">
        <f>"SI_111375"</f>
        <v>SI_111375</v>
      </c>
      <c r="M99" s="84">
        <v>43198</v>
      </c>
      <c r="N99" s="85">
        <f t="shared" si="14"/>
        <v>614</v>
      </c>
      <c r="O99" s="86">
        <f t="shared" si="15"/>
        <v>14245.189999999999</v>
      </c>
      <c r="P99" s="86">
        <f t="shared" si="16"/>
        <v>0</v>
      </c>
      <c r="Q99" s="86">
        <f t="shared" si="17"/>
        <v>0</v>
      </c>
      <c r="R99" s="86">
        <f t="shared" si="18"/>
        <v>0</v>
      </c>
      <c r="S99" s="86">
        <f t="shared" si="19"/>
        <v>0</v>
      </c>
      <c r="T99" s="86">
        <f t="shared" si="20"/>
        <v>14245.189999999999</v>
      </c>
      <c r="U99" s="87">
        <v>14245.189999999999</v>
      </c>
    </row>
    <row r="100" spans="1:21" s="30" customFormat="1" ht="24.6" hidden="1" outlineLevel="1" x14ac:dyDescent="0.55000000000000004">
      <c r="A100" s="27" t="s">
        <v>327</v>
      </c>
      <c r="B100" s="28"/>
      <c r="C100" s="27"/>
      <c r="D100" s="27" t="str">
        <f>"""NAV Direct"",""CRONUS JetCorp USA"",""21"",""1"",""364269"""</f>
        <v>"NAV Direct","CRONUS JetCorp USA","21","1","364269"</v>
      </c>
      <c r="E100" s="31" t="str">
        <f t="shared" si="12"/>
        <v>C100012</v>
      </c>
      <c r="F100" s="31"/>
      <c r="G100" s="31"/>
      <c r="H100" s="31"/>
      <c r="I100" s="56"/>
      <c r="J100" s="56"/>
      <c r="K100" s="82" t="str">
        <f t="shared" si="13"/>
        <v>Invoice</v>
      </c>
      <c r="L100" s="83" t="str">
        <f>"SI_111379"</f>
        <v>SI_111379</v>
      </c>
      <c r="M100" s="84">
        <v>43239</v>
      </c>
      <c r="N100" s="85">
        <f t="shared" si="14"/>
        <v>573</v>
      </c>
      <c r="O100" s="86">
        <f t="shared" si="15"/>
        <v>15270.24</v>
      </c>
      <c r="P100" s="86">
        <f t="shared" si="16"/>
        <v>0</v>
      </c>
      <c r="Q100" s="86">
        <f t="shared" si="17"/>
        <v>0</v>
      </c>
      <c r="R100" s="86">
        <f t="shared" si="18"/>
        <v>0</v>
      </c>
      <c r="S100" s="86">
        <f t="shared" si="19"/>
        <v>0</v>
      </c>
      <c r="T100" s="86">
        <f t="shared" si="20"/>
        <v>15270.24</v>
      </c>
      <c r="U100" s="87">
        <v>15270.24</v>
      </c>
    </row>
    <row r="101" spans="1:21" s="30" customFormat="1" ht="24.6" hidden="1" outlineLevel="1" x14ac:dyDescent="0.55000000000000004">
      <c r="A101" s="27" t="s">
        <v>327</v>
      </c>
      <c r="B101" s="28"/>
      <c r="C101" s="27"/>
      <c r="D101" s="27" t="str">
        <f>"""NAV Direct"",""CRONUS JetCorp USA"",""21"",""1"",""364623"""</f>
        <v>"NAV Direct","CRONUS JetCorp USA","21","1","364623"</v>
      </c>
      <c r="E101" s="31">
        <f t="shared" si="12"/>
        <v>0</v>
      </c>
      <c r="F101" s="31"/>
      <c r="G101" s="31"/>
      <c r="H101" s="31"/>
      <c r="I101" s="56"/>
      <c r="J101" s="56"/>
      <c r="K101" s="82" t="str">
        <f t="shared" si="13"/>
        <v>Invoice</v>
      </c>
      <c r="L101" s="83" t="str">
        <f>"SI_111389"</f>
        <v>SI_111389</v>
      </c>
      <c r="M101" s="84">
        <v>43296</v>
      </c>
      <c r="N101" s="85">
        <f t="shared" si="14"/>
        <v>516</v>
      </c>
      <c r="O101" s="86">
        <f t="shared" si="15"/>
        <v>19984.93</v>
      </c>
      <c r="P101" s="86">
        <f t="shared" si="16"/>
        <v>0</v>
      </c>
      <c r="Q101" s="86">
        <f t="shared" si="17"/>
        <v>0</v>
      </c>
      <c r="R101" s="86">
        <f t="shared" si="18"/>
        <v>0</v>
      </c>
      <c r="S101" s="86">
        <f t="shared" si="19"/>
        <v>0</v>
      </c>
      <c r="T101" s="86">
        <f t="shared" si="20"/>
        <v>19984.93</v>
      </c>
      <c r="U101" s="87">
        <v>19984.93</v>
      </c>
    </row>
    <row r="102" spans="1:21" s="30" customFormat="1" ht="24.6" hidden="1" outlineLevel="1" x14ac:dyDescent="0.55000000000000004">
      <c r="A102" s="27" t="s">
        <v>327</v>
      </c>
      <c r="B102" s="28"/>
      <c r="C102" s="27"/>
      <c r="D102" s="27" t="str">
        <f>"""NAV Direct"",""CRONUS JetCorp USA"",""21"",""1"",""364734"""</f>
        <v>"NAV Direct","CRONUS JetCorp USA","21","1","364734"</v>
      </c>
      <c r="E102" s="31" t="str">
        <f t="shared" si="12"/>
        <v>C100012</v>
      </c>
      <c r="F102" s="31"/>
      <c r="G102" s="31"/>
      <c r="H102" s="31"/>
      <c r="I102" s="56"/>
      <c r="J102" s="56"/>
      <c r="K102" s="82" t="str">
        <f t="shared" si="13"/>
        <v>Invoice</v>
      </c>
      <c r="L102" s="83" t="str">
        <f>"SI_111392"</f>
        <v>SI_111392</v>
      </c>
      <c r="M102" s="84">
        <v>43296</v>
      </c>
      <c r="N102" s="85">
        <f t="shared" si="14"/>
        <v>516</v>
      </c>
      <c r="O102" s="86">
        <f t="shared" si="15"/>
        <v>19984.07</v>
      </c>
      <c r="P102" s="86">
        <f t="shared" si="16"/>
        <v>0</v>
      </c>
      <c r="Q102" s="86">
        <f t="shared" si="17"/>
        <v>0</v>
      </c>
      <c r="R102" s="86">
        <f t="shared" si="18"/>
        <v>0</v>
      </c>
      <c r="S102" s="86">
        <f t="shared" si="19"/>
        <v>0</v>
      </c>
      <c r="T102" s="86">
        <f t="shared" si="20"/>
        <v>19984.07</v>
      </c>
      <c r="U102" s="87">
        <v>19984.07</v>
      </c>
    </row>
    <row r="103" spans="1:21" s="30" customFormat="1" ht="24.6" hidden="1" outlineLevel="1" x14ac:dyDescent="0.55000000000000004">
      <c r="A103" s="27" t="s">
        <v>327</v>
      </c>
      <c r="B103" s="28"/>
      <c r="C103" s="27"/>
      <c r="D103" s="27" t="str">
        <f>"""NAV Direct"",""CRONUS JetCorp USA"",""21"",""1"",""364779"""</f>
        <v>"NAV Direct","CRONUS JetCorp USA","21","1","364779"</v>
      </c>
      <c r="E103" s="31">
        <f t="shared" si="12"/>
        <v>0</v>
      </c>
      <c r="F103" s="31"/>
      <c r="G103" s="31"/>
      <c r="H103" s="31"/>
      <c r="I103" s="56"/>
      <c r="J103" s="56"/>
      <c r="K103" s="82" t="str">
        <f t="shared" si="13"/>
        <v>Invoice</v>
      </c>
      <c r="L103" s="83" t="str">
        <f>"SI_111393"</f>
        <v>SI_111393</v>
      </c>
      <c r="M103" s="84">
        <v>43317</v>
      </c>
      <c r="N103" s="85">
        <f t="shared" si="14"/>
        <v>495</v>
      </c>
      <c r="O103" s="86">
        <f t="shared" si="15"/>
        <v>17985.91</v>
      </c>
      <c r="P103" s="86">
        <f t="shared" si="16"/>
        <v>0</v>
      </c>
      <c r="Q103" s="86">
        <f t="shared" si="17"/>
        <v>0</v>
      </c>
      <c r="R103" s="86">
        <f t="shared" si="18"/>
        <v>0</v>
      </c>
      <c r="S103" s="86">
        <f t="shared" si="19"/>
        <v>0</v>
      </c>
      <c r="T103" s="86">
        <f t="shared" si="20"/>
        <v>17985.91</v>
      </c>
      <c r="U103" s="87">
        <v>17985.91</v>
      </c>
    </row>
    <row r="104" spans="1:21" s="30" customFormat="1" ht="24.6" hidden="1" outlineLevel="1" x14ac:dyDescent="0.55000000000000004">
      <c r="A104" s="27" t="s">
        <v>327</v>
      </c>
      <c r="B104" s="28"/>
      <c r="C104" s="27"/>
      <c r="D104" s="27" t="str">
        <f>"""NAV Direct"",""CRONUS JetCorp USA"",""21"",""1"",""364865"""</f>
        <v>"NAV Direct","CRONUS JetCorp USA","21","1","364865"</v>
      </c>
      <c r="E104" s="31" t="str">
        <f t="shared" si="12"/>
        <v>C100012</v>
      </c>
      <c r="F104" s="31"/>
      <c r="G104" s="31"/>
      <c r="H104" s="31"/>
      <c r="I104" s="56"/>
      <c r="J104" s="56"/>
      <c r="K104" s="82" t="str">
        <f t="shared" si="13"/>
        <v>Invoice</v>
      </c>
      <c r="L104" s="83" t="str">
        <f>"SI_111395"</f>
        <v>SI_111395</v>
      </c>
      <c r="M104" s="84">
        <v>43328</v>
      </c>
      <c r="N104" s="85">
        <f t="shared" si="14"/>
        <v>484</v>
      </c>
      <c r="O104" s="86">
        <f t="shared" si="15"/>
        <v>17985.939999999999</v>
      </c>
      <c r="P104" s="86">
        <f t="shared" si="16"/>
        <v>0</v>
      </c>
      <c r="Q104" s="86">
        <f t="shared" si="17"/>
        <v>0</v>
      </c>
      <c r="R104" s="86">
        <f t="shared" si="18"/>
        <v>0</v>
      </c>
      <c r="S104" s="86">
        <f t="shared" si="19"/>
        <v>0</v>
      </c>
      <c r="T104" s="86">
        <f t="shared" si="20"/>
        <v>17985.939999999999</v>
      </c>
      <c r="U104" s="87">
        <v>17985.939999999999</v>
      </c>
    </row>
    <row r="105" spans="1:21" s="30" customFormat="1" ht="24.6" hidden="1" outlineLevel="1" x14ac:dyDescent="0.55000000000000004">
      <c r="A105" s="27" t="s">
        <v>327</v>
      </c>
      <c r="B105" s="28"/>
      <c r="C105" s="27"/>
      <c r="D105" s="27" t="str">
        <f>"""NAV Direct"",""CRONUS JetCorp USA"",""21"",""1"",""365378"""</f>
        <v>"NAV Direct","CRONUS JetCorp USA","21","1","365378"</v>
      </c>
      <c r="E105" s="31">
        <f t="shared" si="12"/>
        <v>0</v>
      </c>
      <c r="F105" s="31"/>
      <c r="G105" s="31"/>
      <c r="H105" s="31"/>
      <c r="I105" s="56"/>
      <c r="J105" s="56"/>
      <c r="K105" s="82" t="str">
        <f t="shared" si="13"/>
        <v>Invoice</v>
      </c>
      <c r="L105" s="83" t="str">
        <f>"SI_111410"</f>
        <v>SI_111410</v>
      </c>
      <c r="M105" s="84">
        <v>43414</v>
      </c>
      <c r="N105" s="85">
        <f t="shared" si="14"/>
        <v>398</v>
      </c>
      <c r="O105" s="86">
        <f t="shared" si="15"/>
        <v>17794.89</v>
      </c>
      <c r="P105" s="86">
        <f t="shared" si="16"/>
        <v>0</v>
      </c>
      <c r="Q105" s="86">
        <f t="shared" si="17"/>
        <v>0</v>
      </c>
      <c r="R105" s="86">
        <f t="shared" si="18"/>
        <v>0</v>
      </c>
      <c r="S105" s="86">
        <f t="shared" si="19"/>
        <v>0</v>
      </c>
      <c r="T105" s="86">
        <f t="shared" si="20"/>
        <v>17794.89</v>
      </c>
      <c r="U105" s="87">
        <v>17794.89</v>
      </c>
    </row>
    <row r="106" spans="1:21" s="30" customFormat="1" ht="24.6" hidden="1" outlineLevel="1" x14ac:dyDescent="0.55000000000000004">
      <c r="A106" s="27" t="s">
        <v>327</v>
      </c>
      <c r="B106" s="28"/>
      <c r="C106" s="27"/>
      <c r="D106" s="27" t="str">
        <f>"""NAV Direct"",""CRONUS JetCorp USA"",""21"",""1"",""365602"""</f>
        <v>"NAV Direct","CRONUS JetCorp USA","21","1","365602"</v>
      </c>
      <c r="E106" s="31" t="str">
        <f t="shared" si="12"/>
        <v>C100012</v>
      </c>
      <c r="F106" s="31"/>
      <c r="G106" s="31"/>
      <c r="H106" s="31"/>
      <c r="I106" s="56"/>
      <c r="J106" s="56"/>
      <c r="K106" s="82" t="str">
        <f t="shared" si="13"/>
        <v>Invoice</v>
      </c>
      <c r="L106" s="83" t="str">
        <f>"SI_111416"</f>
        <v>SI_111416</v>
      </c>
      <c r="M106" s="84">
        <v>43444</v>
      </c>
      <c r="N106" s="85">
        <f t="shared" si="14"/>
        <v>368</v>
      </c>
      <c r="O106" s="86">
        <f t="shared" si="15"/>
        <v>19146.760000000002</v>
      </c>
      <c r="P106" s="86">
        <f t="shared" si="16"/>
        <v>0</v>
      </c>
      <c r="Q106" s="86">
        <f t="shared" si="17"/>
        <v>0</v>
      </c>
      <c r="R106" s="86">
        <f t="shared" si="18"/>
        <v>0</v>
      </c>
      <c r="S106" s="86">
        <f t="shared" si="19"/>
        <v>0</v>
      </c>
      <c r="T106" s="86">
        <f t="shared" si="20"/>
        <v>19146.760000000002</v>
      </c>
      <c r="U106" s="87">
        <v>19146.760000000002</v>
      </c>
    </row>
    <row r="107" spans="1:21" s="30" customFormat="1" ht="24.6" hidden="1" outlineLevel="1" x14ac:dyDescent="0.55000000000000004">
      <c r="A107" s="27" t="s">
        <v>327</v>
      </c>
      <c r="B107" s="28"/>
      <c r="C107" s="27"/>
      <c r="D107" s="27" t="str">
        <f>"""NAV Direct"",""CRONUS JetCorp USA"",""21"",""1"",""366339"""</f>
        <v>"NAV Direct","CRONUS JetCorp USA","21","1","366339"</v>
      </c>
      <c r="E107" s="31">
        <f t="shared" si="12"/>
        <v>0</v>
      </c>
      <c r="F107" s="31"/>
      <c r="G107" s="31"/>
      <c r="H107" s="31"/>
      <c r="I107" s="56"/>
      <c r="J107" s="56"/>
      <c r="K107" s="82" t="str">
        <f t="shared" si="13"/>
        <v>Invoice</v>
      </c>
      <c r="L107" s="83" t="str">
        <f>"SI_111437"</f>
        <v>SI_111437</v>
      </c>
      <c r="M107" s="84">
        <v>43561</v>
      </c>
      <c r="N107" s="85">
        <f t="shared" si="14"/>
        <v>251</v>
      </c>
      <c r="O107" s="86">
        <f t="shared" si="15"/>
        <v>17158.09</v>
      </c>
      <c r="P107" s="86">
        <f t="shared" si="16"/>
        <v>0</v>
      </c>
      <c r="Q107" s="86">
        <f t="shared" si="17"/>
        <v>0</v>
      </c>
      <c r="R107" s="86">
        <f t="shared" si="18"/>
        <v>0</v>
      </c>
      <c r="S107" s="86">
        <f t="shared" si="19"/>
        <v>0</v>
      </c>
      <c r="T107" s="86">
        <f t="shared" si="20"/>
        <v>17158.09</v>
      </c>
      <c r="U107" s="87">
        <v>17158.09</v>
      </c>
    </row>
    <row r="108" spans="1:21" s="30" customFormat="1" ht="24.6" hidden="1" outlineLevel="1" x14ac:dyDescent="0.55000000000000004">
      <c r="A108" s="27" t="s">
        <v>327</v>
      </c>
      <c r="B108" s="28"/>
      <c r="C108" s="27"/>
      <c r="D108" s="27" t="str">
        <f>"""NAV Direct"",""CRONUS JetCorp USA"",""21"",""1"",""367272"""</f>
        <v>"NAV Direct","CRONUS JetCorp USA","21","1","367272"</v>
      </c>
      <c r="E108" s="31" t="str">
        <f t="shared" si="12"/>
        <v>C100012</v>
      </c>
      <c r="F108" s="31"/>
      <c r="G108" s="31"/>
      <c r="H108" s="31"/>
      <c r="I108" s="56"/>
      <c r="J108" s="56"/>
      <c r="K108" s="82" t="str">
        <f t="shared" si="13"/>
        <v>Invoice</v>
      </c>
      <c r="L108" s="83" t="str">
        <f>"SI_111460"</f>
        <v>SI_111460</v>
      </c>
      <c r="M108" s="84">
        <v>43655</v>
      </c>
      <c r="N108" s="85">
        <f t="shared" si="14"/>
        <v>157</v>
      </c>
      <c r="O108" s="86">
        <f t="shared" si="15"/>
        <v>23555.09</v>
      </c>
      <c r="P108" s="86">
        <f t="shared" si="16"/>
        <v>0</v>
      </c>
      <c r="Q108" s="86">
        <f t="shared" si="17"/>
        <v>0</v>
      </c>
      <c r="R108" s="86">
        <f t="shared" si="18"/>
        <v>0</v>
      </c>
      <c r="S108" s="86">
        <f t="shared" si="19"/>
        <v>0</v>
      </c>
      <c r="T108" s="86">
        <f t="shared" si="20"/>
        <v>23555.09</v>
      </c>
      <c r="U108" s="87">
        <v>23555.09</v>
      </c>
    </row>
    <row r="109" spans="1:21" s="30" customFormat="1" ht="24.6" hidden="1" outlineLevel="1" x14ac:dyDescent="0.55000000000000004">
      <c r="A109" s="27" t="s">
        <v>327</v>
      </c>
      <c r="B109" s="28"/>
      <c r="C109" s="27"/>
      <c r="D109" s="27" t="str">
        <f>"""NAV Direct"",""CRONUS JetCorp USA"",""21"",""1"",""367451"""</f>
        <v>"NAV Direct","CRONUS JetCorp USA","21","1","367451"</v>
      </c>
      <c r="E109" s="31">
        <f t="shared" si="12"/>
        <v>0</v>
      </c>
      <c r="F109" s="31"/>
      <c r="G109" s="31"/>
      <c r="H109" s="31"/>
      <c r="I109" s="56"/>
      <c r="J109" s="56"/>
      <c r="K109" s="82" t="str">
        <f t="shared" si="13"/>
        <v>Invoice</v>
      </c>
      <c r="L109" s="83" t="str">
        <f>"SI_111465"</f>
        <v>SI_111465</v>
      </c>
      <c r="M109" s="84">
        <v>43664</v>
      </c>
      <c r="N109" s="85">
        <f t="shared" si="14"/>
        <v>148</v>
      </c>
      <c r="O109" s="86">
        <f t="shared" si="15"/>
        <v>23555.87</v>
      </c>
      <c r="P109" s="86">
        <f t="shared" si="16"/>
        <v>0</v>
      </c>
      <c r="Q109" s="86">
        <f t="shared" si="17"/>
        <v>0</v>
      </c>
      <c r="R109" s="86">
        <f t="shared" si="18"/>
        <v>0</v>
      </c>
      <c r="S109" s="86">
        <f t="shared" si="19"/>
        <v>0</v>
      </c>
      <c r="T109" s="86">
        <f t="shared" si="20"/>
        <v>23555.87</v>
      </c>
      <c r="U109" s="87">
        <v>23555.87</v>
      </c>
    </row>
    <row r="110" spans="1:21" s="30" customFormat="1" ht="24.6" hidden="1" outlineLevel="1" x14ac:dyDescent="0.55000000000000004">
      <c r="A110" s="27" t="s">
        <v>327</v>
      </c>
      <c r="B110" s="28"/>
      <c r="C110" s="27"/>
      <c r="D110" s="27" t="str">
        <f>"""NAV Direct"",""CRONUS JetCorp USA"",""21"",""1"",""367591"""</f>
        <v>"NAV Direct","CRONUS JetCorp USA","21","1","367591"</v>
      </c>
      <c r="E110" s="31" t="str">
        <f t="shared" si="12"/>
        <v>C100012</v>
      </c>
      <c r="F110" s="31"/>
      <c r="G110" s="31"/>
      <c r="H110" s="31"/>
      <c r="I110" s="56"/>
      <c r="J110" s="56"/>
      <c r="K110" s="82" t="str">
        <f t="shared" si="13"/>
        <v>Invoice</v>
      </c>
      <c r="L110" s="83" t="str">
        <f>"SI_111469"</f>
        <v>SI_111469</v>
      </c>
      <c r="M110" s="84">
        <v>43691</v>
      </c>
      <c r="N110" s="85">
        <f t="shared" si="14"/>
        <v>121</v>
      </c>
      <c r="O110" s="86">
        <f t="shared" si="15"/>
        <v>15579.52</v>
      </c>
      <c r="P110" s="86">
        <f t="shared" si="16"/>
        <v>0</v>
      </c>
      <c r="Q110" s="86">
        <f t="shared" si="17"/>
        <v>0</v>
      </c>
      <c r="R110" s="86">
        <f t="shared" si="18"/>
        <v>0</v>
      </c>
      <c r="S110" s="86">
        <f t="shared" si="19"/>
        <v>0</v>
      </c>
      <c r="T110" s="86">
        <f t="shared" si="20"/>
        <v>15579.52</v>
      </c>
      <c r="U110" s="87">
        <v>15579.52</v>
      </c>
    </row>
    <row r="111" spans="1:21" s="30" customFormat="1" ht="24.6" hidden="1" outlineLevel="1" x14ac:dyDescent="0.55000000000000004">
      <c r="A111" s="27" t="s">
        <v>327</v>
      </c>
      <c r="B111" s="28"/>
      <c r="C111" s="27"/>
      <c r="D111" s="27" t="str">
        <f>"""NAV Direct"",""CRONUS JetCorp USA"",""21"",""1"",""367626"""</f>
        <v>"NAV Direct","CRONUS JetCorp USA","21","1","367626"</v>
      </c>
      <c r="E111" s="31">
        <f t="shared" si="12"/>
        <v>0</v>
      </c>
      <c r="F111" s="31"/>
      <c r="G111" s="31"/>
      <c r="H111" s="31"/>
      <c r="I111" s="56"/>
      <c r="J111" s="56"/>
      <c r="K111" s="82" t="str">
        <f t="shared" si="13"/>
        <v>Invoice</v>
      </c>
      <c r="L111" s="83" t="str">
        <f>"SI_111470"</f>
        <v>SI_111470</v>
      </c>
      <c r="M111" s="84">
        <v>43696</v>
      </c>
      <c r="N111" s="85">
        <f t="shared" si="14"/>
        <v>116</v>
      </c>
      <c r="O111" s="86">
        <f t="shared" si="15"/>
        <v>15580.010000000002</v>
      </c>
      <c r="P111" s="86">
        <f t="shared" si="16"/>
        <v>0</v>
      </c>
      <c r="Q111" s="86">
        <f t="shared" si="17"/>
        <v>0</v>
      </c>
      <c r="R111" s="86">
        <f t="shared" si="18"/>
        <v>0</v>
      </c>
      <c r="S111" s="86">
        <f t="shared" si="19"/>
        <v>0</v>
      </c>
      <c r="T111" s="86">
        <f t="shared" si="20"/>
        <v>15580.010000000002</v>
      </c>
      <c r="U111" s="87">
        <v>15580.010000000002</v>
      </c>
    </row>
    <row r="112" spans="1:21" s="30" customFormat="1" ht="24.6" hidden="1" outlineLevel="1" x14ac:dyDescent="0.55000000000000004">
      <c r="A112" s="27" t="s">
        <v>327</v>
      </c>
      <c r="B112" s="28"/>
      <c r="C112" s="27"/>
      <c r="D112" s="27" t="str">
        <f>"""NAV Direct"",""CRONUS JetCorp USA"",""21"",""1"",""367842"""</f>
        <v>"NAV Direct","CRONUS JetCorp USA","21","1","367842"</v>
      </c>
      <c r="E112" s="31" t="str">
        <f t="shared" ref="E112:E133" si="21">E110</f>
        <v>C100012</v>
      </c>
      <c r="F112" s="31"/>
      <c r="G112" s="31"/>
      <c r="H112" s="31"/>
      <c r="I112" s="56"/>
      <c r="J112" s="56"/>
      <c r="K112" s="82" t="str">
        <f t="shared" si="13"/>
        <v>Invoice</v>
      </c>
      <c r="L112" s="83" t="str">
        <f>"SI_111476"</f>
        <v>SI_111476</v>
      </c>
      <c r="M112" s="84">
        <v>43721</v>
      </c>
      <c r="N112" s="85">
        <f t="shared" ref="N112:N133" si="22">StartDate-$M112+1</f>
        <v>91</v>
      </c>
      <c r="O112" s="86">
        <f t="shared" ref="O112:O133" si="23">SUM(P112:T112)</f>
        <v>13771.85</v>
      </c>
      <c r="P112" s="86">
        <f t="shared" ref="P112:P133" si="24">IF($M112&gt;=$P$18,U112,0)</f>
        <v>0</v>
      </c>
      <c r="Q112" s="86">
        <f t="shared" ref="Q112:Q133" si="25">IF(AND($M112&gt;=$Q$16,$M112&lt;=$Q$18),U112,0)</f>
        <v>0</v>
      </c>
      <c r="R112" s="86">
        <f t="shared" ref="R112:R133" si="26">IF(AND($M112&gt;=$R$16,$M112&lt;=$R$18),U112,0)</f>
        <v>0</v>
      </c>
      <c r="S112" s="86">
        <f t="shared" ref="S112:S133" si="27">IF(AND($M112&gt;=$S$16,$M112&lt;=$S$18),U112,0)</f>
        <v>0</v>
      </c>
      <c r="T112" s="86">
        <f t="shared" ref="T112:T133" si="28">IF($M112&lt;=$T$18,U112,0)</f>
        <v>13771.85</v>
      </c>
      <c r="U112" s="87">
        <v>13771.85</v>
      </c>
    </row>
    <row r="113" spans="1:21" s="30" customFormat="1" ht="24.6" hidden="1" outlineLevel="1" x14ac:dyDescent="0.55000000000000004">
      <c r="A113" s="27" t="s">
        <v>327</v>
      </c>
      <c r="B113" s="28"/>
      <c r="C113" s="27"/>
      <c r="D113" s="27" t="str">
        <f>"""NAV Direct"",""CRONUS JetCorp USA"",""21"",""1"",""367986"""</f>
        <v>"NAV Direct","CRONUS JetCorp USA","21","1","367986"</v>
      </c>
      <c r="E113" s="31">
        <f t="shared" si="21"/>
        <v>0</v>
      </c>
      <c r="F113" s="31"/>
      <c r="G113" s="31"/>
      <c r="H113" s="31"/>
      <c r="I113" s="56"/>
      <c r="J113" s="56"/>
      <c r="K113" s="82" t="str">
        <f t="shared" si="13"/>
        <v>Invoice</v>
      </c>
      <c r="L113" s="83" t="str">
        <f>"SI_111480"</f>
        <v>SI_111480</v>
      </c>
      <c r="M113" s="84">
        <v>43752</v>
      </c>
      <c r="N113" s="85">
        <f t="shared" si="22"/>
        <v>60</v>
      </c>
      <c r="O113" s="86">
        <f t="shared" si="23"/>
        <v>12671</v>
      </c>
      <c r="P113" s="86">
        <f t="shared" si="24"/>
        <v>0</v>
      </c>
      <c r="Q113" s="86">
        <f t="shared" si="25"/>
        <v>0</v>
      </c>
      <c r="R113" s="86">
        <f t="shared" si="26"/>
        <v>12671</v>
      </c>
      <c r="S113" s="86">
        <f t="shared" si="27"/>
        <v>0</v>
      </c>
      <c r="T113" s="86">
        <f t="shared" si="28"/>
        <v>0</v>
      </c>
      <c r="U113" s="87">
        <v>12671</v>
      </c>
    </row>
    <row r="114" spans="1:21" s="30" customFormat="1" ht="24.6" hidden="1" outlineLevel="1" x14ac:dyDescent="0.55000000000000004">
      <c r="A114" s="27" t="s">
        <v>327</v>
      </c>
      <c r="B114" s="28"/>
      <c r="C114" s="27"/>
      <c r="D114" s="27" t="str">
        <f>"""NAV Direct"",""CRONUS JetCorp USA"",""21"",""1"",""368180"""</f>
        <v>"NAV Direct","CRONUS JetCorp USA","21","1","368180"</v>
      </c>
      <c r="E114" s="31" t="str">
        <f t="shared" si="21"/>
        <v>C100012</v>
      </c>
      <c r="F114" s="31"/>
      <c r="G114" s="31"/>
      <c r="H114" s="31"/>
      <c r="I114" s="56"/>
      <c r="J114" s="56"/>
      <c r="K114" s="82" t="str">
        <f t="shared" si="13"/>
        <v>Invoice</v>
      </c>
      <c r="L114" s="83" t="str">
        <f>"SI_111486"</f>
        <v>SI_111486</v>
      </c>
      <c r="M114" s="84">
        <v>43782</v>
      </c>
      <c r="N114" s="85">
        <f t="shared" si="22"/>
        <v>30</v>
      </c>
      <c r="O114" s="86">
        <f t="shared" si="23"/>
        <v>14444.06</v>
      </c>
      <c r="P114" s="86">
        <f t="shared" si="24"/>
        <v>0</v>
      </c>
      <c r="Q114" s="86">
        <f t="shared" si="25"/>
        <v>14444.06</v>
      </c>
      <c r="R114" s="86">
        <f t="shared" si="26"/>
        <v>0</v>
      </c>
      <c r="S114" s="86">
        <f t="shared" si="27"/>
        <v>0</v>
      </c>
      <c r="T114" s="86">
        <f t="shared" si="28"/>
        <v>0</v>
      </c>
      <c r="U114" s="87">
        <v>14444.06</v>
      </c>
    </row>
    <row r="115" spans="1:21" s="30" customFormat="1" ht="24.6" hidden="1" outlineLevel="1" x14ac:dyDescent="0.55000000000000004">
      <c r="A115" s="27" t="s">
        <v>327</v>
      </c>
      <c r="B115" s="28"/>
      <c r="C115" s="27"/>
      <c r="D115" s="27" t="str">
        <f>"""NAV Direct"",""CRONUS JetCorp USA"",""21"",""1"",""368238"""</f>
        <v>"NAV Direct","CRONUS JetCorp USA","21","1","368238"</v>
      </c>
      <c r="E115" s="31">
        <f t="shared" si="21"/>
        <v>0</v>
      </c>
      <c r="F115" s="31"/>
      <c r="G115" s="31"/>
      <c r="H115" s="31"/>
      <c r="I115" s="56"/>
      <c r="J115" s="56"/>
      <c r="K115" s="82" t="str">
        <f t="shared" si="13"/>
        <v>Invoice</v>
      </c>
      <c r="L115" s="83" t="str">
        <f>"SI_111488"</f>
        <v>SI_111488</v>
      </c>
      <c r="M115" s="84">
        <v>43788</v>
      </c>
      <c r="N115" s="85">
        <f t="shared" si="22"/>
        <v>24</v>
      </c>
      <c r="O115" s="86">
        <f t="shared" si="23"/>
        <v>14444.23</v>
      </c>
      <c r="P115" s="86">
        <f t="shared" si="24"/>
        <v>0</v>
      </c>
      <c r="Q115" s="86">
        <f t="shared" si="25"/>
        <v>14444.23</v>
      </c>
      <c r="R115" s="86">
        <f t="shared" si="26"/>
        <v>0</v>
      </c>
      <c r="S115" s="86">
        <f t="shared" si="27"/>
        <v>0</v>
      </c>
      <c r="T115" s="86">
        <f t="shared" si="28"/>
        <v>0</v>
      </c>
      <c r="U115" s="87">
        <v>14444.23</v>
      </c>
    </row>
    <row r="116" spans="1:21" s="30" customFormat="1" ht="24.6" hidden="1" outlineLevel="1" x14ac:dyDescent="0.55000000000000004">
      <c r="A116" s="27" t="s">
        <v>327</v>
      </c>
      <c r="B116" s="28"/>
      <c r="C116" s="27"/>
      <c r="D116" s="27" t="str">
        <f>"""NAV Direct"",""CRONUS JetCorp USA"",""21"",""1"",""368657"""</f>
        <v>"NAV Direct","CRONUS JetCorp USA","21","1","368657"</v>
      </c>
      <c r="E116" s="31" t="str">
        <f t="shared" si="21"/>
        <v>C100012</v>
      </c>
      <c r="F116" s="31"/>
      <c r="G116" s="31"/>
      <c r="H116" s="31"/>
      <c r="I116" s="56"/>
      <c r="J116" s="56"/>
      <c r="K116" s="82" t="str">
        <f t="shared" si="13"/>
        <v>Invoice</v>
      </c>
      <c r="L116" s="83" t="str">
        <f>"SI_111499"</f>
        <v>SI_111499</v>
      </c>
      <c r="M116" s="84">
        <v>42015</v>
      </c>
      <c r="N116" s="85">
        <f t="shared" si="22"/>
        <v>1797</v>
      </c>
      <c r="O116" s="86">
        <f t="shared" si="23"/>
        <v>17477.14</v>
      </c>
      <c r="P116" s="86">
        <f t="shared" si="24"/>
        <v>0</v>
      </c>
      <c r="Q116" s="86">
        <f t="shared" si="25"/>
        <v>0</v>
      </c>
      <c r="R116" s="86">
        <f t="shared" si="26"/>
        <v>0</v>
      </c>
      <c r="S116" s="86">
        <f t="shared" si="27"/>
        <v>0</v>
      </c>
      <c r="T116" s="86">
        <f t="shared" si="28"/>
        <v>17477.14</v>
      </c>
      <c r="U116" s="87">
        <v>17477.14</v>
      </c>
    </row>
    <row r="117" spans="1:21" s="30" customFormat="1" ht="24.6" hidden="1" outlineLevel="1" x14ac:dyDescent="0.55000000000000004">
      <c r="A117" s="27" t="s">
        <v>327</v>
      </c>
      <c r="B117" s="28"/>
      <c r="C117" s="27"/>
      <c r="D117" s="27" t="str">
        <f>"""NAV Direct"",""CRONUS JetCorp USA"",""21"",""1"",""368879"""</f>
        <v>"NAV Direct","CRONUS JetCorp USA","21","1","368879"</v>
      </c>
      <c r="E117" s="31">
        <f t="shared" si="21"/>
        <v>0</v>
      </c>
      <c r="F117" s="31"/>
      <c r="G117" s="31"/>
      <c r="H117" s="31"/>
      <c r="I117" s="56"/>
      <c r="J117" s="56"/>
      <c r="K117" s="82" t="str">
        <f t="shared" si="13"/>
        <v>Invoice</v>
      </c>
      <c r="L117" s="83" t="str">
        <f>"SI_111505"</f>
        <v>SI_111505</v>
      </c>
      <c r="M117" s="84">
        <v>42040</v>
      </c>
      <c r="N117" s="85">
        <f t="shared" si="22"/>
        <v>1772</v>
      </c>
      <c r="O117" s="86">
        <f t="shared" si="23"/>
        <v>16987.43</v>
      </c>
      <c r="P117" s="86">
        <f t="shared" si="24"/>
        <v>0</v>
      </c>
      <c r="Q117" s="86">
        <f t="shared" si="25"/>
        <v>0</v>
      </c>
      <c r="R117" s="86">
        <f t="shared" si="26"/>
        <v>0</v>
      </c>
      <c r="S117" s="86">
        <f t="shared" si="27"/>
        <v>0</v>
      </c>
      <c r="T117" s="86">
        <f t="shared" si="28"/>
        <v>16987.43</v>
      </c>
      <c r="U117" s="87">
        <v>16987.43</v>
      </c>
    </row>
    <row r="118" spans="1:21" s="30" customFormat="1" ht="24.6" hidden="1" outlineLevel="1" x14ac:dyDescent="0.55000000000000004">
      <c r="A118" s="27" t="s">
        <v>327</v>
      </c>
      <c r="B118" s="28"/>
      <c r="C118" s="27"/>
      <c r="D118" s="27" t="str">
        <f>"""NAV Direct"",""CRONUS JetCorp USA"",""21"",""1"",""369254"""</f>
        <v>"NAV Direct","CRONUS JetCorp USA","21","1","369254"</v>
      </c>
      <c r="E118" s="31" t="str">
        <f t="shared" si="21"/>
        <v>C100012</v>
      </c>
      <c r="F118" s="31"/>
      <c r="G118" s="31"/>
      <c r="H118" s="31"/>
      <c r="I118" s="56"/>
      <c r="J118" s="56"/>
      <c r="K118" s="82" t="str">
        <f t="shared" si="13"/>
        <v>Invoice</v>
      </c>
      <c r="L118" s="83" t="str">
        <f>"SI_111516"</f>
        <v>SI_111516</v>
      </c>
      <c r="M118" s="84">
        <v>42111</v>
      </c>
      <c r="N118" s="85">
        <f t="shared" si="22"/>
        <v>1701</v>
      </c>
      <c r="O118" s="86">
        <f t="shared" si="23"/>
        <v>15449.11</v>
      </c>
      <c r="P118" s="86">
        <f t="shared" si="24"/>
        <v>0</v>
      </c>
      <c r="Q118" s="86">
        <f t="shared" si="25"/>
        <v>0</v>
      </c>
      <c r="R118" s="86">
        <f t="shared" si="26"/>
        <v>0</v>
      </c>
      <c r="S118" s="86">
        <f t="shared" si="27"/>
        <v>0</v>
      </c>
      <c r="T118" s="86">
        <f t="shared" si="28"/>
        <v>15449.11</v>
      </c>
      <c r="U118" s="87">
        <v>15449.11</v>
      </c>
    </row>
    <row r="119" spans="1:21" s="30" customFormat="1" ht="24.6" hidden="1" outlineLevel="1" x14ac:dyDescent="0.55000000000000004">
      <c r="A119" s="27" t="s">
        <v>327</v>
      </c>
      <c r="B119" s="28"/>
      <c r="C119" s="27"/>
      <c r="D119" s="27" t="str">
        <f>"""NAV Direct"",""CRONUS JetCorp USA"",""21"",""1"",""369511"""</f>
        <v>"NAV Direct","CRONUS JetCorp USA","21","1","369511"</v>
      </c>
      <c r="E119" s="31">
        <f t="shared" si="21"/>
        <v>0</v>
      </c>
      <c r="F119" s="31"/>
      <c r="G119" s="31"/>
      <c r="H119" s="31"/>
      <c r="I119" s="56"/>
      <c r="J119" s="56"/>
      <c r="K119" s="82" t="str">
        <f t="shared" si="13"/>
        <v>Invoice</v>
      </c>
      <c r="L119" s="83" t="str">
        <f>"SI_111523"</f>
        <v>SI_111523</v>
      </c>
      <c r="M119" s="84">
        <v>42140</v>
      </c>
      <c r="N119" s="85">
        <f t="shared" si="22"/>
        <v>1672</v>
      </c>
      <c r="O119" s="86">
        <f t="shared" si="23"/>
        <v>16561.54</v>
      </c>
      <c r="P119" s="86">
        <f t="shared" si="24"/>
        <v>0</v>
      </c>
      <c r="Q119" s="86">
        <f t="shared" si="25"/>
        <v>0</v>
      </c>
      <c r="R119" s="86">
        <f t="shared" si="26"/>
        <v>0</v>
      </c>
      <c r="S119" s="86">
        <f t="shared" si="27"/>
        <v>0</v>
      </c>
      <c r="T119" s="86">
        <f t="shared" si="28"/>
        <v>16561.54</v>
      </c>
      <c r="U119" s="87">
        <v>16561.54</v>
      </c>
    </row>
    <row r="120" spans="1:21" s="30" customFormat="1" ht="24.6" hidden="1" outlineLevel="1" x14ac:dyDescent="0.55000000000000004">
      <c r="A120" s="27" t="s">
        <v>327</v>
      </c>
      <c r="B120" s="28"/>
      <c r="C120" s="27"/>
      <c r="D120" s="27" t="str">
        <f>"""NAV Direct"",""CRONUS JetCorp USA"",""21"",""1"",""369894"""</f>
        <v>"NAV Direct","CRONUS JetCorp USA","21","1","369894"</v>
      </c>
      <c r="E120" s="31" t="str">
        <f t="shared" si="21"/>
        <v>C100012</v>
      </c>
      <c r="F120" s="31"/>
      <c r="G120" s="31"/>
      <c r="H120" s="31"/>
      <c r="I120" s="56"/>
      <c r="J120" s="56"/>
      <c r="K120" s="82" t="str">
        <f t="shared" si="13"/>
        <v>Invoice</v>
      </c>
      <c r="L120" s="83" t="str">
        <f>"SI_111534"</f>
        <v>SI_111534</v>
      </c>
      <c r="M120" s="84">
        <v>42197</v>
      </c>
      <c r="N120" s="85">
        <f t="shared" si="22"/>
        <v>1615</v>
      </c>
      <c r="O120" s="86">
        <f t="shared" si="23"/>
        <v>21209.05</v>
      </c>
      <c r="P120" s="86">
        <f t="shared" si="24"/>
        <v>0</v>
      </c>
      <c r="Q120" s="86">
        <f t="shared" si="25"/>
        <v>0</v>
      </c>
      <c r="R120" s="86">
        <f t="shared" si="26"/>
        <v>0</v>
      </c>
      <c r="S120" s="86">
        <f t="shared" si="27"/>
        <v>0</v>
      </c>
      <c r="T120" s="86">
        <f t="shared" si="28"/>
        <v>21209.05</v>
      </c>
      <c r="U120" s="87">
        <v>21209.05</v>
      </c>
    </row>
    <row r="121" spans="1:21" s="30" customFormat="1" ht="24.6" hidden="1" outlineLevel="1" x14ac:dyDescent="0.55000000000000004">
      <c r="A121" s="27" t="s">
        <v>327</v>
      </c>
      <c r="B121" s="28"/>
      <c r="C121" s="27"/>
      <c r="D121" s="27" t="str">
        <f>"""NAV Direct"",""CRONUS JetCorp USA"",""21"",""1"",""369958"""</f>
        <v>"NAV Direct","CRONUS JetCorp USA","21","1","369958"</v>
      </c>
      <c r="E121" s="31">
        <f t="shared" si="21"/>
        <v>0</v>
      </c>
      <c r="F121" s="31"/>
      <c r="G121" s="31"/>
      <c r="H121" s="31"/>
      <c r="I121" s="56"/>
      <c r="J121" s="56"/>
      <c r="K121" s="82" t="str">
        <f t="shared" si="13"/>
        <v>Invoice</v>
      </c>
      <c r="L121" s="83" t="str">
        <f>"SI_111536"</f>
        <v>SI_111536</v>
      </c>
      <c r="M121" s="84">
        <v>42205</v>
      </c>
      <c r="N121" s="85">
        <f t="shared" si="22"/>
        <v>1607</v>
      </c>
      <c r="O121" s="86">
        <f t="shared" si="23"/>
        <v>21209.52</v>
      </c>
      <c r="P121" s="86">
        <f t="shared" si="24"/>
        <v>0</v>
      </c>
      <c r="Q121" s="86">
        <f t="shared" si="25"/>
        <v>0</v>
      </c>
      <c r="R121" s="86">
        <f t="shared" si="26"/>
        <v>0</v>
      </c>
      <c r="S121" s="86">
        <f t="shared" si="27"/>
        <v>0</v>
      </c>
      <c r="T121" s="86">
        <f t="shared" si="28"/>
        <v>21209.52</v>
      </c>
      <c r="U121" s="87">
        <v>21209.52</v>
      </c>
    </row>
    <row r="122" spans="1:21" s="30" customFormat="1" ht="24.6" hidden="1" outlineLevel="1" x14ac:dyDescent="0.55000000000000004">
      <c r="A122" s="27" t="s">
        <v>327</v>
      </c>
      <c r="B122" s="28"/>
      <c r="C122" s="27"/>
      <c r="D122" s="27" t="str">
        <f>"""NAV Direct"",""CRONUS JetCorp USA"",""21"",""1"",""370452"""</f>
        <v>"NAV Direct","CRONUS JetCorp USA","21","1","370452"</v>
      </c>
      <c r="E122" s="31" t="str">
        <f t="shared" si="21"/>
        <v>C100012</v>
      </c>
      <c r="F122" s="31"/>
      <c r="G122" s="31"/>
      <c r="H122" s="31"/>
      <c r="I122" s="56"/>
      <c r="J122" s="56"/>
      <c r="K122" s="82" t="str">
        <f t="shared" si="13"/>
        <v>Invoice</v>
      </c>
      <c r="L122" s="83" t="str">
        <f>"SI_111550"</f>
        <v>SI_111550</v>
      </c>
      <c r="M122" s="84">
        <v>42296</v>
      </c>
      <c r="N122" s="85">
        <f t="shared" si="22"/>
        <v>1516</v>
      </c>
      <c r="O122" s="86">
        <f t="shared" si="23"/>
        <v>13640.72</v>
      </c>
      <c r="P122" s="86">
        <f t="shared" si="24"/>
        <v>0</v>
      </c>
      <c r="Q122" s="86">
        <f t="shared" si="25"/>
        <v>0</v>
      </c>
      <c r="R122" s="86">
        <f t="shared" si="26"/>
        <v>0</v>
      </c>
      <c r="S122" s="86">
        <f t="shared" si="27"/>
        <v>0</v>
      </c>
      <c r="T122" s="86">
        <f t="shared" si="28"/>
        <v>13640.72</v>
      </c>
      <c r="U122" s="87">
        <v>13640.72</v>
      </c>
    </row>
    <row r="123" spans="1:21" s="30" customFormat="1" ht="24.6" hidden="1" outlineLevel="1" x14ac:dyDescent="0.55000000000000004">
      <c r="A123" s="27" t="s">
        <v>327</v>
      </c>
      <c r="B123" s="28"/>
      <c r="C123" s="27"/>
      <c r="D123" s="27" t="str">
        <f>"""NAV Direct"",""CRONUS JetCorp USA"",""21"",""1"",""370485"""</f>
        <v>"NAV Direct","CRONUS JetCorp USA","21","1","370485"</v>
      </c>
      <c r="E123" s="31">
        <f t="shared" si="21"/>
        <v>0</v>
      </c>
      <c r="F123" s="31"/>
      <c r="G123" s="31"/>
      <c r="H123" s="31"/>
      <c r="I123" s="56"/>
      <c r="J123" s="56"/>
      <c r="K123" s="82" t="str">
        <f t="shared" si="13"/>
        <v>Invoice</v>
      </c>
      <c r="L123" s="83" t="str">
        <f>"SI_111551"</f>
        <v>SI_111551</v>
      </c>
      <c r="M123" s="84">
        <v>42302</v>
      </c>
      <c r="N123" s="85">
        <f t="shared" si="22"/>
        <v>1510</v>
      </c>
      <c r="O123" s="86">
        <f t="shared" si="23"/>
        <v>13640.54</v>
      </c>
      <c r="P123" s="86">
        <f t="shared" si="24"/>
        <v>0</v>
      </c>
      <c r="Q123" s="86">
        <f t="shared" si="25"/>
        <v>0</v>
      </c>
      <c r="R123" s="86">
        <f t="shared" si="26"/>
        <v>0</v>
      </c>
      <c r="S123" s="86">
        <f t="shared" si="27"/>
        <v>0</v>
      </c>
      <c r="T123" s="86">
        <f t="shared" si="28"/>
        <v>13640.54</v>
      </c>
      <c r="U123" s="87">
        <v>13640.54</v>
      </c>
    </row>
    <row r="124" spans="1:21" s="30" customFormat="1" ht="24.6" hidden="1" outlineLevel="1" x14ac:dyDescent="0.55000000000000004">
      <c r="A124" s="27" t="s">
        <v>327</v>
      </c>
      <c r="B124" s="28"/>
      <c r="C124" s="27"/>
      <c r="D124" s="27" t="str">
        <f>"""NAV Direct"",""CRONUS JetCorp USA"",""21"",""1"",""370710"""</f>
        <v>"NAV Direct","CRONUS JetCorp USA","21","1","370710"</v>
      </c>
      <c r="E124" s="31" t="str">
        <f t="shared" si="21"/>
        <v>C100012</v>
      </c>
      <c r="F124" s="31"/>
      <c r="G124" s="31"/>
      <c r="H124" s="31"/>
      <c r="I124" s="56"/>
      <c r="J124" s="56"/>
      <c r="K124" s="82" t="str">
        <f t="shared" si="13"/>
        <v>Invoice</v>
      </c>
      <c r="L124" s="83" t="str">
        <f>"SI_111558"</f>
        <v>SI_111558</v>
      </c>
      <c r="M124" s="84">
        <v>42350</v>
      </c>
      <c r="N124" s="85">
        <f t="shared" si="22"/>
        <v>1462</v>
      </c>
      <c r="O124" s="86">
        <f t="shared" si="23"/>
        <v>17229.670000000002</v>
      </c>
      <c r="P124" s="86">
        <f t="shared" si="24"/>
        <v>0</v>
      </c>
      <c r="Q124" s="86">
        <f t="shared" si="25"/>
        <v>0</v>
      </c>
      <c r="R124" s="86">
        <f t="shared" si="26"/>
        <v>0</v>
      </c>
      <c r="S124" s="86">
        <f t="shared" si="27"/>
        <v>0</v>
      </c>
      <c r="T124" s="86">
        <f t="shared" si="28"/>
        <v>17229.670000000002</v>
      </c>
      <c r="U124" s="87">
        <v>17229.670000000002</v>
      </c>
    </row>
    <row r="125" spans="1:21" s="30" customFormat="1" ht="24.6" hidden="1" outlineLevel="1" x14ac:dyDescent="0.55000000000000004">
      <c r="A125" s="27" t="s">
        <v>327</v>
      </c>
      <c r="B125" s="28"/>
      <c r="C125" s="27"/>
      <c r="D125" s="27" t="str">
        <f>"""NAV Direct"",""CRONUS JetCorp USA"",""21"",""1"",""371022"""</f>
        <v>"NAV Direct","CRONUS JetCorp USA","21","1","371022"</v>
      </c>
      <c r="E125" s="31">
        <f t="shared" si="21"/>
        <v>0</v>
      </c>
      <c r="F125" s="31"/>
      <c r="G125" s="31"/>
      <c r="H125" s="31"/>
      <c r="I125" s="56"/>
      <c r="J125" s="56"/>
      <c r="K125" s="82" t="str">
        <f t="shared" si="13"/>
        <v>Invoice</v>
      </c>
      <c r="L125" s="83" t="str">
        <f>"SI_111566"</f>
        <v>SI_111566</v>
      </c>
      <c r="M125" s="84">
        <v>42749</v>
      </c>
      <c r="N125" s="85">
        <f t="shared" si="22"/>
        <v>1063</v>
      </c>
      <c r="O125" s="86">
        <f t="shared" si="23"/>
        <v>18814.13</v>
      </c>
      <c r="P125" s="86">
        <f t="shared" si="24"/>
        <v>0</v>
      </c>
      <c r="Q125" s="86">
        <f t="shared" si="25"/>
        <v>0</v>
      </c>
      <c r="R125" s="86">
        <f t="shared" si="26"/>
        <v>0</v>
      </c>
      <c r="S125" s="86">
        <f t="shared" si="27"/>
        <v>0</v>
      </c>
      <c r="T125" s="86">
        <f t="shared" si="28"/>
        <v>18814.13</v>
      </c>
      <c r="U125" s="87">
        <v>18814.13</v>
      </c>
    </row>
    <row r="126" spans="1:21" s="30" customFormat="1" ht="24.6" hidden="1" outlineLevel="1" x14ac:dyDescent="0.55000000000000004">
      <c r="A126" s="27" t="s">
        <v>327</v>
      </c>
      <c r="B126" s="28"/>
      <c r="C126" s="27"/>
      <c r="D126" s="27" t="str">
        <f>"""NAV Direct"",""CRONUS JetCorp USA"",""21"",""1"",""435928"""</f>
        <v>"NAV Direct","CRONUS JetCorp USA","21","1","435928"</v>
      </c>
      <c r="E126" s="31" t="str">
        <f t="shared" si="21"/>
        <v>C100012</v>
      </c>
      <c r="F126" s="31"/>
      <c r="G126" s="31"/>
      <c r="H126" s="31"/>
      <c r="I126" s="56"/>
      <c r="J126" s="56"/>
      <c r="K126" s="82" t="str">
        <f t="shared" ref="K126:K133" si="29">"Credit Memo"</f>
        <v>Credit Memo</v>
      </c>
      <c r="L126" s="83" t="str">
        <f>"SC_100650"</f>
        <v>SC_100650</v>
      </c>
      <c r="M126" s="84">
        <v>42806</v>
      </c>
      <c r="N126" s="85">
        <f t="shared" si="22"/>
        <v>1006</v>
      </c>
      <c r="O126" s="86">
        <f t="shared" si="23"/>
        <v>-115.05999999999999</v>
      </c>
      <c r="P126" s="86">
        <f t="shared" si="24"/>
        <v>0</v>
      </c>
      <c r="Q126" s="86">
        <f t="shared" si="25"/>
        <v>0</v>
      </c>
      <c r="R126" s="86">
        <f t="shared" si="26"/>
        <v>0</v>
      </c>
      <c r="S126" s="86">
        <f t="shared" si="27"/>
        <v>0</v>
      </c>
      <c r="T126" s="86">
        <f t="shared" si="28"/>
        <v>-115.05999999999999</v>
      </c>
      <c r="U126" s="87">
        <v>-115.05999999999999</v>
      </c>
    </row>
    <row r="127" spans="1:21" s="30" customFormat="1" ht="24.6" hidden="1" outlineLevel="1" x14ac:dyDescent="0.55000000000000004">
      <c r="A127" s="27" t="s">
        <v>327</v>
      </c>
      <c r="B127" s="28"/>
      <c r="C127" s="27"/>
      <c r="D127" s="27" t="str">
        <f>"""NAV Direct"",""CRONUS JetCorp USA"",""21"",""1"",""436245"""</f>
        <v>"NAV Direct","CRONUS JetCorp USA","21","1","436245"</v>
      </c>
      <c r="E127" s="31">
        <f t="shared" si="21"/>
        <v>0</v>
      </c>
      <c r="F127" s="31"/>
      <c r="G127" s="31"/>
      <c r="H127" s="31"/>
      <c r="I127" s="56"/>
      <c r="J127" s="56"/>
      <c r="K127" s="82" t="str">
        <f t="shared" si="29"/>
        <v>Credit Memo</v>
      </c>
      <c r="L127" s="83" t="str">
        <f>"SC_100671"</f>
        <v>SC_100671</v>
      </c>
      <c r="M127" s="84">
        <v>43190</v>
      </c>
      <c r="N127" s="85">
        <f t="shared" si="22"/>
        <v>622</v>
      </c>
      <c r="O127" s="86">
        <f t="shared" si="23"/>
        <v>-152</v>
      </c>
      <c r="P127" s="86">
        <f t="shared" si="24"/>
        <v>0</v>
      </c>
      <c r="Q127" s="86">
        <f t="shared" si="25"/>
        <v>0</v>
      </c>
      <c r="R127" s="86">
        <f t="shared" si="26"/>
        <v>0</v>
      </c>
      <c r="S127" s="86">
        <f t="shared" si="27"/>
        <v>0</v>
      </c>
      <c r="T127" s="86">
        <f t="shared" si="28"/>
        <v>-152</v>
      </c>
      <c r="U127" s="87">
        <v>-152</v>
      </c>
    </row>
    <row r="128" spans="1:21" s="30" customFormat="1" ht="24.6" hidden="1" outlineLevel="1" x14ac:dyDescent="0.55000000000000004">
      <c r="A128" s="27" t="s">
        <v>327</v>
      </c>
      <c r="B128" s="28"/>
      <c r="C128" s="27"/>
      <c r="D128" s="27" t="str">
        <f>"""NAV Direct"",""CRONUS JetCorp USA"",""21"",""1"",""436324"""</f>
        <v>"NAV Direct","CRONUS JetCorp USA","21","1","436324"</v>
      </c>
      <c r="E128" s="31" t="str">
        <f t="shared" si="21"/>
        <v>C100012</v>
      </c>
      <c r="F128" s="31"/>
      <c r="G128" s="31"/>
      <c r="H128" s="31"/>
      <c r="I128" s="56"/>
      <c r="J128" s="56"/>
      <c r="K128" s="82" t="str">
        <f t="shared" si="29"/>
        <v>Credit Memo</v>
      </c>
      <c r="L128" s="83" t="str">
        <f>"SC_100676"</f>
        <v>SC_100676</v>
      </c>
      <c r="M128" s="84">
        <v>43263</v>
      </c>
      <c r="N128" s="85">
        <f t="shared" si="22"/>
        <v>549</v>
      </c>
      <c r="O128" s="86">
        <f t="shared" si="23"/>
        <v>-199.38</v>
      </c>
      <c r="P128" s="86">
        <f t="shared" si="24"/>
        <v>0</v>
      </c>
      <c r="Q128" s="86">
        <f t="shared" si="25"/>
        <v>0</v>
      </c>
      <c r="R128" s="86">
        <f t="shared" si="26"/>
        <v>0</v>
      </c>
      <c r="S128" s="86">
        <f t="shared" si="27"/>
        <v>0</v>
      </c>
      <c r="T128" s="86">
        <f t="shared" si="28"/>
        <v>-199.38</v>
      </c>
      <c r="U128" s="87">
        <v>-199.38</v>
      </c>
    </row>
    <row r="129" spans="1:22" s="30" customFormat="1" ht="24.6" hidden="1" outlineLevel="1" x14ac:dyDescent="0.55000000000000004">
      <c r="A129" s="27" t="s">
        <v>327</v>
      </c>
      <c r="B129" s="28"/>
      <c r="C129" s="27"/>
      <c r="D129" s="27" t="str">
        <f>"""NAV Direct"",""CRONUS JetCorp USA"",""21"",""1"",""436741"""</f>
        <v>"NAV Direct","CRONUS JetCorp USA","21","1","436741"</v>
      </c>
      <c r="E129" s="31">
        <f t="shared" si="21"/>
        <v>0</v>
      </c>
      <c r="F129" s="31"/>
      <c r="G129" s="31"/>
      <c r="H129" s="31"/>
      <c r="I129" s="56"/>
      <c r="J129" s="56"/>
      <c r="K129" s="82" t="str">
        <f t="shared" si="29"/>
        <v>Credit Memo</v>
      </c>
      <c r="L129" s="83" t="str">
        <f>"SC_100703"</f>
        <v>SC_100703</v>
      </c>
      <c r="M129" s="84">
        <v>43635</v>
      </c>
      <c r="N129" s="85">
        <f t="shared" si="22"/>
        <v>177</v>
      </c>
      <c r="O129" s="86">
        <f t="shared" si="23"/>
        <v>-235.02</v>
      </c>
      <c r="P129" s="86">
        <f t="shared" si="24"/>
        <v>0</v>
      </c>
      <c r="Q129" s="86">
        <f t="shared" si="25"/>
        <v>0</v>
      </c>
      <c r="R129" s="86">
        <f t="shared" si="26"/>
        <v>0</v>
      </c>
      <c r="S129" s="86">
        <f t="shared" si="27"/>
        <v>0</v>
      </c>
      <c r="T129" s="86">
        <f t="shared" si="28"/>
        <v>-235.02</v>
      </c>
      <c r="U129" s="87">
        <v>-235.02</v>
      </c>
    </row>
    <row r="130" spans="1:22" s="30" customFormat="1" ht="24.6" hidden="1" outlineLevel="1" x14ac:dyDescent="0.55000000000000004">
      <c r="A130" s="27" t="s">
        <v>327</v>
      </c>
      <c r="B130" s="28"/>
      <c r="C130" s="27"/>
      <c r="D130" s="27" t="str">
        <f>"""NAV Direct"",""CRONUS JetCorp USA"",""21"",""1"",""436792"""</f>
        <v>"NAV Direct","CRONUS JetCorp USA","21","1","436792"</v>
      </c>
      <c r="E130" s="31" t="str">
        <f t="shared" si="21"/>
        <v>C100012</v>
      </c>
      <c r="F130" s="31"/>
      <c r="G130" s="31"/>
      <c r="H130" s="31"/>
      <c r="I130" s="56"/>
      <c r="J130" s="56"/>
      <c r="K130" s="82" t="str">
        <f t="shared" si="29"/>
        <v>Credit Memo</v>
      </c>
      <c r="L130" s="83" t="str">
        <f>"SC_100706"</f>
        <v>SC_100706</v>
      </c>
      <c r="M130" s="84">
        <v>43744</v>
      </c>
      <c r="N130" s="85">
        <f t="shared" si="22"/>
        <v>68</v>
      </c>
      <c r="O130" s="86">
        <f t="shared" si="23"/>
        <v>-144.12</v>
      </c>
      <c r="P130" s="86">
        <f t="shared" si="24"/>
        <v>0</v>
      </c>
      <c r="Q130" s="86">
        <f t="shared" si="25"/>
        <v>0</v>
      </c>
      <c r="R130" s="86">
        <f t="shared" si="26"/>
        <v>0</v>
      </c>
      <c r="S130" s="86">
        <f t="shared" si="27"/>
        <v>-144.12</v>
      </c>
      <c r="T130" s="86">
        <f t="shared" si="28"/>
        <v>0</v>
      </c>
      <c r="U130" s="87">
        <v>-144.12</v>
      </c>
    </row>
    <row r="131" spans="1:22" s="30" customFormat="1" ht="24.6" hidden="1" outlineLevel="1" x14ac:dyDescent="0.55000000000000004">
      <c r="A131" s="27" t="s">
        <v>327</v>
      </c>
      <c r="B131" s="28"/>
      <c r="C131" s="27"/>
      <c r="D131" s="27" t="str">
        <f>"""NAV Direct"",""CRONUS JetCorp USA"",""21"",""1"",""436832"""</f>
        <v>"NAV Direct","CRONUS JetCorp USA","21","1","436832"</v>
      </c>
      <c r="E131" s="31">
        <f t="shared" si="21"/>
        <v>0</v>
      </c>
      <c r="F131" s="31"/>
      <c r="G131" s="31"/>
      <c r="H131" s="31"/>
      <c r="I131" s="56"/>
      <c r="J131" s="56"/>
      <c r="K131" s="82" t="str">
        <f t="shared" si="29"/>
        <v>Credit Memo</v>
      </c>
      <c r="L131" s="83" t="str">
        <f>"SC_100708"</f>
        <v>SC_100708</v>
      </c>
      <c r="M131" s="84">
        <v>43782</v>
      </c>
      <c r="N131" s="85">
        <f t="shared" si="22"/>
        <v>30</v>
      </c>
      <c r="O131" s="86">
        <f t="shared" si="23"/>
        <v>-159.22999999999999</v>
      </c>
      <c r="P131" s="86">
        <f t="shared" si="24"/>
        <v>0</v>
      </c>
      <c r="Q131" s="86">
        <f t="shared" si="25"/>
        <v>-159.22999999999999</v>
      </c>
      <c r="R131" s="86">
        <f t="shared" si="26"/>
        <v>0</v>
      </c>
      <c r="S131" s="86">
        <f t="shared" si="27"/>
        <v>0</v>
      </c>
      <c r="T131" s="86">
        <f t="shared" si="28"/>
        <v>0</v>
      </c>
      <c r="U131" s="87">
        <v>-159.22999999999999</v>
      </c>
    </row>
    <row r="132" spans="1:22" s="30" customFormat="1" ht="24.6" hidden="1" outlineLevel="1" x14ac:dyDescent="0.55000000000000004">
      <c r="A132" s="27" t="s">
        <v>327</v>
      </c>
      <c r="B132" s="28"/>
      <c r="C132" s="27"/>
      <c r="D132" s="27" t="str">
        <f>"""NAV Direct"",""CRONUS JetCorp USA"",""21"",""1"",""437007"""</f>
        <v>"NAV Direct","CRONUS JetCorp USA","21","1","437007"</v>
      </c>
      <c r="E132" s="31" t="str">
        <f t="shared" si="21"/>
        <v>C100012</v>
      </c>
      <c r="F132" s="31"/>
      <c r="G132" s="31"/>
      <c r="H132" s="31"/>
      <c r="I132" s="56"/>
      <c r="J132" s="56"/>
      <c r="K132" s="82" t="str">
        <f t="shared" si="29"/>
        <v>Credit Memo</v>
      </c>
      <c r="L132" s="83" t="str">
        <f>"SC_100719"</f>
        <v>SC_100719</v>
      </c>
      <c r="M132" s="84">
        <v>42100</v>
      </c>
      <c r="N132" s="85">
        <f t="shared" si="22"/>
        <v>1712</v>
      </c>
      <c r="O132" s="86">
        <f t="shared" si="23"/>
        <v>-165.52</v>
      </c>
      <c r="P132" s="86">
        <f t="shared" si="24"/>
        <v>0</v>
      </c>
      <c r="Q132" s="86">
        <f t="shared" si="25"/>
        <v>0</v>
      </c>
      <c r="R132" s="86">
        <f t="shared" si="26"/>
        <v>0</v>
      </c>
      <c r="S132" s="86">
        <f t="shared" si="27"/>
        <v>0</v>
      </c>
      <c r="T132" s="86">
        <f t="shared" si="28"/>
        <v>-165.52</v>
      </c>
      <c r="U132" s="87">
        <v>-165.52</v>
      </c>
    </row>
    <row r="133" spans="1:22" s="30" customFormat="1" ht="24.6" hidden="1" outlineLevel="1" x14ac:dyDescent="0.55000000000000004">
      <c r="A133" s="27" t="s">
        <v>327</v>
      </c>
      <c r="B133" s="28"/>
      <c r="C133" s="27"/>
      <c r="D133" s="27" t="str">
        <f>"""NAV Direct"",""CRONUS JetCorp USA"",""21"",""1"",""437286"""</f>
        <v>"NAV Direct","CRONUS JetCorp USA","21","1","437286"</v>
      </c>
      <c r="E133" s="31">
        <f t="shared" si="21"/>
        <v>0</v>
      </c>
      <c r="F133" s="31"/>
      <c r="G133" s="31"/>
      <c r="H133" s="31"/>
      <c r="I133" s="56"/>
      <c r="J133" s="56"/>
      <c r="K133" s="82" t="str">
        <f t="shared" si="29"/>
        <v>Credit Memo</v>
      </c>
      <c r="L133" s="83" t="str">
        <f>"SC_100736"</f>
        <v>SC_100736</v>
      </c>
      <c r="M133" s="84">
        <v>42341</v>
      </c>
      <c r="N133" s="85">
        <f t="shared" si="22"/>
        <v>1471</v>
      </c>
      <c r="O133" s="86">
        <f t="shared" si="23"/>
        <v>-187.2</v>
      </c>
      <c r="P133" s="86">
        <f t="shared" si="24"/>
        <v>0</v>
      </c>
      <c r="Q133" s="86">
        <f t="shared" si="25"/>
        <v>0</v>
      </c>
      <c r="R133" s="86">
        <f t="shared" si="26"/>
        <v>0</v>
      </c>
      <c r="S133" s="86">
        <f t="shared" si="27"/>
        <v>0</v>
      </c>
      <c r="T133" s="86">
        <f t="shared" si="28"/>
        <v>-187.2</v>
      </c>
      <c r="U133" s="87">
        <v>-187.2</v>
      </c>
    </row>
    <row r="134" spans="1:22" s="22" customFormat="1" ht="20.399999999999999" collapsed="1" x14ac:dyDescent="0.45">
      <c r="A134" s="12" t="s">
        <v>327</v>
      </c>
      <c r="B134" s="19"/>
      <c r="C134" s="12"/>
      <c r="D134" s="12"/>
      <c r="E134" s="23"/>
      <c r="F134" s="23"/>
      <c r="G134" s="23"/>
      <c r="H134" s="23"/>
      <c r="I134" s="49"/>
      <c r="J134" s="88"/>
      <c r="K134" s="88"/>
      <c r="L134" s="89"/>
      <c r="M134" s="89"/>
      <c r="N134" s="89"/>
      <c r="O134" s="89"/>
      <c r="P134" s="89"/>
      <c r="Q134" s="90"/>
      <c r="R134" s="90"/>
      <c r="S134" s="91"/>
      <c r="T134" s="92"/>
      <c r="U134" s="92"/>
    </row>
    <row r="135" spans="1:22" s="22" customFormat="1" ht="20.399999999999999" x14ac:dyDescent="0.45">
      <c r="A135" s="12" t="s">
        <v>327</v>
      </c>
      <c r="B135" s="19"/>
      <c r="C135" s="12"/>
      <c r="D135" s="12"/>
      <c r="E135" s="23"/>
      <c r="F135" s="23"/>
      <c r="G135" s="23"/>
      <c r="H135" s="23"/>
      <c r="I135" s="49"/>
      <c r="J135" s="88"/>
      <c r="K135" s="88"/>
      <c r="L135" s="89"/>
      <c r="M135" s="89"/>
      <c r="N135" s="89"/>
      <c r="O135" s="89"/>
      <c r="P135" s="89"/>
      <c r="Q135" s="90"/>
      <c r="R135" s="90"/>
      <c r="S135" s="91"/>
      <c r="T135" s="92"/>
      <c r="U135" s="92"/>
    </row>
    <row r="136" spans="1:22" s="26" customFormat="1" ht="24.6" x14ac:dyDescent="0.55000000000000004">
      <c r="A136" s="27" t="s">
        <v>327</v>
      </c>
      <c r="B136" s="28"/>
      <c r="C136" s="27" t="str">
        <f>"""NAV Direct"",""CRONUS JetCorp USA"",""18"",""1"",""C100013"""</f>
        <v>"NAV Direct","CRONUS JetCorp USA","18","1","C100013"</v>
      </c>
      <c r="D136" s="27"/>
      <c r="E136" s="28" t="str">
        <f>H136</f>
        <v>C100013</v>
      </c>
      <c r="F136" s="28"/>
      <c r="G136" s="28"/>
      <c r="H136" s="28" t="str">
        <f>"C100013"</f>
        <v>C100013</v>
      </c>
      <c r="I136" s="116" t="str">
        <f>"C100013  -  Candoxy Kontor A/S"</f>
        <v>C100013  -  Candoxy Kontor A/S</v>
      </c>
      <c r="J136" s="117" t="str">
        <f>""</f>
        <v/>
      </c>
      <c r="K136" s="118"/>
      <c r="L136" s="119">
        <f>SUBTOTAL(3,L137:L160)</f>
        <v>20</v>
      </c>
      <c r="M136" s="118"/>
      <c r="N136" s="118"/>
      <c r="O136" s="120">
        <f t="shared" ref="O136:T136" si="30">SUBTOTAL(9,O137:O160)</f>
        <v>202415.83</v>
      </c>
      <c r="P136" s="120">
        <f t="shared" si="30"/>
        <v>0</v>
      </c>
      <c r="Q136" s="120">
        <f t="shared" si="30"/>
        <v>12454.07</v>
      </c>
      <c r="R136" s="120">
        <f t="shared" si="30"/>
        <v>10829.68</v>
      </c>
      <c r="S136" s="120">
        <f t="shared" si="30"/>
        <v>0</v>
      </c>
      <c r="T136" s="120">
        <f t="shared" si="30"/>
        <v>179132.08</v>
      </c>
      <c r="U136" s="81"/>
    </row>
    <row r="137" spans="1:22" s="26" customFormat="1" ht="24.6" x14ac:dyDescent="0.55000000000000004">
      <c r="A137" s="27" t="s">
        <v>327</v>
      </c>
      <c r="B137" s="28"/>
      <c r="C137" s="27" t="str">
        <f>C136</f>
        <v>"NAV Direct","CRONUS JetCorp USA","18","1","C100013"</v>
      </c>
      <c r="D137" s="27"/>
      <c r="E137" s="28" t="str">
        <f>E136</f>
        <v>C100013</v>
      </c>
      <c r="F137" s="28"/>
      <c r="G137" s="28"/>
      <c r="H137" s="28"/>
      <c r="I137" s="121" t="str">
        <f>"Contact: Hr. Jonathan Mollerup"</f>
        <v>Contact: Hr. Jonathan Mollerup</v>
      </c>
      <c r="J137" s="121"/>
      <c r="K137" s="122"/>
      <c r="L137" s="123"/>
      <c r="M137" s="123"/>
      <c r="N137" s="124"/>
      <c r="O137" s="124"/>
      <c r="P137" s="123"/>
      <c r="Q137" s="125"/>
      <c r="R137" s="126"/>
      <c r="S137" s="126"/>
      <c r="T137" s="125"/>
      <c r="U137" s="81"/>
    </row>
    <row r="138" spans="1:22" s="26" customFormat="1" ht="24.6" x14ac:dyDescent="0.55000000000000004">
      <c r="A138" s="27" t="s">
        <v>327</v>
      </c>
      <c r="B138" s="28"/>
      <c r="C138" s="27" t="str">
        <f>C137</f>
        <v>"NAV Direct","CRONUS JetCorp USA","18","1","C100013"</v>
      </c>
      <c r="D138" s="27"/>
      <c r="E138" s="28" t="str">
        <f>E137</f>
        <v>C100013</v>
      </c>
      <c r="F138" s="28"/>
      <c r="G138" s="28"/>
      <c r="H138" s="28"/>
      <c r="I138" s="121" t="str">
        <f>"candoxy.kontor.as@cronuscorp.net"</f>
        <v>candoxy.kontor.as@cronuscorp.net</v>
      </c>
      <c r="J138" s="121"/>
      <c r="K138" s="122"/>
      <c r="L138" s="124"/>
      <c r="M138" s="124"/>
      <c r="N138" s="124"/>
      <c r="O138" s="124"/>
      <c r="P138" s="123"/>
      <c r="Q138" s="125"/>
      <c r="R138" s="126"/>
      <c r="S138" s="126"/>
      <c r="T138" s="125"/>
      <c r="U138" s="81"/>
    </row>
    <row r="139" spans="1:22" ht="12.75" hidden="1" customHeight="1" outlineLevel="1" x14ac:dyDescent="0.45">
      <c r="A139" s="12" t="s">
        <v>328</v>
      </c>
      <c r="B139" s="19"/>
      <c r="E139" s="19"/>
      <c r="F139" s="19"/>
      <c r="G139" s="19"/>
      <c r="H139" s="19"/>
      <c r="I139" s="61"/>
      <c r="J139" s="61"/>
      <c r="K139" s="61"/>
      <c r="L139" s="61"/>
      <c r="M139" s="61"/>
      <c r="N139" s="61"/>
      <c r="O139" s="61"/>
      <c r="P139" s="61"/>
      <c r="Q139" s="61"/>
      <c r="R139" s="61"/>
      <c r="S139" s="61"/>
      <c r="T139" s="61"/>
      <c r="U139" s="61"/>
      <c r="V139" s="21"/>
    </row>
    <row r="140" spans="1:22" s="30" customFormat="1" ht="24.6" hidden="1" outlineLevel="1" x14ac:dyDescent="0.55000000000000004">
      <c r="A140" s="27" t="s">
        <v>327</v>
      </c>
      <c r="B140" s="28"/>
      <c r="C140" s="27"/>
      <c r="D140" s="27" t="str">
        <f>"""NAV Direct"",""CRONUS JetCorp USA"",""21"",""1"",""101865"""</f>
        <v>"NAV Direct","CRONUS JetCorp USA","21","1","101865"</v>
      </c>
      <c r="E140" s="31" t="str">
        <f t="shared" ref="E140:E159" si="31">E138</f>
        <v>C100013</v>
      </c>
      <c r="F140" s="31"/>
      <c r="G140" s="31"/>
      <c r="H140" s="31"/>
      <c r="I140" s="56"/>
      <c r="J140" s="56"/>
      <c r="K140" s="82" t="str">
        <f t="shared" ref="K140:K154" si="32">"Invoice"</f>
        <v>Invoice</v>
      </c>
      <c r="L140" s="83" t="str">
        <f>"SI_106595"</f>
        <v>SI_106595</v>
      </c>
      <c r="M140" s="84">
        <v>42129</v>
      </c>
      <c r="N140" s="85">
        <f t="shared" ref="N140:N159" si="33">StartDate-$M140+1</f>
        <v>1683</v>
      </c>
      <c r="O140" s="86">
        <f t="shared" ref="O140:O159" si="34">SUM(P140:T140)</f>
        <v>14217.3</v>
      </c>
      <c r="P140" s="86">
        <f t="shared" ref="P140:P159" si="35">IF($M140&gt;=$P$18,U140,0)</f>
        <v>0</v>
      </c>
      <c r="Q140" s="86">
        <f t="shared" ref="Q140:Q159" si="36">IF(AND($M140&gt;=$Q$16,$M140&lt;=$Q$18),U140,0)</f>
        <v>0</v>
      </c>
      <c r="R140" s="86">
        <f t="shared" ref="R140:R159" si="37">IF(AND($M140&gt;=$R$16,$M140&lt;=$R$18),U140,0)</f>
        <v>0</v>
      </c>
      <c r="S140" s="86">
        <f t="shared" ref="S140:S159" si="38">IF(AND($M140&gt;=$S$16,$M140&lt;=$S$18),U140,0)</f>
        <v>0</v>
      </c>
      <c r="T140" s="86">
        <f t="shared" ref="T140:T159" si="39">IF($M140&lt;=$T$18,U140,0)</f>
        <v>14217.3</v>
      </c>
      <c r="U140" s="87">
        <v>14217.3</v>
      </c>
    </row>
    <row r="141" spans="1:22" s="30" customFormat="1" ht="24.6" hidden="1" outlineLevel="1" x14ac:dyDescent="0.55000000000000004">
      <c r="A141" s="27" t="s">
        <v>327</v>
      </c>
      <c r="B141" s="28"/>
      <c r="C141" s="27"/>
      <c r="D141" s="27" t="str">
        <f>"""NAV Direct"",""CRONUS JetCorp USA"",""21"",""1"",""102003"""</f>
        <v>"NAV Direct","CRONUS JetCorp USA","21","1","102003"</v>
      </c>
      <c r="E141" s="31">
        <f t="shared" si="31"/>
        <v>0</v>
      </c>
      <c r="F141" s="31"/>
      <c r="G141" s="31"/>
      <c r="H141" s="31"/>
      <c r="I141" s="56"/>
      <c r="J141" s="56"/>
      <c r="K141" s="82" t="str">
        <f t="shared" si="32"/>
        <v>Invoice</v>
      </c>
      <c r="L141" s="83" t="str">
        <f>"SI_106599"</f>
        <v>SI_106599</v>
      </c>
      <c r="M141" s="84">
        <v>42206</v>
      </c>
      <c r="N141" s="85">
        <f t="shared" si="33"/>
        <v>1606</v>
      </c>
      <c r="O141" s="86">
        <f t="shared" si="34"/>
        <v>19048.54</v>
      </c>
      <c r="P141" s="86">
        <f t="shared" si="35"/>
        <v>0</v>
      </c>
      <c r="Q141" s="86">
        <f t="shared" si="36"/>
        <v>0</v>
      </c>
      <c r="R141" s="86">
        <f t="shared" si="37"/>
        <v>0</v>
      </c>
      <c r="S141" s="86">
        <f t="shared" si="38"/>
        <v>0</v>
      </c>
      <c r="T141" s="86">
        <f t="shared" si="39"/>
        <v>19048.54</v>
      </c>
      <c r="U141" s="87">
        <v>19048.54</v>
      </c>
    </row>
    <row r="142" spans="1:22" s="30" customFormat="1" ht="24.6" hidden="1" outlineLevel="1" x14ac:dyDescent="0.55000000000000004">
      <c r="A142" s="27" t="s">
        <v>327</v>
      </c>
      <c r="B142" s="28"/>
      <c r="C142" s="27"/>
      <c r="D142" s="27" t="str">
        <f>"""NAV Direct"",""CRONUS JetCorp USA"",""21"",""1"",""380872"""</f>
        <v>"NAV Direct","CRONUS JetCorp USA","21","1","380872"</v>
      </c>
      <c r="E142" s="31" t="str">
        <f t="shared" si="31"/>
        <v>C100013</v>
      </c>
      <c r="F142" s="31"/>
      <c r="G142" s="31"/>
      <c r="H142" s="31"/>
      <c r="I142" s="56"/>
      <c r="J142" s="56"/>
      <c r="K142" s="82" t="str">
        <f t="shared" si="32"/>
        <v>Invoice</v>
      </c>
      <c r="L142" s="83" t="str">
        <f>"SI_111834"</f>
        <v>SI_111834</v>
      </c>
      <c r="M142" s="84">
        <v>42579</v>
      </c>
      <c r="N142" s="85">
        <f t="shared" si="33"/>
        <v>1233</v>
      </c>
      <c r="O142" s="86">
        <f t="shared" si="34"/>
        <v>10152.58</v>
      </c>
      <c r="P142" s="86">
        <f t="shared" si="35"/>
        <v>0</v>
      </c>
      <c r="Q142" s="86">
        <f t="shared" si="36"/>
        <v>0</v>
      </c>
      <c r="R142" s="86">
        <f t="shared" si="37"/>
        <v>0</v>
      </c>
      <c r="S142" s="86">
        <f t="shared" si="38"/>
        <v>0</v>
      </c>
      <c r="T142" s="86">
        <f t="shared" si="39"/>
        <v>10152.58</v>
      </c>
      <c r="U142" s="87">
        <v>10152.58</v>
      </c>
    </row>
    <row r="143" spans="1:22" s="30" customFormat="1" ht="24.6" hidden="1" outlineLevel="1" x14ac:dyDescent="0.55000000000000004">
      <c r="A143" s="27" t="s">
        <v>327</v>
      </c>
      <c r="B143" s="28"/>
      <c r="C143" s="27"/>
      <c r="D143" s="27" t="str">
        <f>"""NAV Direct"",""CRONUS JetCorp USA"",""21"",""1"",""381696"""</f>
        <v>"NAV Direct","CRONUS JetCorp USA","21","1","381696"</v>
      </c>
      <c r="E143" s="31">
        <f t="shared" si="31"/>
        <v>0</v>
      </c>
      <c r="F143" s="31"/>
      <c r="G143" s="31"/>
      <c r="H143" s="31"/>
      <c r="I143" s="56"/>
      <c r="J143" s="56"/>
      <c r="K143" s="82" t="str">
        <f t="shared" si="32"/>
        <v>Invoice</v>
      </c>
      <c r="L143" s="83" t="str">
        <f>"SI_111860"</f>
        <v>SI_111860</v>
      </c>
      <c r="M143" s="84">
        <v>43123</v>
      </c>
      <c r="N143" s="85">
        <f t="shared" si="33"/>
        <v>689</v>
      </c>
      <c r="O143" s="86">
        <f t="shared" si="34"/>
        <v>14495.779999999999</v>
      </c>
      <c r="P143" s="86">
        <f t="shared" si="35"/>
        <v>0</v>
      </c>
      <c r="Q143" s="86">
        <f t="shared" si="36"/>
        <v>0</v>
      </c>
      <c r="R143" s="86">
        <f t="shared" si="37"/>
        <v>0</v>
      </c>
      <c r="S143" s="86">
        <f t="shared" si="38"/>
        <v>0</v>
      </c>
      <c r="T143" s="86">
        <f t="shared" si="39"/>
        <v>14495.779999999999</v>
      </c>
      <c r="U143" s="87">
        <v>14495.779999999999</v>
      </c>
    </row>
    <row r="144" spans="1:22" s="30" customFormat="1" ht="24.6" hidden="1" outlineLevel="1" x14ac:dyDescent="0.55000000000000004">
      <c r="A144" s="27" t="s">
        <v>327</v>
      </c>
      <c r="B144" s="28"/>
      <c r="C144" s="27"/>
      <c r="D144" s="27" t="str">
        <f>"""NAV Direct"",""CRONUS JetCorp USA"",""21"",""1"",""381748"""</f>
        <v>"NAV Direct","CRONUS JetCorp USA","21","1","381748"</v>
      </c>
      <c r="E144" s="31" t="str">
        <f t="shared" si="31"/>
        <v>C100013</v>
      </c>
      <c r="F144" s="31"/>
      <c r="G144" s="31"/>
      <c r="H144" s="31"/>
      <c r="I144" s="56"/>
      <c r="J144" s="56"/>
      <c r="K144" s="82" t="str">
        <f t="shared" si="32"/>
        <v>Invoice</v>
      </c>
      <c r="L144" s="83" t="str">
        <f>"SI_111862"</f>
        <v>SI_111862</v>
      </c>
      <c r="M144" s="84">
        <v>43155</v>
      </c>
      <c r="N144" s="85">
        <f t="shared" si="33"/>
        <v>657</v>
      </c>
      <c r="O144" s="86">
        <f t="shared" si="34"/>
        <v>12175.85</v>
      </c>
      <c r="P144" s="86">
        <f t="shared" si="35"/>
        <v>0</v>
      </c>
      <c r="Q144" s="86">
        <f t="shared" si="36"/>
        <v>0</v>
      </c>
      <c r="R144" s="86">
        <f t="shared" si="37"/>
        <v>0</v>
      </c>
      <c r="S144" s="86">
        <f t="shared" si="38"/>
        <v>0</v>
      </c>
      <c r="T144" s="86">
        <f t="shared" si="39"/>
        <v>12175.85</v>
      </c>
      <c r="U144" s="87">
        <v>12175.85</v>
      </c>
    </row>
    <row r="145" spans="1:21" s="30" customFormat="1" ht="24.6" hidden="1" outlineLevel="1" x14ac:dyDescent="0.55000000000000004">
      <c r="A145" s="27" t="s">
        <v>327</v>
      </c>
      <c r="B145" s="28"/>
      <c r="C145" s="27"/>
      <c r="D145" s="27" t="str">
        <f>"""NAV Direct"",""CRONUS JetCorp USA"",""21"",""1"",""381845"""</f>
        <v>"NAV Direct","CRONUS JetCorp USA","21","1","381845"</v>
      </c>
      <c r="E145" s="31">
        <f t="shared" si="31"/>
        <v>0</v>
      </c>
      <c r="F145" s="31"/>
      <c r="G145" s="31"/>
      <c r="H145" s="31"/>
      <c r="I145" s="56"/>
      <c r="J145" s="56"/>
      <c r="K145" s="82" t="str">
        <f t="shared" si="32"/>
        <v>Invoice</v>
      </c>
      <c r="L145" s="83" t="str">
        <f>"SI_111865"</f>
        <v>SI_111865</v>
      </c>
      <c r="M145" s="84">
        <v>43208</v>
      </c>
      <c r="N145" s="85">
        <f t="shared" si="33"/>
        <v>604</v>
      </c>
      <c r="O145" s="86">
        <f t="shared" si="34"/>
        <v>9465.7899999999991</v>
      </c>
      <c r="P145" s="86">
        <f t="shared" si="35"/>
        <v>0</v>
      </c>
      <c r="Q145" s="86">
        <f t="shared" si="36"/>
        <v>0</v>
      </c>
      <c r="R145" s="86">
        <f t="shared" si="37"/>
        <v>0</v>
      </c>
      <c r="S145" s="86">
        <f t="shared" si="38"/>
        <v>0</v>
      </c>
      <c r="T145" s="86">
        <f t="shared" si="39"/>
        <v>9465.7899999999991</v>
      </c>
      <c r="U145" s="87">
        <v>9465.7899999999991</v>
      </c>
    </row>
    <row r="146" spans="1:21" s="30" customFormat="1" ht="24.6" hidden="1" outlineLevel="1" x14ac:dyDescent="0.55000000000000004">
      <c r="A146" s="27" t="s">
        <v>327</v>
      </c>
      <c r="B146" s="28"/>
      <c r="C146" s="27"/>
      <c r="D146" s="27" t="str">
        <f>"""NAV Direct"",""CRONUS JetCorp USA"",""21"",""1"",""382227"""</f>
        <v>"NAV Direct","CRONUS JetCorp USA","21","1","382227"</v>
      </c>
      <c r="E146" s="31" t="str">
        <f t="shared" si="31"/>
        <v>C100013</v>
      </c>
      <c r="F146" s="31"/>
      <c r="G146" s="31"/>
      <c r="H146" s="31"/>
      <c r="I146" s="56"/>
      <c r="J146" s="56"/>
      <c r="K146" s="82" t="str">
        <f t="shared" si="32"/>
        <v>Invoice</v>
      </c>
      <c r="L146" s="83" t="str">
        <f>"SI_111877"</f>
        <v>SI_111877</v>
      </c>
      <c r="M146" s="84">
        <v>43440</v>
      </c>
      <c r="N146" s="85">
        <f t="shared" si="33"/>
        <v>372</v>
      </c>
      <c r="O146" s="86">
        <f t="shared" si="34"/>
        <v>11428.28</v>
      </c>
      <c r="P146" s="86">
        <f t="shared" si="35"/>
        <v>0</v>
      </c>
      <c r="Q146" s="86">
        <f t="shared" si="36"/>
        <v>0</v>
      </c>
      <c r="R146" s="86">
        <f t="shared" si="37"/>
        <v>0</v>
      </c>
      <c r="S146" s="86">
        <f t="shared" si="38"/>
        <v>0</v>
      </c>
      <c r="T146" s="86">
        <f t="shared" si="39"/>
        <v>11428.28</v>
      </c>
      <c r="U146" s="87">
        <v>11428.28</v>
      </c>
    </row>
    <row r="147" spans="1:21" s="30" customFormat="1" ht="24.6" hidden="1" outlineLevel="1" x14ac:dyDescent="0.55000000000000004">
      <c r="A147" s="27" t="s">
        <v>327</v>
      </c>
      <c r="B147" s="28"/>
      <c r="C147" s="27"/>
      <c r="D147" s="27" t="str">
        <f>"""NAV Direct"",""CRONUS JetCorp USA"",""21"",""1"",""382274"""</f>
        <v>"NAV Direct","CRONUS JetCorp USA","21","1","382274"</v>
      </c>
      <c r="E147" s="31">
        <f t="shared" si="31"/>
        <v>0</v>
      </c>
      <c r="F147" s="31"/>
      <c r="G147" s="31"/>
      <c r="H147" s="31"/>
      <c r="I147" s="56"/>
      <c r="J147" s="56"/>
      <c r="K147" s="82" t="str">
        <f t="shared" si="32"/>
        <v>Invoice</v>
      </c>
      <c r="L147" s="83" t="str">
        <f>"SI_111878"</f>
        <v>SI_111878</v>
      </c>
      <c r="M147" s="84">
        <v>43472</v>
      </c>
      <c r="N147" s="85">
        <f t="shared" si="33"/>
        <v>340</v>
      </c>
      <c r="O147" s="86">
        <f t="shared" si="34"/>
        <v>13427.26</v>
      </c>
      <c r="P147" s="86">
        <f t="shared" si="35"/>
        <v>0</v>
      </c>
      <c r="Q147" s="86">
        <f t="shared" si="36"/>
        <v>0</v>
      </c>
      <c r="R147" s="86">
        <f t="shared" si="37"/>
        <v>0</v>
      </c>
      <c r="S147" s="86">
        <f t="shared" si="38"/>
        <v>0</v>
      </c>
      <c r="T147" s="86">
        <f t="shared" si="39"/>
        <v>13427.26</v>
      </c>
      <c r="U147" s="87">
        <v>13427.26</v>
      </c>
    </row>
    <row r="148" spans="1:21" s="30" customFormat="1" ht="24.6" hidden="1" outlineLevel="1" x14ac:dyDescent="0.55000000000000004">
      <c r="A148" s="27" t="s">
        <v>327</v>
      </c>
      <c r="B148" s="28"/>
      <c r="C148" s="27"/>
      <c r="D148" s="27" t="str">
        <f>"""NAV Direct"",""CRONUS JetCorp USA"",""21"",""1"",""382383"""</f>
        <v>"NAV Direct","CRONUS JetCorp USA","21","1","382383"</v>
      </c>
      <c r="E148" s="31" t="str">
        <f t="shared" si="31"/>
        <v>C100013</v>
      </c>
      <c r="F148" s="31"/>
      <c r="G148" s="31"/>
      <c r="H148" s="31"/>
      <c r="I148" s="56"/>
      <c r="J148" s="56"/>
      <c r="K148" s="82" t="str">
        <f t="shared" si="32"/>
        <v>Invoice</v>
      </c>
      <c r="L148" s="83" t="str">
        <f>"SI_111881"</f>
        <v>SI_111881</v>
      </c>
      <c r="M148" s="84">
        <v>43511</v>
      </c>
      <c r="N148" s="85">
        <f t="shared" si="33"/>
        <v>301</v>
      </c>
      <c r="O148" s="86">
        <f t="shared" si="34"/>
        <v>13708.099999999999</v>
      </c>
      <c r="P148" s="86">
        <f t="shared" si="35"/>
        <v>0</v>
      </c>
      <c r="Q148" s="86">
        <f t="shared" si="36"/>
        <v>0</v>
      </c>
      <c r="R148" s="86">
        <f t="shared" si="37"/>
        <v>0</v>
      </c>
      <c r="S148" s="86">
        <f t="shared" si="38"/>
        <v>0</v>
      </c>
      <c r="T148" s="86">
        <f t="shared" si="39"/>
        <v>13708.099999999999</v>
      </c>
      <c r="U148" s="87">
        <v>13708.099999999999</v>
      </c>
    </row>
    <row r="149" spans="1:21" s="30" customFormat="1" ht="24.6" hidden="1" outlineLevel="1" x14ac:dyDescent="0.55000000000000004">
      <c r="A149" s="27" t="s">
        <v>327</v>
      </c>
      <c r="B149" s="28"/>
      <c r="C149" s="27"/>
      <c r="D149" s="27" t="str">
        <f>"""NAV Direct"",""CRONUS JetCorp USA"",""21"",""1"",""382557"""</f>
        <v>"NAV Direct","CRONUS JetCorp USA","21","1","382557"</v>
      </c>
      <c r="E149" s="31">
        <f t="shared" si="31"/>
        <v>0</v>
      </c>
      <c r="F149" s="31"/>
      <c r="G149" s="31"/>
      <c r="H149" s="31"/>
      <c r="I149" s="56"/>
      <c r="J149" s="56"/>
      <c r="K149" s="82" t="str">
        <f t="shared" si="32"/>
        <v>Invoice</v>
      </c>
      <c r="L149" s="83" t="str">
        <f>"SI_111887"</f>
        <v>SI_111887</v>
      </c>
      <c r="M149" s="84">
        <v>43627</v>
      </c>
      <c r="N149" s="85">
        <f t="shared" si="33"/>
        <v>185</v>
      </c>
      <c r="O149" s="86">
        <f t="shared" si="34"/>
        <v>17865.04</v>
      </c>
      <c r="P149" s="86">
        <f t="shared" si="35"/>
        <v>0</v>
      </c>
      <c r="Q149" s="86">
        <f t="shared" si="36"/>
        <v>0</v>
      </c>
      <c r="R149" s="86">
        <f t="shared" si="37"/>
        <v>0</v>
      </c>
      <c r="S149" s="86">
        <f t="shared" si="38"/>
        <v>0</v>
      </c>
      <c r="T149" s="86">
        <f t="shared" si="39"/>
        <v>17865.04</v>
      </c>
      <c r="U149" s="87">
        <v>17865.04</v>
      </c>
    </row>
    <row r="150" spans="1:21" s="30" customFormat="1" ht="24.6" hidden="1" outlineLevel="1" x14ac:dyDescent="0.55000000000000004">
      <c r="A150" s="27" t="s">
        <v>327</v>
      </c>
      <c r="B150" s="28"/>
      <c r="C150" s="27"/>
      <c r="D150" s="27" t="str">
        <f>"""NAV Direct"",""CRONUS JetCorp USA"",""21"",""1"",""382796"""</f>
        <v>"NAV Direct","CRONUS JetCorp USA","21","1","382796"</v>
      </c>
      <c r="E150" s="31" t="str">
        <f t="shared" si="31"/>
        <v>C100013</v>
      </c>
      <c r="F150" s="31"/>
      <c r="G150" s="31"/>
      <c r="H150" s="31"/>
      <c r="I150" s="56"/>
      <c r="J150" s="56"/>
      <c r="K150" s="82" t="str">
        <f t="shared" si="32"/>
        <v>Invoice</v>
      </c>
      <c r="L150" s="83" t="str">
        <f>"SI_111894"</f>
        <v>SI_111894</v>
      </c>
      <c r="M150" s="84">
        <v>43752</v>
      </c>
      <c r="N150" s="85">
        <f t="shared" si="33"/>
        <v>60</v>
      </c>
      <c r="O150" s="86">
        <f t="shared" si="34"/>
        <v>10829.68</v>
      </c>
      <c r="P150" s="86">
        <f t="shared" si="35"/>
        <v>0</v>
      </c>
      <c r="Q150" s="86">
        <f t="shared" si="36"/>
        <v>0</v>
      </c>
      <c r="R150" s="86">
        <f t="shared" si="37"/>
        <v>10829.68</v>
      </c>
      <c r="S150" s="86">
        <f t="shared" si="38"/>
        <v>0</v>
      </c>
      <c r="T150" s="86">
        <f t="shared" si="39"/>
        <v>0</v>
      </c>
      <c r="U150" s="87">
        <v>10829.68</v>
      </c>
    </row>
    <row r="151" spans="1:21" s="30" customFormat="1" ht="24.6" hidden="1" outlineLevel="1" x14ac:dyDescent="0.55000000000000004">
      <c r="A151" s="27" t="s">
        <v>327</v>
      </c>
      <c r="B151" s="28"/>
      <c r="C151" s="27"/>
      <c r="D151" s="27" t="str">
        <f>"""NAV Direct"",""CRONUS JetCorp USA"",""21"",""1"",""382868"""</f>
        <v>"NAV Direct","CRONUS JetCorp USA","21","1","382868"</v>
      </c>
      <c r="E151" s="31">
        <f t="shared" si="31"/>
        <v>0</v>
      </c>
      <c r="F151" s="31"/>
      <c r="G151" s="31"/>
      <c r="H151" s="31"/>
      <c r="I151" s="56"/>
      <c r="J151" s="56"/>
      <c r="K151" s="82" t="str">
        <f t="shared" si="32"/>
        <v>Invoice</v>
      </c>
      <c r="L151" s="83" t="str">
        <f>"SI_111896"</f>
        <v>SI_111896</v>
      </c>
      <c r="M151" s="84">
        <v>43786</v>
      </c>
      <c r="N151" s="85">
        <f t="shared" si="33"/>
        <v>26</v>
      </c>
      <c r="O151" s="86">
        <f t="shared" si="34"/>
        <v>12454.07</v>
      </c>
      <c r="P151" s="86">
        <f t="shared" si="35"/>
        <v>0</v>
      </c>
      <c r="Q151" s="86">
        <f t="shared" si="36"/>
        <v>12454.07</v>
      </c>
      <c r="R151" s="86">
        <f t="shared" si="37"/>
        <v>0</v>
      </c>
      <c r="S151" s="86">
        <f t="shared" si="38"/>
        <v>0</v>
      </c>
      <c r="T151" s="86">
        <f t="shared" si="39"/>
        <v>0</v>
      </c>
      <c r="U151" s="87">
        <v>12454.07</v>
      </c>
    </row>
    <row r="152" spans="1:21" s="30" customFormat="1" ht="24.6" hidden="1" outlineLevel="1" x14ac:dyDescent="0.55000000000000004">
      <c r="A152" s="27" t="s">
        <v>327</v>
      </c>
      <c r="B152" s="28"/>
      <c r="C152" s="27"/>
      <c r="D152" s="27" t="str">
        <f>"""NAV Direct"",""CRONUS JetCorp USA"",""21"",""1"",""383051"""</f>
        <v>"NAV Direct","CRONUS JetCorp USA","21","1","383051"</v>
      </c>
      <c r="E152" s="31" t="str">
        <f t="shared" si="31"/>
        <v>C100013</v>
      </c>
      <c r="F152" s="31"/>
      <c r="G152" s="31"/>
      <c r="H152" s="31"/>
      <c r="I152" s="56"/>
      <c r="J152" s="56"/>
      <c r="K152" s="82" t="str">
        <f t="shared" si="32"/>
        <v>Invoice</v>
      </c>
      <c r="L152" s="83" t="str">
        <f>"SI_111901"</f>
        <v>SI_111901</v>
      </c>
      <c r="M152" s="84">
        <v>42041</v>
      </c>
      <c r="N152" s="85">
        <f t="shared" si="33"/>
        <v>1771</v>
      </c>
      <c r="O152" s="86">
        <f t="shared" si="34"/>
        <v>15484.14</v>
      </c>
      <c r="P152" s="86">
        <f t="shared" si="35"/>
        <v>0</v>
      </c>
      <c r="Q152" s="86">
        <f t="shared" si="36"/>
        <v>0</v>
      </c>
      <c r="R152" s="86">
        <f t="shared" si="37"/>
        <v>0</v>
      </c>
      <c r="S152" s="86">
        <f t="shared" si="38"/>
        <v>0</v>
      </c>
      <c r="T152" s="86">
        <f t="shared" si="39"/>
        <v>15484.14</v>
      </c>
      <c r="U152" s="87">
        <v>15484.14</v>
      </c>
    </row>
    <row r="153" spans="1:21" s="30" customFormat="1" ht="24.6" hidden="1" outlineLevel="1" x14ac:dyDescent="0.55000000000000004">
      <c r="A153" s="27" t="s">
        <v>327</v>
      </c>
      <c r="B153" s="28"/>
      <c r="C153" s="27"/>
      <c r="D153" s="27" t="str">
        <f>"""NAV Direct"",""CRONUS JetCorp USA"",""21"",""1"",""383212"""</f>
        <v>"NAV Direct","CRONUS JetCorp USA","21","1","383212"</v>
      </c>
      <c r="E153" s="31">
        <f t="shared" si="31"/>
        <v>0</v>
      </c>
      <c r="F153" s="31"/>
      <c r="G153" s="31"/>
      <c r="H153" s="31"/>
      <c r="I153" s="56"/>
      <c r="J153" s="56"/>
      <c r="K153" s="82" t="str">
        <f t="shared" si="32"/>
        <v>Invoice</v>
      </c>
      <c r="L153" s="83" t="str">
        <f>"SI_111906"</f>
        <v>SI_111906</v>
      </c>
      <c r="M153" s="84">
        <v>42169</v>
      </c>
      <c r="N153" s="85">
        <f t="shared" si="33"/>
        <v>1643</v>
      </c>
      <c r="O153" s="86">
        <f t="shared" si="34"/>
        <v>16421.38</v>
      </c>
      <c r="P153" s="86">
        <f t="shared" si="35"/>
        <v>0</v>
      </c>
      <c r="Q153" s="86">
        <f t="shared" si="36"/>
        <v>0</v>
      </c>
      <c r="R153" s="86">
        <f t="shared" si="37"/>
        <v>0</v>
      </c>
      <c r="S153" s="86">
        <f t="shared" si="38"/>
        <v>0</v>
      </c>
      <c r="T153" s="86">
        <f t="shared" si="39"/>
        <v>16421.38</v>
      </c>
      <c r="U153" s="87">
        <v>16421.38</v>
      </c>
    </row>
    <row r="154" spans="1:21" s="30" customFormat="1" ht="24.6" hidden="1" outlineLevel="1" x14ac:dyDescent="0.55000000000000004">
      <c r="A154" s="27" t="s">
        <v>327</v>
      </c>
      <c r="B154" s="28"/>
      <c r="C154" s="27"/>
      <c r="D154" s="27" t="str">
        <f>"""NAV Direct"",""CRONUS JetCorp USA"",""21"",""1"",""383370"""</f>
        <v>"NAV Direct","CRONUS JetCorp USA","21","1","383370"</v>
      </c>
      <c r="E154" s="31" t="str">
        <f t="shared" si="31"/>
        <v>C100013</v>
      </c>
      <c r="F154" s="31"/>
      <c r="G154" s="31"/>
      <c r="H154" s="31"/>
      <c r="I154" s="56"/>
      <c r="J154" s="56"/>
      <c r="K154" s="82" t="str">
        <f t="shared" si="32"/>
        <v>Invoice</v>
      </c>
      <c r="L154" s="83" t="str">
        <f>"SI_111910"</f>
        <v>SI_111910</v>
      </c>
      <c r="M154" s="84">
        <v>42219</v>
      </c>
      <c r="N154" s="85">
        <f t="shared" si="33"/>
        <v>1593</v>
      </c>
      <c r="O154" s="86">
        <f t="shared" si="34"/>
        <v>11847.94</v>
      </c>
      <c r="P154" s="86">
        <f t="shared" si="35"/>
        <v>0</v>
      </c>
      <c r="Q154" s="86">
        <f t="shared" si="36"/>
        <v>0</v>
      </c>
      <c r="R154" s="86">
        <f t="shared" si="37"/>
        <v>0</v>
      </c>
      <c r="S154" s="86">
        <f t="shared" si="38"/>
        <v>0</v>
      </c>
      <c r="T154" s="86">
        <f t="shared" si="39"/>
        <v>11847.94</v>
      </c>
      <c r="U154" s="87">
        <v>11847.94</v>
      </c>
    </row>
    <row r="155" spans="1:21" s="30" customFormat="1" ht="24.6" hidden="1" outlineLevel="1" x14ac:dyDescent="0.55000000000000004">
      <c r="A155" s="27" t="s">
        <v>327</v>
      </c>
      <c r="B155" s="28"/>
      <c r="C155" s="27"/>
      <c r="D155" s="27" t="str">
        <f>"""NAV Direct"",""CRONUS JetCorp USA"",""21"",""1"",""438390"""</f>
        <v>"NAV Direct","CRONUS JetCorp USA","21","1","438390"</v>
      </c>
      <c r="E155" s="31">
        <f t="shared" si="31"/>
        <v>0</v>
      </c>
      <c r="F155" s="31"/>
      <c r="G155" s="31"/>
      <c r="H155" s="31"/>
      <c r="I155" s="56"/>
      <c r="J155" s="56"/>
      <c r="K155" s="82" t="str">
        <f>"Credit Memo"</f>
        <v>Credit Memo</v>
      </c>
      <c r="L155" s="83" t="str">
        <f>"SC_100812"</f>
        <v>SC_100812</v>
      </c>
      <c r="M155" s="84">
        <v>43049</v>
      </c>
      <c r="N155" s="85">
        <f t="shared" si="33"/>
        <v>763</v>
      </c>
      <c r="O155" s="86">
        <f t="shared" si="34"/>
        <v>-127.12</v>
      </c>
      <c r="P155" s="86">
        <f t="shared" si="35"/>
        <v>0</v>
      </c>
      <c r="Q155" s="86">
        <f t="shared" si="36"/>
        <v>0</v>
      </c>
      <c r="R155" s="86">
        <f t="shared" si="37"/>
        <v>0</v>
      </c>
      <c r="S155" s="86">
        <f t="shared" si="38"/>
        <v>0</v>
      </c>
      <c r="T155" s="86">
        <f t="shared" si="39"/>
        <v>-127.12</v>
      </c>
      <c r="U155" s="87">
        <v>-127.12</v>
      </c>
    </row>
    <row r="156" spans="1:21" s="30" customFormat="1" ht="24.6" hidden="1" outlineLevel="1" x14ac:dyDescent="0.55000000000000004">
      <c r="A156" s="27" t="s">
        <v>327</v>
      </c>
      <c r="B156" s="28"/>
      <c r="C156" s="27"/>
      <c r="D156" s="27" t="str">
        <f>"""NAV Direct"",""CRONUS JetCorp USA"",""21"",""1"",""438446"""</f>
        <v>"NAV Direct","CRONUS JetCorp USA","21","1","438446"</v>
      </c>
      <c r="E156" s="31" t="str">
        <f t="shared" si="31"/>
        <v>C100013</v>
      </c>
      <c r="F156" s="31"/>
      <c r="G156" s="31"/>
      <c r="H156" s="31"/>
      <c r="I156" s="56"/>
      <c r="J156" s="56"/>
      <c r="K156" s="82" t="str">
        <f>"Credit Memo"</f>
        <v>Credit Memo</v>
      </c>
      <c r="L156" s="83" t="str">
        <f>"SC_100816"</f>
        <v>SC_100816</v>
      </c>
      <c r="M156" s="84">
        <v>43365</v>
      </c>
      <c r="N156" s="85">
        <f t="shared" si="33"/>
        <v>447</v>
      </c>
      <c r="O156" s="86">
        <f t="shared" si="34"/>
        <v>-86.87</v>
      </c>
      <c r="P156" s="86">
        <f t="shared" si="35"/>
        <v>0</v>
      </c>
      <c r="Q156" s="86">
        <f t="shared" si="36"/>
        <v>0</v>
      </c>
      <c r="R156" s="86">
        <f t="shared" si="37"/>
        <v>0</v>
      </c>
      <c r="S156" s="86">
        <f t="shared" si="38"/>
        <v>0</v>
      </c>
      <c r="T156" s="86">
        <f t="shared" si="39"/>
        <v>-86.87</v>
      </c>
      <c r="U156" s="87">
        <v>-86.87</v>
      </c>
    </row>
    <row r="157" spans="1:21" s="30" customFormat="1" ht="24.6" hidden="1" outlineLevel="1" x14ac:dyDescent="0.55000000000000004">
      <c r="A157" s="27" t="s">
        <v>327</v>
      </c>
      <c r="B157" s="28"/>
      <c r="C157" s="27"/>
      <c r="D157" s="27" t="str">
        <f>"""NAV Direct"",""CRONUS JetCorp USA"",""21"",""1"",""438517"""</f>
        <v>"NAV Direct","CRONUS JetCorp USA","21","1","438517"</v>
      </c>
      <c r="E157" s="31">
        <f t="shared" si="31"/>
        <v>0</v>
      </c>
      <c r="F157" s="31"/>
      <c r="G157" s="31"/>
      <c r="H157" s="31"/>
      <c r="I157" s="56"/>
      <c r="J157" s="56"/>
      <c r="K157" s="82" t="str">
        <f>"Credit Memo"</f>
        <v>Credit Memo</v>
      </c>
      <c r="L157" s="83" t="str">
        <f>"SC_100821"</f>
        <v>SC_100821</v>
      </c>
      <c r="M157" s="84">
        <v>42023</v>
      </c>
      <c r="N157" s="85">
        <f t="shared" si="33"/>
        <v>1789</v>
      </c>
      <c r="O157" s="86">
        <f t="shared" si="34"/>
        <v>-154.35</v>
      </c>
      <c r="P157" s="86">
        <f t="shared" si="35"/>
        <v>0</v>
      </c>
      <c r="Q157" s="86">
        <f t="shared" si="36"/>
        <v>0</v>
      </c>
      <c r="R157" s="86">
        <f t="shared" si="37"/>
        <v>0</v>
      </c>
      <c r="S157" s="86">
        <f t="shared" si="38"/>
        <v>0</v>
      </c>
      <c r="T157" s="86">
        <f t="shared" si="39"/>
        <v>-154.35</v>
      </c>
      <c r="U157" s="87">
        <v>-154.35</v>
      </c>
    </row>
    <row r="158" spans="1:21" s="30" customFormat="1" ht="24.6" hidden="1" outlineLevel="1" x14ac:dyDescent="0.55000000000000004">
      <c r="A158" s="27" t="s">
        <v>327</v>
      </c>
      <c r="B158" s="28"/>
      <c r="C158" s="27"/>
      <c r="D158" s="27" t="str">
        <f>"""NAV Direct"",""CRONUS JetCorp USA"",""21"",""1"",""438549"""</f>
        <v>"NAV Direct","CRONUS JetCorp USA","21","1","438549"</v>
      </c>
      <c r="E158" s="31" t="str">
        <f t="shared" si="31"/>
        <v>C100013</v>
      </c>
      <c r="F158" s="31"/>
      <c r="G158" s="31"/>
      <c r="H158" s="31"/>
      <c r="I158" s="56"/>
      <c r="J158" s="56"/>
      <c r="K158" s="82" t="str">
        <f>"Credit Memo"</f>
        <v>Credit Memo</v>
      </c>
      <c r="L158" s="83" t="str">
        <f>"SC_100823"</f>
        <v>SC_100823</v>
      </c>
      <c r="M158" s="84">
        <v>42083</v>
      </c>
      <c r="N158" s="85">
        <f t="shared" si="33"/>
        <v>1729</v>
      </c>
      <c r="O158" s="86">
        <f t="shared" si="34"/>
        <v>-124.48</v>
      </c>
      <c r="P158" s="86">
        <f t="shared" si="35"/>
        <v>0</v>
      </c>
      <c r="Q158" s="86">
        <f t="shared" si="36"/>
        <v>0</v>
      </c>
      <c r="R158" s="86">
        <f t="shared" si="37"/>
        <v>0</v>
      </c>
      <c r="S158" s="86">
        <f t="shared" si="38"/>
        <v>0</v>
      </c>
      <c r="T158" s="86">
        <f t="shared" si="39"/>
        <v>-124.48</v>
      </c>
      <c r="U158" s="87">
        <v>-124.48</v>
      </c>
    </row>
    <row r="159" spans="1:21" s="30" customFormat="1" ht="24.6" hidden="1" outlineLevel="1" x14ac:dyDescent="0.55000000000000004">
      <c r="A159" s="27" t="s">
        <v>327</v>
      </c>
      <c r="B159" s="28"/>
      <c r="C159" s="27"/>
      <c r="D159" s="27" t="str">
        <f>"""NAV Direct"",""CRONUS JetCorp USA"",""21"",""1"",""438585"""</f>
        <v>"NAV Direct","CRONUS JetCorp USA","21","1","438585"</v>
      </c>
      <c r="E159" s="31">
        <f t="shared" si="31"/>
        <v>0</v>
      </c>
      <c r="F159" s="31"/>
      <c r="G159" s="31"/>
      <c r="H159" s="31"/>
      <c r="I159" s="56"/>
      <c r="J159" s="56"/>
      <c r="K159" s="82" t="str">
        <f>"Credit Memo"</f>
        <v>Credit Memo</v>
      </c>
      <c r="L159" s="83" t="str">
        <f>"SC_100825"</f>
        <v>SC_100825</v>
      </c>
      <c r="M159" s="84">
        <v>42286</v>
      </c>
      <c r="N159" s="85">
        <f t="shared" si="33"/>
        <v>1526</v>
      </c>
      <c r="O159" s="86">
        <f t="shared" si="34"/>
        <v>-113.08000000000001</v>
      </c>
      <c r="P159" s="86">
        <f t="shared" si="35"/>
        <v>0</v>
      </c>
      <c r="Q159" s="86">
        <f t="shared" si="36"/>
        <v>0</v>
      </c>
      <c r="R159" s="86">
        <f t="shared" si="37"/>
        <v>0</v>
      </c>
      <c r="S159" s="86">
        <f t="shared" si="38"/>
        <v>0</v>
      </c>
      <c r="T159" s="86">
        <f t="shared" si="39"/>
        <v>-113.08000000000001</v>
      </c>
      <c r="U159" s="87">
        <v>-113.08000000000001</v>
      </c>
    </row>
    <row r="160" spans="1:21" s="22" customFormat="1" ht="20.399999999999999" collapsed="1" x14ac:dyDescent="0.45">
      <c r="A160" s="12" t="s">
        <v>327</v>
      </c>
      <c r="B160" s="19"/>
      <c r="C160" s="12"/>
      <c r="D160" s="12"/>
      <c r="E160" s="23"/>
      <c r="F160" s="23"/>
      <c r="G160" s="23"/>
      <c r="H160" s="23"/>
      <c r="I160" s="49"/>
      <c r="J160" s="88"/>
      <c r="K160" s="88"/>
      <c r="L160" s="89"/>
      <c r="M160" s="89"/>
      <c r="N160" s="89"/>
      <c r="O160" s="89"/>
      <c r="P160" s="89"/>
      <c r="Q160" s="90"/>
      <c r="R160" s="90"/>
      <c r="S160" s="91"/>
      <c r="T160" s="92"/>
      <c r="U160" s="92"/>
    </row>
    <row r="161" spans="1:22" s="22" customFormat="1" ht="20.399999999999999" x14ac:dyDescent="0.45">
      <c r="A161" s="12" t="s">
        <v>327</v>
      </c>
      <c r="B161" s="19"/>
      <c r="C161" s="12"/>
      <c r="D161" s="12"/>
      <c r="E161" s="23"/>
      <c r="F161" s="23"/>
      <c r="G161" s="23"/>
      <c r="H161" s="23"/>
      <c r="I161" s="49"/>
      <c r="J161" s="88"/>
      <c r="K161" s="88"/>
      <c r="L161" s="89"/>
      <c r="M161" s="89"/>
      <c r="N161" s="89"/>
      <c r="O161" s="89"/>
      <c r="P161" s="89"/>
      <c r="Q161" s="90"/>
      <c r="R161" s="90"/>
      <c r="S161" s="91"/>
      <c r="T161" s="92"/>
      <c r="U161" s="92"/>
    </row>
    <row r="162" spans="1:22" s="26" customFormat="1" ht="24.6" x14ac:dyDescent="0.55000000000000004">
      <c r="A162" s="27" t="s">
        <v>327</v>
      </c>
      <c r="B162" s="28"/>
      <c r="C162" s="27" t="str">
        <f>"""NAV Direct"",""CRONUS JetCorp USA"",""18"",""1"",""C100014"""</f>
        <v>"NAV Direct","CRONUS JetCorp USA","18","1","C100014"</v>
      </c>
      <c r="D162" s="27"/>
      <c r="E162" s="28" t="str">
        <f>H162</f>
        <v>C100014</v>
      </c>
      <c r="F162" s="28"/>
      <c r="G162" s="28"/>
      <c r="H162" s="28" t="str">
        <f>"C100014"</f>
        <v>C100014</v>
      </c>
      <c r="I162" s="116" t="str">
        <f>"C100014  -  Candoxy Nederland BV"</f>
        <v>C100014  -  Candoxy Nederland BV</v>
      </c>
      <c r="J162" s="117" t="str">
        <f>""</f>
        <v/>
      </c>
      <c r="K162" s="118"/>
      <c r="L162" s="119">
        <f>SUBTOTAL(3,L163:L185)</f>
        <v>19</v>
      </c>
      <c r="M162" s="118"/>
      <c r="N162" s="118"/>
      <c r="O162" s="120">
        <f t="shared" ref="O162:T162" si="40">SUBTOTAL(9,O163:O185)</f>
        <v>263564.23</v>
      </c>
      <c r="P162" s="120">
        <f t="shared" si="40"/>
        <v>0</v>
      </c>
      <c r="Q162" s="120">
        <f t="shared" si="40"/>
        <v>0</v>
      </c>
      <c r="R162" s="120">
        <f t="shared" si="40"/>
        <v>19367.670000000002</v>
      </c>
      <c r="S162" s="120">
        <f t="shared" si="40"/>
        <v>0</v>
      </c>
      <c r="T162" s="120">
        <f t="shared" si="40"/>
        <v>244196.56</v>
      </c>
      <c r="U162" s="81"/>
    </row>
    <row r="163" spans="1:22" s="26" customFormat="1" ht="24.6" x14ac:dyDescent="0.55000000000000004">
      <c r="A163" s="27" t="s">
        <v>327</v>
      </c>
      <c r="B163" s="28"/>
      <c r="C163" s="27" t="str">
        <f>C162</f>
        <v>"NAV Direct","CRONUS JetCorp USA","18","1","C100014"</v>
      </c>
      <c r="D163" s="27"/>
      <c r="E163" s="28" t="str">
        <f>E162</f>
        <v>C100014</v>
      </c>
      <c r="F163" s="28"/>
      <c r="G163" s="28"/>
      <c r="H163" s="28"/>
      <c r="I163" s="121" t="str">
        <f>"Contact: Rob Verhoff"</f>
        <v>Contact: Rob Verhoff</v>
      </c>
      <c r="J163" s="121"/>
      <c r="K163" s="122"/>
      <c r="L163" s="123"/>
      <c r="M163" s="123"/>
      <c r="N163" s="124"/>
      <c r="O163" s="124"/>
      <c r="P163" s="123"/>
      <c r="Q163" s="125"/>
      <c r="R163" s="126"/>
      <c r="S163" s="126"/>
      <c r="T163" s="125"/>
      <c r="U163" s="81"/>
    </row>
    <row r="164" spans="1:22" s="26" customFormat="1" ht="24.6" x14ac:dyDescent="0.55000000000000004">
      <c r="A164" s="27" t="s">
        <v>327</v>
      </c>
      <c r="B164" s="28"/>
      <c r="C164" s="27" t="str">
        <f>C163</f>
        <v>"NAV Direct","CRONUS JetCorp USA","18","1","C100014"</v>
      </c>
      <c r="D164" s="27"/>
      <c r="E164" s="28" t="str">
        <f>E163</f>
        <v>C100014</v>
      </c>
      <c r="F164" s="28"/>
      <c r="G164" s="28"/>
      <c r="H164" s="28"/>
      <c r="I164" s="121" t="str">
        <f>"candoxy.nederland.bv@cronuscorp.net"</f>
        <v>candoxy.nederland.bv@cronuscorp.net</v>
      </c>
      <c r="J164" s="121"/>
      <c r="K164" s="122"/>
      <c r="L164" s="124"/>
      <c r="M164" s="124"/>
      <c r="N164" s="124"/>
      <c r="O164" s="124"/>
      <c r="P164" s="123"/>
      <c r="Q164" s="125"/>
      <c r="R164" s="126"/>
      <c r="S164" s="126"/>
      <c r="T164" s="125"/>
      <c r="U164" s="81"/>
    </row>
    <row r="165" spans="1:22" ht="12.75" hidden="1" customHeight="1" outlineLevel="1" x14ac:dyDescent="0.45">
      <c r="A165" s="12" t="s">
        <v>328</v>
      </c>
      <c r="B165" s="19"/>
      <c r="E165" s="19"/>
      <c r="F165" s="19"/>
      <c r="G165" s="19"/>
      <c r="H165" s="19"/>
      <c r="I165" s="61"/>
      <c r="J165" s="61"/>
      <c r="K165" s="61"/>
      <c r="L165" s="61"/>
      <c r="M165" s="61"/>
      <c r="N165" s="61"/>
      <c r="O165" s="61"/>
      <c r="P165" s="61"/>
      <c r="Q165" s="61"/>
      <c r="R165" s="61"/>
      <c r="S165" s="61"/>
      <c r="T165" s="61"/>
      <c r="U165" s="61"/>
      <c r="V165" s="21"/>
    </row>
    <row r="166" spans="1:22" s="30" customFormat="1" ht="24.6" hidden="1" outlineLevel="1" x14ac:dyDescent="0.55000000000000004">
      <c r="A166" s="27" t="s">
        <v>327</v>
      </c>
      <c r="B166" s="28"/>
      <c r="C166" s="27"/>
      <c r="D166" s="27" t="str">
        <f>"""NAV Direct"",""CRONUS JetCorp USA"",""21"",""1"",""97735"""</f>
        <v>"NAV Direct","CRONUS JetCorp USA","21","1","97735"</v>
      </c>
      <c r="E166" s="31" t="str">
        <f t="shared" ref="E166:E184" si="41">E164</f>
        <v>C100014</v>
      </c>
      <c r="F166" s="31"/>
      <c r="G166" s="31"/>
      <c r="H166" s="31"/>
      <c r="I166" s="56"/>
      <c r="J166" s="56"/>
      <c r="K166" s="82" t="str">
        <f t="shared" ref="K166:K181" si="42">"Invoice"</f>
        <v>Invoice</v>
      </c>
      <c r="L166" s="83" t="str">
        <f>"SI_106473"</f>
        <v>SI_106473</v>
      </c>
      <c r="M166" s="84">
        <v>42094</v>
      </c>
      <c r="N166" s="85">
        <f t="shared" ref="N166:N184" si="43">StartDate-$M166+1</f>
        <v>1718</v>
      </c>
      <c r="O166" s="86">
        <f t="shared" ref="O166:O184" si="44">SUM(P166:T166)</f>
        <v>18773.669999999998</v>
      </c>
      <c r="P166" s="86">
        <f t="shared" ref="P166:P184" si="45">IF($M166&gt;=$P$18,U166,0)</f>
        <v>0</v>
      </c>
      <c r="Q166" s="86">
        <f t="shared" ref="Q166:Q184" si="46">IF(AND($M166&gt;=$Q$16,$M166&lt;=$Q$18),U166,0)</f>
        <v>0</v>
      </c>
      <c r="R166" s="86">
        <f t="shared" ref="R166:R184" si="47">IF(AND($M166&gt;=$R$16,$M166&lt;=$R$18),U166,0)</f>
        <v>0</v>
      </c>
      <c r="S166" s="86">
        <f t="shared" ref="S166:S184" si="48">IF(AND($M166&gt;=$S$16,$M166&lt;=$S$18),U166,0)</f>
        <v>0</v>
      </c>
      <c r="T166" s="86">
        <f t="shared" ref="T166:T184" si="49">IF($M166&lt;=$T$18,U166,0)</f>
        <v>18773.669999999998</v>
      </c>
      <c r="U166" s="87">
        <v>18773.669999999998</v>
      </c>
    </row>
    <row r="167" spans="1:22" s="30" customFormat="1" ht="24.6" hidden="1" outlineLevel="1" x14ac:dyDescent="0.55000000000000004">
      <c r="A167" s="27" t="s">
        <v>327</v>
      </c>
      <c r="B167" s="28"/>
      <c r="C167" s="27"/>
      <c r="D167" s="27" t="str">
        <f>"""NAV Direct"",""CRONUS JetCorp USA"",""21"",""1"",""97852"""</f>
        <v>"NAV Direct","CRONUS JetCorp USA","21","1","97852"</v>
      </c>
      <c r="E167" s="31">
        <f t="shared" si="41"/>
        <v>0</v>
      </c>
      <c r="F167" s="31"/>
      <c r="G167" s="31"/>
      <c r="H167" s="31"/>
      <c r="I167" s="56"/>
      <c r="J167" s="56"/>
      <c r="K167" s="82" t="str">
        <f t="shared" si="42"/>
        <v>Invoice</v>
      </c>
      <c r="L167" s="83" t="str">
        <f>"SI_106476"</f>
        <v>SI_106476</v>
      </c>
      <c r="M167" s="84">
        <v>42155</v>
      </c>
      <c r="N167" s="85">
        <f t="shared" si="43"/>
        <v>1657</v>
      </c>
      <c r="O167" s="86">
        <f t="shared" si="44"/>
        <v>22168.46</v>
      </c>
      <c r="P167" s="86">
        <f t="shared" si="45"/>
        <v>0</v>
      </c>
      <c r="Q167" s="86">
        <f t="shared" si="46"/>
        <v>0</v>
      </c>
      <c r="R167" s="86">
        <f t="shared" si="47"/>
        <v>0</v>
      </c>
      <c r="S167" s="86">
        <f t="shared" si="48"/>
        <v>0</v>
      </c>
      <c r="T167" s="86">
        <f t="shared" si="49"/>
        <v>22168.46</v>
      </c>
      <c r="U167" s="87">
        <v>22168.46</v>
      </c>
    </row>
    <row r="168" spans="1:22" s="30" customFormat="1" ht="24.6" hidden="1" outlineLevel="1" x14ac:dyDescent="0.55000000000000004">
      <c r="A168" s="27" t="s">
        <v>327</v>
      </c>
      <c r="B168" s="28"/>
      <c r="C168" s="27"/>
      <c r="D168" s="27" t="str">
        <f>"""NAV Direct"",""CRONUS JetCorp USA"",""21"",""1"",""97893"""</f>
        <v>"NAV Direct","CRONUS JetCorp USA","21","1","97893"</v>
      </c>
      <c r="E168" s="31" t="str">
        <f t="shared" si="41"/>
        <v>C100014</v>
      </c>
      <c r="F168" s="31"/>
      <c r="G168" s="31"/>
      <c r="H168" s="31"/>
      <c r="I168" s="56"/>
      <c r="J168" s="56"/>
      <c r="K168" s="82" t="str">
        <f t="shared" si="42"/>
        <v>Invoice</v>
      </c>
      <c r="L168" s="83" t="str">
        <f>"SI_106477"</f>
        <v>SI_106477</v>
      </c>
      <c r="M168" s="84">
        <v>42155</v>
      </c>
      <c r="N168" s="85">
        <f t="shared" si="43"/>
        <v>1657</v>
      </c>
      <c r="O168" s="86">
        <f t="shared" si="44"/>
        <v>22168.76</v>
      </c>
      <c r="P168" s="86">
        <f t="shared" si="45"/>
        <v>0</v>
      </c>
      <c r="Q168" s="86">
        <f t="shared" si="46"/>
        <v>0</v>
      </c>
      <c r="R168" s="86">
        <f t="shared" si="47"/>
        <v>0</v>
      </c>
      <c r="S168" s="86">
        <f t="shared" si="48"/>
        <v>0</v>
      </c>
      <c r="T168" s="86">
        <f t="shared" si="49"/>
        <v>22168.76</v>
      </c>
      <c r="U168" s="87">
        <v>22168.76</v>
      </c>
    </row>
    <row r="169" spans="1:22" s="30" customFormat="1" ht="24.6" hidden="1" outlineLevel="1" x14ac:dyDescent="0.55000000000000004">
      <c r="A169" s="27" t="s">
        <v>327</v>
      </c>
      <c r="B169" s="28"/>
      <c r="C169" s="27"/>
      <c r="D169" s="27" t="str">
        <f>"""NAV Direct"",""CRONUS JetCorp USA"",""21"",""1"",""98185"""</f>
        <v>"NAV Direct","CRONUS JetCorp USA","21","1","98185"</v>
      </c>
      <c r="E169" s="31">
        <f t="shared" si="41"/>
        <v>0</v>
      </c>
      <c r="F169" s="31"/>
      <c r="G169" s="31"/>
      <c r="H169" s="31"/>
      <c r="I169" s="56"/>
      <c r="J169" s="56"/>
      <c r="K169" s="82" t="str">
        <f t="shared" si="42"/>
        <v>Invoice</v>
      </c>
      <c r="L169" s="83" t="str">
        <f>"SI_106485"</f>
        <v>SI_106485</v>
      </c>
      <c r="M169" s="84">
        <v>42277</v>
      </c>
      <c r="N169" s="85">
        <f t="shared" si="43"/>
        <v>1535</v>
      </c>
      <c r="O169" s="86">
        <f t="shared" si="44"/>
        <v>18249.009999999998</v>
      </c>
      <c r="P169" s="86">
        <f t="shared" si="45"/>
        <v>0</v>
      </c>
      <c r="Q169" s="86">
        <f t="shared" si="46"/>
        <v>0</v>
      </c>
      <c r="R169" s="86">
        <f t="shared" si="47"/>
        <v>0</v>
      </c>
      <c r="S169" s="86">
        <f t="shared" si="48"/>
        <v>0</v>
      </c>
      <c r="T169" s="86">
        <f t="shared" si="49"/>
        <v>18249.009999999998</v>
      </c>
      <c r="U169" s="87">
        <v>18249.009999999998</v>
      </c>
    </row>
    <row r="170" spans="1:22" s="30" customFormat="1" ht="24.6" hidden="1" outlineLevel="1" x14ac:dyDescent="0.55000000000000004">
      <c r="A170" s="27" t="s">
        <v>327</v>
      </c>
      <c r="B170" s="28"/>
      <c r="C170" s="27"/>
      <c r="D170" s="27" t="str">
        <f>"""NAV Direct"",""CRONUS JetCorp USA"",""21"",""1"",""377318"""</f>
        <v>"NAV Direct","CRONUS JetCorp USA","21","1","377318"</v>
      </c>
      <c r="E170" s="31" t="str">
        <f t="shared" si="41"/>
        <v>C100014</v>
      </c>
      <c r="F170" s="31"/>
      <c r="G170" s="31"/>
      <c r="H170" s="31"/>
      <c r="I170" s="56"/>
      <c r="J170" s="56"/>
      <c r="K170" s="82" t="str">
        <f t="shared" si="42"/>
        <v>Invoice</v>
      </c>
      <c r="L170" s="83" t="str">
        <f>"SI_111732"</f>
        <v>SI_111732</v>
      </c>
      <c r="M170" s="84">
        <v>42460</v>
      </c>
      <c r="N170" s="85">
        <f t="shared" si="43"/>
        <v>1352</v>
      </c>
      <c r="O170" s="86">
        <f t="shared" si="44"/>
        <v>10357.189999999999</v>
      </c>
      <c r="P170" s="86">
        <f t="shared" si="45"/>
        <v>0</v>
      </c>
      <c r="Q170" s="86">
        <f t="shared" si="46"/>
        <v>0</v>
      </c>
      <c r="R170" s="86">
        <f t="shared" si="47"/>
        <v>0</v>
      </c>
      <c r="S170" s="86">
        <f t="shared" si="48"/>
        <v>0</v>
      </c>
      <c r="T170" s="86">
        <f t="shared" si="49"/>
        <v>10357.189999999999</v>
      </c>
      <c r="U170" s="87">
        <v>10357.189999999999</v>
      </c>
    </row>
    <row r="171" spans="1:22" s="30" customFormat="1" ht="24.6" hidden="1" outlineLevel="1" x14ac:dyDescent="0.55000000000000004">
      <c r="A171" s="27" t="s">
        <v>327</v>
      </c>
      <c r="B171" s="28"/>
      <c r="C171" s="27"/>
      <c r="D171" s="27" t="str">
        <f>"""NAV Direct"",""CRONUS JetCorp USA"",""21"",""1"",""377563"""</f>
        <v>"NAV Direct","CRONUS JetCorp USA","21","1","377563"</v>
      </c>
      <c r="E171" s="31">
        <f t="shared" si="41"/>
        <v>0</v>
      </c>
      <c r="F171" s="31"/>
      <c r="G171" s="31"/>
      <c r="H171" s="31"/>
      <c r="I171" s="56"/>
      <c r="J171" s="56"/>
      <c r="K171" s="82" t="str">
        <f t="shared" si="42"/>
        <v>Invoice</v>
      </c>
      <c r="L171" s="83" t="str">
        <f>"SI_111739"</f>
        <v>SI_111739</v>
      </c>
      <c r="M171" s="84">
        <v>42643</v>
      </c>
      <c r="N171" s="85">
        <f t="shared" si="43"/>
        <v>1169</v>
      </c>
      <c r="O171" s="86">
        <f t="shared" si="44"/>
        <v>11286.68</v>
      </c>
      <c r="P171" s="86">
        <f t="shared" si="45"/>
        <v>0</v>
      </c>
      <c r="Q171" s="86">
        <f t="shared" si="46"/>
        <v>0</v>
      </c>
      <c r="R171" s="86">
        <f t="shared" si="47"/>
        <v>0</v>
      </c>
      <c r="S171" s="86">
        <f t="shared" si="48"/>
        <v>0</v>
      </c>
      <c r="T171" s="86">
        <f t="shared" si="49"/>
        <v>11286.68</v>
      </c>
      <c r="U171" s="87">
        <v>11286.68</v>
      </c>
    </row>
    <row r="172" spans="1:22" s="30" customFormat="1" ht="24.6" hidden="1" outlineLevel="1" x14ac:dyDescent="0.55000000000000004">
      <c r="A172" s="27" t="s">
        <v>327</v>
      </c>
      <c r="B172" s="28"/>
      <c r="C172" s="27"/>
      <c r="D172" s="27" t="str">
        <f>"""NAV Direct"",""CRONUS JetCorp USA"",""21"",""1"",""377588"""</f>
        <v>"NAV Direct","CRONUS JetCorp USA","21","1","377588"</v>
      </c>
      <c r="E172" s="31" t="str">
        <f t="shared" si="41"/>
        <v>C100014</v>
      </c>
      <c r="F172" s="31"/>
      <c r="G172" s="31"/>
      <c r="H172" s="31"/>
      <c r="I172" s="56"/>
      <c r="J172" s="56"/>
      <c r="K172" s="82" t="str">
        <f t="shared" si="42"/>
        <v>Invoice</v>
      </c>
      <c r="L172" s="83" t="str">
        <f>"SI_111740"</f>
        <v>SI_111740</v>
      </c>
      <c r="M172" s="84">
        <v>42643</v>
      </c>
      <c r="N172" s="85">
        <f t="shared" si="43"/>
        <v>1169</v>
      </c>
      <c r="O172" s="86">
        <f t="shared" si="44"/>
        <v>10534.22</v>
      </c>
      <c r="P172" s="86">
        <f t="shared" si="45"/>
        <v>0</v>
      </c>
      <c r="Q172" s="86">
        <f t="shared" si="46"/>
        <v>0</v>
      </c>
      <c r="R172" s="86">
        <f t="shared" si="47"/>
        <v>0</v>
      </c>
      <c r="S172" s="86">
        <f t="shared" si="48"/>
        <v>0</v>
      </c>
      <c r="T172" s="86">
        <f t="shared" si="49"/>
        <v>10534.22</v>
      </c>
      <c r="U172" s="87">
        <v>10534.22</v>
      </c>
    </row>
    <row r="173" spans="1:22" s="30" customFormat="1" ht="24.6" hidden="1" outlineLevel="1" x14ac:dyDescent="0.55000000000000004">
      <c r="A173" s="27" t="s">
        <v>327</v>
      </c>
      <c r="B173" s="28"/>
      <c r="C173" s="27"/>
      <c r="D173" s="27" t="str">
        <f>"""NAV Direct"",""CRONUS JetCorp USA"",""21"",""1"",""377607"""</f>
        <v>"NAV Direct","CRONUS JetCorp USA","21","1","377607"</v>
      </c>
      <c r="E173" s="31">
        <f t="shared" si="41"/>
        <v>0</v>
      </c>
      <c r="F173" s="31"/>
      <c r="G173" s="31"/>
      <c r="H173" s="31"/>
      <c r="I173" s="56"/>
      <c r="J173" s="56"/>
      <c r="K173" s="82" t="str">
        <f t="shared" si="42"/>
        <v>Invoice</v>
      </c>
      <c r="L173" s="83" t="str">
        <f>"SI_111741"</f>
        <v>SI_111741</v>
      </c>
      <c r="M173" s="84">
        <v>42643</v>
      </c>
      <c r="N173" s="85">
        <f t="shared" si="43"/>
        <v>1169</v>
      </c>
      <c r="O173" s="86">
        <f t="shared" si="44"/>
        <v>10319.299999999999</v>
      </c>
      <c r="P173" s="86">
        <f t="shared" si="45"/>
        <v>0</v>
      </c>
      <c r="Q173" s="86">
        <f t="shared" si="46"/>
        <v>0</v>
      </c>
      <c r="R173" s="86">
        <f t="shared" si="47"/>
        <v>0</v>
      </c>
      <c r="S173" s="86">
        <f t="shared" si="48"/>
        <v>0</v>
      </c>
      <c r="T173" s="86">
        <f t="shared" si="49"/>
        <v>10319.299999999999</v>
      </c>
      <c r="U173" s="87">
        <v>10319.299999999999</v>
      </c>
    </row>
    <row r="174" spans="1:22" s="30" customFormat="1" ht="24.6" hidden="1" outlineLevel="1" x14ac:dyDescent="0.55000000000000004">
      <c r="A174" s="27" t="s">
        <v>327</v>
      </c>
      <c r="B174" s="28"/>
      <c r="C174" s="27"/>
      <c r="D174" s="27" t="str">
        <f>"""NAV Direct"",""CRONUS JetCorp USA"",""21"",""1"",""377871"""</f>
        <v>"NAV Direct","CRONUS JetCorp USA","21","1","377871"</v>
      </c>
      <c r="E174" s="31" t="str">
        <f t="shared" si="41"/>
        <v>C100014</v>
      </c>
      <c r="F174" s="31"/>
      <c r="G174" s="31"/>
      <c r="H174" s="31"/>
      <c r="I174" s="56"/>
      <c r="J174" s="56"/>
      <c r="K174" s="82" t="str">
        <f t="shared" si="42"/>
        <v>Invoice</v>
      </c>
      <c r="L174" s="83" t="str">
        <f>"SI_111751"</f>
        <v>SI_111751</v>
      </c>
      <c r="M174" s="84">
        <v>42886</v>
      </c>
      <c r="N174" s="85">
        <f t="shared" si="43"/>
        <v>926</v>
      </c>
      <c r="O174" s="86">
        <f t="shared" si="44"/>
        <v>13405.66</v>
      </c>
      <c r="P174" s="86">
        <f t="shared" si="45"/>
        <v>0</v>
      </c>
      <c r="Q174" s="86">
        <f t="shared" si="46"/>
        <v>0</v>
      </c>
      <c r="R174" s="86">
        <f t="shared" si="47"/>
        <v>0</v>
      </c>
      <c r="S174" s="86">
        <f t="shared" si="48"/>
        <v>0</v>
      </c>
      <c r="T174" s="86">
        <f t="shared" si="49"/>
        <v>13405.66</v>
      </c>
      <c r="U174" s="87">
        <v>13405.66</v>
      </c>
    </row>
    <row r="175" spans="1:22" s="30" customFormat="1" ht="24.6" hidden="1" outlineLevel="1" x14ac:dyDescent="0.55000000000000004">
      <c r="A175" s="27" t="s">
        <v>327</v>
      </c>
      <c r="B175" s="28"/>
      <c r="C175" s="27"/>
      <c r="D175" s="27" t="str">
        <f>"""NAV Direct"",""CRONUS JetCorp USA"",""21"",""1"",""377941"""</f>
        <v>"NAV Direct","CRONUS JetCorp USA","21","1","377941"</v>
      </c>
      <c r="E175" s="31">
        <f t="shared" si="41"/>
        <v>0</v>
      </c>
      <c r="F175" s="31"/>
      <c r="G175" s="31"/>
      <c r="H175" s="31"/>
      <c r="I175" s="56"/>
      <c r="J175" s="56"/>
      <c r="K175" s="82" t="str">
        <f t="shared" si="42"/>
        <v>Invoice</v>
      </c>
      <c r="L175" s="83" t="str">
        <f>"SI_111753"</f>
        <v>SI_111753</v>
      </c>
      <c r="M175" s="84">
        <v>42916</v>
      </c>
      <c r="N175" s="85">
        <f t="shared" si="43"/>
        <v>896</v>
      </c>
      <c r="O175" s="86">
        <f t="shared" si="44"/>
        <v>14880.51</v>
      </c>
      <c r="P175" s="86">
        <f t="shared" si="45"/>
        <v>0</v>
      </c>
      <c r="Q175" s="86">
        <f t="shared" si="46"/>
        <v>0</v>
      </c>
      <c r="R175" s="86">
        <f t="shared" si="47"/>
        <v>0</v>
      </c>
      <c r="S175" s="86">
        <f t="shared" si="48"/>
        <v>0</v>
      </c>
      <c r="T175" s="86">
        <f t="shared" si="49"/>
        <v>14880.51</v>
      </c>
      <c r="U175" s="87">
        <v>14880.51</v>
      </c>
    </row>
    <row r="176" spans="1:22" s="30" customFormat="1" ht="24.6" hidden="1" outlineLevel="1" x14ac:dyDescent="0.55000000000000004">
      <c r="A176" s="27" t="s">
        <v>327</v>
      </c>
      <c r="B176" s="28"/>
      <c r="C176" s="27"/>
      <c r="D176" s="27" t="str">
        <f>"""NAV Direct"",""CRONUS JetCorp USA"",""21"",""1"",""378129"""</f>
        <v>"NAV Direct","CRONUS JetCorp USA","21","1","378129"</v>
      </c>
      <c r="E176" s="31" t="str">
        <f t="shared" si="41"/>
        <v>C100014</v>
      </c>
      <c r="F176" s="31"/>
      <c r="G176" s="31"/>
      <c r="H176" s="31"/>
      <c r="I176" s="56"/>
      <c r="J176" s="56"/>
      <c r="K176" s="82" t="str">
        <f t="shared" si="42"/>
        <v>Invoice</v>
      </c>
      <c r="L176" s="83" t="str">
        <f>"SI_111759"</f>
        <v>SI_111759</v>
      </c>
      <c r="M176" s="84">
        <v>43008</v>
      </c>
      <c r="N176" s="85">
        <f t="shared" si="43"/>
        <v>804</v>
      </c>
      <c r="O176" s="86">
        <f t="shared" si="44"/>
        <v>11880.41</v>
      </c>
      <c r="P176" s="86">
        <f t="shared" si="45"/>
        <v>0</v>
      </c>
      <c r="Q176" s="86">
        <f t="shared" si="46"/>
        <v>0</v>
      </c>
      <c r="R176" s="86">
        <f t="shared" si="47"/>
        <v>0</v>
      </c>
      <c r="S176" s="86">
        <f t="shared" si="48"/>
        <v>0</v>
      </c>
      <c r="T176" s="86">
        <f t="shared" si="49"/>
        <v>11880.41</v>
      </c>
      <c r="U176" s="87">
        <v>11880.41</v>
      </c>
    </row>
    <row r="177" spans="1:22" s="30" customFormat="1" ht="24.6" hidden="1" outlineLevel="1" x14ac:dyDescent="0.55000000000000004">
      <c r="A177" s="27" t="s">
        <v>327</v>
      </c>
      <c r="B177" s="28"/>
      <c r="C177" s="27"/>
      <c r="D177" s="27" t="str">
        <f>"""NAV Direct"",""CRONUS JetCorp USA"",""21"",""1"",""378844"""</f>
        <v>"NAV Direct","CRONUS JetCorp USA","21","1","378844"</v>
      </c>
      <c r="E177" s="31">
        <f t="shared" si="41"/>
        <v>0</v>
      </c>
      <c r="F177" s="31"/>
      <c r="G177" s="31"/>
      <c r="H177" s="31"/>
      <c r="I177" s="56"/>
      <c r="J177" s="56"/>
      <c r="K177" s="82" t="str">
        <f t="shared" si="42"/>
        <v>Invoice</v>
      </c>
      <c r="L177" s="83" t="str">
        <f>"SI_111780"</f>
        <v>SI_111780</v>
      </c>
      <c r="M177" s="84">
        <v>43465</v>
      </c>
      <c r="N177" s="85">
        <f t="shared" si="43"/>
        <v>347</v>
      </c>
      <c r="O177" s="86">
        <f t="shared" si="44"/>
        <v>16869.59</v>
      </c>
      <c r="P177" s="86">
        <f t="shared" si="45"/>
        <v>0</v>
      </c>
      <c r="Q177" s="86">
        <f t="shared" si="46"/>
        <v>0</v>
      </c>
      <c r="R177" s="86">
        <f t="shared" si="47"/>
        <v>0</v>
      </c>
      <c r="S177" s="86">
        <f t="shared" si="48"/>
        <v>0</v>
      </c>
      <c r="T177" s="86">
        <f t="shared" si="49"/>
        <v>16869.59</v>
      </c>
      <c r="U177" s="87">
        <v>16869.59</v>
      </c>
    </row>
    <row r="178" spans="1:22" s="30" customFormat="1" ht="24.6" hidden="1" outlineLevel="1" x14ac:dyDescent="0.55000000000000004">
      <c r="A178" s="27" t="s">
        <v>327</v>
      </c>
      <c r="B178" s="28"/>
      <c r="C178" s="27"/>
      <c r="D178" s="27" t="str">
        <f>"""NAV Direct"",""CRONUS JetCorp USA"",""21"",""1"",""379234"""</f>
        <v>"NAV Direct","CRONUS JetCorp USA","21","1","379234"</v>
      </c>
      <c r="E178" s="31" t="str">
        <f t="shared" si="41"/>
        <v>C100014</v>
      </c>
      <c r="F178" s="31"/>
      <c r="G178" s="31"/>
      <c r="H178" s="31"/>
      <c r="I178" s="56"/>
      <c r="J178" s="56"/>
      <c r="K178" s="82" t="str">
        <f t="shared" si="42"/>
        <v>Invoice</v>
      </c>
      <c r="L178" s="83" t="str">
        <f>"SI_111790"</f>
        <v>SI_111790</v>
      </c>
      <c r="M178" s="84">
        <v>43616</v>
      </c>
      <c r="N178" s="85">
        <f t="shared" si="43"/>
        <v>196</v>
      </c>
      <c r="O178" s="86">
        <f t="shared" si="44"/>
        <v>26513.85</v>
      </c>
      <c r="P178" s="86">
        <f t="shared" si="45"/>
        <v>0</v>
      </c>
      <c r="Q178" s="86">
        <f t="shared" si="46"/>
        <v>0</v>
      </c>
      <c r="R178" s="86">
        <f t="shared" si="47"/>
        <v>0</v>
      </c>
      <c r="S178" s="86">
        <f t="shared" si="48"/>
        <v>0</v>
      </c>
      <c r="T178" s="86">
        <f t="shared" si="49"/>
        <v>26513.85</v>
      </c>
      <c r="U178" s="87">
        <v>26513.85</v>
      </c>
    </row>
    <row r="179" spans="1:22" s="30" customFormat="1" ht="24.6" hidden="1" outlineLevel="1" x14ac:dyDescent="0.55000000000000004">
      <c r="A179" s="27" t="s">
        <v>327</v>
      </c>
      <c r="B179" s="28"/>
      <c r="C179" s="27"/>
      <c r="D179" s="27" t="str">
        <f>"""NAV Direct"",""CRONUS JetCorp USA"",""21"",""1"",""379589"""</f>
        <v>"NAV Direct","CRONUS JetCorp USA","21","1","379589"</v>
      </c>
      <c r="E179" s="31">
        <f t="shared" si="41"/>
        <v>0</v>
      </c>
      <c r="F179" s="31"/>
      <c r="G179" s="31"/>
      <c r="H179" s="31"/>
      <c r="I179" s="56"/>
      <c r="J179" s="56"/>
      <c r="K179" s="82" t="str">
        <f t="shared" si="42"/>
        <v>Invoice</v>
      </c>
      <c r="L179" s="83" t="str">
        <f>"SI_111799"</f>
        <v>SI_111799</v>
      </c>
      <c r="M179" s="84">
        <v>43769</v>
      </c>
      <c r="N179" s="85">
        <f t="shared" si="43"/>
        <v>43</v>
      </c>
      <c r="O179" s="86">
        <f t="shared" si="44"/>
        <v>19367.670000000002</v>
      </c>
      <c r="P179" s="86">
        <f t="shared" si="45"/>
        <v>0</v>
      </c>
      <c r="Q179" s="86">
        <f t="shared" si="46"/>
        <v>0</v>
      </c>
      <c r="R179" s="86">
        <f t="shared" si="47"/>
        <v>19367.670000000002</v>
      </c>
      <c r="S179" s="86">
        <f t="shared" si="48"/>
        <v>0</v>
      </c>
      <c r="T179" s="86">
        <f t="shared" si="49"/>
        <v>0</v>
      </c>
      <c r="U179" s="87">
        <v>19367.670000000002</v>
      </c>
    </row>
    <row r="180" spans="1:22" s="30" customFormat="1" ht="24.6" hidden="1" outlineLevel="1" x14ac:dyDescent="0.55000000000000004">
      <c r="A180" s="27" t="s">
        <v>327</v>
      </c>
      <c r="B180" s="28"/>
      <c r="C180" s="27"/>
      <c r="D180" s="27" t="str">
        <f>"""NAV Direct"",""CRONUS JetCorp USA"",""21"",""1"",""380232"""</f>
        <v>"NAV Direct","CRONUS JetCorp USA","21","1","380232"</v>
      </c>
      <c r="E180" s="31" t="str">
        <f t="shared" si="41"/>
        <v>C100014</v>
      </c>
      <c r="F180" s="31"/>
      <c r="G180" s="31"/>
      <c r="H180" s="31"/>
      <c r="I180" s="56"/>
      <c r="J180" s="56"/>
      <c r="K180" s="82" t="str">
        <f t="shared" si="42"/>
        <v>Invoice</v>
      </c>
      <c r="L180" s="83" t="str">
        <f>"SI_111816"</f>
        <v>SI_111816</v>
      </c>
      <c r="M180" s="84">
        <v>42247</v>
      </c>
      <c r="N180" s="85">
        <f t="shared" si="43"/>
        <v>1565</v>
      </c>
      <c r="O180" s="86">
        <f t="shared" si="44"/>
        <v>15206.189999999999</v>
      </c>
      <c r="P180" s="86">
        <f t="shared" si="45"/>
        <v>0</v>
      </c>
      <c r="Q180" s="86">
        <f t="shared" si="46"/>
        <v>0</v>
      </c>
      <c r="R180" s="86">
        <f t="shared" si="47"/>
        <v>0</v>
      </c>
      <c r="S180" s="86">
        <f t="shared" si="48"/>
        <v>0</v>
      </c>
      <c r="T180" s="86">
        <f t="shared" si="49"/>
        <v>15206.189999999999</v>
      </c>
      <c r="U180" s="87">
        <v>15206.189999999999</v>
      </c>
    </row>
    <row r="181" spans="1:22" s="30" customFormat="1" ht="24.6" hidden="1" outlineLevel="1" x14ac:dyDescent="0.55000000000000004">
      <c r="A181" s="27" t="s">
        <v>327</v>
      </c>
      <c r="B181" s="28"/>
      <c r="C181" s="27"/>
      <c r="D181" s="27" t="str">
        <f>"""NAV Direct"",""CRONUS JetCorp USA"",""21"",""1"",""380433"""</f>
        <v>"NAV Direct","CRONUS JetCorp USA","21","1","380433"</v>
      </c>
      <c r="E181" s="31">
        <f t="shared" si="41"/>
        <v>0</v>
      </c>
      <c r="F181" s="31"/>
      <c r="G181" s="31"/>
      <c r="H181" s="31"/>
      <c r="I181" s="56"/>
      <c r="J181" s="56"/>
      <c r="K181" s="82" t="str">
        <f t="shared" si="42"/>
        <v>Invoice</v>
      </c>
      <c r="L181" s="83" t="str">
        <f>"SI_111821"</f>
        <v>SI_111821</v>
      </c>
      <c r="M181" s="84">
        <v>42338</v>
      </c>
      <c r="N181" s="85">
        <f t="shared" si="43"/>
        <v>1474</v>
      </c>
      <c r="O181" s="86">
        <f t="shared" si="44"/>
        <v>22147.360000000001</v>
      </c>
      <c r="P181" s="86">
        <f t="shared" si="45"/>
        <v>0</v>
      </c>
      <c r="Q181" s="86">
        <f t="shared" si="46"/>
        <v>0</v>
      </c>
      <c r="R181" s="86">
        <f t="shared" si="47"/>
        <v>0</v>
      </c>
      <c r="S181" s="86">
        <f t="shared" si="48"/>
        <v>0</v>
      </c>
      <c r="T181" s="86">
        <f t="shared" si="49"/>
        <v>22147.360000000001</v>
      </c>
      <c r="U181" s="87">
        <v>22147.360000000001</v>
      </c>
    </row>
    <row r="182" spans="1:22" s="30" customFormat="1" ht="24.6" hidden="1" outlineLevel="1" x14ac:dyDescent="0.55000000000000004">
      <c r="A182" s="27" t="s">
        <v>327</v>
      </c>
      <c r="B182" s="28"/>
      <c r="C182" s="27"/>
      <c r="D182" s="27" t="str">
        <f>"""NAV Direct"",""CRONUS JetCorp USA"",""21"",""1"",""437958"""</f>
        <v>"NAV Direct","CRONUS JetCorp USA","21","1","437958"</v>
      </c>
      <c r="E182" s="31" t="str">
        <f t="shared" si="41"/>
        <v>C100014</v>
      </c>
      <c r="F182" s="31"/>
      <c r="G182" s="31"/>
      <c r="H182" s="31"/>
      <c r="I182" s="56"/>
      <c r="J182" s="56"/>
      <c r="K182" s="82" t="str">
        <f>"Credit Memo"</f>
        <v>Credit Memo</v>
      </c>
      <c r="L182" s="83" t="str">
        <f>"SC_100782"</f>
        <v>SC_100782</v>
      </c>
      <c r="M182" s="84">
        <v>42675</v>
      </c>
      <c r="N182" s="85">
        <f t="shared" si="43"/>
        <v>1137</v>
      </c>
      <c r="O182" s="86">
        <f t="shared" si="44"/>
        <v>-127.21</v>
      </c>
      <c r="P182" s="86">
        <f t="shared" si="45"/>
        <v>0</v>
      </c>
      <c r="Q182" s="86">
        <f t="shared" si="46"/>
        <v>0</v>
      </c>
      <c r="R182" s="86">
        <f t="shared" si="47"/>
        <v>0</v>
      </c>
      <c r="S182" s="86">
        <f t="shared" si="48"/>
        <v>0</v>
      </c>
      <c r="T182" s="86">
        <f t="shared" si="49"/>
        <v>-127.21</v>
      </c>
      <c r="U182" s="87">
        <v>-127.21</v>
      </c>
    </row>
    <row r="183" spans="1:22" s="30" customFormat="1" ht="24.6" hidden="1" outlineLevel="1" x14ac:dyDescent="0.55000000000000004">
      <c r="A183" s="27" t="s">
        <v>327</v>
      </c>
      <c r="B183" s="28"/>
      <c r="C183" s="27"/>
      <c r="D183" s="27" t="str">
        <f>"""NAV Direct"",""CRONUS JetCorp USA"",""21"",""1"",""437971"""</f>
        <v>"NAV Direct","CRONUS JetCorp USA","21","1","437971"</v>
      </c>
      <c r="E183" s="31">
        <f t="shared" si="41"/>
        <v>0</v>
      </c>
      <c r="F183" s="31"/>
      <c r="G183" s="31"/>
      <c r="H183" s="31"/>
      <c r="I183" s="56"/>
      <c r="J183" s="56"/>
      <c r="K183" s="82" t="str">
        <f>"Credit Memo"</f>
        <v>Credit Memo</v>
      </c>
      <c r="L183" s="83" t="str">
        <f>"SC_100783"</f>
        <v>SC_100783</v>
      </c>
      <c r="M183" s="84">
        <v>42709</v>
      </c>
      <c r="N183" s="85">
        <f t="shared" si="43"/>
        <v>1103</v>
      </c>
      <c r="O183" s="86">
        <f t="shared" si="44"/>
        <v>-139.44</v>
      </c>
      <c r="P183" s="86">
        <f t="shared" si="45"/>
        <v>0</v>
      </c>
      <c r="Q183" s="86">
        <f t="shared" si="46"/>
        <v>0</v>
      </c>
      <c r="R183" s="86">
        <f t="shared" si="47"/>
        <v>0</v>
      </c>
      <c r="S183" s="86">
        <f t="shared" si="48"/>
        <v>0</v>
      </c>
      <c r="T183" s="86">
        <f t="shared" si="49"/>
        <v>-139.44</v>
      </c>
      <c r="U183" s="87">
        <v>-139.44</v>
      </c>
    </row>
    <row r="184" spans="1:22" s="30" customFormat="1" ht="24.6" hidden="1" outlineLevel="1" x14ac:dyDescent="0.55000000000000004">
      <c r="A184" s="27" t="s">
        <v>327</v>
      </c>
      <c r="B184" s="28"/>
      <c r="C184" s="27"/>
      <c r="D184" s="27" t="str">
        <f>"""NAV Direct"",""CRONUS JetCorp USA"",""21"",""1"",""438162"""</f>
        <v>"NAV Direct","CRONUS JetCorp USA","21","1","438162"</v>
      </c>
      <c r="E184" s="31" t="str">
        <f t="shared" si="41"/>
        <v>C100014</v>
      </c>
      <c r="F184" s="31"/>
      <c r="G184" s="31"/>
      <c r="H184" s="31"/>
      <c r="I184" s="56"/>
      <c r="J184" s="56"/>
      <c r="K184" s="82" t="str">
        <f>"Credit Memo"</f>
        <v>Credit Memo</v>
      </c>
      <c r="L184" s="83" t="str">
        <f>"SC_100796"</f>
        <v>SC_100796</v>
      </c>
      <c r="M184" s="84">
        <v>43628</v>
      </c>
      <c r="N184" s="85">
        <f t="shared" si="43"/>
        <v>184</v>
      </c>
      <c r="O184" s="86">
        <f t="shared" si="44"/>
        <v>-297.65000000000003</v>
      </c>
      <c r="P184" s="86">
        <f t="shared" si="45"/>
        <v>0</v>
      </c>
      <c r="Q184" s="86">
        <f t="shared" si="46"/>
        <v>0</v>
      </c>
      <c r="R184" s="86">
        <f t="shared" si="47"/>
        <v>0</v>
      </c>
      <c r="S184" s="86">
        <f t="shared" si="48"/>
        <v>0</v>
      </c>
      <c r="T184" s="86">
        <f t="shared" si="49"/>
        <v>-297.65000000000003</v>
      </c>
      <c r="U184" s="87">
        <v>-297.65000000000003</v>
      </c>
    </row>
    <row r="185" spans="1:22" s="22" customFormat="1" ht="20.399999999999999" collapsed="1" x14ac:dyDescent="0.45">
      <c r="A185" s="12" t="s">
        <v>327</v>
      </c>
      <c r="B185" s="19"/>
      <c r="C185" s="12"/>
      <c r="D185" s="12"/>
      <c r="E185" s="23"/>
      <c r="F185" s="23"/>
      <c r="G185" s="23"/>
      <c r="H185" s="23"/>
      <c r="I185" s="49"/>
      <c r="J185" s="88"/>
      <c r="K185" s="88"/>
      <c r="L185" s="89"/>
      <c r="M185" s="89"/>
      <c r="N185" s="89"/>
      <c r="O185" s="89"/>
      <c r="P185" s="89"/>
      <c r="Q185" s="90"/>
      <c r="R185" s="90"/>
      <c r="S185" s="91"/>
      <c r="T185" s="92"/>
      <c r="U185" s="92"/>
    </row>
    <row r="186" spans="1:22" s="22" customFormat="1" ht="20.399999999999999" x14ac:dyDescent="0.45">
      <c r="A186" s="12" t="s">
        <v>327</v>
      </c>
      <c r="B186" s="19"/>
      <c r="C186" s="12"/>
      <c r="D186" s="12"/>
      <c r="E186" s="23"/>
      <c r="F186" s="23"/>
      <c r="G186" s="23"/>
      <c r="H186" s="23"/>
      <c r="I186" s="49"/>
      <c r="J186" s="88"/>
      <c r="K186" s="88"/>
      <c r="L186" s="89"/>
      <c r="M186" s="89"/>
      <c r="N186" s="89"/>
      <c r="O186" s="89"/>
      <c r="P186" s="89"/>
      <c r="Q186" s="90"/>
      <c r="R186" s="90"/>
      <c r="S186" s="91"/>
      <c r="T186" s="92"/>
      <c r="U186" s="92"/>
    </row>
    <row r="187" spans="1:22" s="26" customFormat="1" ht="24.6" x14ac:dyDescent="0.55000000000000004">
      <c r="A187" s="27" t="s">
        <v>327</v>
      </c>
      <c r="B187" s="28"/>
      <c r="C187" s="27" t="str">
        <f>"""NAV Direct"",""CRONUS JetCorp USA"",""18"",""1"",""C100015"""</f>
        <v>"NAV Direct","CRONUS JetCorp USA","18","1","C100015"</v>
      </c>
      <c r="D187" s="27"/>
      <c r="E187" s="28" t="str">
        <f>H187</f>
        <v>C100015</v>
      </c>
      <c r="F187" s="28"/>
      <c r="G187" s="28"/>
      <c r="H187" s="28" t="str">
        <f>"C100015"</f>
        <v>C100015</v>
      </c>
      <c r="I187" s="116" t="str">
        <f>"C100015  -  Carl Anthony"</f>
        <v>C100015  -  Carl Anthony</v>
      </c>
      <c r="J187" s="117" t="str">
        <f>""</f>
        <v/>
      </c>
      <c r="K187" s="118"/>
      <c r="L187" s="119">
        <f>SUBTOTAL(3,L188:L232)</f>
        <v>41</v>
      </c>
      <c r="M187" s="118"/>
      <c r="N187" s="118"/>
      <c r="O187" s="120">
        <f t="shared" ref="O187:T187" si="50">SUBTOTAL(9,O188:O232)</f>
        <v>561976.9800000001</v>
      </c>
      <c r="P187" s="120">
        <f t="shared" si="50"/>
        <v>35191.790000000008</v>
      </c>
      <c r="Q187" s="120">
        <f t="shared" si="50"/>
        <v>17288.48</v>
      </c>
      <c r="R187" s="120">
        <f t="shared" si="50"/>
        <v>17288.5</v>
      </c>
      <c r="S187" s="120">
        <f t="shared" si="50"/>
        <v>0</v>
      </c>
      <c r="T187" s="120">
        <f t="shared" si="50"/>
        <v>492208.20999999996</v>
      </c>
      <c r="U187" s="81"/>
    </row>
    <row r="188" spans="1:22" s="26" customFormat="1" ht="24.6" x14ac:dyDescent="0.55000000000000004">
      <c r="A188" s="27" t="s">
        <v>327</v>
      </c>
      <c r="B188" s="28"/>
      <c r="C188" s="27" t="str">
        <f>C187</f>
        <v>"NAV Direct","CRONUS JetCorp USA","18","1","C100015"</v>
      </c>
      <c r="D188" s="27"/>
      <c r="E188" s="28" t="str">
        <f>E187</f>
        <v>C100015</v>
      </c>
      <c r="F188" s="28"/>
      <c r="G188" s="28"/>
      <c r="H188" s="28"/>
      <c r="I188" s="121" t="str">
        <f>"Contact: Hr. Carl Anthony"</f>
        <v>Contact: Hr. Carl Anthony</v>
      </c>
      <c r="J188" s="121"/>
      <c r="K188" s="122"/>
      <c r="L188" s="123"/>
      <c r="M188" s="123"/>
      <c r="N188" s="124"/>
      <c r="O188" s="124"/>
      <c r="P188" s="123"/>
      <c r="Q188" s="125"/>
      <c r="R188" s="126"/>
      <c r="S188" s="126"/>
      <c r="T188" s="125"/>
      <c r="U188" s="81"/>
    </row>
    <row r="189" spans="1:22" s="26" customFormat="1" ht="24.6" x14ac:dyDescent="0.55000000000000004">
      <c r="A189" s="27" t="s">
        <v>327</v>
      </c>
      <c r="B189" s="28"/>
      <c r="C189" s="27" t="str">
        <f>C188</f>
        <v>"NAV Direct","CRONUS JetCorp USA","18","1","C100015"</v>
      </c>
      <c r="D189" s="27"/>
      <c r="E189" s="28" t="str">
        <f>E188</f>
        <v>C100015</v>
      </c>
      <c r="F189" s="28"/>
      <c r="G189" s="28"/>
      <c r="H189" s="28"/>
      <c r="I189" s="121" t="str">
        <f>"carl.anthony@cronuscorp.net"</f>
        <v>carl.anthony@cronuscorp.net</v>
      </c>
      <c r="J189" s="121"/>
      <c r="K189" s="122"/>
      <c r="L189" s="124"/>
      <c r="M189" s="124"/>
      <c r="N189" s="124"/>
      <c r="O189" s="124"/>
      <c r="P189" s="123"/>
      <c r="Q189" s="125"/>
      <c r="R189" s="126"/>
      <c r="S189" s="126"/>
      <c r="T189" s="125"/>
      <c r="U189" s="81"/>
    </row>
    <row r="190" spans="1:22" ht="12.75" hidden="1" customHeight="1" outlineLevel="1" x14ac:dyDescent="0.45">
      <c r="A190" s="12" t="s">
        <v>328</v>
      </c>
      <c r="B190" s="19"/>
      <c r="E190" s="19"/>
      <c r="F190" s="19"/>
      <c r="G190" s="19"/>
      <c r="H190" s="19"/>
      <c r="I190" s="61"/>
      <c r="J190" s="61"/>
      <c r="K190" s="61"/>
      <c r="L190" s="61"/>
      <c r="M190" s="61"/>
      <c r="N190" s="61"/>
      <c r="O190" s="61"/>
      <c r="P190" s="61"/>
      <c r="Q190" s="61"/>
      <c r="R190" s="61"/>
      <c r="S190" s="61"/>
      <c r="T190" s="61"/>
      <c r="U190" s="61"/>
      <c r="V190" s="21"/>
    </row>
    <row r="191" spans="1:22" s="30" customFormat="1" ht="24.6" hidden="1" outlineLevel="1" x14ac:dyDescent="0.55000000000000004">
      <c r="A191" s="27" t="s">
        <v>327</v>
      </c>
      <c r="B191" s="28"/>
      <c r="C191" s="27"/>
      <c r="D191" s="27" t="str">
        <f>"""NAV Direct"",""CRONUS JetCorp USA"",""21"",""1"",""35487"""</f>
        <v>"NAV Direct","CRONUS JetCorp USA","21","1","35487"</v>
      </c>
      <c r="E191" s="31" t="str">
        <f t="shared" ref="E191:E231" si="51">E189</f>
        <v>C100015</v>
      </c>
      <c r="F191" s="31"/>
      <c r="G191" s="31"/>
      <c r="H191" s="31"/>
      <c r="I191" s="56"/>
      <c r="J191" s="56"/>
      <c r="K191" s="82" t="str">
        <f t="shared" ref="K191:K223" si="52">"Invoice"</f>
        <v>Invoice</v>
      </c>
      <c r="L191" s="83" t="str">
        <f>"SI_104669"</f>
        <v>SI_104669</v>
      </c>
      <c r="M191" s="84">
        <v>42300</v>
      </c>
      <c r="N191" s="85">
        <f t="shared" ref="N191:N231" si="53">StartDate-$M191+1</f>
        <v>1512</v>
      </c>
      <c r="O191" s="86">
        <f t="shared" ref="O191:O231" si="54">SUM(P191:T191)</f>
        <v>18676.61</v>
      </c>
      <c r="P191" s="86">
        <f t="shared" ref="P191:P231" si="55">IF($M191&gt;=$P$18,U191,0)</f>
        <v>0</v>
      </c>
      <c r="Q191" s="86">
        <f t="shared" ref="Q191:Q231" si="56">IF(AND($M191&gt;=$Q$16,$M191&lt;=$Q$18),U191,0)</f>
        <v>0</v>
      </c>
      <c r="R191" s="86">
        <f t="shared" ref="R191:R231" si="57">IF(AND($M191&gt;=$R$16,$M191&lt;=$R$18),U191,0)</f>
        <v>0</v>
      </c>
      <c r="S191" s="86">
        <f t="shared" ref="S191:S231" si="58">IF(AND($M191&gt;=$S$16,$M191&lt;=$S$18),U191,0)</f>
        <v>0</v>
      </c>
      <c r="T191" s="86">
        <f t="shared" ref="T191:T231" si="59">IF($M191&lt;=$T$18,U191,0)</f>
        <v>18676.61</v>
      </c>
      <c r="U191" s="87">
        <v>18676.61</v>
      </c>
    </row>
    <row r="192" spans="1:22" s="30" customFormat="1" ht="24.6" hidden="1" outlineLevel="1" x14ac:dyDescent="0.55000000000000004">
      <c r="A192" s="27" t="s">
        <v>327</v>
      </c>
      <c r="B192" s="28"/>
      <c r="C192" s="27"/>
      <c r="D192" s="27" t="str">
        <f>"""NAV Direct"",""CRONUS JetCorp USA"",""21"",""1"",""35707"""</f>
        <v>"NAV Direct","CRONUS JetCorp USA","21","1","35707"</v>
      </c>
      <c r="E192" s="31">
        <f t="shared" si="51"/>
        <v>0</v>
      </c>
      <c r="F192" s="31"/>
      <c r="G192" s="31"/>
      <c r="H192" s="31"/>
      <c r="I192" s="56"/>
      <c r="J192" s="56"/>
      <c r="K192" s="82" t="str">
        <f t="shared" si="52"/>
        <v>Invoice</v>
      </c>
      <c r="L192" s="83" t="str">
        <f>"SI_104677"</f>
        <v>SI_104677</v>
      </c>
      <c r="M192" s="84">
        <v>42360</v>
      </c>
      <c r="N192" s="85">
        <f t="shared" si="53"/>
        <v>1452</v>
      </c>
      <c r="O192" s="86">
        <f t="shared" si="54"/>
        <v>19531.810000000001</v>
      </c>
      <c r="P192" s="86">
        <f t="shared" si="55"/>
        <v>0</v>
      </c>
      <c r="Q192" s="86">
        <f t="shared" si="56"/>
        <v>0</v>
      </c>
      <c r="R192" s="86">
        <f t="shared" si="57"/>
        <v>0</v>
      </c>
      <c r="S192" s="86">
        <f t="shared" si="58"/>
        <v>0</v>
      </c>
      <c r="T192" s="86">
        <f t="shared" si="59"/>
        <v>19531.810000000001</v>
      </c>
      <c r="U192" s="87">
        <v>19531.810000000001</v>
      </c>
    </row>
    <row r="193" spans="1:21" s="30" customFormat="1" ht="24.6" hidden="1" outlineLevel="1" x14ac:dyDescent="0.55000000000000004">
      <c r="A193" s="27" t="s">
        <v>327</v>
      </c>
      <c r="B193" s="28"/>
      <c r="C193" s="27"/>
      <c r="D193" s="27" t="str">
        <f>"""NAV Direct"",""CRONUS JetCorp USA"",""21"",""1"",""35732"""</f>
        <v>"NAV Direct","CRONUS JetCorp USA","21","1","35732"</v>
      </c>
      <c r="E193" s="31" t="str">
        <f t="shared" si="51"/>
        <v>C100015</v>
      </c>
      <c r="F193" s="31"/>
      <c r="G193" s="31"/>
      <c r="H193" s="31"/>
      <c r="I193" s="56"/>
      <c r="J193" s="56"/>
      <c r="K193" s="82" t="str">
        <f t="shared" si="52"/>
        <v>Invoice</v>
      </c>
      <c r="L193" s="83" t="str">
        <f>"SI_104678"</f>
        <v>SI_104678</v>
      </c>
      <c r="M193" s="84">
        <v>42368</v>
      </c>
      <c r="N193" s="85">
        <f t="shared" si="53"/>
        <v>1444</v>
      </c>
      <c r="O193" s="86">
        <f t="shared" si="54"/>
        <v>19734.64</v>
      </c>
      <c r="P193" s="86">
        <f t="shared" si="55"/>
        <v>0</v>
      </c>
      <c r="Q193" s="86">
        <f t="shared" si="56"/>
        <v>0</v>
      </c>
      <c r="R193" s="86">
        <f t="shared" si="57"/>
        <v>0</v>
      </c>
      <c r="S193" s="86">
        <f t="shared" si="58"/>
        <v>0</v>
      </c>
      <c r="T193" s="86">
        <f t="shared" si="59"/>
        <v>19734.64</v>
      </c>
      <c r="U193" s="87">
        <v>19734.64</v>
      </c>
    </row>
    <row r="194" spans="1:21" s="30" customFormat="1" ht="24.6" hidden="1" outlineLevel="1" x14ac:dyDescent="0.55000000000000004">
      <c r="A194" s="27" t="s">
        <v>327</v>
      </c>
      <c r="B194" s="28"/>
      <c r="C194" s="27"/>
      <c r="D194" s="27" t="str">
        <f>"""NAV Direct"",""CRONUS JetCorp USA"",""21"",""1"",""35755"""</f>
        <v>"NAV Direct","CRONUS JetCorp USA","21","1","35755"</v>
      </c>
      <c r="E194" s="31">
        <f t="shared" si="51"/>
        <v>0</v>
      </c>
      <c r="F194" s="31"/>
      <c r="G194" s="31"/>
      <c r="H194" s="31"/>
      <c r="I194" s="56"/>
      <c r="J194" s="56"/>
      <c r="K194" s="82" t="str">
        <f t="shared" si="52"/>
        <v>Invoice</v>
      </c>
      <c r="L194" s="83" t="str">
        <f>"SI_104679"</f>
        <v>SI_104679</v>
      </c>
      <c r="M194" s="84">
        <v>42739</v>
      </c>
      <c r="N194" s="85">
        <f t="shared" si="53"/>
        <v>1073</v>
      </c>
      <c r="O194" s="86">
        <f t="shared" si="54"/>
        <v>19937.490000000002</v>
      </c>
      <c r="P194" s="86">
        <f t="shared" si="55"/>
        <v>0</v>
      </c>
      <c r="Q194" s="86">
        <f t="shared" si="56"/>
        <v>0</v>
      </c>
      <c r="R194" s="86">
        <f t="shared" si="57"/>
        <v>0</v>
      </c>
      <c r="S194" s="86">
        <f t="shared" si="58"/>
        <v>0</v>
      </c>
      <c r="T194" s="86">
        <f t="shared" si="59"/>
        <v>19937.490000000002</v>
      </c>
      <c r="U194" s="87">
        <v>19937.490000000002</v>
      </c>
    </row>
    <row r="195" spans="1:21" s="30" customFormat="1" ht="24.6" hidden="1" outlineLevel="1" x14ac:dyDescent="0.55000000000000004">
      <c r="A195" s="27" t="s">
        <v>327</v>
      </c>
      <c r="B195" s="28"/>
      <c r="C195" s="27"/>
      <c r="D195" s="27" t="str">
        <f>"""NAV Direct"",""CRONUS JetCorp USA"",""21"",""1"",""325612"""</f>
        <v>"NAV Direct","CRONUS JetCorp USA","21","1","325612"</v>
      </c>
      <c r="E195" s="31" t="str">
        <f t="shared" si="51"/>
        <v>C100015</v>
      </c>
      <c r="F195" s="31"/>
      <c r="G195" s="31"/>
      <c r="H195" s="31"/>
      <c r="I195" s="56"/>
      <c r="J195" s="56"/>
      <c r="K195" s="82" t="str">
        <f t="shared" si="52"/>
        <v>Invoice</v>
      </c>
      <c r="L195" s="83" t="str">
        <f>"SI_110216"</f>
        <v>SI_110216</v>
      </c>
      <c r="M195" s="84">
        <v>42431</v>
      </c>
      <c r="N195" s="85">
        <f t="shared" si="53"/>
        <v>1381</v>
      </c>
      <c r="O195" s="86">
        <f t="shared" si="54"/>
        <v>15619.92</v>
      </c>
      <c r="P195" s="86">
        <f t="shared" si="55"/>
        <v>0</v>
      </c>
      <c r="Q195" s="86">
        <f t="shared" si="56"/>
        <v>0</v>
      </c>
      <c r="R195" s="86">
        <f t="shared" si="57"/>
        <v>0</v>
      </c>
      <c r="S195" s="86">
        <f t="shared" si="58"/>
        <v>0</v>
      </c>
      <c r="T195" s="86">
        <f t="shared" si="59"/>
        <v>15619.92</v>
      </c>
      <c r="U195" s="87">
        <v>15619.92</v>
      </c>
    </row>
    <row r="196" spans="1:21" s="30" customFormat="1" ht="24.6" hidden="1" outlineLevel="1" x14ac:dyDescent="0.55000000000000004">
      <c r="A196" s="27" t="s">
        <v>327</v>
      </c>
      <c r="B196" s="28"/>
      <c r="C196" s="27"/>
      <c r="D196" s="27" t="str">
        <f>"""NAV Direct"",""CRONUS JetCorp USA"",""21"",""1"",""325755"""</f>
        <v>"NAV Direct","CRONUS JetCorp USA","21","1","325755"</v>
      </c>
      <c r="E196" s="31">
        <f t="shared" si="51"/>
        <v>0</v>
      </c>
      <c r="F196" s="31"/>
      <c r="G196" s="31"/>
      <c r="H196" s="31"/>
      <c r="I196" s="56"/>
      <c r="J196" s="56"/>
      <c r="K196" s="82" t="str">
        <f t="shared" si="52"/>
        <v>Invoice</v>
      </c>
      <c r="L196" s="83" t="str">
        <f>"SI_110221"</f>
        <v>SI_110221</v>
      </c>
      <c r="M196" s="84">
        <v>42516</v>
      </c>
      <c r="N196" s="85">
        <f t="shared" si="53"/>
        <v>1296</v>
      </c>
      <c r="O196" s="86">
        <f t="shared" si="54"/>
        <v>17744.98</v>
      </c>
      <c r="P196" s="86">
        <f t="shared" si="55"/>
        <v>0</v>
      </c>
      <c r="Q196" s="86">
        <f t="shared" si="56"/>
        <v>0</v>
      </c>
      <c r="R196" s="86">
        <f t="shared" si="57"/>
        <v>0</v>
      </c>
      <c r="S196" s="86">
        <f t="shared" si="58"/>
        <v>0</v>
      </c>
      <c r="T196" s="86">
        <f t="shared" si="59"/>
        <v>17744.98</v>
      </c>
      <c r="U196" s="87">
        <v>17744.98</v>
      </c>
    </row>
    <row r="197" spans="1:21" s="30" customFormat="1" ht="24.6" hidden="1" outlineLevel="1" x14ac:dyDescent="0.55000000000000004">
      <c r="A197" s="27" t="s">
        <v>327</v>
      </c>
      <c r="B197" s="28"/>
      <c r="C197" s="27"/>
      <c r="D197" s="27" t="str">
        <f>"""NAV Direct"",""CRONUS JetCorp USA"",""21"",""1"",""325782"""</f>
        <v>"NAV Direct","CRONUS JetCorp USA","21","1","325782"</v>
      </c>
      <c r="E197" s="31" t="str">
        <f t="shared" si="51"/>
        <v>C100015</v>
      </c>
      <c r="F197" s="31"/>
      <c r="G197" s="31"/>
      <c r="H197" s="31"/>
      <c r="I197" s="56"/>
      <c r="J197" s="56"/>
      <c r="K197" s="82" t="str">
        <f t="shared" si="52"/>
        <v>Invoice</v>
      </c>
      <c r="L197" s="83" t="str">
        <f>"SI_110222"</f>
        <v>SI_110222</v>
      </c>
      <c r="M197" s="84">
        <v>42531</v>
      </c>
      <c r="N197" s="85">
        <f t="shared" si="53"/>
        <v>1281</v>
      </c>
      <c r="O197" s="86">
        <f t="shared" si="54"/>
        <v>16478.259999999998</v>
      </c>
      <c r="P197" s="86">
        <f t="shared" si="55"/>
        <v>0</v>
      </c>
      <c r="Q197" s="86">
        <f t="shared" si="56"/>
        <v>0</v>
      </c>
      <c r="R197" s="86">
        <f t="shared" si="57"/>
        <v>0</v>
      </c>
      <c r="S197" s="86">
        <f t="shared" si="58"/>
        <v>0</v>
      </c>
      <c r="T197" s="86">
        <f t="shared" si="59"/>
        <v>16478.259999999998</v>
      </c>
      <c r="U197" s="87">
        <v>16478.259999999998</v>
      </c>
    </row>
    <row r="198" spans="1:21" s="30" customFormat="1" ht="24.6" hidden="1" outlineLevel="1" x14ac:dyDescent="0.55000000000000004">
      <c r="A198" s="27" t="s">
        <v>327</v>
      </c>
      <c r="B198" s="28"/>
      <c r="C198" s="27"/>
      <c r="D198" s="27" t="str">
        <f>"""NAV Direct"",""CRONUS JetCorp USA"",""21"",""1"",""326002"""</f>
        <v>"NAV Direct","CRONUS JetCorp USA","21","1","326002"</v>
      </c>
      <c r="E198" s="31">
        <f t="shared" si="51"/>
        <v>0</v>
      </c>
      <c r="F198" s="31"/>
      <c r="G198" s="31"/>
      <c r="H198" s="31"/>
      <c r="I198" s="56"/>
      <c r="J198" s="56"/>
      <c r="K198" s="82" t="str">
        <f t="shared" si="52"/>
        <v>Invoice</v>
      </c>
      <c r="L198" s="83" t="str">
        <f>"SI_110230"</f>
        <v>SI_110230</v>
      </c>
      <c r="M198" s="84">
        <v>42618</v>
      </c>
      <c r="N198" s="85">
        <f t="shared" si="53"/>
        <v>1194</v>
      </c>
      <c r="O198" s="86">
        <f t="shared" si="54"/>
        <v>18552.96</v>
      </c>
      <c r="P198" s="86">
        <f t="shared" si="55"/>
        <v>0</v>
      </c>
      <c r="Q198" s="86">
        <f t="shared" si="56"/>
        <v>0</v>
      </c>
      <c r="R198" s="86">
        <f t="shared" si="57"/>
        <v>0</v>
      </c>
      <c r="S198" s="86">
        <f t="shared" si="58"/>
        <v>0</v>
      </c>
      <c r="T198" s="86">
        <f t="shared" si="59"/>
        <v>18552.96</v>
      </c>
      <c r="U198" s="87">
        <v>18552.96</v>
      </c>
    </row>
    <row r="199" spans="1:21" s="30" customFormat="1" ht="24.6" hidden="1" outlineLevel="1" x14ac:dyDescent="0.55000000000000004">
      <c r="A199" s="27" t="s">
        <v>327</v>
      </c>
      <c r="B199" s="28"/>
      <c r="C199" s="27"/>
      <c r="D199" s="27" t="str">
        <f>"""NAV Direct"",""CRONUS JetCorp USA"",""21"",""1"",""326342"""</f>
        <v>"NAV Direct","CRONUS JetCorp USA","21","1","326342"</v>
      </c>
      <c r="E199" s="31" t="str">
        <f t="shared" si="51"/>
        <v>C100015</v>
      </c>
      <c r="F199" s="31"/>
      <c r="G199" s="31"/>
      <c r="H199" s="31"/>
      <c r="I199" s="56"/>
      <c r="J199" s="56"/>
      <c r="K199" s="82" t="str">
        <f t="shared" si="52"/>
        <v>Invoice</v>
      </c>
      <c r="L199" s="83" t="str">
        <f>"SI_110242"</f>
        <v>SI_110242</v>
      </c>
      <c r="M199" s="84">
        <v>42786</v>
      </c>
      <c r="N199" s="85">
        <f t="shared" si="53"/>
        <v>1026</v>
      </c>
      <c r="O199" s="86">
        <f t="shared" si="54"/>
        <v>19688.73</v>
      </c>
      <c r="P199" s="86">
        <f t="shared" si="55"/>
        <v>0</v>
      </c>
      <c r="Q199" s="86">
        <f t="shared" si="56"/>
        <v>0</v>
      </c>
      <c r="R199" s="86">
        <f t="shared" si="57"/>
        <v>0</v>
      </c>
      <c r="S199" s="86">
        <f t="shared" si="58"/>
        <v>0</v>
      </c>
      <c r="T199" s="86">
        <f t="shared" si="59"/>
        <v>19688.73</v>
      </c>
      <c r="U199" s="87">
        <v>19688.73</v>
      </c>
    </row>
    <row r="200" spans="1:21" s="30" customFormat="1" ht="24.6" hidden="1" outlineLevel="1" x14ac:dyDescent="0.55000000000000004">
      <c r="A200" s="27" t="s">
        <v>327</v>
      </c>
      <c r="B200" s="28"/>
      <c r="C200" s="27"/>
      <c r="D200" s="27" t="str">
        <f>"""NAV Direct"",""CRONUS JetCorp USA"",""21"",""1"",""326452"""</f>
        <v>"NAV Direct","CRONUS JetCorp USA","21","1","326452"</v>
      </c>
      <c r="E200" s="31">
        <f t="shared" si="51"/>
        <v>0</v>
      </c>
      <c r="F200" s="31"/>
      <c r="G200" s="31"/>
      <c r="H200" s="31"/>
      <c r="I200" s="56"/>
      <c r="J200" s="56"/>
      <c r="K200" s="82" t="str">
        <f t="shared" si="52"/>
        <v>Invoice</v>
      </c>
      <c r="L200" s="83" t="str">
        <f>"SI_110246"</f>
        <v>SI_110246</v>
      </c>
      <c r="M200" s="84">
        <v>42831</v>
      </c>
      <c r="N200" s="85">
        <f t="shared" si="53"/>
        <v>981</v>
      </c>
      <c r="O200" s="86">
        <f t="shared" si="54"/>
        <v>20411.97</v>
      </c>
      <c r="P200" s="86">
        <f t="shared" si="55"/>
        <v>0</v>
      </c>
      <c r="Q200" s="86">
        <f t="shared" si="56"/>
        <v>0</v>
      </c>
      <c r="R200" s="86">
        <f t="shared" si="57"/>
        <v>0</v>
      </c>
      <c r="S200" s="86">
        <f t="shared" si="58"/>
        <v>0</v>
      </c>
      <c r="T200" s="86">
        <f t="shared" si="59"/>
        <v>20411.97</v>
      </c>
      <c r="U200" s="87">
        <v>20411.97</v>
      </c>
    </row>
    <row r="201" spans="1:21" s="30" customFormat="1" ht="24.6" hidden="1" outlineLevel="1" x14ac:dyDescent="0.55000000000000004">
      <c r="A201" s="27" t="s">
        <v>327</v>
      </c>
      <c r="B201" s="28"/>
      <c r="C201" s="27"/>
      <c r="D201" s="27" t="str">
        <f>"""NAV Direct"",""CRONUS JetCorp USA"",""21"",""1"",""327082"""</f>
        <v>"NAV Direct","CRONUS JetCorp USA","21","1","327082"</v>
      </c>
      <c r="E201" s="31" t="str">
        <f t="shared" si="51"/>
        <v>C100015</v>
      </c>
      <c r="F201" s="31"/>
      <c r="G201" s="31"/>
      <c r="H201" s="31"/>
      <c r="I201" s="56"/>
      <c r="J201" s="56"/>
      <c r="K201" s="82" t="str">
        <f t="shared" si="52"/>
        <v>Invoice</v>
      </c>
      <c r="L201" s="83" t="str">
        <f>"SI_110268"</f>
        <v>SI_110268</v>
      </c>
      <c r="M201" s="84">
        <v>43133</v>
      </c>
      <c r="N201" s="85">
        <f t="shared" si="53"/>
        <v>679</v>
      </c>
      <c r="O201" s="86">
        <f t="shared" si="54"/>
        <v>15412.659999999998</v>
      </c>
      <c r="P201" s="86">
        <f t="shared" si="55"/>
        <v>0</v>
      </c>
      <c r="Q201" s="86">
        <f t="shared" si="56"/>
        <v>0</v>
      </c>
      <c r="R201" s="86">
        <f t="shared" si="57"/>
        <v>0</v>
      </c>
      <c r="S201" s="86">
        <f t="shared" si="58"/>
        <v>0</v>
      </c>
      <c r="T201" s="86">
        <f t="shared" si="59"/>
        <v>15412.659999999998</v>
      </c>
      <c r="U201" s="87">
        <v>15412.659999999998</v>
      </c>
    </row>
    <row r="202" spans="1:21" s="30" customFormat="1" ht="24.6" hidden="1" outlineLevel="1" x14ac:dyDescent="0.55000000000000004">
      <c r="A202" s="27" t="s">
        <v>327</v>
      </c>
      <c r="B202" s="28"/>
      <c r="C202" s="27"/>
      <c r="D202" s="27" t="str">
        <f>"""NAV Direct"",""CRONUS JetCorp USA"",""21"",""1"",""327338"""</f>
        <v>"NAV Direct","CRONUS JetCorp USA","21","1","327338"</v>
      </c>
      <c r="E202" s="31">
        <f t="shared" si="51"/>
        <v>0</v>
      </c>
      <c r="F202" s="31"/>
      <c r="G202" s="31"/>
      <c r="H202" s="31"/>
      <c r="I202" s="56"/>
      <c r="J202" s="56"/>
      <c r="K202" s="82" t="str">
        <f t="shared" si="52"/>
        <v>Invoice</v>
      </c>
      <c r="L202" s="83" t="str">
        <f>"SI_110278"</f>
        <v>SI_110278</v>
      </c>
      <c r="M202" s="84">
        <v>43310</v>
      </c>
      <c r="N202" s="85">
        <f t="shared" si="53"/>
        <v>502</v>
      </c>
      <c r="O202" s="86">
        <f t="shared" si="54"/>
        <v>13341.33</v>
      </c>
      <c r="P202" s="86">
        <f t="shared" si="55"/>
        <v>0</v>
      </c>
      <c r="Q202" s="86">
        <f t="shared" si="56"/>
        <v>0</v>
      </c>
      <c r="R202" s="86">
        <f t="shared" si="57"/>
        <v>0</v>
      </c>
      <c r="S202" s="86">
        <f t="shared" si="58"/>
        <v>0</v>
      </c>
      <c r="T202" s="86">
        <f t="shared" si="59"/>
        <v>13341.33</v>
      </c>
      <c r="U202" s="87">
        <v>13341.33</v>
      </c>
    </row>
    <row r="203" spans="1:21" s="30" customFormat="1" ht="24.6" hidden="1" outlineLevel="1" x14ac:dyDescent="0.55000000000000004">
      <c r="A203" s="27" t="s">
        <v>327</v>
      </c>
      <c r="B203" s="28"/>
      <c r="C203" s="27"/>
      <c r="D203" s="27" t="str">
        <f>"""NAV Direct"",""CRONUS JetCorp USA"",""21"",""1"",""327492"""</f>
        <v>"NAV Direct","CRONUS JetCorp USA","21","1","327492"</v>
      </c>
      <c r="E203" s="31" t="str">
        <f t="shared" si="51"/>
        <v>C100015</v>
      </c>
      <c r="F203" s="31"/>
      <c r="G203" s="31"/>
      <c r="H203" s="31"/>
      <c r="I203" s="56"/>
      <c r="J203" s="56"/>
      <c r="K203" s="82" t="str">
        <f t="shared" si="52"/>
        <v>Invoice</v>
      </c>
      <c r="L203" s="83" t="str">
        <f>"SI_110284"</f>
        <v>SI_110284</v>
      </c>
      <c r="M203" s="84">
        <v>43372</v>
      </c>
      <c r="N203" s="85">
        <f t="shared" si="53"/>
        <v>440</v>
      </c>
      <c r="O203" s="86">
        <f t="shared" si="54"/>
        <v>13483.67</v>
      </c>
      <c r="P203" s="86">
        <f t="shared" si="55"/>
        <v>0</v>
      </c>
      <c r="Q203" s="86">
        <f t="shared" si="56"/>
        <v>0</v>
      </c>
      <c r="R203" s="86">
        <f t="shared" si="57"/>
        <v>0</v>
      </c>
      <c r="S203" s="86">
        <f t="shared" si="58"/>
        <v>0</v>
      </c>
      <c r="T203" s="86">
        <f t="shared" si="59"/>
        <v>13483.67</v>
      </c>
      <c r="U203" s="87">
        <v>13483.67</v>
      </c>
    </row>
    <row r="204" spans="1:21" s="30" customFormat="1" ht="24.6" hidden="1" outlineLevel="1" x14ac:dyDescent="0.55000000000000004">
      <c r="A204" s="27" t="s">
        <v>327</v>
      </c>
      <c r="B204" s="28"/>
      <c r="C204" s="27"/>
      <c r="D204" s="27" t="str">
        <f>"""NAV Direct"",""CRONUS JetCorp USA"",""21"",""1"",""327636"""</f>
        <v>"NAV Direct","CRONUS JetCorp USA","21","1","327636"</v>
      </c>
      <c r="E204" s="31">
        <f t="shared" si="51"/>
        <v>0</v>
      </c>
      <c r="F204" s="31"/>
      <c r="G204" s="31"/>
      <c r="H204" s="31"/>
      <c r="I204" s="56"/>
      <c r="J204" s="56"/>
      <c r="K204" s="82" t="str">
        <f t="shared" si="52"/>
        <v>Invoice</v>
      </c>
      <c r="L204" s="83" t="str">
        <f>"SI_110290"</f>
        <v>SI_110290</v>
      </c>
      <c r="M204" s="84">
        <v>43415</v>
      </c>
      <c r="N204" s="85">
        <f t="shared" si="53"/>
        <v>397</v>
      </c>
      <c r="O204" s="86">
        <f t="shared" si="54"/>
        <v>13313.34</v>
      </c>
      <c r="P204" s="86">
        <f t="shared" si="55"/>
        <v>0</v>
      </c>
      <c r="Q204" s="86">
        <f t="shared" si="56"/>
        <v>0</v>
      </c>
      <c r="R204" s="86">
        <f t="shared" si="57"/>
        <v>0</v>
      </c>
      <c r="S204" s="86">
        <f t="shared" si="58"/>
        <v>0</v>
      </c>
      <c r="T204" s="86">
        <f t="shared" si="59"/>
        <v>13313.34</v>
      </c>
      <c r="U204" s="87">
        <v>13313.34</v>
      </c>
    </row>
    <row r="205" spans="1:21" s="30" customFormat="1" ht="24.6" hidden="1" outlineLevel="1" x14ac:dyDescent="0.55000000000000004">
      <c r="A205" s="27" t="s">
        <v>327</v>
      </c>
      <c r="B205" s="28"/>
      <c r="C205" s="27"/>
      <c r="D205" s="27" t="str">
        <f>"""NAV Direct"",""CRONUS JetCorp USA"",""21"",""1"",""327688"""</f>
        <v>"NAV Direct","CRONUS JetCorp USA","21","1","327688"</v>
      </c>
      <c r="E205" s="31" t="str">
        <f t="shared" si="51"/>
        <v>C100015</v>
      </c>
      <c r="F205" s="31"/>
      <c r="G205" s="31"/>
      <c r="H205" s="31"/>
      <c r="I205" s="56"/>
      <c r="J205" s="56"/>
      <c r="K205" s="82" t="str">
        <f t="shared" si="52"/>
        <v>Invoice</v>
      </c>
      <c r="L205" s="83" t="str">
        <f>"SI_110292"</f>
        <v>SI_110292</v>
      </c>
      <c r="M205" s="84">
        <v>43436</v>
      </c>
      <c r="N205" s="85">
        <f t="shared" si="53"/>
        <v>376</v>
      </c>
      <c r="O205" s="86">
        <f t="shared" si="54"/>
        <v>13473.749999999998</v>
      </c>
      <c r="P205" s="86">
        <f t="shared" si="55"/>
        <v>0</v>
      </c>
      <c r="Q205" s="86">
        <f t="shared" si="56"/>
        <v>0</v>
      </c>
      <c r="R205" s="86">
        <f t="shared" si="57"/>
        <v>0</v>
      </c>
      <c r="S205" s="86">
        <f t="shared" si="58"/>
        <v>0</v>
      </c>
      <c r="T205" s="86">
        <f t="shared" si="59"/>
        <v>13473.749999999998</v>
      </c>
      <c r="U205" s="87">
        <v>13473.749999999998</v>
      </c>
    </row>
    <row r="206" spans="1:21" s="30" customFormat="1" ht="24.6" hidden="1" outlineLevel="1" x14ac:dyDescent="0.55000000000000004">
      <c r="A206" s="27" t="s">
        <v>327</v>
      </c>
      <c r="B206" s="28"/>
      <c r="C206" s="27"/>
      <c r="D206" s="27" t="str">
        <f>"""NAV Direct"",""CRONUS JetCorp USA"",""21"",""1"",""327711"""</f>
        <v>"NAV Direct","CRONUS JetCorp USA","21","1","327711"</v>
      </c>
      <c r="E206" s="31">
        <f t="shared" si="51"/>
        <v>0</v>
      </c>
      <c r="F206" s="31"/>
      <c r="G206" s="31"/>
      <c r="H206" s="31"/>
      <c r="I206" s="56"/>
      <c r="J206" s="56"/>
      <c r="K206" s="82" t="str">
        <f t="shared" si="52"/>
        <v>Invoice</v>
      </c>
      <c r="L206" s="83" t="str">
        <f>"SI_110293"</f>
        <v>SI_110293</v>
      </c>
      <c r="M206" s="84">
        <v>43437</v>
      </c>
      <c r="N206" s="85">
        <f t="shared" si="53"/>
        <v>375</v>
      </c>
      <c r="O206" s="86">
        <f t="shared" si="54"/>
        <v>13474.08</v>
      </c>
      <c r="P206" s="86">
        <f t="shared" si="55"/>
        <v>0</v>
      </c>
      <c r="Q206" s="86">
        <f t="shared" si="56"/>
        <v>0</v>
      </c>
      <c r="R206" s="86">
        <f t="shared" si="57"/>
        <v>0</v>
      </c>
      <c r="S206" s="86">
        <f t="shared" si="58"/>
        <v>0</v>
      </c>
      <c r="T206" s="86">
        <f t="shared" si="59"/>
        <v>13474.08</v>
      </c>
      <c r="U206" s="87">
        <v>13474.08</v>
      </c>
    </row>
    <row r="207" spans="1:21" s="30" customFormat="1" ht="24.6" hidden="1" outlineLevel="1" x14ac:dyDescent="0.55000000000000004">
      <c r="A207" s="27" t="s">
        <v>327</v>
      </c>
      <c r="B207" s="28"/>
      <c r="C207" s="27"/>
      <c r="D207" s="27" t="str">
        <f>"""NAV Direct"",""CRONUS JetCorp USA"",""21"",""1"",""327963"""</f>
        <v>"NAV Direct","CRONUS JetCorp USA","21","1","327963"</v>
      </c>
      <c r="E207" s="31" t="str">
        <f t="shared" si="51"/>
        <v>C100015</v>
      </c>
      <c r="F207" s="31"/>
      <c r="G207" s="31"/>
      <c r="H207" s="31"/>
      <c r="I207" s="56"/>
      <c r="J207" s="56"/>
      <c r="K207" s="82" t="str">
        <f t="shared" si="52"/>
        <v>Invoice</v>
      </c>
      <c r="L207" s="83" t="str">
        <f>"SI_110303"</f>
        <v>SI_110303</v>
      </c>
      <c r="M207" s="84">
        <v>43519</v>
      </c>
      <c r="N207" s="85">
        <f t="shared" si="53"/>
        <v>293</v>
      </c>
      <c r="O207" s="86">
        <f t="shared" si="54"/>
        <v>14191.980000000001</v>
      </c>
      <c r="P207" s="86">
        <f t="shared" si="55"/>
        <v>0</v>
      </c>
      <c r="Q207" s="86">
        <f t="shared" si="56"/>
        <v>0</v>
      </c>
      <c r="R207" s="86">
        <f t="shared" si="57"/>
        <v>0</v>
      </c>
      <c r="S207" s="86">
        <f t="shared" si="58"/>
        <v>0</v>
      </c>
      <c r="T207" s="86">
        <f t="shared" si="59"/>
        <v>14191.980000000001</v>
      </c>
      <c r="U207" s="87">
        <v>14191.980000000001</v>
      </c>
    </row>
    <row r="208" spans="1:21" s="30" customFormat="1" ht="24.6" hidden="1" outlineLevel="1" x14ac:dyDescent="0.55000000000000004">
      <c r="A208" s="27" t="s">
        <v>327</v>
      </c>
      <c r="B208" s="28"/>
      <c r="C208" s="27"/>
      <c r="D208" s="27" t="str">
        <f>"""NAV Direct"",""CRONUS JetCorp USA"",""21"",""1"",""328013"""</f>
        <v>"NAV Direct","CRONUS JetCorp USA","21","1","328013"</v>
      </c>
      <c r="E208" s="31">
        <f t="shared" si="51"/>
        <v>0</v>
      </c>
      <c r="F208" s="31"/>
      <c r="G208" s="31"/>
      <c r="H208" s="31"/>
      <c r="I208" s="56"/>
      <c r="J208" s="56"/>
      <c r="K208" s="82" t="str">
        <f t="shared" si="52"/>
        <v>Invoice</v>
      </c>
      <c r="L208" s="83" t="str">
        <f>"SI_110305"</f>
        <v>SI_110305</v>
      </c>
      <c r="M208" s="84">
        <v>43551</v>
      </c>
      <c r="N208" s="85">
        <f t="shared" si="53"/>
        <v>261</v>
      </c>
      <c r="O208" s="86">
        <f t="shared" si="54"/>
        <v>14536.689999999999</v>
      </c>
      <c r="P208" s="86">
        <f t="shared" si="55"/>
        <v>0</v>
      </c>
      <c r="Q208" s="86">
        <f t="shared" si="56"/>
        <v>0</v>
      </c>
      <c r="R208" s="86">
        <f t="shared" si="57"/>
        <v>0</v>
      </c>
      <c r="S208" s="86">
        <f t="shared" si="58"/>
        <v>0</v>
      </c>
      <c r="T208" s="86">
        <f t="shared" si="59"/>
        <v>14536.689999999999</v>
      </c>
      <c r="U208" s="87">
        <v>14536.689999999999</v>
      </c>
    </row>
    <row r="209" spans="1:21" s="30" customFormat="1" ht="24.6" hidden="1" outlineLevel="1" x14ac:dyDescent="0.55000000000000004">
      <c r="A209" s="27" t="s">
        <v>327</v>
      </c>
      <c r="B209" s="28"/>
      <c r="C209" s="27"/>
      <c r="D209" s="27" t="str">
        <f>"""NAV Direct"",""CRONUS JetCorp USA"",""21"",""1"",""328088"""</f>
        <v>"NAV Direct","CRONUS JetCorp USA","21","1","328088"</v>
      </c>
      <c r="E209" s="31" t="str">
        <f t="shared" si="51"/>
        <v>C100015</v>
      </c>
      <c r="F209" s="31"/>
      <c r="G209" s="31"/>
      <c r="H209" s="31"/>
      <c r="I209" s="56"/>
      <c r="J209" s="56"/>
      <c r="K209" s="82" t="str">
        <f t="shared" si="52"/>
        <v>Invoice</v>
      </c>
      <c r="L209" s="83" t="str">
        <f>"SI_110308"</f>
        <v>SI_110308</v>
      </c>
      <c r="M209" s="84">
        <v>43579</v>
      </c>
      <c r="N209" s="85">
        <f t="shared" si="53"/>
        <v>233</v>
      </c>
      <c r="O209" s="86">
        <f t="shared" si="54"/>
        <v>14350.27</v>
      </c>
      <c r="P209" s="86">
        <f t="shared" si="55"/>
        <v>0</v>
      </c>
      <c r="Q209" s="86">
        <f t="shared" si="56"/>
        <v>0</v>
      </c>
      <c r="R209" s="86">
        <f t="shared" si="57"/>
        <v>0</v>
      </c>
      <c r="S209" s="86">
        <f t="shared" si="58"/>
        <v>0</v>
      </c>
      <c r="T209" s="86">
        <f t="shared" si="59"/>
        <v>14350.27</v>
      </c>
      <c r="U209" s="87">
        <v>14350.27</v>
      </c>
    </row>
    <row r="210" spans="1:21" s="30" customFormat="1" ht="24.6" hidden="1" outlineLevel="1" x14ac:dyDescent="0.55000000000000004">
      <c r="A210" s="27" t="s">
        <v>327</v>
      </c>
      <c r="B210" s="28"/>
      <c r="C210" s="27"/>
      <c r="D210" s="27" t="str">
        <f>"""NAV Direct"",""CRONUS JetCorp USA"",""21"",""1"",""328128"""</f>
        <v>"NAV Direct","CRONUS JetCorp USA","21","1","328128"</v>
      </c>
      <c r="E210" s="31">
        <f t="shared" si="51"/>
        <v>0</v>
      </c>
      <c r="F210" s="31"/>
      <c r="G210" s="31"/>
      <c r="H210" s="31"/>
      <c r="I210" s="56"/>
      <c r="J210" s="56"/>
      <c r="K210" s="82" t="str">
        <f t="shared" si="52"/>
        <v>Invoice</v>
      </c>
      <c r="L210" s="83" t="str">
        <f>"SI_110310"</f>
        <v>SI_110310</v>
      </c>
      <c r="M210" s="84">
        <v>43585</v>
      </c>
      <c r="N210" s="85">
        <f t="shared" si="53"/>
        <v>227</v>
      </c>
      <c r="O210" s="86">
        <f t="shared" si="54"/>
        <v>15122.13</v>
      </c>
      <c r="P210" s="86">
        <f t="shared" si="55"/>
        <v>0</v>
      </c>
      <c r="Q210" s="86">
        <f t="shared" si="56"/>
        <v>0</v>
      </c>
      <c r="R210" s="86">
        <f t="shared" si="57"/>
        <v>0</v>
      </c>
      <c r="S210" s="86">
        <f t="shared" si="58"/>
        <v>0</v>
      </c>
      <c r="T210" s="86">
        <f t="shared" si="59"/>
        <v>15122.13</v>
      </c>
      <c r="U210" s="87">
        <v>15122.13</v>
      </c>
    </row>
    <row r="211" spans="1:21" s="30" customFormat="1" ht="24.6" hidden="1" outlineLevel="1" x14ac:dyDescent="0.55000000000000004">
      <c r="A211" s="27" t="s">
        <v>327</v>
      </c>
      <c r="B211" s="28"/>
      <c r="C211" s="27"/>
      <c r="D211" s="27" t="str">
        <f>"""NAV Direct"",""CRONUS JetCorp USA"",""21"",""1"",""328180"""</f>
        <v>"NAV Direct","CRONUS JetCorp USA","21","1","328180"</v>
      </c>
      <c r="E211" s="31" t="str">
        <f t="shared" si="51"/>
        <v>C100015</v>
      </c>
      <c r="F211" s="31"/>
      <c r="G211" s="31"/>
      <c r="H211" s="31"/>
      <c r="I211" s="56"/>
      <c r="J211" s="56"/>
      <c r="K211" s="82" t="str">
        <f t="shared" si="52"/>
        <v>Invoice</v>
      </c>
      <c r="L211" s="83" t="str">
        <f>"SI_110312"</f>
        <v>SI_110312</v>
      </c>
      <c r="M211" s="84">
        <v>43606</v>
      </c>
      <c r="N211" s="85">
        <f t="shared" si="53"/>
        <v>206</v>
      </c>
      <c r="O211" s="86">
        <f t="shared" si="54"/>
        <v>15070.599999999999</v>
      </c>
      <c r="P211" s="86">
        <f t="shared" si="55"/>
        <v>0</v>
      </c>
      <c r="Q211" s="86">
        <f t="shared" si="56"/>
        <v>0</v>
      </c>
      <c r="R211" s="86">
        <f t="shared" si="57"/>
        <v>0</v>
      </c>
      <c r="S211" s="86">
        <f t="shared" si="58"/>
        <v>0</v>
      </c>
      <c r="T211" s="86">
        <f t="shared" si="59"/>
        <v>15070.599999999999</v>
      </c>
      <c r="U211" s="87">
        <v>15070.599999999999</v>
      </c>
    </row>
    <row r="212" spans="1:21" s="30" customFormat="1" ht="24.6" hidden="1" outlineLevel="1" x14ac:dyDescent="0.55000000000000004">
      <c r="A212" s="27" t="s">
        <v>327</v>
      </c>
      <c r="B212" s="28"/>
      <c r="C212" s="27"/>
      <c r="D212" s="27" t="str">
        <f>"""NAV Direct"",""CRONUS JetCorp USA"",""21"",""1"",""328332"""</f>
        <v>"NAV Direct","CRONUS JetCorp USA","21","1","328332"</v>
      </c>
      <c r="E212" s="31">
        <f t="shared" si="51"/>
        <v>0</v>
      </c>
      <c r="F212" s="31"/>
      <c r="G212" s="31"/>
      <c r="H212" s="31"/>
      <c r="I212" s="56"/>
      <c r="J212" s="56"/>
      <c r="K212" s="82" t="str">
        <f t="shared" si="52"/>
        <v>Invoice</v>
      </c>
      <c r="L212" s="83" t="str">
        <f>"SI_110318"</f>
        <v>SI_110318</v>
      </c>
      <c r="M212" s="84">
        <v>43667</v>
      </c>
      <c r="N212" s="85">
        <f t="shared" si="53"/>
        <v>145</v>
      </c>
      <c r="O212" s="86">
        <f t="shared" si="54"/>
        <v>16652.38</v>
      </c>
      <c r="P212" s="86">
        <f t="shared" si="55"/>
        <v>0</v>
      </c>
      <c r="Q212" s="86">
        <f t="shared" si="56"/>
        <v>0</v>
      </c>
      <c r="R212" s="86">
        <f t="shared" si="57"/>
        <v>0</v>
      </c>
      <c r="S212" s="86">
        <f t="shared" si="58"/>
        <v>0</v>
      </c>
      <c r="T212" s="86">
        <f t="shared" si="59"/>
        <v>16652.38</v>
      </c>
      <c r="U212" s="87">
        <v>16652.38</v>
      </c>
    </row>
    <row r="213" spans="1:21" s="30" customFormat="1" ht="24.6" hidden="1" outlineLevel="1" x14ac:dyDescent="0.55000000000000004">
      <c r="A213" s="27" t="s">
        <v>327</v>
      </c>
      <c r="B213" s="28"/>
      <c r="C213" s="27"/>
      <c r="D213" s="27" t="str">
        <f>"""NAV Direct"",""CRONUS JetCorp USA"",""21"",""1"",""328613"""</f>
        <v>"NAV Direct","CRONUS JetCorp USA","21","1","328613"</v>
      </c>
      <c r="E213" s="31" t="str">
        <f t="shared" si="51"/>
        <v>C100015</v>
      </c>
      <c r="F213" s="31"/>
      <c r="G213" s="31"/>
      <c r="H213" s="31"/>
      <c r="I213" s="56"/>
      <c r="J213" s="56"/>
      <c r="K213" s="82" t="str">
        <f t="shared" si="52"/>
        <v>Invoice</v>
      </c>
      <c r="L213" s="83" t="str">
        <f>"SI_110329"</f>
        <v>SI_110329</v>
      </c>
      <c r="M213" s="84">
        <v>43767</v>
      </c>
      <c r="N213" s="85">
        <f t="shared" si="53"/>
        <v>45</v>
      </c>
      <c r="O213" s="86">
        <f t="shared" si="54"/>
        <v>17288.5</v>
      </c>
      <c r="P213" s="86">
        <f t="shared" si="55"/>
        <v>0</v>
      </c>
      <c r="Q213" s="86">
        <f t="shared" si="56"/>
        <v>0</v>
      </c>
      <c r="R213" s="86">
        <f t="shared" si="57"/>
        <v>17288.5</v>
      </c>
      <c r="S213" s="86">
        <f t="shared" si="58"/>
        <v>0</v>
      </c>
      <c r="T213" s="86">
        <f t="shared" si="59"/>
        <v>0</v>
      </c>
      <c r="U213" s="87">
        <v>17288.5</v>
      </c>
    </row>
    <row r="214" spans="1:21" s="30" customFormat="1" ht="24.6" hidden="1" outlineLevel="1" x14ac:dyDescent="0.55000000000000004">
      <c r="A214" s="27" t="s">
        <v>327</v>
      </c>
      <c r="B214" s="28"/>
      <c r="C214" s="27"/>
      <c r="D214" s="27" t="str">
        <f>"""NAV Direct"",""CRONUS JetCorp USA"",""21"",""1"",""328669"""</f>
        <v>"NAV Direct","CRONUS JetCorp USA","21","1","328669"</v>
      </c>
      <c r="E214" s="31">
        <f t="shared" si="51"/>
        <v>0</v>
      </c>
      <c r="F214" s="31"/>
      <c r="G214" s="31"/>
      <c r="H214" s="31"/>
      <c r="I214" s="56"/>
      <c r="J214" s="56"/>
      <c r="K214" s="82" t="str">
        <f t="shared" si="52"/>
        <v>Invoice</v>
      </c>
      <c r="L214" s="83" t="str">
        <f>"SI_110331"</f>
        <v>SI_110331</v>
      </c>
      <c r="M214" s="84">
        <v>43791</v>
      </c>
      <c r="N214" s="85">
        <f t="shared" si="53"/>
        <v>21</v>
      </c>
      <c r="O214" s="86">
        <f t="shared" si="54"/>
        <v>17288.48</v>
      </c>
      <c r="P214" s="86">
        <f t="shared" si="55"/>
        <v>0</v>
      </c>
      <c r="Q214" s="86">
        <f t="shared" si="56"/>
        <v>17288.48</v>
      </c>
      <c r="R214" s="86">
        <f t="shared" si="57"/>
        <v>0</v>
      </c>
      <c r="S214" s="86">
        <f t="shared" si="58"/>
        <v>0</v>
      </c>
      <c r="T214" s="86">
        <f t="shared" si="59"/>
        <v>0</v>
      </c>
      <c r="U214" s="87">
        <v>17288.48</v>
      </c>
    </row>
    <row r="215" spans="1:21" s="30" customFormat="1" ht="24.6" hidden="1" outlineLevel="1" x14ac:dyDescent="0.55000000000000004">
      <c r="A215" s="27" t="s">
        <v>327</v>
      </c>
      <c r="B215" s="28"/>
      <c r="C215" s="27"/>
      <c r="D215" s="27" t="str">
        <f>"""NAV Direct"",""CRONUS JetCorp USA"",""21"",""1"",""328756"""</f>
        <v>"NAV Direct","CRONUS JetCorp USA","21","1","328756"</v>
      </c>
      <c r="E215" s="31" t="str">
        <f t="shared" si="51"/>
        <v>C100015</v>
      </c>
      <c r="F215" s="31"/>
      <c r="G215" s="31"/>
      <c r="H215" s="31"/>
      <c r="I215" s="56"/>
      <c r="J215" s="56"/>
      <c r="K215" s="82" t="str">
        <f t="shared" si="52"/>
        <v>Invoice</v>
      </c>
      <c r="L215" s="83" t="str">
        <f>"SI_110334"</f>
        <v>SI_110334</v>
      </c>
      <c r="M215" s="84">
        <v>43820</v>
      </c>
      <c r="N215" s="85">
        <f t="shared" si="53"/>
        <v>-8</v>
      </c>
      <c r="O215" s="86">
        <f t="shared" si="54"/>
        <v>17595.280000000002</v>
      </c>
      <c r="P215" s="86">
        <f t="shared" si="55"/>
        <v>17595.280000000002</v>
      </c>
      <c r="Q215" s="86">
        <f t="shared" si="56"/>
        <v>0</v>
      </c>
      <c r="R215" s="86">
        <f t="shared" si="57"/>
        <v>0</v>
      </c>
      <c r="S215" s="86">
        <f t="shared" si="58"/>
        <v>0</v>
      </c>
      <c r="T215" s="86">
        <f t="shared" si="59"/>
        <v>0</v>
      </c>
      <c r="U215" s="87">
        <v>17595.280000000002</v>
      </c>
    </row>
    <row r="216" spans="1:21" s="30" customFormat="1" ht="24.6" hidden="1" outlineLevel="1" x14ac:dyDescent="0.55000000000000004">
      <c r="A216" s="27" t="s">
        <v>327</v>
      </c>
      <c r="B216" s="28"/>
      <c r="C216" s="27"/>
      <c r="D216" s="27" t="str">
        <f>"""NAV Direct"",""CRONUS JetCorp USA"",""21"",""1"",""328785"""</f>
        <v>"NAV Direct","CRONUS JetCorp USA","21","1","328785"</v>
      </c>
      <c r="E216" s="31">
        <f t="shared" si="51"/>
        <v>0</v>
      </c>
      <c r="F216" s="31"/>
      <c r="G216" s="31"/>
      <c r="H216" s="31"/>
      <c r="I216" s="56"/>
      <c r="J216" s="56"/>
      <c r="K216" s="82" t="str">
        <f t="shared" si="52"/>
        <v>Invoice</v>
      </c>
      <c r="L216" s="83" t="str">
        <f>"SI_110335"</f>
        <v>SI_110335</v>
      </c>
      <c r="M216" s="84">
        <v>43823</v>
      </c>
      <c r="N216" s="85">
        <f t="shared" si="53"/>
        <v>-11</v>
      </c>
      <c r="O216" s="86">
        <f t="shared" si="54"/>
        <v>17596.510000000002</v>
      </c>
      <c r="P216" s="86">
        <f t="shared" si="55"/>
        <v>17596.510000000002</v>
      </c>
      <c r="Q216" s="86">
        <f t="shared" si="56"/>
        <v>0</v>
      </c>
      <c r="R216" s="86">
        <f t="shared" si="57"/>
        <v>0</v>
      </c>
      <c r="S216" s="86">
        <f t="shared" si="58"/>
        <v>0</v>
      </c>
      <c r="T216" s="86">
        <f t="shared" si="59"/>
        <v>0</v>
      </c>
      <c r="U216" s="87">
        <v>17596.510000000002</v>
      </c>
    </row>
    <row r="217" spans="1:21" s="30" customFormat="1" ht="24.6" hidden="1" outlineLevel="1" x14ac:dyDescent="0.55000000000000004">
      <c r="A217" s="27" t="s">
        <v>327</v>
      </c>
      <c r="B217" s="28"/>
      <c r="C217" s="27"/>
      <c r="D217" s="27" t="str">
        <f>"""NAV Direct"",""CRONUS JetCorp USA"",""21"",""1"",""329011"""</f>
        <v>"NAV Direct","CRONUS JetCorp USA","21","1","329011"</v>
      </c>
      <c r="E217" s="31" t="str">
        <f t="shared" si="51"/>
        <v>C100015</v>
      </c>
      <c r="F217" s="31"/>
      <c r="G217" s="31"/>
      <c r="H217" s="31"/>
      <c r="I217" s="56"/>
      <c r="J217" s="56"/>
      <c r="K217" s="82" t="str">
        <f t="shared" si="52"/>
        <v>Invoice</v>
      </c>
      <c r="L217" s="83" t="str">
        <f>"SI_110343"</f>
        <v>SI_110343</v>
      </c>
      <c r="M217" s="84">
        <v>42054</v>
      </c>
      <c r="N217" s="85">
        <f t="shared" si="53"/>
        <v>1758</v>
      </c>
      <c r="O217" s="86">
        <f t="shared" si="54"/>
        <v>18811.16</v>
      </c>
      <c r="P217" s="86">
        <f t="shared" si="55"/>
        <v>0</v>
      </c>
      <c r="Q217" s="86">
        <f t="shared" si="56"/>
        <v>0</v>
      </c>
      <c r="R217" s="86">
        <f t="shared" si="57"/>
        <v>0</v>
      </c>
      <c r="S217" s="86">
        <f t="shared" si="58"/>
        <v>0</v>
      </c>
      <c r="T217" s="86">
        <f t="shared" si="59"/>
        <v>18811.16</v>
      </c>
      <c r="U217" s="87">
        <v>18811.16</v>
      </c>
    </row>
    <row r="218" spans="1:21" s="30" customFormat="1" ht="24.6" hidden="1" outlineLevel="1" x14ac:dyDescent="0.55000000000000004">
      <c r="A218" s="27" t="s">
        <v>327</v>
      </c>
      <c r="B218" s="28"/>
      <c r="C218" s="27"/>
      <c r="D218" s="27" t="str">
        <f>"""NAV Direct"",""CRONUS JetCorp USA"",""21"",""1"",""329071"""</f>
        <v>"NAV Direct","CRONUS JetCorp USA","21","1","329071"</v>
      </c>
      <c r="E218" s="31">
        <f t="shared" si="51"/>
        <v>0</v>
      </c>
      <c r="F218" s="31"/>
      <c r="G218" s="31"/>
      <c r="H218" s="31"/>
      <c r="I218" s="56"/>
      <c r="J218" s="56"/>
      <c r="K218" s="82" t="str">
        <f t="shared" si="52"/>
        <v>Invoice</v>
      </c>
      <c r="L218" s="83" t="str">
        <f>"SI_110345"</f>
        <v>SI_110345</v>
      </c>
      <c r="M218" s="84">
        <v>42063</v>
      </c>
      <c r="N218" s="85">
        <f t="shared" si="53"/>
        <v>1749</v>
      </c>
      <c r="O218" s="86">
        <f t="shared" si="54"/>
        <v>18620.84</v>
      </c>
      <c r="P218" s="86">
        <f t="shared" si="55"/>
        <v>0</v>
      </c>
      <c r="Q218" s="86">
        <f t="shared" si="56"/>
        <v>0</v>
      </c>
      <c r="R218" s="86">
        <f t="shared" si="57"/>
        <v>0</v>
      </c>
      <c r="S218" s="86">
        <f t="shared" si="58"/>
        <v>0</v>
      </c>
      <c r="T218" s="86">
        <f t="shared" si="59"/>
        <v>18620.84</v>
      </c>
      <c r="U218" s="87">
        <v>18620.84</v>
      </c>
    </row>
    <row r="219" spans="1:21" s="30" customFormat="1" ht="24.6" hidden="1" outlineLevel="1" x14ac:dyDescent="0.55000000000000004">
      <c r="A219" s="27" t="s">
        <v>327</v>
      </c>
      <c r="B219" s="28"/>
      <c r="C219" s="27"/>
      <c r="D219" s="27" t="str">
        <f>"""NAV Direct"",""CRONUS JetCorp USA"",""21"",""1"",""329281"""</f>
        <v>"NAV Direct","CRONUS JetCorp USA","21","1","329281"</v>
      </c>
      <c r="E219" s="31" t="str">
        <f t="shared" si="51"/>
        <v>C100015</v>
      </c>
      <c r="F219" s="31"/>
      <c r="G219" s="31"/>
      <c r="H219" s="31"/>
      <c r="I219" s="56"/>
      <c r="J219" s="56"/>
      <c r="K219" s="82" t="str">
        <f t="shared" si="52"/>
        <v>Invoice</v>
      </c>
      <c r="L219" s="83" t="str">
        <f>"SI_110353"</f>
        <v>SI_110353</v>
      </c>
      <c r="M219" s="84">
        <v>42158</v>
      </c>
      <c r="N219" s="85">
        <f t="shared" si="53"/>
        <v>1654</v>
      </c>
      <c r="O219" s="86">
        <f t="shared" si="54"/>
        <v>19685.990000000002</v>
      </c>
      <c r="P219" s="86">
        <f t="shared" si="55"/>
        <v>0</v>
      </c>
      <c r="Q219" s="86">
        <f t="shared" si="56"/>
        <v>0</v>
      </c>
      <c r="R219" s="86">
        <f t="shared" si="57"/>
        <v>0</v>
      </c>
      <c r="S219" s="86">
        <f t="shared" si="58"/>
        <v>0</v>
      </c>
      <c r="T219" s="86">
        <f t="shared" si="59"/>
        <v>19685.990000000002</v>
      </c>
      <c r="U219" s="87">
        <v>19685.990000000002</v>
      </c>
    </row>
    <row r="220" spans="1:21" s="30" customFormat="1" ht="24.6" hidden="1" outlineLevel="1" x14ac:dyDescent="0.55000000000000004">
      <c r="A220" s="27" t="s">
        <v>327</v>
      </c>
      <c r="B220" s="28"/>
      <c r="C220" s="27"/>
      <c r="D220" s="27" t="str">
        <f>"""NAV Direct"",""CRONUS JetCorp USA"",""21"",""1"",""329459"""</f>
        <v>"NAV Direct","CRONUS JetCorp USA","21","1","329459"</v>
      </c>
      <c r="E220" s="31">
        <f t="shared" si="51"/>
        <v>0</v>
      </c>
      <c r="F220" s="31"/>
      <c r="G220" s="31"/>
      <c r="H220" s="31"/>
      <c r="I220" s="56"/>
      <c r="J220" s="56"/>
      <c r="K220" s="82" t="str">
        <f t="shared" si="52"/>
        <v>Invoice</v>
      </c>
      <c r="L220" s="83" t="str">
        <f>"SI_110359"</f>
        <v>SI_110359</v>
      </c>
      <c r="M220" s="84">
        <v>42203</v>
      </c>
      <c r="N220" s="85">
        <f t="shared" si="53"/>
        <v>1609</v>
      </c>
      <c r="O220" s="86">
        <f t="shared" si="54"/>
        <v>20330.510000000002</v>
      </c>
      <c r="P220" s="86">
        <f t="shared" si="55"/>
        <v>0</v>
      </c>
      <c r="Q220" s="86">
        <f t="shared" si="56"/>
        <v>0</v>
      </c>
      <c r="R220" s="86">
        <f t="shared" si="57"/>
        <v>0</v>
      </c>
      <c r="S220" s="86">
        <f t="shared" si="58"/>
        <v>0</v>
      </c>
      <c r="T220" s="86">
        <f t="shared" si="59"/>
        <v>20330.510000000002</v>
      </c>
      <c r="U220" s="87">
        <v>20330.510000000002</v>
      </c>
    </row>
    <row r="221" spans="1:21" s="30" customFormat="1" ht="24.6" hidden="1" outlineLevel="1" x14ac:dyDescent="0.55000000000000004">
      <c r="A221" s="27" t="s">
        <v>327</v>
      </c>
      <c r="B221" s="28"/>
      <c r="C221" s="27"/>
      <c r="D221" s="27" t="str">
        <f>"""NAV Direct"",""CRONUS JetCorp USA"",""21"",""1"",""329594"""</f>
        <v>"NAV Direct","CRONUS JetCorp USA","21","1","329594"</v>
      </c>
      <c r="E221" s="31" t="str">
        <f t="shared" si="51"/>
        <v>C100015</v>
      </c>
      <c r="F221" s="31"/>
      <c r="G221" s="31"/>
      <c r="H221" s="31"/>
      <c r="I221" s="56"/>
      <c r="J221" s="56"/>
      <c r="K221" s="82" t="str">
        <f t="shared" si="52"/>
        <v>Invoice</v>
      </c>
      <c r="L221" s="83" t="str">
        <f>"SI_110364"</f>
        <v>SI_110364</v>
      </c>
      <c r="M221" s="84">
        <v>42248</v>
      </c>
      <c r="N221" s="85">
        <f t="shared" si="53"/>
        <v>1564</v>
      </c>
      <c r="O221" s="86">
        <f t="shared" si="54"/>
        <v>19082.579999999998</v>
      </c>
      <c r="P221" s="86">
        <f t="shared" si="55"/>
        <v>0</v>
      </c>
      <c r="Q221" s="86">
        <f t="shared" si="56"/>
        <v>0</v>
      </c>
      <c r="R221" s="86">
        <f t="shared" si="57"/>
        <v>0</v>
      </c>
      <c r="S221" s="86">
        <f t="shared" si="58"/>
        <v>0</v>
      </c>
      <c r="T221" s="86">
        <f t="shared" si="59"/>
        <v>19082.579999999998</v>
      </c>
      <c r="U221" s="87">
        <v>19082.579999999998</v>
      </c>
    </row>
    <row r="222" spans="1:21" s="30" customFormat="1" ht="24.6" hidden="1" outlineLevel="1" x14ac:dyDescent="0.55000000000000004">
      <c r="A222" s="27" t="s">
        <v>327</v>
      </c>
      <c r="B222" s="28"/>
      <c r="C222" s="27"/>
      <c r="D222" s="27" t="str">
        <f>"""NAV Direct"",""CRONUS JetCorp USA"",""21"",""1"",""329696"""</f>
        <v>"NAV Direct","CRONUS JetCorp USA","21","1","329696"</v>
      </c>
      <c r="E222" s="31">
        <f t="shared" si="51"/>
        <v>0</v>
      </c>
      <c r="F222" s="31"/>
      <c r="G222" s="31"/>
      <c r="H222" s="31"/>
      <c r="I222" s="56"/>
      <c r="J222" s="56"/>
      <c r="K222" s="82" t="str">
        <f t="shared" si="52"/>
        <v>Invoice</v>
      </c>
      <c r="L222" s="83" t="str">
        <f>"SI_110367"</f>
        <v>SI_110367</v>
      </c>
      <c r="M222" s="84">
        <v>42285</v>
      </c>
      <c r="N222" s="85">
        <f t="shared" si="53"/>
        <v>1527</v>
      </c>
      <c r="O222" s="86">
        <f t="shared" si="54"/>
        <v>18719.829999999998</v>
      </c>
      <c r="P222" s="86">
        <f t="shared" si="55"/>
        <v>0</v>
      </c>
      <c r="Q222" s="86">
        <f t="shared" si="56"/>
        <v>0</v>
      </c>
      <c r="R222" s="86">
        <f t="shared" si="57"/>
        <v>0</v>
      </c>
      <c r="S222" s="86">
        <f t="shared" si="58"/>
        <v>0</v>
      </c>
      <c r="T222" s="86">
        <f t="shared" si="59"/>
        <v>18719.829999999998</v>
      </c>
      <c r="U222" s="87">
        <v>18719.829999999998</v>
      </c>
    </row>
    <row r="223" spans="1:21" s="30" customFormat="1" ht="24.6" hidden="1" outlineLevel="1" x14ac:dyDescent="0.55000000000000004">
      <c r="A223" s="27" t="s">
        <v>327</v>
      </c>
      <c r="B223" s="28"/>
      <c r="C223" s="27"/>
      <c r="D223" s="27" t="str">
        <f>"""NAV Direct"",""CRONUS JetCorp USA"",""21"",""1"",""329916"""</f>
        <v>"NAV Direct","CRONUS JetCorp USA","21","1","329916"</v>
      </c>
      <c r="E223" s="31" t="str">
        <f t="shared" si="51"/>
        <v>C100015</v>
      </c>
      <c r="F223" s="31"/>
      <c r="G223" s="31"/>
      <c r="H223" s="31"/>
      <c r="I223" s="56"/>
      <c r="J223" s="56"/>
      <c r="K223" s="82" t="str">
        <f t="shared" si="52"/>
        <v>Invoice</v>
      </c>
      <c r="L223" s="83" t="str">
        <f>"SI_110375"</f>
        <v>SI_110375</v>
      </c>
      <c r="M223" s="84">
        <v>42369</v>
      </c>
      <c r="N223" s="85">
        <f t="shared" si="53"/>
        <v>1443</v>
      </c>
      <c r="O223" s="86">
        <f t="shared" si="54"/>
        <v>19532.11</v>
      </c>
      <c r="P223" s="86">
        <f t="shared" si="55"/>
        <v>0</v>
      </c>
      <c r="Q223" s="86">
        <f t="shared" si="56"/>
        <v>0</v>
      </c>
      <c r="R223" s="86">
        <f t="shared" si="57"/>
        <v>0</v>
      </c>
      <c r="S223" s="86">
        <f t="shared" si="58"/>
        <v>0</v>
      </c>
      <c r="T223" s="86">
        <f t="shared" si="59"/>
        <v>19532.11</v>
      </c>
      <c r="U223" s="87">
        <v>19532.11</v>
      </c>
    </row>
    <row r="224" spans="1:21" s="30" customFormat="1" ht="24.6" hidden="1" outlineLevel="1" x14ac:dyDescent="0.55000000000000004">
      <c r="A224" s="27" t="s">
        <v>327</v>
      </c>
      <c r="B224" s="28"/>
      <c r="C224" s="27"/>
      <c r="D224" s="27" t="str">
        <f>"""NAV Direct"",""CRONUS JetCorp USA"",""21"",""1"",""432024"""</f>
        <v>"NAV Direct","CRONUS JetCorp USA","21","1","432024"</v>
      </c>
      <c r="E224" s="31">
        <f t="shared" si="51"/>
        <v>0</v>
      </c>
      <c r="F224" s="31"/>
      <c r="G224" s="31"/>
      <c r="H224" s="31"/>
      <c r="I224" s="56"/>
      <c r="J224" s="56"/>
      <c r="K224" s="82" t="str">
        <f t="shared" ref="K224:K231" si="60">"Credit Memo"</f>
        <v>Credit Memo</v>
      </c>
      <c r="L224" s="83" t="str">
        <f>"SC_100391"</f>
        <v>SC_100391</v>
      </c>
      <c r="M224" s="84">
        <v>42496</v>
      </c>
      <c r="N224" s="85">
        <f t="shared" si="53"/>
        <v>1316</v>
      </c>
      <c r="O224" s="86">
        <f t="shared" si="54"/>
        <v>-171.52</v>
      </c>
      <c r="P224" s="86">
        <f t="shared" si="55"/>
        <v>0</v>
      </c>
      <c r="Q224" s="86">
        <f t="shared" si="56"/>
        <v>0</v>
      </c>
      <c r="R224" s="86">
        <f t="shared" si="57"/>
        <v>0</v>
      </c>
      <c r="S224" s="86">
        <f t="shared" si="58"/>
        <v>0</v>
      </c>
      <c r="T224" s="86">
        <f t="shared" si="59"/>
        <v>-171.52</v>
      </c>
      <c r="U224" s="87">
        <v>-171.52</v>
      </c>
    </row>
    <row r="225" spans="1:22" s="30" customFormat="1" ht="24.6" hidden="1" outlineLevel="1" x14ac:dyDescent="0.55000000000000004">
      <c r="A225" s="27" t="s">
        <v>327</v>
      </c>
      <c r="B225" s="28"/>
      <c r="C225" s="27"/>
      <c r="D225" s="27" t="str">
        <f>"""NAV Direct"",""CRONUS JetCorp USA"",""21"",""1"",""432041"""</f>
        <v>"NAV Direct","CRONUS JetCorp USA","21","1","432041"</v>
      </c>
      <c r="E225" s="31" t="str">
        <f t="shared" si="51"/>
        <v>C100015</v>
      </c>
      <c r="F225" s="31"/>
      <c r="G225" s="31"/>
      <c r="H225" s="31"/>
      <c r="I225" s="56"/>
      <c r="J225" s="56"/>
      <c r="K225" s="82" t="str">
        <f t="shared" si="60"/>
        <v>Credit Memo</v>
      </c>
      <c r="L225" s="83" t="str">
        <f>"SC_100392"</f>
        <v>SC_100392</v>
      </c>
      <c r="M225" s="84">
        <v>42568</v>
      </c>
      <c r="N225" s="85">
        <f t="shared" si="53"/>
        <v>1244</v>
      </c>
      <c r="O225" s="86">
        <f t="shared" si="54"/>
        <v>-175.96</v>
      </c>
      <c r="P225" s="86">
        <f t="shared" si="55"/>
        <v>0</v>
      </c>
      <c r="Q225" s="86">
        <f t="shared" si="56"/>
        <v>0</v>
      </c>
      <c r="R225" s="86">
        <f t="shared" si="57"/>
        <v>0</v>
      </c>
      <c r="S225" s="86">
        <f t="shared" si="58"/>
        <v>0</v>
      </c>
      <c r="T225" s="86">
        <f t="shared" si="59"/>
        <v>-175.96</v>
      </c>
      <c r="U225" s="87">
        <v>-175.96</v>
      </c>
    </row>
    <row r="226" spans="1:22" s="30" customFormat="1" ht="24.6" hidden="1" outlineLevel="1" x14ac:dyDescent="0.55000000000000004">
      <c r="A226" s="27" t="s">
        <v>327</v>
      </c>
      <c r="B226" s="28"/>
      <c r="C226" s="27"/>
      <c r="D226" s="27" t="str">
        <f>"""NAV Direct"",""CRONUS JetCorp USA"",""21"",""1"",""432073"""</f>
        <v>"NAV Direct","CRONUS JetCorp USA","21","1","432073"</v>
      </c>
      <c r="E226" s="31">
        <f t="shared" si="51"/>
        <v>0</v>
      </c>
      <c r="F226" s="31"/>
      <c r="G226" s="31"/>
      <c r="H226" s="31"/>
      <c r="I226" s="56"/>
      <c r="J226" s="56"/>
      <c r="K226" s="82" t="str">
        <f t="shared" si="60"/>
        <v>Credit Memo</v>
      </c>
      <c r="L226" s="83" t="str">
        <f>"SC_100394"</f>
        <v>SC_100394</v>
      </c>
      <c r="M226" s="84">
        <v>42684</v>
      </c>
      <c r="N226" s="85">
        <f t="shared" si="53"/>
        <v>1128</v>
      </c>
      <c r="O226" s="86">
        <f t="shared" si="54"/>
        <v>-199.09</v>
      </c>
      <c r="P226" s="86">
        <f t="shared" si="55"/>
        <v>0</v>
      </c>
      <c r="Q226" s="86">
        <f t="shared" si="56"/>
        <v>0</v>
      </c>
      <c r="R226" s="86">
        <f t="shared" si="57"/>
        <v>0</v>
      </c>
      <c r="S226" s="86">
        <f t="shared" si="58"/>
        <v>0</v>
      </c>
      <c r="T226" s="86">
        <f t="shared" si="59"/>
        <v>-199.09</v>
      </c>
      <c r="U226" s="87">
        <v>-199.09</v>
      </c>
    </row>
    <row r="227" spans="1:22" s="30" customFormat="1" ht="24.6" hidden="1" outlineLevel="1" x14ac:dyDescent="0.55000000000000004">
      <c r="A227" s="27" t="s">
        <v>327</v>
      </c>
      <c r="B227" s="28"/>
      <c r="C227" s="27"/>
      <c r="D227" s="27" t="str">
        <f>"""NAV Direct"",""CRONUS JetCorp USA"",""21"",""1"",""432152"""</f>
        <v>"NAV Direct","CRONUS JetCorp USA","21","1","432152"</v>
      </c>
      <c r="E227" s="31" t="str">
        <f t="shared" si="51"/>
        <v>C100015</v>
      </c>
      <c r="F227" s="31"/>
      <c r="G227" s="31"/>
      <c r="H227" s="31"/>
      <c r="I227" s="56"/>
      <c r="J227" s="56"/>
      <c r="K227" s="82" t="str">
        <f t="shared" si="60"/>
        <v>Credit Memo</v>
      </c>
      <c r="L227" s="83" t="str">
        <f>"SC_100399"</f>
        <v>SC_100399</v>
      </c>
      <c r="M227" s="84">
        <v>42888</v>
      </c>
      <c r="N227" s="85">
        <f t="shared" si="53"/>
        <v>924</v>
      </c>
      <c r="O227" s="86">
        <f t="shared" si="54"/>
        <v>-200.96</v>
      </c>
      <c r="P227" s="86">
        <f t="shared" si="55"/>
        <v>0</v>
      </c>
      <c r="Q227" s="86">
        <f t="shared" si="56"/>
        <v>0</v>
      </c>
      <c r="R227" s="86">
        <f t="shared" si="57"/>
        <v>0</v>
      </c>
      <c r="S227" s="86">
        <f t="shared" si="58"/>
        <v>0</v>
      </c>
      <c r="T227" s="86">
        <f t="shared" si="59"/>
        <v>-200.96</v>
      </c>
      <c r="U227" s="87">
        <v>-200.96</v>
      </c>
    </row>
    <row r="228" spans="1:22" s="30" customFormat="1" ht="24.6" hidden="1" outlineLevel="1" x14ac:dyDescent="0.55000000000000004">
      <c r="A228" s="27" t="s">
        <v>327</v>
      </c>
      <c r="B228" s="28"/>
      <c r="C228" s="27"/>
      <c r="D228" s="27" t="str">
        <f>"""NAV Direct"",""CRONUS JetCorp USA"",""21"",""1"",""432200"""</f>
        <v>"NAV Direct","CRONUS JetCorp USA","21","1","432200"</v>
      </c>
      <c r="E228" s="31">
        <f t="shared" si="51"/>
        <v>0</v>
      </c>
      <c r="F228" s="31"/>
      <c r="G228" s="31"/>
      <c r="H228" s="31"/>
      <c r="I228" s="56"/>
      <c r="J228" s="56"/>
      <c r="K228" s="82" t="str">
        <f t="shared" si="60"/>
        <v>Credit Memo</v>
      </c>
      <c r="L228" s="83" t="str">
        <f>"SC_100403"</f>
        <v>SC_100403</v>
      </c>
      <c r="M228" s="84">
        <v>43004</v>
      </c>
      <c r="N228" s="85">
        <f t="shared" si="53"/>
        <v>808</v>
      </c>
      <c r="O228" s="86">
        <f t="shared" si="54"/>
        <v>-174.96</v>
      </c>
      <c r="P228" s="86">
        <f t="shared" si="55"/>
        <v>0</v>
      </c>
      <c r="Q228" s="86">
        <f t="shared" si="56"/>
        <v>0</v>
      </c>
      <c r="R228" s="86">
        <f t="shared" si="57"/>
        <v>0</v>
      </c>
      <c r="S228" s="86">
        <f t="shared" si="58"/>
        <v>0</v>
      </c>
      <c r="T228" s="86">
        <f t="shared" si="59"/>
        <v>-174.96</v>
      </c>
      <c r="U228" s="87">
        <v>-174.96</v>
      </c>
    </row>
    <row r="229" spans="1:22" s="30" customFormat="1" ht="24.6" hidden="1" outlineLevel="1" x14ac:dyDescent="0.55000000000000004">
      <c r="A229" s="27" t="s">
        <v>327</v>
      </c>
      <c r="B229" s="28"/>
      <c r="C229" s="27"/>
      <c r="D229" s="27" t="str">
        <f>"""NAV Direct"",""CRONUS JetCorp USA"",""21"",""1"",""432238"""</f>
        <v>"NAV Direct","CRONUS JetCorp USA","21","1","432238"</v>
      </c>
      <c r="E229" s="31" t="str">
        <f t="shared" si="51"/>
        <v>C100015</v>
      </c>
      <c r="F229" s="31"/>
      <c r="G229" s="31"/>
      <c r="H229" s="31"/>
      <c r="I229" s="56"/>
      <c r="J229" s="56"/>
      <c r="K229" s="82" t="str">
        <f t="shared" si="60"/>
        <v>Credit Memo</v>
      </c>
      <c r="L229" s="83" t="str">
        <f>"SC_100405"</f>
        <v>SC_100405</v>
      </c>
      <c r="M229" s="84">
        <v>43091</v>
      </c>
      <c r="N229" s="85">
        <f t="shared" si="53"/>
        <v>721</v>
      </c>
      <c r="O229" s="86">
        <f t="shared" si="54"/>
        <v>-158.6</v>
      </c>
      <c r="P229" s="86">
        <f t="shared" si="55"/>
        <v>0</v>
      </c>
      <c r="Q229" s="86">
        <f t="shared" si="56"/>
        <v>0</v>
      </c>
      <c r="R229" s="86">
        <f t="shared" si="57"/>
        <v>0</v>
      </c>
      <c r="S229" s="86">
        <f t="shared" si="58"/>
        <v>0</v>
      </c>
      <c r="T229" s="86">
        <f t="shared" si="59"/>
        <v>-158.6</v>
      </c>
      <c r="U229" s="87">
        <v>-158.6</v>
      </c>
    </row>
    <row r="230" spans="1:22" s="30" customFormat="1" ht="24.6" hidden="1" outlineLevel="1" x14ac:dyDescent="0.55000000000000004">
      <c r="A230" s="27" t="s">
        <v>327</v>
      </c>
      <c r="B230" s="28"/>
      <c r="C230" s="27"/>
      <c r="D230" s="27" t="str">
        <f>"""NAV Direct"",""CRONUS JetCorp USA"",""21"",""1"",""432338"""</f>
        <v>"NAV Direct","CRONUS JetCorp USA","21","1","432338"</v>
      </c>
      <c r="E230" s="31">
        <f t="shared" si="51"/>
        <v>0</v>
      </c>
      <c r="F230" s="31"/>
      <c r="G230" s="31"/>
      <c r="H230" s="31"/>
      <c r="I230" s="56"/>
      <c r="J230" s="56"/>
      <c r="K230" s="82" t="str">
        <f t="shared" si="60"/>
        <v>Credit Memo</v>
      </c>
      <c r="L230" s="83" t="str">
        <f>"SC_100411"</f>
        <v>SC_100411</v>
      </c>
      <c r="M230" s="84">
        <v>43178</v>
      </c>
      <c r="N230" s="85">
        <f t="shared" si="53"/>
        <v>634</v>
      </c>
      <c r="O230" s="86">
        <f t="shared" si="54"/>
        <v>-151.47</v>
      </c>
      <c r="P230" s="86">
        <f t="shared" si="55"/>
        <v>0</v>
      </c>
      <c r="Q230" s="86">
        <f t="shared" si="56"/>
        <v>0</v>
      </c>
      <c r="R230" s="86">
        <f t="shared" si="57"/>
        <v>0</v>
      </c>
      <c r="S230" s="86">
        <f t="shared" si="58"/>
        <v>0</v>
      </c>
      <c r="T230" s="86">
        <f t="shared" si="59"/>
        <v>-151.47</v>
      </c>
      <c r="U230" s="87">
        <v>-151.47</v>
      </c>
    </row>
    <row r="231" spans="1:22" s="30" customFormat="1" ht="24.6" hidden="1" outlineLevel="1" x14ac:dyDescent="0.55000000000000004">
      <c r="A231" s="27" t="s">
        <v>327</v>
      </c>
      <c r="B231" s="28"/>
      <c r="C231" s="27"/>
      <c r="D231" s="27" t="str">
        <f>"""NAV Direct"",""CRONUS JetCorp USA"",""21"",""1"",""432383"""</f>
        <v>"NAV Direct","CRONUS JetCorp USA","21","1","432383"</v>
      </c>
      <c r="E231" s="31" t="str">
        <f t="shared" si="51"/>
        <v>C100015</v>
      </c>
      <c r="F231" s="31"/>
      <c r="G231" s="31"/>
      <c r="H231" s="31"/>
      <c r="I231" s="56"/>
      <c r="J231" s="56"/>
      <c r="K231" s="82" t="str">
        <f t="shared" si="60"/>
        <v>Credit Memo</v>
      </c>
      <c r="L231" s="83" t="str">
        <f>"SC_100414"</f>
        <v>SC_100414</v>
      </c>
      <c r="M231" s="84">
        <v>43208</v>
      </c>
      <c r="N231" s="85">
        <f t="shared" si="53"/>
        <v>604</v>
      </c>
      <c r="O231" s="86">
        <f t="shared" si="54"/>
        <v>-142.5</v>
      </c>
      <c r="P231" s="86">
        <f t="shared" si="55"/>
        <v>0</v>
      </c>
      <c r="Q231" s="86">
        <f t="shared" si="56"/>
        <v>0</v>
      </c>
      <c r="R231" s="86">
        <f t="shared" si="57"/>
        <v>0</v>
      </c>
      <c r="S231" s="86">
        <f t="shared" si="58"/>
        <v>0</v>
      </c>
      <c r="T231" s="86">
        <f t="shared" si="59"/>
        <v>-142.5</v>
      </c>
      <c r="U231" s="87">
        <v>-142.5</v>
      </c>
    </row>
    <row r="232" spans="1:22" s="22" customFormat="1" ht="20.399999999999999" collapsed="1" x14ac:dyDescent="0.45">
      <c r="A232" s="12" t="s">
        <v>327</v>
      </c>
      <c r="B232" s="19"/>
      <c r="C232" s="12"/>
      <c r="D232" s="12"/>
      <c r="E232" s="23"/>
      <c r="F232" s="23"/>
      <c r="G232" s="23"/>
      <c r="H232" s="23"/>
      <c r="I232" s="49"/>
      <c r="J232" s="88"/>
      <c r="K232" s="88"/>
      <c r="L232" s="89"/>
      <c r="M232" s="89"/>
      <c r="N232" s="89"/>
      <c r="O232" s="89"/>
      <c r="P232" s="89"/>
      <c r="Q232" s="90"/>
      <c r="R232" s="90"/>
      <c r="S232" s="91"/>
      <c r="T232" s="92"/>
      <c r="U232" s="92"/>
    </row>
    <row r="233" spans="1:22" s="22" customFormat="1" ht="20.399999999999999" x14ac:dyDescent="0.45">
      <c r="A233" s="12" t="s">
        <v>327</v>
      </c>
      <c r="B233" s="19"/>
      <c r="C233" s="12"/>
      <c r="D233" s="12"/>
      <c r="E233" s="23"/>
      <c r="F233" s="23"/>
      <c r="G233" s="23"/>
      <c r="H233" s="23"/>
      <c r="I233" s="49"/>
      <c r="J233" s="88"/>
      <c r="K233" s="88"/>
      <c r="L233" s="89"/>
      <c r="M233" s="89"/>
      <c r="N233" s="89"/>
      <c r="O233" s="89"/>
      <c r="P233" s="89"/>
      <c r="Q233" s="90"/>
      <c r="R233" s="90"/>
      <c r="S233" s="91"/>
      <c r="T233" s="92"/>
      <c r="U233" s="92"/>
    </row>
    <row r="234" spans="1:22" s="26" customFormat="1" ht="24.6" x14ac:dyDescent="0.55000000000000004">
      <c r="A234" s="27" t="s">
        <v>327</v>
      </c>
      <c r="B234" s="28"/>
      <c r="C234" s="27" t="str">
        <f>"""NAV Direct"",""CRONUS JetCorp USA"",""18"",""1"",""C100017"""</f>
        <v>"NAV Direct","CRONUS JetCorp USA","18","1","C100017"</v>
      </c>
      <c r="D234" s="27"/>
      <c r="E234" s="28" t="str">
        <f>H234</f>
        <v>C100017</v>
      </c>
      <c r="F234" s="28"/>
      <c r="G234" s="28"/>
      <c r="H234" s="28" t="str">
        <f>"C100017"</f>
        <v>C100017</v>
      </c>
      <c r="I234" s="116" t="str">
        <f>"C100017  -  Centromerkur d.o.o."</f>
        <v>C100017  -  Centromerkur d.o.o.</v>
      </c>
      <c r="J234" s="117" t="str">
        <f>""</f>
        <v/>
      </c>
      <c r="K234" s="118"/>
      <c r="L234" s="119">
        <f>SUBTOTAL(3,L235:L261)</f>
        <v>23</v>
      </c>
      <c r="M234" s="118"/>
      <c r="N234" s="118"/>
      <c r="O234" s="120">
        <f t="shared" ref="O234:T234" si="61">SUBTOTAL(9,O235:O261)</f>
        <v>169282.13000000003</v>
      </c>
      <c r="P234" s="120">
        <f t="shared" si="61"/>
        <v>0</v>
      </c>
      <c r="Q234" s="120">
        <f t="shared" si="61"/>
        <v>0</v>
      </c>
      <c r="R234" s="120">
        <f t="shared" si="61"/>
        <v>0</v>
      </c>
      <c r="S234" s="120">
        <f t="shared" si="61"/>
        <v>0</v>
      </c>
      <c r="T234" s="120">
        <f t="shared" si="61"/>
        <v>169282.13000000003</v>
      </c>
      <c r="U234" s="81"/>
    </row>
    <row r="235" spans="1:22" s="26" customFormat="1" ht="24.6" x14ac:dyDescent="0.55000000000000004">
      <c r="A235" s="27" t="s">
        <v>327</v>
      </c>
      <c r="B235" s="28"/>
      <c r="C235" s="27" t="str">
        <f>C234</f>
        <v>"NAV Direct","CRONUS JetCorp USA","18","1","C100017"</v>
      </c>
      <c r="D235" s="27"/>
      <c r="E235" s="28" t="str">
        <f>E234</f>
        <v>C100017</v>
      </c>
      <c r="F235" s="28"/>
      <c r="G235" s="28"/>
      <c r="H235" s="28"/>
      <c r="I235" s="121" t="str">
        <f>"Contact: ga. Renata Lavtar"</f>
        <v>Contact: ga. Renata Lavtar</v>
      </c>
      <c r="J235" s="121"/>
      <c r="K235" s="122"/>
      <c r="L235" s="123"/>
      <c r="M235" s="123"/>
      <c r="N235" s="124"/>
      <c r="O235" s="124"/>
      <c r="P235" s="123"/>
      <c r="Q235" s="125"/>
      <c r="R235" s="126"/>
      <c r="S235" s="126"/>
      <c r="T235" s="125"/>
      <c r="U235" s="81"/>
    </row>
    <row r="236" spans="1:22" s="26" customFormat="1" ht="24.6" x14ac:dyDescent="0.55000000000000004">
      <c r="A236" s="27" t="s">
        <v>327</v>
      </c>
      <c r="B236" s="28"/>
      <c r="C236" s="27" t="str">
        <f>C235</f>
        <v>"NAV Direct","CRONUS JetCorp USA","18","1","C100017"</v>
      </c>
      <c r="D236" s="27"/>
      <c r="E236" s="28" t="str">
        <f>E235</f>
        <v>C100017</v>
      </c>
      <c r="F236" s="28"/>
      <c r="G236" s="28"/>
      <c r="H236" s="28"/>
      <c r="I236" s="121" t="str">
        <f>"centromerkur.doo@cronuscorp.net"</f>
        <v>centromerkur.doo@cronuscorp.net</v>
      </c>
      <c r="J236" s="121"/>
      <c r="K236" s="122"/>
      <c r="L236" s="124"/>
      <c r="M236" s="124"/>
      <c r="N236" s="124"/>
      <c r="O236" s="124"/>
      <c r="P236" s="123"/>
      <c r="Q236" s="125"/>
      <c r="R236" s="126"/>
      <c r="S236" s="126"/>
      <c r="T236" s="125"/>
      <c r="U236" s="81"/>
    </row>
    <row r="237" spans="1:22" ht="12.75" hidden="1" customHeight="1" outlineLevel="1" x14ac:dyDescent="0.45">
      <c r="A237" s="12" t="s">
        <v>328</v>
      </c>
      <c r="B237" s="19"/>
      <c r="E237" s="19"/>
      <c r="F237" s="19"/>
      <c r="G237" s="19"/>
      <c r="H237" s="19"/>
      <c r="I237" s="61"/>
      <c r="J237" s="61"/>
      <c r="K237" s="61"/>
      <c r="L237" s="61"/>
      <c r="M237" s="61"/>
      <c r="N237" s="61"/>
      <c r="O237" s="61"/>
      <c r="P237" s="61"/>
      <c r="Q237" s="61"/>
      <c r="R237" s="61"/>
      <c r="S237" s="61"/>
      <c r="T237" s="61"/>
      <c r="U237" s="61"/>
      <c r="V237" s="21"/>
    </row>
    <row r="238" spans="1:22" s="30" customFormat="1" ht="24.6" hidden="1" outlineLevel="1" x14ac:dyDescent="0.55000000000000004">
      <c r="A238" s="27" t="s">
        <v>327</v>
      </c>
      <c r="B238" s="28"/>
      <c r="C238" s="27"/>
      <c r="D238" s="27" t="str">
        <f>"""NAV Direct"",""CRONUS JetCorp USA"",""21"",""1"",""38566"""</f>
        <v>"NAV Direct","CRONUS JetCorp USA","21","1","38566"</v>
      </c>
      <c r="E238" s="31" t="str">
        <f t="shared" ref="E238:E260" si="62">E236</f>
        <v>C100017</v>
      </c>
      <c r="F238" s="31"/>
      <c r="G238" s="31"/>
      <c r="H238" s="31"/>
      <c r="I238" s="56"/>
      <c r="J238" s="56"/>
      <c r="K238" s="82" t="str">
        <f t="shared" ref="K238:K253" si="63">"Invoice"</f>
        <v>Invoice</v>
      </c>
      <c r="L238" s="83" t="str">
        <f>"SI_104794"</f>
        <v>SI_104794</v>
      </c>
      <c r="M238" s="84">
        <v>42247</v>
      </c>
      <c r="N238" s="85">
        <f t="shared" ref="N238:N260" si="64">StartDate-$M238+1</f>
        <v>1565</v>
      </c>
      <c r="O238" s="86">
        <f t="shared" ref="O238:O260" si="65">SUM(P238:T238)</f>
        <v>8755.07</v>
      </c>
      <c r="P238" s="86">
        <f t="shared" ref="P238:P260" si="66">IF($M238&gt;=$P$18,U238,0)</f>
        <v>0</v>
      </c>
      <c r="Q238" s="86">
        <f t="shared" ref="Q238:Q260" si="67">IF(AND($M238&gt;=$Q$16,$M238&lt;=$Q$18),U238,0)</f>
        <v>0</v>
      </c>
      <c r="R238" s="86">
        <f t="shared" ref="R238:R260" si="68">IF(AND($M238&gt;=$R$16,$M238&lt;=$R$18),U238,0)</f>
        <v>0</v>
      </c>
      <c r="S238" s="86">
        <f t="shared" ref="S238:S260" si="69">IF(AND($M238&gt;=$S$16,$M238&lt;=$S$18),U238,0)</f>
        <v>0</v>
      </c>
      <c r="T238" s="86">
        <f t="shared" ref="T238:T260" si="70">IF($M238&lt;=$T$18,U238,0)</f>
        <v>8755.07</v>
      </c>
      <c r="U238" s="87">
        <v>8755.07</v>
      </c>
    </row>
    <row r="239" spans="1:22" s="30" customFormat="1" ht="24.6" hidden="1" outlineLevel="1" x14ac:dyDescent="0.55000000000000004">
      <c r="A239" s="27" t="s">
        <v>327</v>
      </c>
      <c r="B239" s="28"/>
      <c r="C239" s="27"/>
      <c r="D239" s="27" t="str">
        <f>"""NAV Direct"",""CRONUS JetCorp USA"",""21"",""1"",""38792"""</f>
        <v>"NAV Direct","CRONUS JetCorp USA","21","1","38792"</v>
      </c>
      <c r="E239" s="31">
        <f t="shared" si="62"/>
        <v>0</v>
      </c>
      <c r="F239" s="31"/>
      <c r="G239" s="31"/>
      <c r="H239" s="31"/>
      <c r="I239" s="56"/>
      <c r="J239" s="56"/>
      <c r="K239" s="82" t="str">
        <f t="shared" si="63"/>
        <v>Invoice</v>
      </c>
      <c r="L239" s="83" t="str">
        <f>"SI_104804"</f>
        <v>SI_104804</v>
      </c>
      <c r="M239" s="84">
        <v>42338</v>
      </c>
      <c r="N239" s="85">
        <f t="shared" si="64"/>
        <v>1474</v>
      </c>
      <c r="O239" s="86">
        <f t="shared" si="65"/>
        <v>9490.8599999999988</v>
      </c>
      <c r="P239" s="86">
        <f t="shared" si="66"/>
        <v>0</v>
      </c>
      <c r="Q239" s="86">
        <f t="shared" si="67"/>
        <v>0</v>
      </c>
      <c r="R239" s="86">
        <f t="shared" si="68"/>
        <v>0</v>
      </c>
      <c r="S239" s="86">
        <f t="shared" si="69"/>
        <v>0</v>
      </c>
      <c r="T239" s="86">
        <f t="shared" si="70"/>
        <v>9490.8599999999988</v>
      </c>
      <c r="U239" s="87">
        <v>9490.8599999999988</v>
      </c>
    </row>
    <row r="240" spans="1:22" s="30" customFormat="1" ht="24.6" hidden="1" outlineLevel="1" x14ac:dyDescent="0.55000000000000004">
      <c r="A240" s="27" t="s">
        <v>327</v>
      </c>
      <c r="B240" s="28"/>
      <c r="C240" s="27"/>
      <c r="D240" s="27" t="str">
        <f>"""NAV Direct"",""CRONUS JetCorp USA"",""21"",""1"",""329942"""</f>
        <v>"NAV Direct","CRONUS JetCorp USA","21","1","329942"</v>
      </c>
      <c r="E240" s="31" t="str">
        <f t="shared" si="62"/>
        <v>C100017</v>
      </c>
      <c r="F240" s="31"/>
      <c r="G240" s="31"/>
      <c r="H240" s="31"/>
      <c r="I240" s="56"/>
      <c r="J240" s="56"/>
      <c r="K240" s="82" t="str">
        <f t="shared" si="63"/>
        <v>Invoice</v>
      </c>
      <c r="L240" s="83" t="str">
        <f>"SI_110376"</f>
        <v>SI_110376</v>
      </c>
      <c r="M240" s="84">
        <v>42400</v>
      </c>
      <c r="N240" s="85">
        <f t="shared" si="64"/>
        <v>1412</v>
      </c>
      <c r="O240" s="86">
        <f t="shared" si="65"/>
        <v>12737.61</v>
      </c>
      <c r="P240" s="86">
        <f t="shared" si="66"/>
        <v>0</v>
      </c>
      <c r="Q240" s="86">
        <f t="shared" si="67"/>
        <v>0</v>
      </c>
      <c r="R240" s="86">
        <f t="shared" si="68"/>
        <v>0</v>
      </c>
      <c r="S240" s="86">
        <f t="shared" si="69"/>
        <v>0</v>
      </c>
      <c r="T240" s="86">
        <f t="shared" si="70"/>
        <v>12737.61</v>
      </c>
      <c r="U240" s="87">
        <v>12737.61</v>
      </c>
    </row>
    <row r="241" spans="1:21" s="30" customFormat="1" ht="24.6" hidden="1" outlineLevel="1" x14ac:dyDescent="0.55000000000000004">
      <c r="A241" s="27" t="s">
        <v>327</v>
      </c>
      <c r="B241" s="28"/>
      <c r="C241" s="27"/>
      <c r="D241" s="27" t="str">
        <f>"""NAV Direct"",""CRONUS JetCorp USA"",""21"",""1"",""329998"""</f>
        <v>"NAV Direct","CRONUS JetCorp USA","21","1","329998"</v>
      </c>
      <c r="E241" s="31">
        <f t="shared" si="62"/>
        <v>0</v>
      </c>
      <c r="F241" s="31"/>
      <c r="G241" s="31"/>
      <c r="H241" s="31"/>
      <c r="I241" s="56"/>
      <c r="J241" s="56"/>
      <c r="K241" s="82" t="str">
        <f t="shared" si="63"/>
        <v>Invoice</v>
      </c>
      <c r="L241" s="83" t="str">
        <f>"SI_110378"</f>
        <v>SI_110378</v>
      </c>
      <c r="M241" s="84">
        <v>42429</v>
      </c>
      <c r="N241" s="85">
        <f t="shared" si="64"/>
        <v>1383</v>
      </c>
      <c r="O241" s="86">
        <f t="shared" si="65"/>
        <v>13636.970000000001</v>
      </c>
      <c r="P241" s="86">
        <f t="shared" si="66"/>
        <v>0</v>
      </c>
      <c r="Q241" s="86">
        <f t="shared" si="67"/>
        <v>0</v>
      </c>
      <c r="R241" s="86">
        <f t="shared" si="68"/>
        <v>0</v>
      </c>
      <c r="S241" s="86">
        <f t="shared" si="69"/>
        <v>0</v>
      </c>
      <c r="T241" s="86">
        <f t="shared" si="70"/>
        <v>13636.970000000001</v>
      </c>
      <c r="U241" s="87">
        <v>13636.970000000001</v>
      </c>
    </row>
    <row r="242" spans="1:21" s="30" customFormat="1" ht="24.6" hidden="1" outlineLevel="1" x14ac:dyDescent="0.55000000000000004">
      <c r="A242" s="27" t="s">
        <v>327</v>
      </c>
      <c r="B242" s="28"/>
      <c r="C242" s="27"/>
      <c r="D242" s="27" t="str">
        <f>"""NAV Direct"",""CRONUS JetCorp USA"",""21"",""1"",""330091"""</f>
        <v>"NAV Direct","CRONUS JetCorp USA","21","1","330091"</v>
      </c>
      <c r="E242" s="31" t="str">
        <f t="shared" si="62"/>
        <v>C100017</v>
      </c>
      <c r="F242" s="31"/>
      <c r="G242" s="31"/>
      <c r="H242" s="31"/>
      <c r="I242" s="56"/>
      <c r="J242" s="56"/>
      <c r="K242" s="82" t="str">
        <f t="shared" si="63"/>
        <v>Invoice</v>
      </c>
      <c r="L242" s="83" t="str">
        <f>"SI_110382"</f>
        <v>SI_110382</v>
      </c>
      <c r="M242" s="84">
        <v>42490</v>
      </c>
      <c r="N242" s="85">
        <f t="shared" si="64"/>
        <v>1322</v>
      </c>
      <c r="O242" s="86">
        <f t="shared" si="65"/>
        <v>13213.91</v>
      </c>
      <c r="P242" s="86">
        <f t="shared" si="66"/>
        <v>0</v>
      </c>
      <c r="Q242" s="86">
        <f t="shared" si="67"/>
        <v>0</v>
      </c>
      <c r="R242" s="86">
        <f t="shared" si="68"/>
        <v>0</v>
      </c>
      <c r="S242" s="86">
        <f t="shared" si="69"/>
        <v>0</v>
      </c>
      <c r="T242" s="86">
        <f t="shared" si="70"/>
        <v>13213.91</v>
      </c>
      <c r="U242" s="87">
        <v>13213.91</v>
      </c>
    </row>
    <row r="243" spans="1:21" s="30" customFormat="1" ht="24.6" hidden="1" outlineLevel="1" x14ac:dyDescent="0.55000000000000004">
      <c r="A243" s="27" t="s">
        <v>327</v>
      </c>
      <c r="B243" s="28"/>
      <c r="C243" s="27"/>
      <c r="D243" s="27" t="str">
        <f>"""NAV Direct"",""CRONUS JetCorp USA"",""21"",""1"",""330143"""</f>
        <v>"NAV Direct","CRONUS JetCorp USA","21","1","330143"</v>
      </c>
      <c r="E243" s="31">
        <f t="shared" si="62"/>
        <v>0</v>
      </c>
      <c r="F243" s="31"/>
      <c r="G243" s="31"/>
      <c r="H243" s="31"/>
      <c r="I243" s="56"/>
      <c r="J243" s="56"/>
      <c r="K243" s="82" t="str">
        <f t="shared" si="63"/>
        <v>Invoice</v>
      </c>
      <c r="L243" s="83" t="str">
        <f>"SI_110384"</f>
        <v>SI_110384</v>
      </c>
      <c r="M243" s="84">
        <v>42521</v>
      </c>
      <c r="N243" s="85">
        <f t="shared" si="64"/>
        <v>1291</v>
      </c>
      <c r="O243" s="86">
        <f t="shared" si="65"/>
        <v>13854.91</v>
      </c>
      <c r="P243" s="86">
        <f t="shared" si="66"/>
        <v>0</v>
      </c>
      <c r="Q243" s="86">
        <f t="shared" si="67"/>
        <v>0</v>
      </c>
      <c r="R243" s="86">
        <f t="shared" si="68"/>
        <v>0</v>
      </c>
      <c r="S243" s="86">
        <f t="shared" si="69"/>
        <v>0</v>
      </c>
      <c r="T243" s="86">
        <f t="shared" si="70"/>
        <v>13854.91</v>
      </c>
      <c r="U243" s="87">
        <v>13854.91</v>
      </c>
    </row>
    <row r="244" spans="1:21" s="30" customFormat="1" ht="24.6" hidden="1" outlineLevel="1" x14ac:dyDescent="0.55000000000000004">
      <c r="A244" s="27" t="s">
        <v>327</v>
      </c>
      <c r="B244" s="28"/>
      <c r="C244" s="27"/>
      <c r="D244" s="27" t="str">
        <f>"""NAV Direct"",""CRONUS JetCorp USA"",""21"",""1"",""330195"""</f>
        <v>"NAV Direct","CRONUS JetCorp USA","21","1","330195"</v>
      </c>
      <c r="E244" s="31" t="str">
        <f t="shared" si="62"/>
        <v>C100017</v>
      </c>
      <c r="F244" s="31"/>
      <c r="G244" s="31"/>
      <c r="H244" s="31"/>
      <c r="I244" s="56"/>
      <c r="J244" s="56"/>
      <c r="K244" s="82" t="str">
        <f t="shared" si="63"/>
        <v>Invoice</v>
      </c>
      <c r="L244" s="83" t="str">
        <f>"SI_110386"</f>
        <v>SI_110386</v>
      </c>
      <c r="M244" s="84">
        <v>42582</v>
      </c>
      <c r="N244" s="85">
        <f t="shared" si="64"/>
        <v>1230</v>
      </c>
      <c r="O244" s="86">
        <f t="shared" si="65"/>
        <v>13604.15</v>
      </c>
      <c r="P244" s="86">
        <f t="shared" si="66"/>
        <v>0</v>
      </c>
      <c r="Q244" s="86">
        <f t="shared" si="67"/>
        <v>0</v>
      </c>
      <c r="R244" s="86">
        <f t="shared" si="68"/>
        <v>0</v>
      </c>
      <c r="S244" s="86">
        <f t="shared" si="69"/>
        <v>0</v>
      </c>
      <c r="T244" s="86">
        <f t="shared" si="70"/>
        <v>13604.15</v>
      </c>
      <c r="U244" s="87">
        <v>13604.15</v>
      </c>
    </row>
    <row r="245" spans="1:21" s="30" customFormat="1" ht="24.6" hidden="1" outlineLevel="1" x14ac:dyDescent="0.55000000000000004">
      <c r="A245" s="27" t="s">
        <v>327</v>
      </c>
      <c r="B245" s="28"/>
      <c r="C245" s="27"/>
      <c r="D245" s="27" t="str">
        <f>"""NAV Direct"",""CRONUS JetCorp USA"",""21"",""1"",""330594"""</f>
        <v>"NAV Direct","CRONUS JetCorp USA","21","1","330594"</v>
      </c>
      <c r="E245" s="31">
        <f t="shared" si="62"/>
        <v>0</v>
      </c>
      <c r="F245" s="31"/>
      <c r="G245" s="31"/>
      <c r="H245" s="31"/>
      <c r="I245" s="56"/>
      <c r="J245" s="56"/>
      <c r="K245" s="82" t="str">
        <f t="shared" si="63"/>
        <v>Invoice</v>
      </c>
      <c r="L245" s="83" t="str">
        <f>"SI_110400"</f>
        <v>SI_110400</v>
      </c>
      <c r="M245" s="84">
        <v>42886</v>
      </c>
      <c r="N245" s="85">
        <f t="shared" si="64"/>
        <v>926</v>
      </c>
      <c r="O245" s="86">
        <f t="shared" si="65"/>
        <v>13283.06</v>
      </c>
      <c r="P245" s="86">
        <f t="shared" si="66"/>
        <v>0</v>
      </c>
      <c r="Q245" s="86">
        <f t="shared" si="67"/>
        <v>0</v>
      </c>
      <c r="R245" s="86">
        <f t="shared" si="68"/>
        <v>0</v>
      </c>
      <c r="S245" s="86">
        <f t="shared" si="69"/>
        <v>0</v>
      </c>
      <c r="T245" s="86">
        <f t="shared" si="70"/>
        <v>13283.06</v>
      </c>
      <c r="U245" s="87">
        <v>13283.06</v>
      </c>
    </row>
    <row r="246" spans="1:21" s="30" customFormat="1" ht="24.6" hidden="1" outlineLevel="1" x14ac:dyDescent="0.55000000000000004">
      <c r="A246" s="27" t="s">
        <v>327</v>
      </c>
      <c r="B246" s="28"/>
      <c r="C246" s="27"/>
      <c r="D246" s="27" t="str">
        <f>"""NAV Direct"",""CRONUS JetCorp USA"",""21"",""1"",""330910"""</f>
        <v>"NAV Direct","CRONUS JetCorp USA","21","1","330910"</v>
      </c>
      <c r="E246" s="31" t="str">
        <f t="shared" si="62"/>
        <v>C100017</v>
      </c>
      <c r="F246" s="31"/>
      <c r="G246" s="31"/>
      <c r="H246" s="31"/>
      <c r="I246" s="56"/>
      <c r="J246" s="56"/>
      <c r="K246" s="82" t="str">
        <f t="shared" si="63"/>
        <v>Invoice</v>
      </c>
      <c r="L246" s="83" t="str">
        <f>"SI_110412"</f>
        <v>SI_110412</v>
      </c>
      <c r="M246" s="84">
        <v>43159</v>
      </c>
      <c r="N246" s="85">
        <f t="shared" si="64"/>
        <v>653</v>
      </c>
      <c r="O246" s="86">
        <f t="shared" si="65"/>
        <v>9088.99</v>
      </c>
      <c r="P246" s="86">
        <f t="shared" si="66"/>
        <v>0</v>
      </c>
      <c r="Q246" s="86">
        <f t="shared" si="67"/>
        <v>0</v>
      </c>
      <c r="R246" s="86">
        <f t="shared" si="68"/>
        <v>0</v>
      </c>
      <c r="S246" s="86">
        <f t="shared" si="69"/>
        <v>0</v>
      </c>
      <c r="T246" s="86">
        <f t="shared" si="70"/>
        <v>9088.99</v>
      </c>
      <c r="U246" s="87">
        <v>9088.99</v>
      </c>
    </row>
    <row r="247" spans="1:21" s="30" customFormat="1" ht="24.6" hidden="1" outlineLevel="1" x14ac:dyDescent="0.55000000000000004">
      <c r="A247" s="27" t="s">
        <v>327</v>
      </c>
      <c r="B247" s="28"/>
      <c r="C247" s="27"/>
      <c r="D247" s="27" t="str">
        <f>"""NAV Direct"",""CRONUS JetCorp USA"",""21"",""1"",""330962"""</f>
        <v>"NAV Direct","CRONUS JetCorp USA","21","1","330962"</v>
      </c>
      <c r="E247" s="31">
        <f t="shared" si="62"/>
        <v>0</v>
      </c>
      <c r="F247" s="31"/>
      <c r="G247" s="31"/>
      <c r="H247" s="31"/>
      <c r="I247" s="56"/>
      <c r="J247" s="56"/>
      <c r="K247" s="82" t="str">
        <f t="shared" si="63"/>
        <v>Invoice</v>
      </c>
      <c r="L247" s="83" t="str">
        <f>"SI_110414"</f>
        <v>SI_110414</v>
      </c>
      <c r="M247" s="84">
        <v>43159</v>
      </c>
      <c r="N247" s="85">
        <f t="shared" si="64"/>
        <v>653</v>
      </c>
      <c r="O247" s="86">
        <f t="shared" si="65"/>
        <v>8610.619999999999</v>
      </c>
      <c r="P247" s="86">
        <f t="shared" si="66"/>
        <v>0</v>
      </c>
      <c r="Q247" s="86">
        <f t="shared" si="67"/>
        <v>0</v>
      </c>
      <c r="R247" s="86">
        <f t="shared" si="68"/>
        <v>0</v>
      </c>
      <c r="S247" s="86">
        <f t="shared" si="69"/>
        <v>0</v>
      </c>
      <c r="T247" s="86">
        <f t="shared" si="70"/>
        <v>8610.619999999999</v>
      </c>
      <c r="U247" s="87">
        <v>8610.619999999999</v>
      </c>
    </row>
    <row r="248" spans="1:21" s="30" customFormat="1" ht="24.6" hidden="1" outlineLevel="1" x14ac:dyDescent="0.55000000000000004">
      <c r="A248" s="27" t="s">
        <v>327</v>
      </c>
      <c r="B248" s="28"/>
      <c r="C248" s="27"/>
      <c r="D248" s="27" t="str">
        <f>"""NAV Direct"",""CRONUS JetCorp USA"",""21"",""1"",""331312"""</f>
        <v>"NAV Direct","CRONUS JetCorp USA","21","1","331312"</v>
      </c>
      <c r="E248" s="31" t="str">
        <f t="shared" si="62"/>
        <v>C100017</v>
      </c>
      <c r="F248" s="31"/>
      <c r="G248" s="31"/>
      <c r="H248" s="31"/>
      <c r="I248" s="56"/>
      <c r="J248" s="56"/>
      <c r="K248" s="82" t="str">
        <f t="shared" si="63"/>
        <v>Invoice</v>
      </c>
      <c r="L248" s="83" t="str">
        <f>"SI_110430"</f>
        <v>SI_110430</v>
      </c>
      <c r="M248" s="84">
        <v>43465</v>
      </c>
      <c r="N248" s="85">
        <f t="shared" si="64"/>
        <v>347</v>
      </c>
      <c r="O248" s="86">
        <f t="shared" si="65"/>
        <v>7912.8399999999992</v>
      </c>
      <c r="P248" s="86">
        <f t="shared" si="66"/>
        <v>0</v>
      </c>
      <c r="Q248" s="86">
        <f t="shared" si="67"/>
        <v>0</v>
      </c>
      <c r="R248" s="86">
        <f t="shared" si="68"/>
        <v>0</v>
      </c>
      <c r="S248" s="86">
        <f t="shared" si="69"/>
        <v>0</v>
      </c>
      <c r="T248" s="86">
        <f t="shared" si="70"/>
        <v>7912.8399999999992</v>
      </c>
      <c r="U248" s="87">
        <v>7912.8399999999992</v>
      </c>
    </row>
    <row r="249" spans="1:21" s="30" customFormat="1" ht="24.6" hidden="1" outlineLevel="1" x14ac:dyDescent="0.55000000000000004">
      <c r="A249" s="27" t="s">
        <v>327</v>
      </c>
      <c r="B249" s="28"/>
      <c r="C249" s="27"/>
      <c r="D249" s="27" t="str">
        <f>"""NAV Direct"",""CRONUS JetCorp USA"",""21"",""1"",""331479"""</f>
        <v>"NAV Direct","CRONUS JetCorp USA","21","1","331479"</v>
      </c>
      <c r="E249" s="31">
        <f t="shared" si="62"/>
        <v>0</v>
      </c>
      <c r="F249" s="31"/>
      <c r="G249" s="31"/>
      <c r="H249" s="31"/>
      <c r="I249" s="56"/>
      <c r="J249" s="56"/>
      <c r="K249" s="82" t="str">
        <f t="shared" si="63"/>
        <v>Invoice</v>
      </c>
      <c r="L249" s="83" t="str">
        <f>"SI_110437"</f>
        <v>SI_110437</v>
      </c>
      <c r="M249" s="84">
        <v>43585</v>
      </c>
      <c r="N249" s="85">
        <f t="shared" si="64"/>
        <v>227</v>
      </c>
      <c r="O249" s="86">
        <f t="shared" si="65"/>
        <v>8732.1</v>
      </c>
      <c r="P249" s="86">
        <f t="shared" si="66"/>
        <v>0</v>
      </c>
      <c r="Q249" s="86">
        <f t="shared" si="67"/>
        <v>0</v>
      </c>
      <c r="R249" s="86">
        <f t="shared" si="68"/>
        <v>0</v>
      </c>
      <c r="S249" s="86">
        <f t="shared" si="69"/>
        <v>0</v>
      </c>
      <c r="T249" s="86">
        <f t="shared" si="70"/>
        <v>8732.1</v>
      </c>
      <c r="U249" s="87">
        <v>8732.1</v>
      </c>
    </row>
    <row r="250" spans="1:21" s="30" customFormat="1" ht="24.6" hidden="1" outlineLevel="1" x14ac:dyDescent="0.55000000000000004">
      <c r="A250" s="27" t="s">
        <v>327</v>
      </c>
      <c r="B250" s="28"/>
      <c r="C250" s="27"/>
      <c r="D250" s="27" t="str">
        <f>"""NAV Direct"",""CRONUS JetCorp USA"",""21"",""1"",""331679"""</f>
        <v>"NAV Direct","CRONUS JetCorp USA","21","1","331679"</v>
      </c>
      <c r="E250" s="31" t="str">
        <f t="shared" si="62"/>
        <v>C100017</v>
      </c>
      <c r="F250" s="31"/>
      <c r="G250" s="31"/>
      <c r="H250" s="31"/>
      <c r="I250" s="56"/>
      <c r="J250" s="56"/>
      <c r="K250" s="82" t="str">
        <f t="shared" si="63"/>
        <v>Invoice</v>
      </c>
      <c r="L250" s="83" t="str">
        <f>"SI_110445"</f>
        <v>SI_110445</v>
      </c>
      <c r="M250" s="84">
        <v>43708</v>
      </c>
      <c r="N250" s="85">
        <f t="shared" si="64"/>
        <v>104</v>
      </c>
      <c r="O250" s="86">
        <f t="shared" si="65"/>
        <v>9426</v>
      </c>
      <c r="P250" s="86">
        <f t="shared" si="66"/>
        <v>0</v>
      </c>
      <c r="Q250" s="86">
        <f t="shared" si="67"/>
        <v>0</v>
      </c>
      <c r="R250" s="86">
        <f t="shared" si="68"/>
        <v>0</v>
      </c>
      <c r="S250" s="86">
        <f t="shared" si="69"/>
        <v>0</v>
      </c>
      <c r="T250" s="86">
        <f t="shared" si="70"/>
        <v>9426</v>
      </c>
      <c r="U250" s="87">
        <v>9426</v>
      </c>
    </row>
    <row r="251" spans="1:21" s="30" customFormat="1" ht="24.6" hidden="1" outlineLevel="1" x14ac:dyDescent="0.55000000000000004">
      <c r="A251" s="27" t="s">
        <v>327</v>
      </c>
      <c r="B251" s="28"/>
      <c r="C251" s="27"/>
      <c r="D251" s="27" t="str">
        <f>"""NAV Direct"",""CRONUS JetCorp USA"",""21"",""1"",""331975"""</f>
        <v>"NAV Direct","CRONUS JetCorp USA","21","1","331975"</v>
      </c>
      <c r="E251" s="31">
        <f t="shared" si="62"/>
        <v>0</v>
      </c>
      <c r="F251" s="31"/>
      <c r="G251" s="31"/>
      <c r="H251" s="31"/>
      <c r="I251" s="56"/>
      <c r="J251" s="56"/>
      <c r="K251" s="82" t="str">
        <f t="shared" si="63"/>
        <v>Invoice</v>
      </c>
      <c r="L251" s="83" t="str">
        <f>"SI_110457"</f>
        <v>SI_110457</v>
      </c>
      <c r="M251" s="84">
        <v>42155</v>
      </c>
      <c r="N251" s="85">
        <f t="shared" si="64"/>
        <v>1657</v>
      </c>
      <c r="O251" s="86">
        <f t="shared" si="65"/>
        <v>9703.48</v>
      </c>
      <c r="P251" s="86">
        <f t="shared" si="66"/>
        <v>0</v>
      </c>
      <c r="Q251" s="86">
        <f t="shared" si="67"/>
        <v>0</v>
      </c>
      <c r="R251" s="86">
        <f t="shared" si="68"/>
        <v>0</v>
      </c>
      <c r="S251" s="86">
        <f t="shared" si="69"/>
        <v>0</v>
      </c>
      <c r="T251" s="86">
        <f t="shared" si="70"/>
        <v>9703.48</v>
      </c>
      <c r="U251" s="87">
        <v>9703.48</v>
      </c>
    </row>
    <row r="252" spans="1:21" s="30" customFormat="1" ht="24.6" hidden="1" outlineLevel="1" x14ac:dyDescent="0.55000000000000004">
      <c r="A252" s="27" t="s">
        <v>327</v>
      </c>
      <c r="B252" s="28"/>
      <c r="C252" s="27"/>
      <c r="D252" s="27" t="str">
        <f>"""NAV Direct"",""CRONUS JetCorp USA"",""21"",""1"",""332161"""</f>
        <v>"NAV Direct","CRONUS JetCorp USA","21","1","332161"</v>
      </c>
      <c r="E252" s="31" t="str">
        <f t="shared" si="62"/>
        <v>C100017</v>
      </c>
      <c r="F252" s="31"/>
      <c r="G252" s="31"/>
      <c r="H252" s="31"/>
      <c r="I252" s="56"/>
      <c r="J252" s="56"/>
      <c r="K252" s="82" t="str">
        <f t="shared" si="63"/>
        <v>Invoice</v>
      </c>
      <c r="L252" s="83" t="str">
        <f>"SI_110465"</f>
        <v>SI_110465</v>
      </c>
      <c r="M252" s="84">
        <v>42247</v>
      </c>
      <c r="N252" s="85">
        <f t="shared" si="64"/>
        <v>1565</v>
      </c>
      <c r="O252" s="86">
        <f t="shared" si="65"/>
        <v>8754.43</v>
      </c>
      <c r="P252" s="86">
        <f t="shared" si="66"/>
        <v>0</v>
      </c>
      <c r="Q252" s="86">
        <f t="shared" si="67"/>
        <v>0</v>
      </c>
      <c r="R252" s="86">
        <f t="shared" si="68"/>
        <v>0</v>
      </c>
      <c r="S252" s="86">
        <f t="shared" si="69"/>
        <v>0</v>
      </c>
      <c r="T252" s="86">
        <f t="shared" si="70"/>
        <v>8754.43</v>
      </c>
      <c r="U252" s="87">
        <v>8754.43</v>
      </c>
    </row>
    <row r="253" spans="1:21" s="30" customFormat="1" ht="24.6" hidden="1" outlineLevel="1" x14ac:dyDescent="0.55000000000000004">
      <c r="A253" s="27" t="s">
        <v>327</v>
      </c>
      <c r="B253" s="28"/>
      <c r="C253" s="27"/>
      <c r="D253" s="27" t="str">
        <f>"""NAV Direct"",""CRONUS JetCorp USA"",""21"",""1"",""332268"""</f>
        <v>"NAV Direct","CRONUS JetCorp USA","21","1","332268"</v>
      </c>
      <c r="E253" s="31">
        <f t="shared" si="62"/>
        <v>0</v>
      </c>
      <c r="F253" s="31"/>
      <c r="G253" s="31"/>
      <c r="H253" s="31"/>
      <c r="I253" s="56"/>
      <c r="J253" s="56"/>
      <c r="K253" s="82" t="str">
        <f t="shared" si="63"/>
        <v>Invoice</v>
      </c>
      <c r="L253" s="83" t="str">
        <f>"SI_110470"</f>
        <v>SI_110470</v>
      </c>
      <c r="M253" s="84">
        <v>42308</v>
      </c>
      <c r="N253" s="85">
        <f t="shared" si="64"/>
        <v>1504</v>
      </c>
      <c r="O253" s="86">
        <f t="shared" si="65"/>
        <v>9258.5400000000009</v>
      </c>
      <c r="P253" s="86">
        <f t="shared" si="66"/>
        <v>0</v>
      </c>
      <c r="Q253" s="86">
        <f t="shared" si="67"/>
        <v>0</v>
      </c>
      <c r="R253" s="86">
        <f t="shared" si="68"/>
        <v>0</v>
      </c>
      <c r="S253" s="86">
        <f t="shared" si="69"/>
        <v>0</v>
      </c>
      <c r="T253" s="86">
        <f t="shared" si="70"/>
        <v>9258.5400000000009</v>
      </c>
      <c r="U253" s="87">
        <v>9258.5400000000009</v>
      </c>
    </row>
    <row r="254" spans="1:21" s="30" customFormat="1" ht="24.6" hidden="1" outlineLevel="1" x14ac:dyDescent="0.55000000000000004">
      <c r="A254" s="27" t="s">
        <v>327</v>
      </c>
      <c r="B254" s="28"/>
      <c r="C254" s="27"/>
      <c r="D254" s="27" t="str">
        <f>"""NAV Direct"",""CRONUS JetCorp USA"",""21"",""1"",""432820"""</f>
        <v>"NAV Direct","CRONUS JetCorp USA","21","1","432820"</v>
      </c>
      <c r="E254" s="31" t="str">
        <f t="shared" si="62"/>
        <v>C100017</v>
      </c>
      <c r="F254" s="31"/>
      <c r="G254" s="31"/>
      <c r="H254" s="31"/>
      <c r="I254" s="56"/>
      <c r="J254" s="56"/>
      <c r="K254" s="82" t="str">
        <f t="shared" ref="K254:K260" si="71">"Credit Memo"</f>
        <v>Credit Memo</v>
      </c>
      <c r="L254" s="83" t="str">
        <f>"SC_100442"</f>
        <v>SC_100442</v>
      </c>
      <c r="M254" s="84">
        <v>42735</v>
      </c>
      <c r="N254" s="85">
        <f t="shared" si="64"/>
        <v>1077</v>
      </c>
      <c r="O254" s="86">
        <f t="shared" si="65"/>
        <v>-137.54</v>
      </c>
      <c r="P254" s="86">
        <f t="shared" si="66"/>
        <v>0</v>
      </c>
      <c r="Q254" s="86">
        <f t="shared" si="67"/>
        <v>0</v>
      </c>
      <c r="R254" s="86">
        <f t="shared" si="68"/>
        <v>0</v>
      </c>
      <c r="S254" s="86">
        <f t="shared" si="69"/>
        <v>0</v>
      </c>
      <c r="T254" s="86">
        <f t="shared" si="70"/>
        <v>-137.54</v>
      </c>
      <c r="U254" s="87">
        <v>-137.54</v>
      </c>
    </row>
    <row r="255" spans="1:21" s="30" customFormat="1" ht="24.6" hidden="1" outlineLevel="1" x14ac:dyDescent="0.55000000000000004">
      <c r="A255" s="27" t="s">
        <v>327</v>
      </c>
      <c r="B255" s="28"/>
      <c r="C255" s="27"/>
      <c r="D255" s="27" t="str">
        <f>"""NAV Direct"",""CRONUS JetCorp USA"",""21"",""1"",""432861"""</f>
        <v>"NAV Direct","CRONUS JetCorp USA","21","1","432861"</v>
      </c>
      <c r="E255" s="31">
        <f t="shared" si="62"/>
        <v>0</v>
      </c>
      <c r="F255" s="31"/>
      <c r="G255" s="31"/>
      <c r="H255" s="31"/>
      <c r="I255" s="56"/>
      <c r="J255" s="56"/>
      <c r="K255" s="82" t="str">
        <f t="shared" si="71"/>
        <v>Credit Memo</v>
      </c>
      <c r="L255" s="83" t="str">
        <f>"SC_100445"</f>
        <v>SC_100445</v>
      </c>
      <c r="M255" s="84">
        <v>42814</v>
      </c>
      <c r="N255" s="85">
        <f t="shared" si="64"/>
        <v>998</v>
      </c>
      <c r="O255" s="86">
        <f t="shared" si="65"/>
        <v>-135.27000000000001</v>
      </c>
      <c r="P255" s="86">
        <f t="shared" si="66"/>
        <v>0</v>
      </c>
      <c r="Q255" s="86">
        <f t="shared" si="67"/>
        <v>0</v>
      </c>
      <c r="R255" s="86">
        <f t="shared" si="68"/>
        <v>0</v>
      </c>
      <c r="S255" s="86">
        <f t="shared" si="69"/>
        <v>0</v>
      </c>
      <c r="T255" s="86">
        <f t="shared" si="70"/>
        <v>-135.27000000000001</v>
      </c>
      <c r="U255" s="87">
        <v>-135.27000000000001</v>
      </c>
    </row>
    <row r="256" spans="1:21" s="30" customFormat="1" ht="24.6" hidden="1" outlineLevel="1" x14ac:dyDescent="0.55000000000000004">
      <c r="A256" s="27" t="s">
        <v>327</v>
      </c>
      <c r="B256" s="28"/>
      <c r="C256" s="27"/>
      <c r="D256" s="27" t="str">
        <f>"""NAV Direct"",""CRONUS JetCorp USA"",""21"",""1"",""432874"""</f>
        <v>"NAV Direct","CRONUS JetCorp USA","21","1","432874"</v>
      </c>
      <c r="E256" s="31" t="str">
        <f t="shared" si="62"/>
        <v>C100017</v>
      </c>
      <c r="F256" s="31"/>
      <c r="G256" s="31"/>
      <c r="H256" s="31"/>
      <c r="I256" s="56"/>
      <c r="J256" s="56"/>
      <c r="K256" s="82" t="str">
        <f t="shared" si="71"/>
        <v>Credit Memo</v>
      </c>
      <c r="L256" s="83" t="str">
        <f>"SC_100446"</f>
        <v>SC_100446</v>
      </c>
      <c r="M256" s="84">
        <v>42904</v>
      </c>
      <c r="N256" s="85">
        <f t="shared" si="64"/>
        <v>908</v>
      </c>
      <c r="O256" s="86">
        <f t="shared" si="65"/>
        <v>-133.78</v>
      </c>
      <c r="P256" s="86">
        <f t="shared" si="66"/>
        <v>0</v>
      </c>
      <c r="Q256" s="86">
        <f t="shared" si="67"/>
        <v>0</v>
      </c>
      <c r="R256" s="86">
        <f t="shared" si="68"/>
        <v>0</v>
      </c>
      <c r="S256" s="86">
        <f t="shared" si="69"/>
        <v>0</v>
      </c>
      <c r="T256" s="86">
        <f t="shared" si="70"/>
        <v>-133.78</v>
      </c>
      <c r="U256" s="87">
        <v>-133.78</v>
      </c>
    </row>
    <row r="257" spans="1:22" s="30" customFormat="1" ht="24.6" hidden="1" outlineLevel="1" x14ac:dyDescent="0.55000000000000004">
      <c r="A257" s="27" t="s">
        <v>327</v>
      </c>
      <c r="B257" s="28"/>
      <c r="C257" s="27"/>
      <c r="D257" s="27" t="str">
        <f>"""NAV Direct"",""CRONUS JetCorp USA"",""21"",""1"",""432891"""</f>
        <v>"NAV Direct","CRONUS JetCorp USA","21","1","432891"</v>
      </c>
      <c r="E257" s="31">
        <f t="shared" si="62"/>
        <v>0</v>
      </c>
      <c r="F257" s="31"/>
      <c r="G257" s="31"/>
      <c r="H257" s="31"/>
      <c r="I257" s="56"/>
      <c r="J257" s="56"/>
      <c r="K257" s="82" t="str">
        <f t="shared" si="71"/>
        <v>Credit Memo</v>
      </c>
      <c r="L257" s="83" t="str">
        <f>"SC_100447"</f>
        <v>SC_100447</v>
      </c>
      <c r="M257" s="84">
        <v>42963</v>
      </c>
      <c r="N257" s="85">
        <f t="shared" si="64"/>
        <v>849</v>
      </c>
      <c r="O257" s="86">
        <f t="shared" si="65"/>
        <v>-116.58999999999999</v>
      </c>
      <c r="P257" s="86">
        <f t="shared" si="66"/>
        <v>0</v>
      </c>
      <c r="Q257" s="86">
        <f t="shared" si="67"/>
        <v>0</v>
      </c>
      <c r="R257" s="86">
        <f t="shared" si="68"/>
        <v>0</v>
      </c>
      <c r="S257" s="86">
        <f t="shared" si="69"/>
        <v>0</v>
      </c>
      <c r="T257" s="86">
        <f t="shared" si="70"/>
        <v>-116.58999999999999</v>
      </c>
      <c r="U257" s="87">
        <v>-116.58999999999999</v>
      </c>
    </row>
    <row r="258" spans="1:22" s="30" customFormat="1" ht="24.6" hidden="1" outlineLevel="1" x14ac:dyDescent="0.55000000000000004">
      <c r="A258" s="27" t="s">
        <v>327</v>
      </c>
      <c r="B258" s="28"/>
      <c r="C258" s="27"/>
      <c r="D258" s="27" t="str">
        <f>"""NAV Direct"",""CRONUS JetCorp USA"",""21"",""1"",""432978"""</f>
        <v>"NAV Direct","CRONUS JetCorp USA","21","1","432978"</v>
      </c>
      <c r="E258" s="31" t="str">
        <f t="shared" si="62"/>
        <v>C100017</v>
      </c>
      <c r="F258" s="31"/>
      <c r="G258" s="31"/>
      <c r="H258" s="31"/>
      <c r="I258" s="56"/>
      <c r="J258" s="56"/>
      <c r="K258" s="82" t="str">
        <f t="shared" si="71"/>
        <v>Credit Memo</v>
      </c>
      <c r="L258" s="83" t="str">
        <f>"SC_100454"</f>
        <v>SC_100454</v>
      </c>
      <c r="M258" s="84">
        <v>43452</v>
      </c>
      <c r="N258" s="85">
        <f t="shared" si="64"/>
        <v>360</v>
      </c>
      <c r="O258" s="86">
        <f t="shared" si="65"/>
        <v>-75.489999999999995</v>
      </c>
      <c r="P258" s="86">
        <f t="shared" si="66"/>
        <v>0</v>
      </c>
      <c r="Q258" s="86">
        <f t="shared" si="67"/>
        <v>0</v>
      </c>
      <c r="R258" s="86">
        <f t="shared" si="68"/>
        <v>0</v>
      </c>
      <c r="S258" s="86">
        <f t="shared" si="69"/>
        <v>0</v>
      </c>
      <c r="T258" s="86">
        <f t="shared" si="70"/>
        <v>-75.489999999999995</v>
      </c>
      <c r="U258" s="87">
        <v>-75.489999999999995</v>
      </c>
    </row>
    <row r="259" spans="1:22" s="30" customFormat="1" ht="24.6" hidden="1" outlineLevel="1" x14ac:dyDescent="0.55000000000000004">
      <c r="A259" s="27" t="s">
        <v>327</v>
      </c>
      <c r="B259" s="28"/>
      <c r="C259" s="27"/>
      <c r="D259" s="27" t="str">
        <f>"""NAV Direct"",""CRONUS JetCorp USA"",""21"",""1"",""433115"""</f>
        <v>"NAV Direct","CRONUS JetCorp USA","21","1","433115"</v>
      </c>
      <c r="E259" s="31">
        <f t="shared" si="62"/>
        <v>0</v>
      </c>
      <c r="F259" s="31"/>
      <c r="G259" s="31"/>
      <c r="H259" s="31"/>
      <c r="I259" s="56"/>
      <c r="J259" s="56"/>
      <c r="K259" s="82" t="str">
        <f t="shared" si="71"/>
        <v>Credit Memo</v>
      </c>
      <c r="L259" s="83" t="str">
        <f>"SC_100463"</f>
        <v>SC_100463</v>
      </c>
      <c r="M259" s="84">
        <v>42264</v>
      </c>
      <c r="N259" s="85">
        <f t="shared" si="64"/>
        <v>1548</v>
      </c>
      <c r="O259" s="86">
        <f t="shared" si="65"/>
        <v>-88.97</v>
      </c>
      <c r="P259" s="86">
        <f t="shared" si="66"/>
        <v>0</v>
      </c>
      <c r="Q259" s="86">
        <f t="shared" si="67"/>
        <v>0</v>
      </c>
      <c r="R259" s="86">
        <f t="shared" si="68"/>
        <v>0</v>
      </c>
      <c r="S259" s="86">
        <f t="shared" si="69"/>
        <v>0</v>
      </c>
      <c r="T259" s="86">
        <f t="shared" si="70"/>
        <v>-88.97</v>
      </c>
      <c r="U259" s="87">
        <v>-88.97</v>
      </c>
    </row>
    <row r="260" spans="1:22" s="30" customFormat="1" ht="24.6" hidden="1" outlineLevel="1" x14ac:dyDescent="0.55000000000000004">
      <c r="A260" s="27" t="s">
        <v>327</v>
      </c>
      <c r="B260" s="28"/>
      <c r="C260" s="27"/>
      <c r="D260" s="27" t="str">
        <f>"""NAV Direct"",""CRONUS JetCorp USA"",""21"",""1"",""433141"""</f>
        <v>"NAV Direct","CRONUS JetCorp USA","21","1","433141"</v>
      </c>
      <c r="E260" s="31" t="str">
        <f t="shared" si="62"/>
        <v>C100017</v>
      </c>
      <c r="F260" s="31"/>
      <c r="G260" s="31"/>
      <c r="H260" s="31"/>
      <c r="I260" s="56"/>
      <c r="J260" s="56"/>
      <c r="K260" s="82" t="str">
        <f t="shared" si="71"/>
        <v>Credit Memo</v>
      </c>
      <c r="L260" s="83" t="str">
        <f>"SC_100465"</f>
        <v>SC_100465</v>
      </c>
      <c r="M260" s="84">
        <v>42319</v>
      </c>
      <c r="N260" s="85">
        <f t="shared" si="64"/>
        <v>1493</v>
      </c>
      <c r="O260" s="86">
        <f t="shared" si="65"/>
        <v>-93.77</v>
      </c>
      <c r="P260" s="86">
        <f t="shared" si="66"/>
        <v>0</v>
      </c>
      <c r="Q260" s="86">
        <f t="shared" si="67"/>
        <v>0</v>
      </c>
      <c r="R260" s="86">
        <f t="shared" si="68"/>
        <v>0</v>
      </c>
      <c r="S260" s="86">
        <f t="shared" si="69"/>
        <v>0</v>
      </c>
      <c r="T260" s="86">
        <f t="shared" si="70"/>
        <v>-93.77</v>
      </c>
      <c r="U260" s="87">
        <v>-93.77</v>
      </c>
    </row>
    <row r="261" spans="1:22" s="22" customFormat="1" ht="20.399999999999999" collapsed="1" x14ac:dyDescent="0.45">
      <c r="A261" s="12" t="s">
        <v>327</v>
      </c>
      <c r="B261" s="19"/>
      <c r="C261" s="12"/>
      <c r="D261" s="12"/>
      <c r="E261" s="23"/>
      <c r="F261" s="23"/>
      <c r="G261" s="23"/>
      <c r="H261" s="23"/>
      <c r="I261" s="49"/>
      <c r="J261" s="88"/>
      <c r="K261" s="88"/>
      <c r="L261" s="89"/>
      <c r="M261" s="89"/>
      <c r="N261" s="89"/>
      <c r="O261" s="89"/>
      <c r="P261" s="89"/>
      <c r="Q261" s="90"/>
      <c r="R261" s="90"/>
      <c r="S261" s="91"/>
      <c r="T261" s="92"/>
      <c r="U261" s="92"/>
    </row>
    <row r="262" spans="1:22" s="22" customFormat="1" ht="20.399999999999999" x14ac:dyDescent="0.45">
      <c r="A262" s="12" t="s">
        <v>327</v>
      </c>
      <c r="B262" s="19"/>
      <c r="C262" s="12"/>
      <c r="D262" s="12"/>
      <c r="E262" s="23"/>
      <c r="F262" s="23"/>
      <c r="G262" s="23"/>
      <c r="H262" s="23"/>
      <c r="I262" s="49"/>
      <c r="J262" s="88"/>
      <c r="K262" s="88"/>
      <c r="L262" s="89"/>
      <c r="M262" s="89"/>
      <c r="N262" s="89"/>
      <c r="O262" s="89"/>
      <c r="P262" s="89"/>
      <c r="Q262" s="90"/>
      <c r="R262" s="90"/>
      <c r="S262" s="91"/>
      <c r="T262" s="92"/>
      <c r="U262" s="92"/>
    </row>
    <row r="263" spans="1:22" s="26" customFormat="1" ht="24.6" x14ac:dyDescent="0.55000000000000004">
      <c r="A263" s="27" t="s">
        <v>327</v>
      </c>
      <c r="B263" s="28"/>
      <c r="C263" s="27" t="str">
        <f>"""NAV Direct"",""CRONUS JetCorp USA"",""18"",""1"",""C100018"""</f>
        <v>"NAV Direct","CRONUS JetCorp USA","18","1","C100018"</v>
      </c>
      <c r="D263" s="27"/>
      <c r="E263" s="28" t="str">
        <f>H263</f>
        <v>C100018</v>
      </c>
      <c r="F263" s="28"/>
      <c r="G263" s="28"/>
      <c r="H263" s="28" t="str">
        <f>"C100018"</f>
        <v>C100018</v>
      </c>
      <c r="I263" s="116" t="str">
        <f>"C100018  -  City Of Chicago"</f>
        <v>C100018  -  City Of Chicago</v>
      </c>
      <c r="J263" s="117" t="str">
        <f>""</f>
        <v/>
      </c>
      <c r="K263" s="118"/>
      <c r="L263" s="119">
        <f>SUBTOTAL(3,L264:L310)</f>
        <v>43</v>
      </c>
      <c r="M263" s="118"/>
      <c r="N263" s="118"/>
      <c r="O263" s="120">
        <f t="shared" ref="O263:T263" si="72">SUBTOTAL(9,O264:O310)</f>
        <v>590982.79999999981</v>
      </c>
      <c r="P263" s="120">
        <f t="shared" si="72"/>
        <v>20378.5</v>
      </c>
      <c r="Q263" s="120">
        <f t="shared" si="72"/>
        <v>0</v>
      </c>
      <c r="R263" s="120">
        <f t="shared" si="72"/>
        <v>18871.190000000002</v>
      </c>
      <c r="S263" s="120">
        <f t="shared" si="72"/>
        <v>18539.47</v>
      </c>
      <c r="T263" s="120">
        <f t="shared" si="72"/>
        <v>533193.6399999999</v>
      </c>
      <c r="U263" s="81"/>
    </row>
    <row r="264" spans="1:22" s="26" customFormat="1" ht="24.6" x14ac:dyDescent="0.55000000000000004">
      <c r="A264" s="27" t="s">
        <v>327</v>
      </c>
      <c r="B264" s="28"/>
      <c r="C264" s="27" t="str">
        <f>C263</f>
        <v>"NAV Direct","CRONUS JetCorp USA","18","1","C100018"</v>
      </c>
      <c r="D264" s="27"/>
      <c r="E264" s="28" t="str">
        <f>E263</f>
        <v>C100018</v>
      </c>
      <c r="F264" s="28"/>
      <c r="G264" s="28"/>
      <c r="H264" s="28"/>
      <c r="I264" s="121" t="str">
        <f>"Contact: Marta Freeley"</f>
        <v>Contact: Marta Freeley</v>
      </c>
      <c r="J264" s="121"/>
      <c r="K264" s="122"/>
      <c r="L264" s="123"/>
      <c r="M264" s="123"/>
      <c r="N264" s="124"/>
      <c r="O264" s="124"/>
      <c r="P264" s="123"/>
      <c r="Q264" s="125"/>
      <c r="R264" s="126"/>
      <c r="S264" s="126"/>
      <c r="T264" s="125"/>
      <c r="U264" s="81"/>
    </row>
    <row r="265" spans="1:22" s="26" customFormat="1" ht="24.6" x14ac:dyDescent="0.55000000000000004">
      <c r="A265" s="27" t="s">
        <v>327</v>
      </c>
      <c r="B265" s="28"/>
      <c r="C265" s="27" t="str">
        <f>C264</f>
        <v>"NAV Direct","CRONUS JetCorp USA","18","1","C100018"</v>
      </c>
      <c r="D265" s="27"/>
      <c r="E265" s="28" t="str">
        <f>E264</f>
        <v>C100018</v>
      </c>
      <c r="F265" s="28"/>
      <c r="G265" s="28"/>
      <c r="H265" s="28"/>
      <c r="I265" s="121" t="str">
        <f>"City Of Chicago@Cronus.com"</f>
        <v>City Of Chicago@Cronus.com</v>
      </c>
      <c r="J265" s="121"/>
      <c r="K265" s="122"/>
      <c r="L265" s="124"/>
      <c r="M265" s="124"/>
      <c r="N265" s="124"/>
      <c r="O265" s="124"/>
      <c r="P265" s="123"/>
      <c r="Q265" s="125"/>
      <c r="R265" s="126"/>
      <c r="S265" s="126"/>
      <c r="T265" s="125"/>
      <c r="U265" s="81"/>
    </row>
    <row r="266" spans="1:22" ht="12.75" hidden="1" customHeight="1" outlineLevel="1" x14ac:dyDescent="0.45">
      <c r="A266" s="12" t="s">
        <v>328</v>
      </c>
      <c r="B266" s="19"/>
      <c r="E266" s="19"/>
      <c r="F266" s="19"/>
      <c r="G266" s="19"/>
      <c r="H266" s="19"/>
      <c r="I266" s="61"/>
      <c r="J266" s="61"/>
      <c r="K266" s="61"/>
      <c r="L266" s="61"/>
      <c r="M266" s="61"/>
      <c r="N266" s="61"/>
      <c r="O266" s="61"/>
      <c r="P266" s="61"/>
      <c r="Q266" s="61"/>
      <c r="R266" s="61"/>
      <c r="S266" s="61"/>
      <c r="T266" s="61"/>
      <c r="U266" s="61"/>
      <c r="V266" s="21"/>
    </row>
    <row r="267" spans="1:22" s="30" customFormat="1" ht="24.6" hidden="1" outlineLevel="1" x14ac:dyDescent="0.55000000000000004">
      <c r="A267" s="27" t="s">
        <v>327</v>
      </c>
      <c r="B267" s="28"/>
      <c r="C267" s="27"/>
      <c r="D267" s="27" t="str">
        <f>"""NAV Direct"",""CRONUS JetCorp USA"",""21"",""1"",""61667"""</f>
        <v>"NAV Direct","CRONUS JetCorp USA","21","1","61667"</v>
      </c>
      <c r="E267" s="31" t="str">
        <f t="shared" ref="E267:E309" si="73">E265</f>
        <v>C100018</v>
      </c>
      <c r="F267" s="31"/>
      <c r="G267" s="31"/>
      <c r="H267" s="31"/>
      <c r="I267" s="56"/>
      <c r="J267" s="56"/>
      <c r="K267" s="82" t="str">
        <f t="shared" ref="K267:K297" si="74">"Invoice"</f>
        <v>Invoice</v>
      </c>
      <c r="L267" s="83" t="str">
        <f>"SI_105463"</f>
        <v>SI_105463</v>
      </c>
      <c r="M267" s="84">
        <v>42332</v>
      </c>
      <c r="N267" s="85">
        <f t="shared" ref="N267:N309" si="75">StartDate-$M267+1</f>
        <v>1480</v>
      </c>
      <c r="O267" s="86">
        <f t="shared" ref="O267:O309" si="76">SUM(P267:T267)</f>
        <v>19901.77</v>
      </c>
      <c r="P267" s="86">
        <f t="shared" ref="P267:P309" si="77">IF($M267&gt;=$P$18,U267,0)</f>
        <v>0</v>
      </c>
      <c r="Q267" s="86">
        <f t="shared" ref="Q267:Q309" si="78">IF(AND($M267&gt;=$Q$16,$M267&lt;=$Q$18),U267,0)</f>
        <v>0</v>
      </c>
      <c r="R267" s="86">
        <f t="shared" ref="R267:R309" si="79">IF(AND($M267&gt;=$R$16,$M267&lt;=$R$18),U267,0)</f>
        <v>0</v>
      </c>
      <c r="S267" s="86">
        <f t="shared" ref="S267:S309" si="80">IF(AND($M267&gt;=$S$16,$M267&lt;=$S$18),U267,0)</f>
        <v>0</v>
      </c>
      <c r="T267" s="86">
        <f t="shared" ref="T267:T309" si="81">IF($M267&lt;=$T$18,U267,0)</f>
        <v>19901.77</v>
      </c>
      <c r="U267" s="87">
        <v>19901.77</v>
      </c>
    </row>
    <row r="268" spans="1:22" s="30" customFormat="1" ht="24.6" hidden="1" outlineLevel="1" x14ac:dyDescent="0.55000000000000004">
      <c r="A268" s="27" t="s">
        <v>327</v>
      </c>
      <c r="B268" s="28"/>
      <c r="C268" s="27"/>
      <c r="D268" s="27" t="str">
        <f>"""NAV Direct"",""CRONUS JetCorp USA"",""21"",""1"",""336557"""</f>
        <v>"NAV Direct","CRONUS JetCorp USA","21","1","336557"</v>
      </c>
      <c r="E268" s="31">
        <f t="shared" si="73"/>
        <v>0</v>
      </c>
      <c r="F268" s="31"/>
      <c r="G268" s="31"/>
      <c r="H268" s="31"/>
      <c r="I268" s="56"/>
      <c r="J268" s="56"/>
      <c r="K268" s="82" t="str">
        <f t="shared" si="74"/>
        <v>Invoice</v>
      </c>
      <c r="L268" s="83" t="str">
        <f>"SI_110631"</f>
        <v>SI_110631</v>
      </c>
      <c r="M268" s="84">
        <v>42563</v>
      </c>
      <c r="N268" s="85">
        <f t="shared" si="75"/>
        <v>1249</v>
      </c>
      <c r="O268" s="86">
        <f t="shared" si="76"/>
        <v>17068.170000000002</v>
      </c>
      <c r="P268" s="86">
        <f t="shared" si="77"/>
        <v>0</v>
      </c>
      <c r="Q268" s="86">
        <f t="shared" si="78"/>
        <v>0</v>
      </c>
      <c r="R268" s="86">
        <f t="shared" si="79"/>
        <v>0</v>
      </c>
      <c r="S268" s="86">
        <f t="shared" si="80"/>
        <v>0</v>
      </c>
      <c r="T268" s="86">
        <f t="shared" si="81"/>
        <v>17068.170000000002</v>
      </c>
      <c r="U268" s="87">
        <v>17068.170000000002</v>
      </c>
    </row>
    <row r="269" spans="1:22" s="30" customFormat="1" ht="24.6" hidden="1" outlineLevel="1" x14ac:dyDescent="0.55000000000000004">
      <c r="A269" s="27" t="s">
        <v>327</v>
      </c>
      <c r="B269" s="28"/>
      <c r="C269" s="27"/>
      <c r="D269" s="27" t="str">
        <f>"""NAV Direct"",""CRONUS JetCorp USA"",""21"",""1"",""336598"""</f>
        <v>"NAV Direct","CRONUS JetCorp USA","21","1","336598"</v>
      </c>
      <c r="E269" s="31" t="str">
        <f t="shared" si="73"/>
        <v>C100018</v>
      </c>
      <c r="F269" s="31"/>
      <c r="G269" s="31"/>
      <c r="H269" s="31"/>
      <c r="I269" s="56"/>
      <c r="J269" s="56"/>
      <c r="K269" s="82" t="str">
        <f t="shared" si="74"/>
        <v>Invoice</v>
      </c>
      <c r="L269" s="83" t="str">
        <f>"SI_110632"</f>
        <v>SI_110632</v>
      </c>
      <c r="M269" s="84">
        <v>42580</v>
      </c>
      <c r="N269" s="85">
        <f t="shared" si="75"/>
        <v>1232</v>
      </c>
      <c r="O269" s="86">
        <f t="shared" si="76"/>
        <v>18380.88</v>
      </c>
      <c r="P269" s="86">
        <f t="shared" si="77"/>
        <v>0</v>
      </c>
      <c r="Q269" s="86">
        <f t="shared" si="78"/>
        <v>0</v>
      </c>
      <c r="R269" s="86">
        <f t="shared" si="79"/>
        <v>0</v>
      </c>
      <c r="S269" s="86">
        <f t="shared" si="80"/>
        <v>0</v>
      </c>
      <c r="T269" s="86">
        <f t="shared" si="81"/>
        <v>18380.88</v>
      </c>
      <c r="U269" s="87">
        <v>18380.88</v>
      </c>
    </row>
    <row r="270" spans="1:22" s="30" customFormat="1" ht="24.6" hidden="1" outlineLevel="1" x14ac:dyDescent="0.55000000000000004">
      <c r="A270" s="27" t="s">
        <v>327</v>
      </c>
      <c r="B270" s="28"/>
      <c r="C270" s="27"/>
      <c r="D270" s="27" t="str">
        <f>"""NAV Direct"",""CRONUS JetCorp USA"",""21"",""1"",""337071"""</f>
        <v>"NAV Direct","CRONUS JetCorp USA","21","1","337071"</v>
      </c>
      <c r="E270" s="31">
        <f t="shared" si="73"/>
        <v>0</v>
      </c>
      <c r="F270" s="31"/>
      <c r="G270" s="31"/>
      <c r="H270" s="31"/>
      <c r="I270" s="56"/>
      <c r="J270" s="56"/>
      <c r="K270" s="82" t="str">
        <f t="shared" si="74"/>
        <v>Invoice</v>
      </c>
      <c r="L270" s="83" t="str">
        <f>"SI_110645"</f>
        <v>SI_110645</v>
      </c>
      <c r="M270" s="84">
        <v>42636</v>
      </c>
      <c r="N270" s="85">
        <f t="shared" si="75"/>
        <v>1176</v>
      </c>
      <c r="O270" s="86">
        <f t="shared" si="76"/>
        <v>17561.400000000001</v>
      </c>
      <c r="P270" s="86">
        <f t="shared" si="77"/>
        <v>0</v>
      </c>
      <c r="Q270" s="86">
        <f t="shared" si="78"/>
        <v>0</v>
      </c>
      <c r="R270" s="86">
        <f t="shared" si="79"/>
        <v>0</v>
      </c>
      <c r="S270" s="86">
        <f t="shared" si="80"/>
        <v>0</v>
      </c>
      <c r="T270" s="86">
        <f t="shared" si="81"/>
        <v>17561.400000000001</v>
      </c>
      <c r="U270" s="87">
        <v>17561.400000000001</v>
      </c>
    </row>
    <row r="271" spans="1:22" s="30" customFormat="1" ht="24.6" hidden="1" outlineLevel="1" x14ac:dyDescent="0.55000000000000004">
      <c r="A271" s="27" t="s">
        <v>327</v>
      </c>
      <c r="B271" s="28"/>
      <c r="C271" s="27"/>
      <c r="D271" s="27" t="str">
        <f>"""NAV Direct"",""CRONUS JetCorp USA"",""21"",""1"",""337285"""</f>
        <v>"NAV Direct","CRONUS JetCorp USA","21","1","337285"</v>
      </c>
      <c r="E271" s="31" t="str">
        <f t="shared" si="73"/>
        <v>C100018</v>
      </c>
      <c r="F271" s="31"/>
      <c r="G271" s="31"/>
      <c r="H271" s="31"/>
      <c r="I271" s="56"/>
      <c r="J271" s="56"/>
      <c r="K271" s="82" t="str">
        <f t="shared" si="74"/>
        <v>Invoice</v>
      </c>
      <c r="L271" s="83" t="str">
        <f>"SI_110651"</f>
        <v>SI_110651</v>
      </c>
      <c r="M271" s="84">
        <v>42667</v>
      </c>
      <c r="N271" s="85">
        <f t="shared" si="75"/>
        <v>1145</v>
      </c>
      <c r="O271" s="86">
        <f t="shared" si="76"/>
        <v>18328.13</v>
      </c>
      <c r="P271" s="86">
        <f t="shared" si="77"/>
        <v>0</v>
      </c>
      <c r="Q271" s="86">
        <f t="shared" si="78"/>
        <v>0</v>
      </c>
      <c r="R271" s="86">
        <f t="shared" si="79"/>
        <v>0</v>
      </c>
      <c r="S271" s="86">
        <f t="shared" si="80"/>
        <v>0</v>
      </c>
      <c r="T271" s="86">
        <f t="shared" si="81"/>
        <v>18328.13</v>
      </c>
      <c r="U271" s="87">
        <v>18328.13</v>
      </c>
    </row>
    <row r="272" spans="1:22" s="30" customFormat="1" ht="24.6" hidden="1" outlineLevel="1" x14ac:dyDescent="0.55000000000000004">
      <c r="A272" s="27" t="s">
        <v>327</v>
      </c>
      <c r="B272" s="28"/>
      <c r="C272" s="27"/>
      <c r="D272" s="27" t="str">
        <f>"""NAV Direct"",""CRONUS JetCorp USA"",""21"",""1"",""337999"""</f>
        <v>"NAV Direct","CRONUS JetCorp USA","21","1","337999"</v>
      </c>
      <c r="E272" s="31">
        <f t="shared" si="73"/>
        <v>0</v>
      </c>
      <c r="F272" s="31"/>
      <c r="G272" s="31"/>
      <c r="H272" s="31"/>
      <c r="I272" s="56"/>
      <c r="J272" s="56"/>
      <c r="K272" s="82" t="str">
        <f t="shared" si="74"/>
        <v>Invoice</v>
      </c>
      <c r="L272" s="83" t="str">
        <f>"SI_110671"</f>
        <v>SI_110671</v>
      </c>
      <c r="M272" s="84">
        <v>42762</v>
      </c>
      <c r="N272" s="85">
        <f t="shared" si="75"/>
        <v>1050</v>
      </c>
      <c r="O272" s="86">
        <f t="shared" si="76"/>
        <v>19030.64</v>
      </c>
      <c r="P272" s="86">
        <f t="shared" si="77"/>
        <v>0</v>
      </c>
      <c r="Q272" s="86">
        <f t="shared" si="78"/>
        <v>0</v>
      </c>
      <c r="R272" s="86">
        <f t="shared" si="79"/>
        <v>0</v>
      </c>
      <c r="S272" s="86">
        <f t="shared" si="80"/>
        <v>0</v>
      </c>
      <c r="T272" s="86">
        <f t="shared" si="81"/>
        <v>19030.64</v>
      </c>
      <c r="U272" s="87">
        <v>19030.64</v>
      </c>
    </row>
    <row r="273" spans="1:21" s="30" customFormat="1" ht="24.6" hidden="1" outlineLevel="1" x14ac:dyDescent="0.55000000000000004">
      <c r="A273" s="27" t="s">
        <v>327</v>
      </c>
      <c r="B273" s="28"/>
      <c r="C273" s="27"/>
      <c r="D273" s="27" t="str">
        <f>"""NAV Direct"",""CRONUS JetCorp USA"",""21"",""1"",""338623"""</f>
        <v>"NAV Direct","CRONUS JetCorp USA","21","1","338623"</v>
      </c>
      <c r="E273" s="31" t="str">
        <f t="shared" si="73"/>
        <v>C100018</v>
      </c>
      <c r="F273" s="31"/>
      <c r="G273" s="31"/>
      <c r="H273" s="31"/>
      <c r="I273" s="56"/>
      <c r="J273" s="56"/>
      <c r="K273" s="82" t="str">
        <f t="shared" si="74"/>
        <v>Invoice</v>
      </c>
      <c r="L273" s="83" t="str">
        <f>"SI_110687"</f>
        <v>SI_110687</v>
      </c>
      <c r="M273" s="84">
        <v>42822</v>
      </c>
      <c r="N273" s="85">
        <f t="shared" si="75"/>
        <v>990</v>
      </c>
      <c r="O273" s="86">
        <f t="shared" si="76"/>
        <v>18183.079999999998</v>
      </c>
      <c r="P273" s="86">
        <f t="shared" si="77"/>
        <v>0</v>
      </c>
      <c r="Q273" s="86">
        <f t="shared" si="78"/>
        <v>0</v>
      </c>
      <c r="R273" s="86">
        <f t="shared" si="79"/>
        <v>0</v>
      </c>
      <c r="S273" s="86">
        <f t="shared" si="80"/>
        <v>0</v>
      </c>
      <c r="T273" s="86">
        <f t="shared" si="81"/>
        <v>18183.079999999998</v>
      </c>
      <c r="U273" s="87">
        <v>18183.079999999998</v>
      </c>
    </row>
    <row r="274" spans="1:21" s="30" customFormat="1" ht="24.6" hidden="1" outlineLevel="1" x14ac:dyDescent="0.55000000000000004">
      <c r="A274" s="27" t="s">
        <v>327</v>
      </c>
      <c r="B274" s="28"/>
      <c r="C274" s="27"/>
      <c r="D274" s="27" t="str">
        <f>"""NAV Direct"",""CRONUS JetCorp USA"",""21"",""1"",""339823"""</f>
        <v>"NAV Direct","CRONUS JetCorp USA","21","1","339823"</v>
      </c>
      <c r="E274" s="31">
        <f t="shared" si="73"/>
        <v>0</v>
      </c>
      <c r="F274" s="31"/>
      <c r="G274" s="31"/>
      <c r="H274" s="31"/>
      <c r="I274" s="56"/>
      <c r="J274" s="56"/>
      <c r="K274" s="82" t="str">
        <f t="shared" si="74"/>
        <v>Invoice</v>
      </c>
      <c r="L274" s="83" t="str">
        <f>"SI_110717"</f>
        <v>SI_110717</v>
      </c>
      <c r="M274" s="84">
        <v>42940</v>
      </c>
      <c r="N274" s="85">
        <f t="shared" si="75"/>
        <v>872</v>
      </c>
      <c r="O274" s="86">
        <f t="shared" si="76"/>
        <v>18364.650000000001</v>
      </c>
      <c r="P274" s="86">
        <f t="shared" si="77"/>
        <v>0</v>
      </c>
      <c r="Q274" s="86">
        <f t="shared" si="78"/>
        <v>0</v>
      </c>
      <c r="R274" s="86">
        <f t="shared" si="79"/>
        <v>0</v>
      </c>
      <c r="S274" s="86">
        <f t="shared" si="80"/>
        <v>0</v>
      </c>
      <c r="T274" s="86">
        <f t="shared" si="81"/>
        <v>18364.650000000001</v>
      </c>
      <c r="U274" s="87">
        <v>18364.650000000001</v>
      </c>
    </row>
    <row r="275" spans="1:21" s="30" customFormat="1" ht="24.6" hidden="1" outlineLevel="1" x14ac:dyDescent="0.55000000000000004">
      <c r="A275" s="27" t="s">
        <v>327</v>
      </c>
      <c r="B275" s="28"/>
      <c r="C275" s="27"/>
      <c r="D275" s="27" t="str">
        <f>"""NAV Direct"",""CRONUS JetCorp USA"",""21"",""1"",""339944"""</f>
        <v>"NAV Direct","CRONUS JetCorp USA","21","1","339944"</v>
      </c>
      <c r="E275" s="31" t="str">
        <f t="shared" si="73"/>
        <v>C100018</v>
      </c>
      <c r="F275" s="31"/>
      <c r="G275" s="31"/>
      <c r="H275" s="31"/>
      <c r="I275" s="56"/>
      <c r="J275" s="56"/>
      <c r="K275" s="82" t="str">
        <f t="shared" si="74"/>
        <v>Invoice</v>
      </c>
      <c r="L275" s="83" t="str">
        <f>"SI_110720"</f>
        <v>SI_110720</v>
      </c>
      <c r="M275" s="84">
        <v>42976</v>
      </c>
      <c r="N275" s="85">
        <f t="shared" si="75"/>
        <v>836</v>
      </c>
      <c r="O275" s="86">
        <f t="shared" si="76"/>
        <v>18712.899999999998</v>
      </c>
      <c r="P275" s="86">
        <f t="shared" si="77"/>
        <v>0</v>
      </c>
      <c r="Q275" s="86">
        <f t="shared" si="78"/>
        <v>0</v>
      </c>
      <c r="R275" s="86">
        <f t="shared" si="79"/>
        <v>0</v>
      </c>
      <c r="S275" s="86">
        <f t="shared" si="80"/>
        <v>0</v>
      </c>
      <c r="T275" s="86">
        <f t="shared" si="81"/>
        <v>18712.899999999998</v>
      </c>
      <c r="U275" s="87">
        <v>18712.899999999998</v>
      </c>
    </row>
    <row r="276" spans="1:21" s="30" customFormat="1" ht="24.6" hidden="1" outlineLevel="1" x14ac:dyDescent="0.55000000000000004">
      <c r="A276" s="27" t="s">
        <v>327</v>
      </c>
      <c r="B276" s="28"/>
      <c r="C276" s="27"/>
      <c r="D276" s="27" t="str">
        <f>"""NAV Direct"",""CRONUS JetCorp USA"",""21"",""1"",""341522"""</f>
        <v>"NAV Direct","CRONUS JetCorp USA","21","1","341522"</v>
      </c>
      <c r="E276" s="31">
        <f t="shared" si="73"/>
        <v>0</v>
      </c>
      <c r="F276" s="31"/>
      <c r="G276" s="31"/>
      <c r="H276" s="31"/>
      <c r="I276" s="56"/>
      <c r="J276" s="56"/>
      <c r="K276" s="82" t="str">
        <f t="shared" si="74"/>
        <v>Invoice</v>
      </c>
      <c r="L276" s="83" t="str">
        <f>"SI_110762"</f>
        <v>SI_110762</v>
      </c>
      <c r="M276" s="84">
        <v>43122</v>
      </c>
      <c r="N276" s="85">
        <f t="shared" si="75"/>
        <v>690</v>
      </c>
      <c r="O276" s="86">
        <f t="shared" si="76"/>
        <v>19693.759999999998</v>
      </c>
      <c r="P276" s="86">
        <f t="shared" si="77"/>
        <v>0</v>
      </c>
      <c r="Q276" s="86">
        <f t="shared" si="78"/>
        <v>0</v>
      </c>
      <c r="R276" s="86">
        <f t="shared" si="79"/>
        <v>0</v>
      </c>
      <c r="S276" s="86">
        <f t="shared" si="80"/>
        <v>0</v>
      </c>
      <c r="T276" s="86">
        <f t="shared" si="81"/>
        <v>19693.759999999998</v>
      </c>
      <c r="U276" s="87">
        <v>19693.759999999998</v>
      </c>
    </row>
    <row r="277" spans="1:21" s="30" customFormat="1" ht="24.6" hidden="1" outlineLevel="1" x14ac:dyDescent="0.55000000000000004">
      <c r="A277" s="27" t="s">
        <v>327</v>
      </c>
      <c r="B277" s="28"/>
      <c r="C277" s="27"/>
      <c r="D277" s="27" t="str">
        <f>"""NAV Direct"",""CRONUS JetCorp USA"",""21"",""1"",""342068"""</f>
        <v>"NAV Direct","CRONUS JetCorp USA","21","1","342068"</v>
      </c>
      <c r="E277" s="31" t="str">
        <f t="shared" si="73"/>
        <v>C100018</v>
      </c>
      <c r="F277" s="31"/>
      <c r="G277" s="31"/>
      <c r="H277" s="31"/>
      <c r="I277" s="56"/>
      <c r="J277" s="56"/>
      <c r="K277" s="82" t="str">
        <f t="shared" si="74"/>
        <v>Invoice</v>
      </c>
      <c r="L277" s="83" t="str">
        <f>"SI_110776"</f>
        <v>SI_110776</v>
      </c>
      <c r="M277" s="84">
        <v>43182</v>
      </c>
      <c r="N277" s="85">
        <f t="shared" si="75"/>
        <v>630</v>
      </c>
      <c r="O277" s="86">
        <f t="shared" si="76"/>
        <v>18422.530000000002</v>
      </c>
      <c r="P277" s="86">
        <f t="shared" si="77"/>
        <v>0</v>
      </c>
      <c r="Q277" s="86">
        <f t="shared" si="78"/>
        <v>0</v>
      </c>
      <c r="R277" s="86">
        <f t="shared" si="79"/>
        <v>0</v>
      </c>
      <c r="S277" s="86">
        <f t="shared" si="80"/>
        <v>0</v>
      </c>
      <c r="T277" s="86">
        <f t="shared" si="81"/>
        <v>18422.530000000002</v>
      </c>
      <c r="U277" s="87">
        <v>18422.530000000002</v>
      </c>
    </row>
    <row r="278" spans="1:21" s="30" customFormat="1" ht="24.6" hidden="1" outlineLevel="1" x14ac:dyDescent="0.55000000000000004">
      <c r="A278" s="27" t="s">
        <v>327</v>
      </c>
      <c r="B278" s="28"/>
      <c r="C278" s="27"/>
      <c r="D278" s="27" t="str">
        <f>"""NAV Direct"",""CRONUS JetCorp USA"",""21"",""1"",""342413"""</f>
        <v>"NAV Direct","CRONUS JetCorp USA","21","1","342413"</v>
      </c>
      <c r="E278" s="31">
        <f t="shared" si="73"/>
        <v>0</v>
      </c>
      <c r="F278" s="31"/>
      <c r="G278" s="31"/>
      <c r="H278" s="31"/>
      <c r="I278" s="56"/>
      <c r="J278" s="56"/>
      <c r="K278" s="82" t="str">
        <f t="shared" si="74"/>
        <v>Invoice</v>
      </c>
      <c r="L278" s="83" t="str">
        <f>"SI_110785"</f>
        <v>SI_110785</v>
      </c>
      <c r="M278" s="84">
        <v>43215</v>
      </c>
      <c r="N278" s="85">
        <f t="shared" si="75"/>
        <v>597</v>
      </c>
      <c r="O278" s="86">
        <f t="shared" si="76"/>
        <v>19580.79</v>
      </c>
      <c r="P278" s="86">
        <f t="shared" si="77"/>
        <v>0</v>
      </c>
      <c r="Q278" s="86">
        <f t="shared" si="78"/>
        <v>0</v>
      </c>
      <c r="R278" s="86">
        <f t="shared" si="79"/>
        <v>0</v>
      </c>
      <c r="S278" s="86">
        <f t="shared" si="80"/>
        <v>0</v>
      </c>
      <c r="T278" s="86">
        <f t="shared" si="81"/>
        <v>19580.79</v>
      </c>
      <c r="U278" s="87">
        <v>19580.79</v>
      </c>
    </row>
    <row r="279" spans="1:21" s="30" customFormat="1" ht="24.6" hidden="1" outlineLevel="1" x14ac:dyDescent="0.55000000000000004">
      <c r="A279" s="27" t="s">
        <v>327</v>
      </c>
      <c r="B279" s="28"/>
      <c r="C279" s="27"/>
      <c r="D279" s="27" t="str">
        <f>"""NAV Direct"",""CRONUS JetCorp USA"",""21"",""1"",""342725"""</f>
        <v>"NAV Direct","CRONUS JetCorp USA","21","1","342725"</v>
      </c>
      <c r="E279" s="31" t="str">
        <f t="shared" si="73"/>
        <v>C100018</v>
      </c>
      <c r="F279" s="31"/>
      <c r="G279" s="31"/>
      <c r="H279" s="31"/>
      <c r="I279" s="56"/>
      <c r="J279" s="56"/>
      <c r="K279" s="82" t="str">
        <f t="shared" si="74"/>
        <v>Invoice</v>
      </c>
      <c r="L279" s="83" t="str">
        <f>"SI_110793"</f>
        <v>SI_110793</v>
      </c>
      <c r="M279" s="84">
        <v>43257</v>
      </c>
      <c r="N279" s="85">
        <f t="shared" si="75"/>
        <v>555</v>
      </c>
      <c r="O279" s="86">
        <f t="shared" si="76"/>
        <v>20276.97</v>
      </c>
      <c r="P279" s="86">
        <f t="shared" si="77"/>
        <v>0</v>
      </c>
      <c r="Q279" s="86">
        <f t="shared" si="78"/>
        <v>0</v>
      </c>
      <c r="R279" s="86">
        <f t="shared" si="79"/>
        <v>0</v>
      </c>
      <c r="S279" s="86">
        <f t="shared" si="80"/>
        <v>0</v>
      </c>
      <c r="T279" s="86">
        <f t="shared" si="81"/>
        <v>20276.97</v>
      </c>
      <c r="U279" s="87">
        <v>20276.97</v>
      </c>
    </row>
    <row r="280" spans="1:21" s="30" customFormat="1" ht="24.6" hidden="1" outlineLevel="1" x14ac:dyDescent="0.55000000000000004">
      <c r="A280" s="27" t="s">
        <v>327</v>
      </c>
      <c r="B280" s="28"/>
      <c r="C280" s="27"/>
      <c r="D280" s="27" t="str">
        <f>"""NAV Direct"",""CRONUS JetCorp USA"",""21"",""1"",""342828"""</f>
        <v>"NAV Direct","CRONUS JetCorp USA","21","1","342828"</v>
      </c>
      <c r="E280" s="31">
        <f t="shared" si="73"/>
        <v>0</v>
      </c>
      <c r="F280" s="31"/>
      <c r="G280" s="31"/>
      <c r="H280" s="31"/>
      <c r="I280" s="56"/>
      <c r="J280" s="56"/>
      <c r="K280" s="82" t="str">
        <f t="shared" si="74"/>
        <v>Invoice</v>
      </c>
      <c r="L280" s="83" t="str">
        <f>"SI_110796"</f>
        <v>SI_110796</v>
      </c>
      <c r="M280" s="84">
        <v>43274</v>
      </c>
      <c r="N280" s="85">
        <f t="shared" si="75"/>
        <v>538</v>
      </c>
      <c r="O280" s="86">
        <f t="shared" si="76"/>
        <v>20419.82</v>
      </c>
      <c r="P280" s="86">
        <f t="shared" si="77"/>
        <v>0</v>
      </c>
      <c r="Q280" s="86">
        <f t="shared" si="78"/>
        <v>0</v>
      </c>
      <c r="R280" s="86">
        <f t="shared" si="79"/>
        <v>0</v>
      </c>
      <c r="S280" s="86">
        <f t="shared" si="80"/>
        <v>0</v>
      </c>
      <c r="T280" s="86">
        <f t="shared" si="81"/>
        <v>20419.82</v>
      </c>
      <c r="U280" s="87">
        <v>20419.82</v>
      </c>
    </row>
    <row r="281" spans="1:21" s="30" customFormat="1" ht="24.6" hidden="1" outlineLevel="1" x14ac:dyDescent="0.55000000000000004">
      <c r="A281" s="27" t="s">
        <v>327</v>
      </c>
      <c r="B281" s="28"/>
      <c r="C281" s="27"/>
      <c r="D281" s="27" t="str">
        <f>"""NAV Direct"",""CRONUS JetCorp USA"",""21"",""1"",""344099"""</f>
        <v>"NAV Direct","CRONUS JetCorp USA","21","1","344099"</v>
      </c>
      <c r="E281" s="31" t="str">
        <f t="shared" si="73"/>
        <v>C100018</v>
      </c>
      <c r="F281" s="31"/>
      <c r="G281" s="31"/>
      <c r="H281" s="31"/>
      <c r="I281" s="56"/>
      <c r="J281" s="56"/>
      <c r="K281" s="82" t="str">
        <f t="shared" si="74"/>
        <v>Invoice</v>
      </c>
      <c r="L281" s="83" t="str">
        <f>"SI_110829"</f>
        <v>SI_110829</v>
      </c>
      <c r="M281" s="84">
        <v>43399</v>
      </c>
      <c r="N281" s="85">
        <f t="shared" si="75"/>
        <v>413</v>
      </c>
      <c r="O281" s="86">
        <f t="shared" si="76"/>
        <v>19201.73</v>
      </c>
      <c r="P281" s="86">
        <f t="shared" si="77"/>
        <v>0</v>
      </c>
      <c r="Q281" s="86">
        <f t="shared" si="78"/>
        <v>0</v>
      </c>
      <c r="R281" s="86">
        <f t="shared" si="79"/>
        <v>0</v>
      </c>
      <c r="S281" s="86">
        <f t="shared" si="80"/>
        <v>0</v>
      </c>
      <c r="T281" s="86">
        <f t="shared" si="81"/>
        <v>19201.73</v>
      </c>
      <c r="U281" s="87">
        <v>19201.73</v>
      </c>
    </row>
    <row r="282" spans="1:21" s="30" customFormat="1" ht="24.6" hidden="1" outlineLevel="1" x14ac:dyDescent="0.55000000000000004">
      <c r="A282" s="27" t="s">
        <v>327</v>
      </c>
      <c r="B282" s="28"/>
      <c r="C282" s="27"/>
      <c r="D282" s="27" t="str">
        <f>"""NAV Direct"",""CRONUS JetCorp USA"",""21"",""1"",""345286"""</f>
        <v>"NAV Direct","CRONUS JetCorp USA","21","1","345286"</v>
      </c>
      <c r="E282" s="31">
        <f t="shared" si="73"/>
        <v>0</v>
      </c>
      <c r="F282" s="31"/>
      <c r="G282" s="31"/>
      <c r="H282" s="31"/>
      <c r="I282" s="56"/>
      <c r="J282" s="56"/>
      <c r="K282" s="82" t="str">
        <f t="shared" si="74"/>
        <v>Invoice</v>
      </c>
      <c r="L282" s="83" t="str">
        <f>"SI_110858"</f>
        <v>SI_110858</v>
      </c>
      <c r="M282" s="84">
        <v>43492</v>
      </c>
      <c r="N282" s="85">
        <f t="shared" si="75"/>
        <v>320</v>
      </c>
      <c r="O282" s="86">
        <f t="shared" si="76"/>
        <v>18696.27</v>
      </c>
      <c r="P282" s="86">
        <f t="shared" si="77"/>
        <v>0</v>
      </c>
      <c r="Q282" s="86">
        <f t="shared" si="78"/>
        <v>0</v>
      </c>
      <c r="R282" s="86">
        <f t="shared" si="79"/>
        <v>0</v>
      </c>
      <c r="S282" s="86">
        <f t="shared" si="80"/>
        <v>0</v>
      </c>
      <c r="T282" s="86">
        <f t="shared" si="81"/>
        <v>18696.27</v>
      </c>
      <c r="U282" s="87">
        <v>18696.27</v>
      </c>
    </row>
    <row r="283" spans="1:21" s="30" customFormat="1" ht="24.6" hidden="1" outlineLevel="1" x14ac:dyDescent="0.55000000000000004">
      <c r="A283" s="27" t="s">
        <v>327</v>
      </c>
      <c r="B283" s="28"/>
      <c r="C283" s="27"/>
      <c r="D283" s="27" t="str">
        <f>"""NAV Direct"",""CRONUS JetCorp USA"",""21"",""1"",""346094"""</f>
        <v>"NAV Direct","CRONUS JetCorp USA","21","1","346094"</v>
      </c>
      <c r="E283" s="31" t="str">
        <f t="shared" si="73"/>
        <v>C100018</v>
      </c>
      <c r="F283" s="31"/>
      <c r="G283" s="31"/>
      <c r="H283" s="31"/>
      <c r="I283" s="56"/>
      <c r="J283" s="56"/>
      <c r="K283" s="82" t="str">
        <f t="shared" si="74"/>
        <v>Invoice</v>
      </c>
      <c r="L283" s="83" t="str">
        <f>"SI_110878"</f>
        <v>SI_110878</v>
      </c>
      <c r="M283" s="84">
        <v>43576</v>
      </c>
      <c r="N283" s="85">
        <f t="shared" si="75"/>
        <v>236</v>
      </c>
      <c r="O283" s="86">
        <f t="shared" si="76"/>
        <v>18994.149999999998</v>
      </c>
      <c r="P283" s="86">
        <f t="shared" si="77"/>
        <v>0</v>
      </c>
      <c r="Q283" s="86">
        <f t="shared" si="78"/>
        <v>0</v>
      </c>
      <c r="R283" s="86">
        <f t="shared" si="79"/>
        <v>0</v>
      </c>
      <c r="S283" s="86">
        <f t="shared" si="80"/>
        <v>0</v>
      </c>
      <c r="T283" s="86">
        <f t="shared" si="81"/>
        <v>18994.149999999998</v>
      </c>
      <c r="U283" s="87">
        <v>18994.149999999998</v>
      </c>
    </row>
    <row r="284" spans="1:21" s="30" customFormat="1" ht="24.6" hidden="1" outlineLevel="1" x14ac:dyDescent="0.55000000000000004">
      <c r="A284" s="27" t="s">
        <v>327</v>
      </c>
      <c r="B284" s="28"/>
      <c r="C284" s="27"/>
      <c r="D284" s="27" t="str">
        <f>"""NAV Direct"",""CRONUS JetCorp USA"",""21"",""1"",""346778"""</f>
        <v>"NAV Direct","CRONUS JetCorp USA","21","1","346778"</v>
      </c>
      <c r="E284" s="31">
        <f t="shared" si="73"/>
        <v>0</v>
      </c>
      <c r="F284" s="31"/>
      <c r="G284" s="31"/>
      <c r="H284" s="31"/>
      <c r="I284" s="56"/>
      <c r="J284" s="56"/>
      <c r="K284" s="82" t="str">
        <f t="shared" si="74"/>
        <v>Invoice</v>
      </c>
      <c r="L284" s="83" t="str">
        <f>"SI_110894"</f>
        <v>SI_110894</v>
      </c>
      <c r="M284" s="84">
        <v>43640</v>
      </c>
      <c r="N284" s="85">
        <f t="shared" si="75"/>
        <v>172</v>
      </c>
      <c r="O284" s="86">
        <f t="shared" si="76"/>
        <v>19975.149999999998</v>
      </c>
      <c r="P284" s="86">
        <f t="shared" si="77"/>
        <v>0</v>
      </c>
      <c r="Q284" s="86">
        <f t="shared" si="78"/>
        <v>0</v>
      </c>
      <c r="R284" s="86">
        <f t="shared" si="79"/>
        <v>0</v>
      </c>
      <c r="S284" s="86">
        <f t="shared" si="80"/>
        <v>0</v>
      </c>
      <c r="T284" s="86">
        <f t="shared" si="81"/>
        <v>19975.149999999998</v>
      </c>
      <c r="U284" s="87">
        <v>19975.149999999998</v>
      </c>
    </row>
    <row r="285" spans="1:21" s="30" customFormat="1" ht="24.6" hidden="1" outlineLevel="1" x14ac:dyDescent="0.55000000000000004">
      <c r="A285" s="27" t="s">
        <v>327</v>
      </c>
      <c r="B285" s="28"/>
      <c r="C285" s="27"/>
      <c r="D285" s="27" t="str">
        <f>"""NAV Direct"",""CRONUS JetCorp USA"",""21"",""1"",""346887"""</f>
        <v>"NAV Direct","CRONUS JetCorp USA","21","1","346887"</v>
      </c>
      <c r="E285" s="31" t="str">
        <f t="shared" si="73"/>
        <v>C100018</v>
      </c>
      <c r="F285" s="31"/>
      <c r="G285" s="31"/>
      <c r="H285" s="31"/>
      <c r="I285" s="56"/>
      <c r="J285" s="56"/>
      <c r="K285" s="82" t="str">
        <f t="shared" si="74"/>
        <v>Invoice</v>
      </c>
      <c r="L285" s="83" t="str">
        <f>"SI_110897"</f>
        <v>SI_110897</v>
      </c>
      <c r="M285" s="84">
        <v>43652</v>
      </c>
      <c r="N285" s="85">
        <f t="shared" si="75"/>
        <v>160</v>
      </c>
      <c r="O285" s="86">
        <f t="shared" si="76"/>
        <v>21084.86</v>
      </c>
      <c r="P285" s="86">
        <f t="shared" si="77"/>
        <v>0</v>
      </c>
      <c r="Q285" s="86">
        <f t="shared" si="78"/>
        <v>0</v>
      </c>
      <c r="R285" s="86">
        <f t="shared" si="79"/>
        <v>0</v>
      </c>
      <c r="S285" s="86">
        <f t="shared" si="80"/>
        <v>0</v>
      </c>
      <c r="T285" s="86">
        <f t="shared" si="81"/>
        <v>21084.86</v>
      </c>
      <c r="U285" s="87">
        <v>21084.86</v>
      </c>
    </row>
    <row r="286" spans="1:21" s="30" customFormat="1" ht="24.6" hidden="1" outlineLevel="1" x14ac:dyDescent="0.55000000000000004">
      <c r="A286" s="27" t="s">
        <v>327</v>
      </c>
      <c r="B286" s="28"/>
      <c r="C286" s="27"/>
      <c r="D286" s="27" t="str">
        <f>"""NAV Direct"",""CRONUS JetCorp USA"",""21"",""1"",""347608"""</f>
        <v>"NAV Direct","CRONUS JetCorp USA","21","1","347608"</v>
      </c>
      <c r="E286" s="31">
        <f t="shared" si="73"/>
        <v>0</v>
      </c>
      <c r="F286" s="31"/>
      <c r="G286" s="31"/>
      <c r="H286" s="31"/>
      <c r="I286" s="56"/>
      <c r="J286" s="56"/>
      <c r="K286" s="82" t="str">
        <f t="shared" si="74"/>
        <v>Invoice</v>
      </c>
      <c r="L286" s="83" t="str">
        <f>"SI_110916"</f>
        <v>SI_110916</v>
      </c>
      <c r="M286" s="84">
        <v>43724</v>
      </c>
      <c r="N286" s="85">
        <f t="shared" si="75"/>
        <v>88</v>
      </c>
      <c r="O286" s="86">
        <f t="shared" si="76"/>
        <v>18722.02</v>
      </c>
      <c r="P286" s="86">
        <f t="shared" si="77"/>
        <v>0</v>
      </c>
      <c r="Q286" s="86">
        <f t="shared" si="78"/>
        <v>0</v>
      </c>
      <c r="R286" s="86">
        <f t="shared" si="79"/>
        <v>0</v>
      </c>
      <c r="S286" s="86">
        <f t="shared" si="80"/>
        <v>18722.02</v>
      </c>
      <c r="T286" s="86">
        <f t="shared" si="81"/>
        <v>0</v>
      </c>
      <c r="U286" s="87">
        <v>18722.02</v>
      </c>
    </row>
    <row r="287" spans="1:21" s="30" customFormat="1" ht="24.6" hidden="1" outlineLevel="1" x14ac:dyDescent="0.55000000000000004">
      <c r="A287" s="27" t="s">
        <v>327</v>
      </c>
      <c r="B287" s="28"/>
      <c r="C287" s="27"/>
      <c r="D287" s="27" t="str">
        <f>"""NAV Direct"",""CRONUS JetCorp USA"",""21"",""1"",""348067"""</f>
        <v>"NAV Direct","CRONUS JetCorp USA","21","1","348067"</v>
      </c>
      <c r="E287" s="31" t="str">
        <f t="shared" si="73"/>
        <v>C100018</v>
      </c>
      <c r="F287" s="31"/>
      <c r="G287" s="31"/>
      <c r="H287" s="31"/>
      <c r="I287" s="56"/>
      <c r="J287" s="56"/>
      <c r="K287" s="82" t="str">
        <f t="shared" si="74"/>
        <v>Invoice</v>
      </c>
      <c r="L287" s="83" t="str">
        <f>"SI_110927"</f>
        <v>SI_110927</v>
      </c>
      <c r="M287" s="84">
        <v>43764</v>
      </c>
      <c r="N287" s="85">
        <f t="shared" si="75"/>
        <v>48</v>
      </c>
      <c r="O287" s="86">
        <f t="shared" si="76"/>
        <v>18871.190000000002</v>
      </c>
      <c r="P287" s="86">
        <f t="shared" si="77"/>
        <v>0</v>
      </c>
      <c r="Q287" s="86">
        <f t="shared" si="78"/>
        <v>0</v>
      </c>
      <c r="R287" s="86">
        <f t="shared" si="79"/>
        <v>18871.190000000002</v>
      </c>
      <c r="S287" s="86">
        <f t="shared" si="80"/>
        <v>0</v>
      </c>
      <c r="T287" s="86">
        <f t="shared" si="81"/>
        <v>0</v>
      </c>
      <c r="U287" s="87">
        <v>18871.190000000002</v>
      </c>
    </row>
    <row r="288" spans="1:21" s="30" customFormat="1" ht="24.6" hidden="1" outlineLevel="1" x14ac:dyDescent="0.55000000000000004">
      <c r="A288" s="27" t="s">
        <v>327</v>
      </c>
      <c r="B288" s="28"/>
      <c r="C288" s="27"/>
      <c r="D288" s="27" t="str">
        <f>"""NAV Direct"",""CRONUS JetCorp USA"",""21"",""1"",""348774"""</f>
        <v>"NAV Direct","CRONUS JetCorp USA","21","1","348774"</v>
      </c>
      <c r="E288" s="31">
        <f t="shared" si="73"/>
        <v>0</v>
      </c>
      <c r="F288" s="31"/>
      <c r="G288" s="31"/>
      <c r="H288" s="31"/>
      <c r="I288" s="56"/>
      <c r="J288" s="56"/>
      <c r="K288" s="82" t="str">
        <f t="shared" si="74"/>
        <v>Invoice</v>
      </c>
      <c r="L288" s="83" t="str">
        <f>"SI_110944"</f>
        <v>SI_110944</v>
      </c>
      <c r="M288" s="84">
        <v>43828</v>
      </c>
      <c r="N288" s="85">
        <f t="shared" si="75"/>
        <v>-16</v>
      </c>
      <c r="O288" s="86">
        <f t="shared" si="76"/>
        <v>20378.5</v>
      </c>
      <c r="P288" s="86">
        <f t="shared" si="77"/>
        <v>20378.5</v>
      </c>
      <c r="Q288" s="86">
        <f t="shared" si="78"/>
        <v>0</v>
      </c>
      <c r="R288" s="86">
        <f t="shared" si="79"/>
        <v>0</v>
      </c>
      <c r="S288" s="86">
        <f t="shared" si="80"/>
        <v>0</v>
      </c>
      <c r="T288" s="86">
        <f t="shared" si="81"/>
        <v>0</v>
      </c>
      <c r="U288" s="87">
        <v>20378.5</v>
      </c>
    </row>
    <row r="289" spans="1:21" s="30" customFormat="1" ht="24.6" hidden="1" outlineLevel="1" x14ac:dyDescent="0.55000000000000004">
      <c r="A289" s="27" t="s">
        <v>327</v>
      </c>
      <c r="B289" s="28"/>
      <c r="C289" s="27"/>
      <c r="D289" s="27" t="str">
        <f>"""NAV Direct"",""CRONUS JetCorp USA"",""21"",""1"",""349224"""</f>
        <v>"NAV Direct","CRONUS JetCorp USA","21","1","349224"</v>
      </c>
      <c r="E289" s="31" t="str">
        <f t="shared" si="73"/>
        <v>C100018</v>
      </c>
      <c r="F289" s="31"/>
      <c r="G289" s="31"/>
      <c r="H289" s="31"/>
      <c r="I289" s="56"/>
      <c r="J289" s="56"/>
      <c r="K289" s="82" t="str">
        <f t="shared" si="74"/>
        <v>Invoice</v>
      </c>
      <c r="L289" s="83" t="str">
        <f>"SI_110956"</f>
        <v>SI_110956</v>
      </c>
      <c r="M289" s="84">
        <v>42057</v>
      </c>
      <c r="N289" s="85">
        <f t="shared" si="75"/>
        <v>1755</v>
      </c>
      <c r="O289" s="86">
        <f t="shared" si="76"/>
        <v>19244.010000000002</v>
      </c>
      <c r="P289" s="86">
        <f t="shared" si="77"/>
        <v>0</v>
      </c>
      <c r="Q289" s="86">
        <f t="shared" si="78"/>
        <v>0</v>
      </c>
      <c r="R289" s="86">
        <f t="shared" si="79"/>
        <v>0</v>
      </c>
      <c r="S289" s="86">
        <f t="shared" si="80"/>
        <v>0</v>
      </c>
      <c r="T289" s="86">
        <f t="shared" si="81"/>
        <v>19244.010000000002</v>
      </c>
      <c r="U289" s="87">
        <v>19244.010000000002</v>
      </c>
    </row>
    <row r="290" spans="1:21" s="30" customFormat="1" ht="24.6" hidden="1" outlineLevel="1" x14ac:dyDescent="0.55000000000000004">
      <c r="A290" s="27" t="s">
        <v>327</v>
      </c>
      <c r="B290" s="28"/>
      <c r="C290" s="27"/>
      <c r="D290" s="27" t="str">
        <f>"""NAV Direct"",""CRONUS JetCorp USA"",""21"",""1"",""349347"""</f>
        <v>"NAV Direct","CRONUS JetCorp USA","21","1","349347"</v>
      </c>
      <c r="E290" s="31">
        <f t="shared" si="73"/>
        <v>0</v>
      </c>
      <c r="F290" s="31"/>
      <c r="G290" s="31"/>
      <c r="H290" s="31"/>
      <c r="I290" s="56"/>
      <c r="J290" s="56"/>
      <c r="K290" s="82" t="str">
        <f t="shared" si="74"/>
        <v>Invoice</v>
      </c>
      <c r="L290" s="83" t="str">
        <f>"SI_110959"</f>
        <v>SI_110959</v>
      </c>
      <c r="M290" s="84">
        <v>42058</v>
      </c>
      <c r="N290" s="85">
        <f t="shared" si="75"/>
        <v>1754</v>
      </c>
      <c r="O290" s="86">
        <f t="shared" si="76"/>
        <v>19851.509999999998</v>
      </c>
      <c r="P290" s="86">
        <f t="shared" si="77"/>
        <v>0</v>
      </c>
      <c r="Q290" s="86">
        <f t="shared" si="78"/>
        <v>0</v>
      </c>
      <c r="R290" s="86">
        <f t="shared" si="79"/>
        <v>0</v>
      </c>
      <c r="S290" s="86">
        <f t="shared" si="80"/>
        <v>0</v>
      </c>
      <c r="T290" s="86">
        <f t="shared" si="81"/>
        <v>19851.509999999998</v>
      </c>
      <c r="U290" s="87">
        <v>19851.509999999998</v>
      </c>
    </row>
    <row r="291" spans="1:21" s="30" customFormat="1" ht="24.6" hidden="1" outlineLevel="1" x14ac:dyDescent="0.55000000000000004">
      <c r="A291" s="27" t="s">
        <v>327</v>
      </c>
      <c r="B291" s="28"/>
      <c r="C291" s="27"/>
      <c r="D291" s="27" t="str">
        <f>"""NAV Direct"",""CRONUS JetCorp USA"",""21"",""1"",""349431"""</f>
        <v>"NAV Direct","CRONUS JetCorp USA","21","1","349431"</v>
      </c>
      <c r="E291" s="31" t="str">
        <f t="shared" si="73"/>
        <v>C100018</v>
      </c>
      <c r="F291" s="31"/>
      <c r="G291" s="31"/>
      <c r="H291" s="31"/>
      <c r="I291" s="56"/>
      <c r="J291" s="56"/>
      <c r="K291" s="82" t="str">
        <f t="shared" si="74"/>
        <v>Invoice</v>
      </c>
      <c r="L291" s="83" t="str">
        <f>"SI_110961"</f>
        <v>SI_110961</v>
      </c>
      <c r="M291" s="84">
        <v>42064</v>
      </c>
      <c r="N291" s="85">
        <f t="shared" si="75"/>
        <v>1748</v>
      </c>
      <c r="O291" s="86">
        <f t="shared" si="76"/>
        <v>19446.86</v>
      </c>
      <c r="P291" s="86">
        <f t="shared" si="77"/>
        <v>0</v>
      </c>
      <c r="Q291" s="86">
        <f t="shared" si="78"/>
        <v>0</v>
      </c>
      <c r="R291" s="86">
        <f t="shared" si="79"/>
        <v>0</v>
      </c>
      <c r="S291" s="86">
        <f t="shared" si="80"/>
        <v>0</v>
      </c>
      <c r="T291" s="86">
        <f t="shared" si="81"/>
        <v>19446.86</v>
      </c>
      <c r="U291" s="87">
        <v>19446.86</v>
      </c>
    </row>
    <row r="292" spans="1:21" s="30" customFormat="1" ht="24.6" hidden="1" outlineLevel="1" x14ac:dyDescent="0.55000000000000004">
      <c r="A292" s="27" t="s">
        <v>327</v>
      </c>
      <c r="B292" s="28"/>
      <c r="C292" s="27"/>
      <c r="D292" s="27" t="str">
        <f>"""NAV Direct"",""CRONUS JetCorp USA"",""21"",""1"",""349476"""</f>
        <v>"NAV Direct","CRONUS JetCorp USA","21","1","349476"</v>
      </c>
      <c r="E292" s="31">
        <f t="shared" si="73"/>
        <v>0</v>
      </c>
      <c r="F292" s="31"/>
      <c r="G292" s="31"/>
      <c r="H292" s="31"/>
      <c r="I292" s="56"/>
      <c r="J292" s="56"/>
      <c r="K292" s="82" t="str">
        <f t="shared" si="74"/>
        <v>Invoice</v>
      </c>
      <c r="L292" s="83" t="str">
        <f>"SI_110962"</f>
        <v>SI_110962</v>
      </c>
      <c r="M292" s="84">
        <v>42079</v>
      </c>
      <c r="N292" s="85">
        <f t="shared" si="75"/>
        <v>1733</v>
      </c>
      <c r="O292" s="86">
        <f t="shared" si="76"/>
        <v>19256.189999999999</v>
      </c>
      <c r="P292" s="86">
        <f t="shared" si="77"/>
        <v>0</v>
      </c>
      <c r="Q292" s="86">
        <f t="shared" si="78"/>
        <v>0</v>
      </c>
      <c r="R292" s="86">
        <f t="shared" si="79"/>
        <v>0</v>
      </c>
      <c r="S292" s="86">
        <f t="shared" si="80"/>
        <v>0</v>
      </c>
      <c r="T292" s="86">
        <f t="shared" si="81"/>
        <v>19256.189999999999</v>
      </c>
      <c r="U292" s="87">
        <v>19256.189999999999</v>
      </c>
    </row>
    <row r="293" spans="1:21" s="30" customFormat="1" ht="24.6" hidden="1" outlineLevel="1" x14ac:dyDescent="0.55000000000000004">
      <c r="A293" s="27" t="s">
        <v>327</v>
      </c>
      <c r="B293" s="28"/>
      <c r="C293" s="27"/>
      <c r="D293" s="27" t="str">
        <f>"""NAV Direct"",""CRONUS JetCorp USA"",""21"",""1"",""349554"""</f>
        <v>"NAV Direct","CRONUS JetCorp USA","21","1","349554"</v>
      </c>
      <c r="E293" s="31" t="str">
        <f t="shared" si="73"/>
        <v>C100018</v>
      </c>
      <c r="F293" s="31"/>
      <c r="G293" s="31"/>
      <c r="H293" s="31"/>
      <c r="I293" s="56"/>
      <c r="J293" s="56"/>
      <c r="K293" s="82" t="str">
        <f t="shared" si="74"/>
        <v>Invoice</v>
      </c>
      <c r="L293" s="83" t="str">
        <f>"SI_110964"</f>
        <v>SI_110964</v>
      </c>
      <c r="M293" s="84">
        <v>42085</v>
      </c>
      <c r="N293" s="85">
        <f t="shared" si="75"/>
        <v>1727</v>
      </c>
      <c r="O293" s="86">
        <f t="shared" si="76"/>
        <v>19057.919999999998</v>
      </c>
      <c r="P293" s="86">
        <f t="shared" si="77"/>
        <v>0</v>
      </c>
      <c r="Q293" s="86">
        <f t="shared" si="78"/>
        <v>0</v>
      </c>
      <c r="R293" s="86">
        <f t="shared" si="79"/>
        <v>0</v>
      </c>
      <c r="S293" s="86">
        <f t="shared" si="80"/>
        <v>0</v>
      </c>
      <c r="T293" s="86">
        <f t="shared" si="81"/>
        <v>19057.919999999998</v>
      </c>
      <c r="U293" s="87">
        <v>19057.919999999998</v>
      </c>
    </row>
    <row r="294" spans="1:21" s="30" customFormat="1" ht="24.6" hidden="1" outlineLevel="1" x14ac:dyDescent="0.55000000000000004">
      <c r="A294" s="27" t="s">
        <v>327</v>
      </c>
      <c r="B294" s="28"/>
      <c r="C294" s="27"/>
      <c r="D294" s="27" t="str">
        <f>"""NAV Direct"",""CRONUS JetCorp USA"",""21"",""1"",""350891"""</f>
        <v>"NAV Direct","CRONUS JetCorp USA","21","1","350891"</v>
      </c>
      <c r="E294" s="31">
        <f t="shared" si="73"/>
        <v>0</v>
      </c>
      <c r="F294" s="31"/>
      <c r="G294" s="31"/>
      <c r="H294" s="31"/>
      <c r="I294" s="56"/>
      <c r="J294" s="56"/>
      <c r="K294" s="82" t="str">
        <f t="shared" si="74"/>
        <v>Invoice</v>
      </c>
      <c r="L294" s="83" t="str">
        <f>"SI_110997"</f>
        <v>SI_110997</v>
      </c>
      <c r="M294" s="84">
        <v>42224</v>
      </c>
      <c r="N294" s="85">
        <f t="shared" si="75"/>
        <v>1588</v>
      </c>
      <c r="O294" s="86">
        <f t="shared" si="76"/>
        <v>18716.169999999998</v>
      </c>
      <c r="P294" s="86">
        <f t="shared" si="77"/>
        <v>0</v>
      </c>
      <c r="Q294" s="86">
        <f t="shared" si="78"/>
        <v>0</v>
      </c>
      <c r="R294" s="86">
        <f t="shared" si="79"/>
        <v>0</v>
      </c>
      <c r="S294" s="86">
        <f t="shared" si="80"/>
        <v>0</v>
      </c>
      <c r="T294" s="86">
        <f t="shared" si="81"/>
        <v>18716.169999999998</v>
      </c>
      <c r="U294" s="87">
        <v>18716.169999999998</v>
      </c>
    </row>
    <row r="295" spans="1:21" s="30" customFormat="1" ht="24.6" hidden="1" outlineLevel="1" x14ac:dyDescent="0.55000000000000004">
      <c r="A295" s="27" t="s">
        <v>327</v>
      </c>
      <c r="B295" s="28"/>
      <c r="C295" s="27"/>
      <c r="D295" s="27" t="str">
        <f>"""NAV Direct"",""CRONUS JetCorp USA"",""21"",""1"",""351103"""</f>
        <v>"NAV Direct","CRONUS JetCorp USA","21","1","351103"</v>
      </c>
      <c r="E295" s="31" t="str">
        <f t="shared" si="73"/>
        <v>C100018</v>
      </c>
      <c r="F295" s="31"/>
      <c r="G295" s="31"/>
      <c r="H295" s="31"/>
      <c r="I295" s="56"/>
      <c r="J295" s="56"/>
      <c r="K295" s="82" t="str">
        <f t="shared" si="74"/>
        <v>Invoice</v>
      </c>
      <c r="L295" s="83" t="str">
        <f>"SI_111003"</f>
        <v>SI_111003</v>
      </c>
      <c r="M295" s="84">
        <v>42243</v>
      </c>
      <c r="N295" s="85">
        <f t="shared" si="75"/>
        <v>1569</v>
      </c>
      <c r="O295" s="86">
        <f t="shared" si="76"/>
        <v>19098.96</v>
      </c>
      <c r="P295" s="86">
        <f t="shared" si="77"/>
        <v>0</v>
      </c>
      <c r="Q295" s="86">
        <f t="shared" si="78"/>
        <v>0</v>
      </c>
      <c r="R295" s="86">
        <f t="shared" si="79"/>
        <v>0</v>
      </c>
      <c r="S295" s="86">
        <f t="shared" si="80"/>
        <v>0</v>
      </c>
      <c r="T295" s="86">
        <f t="shared" si="81"/>
        <v>19098.96</v>
      </c>
      <c r="U295" s="87">
        <v>19098.96</v>
      </c>
    </row>
    <row r="296" spans="1:21" s="30" customFormat="1" ht="24.6" hidden="1" outlineLevel="1" x14ac:dyDescent="0.55000000000000004">
      <c r="A296" s="27" t="s">
        <v>327</v>
      </c>
      <c r="B296" s="28"/>
      <c r="C296" s="27"/>
      <c r="D296" s="27" t="str">
        <f>"""NAV Direct"",""CRONUS JetCorp USA"",""21"",""1"",""351535"""</f>
        <v>"NAV Direct","CRONUS JetCorp USA","21","1","351535"</v>
      </c>
      <c r="E296" s="31">
        <f t="shared" si="73"/>
        <v>0</v>
      </c>
      <c r="F296" s="31"/>
      <c r="G296" s="31"/>
      <c r="H296" s="31"/>
      <c r="I296" s="56"/>
      <c r="J296" s="56"/>
      <c r="K296" s="82" t="str">
        <f t="shared" si="74"/>
        <v>Invoice</v>
      </c>
      <c r="L296" s="83" t="str">
        <f>"SI_111013"</f>
        <v>SI_111013</v>
      </c>
      <c r="M296" s="84">
        <v>42278</v>
      </c>
      <c r="N296" s="85">
        <f t="shared" si="75"/>
        <v>1534</v>
      </c>
      <c r="O296" s="86">
        <f t="shared" si="76"/>
        <v>18850.97</v>
      </c>
      <c r="P296" s="86">
        <f t="shared" si="77"/>
        <v>0</v>
      </c>
      <c r="Q296" s="86">
        <f t="shared" si="78"/>
        <v>0</v>
      </c>
      <c r="R296" s="86">
        <f t="shared" si="79"/>
        <v>0</v>
      </c>
      <c r="S296" s="86">
        <f t="shared" si="80"/>
        <v>0</v>
      </c>
      <c r="T296" s="86">
        <f t="shared" si="81"/>
        <v>18850.97</v>
      </c>
      <c r="U296" s="87">
        <v>18850.97</v>
      </c>
    </row>
    <row r="297" spans="1:21" s="30" customFormat="1" ht="24.6" hidden="1" outlineLevel="1" x14ac:dyDescent="0.55000000000000004">
      <c r="A297" s="27" t="s">
        <v>327</v>
      </c>
      <c r="B297" s="28"/>
      <c r="C297" s="27"/>
      <c r="D297" s="27" t="str">
        <f>"""NAV Direct"",""CRONUS JetCorp USA"",""21"",""1"",""352080"""</f>
        <v>"NAV Direct","CRONUS JetCorp USA","21","1","352080"</v>
      </c>
      <c r="E297" s="31" t="str">
        <f t="shared" si="73"/>
        <v>C100018</v>
      </c>
      <c r="F297" s="31"/>
      <c r="G297" s="31"/>
      <c r="H297" s="31"/>
      <c r="I297" s="56"/>
      <c r="J297" s="56"/>
      <c r="K297" s="82" t="str">
        <f t="shared" si="74"/>
        <v>Invoice</v>
      </c>
      <c r="L297" s="83" t="str">
        <f>"SI_111026"</f>
        <v>SI_111026</v>
      </c>
      <c r="M297" s="84">
        <v>42343</v>
      </c>
      <c r="N297" s="85">
        <f t="shared" si="75"/>
        <v>1469</v>
      </c>
      <c r="O297" s="86">
        <f t="shared" si="76"/>
        <v>19901.91</v>
      </c>
      <c r="P297" s="86">
        <f t="shared" si="77"/>
        <v>0</v>
      </c>
      <c r="Q297" s="86">
        <f t="shared" si="78"/>
        <v>0</v>
      </c>
      <c r="R297" s="86">
        <f t="shared" si="79"/>
        <v>0</v>
      </c>
      <c r="S297" s="86">
        <f t="shared" si="80"/>
        <v>0</v>
      </c>
      <c r="T297" s="86">
        <f t="shared" si="81"/>
        <v>19901.91</v>
      </c>
      <c r="U297" s="87">
        <v>19901.91</v>
      </c>
    </row>
    <row r="298" spans="1:21" s="30" customFormat="1" ht="24.6" hidden="1" outlineLevel="1" x14ac:dyDescent="0.55000000000000004">
      <c r="A298" s="27" t="s">
        <v>327</v>
      </c>
      <c r="B298" s="28"/>
      <c r="C298" s="27"/>
      <c r="D298" s="27" t="str">
        <f>"""NAV Direct"",""CRONUS JetCorp USA"",""21"",""1"",""433617"""</f>
        <v>"NAV Direct","CRONUS JetCorp USA","21","1","433617"</v>
      </c>
      <c r="E298" s="31">
        <f t="shared" si="73"/>
        <v>0</v>
      </c>
      <c r="F298" s="31"/>
      <c r="G298" s="31"/>
      <c r="H298" s="31"/>
      <c r="I298" s="56"/>
      <c r="J298" s="56"/>
      <c r="K298" s="82" t="str">
        <f t="shared" ref="K298:K309" si="82">"Credit Memo"</f>
        <v>Credit Memo</v>
      </c>
      <c r="L298" s="83" t="str">
        <f>"SC_100501"</f>
        <v>SC_100501</v>
      </c>
      <c r="M298" s="84">
        <v>42480</v>
      </c>
      <c r="N298" s="85">
        <f t="shared" si="75"/>
        <v>1332</v>
      </c>
      <c r="O298" s="86">
        <f t="shared" si="76"/>
        <v>-175.29999999999998</v>
      </c>
      <c r="P298" s="86">
        <f t="shared" si="77"/>
        <v>0</v>
      </c>
      <c r="Q298" s="86">
        <f t="shared" si="78"/>
        <v>0</v>
      </c>
      <c r="R298" s="86">
        <f t="shared" si="79"/>
        <v>0</v>
      </c>
      <c r="S298" s="86">
        <f t="shared" si="80"/>
        <v>0</v>
      </c>
      <c r="T298" s="86">
        <f t="shared" si="81"/>
        <v>-175.29999999999998</v>
      </c>
      <c r="U298" s="87">
        <v>-175.29999999999998</v>
      </c>
    </row>
    <row r="299" spans="1:21" s="30" customFormat="1" ht="24.6" hidden="1" outlineLevel="1" x14ac:dyDescent="0.55000000000000004">
      <c r="A299" s="27" t="s">
        <v>327</v>
      </c>
      <c r="B299" s="28"/>
      <c r="C299" s="27"/>
      <c r="D299" s="27" t="str">
        <f>"""NAV Direct"",""CRONUS JetCorp USA"",""21"",""1"",""433767"""</f>
        <v>"NAV Direct","CRONUS JetCorp USA","21","1","433767"</v>
      </c>
      <c r="E299" s="31" t="str">
        <f t="shared" si="73"/>
        <v>C100018</v>
      </c>
      <c r="F299" s="31"/>
      <c r="G299" s="31"/>
      <c r="H299" s="31"/>
      <c r="I299" s="56"/>
      <c r="J299" s="56"/>
      <c r="K299" s="82" t="str">
        <f t="shared" si="82"/>
        <v>Credit Memo</v>
      </c>
      <c r="L299" s="83" t="str">
        <f>"SC_100511"</f>
        <v>SC_100511</v>
      </c>
      <c r="M299" s="84">
        <v>42664</v>
      </c>
      <c r="N299" s="85">
        <f t="shared" si="75"/>
        <v>1148</v>
      </c>
      <c r="O299" s="86">
        <f t="shared" si="76"/>
        <v>-176.82</v>
      </c>
      <c r="P299" s="86">
        <f t="shared" si="77"/>
        <v>0</v>
      </c>
      <c r="Q299" s="86">
        <f t="shared" si="78"/>
        <v>0</v>
      </c>
      <c r="R299" s="86">
        <f t="shared" si="79"/>
        <v>0</v>
      </c>
      <c r="S299" s="86">
        <f t="shared" si="80"/>
        <v>0</v>
      </c>
      <c r="T299" s="86">
        <f t="shared" si="81"/>
        <v>-176.82</v>
      </c>
      <c r="U299" s="87">
        <v>-176.82</v>
      </c>
    </row>
    <row r="300" spans="1:21" s="30" customFormat="1" ht="24.6" hidden="1" outlineLevel="1" x14ac:dyDescent="0.55000000000000004">
      <c r="A300" s="27" t="s">
        <v>327</v>
      </c>
      <c r="B300" s="28"/>
      <c r="C300" s="27"/>
      <c r="D300" s="27" t="str">
        <f>"""NAV Direct"",""CRONUS JetCorp USA"",""21"",""1"",""433825"""</f>
        <v>"NAV Direct","CRONUS JetCorp USA","21","1","433825"</v>
      </c>
      <c r="E300" s="31">
        <f t="shared" si="73"/>
        <v>0</v>
      </c>
      <c r="F300" s="31"/>
      <c r="G300" s="31"/>
      <c r="H300" s="31"/>
      <c r="I300" s="56"/>
      <c r="J300" s="56"/>
      <c r="K300" s="82" t="str">
        <f t="shared" si="82"/>
        <v>Credit Memo</v>
      </c>
      <c r="L300" s="83" t="str">
        <f>"SC_100515"</f>
        <v>SC_100515</v>
      </c>
      <c r="M300" s="84">
        <v>42775</v>
      </c>
      <c r="N300" s="85">
        <f t="shared" si="75"/>
        <v>1037</v>
      </c>
      <c r="O300" s="86">
        <f t="shared" si="76"/>
        <v>-173.06</v>
      </c>
      <c r="P300" s="86">
        <f t="shared" si="77"/>
        <v>0</v>
      </c>
      <c r="Q300" s="86">
        <f t="shared" si="78"/>
        <v>0</v>
      </c>
      <c r="R300" s="86">
        <f t="shared" si="79"/>
        <v>0</v>
      </c>
      <c r="S300" s="86">
        <f t="shared" si="80"/>
        <v>0</v>
      </c>
      <c r="T300" s="86">
        <f t="shared" si="81"/>
        <v>-173.06</v>
      </c>
      <c r="U300" s="87">
        <v>-173.06</v>
      </c>
    </row>
    <row r="301" spans="1:21" s="30" customFormat="1" ht="24.6" hidden="1" outlineLevel="1" x14ac:dyDescent="0.55000000000000004">
      <c r="A301" s="27" t="s">
        <v>327</v>
      </c>
      <c r="B301" s="28"/>
      <c r="C301" s="27"/>
      <c r="D301" s="27" t="str">
        <f>"""NAV Direct"",""CRONUS JetCorp USA"",""21"",""1"",""433898"""</f>
        <v>"NAV Direct","CRONUS JetCorp USA","21","1","433898"</v>
      </c>
      <c r="E301" s="31" t="str">
        <f t="shared" si="73"/>
        <v>C100018</v>
      </c>
      <c r="F301" s="31"/>
      <c r="G301" s="31"/>
      <c r="H301" s="31"/>
      <c r="I301" s="56"/>
      <c r="J301" s="56"/>
      <c r="K301" s="82" t="str">
        <f t="shared" si="82"/>
        <v>Credit Memo</v>
      </c>
      <c r="L301" s="83" t="str">
        <f>"SC_100520"</f>
        <v>SC_100520</v>
      </c>
      <c r="M301" s="84">
        <v>42805</v>
      </c>
      <c r="N301" s="85">
        <f t="shared" si="75"/>
        <v>1007</v>
      </c>
      <c r="O301" s="86">
        <f t="shared" si="76"/>
        <v>-177.91</v>
      </c>
      <c r="P301" s="86">
        <f t="shared" si="77"/>
        <v>0</v>
      </c>
      <c r="Q301" s="86">
        <f t="shared" si="78"/>
        <v>0</v>
      </c>
      <c r="R301" s="86">
        <f t="shared" si="79"/>
        <v>0</v>
      </c>
      <c r="S301" s="86">
        <f t="shared" si="80"/>
        <v>0</v>
      </c>
      <c r="T301" s="86">
        <f t="shared" si="81"/>
        <v>-177.91</v>
      </c>
      <c r="U301" s="87">
        <v>-177.91</v>
      </c>
    </row>
    <row r="302" spans="1:21" s="30" customFormat="1" ht="24.6" hidden="1" outlineLevel="1" x14ac:dyDescent="0.55000000000000004">
      <c r="A302" s="27" t="s">
        <v>327</v>
      </c>
      <c r="B302" s="28"/>
      <c r="C302" s="27"/>
      <c r="D302" s="27" t="str">
        <f>"""NAV Direct"",""CRONUS JetCorp USA"",""21"",""1"",""434126"""</f>
        <v>"NAV Direct","CRONUS JetCorp USA","21","1","434126"</v>
      </c>
      <c r="E302" s="31">
        <f t="shared" si="73"/>
        <v>0</v>
      </c>
      <c r="F302" s="31"/>
      <c r="G302" s="31"/>
      <c r="H302" s="31"/>
      <c r="I302" s="56"/>
      <c r="J302" s="56"/>
      <c r="K302" s="82" t="str">
        <f t="shared" si="82"/>
        <v>Credit Memo</v>
      </c>
      <c r="L302" s="83" t="str">
        <f>"SC_100534"</f>
        <v>SC_100534</v>
      </c>
      <c r="M302" s="84">
        <v>43143</v>
      </c>
      <c r="N302" s="85">
        <f t="shared" si="75"/>
        <v>669</v>
      </c>
      <c r="O302" s="86">
        <f t="shared" si="76"/>
        <v>-193.4</v>
      </c>
      <c r="P302" s="86">
        <f t="shared" si="77"/>
        <v>0</v>
      </c>
      <c r="Q302" s="86">
        <f t="shared" si="78"/>
        <v>0</v>
      </c>
      <c r="R302" s="86">
        <f t="shared" si="79"/>
        <v>0</v>
      </c>
      <c r="S302" s="86">
        <f t="shared" si="80"/>
        <v>0</v>
      </c>
      <c r="T302" s="86">
        <f t="shared" si="81"/>
        <v>-193.4</v>
      </c>
      <c r="U302" s="87">
        <v>-193.4</v>
      </c>
    </row>
    <row r="303" spans="1:21" s="30" customFormat="1" ht="24.6" hidden="1" outlineLevel="1" x14ac:dyDescent="0.55000000000000004">
      <c r="A303" s="27" t="s">
        <v>327</v>
      </c>
      <c r="B303" s="28"/>
      <c r="C303" s="27"/>
      <c r="D303" s="27" t="str">
        <f>"""NAV Direct"",""CRONUS JetCorp USA"",""21"",""1"",""434228"""</f>
        <v>"NAV Direct","CRONUS JetCorp USA","21","1","434228"</v>
      </c>
      <c r="E303" s="31" t="str">
        <f t="shared" si="73"/>
        <v>C100018</v>
      </c>
      <c r="F303" s="31"/>
      <c r="G303" s="31"/>
      <c r="H303" s="31"/>
      <c r="I303" s="56"/>
      <c r="J303" s="56"/>
      <c r="K303" s="82" t="str">
        <f t="shared" si="82"/>
        <v>Credit Memo</v>
      </c>
      <c r="L303" s="83" t="str">
        <f>"SC_100540"</f>
        <v>SC_100540</v>
      </c>
      <c r="M303" s="84">
        <v>43233</v>
      </c>
      <c r="N303" s="85">
        <f t="shared" si="75"/>
        <v>579</v>
      </c>
      <c r="O303" s="86">
        <f t="shared" si="76"/>
        <v>-194.39</v>
      </c>
      <c r="P303" s="86">
        <f t="shared" si="77"/>
        <v>0</v>
      </c>
      <c r="Q303" s="86">
        <f t="shared" si="78"/>
        <v>0</v>
      </c>
      <c r="R303" s="86">
        <f t="shared" si="79"/>
        <v>0</v>
      </c>
      <c r="S303" s="86">
        <f t="shared" si="80"/>
        <v>0</v>
      </c>
      <c r="T303" s="86">
        <f t="shared" si="81"/>
        <v>-194.39</v>
      </c>
      <c r="U303" s="87">
        <v>-194.39</v>
      </c>
    </row>
    <row r="304" spans="1:21" s="30" customFormat="1" ht="24.6" hidden="1" outlineLevel="1" x14ac:dyDescent="0.55000000000000004">
      <c r="A304" s="27" t="s">
        <v>327</v>
      </c>
      <c r="B304" s="28"/>
      <c r="C304" s="27"/>
      <c r="D304" s="27" t="str">
        <f>"""NAV Direct"",""CRONUS JetCorp USA"",""21"",""1"",""434305"""</f>
        <v>"NAV Direct","CRONUS JetCorp USA","21","1","434305"</v>
      </c>
      <c r="E304" s="31">
        <f t="shared" si="73"/>
        <v>0</v>
      </c>
      <c r="F304" s="31"/>
      <c r="G304" s="31"/>
      <c r="H304" s="31"/>
      <c r="I304" s="56"/>
      <c r="J304" s="56"/>
      <c r="K304" s="82" t="str">
        <f t="shared" si="82"/>
        <v>Credit Memo</v>
      </c>
      <c r="L304" s="83" t="str">
        <f>"SC_100545"</f>
        <v>SC_100545</v>
      </c>
      <c r="M304" s="84">
        <v>43350</v>
      </c>
      <c r="N304" s="85">
        <f t="shared" si="75"/>
        <v>462</v>
      </c>
      <c r="O304" s="86">
        <f t="shared" si="76"/>
        <v>-177.67000000000002</v>
      </c>
      <c r="P304" s="86">
        <f t="shared" si="77"/>
        <v>0</v>
      </c>
      <c r="Q304" s="86">
        <f t="shared" si="78"/>
        <v>0</v>
      </c>
      <c r="R304" s="86">
        <f t="shared" si="79"/>
        <v>0</v>
      </c>
      <c r="S304" s="86">
        <f t="shared" si="80"/>
        <v>0</v>
      </c>
      <c r="T304" s="86">
        <f t="shared" si="81"/>
        <v>-177.67000000000002</v>
      </c>
      <c r="U304" s="87">
        <v>-177.67000000000002</v>
      </c>
    </row>
    <row r="305" spans="1:22" s="30" customFormat="1" ht="24.6" hidden="1" outlineLevel="1" x14ac:dyDescent="0.55000000000000004">
      <c r="A305" s="27" t="s">
        <v>327</v>
      </c>
      <c r="B305" s="28"/>
      <c r="C305" s="27"/>
      <c r="D305" s="27" t="str">
        <f>"""NAV Direct"",""CRONUS JetCorp USA"",""21"",""1"",""434346"""</f>
        <v>"NAV Direct","CRONUS JetCorp USA","21","1","434346"</v>
      </c>
      <c r="E305" s="31" t="str">
        <f t="shared" si="73"/>
        <v>C100018</v>
      </c>
      <c r="F305" s="31"/>
      <c r="G305" s="31"/>
      <c r="H305" s="31"/>
      <c r="I305" s="56"/>
      <c r="J305" s="56"/>
      <c r="K305" s="82" t="str">
        <f t="shared" si="82"/>
        <v>Credit Memo</v>
      </c>
      <c r="L305" s="83" t="str">
        <f>"SC_100548"</f>
        <v>SC_100548</v>
      </c>
      <c r="M305" s="84">
        <v>43409</v>
      </c>
      <c r="N305" s="85">
        <f t="shared" si="75"/>
        <v>403</v>
      </c>
      <c r="O305" s="86">
        <f t="shared" si="76"/>
        <v>-202.8</v>
      </c>
      <c r="P305" s="86">
        <f t="shared" si="77"/>
        <v>0</v>
      </c>
      <c r="Q305" s="86">
        <f t="shared" si="78"/>
        <v>0</v>
      </c>
      <c r="R305" s="86">
        <f t="shared" si="79"/>
        <v>0</v>
      </c>
      <c r="S305" s="86">
        <f t="shared" si="80"/>
        <v>0</v>
      </c>
      <c r="T305" s="86">
        <f t="shared" si="81"/>
        <v>-202.8</v>
      </c>
      <c r="U305" s="87">
        <v>-202.8</v>
      </c>
    </row>
    <row r="306" spans="1:22" s="30" customFormat="1" ht="24.6" hidden="1" outlineLevel="1" x14ac:dyDescent="0.55000000000000004">
      <c r="A306" s="27" t="s">
        <v>327</v>
      </c>
      <c r="B306" s="28"/>
      <c r="C306" s="27"/>
      <c r="D306" s="27" t="str">
        <f>"""NAV Direct"",""CRONUS JetCorp USA"",""21"",""1"",""434393"""</f>
        <v>"NAV Direct","CRONUS JetCorp USA","21","1","434393"</v>
      </c>
      <c r="E306" s="31">
        <f t="shared" si="73"/>
        <v>0</v>
      </c>
      <c r="F306" s="31"/>
      <c r="G306" s="31"/>
      <c r="H306" s="31"/>
      <c r="I306" s="56"/>
      <c r="J306" s="56"/>
      <c r="K306" s="82" t="str">
        <f t="shared" si="82"/>
        <v>Credit Memo</v>
      </c>
      <c r="L306" s="83" t="str">
        <f>"SC_100551"</f>
        <v>SC_100551</v>
      </c>
      <c r="M306" s="84">
        <v>43537</v>
      </c>
      <c r="N306" s="85">
        <f t="shared" si="75"/>
        <v>275</v>
      </c>
      <c r="O306" s="86">
        <f t="shared" si="76"/>
        <v>-201.38000000000002</v>
      </c>
      <c r="P306" s="86">
        <f t="shared" si="77"/>
        <v>0</v>
      </c>
      <c r="Q306" s="86">
        <f t="shared" si="78"/>
        <v>0</v>
      </c>
      <c r="R306" s="86">
        <f t="shared" si="79"/>
        <v>0</v>
      </c>
      <c r="S306" s="86">
        <f t="shared" si="80"/>
        <v>0</v>
      </c>
      <c r="T306" s="86">
        <f t="shared" si="81"/>
        <v>-201.38000000000002</v>
      </c>
      <c r="U306" s="87">
        <v>-201.38000000000002</v>
      </c>
    </row>
    <row r="307" spans="1:22" s="30" customFormat="1" ht="24.6" hidden="1" outlineLevel="1" x14ac:dyDescent="0.55000000000000004">
      <c r="A307" s="27" t="s">
        <v>327</v>
      </c>
      <c r="B307" s="28"/>
      <c r="C307" s="27"/>
      <c r="D307" s="27" t="str">
        <f>"""NAV Direct"",""CRONUS JetCorp USA"",""21"",""1"",""434466"""</f>
        <v>"NAV Direct","CRONUS JetCorp USA","21","1","434466"</v>
      </c>
      <c r="E307" s="31" t="str">
        <f t="shared" si="73"/>
        <v>C100018</v>
      </c>
      <c r="F307" s="31"/>
      <c r="G307" s="31"/>
      <c r="H307" s="31"/>
      <c r="I307" s="56"/>
      <c r="J307" s="56"/>
      <c r="K307" s="82" t="str">
        <f t="shared" si="82"/>
        <v>Credit Memo</v>
      </c>
      <c r="L307" s="83" t="str">
        <f>"SC_100556"</f>
        <v>SC_100556</v>
      </c>
      <c r="M307" s="84">
        <v>43745</v>
      </c>
      <c r="N307" s="85">
        <f t="shared" si="75"/>
        <v>67</v>
      </c>
      <c r="O307" s="86">
        <f t="shared" si="76"/>
        <v>-182.55</v>
      </c>
      <c r="P307" s="86">
        <f t="shared" si="77"/>
        <v>0</v>
      </c>
      <c r="Q307" s="86">
        <f t="shared" si="78"/>
        <v>0</v>
      </c>
      <c r="R307" s="86">
        <f t="shared" si="79"/>
        <v>0</v>
      </c>
      <c r="S307" s="86">
        <f t="shared" si="80"/>
        <v>-182.55</v>
      </c>
      <c r="T307" s="86">
        <f t="shared" si="81"/>
        <v>0</v>
      </c>
      <c r="U307" s="87">
        <v>-182.55</v>
      </c>
    </row>
    <row r="308" spans="1:22" s="30" customFormat="1" ht="24.6" hidden="1" outlineLevel="1" x14ac:dyDescent="0.55000000000000004">
      <c r="A308" s="27" t="s">
        <v>327</v>
      </c>
      <c r="B308" s="28"/>
      <c r="C308" s="27"/>
      <c r="D308" s="27" t="str">
        <f>"""NAV Direct"",""CRONUS JetCorp USA"",""21"",""1"",""434504"""</f>
        <v>"NAV Direct","CRONUS JetCorp USA","21","1","434504"</v>
      </c>
      <c r="E308" s="31">
        <f t="shared" si="73"/>
        <v>0</v>
      </c>
      <c r="F308" s="31"/>
      <c r="G308" s="31"/>
      <c r="H308" s="31"/>
      <c r="I308" s="56"/>
      <c r="J308" s="56"/>
      <c r="K308" s="82" t="str">
        <f t="shared" si="82"/>
        <v>Credit Memo</v>
      </c>
      <c r="L308" s="83" t="str">
        <f>"SC_100558"</f>
        <v>SC_100558</v>
      </c>
      <c r="M308" s="84">
        <v>42009</v>
      </c>
      <c r="N308" s="85">
        <f t="shared" si="75"/>
        <v>1803</v>
      </c>
      <c r="O308" s="86">
        <f t="shared" si="76"/>
        <v>-196.46</v>
      </c>
      <c r="P308" s="86">
        <f t="shared" si="77"/>
        <v>0</v>
      </c>
      <c r="Q308" s="86">
        <f t="shared" si="78"/>
        <v>0</v>
      </c>
      <c r="R308" s="86">
        <f t="shared" si="79"/>
        <v>0</v>
      </c>
      <c r="S308" s="86">
        <f t="shared" si="80"/>
        <v>0</v>
      </c>
      <c r="T308" s="86">
        <f t="shared" si="81"/>
        <v>-196.46</v>
      </c>
      <c r="U308" s="87">
        <v>-196.46</v>
      </c>
    </row>
    <row r="309" spans="1:22" s="30" customFormat="1" ht="24.6" hidden="1" outlineLevel="1" x14ac:dyDescent="0.55000000000000004">
      <c r="A309" s="27" t="s">
        <v>327</v>
      </c>
      <c r="B309" s="28"/>
      <c r="C309" s="27"/>
      <c r="D309" s="27" t="str">
        <f>"""NAV Direct"",""CRONUS JetCorp USA"",""21"",""1"",""434614"""</f>
        <v>"NAV Direct","CRONUS JetCorp USA","21","1","434614"</v>
      </c>
      <c r="E309" s="31" t="str">
        <f t="shared" si="73"/>
        <v>C100018</v>
      </c>
      <c r="F309" s="31"/>
      <c r="G309" s="31"/>
      <c r="H309" s="31"/>
      <c r="I309" s="56"/>
      <c r="J309" s="56"/>
      <c r="K309" s="82" t="str">
        <f t="shared" si="82"/>
        <v>Credit Memo</v>
      </c>
      <c r="L309" s="83" t="str">
        <f>"SC_100564"</f>
        <v>SC_100564</v>
      </c>
      <c r="M309" s="84">
        <v>42131</v>
      </c>
      <c r="N309" s="85">
        <f t="shared" si="75"/>
        <v>1681</v>
      </c>
      <c r="O309" s="86">
        <f t="shared" si="76"/>
        <v>-239.32000000000002</v>
      </c>
      <c r="P309" s="86">
        <f t="shared" si="77"/>
        <v>0</v>
      </c>
      <c r="Q309" s="86">
        <f t="shared" si="78"/>
        <v>0</v>
      </c>
      <c r="R309" s="86">
        <f t="shared" si="79"/>
        <v>0</v>
      </c>
      <c r="S309" s="86">
        <f t="shared" si="80"/>
        <v>0</v>
      </c>
      <c r="T309" s="86">
        <f t="shared" si="81"/>
        <v>-239.32000000000002</v>
      </c>
      <c r="U309" s="87">
        <v>-239.32000000000002</v>
      </c>
    </row>
    <row r="310" spans="1:22" s="22" customFormat="1" ht="20.399999999999999" collapsed="1" x14ac:dyDescent="0.45">
      <c r="A310" s="12" t="s">
        <v>327</v>
      </c>
      <c r="B310" s="19"/>
      <c r="C310" s="12"/>
      <c r="D310" s="12"/>
      <c r="E310" s="23"/>
      <c r="F310" s="23"/>
      <c r="G310" s="23"/>
      <c r="H310" s="23"/>
      <c r="I310" s="49"/>
      <c r="J310" s="88"/>
      <c r="K310" s="88"/>
      <c r="L310" s="89"/>
      <c r="M310" s="89"/>
      <c r="N310" s="89"/>
      <c r="O310" s="89"/>
      <c r="P310" s="89"/>
      <c r="Q310" s="90"/>
      <c r="R310" s="90"/>
      <c r="S310" s="91"/>
      <c r="T310" s="92"/>
      <c r="U310" s="92"/>
    </row>
    <row r="311" spans="1:22" s="22" customFormat="1" ht="20.399999999999999" x14ac:dyDescent="0.45">
      <c r="A311" s="12" t="s">
        <v>327</v>
      </c>
      <c r="B311" s="19"/>
      <c r="C311" s="12"/>
      <c r="D311" s="12"/>
      <c r="E311" s="23"/>
      <c r="F311" s="23"/>
      <c r="G311" s="23"/>
      <c r="H311" s="23"/>
      <c r="I311" s="49"/>
      <c r="J311" s="88"/>
      <c r="K311" s="88"/>
      <c r="L311" s="89"/>
      <c r="M311" s="89"/>
      <c r="N311" s="89"/>
      <c r="O311" s="89"/>
      <c r="P311" s="89"/>
      <c r="Q311" s="90"/>
      <c r="R311" s="90"/>
      <c r="S311" s="91"/>
      <c r="T311" s="92"/>
      <c r="U311" s="92"/>
    </row>
    <row r="312" spans="1:22" s="26" customFormat="1" ht="24.6" x14ac:dyDescent="0.55000000000000004">
      <c r="A312" s="27" t="s">
        <v>327</v>
      </c>
      <c r="B312" s="28"/>
      <c r="C312" s="27" t="str">
        <f>"""NAV Direct"",""CRONUS JetCorp USA"",""18"",""1"",""C100019"""</f>
        <v>"NAV Direct","CRONUS JetCorp USA","18","1","C100019"</v>
      </c>
      <c r="D312" s="27"/>
      <c r="E312" s="28" t="str">
        <f>H312</f>
        <v>C100019</v>
      </c>
      <c r="F312" s="28"/>
      <c r="G312" s="28"/>
      <c r="H312" s="28" t="str">
        <f>"C100019"</f>
        <v>C100019</v>
      </c>
      <c r="I312" s="116" t="str">
        <f>"C100019  -  Corporación Beta"</f>
        <v>C100019  -  Corporación Beta</v>
      </c>
      <c r="J312" s="117" t="str">
        <f>""</f>
        <v/>
      </c>
      <c r="K312" s="118"/>
      <c r="L312" s="119">
        <f>SUBTOTAL(3,L313:L324)</f>
        <v>8</v>
      </c>
      <c r="M312" s="118"/>
      <c r="N312" s="118"/>
      <c r="O312" s="120">
        <f t="shared" ref="O312:T312" si="83">SUBTOTAL(9,O313:O324)</f>
        <v>81300.929999999993</v>
      </c>
      <c r="P312" s="120">
        <f t="shared" si="83"/>
        <v>0</v>
      </c>
      <c r="Q312" s="120">
        <f t="shared" si="83"/>
        <v>0</v>
      </c>
      <c r="R312" s="120">
        <f t="shared" si="83"/>
        <v>0</v>
      </c>
      <c r="S312" s="120">
        <f t="shared" si="83"/>
        <v>0</v>
      </c>
      <c r="T312" s="120">
        <f t="shared" si="83"/>
        <v>81300.929999999993</v>
      </c>
      <c r="U312" s="81"/>
    </row>
    <row r="313" spans="1:22" s="26" customFormat="1" ht="24.6" x14ac:dyDescent="0.55000000000000004">
      <c r="A313" s="27" t="s">
        <v>327</v>
      </c>
      <c r="B313" s="28"/>
      <c r="C313" s="27" t="str">
        <f>C312</f>
        <v>"NAV Direct","CRONUS JetCorp USA","18","1","C100019"</v>
      </c>
      <c r="D313" s="27"/>
      <c r="E313" s="28" t="str">
        <f>E312</f>
        <v>C100019</v>
      </c>
      <c r="F313" s="28"/>
      <c r="G313" s="28"/>
      <c r="H313" s="28"/>
      <c r="I313" s="121" t="str">
        <f>"Contact: Srta. Vanessa Garcia Garcia"</f>
        <v>Contact: Srta. Vanessa Garcia Garcia</v>
      </c>
      <c r="J313" s="121"/>
      <c r="K313" s="122"/>
      <c r="L313" s="123"/>
      <c r="M313" s="123"/>
      <c r="N313" s="124"/>
      <c r="O313" s="124"/>
      <c r="P313" s="123"/>
      <c r="Q313" s="125"/>
      <c r="R313" s="126"/>
      <c r="S313" s="126"/>
      <c r="T313" s="125"/>
      <c r="U313" s="81"/>
    </row>
    <row r="314" spans="1:22" s="26" customFormat="1" ht="24.6" x14ac:dyDescent="0.55000000000000004">
      <c r="A314" s="27" t="s">
        <v>327</v>
      </c>
      <c r="B314" s="28"/>
      <c r="C314" s="27" t="str">
        <f>C313</f>
        <v>"NAV Direct","CRONUS JetCorp USA","18","1","C100019"</v>
      </c>
      <c r="D314" s="27"/>
      <c r="E314" s="28" t="str">
        <f>E313</f>
        <v>C100019</v>
      </c>
      <c r="F314" s="28"/>
      <c r="G314" s="28"/>
      <c r="H314" s="28"/>
      <c r="I314" s="121" t="str">
        <f>"corporacion.beta@cronuscorp.net"</f>
        <v>corporacion.beta@cronuscorp.net</v>
      </c>
      <c r="J314" s="121"/>
      <c r="K314" s="122"/>
      <c r="L314" s="124"/>
      <c r="M314" s="124"/>
      <c r="N314" s="124"/>
      <c r="O314" s="124"/>
      <c r="P314" s="123"/>
      <c r="Q314" s="125"/>
      <c r="R314" s="126"/>
      <c r="S314" s="126"/>
      <c r="T314" s="125"/>
      <c r="U314" s="81"/>
    </row>
    <row r="315" spans="1:22" ht="12.75" hidden="1" customHeight="1" outlineLevel="1" x14ac:dyDescent="0.45">
      <c r="A315" s="12" t="s">
        <v>328</v>
      </c>
      <c r="B315" s="19"/>
      <c r="E315" s="19"/>
      <c r="F315" s="19"/>
      <c r="G315" s="19"/>
      <c r="H315" s="19"/>
      <c r="I315" s="61"/>
      <c r="J315" s="61"/>
      <c r="K315" s="61"/>
      <c r="L315" s="61"/>
      <c r="M315" s="61"/>
      <c r="N315" s="61"/>
      <c r="O315" s="61"/>
      <c r="P315" s="61"/>
      <c r="Q315" s="61"/>
      <c r="R315" s="61"/>
      <c r="S315" s="61"/>
      <c r="T315" s="61"/>
      <c r="U315" s="61"/>
      <c r="V315" s="21"/>
    </row>
    <row r="316" spans="1:22" s="30" customFormat="1" ht="24.6" hidden="1" outlineLevel="1" x14ac:dyDescent="0.55000000000000004">
      <c r="A316" s="27" t="s">
        <v>327</v>
      </c>
      <c r="B316" s="28"/>
      <c r="C316" s="27"/>
      <c r="D316" s="27" t="str">
        <f>"""NAV Direct"",""CRONUS JetCorp USA"",""21"",""1"",""101694"""</f>
        <v>"NAV Direct","CRONUS JetCorp USA","21","1","101694"</v>
      </c>
      <c r="E316" s="31" t="str">
        <f t="shared" ref="E316:E323" si="84">E314</f>
        <v>C100019</v>
      </c>
      <c r="F316" s="31"/>
      <c r="G316" s="31"/>
      <c r="H316" s="31"/>
      <c r="I316" s="56"/>
      <c r="J316" s="56"/>
      <c r="K316" s="82" t="str">
        <f t="shared" ref="K316:K322" si="85">"Invoice"</f>
        <v>Invoice</v>
      </c>
      <c r="L316" s="83" t="str">
        <f>"SI_106590"</f>
        <v>SI_106590</v>
      </c>
      <c r="M316" s="84">
        <v>42069</v>
      </c>
      <c r="N316" s="85">
        <f t="shared" ref="N316:N323" si="86">StartDate-$M316+1</f>
        <v>1743</v>
      </c>
      <c r="O316" s="86">
        <f t="shared" ref="O316:O323" si="87">SUM(P316:T316)</f>
        <v>13780.689999999999</v>
      </c>
      <c r="P316" s="86">
        <f t="shared" ref="P316:P323" si="88">IF($M316&gt;=$P$18,U316,0)</f>
        <v>0</v>
      </c>
      <c r="Q316" s="86">
        <f t="shared" ref="Q316:Q323" si="89">IF(AND($M316&gt;=$Q$16,$M316&lt;=$Q$18),U316,0)</f>
        <v>0</v>
      </c>
      <c r="R316" s="86">
        <f t="shared" ref="R316:R323" si="90">IF(AND($M316&gt;=$R$16,$M316&lt;=$R$18),U316,0)</f>
        <v>0</v>
      </c>
      <c r="S316" s="86">
        <f t="shared" ref="S316:S323" si="91">IF(AND($M316&gt;=$S$16,$M316&lt;=$S$18),U316,0)</f>
        <v>0</v>
      </c>
      <c r="T316" s="86">
        <f t="shared" ref="T316:T323" si="92">IF($M316&lt;=$T$18,U316,0)</f>
        <v>13780.689999999999</v>
      </c>
      <c r="U316" s="87">
        <v>13780.689999999999</v>
      </c>
    </row>
    <row r="317" spans="1:22" s="30" customFormat="1" ht="24.6" hidden="1" outlineLevel="1" x14ac:dyDescent="0.55000000000000004">
      <c r="A317" s="27" t="s">
        <v>327</v>
      </c>
      <c r="B317" s="28"/>
      <c r="C317" s="27"/>
      <c r="D317" s="27" t="str">
        <f>"""NAV Direct"",""CRONUS JetCorp USA"",""21"",""1"",""380558"""</f>
        <v>"NAV Direct","CRONUS JetCorp USA","21","1","380558"</v>
      </c>
      <c r="E317" s="31">
        <f t="shared" si="84"/>
        <v>0</v>
      </c>
      <c r="F317" s="31"/>
      <c r="G317" s="31"/>
      <c r="H317" s="31"/>
      <c r="I317" s="56"/>
      <c r="J317" s="56"/>
      <c r="K317" s="82" t="str">
        <f t="shared" si="85"/>
        <v>Invoice</v>
      </c>
      <c r="L317" s="83" t="str">
        <f>"SI_111824"</f>
        <v>SI_111824</v>
      </c>
      <c r="M317" s="84">
        <v>42414</v>
      </c>
      <c r="N317" s="85">
        <f t="shared" si="86"/>
        <v>1398</v>
      </c>
      <c r="O317" s="86">
        <f t="shared" si="87"/>
        <v>8730.0400000000009</v>
      </c>
      <c r="P317" s="86">
        <f t="shared" si="88"/>
        <v>0</v>
      </c>
      <c r="Q317" s="86">
        <f t="shared" si="89"/>
        <v>0</v>
      </c>
      <c r="R317" s="86">
        <f t="shared" si="90"/>
        <v>0</v>
      </c>
      <c r="S317" s="86">
        <f t="shared" si="91"/>
        <v>0</v>
      </c>
      <c r="T317" s="86">
        <f t="shared" si="92"/>
        <v>8730.0400000000009</v>
      </c>
      <c r="U317" s="87">
        <v>8730.0400000000009</v>
      </c>
    </row>
    <row r="318" spans="1:22" s="30" customFormat="1" ht="24.6" hidden="1" outlineLevel="1" x14ac:dyDescent="0.55000000000000004">
      <c r="A318" s="27" t="s">
        <v>327</v>
      </c>
      <c r="B318" s="28"/>
      <c r="C318" s="27"/>
      <c r="D318" s="27" t="str">
        <f>"""NAV Direct"",""CRONUS JetCorp USA"",""21"",""1"",""380932"""</f>
        <v>"NAV Direct","CRONUS JetCorp USA","21","1","380932"</v>
      </c>
      <c r="E318" s="31" t="str">
        <f t="shared" si="84"/>
        <v>C100019</v>
      </c>
      <c r="F318" s="31"/>
      <c r="G318" s="31"/>
      <c r="H318" s="31"/>
      <c r="I318" s="56"/>
      <c r="J318" s="56"/>
      <c r="K318" s="82" t="str">
        <f t="shared" si="85"/>
        <v>Invoice</v>
      </c>
      <c r="L318" s="83" t="str">
        <f>"SI_111836"</f>
        <v>SI_111836</v>
      </c>
      <c r="M318" s="84">
        <v>42624</v>
      </c>
      <c r="N318" s="85">
        <f t="shared" si="86"/>
        <v>1188</v>
      </c>
      <c r="O318" s="86">
        <f t="shared" si="87"/>
        <v>8542.3799999999992</v>
      </c>
      <c r="P318" s="86">
        <f t="shared" si="88"/>
        <v>0</v>
      </c>
      <c r="Q318" s="86">
        <f t="shared" si="89"/>
        <v>0</v>
      </c>
      <c r="R318" s="86">
        <f t="shared" si="90"/>
        <v>0</v>
      </c>
      <c r="S318" s="86">
        <f t="shared" si="91"/>
        <v>0</v>
      </c>
      <c r="T318" s="86">
        <f t="shared" si="92"/>
        <v>8542.3799999999992</v>
      </c>
      <c r="U318" s="87">
        <v>8542.3799999999992</v>
      </c>
    </row>
    <row r="319" spans="1:22" s="30" customFormat="1" ht="24.6" hidden="1" outlineLevel="1" x14ac:dyDescent="0.55000000000000004">
      <c r="A319" s="27" t="s">
        <v>327</v>
      </c>
      <c r="B319" s="28"/>
      <c r="C319" s="27"/>
      <c r="D319" s="27" t="str">
        <f>"""NAV Direct"",""CRONUS JetCorp USA"",""21"",""1"",""381165"""</f>
        <v>"NAV Direct","CRONUS JetCorp USA","21","1","381165"</v>
      </c>
      <c r="E319" s="31">
        <f t="shared" si="84"/>
        <v>0</v>
      </c>
      <c r="F319" s="31"/>
      <c r="G319" s="31"/>
      <c r="H319" s="31"/>
      <c r="I319" s="56"/>
      <c r="J319" s="56"/>
      <c r="K319" s="82" t="str">
        <f t="shared" si="85"/>
        <v>Invoice</v>
      </c>
      <c r="L319" s="83" t="str">
        <f>"SI_111843"</f>
        <v>SI_111843</v>
      </c>
      <c r="M319" s="84">
        <v>42762</v>
      </c>
      <c r="N319" s="85">
        <f t="shared" si="86"/>
        <v>1050</v>
      </c>
      <c r="O319" s="86">
        <f t="shared" si="87"/>
        <v>10573.24</v>
      </c>
      <c r="P319" s="86">
        <f t="shared" si="88"/>
        <v>0</v>
      </c>
      <c r="Q319" s="86">
        <f t="shared" si="89"/>
        <v>0</v>
      </c>
      <c r="R319" s="86">
        <f t="shared" si="90"/>
        <v>0</v>
      </c>
      <c r="S319" s="86">
        <f t="shared" si="91"/>
        <v>0</v>
      </c>
      <c r="T319" s="86">
        <f t="shared" si="92"/>
        <v>10573.24</v>
      </c>
      <c r="U319" s="87">
        <v>10573.24</v>
      </c>
    </row>
    <row r="320" spans="1:22" s="30" customFormat="1" ht="24.6" hidden="1" outlineLevel="1" x14ac:dyDescent="0.55000000000000004">
      <c r="A320" s="27" t="s">
        <v>327</v>
      </c>
      <c r="B320" s="28"/>
      <c r="C320" s="27"/>
      <c r="D320" s="27" t="str">
        <f>"""NAV Direct"",""CRONUS JetCorp USA"",""21"",""1"",""381490"""</f>
        <v>"NAV Direct","CRONUS JetCorp USA","21","1","381490"</v>
      </c>
      <c r="E320" s="31" t="str">
        <f t="shared" si="84"/>
        <v>C100019</v>
      </c>
      <c r="F320" s="31"/>
      <c r="G320" s="31"/>
      <c r="H320" s="31"/>
      <c r="I320" s="56"/>
      <c r="J320" s="56"/>
      <c r="K320" s="82" t="str">
        <f t="shared" si="85"/>
        <v>Invoice</v>
      </c>
      <c r="L320" s="83" t="str">
        <f>"SI_111854"</f>
        <v>SI_111854</v>
      </c>
      <c r="M320" s="84">
        <v>42963</v>
      </c>
      <c r="N320" s="85">
        <f t="shared" si="86"/>
        <v>849</v>
      </c>
      <c r="O320" s="86">
        <f t="shared" si="87"/>
        <v>11504.71</v>
      </c>
      <c r="P320" s="86">
        <f t="shared" si="88"/>
        <v>0</v>
      </c>
      <c r="Q320" s="86">
        <f t="shared" si="89"/>
        <v>0</v>
      </c>
      <c r="R320" s="86">
        <f t="shared" si="90"/>
        <v>0</v>
      </c>
      <c r="S320" s="86">
        <f t="shared" si="91"/>
        <v>0</v>
      </c>
      <c r="T320" s="86">
        <f t="shared" si="92"/>
        <v>11504.71</v>
      </c>
      <c r="U320" s="87">
        <v>11504.71</v>
      </c>
    </row>
    <row r="321" spans="1:22" s="30" customFormat="1" ht="24.6" hidden="1" outlineLevel="1" x14ac:dyDescent="0.55000000000000004">
      <c r="A321" s="27" t="s">
        <v>327</v>
      </c>
      <c r="B321" s="28"/>
      <c r="C321" s="27"/>
      <c r="D321" s="27" t="str">
        <f>"""NAV Direct"",""CRONUS JetCorp USA"",""21"",""1"",""382014"""</f>
        <v>"NAV Direct","CRONUS JetCorp USA","21","1","382014"</v>
      </c>
      <c r="E321" s="31">
        <f t="shared" si="84"/>
        <v>0</v>
      </c>
      <c r="F321" s="31"/>
      <c r="G321" s="31"/>
      <c r="H321" s="31"/>
      <c r="I321" s="56"/>
      <c r="J321" s="56"/>
      <c r="K321" s="82" t="str">
        <f t="shared" si="85"/>
        <v>Invoice</v>
      </c>
      <c r="L321" s="83" t="str">
        <f>"SI_111870"</f>
        <v>SI_111870</v>
      </c>
      <c r="M321" s="84">
        <v>43280</v>
      </c>
      <c r="N321" s="85">
        <f t="shared" si="86"/>
        <v>532</v>
      </c>
      <c r="O321" s="86">
        <f t="shared" si="87"/>
        <v>14058.65</v>
      </c>
      <c r="P321" s="86">
        <f t="shared" si="88"/>
        <v>0</v>
      </c>
      <c r="Q321" s="86">
        <f t="shared" si="89"/>
        <v>0</v>
      </c>
      <c r="R321" s="86">
        <f t="shared" si="90"/>
        <v>0</v>
      </c>
      <c r="S321" s="86">
        <f t="shared" si="91"/>
        <v>0</v>
      </c>
      <c r="T321" s="86">
        <f t="shared" si="92"/>
        <v>14058.65</v>
      </c>
      <c r="U321" s="87">
        <v>14058.65</v>
      </c>
    </row>
    <row r="322" spans="1:22" s="30" customFormat="1" ht="24.6" hidden="1" outlineLevel="1" x14ac:dyDescent="0.55000000000000004">
      <c r="A322" s="27" t="s">
        <v>327</v>
      </c>
      <c r="B322" s="28"/>
      <c r="C322" s="27"/>
      <c r="D322" s="27" t="str">
        <f>"""NAV Direct"",""CRONUS JetCorp USA"",""21"",""1"",""383144"""</f>
        <v>"NAV Direct","CRONUS JetCorp USA","21","1","383144"</v>
      </c>
      <c r="E322" s="31" t="str">
        <f t="shared" si="84"/>
        <v>C100019</v>
      </c>
      <c r="F322" s="31"/>
      <c r="G322" s="31"/>
      <c r="H322" s="31"/>
      <c r="I322" s="56"/>
      <c r="J322" s="56"/>
      <c r="K322" s="82" t="str">
        <f t="shared" si="85"/>
        <v>Invoice</v>
      </c>
      <c r="L322" s="83" t="str">
        <f>"SI_111904"</f>
        <v>SI_111904</v>
      </c>
      <c r="M322" s="84">
        <v>42133</v>
      </c>
      <c r="N322" s="85">
        <f t="shared" si="86"/>
        <v>1679</v>
      </c>
      <c r="O322" s="86">
        <f t="shared" si="87"/>
        <v>14216.849999999999</v>
      </c>
      <c r="P322" s="86">
        <f t="shared" si="88"/>
        <v>0</v>
      </c>
      <c r="Q322" s="86">
        <f t="shared" si="89"/>
        <v>0</v>
      </c>
      <c r="R322" s="86">
        <f t="shared" si="90"/>
        <v>0</v>
      </c>
      <c r="S322" s="86">
        <f t="shared" si="91"/>
        <v>0</v>
      </c>
      <c r="T322" s="86">
        <f t="shared" si="92"/>
        <v>14216.849999999999</v>
      </c>
      <c r="U322" s="87">
        <v>14216.849999999999</v>
      </c>
    </row>
    <row r="323" spans="1:22" s="30" customFormat="1" ht="24.6" hidden="1" outlineLevel="1" x14ac:dyDescent="0.55000000000000004">
      <c r="A323" s="27" t="s">
        <v>327</v>
      </c>
      <c r="B323" s="28"/>
      <c r="C323" s="27"/>
      <c r="D323" s="27" t="str">
        <f>"""NAV Direct"",""CRONUS JetCorp USA"",""21"",""1"",""438317"""</f>
        <v>"NAV Direct","CRONUS JetCorp USA","21","1","438317"</v>
      </c>
      <c r="E323" s="31">
        <f t="shared" si="84"/>
        <v>0</v>
      </c>
      <c r="F323" s="31"/>
      <c r="G323" s="31"/>
      <c r="H323" s="31"/>
      <c r="I323" s="56"/>
      <c r="J323" s="56"/>
      <c r="K323" s="82" t="str">
        <f>"Credit Memo"</f>
        <v>Credit Memo</v>
      </c>
      <c r="L323" s="83" t="str">
        <f>"SC_100807"</f>
        <v>SC_100807</v>
      </c>
      <c r="M323" s="84">
        <v>42733</v>
      </c>
      <c r="N323" s="85">
        <f t="shared" si="86"/>
        <v>1079</v>
      </c>
      <c r="O323" s="86">
        <f t="shared" si="87"/>
        <v>-105.63</v>
      </c>
      <c r="P323" s="86">
        <f t="shared" si="88"/>
        <v>0</v>
      </c>
      <c r="Q323" s="86">
        <f t="shared" si="89"/>
        <v>0</v>
      </c>
      <c r="R323" s="86">
        <f t="shared" si="90"/>
        <v>0</v>
      </c>
      <c r="S323" s="86">
        <f t="shared" si="91"/>
        <v>0</v>
      </c>
      <c r="T323" s="86">
        <f t="shared" si="92"/>
        <v>-105.63</v>
      </c>
      <c r="U323" s="87">
        <v>-105.63</v>
      </c>
    </row>
    <row r="324" spans="1:22" s="22" customFormat="1" ht="20.399999999999999" collapsed="1" x14ac:dyDescent="0.45">
      <c r="A324" s="12" t="s">
        <v>327</v>
      </c>
      <c r="B324" s="19"/>
      <c r="C324" s="12"/>
      <c r="D324" s="12"/>
      <c r="E324" s="23"/>
      <c r="F324" s="23"/>
      <c r="G324" s="23"/>
      <c r="H324" s="23"/>
      <c r="I324" s="49"/>
      <c r="J324" s="88"/>
      <c r="K324" s="88"/>
      <c r="L324" s="89"/>
      <c r="M324" s="89"/>
      <c r="N324" s="89"/>
      <c r="O324" s="89"/>
      <c r="P324" s="89"/>
      <c r="Q324" s="90"/>
      <c r="R324" s="90"/>
      <c r="S324" s="91"/>
      <c r="T324" s="92"/>
      <c r="U324" s="92"/>
    </row>
    <row r="325" spans="1:22" s="22" customFormat="1" ht="20.399999999999999" x14ac:dyDescent="0.45">
      <c r="A325" s="12" t="s">
        <v>327</v>
      </c>
      <c r="B325" s="19"/>
      <c r="C325" s="12"/>
      <c r="D325" s="12"/>
      <c r="E325" s="23"/>
      <c r="F325" s="23"/>
      <c r="G325" s="23"/>
      <c r="H325" s="23"/>
      <c r="I325" s="49"/>
      <c r="J325" s="88"/>
      <c r="K325" s="88"/>
      <c r="L325" s="89"/>
      <c r="M325" s="89"/>
      <c r="N325" s="89"/>
      <c r="O325" s="89"/>
      <c r="P325" s="89"/>
      <c r="Q325" s="90"/>
      <c r="R325" s="90"/>
      <c r="S325" s="91"/>
      <c r="T325" s="92"/>
      <c r="U325" s="92"/>
    </row>
    <row r="326" spans="1:22" s="26" customFormat="1" ht="24.6" x14ac:dyDescent="0.55000000000000004">
      <c r="A326" s="27" t="s">
        <v>327</v>
      </c>
      <c r="B326" s="28"/>
      <c r="C326" s="27" t="str">
        <f>"""NAV Direct"",""CRONUS JetCorp USA"",""18"",""1"",""C100020"""</f>
        <v>"NAV Direct","CRONUS JetCorp USA","18","1","C100020"</v>
      </c>
      <c r="D326" s="27"/>
      <c r="E326" s="28" t="str">
        <f>H326</f>
        <v>C100020</v>
      </c>
      <c r="F326" s="28"/>
      <c r="G326" s="28"/>
      <c r="H326" s="28" t="str">
        <f>"C100020"</f>
        <v>C100020</v>
      </c>
      <c r="I326" s="116" t="str">
        <f>"C100020  -  Cronus Cardoxy Procurement"</f>
        <v>C100020  -  Cronus Cardoxy Procurement</v>
      </c>
      <c r="J326" s="117" t="str">
        <f>""</f>
        <v/>
      </c>
      <c r="K326" s="118"/>
      <c r="L326" s="119">
        <f>SUBTOTAL(3,L327:L357)</f>
        <v>27</v>
      </c>
      <c r="M326" s="118"/>
      <c r="N326" s="118"/>
      <c r="O326" s="120">
        <f t="shared" ref="O326:T326" si="93">SUBTOTAL(9,O327:O357)</f>
        <v>166653.41999999998</v>
      </c>
      <c r="P326" s="120">
        <f t="shared" si="93"/>
        <v>6728.15</v>
      </c>
      <c r="Q326" s="120">
        <f t="shared" si="93"/>
        <v>0</v>
      </c>
      <c r="R326" s="120">
        <f t="shared" si="93"/>
        <v>0</v>
      </c>
      <c r="S326" s="120">
        <f t="shared" si="93"/>
        <v>0</v>
      </c>
      <c r="T326" s="120">
        <f t="shared" si="93"/>
        <v>159925.27000000002</v>
      </c>
      <c r="U326" s="81"/>
    </row>
    <row r="327" spans="1:22" s="26" customFormat="1" ht="24.6" x14ac:dyDescent="0.55000000000000004">
      <c r="A327" s="27" t="s">
        <v>327</v>
      </c>
      <c r="B327" s="28"/>
      <c r="C327" s="27" t="str">
        <f>C326</f>
        <v>"NAV Direct","CRONUS JetCorp USA","18","1","C100020"</v>
      </c>
      <c r="D327" s="27"/>
      <c r="E327" s="28" t="str">
        <f>E326</f>
        <v>C100020</v>
      </c>
      <c r="F327" s="28"/>
      <c r="G327" s="28"/>
      <c r="H327" s="28"/>
      <c r="I327" s="121" t="str">
        <f>"Contact: Hansgeorg Janke"</f>
        <v>Contact: Hansgeorg Janke</v>
      </c>
      <c r="J327" s="121"/>
      <c r="K327" s="122"/>
      <c r="L327" s="123"/>
      <c r="M327" s="123"/>
      <c r="N327" s="124"/>
      <c r="O327" s="124"/>
      <c r="P327" s="123"/>
      <c r="Q327" s="125"/>
      <c r="R327" s="126"/>
      <c r="S327" s="126"/>
      <c r="T327" s="125"/>
      <c r="U327" s="81"/>
    </row>
    <row r="328" spans="1:22" s="26" customFormat="1" ht="24.6" x14ac:dyDescent="0.55000000000000004">
      <c r="A328" s="27" t="s">
        <v>327</v>
      </c>
      <c r="B328" s="28"/>
      <c r="C328" s="27" t="str">
        <f>C327</f>
        <v>"NAV Direct","CRONUS JetCorp USA","18","1","C100020"</v>
      </c>
      <c r="D328" s="27"/>
      <c r="E328" s="28" t="str">
        <f>E327</f>
        <v>C100020</v>
      </c>
      <c r="F328" s="28"/>
      <c r="G328" s="28"/>
      <c r="H328" s="28"/>
      <c r="I328" s="121" t="str">
        <f>"cronus.cardoxy.procurement@cronuscorp.net"</f>
        <v>cronus.cardoxy.procurement@cronuscorp.net</v>
      </c>
      <c r="J328" s="121"/>
      <c r="K328" s="122"/>
      <c r="L328" s="124"/>
      <c r="M328" s="124"/>
      <c r="N328" s="124"/>
      <c r="O328" s="124"/>
      <c r="P328" s="123"/>
      <c r="Q328" s="125"/>
      <c r="R328" s="126"/>
      <c r="S328" s="126"/>
      <c r="T328" s="125"/>
      <c r="U328" s="81"/>
    </row>
    <row r="329" spans="1:22" ht="12.75" hidden="1" customHeight="1" outlineLevel="1" x14ac:dyDescent="0.45">
      <c r="A329" s="12" t="s">
        <v>328</v>
      </c>
      <c r="B329" s="19"/>
      <c r="E329" s="19"/>
      <c r="F329" s="19"/>
      <c r="G329" s="19"/>
      <c r="H329" s="19"/>
      <c r="I329" s="61"/>
      <c r="J329" s="61"/>
      <c r="K329" s="61"/>
      <c r="L329" s="61"/>
      <c r="M329" s="61"/>
      <c r="N329" s="61"/>
      <c r="O329" s="61"/>
      <c r="P329" s="61"/>
      <c r="Q329" s="61"/>
      <c r="R329" s="61"/>
      <c r="S329" s="61"/>
      <c r="T329" s="61"/>
      <c r="U329" s="61"/>
      <c r="V329" s="21"/>
    </row>
    <row r="330" spans="1:22" s="30" customFormat="1" ht="24.6" hidden="1" outlineLevel="1" x14ac:dyDescent="0.55000000000000004">
      <c r="A330" s="27" t="s">
        <v>327</v>
      </c>
      <c r="B330" s="28"/>
      <c r="C330" s="27"/>
      <c r="D330" s="27" t="str">
        <f>"""NAV Direct"",""CRONUS JetCorp USA"",""21"",""1"",""41472"""</f>
        <v>"NAV Direct","CRONUS JetCorp USA","21","1","41472"</v>
      </c>
      <c r="E330" s="31" t="str">
        <f t="shared" ref="E330:E356" si="94">E328</f>
        <v>C100020</v>
      </c>
      <c r="F330" s="31"/>
      <c r="G330" s="31"/>
      <c r="H330" s="31"/>
      <c r="I330" s="56"/>
      <c r="J330" s="56"/>
      <c r="K330" s="82" t="str">
        <f t="shared" ref="K330:K354" si="95">"Invoice"</f>
        <v>Invoice</v>
      </c>
      <c r="L330" s="83" t="str">
        <f>"SI_104926"</f>
        <v>SI_104926</v>
      </c>
      <c r="M330" s="84">
        <v>42134</v>
      </c>
      <c r="N330" s="85">
        <f t="shared" ref="N330:N356" si="96">StartDate-$M330+1</f>
        <v>1678</v>
      </c>
      <c r="O330" s="86">
        <f t="shared" ref="O330:O356" si="97">SUM(P330:T330)</f>
        <v>6982.76</v>
      </c>
      <c r="P330" s="86">
        <f t="shared" ref="P330:P356" si="98">IF($M330&gt;=$P$18,U330,0)</f>
        <v>0</v>
      </c>
      <c r="Q330" s="86">
        <f t="shared" ref="Q330:Q356" si="99">IF(AND($M330&gt;=$Q$16,$M330&lt;=$Q$18),U330,0)</f>
        <v>0</v>
      </c>
      <c r="R330" s="86">
        <f t="shared" ref="R330:R356" si="100">IF(AND($M330&gt;=$R$16,$M330&lt;=$R$18),U330,0)</f>
        <v>0</v>
      </c>
      <c r="S330" s="86">
        <f t="shared" ref="S330:S356" si="101">IF(AND($M330&gt;=$S$16,$M330&lt;=$S$18),U330,0)</f>
        <v>0</v>
      </c>
      <c r="T330" s="86">
        <f t="shared" ref="T330:T356" si="102">IF($M330&lt;=$T$18,U330,0)</f>
        <v>6982.76</v>
      </c>
      <c r="U330" s="87">
        <v>6982.76</v>
      </c>
    </row>
    <row r="331" spans="1:22" s="30" customFormat="1" ht="24.6" hidden="1" outlineLevel="1" x14ac:dyDescent="0.55000000000000004">
      <c r="A331" s="27" t="s">
        <v>327</v>
      </c>
      <c r="B331" s="28"/>
      <c r="C331" s="27"/>
      <c r="D331" s="27" t="str">
        <f>"""NAV Direct"",""CRONUS JetCorp USA"",""21"",""1"",""41633"""</f>
        <v>"NAV Direct","CRONUS JetCorp USA","21","1","41633"</v>
      </c>
      <c r="E331" s="31">
        <f t="shared" si="94"/>
        <v>0</v>
      </c>
      <c r="F331" s="31"/>
      <c r="G331" s="31"/>
      <c r="H331" s="31"/>
      <c r="I331" s="56"/>
      <c r="J331" s="56"/>
      <c r="K331" s="82" t="str">
        <f t="shared" si="95"/>
        <v>Invoice</v>
      </c>
      <c r="L331" s="83" t="str">
        <f>"SI_104933"</f>
        <v>SI_104933</v>
      </c>
      <c r="M331" s="84">
        <v>42208</v>
      </c>
      <c r="N331" s="85">
        <f t="shared" si="96"/>
        <v>1604</v>
      </c>
      <c r="O331" s="86">
        <f t="shared" si="97"/>
        <v>7502.1600000000008</v>
      </c>
      <c r="P331" s="86">
        <f t="shared" si="98"/>
        <v>0</v>
      </c>
      <c r="Q331" s="86">
        <f t="shared" si="99"/>
        <v>0</v>
      </c>
      <c r="R331" s="86">
        <f t="shared" si="100"/>
        <v>0</v>
      </c>
      <c r="S331" s="86">
        <f t="shared" si="101"/>
        <v>0</v>
      </c>
      <c r="T331" s="86">
        <f t="shared" si="102"/>
        <v>7502.1600000000008</v>
      </c>
      <c r="U331" s="87">
        <v>7502.1600000000008</v>
      </c>
    </row>
    <row r="332" spans="1:22" s="30" customFormat="1" ht="24.6" hidden="1" outlineLevel="1" x14ac:dyDescent="0.55000000000000004">
      <c r="A332" s="27" t="s">
        <v>327</v>
      </c>
      <c r="B332" s="28"/>
      <c r="C332" s="27"/>
      <c r="D332" s="27" t="str">
        <f>"""NAV Direct"",""CRONUS JetCorp USA"",""21"",""1"",""41824"""</f>
        <v>"NAV Direct","CRONUS JetCorp USA","21","1","41824"</v>
      </c>
      <c r="E332" s="31" t="str">
        <f t="shared" si="94"/>
        <v>C100020</v>
      </c>
      <c r="F332" s="31"/>
      <c r="G332" s="31"/>
      <c r="H332" s="31"/>
      <c r="I332" s="56"/>
      <c r="J332" s="56"/>
      <c r="K332" s="82" t="str">
        <f t="shared" si="95"/>
        <v>Invoice</v>
      </c>
      <c r="L332" s="83" t="str">
        <f>"SI_104942"</f>
        <v>SI_104942</v>
      </c>
      <c r="M332" s="84">
        <v>42289</v>
      </c>
      <c r="N332" s="85">
        <f t="shared" si="96"/>
        <v>1523</v>
      </c>
      <c r="O332" s="86">
        <f t="shared" si="97"/>
        <v>8255.65</v>
      </c>
      <c r="P332" s="86">
        <f t="shared" si="98"/>
        <v>0</v>
      </c>
      <c r="Q332" s="86">
        <f t="shared" si="99"/>
        <v>0</v>
      </c>
      <c r="R332" s="86">
        <f t="shared" si="100"/>
        <v>0</v>
      </c>
      <c r="S332" s="86">
        <f t="shared" si="101"/>
        <v>0</v>
      </c>
      <c r="T332" s="86">
        <f t="shared" si="102"/>
        <v>8255.65</v>
      </c>
      <c r="U332" s="87">
        <v>8255.65</v>
      </c>
    </row>
    <row r="333" spans="1:22" s="30" customFormat="1" ht="24.6" hidden="1" outlineLevel="1" x14ac:dyDescent="0.55000000000000004">
      <c r="A333" s="27" t="s">
        <v>327</v>
      </c>
      <c r="B333" s="28"/>
      <c r="C333" s="27"/>
      <c r="D333" s="27" t="str">
        <f>"""NAV Direct"",""CRONUS JetCorp USA"",""21"",""1"",""41847"""</f>
        <v>"NAV Direct","CRONUS JetCorp USA","21","1","41847"</v>
      </c>
      <c r="E333" s="31">
        <f t="shared" si="94"/>
        <v>0</v>
      </c>
      <c r="F333" s="31"/>
      <c r="G333" s="31"/>
      <c r="H333" s="31"/>
      <c r="I333" s="56"/>
      <c r="J333" s="56"/>
      <c r="K333" s="82" t="str">
        <f t="shared" si="95"/>
        <v>Invoice</v>
      </c>
      <c r="L333" s="83" t="str">
        <f>"SI_104943"</f>
        <v>SI_104943</v>
      </c>
      <c r="M333" s="84">
        <v>42317</v>
      </c>
      <c r="N333" s="85">
        <f t="shared" si="96"/>
        <v>1495</v>
      </c>
      <c r="O333" s="86">
        <f t="shared" si="97"/>
        <v>8450.7099999999991</v>
      </c>
      <c r="P333" s="86">
        <f t="shared" si="98"/>
        <v>0</v>
      </c>
      <c r="Q333" s="86">
        <f t="shared" si="99"/>
        <v>0</v>
      </c>
      <c r="R333" s="86">
        <f t="shared" si="100"/>
        <v>0</v>
      </c>
      <c r="S333" s="86">
        <f t="shared" si="101"/>
        <v>0</v>
      </c>
      <c r="T333" s="86">
        <f t="shared" si="102"/>
        <v>8450.7099999999991</v>
      </c>
      <c r="U333" s="87">
        <v>8450.7099999999991</v>
      </c>
    </row>
    <row r="334" spans="1:22" s="30" customFormat="1" ht="24.6" hidden="1" outlineLevel="1" x14ac:dyDescent="0.55000000000000004">
      <c r="A334" s="27" t="s">
        <v>327</v>
      </c>
      <c r="B334" s="28"/>
      <c r="C334" s="27"/>
      <c r="D334" s="27" t="str">
        <f>"""NAV Direct"",""CRONUS JetCorp USA"",""21"",""1"",""332412"""</f>
        <v>"NAV Direct","CRONUS JetCorp USA","21","1","332412"</v>
      </c>
      <c r="E334" s="31" t="str">
        <f t="shared" si="94"/>
        <v>C100020</v>
      </c>
      <c r="F334" s="31"/>
      <c r="G334" s="31"/>
      <c r="H334" s="31"/>
      <c r="I334" s="56"/>
      <c r="J334" s="56"/>
      <c r="K334" s="82" t="str">
        <f t="shared" si="95"/>
        <v>Invoice</v>
      </c>
      <c r="L334" s="83" t="str">
        <f>"SI_110476"</f>
        <v>SI_110476</v>
      </c>
      <c r="M334" s="84">
        <v>42419</v>
      </c>
      <c r="N334" s="85">
        <f t="shared" si="96"/>
        <v>1393</v>
      </c>
      <c r="O334" s="86">
        <f t="shared" si="97"/>
        <v>5519.8099999999995</v>
      </c>
      <c r="P334" s="86">
        <f t="shared" si="98"/>
        <v>0</v>
      </c>
      <c r="Q334" s="86">
        <f t="shared" si="99"/>
        <v>0</v>
      </c>
      <c r="R334" s="86">
        <f t="shared" si="100"/>
        <v>0</v>
      </c>
      <c r="S334" s="86">
        <f t="shared" si="101"/>
        <v>0</v>
      </c>
      <c r="T334" s="86">
        <f t="shared" si="102"/>
        <v>5519.8099999999995</v>
      </c>
      <c r="U334" s="87">
        <v>5519.8099999999995</v>
      </c>
    </row>
    <row r="335" spans="1:22" s="30" customFormat="1" ht="24.6" hidden="1" outlineLevel="1" x14ac:dyDescent="0.55000000000000004">
      <c r="A335" s="27" t="s">
        <v>327</v>
      </c>
      <c r="B335" s="28"/>
      <c r="C335" s="27"/>
      <c r="D335" s="27" t="str">
        <f>"""NAV Direct"",""CRONUS JetCorp USA"",""21"",""1"",""332563"""</f>
        <v>"NAV Direct","CRONUS JetCorp USA","21","1","332563"</v>
      </c>
      <c r="E335" s="31">
        <f t="shared" si="94"/>
        <v>0</v>
      </c>
      <c r="F335" s="31"/>
      <c r="G335" s="31"/>
      <c r="H335" s="31"/>
      <c r="I335" s="56"/>
      <c r="J335" s="56"/>
      <c r="K335" s="82" t="str">
        <f t="shared" si="95"/>
        <v>Invoice</v>
      </c>
      <c r="L335" s="83" t="str">
        <f>"SI_110483"</f>
        <v>SI_110483</v>
      </c>
      <c r="M335" s="84">
        <v>42533</v>
      </c>
      <c r="N335" s="85">
        <f t="shared" si="96"/>
        <v>1279</v>
      </c>
      <c r="O335" s="86">
        <f t="shared" si="97"/>
        <v>6117.5300000000007</v>
      </c>
      <c r="P335" s="86">
        <f t="shared" si="98"/>
        <v>0</v>
      </c>
      <c r="Q335" s="86">
        <f t="shared" si="99"/>
        <v>0</v>
      </c>
      <c r="R335" s="86">
        <f t="shared" si="100"/>
        <v>0</v>
      </c>
      <c r="S335" s="86">
        <f t="shared" si="101"/>
        <v>0</v>
      </c>
      <c r="T335" s="86">
        <f t="shared" si="102"/>
        <v>6117.5300000000007</v>
      </c>
      <c r="U335" s="87">
        <v>6117.5300000000007</v>
      </c>
    </row>
    <row r="336" spans="1:22" s="30" customFormat="1" ht="24.6" hidden="1" outlineLevel="1" x14ac:dyDescent="0.55000000000000004">
      <c r="A336" s="27" t="s">
        <v>327</v>
      </c>
      <c r="B336" s="28"/>
      <c r="C336" s="27"/>
      <c r="D336" s="27" t="str">
        <f>"""NAV Direct"",""CRONUS JetCorp USA"",""21"",""1"",""332699"""</f>
        <v>"NAV Direct","CRONUS JetCorp USA","21","1","332699"</v>
      </c>
      <c r="E336" s="31" t="str">
        <f t="shared" si="94"/>
        <v>C100020</v>
      </c>
      <c r="F336" s="31"/>
      <c r="G336" s="31"/>
      <c r="H336" s="31"/>
      <c r="I336" s="56"/>
      <c r="J336" s="56"/>
      <c r="K336" s="82" t="str">
        <f t="shared" si="95"/>
        <v>Invoice</v>
      </c>
      <c r="L336" s="83" t="str">
        <f>"SI_110489"</f>
        <v>SI_110489</v>
      </c>
      <c r="M336" s="84">
        <v>42662</v>
      </c>
      <c r="N336" s="85">
        <f t="shared" si="96"/>
        <v>1150</v>
      </c>
      <c r="O336" s="86">
        <f t="shared" si="97"/>
        <v>6090.9800000000005</v>
      </c>
      <c r="P336" s="86">
        <f t="shared" si="98"/>
        <v>0</v>
      </c>
      <c r="Q336" s="86">
        <f t="shared" si="99"/>
        <v>0</v>
      </c>
      <c r="R336" s="86">
        <f t="shared" si="100"/>
        <v>0</v>
      </c>
      <c r="S336" s="86">
        <f t="shared" si="101"/>
        <v>0</v>
      </c>
      <c r="T336" s="86">
        <f t="shared" si="102"/>
        <v>6090.9800000000005</v>
      </c>
      <c r="U336" s="87">
        <v>6090.9800000000005</v>
      </c>
    </row>
    <row r="337" spans="1:21" s="30" customFormat="1" ht="24.6" hidden="1" outlineLevel="1" x14ac:dyDescent="0.55000000000000004">
      <c r="A337" s="27" t="s">
        <v>327</v>
      </c>
      <c r="B337" s="28"/>
      <c r="C337" s="27"/>
      <c r="D337" s="27" t="str">
        <f>"""NAV Direct"",""CRONUS JetCorp USA"",""21"",""1"",""332810"""</f>
        <v>"NAV Direct","CRONUS JetCorp USA","21","1","332810"</v>
      </c>
      <c r="E337" s="31">
        <f t="shared" si="94"/>
        <v>0</v>
      </c>
      <c r="F337" s="31"/>
      <c r="G337" s="31"/>
      <c r="H337" s="31"/>
      <c r="I337" s="56"/>
      <c r="J337" s="56"/>
      <c r="K337" s="82" t="str">
        <f t="shared" si="95"/>
        <v>Invoice</v>
      </c>
      <c r="L337" s="83" t="str">
        <f>"SI_110494"</f>
        <v>SI_110494</v>
      </c>
      <c r="M337" s="84">
        <v>42738</v>
      </c>
      <c r="N337" s="85">
        <f t="shared" si="96"/>
        <v>1074</v>
      </c>
      <c r="O337" s="86">
        <f t="shared" si="97"/>
        <v>6292.07</v>
      </c>
      <c r="P337" s="86">
        <f t="shared" si="98"/>
        <v>0</v>
      </c>
      <c r="Q337" s="86">
        <f t="shared" si="99"/>
        <v>0</v>
      </c>
      <c r="R337" s="86">
        <f t="shared" si="100"/>
        <v>0</v>
      </c>
      <c r="S337" s="86">
        <f t="shared" si="101"/>
        <v>0</v>
      </c>
      <c r="T337" s="86">
        <f t="shared" si="102"/>
        <v>6292.07</v>
      </c>
      <c r="U337" s="87">
        <v>6292.07</v>
      </c>
    </row>
    <row r="338" spans="1:21" s="30" customFormat="1" ht="24.6" hidden="1" outlineLevel="1" x14ac:dyDescent="0.55000000000000004">
      <c r="A338" s="27" t="s">
        <v>327</v>
      </c>
      <c r="B338" s="28"/>
      <c r="C338" s="27"/>
      <c r="D338" s="27" t="str">
        <f>"""NAV Direct"",""CRONUS JetCorp USA"",""21"",""1"",""333002"""</f>
        <v>"NAV Direct","CRONUS JetCorp USA","21","1","333002"</v>
      </c>
      <c r="E338" s="31" t="str">
        <f t="shared" si="94"/>
        <v>C100020</v>
      </c>
      <c r="F338" s="31"/>
      <c r="G338" s="31"/>
      <c r="H338" s="31"/>
      <c r="I338" s="56"/>
      <c r="J338" s="56"/>
      <c r="K338" s="82" t="str">
        <f t="shared" si="95"/>
        <v>Invoice</v>
      </c>
      <c r="L338" s="83" t="str">
        <f>"SI_110502"</f>
        <v>SI_110502</v>
      </c>
      <c r="M338" s="84">
        <v>42872</v>
      </c>
      <c r="N338" s="85">
        <f t="shared" si="96"/>
        <v>940</v>
      </c>
      <c r="O338" s="86">
        <f t="shared" si="97"/>
        <v>6412.51</v>
      </c>
      <c r="P338" s="86">
        <f t="shared" si="98"/>
        <v>0</v>
      </c>
      <c r="Q338" s="86">
        <f t="shared" si="99"/>
        <v>0</v>
      </c>
      <c r="R338" s="86">
        <f t="shared" si="100"/>
        <v>0</v>
      </c>
      <c r="S338" s="86">
        <f t="shared" si="101"/>
        <v>0</v>
      </c>
      <c r="T338" s="86">
        <f t="shared" si="102"/>
        <v>6412.51</v>
      </c>
      <c r="U338" s="87">
        <v>6412.51</v>
      </c>
    </row>
    <row r="339" spans="1:21" s="30" customFormat="1" ht="24.6" hidden="1" outlineLevel="1" x14ac:dyDescent="0.55000000000000004">
      <c r="A339" s="27" t="s">
        <v>327</v>
      </c>
      <c r="B339" s="28"/>
      <c r="C339" s="27"/>
      <c r="D339" s="27" t="str">
        <f>"""NAV Direct"",""CRONUS JetCorp USA"",""21"",""1"",""333054"""</f>
        <v>"NAV Direct","CRONUS JetCorp USA","21","1","333054"</v>
      </c>
      <c r="E339" s="31">
        <f t="shared" si="94"/>
        <v>0</v>
      </c>
      <c r="F339" s="31"/>
      <c r="G339" s="31"/>
      <c r="H339" s="31"/>
      <c r="I339" s="56"/>
      <c r="J339" s="56"/>
      <c r="K339" s="82" t="str">
        <f t="shared" si="95"/>
        <v>Invoice</v>
      </c>
      <c r="L339" s="83" t="str">
        <f>"SI_110504"</f>
        <v>SI_110504</v>
      </c>
      <c r="M339" s="84">
        <v>42915</v>
      </c>
      <c r="N339" s="85">
        <f t="shared" si="96"/>
        <v>897</v>
      </c>
      <c r="O339" s="86">
        <f t="shared" si="97"/>
        <v>6313.98</v>
      </c>
      <c r="P339" s="86">
        <f t="shared" si="98"/>
        <v>0</v>
      </c>
      <c r="Q339" s="86">
        <f t="shared" si="99"/>
        <v>0</v>
      </c>
      <c r="R339" s="86">
        <f t="shared" si="100"/>
        <v>0</v>
      </c>
      <c r="S339" s="86">
        <f t="shared" si="101"/>
        <v>0</v>
      </c>
      <c r="T339" s="86">
        <f t="shared" si="102"/>
        <v>6313.98</v>
      </c>
      <c r="U339" s="87">
        <v>6313.98</v>
      </c>
    </row>
    <row r="340" spans="1:21" s="30" customFormat="1" ht="24.6" hidden="1" outlineLevel="1" x14ac:dyDescent="0.55000000000000004">
      <c r="A340" s="27" t="s">
        <v>327</v>
      </c>
      <c r="B340" s="28"/>
      <c r="C340" s="27"/>
      <c r="D340" s="27" t="str">
        <f>"""NAV Direct"",""CRONUS JetCorp USA"",""21"",""1"",""333125"""</f>
        <v>"NAV Direct","CRONUS JetCorp USA","21","1","333125"</v>
      </c>
      <c r="E340" s="31" t="str">
        <f t="shared" si="94"/>
        <v>C100020</v>
      </c>
      <c r="F340" s="31"/>
      <c r="G340" s="31"/>
      <c r="H340" s="31"/>
      <c r="I340" s="56"/>
      <c r="J340" s="56"/>
      <c r="K340" s="82" t="str">
        <f t="shared" si="95"/>
        <v>Invoice</v>
      </c>
      <c r="L340" s="83" t="str">
        <f>"SI_110507"</f>
        <v>SI_110507</v>
      </c>
      <c r="M340" s="84">
        <v>42948</v>
      </c>
      <c r="N340" s="85">
        <f t="shared" si="96"/>
        <v>864</v>
      </c>
      <c r="O340" s="86">
        <f t="shared" si="97"/>
        <v>6229.51</v>
      </c>
      <c r="P340" s="86">
        <f t="shared" si="98"/>
        <v>0</v>
      </c>
      <c r="Q340" s="86">
        <f t="shared" si="99"/>
        <v>0</v>
      </c>
      <c r="R340" s="86">
        <f t="shared" si="100"/>
        <v>0</v>
      </c>
      <c r="S340" s="86">
        <f t="shared" si="101"/>
        <v>0</v>
      </c>
      <c r="T340" s="86">
        <f t="shared" si="102"/>
        <v>6229.51</v>
      </c>
      <c r="U340" s="87">
        <v>6229.51</v>
      </c>
    </row>
    <row r="341" spans="1:21" s="30" customFormat="1" ht="24.6" hidden="1" outlineLevel="1" x14ac:dyDescent="0.55000000000000004">
      <c r="A341" s="27" t="s">
        <v>327</v>
      </c>
      <c r="B341" s="28"/>
      <c r="C341" s="27"/>
      <c r="D341" s="27" t="str">
        <f>"""NAV Direct"",""CRONUS JetCorp USA"",""21"",""1"",""333545"""</f>
        <v>"NAV Direct","CRONUS JetCorp USA","21","1","333545"</v>
      </c>
      <c r="E341" s="31">
        <f t="shared" si="94"/>
        <v>0</v>
      </c>
      <c r="F341" s="31"/>
      <c r="G341" s="31"/>
      <c r="H341" s="31"/>
      <c r="I341" s="56"/>
      <c r="J341" s="56"/>
      <c r="K341" s="82" t="str">
        <f t="shared" si="95"/>
        <v>Invoice</v>
      </c>
      <c r="L341" s="83" t="str">
        <f>"SI_110527"</f>
        <v>SI_110527</v>
      </c>
      <c r="M341" s="84">
        <v>43418</v>
      </c>
      <c r="N341" s="85">
        <f t="shared" si="96"/>
        <v>394</v>
      </c>
      <c r="O341" s="86">
        <f t="shared" si="97"/>
        <v>4969.82</v>
      </c>
      <c r="P341" s="86">
        <f t="shared" si="98"/>
        <v>0</v>
      </c>
      <c r="Q341" s="86">
        <f t="shared" si="99"/>
        <v>0</v>
      </c>
      <c r="R341" s="86">
        <f t="shared" si="100"/>
        <v>0</v>
      </c>
      <c r="S341" s="86">
        <f t="shared" si="101"/>
        <v>0</v>
      </c>
      <c r="T341" s="86">
        <f t="shared" si="102"/>
        <v>4969.82</v>
      </c>
      <c r="U341" s="87">
        <v>4969.82</v>
      </c>
    </row>
    <row r="342" spans="1:21" s="30" customFormat="1" ht="24.6" hidden="1" outlineLevel="1" x14ac:dyDescent="0.55000000000000004">
      <c r="A342" s="27" t="s">
        <v>327</v>
      </c>
      <c r="B342" s="28"/>
      <c r="C342" s="27"/>
      <c r="D342" s="27" t="str">
        <f>"""NAV Direct"",""CRONUS JetCorp USA"",""21"",""1"",""333610"""</f>
        <v>"NAV Direct","CRONUS JetCorp USA","21","1","333610"</v>
      </c>
      <c r="E342" s="31" t="str">
        <f t="shared" si="94"/>
        <v>C100020</v>
      </c>
      <c r="F342" s="31"/>
      <c r="G342" s="31"/>
      <c r="H342" s="31"/>
      <c r="I342" s="56"/>
      <c r="J342" s="56"/>
      <c r="K342" s="82" t="str">
        <f t="shared" si="95"/>
        <v>Invoice</v>
      </c>
      <c r="L342" s="83" t="str">
        <f>"SI_110530"</f>
        <v>SI_110530</v>
      </c>
      <c r="M342" s="84">
        <v>43475</v>
      </c>
      <c r="N342" s="85">
        <f t="shared" si="96"/>
        <v>337</v>
      </c>
      <c r="O342" s="86">
        <f t="shared" si="97"/>
        <v>5248.65</v>
      </c>
      <c r="P342" s="86">
        <f t="shared" si="98"/>
        <v>0</v>
      </c>
      <c r="Q342" s="86">
        <f t="shared" si="99"/>
        <v>0</v>
      </c>
      <c r="R342" s="86">
        <f t="shared" si="100"/>
        <v>0</v>
      </c>
      <c r="S342" s="86">
        <f t="shared" si="101"/>
        <v>0</v>
      </c>
      <c r="T342" s="86">
        <f t="shared" si="102"/>
        <v>5248.65</v>
      </c>
      <c r="U342" s="87">
        <v>5248.65</v>
      </c>
    </row>
    <row r="343" spans="1:21" s="30" customFormat="1" ht="24.6" hidden="1" outlineLevel="1" x14ac:dyDescent="0.55000000000000004">
      <c r="A343" s="27" t="s">
        <v>327</v>
      </c>
      <c r="B343" s="28"/>
      <c r="C343" s="27"/>
      <c r="D343" s="27" t="str">
        <f>"""NAV Direct"",""CRONUS JetCorp USA"",""21"",""1"",""333719"""</f>
        <v>"NAV Direct","CRONUS JetCorp USA","21","1","333719"</v>
      </c>
      <c r="E343" s="31">
        <f t="shared" si="94"/>
        <v>0</v>
      </c>
      <c r="F343" s="31"/>
      <c r="G343" s="31"/>
      <c r="H343" s="31"/>
      <c r="I343" s="56"/>
      <c r="J343" s="56"/>
      <c r="K343" s="82" t="str">
        <f t="shared" si="95"/>
        <v>Invoice</v>
      </c>
      <c r="L343" s="83" t="str">
        <f>"SI_110535"</f>
        <v>SI_110535</v>
      </c>
      <c r="M343" s="84">
        <v>43533</v>
      </c>
      <c r="N343" s="85">
        <f t="shared" si="96"/>
        <v>279</v>
      </c>
      <c r="O343" s="86">
        <f t="shared" si="97"/>
        <v>5592.5700000000006</v>
      </c>
      <c r="P343" s="86">
        <f t="shared" si="98"/>
        <v>0</v>
      </c>
      <c r="Q343" s="86">
        <f t="shared" si="99"/>
        <v>0</v>
      </c>
      <c r="R343" s="86">
        <f t="shared" si="100"/>
        <v>0</v>
      </c>
      <c r="S343" s="86">
        <f t="shared" si="101"/>
        <v>0</v>
      </c>
      <c r="T343" s="86">
        <f t="shared" si="102"/>
        <v>5592.5700000000006</v>
      </c>
      <c r="U343" s="87">
        <v>5592.5700000000006</v>
      </c>
    </row>
    <row r="344" spans="1:21" s="30" customFormat="1" ht="24.6" hidden="1" outlineLevel="1" x14ac:dyDescent="0.55000000000000004">
      <c r="A344" s="27" t="s">
        <v>327</v>
      </c>
      <c r="B344" s="28"/>
      <c r="C344" s="27"/>
      <c r="D344" s="27" t="str">
        <f>"""NAV Direct"",""CRONUS JetCorp USA"",""21"",""1"",""333845"""</f>
        <v>"NAV Direct","CRONUS JetCorp USA","21","1","333845"</v>
      </c>
      <c r="E344" s="31" t="str">
        <f t="shared" si="94"/>
        <v>C100020</v>
      </c>
      <c r="F344" s="31"/>
      <c r="G344" s="31"/>
      <c r="H344" s="31"/>
      <c r="I344" s="56"/>
      <c r="J344" s="56"/>
      <c r="K344" s="82" t="str">
        <f t="shared" si="95"/>
        <v>Invoice</v>
      </c>
      <c r="L344" s="83" t="str">
        <f>"SI_110541"</f>
        <v>SI_110541</v>
      </c>
      <c r="M344" s="84">
        <v>43610</v>
      </c>
      <c r="N344" s="85">
        <f t="shared" si="96"/>
        <v>202</v>
      </c>
      <c r="O344" s="86">
        <f t="shared" si="97"/>
        <v>6007.99</v>
      </c>
      <c r="P344" s="86">
        <f t="shared" si="98"/>
        <v>0</v>
      </c>
      <c r="Q344" s="86">
        <f t="shared" si="99"/>
        <v>0</v>
      </c>
      <c r="R344" s="86">
        <f t="shared" si="100"/>
        <v>0</v>
      </c>
      <c r="S344" s="86">
        <f t="shared" si="101"/>
        <v>0</v>
      </c>
      <c r="T344" s="86">
        <f t="shared" si="102"/>
        <v>6007.99</v>
      </c>
      <c r="U344" s="87">
        <v>6007.99</v>
      </c>
    </row>
    <row r="345" spans="1:21" s="30" customFormat="1" ht="24.6" hidden="1" outlineLevel="1" x14ac:dyDescent="0.55000000000000004">
      <c r="A345" s="27" t="s">
        <v>327</v>
      </c>
      <c r="B345" s="28"/>
      <c r="C345" s="27"/>
      <c r="D345" s="27" t="str">
        <f>"""NAV Direct"",""CRONUS JetCorp USA"",""21"",""1"",""333889"""</f>
        <v>"NAV Direct","CRONUS JetCorp USA","21","1","333889"</v>
      </c>
      <c r="E345" s="31">
        <f t="shared" si="94"/>
        <v>0</v>
      </c>
      <c r="F345" s="31"/>
      <c r="G345" s="31"/>
      <c r="H345" s="31"/>
      <c r="I345" s="56"/>
      <c r="J345" s="56"/>
      <c r="K345" s="82" t="str">
        <f t="shared" si="95"/>
        <v>Invoice</v>
      </c>
      <c r="L345" s="83" t="str">
        <f>"SI_110543"</f>
        <v>SI_110543</v>
      </c>
      <c r="M345" s="84">
        <v>43626</v>
      </c>
      <c r="N345" s="85">
        <f t="shared" si="96"/>
        <v>186</v>
      </c>
      <c r="O345" s="86">
        <f t="shared" si="97"/>
        <v>5757.25</v>
      </c>
      <c r="P345" s="86">
        <f t="shared" si="98"/>
        <v>0</v>
      </c>
      <c r="Q345" s="86">
        <f t="shared" si="99"/>
        <v>0</v>
      </c>
      <c r="R345" s="86">
        <f t="shared" si="100"/>
        <v>0</v>
      </c>
      <c r="S345" s="86">
        <f t="shared" si="101"/>
        <v>0</v>
      </c>
      <c r="T345" s="86">
        <f t="shared" si="102"/>
        <v>5757.25</v>
      </c>
      <c r="U345" s="87">
        <v>5757.25</v>
      </c>
    </row>
    <row r="346" spans="1:21" s="30" customFormat="1" ht="24.6" hidden="1" outlineLevel="1" x14ac:dyDescent="0.55000000000000004">
      <c r="A346" s="27" t="s">
        <v>327</v>
      </c>
      <c r="B346" s="28"/>
      <c r="C346" s="27"/>
      <c r="D346" s="27" t="str">
        <f>"""NAV Direct"",""CRONUS JetCorp USA"",""21"",""1"",""333927"""</f>
        <v>"NAV Direct","CRONUS JetCorp USA","21","1","333927"</v>
      </c>
      <c r="E346" s="31" t="str">
        <f t="shared" si="94"/>
        <v>C100020</v>
      </c>
      <c r="F346" s="31"/>
      <c r="G346" s="31"/>
      <c r="H346" s="31"/>
      <c r="I346" s="56"/>
      <c r="J346" s="56"/>
      <c r="K346" s="82" t="str">
        <f t="shared" si="95"/>
        <v>Invoice</v>
      </c>
      <c r="L346" s="83" t="str">
        <f>"SI_110545"</f>
        <v>SI_110545</v>
      </c>
      <c r="M346" s="84">
        <v>43667</v>
      </c>
      <c r="N346" s="85">
        <f t="shared" si="96"/>
        <v>145</v>
      </c>
      <c r="O346" s="86">
        <f t="shared" si="97"/>
        <v>5945.84</v>
      </c>
      <c r="P346" s="86">
        <f t="shared" si="98"/>
        <v>0</v>
      </c>
      <c r="Q346" s="86">
        <f t="shared" si="99"/>
        <v>0</v>
      </c>
      <c r="R346" s="86">
        <f t="shared" si="100"/>
        <v>0</v>
      </c>
      <c r="S346" s="86">
        <f t="shared" si="101"/>
        <v>0</v>
      </c>
      <c r="T346" s="86">
        <f t="shared" si="102"/>
        <v>5945.84</v>
      </c>
      <c r="U346" s="87">
        <v>5945.84</v>
      </c>
    </row>
    <row r="347" spans="1:21" s="30" customFormat="1" ht="24.6" hidden="1" outlineLevel="1" x14ac:dyDescent="0.55000000000000004">
      <c r="A347" s="27" t="s">
        <v>327</v>
      </c>
      <c r="B347" s="28"/>
      <c r="C347" s="27"/>
      <c r="D347" s="27" t="str">
        <f>"""NAV Direct"",""CRONUS JetCorp USA"",""21"",""1"",""333944"""</f>
        <v>"NAV Direct","CRONUS JetCorp USA","21","1","333944"</v>
      </c>
      <c r="E347" s="31">
        <f t="shared" si="94"/>
        <v>0</v>
      </c>
      <c r="F347" s="31"/>
      <c r="G347" s="31"/>
      <c r="H347" s="31"/>
      <c r="I347" s="56"/>
      <c r="J347" s="56"/>
      <c r="K347" s="82" t="str">
        <f t="shared" si="95"/>
        <v>Invoice</v>
      </c>
      <c r="L347" s="83" t="str">
        <f>"SI_110546"</f>
        <v>SI_110546</v>
      </c>
      <c r="M347" s="84">
        <v>43690</v>
      </c>
      <c r="N347" s="85">
        <f t="shared" si="96"/>
        <v>122</v>
      </c>
      <c r="O347" s="86">
        <f t="shared" si="97"/>
        <v>5996.5300000000007</v>
      </c>
      <c r="P347" s="86">
        <f t="shared" si="98"/>
        <v>0</v>
      </c>
      <c r="Q347" s="86">
        <f t="shared" si="99"/>
        <v>0</v>
      </c>
      <c r="R347" s="86">
        <f t="shared" si="100"/>
        <v>0</v>
      </c>
      <c r="S347" s="86">
        <f t="shared" si="101"/>
        <v>0</v>
      </c>
      <c r="T347" s="86">
        <f t="shared" si="102"/>
        <v>5996.5300000000007</v>
      </c>
      <c r="U347" s="87">
        <v>5996.5300000000007</v>
      </c>
    </row>
    <row r="348" spans="1:21" s="30" customFormat="1" ht="24.6" hidden="1" outlineLevel="1" x14ac:dyDescent="0.55000000000000004">
      <c r="A348" s="27" t="s">
        <v>327</v>
      </c>
      <c r="B348" s="28"/>
      <c r="C348" s="27"/>
      <c r="D348" s="27" t="str">
        <f>"""NAV Direct"",""CRONUS JetCorp USA"",""21"",""1"",""334158"""</f>
        <v>"NAV Direct","CRONUS JetCorp USA","21","1","334158"</v>
      </c>
      <c r="E348" s="31" t="str">
        <f t="shared" si="94"/>
        <v>C100020</v>
      </c>
      <c r="F348" s="31"/>
      <c r="G348" s="31"/>
      <c r="H348" s="31"/>
      <c r="I348" s="56"/>
      <c r="J348" s="56"/>
      <c r="K348" s="82" t="str">
        <f t="shared" si="95"/>
        <v>Invoice</v>
      </c>
      <c r="L348" s="83" t="str">
        <f>"SI_110556"</f>
        <v>SI_110556</v>
      </c>
      <c r="M348" s="84">
        <v>43820</v>
      </c>
      <c r="N348" s="85">
        <f t="shared" si="96"/>
        <v>-8</v>
      </c>
      <c r="O348" s="86">
        <f t="shared" si="97"/>
        <v>6728.15</v>
      </c>
      <c r="P348" s="86">
        <f t="shared" si="98"/>
        <v>6728.15</v>
      </c>
      <c r="Q348" s="86">
        <f t="shared" si="99"/>
        <v>0</v>
      </c>
      <c r="R348" s="86">
        <f t="shared" si="100"/>
        <v>0</v>
      </c>
      <c r="S348" s="86">
        <f t="shared" si="101"/>
        <v>0</v>
      </c>
      <c r="T348" s="86">
        <f t="shared" si="102"/>
        <v>0</v>
      </c>
      <c r="U348" s="87">
        <v>6728.15</v>
      </c>
    </row>
    <row r="349" spans="1:21" s="30" customFormat="1" ht="24.6" hidden="1" outlineLevel="1" x14ac:dyDescent="0.55000000000000004">
      <c r="A349" s="27" t="s">
        <v>327</v>
      </c>
      <c r="B349" s="28"/>
      <c r="C349" s="27"/>
      <c r="D349" s="27" t="str">
        <f>"""NAV Direct"",""CRONUS JetCorp USA"",""21"",""1"",""334257"""</f>
        <v>"NAV Direct","CRONUS JetCorp USA","21","1","334257"</v>
      </c>
      <c r="E349" s="31">
        <f t="shared" si="94"/>
        <v>0</v>
      </c>
      <c r="F349" s="31"/>
      <c r="G349" s="31"/>
      <c r="H349" s="31"/>
      <c r="I349" s="56"/>
      <c r="J349" s="56"/>
      <c r="K349" s="82" t="str">
        <f t="shared" si="95"/>
        <v>Invoice</v>
      </c>
      <c r="L349" s="83" t="str">
        <f>"SI_110561"</f>
        <v>SI_110561</v>
      </c>
      <c r="M349" s="84">
        <v>42056</v>
      </c>
      <c r="N349" s="85">
        <f t="shared" si="96"/>
        <v>1756</v>
      </c>
      <c r="O349" s="86">
        <f t="shared" si="97"/>
        <v>6943.43</v>
      </c>
      <c r="P349" s="86">
        <f t="shared" si="98"/>
        <v>0</v>
      </c>
      <c r="Q349" s="86">
        <f t="shared" si="99"/>
        <v>0</v>
      </c>
      <c r="R349" s="86">
        <f t="shared" si="100"/>
        <v>0</v>
      </c>
      <c r="S349" s="86">
        <f t="shared" si="101"/>
        <v>0</v>
      </c>
      <c r="T349" s="86">
        <f t="shared" si="102"/>
        <v>6943.43</v>
      </c>
      <c r="U349" s="87">
        <v>6943.43</v>
      </c>
    </row>
    <row r="350" spans="1:21" s="30" customFormat="1" ht="24.6" hidden="1" outlineLevel="1" x14ac:dyDescent="0.55000000000000004">
      <c r="A350" s="27" t="s">
        <v>327</v>
      </c>
      <c r="B350" s="28"/>
      <c r="C350" s="27"/>
      <c r="D350" s="27" t="str">
        <f>"""NAV Direct"",""CRONUS JetCorp USA"",""21"",""1"",""334324"""</f>
        <v>"NAV Direct","CRONUS JetCorp USA","21","1","334324"</v>
      </c>
      <c r="E350" s="31" t="str">
        <f t="shared" si="94"/>
        <v>C100020</v>
      </c>
      <c r="F350" s="31"/>
      <c r="G350" s="31"/>
      <c r="H350" s="31"/>
      <c r="I350" s="56"/>
      <c r="J350" s="56"/>
      <c r="K350" s="82" t="str">
        <f t="shared" si="95"/>
        <v>Invoice</v>
      </c>
      <c r="L350" s="83" t="str">
        <f>"SI_110564"</f>
        <v>SI_110564</v>
      </c>
      <c r="M350" s="84">
        <v>42083</v>
      </c>
      <c r="N350" s="85">
        <f t="shared" si="96"/>
        <v>1729</v>
      </c>
      <c r="O350" s="86">
        <f t="shared" si="97"/>
        <v>7040.8899999999994</v>
      </c>
      <c r="P350" s="86">
        <f t="shared" si="98"/>
        <v>0</v>
      </c>
      <c r="Q350" s="86">
        <f t="shared" si="99"/>
        <v>0</v>
      </c>
      <c r="R350" s="86">
        <f t="shared" si="100"/>
        <v>0</v>
      </c>
      <c r="S350" s="86">
        <f t="shared" si="101"/>
        <v>0</v>
      </c>
      <c r="T350" s="86">
        <f t="shared" si="102"/>
        <v>7040.8899999999994</v>
      </c>
      <c r="U350" s="87">
        <v>7040.8899999999994</v>
      </c>
    </row>
    <row r="351" spans="1:21" s="30" customFormat="1" ht="24.6" hidden="1" outlineLevel="1" x14ac:dyDescent="0.55000000000000004">
      <c r="A351" s="27" t="s">
        <v>327</v>
      </c>
      <c r="B351" s="28"/>
      <c r="C351" s="27"/>
      <c r="D351" s="27" t="str">
        <f>"""NAV Direct"",""CRONUS JetCorp USA"",""21"",""1"",""334435"""</f>
        <v>"NAV Direct","CRONUS JetCorp USA","21","1","334435"</v>
      </c>
      <c r="E351" s="31">
        <f t="shared" si="94"/>
        <v>0</v>
      </c>
      <c r="F351" s="31"/>
      <c r="G351" s="31"/>
      <c r="H351" s="31"/>
      <c r="I351" s="56"/>
      <c r="J351" s="56"/>
      <c r="K351" s="82" t="str">
        <f t="shared" si="95"/>
        <v>Invoice</v>
      </c>
      <c r="L351" s="83" t="str">
        <f>"SI_110569"</f>
        <v>SI_110569</v>
      </c>
      <c r="M351" s="84">
        <v>42164</v>
      </c>
      <c r="N351" s="85">
        <f t="shared" si="96"/>
        <v>1648</v>
      </c>
      <c r="O351" s="86">
        <f t="shared" si="97"/>
        <v>7261.99</v>
      </c>
      <c r="P351" s="86">
        <f t="shared" si="98"/>
        <v>0</v>
      </c>
      <c r="Q351" s="86">
        <f t="shared" si="99"/>
        <v>0</v>
      </c>
      <c r="R351" s="86">
        <f t="shared" si="100"/>
        <v>0</v>
      </c>
      <c r="S351" s="86">
        <f t="shared" si="101"/>
        <v>0</v>
      </c>
      <c r="T351" s="86">
        <f t="shared" si="102"/>
        <v>7261.99</v>
      </c>
      <c r="U351" s="87">
        <v>7261.99</v>
      </c>
    </row>
    <row r="352" spans="1:21" s="30" customFormat="1" ht="24.6" hidden="1" outlineLevel="1" x14ac:dyDescent="0.55000000000000004">
      <c r="A352" s="27" t="s">
        <v>327</v>
      </c>
      <c r="B352" s="28"/>
      <c r="C352" s="27"/>
      <c r="D352" s="27" t="str">
        <f>"""NAV Direct"",""CRONUS JetCorp USA"",""21"",""1"",""334652"""</f>
        <v>"NAV Direct","CRONUS JetCorp USA","21","1","334652"</v>
      </c>
      <c r="E352" s="31" t="str">
        <f t="shared" si="94"/>
        <v>C100020</v>
      </c>
      <c r="F352" s="31"/>
      <c r="G352" s="31"/>
      <c r="H352" s="31"/>
      <c r="I352" s="56"/>
      <c r="J352" s="56"/>
      <c r="K352" s="82" t="str">
        <f t="shared" si="95"/>
        <v>Invoice</v>
      </c>
      <c r="L352" s="83" t="str">
        <f>"SI_110578"</f>
        <v>SI_110578</v>
      </c>
      <c r="M352" s="84">
        <v>42259</v>
      </c>
      <c r="N352" s="85">
        <f t="shared" si="96"/>
        <v>1553</v>
      </c>
      <c r="O352" s="86">
        <f t="shared" si="97"/>
        <v>7984.76</v>
      </c>
      <c r="P352" s="86">
        <f t="shared" si="98"/>
        <v>0</v>
      </c>
      <c r="Q352" s="86">
        <f t="shared" si="99"/>
        <v>0</v>
      </c>
      <c r="R352" s="86">
        <f t="shared" si="100"/>
        <v>0</v>
      </c>
      <c r="S352" s="86">
        <f t="shared" si="101"/>
        <v>0</v>
      </c>
      <c r="T352" s="86">
        <f t="shared" si="102"/>
        <v>7984.76</v>
      </c>
      <c r="U352" s="87">
        <v>7984.76</v>
      </c>
    </row>
    <row r="353" spans="1:22" s="30" customFormat="1" ht="24.6" hidden="1" outlineLevel="1" x14ac:dyDescent="0.55000000000000004">
      <c r="A353" s="27" t="s">
        <v>327</v>
      </c>
      <c r="B353" s="28"/>
      <c r="C353" s="27"/>
      <c r="D353" s="27" t="str">
        <f>"""NAV Direct"",""CRONUS JetCorp USA"",""21"",""1"",""334725"""</f>
        <v>"NAV Direct","CRONUS JetCorp USA","21","1","334725"</v>
      </c>
      <c r="E353" s="31">
        <f t="shared" si="94"/>
        <v>0</v>
      </c>
      <c r="F353" s="31"/>
      <c r="G353" s="31"/>
      <c r="H353" s="31"/>
      <c r="I353" s="56"/>
      <c r="J353" s="56"/>
      <c r="K353" s="82" t="str">
        <f t="shared" si="95"/>
        <v>Invoice</v>
      </c>
      <c r="L353" s="83" t="str">
        <f>"SI_110581"</f>
        <v>SI_110581</v>
      </c>
      <c r="M353" s="84">
        <v>42296</v>
      </c>
      <c r="N353" s="85">
        <f t="shared" si="96"/>
        <v>1516</v>
      </c>
      <c r="O353" s="86">
        <f t="shared" si="97"/>
        <v>8256.17</v>
      </c>
      <c r="P353" s="86">
        <f t="shared" si="98"/>
        <v>0</v>
      </c>
      <c r="Q353" s="86">
        <f t="shared" si="99"/>
        <v>0</v>
      </c>
      <c r="R353" s="86">
        <f t="shared" si="100"/>
        <v>0</v>
      </c>
      <c r="S353" s="86">
        <f t="shared" si="101"/>
        <v>0</v>
      </c>
      <c r="T353" s="86">
        <f t="shared" si="102"/>
        <v>8256.17</v>
      </c>
      <c r="U353" s="87">
        <v>8256.17</v>
      </c>
    </row>
    <row r="354" spans="1:22" s="30" customFormat="1" ht="24.6" hidden="1" outlineLevel="1" x14ac:dyDescent="0.55000000000000004">
      <c r="A354" s="27" t="s">
        <v>327</v>
      </c>
      <c r="B354" s="28"/>
      <c r="C354" s="27"/>
      <c r="D354" s="27" t="str">
        <f>"""NAV Direct"",""CRONUS JetCorp USA"",""21"",""1"",""334848"""</f>
        <v>"NAV Direct","CRONUS JetCorp USA","21","1","334848"</v>
      </c>
      <c r="E354" s="31" t="str">
        <f t="shared" si="94"/>
        <v>C100020</v>
      </c>
      <c r="F354" s="31"/>
      <c r="G354" s="31"/>
      <c r="H354" s="31"/>
      <c r="I354" s="56"/>
      <c r="J354" s="56"/>
      <c r="K354" s="82" t="str">
        <f t="shared" si="95"/>
        <v>Invoice</v>
      </c>
      <c r="L354" s="83" t="str">
        <f>"SI_110586"</f>
        <v>SI_110586</v>
      </c>
      <c r="M354" s="84">
        <v>42748</v>
      </c>
      <c r="N354" s="85">
        <f t="shared" si="96"/>
        <v>1064</v>
      </c>
      <c r="O354" s="86">
        <f t="shared" si="97"/>
        <v>8868.75</v>
      </c>
      <c r="P354" s="86">
        <f t="shared" si="98"/>
        <v>0</v>
      </c>
      <c r="Q354" s="86">
        <f t="shared" si="99"/>
        <v>0</v>
      </c>
      <c r="R354" s="86">
        <f t="shared" si="100"/>
        <v>0</v>
      </c>
      <c r="S354" s="86">
        <f t="shared" si="101"/>
        <v>0</v>
      </c>
      <c r="T354" s="86">
        <f t="shared" si="102"/>
        <v>8868.75</v>
      </c>
      <c r="U354" s="87">
        <v>8868.75</v>
      </c>
    </row>
    <row r="355" spans="1:22" s="30" customFormat="1" ht="24.6" hidden="1" outlineLevel="1" x14ac:dyDescent="0.55000000000000004">
      <c r="A355" s="27" t="s">
        <v>327</v>
      </c>
      <c r="B355" s="28"/>
      <c r="C355" s="27"/>
      <c r="D355" s="27" t="str">
        <f>"""NAV Direct"",""CRONUS JetCorp USA"",""21"",""1"",""433369"""</f>
        <v>"NAV Direct","CRONUS JetCorp USA","21","1","433369"</v>
      </c>
      <c r="E355" s="31">
        <f t="shared" si="94"/>
        <v>0</v>
      </c>
      <c r="F355" s="31"/>
      <c r="G355" s="31"/>
      <c r="H355" s="31"/>
      <c r="I355" s="56"/>
      <c r="J355" s="56"/>
      <c r="K355" s="82" t="str">
        <f>"Credit Memo"</f>
        <v>Credit Memo</v>
      </c>
      <c r="L355" s="83" t="str">
        <f>"SC_100483"</f>
        <v>SC_100483</v>
      </c>
      <c r="M355" s="84">
        <v>43568</v>
      </c>
      <c r="N355" s="85">
        <f t="shared" si="96"/>
        <v>244</v>
      </c>
      <c r="O355" s="86">
        <f t="shared" si="97"/>
        <v>-56.04</v>
      </c>
      <c r="P355" s="86">
        <f t="shared" si="98"/>
        <v>0</v>
      </c>
      <c r="Q355" s="86">
        <f t="shared" si="99"/>
        <v>0</v>
      </c>
      <c r="R355" s="86">
        <f t="shared" si="100"/>
        <v>0</v>
      </c>
      <c r="S355" s="86">
        <f t="shared" si="101"/>
        <v>0</v>
      </c>
      <c r="T355" s="86">
        <f t="shared" si="102"/>
        <v>-56.04</v>
      </c>
      <c r="U355" s="87">
        <v>-56.04</v>
      </c>
    </row>
    <row r="356" spans="1:22" s="30" customFormat="1" ht="24.6" hidden="1" outlineLevel="1" x14ac:dyDescent="0.55000000000000004">
      <c r="A356" s="27" t="s">
        <v>327</v>
      </c>
      <c r="B356" s="28"/>
      <c r="C356" s="27"/>
      <c r="D356" s="27" t="str">
        <f>"""NAV Direct"",""CRONUS JetCorp USA"",""21"",""1"",""433412"""</f>
        <v>"NAV Direct","CRONUS JetCorp USA","21","1","433412"</v>
      </c>
      <c r="E356" s="31" t="str">
        <f t="shared" si="94"/>
        <v>C100020</v>
      </c>
      <c r="F356" s="31"/>
      <c r="G356" s="31"/>
      <c r="H356" s="31"/>
      <c r="I356" s="56"/>
      <c r="J356" s="56"/>
      <c r="K356" s="82" t="str">
        <f>"Credit Memo"</f>
        <v>Credit Memo</v>
      </c>
      <c r="L356" s="83" t="str">
        <f>"SC_100486"</f>
        <v>SC_100486</v>
      </c>
      <c r="M356" s="84">
        <v>43661</v>
      </c>
      <c r="N356" s="85">
        <f t="shared" si="96"/>
        <v>151</v>
      </c>
      <c r="O356" s="86">
        <f t="shared" si="97"/>
        <v>-61</v>
      </c>
      <c r="P356" s="86">
        <f t="shared" si="98"/>
        <v>0</v>
      </c>
      <c r="Q356" s="86">
        <f t="shared" si="99"/>
        <v>0</v>
      </c>
      <c r="R356" s="86">
        <f t="shared" si="100"/>
        <v>0</v>
      </c>
      <c r="S356" s="86">
        <f t="shared" si="101"/>
        <v>0</v>
      </c>
      <c r="T356" s="86">
        <f t="shared" si="102"/>
        <v>-61</v>
      </c>
      <c r="U356" s="87">
        <v>-61</v>
      </c>
    </row>
    <row r="357" spans="1:22" s="22" customFormat="1" ht="20.399999999999999" collapsed="1" x14ac:dyDescent="0.45">
      <c r="A357" s="12" t="s">
        <v>327</v>
      </c>
      <c r="B357" s="19"/>
      <c r="C357" s="12"/>
      <c r="D357" s="12"/>
      <c r="E357" s="23"/>
      <c r="F357" s="23"/>
      <c r="G357" s="23"/>
      <c r="H357" s="23"/>
      <c r="I357" s="49"/>
      <c r="J357" s="88"/>
      <c r="K357" s="88"/>
      <c r="L357" s="89"/>
      <c r="M357" s="89"/>
      <c r="N357" s="89"/>
      <c r="O357" s="89"/>
      <c r="P357" s="89"/>
      <c r="Q357" s="90"/>
      <c r="R357" s="90"/>
      <c r="S357" s="91"/>
      <c r="T357" s="92"/>
      <c r="U357" s="92"/>
    </row>
    <row r="358" spans="1:22" s="22" customFormat="1" ht="20.399999999999999" x14ac:dyDescent="0.45">
      <c r="A358" s="12" t="s">
        <v>327</v>
      </c>
      <c r="B358" s="19"/>
      <c r="C358" s="12"/>
      <c r="D358" s="12"/>
      <c r="E358" s="23"/>
      <c r="F358" s="23"/>
      <c r="G358" s="23"/>
      <c r="H358" s="23"/>
      <c r="I358" s="49"/>
      <c r="J358" s="88"/>
      <c r="K358" s="88"/>
      <c r="L358" s="89"/>
      <c r="M358" s="89"/>
      <c r="N358" s="89"/>
      <c r="O358" s="89"/>
      <c r="P358" s="89"/>
      <c r="Q358" s="90"/>
      <c r="R358" s="90"/>
      <c r="S358" s="91"/>
      <c r="T358" s="92"/>
      <c r="U358" s="92"/>
    </row>
    <row r="359" spans="1:22" s="26" customFormat="1" ht="24.6" x14ac:dyDescent="0.55000000000000004">
      <c r="A359" s="27" t="s">
        <v>327</v>
      </c>
      <c r="B359" s="28"/>
      <c r="C359" s="27" t="str">
        <f>"""NAV Direct"",""CRONUS JetCorp USA"",""18"",""1"",""C100021"""</f>
        <v>"NAV Direct","CRONUS JetCorp USA","18","1","C100021"</v>
      </c>
      <c r="D359" s="27"/>
      <c r="E359" s="28" t="str">
        <f>H359</f>
        <v>C100021</v>
      </c>
      <c r="F359" s="28"/>
      <c r="G359" s="28"/>
      <c r="H359" s="28" t="str">
        <f>"C100021"</f>
        <v>C100021</v>
      </c>
      <c r="I359" s="116" t="str">
        <f>"C100021  -  Cronus Cardoxy Sales"</f>
        <v>C100021  -  Cronus Cardoxy Sales</v>
      </c>
      <c r="J359" s="117" t="str">
        <f>""</f>
        <v/>
      </c>
      <c r="K359" s="118"/>
      <c r="L359" s="119">
        <f>SUBTOTAL(3,L360:L373)</f>
        <v>10</v>
      </c>
      <c r="M359" s="118"/>
      <c r="N359" s="118"/>
      <c r="O359" s="120">
        <f t="shared" ref="O359:T359" si="103">SUBTOTAL(9,O360:O373)</f>
        <v>130331.44999999998</v>
      </c>
      <c r="P359" s="120">
        <f t="shared" si="103"/>
        <v>0</v>
      </c>
      <c r="Q359" s="120">
        <f t="shared" si="103"/>
        <v>0</v>
      </c>
      <c r="R359" s="120">
        <f t="shared" si="103"/>
        <v>0</v>
      </c>
      <c r="S359" s="120">
        <f t="shared" si="103"/>
        <v>0</v>
      </c>
      <c r="T359" s="120">
        <f t="shared" si="103"/>
        <v>130331.44999999998</v>
      </c>
      <c r="U359" s="81"/>
    </row>
    <row r="360" spans="1:22" s="26" customFormat="1" ht="24.6" x14ac:dyDescent="0.55000000000000004">
      <c r="A360" s="27" t="s">
        <v>327</v>
      </c>
      <c r="B360" s="28"/>
      <c r="C360" s="27" t="str">
        <f>C359</f>
        <v>"NAV Direct","CRONUS JetCorp USA","18","1","C100021"</v>
      </c>
      <c r="D360" s="27"/>
      <c r="E360" s="28" t="str">
        <f>E359</f>
        <v>C100021</v>
      </c>
      <c r="F360" s="28"/>
      <c r="G360" s="28"/>
      <c r="H360" s="28"/>
      <c r="I360" s="121" t="str">
        <f>"Contact: Leopold Rhein"</f>
        <v>Contact: Leopold Rhein</v>
      </c>
      <c r="J360" s="121"/>
      <c r="K360" s="122"/>
      <c r="L360" s="123"/>
      <c r="M360" s="123"/>
      <c r="N360" s="124"/>
      <c r="O360" s="124"/>
      <c r="P360" s="123"/>
      <c r="Q360" s="125"/>
      <c r="R360" s="126"/>
      <c r="S360" s="126"/>
      <c r="T360" s="125"/>
      <c r="U360" s="81"/>
    </row>
    <row r="361" spans="1:22" s="26" customFormat="1" ht="24.6" x14ac:dyDescent="0.55000000000000004">
      <c r="A361" s="27" t="s">
        <v>327</v>
      </c>
      <c r="B361" s="28"/>
      <c r="C361" s="27" t="str">
        <f>C360</f>
        <v>"NAV Direct","CRONUS JetCorp USA","18","1","C100021"</v>
      </c>
      <c r="D361" s="27"/>
      <c r="E361" s="28" t="str">
        <f>E360</f>
        <v>C100021</v>
      </c>
      <c r="F361" s="28"/>
      <c r="G361" s="28"/>
      <c r="H361" s="28"/>
      <c r="I361" s="121" t="str">
        <f>"cronus.cardoxy.sales@cronuscorp.net"</f>
        <v>cronus.cardoxy.sales@cronuscorp.net</v>
      </c>
      <c r="J361" s="121"/>
      <c r="K361" s="122"/>
      <c r="L361" s="124"/>
      <c r="M361" s="124"/>
      <c r="N361" s="124"/>
      <c r="O361" s="124"/>
      <c r="P361" s="123"/>
      <c r="Q361" s="125"/>
      <c r="R361" s="126"/>
      <c r="S361" s="126"/>
      <c r="T361" s="125"/>
      <c r="U361" s="81"/>
    </row>
    <row r="362" spans="1:22" ht="12.75" hidden="1" customHeight="1" outlineLevel="1" x14ac:dyDescent="0.45">
      <c r="A362" s="12" t="s">
        <v>328</v>
      </c>
      <c r="B362" s="19"/>
      <c r="E362" s="19"/>
      <c r="F362" s="19"/>
      <c r="G362" s="19"/>
      <c r="H362" s="19"/>
      <c r="I362" s="61"/>
      <c r="J362" s="61"/>
      <c r="K362" s="61"/>
      <c r="L362" s="61"/>
      <c r="M362" s="61"/>
      <c r="N362" s="61"/>
      <c r="O362" s="61"/>
      <c r="P362" s="61"/>
      <c r="Q362" s="61"/>
      <c r="R362" s="61"/>
      <c r="S362" s="61"/>
      <c r="T362" s="61"/>
      <c r="U362" s="61"/>
      <c r="V362" s="21"/>
    </row>
    <row r="363" spans="1:22" s="30" customFormat="1" ht="24.6" hidden="1" outlineLevel="1" x14ac:dyDescent="0.55000000000000004">
      <c r="A363" s="27" t="s">
        <v>327</v>
      </c>
      <c r="B363" s="28"/>
      <c r="C363" s="27"/>
      <c r="D363" s="27" t="str">
        <f>"""NAV Direct"",""CRONUS JetCorp USA"",""21"",""1"",""101622"""</f>
        <v>"NAV Direct","CRONUS JetCorp USA","21","1","101622"</v>
      </c>
      <c r="E363" s="31" t="str">
        <f t="shared" ref="E363:E372" si="104">E361</f>
        <v>C100021</v>
      </c>
      <c r="F363" s="31"/>
      <c r="G363" s="31"/>
      <c r="H363" s="31"/>
      <c r="I363" s="56"/>
      <c r="J363" s="56"/>
      <c r="K363" s="82" t="str">
        <f t="shared" ref="K363:K372" si="105">"Invoice"</f>
        <v>Invoice</v>
      </c>
      <c r="L363" s="83" t="str">
        <f>"SI_106588"</f>
        <v>SI_106588</v>
      </c>
      <c r="M363" s="84">
        <v>42053</v>
      </c>
      <c r="N363" s="85">
        <f t="shared" ref="N363:N372" si="106">StartDate-$M363+1</f>
        <v>1759</v>
      </c>
      <c r="O363" s="86">
        <f t="shared" ref="O363:O372" si="107">SUM(P363:T363)</f>
        <v>15483.81</v>
      </c>
      <c r="P363" s="86">
        <f t="shared" ref="P363:P372" si="108">IF($M363&gt;=$P$18,U363,0)</f>
        <v>0</v>
      </c>
      <c r="Q363" s="86">
        <f t="shared" ref="Q363:Q372" si="109">IF(AND($M363&gt;=$Q$16,$M363&lt;=$Q$18),U363,0)</f>
        <v>0</v>
      </c>
      <c r="R363" s="86">
        <f t="shared" ref="R363:R372" si="110">IF(AND($M363&gt;=$R$16,$M363&lt;=$R$18),U363,0)</f>
        <v>0</v>
      </c>
      <c r="S363" s="86">
        <f t="shared" ref="S363:S372" si="111">IF(AND($M363&gt;=$S$16,$M363&lt;=$S$18),U363,0)</f>
        <v>0</v>
      </c>
      <c r="T363" s="86">
        <f t="shared" ref="T363:T372" si="112">IF($M363&lt;=$T$18,U363,0)</f>
        <v>15483.81</v>
      </c>
      <c r="U363" s="87">
        <v>15483.81</v>
      </c>
    </row>
    <row r="364" spans="1:22" s="30" customFormat="1" ht="24.6" hidden="1" outlineLevel="1" x14ac:dyDescent="0.55000000000000004">
      <c r="A364" s="27" t="s">
        <v>327</v>
      </c>
      <c r="B364" s="28"/>
      <c r="C364" s="27"/>
      <c r="D364" s="27" t="str">
        <f>"""NAV Direct"",""CRONUS JetCorp USA"",""21"",""1"",""101933"""</f>
        <v>"NAV Direct","CRONUS JetCorp USA","21","1","101933"</v>
      </c>
      <c r="E364" s="31">
        <f t="shared" si="104"/>
        <v>0</v>
      </c>
      <c r="F364" s="31"/>
      <c r="G364" s="31"/>
      <c r="H364" s="31"/>
      <c r="I364" s="56"/>
      <c r="J364" s="56"/>
      <c r="K364" s="82" t="str">
        <f t="shared" si="105"/>
        <v>Invoice</v>
      </c>
      <c r="L364" s="83" t="str">
        <f>"SI_106597"</f>
        <v>SI_106597</v>
      </c>
      <c r="M364" s="84">
        <v>42170</v>
      </c>
      <c r="N364" s="85">
        <f t="shared" si="106"/>
        <v>1642</v>
      </c>
      <c r="O364" s="86">
        <f t="shared" si="107"/>
        <v>16421.650000000001</v>
      </c>
      <c r="P364" s="86">
        <f t="shared" si="108"/>
        <v>0</v>
      </c>
      <c r="Q364" s="86">
        <f t="shared" si="109"/>
        <v>0</v>
      </c>
      <c r="R364" s="86">
        <f t="shared" si="110"/>
        <v>0</v>
      </c>
      <c r="S364" s="86">
        <f t="shared" si="111"/>
        <v>0</v>
      </c>
      <c r="T364" s="86">
        <f t="shared" si="112"/>
        <v>16421.650000000001</v>
      </c>
      <c r="U364" s="87">
        <v>16421.650000000001</v>
      </c>
    </row>
    <row r="365" spans="1:22" s="30" customFormat="1" ht="24.6" hidden="1" outlineLevel="1" x14ac:dyDescent="0.55000000000000004">
      <c r="A365" s="27" t="s">
        <v>327</v>
      </c>
      <c r="B365" s="28"/>
      <c r="C365" s="27"/>
      <c r="D365" s="27" t="str">
        <f>"""NAV Direct"",""CRONUS JetCorp USA"",""21"",""1"",""380843"""</f>
        <v>"NAV Direct","CRONUS JetCorp USA","21","1","380843"</v>
      </c>
      <c r="E365" s="31" t="str">
        <f t="shared" si="104"/>
        <v>C100021</v>
      </c>
      <c r="F365" s="31"/>
      <c r="G365" s="31"/>
      <c r="H365" s="31"/>
      <c r="I365" s="56"/>
      <c r="J365" s="56"/>
      <c r="K365" s="82" t="str">
        <f t="shared" si="105"/>
        <v>Invoice</v>
      </c>
      <c r="L365" s="83" t="str">
        <f>"SI_111833"</f>
        <v>SI_111833</v>
      </c>
      <c r="M365" s="84">
        <v>42562</v>
      </c>
      <c r="N365" s="85">
        <f t="shared" si="106"/>
        <v>1250</v>
      </c>
      <c r="O365" s="86">
        <f t="shared" si="107"/>
        <v>10364.92</v>
      </c>
      <c r="P365" s="86">
        <f t="shared" si="108"/>
        <v>0</v>
      </c>
      <c r="Q365" s="86">
        <f t="shared" si="109"/>
        <v>0</v>
      </c>
      <c r="R365" s="86">
        <f t="shared" si="110"/>
        <v>0</v>
      </c>
      <c r="S365" s="86">
        <f t="shared" si="111"/>
        <v>0</v>
      </c>
      <c r="T365" s="86">
        <f t="shared" si="112"/>
        <v>10364.92</v>
      </c>
      <c r="U365" s="87">
        <v>10364.92</v>
      </c>
    </row>
    <row r="366" spans="1:22" s="30" customFormat="1" ht="24.6" hidden="1" outlineLevel="1" x14ac:dyDescent="0.55000000000000004">
      <c r="A366" s="27" t="s">
        <v>327</v>
      </c>
      <c r="B366" s="28"/>
      <c r="C366" s="27"/>
      <c r="D366" s="27" t="str">
        <f>"""NAV Direct"",""CRONUS JetCorp USA"",""21"",""1"",""380899"""</f>
        <v>"NAV Direct","CRONUS JetCorp USA","21","1","380899"</v>
      </c>
      <c r="E366" s="31">
        <f t="shared" si="104"/>
        <v>0</v>
      </c>
      <c r="F366" s="31"/>
      <c r="G366" s="31"/>
      <c r="H366" s="31"/>
      <c r="I366" s="56"/>
      <c r="J366" s="56"/>
      <c r="K366" s="82" t="str">
        <f t="shared" si="105"/>
        <v>Invoice</v>
      </c>
      <c r="L366" s="83" t="str">
        <f>"SI_111835"</f>
        <v>SI_111835</v>
      </c>
      <c r="M366" s="84">
        <v>42601</v>
      </c>
      <c r="N366" s="85">
        <f t="shared" si="106"/>
        <v>1211</v>
      </c>
      <c r="O366" s="86">
        <f t="shared" si="107"/>
        <v>9239.2900000000009</v>
      </c>
      <c r="P366" s="86">
        <f t="shared" si="108"/>
        <v>0</v>
      </c>
      <c r="Q366" s="86">
        <f t="shared" si="109"/>
        <v>0</v>
      </c>
      <c r="R366" s="86">
        <f t="shared" si="110"/>
        <v>0</v>
      </c>
      <c r="S366" s="86">
        <f t="shared" si="111"/>
        <v>0</v>
      </c>
      <c r="T366" s="86">
        <f t="shared" si="112"/>
        <v>9239.2900000000009</v>
      </c>
      <c r="U366" s="87">
        <v>9239.2900000000009</v>
      </c>
    </row>
    <row r="367" spans="1:22" s="30" customFormat="1" ht="24.6" hidden="1" outlineLevel="1" x14ac:dyDescent="0.55000000000000004">
      <c r="A367" s="27" t="s">
        <v>327</v>
      </c>
      <c r="B367" s="28"/>
      <c r="C367" s="27"/>
      <c r="D367" s="27" t="str">
        <f>"""NAV Direct"",""CRONUS JetCorp USA"",""21"",""1"",""381308"""</f>
        <v>"NAV Direct","CRONUS JetCorp USA","21","1","381308"</v>
      </c>
      <c r="E367" s="31" t="str">
        <f t="shared" si="104"/>
        <v>C100021</v>
      </c>
      <c r="F367" s="31"/>
      <c r="G367" s="31"/>
      <c r="H367" s="31"/>
      <c r="I367" s="56"/>
      <c r="J367" s="56"/>
      <c r="K367" s="82" t="str">
        <f t="shared" si="105"/>
        <v>Invoice</v>
      </c>
      <c r="L367" s="83" t="str">
        <f>"SI_111848"</f>
        <v>SI_111848</v>
      </c>
      <c r="M367" s="84">
        <v>42869</v>
      </c>
      <c r="N367" s="85">
        <f t="shared" si="106"/>
        <v>943</v>
      </c>
      <c r="O367" s="86">
        <f t="shared" si="107"/>
        <v>10385.84</v>
      </c>
      <c r="P367" s="86">
        <f t="shared" si="108"/>
        <v>0</v>
      </c>
      <c r="Q367" s="86">
        <f t="shared" si="109"/>
        <v>0</v>
      </c>
      <c r="R367" s="86">
        <f t="shared" si="110"/>
        <v>0</v>
      </c>
      <c r="S367" s="86">
        <f t="shared" si="111"/>
        <v>0</v>
      </c>
      <c r="T367" s="86">
        <f t="shared" si="112"/>
        <v>10385.84</v>
      </c>
      <c r="U367" s="87">
        <v>10385.84</v>
      </c>
    </row>
    <row r="368" spans="1:22" s="30" customFormat="1" ht="24.6" hidden="1" outlineLevel="1" x14ac:dyDescent="0.55000000000000004">
      <c r="A368" s="27" t="s">
        <v>327</v>
      </c>
      <c r="B368" s="28"/>
      <c r="C368" s="27"/>
      <c r="D368" s="27" t="str">
        <f>"""NAV Direct"",""CRONUS JetCorp USA"",""21"",""1"",""381341"""</f>
        <v>"NAV Direct","CRONUS JetCorp USA","21","1","381341"</v>
      </c>
      <c r="E368" s="31">
        <f t="shared" si="104"/>
        <v>0</v>
      </c>
      <c r="F368" s="31"/>
      <c r="G368" s="31"/>
      <c r="H368" s="31"/>
      <c r="I368" s="56"/>
      <c r="J368" s="56"/>
      <c r="K368" s="82" t="str">
        <f t="shared" si="105"/>
        <v>Invoice</v>
      </c>
      <c r="L368" s="83" t="str">
        <f>"SI_111849"</f>
        <v>SI_111849</v>
      </c>
      <c r="M368" s="84">
        <v>42888</v>
      </c>
      <c r="N368" s="85">
        <f t="shared" si="106"/>
        <v>924</v>
      </c>
      <c r="O368" s="86">
        <f t="shared" si="107"/>
        <v>11788.18</v>
      </c>
      <c r="P368" s="86">
        <f t="shared" si="108"/>
        <v>0</v>
      </c>
      <c r="Q368" s="86">
        <f t="shared" si="109"/>
        <v>0</v>
      </c>
      <c r="R368" s="86">
        <f t="shared" si="110"/>
        <v>0</v>
      </c>
      <c r="S368" s="86">
        <f t="shared" si="111"/>
        <v>0</v>
      </c>
      <c r="T368" s="86">
        <f t="shared" si="112"/>
        <v>11788.18</v>
      </c>
      <c r="U368" s="87">
        <v>11788.18</v>
      </c>
    </row>
    <row r="369" spans="1:22" s="30" customFormat="1" ht="24.6" hidden="1" outlineLevel="1" x14ac:dyDescent="0.55000000000000004">
      <c r="A369" s="27" t="s">
        <v>327</v>
      </c>
      <c r="B369" s="28"/>
      <c r="C369" s="27"/>
      <c r="D369" s="27" t="str">
        <f>"""NAV Direct"",""CRONUS JetCorp USA"",""21"",""1"",""381987"""</f>
        <v>"NAV Direct","CRONUS JetCorp USA","21","1","381987"</v>
      </c>
      <c r="E369" s="31" t="str">
        <f t="shared" si="104"/>
        <v>C100021</v>
      </c>
      <c r="F369" s="31"/>
      <c r="G369" s="31"/>
      <c r="H369" s="31"/>
      <c r="I369" s="56"/>
      <c r="J369" s="56"/>
      <c r="K369" s="82" t="str">
        <f t="shared" si="105"/>
        <v>Invoice</v>
      </c>
      <c r="L369" s="83" t="str">
        <f>"SI_111869"</f>
        <v>SI_111869</v>
      </c>
      <c r="M369" s="84">
        <v>43279</v>
      </c>
      <c r="N369" s="85">
        <f t="shared" si="106"/>
        <v>533</v>
      </c>
      <c r="O369" s="86">
        <f t="shared" si="107"/>
        <v>12459.09</v>
      </c>
      <c r="P369" s="86">
        <f t="shared" si="108"/>
        <v>0</v>
      </c>
      <c r="Q369" s="86">
        <f t="shared" si="109"/>
        <v>0</v>
      </c>
      <c r="R369" s="86">
        <f t="shared" si="110"/>
        <v>0</v>
      </c>
      <c r="S369" s="86">
        <f t="shared" si="111"/>
        <v>0</v>
      </c>
      <c r="T369" s="86">
        <f t="shared" si="112"/>
        <v>12459.09</v>
      </c>
      <c r="U369" s="87">
        <v>12459.09</v>
      </c>
    </row>
    <row r="370" spans="1:22" s="30" customFormat="1" ht="24.6" hidden="1" outlineLevel="1" x14ac:dyDescent="0.55000000000000004">
      <c r="A370" s="27" t="s">
        <v>327</v>
      </c>
      <c r="B370" s="28"/>
      <c r="C370" s="27"/>
      <c r="D370" s="27" t="str">
        <f>"""NAV Direct"",""CRONUS JetCorp USA"",""21"",""1"",""382356"""</f>
        <v>"NAV Direct","CRONUS JetCorp USA","21","1","382356"</v>
      </c>
      <c r="E370" s="31">
        <f t="shared" si="104"/>
        <v>0</v>
      </c>
      <c r="F370" s="31"/>
      <c r="G370" s="31"/>
      <c r="H370" s="31"/>
      <c r="I370" s="56"/>
      <c r="J370" s="56"/>
      <c r="K370" s="82" t="str">
        <f t="shared" si="105"/>
        <v>Invoice</v>
      </c>
      <c r="L370" s="83" t="str">
        <f>"SI_111880"</f>
        <v>SI_111880</v>
      </c>
      <c r="M370" s="84">
        <v>43508</v>
      </c>
      <c r="N370" s="85">
        <f t="shared" si="106"/>
        <v>304</v>
      </c>
      <c r="O370" s="86">
        <f t="shared" si="107"/>
        <v>13568.199999999999</v>
      </c>
      <c r="P370" s="86">
        <f t="shared" si="108"/>
        <v>0</v>
      </c>
      <c r="Q370" s="86">
        <f t="shared" si="109"/>
        <v>0</v>
      </c>
      <c r="R370" s="86">
        <f t="shared" si="110"/>
        <v>0</v>
      </c>
      <c r="S370" s="86">
        <f t="shared" si="111"/>
        <v>0</v>
      </c>
      <c r="T370" s="86">
        <f t="shared" si="112"/>
        <v>13568.199999999999</v>
      </c>
      <c r="U370" s="87">
        <v>13568.199999999999</v>
      </c>
    </row>
    <row r="371" spans="1:22" s="30" customFormat="1" ht="24.6" hidden="1" outlineLevel="1" x14ac:dyDescent="0.55000000000000004">
      <c r="A371" s="27" t="s">
        <v>327</v>
      </c>
      <c r="B371" s="28"/>
      <c r="C371" s="27"/>
      <c r="D371" s="27" t="str">
        <f>"""NAV Direct"",""CRONUS JetCorp USA"",""21"",""1"",""382495"""</f>
        <v>"NAV Direct","CRONUS JetCorp USA","21","1","382495"</v>
      </c>
      <c r="E371" s="31" t="str">
        <f t="shared" si="104"/>
        <v>C100021</v>
      </c>
      <c r="F371" s="31"/>
      <c r="G371" s="31"/>
      <c r="H371" s="31"/>
      <c r="I371" s="56"/>
      <c r="J371" s="56"/>
      <c r="K371" s="82" t="str">
        <f t="shared" si="105"/>
        <v>Invoice</v>
      </c>
      <c r="L371" s="83" t="str">
        <f>"SI_111885"</f>
        <v>SI_111885</v>
      </c>
      <c r="M371" s="84">
        <v>43596</v>
      </c>
      <c r="N371" s="85">
        <f t="shared" si="106"/>
        <v>216</v>
      </c>
      <c r="O371" s="86">
        <f t="shared" si="107"/>
        <v>15307.98</v>
      </c>
      <c r="P371" s="86">
        <f t="shared" si="108"/>
        <v>0</v>
      </c>
      <c r="Q371" s="86">
        <f t="shared" si="109"/>
        <v>0</v>
      </c>
      <c r="R371" s="86">
        <f t="shared" si="110"/>
        <v>0</v>
      </c>
      <c r="S371" s="86">
        <f t="shared" si="111"/>
        <v>0</v>
      </c>
      <c r="T371" s="86">
        <f t="shared" si="112"/>
        <v>15307.98</v>
      </c>
      <c r="U371" s="87">
        <v>15307.98</v>
      </c>
    </row>
    <row r="372" spans="1:22" s="30" customFormat="1" ht="24.6" hidden="1" outlineLevel="1" x14ac:dyDescent="0.55000000000000004">
      <c r="A372" s="27" t="s">
        <v>327</v>
      </c>
      <c r="B372" s="28"/>
      <c r="C372" s="27"/>
      <c r="D372" s="27" t="str">
        <f>"""NAV Direct"",""CRONUS JetCorp USA"",""21"",""1"",""383646"""</f>
        <v>"NAV Direct","CRONUS JetCorp USA","21","1","383646"</v>
      </c>
      <c r="E372" s="31">
        <f t="shared" si="104"/>
        <v>0</v>
      </c>
      <c r="F372" s="31"/>
      <c r="G372" s="31"/>
      <c r="H372" s="31"/>
      <c r="I372" s="56"/>
      <c r="J372" s="56"/>
      <c r="K372" s="82" t="str">
        <f t="shared" si="105"/>
        <v>Invoice</v>
      </c>
      <c r="L372" s="83" t="str">
        <f>"SI_111918"</f>
        <v>SI_111918</v>
      </c>
      <c r="M372" s="84">
        <v>42753</v>
      </c>
      <c r="N372" s="85">
        <f t="shared" si="106"/>
        <v>1059</v>
      </c>
      <c r="O372" s="86">
        <f t="shared" si="107"/>
        <v>15312.489999999998</v>
      </c>
      <c r="P372" s="86">
        <f t="shared" si="108"/>
        <v>0</v>
      </c>
      <c r="Q372" s="86">
        <f t="shared" si="109"/>
        <v>0</v>
      </c>
      <c r="R372" s="86">
        <f t="shared" si="110"/>
        <v>0</v>
      </c>
      <c r="S372" s="86">
        <f t="shared" si="111"/>
        <v>0</v>
      </c>
      <c r="T372" s="86">
        <f t="shared" si="112"/>
        <v>15312.489999999998</v>
      </c>
      <c r="U372" s="87">
        <v>15312.489999999998</v>
      </c>
    </row>
    <row r="373" spans="1:22" s="22" customFormat="1" ht="20.399999999999999" collapsed="1" x14ac:dyDescent="0.45">
      <c r="A373" s="12" t="s">
        <v>327</v>
      </c>
      <c r="B373" s="19"/>
      <c r="C373" s="12"/>
      <c r="D373" s="12"/>
      <c r="E373" s="23"/>
      <c r="F373" s="23"/>
      <c r="G373" s="23"/>
      <c r="H373" s="23"/>
      <c r="I373" s="49"/>
      <c r="J373" s="88"/>
      <c r="K373" s="88"/>
      <c r="L373" s="89"/>
      <c r="M373" s="89"/>
      <c r="N373" s="89"/>
      <c r="O373" s="89"/>
      <c r="P373" s="89"/>
      <c r="Q373" s="90"/>
      <c r="R373" s="90"/>
      <c r="S373" s="91"/>
      <c r="T373" s="92"/>
      <c r="U373" s="92"/>
    </row>
    <row r="374" spans="1:22" s="22" customFormat="1" ht="20.399999999999999" x14ac:dyDescent="0.45">
      <c r="A374" s="12" t="s">
        <v>327</v>
      </c>
      <c r="B374" s="19"/>
      <c r="C374" s="12"/>
      <c r="D374" s="12"/>
      <c r="E374" s="23"/>
      <c r="F374" s="23"/>
      <c r="G374" s="23"/>
      <c r="H374" s="23"/>
      <c r="I374" s="49"/>
      <c r="J374" s="88"/>
      <c r="K374" s="88"/>
      <c r="L374" s="89"/>
      <c r="M374" s="89"/>
      <c r="N374" s="89"/>
      <c r="O374" s="89"/>
      <c r="P374" s="89"/>
      <c r="Q374" s="90"/>
      <c r="R374" s="90"/>
      <c r="S374" s="91"/>
      <c r="T374" s="92"/>
      <c r="U374" s="92"/>
    </row>
    <row r="375" spans="1:22" s="26" customFormat="1" ht="24.6" x14ac:dyDescent="0.55000000000000004">
      <c r="A375" s="27" t="s">
        <v>327</v>
      </c>
      <c r="B375" s="28"/>
      <c r="C375" s="27" t="str">
        <f>"""NAV Direct"",""CRONUS JetCorp USA"",""18"",""1"",""C100023"""</f>
        <v>"NAV Direct","CRONUS JetCorp USA","18","1","C100023"</v>
      </c>
      <c r="D375" s="27"/>
      <c r="E375" s="28" t="str">
        <f>H375</f>
        <v>C100023</v>
      </c>
      <c r="F375" s="28"/>
      <c r="G375" s="28"/>
      <c r="H375" s="28" t="str">
        <f>"C100023"</f>
        <v>C100023</v>
      </c>
      <c r="I375" s="116" t="str">
        <f>"C100023  -  Deerfield Graphics Company"</f>
        <v>C100023  -  Deerfield Graphics Company</v>
      </c>
      <c r="J375" s="117" t="str">
        <f>""</f>
        <v/>
      </c>
      <c r="K375" s="118"/>
      <c r="L375" s="119">
        <f>SUBTOTAL(3,L376:L443)</f>
        <v>64</v>
      </c>
      <c r="M375" s="118"/>
      <c r="N375" s="118"/>
      <c r="O375" s="120">
        <f t="shared" ref="O375:T375" si="113">SUBTOTAL(9,O376:O443)</f>
        <v>349046.93</v>
      </c>
      <c r="P375" s="120">
        <f t="shared" si="113"/>
        <v>12077.369999999999</v>
      </c>
      <c r="Q375" s="120">
        <f t="shared" si="113"/>
        <v>5892.4800000000005</v>
      </c>
      <c r="R375" s="120">
        <f t="shared" si="113"/>
        <v>0</v>
      </c>
      <c r="S375" s="120">
        <f t="shared" si="113"/>
        <v>0</v>
      </c>
      <c r="T375" s="120">
        <f t="shared" si="113"/>
        <v>331077.07999999996</v>
      </c>
      <c r="U375" s="81"/>
    </row>
    <row r="376" spans="1:22" s="26" customFormat="1" ht="24.6" x14ac:dyDescent="0.55000000000000004">
      <c r="A376" s="27" t="s">
        <v>327</v>
      </c>
      <c r="B376" s="28"/>
      <c r="C376" s="27" t="str">
        <f>C375</f>
        <v>"NAV Direct","CRONUS JetCorp USA","18","1","C100023"</v>
      </c>
      <c r="D376" s="27"/>
      <c r="E376" s="28" t="str">
        <f>E375</f>
        <v>C100023</v>
      </c>
      <c r="F376" s="28"/>
      <c r="G376" s="28"/>
      <c r="H376" s="28"/>
      <c r="I376" s="121" t="str">
        <f>"Contact: Mr. Kevin Wright"</f>
        <v>Contact: Mr. Kevin Wright</v>
      </c>
      <c r="J376" s="121"/>
      <c r="K376" s="122"/>
      <c r="L376" s="123"/>
      <c r="M376" s="123"/>
      <c r="N376" s="124"/>
      <c r="O376" s="124"/>
      <c r="P376" s="123"/>
      <c r="Q376" s="125"/>
      <c r="R376" s="126"/>
      <c r="S376" s="126"/>
      <c r="T376" s="125"/>
      <c r="U376" s="81"/>
    </row>
    <row r="377" spans="1:22" s="26" customFormat="1" ht="24.6" x14ac:dyDescent="0.55000000000000004">
      <c r="A377" s="27" t="s">
        <v>327</v>
      </c>
      <c r="B377" s="28"/>
      <c r="C377" s="27" t="str">
        <f>C376</f>
        <v>"NAV Direct","CRONUS JetCorp USA","18","1","C100023"</v>
      </c>
      <c r="D377" s="27"/>
      <c r="E377" s="28" t="str">
        <f>E376</f>
        <v>C100023</v>
      </c>
      <c r="F377" s="28"/>
      <c r="G377" s="28"/>
      <c r="H377" s="28"/>
      <c r="I377" s="121" t="str">
        <f>"deerfield.graphics.company@cronuscorp.net"</f>
        <v>deerfield.graphics.company@cronuscorp.net</v>
      </c>
      <c r="J377" s="121"/>
      <c r="K377" s="122"/>
      <c r="L377" s="124"/>
      <c r="M377" s="124"/>
      <c r="N377" s="124"/>
      <c r="O377" s="124"/>
      <c r="P377" s="123"/>
      <c r="Q377" s="125"/>
      <c r="R377" s="126"/>
      <c r="S377" s="126"/>
      <c r="T377" s="125"/>
      <c r="U377" s="81"/>
    </row>
    <row r="378" spans="1:22" ht="12.75" hidden="1" customHeight="1" outlineLevel="1" x14ac:dyDescent="0.45">
      <c r="A378" s="12" t="s">
        <v>328</v>
      </c>
      <c r="B378" s="19"/>
      <c r="E378" s="19"/>
      <c r="F378" s="19"/>
      <c r="G378" s="19"/>
      <c r="H378" s="19"/>
      <c r="I378" s="61"/>
      <c r="J378" s="61"/>
      <c r="K378" s="61"/>
      <c r="L378" s="61"/>
      <c r="M378" s="61"/>
      <c r="N378" s="61"/>
      <c r="O378" s="61"/>
      <c r="P378" s="61"/>
      <c r="Q378" s="61"/>
      <c r="R378" s="61"/>
      <c r="S378" s="61"/>
      <c r="T378" s="61"/>
      <c r="U378" s="61"/>
      <c r="V378" s="21"/>
    </row>
    <row r="379" spans="1:22" s="30" customFormat="1" ht="24.6" hidden="1" outlineLevel="1" x14ac:dyDescent="0.55000000000000004">
      <c r="A379" s="27" t="s">
        <v>327</v>
      </c>
      <c r="B379" s="28"/>
      <c r="C379" s="27"/>
      <c r="D379" s="27" t="str">
        <f>"""NAV Direct"",""CRONUS JetCorp USA"",""21"",""1"",""29383"""</f>
        <v>"NAV Direct","CRONUS JetCorp USA","21","1","29383"</v>
      </c>
      <c r="E379" s="31" t="str">
        <f t="shared" ref="E379:E410" si="114">E377</f>
        <v>C100023</v>
      </c>
      <c r="F379" s="31"/>
      <c r="G379" s="31"/>
      <c r="H379" s="31"/>
      <c r="I379" s="56"/>
      <c r="J379" s="56"/>
      <c r="K379" s="82" t="str">
        <f t="shared" ref="K379:K410" si="115">"Invoice"</f>
        <v>Invoice</v>
      </c>
      <c r="L379" s="83" t="str">
        <f>"SI_104446"</f>
        <v>SI_104446</v>
      </c>
      <c r="M379" s="84">
        <v>42297</v>
      </c>
      <c r="N379" s="85">
        <f t="shared" ref="N379:N410" si="116">StartDate-$M379+1</f>
        <v>1515</v>
      </c>
      <c r="O379" s="86">
        <f t="shared" ref="O379:O410" si="117">SUM(P379:T379)</f>
        <v>5949.79</v>
      </c>
      <c r="P379" s="86">
        <f t="shared" ref="P379:P410" si="118">IF($M379&gt;=$P$18,U379,0)</f>
        <v>0</v>
      </c>
      <c r="Q379" s="86">
        <f t="shared" ref="Q379:Q410" si="119">IF(AND($M379&gt;=$Q$16,$M379&lt;=$Q$18),U379,0)</f>
        <v>0</v>
      </c>
      <c r="R379" s="86">
        <f t="shared" ref="R379:R410" si="120">IF(AND($M379&gt;=$R$16,$M379&lt;=$R$18),U379,0)</f>
        <v>0</v>
      </c>
      <c r="S379" s="86">
        <f t="shared" ref="S379:S410" si="121">IF(AND($M379&gt;=$S$16,$M379&lt;=$S$18),U379,0)</f>
        <v>0</v>
      </c>
      <c r="T379" s="86">
        <f t="shared" ref="T379:T410" si="122">IF($M379&lt;=$T$18,U379,0)</f>
        <v>5949.79</v>
      </c>
      <c r="U379" s="87">
        <v>5949.79</v>
      </c>
    </row>
    <row r="380" spans="1:22" s="30" customFormat="1" ht="24.6" hidden="1" outlineLevel="1" x14ac:dyDescent="0.55000000000000004">
      <c r="A380" s="27" t="s">
        <v>327</v>
      </c>
      <c r="B380" s="28"/>
      <c r="C380" s="27"/>
      <c r="D380" s="27" t="str">
        <f>"""NAV Direct"",""CRONUS JetCorp USA"",""21"",""1"",""29469"""</f>
        <v>"NAV Direct","CRONUS JetCorp USA","21","1","29469"</v>
      </c>
      <c r="E380" s="31">
        <f t="shared" si="114"/>
        <v>0</v>
      </c>
      <c r="F380" s="31"/>
      <c r="G380" s="31"/>
      <c r="H380" s="31"/>
      <c r="I380" s="56"/>
      <c r="J380" s="56"/>
      <c r="K380" s="82" t="str">
        <f t="shared" si="115"/>
        <v>Invoice</v>
      </c>
      <c r="L380" s="83" t="str">
        <f>"SI_104450"</f>
        <v>SI_104450</v>
      </c>
      <c r="M380" s="84">
        <v>42321</v>
      </c>
      <c r="N380" s="85">
        <f t="shared" si="116"/>
        <v>1491</v>
      </c>
      <c r="O380" s="86">
        <f t="shared" si="117"/>
        <v>6545.74</v>
      </c>
      <c r="P380" s="86">
        <f t="shared" si="118"/>
        <v>0</v>
      </c>
      <c r="Q380" s="86">
        <f t="shared" si="119"/>
        <v>0</v>
      </c>
      <c r="R380" s="86">
        <f t="shared" si="120"/>
        <v>0</v>
      </c>
      <c r="S380" s="86">
        <f t="shared" si="121"/>
        <v>0</v>
      </c>
      <c r="T380" s="86">
        <f t="shared" si="122"/>
        <v>6545.74</v>
      </c>
      <c r="U380" s="87">
        <v>6545.74</v>
      </c>
    </row>
    <row r="381" spans="1:22" s="30" customFormat="1" ht="24.6" hidden="1" outlineLevel="1" x14ac:dyDescent="0.55000000000000004">
      <c r="A381" s="27" t="s">
        <v>327</v>
      </c>
      <c r="B381" s="28"/>
      <c r="C381" s="27"/>
      <c r="D381" s="27" t="str">
        <f>"""NAV Direct"",""CRONUS JetCorp USA"",""21"",""1"",""29805"""</f>
        <v>"NAV Direct","CRONUS JetCorp USA","21","1","29805"</v>
      </c>
      <c r="E381" s="31" t="str">
        <f t="shared" si="114"/>
        <v>C100023</v>
      </c>
      <c r="F381" s="31"/>
      <c r="G381" s="31"/>
      <c r="H381" s="31"/>
      <c r="I381" s="56"/>
      <c r="J381" s="56"/>
      <c r="K381" s="82" t="str">
        <f t="shared" si="115"/>
        <v>Invoice</v>
      </c>
      <c r="L381" s="83" t="str">
        <f>"SI_104464"</f>
        <v>SI_104464</v>
      </c>
      <c r="M381" s="84">
        <v>42751</v>
      </c>
      <c r="N381" s="85">
        <f t="shared" si="116"/>
        <v>1061</v>
      </c>
      <c r="O381" s="86">
        <f t="shared" si="117"/>
        <v>6760.4699999999993</v>
      </c>
      <c r="P381" s="86">
        <f t="shared" si="118"/>
        <v>0</v>
      </c>
      <c r="Q381" s="86">
        <f t="shared" si="119"/>
        <v>0</v>
      </c>
      <c r="R381" s="86">
        <f t="shared" si="120"/>
        <v>0</v>
      </c>
      <c r="S381" s="86">
        <f t="shared" si="121"/>
        <v>0</v>
      </c>
      <c r="T381" s="86">
        <f t="shared" si="122"/>
        <v>6760.4699999999993</v>
      </c>
      <c r="U381" s="87">
        <v>6760.4699999999993</v>
      </c>
    </row>
    <row r="382" spans="1:22" s="30" customFormat="1" ht="24.6" hidden="1" outlineLevel="1" x14ac:dyDescent="0.55000000000000004">
      <c r="A382" s="27" t="s">
        <v>327</v>
      </c>
      <c r="B382" s="28"/>
      <c r="C382" s="27"/>
      <c r="D382" s="27" t="str">
        <f>"""NAV Direct"",""CRONUS JetCorp USA"",""21"",""1"",""320082"""</f>
        <v>"NAV Direct","CRONUS JetCorp USA","21","1","320082"</v>
      </c>
      <c r="E382" s="31">
        <f t="shared" si="114"/>
        <v>0</v>
      </c>
      <c r="F382" s="31"/>
      <c r="G382" s="31"/>
      <c r="H382" s="31"/>
      <c r="I382" s="56"/>
      <c r="J382" s="56"/>
      <c r="K382" s="82" t="str">
        <f t="shared" si="115"/>
        <v>Invoice</v>
      </c>
      <c r="L382" s="83" t="str">
        <f>"SI_109972"</f>
        <v>SI_109972</v>
      </c>
      <c r="M382" s="84">
        <v>42398</v>
      </c>
      <c r="N382" s="85">
        <f t="shared" si="116"/>
        <v>1414</v>
      </c>
      <c r="O382" s="86">
        <f t="shared" si="117"/>
        <v>7274.9000000000005</v>
      </c>
      <c r="P382" s="86">
        <f t="shared" si="118"/>
        <v>0</v>
      </c>
      <c r="Q382" s="86">
        <f t="shared" si="119"/>
        <v>0</v>
      </c>
      <c r="R382" s="86">
        <f t="shared" si="120"/>
        <v>0</v>
      </c>
      <c r="S382" s="86">
        <f t="shared" si="121"/>
        <v>0</v>
      </c>
      <c r="T382" s="86">
        <f t="shared" si="122"/>
        <v>7274.9000000000005</v>
      </c>
      <c r="U382" s="87">
        <v>7274.9000000000005</v>
      </c>
    </row>
    <row r="383" spans="1:22" s="30" customFormat="1" ht="24.6" hidden="1" outlineLevel="1" x14ac:dyDescent="0.55000000000000004">
      <c r="A383" s="27" t="s">
        <v>327</v>
      </c>
      <c r="B383" s="28"/>
      <c r="C383" s="27"/>
      <c r="D383" s="27" t="str">
        <f>"""NAV Direct"",""CRONUS JetCorp USA"",""21"",""1"",""320182"""</f>
        <v>"NAV Direct","CRONUS JetCorp USA","21","1","320182"</v>
      </c>
      <c r="E383" s="31" t="str">
        <f t="shared" si="114"/>
        <v>C100023</v>
      </c>
      <c r="F383" s="31"/>
      <c r="G383" s="31"/>
      <c r="H383" s="31"/>
      <c r="I383" s="56"/>
      <c r="J383" s="56"/>
      <c r="K383" s="82" t="str">
        <f t="shared" si="115"/>
        <v>Invoice</v>
      </c>
      <c r="L383" s="83" t="str">
        <f>"SI_109976"</f>
        <v>SI_109976</v>
      </c>
      <c r="M383" s="84">
        <v>42449</v>
      </c>
      <c r="N383" s="85">
        <f t="shared" si="116"/>
        <v>1363</v>
      </c>
      <c r="O383" s="86">
        <f t="shared" si="117"/>
        <v>7444.99</v>
      </c>
      <c r="P383" s="86">
        <f t="shared" si="118"/>
        <v>0</v>
      </c>
      <c r="Q383" s="86">
        <f t="shared" si="119"/>
        <v>0</v>
      </c>
      <c r="R383" s="86">
        <f t="shared" si="120"/>
        <v>0</v>
      </c>
      <c r="S383" s="86">
        <f t="shared" si="121"/>
        <v>0</v>
      </c>
      <c r="T383" s="86">
        <f t="shared" si="122"/>
        <v>7444.99</v>
      </c>
      <c r="U383" s="87">
        <v>7444.99</v>
      </c>
    </row>
    <row r="384" spans="1:22" s="30" customFormat="1" ht="24.6" hidden="1" outlineLevel="1" x14ac:dyDescent="0.55000000000000004">
      <c r="A384" s="27" t="s">
        <v>327</v>
      </c>
      <c r="B384" s="28"/>
      <c r="C384" s="27"/>
      <c r="D384" s="27" t="str">
        <f>"""NAV Direct"",""CRONUS JetCorp USA"",""21"",""1"",""320245"""</f>
        <v>"NAV Direct","CRONUS JetCorp USA","21","1","320245"</v>
      </c>
      <c r="E384" s="31">
        <f t="shared" si="114"/>
        <v>0</v>
      </c>
      <c r="F384" s="31"/>
      <c r="G384" s="31"/>
      <c r="H384" s="31"/>
      <c r="I384" s="56"/>
      <c r="J384" s="56"/>
      <c r="K384" s="82" t="str">
        <f t="shared" si="115"/>
        <v>Invoice</v>
      </c>
      <c r="L384" s="83" t="str">
        <f>"SI_109979"</f>
        <v>SI_109979</v>
      </c>
      <c r="M384" s="84">
        <v>42474</v>
      </c>
      <c r="N384" s="85">
        <f t="shared" si="116"/>
        <v>1338</v>
      </c>
      <c r="O384" s="86">
        <f t="shared" si="117"/>
        <v>7427.42</v>
      </c>
      <c r="P384" s="86">
        <f t="shared" si="118"/>
        <v>0</v>
      </c>
      <c r="Q384" s="86">
        <f t="shared" si="119"/>
        <v>0</v>
      </c>
      <c r="R384" s="86">
        <f t="shared" si="120"/>
        <v>0</v>
      </c>
      <c r="S384" s="86">
        <f t="shared" si="121"/>
        <v>0</v>
      </c>
      <c r="T384" s="86">
        <f t="shared" si="122"/>
        <v>7427.42</v>
      </c>
      <c r="U384" s="87">
        <v>7427.42</v>
      </c>
    </row>
    <row r="385" spans="1:21" s="30" customFormat="1" ht="24.6" hidden="1" outlineLevel="1" x14ac:dyDescent="0.55000000000000004">
      <c r="A385" s="27" t="s">
        <v>327</v>
      </c>
      <c r="B385" s="28"/>
      <c r="C385" s="27"/>
      <c r="D385" s="27" t="str">
        <f>"""NAV Direct"",""CRONUS JetCorp USA"",""21"",""1"",""320538"""</f>
        <v>"NAV Direct","CRONUS JetCorp USA","21","1","320538"</v>
      </c>
      <c r="E385" s="31" t="str">
        <f t="shared" si="114"/>
        <v>C100023</v>
      </c>
      <c r="F385" s="31"/>
      <c r="G385" s="31"/>
      <c r="H385" s="31"/>
      <c r="I385" s="56"/>
      <c r="J385" s="56"/>
      <c r="K385" s="82" t="str">
        <f t="shared" si="115"/>
        <v>Invoice</v>
      </c>
      <c r="L385" s="83" t="str">
        <f>"SI_109992"</f>
        <v>SI_109992</v>
      </c>
      <c r="M385" s="84">
        <v>42640</v>
      </c>
      <c r="N385" s="85">
        <f t="shared" si="116"/>
        <v>1172</v>
      </c>
      <c r="O385" s="86">
        <f t="shared" si="117"/>
        <v>7669.68</v>
      </c>
      <c r="P385" s="86">
        <f t="shared" si="118"/>
        <v>0</v>
      </c>
      <c r="Q385" s="86">
        <f t="shared" si="119"/>
        <v>0</v>
      </c>
      <c r="R385" s="86">
        <f t="shared" si="120"/>
        <v>0</v>
      </c>
      <c r="S385" s="86">
        <f t="shared" si="121"/>
        <v>0</v>
      </c>
      <c r="T385" s="86">
        <f t="shared" si="122"/>
        <v>7669.68</v>
      </c>
      <c r="U385" s="87">
        <v>7669.68</v>
      </c>
    </row>
    <row r="386" spans="1:21" s="30" customFormat="1" ht="24.6" hidden="1" outlineLevel="1" x14ac:dyDescent="0.55000000000000004">
      <c r="A386" s="27" t="s">
        <v>327</v>
      </c>
      <c r="B386" s="28"/>
      <c r="C386" s="27"/>
      <c r="D386" s="27" t="str">
        <f>"""NAV Direct"",""CRONUS JetCorp USA"",""21"",""1"",""320557"""</f>
        <v>"NAV Direct","CRONUS JetCorp USA","21","1","320557"</v>
      </c>
      <c r="E386" s="31">
        <f t="shared" si="114"/>
        <v>0</v>
      </c>
      <c r="F386" s="31"/>
      <c r="G386" s="31"/>
      <c r="H386" s="31"/>
      <c r="I386" s="56"/>
      <c r="J386" s="56"/>
      <c r="K386" s="82" t="str">
        <f t="shared" si="115"/>
        <v>Invoice</v>
      </c>
      <c r="L386" s="83" t="str">
        <f>"SI_109993"</f>
        <v>SI_109993</v>
      </c>
      <c r="M386" s="84">
        <v>42627</v>
      </c>
      <c r="N386" s="85">
        <f t="shared" si="116"/>
        <v>1185</v>
      </c>
      <c r="O386" s="86">
        <f t="shared" si="117"/>
        <v>7669.7199999999993</v>
      </c>
      <c r="P386" s="86">
        <f t="shared" si="118"/>
        <v>0</v>
      </c>
      <c r="Q386" s="86">
        <f t="shared" si="119"/>
        <v>0</v>
      </c>
      <c r="R386" s="86">
        <f t="shared" si="120"/>
        <v>0</v>
      </c>
      <c r="S386" s="86">
        <f t="shared" si="121"/>
        <v>0</v>
      </c>
      <c r="T386" s="86">
        <f t="shared" si="122"/>
        <v>7669.7199999999993</v>
      </c>
      <c r="U386" s="87">
        <v>7669.7199999999993</v>
      </c>
    </row>
    <row r="387" spans="1:21" s="30" customFormat="1" ht="24.6" hidden="1" outlineLevel="1" x14ac:dyDescent="0.55000000000000004">
      <c r="A387" s="27" t="s">
        <v>327</v>
      </c>
      <c r="B387" s="28"/>
      <c r="C387" s="27"/>
      <c r="D387" s="27" t="str">
        <f>"""NAV Direct"",""CRONUS JetCorp USA"",""21"",""1"",""320808"""</f>
        <v>"NAV Direct","CRONUS JetCorp USA","21","1","320808"</v>
      </c>
      <c r="E387" s="31" t="str">
        <f t="shared" si="114"/>
        <v>C100023</v>
      </c>
      <c r="F387" s="31"/>
      <c r="G387" s="31"/>
      <c r="H387" s="31"/>
      <c r="I387" s="56"/>
      <c r="J387" s="56"/>
      <c r="K387" s="82" t="str">
        <f t="shared" si="115"/>
        <v>Invoice</v>
      </c>
      <c r="L387" s="83" t="str">
        <f>"SI_110004"</f>
        <v>SI_110004</v>
      </c>
      <c r="M387" s="84">
        <v>42713</v>
      </c>
      <c r="N387" s="85">
        <f t="shared" si="116"/>
        <v>1099</v>
      </c>
      <c r="O387" s="86">
        <f t="shared" si="117"/>
        <v>7941.36</v>
      </c>
      <c r="P387" s="86">
        <f t="shared" si="118"/>
        <v>0</v>
      </c>
      <c r="Q387" s="86">
        <f t="shared" si="119"/>
        <v>0</v>
      </c>
      <c r="R387" s="86">
        <f t="shared" si="120"/>
        <v>0</v>
      </c>
      <c r="S387" s="86">
        <f t="shared" si="121"/>
        <v>0</v>
      </c>
      <c r="T387" s="86">
        <f t="shared" si="122"/>
        <v>7941.36</v>
      </c>
      <c r="U387" s="87">
        <v>7941.36</v>
      </c>
    </row>
    <row r="388" spans="1:21" s="30" customFormat="1" ht="24.6" hidden="1" outlineLevel="1" x14ac:dyDescent="0.55000000000000004">
      <c r="A388" s="27" t="s">
        <v>327</v>
      </c>
      <c r="B388" s="28"/>
      <c r="C388" s="27"/>
      <c r="D388" s="27" t="str">
        <f>"""NAV Direct"",""CRONUS JetCorp USA"",""21"",""1"",""320825"""</f>
        <v>"NAV Direct","CRONUS JetCorp USA","21","1","320825"</v>
      </c>
      <c r="E388" s="31">
        <f t="shared" si="114"/>
        <v>0</v>
      </c>
      <c r="F388" s="31"/>
      <c r="G388" s="31"/>
      <c r="H388" s="31"/>
      <c r="I388" s="56"/>
      <c r="J388" s="56"/>
      <c r="K388" s="82" t="str">
        <f t="shared" si="115"/>
        <v>Invoice</v>
      </c>
      <c r="L388" s="83" t="str">
        <f>"SI_110005"</f>
        <v>SI_110005</v>
      </c>
      <c r="M388" s="84">
        <v>42713</v>
      </c>
      <c r="N388" s="85">
        <f t="shared" si="116"/>
        <v>1099</v>
      </c>
      <c r="O388" s="86">
        <f t="shared" si="117"/>
        <v>7941.23</v>
      </c>
      <c r="P388" s="86">
        <f t="shared" si="118"/>
        <v>0</v>
      </c>
      <c r="Q388" s="86">
        <f t="shared" si="119"/>
        <v>0</v>
      </c>
      <c r="R388" s="86">
        <f t="shared" si="120"/>
        <v>0</v>
      </c>
      <c r="S388" s="86">
        <f t="shared" si="121"/>
        <v>0</v>
      </c>
      <c r="T388" s="86">
        <f t="shared" si="122"/>
        <v>7941.23</v>
      </c>
      <c r="U388" s="87">
        <v>7941.23</v>
      </c>
    </row>
    <row r="389" spans="1:21" s="30" customFormat="1" ht="24.6" hidden="1" outlineLevel="1" x14ac:dyDescent="0.55000000000000004">
      <c r="A389" s="27" t="s">
        <v>327</v>
      </c>
      <c r="B389" s="28"/>
      <c r="C389" s="27"/>
      <c r="D389" s="27" t="str">
        <f>"""NAV Direct"",""CRONUS JetCorp USA"",""21"",""1"",""320890"""</f>
        <v>"NAV Direct","CRONUS JetCorp USA","21","1","320890"</v>
      </c>
      <c r="E389" s="31" t="str">
        <f t="shared" si="114"/>
        <v>C100023</v>
      </c>
      <c r="F389" s="31"/>
      <c r="G389" s="31"/>
      <c r="H389" s="31"/>
      <c r="I389" s="56"/>
      <c r="J389" s="56"/>
      <c r="K389" s="82" t="str">
        <f t="shared" si="115"/>
        <v>Invoice</v>
      </c>
      <c r="L389" s="83" t="str">
        <f>"SI_110008"</f>
        <v>SI_110008</v>
      </c>
      <c r="M389" s="84">
        <v>42733</v>
      </c>
      <c r="N389" s="85">
        <f t="shared" si="116"/>
        <v>1079</v>
      </c>
      <c r="O389" s="86">
        <f t="shared" si="117"/>
        <v>7893.69</v>
      </c>
      <c r="P389" s="86">
        <f t="shared" si="118"/>
        <v>0</v>
      </c>
      <c r="Q389" s="86">
        <f t="shared" si="119"/>
        <v>0</v>
      </c>
      <c r="R389" s="86">
        <f t="shared" si="120"/>
        <v>0</v>
      </c>
      <c r="S389" s="86">
        <f t="shared" si="121"/>
        <v>0</v>
      </c>
      <c r="T389" s="86">
        <f t="shared" si="122"/>
        <v>7893.69</v>
      </c>
      <c r="U389" s="87">
        <v>7893.69</v>
      </c>
    </row>
    <row r="390" spans="1:21" s="30" customFormat="1" ht="24.6" hidden="1" outlineLevel="1" x14ac:dyDescent="0.55000000000000004">
      <c r="A390" s="27" t="s">
        <v>327</v>
      </c>
      <c r="B390" s="28"/>
      <c r="C390" s="27"/>
      <c r="D390" s="27" t="str">
        <f>"""NAV Direct"",""CRONUS JetCorp USA"",""21"",""1"",""320913"""</f>
        <v>"NAV Direct","CRONUS JetCorp USA","21","1","320913"</v>
      </c>
      <c r="E390" s="31">
        <f t="shared" si="114"/>
        <v>0</v>
      </c>
      <c r="F390" s="31"/>
      <c r="G390" s="31"/>
      <c r="H390" s="31"/>
      <c r="I390" s="56"/>
      <c r="J390" s="56"/>
      <c r="K390" s="82" t="str">
        <f t="shared" si="115"/>
        <v>Invoice</v>
      </c>
      <c r="L390" s="83" t="str">
        <f>"SI_110009"</f>
        <v>SI_110009</v>
      </c>
      <c r="M390" s="84">
        <v>42749</v>
      </c>
      <c r="N390" s="85">
        <f t="shared" si="116"/>
        <v>1063</v>
      </c>
      <c r="O390" s="86">
        <f t="shared" si="117"/>
        <v>7893.71</v>
      </c>
      <c r="P390" s="86">
        <f t="shared" si="118"/>
        <v>0</v>
      </c>
      <c r="Q390" s="86">
        <f t="shared" si="119"/>
        <v>0</v>
      </c>
      <c r="R390" s="86">
        <f t="shared" si="120"/>
        <v>0</v>
      </c>
      <c r="S390" s="86">
        <f t="shared" si="121"/>
        <v>0</v>
      </c>
      <c r="T390" s="86">
        <f t="shared" si="122"/>
        <v>7893.71</v>
      </c>
      <c r="U390" s="87">
        <v>7893.71</v>
      </c>
    </row>
    <row r="391" spans="1:21" s="30" customFormat="1" ht="24.6" hidden="1" outlineLevel="1" x14ac:dyDescent="0.55000000000000004">
      <c r="A391" s="27" t="s">
        <v>327</v>
      </c>
      <c r="B391" s="28"/>
      <c r="C391" s="27"/>
      <c r="D391" s="27" t="str">
        <f>"""NAV Direct"",""CRONUS JetCorp USA"",""21"",""1"",""320967"""</f>
        <v>"NAV Direct","CRONUS JetCorp USA","21","1","320967"</v>
      </c>
      <c r="E391" s="31" t="str">
        <f t="shared" si="114"/>
        <v>C100023</v>
      </c>
      <c r="F391" s="31"/>
      <c r="G391" s="31"/>
      <c r="H391" s="31"/>
      <c r="I391" s="56"/>
      <c r="J391" s="56"/>
      <c r="K391" s="82" t="str">
        <f t="shared" si="115"/>
        <v>Invoice</v>
      </c>
      <c r="L391" s="83" t="str">
        <f>"SI_110011"</f>
        <v>SI_110011</v>
      </c>
      <c r="M391" s="84">
        <v>42761</v>
      </c>
      <c r="N391" s="85">
        <f t="shared" si="116"/>
        <v>1051</v>
      </c>
      <c r="O391" s="86">
        <f t="shared" si="117"/>
        <v>7892.94</v>
      </c>
      <c r="P391" s="86">
        <f t="shared" si="118"/>
        <v>0</v>
      </c>
      <c r="Q391" s="86">
        <f t="shared" si="119"/>
        <v>0</v>
      </c>
      <c r="R391" s="86">
        <f t="shared" si="120"/>
        <v>0</v>
      </c>
      <c r="S391" s="86">
        <f t="shared" si="121"/>
        <v>0</v>
      </c>
      <c r="T391" s="86">
        <f t="shared" si="122"/>
        <v>7892.94</v>
      </c>
      <c r="U391" s="87">
        <v>7892.94</v>
      </c>
    </row>
    <row r="392" spans="1:21" s="30" customFormat="1" ht="24.6" hidden="1" outlineLevel="1" x14ac:dyDescent="0.55000000000000004">
      <c r="A392" s="27" t="s">
        <v>327</v>
      </c>
      <c r="B392" s="28"/>
      <c r="C392" s="27"/>
      <c r="D392" s="27" t="str">
        <f>"""NAV Direct"",""CRONUS JetCorp USA"",""21"",""1"",""321015"""</f>
        <v>"NAV Direct","CRONUS JetCorp USA","21","1","321015"</v>
      </c>
      <c r="E392" s="31">
        <f t="shared" si="114"/>
        <v>0</v>
      </c>
      <c r="F392" s="31"/>
      <c r="G392" s="31"/>
      <c r="H392" s="31"/>
      <c r="I392" s="56"/>
      <c r="J392" s="56"/>
      <c r="K392" s="82" t="str">
        <f t="shared" si="115"/>
        <v>Invoice</v>
      </c>
      <c r="L392" s="83" t="str">
        <f>"SI_110013"</f>
        <v>SI_110013</v>
      </c>
      <c r="M392" s="84">
        <v>42777</v>
      </c>
      <c r="N392" s="85">
        <f t="shared" si="116"/>
        <v>1035</v>
      </c>
      <c r="O392" s="86">
        <f t="shared" si="117"/>
        <v>7869.1900000000005</v>
      </c>
      <c r="P392" s="86">
        <f t="shared" si="118"/>
        <v>0</v>
      </c>
      <c r="Q392" s="86">
        <f t="shared" si="119"/>
        <v>0</v>
      </c>
      <c r="R392" s="86">
        <f t="shared" si="120"/>
        <v>0</v>
      </c>
      <c r="S392" s="86">
        <f t="shared" si="121"/>
        <v>0</v>
      </c>
      <c r="T392" s="86">
        <f t="shared" si="122"/>
        <v>7869.1900000000005</v>
      </c>
      <c r="U392" s="87">
        <v>7869.1900000000005</v>
      </c>
    </row>
    <row r="393" spans="1:21" s="30" customFormat="1" ht="24.6" hidden="1" outlineLevel="1" x14ac:dyDescent="0.55000000000000004">
      <c r="A393" s="27" t="s">
        <v>327</v>
      </c>
      <c r="B393" s="28"/>
      <c r="C393" s="27"/>
      <c r="D393" s="27" t="str">
        <f>"""NAV Direct"",""CRONUS JetCorp USA"",""21"",""1"",""321220"""</f>
        <v>"NAV Direct","CRONUS JetCorp USA","21","1","321220"</v>
      </c>
      <c r="E393" s="31" t="str">
        <f t="shared" si="114"/>
        <v>C100023</v>
      </c>
      <c r="F393" s="31"/>
      <c r="G393" s="31"/>
      <c r="H393" s="31"/>
      <c r="I393" s="56"/>
      <c r="J393" s="56"/>
      <c r="K393" s="82" t="str">
        <f t="shared" si="115"/>
        <v>Invoice</v>
      </c>
      <c r="L393" s="83" t="str">
        <f>"SI_110022"</f>
        <v>SI_110022</v>
      </c>
      <c r="M393" s="84">
        <v>42837</v>
      </c>
      <c r="N393" s="85">
        <f t="shared" si="116"/>
        <v>975</v>
      </c>
      <c r="O393" s="86">
        <f t="shared" si="117"/>
        <v>7736.2699999999995</v>
      </c>
      <c r="P393" s="86">
        <f t="shared" si="118"/>
        <v>0</v>
      </c>
      <c r="Q393" s="86">
        <f t="shared" si="119"/>
        <v>0</v>
      </c>
      <c r="R393" s="86">
        <f t="shared" si="120"/>
        <v>0</v>
      </c>
      <c r="S393" s="86">
        <f t="shared" si="121"/>
        <v>0</v>
      </c>
      <c r="T393" s="86">
        <f t="shared" si="122"/>
        <v>7736.2699999999995</v>
      </c>
      <c r="U393" s="87">
        <v>7736.2699999999995</v>
      </c>
    </row>
    <row r="394" spans="1:21" s="30" customFormat="1" ht="24.6" hidden="1" outlineLevel="1" x14ac:dyDescent="0.55000000000000004">
      <c r="A394" s="27" t="s">
        <v>327</v>
      </c>
      <c r="B394" s="28"/>
      <c r="C394" s="27"/>
      <c r="D394" s="27" t="str">
        <f>"""NAV Direct"",""CRONUS JetCorp USA"",""21"",""1"",""321422"""</f>
        <v>"NAV Direct","CRONUS JetCorp USA","21","1","321422"</v>
      </c>
      <c r="E394" s="31">
        <f t="shared" si="114"/>
        <v>0</v>
      </c>
      <c r="F394" s="31"/>
      <c r="G394" s="31"/>
      <c r="H394" s="31"/>
      <c r="I394" s="56"/>
      <c r="J394" s="56"/>
      <c r="K394" s="82" t="str">
        <f t="shared" si="115"/>
        <v>Invoice</v>
      </c>
      <c r="L394" s="83" t="str">
        <f>"SI_110030"</f>
        <v>SI_110030</v>
      </c>
      <c r="M394" s="84">
        <v>42892</v>
      </c>
      <c r="N394" s="85">
        <f t="shared" si="116"/>
        <v>920</v>
      </c>
      <c r="O394" s="86">
        <f t="shared" si="117"/>
        <v>7705.37</v>
      </c>
      <c r="P394" s="86">
        <f t="shared" si="118"/>
        <v>0</v>
      </c>
      <c r="Q394" s="86">
        <f t="shared" si="119"/>
        <v>0</v>
      </c>
      <c r="R394" s="86">
        <f t="shared" si="120"/>
        <v>0</v>
      </c>
      <c r="S394" s="86">
        <f t="shared" si="121"/>
        <v>0</v>
      </c>
      <c r="T394" s="86">
        <f t="shared" si="122"/>
        <v>7705.37</v>
      </c>
      <c r="U394" s="87">
        <v>7705.37</v>
      </c>
    </row>
    <row r="395" spans="1:21" s="30" customFormat="1" ht="24.6" hidden="1" outlineLevel="1" x14ac:dyDescent="0.55000000000000004">
      <c r="A395" s="27" t="s">
        <v>327</v>
      </c>
      <c r="B395" s="28"/>
      <c r="C395" s="27"/>
      <c r="D395" s="27" t="str">
        <f>"""NAV Direct"",""CRONUS JetCorp USA"",""21"",""1"",""321460"""</f>
        <v>"NAV Direct","CRONUS JetCorp USA","21","1","321460"</v>
      </c>
      <c r="E395" s="31" t="str">
        <f t="shared" si="114"/>
        <v>C100023</v>
      </c>
      <c r="F395" s="31"/>
      <c r="G395" s="31"/>
      <c r="H395" s="31"/>
      <c r="I395" s="56"/>
      <c r="J395" s="56"/>
      <c r="K395" s="82" t="str">
        <f t="shared" si="115"/>
        <v>Invoice</v>
      </c>
      <c r="L395" s="83" t="str">
        <f>"SI_110032"</f>
        <v>SI_110032</v>
      </c>
      <c r="M395" s="84">
        <v>42898</v>
      </c>
      <c r="N395" s="85">
        <f t="shared" si="116"/>
        <v>914</v>
      </c>
      <c r="O395" s="86">
        <f t="shared" si="117"/>
        <v>7704.3899999999994</v>
      </c>
      <c r="P395" s="86">
        <f t="shared" si="118"/>
        <v>0</v>
      </c>
      <c r="Q395" s="86">
        <f t="shared" si="119"/>
        <v>0</v>
      </c>
      <c r="R395" s="86">
        <f t="shared" si="120"/>
        <v>0</v>
      </c>
      <c r="S395" s="86">
        <f t="shared" si="121"/>
        <v>0</v>
      </c>
      <c r="T395" s="86">
        <f t="shared" si="122"/>
        <v>7704.3899999999994</v>
      </c>
      <c r="U395" s="87">
        <v>7704.3899999999994</v>
      </c>
    </row>
    <row r="396" spans="1:21" s="30" customFormat="1" ht="24.6" hidden="1" outlineLevel="1" x14ac:dyDescent="0.55000000000000004">
      <c r="A396" s="27" t="s">
        <v>327</v>
      </c>
      <c r="B396" s="28"/>
      <c r="C396" s="27"/>
      <c r="D396" s="27" t="str">
        <f>"""NAV Direct"",""CRONUS JetCorp USA"",""21"",""1"",""321542"""</f>
        <v>"NAV Direct","CRONUS JetCorp USA","21","1","321542"</v>
      </c>
      <c r="E396" s="31">
        <f t="shared" si="114"/>
        <v>0</v>
      </c>
      <c r="F396" s="31"/>
      <c r="G396" s="31"/>
      <c r="H396" s="31"/>
      <c r="I396" s="56"/>
      <c r="J396" s="56"/>
      <c r="K396" s="82" t="str">
        <f t="shared" si="115"/>
        <v>Invoice</v>
      </c>
      <c r="L396" s="83" t="str">
        <f>"SI_110036"</f>
        <v>SI_110036</v>
      </c>
      <c r="M396" s="84">
        <v>42926</v>
      </c>
      <c r="N396" s="85">
        <f t="shared" si="116"/>
        <v>886</v>
      </c>
      <c r="O396" s="86">
        <f t="shared" si="117"/>
        <v>7682.27</v>
      </c>
      <c r="P396" s="86">
        <f t="shared" si="118"/>
        <v>0</v>
      </c>
      <c r="Q396" s="86">
        <f t="shared" si="119"/>
        <v>0</v>
      </c>
      <c r="R396" s="86">
        <f t="shared" si="120"/>
        <v>0</v>
      </c>
      <c r="S396" s="86">
        <f t="shared" si="121"/>
        <v>0</v>
      </c>
      <c r="T396" s="86">
        <f t="shared" si="122"/>
        <v>7682.27</v>
      </c>
      <c r="U396" s="87">
        <v>7682.27</v>
      </c>
    </row>
    <row r="397" spans="1:21" s="30" customFormat="1" ht="24.6" hidden="1" outlineLevel="1" x14ac:dyDescent="0.55000000000000004">
      <c r="A397" s="27" t="s">
        <v>327</v>
      </c>
      <c r="B397" s="28"/>
      <c r="C397" s="27"/>
      <c r="D397" s="27" t="str">
        <f>"""NAV Direct"",""CRONUS JetCorp USA"",""21"",""1"",""321676"""</f>
        <v>"NAV Direct","CRONUS JetCorp USA","21","1","321676"</v>
      </c>
      <c r="E397" s="31" t="str">
        <f t="shared" si="114"/>
        <v>C100023</v>
      </c>
      <c r="F397" s="31"/>
      <c r="G397" s="31"/>
      <c r="H397" s="31"/>
      <c r="I397" s="56"/>
      <c r="J397" s="56"/>
      <c r="K397" s="82" t="str">
        <f t="shared" si="115"/>
        <v>Invoice</v>
      </c>
      <c r="L397" s="83" t="str">
        <f>"SI_110042"</f>
        <v>SI_110042</v>
      </c>
      <c r="M397" s="84">
        <v>42984</v>
      </c>
      <c r="N397" s="85">
        <f t="shared" si="116"/>
        <v>828</v>
      </c>
      <c r="O397" s="86">
        <f t="shared" si="117"/>
        <v>7626.83</v>
      </c>
      <c r="P397" s="86">
        <f t="shared" si="118"/>
        <v>0</v>
      </c>
      <c r="Q397" s="86">
        <f t="shared" si="119"/>
        <v>0</v>
      </c>
      <c r="R397" s="86">
        <f t="shared" si="120"/>
        <v>0</v>
      </c>
      <c r="S397" s="86">
        <f t="shared" si="121"/>
        <v>0</v>
      </c>
      <c r="T397" s="86">
        <f t="shared" si="122"/>
        <v>7626.83</v>
      </c>
      <c r="U397" s="87">
        <v>7626.83</v>
      </c>
    </row>
    <row r="398" spans="1:21" s="30" customFormat="1" ht="24.6" hidden="1" outlineLevel="1" x14ac:dyDescent="0.55000000000000004">
      <c r="A398" s="27" t="s">
        <v>327</v>
      </c>
      <c r="B398" s="28"/>
      <c r="C398" s="27"/>
      <c r="D398" s="27" t="str">
        <f>"""NAV Direct"",""CRONUS JetCorp USA"",""21"",""1"",""321722"""</f>
        <v>"NAV Direct","CRONUS JetCorp USA","21","1","321722"</v>
      </c>
      <c r="E398" s="31">
        <f t="shared" si="114"/>
        <v>0</v>
      </c>
      <c r="F398" s="31"/>
      <c r="G398" s="31"/>
      <c r="H398" s="31"/>
      <c r="I398" s="56"/>
      <c r="J398" s="56"/>
      <c r="K398" s="82" t="str">
        <f t="shared" si="115"/>
        <v>Invoice</v>
      </c>
      <c r="L398" s="83" t="str">
        <f>"SI_110044"</f>
        <v>SI_110044</v>
      </c>
      <c r="M398" s="84">
        <v>42990</v>
      </c>
      <c r="N398" s="85">
        <f t="shared" si="116"/>
        <v>822</v>
      </c>
      <c r="O398" s="86">
        <f t="shared" si="117"/>
        <v>7626.53</v>
      </c>
      <c r="P398" s="86">
        <f t="shared" si="118"/>
        <v>0</v>
      </c>
      <c r="Q398" s="86">
        <f t="shared" si="119"/>
        <v>0</v>
      </c>
      <c r="R398" s="86">
        <f t="shared" si="120"/>
        <v>0</v>
      </c>
      <c r="S398" s="86">
        <f t="shared" si="121"/>
        <v>0</v>
      </c>
      <c r="T398" s="86">
        <f t="shared" si="122"/>
        <v>7626.53</v>
      </c>
      <c r="U398" s="87">
        <v>7626.53</v>
      </c>
    </row>
    <row r="399" spans="1:21" s="30" customFormat="1" ht="24.6" hidden="1" outlineLevel="1" x14ac:dyDescent="0.55000000000000004">
      <c r="A399" s="27" t="s">
        <v>327</v>
      </c>
      <c r="B399" s="28"/>
      <c r="C399" s="27"/>
      <c r="D399" s="27" t="str">
        <f>"""NAV Direct"",""CRONUS JetCorp USA"",""21"",""1"",""321866"""</f>
        <v>"NAV Direct","CRONUS JetCorp USA","21","1","321866"</v>
      </c>
      <c r="E399" s="31" t="str">
        <f t="shared" si="114"/>
        <v>C100023</v>
      </c>
      <c r="F399" s="31"/>
      <c r="G399" s="31"/>
      <c r="H399" s="31"/>
      <c r="I399" s="56"/>
      <c r="J399" s="56"/>
      <c r="K399" s="82" t="str">
        <f t="shared" si="115"/>
        <v>Invoice</v>
      </c>
      <c r="L399" s="83" t="str">
        <f>"SI_110050"</f>
        <v>SI_110050</v>
      </c>
      <c r="M399" s="84">
        <v>43048</v>
      </c>
      <c r="N399" s="85">
        <f t="shared" si="116"/>
        <v>764</v>
      </c>
      <c r="O399" s="86">
        <f t="shared" si="117"/>
        <v>6982.98</v>
      </c>
      <c r="P399" s="86">
        <f t="shared" si="118"/>
        <v>0</v>
      </c>
      <c r="Q399" s="86">
        <f t="shared" si="119"/>
        <v>0</v>
      </c>
      <c r="R399" s="86">
        <f t="shared" si="120"/>
        <v>0</v>
      </c>
      <c r="S399" s="86">
        <f t="shared" si="121"/>
        <v>0</v>
      </c>
      <c r="T399" s="86">
        <f t="shared" si="122"/>
        <v>6982.98</v>
      </c>
      <c r="U399" s="87">
        <v>6982.98</v>
      </c>
    </row>
    <row r="400" spans="1:21" s="30" customFormat="1" ht="24.6" hidden="1" outlineLevel="1" x14ac:dyDescent="0.55000000000000004">
      <c r="A400" s="27" t="s">
        <v>327</v>
      </c>
      <c r="B400" s="28"/>
      <c r="C400" s="27"/>
      <c r="D400" s="27" t="str">
        <f>"""NAV Direct"",""CRONUS JetCorp USA"",""21"",""1"",""321958"""</f>
        <v>"NAV Direct","CRONUS JetCorp USA","21","1","321958"</v>
      </c>
      <c r="E400" s="31">
        <f t="shared" si="114"/>
        <v>0</v>
      </c>
      <c r="F400" s="31"/>
      <c r="G400" s="31"/>
      <c r="H400" s="31"/>
      <c r="I400" s="56"/>
      <c r="J400" s="56"/>
      <c r="K400" s="82" t="str">
        <f t="shared" si="115"/>
        <v>Invoice</v>
      </c>
      <c r="L400" s="83" t="str">
        <f>"SI_110054"</f>
        <v>SI_110054</v>
      </c>
      <c r="M400" s="84">
        <v>43055</v>
      </c>
      <c r="N400" s="85">
        <f t="shared" si="116"/>
        <v>757</v>
      </c>
      <c r="O400" s="86">
        <f t="shared" si="117"/>
        <v>6983.3899999999994</v>
      </c>
      <c r="P400" s="86">
        <f t="shared" si="118"/>
        <v>0</v>
      </c>
      <c r="Q400" s="86">
        <f t="shared" si="119"/>
        <v>0</v>
      </c>
      <c r="R400" s="86">
        <f t="shared" si="120"/>
        <v>0</v>
      </c>
      <c r="S400" s="86">
        <f t="shared" si="121"/>
        <v>0</v>
      </c>
      <c r="T400" s="86">
        <f t="shared" si="122"/>
        <v>6983.3899999999994</v>
      </c>
      <c r="U400" s="87">
        <v>6983.3899999999994</v>
      </c>
    </row>
    <row r="401" spans="1:21" s="30" customFormat="1" ht="24.6" hidden="1" outlineLevel="1" x14ac:dyDescent="0.55000000000000004">
      <c r="A401" s="27" t="s">
        <v>327</v>
      </c>
      <c r="B401" s="28"/>
      <c r="C401" s="27"/>
      <c r="D401" s="27" t="str">
        <f>"""NAV Direct"",""CRONUS JetCorp USA"",""21"",""1"",""322137"""</f>
        <v>"NAV Direct","CRONUS JetCorp USA","21","1","322137"</v>
      </c>
      <c r="E401" s="31" t="str">
        <f t="shared" si="114"/>
        <v>C100023</v>
      </c>
      <c r="F401" s="31"/>
      <c r="G401" s="31"/>
      <c r="H401" s="31"/>
      <c r="I401" s="56"/>
      <c r="J401" s="56"/>
      <c r="K401" s="82" t="str">
        <f t="shared" si="115"/>
        <v>Invoice</v>
      </c>
      <c r="L401" s="83" t="str">
        <f>"SI_110061"</f>
        <v>SI_110061</v>
      </c>
      <c r="M401" s="84">
        <v>43134</v>
      </c>
      <c r="N401" s="85">
        <f t="shared" si="116"/>
        <v>678</v>
      </c>
      <c r="O401" s="86">
        <f t="shared" si="117"/>
        <v>5962.11</v>
      </c>
      <c r="P401" s="86">
        <f t="shared" si="118"/>
        <v>0</v>
      </c>
      <c r="Q401" s="86">
        <f t="shared" si="119"/>
        <v>0</v>
      </c>
      <c r="R401" s="86">
        <f t="shared" si="120"/>
        <v>0</v>
      </c>
      <c r="S401" s="86">
        <f t="shared" si="121"/>
        <v>0</v>
      </c>
      <c r="T401" s="86">
        <f t="shared" si="122"/>
        <v>5962.11</v>
      </c>
      <c r="U401" s="87">
        <v>5962.11</v>
      </c>
    </row>
    <row r="402" spans="1:21" s="30" customFormat="1" ht="24.6" hidden="1" outlineLevel="1" x14ac:dyDescent="0.55000000000000004">
      <c r="A402" s="27" t="s">
        <v>327</v>
      </c>
      <c r="B402" s="28"/>
      <c r="C402" s="27"/>
      <c r="D402" s="27" t="str">
        <f>"""NAV Direct"",""CRONUS JetCorp USA"",""21"",""1"",""322227"""</f>
        <v>"NAV Direct","CRONUS JetCorp USA","21","1","322227"</v>
      </c>
      <c r="E402" s="31">
        <f t="shared" si="114"/>
        <v>0</v>
      </c>
      <c r="F402" s="31"/>
      <c r="G402" s="31"/>
      <c r="H402" s="31"/>
      <c r="I402" s="56"/>
      <c r="J402" s="56"/>
      <c r="K402" s="82" t="str">
        <f t="shared" si="115"/>
        <v>Invoice</v>
      </c>
      <c r="L402" s="83" t="str">
        <f>"SI_110065"</f>
        <v>SI_110065</v>
      </c>
      <c r="M402" s="84">
        <v>43162</v>
      </c>
      <c r="N402" s="85">
        <f t="shared" si="116"/>
        <v>650</v>
      </c>
      <c r="O402" s="86">
        <f t="shared" si="117"/>
        <v>5670.1500000000005</v>
      </c>
      <c r="P402" s="86">
        <f t="shared" si="118"/>
        <v>0</v>
      </c>
      <c r="Q402" s="86">
        <f t="shared" si="119"/>
        <v>0</v>
      </c>
      <c r="R402" s="86">
        <f t="shared" si="120"/>
        <v>0</v>
      </c>
      <c r="S402" s="86">
        <f t="shared" si="121"/>
        <v>0</v>
      </c>
      <c r="T402" s="86">
        <f t="shared" si="122"/>
        <v>5670.1500000000005</v>
      </c>
      <c r="U402" s="87">
        <v>5670.1500000000005</v>
      </c>
    </row>
    <row r="403" spans="1:21" s="30" customFormat="1" ht="24.6" hidden="1" outlineLevel="1" x14ac:dyDescent="0.55000000000000004">
      <c r="A403" s="27" t="s">
        <v>327</v>
      </c>
      <c r="B403" s="28"/>
      <c r="C403" s="27"/>
      <c r="D403" s="27" t="str">
        <f>"""NAV Direct"",""CRONUS JetCorp USA"",""21"",""1"",""322342"""</f>
        <v>"NAV Direct","CRONUS JetCorp USA","21","1","322342"</v>
      </c>
      <c r="E403" s="31" t="str">
        <f t="shared" si="114"/>
        <v>C100023</v>
      </c>
      <c r="F403" s="31"/>
      <c r="G403" s="31"/>
      <c r="H403" s="31"/>
      <c r="I403" s="56"/>
      <c r="J403" s="56"/>
      <c r="K403" s="82" t="str">
        <f t="shared" si="115"/>
        <v>Invoice</v>
      </c>
      <c r="L403" s="83" t="str">
        <f>"SI_110070"</f>
        <v>SI_110070</v>
      </c>
      <c r="M403" s="84">
        <v>43202</v>
      </c>
      <c r="N403" s="85">
        <f t="shared" si="116"/>
        <v>610</v>
      </c>
      <c r="O403" s="86">
        <f t="shared" si="117"/>
        <v>5272.5999999999995</v>
      </c>
      <c r="P403" s="86">
        <f t="shared" si="118"/>
        <v>0</v>
      </c>
      <c r="Q403" s="86">
        <f t="shared" si="119"/>
        <v>0</v>
      </c>
      <c r="R403" s="86">
        <f t="shared" si="120"/>
        <v>0</v>
      </c>
      <c r="S403" s="86">
        <f t="shared" si="121"/>
        <v>0</v>
      </c>
      <c r="T403" s="86">
        <f t="shared" si="122"/>
        <v>5272.5999999999995</v>
      </c>
      <c r="U403" s="87">
        <v>5272.5999999999995</v>
      </c>
    </row>
    <row r="404" spans="1:21" s="30" customFormat="1" ht="24.6" hidden="1" outlineLevel="1" x14ac:dyDescent="0.55000000000000004">
      <c r="A404" s="27" t="s">
        <v>327</v>
      </c>
      <c r="B404" s="28"/>
      <c r="C404" s="27"/>
      <c r="D404" s="27" t="str">
        <f>"""NAV Direct"",""CRONUS JetCorp USA"",""21"",""1"",""322367"""</f>
        <v>"NAV Direct","CRONUS JetCorp USA","21","1","322367"</v>
      </c>
      <c r="E404" s="31">
        <f t="shared" si="114"/>
        <v>0</v>
      </c>
      <c r="F404" s="31"/>
      <c r="G404" s="31"/>
      <c r="H404" s="31"/>
      <c r="I404" s="56"/>
      <c r="J404" s="56"/>
      <c r="K404" s="82" t="str">
        <f t="shared" si="115"/>
        <v>Invoice</v>
      </c>
      <c r="L404" s="83" t="str">
        <f>"SI_110071"</f>
        <v>SI_110071</v>
      </c>
      <c r="M404" s="84">
        <v>43204</v>
      </c>
      <c r="N404" s="85">
        <f t="shared" si="116"/>
        <v>608</v>
      </c>
      <c r="O404" s="86">
        <f t="shared" si="117"/>
        <v>5272.7</v>
      </c>
      <c r="P404" s="86">
        <f t="shared" si="118"/>
        <v>0</v>
      </c>
      <c r="Q404" s="86">
        <f t="shared" si="119"/>
        <v>0</v>
      </c>
      <c r="R404" s="86">
        <f t="shared" si="120"/>
        <v>0</v>
      </c>
      <c r="S404" s="86">
        <f t="shared" si="121"/>
        <v>0</v>
      </c>
      <c r="T404" s="86">
        <f t="shared" si="122"/>
        <v>5272.7</v>
      </c>
      <c r="U404" s="87">
        <v>5272.7</v>
      </c>
    </row>
    <row r="405" spans="1:21" s="30" customFormat="1" ht="24.6" hidden="1" outlineLevel="1" x14ac:dyDescent="0.55000000000000004">
      <c r="A405" s="27" t="s">
        <v>327</v>
      </c>
      <c r="B405" s="28"/>
      <c r="C405" s="27"/>
      <c r="D405" s="27" t="str">
        <f>"""NAV Direct"",""CRONUS JetCorp USA"",""21"",""1"",""322522"""</f>
        <v>"NAV Direct","CRONUS JetCorp USA","21","1","322522"</v>
      </c>
      <c r="E405" s="31" t="str">
        <f t="shared" si="114"/>
        <v>C100023</v>
      </c>
      <c r="F405" s="31"/>
      <c r="G405" s="31"/>
      <c r="H405" s="31"/>
      <c r="I405" s="56"/>
      <c r="J405" s="56"/>
      <c r="K405" s="82" t="str">
        <f t="shared" si="115"/>
        <v>Invoice</v>
      </c>
      <c r="L405" s="83" t="str">
        <f>"SI_110078"</f>
        <v>SI_110078</v>
      </c>
      <c r="M405" s="84">
        <v>43255</v>
      </c>
      <c r="N405" s="85">
        <f t="shared" si="116"/>
        <v>557</v>
      </c>
      <c r="O405" s="86">
        <f t="shared" si="117"/>
        <v>5012.83</v>
      </c>
      <c r="P405" s="86">
        <f t="shared" si="118"/>
        <v>0</v>
      </c>
      <c r="Q405" s="86">
        <f t="shared" si="119"/>
        <v>0</v>
      </c>
      <c r="R405" s="86">
        <f t="shared" si="120"/>
        <v>0</v>
      </c>
      <c r="S405" s="86">
        <f t="shared" si="121"/>
        <v>0</v>
      </c>
      <c r="T405" s="86">
        <f t="shared" si="122"/>
        <v>5012.83</v>
      </c>
      <c r="U405" s="87">
        <v>5012.83</v>
      </c>
    </row>
    <row r="406" spans="1:21" s="30" customFormat="1" ht="24.6" hidden="1" outlineLevel="1" x14ac:dyDescent="0.55000000000000004">
      <c r="A406" s="27" t="s">
        <v>327</v>
      </c>
      <c r="B406" s="28"/>
      <c r="C406" s="27"/>
      <c r="D406" s="27" t="str">
        <f>"""NAV Direct"",""CRONUS JetCorp USA"",""21"",""1"",""322555"""</f>
        <v>"NAV Direct","CRONUS JetCorp USA","21","1","322555"</v>
      </c>
      <c r="E406" s="31">
        <f t="shared" si="114"/>
        <v>0</v>
      </c>
      <c r="F406" s="31"/>
      <c r="G406" s="31"/>
      <c r="H406" s="31"/>
      <c r="I406" s="56"/>
      <c r="J406" s="56"/>
      <c r="K406" s="82" t="str">
        <f t="shared" si="115"/>
        <v>Invoice</v>
      </c>
      <c r="L406" s="83" t="str">
        <f>"SI_110079"</f>
        <v>SI_110079</v>
      </c>
      <c r="M406" s="84">
        <v>43253</v>
      </c>
      <c r="N406" s="85">
        <f t="shared" si="116"/>
        <v>559</v>
      </c>
      <c r="O406" s="86">
        <f t="shared" si="117"/>
        <v>5012.63</v>
      </c>
      <c r="P406" s="86">
        <f t="shared" si="118"/>
        <v>0</v>
      </c>
      <c r="Q406" s="86">
        <f t="shared" si="119"/>
        <v>0</v>
      </c>
      <c r="R406" s="86">
        <f t="shared" si="120"/>
        <v>0</v>
      </c>
      <c r="S406" s="86">
        <f t="shared" si="121"/>
        <v>0</v>
      </c>
      <c r="T406" s="86">
        <f t="shared" si="122"/>
        <v>5012.63</v>
      </c>
      <c r="U406" s="87">
        <v>5012.63</v>
      </c>
    </row>
    <row r="407" spans="1:21" s="30" customFormat="1" ht="24.6" hidden="1" outlineLevel="1" x14ac:dyDescent="0.55000000000000004">
      <c r="A407" s="27" t="s">
        <v>327</v>
      </c>
      <c r="B407" s="28"/>
      <c r="C407" s="27"/>
      <c r="D407" s="27" t="str">
        <f>"""NAV Direct"",""CRONUS JetCorp USA"",""21"",""1"",""322572"""</f>
        <v>"NAV Direct","CRONUS JetCorp USA","21","1","322572"</v>
      </c>
      <c r="E407" s="31" t="str">
        <f t="shared" si="114"/>
        <v>C100023</v>
      </c>
      <c r="F407" s="31"/>
      <c r="G407" s="31"/>
      <c r="H407" s="31"/>
      <c r="I407" s="56"/>
      <c r="J407" s="56"/>
      <c r="K407" s="82" t="str">
        <f t="shared" si="115"/>
        <v>Invoice</v>
      </c>
      <c r="L407" s="83" t="str">
        <f>"SI_110080"</f>
        <v>SI_110080</v>
      </c>
      <c r="M407" s="84">
        <v>43261</v>
      </c>
      <c r="N407" s="85">
        <f t="shared" si="116"/>
        <v>551</v>
      </c>
      <c r="O407" s="86">
        <f t="shared" si="117"/>
        <v>5011.6400000000003</v>
      </c>
      <c r="P407" s="86">
        <f t="shared" si="118"/>
        <v>0</v>
      </c>
      <c r="Q407" s="86">
        <f t="shared" si="119"/>
        <v>0</v>
      </c>
      <c r="R407" s="86">
        <f t="shared" si="120"/>
        <v>0</v>
      </c>
      <c r="S407" s="86">
        <f t="shared" si="121"/>
        <v>0</v>
      </c>
      <c r="T407" s="86">
        <f t="shared" si="122"/>
        <v>5011.6400000000003</v>
      </c>
      <c r="U407" s="87">
        <v>5011.6400000000003</v>
      </c>
    </row>
    <row r="408" spans="1:21" s="30" customFormat="1" ht="24.6" hidden="1" outlineLevel="1" x14ac:dyDescent="0.55000000000000004">
      <c r="A408" s="27" t="s">
        <v>327</v>
      </c>
      <c r="B408" s="28"/>
      <c r="C408" s="27"/>
      <c r="D408" s="27" t="str">
        <f>"""NAV Direct"",""CRONUS JetCorp USA"",""21"",""1"",""322877"""</f>
        <v>"NAV Direct","CRONUS JetCorp USA","21","1","322877"</v>
      </c>
      <c r="E408" s="31">
        <f t="shared" si="114"/>
        <v>0</v>
      </c>
      <c r="F408" s="31"/>
      <c r="G408" s="31"/>
      <c r="H408" s="31"/>
      <c r="I408" s="56"/>
      <c r="J408" s="56"/>
      <c r="K408" s="82" t="str">
        <f t="shared" si="115"/>
        <v>Invoice</v>
      </c>
      <c r="L408" s="83" t="str">
        <f>"SI_110093"</f>
        <v>SI_110093</v>
      </c>
      <c r="M408" s="84">
        <v>43383</v>
      </c>
      <c r="N408" s="85">
        <f t="shared" si="116"/>
        <v>429</v>
      </c>
      <c r="O408" s="86">
        <f t="shared" si="117"/>
        <v>5131.55</v>
      </c>
      <c r="P408" s="86">
        <f t="shared" si="118"/>
        <v>0</v>
      </c>
      <c r="Q408" s="86">
        <f t="shared" si="119"/>
        <v>0</v>
      </c>
      <c r="R408" s="86">
        <f t="shared" si="120"/>
        <v>0</v>
      </c>
      <c r="S408" s="86">
        <f t="shared" si="121"/>
        <v>0</v>
      </c>
      <c r="T408" s="86">
        <f t="shared" si="122"/>
        <v>5131.55</v>
      </c>
      <c r="U408" s="87">
        <v>5131.55</v>
      </c>
    </row>
    <row r="409" spans="1:21" s="30" customFormat="1" ht="24.6" hidden="1" outlineLevel="1" x14ac:dyDescent="0.55000000000000004">
      <c r="A409" s="27" t="s">
        <v>327</v>
      </c>
      <c r="B409" s="28"/>
      <c r="C409" s="27"/>
      <c r="D409" s="27" t="str">
        <f>"""NAV Direct"",""CRONUS JetCorp USA"",""21"",""1"",""322973"""</f>
        <v>"NAV Direct","CRONUS JetCorp USA","21","1","322973"</v>
      </c>
      <c r="E409" s="31" t="str">
        <f t="shared" si="114"/>
        <v>C100023</v>
      </c>
      <c r="F409" s="31"/>
      <c r="G409" s="31"/>
      <c r="H409" s="31"/>
      <c r="I409" s="56"/>
      <c r="J409" s="56"/>
      <c r="K409" s="82" t="str">
        <f t="shared" si="115"/>
        <v>Invoice</v>
      </c>
      <c r="L409" s="83" t="str">
        <f>"SI_110097"</f>
        <v>SI_110097</v>
      </c>
      <c r="M409" s="84">
        <v>43421</v>
      </c>
      <c r="N409" s="85">
        <f t="shared" si="116"/>
        <v>391</v>
      </c>
      <c r="O409" s="86">
        <f t="shared" si="117"/>
        <v>5184</v>
      </c>
      <c r="P409" s="86">
        <f t="shared" si="118"/>
        <v>0</v>
      </c>
      <c r="Q409" s="86">
        <f t="shared" si="119"/>
        <v>0</v>
      </c>
      <c r="R409" s="86">
        <f t="shared" si="120"/>
        <v>0</v>
      </c>
      <c r="S409" s="86">
        <f t="shared" si="121"/>
        <v>0</v>
      </c>
      <c r="T409" s="86">
        <f t="shared" si="122"/>
        <v>5184</v>
      </c>
      <c r="U409" s="87">
        <v>5184</v>
      </c>
    </row>
    <row r="410" spans="1:21" s="30" customFormat="1" ht="24.6" hidden="1" outlineLevel="1" x14ac:dyDescent="0.55000000000000004">
      <c r="A410" s="27" t="s">
        <v>327</v>
      </c>
      <c r="B410" s="28"/>
      <c r="C410" s="27"/>
      <c r="D410" s="27" t="str">
        <f>"""NAV Direct"",""CRONUS JetCorp USA"",""21"",""1"",""323101"""</f>
        <v>"NAV Direct","CRONUS JetCorp USA","21","1","323101"</v>
      </c>
      <c r="E410" s="31">
        <f t="shared" si="114"/>
        <v>0</v>
      </c>
      <c r="F410" s="31"/>
      <c r="G410" s="31"/>
      <c r="H410" s="31"/>
      <c r="I410" s="56"/>
      <c r="J410" s="56"/>
      <c r="K410" s="82" t="str">
        <f t="shared" si="115"/>
        <v>Invoice</v>
      </c>
      <c r="L410" s="83" t="str">
        <f>"SI_110103"</f>
        <v>SI_110103</v>
      </c>
      <c r="M410" s="84">
        <v>43477</v>
      </c>
      <c r="N410" s="85">
        <f t="shared" si="116"/>
        <v>335</v>
      </c>
      <c r="O410" s="86">
        <f t="shared" si="117"/>
        <v>5418.3600000000006</v>
      </c>
      <c r="P410" s="86">
        <f t="shared" si="118"/>
        <v>0</v>
      </c>
      <c r="Q410" s="86">
        <f t="shared" si="119"/>
        <v>0</v>
      </c>
      <c r="R410" s="86">
        <f t="shared" si="120"/>
        <v>0</v>
      </c>
      <c r="S410" s="86">
        <f t="shared" si="121"/>
        <v>0</v>
      </c>
      <c r="T410" s="86">
        <f t="shared" si="122"/>
        <v>5418.3600000000006</v>
      </c>
      <c r="U410" s="87">
        <v>5418.3600000000006</v>
      </c>
    </row>
    <row r="411" spans="1:21" s="30" customFormat="1" ht="24.6" hidden="1" outlineLevel="1" x14ac:dyDescent="0.55000000000000004">
      <c r="A411" s="27" t="s">
        <v>327</v>
      </c>
      <c r="B411" s="28"/>
      <c r="C411" s="27"/>
      <c r="D411" s="27" t="str">
        <f>"""NAV Direct"",""CRONUS JetCorp USA"",""21"",""1"",""323168"""</f>
        <v>"NAV Direct","CRONUS JetCorp USA","21","1","323168"</v>
      </c>
      <c r="E411" s="31" t="str">
        <f t="shared" ref="E411:E442" si="123">E409</f>
        <v>C100023</v>
      </c>
      <c r="F411" s="31"/>
      <c r="G411" s="31"/>
      <c r="H411" s="31"/>
      <c r="I411" s="56"/>
      <c r="J411" s="56"/>
      <c r="K411" s="82" t="str">
        <f t="shared" ref="K411:K432" si="124">"Invoice"</f>
        <v>Invoice</v>
      </c>
      <c r="L411" s="83" t="str">
        <f>"SI_110106"</f>
        <v>SI_110106</v>
      </c>
      <c r="M411" s="84">
        <v>43513</v>
      </c>
      <c r="N411" s="85">
        <f t="shared" ref="N411:N442" si="125">StartDate-$M411+1</f>
        <v>299</v>
      </c>
      <c r="O411" s="86">
        <f t="shared" ref="O411:O442" si="126">SUM(P411:T411)</f>
        <v>5490.08</v>
      </c>
      <c r="P411" s="86">
        <f t="shared" ref="P411:P442" si="127">IF($M411&gt;=$P$18,U411,0)</f>
        <v>0</v>
      </c>
      <c r="Q411" s="86">
        <f t="shared" ref="Q411:Q442" si="128">IF(AND($M411&gt;=$Q$16,$M411&lt;=$Q$18),U411,0)</f>
        <v>0</v>
      </c>
      <c r="R411" s="86">
        <f t="shared" ref="R411:R442" si="129">IF(AND($M411&gt;=$R$16,$M411&lt;=$R$18),U411,0)</f>
        <v>0</v>
      </c>
      <c r="S411" s="86">
        <f t="shared" ref="S411:S442" si="130">IF(AND($M411&gt;=$S$16,$M411&lt;=$S$18),U411,0)</f>
        <v>0</v>
      </c>
      <c r="T411" s="86">
        <f t="shared" ref="T411:T442" si="131">IF($M411&lt;=$T$18,U411,0)</f>
        <v>5490.08</v>
      </c>
      <c r="U411" s="87">
        <v>5490.08</v>
      </c>
    </row>
    <row r="412" spans="1:21" s="30" customFormat="1" ht="24.6" hidden="1" outlineLevel="1" x14ac:dyDescent="0.55000000000000004">
      <c r="A412" s="27" t="s">
        <v>327</v>
      </c>
      <c r="B412" s="28"/>
      <c r="C412" s="27"/>
      <c r="D412" s="27" t="str">
        <f>"""NAV Direct"",""CRONUS JetCorp USA"",""21"",""1"",""323258"""</f>
        <v>"NAV Direct","CRONUS JetCorp USA","21","1","323258"</v>
      </c>
      <c r="E412" s="31">
        <f t="shared" si="123"/>
        <v>0</v>
      </c>
      <c r="F412" s="31"/>
      <c r="G412" s="31"/>
      <c r="H412" s="31"/>
      <c r="I412" s="56"/>
      <c r="J412" s="56"/>
      <c r="K412" s="82" t="str">
        <f t="shared" si="124"/>
        <v>Invoice</v>
      </c>
      <c r="L412" s="83" t="str">
        <f>"SI_110110"</f>
        <v>SI_110110</v>
      </c>
      <c r="M412" s="84">
        <v>43560</v>
      </c>
      <c r="N412" s="85">
        <f t="shared" si="125"/>
        <v>252</v>
      </c>
      <c r="O412" s="86">
        <f t="shared" si="126"/>
        <v>5626.96</v>
      </c>
      <c r="P412" s="86">
        <f t="shared" si="127"/>
        <v>0</v>
      </c>
      <c r="Q412" s="86">
        <f t="shared" si="128"/>
        <v>0</v>
      </c>
      <c r="R412" s="86">
        <f t="shared" si="129"/>
        <v>0</v>
      </c>
      <c r="S412" s="86">
        <f t="shared" si="130"/>
        <v>0</v>
      </c>
      <c r="T412" s="86">
        <f t="shared" si="131"/>
        <v>5626.96</v>
      </c>
      <c r="U412" s="87">
        <v>5626.96</v>
      </c>
    </row>
    <row r="413" spans="1:21" s="30" customFormat="1" ht="24.6" hidden="1" outlineLevel="1" x14ac:dyDescent="0.55000000000000004">
      <c r="A413" s="27" t="s">
        <v>327</v>
      </c>
      <c r="B413" s="28"/>
      <c r="C413" s="27"/>
      <c r="D413" s="27" t="str">
        <f>"""NAV Direct"",""CRONUS JetCorp USA"",""21"",""1"",""323319"""</f>
        <v>"NAV Direct","CRONUS JetCorp USA","21","1","323319"</v>
      </c>
      <c r="E413" s="31" t="str">
        <f t="shared" si="123"/>
        <v>C100023</v>
      </c>
      <c r="F413" s="31"/>
      <c r="G413" s="31"/>
      <c r="H413" s="31"/>
      <c r="I413" s="56"/>
      <c r="J413" s="56"/>
      <c r="K413" s="82" t="str">
        <f t="shared" si="124"/>
        <v>Invoice</v>
      </c>
      <c r="L413" s="83" t="str">
        <f>"SI_110113"</f>
        <v>SI_110113</v>
      </c>
      <c r="M413" s="84">
        <v>43569</v>
      </c>
      <c r="N413" s="85">
        <f t="shared" si="125"/>
        <v>243</v>
      </c>
      <c r="O413" s="86">
        <f t="shared" si="126"/>
        <v>5625.06</v>
      </c>
      <c r="P413" s="86">
        <f t="shared" si="127"/>
        <v>0</v>
      </c>
      <c r="Q413" s="86">
        <f t="shared" si="128"/>
        <v>0</v>
      </c>
      <c r="R413" s="86">
        <f t="shared" si="129"/>
        <v>0</v>
      </c>
      <c r="S413" s="86">
        <f t="shared" si="130"/>
        <v>0</v>
      </c>
      <c r="T413" s="86">
        <f t="shared" si="131"/>
        <v>5625.06</v>
      </c>
      <c r="U413" s="87">
        <v>5625.06</v>
      </c>
    </row>
    <row r="414" spans="1:21" s="30" customFormat="1" ht="24.6" hidden="1" outlineLevel="1" x14ac:dyDescent="0.55000000000000004">
      <c r="A414" s="27" t="s">
        <v>327</v>
      </c>
      <c r="B414" s="28"/>
      <c r="C414" s="27"/>
      <c r="D414" s="27" t="str">
        <f>"""NAV Direct"",""CRONUS JetCorp USA"",""21"",""1"",""323394"""</f>
        <v>"NAV Direct","CRONUS JetCorp USA","21","1","323394"</v>
      </c>
      <c r="E414" s="31">
        <f t="shared" si="123"/>
        <v>0</v>
      </c>
      <c r="F414" s="31"/>
      <c r="G414" s="31"/>
      <c r="H414" s="31"/>
      <c r="I414" s="56"/>
      <c r="J414" s="56"/>
      <c r="K414" s="82" t="str">
        <f t="shared" si="124"/>
        <v>Invoice</v>
      </c>
      <c r="L414" s="83" t="str">
        <f>"SI_110116"</f>
        <v>SI_110116</v>
      </c>
      <c r="M414" s="84">
        <v>43598</v>
      </c>
      <c r="N414" s="85">
        <f t="shared" si="125"/>
        <v>214</v>
      </c>
      <c r="O414" s="86">
        <f t="shared" si="126"/>
        <v>5597.54</v>
      </c>
      <c r="P414" s="86">
        <f t="shared" si="127"/>
        <v>0</v>
      </c>
      <c r="Q414" s="86">
        <f t="shared" si="128"/>
        <v>0</v>
      </c>
      <c r="R414" s="86">
        <f t="shared" si="129"/>
        <v>0</v>
      </c>
      <c r="S414" s="86">
        <f t="shared" si="130"/>
        <v>0</v>
      </c>
      <c r="T414" s="86">
        <f t="shared" si="131"/>
        <v>5597.54</v>
      </c>
      <c r="U414" s="87">
        <v>5597.54</v>
      </c>
    </row>
    <row r="415" spans="1:21" s="30" customFormat="1" ht="24.6" hidden="1" outlineLevel="1" x14ac:dyDescent="0.55000000000000004">
      <c r="A415" s="27" t="s">
        <v>327</v>
      </c>
      <c r="B415" s="28"/>
      <c r="C415" s="27"/>
      <c r="D415" s="27" t="str">
        <f>"""NAV Direct"",""CRONUS JetCorp USA"",""21"",""1"",""323501"""</f>
        <v>"NAV Direct","CRONUS JetCorp USA","21","1","323501"</v>
      </c>
      <c r="E415" s="31" t="str">
        <f t="shared" si="123"/>
        <v>C100023</v>
      </c>
      <c r="F415" s="31"/>
      <c r="G415" s="31"/>
      <c r="H415" s="31"/>
      <c r="I415" s="56"/>
      <c r="J415" s="56"/>
      <c r="K415" s="82" t="str">
        <f t="shared" si="124"/>
        <v>Invoice</v>
      </c>
      <c r="L415" s="83" t="str">
        <f>"SI_110121"</f>
        <v>SI_110121</v>
      </c>
      <c r="M415" s="84">
        <v>43646</v>
      </c>
      <c r="N415" s="85">
        <f t="shared" si="125"/>
        <v>166</v>
      </c>
      <c r="O415" s="86">
        <f t="shared" si="126"/>
        <v>5838.83</v>
      </c>
      <c r="P415" s="86">
        <f t="shared" si="127"/>
        <v>0</v>
      </c>
      <c r="Q415" s="86">
        <f t="shared" si="128"/>
        <v>0</v>
      </c>
      <c r="R415" s="86">
        <f t="shared" si="129"/>
        <v>0</v>
      </c>
      <c r="S415" s="86">
        <f t="shared" si="130"/>
        <v>0</v>
      </c>
      <c r="T415" s="86">
        <f t="shared" si="131"/>
        <v>5838.83</v>
      </c>
      <c r="U415" s="87">
        <v>5838.83</v>
      </c>
    </row>
    <row r="416" spans="1:21" s="30" customFormat="1" ht="24.6" hidden="1" outlineLevel="1" x14ac:dyDescent="0.55000000000000004">
      <c r="A416" s="27" t="s">
        <v>327</v>
      </c>
      <c r="B416" s="28"/>
      <c r="C416" s="27"/>
      <c r="D416" s="27" t="str">
        <f>"""NAV Direct"",""CRONUS JetCorp USA"",""21"",""1"",""323612"""</f>
        <v>"NAV Direct","CRONUS JetCorp USA","21","1","323612"</v>
      </c>
      <c r="E416" s="31">
        <f t="shared" si="123"/>
        <v>0</v>
      </c>
      <c r="F416" s="31"/>
      <c r="G416" s="31"/>
      <c r="H416" s="31"/>
      <c r="I416" s="56"/>
      <c r="J416" s="56"/>
      <c r="K416" s="82" t="str">
        <f t="shared" si="124"/>
        <v>Invoice</v>
      </c>
      <c r="L416" s="83" t="str">
        <f>"SI_110126"</f>
        <v>SI_110126</v>
      </c>
      <c r="M416" s="84">
        <v>43683</v>
      </c>
      <c r="N416" s="85">
        <f t="shared" si="125"/>
        <v>129</v>
      </c>
      <c r="O416" s="86">
        <f t="shared" si="126"/>
        <v>5857.93</v>
      </c>
      <c r="P416" s="86">
        <f t="shared" si="127"/>
        <v>0</v>
      </c>
      <c r="Q416" s="86">
        <f t="shared" si="128"/>
        <v>0</v>
      </c>
      <c r="R416" s="86">
        <f t="shared" si="129"/>
        <v>0</v>
      </c>
      <c r="S416" s="86">
        <f t="shared" si="130"/>
        <v>0</v>
      </c>
      <c r="T416" s="86">
        <f t="shared" si="131"/>
        <v>5857.93</v>
      </c>
      <c r="U416" s="87">
        <v>5857.93</v>
      </c>
    </row>
    <row r="417" spans="1:21" s="30" customFormat="1" ht="24.6" hidden="1" outlineLevel="1" x14ac:dyDescent="0.55000000000000004">
      <c r="A417" s="27" t="s">
        <v>327</v>
      </c>
      <c r="B417" s="28"/>
      <c r="C417" s="27"/>
      <c r="D417" s="27" t="str">
        <f>"""NAV Direct"",""CRONUS JetCorp USA"",""21"",""1"",""323993"""</f>
        <v>"NAV Direct","CRONUS JetCorp USA","21","1","323993"</v>
      </c>
      <c r="E417" s="31" t="str">
        <f t="shared" si="123"/>
        <v>C100023</v>
      </c>
      <c r="F417" s="31"/>
      <c r="G417" s="31"/>
      <c r="H417" s="31"/>
      <c r="I417" s="56"/>
      <c r="J417" s="56"/>
      <c r="K417" s="82" t="str">
        <f t="shared" si="124"/>
        <v>Invoice</v>
      </c>
      <c r="L417" s="83" t="str">
        <f>"SI_110143"</f>
        <v>SI_110143</v>
      </c>
      <c r="M417" s="84">
        <v>43787</v>
      </c>
      <c r="N417" s="85">
        <f t="shared" si="125"/>
        <v>25</v>
      </c>
      <c r="O417" s="86">
        <f t="shared" si="126"/>
        <v>5892.4800000000005</v>
      </c>
      <c r="P417" s="86">
        <f t="shared" si="127"/>
        <v>0</v>
      </c>
      <c r="Q417" s="86">
        <f t="shared" si="128"/>
        <v>5892.4800000000005</v>
      </c>
      <c r="R417" s="86">
        <f t="shared" si="129"/>
        <v>0</v>
      </c>
      <c r="S417" s="86">
        <f t="shared" si="130"/>
        <v>0</v>
      </c>
      <c r="T417" s="86">
        <f t="shared" si="131"/>
        <v>0</v>
      </c>
      <c r="U417" s="87">
        <v>5892.4800000000005</v>
      </c>
    </row>
    <row r="418" spans="1:21" s="30" customFormat="1" ht="24.6" hidden="1" outlineLevel="1" x14ac:dyDescent="0.55000000000000004">
      <c r="A418" s="27" t="s">
        <v>327</v>
      </c>
      <c r="B418" s="28"/>
      <c r="C418" s="27"/>
      <c r="D418" s="27" t="str">
        <f>"""NAV Direct"",""CRONUS JetCorp USA"",""21"",""1"",""324058"""</f>
        <v>"NAV Direct","CRONUS JetCorp USA","21","1","324058"</v>
      </c>
      <c r="E418" s="31">
        <f t="shared" si="123"/>
        <v>0</v>
      </c>
      <c r="F418" s="31"/>
      <c r="G418" s="31"/>
      <c r="H418" s="31"/>
      <c r="I418" s="56"/>
      <c r="J418" s="56"/>
      <c r="K418" s="82" t="str">
        <f t="shared" si="124"/>
        <v>Invoice</v>
      </c>
      <c r="L418" s="83" t="str">
        <f>"SI_110146"</f>
        <v>SI_110146</v>
      </c>
      <c r="M418" s="84">
        <v>43814</v>
      </c>
      <c r="N418" s="85">
        <f t="shared" si="125"/>
        <v>-2</v>
      </c>
      <c r="O418" s="86">
        <f t="shared" si="126"/>
        <v>6037.47</v>
      </c>
      <c r="P418" s="86">
        <f t="shared" si="127"/>
        <v>6037.47</v>
      </c>
      <c r="Q418" s="86">
        <f t="shared" si="128"/>
        <v>0</v>
      </c>
      <c r="R418" s="86">
        <f t="shared" si="129"/>
        <v>0</v>
      </c>
      <c r="S418" s="86">
        <f t="shared" si="130"/>
        <v>0</v>
      </c>
      <c r="T418" s="86">
        <f t="shared" si="131"/>
        <v>0</v>
      </c>
      <c r="U418" s="87">
        <v>6037.47</v>
      </c>
    </row>
    <row r="419" spans="1:21" s="30" customFormat="1" ht="24.6" hidden="1" outlineLevel="1" x14ac:dyDescent="0.55000000000000004">
      <c r="A419" s="27" t="s">
        <v>327</v>
      </c>
      <c r="B419" s="28"/>
      <c r="C419" s="27"/>
      <c r="D419" s="27" t="str">
        <f>"""NAV Direct"",""CRONUS JetCorp USA"",""21"",""1"",""324081"""</f>
        <v>"NAV Direct","CRONUS JetCorp USA","21","1","324081"</v>
      </c>
      <c r="E419" s="31" t="str">
        <f t="shared" si="123"/>
        <v>C100023</v>
      </c>
      <c r="F419" s="31"/>
      <c r="G419" s="31"/>
      <c r="H419" s="31"/>
      <c r="I419" s="56"/>
      <c r="J419" s="56"/>
      <c r="K419" s="82" t="str">
        <f t="shared" si="124"/>
        <v>Invoice</v>
      </c>
      <c r="L419" s="83" t="str">
        <f>"SI_110147"</f>
        <v>SI_110147</v>
      </c>
      <c r="M419" s="84">
        <v>43818</v>
      </c>
      <c r="N419" s="85">
        <f t="shared" si="125"/>
        <v>-6</v>
      </c>
      <c r="O419" s="86">
        <f t="shared" si="126"/>
        <v>6039.9</v>
      </c>
      <c r="P419" s="86">
        <f t="shared" si="127"/>
        <v>6039.9</v>
      </c>
      <c r="Q419" s="86">
        <f t="shared" si="128"/>
        <v>0</v>
      </c>
      <c r="R419" s="86">
        <f t="shared" si="129"/>
        <v>0</v>
      </c>
      <c r="S419" s="86">
        <f t="shared" si="130"/>
        <v>0</v>
      </c>
      <c r="T419" s="86">
        <f t="shared" si="131"/>
        <v>0</v>
      </c>
      <c r="U419" s="87">
        <v>6039.9</v>
      </c>
    </row>
    <row r="420" spans="1:21" s="30" customFormat="1" ht="24.6" hidden="1" outlineLevel="1" x14ac:dyDescent="0.55000000000000004">
      <c r="A420" s="27" t="s">
        <v>327</v>
      </c>
      <c r="B420" s="28"/>
      <c r="C420" s="27"/>
      <c r="D420" s="27" t="str">
        <f>"""NAV Direct"",""CRONUS JetCorp USA"",""21"",""1"",""324200"""</f>
        <v>"NAV Direct","CRONUS JetCorp USA","21","1","324200"</v>
      </c>
      <c r="E420" s="31">
        <f t="shared" si="123"/>
        <v>0</v>
      </c>
      <c r="F420" s="31"/>
      <c r="G420" s="31"/>
      <c r="H420" s="31"/>
      <c r="I420" s="56"/>
      <c r="J420" s="56"/>
      <c r="K420" s="82" t="str">
        <f t="shared" si="124"/>
        <v>Invoice</v>
      </c>
      <c r="L420" s="83" t="str">
        <f>"SI_110152"</f>
        <v>SI_110152</v>
      </c>
      <c r="M420" s="84">
        <v>42016</v>
      </c>
      <c r="N420" s="85">
        <f t="shared" si="125"/>
        <v>1796</v>
      </c>
      <c r="O420" s="86">
        <f t="shared" si="126"/>
        <v>6251.26</v>
      </c>
      <c r="P420" s="86">
        <f t="shared" si="127"/>
        <v>0</v>
      </c>
      <c r="Q420" s="86">
        <f t="shared" si="128"/>
        <v>0</v>
      </c>
      <c r="R420" s="86">
        <f t="shared" si="129"/>
        <v>0</v>
      </c>
      <c r="S420" s="86">
        <f t="shared" si="130"/>
        <v>0</v>
      </c>
      <c r="T420" s="86">
        <f t="shared" si="131"/>
        <v>6251.26</v>
      </c>
      <c r="U420" s="87">
        <v>6251.26</v>
      </c>
    </row>
    <row r="421" spans="1:21" s="30" customFormat="1" ht="24.6" hidden="1" outlineLevel="1" x14ac:dyDescent="0.55000000000000004">
      <c r="A421" s="27" t="s">
        <v>327</v>
      </c>
      <c r="B421" s="28"/>
      <c r="C421" s="27"/>
      <c r="D421" s="27" t="str">
        <f>"""NAV Direct"",""CRONUS JetCorp USA"",""21"",""1"",""324284"""</f>
        <v>"NAV Direct","CRONUS JetCorp USA","21","1","324284"</v>
      </c>
      <c r="E421" s="31" t="str">
        <f t="shared" si="123"/>
        <v>C100023</v>
      </c>
      <c r="F421" s="31"/>
      <c r="G421" s="31"/>
      <c r="H421" s="31"/>
      <c r="I421" s="56"/>
      <c r="J421" s="56"/>
      <c r="K421" s="82" t="str">
        <f t="shared" si="124"/>
        <v>Invoice</v>
      </c>
      <c r="L421" s="83" t="str">
        <f>"SI_110156"</f>
        <v>SI_110156</v>
      </c>
      <c r="M421" s="84">
        <v>42046</v>
      </c>
      <c r="N421" s="85">
        <f t="shared" si="125"/>
        <v>1766</v>
      </c>
      <c r="O421" s="86">
        <f t="shared" si="126"/>
        <v>6325.66</v>
      </c>
      <c r="P421" s="86">
        <f t="shared" si="127"/>
        <v>0</v>
      </c>
      <c r="Q421" s="86">
        <f t="shared" si="128"/>
        <v>0</v>
      </c>
      <c r="R421" s="86">
        <f t="shared" si="129"/>
        <v>0</v>
      </c>
      <c r="S421" s="86">
        <f t="shared" si="130"/>
        <v>0</v>
      </c>
      <c r="T421" s="86">
        <f t="shared" si="131"/>
        <v>6325.66</v>
      </c>
      <c r="U421" s="87">
        <v>6325.66</v>
      </c>
    </row>
    <row r="422" spans="1:21" s="30" customFormat="1" ht="24.6" hidden="1" outlineLevel="1" x14ac:dyDescent="0.55000000000000004">
      <c r="A422" s="27" t="s">
        <v>327</v>
      </c>
      <c r="B422" s="28"/>
      <c r="C422" s="27"/>
      <c r="D422" s="27" t="str">
        <f>"""NAV Direct"",""CRONUS JetCorp USA"",""21"",""1"",""324336"""</f>
        <v>"NAV Direct","CRONUS JetCorp USA","21","1","324336"</v>
      </c>
      <c r="E422" s="31">
        <f t="shared" si="123"/>
        <v>0</v>
      </c>
      <c r="F422" s="31"/>
      <c r="G422" s="31"/>
      <c r="H422" s="31"/>
      <c r="I422" s="56"/>
      <c r="J422" s="56"/>
      <c r="K422" s="82" t="str">
        <f t="shared" si="124"/>
        <v>Invoice</v>
      </c>
      <c r="L422" s="83" t="str">
        <f>"SI_110158"</f>
        <v>SI_110158</v>
      </c>
      <c r="M422" s="84">
        <v>42048</v>
      </c>
      <c r="N422" s="85">
        <f t="shared" si="125"/>
        <v>1764</v>
      </c>
      <c r="O422" s="86">
        <f t="shared" si="126"/>
        <v>6326.07</v>
      </c>
      <c r="P422" s="86">
        <f t="shared" si="127"/>
        <v>0</v>
      </c>
      <c r="Q422" s="86">
        <f t="shared" si="128"/>
        <v>0</v>
      </c>
      <c r="R422" s="86">
        <f t="shared" si="129"/>
        <v>0</v>
      </c>
      <c r="S422" s="86">
        <f t="shared" si="130"/>
        <v>0</v>
      </c>
      <c r="T422" s="86">
        <f t="shared" si="131"/>
        <v>6326.07</v>
      </c>
      <c r="U422" s="87">
        <v>6326.07</v>
      </c>
    </row>
    <row r="423" spans="1:21" s="30" customFormat="1" ht="24.6" hidden="1" outlineLevel="1" x14ac:dyDescent="0.55000000000000004">
      <c r="A423" s="27" t="s">
        <v>327</v>
      </c>
      <c r="B423" s="28"/>
      <c r="C423" s="27"/>
      <c r="D423" s="27" t="str">
        <f>"""NAV Direct"",""CRONUS JetCorp USA"",""21"",""1"",""324395"""</f>
        <v>"NAV Direct","CRONUS JetCorp USA","21","1","324395"</v>
      </c>
      <c r="E423" s="31" t="str">
        <f t="shared" si="123"/>
        <v>C100023</v>
      </c>
      <c r="F423" s="31"/>
      <c r="G423" s="31"/>
      <c r="H423" s="31"/>
      <c r="I423" s="56"/>
      <c r="J423" s="56"/>
      <c r="K423" s="82" t="str">
        <f t="shared" si="124"/>
        <v>Invoice</v>
      </c>
      <c r="L423" s="83" t="str">
        <f>"SI_110161"</f>
        <v>SI_110161</v>
      </c>
      <c r="M423" s="84">
        <v>42075</v>
      </c>
      <c r="N423" s="85">
        <f t="shared" si="125"/>
        <v>1737</v>
      </c>
      <c r="O423" s="86">
        <f t="shared" si="126"/>
        <v>5693.2</v>
      </c>
      <c r="P423" s="86">
        <f t="shared" si="127"/>
        <v>0</v>
      </c>
      <c r="Q423" s="86">
        <f t="shared" si="128"/>
        <v>0</v>
      </c>
      <c r="R423" s="86">
        <f t="shared" si="129"/>
        <v>0</v>
      </c>
      <c r="S423" s="86">
        <f t="shared" si="130"/>
        <v>0</v>
      </c>
      <c r="T423" s="86">
        <f t="shared" si="131"/>
        <v>5693.2</v>
      </c>
      <c r="U423" s="87">
        <v>5693.2</v>
      </c>
    </row>
    <row r="424" spans="1:21" s="30" customFormat="1" ht="24.6" hidden="1" outlineLevel="1" x14ac:dyDescent="0.55000000000000004">
      <c r="A424" s="27" t="s">
        <v>327</v>
      </c>
      <c r="B424" s="28"/>
      <c r="C424" s="27"/>
      <c r="D424" s="27" t="str">
        <f>"""NAV Direct"",""CRONUS JetCorp USA"",""21"",""1"",""324433"""</f>
        <v>"NAV Direct","CRONUS JetCorp USA","21","1","324433"</v>
      </c>
      <c r="E424" s="31">
        <f t="shared" si="123"/>
        <v>0</v>
      </c>
      <c r="F424" s="31"/>
      <c r="G424" s="31"/>
      <c r="H424" s="31"/>
      <c r="I424" s="56"/>
      <c r="J424" s="56"/>
      <c r="K424" s="82" t="str">
        <f t="shared" si="124"/>
        <v>Invoice</v>
      </c>
      <c r="L424" s="83" t="str">
        <f>"SI_110163"</f>
        <v>SI_110163</v>
      </c>
      <c r="M424" s="84">
        <v>42085</v>
      </c>
      <c r="N424" s="85">
        <f t="shared" si="125"/>
        <v>1727</v>
      </c>
      <c r="O424" s="86">
        <f t="shared" si="126"/>
        <v>5693.12</v>
      </c>
      <c r="P424" s="86">
        <f t="shared" si="127"/>
        <v>0</v>
      </c>
      <c r="Q424" s="86">
        <f t="shared" si="128"/>
        <v>0</v>
      </c>
      <c r="R424" s="86">
        <f t="shared" si="129"/>
        <v>0</v>
      </c>
      <c r="S424" s="86">
        <f t="shared" si="130"/>
        <v>0</v>
      </c>
      <c r="T424" s="86">
        <f t="shared" si="131"/>
        <v>5693.12</v>
      </c>
      <c r="U424" s="87">
        <v>5693.12</v>
      </c>
    </row>
    <row r="425" spans="1:21" s="30" customFormat="1" ht="24.6" hidden="1" outlineLevel="1" x14ac:dyDescent="0.55000000000000004">
      <c r="A425" s="27" t="s">
        <v>327</v>
      </c>
      <c r="B425" s="28"/>
      <c r="C425" s="27"/>
      <c r="D425" s="27" t="str">
        <f>"""NAV Direct"",""CRONUS JetCorp USA"",""21"",""1"",""324567"""</f>
        <v>"NAV Direct","CRONUS JetCorp USA","21","1","324567"</v>
      </c>
      <c r="E425" s="31" t="str">
        <f t="shared" si="123"/>
        <v>C100023</v>
      </c>
      <c r="F425" s="31"/>
      <c r="G425" s="31"/>
      <c r="H425" s="31"/>
      <c r="I425" s="56"/>
      <c r="J425" s="56"/>
      <c r="K425" s="82" t="str">
        <f t="shared" si="124"/>
        <v>Invoice</v>
      </c>
      <c r="L425" s="83" t="str">
        <f>"SI_110169"</f>
        <v>SI_110169</v>
      </c>
      <c r="M425" s="84">
        <v>42118</v>
      </c>
      <c r="N425" s="85">
        <f t="shared" si="125"/>
        <v>1694</v>
      </c>
      <c r="O425" s="86">
        <f t="shared" si="126"/>
        <v>6262.7499999999991</v>
      </c>
      <c r="P425" s="86">
        <f t="shared" si="127"/>
        <v>0</v>
      </c>
      <c r="Q425" s="86">
        <f t="shared" si="128"/>
        <v>0</v>
      </c>
      <c r="R425" s="86">
        <f t="shared" si="129"/>
        <v>0</v>
      </c>
      <c r="S425" s="86">
        <f t="shared" si="130"/>
        <v>0</v>
      </c>
      <c r="T425" s="86">
        <f t="shared" si="131"/>
        <v>6262.7499999999991</v>
      </c>
      <c r="U425" s="87">
        <v>6262.7499999999991</v>
      </c>
    </row>
    <row r="426" spans="1:21" s="30" customFormat="1" ht="24.6" hidden="1" outlineLevel="1" x14ac:dyDescent="0.55000000000000004">
      <c r="A426" s="27" t="s">
        <v>327</v>
      </c>
      <c r="B426" s="28"/>
      <c r="C426" s="27"/>
      <c r="D426" s="27" t="str">
        <f>"""NAV Direct"",""CRONUS JetCorp USA"",""21"",""1"",""324825"""</f>
        <v>"NAV Direct","CRONUS JetCorp USA","21","1","324825"</v>
      </c>
      <c r="E426" s="31">
        <f t="shared" si="123"/>
        <v>0</v>
      </c>
      <c r="F426" s="31"/>
      <c r="G426" s="31"/>
      <c r="H426" s="31"/>
      <c r="I426" s="56"/>
      <c r="J426" s="56"/>
      <c r="K426" s="82" t="str">
        <f t="shared" si="124"/>
        <v>Invoice</v>
      </c>
      <c r="L426" s="83" t="str">
        <f>"SI_110181"</f>
        <v>SI_110181</v>
      </c>
      <c r="M426" s="84">
        <v>42202</v>
      </c>
      <c r="N426" s="85">
        <f t="shared" si="125"/>
        <v>1610</v>
      </c>
      <c r="O426" s="86">
        <f t="shared" si="126"/>
        <v>6500.8099999999995</v>
      </c>
      <c r="P426" s="86">
        <f t="shared" si="127"/>
        <v>0</v>
      </c>
      <c r="Q426" s="86">
        <f t="shared" si="128"/>
        <v>0</v>
      </c>
      <c r="R426" s="86">
        <f t="shared" si="129"/>
        <v>0</v>
      </c>
      <c r="S426" s="86">
        <f t="shared" si="130"/>
        <v>0</v>
      </c>
      <c r="T426" s="86">
        <f t="shared" si="131"/>
        <v>6500.8099999999995</v>
      </c>
      <c r="U426" s="87">
        <v>6500.8099999999995</v>
      </c>
    </row>
    <row r="427" spans="1:21" s="30" customFormat="1" ht="24.6" hidden="1" outlineLevel="1" x14ac:dyDescent="0.55000000000000004">
      <c r="A427" s="27" t="s">
        <v>327</v>
      </c>
      <c r="B427" s="28"/>
      <c r="C427" s="27"/>
      <c r="D427" s="27" t="str">
        <f>"""NAV Direct"",""CRONUS JetCorp USA"",""21"",""1"",""324938"""</f>
        <v>"NAV Direct","CRONUS JetCorp USA","21","1","324938"</v>
      </c>
      <c r="E427" s="31" t="str">
        <f t="shared" si="123"/>
        <v>C100023</v>
      </c>
      <c r="F427" s="31"/>
      <c r="G427" s="31"/>
      <c r="H427" s="31"/>
      <c r="I427" s="56"/>
      <c r="J427" s="56"/>
      <c r="K427" s="82" t="str">
        <f t="shared" si="124"/>
        <v>Invoice</v>
      </c>
      <c r="L427" s="83" t="str">
        <f>"SI_110186"</f>
        <v>SI_110186</v>
      </c>
      <c r="M427" s="84">
        <v>42231</v>
      </c>
      <c r="N427" s="85">
        <f t="shared" si="125"/>
        <v>1581</v>
      </c>
      <c r="O427" s="86">
        <f t="shared" si="126"/>
        <v>6520.0400000000009</v>
      </c>
      <c r="P427" s="86">
        <f t="shared" si="127"/>
        <v>0</v>
      </c>
      <c r="Q427" s="86">
        <f t="shared" si="128"/>
        <v>0</v>
      </c>
      <c r="R427" s="86">
        <f t="shared" si="129"/>
        <v>0</v>
      </c>
      <c r="S427" s="86">
        <f t="shared" si="130"/>
        <v>0</v>
      </c>
      <c r="T427" s="86">
        <f t="shared" si="131"/>
        <v>6520.0400000000009</v>
      </c>
      <c r="U427" s="87">
        <v>6520.0400000000009</v>
      </c>
    </row>
    <row r="428" spans="1:21" s="30" customFormat="1" ht="24.6" hidden="1" outlineLevel="1" x14ac:dyDescent="0.55000000000000004">
      <c r="A428" s="27" t="s">
        <v>327</v>
      </c>
      <c r="B428" s="28"/>
      <c r="C428" s="27"/>
      <c r="D428" s="27" t="str">
        <f>"""NAV Direct"",""CRONUS JetCorp USA"",""21"",""1"",""325056"""</f>
        <v>"NAV Direct","CRONUS JetCorp USA","21","1","325056"</v>
      </c>
      <c r="E428" s="31">
        <f t="shared" si="123"/>
        <v>0</v>
      </c>
      <c r="F428" s="31"/>
      <c r="G428" s="31"/>
      <c r="H428" s="31"/>
      <c r="I428" s="56"/>
      <c r="J428" s="56"/>
      <c r="K428" s="82" t="str">
        <f t="shared" si="124"/>
        <v>Invoice</v>
      </c>
      <c r="L428" s="83" t="str">
        <f>"SI_110192"</f>
        <v>SI_110192</v>
      </c>
      <c r="M428" s="84">
        <v>42283</v>
      </c>
      <c r="N428" s="85">
        <f t="shared" si="125"/>
        <v>1529</v>
      </c>
      <c r="O428" s="86">
        <f t="shared" si="126"/>
        <v>5949.7</v>
      </c>
      <c r="P428" s="86">
        <f t="shared" si="127"/>
        <v>0</v>
      </c>
      <c r="Q428" s="86">
        <f t="shared" si="128"/>
        <v>0</v>
      </c>
      <c r="R428" s="86">
        <f t="shared" si="129"/>
        <v>0</v>
      </c>
      <c r="S428" s="86">
        <f t="shared" si="130"/>
        <v>0</v>
      </c>
      <c r="T428" s="86">
        <f t="shared" si="131"/>
        <v>5949.7</v>
      </c>
      <c r="U428" s="87">
        <v>5949.7</v>
      </c>
    </row>
    <row r="429" spans="1:21" s="30" customFormat="1" ht="24.6" hidden="1" outlineLevel="1" x14ac:dyDescent="0.55000000000000004">
      <c r="A429" s="27" t="s">
        <v>327</v>
      </c>
      <c r="B429" s="28"/>
      <c r="C429" s="27"/>
      <c r="D429" s="27" t="str">
        <f>"""NAV Direct"",""CRONUS JetCorp USA"",""21"",""1"",""325127"""</f>
        <v>"NAV Direct","CRONUS JetCorp USA","21","1","325127"</v>
      </c>
      <c r="E429" s="31" t="str">
        <f t="shared" si="123"/>
        <v>C100023</v>
      </c>
      <c r="F429" s="31"/>
      <c r="G429" s="31"/>
      <c r="H429" s="31"/>
      <c r="I429" s="56"/>
      <c r="J429" s="56"/>
      <c r="K429" s="82" t="str">
        <f t="shared" si="124"/>
        <v>Invoice</v>
      </c>
      <c r="L429" s="83" t="str">
        <f>"SI_110195"</f>
        <v>SI_110195</v>
      </c>
      <c r="M429" s="84">
        <v>42300</v>
      </c>
      <c r="N429" s="85">
        <f t="shared" si="125"/>
        <v>1512</v>
      </c>
      <c r="O429" s="86">
        <f t="shared" si="126"/>
        <v>5949.08</v>
      </c>
      <c r="P429" s="86">
        <f t="shared" si="127"/>
        <v>0</v>
      </c>
      <c r="Q429" s="86">
        <f t="shared" si="128"/>
        <v>0</v>
      </c>
      <c r="R429" s="86">
        <f t="shared" si="129"/>
        <v>0</v>
      </c>
      <c r="S429" s="86">
        <f t="shared" si="130"/>
        <v>0</v>
      </c>
      <c r="T429" s="86">
        <f t="shared" si="131"/>
        <v>5949.08</v>
      </c>
      <c r="U429" s="87">
        <v>5949.08</v>
      </c>
    </row>
    <row r="430" spans="1:21" s="30" customFormat="1" ht="24.6" hidden="1" outlineLevel="1" x14ac:dyDescent="0.55000000000000004">
      <c r="A430" s="27" t="s">
        <v>327</v>
      </c>
      <c r="B430" s="28"/>
      <c r="C430" s="27"/>
      <c r="D430" s="27" t="str">
        <f>"""NAV Direct"",""CRONUS JetCorp USA"",""21"",""1"",""325148"""</f>
        <v>"NAV Direct","CRONUS JetCorp USA","21","1","325148"</v>
      </c>
      <c r="E430" s="31">
        <f t="shared" si="123"/>
        <v>0</v>
      </c>
      <c r="F430" s="31"/>
      <c r="G430" s="31"/>
      <c r="H430" s="31"/>
      <c r="I430" s="56"/>
      <c r="J430" s="56"/>
      <c r="K430" s="82" t="str">
        <f t="shared" si="124"/>
        <v>Invoice</v>
      </c>
      <c r="L430" s="83" t="str">
        <f>"SI_110196"</f>
        <v>SI_110196</v>
      </c>
      <c r="M430" s="84">
        <v>42298</v>
      </c>
      <c r="N430" s="85">
        <f t="shared" si="125"/>
        <v>1514</v>
      </c>
      <c r="O430" s="86">
        <f t="shared" si="126"/>
        <v>5950.6500000000005</v>
      </c>
      <c r="P430" s="86">
        <f t="shared" si="127"/>
        <v>0</v>
      </c>
      <c r="Q430" s="86">
        <f t="shared" si="128"/>
        <v>0</v>
      </c>
      <c r="R430" s="86">
        <f t="shared" si="129"/>
        <v>0</v>
      </c>
      <c r="S430" s="86">
        <f t="shared" si="130"/>
        <v>0</v>
      </c>
      <c r="T430" s="86">
        <f t="shared" si="131"/>
        <v>5950.6500000000005</v>
      </c>
      <c r="U430" s="87">
        <v>5950.6500000000005</v>
      </c>
    </row>
    <row r="431" spans="1:21" s="30" customFormat="1" ht="24.6" hidden="1" outlineLevel="1" x14ac:dyDescent="0.55000000000000004">
      <c r="A431" s="27" t="s">
        <v>327</v>
      </c>
      <c r="B431" s="28"/>
      <c r="C431" s="27"/>
      <c r="D431" s="27" t="str">
        <f>"""NAV Direct"",""CRONUS JetCorp USA"",""21"",""1"",""325169"""</f>
        <v>"NAV Direct","CRONUS JetCorp USA","21","1","325169"</v>
      </c>
      <c r="E431" s="31" t="str">
        <f t="shared" si="123"/>
        <v>C100023</v>
      </c>
      <c r="F431" s="31"/>
      <c r="G431" s="31"/>
      <c r="H431" s="31"/>
      <c r="I431" s="56"/>
      <c r="J431" s="56"/>
      <c r="K431" s="82" t="str">
        <f t="shared" si="124"/>
        <v>Invoice</v>
      </c>
      <c r="L431" s="83" t="str">
        <f>"SI_110197"</f>
        <v>SI_110197</v>
      </c>
      <c r="M431" s="84">
        <v>42315</v>
      </c>
      <c r="N431" s="85">
        <f t="shared" si="125"/>
        <v>1497</v>
      </c>
      <c r="O431" s="86">
        <f t="shared" si="126"/>
        <v>6545.4800000000005</v>
      </c>
      <c r="P431" s="86">
        <f t="shared" si="127"/>
        <v>0</v>
      </c>
      <c r="Q431" s="86">
        <f t="shared" si="128"/>
        <v>0</v>
      </c>
      <c r="R431" s="86">
        <f t="shared" si="129"/>
        <v>0</v>
      </c>
      <c r="S431" s="86">
        <f t="shared" si="130"/>
        <v>0</v>
      </c>
      <c r="T431" s="86">
        <f t="shared" si="131"/>
        <v>6545.4800000000005</v>
      </c>
      <c r="U431" s="87">
        <v>6545.4800000000005</v>
      </c>
    </row>
    <row r="432" spans="1:21" s="30" customFormat="1" ht="24.6" hidden="1" outlineLevel="1" x14ac:dyDescent="0.55000000000000004">
      <c r="A432" s="27" t="s">
        <v>327</v>
      </c>
      <c r="B432" s="28"/>
      <c r="C432" s="27"/>
      <c r="D432" s="27" t="str">
        <f>"""NAV Direct"",""CRONUS JetCorp USA"",""21"",""1"",""325259"""</f>
        <v>"NAV Direct","CRONUS JetCorp USA","21","1","325259"</v>
      </c>
      <c r="E432" s="31">
        <f t="shared" si="123"/>
        <v>0</v>
      </c>
      <c r="F432" s="31"/>
      <c r="G432" s="31"/>
      <c r="H432" s="31"/>
      <c r="I432" s="56"/>
      <c r="J432" s="56"/>
      <c r="K432" s="82" t="str">
        <f t="shared" si="124"/>
        <v>Invoice</v>
      </c>
      <c r="L432" s="83" t="str">
        <f>"SI_110201"</f>
        <v>SI_110201</v>
      </c>
      <c r="M432" s="84">
        <v>42325</v>
      </c>
      <c r="N432" s="85">
        <f t="shared" si="125"/>
        <v>1487</v>
      </c>
      <c r="O432" s="86">
        <f t="shared" si="126"/>
        <v>6543.8399999999992</v>
      </c>
      <c r="P432" s="86">
        <f t="shared" si="127"/>
        <v>0</v>
      </c>
      <c r="Q432" s="86">
        <f t="shared" si="128"/>
        <v>0</v>
      </c>
      <c r="R432" s="86">
        <f t="shared" si="129"/>
        <v>0</v>
      </c>
      <c r="S432" s="86">
        <f t="shared" si="130"/>
        <v>0</v>
      </c>
      <c r="T432" s="86">
        <f t="shared" si="131"/>
        <v>6543.8399999999992</v>
      </c>
      <c r="U432" s="87">
        <v>6543.8399999999992</v>
      </c>
    </row>
    <row r="433" spans="1:22" s="30" customFormat="1" ht="24.6" hidden="1" outlineLevel="1" x14ac:dyDescent="0.55000000000000004">
      <c r="A433" s="27" t="s">
        <v>327</v>
      </c>
      <c r="B433" s="28"/>
      <c r="C433" s="27"/>
      <c r="D433" s="27" t="str">
        <f>"""NAV Direct"",""CRONUS JetCorp USA"",""21"",""1"",""431222"""</f>
        <v>"NAV Direct","CRONUS JetCorp USA","21","1","431222"</v>
      </c>
      <c r="E433" s="31" t="str">
        <f t="shared" si="123"/>
        <v>C100023</v>
      </c>
      <c r="F433" s="31"/>
      <c r="G433" s="31"/>
      <c r="H433" s="31"/>
      <c r="I433" s="56"/>
      <c r="J433" s="56"/>
      <c r="K433" s="82" t="str">
        <f t="shared" ref="K433:K442" si="132">"Credit Memo"</f>
        <v>Credit Memo</v>
      </c>
      <c r="L433" s="83" t="str">
        <f>"SC_100329"</f>
        <v>SC_100329</v>
      </c>
      <c r="M433" s="84">
        <v>42490</v>
      </c>
      <c r="N433" s="85">
        <f t="shared" si="125"/>
        <v>1322</v>
      </c>
      <c r="O433" s="86">
        <f t="shared" si="126"/>
        <v>-73.94</v>
      </c>
      <c r="P433" s="86">
        <f t="shared" si="127"/>
        <v>0</v>
      </c>
      <c r="Q433" s="86">
        <f t="shared" si="128"/>
        <v>0</v>
      </c>
      <c r="R433" s="86">
        <f t="shared" si="129"/>
        <v>0</v>
      </c>
      <c r="S433" s="86">
        <f t="shared" si="130"/>
        <v>0</v>
      </c>
      <c r="T433" s="86">
        <f t="shared" si="131"/>
        <v>-73.94</v>
      </c>
      <c r="U433" s="87">
        <v>-73.94</v>
      </c>
    </row>
    <row r="434" spans="1:22" s="30" customFormat="1" ht="24.6" hidden="1" outlineLevel="1" x14ac:dyDescent="0.55000000000000004">
      <c r="A434" s="27" t="s">
        <v>327</v>
      </c>
      <c r="B434" s="28"/>
      <c r="C434" s="27"/>
      <c r="D434" s="27" t="str">
        <f>"""NAV Direct"",""CRONUS JetCorp USA"",""21"",""1"",""431293"""</f>
        <v>"NAV Direct","CRONUS JetCorp USA","21","1","431293"</v>
      </c>
      <c r="E434" s="31">
        <f t="shared" si="123"/>
        <v>0</v>
      </c>
      <c r="F434" s="31"/>
      <c r="G434" s="31"/>
      <c r="H434" s="31"/>
      <c r="I434" s="56"/>
      <c r="J434" s="56"/>
      <c r="K434" s="82" t="str">
        <f t="shared" si="132"/>
        <v>Credit Memo</v>
      </c>
      <c r="L434" s="83" t="str">
        <f>"SC_100334"</f>
        <v>SC_100334</v>
      </c>
      <c r="M434" s="84">
        <v>42590</v>
      </c>
      <c r="N434" s="85">
        <f t="shared" si="125"/>
        <v>1222</v>
      </c>
      <c r="O434" s="86">
        <f t="shared" si="126"/>
        <v>-76.339999999999989</v>
      </c>
      <c r="P434" s="86">
        <f t="shared" si="127"/>
        <v>0</v>
      </c>
      <c r="Q434" s="86">
        <f t="shared" si="128"/>
        <v>0</v>
      </c>
      <c r="R434" s="86">
        <f t="shared" si="129"/>
        <v>0</v>
      </c>
      <c r="S434" s="86">
        <f t="shared" si="130"/>
        <v>0</v>
      </c>
      <c r="T434" s="86">
        <f t="shared" si="131"/>
        <v>-76.339999999999989</v>
      </c>
      <c r="U434" s="87">
        <v>-76.339999999999989</v>
      </c>
    </row>
    <row r="435" spans="1:22" s="30" customFormat="1" ht="24.6" hidden="1" outlineLevel="1" x14ac:dyDescent="0.55000000000000004">
      <c r="A435" s="27" t="s">
        <v>327</v>
      </c>
      <c r="B435" s="28"/>
      <c r="C435" s="27"/>
      <c r="D435" s="27" t="str">
        <f>"""NAV Direct"",""CRONUS JetCorp USA"",""21"",""1"",""431345"""</f>
        <v>"NAV Direct","CRONUS JetCorp USA","21","1","431345"</v>
      </c>
      <c r="E435" s="31" t="str">
        <f t="shared" si="123"/>
        <v>C100023</v>
      </c>
      <c r="F435" s="31"/>
      <c r="G435" s="31"/>
      <c r="H435" s="31"/>
      <c r="I435" s="56"/>
      <c r="J435" s="56"/>
      <c r="K435" s="82" t="str">
        <f t="shared" si="132"/>
        <v>Credit Memo</v>
      </c>
      <c r="L435" s="83" t="str">
        <f>"SC_100338"</f>
        <v>SC_100338</v>
      </c>
      <c r="M435" s="84">
        <v>42778</v>
      </c>
      <c r="N435" s="85">
        <f t="shared" si="125"/>
        <v>1034</v>
      </c>
      <c r="O435" s="86">
        <f t="shared" si="126"/>
        <v>-77.19</v>
      </c>
      <c r="P435" s="86">
        <f t="shared" si="127"/>
        <v>0</v>
      </c>
      <c r="Q435" s="86">
        <f t="shared" si="128"/>
        <v>0</v>
      </c>
      <c r="R435" s="86">
        <f t="shared" si="129"/>
        <v>0</v>
      </c>
      <c r="S435" s="86">
        <f t="shared" si="130"/>
        <v>0</v>
      </c>
      <c r="T435" s="86">
        <f t="shared" si="131"/>
        <v>-77.19</v>
      </c>
      <c r="U435" s="87">
        <v>-77.19</v>
      </c>
    </row>
    <row r="436" spans="1:22" s="30" customFormat="1" ht="24.6" hidden="1" outlineLevel="1" x14ac:dyDescent="0.55000000000000004">
      <c r="A436" s="27" t="s">
        <v>327</v>
      </c>
      <c r="B436" s="28"/>
      <c r="C436" s="27"/>
      <c r="D436" s="27" t="str">
        <f>"""NAV Direct"",""CRONUS JetCorp USA"",""21"",""1"",""431364"""</f>
        <v>"NAV Direct","CRONUS JetCorp USA","21","1","431364"</v>
      </c>
      <c r="E436" s="31">
        <f t="shared" si="123"/>
        <v>0</v>
      </c>
      <c r="F436" s="31"/>
      <c r="G436" s="31"/>
      <c r="H436" s="31"/>
      <c r="I436" s="56"/>
      <c r="J436" s="56"/>
      <c r="K436" s="82" t="str">
        <f t="shared" si="132"/>
        <v>Credit Memo</v>
      </c>
      <c r="L436" s="83" t="str">
        <f>"SC_100339"</f>
        <v>SC_100339</v>
      </c>
      <c r="M436" s="84">
        <v>42857</v>
      </c>
      <c r="N436" s="85">
        <f t="shared" si="125"/>
        <v>955</v>
      </c>
      <c r="O436" s="86">
        <f t="shared" si="126"/>
        <v>-76.430000000000007</v>
      </c>
      <c r="P436" s="86">
        <f t="shared" si="127"/>
        <v>0</v>
      </c>
      <c r="Q436" s="86">
        <f t="shared" si="128"/>
        <v>0</v>
      </c>
      <c r="R436" s="86">
        <f t="shared" si="129"/>
        <v>0</v>
      </c>
      <c r="S436" s="86">
        <f t="shared" si="130"/>
        <v>0</v>
      </c>
      <c r="T436" s="86">
        <f t="shared" si="131"/>
        <v>-76.430000000000007</v>
      </c>
      <c r="U436" s="87">
        <v>-76.430000000000007</v>
      </c>
    </row>
    <row r="437" spans="1:22" s="30" customFormat="1" ht="24.6" hidden="1" outlineLevel="1" x14ac:dyDescent="0.55000000000000004">
      <c r="A437" s="27" t="s">
        <v>327</v>
      </c>
      <c r="B437" s="28"/>
      <c r="C437" s="27"/>
      <c r="D437" s="27" t="str">
        <f>"""NAV Direct"",""CRONUS JetCorp USA"",""21"",""1"",""431472"""</f>
        <v>"NAV Direct","CRONUS JetCorp USA","21","1","431472"</v>
      </c>
      <c r="E437" s="31" t="str">
        <f t="shared" si="123"/>
        <v>C100023</v>
      </c>
      <c r="F437" s="31"/>
      <c r="G437" s="31"/>
      <c r="H437" s="31"/>
      <c r="I437" s="56"/>
      <c r="J437" s="56"/>
      <c r="K437" s="82" t="str">
        <f t="shared" si="132"/>
        <v>Credit Memo</v>
      </c>
      <c r="L437" s="83" t="str">
        <f>"SC_100347"</f>
        <v>SC_100347</v>
      </c>
      <c r="M437" s="84">
        <v>43071</v>
      </c>
      <c r="N437" s="85">
        <f t="shared" si="125"/>
        <v>741</v>
      </c>
      <c r="O437" s="86">
        <f t="shared" si="126"/>
        <v>-63.04</v>
      </c>
      <c r="P437" s="86">
        <f t="shared" si="127"/>
        <v>0</v>
      </c>
      <c r="Q437" s="86">
        <f t="shared" si="128"/>
        <v>0</v>
      </c>
      <c r="R437" s="86">
        <f t="shared" si="129"/>
        <v>0</v>
      </c>
      <c r="S437" s="86">
        <f t="shared" si="130"/>
        <v>0</v>
      </c>
      <c r="T437" s="86">
        <f t="shared" si="131"/>
        <v>-63.04</v>
      </c>
      <c r="U437" s="87">
        <v>-63.04</v>
      </c>
    </row>
    <row r="438" spans="1:22" s="30" customFormat="1" ht="24.6" hidden="1" outlineLevel="1" x14ac:dyDescent="0.55000000000000004">
      <c r="A438" s="27" t="s">
        <v>327</v>
      </c>
      <c r="B438" s="28"/>
      <c r="C438" s="27"/>
      <c r="D438" s="27" t="str">
        <f>"""NAV Direct"",""CRONUS JetCorp USA"",""21"",""1"",""431507"""</f>
        <v>"NAV Direct","CRONUS JetCorp USA","21","1","431507"</v>
      </c>
      <c r="E438" s="31">
        <f t="shared" si="123"/>
        <v>0</v>
      </c>
      <c r="F438" s="31"/>
      <c r="G438" s="31"/>
      <c r="H438" s="31"/>
      <c r="I438" s="56"/>
      <c r="J438" s="56"/>
      <c r="K438" s="82" t="str">
        <f t="shared" si="132"/>
        <v>Credit Memo</v>
      </c>
      <c r="L438" s="83" t="str">
        <f>"SC_100350"</f>
        <v>SC_100350</v>
      </c>
      <c r="M438" s="84">
        <v>43266</v>
      </c>
      <c r="N438" s="85">
        <f t="shared" si="125"/>
        <v>546</v>
      </c>
      <c r="O438" s="86">
        <f t="shared" si="126"/>
        <v>-50.97</v>
      </c>
      <c r="P438" s="86">
        <f t="shared" si="127"/>
        <v>0</v>
      </c>
      <c r="Q438" s="86">
        <f t="shared" si="128"/>
        <v>0</v>
      </c>
      <c r="R438" s="86">
        <f t="shared" si="129"/>
        <v>0</v>
      </c>
      <c r="S438" s="86">
        <f t="shared" si="130"/>
        <v>0</v>
      </c>
      <c r="T438" s="86">
        <f t="shared" si="131"/>
        <v>-50.97</v>
      </c>
      <c r="U438" s="87">
        <v>-50.97</v>
      </c>
    </row>
    <row r="439" spans="1:22" s="30" customFormat="1" ht="24.6" hidden="1" outlineLevel="1" x14ac:dyDescent="0.55000000000000004">
      <c r="A439" s="27" t="s">
        <v>327</v>
      </c>
      <c r="B439" s="28"/>
      <c r="C439" s="27"/>
      <c r="D439" s="27" t="str">
        <f>"""NAV Direct"",""CRONUS JetCorp USA"",""21"",""1"",""431590"""</f>
        <v>"NAV Direct","CRONUS JetCorp USA","21","1","431590"</v>
      </c>
      <c r="E439" s="31" t="str">
        <f t="shared" si="123"/>
        <v>C100023</v>
      </c>
      <c r="F439" s="31"/>
      <c r="G439" s="31"/>
      <c r="H439" s="31"/>
      <c r="I439" s="56"/>
      <c r="J439" s="56"/>
      <c r="K439" s="82" t="str">
        <f t="shared" si="132"/>
        <v>Credit Memo</v>
      </c>
      <c r="L439" s="83" t="str">
        <f>"SC_100357"</f>
        <v>SC_100357</v>
      </c>
      <c r="M439" s="84">
        <v>43388</v>
      </c>
      <c r="N439" s="85">
        <f t="shared" si="125"/>
        <v>424</v>
      </c>
      <c r="O439" s="86">
        <f t="shared" si="126"/>
        <v>-50.550000000000004</v>
      </c>
      <c r="P439" s="86">
        <f t="shared" si="127"/>
        <v>0</v>
      </c>
      <c r="Q439" s="86">
        <f t="shared" si="128"/>
        <v>0</v>
      </c>
      <c r="R439" s="86">
        <f t="shared" si="129"/>
        <v>0</v>
      </c>
      <c r="S439" s="86">
        <f t="shared" si="130"/>
        <v>0</v>
      </c>
      <c r="T439" s="86">
        <f t="shared" si="131"/>
        <v>-50.550000000000004</v>
      </c>
      <c r="U439" s="87">
        <v>-50.550000000000004</v>
      </c>
    </row>
    <row r="440" spans="1:22" s="30" customFormat="1" ht="24.6" hidden="1" outlineLevel="1" x14ac:dyDescent="0.55000000000000004">
      <c r="A440" s="27" t="s">
        <v>327</v>
      </c>
      <c r="B440" s="28"/>
      <c r="C440" s="27"/>
      <c r="D440" s="27" t="str">
        <f>"""NAV Direct"",""CRONUS JetCorp USA"",""21"",""1"",""431625"""</f>
        <v>"NAV Direct","CRONUS JetCorp USA","21","1","431625"</v>
      </c>
      <c r="E440" s="31">
        <f t="shared" si="123"/>
        <v>0</v>
      </c>
      <c r="F440" s="31"/>
      <c r="G440" s="31"/>
      <c r="H440" s="31"/>
      <c r="I440" s="56"/>
      <c r="J440" s="56"/>
      <c r="K440" s="82" t="str">
        <f t="shared" si="132"/>
        <v>Credit Memo</v>
      </c>
      <c r="L440" s="83" t="str">
        <f>"SC_100360"</f>
        <v>SC_100360</v>
      </c>
      <c r="M440" s="84">
        <v>43455</v>
      </c>
      <c r="N440" s="85">
        <f t="shared" si="125"/>
        <v>357</v>
      </c>
      <c r="O440" s="86">
        <f t="shared" si="126"/>
        <v>-54.150000000000006</v>
      </c>
      <c r="P440" s="86">
        <f t="shared" si="127"/>
        <v>0</v>
      </c>
      <c r="Q440" s="86">
        <f t="shared" si="128"/>
        <v>0</v>
      </c>
      <c r="R440" s="86">
        <f t="shared" si="129"/>
        <v>0</v>
      </c>
      <c r="S440" s="86">
        <f t="shared" si="130"/>
        <v>0</v>
      </c>
      <c r="T440" s="86">
        <f t="shared" si="131"/>
        <v>-54.150000000000006</v>
      </c>
      <c r="U440" s="87">
        <v>-54.150000000000006</v>
      </c>
    </row>
    <row r="441" spans="1:22" s="30" customFormat="1" ht="24.6" hidden="1" outlineLevel="1" x14ac:dyDescent="0.55000000000000004">
      <c r="A441" s="27" t="s">
        <v>327</v>
      </c>
      <c r="B441" s="28"/>
      <c r="C441" s="27"/>
      <c r="D441" s="27" t="str">
        <f>"""NAV Direct"",""CRONUS JetCorp USA"",""21"",""1"",""431735"""</f>
        <v>"NAV Direct","CRONUS JetCorp USA","21","1","431735"</v>
      </c>
      <c r="E441" s="31" t="str">
        <f t="shared" si="123"/>
        <v>C100023</v>
      </c>
      <c r="F441" s="31"/>
      <c r="G441" s="31"/>
      <c r="H441" s="31"/>
      <c r="I441" s="56"/>
      <c r="J441" s="56"/>
      <c r="K441" s="82" t="str">
        <f t="shared" si="132"/>
        <v>Credit Memo</v>
      </c>
      <c r="L441" s="83" t="str">
        <f>"SC_100370"</f>
        <v>SC_100370</v>
      </c>
      <c r="M441" s="84">
        <v>43656</v>
      </c>
      <c r="N441" s="85">
        <f t="shared" si="125"/>
        <v>156</v>
      </c>
      <c r="O441" s="86">
        <f t="shared" si="126"/>
        <v>-58.03</v>
      </c>
      <c r="P441" s="86">
        <f t="shared" si="127"/>
        <v>0</v>
      </c>
      <c r="Q441" s="86">
        <f t="shared" si="128"/>
        <v>0</v>
      </c>
      <c r="R441" s="86">
        <f t="shared" si="129"/>
        <v>0</v>
      </c>
      <c r="S441" s="86">
        <f t="shared" si="130"/>
        <v>0</v>
      </c>
      <c r="T441" s="86">
        <f t="shared" si="131"/>
        <v>-58.03</v>
      </c>
      <c r="U441" s="87">
        <v>-58.03</v>
      </c>
    </row>
    <row r="442" spans="1:22" s="30" customFormat="1" ht="24.6" hidden="1" outlineLevel="1" x14ac:dyDescent="0.55000000000000004">
      <c r="A442" s="27" t="s">
        <v>327</v>
      </c>
      <c r="B442" s="28"/>
      <c r="C442" s="27"/>
      <c r="D442" s="27" t="str">
        <f>"""NAV Direct"",""CRONUS JetCorp USA"",""21"",""1"",""431792"""</f>
        <v>"NAV Direct","CRONUS JetCorp USA","21","1","431792"</v>
      </c>
      <c r="E442" s="31">
        <f t="shared" si="123"/>
        <v>0</v>
      </c>
      <c r="F442" s="31"/>
      <c r="G442" s="31"/>
      <c r="H442" s="31"/>
      <c r="I442" s="56"/>
      <c r="J442" s="56"/>
      <c r="K442" s="82" t="str">
        <f t="shared" si="132"/>
        <v>Credit Memo</v>
      </c>
      <c r="L442" s="83" t="str">
        <f>"SC_100375"</f>
        <v>SC_100375</v>
      </c>
      <c r="M442" s="84">
        <v>42073</v>
      </c>
      <c r="N442" s="85">
        <f t="shared" si="125"/>
        <v>1739</v>
      </c>
      <c r="O442" s="86">
        <f t="shared" si="126"/>
        <v>-61.769999999999996</v>
      </c>
      <c r="P442" s="86">
        <f t="shared" si="127"/>
        <v>0</v>
      </c>
      <c r="Q442" s="86">
        <f t="shared" si="128"/>
        <v>0</v>
      </c>
      <c r="R442" s="86">
        <f t="shared" si="129"/>
        <v>0</v>
      </c>
      <c r="S442" s="86">
        <f t="shared" si="130"/>
        <v>0</v>
      </c>
      <c r="T442" s="86">
        <f t="shared" si="131"/>
        <v>-61.769999999999996</v>
      </c>
      <c r="U442" s="87">
        <v>-61.769999999999996</v>
      </c>
    </row>
    <row r="443" spans="1:22" s="22" customFormat="1" ht="20.399999999999999" collapsed="1" x14ac:dyDescent="0.45">
      <c r="A443" s="12" t="s">
        <v>327</v>
      </c>
      <c r="B443" s="19"/>
      <c r="C443" s="12"/>
      <c r="D443" s="12"/>
      <c r="E443" s="23"/>
      <c r="F443" s="23"/>
      <c r="G443" s="23"/>
      <c r="H443" s="23"/>
      <c r="I443" s="49"/>
      <c r="J443" s="88"/>
      <c r="K443" s="88"/>
      <c r="L443" s="89"/>
      <c r="M443" s="89"/>
      <c r="N443" s="89"/>
      <c r="O443" s="89"/>
      <c r="P443" s="89"/>
      <c r="Q443" s="90"/>
      <c r="R443" s="90"/>
      <c r="S443" s="91"/>
      <c r="T443" s="92"/>
      <c r="U443" s="92"/>
    </row>
    <row r="444" spans="1:22" s="22" customFormat="1" ht="20.399999999999999" x14ac:dyDescent="0.45">
      <c r="A444" s="12" t="s">
        <v>327</v>
      </c>
      <c r="B444" s="19"/>
      <c r="C444" s="12"/>
      <c r="D444" s="12"/>
      <c r="E444" s="23"/>
      <c r="F444" s="23"/>
      <c r="G444" s="23"/>
      <c r="H444" s="23"/>
      <c r="I444" s="49"/>
      <c r="J444" s="88"/>
      <c r="K444" s="88"/>
      <c r="L444" s="89"/>
      <c r="M444" s="89"/>
      <c r="N444" s="89"/>
      <c r="O444" s="89"/>
      <c r="P444" s="89"/>
      <c r="Q444" s="90"/>
      <c r="R444" s="90"/>
      <c r="S444" s="91"/>
      <c r="T444" s="92"/>
      <c r="U444" s="92"/>
    </row>
    <row r="445" spans="1:22" s="26" customFormat="1" ht="24.6" x14ac:dyDescent="0.55000000000000004">
      <c r="A445" s="27" t="s">
        <v>327</v>
      </c>
      <c r="B445" s="28"/>
      <c r="C445" s="27" t="str">
        <f>"""NAV Direct"",""CRONUS JetCorp USA"",""18"",""1"",""C100025"""</f>
        <v>"NAV Direct","CRONUS JetCorp USA","18","1","C100025"</v>
      </c>
      <c r="D445" s="27"/>
      <c r="E445" s="28" t="str">
        <f>H445</f>
        <v>C100025</v>
      </c>
      <c r="F445" s="28"/>
      <c r="G445" s="28"/>
      <c r="H445" s="28" t="str">
        <f>"C100025"</f>
        <v>C100025</v>
      </c>
      <c r="I445" s="116" t="str">
        <f>"C100025  -  Derringers Resturants"</f>
        <v>C100025  -  Derringers Resturants</v>
      </c>
      <c r="J445" s="117" t="str">
        <f>""</f>
        <v/>
      </c>
      <c r="K445" s="118"/>
      <c r="L445" s="119">
        <f>SUBTOTAL(3,L446:L512)</f>
        <v>63</v>
      </c>
      <c r="M445" s="118"/>
      <c r="N445" s="118"/>
      <c r="O445" s="120">
        <f t="shared" ref="O445:T445" si="133">SUBTOTAL(9,O446:O512)</f>
        <v>1042068.7599999998</v>
      </c>
      <c r="P445" s="120">
        <f t="shared" si="133"/>
        <v>39924.759999999995</v>
      </c>
      <c r="Q445" s="120">
        <f t="shared" si="133"/>
        <v>18957.830000000002</v>
      </c>
      <c r="R445" s="120">
        <f t="shared" si="133"/>
        <v>0</v>
      </c>
      <c r="S445" s="120">
        <f t="shared" si="133"/>
        <v>36488.179999999993</v>
      </c>
      <c r="T445" s="120">
        <f t="shared" si="133"/>
        <v>946697.98999999987</v>
      </c>
      <c r="U445" s="81"/>
    </row>
    <row r="446" spans="1:22" s="26" customFormat="1" ht="24.6" x14ac:dyDescent="0.55000000000000004">
      <c r="A446" s="27" t="s">
        <v>327</v>
      </c>
      <c r="B446" s="28"/>
      <c r="C446" s="27" t="str">
        <f>C445</f>
        <v>"NAV Direct","CRONUS JetCorp USA","18","1","C100025"</v>
      </c>
      <c r="D446" s="27"/>
      <c r="E446" s="28" t="str">
        <f>E445</f>
        <v>C100025</v>
      </c>
      <c r="F446" s="28"/>
      <c r="G446" s="28"/>
      <c r="H446" s="28"/>
      <c r="I446" s="121" t="str">
        <f>"Contact: Cecil B Demil"</f>
        <v>Contact: Cecil B Demil</v>
      </c>
      <c r="J446" s="121"/>
      <c r="K446" s="122"/>
      <c r="L446" s="123"/>
      <c r="M446" s="123"/>
      <c r="N446" s="124"/>
      <c r="O446" s="124"/>
      <c r="P446" s="123"/>
      <c r="Q446" s="125"/>
      <c r="R446" s="126"/>
      <c r="S446" s="126"/>
      <c r="T446" s="125"/>
      <c r="U446" s="81"/>
    </row>
    <row r="447" spans="1:22" s="26" customFormat="1" ht="24.6" x14ac:dyDescent="0.55000000000000004">
      <c r="A447" s="27" t="s">
        <v>327</v>
      </c>
      <c r="B447" s="28"/>
      <c r="C447" s="27" t="str">
        <f>C446</f>
        <v>"NAV Direct","CRONUS JetCorp USA","18","1","C100025"</v>
      </c>
      <c r="D447" s="27"/>
      <c r="E447" s="28" t="str">
        <f>E446</f>
        <v>C100025</v>
      </c>
      <c r="F447" s="28"/>
      <c r="G447" s="28"/>
      <c r="H447" s="28"/>
      <c r="I447" s="121" t="str">
        <f>"Derringers Resturants@Cronus.com"</f>
        <v>Derringers Resturants@Cronus.com</v>
      </c>
      <c r="J447" s="121"/>
      <c r="K447" s="122"/>
      <c r="L447" s="124"/>
      <c r="M447" s="124"/>
      <c r="N447" s="124"/>
      <c r="O447" s="124"/>
      <c r="P447" s="123"/>
      <c r="Q447" s="125"/>
      <c r="R447" s="126"/>
      <c r="S447" s="126"/>
      <c r="T447" s="125"/>
      <c r="U447" s="81"/>
    </row>
    <row r="448" spans="1:22" ht="12.75" hidden="1" customHeight="1" outlineLevel="1" x14ac:dyDescent="0.45">
      <c r="A448" s="12" t="s">
        <v>328</v>
      </c>
      <c r="B448" s="19"/>
      <c r="E448" s="19"/>
      <c r="F448" s="19"/>
      <c r="G448" s="19"/>
      <c r="H448" s="19"/>
      <c r="I448" s="61"/>
      <c r="J448" s="61"/>
      <c r="K448" s="61"/>
      <c r="L448" s="61"/>
      <c r="M448" s="61"/>
      <c r="N448" s="61"/>
      <c r="O448" s="61"/>
      <c r="P448" s="61"/>
      <c r="Q448" s="61"/>
      <c r="R448" s="61"/>
      <c r="S448" s="61"/>
      <c r="T448" s="61"/>
      <c r="U448" s="61"/>
      <c r="V448" s="21"/>
    </row>
    <row r="449" spans="1:21" s="30" customFormat="1" ht="24.6" hidden="1" outlineLevel="1" x14ac:dyDescent="0.55000000000000004">
      <c r="A449" s="27" t="s">
        <v>327</v>
      </c>
      <c r="B449" s="28"/>
      <c r="C449" s="27"/>
      <c r="D449" s="27" t="str">
        <f>"""NAV Direct"",""CRONUS JetCorp USA"",""21"",""1"",""61285"""</f>
        <v>"NAV Direct","CRONUS JetCorp USA","21","1","61285"</v>
      </c>
      <c r="E449" s="31" t="str">
        <f t="shared" ref="E449:E480" si="134">E447</f>
        <v>C100025</v>
      </c>
      <c r="F449" s="31"/>
      <c r="G449" s="31"/>
      <c r="H449" s="31"/>
      <c r="I449" s="56"/>
      <c r="J449" s="56"/>
      <c r="K449" s="82" t="str">
        <f t="shared" ref="K449:K480" si="135">"Invoice"</f>
        <v>Invoice</v>
      </c>
      <c r="L449" s="83" t="str">
        <f>"SI_105453"</f>
        <v>SI_105453</v>
      </c>
      <c r="M449" s="84">
        <v>42311</v>
      </c>
      <c r="N449" s="85">
        <f t="shared" ref="N449:N480" si="136">StartDate-$M449+1</f>
        <v>1501</v>
      </c>
      <c r="O449" s="86">
        <f t="shared" ref="O449:O480" si="137">SUM(P449:T449)</f>
        <v>19397.79</v>
      </c>
      <c r="P449" s="86">
        <f t="shared" ref="P449:P480" si="138">IF($M449&gt;=$P$18,U449,0)</f>
        <v>0</v>
      </c>
      <c r="Q449" s="86">
        <f t="shared" ref="Q449:Q480" si="139">IF(AND($M449&gt;=$Q$16,$M449&lt;=$Q$18),U449,0)</f>
        <v>0</v>
      </c>
      <c r="R449" s="86">
        <f t="shared" ref="R449:R480" si="140">IF(AND($M449&gt;=$R$16,$M449&lt;=$R$18),U449,0)</f>
        <v>0</v>
      </c>
      <c r="S449" s="86">
        <f t="shared" ref="S449:S480" si="141">IF(AND($M449&gt;=$S$16,$M449&lt;=$S$18),U449,0)</f>
        <v>0</v>
      </c>
      <c r="T449" s="86">
        <f t="shared" ref="T449:T480" si="142">IF($M449&lt;=$T$18,U449,0)</f>
        <v>19397.79</v>
      </c>
      <c r="U449" s="87">
        <v>19397.79</v>
      </c>
    </row>
    <row r="450" spans="1:21" s="30" customFormat="1" ht="24.6" hidden="1" outlineLevel="1" x14ac:dyDescent="0.55000000000000004">
      <c r="A450" s="27" t="s">
        <v>327</v>
      </c>
      <c r="B450" s="28"/>
      <c r="C450" s="27"/>
      <c r="D450" s="27" t="str">
        <f>"""NAV Direct"",""CRONUS JetCorp USA"",""21"",""1"",""335367"""</f>
        <v>"NAV Direct","CRONUS JetCorp USA","21","1","335367"</v>
      </c>
      <c r="E450" s="31">
        <f t="shared" si="134"/>
        <v>0</v>
      </c>
      <c r="F450" s="31"/>
      <c r="G450" s="31"/>
      <c r="H450" s="31"/>
      <c r="I450" s="56"/>
      <c r="J450" s="56"/>
      <c r="K450" s="82" t="str">
        <f t="shared" si="135"/>
        <v>Invoice</v>
      </c>
      <c r="L450" s="83" t="str">
        <f>"SI_110599"</f>
        <v>SI_110599</v>
      </c>
      <c r="M450" s="84">
        <v>42435</v>
      </c>
      <c r="N450" s="85">
        <f t="shared" si="136"/>
        <v>1377</v>
      </c>
      <c r="O450" s="86">
        <f t="shared" si="137"/>
        <v>15972.849999999999</v>
      </c>
      <c r="P450" s="86">
        <f t="shared" si="138"/>
        <v>0</v>
      </c>
      <c r="Q450" s="86">
        <f t="shared" si="139"/>
        <v>0</v>
      </c>
      <c r="R450" s="86">
        <f t="shared" si="140"/>
        <v>0</v>
      </c>
      <c r="S450" s="86">
        <f t="shared" si="141"/>
        <v>0</v>
      </c>
      <c r="T450" s="86">
        <f t="shared" si="142"/>
        <v>15972.849999999999</v>
      </c>
      <c r="U450" s="87">
        <v>15972.849999999999</v>
      </c>
    </row>
    <row r="451" spans="1:21" s="30" customFormat="1" ht="24.6" hidden="1" outlineLevel="1" x14ac:dyDescent="0.55000000000000004">
      <c r="A451" s="27" t="s">
        <v>327</v>
      </c>
      <c r="B451" s="28"/>
      <c r="C451" s="27"/>
      <c r="D451" s="27" t="str">
        <f>"""NAV Direct"",""CRONUS JetCorp USA"",""21"",""1"",""335474"""</f>
        <v>"NAV Direct","CRONUS JetCorp USA","21","1","335474"</v>
      </c>
      <c r="E451" s="31" t="str">
        <f t="shared" si="134"/>
        <v>C100025</v>
      </c>
      <c r="F451" s="31"/>
      <c r="G451" s="31"/>
      <c r="H451" s="31"/>
      <c r="I451" s="56"/>
      <c r="J451" s="56"/>
      <c r="K451" s="82" t="str">
        <f t="shared" si="135"/>
        <v>Invoice</v>
      </c>
      <c r="L451" s="83" t="str">
        <f>"SI_110602"</f>
        <v>SI_110602</v>
      </c>
      <c r="M451" s="84">
        <v>42437</v>
      </c>
      <c r="N451" s="85">
        <f t="shared" si="136"/>
        <v>1375</v>
      </c>
      <c r="O451" s="86">
        <f t="shared" si="137"/>
        <v>15618.13</v>
      </c>
      <c r="P451" s="86">
        <f t="shared" si="138"/>
        <v>0</v>
      </c>
      <c r="Q451" s="86">
        <f t="shared" si="139"/>
        <v>0</v>
      </c>
      <c r="R451" s="86">
        <f t="shared" si="140"/>
        <v>0</v>
      </c>
      <c r="S451" s="86">
        <f t="shared" si="141"/>
        <v>0</v>
      </c>
      <c r="T451" s="86">
        <f t="shared" si="142"/>
        <v>15618.13</v>
      </c>
      <c r="U451" s="87">
        <v>15618.13</v>
      </c>
    </row>
    <row r="452" spans="1:21" s="30" customFormat="1" ht="24.6" hidden="1" outlineLevel="1" x14ac:dyDescent="0.55000000000000004">
      <c r="A452" s="27" t="s">
        <v>327</v>
      </c>
      <c r="B452" s="28"/>
      <c r="C452" s="27"/>
      <c r="D452" s="27" t="str">
        <f>"""NAV Direct"",""CRONUS JetCorp USA"",""21"",""1"",""336092"""</f>
        <v>"NAV Direct","CRONUS JetCorp USA","21","1","336092"</v>
      </c>
      <c r="E452" s="31">
        <f t="shared" si="134"/>
        <v>0</v>
      </c>
      <c r="F452" s="31"/>
      <c r="G452" s="31"/>
      <c r="H452" s="31"/>
      <c r="I452" s="56"/>
      <c r="J452" s="56"/>
      <c r="K452" s="82" t="str">
        <f t="shared" si="135"/>
        <v>Invoice</v>
      </c>
      <c r="L452" s="83" t="str">
        <f>"SI_110618"</f>
        <v>SI_110618</v>
      </c>
      <c r="M452" s="84">
        <v>42520</v>
      </c>
      <c r="N452" s="85">
        <f t="shared" si="136"/>
        <v>1292</v>
      </c>
      <c r="O452" s="86">
        <f t="shared" si="137"/>
        <v>18177.649999999998</v>
      </c>
      <c r="P452" s="86">
        <f t="shared" si="138"/>
        <v>0</v>
      </c>
      <c r="Q452" s="86">
        <f t="shared" si="139"/>
        <v>0</v>
      </c>
      <c r="R452" s="86">
        <f t="shared" si="140"/>
        <v>0</v>
      </c>
      <c r="S452" s="86">
        <f t="shared" si="141"/>
        <v>0</v>
      </c>
      <c r="T452" s="86">
        <f t="shared" si="142"/>
        <v>18177.649999999998</v>
      </c>
      <c r="U452" s="87">
        <v>18177.649999999998</v>
      </c>
    </row>
    <row r="453" spans="1:21" s="30" customFormat="1" ht="24.6" hidden="1" outlineLevel="1" x14ac:dyDescent="0.55000000000000004">
      <c r="A453" s="27" t="s">
        <v>327</v>
      </c>
      <c r="B453" s="28"/>
      <c r="C453" s="27"/>
      <c r="D453" s="27" t="str">
        <f>"""NAV Direct"",""CRONUS JetCorp USA"",""21"",""1"",""336351"""</f>
        <v>"NAV Direct","CRONUS JetCorp USA","21","1","336351"</v>
      </c>
      <c r="E453" s="31" t="str">
        <f t="shared" si="134"/>
        <v>C100025</v>
      </c>
      <c r="F453" s="31"/>
      <c r="G453" s="31"/>
      <c r="H453" s="31"/>
      <c r="I453" s="56"/>
      <c r="J453" s="56"/>
      <c r="K453" s="82" t="str">
        <f t="shared" si="135"/>
        <v>Invoice</v>
      </c>
      <c r="L453" s="83" t="str">
        <f>"SI_110625"</f>
        <v>SI_110625</v>
      </c>
      <c r="M453" s="84">
        <v>42556</v>
      </c>
      <c r="N453" s="85">
        <f t="shared" si="136"/>
        <v>1256</v>
      </c>
      <c r="O453" s="86">
        <f t="shared" si="137"/>
        <v>18812.68</v>
      </c>
      <c r="P453" s="86">
        <f t="shared" si="138"/>
        <v>0</v>
      </c>
      <c r="Q453" s="86">
        <f t="shared" si="139"/>
        <v>0</v>
      </c>
      <c r="R453" s="86">
        <f t="shared" si="140"/>
        <v>0</v>
      </c>
      <c r="S453" s="86">
        <f t="shared" si="141"/>
        <v>0</v>
      </c>
      <c r="T453" s="86">
        <f t="shared" si="142"/>
        <v>18812.68</v>
      </c>
      <c r="U453" s="87">
        <v>18812.68</v>
      </c>
    </row>
    <row r="454" spans="1:21" s="30" customFormat="1" ht="24.6" hidden="1" outlineLevel="1" x14ac:dyDescent="0.55000000000000004">
      <c r="A454" s="27" t="s">
        <v>327</v>
      </c>
      <c r="B454" s="28"/>
      <c r="C454" s="27"/>
      <c r="D454" s="27" t="str">
        <f>"""NAV Direct"",""CRONUS JetCorp USA"",""21"",""1"",""336701"""</f>
        <v>"NAV Direct","CRONUS JetCorp USA","21","1","336701"</v>
      </c>
      <c r="E454" s="31">
        <f t="shared" si="134"/>
        <v>0</v>
      </c>
      <c r="F454" s="31"/>
      <c r="G454" s="31"/>
      <c r="H454" s="31"/>
      <c r="I454" s="56"/>
      <c r="J454" s="56"/>
      <c r="K454" s="82" t="str">
        <f t="shared" si="135"/>
        <v>Invoice</v>
      </c>
      <c r="L454" s="83" t="str">
        <f>"SI_110635"</f>
        <v>SI_110635</v>
      </c>
      <c r="M454" s="84">
        <v>42584</v>
      </c>
      <c r="N454" s="85">
        <f t="shared" si="136"/>
        <v>1228</v>
      </c>
      <c r="O454" s="86">
        <f t="shared" si="137"/>
        <v>18381.18</v>
      </c>
      <c r="P454" s="86">
        <f t="shared" si="138"/>
        <v>0</v>
      </c>
      <c r="Q454" s="86">
        <f t="shared" si="139"/>
        <v>0</v>
      </c>
      <c r="R454" s="86">
        <f t="shared" si="140"/>
        <v>0</v>
      </c>
      <c r="S454" s="86">
        <f t="shared" si="141"/>
        <v>0</v>
      </c>
      <c r="T454" s="86">
        <f t="shared" si="142"/>
        <v>18381.18</v>
      </c>
      <c r="U454" s="87">
        <v>18381.18</v>
      </c>
    </row>
    <row r="455" spans="1:21" s="30" customFormat="1" ht="24.6" hidden="1" outlineLevel="1" x14ac:dyDescent="0.55000000000000004">
      <c r="A455" s="27" t="s">
        <v>327</v>
      </c>
      <c r="B455" s="28"/>
      <c r="C455" s="27"/>
      <c r="D455" s="27" t="str">
        <f>"""NAV Direct"",""CRONUS JetCorp USA"",""21"",""1"",""337151"""</f>
        <v>"NAV Direct","CRONUS JetCorp USA","21","1","337151"</v>
      </c>
      <c r="E455" s="31" t="str">
        <f t="shared" si="134"/>
        <v>C100025</v>
      </c>
      <c r="F455" s="31"/>
      <c r="G455" s="31"/>
      <c r="H455" s="31"/>
      <c r="I455" s="56"/>
      <c r="J455" s="56"/>
      <c r="K455" s="82" t="str">
        <f t="shared" si="135"/>
        <v>Invoice</v>
      </c>
      <c r="L455" s="83" t="str">
        <f>"SI_110647"</f>
        <v>SI_110647</v>
      </c>
      <c r="M455" s="84">
        <v>42643</v>
      </c>
      <c r="N455" s="85">
        <f t="shared" si="136"/>
        <v>1169</v>
      </c>
      <c r="O455" s="86">
        <f t="shared" si="137"/>
        <v>17742.68</v>
      </c>
      <c r="P455" s="86">
        <f t="shared" si="138"/>
        <v>0</v>
      </c>
      <c r="Q455" s="86">
        <f t="shared" si="139"/>
        <v>0</v>
      </c>
      <c r="R455" s="86">
        <f t="shared" si="140"/>
        <v>0</v>
      </c>
      <c r="S455" s="86">
        <f t="shared" si="141"/>
        <v>0</v>
      </c>
      <c r="T455" s="86">
        <f t="shared" si="142"/>
        <v>17742.68</v>
      </c>
      <c r="U455" s="87">
        <v>17742.68</v>
      </c>
    </row>
    <row r="456" spans="1:21" s="30" customFormat="1" ht="24.6" hidden="1" outlineLevel="1" x14ac:dyDescent="0.55000000000000004">
      <c r="A456" s="27" t="s">
        <v>327</v>
      </c>
      <c r="B456" s="28"/>
      <c r="C456" s="27"/>
      <c r="D456" s="27" t="str">
        <f>"""NAV Direct"",""CRONUS JetCorp USA"",""21"",""1"",""337357"""</f>
        <v>"NAV Direct","CRONUS JetCorp USA","21","1","337357"</v>
      </c>
      <c r="E456" s="31">
        <f t="shared" si="134"/>
        <v>0</v>
      </c>
      <c r="F456" s="31"/>
      <c r="G456" s="31"/>
      <c r="H456" s="31"/>
      <c r="I456" s="56"/>
      <c r="J456" s="56"/>
      <c r="K456" s="82" t="str">
        <f t="shared" si="135"/>
        <v>Invoice</v>
      </c>
      <c r="L456" s="83" t="str">
        <f>"SI_110653"</f>
        <v>SI_110653</v>
      </c>
      <c r="M456" s="84">
        <v>42689</v>
      </c>
      <c r="N456" s="85">
        <f t="shared" si="136"/>
        <v>1123</v>
      </c>
      <c r="O456" s="86">
        <f t="shared" si="137"/>
        <v>18328.05</v>
      </c>
      <c r="P456" s="86">
        <f t="shared" si="138"/>
        <v>0</v>
      </c>
      <c r="Q456" s="86">
        <f t="shared" si="139"/>
        <v>0</v>
      </c>
      <c r="R456" s="86">
        <f t="shared" si="140"/>
        <v>0</v>
      </c>
      <c r="S456" s="86">
        <f t="shared" si="141"/>
        <v>0</v>
      </c>
      <c r="T456" s="86">
        <f t="shared" si="142"/>
        <v>18328.05</v>
      </c>
      <c r="U456" s="87">
        <v>18328.05</v>
      </c>
    </row>
    <row r="457" spans="1:21" s="30" customFormat="1" ht="24.6" hidden="1" outlineLevel="1" x14ac:dyDescent="0.55000000000000004">
      <c r="A457" s="27" t="s">
        <v>327</v>
      </c>
      <c r="B457" s="28"/>
      <c r="C457" s="27"/>
      <c r="D457" s="27" t="str">
        <f>"""NAV Direct"",""CRONUS JetCorp USA"",""21"",""1"",""337929"""</f>
        <v>"NAV Direct","CRONUS JetCorp USA","21","1","337929"</v>
      </c>
      <c r="E457" s="31" t="str">
        <f t="shared" si="134"/>
        <v>C100025</v>
      </c>
      <c r="F457" s="31"/>
      <c r="G457" s="31"/>
      <c r="H457" s="31"/>
      <c r="I457" s="56"/>
      <c r="J457" s="56"/>
      <c r="K457" s="82" t="str">
        <f t="shared" si="135"/>
        <v>Invoice</v>
      </c>
      <c r="L457" s="83" t="str">
        <f>"SI_110669"</f>
        <v>SI_110669</v>
      </c>
      <c r="M457" s="84">
        <v>42748</v>
      </c>
      <c r="N457" s="85">
        <f t="shared" si="136"/>
        <v>1064</v>
      </c>
      <c r="O457" s="86">
        <f t="shared" si="137"/>
        <v>18125.3</v>
      </c>
      <c r="P457" s="86">
        <f t="shared" si="138"/>
        <v>0</v>
      </c>
      <c r="Q457" s="86">
        <f t="shared" si="139"/>
        <v>0</v>
      </c>
      <c r="R457" s="86">
        <f t="shared" si="140"/>
        <v>0</v>
      </c>
      <c r="S457" s="86">
        <f t="shared" si="141"/>
        <v>0</v>
      </c>
      <c r="T457" s="86">
        <f t="shared" si="142"/>
        <v>18125.3</v>
      </c>
      <c r="U457" s="87">
        <v>18125.3</v>
      </c>
    </row>
    <row r="458" spans="1:21" s="30" customFormat="1" ht="24.6" hidden="1" outlineLevel="1" x14ac:dyDescent="0.55000000000000004">
      <c r="A458" s="27" t="s">
        <v>327</v>
      </c>
      <c r="B458" s="28"/>
      <c r="C458" s="27"/>
      <c r="D458" s="27" t="str">
        <f>"""NAV Direct"",""CRONUS JetCorp USA"",""21"",""1"",""337960"""</f>
        <v>"NAV Direct","CRONUS JetCorp USA","21","1","337960"</v>
      </c>
      <c r="E458" s="31">
        <f t="shared" si="134"/>
        <v>0</v>
      </c>
      <c r="F458" s="31"/>
      <c r="G458" s="31"/>
      <c r="H458" s="31"/>
      <c r="I458" s="56"/>
      <c r="J458" s="56"/>
      <c r="K458" s="82" t="str">
        <f t="shared" si="135"/>
        <v>Invoice</v>
      </c>
      <c r="L458" s="83" t="str">
        <f>"SI_110670"</f>
        <v>SI_110670</v>
      </c>
      <c r="M458" s="84">
        <v>42759</v>
      </c>
      <c r="N458" s="85">
        <f t="shared" si="136"/>
        <v>1053</v>
      </c>
      <c r="O458" s="86">
        <f t="shared" si="137"/>
        <v>18245.66</v>
      </c>
      <c r="P458" s="86">
        <f t="shared" si="138"/>
        <v>0</v>
      </c>
      <c r="Q458" s="86">
        <f t="shared" si="139"/>
        <v>0</v>
      </c>
      <c r="R458" s="86">
        <f t="shared" si="140"/>
        <v>0</v>
      </c>
      <c r="S458" s="86">
        <f t="shared" si="141"/>
        <v>0</v>
      </c>
      <c r="T458" s="86">
        <f t="shared" si="142"/>
        <v>18245.66</v>
      </c>
      <c r="U458" s="87">
        <v>18245.66</v>
      </c>
    </row>
    <row r="459" spans="1:21" s="30" customFormat="1" ht="24.6" hidden="1" outlineLevel="1" x14ac:dyDescent="0.55000000000000004">
      <c r="A459" s="27" t="s">
        <v>327</v>
      </c>
      <c r="B459" s="28"/>
      <c r="C459" s="27"/>
      <c r="D459" s="27" t="str">
        <f>"""NAV Direct"",""CRONUS JetCorp USA"",""21"",""1"",""338139"""</f>
        <v>"NAV Direct","CRONUS JetCorp USA","21","1","338139"</v>
      </c>
      <c r="E459" s="31" t="str">
        <f t="shared" si="134"/>
        <v>C100025</v>
      </c>
      <c r="F459" s="31"/>
      <c r="G459" s="31"/>
      <c r="H459" s="31"/>
      <c r="I459" s="56"/>
      <c r="J459" s="56"/>
      <c r="K459" s="82" t="str">
        <f t="shared" si="135"/>
        <v>Invoice</v>
      </c>
      <c r="L459" s="83" t="str">
        <f>"SI_110675"</f>
        <v>SI_110675</v>
      </c>
      <c r="M459" s="84">
        <v>42773</v>
      </c>
      <c r="N459" s="85">
        <f t="shared" si="136"/>
        <v>1039</v>
      </c>
      <c r="O459" s="86">
        <f t="shared" si="137"/>
        <v>18049.53</v>
      </c>
      <c r="P459" s="86">
        <f t="shared" si="138"/>
        <v>0</v>
      </c>
      <c r="Q459" s="86">
        <f t="shared" si="139"/>
        <v>0</v>
      </c>
      <c r="R459" s="86">
        <f t="shared" si="140"/>
        <v>0</v>
      </c>
      <c r="S459" s="86">
        <f t="shared" si="141"/>
        <v>0</v>
      </c>
      <c r="T459" s="86">
        <f t="shared" si="142"/>
        <v>18049.53</v>
      </c>
      <c r="U459" s="87">
        <v>18049.53</v>
      </c>
    </row>
    <row r="460" spans="1:21" s="30" customFormat="1" ht="24.6" hidden="1" outlineLevel="1" x14ac:dyDescent="0.55000000000000004">
      <c r="A460" s="27" t="s">
        <v>327</v>
      </c>
      <c r="B460" s="28"/>
      <c r="C460" s="27"/>
      <c r="D460" s="27" t="str">
        <f>"""NAV Direct"",""CRONUS JetCorp USA"",""21"",""1"",""338748"""</f>
        <v>"NAV Direct","CRONUS JetCorp USA","21","1","338748"</v>
      </c>
      <c r="E460" s="31">
        <f t="shared" si="134"/>
        <v>0</v>
      </c>
      <c r="F460" s="31"/>
      <c r="G460" s="31"/>
      <c r="H460" s="31"/>
      <c r="I460" s="56"/>
      <c r="J460" s="56"/>
      <c r="K460" s="82" t="str">
        <f t="shared" si="135"/>
        <v>Invoice</v>
      </c>
      <c r="L460" s="83" t="str">
        <f>"SI_110690"</f>
        <v>SI_110690</v>
      </c>
      <c r="M460" s="84">
        <v>42860</v>
      </c>
      <c r="N460" s="85">
        <f t="shared" si="136"/>
        <v>952</v>
      </c>
      <c r="O460" s="86">
        <f t="shared" si="137"/>
        <v>18382.84</v>
      </c>
      <c r="P460" s="86">
        <f t="shared" si="138"/>
        <v>0</v>
      </c>
      <c r="Q460" s="86">
        <f t="shared" si="139"/>
        <v>0</v>
      </c>
      <c r="R460" s="86">
        <f t="shared" si="140"/>
        <v>0</v>
      </c>
      <c r="S460" s="86">
        <f t="shared" si="141"/>
        <v>0</v>
      </c>
      <c r="T460" s="86">
        <f t="shared" si="142"/>
        <v>18382.84</v>
      </c>
      <c r="U460" s="87">
        <v>18382.84</v>
      </c>
    </row>
    <row r="461" spans="1:21" s="30" customFormat="1" ht="24.6" hidden="1" outlineLevel="1" x14ac:dyDescent="0.55000000000000004">
      <c r="A461" s="27" t="s">
        <v>327</v>
      </c>
      <c r="B461" s="28"/>
      <c r="C461" s="27"/>
      <c r="D461" s="27" t="str">
        <f>"""NAV Direct"",""CRONUS JetCorp USA"",""21"",""1"",""338826"""</f>
        <v>"NAV Direct","CRONUS JetCorp USA","21","1","338826"</v>
      </c>
      <c r="E461" s="31" t="str">
        <f t="shared" si="134"/>
        <v>C100025</v>
      </c>
      <c r="F461" s="31"/>
      <c r="G461" s="31"/>
      <c r="H461" s="31"/>
      <c r="I461" s="56"/>
      <c r="J461" s="56"/>
      <c r="K461" s="82" t="str">
        <f t="shared" si="135"/>
        <v>Invoice</v>
      </c>
      <c r="L461" s="83" t="str">
        <f>"SI_110692"</f>
        <v>SI_110692</v>
      </c>
      <c r="M461" s="84">
        <v>42855</v>
      </c>
      <c r="N461" s="85">
        <f t="shared" si="136"/>
        <v>957</v>
      </c>
      <c r="O461" s="86">
        <f t="shared" si="137"/>
        <v>17425.23</v>
      </c>
      <c r="P461" s="86">
        <f t="shared" si="138"/>
        <v>0</v>
      </c>
      <c r="Q461" s="86">
        <f t="shared" si="139"/>
        <v>0</v>
      </c>
      <c r="R461" s="86">
        <f t="shared" si="140"/>
        <v>0</v>
      </c>
      <c r="S461" s="86">
        <f t="shared" si="141"/>
        <v>0</v>
      </c>
      <c r="T461" s="86">
        <f t="shared" si="142"/>
        <v>17425.23</v>
      </c>
      <c r="U461" s="87">
        <v>17425.23</v>
      </c>
    </row>
    <row r="462" spans="1:21" s="30" customFormat="1" ht="24.6" hidden="1" outlineLevel="1" x14ac:dyDescent="0.55000000000000004">
      <c r="A462" s="27" t="s">
        <v>327</v>
      </c>
      <c r="B462" s="28"/>
      <c r="C462" s="27"/>
      <c r="D462" s="27" t="str">
        <f>"""NAV Direct"",""CRONUS JetCorp USA"",""21"",""1"",""338869"""</f>
        <v>"NAV Direct","CRONUS JetCorp USA","21","1","338869"</v>
      </c>
      <c r="E462" s="31">
        <f t="shared" si="134"/>
        <v>0</v>
      </c>
      <c r="F462" s="31"/>
      <c r="G462" s="31"/>
      <c r="H462" s="31"/>
      <c r="I462" s="56"/>
      <c r="J462" s="56"/>
      <c r="K462" s="82" t="str">
        <f t="shared" si="135"/>
        <v>Invoice</v>
      </c>
      <c r="L462" s="83" t="str">
        <f>"SI_110693"</f>
        <v>SI_110693</v>
      </c>
      <c r="M462" s="84">
        <v>42858</v>
      </c>
      <c r="N462" s="85">
        <f t="shared" si="136"/>
        <v>954</v>
      </c>
      <c r="O462" s="86">
        <f t="shared" si="137"/>
        <v>18574.36</v>
      </c>
      <c r="P462" s="86">
        <f t="shared" si="138"/>
        <v>0</v>
      </c>
      <c r="Q462" s="86">
        <f t="shared" si="139"/>
        <v>0</v>
      </c>
      <c r="R462" s="86">
        <f t="shared" si="140"/>
        <v>0</v>
      </c>
      <c r="S462" s="86">
        <f t="shared" si="141"/>
        <v>0</v>
      </c>
      <c r="T462" s="86">
        <f t="shared" si="142"/>
        <v>18574.36</v>
      </c>
      <c r="U462" s="87">
        <v>18574.36</v>
      </c>
    </row>
    <row r="463" spans="1:21" s="30" customFormat="1" ht="24.6" hidden="1" outlineLevel="1" x14ac:dyDescent="0.55000000000000004">
      <c r="A463" s="27" t="s">
        <v>327</v>
      </c>
      <c r="B463" s="28"/>
      <c r="C463" s="27"/>
      <c r="D463" s="27" t="str">
        <f>"""NAV Direct"",""CRONUS JetCorp USA"",""21"",""1"",""339029"""</f>
        <v>"NAV Direct","CRONUS JetCorp USA","21","1","339029"</v>
      </c>
      <c r="E463" s="31" t="str">
        <f t="shared" si="134"/>
        <v>C100025</v>
      </c>
      <c r="F463" s="31"/>
      <c r="G463" s="31"/>
      <c r="H463" s="31"/>
      <c r="I463" s="56"/>
      <c r="J463" s="56"/>
      <c r="K463" s="82" t="str">
        <f t="shared" si="135"/>
        <v>Invoice</v>
      </c>
      <c r="L463" s="83" t="str">
        <f>"SI_110697"</f>
        <v>SI_110697</v>
      </c>
      <c r="M463" s="84">
        <v>42885</v>
      </c>
      <c r="N463" s="85">
        <f t="shared" si="136"/>
        <v>927</v>
      </c>
      <c r="O463" s="86">
        <f t="shared" si="137"/>
        <v>18485.28</v>
      </c>
      <c r="P463" s="86">
        <f t="shared" si="138"/>
        <v>0</v>
      </c>
      <c r="Q463" s="86">
        <f t="shared" si="139"/>
        <v>0</v>
      </c>
      <c r="R463" s="86">
        <f t="shared" si="140"/>
        <v>0</v>
      </c>
      <c r="S463" s="86">
        <f t="shared" si="141"/>
        <v>0</v>
      </c>
      <c r="T463" s="86">
        <f t="shared" si="142"/>
        <v>18485.28</v>
      </c>
      <c r="U463" s="87">
        <v>18485.28</v>
      </c>
    </row>
    <row r="464" spans="1:21" s="30" customFormat="1" ht="24.6" hidden="1" outlineLevel="1" x14ac:dyDescent="0.55000000000000004">
      <c r="A464" s="27" t="s">
        <v>327</v>
      </c>
      <c r="B464" s="28"/>
      <c r="C464" s="27"/>
      <c r="D464" s="27" t="str">
        <f>"""NAV Direct"",""CRONUS JetCorp USA"",""21"",""1"",""339195"""</f>
        <v>"NAV Direct","CRONUS JetCorp USA","21","1","339195"</v>
      </c>
      <c r="E464" s="31">
        <f t="shared" si="134"/>
        <v>0</v>
      </c>
      <c r="F464" s="31"/>
      <c r="G464" s="31"/>
      <c r="H464" s="31"/>
      <c r="I464" s="56"/>
      <c r="J464" s="56"/>
      <c r="K464" s="82" t="str">
        <f t="shared" si="135"/>
        <v>Invoice</v>
      </c>
      <c r="L464" s="83" t="str">
        <f>"SI_110701"</f>
        <v>SI_110701</v>
      </c>
      <c r="M464" s="84">
        <v>42887</v>
      </c>
      <c r="N464" s="85">
        <f t="shared" si="136"/>
        <v>925</v>
      </c>
      <c r="O464" s="86">
        <f t="shared" si="137"/>
        <v>19076.030000000002</v>
      </c>
      <c r="P464" s="86">
        <f t="shared" si="138"/>
        <v>0</v>
      </c>
      <c r="Q464" s="86">
        <f t="shared" si="139"/>
        <v>0</v>
      </c>
      <c r="R464" s="86">
        <f t="shared" si="140"/>
        <v>0</v>
      </c>
      <c r="S464" s="86">
        <f t="shared" si="141"/>
        <v>0</v>
      </c>
      <c r="T464" s="86">
        <f t="shared" si="142"/>
        <v>19076.030000000002</v>
      </c>
      <c r="U464" s="87">
        <v>19076.030000000002</v>
      </c>
    </row>
    <row r="465" spans="1:21" s="30" customFormat="1" ht="24.6" hidden="1" outlineLevel="1" x14ac:dyDescent="0.55000000000000004">
      <c r="A465" s="27" t="s">
        <v>327</v>
      </c>
      <c r="B465" s="28"/>
      <c r="C465" s="27"/>
      <c r="D465" s="27" t="str">
        <f>"""NAV Direct"",""CRONUS JetCorp USA"",""21"",""1"",""339404"""</f>
        <v>"NAV Direct","CRONUS JetCorp USA","21","1","339404"</v>
      </c>
      <c r="E465" s="31" t="str">
        <f t="shared" si="134"/>
        <v>C100025</v>
      </c>
      <c r="F465" s="31"/>
      <c r="G465" s="31"/>
      <c r="H465" s="31"/>
      <c r="I465" s="56"/>
      <c r="J465" s="56"/>
      <c r="K465" s="82" t="str">
        <f t="shared" si="135"/>
        <v>Invoice</v>
      </c>
      <c r="L465" s="83" t="str">
        <f>"SI_110706"</f>
        <v>SI_110706</v>
      </c>
      <c r="M465" s="84">
        <v>42920</v>
      </c>
      <c r="N465" s="85">
        <f t="shared" si="136"/>
        <v>892</v>
      </c>
      <c r="O465" s="86">
        <f t="shared" si="137"/>
        <v>19889.150000000001</v>
      </c>
      <c r="P465" s="86">
        <f t="shared" si="138"/>
        <v>0</v>
      </c>
      <c r="Q465" s="86">
        <f t="shared" si="139"/>
        <v>0</v>
      </c>
      <c r="R465" s="86">
        <f t="shared" si="140"/>
        <v>0</v>
      </c>
      <c r="S465" s="86">
        <f t="shared" si="141"/>
        <v>0</v>
      </c>
      <c r="T465" s="86">
        <f t="shared" si="142"/>
        <v>19889.150000000001</v>
      </c>
      <c r="U465" s="87">
        <v>19889.150000000001</v>
      </c>
    </row>
    <row r="466" spans="1:21" s="30" customFormat="1" ht="24.6" hidden="1" outlineLevel="1" x14ac:dyDescent="0.55000000000000004">
      <c r="A466" s="27" t="s">
        <v>327</v>
      </c>
      <c r="B466" s="28"/>
      <c r="C466" s="27"/>
      <c r="D466" s="27" t="str">
        <f>"""NAV Direct"",""CRONUS JetCorp USA"",""21"",""1"",""339903"""</f>
        <v>"NAV Direct","CRONUS JetCorp USA","21","1","339903"</v>
      </c>
      <c r="E466" s="31">
        <f t="shared" si="134"/>
        <v>0</v>
      </c>
      <c r="F466" s="31"/>
      <c r="G466" s="31"/>
      <c r="H466" s="31"/>
      <c r="I466" s="56"/>
      <c r="J466" s="56"/>
      <c r="K466" s="82" t="str">
        <f t="shared" si="135"/>
        <v>Invoice</v>
      </c>
      <c r="L466" s="83" t="str">
        <f>"SI_110719"</f>
        <v>SI_110719</v>
      </c>
      <c r="M466" s="84">
        <v>42967</v>
      </c>
      <c r="N466" s="85">
        <f t="shared" si="136"/>
        <v>845</v>
      </c>
      <c r="O466" s="86">
        <f t="shared" si="137"/>
        <v>18522.71</v>
      </c>
      <c r="P466" s="86">
        <f t="shared" si="138"/>
        <v>0</v>
      </c>
      <c r="Q466" s="86">
        <f t="shared" si="139"/>
        <v>0</v>
      </c>
      <c r="R466" s="86">
        <f t="shared" si="140"/>
        <v>0</v>
      </c>
      <c r="S466" s="86">
        <f t="shared" si="141"/>
        <v>0</v>
      </c>
      <c r="T466" s="86">
        <f t="shared" si="142"/>
        <v>18522.71</v>
      </c>
      <c r="U466" s="87">
        <v>18522.71</v>
      </c>
    </row>
    <row r="467" spans="1:21" s="30" customFormat="1" ht="24.6" hidden="1" outlineLevel="1" x14ac:dyDescent="0.55000000000000004">
      <c r="A467" s="27" t="s">
        <v>327</v>
      </c>
      <c r="B467" s="28"/>
      <c r="C467" s="27"/>
      <c r="D467" s="27" t="str">
        <f>"""NAV Direct"",""CRONUS JetCorp USA"",""21"",""1"",""339998"""</f>
        <v>"NAV Direct","CRONUS JetCorp USA","21","1","339998"</v>
      </c>
      <c r="E467" s="31" t="str">
        <f t="shared" si="134"/>
        <v>C100025</v>
      </c>
      <c r="F467" s="31"/>
      <c r="G467" s="31"/>
      <c r="H467" s="31"/>
      <c r="I467" s="56"/>
      <c r="J467" s="56"/>
      <c r="K467" s="82" t="str">
        <f t="shared" si="135"/>
        <v>Invoice</v>
      </c>
      <c r="L467" s="83" t="str">
        <f>"SI_110722"</f>
        <v>SI_110722</v>
      </c>
      <c r="M467" s="84">
        <v>42984</v>
      </c>
      <c r="N467" s="85">
        <f t="shared" si="136"/>
        <v>828</v>
      </c>
      <c r="O467" s="86">
        <f t="shared" si="137"/>
        <v>17949.900000000001</v>
      </c>
      <c r="P467" s="86">
        <f t="shared" si="138"/>
        <v>0</v>
      </c>
      <c r="Q467" s="86">
        <f t="shared" si="139"/>
        <v>0</v>
      </c>
      <c r="R467" s="86">
        <f t="shared" si="140"/>
        <v>0</v>
      </c>
      <c r="S467" s="86">
        <f t="shared" si="141"/>
        <v>0</v>
      </c>
      <c r="T467" s="86">
        <f t="shared" si="142"/>
        <v>17949.900000000001</v>
      </c>
      <c r="U467" s="87">
        <v>17949.900000000001</v>
      </c>
    </row>
    <row r="468" spans="1:21" s="30" customFormat="1" ht="24.6" hidden="1" outlineLevel="1" x14ac:dyDescent="0.55000000000000004">
      <c r="A468" s="27" t="s">
        <v>327</v>
      </c>
      <c r="B468" s="28"/>
      <c r="C468" s="27"/>
      <c r="D468" s="27" t="str">
        <f>"""NAV Direct"",""CRONUS JetCorp USA"",""21"",""1"",""340043"""</f>
        <v>"NAV Direct","CRONUS JetCorp USA","21","1","340043"</v>
      </c>
      <c r="E468" s="31">
        <f t="shared" si="134"/>
        <v>0</v>
      </c>
      <c r="F468" s="31"/>
      <c r="G468" s="31"/>
      <c r="H468" s="31"/>
      <c r="I468" s="56"/>
      <c r="J468" s="56"/>
      <c r="K468" s="82" t="str">
        <f t="shared" si="135"/>
        <v>Invoice</v>
      </c>
      <c r="L468" s="83" t="str">
        <f>"SI_110723"</f>
        <v>SI_110723</v>
      </c>
      <c r="M468" s="84">
        <v>42985</v>
      </c>
      <c r="N468" s="85">
        <f t="shared" si="136"/>
        <v>827</v>
      </c>
      <c r="O468" s="86">
        <f t="shared" si="137"/>
        <v>17759.030000000002</v>
      </c>
      <c r="P468" s="86">
        <f t="shared" si="138"/>
        <v>0</v>
      </c>
      <c r="Q468" s="86">
        <f t="shared" si="139"/>
        <v>0</v>
      </c>
      <c r="R468" s="86">
        <f t="shared" si="140"/>
        <v>0</v>
      </c>
      <c r="S468" s="86">
        <f t="shared" si="141"/>
        <v>0</v>
      </c>
      <c r="T468" s="86">
        <f t="shared" si="142"/>
        <v>17759.030000000002</v>
      </c>
      <c r="U468" s="87">
        <v>17759.030000000002</v>
      </c>
    </row>
    <row r="469" spans="1:21" s="30" customFormat="1" ht="24.6" hidden="1" outlineLevel="1" x14ac:dyDescent="0.55000000000000004">
      <c r="A469" s="27" t="s">
        <v>327</v>
      </c>
      <c r="B469" s="28"/>
      <c r="C469" s="27"/>
      <c r="D469" s="27" t="str">
        <f>"""NAV Direct"",""CRONUS JetCorp USA"",""21"",""1"",""340390"""</f>
        <v>"NAV Direct","CRONUS JetCorp USA","21","1","340390"</v>
      </c>
      <c r="E469" s="31" t="str">
        <f t="shared" si="134"/>
        <v>C100025</v>
      </c>
      <c r="F469" s="31"/>
      <c r="G469" s="31"/>
      <c r="H469" s="31"/>
      <c r="I469" s="56"/>
      <c r="J469" s="56"/>
      <c r="K469" s="82" t="str">
        <f t="shared" si="135"/>
        <v>Invoice</v>
      </c>
      <c r="L469" s="83" t="str">
        <f>"SI_110732"</f>
        <v>SI_110732</v>
      </c>
      <c r="M469" s="84">
        <v>43020</v>
      </c>
      <c r="N469" s="85">
        <f t="shared" si="136"/>
        <v>792</v>
      </c>
      <c r="O469" s="86">
        <f t="shared" si="137"/>
        <v>18376.259999999998</v>
      </c>
      <c r="P469" s="86">
        <f t="shared" si="138"/>
        <v>0</v>
      </c>
      <c r="Q469" s="86">
        <f t="shared" si="139"/>
        <v>0</v>
      </c>
      <c r="R469" s="86">
        <f t="shared" si="140"/>
        <v>0</v>
      </c>
      <c r="S469" s="86">
        <f t="shared" si="141"/>
        <v>0</v>
      </c>
      <c r="T469" s="86">
        <f t="shared" si="142"/>
        <v>18376.259999999998</v>
      </c>
      <c r="U469" s="87">
        <v>18376.259999999998</v>
      </c>
    </row>
    <row r="470" spans="1:21" s="30" customFormat="1" ht="24.6" hidden="1" outlineLevel="1" x14ac:dyDescent="0.55000000000000004">
      <c r="A470" s="27" t="s">
        <v>327</v>
      </c>
      <c r="B470" s="28"/>
      <c r="C470" s="27"/>
      <c r="D470" s="27" t="str">
        <f>"""NAV Direct"",""CRONUS JetCorp USA"",""21"",""1"",""340484"""</f>
        <v>"NAV Direct","CRONUS JetCorp USA","21","1","340484"</v>
      </c>
      <c r="E470" s="31">
        <f t="shared" si="134"/>
        <v>0</v>
      </c>
      <c r="F470" s="31"/>
      <c r="G470" s="31"/>
      <c r="H470" s="31"/>
      <c r="I470" s="56"/>
      <c r="J470" s="56"/>
      <c r="K470" s="82" t="str">
        <f t="shared" si="135"/>
        <v>Invoice</v>
      </c>
      <c r="L470" s="83" t="str">
        <f>"SI_110734"</f>
        <v>SI_110734</v>
      </c>
      <c r="M470" s="84">
        <v>43023</v>
      </c>
      <c r="N470" s="85">
        <f t="shared" si="136"/>
        <v>789</v>
      </c>
      <c r="O470" s="86">
        <f t="shared" si="137"/>
        <v>18375.8</v>
      </c>
      <c r="P470" s="86">
        <f t="shared" si="138"/>
        <v>0</v>
      </c>
      <c r="Q470" s="86">
        <f t="shared" si="139"/>
        <v>0</v>
      </c>
      <c r="R470" s="86">
        <f t="shared" si="140"/>
        <v>0</v>
      </c>
      <c r="S470" s="86">
        <f t="shared" si="141"/>
        <v>0</v>
      </c>
      <c r="T470" s="86">
        <f t="shared" si="142"/>
        <v>18375.8</v>
      </c>
      <c r="U470" s="87">
        <v>18375.8</v>
      </c>
    </row>
    <row r="471" spans="1:21" s="30" customFormat="1" ht="24.6" hidden="1" outlineLevel="1" x14ac:dyDescent="0.55000000000000004">
      <c r="A471" s="27" t="s">
        <v>327</v>
      </c>
      <c r="B471" s="28"/>
      <c r="C471" s="27"/>
      <c r="D471" s="27" t="str">
        <f>"""NAV Direct"",""CRONUS JetCorp USA"",""21"",""1"",""340723"""</f>
        <v>"NAV Direct","CRONUS JetCorp USA","21","1","340723"</v>
      </c>
      <c r="E471" s="31" t="str">
        <f t="shared" si="134"/>
        <v>C100025</v>
      </c>
      <c r="F471" s="31"/>
      <c r="G471" s="31"/>
      <c r="H471" s="31"/>
      <c r="I471" s="56"/>
      <c r="J471" s="56"/>
      <c r="K471" s="82" t="str">
        <f t="shared" si="135"/>
        <v>Invoice</v>
      </c>
      <c r="L471" s="83" t="str">
        <f>"SI_110741"</f>
        <v>SI_110741</v>
      </c>
      <c r="M471" s="84">
        <v>43047</v>
      </c>
      <c r="N471" s="85">
        <f t="shared" si="136"/>
        <v>765</v>
      </c>
      <c r="O471" s="86">
        <f t="shared" si="137"/>
        <v>17768.990000000002</v>
      </c>
      <c r="P471" s="86">
        <f t="shared" si="138"/>
        <v>0</v>
      </c>
      <c r="Q471" s="86">
        <f t="shared" si="139"/>
        <v>0</v>
      </c>
      <c r="R471" s="86">
        <f t="shared" si="140"/>
        <v>0</v>
      </c>
      <c r="S471" s="86">
        <f t="shared" si="141"/>
        <v>0</v>
      </c>
      <c r="T471" s="86">
        <f t="shared" si="142"/>
        <v>17768.990000000002</v>
      </c>
      <c r="U471" s="87">
        <v>17768.990000000002</v>
      </c>
    </row>
    <row r="472" spans="1:21" s="30" customFormat="1" ht="24.6" hidden="1" outlineLevel="1" x14ac:dyDescent="0.55000000000000004">
      <c r="A472" s="27" t="s">
        <v>327</v>
      </c>
      <c r="B472" s="28"/>
      <c r="C472" s="27"/>
      <c r="D472" s="27" t="str">
        <f>"""NAV Direct"",""CRONUS JetCorp USA"",""21"",""1"",""340809"""</f>
        <v>"NAV Direct","CRONUS JetCorp USA","21","1","340809"</v>
      </c>
      <c r="E472" s="31">
        <f t="shared" si="134"/>
        <v>0</v>
      </c>
      <c r="F472" s="31"/>
      <c r="G472" s="31"/>
      <c r="H472" s="31"/>
      <c r="I472" s="56"/>
      <c r="J472" s="56"/>
      <c r="K472" s="82" t="str">
        <f t="shared" si="135"/>
        <v>Invoice</v>
      </c>
      <c r="L472" s="83" t="str">
        <f>"SI_110743"</f>
        <v>SI_110743</v>
      </c>
      <c r="M472" s="84">
        <v>43060</v>
      </c>
      <c r="N472" s="85">
        <f t="shared" si="136"/>
        <v>752</v>
      </c>
      <c r="O472" s="86">
        <f t="shared" si="137"/>
        <v>18302.16</v>
      </c>
      <c r="P472" s="86">
        <f t="shared" si="138"/>
        <v>0</v>
      </c>
      <c r="Q472" s="86">
        <f t="shared" si="139"/>
        <v>0</v>
      </c>
      <c r="R472" s="86">
        <f t="shared" si="140"/>
        <v>0</v>
      </c>
      <c r="S472" s="86">
        <f t="shared" si="141"/>
        <v>0</v>
      </c>
      <c r="T472" s="86">
        <f t="shared" si="142"/>
        <v>18302.16</v>
      </c>
      <c r="U472" s="87">
        <v>18302.16</v>
      </c>
    </row>
    <row r="473" spans="1:21" s="30" customFormat="1" ht="24.6" hidden="1" outlineLevel="1" x14ac:dyDescent="0.55000000000000004">
      <c r="A473" s="27" t="s">
        <v>327</v>
      </c>
      <c r="B473" s="28"/>
      <c r="C473" s="27"/>
      <c r="D473" s="27" t="str">
        <f>"""NAV Direct"",""CRONUS JetCorp USA"",""21"",""1"",""340977"""</f>
        <v>"NAV Direct","CRONUS JetCorp USA","21","1","340977"</v>
      </c>
      <c r="E473" s="31" t="str">
        <f t="shared" si="134"/>
        <v>C100025</v>
      </c>
      <c r="F473" s="31"/>
      <c r="G473" s="31"/>
      <c r="H473" s="31"/>
      <c r="I473" s="56"/>
      <c r="J473" s="56"/>
      <c r="K473" s="82" t="str">
        <f t="shared" si="135"/>
        <v>Invoice</v>
      </c>
      <c r="L473" s="83" t="str">
        <f>"SI_110747"</f>
        <v>SI_110747</v>
      </c>
      <c r="M473" s="84">
        <v>43076</v>
      </c>
      <c r="N473" s="85">
        <f t="shared" si="136"/>
        <v>736</v>
      </c>
      <c r="O473" s="86">
        <f t="shared" si="137"/>
        <v>19495.66</v>
      </c>
      <c r="P473" s="86">
        <f t="shared" si="138"/>
        <v>0</v>
      </c>
      <c r="Q473" s="86">
        <f t="shared" si="139"/>
        <v>0</v>
      </c>
      <c r="R473" s="86">
        <f t="shared" si="140"/>
        <v>0</v>
      </c>
      <c r="S473" s="86">
        <f t="shared" si="141"/>
        <v>0</v>
      </c>
      <c r="T473" s="86">
        <f t="shared" si="142"/>
        <v>19495.66</v>
      </c>
      <c r="U473" s="87">
        <v>19495.66</v>
      </c>
    </row>
    <row r="474" spans="1:21" s="30" customFormat="1" ht="24.6" hidden="1" outlineLevel="1" x14ac:dyDescent="0.55000000000000004">
      <c r="A474" s="27" t="s">
        <v>327</v>
      </c>
      <c r="B474" s="28"/>
      <c r="C474" s="27"/>
      <c r="D474" s="27" t="str">
        <f>"""NAV Direct"",""CRONUS JetCorp USA"",""21"",""1"",""341836"""</f>
        <v>"NAV Direct","CRONUS JetCorp USA","21","1","341836"</v>
      </c>
      <c r="E474" s="31">
        <f t="shared" si="134"/>
        <v>0</v>
      </c>
      <c r="F474" s="31"/>
      <c r="G474" s="31"/>
      <c r="H474" s="31"/>
      <c r="I474" s="56"/>
      <c r="J474" s="56"/>
      <c r="K474" s="82" t="str">
        <f t="shared" si="135"/>
        <v>Invoice</v>
      </c>
      <c r="L474" s="83" t="str">
        <f>"SI_110770"</f>
        <v>SI_110770</v>
      </c>
      <c r="M474" s="84">
        <v>43175</v>
      </c>
      <c r="N474" s="85">
        <f t="shared" si="136"/>
        <v>637</v>
      </c>
      <c r="O474" s="86">
        <f t="shared" si="137"/>
        <v>18825.57</v>
      </c>
      <c r="P474" s="86">
        <f t="shared" si="138"/>
        <v>0</v>
      </c>
      <c r="Q474" s="86">
        <f t="shared" si="139"/>
        <v>0</v>
      </c>
      <c r="R474" s="86">
        <f t="shared" si="140"/>
        <v>0</v>
      </c>
      <c r="S474" s="86">
        <f t="shared" si="141"/>
        <v>0</v>
      </c>
      <c r="T474" s="86">
        <f t="shared" si="142"/>
        <v>18825.57</v>
      </c>
      <c r="U474" s="87">
        <v>18825.57</v>
      </c>
    </row>
    <row r="475" spans="1:21" s="30" customFormat="1" ht="24.6" hidden="1" outlineLevel="1" x14ac:dyDescent="0.55000000000000004">
      <c r="A475" s="27" t="s">
        <v>327</v>
      </c>
      <c r="B475" s="28"/>
      <c r="C475" s="27"/>
      <c r="D475" s="27" t="str">
        <f>"""NAV Direct"",""CRONUS JetCorp USA"",""21"",""1"",""341887"""</f>
        <v>"NAV Direct","CRONUS JetCorp USA","21","1","341887"</v>
      </c>
      <c r="E475" s="31" t="str">
        <f t="shared" si="134"/>
        <v>C100025</v>
      </c>
      <c r="F475" s="31"/>
      <c r="G475" s="31"/>
      <c r="H475" s="31"/>
      <c r="I475" s="56"/>
      <c r="J475" s="56"/>
      <c r="K475" s="82" t="str">
        <f t="shared" si="135"/>
        <v>Invoice</v>
      </c>
      <c r="L475" s="83" t="str">
        <f>"SI_110771"</f>
        <v>SI_110771</v>
      </c>
      <c r="M475" s="84">
        <v>43169</v>
      </c>
      <c r="N475" s="85">
        <f t="shared" si="136"/>
        <v>643</v>
      </c>
      <c r="O475" s="86">
        <f t="shared" si="137"/>
        <v>18625.2</v>
      </c>
      <c r="P475" s="86">
        <f t="shared" si="138"/>
        <v>0</v>
      </c>
      <c r="Q475" s="86">
        <f t="shared" si="139"/>
        <v>0</v>
      </c>
      <c r="R475" s="86">
        <f t="shared" si="140"/>
        <v>0</v>
      </c>
      <c r="S475" s="86">
        <f t="shared" si="141"/>
        <v>0</v>
      </c>
      <c r="T475" s="86">
        <f t="shared" si="142"/>
        <v>18625.2</v>
      </c>
      <c r="U475" s="87">
        <v>18625.2</v>
      </c>
    </row>
    <row r="476" spans="1:21" s="30" customFormat="1" ht="24.6" hidden="1" outlineLevel="1" x14ac:dyDescent="0.55000000000000004">
      <c r="A476" s="27" t="s">
        <v>327</v>
      </c>
      <c r="B476" s="28"/>
      <c r="C476" s="27"/>
      <c r="D476" s="27" t="str">
        <f>"""NAV Direct"",""CRONUS JetCorp USA"",""21"",""1"",""341916"""</f>
        <v>"NAV Direct","CRONUS JetCorp USA","21","1","341916"</v>
      </c>
      <c r="E476" s="31">
        <f t="shared" si="134"/>
        <v>0</v>
      </c>
      <c r="F476" s="31"/>
      <c r="G476" s="31"/>
      <c r="H476" s="31"/>
      <c r="I476" s="56"/>
      <c r="J476" s="56"/>
      <c r="K476" s="82" t="str">
        <f t="shared" si="135"/>
        <v>Invoice</v>
      </c>
      <c r="L476" s="83" t="str">
        <f>"SI_110772"</f>
        <v>SI_110772</v>
      </c>
      <c r="M476" s="84">
        <v>43173</v>
      </c>
      <c r="N476" s="85">
        <f t="shared" si="136"/>
        <v>639</v>
      </c>
      <c r="O476" s="86">
        <f t="shared" si="137"/>
        <v>18429.21</v>
      </c>
      <c r="P476" s="86">
        <f t="shared" si="138"/>
        <v>0</v>
      </c>
      <c r="Q476" s="86">
        <f t="shared" si="139"/>
        <v>0</v>
      </c>
      <c r="R476" s="86">
        <f t="shared" si="140"/>
        <v>0</v>
      </c>
      <c r="S476" s="86">
        <f t="shared" si="141"/>
        <v>0</v>
      </c>
      <c r="T476" s="86">
        <f t="shared" si="142"/>
        <v>18429.21</v>
      </c>
      <c r="U476" s="87">
        <v>18429.21</v>
      </c>
    </row>
    <row r="477" spans="1:21" s="30" customFormat="1" ht="24.6" hidden="1" outlineLevel="1" x14ac:dyDescent="0.55000000000000004">
      <c r="A477" s="27" t="s">
        <v>327</v>
      </c>
      <c r="B477" s="28"/>
      <c r="C477" s="27"/>
      <c r="D477" s="27" t="str">
        <f>"""NAV Direct"",""CRONUS JetCorp USA"",""21"",""1"",""342454"""</f>
        <v>"NAV Direct","CRONUS JetCorp USA","21","1","342454"</v>
      </c>
      <c r="E477" s="31" t="str">
        <f t="shared" si="134"/>
        <v>C100025</v>
      </c>
      <c r="F477" s="31"/>
      <c r="G477" s="31"/>
      <c r="H477" s="31"/>
      <c r="I477" s="56"/>
      <c r="J477" s="56"/>
      <c r="K477" s="82" t="str">
        <f t="shared" si="135"/>
        <v>Invoice</v>
      </c>
      <c r="L477" s="83" t="str">
        <f>"SI_110786"</f>
        <v>SI_110786</v>
      </c>
      <c r="M477" s="84">
        <v>43228</v>
      </c>
      <c r="N477" s="85">
        <f t="shared" si="136"/>
        <v>584</v>
      </c>
      <c r="O477" s="86">
        <f t="shared" si="137"/>
        <v>19176.78</v>
      </c>
      <c r="P477" s="86">
        <f t="shared" si="138"/>
        <v>0</v>
      </c>
      <c r="Q477" s="86">
        <f t="shared" si="139"/>
        <v>0</v>
      </c>
      <c r="R477" s="86">
        <f t="shared" si="140"/>
        <v>0</v>
      </c>
      <c r="S477" s="86">
        <f t="shared" si="141"/>
        <v>0</v>
      </c>
      <c r="T477" s="86">
        <f t="shared" si="142"/>
        <v>19176.78</v>
      </c>
      <c r="U477" s="87">
        <v>19176.78</v>
      </c>
    </row>
    <row r="478" spans="1:21" s="30" customFormat="1" ht="24.6" hidden="1" outlineLevel="1" x14ac:dyDescent="0.55000000000000004">
      <c r="A478" s="27" t="s">
        <v>327</v>
      </c>
      <c r="B478" s="28"/>
      <c r="C478" s="27"/>
      <c r="D478" s="27" t="str">
        <f>"""NAV Direct"",""CRONUS JetCorp USA"",""21"",""1"",""342604"""</f>
        <v>"NAV Direct","CRONUS JetCorp USA","21","1","342604"</v>
      </c>
      <c r="E478" s="31">
        <f t="shared" si="134"/>
        <v>0</v>
      </c>
      <c r="F478" s="31"/>
      <c r="G478" s="31"/>
      <c r="H478" s="31"/>
      <c r="I478" s="56"/>
      <c r="J478" s="56"/>
      <c r="K478" s="82" t="str">
        <f t="shared" si="135"/>
        <v>Invoice</v>
      </c>
      <c r="L478" s="83" t="str">
        <f>"SI_110790"</f>
        <v>SI_110790</v>
      </c>
      <c r="M478" s="84">
        <v>43253</v>
      </c>
      <c r="N478" s="85">
        <f t="shared" si="136"/>
        <v>559</v>
      </c>
      <c r="O478" s="86">
        <f t="shared" si="137"/>
        <v>20277.39</v>
      </c>
      <c r="P478" s="86">
        <f t="shared" si="138"/>
        <v>0</v>
      </c>
      <c r="Q478" s="86">
        <f t="shared" si="139"/>
        <v>0</v>
      </c>
      <c r="R478" s="86">
        <f t="shared" si="140"/>
        <v>0</v>
      </c>
      <c r="S478" s="86">
        <f t="shared" si="141"/>
        <v>0</v>
      </c>
      <c r="T478" s="86">
        <f t="shared" si="142"/>
        <v>20277.39</v>
      </c>
      <c r="U478" s="87">
        <v>20277.39</v>
      </c>
    </row>
    <row r="479" spans="1:21" s="30" customFormat="1" ht="24.6" hidden="1" outlineLevel="1" x14ac:dyDescent="0.55000000000000004">
      <c r="A479" s="27" t="s">
        <v>327</v>
      </c>
      <c r="B479" s="28"/>
      <c r="C479" s="27"/>
      <c r="D479" s="27" t="str">
        <f>"""NAV Direct"",""CRONUS JetCorp USA"",""21"",""1"",""342871"""</f>
        <v>"NAV Direct","CRONUS JetCorp USA","21","1","342871"</v>
      </c>
      <c r="E479" s="31" t="str">
        <f t="shared" si="134"/>
        <v>C100025</v>
      </c>
      <c r="F479" s="31"/>
      <c r="G479" s="31"/>
      <c r="H479" s="31"/>
      <c r="I479" s="56"/>
      <c r="J479" s="56"/>
      <c r="K479" s="82" t="str">
        <f t="shared" si="135"/>
        <v>Invoice</v>
      </c>
      <c r="L479" s="83" t="str">
        <f>"SI_110797"</f>
        <v>SI_110797</v>
      </c>
      <c r="M479" s="84">
        <v>43283</v>
      </c>
      <c r="N479" s="85">
        <f t="shared" si="136"/>
        <v>529</v>
      </c>
      <c r="O479" s="86">
        <f t="shared" si="137"/>
        <v>19781.57</v>
      </c>
      <c r="P479" s="86">
        <f t="shared" si="138"/>
        <v>0</v>
      </c>
      <c r="Q479" s="86">
        <f t="shared" si="139"/>
        <v>0</v>
      </c>
      <c r="R479" s="86">
        <f t="shared" si="140"/>
        <v>0</v>
      </c>
      <c r="S479" s="86">
        <f t="shared" si="141"/>
        <v>0</v>
      </c>
      <c r="T479" s="86">
        <f t="shared" si="142"/>
        <v>19781.57</v>
      </c>
      <c r="U479" s="87">
        <v>19781.57</v>
      </c>
    </row>
    <row r="480" spans="1:21" s="30" customFormat="1" ht="24.6" hidden="1" outlineLevel="1" x14ac:dyDescent="0.55000000000000004">
      <c r="A480" s="27" t="s">
        <v>327</v>
      </c>
      <c r="B480" s="28"/>
      <c r="C480" s="27"/>
      <c r="D480" s="27" t="str">
        <f>"""NAV Direct"",""CRONUS JetCorp USA"",""21"",""1"",""343314"""</f>
        <v>"NAV Direct","CRONUS JetCorp USA","21","1","343314"</v>
      </c>
      <c r="E480" s="31">
        <f t="shared" si="134"/>
        <v>0</v>
      </c>
      <c r="F480" s="31"/>
      <c r="G480" s="31"/>
      <c r="H480" s="31"/>
      <c r="I480" s="56"/>
      <c r="J480" s="56"/>
      <c r="K480" s="82" t="str">
        <f t="shared" si="135"/>
        <v>Invoice</v>
      </c>
      <c r="L480" s="83" t="str">
        <f>"SI_110808"</f>
        <v>SI_110808</v>
      </c>
      <c r="M480" s="84">
        <v>43306</v>
      </c>
      <c r="N480" s="85">
        <f t="shared" si="136"/>
        <v>506</v>
      </c>
      <c r="O480" s="86">
        <f t="shared" si="137"/>
        <v>19681.100000000002</v>
      </c>
      <c r="P480" s="86">
        <f t="shared" si="138"/>
        <v>0</v>
      </c>
      <c r="Q480" s="86">
        <f t="shared" si="139"/>
        <v>0</v>
      </c>
      <c r="R480" s="86">
        <f t="shared" si="140"/>
        <v>0</v>
      </c>
      <c r="S480" s="86">
        <f t="shared" si="141"/>
        <v>0</v>
      </c>
      <c r="T480" s="86">
        <f t="shared" si="142"/>
        <v>19681.100000000002</v>
      </c>
      <c r="U480" s="87">
        <v>19681.100000000002</v>
      </c>
    </row>
    <row r="481" spans="1:21" s="30" customFormat="1" ht="24.6" hidden="1" outlineLevel="1" x14ac:dyDescent="0.55000000000000004">
      <c r="A481" s="27" t="s">
        <v>327</v>
      </c>
      <c r="B481" s="28"/>
      <c r="C481" s="27"/>
      <c r="D481" s="27" t="str">
        <f>"""NAV Direct"",""CRONUS JetCorp USA"",""21"",""1"",""344435"""</f>
        <v>"NAV Direct","CRONUS JetCorp USA","21","1","344435"</v>
      </c>
      <c r="E481" s="31" t="str">
        <f t="shared" ref="E481:E511" si="143">E479</f>
        <v>C100025</v>
      </c>
      <c r="F481" s="31"/>
      <c r="G481" s="31"/>
      <c r="H481" s="31"/>
      <c r="I481" s="56"/>
      <c r="J481" s="56"/>
      <c r="K481" s="82" t="str">
        <f t="shared" ref="K481:K503" si="144">"Invoice"</f>
        <v>Invoice</v>
      </c>
      <c r="L481" s="83" t="str">
        <f>"SI_110837"</f>
        <v>SI_110837</v>
      </c>
      <c r="M481" s="84">
        <v>43438</v>
      </c>
      <c r="N481" s="85">
        <f t="shared" ref="N481:N511" si="145">StartDate-$M481+1</f>
        <v>374</v>
      </c>
      <c r="O481" s="86">
        <f t="shared" ref="O481:O511" si="146">SUM(P481:T481)</f>
        <v>18862.990000000002</v>
      </c>
      <c r="P481" s="86">
        <f t="shared" ref="P481:P511" si="147">IF($M481&gt;=$P$18,U481,0)</f>
        <v>0</v>
      </c>
      <c r="Q481" s="86">
        <f t="shared" ref="Q481:Q511" si="148">IF(AND($M481&gt;=$Q$16,$M481&lt;=$Q$18),U481,0)</f>
        <v>0</v>
      </c>
      <c r="R481" s="86">
        <f t="shared" ref="R481:R511" si="149">IF(AND($M481&gt;=$R$16,$M481&lt;=$R$18),U481,0)</f>
        <v>0</v>
      </c>
      <c r="S481" s="86">
        <f t="shared" ref="S481:S511" si="150">IF(AND($M481&gt;=$S$16,$M481&lt;=$S$18),U481,0)</f>
        <v>0</v>
      </c>
      <c r="T481" s="86">
        <f t="shared" ref="T481:T511" si="151">IF($M481&lt;=$T$18,U481,0)</f>
        <v>18862.990000000002</v>
      </c>
      <c r="U481" s="87">
        <v>18862.990000000002</v>
      </c>
    </row>
    <row r="482" spans="1:21" s="30" customFormat="1" ht="24.6" hidden="1" outlineLevel="1" x14ac:dyDescent="0.55000000000000004">
      <c r="A482" s="27" t="s">
        <v>327</v>
      </c>
      <c r="B482" s="28"/>
      <c r="C482" s="27"/>
      <c r="D482" s="27" t="str">
        <f>"""NAV Direct"",""CRONUS JetCorp USA"",""21"",""1"",""344773"""</f>
        <v>"NAV Direct","CRONUS JetCorp USA","21","1","344773"</v>
      </c>
      <c r="E482" s="31">
        <f t="shared" si="143"/>
        <v>0</v>
      </c>
      <c r="F482" s="31"/>
      <c r="G482" s="31"/>
      <c r="H482" s="31"/>
      <c r="I482" s="56"/>
      <c r="J482" s="56"/>
      <c r="K482" s="82" t="str">
        <f t="shared" si="144"/>
        <v>Invoice</v>
      </c>
      <c r="L482" s="83" t="str">
        <f>"SI_110845"</f>
        <v>SI_110845</v>
      </c>
      <c r="M482" s="84">
        <v>43470</v>
      </c>
      <c r="N482" s="85">
        <f t="shared" si="145"/>
        <v>342</v>
      </c>
      <c r="O482" s="86">
        <f t="shared" si="146"/>
        <v>20428.259999999998</v>
      </c>
      <c r="P482" s="86">
        <f t="shared" si="147"/>
        <v>0</v>
      </c>
      <c r="Q482" s="86">
        <f t="shared" si="148"/>
        <v>0</v>
      </c>
      <c r="R482" s="86">
        <f t="shared" si="149"/>
        <v>0</v>
      </c>
      <c r="S482" s="86">
        <f t="shared" si="150"/>
        <v>0</v>
      </c>
      <c r="T482" s="86">
        <f t="shared" si="151"/>
        <v>20428.259999999998</v>
      </c>
      <c r="U482" s="87">
        <v>20428.259999999998</v>
      </c>
    </row>
    <row r="483" spans="1:21" s="30" customFormat="1" ht="24.6" hidden="1" outlineLevel="1" x14ac:dyDescent="0.55000000000000004">
      <c r="A483" s="27" t="s">
        <v>327</v>
      </c>
      <c r="B483" s="28"/>
      <c r="C483" s="27"/>
      <c r="D483" s="27" t="str">
        <f>"""NAV Direct"",""CRONUS JetCorp USA"",""21"",""1"",""345005"""</f>
        <v>"NAV Direct","CRONUS JetCorp USA","21","1","345005"</v>
      </c>
      <c r="E483" s="31" t="str">
        <f t="shared" si="143"/>
        <v>C100025</v>
      </c>
      <c r="F483" s="31"/>
      <c r="G483" s="31"/>
      <c r="H483" s="31"/>
      <c r="I483" s="56"/>
      <c r="J483" s="56"/>
      <c r="K483" s="82" t="str">
        <f t="shared" si="144"/>
        <v>Invoice</v>
      </c>
      <c r="L483" s="83" t="str">
        <f>"SI_110851"</f>
        <v>SI_110851</v>
      </c>
      <c r="M483" s="84">
        <v>43491</v>
      </c>
      <c r="N483" s="85">
        <f t="shared" si="145"/>
        <v>321</v>
      </c>
      <c r="O483" s="86">
        <f t="shared" si="146"/>
        <v>19333.38</v>
      </c>
      <c r="P483" s="86">
        <f t="shared" si="147"/>
        <v>0</v>
      </c>
      <c r="Q483" s="86">
        <f t="shared" si="148"/>
        <v>0</v>
      </c>
      <c r="R483" s="86">
        <f t="shared" si="149"/>
        <v>0</v>
      </c>
      <c r="S483" s="86">
        <f t="shared" si="150"/>
        <v>0</v>
      </c>
      <c r="T483" s="86">
        <f t="shared" si="151"/>
        <v>19333.38</v>
      </c>
      <c r="U483" s="87">
        <v>19333.38</v>
      </c>
    </row>
    <row r="484" spans="1:21" s="30" customFormat="1" ht="24.6" hidden="1" outlineLevel="1" x14ac:dyDescent="0.55000000000000004">
      <c r="A484" s="27" t="s">
        <v>327</v>
      </c>
      <c r="B484" s="28"/>
      <c r="C484" s="27"/>
      <c r="D484" s="27" t="str">
        <f>"""NAV Direct"",""CRONUS JetCorp USA"",""21"",""1"",""346307"""</f>
        <v>"NAV Direct","CRONUS JetCorp USA","21","1","346307"</v>
      </c>
      <c r="E484" s="31">
        <f t="shared" si="143"/>
        <v>0</v>
      </c>
      <c r="F484" s="31"/>
      <c r="G484" s="31"/>
      <c r="H484" s="31"/>
      <c r="I484" s="56"/>
      <c r="J484" s="56"/>
      <c r="K484" s="82" t="str">
        <f t="shared" si="144"/>
        <v>Invoice</v>
      </c>
      <c r="L484" s="83" t="str">
        <f>"SI_110883"</f>
        <v>SI_110883</v>
      </c>
      <c r="M484" s="84">
        <v>43611</v>
      </c>
      <c r="N484" s="85">
        <f t="shared" si="145"/>
        <v>201</v>
      </c>
      <c r="O484" s="86">
        <f t="shared" si="146"/>
        <v>20570.960000000003</v>
      </c>
      <c r="P484" s="86">
        <f t="shared" si="147"/>
        <v>0</v>
      </c>
      <c r="Q484" s="86">
        <f t="shared" si="148"/>
        <v>0</v>
      </c>
      <c r="R484" s="86">
        <f t="shared" si="149"/>
        <v>0</v>
      </c>
      <c r="S484" s="86">
        <f t="shared" si="150"/>
        <v>0</v>
      </c>
      <c r="T484" s="86">
        <f t="shared" si="151"/>
        <v>20570.960000000003</v>
      </c>
      <c r="U484" s="87">
        <v>20570.960000000003</v>
      </c>
    </row>
    <row r="485" spans="1:21" s="30" customFormat="1" ht="24.6" hidden="1" outlineLevel="1" x14ac:dyDescent="0.55000000000000004">
      <c r="A485" s="27" t="s">
        <v>327</v>
      </c>
      <c r="B485" s="28"/>
      <c r="C485" s="27"/>
      <c r="D485" s="27" t="str">
        <f>"""NAV Direct"",""CRONUS JetCorp USA"",""21"",""1"",""347055"""</f>
        <v>"NAV Direct","CRONUS JetCorp USA","21","1","347055"</v>
      </c>
      <c r="E485" s="31" t="str">
        <f t="shared" si="143"/>
        <v>C100025</v>
      </c>
      <c r="F485" s="31"/>
      <c r="G485" s="31"/>
      <c r="H485" s="31"/>
      <c r="I485" s="56"/>
      <c r="J485" s="56"/>
      <c r="K485" s="82" t="str">
        <f t="shared" si="144"/>
        <v>Invoice</v>
      </c>
      <c r="L485" s="83" t="str">
        <f>"SI_110901"</f>
        <v>SI_110901</v>
      </c>
      <c r="M485" s="84">
        <v>43670</v>
      </c>
      <c r="N485" s="85">
        <f t="shared" si="145"/>
        <v>142</v>
      </c>
      <c r="O485" s="86">
        <f t="shared" si="146"/>
        <v>18376.84</v>
      </c>
      <c r="P485" s="86">
        <f t="shared" si="147"/>
        <v>0</v>
      </c>
      <c r="Q485" s="86">
        <f t="shared" si="148"/>
        <v>0</v>
      </c>
      <c r="R485" s="86">
        <f t="shared" si="149"/>
        <v>0</v>
      </c>
      <c r="S485" s="86">
        <f t="shared" si="150"/>
        <v>0</v>
      </c>
      <c r="T485" s="86">
        <f t="shared" si="151"/>
        <v>18376.84</v>
      </c>
      <c r="U485" s="87">
        <v>18376.84</v>
      </c>
    </row>
    <row r="486" spans="1:21" s="30" customFormat="1" ht="24.6" hidden="1" outlineLevel="1" x14ac:dyDescent="0.55000000000000004">
      <c r="A486" s="27" t="s">
        <v>327</v>
      </c>
      <c r="B486" s="28"/>
      <c r="C486" s="27"/>
      <c r="D486" s="27" t="str">
        <f>"""NAV Direct"",""CRONUS JetCorp USA"",""21"",""1"",""347439"""</f>
        <v>"NAV Direct","CRONUS JetCorp USA","21","1","347439"</v>
      </c>
      <c r="E486" s="31">
        <f t="shared" si="143"/>
        <v>0</v>
      </c>
      <c r="F486" s="31"/>
      <c r="G486" s="31"/>
      <c r="H486" s="31"/>
      <c r="I486" s="56"/>
      <c r="J486" s="56"/>
      <c r="K486" s="82" t="str">
        <f t="shared" si="144"/>
        <v>Invoice</v>
      </c>
      <c r="L486" s="83" t="str">
        <f>"SI_110911"</f>
        <v>SI_110911</v>
      </c>
      <c r="M486" s="84">
        <v>43705</v>
      </c>
      <c r="N486" s="85">
        <f t="shared" si="145"/>
        <v>107</v>
      </c>
      <c r="O486" s="86">
        <f t="shared" si="146"/>
        <v>18580.82</v>
      </c>
      <c r="P486" s="86">
        <f t="shared" si="147"/>
        <v>0</v>
      </c>
      <c r="Q486" s="86">
        <f t="shared" si="148"/>
        <v>0</v>
      </c>
      <c r="R486" s="86">
        <f t="shared" si="149"/>
        <v>0</v>
      </c>
      <c r="S486" s="86">
        <f t="shared" si="150"/>
        <v>0</v>
      </c>
      <c r="T486" s="86">
        <f t="shared" si="151"/>
        <v>18580.82</v>
      </c>
      <c r="U486" s="87">
        <v>18580.82</v>
      </c>
    </row>
    <row r="487" spans="1:21" s="30" customFormat="1" ht="24.6" hidden="1" outlineLevel="1" x14ac:dyDescent="0.55000000000000004">
      <c r="A487" s="27" t="s">
        <v>327</v>
      </c>
      <c r="B487" s="28"/>
      <c r="C487" s="27"/>
      <c r="D487" s="27" t="str">
        <f>"""NAV Direct"",""CRONUS JetCorp USA"",""21"",""1"",""347569"""</f>
        <v>"NAV Direct","CRONUS JetCorp USA","21","1","347569"</v>
      </c>
      <c r="E487" s="31" t="str">
        <f t="shared" si="143"/>
        <v>C100025</v>
      </c>
      <c r="F487" s="31"/>
      <c r="G487" s="31"/>
      <c r="H487" s="31"/>
      <c r="I487" s="56"/>
      <c r="J487" s="56"/>
      <c r="K487" s="82" t="str">
        <f t="shared" si="144"/>
        <v>Invoice</v>
      </c>
      <c r="L487" s="83" t="str">
        <f>"SI_110915"</f>
        <v>SI_110915</v>
      </c>
      <c r="M487" s="84">
        <v>43717</v>
      </c>
      <c r="N487" s="85">
        <f t="shared" si="145"/>
        <v>95</v>
      </c>
      <c r="O487" s="86">
        <f t="shared" si="146"/>
        <v>18967.61</v>
      </c>
      <c r="P487" s="86">
        <f t="shared" si="147"/>
        <v>0</v>
      </c>
      <c r="Q487" s="86">
        <f t="shared" si="148"/>
        <v>0</v>
      </c>
      <c r="R487" s="86">
        <f t="shared" si="149"/>
        <v>0</v>
      </c>
      <c r="S487" s="86">
        <f t="shared" si="150"/>
        <v>0</v>
      </c>
      <c r="T487" s="86">
        <f t="shared" si="151"/>
        <v>18967.61</v>
      </c>
      <c r="U487" s="87">
        <v>18967.61</v>
      </c>
    </row>
    <row r="488" spans="1:21" s="30" customFormat="1" ht="24.6" hidden="1" outlineLevel="1" x14ac:dyDescent="0.55000000000000004">
      <c r="A488" s="27" t="s">
        <v>327</v>
      </c>
      <c r="B488" s="28"/>
      <c r="C488" s="27"/>
      <c r="D488" s="27" t="str">
        <f>"""NAV Direct"",""CRONUS JetCorp USA"",""21"",""1"",""347688"""</f>
        <v>"NAV Direct","CRONUS JetCorp USA","21","1","347688"</v>
      </c>
      <c r="E488" s="31">
        <f t="shared" si="143"/>
        <v>0</v>
      </c>
      <c r="F488" s="31"/>
      <c r="G488" s="31"/>
      <c r="H488" s="31"/>
      <c r="I488" s="56"/>
      <c r="J488" s="56"/>
      <c r="K488" s="82" t="str">
        <f t="shared" si="144"/>
        <v>Invoice</v>
      </c>
      <c r="L488" s="83" t="str">
        <f>"SI_110918"</f>
        <v>SI_110918</v>
      </c>
      <c r="M488" s="84">
        <v>43737</v>
      </c>
      <c r="N488" s="85">
        <f t="shared" si="145"/>
        <v>75</v>
      </c>
      <c r="O488" s="86">
        <f t="shared" si="146"/>
        <v>18530.439999999999</v>
      </c>
      <c r="P488" s="86">
        <f t="shared" si="147"/>
        <v>0</v>
      </c>
      <c r="Q488" s="86">
        <f t="shared" si="148"/>
        <v>0</v>
      </c>
      <c r="R488" s="86">
        <f t="shared" si="149"/>
        <v>0</v>
      </c>
      <c r="S488" s="86">
        <f t="shared" si="150"/>
        <v>18530.439999999999</v>
      </c>
      <c r="T488" s="86">
        <f t="shared" si="151"/>
        <v>0</v>
      </c>
      <c r="U488" s="87">
        <v>18530.439999999999</v>
      </c>
    </row>
    <row r="489" spans="1:21" s="30" customFormat="1" ht="24.6" hidden="1" outlineLevel="1" x14ac:dyDescent="0.55000000000000004">
      <c r="A489" s="27" t="s">
        <v>327</v>
      </c>
      <c r="B489" s="28"/>
      <c r="C489" s="27"/>
      <c r="D489" s="27" t="str">
        <f>"""NAV Direct"",""CRONUS JetCorp USA"",""21"",""1"",""347899"""</f>
        <v>"NAV Direct","CRONUS JetCorp USA","21","1","347899"</v>
      </c>
      <c r="E489" s="31" t="str">
        <f t="shared" si="143"/>
        <v>C100025</v>
      </c>
      <c r="F489" s="31"/>
      <c r="G489" s="31"/>
      <c r="H489" s="31"/>
      <c r="I489" s="56"/>
      <c r="J489" s="56"/>
      <c r="K489" s="82" t="str">
        <f t="shared" si="144"/>
        <v>Invoice</v>
      </c>
      <c r="L489" s="83" t="str">
        <f>"SI_110923"</f>
        <v>SI_110923</v>
      </c>
      <c r="M489" s="84">
        <v>43750</v>
      </c>
      <c r="N489" s="85">
        <f t="shared" si="145"/>
        <v>62</v>
      </c>
      <c r="O489" s="86">
        <f t="shared" si="146"/>
        <v>17957.739999999998</v>
      </c>
      <c r="P489" s="86">
        <f t="shared" si="147"/>
        <v>0</v>
      </c>
      <c r="Q489" s="86">
        <f t="shared" si="148"/>
        <v>0</v>
      </c>
      <c r="R489" s="86">
        <f t="shared" si="149"/>
        <v>0</v>
      </c>
      <c r="S489" s="86">
        <f t="shared" si="150"/>
        <v>17957.739999999998</v>
      </c>
      <c r="T489" s="86">
        <f t="shared" si="151"/>
        <v>0</v>
      </c>
      <c r="U489" s="87">
        <v>17957.739999999998</v>
      </c>
    </row>
    <row r="490" spans="1:21" s="30" customFormat="1" ht="24.6" hidden="1" outlineLevel="1" x14ac:dyDescent="0.55000000000000004">
      <c r="A490" s="27" t="s">
        <v>327</v>
      </c>
      <c r="B490" s="28"/>
      <c r="C490" s="27"/>
      <c r="D490" s="27" t="str">
        <f>"""NAV Direct"",""CRONUS JetCorp USA"",""21"",""1"",""348276"""</f>
        <v>"NAV Direct","CRONUS JetCorp USA","21","1","348276"</v>
      </c>
      <c r="E490" s="31">
        <f t="shared" si="143"/>
        <v>0</v>
      </c>
      <c r="F490" s="31"/>
      <c r="G490" s="31"/>
      <c r="H490" s="31"/>
      <c r="I490" s="56"/>
      <c r="J490" s="56"/>
      <c r="K490" s="82" t="str">
        <f t="shared" si="144"/>
        <v>Invoice</v>
      </c>
      <c r="L490" s="83" t="str">
        <f>"SI_110932"</f>
        <v>SI_110932</v>
      </c>
      <c r="M490" s="84">
        <v>43797</v>
      </c>
      <c r="N490" s="85">
        <f t="shared" si="145"/>
        <v>15</v>
      </c>
      <c r="O490" s="86">
        <f t="shared" si="146"/>
        <v>18957.830000000002</v>
      </c>
      <c r="P490" s="86">
        <f t="shared" si="147"/>
        <v>0</v>
      </c>
      <c r="Q490" s="86">
        <f t="shared" si="148"/>
        <v>18957.830000000002</v>
      </c>
      <c r="R490" s="86">
        <f t="shared" si="149"/>
        <v>0</v>
      </c>
      <c r="S490" s="86">
        <f t="shared" si="150"/>
        <v>0</v>
      </c>
      <c r="T490" s="86">
        <f t="shared" si="151"/>
        <v>0</v>
      </c>
      <c r="U490" s="87">
        <v>18957.830000000002</v>
      </c>
    </row>
    <row r="491" spans="1:21" s="30" customFormat="1" ht="24.6" hidden="1" outlineLevel="1" x14ac:dyDescent="0.55000000000000004">
      <c r="A491" s="27" t="s">
        <v>327</v>
      </c>
      <c r="B491" s="28"/>
      <c r="C491" s="27"/>
      <c r="D491" s="27" t="str">
        <f>"""NAV Direct"",""CRONUS JetCorp USA"",""21"",""1"",""348571"""</f>
        <v>"NAV Direct","CRONUS JetCorp USA","21","1","348571"</v>
      </c>
      <c r="E491" s="31" t="str">
        <f t="shared" si="143"/>
        <v>C100025</v>
      </c>
      <c r="F491" s="31"/>
      <c r="G491" s="31"/>
      <c r="H491" s="31"/>
      <c r="I491" s="56"/>
      <c r="J491" s="56"/>
      <c r="K491" s="82" t="str">
        <f t="shared" si="144"/>
        <v>Invoice</v>
      </c>
      <c r="L491" s="83" t="str">
        <f>"SI_110939"</f>
        <v>SI_110939</v>
      </c>
      <c r="M491" s="84">
        <v>43824</v>
      </c>
      <c r="N491" s="85">
        <f t="shared" si="145"/>
        <v>-12</v>
      </c>
      <c r="O491" s="86">
        <f t="shared" si="146"/>
        <v>19546.16</v>
      </c>
      <c r="P491" s="86">
        <f t="shared" si="147"/>
        <v>19546.16</v>
      </c>
      <c r="Q491" s="86">
        <f t="shared" si="148"/>
        <v>0</v>
      </c>
      <c r="R491" s="86">
        <f t="shared" si="149"/>
        <v>0</v>
      </c>
      <c r="S491" s="86">
        <f t="shared" si="150"/>
        <v>0</v>
      </c>
      <c r="T491" s="86">
        <f t="shared" si="151"/>
        <v>0</v>
      </c>
      <c r="U491" s="87">
        <v>19546.16</v>
      </c>
    </row>
    <row r="492" spans="1:21" s="30" customFormat="1" ht="24.6" hidden="1" outlineLevel="1" x14ac:dyDescent="0.55000000000000004">
      <c r="A492" s="27" t="s">
        <v>327</v>
      </c>
      <c r="B492" s="28"/>
      <c r="C492" s="27"/>
      <c r="D492" s="27" t="str">
        <f>"""NAV Direct"",""CRONUS JetCorp USA"",""21"",""1"",""348614"""</f>
        <v>"NAV Direct","CRONUS JetCorp USA","21","1","348614"</v>
      </c>
      <c r="E492" s="31">
        <f t="shared" si="143"/>
        <v>0</v>
      </c>
      <c r="F492" s="31"/>
      <c r="G492" s="31"/>
      <c r="H492" s="31"/>
      <c r="I492" s="56"/>
      <c r="J492" s="56"/>
      <c r="K492" s="82" t="str">
        <f t="shared" si="144"/>
        <v>Invoice</v>
      </c>
      <c r="L492" s="83" t="str">
        <f>"SI_110940"</f>
        <v>SI_110940</v>
      </c>
      <c r="M492" s="84">
        <v>43826</v>
      </c>
      <c r="N492" s="85">
        <f t="shared" si="145"/>
        <v>-14</v>
      </c>
      <c r="O492" s="86">
        <f t="shared" si="146"/>
        <v>20378.599999999999</v>
      </c>
      <c r="P492" s="86">
        <f t="shared" si="147"/>
        <v>20378.599999999999</v>
      </c>
      <c r="Q492" s="86">
        <f t="shared" si="148"/>
        <v>0</v>
      </c>
      <c r="R492" s="86">
        <f t="shared" si="149"/>
        <v>0</v>
      </c>
      <c r="S492" s="86">
        <f t="shared" si="150"/>
        <v>0</v>
      </c>
      <c r="T492" s="86">
        <f t="shared" si="151"/>
        <v>0</v>
      </c>
      <c r="U492" s="87">
        <v>20378.599999999999</v>
      </c>
    </row>
    <row r="493" spans="1:21" s="30" customFormat="1" ht="24.6" hidden="1" outlineLevel="1" x14ac:dyDescent="0.55000000000000004">
      <c r="A493" s="27" t="s">
        <v>327</v>
      </c>
      <c r="B493" s="28"/>
      <c r="C493" s="27"/>
      <c r="D493" s="27" t="str">
        <f>"""NAV Direct"",""CRONUS JetCorp USA"",""21"",""1"",""348811"""</f>
        <v>"NAV Direct","CRONUS JetCorp USA","21","1","348811"</v>
      </c>
      <c r="E493" s="31" t="str">
        <f t="shared" si="143"/>
        <v>C100025</v>
      </c>
      <c r="F493" s="31"/>
      <c r="G493" s="31"/>
      <c r="H493" s="31"/>
      <c r="I493" s="56"/>
      <c r="J493" s="56"/>
      <c r="K493" s="82" t="str">
        <f t="shared" si="144"/>
        <v>Invoice</v>
      </c>
      <c r="L493" s="83" t="str">
        <f>"SI_110945"</f>
        <v>SI_110945</v>
      </c>
      <c r="M493" s="84">
        <v>42010</v>
      </c>
      <c r="N493" s="85">
        <f t="shared" si="145"/>
        <v>1802</v>
      </c>
      <c r="O493" s="86">
        <f t="shared" si="146"/>
        <v>19754.09</v>
      </c>
      <c r="P493" s="86">
        <f t="shared" si="147"/>
        <v>0</v>
      </c>
      <c r="Q493" s="86">
        <f t="shared" si="148"/>
        <v>0</v>
      </c>
      <c r="R493" s="86">
        <f t="shared" si="149"/>
        <v>0</v>
      </c>
      <c r="S493" s="86">
        <f t="shared" si="150"/>
        <v>0</v>
      </c>
      <c r="T493" s="86">
        <f t="shared" si="151"/>
        <v>19754.09</v>
      </c>
      <c r="U493" s="87">
        <v>19754.09</v>
      </c>
    </row>
    <row r="494" spans="1:21" s="30" customFormat="1" ht="24.6" hidden="1" outlineLevel="1" x14ac:dyDescent="0.55000000000000004">
      <c r="A494" s="27" t="s">
        <v>327</v>
      </c>
      <c r="B494" s="28"/>
      <c r="C494" s="27"/>
      <c r="D494" s="27" t="str">
        <f>"""NAV Direct"",""CRONUS JetCorp USA"",""21"",""1"",""349082"""</f>
        <v>"NAV Direct","CRONUS JetCorp USA","21","1","349082"</v>
      </c>
      <c r="E494" s="31">
        <f t="shared" si="143"/>
        <v>0</v>
      </c>
      <c r="F494" s="31"/>
      <c r="G494" s="31"/>
      <c r="H494" s="31"/>
      <c r="I494" s="56"/>
      <c r="J494" s="56"/>
      <c r="K494" s="82" t="str">
        <f t="shared" si="144"/>
        <v>Invoice</v>
      </c>
      <c r="L494" s="83" t="str">
        <f>"SI_110952"</f>
        <v>SI_110952</v>
      </c>
      <c r="M494" s="84">
        <v>42039</v>
      </c>
      <c r="N494" s="85">
        <f t="shared" si="145"/>
        <v>1773</v>
      </c>
      <c r="O494" s="86">
        <f t="shared" si="146"/>
        <v>19682.75</v>
      </c>
      <c r="P494" s="86">
        <f t="shared" si="147"/>
        <v>0</v>
      </c>
      <c r="Q494" s="86">
        <f t="shared" si="148"/>
        <v>0</v>
      </c>
      <c r="R494" s="86">
        <f t="shared" si="149"/>
        <v>0</v>
      </c>
      <c r="S494" s="86">
        <f t="shared" si="150"/>
        <v>0</v>
      </c>
      <c r="T494" s="86">
        <f t="shared" si="151"/>
        <v>19682.75</v>
      </c>
      <c r="U494" s="87">
        <v>19682.75</v>
      </c>
    </row>
    <row r="495" spans="1:21" s="30" customFormat="1" ht="24.6" hidden="1" outlineLevel="1" x14ac:dyDescent="0.55000000000000004">
      <c r="A495" s="27" t="s">
        <v>327</v>
      </c>
      <c r="B495" s="28"/>
      <c r="C495" s="27"/>
      <c r="D495" s="27" t="str">
        <f>"""NAV Direct"",""CRONUS JetCorp USA"",""21"",""1"",""349712"""</f>
        <v>"NAV Direct","CRONUS JetCorp USA","21","1","349712"</v>
      </c>
      <c r="E495" s="31" t="str">
        <f t="shared" si="143"/>
        <v>C100025</v>
      </c>
      <c r="F495" s="31"/>
      <c r="G495" s="31"/>
      <c r="H495" s="31"/>
      <c r="I495" s="56"/>
      <c r="J495" s="56"/>
      <c r="K495" s="82" t="str">
        <f t="shared" si="144"/>
        <v>Invoice</v>
      </c>
      <c r="L495" s="83" t="str">
        <f>"SI_110968"</f>
        <v>SI_110968</v>
      </c>
      <c r="M495" s="84">
        <v>42104</v>
      </c>
      <c r="N495" s="85">
        <f t="shared" si="145"/>
        <v>1708</v>
      </c>
      <c r="O495" s="86">
        <f t="shared" si="146"/>
        <v>19256.64</v>
      </c>
      <c r="P495" s="86">
        <f t="shared" si="147"/>
        <v>0</v>
      </c>
      <c r="Q495" s="86">
        <f t="shared" si="148"/>
        <v>0</v>
      </c>
      <c r="R495" s="86">
        <f t="shared" si="149"/>
        <v>0</v>
      </c>
      <c r="S495" s="86">
        <f t="shared" si="150"/>
        <v>0</v>
      </c>
      <c r="T495" s="86">
        <f t="shared" si="151"/>
        <v>19256.64</v>
      </c>
      <c r="U495" s="87">
        <v>19256.64</v>
      </c>
    </row>
    <row r="496" spans="1:21" s="30" customFormat="1" ht="24.6" hidden="1" outlineLevel="1" x14ac:dyDescent="0.55000000000000004">
      <c r="A496" s="27" t="s">
        <v>327</v>
      </c>
      <c r="B496" s="28"/>
      <c r="C496" s="27"/>
      <c r="D496" s="27" t="str">
        <f>"""NAV Direct"",""CRONUS JetCorp USA"",""21"",""1"",""349804"""</f>
        <v>"NAV Direct","CRONUS JetCorp USA","21","1","349804"</v>
      </c>
      <c r="E496" s="31">
        <f t="shared" si="143"/>
        <v>0</v>
      </c>
      <c r="F496" s="31"/>
      <c r="G496" s="31"/>
      <c r="H496" s="31"/>
      <c r="I496" s="56"/>
      <c r="J496" s="56"/>
      <c r="K496" s="82" t="str">
        <f t="shared" si="144"/>
        <v>Invoice</v>
      </c>
      <c r="L496" s="83" t="str">
        <f>"SI_110970"</f>
        <v>SI_110970</v>
      </c>
      <c r="M496" s="84">
        <v>42119</v>
      </c>
      <c r="N496" s="85">
        <f t="shared" si="145"/>
        <v>1693</v>
      </c>
      <c r="O496" s="86">
        <f t="shared" si="146"/>
        <v>23345.53</v>
      </c>
      <c r="P496" s="86">
        <f t="shared" si="147"/>
        <v>0</v>
      </c>
      <c r="Q496" s="86">
        <f t="shared" si="148"/>
        <v>0</v>
      </c>
      <c r="R496" s="86">
        <f t="shared" si="149"/>
        <v>0</v>
      </c>
      <c r="S496" s="86">
        <f t="shared" si="150"/>
        <v>0</v>
      </c>
      <c r="T496" s="86">
        <f t="shared" si="151"/>
        <v>23345.53</v>
      </c>
      <c r="U496" s="87">
        <v>23345.53</v>
      </c>
    </row>
    <row r="497" spans="1:21" s="30" customFormat="1" ht="24.6" hidden="1" outlineLevel="1" x14ac:dyDescent="0.55000000000000004">
      <c r="A497" s="27" t="s">
        <v>327</v>
      </c>
      <c r="B497" s="28"/>
      <c r="C497" s="27"/>
      <c r="D497" s="27" t="str">
        <f>"""NAV Direct"",""CRONUS JetCorp USA"",""21"",""1"",""349968"""</f>
        <v>"NAV Direct","CRONUS JetCorp USA","21","1","349968"</v>
      </c>
      <c r="E497" s="31" t="str">
        <f t="shared" si="143"/>
        <v>C100025</v>
      </c>
      <c r="F497" s="31"/>
      <c r="G497" s="31"/>
      <c r="H497" s="31"/>
      <c r="I497" s="56"/>
      <c r="J497" s="56"/>
      <c r="K497" s="82" t="str">
        <f t="shared" si="144"/>
        <v>Invoice</v>
      </c>
      <c r="L497" s="83" t="str">
        <f>"SI_110974"</f>
        <v>SI_110974</v>
      </c>
      <c r="M497" s="84">
        <v>42124</v>
      </c>
      <c r="N497" s="85">
        <f t="shared" si="145"/>
        <v>1688</v>
      </c>
      <c r="O497" s="86">
        <f t="shared" si="146"/>
        <v>22392.38</v>
      </c>
      <c r="P497" s="86">
        <f t="shared" si="147"/>
        <v>0</v>
      </c>
      <c r="Q497" s="86">
        <f t="shared" si="148"/>
        <v>0</v>
      </c>
      <c r="R497" s="86">
        <f t="shared" si="149"/>
        <v>0</v>
      </c>
      <c r="S497" s="86">
        <f t="shared" si="150"/>
        <v>0</v>
      </c>
      <c r="T497" s="86">
        <f t="shared" si="151"/>
        <v>22392.38</v>
      </c>
      <c r="U497" s="87">
        <v>22392.38</v>
      </c>
    </row>
    <row r="498" spans="1:21" s="30" customFormat="1" ht="24.6" hidden="1" outlineLevel="1" x14ac:dyDescent="0.55000000000000004">
      <c r="A498" s="27" t="s">
        <v>327</v>
      </c>
      <c r="B498" s="28"/>
      <c r="C498" s="27"/>
      <c r="D498" s="27" t="str">
        <f>"""NAV Direct"",""CRONUS JetCorp USA"",""21"",""1"",""350542"""</f>
        <v>"NAV Direct","CRONUS JetCorp USA","21","1","350542"</v>
      </c>
      <c r="E498" s="31">
        <f t="shared" si="143"/>
        <v>0</v>
      </c>
      <c r="F498" s="31"/>
      <c r="G498" s="31"/>
      <c r="H498" s="31"/>
      <c r="I498" s="56"/>
      <c r="J498" s="56"/>
      <c r="K498" s="82" t="str">
        <f t="shared" si="144"/>
        <v>Invoice</v>
      </c>
      <c r="L498" s="83" t="str">
        <f>"SI_110988"</f>
        <v>SI_110988</v>
      </c>
      <c r="M498" s="84">
        <v>42193</v>
      </c>
      <c r="N498" s="85">
        <f t="shared" si="145"/>
        <v>1619</v>
      </c>
      <c r="O498" s="86">
        <f t="shared" si="146"/>
        <v>24050.83</v>
      </c>
      <c r="P498" s="86">
        <f t="shared" si="147"/>
        <v>0</v>
      </c>
      <c r="Q498" s="86">
        <f t="shared" si="148"/>
        <v>0</v>
      </c>
      <c r="R498" s="86">
        <f t="shared" si="149"/>
        <v>0</v>
      </c>
      <c r="S498" s="86">
        <f t="shared" si="150"/>
        <v>0</v>
      </c>
      <c r="T498" s="86">
        <f t="shared" si="151"/>
        <v>24050.83</v>
      </c>
      <c r="U498" s="87">
        <v>24050.83</v>
      </c>
    </row>
    <row r="499" spans="1:21" s="30" customFormat="1" ht="24.6" hidden="1" outlineLevel="1" x14ac:dyDescent="0.55000000000000004">
      <c r="A499" s="27" t="s">
        <v>327</v>
      </c>
      <c r="B499" s="28"/>
      <c r="C499" s="27"/>
      <c r="D499" s="27" t="str">
        <f>"""NAV Direct"",""CRONUS JetCorp USA"",""21"",""1"",""350700"""</f>
        <v>"NAV Direct","CRONUS JetCorp USA","21","1","350700"</v>
      </c>
      <c r="E499" s="31" t="str">
        <f t="shared" si="143"/>
        <v>C100025</v>
      </c>
      <c r="F499" s="31"/>
      <c r="G499" s="31"/>
      <c r="H499" s="31"/>
      <c r="I499" s="56"/>
      <c r="J499" s="56"/>
      <c r="K499" s="82" t="str">
        <f t="shared" si="144"/>
        <v>Invoice</v>
      </c>
      <c r="L499" s="83" t="str">
        <f>"SI_110992"</f>
        <v>SI_110992</v>
      </c>
      <c r="M499" s="84">
        <v>42211</v>
      </c>
      <c r="N499" s="85">
        <f t="shared" si="145"/>
        <v>1601</v>
      </c>
      <c r="O499" s="86">
        <f t="shared" si="146"/>
        <v>18909.759999999998</v>
      </c>
      <c r="P499" s="86">
        <f t="shared" si="147"/>
        <v>0</v>
      </c>
      <c r="Q499" s="86">
        <f t="shared" si="148"/>
        <v>0</v>
      </c>
      <c r="R499" s="86">
        <f t="shared" si="149"/>
        <v>0</v>
      </c>
      <c r="S499" s="86">
        <f t="shared" si="150"/>
        <v>0</v>
      </c>
      <c r="T499" s="86">
        <f t="shared" si="151"/>
        <v>18909.759999999998</v>
      </c>
      <c r="U499" s="87">
        <v>18909.759999999998</v>
      </c>
    </row>
    <row r="500" spans="1:21" s="30" customFormat="1" ht="24.6" hidden="1" outlineLevel="1" x14ac:dyDescent="0.55000000000000004">
      <c r="A500" s="27" t="s">
        <v>327</v>
      </c>
      <c r="B500" s="28"/>
      <c r="C500" s="27"/>
      <c r="D500" s="27" t="str">
        <f>"""NAV Direct"",""CRONUS JetCorp USA"",""21"",""1"",""351150"""</f>
        <v>"NAV Direct","CRONUS JetCorp USA","21","1","351150"</v>
      </c>
      <c r="E500" s="31">
        <f t="shared" si="143"/>
        <v>0</v>
      </c>
      <c r="F500" s="31"/>
      <c r="G500" s="31"/>
      <c r="H500" s="31"/>
      <c r="I500" s="56"/>
      <c r="J500" s="56"/>
      <c r="K500" s="82" t="str">
        <f t="shared" si="144"/>
        <v>Invoice</v>
      </c>
      <c r="L500" s="83" t="str">
        <f>"SI_111004"</f>
        <v>SI_111004</v>
      </c>
      <c r="M500" s="84">
        <v>42251</v>
      </c>
      <c r="N500" s="85">
        <f t="shared" si="145"/>
        <v>1561</v>
      </c>
      <c r="O500" s="86">
        <f t="shared" si="146"/>
        <v>18904.39</v>
      </c>
      <c r="P500" s="86">
        <f t="shared" si="147"/>
        <v>0</v>
      </c>
      <c r="Q500" s="86">
        <f t="shared" si="148"/>
        <v>0</v>
      </c>
      <c r="R500" s="86">
        <f t="shared" si="149"/>
        <v>0</v>
      </c>
      <c r="S500" s="86">
        <f t="shared" si="150"/>
        <v>0</v>
      </c>
      <c r="T500" s="86">
        <f t="shared" si="151"/>
        <v>18904.39</v>
      </c>
      <c r="U500" s="87">
        <v>18904.39</v>
      </c>
    </row>
    <row r="501" spans="1:21" s="30" customFormat="1" ht="24.6" hidden="1" outlineLevel="1" x14ac:dyDescent="0.55000000000000004">
      <c r="A501" s="27" t="s">
        <v>327</v>
      </c>
      <c r="B501" s="28"/>
      <c r="C501" s="27"/>
      <c r="D501" s="27" t="str">
        <f>"""NAV Direct"",""CRONUS JetCorp USA"",""21"",""1"",""351373"""</f>
        <v>"NAV Direct","CRONUS JetCorp USA","21","1","351373"</v>
      </c>
      <c r="E501" s="31" t="str">
        <f t="shared" si="143"/>
        <v>C100025</v>
      </c>
      <c r="F501" s="31"/>
      <c r="G501" s="31"/>
      <c r="H501" s="31"/>
      <c r="I501" s="56"/>
      <c r="J501" s="56"/>
      <c r="K501" s="82" t="str">
        <f t="shared" si="144"/>
        <v>Invoice</v>
      </c>
      <c r="L501" s="83" t="str">
        <f>"SI_111009"</f>
        <v>SI_111009</v>
      </c>
      <c r="M501" s="84">
        <v>42276</v>
      </c>
      <c r="N501" s="85">
        <f t="shared" si="145"/>
        <v>1536</v>
      </c>
      <c r="O501" s="86">
        <f t="shared" si="146"/>
        <v>18850.490000000002</v>
      </c>
      <c r="P501" s="86">
        <f t="shared" si="147"/>
        <v>0</v>
      </c>
      <c r="Q501" s="86">
        <f t="shared" si="148"/>
        <v>0</v>
      </c>
      <c r="R501" s="86">
        <f t="shared" si="149"/>
        <v>0</v>
      </c>
      <c r="S501" s="86">
        <f t="shared" si="150"/>
        <v>0</v>
      </c>
      <c r="T501" s="86">
        <f t="shared" si="151"/>
        <v>18850.490000000002</v>
      </c>
      <c r="U501" s="87">
        <v>18850.490000000002</v>
      </c>
    </row>
    <row r="502" spans="1:21" s="30" customFormat="1" ht="24.6" hidden="1" outlineLevel="1" x14ac:dyDescent="0.55000000000000004">
      <c r="A502" s="27" t="s">
        <v>327</v>
      </c>
      <c r="B502" s="28"/>
      <c r="C502" s="27"/>
      <c r="D502" s="27" t="str">
        <f>"""NAV Direct"",""CRONUS JetCorp USA"",""21"",""1"",""351416"""</f>
        <v>"NAV Direct","CRONUS JetCorp USA","21","1","351416"</v>
      </c>
      <c r="E502" s="31">
        <f t="shared" si="143"/>
        <v>0</v>
      </c>
      <c r="F502" s="31"/>
      <c r="G502" s="31"/>
      <c r="H502" s="31"/>
      <c r="I502" s="56"/>
      <c r="J502" s="56"/>
      <c r="K502" s="82" t="str">
        <f t="shared" si="144"/>
        <v>Invoice</v>
      </c>
      <c r="L502" s="83" t="str">
        <f>"SI_111010"</f>
        <v>SI_111010</v>
      </c>
      <c r="M502" s="84">
        <v>42276</v>
      </c>
      <c r="N502" s="85">
        <f t="shared" si="145"/>
        <v>1536</v>
      </c>
      <c r="O502" s="86">
        <f t="shared" si="146"/>
        <v>18850.900000000001</v>
      </c>
      <c r="P502" s="86">
        <f t="shared" si="147"/>
        <v>0</v>
      </c>
      <c r="Q502" s="86">
        <f t="shared" si="148"/>
        <v>0</v>
      </c>
      <c r="R502" s="86">
        <f t="shared" si="149"/>
        <v>0</v>
      </c>
      <c r="S502" s="86">
        <f t="shared" si="150"/>
        <v>0</v>
      </c>
      <c r="T502" s="86">
        <f t="shared" si="151"/>
        <v>18850.900000000001</v>
      </c>
      <c r="U502" s="87">
        <v>18850.900000000001</v>
      </c>
    </row>
    <row r="503" spans="1:21" s="30" customFormat="1" ht="24.6" hidden="1" outlineLevel="1" x14ac:dyDescent="0.55000000000000004">
      <c r="A503" s="27" t="s">
        <v>327</v>
      </c>
      <c r="B503" s="28"/>
      <c r="C503" s="27"/>
      <c r="D503" s="27" t="str">
        <f>"""NAV Direct"",""CRONUS JetCorp USA"",""21"",""1"",""351705"""</f>
        <v>"NAV Direct","CRONUS JetCorp USA","21","1","351705"</v>
      </c>
      <c r="E503" s="31" t="str">
        <f t="shared" si="143"/>
        <v>C100025</v>
      </c>
      <c r="F503" s="31"/>
      <c r="G503" s="31"/>
      <c r="H503" s="31"/>
      <c r="I503" s="56"/>
      <c r="J503" s="56"/>
      <c r="K503" s="82" t="str">
        <f t="shared" si="144"/>
        <v>Invoice</v>
      </c>
      <c r="L503" s="83" t="str">
        <f>"SI_111017"</f>
        <v>SI_111017</v>
      </c>
      <c r="M503" s="84">
        <v>42309</v>
      </c>
      <c r="N503" s="85">
        <f t="shared" si="145"/>
        <v>1503</v>
      </c>
      <c r="O503" s="86">
        <f t="shared" si="146"/>
        <v>19001.32</v>
      </c>
      <c r="P503" s="86">
        <f t="shared" si="147"/>
        <v>0</v>
      </c>
      <c r="Q503" s="86">
        <f t="shared" si="148"/>
        <v>0</v>
      </c>
      <c r="R503" s="86">
        <f t="shared" si="149"/>
        <v>0</v>
      </c>
      <c r="S503" s="86">
        <f t="shared" si="150"/>
        <v>0</v>
      </c>
      <c r="T503" s="86">
        <f t="shared" si="151"/>
        <v>19001.32</v>
      </c>
      <c r="U503" s="87">
        <v>19001.32</v>
      </c>
    </row>
    <row r="504" spans="1:21" s="30" customFormat="1" ht="24.6" hidden="1" outlineLevel="1" x14ac:dyDescent="0.55000000000000004">
      <c r="A504" s="27" t="s">
        <v>327</v>
      </c>
      <c r="B504" s="28"/>
      <c r="C504" s="27"/>
      <c r="D504" s="27" t="str">
        <f>"""NAV Direct"",""CRONUS JetCorp USA"",""21"",""1"",""433600"""</f>
        <v>"NAV Direct","CRONUS JetCorp USA","21","1","433600"</v>
      </c>
      <c r="E504" s="31">
        <f t="shared" si="143"/>
        <v>0</v>
      </c>
      <c r="F504" s="31"/>
      <c r="G504" s="31"/>
      <c r="H504" s="31"/>
      <c r="I504" s="56"/>
      <c r="J504" s="56"/>
      <c r="K504" s="82" t="str">
        <f t="shared" ref="K504:K511" si="152">"Credit Memo"</f>
        <v>Credit Memo</v>
      </c>
      <c r="L504" s="83" t="str">
        <f>"SC_100500"</f>
        <v>SC_100500</v>
      </c>
      <c r="M504" s="84">
        <v>42469</v>
      </c>
      <c r="N504" s="85">
        <f t="shared" si="145"/>
        <v>1343</v>
      </c>
      <c r="O504" s="86">
        <f t="shared" si="146"/>
        <v>-156.94999999999999</v>
      </c>
      <c r="P504" s="86">
        <f t="shared" si="147"/>
        <v>0</v>
      </c>
      <c r="Q504" s="86">
        <f t="shared" si="148"/>
        <v>0</v>
      </c>
      <c r="R504" s="86">
        <f t="shared" si="149"/>
        <v>0</v>
      </c>
      <c r="S504" s="86">
        <f t="shared" si="150"/>
        <v>0</v>
      </c>
      <c r="T504" s="86">
        <f t="shared" si="151"/>
        <v>-156.94999999999999</v>
      </c>
      <c r="U504" s="87">
        <v>-156.94999999999999</v>
      </c>
    </row>
    <row r="505" spans="1:21" s="30" customFormat="1" ht="24.6" hidden="1" outlineLevel="1" x14ac:dyDescent="0.55000000000000004">
      <c r="A505" s="27" t="s">
        <v>327</v>
      </c>
      <c r="B505" s="28"/>
      <c r="C505" s="27"/>
      <c r="D505" s="27" t="str">
        <f>"""NAV Direct"",""CRONUS JetCorp USA"",""21"",""1"",""433679"""</f>
        <v>"NAV Direct","CRONUS JetCorp USA","21","1","433679"</v>
      </c>
      <c r="E505" s="31" t="str">
        <f t="shared" si="143"/>
        <v>C100025</v>
      </c>
      <c r="F505" s="31"/>
      <c r="G505" s="31"/>
      <c r="H505" s="31"/>
      <c r="I505" s="56"/>
      <c r="J505" s="56"/>
      <c r="K505" s="82" t="str">
        <f t="shared" si="152"/>
        <v>Credit Memo</v>
      </c>
      <c r="L505" s="83" t="str">
        <f>"SC_100505"</f>
        <v>SC_100505</v>
      </c>
      <c r="M505" s="84">
        <v>42569</v>
      </c>
      <c r="N505" s="85">
        <f t="shared" si="145"/>
        <v>1243</v>
      </c>
      <c r="O505" s="86">
        <f t="shared" si="146"/>
        <v>-174.38</v>
      </c>
      <c r="P505" s="86">
        <f t="shared" si="147"/>
        <v>0</v>
      </c>
      <c r="Q505" s="86">
        <f t="shared" si="148"/>
        <v>0</v>
      </c>
      <c r="R505" s="86">
        <f t="shared" si="149"/>
        <v>0</v>
      </c>
      <c r="S505" s="86">
        <f t="shared" si="150"/>
        <v>0</v>
      </c>
      <c r="T505" s="86">
        <f t="shared" si="151"/>
        <v>-174.38</v>
      </c>
      <c r="U505" s="87">
        <v>-174.38</v>
      </c>
    </row>
    <row r="506" spans="1:21" s="30" customFormat="1" ht="24.6" hidden="1" outlineLevel="1" x14ac:dyDescent="0.55000000000000004">
      <c r="A506" s="27" t="s">
        <v>327</v>
      </c>
      <c r="B506" s="28"/>
      <c r="C506" s="27"/>
      <c r="D506" s="27" t="str">
        <f>"""NAV Direct"",""CRONUS JetCorp USA"",""21"",""1"",""433801"""</f>
        <v>"NAV Direct","CRONUS JetCorp USA","21","1","433801"</v>
      </c>
      <c r="E506" s="31">
        <f t="shared" si="143"/>
        <v>0</v>
      </c>
      <c r="F506" s="31"/>
      <c r="G506" s="31"/>
      <c r="H506" s="31"/>
      <c r="I506" s="56"/>
      <c r="J506" s="56"/>
      <c r="K506" s="82" t="str">
        <f t="shared" si="152"/>
        <v>Credit Memo</v>
      </c>
      <c r="L506" s="83" t="str">
        <f>"SC_100513"</f>
        <v>SC_100513</v>
      </c>
      <c r="M506" s="84">
        <v>42716</v>
      </c>
      <c r="N506" s="85">
        <f t="shared" si="145"/>
        <v>1096</v>
      </c>
      <c r="O506" s="86">
        <f t="shared" si="146"/>
        <v>-177.13</v>
      </c>
      <c r="P506" s="86">
        <f t="shared" si="147"/>
        <v>0</v>
      </c>
      <c r="Q506" s="86">
        <f t="shared" si="148"/>
        <v>0</v>
      </c>
      <c r="R506" s="86">
        <f t="shared" si="149"/>
        <v>0</v>
      </c>
      <c r="S506" s="86">
        <f t="shared" si="150"/>
        <v>0</v>
      </c>
      <c r="T506" s="86">
        <f t="shared" si="151"/>
        <v>-177.13</v>
      </c>
      <c r="U506" s="87">
        <v>-177.13</v>
      </c>
    </row>
    <row r="507" spans="1:21" s="30" customFormat="1" ht="24.6" hidden="1" outlineLevel="1" x14ac:dyDescent="0.55000000000000004">
      <c r="A507" s="27" t="s">
        <v>327</v>
      </c>
      <c r="B507" s="28"/>
      <c r="C507" s="27"/>
      <c r="D507" s="27" t="str">
        <f>"""NAV Direct"",""CRONUS JetCorp USA"",""21"",""1"",""433959"""</f>
        <v>"NAV Direct","CRONUS JetCorp USA","21","1","433959"</v>
      </c>
      <c r="E507" s="31" t="str">
        <f t="shared" si="143"/>
        <v>C100025</v>
      </c>
      <c r="F507" s="31"/>
      <c r="G507" s="31"/>
      <c r="H507" s="31"/>
      <c r="I507" s="56"/>
      <c r="J507" s="56"/>
      <c r="K507" s="82" t="str">
        <f t="shared" si="152"/>
        <v>Credit Memo</v>
      </c>
      <c r="L507" s="83" t="str">
        <f>"SC_100523"</f>
        <v>SC_100523</v>
      </c>
      <c r="M507" s="84">
        <v>42869</v>
      </c>
      <c r="N507" s="85">
        <f t="shared" si="145"/>
        <v>943</v>
      </c>
      <c r="O507" s="86">
        <f t="shared" si="146"/>
        <v>-178.92</v>
      </c>
      <c r="P507" s="86">
        <f t="shared" si="147"/>
        <v>0</v>
      </c>
      <c r="Q507" s="86">
        <f t="shared" si="148"/>
        <v>0</v>
      </c>
      <c r="R507" s="86">
        <f t="shared" si="149"/>
        <v>0</v>
      </c>
      <c r="S507" s="86">
        <f t="shared" si="150"/>
        <v>0</v>
      </c>
      <c r="T507" s="86">
        <f t="shared" si="151"/>
        <v>-178.92</v>
      </c>
      <c r="U507" s="87">
        <v>-178.92</v>
      </c>
    </row>
    <row r="508" spans="1:21" s="30" customFormat="1" ht="24.6" hidden="1" outlineLevel="1" x14ac:dyDescent="0.55000000000000004">
      <c r="A508" s="27" t="s">
        <v>327</v>
      </c>
      <c r="B508" s="28"/>
      <c r="C508" s="27"/>
      <c r="D508" s="27" t="str">
        <f>"""NAV Direct"",""CRONUS JetCorp USA"",""21"",""1"",""434094"""</f>
        <v>"NAV Direct","CRONUS JetCorp USA","21","1","434094"</v>
      </c>
      <c r="E508" s="31">
        <f t="shared" si="143"/>
        <v>0</v>
      </c>
      <c r="F508" s="31"/>
      <c r="G508" s="31"/>
      <c r="H508" s="31"/>
      <c r="I508" s="56"/>
      <c r="J508" s="56"/>
      <c r="K508" s="82" t="str">
        <f t="shared" si="152"/>
        <v>Credit Memo</v>
      </c>
      <c r="L508" s="83" t="str">
        <f>"SC_100532"</f>
        <v>SC_100532</v>
      </c>
      <c r="M508" s="84">
        <v>43117</v>
      </c>
      <c r="N508" s="85">
        <f t="shared" si="145"/>
        <v>695</v>
      </c>
      <c r="O508" s="86">
        <f t="shared" si="146"/>
        <v>-198.82000000000002</v>
      </c>
      <c r="P508" s="86">
        <f t="shared" si="147"/>
        <v>0</v>
      </c>
      <c r="Q508" s="86">
        <f t="shared" si="148"/>
        <v>0</v>
      </c>
      <c r="R508" s="86">
        <f t="shared" si="149"/>
        <v>0</v>
      </c>
      <c r="S508" s="86">
        <f t="shared" si="150"/>
        <v>0</v>
      </c>
      <c r="T508" s="86">
        <f t="shared" si="151"/>
        <v>-198.82000000000002</v>
      </c>
      <c r="U508" s="87">
        <v>-198.82000000000002</v>
      </c>
    </row>
    <row r="509" spans="1:21" s="30" customFormat="1" ht="24.6" hidden="1" outlineLevel="1" x14ac:dyDescent="0.55000000000000004">
      <c r="A509" s="27" t="s">
        <v>327</v>
      </c>
      <c r="B509" s="28"/>
      <c r="C509" s="27"/>
      <c r="D509" s="27" t="str">
        <f>"""NAV Direct"",""CRONUS JetCorp USA"",""21"",""1"",""434162"""</f>
        <v>"NAV Direct","CRONUS JetCorp USA","21","1","434162"</v>
      </c>
      <c r="E509" s="31" t="str">
        <f t="shared" si="143"/>
        <v>C100025</v>
      </c>
      <c r="F509" s="31"/>
      <c r="G509" s="31"/>
      <c r="H509" s="31"/>
      <c r="I509" s="56"/>
      <c r="J509" s="56"/>
      <c r="K509" s="82" t="str">
        <f t="shared" si="152"/>
        <v>Credit Memo</v>
      </c>
      <c r="L509" s="83" t="str">
        <f>"SC_100536"</f>
        <v>SC_100536</v>
      </c>
      <c r="M509" s="84">
        <v>43171</v>
      </c>
      <c r="N509" s="85">
        <f t="shared" si="145"/>
        <v>641</v>
      </c>
      <c r="O509" s="86">
        <f t="shared" si="146"/>
        <v>-187.70999999999998</v>
      </c>
      <c r="P509" s="86">
        <f t="shared" si="147"/>
        <v>0</v>
      </c>
      <c r="Q509" s="86">
        <f t="shared" si="148"/>
        <v>0</v>
      </c>
      <c r="R509" s="86">
        <f t="shared" si="149"/>
        <v>0</v>
      </c>
      <c r="S509" s="86">
        <f t="shared" si="150"/>
        <v>0</v>
      </c>
      <c r="T509" s="86">
        <f t="shared" si="151"/>
        <v>-187.70999999999998</v>
      </c>
      <c r="U509" s="87">
        <v>-187.70999999999998</v>
      </c>
    </row>
    <row r="510" spans="1:21" s="30" customFormat="1" ht="24.6" hidden="1" outlineLevel="1" x14ac:dyDescent="0.55000000000000004">
      <c r="A510" s="27" t="s">
        <v>327</v>
      </c>
      <c r="B510" s="28"/>
      <c r="C510" s="27"/>
      <c r="D510" s="27" t="str">
        <f>"""NAV Direct"",""CRONUS JetCorp USA"",""21"",""1"",""434183"""</f>
        <v>"NAV Direct","CRONUS JetCorp USA","21","1","434183"</v>
      </c>
      <c r="E510" s="31">
        <f t="shared" si="143"/>
        <v>0</v>
      </c>
      <c r="F510" s="31"/>
      <c r="G510" s="31"/>
      <c r="H510" s="31"/>
      <c r="I510" s="56"/>
      <c r="J510" s="56"/>
      <c r="K510" s="82" t="str">
        <f t="shared" si="152"/>
        <v>Credit Memo</v>
      </c>
      <c r="L510" s="83" t="str">
        <f>"SC_100537"</f>
        <v>SC_100537</v>
      </c>
      <c r="M510" s="84">
        <v>43176</v>
      </c>
      <c r="N510" s="85">
        <f t="shared" si="145"/>
        <v>636</v>
      </c>
      <c r="O510" s="86">
        <f t="shared" si="146"/>
        <v>-191.64000000000001</v>
      </c>
      <c r="P510" s="86">
        <f t="shared" si="147"/>
        <v>0</v>
      </c>
      <c r="Q510" s="86">
        <f t="shared" si="148"/>
        <v>0</v>
      </c>
      <c r="R510" s="86">
        <f t="shared" si="149"/>
        <v>0</v>
      </c>
      <c r="S510" s="86">
        <f t="shared" si="150"/>
        <v>0</v>
      </c>
      <c r="T510" s="86">
        <f t="shared" si="151"/>
        <v>-191.64000000000001</v>
      </c>
      <c r="U510" s="87">
        <v>-191.64000000000001</v>
      </c>
    </row>
    <row r="511" spans="1:21" s="30" customFormat="1" ht="24.6" hidden="1" outlineLevel="1" x14ac:dyDescent="0.55000000000000004">
      <c r="A511" s="27" t="s">
        <v>327</v>
      </c>
      <c r="B511" s="28"/>
      <c r="C511" s="27"/>
      <c r="D511" s="27" t="str">
        <f>"""NAV Direct"",""CRONUS JetCorp USA"",""21"",""1"",""434269"""</f>
        <v>"NAV Direct","CRONUS JetCorp USA","21","1","434269"</v>
      </c>
      <c r="E511" s="31" t="str">
        <f t="shared" si="143"/>
        <v>C100025</v>
      </c>
      <c r="F511" s="31"/>
      <c r="G511" s="31"/>
      <c r="H511" s="31"/>
      <c r="I511" s="56"/>
      <c r="J511" s="56"/>
      <c r="K511" s="82" t="str">
        <f t="shared" si="152"/>
        <v>Credit Memo</v>
      </c>
      <c r="L511" s="83" t="str">
        <f>"SC_100543"</f>
        <v>SC_100543</v>
      </c>
      <c r="M511" s="84">
        <v>43328</v>
      </c>
      <c r="N511" s="85">
        <f t="shared" si="145"/>
        <v>484</v>
      </c>
      <c r="O511" s="86">
        <f t="shared" si="146"/>
        <v>-188.12</v>
      </c>
      <c r="P511" s="86">
        <f t="shared" si="147"/>
        <v>0</v>
      </c>
      <c r="Q511" s="86">
        <f t="shared" si="148"/>
        <v>0</v>
      </c>
      <c r="R511" s="86">
        <f t="shared" si="149"/>
        <v>0</v>
      </c>
      <c r="S511" s="86">
        <f t="shared" si="150"/>
        <v>0</v>
      </c>
      <c r="T511" s="86">
        <f t="shared" si="151"/>
        <v>-188.12</v>
      </c>
      <c r="U511" s="87">
        <v>-188.12</v>
      </c>
    </row>
    <row r="512" spans="1:21" s="22" customFormat="1" ht="20.399999999999999" collapsed="1" x14ac:dyDescent="0.45">
      <c r="A512" s="12" t="s">
        <v>327</v>
      </c>
      <c r="B512" s="19"/>
      <c r="C512" s="12"/>
      <c r="D512" s="12"/>
      <c r="E512" s="23"/>
      <c r="F512" s="23"/>
      <c r="G512" s="23"/>
      <c r="H512" s="23"/>
      <c r="I512" s="49"/>
      <c r="J512" s="88"/>
      <c r="K512" s="88"/>
      <c r="L512" s="89"/>
      <c r="M512" s="89"/>
      <c r="N512" s="89"/>
      <c r="O512" s="89"/>
      <c r="P512" s="89"/>
      <c r="Q512" s="90"/>
      <c r="R512" s="90"/>
      <c r="S512" s="91"/>
      <c r="T512" s="92"/>
      <c r="U512" s="92"/>
    </row>
    <row r="513" spans="1:22" s="22" customFormat="1" ht="20.399999999999999" x14ac:dyDescent="0.45">
      <c r="A513" s="12" t="s">
        <v>327</v>
      </c>
      <c r="B513" s="19"/>
      <c r="C513" s="12"/>
      <c r="D513" s="12"/>
      <c r="E513" s="23"/>
      <c r="F513" s="23"/>
      <c r="G513" s="23"/>
      <c r="H513" s="23"/>
      <c r="I513" s="49"/>
      <c r="J513" s="88"/>
      <c r="K513" s="88"/>
      <c r="L513" s="89"/>
      <c r="M513" s="89"/>
      <c r="N513" s="89"/>
      <c r="O513" s="89"/>
      <c r="P513" s="89"/>
      <c r="Q513" s="90"/>
      <c r="R513" s="90"/>
      <c r="S513" s="91"/>
      <c r="T513" s="92"/>
      <c r="U513" s="92"/>
    </row>
    <row r="514" spans="1:22" s="26" customFormat="1" ht="24.6" x14ac:dyDescent="0.55000000000000004">
      <c r="A514" s="27" t="s">
        <v>327</v>
      </c>
      <c r="B514" s="28"/>
      <c r="C514" s="27" t="str">
        <f>"""NAV Direct"",""CRONUS JetCorp USA"",""18"",""1"",""C100026"""</f>
        <v>"NAV Direct","CRONUS JetCorp USA","18","1","C100026"</v>
      </c>
      <c r="D514" s="27"/>
      <c r="E514" s="28" t="str">
        <f>H514</f>
        <v>C100026</v>
      </c>
      <c r="F514" s="28"/>
      <c r="G514" s="28"/>
      <c r="H514" s="28" t="str">
        <f>"C100026"</f>
        <v>C100026</v>
      </c>
      <c r="I514" s="116" t="str">
        <f>"C100026  -  Designstudio Gmunden"</f>
        <v>C100026  -  Designstudio Gmunden</v>
      </c>
      <c r="J514" s="117" t="str">
        <f>""</f>
        <v/>
      </c>
      <c r="K514" s="118"/>
      <c r="L514" s="119">
        <f>SUBTOTAL(3,L515:L561)</f>
        <v>43</v>
      </c>
      <c r="M514" s="118"/>
      <c r="N514" s="118"/>
      <c r="O514" s="120">
        <f t="shared" ref="O514:T514" si="153">SUBTOTAL(9,O515:O561)</f>
        <v>663521.78</v>
      </c>
      <c r="P514" s="120">
        <f t="shared" si="153"/>
        <v>0</v>
      </c>
      <c r="Q514" s="120">
        <f t="shared" si="153"/>
        <v>57962.439999999995</v>
      </c>
      <c r="R514" s="120">
        <f t="shared" si="153"/>
        <v>17260.260000000002</v>
      </c>
      <c r="S514" s="120">
        <f t="shared" si="153"/>
        <v>0</v>
      </c>
      <c r="T514" s="120">
        <f t="shared" si="153"/>
        <v>588299.08000000007</v>
      </c>
      <c r="U514" s="81"/>
    </row>
    <row r="515" spans="1:22" s="26" customFormat="1" ht="24.6" x14ac:dyDescent="0.55000000000000004">
      <c r="A515" s="27" t="s">
        <v>327</v>
      </c>
      <c r="B515" s="28"/>
      <c r="C515" s="27" t="str">
        <f>C514</f>
        <v>"NAV Direct","CRONUS JetCorp USA","18","1","C100026"</v>
      </c>
      <c r="D515" s="27"/>
      <c r="E515" s="28" t="str">
        <f>E514</f>
        <v>C100026</v>
      </c>
      <c r="F515" s="28"/>
      <c r="G515" s="28"/>
      <c r="H515" s="28"/>
      <c r="I515" s="121" t="str">
        <f>"Contact: Fr. Birgitte Vestphael"</f>
        <v>Contact: Fr. Birgitte Vestphael</v>
      </c>
      <c r="J515" s="121"/>
      <c r="K515" s="122"/>
      <c r="L515" s="123"/>
      <c r="M515" s="123"/>
      <c r="N515" s="124"/>
      <c r="O515" s="124"/>
      <c r="P515" s="123"/>
      <c r="Q515" s="125"/>
      <c r="R515" s="126"/>
      <c r="S515" s="126"/>
      <c r="T515" s="125"/>
      <c r="U515" s="81"/>
    </row>
    <row r="516" spans="1:22" s="26" customFormat="1" ht="24.6" x14ac:dyDescent="0.55000000000000004">
      <c r="A516" s="27" t="s">
        <v>327</v>
      </c>
      <c r="B516" s="28"/>
      <c r="C516" s="27" t="str">
        <f>C515</f>
        <v>"NAV Direct","CRONUS JetCorp USA","18","1","C100026"</v>
      </c>
      <c r="D516" s="27"/>
      <c r="E516" s="28" t="str">
        <f>E515</f>
        <v>C100026</v>
      </c>
      <c r="F516" s="28"/>
      <c r="G516" s="28"/>
      <c r="H516" s="28"/>
      <c r="I516" s="121" t="str">
        <f>"designstudio.gmunden@cronuscorp.net"</f>
        <v>designstudio.gmunden@cronuscorp.net</v>
      </c>
      <c r="J516" s="121"/>
      <c r="K516" s="122"/>
      <c r="L516" s="124"/>
      <c r="M516" s="124"/>
      <c r="N516" s="124"/>
      <c r="O516" s="124"/>
      <c r="P516" s="123"/>
      <c r="Q516" s="125"/>
      <c r="R516" s="126"/>
      <c r="S516" s="126"/>
      <c r="T516" s="125"/>
      <c r="U516" s="81"/>
    </row>
    <row r="517" spans="1:22" ht="12.75" hidden="1" customHeight="1" outlineLevel="1" x14ac:dyDescent="0.45">
      <c r="A517" s="12" t="s">
        <v>328</v>
      </c>
      <c r="B517" s="19"/>
      <c r="E517" s="19"/>
      <c r="F517" s="19"/>
      <c r="G517" s="19"/>
      <c r="H517" s="19"/>
      <c r="I517" s="61"/>
      <c r="J517" s="61"/>
      <c r="K517" s="61"/>
      <c r="L517" s="61"/>
      <c r="M517" s="61"/>
      <c r="N517" s="61"/>
      <c r="O517" s="61"/>
      <c r="P517" s="61"/>
      <c r="Q517" s="61"/>
      <c r="R517" s="61"/>
      <c r="S517" s="61"/>
      <c r="T517" s="61"/>
      <c r="U517" s="61"/>
      <c r="V517" s="21"/>
    </row>
    <row r="518" spans="1:22" s="30" customFormat="1" ht="24.6" hidden="1" outlineLevel="1" x14ac:dyDescent="0.55000000000000004">
      <c r="A518" s="27" t="s">
        <v>327</v>
      </c>
      <c r="B518" s="28"/>
      <c r="C518" s="27"/>
      <c r="D518" s="27" t="str">
        <f>"""NAV Direct"",""CRONUS JetCorp USA"",""21"",""1"",""93850"""</f>
        <v>"NAV Direct","CRONUS JetCorp USA","21","1","93850"</v>
      </c>
      <c r="E518" s="31" t="str">
        <f t="shared" ref="E518:E560" si="154">E516</f>
        <v>C100026</v>
      </c>
      <c r="F518" s="31"/>
      <c r="G518" s="31"/>
      <c r="H518" s="31"/>
      <c r="I518" s="56"/>
      <c r="J518" s="56"/>
      <c r="K518" s="82" t="str">
        <f t="shared" ref="K518:K554" si="155">"Invoice"</f>
        <v>Invoice</v>
      </c>
      <c r="L518" s="83" t="str">
        <f>"SI_106364"</f>
        <v>SI_106364</v>
      </c>
      <c r="M518" s="84">
        <v>42321</v>
      </c>
      <c r="N518" s="85">
        <f t="shared" ref="N518:N560" si="156">StartDate-$M518+1</f>
        <v>1491</v>
      </c>
      <c r="O518" s="86">
        <f t="shared" ref="O518:O560" si="157">SUM(P518:T518)</f>
        <v>18342.879999999997</v>
      </c>
      <c r="P518" s="86">
        <f t="shared" ref="P518:P560" si="158">IF($M518&gt;=$P$18,U518,0)</f>
        <v>0</v>
      </c>
      <c r="Q518" s="86">
        <f t="shared" ref="Q518:Q560" si="159">IF(AND($M518&gt;=$Q$16,$M518&lt;=$Q$18),U518,0)</f>
        <v>0</v>
      </c>
      <c r="R518" s="86">
        <f t="shared" ref="R518:R560" si="160">IF(AND($M518&gt;=$R$16,$M518&lt;=$R$18),U518,0)</f>
        <v>0</v>
      </c>
      <c r="S518" s="86">
        <f t="shared" ref="S518:S560" si="161">IF(AND($M518&gt;=$S$16,$M518&lt;=$S$18),U518,0)</f>
        <v>0</v>
      </c>
      <c r="T518" s="86">
        <f t="shared" ref="T518:T560" si="162">IF($M518&lt;=$T$18,U518,0)</f>
        <v>18342.879999999997</v>
      </c>
      <c r="U518" s="87">
        <v>18342.879999999997</v>
      </c>
    </row>
    <row r="519" spans="1:22" s="30" customFormat="1" ht="24.6" hidden="1" outlineLevel="1" x14ac:dyDescent="0.55000000000000004">
      <c r="A519" s="27" t="s">
        <v>327</v>
      </c>
      <c r="B519" s="28"/>
      <c r="C519" s="27"/>
      <c r="D519" s="27" t="str">
        <f>"""NAV Direct"",""CRONUS JetCorp USA"",""21"",""1"",""93916"""</f>
        <v>"NAV Direct","CRONUS JetCorp USA","21","1","93916"</v>
      </c>
      <c r="E519" s="31">
        <f t="shared" si="154"/>
        <v>0</v>
      </c>
      <c r="F519" s="31"/>
      <c r="G519" s="31"/>
      <c r="H519" s="31"/>
      <c r="I519" s="56"/>
      <c r="J519" s="56"/>
      <c r="K519" s="82" t="str">
        <f t="shared" si="155"/>
        <v>Invoice</v>
      </c>
      <c r="L519" s="83" t="str">
        <f>"SI_106366"</f>
        <v>SI_106366</v>
      </c>
      <c r="M519" s="84">
        <v>42349</v>
      </c>
      <c r="N519" s="85">
        <f t="shared" si="156"/>
        <v>1463</v>
      </c>
      <c r="O519" s="86">
        <f t="shared" si="157"/>
        <v>19625.940000000002</v>
      </c>
      <c r="P519" s="86">
        <f t="shared" si="158"/>
        <v>0</v>
      </c>
      <c r="Q519" s="86">
        <f t="shared" si="159"/>
        <v>0</v>
      </c>
      <c r="R519" s="86">
        <f t="shared" si="160"/>
        <v>0</v>
      </c>
      <c r="S519" s="86">
        <f t="shared" si="161"/>
        <v>0</v>
      </c>
      <c r="T519" s="86">
        <f t="shared" si="162"/>
        <v>19625.940000000002</v>
      </c>
      <c r="U519" s="87">
        <v>19625.940000000002</v>
      </c>
    </row>
    <row r="520" spans="1:22" s="30" customFormat="1" ht="24.6" hidden="1" outlineLevel="1" x14ac:dyDescent="0.55000000000000004">
      <c r="A520" s="27" t="s">
        <v>327</v>
      </c>
      <c r="B520" s="28"/>
      <c r="C520" s="27"/>
      <c r="D520" s="27" t="str">
        <f>"""NAV Direct"",""CRONUS JetCorp USA"",""21"",""1"",""371098"""</f>
        <v>"NAV Direct","CRONUS JetCorp USA","21","1","371098"</v>
      </c>
      <c r="E520" s="31" t="str">
        <f t="shared" si="154"/>
        <v>C100026</v>
      </c>
      <c r="F520" s="31"/>
      <c r="G520" s="31"/>
      <c r="H520" s="31"/>
      <c r="I520" s="56"/>
      <c r="J520" s="56"/>
      <c r="K520" s="82" t="str">
        <f t="shared" si="155"/>
        <v>Invoice</v>
      </c>
      <c r="L520" s="83" t="str">
        <f>"SI_111568"</f>
        <v>SI_111568</v>
      </c>
      <c r="M520" s="84">
        <v>42405</v>
      </c>
      <c r="N520" s="85">
        <f t="shared" si="156"/>
        <v>1407</v>
      </c>
      <c r="O520" s="86">
        <f t="shared" si="157"/>
        <v>14719.73</v>
      </c>
      <c r="P520" s="86">
        <f t="shared" si="158"/>
        <v>0</v>
      </c>
      <c r="Q520" s="86">
        <f t="shared" si="159"/>
        <v>0</v>
      </c>
      <c r="R520" s="86">
        <f t="shared" si="160"/>
        <v>0</v>
      </c>
      <c r="S520" s="86">
        <f t="shared" si="161"/>
        <v>0</v>
      </c>
      <c r="T520" s="86">
        <f t="shared" si="162"/>
        <v>14719.73</v>
      </c>
      <c r="U520" s="87">
        <v>14719.73</v>
      </c>
    </row>
    <row r="521" spans="1:22" s="30" customFormat="1" ht="24.6" hidden="1" outlineLevel="1" x14ac:dyDescent="0.55000000000000004">
      <c r="A521" s="27" t="s">
        <v>327</v>
      </c>
      <c r="B521" s="28"/>
      <c r="C521" s="27"/>
      <c r="D521" s="27" t="str">
        <f>"""NAV Direct"",""CRONUS JetCorp USA"",""21"",""1"",""371258"""</f>
        <v>"NAV Direct","CRONUS JetCorp USA","21","1","371258"</v>
      </c>
      <c r="E521" s="31">
        <f t="shared" si="154"/>
        <v>0</v>
      </c>
      <c r="F521" s="31"/>
      <c r="G521" s="31"/>
      <c r="H521" s="31"/>
      <c r="I521" s="56"/>
      <c r="J521" s="56"/>
      <c r="K521" s="82" t="str">
        <f t="shared" si="155"/>
        <v>Invoice</v>
      </c>
      <c r="L521" s="83" t="str">
        <f>"SI_111572"</f>
        <v>SI_111572</v>
      </c>
      <c r="M521" s="84">
        <v>42447</v>
      </c>
      <c r="N521" s="85">
        <f t="shared" si="156"/>
        <v>1365</v>
      </c>
      <c r="O521" s="86">
        <f t="shared" si="157"/>
        <v>12824.16</v>
      </c>
      <c r="P521" s="86">
        <f t="shared" si="158"/>
        <v>0</v>
      </c>
      <c r="Q521" s="86">
        <f t="shared" si="159"/>
        <v>0</v>
      </c>
      <c r="R521" s="86">
        <f t="shared" si="160"/>
        <v>0</v>
      </c>
      <c r="S521" s="86">
        <f t="shared" si="161"/>
        <v>0</v>
      </c>
      <c r="T521" s="86">
        <f t="shared" si="162"/>
        <v>12824.16</v>
      </c>
      <c r="U521" s="87">
        <v>12824.16</v>
      </c>
    </row>
    <row r="522" spans="1:22" s="30" customFormat="1" ht="24.6" hidden="1" outlineLevel="1" x14ac:dyDescent="0.55000000000000004">
      <c r="A522" s="27" t="s">
        <v>327</v>
      </c>
      <c r="B522" s="28"/>
      <c r="C522" s="27"/>
      <c r="D522" s="27" t="str">
        <f>"""NAV Direct"",""CRONUS JetCorp USA"",""21"",""1"",""371448"""</f>
        <v>"NAV Direct","CRONUS JetCorp USA","21","1","371448"</v>
      </c>
      <c r="E522" s="31" t="str">
        <f t="shared" si="154"/>
        <v>C100026</v>
      </c>
      <c r="F522" s="31"/>
      <c r="G522" s="31"/>
      <c r="H522" s="31"/>
      <c r="I522" s="56"/>
      <c r="J522" s="56"/>
      <c r="K522" s="82" t="str">
        <f t="shared" si="155"/>
        <v>Invoice</v>
      </c>
      <c r="L522" s="83" t="str">
        <f>"SI_111578"</f>
        <v>SI_111578</v>
      </c>
      <c r="M522" s="84">
        <v>42501</v>
      </c>
      <c r="N522" s="85">
        <f t="shared" si="156"/>
        <v>1311</v>
      </c>
      <c r="O522" s="86">
        <f t="shared" si="157"/>
        <v>14988.939999999999</v>
      </c>
      <c r="P522" s="86">
        <f t="shared" si="158"/>
        <v>0</v>
      </c>
      <c r="Q522" s="86">
        <f t="shared" si="159"/>
        <v>0</v>
      </c>
      <c r="R522" s="86">
        <f t="shared" si="160"/>
        <v>0</v>
      </c>
      <c r="S522" s="86">
        <f t="shared" si="161"/>
        <v>0</v>
      </c>
      <c r="T522" s="86">
        <f t="shared" si="162"/>
        <v>14988.939999999999</v>
      </c>
      <c r="U522" s="87">
        <v>14988.939999999999</v>
      </c>
    </row>
    <row r="523" spans="1:22" s="30" customFormat="1" ht="24.6" hidden="1" outlineLevel="1" x14ac:dyDescent="0.55000000000000004">
      <c r="A523" s="27" t="s">
        <v>327</v>
      </c>
      <c r="B523" s="28"/>
      <c r="C523" s="27"/>
      <c r="D523" s="27" t="str">
        <f>"""NAV Direct"",""CRONUS JetCorp USA"",""21"",""1"",""371604"""</f>
        <v>"NAV Direct","CRONUS JetCorp USA","21","1","371604"</v>
      </c>
      <c r="E523" s="31">
        <f t="shared" si="154"/>
        <v>0</v>
      </c>
      <c r="F523" s="31"/>
      <c r="G523" s="31"/>
      <c r="H523" s="31"/>
      <c r="I523" s="56"/>
      <c r="J523" s="56"/>
      <c r="K523" s="82" t="str">
        <f t="shared" si="155"/>
        <v>Invoice</v>
      </c>
      <c r="L523" s="83" t="str">
        <f>"SI_111582"</f>
        <v>SI_111582</v>
      </c>
      <c r="M523" s="84">
        <v>42561</v>
      </c>
      <c r="N523" s="85">
        <f t="shared" si="156"/>
        <v>1251</v>
      </c>
      <c r="O523" s="86">
        <f t="shared" si="157"/>
        <v>15436.68</v>
      </c>
      <c r="P523" s="86">
        <f t="shared" si="158"/>
        <v>0</v>
      </c>
      <c r="Q523" s="86">
        <f t="shared" si="159"/>
        <v>0</v>
      </c>
      <c r="R523" s="86">
        <f t="shared" si="160"/>
        <v>0</v>
      </c>
      <c r="S523" s="86">
        <f t="shared" si="161"/>
        <v>0</v>
      </c>
      <c r="T523" s="86">
        <f t="shared" si="162"/>
        <v>15436.68</v>
      </c>
      <c r="U523" s="87">
        <v>15436.68</v>
      </c>
    </row>
    <row r="524" spans="1:22" s="30" customFormat="1" ht="24.6" hidden="1" outlineLevel="1" x14ac:dyDescent="0.55000000000000004">
      <c r="A524" s="27" t="s">
        <v>327</v>
      </c>
      <c r="B524" s="28"/>
      <c r="C524" s="27"/>
      <c r="D524" s="27" t="str">
        <f>"""NAV Direct"",""CRONUS JetCorp USA"",""21"",""1"",""371789"""</f>
        <v>"NAV Direct","CRONUS JetCorp USA","21","1","371789"</v>
      </c>
      <c r="E524" s="31" t="str">
        <f t="shared" si="154"/>
        <v>C100026</v>
      </c>
      <c r="F524" s="31"/>
      <c r="G524" s="31"/>
      <c r="H524" s="31"/>
      <c r="I524" s="56"/>
      <c r="J524" s="56"/>
      <c r="K524" s="82" t="str">
        <f t="shared" si="155"/>
        <v>Invoice</v>
      </c>
      <c r="L524" s="83" t="str">
        <f>"SI_111587"</f>
        <v>SI_111587</v>
      </c>
      <c r="M524" s="84">
        <v>42635</v>
      </c>
      <c r="N524" s="85">
        <f t="shared" si="156"/>
        <v>1177</v>
      </c>
      <c r="O524" s="86">
        <f t="shared" si="157"/>
        <v>14820.130000000001</v>
      </c>
      <c r="P524" s="86">
        <f t="shared" si="158"/>
        <v>0</v>
      </c>
      <c r="Q524" s="86">
        <f t="shared" si="159"/>
        <v>0</v>
      </c>
      <c r="R524" s="86">
        <f t="shared" si="160"/>
        <v>0</v>
      </c>
      <c r="S524" s="86">
        <f t="shared" si="161"/>
        <v>0</v>
      </c>
      <c r="T524" s="86">
        <f t="shared" si="162"/>
        <v>14820.130000000001</v>
      </c>
      <c r="U524" s="87">
        <v>14820.130000000001</v>
      </c>
    </row>
    <row r="525" spans="1:22" s="30" customFormat="1" ht="24.6" hidden="1" outlineLevel="1" x14ac:dyDescent="0.55000000000000004">
      <c r="A525" s="27" t="s">
        <v>327</v>
      </c>
      <c r="B525" s="28"/>
      <c r="C525" s="27"/>
      <c r="D525" s="27" t="str">
        <f>"""NAV Direct"",""CRONUS JetCorp USA"",""21"",""1"",""371916"""</f>
        <v>"NAV Direct","CRONUS JetCorp USA","21","1","371916"</v>
      </c>
      <c r="E525" s="31">
        <f t="shared" si="154"/>
        <v>0</v>
      </c>
      <c r="F525" s="31"/>
      <c r="G525" s="31"/>
      <c r="H525" s="31"/>
      <c r="I525" s="56"/>
      <c r="J525" s="56"/>
      <c r="K525" s="82" t="str">
        <f t="shared" si="155"/>
        <v>Invoice</v>
      </c>
      <c r="L525" s="83" t="str">
        <f>"SI_111590"</f>
        <v>SI_111590</v>
      </c>
      <c r="M525" s="84">
        <v>42656</v>
      </c>
      <c r="N525" s="85">
        <f t="shared" si="156"/>
        <v>1156</v>
      </c>
      <c r="O525" s="86">
        <f t="shared" si="157"/>
        <v>13331.859999999999</v>
      </c>
      <c r="P525" s="86">
        <f t="shared" si="158"/>
        <v>0</v>
      </c>
      <c r="Q525" s="86">
        <f t="shared" si="159"/>
        <v>0</v>
      </c>
      <c r="R525" s="86">
        <f t="shared" si="160"/>
        <v>0</v>
      </c>
      <c r="S525" s="86">
        <f t="shared" si="161"/>
        <v>0</v>
      </c>
      <c r="T525" s="86">
        <f t="shared" si="162"/>
        <v>13331.859999999999</v>
      </c>
      <c r="U525" s="87">
        <v>13331.859999999999</v>
      </c>
    </row>
    <row r="526" spans="1:22" s="30" customFormat="1" ht="24.6" hidden="1" outlineLevel="1" x14ac:dyDescent="0.55000000000000004">
      <c r="A526" s="27" t="s">
        <v>327</v>
      </c>
      <c r="B526" s="28"/>
      <c r="C526" s="27"/>
      <c r="D526" s="27" t="str">
        <f>"""NAV Direct"",""CRONUS JetCorp USA"",""21"",""1"",""372288"""</f>
        <v>"NAV Direct","CRONUS JetCorp USA","21","1","372288"</v>
      </c>
      <c r="E526" s="31" t="str">
        <f t="shared" si="154"/>
        <v>C100026</v>
      </c>
      <c r="F526" s="31"/>
      <c r="G526" s="31"/>
      <c r="H526" s="31"/>
      <c r="I526" s="56"/>
      <c r="J526" s="56"/>
      <c r="K526" s="82" t="str">
        <f t="shared" si="155"/>
        <v>Invoice</v>
      </c>
      <c r="L526" s="83" t="str">
        <f>"SI_111600"</f>
        <v>SI_111600</v>
      </c>
      <c r="M526" s="84">
        <v>42781</v>
      </c>
      <c r="N526" s="85">
        <f t="shared" si="156"/>
        <v>1031</v>
      </c>
      <c r="O526" s="86">
        <f t="shared" si="157"/>
        <v>15470.179999999998</v>
      </c>
      <c r="P526" s="86">
        <f t="shared" si="158"/>
        <v>0</v>
      </c>
      <c r="Q526" s="86">
        <f t="shared" si="159"/>
        <v>0</v>
      </c>
      <c r="R526" s="86">
        <f t="shared" si="160"/>
        <v>0</v>
      </c>
      <c r="S526" s="86">
        <f t="shared" si="161"/>
        <v>0</v>
      </c>
      <c r="T526" s="86">
        <f t="shared" si="162"/>
        <v>15470.179999999998</v>
      </c>
      <c r="U526" s="87">
        <v>15470.179999999998</v>
      </c>
    </row>
    <row r="527" spans="1:22" s="30" customFormat="1" ht="24.6" hidden="1" outlineLevel="1" x14ac:dyDescent="0.55000000000000004">
      <c r="A527" s="27" t="s">
        <v>327</v>
      </c>
      <c r="B527" s="28"/>
      <c r="C527" s="27"/>
      <c r="D527" s="27" t="str">
        <f>"""NAV Direct"",""CRONUS JetCorp USA"",""21"",""1"",""372704"""</f>
        <v>"NAV Direct","CRONUS JetCorp USA","21","1","372704"</v>
      </c>
      <c r="E527" s="31">
        <f t="shared" si="154"/>
        <v>0</v>
      </c>
      <c r="F527" s="31"/>
      <c r="G527" s="31"/>
      <c r="H527" s="31"/>
      <c r="I527" s="56"/>
      <c r="J527" s="56"/>
      <c r="K527" s="82" t="str">
        <f t="shared" si="155"/>
        <v>Invoice</v>
      </c>
      <c r="L527" s="83" t="str">
        <f>"SI_111612"</f>
        <v>SI_111612</v>
      </c>
      <c r="M527" s="84">
        <v>42918</v>
      </c>
      <c r="N527" s="85">
        <f t="shared" si="156"/>
        <v>894</v>
      </c>
      <c r="O527" s="86">
        <f t="shared" si="157"/>
        <v>17680.43</v>
      </c>
      <c r="P527" s="86">
        <f t="shared" si="158"/>
        <v>0</v>
      </c>
      <c r="Q527" s="86">
        <f t="shared" si="159"/>
        <v>0</v>
      </c>
      <c r="R527" s="86">
        <f t="shared" si="160"/>
        <v>0</v>
      </c>
      <c r="S527" s="86">
        <f t="shared" si="161"/>
        <v>0</v>
      </c>
      <c r="T527" s="86">
        <f t="shared" si="162"/>
        <v>17680.43</v>
      </c>
      <c r="U527" s="87">
        <v>17680.43</v>
      </c>
    </row>
    <row r="528" spans="1:22" s="30" customFormat="1" ht="24.6" hidden="1" outlineLevel="1" x14ac:dyDescent="0.55000000000000004">
      <c r="A528" s="27" t="s">
        <v>327</v>
      </c>
      <c r="B528" s="28"/>
      <c r="C528" s="27"/>
      <c r="D528" s="27" t="str">
        <f>"""NAV Direct"",""CRONUS JetCorp USA"",""21"",""1"",""372914"""</f>
        <v>"NAV Direct","CRONUS JetCorp USA","21","1","372914"</v>
      </c>
      <c r="E528" s="31" t="str">
        <f t="shared" si="154"/>
        <v>C100026</v>
      </c>
      <c r="F528" s="31"/>
      <c r="G528" s="31"/>
      <c r="H528" s="31"/>
      <c r="I528" s="56"/>
      <c r="J528" s="56"/>
      <c r="K528" s="82" t="str">
        <f t="shared" si="155"/>
        <v>Invoice</v>
      </c>
      <c r="L528" s="83" t="str">
        <f>"SI_111618"</f>
        <v>SI_111618</v>
      </c>
      <c r="M528" s="84">
        <v>42983</v>
      </c>
      <c r="N528" s="85">
        <f t="shared" si="156"/>
        <v>829</v>
      </c>
      <c r="O528" s="86">
        <f t="shared" si="157"/>
        <v>14853.970000000001</v>
      </c>
      <c r="P528" s="86">
        <f t="shared" si="158"/>
        <v>0</v>
      </c>
      <c r="Q528" s="86">
        <f t="shared" si="159"/>
        <v>0</v>
      </c>
      <c r="R528" s="86">
        <f t="shared" si="160"/>
        <v>0</v>
      </c>
      <c r="S528" s="86">
        <f t="shared" si="161"/>
        <v>0</v>
      </c>
      <c r="T528" s="86">
        <f t="shared" si="162"/>
        <v>14853.970000000001</v>
      </c>
      <c r="U528" s="87">
        <v>14853.970000000001</v>
      </c>
    </row>
    <row r="529" spans="1:21" s="30" customFormat="1" ht="24.6" hidden="1" outlineLevel="1" x14ac:dyDescent="0.55000000000000004">
      <c r="A529" s="27" t="s">
        <v>327</v>
      </c>
      <c r="B529" s="28"/>
      <c r="C529" s="27"/>
      <c r="D529" s="27" t="str">
        <f>"""NAV Direct"",""CRONUS JetCorp USA"",""21"",""1"",""373183"""</f>
        <v>"NAV Direct","CRONUS JetCorp USA","21","1","373183"</v>
      </c>
      <c r="E529" s="31">
        <f t="shared" si="154"/>
        <v>0</v>
      </c>
      <c r="F529" s="31"/>
      <c r="G529" s="31"/>
      <c r="H529" s="31"/>
      <c r="I529" s="56"/>
      <c r="J529" s="56"/>
      <c r="K529" s="82" t="str">
        <f t="shared" si="155"/>
        <v>Invoice</v>
      </c>
      <c r="L529" s="83" t="str">
        <f>"SI_111625"</f>
        <v>SI_111625</v>
      </c>
      <c r="M529" s="84">
        <v>43074</v>
      </c>
      <c r="N529" s="85">
        <f t="shared" si="156"/>
        <v>738</v>
      </c>
      <c r="O529" s="86">
        <f t="shared" si="157"/>
        <v>16551.689999999999</v>
      </c>
      <c r="P529" s="86">
        <f t="shared" si="158"/>
        <v>0</v>
      </c>
      <c r="Q529" s="86">
        <f t="shared" si="159"/>
        <v>0</v>
      </c>
      <c r="R529" s="86">
        <f t="shared" si="160"/>
        <v>0</v>
      </c>
      <c r="S529" s="86">
        <f t="shared" si="161"/>
        <v>0</v>
      </c>
      <c r="T529" s="86">
        <f t="shared" si="162"/>
        <v>16551.689999999999</v>
      </c>
      <c r="U529" s="87">
        <v>16551.689999999999</v>
      </c>
    </row>
    <row r="530" spans="1:21" s="30" customFormat="1" ht="24.6" hidden="1" outlineLevel="1" x14ac:dyDescent="0.55000000000000004">
      <c r="A530" s="27" t="s">
        <v>327</v>
      </c>
      <c r="B530" s="28"/>
      <c r="C530" s="27"/>
      <c r="D530" s="27" t="str">
        <f>"""NAV Direct"",""CRONUS JetCorp USA"",""21"",""1"",""373224"""</f>
        <v>"NAV Direct","CRONUS JetCorp USA","21","1","373224"</v>
      </c>
      <c r="E530" s="31" t="str">
        <f t="shared" si="154"/>
        <v>C100026</v>
      </c>
      <c r="F530" s="31"/>
      <c r="G530" s="31"/>
      <c r="H530" s="31"/>
      <c r="I530" s="56"/>
      <c r="J530" s="56"/>
      <c r="K530" s="82" t="str">
        <f t="shared" si="155"/>
        <v>Invoice</v>
      </c>
      <c r="L530" s="83" t="str">
        <f>"SI_111626"</f>
        <v>SI_111626</v>
      </c>
      <c r="M530" s="84">
        <v>43084</v>
      </c>
      <c r="N530" s="85">
        <f t="shared" si="156"/>
        <v>728</v>
      </c>
      <c r="O530" s="86">
        <f t="shared" si="157"/>
        <v>15537.6</v>
      </c>
      <c r="P530" s="86">
        <f t="shared" si="158"/>
        <v>0</v>
      </c>
      <c r="Q530" s="86">
        <f t="shared" si="159"/>
        <v>0</v>
      </c>
      <c r="R530" s="86">
        <f t="shared" si="160"/>
        <v>0</v>
      </c>
      <c r="S530" s="86">
        <f t="shared" si="161"/>
        <v>0</v>
      </c>
      <c r="T530" s="86">
        <f t="shared" si="162"/>
        <v>15537.6</v>
      </c>
      <c r="U530" s="87">
        <v>15537.6</v>
      </c>
    </row>
    <row r="531" spans="1:21" s="30" customFormat="1" ht="24.6" hidden="1" outlineLevel="1" x14ac:dyDescent="0.55000000000000004">
      <c r="A531" s="27" t="s">
        <v>327</v>
      </c>
      <c r="B531" s="28"/>
      <c r="C531" s="27"/>
      <c r="D531" s="27" t="str">
        <f>"""NAV Direct"",""CRONUS JetCorp USA"",""21"",""1"",""373549"""</f>
        <v>"NAV Direct","CRONUS JetCorp USA","21","1","373549"</v>
      </c>
      <c r="E531" s="31">
        <f t="shared" si="154"/>
        <v>0</v>
      </c>
      <c r="F531" s="31"/>
      <c r="G531" s="31"/>
      <c r="H531" s="31"/>
      <c r="I531" s="56"/>
      <c r="J531" s="56"/>
      <c r="K531" s="82" t="str">
        <f t="shared" si="155"/>
        <v>Invoice</v>
      </c>
      <c r="L531" s="83" t="str">
        <f>"SI_111635"</f>
        <v>SI_111635</v>
      </c>
      <c r="M531" s="84">
        <v>43193</v>
      </c>
      <c r="N531" s="85">
        <f t="shared" si="156"/>
        <v>619</v>
      </c>
      <c r="O531" s="86">
        <f t="shared" si="157"/>
        <v>16238.300000000001</v>
      </c>
      <c r="P531" s="86">
        <f t="shared" si="158"/>
        <v>0</v>
      </c>
      <c r="Q531" s="86">
        <f t="shared" si="159"/>
        <v>0</v>
      </c>
      <c r="R531" s="86">
        <f t="shared" si="160"/>
        <v>0</v>
      </c>
      <c r="S531" s="86">
        <f t="shared" si="161"/>
        <v>0</v>
      </c>
      <c r="T531" s="86">
        <f t="shared" si="162"/>
        <v>16238.300000000001</v>
      </c>
      <c r="U531" s="87">
        <v>16238.300000000001</v>
      </c>
    </row>
    <row r="532" spans="1:21" s="30" customFormat="1" ht="24.6" hidden="1" outlineLevel="1" x14ac:dyDescent="0.55000000000000004">
      <c r="A532" s="27" t="s">
        <v>327</v>
      </c>
      <c r="B532" s="28"/>
      <c r="C532" s="27"/>
      <c r="D532" s="27" t="str">
        <f>"""NAV Direct"",""CRONUS JetCorp USA"",""21"",""1"",""373627"""</f>
        <v>"NAV Direct","CRONUS JetCorp USA","21","1","373627"</v>
      </c>
      <c r="E532" s="31" t="str">
        <f t="shared" si="154"/>
        <v>C100026</v>
      </c>
      <c r="F532" s="31"/>
      <c r="G532" s="31"/>
      <c r="H532" s="31"/>
      <c r="I532" s="56"/>
      <c r="J532" s="56"/>
      <c r="K532" s="82" t="str">
        <f t="shared" si="155"/>
        <v>Invoice</v>
      </c>
      <c r="L532" s="83" t="str">
        <f>"SI_111637"</f>
        <v>SI_111637</v>
      </c>
      <c r="M532" s="84">
        <v>43200</v>
      </c>
      <c r="N532" s="85">
        <f t="shared" si="156"/>
        <v>612</v>
      </c>
      <c r="O532" s="86">
        <f t="shared" si="157"/>
        <v>15410.23</v>
      </c>
      <c r="P532" s="86">
        <f t="shared" si="158"/>
        <v>0</v>
      </c>
      <c r="Q532" s="86">
        <f t="shared" si="159"/>
        <v>0</v>
      </c>
      <c r="R532" s="86">
        <f t="shared" si="160"/>
        <v>0</v>
      </c>
      <c r="S532" s="86">
        <f t="shared" si="161"/>
        <v>0</v>
      </c>
      <c r="T532" s="86">
        <f t="shared" si="162"/>
        <v>15410.23</v>
      </c>
      <c r="U532" s="87">
        <v>15410.23</v>
      </c>
    </row>
    <row r="533" spans="1:21" s="30" customFormat="1" ht="24.6" hidden="1" outlineLevel="1" x14ac:dyDescent="0.55000000000000004">
      <c r="A533" s="27" t="s">
        <v>327</v>
      </c>
      <c r="B533" s="28"/>
      <c r="C533" s="27"/>
      <c r="D533" s="27" t="str">
        <f>"""NAV Direct"",""CRONUS JetCorp USA"",""21"",""1"",""373678"""</f>
        <v>"NAV Direct","CRONUS JetCorp USA","21","1","373678"</v>
      </c>
      <c r="E533" s="31">
        <f t="shared" si="154"/>
        <v>0</v>
      </c>
      <c r="F533" s="31"/>
      <c r="G533" s="31"/>
      <c r="H533" s="31"/>
      <c r="I533" s="56"/>
      <c r="J533" s="56"/>
      <c r="K533" s="82" t="str">
        <f t="shared" si="155"/>
        <v>Invoice</v>
      </c>
      <c r="L533" s="83" t="str">
        <f>"SI_111638"</f>
        <v>SI_111638</v>
      </c>
      <c r="M533" s="84">
        <v>43233</v>
      </c>
      <c r="N533" s="85">
        <f t="shared" si="156"/>
        <v>579</v>
      </c>
      <c r="O533" s="86">
        <f t="shared" si="157"/>
        <v>16665.990000000002</v>
      </c>
      <c r="P533" s="86">
        <f t="shared" si="158"/>
        <v>0</v>
      </c>
      <c r="Q533" s="86">
        <f t="shared" si="159"/>
        <v>0</v>
      </c>
      <c r="R533" s="86">
        <f t="shared" si="160"/>
        <v>0</v>
      </c>
      <c r="S533" s="86">
        <f t="shared" si="161"/>
        <v>0</v>
      </c>
      <c r="T533" s="86">
        <f t="shared" si="162"/>
        <v>16665.990000000002</v>
      </c>
      <c r="U533" s="87">
        <v>16665.990000000002</v>
      </c>
    </row>
    <row r="534" spans="1:21" s="30" customFormat="1" ht="24.6" hidden="1" outlineLevel="1" x14ac:dyDescent="0.55000000000000004">
      <c r="A534" s="27" t="s">
        <v>327</v>
      </c>
      <c r="B534" s="28"/>
      <c r="C534" s="27"/>
      <c r="D534" s="27" t="str">
        <f>"""NAV Direct"",""CRONUS JetCorp USA"",""21"",""1"",""373752"""</f>
        <v>"NAV Direct","CRONUS JetCorp USA","21","1","373752"</v>
      </c>
      <c r="E534" s="31" t="str">
        <f t="shared" si="154"/>
        <v>C100026</v>
      </c>
      <c r="F534" s="31"/>
      <c r="G534" s="31"/>
      <c r="H534" s="31"/>
      <c r="I534" s="56"/>
      <c r="J534" s="56"/>
      <c r="K534" s="82" t="str">
        <f t="shared" si="155"/>
        <v>Invoice</v>
      </c>
      <c r="L534" s="83" t="str">
        <f>"SI_111640"</f>
        <v>SI_111640</v>
      </c>
      <c r="M534" s="84">
        <v>43235</v>
      </c>
      <c r="N534" s="85">
        <f t="shared" si="156"/>
        <v>577</v>
      </c>
      <c r="O534" s="86">
        <f t="shared" si="157"/>
        <v>16487.849999999999</v>
      </c>
      <c r="P534" s="86">
        <f t="shared" si="158"/>
        <v>0</v>
      </c>
      <c r="Q534" s="86">
        <f t="shared" si="159"/>
        <v>0</v>
      </c>
      <c r="R534" s="86">
        <f t="shared" si="160"/>
        <v>0</v>
      </c>
      <c r="S534" s="86">
        <f t="shared" si="161"/>
        <v>0</v>
      </c>
      <c r="T534" s="86">
        <f t="shared" si="162"/>
        <v>16487.849999999999</v>
      </c>
      <c r="U534" s="87">
        <v>16487.849999999999</v>
      </c>
    </row>
    <row r="535" spans="1:21" s="30" customFormat="1" ht="24.6" hidden="1" outlineLevel="1" x14ac:dyDescent="0.55000000000000004">
      <c r="A535" s="27" t="s">
        <v>327</v>
      </c>
      <c r="B535" s="28"/>
      <c r="C535" s="27"/>
      <c r="D535" s="27" t="str">
        <f>"""NAV Direct"",""CRONUS JetCorp USA"",""21"",""1"",""374186"""</f>
        <v>"NAV Direct","CRONUS JetCorp USA","21","1","374186"</v>
      </c>
      <c r="E535" s="31">
        <f t="shared" si="154"/>
        <v>0</v>
      </c>
      <c r="F535" s="31"/>
      <c r="G535" s="31"/>
      <c r="H535" s="31"/>
      <c r="I535" s="56"/>
      <c r="J535" s="56"/>
      <c r="K535" s="82" t="str">
        <f t="shared" si="155"/>
        <v>Invoice</v>
      </c>
      <c r="L535" s="83" t="str">
        <f>"SI_111652"</f>
        <v>SI_111652</v>
      </c>
      <c r="M535" s="84">
        <v>43362</v>
      </c>
      <c r="N535" s="85">
        <f t="shared" si="156"/>
        <v>450</v>
      </c>
      <c r="O535" s="86">
        <f t="shared" si="157"/>
        <v>17878.39</v>
      </c>
      <c r="P535" s="86">
        <f t="shared" si="158"/>
        <v>0</v>
      </c>
      <c r="Q535" s="86">
        <f t="shared" si="159"/>
        <v>0</v>
      </c>
      <c r="R535" s="86">
        <f t="shared" si="160"/>
        <v>0</v>
      </c>
      <c r="S535" s="86">
        <f t="shared" si="161"/>
        <v>0</v>
      </c>
      <c r="T535" s="86">
        <f t="shared" si="162"/>
        <v>17878.39</v>
      </c>
      <c r="U535" s="87">
        <v>17878.39</v>
      </c>
    </row>
    <row r="536" spans="1:21" s="30" customFormat="1" ht="24.6" hidden="1" outlineLevel="1" x14ac:dyDescent="0.55000000000000004">
      <c r="A536" s="27" t="s">
        <v>327</v>
      </c>
      <c r="B536" s="28"/>
      <c r="C536" s="27"/>
      <c r="D536" s="27" t="str">
        <f>"""NAV Direct"",""CRONUS JetCorp USA"",""21"",""1"",""374385"""</f>
        <v>"NAV Direct","CRONUS JetCorp USA","21","1","374385"</v>
      </c>
      <c r="E536" s="31" t="str">
        <f t="shared" si="154"/>
        <v>C100026</v>
      </c>
      <c r="F536" s="31"/>
      <c r="G536" s="31"/>
      <c r="H536" s="31"/>
      <c r="I536" s="56"/>
      <c r="J536" s="56"/>
      <c r="K536" s="82" t="str">
        <f t="shared" si="155"/>
        <v>Invoice</v>
      </c>
      <c r="L536" s="83" t="str">
        <f>"SI_111657"</f>
        <v>SI_111657</v>
      </c>
      <c r="M536" s="84">
        <v>43411</v>
      </c>
      <c r="N536" s="85">
        <f t="shared" si="156"/>
        <v>401</v>
      </c>
      <c r="O536" s="86">
        <f t="shared" si="157"/>
        <v>18674.219999999998</v>
      </c>
      <c r="P536" s="86">
        <f t="shared" si="158"/>
        <v>0</v>
      </c>
      <c r="Q536" s="86">
        <f t="shared" si="159"/>
        <v>0</v>
      </c>
      <c r="R536" s="86">
        <f t="shared" si="160"/>
        <v>0</v>
      </c>
      <c r="S536" s="86">
        <f t="shared" si="161"/>
        <v>0</v>
      </c>
      <c r="T536" s="86">
        <f t="shared" si="162"/>
        <v>18674.219999999998</v>
      </c>
      <c r="U536" s="87">
        <v>18674.219999999998</v>
      </c>
    </row>
    <row r="537" spans="1:21" s="30" customFormat="1" ht="24.6" hidden="1" outlineLevel="1" x14ac:dyDescent="0.55000000000000004">
      <c r="A537" s="27" t="s">
        <v>327</v>
      </c>
      <c r="B537" s="28"/>
      <c r="C537" s="27"/>
      <c r="D537" s="27" t="str">
        <f>"""NAV Direct"",""CRONUS JetCorp USA"",""21"",""1"",""374570"""</f>
        <v>"NAV Direct","CRONUS JetCorp USA","21","1","374570"</v>
      </c>
      <c r="E537" s="31">
        <f t="shared" si="154"/>
        <v>0</v>
      </c>
      <c r="F537" s="31"/>
      <c r="G537" s="31"/>
      <c r="H537" s="31"/>
      <c r="I537" s="56"/>
      <c r="J537" s="56"/>
      <c r="K537" s="82" t="str">
        <f t="shared" si="155"/>
        <v>Invoice</v>
      </c>
      <c r="L537" s="83" t="str">
        <f>"SI_111662"</f>
        <v>SI_111662</v>
      </c>
      <c r="M537" s="84">
        <v>43462</v>
      </c>
      <c r="N537" s="85">
        <f t="shared" si="156"/>
        <v>350</v>
      </c>
      <c r="O537" s="86">
        <f t="shared" si="157"/>
        <v>13737.239999999998</v>
      </c>
      <c r="P537" s="86">
        <f t="shared" si="158"/>
        <v>0</v>
      </c>
      <c r="Q537" s="86">
        <f t="shared" si="159"/>
        <v>0</v>
      </c>
      <c r="R537" s="86">
        <f t="shared" si="160"/>
        <v>0</v>
      </c>
      <c r="S537" s="86">
        <f t="shared" si="161"/>
        <v>0</v>
      </c>
      <c r="T537" s="86">
        <f t="shared" si="162"/>
        <v>13737.239999999998</v>
      </c>
      <c r="U537" s="87">
        <v>13737.239999999998</v>
      </c>
    </row>
    <row r="538" spans="1:21" s="30" customFormat="1" ht="24.6" hidden="1" outlineLevel="1" x14ac:dyDescent="0.55000000000000004">
      <c r="A538" s="27" t="s">
        <v>327</v>
      </c>
      <c r="B538" s="28"/>
      <c r="C538" s="27"/>
      <c r="D538" s="27" t="str">
        <f>"""NAV Direct"",""CRONUS JetCorp USA"",""21"",""1"",""374642"""</f>
        <v>"NAV Direct","CRONUS JetCorp USA","21","1","374642"</v>
      </c>
      <c r="E538" s="31" t="str">
        <f t="shared" si="154"/>
        <v>C100026</v>
      </c>
      <c r="F538" s="31"/>
      <c r="G538" s="31"/>
      <c r="H538" s="31"/>
      <c r="I538" s="56"/>
      <c r="J538" s="56"/>
      <c r="K538" s="82" t="str">
        <f t="shared" si="155"/>
        <v>Invoice</v>
      </c>
      <c r="L538" s="83" t="str">
        <f>"SI_111664"</f>
        <v>SI_111664</v>
      </c>
      <c r="M538" s="84">
        <v>43474</v>
      </c>
      <c r="N538" s="85">
        <f t="shared" si="156"/>
        <v>338</v>
      </c>
      <c r="O538" s="86">
        <f t="shared" si="157"/>
        <v>14044.94</v>
      </c>
      <c r="P538" s="86">
        <f t="shared" si="158"/>
        <v>0</v>
      </c>
      <c r="Q538" s="86">
        <f t="shared" si="159"/>
        <v>0</v>
      </c>
      <c r="R538" s="86">
        <f t="shared" si="160"/>
        <v>0</v>
      </c>
      <c r="S538" s="86">
        <f t="shared" si="161"/>
        <v>0</v>
      </c>
      <c r="T538" s="86">
        <f t="shared" si="162"/>
        <v>14044.94</v>
      </c>
      <c r="U538" s="87">
        <v>14044.94</v>
      </c>
    </row>
    <row r="539" spans="1:21" s="30" customFormat="1" ht="24.6" hidden="1" outlineLevel="1" x14ac:dyDescent="0.55000000000000004">
      <c r="A539" s="27" t="s">
        <v>327</v>
      </c>
      <c r="B539" s="28"/>
      <c r="C539" s="27"/>
      <c r="D539" s="27" t="str">
        <f>"""NAV Direct"",""CRONUS JetCorp USA"",""21"",""1"",""374824"""</f>
        <v>"NAV Direct","CRONUS JetCorp USA","21","1","374824"</v>
      </c>
      <c r="E539" s="31">
        <f t="shared" si="154"/>
        <v>0</v>
      </c>
      <c r="F539" s="31"/>
      <c r="G539" s="31"/>
      <c r="H539" s="31"/>
      <c r="I539" s="56"/>
      <c r="J539" s="56"/>
      <c r="K539" s="82" t="str">
        <f t="shared" si="155"/>
        <v>Invoice</v>
      </c>
      <c r="L539" s="83" t="str">
        <f>"SI_111670"</f>
        <v>SI_111670</v>
      </c>
      <c r="M539" s="84">
        <v>43539</v>
      </c>
      <c r="N539" s="85">
        <f t="shared" si="156"/>
        <v>273</v>
      </c>
      <c r="O539" s="86">
        <f t="shared" si="157"/>
        <v>15958.97</v>
      </c>
      <c r="P539" s="86">
        <f t="shared" si="158"/>
        <v>0</v>
      </c>
      <c r="Q539" s="86">
        <f t="shared" si="159"/>
        <v>0</v>
      </c>
      <c r="R539" s="86">
        <f t="shared" si="160"/>
        <v>0</v>
      </c>
      <c r="S539" s="86">
        <f t="shared" si="161"/>
        <v>0</v>
      </c>
      <c r="T539" s="86">
        <f t="shared" si="162"/>
        <v>15958.97</v>
      </c>
      <c r="U539" s="87">
        <v>15958.97</v>
      </c>
    </row>
    <row r="540" spans="1:21" s="30" customFormat="1" ht="24.6" hidden="1" outlineLevel="1" x14ac:dyDescent="0.55000000000000004">
      <c r="A540" s="27" t="s">
        <v>327</v>
      </c>
      <c r="B540" s="28"/>
      <c r="C540" s="27"/>
      <c r="D540" s="27" t="str">
        <f>"""NAV Direct"",""CRONUS JetCorp USA"",""21"",""1"",""374966"""</f>
        <v>"NAV Direct","CRONUS JetCorp USA","21","1","374966"</v>
      </c>
      <c r="E540" s="31" t="str">
        <f t="shared" si="154"/>
        <v>C100026</v>
      </c>
      <c r="F540" s="31"/>
      <c r="G540" s="31"/>
      <c r="H540" s="31"/>
      <c r="I540" s="56"/>
      <c r="J540" s="56"/>
      <c r="K540" s="82" t="str">
        <f t="shared" si="155"/>
        <v>Invoice</v>
      </c>
      <c r="L540" s="83" t="str">
        <f>"SI_111674"</f>
        <v>SI_111674</v>
      </c>
      <c r="M540" s="84">
        <v>43570</v>
      </c>
      <c r="N540" s="85">
        <f t="shared" si="156"/>
        <v>242</v>
      </c>
      <c r="O540" s="86">
        <f t="shared" si="157"/>
        <v>18947.34</v>
      </c>
      <c r="P540" s="86">
        <f t="shared" si="158"/>
        <v>0</v>
      </c>
      <c r="Q540" s="86">
        <f t="shared" si="159"/>
        <v>0</v>
      </c>
      <c r="R540" s="86">
        <f t="shared" si="160"/>
        <v>0</v>
      </c>
      <c r="S540" s="86">
        <f t="shared" si="161"/>
        <v>0</v>
      </c>
      <c r="T540" s="86">
        <f t="shared" si="162"/>
        <v>18947.34</v>
      </c>
      <c r="U540" s="87">
        <v>18947.34</v>
      </c>
    </row>
    <row r="541" spans="1:21" s="30" customFormat="1" ht="24.6" hidden="1" outlineLevel="1" x14ac:dyDescent="0.55000000000000004">
      <c r="A541" s="27" t="s">
        <v>327</v>
      </c>
      <c r="B541" s="28"/>
      <c r="C541" s="27"/>
      <c r="D541" s="27" t="str">
        <f>"""NAV Direct"",""CRONUS JetCorp USA"",""21"",""1"",""375183"""</f>
        <v>"NAV Direct","CRONUS JetCorp USA","21","1","375183"</v>
      </c>
      <c r="E541" s="31">
        <f t="shared" si="154"/>
        <v>0</v>
      </c>
      <c r="F541" s="31"/>
      <c r="G541" s="31"/>
      <c r="H541" s="31"/>
      <c r="I541" s="56"/>
      <c r="J541" s="56"/>
      <c r="K541" s="82" t="str">
        <f t="shared" si="155"/>
        <v>Invoice</v>
      </c>
      <c r="L541" s="83" t="str">
        <f>"SI_111679"</f>
        <v>SI_111679</v>
      </c>
      <c r="M541" s="84">
        <v>43629</v>
      </c>
      <c r="N541" s="85">
        <f t="shared" si="156"/>
        <v>183</v>
      </c>
      <c r="O541" s="86">
        <f t="shared" si="157"/>
        <v>24620.16</v>
      </c>
      <c r="P541" s="86">
        <f t="shared" si="158"/>
        <v>0</v>
      </c>
      <c r="Q541" s="86">
        <f t="shared" si="159"/>
        <v>0</v>
      </c>
      <c r="R541" s="86">
        <f t="shared" si="160"/>
        <v>0</v>
      </c>
      <c r="S541" s="86">
        <f t="shared" si="161"/>
        <v>0</v>
      </c>
      <c r="T541" s="86">
        <f t="shared" si="162"/>
        <v>24620.16</v>
      </c>
      <c r="U541" s="87">
        <v>24620.16</v>
      </c>
    </row>
    <row r="542" spans="1:21" s="30" customFormat="1" ht="24.6" hidden="1" outlineLevel="1" x14ac:dyDescent="0.55000000000000004">
      <c r="A542" s="27" t="s">
        <v>327</v>
      </c>
      <c r="B542" s="28"/>
      <c r="C542" s="27"/>
      <c r="D542" s="27" t="str">
        <f>"""NAV Direct"",""CRONUS JetCorp USA"",""21"",""1"",""375234"""</f>
        <v>"NAV Direct","CRONUS JetCorp USA","21","1","375234"</v>
      </c>
      <c r="E542" s="31" t="str">
        <f t="shared" si="154"/>
        <v>C100026</v>
      </c>
      <c r="F542" s="31"/>
      <c r="G542" s="31"/>
      <c r="H542" s="31"/>
      <c r="I542" s="56"/>
      <c r="J542" s="56"/>
      <c r="K542" s="82" t="str">
        <f t="shared" si="155"/>
        <v>Invoice</v>
      </c>
      <c r="L542" s="83" t="str">
        <f>"SI_111680"</f>
        <v>SI_111680</v>
      </c>
      <c r="M542" s="84">
        <v>43652</v>
      </c>
      <c r="N542" s="85">
        <f t="shared" si="156"/>
        <v>160</v>
      </c>
      <c r="O542" s="86">
        <f t="shared" si="157"/>
        <v>27023.16</v>
      </c>
      <c r="P542" s="86">
        <f t="shared" si="158"/>
        <v>0</v>
      </c>
      <c r="Q542" s="86">
        <f t="shared" si="159"/>
        <v>0</v>
      </c>
      <c r="R542" s="86">
        <f t="shared" si="160"/>
        <v>0</v>
      </c>
      <c r="S542" s="86">
        <f t="shared" si="161"/>
        <v>0</v>
      </c>
      <c r="T542" s="86">
        <f t="shared" si="162"/>
        <v>27023.16</v>
      </c>
      <c r="U542" s="87">
        <v>27023.16</v>
      </c>
    </row>
    <row r="543" spans="1:21" s="30" customFormat="1" ht="24.6" hidden="1" outlineLevel="1" x14ac:dyDescent="0.55000000000000004">
      <c r="A543" s="27" t="s">
        <v>327</v>
      </c>
      <c r="B543" s="28"/>
      <c r="C543" s="27"/>
      <c r="D543" s="27" t="str">
        <f>"""NAV Direct"",""CRONUS JetCorp USA"",""21"",""1"",""375314"""</f>
        <v>"NAV Direct","CRONUS JetCorp USA","21","1","375314"</v>
      </c>
      <c r="E543" s="31">
        <f t="shared" si="154"/>
        <v>0</v>
      </c>
      <c r="F543" s="31"/>
      <c r="G543" s="31"/>
      <c r="H543" s="31"/>
      <c r="I543" s="56"/>
      <c r="J543" s="56"/>
      <c r="K543" s="82" t="str">
        <f t="shared" si="155"/>
        <v>Invoice</v>
      </c>
      <c r="L543" s="83" t="str">
        <f>"SI_111682"</f>
        <v>SI_111682</v>
      </c>
      <c r="M543" s="84">
        <v>43660</v>
      </c>
      <c r="N543" s="85">
        <f t="shared" si="156"/>
        <v>152</v>
      </c>
      <c r="O543" s="86">
        <f t="shared" si="157"/>
        <v>25368.549999999996</v>
      </c>
      <c r="P543" s="86">
        <f t="shared" si="158"/>
        <v>0</v>
      </c>
      <c r="Q543" s="86">
        <f t="shared" si="159"/>
        <v>0</v>
      </c>
      <c r="R543" s="86">
        <f t="shared" si="160"/>
        <v>0</v>
      </c>
      <c r="S543" s="86">
        <f t="shared" si="161"/>
        <v>0</v>
      </c>
      <c r="T543" s="86">
        <f t="shared" si="162"/>
        <v>25368.549999999996</v>
      </c>
      <c r="U543" s="87">
        <v>25368.549999999996</v>
      </c>
    </row>
    <row r="544" spans="1:21" s="30" customFormat="1" ht="24.6" hidden="1" outlineLevel="1" x14ac:dyDescent="0.55000000000000004">
      <c r="A544" s="27" t="s">
        <v>327</v>
      </c>
      <c r="B544" s="28"/>
      <c r="C544" s="27"/>
      <c r="D544" s="27" t="str">
        <f>"""NAV Direct"",""CRONUS JetCorp USA"",""21"",""1"",""375400"""</f>
        <v>"NAV Direct","CRONUS JetCorp USA","21","1","375400"</v>
      </c>
      <c r="E544" s="31" t="str">
        <f t="shared" si="154"/>
        <v>C100026</v>
      </c>
      <c r="F544" s="31"/>
      <c r="G544" s="31"/>
      <c r="H544" s="31"/>
      <c r="I544" s="56"/>
      <c r="J544" s="56"/>
      <c r="K544" s="82" t="str">
        <f t="shared" si="155"/>
        <v>Invoice</v>
      </c>
      <c r="L544" s="83" t="str">
        <f>"SI_111684"</f>
        <v>SI_111684</v>
      </c>
      <c r="M544" s="84">
        <v>43684</v>
      </c>
      <c r="N544" s="85">
        <f t="shared" si="156"/>
        <v>128</v>
      </c>
      <c r="O544" s="86">
        <f t="shared" si="157"/>
        <v>19367.63</v>
      </c>
      <c r="P544" s="86">
        <f t="shared" si="158"/>
        <v>0</v>
      </c>
      <c r="Q544" s="86">
        <f t="shared" si="159"/>
        <v>0</v>
      </c>
      <c r="R544" s="86">
        <f t="shared" si="160"/>
        <v>0</v>
      </c>
      <c r="S544" s="86">
        <f t="shared" si="161"/>
        <v>0</v>
      </c>
      <c r="T544" s="86">
        <f t="shared" si="162"/>
        <v>19367.63</v>
      </c>
      <c r="U544" s="87">
        <v>19367.63</v>
      </c>
    </row>
    <row r="545" spans="1:21" s="30" customFormat="1" ht="24.6" hidden="1" outlineLevel="1" x14ac:dyDescent="0.55000000000000004">
      <c r="A545" s="27" t="s">
        <v>327</v>
      </c>
      <c r="B545" s="28"/>
      <c r="C545" s="27"/>
      <c r="D545" s="27" t="str">
        <f>"""NAV Direct"",""CRONUS JetCorp USA"",""21"",""1"",""375613"""</f>
        <v>"NAV Direct","CRONUS JetCorp USA","21","1","375613"</v>
      </c>
      <c r="E545" s="31">
        <f t="shared" si="154"/>
        <v>0</v>
      </c>
      <c r="F545" s="31"/>
      <c r="G545" s="31"/>
      <c r="H545" s="31"/>
      <c r="I545" s="56"/>
      <c r="J545" s="56"/>
      <c r="K545" s="82" t="str">
        <f t="shared" si="155"/>
        <v>Invoice</v>
      </c>
      <c r="L545" s="83" t="str">
        <f>"SI_111689"</f>
        <v>SI_111689</v>
      </c>
      <c r="M545" s="84">
        <v>43756</v>
      </c>
      <c r="N545" s="85">
        <f t="shared" si="156"/>
        <v>56</v>
      </c>
      <c r="O545" s="86">
        <f t="shared" si="157"/>
        <v>17260.260000000002</v>
      </c>
      <c r="P545" s="86">
        <f t="shared" si="158"/>
        <v>0</v>
      </c>
      <c r="Q545" s="86">
        <f t="shared" si="159"/>
        <v>0</v>
      </c>
      <c r="R545" s="86">
        <f t="shared" si="160"/>
        <v>17260.260000000002</v>
      </c>
      <c r="S545" s="86">
        <f t="shared" si="161"/>
        <v>0</v>
      </c>
      <c r="T545" s="86">
        <f t="shared" si="162"/>
        <v>0</v>
      </c>
      <c r="U545" s="87">
        <v>17260.260000000002</v>
      </c>
    </row>
    <row r="546" spans="1:21" s="30" customFormat="1" ht="24.6" hidden="1" outlineLevel="1" x14ac:dyDescent="0.55000000000000004">
      <c r="A546" s="27" t="s">
        <v>327</v>
      </c>
      <c r="B546" s="28"/>
      <c r="C546" s="27"/>
      <c r="D546" s="27" t="str">
        <f>"""NAV Direct"",""CRONUS JetCorp USA"",""21"",""1"",""375730"""</f>
        <v>"NAV Direct","CRONUS JetCorp USA","21","1","375730"</v>
      </c>
      <c r="E546" s="31" t="str">
        <f t="shared" si="154"/>
        <v>C100026</v>
      </c>
      <c r="F546" s="31"/>
      <c r="G546" s="31"/>
      <c r="H546" s="31"/>
      <c r="I546" s="56"/>
      <c r="J546" s="56"/>
      <c r="K546" s="82" t="str">
        <f t="shared" si="155"/>
        <v>Invoice</v>
      </c>
      <c r="L546" s="83" t="str">
        <f>"SI_111692"</f>
        <v>SI_111692</v>
      </c>
      <c r="M546" s="84">
        <v>43794</v>
      </c>
      <c r="N546" s="85">
        <f t="shared" si="156"/>
        <v>18</v>
      </c>
      <c r="O546" s="86">
        <f t="shared" si="157"/>
        <v>18853.18</v>
      </c>
      <c r="P546" s="86">
        <f t="shared" si="158"/>
        <v>0</v>
      </c>
      <c r="Q546" s="86">
        <f t="shared" si="159"/>
        <v>18853.18</v>
      </c>
      <c r="R546" s="86">
        <f t="shared" si="160"/>
        <v>0</v>
      </c>
      <c r="S546" s="86">
        <f t="shared" si="161"/>
        <v>0</v>
      </c>
      <c r="T546" s="86">
        <f t="shared" si="162"/>
        <v>0</v>
      </c>
      <c r="U546" s="87">
        <v>18853.18</v>
      </c>
    </row>
    <row r="547" spans="1:21" s="30" customFormat="1" ht="24.6" hidden="1" outlineLevel="1" x14ac:dyDescent="0.55000000000000004">
      <c r="A547" s="27" t="s">
        <v>327</v>
      </c>
      <c r="B547" s="28"/>
      <c r="C547" s="27"/>
      <c r="D547" s="27" t="str">
        <f>"""NAV Direct"",""CRONUS JetCorp USA"",""21"",""1"",""375771"""</f>
        <v>"NAV Direct","CRONUS JetCorp USA","21","1","375771"</v>
      </c>
      <c r="E547" s="31">
        <f t="shared" si="154"/>
        <v>0</v>
      </c>
      <c r="F547" s="31"/>
      <c r="G547" s="31"/>
      <c r="H547" s="31"/>
      <c r="I547" s="56"/>
      <c r="J547" s="56"/>
      <c r="K547" s="82" t="str">
        <f t="shared" si="155"/>
        <v>Invoice</v>
      </c>
      <c r="L547" s="83" t="str">
        <f>"SI_111693"</f>
        <v>SI_111693</v>
      </c>
      <c r="M547" s="84">
        <v>43808</v>
      </c>
      <c r="N547" s="85">
        <f t="shared" si="156"/>
        <v>4</v>
      </c>
      <c r="O547" s="86">
        <f t="shared" si="157"/>
        <v>19349.8</v>
      </c>
      <c r="P547" s="86">
        <f t="shared" si="158"/>
        <v>0</v>
      </c>
      <c r="Q547" s="86">
        <f t="shared" si="159"/>
        <v>19349.8</v>
      </c>
      <c r="R547" s="86">
        <f t="shared" si="160"/>
        <v>0</v>
      </c>
      <c r="S547" s="86">
        <f t="shared" si="161"/>
        <v>0</v>
      </c>
      <c r="T547" s="86">
        <f t="shared" si="162"/>
        <v>0</v>
      </c>
      <c r="U547" s="87">
        <v>19349.8</v>
      </c>
    </row>
    <row r="548" spans="1:21" s="30" customFormat="1" ht="24.6" hidden="1" outlineLevel="1" x14ac:dyDescent="0.55000000000000004">
      <c r="A548" s="27" t="s">
        <v>327</v>
      </c>
      <c r="B548" s="28"/>
      <c r="C548" s="27"/>
      <c r="D548" s="27" t="str">
        <f>"""NAV Direct"",""CRONUS JetCorp USA"",""21"",""1"",""375818"""</f>
        <v>"NAV Direct","CRONUS JetCorp USA","21","1","375818"</v>
      </c>
      <c r="E548" s="31" t="str">
        <f t="shared" si="154"/>
        <v>C100026</v>
      </c>
      <c r="F548" s="31"/>
      <c r="G548" s="31"/>
      <c r="H548" s="31"/>
      <c r="I548" s="56"/>
      <c r="J548" s="56"/>
      <c r="K548" s="82" t="str">
        <f t="shared" si="155"/>
        <v>Invoice</v>
      </c>
      <c r="L548" s="83" t="str">
        <f>"SI_111694"</f>
        <v>SI_111694</v>
      </c>
      <c r="M548" s="84">
        <v>43810</v>
      </c>
      <c r="N548" s="85">
        <f t="shared" si="156"/>
        <v>2</v>
      </c>
      <c r="O548" s="86">
        <f t="shared" si="157"/>
        <v>19967</v>
      </c>
      <c r="P548" s="86">
        <f t="shared" si="158"/>
        <v>0</v>
      </c>
      <c r="Q548" s="86">
        <f t="shared" si="159"/>
        <v>19967</v>
      </c>
      <c r="R548" s="86">
        <f t="shared" si="160"/>
        <v>0</v>
      </c>
      <c r="S548" s="86">
        <f t="shared" si="161"/>
        <v>0</v>
      </c>
      <c r="T548" s="86">
        <f t="shared" si="162"/>
        <v>0</v>
      </c>
      <c r="U548" s="87">
        <v>19967</v>
      </c>
    </row>
    <row r="549" spans="1:21" s="30" customFormat="1" ht="24.6" hidden="1" outlineLevel="1" x14ac:dyDescent="0.55000000000000004">
      <c r="A549" s="27" t="s">
        <v>327</v>
      </c>
      <c r="B549" s="28"/>
      <c r="C549" s="27"/>
      <c r="D549" s="27" t="str">
        <f>"""NAV Direct"",""CRONUS JetCorp USA"",""21"",""1"",""375988"""</f>
        <v>"NAV Direct","CRONUS JetCorp USA","21","1","375988"</v>
      </c>
      <c r="E549" s="31">
        <f t="shared" si="154"/>
        <v>0</v>
      </c>
      <c r="F549" s="31"/>
      <c r="G549" s="31"/>
      <c r="H549" s="31"/>
      <c r="I549" s="56"/>
      <c r="J549" s="56"/>
      <c r="K549" s="82" t="str">
        <f t="shared" si="155"/>
        <v>Invoice</v>
      </c>
      <c r="L549" s="83" t="str">
        <f>"SI_111698"</f>
        <v>SI_111698</v>
      </c>
      <c r="M549" s="84">
        <v>42016</v>
      </c>
      <c r="N549" s="85">
        <f t="shared" si="156"/>
        <v>1796</v>
      </c>
      <c r="O549" s="86">
        <f t="shared" si="157"/>
        <v>21025.62</v>
      </c>
      <c r="P549" s="86">
        <f t="shared" si="158"/>
        <v>0</v>
      </c>
      <c r="Q549" s="86">
        <f t="shared" si="159"/>
        <v>0</v>
      </c>
      <c r="R549" s="86">
        <f t="shared" si="160"/>
        <v>0</v>
      </c>
      <c r="S549" s="86">
        <f t="shared" si="161"/>
        <v>0</v>
      </c>
      <c r="T549" s="86">
        <f t="shared" si="162"/>
        <v>21025.62</v>
      </c>
      <c r="U549" s="87">
        <v>21025.62</v>
      </c>
    </row>
    <row r="550" spans="1:21" s="30" customFormat="1" ht="24.6" hidden="1" outlineLevel="1" x14ac:dyDescent="0.55000000000000004">
      <c r="A550" s="27" t="s">
        <v>327</v>
      </c>
      <c r="B550" s="28"/>
      <c r="C550" s="27"/>
      <c r="D550" s="27" t="str">
        <f>"""NAV Direct"",""CRONUS JetCorp USA"",""21"",""1"",""376087"""</f>
        <v>"NAV Direct","CRONUS JetCorp USA","21","1","376087"</v>
      </c>
      <c r="E550" s="31" t="str">
        <f t="shared" si="154"/>
        <v>C100026</v>
      </c>
      <c r="F550" s="31"/>
      <c r="G550" s="31"/>
      <c r="H550" s="31"/>
      <c r="I550" s="56"/>
      <c r="J550" s="56"/>
      <c r="K550" s="82" t="str">
        <f t="shared" si="155"/>
        <v>Invoice</v>
      </c>
      <c r="L550" s="83" t="str">
        <f>"SI_111701"</f>
        <v>SI_111701</v>
      </c>
      <c r="M550" s="84">
        <v>42049</v>
      </c>
      <c r="N550" s="85">
        <f t="shared" si="156"/>
        <v>1763</v>
      </c>
      <c r="O550" s="86">
        <f t="shared" si="157"/>
        <v>20563.190000000002</v>
      </c>
      <c r="P550" s="86">
        <f t="shared" si="158"/>
        <v>0</v>
      </c>
      <c r="Q550" s="86">
        <f t="shared" si="159"/>
        <v>0</v>
      </c>
      <c r="R550" s="86">
        <f t="shared" si="160"/>
        <v>0</v>
      </c>
      <c r="S550" s="86">
        <f t="shared" si="161"/>
        <v>0</v>
      </c>
      <c r="T550" s="86">
        <f t="shared" si="162"/>
        <v>20563.190000000002</v>
      </c>
      <c r="U550" s="87">
        <v>20563.190000000002</v>
      </c>
    </row>
    <row r="551" spans="1:21" s="30" customFormat="1" ht="24.6" hidden="1" outlineLevel="1" x14ac:dyDescent="0.55000000000000004">
      <c r="A551" s="27" t="s">
        <v>327</v>
      </c>
      <c r="B551" s="28"/>
      <c r="C551" s="27"/>
      <c r="D551" s="27" t="str">
        <f>"""NAV Direct"",""CRONUS JetCorp USA"",""21"",""1"",""376276"""</f>
        <v>"NAV Direct","CRONUS JetCorp USA","21","1","376276"</v>
      </c>
      <c r="E551" s="31">
        <f t="shared" si="154"/>
        <v>0</v>
      </c>
      <c r="F551" s="31"/>
      <c r="G551" s="31"/>
      <c r="H551" s="31"/>
      <c r="I551" s="56"/>
      <c r="J551" s="56"/>
      <c r="K551" s="82" t="str">
        <f t="shared" si="155"/>
        <v>Invoice</v>
      </c>
      <c r="L551" s="83" t="str">
        <f>"SI_111706"</f>
        <v>SI_111706</v>
      </c>
      <c r="M551" s="84">
        <v>42127</v>
      </c>
      <c r="N551" s="85">
        <f t="shared" si="156"/>
        <v>1685</v>
      </c>
      <c r="O551" s="86">
        <f t="shared" si="157"/>
        <v>22359.72</v>
      </c>
      <c r="P551" s="86">
        <f t="shared" si="158"/>
        <v>0</v>
      </c>
      <c r="Q551" s="86">
        <f t="shared" si="159"/>
        <v>0</v>
      </c>
      <c r="R551" s="86">
        <f t="shared" si="160"/>
        <v>0</v>
      </c>
      <c r="S551" s="86">
        <f t="shared" si="161"/>
        <v>0</v>
      </c>
      <c r="T551" s="86">
        <f t="shared" si="162"/>
        <v>22359.72</v>
      </c>
      <c r="U551" s="87">
        <v>22359.72</v>
      </c>
    </row>
    <row r="552" spans="1:21" s="30" customFormat="1" ht="24.6" hidden="1" outlineLevel="1" x14ac:dyDescent="0.55000000000000004">
      <c r="A552" s="27" t="s">
        <v>327</v>
      </c>
      <c r="B552" s="28"/>
      <c r="C552" s="27"/>
      <c r="D552" s="27" t="str">
        <f>"""NAV Direct"",""CRONUS JetCorp USA"",""21"",""1"",""376417"""</f>
        <v>"NAV Direct","CRONUS JetCorp USA","21","1","376417"</v>
      </c>
      <c r="E552" s="31" t="str">
        <f t="shared" si="154"/>
        <v>C100026</v>
      </c>
      <c r="F552" s="31"/>
      <c r="G552" s="31"/>
      <c r="H552" s="31"/>
      <c r="I552" s="56"/>
      <c r="J552" s="56"/>
      <c r="K552" s="82" t="str">
        <f t="shared" si="155"/>
        <v>Invoice</v>
      </c>
      <c r="L552" s="83" t="str">
        <f>"SI_111709"</f>
        <v>SI_111709</v>
      </c>
      <c r="M552" s="84">
        <v>42141</v>
      </c>
      <c r="N552" s="85">
        <f t="shared" si="156"/>
        <v>1671</v>
      </c>
      <c r="O552" s="86">
        <f t="shared" si="157"/>
        <v>22836.43</v>
      </c>
      <c r="P552" s="86">
        <f t="shared" si="158"/>
        <v>0</v>
      </c>
      <c r="Q552" s="86">
        <f t="shared" si="159"/>
        <v>0</v>
      </c>
      <c r="R552" s="86">
        <f t="shared" si="160"/>
        <v>0</v>
      </c>
      <c r="S552" s="86">
        <f t="shared" si="161"/>
        <v>0</v>
      </c>
      <c r="T552" s="86">
        <f t="shared" si="162"/>
        <v>22836.43</v>
      </c>
      <c r="U552" s="87">
        <v>22836.43</v>
      </c>
    </row>
    <row r="553" spans="1:21" s="30" customFormat="1" ht="24.6" hidden="1" outlineLevel="1" x14ac:dyDescent="0.55000000000000004">
      <c r="A553" s="27" t="s">
        <v>327</v>
      </c>
      <c r="B553" s="28"/>
      <c r="C553" s="27"/>
      <c r="D553" s="27" t="str">
        <f>"""NAV Direct"",""CRONUS JetCorp USA"",""21"",""1"",""376948"""</f>
        <v>"NAV Direct","CRONUS JetCorp USA","21","1","376948"</v>
      </c>
      <c r="E553" s="31">
        <f t="shared" si="154"/>
        <v>0</v>
      </c>
      <c r="F553" s="31"/>
      <c r="G553" s="31"/>
      <c r="H553" s="31"/>
      <c r="I553" s="56"/>
      <c r="J553" s="56"/>
      <c r="K553" s="82" t="str">
        <f t="shared" si="155"/>
        <v>Invoice</v>
      </c>
      <c r="L553" s="83" t="str">
        <f>"SI_111722"</f>
        <v>SI_111722</v>
      </c>
      <c r="M553" s="84">
        <v>42326</v>
      </c>
      <c r="N553" s="85">
        <f t="shared" si="156"/>
        <v>1486</v>
      </c>
      <c r="O553" s="86">
        <f t="shared" si="157"/>
        <v>18156.080000000002</v>
      </c>
      <c r="P553" s="86">
        <f t="shared" si="158"/>
        <v>0</v>
      </c>
      <c r="Q553" s="86">
        <f t="shared" si="159"/>
        <v>0</v>
      </c>
      <c r="R553" s="86">
        <f t="shared" si="160"/>
        <v>0</v>
      </c>
      <c r="S553" s="86">
        <f t="shared" si="161"/>
        <v>0</v>
      </c>
      <c r="T553" s="86">
        <f t="shared" si="162"/>
        <v>18156.080000000002</v>
      </c>
      <c r="U553" s="87">
        <v>18156.080000000002</v>
      </c>
    </row>
    <row r="554" spans="1:21" s="30" customFormat="1" ht="24.6" hidden="1" outlineLevel="1" x14ac:dyDescent="0.55000000000000004">
      <c r="A554" s="27" t="s">
        <v>327</v>
      </c>
      <c r="B554" s="28"/>
      <c r="C554" s="27"/>
      <c r="D554" s="27" t="str">
        <f>"""NAV Direct"",""CRONUS JetCorp USA"",""21"",""1"",""377061"""</f>
        <v>"NAV Direct","CRONUS JetCorp USA","21","1","377061"</v>
      </c>
      <c r="E554" s="31" t="str">
        <f t="shared" si="154"/>
        <v>C100026</v>
      </c>
      <c r="F554" s="31"/>
      <c r="G554" s="31"/>
      <c r="H554" s="31"/>
      <c r="I554" s="56"/>
      <c r="J554" s="56"/>
      <c r="K554" s="82" t="str">
        <f t="shared" si="155"/>
        <v>Invoice</v>
      </c>
      <c r="L554" s="83" t="str">
        <f>"SI_111725"</f>
        <v>SI_111725</v>
      </c>
      <c r="M554" s="84">
        <v>42347</v>
      </c>
      <c r="N554" s="85">
        <f t="shared" si="156"/>
        <v>1465</v>
      </c>
      <c r="O554" s="86">
        <f t="shared" si="157"/>
        <v>19627.54</v>
      </c>
      <c r="P554" s="86">
        <f t="shared" si="158"/>
        <v>0</v>
      </c>
      <c r="Q554" s="86">
        <f t="shared" si="159"/>
        <v>0</v>
      </c>
      <c r="R554" s="86">
        <f t="shared" si="160"/>
        <v>0</v>
      </c>
      <c r="S554" s="86">
        <f t="shared" si="161"/>
        <v>0</v>
      </c>
      <c r="T554" s="86">
        <f t="shared" si="162"/>
        <v>19627.54</v>
      </c>
      <c r="U554" s="87">
        <v>19627.54</v>
      </c>
    </row>
    <row r="555" spans="1:21" s="30" customFormat="1" ht="24.6" hidden="1" outlineLevel="1" x14ac:dyDescent="0.55000000000000004">
      <c r="A555" s="27" t="s">
        <v>327</v>
      </c>
      <c r="B555" s="28"/>
      <c r="C555" s="27"/>
      <c r="D555" s="27" t="str">
        <f>"""NAV Direct"",""CRONUS JetCorp USA"",""21"",""1"",""437443"""</f>
        <v>"NAV Direct","CRONUS JetCorp USA","21","1","437443"</v>
      </c>
      <c r="E555" s="31">
        <f t="shared" si="154"/>
        <v>0</v>
      </c>
      <c r="F555" s="31"/>
      <c r="G555" s="31"/>
      <c r="H555" s="31"/>
      <c r="I555" s="56"/>
      <c r="J555" s="56"/>
      <c r="K555" s="82" t="str">
        <f t="shared" ref="K555:K560" si="163">"Credit Memo"</f>
        <v>Credit Memo</v>
      </c>
      <c r="L555" s="83" t="str">
        <f>"SC_100747"</f>
        <v>SC_100747</v>
      </c>
      <c r="M555" s="84">
        <v>43011</v>
      </c>
      <c r="N555" s="85">
        <f t="shared" si="156"/>
        <v>801</v>
      </c>
      <c r="O555" s="86">
        <f t="shared" si="157"/>
        <v>-155.19999999999999</v>
      </c>
      <c r="P555" s="86">
        <f t="shared" si="158"/>
        <v>0</v>
      </c>
      <c r="Q555" s="86">
        <f t="shared" si="159"/>
        <v>0</v>
      </c>
      <c r="R555" s="86">
        <f t="shared" si="160"/>
        <v>0</v>
      </c>
      <c r="S555" s="86">
        <f t="shared" si="161"/>
        <v>0</v>
      </c>
      <c r="T555" s="86">
        <f t="shared" si="162"/>
        <v>-155.19999999999999</v>
      </c>
      <c r="U555" s="87">
        <v>-155.19999999999999</v>
      </c>
    </row>
    <row r="556" spans="1:21" s="30" customFormat="1" ht="24.6" hidden="1" outlineLevel="1" x14ac:dyDescent="0.55000000000000004">
      <c r="A556" s="27" t="s">
        <v>327</v>
      </c>
      <c r="B556" s="28"/>
      <c r="C556" s="27"/>
      <c r="D556" s="27" t="str">
        <f>"""NAV Direct"",""CRONUS JetCorp USA"",""21"",""1"",""437464"""</f>
        <v>"NAV Direct","CRONUS JetCorp USA","21","1","437464"</v>
      </c>
      <c r="E556" s="31" t="str">
        <f t="shared" si="154"/>
        <v>C100026</v>
      </c>
      <c r="F556" s="31"/>
      <c r="G556" s="31"/>
      <c r="H556" s="31"/>
      <c r="I556" s="56"/>
      <c r="J556" s="56"/>
      <c r="K556" s="82" t="str">
        <f t="shared" si="163"/>
        <v>Credit Memo</v>
      </c>
      <c r="L556" s="83" t="str">
        <f>"SC_100748"</f>
        <v>SC_100748</v>
      </c>
      <c r="M556" s="84">
        <v>43072</v>
      </c>
      <c r="N556" s="85">
        <f t="shared" si="156"/>
        <v>740</v>
      </c>
      <c r="O556" s="86">
        <f t="shared" si="157"/>
        <v>-171.63</v>
      </c>
      <c r="P556" s="86">
        <f t="shared" si="158"/>
        <v>0</v>
      </c>
      <c r="Q556" s="86">
        <f t="shared" si="159"/>
        <v>0</v>
      </c>
      <c r="R556" s="86">
        <f t="shared" si="160"/>
        <v>0</v>
      </c>
      <c r="S556" s="86">
        <f t="shared" si="161"/>
        <v>0</v>
      </c>
      <c r="T556" s="86">
        <f t="shared" si="162"/>
        <v>-171.63</v>
      </c>
      <c r="U556" s="87">
        <v>-171.63</v>
      </c>
    </row>
    <row r="557" spans="1:21" s="30" customFormat="1" ht="24.6" hidden="1" outlineLevel="1" x14ac:dyDescent="0.55000000000000004">
      <c r="A557" s="27" t="s">
        <v>327</v>
      </c>
      <c r="B557" s="28"/>
      <c r="C557" s="27"/>
      <c r="D557" s="27" t="str">
        <f>"""NAV Direct"",""CRONUS JetCorp USA"",""21"",""1"",""437500"""</f>
        <v>"NAV Direct","CRONUS JetCorp USA","21","1","437500"</v>
      </c>
      <c r="E557" s="31">
        <f t="shared" si="154"/>
        <v>0</v>
      </c>
      <c r="F557" s="31"/>
      <c r="G557" s="31"/>
      <c r="H557" s="31"/>
      <c r="I557" s="56"/>
      <c r="J557" s="56"/>
      <c r="K557" s="82" t="str">
        <f t="shared" si="163"/>
        <v>Credit Memo</v>
      </c>
      <c r="L557" s="83" t="str">
        <f>"SC_100750"</f>
        <v>SC_100750</v>
      </c>
      <c r="M557" s="84">
        <v>43140</v>
      </c>
      <c r="N557" s="85">
        <f t="shared" si="156"/>
        <v>672</v>
      </c>
      <c r="O557" s="86">
        <f t="shared" si="157"/>
        <v>-164.53</v>
      </c>
      <c r="P557" s="86">
        <f t="shared" si="158"/>
        <v>0</v>
      </c>
      <c r="Q557" s="86">
        <f t="shared" si="159"/>
        <v>0</v>
      </c>
      <c r="R557" s="86">
        <f t="shared" si="160"/>
        <v>0</v>
      </c>
      <c r="S557" s="86">
        <f t="shared" si="161"/>
        <v>0</v>
      </c>
      <c r="T557" s="86">
        <f t="shared" si="162"/>
        <v>-164.53</v>
      </c>
      <c r="U557" s="87">
        <v>-164.53</v>
      </c>
    </row>
    <row r="558" spans="1:21" s="30" customFormat="1" ht="24.6" hidden="1" outlineLevel="1" x14ac:dyDescent="0.55000000000000004">
      <c r="A558" s="27" t="s">
        <v>327</v>
      </c>
      <c r="B558" s="28"/>
      <c r="C558" s="27"/>
      <c r="D558" s="27" t="str">
        <f>"""NAV Direct"",""CRONUS JetCorp USA"",""21"",""1"",""437676"""</f>
        <v>"NAV Direct","CRONUS JetCorp USA","21","1","437676"</v>
      </c>
      <c r="E558" s="31" t="str">
        <f t="shared" si="154"/>
        <v>C100026</v>
      </c>
      <c r="F558" s="31"/>
      <c r="G558" s="31"/>
      <c r="H558" s="31"/>
      <c r="I558" s="56"/>
      <c r="J558" s="56"/>
      <c r="K558" s="82" t="str">
        <f t="shared" si="163"/>
        <v>Credit Memo</v>
      </c>
      <c r="L558" s="83" t="str">
        <f>"SC_100762"</f>
        <v>SC_100762</v>
      </c>
      <c r="M558" s="84">
        <v>43658</v>
      </c>
      <c r="N558" s="85">
        <f t="shared" si="156"/>
        <v>154</v>
      </c>
      <c r="O558" s="86">
        <f t="shared" si="157"/>
        <v>-191.1</v>
      </c>
      <c r="P558" s="86">
        <f t="shared" si="158"/>
        <v>0</v>
      </c>
      <c r="Q558" s="86">
        <f t="shared" si="159"/>
        <v>0</v>
      </c>
      <c r="R558" s="86">
        <f t="shared" si="160"/>
        <v>0</v>
      </c>
      <c r="S558" s="86">
        <f t="shared" si="161"/>
        <v>0</v>
      </c>
      <c r="T558" s="86">
        <f t="shared" si="162"/>
        <v>-191.1</v>
      </c>
      <c r="U558" s="87">
        <v>-191.1</v>
      </c>
    </row>
    <row r="559" spans="1:21" s="30" customFormat="1" ht="24.6" hidden="1" outlineLevel="1" x14ac:dyDescent="0.55000000000000004">
      <c r="A559" s="27" t="s">
        <v>327</v>
      </c>
      <c r="B559" s="28"/>
      <c r="C559" s="27"/>
      <c r="D559" s="27" t="str">
        <f>"""NAV Direct"",""CRONUS JetCorp USA"",""21"",""1"",""437730"""</f>
        <v>"NAV Direct","CRONUS JetCorp USA","21","1","437730"</v>
      </c>
      <c r="E559" s="31">
        <f t="shared" si="154"/>
        <v>0</v>
      </c>
      <c r="F559" s="31"/>
      <c r="G559" s="31"/>
      <c r="H559" s="31"/>
      <c r="I559" s="56"/>
      <c r="J559" s="56"/>
      <c r="K559" s="82" t="str">
        <f t="shared" si="163"/>
        <v>Credit Memo</v>
      </c>
      <c r="L559" s="83" t="str">
        <f>"SC_100766"</f>
        <v>SC_100766</v>
      </c>
      <c r="M559" s="84">
        <v>43807</v>
      </c>
      <c r="N559" s="85">
        <f t="shared" si="156"/>
        <v>5</v>
      </c>
      <c r="O559" s="86">
        <f t="shared" si="157"/>
        <v>-207.54</v>
      </c>
      <c r="P559" s="86">
        <f t="shared" si="158"/>
        <v>0</v>
      </c>
      <c r="Q559" s="86">
        <f t="shared" si="159"/>
        <v>-207.54</v>
      </c>
      <c r="R559" s="86">
        <f t="shared" si="160"/>
        <v>0</v>
      </c>
      <c r="S559" s="86">
        <f t="shared" si="161"/>
        <v>0</v>
      </c>
      <c r="T559" s="86">
        <f t="shared" si="162"/>
        <v>0</v>
      </c>
      <c r="U559" s="87">
        <v>-207.54</v>
      </c>
    </row>
    <row r="560" spans="1:21" s="30" customFormat="1" ht="24.6" hidden="1" outlineLevel="1" x14ac:dyDescent="0.55000000000000004">
      <c r="A560" s="27" t="s">
        <v>327</v>
      </c>
      <c r="B560" s="28"/>
      <c r="C560" s="27"/>
      <c r="D560" s="27" t="str">
        <f>"""NAV Direct"",""CRONUS JetCorp USA"",""21"",""1"",""437777"""</f>
        <v>"NAV Direct","CRONUS JetCorp USA","21","1","437777"</v>
      </c>
      <c r="E560" s="31" t="str">
        <f t="shared" si="154"/>
        <v>C100026</v>
      </c>
      <c r="F560" s="31"/>
      <c r="G560" s="31"/>
      <c r="H560" s="31"/>
      <c r="I560" s="56"/>
      <c r="J560" s="56"/>
      <c r="K560" s="82" t="str">
        <f t="shared" si="163"/>
        <v>Credit Memo</v>
      </c>
      <c r="L560" s="83" t="str">
        <f>"SC_100769"</f>
        <v>SC_100769</v>
      </c>
      <c r="M560" s="84">
        <v>42074</v>
      </c>
      <c r="N560" s="85">
        <f t="shared" si="156"/>
        <v>1738</v>
      </c>
      <c r="O560" s="86">
        <f t="shared" si="157"/>
        <v>-194.20000000000002</v>
      </c>
      <c r="P560" s="86">
        <f t="shared" si="158"/>
        <v>0</v>
      </c>
      <c r="Q560" s="86">
        <f t="shared" si="159"/>
        <v>0</v>
      </c>
      <c r="R560" s="86">
        <f t="shared" si="160"/>
        <v>0</v>
      </c>
      <c r="S560" s="86">
        <f t="shared" si="161"/>
        <v>0</v>
      </c>
      <c r="T560" s="86">
        <f t="shared" si="162"/>
        <v>-194.20000000000002</v>
      </c>
      <c r="U560" s="87">
        <v>-194.20000000000002</v>
      </c>
    </row>
    <row r="561" spans="1:22" s="22" customFormat="1" ht="20.399999999999999" collapsed="1" x14ac:dyDescent="0.45">
      <c r="A561" s="12" t="s">
        <v>327</v>
      </c>
      <c r="B561" s="19"/>
      <c r="C561" s="12"/>
      <c r="D561" s="12"/>
      <c r="E561" s="23"/>
      <c r="F561" s="23"/>
      <c r="G561" s="23"/>
      <c r="H561" s="23"/>
      <c r="I561" s="49"/>
      <c r="J561" s="88"/>
      <c r="K561" s="88"/>
      <c r="L561" s="89"/>
      <c r="M561" s="89"/>
      <c r="N561" s="89"/>
      <c r="O561" s="89"/>
      <c r="P561" s="89"/>
      <c r="Q561" s="90"/>
      <c r="R561" s="90"/>
      <c r="S561" s="91"/>
      <c r="T561" s="92"/>
      <c r="U561" s="92"/>
    </row>
    <row r="562" spans="1:22" s="22" customFormat="1" ht="20.399999999999999" x14ac:dyDescent="0.45">
      <c r="A562" s="12" t="s">
        <v>327</v>
      </c>
      <c r="B562" s="19"/>
      <c r="C562" s="12"/>
      <c r="D562" s="12"/>
      <c r="E562" s="23"/>
      <c r="F562" s="23"/>
      <c r="G562" s="23"/>
      <c r="H562" s="23"/>
      <c r="I562" s="49"/>
      <c r="J562" s="88"/>
      <c r="K562" s="88"/>
      <c r="L562" s="89"/>
      <c r="M562" s="89"/>
      <c r="N562" s="89"/>
      <c r="O562" s="89"/>
      <c r="P562" s="89"/>
      <c r="Q562" s="90"/>
      <c r="R562" s="90"/>
      <c r="S562" s="91"/>
      <c r="T562" s="92"/>
      <c r="U562" s="92"/>
    </row>
    <row r="563" spans="1:22" s="26" customFormat="1" ht="24.6" x14ac:dyDescent="0.55000000000000004">
      <c r="A563" s="27" t="s">
        <v>327</v>
      </c>
      <c r="B563" s="28"/>
      <c r="C563" s="27" t="str">
        <f>"""NAV Direct"",""CRONUS JetCorp USA"",""18"",""1"",""C100029"""</f>
        <v>"NAV Direct","CRONUS JetCorp USA","18","1","C100029"</v>
      </c>
      <c r="D563" s="27"/>
      <c r="E563" s="28" t="str">
        <f>H563</f>
        <v>C100029</v>
      </c>
      <c r="F563" s="28"/>
      <c r="G563" s="28"/>
      <c r="H563" s="28" t="str">
        <f>"C100029"</f>
        <v>C100029</v>
      </c>
      <c r="I563" s="116" t="str">
        <f>"C100029  -  Elkhorn Airport"</f>
        <v>C100029  -  Elkhorn Airport</v>
      </c>
      <c r="J563" s="117" t="str">
        <f>""</f>
        <v/>
      </c>
      <c r="K563" s="118"/>
      <c r="L563" s="119">
        <f>SUBTOTAL(3,L564:L621)</f>
        <v>54</v>
      </c>
      <c r="M563" s="118"/>
      <c r="N563" s="118"/>
      <c r="O563" s="120">
        <f t="shared" ref="O563:T563" si="164">SUBTOTAL(9,O564:O621)</f>
        <v>668161.9500000003</v>
      </c>
      <c r="P563" s="120">
        <f t="shared" si="164"/>
        <v>17476.560000000001</v>
      </c>
      <c r="Q563" s="120">
        <f t="shared" si="164"/>
        <v>0</v>
      </c>
      <c r="R563" s="120">
        <f t="shared" si="164"/>
        <v>0</v>
      </c>
      <c r="S563" s="120">
        <f t="shared" si="164"/>
        <v>25340.17</v>
      </c>
      <c r="T563" s="120">
        <f t="shared" si="164"/>
        <v>625345.2200000002</v>
      </c>
      <c r="U563" s="81"/>
    </row>
    <row r="564" spans="1:22" s="26" customFormat="1" ht="24.6" x14ac:dyDescent="0.55000000000000004">
      <c r="A564" s="27" t="s">
        <v>327</v>
      </c>
      <c r="B564" s="28"/>
      <c r="C564" s="27" t="str">
        <f>C563</f>
        <v>"NAV Direct","CRONUS JetCorp USA","18","1","C100029"</v>
      </c>
      <c r="D564" s="27"/>
      <c r="E564" s="28" t="str">
        <f>E563</f>
        <v>C100029</v>
      </c>
      <c r="F564" s="28"/>
      <c r="G564" s="28"/>
      <c r="H564" s="28"/>
      <c r="I564" s="121" t="str">
        <f>"Contact: Mr. Ryan Danner"</f>
        <v>Contact: Mr. Ryan Danner</v>
      </c>
      <c r="J564" s="121"/>
      <c r="K564" s="122"/>
      <c r="L564" s="123"/>
      <c r="M564" s="123"/>
      <c r="N564" s="124"/>
      <c r="O564" s="124"/>
      <c r="P564" s="123"/>
      <c r="Q564" s="125"/>
      <c r="R564" s="126"/>
      <c r="S564" s="126"/>
      <c r="T564" s="125"/>
      <c r="U564" s="81"/>
    </row>
    <row r="565" spans="1:22" s="26" customFormat="1" ht="24.6" x14ac:dyDescent="0.55000000000000004">
      <c r="A565" s="27" t="s">
        <v>327</v>
      </c>
      <c r="B565" s="28"/>
      <c r="C565" s="27" t="str">
        <f>C564</f>
        <v>"NAV Direct","CRONUS JetCorp USA","18","1","C100029"</v>
      </c>
      <c r="D565" s="27"/>
      <c r="E565" s="28" t="str">
        <f>E564</f>
        <v>C100029</v>
      </c>
      <c r="F565" s="28"/>
      <c r="G565" s="28"/>
      <c r="H565" s="28"/>
      <c r="I565" s="121" t="str">
        <f>"elkhorn.airport@cronuscorp.net"</f>
        <v>elkhorn.airport@cronuscorp.net</v>
      </c>
      <c r="J565" s="121"/>
      <c r="K565" s="122"/>
      <c r="L565" s="124"/>
      <c r="M565" s="124"/>
      <c r="N565" s="124"/>
      <c r="O565" s="124"/>
      <c r="P565" s="123"/>
      <c r="Q565" s="125"/>
      <c r="R565" s="126"/>
      <c r="S565" s="126"/>
      <c r="T565" s="125"/>
      <c r="U565" s="81"/>
    </row>
    <row r="566" spans="1:22" ht="12.75" hidden="1" customHeight="1" outlineLevel="1" x14ac:dyDescent="0.45">
      <c r="A566" s="12" t="s">
        <v>328</v>
      </c>
      <c r="B566" s="19"/>
      <c r="E566" s="19"/>
      <c r="F566" s="19"/>
      <c r="G566" s="19"/>
      <c r="H566" s="19"/>
      <c r="I566" s="61"/>
      <c r="J566" s="61"/>
      <c r="K566" s="61"/>
      <c r="L566" s="61"/>
      <c r="M566" s="61"/>
      <c r="N566" s="61"/>
      <c r="O566" s="61"/>
      <c r="P566" s="61"/>
      <c r="Q566" s="61"/>
      <c r="R566" s="61"/>
      <c r="S566" s="61"/>
      <c r="T566" s="61"/>
      <c r="U566" s="61"/>
      <c r="V566" s="21"/>
    </row>
    <row r="567" spans="1:22" s="30" customFormat="1" ht="24.6" hidden="1" outlineLevel="1" x14ac:dyDescent="0.55000000000000004">
      <c r="A567" s="27" t="s">
        <v>327</v>
      </c>
      <c r="B567" s="28"/>
      <c r="C567" s="27"/>
      <c r="D567" s="27" t="str">
        <f>"""NAV Direct"",""CRONUS JetCorp USA"",""21"",""1"",""86319"""</f>
        <v>"NAV Direct","CRONUS JetCorp USA","21","1","86319"</v>
      </c>
      <c r="E567" s="31" t="str">
        <f t="shared" ref="E567:E598" si="165">E565</f>
        <v>C100029</v>
      </c>
      <c r="F567" s="31"/>
      <c r="G567" s="31"/>
      <c r="H567" s="31"/>
      <c r="I567" s="56"/>
      <c r="J567" s="56"/>
      <c r="K567" s="82" t="str">
        <f t="shared" ref="K567:K609" si="166">"Invoice"</f>
        <v>Invoice</v>
      </c>
      <c r="L567" s="83" t="str">
        <f>"SI_106165"</f>
        <v>SI_106165</v>
      </c>
      <c r="M567" s="84">
        <v>42357</v>
      </c>
      <c r="N567" s="85">
        <f t="shared" ref="N567:N598" si="167">StartDate-$M567+1</f>
        <v>1455</v>
      </c>
      <c r="O567" s="86">
        <f t="shared" ref="O567:O598" si="168">SUM(P567:T567)</f>
        <v>18814.420000000002</v>
      </c>
      <c r="P567" s="86">
        <f t="shared" ref="P567:P598" si="169">IF($M567&gt;=$P$18,U567,0)</f>
        <v>0</v>
      </c>
      <c r="Q567" s="86">
        <f t="shared" ref="Q567:Q598" si="170">IF(AND($M567&gt;=$Q$16,$M567&lt;=$Q$18),U567,0)</f>
        <v>0</v>
      </c>
      <c r="R567" s="86">
        <f t="shared" ref="R567:R598" si="171">IF(AND($M567&gt;=$R$16,$M567&lt;=$R$18),U567,0)</f>
        <v>0</v>
      </c>
      <c r="S567" s="86">
        <f t="shared" ref="S567:S598" si="172">IF(AND($M567&gt;=$S$16,$M567&lt;=$S$18),U567,0)</f>
        <v>0</v>
      </c>
      <c r="T567" s="86">
        <f t="shared" ref="T567:T598" si="173">IF($M567&lt;=$T$18,U567,0)</f>
        <v>18814.420000000002</v>
      </c>
      <c r="U567" s="87">
        <v>18814.420000000002</v>
      </c>
    </row>
    <row r="568" spans="1:22" s="30" customFormat="1" ht="24.6" hidden="1" outlineLevel="1" x14ac:dyDescent="0.55000000000000004">
      <c r="A568" s="27" t="s">
        <v>327</v>
      </c>
      <c r="B568" s="28"/>
      <c r="C568" s="27"/>
      <c r="D568" s="27" t="str">
        <f>"""NAV Direct"",""CRONUS JetCorp USA"",""21"",""1"",""86426"""</f>
        <v>"NAV Direct","CRONUS JetCorp USA","21","1","86426"</v>
      </c>
      <c r="E568" s="31">
        <f t="shared" si="165"/>
        <v>0</v>
      </c>
      <c r="F568" s="31"/>
      <c r="G568" s="31"/>
      <c r="H568" s="31"/>
      <c r="I568" s="56"/>
      <c r="J568" s="56"/>
      <c r="K568" s="82" t="str">
        <f t="shared" si="166"/>
        <v>Invoice</v>
      </c>
      <c r="L568" s="83" t="str">
        <f>"SI_106168"</f>
        <v>SI_106168</v>
      </c>
      <c r="M568" s="84">
        <v>42368</v>
      </c>
      <c r="N568" s="85">
        <f t="shared" si="167"/>
        <v>1444</v>
      </c>
      <c r="O568" s="86">
        <f t="shared" si="168"/>
        <v>18815.010000000002</v>
      </c>
      <c r="P568" s="86">
        <f t="shared" si="169"/>
        <v>0</v>
      </c>
      <c r="Q568" s="86">
        <f t="shared" si="170"/>
        <v>0</v>
      </c>
      <c r="R568" s="86">
        <f t="shared" si="171"/>
        <v>0</v>
      </c>
      <c r="S568" s="86">
        <f t="shared" si="172"/>
        <v>0</v>
      </c>
      <c r="T568" s="86">
        <f t="shared" si="173"/>
        <v>18815.010000000002</v>
      </c>
      <c r="U568" s="87">
        <v>18815.010000000002</v>
      </c>
    </row>
    <row r="569" spans="1:22" s="30" customFormat="1" ht="24.6" hidden="1" outlineLevel="1" x14ac:dyDescent="0.55000000000000004">
      <c r="A569" s="27" t="s">
        <v>327</v>
      </c>
      <c r="B569" s="28"/>
      <c r="C569" s="27"/>
      <c r="D569" s="27" t="str">
        <f>"""NAV Direct"",""CRONUS JetCorp USA"",""21"",""1"",""360742"""</f>
        <v>"NAV Direct","CRONUS JetCorp USA","21","1","360742"</v>
      </c>
      <c r="E569" s="31" t="str">
        <f t="shared" si="165"/>
        <v>C100029</v>
      </c>
      <c r="F569" s="31"/>
      <c r="G569" s="31"/>
      <c r="H569" s="31"/>
      <c r="I569" s="56"/>
      <c r="J569" s="56"/>
      <c r="K569" s="82" t="str">
        <f t="shared" si="166"/>
        <v>Invoice</v>
      </c>
      <c r="L569" s="83" t="str">
        <f>"SI_111276"</f>
        <v>SI_111276</v>
      </c>
      <c r="M569" s="84">
        <v>42396</v>
      </c>
      <c r="N569" s="85">
        <f t="shared" si="167"/>
        <v>1416</v>
      </c>
      <c r="O569" s="86">
        <f t="shared" si="168"/>
        <v>7839.88</v>
      </c>
      <c r="P569" s="86">
        <f t="shared" si="169"/>
        <v>0</v>
      </c>
      <c r="Q569" s="86">
        <f t="shared" si="170"/>
        <v>0</v>
      </c>
      <c r="R569" s="86">
        <f t="shared" si="171"/>
        <v>0</v>
      </c>
      <c r="S569" s="86">
        <f t="shared" si="172"/>
        <v>0</v>
      </c>
      <c r="T569" s="86">
        <f t="shared" si="173"/>
        <v>7839.88</v>
      </c>
      <c r="U569" s="87">
        <v>7839.88</v>
      </c>
    </row>
    <row r="570" spans="1:22" s="30" customFormat="1" ht="24.6" hidden="1" outlineLevel="1" x14ac:dyDescent="0.55000000000000004">
      <c r="A570" s="27" t="s">
        <v>327</v>
      </c>
      <c r="B570" s="28"/>
      <c r="C570" s="27"/>
      <c r="D570" s="27" t="str">
        <f>"""NAV Direct"",""CRONUS JetCorp USA"",""21"",""1"",""361292"""</f>
        <v>"NAV Direct","CRONUS JetCorp USA","21","1","361292"</v>
      </c>
      <c r="E570" s="31">
        <f t="shared" si="165"/>
        <v>0</v>
      </c>
      <c r="F570" s="31"/>
      <c r="G570" s="31"/>
      <c r="H570" s="31"/>
      <c r="I570" s="56"/>
      <c r="J570" s="56"/>
      <c r="K570" s="82" t="str">
        <f t="shared" si="166"/>
        <v>Invoice</v>
      </c>
      <c r="L570" s="83" t="str">
        <f>"SI_111294"</f>
        <v>SI_111294</v>
      </c>
      <c r="M570" s="84">
        <v>42579</v>
      </c>
      <c r="N570" s="85">
        <f t="shared" si="167"/>
        <v>1233</v>
      </c>
      <c r="O570" s="86">
        <f t="shared" si="168"/>
        <v>10369.289999999999</v>
      </c>
      <c r="P570" s="86">
        <f t="shared" si="169"/>
        <v>0</v>
      </c>
      <c r="Q570" s="86">
        <f t="shared" si="170"/>
        <v>0</v>
      </c>
      <c r="R570" s="86">
        <f t="shared" si="171"/>
        <v>0</v>
      </c>
      <c r="S570" s="86">
        <f t="shared" si="172"/>
        <v>0</v>
      </c>
      <c r="T570" s="86">
        <f t="shared" si="173"/>
        <v>10369.289999999999</v>
      </c>
      <c r="U570" s="87">
        <v>10369.289999999999</v>
      </c>
    </row>
    <row r="571" spans="1:22" s="30" customFormat="1" ht="24.6" hidden="1" outlineLevel="1" x14ac:dyDescent="0.55000000000000004">
      <c r="A571" s="27" t="s">
        <v>327</v>
      </c>
      <c r="B571" s="28"/>
      <c r="C571" s="27"/>
      <c r="D571" s="27" t="str">
        <f>"""NAV Direct"",""CRONUS JetCorp USA"",""21"",""1"",""361408"""</f>
        <v>"NAV Direct","CRONUS JetCorp USA","21","1","361408"</v>
      </c>
      <c r="E571" s="31" t="str">
        <f t="shared" si="165"/>
        <v>C100029</v>
      </c>
      <c r="F571" s="31"/>
      <c r="G571" s="31"/>
      <c r="H571" s="31"/>
      <c r="I571" s="56"/>
      <c r="J571" s="56"/>
      <c r="K571" s="82" t="str">
        <f t="shared" si="166"/>
        <v>Invoice</v>
      </c>
      <c r="L571" s="83" t="str">
        <f>"SI_111298"</f>
        <v>SI_111298</v>
      </c>
      <c r="M571" s="84">
        <v>42605</v>
      </c>
      <c r="N571" s="85">
        <f t="shared" si="167"/>
        <v>1207</v>
      </c>
      <c r="O571" s="86">
        <f t="shared" si="168"/>
        <v>9622.74</v>
      </c>
      <c r="P571" s="86">
        <f t="shared" si="169"/>
        <v>0</v>
      </c>
      <c r="Q571" s="86">
        <f t="shared" si="170"/>
        <v>0</v>
      </c>
      <c r="R571" s="86">
        <f t="shared" si="171"/>
        <v>0</v>
      </c>
      <c r="S571" s="86">
        <f t="shared" si="172"/>
        <v>0</v>
      </c>
      <c r="T571" s="86">
        <f t="shared" si="173"/>
        <v>9622.74</v>
      </c>
      <c r="U571" s="87">
        <v>9622.74</v>
      </c>
    </row>
    <row r="572" spans="1:22" s="30" customFormat="1" ht="24.6" hidden="1" outlineLevel="1" x14ac:dyDescent="0.55000000000000004">
      <c r="A572" s="27" t="s">
        <v>327</v>
      </c>
      <c r="B572" s="28"/>
      <c r="C572" s="27"/>
      <c r="D572" s="27" t="str">
        <f>"""NAV Direct"",""CRONUS JetCorp USA"",""21"",""1"",""361594"""</f>
        <v>"NAV Direct","CRONUS JetCorp USA","21","1","361594"</v>
      </c>
      <c r="E572" s="31">
        <f t="shared" si="165"/>
        <v>0</v>
      </c>
      <c r="F572" s="31"/>
      <c r="G572" s="31"/>
      <c r="H572" s="31"/>
      <c r="I572" s="56"/>
      <c r="J572" s="56"/>
      <c r="K572" s="82" t="str">
        <f t="shared" si="166"/>
        <v>Invoice</v>
      </c>
      <c r="L572" s="83" t="str">
        <f>"SI_111304"</f>
        <v>SI_111304</v>
      </c>
      <c r="M572" s="84">
        <v>42654</v>
      </c>
      <c r="N572" s="85">
        <f t="shared" si="167"/>
        <v>1158</v>
      </c>
      <c r="O572" s="86">
        <f t="shared" si="168"/>
        <v>10938.93</v>
      </c>
      <c r="P572" s="86">
        <f t="shared" si="169"/>
        <v>0</v>
      </c>
      <c r="Q572" s="86">
        <f t="shared" si="170"/>
        <v>0</v>
      </c>
      <c r="R572" s="86">
        <f t="shared" si="171"/>
        <v>0</v>
      </c>
      <c r="S572" s="86">
        <f t="shared" si="172"/>
        <v>0</v>
      </c>
      <c r="T572" s="86">
        <f t="shared" si="173"/>
        <v>10938.93</v>
      </c>
      <c r="U572" s="87">
        <v>10938.93</v>
      </c>
    </row>
    <row r="573" spans="1:22" s="30" customFormat="1" ht="24.6" hidden="1" outlineLevel="1" x14ac:dyDescent="0.55000000000000004">
      <c r="A573" s="27" t="s">
        <v>327</v>
      </c>
      <c r="B573" s="28"/>
      <c r="C573" s="27"/>
      <c r="D573" s="27" t="str">
        <f>"""NAV Direct"",""CRONUS JetCorp USA"",""21"",""1"",""361756"""</f>
        <v>"NAV Direct","CRONUS JetCorp USA","21","1","361756"</v>
      </c>
      <c r="E573" s="31" t="str">
        <f t="shared" si="165"/>
        <v>C100029</v>
      </c>
      <c r="F573" s="31"/>
      <c r="G573" s="31"/>
      <c r="H573" s="31"/>
      <c r="I573" s="56"/>
      <c r="J573" s="56"/>
      <c r="K573" s="82" t="str">
        <f t="shared" si="166"/>
        <v>Invoice</v>
      </c>
      <c r="L573" s="83" t="str">
        <f>"SI_111308"</f>
        <v>SI_111308</v>
      </c>
      <c r="M573" s="84">
        <v>42693</v>
      </c>
      <c r="N573" s="85">
        <f t="shared" si="167"/>
        <v>1119</v>
      </c>
      <c r="O573" s="86">
        <f t="shared" si="168"/>
        <v>11770.87</v>
      </c>
      <c r="P573" s="86">
        <f t="shared" si="169"/>
        <v>0</v>
      </c>
      <c r="Q573" s="86">
        <f t="shared" si="170"/>
        <v>0</v>
      </c>
      <c r="R573" s="86">
        <f t="shared" si="171"/>
        <v>0</v>
      </c>
      <c r="S573" s="86">
        <f t="shared" si="172"/>
        <v>0</v>
      </c>
      <c r="T573" s="86">
        <f t="shared" si="173"/>
        <v>11770.87</v>
      </c>
      <c r="U573" s="87">
        <v>11770.87</v>
      </c>
    </row>
    <row r="574" spans="1:22" s="30" customFormat="1" ht="24.6" hidden="1" outlineLevel="1" x14ac:dyDescent="0.55000000000000004">
      <c r="A574" s="27" t="s">
        <v>327</v>
      </c>
      <c r="B574" s="28"/>
      <c r="C574" s="27"/>
      <c r="D574" s="27" t="str">
        <f>"""NAV Direct"",""CRONUS JetCorp USA"",""21"",""1"",""362079"""</f>
        <v>"NAV Direct","CRONUS JetCorp USA","21","1","362079"</v>
      </c>
      <c r="E574" s="31">
        <f t="shared" si="165"/>
        <v>0</v>
      </c>
      <c r="F574" s="31"/>
      <c r="G574" s="31"/>
      <c r="H574" s="31"/>
      <c r="I574" s="56"/>
      <c r="J574" s="56"/>
      <c r="K574" s="82" t="str">
        <f t="shared" si="166"/>
        <v>Invoice</v>
      </c>
      <c r="L574" s="83" t="str">
        <f>"SI_111317"</f>
        <v>SI_111317</v>
      </c>
      <c r="M574" s="84">
        <v>42760</v>
      </c>
      <c r="N574" s="85">
        <f t="shared" si="167"/>
        <v>1052</v>
      </c>
      <c r="O574" s="86">
        <f t="shared" si="168"/>
        <v>12383.45</v>
      </c>
      <c r="P574" s="86">
        <f t="shared" si="169"/>
        <v>0</v>
      </c>
      <c r="Q574" s="86">
        <f t="shared" si="170"/>
        <v>0</v>
      </c>
      <c r="R574" s="86">
        <f t="shared" si="171"/>
        <v>0</v>
      </c>
      <c r="S574" s="86">
        <f t="shared" si="172"/>
        <v>0</v>
      </c>
      <c r="T574" s="86">
        <f t="shared" si="173"/>
        <v>12383.45</v>
      </c>
      <c r="U574" s="87">
        <v>12383.45</v>
      </c>
    </row>
    <row r="575" spans="1:22" s="30" customFormat="1" ht="24.6" hidden="1" outlineLevel="1" x14ac:dyDescent="0.55000000000000004">
      <c r="A575" s="27" t="s">
        <v>327</v>
      </c>
      <c r="B575" s="28"/>
      <c r="C575" s="27"/>
      <c r="D575" s="27" t="str">
        <f>"""NAV Direct"",""CRONUS JetCorp USA"",""21"",""1"",""362120"""</f>
        <v>"NAV Direct","CRONUS JetCorp USA","21","1","362120"</v>
      </c>
      <c r="E575" s="31" t="str">
        <f t="shared" si="165"/>
        <v>C100029</v>
      </c>
      <c r="F575" s="31"/>
      <c r="G575" s="31"/>
      <c r="H575" s="31"/>
      <c r="I575" s="56"/>
      <c r="J575" s="56"/>
      <c r="K575" s="82" t="str">
        <f t="shared" si="166"/>
        <v>Invoice</v>
      </c>
      <c r="L575" s="83" t="str">
        <f>"SI_111318"</f>
        <v>SI_111318</v>
      </c>
      <c r="M575" s="84">
        <v>42764</v>
      </c>
      <c r="N575" s="85">
        <f t="shared" si="167"/>
        <v>1048</v>
      </c>
      <c r="O575" s="86">
        <f t="shared" si="168"/>
        <v>12383.420000000002</v>
      </c>
      <c r="P575" s="86">
        <f t="shared" si="169"/>
        <v>0</v>
      </c>
      <c r="Q575" s="86">
        <f t="shared" si="170"/>
        <v>0</v>
      </c>
      <c r="R575" s="86">
        <f t="shared" si="171"/>
        <v>0</v>
      </c>
      <c r="S575" s="86">
        <f t="shared" si="172"/>
        <v>0</v>
      </c>
      <c r="T575" s="86">
        <f t="shared" si="173"/>
        <v>12383.420000000002</v>
      </c>
      <c r="U575" s="87">
        <v>12383.420000000002</v>
      </c>
    </row>
    <row r="576" spans="1:22" s="30" customFormat="1" ht="24.6" hidden="1" outlineLevel="1" x14ac:dyDescent="0.55000000000000004">
      <c r="A576" s="27" t="s">
        <v>327</v>
      </c>
      <c r="B576" s="28"/>
      <c r="C576" s="27"/>
      <c r="D576" s="27" t="str">
        <f>"""NAV Direct"",""CRONUS JetCorp USA"",""21"",""1"",""362399"""</f>
        <v>"NAV Direct","CRONUS JetCorp USA","21","1","362399"</v>
      </c>
      <c r="E576" s="31">
        <f t="shared" si="165"/>
        <v>0</v>
      </c>
      <c r="F576" s="31"/>
      <c r="G576" s="31"/>
      <c r="H576" s="31"/>
      <c r="I576" s="56"/>
      <c r="J576" s="56"/>
      <c r="K576" s="82" t="str">
        <f t="shared" si="166"/>
        <v>Invoice</v>
      </c>
      <c r="L576" s="83" t="str">
        <f>"SI_111327"</f>
        <v>SI_111327</v>
      </c>
      <c r="M576" s="84">
        <v>42844</v>
      </c>
      <c r="N576" s="85">
        <f t="shared" si="167"/>
        <v>968</v>
      </c>
      <c r="O576" s="86">
        <f t="shared" si="168"/>
        <v>12984.24</v>
      </c>
      <c r="P576" s="86">
        <f t="shared" si="169"/>
        <v>0</v>
      </c>
      <c r="Q576" s="86">
        <f t="shared" si="170"/>
        <v>0</v>
      </c>
      <c r="R576" s="86">
        <f t="shared" si="171"/>
        <v>0</v>
      </c>
      <c r="S576" s="86">
        <f t="shared" si="172"/>
        <v>0</v>
      </c>
      <c r="T576" s="86">
        <f t="shared" si="173"/>
        <v>12984.24</v>
      </c>
      <c r="U576" s="87">
        <v>12984.24</v>
      </c>
    </row>
    <row r="577" spans="1:21" s="30" customFormat="1" ht="24.6" hidden="1" outlineLevel="1" x14ac:dyDescent="0.55000000000000004">
      <c r="A577" s="27" t="s">
        <v>327</v>
      </c>
      <c r="B577" s="28"/>
      <c r="C577" s="27"/>
      <c r="D577" s="27" t="str">
        <f>"""NAV Direct"",""CRONUS JetCorp USA"",""21"",""1"",""362436"""</f>
        <v>"NAV Direct","CRONUS JetCorp USA","21","1","362436"</v>
      </c>
      <c r="E577" s="31" t="str">
        <f t="shared" si="165"/>
        <v>C100029</v>
      </c>
      <c r="F577" s="31"/>
      <c r="G577" s="31"/>
      <c r="H577" s="31"/>
      <c r="I577" s="56"/>
      <c r="J577" s="56"/>
      <c r="K577" s="82" t="str">
        <f t="shared" si="166"/>
        <v>Invoice</v>
      </c>
      <c r="L577" s="83" t="str">
        <f>"SI_111328"</f>
        <v>SI_111328</v>
      </c>
      <c r="M577" s="84">
        <v>42848</v>
      </c>
      <c r="N577" s="85">
        <f t="shared" si="167"/>
        <v>964</v>
      </c>
      <c r="O577" s="86">
        <f t="shared" si="168"/>
        <v>12983.730000000001</v>
      </c>
      <c r="P577" s="86">
        <f t="shared" si="169"/>
        <v>0</v>
      </c>
      <c r="Q577" s="86">
        <f t="shared" si="170"/>
        <v>0</v>
      </c>
      <c r="R577" s="86">
        <f t="shared" si="171"/>
        <v>0</v>
      </c>
      <c r="S577" s="86">
        <f t="shared" si="172"/>
        <v>0</v>
      </c>
      <c r="T577" s="86">
        <f t="shared" si="173"/>
        <v>12983.730000000001</v>
      </c>
      <c r="U577" s="87">
        <v>12983.730000000001</v>
      </c>
    </row>
    <row r="578" spans="1:21" s="30" customFormat="1" ht="24.6" hidden="1" outlineLevel="1" x14ac:dyDescent="0.55000000000000004">
      <c r="A578" s="27" t="s">
        <v>327</v>
      </c>
      <c r="B578" s="28"/>
      <c r="C578" s="27"/>
      <c r="D578" s="27" t="str">
        <f>"""NAV Direct"",""CRONUS JetCorp USA"",""21"",""1"",""362611"""</f>
        <v>"NAV Direct","CRONUS JetCorp USA","21","1","362611"</v>
      </c>
      <c r="E578" s="31">
        <f t="shared" si="165"/>
        <v>0</v>
      </c>
      <c r="F578" s="31"/>
      <c r="G578" s="31"/>
      <c r="H578" s="31"/>
      <c r="I578" s="56"/>
      <c r="J578" s="56"/>
      <c r="K578" s="82" t="str">
        <f t="shared" si="166"/>
        <v>Invoice</v>
      </c>
      <c r="L578" s="83" t="str">
        <f>"SI_111333"</f>
        <v>SI_111333</v>
      </c>
      <c r="M578" s="84">
        <v>42912</v>
      </c>
      <c r="N578" s="85">
        <f t="shared" si="167"/>
        <v>900</v>
      </c>
      <c r="O578" s="86">
        <f t="shared" si="168"/>
        <v>15709.44</v>
      </c>
      <c r="P578" s="86">
        <f t="shared" si="169"/>
        <v>0</v>
      </c>
      <c r="Q578" s="86">
        <f t="shared" si="170"/>
        <v>0</v>
      </c>
      <c r="R578" s="86">
        <f t="shared" si="171"/>
        <v>0</v>
      </c>
      <c r="S578" s="86">
        <f t="shared" si="172"/>
        <v>0</v>
      </c>
      <c r="T578" s="86">
        <f t="shared" si="173"/>
        <v>15709.44</v>
      </c>
      <c r="U578" s="87">
        <v>15709.44</v>
      </c>
    </row>
    <row r="579" spans="1:21" s="30" customFormat="1" ht="24.6" hidden="1" outlineLevel="1" x14ac:dyDescent="0.55000000000000004">
      <c r="A579" s="27" t="s">
        <v>327</v>
      </c>
      <c r="B579" s="28"/>
      <c r="C579" s="27"/>
      <c r="D579" s="27" t="str">
        <f>"""NAV Direct"",""CRONUS JetCorp USA"",""21"",""1"",""363186"""</f>
        <v>"NAV Direct","CRONUS JetCorp USA","21","1","363186"</v>
      </c>
      <c r="E579" s="31" t="str">
        <f t="shared" si="165"/>
        <v>C100029</v>
      </c>
      <c r="F579" s="31"/>
      <c r="G579" s="31"/>
      <c r="H579" s="31"/>
      <c r="I579" s="56"/>
      <c r="J579" s="56"/>
      <c r="K579" s="82" t="str">
        <f t="shared" si="166"/>
        <v>Invoice</v>
      </c>
      <c r="L579" s="83" t="str">
        <f>"SI_111350"</f>
        <v>SI_111350</v>
      </c>
      <c r="M579" s="84">
        <v>43035</v>
      </c>
      <c r="N579" s="85">
        <f t="shared" si="167"/>
        <v>777</v>
      </c>
      <c r="O579" s="86">
        <f t="shared" si="168"/>
        <v>13090.57</v>
      </c>
      <c r="P579" s="86">
        <f t="shared" si="169"/>
        <v>0</v>
      </c>
      <c r="Q579" s="86">
        <f t="shared" si="170"/>
        <v>0</v>
      </c>
      <c r="R579" s="86">
        <f t="shared" si="171"/>
        <v>0</v>
      </c>
      <c r="S579" s="86">
        <f t="shared" si="172"/>
        <v>0</v>
      </c>
      <c r="T579" s="86">
        <f t="shared" si="173"/>
        <v>13090.57</v>
      </c>
      <c r="U579" s="87">
        <v>13090.57</v>
      </c>
    </row>
    <row r="580" spans="1:21" s="30" customFormat="1" ht="24.6" hidden="1" outlineLevel="1" x14ac:dyDescent="0.55000000000000004">
      <c r="A580" s="27" t="s">
        <v>327</v>
      </c>
      <c r="B580" s="28"/>
      <c r="C580" s="27"/>
      <c r="D580" s="27" t="str">
        <f>"""NAV Direct"",""CRONUS JetCorp USA"",""21"",""1"",""363238"""</f>
        <v>"NAV Direct","CRONUS JetCorp USA","21","1","363238"</v>
      </c>
      <c r="E580" s="31">
        <f t="shared" si="165"/>
        <v>0</v>
      </c>
      <c r="F580" s="31"/>
      <c r="G580" s="31"/>
      <c r="H580" s="31"/>
      <c r="I580" s="56"/>
      <c r="J580" s="56"/>
      <c r="K580" s="82" t="str">
        <f t="shared" si="166"/>
        <v>Invoice</v>
      </c>
      <c r="L580" s="83" t="str">
        <f>"SI_111352"</f>
        <v>SI_111352</v>
      </c>
      <c r="M580" s="84">
        <v>43043</v>
      </c>
      <c r="N580" s="85">
        <f t="shared" si="167"/>
        <v>769</v>
      </c>
      <c r="O580" s="86">
        <f t="shared" si="168"/>
        <v>13090.119999999999</v>
      </c>
      <c r="P580" s="86">
        <f t="shared" si="169"/>
        <v>0</v>
      </c>
      <c r="Q580" s="86">
        <f t="shared" si="170"/>
        <v>0</v>
      </c>
      <c r="R580" s="86">
        <f t="shared" si="171"/>
        <v>0</v>
      </c>
      <c r="S580" s="86">
        <f t="shared" si="172"/>
        <v>0</v>
      </c>
      <c r="T580" s="86">
        <f t="shared" si="173"/>
        <v>13090.119999999999</v>
      </c>
      <c r="U580" s="87">
        <v>13090.119999999999</v>
      </c>
    </row>
    <row r="581" spans="1:21" s="30" customFormat="1" ht="24.6" hidden="1" outlineLevel="1" x14ac:dyDescent="0.55000000000000004">
      <c r="A581" s="27" t="s">
        <v>327</v>
      </c>
      <c r="B581" s="28"/>
      <c r="C581" s="27"/>
      <c r="D581" s="27" t="str">
        <f>"""NAV Direct"",""CRONUS JetCorp USA"",""21"",""1"",""363267"""</f>
        <v>"NAV Direct","CRONUS JetCorp USA","21","1","363267"</v>
      </c>
      <c r="E581" s="31" t="str">
        <f t="shared" si="165"/>
        <v>C100029</v>
      </c>
      <c r="F581" s="31"/>
      <c r="G581" s="31"/>
      <c r="H581" s="31"/>
      <c r="I581" s="56"/>
      <c r="J581" s="56"/>
      <c r="K581" s="82" t="str">
        <f t="shared" si="166"/>
        <v>Invoice</v>
      </c>
      <c r="L581" s="83" t="str">
        <f>"SI_111353"</f>
        <v>SI_111353</v>
      </c>
      <c r="M581" s="84">
        <v>43064</v>
      </c>
      <c r="N581" s="85">
        <f t="shared" si="167"/>
        <v>748</v>
      </c>
      <c r="O581" s="86">
        <f t="shared" si="168"/>
        <v>14137.46</v>
      </c>
      <c r="P581" s="86">
        <f t="shared" si="169"/>
        <v>0</v>
      </c>
      <c r="Q581" s="86">
        <f t="shared" si="170"/>
        <v>0</v>
      </c>
      <c r="R581" s="86">
        <f t="shared" si="171"/>
        <v>0</v>
      </c>
      <c r="S581" s="86">
        <f t="shared" si="172"/>
        <v>0</v>
      </c>
      <c r="T581" s="86">
        <f t="shared" si="173"/>
        <v>14137.46</v>
      </c>
      <c r="U581" s="87">
        <v>14137.46</v>
      </c>
    </row>
    <row r="582" spans="1:21" s="30" customFormat="1" ht="24.6" hidden="1" outlineLevel="1" x14ac:dyDescent="0.55000000000000004">
      <c r="A582" s="27" t="s">
        <v>327</v>
      </c>
      <c r="B582" s="28"/>
      <c r="C582" s="27"/>
      <c r="D582" s="27" t="str">
        <f>"""NAV Direct"",""CRONUS JetCorp USA"",""21"",""1"",""363425"""</f>
        <v>"NAV Direct","CRONUS JetCorp USA","21","1","363425"</v>
      </c>
      <c r="E582" s="31">
        <f t="shared" si="165"/>
        <v>0</v>
      </c>
      <c r="F582" s="31"/>
      <c r="G582" s="31"/>
      <c r="H582" s="31"/>
      <c r="I582" s="56"/>
      <c r="J582" s="56"/>
      <c r="K582" s="82" t="str">
        <f t="shared" si="166"/>
        <v>Invoice</v>
      </c>
      <c r="L582" s="83" t="str">
        <f>"SI_111357"</f>
        <v>SI_111357</v>
      </c>
      <c r="M582" s="84">
        <v>43073</v>
      </c>
      <c r="N582" s="85">
        <f t="shared" si="167"/>
        <v>739</v>
      </c>
      <c r="O582" s="86">
        <f t="shared" si="168"/>
        <v>14137.59</v>
      </c>
      <c r="P582" s="86">
        <f t="shared" si="169"/>
        <v>0</v>
      </c>
      <c r="Q582" s="86">
        <f t="shared" si="170"/>
        <v>0</v>
      </c>
      <c r="R582" s="86">
        <f t="shared" si="171"/>
        <v>0</v>
      </c>
      <c r="S582" s="86">
        <f t="shared" si="172"/>
        <v>0</v>
      </c>
      <c r="T582" s="86">
        <f t="shared" si="173"/>
        <v>14137.59</v>
      </c>
      <c r="U582" s="87">
        <v>14137.59</v>
      </c>
    </row>
    <row r="583" spans="1:21" s="30" customFormat="1" ht="24.6" hidden="1" outlineLevel="1" x14ac:dyDescent="0.55000000000000004">
      <c r="A583" s="27" t="s">
        <v>327</v>
      </c>
      <c r="B583" s="28"/>
      <c r="C583" s="27"/>
      <c r="D583" s="27" t="str">
        <f>"""NAV Direct"",""CRONUS JetCorp USA"",""21"",""1"",""363493"""</f>
        <v>"NAV Direct","CRONUS JetCorp USA","21","1","363493"</v>
      </c>
      <c r="E583" s="31" t="str">
        <f t="shared" si="165"/>
        <v>C100029</v>
      </c>
      <c r="F583" s="31"/>
      <c r="G583" s="31"/>
      <c r="H583" s="31"/>
      <c r="I583" s="56"/>
      <c r="J583" s="56"/>
      <c r="K583" s="82" t="str">
        <f t="shared" si="166"/>
        <v>Invoice</v>
      </c>
      <c r="L583" s="83" t="str">
        <f>"SI_111359"</f>
        <v>SI_111359</v>
      </c>
      <c r="M583" s="84">
        <v>43098</v>
      </c>
      <c r="N583" s="85">
        <f t="shared" si="167"/>
        <v>714</v>
      </c>
      <c r="O583" s="86">
        <f t="shared" si="168"/>
        <v>16399.86</v>
      </c>
      <c r="P583" s="86">
        <f t="shared" si="169"/>
        <v>0</v>
      </c>
      <c r="Q583" s="86">
        <f t="shared" si="170"/>
        <v>0</v>
      </c>
      <c r="R583" s="86">
        <f t="shared" si="171"/>
        <v>0</v>
      </c>
      <c r="S583" s="86">
        <f t="shared" si="172"/>
        <v>0</v>
      </c>
      <c r="T583" s="86">
        <f t="shared" si="173"/>
        <v>16399.86</v>
      </c>
      <c r="U583" s="87">
        <v>16399.86</v>
      </c>
    </row>
    <row r="584" spans="1:21" s="30" customFormat="1" ht="24.6" hidden="1" outlineLevel="1" x14ac:dyDescent="0.55000000000000004">
      <c r="A584" s="27" t="s">
        <v>327</v>
      </c>
      <c r="B584" s="28"/>
      <c r="C584" s="27"/>
      <c r="D584" s="27" t="str">
        <f>"""NAV Direct"",""CRONUS JetCorp USA"",""21"",""1"",""363973"""</f>
        <v>"NAV Direct","CRONUS JetCorp USA","21","1","363973"</v>
      </c>
      <c r="E584" s="31">
        <f t="shared" si="165"/>
        <v>0</v>
      </c>
      <c r="F584" s="31"/>
      <c r="G584" s="31"/>
      <c r="H584" s="31"/>
      <c r="I584" s="56"/>
      <c r="J584" s="56"/>
      <c r="K584" s="82" t="str">
        <f t="shared" si="166"/>
        <v>Invoice</v>
      </c>
      <c r="L584" s="83" t="str">
        <f>"SI_111371"</f>
        <v>SI_111371</v>
      </c>
      <c r="M584" s="84">
        <v>43162</v>
      </c>
      <c r="N584" s="85">
        <f t="shared" si="167"/>
        <v>650</v>
      </c>
      <c r="O584" s="86">
        <f t="shared" si="168"/>
        <v>15284.32</v>
      </c>
      <c r="P584" s="86">
        <f t="shared" si="169"/>
        <v>0</v>
      </c>
      <c r="Q584" s="86">
        <f t="shared" si="170"/>
        <v>0</v>
      </c>
      <c r="R584" s="86">
        <f t="shared" si="171"/>
        <v>0</v>
      </c>
      <c r="S584" s="86">
        <f t="shared" si="172"/>
        <v>0</v>
      </c>
      <c r="T584" s="86">
        <f t="shared" si="173"/>
        <v>15284.32</v>
      </c>
      <c r="U584" s="87">
        <v>15284.32</v>
      </c>
    </row>
    <row r="585" spans="1:21" s="30" customFormat="1" ht="24.6" hidden="1" outlineLevel="1" x14ac:dyDescent="0.55000000000000004">
      <c r="A585" s="27" t="s">
        <v>327</v>
      </c>
      <c r="B585" s="28"/>
      <c r="C585" s="27"/>
      <c r="D585" s="27" t="str">
        <f>"""NAV Direct"",""CRONUS JetCorp USA"",""21"",""1"",""364078"""</f>
        <v>"NAV Direct","CRONUS JetCorp USA","21","1","364078"</v>
      </c>
      <c r="E585" s="31" t="str">
        <f t="shared" si="165"/>
        <v>C100029</v>
      </c>
      <c r="F585" s="31"/>
      <c r="G585" s="31"/>
      <c r="H585" s="31"/>
      <c r="I585" s="56"/>
      <c r="J585" s="56"/>
      <c r="K585" s="82" t="str">
        <f t="shared" si="166"/>
        <v>Invoice</v>
      </c>
      <c r="L585" s="83" t="str">
        <f>"SI_111374"</f>
        <v>SI_111374</v>
      </c>
      <c r="M585" s="84">
        <v>43186</v>
      </c>
      <c r="N585" s="85">
        <f t="shared" si="167"/>
        <v>626</v>
      </c>
      <c r="O585" s="86">
        <f t="shared" si="168"/>
        <v>14245.08</v>
      </c>
      <c r="P585" s="86">
        <f t="shared" si="169"/>
        <v>0</v>
      </c>
      <c r="Q585" s="86">
        <f t="shared" si="170"/>
        <v>0</v>
      </c>
      <c r="R585" s="86">
        <f t="shared" si="171"/>
        <v>0</v>
      </c>
      <c r="S585" s="86">
        <f t="shared" si="172"/>
        <v>0</v>
      </c>
      <c r="T585" s="86">
        <f t="shared" si="173"/>
        <v>14245.08</v>
      </c>
      <c r="U585" s="87">
        <v>14245.08</v>
      </c>
    </row>
    <row r="586" spans="1:21" s="30" customFormat="1" ht="24.6" hidden="1" outlineLevel="1" x14ac:dyDescent="0.55000000000000004">
      <c r="A586" s="27" t="s">
        <v>327</v>
      </c>
      <c r="B586" s="28"/>
      <c r="C586" s="27"/>
      <c r="D586" s="27" t="str">
        <f>"""NAV Direct"",""CRONUS JetCorp USA"",""21"",""1"",""364144"""</f>
        <v>"NAV Direct","CRONUS JetCorp USA","21","1","364144"</v>
      </c>
      <c r="E586" s="31">
        <f t="shared" si="165"/>
        <v>0</v>
      </c>
      <c r="F586" s="31"/>
      <c r="G586" s="31"/>
      <c r="H586" s="31"/>
      <c r="I586" s="56"/>
      <c r="J586" s="56"/>
      <c r="K586" s="82" t="str">
        <f t="shared" si="166"/>
        <v>Invoice</v>
      </c>
      <c r="L586" s="83" t="str">
        <f>"SI_111376"</f>
        <v>SI_111376</v>
      </c>
      <c r="M586" s="84">
        <v>43189</v>
      </c>
      <c r="N586" s="85">
        <f t="shared" si="167"/>
        <v>623</v>
      </c>
      <c r="O586" s="86">
        <f t="shared" si="168"/>
        <v>14245.410000000002</v>
      </c>
      <c r="P586" s="86">
        <f t="shared" si="169"/>
        <v>0</v>
      </c>
      <c r="Q586" s="86">
        <f t="shared" si="170"/>
        <v>0</v>
      </c>
      <c r="R586" s="86">
        <f t="shared" si="171"/>
        <v>0</v>
      </c>
      <c r="S586" s="86">
        <f t="shared" si="172"/>
        <v>0</v>
      </c>
      <c r="T586" s="86">
        <f t="shared" si="173"/>
        <v>14245.410000000002</v>
      </c>
      <c r="U586" s="87">
        <v>14245.410000000002</v>
      </c>
    </row>
    <row r="587" spans="1:21" s="30" customFormat="1" ht="24.6" hidden="1" outlineLevel="1" x14ac:dyDescent="0.55000000000000004">
      <c r="A587" s="27" t="s">
        <v>327</v>
      </c>
      <c r="B587" s="28"/>
      <c r="C587" s="27"/>
      <c r="D587" s="27" t="str">
        <f>"""NAV Direct"",""CRONUS JetCorp USA"",""21"",""1"",""364452"""</f>
        <v>"NAV Direct","CRONUS JetCorp USA","21","1","364452"</v>
      </c>
      <c r="E587" s="31" t="str">
        <f t="shared" si="165"/>
        <v>C100029</v>
      </c>
      <c r="F587" s="31"/>
      <c r="G587" s="31"/>
      <c r="H587" s="31"/>
      <c r="I587" s="56"/>
      <c r="J587" s="56"/>
      <c r="K587" s="82" t="str">
        <f t="shared" si="166"/>
        <v>Invoice</v>
      </c>
      <c r="L587" s="83" t="str">
        <f>"SI_111384"</f>
        <v>SI_111384</v>
      </c>
      <c r="M587" s="84">
        <v>43248</v>
      </c>
      <c r="N587" s="85">
        <f t="shared" si="167"/>
        <v>564</v>
      </c>
      <c r="O587" s="86">
        <f t="shared" si="168"/>
        <v>17592.45</v>
      </c>
      <c r="P587" s="86">
        <f t="shared" si="169"/>
        <v>0</v>
      </c>
      <c r="Q587" s="86">
        <f t="shared" si="170"/>
        <v>0</v>
      </c>
      <c r="R587" s="86">
        <f t="shared" si="171"/>
        <v>0</v>
      </c>
      <c r="S587" s="86">
        <f t="shared" si="172"/>
        <v>0</v>
      </c>
      <c r="T587" s="86">
        <f t="shared" si="173"/>
        <v>17592.45</v>
      </c>
      <c r="U587" s="87">
        <v>17592.45</v>
      </c>
    </row>
    <row r="588" spans="1:21" s="30" customFormat="1" ht="24.6" hidden="1" outlineLevel="1" x14ac:dyDescent="0.55000000000000004">
      <c r="A588" s="27" t="s">
        <v>327</v>
      </c>
      <c r="B588" s="28"/>
      <c r="C588" s="27"/>
      <c r="D588" s="27" t="str">
        <f>"""NAV Direct"",""CRONUS JetCorp USA"",""21"",""1"",""364697"""</f>
        <v>"NAV Direct","CRONUS JetCorp USA","21","1","364697"</v>
      </c>
      <c r="E588" s="31">
        <f t="shared" si="165"/>
        <v>0</v>
      </c>
      <c r="F588" s="31"/>
      <c r="G588" s="31"/>
      <c r="H588" s="31"/>
      <c r="I588" s="56"/>
      <c r="J588" s="56"/>
      <c r="K588" s="82" t="str">
        <f t="shared" si="166"/>
        <v>Invoice</v>
      </c>
      <c r="L588" s="83" t="str">
        <f>"SI_111391"</f>
        <v>SI_111391</v>
      </c>
      <c r="M588" s="84">
        <v>43277</v>
      </c>
      <c r="N588" s="85">
        <f t="shared" si="167"/>
        <v>535</v>
      </c>
      <c r="O588" s="86">
        <f t="shared" si="168"/>
        <v>19984.719999999998</v>
      </c>
      <c r="P588" s="86">
        <f t="shared" si="169"/>
        <v>0</v>
      </c>
      <c r="Q588" s="86">
        <f t="shared" si="170"/>
        <v>0</v>
      </c>
      <c r="R588" s="86">
        <f t="shared" si="171"/>
        <v>0</v>
      </c>
      <c r="S588" s="86">
        <f t="shared" si="172"/>
        <v>0</v>
      </c>
      <c r="T588" s="86">
        <f t="shared" si="173"/>
        <v>19984.719999999998</v>
      </c>
      <c r="U588" s="87">
        <v>19984.719999999998</v>
      </c>
    </row>
    <row r="589" spans="1:21" s="30" customFormat="1" ht="24.6" hidden="1" outlineLevel="1" x14ac:dyDescent="0.55000000000000004">
      <c r="A589" s="27" t="s">
        <v>327</v>
      </c>
      <c r="B589" s="28"/>
      <c r="C589" s="27"/>
      <c r="D589" s="27" t="str">
        <f>"""NAV Direct"",""CRONUS JetCorp USA"",""21"",""1"",""364826"""</f>
        <v>"NAV Direct","CRONUS JetCorp USA","21","1","364826"</v>
      </c>
      <c r="E589" s="31" t="str">
        <f t="shared" si="165"/>
        <v>C100029</v>
      </c>
      <c r="F589" s="31"/>
      <c r="G589" s="31"/>
      <c r="H589" s="31"/>
      <c r="I589" s="56"/>
      <c r="J589" s="56"/>
      <c r="K589" s="82" t="str">
        <f t="shared" si="166"/>
        <v>Invoice</v>
      </c>
      <c r="L589" s="83" t="str">
        <f>"SI_111394"</f>
        <v>SI_111394</v>
      </c>
      <c r="M589" s="84">
        <v>43304</v>
      </c>
      <c r="N589" s="85">
        <f t="shared" si="167"/>
        <v>508</v>
      </c>
      <c r="O589" s="86">
        <f t="shared" si="168"/>
        <v>17985.68</v>
      </c>
      <c r="P589" s="86">
        <f t="shared" si="169"/>
        <v>0</v>
      </c>
      <c r="Q589" s="86">
        <f t="shared" si="170"/>
        <v>0</v>
      </c>
      <c r="R589" s="86">
        <f t="shared" si="171"/>
        <v>0</v>
      </c>
      <c r="S589" s="86">
        <f t="shared" si="172"/>
        <v>0</v>
      </c>
      <c r="T589" s="86">
        <f t="shared" si="173"/>
        <v>17985.68</v>
      </c>
      <c r="U589" s="87">
        <v>17985.68</v>
      </c>
    </row>
    <row r="590" spans="1:21" s="30" customFormat="1" ht="24.6" hidden="1" outlineLevel="1" x14ac:dyDescent="0.55000000000000004">
      <c r="A590" s="27" t="s">
        <v>327</v>
      </c>
      <c r="B590" s="28"/>
      <c r="C590" s="27"/>
      <c r="D590" s="27" t="str">
        <f>"""NAV Direct"",""CRONUS JetCorp USA"",""21"",""1"",""364900"""</f>
        <v>"NAV Direct","CRONUS JetCorp USA","21","1","364900"</v>
      </c>
      <c r="E590" s="31">
        <f t="shared" si="165"/>
        <v>0</v>
      </c>
      <c r="F590" s="31"/>
      <c r="G590" s="31"/>
      <c r="H590" s="31"/>
      <c r="I590" s="56"/>
      <c r="J590" s="56"/>
      <c r="K590" s="82" t="str">
        <f t="shared" si="166"/>
        <v>Invoice</v>
      </c>
      <c r="L590" s="83" t="str">
        <f>"SI_111396"</f>
        <v>SI_111396</v>
      </c>
      <c r="M590" s="84">
        <v>43307</v>
      </c>
      <c r="N590" s="85">
        <f t="shared" si="167"/>
        <v>505</v>
      </c>
      <c r="O590" s="86">
        <f t="shared" si="168"/>
        <v>17985.72</v>
      </c>
      <c r="P590" s="86">
        <f t="shared" si="169"/>
        <v>0</v>
      </c>
      <c r="Q590" s="86">
        <f t="shared" si="170"/>
        <v>0</v>
      </c>
      <c r="R590" s="86">
        <f t="shared" si="171"/>
        <v>0</v>
      </c>
      <c r="S590" s="86">
        <f t="shared" si="172"/>
        <v>0</v>
      </c>
      <c r="T590" s="86">
        <f t="shared" si="173"/>
        <v>17985.72</v>
      </c>
      <c r="U590" s="87">
        <v>17985.72</v>
      </c>
    </row>
    <row r="591" spans="1:21" s="30" customFormat="1" ht="24.6" hidden="1" outlineLevel="1" x14ac:dyDescent="0.55000000000000004">
      <c r="A591" s="27" t="s">
        <v>327</v>
      </c>
      <c r="B591" s="28"/>
      <c r="C591" s="27"/>
      <c r="D591" s="27" t="str">
        <f>"""NAV Direct"",""CRONUS JetCorp USA"",""21"",""1"",""364995"""</f>
        <v>"NAV Direct","CRONUS JetCorp USA","21","1","364995"</v>
      </c>
      <c r="E591" s="31" t="str">
        <f t="shared" si="165"/>
        <v>C100029</v>
      </c>
      <c r="F591" s="31"/>
      <c r="G591" s="31"/>
      <c r="H591" s="31"/>
      <c r="I591" s="56"/>
      <c r="J591" s="56"/>
      <c r="K591" s="82" t="str">
        <f t="shared" si="166"/>
        <v>Invoice</v>
      </c>
      <c r="L591" s="83" t="str">
        <f>"SI_111399"</f>
        <v>SI_111399</v>
      </c>
      <c r="M591" s="84">
        <v>43325</v>
      </c>
      <c r="N591" s="85">
        <f t="shared" si="167"/>
        <v>487</v>
      </c>
      <c r="O591" s="86">
        <f t="shared" si="168"/>
        <v>16907.13</v>
      </c>
      <c r="P591" s="86">
        <f t="shared" si="169"/>
        <v>0</v>
      </c>
      <c r="Q591" s="86">
        <f t="shared" si="170"/>
        <v>0</v>
      </c>
      <c r="R591" s="86">
        <f t="shared" si="171"/>
        <v>0</v>
      </c>
      <c r="S591" s="86">
        <f t="shared" si="172"/>
        <v>0</v>
      </c>
      <c r="T591" s="86">
        <f t="shared" si="173"/>
        <v>16907.13</v>
      </c>
      <c r="U591" s="87">
        <v>16907.13</v>
      </c>
    </row>
    <row r="592" spans="1:21" s="30" customFormat="1" ht="24.6" hidden="1" outlineLevel="1" x14ac:dyDescent="0.55000000000000004">
      <c r="A592" s="27" t="s">
        <v>327</v>
      </c>
      <c r="B592" s="28"/>
      <c r="C592" s="27"/>
      <c r="D592" s="27" t="str">
        <f>"""NAV Direct"",""CRONUS JetCorp USA"",""21"",""1"",""365497"""</f>
        <v>"NAV Direct","CRONUS JetCorp USA","21","1","365497"</v>
      </c>
      <c r="E592" s="31">
        <f t="shared" si="165"/>
        <v>0</v>
      </c>
      <c r="F592" s="31"/>
      <c r="G592" s="31"/>
      <c r="H592" s="31"/>
      <c r="I592" s="56"/>
      <c r="J592" s="56"/>
      <c r="K592" s="82" t="str">
        <f t="shared" si="166"/>
        <v>Invoice</v>
      </c>
      <c r="L592" s="83" t="str">
        <f>"SI_111413"</f>
        <v>SI_111413</v>
      </c>
      <c r="M592" s="84">
        <v>43408</v>
      </c>
      <c r="N592" s="85">
        <f t="shared" si="167"/>
        <v>404</v>
      </c>
      <c r="O592" s="86">
        <f t="shared" si="168"/>
        <v>17794.509999999998</v>
      </c>
      <c r="P592" s="86">
        <f t="shared" si="169"/>
        <v>0</v>
      </c>
      <c r="Q592" s="86">
        <f t="shared" si="170"/>
        <v>0</v>
      </c>
      <c r="R592" s="86">
        <f t="shared" si="171"/>
        <v>0</v>
      </c>
      <c r="S592" s="86">
        <f t="shared" si="172"/>
        <v>0</v>
      </c>
      <c r="T592" s="86">
        <f t="shared" si="173"/>
        <v>17794.509999999998</v>
      </c>
      <c r="U592" s="87">
        <v>17794.509999999998</v>
      </c>
    </row>
    <row r="593" spans="1:21" s="30" customFormat="1" ht="24.6" hidden="1" outlineLevel="1" x14ac:dyDescent="0.55000000000000004">
      <c r="A593" s="27" t="s">
        <v>327</v>
      </c>
      <c r="B593" s="28"/>
      <c r="C593" s="27"/>
      <c r="D593" s="27" t="str">
        <f>"""NAV Direct"",""CRONUS JetCorp USA"",""21"",""1"",""365699"""</f>
        <v>"NAV Direct","CRONUS JetCorp USA","21","1","365699"</v>
      </c>
      <c r="E593" s="31" t="str">
        <f t="shared" si="165"/>
        <v>C100029</v>
      </c>
      <c r="F593" s="31"/>
      <c r="G593" s="31"/>
      <c r="H593" s="31"/>
      <c r="I593" s="56"/>
      <c r="J593" s="56"/>
      <c r="K593" s="82" t="str">
        <f t="shared" si="166"/>
        <v>Invoice</v>
      </c>
      <c r="L593" s="83" t="str">
        <f>"SI_111419"</f>
        <v>SI_111419</v>
      </c>
      <c r="M593" s="84">
        <v>43435</v>
      </c>
      <c r="N593" s="85">
        <f t="shared" si="167"/>
        <v>377</v>
      </c>
      <c r="O593" s="86">
        <f t="shared" si="168"/>
        <v>19147.2</v>
      </c>
      <c r="P593" s="86">
        <f t="shared" si="169"/>
        <v>0</v>
      </c>
      <c r="Q593" s="86">
        <f t="shared" si="170"/>
        <v>0</v>
      </c>
      <c r="R593" s="86">
        <f t="shared" si="171"/>
        <v>0</v>
      </c>
      <c r="S593" s="86">
        <f t="shared" si="172"/>
        <v>0</v>
      </c>
      <c r="T593" s="86">
        <f t="shared" si="173"/>
        <v>19147.2</v>
      </c>
      <c r="U593" s="87">
        <v>19147.2</v>
      </c>
    </row>
    <row r="594" spans="1:21" s="30" customFormat="1" ht="24.6" hidden="1" outlineLevel="1" x14ac:dyDescent="0.55000000000000004">
      <c r="A594" s="27" t="s">
        <v>327</v>
      </c>
      <c r="B594" s="28"/>
      <c r="C594" s="27"/>
      <c r="D594" s="27" t="str">
        <f>"""NAV Direct"",""CRONUS JetCorp USA"",""21"",""1"",""365742"""</f>
        <v>"NAV Direct","CRONUS JetCorp USA","21","1","365742"</v>
      </c>
      <c r="E594" s="31">
        <f t="shared" si="165"/>
        <v>0</v>
      </c>
      <c r="F594" s="31"/>
      <c r="G594" s="31"/>
      <c r="H594" s="31"/>
      <c r="I594" s="56"/>
      <c r="J594" s="56"/>
      <c r="K594" s="82" t="str">
        <f t="shared" si="166"/>
        <v>Invoice</v>
      </c>
      <c r="L594" s="83" t="str">
        <f>"SI_111420"</f>
        <v>SI_111420</v>
      </c>
      <c r="M594" s="84">
        <v>43448</v>
      </c>
      <c r="N594" s="85">
        <f t="shared" si="167"/>
        <v>364</v>
      </c>
      <c r="O594" s="86">
        <f t="shared" si="168"/>
        <v>21290.47</v>
      </c>
      <c r="P594" s="86">
        <f t="shared" si="169"/>
        <v>0</v>
      </c>
      <c r="Q594" s="86">
        <f t="shared" si="170"/>
        <v>0</v>
      </c>
      <c r="R594" s="86">
        <f t="shared" si="171"/>
        <v>0</v>
      </c>
      <c r="S594" s="86">
        <f t="shared" si="172"/>
        <v>0</v>
      </c>
      <c r="T594" s="86">
        <f t="shared" si="173"/>
        <v>21290.47</v>
      </c>
      <c r="U594" s="87">
        <v>21290.47</v>
      </c>
    </row>
    <row r="595" spans="1:21" s="30" customFormat="1" ht="24.6" hidden="1" outlineLevel="1" x14ac:dyDescent="0.55000000000000004">
      <c r="A595" s="27" t="s">
        <v>327</v>
      </c>
      <c r="B595" s="28"/>
      <c r="C595" s="27"/>
      <c r="D595" s="27" t="str">
        <f>"""NAV Direct"",""CRONUS JetCorp USA"",""21"",""1"",""365837"""</f>
        <v>"NAV Direct","CRONUS JetCorp USA","21","1","365837"</v>
      </c>
      <c r="E595" s="31" t="str">
        <f t="shared" si="165"/>
        <v>C100029</v>
      </c>
      <c r="F595" s="31"/>
      <c r="G595" s="31"/>
      <c r="H595" s="31"/>
      <c r="I595" s="56"/>
      <c r="J595" s="56"/>
      <c r="K595" s="82" t="str">
        <f t="shared" si="166"/>
        <v>Invoice</v>
      </c>
      <c r="L595" s="83" t="str">
        <f>"SI_111423"</f>
        <v>SI_111423</v>
      </c>
      <c r="M595" s="84">
        <v>43464</v>
      </c>
      <c r="N595" s="85">
        <f t="shared" si="167"/>
        <v>348</v>
      </c>
      <c r="O595" s="86">
        <f t="shared" si="168"/>
        <v>21290.5</v>
      </c>
      <c r="P595" s="86">
        <f t="shared" si="169"/>
        <v>0</v>
      </c>
      <c r="Q595" s="86">
        <f t="shared" si="170"/>
        <v>0</v>
      </c>
      <c r="R595" s="86">
        <f t="shared" si="171"/>
        <v>0</v>
      </c>
      <c r="S595" s="86">
        <f t="shared" si="172"/>
        <v>0</v>
      </c>
      <c r="T595" s="86">
        <f t="shared" si="173"/>
        <v>21290.5</v>
      </c>
      <c r="U595" s="87">
        <v>21290.5</v>
      </c>
    </row>
    <row r="596" spans="1:21" s="30" customFormat="1" ht="24.6" hidden="1" outlineLevel="1" x14ac:dyDescent="0.55000000000000004">
      <c r="A596" s="27" t="s">
        <v>327</v>
      </c>
      <c r="B596" s="28"/>
      <c r="C596" s="27"/>
      <c r="D596" s="27" t="str">
        <f>"""NAV Direct"",""CRONUS JetCorp USA"",""21"",""1"",""365983"""</f>
        <v>"NAV Direct","CRONUS JetCorp USA","21","1","365983"</v>
      </c>
      <c r="E596" s="31">
        <f t="shared" si="165"/>
        <v>0</v>
      </c>
      <c r="F596" s="31"/>
      <c r="G596" s="31"/>
      <c r="H596" s="31"/>
      <c r="I596" s="56"/>
      <c r="J596" s="56"/>
      <c r="K596" s="82" t="str">
        <f t="shared" si="166"/>
        <v>Invoice</v>
      </c>
      <c r="L596" s="83" t="str">
        <f>"SI_111427"</f>
        <v>SI_111427</v>
      </c>
      <c r="M596" s="84">
        <v>43484</v>
      </c>
      <c r="N596" s="85">
        <f t="shared" si="167"/>
        <v>328</v>
      </c>
      <c r="O596" s="86">
        <f t="shared" si="168"/>
        <v>20183.669999999998</v>
      </c>
      <c r="P596" s="86">
        <f t="shared" si="169"/>
        <v>0</v>
      </c>
      <c r="Q596" s="86">
        <f t="shared" si="170"/>
        <v>0</v>
      </c>
      <c r="R596" s="86">
        <f t="shared" si="171"/>
        <v>0</v>
      </c>
      <c r="S596" s="86">
        <f t="shared" si="172"/>
        <v>0</v>
      </c>
      <c r="T596" s="86">
        <f t="shared" si="173"/>
        <v>20183.669999999998</v>
      </c>
      <c r="U596" s="87">
        <v>20183.669999999998</v>
      </c>
    </row>
    <row r="597" spans="1:21" s="30" customFormat="1" ht="24.6" hidden="1" outlineLevel="1" x14ac:dyDescent="0.55000000000000004">
      <c r="A597" s="27" t="s">
        <v>327</v>
      </c>
      <c r="B597" s="28"/>
      <c r="C597" s="27"/>
      <c r="D597" s="27" t="str">
        <f>"""NAV Direct"",""CRONUS JetCorp USA"",""21"",""1"",""366234"""</f>
        <v>"NAV Direct","CRONUS JetCorp USA","21","1","366234"</v>
      </c>
      <c r="E597" s="31" t="str">
        <f t="shared" si="165"/>
        <v>C100029</v>
      </c>
      <c r="F597" s="31"/>
      <c r="G597" s="31"/>
      <c r="H597" s="31"/>
      <c r="I597" s="56"/>
      <c r="J597" s="56"/>
      <c r="K597" s="82" t="str">
        <f t="shared" si="166"/>
        <v>Invoice</v>
      </c>
      <c r="L597" s="83" t="str">
        <f>"SI_111434"</f>
        <v>SI_111434</v>
      </c>
      <c r="M597" s="84">
        <v>43527</v>
      </c>
      <c r="N597" s="85">
        <f t="shared" si="167"/>
        <v>285</v>
      </c>
      <c r="O597" s="86">
        <f t="shared" si="168"/>
        <v>18569.18</v>
      </c>
      <c r="P597" s="86">
        <f t="shared" si="169"/>
        <v>0</v>
      </c>
      <c r="Q597" s="86">
        <f t="shared" si="170"/>
        <v>0</v>
      </c>
      <c r="R597" s="86">
        <f t="shared" si="171"/>
        <v>0</v>
      </c>
      <c r="S597" s="86">
        <f t="shared" si="172"/>
        <v>0</v>
      </c>
      <c r="T597" s="86">
        <f t="shared" si="173"/>
        <v>18569.18</v>
      </c>
      <c r="U597" s="87">
        <v>18569.18</v>
      </c>
    </row>
    <row r="598" spans="1:21" s="30" customFormat="1" ht="24.6" hidden="1" outlineLevel="1" x14ac:dyDescent="0.55000000000000004">
      <c r="A598" s="27" t="s">
        <v>327</v>
      </c>
      <c r="B598" s="28"/>
      <c r="C598" s="27"/>
      <c r="D598" s="27" t="str">
        <f>"""NAV Direct"",""CRONUS JetCorp USA"",""21"",""1"",""366610"""</f>
        <v>"NAV Direct","CRONUS JetCorp USA","21","1","366610"</v>
      </c>
      <c r="E598" s="31">
        <f t="shared" si="165"/>
        <v>0</v>
      </c>
      <c r="F598" s="31"/>
      <c r="G598" s="31"/>
      <c r="H598" s="31"/>
      <c r="I598" s="56"/>
      <c r="J598" s="56"/>
      <c r="K598" s="82" t="str">
        <f t="shared" si="166"/>
        <v>Invoice</v>
      </c>
      <c r="L598" s="83" t="str">
        <f>"SI_111444"</f>
        <v>SI_111444</v>
      </c>
      <c r="M598" s="84">
        <v>43578</v>
      </c>
      <c r="N598" s="85">
        <f t="shared" si="167"/>
        <v>234</v>
      </c>
      <c r="O598" s="86">
        <f t="shared" si="168"/>
        <v>18393.48</v>
      </c>
      <c r="P598" s="86">
        <f t="shared" si="169"/>
        <v>0</v>
      </c>
      <c r="Q598" s="86">
        <f t="shared" si="170"/>
        <v>0</v>
      </c>
      <c r="R598" s="86">
        <f t="shared" si="171"/>
        <v>0</v>
      </c>
      <c r="S598" s="86">
        <f t="shared" si="172"/>
        <v>0</v>
      </c>
      <c r="T598" s="86">
        <f t="shared" si="173"/>
        <v>18393.48</v>
      </c>
      <c r="U598" s="87">
        <v>18393.48</v>
      </c>
    </row>
    <row r="599" spans="1:21" s="30" customFormat="1" ht="24.6" hidden="1" outlineLevel="1" x14ac:dyDescent="0.55000000000000004">
      <c r="A599" s="27" t="s">
        <v>327</v>
      </c>
      <c r="B599" s="28"/>
      <c r="C599" s="27"/>
      <c r="D599" s="27" t="str">
        <f>"""NAV Direct"",""CRONUS JetCorp USA"",""21"",""1"",""366667"""</f>
        <v>"NAV Direct","CRONUS JetCorp USA","21","1","366667"</v>
      </c>
      <c r="E599" s="31" t="str">
        <f t="shared" ref="E599:E620" si="174">E597</f>
        <v>C100029</v>
      </c>
      <c r="F599" s="31"/>
      <c r="G599" s="31"/>
      <c r="H599" s="31"/>
      <c r="I599" s="56"/>
      <c r="J599" s="56"/>
      <c r="K599" s="82" t="str">
        <f t="shared" si="166"/>
        <v>Invoice</v>
      </c>
      <c r="L599" s="83" t="str">
        <f>"SI_111445"</f>
        <v>SI_111445</v>
      </c>
      <c r="M599" s="84">
        <v>43578</v>
      </c>
      <c r="N599" s="85">
        <f t="shared" ref="N599:N620" si="175">StartDate-$M599+1</f>
        <v>234</v>
      </c>
      <c r="O599" s="86">
        <f t="shared" ref="O599:O620" si="176">SUM(P599:T599)</f>
        <v>18393.12</v>
      </c>
      <c r="P599" s="86">
        <f t="shared" ref="P599:P620" si="177">IF($M599&gt;=$P$18,U599,0)</f>
        <v>0</v>
      </c>
      <c r="Q599" s="86">
        <f t="shared" ref="Q599:Q620" si="178">IF(AND($M599&gt;=$Q$16,$M599&lt;=$Q$18),U599,0)</f>
        <v>0</v>
      </c>
      <c r="R599" s="86">
        <f t="shared" ref="R599:R620" si="179">IF(AND($M599&gt;=$R$16,$M599&lt;=$R$18),U599,0)</f>
        <v>0</v>
      </c>
      <c r="S599" s="86">
        <f t="shared" ref="S599:S620" si="180">IF(AND($M599&gt;=$S$16,$M599&lt;=$S$18),U599,0)</f>
        <v>0</v>
      </c>
      <c r="T599" s="86">
        <f t="shared" ref="T599:T620" si="181">IF($M599&lt;=$T$18,U599,0)</f>
        <v>18393.12</v>
      </c>
      <c r="U599" s="87">
        <v>18393.12</v>
      </c>
    </row>
    <row r="600" spans="1:21" s="30" customFormat="1" ht="24.6" hidden="1" outlineLevel="1" x14ac:dyDescent="0.55000000000000004">
      <c r="A600" s="27" t="s">
        <v>327</v>
      </c>
      <c r="B600" s="28"/>
      <c r="C600" s="27"/>
      <c r="D600" s="27" t="str">
        <f>"""NAV Direct"",""CRONUS JetCorp USA"",""21"",""1"",""367766"""</f>
        <v>"NAV Direct","CRONUS JetCorp USA","21","1","367766"</v>
      </c>
      <c r="E600" s="31">
        <f t="shared" si="174"/>
        <v>0</v>
      </c>
      <c r="F600" s="31"/>
      <c r="G600" s="31"/>
      <c r="H600" s="31"/>
      <c r="I600" s="56"/>
      <c r="J600" s="56"/>
      <c r="K600" s="82" t="str">
        <f t="shared" si="166"/>
        <v>Invoice</v>
      </c>
      <c r="L600" s="83" t="str">
        <f>"SI_111474"</f>
        <v>SI_111474</v>
      </c>
      <c r="M600" s="84">
        <v>43701</v>
      </c>
      <c r="N600" s="85">
        <f t="shared" si="175"/>
        <v>111</v>
      </c>
      <c r="O600" s="86">
        <f t="shared" si="176"/>
        <v>13772.289999999999</v>
      </c>
      <c r="P600" s="86">
        <f t="shared" si="177"/>
        <v>0</v>
      </c>
      <c r="Q600" s="86">
        <f t="shared" si="178"/>
        <v>0</v>
      </c>
      <c r="R600" s="86">
        <f t="shared" si="179"/>
        <v>0</v>
      </c>
      <c r="S600" s="86">
        <f t="shared" si="180"/>
        <v>0</v>
      </c>
      <c r="T600" s="86">
        <f t="shared" si="181"/>
        <v>13772.289999999999</v>
      </c>
      <c r="U600" s="87">
        <v>13772.289999999999</v>
      </c>
    </row>
    <row r="601" spans="1:21" s="30" customFormat="1" ht="24.6" hidden="1" outlineLevel="1" x14ac:dyDescent="0.55000000000000004">
      <c r="A601" s="27" t="s">
        <v>327</v>
      </c>
      <c r="B601" s="28"/>
      <c r="C601" s="27"/>
      <c r="D601" s="27" t="str">
        <f>"""NAV Direct"",""CRONUS JetCorp USA"",""21"",""1"",""367918"""</f>
        <v>"NAV Direct","CRONUS JetCorp USA","21","1","367918"</v>
      </c>
      <c r="E601" s="31" t="str">
        <f t="shared" si="174"/>
        <v>C100029</v>
      </c>
      <c r="F601" s="31"/>
      <c r="G601" s="31"/>
      <c r="H601" s="31"/>
      <c r="I601" s="56"/>
      <c r="J601" s="56"/>
      <c r="K601" s="82" t="str">
        <f t="shared" si="166"/>
        <v>Invoice</v>
      </c>
      <c r="L601" s="83" t="str">
        <f>"SI_111478"</f>
        <v>SI_111478</v>
      </c>
      <c r="M601" s="84">
        <v>43726</v>
      </c>
      <c r="N601" s="85">
        <f t="shared" si="175"/>
        <v>86</v>
      </c>
      <c r="O601" s="86">
        <f t="shared" si="176"/>
        <v>12670.27</v>
      </c>
      <c r="P601" s="86">
        <f t="shared" si="177"/>
        <v>0</v>
      </c>
      <c r="Q601" s="86">
        <f t="shared" si="178"/>
        <v>0</v>
      </c>
      <c r="R601" s="86">
        <f t="shared" si="179"/>
        <v>0</v>
      </c>
      <c r="S601" s="86">
        <f t="shared" si="180"/>
        <v>12670.27</v>
      </c>
      <c r="T601" s="86">
        <f t="shared" si="181"/>
        <v>0</v>
      </c>
      <c r="U601" s="87">
        <v>12670.27</v>
      </c>
    </row>
    <row r="602" spans="1:21" s="30" customFormat="1" ht="24.6" hidden="1" outlineLevel="1" x14ac:dyDescent="0.55000000000000004">
      <c r="A602" s="27" t="s">
        <v>327</v>
      </c>
      <c r="B602" s="28"/>
      <c r="C602" s="27"/>
      <c r="D602" s="27" t="str">
        <f>"""NAV Direct"",""CRONUS JetCorp USA"",""21"",""1"",""367957"""</f>
        <v>"NAV Direct","CRONUS JetCorp USA","21","1","367957"</v>
      </c>
      <c r="E602" s="31">
        <f t="shared" si="174"/>
        <v>0</v>
      </c>
      <c r="F602" s="31"/>
      <c r="G602" s="31"/>
      <c r="H602" s="31"/>
      <c r="I602" s="56"/>
      <c r="J602" s="56"/>
      <c r="K602" s="82" t="str">
        <f t="shared" si="166"/>
        <v>Invoice</v>
      </c>
      <c r="L602" s="83" t="str">
        <f>"SI_111479"</f>
        <v>SI_111479</v>
      </c>
      <c r="M602" s="84">
        <v>43731</v>
      </c>
      <c r="N602" s="85">
        <f t="shared" si="175"/>
        <v>81</v>
      </c>
      <c r="O602" s="86">
        <f t="shared" si="176"/>
        <v>12669.899999999998</v>
      </c>
      <c r="P602" s="86">
        <f t="shared" si="177"/>
        <v>0</v>
      </c>
      <c r="Q602" s="86">
        <f t="shared" si="178"/>
        <v>0</v>
      </c>
      <c r="R602" s="86">
        <f t="shared" si="179"/>
        <v>0</v>
      </c>
      <c r="S602" s="86">
        <f t="shared" si="180"/>
        <v>12669.899999999998</v>
      </c>
      <c r="T602" s="86">
        <f t="shared" si="181"/>
        <v>0</v>
      </c>
      <c r="U602" s="87">
        <v>12669.899999999998</v>
      </c>
    </row>
    <row r="603" spans="1:21" s="30" customFormat="1" ht="24.6" hidden="1" outlineLevel="1" x14ac:dyDescent="0.55000000000000004">
      <c r="A603" s="27" t="s">
        <v>327</v>
      </c>
      <c r="B603" s="28"/>
      <c r="C603" s="27"/>
      <c r="D603" s="27" t="str">
        <f>"""NAV Direct"",""CRONUS JetCorp USA"",""21"",""1"",""368694"""</f>
        <v>"NAV Direct","CRONUS JetCorp USA","21","1","368694"</v>
      </c>
      <c r="E603" s="31" t="str">
        <f t="shared" si="174"/>
        <v>C100029</v>
      </c>
      <c r="F603" s="31"/>
      <c r="G603" s="31"/>
      <c r="H603" s="31"/>
      <c r="I603" s="56"/>
      <c r="J603" s="56"/>
      <c r="K603" s="82" t="str">
        <f t="shared" si="166"/>
        <v>Invoice</v>
      </c>
      <c r="L603" s="83" t="str">
        <f>"SI_111500"</f>
        <v>SI_111500</v>
      </c>
      <c r="M603" s="84">
        <v>43827</v>
      </c>
      <c r="N603" s="85">
        <f t="shared" si="175"/>
        <v>-15</v>
      </c>
      <c r="O603" s="86">
        <f t="shared" si="176"/>
        <v>17476.560000000001</v>
      </c>
      <c r="P603" s="86">
        <f t="shared" si="177"/>
        <v>17476.560000000001</v>
      </c>
      <c r="Q603" s="86">
        <f t="shared" si="178"/>
        <v>0</v>
      </c>
      <c r="R603" s="86">
        <f t="shared" si="179"/>
        <v>0</v>
      </c>
      <c r="S603" s="86">
        <f t="shared" si="180"/>
        <v>0</v>
      </c>
      <c r="T603" s="86">
        <f t="shared" si="181"/>
        <v>0</v>
      </c>
      <c r="U603" s="87">
        <v>17476.560000000001</v>
      </c>
    </row>
    <row r="604" spans="1:21" s="30" customFormat="1" ht="24.6" hidden="1" outlineLevel="1" x14ac:dyDescent="0.55000000000000004">
      <c r="A604" s="27" t="s">
        <v>327</v>
      </c>
      <c r="B604" s="28"/>
      <c r="C604" s="27"/>
      <c r="D604" s="27" t="str">
        <f>"""NAV Direct"",""CRONUS JetCorp USA"",""21"",""1"",""368912"""</f>
        <v>"NAV Direct","CRONUS JetCorp USA","21","1","368912"</v>
      </c>
      <c r="E604" s="31">
        <f t="shared" si="174"/>
        <v>0</v>
      </c>
      <c r="F604" s="31"/>
      <c r="G604" s="31"/>
      <c r="H604" s="31"/>
      <c r="I604" s="56"/>
      <c r="J604" s="56"/>
      <c r="K604" s="82" t="str">
        <f t="shared" si="166"/>
        <v>Invoice</v>
      </c>
      <c r="L604" s="83" t="str">
        <f>"SI_111506"</f>
        <v>SI_111506</v>
      </c>
      <c r="M604" s="84">
        <v>42025</v>
      </c>
      <c r="N604" s="85">
        <f t="shared" si="175"/>
        <v>1787</v>
      </c>
      <c r="O604" s="86">
        <f t="shared" si="176"/>
        <v>16987.63</v>
      </c>
      <c r="P604" s="86">
        <f t="shared" si="177"/>
        <v>0</v>
      </c>
      <c r="Q604" s="86">
        <f t="shared" si="178"/>
        <v>0</v>
      </c>
      <c r="R604" s="86">
        <f t="shared" si="179"/>
        <v>0</v>
      </c>
      <c r="S604" s="86">
        <f t="shared" si="180"/>
        <v>0</v>
      </c>
      <c r="T604" s="86">
        <f t="shared" si="181"/>
        <v>16987.63</v>
      </c>
      <c r="U604" s="87">
        <v>16987.63</v>
      </c>
    </row>
    <row r="605" spans="1:21" s="30" customFormat="1" ht="24.6" hidden="1" outlineLevel="1" x14ac:dyDescent="0.55000000000000004">
      <c r="A605" s="27" t="s">
        <v>327</v>
      </c>
      <c r="B605" s="28"/>
      <c r="C605" s="27"/>
      <c r="D605" s="27" t="str">
        <f>"""NAV Direct"",""CRONUS JetCorp USA"",""21"",""1"",""369112"""</f>
        <v>"NAV Direct","CRONUS JetCorp USA","21","1","369112"</v>
      </c>
      <c r="E605" s="31" t="str">
        <f t="shared" si="174"/>
        <v>C100029</v>
      </c>
      <c r="F605" s="31"/>
      <c r="G605" s="31"/>
      <c r="H605" s="31"/>
      <c r="I605" s="56"/>
      <c r="J605" s="56"/>
      <c r="K605" s="82" t="str">
        <f t="shared" si="166"/>
        <v>Invoice</v>
      </c>
      <c r="L605" s="83" t="str">
        <f>"SI_111512"</f>
        <v>SI_111512</v>
      </c>
      <c r="M605" s="84">
        <v>42067</v>
      </c>
      <c r="N605" s="85">
        <f t="shared" si="175"/>
        <v>1745</v>
      </c>
      <c r="O605" s="86">
        <f t="shared" si="176"/>
        <v>15764.51</v>
      </c>
      <c r="P605" s="86">
        <f t="shared" si="177"/>
        <v>0</v>
      </c>
      <c r="Q605" s="86">
        <f t="shared" si="178"/>
        <v>0</v>
      </c>
      <c r="R605" s="86">
        <f t="shared" si="179"/>
        <v>0</v>
      </c>
      <c r="S605" s="86">
        <f t="shared" si="180"/>
        <v>0</v>
      </c>
      <c r="T605" s="86">
        <f t="shared" si="181"/>
        <v>15764.51</v>
      </c>
      <c r="U605" s="87">
        <v>15764.51</v>
      </c>
    </row>
    <row r="606" spans="1:21" s="30" customFormat="1" ht="24.6" hidden="1" outlineLevel="1" x14ac:dyDescent="0.55000000000000004">
      <c r="A606" s="27" t="s">
        <v>327</v>
      </c>
      <c r="B606" s="28"/>
      <c r="C606" s="27"/>
      <c r="D606" s="27" t="str">
        <f>"""NAV Direct"",""CRONUS JetCorp USA"",""21"",""1"",""369470"""</f>
        <v>"NAV Direct","CRONUS JetCorp USA","21","1","369470"</v>
      </c>
      <c r="E606" s="31">
        <f t="shared" si="174"/>
        <v>0</v>
      </c>
      <c r="F606" s="31"/>
      <c r="G606" s="31"/>
      <c r="H606" s="31"/>
      <c r="I606" s="56"/>
      <c r="J606" s="56"/>
      <c r="K606" s="82" t="str">
        <f t="shared" si="166"/>
        <v>Invoice</v>
      </c>
      <c r="L606" s="83" t="str">
        <f>"SI_111522"</f>
        <v>SI_111522</v>
      </c>
      <c r="M606" s="84">
        <v>42122</v>
      </c>
      <c r="N606" s="85">
        <f t="shared" si="175"/>
        <v>1690</v>
      </c>
      <c r="O606" s="86">
        <f t="shared" si="176"/>
        <v>16561.29</v>
      </c>
      <c r="P606" s="86">
        <f t="shared" si="177"/>
        <v>0</v>
      </c>
      <c r="Q606" s="86">
        <f t="shared" si="178"/>
        <v>0</v>
      </c>
      <c r="R606" s="86">
        <f t="shared" si="179"/>
        <v>0</v>
      </c>
      <c r="S606" s="86">
        <f t="shared" si="180"/>
        <v>0</v>
      </c>
      <c r="T606" s="86">
        <f t="shared" si="181"/>
        <v>16561.29</v>
      </c>
      <c r="U606" s="87">
        <v>16561.29</v>
      </c>
    </row>
    <row r="607" spans="1:21" s="30" customFormat="1" ht="24.6" hidden="1" outlineLevel="1" x14ac:dyDescent="0.55000000000000004">
      <c r="A607" s="27" t="s">
        <v>327</v>
      </c>
      <c r="B607" s="28"/>
      <c r="C607" s="27"/>
      <c r="D607" s="27" t="str">
        <f>"""NAV Direct"",""CRONUS JetCorp USA"",""21"",""1"",""369717"""</f>
        <v>"NAV Direct","CRONUS JetCorp USA","21","1","369717"</v>
      </c>
      <c r="E607" s="31" t="str">
        <f t="shared" si="174"/>
        <v>C100029</v>
      </c>
      <c r="F607" s="31"/>
      <c r="G607" s="31"/>
      <c r="H607" s="31"/>
      <c r="I607" s="56"/>
      <c r="J607" s="56"/>
      <c r="K607" s="82" t="str">
        <f t="shared" si="166"/>
        <v>Invoice</v>
      </c>
      <c r="L607" s="83" t="str">
        <f>"SI_111529"</f>
        <v>SI_111529</v>
      </c>
      <c r="M607" s="84">
        <v>42171</v>
      </c>
      <c r="N607" s="85">
        <f t="shared" si="175"/>
        <v>1641</v>
      </c>
      <c r="O607" s="86">
        <f t="shared" si="176"/>
        <v>21209.41</v>
      </c>
      <c r="P607" s="86">
        <f t="shared" si="177"/>
        <v>0</v>
      </c>
      <c r="Q607" s="86">
        <f t="shared" si="178"/>
        <v>0</v>
      </c>
      <c r="R607" s="86">
        <f t="shared" si="179"/>
        <v>0</v>
      </c>
      <c r="S607" s="86">
        <f t="shared" si="180"/>
        <v>0</v>
      </c>
      <c r="T607" s="86">
        <f t="shared" si="181"/>
        <v>21209.41</v>
      </c>
      <c r="U607" s="87">
        <v>21209.41</v>
      </c>
    </row>
    <row r="608" spans="1:21" s="30" customFormat="1" ht="24.6" hidden="1" outlineLevel="1" x14ac:dyDescent="0.55000000000000004">
      <c r="A608" s="27" t="s">
        <v>327</v>
      </c>
      <c r="B608" s="28"/>
      <c r="C608" s="27"/>
      <c r="D608" s="27" t="str">
        <f>"""NAV Direct"",""CRONUS JetCorp USA"",""21"",""1"",""370118"""</f>
        <v>"NAV Direct","CRONUS JetCorp USA","21","1","370118"</v>
      </c>
      <c r="E608" s="31">
        <f t="shared" si="174"/>
        <v>0</v>
      </c>
      <c r="F608" s="31"/>
      <c r="G608" s="31"/>
      <c r="H608" s="31"/>
      <c r="I608" s="56"/>
      <c r="J608" s="56"/>
      <c r="K608" s="82" t="str">
        <f t="shared" si="166"/>
        <v>Invoice</v>
      </c>
      <c r="L608" s="83" t="str">
        <f>"SI_111540"</f>
        <v>SI_111540</v>
      </c>
      <c r="M608" s="84">
        <v>42208</v>
      </c>
      <c r="N608" s="85">
        <f t="shared" si="175"/>
        <v>1604</v>
      </c>
      <c r="O608" s="86">
        <f t="shared" si="176"/>
        <v>14028.02</v>
      </c>
      <c r="P608" s="86">
        <f t="shared" si="177"/>
        <v>0</v>
      </c>
      <c r="Q608" s="86">
        <f t="shared" si="178"/>
        <v>0</v>
      </c>
      <c r="R608" s="86">
        <f t="shared" si="179"/>
        <v>0</v>
      </c>
      <c r="S608" s="86">
        <f t="shared" si="180"/>
        <v>0</v>
      </c>
      <c r="T608" s="86">
        <f t="shared" si="181"/>
        <v>14028.02</v>
      </c>
      <c r="U608" s="87">
        <v>14028.02</v>
      </c>
    </row>
    <row r="609" spans="1:21" s="30" customFormat="1" ht="24.6" hidden="1" outlineLevel="1" x14ac:dyDescent="0.55000000000000004">
      <c r="A609" s="27" t="s">
        <v>327</v>
      </c>
      <c r="B609" s="28"/>
      <c r="C609" s="27"/>
      <c r="D609" s="27" t="str">
        <f>"""NAV Direct"",""CRONUS JetCorp USA"",""21"",""1"",""370155"""</f>
        <v>"NAV Direct","CRONUS JetCorp USA","21","1","370155"</v>
      </c>
      <c r="E609" s="31" t="str">
        <f t="shared" si="174"/>
        <v>C100029</v>
      </c>
      <c r="F609" s="31"/>
      <c r="G609" s="31"/>
      <c r="H609" s="31"/>
      <c r="I609" s="56"/>
      <c r="J609" s="56"/>
      <c r="K609" s="82" t="str">
        <f t="shared" si="166"/>
        <v>Invoice</v>
      </c>
      <c r="L609" s="83" t="str">
        <f>"SI_111541"</f>
        <v>SI_111541</v>
      </c>
      <c r="M609" s="84">
        <v>42215</v>
      </c>
      <c r="N609" s="85">
        <f t="shared" si="175"/>
        <v>1597</v>
      </c>
      <c r="O609" s="86">
        <f t="shared" si="176"/>
        <v>14027.619999999999</v>
      </c>
      <c r="P609" s="86">
        <f t="shared" si="177"/>
        <v>0</v>
      </c>
      <c r="Q609" s="86">
        <f t="shared" si="178"/>
        <v>0</v>
      </c>
      <c r="R609" s="86">
        <f t="shared" si="179"/>
        <v>0</v>
      </c>
      <c r="S609" s="86">
        <f t="shared" si="180"/>
        <v>0</v>
      </c>
      <c r="T609" s="86">
        <f t="shared" si="181"/>
        <v>14027.619999999999</v>
      </c>
      <c r="U609" s="87">
        <v>14027.619999999999</v>
      </c>
    </row>
    <row r="610" spans="1:21" s="30" customFormat="1" ht="24.6" hidden="1" outlineLevel="1" x14ac:dyDescent="0.55000000000000004">
      <c r="A610" s="27" t="s">
        <v>327</v>
      </c>
      <c r="B610" s="28"/>
      <c r="C610" s="27"/>
      <c r="D610" s="27" t="str">
        <f>"""NAV Direct"",""CRONUS JetCorp USA"",""21"",""1"",""435808"""</f>
        <v>"NAV Direct","CRONUS JetCorp USA","21","1","435808"</v>
      </c>
      <c r="E610" s="31">
        <f t="shared" si="174"/>
        <v>0</v>
      </c>
      <c r="F610" s="31"/>
      <c r="G610" s="31"/>
      <c r="H610" s="31"/>
      <c r="I610" s="56"/>
      <c r="J610" s="56"/>
      <c r="K610" s="82" t="str">
        <f t="shared" ref="K610:K620" si="182">"Credit Memo"</f>
        <v>Credit Memo</v>
      </c>
      <c r="L610" s="83" t="str">
        <f>"SC_100642"</f>
        <v>SC_100642</v>
      </c>
      <c r="M610" s="84">
        <v>42593</v>
      </c>
      <c r="N610" s="85">
        <f t="shared" si="175"/>
        <v>1219</v>
      </c>
      <c r="O610" s="86">
        <f t="shared" si="176"/>
        <v>-96.050000000000011</v>
      </c>
      <c r="P610" s="86">
        <f t="shared" si="177"/>
        <v>0</v>
      </c>
      <c r="Q610" s="86">
        <f t="shared" si="178"/>
        <v>0</v>
      </c>
      <c r="R610" s="86">
        <f t="shared" si="179"/>
        <v>0</v>
      </c>
      <c r="S610" s="86">
        <f t="shared" si="180"/>
        <v>0</v>
      </c>
      <c r="T610" s="86">
        <f t="shared" si="181"/>
        <v>-96.050000000000011</v>
      </c>
      <c r="U610" s="87">
        <v>-96.050000000000011</v>
      </c>
    </row>
    <row r="611" spans="1:21" s="30" customFormat="1" ht="24.6" hidden="1" outlineLevel="1" x14ac:dyDescent="0.55000000000000004">
      <c r="A611" s="27" t="s">
        <v>327</v>
      </c>
      <c r="B611" s="28"/>
      <c r="C611" s="27"/>
      <c r="D611" s="27" t="str">
        <f>"""NAV Direct"",""CRONUS JetCorp USA"",""21"",""1"",""435885"""</f>
        <v>"NAV Direct","CRONUS JetCorp USA","21","1","435885"</v>
      </c>
      <c r="E611" s="31" t="str">
        <f t="shared" si="174"/>
        <v>C100029</v>
      </c>
      <c r="F611" s="31"/>
      <c r="G611" s="31"/>
      <c r="H611" s="31"/>
      <c r="I611" s="56"/>
      <c r="J611" s="56"/>
      <c r="K611" s="82" t="str">
        <f t="shared" si="182"/>
        <v>Credit Memo</v>
      </c>
      <c r="L611" s="83" t="str">
        <f>"SC_100647"</f>
        <v>SC_100647</v>
      </c>
      <c r="M611" s="84">
        <v>42765</v>
      </c>
      <c r="N611" s="85">
        <f t="shared" si="175"/>
        <v>1047</v>
      </c>
      <c r="O611" s="86">
        <f t="shared" si="176"/>
        <v>-121.33000000000001</v>
      </c>
      <c r="P611" s="86">
        <f t="shared" si="177"/>
        <v>0</v>
      </c>
      <c r="Q611" s="86">
        <f t="shared" si="178"/>
        <v>0</v>
      </c>
      <c r="R611" s="86">
        <f t="shared" si="179"/>
        <v>0</v>
      </c>
      <c r="S611" s="86">
        <f t="shared" si="180"/>
        <v>0</v>
      </c>
      <c r="T611" s="86">
        <f t="shared" si="181"/>
        <v>-121.33000000000001</v>
      </c>
      <c r="U611" s="87">
        <v>-121.33000000000001</v>
      </c>
    </row>
    <row r="612" spans="1:21" s="30" customFormat="1" ht="24.6" hidden="1" outlineLevel="1" x14ac:dyDescent="0.55000000000000004">
      <c r="A612" s="27" t="s">
        <v>327</v>
      </c>
      <c r="B612" s="28"/>
      <c r="C612" s="27"/>
      <c r="D612" s="27" t="str">
        <f>"""NAV Direct"",""CRONUS JetCorp USA"",""21"",""1"",""435981"""</f>
        <v>"NAV Direct","CRONUS JetCorp USA","21","1","435981"</v>
      </c>
      <c r="E612" s="31">
        <f t="shared" si="174"/>
        <v>0</v>
      </c>
      <c r="F612" s="31"/>
      <c r="G612" s="31"/>
      <c r="H612" s="31"/>
      <c r="I612" s="56"/>
      <c r="J612" s="56"/>
      <c r="K612" s="82" t="str">
        <f t="shared" si="182"/>
        <v>Credit Memo</v>
      </c>
      <c r="L612" s="83" t="str">
        <f>"SC_100655"</f>
        <v>SC_100655</v>
      </c>
      <c r="M612" s="84">
        <v>42873</v>
      </c>
      <c r="N612" s="85">
        <f t="shared" si="175"/>
        <v>939</v>
      </c>
      <c r="O612" s="86">
        <f t="shared" si="176"/>
        <v>-143.26000000000002</v>
      </c>
      <c r="P612" s="86">
        <f t="shared" si="177"/>
        <v>0</v>
      </c>
      <c r="Q612" s="86">
        <f t="shared" si="178"/>
        <v>0</v>
      </c>
      <c r="R612" s="86">
        <f t="shared" si="179"/>
        <v>0</v>
      </c>
      <c r="S612" s="86">
        <f t="shared" si="180"/>
        <v>0</v>
      </c>
      <c r="T612" s="86">
        <f t="shared" si="181"/>
        <v>-143.26000000000002</v>
      </c>
      <c r="U612" s="87">
        <v>-143.26000000000002</v>
      </c>
    </row>
    <row r="613" spans="1:21" s="30" customFormat="1" ht="24.6" hidden="1" outlineLevel="1" x14ac:dyDescent="0.55000000000000004">
      <c r="A613" s="27" t="s">
        <v>327</v>
      </c>
      <c r="B613" s="28"/>
      <c r="C613" s="27"/>
      <c r="D613" s="27" t="str">
        <f>"""NAV Direct"",""CRONUS JetCorp USA"",""21"",""1"",""436075"""</f>
        <v>"NAV Direct","CRONUS JetCorp USA","21","1","436075"</v>
      </c>
      <c r="E613" s="31" t="str">
        <f t="shared" si="174"/>
        <v>C100029</v>
      </c>
      <c r="F613" s="31"/>
      <c r="G613" s="31"/>
      <c r="H613" s="31"/>
      <c r="I613" s="56"/>
      <c r="J613" s="56"/>
      <c r="K613" s="82" t="str">
        <f t="shared" si="182"/>
        <v>Credit Memo</v>
      </c>
      <c r="L613" s="83" t="str">
        <f>"SC_100661"</f>
        <v>SC_100661</v>
      </c>
      <c r="M613" s="84">
        <v>42992</v>
      </c>
      <c r="N613" s="85">
        <f t="shared" si="175"/>
        <v>820</v>
      </c>
      <c r="O613" s="86">
        <f t="shared" si="176"/>
        <v>-115.83</v>
      </c>
      <c r="P613" s="86">
        <f t="shared" si="177"/>
        <v>0</v>
      </c>
      <c r="Q613" s="86">
        <f t="shared" si="178"/>
        <v>0</v>
      </c>
      <c r="R613" s="86">
        <f t="shared" si="179"/>
        <v>0</v>
      </c>
      <c r="S613" s="86">
        <f t="shared" si="180"/>
        <v>0</v>
      </c>
      <c r="T613" s="86">
        <f t="shared" si="181"/>
        <v>-115.83</v>
      </c>
      <c r="U613" s="87">
        <v>-115.83</v>
      </c>
    </row>
    <row r="614" spans="1:21" s="30" customFormat="1" ht="24.6" hidden="1" outlineLevel="1" x14ac:dyDescent="0.55000000000000004">
      <c r="A614" s="27" t="s">
        <v>327</v>
      </c>
      <c r="B614" s="28"/>
      <c r="C614" s="27"/>
      <c r="D614" s="27" t="str">
        <f>"""NAV Direct"",""CRONUS JetCorp USA"",""21"",""1"",""436224"""</f>
        <v>"NAV Direct","CRONUS JetCorp USA","21","1","436224"</v>
      </c>
      <c r="E614" s="31">
        <f t="shared" si="174"/>
        <v>0</v>
      </c>
      <c r="F614" s="31"/>
      <c r="G614" s="31"/>
      <c r="H614" s="31"/>
      <c r="I614" s="56"/>
      <c r="J614" s="56"/>
      <c r="K614" s="82" t="str">
        <f t="shared" si="182"/>
        <v>Credit Memo</v>
      </c>
      <c r="L614" s="83" t="str">
        <f>"SC_100670"</f>
        <v>SC_100670</v>
      </c>
      <c r="M614" s="84">
        <v>43166</v>
      </c>
      <c r="N614" s="85">
        <f t="shared" si="175"/>
        <v>646</v>
      </c>
      <c r="O614" s="86">
        <f t="shared" si="176"/>
        <v>-141.76</v>
      </c>
      <c r="P614" s="86">
        <f t="shared" si="177"/>
        <v>0</v>
      </c>
      <c r="Q614" s="86">
        <f t="shared" si="178"/>
        <v>0</v>
      </c>
      <c r="R614" s="86">
        <f t="shared" si="179"/>
        <v>0</v>
      </c>
      <c r="S614" s="86">
        <f t="shared" si="180"/>
        <v>0</v>
      </c>
      <c r="T614" s="86">
        <f t="shared" si="181"/>
        <v>-141.76</v>
      </c>
      <c r="U614" s="87">
        <v>-141.76</v>
      </c>
    </row>
    <row r="615" spans="1:21" s="30" customFormat="1" ht="24.6" hidden="1" outlineLevel="1" x14ac:dyDescent="0.55000000000000004">
      <c r="A615" s="27" t="s">
        <v>327</v>
      </c>
      <c r="B615" s="28"/>
      <c r="C615" s="27"/>
      <c r="D615" s="27" t="str">
        <f>"""NAV Direct"",""CRONUS JetCorp USA"",""21"",""1"",""436363"""</f>
        <v>"NAV Direct","CRONUS JetCorp USA","21","1","436363"</v>
      </c>
      <c r="E615" s="31" t="str">
        <f t="shared" si="174"/>
        <v>C100029</v>
      </c>
      <c r="F615" s="31"/>
      <c r="G615" s="31"/>
      <c r="H615" s="31"/>
      <c r="I615" s="56"/>
      <c r="J615" s="56"/>
      <c r="K615" s="82" t="str">
        <f t="shared" si="182"/>
        <v>Credit Memo</v>
      </c>
      <c r="L615" s="83" t="str">
        <f>"SC_100679"</f>
        <v>SC_100679</v>
      </c>
      <c r="M615" s="84">
        <v>43355</v>
      </c>
      <c r="N615" s="85">
        <f t="shared" si="175"/>
        <v>457</v>
      </c>
      <c r="O615" s="86">
        <f t="shared" si="176"/>
        <v>-155.41</v>
      </c>
      <c r="P615" s="86">
        <f t="shared" si="177"/>
        <v>0</v>
      </c>
      <c r="Q615" s="86">
        <f t="shared" si="178"/>
        <v>0</v>
      </c>
      <c r="R615" s="86">
        <f t="shared" si="179"/>
        <v>0</v>
      </c>
      <c r="S615" s="86">
        <f t="shared" si="180"/>
        <v>0</v>
      </c>
      <c r="T615" s="86">
        <f t="shared" si="181"/>
        <v>-155.41</v>
      </c>
      <c r="U615" s="87">
        <v>-155.41</v>
      </c>
    </row>
    <row r="616" spans="1:21" s="30" customFormat="1" ht="24.6" hidden="1" outlineLevel="1" x14ac:dyDescent="0.55000000000000004">
      <c r="A616" s="27" t="s">
        <v>327</v>
      </c>
      <c r="B616" s="28"/>
      <c r="C616" s="27"/>
      <c r="D616" s="27" t="str">
        <f>"""NAV Direct"",""CRONUS JetCorp USA"",""21"",""1"",""436434"""</f>
        <v>"NAV Direct","CRONUS JetCorp USA","21","1","436434"</v>
      </c>
      <c r="E616" s="31">
        <f t="shared" si="174"/>
        <v>0</v>
      </c>
      <c r="F616" s="31"/>
      <c r="G616" s="31"/>
      <c r="H616" s="31"/>
      <c r="I616" s="56"/>
      <c r="J616" s="56"/>
      <c r="K616" s="82" t="str">
        <f t="shared" si="182"/>
        <v>Credit Memo</v>
      </c>
      <c r="L616" s="83" t="str">
        <f>"SC_100684"</f>
        <v>SC_100684</v>
      </c>
      <c r="M616" s="84">
        <v>43410</v>
      </c>
      <c r="N616" s="85">
        <f t="shared" si="175"/>
        <v>402</v>
      </c>
      <c r="O616" s="86">
        <f t="shared" si="176"/>
        <v>-190.36999999999998</v>
      </c>
      <c r="P616" s="86">
        <f t="shared" si="177"/>
        <v>0</v>
      </c>
      <c r="Q616" s="86">
        <f t="shared" si="178"/>
        <v>0</v>
      </c>
      <c r="R616" s="86">
        <f t="shared" si="179"/>
        <v>0</v>
      </c>
      <c r="S616" s="86">
        <f t="shared" si="180"/>
        <v>0</v>
      </c>
      <c r="T616" s="86">
        <f t="shared" si="181"/>
        <v>-190.36999999999998</v>
      </c>
      <c r="U616" s="87">
        <v>-190.36999999999998</v>
      </c>
    </row>
    <row r="617" spans="1:21" s="30" customFormat="1" ht="24.6" hidden="1" outlineLevel="1" x14ac:dyDescent="0.55000000000000004">
      <c r="A617" s="27" t="s">
        <v>327</v>
      </c>
      <c r="B617" s="28"/>
      <c r="C617" s="27"/>
      <c r="D617" s="27" t="str">
        <f>"""NAV Direct"",""CRONUS JetCorp USA"",""21"",""1"",""436460"""</f>
        <v>"NAV Direct","CRONUS JetCorp USA","21","1","436460"</v>
      </c>
      <c r="E617" s="31" t="str">
        <f t="shared" si="174"/>
        <v>C100029</v>
      </c>
      <c r="F617" s="31"/>
      <c r="G617" s="31"/>
      <c r="H617" s="31"/>
      <c r="I617" s="56"/>
      <c r="J617" s="56"/>
      <c r="K617" s="82" t="str">
        <f t="shared" si="182"/>
        <v>Credit Memo</v>
      </c>
      <c r="L617" s="83" t="str">
        <f>"SC_100686"</f>
        <v>SC_100686</v>
      </c>
      <c r="M617" s="84">
        <v>43441</v>
      </c>
      <c r="N617" s="85">
        <f t="shared" si="175"/>
        <v>371</v>
      </c>
      <c r="O617" s="86">
        <f t="shared" si="176"/>
        <v>-212.2</v>
      </c>
      <c r="P617" s="86">
        <f t="shared" si="177"/>
        <v>0</v>
      </c>
      <c r="Q617" s="86">
        <f t="shared" si="178"/>
        <v>0</v>
      </c>
      <c r="R617" s="86">
        <f t="shared" si="179"/>
        <v>0</v>
      </c>
      <c r="S617" s="86">
        <f t="shared" si="180"/>
        <v>0</v>
      </c>
      <c r="T617" s="86">
        <f t="shared" si="181"/>
        <v>-212.2</v>
      </c>
      <c r="U617" s="87">
        <v>-212.2</v>
      </c>
    </row>
    <row r="618" spans="1:21" s="30" customFormat="1" ht="24.6" hidden="1" outlineLevel="1" x14ac:dyDescent="0.55000000000000004">
      <c r="A618" s="27" t="s">
        <v>327</v>
      </c>
      <c r="B618" s="28"/>
      <c r="C618" s="27"/>
      <c r="D618" s="27" t="str">
        <f>"""NAV Direct"",""CRONUS JetCorp USA"",""21"",""1"",""436547"""</f>
        <v>"NAV Direct","CRONUS JetCorp USA","21","1","436547"</v>
      </c>
      <c r="E618" s="31">
        <f t="shared" si="174"/>
        <v>0</v>
      </c>
      <c r="F618" s="31"/>
      <c r="G618" s="31"/>
      <c r="H618" s="31"/>
      <c r="I618" s="56"/>
      <c r="J618" s="56"/>
      <c r="K618" s="82" t="str">
        <f t="shared" si="182"/>
        <v>Credit Memo</v>
      </c>
      <c r="L618" s="83" t="str">
        <f>"SC_100691"</f>
        <v>SC_100691</v>
      </c>
      <c r="M618" s="84">
        <v>43482</v>
      </c>
      <c r="N618" s="85">
        <f t="shared" si="175"/>
        <v>330</v>
      </c>
      <c r="O618" s="86">
        <f t="shared" si="176"/>
        <v>-201.49999999999997</v>
      </c>
      <c r="P618" s="86">
        <f t="shared" si="177"/>
        <v>0</v>
      </c>
      <c r="Q618" s="86">
        <f t="shared" si="178"/>
        <v>0</v>
      </c>
      <c r="R618" s="86">
        <f t="shared" si="179"/>
        <v>0</v>
      </c>
      <c r="S618" s="86">
        <f t="shared" si="180"/>
        <v>0</v>
      </c>
      <c r="T618" s="86">
        <f t="shared" si="181"/>
        <v>-201.49999999999997</v>
      </c>
      <c r="U618" s="87">
        <v>-201.49999999999997</v>
      </c>
    </row>
    <row r="619" spans="1:21" s="30" customFormat="1" ht="24.6" hidden="1" outlineLevel="1" x14ac:dyDescent="0.55000000000000004">
      <c r="A619" s="27" t="s">
        <v>327</v>
      </c>
      <c r="B619" s="28"/>
      <c r="C619" s="27"/>
      <c r="D619" s="27" t="str">
        <f>"""NAV Direct"",""CRONUS JetCorp USA"",""21"",""1"",""436701"""</f>
        <v>"NAV Direct","CRONUS JetCorp USA","21","1","436701"</v>
      </c>
      <c r="E619" s="31" t="str">
        <f t="shared" si="174"/>
        <v>C100029</v>
      </c>
      <c r="F619" s="31"/>
      <c r="G619" s="31"/>
      <c r="H619" s="31"/>
      <c r="I619" s="56"/>
      <c r="J619" s="56"/>
      <c r="K619" s="82" t="str">
        <f t="shared" si="182"/>
        <v>Credit Memo</v>
      </c>
      <c r="L619" s="83" t="str">
        <f>"SC_100701"</f>
        <v>SC_100701</v>
      </c>
      <c r="M619" s="84">
        <v>43627</v>
      </c>
      <c r="N619" s="85">
        <f t="shared" si="175"/>
        <v>185</v>
      </c>
      <c r="O619" s="86">
        <f t="shared" si="176"/>
        <v>-234.31</v>
      </c>
      <c r="P619" s="86">
        <f t="shared" si="177"/>
        <v>0</v>
      </c>
      <c r="Q619" s="86">
        <f t="shared" si="178"/>
        <v>0</v>
      </c>
      <c r="R619" s="86">
        <f t="shared" si="179"/>
        <v>0</v>
      </c>
      <c r="S619" s="86">
        <f t="shared" si="180"/>
        <v>0</v>
      </c>
      <c r="T619" s="86">
        <f t="shared" si="181"/>
        <v>-234.31</v>
      </c>
      <c r="U619" s="87">
        <v>-234.31</v>
      </c>
    </row>
    <row r="620" spans="1:21" s="30" customFormat="1" ht="24.6" hidden="1" outlineLevel="1" x14ac:dyDescent="0.55000000000000004">
      <c r="A620" s="27" t="s">
        <v>327</v>
      </c>
      <c r="B620" s="28"/>
      <c r="C620" s="27"/>
      <c r="D620" s="27" t="str">
        <f>"""NAV Direct"",""CRONUS JetCorp USA"",""21"",""1"",""436947"""</f>
        <v>"NAV Direct","CRONUS JetCorp USA","21","1","436947"</v>
      </c>
      <c r="E620" s="31">
        <f t="shared" si="174"/>
        <v>0</v>
      </c>
      <c r="F620" s="31"/>
      <c r="G620" s="31"/>
      <c r="H620" s="31"/>
      <c r="I620" s="56"/>
      <c r="J620" s="56"/>
      <c r="K620" s="82" t="str">
        <f t="shared" si="182"/>
        <v>Credit Memo</v>
      </c>
      <c r="L620" s="83" t="str">
        <f>"SC_100715"</f>
        <v>SC_100715</v>
      </c>
      <c r="M620" s="84">
        <v>42055</v>
      </c>
      <c r="N620" s="85">
        <f t="shared" si="175"/>
        <v>1757</v>
      </c>
      <c r="O620" s="86">
        <f t="shared" si="176"/>
        <v>-157.19</v>
      </c>
      <c r="P620" s="86">
        <f t="shared" si="177"/>
        <v>0</v>
      </c>
      <c r="Q620" s="86">
        <f t="shared" si="178"/>
        <v>0</v>
      </c>
      <c r="R620" s="86">
        <f t="shared" si="179"/>
        <v>0</v>
      </c>
      <c r="S620" s="86">
        <f t="shared" si="180"/>
        <v>0</v>
      </c>
      <c r="T620" s="86">
        <f t="shared" si="181"/>
        <v>-157.19</v>
      </c>
      <c r="U620" s="87">
        <v>-157.19</v>
      </c>
    </row>
    <row r="621" spans="1:21" s="22" customFormat="1" ht="20.399999999999999" collapsed="1" x14ac:dyDescent="0.45">
      <c r="A621" s="12" t="s">
        <v>327</v>
      </c>
      <c r="B621" s="19"/>
      <c r="C621" s="12"/>
      <c r="D621" s="12"/>
      <c r="E621" s="23"/>
      <c r="F621" s="23"/>
      <c r="G621" s="23"/>
      <c r="H621" s="23"/>
      <c r="I621" s="49"/>
      <c r="J621" s="88"/>
      <c r="K621" s="88"/>
      <c r="L621" s="89"/>
      <c r="M621" s="89"/>
      <c r="N621" s="89"/>
      <c r="O621" s="89"/>
      <c r="P621" s="89"/>
      <c r="Q621" s="90"/>
      <c r="R621" s="90"/>
      <c r="S621" s="91"/>
      <c r="T621" s="92"/>
      <c r="U621" s="92"/>
    </row>
    <row r="622" spans="1:21" s="22" customFormat="1" ht="20.399999999999999" x14ac:dyDescent="0.45">
      <c r="A622" s="12" t="s">
        <v>327</v>
      </c>
      <c r="B622" s="19"/>
      <c r="C622" s="12"/>
      <c r="D622" s="12"/>
      <c r="E622" s="23"/>
      <c r="F622" s="23"/>
      <c r="G622" s="23"/>
      <c r="H622" s="23"/>
      <c r="I622" s="49"/>
      <c r="J622" s="88"/>
      <c r="K622" s="88"/>
      <c r="L622" s="89"/>
      <c r="M622" s="89"/>
      <c r="N622" s="89"/>
      <c r="O622" s="89"/>
      <c r="P622" s="89"/>
      <c r="Q622" s="90"/>
      <c r="R622" s="90"/>
      <c r="S622" s="91"/>
      <c r="T622" s="92"/>
      <c r="U622" s="92"/>
    </row>
    <row r="623" spans="1:21" s="26" customFormat="1" ht="24.6" x14ac:dyDescent="0.55000000000000004">
      <c r="A623" s="27" t="s">
        <v>327</v>
      </c>
      <c r="B623" s="28"/>
      <c r="C623" s="27" t="str">
        <f>"""NAV Direct"",""CRONUS JetCorp USA"",""18"",""1"",""C100030"""</f>
        <v>"NAV Direct","CRONUS JetCorp USA","18","1","C100030"</v>
      </c>
      <c r="D623" s="27"/>
      <c r="E623" s="28" t="str">
        <f>H623</f>
        <v>C100030</v>
      </c>
      <c r="F623" s="28"/>
      <c r="G623" s="28"/>
      <c r="H623" s="28" t="str">
        <f>"C100030"</f>
        <v>C100030</v>
      </c>
      <c r="I623" s="116" t="str">
        <f>"C100030  -  Stutringers"</f>
        <v>C100030  -  Stutringers</v>
      </c>
      <c r="J623" s="117" t="str">
        <f>""</f>
        <v/>
      </c>
      <c r="K623" s="118"/>
      <c r="L623" s="119">
        <f>SUBTOTAL(3,L624:L693)</f>
        <v>66</v>
      </c>
      <c r="M623" s="118"/>
      <c r="N623" s="118"/>
      <c r="O623" s="120">
        <f t="shared" ref="O623:T623" si="183">SUBTOTAL(9,O624:O693)</f>
        <v>763888.64999999991</v>
      </c>
      <c r="P623" s="120">
        <f t="shared" si="183"/>
        <v>0</v>
      </c>
      <c r="Q623" s="120">
        <f t="shared" si="183"/>
        <v>0</v>
      </c>
      <c r="R623" s="120">
        <f t="shared" si="183"/>
        <v>14635.539999999999</v>
      </c>
      <c r="S623" s="120">
        <f t="shared" si="183"/>
        <v>28101.72</v>
      </c>
      <c r="T623" s="120">
        <f t="shared" si="183"/>
        <v>721151.3899999999</v>
      </c>
      <c r="U623" s="81"/>
    </row>
    <row r="624" spans="1:21" s="26" customFormat="1" ht="24.6" x14ac:dyDescent="0.55000000000000004">
      <c r="A624" s="27" t="s">
        <v>327</v>
      </c>
      <c r="B624" s="28"/>
      <c r="C624" s="27" t="str">
        <f>C623</f>
        <v>"NAV Direct","CRONUS JetCorp USA","18","1","C100030"</v>
      </c>
      <c r="D624" s="27"/>
      <c r="E624" s="28" t="str">
        <f>E623</f>
        <v>C100030</v>
      </c>
      <c r="F624" s="28"/>
      <c r="G624" s="28"/>
      <c r="H624" s="28"/>
      <c r="I624" s="121" t="str">
        <f>"Contact: Mr. Dameon Neth"</f>
        <v>Contact: Mr. Dameon Neth</v>
      </c>
      <c r="J624" s="121"/>
      <c r="K624" s="122"/>
      <c r="L624" s="123"/>
      <c r="M624" s="123"/>
      <c r="N624" s="124"/>
      <c r="O624" s="124"/>
      <c r="P624" s="123"/>
      <c r="Q624" s="125"/>
      <c r="R624" s="126"/>
      <c r="S624" s="126"/>
      <c r="T624" s="125"/>
      <c r="U624" s="81"/>
    </row>
    <row r="625" spans="1:22" s="26" customFormat="1" ht="24.6" x14ac:dyDescent="0.55000000000000004">
      <c r="A625" s="27" t="s">
        <v>327</v>
      </c>
      <c r="B625" s="28"/>
      <c r="C625" s="27" t="str">
        <f>C624</f>
        <v>"NAV Direct","CRONUS JetCorp USA","18","1","C100030"</v>
      </c>
      <c r="D625" s="27"/>
      <c r="E625" s="28" t="str">
        <f>E624</f>
        <v>C100030</v>
      </c>
      <c r="F625" s="28"/>
      <c r="G625" s="28"/>
      <c r="H625" s="28"/>
      <c r="I625" s="121" t="str">
        <f>"elkhorn.airport@cronuscorp.net"</f>
        <v>elkhorn.airport@cronuscorp.net</v>
      </c>
      <c r="J625" s="121"/>
      <c r="K625" s="122"/>
      <c r="L625" s="124"/>
      <c r="M625" s="124"/>
      <c r="N625" s="124"/>
      <c r="O625" s="124"/>
      <c r="P625" s="123"/>
      <c r="Q625" s="125"/>
      <c r="R625" s="126"/>
      <c r="S625" s="126"/>
      <c r="T625" s="125"/>
      <c r="U625" s="81"/>
    </row>
    <row r="626" spans="1:22" ht="12.75" hidden="1" customHeight="1" outlineLevel="1" x14ac:dyDescent="0.45">
      <c r="A626" s="12" t="s">
        <v>328</v>
      </c>
      <c r="B626" s="19"/>
      <c r="E626" s="19"/>
      <c r="F626" s="19"/>
      <c r="G626" s="19"/>
      <c r="H626" s="19"/>
      <c r="I626" s="61"/>
      <c r="J626" s="61"/>
      <c r="K626" s="61"/>
      <c r="L626" s="61"/>
      <c r="M626" s="61"/>
      <c r="N626" s="61"/>
      <c r="O626" s="61"/>
      <c r="P626" s="61"/>
      <c r="Q626" s="61"/>
      <c r="R626" s="61"/>
      <c r="S626" s="61"/>
      <c r="T626" s="61"/>
      <c r="U626" s="61"/>
      <c r="V626" s="21"/>
    </row>
    <row r="627" spans="1:22" s="30" customFormat="1" ht="24.6" hidden="1" outlineLevel="1" x14ac:dyDescent="0.55000000000000004">
      <c r="A627" s="27" t="s">
        <v>327</v>
      </c>
      <c r="B627" s="28"/>
      <c r="C627" s="27"/>
      <c r="D627" s="27" t="str">
        <f>"""NAV Direct"",""CRONUS JetCorp USA"",""21"",""1"",""22681"""</f>
        <v>"NAV Direct","CRONUS JetCorp USA","21","1","22681"</v>
      </c>
      <c r="E627" s="31" t="str">
        <f t="shared" ref="E627:E658" si="184">E625</f>
        <v>C100030</v>
      </c>
      <c r="F627" s="31"/>
      <c r="G627" s="31"/>
      <c r="H627" s="31"/>
      <c r="I627" s="56"/>
      <c r="J627" s="56"/>
      <c r="K627" s="82" t="str">
        <f t="shared" ref="K627:K658" si="185">"Invoice"</f>
        <v>Invoice</v>
      </c>
      <c r="L627" s="83" t="str">
        <f>"SI_104148"</f>
        <v>SI_104148</v>
      </c>
      <c r="M627" s="84">
        <v>42309</v>
      </c>
      <c r="N627" s="85">
        <f t="shared" ref="N627:N658" si="186">StartDate-$M627+1</f>
        <v>1503</v>
      </c>
      <c r="O627" s="86">
        <f t="shared" ref="O627:O658" si="187">SUM(P627:T627)</f>
        <v>16044.85</v>
      </c>
      <c r="P627" s="86">
        <f t="shared" ref="P627:P658" si="188">IF($M627&gt;=$P$18,U627,0)</f>
        <v>0</v>
      </c>
      <c r="Q627" s="86">
        <f t="shared" ref="Q627:Q658" si="189">IF(AND($M627&gt;=$Q$16,$M627&lt;=$Q$18),U627,0)</f>
        <v>0</v>
      </c>
      <c r="R627" s="86">
        <f t="shared" ref="R627:R658" si="190">IF(AND($M627&gt;=$R$16,$M627&lt;=$R$18),U627,0)</f>
        <v>0</v>
      </c>
      <c r="S627" s="86">
        <f t="shared" ref="S627:S658" si="191">IF(AND($M627&gt;=$S$16,$M627&lt;=$S$18),U627,0)</f>
        <v>0</v>
      </c>
      <c r="T627" s="86">
        <f t="shared" ref="T627:T658" si="192">IF($M627&lt;=$T$18,U627,0)</f>
        <v>16044.85</v>
      </c>
      <c r="U627" s="87">
        <v>16044.85</v>
      </c>
    </row>
    <row r="628" spans="1:22" s="30" customFormat="1" ht="24.6" hidden="1" outlineLevel="1" x14ac:dyDescent="0.55000000000000004">
      <c r="A628" s="27" t="s">
        <v>327</v>
      </c>
      <c r="B628" s="28"/>
      <c r="C628" s="27"/>
      <c r="D628" s="27" t="str">
        <f>"""NAV Direct"",""CRONUS JetCorp USA"",""21"",""1"",""22750"""</f>
        <v>"NAV Direct","CRONUS JetCorp USA","21","1","22750"</v>
      </c>
      <c r="E628" s="31">
        <f t="shared" si="184"/>
        <v>0</v>
      </c>
      <c r="F628" s="31"/>
      <c r="G628" s="31"/>
      <c r="H628" s="31"/>
      <c r="I628" s="56"/>
      <c r="J628" s="56"/>
      <c r="K628" s="82" t="str">
        <f t="shared" si="185"/>
        <v>Invoice</v>
      </c>
      <c r="L628" s="83" t="str">
        <f>"SI_104151"</f>
        <v>SI_104151</v>
      </c>
      <c r="M628" s="84">
        <v>42330</v>
      </c>
      <c r="N628" s="85">
        <f t="shared" si="186"/>
        <v>1482</v>
      </c>
      <c r="O628" s="86">
        <f t="shared" si="187"/>
        <v>17213.91</v>
      </c>
      <c r="P628" s="86">
        <f t="shared" si="188"/>
        <v>0</v>
      </c>
      <c r="Q628" s="86">
        <f t="shared" si="189"/>
        <v>0</v>
      </c>
      <c r="R628" s="86">
        <f t="shared" si="190"/>
        <v>0</v>
      </c>
      <c r="S628" s="86">
        <f t="shared" si="191"/>
        <v>0</v>
      </c>
      <c r="T628" s="86">
        <f t="shared" si="192"/>
        <v>17213.91</v>
      </c>
      <c r="U628" s="87">
        <v>17213.91</v>
      </c>
    </row>
    <row r="629" spans="1:22" s="30" customFormat="1" ht="24.6" hidden="1" outlineLevel="1" x14ac:dyDescent="0.55000000000000004">
      <c r="A629" s="27" t="s">
        <v>327</v>
      </c>
      <c r="B629" s="28"/>
      <c r="C629" s="27"/>
      <c r="D629" s="27" t="str">
        <f>"""NAV Direct"",""CRONUS JetCorp USA"",""21"",""1"",""23049"""</f>
        <v>"NAV Direct","CRONUS JetCorp USA","21","1","23049"</v>
      </c>
      <c r="E629" s="31" t="str">
        <f t="shared" si="184"/>
        <v>C100030</v>
      </c>
      <c r="F629" s="31"/>
      <c r="G629" s="31"/>
      <c r="H629" s="31"/>
      <c r="I629" s="56"/>
      <c r="J629" s="56"/>
      <c r="K629" s="82" t="str">
        <f t="shared" si="185"/>
        <v>Invoice</v>
      </c>
      <c r="L629" s="83" t="str">
        <f>"SI_104162"</f>
        <v>SI_104162</v>
      </c>
      <c r="M629" s="84">
        <v>42742</v>
      </c>
      <c r="N629" s="85">
        <f t="shared" si="186"/>
        <v>1070</v>
      </c>
      <c r="O629" s="86">
        <f t="shared" si="187"/>
        <v>16979.8</v>
      </c>
      <c r="P629" s="86">
        <f t="shared" si="188"/>
        <v>0</v>
      </c>
      <c r="Q629" s="86">
        <f t="shared" si="189"/>
        <v>0</v>
      </c>
      <c r="R629" s="86">
        <f t="shared" si="190"/>
        <v>0</v>
      </c>
      <c r="S629" s="86">
        <f t="shared" si="191"/>
        <v>0</v>
      </c>
      <c r="T629" s="86">
        <f t="shared" si="192"/>
        <v>16979.8</v>
      </c>
      <c r="U629" s="87">
        <v>16979.8</v>
      </c>
    </row>
    <row r="630" spans="1:22" s="30" customFormat="1" ht="24.6" hidden="1" outlineLevel="1" x14ac:dyDescent="0.55000000000000004">
      <c r="A630" s="27" t="s">
        <v>327</v>
      </c>
      <c r="B630" s="28"/>
      <c r="C630" s="27"/>
      <c r="D630" s="27" t="str">
        <f>"""NAV Direct"",""CRONUS JetCorp USA"",""21"",""1"",""313582"""</f>
        <v>"NAV Direct","CRONUS JetCorp USA","21","1","313582"</v>
      </c>
      <c r="E630" s="31">
        <f t="shared" si="184"/>
        <v>0</v>
      </c>
      <c r="F630" s="31"/>
      <c r="G630" s="31"/>
      <c r="H630" s="31"/>
      <c r="I630" s="56"/>
      <c r="J630" s="56"/>
      <c r="K630" s="82" t="str">
        <f t="shared" si="185"/>
        <v>Invoice</v>
      </c>
      <c r="L630" s="83" t="str">
        <f>"SI_109716"</f>
        <v>SI_109716</v>
      </c>
      <c r="M630" s="84">
        <v>42418</v>
      </c>
      <c r="N630" s="85">
        <f t="shared" si="186"/>
        <v>1394</v>
      </c>
      <c r="O630" s="86">
        <f t="shared" si="187"/>
        <v>12299.199999999999</v>
      </c>
      <c r="P630" s="86">
        <f t="shared" si="188"/>
        <v>0</v>
      </c>
      <c r="Q630" s="86">
        <f t="shared" si="189"/>
        <v>0</v>
      </c>
      <c r="R630" s="86">
        <f t="shared" si="190"/>
        <v>0</v>
      </c>
      <c r="S630" s="86">
        <f t="shared" si="191"/>
        <v>0</v>
      </c>
      <c r="T630" s="86">
        <f t="shared" si="192"/>
        <v>12299.199999999999</v>
      </c>
      <c r="U630" s="87">
        <v>12299.199999999999</v>
      </c>
    </row>
    <row r="631" spans="1:22" s="30" customFormat="1" ht="24.6" hidden="1" outlineLevel="1" x14ac:dyDescent="0.55000000000000004">
      <c r="A631" s="27" t="s">
        <v>327</v>
      </c>
      <c r="B631" s="28"/>
      <c r="C631" s="27"/>
      <c r="D631" s="27" t="str">
        <f>"""NAV Direct"",""CRONUS JetCorp USA"",""21"",""1"",""313657"""</f>
        <v>"NAV Direct","CRONUS JetCorp USA","21","1","313657"</v>
      </c>
      <c r="E631" s="31" t="str">
        <f t="shared" si="184"/>
        <v>C100030</v>
      </c>
      <c r="F631" s="31"/>
      <c r="G631" s="31"/>
      <c r="H631" s="31"/>
      <c r="I631" s="56"/>
      <c r="J631" s="56"/>
      <c r="K631" s="82" t="str">
        <f t="shared" si="185"/>
        <v>Invoice</v>
      </c>
      <c r="L631" s="83" t="str">
        <f>"SI_109719"</f>
        <v>SI_109719</v>
      </c>
      <c r="M631" s="84">
        <v>42410</v>
      </c>
      <c r="N631" s="85">
        <f t="shared" si="186"/>
        <v>1402</v>
      </c>
      <c r="O631" s="86">
        <f t="shared" si="187"/>
        <v>12555.91</v>
      </c>
      <c r="P631" s="86">
        <f t="shared" si="188"/>
        <v>0</v>
      </c>
      <c r="Q631" s="86">
        <f t="shared" si="189"/>
        <v>0</v>
      </c>
      <c r="R631" s="86">
        <f t="shared" si="190"/>
        <v>0</v>
      </c>
      <c r="S631" s="86">
        <f t="shared" si="191"/>
        <v>0</v>
      </c>
      <c r="T631" s="86">
        <f t="shared" si="192"/>
        <v>12555.91</v>
      </c>
      <c r="U631" s="87">
        <v>12555.91</v>
      </c>
    </row>
    <row r="632" spans="1:22" s="30" customFormat="1" ht="24.6" hidden="1" outlineLevel="1" x14ac:dyDescent="0.55000000000000004">
      <c r="A632" s="27" t="s">
        <v>327</v>
      </c>
      <c r="B632" s="28"/>
      <c r="C632" s="27"/>
      <c r="D632" s="27" t="str">
        <f>"""NAV Direct"",""CRONUS JetCorp USA"",""21"",""1"",""313682"""</f>
        <v>"NAV Direct","CRONUS JetCorp USA","21","1","313682"</v>
      </c>
      <c r="E632" s="31">
        <f t="shared" si="184"/>
        <v>0</v>
      </c>
      <c r="F632" s="31"/>
      <c r="G632" s="31"/>
      <c r="H632" s="31"/>
      <c r="I632" s="56"/>
      <c r="J632" s="56"/>
      <c r="K632" s="82" t="str">
        <f t="shared" si="185"/>
        <v>Invoice</v>
      </c>
      <c r="L632" s="83" t="str">
        <f>"SI_109720"</f>
        <v>SI_109720</v>
      </c>
      <c r="M632" s="84">
        <v>42448</v>
      </c>
      <c r="N632" s="85">
        <f t="shared" si="186"/>
        <v>1364</v>
      </c>
      <c r="O632" s="86">
        <f t="shared" si="187"/>
        <v>12512.080000000002</v>
      </c>
      <c r="P632" s="86">
        <f t="shared" si="188"/>
        <v>0</v>
      </c>
      <c r="Q632" s="86">
        <f t="shared" si="189"/>
        <v>0</v>
      </c>
      <c r="R632" s="86">
        <f t="shared" si="190"/>
        <v>0</v>
      </c>
      <c r="S632" s="86">
        <f t="shared" si="191"/>
        <v>0</v>
      </c>
      <c r="T632" s="86">
        <f t="shared" si="192"/>
        <v>12512.080000000002</v>
      </c>
      <c r="U632" s="87">
        <v>12512.080000000002</v>
      </c>
    </row>
    <row r="633" spans="1:22" s="30" customFormat="1" ht="24.6" hidden="1" outlineLevel="1" x14ac:dyDescent="0.55000000000000004">
      <c r="A633" s="27" t="s">
        <v>327</v>
      </c>
      <c r="B633" s="28"/>
      <c r="C633" s="27"/>
      <c r="D633" s="27" t="str">
        <f>"""NAV Direct"",""CRONUS JetCorp USA"",""21"",""1"",""313884"""</f>
        <v>"NAV Direct","CRONUS JetCorp USA","21","1","313884"</v>
      </c>
      <c r="E633" s="31" t="str">
        <f t="shared" si="184"/>
        <v>C100030</v>
      </c>
      <c r="F633" s="31"/>
      <c r="G633" s="31"/>
      <c r="H633" s="31"/>
      <c r="I633" s="56"/>
      <c r="J633" s="56"/>
      <c r="K633" s="82" t="str">
        <f t="shared" si="185"/>
        <v>Invoice</v>
      </c>
      <c r="L633" s="83" t="str">
        <f>"SI_109728"</f>
        <v>SI_109728</v>
      </c>
      <c r="M633" s="84">
        <v>42493</v>
      </c>
      <c r="N633" s="85">
        <f t="shared" si="186"/>
        <v>1319</v>
      </c>
      <c r="O633" s="86">
        <f t="shared" si="187"/>
        <v>12778.69</v>
      </c>
      <c r="P633" s="86">
        <f t="shared" si="188"/>
        <v>0</v>
      </c>
      <c r="Q633" s="86">
        <f t="shared" si="189"/>
        <v>0</v>
      </c>
      <c r="R633" s="86">
        <f t="shared" si="190"/>
        <v>0</v>
      </c>
      <c r="S633" s="86">
        <f t="shared" si="191"/>
        <v>0</v>
      </c>
      <c r="T633" s="86">
        <f t="shared" si="192"/>
        <v>12778.69</v>
      </c>
      <c r="U633" s="87">
        <v>12778.69</v>
      </c>
    </row>
    <row r="634" spans="1:22" s="30" customFormat="1" ht="24.6" hidden="1" outlineLevel="1" x14ac:dyDescent="0.55000000000000004">
      <c r="A634" s="27" t="s">
        <v>327</v>
      </c>
      <c r="B634" s="28"/>
      <c r="C634" s="27"/>
      <c r="D634" s="27" t="str">
        <f>"""NAV Direct"",""CRONUS JetCorp USA"",""21"",""1"",""314070"""</f>
        <v>"NAV Direct","CRONUS JetCorp USA","21","1","314070"</v>
      </c>
      <c r="E634" s="31">
        <f t="shared" si="184"/>
        <v>0</v>
      </c>
      <c r="F634" s="31"/>
      <c r="G634" s="31"/>
      <c r="H634" s="31"/>
      <c r="I634" s="56"/>
      <c r="J634" s="56"/>
      <c r="K634" s="82" t="str">
        <f t="shared" si="185"/>
        <v>Invoice</v>
      </c>
      <c r="L634" s="83" t="str">
        <f>"SI_109736"</f>
        <v>SI_109736</v>
      </c>
      <c r="M634" s="84">
        <v>42574</v>
      </c>
      <c r="N634" s="85">
        <f t="shared" si="186"/>
        <v>1238</v>
      </c>
      <c r="O634" s="86">
        <f t="shared" si="187"/>
        <v>12792.3</v>
      </c>
      <c r="P634" s="86">
        <f t="shared" si="188"/>
        <v>0</v>
      </c>
      <c r="Q634" s="86">
        <f t="shared" si="189"/>
        <v>0</v>
      </c>
      <c r="R634" s="86">
        <f t="shared" si="190"/>
        <v>0</v>
      </c>
      <c r="S634" s="86">
        <f t="shared" si="191"/>
        <v>0</v>
      </c>
      <c r="T634" s="86">
        <f t="shared" si="192"/>
        <v>12792.3</v>
      </c>
      <c r="U634" s="87">
        <v>12792.3</v>
      </c>
    </row>
    <row r="635" spans="1:22" s="30" customFormat="1" ht="24.6" hidden="1" outlineLevel="1" x14ac:dyDescent="0.55000000000000004">
      <c r="A635" s="27" t="s">
        <v>327</v>
      </c>
      <c r="B635" s="28"/>
      <c r="C635" s="27"/>
      <c r="D635" s="27" t="str">
        <f>"""NAV Direct"",""CRONUS JetCorp USA"",""21"",""1"",""314141"""</f>
        <v>"NAV Direct","CRONUS JetCorp USA","21","1","314141"</v>
      </c>
      <c r="E635" s="31" t="str">
        <f t="shared" si="184"/>
        <v>C100030</v>
      </c>
      <c r="F635" s="31"/>
      <c r="G635" s="31"/>
      <c r="H635" s="31"/>
      <c r="I635" s="56"/>
      <c r="J635" s="56"/>
      <c r="K635" s="82" t="str">
        <f t="shared" si="185"/>
        <v>Invoice</v>
      </c>
      <c r="L635" s="83" t="str">
        <f>"SI_109739"</f>
        <v>SI_109739</v>
      </c>
      <c r="M635" s="84">
        <v>42586</v>
      </c>
      <c r="N635" s="85">
        <f t="shared" si="186"/>
        <v>1226</v>
      </c>
      <c r="O635" s="86">
        <f t="shared" si="187"/>
        <v>13059.670000000002</v>
      </c>
      <c r="P635" s="86">
        <f t="shared" si="188"/>
        <v>0</v>
      </c>
      <c r="Q635" s="86">
        <f t="shared" si="189"/>
        <v>0</v>
      </c>
      <c r="R635" s="86">
        <f t="shared" si="190"/>
        <v>0</v>
      </c>
      <c r="S635" s="86">
        <f t="shared" si="191"/>
        <v>0</v>
      </c>
      <c r="T635" s="86">
        <f t="shared" si="192"/>
        <v>13059.670000000002</v>
      </c>
      <c r="U635" s="87">
        <v>13059.670000000002</v>
      </c>
    </row>
    <row r="636" spans="1:22" s="30" customFormat="1" ht="24.6" hidden="1" outlineLevel="1" x14ac:dyDescent="0.55000000000000004">
      <c r="A636" s="27" t="s">
        <v>327</v>
      </c>
      <c r="B636" s="28"/>
      <c r="C636" s="27"/>
      <c r="D636" s="27" t="str">
        <f>"""NAV Direct"",""CRONUS JetCorp USA"",""21"",""1"",""314164"""</f>
        <v>"NAV Direct","CRONUS JetCorp USA","21","1","314164"</v>
      </c>
      <c r="E636" s="31">
        <f t="shared" si="184"/>
        <v>0</v>
      </c>
      <c r="F636" s="31"/>
      <c r="G636" s="31"/>
      <c r="H636" s="31"/>
      <c r="I636" s="56"/>
      <c r="J636" s="56"/>
      <c r="K636" s="82" t="str">
        <f t="shared" si="185"/>
        <v>Invoice</v>
      </c>
      <c r="L636" s="83" t="str">
        <f>"SI_109740"</f>
        <v>SI_109740</v>
      </c>
      <c r="M636" s="84">
        <v>42589</v>
      </c>
      <c r="N636" s="85">
        <f t="shared" si="186"/>
        <v>1223</v>
      </c>
      <c r="O636" s="86">
        <f t="shared" si="187"/>
        <v>12659.8</v>
      </c>
      <c r="P636" s="86">
        <f t="shared" si="188"/>
        <v>0</v>
      </c>
      <c r="Q636" s="86">
        <f t="shared" si="189"/>
        <v>0</v>
      </c>
      <c r="R636" s="86">
        <f t="shared" si="190"/>
        <v>0</v>
      </c>
      <c r="S636" s="86">
        <f t="shared" si="191"/>
        <v>0</v>
      </c>
      <c r="T636" s="86">
        <f t="shared" si="192"/>
        <v>12659.8</v>
      </c>
      <c r="U636" s="87">
        <v>12659.8</v>
      </c>
    </row>
    <row r="637" spans="1:22" s="30" customFormat="1" ht="24.6" hidden="1" outlineLevel="1" x14ac:dyDescent="0.55000000000000004">
      <c r="A637" s="27" t="s">
        <v>327</v>
      </c>
      <c r="B637" s="28"/>
      <c r="C637" s="27"/>
      <c r="D637" s="27" t="str">
        <f>"""NAV Direct"",""CRONUS JetCorp USA"",""21"",""1"",""314208"""</f>
        <v>"NAV Direct","CRONUS JetCorp USA","21","1","314208"</v>
      </c>
      <c r="E637" s="31" t="str">
        <f t="shared" si="184"/>
        <v>C100030</v>
      </c>
      <c r="F637" s="31"/>
      <c r="G637" s="31"/>
      <c r="H637" s="31"/>
      <c r="I637" s="56"/>
      <c r="J637" s="56"/>
      <c r="K637" s="82" t="str">
        <f t="shared" si="185"/>
        <v>Invoice</v>
      </c>
      <c r="L637" s="83" t="str">
        <f>"SI_109742"</f>
        <v>SI_109742</v>
      </c>
      <c r="M637" s="84">
        <v>42607</v>
      </c>
      <c r="N637" s="85">
        <f t="shared" si="186"/>
        <v>1205</v>
      </c>
      <c r="O637" s="86">
        <f t="shared" si="187"/>
        <v>12855.980000000001</v>
      </c>
      <c r="P637" s="86">
        <f t="shared" si="188"/>
        <v>0</v>
      </c>
      <c r="Q637" s="86">
        <f t="shared" si="189"/>
        <v>0</v>
      </c>
      <c r="R637" s="86">
        <f t="shared" si="190"/>
        <v>0</v>
      </c>
      <c r="S637" s="86">
        <f t="shared" si="191"/>
        <v>0</v>
      </c>
      <c r="T637" s="86">
        <f t="shared" si="192"/>
        <v>12855.980000000001</v>
      </c>
      <c r="U637" s="87">
        <v>12855.980000000001</v>
      </c>
    </row>
    <row r="638" spans="1:22" s="30" customFormat="1" ht="24.6" hidden="1" outlineLevel="1" x14ac:dyDescent="0.55000000000000004">
      <c r="A638" s="27" t="s">
        <v>327</v>
      </c>
      <c r="B638" s="28"/>
      <c r="C638" s="27"/>
      <c r="D638" s="27" t="str">
        <f>"""NAV Direct"",""CRONUS JetCorp USA"",""21"",""1"",""314235"""</f>
        <v>"NAV Direct","CRONUS JetCorp USA","21","1","314235"</v>
      </c>
      <c r="E638" s="31">
        <f t="shared" si="184"/>
        <v>0</v>
      </c>
      <c r="F638" s="31"/>
      <c r="G638" s="31"/>
      <c r="H638" s="31"/>
      <c r="I638" s="56"/>
      <c r="J638" s="56"/>
      <c r="K638" s="82" t="str">
        <f t="shared" si="185"/>
        <v>Invoice</v>
      </c>
      <c r="L638" s="83" t="str">
        <f>"SI_109743"</f>
        <v>SI_109743</v>
      </c>
      <c r="M638" s="84">
        <v>42599</v>
      </c>
      <c r="N638" s="85">
        <f t="shared" si="186"/>
        <v>1213</v>
      </c>
      <c r="O638" s="86">
        <f t="shared" si="187"/>
        <v>12990.259999999998</v>
      </c>
      <c r="P638" s="86">
        <f t="shared" si="188"/>
        <v>0</v>
      </c>
      <c r="Q638" s="86">
        <f t="shared" si="189"/>
        <v>0</v>
      </c>
      <c r="R638" s="86">
        <f t="shared" si="190"/>
        <v>0</v>
      </c>
      <c r="S638" s="86">
        <f t="shared" si="191"/>
        <v>0</v>
      </c>
      <c r="T638" s="86">
        <f t="shared" si="192"/>
        <v>12990.259999999998</v>
      </c>
      <c r="U638" s="87">
        <v>12990.259999999998</v>
      </c>
    </row>
    <row r="639" spans="1:22" s="30" customFormat="1" ht="24.6" hidden="1" outlineLevel="1" x14ac:dyDescent="0.55000000000000004">
      <c r="A639" s="27" t="s">
        <v>327</v>
      </c>
      <c r="B639" s="28"/>
      <c r="C639" s="27"/>
      <c r="D639" s="27" t="str">
        <f>"""NAV Direct"",""CRONUS JetCorp USA"",""21"",""1"",""314439"""</f>
        <v>"NAV Direct","CRONUS JetCorp USA","21","1","314439"</v>
      </c>
      <c r="E639" s="31" t="str">
        <f t="shared" si="184"/>
        <v>C100030</v>
      </c>
      <c r="F639" s="31"/>
      <c r="G639" s="31"/>
      <c r="H639" s="31"/>
      <c r="I639" s="56"/>
      <c r="J639" s="56"/>
      <c r="K639" s="82" t="str">
        <f t="shared" si="185"/>
        <v>Invoice</v>
      </c>
      <c r="L639" s="83" t="str">
        <f>"SI_109751"</f>
        <v>SI_109751</v>
      </c>
      <c r="M639" s="84">
        <v>42643</v>
      </c>
      <c r="N639" s="85">
        <f t="shared" si="186"/>
        <v>1169</v>
      </c>
      <c r="O639" s="86">
        <f t="shared" si="187"/>
        <v>13229.28</v>
      </c>
      <c r="P639" s="86">
        <f t="shared" si="188"/>
        <v>0</v>
      </c>
      <c r="Q639" s="86">
        <f t="shared" si="189"/>
        <v>0</v>
      </c>
      <c r="R639" s="86">
        <f t="shared" si="190"/>
        <v>0</v>
      </c>
      <c r="S639" s="86">
        <f t="shared" si="191"/>
        <v>0</v>
      </c>
      <c r="T639" s="86">
        <f t="shared" si="192"/>
        <v>13229.28</v>
      </c>
      <c r="U639" s="87">
        <v>13229.28</v>
      </c>
    </row>
    <row r="640" spans="1:22" s="30" customFormat="1" ht="24.6" hidden="1" outlineLevel="1" x14ac:dyDescent="0.55000000000000004">
      <c r="A640" s="27" t="s">
        <v>327</v>
      </c>
      <c r="B640" s="28"/>
      <c r="C640" s="27"/>
      <c r="D640" s="27" t="str">
        <f>"""NAV Direct"",""CRONUS JetCorp USA"",""21"",""1"",""314622"""</f>
        <v>"NAV Direct","CRONUS JetCorp USA","21","1","314622"</v>
      </c>
      <c r="E640" s="31">
        <f t="shared" si="184"/>
        <v>0</v>
      </c>
      <c r="F640" s="31"/>
      <c r="G640" s="31"/>
      <c r="H640" s="31"/>
      <c r="I640" s="56"/>
      <c r="J640" s="56"/>
      <c r="K640" s="82" t="str">
        <f t="shared" si="185"/>
        <v>Invoice</v>
      </c>
      <c r="L640" s="83" t="str">
        <f>"SI_109758"</f>
        <v>SI_109758</v>
      </c>
      <c r="M640" s="84">
        <v>42697</v>
      </c>
      <c r="N640" s="85">
        <f t="shared" si="186"/>
        <v>1115</v>
      </c>
      <c r="O640" s="86">
        <f t="shared" si="187"/>
        <v>13153.019999999999</v>
      </c>
      <c r="P640" s="86">
        <f t="shared" si="188"/>
        <v>0</v>
      </c>
      <c r="Q640" s="86">
        <f t="shared" si="189"/>
        <v>0</v>
      </c>
      <c r="R640" s="86">
        <f t="shared" si="190"/>
        <v>0</v>
      </c>
      <c r="S640" s="86">
        <f t="shared" si="191"/>
        <v>0</v>
      </c>
      <c r="T640" s="86">
        <f t="shared" si="192"/>
        <v>13153.019999999999</v>
      </c>
      <c r="U640" s="87">
        <v>13153.019999999999</v>
      </c>
    </row>
    <row r="641" spans="1:21" s="30" customFormat="1" ht="24.6" hidden="1" outlineLevel="1" x14ac:dyDescent="0.55000000000000004">
      <c r="A641" s="27" t="s">
        <v>327</v>
      </c>
      <c r="B641" s="28"/>
      <c r="C641" s="27"/>
      <c r="D641" s="27" t="str">
        <f>"""NAV Direct"",""CRONUS JetCorp USA"",""21"",""1"",""314791"""</f>
        <v>"NAV Direct","CRONUS JetCorp USA","21","1","314791"</v>
      </c>
      <c r="E641" s="31" t="str">
        <f t="shared" si="184"/>
        <v>C100030</v>
      </c>
      <c r="F641" s="31"/>
      <c r="G641" s="31"/>
      <c r="H641" s="31"/>
      <c r="I641" s="56"/>
      <c r="J641" s="56"/>
      <c r="K641" s="82" t="str">
        <f t="shared" si="185"/>
        <v>Invoice</v>
      </c>
      <c r="L641" s="83" t="str">
        <f>"SI_109765"</f>
        <v>SI_109765</v>
      </c>
      <c r="M641" s="84">
        <v>42729</v>
      </c>
      <c r="N641" s="85">
        <f t="shared" si="186"/>
        <v>1083</v>
      </c>
      <c r="O641" s="86">
        <f t="shared" si="187"/>
        <v>13628.36</v>
      </c>
      <c r="P641" s="86">
        <f t="shared" si="188"/>
        <v>0</v>
      </c>
      <c r="Q641" s="86">
        <f t="shared" si="189"/>
        <v>0</v>
      </c>
      <c r="R641" s="86">
        <f t="shared" si="190"/>
        <v>0</v>
      </c>
      <c r="S641" s="86">
        <f t="shared" si="191"/>
        <v>0</v>
      </c>
      <c r="T641" s="86">
        <f t="shared" si="192"/>
        <v>13628.36</v>
      </c>
      <c r="U641" s="87">
        <v>13628.36</v>
      </c>
    </row>
    <row r="642" spans="1:21" s="30" customFormat="1" ht="24.6" hidden="1" outlineLevel="1" x14ac:dyDescent="0.55000000000000004">
      <c r="A642" s="27" t="s">
        <v>327</v>
      </c>
      <c r="B642" s="28"/>
      <c r="C642" s="27"/>
      <c r="D642" s="27" t="str">
        <f>"""NAV Direct"",""CRONUS JetCorp USA"",""21"",""1"",""314904"""</f>
        <v>"NAV Direct","CRONUS JetCorp USA","21","1","314904"</v>
      </c>
      <c r="E642" s="31">
        <f t="shared" si="184"/>
        <v>0</v>
      </c>
      <c r="F642" s="31"/>
      <c r="G642" s="31"/>
      <c r="H642" s="31"/>
      <c r="I642" s="56"/>
      <c r="J642" s="56"/>
      <c r="K642" s="82" t="str">
        <f t="shared" si="185"/>
        <v>Invoice</v>
      </c>
      <c r="L642" s="83" t="str">
        <f>"SI_109770"</f>
        <v>SI_109770</v>
      </c>
      <c r="M642" s="84">
        <v>42792</v>
      </c>
      <c r="N642" s="85">
        <f t="shared" si="186"/>
        <v>1020</v>
      </c>
      <c r="O642" s="86">
        <f t="shared" si="187"/>
        <v>13750.710000000001</v>
      </c>
      <c r="P642" s="86">
        <f t="shared" si="188"/>
        <v>0</v>
      </c>
      <c r="Q642" s="86">
        <f t="shared" si="189"/>
        <v>0</v>
      </c>
      <c r="R642" s="86">
        <f t="shared" si="190"/>
        <v>0</v>
      </c>
      <c r="S642" s="86">
        <f t="shared" si="191"/>
        <v>0</v>
      </c>
      <c r="T642" s="86">
        <f t="shared" si="192"/>
        <v>13750.710000000001</v>
      </c>
      <c r="U642" s="87">
        <v>13750.710000000001</v>
      </c>
    </row>
    <row r="643" spans="1:21" s="30" customFormat="1" ht="24.6" hidden="1" outlineLevel="1" x14ac:dyDescent="0.55000000000000004">
      <c r="A643" s="27" t="s">
        <v>327</v>
      </c>
      <c r="B643" s="28"/>
      <c r="C643" s="27"/>
      <c r="D643" s="27" t="str">
        <f>"""NAV Direct"",""CRONUS JetCorp USA"",""21"",""1"",""314956"""</f>
        <v>"NAV Direct","CRONUS JetCorp USA","21","1","314956"</v>
      </c>
      <c r="E643" s="31" t="str">
        <f t="shared" si="184"/>
        <v>C100030</v>
      </c>
      <c r="F643" s="31"/>
      <c r="G643" s="31"/>
      <c r="H643" s="31"/>
      <c r="I643" s="56"/>
      <c r="J643" s="56"/>
      <c r="K643" s="82" t="str">
        <f t="shared" si="185"/>
        <v>Invoice</v>
      </c>
      <c r="L643" s="83" t="str">
        <f>"SI_109772"</f>
        <v>SI_109772</v>
      </c>
      <c r="M643" s="84">
        <v>42799</v>
      </c>
      <c r="N643" s="85">
        <f t="shared" si="186"/>
        <v>1013</v>
      </c>
      <c r="O643" s="86">
        <f t="shared" si="187"/>
        <v>14038.849999999999</v>
      </c>
      <c r="P643" s="86">
        <f t="shared" si="188"/>
        <v>0</v>
      </c>
      <c r="Q643" s="86">
        <f t="shared" si="189"/>
        <v>0</v>
      </c>
      <c r="R643" s="86">
        <f t="shared" si="190"/>
        <v>0</v>
      </c>
      <c r="S643" s="86">
        <f t="shared" si="191"/>
        <v>0</v>
      </c>
      <c r="T643" s="86">
        <f t="shared" si="192"/>
        <v>14038.849999999999</v>
      </c>
      <c r="U643" s="87">
        <v>14038.849999999999</v>
      </c>
    </row>
    <row r="644" spans="1:21" s="30" customFormat="1" ht="24.6" hidden="1" outlineLevel="1" x14ac:dyDescent="0.55000000000000004">
      <c r="A644" s="27" t="s">
        <v>327</v>
      </c>
      <c r="B644" s="28"/>
      <c r="C644" s="27"/>
      <c r="D644" s="27" t="str">
        <f>"""NAV Direct"",""CRONUS JetCorp USA"",""21"",""1"",""315051"""</f>
        <v>"NAV Direct","CRONUS JetCorp USA","21","1","315051"</v>
      </c>
      <c r="E644" s="31">
        <f t="shared" si="184"/>
        <v>0</v>
      </c>
      <c r="F644" s="31"/>
      <c r="G644" s="31"/>
      <c r="H644" s="31"/>
      <c r="I644" s="56"/>
      <c r="J644" s="56"/>
      <c r="K644" s="82" t="str">
        <f t="shared" si="185"/>
        <v>Invoice</v>
      </c>
      <c r="L644" s="83" t="str">
        <f>"SI_109775"</f>
        <v>SI_109775</v>
      </c>
      <c r="M644" s="84">
        <v>42806</v>
      </c>
      <c r="N644" s="85">
        <f t="shared" si="186"/>
        <v>1006</v>
      </c>
      <c r="O644" s="86">
        <f t="shared" si="187"/>
        <v>14417.33</v>
      </c>
      <c r="P644" s="86">
        <f t="shared" si="188"/>
        <v>0</v>
      </c>
      <c r="Q644" s="86">
        <f t="shared" si="189"/>
        <v>0</v>
      </c>
      <c r="R644" s="86">
        <f t="shared" si="190"/>
        <v>0</v>
      </c>
      <c r="S644" s="86">
        <f t="shared" si="191"/>
        <v>0</v>
      </c>
      <c r="T644" s="86">
        <f t="shared" si="192"/>
        <v>14417.33</v>
      </c>
      <c r="U644" s="87">
        <v>14417.33</v>
      </c>
    </row>
    <row r="645" spans="1:21" s="30" customFormat="1" ht="24.6" hidden="1" outlineLevel="1" x14ac:dyDescent="0.55000000000000004">
      <c r="A645" s="27" t="s">
        <v>327</v>
      </c>
      <c r="B645" s="28"/>
      <c r="C645" s="27"/>
      <c r="D645" s="27" t="str">
        <f>"""NAV Direct"",""CRONUS JetCorp USA"",""21"",""1"",""315076"""</f>
        <v>"NAV Direct","CRONUS JetCorp USA","21","1","315076"</v>
      </c>
      <c r="E645" s="31" t="str">
        <f t="shared" si="184"/>
        <v>C100030</v>
      </c>
      <c r="F645" s="31"/>
      <c r="G645" s="31"/>
      <c r="H645" s="31"/>
      <c r="I645" s="56"/>
      <c r="J645" s="56"/>
      <c r="K645" s="82" t="str">
        <f t="shared" si="185"/>
        <v>Invoice</v>
      </c>
      <c r="L645" s="83" t="str">
        <f>"SI_109776"</f>
        <v>SI_109776</v>
      </c>
      <c r="M645" s="84">
        <v>42814</v>
      </c>
      <c r="N645" s="85">
        <f t="shared" si="186"/>
        <v>998</v>
      </c>
      <c r="O645" s="86">
        <f t="shared" si="187"/>
        <v>14417.83</v>
      </c>
      <c r="P645" s="86">
        <f t="shared" si="188"/>
        <v>0</v>
      </c>
      <c r="Q645" s="86">
        <f t="shared" si="189"/>
        <v>0</v>
      </c>
      <c r="R645" s="86">
        <f t="shared" si="190"/>
        <v>0</v>
      </c>
      <c r="S645" s="86">
        <f t="shared" si="191"/>
        <v>0</v>
      </c>
      <c r="T645" s="86">
        <f t="shared" si="192"/>
        <v>14417.83</v>
      </c>
      <c r="U645" s="87">
        <v>14417.83</v>
      </c>
    </row>
    <row r="646" spans="1:21" s="30" customFormat="1" ht="24.6" hidden="1" outlineLevel="1" x14ac:dyDescent="0.55000000000000004">
      <c r="A646" s="27" t="s">
        <v>327</v>
      </c>
      <c r="B646" s="28"/>
      <c r="C646" s="27"/>
      <c r="D646" s="27" t="str">
        <f>"""NAV Direct"",""CRONUS JetCorp USA"",""21"",""1"",""315386"""</f>
        <v>"NAV Direct","CRONUS JetCorp USA","21","1","315386"</v>
      </c>
      <c r="E646" s="31">
        <f t="shared" si="184"/>
        <v>0</v>
      </c>
      <c r="F646" s="31"/>
      <c r="G646" s="31"/>
      <c r="H646" s="31"/>
      <c r="I646" s="56"/>
      <c r="J646" s="56"/>
      <c r="K646" s="82" t="str">
        <f t="shared" si="185"/>
        <v>Invoice</v>
      </c>
      <c r="L646" s="83" t="str">
        <f>"SI_109788"</f>
        <v>SI_109788</v>
      </c>
      <c r="M646" s="84">
        <v>42902</v>
      </c>
      <c r="N646" s="85">
        <f t="shared" si="186"/>
        <v>910</v>
      </c>
      <c r="O646" s="86">
        <f t="shared" si="187"/>
        <v>13406.98</v>
      </c>
      <c r="P646" s="86">
        <f t="shared" si="188"/>
        <v>0</v>
      </c>
      <c r="Q646" s="86">
        <f t="shared" si="189"/>
        <v>0</v>
      </c>
      <c r="R646" s="86">
        <f t="shared" si="190"/>
        <v>0</v>
      </c>
      <c r="S646" s="86">
        <f t="shared" si="191"/>
        <v>0</v>
      </c>
      <c r="T646" s="86">
        <f t="shared" si="192"/>
        <v>13406.98</v>
      </c>
      <c r="U646" s="87">
        <v>13406.98</v>
      </c>
    </row>
    <row r="647" spans="1:21" s="30" customFormat="1" ht="24.6" hidden="1" outlineLevel="1" x14ac:dyDescent="0.55000000000000004">
      <c r="A647" s="27" t="s">
        <v>327</v>
      </c>
      <c r="B647" s="28"/>
      <c r="C647" s="27"/>
      <c r="D647" s="27" t="str">
        <f>"""NAV Direct"",""CRONUS JetCorp USA"",""21"",""1"",""315471"""</f>
        <v>"NAV Direct","CRONUS JetCorp USA","21","1","315471"</v>
      </c>
      <c r="E647" s="31" t="str">
        <f t="shared" si="184"/>
        <v>C100030</v>
      </c>
      <c r="F647" s="31"/>
      <c r="G647" s="31"/>
      <c r="H647" s="31"/>
      <c r="I647" s="56"/>
      <c r="J647" s="56"/>
      <c r="K647" s="82" t="str">
        <f t="shared" si="185"/>
        <v>Invoice</v>
      </c>
      <c r="L647" s="83" t="str">
        <f>"SI_109791"</f>
        <v>SI_109791</v>
      </c>
      <c r="M647" s="84">
        <v>42917</v>
      </c>
      <c r="N647" s="85">
        <f t="shared" si="186"/>
        <v>895</v>
      </c>
      <c r="O647" s="86">
        <f t="shared" si="187"/>
        <v>13406.81</v>
      </c>
      <c r="P647" s="86">
        <f t="shared" si="188"/>
        <v>0</v>
      </c>
      <c r="Q647" s="86">
        <f t="shared" si="189"/>
        <v>0</v>
      </c>
      <c r="R647" s="86">
        <f t="shared" si="190"/>
        <v>0</v>
      </c>
      <c r="S647" s="86">
        <f t="shared" si="191"/>
        <v>0</v>
      </c>
      <c r="T647" s="86">
        <f t="shared" si="192"/>
        <v>13406.81</v>
      </c>
      <c r="U647" s="87">
        <v>13406.81</v>
      </c>
    </row>
    <row r="648" spans="1:21" s="30" customFormat="1" ht="24.6" hidden="1" outlineLevel="1" x14ac:dyDescent="0.55000000000000004">
      <c r="A648" s="27" t="s">
        <v>327</v>
      </c>
      <c r="B648" s="28"/>
      <c r="C648" s="27"/>
      <c r="D648" s="27" t="str">
        <f>"""NAV Direct"",""CRONUS JetCorp USA"",""21"",""1"",""315705"""</f>
        <v>"NAV Direct","CRONUS JetCorp USA","21","1","315705"</v>
      </c>
      <c r="E648" s="31">
        <f t="shared" si="184"/>
        <v>0</v>
      </c>
      <c r="F648" s="31"/>
      <c r="G648" s="31"/>
      <c r="H648" s="31"/>
      <c r="I648" s="56"/>
      <c r="J648" s="56"/>
      <c r="K648" s="82" t="str">
        <f t="shared" si="185"/>
        <v>Invoice</v>
      </c>
      <c r="L648" s="83" t="str">
        <f>"SI_109801"</f>
        <v>SI_109801</v>
      </c>
      <c r="M648" s="84">
        <v>42979</v>
      </c>
      <c r="N648" s="85">
        <f t="shared" si="186"/>
        <v>833</v>
      </c>
      <c r="O648" s="86">
        <f t="shared" si="187"/>
        <v>11619.09</v>
      </c>
      <c r="P648" s="86">
        <f t="shared" si="188"/>
        <v>0</v>
      </c>
      <c r="Q648" s="86">
        <f t="shared" si="189"/>
        <v>0</v>
      </c>
      <c r="R648" s="86">
        <f t="shared" si="190"/>
        <v>0</v>
      </c>
      <c r="S648" s="86">
        <f t="shared" si="191"/>
        <v>0</v>
      </c>
      <c r="T648" s="86">
        <f t="shared" si="192"/>
        <v>11619.09</v>
      </c>
      <c r="U648" s="87">
        <v>11619.09</v>
      </c>
    </row>
    <row r="649" spans="1:21" s="30" customFormat="1" ht="24.6" hidden="1" outlineLevel="1" x14ac:dyDescent="0.55000000000000004">
      <c r="A649" s="27" t="s">
        <v>327</v>
      </c>
      <c r="B649" s="28"/>
      <c r="C649" s="27"/>
      <c r="D649" s="27" t="str">
        <f>"""NAV Direct"",""CRONUS JetCorp USA"",""21"",""1"",""315997"""</f>
        <v>"NAV Direct","CRONUS JetCorp USA","21","1","315997"</v>
      </c>
      <c r="E649" s="31" t="str">
        <f t="shared" si="184"/>
        <v>C100030</v>
      </c>
      <c r="F649" s="31"/>
      <c r="G649" s="31"/>
      <c r="H649" s="31"/>
      <c r="I649" s="56"/>
      <c r="J649" s="56"/>
      <c r="K649" s="82" t="str">
        <f t="shared" si="185"/>
        <v>Invoice</v>
      </c>
      <c r="L649" s="83" t="str">
        <f>"SI_109813"</f>
        <v>SI_109813</v>
      </c>
      <c r="M649" s="84">
        <v>43064</v>
      </c>
      <c r="N649" s="85">
        <f t="shared" si="186"/>
        <v>748</v>
      </c>
      <c r="O649" s="86">
        <f t="shared" si="187"/>
        <v>11422.57</v>
      </c>
      <c r="P649" s="86">
        <f t="shared" si="188"/>
        <v>0</v>
      </c>
      <c r="Q649" s="86">
        <f t="shared" si="189"/>
        <v>0</v>
      </c>
      <c r="R649" s="86">
        <f t="shared" si="190"/>
        <v>0</v>
      </c>
      <c r="S649" s="86">
        <f t="shared" si="191"/>
        <v>0</v>
      </c>
      <c r="T649" s="86">
        <f t="shared" si="192"/>
        <v>11422.57</v>
      </c>
      <c r="U649" s="87">
        <v>11422.57</v>
      </c>
    </row>
    <row r="650" spans="1:21" s="30" customFormat="1" ht="24.6" hidden="1" outlineLevel="1" x14ac:dyDescent="0.55000000000000004">
      <c r="A650" s="27" t="s">
        <v>327</v>
      </c>
      <c r="B650" s="28"/>
      <c r="C650" s="27"/>
      <c r="D650" s="27" t="str">
        <f>"""NAV Direct"",""CRONUS JetCorp USA"",""21"",""1"",""316024"""</f>
        <v>"NAV Direct","CRONUS JetCorp USA","21","1","316024"</v>
      </c>
      <c r="E650" s="31">
        <f t="shared" si="184"/>
        <v>0</v>
      </c>
      <c r="F650" s="31"/>
      <c r="G650" s="31"/>
      <c r="H650" s="31"/>
      <c r="I650" s="56"/>
      <c r="J650" s="56"/>
      <c r="K650" s="82" t="str">
        <f t="shared" si="185"/>
        <v>Invoice</v>
      </c>
      <c r="L650" s="83" t="str">
        <f>"SI_109814"</f>
        <v>SI_109814</v>
      </c>
      <c r="M650" s="84">
        <v>43068</v>
      </c>
      <c r="N650" s="85">
        <f t="shared" si="186"/>
        <v>744</v>
      </c>
      <c r="O650" s="86">
        <f t="shared" si="187"/>
        <v>11423.06</v>
      </c>
      <c r="P650" s="86">
        <f t="shared" si="188"/>
        <v>0</v>
      </c>
      <c r="Q650" s="86">
        <f t="shared" si="189"/>
        <v>0</v>
      </c>
      <c r="R650" s="86">
        <f t="shared" si="190"/>
        <v>0</v>
      </c>
      <c r="S650" s="86">
        <f t="shared" si="191"/>
        <v>0</v>
      </c>
      <c r="T650" s="86">
        <f t="shared" si="192"/>
        <v>11423.06</v>
      </c>
      <c r="U650" s="87">
        <v>11423.06</v>
      </c>
    </row>
    <row r="651" spans="1:21" s="30" customFormat="1" ht="24.6" hidden="1" outlineLevel="1" x14ac:dyDescent="0.55000000000000004">
      <c r="A651" s="27" t="s">
        <v>327</v>
      </c>
      <c r="B651" s="28"/>
      <c r="C651" s="27"/>
      <c r="D651" s="27" t="str">
        <f>"""NAV Direct"",""CRONUS JetCorp USA"",""21"",""1"",""316074"""</f>
        <v>"NAV Direct","CRONUS JetCorp USA","21","1","316074"</v>
      </c>
      <c r="E651" s="31" t="str">
        <f t="shared" si="184"/>
        <v>C100030</v>
      </c>
      <c r="F651" s="31"/>
      <c r="G651" s="31"/>
      <c r="H651" s="31"/>
      <c r="I651" s="56"/>
      <c r="J651" s="56"/>
      <c r="K651" s="82" t="str">
        <f t="shared" si="185"/>
        <v>Invoice</v>
      </c>
      <c r="L651" s="83" t="str">
        <f>"SI_109816"</f>
        <v>SI_109816</v>
      </c>
      <c r="M651" s="84">
        <v>43090</v>
      </c>
      <c r="N651" s="85">
        <f t="shared" si="186"/>
        <v>722</v>
      </c>
      <c r="O651" s="86">
        <f t="shared" si="187"/>
        <v>11651.720000000001</v>
      </c>
      <c r="P651" s="86">
        <f t="shared" si="188"/>
        <v>0</v>
      </c>
      <c r="Q651" s="86">
        <f t="shared" si="189"/>
        <v>0</v>
      </c>
      <c r="R651" s="86">
        <f t="shared" si="190"/>
        <v>0</v>
      </c>
      <c r="S651" s="86">
        <f t="shared" si="191"/>
        <v>0</v>
      </c>
      <c r="T651" s="86">
        <f t="shared" si="192"/>
        <v>11651.720000000001</v>
      </c>
      <c r="U651" s="87">
        <v>11651.720000000001</v>
      </c>
    </row>
    <row r="652" spans="1:21" s="30" customFormat="1" ht="24.6" hidden="1" outlineLevel="1" x14ac:dyDescent="0.55000000000000004">
      <c r="A652" s="27" t="s">
        <v>327</v>
      </c>
      <c r="B652" s="28"/>
      <c r="C652" s="27"/>
      <c r="D652" s="27" t="str">
        <f>"""NAV Direct"",""CRONUS JetCorp USA"",""21"",""1"",""316114"""</f>
        <v>"NAV Direct","CRONUS JetCorp USA","21","1","316114"</v>
      </c>
      <c r="E652" s="31">
        <f t="shared" si="184"/>
        <v>0</v>
      </c>
      <c r="F652" s="31"/>
      <c r="G652" s="31"/>
      <c r="H652" s="31"/>
      <c r="I652" s="56"/>
      <c r="J652" s="56"/>
      <c r="K652" s="82" t="str">
        <f t="shared" si="185"/>
        <v>Invoice</v>
      </c>
      <c r="L652" s="83" t="str">
        <f>"SI_109818"</f>
        <v>SI_109818</v>
      </c>
      <c r="M652" s="84">
        <v>43091</v>
      </c>
      <c r="N652" s="85">
        <f t="shared" si="186"/>
        <v>721</v>
      </c>
      <c r="O652" s="86">
        <f t="shared" si="187"/>
        <v>11651</v>
      </c>
      <c r="P652" s="86">
        <f t="shared" si="188"/>
        <v>0</v>
      </c>
      <c r="Q652" s="86">
        <f t="shared" si="189"/>
        <v>0</v>
      </c>
      <c r="R652" s="86">
        <f t="shared" si="190"/>
        <v>0</v>
      </c>
      <c r="S652" s="86">
        <f t="shared" si="191"/>
        <v>0</v>
      </c>
      <c r="T652" s="86">
        <f t="shared" si="192"/>
        <v>11651</v>
      </c>
      <c r="U652" s="87">
        <v>11651</v>
      </c>
    </row>
    <row r="653" spans="1:21" s="30" customFormat="1" ht="24.6" hidden="1" outlineLevel="1" x14ac:dyDescent="0.55000000000000004">
      <c r="A653" s="27" t="s">
        <v>327</v>
      </c>
      <c r="B653" s="28"/>
      <c r="C653" s="27"/>
      <c r="D653" s="27" t="str">
        <f>"""NAV Direct"",""CRONUS JetCorp USA"",""21"",""1"",""316226"""</f>
        <v>"NAV Direct","CRONUS JetCorp USA","21","1","316226"</v>
      </c>
      <c r="E653" s="31" t="str">
        <f t="shared" si="184"/>
        <v>C100030</v>
      </c>
      <c r="F653" s="31"/>
      <c r="G653" s="31"/>
      <c r="H653" s="31"/>
      <c r="I653" s="56"/>
      <c r="J653" s="56"/>
      <c r="K653" s="82" t="str">
        <f t="shared" si="185"/>
        <v>Invoice</v>
      </c>
      <c r="L653" s="83" t="str">
        <f>"SI_109822"</f>
        <v>SI_109822</v>
      </c>
      <c r="M653" s="84">
        <v>43129</v>
      </c>
      <c r="N653" s="85">
        <f t="shared" si="186"/>
        <v>683</v>
      </c>
      <c r="O653" s="86">
        <f t="shared" si="187"/>
        <v>11208.75</v>
      </c>
      <c r="P653" s="86">
        <f t="shared" si="188"/>
        <v>0</v>
      </c>
      <c r="Q653" s="86">
        <f t="shared" si="189"/>
        <v>0</v>
      </c>
      <c r="R653" s="86">
        <f t="shared" si="190"/>
        <v>0</v>
      </c>
      <c r="S653" s="86">
        <f t="shared" si="191"/>
        <v>0</v>
      </c>
      <c r="T653" s="86">
        <f t="shared" si="192"/>
        <v>11208.75</v>
      </c>
      <c r="U653" s="87">
        <v>11208.75</v>
      </c>
    </row>
    <row r="654" spans="1:21" s="30" customFormat="1" ht="24.6" hidden="1" outlineLevel="1" x14ac:dyDescent="0.55000000000000004">
      <c r="A654" s="27" t="s">
        <v>327</v>
      </c>
      <c r="B654" s="28"/>
      <c r="C654" s="27"/>
      <c r="D654" s="27" t="str">
        <f>"""NAV Direct"",""CRONUS JetCorp USA"",""21"",""1"",""316368"""</f>
        <v>"NAV Direct","CRONUS JetCorp USA","21","1","316368"</v>
      </c>
      <c r="E654" s="31">
        <f t="shared" si="184"/>
        <v>0</v>
      </c>
      <c r="F654" s="31"/>
      <c r="G654" s="31"/>
      <c r="H654" s="31"/>
      <c r="I654" s="56"/>
      <c r="J654" s="56"/>
      <c r="K654" s="82" t="str">
        <f t="shared" si="185"/>
        <v>Invoice</v>
      </c>
      <c r="L654" s="83" t="str">
        <f>"SI_109828"</f>
        <v>SI_109828</v>
      </c>
      <c r="M654" s="84">
        <v>43178</v>
      </c>
      <c r="N654" s="85">
        <f t="shared" si="186"/>
        <v>634</v>
      </c>
      <c r="O654" s="86">
        <f t="shared" si="187"/>
        <v>11370.74</v>
      </c>
      <c r="P654" s="86">
        <f t="shared" si="188"/>
        <v>0</v>
      </c>
      <c r="Q654" s="86">
        <f t="shared" si="189"/>
        <v>0</v>
      </c>
      <c r="R654" s="86">
        <f t="shared" si="190"/>
        <v>0</v>
      </c>
      <c r="S654" s="86">
        <f t="shared" si="191"/>
        <v>0</v>
      </c>
      <c r="T654" s="86">
        <f t="shared" si="192"/>
        <v>11370.74</v>
      </c>
      <c r="U654" s="87">
        <v>11370.74</v>
      </c>
    </row>
    <row r="655" spans="1:21" s="30" customFormat="1" ht="24.6" hidden="1" outlineLevel="1" x14ac:dyDescent="0.55000000000000004">
      <c r="A655" s="27" t="s">
        <v>327</v>
      </c>
      <c r="B655" s="28"/>
      <c r="C655" s="27"/>
      <c r="D655" s="27" t="str">
        <f>"""NAV Direct"",""CRONUS JetCorp USA"",""21"",""1"",""316447"""</f>
        <v>"NAV Direct","CRONUS JetCorp USA","21","1","316447"</v>
      </c>
      <c r="E655" s="31" t="str">
        <f t="shared" si="184"/>
        <v>C100030</v>
      </c>
      <c r="F655" s="31"/>
      <c r="G655" s="31"/>
      <c r="H655" s="31"/>
      <c r="I655" s="56"/>
      <c r="J655" s="56"/>
      <c r="K655" s="82" t="str">
        <f t="shared" si="185"/>
        <v>Invoice</v>
      </c>
      <c r="L655" s="83" t="str">
        <f>"SI_109831"</f>
        <v>SI_109831</v>
      </c>
      <c r="M655" s="84">
        <v>43206</v>
      </c>
      <c r="N655" s="85">
        <f t="shared" si="186"/>
        <v>606</v>
      </c>
      <c r="O655" s="86">
        <f t="shared" si="187"/>
        <v>11344.72</v>
      </c>
      <c r="P655" s="86">
        <f t="shared" si="188"/>
        <v>0</v>
      </c>
      <c r="Q655" s="86">
        <f t="shared" si="189"/>
        <v>0</v>
      </c>
      <c r="R655" s="86">
        <f t="shared" si="190"/>
        <v>0</v>
      </c>
      <c r="S655" s="86">
        <f t="shared" si="191"/>
        <v>0</v>
      </c>
      <c r="T655" s="86">
        <f t="shared" si="192"/>
        <v>11344.72</v>
      </c>
      <c r="U655" s="87">
        <v>11344.72</v>
      </c>
    </row>
    <row r="656" spans="1:21" s="30" customFormat="1" ht="24.6" hidden="1" outlineLevel="1" x14ac:dyDescent="0.55000000000000004">
      <c r="A656" s="27" t="s">
        <v>327</v>
      </c>
      <c r="B656" s="28"/>
      <c r="C656" s="27"/>
      <c r="D656" s="27" t="str">
        <f>"""NAV Direct"",""CRONUS JetCorp USA"",""21"",""1"",""316468"""</f>
        <v>"NAV Direct","CRONUS JetCorp USA","21","1","316468"</v>
      </c>
      <c r="E656" s="31">
        <f t="shared" si="184"/>
        <v>0</v>
      </c>
      <c r="F656" s="31"/>
      <c r="G656" s="31"/>
      <c r="H656" s="31"/>
      <c r="I656" s="56"/>
      <c r="J656" s="56"/>
      <c r="K656" s="82" t="str">
        <f t="shared" si="185"/>
        <v>Invoice</v>
      </c>
      <c r="L656" s="83" t="str">
        <f>"SI_109832"</f>
        <v>SI_109832</v>
      </c>
      <c r="M656" s="84">
        <v>43215</v>
      </c>
      <c r="N656" s="85">
        <f t="shared" si="186"/>
        <v>597</v>
      </c>
      <c r="O656" s="86">
        <f t="shared" si="187"/>
        <v>11461.4</v>
      </c>
      <c r="P656" s="86">
        <f t="shared" si="188"/>
        <v>0</v>
      </c>
      <c r="Q656" s="86">
        <f t="shared" si="189"/>
        <v>0</v>
      </c>
      <c r="R656" s="86">
        <f t="shared" si="190"/>
        <v>0</v>
      </c>
      <c r="S656" s="86">
        <f t="shared" si="191"/>
        <v>0</v>
      </c>
      <c r="T656" s="86">
        <f t="shared" si="192"/>
        <v>11461.4</v>
      </c>
      <c r="U656" s="87">
        <v>11461.4</v>
      </c>
    </row>
    <row r="657" spans="1:21" s="30" customFormat="1" ht="24.6" hidden="1" outlineLevel="1" x14ac:dyDescent="0.55000000000000004">
      <c r="A657" s="27" t="s">
        <v>327</v>
      </c>
      <c r="B657" s="28"/>
      <c r="C657" s="27"/>
      <c r="D657" s="27" t="str">
        <f>"""NAV Direct"",""CRONUS JetCorp USA"",""21"",""1"",""316526"""</f>
        <v>"NAV Direct","CRONUS JetCorp USA","21","1","316526"</v>
      </c>
      <c r="E657" s="31" t="str">
        <f t="shared" si="184"/>
        <v>C100030</v>
      </c>
      <c r="F657" s="31"/>
      <c r="G657" s="31"/>
      <c r="H657" s="31"/>
      <c r="I657" s="56"/>
      <c r="J657" s="56"/>
      <c r="K657" s="82" t="str">
        <f t="shared" si="185"/>
        <v>Invoice</v>
      </c>
      <c r="L657" s="83" t="str">
        <f>"SI_109834"</f>
        <v>SI_109834</v>
      </c>
      <c r="M657" s="84">
        <v>43241</v>
      </c>
      <c r="N657" s="85">
        <f t="shared" si="186"/>
        <v>571</v>
      </c>
      <c r="O657" s="86">
        <f t="shared" si="187"/>
        <v>11438.26</v>
      </c>
      <c r="P657" s="86">
        <f t="shared" si="188"/>
        <v>0</v>
      </c>
      <c r="Q657" s="86">
        <f t="shared" si="189"/>
        <v>0</v>
      </c>
      <c r="R657" s="86">
        <f t="shared" si="190"/>
        <v>0</v>
      </c>
      <c r="S657" s="86">
        <f t="shared" si="191"/>
        <v>0</v>
      </c>
      <c r="T657" s="86">
        <f t="shared" si="192"/>
        <v>11438.26</v>
      </c>
      <c r="U657" s="87">
        <v>11438.26</v>
      </c>
    </row>
    <row r="658" spans="1:21" s="30" customFormat="1" ht="24.6" hidden="1" outlineLevel="1" x14ac:dyDescent="0.55000000000000004">
      <c r="A658" s="27" t="s">
        <v>327</v>
      </c>
      <c r="B658" s="28"/>
      <c r="C658" s="27"/>
      <c r="D658" s="27" t="str">
        <f>"""NAV Direct"",""CRONUS JetCorp USA"",""21"",""1"",""316660"""</f>
        <v>"NAV Direct","CRONUS JetCorp USA","21","1","316660"</v>
      </c>
      <c r="E658" s="31">
        <f t="shared" si="184"/>
        <v>0</v>
      </c>
      <c r="F658" s="31"/>
      <c r="G658" s="31"/>
      <c r="H658" s="31"/>
      <c r="I658" s="56"/>
      <c r="J658" s="56"/>
      <c r="K658" s="82" t="str">
        <f t="shared" si="185"/>
        <v>Invoice</v>
      </c>
      <c r="L658" s="83" t="str">
        <f>"SI_109840"</f>
        <v>SI_109840</v>
      </c>
      <c r="M658" s="84">
        <v>43302</v>
      </c>
      <c r="N658" s="85">
        <f t="shared" si="186"/>
        <v>510</v>
      </c>
      <c r="O658" s="86">
        <f t="shared" si="187"/>
        <v>11472.17</v>
      </c>
      <c r="P658" s="86">
        <f t="shared" si="188"/>
        <v>0</v>
      </c>
      <c r="Q658" s="86">
        <f t="shared" si="189"/>
        <v>0</v>
      </c>
      <c r="R658" s="86">
        <f t="shared" si="190"/>
        <v>0</v>
      </c>
      <c r="S658" s="86">
        <f t="shared" si="191"/>
        <v>0</v>
      </c>
      <c r="T658" s="86">
        <f t="shared" si="192"/>
        <v>11472.17</v>
      </c>
      <c r="U658" s="87">
        <v>11472.17</v>
      </c>
    </row>
    <row r="659" spans="1:21" s="30" customFormat="1" ht="24.6" hidden="1" outlineLevel="1" x14ac:dyDescent="0.55000000000000004">
      <c r="A659" s="27" t="s">
        <v>327</v>
      </c>
      <c r="B659" s="28"/>
      <c r="C659" s="27"/>
      <c r="D659" s="27" t="str">
        <f>"""NAV Direct"",""CRONUS JetCorp USA"",""21"",""1"",""316685"""</f>
        <v>"NAV Direct","CRONUS JetCorp USA","21","1","316685"</v>
      </c>
      <c r="E659" s="31" t="str">
        <f t="shared" ref="E659:E690" si="193">E657</f>
        <v>C100030</v>
      </c>
      <c r="F659" s="31"/>
      <c r="G659" s="31"/>
      <c r="H659" s="31"/>
      <c r="I659" s="56"/>
      <c r="J659" s="56"/>
      <c r="K659" s="82" t="str">
        <f t="shared" ref="K659:K683" si="194">"Invoice"</f>
        <v>Invoice</v>
      </c>
      <c r="L659" s="83" t="str">
        <f>"SI_109841"</f>
        <v>SI_109841</v>
      </c>
      <c r="M659" s="84">
        <v>43307</v>
      </c>
      <c r="N659" s="85">
        <f t="shared" ref="N659:N692" si="195">StartDate-$M659+1</f>
        <v>505</v>
      </c>
      <c r="O659" s="86">
        <f t="shared" ref="O659:O690" si="196">SUM(P659:T659)</f>
        <v>11353.77</v>
      </c>
      <c r="P659" s="86">
        <f t="shared" ref="P659:P692" si="197">IF($M659&gt;=$P$18,U659,0)</f>
        <v>0</v>
      </c>
      <c r="Q659" s="86">
        <f t="shared" ref="Q659:Q692" si="198">IF(AND($M659&gt;=$Q$16,$M659&lt;=$Q$18),U659,0)</f>
        <v>0</v>
      </c>
      <c r="R659" s="86">
        <f t="shared" ref="R659:R692" si="199">IF(AND($M659&gt;=$R$16,$M659&lt;=$R$18),U659,0)</f>
        <v>0</v>
      </c>
      <c r="S659" s="86">
        <f t="shared" ref="S659:S692" si="200">IF(AND($M659&gt;=$S$16,$M659&lt;=$S$18),U659,0)</f>
        <v>0</v>
      </c>
      <c r="T659" s="86">
        <f t="shared" ref="T659:T690" si="201">IF($M659&lt;=$T$18,U659,0)</f>
        <v>11353.77</v>
      </c>
      <c r="U659" s="87">
        <v>11353.77</v>
      </c>
    </row>
    <row r="660" spans="1:21" s="30" customFormat="1" ht="24.6" hidden="1" outlineLevel="1" x14ac:dyDescent="0.55000000000000004">
      <c r="A660" s="27" t="s">
        <v>327</v>
      </c>
      <c r="B660" s="28"/>
      <c r="C660" s="27"/>
      <c r="D660" s="27" t="str">
        <f>"""NAV Direct"",""CRONUS JetCorp USA"",""21"",""1"",""316712"""</f>
        <v>"NAV Direct","CRONUS JetCorp USA","21","1","316712"</v>
      </c>
      <c r="E660" s="31">
        <f t="shared" si="193"/>
        <v>0</v>
      </c>
      <c r="F660" s="31"/>
      <c r="G660" s="31"/>
      <c r="H660" s="31"/>
      <c r="I660" s="56"/>
      <c r="J660" s="56"/>
      <c r="K660" s="82" t="str">
        <f t="shared" si="194"/>
        <v>Invoice</v>
      </c>
      <c r="L660" s="83" t="str">
        <f>"SI_109842"</f>
        <v>SI_109842</v>
      </c>
      <c r="M660" s="84">
        <v>43314</v>
      </c>
      <c r="N660" s="85">
        <f t="shared" si="195"/>
        <v>498</v>
      </c>
      <c r="O660" s="86">
        <f t="shared" si="196"/>
        <v>11354.85</v>
      </c>
      <c r="P660" s="86">
        <f t="shared" si="197"/>
        <v>0</v>
      </c>
      <c r="Q660" s="86">
        <f t="shared" si="198"/>
        <v>0</v>
      </c>
      <c r="R660" s="86">
        <f t="shared" si="199"/>
        <v>0</v>
      </c>
      <c r="S660" s="86">
        <f t="shared" si="200"/>
        <v>0</v>
      </c>
      <c r="T660" s="86">
        <f t="shared" si="201"/>
        <v>11354.85</v>
      </c>
      <c r="U660" s="87">
        <v>11354.85</v>
      </c>
    </row>
    <row r="661" spans="1:21" s="30" customFormat="1" ht="24.6" hidden="1" outlineLevel="1" x14ac:dyDescent="0.55000000000000004">
      <c r="A661" s="27" t="s">
        <v>327</v>
      </c>
      <c r="B661" s="28"/>
      <c r="C661" s="27"/>
      <c r="D661" s="27" t="str">
        <f>"""NAV Direct"",""CRONUS JetCorp USA"",""21"",""1"",""317192"""</f>
        <v>"NAV Direct","CRONUS JetCorp USA","21","1","317192"</v>
      </c>
      <c r="E661" s="31" t="str">
        <f t="shared" si="193"/>
        <v>C100030</v>
      </c>
      <c r="F661" s="31"/>
      <c r="G661" s="31"/>
      <c r="H661" s="31"/>
      <c r="I661" s="56"/>
      <c r="J661" s="56"/>
      <c r="K661" s="82" t="str">
        <f t="shared" si="194"/>
        <v>Invoice</v>
      </c>
      <c r="L661" s="83" t="str">
        <f>"SI_109862"</f>
        <v>SI_109862</v>
      </c>
      <c r="M661" s="84">
        <v>43452</v>
      </c>
      <c r="N661" s="85">
        <f t="shared" si="195"/>
        <v>360</v>
      </c>
      <c r="O661" s="86">
        <f t="shared" si="196"/>
        <v>12263.779999999999</v>
      </c>
      <c r="P661" s="86">
        <f t="shared" si="197"/>
        <v>0</v>
      </c>
      <c r="Q661" s="86">
        <f t="shared" si="198"/>
        <v>0</v>
      </c>
      <c r="R661" s="86">
        <f t="shared" si="199"/>
        <v>0</v>
      </c>
      <c r="S661" s="86">
        <f t="shared" si="200"/>
        <v>0</v>
      </c>
      <c r="T661" s="86">
        <f t="shared" si="201"/>
        <v>12263.779999999999</v>
      </c>
      <c r="U661" s="87">
        <v>12263.779999999999</v>
      </c>
    </row>
    <row r="662" spans="1:21" s="30" customFormat="1" ht="24.6" hidden="1" outlineLevel="1" x14ac:dyDescent="0.55000000000000004">
      <c r="A662" s="27" t="s">
        <v>327</v>
      </c>
      <c r="B662" s="28"/>
      <c r="C662" s="27"/>
      <c r="D662" s="27" t="str">
        <f>"""NAV Direct"",""CRONUS JetCorp USA"",""21"",""1"",""317240"""</f>
        <v>"NAV Direct","CRONUS JetCorp USA","21","1","317240"</v>
      </c>
      <c r="E662" s="31">
        <f t="shared" si="193"/>
        <v>0</v>
      </c>
      <c r="F662" s="31"/>
      <c r="G662" s="31"/>
      <c r="H662" s="31"/>
      <c r="I662" s="56"/>
      <c r="J662" s="56"/>
      <c r="K662" s="82" t="str">
        <f t="shared" si="194"/>
        <v>Invoice</v>
      </c>
      <c r="L662" s="83" t="str">
        <f>"SI_109864"</f>
        <v>SI_109864</v>
      </c>
      <c r="M662" s="84">
        <v>43463</v>
      </c>
      <c r="N662" s="85">
        <f t="shared" si="195"/>
        <v>349</v>
      </c>
      <c r="O662" s="86">
        <f t="shared" si="196"/>
        <v>12390.960000000001</v>
      </c>
      <c r="P662" s="86">
        <f t="shared" si="197"/>
        <v>0</v>
      </c>
      <c r="Q662" s="86">
        <f t="shared" si="198"/>
        <v>0</v>
      </c>
      <c r="R662" s="86">
        <f t="shared" si="199"/>
        <v>0</v>
      </c>
      <c r="S662" s="86">
        <f t="shared" si="200"/>
        <v>0</v>
      </c>
      <c r="T662" s="86">
        <f t="shared" si="201"/>
        <v>12390.960000000001</v>
      </c>
      <c r="U662" s="87">
        <v>12390.960000000001</v>
      </c>
    </row>
    <row r="663" spans="1:21" s="30" customFormat="1" ht="24.6" hidden="1" outlineLevel="1" x14ac:dyDescent="0.55000000000000004">
      <c r="A663" s="27" t="s">
        <v>327</v>
      </c>
      <c r="B663" s="28"/>
      <c r="C663" s="27"/>
      <c r="D663" s="27" t="str">
        <f>"""NAV Direct"",""CRONUS JetCorp USA"",""21"",""1"",""317269"""</f>
        <v>"NAV Direct","CRONUS JetCorp USA","21","1","317269"</v>
      </c>
      <c r="E663" s="31" t="str">
        <f t="shared" si="193"/>
        <v>C100030</v>
      </c>
      <c r="F663" s="31"/>
      <c r="G663" s="31"/>
      <c r="H663" s="31"/>
      <c r="I663" s="56"/>
      <c r="J663" s="56"/>
      <c r="K663" s="82" t="str">
        <f t="shared" si="194"/>
        <v>Invoice</v>
      </c>
      <c r="L663" s="83" t="str">
        <f>"SI_109865"</f>
        <v>SI_109865</v>
      </c>
      <c r="M663" s="84">
        <v>43465</v>
      </c>
      <c r="N663" s="85">
        <f t="shared" si="195"/>
        <v>347</v>
      </c>
      <c r="O663" s="86">
        <f t="shared" si="196"/>
        <v>12264.239999999998</v>
      </c>
      <c r="P663" s="86">
        <f t="shared" si="197"/>
        <v>0</v>
      </c>
      <c r="Q663" s="86">
        <f t="shared" si="198"/>
        <v>0</v>
      </c>
      <c r="R663" s="86">
        <f t="shared" si="199"/>
        <v>0</v>
      </c>
      <c r="S663" s="86">
        <f t="shared" si="200"/>
        <v>0</v>
      </c>
      <c r="T663" s="86">
        <f t="shared" si="201"/>
        <v>12264.239999999998</v>
      </c>
      <c r="U663" s="87">
        <v>12264.239999999998</v>
      </c>
    </row>
    <row r="664" spans="1:21" s="30" customFormat="1" ht="24.6" hidden="1" outlineLevel="1" x14ac:dyDescent="0.55000000000000004">
      <c r="A664" s="27" t="s">
        <v>327</v>
      </c>
      <c r="B664" s="28"/>
      <c r="C664" s="27"/>
      <c r="D664" s="27" t="str">
        <f>"""NAV Direct"",""CRONUS JetCorp USA"",""21"",""1"",""317359"""</f>
        <v>"NAV Direct","CRONUS JetCorp USA","21","1","317359"</v>
      </c>
      <c r="E664" s="31">
        <f t="shared" si="193"/>
        <v>0</v>
      </c>
      <c r="F664" s="31"/>
      <c r="G664" s="31"/>
      <c r="H664" s="31"/>
      <c r="I664" s="56"/>
      <c r="J664" s="56"/>
      <c r="K664" s="82" t="str">
        <f t="shared" si="194"/>
        <v>Invoice</v>
      </c>
      <c r="L664" s="83" t="str">
        <f>"SI_109869"</f>
        <v>SI_109869</v>
      </c>
      <c r="M664" s="84">
        <v>43491</v>
      </c>
      <c r="N664" s="85">
        <f t="shared" si="195"/>
        <v>321</v>
      </c>
      <c r="O664" s="86">
        <f t="shared" si="196"/>
        <v>12131.789999999999</v>
      </c>
      <c r="P664" s="86">
        <f t="shared" si="197"/>
        <v>0</v>
      </c>
      <c r="Q664" s="86">
        <f t="shared" si="198"/>
        <v>0</v>
      </c>
      <c r="R664" s="86">
        <f t="shared" si="199"/>
        <v>0</v>
      </c>
      <c r="S664" s="86">
        <f t="shared" si="200"/>
        <v>0</v>
      </c>
      <c r="T664" s="86">
        <f t="shared" si="201"/>
        <v>12131.789999999999</v>
      </c>
      <c r="U664" s="87">
        <v>12131.789999999999</v>
      </c>
    </row>
    <row r="665" spans="1:21" s="30" customFormat="1" ht="24.6" hidden="1" outlineLevel="1" x14ac:dyDescent="0.55000000000000004">
      <c r="A665" s="27" t="s">
        <v>327</v>
      </c>
      <c r="B665" s="28"/>
      <c r="C665" s="27"/>
      <c r="D665" s="27" t="str">
        <f>"""NAV Direct"",""CRONUS JetCorp USA"",""21"",""1"",""317411"""</f>
        <v>"NAV Direct","CRONUS JetCorp USA","21","1","317411"</v>
      </c>
      <c r="E665" s="31" t="str">
        <f t="shared" si="193"/>
        <v>C100030</v>
      </c>
      <c r="F665" s="31"/>
      <c r="G665" s="31"/>
      <c r="H665" s="31"/>
      <c r="I665" s="56"/>
      <c r="J665" s="56"/>
      <c r="K665" s="82" t="str">
        <f t="shared" si="194"/>
        <v>Invoice</v>
      </c>
      <c r="L665" s="83" t="str">
        <f>"SI_109871"</f>
        <v>SI_109871</v>
      </c>
      <c r="M665" s="84">
        <v>43514</v>
      </c>
      <c r="N665" s="85">
        <f t="shared" si="195"/>
        <v>298</v>
      </c>
      <c r="O665" s="86">
        <f t="shared" si="196"/>
        <v>12831.509999999998</v>
      </c>
      <c r="P665" s="86">
        <f t="shared" si="197"/>
        <v>0</v>
      </c>
      <c r="Q665" s="86">
        <f t="shared" si="198"/>
        <v>0</v>
      </c>
      <c r="R665" s="86">
        <f t="shared" si="199"/>
        <v>0</v>
      </c>
      <c r="S665" s="86">
        <f t="shared" si="200"/>
        <v>0</v>
      </c>
      <c r="T665" s="86">
        <f t="shared" si="201"/>
        <v>12831.509999999998</v>
      </c>
      <c r="U665" s="87">
        <v>12831.509999999998</v>
      </c>
    </row>
    <row r="666" spans="1:21" s="30" customFormat="1" ht="24.6" hidden="1" outlineLevel="1" x14ac:dyDescent="0.55000000000000004">
      <c r="A666" s="27" t="s">
        <v>327</v>
      </c>
      <c r="B666" s="28"/>
      <c r="C666" s="27"/>
      <c r="D666" s="27" t="str">
        <f>"""NAV Direct"",""CRONUS JetCorp USA"",""21"",""1"",""317463"""</f>
        <v>"NAV Direct","CRONUS JetCorp USA","21","1","317463"</v>
      </c>
      <c r="E666" s="31">
        <f t="shared" si="193"/>
        <v>0</v>
      </c>
      <c r="F666" s="31"/>
      <c r="G666" s="31"/>
      <c r="H666" s="31"/>
      <c r="I666" s="56"/>
      <c r="J666" s="56"/>
      <c r="K666" s="82" t="str">
        <f t="shared" si="194"/>
        <v>Invoice</v>
      </c>
      <c r="L666" s="83" t="str">
        <f>"SI_109873"</f>
        <v>SI_109873</v>
      </c>
      <c r="M666" s="84">
        <v>43524</v>
      </c>
      <c r="N666" s="85">
        <f t="shared" si="195"/>
        <v>288</v>
      </c>
      <c r="O666" s="86">
        <f t="shared" si="196"/>
        <v>12965.1</v>
      </c>
      <c r="P666" s="86">
        <f t="shared" si="197"/>
        <v>0</v>
      </c>
      <c r="Q666" s="86">
        <f t="shared" si="198"/>
        <v>0</v>
      </c>
      <c r="R666" s="86">
        <f t="shared" si="199"/>
        <v>0</v>
      </c>
      <c r="S666" s="86">
        <f t="shared" si="200"/>
        <v>0</v>
      </c>
      <c r="T666" s="86">
        <f t="shared" si="201"/>
        <v>12965.1</v>
      </c>
      <c r="U666" s="87">
        <v>12965.1</v>
      </c>
    </row>
    <row r="667" spans="1:21" s="30" customFormat="1" ht="24.6" hidden="1" outlineLevel="1" x14ac:dyDescent="0.55000000000000004">
      <c r="A667" s="27" t="s">
        <v>327</v>
      </c>
      <c r="B667" s="28"/>
      <c r="C667" s="27"/>
      <c r="D667" s="27" t="str">
        <f>"""NAV Direct"",""CRONUS JetCorp USA"",""21"",""1"",""317517"""</f>
        <v>"NAV Direct","CRONUS JetCorp USA","21","1","317517"</v>
      </c>
      <c r="E667" s="31" t="str">
        <f t="shared" si="193"/>
        <v>C100030</v>
      </c>
      <c r="F667" s="31"/>
      <c r="G667" s="31"/>
      <c r="H667" s="31"/>
      <c r="I667" s="56"/>
      <c r="J667" s="56"/>
      <c r="K667" s="82" t="str">
        <f t="shared" si="194"/>
        <v>Invoice</v>
      </c>
      <c r="L667" s="83" t="str">
        <f>"SI_109875"</f>
        <v>SI_109875</v>
      </c>
      <c r="M667" s="84">
        <v>43546</v>
      </c>
      <c r="N667" s="85">
        <f t="shared" si="195"/>
        <v>266</v>
      </c>
      <c r="O667" s="86">
        <f t="shared" si="196"/>
        <v>12979</v>
      </c>
      <c r="P667" s="86">
        <f t="shared" si="197"/>
        <v>0</v>
      </c>
      <c r="Q667" s="86">
        <f t="shared" si="198"/>
        <v>0</v>
      </c>
      <c r="R667" s="86">
        <f t="shared" si="199"/>
        <v>0</v>
      </c>
      <c r="S667" s="86">
        <f t="shared" si="200"/>
        <v>0</v>
      </c>
      <c r="T667" s="86">
        <f t="shared" si="201"/>
        <v>12979</v>
      </c>
      <c r="U667" s="87">
        <v>12979</v>
      </c>
    </row>
    <row r="668" spans="1:21" s="30" customFormat="1" ht="24.6" hidden="1" outlineLevel="1" x14ac:dyDescent="0.55000000000000004">
      <c r="A668" s="27" t="s">
        <v>327</v>
      </c>
      <c r="B668" s="28"/>
      <c r="C668" s="27"/>
      <c r="D668" s="27" t="str">
        <f>"""NAV Direct"",""CRONUS JetCorp USA"",""21"",""1"",""317654"""</f>
        <v>"NAV Direct","CRONUS JetCorp USA","21","1","317654"</v>
      </c>
      <c r="E668" s="31">
        <f t="shared" si="193"/>
        <v>0</v>
      </c>
      <c r="F668" s="31"/>
      <c r="G668" s="31"/>
      <c r="H668" s="31"/>
      <c r="I668" s="56"/>
      <c r="J668" s="56"/>
      <c r="K668" s="82" t="str">
        <f t="shared" si="194"/>
        <v>Invoice</v>
      </c>
      <c r="L668" s="83" t="str">
        <f>"SI_109880"</f>
        <v>SI_109880</v>
      </c>
      <c r="M668" s="84">
        <v>43584</v>
      </c>
      <c r="N668" s="85">
        <f t="shared" si="195"/>
        <v>228</v>
      </c>
      <c r="O668" s="86">
        <f t="shared" si="196"/>
        <v>13109.34</v>
      </c>
      <c r="P668" s="86">
        <f t="shared" si="197"/>
        <v>0</v>
      </c>
      <c r="Q668" s="86">
        <f t="shared" si="198"/>
        <v>0</v>
      </c>
      <c r="R668" s="86">
        <f t="shared" si="199"/>
        <v>0</v>
      </c>
      <c r="S668" s="86">
        <f t="shared" si="200"/>
        <v>0</v>
      </c>
      <c r="T668" s="86">
        <f t="shared" si="201"/>
        <v>13109.34</v>
      </c>
      <c r="U668" s="87">
        <v>13109.34</v>
      </c>
    </row>
    <row r="669" spans="1:21" s="30" customFormat="1" ht="24.6" hidden="1" outlineLevel="1" x14ac:dyDescent="0.55000000000000004">
      <c r="A669" s="27" t="s">
        <v>327</v>
      </c>
      <c r="B669" s="28"/>
      <c r="C669" s="27"/>
      <c r="D669" s="27" t="str">
        <f>"""NAV Direct"",""CRONUS JetCorp USA"",""21"",""1"",""317862"""</f>
        <v>"NAV Direct","CRONUS JetCorp USA","21","1","317862"</v>
      </c>
      <c r="E669" s="31" t="str">
        <f t="shared" si="193"/>
        <v>C100030</v>
      </c>
      <c r="F669" s="31"/>
      <c r="G669" s="31"/>
      <c r="H669" s="31"/>
      <c r="I669" s="56"/>
      <c r="J669" s="56"/>
      <c r="K669" s="82" t="str">
        <f t="shared" si="194"/>
        <v>Invoice</v>
      </c>
      <c r="L669" s="83" t="str">
        <f>"SI_109888"</f>
        <v>SI_109888</v>
      </c>
      <c r="M669" s="84">
        <v>43642</v>
      </c>
      <c r="N669" s="85">
        <f t="shared" si="195"/>
        <v>170</v>
      </c>
      <c r="O669" s="86">
        <f t="shared" si="196"/>
        <v>13013.859999999999</v>
      </c>
      <c r="P669" s="86">
        <f t="shared" si="197"/>
        <v>0</v>
      </c>
      <c r="Q669" s="86">
        <f t="shared" si="198"/>
        <v>0</v>
      </c>
      <c r="R669" s="86">
        <f t="shared" si="199"/>
        <v>0</v>
      </c>
      <c r="S669" s="86">
        <f t="shared" si="200"/>
        <v>0</v>
      </c>
      <c r="T669" s="86">
        <f t="shared" si="201"/>
        <v>13013.859999999999</v>
      </c>
      <c r="U669" s="87">
        <v>13013.859999999999</v>
      </c>
    </row>
    <row r="670" spans="1:21" s="30" customFormat="1" ht="24.6" hidden="1" outlineLevel="1" x14ac:dyDescent="0.55000000000000004">
      <c r="A670" s="27" t="s">
        <v>327</v>
      </c>
      <c r="B670" s="28"/>
      <c r="C670" s="27"/>
      <c r="D670" s="27" t="str">
        <f>"""NAV Direct"",""CRONUS JetCorp USA"",""21"",""1"",""318022"""</f>
        <v>"NAV Direct","CRONUS JetCorp USA","21","1","318022"</v>
      </c>
      <c r="E670" s="31">
        <f t="shared" si="193"/>
        <v>0</v>
      </c>
      <c r="F670" s="31"/>
      <c r="G670" s="31"/>
      <c r="H670" s="31"/>
      <c r="I670" s="56"/>
      <c r="J670" s="56"/>
      <c r="K670" s="82" t="str">
        <f t="shared" si="194"/>
        <v>Invoice</v>
      </c>
      <c r="L670" s="83" t="str">
        <f>"SI_109894"</f>
        <v>SI_109894</v>
      </c>
      <c r="M670" s="84">
        <v>43687</v>
      </c>
      <c r="N670" s="85">
        <f t="shared" si="195"/>
        <v>125</v>
      </c>
      <c r="O670" s="86">
        <f t="shared" si="196"/>
        <v>14267.89</v>
      </c>
      <c r="P670" s="86">
        <f t="shared" si="197"/>
        <v>0</v>
      </c>
      <c r="Q670" s="86">
        <f t="shared" si="198"/>
        <v>0</v>
      </c>
      <c r="R670" s="86">
        <f t="shared" si="199"/>
        <v>0</v>
      </c>
      <c r="S670" s="86">
        <f t="shared" si="200"/>
        <v>0</v>
      </c>
      <c r="T670" s="86">
        <f t="shared" si="201"/>
        <v>14267.89</v>
      </c>
      <c r="U670" s="87">
        <v>14267.89</v>
      </c>
    </row>
    <row r="671" spans="1:21" s="30" customFormat="1" ht="24.6" hidden="1" outlineLevel="1" x14ac:dyDescent="0.55000000000000004">
      <c r="A671" s="27" t="s">
        <v>327</v>
      </c>
      <c r="B671" s="28"/>
      <c r="C671" s="27"/>
      <c r="D671" s="27" t="str">
        <f>"""NAV Direct"",""CRONUS JetCorp USA"",""21"",""1"",""318070"""</f>
        <v>"NAV Direct","CRONUS JetCorp USA","21","1","318070"</v>
      </c>
      <c r="E671" s="31" t="str">
        <f t="shared" si="193"/>
        <v>C100030</v>
      </c>
      <c r="F671" s="31"/>
      <c r="G671" s="31"/>
      <c r="H671" s="31"/>
      <c r="I671" s="56"/>
      <c r="J671" s="56"/>
      <c r="K671" s="82" t="str">
        <f t="shared" si="194"/>
        <v>Invoice</v>
      </c>
      <c r="L671" s="83" t="str">
        <f>"SI_109896"</f>
        <v>SI_109896</v>
      </c>
      <c r="M671" s="84">
        <v>43704</v>
      </c>
      <c r="N671" s="85">
        <f t="shared" si="195"/>
        <v>108</v>
      </c>
      <c r="O671" s="86">
        <f t="shared" si="196"/>
        <v>13822.039999999999</v>
      </c>
      <c r="P671" s="86">
        <f t="shared" si="197"/>
        <v>0</v>
      </c>
      <c r="Q671" s="86">
        <f t="shared" si="198"/>
        <v>0</v>
      </c>
      <c r="R671" s="86">
        <f t="shared" si="199"/>
        <v>0</v>
      </c>
      <c r="S671" s="86">
        <f t="shared" si="200"/>
        <v>0</v>
      </c>
      <c r="T671" s="86">
        <f t="shared" si="201"/>
        <v>13822.039999999999</v>
      </c>
      <c r="U671" s="87">
        <v>13822.039999999999</v>
      </c>
    </row>
    <row r="672" spans="1:21" s="30" customFormat="1" ht="24.6" hidden="1" outlineLevel="1" x14ac:dyDescent="0.55000000000000004">
      <c r="A672" s="27" t="s">
        <v>327</v>
      </c>
      <c r="B672" s="28"/>
      <c r="C672" s="27"/>
      <c r="D672" s="27" t="str">
        <f>"""NAV Direct"",""CRONUS JetCorp USA"",""21"",""1"",""318141"""</f>
        <v>"NAV Direct","CRONUS JetCorp USA","21","1","318141"</v>
      </c>
      <c r="E672" s="31">
        <f t="shared" si="193"/>
        <v>0</v>
      </c>
      <c r="F672" s="31"/>
      <c r="G672" s="31"/>
      <c r="H672" s="31"/>
      <c r="I672" s="56"/>
      <c r="J672" s="56"/>
      <c r="K672" s="82" t="str">
        <f t="shared" si="194"/>
        <v>Invoice</v>
      </c>
      <c r="L672" s="83" t="str">
        <f>"SI_109899"</f>
        <v>SI_109899</v>
      </c>
      <c r="M672" s="84">
        <v>43729</v>
      </c>
      <c r="N672" s="85">
        <f t="shared" si="195"/>
        <v>83</v>
      </c>
      <c r="O672" s="86">
        <f t="shared" si="196"/>
        <v>13525.09</v>
      </c>
      <c r="P672" s="86">
        <f t="shared" si="197"/>
        <v>0</v>
      </c>
      <c r="Q672" s="86">
        <f t="shared" si="198"/>
        <v>0</v>
      </c>
      <c r="R672" s="86">
        <f t="shared" si="199"/>
        <v>0</v>
      </c>
      <c r="S672" s="86">
        <f t="shared" si="200"/>
        <v>13525.09</v>
      </c>
      <c r="T672" s="86">
        <f t="shared" si="201"/>
        <v>0</v>
      </c>
      <c r="U672" s="87">
        <v>13525.09</v>
      </c>
    </row>
    <row r="673" spans="1:21" s="30" customFormat="1" ht="24.6" hidden="1" outlineLevel="1" x14ac:dyDescent="0.55000000000000004">
      <c r="A673" s="27" t="s">
        <v>327</v>
      </c>
      <c r="B673" s="28"/>
      <c r="C673" s="27"/>
      <c r="D673" s="27" t="str">
        <f>"""NAV Direct"",""CRONUS JetCorp USA"",""21"",""1"",""318174"""</f>
        <v>"NAV Direct","CRONUS JetCorp USA","21","1","318174"</v>
      </c>
      <c r="E673" s="31" t="str">
        <f t="shared" si="193"/>
        <v>C100030</v>
      </c>
      <c r="F673" s="31"/>
      <c r="G673" s="31"/>
      <c r="H673" s="31"/>
      <c r="I673" s="56"/>
      <c r="J673" s="56"/>
      <c r="K673" s="82" t="str">
        <f t="shared" si="194"/>
        <v>Invoice</v>
      </c>
      <c r="L673" s="83" t="str">
        <f>"SI_109900"</f>
        <v>SI_109900</v>
      </c>
      <c r="M673" s="84">
        <v>43730</v>
      </c>
      <c r="N673" s="85">
        <f t="shared" si="195"/>
        <v>82</v>
      </c>
      <c r="O673" s="86">
        <f t="shared" si="196"/>
        <v>14576.63</v>
      </c>
      <c r="P673" s="86">
        <f t="shared" si="197"/>
        <v>0</v>
      </c>
      <c r="Q673" s="86">
        <f t="shared" si="198"/>
        <v>0</v>
      </c>
      <c r="R673" s="86">
        <f t="shared" si="199"/>
        <v>0</v>
      </c>
      <c r="S673" s="86">
        <f t="shared" si="200"/>
        <v>14576.63</v>
      </c>
      <c r="T673" s="86">
        <f t="shared" si="201"/>
        <v>0</v>
      </c>
      <c r="U673" s="87">
        <v>14576.63</v>
      </c>
    </row>
    <row r="674" spans="1:21" s="30" customFormat="1" ht="24.6" hidden="1" outlineLevel="1" x14ac:dyDescent="0.55000000000000004">
      <c r="A674" s="27" t="s">
        <v>327</v>
      </c>
      <c r="B674" s="28"/>
      <c r="C674" s="27"/>
      <c r="D674" s="27" t="str">
        <f>"""NAV Direct"",""CRONUS JetCorp USA"",""21"",""1"",""318261"""</f>
        <v>"NAV Direct","CRONUS JetCorp USA","21","1","318261"</v>
      </c>
      <c r="E674" s="31">
        <f t="shared" si="193"/>
        <v>0</v>
      </c>
      <c r="F674" s="31"/>
      <c r="G674" s="31"/>
      <c r="H674" s="31"/>
      <c r="I674" s="56"/>
      <c r="J674" s="56"/>
      <c r="K674" s="82" t="str">
        <f t="shared" si="194"/>
        <v>Invoice</v>
      </c>
      <c r="L674" s="83" t="str">
        <f>"SI_109903"</f>
        <v>SI_109903</v>
      </c>
      <c r="M674" s="84">
        <v>43757</v>
      </c>
      <c r="N674" s="85">
        <f t="shared" si="195"/>
        <v>55</v>
      </c>
      <c r="O674" s="86">
        <f t="shared" si="196"/>
        <v>14635.539999999999</v>
      </c>
      <c r="P674" s="86">
        <f t="shared" si="197"/>
        <v>0</v>
      </c>
      <c r="Q674" s="86">
        <f t="shared" si="198"/>
        <v>0</v>
      </c>
      <c r="R674" s="86">
        <f t="shared" si="199"/>
        <v>14635.539999999999</v>
      </c>
      <c r="S674" s="86">
        <f t="shared" si="200"/>
        <v>0</v>
      </c>
      <c r="T674" s="86">
        <f t="shared" si="201"/>
        <v>0</v>
      </c>
      <c r="U674" s="87">
        <v>14635.539999999999</v>
      </c>
    </row>
    <row r="675" spans="1:21" s="30" customFormat="1" ht="24.6" hidden="1" outlineLevel="1" x14ac:dyDescent="0.55000000000000004">
      <c r="A675" s="27" t="s">
        <v>327</v>
      </c>
      <c r="B675" s="28"/>
      <c r="C675" s="27"/>
      <c r="D675" s="27" t="str">
        <f>"""NAV Direct"",""CRONUS JetCorp USA"",""21"",""1"",""318645"""</f>
        <v>"NAV Direct","CRONUS JetCorp USA","21","1","318645"</v>
      </c>
      <c r="E675" s="31" t="str">
        <f t="shared" si="193"/>
        <v>C100030</v>
      </c>
      <c r="F675" s="31"/>
      <c r="G675" s="31"/>
      <c r="H675" s="31"/>
      <c r="I675" s="56"/>
      <c r="J675" s="56"/>
      <c r="K675" s="82" t="str">
        <f t="shared" si="194"/>
        <v>Invoice</v>
      </c>
      <c r="L675" s="83" t="str">
        <f>"SI_109919"</f>
        <v>SI_109919</v>
      </c>
      <c r="M675" s="84">
        <v>42045</v>
      </c>
      <c r="N675" s="85">
        <f t="shared" si="195"/>
        <v>1767</v>
      </c>
      <c r="O675" s="86">
        <f t="shared" si="196"/>
        <v>14991.759999999998</v>
      </c>
      <c r="P675" s="86">
        <f t="shared" si="197"/>
        <v>0</v>
      </c>
      <c r="Q675" s="86">
        <f t="shared" si="198"/>
        <v>0</v>
      </c>
      <c r="R675" s="86">
        <f t="shared" si="199"/>
        <v>0</v>
      </c>
      <c r="S675" s="86">
        <f t="shared" si="200"/>
        <v>0</v>
      </c>
      <c r="T675" s="86">
        <f t="shared" si="201"/>
        <v>14991.759999999998</v>
      </c>
      <c r="U675" s="87">
        <v>14991.759999999998</v>
      </c>
    </row>
    <row r="676" spans="1:21" s="30" customFormat="1" ht="24.6" hidden="1" outlineLevel="1" x14ac:dyDescent="0.55000000000000004">
      <c r="A676" s="27" t="s">
        <v>327</v>
      </c>
      <c r="B676" s="28"/>
      <c r="C676" s="27"/>
      <c r="D676" s="27" t="str">
        <f>"""NAV Direct"",""CRONUS JetCorp USA"",""21"",""1"",""318822"""</f>
        <v>"NAV Direct","CRONUS JetCorp USA","21","1","318822"</v>
      </c>
      <c r="E676" s="31">
        <f t="shared" si="193"/>
        <v>0</v>
      </c>
      <c r="F676" s="31"/>
      <c r="G676" s="31"/>
      <c r="H676" s="31"/>
      <c r="I676" s="56"/>
      <c r="J676" s="56"/>
      <c r="K676" s="82" t="str">
        <f t="shared" si="194"/>
        <v>Invoice</v>
      </c>
      <c r="L676" s="83" t="str">
        <f>"SI_109926"</f>
        <v>SI_109926</v>
      </c>
      <c r="M676" s="84">
        <v>42083</v>
      </c>
      <c r="N676" s="85">
        <f t="shared" si="195"/>
        <v>1729</v>
      </c>
      <c r="O676" s="86">
        <f t="shared" si="196"/>
        <v>14656.259999999998</v>
      </c>
      <c r="P676" s="86">
        <f t="shared" si="197"/>
        <v>0</v>
      </c>
      <c r="Q676" s="86">
        <f t="shared" si="198"/>
        <v>0</v>
      </c>
      <c r="R676" s="86">
        <f t="shared" si="199"/>
        <v>0</v>
      </c>
      <c r="S676" s="86">
        <f t="shared" si="200"/>
        <v>0</v>
      </c>
      <c r="T676" s="86">
        <f t="shared" si="201"/>
        <v>14656.259999999998</v>
      </c>
      <c r="U676" s="87">
        <v>14656.259999999998</v>
      </c>
    </row>
    <row r="677" spans="1:21" s="30" customFormat="1" ht="24.6" hidden="1" outlineLevel="1" x14ac:dyDescent="0.55000000000000004">
      <c r="A677" s="27" t="s">
        <v>327</v>
      </c>
      <c r="B677" s="28"/>
      <c r="C677" s="27"/>
      <c r="D677" s="27" t="str">
        <f>"""NAV Direct"",""CRONUS JetCorp USA"",""21"",""1"",""318874"""</f>
        <v>"NAV Direct","CRONUS JetCorp USA","21","1","318874"</v>
      </c>
      <c r="E677" s="31" t="str">
        <f t="shared" si="193"/>
        <v>C100030</v>
      </c>
      <c r="F677" s="31"/>
      <c r="G677" s="31"/>
      <c r="H677" s="31"/>
      <c r="I677" s="56"/>
      <c r="J677" s="56"/>
      <c r="K677" s="82" t="str">
        <f t="shared" si="194"/>
        <v>Invoice</v>
      </c>
      <c r="L677" s="83" t="str">
        <f>"SI_109928"</f>
        <v>SI_109928</v>
      </c>
      <c r="M677" s="84">
        <v>42091</v>
      </c>
      <c r="N677" s="85">
        <f t="shared" si="195"/>
        <v>1721</v>
      </c>
      <c r="O677" s="86">
        <f t="shared" si="196"/>
        <v>15286.619999999999</v>
      </c>
      <c r="P677" s="86">
        <f t="shared" si="197"/>
        <v>0</v>
      </c>
      <c r="Q677" s="86">
        <f t="shared" si="198"/>
        <v>0</v>
      </c>
      <c r="R677" s="86">
        <f t="shared" si="199"/>
        <v>0</v>
      </c>
      <c r="S677" s="86">
        <f t="shared" si="200"/>
        <v>0</v>
      </c>
      <c r="T677" s="86">
        <f t="shared" si="201"/>
        <v>15286.619999999999</v>
      </c>
      <c r="U677" s="87">
        <v>15286.619999999999</v>
      </c>
    </row>
    <row r="678" spans="1:21" s="30" customFormat="1" ht="24.6" hidden="1" outlineLevel="1" x14ac:dyDescent="0.55000000000000004">
      <c r="A678" s="27" t="s">
        <v>327</v>
      </c>
      <c r="B678" s="28"/>
      <c r="C678" s="27"/>
      <c r="D678" s="27" t="str">
        <f>"""NAV Direct"",""CRONUS JetCorp USA"",""21"",""1"",""319048"""</f>
        <v>"NAV Direct","CRONUS JetCorp USA","21","1","319048"</v>
      </c>
      <c r="E678" s="31">
        <f t="shared" si="193"/>
        <v>0</v>
      </c>
      <c r="F678" s="31"/>
      <c r="G678" s="31"/>
      <c r="H678" s="31"/>
      <c r="I678" s="56"/>
      <c r="J678" s="56"/>
      <c r="K678" s="82" t="str">
        <f t="shared" si="194"/>
        <v>Invoice</v>
      </c>
      <c r="L678" s="83" t="str">
        <f>"SI_109934"</f>
        <v>SI_109934</v>
      </c>
      <c r="M678" s="84">
        <v>42120</v>
      </c>
      <c r="N678" s="85">
        <f t="shared" si="195"/>
        <v>1692</v>
      </c>
      <c r="O678" s="86">
        <f t="shared" si="196"/>
        <v>14817.710000000001</v>
      </c>
      <c r="P678" s="86">
        <f t="shared" si="197"/>
        <v>0</v>
      </c>
      <c r="Q678" s="86">
        <f t="shared" si="198"/>
        <v>0</v>
      </c>
      <c r="R678" s="86">
        <f t="shared" si="199"/>
        <v>0</v>
      </c>
      <c r="S678" s="86">
        <f t="shared" si="200"/>
        <v>0</v>
      </c>
      <c r="T678" s="86">
        <f t="shared" si="201"/>
        <v>14817.710000000001</v>
      </c>
      <c r="U678" s="87">
        <v>14817.710000000001</v>
      </c>
    </row>
    <row r="679" spans="1:21" s="30" customFormat="1" ht="24.6" hidden="1" outlineLevel="1" x14ac:dyDescent="0.55000000000000004">
      <c r="A679" s="27" t="s">
        <v>327</v>
      </c>
      <c r="B679" s="28"/>
      <c r="C679" s="27"/>
      <c r="D679" s="27" t="str">
        <f>"""NAV Direct"",""CRONUS JetCorp USA"",""21"",""1"",""319523"""</f>
        <v>"NAV Direct","CRONUS JetCorp USA","21","1","319523"</v>
      </c>
      <c r="E679" s="31" t="str">
        <f t="shared" si="193"/>
        <v>C100030</v>
      </c>
      <c r="F679" s="31"/>
      <c r="G679" s="31"/>
      <c r="H679" s="31"/>
      <c r="I679" s="56"/>
      <c r="J679" s="56"/>
      <c r="K679" s="82" t="str">
        <f t="shared" si="194"/>
        <v>Invoice</v>
      </c>
      <c r="L679" s="83" t="str">
        <f>"SI_109951"</f>
        <v>SI_109951</v>
      </c>
      <c r="M679" s="84">
        <v>42266</v>
      </c>
      <c r="N679" s="85">
        <f t="shared" si="195"/>
        <v>1546</v>
      </c>
      <c r="O679" s="86">
        <f t="shared" si="196"/>
        <v>16131.52</v>
      </c>
      <c r="P679" s="86">
        <f t="shared" si="197"/>
        <v>0</v>
      </c>
      <c r="Q679" s="86">
        <f t="shared" si="198"/>
        <v>0</v>
      </c>
      <c r="R679" s="86">
        <f t="shared" si="199"/>
        <v>0</v>
      </c>
      <c r="S679" s="86">
        <f t="shared" si="200"/>
        <v>0</v>
      </c>
      <c r="T679" s="86">
        <f t="shared" si="201"/>
        <v>16131.52</v>
      </c>
      <c r="U679" s="87">
        <v>16131.52</v>
      </c>
    </row>
    <row r="680" spans="1:21" s="30" customFormat="1" ht="24.6" hidden="1" outlineLevel="1" x14ac:dyDescent="0.55000000000000004">
      <c r="A680" s="27" t="s">
        <v>327</v>
      </c>
      <c r="B680" s="28"/>
      <c r="C680" s="27"/>
      <c r="D680" s="27" t="str">
        <f>"""NAV Direct"",""CRONUS JetCorp USA"",""21"",""1"",""319716"""</f>
        <v>"NAV Direct","CRONUS JetCorp USA","21","1","319716"</v>
      </c>
      <c r="E680" s="31">
        <f t="shared" si="193"/>
        <v>0</v>
      </c>
      <c r="F680" s="31"/>
      <c r="G680" s="31"/>
      <c r="H680" s="31"/>
      <c r="I680" s="56"/>
      <c r="J680" s="56"/>
      <c r="K680" s="82" t="str">
        <f t="shared" si="194"/>
        <v>Invoice</v>
      </c>
      <c r="L680" s="83" t="str">
        <f>"SI_109958"</f>
        <v>SI_109958</v>
      </c>
      <c r="M680" s="84">
        <v>42306</v>
      </c>
      <c r="N680" s="85">
        <f t="shared" si="195"/>
        <v>1506</v>
      </c>
      <c r="O680" s="86">
        <f t="shared" si="196"/>
        <v>16551.419999999998</v>
      </c>
      <c r="P680" s="86">
        <f t="shared" si="197"/>
        <v>0</v>
      </c>
      <c r="Q680" s="86">
        <f t="shared" si="198"/>
        <v>0</v>
      </c>
      <c r="R680" s="86">
        <f t="shared" si="199"/>
        <v>0</v>
      </c>
      <c r="S680" s="86">
        <f t="shared" si="200"/>
        <v>0</v>
      </c>
      <c r="T680" s="86">
        <f t="shared" si="201"/>
        <v>16551.419999999998</v>
      </c>
      <c r="U680" s="87">
        <v>16551.419999999998</v>
      </c>
    </row>
    <row r="681" spans="1:21" s="30" customFormat="1" ht="24.6" hidden="1" outlineLevel="1" x14ac:dyDescent="0.55000000000000004">
      <c r="A681" s="27" t="s">
        <v>327</v>
      </c>
      <c r="B681" s="28"/>
      <c r="C681" s="27"/>
      <c r="D681" s="27" t="str">
        <f>"""NAV Direct"",""CRONUS JetCorp USA"",""21"",""1"",""319814"""</f>
        <v>"NAV Direct","CRONUS JetCorp USA","21","1","319814"</v>
      </c>
      <c r="E681" s="31" t="str">
        <f t="shared" si="193"/>
        <v>C100030</v>
      </c>
      <c r="F681" s="31"/>
      <c r="G681" s="31"/>
      <c r="H681" s="31"/>
      <c r="I681" s="56"/>
      <c r="J681" s="56"/>
      <c r="K681" s="82" t="str">
        <f t="shared" si="194"/>
        <v>Invoice</v>
      </c>
      <c r="L681" s="83" t="str">
        <f>"SI_109962"</f>
        <v>SI_109962</v>
      </c>
      <c r="M681" s="84">
        <v>42340</v>
      </c>
      <c r="N681" s="85">
        <f t="shared" si="195"/>
        <v>1472</v>
      </c>
      <c r="O681" s="86">
        <f t="shared" si="196"/>
        <v>17213.61</v>
      </c>
      <c r="P681" s="86">
        <f t="shared" si="197"/>
        <v>0</v>
      </c>
      <c r="Q681" s="86">
        <f t="shared" si="198"/>
        <v>0</v>
      </c>
      <c r="R681" s="86">
        <f t="shared" si="199"/>
        <v>0</v>
      </c>
      <c r="S681" s="86">
        <f t="shared" si="200"/>
        <v>0</v>
      </c>
      <c r="T681" s="86">
        <f t="shared" si="201"/>
        <v>17213.61</v>
      </c>
      <c r="U681" s="87">
        <v>17213.61</v>
      </c>
    </row>
    <row r="682" spans="1:21" s="30" customFormat="1" ht="24.6" hidden="1" outlineLevel="1" x14ac:dyDescent="0.55000000000000004">
      <c r="A682" s="27" t="s">
        <v>327</v>
      </c>
      <c r="B682" s="28"/>
      <c r="C682" s="27"/>
      <c r="D682" s="27" t="str">
        <f>"""NAV Direct"",""CRONUS JetCorp USA"",""21"",""1"",""319974"""</f>
        <v>"NAV Direct","CRONUS JetCorp USA","21","1","319974"</v>
      </c>
      <c r="E682" s="31">
        <f t="shared" si="193"/>
        <v>0</v>
      </c>
      <c r="F682" s="31"/>
      <c r="G682" s="31"/>
      <c r="H682" s="31"/>
      <c r="I682" s="56"/>
      <c r="J682" s="56"/>
      <c r="K682" s="82" t="str">
        <f t="shared" si="194"/>
        <v>Invoice</v>
      </c>
      <c r="L682" s="83" t="str">
        <f>"SI_109968"</f>
        <v>SI_109968</v>
      </c>
      <c r="M682" s="84">
        <v>42361</v>
      </c>
      <c r="N682" s="85">
        <f t="shared" si="195"/>
        <v>1451</v>
      </c>
      <c r="O682" s="86">
        <f t="shared" si="196"/>
        <v>16803.3</v>
      </c>
      <c r="P682" s="86">
        <f t="shared" si="197"/>
        <v>0</v>
      </c>
      <c r="Q682" s="86">
        <f t="shared" si="198"/>
        <v>0</v>
      </c>
      <c r="R682" s="86">
        <f t="shared" si="199"/>
        <v>0</v>
      </c>
      <c r="S682" s="86">
        <f t="shared" si="200"/>
        <v>0</v>
      </c>
      <c r="T682" s="86">
        <f t="shared" si="201"/>
        <v>16803.3</v>
      </c>
      <c r="U682" s="87">
        <v>16803.3</v>
      </c>
    </row>
    <row r="683" spans="1:21" s="30" customFormat="1" ht="24.6" hidden="1" outlineLevel="1" x14ac:dyDescent="0.55000000000000004">
      <c r="A683" s="27" t="s">
        <v>327</v>
      </c>
      <c r="B683" s="28"/>
      <c r="C683" s="27"/>
      <c r="D683" s="27" t="str">
        <f>"""NAV Direct"",""CRONUS JetCorp USA"",""21"",""1"",""320059"""</f>
        <v>"NAV Direct","CRONUS JetCorp USA","21","1","320059"</v>
      </c>
      <c r="E683" s="31" t="str">
        <f t="shared" si="193"/>
        <v>C100030</v>
      </c>
      <c r="F683" s="31"/>
      <c r="G683" s="31"/>
      <c r="H683" s="31"/>
      <c r="I683" s="56"/>
      <c r="J683" s="56"/>
      <c r="K683" s="82" t="str">
        <f t="shared" si="194"/>
        <v>Invoice</v>
      </c>
      <c r="L683" s="83" t="str">
        <f>"SI_109971"</f>
        <v>SI_109971</v>
      </c>
      <c r="M683" s="84">
        <v>42739</v>
      </c>
      <c r="N683" s="85">
        <f t="shared" si="195"/>
        <v>1073</v>
      </c>
      <c r="O683" s="86">
        <f t="shared" si="196"/>
        <v>16979.48</v>
      </c>
      <c r="P683" s="86">
        <f t="shared" si="197"/>
        <v>0</v>
      </c>
      <c r="Q683" s="86">
        <f t="shared" si="198"/>
        <v>0</v>
      </c>
      <c r="R683" s="86">
        <f t="shared" si="199"/>
        <v>0</v>
      </c>
      <c r="S683" s="86">
        <f t="shared" si="200"/>
        <v>0</v>
      </c>
      <c r="T683" s="86">
        <f t="shared" si="201"/>
        <v>16979.48</v>
      </c>
      <c r="U683" s="87">
        <v>16979.48</v>
      </c>
    </row>
    <row r="684" spans="1:21" s="30" customFormat="1" ht="24.6" hidden="1" outlineLevel="1" x14ac:dyDescent="0.55000000000000004">
      <c r="A684" s="27" t="s">
        <v>327</v>
      </c>
      <c r="B684" s="28"/>
      <c r="C684" s="27"/>
      <c r="D684" s="27" t="str">
        <f>"""NAV Direct"",""CRONUS JetCorp USA"",""21"",""1"",""430367"""</f>
        <v>"NAV Direct","CRONUS JetCorp USA","21","1","430367"</v>
      </c>
      <c r="E684" s="31">
        <f t="shared" si="193"/>
        <v>0</v>
      </c>
      <c r="F684" s="31"/>
      <c r="G684" s="31"/>
      <c r="H684" s="31"/>
      <c r="I684" s="56"/>
      <c r="J684" s="56"/>
      <c r="K684" s="82" t="str">
        <f t="shared" ref="K684:K692" si="202">"Credit Memo"</f>
        <v>Credit Memo</v>
      </c>
      <c r="L684" s="83" t="str">
        <f>"SC_100266"</f>
        <v>SC_100266</v>
      </c>
      <c r="M684" s="84">
        <v>42468</v>
      </c>
      <c r="N684" s="85">
        <f t="shared" si="195"/>
        <v>1344</v>
      </c>
      <c r="O684" s="86">
        <f t="shared" si="196"/>
        <v>-127.43</v>
      </c>
      <c r="P684" s="86">
        <f t="shared" si="197"/>
        <v>0</v>
      </c>
      <c r="Q684" s="86">
        <f t="shared" si="198"/>
        <v>0</v>
      </c>
      <c r="R684" s="86">
        <f t="shared" si="199"/>
        <v>0</v>
      </c>
      <c r="S684" s="86">
        <f t="shared" si="200"/>
        <v>0</v>
      </c>
      <c r="T684" s="86">
        <f t="shared" si="201"/>
        <v>-127.43</v>
      </c>
      <c r="U684" s="87">
        <v>-127.43</v>
      </c>
    </row>
    <row r="685" spans="1:21" s="30" customFormat="1" ht="24.6" hidden="1" outlineLevel="1" x14ac:dyDescent="0.55000000000000004">
      <c r="A685" s="27" t="s">
        <v>327</v>
      </c>
      <c r="B685" s="28"/>
      <c r="C685" s="27"/>
      <c r="D685" s="27" t="str">
        <f>"""NAV Direct"",""CRONUS JetCorp USA"",""21"",""1"",""430460"""</f>
        <v>"NAV Direct","CRONUS JetCorp USA","21","1","430460"</v>
      </c>
      <c r="E685" s="31" t="str">
        <f t="shared" si="193"/>
        <v>C100030</v>
      </c>
      <c r="F685" s="31"/>
      <c r="G685" s="31"/>
      <c r="H685" s="31"/>
      <c r="I685" s="56"/>
      <c r="J685" s="56"/>
      <c r="K685" s="82" t="str">
        <f t="shared" si="202"/>
        <v>Credit Memo</v>
      </c>
      <c r="L685" s="83" t="str">
        <f>"SC_100273"</f>
        <v>SC_100273</v>
      </c>
      <c r="M685" s="84">
        <v>42713</v>
      </c>
      <c r="N685" s="85">
        <f t="shared" si="195"/>
        <v>1099</v>
      </c>
      <c r="O685" s="86">
        <f t="shared" si="196"/>
        <v>-133.18</v>
      </c>
      <c r="P685" s="86">
        <f t="shared" si="197"/>
        <v>0</v>
      </c>
      <c r="Q685" s="86">
        <f t="shared" si="198"/>
        <v>0</v>
      </c>
      <c r="R685" s="86">
        <f t="shared" si="199"/>
        <v>0</v>
      </c>
      <c r="S685" s="86">
        <f t="shared" si="200"/>
        <v>0</v>
      </c>
      <c r="T685" s="86">
        <f t="shared" si="201"/>
        <v>-133.18</v>
      </c>
      <c r="U685" s="87">
        <v>-133.18</v>
      </c>
    </row>
    <row r="686" spans="1:21" s="30" customFormat="1" ht="24.6" hidden="1" outlineLevel="1" x14ac:dyDescent="0.55000000000000004">
      <c r="A686" s="27" t="s">
        <v>327</v>
      </c>
      <c r="B686" s="28"/>
      <c r="C686" s="27"/>
      <c r="D686" s="27" t="str">
        <f>"""NAV Direct"",""CRONUS JetCorp USA"",""21"",""1"",""430478"""</f>
        <v>"NAV Direct","CRONUS JetCorp USA","21","1","430478"</v>
      </c>
      <c r="E686" s="31">
        <f t="shared" si="193"/>
        <v>0</v>
      </c>
      <c r="F686" s="31"/>
      <c r="G686" s="31"/>
      <c r="H686" s="31"/>
      <c r="I686" s="56"/>
      <c r="J686" s="56"/>
      <c r="K686" s="82" t="str">
        <f t="shared" si="202"/>
        <v>Credit Memo</v>
      </c>
      <c r="L686" s="83" t="str">
        <f>"SC_100275"</f>
        <v>SC_100275</v>
      </c>
      <c r="M686" s="84">
        <v>42737</v>
      </c>
      <c r="N686" s="85">
        <f t="shared" si="195"/>
        <v>1075</v>
      </c>
      <c r="O686" s="86">
        <f t="shared" si="196"/>
        <v>-135.93</v>
      </c>
      <c r="P686" s="86">
        <f t="shared" si="197"/>
        <v>0</v>
      </c>
      <c r="Q686" s="86">
        <f t="shared" si="198"/>
        <v>0</v>
      </c>
      <c r="R686" s="86">
        <f t="shared" si="199"/>
        <v>0</v>
      </c>
      <c r="S686" s="86">
        <f t="shared" si="200"/>
        <v>0</v>
      </c>
      <c r="T686" s="86">
        <f t="shared" si="201"/>
        <v>-135.93</v>
      </c>
      <c r="U686" s="87">
        <v>-135.93</v>
      </c>
    </row>
    <row r="687" spans="1:21" s="30" customFormat="1" ht="24.6" hidden="1" outlineLevel="1" x14ac:dyDescent="0.55000000000000004">
      <c r="A687" s="27" t="s">
        <v>327</v>
      </c>
      <c r="B687" s="28"/>
      <c r="C687" s="27"/>
      <c r="D687" s="27" t="str">
        <f>"""NAV Direct"",""CRONUS JetCorp USA"",""21"",""1"",""430514"""</f>
        <v>"NAV Direct","CRONUS JetCorp USA","21","1","430514"</v>
      </c>
      <c r="E687" s="31" t="str">
        <f t="shared" si="193"/>
        <v>C100030</v>
      </c>
      <c r="F687" s="31"/>
      <c r="G687" s="31"/>
      <c r="H687" s="31"/>
      <c r="I687" s="56"/>
      <c r="J687" s="56"/>
      <c r="K687" s="82" t="str">
        <f t="shared" si="202"/>
        <v>Credit Memo</v>
      </c>
      <c r="L687" s="83" t="str">
        <f>"SC_100277"</f>
        <v>SC_100277</v>
      </c>
      <c r="M687" s="84">
        <v>42767</v>
      </c>
      <c r="N687" s="85">
        <f t="shared" si="195"/>
        <v>1045</v>
      </c>
      <c r="O687" s="86">
        <f t="shared" si="196"/>
        <v>-136.1</v>
      </c>
      <c r="P687" s="86">
        <f t="shared" si="197"/>
        <v>0</v>
      </c>
      <c r="Q687" s="86">
        <f t="shared" si="198"/>
        <v>0</v>
      </c>
      <c r="R687" s="86">
        <f t="shared" si="199"/>
        <v>0</v>
      </c>
      <c r="S687" s="86">
        <f t="shared" si="200"/>
        <v>0</v>
      </c>
      <c r="T687" s="86">
        <f t="shared" si="201"/>
        <v>-136.1</v>
      </c>
      <c r="U687" s="87">
        <v>-136.1</v>
      </c>
    </row>
    <row r="688" spans="1:21" s="30" customFormat="1" ht="24.6" hidden="1" outlineLevel="1" x14ac:dyDescent="0.55000000000000004">
      <c r="A688" s="27" t="s">
        <v>327</v>
      </c>
      <c r="B688" s="28"/>
      <c r="C688" s="27"/>
      <c r="D688" s="27" t="str">
        <f>"""NAV Direct"",""CRONUS JetCorp USA"",""21"",""1"",""430588"""</f>
        <v>"NAV Direct","CRONUS JetCorp USA","21","1","430588"</v>
      </c>
      <c r="E688" s="31">
        <f t="shared" si="193"/>
        <v>0</v>
      </c>
      <c r="F688" s="31"/>
      <c r="G688" s="31"/>
      <c r="H688" s="31"/>
      <c r="I688" s="56"/>
      <c r="J688" s="56"/>
      <c r="K688" s="82" t="str">
        <f t="shared" si="202"/>
        <v>Credit Memo</v>
      </c>
      <c r="L688" s="83" t="str">
        <f>"SC_100283"</f>
        <v>SC_100283</v>
      </c>
      <c r="M688" s="84">
        <v>42830</v>
      </c>
      <c r="N688" s="85">
        <f t="shared" si="195"/>
        <v>982</v>
      </c>
      <c r="O688" s="86">
        <f t="shared" si="196"/>
        <v>-141.60999999999999</v>
      </c>
      <c r="P688" s="86">
        <f t="shared" si="197"/>
        <v>0</v>
      </c>
      <c r="Q688" s="86">
        <f t="shared" si="198"/>
        <v>0</v>
      </c>
      <c r="R688" s="86">
        <f t="shared" si="199"/>
        <v>0</v>
      </c>
      <c r="S688" s="86">
        <f t="shared" si="200"/>
        <v>0</v>
      </c>
      <c r="T688" s="86">
        <f t="shared" si="201"/>
        <v>-141.60999999999999</v>
      </c>
      <c r="U688" s="87">
        <v>-141.60999999999999</v>
      </c>
    </row>
    <row r="689" spans="1:22" s="30" customFormat="1" ht="24.6" hidden="1" outlineLevel="1" x14ac:dyDescent="0.55000000000000004">
      <c r="A689" s="27" t="s">
        <v>327</v>
      </c>
      <c r="B689" s="28"/>
      <c r="C689" s="27"/>
      <c r="D689" s="27" t="str">
        <f>"""NAV Direct"",""CRONUS JetCorp USA"",""21"",""1"",""430865"""</f>
        <v>"NAV Direct","CRONUS JetCorp USA","21","1","430865"</v>
      </c>
      <c r="E689" s="31" t="str">
        <f t="shared" si="193"/>
        <v>C100030</v>
      </c>
      <c r="F689" s="31"/>
      <c r="G689" s="31"/>
      <c r="H689" s="31"/>
      <c r="I689" s="56"/>
      <c r="J689" s="56"/>
      <c r="K689" s="82" t="str">
        <f t="shared" si="202"/>
        <v>Credit Memo</v>
      </c>
      <c r="L689" s="83" t="str">
        <f>"SC_100302"</f>
        <v>SC_100302</v>
      </c>
      <c r="M689" s="84">
        <v>43694</v>
      </c>
      <c r="N689" s="85">
        <f t="shared" si="195"/>
        <v>118</v>
      </c>
      <c r="O689" s="86">
        <f t="shared" si="196"/>
        <v>-138.32</v>
      </c>
      <c r="P689" s="86">
        <f t="shared" si="197"/>
        <v>0</v>
      </c>
      <c r="Q689" s="86">
        <f t="shared" si="198"/>
        <v>0</v>
      </c>
      <c r="R689" s="86">
        <f t="shared" si="199"/>
        <v>0</v>
      </c>
      <c r="S689" s="86">
        <f t="shared" si="200"/>
        <v>0</v>
      </c>
      <c r="T689" s="86">
        <f t="shared" si="201"/>
        <v>-138.32</v>
      </c>
      <c r="U689" s="87">
        <v>-138.32</v>
      </c>
    </row>
    <row r="690" spans="1:22" s="30" customFormat="1" ht="24.6" hidden="1" outlineLevel="1" x14ac:dyDescent="0.55000000000000004">
      <c r="A690" s="27" t="s">
        <v>327</v>
      </c>
      <c r="B690" s="28"/>
      <c r="C690" s="27"/>
      <c r="D690" s="27" t="str">
        <f>"""NAV Direct"",""CRONUS JetCorp USA"",""21"",""1"",""430991"""</f>
        <v>"NAV Direct","CRONUS JetCorp USA","21","1","430991"</v>
      </c>
      <c r="E690" s="31">
        <f t="shared" si="193"/>
        <v>0</v>
      </c>
      <c r="F690" s="31"/>
      <c r="G690" s="31"/>
      <c r="H690" s="31"/>
      <c r="I690" s="56"/>
      <c r="J690" s="56"/>
      <c r="K690" s="82" t="str">
        <f t="shared" si="202"/>
        <v>Credit Memo</v>
      </c>
      <c r="L690" s="83" t="str">
        <f>"SC_100312"</f>
        <v>SC_100312</v>
      </c>
      <c r="M690" s="84">
        <v>42128</v>
      </c>
      <c r="N690" s="85">
        <f t="shared" si="195"/>
        <v>1684</v>
      </c>
      <c r="O690" s="86">
        <f t="shared" si="196"/>
        <v>-151.84</v>
      </c>
      <c r="P690" s="86">
        <f t="shared" si="197"/>
        <v>0</v>
      </c>
      <c r="Q690" s="86">
        <f t="shared" si="198"/>
        <v>0</v>
      </c>
      <c r="R690" s="86">
        <f t="shared" si="199"/>
        <v>0</v>
      </c>
      <c r="S690" s="86">
        <f t="shared" si="200"/>
        <v>0</v>
      </c>
      <c r="T690" s="86">
        <f t="shared" si="201"/>
        <v>-151.84</v>
      </c>
      <c r="U690" s="87">
        <v>-151.84</v>
      </c>
    </row>
    <row r="691" spans="1:22" s="30" customFormat="1" ht="24.6" hidden="1" outlineLevel="1" x14ac:dyDescent="0.55000000000000004">
      <c r="A691" s="27" t="s">
        <v>327</v>
      </c>
      <c r="B691" s="28"/>
      <c r="C691" s="27"/>
      <c r="D691" s="27" t="str">
        <f>"""NAV Direct"",""CRONUS JetCorp USA"",""21"",""1"",""431055"""</f>
        <v>"NAV Direct","CRONUS JetCorp USA","21","1","431055"</v>
      </c>
      <c r="E691" s="31" t="str">
        <f t="shared" ref="E691:E692" si="203">E689</f>
        <v>C100030</v>
      </c>
      <c r="F691" s="31"/>
      <c r="G691" s="31"/>
      <c r="H691" s="31"/>
      <c r="I691" s="56"/>
      <c r="J691" s="56"/>
      <c r="K691" s="82" t="str">
        <f t="shared" si="202"/>
        <v>Credit Memo</v>
      </c>
      <c r="L691" s="83" t="str">
        <f>"SC_100316"</f>
        <v>SC_100316</v>
      </c>
      <c r="M691" s="84">
        <v>42194</v>
      </c>
      <c r="N691" s="85">
        <f t="shared" si="195"/>
        <v>1618</v>
      </c>
      <c r="O691" s="86">
        <f t="shared" ref="O691:O692" si="204">SUM(P691:T691)</f>
        <v>-160.41999999999999</v>
      </c>
      <c r="P691" s="86">
        <f t="shared" si="197"/>
        <v>0</v>
      </c>
      <c r="Q691" s="86">
        <f t="shared" si="198"/>
        <v>0</v>
      </c>
      <c r="R691" s="86">
        <f t="shared" si="199"/>
        <v>0</v>
      </c>
      <c r="S691" s="86">
        <f t="shared" si="200"/>
        <v>0</v>
      </c>
      <c r="T691" s="86">
        <f t="shared" ref="T691:T692" si="205">IF($M691&lt;=$T$18,U691,0)</f>
        <v>-160.41999999999999</v>
      </c>
      <c r="U691" s="87">
        <v>-160.41999999999999</v>
      </c>
    </row>
    <row r="692" spans="1:22" s="30" customFormat="1" ht="24.6" hidden="1" outlineLevel="1" x14ac:dyDescent="0.55000000000000004">
      <c r="A692" s="27" t="s">
        <v>327</v>
      </c>
      <c r="B692" s="28"/>
      <c r="C692" s="27"/>
      <c r="D692" s="27" t="str">
        <f>"""NAV Direct"",""CRONUS JetCorp USA"",""21"",""1"",""431122"""</f>
        <v>"NAV Direct","CRONUS JetCorp USA","21","1","431122"</v>
      </c>
      <c r="E692" s="31">
        <f t="shared" si="203"/>
        <v>0</v>
      </c>
      <c r="F692" s="31"/>
      <c r="G692" s="31"/>
      <c r="H692" s="31"/>
      <c r="I692" s="56"/>
      <c r="J692" s="56"/>
      <c r="K692" s="82" t="str">
        <f t="shared" si="202"/>
        <v>Credit Memo</v>
      </c>
      <c r="L692" s="83" t="str">
        <f>"SC_100321"</f>
        <v>SC_100321</v>
      </c>
      <c r="M692" s="84">
        <v>42233</v>
      </c>
      <c r="N692" s="85">
        <f t="shared" si="195"/>
        <v>1579</v>
      </c>
      <c r="O692" s="86">
        <f t="shared" si="204"/>
        <v>-158.69</v>
      </c>
      <c r="P692" s="86">
        <f t="shared" si="197"/>
        <v>0</v>
      </c>
      <c r="Q692" s="86">
        <f t="shared" si="198"/>
        <v>0</v>
      </c>
      <c r="R692" s="86">
        <f t="shared" si="199"/>
        <v>0</v>
      </c>
      <c r="S692" s="86">
        <f t="shared" si="200"/>
        <v>0</v>
      </c>
      <c r="T692" s="86">
        <f t="shared" si="205"/>
        <v>-158.69</v>
      </c>
      <c r="U692" s="87">
        <v>-158.69</v>
      </c>
    </row>
    <row r="693" spans="1:22" s="22" customFormat="1" ht="20.399999999999999" collapsed="1" x14ac:dyDescent="0.45">
      <c r="A693" s="12" t="s">
        <v>327</v>
      </c>
      <c r="B693" s="19"/>
      <c r="C693" s="12"/>
      <c r="D693" s="12"/>
      <c r="E693" s="23"/>
      <c r="F693" s="23"/>
      <c r="G693" s="23"/>
      <c r="H693" s="23"/>
      <c r="I693" s="49"/>
      <c r="J693" s="88"/>
      <c r="K693" s="88"/>
      <c r="L693" s="89"/>
      <c r="M693" s="89"/>
      <c r="N693" s="89"/>
      <c r="O693" s="89"/>
      <c r="P693" s="89"/>
      <c r="Q693" s="90"/>
      <c r="R693" s="90"/>
      <c r="S693" s="91"/>
      <c r="T693" s="92"/>
      <c r="U693" s="92"/>
    </row>
    <row r="694" spans="1:22" s="22" customFormat="1" ht="20.399999999999999" x14ac:dyDescent="0.45">
      <c r="A694" s="12" t="s">
        <v>327</v>
      </c>
      <c r="B694" s="19"/>
      <c r="C694" s="12"/>
      <c r="D694" s="12"/>
      <c r="E694" s="23"/>
      <c r="F694" s="23"/>
      <c r="G694" s="23"/>
      <c r="H694" s="23"/>
      <c r="I694" s="49"/>
      <c r="J694" s="88"/>
      <c r="K694" s="88"/>
      <c r="L694" s="89"/>
      <c r="M694" s="89"/>
      <c r="N694" s="89"/>
      <c r="O694" s="89"/>
      <c r="P694" s="89"/>
      <c r="Q694" s="90"/>
      <c r="R694" s="90"/>
      <c r="S694" s="91"/>
      <c r="T694" s="92"/>
      <c r="U694" s="92"/>
    </row>
    <row r="695" spans="1:22" s="26" customFormat="1" ht="24.6" x14ac:dyDescent="0.55000000000000004">
      <c r="A695" s="27" t="s">
        <v>327</v>
      </c>
      <c r="B695" s="28"/>
      <c r="C695" s="27" t="str">
        <f>"""NAV Direct"",""CRONUS JetCorp USA"",""18"",""1"",""C100031"""</f>
        <v>"NAV Direct","CRONUS JetCorp USA","18","1","C100031"</v>
      </c>
      <c r="D695" s="27"/>
      <c r="E695" s="28" t="str">
        <f>H695</f>
        <v>C100031</v>
      </c>
      <c r="F695" s="28"/>
      <c r="G695" s="28"/>
      <c r="H695" s="28" t="str">
        <f>"C100031"</f>
        <v>C100031</v>
      </c>
      <c r="I695" s="116" t="str">
        <f>"C100031  -  Englunds Kontorsmöbler AB"</f>
        <v>C100031  -  Englunds Kontorsmöbler AB</v>
      </c>
      <c r="J695" s="117" t="str">
        <f>""</f>
        <v/>
      </c>
      <c r="K695" s="118"/>
      <c r="L695" s="119">
        <f>SUBTOTAL(3,L696:L741)</f>
        <v>42</v>
      </c>
      <c r="M695" s="118"/>
      <c r="N695" s="118"/>
      <c r="O695" s="120">
        <f t="shared" ref="O695:T695" si="206">SUBTOTAL(9,O696:O741)</f>
        <v>567390.97999999975</v>
      </c>
      <c r="P695" s="120">
        <f t="shared" si="206"/>
        <v>0</v>
      </c>
      <c r="Q695" s="120">
        <f t="shared" si="206"/>
        <v>17112.37</v>
      </c>
      <c r="R695" s="120">
        <f t="shared" si="206"/>
        <v>0</v>
      </c>
      <c r="S695" s="120">
        <f t="shared" si="206"/>
        <v>-172.49</v>
      </c>
      <c r="T695" s="120">
        <f t="shared" si="206"/>
        <v>550451.09999999974</v>
      </c>
      <c r="U695" s="81"/>
    </row>
    <row r="696" spans="1:22" s="26" customFormat="1" ht="24.6" x14ac:dyDescent="0.55000000000000004">
      <c r="A696" s="27" t="s">
        <v>327</v>
      </c>
      <c r="B696" s="28"/>
      <c r="C696" s="27" t="str">
        <f>C695</f>
        <v>"NAV Direct","CRONUS JetCorp USA","18","1","C100031"</v>
      </c>
      <c r="D696" s="27"/>
      <c r="E696" s="28" t="str">
        <f>E695</f>
        <v>C100031</v>
      </c>
      <c r="F696" s="28"/>
      <c r="G696" s="28"/>
      <c r="H696" s="28"/>
      <c r="I696" s="121" t="str">
        <f>"Contact: Gerold Bachmann"</f>
        <v>Contact: Gerold Bachmann</v>
      </c>
      <c r="J696" s="121"/>
      <c r="K696" s="122"/>
      <c r="L696" s="123"/>
      <c r="M696" s="123"/>
      <c r="N696" s="124"/>
      <c r="O696" s="124"/>
      <c r="P696" s="123"/>
      <c r="Q696" s="125"/>
      <c r="R696" s="126"/>
      <c r="S696" s="126"/>
      <c r="T696" s="125"/>
      <c r="U696" s="81"/>
    </row>
    <row r="697" spans="1:22" s="26" customFormat="1" ht="24.6" x14ac:dyDescent="0.55000000000000004">
      <c r="A697" s="27" t="s">
        <v>327</v>
      </c>
      <c r="B697" s="28"/>
      <c r="C697" s="27" t="str">
        <f>C696</f>
        <v>"NAV Direct","CRONUS JetCorp USA","18","1","C100031"</v>
      </c>
      <c r="D697" s="27"/>
      <c r="E697" s="28" t="str">
        <f>E696</f>
        <v>C100031</v>
      </c>
      <c r="F697" s="28"/>
      <c r="G697" s="28"/>
      <c r="H697" s="28"/>
      <c r="I697" s="121" t="str">
        <f>"englunds.kontorsmobler.ab@cronuscorp.net"</f>
        <v>englunds.kontorsmobler.ab@cronuscorp.net</v>
      </c>
      <c r="J697" s="121"/>
      <c r="K697" s="122"/>
      <c r="L697" s="124"/>
      <c r="M697" s="124"/>
      <c r="N697" s="124"/>
      <c r="O697" s="124"/>
      <c r="P697" s="123"/>
      <c r="Q697" s="125"/>
      <c r="R697" s="126"/>
      <c r="S697" s="126"/>
      <c r="T697" s="125"/>
      <c r="U697" s="81"/>
    </row>
    <row r="698" spans="1:22" ht="12.75" hidden="1" customHeight="1" outlineLevel="1" x14ac:dyDescent="0.45">
      <c r="A698" s="12" t="s">
        <v>328</v>
      </c>
      <c r="B698" s="19"/>
      <c r="E698" s="19"/>
      <c r="F698" s="19"/>
      <c r="G698" s="19"/>
      <c r="H698" s="19"/>
      <c r="I698" s="61"/>
      <c r="J698" s="61"/>
      <c r="K698" s="61"/>
      <c r="L698" s="61"/>
      <c r="M698" s="61"/>
      <c r="N698" s="61"/>
      <c r="O698" s="61"/>
      <c r="P698" s="61"/>
      <c r="Q698" s="61"/>
      <c r="R698" s="61"/>
      <c r="S698" s="61"/>
      <c r="T698" s="61"/>
      <c r="U698" s="61"/>
      <c r="V698" s="21"/>
    </row>
    <row r="699" spans="1:22" s="30" customFormat="1" ht="24.6" hidden="1" outlineLevel="1" x14ac:dyDescent="0.55000000000000004">
      <c r="A699" s="27" t="s">
        <v>327</v>
      </c>
      <c r="B699" s="28"/>
      <c r="C699" s="27"/>
      <c r="D699" s="27" t="str">
        <f>"""NAV Direct"",""CRONUS JetCorp USA"",""21"",""1"",""35342"""</f>
        <v>"NAV Direct","CRONUS JetCorp USA","21","1","35342"</v>
      </c>
      <c r="E699" s="31" t="str">
        <f t="shared" ref="E699:E740" si="207">E697</f>
        <v>C100031</v>
      </c>
      <c r="F699" s="31"/>
      <c r="G699" s="31"/>
      <c r="H699" s="31"/>
      <c r="I699" s="56"/>
      <c r="J699" s="56"/>
      <c r="K699" s="82" t="str">
        <f t="shared" ref="K699:K730" si="208">"Invoice"</f>
        <v>Invoice</v>
      </c>
      <c r="L699" s="83" t="str">
        <f>"SI_104664"</f>
        <v>SI_104664</v>
      </c>
      <c r="M699" s="84">
        <v>42277</v>
      </c>
      <c r="N699" s="85">
        <f t="shared" ref="N699:N740" si="209">StartDate-$M699+1</f>
        <v>1535</v>
      </c>
      <c r="O699" s="86">
        <f t="shared" ref="O699:O740" si="210">SUM(P699:T699)</f>
        <v>18719.419999999998</v>
      </c>
      <c r="P699" s="86">
        <f t="shared" ref="P699:P740" si="211">IF($M699&gt;=$P$18,U699,0)</f>
        <v>0</v>
      </c>
      <c r="Q699" s="86">
        <f t="shared" ref="Q699:Q740" si="212">IF(AND($M699&gt;=$Q$16,$M699&lt;=$Q$18),U699,0)</f>
        <v>0</v>
      </c>
      <c r="R699" s="86">
        <f t="shared" ref="R699:R740" si="213">IF(AND($M699&gt;=$R$16,$M699&lt;=$R$18),U699,0)</f>
        <v>0</v>
      </c>
      <c r="S699" s="86">
        <f t="shared" ref="S699:S740" si="214">IF(AND($M699&gt;=$S$16,$M699&lt;=$S$18),U699,0)</f>
        <v>0</v>
      </c>
      <c r="T699" s="86">
        <f t="shared" ref="T699:T740" si="215">IF($M699&lt;=$T$18,U699,0)</f>
        <v>18719.419999999998</v>
      </c>
      <c r="U699" s="87">
        <v>18719.419999999998</v>
      </c>
    </row>
    <row r="700" spans="1:22" s="30" customFormat="1" ht="24.6" hidden="1" outlineLevel="1" x14ac:dyDescent="0.55000000000000004">
      <c r="A700" s="27" t="s">
        <v>327</v>
      </c>
      <c r="B700" s="28"/>
      <c r="C700" s="27"/>
      <c r="D700" s="27" t="str">
        <f>"""NAV Direct"",""CRONUS JetCorp USA"",""21"",""1"",""35431"""</f>
        <v>"NAV Direct","CRONUS JetCorp USA","21","1","35431"</v>
      </c>
      <c r="E700" s="31">
        <f t="shared" si="207"/>
        <v>0</v>
      </c>
      <c r="F700" s="31"/>
      <c r="G700" s="31"/>
      <c r="H700" s="31"/>
      <c r="I700" s="56"/>
      <c r="J700" s="56"/>
      <c r="K700" s="82" t="str">
        <f t="shared" si="208"/>
        <v>Invoice</v>
      </c>
      <c r="L700" s="83" t="str">
        <f>"SI_104667"</f>
        <v>SI_104667</v>
      </c>
      <c r="M700" s="84">
        <v>42277</v>
      </c>
      <c r="N700" s="85">
        <f t="shared" si="209"/>
        <v>1535</v>
      </c>
      <c r="O700" s="86">
        <f t="shared" si="210"/>
        <v>18528.32</v>
      </c>
      <c r="P700" s="86">
        <f t="shared" si="211"/>
        <v>0</v>
      </c>
      <c r="Q700" s="86">
        <f t="shared" si="212"/>
        <v>0</v>
      </c>
      <c r="R700" s="86">
        <f t="shared" si="213"/>
        <v>0</v>
      </c>
      <c r="S700" s="86">
        <f t="shared" si="214"/>
        <v>0</v>
      </c>
      <c r="T700" s="86">
        <f t="shared" si="215"/>
        <v>18528.32</v>
      </c>
      <c r="U700" s="87">
        <v>18528.32</v>
      </c>
    </row>
    <row r="701" spans="1:22" s="30" customFormat="1" ht="24.6" hidden="1" outlineLevel="1" x14ac:dyDescent="0.55000000000000004">
      <c r="A701" s="27" t="s">
        <v>327</v>
      </c>
      <c r="B701" s="28"/>
      <c r="C701" s="27"/>
      <c r="D701" s="27" t="str">
        <f>"""NAV Direct"",""CRONUS JetCorp USA"",""21"",""1"",""325633"""</f>
        <v>"NAV Direct","CRONUS JetCorp USA","21","1","325633"</v>
      </c>
      <c r="E701" s="31" t="str">
        <f t="shared" si="207"/>
        <v>C100031</v>
      </c>
      <c r="F701" s="31"/>
      <c r="G701" s="31"/>
      <c r="H701" s="31"/>
      <c r="I701" s="56"/>
      <c r="J701" s="56"/>
      <c r="K701" s="82" t="str">
        <f t="shared" si="208"/>
        <v>Invoice</v>
      </c>
      <c r="L701" s="83" t="str">
        <f>"SI_110217"</f>
        <v>SI_110217</v>
      </c>
      <c r="M701" s="84">
        <v>42460</v>
      </c>
      <c r="N701" s="85">
        <f t="shared" si="209"/>
        <v>1352</v>
      </c>
      <c r="O701" s="86">
        <f t="shared" si="210"/>
        <v>17502.919999999998</v>
      </c>
      <c r="P701" s="86">
        <f t="shared" si="211"/>
        <v>0</v>
      </c>
      <c r="Q701" s="86">
        <f t="shared" si="212"/>
        <v>0</v>
      </c>
      <c r="R701" s="86">
        <f t="shared" si="213"/>
        <v>0</v>
      </c>
      <c r="S701" s="86">
        <f t="shared" si="214"/>
        <v>0</v>
      </c>
      <c r="T701" s="86">
        <f t="shared" si="215"/>
        <v>17502.919999999998</v>
      </c>
      <c r="U701" s="87">
        <v>17502.919999999998</v>
      </c>
    </row>
    <row r="702" spans="1:22" s="30" customFormat="1" ht="24.6" hidden="1" outlineLevel="1" x14ac:dyDescent="0.55000000000000004">
      <c r="A702" s="27" t="s">
        <v>327</v>
      </c>
      <c r="B702" s="28"/>
      <c r="C702" s="27"/>
      <c r="D702" s="27" t="str">
        <f>"""NAV Direct"",""CRONUS JetCorp USA"",""21"",""1"",""325662"""</f>
        <v>"NAV Direct","CRONUS JetCorp USA","21","1","325662"</v>
      </c>
      <c r="E702" s="31">
        <f t="shared" si="207"/>
        <v>0</v>
      </c>
      <c r="F702" s="31"/>
      <c r="G702" s="31"/>
      <c r="H702" s="31"/>
      <c r="I702" s="56"/>
      <c r="J702" s="56"/>
      <c r="K702" s="82" t="str">
        <f t="shared" si="208"/>
        <v>Invoice</v>
      </c>
      <c r="L702" s="83" t="str">
        <f>"SI_110218"</f>
        <v>SI_110218</v>
      </c>
      <c r="M702" s="84">
        <v>42490</v>
      </c>
      <c r="N702" s="85">
        <f t="shared" si="209"/>
        <v>1322</v>
      </c>
      <c r="O702" s="86">
        <f t="shared" si="210"/>
        <v>17487.920000000002</v>
      </c>
      <c r="P702" s="86">
        <f t="shared" si="211"/>
        <v>0</v>
      </c>
      <c r="Q702" s="86">
        <f t="shared" si="212"/>
        <v>0</v>
      </c>
      <c r="R702" s="86">
        <f t="shared" si="213"/>
        <v>0</v>
      </c>
      <c r="S702" s="86">
        <f t="shared" si="214"/>
        <v>0</v>
      </c>
      <c r="T702" s="86">
        <f t="shared" si="215"/>
        <v>17487.920000000002</v>
      </c>
      <c r="U702" s="87">
        <v>17487.920000000002</v>
      </c>
    </row>
    <row r="703" spans="1:22" s="30" customFormat="1" ht="24.6" hidden="1" outlineLevel="1" x14ac:dyDescent="0.55000000000000004">
      <c r="A703" s="27" t="s">
        <v>327</v>
      </c>
      <c r="B703" s="28"/>
      <c r="C703" s="27"/>
      <c r="D703" s="27" t="str">
        <f>"""NAV Direct"",""CRONUS JetCorp USA"",""21"",""1"",""325691"""</f>
        <v>"NAV Direct","CRONUS JetCorp USA","21","1","325691"</v>
      </c>
      <c r="E703" s="31" t="str">
        <f t="shared" si="207"/>
        <v>C100031</v>
      </c>
      <c r="F703" s="31"/>
      <c r="G703" s="31"/>
      <c r="H703" s="31"/>
      <c r="I703" s="56"/>
      <c r="J703" s="56"/>
      <c r="K703" s="82" t="str">
        <f t="shared" si="208"/>
        <v>Invoice</v>
      </c>
      <c r="L703" s="83" t="str">
        <f>"SI_110219"</f>
        <v>SI_110219</v>
      </c>
      <c r="M703" s="84">
        <v>42490</v>
      </c>
      <c r="N703" s="85">
        <f t="shared" si="209"/>
        <v>1322</v>
      </c>
      <c r="O703" s="86">
        <f t="shared" si="210"/>
        <v>17488.77</v>
      </c>
      <c r="P703" s="86">
        <f t="shared" si="211"/>
        <v>0</v>
      </c>
      <c r="Q703" s="86">
        <f t="shared" si="212"/>
        <v>0</v>
      </c>
      <c r="R703" s="86">
        <f t="shared" si="213"/>
        <v>0</v>
      </c>
      <c r="S703" s="86">
        <f t="shared" si="214"/>
        <v>0</v>
      </c>
      <c r="T703" s="86">
        <f t="shared" si="215"/>
        <v>17488.77</v>
      </c>
      <c r="U703" s="87">
        <v>17488.77</v>
      </c>
    </row>
    <row r="704" spans="1:22" s="30" customFormat="1" ht="24.6" hidden="1" outlineLevel="1" x14ac:dyDescent="0.55000000000000004">
      <c r="A704" s="27" t="s">
        <v>327</v>
      </c>
      <c r="B704" s="28"/>
      <c r="C704" s="27"/>
      <c r="D704" s="27" t="str">
        <f>"""NAV Direct"",""CRONUS JetCorp USA"",""21"",""1"",""326029"""</f>
        <v>"NAV Direct","CRONUS JetCorp USA","21","1","326029"</v>
      </c>
      <c r="E704" s="31">
        <f t="shared" si="207"/>
        <v>0</v>
      </c>
      <c r="F704" s="31"/>
      <c r="G704" s="31"/>
      <c r="H704" s="31"/>
      <c r="I704" s="56"/>
      <c r="J704" s="56"/>
      <c r="K704" s="82" t="str">
        <f t="shared" si="208"/>
        <v>Invoice</v>
      </c>
      <c r="L704" s="83" t="str">
        <f>"SI_110231"</f>
        <v>SI_110231</v>
      </c>
      <c r="M704" s="84">
        <v>42643</v>
      </c>
      <c r="N704" s="85">
        <f t="shared" si="209"/>
        <v>1169</v>
      </c>
      <c r="O704" s="86">
        <f t="shared" si="210"/>
        <v>19016.54</v>
      </c>
      <c r="P704" s="86">
        <f t="shared" si="211"/>
        <v>0</v>
      </c>
      <c r="Q704" s="86">
        <f t="shared" si="212"/>
        <v>0</v>
      </c>
      <c r="R704" s="86">
        <f t="shared" si="213"/>
        <v>0</v>
      </c>
      <c r="S704" s="86">
        <f t="shared" si="214"/>
        <v>0</v>
      </c>
      <c r="T704" s="86">
        <f t="shared" si="215"/>
        <v>19016.54</v>
      </c>
      <c r="U704" s="87">
        <v>19016.54</v>
      </c>
    </row>
    <row r="705" spans="1:21" s="30" customFormat="1" ht="24.6" hidden="1" outlineLevel="1" x14ac:dyDescent="0.55000000000000004">
      <c r="A705" s="27" t="s">
        <v>327</v>
      </c>
      <c r="B705" s="28"/>
      <c r="C705" s="27"/>
      <c r="D705" s="27" t="str">
        <f>"""NAV Direct"",""CRONUS JetCorp USA"",""21"",""1"",""326110"""</f>
        <v>"NAV Direct","CRONUS JetCorp USA","21","1","326110"</v>
      </c>
      <c r="E705" s="31" t="str">
        <f t="shared" si="207"/>
        <v>C100031</v>
      </c>
      <c r="F705" s="31"/>
      <c r="G705" s="31"/>
      <c r="H705" s="31"/>
      <c r="I705" s="56"/>
      <c r="J705" s="56"/>
      <c r="K705" s="82" t="str">
        <f t="shared" si="208"/>
        <v>Invoice</v>
      </c>
      <c r="L705" s="83" t="str">
        <f>"SI_110234"</f>
        <v>SI_110234</v>
      </c>
      <c r="M705" s="84">
        <v>42674</v>
      </c>
      <c r="N705" s="85">
        <f t="shared" si="209"/>
        <v>1138</v>
      </c>
      <c r="O705" s="86">
        <f t="shared" si="210"/>
        <v>19197.870000000003</v>
      </c>
      <c r="P705" s="86">
        <f t="shared" si="211"/>
        <v>0</v>
      </c>
      <c r="Q705" s="86">
        <f t="shared" si="212"/>
        <v>0</v>
      </c>
      <c r="R705" s="86">
        <f t="shared" si="213"/>
        <v>0</v>
      </c>
      <c r="S705" s="86">
        <f t="shared" si="214"/>
        <v>0</v>
      </c>
      <c r="T705" s="86">
        <f t="shared" si="215"/>
        <v>19197.870000000003</v>
      </c>
      <c r="U705" s="87">
        <v>19197.870000000003</v>
      </c>
    </row>
    <row r="706" spans="1:21" s="30" customFormat="1" ht="24.6" hidden="1" outlineLevel="1" x14ac:dyDescent="0.55000000000000004">
      <c r="A706" s="27" t="s">
        <v>327</v>
      </c>
      <c r="B706" s="28"/>
      <c r="C706" s="27"/>
      <c r="D706" s="27" t="str">
        <f>"""NAV Direct"",""CRONUS JetCorp USA"",""21"",""1"",""326251"""</f>
        <v>"NAV Direct","CRONUS JetCorp USA","21","1","326251"</v>
      </c>
      <c r="E706" s="31">
        <f t="shared" si="207"/>
        <v>0</v>
      </c>
      <c r="F706" s="31"/>
      <c r="G706" s="31"/>
      <c r="H706" s="31"/>
      <c r="I706" s="56"/>
      <c r="J706" s="56"/>
      <c r="K706" s="82" t="str">
        <f t="shared" si="208"/>
        <v>Invoice</v>
      </c>
      <c r="L706" s="83" t="str">
        <f>"SI_110239"</f>
        <v>SI_110239</v>
      </c>
      <c r="M706" s="84">
        <v>42735</v>
      </c>
      <c r="N706" s="85">
        <f t="shared" si="209"/>
        <v>1077</v>
      </c>
      <c r="O706" s="86">
        <f t="shared" si="210"/>
        <v>19774.580000000002</v>
      </c>
      <c r="P706" s="86">
        <f t="shared" si="211"/>
        <v>0</v>
      </c>
      <c r="Q706" s="86">
        <f t="shared" si="212"/>
        <v>0</v>
      </c>
      <c r="R706" s="86">
        <f t="shared" si="213"/>
        <v>0</v>
      </c>
      <c r="S706" s="86">
        <f t="shared" si="214"/>
        <v>0</v>
      </c>
      <c r="T706" s="86">
        <f t="shared" si="215"/>
        <v>19774.580000000002</v>
      </c>
      <c r="U706" s="87">
        <v>19774.580000000002</v>
      </c>
    </row>
    <row r="707" spans="1:21" s="30" customFormat="1" ht="24.6" hidden="1" outlineLevel="1" x14ac:dyDescent="0.55000000000000004">
      <c r="A707" s="27" t="s">
        <v>327</v>
      </c>
      <c r="B707" s="28"/>
      <c r="C707" s="27"/>
      <c r="D707" s="27" t="str">
        <f>"""NAV Direct"",""CRONUS JetCorp USA"",""21"",""1"",""326282"""</f>
        <v>"NAV Direct","CRONUS JetCorp USA","21","1","326282"</v>
      </c>
      <c r="E707" s="31" t="str">
        <f t="shared" si="207"/>
        <v>C100031</v>
      </c>
      <c r="F707" s="31"/>
      <c r="G707" s="31"/>
      <c r="H707" s="31"/>
      <c r="I707" s="56"/>
      <c r="J707" s="56"/>
      <c r="K707" s="82" t="str">
        <f t="shared" si="208"/>
        <v>Invoice</v>
      </c>
      <c r="L707" s="83" t="str">
        <f>"SI_110240"</f>
        <v>SI_110240</v>
      </c>
      <c r="M707" s="84">
        <v>42735</v>
      </c>
      <c r="N707" s="85">
        <f t="shared" si="209"/>
        <v>1077</v>
      </c>
      <c r="O707" s="86">
        <f t="shared" si="210"/>
        <v>20398.71</v>
      </c>
      <c r="P707" s="86">
        <f t="shared" si="211"/>
        <v>0</v>
      </c>
      <c r="Q707" s="86">
        <f t="shared" si="212"/>
        <v>0</v>
      </c>
      <c r="R707" s="86">
        <f t="shared" si="213"/>
        <v>0</v>
      </c>
      <c r="S707" s="86">
        <f t="shared" si="214"/>
        <v>0</v>
      </c>
      <c r="T707" s="86">
        <f t="shared" si="215"/>
        <v>20398.71</v>
      </c>
      <c r="U707" s="87">
        <v>20398.71</v>
      </c>
    </row>
    <row r="708" spans="1:21" s="30" customFormat="1" ht="24.6" hidden="1" outlineLevel="1" x14ac:dyDescent="0.55000000000000004">
      <c r="A708" s="27" t="s">
        <v>327</v>
      </c>
      <c r="B708" s="28"/>
      <c r="C708" s="27"/>
      <c r="D708" s="27" t="str">
        <f>"""NAV Direct"",""CRONUS JetCorp USA"",""21"",""1"",""326311"""</f>
        <v>"NAV Direct","CRONUS JetCorp USA","21","1","326311"</v>
      </c>
      <c r="E708" s="31">
        <f t="shared" si="207"/>
        <v>0</v>
      </c>
      <c r="F708" s="31"/>
      <c r="G708" s="31"/>
      <c r="H708" s="31"/>
      <c r="I708" s="56"/>
      <c r="J708" s="56"/>
      <c r="K708" s="82" t="str">
        <f t="shared" si="208"/>
        <v>Invoice</v>
      </c>
      <c r="L708" s="83" t="str">
        <f>"SI_110241"</f>
        <v>SI_110241</v>
      </c>
      <c r="M708" s="84">
        <v>42766</v>
      </c>
      <c r="N708" s="85">
        <f t="shared" si="209"/>
        <v>1046</v>
      </c>
      <c r="O708" s="86">
        <f t="shared" si="210"/>
        <v>20161.259999999998</v>
      </c>
      <c r="P708" s="86">
        <f t="shared" si="211"/>
        <v>0</v>
      </c>
      <c r="Q708" s="86">
        <f t="shared" si="212"/>
        <v>0</v>
      </c>
      <c r="R708" s="86">
        <f t="shared" si="213"/>
        <v>0</v>
      </c>
      <c r="S708" s="86">
        <f t="shared" si="214"/>
        <v>0</v>
      </c>
      <c r="T708" s="86">
        <f t="shared" si="215"/>
        <v>20161.259999999998</v>
      </c>
      <c r="U708" s="87">
        <v>20161.259999999998</v>
      </c>
    </row>
    <row r="709" spans="1:21" s="30" customFormat="1" ht="24.6" hidden="1" outlineLevel="1" x14ac:dyDescent="0.55000000000000004">
      <c r="A709" s="27" t="s">
        <v>327</v>
      </c>
      <c r="B709" s="28"/>
      <c r="C709" s="27"/>
      <c r="D709" s="27" t="str">
        <f>"""NAV Direct"",""CRONUS JetCorp USA"",""21"",""1"",""326508"""</f>
        <v>"NAV Direct","CRONUS JetCorp USA","21","1","326508"</v>
      </c>
      <c r="E709" s="31" t="str">
        <f t="shared" si="207"/>
        <v>C100031</v>
      </c>
      <c r="F709" s="31"/>
      <c r="G709" s="31"/>
      <c r="H709" s="31"/>
      <c r="I709" s="56"/>
      <c r="J709" s="56"/>
      <c r="K709" s="82" t="str">
        <f t="shared" si="208"/>
        <v>Invoice</v>
      </c>
      <c r="L709" s="83" t="str">
        <f>"SI_110248"</f>
        <v>SI_110248</v>
      </c>
      <c r="M709" s="84">
        <v>42855</v>
      </c>
      <c r="N709" s="85">
        <f t="shared" si="209"/>
        <v>957</v>
      </c>
      <c r="O709" s="86">
        <f t="shared" si="210"/>
        <v>20643.080000000002</v>
      </c>
      <c r="P709" s="86">
        <f t="shared" si="211"/>
        <v>0</v>
      </c>
      <c r="Q709" s="86">
        <f t="shared" si="212"/>
        <v>0</v>
      </c>
      <c r="R709" s="86">
        <f t="shared" si="213"/>
        <v>0</v>
      </c>
      <c r="S709" s="86">
        <f t="shared" si="214"/>
        <v>0</v>
      </c>
      <c r="T709" s="86">
        <f t="shared" si="215"/>
        <v>20643.080000000002</v>
      </c>
      <c r="U709" s="87">
        <v>20643.080000000002</v>
      </c>
    </row>
    <row r="710" spans="1:21" s="30" customFormat="1" ht="24.6" hidden="1" outlineLevel="1" x14ac:dyDescent="0.55000000000000004">
      <c r="A710" s="27" t="s">
        <v>327</v>
      </c>
      <c r="B710" s="28"/>
      <c r="C710" s="27"/>
      <c r="D710" s="27" t="str">
        <f>"""NAV Direct"",""CRONUS JetCorp USA"",""21"",""1"",""326537"""</f>
        <v>"NAV Direct","CRONUS JetCorp USA","21","1","326537"</v>
      </c>
      <c r="E710" s="31">
        <f t="shared" si="207"/>
        <v>0</v>
      </c>
      <c r="F710" s="31"/>
      <c r="G710" s="31"/>
      <c r="H710" s="31"/>
      <c r="I710" s="56"/>
      <c r="J710" s="56"/>
      <c r="K710" s="82" t="str">
        <f t="shared" si="208"/>
        <v>Invoice</v>
      </c>
      <c r="L710" s="83" t="str">
        <f>"SI_110249"</f>
        <v>SI_110249</v>
      </c>
      <c r="M710" s="84">
        <v>42886</v>
      </c>
      <c r="N710" s="85">
        <f t="shared" si="209"/>
        <v>926</v>
      </c>
      <c r="O710" s="86">
        <f t="shared" si="210"/>
        <v>19978.63</v>
      </c>
      <c r="P710" s="86">
        <f t="shared" si="211"/>
        <v>0</v>
      </c>
      <c r="Q710" s="86">
        <f t="shared" si="212"/>
        <v>0</v>
      </c>
      <c r="R710" s="86">
        <f t="shared" si="213"/>
        <v>0</v>
      </c>
      <c r="S710" s="86">
        <f t="shared" si="214"/>
        <v>0</v>
      </c>
      <c r="T710" s="86">
        <f t="shared" si="215"/>
        <v>19978.63</v>
      </c>
      <c r="U710" s="87">
        <v>19978.63</v>
      </c>
    </row>
    <row r="711" spans="1:21" s="30" customFormat="1" ht="24.6" hidden="1" outlineLevel="1" x14ac:dyDescent="0.55000000000000004">
      <c r="A711" s="27" t="s">
        <v>327</v>
      </c>
      <c r="B711" s="28"/>
      <c r="C711" s="27"/>
      <c r="D711" s="27" t="str">
        <f>"""NAV Direct"",""CRONUS JetCorp USA"",""21"",""1"",""326572"""</f>
        <v>"NAV Direct","CRONUS JetCorp USA","21","1","326572"</v>
      </c>
      <c r="E711" s="31" t="str">
        <f t="shared" si="207"/>
        <v>C100031</v>
      </c>
      <c r="F711" s="31"/>
      <c r="G711" s="31"/>
      <c r="H711" s="31"/>
      <c r="I711" s="56"/>
      <c r="J711" s="56"/>
      <c r="K711" s="82" t="str">
        <f t="shared" si="208"/>
        <v>Invoice</v>
      </c>
      <c r="L711" s="83" t="str">
        <f>"SI_110250"</f>
        <v>SI_110250</v>
      </c>
      <c r="M711" s="84">
        <v>42886</v>
      </c>
      <c r="N711" s="85">
        <f t="shared" si="209"/>
        <v>926</v>
      </c>
      <c r="O711" s="86">
        <f t="shared" si="210"/>
        <v>19978.3</v>
      </c>
      <c r="P711" s="86">
        <f t="shared" si="211"/>
        <v>0</v>
      </c>
      <c r="Q711" s="86">
        <f t="shared" si="212"/>
        <v>0</v>
      </c>
      <c r="R711" s="86">
        <f t="shared" si="213"/>
        <v>0</v>
      </c>
      <c r="S711" s="86">
        <f t="shared" si="214"/>
        <v>0</v>
      </c>
      <c r="T711" s="86">
        <f t="shared" si="215"/>
        <v>19978.3</v>
      </c>
      <c r="U711" s="87">
        <v>19978.3</v>
      </c>
    </row>
    <row r="712" spans="1:21" s="30" customFormat="1" ht="24.6" hidden="1" outlineLevel="1" x14ac:dyDescent="0.55000000000000004">
      <c r="A712" s="27" t="s">
        <v>327</v>
      </c>
      <c r="B712" s="28"/>
      <c r="C712" s="27"/>
      <c r="D712" s="27" t="str">
        <f>"""NAV Direct"",""CRONUS JetCorp USA"",""21"",""1"",""326605"""</f>
        <v>"NAV Direct","CRONUS JetCorp USA","21","1","326605"</v>
      </c>
      <c r="E712" s="31">
        <f t="shared" si="207"/>
        <v>0</v>
      </c>
      <c r="F712" s="31"/>
      <c r="G712" s="31"/>
      <c r="H712" s="31"/>
      <c r="I712" s="56"/>
      <c r="J712" s="56"/>
      <c r="K712" s="82" t="str">
        <f t="shared" si="208"/>
        <v>Invoice</v>
      </c>
      <c r="L712" s="83" t="str">
        <f>"SI_110251"</f>
        <v>SI_110251</v>
      </c>
      <c r="M712" s="84">
        <v>42886</v>
      </c>
      <c r="N712" s="85">
        <f t="shared" si="209"/>
        <v>926</v>
      </c>
      <c r="O712" s="86">
        <f t="shared" si="210"/>
        <v>20394.919999999998</v>
      </c>
      <c r="P712" s="86">
        <f t="shared" si="211"/>
        <v>0</v>
      </c>
      <c r="Q712" s="86">
        <f t="shared" si="212"/>
        <v>0</v>
      </c>
      <c r="R712" s="86">
        <f t="shared" si="213"/>
        <v>0</v>
      </c>
      <c r="S712" s="86">
        <f t="shared" si="214"/>
        <v>0</v>
      </c>
      <c r="T712" s="86">
        <f t="shared" si="215"/>
        <v>20394.919999999998</v>
      </c>
      <c r="U712" s="87">
        <v>20394.919999999998</v>
      </c>
    </row>
    <row r="713" spans="1:21" s="30" customFormat="1" ht="24.6" hidden="1" outlineLevel="1" x14ac:dyDescent="0.55000000000000004">
      <c r="A713" s="27" t="s">
        <v>327</v>
      </c>
      <c r="B713" s="28"/>
      <c r="C713" s="27"/>
      <c r="D713" s="27" t="str">
        <f>"""NAV Direct"",""CRONUS JetCorp USA"",""21"",""1"",""326849"""</f>
        <v>"NAV Direct","CRONUS JetCorp USA","21","1","326849"</v>
      </c>
      <c r="E713" s="31" t="str">
        <f t="shared" si="207"/>
        <v>C100031</v>
      </c>
      <c r="F713" s="31"/>
      <c r="G713" s="31"/>
      <c r="H713" s="31"/>
      <c r="I713" s="56"/>
      <c r="J713" s="56"/>
      <c r="K713" s="82" t="str">
        <f t="shared" si="208"/>
        <v>Invoice</v>
      </c>
      <c r="L713" s="83" t="str">
        <f>"SI_110259"</f>
        <v>SI_110259</v>
      </c>
      <c r="M713" s="84">
        <v>43039</v>
      </c>
      <c r="N713" s="85">
        <f t="shared" si="209"/>
        <v>773</v>
      </c>
      <c r="O713" s="86">
        <f t="shared" si="210"/>
        <v>16186.109999999999</v>
      </c>
      <c r="P713" s="86">
        <f t="shared" si="211"/>
        <v>0</v>
      </c>
      <c r="Q713" s="86">
        <f t="shared" si="212"/>
        <v>0</v>
      </c>
      <c r="R713" s="86">
        <f t="shared" si="213"/>
        <v>0</v>
      </c>
      <c r="S713" s="86">
        <f t="shared" si="214"/>
        <v>0</v>
      </c>
      <c r="T713" s="86">
        <f t="shared" si="215"/>
        <v>16186.109999999999</v>
      </c>
      <c r="U713" s="87">
        <v>16186.109999999999</v>
      </c>
    </row>
    <row r="714" spans="1:21" s="30" customFormat="1" ht="24.6" hidden="1" outlineLevel="1" x14ac:dyDescent="0.55000000000000004">
      <c r="A714" s="27" t="s">
        <v>327</v>
      </c>
      <c r="B714" s="28"/>
      <c r="C714" s="27"/>
      <c r="D714" s="27" t="str">
        <f>"""NAV Direct"",""CRONUS JetCorp USA"",""21"",""1"",""326872"""</f>
        <v>"NAV Direct","CRONUS JetCorp USA","21","1","326872"</v>
      </c>
      <c r="E714" s="31">
        <f t="shared" si="207"/>
        <v>0</v>
      </c>
      <c r="F714" s="31"/>
      <c r="G714" s="31"/>
      <c r="H714" s="31"/>
      <c r="I714" s="56"/>
      <c r="J714" s="56"/>
      <c r="K714" s="82" t="str">
        <f t="shared" si="208"/>
        <v>Invoice</v>
      </c>
      <c r="L714" s="83" t="str">
        <f>"SI_110260"</f>
        <v>SI_110260</v>
      </c>
      <c r="M714" s="84">
        <v>43039</v>
      </c>
      <c r="N714" s="85">
        <f t="shared" si="209"/>
        <v>773</v>
      </c>
      <c r="O714" s="86">
        <f t="shared" si="210"/>
        <v>16014.86</v>
      </c>
      <c r="P714" s="86">
        <f t="shared" si="211"/>
        <v>0</v>
      </c>
      <c r="Q714" s="86">
        <f t="shared" si="212"/>
        <v>0</v>
      </c>
      <c r="R714" s="86">
        <f t="shared" si="213"/>
        <v>0</v>
      </c>
      <c r="S714" s="86">
        <f t="shared" si="214"/>
        <v>0</v>
      </c>
      <c r="T714" s="86">
        <f t="shared" si="215"/>
        <v>16014.86</v>
      </c>
      <c r="U714" s="87">
        <v>16014.86</v>
      </c>
    </row>
    <row r="715" spans="1:21" s="30" customFormat="1" ht="24.6" hidden="1" outlineLevel="1" x14ac:dyDescent="0.55000000000000004">
      <c r="A715" s="27" t="s">
        <v>327</v>
      </c>
      <c r="B715" s="28"/>
      <c r="C715" s="27"/>
      <c r="D715" s="27" t="str">
        <f>"""NAV Direct"",""CRONUS JetCorp USA"",""21"",""1"",""326897"""</f>
        <v>"NAV Direct","CRONUS JetCorp USA","21","1","326897"</v>
      </c>
      <c r="E715" s="31" t="str">
        <f t="shared" si="207"/>
        <v>C100031</v>
      </c>
      <c r="F715" s="31"/>
      <c r="G715" s="31"/>
      <c r="H715" s="31"/>
      <c r="I715" s="56"/>
      <c r="J715" s="56"/>
      <c r="K715" s="82" t="str">
        <f t="shared" si="208"/>
        <v>Invoice</v>
      </c>
      <c r="L715" s="83" t="str">
        <f>"SI_110261"</f>
        <v>SI_110261</v>
      </c>
      <c r="M715" s="84">
        <v>43069</v>
      </c>
      <c r="N715" s="85">
        <f t="shared" si="209"/>
        <v>743</v>
      </c>
      <c r="O715" s="86">
        <f t="shared" si="210"/>
        <v>15877.95</v>
      </c>
      <c r="P715" s="86">
        <f t="shared" si="211"/>
        <v>0</v>
      </c>
      <c r="Q715" s="86">
        <f t="shared" si="212"/>
        <v>0</v>
      </c>
      <c r="R715" s="86">
        <f t="shared" si="213"/>
        <v>0</v>
      </c>
      <c r="S715" s="86">
        <f t="shared" si="214"/>
        <v>0</v>
      </c>
      <c r="T715" s="86">
        <f t="shared" si="215"/>
        <v>15877.95</v>
      </c>
      <c r="U715" s="87">
        <v>15877.95</v>
      </c>
    </row>
    <row r="716" spans="1:21" s="30" customFormat="1" ht="24.6" hidden="1" outlineLevel="1" x14ac:dyDescent="0.55000000000000004">
      <c r="A716" s="27" t="s">
        <v>327</v>
      </c>
      <c r="B716" s="28"/>
      <c r="C716" s="27"/>
      <c r="D716" s="27" t="str">
        <f>"""NAV Direct"",""CRONUS JetCorp USA"",""21"",""1"",""326947"""</f>
        <v>"NAV Direct","CRONUS JetCorp USA","21","1","326947"</v>
      </c>
      <c r="E716" s="31">
        <f t="shared" si="207"/>
        <v>0</v>
      </c>
      <c r="F716" s="31"/>
      <c r="G716" s="31"/>
      <c r="H716" s="31"/>
      <c r="I716" s="56"/>
      <c r="J716" s="56"/>
      <c r="K716" s="82" t="str">
        <f t="shared" si="208"/>
        <v>Invoice</v>
      </c>
      <c r="L716" s="83" t="str">
        <f>"SI_110263"</f>
        <v>SI_110263</v>
      </c>
      <c r="M716" s="84">
        <v>43069</v>
      </c>
      <c r="N716" s="85">
        <f t="shared" si="209"/>
        <v>743</v>
      </c>
      <c r="O716" s="86">
        <f t="shared" si="210"/>
        <v>15712.740000000002</v>
      </c>
      <c r="P716" s="86">
        <f t="shared" si="211"/>
        <v>0</v>
      </c>
      <c r="Q716" s="86">
        <f t="shared" si="212"/>
        <v>0</v>
      </c>
      <c r="R716" s="86">
        <f t="shared" si="213"/>
        <v>0</v>
      </c>
      <c r="S716" s="86">
        <f t="shared" si="214"/>
        <v>0</v>
      </c>
      <c r="T716" s="86">
        <f t="shared" si="215"/>
        <v>15712.740000000002</v>
      </c>
      <c r="U716" s="87">
        <v>15712.740000000002</v>
      </c>
    </row>
    <row r="717" spans="1:21" s="30" customFormat="1" ht="24.6" hidden="1" outlineLevel="1" x14ac:dyDescent="0.55000000000000004">
      <c r="A717" s="27" t="s">
        <v>327</v>
      </c>
      <c r="B717" s="28"/>
      <c r="C717" s="27"/>
      <c r="D717" s="27" t="str">
        <f>"""NAV Direct"",""CRONUS JetCorp USA"",""21"",""1"",""327003"""</f>
        <v>"NAV Direct","CRONUS JetCorp USA","21","1","327003"</v>
      </c>
      <c r="E717" s="31" t="str">
        <f t="shared" si="207"/>
        <v>C100031</v>
      </c>
      <c r="F717" s="31"/>
      <c r="G717" s="31"/>
      <c r="H717" s="31"/>
      <c r="I717" s="56"/>
      <c r="J717" s="56"/>
      <c r="K717" s="82" t="str">
        <f t="shared" si="208"/>
        <v>Invoice</v>
      </c>
      <c r="L717" s="83" t="str">
        <f>"SI_110265"</f>
        <v>SI_110265</v>
      </c>
      <c r="M717" s="84">
        <v>43100</v>
      </c>
      <c r="N717" s="85">
        <f t="shared" si="209"/>
        <v>712</v>
      </c>
      <c r="O717" s="86">
        <f t="shared" si="210"/>
        <v>16005.66</v>
      </c>
      <c r="P717" s="86">
        <f t="shared" si="211"/>
        <v>0</v>
      </c>
      <c r="Q717" s="86">
        <f t="shared" si="212"/>
        <v>0</v>
      </c>
      <c r="R717" s="86">
        <f t="shared" si="213"/>
        <v>0</v>
      </c>
      <c r="S717" s="86">
        <f t="shared" si="214"/>
        <v>0</v>
      </c>
      <c r="T717" s="86">
        <f t="shared" si="215"/>
        <v>16005.66</v>
      </c>
      <c r="U717" s="87">
        <v>16005.66</v>
      </c>
    </row>
    <row r="718" spans="1:21" s="30" customFormat="1" ht="24.6" hidden="1" outlineLevel="1" x14ac:dyDescent="0.55000000000000004">
      <c r="A718" s="27" t="s">
        <v>327</v>
      </c>
      <c r="B718" s="28"/>
      <c r="C718" s="27"/>
      <c r="D718" s="27" t="str">
        <f>"""NAV Direct"",""CRONUS JetCorp USA"",""21"",""1"",""327034"""</f>
        <v>"NAV Direct","CRONUS JetCorp USA","21","1","327034"</v>
      </c>
      <c r="E718" s="31">
        <f t="shared" si="207"/>
        <v>0</v>
      </c>
      <c r="F718" s="31"/>
      <c r="G718" s="31"/>
      <c r="H718" s="31"/>
      <c r="I718" s="56"/>
      <c r="J718" s="56"/>
      <c r="K718" s="82" t="str">
        <f t="shared" si="208"/>
        <v>Invoice</v>
      </c>
      <c r="L718" s="83" t="str">
        <f>"SI_110266"</f>
        <v>SI_110266</v>
      </c>
      <c r="M718" s="84">
        <v>43100</v>
      </c>
      <c r="N718" s="85">
        <f t="shared" si="209"/>
        <v>712</v>
      </c>
      <c r="O718" s="86">
        <f t="shared" si="210"/>
        <v>16338.869999999999</v>
      </c>
      <c r="P718" s="86">
        <f t="shared" si="211"/>
        <v>0</v>
      </c>
      <c r="Q718" s="86">
        <f t="shared" si="212"/>
        <v>0</v>
      </c>
      <c r="R718" s="86">
        <f t="shared" si="213"/>
        <v>0</v>
      </c>
      <c r="S718" s="86">
        <f t="shared" si="214"/>
        <v>0</v>
      </c>
      <c r="T718" s="86">
        <f t="shared" si="215"/>
        <v>16338.869999999999</v>
      </c>
      <c r="U718" s="87">
        <v>16338.869999999999</v>
      </c>
    </row>
    <row r="719" spans="1:21" s="30" customFormat="1" ht="24.6" hidden="1" outlineLevel="1" x14ac:dyDescent="0.55000000000000004">
      <c r="A719" s="27" t="s">
        <v>327</v>
      </c>
      <c r="B719" s="28"/>
      <c r="C719" s="27"/>
      <c r="D719" s="27" t="str">
        <f>"""NAV Direct"",""CRONUS JetCorp USA"",""21"",""1"",""327186"""</f>
        <v>"NAV Direct","CRONUS JetCorp USA","21","1","327186"</v>
      </c>
      <c r="E719" s="31" t="str">
        <f t="shared" si="207"/>
        <v>C100031</v>
      </c>
      <c r="F719" s="31"/>
      <c r="G719" s="31"/>
      <c r="H719" s="31"/>
      <c r="I719" s="56"/>
      <c r="J719" s="56"/>
      <c r="K719" s="82" t="str">
        <f t="shared" si="208"/>
        <v>Invoice</v>
      </c>
      <c r="L719" s="83" t="str">
        <f>"SI_110272"</f>
        <v>SI_110272</v>
      </c>
      <c r="M719" s="84">
        <v>43190</v>
      </c>
      <c r="N719" s="85">
        <f t="shared" si="209"/>
        <v>622</v>
      </c>
      <c r="O719" s="86">
        <f t="shared" si="210"/>
        <v>14797.830000000002</v>
      </c>
      <c r="P719" s="86">
        <f t="shared" si="211"/>
        <v>0</v>
      </c>
      <c r="Q719" s="86">
        <f t="shared" si="212"/>
        <v>0</v>
      </c>
      <c r="R719" s="86">
        <f t="shared" si="213"/>
        <v>0</v>
      </c>
      <c r="S719" s="86">
        <f t="shared" si="214"/>
        <v>0</v>
      </c>
      <c r="T719" s="86">
        <f t="shared" si="215"/>
        <v>14797.830000000002</v>
      </c>
      <c r="U719" s="87">
        <v>14797.830000000002</v>
      </c>
    </row>
    <row r="720" spans="1:21" s="30" customFormat="1" ht="24.6" hidden="1" outlineLevel="1" x14ac:dyDescent="0.55000000000000004">
      <c r="A720" s="27" t="s">
        <v>327</v>
      </c>
      <c r="B720" s="28"/>
      <c r="C720" s="27"/>
      <c r="D720" s="27" t="str">
        <f>"""NAV Direct"",""CRONUS JetCorp USA"",""21"",""1"",""327388"""</f>
        <v>"NAV Direct","CRONUS JetCorp USA","21","1","327388"</v>
      </c>
      <c r="E720" s="31">
        <f t="shared" si="207"/>
        <v>0</v>
      </c>
      <c r="F720" s="31"/>
      <c r="G720" s="31"/>
      <c r="H720" s="31"/>
      <c r="I720" s="56"/>
      <c r="J720" s="56"/>
      <c r="K720" s="82" t="str">
        <f t="shared" si="208"/>
        <v>Invoice</v>
      </c>
      <c r="L720" s="83" t="str">
        <f>"SI_110280"</f>
        <v>SI_110280</v>
      </c>
      <c r="M720" s="84">
        <v>43312</v>
      </c>
      <c r="N720" s="85">
        <f t="shared" si="209"/>
        <v>500</v>
      </c>
      <c r="O720" s="86">
        <f t="shared" si="210"/>
        <v>13620.300000000001</v>
      </c>
      <c r="P720" s="86">
        <f t="shared" si="211"/>
        <v>0</v>
      </c>
      <c r="Q720" s="86">
        <f t="shared" si="212"/>
        <v>0</v>
      </c>
      <c r="R720" s="86">
        <f t="shared" si="213"/>
        <v>0</v>
      </c>
      <c r="S720" s="86">
        <f t="shared" si="214"/>
        <v>0</v>
      </c>
      <c r="T720" s="86">
        <f t="shared" si="215"/>
        <v>13620.300000000001</v>
      </c>
      <c r="U720" s="87">
        <v>13620.300000000001</v>
      </c>
    </row>
    <row r="721" spans="1:21" s="30" customFormat="1" ht="24.6" hidden="1" outlineLevel="1" x14ac:dyDescent="0.55000000000000004">
      <c r="A721" s="27" t="s">
        <v>327</v>
      </c>
      <c r="B721" s="28"/>
      <c r="C721" s="27"/>
      <c r="D721" s="27" t="str">
        <f>"""NAV Direct"",""CRONUS JetCorp USA"",""21"",""1"",""327913"""</f>
        <v>"NAV Direct","CRONUS JetCorp USA","21","1","327913"</v>
      </c>
      <c r="E721" s="31" t="str">
        <f t="shared" si="207"/>
        <v>C100031</v>
      </c>
      <c r="F721" s="31"/>
      <c r="G721" s="31"/>
      <c r="H721" s="31"/>
      <c r="I721" s="56"/>
      <c r="J721" s="56"/>
      <c r="K721" s="82" t="str">
        <f t="shared" si="208"/>
        <v>Invoice</v>
      </c>
      <c r="L721" s="83" t="str">
        <f>"SI_110301"</f>
        <v>SI_110301</v>
      </c>
      <c r="M721" s="84">
        <v>43524</v>
      </c>
      <c r="N721" s="85">
        <f t="shared" si="209"/>
        <v>288</v>
      </c>
      <c r="O721" s="86">
        <f t="shared" si="210"/>
        <v>14191.739999999998</v>
      </c>
      <c r="P721" s="86">
        <f t="shared" si="211"/>
        <v>0</v>
      </c>
      <c r="Q721" s="86">
        <f t="shared" si="212"/>
        <v>0</v>
      </c>
      <c r="R721" s="86">
        <f t="shared" si="213"/>
        <v>0</v>
      </c>
      <c r="S721" s="86">
        <f t="shared" si="214"/>
        <v>0</v>
      </c>
      <c r="T721" s="86">
        <f t="shared" si="215"/>
        <v>14191.739999999998</v>
      </c>
      <c r="U721" s="87">
        <v>14191.739999999998</v>
      </c>
    </row>
    <row r="722" spans="1:21" s="30" customFormat="1" ht="24.6" hidden="1" outlineLevel="1" x14ac:dyDescent="0.55000000000000004">
      <c r="A722" s="27" t="s">
        <v>327</v>
      </c>
      <c r="B722" s="28"/>
      <c r="C722" s="27"/>
      <c r="D722" s="27" t="str">
        <f>"""NAV Direct"",""CRONUS JetCorp USA"",""21"",""1"",""328153"""</f>
        <v>"NAV Direct","CRONUS JetCorp USA","21","1","328153"</v>
      </c>
      <c r="E722" s="31">
        <f t="shared" si="207"/>
        <v>0</v>
      </c>
      <c r="F722" s="31"/>
      <c r="G722" s="31"/>
      <c r="H722" s="31"/>
      <c r="I722" s="56"/>
      <c r="J722" s="56"/>
      <c r="K722" s="82" t="str">
        <f t="shared" si="208"/>
        <v>Invoice</v>
      </c>
      <c r="L722" s="83" t="str">
        <f>"SI_110311"</f>
        <v>SI_110311</v>
      </c>
      <c r="M722" s="84">
        <v>43585</v>
      </c>
      <c r="N722" s="85">
        <f t="shared" si="209"/>
        <v>227</v>
      </c>
      <c r="O722" s="86">
        <f t="shared" si="210"/>
        <v>14350.800000000001</v>
      </c>
      <c r="P722" s="86">
        <f t="shared" si="211"/>
        <v>0</v>
      </c>
      <c r="Q722" s="86">
        <f t="shared" si="212"/>
        <v>0</v>
      </c>
      <c r="R722" s="86">
        <f t="shared" si="213"/>
        <v>0</v>
      </c>
      <c r="S722" s="86">
        <f t="shared" si="214"/>
        <v>0</v>
      </c>
      <c r="T722" s="86">
        <f t="shared" si="215"/>
        <v>14350.800000000001</v>
      </c>
      <c r="U722" s="87">
        <v>14350.800000000001</v>
      </c>
    </row>
    <row r="723" spans="1:21" s="30" customFormat="1" ht="24.6" hidden="1" outlineLevel="1" x14ac:dyDescent="0.55000000000000004">
      <c r="A723" s="27" t="s">
        <v>327</v>
      </c>
      <c r="B723" s="28"/>
      <c r="C723" s="27"/>
      <c r="D723" s="27" t="str">
        <f>"""NAV Direct"",""CRONUS JetCorp USA"",""21"",""1"",""328205"""</f>
        <v>"NAV Direct","CRONUS JetCorp USA","21","1","328205"</v>
      </c>
      <c r="E723" s="31" t="str">
        <f t="shared" si="207"/>
        <v>C100031</v>
      </c>
      <c r="F723" s="31"/>
      <c r="G723" s="31"/>
      <c r="H723" s="31"/>
      <c r="I723" s="56"/>
      <c r="J723" s="56"/>
      <c r="K723" s="82" t="str">
        <f t="shared" si="208"/>
        <v>Invoice</v>
      </c>
      <c r="L723" s="83" t="str">
        <f>"SI_110313"</f>
        <v>SI_110313</v>
      </c>
      <c r="M723" s="84">
        <v>43616</v>
      </c>
      <c r="N723" s="85">
        <f t="shared" si="209"/>
        <v>196</v>
      </c>
      <c r="O723" s="86">
        <f t="shared" si="210"/>
        <v>14908.429999999998</v>
      </c>
      <c r="P723" s="86">
        <f t="shared" si="211"/>
        <v>0</v>
      </c>
      <c r="Q723" s="86">
        <f t="shared" si="212"/>
        <v>0</v>
      </c>
      <c r="R723" s="86">
        <f t="shared" si="213"/>
        <v>0</v>
      </c>
      <c r="S723" s="86">
        <f t="shared" si="214"/>
        <v>0</v>
      </c>
      <c r="T723" s="86">
        <f t="shared" si="215"/>
        <v>14908.429999999998</v>
      </c>
      <c r="U723" s="87">
        <v>14908.429999999998</v>
      </c>
    </row>
    <row r="724" spans="1:21" s="30" customFormat="1" ht="24.6" hidden="1" outlineLevel="1" x14ac:dyDescent="0.55000000000000004">
      <c r="A724" s="27" t="s">
        <v>327</v>
      </c>
      <c r="B724" s="28"/>
      <c r="C724" s="27"/>
      <c r="D724" s="27" t="str">
        <f>"""NAV Direct"",""CRONUS JetCorp USA"",""21"",""1"",""328731"""</f>
        <v>"NAV Direct","CRONUS JetCorp USA","21","1","328731"</v>
      </c>
      <c r="E724" s="31">
        <f t="shared" si="207"/>
        <v>0</v>
      </c>
      <c r="F724" s="31"/>
      <c r="G724" s="31"/>
      <c r="H724" s="31"/>
      <c r="I724" s="56"/>
      <c r="J724" s="56"/>
      <c r="K724" s="82" t="str">
        <f t="shared" si="208"/>
        <v>Invoice</v>
      </c>
      <c r="L724" s="83" t="str">
        <f>"SI_110333"</f>
        <v>SI_110333</v>
      </c>
      <c r="M724" s="84">
        <v>43799</v>
      </c>
      <c r="N724" s="85">
        <f t="shared" si="209"/>
        <v>13</v>
      </c>
      <c r="O724" s="86">
        <f t="shared" si="210"/>
        <v>17112.37</v>
      </c>
      <c r="P724" s="86">
        <f t="shared" si="211"/>
        <v>0</v>
      </c>
      <c r="Q724" s="86">
        <f t="shared" si="212"/>
        <v>17112.37</v>
      </c>
      <c r="R724" s="86">
        <f t="shared" si="213"/>
        <v>0</v>
      </c>
      <c r="S724" s="86">
        <f t="shared" si="214"/>
        <v>0</v>
      </c>
      <c r="T724" s="86">
        <f t="shared" si="215"/>
        <v>0</v>
      </c>
      <c r="U724" s="87">
        <v>17112.37</v>
      </c>
    </row>
    <row r="725" spans="1:21" s="30" customFormat="1" ht="24.6" hidden="1" outlineLevel="1" x14ac:dyDescent="0.55000000000000004">
      <c r="A725" s="27" t="s">
        <v>327</v>
      </c>
      <c r="B725" s="28"/>
      <c r="C725" s="27"/>
      <c r="D725" s="27" t="str">
        <f>"""NAV Direct"",""CRONUS JetCorp USA"",""21"",""1"",""329044"""</f>
        <v>"NAV Direct","CRONUS JetCorp USA","21","1","329044"</v>
      </c>
      <c r="E725" s="31" t="str">
        <f t="shared" si="207"/>
        <v>C100031</v>
      </c>
      <c r="F725" s="31"/>
      <c r="G725" s="31"/>
      <c r="H725" s="31"/>
      <c r="I725" s="56"/>
      <c r="J725" s="56"/>
      <c r="K725" s="82" t="str">
        <f t="shared" si="208"/>
        <v>Invoice</v>
      </c>
      <c r="L725" s="83" t="str">
        <f>"SI_110344"</f>
        <v>SI_110344</v>
      </c>
      <c r="M725" s="84">
        <v>42063</v>
      </c>
      <c r="N725" s="85">
        <f t="shared" si="209"/>
        <v>1749</v>
      </c>
      <c r="O725" s="86">
        <f t="shared" si="210"/>
        <v>18621.060000000001</v>
      </c>
      <c r="P725" s="86">
        <f t="shared" si="211"/>
        <v>0</v>
      </c>
      <c r="Q725" s="86">
        <f t="shared" si="212"/>
        <v>0</v>
      </c>
      <c r="R725" s="86">
        <f t="shared" si="213"/>
        <v>0</v>
      </c>
      <c r="S725" s="86">
        <f t="shared" si="214"/>
        <v>0</v>
      </c>
      <c r="T725" s="86">
        <f t="shared" si="215"/>
        <v>18621.060000000001</v>
      </c>
      <c r="U725" s="87">
        <v>18621.060000000001</v>
      </c>
    </row>
    <row r="726" spans="1:21" s="30" customFormat="1" ht="24.6" hidden="1" outlineLevel="1" x14ac:dyDescent="0.55000000000000004">
      <c r="A726" s="27" t="s">
        <v>327</v>
      </c>
      <c r="B726" s="28"/>
      <c r="C726" s="27"/>
      <c r="D726" s="27" t="str">
        <f>"""NAV Direct"",""CRONUS JetCorp USA"",""21"",""1"",""329100"""</f>
        <v>"NAV Direct","CRONUS JetCorp USA","21","1","329100"</v>
      </c>
      <c r="E726" s="31">
        <f t="shared" si="207"/>
        <v>0</v>
      </c>
      <c r="F726" s="31"/>
      <c r="G726" s="31"/>
      <c r="H726" s="31"/>
      <c r="I726" s="56"/>
      <c r="J726" s="56"/>
      <c r="K726" s="82" t="str">
        <f t="shared" si="208"/>
        <v>Invoice</v>
      </c>
      <c r="L726" s="83" t="str">
        <f>"SI_110346"</f>
        <v>SI_110346</v>
      </c>
      <c r="M726" s="84">
        <v>42094</v>
      </c>
      <c r="N726" s="85">
        <f t="shared" si="209"/>
        <v>1718</v>
      </c>
      <c r="O726" s="86">
        <f t="shared" si="210"/>
        <v>18825.09</v>
      </c>
      <c r="P726" s="86">
        <f t="shared" si="211"/>
        <v>0</v>
      </c>
      <c r="Q726" s="86">
        <f t="shared" si="212"/>
        <v>0</v>
      </c>
      <c r="R726" s="86">
        <f t="shared" si="213"/>
        <v>0</v>
      </c>
      <c r="S726" s="86">
        <f t="shared" si="214"/>
        <v>0</v>
      </c>
      <c r="T726" s="86">
        <f t="shared" si="215"/>
        <v>18825.09</v>
      </c>
      <c r="U726" s="87">
        <v>18825.09</v>
      </c>
    </row>
    <row r="727" spans="1:21" s="30" customFormat="1" ht="24.6" hidden="1" outlineLevel="1" x14ac:dyDescent="0.55000000000000004">
      <c r="A727" s="27" t="s">
        <v>327</v>
      </c>
      <c r="B727" s="28"/>
      <c r="C727" s="27"/>
      <c r="D727" s="27" t="str">
        <f>"""NAV Direct"",""CRONUS JetCorp USA"",""21"",""1"",""329343"""</f>
        <v>"NAV Direct","CRONUS JetCorp USA","21","1","329343"</v>
      </c>
      <c r="E727" s="31" t="str">
        <f t="shared" si="207"/>
        <v>C100031</v>
      </c>
      <c r="F727" s="31"/>
      <c r="G727" s="31"/>
      <c r="H727" s="31"/>
      <c r="I727" s="56"/>
      <c r="J727" s="56"/>
      <c r="K727" s="82" t="str">
        <f t="shared" si="208"/>
        <v>Invoice</v>
      </c>
      <c r="L727" s="83" t="str">
        <f>"SI_110355"</f>
        <v>SI_110355</v>
      </c>
      <c r="M727" s="84">
        <v>42185</v>
      </c>
      <c r="N727" s="85">
        <f t="shared" si="209"/>
        <v>1627</v>
      </c>
      <c r="O727" s="86">
        <f t="shared" si="210"/>
        <v>20157.830000000002</v>
      </c>
      <c r="P727" s="86">
        <f t="shared" si="211"/>
        <v>0</v>
      </c>
      <c r="Q727" s="86">
        <f t="shared" si="212"/>
        <v>0</v>
      </c>
      <c r="R727" s="86">
        <f t="shared" si="213"/>
        <v>0</v>
      </c>
      <c r="S727" s="86">
        <f t="shared" si="214"/>
        <v>0</v>
      </c>
      <c r="T727" s="86">
        <f t="shared" si="215"/>
        <v>20157.830000000002</v>
      </c>
      <c r="U727" s="87">
        <v>20157.830000000002</v>
      </c>
    </row>
    <row r="728" spans="1:21" s="30" customFormat="1" ht="24.6" hidden="1" outlineLevel="1" x14ac:dyDescent="0.55000000000000004">
      <c r="A728" s="27" t="s">
        <v>327</v>
      </c>
      <c r="B728" s="28"/>
      <c r="C728" s="27"/>
      <c r="D728" s="27" t="str">
        <f>"""NAV Direct"",""CRONUS JetCorp USA"",""21"",""1"",""329546"""</f>
        <v>"NAV Direct","CRONUS JetCorp USA","21","1","329546"</v>
      </c>
      <c r="E728" s="31">
        <f t="shared" si="207"/>
        <v>0</v>
      </c>
      <c r="F728" s="31"/>
      <c r="G728" s="31"/>
      <c r="H728" s="31"/>
      <c r="I728" s="56"/>
      <c r="J728" s="56"/>
      <c r="K728" s="82" t="str">
        <f t="shared" si="208"/>
        <v>Invoice</v>
      </c>
      <c r="L728" s="83" t="str">
        <f>"SI_110362"</f>
        <v>SI_110362</v>
      </c>
      <c r="M728" s="84">
        <v>42247</v>
      </c>
      <c r="N728" s="85">
        <f t="shared" si="209"/>
        <v>1565</v>
      </c>
      <c r="O728" s="86">
        <f t="shared" si="210"/>
        <v>19081.310000000001</v>
      </c>
      <c r="P728" s="86">
        <f t="shared" si="211"/>
        <v>0</v>
      </c>
      <c r="Q728" s="86">
        <f t="shared" si="212"/>
        <v>0</v>
      </c>
      <c r="R728" s="86">
        <f t="shared" si="213"/>
        <v>0</v>
      </c>
      <c r="S728" s="86">
        <f t="shared" si="214"/>
        <v>0</v>
      </c>
      <c r="T728" s="86">
        <f t="shared" si="215"/>
        <v>19081.310000000001</v>
      </c>
      <c r="U728" s="87">
        <v>19081.310000000001</v>
      </c>
    </row>
    <row r="729" spans="1:21" s="30" customFormat="1" ht="24.6" hidden="1" outlineLevel="1" x14ac:dyDescent="0.55000000000000004">
      <c r="A729" s="27" t="s">
        <v>327</v>
      </c>
      <c r="B729" s="28"/>
      <c r="C729" s="27"/>
      <c r="D729" s="27" t="str">
        <f>"""NAV Direct"",""CRONUS JetCorp USA"",""21"",""1"",""329663"""</f>
        <v>"NAV Direct","CRONUS JetCorp USA","21","1","329663"</v>
      </c>
      <c r="E729" s="31" t="str">
        <f t="shared" si="207"/>
        <v>C100031</v>
      </c>
      <c r="F729" s="31"/>
      <c r="G729" s="31"/>
      <c r="H729" s="31"/>
      <c r="I729" s="56"/>
      <c r="J729" s="56"/>
      <c r="K729" s="82" t="str">
        <f t="shared" si="208"/>
        <v>Invoice</v>
      </c>
      <c r="L729" s="83" t="str">
        <f>"SI_110366"</f>
        <v>SI_110366</v>
      </c>
      <c r="M729" s="84">
        <v>42277</v>
      </c>
      <c r="N729" s="85">
        <f t="shared" si="209"/>
        <v>1535</v>
      </c>
      <c r="O729" s="86">
        <f t="shared" si="210"/>
        <v>18527.46</v>
      </c>
      <c r="P729" s="86">
        <f t="shared" si="211"/>
        <v>0</v>
      </c>
      <c r="Q729" s="86">
        <f t="shared" si="212"/>
        <v>0</v>
      </c>
      <c r="R729" s="86">
        <f t="shared" si="213"/>
        <v>0</v>
      </c>
      <c r="S729" s="86">
        <f t="shared" si="214"/>
        <v>0</v>
      </c>
      <c r="T729" s="86">
        <f t="shared" si="215"/>
        <v>18527.46</v>
      </c>
      <c r="U729" s="87">
        <v>18527.46</v>
      </c>
    </row>
    <row r="730" spans="1:21" s="30" customFormat="1" ht="24.6" hidden="1" outlineLevel="1" x14ac:dyDescent="0.55000000000000004">
      <c r="A730" s="27" t="s">
        <v>327</v>
      </c>
      <c r="B730" s="28"/>
      <c r="C730" s="27"/>
      <c r="D730" s="27" t="str">
        <f>"""NAV Direct"",""CRONUS JetCorp USA"",""21"",""1"",""329781"""</f>
        <v>"NAV Direct","CRONUS JetCorp USA","21","1","329781"</v>
      </c>
      <c r="E730" s="31">
        <f t="shared" si="207"/>
        <v>0</v>
      </c>
      <c r="F730" s="31"/>
      <c r="G730" s="31"/>
      <c r="H730" s="31"/>
      <c r="I730" s="56"/>
      <c r="J730" s="56"/>
      <c r="K730" s="82" t="str">
        <f t="shared" si="208"/>
        <v>Invoice</v>
      </c>
      <c r="L730" s="83" t="str">
        <f>"SI_110370"</f>
        <v>SI_110370</v>
      </c>
      <c r="M730" s="84">
        <v>42338</v>
      </c>
      <c r="N730" s="85">
        <f t="shared" si="209"/>
        <v>1474</v>
      </c>
      <c r="O730" s="86">
        <f t="shared" si="210"/>
        <v>19605.14</v>
      </c>
      <c r="P730" s="86">
        <f t="shared" si="211"/>
        <v>0</v>
      </c>
      <c r="Q730" s="86">
        <f t="shared" si="212"/>
        <v>0</v>
      </c>
      <c r="R730" s="86">
        <f t="shared" si="213"/>
        <v>0</v>
      </c>
      <c r="S730" s="86">
        <f t="shared" si="214"/>
        <v>0</v>
      </c>
      <c r="T730" s="86">
        <f t="shared" si="215"/>
        <v>19605.14</v>
      </c>
      <c r="U730" s="87">
        <v>19605.14</v>
      </c>
    </row>
    <row r="731" spans="1:21" s="30" customFormat="1" ht="24.6" hidden="1" outlineLevel="1" x14ac:dyDescent="0.55000000000000004">
      <c r="A731" s="27" t="s">
        <v>327</v>
      </c>
      <c r="B731" s="28"/>
      <c r="C731" s="27"/>
      <c r="D731" s="27" t="str">
        <f>"""NAV Direct"",""CRONUS JetCorp USA"",""21"",""1"",""432101"""</f>
        <v>"NAV Direct","CRONUS JetCorp USA","21","1","432101"</v>
      </c>
      <c r="E731" s="31" t="str">
        <f t="shared" si="207"/>
        <v>C100031</v>
      </c>
      <c r="F731" s="31"/>
      <c r="G731" s="31"/>
      <c r="H731" s="31"/>
      <c r="I731" s="56"/>
      <c r="J731" s="56"/>
      <c r="K731" s="82" t="str">
        <f t="shared" ref="K731:K740" si="216">"Credit Memo"</f>
        <v>Credit Memo</v>
      </c>
      <c r="L731" s="83" t="str">
        <f>"SC_100396"</f>
        <v>SC_100396</v>
      </c>
      <c r="M731" s="84">
        <v>42753</v>
      </c>
      <c r="N731" s="85">
        <f t="shared" si="209"/>
        <v>1059</v>
      </c>
      <c r="O731" s="86">
        <f t="shared" si="210"/>
        <v>-202.43</v>
      </c>
      <c r="P731" s="86">
        <f t="shared" si="211"/>
        <v>0</v>
      </c>
      <c r="Q731" s="86">
        <f t="shared" si="212"/>
        <v>0</v>
      </c>
      <c r="R731" s="86">
        <f t="shared" si="213"/>
        <v>0</v>
      </c>
      <c r="S731" s="86">
        <f t="shared" si="214"/>
        <v>0</v>
      </c>
      <c r="T731" s="86">
        <f t="shared" si="215"/>
        <v>-202.43</v>
      </c>
      <c r="U731" s="87">
        <v>-202.43</v>
      </c>
    </row>
    <row r="732" spans="1:21" s="30" customFormat="1" ht="24.6" hidden="1" outlineLevel="1" x14ac:dyDescent="0.55000000000000004">
      <c r="A732" s="27" t="s">
        <v>327</v>
      </c>
      <c r="B732" s="28"/>
      <c r="C732" s="27"/>
      <c r="D732" s="27" t="str">
        <f>"""NAV Direct"",""CRONUS JetCorp USA"",""21"",""1"",""432114"""</f>
        <v>"NAV Direct","CRONUS JetCorp USA","21","1","432114"</v>
      </c>
      <c r="E732" s="31">
        <f t="shared" si="207"/>
        <v>0</v>
      </c>
      <c r="F732" s="31"/>
      <c r="G732" s="31"/>
      <c r="H732" s="31"/>
      <c r="I732" s="56"/>
      <c r="J732" s="56"/>
      <c r="K732" s="82" t="str">
        <f t="shared" si="216"/>
        <v>Credit Memo</v>
      </c>
      <c r="L732" s="83" t="str">
        <f>"SC_100397"</f>
        <v>SC_100397</v>
      </c>
      <c r="M732" s="84">
        <v>42797</v>
      </c>
      <c r="N732" s="85">
        <f t="shared" si="209"/>
        <v>1015</v>
      </c>
      <c r="O732" s="86">
        <f t="shared" si="210"/>
        <v>-197.4</v>
      </c>
      <c r="P732" s="86">
        <f t="shared" si="211"/>
        <v>0</v>
      </c>
      <c r="Q732" s="86">
        <f t="shared" si="212"/>
        <v>0</v>
      </c>
      <c r="R732" s="86">
        <f t="shared" si="213"/>
        <v>0</v>
      </c>
      <c r="S732" s="86">
        <f t="shared" si="214"/>
        <v>0</v>
      </c>
      <c r="T732" s="86">
        <f t="shared" si="215"/>
        <v>-197.4</v>
      </c>
      <c r="U732" s="87">
        <v>-197.4</v>
      </c>
    </row>
    <row r="733" spans="1:21" s="30" customFormat="1" ht="24.6" hidden="1" outlineLevel="1" x14ac:dyDescent="0.55000000000000004">
      <c r="A733" s="27" t="s">
        <v>327</v>
      </c>
      <c r="B733" s="28"/>
      <c r="C733" s="27"/>
      <c r="D733" s="27" t="str">
        <f>"""NAV Direct"",""CRONUS JetCorp USA"",""21"",""1"",""432178"""</f>
        <v>"NAV Direct","CRONUS JetCorp USA","21","1","432178"</v>
      </c>
      <c r="E733" s="31" t="str">
        <f t="shared" si="207"/>
        <v>C100031</v>
      </c>
      <c r="F733" s="31"/>
      <c r="G733" s="31"/>
      <c r="H733" s="31"/>
      <c r="I733" s="56"/>
      <c r="J733" s="56"/>
      <c r="K733" s="82" t="str">
        <f t="shared" si="216"/>
        <v>Credit Memo</v>
      </c>
      <c r="L733" s="83" t="str">
        <f>"SC_100401"</f>
        <v>SC_100401</v>
      </c>
      <c r="M733" s="84">
        <v>42935</v>
      </c>
      <c r="N733" s="85">
        <f t="shared" si="209"/>
        <v>877</v>
      </c>
      <c r="O733" s="86">
        <f t="shared" si="210"/>
        <v>-206.77</v>
      </c>
      <c r="P733" s="86">
        <f t="shared" si="211"/>
        <v>0</v>
      </c>
      <c r="Q733" s="86">
        <f t="shared" si="212"/>
        <v>0</v>
      </c>
      <c r="R733" s="86">
        <f t="shared" si="213"/>
        <v>0</v>
      </c>
      <c r="S733" s="86">
        <f t="shared" si="214"/>
        <v>0</v>
      </c>
      <c r="T733" s="86">
        <f t="shared" si="215"/>
        <v>-206.77</v>
      </c>
      <c r="U733" s="87">
        <v>-206.77</v>
      </c>
    </row>
    <row r="734" spans="1:21" s="30" customFormat="1" ht="24.6" hidden="1" outlineLevel="1" x14ac:dyDescent="0.55000000000000004">
      <c r="A734" s="27" t="s">
        <v>327</v>
      </c>
      <c r="B734" s="28"/>
      <c r="C734" s="27"/>
      <c r="D734" s="27" t="str">
        <f>"""NAV Direct"",""CRONUS JetCorp USA"",""21"",""1"",""432217"""</f>
        <v>"NAV Direct","CRONUS JetCorp USA","21","1","432217"</v>
      </c>
      <c r="E734" s="31">
        <f t="shared" si="207"/>
        <v>0</v>
      </c>
      <c r="F734" s="31"/>
      <c r="G734" s="31"/>
      <c r="H734" s="31"/>
      <c r="I734" s="56"/>
      <c r="J734" s="56"/>
      <c r="K734" s="82" t="str">
        <f t="shared" si="216"/>
        <v>Credit Memo</v>
      </c>
      <c r="L734" s="83" t="str">
        <f>"SC_100404"</f>
        <v>SC_100404</v>
      </c>
      <c r="M734" s="84">
        <v>43018</v>
      </c>
      <c r="N734" s="85">
        <f t="shared" si="209"/>
        <v>794</v>
      </c>
      <c r="O734" s="86">
        <f t="shared" si="210"/>
        <v>-163.16</v>
      </c>
      <c r="P734" s="86">
        <f t="shared" si="211"/>
        <v>0</v>
      </c>
      <c r="Q734" s="86">
        <f t="shared" si="212"/>
        <v>0</v>
      </c>
      <c r="R734" s="86">
        <f t="shared" si="213"/>
        <v>0</v>
      </c>
      <c r="S734" s="86">
        <f t="shared" si="214"/>
        <v>0</v>
      </c>
      <c r="T734" s="86">
        <f t="shared" si="215"/>
        <v>-163.16</v>
      </c>
      <c r="U734" s="87">
        <v>-163.16</v>
      </c>
    </row>
    <row r="735" spans="1:21" s="30" customFormat="1" ht="24.6" hidden="1" outlineLevel="1" x14ac:dyDescent="0.55000000000000004">
      <c r="A735" s="27" t="s">
        <v>327</v>
      </c>
      <c r="B735" s="28"/>
      <c r="C735" s="27"/>
      <c r="D735" s="27" t="str">
        <f>"""NAV Direct"",""CRONUS JetCorp USA"",""21"",""1"",""432304"""</f>
        <v>"NAV Direct","CRONUS JetCorp USA","21","1","432304"</v>
      </c>
      <c r="E735" s="31" t="str">
        <f t="shared" si="207"/>
        <v>C100031</v>
      </c>
      <c r="F735" s="31"/>
      <c r="G735" s="31"/>
      <c r="H735" s="31"/>
      <c r="I735" s="56"/>
      <c r="J735" s="56"/>
      <c r="K735" s="82" t="str">
        <f t="shared" si="216"/>
        <v>Credit Memo</v>
      </c>
      <c r="L735" s="83" t="str">
        <f>"SC_100409"</f>
        <v>SC_100409</v>
      </c>
      <c r="M735" s="84">
        <v>43148</v>
      </c>
      <c r="N735" s="85">
        <f t="shared" si="209"/>
        <v>664</v>
      </c>
      <c r="O735" s="86">
        <f t="shared" si="210"/>
        <v>-153.38999999999999</v>
      </c>
      <c r="P735" s="86">
        <f t="shared" si="211"/>
        <v>0</v>
      </c>
      <c r="Q735" s="86">
        <f t="shared" si="212"/>
        <v>0</v>
      </c>
      <c r="R735" s="86">
        <f t="shared" si="213"/>
        <v>0</v>
      </c>
      <c r="S735" s="86">
        <f t="shared" si="214"/>
        <v>0</v>
      </c>
      <c r="T735" s="86">
        <f t="shared" si="215"/>
        <v>-153.38999999999999</v>
      </c>
      <c r="U735" s="87">
        <v>-153.38999999999999</v>
      </c>
    </row>
    <row r="736" spans="1:21" s="30" customFormat="1" ht="24.6" hidden="1" outlineLevel="1" x14ac:dyDescent="0.55000000000000004">
      <c r="A736" s="27" t="s">
        <v>327</v>
      </c>
      <c r="B736" s="28"/>
      <c r="C736" s="27"/>
      <c r="D736" s="27" t="str">
        <f>"""NAV Direct"",""CRONUS JetCorp USA"",""21"",""1"",""432518"""</f>
        <v>"NAV Direct","CRONUS JetCorp USA","21","1","432518"</v>
      </c>
      <c r="E736" s="31">
        <f t="shared" si="207"/>
        <v>0</v>
      </c>
      <c r="F736" s="31"/>
      <c r="G736" s="31"/>
      <c r="H736" s="31"/>
      <c r="I736" s="56"/>
      <c r="J736" s="56"/>
      <c r="K736" s="82" t="str">
        <f t="shared" si="216"/>
        <v>Credit Memo</v>
      </c>
      <c r="L736" s="83" t="str">
        <f>"SC_100422"</f>
        <v>SC_100422</v>
      </c>
      <c r="M736" s="84">
        <v>43587</v>
      </c>
      <c r="N736" s="85">
        <f t="shared" si="209"/>
        <v>225</v>
      </c>
      <c r="O736" s="86">
        <f t="shared" si="210"/>
        <v>-149.43</v>
      </c>
      <c r="P736" s="86">
        <f t="shared" si="211"/>
        <v>0</v>
      </c>
      <c r="Q736" s="86">
        <f t="shared" si="212"/>
        <v>0</v>
      </c>
      <c r="R736" s="86">
        <f t="shared" si="213"/>
        <v>0</v>
      </c>
      <c r="S736" s="86">
        <f t="shared" si="214"/>
        <v>0</v>
      </c>
      <c r="T736" s="86">
        <f t="shared" si="215"/>
        <v>-149.43</v>
      </c>
      <c r="U736" s="87">
        <v>-149.43</v>
      </c>
    </row>
    <row r="737" spans="1:22" s="30" customFormat="1" ht="24.6" hidden="1" outlineLevel="1" x14ac:dyDescent="0.55000000000000004">
      <c r="A737" s="27" t="s">
        <v>327</v>
      </c>
      <c r="B737" s="28"/>
      <c r="C737" s="27"/>
      <c r="D737" s="27" t="str">
        <f>"""NAV Direct"",""CRONUS JetCorp USA"",""21"",""1"",""432584"""</f>
        <v>"NAV Direct","CRONUS JetCorp USA","21","1","432584"</v>
      </c>
      <c r="E737" s="31" t="str">
        <f t="shared" si="207"/>
        <v>C100031</v>
      </c>
      <c r="F737" s="31"/>
      <c r="G737" s="31"/>
      <c r="H737" s="31"/>
      <c r="I737" s="56"/>
      <c r="J737" s="56"/>
      <c r="K737" s="82" t="str">
        <f t="shared" si="216"/>
        <v>Credit Memo</v>
      </c>
      <c r="L737" s="83" t="str">
        <f>"SC_100426"</f>
        <v>SC_100426</v>
      </c>
      <c r="M737" s="84">
        <v>43743</v>
      </c>
      <c r="N737" s="85">
        <f t="shared" si="209"/>
        <v>69</v>
      </c>
      <c r="O737" s="86">
        <f t="shared" si="210"/>
        <v>-172.49</v>
      </c>
      <c r="P737" s="86">
        <f t="shared" si="211"/>
        <v>0</v>
      </c>
      <c r="Q737" s="86">
        <f t="shared" si="212"/>
        <v>0</v>
      </c>
      <c r="R737" s="86">
        <f t="shared" si="213"/>
        <v>0</v>
      </c>
      <c r="S737" s="86">
        <f t="shared" si="214"/>
        <v>-172.49</v>
      </c>
      <c r="T737" s="86">
        <f t="shared" si="215"/>
        <v>0</v>
      </c>
      <c r="U737" s="87">
        <v>-172.49</v>
      </c>
    </row>
    <row r="738" spans="1:22" s="30" customFormat="1" ht="24.6" hidden="1" outlineLevel="1" x14ac:dyDescent="0.55000000000000004">
      <c r="A738" s="27" t="s">
        <v>327</v>
      </c>
      <c r="B738" s="28"/>
      <c r="C738" s="27"/>
      <c r="D738" s="27" t="str">
        <f>"""NAV Direct"",""CRONUS JetCorp USA"",""21"",""1"",""432663"""</f>
        <v>"NAV Direct","CRONUS JetCorp USA","21","1","432663"</v>
      </c>
      <c r="E738" s="31">
        <f t="shared" si="207"/>
        <v>0</v>
      </c>
      <c r="F738" s="31"/>
      <c r="G738" s="31"/>
      <c r="H738" s="31"/>
      <c r="I738" s="56"/>
      <c r="J738" s="56"/>
      <c r="K738" s="82" t="str">
        <f t="shared" si="216"/>
        <v>Credit Memo</v>
      </c>
      <c r="L738" s="83" t="str">
        <f>"SC_100431"</f>
        <v>SC_100431</v>
      </c>
      <c r="M738" s="84">
        <v>42132</v>
      </c>
      <c r="N738" s="85">
        <f t="shared" si="209"/>
        <v>1680</v>
      </c>
      <c r="O738" s="86">
        <f t="shared" si="210"/>
        <v>-200.76000000000002</v>
      </c>
      <c r="P738" s="86">
        <f t="shared" si="211"/>
        <v>0</v>
      </c>
      <c r="Q738" s="86">
        <f t="shared" si="212"/>
        <v>0</v>
      </c>
      <c r="R738" s="86">
        <f t="shared" si="213"/>
        <v>0</v>
      </c>
      <c r="S738" s="86">
        <f t="shared" si="214"/>
        <v>0</v>
      </c>
      <c r="T738" s="86">
        <f t="shared" si="215"/>
        <v>-200.76000000000002</v>
      </c>
      <c r="U738" s="87">
        <v>-200.76000000000002</v>
      </c>
    </row>
    <row r="739" spans="1:22" s="30" customFormat="1" ht="24.6" hidden="1" outlineLevel="1" x14ac:dyDescent="0.55000000000000004">
      <c r="A739" s="27" t="s">
        <v>327</v>
      </c>
      <c r="B739" s="28"/>
      <c r="C739" s="27"/>
      <c r="D739" s="27" t="str">
        <f>"""NAV Direct"",""CRONUS JetCorp USA"",""21"",""1"",""432678"""</f>
        <v>"NAV Direct","CRONUS JetCorp USA","21","1","432678"</v>
      </c>
      <c r="E739" s="31" t="str">
        <f t="shared" si="207"/>
        <v>C100031</v>
      </c>
      <c r="F739" s="31"/>
      <c r="G739" s="31"/>
      <c r="H739" s="31"/>
      <c r="I739" s="56"/>
      <c r="J739" s="56"/>
      <c r="K739" s="82" t="str">
        <f t="shared" si="216"/>
        <v>Credit Memo</v>
      </c>
      <c r="L739" s="83" t="str">
        <f>"SC_100432"</f>
        <v>SC_100432</v>
      </c>
      <c r="M739" s="84">
        <v>42251</v>
      </c>
      <c r="N739" s="85">
        <f t="shared" si="209"/>
        <v>1561</v>
      </c>
      <c r="O739" s="86">
        <f t="shared" si="210"/>
        <v>-183.33</v>
      </c>
      <c r="P739" s="86">
        <f t="shared" si="211"/>
        <v>0</v>
      </c>
      <c r="Q739" s="86">
        <f t="shared" si="212"/>
        <v>0</v>
      </c>
      <c r="R739" s="86">
        <f t="shared" si="213"/>
        <v>0</v>
      </c>
      <c r="S739" s="86">
        <f t="shared" si="214"/>
        <v>0</v>
      </c>
      <c r="T739" s="86">
        <f t="shared" si="215"/>
        <v>-183.33</v>
      </c>
      <c r="U739" s="87">
        <v>-183.33</v>
      </c>
    </row>
    <row r="740" spans="1:22" s="30" customFormat="1" ht="24.6" hidden="1" outlineLevel="1" x14ac:dyDescent="0.55000000000000004">
      <c r="A740" s="27" t="s">
        <v>327</v>
      </c>
      <c r="B740" s="28"/>
      <c r="C740" s="27"/>
      <c r="D740" s="27" t="str">
        <f>"""NAV Direct"",""CRONUS JetCorp USA"",""21"",""1"",""432708"""</f>
        <v>"NAV Direct","CRONUS JetCorp USA","21","1","432708"</v>
      </c>
      <c r="E740" s="31">
        <f t="shared" si="207"/>
        <v>0</v>
      </c>
      <c r="F740" s="31"/>
      <c r="G740" s="31"/>
      <c r="H740" s="31"/>
      <c r="I740" s="56"/>
      <c r="J740" s="56"/>
      <c r="K740" s="82" t="str">
        <f t="shared" si="216"/>
        <v>Credit Memo</v>
      </c>
      <c r="L740" s="83" t="str">
        <f>"SC_100434"</f>
        <v>SC_100434</v>
      </c>
      <c r="M740" s="84">
        <v>42282</v>
      </c>
      <c r="N740" s="85">
        <f t="shared" si="209"/>
        <v>1530</v>
      </c>
      <c r="O740" s="86">
        <f t="shared" si="210"/>
        <v>-186.65</v>
      </c>
      <c r="P740" s="86">
        <f t="shared" si="211"/>
        <v>0</v>
      </c>
      <c r="Q740" s="86">
        <f t="shared" si="212"/>
        <v>0</v>
      </c>
      <c r="R740" s="86">
        <f t="shared" si="213"/>
        <v>0</v>
      </c>
      <c r="S740" s="86">
        <f t="shared" si="214"/>
        <v>0</v>
      </c>
      <c r="T740" s="86">
        <f t="shared" si="215"/>
        <v>-186.65</v>
      </c>
      <c r="U740" s="87">
        <v>-186.65</v>
      </c>
    </row>
    <row r="741" spans="1:22" s="22" customFormat="1" ht="20.399999999999999" collapsed="1" x14ac:dyDescent="0.45">
      <c r="A741" s="12" t="s">
        <v>327</v>
      </c>
      <c r="B741" s="19"/>
      <c r="C741" s="12"/>
      <c r="D741" s="12"/>
      <c r="E741" s="23"/>
      <c r="F741" s="23"/>
      <c r="G741" s="23"/>
      <c r="H741" s="23"/>
      <c r="I741" s="49"/>
      <c r="J741" s="88"/>
      <c r="K741" s="88"/>
      <c r="L741" s="89"/>
      <c r="M741" s="89"/>
      <c r="N741" s="89"/>
      <c r="O741" s="89"/>
      <c r="P741" s="89"/>
      <c r="Q741" s="90"/>
      <c r="R741" s="90"/>
      <c r="S741" s="91"/>
      <c r="T741" s="92"/>
      <c r="U741" s="92"/>
    </row>
    <row r="742" spans="1:22" s="22" customFormat="1" ht="20.399999999999999" x14ac:dyDescent="0.45">
      <c r="A742" s="12" t="s">
        <v>327</v>
      </c>
      <c r="B742" s="19"/>
      <c r="C742" s="12"/>
      <c r="D742" s="12"/>
      <c r="E742" s="23"/>
      <c r="F742" s="23"/>
      <c r="G742" s="23"/>
      <c r="H742" s="23"/>
      <c r="I742" s="49"/>
      <c r="J742" s="88"/>
      <c r="K742" s="88"/>
      <c r="L742" s="89"/>
      <c r="M742" s="89"/>
      <c r="N742" s="89"/>
      <c r="O742" s="89"/>
      <c r="P742" s="89"/>
      <c r="Q742" s="90"/>
      <c r="R742" s="90"/>
      <c r="S742" s="91"/>
      <c r="T742" s="92"/>
      <c r="U742" s="92"/>
    </row>
    <row r="743" spans="1:22" s="26" customFormat="1" ht="24.6" x14ac:dyDescent="0.55000000000000004">
      <c r="A743" s="27" t="s">
        <v>327</v>
      </c>
      <c r="B743" s="28"/>
      <c r="C743" s="27" t="str">
        <f>"""NAV Direct"",""CRONUS JetCorp USA"",""18"",""1"",""C100032"""</f>
        <v>"NAV Direct","CRONUS JetCorp USA","18","1","C100032"</v>
      </c>
      <c r="D743" s="27"/>
      <c r="E743" s="28" t="str">
        <f>H743</f>
        <v>C100032</v>
      </c>
      <c r="F743" s="28"/>
      <c r="G743" s="28"/>
      <c r="H743" s="28" t="str">
        <f>"C100032"</f>
        <v>C100032</v>
      </c>
      <c r="I743" s="116" t="str">
        <f>"C100032  -  EXPORTLES d.o.o."</f>
        <v>C100032  -  EXPORTLES d.o.o.</v>
      </c>
      <c r="J743" s="117" t="str">
        <f>""</f>
        <v/>
      </c>
      <c r="K743" s="118"/>
      <c r="L743" s="119">
        <f>SUBTOTAL(3,L744:L772)</f>
        <v>25</v>
      </c>
      <c r="M743" s="118"/>
      <c r="N743" s="118"/>
      <c r="O743" s="120">
        <f t="shared" ref="O743:T743" si="217">SUBTOTAL(9,O744:O772)</f>
        <v>240900.32</v>
      </c>
      <c r="P743" s="120">
        <f t="shared" si="217"/>
        <v>-103.48</v>
      </c>
      <c r="Q743" s="120">
        <f t="shared" si="217"/>
        <v>0</v>
      </c>
      <c r="R743" s="120">
        <f t="shared" si="217"/>
        <v>0</v>
      </c>
      <c r="S743" s="120">
        <f t="shared" si="217"/>
        <v>9684.82</v>
      </c>
      <c r="T743" s="120">
        <f t="shared" si="217"/>
        <v>231318.98</v>
      </c>
      <c r="U743" s="81"/>
    </row>
    <row r="744" spans="1:22" s="26" customFormat="1" ht="24.6" x14ac:dyDescent="0.55000000000000004">
      <c r="A744" s="27" t="s">
        <v>327</v>
      </c>
      <c r="B744" s="28"/>
      <c r="C744" s="27" t="str">
        <f>C743</f>
        <v>"NAV Direct","CRONUS JetCorp USA","18","1","C100032"</v>
      </c>
      <c r="D744" s="27"/>
      <c r="E744" s="28" t="str">
        <f>E743</f>
        <v>C100032</v>
      </c>
      <c r="F744" s="28"/>
      <c r="G744" s="28"/>
      <c r="H744" s="28"/>
      <c r="I744" s="121" t="str">
        <f>"Contact: ga. Katja Valjavec"</f>
        <v>Contact: ga. Katja Valjavec</v>
      </c>
      <c r="J744" s="121"/>
      <c r="K744" s="122"/>
      <c r="L744" s="123"/>
      <c r="M744" s="123"/>
      <c r="N744" s="124"/>
      <c r="O744" s="124"/>
      <c r="P744" s="123"/>
      <c r="Q744" s="125"/>
      <c r="R744" s="126"/>
      <c r="S744" s="126"/>
      <c r="T744" s="125"/>
      <c r="U744" s="81"/>
    </row>
    <row r="745" spans="1:22" s="26" customFormat="1" ht="24.6" x14ac:dyDescent="0.55000000000000004">
      <c r="A745" s="27" t="s">
        <v>327</v>
      </c>
      <c r="B745" s="28"/>
      <c r="C745" s="27" t="str">
        <f>C744</f>
        <v>"NAV Direct","CRONUS JetCorp USA","18","1","C100032"</v>
      </c>
      <c r="D745" s="27"/>
      <c r="E745" s="28" t="str">
        <f>E744</f>
        <v>C100032</v>
      </c>
      <c r="F745" s="28"/>
      <c r="G745" s="28"/>
      <c r="H745" s="28"/>
      <c r="I745" s="121" t="str">
        <f>"exportles.doo@cronuscorp.net"</f>
        <v>exportles.doo@cronuscorp.net</v>
      </c>
      <c r="J745" s="121"/>
      <c r="K745" s="122"/>
      <c r="L745" s="124"/>
      <c r="M745" s="124"/>
      <c r="N745" s="124"/>
      <c r="O745" s="124"/>
      <c r="P745" s="123"/>
      <c r="Q745" s="125"/>
      <c r="R745" s="126"/>
      <c r="S745" s="126"/>
      <c r="T745" s="125"/>
      <c r="U745" s="81"/>
    </row>
    <row r="746" spans="1:22" ht="12.75" hidden="1" customHeight="1" outlineLevel="1" x14ac:dyDescent="0.45">
      <c r="A746" s="12" t="s">
        <v>328</v>
      </c>
      <c r="B746" s="19"/>
      <c r="E746" s="19"/>
      <c r="F746" s="19"/>
      <c r="G746" s="19"/>
      <c r="H746" s="19"/>
      <c r="I746" s="61"/>
      <c r="J746" s="61"/>
      <c r="K746" s="61"/>
      <c r="L746" s="61"/>
      <c r="M746" s="61"/>
      <c r="N746" s="61"/>
      <c r="O746" s="61"/>
      <c r="P746" s="61"/>
      <c r="Q746" s="61"/>
      <c r="R746" s="61"/>
      <c r="S746" s="61"/>
      <c r="T746" s="61"/>
      <c r="U746" s="61"/>
      <c r="V746" s="21"/>
    </row>
    <row r="747" spans="1:22" s="30" customFormat="1" ht="24.6" hidden="1" outlineLevel="1" x14ac:dyDescent="0.55000000000000004">
      <c r="A747" s="27" t="s">
        <v>327</v>
      </c>
      <c r="B747" s="28"/>
      <c r="C747" s="27"/>
      <c r="D747" s="27" t="str">
        <f>"""NAV Direct"",""CRONUS JetCorp USA"",""21"",""1"",""38307"""</f>
        <v>"NAV Direct","CRONUS JetCorp USA","21","1","38307"</v>
      </c>
      <c r="E747" s="31" t="str">
        <f t="shared" ref="E747:E771" si="218">E745</f>
        <v>C100032</v>
      </c>
      <c r="F747" s="31"/>
      <c r="G747" s="31"/>
      <c r="H747" s="31"/>
      <c r="I747" s="56"/>
      <c r="J747" s="56"/>
      <c r="K747" s="82" t="str">
        <f t="shared" ref="K747:K769" si="219">"Invoice"</f>
        <v>Invoice</v>
      </c>
      <c r="L747" s="83" t="str">
        <f>"SI_104783"</f>
        <v>SI_104783</v>
      </c>
      <c r="M747" s="84">
        <v>42128</v>
      </c>
      <c r="N747" s="85">
        <f t="shared" ref="N747:N771" si="220">StartDate-$M747+1</f>
        <v>1684</v>
      </c>
      <c r="O747" s="86">
        <f t="shared" ref="O747:O771" si="221">SUM(P747:T747)</f>
        <v>10111.289999999999</v>
      </c>
      <c r="P747" s="86">
        <f t="shared" ref="P747:P771" si="222">IF($M747&gt;=$P$18,U747,0)</f>
        <v>0</v>
      </c>
      <c r="Q747" s="86">
        <f t="shared" ref="Q747:Q771" si="223">IF(AND($M747&gt;=$Q$16,$M747&lt;=$Q$18),U747,0)</f>
        <v>0</v>
      </c>
      <c r="R747" s="86">
        <f t="shared" ref="R747:R771" si="224">IF(AND($M747&gt;=$R$16,$M747&lt;=$R$18),U747,0)</f>
        <v>0</v>
      </c>
      <c r="S747" s="86">
        <f t="shared" ref="S747:S771" si="225">IF(AND($M747&gt;=$S$16,$M747&lt;=$S$18),U747,0)</f>
        <v>0</v>
      </c>
      <c r="T747" s="86">
        <f t="shared" ref="T747:T771" si="226">IF($M747&lt;=$T$18,U747,0)</f>
        <v>10111.289999999999</v>
      </c>
      <c r="U747" s="87">
        <v>10111.289999999999</v>
      </c>
    </row>
    <row r="748" spans="1:22" s="30" customFormat="1" ht="24.6" hidden="1" outlineLevel="1" x14ac:dyDescent="0.55000000000000004">
      <c r="A748" s="27" t="s">
        <v>327</v>
      </c>
      <c r="B748" s="28"/>
      <c r="C748" s="27"/>
      <c r="D748" s="27" t="str">
        <f>"""NAV Direct"",""CRONUS JetCorp USA"",""21"",""1"",""38359"""</f>
        <v>"NAV Direct","CRONUS JetCorp USA","21","1","38359"</v>
      </c>
      <c r="E748" s="31">
        <f t="shared" si="218"/>
        <v>0</v>
      </c>
      <c r="F748" s="31"/>
      <c r="G748" s="31"/>
      <c r="H748" s="31"/>
      <c r="I748" s="56"/>
      <c r="J748" s="56"/>
      <c r="K748" s="82" t="str">
        <f t="shared" si="219"/>
        <v>Invoice</v>
      </c>
      <c r="L748" s="83" t="str">
        <f>"SI_104785"</f>
        <v>SI_104785</v>
      </c>
      <c r="M748" s="84">
        <v>42149</v>
      </c>
      <c r="N748" s="85">
        <f t="shared" si="220"/>
        <v>1663</v>
      </c>
      <c r="O748" s="86">
        <f t="shared" si="221"/>
        <v>10012.530000000001</v>
      </c>
      <c r="P748" s="86">
        <f t="shared" si="222"/>
        <v>0</v>
      </c>
      <c r="Q748" s="86">
        <f t="shared" si="223"/>
        <v>0</v>
      </c>
      <c r="R748" s="86">
        <f t="shared" si="224"/>
        <v>0</v>
      </c>
      <c r="S748" s="86">
        <f t="shared" si="225"/>
        <v>0</v>
      </c>
      <c r="T748" s="86">
        <f t="shared" si="226"/>
        <v>10012.530000000001</v>
      </c>
      <c r="U748" s="87">
        <v>10012.530000000001</v>
      </c>
    </row>
    <row r="749" spans="1:22" s="30" customFormat="1" ht="24.6" hidden="1" outlineLevel="1" x14ac:dyDescent="0.55000000000000004">
      <c r="A749" s="27" t="s">
        <v>327</v>
      </c>
      <c r="B749" s="28"/>
      <c r="C749" s="27"/>
      <c r="D749" s="27" t="str">
        <f>"""NAV Direct"",""CRONUS JetCorp USA"",""21"",""1"",""38430"""</f>
        <v>"NAV Direct","CRONUS JetCorp USA","21","1","38430"</v>
      </c>
      <c r="E749" s="31" t="str">
        <f t="shared" si="218"/>
        <v>C100032</v>
      </c>
      <c r="F749" s="31"/>
      <c r="G749" s="31"/>
      <c r="H749" s="31"/>
      <c r="I749" s="56"/>
      <c r="J749" s="56"/>
      <c r="K749" s="82" t="str">
        <f t="shared" si="219"/>
        <v>Invoice</v>
      </c>
      <c r="L749" s="83" t="str">
        <f>"SI_104788"</f>
        <v>SI_104788</v>
      </c>
      <c r="M749" s="84">
        <v>42187</v>
      </c>
      <c r="N749" s="85">
        <f t="shared" si="220"/>
        <v>1625</v>
      </c>
      <c r="O749" s="86">
        <f t="shared" si="221"/>
        <v>10042.94</v>
      </c>
      <c r="P749" s="86">
        <f t="shared" si="222"/>
        <v>0</v>
      </c>
      <c r="Q749" s="86">
        <f t="shared" si="223"/>
        <v>0</v>
      </c>
      <c r="R749" s="86">
        <f t="shared" si="224"/>
        <v>0</v>
      </c>
      <c r="S749" s="86">
        <f t="shared" si="225"/>
        <v>0</v>
      </c>
      <c r="T749" s="86">
        <f t="shared" si="226"/>
        <v>10042.94</v>
      </c>
      <c r="U749" s="87">
        <v>10042.94</v>
      </c>
    </row>
    <row r="750" spans="1:22" s="30" customFormat="1" ht="24.6" hidden="1" outlineLevel="1" x14ac:dyDescent="0.55000000000000004">
      <c r="A750" s="27" t="s">
        <v>327</v>
      </c>
      <c r="B750" s="28"/>
      <c r="C750" s="27"/>
      <c r="D750" s="27" t="str">
        <f>"""NAV Direct"",""CRONUS JetCorp USA"",""21"",""1"",""38685"""</f>
        <v>"NAV Direct","CRONUS JetCorp USA","21","1","38685"</v>
      </c>
      <c r="E750" s="31">
        <f t="shared" si="218"/>
        <v>0</v>
      </c>
      <c r="F750" s="31"/>
      <c r="G750" s="31"/>
      <c r="H750" s="31"/>
      <c r="I750" s="56"/>
      <c r="J750" s="56"/>
      <c r="K750" s="82" t="str">
        <f t="shared" si="219"/>
        <v>Invoice</v>
      </c>
      <c r="L750" s="83" t="str">
        <f>"SI_104799"</f>
        <v>SI_104799</v>
      </c>
      <c r="M750" s="84">
        <v>42295</v>
      </c>
      <c r="N750" s="85">
        <f t="shared" si="220"/>
        <v>1517</v>
      </c>
      <c r="O750" s="86">
        <f t="shared" si="221"/>
        <v>9258.42</v>
      </c>
      <c r="P750" s="86">
        <f t="shared" si="222"/>
        <v>0</v>
      </c>
      <c r="Q750" s="86">
        <f t="shared" si="223"/>
        <v>0</v>
      </c>
      <c r="R750" s="86">
        <f t="shared" si="224"/>
        <v>0</v>
      </c>
      <c r="S750" s="86">
        <f t="shared" si="225"/>
        <v>0</v>
      </c>
      <c r="T750" s="86">
        <f t="shared" si="226"/>
        <v>9258.42</v>
      </c>
      <c r="U750" s="87">
        <v>9258.42</v>
      </c>
    </row>
    <row r="751" spans="1:22" s="30" customFormat="1" ht="24.6" hidden="1" outlineLevel="1" x14ac:dyDescent="0.55000000000000004">
      <c r="A751" s="27" t="s">
        <v>327</v>
      </c>
      <c r="B751" s="28"/>
      <c r="C751" s="27"/>
      <c r="D751" s="27" t="str">
        <f>"""NAV Direct"",""CRONUS JetCorp USA"",""21"",""1"",""38702"""</f>
        <v>"NAV Direct","CRONUS JetCorp USA","21","1","38702"</v>
      </c>
      <c r="E751" s="31" t="str">
        <f t="shared" si="218"/>
        <v>C100032</v>
      </c>
      <c r="F751" s="31"/>
      <c r="G751" s="31"/>
      <c r="H751" s="31"/>
      <c r="I751" s="56"/>
      <c r="J751" s="56"/>
      <c r="K751" s="82" t="str">
        <f t="shared" si="219"/>
        <v>Invoice</v>
      </c>
      <c r="L751" s="83" t="str">
        <f>"SI_104800"</f>
        <v>SI_104800</v>
      </c>
      <c r="M751" s="84">
        <v>42298</v>
      </c>
      <c r="N751" s="85">
        <f t="shared" si="220"/>
        <v>1514</v>
      </c>
      <c r="O751" s="86">
        <f t="shared" si="221"/>
        <v>9069.02</v>
      </c>
      <c r="P751" s="86">
        <f t="shared" si="222"/>
        <v>0</v>
      </c>
      <c r="Q751" s="86">
        <f t="shared" si="223"/>
        <v>0</v>
      </c>
      <c r="R751" s="86">
        <f t="shared" si="224"/>
        <v>0</v>
      </c>
      <c r="S751" s="86">
        <f t="shared" si="225"/>
        <v>0</v>
      </c>
      <c r="T751" s="86">
        <f t="shared" si="226"/>
        <v>9069.02</v>
      </c>
      <c r="U751" s="87">
        <v>9069.02</v>
      </c>
    </row>
    <row r="752" spans="1:22" s="30" customFormat="1" ht="24.6" hidden="1" outlineLevel="1" x14ac:dyDescent="0.55000000000000004">
      <c r="A752" s="27" t="s">
        <v>327</v>
      </c>
      <c r="B752" s="28"/>
      <c r="C752" s="27"/>
      <c r="D752" s="27" t="str">
        <f>"""NAV Direct"",""CRONUS JetCorp USA"",""21"",""1"",""330017"""</f>
        <v>"NAV Direct","CRONUS JetCorp USA","21","1","330017"</v>
      </c>
      <c r="E752" s="31">
        <f t="shared" si="218"/>
        <v>0</v>
      </c>
      <c r="F752" s="31"/>
      <c r="G752" s="31"/>
      <c r="H752" s="31"/>
      <c r="I752" s="56"/>
      <c r="J752" s="56"/>
      <c r="K752" s="82" t="str">
        <f t="shared" si="219"/>
        <v>Invoice</v>
      </c>
      <c r="L752" s="83" t="str">
        <f>"SI_110379"</f>
        <v>SI_110379</v>
      </c>
      <c r="M752" s="84">
        <v>42466</v>
      </c>
      <c r="N752" s="85">
        <f t="shared" si="220"/>
        <v>1346</v>
      </c>
      <c r="O752" s="86">
        <f t="shared" si="221"/>
        <v>13704.99</v>
      </c>
      <c r="P752" s="86">
        <f t="shared" si="222"/>
        <v>0</v>
      </c>
      <c r="Q752" s="86">
        <f t="shared" si="223"/>
        <v>0</v>
      </c>
      <c r="R752" s="86">
        <f t="shared" si="224"/>
        <v>0</v>
      </c>
      <c r="S752" s="86">
        <f t="shared" si="225"/>
        <v>0</v>
      </c>
      <c r="T752" s="86">
        <f t="shared" si="226"/>
        <v>13704.99</v>
      </c>
      <c r="U752" s="87">
        <v>13704.99</v>
      </c>
    </row>
    <row r="753" spans="1:21" s="30" customFormat="1" ht="24.6" hidden="1" outlineLevel="1" x14ac:dyDescent="0.55000000000000004">
      <c r="A753" s="27" t="s">
        <v>327</v>
      </c>
      <c r="B753" s="28"/>
      <c r="C753" s="27"/>
      <c r="D753" s="27" t="str">
        <f>"""NAV Direct"",""CRONUS JetCorp USA"",""21"",""1"",""330038"""</f>
        <v>"NAV Direct","CRONUS JetCorp USA","21","1","330038"</v>
      </c>
      <c r="E753" s="31" t="str">
        <f t="shared" si="218"/>
        <v>C100032</v>
      </c>
      <c r="F753" s="31"/>
      <c r="G753" s="31"/>
      <c r="H753" s="31"/>
      <c r="I753" s="56"/>
      <c r="J753" s="56"/>
      <c r="K753" s="82" t="str">
        <f t="shared" si="219"/>
        <v>Invoice</v>
      </c>
      <c r="L753" s="83" t="str">
        <f>"SI_110380"</f>
        <v>SI_110380</v>
      </c>
      <c r="M753" s="84">
        <v>42471</v>
      </c>
      <c r="N753" s="85">
        <f t="shared" si="220"/>
        <v>1341</v>
      </c>
      <c r="O753" s="86">
        <f t="shared" si="221"/>
        <v>12725.69</v>
      </c>
      <c r="P753" s="86">
        <f t="shared" si="222"/>
        <v>0</v>
      </c>
      <c r="Q753" s="86">
        <f t="shared" si="223"/>
        <v>0</v>
      </c>
      <c r="R753" s="86">
        <f t="shared" si="224"/>
        <v>0</v>
      </c>
      <c r="S753" s="86">
        <f t="shared" si="225"/>
        <v>0</v>
      </c>
      <c r="T753" s="86">
        <f t="shared" si="226"/>
        <v>12725.69</v>
      </c>
      <c r="U753" s="87">
        <v>12725.69</v>
      </c>
    </row>
    <row r="754" spans="1:21" s="30" customFormat="1" ht="24.6" hidden="1" outlineLevel="1" x14ac:dyDescent="0.55000000000000004">
      <c r="A754" s="27" t="s">
        <v>327</v>
      </c>
      <c r="B754" s="28"/>
      <c r="C754" s="27"/>
      <c r="D754" s="27" t="str">
        <f>"""NAV Direct"",""CRONUS JetCorp USA"",""21"",""1"",""330258"""</f>
        <v>"NAV Direct","CRONUS JetCorp USA","21","1","330258"</v>
      </c>
      <c r="E754" s="31">
        <f t="shared" si="218"/>
        <v>0</v>
      </c>
      <c r="F754" s="31"/>
      <c r="G754" s="31"/>
      <c r="H754" s="31"/>
      <c r="I754" s="56"/>
      <c r="J754" s="56"/>
      <c r="K754" s="82" t="str">
        <f t="shared" si="219"/>
        <v>Invoice</v>
      </c>
      <c r="L754" s="83" t="str">
        <f>"SI_110388"</f>
        <v>SI_110388</v>
      </c>
      <c r="M754" s="84">
        <v>42624</v>
      </c>
      <c r="N754" s="85">
        <f t="shared" si="220"/>
        <v>1188</v>
      </c>
      <c r="O754" s="86">
        <f t="shared" si="221"/>
        <v>13030.490000000002</v>
      </c>
      <c r="P754" s="86">
        <f t="shared" si="222"/>
        <v>0</v>
      </c>
      <c r="Q754" s="86">
        <f t="shared" si="223"/>
        <v>0</v>
      </c>
      <c r="R754" s="86">
        <f t="shared" si="224"/>
        <v>0</v>
      </c>
      <c r="S754" s="86">
        <f t="shared" si="225"/>
        <v>0</v>
      </c>
      <c r="T754" s="86">
        <f t="shared" si="226"/>
        <v>13030.490000000002</v>
      </c>
      <c r="U754" s="87">
        <v>13030.490000000002</v>
      </c>
    </row>
    <row r="755" spans="1:21" s="30" customFormat="1" ht="24.6" hidden="1" outlineLevel="1" x14ac:dyDescent="0.55000000000000004">
      <c r="A755" s="27" t="s">
        <v>327</v>
      </c>
      <c r="B755" s="28"/>
      <c r="C755" s="27"/>
      <c r="D755" s="27" t="str">
        <f>"""NAV Direct"",""CRONUS JetCorp USA"",""21"",""1"",""330308"""</f>
        <v>"NAV Direct","CRONUS JetCorp USA","21","1","330308"</v>
      </c>
      <c r="E755" s="31" t="str">
        <f t="shared" si="218"/>
        <v>C100032</v>
      </c>
      <c r="F755" s="31"/>
      <c r="G755" s="31"/>
      <c r="H755" s="31"/>
      <c r="I755" s="56"/>
      <c r="J755" s="56"/>
      <c r="K755" s="82" t="str">
        <f t="shared" si="219"/>
        <v>Invoice</v>
      </c>
      <c r="L755" s="83" t="str">
        <f>"SI_110390"</f>
        <v>SI_110390</v>
      </c>
      <c r="M755" s="84">
        <v>42644</v>
      </c>
      <c r="N755" s="85">
        <f t="shared" si="220"/>
        <v>1168</v>
      </c>
      <c r="O755" s="86">
        <f t="shared" si="221"/>
        <v>13854.339999999998</v>
      </c>
      <c r="P755" s="86">
        <f t="shared" si="222"/>
        <v>0</v>
      </c>
      <c r="Q755" s="86">
        <f t="shared" si="223"/>
        <v>0</v>
      </c>
      <c r="R755" s="86">
        <f t="shared" si="224"/>
        <v>0</v>
      </c>
      <c r="S755" s="86">
        <f t="shared" si="225"/>
        <v>0</v>
      </c>
      <c r="T755" s="86">
        <f t="shared" si="226"/>
        <v>13854.339999999998</v>
      </c>
      <c r="U755" s="87">
        <v>13854.339999999998</v>
      </c>
    </row>
    <row r="756" spans="1:21" s="30" customFormat="1" ht="24.6" hidden="1" outlineLevel="1" x14ac:dyDescent="0.55000000000000004">
      <c r="A756" s="27" t="s">
        <v>327</v>
      </c>
      <c r="B756" s="28"/>
      <c r="C756" s="27"/>
      <c r="D756" s="27" t="str">
        <f>"""NAV Direct"",""CRONUS JetCorp USA"",""21"",""1"",""330503"""</f>
        <v>"NAV Direct","CRONUS JetCorp USA","21","1","330503"</v>
      </c>
      <c r="E756" s="31">
        <f t="shared" si="218"/>
        <v>0</v>
      </c>
      <c r="F756" s="31"/>
      <c r="G756" s="31"/>
      <c r="H756" s="31"/>
      <c r="I756" s="56"/>
      <c r="J756" s="56"/>
      <c r="K756" s="82" t="str">
        <f t="shared" si="219"/>
        <v>Invoice</v>
      </c>
      <c r="L756" s="83" t="str">
        <f>"SI_110397"</f>
        <v>SI_110397</v>
      </c>
      <c r="M756" s="84">
        <v>42826</v>
      </c>
      <c r="N756" s="85">
        <f t="shared" si="220"/>
        <v>986</v>
      </c>
      <c r="O756" s="86">
        <f t="shared" si="221"/>
        <v>14003.050000000001</v>
      </c>
      <c r="P756" s="86">
        <f t="shared" si="222"/>
        <v>0</v>
      </c>
      <c r="Q756" s="86">
        <f t="shared" si="223"/>
        <v>0</v>
      </c>
      <c r="R756" s="86">
        <f t="shared" si="224"/>
        <v>0</v>
      </c>
      <c r="S756" s="86">
        <f t="shared" si="225"/>
        <v>0</v>
      </c>
      <c r="T756" s="86">
        <f t="shared" si="226"/>
        <v>14003.050000000001</v>
      </c>
      <c r="U756" s="87">
        <v>14003.050000000001</v>
      </c>
    </row>
    <row r="757" spans="1:21" s="30" customFormat="1" ht="24.6" hidden="1" outlineLevel="1" x14ac:dyDescent="0.55000000000000004">
      <c r="A757" s="27" t="s">
        <v>327</v>
      </c>
      <c r="B757" s="28"/>
      <c r="C757" s="27"/>
      <c r="D757" s="27" t="str">
        <f>"""NAV Direct"",""CRONUS JetCorp USA"",""21"",""1"",""330621"""</f>
        <v>"NAV Direct","CRONUS JetCorp USA","21","1","330621"</v>
      </c>
      <c r="E757" s="31" t="str">
        <f t="shared" si="218"/>
        <v>C100032</v>
      </c>
      <c r="F757" s="31"/>
      <c r="G757" s="31"/>
      <c r="H757" s="31"/>
      <c r="I757" s="56"/>
      <c r="J757" s="56"/>
      <c r="K757" s="82" t="str">
        <f t="shared" si="219"/>
        <v>Invoice</v>
      </c>
      <c r="L757" s="83" t="str">
        <f>"SI_110401"</f>
        <v>SI_110401</v>
      </c>
      <c r="M757" s="84">
        <v>42884</v>
      </c>
      <c r="N757" s="85">
        <f t="shared" si="220"/>
        <v>928</v>
      </c>
      <c r="O757" s="86">
        <f t="shared" si="221"/>
        <v>13705.58</v>
      </c>
      <c r="P757" s="86">
        <f t="shared" si="222"/>
        <v>0</v>
      </c>
      <c r="Q757" s="86">
        <f t="shared" si="223"/>
        <v>0</v>
      </c>
      <c r="R757" s="86">
        <f t="shared" si="224"/>
        <v>0</v>
      </c>
      <c r="S757" s="86">
        <f t="shared" si="225"/>
        <v>0</v>
      </c>
      <c r="T757" s="86">
        <f t="shared" si="226"/>
        <v>13705.58</v>
      </c>
      <c r="U757" s="87">
        <v>13705.58</v>
      </c>
    </row>
    <row r="758" spans="1:21" s="30" customFormat="1" ht="24.6" hidden="1" outlineLevel="1" x14ac:dyDescent="0.55000000000000004">
      <c r="A758" s="27" t="s">
        <v>327</v>
      </c>
      <c r="B758" s="28"/>
      <c r="C758" s="27"/>
      <c r="D758" s="27" t="str">
        <f>"""NAV Direct"",""CRONUS JetCorp USA"",""21"",""1"",""330658"""</f>
        <v>"NAV Direct","CRONUS JetCorp USA","21","1","330658"</v>
      </c>
      <c r="E758" s="31">
        <f t="shared" si="218"/>
        <v>0</v>
      </c>
      <c r="F758" s="31"/>
      <c r="G758" s="31"/>
      <c r="H758" s="31"/>
      <c r="I758" s="56"/>
      <c r="J758" s="56"/>
      <c r="K758" s="82" t="str">
        <f t="shared" si="219"/>
        <v>Invoice</v>
      </c>
      <c r="L758" s="83" t="str">
        <f>"SI_110402"</f>
        <v>SI_110402</v>
      </c>
      <c r="M758" s="84">
        <v>42912</v>
      </c>
      <c r="N758" s="85">
        <f t="shared" si="220"/>
        <v>900</v>
      </c>
      <c r="O758" s="86">
        <f t="shared" si="221"/>
        <v>13390.869999999999</v>
      </c>
      <c r="P758" s="86">
        <f t="shared" si="222"/>
        <v>0</v>
      </c>
      <c r="Q758" s="86">
        <f t="shared" si="223"/>
        <v>0</v>
      </c>
      <c r="R758" s="86">
        <f t="shared" si="224"/>
        <v>0</v>
      </c>
      <c r="S758" s="86">
        <f t="shared" si="225"/>
        <v>0</v>
      </c>
      <c r="T758" s="86">
        <f t="shared" si="226"/>
        <v>13390.869999999999</v>
      </c>
      <c r="U758" s="87">
        <v>13390.869999999999</v>
      </c>
    </row>
    <row r="759" spans="1:21" s="30" customFormat="1" ht="24.6" hidden="1" outlineLevel="1" x14ac:dyDescent="0.55000000000000004">
      <c r="A759" s="27" t="s">
        <v>327</v>
      </c>
      <c r="B759" s="28"/>
      <c r="C759" s="27"/>
      <c r="D759" s="27" t="str">
        <f>"""NAV Direct"",""CRONUS JetCorp USA"",""21"",""1"",""330835"""</f>
        <v>"NAV Direct","CRONUS JetCorp USA","21","1","330835"</v>
      </c>
      <c r="E759" s="31" t="str">
        <f t="shared" si="218"/>
        <v>C100032</v>
      </c>
      <c r="F759" s="31"/>
      <c r="G759" s="31"/>
      <c r="H759" s="31"/>
      <c r="I759" s="56"/>
      <c r="J759" s="56"/>
      <c r="K759" s="82" t="str">
        <f t="shared" si="219"/>
        <v>Invoice</v>
      </c>
      <c r="L759" s="83" t="str">
        <f>"SI_110409"</f>
        <v>SI_110409</v>
      </c>
      <c r="M759" s="84">
        <v>43038</v>
      </c>
      <c r="N759" s="85">
        <f t="shared" si="220"/>
        <v>774</v>
      </c>
      <c r="O759" s="86">
        <f t="shared" si="221"/>
        <v>11206.98</v>
      </c>
      <c r="P759" s="86">
        <f t="shared" si="222"/>
        <v>0</v>
      </c>
      <c r="Q759" s="86">
        <f t="shared" si="223"/>
        <v>0</v>
      </c>
      <c r="R759" s="86">
        <f t="shared" si="224"/>
        <v>0</v>
      </c>
      <c r="S759" s="86">
        <f t="shared" si="225"/>
        <v>0</v>
      </c>
      <c r="T759" s="86">
        <f t="shared" si="226"/>
        <v>11206.98</v>
      </c>
      <c r="U759" s="87">
        <v>11206.98</v>
      </c>
    </row>
    <row r="760" spans="1:21" s="30" customFormat="1" ht="24.6" hidden="1" outlineLevel="1" x14ac:dyDescent="0.55000000000000004">
      <c r="A760" s="27" t="s">
        <v>327</v>
      </c>
      <c r="B760" s="28"/>
      <c r="C760" s="27"/>
      <c r="D760" s="27" t="str">
        <f>"""NAV Direct"",""CRONUS JetCorp USA"",""21"",""1"",""330939"""</f>
        <v>"NAV Direct","CRONUS JetCorp USA","21","1","330939"</v>
      </c>
      <c r="E760" s="31">
        <f t="shared" si="218"/>
        <v>0</v>
      </c>
      <c r="F760" s="31"/>
      <c r="G760" s="31"/>
      <c r="H760" s="31"/>
      <c r="I760" s="56"/>
      <c r="J760" s="56"/>
      <c r="K760" s="82" t="str">
        <f t="shared" si="219"/>
        <v>Invoice</v>
      </c>
      <c r="L760" s="83" t="str">
        <f>"SI_110413"</f>
        <v>SI_110413</v>
      </c>
      <c r="M760" s="84">
        <v>43153</v>
      </c>
      <c r="N760" s="85">
        <f t="shared" si="220"/>
        <v>659</v>
      </c>
      <c r="O760" s="86">
        <f t="shared" si="221"/>
        <v>8434.5499999999993</v>
      </c>
      <c r="P760" s="86">
        <f t="shared" si="222"/>
        <v>0</v>
      </c>
      <c r="Q760" s="86">
        <f t="shared" si="223"/>
        <v>0</v>
      </c>
      <c r="R760" s="86">
        <f t="shared" si="224"/>
        <v>0</v>
      </c>
      <c r="S760" s="86">
        <f t="shared" si="225"/>
        <v>0</v>
      </c>
      <c r="T760" s="86">
        <f t="shared" si="226"/>
        <v>8434.5499999999993</v>
      </c>
      <c r="U760" s="87">
        <v>8434.5499999999993</v>
      </c>
    </row>
    <row r="761" spans="1:21" s="30" customFormat="1" ht="24.6" hidden="1" outlineLevel="1" x14ac:dyDescent="0.55000000000000004">
      <c r="A761" s="27" t="s">
        <v>327</v>
      </c>
      <c r="B761" s="28"/>
      <c r="C761" s="27"/>
      <c r="D761" s="27" t="str">
        <f>"""NAV Direct"",""CRONUS JetCorp USA"",""21"",""1"",""330989"""</f>
        <v>"NAV Direct","CRONUS JetCorp USA","21","1","330989"</v>
      </c>
      <c r="E761" s="31" t="str">
        <f t="shared" si="218"/>
        <v>C100032</v>
      </c>
      <c r="F761" s="31"/>
      <c r="G761" s="31"/>
      <c r="H761" s="31"/>
      <c r="I761" s="56"/>
      <c r="J761" s="56"/>
      <c r="K761" s="82" t="str">
        <f t="shared" si="219"/>
        <v>Invoice</v>
      </c>
      <c r="L761" s="83" t="str">
        <f>"SI_110415"</f>
        <v>SI_110415</v>
      </c>
      <c r="M761" s="84">
        <v>43180</v>
      </c>
      <c r="N761" s="85">
        <f t="shared" si="220"/>
        <v>632</v>
      </c>
      <c r="O761" s="86">
        <f t="shared" si="221"/>
        <v>8058.61</v>
      </c>
      <c r="P761" s="86">
        <f t="shared" si="222"/>
        <v>0</v>
      </c>
      <c r="Q761" s="86">
        <f t="shared" si="223"/>
        <v>0</v>
      </c>
      <c r="R761" s="86">
        <f t="shared" si="224"/>
        <v>0</v>
      </c>
      <c r="S761" s="86">
        <f t="shared" si="225"/>
        <v>0</v>
      </c>
      <c r="T761" s="86">
        <f t="shared" si="226"/>
        <v>8058.61</v>
      </c>
      <c r="U761" s="87">
        <v>8058.61</v>
      </c>
    </row>
    <row r="762" spans="1:21" s="30" customFormat="1" ht="24.6" hidden="1" outlineLevel="1" x14ac:dyDescent="0.55000000000000004">
      <c r="A762" s="27" t="s">
        <v>327</v>
      </c>
      <c r="B762" s="28"/>
      <c r="C762" s="27"/>
      <c r="D762" s="27" t="str">
        <f>"""NAV Direct"",""CRONUS JetCorp USA"",""21"",""1"",""331025"""</f>
        <v>"NAV Direct","CRONUS JetCorp USA","21","1","331025"</v>
      </c>
      <c r="E762" s="31">
        <f t="shared" si="218"/>
        <v>0</v>
      </c>
      <c r="F762" s="31"/>
      <c r="G762" s="31"/>
      <c r="H762" s="31"/>
      <c r="I762" s="56"/>
      <c r="J762" s="56"/>
      <c r="K762" s="82" t="str">
        <f t="shared" si="219"/>
        <v>Invoice</v>
      </c>
      <c r="L762" s="83" t="str">
        <f>"SI_110417"</f>
        <v>SI_110417</v>
      </c>
      <c r="M762" s="84">
        <v>43232</v>
      </c>
      <c r="N762" s="85">
        <f t="shared" si="220"/>
        <v>580</v>
      </c>
      <c r="O762" s="86">
        <f t="shared" si="221"/>
        <v>7737.45</v>
      </c>
      <c r="P762" s="86">
        <f t="shared" si="222"/>
        <v>0</v>
      </c>
      <c r="Q762" s="86">
        <f t="shared" si="223"/>
        <v>0</v>
      </c>
      <c r="R762" s="86">
        <f t="shared" si="224"/>
        <v>0</v>
      </c>
      <c r="S762" s="86">
        <f t="shared" si="225"/>
        <v>0</v>
      </c>
      <c r="T762" s="86">
        <f t="shared" si="226"/>
        <v>7737.45</v>
      </c>
      <c r="U762" s="87">
        <v>7737.45</v>
      </c>
    </row>
    <row r="763" spans="1:21" s="30" customFormat="1" ht="24.6" hidden="1" outlineLevel="1" x14ac:dyDescent="0.55000000000000004">
      <c r="A763" s="27" t="s">
        <v>327</v>
      </c>
      <c r="B763" s="28"/>
      <c r="C763" s="27"/>
      <c r="D763" s="27" t="str">
        <f>"""NAV Direct"",""CRONUS JetCorp USA"",""21"",""1"",""331274"""</f>
        <v>"NAV Direct","CRONUS JetCorp USA","21","1","331274"</v>
      </c>
      <c r="E763" s="31" t="str">
        <f t="shared" si="218"/>
        <v>C100032</v>
      </c>
      <c r="F763" s="31"/>
      <c r="G763" s="31"/>
      <c r="H763" s="31"/>
      <c r="I763" s="56"/>
      <c r="J763" s="56"/>
      <c r="K763" s="82" t="str">
        <f t="shared" si="219"/>
        <v>Invoice</v>
      </c>
      <c r="L763" s="83" t="str">
        <f>"SI_110428"</f>
        <v>SI_110428</v>
      </c>
      <c r="M763" s="84">
        <v>43424</v>
      </c>
      <c r="N763" s="85">
        <f t="shared" si="220"/>
        <v>388</v>
      </c>
      <c r="O763" s="86">
        <f t="shared" si="221"/>
        <v>7415.57</v>
      </c>
      <c r="P763" s="86">
        <f t="shared" si="222"/>
        <v>0</v>
      </c>
      <c r="Q763" s="86">
        <f t="shared" si="223"/>
        <v>0</v>
      </c>
      <c r="R763" s="86">
        <f t="shared" si="224"/>
        <v>0</v>
      </c>
      <c r="S763" s="86">
        <f t="shared" si="225"/>
        <v>0</v>
      </c>
      <c r="T763" s="86">
        <f t="shared" si="226"/>
        <v>7415.57</v>
      </c>
      <c r="U763" s="87">
        <v>7415.57</v>
      </c>
    </row>
    <row r="764" spans="1:21" s="30" customFormat="1" ht="24.6" hidden="1" outlineLevel="1" x14ac:dyDescent="0.55000000000000004">
      <c r="A764" s="27" t="s">
        <v>327</v>
      </c>
      <c r="B764" s="28"/>
      <c r="C764" s="27"/>
      <c r="D764" s="27" t="str">
        <f>"""NAV Direct"",""CRONUS JetCorp USA"",""21"",""1"",""331389"""</f>
        <v>"NAV Direct","CRONUS JetCorp USA","21","1","331389"</v>
      </c>
      <c r="E764" s="31">
        <f t="shared" si="218"/>
        <v>0</v>
      </c>
      <c r="F764" s="31"/>
      <c r="G764" s="31"/>
      <c r="H764" s="31"/>
      <c r="I764" s="56"/>
      <c r="J764" s="56"/>
      <c r="K764" s="82" t="str">
        <f t="shared" si="219"/>
        <v>Invoice</v>
      </c>
      <c r="L764" s="83" t="str">
        <f>"SI_110433"</f>
        <v>SI_110433</v>
      </c>
      <c r="M764" s="84">
        <v>43523</v>
      </c>
      <c r="N764" s="85">
        <f t="shared" si="220"/>
        <v>289</v>
      </c>
      <c r="O764" s="86">
        <f t="shared" si="221"/>
        <v>7997.4800000000005</v>
      </c>
      <c r="P764" s="86">
        <f t="shared" si="222"/>
        <v>0</v>
      </c>
      <c r="Q764" s="86">
        <f t="shared" si="223"/>
        <v>0</v>
      </c>
      <c r="R764" s="86">
        <f t="shared" si="224"/>
        <v>0</v>
      </c>
      <c r="S764" s="86">
        <f t="shared" si="225"/>
        <v>0</v>
      </c>
      <c r="T764" s="86">
        <f t="shared" si="226"/>
        <v>7997.4800000000005</v>
      </c>
      <c r="U764" s="87">
        <v>7997.4800000000005</v>
      </c>
    </row>
    <row r="765" spans="1:21" s="30" customFormat="1" ht="24.6" hidden="1" outlineLevel="1" x14ac:dyDescent="0.55000000000000004">
      <c r="A765" s="27" t="s">
        <v>327</v>
      </c>
      <c r="B765" s="28"/>
      <c r="C765" s="27"/>
      <c r="D765" s="27" t="str">
        <f>"""NAV Direct"",""CRONUS JetCorp USA"",""21"",""1"",""331435"""</f>
        <v>"NAV Direct","CRONUS JetCorp USA","21","1","331435"</v>
      </c>
      <c r="E765" s="31" t="str">
        <f t="shared" si="218"/>
        <v>C100032</v>
      </c>
      <c r="F765" s="31"/>
      <c r="G765" s="31"/>
      <c r="H765" s="31"/>
      <c r="I765" s="56"/>
      <c r="J765" s="56"/>
      <c r="K765" s="82" t="str">
        <f t="shared" si="219"/>
        <v>Invoice</v>
      </c>
      <c r="L765" s="83" t="str">
        <f>"SI_110435"</f>
        <v>SI_110435</v>
      </c>
      <c r="M765" s="84">
        <v>43548</v>
      </c>
      <c r="N765" s="85">
        <f t="shared" si="220"/>
        <v>264</v>
      </c>
      <c r="O765" s="86">
        <f t="shared" si="221"/>
        <v>8653.26</v>
      </c>
      <c r="P765" s="86">
        <f t="shared" si="222"/>
        <v>0</v>
      </c>
      <c r="Q765" s="86">
        <f t="shared" si="223"/>
        <v>0</v>
      </c>
      <c r="R765" s="86">
        <f t="shared" si="224"/>
        <v>0</v>
      </c>
      <c r="S765" s="86">
        <f t="shared" si="225"/>
        <v>0</v>
      </c>
      <c r="T765" s="86">
        <f t="shared" si="226"/>
        <v>8653.26</v>
      </c>
      <c r="U765" s="87">
        <v>8653.26</v>
      </c>
    </row>
    <row r="766" spans="1:21" s="30" customFormat="1" ht="24.6" hidden="1" outlineLevel="1" x14ac:dyDescent="0.55000000000000004">
      <c r="A766" s="27" t="s">
        <v>327</v>
      </c>
      <c r="B766" s="28"/>
      <c r="C766" s="27"/>
      <c r="D766" s="27" t="str">
        <f>"""NAV Direct"",""CRONUS JetCorp USA"",""21"",""1"",""331656"""</f>
        <v>"NAV Direct","CRONUS JetCorp USA","21","1","331656"</v>
      </c>
      <c r="E766" s="31">
        <f t="shared" si="218"/>
        <v>0</v>
      </c>
      <c r="F766" s="31"/>
      <c r="G766" s="31"/>
      <c r="H766" s="31"/>
      <c r="I766" s="56"/>
      <c r="J766" s="56"/>
      <c r="K766" s="82" t="str">
        <f t="shared" si="219"/>
        <v>Invoice</v>
      </c>
      <c r="L766" s="83" t="str">
        <f>"SI_110444"</f>
        <v>SI_110444</v>
      </c>
      <c r="M766" s="84">
        <v>43707</v>
      </c>
      <c r="N766" s="85">
        <f t="shared" si="220"/>
        <v>105</v>
      </c>
      <c r="O766" s="86">
        <f t="shared" si="221"/>
        <v>9426.4</v>
      </c>
      <c r="P766" s="86">
        <f t="shared" si="222"/>
        <v>0</v>
      </c>
      <c r="Q766" s="86">
        <f t="shared" si="223"/>
        <v>0</v>
      </c>
      <c r="R766" s="86">
        <f t="shared" si="224"/>
        <v>0</v>
      </c>
      <c r="S766" s="86">
        <f t="shared" si="225"/>
        <v>0</v>
      </c>
      <c r="T766" s="86">
        <f t="shared" si="226"/>
        <v>9426.4</v>
      </c>
      <c r="U766" s="87">
        <v>9426.4</v>
      </c>
    </row>
    <row r="767" spans="1:21" s="30" customFormat="1" ht="24.6" hidden="1" outlineLevel="1" x14ac:dyDescent="0.55000000000000004">
      <c r="A767" s="27" t="s">
        <v>327</v>
      </c>
      <c r="B767" s="28"/>
      <c r="C767" s="27"/>
      <c r="D767" s="27" t="str">
        <f>"""NAV Direct"",""CRONUS JetCorp USA"",""21"",""1"",""331727"""</f>
        <v>"NAV Direct","CRONUS JetCorp USA","21","1","331727"</v>
      </c>
      <c r="E767" s="31" t="str">
        <f t="shared" si="218"/>
        <v>C100032</v>
      </c>
      <c r="F767" s="31"/>
      <c r="G767" s="31"/>
      <c r="H767" s="31"/>
      <c r="I767" s="56"/>
      <c r="J767" s="56"/>
      <c r="K767" s="82" t="str">
        <f t="shared" si="219"/>
        <v>Invoice</v>
      </c>
      <c r="L767" s="83" t="str">
        <f>"SI_110447"</f>
        <v>SI_110447</v>
      </c>
      <c r="M767" s="84">
        <v>43743</v>
      </c>
      <c r="N767" s="85">
        <f t="shared" si="220"/>
        <v>69</v>
      </c>
      <c r="O767" s="86">
        <f t="shared" si="221"/>
        <v>9684.82</v>
      </c>
      <c r="P767" s="86">
        <f t="shared" si="222"/>
        <v>0</v>
      </c>
      <c r="Q767" s="86">
        <f t="shared" si="223"/>
        <v>0</v>
      </c>
      <c r="R767" s="86">
        <f t="shared" si="224"/>
        <v>0</v>
      </c>
      <c r="S767" s="86">
        <f t="shared" si="225"/>
        <v>9684.82</v>
      </c>
      <c r="T767" s="86">
        <f t="shared" si="226"/>
        <v>0</v>
      </c>
      <c r="U767" s="87">
        <v>9684.82</v>
      </c>
    </row>
    <row r="768" spans="1:21" s="30" customFormat="1" ht="24.6" hidden="1" outlineLevel="1" x14ac:dyDescent="0.55000000000000004">
      <c r="A768" s="27" t="s">
        <v>327</v>
      </c>
      <c r="B768" s="28"/>
      <c r="C768" s="27"/>
      <c r="D768" s="27" t="str">
        <f>"""NAV Direct"",""CRONUS JetCorp USA"",""21"",""1"",""332011"""</f>
        <v>"NAV Direct","CRONUS JetCorp USA","21","1","332011"</v>
      </c>
      <c r="E768" s="31">
        <f t="shared" si="218"/>
        <v>0</v>
      </c>
      <c r="F768" s="31"/>
      <c r="G768" s="31"/>
      <c r="H768" s="31"/>
      <c r="I768" s="56"/>
      <c r="J768" s="56"/>
      <c r="K768" s="82" t="str">
        <f t="shared" si="219"/>
        <v>Invoice</v>
      </c>
      <c r="L768" s="83" t="str">
        <f>"SI_110459"</f>
        <v>SI_110459</v>
      </c>
      <c r="M768" s="84">
        <v>42182</v>
      </c>
      <c r="N768" s="85">
        <f t="shared" si="220"/>
        <v>1630</v>
      </c>
      <c r="O768" s="86">
        <f t="shared" si="221"/>
        <v>9940.1099999999988</v>
      </c>
      <c r="P768" s="86">
        <f t="shared" si="222"/>
        <v>0</v>
      </c>
      <c r="Q768" s="86">
        <f t="shared" si="223"/>
        <v>0</v>
      </c>
      <c r="R768" s="86">
        <f t="shared" si="224"/>
        <v>0</v>
      </c>
      <c r="S768" s="86">
        <f t="shared" si="225"/>
        <v>0</v>
      </c>
      <c r="T768" s="86">
        <f t="shared" si="226"/>
        <v>9940.1099999999988</v>
      </c>
      <c r="U768" s="87">
        <v>9940.1099999999988</v>
      </c>
    </row>
    <row r="769" spans="1:22" s="30" customFormat="1" ht="24.6" hidden="1" outlineLevel="1" x14ac:dyDescent="0.55000000000000004">
      <c r="A769" s="27" t="s">
        <v>327</v>
      </c>
      <c r="B769" s="28"/>
      <c r="C769" s="27"/>
      <c r="D769" s="27" t="str">
        <f>"""NAV Direct"",""CRONUS JetCorp USA"",""21"",""1"",""332345"""</f>
        <v>"NAV Direct","CRONUS JetCorp USA","21","1","332345"</v>
      </c>
      <c r="E769" s="31" t="str">
        <f t="shared" si="218"/>
        <v>C100032</v>
      </c>
      <c r="F769" s="31"/>
      <c r="G769" s="31"/>
      <c r="H769" s="31"/>
      <c r="I769" s="56"/>
      <c r="J769" s="56"/>
      <c r="K769" s="82" t="str">
        <f t="shared" si="219"/>
        <v>Invoice</v>
      </c>
      <c r="L769" s="83" t="str">
        <f>"SI_110473"</f>
        <v>SI_110473</v>
      </c>
      <c r="M769" s="84">
        <v>42362</v>
      </c>
      <c r="N769" s="85">
        <f t="shared" si="220"/>
        <v>1450</v>
      </c>
      <c r="O769" s="86">
        <f t="shared" si="221"/>
        <v>9614.0399999999991</v>
      </c>
      <c r="P769" s="86">
        <f t="shared" si="222"/>
        <v>0</v>
      </c>
      <c r="Q769" s="86">
        <f t="shared" si="223"/>
        <v>0</v>
      </c>
      <c r="R769" s="86">
        <f t="shared" si="224"/>
        <v>0</v>
      </c>
      <c r="S769" s="86">
        <f t="shared" si="225"/>
        <v>0</v>
      </c>
      <c r="T769" s="86">
        <f t="shared" si="226"/>
        <v>9614.0399999999991</v>
      </c>
      <c r="U769" s="87">
        <v>9614.0399999999991</v>
      </c>
    </row>
    <row r="770" spans="1:22" s="30" customFormat="1" ht="24.6" hidden="1" outlineLevel="1" x14ac:dyDescent="0.55000000000000004">
      <c r="A770" s="27" t="s">
        <v>327</v>
      </c>
      <c r="B770" s="28"/>
      <c r="C770" s="27"/>
      <c r="D770" s="27" t="str">
        <f>"""NAV Direct"",""CRONUS JetCorp USA"",""21"",""1"",""432967"""</f>
        <v>"NAV Direct","CRONUS JetCorp USA","21","1","432967"</v>
      </c>
      <c r="E770" s="31">
        <f t="shared" si="218"/>
        <v>0</v>
      </c>
      <c r="F770" s="31"/>
      <c r="G770" s="31"/>
      <c r="H770" s="31"/>
      <c r="I770" s="56"/>
      <c r="J770" s="56"/>
      <c r="K770" s="82" t="str">
        <f>"Credit Memo"</f>
        <v>Credit Memo</v>
      </c>
      <c r="L770" s="83" t="str">
        <f>"SC_100453"</f>
        <v>SC_100453</v>
      </c>
      <c r="M770" s="84">
        <v>43364</v>
      </c>
      <c r="N770" s="85">
        <f t="shared" si="220"/>
        <v>448</v>
      </c>
      <c r="O770" s="86">
        <f t="shared" si="221"/>
        <v>-74.680000000000007</v>
      </c>
      <c r="P770" s="86">
        <f t="shared" si="222"/>
        <v>0</v>
      </c>
      <c r="Q770" s="86">
        <f t="shared" si="223"/>
        <v>0</v>
      </c>
      <c r="R770" s="86">
        <f t="shared" si="224"/>
        <v>0</v>
      </c>
      <c r="S770" s="86">
        <f t="shared" si="225"/>
        <v>0</v>
      </c>
      <c r="T770" s="86">
        <f t="shared" si="226"/>
        <v>-74.680000000000007</v>
      </c>
      <c r="U770" s="87">
        <v>-74.680000000000007</v>
      </c>
    </row>
    <row r="771" spans="1:22" s="30" customFormat="1" ht="24.6" hidden="1" outlineLevel="1" x14ac:dyDescent="0.55000000000000004">
      <c r="A771" s="27" t="s">
        <v>327</v>
      </c>
      <c r="B771" s="28"/>
      <c r="C771" s="27"/>
      <c r="D771" s="27" t="str">
        <f>"""NAV Direct"",""CRONUS JetCorp USA"",""21"",""1"",""433034"""</f>
        <v>"NAV Direct","CRONUS JetCorp USA","21","1","433034"</v>
      </c>
      <c r="E771" s="31" t="str">
        <f t="shared" si="218"/>
        <v>C100032</v>
      </c>
      <c r="F771" s="31"/>
      <c r="G771" s="31"/>
      <c r="H771" s="31"/>
      <c r="I771" s="56"/>
      <c r="J771" s="56"/>
      <c r="K771" s="82" t="str">
        <f>"Credit Memo"</f>
        <v>Credit Memo</v>
      </c>
      <c r="L771" s="83" t="str">
        <f>"SC_100458"</f>
        <v>SC_100458</v>
      </c>
      <c r="M771" s="84">
        <v>43824</v>
      </c>
      <c r="N771" s="85">
        <f t="shared" si="220"/>
        <v>-12</v>
      </c>
      <c r="O771" s="86">
        <f t="shared" si="221"/>
        <v>-103.48</v>
      </c>
      <c r="P771" s="86">
        <f t="shared" si="222"/>
        <v>-103.48</v>
      </c>
      <c r="Q771" s="86">
        <f t="shared" si="223"/>
        <v>0</v>
      </c>
      <c r="R771" s="86">
        <f t="shared" si="224"/>
        <v>0</v>
      </c>
      <c r="S771" s="86">
        <f t="shared" si="225"/>
        <v>0</v>
      </c>
      <c r="T771" s="86">
        <f t="shared" si="226"/>
        <v>0</v>
      </c>
      <c r="U771" s="87">
        <v>-103.48</v>
      </c>
    </row>
    <row r="772" spans="1:22" s="22" customFormat="1" ht="20.399999999999999" collapsed="1" x14ac:dyDescent="0.45">
      <c r="A772" s="12" t="s">
        <v>327</v>
      </c>
      <c r="B772" s="19"/>
      <c r="C772" s="12"/>
      <c r="D772" s="12"/>
      <c r="E772" s="23"/>
      <c r="F772" s="23"/>
      <c r="G772" s="23"/>
      <c r="H772" s="23"/>
      <c r="I772" s="49"/>
      <c r="J772" s="88"/>
      <c r="K772" s="88"/>
      <c r="L772" s="89"/>
      <c r="M772" s="89"/>
      <c r="N772" s="89"/>
      <c r="O772" s="89"/>
      <c r="P772" s="89"/>
      <c r="Q772" s="90"/>
      <c r="R772" s="90"/>
      <c r="S772" s="91"/>
      <c r="T772" s="92"/>
      <c r="U772" s="92"/>
    </row>
    <row r="773" spans="1:22" s="22" customFormat="1" ht="20.399999999999999" x14ac:dyDescent="0.45">
      <c r="A773" s="12" t="s">
        <v>327</v>
      </c>
      <c r="B773" s="19"/>
      <c r="C773" s="12"/>
      <c r="D773" s="12"/>
      <c r="E773" s="23"/>
      <c r="F773" s="23"/>
      <c r="G773" s="23"/>
      <c r="H773" s="23"/>
      <c r="I773" s="49"/>
      <c r="J773" s="88"/>
      <c r="K773" s="88"/>
      <c r="L773" s="89"/>
      <c r="M773" s="89"/>
      <c r="N773" s="89"/>
      <c r="O773" s="89"/>
      <c r="P773" s="89"/>
      <c r="Q773" s="90"/>
      <c r="R773" s="90"/>
      <c r="S773" s="91"/>
      <c r="T773" s="92"/>
      <c r="U773" s="92"/>
    </row>
    <row r="774" spans="1:22" s="26" customFormat="1" ht="24.6" x14ac:dyDescent="0.55000000000000004">
      <c r="A774" s="27" t="s">
        <v>327</v>
      </c>
      <c r="B774" s="28"/>
      <c r="C774" s="27" t="str">
        <f>"""NAV Direct"",""CRONUS JetCorp USA"",""18"",""1"",""C100033"""</f>
        <v>"NAV Direct","CRONUS JetCorp USA","18","1","C100033"</v>
      </c>
      <c r="D774" s="27"/>
      <c r="E774" s="28" t="str">
        <f>H774</f>
        <v>C100033</v>
      </c>
      <c r="F774" s="28"/>
      <c r="G774" s="28"/>
      <c r="H774" s="28" t="str">
        <f>"C100033"</f>
        <v>C100033</v>
      </c>
      <c r="I774" s="116" t="str">
        <f>"C100033  -  Fairway Sound"</f>
        <v>C100033  -  Fairway Sound</v>
      </c>
      <c r="J774" s="117" t="str">
        <f>""</f>
        <v/>
      </c>
      <c r="K774" s="118"/>
      <c r="L774" s="119">
        <f>SUBTOTAL(3,L775:L839)</f>
        <v>61</v>
      </c>
      <c r="M774" s="118"/>
      <c r="N774" s="118"/>
      <c r="O774" s="120">
        <f t="shared" ref="O774:T774" si="227">SUBTOTAL(9,O775:O839)</f>
        <v>277774.34999999992</v>
      </c>
      <c r="P774" s="120">
        <f t="shared" si="227"/>
        <v>12078.14</v>
      </c>
      <c r="Q774" s="120">
        <f t="shared" si="227"/>
        <v>0</v>
      </c>
      <c r="R774" s="120">
        <f t="shared" si="227"/>
        <v>0</v>
      </c>
      <c r="S774" s="120">
        <f t="shared" si="227"/>
        <v>5921.5</v>
      </c>
      <c r="T774" s="120">
        <f t="shared" si="227"/>
        <v>259774.71000000008</v>
      </c>
      <c r="U774" s="81"/>
    </row>
    <row r="775" spans="1:22" s="26" customFormat="1" ht="24.6" x14ac:dyDescent="0.55000000000000004">
      <c r="A775" s="27" t="s">
        <v>327</v>
      </c>
      <c r="B775" s="28"/>
      <c r="C775" s="27" t="str">
        <f>C774</f>
        <v>"NAV Direct","CRONUS JetCorp USA","18","1","C100033"</v>
      </c>
      <c r="D775" s="27"/>
      <c r="E775" s="28" t="str">
        <f>E774</f>
        <v>C100033</v>
      </c>
      <c r="F775" s="28"/>
      <c r="G775" s="28"/>
      <c r="H775" s="28"/>
      <c r="I775" s="121" t="str">
        <f>"Contact: Stephanie Brooks"</f>
        <v>Contact: Stephanie Brooks</v>
      </c>
      <c r="J775" s="121"/>
      <c r="K775" s="122"/>
      <c r="L775" s="123"/>
      <c r="M775" s="123"/>
      <c r="N775" s="124"/>
      <c r="O775" s="124"/>
      <c r="P775" s="123"/>
      <c r="Q775" s="125"/>
      <c r="R775" s="126"/>
      <c r="S775" s="126"/>
      <c r="T775" s="125"/>
      <c r="U775" s="81"/>
    </row>
    <row r="776" spans="1:22" s="26" customFormat="1" ht="24.6" x14ac:dyDescent="0.55000000000000004">
      <c r="A776" s="27" t="s">
        <v>327</v>
      </c>
      <c r="B776" s="28"/>
      <c r="C776" s="27" t="str">
        <f>C775</f>
        <v>"NAV Direct","CRONUS JetCorp USA","18","1","C100033"</v>
      </c>
      <c r="D776" s="27"/>
      <c r="E776" s="28" t="str">
        <f>E775</f>
        <v>C100033</v>
      </c>
      <c r="F776" s="28"/>
      <c r="G776" s="28"/>
      <c r="H776" s="28"/>
      <c r="I776" s="121" t="str">
        <f>"Fairway Sound@Cronus.com"</f>
        <v>Fairway Sound@Cronus.com</v>
      </c>
      <c r="J776" s="121"/>
      <c r="K776" s="122"/>
      <c r="L776" s="124"/>
      <c r="M776" s="124"/>
      <c r="N776" s="124"/>
      <c r="O776" s="124"/>
      <c r="P776" s="123"/>
      <c r="Q776" s="125"/>
      <c r="R776" s="126"/>
      <c r="S776" s="126"/>
      <c r="T776" s="125"/>
      <c r="U776" s="81"/>
    </row>
    <row r="777" spans="1:22" ht="12.75" hidden="1" customHeight="1" outlineLevel="1" x14ac:dyDescent="0.45">
      <c r="A777" s="12" t="s">
        <v>328</v>
      </c>
      <c r="B777" s="19"/>
      <c r="E777" s="19"/>
      <c r="F777" s="19"/>
      <c r="G777" s="19"/>
      <c r="H777" s="19"/>
      <c r="I777" s="61"/>
      <c r="J777" s="61"/>
      <c r="K777" s="61"/>
      <c r="L777" s="61"/>
      <c r="M777" s="61"/>
      <c r="N777" s="61"/>
      <c r="O777" s="61"/>
      <c r="P777" s="61"/>
      <c r="Q777" s="61"/>
      <c r="R777" s="61"/>
      <c r="S777" s="61"/>
      <c r="T777" s="61"/>
      <c r="U777" s="61"/>
      <c r="V777" s="21"/>
    </row>
    <row r="778" spans="1:22" s="30" customFormat="1" ht="24.6" hidden="1" outlineLevel="1" x14ac:dyDescent="0.55000000000000004">
      <c r="A778" s="27" t="s">
        <v>327</v>
      </c>
      <c r="B778" s="28"/>
      <c r="C778" s="27"/>
      <c r="D778" s="27" t="str">
        <f>"""NAV Direct"",""CRONUS JetCorp USA"",""21"",""1"",""29429"""</f>
        <v>"NAV Direct","CRONUS JetCorp USA","21","1","29429"</v>
      </c>
      <c r="E778" s="31" t="str">
        <f t="shared" ref="E778:E809" si="228">E776</f>
        <v>C100033</v>
      </c>
      <c r="F778" s="31"/>
      <c r="G778" s="31"/>
      <c r="H778" s="31"/>
      <c r="I778" s="56"/>
      <c r="J778" s="56"/>
      <c r="K778" s="82" t="str">
        <f t="shared" ref="K778:K820" si="229">"Invoice"</f>
        <v>Invoice</v>
      </c>
      <c r="L778" s="83" t="str">
        <f>"SI_104448"</f>
        <v>SI_104448</v>
      </c>
      <c r="M778" s="84">
        <v>42314</v>
      </c>
      <c r="N778" s="85">
        <f t="shared" ref="N778:N809" si="230">StartDate-$M778+1</f>
        <v>1498</v>
      </c>
      <c r="O778" s="86">
        <f t="shared" ref="O778:O809" si="231">SUM(P778:T778)</f>
        <v>6545.7</v>
      </c>
      <c r="P778" s="86">
        <f t="shared" ref="P778:P809" si="232">IF($M778&gt;=$P$18,U778,0)</f>
        <v>0</v>
      </c>
      <c r="Q778" s="86">
        <f t="shared" ref="Q778:Q809" si="233">IF(AND($M778&gt;=$Q$16,$M778&lt;=$Q$18),U778,0)</f>
        <v>0</v>
      </c>
      <c r="R778" s="86">
        <f t="shared" ref="R778:R809" si="234">IF(AND($M778&gt;=$R$16,$M778&lt;=$R$18),U778,0)</f>
        <v>0</v>
      </c>
      <c r="S778" s="86">
        <f t="shared" ref="S778:S809" si="235">IF(AND($M778&gt;=$S$16,$M778&lt;=$S$18),U778,0)</f>
        <v>0</v>
      </c>
      <c r="T778" s="86">
        <f t="shared" ref="T778:T809" si="236">IF($M778&lt;=$T$18,U778,0)</f>
        <v>6545.7</v>
      </c>
      <c r="U778" s="87">
        <v>6545.7</v>
      </c>
    </row>
    <row r="779" spans="1:22" s="30" customFormat="1" ht="24.6" hidden="1" outlineLevel="1" x14ac:dyDescent="0.55000000000000004">
      <c r="A779" s="27" t="s">
        <v>327</v>
      </c>
      <c r="B779" s="28"/>
      <c r="C779" s="27"/>
      <c r="D779" s="27" t="str">
        <f>"""NAV Direct"",""CRONUS JetCorp USA"",""21"",""1"",""29521"""</f>
        <v>"NAV Direct","CRONUS JetCorp USA","21","1","29521"</v>
      </c>
      <c r="E779" s="31">
        <f t="shared" si="228"/>
        <v>0</v>
      </c>
      <c r="F779" s="31"/>
      <c r="G779" s="31"/>
      <c r="H779" s="31"/>
      <c r="I779" s="56"/>
      <c r="J779" s="56"/>
      <c r="K779" s="82" t="str">
        <f t="shared" si="229"/>
        <v>Invoice</v>
      </c>
      <c r="L779" s="83" t="str">
        <f>"SI_104452"</f>
        <v>SI_104452</v>
      </c>
      <c r="M779" s="84">
        <v>42331</v>
      </c>
      <c r="N779" s="85">
        <f t="shared" si="230"/>
        <v>1481</v>
      </c>
      <c r="O779" s="86">
        <f t="shared" si="231"/>
        <v>6545.5499999999993</v>
      </c>
      <c r="P779" s="86">
        <f t="shared" si="232"/>
        <v>0</v>
      </c>
      <c r="Q779" s="86">
        <f t="shared" si="233"/>
        <v>0</v>
      </c>
      <c r="R779" s="86">
        <f t="shared" si="234"/>
        <v>0</v>
      </c>
      <c r="S779" s="86">
        <f t="shared" si="235"/>
        <v>0</v>
      </c>
      <c r="T779" s="86">
        <f t="shared" si="236"/>
        <v>6545.5499999999993</v>
      </c>
      <c r="U779" s="87">
        <v>6545.5499999999993</v>
      </c>
    </row>
    <row r="780" spans="1:22" s="30" customFormat="1" ht="24.6" hidden="1" outlineLevel="1" x14ac:dyDescent="0.55000000000000004">
      <c r="A780" s="27" t="s">
        <v>327</v>
      </c>
      <c r="B780" s="28"/>
      <c r="C780" s="27"/>
      <c r="D780" s="27" t="str">
        <f>"""NAV Direct"",""CRONUS JetCorp USA"",""21"",""1"",""29546"""</f>
        <v>"NAV Direct","CRONUS JetCorp USA","21","1","29546"</v>
      </c>
      <c r="E780" s="31" t="str">
        <f t="shared" si="228"/>
        <v>C100033</v>
      </c>
      <c r="F780" s="31"/>
      <c r="G780" s="31"/>
      <c r="H780" s="31"/>
      <c r="I780" s="56"/>
      <c r="J780" s="56"/>
      <c r="K780" s="82" t="str">
        <f t="shared" si="229"/>
        <v>Invoice</v>
      </c>
      <c r="L780" s="83" t="str">
        <f>"SI_104453"</f>
        <v>SI_104453</v>
      </c>
      <c r="M780" s="84">
        <v>42333</v>
      </c>
      <c r="N780" s="85">
        <f t="shared" si="230"/>
        <v>1479</v>
      </c>
      <c r="O780" s="86">
        <f t="shared" si="231"/>
        <v>6543.93</v>
      </c>
      <c r="P780" s="86">
        <f t="shared" si="232"/>
        <v>0</v>
      </c>
      <c r="Q780" s="86">
        <f t="shared" si="233"/>
        <v>0</v>
      </c>
      <c r="R780" s="86">
        <f t="shared" si="234"/>
        <v>0</v>
      </c>
      <c r="S780" s="86">
        <f t="shared" si="235"/>
        <v>0</v>
      </c>
      <c r="T780" s="86">
        <f t="shared" si="236"/>
        <v>6543.93</v>
      </c>
      <c r="U780" s="87">
        <v>6543.93</v>
      </c>
    </row>
    <row r="781" spans="1:22" s="30" customFormat="1" ht="24.6" hidden="1" outlineLevel="1" x14ac:dyDescent="0.55000000000000004">
      <c r="A781" s="27" t="s">
        <v>327</v>
      </c>
      <c r="B781" s="28"/>
      <c r="C781" s="27"/>
      <c r="D781" s="27" t="str">
        <f>"""NAV Direct"",""CRONUS JetCorp USA"",""21"",""1"",""29692"""</f>
        <v>"NAV Direct","CRONUS JetCorp USA","21","1","29692"</v>
      </c>
      <c r="E781" s="31">
        <f t="shared" si="228"/>
        <v>0</v>
      </c>
      <c r="F781" s="31"/>
      <c r="G781" s="31"/>
      <c r="H781" s="31"/>
      <c r="I781" s="56"/>
      <c r="J781" s="56"/>
      <c r="K781" s="82" t="str">
        <f t="shared" si="229"/>
        <v>Invoice</v>
      </c>
      <c r="L781" s="83" t="str">
        <f>"SI_104459"</f>
        <v>SI_104459</v>
      </c>
      <c r="M781" s="84">
        <v>42360</v>
      </c>
      <c r="N781" s="85">
        <f t="shared" si="230"/>
        <v>1452</v>
      </c>
      <c r="O781" s="86">
        <f t="shared" si="231"/>
        <v>6511.33</v>
      </c>
      <c r="P781" s="86">
        <f t="shared" si="232"/>
        <v>0</v>
      </c>
      <c r="Q781" s="86">
        <f t="shared" si="233"/>
        <v>0</v>
      </c>
      <c r="R781" s="86">
        <f t="shared" si="234"/>
        <v>0</v>
      </c>
      <c r="S781" s="86">
        <f t="shared" si="235"/>
        <v>0</v>
      </c>
      <c r="T781" s="86">
        <f t="shared" si="236"/>
        <v>6511.33</v>
      </c>
      <c r="U781" s="87">
        <v>6511.33</v>
      </c>
    </row>
    <row r="782" spans="1:22" s="30" customFormat="1" ht="24.6" hidden="1" outlineLevel="1" x14ac:dyDescent="0.55000000000000004">
      <c r="A782" s="27" t="s">
        <v>327</v>
      </c>
      <c r="B782" s="28"/>
      <c r="C782" s="27"/>
      <c r="D782" s="27" t="str">
        <f>"""NAV Direct"",""CRONUS JetCorp USA"",""21"",""1"",""29717"""</f>
        <v>"NAV Direct","CRONUS JetCorp USA","21","1","29717"</v>
      </c>
      <c r="E782" s="31" t="str">
        <f t="shared" si="228"/>
        <v>C100033</v>
      </c>
      <c r="F782" s="31"/>
      <c r="G782" s="31"/>
      <c r="H782" s="31"/>
      <c r="I782" s="56"/>
      <c r="J782" s="56"/>
      <c r="K782" s="82" t="str">
        <f t="shared" si="229"/>
        <v>Invoice</v>
      </c>
      <c r="L782" s="83" t="str">
        <f>"SI_104460"</f>
        <v>SI_104460</v>
      </c>
      <c r="M782" s="84">
        <v>42739</v>
      </c>
      <c r="N782" s="85">
        <f t="shared" si="230"/>
        <v>1073</v>
      </c>
      <c r="O782" s="86">
        <f t="shared" si="231"/>
        <v>6760.23</v>
      </c>
      <c r="P782" s="86">
        <f t="shared" si="232"/>
        <v>0</v>
      </c>
      <c r="Q782" s="86">
        <f t="shared" si="233"/>
        <v>0</v>
      </c>
      <c r="R782" s="86">
        <f t="shared" si="234"/>
        <v>0</v>
      </c>
      <c r="S782" s="86">
        <f t="shared" si="235"/>
        <v>0</v>
      </c>
      <c r="T782" s="86">
        <f t="shared" si="236"/>
        <v>6760.23</v>
      </c>
      <c r="U782" s="87">
        <v>6760.23</v>
      </c>
    </row>
    <row r="783" spans="1:22" s="30" customFormat="1" ht="24.6" hidden="1" outlineLevel="1" x14ac:dyDescent="0.55000000000000004">
      <c r="A783" s="27" t="s">
        <v>327</v>
      </c>
      <c r="B783" s="28"/>
      <c r="C783" s="27"/>
      <c r="D783" s="27" t="str">
        <f>"""NAV Direct"",""CRONUS JetCorp USA"",""21"",""1"",""29738"""</f>
        <v>"NAV Direct","CRONUS JetCorp USA","21","1","29738"</v>
      </c>
      <c r="E783" s="31">
        <f t="shared" si="228"/>
        <v>0</v>
      </c>
      <c r="F783" s="31"/>
      <c r="G783" s="31"/>
      <c r="H783" s="31"/>
      <c r="I783" s="56"/>
      <c r="J783" s="56"/>
      <c r="K783" s="82" t="str">
        <f t="shared" si="229"/>
        <v>Invoice</v>
      </c>
      <c r="L783" s="83" t="str">
        <f>"SI_104461"</f>
        <v>SI_104461</v>
      </c>
      <c r="M783" s="84">
        <v>42740</v>
      </c>
      <c r="N783" s="85">
        <f t="shared" si="230"/>
        <v>1072</v>
      </c>
      <c r="O783" s="86">
        <f t="shared" si="231"/>
        <v>6760.0499999999993</v>
      </c>
      <c r="P783" s="86">
        <f t="shared" si="232"/>
        <v>0</v>
      </c>
      <c r="Q783" s="86">
        <f t="shared" si="233"/>
        <v>0</v>
      </c>
      <c r="R783" s="86">
        <f t="shared" si="234"/>
        <v>0</v>
      </c>
      <c r="S783" s="86">
        <f t="shared" si="235"/>
        <v>0</v>
      </c>
      <c r="T783" s="86">
        <f t="shared" si="236"/>
        <v>6760.0499999999993</v>
      </c>
      <c r="U783" s="87">
        <v>6760.0499999999993</v>
      </c>
    </row>
    <row r="784" spans="1:22" s="30" customFormat="1" ht="24.6" hidden="1" outlineLevel="1" x14ac:dyDescent="0.55000000000000004">
      <c r="A784" s="27" t="s">
        <v>327</v>
      </c>
      <c r="B784" s="28"/>
      <c r="C784" s="27"/>
      <c r="D784" s="27" t="str">
        <f>"""NAV Direct"",""CRONUS JetCorp USA"",""21"",""1"",""320620"""</f>
        <v>"NAV Direct","CRONUS JetCorp USA","21","1","320620"</v>
      </c>
      <c r="E784" s="31" t="str">
        <f t="shared" si="228"/>
        <v>C100033</v>
      </c>
      <c r="F784" s="31"/>
      <c r="G784" s="31"/>
      <c r="H784" s="31"/>
      <c r="I784" s="56"/>
      <c r="J784" s="56"/>
      <c r="K784" s="82" t="str">
        <f t="shared" si="229"/>
        <v>Invoice</v>
      </c>
      <c r="L784" s="83" t="str">
        <f>"SI_109996"</f>
        <v>SI_109996</v>
      </c>
      <c r="M784" s="84">
        <v>42656</v>
      </c>
      <c r="N784" s="85">
        <f t="shared" si="230"/>
        <v>1156</v>
      </c>
      <c r="O784" s="86">
        <f t="shared" si="231"/>
        <v>7761</v>
      </c>
      <c r="P784" s="86">
        <f t="shared" si="232"/>
        <v>0</v>
      </c>
      <c r="Q784" s="86">
        <f t="shared" si="233"/>
        <v>0</v>
      </c>
      <c r="R784" s="86">
        <f t="shared" si="234"/>
        <v>0</v>
      </c>
      <c r="S784" s="86">
        <f t="shared" si="235"/>
        <v>0</v>
      </c>
      <c r="T784" s="86">
        <f t="shared" si="236"/>
        <v>7761</v>
      </c>
      <c r="U784" s="87">
        <v>7761</v>
      </c>
    </row>
    <row r="785" spans="1:21" s="30" customFormat="1" ht="24.6" hidden="1" outlineLevel="1" x14ac:dyDescent="0.55000000000000004">
      <c r="A785" s="27" t="s">
        <v>327</v>
      </c>
      <c r="B785" s="28"/>
      <c r="C785" s="27"/>
      <c r="D785" s="27" t="str">
        <f>"""NAV Direct"",""CRONUS JetCorp USA"",""21"",""1"",""320695"""</f>
        <v>"NAV Direct","CRONUS JetCorp USA","21","1","320695"</v>
      </c>
      <c r="E785" s="31">
        <f t="shared" si="228"/>
        <v>0</v>
      </c>
      <c r="F785" s="31"/>
      <c r="G785" s="31"/>
      <c r="H785" s="31"/>
      <c r="I785" s="56"/>
      <c r="J785" s="56"/>
      <c r="K785" s="82" t="str">
        <f t="shared" si="229"/>
        <v>Invoice</v>
      </c>
      <c r="L785" s="83" t="str">
        <f>"SI_109999"</f>
        <v>SI_109999</v>
      </c>
      <c r="M785" s="84">
        <v>42694</v>
      </c>
      <c r="N785" s="85">
        <f t="shared" si="230"/>
        <v>1118</v>
      </c>
      <c r="O785" s="86">
        <f t="shared" si="231"/>
        <v>7870.09</v>
      </c>
      <c r="P785" s="86">
        <f t="shared" si="232"/>
        <v>0</v>
      </c>
      <c r="Q785" s="86">
        <f t="shared" si="233"/>
        <v>0</v>
      </c>
      <c r="R785" s="86">
        <f t="shared" si="234"/>
        <v>0</v>
      </c>
      <c r="S785" s="86">
        <f t="shared" si="235"/>
        <v>0</v>
      </c>
      <c r="T785" s="86">
        <f t="shared" si="236"/>
        <v>7870.09</v>
      </c>
      <c r="U785" s="87">
        <v>7870.09</v>
      </c>
    </row>
    <row r="786" spans="1:21" s="30" customFormat="1" ht="24.6" hidden="1" outlineLevel="1" x14ac:dyDescent="0.55000000000000004">
      <c r="A786" s="27" t="s">
        <v>327</v>
      </c>
      <c r="B786" s="28"/>
      <c r="C786" s="27"/>
      <c r="D786" s="27" t="str">
        <f>"""NAV Direct"",""CRONUS JetCorp USA"",""21"",""1"",""320718"""</f>
        <v>"NAV Direct","CRONUS JetCorp USA","21","1","320718"</v>
      </c>
      <c r="E786" s="31" t="str">
        <f t="shared" si="228"/>
        <v>C100033</v>
      </c>
      <c r="F786" s="31"/>
      <c r="G786" s="31"/>
      <c r="H786" s="31"/>
      <c r="I786" s="56"/>
      <c r="J786" s="56"/>
      <c r="K786" s="82" t="str">
        <f t="shared" si="229"/>
        <v>Invoice</v>
      </c>
      <c r="L786" s="83" t="str">
        <f>"SI_110000"</f>
        <v>SI_110000</v>
      </c>
      <c r="M786" s="84">
        <v>42695</v>
      </c>
      <c r="N786" s="85">
        <f t="shared" si="230"/>
        <v>1117</v>
      </c>
      <c r="O786" s="86">
        <f t="shared" si="231"/>
        <v>7870.1</v>
      </c>
      <c r="P786" s="86">
        <f t="shared" si="232"/>
        <v>0</v>
      </c>
      <c r="Q786" s="86">
        <f t="shared" si="233"/>
        <v>0</v>
      </c>
      <c r="R786" s="86">
        <f t="shared" si="234"/>
        <v>0</v>
      </c>
      <c r="S786" s="86">
        <f t="shared" si="235"/>
        <v>0</v>
      </c>
      <c r="T786" s="86">
        <f t="shared" si="236"/>
        <v>7870.1</v>
      </c>
      <c r="U786" s="87">
        <v>7870.1</v>
      </c>
    </row>
    <row r="787" spans="1:21" s="30" customFormat="1" ht="24.6" hidden="1" outlineLevel="1" x14ac:dyDescent="0.55000000000000004">
      <c r="A787" s="27" t="s">
        <v>327</v>
      </c>
      <c r="B787" s="28"/>
      <c r="C787" s="27"/>
      <c r="D787" s="27" t="str">
        <f>"""NAV Direct"",""CRONUS JetCorp USA"",""21"",""1"",""320785"""</f>
        <v>"NAV Direct","CRONUS JetCorp USA","21","1","320785"</v>
      </c>
      <c r="E787" s="31">
        <f t="shared" si="228"/>
        <v>0</v>
      </c>
      <c r="F787" s="31"/>
      <c r="G787" s="31"/>
      <c r="H787" s="31"/>
      <c r="I787" s="56"/>
      <c r="J787" s="56"/>
      <c r="K787" s="82" t="str">
        <f t="shared" si="229"/>
        <v>Invoice</v>
      </c>
      <c r="L787" s="83" t="str">
        <f>"SI_110003"</f>
        <v>SI_110003</v>
      </c>
      <c r="M787" s="84">
        <v>42712</v>
      </c>
      <c r="N787" s="85">
        <f t="shared" si="230"/>
        <v>1100</v>
      </c>
      <c r="O787" s="86">
        <f t="shared" si="231"/>
        <v>7941.48</v>
      </c>
      <c r="P787" s="86">
        <f t="shared" si="232"/>
        <v>0</v>
      </c>
      <c r="Q787" s="86">
        <f t="shared" si="233"/>
        <v>0</v>
      </c>
      <c r="R787" s="86">
        <f t="shared" si="234"/>
        <v>0</v>
      </c>
      <c r="S787" s="86">
        <f t="shared" si="235"/>
        <v>0</v>
      </c>
      <c r="T787" s="86">
        <f t="shared" si="236"/>
        <v>7941.48</v>
      </c>
      <c r="U787" s="87">
        <v>7941.48</v>
      </c>
    </row>
    <row r="788" spans="1:21" s="30" customFormat="1" ht="24.6" hidden="1" outlineLevel="1" x14ac:dyDescent="0.55000000000000004">
      <c r="A788" s="27" t="s">
        <v>327</v>
      </c>
      <c r="B788" s="28"/>
      <c r="C788" s="27"/>
      <c r="D788" s="27" t="str">
        <f>"""NAV Direct"",""CRONUS JetCorp USA"",""21"",""1"",""320867"""</f>
        <v>"NAV Direct","CRONUS JetCorp USA","21","1","320867"</v>
      </c>
      <c r="E788" s="31" t="str">
        <f t="shared" si="228"/>
        <v>C100033</v>
      </c>
      <c r="F788" s="31"/>
      <c r="G788" s="31"/>
      <c r="H788" s="31"/>
      <c r="I788" s="56"/>
      <c r="J788" s="56"/>
      <c r="K788" s="82" t="str">
        <f t="shared" si="229"/>
        <v>Invoice</v>
      </c>
      <c r="L788" s="83" t="str">
        <f>"SI_110007"</f>
        <v>SI_110007</v>
      </c>
      <c r="M788" s="84">
        <v>42736</v>
      </c>
      <c r="N788" s="85">
        <f t="shared" si="230"/>
        <v>1076</v>
      </c>
      <c r="O788" s="86">
        <f t="shared" si="231"/>
        <v>7892.7699999999995</v>
      </c>
      <c r="P788" s="86">
        <f t="shared" si="232"/>
        <v>0</v>
      </c>
      <c r="Q788" s="86">
        <f t="shared" si="233"/>
        <v>0</v>
      </c>
      <c r="R788" s="86">
        <f t="shared" si="234"/>
        <v>0</v>
      </c>
      <c r="S788" s="86">
        <f t="shared" si="235"/>
        <v>0</v>
      </c>
      <c r="T788" s="86">
        <f t="shared" si="236"/>
        <v>7892.7699999999995</v>
      </c>
      <c r="U788" s="87">
        <v>7892.7699999999995</v>
      </c>
    </row>
    <row r="789" spans="1:21" s="30" customFormat="1" ht="24.6" hidden="1" outlineLevel="1" x14ac:dyDescent="0.55000000000000004">
      <c r="A789" s="27" t="s">
        <v>327</v>
      </c>
      <c r="B789" s="28"/>
      <c r="C789" s="27"/>
      <c r="D789" s="27" t="str">
        <f>"""NAV Direct"",""CRONUS JetCorp USA"",""21"",""1"",""321038"""</f>
        <v>"NAV Direct","CRONUS JetCorp USA","21","1","321038"</v>
      </c>
      <c r="E789" s="31">
        <f t="shared" si="228"/>
        <v>0</v>
      </c>
      <c r="F789" s="31"/>
      <c r="G789" s="31"/>
      <c r="H789" s="31"/>
      <c r="I789" s="56"/>
      <c r="J789" s="56"/>
      <c r="K789" s="82" t="str">
        <f t="shared" si="229"/>
        <v>Invoice</v>
      </c>
      <c r="L789" s="83" t="str">
        <f>"SI_110014"</f>
        <v>SI_110014</v>
      </c>
      <c r="M789" s="84">
        <v>42779</v>
      </c>
      <c r="N789" s="85">
        <f t="shared" si="230"/>
        <v>1033</v>
      </c>
      <c r="O789" s="86">
        <f t="shared" si="231"/>
        <v>7869.53</v>
      </c>
      <c r="P789" s="86">
        <f t="shared" si="232"/>
        <v>0</v>
      </c>
      <c r="Q789" s="86">
        <f t="shared" si="233"/>
        <v>0</v>
      </c>
      <c r="R789" s="86">
        <f t="shared" si="234"/>
        <v>0</v>
      </c>
      <c r="S789" s="86">
        <f t="shared" si="235"/>
        <v>0</v>
      </c>
      <c r="T789" s="86">
        <f t="shared" si="236"/>
        <v>7869.53</v>
      </c>
      <c r="U789" s="87">
        <v>7869.53</v>
      </c>
    </row>
    <row r="790" spans="1:21" s="30" customFormat="1" ht="24.6" hidden="1" outlineLevel="1" x14ac:dyDescent="0.55000000000000004">
      <c r="A790" s="27" t="s">
        <v>327</v>
      </c>
      <c r="B790" s="28"/>
      <c r="C790" s="27"/>
      <c r="D790" s="27" t="str">
        <f>"""NAV Direct"",""CRONUS JetCorp USA"",""21"",""1"",""321061"""</f>
        <v>"NAV Direct","CRONUS JetCorp USA","21","1","321061"</v>
      </c>
      <c r="E790" s="31" t="str">
        <f t="shared" si="228"/>
        <v>C100033</v>
      </c>
      <c r="F790" s="31"/>
      <c r="G790" s="31"/>
      <c r="H790" s="31"/>
      <c r="I790" s="56"/>
      <c r="J790" s="56"/>
      <c r="K790" s="82" t="str">
        <f t="shared" si="229"/>
        <v>Invoice</v>
      </c>
      <c r="L790" s="83" t="str">
        <f>"SI_110015"</f>
        <v>SI_110015</v>
      </c>
      <c r="M790" s="84">
        <v>42785</v>
      </c>
      <c r="N790" s="85">
        <f t="shared" si="230"/>
        <v>1027</v>
      </c>
      <c r="O790" s="86">
        <f t="shared" si="231"/>
        <v>7870.0599999999995</v>
      </c>
      <c r="P790" s="86">
        <f t="shared" si="232"/>
        <v>0</v>
      </c>
      <c r="Q790" s="86">
        <f t="shared" si="233"/>
        <v>0</v>
      </c>
      <c r="R790" s="86">
        <f t="shared" si="234"/>
        <v>0</v>
      </c>
      <c r="S790" s="86">
        <f t="shared" si="235"/>
        <v>0</v>
      </c>
      <c r="T790" s="86">
        <f t="shared" si="236"/>
        <v>7870.0599999999995</v>
      </c>
      <c r="U790" s="87">
        <v>7870.0599999999995</v>
      </c>
    </row>
    <row r="791" spans="1:21" s="30" customFormat="1" ht="24.6" hidden="1" outlineLevel="1" x14ac:dyDescent="0.55000000000000004">
      <c r="A791" s="27" t="s">
        <v>327</v>
      </c>
      <c r="B791" s="28"/>
      <c r="C791" s="27"/>
      <c r="D791" s="27" t="str">
        <f>"""NAV Direct"",""CRONUS JetCorp USA"",""21"",""1"",""321120"""</f>
        <v>"NAV Direct","CRONUS JetCorp USA","21","1","321120"</v>
      </c>
      <c r="E791" s="31">
        <f t="shared" si="228"/>
        <v>0</v>
      </c>
      <c r="F791" s="31"/>
      <c r="G791" s="31"/>
      <c r="H791" s="31"/>
      <c r="I791" s="56"/>
      <c r="J791" s="56"/>
      <c r="K791" s="82" t="str">
        <f t="shared" si="229"/>
        <v>Invoice</v>
      </c>
      <c r="L791" s="83" t="str">
        <f>"SI_110018"</f>
        <v>SI_110018</v>
      </c>
      <c r="M791" s="84">
        <v>42809</v>
      </c>
      <c r="N791" s="85">
        <f t="shared" si="230"/>
        <v>1003</v>
      </c>
      <c r="O791" s="86">
        <f t="shared" si="231"/>
        <v>7790.7000000000007</v>
      </c>
      <c r="P791" s="86">
        <f t="shared" si="232"/>
        <v>0</v>
      </c>
      <c r="Q791" s="86">
        <f t="shared" si="233"/>
        <v>0</v>
      </c>
      <c r="R791" s="86">
        <f t="shared" si="234"/>
        <v>0</v>
      </c>
      <c r="S791" s="86">
        <f t="shared" si="235"/>
        <v>0</v>
      </c>
      <c r="T791" s="86">
        <f t="shared" si="236"/>
        <v>7790.7000000000007</v>
      </c>
      <c r="U791" s="87">
        <v>7790.7000000000007</v>
      </c>
    </row>
    <row r="792" spans="1:21" s="30" customFormat="1" ht="24.6" hidden="1" outlineLevel="1" x14ac:dyDescent="0.55000000000000004">
      <c r="A792" s="27" t="s">
        <v>327</v>
      </c>
      <c r="B792" s="28"/>
      <c r="C792" s="27"/>
      <c r="D792" s="27" t="str">
        <f>"""NAV Direct"",""CRONUS JetCorp USA"",""21"",""1"",""321399"""</f>
        <v>"NAV Direct","CRONUS JetCorp USA","21","1","321399"</v>
      </c>
      <c r="E792" s="31" t="str">
        <f t="shared" si="228"/>
        <v>C100033</v>
      </c>
      <c r="F792" s="31"/>
      <c r="G792" s="31"/>
      <c r="H792" s="31"/>
      <c r="I792" s="56"/>
      <c r="J792" s="56"/>
      <c r="K792" s="82" t="str">
        <f t="shared" si="229"/>
        <v>Invoice</v>
      </c>
      <c r="L792" s="83" t="str">
        <f>"SI_110029"</f>
        <v>SI_110029</v>
      </c>
      <c r="M792" s="84">
        <v>42871</v>
      </c>
      <c r="N792" s="85">
        <f t="shared" si="230"/>
        <v>941</v>
      </c>
      <c r="O792" s="86">
        <f t="shared" si="231"/>
        <v>7698.25</v>
      </c>
      <c r="P792" s="86">
        <f t="shared" si="232"/>
        <v>0</v>
      </c>
      <c r="Q792" s="86">
        <f t="shared" si="233"/>
        <v>0</v>
      </c>
      <c r="R792" s="86">
        <f t="shared" si="234"/>
        <v>0</v>
      </c>
      <c r="S792" s="86">
        <f t="shared" si="235"/>
        <v>0</v>
      </c>
      <c r="T792" s="86">
        <f t="shared" si="236"/>
        <v>7698.25</v>
      </c>
      <c r="U792" s="87">
        <v>7698.25</v>
      </c>
    </row>
    <row r="793" spans="1:21" s="30" customFormat="1" ht="24.6" hidden="1" outlineLevel="1" x14ac:dyDescent="0.55000000000000004">
      <c r="A793" s="27" t="s">
        <v>327</v>
      </c>
      <c r="B793" s="28"/>
      <c r="C793" s="27"/>
      <c r="D793" s="27" t="str">
        <f>"""NAV Direct"",""CRONUS JetCorp USA"",""21"",""1"",""321632"""</f>
        <v>"NAV Direct","CRONUS JetCorp USA","21","1","321632"</v>
      </c>
      <c r="E793" s="31">
        <f t="shared" si="228"/>
        <v>0</v>
      </c>
      <c r="F793" s="31"/>
      <c r="G793" s="31"/>
      <c r="H793" s="31"/>
      <c r="I793" s="56"/>
      <c r="J793" s="56"/>
      <c r="K793" s="82" t="str">
        <f t="shared" si="229"/>
        <v>Invoice</v>
      </c>
      <c r="L793" s="83" t="str">
        <f>"SI_110040"</f>
        <v>SI_110040</v>
      </c>
      <c r="M793" s="84">
        <v>42954</v>
      </c>
      <c r="N793" s="85">
        <f t="shared" si="230"/>
        <v>858</v>
      </c>
      <c r="O793" s="86">
        <f t="shared" si="231"/>
        <v>7527.94</v>
      </c>
      <c r="P793" s="86">
        <f t="shared" si="232"/>
        <v>0</v>
      </c>
      <c r="Q793" s="86">
        <f t="shared" si="233"/>
        <v>0</v>
      </c>
      <c r="R793" s="86">
        <f t="shared" si="234"/>
        <v>0</v>
      </c>
      <c r="S793" s="86">
        <f t="shared" si="235"/>
        <v>0</v>
      </c>
      <c r="T793" s="86">
        <f t="shared" si="236"/>
        <v>7527.94</v>
      </c>
      <c r="U793" s="87">
        <v>7527.94</v>
      </c>
    </row>
    <row r="794" spans="1:21" s="30" customFormat="1" ht="24.6" hidden="1" outlineLevel="1" x14ac:dyDescent="0.55000000000000004">
      <c r="A794" s="27" t="s">
        <v>327</v>
      </c>
      <c r="B794" s="28"/>
      <c r="C794" s="27"/>
      <c r="D794" s="27" t="str">
        <f>"""NAV Direct"",""CRONUS JetCorp USA"",""21"",""1"",""321749"""</f>
        <v>"NAV Direct","CRONUS JetCorp USA","21","1","321749"</v>
      </c>
      <c r="E794" s="31" t="str">
        <f t="shared" si="228"/>
        <v>C100033</v>
      </c>
      <c r="F794" s="31"/>
      <c r="G794" s="31"/>
      <c r="H794" s="31"/>
      <c r="I794" s="56"/>
      <c r="J794" s="56"/>
      <c r="K794" s="82" t="str">
        <f t="shared" si="229"/>
        <v>Invoice</v>
      </c>
      <c r="L794" s="83" t="str">
        <f>"SI_110045"</f>
        <v>SI_110045</v>
      </c>
      <c r="M794" s="84">
        <v>42997</v>
      </c>
      <c r="N794" s="85">
        <f t="shared" si="230"/>
        <v>815</v>
      </c>
      <c r="O794" s="86">
        <f t="shared" si="231"/>
        <v>7626.22</v>
      </c>
      <c r="P794" s="86">
        <f t="shared" si="232"/>
        <v>0</v>
      </c>
      <c r="Q794" s="86">
        <f t="shared" si="233"/>
        <v>0</v>
      </c>
      <c r="R794" s="86">
        <f t="shared" si="234"/>
        <v>0</v>
      </c>
      <c r="S794" s="86">
        <f t="shared" si="235"/>
        <v>0</v>
      </c>
      <c r="T794" s="86">
        <f t="shared" si="236"/>
        <v>7626.22</v>
      </c>
      <c r="U794" s="87">
        <v>7626.22</v>
      </c>
    </row>
    <row r="795" spans="1:21" s="30" customFormat="1" ht="24.6" hidden="1" outlineLevel="1" x14ac:dyDescent="0.55000000000000004">
      <c r="A795" s="27" t="s">
        <v>327</v>
      </c>
      <c r="B795" s="28"/>
      <c r="C795" s="27"/>
      <c r="D795" s="27" t="str">
        <f>"""NAV Direct"",""CRONUS JetCorp USA"",""21"",""1"",""321801"""</f>
        <v>"NAV Direct","CRONUS JetCorp USA","21","1","321801"</v>
      </c>
      <c r="E795" s="31">
        <f t="shared" si="228"/>
        <v>0</v>
      </c>
      <c r="F795" s="31"/>
      <c r="G795" s="31"/>
      <c r="H795" s="31"/>
      <c r="I795" s="56"/>
      <c r="J795" s="56"/>
      <c r="K795" s="82" t="str">
        <f t="shared" si="229"/>
        <v>Invoice</v>
      </c>
      <c r="L795" s="83" t="str">
        <f>"SI_110047"</f>
        <v>SI_110047</v>
      </c>
      <c r="M795" s="84">
        <v>43018</v>
      </c>
      <c r="N795" s="85">
        <f t="shared" si="230"/>
        <v>794</v>
      </c>
      <c r="O795" s="86">
        <f t="shared" si="231"/>
        <v>7404.7300000000005</v>
      </c>
      <c r="P795" s="86">
        <f t="shared" si="232"/>
        <v>0</v>
      </c>
      <c r="Q795" s="86">
        <f t="shared" si="233"/>
        <v>0</v>
      </c>
      <c r="R795" s="86">
        <f t="shared" si="234"/>
        <v>0</v>
      </c>
      <c r="S795" s="86">
        <f t="shared" si="235"/>
        <v>0</v>
      </c>
      <c r="T795" s="86">
        <f t="shared" si="236"/>
        <v>7404.7300000000005</v>
      </c>
      <c r="U795" s="87">
        <v>7404.7300000000005</v>
      </c>
    </row>
    <row r="796" spans="1:21" s="30" customFormat="1" ht="24.6" hidden="1" outlineLevel="1" x14ac:dyDescent="0.55000000000000004">
      <c r="A796" s="27" t="s">
        <v>327</v>
      </c>
      <c r="B796" s="28"/>
      <c r="C796" s="27"/>
      <c r="D796" s="27" t="str">
        <f>"""NAV Direct"",""CRONUS JetCorp USA"",""21"",""1"",""321818"""</f>
        <v>"NAV Direct","CRONUS JetCorp USA","21","1","321818"</v>
      </c>
      <c r="E796" s="31" t="str">
        <f t="shared" si="228"/>
        <v>C100033</v>
      </c>
      <c r="F796" s="31"/>
      <c r="G796" s="31"/>
      <c r="H796" s="31"/>
      <c r="I796" s="56"/>
      <c r="J796" s="56"/>
      <c r="K796" s="82" t="str">
        <f t="shared" si="229"/>
        <v>Invoice</v>
      </c>
      <c r="L796" s="83" t="str">
        <f>"SI_110048"</f>
        <v>SI_110048</v>
      </c>
      <c r="M796" s="84">
        <v>43013</v>
      </c>
      <c r="N796" s="85">
        <f t="shared" si="230"/>
        <v>799</v>
      </c>
      <c r="O796" s="86">
        <f t="shared" si="231"/>
        <v>7405.3099999999995</v>
      </c>
      <c r="P796" s="86">
        <f t="shared" si="232"/>
        <v>0</v>
      </c>
      <c r="Q796" s="86">
        <f t="shared" si="233"/>
        <v>0</v>
      </c>
      <c r="R796" s="86">
        <f t="shared" si="234"/>
        <v>0</v>
      </c>
      <c r="S796" s="86">
        <f t="shared" si="235"/>
        <v>0</v>
      </c>
      <c r="T796" s="86">
        <f t="shared" si="236"/>
        <v>7405.3099999999995</v>
      </c>
      <c r="U796" s="87">
        <v>7405.3099999999995</v>
      </c>
    </row>
    <row r="797" spans="1:21" s="30" customFormat="1" ht="24.6" hidden="1" outlineLevel="1" x14ac:dyDescent="0.55000000000000004">
      <c r="A797" s="27" t="s">
        <v>327</v>
      </c>
      <c r="B797" s="28"/>
      <c r="C797" s="27"/>
      <c r="D797" s="27" t="str">
        <f>"""NAV Direct"",""CRONUS JetCorp USA"",""21"",""1"",""321885"""</f>
        <v>"NAV Direct","CRONUS JetCorp USA","21","1","321885"</v>
      </c>
      <c r="E797" s="31">
        <f t="shared" si="228"/>
        <v>0</v>
      </c>
      <c r="F797" s="31"/>
      <c r="G797" s="31"/>
      <c r="H797" s="31"/>
      <c r="I797" s="56"/>
      <c r="J797" s="56"/>
      <c r="K797" s="82" t="str">
        <f t="shared" si="229"/>
        <v>Invoice</v>
      </c>
      <c r="L797" s="83" t="str">
        <f>"SI_110051"</f>
        <v>SI_110051</v>
      </c>
      <c r="M797" s="84">
        <v>43053</v>
      </c>
      <c r="N797" s="85">
        <f t="shared" si="230"/>
        <v>759</v>
      </c>
      <c r="O797" s="86">
        <f t="shared" si="231"/>
        <v>6982.98</v>
      </c>
      <c r="P797" s="86">
        <f t="shared" si="232"/>
        <v>0</v>
      </c>
      <c r="Q797" s="86">
        <f t="shared" si="233"/>
        <v>0</v>
      </c>
      <c r="R797" s="86">
        <f t="shared" si="234"/>
        <v>0</v>
      </c>
      <c r="S797" s="86">
        <f t="shared" si="235"/>
        <v>0</v>
      </c>
      <c r="T797" s="86">
        <f t="shared" si="236"/>
        <v>6982.98</v>
      </c>
      <c r="U797" s="87">
        <v>6982.98</v>
      </c>
    </row>
    <row r="798" spans="1:21" s="30" customFormat="1" ht="24.6" hidden="1" outlineLevel="1" x14ac:dyDescent="0.55000000000000004">
      <c r="A798" s="27" t="s">
        <v>327</v>
      </c>
      <c r="B798" s="28"/>
      <c r="C798" s="27"/>
      <c r="D798" s="27" t="str">
        <f>"""NAV Direct"",""CRONUS JetCorp USA"",""21"",""1"",""322158"""</f>
        <v>"NAV Direct","CRONUS JetCorp USA","21","1","322158"</v>
      </c>
      <c r="E798" s="31" t="str">
        <f t="shared" si="228"/>
        <v>C100033</v>
      </c>
      <c r="F798" s="31"/>
      <c r="G798" s="31"/>
      <c r="H798" s="31"/>
      <c r="I798" s="56"/>
      <c r="J798" s="56"/>
      <c r="K798" s="82" t="str">
        <f t="shared" si="229"/>
        <v>Invoice</v>
      </c>
      <c r="L798" s="83" t="str">
        <f>"SI_110062"</f>
        <v>SI_110062</v>
      </c>
      <c r="M798" s="84">
        <v>43143</v>
      </c>
      <c r="N798" s="85">
        <f t="shared" si="230"/>
        <v>669</v>
      </c>
      <c r="O798" s="86">
        <f t="shared" si="231"/>
        <v>5961.32</v>
      </c>
      <c r="P798" s="86">
        <f t="shared" si="232"/>
        <v>0</v>
      </c>
      <c r="Q798" s="86">
        <f t="shared" si="233"/>
        <v>0</v>
      </c>
      <c r="R798" s="86">
        <f t="shared" si="234"/>
        <v>0</v>
      </c>
      <c r="S798" s="86">
        <f t="shared" si="235"/>
        <v>0</v>
      </c>
      <c r="T798" s="86">
        <f t="shared" si="236"/>
        <v>5961.32</v>
      </c>
      <c r="U798" s="87">
        <v>5961.32</v>
      </c>
    </row>
    <row r="799" spans="1:21" s="30" customFormat="1" ht="24.6" hidden="1" outlineLevel="1" x14ac:dyDescent="0.55000000000000004">
      <c r="A799" s="27" t="s">
        <v>327</v>
      </c>
      <c r="B799" s="28"/>
      <c r="C799" s="27"/>
      <c r="D799" s="27" t="str">
        <f>"""NAV Direct"",""CRONUS JetCorp USA"",""21"",""1"",""322204"""</f>
        <v>"NAV Direct","CRONUS JetCorp USA","21","1","322204"</v>
      </c>
      <c r="E799" s="31">
        <f t="shared" si="228"/>
        <v>0</v>
      </c>
      <c r="F799" s="31"/>
      <c r="G799" s="31"/>
      <c r="H799" s="31"/>
      <c r="I799" s="56"/>
      <c r="J799" s="56"/>
      <c r="K799" s="82" t="str">
        <f t="shared" si="229"/>
        <v>Invoice</v>
      </c>
      <c r="L799" s="83" t="str">
        <f>"SI_110064"</f>
        <v>SI_110064</v>
      </c>
      <c r="M799" s="84">
        <v>43154</v>
      </c>
      <c r="N799" s="85">
        <f t="shared" si="230"/>
        <v>658</v>
      </c>
      <c r="O799" s="86">
        <f t="shared" si="231"/>
        <v>5961.96</v>
      </c>
      <c r="P799" s="86">
        <f t="shared" si="232"/>
        <v>0</v>
      </c>
      <c r="Q799" s="86">
        <f t="shared" si="233"/>
        <v>0</v>
      </c>
      <c r="R799" s="86">
        <f t="shared" si="234"/>
        <v>0</v>
      </c>
      <c r="S799" s="86">
        <f t="shared" si="235"/>
        <v>0</v>
      </c>
      <c r="T799" s="86">
        <f t="shared" si="236"/>
        <v>5961.96</v>
      </c>
      <c r="U799" s="87">
        <v>5961.96</v>
      </c>
    </row>
    <row r="800" spans="1:21" s="30" customFormat="1" ht="24.6" hidden="1" outlineLevel="1" x14ac:dyDescent="0.55000000000000004">
      <c r="A800" s="27" t="s">
        <v>327</v>
      </c>
      <c r="B800" s="28"/>
      <c r="C800" s="27"/>
      <c r="D800" s="27" t="str">
        <f>"""NAV Direct"",""CRONUS JetCorp USA"",""21"",""1"",""322476"""</f>
        <v>"NAV Direct","CRONUS JetCorp USA","21","1","322476"</v>
      </c>
      <c r="E800" s="31" t="str">
        <f t="shared" si="228"/>
        <v>C100033</v>
      </c>
      <c r="F800" s="31"/>
      <c r="G800" s="31"/>
      <c r="H800" s="31"/>
      <c r="I800" s="56"/>
      <c r="J800" s="56"/>
      <c r="K800" s="82" t="str">
        <f t="shared" si="229"/>
        <v>Invoice</v>
      </c>
      <c r="L800" s="83" t="str">
        <f>"SI_110076"</f>
        <v>SI_110076</v>
      </c>
      <c r="M800" s="84">
        <v>43240</v>
      </c>
      <c r="N800" s="85">
        <f t="shared" si="230"/>
        <v>572</v>
      </c>
      <c r="O800" s="86">
        <f t="shared" si="231"/>
        <v>5146.25</v>
      </c>
      <c r="P800" s="86">
        <f t="shared" si="232"/>
        <v>0</v>
      </c>
      <c r="Q800" s="86">
        <f t="shared" si="233"/>
        <v>0</v>
      </c>
      <c r="R800" s="86">
        <f t="shared" si="234"/>
        <v>0</v>
      </c>
      <c r="S800" s="86">
        <f t="shared" si="235"/>
        <v>0</v>
      </c>
      <c r="T800" s="86">
        <f t="shared" si="236"/>
        <v>5146.25</v>
      </c>
      <c r="U800" s="87">
        <v>5146.25</v>
      </c>
    </row>
    <row r="801" spans="1:21" s="30" customFormat="1" ht="24.6" hidden="1" outlineLevel="1" x14ac:dyDescent="0.55000000000000004">
      <c r="A801" s="27" t="s">
        <v>327</v>
      </c>
      <c r="B801" s="28"/>
      <c r="C801" s="27"/>
      <c r="D801" s="27" t="str">
        <f>"""NAV Direct"",""CRONUS JetCorp USA"",""21"",""1"",""322674"""</f>
        <v>"NAV Direct","CRONUS JetCorp USA","21","1","322674"</v>
      </c>
      <c r="E801" s="31">
        <f t="shared" si="228"/>
        <v>0</v>
      </c>
      <c r="F801" s="31"/>
      <c r="G801" s="31"/>
      <c r="H801" s="31"/>
      <c r="I801" s="56"/>
      <c r="J801" s="56"/>
      <c r="K801" s="82" t="str">
        <f t="shared" si="229"/>
        <v>Invoice</v>
      </c>
      <c r="L801" s="83" t="str">
        <f>"SI_110084"</f>
        <v>SI_110084</v>
      </c>
      <c r="M801" s="84">
        <v>43296</v>
      </c>
      <c r="N801" s="85">
        <f t="shared" si="230"/>
        <v>516</v>
      </c>
      <c r="O801" s="86">
        <f t="shared" si="231"/>
        <v>5112.76</v>
      </c>
      <c r="P801" s="86">
        <f t="shared" si="232"/>
        <v>0</v>
      </c>
      <c r="Q801" s="86">
        <f t="shared" si="233"/>
        <v>0</v>
      </c>
      <c r="R801" s="86">
        <f t="shared" si="234"/>
        <v>0</v>
      </c>
      <c r="S801" s="86">
        <f t="shared" si="235"/>
        <v>0</v>
      </c>
      <c r="T801" s="86">
        <f t="shared" si="236"/>
        <v>5112.76</v>
      </c>
      <c r="U801" s="87">
        <v>5112.76</v>
      </c>
    </row>
    <row r="802" spans="1:21" s="30" customFormat="1" ht="24.6" hidden="1" outlineLevel="1" x14ac:dyDescent="0.55000000000000004">
      <c r="A802" s="27" t="s">
        <v>327</v>
      </c>
      <c r="B802" s="28"/>
      <c r="C802" s="27"/>
      <c r="D802" s="27" t="str">
        <f>"""NAV Direct"",""CRONUS JetCorp USA"",""21"",""1"",""322695"""</f>
        <v>"NAV Direct","CRONUS JetCorp USA","21","1","322695"</v>
      </c>
      <c r="E802" s="31" t="str">
        <f t="shared" si="228"/>
        <v>C100033</v>
      </c>
      <c r="F802" s="31"/>
      <c r="G802" s="31"/>
      <c r="H802" s="31"/>
      <c r="I802" s="56"/>
      <c r="J802" s="56"/>
      <c r="K802" s="82" t="str">
        <f t="shared" si="229"/>
        <v>Invoice</v>
      </c>
      <c r="L802" s="83" t="str">
        <f>"SI_110085"</f>
        <v>SI_110085</v>
      </c>
      <c r="M802" s="84">
        <v>43324</v>
      </c>
      <c r="N802" s="85">
        <f t="shared" si="230"/>
        <v>488</v>
      </c>
      <c r="O802" s="86">
        <f t="shared" si="231"/>
        <v>5132.53</v>
      </c>
      <c r="P802" s="86">
        <f t="shared" si="232"/>
        <v>0</v>
      </c>
      <c r="Q802" s="86">
        <f t="shared" si="233"/>
        <v>0</v>
      </c>
      <c r="R802" s="86">
        <f t="shared" si="234"/>
        <v>0</v>
      </c>
      <c r="S802" s="86">
        <f t="shared" si="235"/>
        <v>0</v>
      </c>
      <c r="T802" s="86">
        <f t="shared" si="236"/>
        <v>5132.53</v>
      </c>
      <c r="U802" s="87">
        <v>5132.53</v>
      </c>
    </row>
    <row r="803" spans="1:21" s="30" customFormat="1" ht="24.6" hidden="1" outlineLevel="1" x14ac:dyDescent="0.55000000000000004">
      <c r="A803" s="27" t="s">
        <v>327</v>
      </c>
      <c r="B803" s="28"/>
      <c r="C803" s="27"/>
      <c r="D803" s="27" t="str">
        <f>"""NAV Direct"",""CRONUS JetCorp USA"",""21"",""1"",""322718"""</f>
        <v>"NAV Direct","CRONUS JetCorp USA","21","1","322718"</v>
      </c>
      <c r="E803" s="31">
        <f t="shared" si="228"/>
        <v>0</v>
      </c>
      <c r="F803" s="31"/>
      <c r="G803" s="31"/>
      <c r="H803" s="31"/>
      <c r="I803" s="56"/>
      <c r="J803" s="56"/>
      <c r="K803" s="82" t="str">
        <f t="shared" si="229"/>
        <v>Invoice</v>
      </c>
      <c r="L803" s="83" t="str">
        <f>"SI_110086"</f>
        <v>SI_110086</v>
      </c>
      <c r="M803" s="84">
        <v>43326</v>
      </c>
      <c r="N803" s="85">
        <f t="shared" si="230"/>
        <v>486</v>
      </c>
      <c r="O803" s="86">
        <f t="shared" si="231"/>
        <v>5133.4800000000005</v>
      </c>
      <c r="P803" s="86">
        <f t="shared" si="232"/>
        <v>0</v>
      </c>
      <c r="Q803" s="86">
        <f t="shared" si="233"/>
        <v>0</v>
      </c>
      <c r="R803" s="86">
        <f t="shared" si="234"/>
        <v>0</v>
      </c>
      <c r="S803" s="86">
        <f t="shared" si="235"/>
        <v>0</v>
      </c>
      <c r="T803" s="86">
        <f t="shared" si="236"/>
        <v>5133.4800000000005</v>
      </c>
      <c r="U803" s="87">
        <v>5133.4800000000005</v>
      </c>
    </row>
    <row r="804" spans="1:21" s="30" customFormat="1" ht="24.6" hidden="1" outlineLevel="1" x14ac:dyDescent="0.55000000000000004">
      <c r="A804" s="27" t="s">
        <v>327</v>
      </c>
      <c r="B804" s="28"/>
      <c r="C804" s="27"/>
      <c r="D804" s="27" t="str">
        <f>"""NAV Direct"",""CRONUS JetCorp USA"",""21"",""1"",""322741"""</f>
        <v>"NAV Direct","CRONUS JetCorp USA","21","1","322741"</v>
      </c>
      <c r="E804" s="31" t="str">
        <f t="shared" si="228"/>
        <v>C100033</v>
      </c>
      <c r="F804" s="31"/>
      <c r="G804" s="31"/>
      <c r="H804" s="31"/>
      <c r="I804" s="56"/>
      <c r="J804" s="56"/>
      <c r="K804" s="82" t="str">
        <f t="shared" si="229"/>
        <v>Invoice</v>
      </c>
      <c r="L804" s="83" t="str">
        <f>"SI_110087"</f>
        <v>SI_110087</v>
      </c>
      <c r="M804" s="84">
        <v>43326</v>
      </c>
      <c r="N804" s="85">
        <f t="shared" si="230"/>
        <v>486</v>
      </c>
      <c r="O804" s="86">
        <f t="shared" si="231"/>
        <v>5132.59</v>
      </c>
      <c r="P804" s="86">
        <f t="shared" si="232"/>
        <v>0</v>
      </c>
      <c r="Q804" s="86">
        <f t="shared" si="233"/>
        <v>0</v>
      </c>
      <c r="R804" s="86">
        <f t="shared" si="234"/>
        <v>0</v>
      </c>
      <c r="S804" s="86">
        <f t="shared" si="235"/>
        <v>0</v>
      </c>
      <c r="T804" s="86">
        <f t="shared" si="236"/>
        <v>5132.59</v>
      </c>
      <c r="U804" s="87">
        <v>5132.59</v>
      </c>
    </row>
    <row r="805" spans="1:21" s="30" customFormat="1" ht="24.6" hidden="1" outlineLevel="1" x14ac:dyDescent="0.55000000000000004">
      <c r="A805" s="27" t="s">
        <v>327</v>
      </c>
      <c r="B805" s="28"/>
      <c r="C805" s="27"/>
      <c r="D805" s="27" t="str">
        <f>"""NAV Direct"",""CRONUS JetCorp USA"",""21"",""1"",""322787"""</f>
        <v>"NAV Direct","CRONUS JetCorp USA","21","1","322787"</v>
      </c>
      <c r="E805" s="31">
        <f t="shared" si="228"/>
        <v>0</v>
      </c>
      <c r="F805" s="31"/>
      <c r="G805" s="31"/>
      <c r="H805" s="31"/>
      <c r="I805" s="56"/>
      <c r="J805" s="56"/>
      <c r="K805" s="82" t="str">
        <f t="shared" si="229"/>
        <v>Invoice</v>
      </c>
      <c r="L805" s="83" t="str">
        <f>"SI_110089"</f>
        <v>SI_110089</v>
      </c>
      <c r="M805" s="84">
        <v>43350</v>
      </c>
      <c r="N805" s="85">
        <f t="shared" si="230"/>
        <v>462</v>
      </c>
      <c r="O805" s="86">
        <f t="shared" si="231"/>
        <v>5071.2299999999996</v>
      </c>
      <c r="P805" s="86">
        <f t="shared" si="232"/>
        <v>0</v>
      </c>
      <c r="Q805" s="86">
        <f t="shared" si="233"/>
        <v>0</v>
      </c>
      <c r="R805" s="86">
        <f t="shared" si="234"/>
        <v>0</v>
      </c>
      <c r="S805" s="86">
        <f t="shared" si="235"/>
        <v>0</v>
      </c>
      <c r="T805" s="86">
        <f t="shared" si="236"/>
        <v>5071.2299999999996</v>
      </c>
      <c r="U805" s="87">
        <v>5071.2299999999996</v>
      </c>
    </row>
    <row r="806" spans="1:21" s="30" customFormat="1" ht="24.6" hidden="1" outlineLevel="1" x14ac:dyDescent="0.55000000000000004">
      <c r="A806" s="27" t="s">
        <v>327</v>
      </c>
      <c r="B806" s="28"/>
      <c r="C806" s="27"/>
      <c r="D806" s="27" t="str">
        <f>"""NAV Direct"",""CRONUS JetCorp USA"",""21"",""1"",""322940"""</f>
        <v>"NAV Direct","CRONUS JetCorp USA","21","1","322940"</v>
      </c>
      <c r="E806" s="31" t="str">
        <f t="shared" si="228"/>
        <v>C100033</v>
      </c>
      <c r="F806" s="31"/>
      <c r="G806" s="31"/>
      <c r="H806" s="31"/>
      <c r="I806" s="56"/>
      <c r="J806" s="56"/>
      <c r="K806" s="82" t="str">
        <f t="shared" si="229"/>
        <v>Invoice</v>
      </c>
      <c r="L806" s="83" t="str">
        <f>"SI_110096"</f>
        <v>SI_110096</v>
      </c>
      <c r="M806" s="84">
        <v>43390</v>
      </c>
      <c r="N806" s="85">
        <f t="shared" si="230"/>
        <v>422</v>
      </c>
      <c r="O806" s="86">
        <f t="shared" si="231"/>
        <v>5132.09</v>
      </c>
      <c r="P806" s="86">
        <f t="shared" si="232"/>
        <v>0</v>
      </c>
      <c r="Q806" s="86">
        <f t="shared" si="233"/>
        <v>0</v>
      </c>
      <c r="R806" s="86">
        <f t="shared" si="234"/>
        <v>0</v>
      </c>
      <c r="S806" s="86">
        <f t="shared" si="235"/>
        <v>0</v>
      </c>
      <c r="T806" s="86">
        <f t="shared" si="236"/>
        <v>5132.09</v>
      </c>
      <c r="U806" s="87">
        <v>5132.09</v>
      </c>
    </row>
    <row r="807" spans="1:21" s="30" customFormat="1" ht="24.6" hidden="1" outlineLevel="1" x14ac:dyDescent="0.55000000000000004">
      <c r="A807" s="27" t="s">
        <v>327</v>
      </c>
      <c r="B807" s="28"/>
      <c r="C807" s="27"/>
      <c r="D807" s="27" t="str">
        <f>"""NAV Direct"",""CRONUS JetCorp USA"",""21"",""1"",""323061"""</f>
        <v>"NAV Direct","CRONUS JetCorp USA","21","1","323061"</v>
      </c>
      <c r="E807" s="31">
        <f t="shared" si="228"/>
        <v>0</v>
      </c>
      <c r="F807" s="31"/>
      <c r="G807" s="31"/>
      <c r="H807" s="31"/>
      <c r="I807" s="56"/>
      <c r="J807" s="56"/>
      <c r="K807" s="82" t="str">
        <f t="shared" si="229"/>
        <v>Invoice</v>
      </c>
      <c r="L807" s="83" t="str">
        <f>"SI_110101"</f>
        <v>SI_110101</v>
      </c>
      <c r="M807" s="84">
        <v>43474</v>
      </c>
      <c r="N807" s="85">
        <f t="shared" si="230"/>
        <v>338</v>
      </c>
      <c r="O807" s="86">
        <f t="shared" si="231"/>
        <v>5419.23</v>
      </c>
      <c r="P807" s="86">
        <f t="shared" si="232"/>
        <v>0</v>
      </c>
      <c r="Q807" s="86">
        <f t="shared" si="233"/>
        <v>0</v>
      </c>
      <c r="R807" s="86">
        <f t="shared" si="234"/>
        <v>0</v>
      </c>
      <c r="S807" s="86">
        <f t="shared" si="235"/>
        <v>0</v>
      </c>
      <c r="T807" s="86">
        <f t="shared" si="236"/>
        <v>5419.23</v>
      </c>
      <c r="U807" s="87">
        <v>5419.23</v>
      </c>
    </row>
    <row r="808" spans="1:21" s="30" customFormat="1" ht="24.6" hidden="1" outlineLevel="1" x14ac:dyDescent="0.55000000000000004">
      <c r="A808" s="27" t="s">
        <v>327</v>
      </c>
      <c r="B808" s="28"/>
      <c r="C808" s="27"/>
      <c r="D808" s="27" t="str">
        <f>"""NAV Direct"",""CRONUS JetCorp USA"",""21"",""1"",""323080"""</f>
        <v>"NAV Direct","CRONUS JetCorp USA","21","1","323080"</v>
      </c>
      <c r="E808" s="31" t="str">
        <f t="shared" si="228"/>
        <v>C100033</v>
      </c>
      <c r="F808" s="31"/>
      <c r="G808" s="31"/>
      <c r="H808" s="31"/>
      <c r="I808" s="56"/>
      <c r="J808" s="56"/>
      <c r="K808" s="82" t="str">
        <f t="shared" si="229"/>
        <v>Invoice</v>
      </c>
      <c r="L808" s="83" t="str">
        <f>"SI_110102"</f>
        <v>SI_110102</v>
      </c>
      <c r="M808" s="84">
        <v>43472</v>
      </c>
      <c r="N808" s="85">
        <f t="shared" si="230"/>
        <v>340</v>
      </c>
      <c r="O808" s="86">
        <f t="shared" si="231"/>
        <v>5418.96</v>
      </c>
      <c r="P808" s="86">
        <f t="shared" si="232"/>
        <v>0</v>
      </c>
      <c r="Q808" s="86">
        <f t="shared" si="233"/>
        <v>0</v>
      </c>
      <c r="R808" s="86">
        <f t="shared" si="234"/>
        <v>0</v>
      </c>
      <c r="S808" s="86">
        <f t="shared" si="235"/>
        <v>0</v>
      </c>
      <c r="T808" s="86">
        <f t="shared" si="236"/>
        <v>5418.96</v>
      </c>
      <c r="U808" s="87">
        <v>5418.96</v>
      </c>
    </row>
    <row r="809" spans="1:21" s="30" customFormat="1" ht="24.6" hidden="1" outlineLevel="1" x14ac:dyDescent="0.55000000000000004">
      <c r="A809" s="27" t="s">
        <v>327</v>
      </c>
      <c r="B809" s="28"/>
      <c r="C809" s="27"/>
      <c r="D809" s="27" t="str">
        <f>"""NAV Direct"",""CRONUS JetCorp USA"",""21"",""1"",""323298"""</f>
        <v>"NAV Direct","CRONUS JetCorp USA","21","1","323298"</v>
      </c>
      <c r="E809" s="31">
        <f t="shared" si="228"/>
        <v>0</v>
      </c>
      <c r="F809" s="31"/>
      <c r="G809" s="31"/>
      <c r="H809" s="31"/>
      <c r="I809" s="56"/>
      <c r="J809" s="56"/>
      <c r="K809" s="82" t="str">
        <f t="shared" si="229"/>
        <v>Invoice</v>
      </c>
      <c r="L809" s="83" t="str">
        <f>"SI_110112"</f>
        <v>SI_110112</v>
      </c>
      <c r="M809" s="84">
        <v>43571</v>
      </c>
      <c r="N809" s="85">
        <f t="shared" si="230"/>
        <v>241</v>
      </c>
      <c r="O809" s="86">
        <f t="shared" si="231"/>
        <v>5626.2699999999995</v>
      </c>
      <c r="P809" s="86">
        <f t="shared" si="232"/>
        <v>0</v>
      </c>
      <c r="Q809" s="86">
        <f t="shared" si="233"/>
        <v>0</v>
      </c>
      <c r="R809" s="86">
        <f t="shared" si="234"/>
        <v>0</v>
      </c>
      <c r="S809" s="86">
        <f t="shared" si="235"/>
        <v>0</v>
      </c>
      <c r="T809" s="86">
        <f t="shared" si="236"/>
        <v>5626.2699999999995</v>
      </c>
      <c r="U809" s="87">
        <v>5626.2699999999995</v>
      </c>
    </row>
    <row r="810" spans="1:21" s="30" customFormat="1" ht="24.6" hidden="1" outlineLevel="1" x14ac:dyDescent="0.55000000000000004">
      <c r="A810" s="27" t="s">
        <v>327</v>
      </c>
      <c r="B810" s="28"/>
      <c r="C810" s="27"/>
      <c r="D810" s="27" t="str">
        <f>"""NAV Direct"",""CRONUS JetCorp USA"",""21"",""1"",""323480"""</f>
        <v>"NAV Direct","CRONUS JetCorp USA","21","1","323480"</v>
      </c>
      <c r="E810" s="31" t="str">
        <f t="shared" ref="E810:E838" si="237">E808</f>
        <v>C100033</v>
      </c>
      <c r="F810" s="31"/>
      <c r="G810" s="31"/>
      <c r="H810" s="31"/>
      <c r="I810" s="56"/>
      <c r="J810" s="56"/>
      <c r="K810" s="82" t="str">
        <f t="shared" si="229"/>
        <v>Invoice</v>
      </c>
      <c r="L810" s="83" t="str">
        <f>"SI_110120"</f>
        <v>SI_110120</v>
      </c>
      <c r="M810" s="84">
        <v>43634</v>
      </c>
      <c r="N810" s="85">
        <f t="shared" ref="N810:N838" si="238">StartDate-$M810+1</f>
        <v>178</v>
      </c>
      <c r="O810" s="86">
        <f t="shared" ref="O810:O838" si="239">SUM(P810:T810)</f>
        <v>5810.7199999999993</v>
      </c>
      <c r="P810" s="86">
        <f t="shared" ref="P810:P838" si="240">IF($M810&gt;=$P$18,U810,0)</f>
        <v>0</v>
      </c>
      <c r="Q810" s="86">
        <f t="shared" ref="Q810:Q838" si="241">IF(AND($M810&gt;=$Q$16,$M810&lt;=$Q$18),U810,0)</f>
        <v>0</v>
      </c>
      <c r="R810" s="86">
        <f t="shared" ref="R810:R838" si="242">IF(AND($M810&gt;=$R$16,$M810&lt;=$R$18),U810,0)</f>
        <v>0</v>
      </c>
      <c r="S810" s="86">
        <f t="shared" ref="S810:S838" si="243">IF(AND($M810&gt;=$S$16,$M810&lt;=$S$18),U810,0)</f>
        <v>0</v>
      </c>
      <c r="T810" s="86">
        <f t="shared" ref="T810:T838" si="244">IF($M810&lt;=$T$18,U810,0)</f>
        <v>5810.7199999999993</v>
      </c>
      <c r="U810" s="87">
        <v>5810.7199999999993</v>
      </c>
    </row>
    <row r="811" spans="1:21" s="30" customFormat="1" ht="24.6" hidden="1" outlineLevel="1" x14ac:dyDescent="0.55000000000000004">
      <c r="A811" s="27" t="s">
        <v>327</v>
      </c>
      <c r="B811" s="28"/>
      <c r="C811" s="27"/>
      <c r="D811" s="27" t="str">
        <f>"""NAV Direct"",""CRONUS JetCorp USA"",""21"",""1"",""323734"""</f>
        <v>"NAV Direct","CRONUS JetCorp USA","21","1","323734"</v>
      </c>
      <c r="E811" s="31">
        <f t="shared" si="237"/>
        <v>0</v>
      </c>
      <c r="F811" s="31"/>
      <c r="G811" s="31"/>
      <c r="H811" s="31"/>
      <c r="I811" s="56"/>
      <c r="J811" s="56"/>
      <c r="K811" s="82" t="str">
        <f t="shared" si="229"/>
        <v>Invoice</v>
      </c>
      <c r="L811" s="83" t="str">
        <f>"SI_110132"</f>
        <v>SI_110132</v>
      </c>
      <c r="M811" s="84">
        <v>43715</v>
      </c>
      <c r="N811" s="85">
        <f t="shared" si="238"/>
        <v>97</v>
      </c>
      <c r="O811" s="86">
        <f t="shared" si="239"/>
        <v>5940.2199999999993</v>
      </c>
      <c r="P811" s="86">
        <f t="shared" si="240"/>
        <v>0</v>
      </c>
      <c r="Q811" s="86">
        <f t="shared" si="241"/>
        <v>0</v>
      </c>
      <c r="R811" s="86">
        <f t="shared" si="242"/>
        <v>0</v>
      </c>
      <c r="S811" s="86">
        <f t="shared" si="243"/>
        <v>0</v>
      </c>
      <c r="T811" s="86">
        <f t="shared" si="244"/>
        <v>5940.2199999999993</v>
      </c>
      <c r="U811" s="87">
        <v>5940.2199999999993</v>
      </c>
    </row>
    <row r="812" spans="1:21" s="30" customFormat="1" ht="24.6" hidden="1" outlineLevel="1" x14ac:dyDescent="0.55000000000000004">
      <c r="A812" s="27" t="s">
        <v>327</v>
      </c>
      <c r="B812" s="28"/>
      <c r="C812" s="27"/>
      <c r="D812" s="27" t="str">
        <f>"""NAV Direct"",""CRONUS JetCorp USA"",""21"",""1"",""323853"""</f>
        <v>"NAV Direct","CRONUS JetCorp USA","21","1","323853"</v>
      </c>
      <c r="E812" s="31" t="str">
        <f t="shared" si="237"/>
        <v>C100033</v>
      </c>
      <c r="F812" s="31"/>
      <c r="G812" s="31"/>
      <c r="H812" s="31"/>
      <c r="I812" s="56"/>
      <c r="J812" s="56"/>
      <c r="K812" s="82" t="str">
        <f t="shared" si="229"/>
        <v>Invoice</v>
      </c>
      <c r="L812" s="83" t="str">
        <f>"SI_110137"</f>
        <v>SI_110137</v>
      </c>
      <c r="M812" s="84">
        <v>43750</v>
      </c>
      <c r="N812" s="85">
        <f t="shared" si="238"/>
        <v>62</v>
      </c>
      <c r="O812" s="86">
        <f t="shared" si="239"/>
        <v>5921.5</v>
      </c>
      <c r="P812" s="86">
        <f t="shared" si="240"/>
        <v>0</v>
      </c>
      <c r="Q812" s="86">
        <f t="shared" si="241"/>
        <v>0</v>
      </c>
      <c r="R812" s="86">
        <f t="shared" si="242"/>
        <v>0</v>
      </c>
      <c r="S812" s="86">
        <f t="shared" si="243"/>
        <v>5921.5</v>
      </c>
      <c r="T812" s="86">
        <f t="shared" si="244"/>
        <v>0</v>
      </c>
      <c r="U812" s="87">
        <v>5921.5</v>
      </c>
    </row>
    <row r="813" spans="1:21" s="30" customFormat="1" ht="24.6" hidden="1" outlineLevel="1" x14ac:dyDescent="0.55000000000000004">
      <c r="A813" s="27" t="s">
        <v>327</v>
      </c>
      <c r="B813" s="28"/>
      <c r="C813" s="27"/>
      <c r="D813" s="27" t="str">
        <f>"""NAV Direct"",""CRONUS JetCorp USA"",""21"",""1"",""324039"""</f>
        <v>"NAV Direct","CRONUS JetCorp USA","21","1","324039"</v>
      </c>
      <c r="E813" s="31">
        <f t="shared" si="237"/>
        <v>0</v>
      </c>
      <c r="F813" s="31"/>
      <c r="G813" s="31"/>
      <c r="H813" s="31"/>
      <c r="I813" s="56"/>
      <c r="J813" s="56"/>
      <c r="K813" s="82" t="str">
        <f t="shared" si="229"/>
        <v>Invoice</v>
      </c>
      <c r="L813" s="83" t="str">
        <f>"SI_110145"</f>
        <v>SI_110145</v>
      </c>
      <c r="M813" s="84">
        <v>43813</v>
      </c>
      <c r="N813" s="85">
        <f t="shared" si="238"/>
        <v>-1</v>
      </c>
      <c r="O813" s="86">
        <f t="shared" si="239"/>
        <v>6038.63</v>
      </c>
      <c r="P813" s="86">
        <f t="shared" si="240"/>
        <v>6038.63</v>
      </c>
      <c r="Q813" s="86">
        <f t="shared" si="241"/>
        <v>0</v>
      </c>
      <c r="R813" s="86">
        <f t="shared" si="242"/>
        <v>0</v>
      </c>
      <c r="S813" s="86">
        <f t="shared" si="243"/>
        <v>0</v>
      </c>
      <c r="T813" s="86">
        <f t="shared" si="244"/>
        <v>0</v>
      </c>
      <c r="U813" s="87">
        <v>6038.63</v>
      </c>
    </row>
    <row r="814" spans="1:21" s="30" customFormat="1" ht="24.6" hidden="1" outlineLevel="1" x14ac:dyDescent="0.55000000000000004">
      <c r="A814" s="27" t="s">
        <v>327</v>
      </c>
      <c r="B814" s="28"/>
      <c r="C814" s="27"/>
      <c r="D814" s="27" t="str">
        <f>"""NAV Direct"",""CRONUS JetCorp USA"",""21"",""1"",""324106"""</f>
        <v>"NAV Direct","CRONUS JetCorp USA","21","1","324106"</v>
      </c>
      <c r="E814" s="31" t="str">
        <f t="shared" si="237"/>
        <v>C100033</v>
      </c>
      <c r="F814" s="31"/>
      <c r="G814" s="31"/>
      <c r="H814" s="31"/>
      <c r="I814" s="56"/>
      <c r="J814" s="56"/>
      <c r="K814" s="82" t="str">
        <f t="shared" si="229"/>
        <v>Invoice</v>
      </c>
      <c r="L814" s="83" t="str">
        <f>"SI_110148"</f>
        <v>SI_110148</v>
      </c>
      <c r="M814" s="84">
        <v>43820</v>
      </c>
      <c r="N814" s="85">
        <f t="shared" si="238"/>
        <v>-8</v>
      </c>
      <c r="O814" s="86">
        <f t="shared" si="239"/>
        <v>6039.51</v>
      </c>
      <c r="P814" s="86">
        <f t="shared" si="240"/>
        <v>6039.51</v>
      </c>
      <c r="Q814" s="86">
        <f t="shared" si="241"/>
        <v>0</v>
      </c>
      <c r="R814" s="86">
        <f t="shared" si="242"/>
        <v>0</v>
      </c>
      <c r="S814" s="86">
        <f t="shared" si="243"/>
        <v>0</v>
      </c>
      <c r="T814" s="86">
        <f t="shared" si="244"/>
        <v>0</v>
      </c>
      <c r="U814" s="87">
        <v>6039.51</v>
      </c>
    </row>
    <row r="815" spans="1:21" s="30" customFormat="1" ht="24.6" hidden="1" outlineLevel="1" x14ac:dyDescent="0.55000000000000004">
      <c r="A815" s="27" t="s">
        <v>327</v>
      </c>
      <c r="B815" s="28"/>
      <c r="C815" s="27"/>
      <c r="D815" s="27" t="str">
        <f>"""NAV Direct"",""CRONUS JetCorp USA"",""21"",""1"",""324179"""</f>
        <v>"NAV Direct","CRONUS JetCorp USA","21","1","324179"</v>
      </c>
      <c r="E815" s="31">
        <f t="shared" si="237"/>
        <v>0</v>
      </c>
      <c r="F815" s="31"/>
      <c r="G815" s="31"/>
      <c r="H815" s="31"/>
      <c r="I815" s="56"/>
      <c r="J815" s="56"/>
      <c r="K815" s="82" t="str">
        <f t="shared" si="229"/>
        <v>Invoice</v>
      </c>
      <c r="L815" s="83" t="str">
        <f>"SI_110151"</f>
        <v>SI_110151</v>
      </c>
      <c r="M815" s="84">
        <v>42020</v>
      </c>
      <c r="N815" s="85">
        <f t="shared" si="238"/>
        <v>1792</v>
      </c>
      <c r="O815" s="86">
        <f t="shared" si="239"/>
        <v>6251.4400000000005</v>
      </c>
      <c r="P815" s="86">
        <f t="shared" si="240"/>
        <v>0</v>
      </c>
      <c r="Q815" s="86">
        <f t="shared" si="241"/>
        <v>0</v>
      </c>
      <c r="R815" s="86">
        <f t="shared" si="242"/>
        <v>0</v>
      </c>
      <c r="S815" s="86">
        <f t="shared" si="243"/>
        <v>0</v>
      </c>
      <c r="T815" s="86">
        <f t="shared" si="244"/>
        <v>6251.4400000000005</v>
      </c>
      <c r="U815" s="87">
        <v>6251.4400000000005</v>
      </c>
    </row>
    <row r="816" spans="1:21" s="30" customFormat="1" ht="24.6" hidden="1" outlineLevel="1" x14ac:dyDescent="0.55000000000000004">
      <c r="A816" s="27" t="s">
        <v>327</v>
      </c>
      <c r="B816" s="28"/>
      <c r="C816" s="27"/>
      <c r="D816" s="27" t="str">
        <f>"""NAV Direct"",""CRONUS JetCorp USA"",""21"",""1"",""324410"""</f>
        <v>"NAV Direct","CRONUS JetCorp USA","21","1","324410"</v>
      </c>
      <c r="E816" s="31" t="str">
        <f t="shared" si="237"/>
        <v>C100033</v>
      </c>
      <c r="F816" s="31"/>
      <c r="G816" s="31"/>
      <c r="H816" s="31"/>
      <c r="I816" s="56"/>
      <c r="J816" s="56"/>
      <c r="K816" s="82" t="str">
        <f t="shared" si="229"/>
        <v>Invoice</v>
      </c>
      <c r="L816" s="83" t="str">
        <f>"SI_110162"</f>
        <v>SI_110162</v>
      </c>
      <c r="M816" s="84">
        <v>42079</v>
      </c>
      <c r="N816" s="85">
        <f t="shared" si="238"/>
        <v>1733</v>
      </c>
      <c r="O816" s="86">
        <f t="shared" si="239"/>
        <v>5693.69</v>
      </c>
      <c r="P816" s="86">
        <f t="shared" si="240"/>
        <v>0</v>
      </c>
      <c r="Q816" s="86">
        <f t="shared" si="241"/>
        <v>0</v>
      </c>
      <c r="R816" s="86">
        <f t="shared" si="242"/>
        <v>0</v>
      </c>
      <c r="S816" s="86">
        <f t="shared" si="243"/>
        <v>0</v>
      </c>
      <c r="T816" s="86">
        <f t="shared" si="244"/>
        <v>5693.69</v>
      </c>
      <c r="U816" s="87">
        <v>5693.69</v>
      </c>
    </row>
    <row r="817" spans="1:21" s="30" customFormat="1" ht="24.6" hidden="1" outlineLevel="1" x14ac:dyDescent="0.55000000000000004">
      <c r="A817" s="27" t="s">
        <v>327</v>
      </c>
      <c r="B817" s="28"/>
      <c r="C817" s="27"/>
      <c r="D817" s="27" t="str">
        <f>"""NAV Direct"",""CRONUS JetCorp USA"",""21"",""1"",""324628"""</f>
        <v>"NAV Direct","CRONUS JetCorp USA","21","1","324628"</v>
      </c>
      <c r="E817" s="31">
        <f t="shared" si="237"/>
        <v>0</v>
      </c>
      <c r="F817" s="31"/>
      <c r="G817" s="31"/>
      <c r="H817" s="31"/>
      <c r="I817" s="56"/>
      <c r="J817" s="56"/>
      <c r="K817" s="82" t="str">
        <f t="shared" si="229"/>
        <v>Invoice</v>
      </c>
      <c r="L817" s="83" t="str">
        <f>"SI_110172"</f>
        <v>SI_110172</v>
      </c>
      <c r="M817" s="84">
        <v>42142</v>
      </c>
      <c r="N817" s="85">
        <f t="shared" si="238"/>
        <v>1670</v>
      </c>
      <c r="O817" s="86">
        <f t="shared" si="239"/>
        <v>6231.67</v>
      </c>
      <c r="P817" s="86">
        <f t="shared" si="240"/>
        <v>0</v>
      </c>
      <c r="Q817" s="86">
        <f t="shared" si="241"/>
        <v>0</v>
      </c>
      <c r="R817" s="86">
        <f t="shared" si="242"/>
        <v>0</v>
      </c>
      <c r="S817" s="86">
        <f t="shared" si="243"/>
        <v>0</v>
      </c>
      <c r="T817" s="86">
        <f t="shared" si="244"/>
        <v>6231.67</v>
      </c>
      <c r="U817" s="87">
        <v>6231.67</v>
      </c>
    </row>
    <row r="818" spans="1:21" s="30" customFormat="1" ht="24.6" hidden="1" outlineLevel="1" x14ac:dyDescent="0.55000000000000004">
      <c r="A818" s="27" t="s">
        <v>327</v>
      </c>
      <c r="B818" s="28"/>
      <c r="C818" s="27"/>
      <c r="D818" s="27" t="str">
        <f>"""NAV Direct"",""CRONUS JetCorp USA"",""21"",""1"",""324674"""</f>
        <v>"NAV Direct","CRONUS JetCorp USA","21","1","324674"</v>
      </c>
      <c r="E818" s="31" t="str">
        <f t="shared" si="237"/>
        <v>C100033</v>
      </c>
      <c r="F818" s="31"/>
      <c r="G818" s="31"/>
      <c r="H818" s="31"/>
      <c r="I818" s="56"/>
      <c r="J818" s="56"/>
      <c r="K818" s="82" t="str">
        <f t="shared" si="229"/>
        <v>Invoice</v>
      </c>
      <c r="L818" s="83" t="str">
        <f>"SI_110174"</f>
        <v>SI_110174</v>
      </c>
      <c r="M818" s="84">
        <v>42165</v>
      </c>
      <c r="N818" s="85">
        <f t="shared" si="238"/>
        <v>1647</v>
      </c>
      <c r="O818" s="86">
        <f t="shared" si="239"/>
        <v>6468.63</v>
      </c>
      <c r="P818" s="86">
        <f t="shared" si="240"/>
        <v>0</v>
      </c>
      <c r="Q818" s="86">
        <f t="shared" si="241"/>
        <v>0</v>
      </c>
      <c r="R818" s="86">
        <f t="shared" si="242"/>
        <v>0</v>
      </c>
      <c r="S818" s="86">
        <f t="shared" si="243"/>
        <v>0</v>
      </c>
      <c r="T818" s="86">
        <f t="shared" si="244"/>
        <v>6468.63</v>
      </c>
      <c r="U818" s="87">
        <v>6468.63</v>
      </c>
    </row>
    <row r="819" spans="1:21" s="30" customFormat="1" ht="24.6" hidden="1" outlineLevel="1" x14ac:dyDescent="0.55000000000000004">
      <c r="A819" s="27" t="s">
        <v>327</v>
      </c>
      <c r="B819" s="28"/>
      <c r="C819" s="27"/>
      <c r="D819" s="27" t="str">
        <f>"""NAV Direct"",""CRONUS JetCorp USA"",""21"",""1"",""324777"""</f>
        <v>"NAV Direct","CRONUS JetCorp USA","21","1","324777"</v>
      </c>
      <c r="E819" s="31">
        <f t="shared" si="237"/>
        <v>0</v>
      </c>
      <c r="F819" s="31"/>
      <c r="G819" s="31"/>
      <c r="H819" s="31"/>
      <c r="I819" s="56"/>
      <c r="J819" s="56"/>
      <c r="K819" s="82" t="str">
        <f t="shared" si="229"/>
        <v>Invoice</v>
      </c>
      <c r="L819" s="83" t="str">
        <f>"SI_110179"</f>
        <v>SI_110179</v>
      </c>
      <c r="M819" s="84">
        <v>42195</v>
      </c>
      <c r="N819" s="85">
        <f t="shared" si="238"/>
        <v>1617</v>
      </c>
      <c r="O819" s="86">
        <f t="shared" si="239"/>
        <v>6500.04</v>
      </c>
      <c r="P819" s="86">
        <f t="shared" si="240"/>
        <v>0</v>
      </c>
      <c r="Q819" s="86">
        <f t="shared" si="241"/>
        <v>0</v>
      </c>
      <c r="R819" s="86">
        <f t="shared" si="242"/>
        <v>0</v>
      </c>
      <c r="S819" s="86">
        <f t="shared" si="243"/>
        <v>0</v>
      </c>
      <c r="T819" s="86">
        <f t="shared" si="244"/>
        <v>6500.04</v>
      </c>
      <c r="U819" s="87">
        <v>6500.04</v>
      </c>
    </row>
    <row r="820" spans="1:21" s="30" customFormat="1" ht="24.6" hidden="1" outlineLevel="1" x14ac:dyDescent="0.55000000000000004">
      <c r="A820" s="27" t="s">
        <v>327</v>
      </c>
      <c r="B820" s="28"/>
      <c r="C820" s="27"/>
      <c r="D820" s="27" t="str">
        <f>"""NAV Direct"",""CRONUS JetCorp USA"",""21"",""1"",""325213"""</f>
        <v>"NAV Direct","CRONUS JetCorp USA","21","1","325213"</v>
      </c>
      <c r="E820" s="31" t="str">
        <f t="shared" si="237"/>
        <v>C100033</v>
      </c>
      <c r="F820" s="31"/>
      <c r="G820" s="31"/>
      <c r="H820" s="31"/>
      <c r="I820" s="56"/>
      <c r="J820" s="56"/>
      <c r="K820" s="82" t="str">
        <f t="shared" si="229"/>
        <v>Invoice</v>
      </c>
      <c r="L820" s="83" t="str">
        <f>"SI_110199"</f>
        <v>SI_110199</v>
      </c>
      <c r="M820" s="84">
        <v>42318</v>
      </c>
      <c r="N820" s="85">
        <f t="shared" si="238"/>
        <v>1494</v>
      </c>
      <c r="O820" s="86">
        <f t="shared" si="239"/>
        <v>6545.0199999999995</v>
      </c>
      <c r="P820" s="86">
        <f t="shared" si="240"/>
        <v>0</v>
      </c>
      <c r="Q820" s="86">
        <f t="shared" si="241"/>
        <v>0</v>
      </c>
      <c r="R820" s="86">
        <f t="shared" si="242"/>
        <v>0</v>
      </c>
      <c r="S820" s="86">
        <f t="shared" si="243"/>
        <v>0</v>
      </c>
      <c r="T820" s="86">
        <f t="shared" si="244"/>
        <v>6545.0199999999995</v>
      </c>
      <c r="U820" s="87">
        <v>6545.0199999999995</v>
      </c>
    </row>
    <row r="821" spans="1:21" s="30" customFormat="1" ht="24.6" hidden="1" outlineLevel="1" x14ac:dyDescent="0.55000000000000004">
      <c r="A821" s="27" t="s">
        <v>327</v>
      </c>
      <c r="B821" s="28"/>
      <c r="C821" s="27"/>
      <c r="D821" s="27" t="str">
        <f>"""NAV Direct"",""CRONUS JetCorp USA"",""21"",""1"",""431166"""</f>
        <v>"NAV Direct","CRONUS JetCorp USA","21","1","431166"</v>
      </c>
      <c r="E821" s="31">
        <f t="shared" si="237"/>
        <v>0</v>
      </c>
      <c r="F821" s="31"/>
      <c r="G821" s="31"/>
      <c r="H821" s="31"/>
      <c r="I821" s="56"/>
      <c r="J821" s="56"/>
      <c r="K821" s="82" t="str">
        <f t="shared" ref="K821:K838" si="245">"Credit Memo"</f>
        <v>Credit Memo</v>
      </c>
      <c r="L821" s="83" t="str">
        <f>"SC_100325"</f>
        <v>SC_100325</v>
      </c>
      <c r="M821" s="84">
        <v>42399</v>
      </c>
      <c r="N821" s="85">
        <f t="shared" si="238"/>
        <v>1413</v>
      </c>
      <c r="O821" s="86">
        <f t="shared" si="239"/>
        <v>-71.72</v>
      </c>
      <c r="P821" s="86">
        <f t="shared" si="240"/>
        <v>0</v>
      </c>
      <c r="Q821" s="86">
        <f t="shared" si="241"/>
        <v>0</v>
      </c>
      <c r="R821" s="86">
        <f t="shared" si="242"/>
        <v>0</v>
      </c>
      <c r="S821" s="86">
        <f t="shared" si="243"/>
        <v>0</v>
      </c>
      <c r="T821" s="86">
        <f t="shared" si="244"/>
        <v>-71.72</v>
      </c>
      <c r="U821" s="87">
        <v>-71.72</v>
      </c>
    </row>
    <row r="822" spans="1:21" s="30" customFormat="1" ht="24.6" hidden="1" outlineLevel="1" x14ac:dyDescent="0.55000000000000004">
      <c r="A822" s="27" t="s">
        <v>327</v>
      </c>
      <c r="B822" s="28"/>
      <c r="C822" s="27"/>
      <c r="D822" s="27" t="str">
        <f>"""NAV Direct"",""CRONUS JetCorp USA"",""21"",""1"",""431211"""</f>
        <v>"NAV Direct","CRONUS JetCorp USA","21","1","431211"</v>
      </c>
      <c r="E822" s="31" t="str">
        <f t="shared" si="237"/>
        <v>C100033</v>
      </c>
      <c r="F822" s="31"/>
      <c r="G822" s="31"/>
      <c r="H822" s="31"/>
      <c r="I822" s="56"/>
      <c r="J822" s="56"/>
      <c r="K822" s="82" t="str">
        <f t="shared" si="245"/>
        <v>Credit Memo</v>
      </c>
      <c r="L822" s="83" t="str">
        <f>"SC_100328"</f>
        <v>SC_100328</v>
      </c>
      <c r="M822" s="84">
        <v>42446</v>
      </c>
      <c r="N822" s="85">
        <f t="shared" si="238"/>
        <v>1366</v>
      </c>
      <c r="O822" s="86">
        <f t="shared" si="239"/>
        <v>-73.88</v>
      </c>
      <c r="P822" s="86">
        <f t="shared" si="240"/>
        <v>0</v>
      </c>
      <c r="Q822" s="86">
        <f t="shared" si="241"/>
        <v>0</v>
      </c>
      <c r="R822" s="86">
        <f t="shared" si="242"/>
        <v>0</v>
      </c>
      <c r="S822" s="86">
        <f t="shared" si="243"/>
        <v>0</v>
      </c>
      <c r="T822" s="86">
        <f t="shared" si="244"/>
        <v>-73.88</v>
      </c>
      <c r="U822" s="87">
        <v>-73.88</v>
      </c>
    </row>
    <row r="823" spans="1:21" s="30" customFormat="1" ht="24.6" hidden="1" outlineLevel="1" x14ac:dyDescent="0.55000000000000004">
      <c r="A823" s="27" t="s">
        <v>327</v>
      </c>
      <c r="B823" s="28"/>
      <c r="C823" s="27"/>
      <c r="D823" s="27" t="str">
        <f>"""NAV Direct"",""CRONUS JetCorp USA"",""21"",""1"",""431278"""</f>
        <v>"NAV Direct","CRONUS JetCorp USA","21","1","431278"</v>
      </c>
      <c r="E823" s="31">
        <f t="shared" si="237"/>
        <v>0</v>
      </c>
      <c r="F823" s="31"/>
      <c r="G823" s="31"/>
      <c r="H823" s="31"/>
      <c r="I823" s="56"/>
      <c r="J823" s="56"/>
      <c r="K823" s="82" t="str">
        <f t="shared" si="245"/>
        <v>Credit Memo</v>
      </c>
      <c r="L823" s="83" t="str">
        <f>"SC_100333"</f>
        <v>SC_100333</v>
      </c>
      <c r="M823" s="84">
        <v>42563</v>
      </c>
      <c r="N823" s="85">
        <f t="shared" si="238"/>
        <v>1249</v>
      </c>
      <c r="O823" s="86">
        <f t="shared" si="239"/>
        <v>-77.059999999999988</v>
      </c>
      <c r="P823" s="86">
        <f t="shared" si="240"/>
        <v>0</v>
      </c>
      <c r="Q823" s="86">
        <f t="shared" si="241"/>
        <v>0</v>
      </c>
      <c r="R823" s="86">
        <f t="shared" si="242"/>
        <v>0</v>
      </c>
      <c r="S823" s="86">
        <f t="shared" si="243"/>
        <v>0</v>
      </c>
      <c r="T823" s="86">
        <f t="shared" si="244"/>
        <v>-77.059999999999988</v>
      </c>
      <c r="U823" s="87">
        <v>-77.059999999999988</v>
      </c>
    </row>
    <row r="824" spans="1:21" s="30" customFormat="1" ht="24.6" hidden="1" outlineLevel="1" x14ac:dyDescent="0.55000000000000004">
      <c r="A824" s="27" t="s">
        <v>327</v>
      </c>
      <c r="B824" s="28"/>
      <c r="C824" s="27"/>
      <c r="D824" s="27" t="str">
        <f>"""NAV Direct"",""CRONUS JetCorp USA"",""21"",""1"",""431416"""</f>
        <v>"NAV Direct","CRONUS JetCorp USA","21","1","431416"</v>
      </c>
      <c r="E824" s="31" t="str">
        <f t="shared" si="237"/>
        <v>C100033</v>
      </c>
      <c r="F824" s="31"/>
      <c r="G824" s="31"/>
      <c r="H824" s="31"/>
      <c r="I824" s="56"/>
      <c r="J824" s="56"/>
      <c r="K824" s="82" t="str">
        <f t="shared" si="245"/>
        <v>Credit Memo</v>
      </c>
      <c r="L824" s="83" t="str">
        <f>"SC_100343"</f>
        <v>SC_100343</v>
      </c>
      <c r="M824" s="84">
        <v>42998</v>
      </c>
      <c r="N824" s="85">
        <f t="shared" si="238"/>
        <v>814</v>
      </c>
      <c r="O824" s="86">
        <f t="shared" si="239"/>
        <v>-73.89</v>
      </c>
      <c r="P824" s="86">
        <f t="shared" si="240"/>
        <v>0</v>
      </c>
      <c r="Q824" s="86">
        <f t="shared" si="241"/>
        <v>0</v>
      </c>
      <c r="R824" s="86">
        <f t="shared" si="242"/>
        <v>0</v>
      </c>
      <c r="S824" s="86">
        <f t="shared" si="243"/>
        <v>0</v>
      </c>
      <c r="T824" s="86">
        <f t="shared" si="244"/>
        <v>-73.89</v>
      </c>
      <c r="U824" s="87">
        <v>-73.89</v>
      </c>
    </row>
    <row r="825" spans="1:21" s="30" customFormat="1" ht="24.6" hidden="1" outlineLevel="1" x14ac:dyDescent="0.55000000000000004">
      <c r="A825" s="27" t="s">
        <v>327</v>
      </c>
      <c r="B825" s="28"/>
      <c r="C825" s="27"/>
      <c r="D825" s="27" t="str">
        <f>"""NAV Direct"",""CRONUS JetCorp USA"",""21"",""1"",""431494"""</f>
        <v>"NAV Direct","CRONUS JetCorp USA","21","1","431494"</v>
      </c>
      <c r="E825" s="31">
        <f t="shared" si="237"/>
        <v>0</v>
      </c>
      <c r="F825" s="31"/>
      <c r="G825" s="31"/>
      <c r="H825" s="31"/>
      <c r="I825" s="56"/>
      <c r="J825" s="56"/>
      <c r="K825" s="82" t="str">
        <f t="shared" si="245"/>
        <v>Credit Memo</v>
      </c>
      <c r="L825" s="83" t="str">
        <f>"SC_100349"</f>
        <v>SC_100349</v>
      </c>
      <c r="M825" s="84">
        <v>43257</v>
      </c>
      <c r="N825" s="85">
        <f t="shared" si="238"/>
        <v>555</v>
      </c>
      <c r="O825" s="86">
        <f t="shared" si="239"/>
        <v>-51.089999999999996</v>
      </c>
      <c r="P825" s="86">
        <f t="shared" si="240"/>
        <v>0</v>
      </c>
      <c r="Q825" s="86">
        <f t="shared" si="241"/>
        <v>0</v>
      </c>
      <c r="R825" s="86">
        <f t="shared" si="242"/>
        <v>0</v>
      </c>
      <c r="S825" s="86">
        <f t="shared" si="243"/>
        <v>0</v>
      </c>
      <c r="T825" s="86">
        <f t="shared" si="244"/>
        <v>-51.089999999999996</v>
      </c>
      <c r="U825" s="87">
        <v>-51.089999999999996</v>
      </c>
    </row>
    <row r="826" spans="1:21" s="30" customFormat="1" ht="24.6" hidden="1" outlineLevel="1" x14ac:dyDescent="0.55000000000000004">
      <c r="A826" s="27" t="s">
        <v>327</v>
      </c>
      <c r="B826" s="28"/>
      <c r="C826" s="27"/>
      <c r="D826" s="27" t="str">
        <f>"""NAV Direct"",""CRONUS JetCorp USA"",""21"",""1"",""431537"""</f>
        <v>"NAV Direct","CRONUS JetCorp USA","21","1","431537"</v>
      </c>
      <c r="E826" s="31" t="str">
        <f t="shared" si="237"/>
        <v>C100033</v>
      </c>
      <c r="F826" s="31"/>
      <c r="G826" s="31"/>
      <c r="H826" s="31"/>
      <c r="I826" s="56"/>
      <c r="J826" s="56"/>
      <c r="K826" s="82" t="str">
        <f t="shared" si="245"/>
        <v>Credit Memo</v>
      </c>
      <c r="L826" s="83" t="str">
        <f>"SC_100352"</f>
        <v>SC_100352</v>
      </c>
      <c r="M826" s="84">
        <v>43290</v>
      </c>
      <c r="N826" s="85">
        <f t="shared" si="238"/>
        <v>522</v>
      </c>
      <c r="O826" s="86">
        <f t="shared" si="239"/>
        <v>-48.68</v>
      </c>
      <c r="P826" s="86">
        <f t="shared" si="240"/>
        <v>0</v>
      </c>
      <c r="Q826" s="86">
        <f t="shared" si="241"/>
        <v>0</v>
      </c>
      <c r="R826" s="86">
        <f t="shared" si="242"/>
        <v>0</v>
      </c>
      <c r="S826" s="86">
        <f t="shared" si="243"/>
        <v>0</v>
      </c>
      <c r="T826" s="86">
        <f t="shared" si="244"/>
        <v>-48.68</v>
      </c>
      <c r="U826" s="87">
        <v>-48.68</v>
      </c>
    </row>
    <row r="827" spans="1:21" s="30" customFormat="1" ht="24.6" hidden="1" outlineLevel="1" x14ac:dyDescent="0.55000000000000004">
      <c r="A827" s="27" t="s">
        <v>327</v>
      </c>
      <c r="B827" s="28"/>
      <c r="C827" s="27"/>
      <c r="D827" s="27" t="str">
        <f>"""NAV Direct"",""CRONUS JetCorp USA"",""21"",""1"",""431548"""</f>
        <v>"NAV Direct","CRONUS JetCorp USA","21","1","431548"</v>
      </c>
      <c r="E827" s="31">
        <f t="shared" si="237"/>
        <v>0</v>
      </c>
      <c r="F827" s="31"/>
      <c r="G827" s="31"/>
      <c r="H827" s="31"/>
      <c r="I827" s="56"/>
      <c r="J827" s="56"/>
      <c r="K827" s="82" t="str">
        <f t="shared" si="245"/>
        <v>Credit Memo</v>
      </c>
      <c r="L827" s="83" t="str">
        <f>"SC_100353"</f>
        <v>SC_100353</v>
      </c>
      <c r="M827" s="84">
        <v>43327</v>
      </c>
      <c r="N827" s="85">
        <f t="shared" si="238"/>
        <v>485</v>
      </c>
      <c r="O827" s="86">
        <f t="shared" si="239"/>
        <v>-49.4</v>
      </c>
      <c r="P827" s="86">
        <f t="shared" si="240"/>
        <v>0</v>
      </c>
      <c r="Q827" s="86">
        <f t="shared" si="241"/>
        <v>0</v>
      </c>
      <c r="R827" s="86">
        <f t="shared" si="242"/>
        <v>0</v>
      </c>
      <c r="S827" s="86">
        <f t="shared" si="243"/>
        <v>0</v>
      </c>
      <c r="T827" s="86">
        <f t="shared" si="244"/>
        <v>-49.4</v>
      </c>
      <c r="U827" s="87">
        <v>-49.4</v>
      </c>
    </row>
    <row r="828" spans="1:21" s="30" customFormat="1" ht="24.6" hidden="1" outlineLevel="1" x14ac:dyDescent="0.55000000000000004">
      <c r="A828" s="27" t="s">
        <v>327</v>
      </c>
      <c r="B828" s="28"/>
      <c r="C828" s="27"/>
      <c r="D828" s="27" t="str">
        <f>"""NAV Direct"",""CRONUS JetCorp USA"",""21"",""1"",""431581"""</f>
        <v>"NAV Direct","CRONUS JetCorp USA","21","1","431581"</v>
      </c>
      <c r="E828" s="31" t="str">
        <f t="shared" si="237"/>
        <v>C100033</v>
      </c>
      <c r="F828" s="31"/>
      <c r="G828" s="31"/>
      <c r="H828" s="31"/>
      <c r="I828" s="56"/>
      <c r="J828" s="56"/>
      <c r="K828" s="82" t="str">
        <f t="shared" si="245"/>
        <v>Credit Memo</v>
      </c>
      <c r="L828" s="83" t="str">
        <f>"SC_100356"</f>
        <v>SC_100356</v>
      </c>
      <c r="M828" s="84">
        <v>43384</v>
      </c>
      <c r="N828" s="85">
        <f t="shared" si="238"/>
        <v>428</v>
      </c>
      <c r="O828" s="86">
        <f t="shared" si="239"/>
        <v>-51.769999999999996</v>
      </c>
      <c r="P828" s="86">
        <f t="shared" si="240"/>
        <v>0</v>
      </c>
      <c r="Q828" s="86">
        <f t="shared" si="241"/>
        <v>0</v>
      </c>
      <c r="R828" s="86">
        <f t="shared" si="242"/>
        <v>0</v>
      </c>
      <c r="S828" s="86">
        <f t="shared" si="243"/>
        <v>0</v>
      </c>
      <c r="T828" s="86">
        <f t="shared" si="244"/>
        <v>-51.769999999999996</v>
      </c>
      <c r="U828" s="87">
        <v>-51.769999999999996</v>
      </c>
    </row>
    <row r="829" spans="1:21" s="30" customFormat="1" ht="24.6" hidden="1" outlineLevel="1" x14ac:dyDescent="0.55000000000000004">
      <c r="A829" s="27" t="s">
        <v>327</v>
      </c>
      <c r="B829" s="28"/>
      <c r="C829" s="27"/>
      <c r="D829" s="27" t="str">
        <f>"""NAV Direct"",""CRONUS JetCorp USA"",""21"",""1"",""431597"""</f>
        <v>"NAV Direct","CRONUS JetCorp USA","21","1","431597"</v>
      </c>
      <c r="E829" s="31">
        <f t="shared" si="237"/>
        <v>0</v>
      </c>
      <c r="F829" s="31"/>
      <c r="G829" s="31"/>
      <c r="H829" s="31"/>
      <c r="I829" s="56"/>
      <c r="J829" s="56"/>
      <c r="K829" s="82" t="str">
        <f t="shared" si="245"/>
        <v>Credit Memo</v>
      </c>
      <c r="L829" s="83" t="str">
        <f>"SC_100358"</f>
        <v>SC_100358</v>
      </c>
      <c r="M829" s="84">
        <v>43409</v>
      </c>
      <c r="N829" s="85">
        <f t="shared" si="238"/>
        <v>403</v>
      </c>
      <c r="O829" s="86">
        <f t="shared" si="239"/>
        <v>-53.190000000000005</v>
      </c>
      <c r="P829" s="86">
        <f t="shared" si="240"/>
        <v>0</v>
      </c>
      <c r="Q829" s="86">
        <f t="shared" si="241"/>
        <v>0</v>
      </c>
      <c r="R829" s="86">
        <f t="shared" si="242"/>
        <v>0</v>
      </c>
      <c r="S829" s="86">
        <f t="shared" si="243"/>
        <v>0</v>
      </c>
      <c r="T829" s="86">
        <f t="shared" si="244"/>
        <v>-53.190000000000005</v>
      </c>
      <c r="U829" s="87">
        <v>-53.190000000000005</v>
      </c>
    </row>
    <row r="830" spans="1:21" s="30" customFormat="1" ht="24.6" hidden="1" outlineLevel="1" x14ac:dyDescent="0.55000000000000004">
      <c r="A830" s="27" t="s">
        <v>327</v>
      </c>
      <c r="B830" s="28"/>
      <c r="C830" s="27"/>
      <c r="D830" s="27" t="str">
        <f>"""NAV Direct"",""CRONUS JetCorp USA"",""21"",""1"",""431636"""</f>
        <v>"NAV Direct","CRONUS JetCorp USA","21","1","431636"</v>
      </c>
      <c r="E830" s="31" t="str">
        <f t="shared" si="237"/>
        <v>C100033</v>
      </c>
      <c r="F830" s="31"/>
      <c r="G830" s="31"/>
      <c r="H830" s="31"/>
      <c r="I830" s="56"/>
      <c r="J830" s="56"/>
      <c r="K830" s="82" t="str">
        <f t="shared" si="245"/>
        <v>Credit Memo</v>
      </c>
      <c r="L830" s="83" t="str">
        <f>"SC_100361"</f>
        <v>SC_100361</v>
      </c>
      <c r="M830" s="84">
        <v>43451</v>
      </c>
      <c r="N830" s="85">
        <f t="shared" si="238"/>
        <v>361</v>
      </c>
      <c r="O830" s="86">
        <f t="shared" si="239"/>
        <v>-52.529999999999994</v>
      </c>
      <c r="P830" s="86">
        <f t="shared" si="240"/>
        <v>0</v>
      </c>
      <c r="Q830" s="86">
        <f t="shared" si="241"/>
        <v>0</v>
      </c>
      <c r="R830" s="86">
        <f t="shared" si="242"/>
        <v>0</v>
      </c>
      <c r="S830" s="86">
        <f t="shared" si="243"/>
        <v>0</v>
      </c>
      <c r="T830" s="86">
        <f t="shared" si="244"/>
        <v>-52.529999999999994</v>
      </c>
      <c r="U830" s="87">
        <v>-52.529999999999994</v>
      </c>
    </row>
    <row r="831" spans="1:21" s="30" customFormat="1" ht="24.6" hidden="1" outlineLevel="1" x14ac:dyDescent="0.55000000000000004">
      <c r="A831" s="27" t="s">
        <v>327</v>
      </c>
      <c r="B831" s="28"/>
      <c r="C831" s="27"/>
      <c r="D831" s="27" t="str">
        <f>"""NAV Direct"",""CRONUS JetCorp USA"",""21"",""1"",""431641"""</f>
        <v>"NAV Direct","CRONUS JetCorp USA","21","1","431641"</v>
      </c>
      <c r="E831" s="31">
        <f t="shared" si="237"/>
        <v>0</v>
      </c>
      <c r="F831" s="31"/>
      <c r="G831" s="31"/>
      <c r="H831" s="31"/>
      <c r="I831" s="56"/>
      <c r="J831" s="56"/>
      <c r="K831" s="82" t="str">
        <f t="shared" si="245"/>
        <v>Credit Memo</v>
      </c>
      <c r="L831" s="83" t="str">
        <f>"SC_100362"</f>
        <v>SC_100362</v>
      </c>
      <c r="M831" s="84">
        <v>43480</v>
      </c>
      <c r="N831" s="85">
        <f t="shared" si="238"/>
        <v>332</v>
      </c>
      <c r="O831" s="86">
        <f t="shared" si="239"/>
        <v>-54.21</v>
      </c>
      <c r="P831" s="86">
        <f t="shared" si="240"/>
        <v>0</v>
      </c>
      <c r="Q831" s="86">
        <f t="shared" si="241"/>
        <v>0</v>
      </c>
      <c r="R831" s="86">
        <f t="shared" si="242"/>
        <v>0</v>
      </c>
      <c r="S831" s="86">
        <f t="shared" si="243"/>
        <v>0</v>
      </c>
      <c r="T831" s="86">
        <f t="shared" si="244"/>
        <v>-54.21</v>
      </c>
      <c r="U831" s="87">
        <v>-54.21</v>
      </c>
    </row>
    <row r="832" spans="1:21" s="30" customFormat="1" ht="24.6" hidden="1" outlineLevel="1" x14ac:dyDescent="0.55000000000000004">
      <c r="A832" s="27" t="s">
        <v>327</v>
      </c>
      <c r="B832" s="28"/>
      <c r="C832" s="27"/>
      <c r="D832" s="27" t="str">
        <f>"""NAV Direct"",""CRONUS JetCorp USA"",""21"",""1"",""431696"""</f>
        <v>"NAV Direct","CRONUS JetCorp USA","21","1","431696"</v>
      </c>
      <c r="E832" s="31" t="str">
        <f t="shared" si="237"/>
        <v>C100033</v>
      </c>
      <c r="F832" s="31"/>
      <c r="G832" s="31"/>
      <c r="H832" s="31"/>
      <c r="I832" s="56"/>
      <c r="J832" s="56"/>
      <c r="K832" s="82" t="str">
        <f t="shared" si="245"/>
        <v>Credit Memo</v>
      </c>
      <c r="L832" s="83" t="str">
        <f>"SC_100367"</f>
        <v>SC_100367</v>
      </c>
      <c r="M832" s="84">
        <v>43592</v>
      </c>
      <c r="N832" s="85">
        <f t="shared" si="238"/>
        <v>220</v>
      </c>
      <c r="O832" s="86">
        <f t="shared" si="239"/>
        <v>-58.03</v>
      </c>
      <c r="P832" s="86">
        <f t="shared" si="240"/>
        <v>0</v>
      </c>
      <c r="Q832" s="86">
        <f t="shared" si="241"/>
        <v>0</v>
      </c>
      <c r="R832" s="86">
        <f t="shared" si="242"/>
        <v>0</v>
      </c>
      <c r="S832" s="86">
        <f t="shared" si="243"/>
        <v>0</v>
      </c>
      <c r="T832" s="86">
        <f t="shared" si="244"/>
        <v>-58.03</v>
      </c>
      <c r="U832" s="87">
        <v>-58.03</v>
      </c>
    </row>
    <row r="833" spans="1:22" s="30" customFormat="1" ht="24.6" hidden="1" outlineLevel="1" x14ac:dyDescent="0.55000000000000004">
      <c r="A833" s="27" t="s">
        <v>327</v>
      </c>
      <c r="B833" s="28"/>
      <c r="C833" s="27"/>
      <c r="D833" s="27" t="str">
        <f>"""NAV Direct"",""CRONUS JetCorp USA"",""21"",""1"",""431713"""</f>
        <v>"NAV Direct","CRONUS JetCorp USA","21","1","431713"</v>
      </c>
      <c r="E833" s="31">
        <f t="shared" si="237"/>
        <v>0</v>
      </c>
      <c r="F833" s="31"/>
      <c r="G833" s="31"/>
      <c r="H833" s="31"/>
      <c r="I833" s="56"/>
      <c r="J833" s="56"/>
      <c r="K833" s="82" t="str">
        <f t="shared" si="245"/>
        <v>Credit Memo</v>
      </c>
      <c r="L833" s="83" t="str">
        <f>"SC_100368"</f>
        <v>SC_100368</v>
      </c>
      <c r="M833" s="84">
        <v>43591</v>
      </c>
      <c r="N833" s="85">
        <f t="shared" si="238"/>
        <v>221</v>
      </c>
      <c r="O833" s="86">
        <f t="shared" si="239"/>
        <v>-57.859999999999992</v>
      </c>
      <c r="P833" s="86">
        <f t="shared" si="240"/>
        <v>0</v>
      </c>
      <c r="Q833" s="86">
        <f t="shared" si="241"/>
        <v>0</v>
      </c>
      <c r="R833" s="86">
        <f t="shared" si="242"/>
        <v>0</v>
      </c>
      <c r="S833" s="86">
        <f t="shared" si="243"/>
        <v>0</v>
      </c>
      <c r="T833" s="86">
        <f t="shared" si="244"/>
        <v>-57.859999999999992</v>
      </c>
      <c r="U833" s="87">
        <v>-57.859999999999992</v>
      </c>
    </row>
    <row r="834" spans="1:22" s="30" customFormat="1" ht="24.6" hidden="1" outlineLevel="1" x14ac:dyDescent="0.55000000000000004">
      <c r="A834" s="27" t="s">
        <v>327</v>
      </c>
      <c r="B834" s="28"/>
      <c r="C834" s="27"/>
      <c r="D834" s="27" t="str">
        <f>"""NAV Direct"",""CRONUS JetCorp USA"",""21"",""1"",""431748"""</f>
        <v>"NAV Direct","CRONUS JetCorp USA","21","1","431748"</v>
      </c>
      <c r="E834" s="31" t="str">
        <f t="shared" si="237"/>
        <v>C100033</v>
      </c>
      <c r="F834" s="31"/>
      <c r="G834" s="31"/>
      <c r="H834" s="31"/>
      <c r="I834" s="56"/>
      <c r="J834" s="56"/>
      <c r="K834" s="82" t="str">
        <f t="shared" si="245"/>
        <v>Credit Memo</v>
      </c>
      <c r="L834" s="83" t="str">
        <f>"SC_100371"</f>
        <v>SC_100371</v>
      </c>
      <c r="M834" s="84">
        <v>43689</v>
      </c>
      <c r="N834" s="85">
        <f t="shared" si="238"/>
        <v>123</v>
      </c>
      <c r="O834" s="86">
        <f t="shared" si="239"/>
        <v>-59.190000000000005</v>
      </c>
      <c r="P834" s="86">
        <f t="shared" si="240"/>
        <v>0</v>
      </c>
      <c r="Q834" s="86">
        <f t="shared" si="241"/>
        <v>0</v>
      </c>
      <c r="R834" s="86">
        <f t="shared" si="242"/>
        <v>0</v>
      </c>
      <c r="S834" s="86">
        <f t="shared" si="243"/>
        <v>0</v>
      </c>
      <c r="T834" s="86">
        <f t="shared" si="244"/>
        <v>-59.190000000000005</v>
      </c>
      <c r="U834" s="87">
        <v>-59.190000000000005</v>
      </c>
    </row>
    <row r="835" spans="1:22" s="30" customFormat="1" ht="24.6" hidden="1" outlineLevel="1" x14ac:dyDescent="0.55000000000000004">
      <c r="A835" s="27" t="s">
        <v>327</v>
      </c>
      <c r="B835" s="28"/>
      <c r="C835" s="27"/>
      <c r="D835" s="27" t="str">
        <f>"""NAV Direct"",""CRONUS JetCorp USA"",""21"",""1"",""431825"""</f>
        <v>"NAV Direct","CRONUS JetCorp USA","21","1","431825"</v>
      </c>
      <c r="E835" s="31">
        <f t="shared" si="237"/>
        <v>0</v>
      </c>
      <c r="F835" s="31"/>
      <c r="G835" s="31"/>
      <c r="H835" s="31"/>
      <c r="I835" s="56"/>
      <c r="J835" s="56"/>
      <c r="K835" s="82" t="str">
        <f t="shared" si="245"/>
        <v>Credit Memo</v>
      </c>
      <c r="L835" s="83" t="str">
        <f>"SC_100378"</f>
        <v>SC_100378</v>
      </c>
      <c r="M835" s="84">
        <v>42131</v>
      </c>
      <c r="N835" s="85">
        <f t="shared" si="238"/>
        <v>1681</v>
      </c>
      <c r="O835" s="86">
        <f t="shared" si="239"/>
        <v>-64.150000000000006</v>
      </c>
      <c r="P835" s="86">
        <f t="shared" si="240"/>
        <v>0</v>
      </c>
      <c r="Q835" s="86">
        <f t="shared" si="241"/>
        <v>0</v>
      </c>
      <c r="R835" s="86">
        <f t="shared" si="242"/>
        <v>0</v>
      </c>
      <c r="S835" s="86">
        <f t="shared" si="243"/>
        <v>0</v>
      </c>
      <c r="T835" s="86">
        <f t="shared" si="244"/>
        <v>-64.150000000000006</v>
      </c>
      <c r="U835" s="87">
        <v>-64.150000000000006</v>
      </c>
    </row>
    <row r="836" spans="1:22" s="30" customFormat="1" ht="24.6" hidden="1" outlineLevel="1" x14ac:dyDescent="0.55000000000000004">
      <c r="A836" s="27" t="s">
        <v>327</v>
      </c>
      <c r="B836" s="28"/>
      <c r="C836" s="27"/>
      <c r="D836" s="27" t="str">
        <f>"""NAV Direct"",""CRONUS JetCorp USA"",""21"",""1"",""431887"""</f>
        <v>"NAV Direct","CRONUS JetCorp USA","21","1","431887"</v>
      </c>
      <c r="E836" s="31" t="str">
        <f t="shared" si="237"/>
        <v>C100033</v>
      </c>
      <c r="F836" s="31"/>
      <c r="G836" s="31"/>
      <c r="H836" s="31"/>
      <c r="I836" s="56"/>
      <c r="J836" s="56"/>
      <c r="K836" s="82" t="str">
        <f t="shared" si="245"/>
        <v>Credit Memo</v>
      </c>
      <c r="L836" s="83" t="str">
        <f>"SC_100382"</f>
        <v>SC_100382</v>
      </c>
      <c r="M836" s="84">
        <v>42221</v>
      </c>
      <c r="N836" s="85">
        <f t="shared" si="238"/>
        <v>1591</v>
      </c>
      <c r="O836" s="86">
        <f t="shared" si="239"/>
        <v>-64.72</v>
      </c>
      <c r="P836" s="86">
        <f t="shared" si="240"/>
        <v>0</v>
      </c>
      <c r="Q836" s="86">
        <f t="shared" si="241"/>
        <v>0</v>
      </c>
      <c r="R836" s="86">
        <f t="shared" si="242"/>
        <v>0</v>
      </c>
      <c r="S836" s="86">
        <f t="shared" si="243"/>
        <v>0</v>
      </c>
      <c r="T836" s="86">
        <f t="shared" si="244"/>
        <v>-64.72</v>
      </c>
      <c r="U836" s="87">
        <v>-64.72</v>
      </c>
    </row>
    <row r="837" spans="1:22" s="30" customFormat="1" ht="24.6" hidden="1" outlineLevel="1" x14ac:dyDescent="0.55000000000000004">
      <c r="A837" s="27" t="s">
        <v>327</v>
      </c>
      <c r="B837" s="28"/>
      <c r="C837" s="27"/>
      <c r="D837" s="27" t="str">
        <f>"""NAV Direct"",""CRONUS JetCorp USA"",""21"",""1"",""431900"""</f>
        <v>"NAV Direct","CRONUS JetCorp USA","21","1","431900"</v>
      </c>
      <c r="E837" s="31">
        <f t="shared" si="237"/>
        <v>0</v>
      </c>
      <c r="F837" s="31"/>
      <c r="G837" s="31"/>
      <c r="H837" s="31"/>
      <c r="I837" s="56"/>
      <c r="J837" s="56"/>
      <c r="K837" s="82" t="str">
        <f t="shared" si="245"/>
        <v>Credit Memo</v>
      </c>
      <c r="L837" s="83" t="str">
        <f>"SC_100383"</f>
        <v>SC_100383</v>
      </c>
      <c r="M837" s="84">
        <v>42235</v>
      </c>
      <c r="N837" s="85">
        <f t="shared" si="238"/>
        <v>1577</v>
      </c>
      <c r="O837" s="86">
        <f t="shared" si="239"/>
        <v>-65.33</v>
      </c>
      <c r="P837" s="86">
        <f t="shared" si="240"/>
        <v>0</v>
      </c>
      <c r="Q837" s="86">
        <f t="shared" si="241"/>
        <v>0</v>
      </c>
      <c r="R837" s="86">
        <f t="shared" si="242"/>
        <v>0</v>
      </c>
      <c r="S837" s="86">
        <f t="shared" si="243"/>
        <v>0</v>
      </c>
      <c r="T837" s="86">
        <f t="shared" si="244"/>
        <v>-65.33</v>
      </c>
      <c r="U837" s="87">
        <v>-65.33</v>
      </c>
    </row>
    <row r="838" spans="1:22" s="30" customFormat="1" ht="24.6" hidden="1" outlineLevel="1" x14ac:dyDescent="0.55000000000000004">
      <c r="A838" s="27" t="s">
        <v>327</v>
      </c>
      <c r="B838" s="28"/>
      <c r="C838" s="27"/>
      <c r="D838" s="27" t="str">
        <f>"""NAV Direct"",""CRONUS JetCorp USA"",""21"",""1"",""431958"""</f>
        <v>"NAV Direct","CRONUS JetCorp USA","21","1","431958"</v>
      </c>
      <c r="E838" s="31" t="str">
        <f t="shared" si="237"/>
        <v>C100033</v>
      </c>
      <c r="F838" s="31"/>
      <c r="G838" s="31"/>
      <c r="H838" s="31"/>
      <c r="I838" s="56"/>
      <c r="J838" s="56"/>
      <c r="K838" s="82" t="str">
        <f t="shared" si="245"/>
        <v>Credit Memo</v>
      </c>
      <c r="L838" s="83" t="str">
        <f>"SC_100387"</f>
        <v>SC_100387</v>
      </c>
      <c r="M838" s="84">
        <v>42356</v>
      </c>
      <c r="N838" s="85">
        <f t="shared" si="238"/>
        <v>1456</v>
      </c>
      <c r="O838" s="86">
        <f t="shared" si="239"/>
        <v>-66.64</v>
      </c>
      <c r="P838" s="86">
        <f t="shared" si="240"/>
        <v>0</v>
      </c>
      <c r="Q838" s="86">
        <f t="shared" si="241"/>
        <v>0</v>
      </c>
      <c r="R838" s="86">
        <f t="shared" si="242"/>
        <v>0</v>
      </c>
      <c r="S838" s="86">
        <f t="shared" si="243"/>
        <v>0</v>
      </c>
      <c r="T838" s="86">
        <f t="shared" si="244"/>
        <v>-66.64</v>
      </c>
      <c r="U838" s="87">
        <v>-66.64</v>
      </c>
    </row>
    <row r="839" spans="1:22" s="22" customFormat="1" ht="20.399999999999999" collapsed="1" x14ac:dyDescent="0.45">
      <c r="A839" s="12" t="s">
        <v>327</v>
      </c>
      <c r="B839" s="19"/>
      <c r="C839" s="12"/>
      <c r="D839" s="12"/>
      <c r="E839" s="23"/>
      <c r="F839" s="23"/>
      <c r="G839" s="23"/>
      <c r="H839" s="23"/>
      <c r="I839" s="49"/>
      <c r="J839" s="88"/>
      <c r="K839" s="88"/>
      <c r="L839" s="89"/>
      <c r="M839" s="89"/>
      <c r="N839" s="89"/>
      <c r="O839" s="89"/>
      <c r="P839" s="89"/>
      <c r="Q839" s="90"/>
      <c r="R839" s="90"/>
      <c r="S839" s="91"/>
      <c r="T839" s="92"/>
      <c r="U839" s="92"/>
    </row>
    <row r="840" spans="1:22" s="22" customFormat="1" ht="20.399999999999999" x14ac:dyDescent="0.45">
      <c r="A840" s="12" t="s">
        <v>327</v>
      </c>
      <c r="B840" s="19"/>
      <c r="C840" s="12"/>
      <c r="D840" s="12"/>
      <c r="E840" s="23"/>
      <c r="F840" s="23"/>
      <c r="G840" s="23"/>
      <c r="H840" s="23"/>
      <c r="I840" s="49"/>
      <c r="J840" s="88"/>
      <c r="K840" s="88"/>
      <c r="L840" s="89"/>
      <c r="M840" s="89"/>
      <c r="N840" s="89"/>
      <c r="O840" s="89"/>
      <c r="P840" s="89"/>
      <c r="Q840" s="90"/>
      <c r="R840" s="90"/>
      <c r="S840" s="91"/>
      <c r="T840" s="92"/>
      <c r="U840" s="92"/>
    </row>
    <row r="841" spans="1:22" s="26" customFormat="1" ht="24.6" x14ac:dyDescent="0.55000000000000004">
      <c r="A841" s="27" t="s">
        <v>327</v>
      </c>
      <c r="B841" s="28"/>
      <c r="C841" s="27" t="str">
        <f>"""NAV Direct"",""CRONUS JetCorp USA"",""18"",""1"",""C100035"""</f>
        <v>"NAV Direct","CRONUS JetCorp USA","18","1","C100035"</v>
      </c>
      <c r="D841" s="27"/>
      <c r="E841" s="28" t="str">
        <f>H841</f>
        <v>C100035</v>
      </c>
      <c r="F841" s="28"/>
      <c r="G841" s="28"/>
      <c r="H841" s="28" t="str">
        <f>"C100035"</f>
        <v>C100035</v>
      </c>
      <c r="I841" s="116" t="str">
        <f>"C100035  -  First Touch Marketing"</f>
        <v>C100035  -  First Touch Marketing</v>
      </c>
      <c r="J841" s="117" t="str">
        <f>""</f>
        <v/>
      </c>
      <c r="K841" s="118"/>
      <c r="L841" s="119">
        <f>SUBTOTAL(3,L842:L890)</f>
        <v>45</v>
      </c>
      <c r="M841" s="118"/>
      <c r="N841" s="118"/>
      <c r="O841" s="120">
        <f t="shared" ref="O841:T841" si="246">SUBTOTAL(9,O842:O890)</f>
        <v>859526.35000000009</v>
      </c>
      <c r="P841" s="120">
        <f t="shared" si="246"/>
        <v>0</v>
      </c>
      <c r="Q841" s="120">
        <f t="shared" si="246"/>
        <v>18958.989999999998</v>
      </c>
      <c r="R841" s="120">
        <f t="shared" si="246"/>
        <v>18675.11</v>
      </c>
      <c r="S841" s="120">
        <f t="shared" si="246"/>
        <v>0</v>
      </c>
      <c r="T841" s="120">
        <f t="shared" si="246"/>
        <v>821892.25000000023</v>
      </c>
      <c r="U841" s="81"/>
    </row>
    <row r="842" spans="1:22" s="26" customFormat="1" ht="24.6" x14ac:dyDescent="0.55000000000000004">
      <c r="A842" s="27" t="s">
        <v>327</v>
      </c>
      <c r="B842" s="28"/>
      <c r="C842" s="27" t="str">
        <f>C841</f>
        <v>"NAV Direct","CRONUS JetCorp USA","18","1","C100035"</v>
      </c>
      <c r="D842" s="27"/>
      <c r="E842" s="28" t="str">
        <f>E841</f>
        <v>C100035</v>
      </c>
      <c r="F842" s="28"/>
      <c r="G842" s="28"/>
      <c r="H842" s="28"/>
      <c r="I842" s="121" t="str">
        <f>"Contact: Ms. Tammy L. McDonald"</f>
        <v>Contact: Ms. Tammy L. McDonald</v>
      </c>
      <c r="J842" s="121"/>
      <c r="K842" s="122"/>
      <c r="L842" s="123"/>
      <c r="M842" s="123"/>
      <c r="N842" s="124"/>
      <c r="O842" s="124"/>
      <c r="P842" s="123"/>
      <c r="Q842" s="125"/>
      <c r="R842" s="126"/>
      <c r="S842" s="126"/>
      <c r="T842" s="125"/>
      <c r="U842" s="81"/>
    </row>
    <row r="843" spans="1:22" s="26" customFormat="1" ht="24.6" x14ac:dyDescent="0.55000000000000004">
      <c r="A843" s="27" t="s">
        <v>327</v>
      </c>
      <c r="B843" s="28"/>
      <c r="C843" s="27" t="str">
        <f>C842</f>
        <v>"NAV Direct","CRONUS JetCorp USA","18","1","C100035"</v>
      </c>
      <c r="D843" s="27"/>
      <c r="E843" s="28" t="str">
        <f>E842</f>
        <v>C100035</v>
      </c>
      <c r="F843" s="28"/>
      <c r="G843" s="28"/>
      <c r="H843" s="28"/>
      <c r="I843" s="121" t="str">
        <f>"new.concepts.furniture@cronuscorp.net"</f>
        <v>new.concepts.furniture@cronuscorp.net</v>
      </c>
      <c r="J843" s="121"/>
      <c r="K843" s="122"/>
      <c r="L843" s="124"/>
      <c r="M843" s="124"/>
      <c r="N843" s="124"/>
      <c r="O843" s="124"/>
      <c r="P843" s="123"/>
      <c r="Q843" s="125"/>
      <c r="R843" s="126"/>
      <c r="S843" s="126"/>
      <c r="T843" s="125"/>
      <c r="U843" s="81"/>
    </row>
    <row r="844" spans="1:22" ht="12.75" hidden="1" customHeight="1" outlineLevel="1" x14ac:dyDescent="0.45">
      <c r="A844" s="12" t="s">
        <v>328</v>
      </c>
      <c r="B844" s="19"/>
      <c r="E844" s="19"/>
      <c r="F844" s="19"/>
      <c r="G844" s="19"/>
      <c r="H844" s="19"/>
      <c r="I844" s="61"/>
      <c r="J844" s="61"/>
      <c r="K844" s="61"/>
      <c r="L844" s="61"/>
      <c r="M844" s="61"/>
      <c r="N844" s="61"/>
      <c r="O844" s="61"/>
      <c r="P844" s="61"/>
      <c r="Q844" s="61"/>
      <c r="R844" s="61"/>
      <c r="S844" s="61"/>
      <c r="T844" s="61"/>
      <c r="U844" s="61"/>
      <c r="V844" s="21"/>
    </row>
    <row r="845" spans="1:22" s="30" customFormat="1" ht="24.6" hidden="1" outlineLevel="1" x14ac:dyDescent="0.55000000000000004">
      <c r="A845" s="27" t="s">
        <v>327</v>
      </c>
      <c r="B845" s="28"/>
      <c r="C845" s="27"/>
      <c r="D845" s="27" t="str">
        <f>"""NAV Direct"",""CRONUS JetCorp USA"",""21"",""1"",""334902"""</f>
        <v>"NAV Direct","CRONUS JetCorp USA","21","1","334902"</v>
      </c>
      <c r="E845" s="31" t="str">
        <f t="shared" ref="E845:E889" si="247">E843</f>
        <v>C100035</v>
      </c>
      <c r="F845" s="31"/>
      <c r="G845" s="31"/>
      <c r="H845" s="31"/>
      <c r="I845" s="56"/>
      <c r="J845" s="56"/>
      <c r="K845" s="82" t="str">
        <f t="shared" ref="K845:K889" si="248">"Invoice"</f>
        <v>Invoice</v>
      </c>
      <c r="L845" s="83" t="str">
        <f>"SI_110588"</f>
        <v>SI_110588</v>
      </c>
      <c r="M845" s="84">
        <v>42390</v>
      </c>
      <c r="N845" s="85">
        <f t="shared" ref="N845:N889" si="249">StartDate-$M845+1</f>
        <v>1422</v>
      </c>
      <c r="O845" s="86">
        <f t="shared" ref="O845:O889" si="250">SUM(P845:T845)</f>
        <v>17639.82</v>
      </c>
      <c r="P845" s="86">
        <f t="shared" ref="P845:P889" si="251">IF($M845&gt;=$P$18,U845,0)</f>
        <v>0</v>
      </c>
      <c r="Q845" s="86">
        <f t="shared" ref="Q845:Q889" si="252">IF(AND($M845&gt;=$Q$16,$M845&lt;=$Q$18),U845,0)</f>
        <v>0</v>
      </c>
      <c r="R845" s="86">
        <f t="shared" ref="R845:R889" si="253">IF(AND($M845&gt;=$R$16,$M845&lt;=$R$18),U845,0)</f>
        <v>0</v>
      </c>
      <c r="S845" s="86">
        <f t="shared" ref="S845:S889" si="254">IF(AND($M845&gt;=$S$16,$M845&lt;=$S$18),U845,0)</f>
        <v>0</v>
      </c>
      <c r="T845" s="86">
        <f t="shared" ref="T845:T889" si="255">IF($M845&lt;=$T$18,U845,0)</f>
        <v>17639.82</v>
      </c>
      <c r="U845" s="87">
        <v>17639.82</v>
      </c>
    </row>
    <row r="846" spans="1:22" s="30" customFormat="1" ht="24.6" hidden="1" outlineLevel="1" x14ac:dyDescent="0.55000000000000004">
      <c r="A846" s="27" t="s">
        <v>327</v>
      </c>
      <c r="B846" s="28"/>
      <c r="C846" s="27"/>
      <c r="D846" s="27" t="str">
        <f>"""NAV Direct"",""CRONUS JetCorp USA"",""21"",""1"",""335338"""</f>
        <v>"NAV Direct","CRONUS JetCorp USA","21","1","335338"</v>
      </c>
      <c r="E846" s="31">
        <f t="shared" si="247"/>
        <v>0</v>
      </c>
      <c r="F846" s="31"/>
      <c r="G846" s="31"/>
      <c r="H846" s="31"/>
      <c r="I846" s="56"/>
      <c r="J846" s="56"/>
      <c r="K846" s="82" t="str">
        <f t="shared" si="248"/>
        <v>Invoice</v>
      </c>
      <c r="L846" s="83" t="str">
        <f>"SI_110598"</f>
        <v>SI_110598</v>
      </c>
      <c r="M846" s="84">
        <v>42430</v>
      </c>
      <c r="N846" s="85">
        <f t="shared" si="249"/>
        <v>1382</v>
      </c>
      <c r="O846" s="86">
        <f t="shared" si="250"/>
        <v>17392.11</v>
      </c>
      <c r="P846" s="86">
        <f t="shared" si="251"/>
        <v>0</v>
      </c>
      <c r="Q846" s="86">
        <f t="shared" si="252"/>
        <v>0</v>
      </c>
      <c r="R846" s="86">
        <f t="shared" si="253"/>
        <v>0</v>
      </c>
      <c r="S846" s="86">
        <f t="shared" si="254"/>
        <v>0</v>
      </c>
      <c r="T846" s="86">
        <f t="shared" si="255"/>
        <v>17392.11</v>
      </c>
      <c r="U846" s="87">
        <v>17392.11</v>
      </c>
    </row>
    <row r="847" spans="1:22" s="30" customFormat="1" ht="24.6" hidden="1" outlineLevel="1" x14ac:dyDescent="0.55000000000000004">
      <c r="A847" s="27" t="s">
        <v>327</v>
      </c>
      <c r="B847" s="28"/>
      <c r="C847" s="27"/>
      <c r="D847" s="27" t="str">
        <f>"""NAV Direct"",""CRONUS JetCorp USA"",""21"",""1"",""335408"""</f>
        <v>"NAV Direct","CRONUS JetCorp USA","21","1","335408"</v>
      </c>
      <c r="E847" s="31" t="str">
        <f t="shared" si="247"/>
        <v>C100035</v>
      </c>
      <c r="F847" s="31"/>
      <c r="G847" s="31"/>
      <c r="H847" s="31"/>
      <c r="I847" s="56"/>
      <c r="J847" s="56"/>
      <c r="K847" s="82" t="str">
        <f t="shared" si="248"/>
        <v>Invoice</v>
      </c>
      <c r="L847" s="83" t="str">
        <f>"SI_110600"</f>
        <v>SI_110600</v>
      </c>
      <c r="M847" s="84">
        <v>42432</v>
      </c>
      <c r="N847" s="85">
        <f t="shared" si="249"/>
        <v>1380</v>
      </c>
      <c r="O847" s="86">
        <f t="shared" si="250"/>
        <v>15085.7</v>
      </c>
      <c r="P847" s="86">
        <f t="shared" si="251"/>
        <v>0</v>
      </c>
      <c r="Q847" s="86">
        <f t="shared" si="252"/>
        <v>0</v>
      </c>
      <c r="R847" s="86">
        <f t="shared" si="253"/>
        <v>0</v>
      </c>
      <c r="S847" s="86">
        <f t="shared" si="254"/>
        <v>0</v>
      </c>
      <c r="T847" s="86">
        <f t="shared" si="255"/>
        <v>15085.7</v>
      </c>
      <c r="U847" s="87">
        <v>15085.7</v>
      </c>
    </row>
    <row r="848" spans="1:22" s="30" customFormat="1" ht="24.6" hidden="1" outlineLevel="1" x14ac:dyDescent="0.55000000000000004">
      <c r="A848" s="27" t="s">
        <v>327</v>
      </c>
      <c r="B848" s="28"/>
      <c r="C848" s="27"/>
      <c r="D848" s="27" t="str">
        <f>"""NAV Direct"",""CRONUS JetCorp USA"",""21"",""1"",""336248"""</f>
        <v>"NAV Direct","CRONUS JetCorp USA","21","1","336248"</v>
      </c>
      <c r="E848" s="31">
        <f t="shared" si="247"/>
        <v>0</v>
      </c>
      <c r="F848" s="31"/>
      <c r="G848" s="31"/>
      <c r="H848" s="31"/>
      <c r="I848" s="56"/>
      <c r="J848" s="56"/>
      <c r="K848" s="82" t="str">
        <f t="shared" si="248"/>
        <v>Invoice</v>
      </c>
      <c r="L848" s="83" t="str">
        <f>"SI_110622"</f>
        <v>SI_110622</v>
      </c>
      <c r="M848" s="84">
        <v>42528</v>
      </c>
      <c r="N848" s="85">
        <f t="shared" si="249"/>
        <v>1284</v>
      </c>
      <c r="O848" s="86">
        <f t="shared" si="250"/>
        <v>17249.91</v>
      </c>
      <c r="P848" s="86">
        <f t="shared" si="251"/>
        <v>0</v>
      </c>
      <c r="Q848" s="86">
        <f t="shared" si="252"/>
        <v>0</v>
      </c>
      <c r="R848" s="86">
        <f t="shared" si="253"/>
        <v>0</v>
      </c>
      <c r="S848" s="86">
        <f t="shared" si="254"/>
        <v>0</v>
      </c>
      <c r="T848" s="86">
        <f t="shared" si="255"/>
        <v>17249.91</v>
      </c>
      <c r="U848" s="87">
        <v>17249.91</v>
      </c>
    </row>
    <row r="849" spans="1:21" s="30" customFormat="1" ht="24.6" hidden="1" outlineLevel="1" x14ac:dyDescent="0.55000000000000004">
      <c r="A849" s="27" t="s">
        <v>327</v>
      </c>
      <c r="B849" s="28"/>
      <c r="C849" s="27"/>
      <c r="D849" s="27" t="str">
        <f>"""NAV Direct"",""CRONUS JetCorp USA"",""21"",""1"",""336824"""</f>
        <v>"NAV Direct","CRONUS JetCorp USA","21","1","336824"</v>
      </c>
      <c r="E849" s="31" t="str">
        <f t="shared" si="247"/>
        <v>C100035</v>
      </c>
      <c r="F849" s="31"/>
      <c r="G849" s="31"/>
      <c r="H849" s="31"/>
      <c r="I849" s="56"/>
      <c r="J849" s="56"/>
      <c r="K849" s="82" t="str">
        <f t="shared" si="248"/>
        <v>Invoice</v>
      </c>
      <c r="L849" s="83" t="str">
        <f>"SI_110638"</f>
        <v>SI_110638</v>
      </c>
      <c r="M849" s="84">
        <v>42612</v>
      </c>
      <c r="N849" s="85">
        <f t="shared" si="249"/>
        <v>1200</v>
      </c>
      <c r="O849" s="86">
        <f t="shared" si="250"/>
        <v>16693.87</v>
      </c>
      <c r="P849" s="86">
        <f t="shared" si="251"/>
        <v>0</v>
      </c>
      <c r="Q849" s="86">
        <f t="shared" si="252"/>
        <v>0</v>
      </c>
      <c r="R849" s="86">
        <f t="shared" si="253"/>
        <v>0</v>
      </c>
      <c r="S849" s="86">
        <f t="shared" si="254"/>
        <v>0</v>
      </c>
      <c r="T849" s="86">
        <f t="shared" si="255"/>
        <v>16693.87</v>
      </c>
      <c r="U849" s="87">
        <v>16693.87</v>
      </c>
    </row>
    <row r="850" spans="1:21" s="30" customFormat="1" ht="24.6" hidden="1" outlineLevel="1" x14ac:dyDescent="0.55000000000000004">
      <c r="A850" s="27" t="s">
        <v>327</v>
      </c>
      <c r="B850" s="28"/>
      <c r="C850" s="27"/>
      <c r="D850" s="27" t="str">
        <f>"""NAV Direct"",""CRONUS JetCorp USA"",""21"",""1"",""337478"""</f>
        <v>"NAV Direct","CRONUS JetCorp USA","21","1","337478"</v>
      </c>
      <c r="E850" s="31">
        <f t="shared" si="247"/>
        <v>0</v>
      </c>
      <c r="F850" s="31"/>
      <c r="G850" s="31"/>
      <c r="H850" s="31"/>
      <c r="I850" s="56"/>
      <c r="J850" s="56"/>
      <c r="K850" s="82" t="str">
        <f t="shared" si="248"/>
        <v>Invoice</v>
      </c>
      <c r="L850" s="83" t="str">
        <f>"SI_110656"</f>
        <v>SI_110656</v>
      </c>
      <c r="M850" s="84">
        <v>42701</v>
      </c>
      <c r="N850" s="85">
        <f t="shared" si="249"/>
        <v>1111</v>
      </c>
      <c r="O850" s="86">
        <f t="shared" si="250"/>
        <v>17948.96</v>
      </c>
      <c r="P850" s="86">
        <f t="shared" si="251"/>
        <v>0</v>
      </c>
      <c r="Q850" s="86">
        <f t="shared" si="252"/>
        <v>0</v>
      </c>
      <c r="R850" s="86">
        <f t="shared" si="253"/>
        <v>0</v>
      </c>
      <c r="S850" s="86">
        <f t="shared" si="254"/>
        <v>0</v>
      </c>
      <c r="T850" s="86">
        <f t="shared" si="255"/>
        <v>17948.96</v>
      </c>
      <c r="U850" s="87">
        <v>17948.96</v>
      </c>
    </row>
    <row r="851" spans="1:21" s="30" customFormat="1" ht="24.6" hidden="1" outlineLevel="1" x14ac:dyDescent="0.55000000000000004">
      <c r="A851" s="27" t="s">
        <v>327</v>
      </c>
      <c r="B851" s="28"/>
      <c r="C851" s="27"/>
      <c r="D851" s="27" t="str">
        <f>"""NAV Direct"",""CRONUS JetCorp USA"",""21"",""1"",""337670"""</f>
        <v>"NAV Direct","CRONUS JetCorp USA","21","1","337670"</v>
      </c>
      <c r="E851" s="31" t="str">
        <f t="shared" si="247"/>
        <v>C100035</v>
      </c>
      <c r="F851" s="31"/>
      <c r="G851" s="31"/>
      <c r="H851" s="31"/>
      <c r="I851" s="56"/>
      <c r="J851" s="56"/>
      <c r="K851" s="82" t="str">
        <f t="shared" si="248"/>
        <v>Invoice</v>
      </c>
      <c r="L851" s="83" t="str">
        <f>"SI_110662"</f>
        <v>SI_110662</v>
      </c>
      <c r="M851" s="84">
        <v>42723</v>
      </c>
      <c r="N851" s="85">
        <f t="shared" si="249"/>
        <v>1089</v>
      </c>
      <c r="O851" s="86">
        <f t="shared" si="250"/>
        <v>18722.29</v>
      </c>
      <c r="P851" s="86">
        <f t="shared" si="251"/>
        <v>0</v>
      </c>
      <c r="Q851" s="86">
        <f t="shared" si="252"/>
        <v>0</v>
      </c>
      <c r="R851" s="86">
        <f t="shared" si="253"/>
        <v>0</v>
      </c>
      <c r="S851" s="86">
        <f t="shared" si="254"/>
        <v>0</v>
      </c>
      <c r="T851" s="86">
        <f t="shared" si="255"/>
        <v>18722.29</v>
      </c>
      <c r="U851" s="87">
        <v>18722.29</v>
      </c>
    </row>
    <row r="852" spans="1:21" s="30" customFormat="1" ht="24.6" hidden="1" outlineLevel="1" x14ac:dyDescent="0.55000000000000004">
      <c r="A852" s="27" t="s">
        <v>327</v>
      </c>
      <c r="B852" s="28"/>
      <c r="C852" s="27"/>
      <c r="D852" s="27" t="str">
        <f>"""NAV Direct"",""CRONUS JetCorp USA"",""21"",""1"",""338032"""</f>
        <v>"NAV Direct","CRONUS JetCorp USA","21","1","338032"</v>
      </c>
      <c r="E852" s="31">
        <f t="shared" si="247"/>
        <v>0</v>
      </c>
      <c r="F852" s="31"/>
      <c r="G852" s="31"/>
      <c r="H852" s="31"/>
      <c r="I852" s="56"/>
      <c r="J852" s="56"/>
      <c r="K852" s="82" t="str">
        <f t="shared" si="248"/>
        <v>Invoice</v>
      </c>
      <c r="L852" s="83" t="str">
        <f>"SI_110672"</f>
        <v>SI_110672</v>
      </c>
      <c r="M852" s="84">
        <v>42757</v>
      </c>
      <c r="N852" s="85">
        <f t="shared" si="249"/>
        <v>1055</v>
      </c>
      <c r="O852" s="86">
        <f t="shared" si="250"/>
        <v>18049.63</v>
      </c>
      <c r="P852" s="86">
        <f t="shared" si="251"/>
        <v>0</v>
      </c>
      <c r="Q852" s="86">
        <f t="shared" si="252"/>
        <v>0</v>
      </c>
      <c r="R852" s="86">
        <f t="shared" si="253"/>
        <v>0</v>
      </c>
      <c r="S852" s="86">
        <f t="shared" si="254"/>
        <v>0</v>
      </c>
      <c r="T852" s="86">
        <f t="shared" si="255"/>
        <v>18049.63</v>
      </c>
      <c r="U852" s="87">
        <v>18049.63</v>
      </c>
    </row>
    <row r="853" spans="1:21" s="30" customFormat="1" ht="24.6" hidden="1" outlineLevel="1" x14ac:dyDescent="0.55000000000000004">
      <c r="A853" s="27" t="s">
        <v>327</v>
      </c>
      <c r="B853" s="28"/>
      <c r="C853" s="27"/>
      <c r="D853" s="27" t="str">
        <f>"""NAV Direct"",""CRONUS JetCorp USA"",""21"",""1"",""338500"""</f>
        <v>"NAV Direct","CRONUS JetCorp USA","21","1","338500"</v>
      </c>
      <c r="E853" s="31" t="str">
        <f t="shared" si="247"/>
        <v>C100035</v>
      </c>
      <c r="F853" s="31"/>
      <c r="G853" s="31"/>
      <c r="H853" s="31"/>
      <c r="I853" s="56"/>
      <c r="J853" s="56"/>
      <c r="K853" s="82" t="str">
        <f t="shared" si="248"/>
        <v>Invoice</v>
      </c>
      <c r="L853" s="83" t="str">
        <f>"SI_110684"</f>
        <v>SI_110684</v>
      </c>
      <c r="M853" s="84">
        <v>42814</v>
      </c>
      <c r="N853" s="85">
        <f t="shared" si="249"/>
        <v>998</v>
      </c>
      <c r="O853" s="86">
        <f t="shared" si="250"/>
        <v>16699.16</v>
      </c>
      <c r="P853" s="86">
        <f t="shared" si="251"/>
        <v>0</v>
      </c>
      <c r="Q853" s="86">
        <f t="shared" si="252"/>
        <v>0</v>
      </c>
      <c r="R853" s="86">
        <f t="shared" si="253"/>
        <v>0</v>
      </c>
      <c r="S853" s="86">
        <f t="shared" si="254"/>
        <v>0</v>
      </c>
      <c r="T853" s="86">
        <f t="shared" si="255"/>
        <v>16699.16</v>
      </c>
      <c r="U853" s="87">
        <v>16699.16</v>
      </c>
    </row>
    <row r="854" spans="1:21" s="30" customFormat="1" ht="24.6" hidden="1" outlineLevel="1" x14ac:dyDescent="0.55000000000000004">
      <c r="A854" s="27" t="s">
        <v>327</v>
      </c>
      <c r="B854" s="28"/>
      <c r="C854" s="27"/>
      <c r="D854" s="27" t="str">
        <f>"""NAV Direct"",""CRONUS JetCorp USA"",""21"",""1"",""338947"""</f>
        <v>"NAV Direct","CRONUS JetCorp USA","21","1","338947"</v>
      </c>
      <c r="E854" s="31">
        <f t="shared" si="247"/>
        <v>0</v>
      </c>
      <c r="F854" s="31"/>
      <c r="G854" s="31"/>
      <c r="H854" s="31"/>
      <c r="I854" s="56"/>
      <c r="J854" s="56"/>
      <c r="K854" s="82" t="str">
        <f t="shared" si="248"/>
        <v>Invoice</v>
      </c>
      <c r="L854" s="83" t="str">
        <f>"SI_110695"</f>
        <v>SI_110695</v>
      </c>
      <c r="M854" s="84">
        <v>42860</v>
      </c>
      <c r="N854" s="85">
        <f t="shared" si="249"/>
        <v>952</v>
      </c>
      <c r="O854" s="86">
        <f t="shared" si="250"/>
        <v>17616.66</v>
      </c>
      <c r="P854" s="86">
        <f t="shared" si="251"/>
        <v>0</v>
      </c>
      <c r="Q854" s="86">
        <f t="shared" si="252"/>
        <v>0</v>
      </c>
      <c r="R854" s="86">
        <f t="shared" si="253"/>
        <v>0</v>
      </c>
      <c r="S854" s="86">
        <f t="shared" si="254"/>
        <v>0</v>
      </c>
      <c r="T854" s="86">
        <f t="shared" si="255"/>
        <v>17616.66</v>
      </c>
      <c r="U854" s="87">
        <v>17616.66</v>
      </c>
    </row>
    <row r="855" spans="1:21" s="30" customFormat="1" ht="24.6" hidden="1" outlineLevel="1" x14ac:dyDescent="0.55000000000000004">
      <c r="A855" s="27" t="s">
        <v>327</v>
      </c>
      <c r="B855" s="28"/>
      <c r="C855" s="27"/>
      <c r="D855" s="27" t="str">
        <f>"""NAV Direct"",""CRONUS JetCorp USA"",""21"",""1"",""339072"""</f>
        <v>"NAV Direct","CRONUS JetCorp USA","21","1","339072"</v>
      </c>
      <c r="E855" s="31" t="str">
        <f t="shared" si="247"/>
        <v>C100035</v>
      </c>
      <c r="F855" s="31"/>
      <c r="G855" s="31"/>
      <c r="H855" s="31"/>
      <c r="I855" s="56"/>
      <c r="J855" s="56"/>
      <c r="K855" s="82" t="str">
        <f t="shared" si="248"/>
        <v>Invoice</v>
      </c>
      <c r="L855" s="83" t="str">
        <f>"SI_110698"</f>
        <v>SI_110698</v>
      </c>
      <c r="M855" s="84">
        <v>42876</v>
      </c>
      <c r="N855" s="85">
        <f t="shared" si="249"/>
        <v>936</v>
      </c>
      <c r="O855" s="86">
        <f t="shared" si="250"/>
        <v>19272.060000000001</v>
      </c>
      <c r="P855" s="86">
        <f t="shared" si="251"/>
        <v>0</v>
      </c>
      <c r="Q855" s="86">
        <f t="shared" si="252"/>
        <v>0</v>
      </c>
      <c r="R855" s="86">
        <f t="shared" si="253"/>
        <v>0</v>
      </c>
      <c r="S855" s="86">
        <f t="shared" si="254"/>
        <v>0</v>
      </c>
      <c r="T855" s="86">
        <f t="shared" si="255"/>
        <v>19272.060000000001</v>
      </c>
      <c r="U855" s="87">
        <v>19272.060000000001</v>
      </c>
    </row>
    <row r="856" spans="1:21" s="30" customFormat="1" ht="24.6" hidden="1" outlineLevel="1" x14ac:dyDescent="0.55000000000000004">
      <c r="A856" s="27" t="s">
        <v>327</v>
      </c>
      <c r="B856" s="28"/>
      <c r="C856" s="27"/>
      <c r="D856" s="27" t="str">
        <f>"""NAV Direct"",""CRONUS JetCorp USA"",""21"",""1"",""339322"""</f>
        <v>"NAV Direct","CRONUS JetCorp USA","21","1","339322"</v>
      </c>
      <c r="E856" s="31">
        <f t="shared" si="247"/>
        <v>0</v>
      </c>
      <c r="F856" s="31"/>
      <c r="G856" s="31"/>
      <c r="H856" s="31"/>
      <c r="I856" s="56"/>
      <c r="J856" s="56"/>
      <c r="K856" s="82" t="str">
        <f t="shared" si="248"/>
        <v>Invoice</v>
      </c>
      <c r="L856" s="83" t="str">
        <f>"SI_110704"</f>
        <v>SI_110704</v>
      </c>
      <c r="M856" s="84">
        <v>42903</v>
      </c>
      <c r="N856" s="85">
        <f t="shared" si="249"/>
        <v>909</v>
      </c>
      <c r="O856" s="86">
        <f t="shared" si="250"/>
        <v>19077.46</v>
      </c>
      <c r="P856" s="86">
        <f t="shared" si="251"/>
        <v>0</v>
      </c>
      <c r="Q856" s="86">
        <f t="shared" si="252"/>
        <v>0</v>
      </c>
      <c r="R856" s="86">
        <f t="shared" si="253"/>
        <v>0</v>
      </c>
      <c r="S856" s="86">
        <f t="shared" si="254"/>
        <v>0</v>
      </c>
      <c r="T856" s="86">
        <f t="shared" si="255"/>
        <v>19077.46</v>
      </c>
      <c r="U856" s="87">
        <v>19077.46</v>
      </c>
    </row>
    <row r="857" spans="1:21" s="30" customFormat="1" ht="24.6" hidden="1" outlineLevel="1" x14ac:dyDescent="0.55000000000000004">
      <c r="A857" s="27" t="s">
        <v>327</v>
      </c>
      <c r="B857" s="28"/>
      <c r="C857" s="27"/>
      <c r="D857" s="27" t="str">
        <f>"""NAV Direct"",""CRONUS JetCorp USA"",""21"",""1"",""339480"""</f>
        <v>"NAV Direct","CRONUS JetCorp USA","21","1","339480"</v>
      </c>
      <c r="E857" s="31" t="str">
        <f t="shared" si="247"/>
        <v>C100035</v>
      </c>
      <c r="F857" s="31"/>
      <c r="G857" s="31"/>
      <c r="H857" s="31"/>
      <c r="I857" s="56"/>
      <c r="J857" s="56"/>
      <c r="K857" s="82" t="str">
        <f t="shared" si="248"/>
        <v>Invoice</v>
      </c>
      <c r="L857" s="83" t="str">
        <f>"SI_110708"</f>
        <v>SI_110708</v>
      </c>
      <c r="M857" s="84">
        <v>42918</v>
      </c>
      <c r="N857" s="85">
        <f t="shared" si="249"/>
        <v>894</v>
      </c>
      <c r="O857" s="86">
        <f t="shared" si="250"/>
        <v>19483.030000000002</v>
      </c>
      <c r="P857" s="86">
        <f t="shared" si="251"/>
        <v>0</v>
      </c>
      <c r="Q857" s="86">
        <f t="shared" si="252"/>
        <v>0</v>
      </c>
      <c r="R857" s="86">
        <f t="shared" si="253"/>
        <v>0</v>
      </c>
      <c r="S857" s="86">
        <f t="shared" si="254"/>
        <v>0</v>
      </c>
      <c r="T857" s="86">
        <f t="shared" si="255"/>
        <v>19483.030000000002</v>
      </c>
      <c r="U857" s="87">
        <v>19483.030000000002</v>
      </c>
    </row>
    <row r="858" spans="1:21" s="30" customFormat="1" ht="24.6" hidden="1" outlineLevel="1" x14ac:dyDescent="0.55000000000000004">
      <c r="A858" s="27" t="s">
        <v>327</v>
      </c>
      <c r="B858" s="28"/>
      <c r="C858" s="27"/>
      <c r="D858" s="27" t="str">
        <f>"""NAV Direct"",""CRONUS JetCorp USA"",""21"",""1"",""339657"""</f>
        <v>"NAV Direct","CRONUS JetCorp USA","21","1","339657"</v>
      </c>
      <c r="E858" s="31">
        <f t="shared" si="247"/>
        <v>0</v>
      </c>
      <c r="F858" s="31"/>
      <c r="G858" s="31"/>
      <c r="H858" s="31"/>
      <c r="I858" s="56"/>
      <c r="J858" s="56"/>
      <c r="K858" s="82" t="str">
        <f t="shared" si="248"/>
        <v>Invoice</v>
      </c>
      <c r="L858" s="83" t="str">
        <f>"SI_110713"</f>
        <v>SI_110713</v>
      </c>
      <c r="M858" s="84">
        <v>42944</v>
      </c>
      <c r="N858" s="85">
        <f t="shared" si="249"/>
        <v>868</v>
      </c>
      <c r="O858" s="86">
        <f t="shared" si="250"/>
        <v>18167.3</v>
      </c>
      <c r="P858" s="86">
        <f t="shared" si="251"/>
        <v>0</v>
      </c>
      <c r="Q858" s="86">
        <f t="shared" si="252"/>
        <v>0</v>
      </c>
      <c r="R858" s="86">
        <f t="shared" si="253"/>
        <v>0</v>
      </c>
      <c r="S858" s="86">
        <f t="shared" si="254"/>
        <v>0</v>
      </c>
      <c r="T858" s="86">
        <f t="shared" si="255"/>
        <v>18167.3</v>
      </c>
      <c r="U858" s="87">
        <v>18167.3</v>
      </c>
    </row>
    <row r="859" spans="1:21" s="30" customFormat="1" ht="24.6" hidden="1" outlineLevel="1" x14ac:dyDescent="0.55000000000000004">
      <c r="A859" s="27" t="s">
        <v>327</v>
      </c>
      <c r="B859" s="28"/>
      <c r="C859" s="27"/>
      <c r="D859" s="27" t="str">
        <f>"""NAV Direct"",""CRONUS JetCorp USA"",""21"",""1"",""340135"""</f>
        <v>"NAV Direct","CRONUS JetCorp USA","21","1","340135"</v>
      </c>
      <c r="E859" s="31" t="str">
        <f t="shared" si="247"/>
        <v>C100035</v>
      </c>
      <c r="F859" s="31"/>
      <c r="G859" s="31"/>
      <c r="H859" s="31"/>
      <c r="I859" s="56"/>
      <c r="J859" s="56"/>
      <c r="K859" s="82" t="str">
        <f t="shared" si="248"/>
        <v>Invoice</v>
      </c>
      <c r="L859" s="83" t="str">
        <f>"SI_110725"</f>
        <v>SI_110725</v>
      </c>
      <c r="M859" s="84">
        <v>42986</v>
      </c>
      <c r="N859" s="85">
        <f t="shared" si="249"/>
        <v>826</v>
      </c>
      <c r="O859" s="86">
        <f t="shared" si="250"/>
        <v>18140.21</v>
      </c>
      <c r="P859" s="86">
        <f t="shared" si="251"/>
        <v>0</v>
      </c>
      <c r="Q859" s="86">
        <f t="shared" si="252"/>
        <v>0</v>
      </c>
      <c r="R859" s="86">
        <f t="shared" si="253"/>
        <v>0</v>
      </c>
      <c r="S859" s="86">
        <f t="shared" si="254"/>
        <v>0</v>
      </c>
      <c r="T859" s="86">
        <f t="shared" si="255"/>
        <v>18140.21</v>
      </c>
      <c r="U859" s="87">
        <v>18140.21</v>
      </c>
    </row>
    <row r="860" spans="1:21" s="30" customFormat="1" ht="24.6" hidden="1" outlineLevel="1" x14ac:dyDescent="0.55000000000000004">
      <c r="A860" s="27" t="s">
        <v>327</v>
      </c>
      <c r="B860" s="28"/>
      <c r="C860" s="27"/>
      <c r="D860" s="27" t="str">
        <f>"""NAV Direct"",""CRONUS JetCorp USA"",""21"",""1"",""340275"""</f>
        <v>"NAV Direct","CRONUS JetCorp USA","21","1","340275"</v>
      </c>
      <c r="E860" s="31">
        <f t="shared" si="247"/>
        <v>0</v>
      </c>
      <c r="F860" s="31"/>
      <c r="G860" s="31"/>
      <c r="H860" s="31"/>
      <c r="I860" s="56"/>
      <c r="J860" s="56"/>
      <c r="K860" s="82" t="str">
        <f t="shared" si="248"/>
        <v>Invoice</v>
      </c>
      <c r="L860" s="83" t="str">
        <f>"SI_110729"</f>
        <v>SI_110729</v>
      </c>
      <c r="M860" s="84">
        <v>43006</v>
      </c>
      <c r="N860" s="85">
        <f t="shared" si="249"/>
        <v>806</v>
      </c>
      <c r="O860" s="86">
        <f t="shared" si="250"/>
        <v>18189.3</v>
      </c>
      <c r="P860" s="86">
        <f t="shared" si="251"/>
        <v>0</v>
      </c>
      <c r="Q860" s="86">
        <f t="shared" si="252"/>
        <v>0</v>
      </c>
      <c r="R860" s="86">
        <f t="shared" si="253"/>
        <v>0</v>
      </c>
      <c r="S860" s="86">
        <f t="shared" si="254"/>
        <v>0</v>
      </c>
      <c r="T860" s="86">
        <f t="shared" si="255"/>
        <v>18189.3</v>
      </c>
      <c r="U860" s="87">
        <v>18189.3</v>
      </c>
    </row>
    <row r="861" spans="1:21" s="30" customFormat="1" ht="24.6" hidden="1" outlineLevel="1" x14ac:dyDescent="0.55000000000000004">
      <c r="A861" s="27" t="s">
        <v>327</v>
      </c>
      <c r="B861" s="28"/>
      <c r="C861" s="27"/>
      <c r="D861" s="27" t="str">
        <f>"""NAV Direct"",""CRONUS JetCorp USA"",""21"",""1"",""341108"""</f>
        <v>"NAV Direct","CRONUS JetCorp USA","21","1","341108"</v>
      </c>
      <c r="E861" s="31" t="str">
        <f t="shared" si="247"/>
        <v>C100035</v>
      </c>
      <c r="F861" s="31"/>
      <c r="G861" s="31"/>
      <c r="H861" s="31"/>
      <c r="I861" s="56"/>
      <c r="J861" s="56"/>
      <c r="K861" s="82" t="str">
        <f t="shared" si="248"/>
        <v>Invoice</v>
      </c>
      <c r="L861" s="83" t="str">
        <f>"SI_110750"</f>
        <v>SI_110750</v>
      </c>
      <c r="M861" s="84">
        <v>43067</v>
      </c>
      <c r="N861" s="85">
        <f t="shared" si="249"/>
        <v>745</v>
      </c>
      <c r="O861" s="86">
        <f t="shared" si="250"/>
        <v>19297.14</v>
      </c>
      <c r="P861" s="86">
        <f t="shared" si="251"/>
        <v>0</v>
      </c>
      <c r="Q861" s="86">
        <f t="shared" si="252"/>
        <v>0</v>
      </c>
      <c r="R861" s="86">
        <f t="shared" si="253"/>
        <v>0</v>
      </c>
      <c r="S861" s="86">
        <f t="shared" si="254"/>
        <v>0</v>
      </c>
      <c r="T861" s="86">
        <f t="shared" si="255"/>
        <v>19297.14</v>
      </c>
      <c r="U861" s="87">
        <v>19297.14</v>
      </c>
    </row>
    <row r="862" spans="1:21" s="30" customFormat="1" ht="24.6" hidden="1" outlineLevel="1" x14ac:dyDescent="0.55000000000000004">
      <c r="A862" s="27" t="s">
        <v>327</v>
      </c>
      <c r="B862" s="28"/>
      <c r="C862" s="27"/>
      <c r="D862" s="27" t="str">
        <f>"""NAV Direct"",""CRONUS JetCorp USA"",""21"",""1"",""341678"""</f>
        <v>"NAV Direct","CRONUS JetCorp USA","21","1","341678"</v>
      </c>
      <c r="E862" s="31">
        <f t="shared" si="247"/>
        <v>0</v>
      </c>
      <c r="F862" s="31"/>
      <c r="G862" s="31"/>
      <c r="H862" s="31"/>
      <c r="I862" s="56"/>
      <c r="J862" s="56"/>
      <c r="K862" s="82" t="str">
        <f t="shared" si="248"/>
        <v>Invoice</v>
      </c>
      <c r="L862" s="83" t="str">
        <f>"SI_110766"</f>
        <v>SI_110766</v>
      </c>
      <c r="M862" s="84">
        <v>43132</v>
      </c>
      <c r="N862" s="85">
        <f t="shared" si="249"/>
        <v>680</v>
      </c>
      <c r="O862" s="86">
        <f t="shared" si="250"/>
        <v>19694.64</v>
      </c>
      <c r="P862" s="86">
        <f t="shared" si="251"/>
        <v>0</v>
      </c>
      <c r="Q862" s="86">
        <f t="shared" si="252"/>
        <v>0</v>
      </c>
      <c r="R862" s="86">
        <f t="shared" si="253"/>
        <v>0</v>
      </c>
      <c r="S862" s="86">
        <f t="shared" si="254"/>
        <v>0</v>
      </c>
      <c r="T862" s="86">
        <f t="shared" si="255"/>
        <v>19694.64</v>
      </c>
      <c r="U862" s="87">
        <v>19694.64</v>
      </c>
    </row>
    <row r="863" spans="1:21" s="30" customFormat="1" ht="24.6" hidden="1" outlineLevel="1" x14ac:dyDescent="0.55000000000000004">
      <c r="A863" s="27" t="s">
        <v>327</v>
      </c>
      <c r="B863" s="28"/>
      <c r="C863" s="27"/>
      <c r="D863" s="27" t="str">
        <f>"""NAV Direct"",""CRONUS JetCorp USA"",""21"",""1"",""341947"""</f>
        <v>"NAV Direct","CRONUS JetCorp USA","21","1","341947"</v>
      </c>
      <c r="E863" s="31" t="str">
        <f t="shared" si="247"/>
        <v>C100035</v>
      </c>
      <c r="F863" s="31"/>
      <c r="G863" s="31"/>
      <c r="H863" s="31"/>
      <c r="I863" s="56"/>
      <c r="J863" s="56"/>
      <c r="K863" s="82" t="str">
        <f t="shared" si="248"/>
        <v>Invoice</v>
      </c>
      <c r="L863" s="83" t="str">
        <f>"SI_110773"</f>
        <v>SI_110773</v>
      </c>
      <c r="M863" s="84">
        <v>43166</v>
      </c>
      <c r="N863" s="85">
        <f t="shared" si="249"/>
        <v>646</v>
      </c>
      <c r="O863" s="86">
        <f t="shared" si="250"/>
        <v>18429.27</v>
      </c>
      <c r="P863" s="86">
        <f t="shared" si="251"/>
        <v>0</v>
      </c>
      <c r="Q863" s="86">
        <f t="shared" si="252"/>
        <v>0</v>
      </c>
      <c r="R863" s="86">
        <f t="shared" si="253"/>
        <v>0</v>
      </c>
      <c r="S863" s="86">
        <f t="shared" si="254"/>
        <v>0</v>
      </c>
      <c r="T863" s="86">
        <f t="shared" si="255"/>
        <v>18429.27</v>
      </c>
      <c r="U863" s="87">
        <v>18429.27</v>
      </c>
    </row>
    <row r="864" spans="1:21" s="30" customFormat="1" ht="24.6" hidden="1" outlineLevel="1" x14ac:dyDescent="0.55000000000000004">
      <c r="A864" s="27" t="s">
        <v>327</v>
      </c>
      <c r="B864" s="28"/>
      <c r="C864" s="27"/>
      <c r="D864" s="27" t="str">
        <f>"""NAV Direct"",""CRONUS JetCorp USA"",""21"",""1"",""341994"""</f>
        <v>"NAV Direct","CRONUS JetCorp USA","21","1","341994"</v>
      </c>
      <c r="E864" s="31">
        <f t="shared" si="247"/>
        <v>0</v>
      </c>
      <c r="F864" s="31"/>
      <c r="G864" s="31"/>
      <c r="H864" s="31"/>
      <c r="I864" s="56"/>
      <c r="J864" s="56"/>
      <c r="K864" s="82" t="str">
        <f t="shared" si="248"/>
        <v>Invoice</v>
      </c>
      <c r="L864" s="83" t="str">
        <f>"SI_110774"</f>
        <v>SI_110774</v>
      </c>
      <c r="M864" s="84">
        <v>43176</v>
      </c>
      <c r="N864" s="85">
        <f t="shared" si="249"/>
        <v>636</v>
      </c>
      <c r="O864" s="86">
        <f t="shared" si="250"/>
        <v>18226.09</v>
      </c>
      <c r="P864" s="86">
        <f t="shared" si="251"/>
        <v>0</v>
      </c>
      <c r="Q864" s="86">
        <f t="shared" si="252"/>
        <v>0</v>
      </c>
      <c r="R864" s="86">
        <f t="shared" si="253"/>
        <v>0</v>
      </c>
      <c r="S864" s="86">
        <f t="shared" si="254"/>
        <v>0</v>
      </c>
      <c r="T864" s="86">
        <f t="shared" si="255"/>
        <v>18226.09</v>
      </c>
      <c r="U864" s="87">
        <v>18226.09</v>
      </c>
    </row>
    <row r="865" spans="1:21" s="30" customFormat="1" ht="24.6" hidden="1" outlineLevel="1" x14ac:dyDescent="0.55000000000000004">
      <c r="A865" s="27" t="s">
        <v>327</v>
      </c>
      <c r="B865" s="28"/>
      <c r="C865" s="27"/>
      <c r="D865" s="27" t="str">
        <f>"""NAV Direct"",""CRONUS JetCorp USA"",""21"",""1"",""342031"""</f>
        <v>"NAV Direct","CRONUS JetCorp USA","21","1","342031"</v>
      </c>
      <c r="E865" s="31" t="str">
        <f t="shared" si="247"/>
        <v>C100035</v>
      </c>
      <c r="F865" s="31"/>
      <c r="G865" s="31"/>
      <c r="H865" s="31"/>
      <c r="I865" s="56"/>
      <c r="J865" s="56"/>
      <c r="K865" s="82" t="str">
        <f t="shared" si="248"/>
        <v>Invoice</v>
      </c>
      <c r="L865" s="83" t="str">
        <f>"SI_110775"</f>
        <v>SI_110775</v>
      </c>
      <c r="M865" s="84">
        <v>43189</v>
      </c>
      <c r="N865" s="85">
        <f t="shared" si="249"/>
        <v>623</v>
      </c>
      <c r="O865" s="86">
        <f t="shared" si="250"/>
        <v>18422.010000000002</v>
      </c>
      <c r="P865" s="86">
        <f t="shared" si="251"/>
        <v>0</v>
      </c>
      <c r="Q865" s="86">
        <f t="shared" si="252"/>
        <v>0</v>
      </c>
      <c r="R865" s="86">
        <f t="shared" si="253"/>
        <v>0</v>
      </c>
      <c r="S865" s="86">
        <f t="shared" si="254"/>
        <v>0</v>
      </c>
      <c r="T865" s="86">
        <f t="shared" si="255"/>
        <v>18422.010000000002</v>
      </c>
      <c r="U865" s="87">
        <v>18422.010000000002</v>
      </c>
    </row>
    <row r="866" spans="1:21" s="30" customFormat="1" ht="24.6" hidden="1" outlineLevel="1" x14ac:dyDescent="0.55000000000000004">
      <c r="A866" s="27" t="s">
        <v>327</v>
      </c>
      <c r="B866" s="28"/>
      <c r="C866" s="27"/>
      <c r="D866" s="27" t="str">
        <f>"""NAV Direct"",""CRONUS JetCorp USA"",""21"",""1"",""342659"""</f>
        <v>"NAV Direct","CRONUS JetCorp USA","21","1","342659"</v>
      </c>
      <c r="E866" s="31">
        <f t="shared" si="247"/>
        <v>0</v>
      </c>
      <c r="F866" s="31"/>
      <c r="G866" s="31"/>
      <c r="H866" s="31"/>
      <c r="I866" s="56"/>
      <c r="J866" s="56"/>
      <c r="K866" s="82" t="str">
        <f t="shared" si="248"/>
        <v>Invoice</v>
      </c>
      <c r="L866" s="83" t="str">
        <f>"SI_110791"</f>
        <v>SI_110791</v>
      </c>
      <c r="M866" s="84">
        <v>43246</v>
      </c>
      <c r="N866" s="85">
        <f t="shared" si="249"/>
        <v>566</v>
      </c>
      <c r="O866" s="86">
        <f t="shared" si="250"/>
        <v>20276.150000000001</v>
      </c>
      <c r="P866" s="86">
        <f t="shared" si="251"/>
        <v>0</v>
      </c>
      <c r="Q866" s="86">
        <f t="shared" si="252"/>
        <v>0</v>
      </c>
      <c r="R866" s="86">
        <f t="shared" si="253"/>
        <v>0</v>
      </c>
      <c r="S866" s="86">
        <f t="shared" si="254"/>
        <v>0</v>
      </c>
      <c r="T866" s="86">
        <f t="shared" si="255"/>
        <v>20276.150000000001</v>
      </c>
      <c r="U866" s="87">
        <v>20276.150000000001</v>
      </c>
    </row>
    <row r="867" spans="1:21" s="30" customFormat="1" ht="24.6" hidden="1" outlineLevel="1" x14ac:dyDescent="0.55000000000000004">
      <c r="A867" s="27" t="s">
        <v>327</v>
      </c>
      <c r="B867" s="28"/>
      <c r="C867" s="27"/>
      <c r="D867" s="27" t="str">
        <f>"""NAV Direct"",""CRONUS JetCorp USA"",""21"",""1"",""342692"""</f>
        <v>"NAV Direct","CRONUS JetCorp USA","21","1","342692"</v>
      </c>
      <c r="E867" s="31" t="str">
        <f t="shared" si="247"/>
        <v>C100035</v>
      </c>
      <c r="F867" s="31"/>
      <c r="G867" s="31"/>
      <c r="H867" s="31"/>
      <c r="I867" s="56"/>
      <c r="J867" s="56"/>
      <c r="K867" s="82" t="str">
        <f t="shared" si="248"/>
        <v>Invoice</v>
      </c>
      <c r="L867" s="83" t="str">
        <f>"SI_110792"</f>
        <v>SI_110792</v>
      </c>
      <c r="M867" s="84">
        <v>43251</v>
      </c>
      <c r="N867" s="85">
        <f t="shared" si="249"/>
        <v>561</v>
      </c>
      <c r="O867" s="86">
        <f t="shared" si="250"/>
        <v>20277.48</v>
      </c>
      <c r="P867" s="86">
        <f t="shared" si="251"/>
        <v>0</v>
      </c>
      <c r="Q867" s="86">
        <f t="shared" si="252"/>
        <v>0</v>
      </c>
      <c r="R867" s="86">
        <f t="shared" si="253"/>
        <v>0</v>
      </c>
      <c r="S867" s="86">
        <f t="shared" si="254"/>
        <v>0</v>
      </c>
      <c r="T867" s="86">
        <f t="shared" si="255"/>
        <v>20277.48</v>
      </c>
      <c r="U867" s="87">
        <v>20277.48</v>
      </c>
    </row>
    <row r="868" spans="1:21" s="30" customFormat="1" ht="24.6" hidden="1" outlineLevel="1" x14ac:dyDescent="0.55000000000000004">
      <c r="A868" s="27" t="s">
        <v>327</v>
      </c>
      <c r="B868" s="28"/>
      <c r="C868" s="27"/>
      <c r="D868" s="27" t="str">
        <f>"""NAV Direct"",""CRONUS JetCorp USA"",""21"",""1"",""343068"""</f>
        <v>"NAV Direct","CRONUS JetCorp USA","21","1","343068"</v>
      </c>
      <c r="E868" s="31">
        <f t="shared" si="247"/>
        <v>0</v>
      </c>
      <c r="F868" s="31"/>
      <c r="G868" s="31"/>
      <c r="H868" s="31"/>
      <c r="I868" s="56"/>
      <c r="J868" s="56"/>
      <c r="K868" s="82" t="str">
        <f t="shared" si="248"/>
        <v>Invoice</v>
      </c>
      <c r="L868" s="83" t="str">
        <f>"SI_110802"</f>
        <v>SI_110802</v>
      </c>
      <c r="M868" s="84">
        <v>43290</v>
      </c>
      <c r="N868" s="85">
        <f t="shared" si="249"/>
        <v>522</v>
      </c>
      <c r="O868" s="86">
        <f t="shared" si="250"/>
        <v>20843.830000000002</v>
      </c>
      <c r="P868" s="86">
        <f t="shared" si="251"/>
        <v>0</v>
      </c>
      <c r="Q868" s="86">
        <f t="shared" si="252"/>
        <v>0</v>
      </c>
      <c r="R868" s="86">
        <f t="shared" si="253"/>
        <v>0</v>
      </c>
      <c r="S868" s="86">
        <f t="shared" si="254"/>
        <v>0</v>
      </c>
      <c r="T868" s="86">
        <f t="shared" si="255"/>
        <v>20843.830000000002</v>
      </c>
      <c r="U868" s="87">
        <v>20843.830000000002</v>
      </c>
    </row>
    <row r="869" spans="1:21" s="30" customFormat="1" ht="24.6" hidden="1" outlineLevel="1" x14ac:dyDescent="0.55000000000000004">
      <c r="A869" s="27" t="s">
        <v>327</v>
      </c>
      <c r="B869" s="28"/>
      <c r="C869" s="27"/>
      <c r="D869" s="27" t="str">
        <f>"""NAV Direct"",""CRONUS JetCorp USA"",""21"",""1"",""343427"""</f>
        <v>"NAV Direct","CRONUS JetCorp USA","21","1","343427"</v>
      </c>
      <c r="E869" s="31" t="str">
        <f t="shared" si="247"/>
        <v>C100035</v>
      </c>
      <c r="F869" s="31"/>
      <c r="G869" s="31"/>
      <c r="H869" s="31"/>
      <c r="I869" s="56"/>
      <c r="J869" s="56"/>
      <c r="K869" s="82" t="str">
        <f t="shared" si="248"/>
        <v>Invoice</v>
      </c>
      <c r="L869" s="83" t="str">
        <f>"SI_110811"</f>
        <v>SI_110811</v>
      </c>
      <c r="M869" s="84">
        <v>43327</v>
      </c>
      <c r="N869" s="85">
        <f t="shared" si="249"/>
        <v>485</v>
      </c>
      <c r="O869" s="86">
        <f t="shared" si="250"/>
        <v>19897.2</v>
      </c>
      <c r="P869" s="86">
        <f t="shared" si="251"/>
        <v>0</v>
      </c>
      <c r="Q869" s="86">
        <f t="shared" si="252"/>
        <v>0</v>
      </c>
      <c r="R869" s="86">
        <f t="shared" si="253"/>
        <v>0</v>
      </c>
      <c r="S869" s="86">
        <f t="shared" si="254"/>
        <v>0</v>
      </c>
      <c r="T869" s="86">
        <f t="shared" si="255"/>
        <v>19897.2</v>
      </c>
      <c r="U869" s="87">
        <v>19897.2</v>
      </c>
    </row>
    <row r="870" spans="1:21" s="30" customFormat="1" ht="24.6" hidden="1" outlineLevel="1" x14ac:dyDescent="0.55000000000000004">
      <c r="A870" s="27" t="s">
        <v>327</v>
      </c>
      <c r="B870" s="28"/>
      <c r="C870" s="27"/>
      <c r="D870" s="27" t="str">
        <f>"""NAV Direct"",""CRONUS JetCorp USA"",""21"",""1"",""343758"""</f>
        <v>"NAV Direct","CRONUS JetCorp USA","21","1","343758"</v>
      </c>
      <c r="E870" s="31">
        <f t="shared" si="247"/>
        <v>0</v>
      </c>
      <c r="F870" s="31"/>
      <c r="G870" s="31"/>
      <c r="H870" s="31"/>
      <c r="I870" s="56"/>
      <c r="J870" s="56"/>
      <c r="K870" s="82" t="str">
        <f t="shared" si="248"/>
        <v>Invoice</v>
      </c>
      <c r="L870" s="83" t="str">
        <f>"SI_110820"</f>
        <v>SI_110820</v>
      </c>
      <c r="M870" s="84">
        <v>43363</v>
      </c>
      <c r="N870" s="85">
        <f t="shared" si="249"/>
        <v>449</v>
      </c>
      <c r="O870" s="86">
        <f t="shared" si="250"/>
        <v>18192.98</v>
      </c>
      <c r="P870" s="86">
        <f t="shared" si="251"/>
        <v>0</v>
      </c>
      <c r="Q870" s="86">
        <f t="shared" si="252"/>
        <v>0</v>
      </c>
      <c r="R870" s="86">
        <f t="shared" si="253"/>
        <v>0</v>
      </c>
      <c r="S870" s="86">
        <f t="shared" si="254"/>
        <v>0</v>
      </c>
      <c r="T870" s="86">
        <f t="shared" si="255"/>
        <v>18192.98</v>
      </c>
      <c r="U870" s="87">
        <v>18192.98</v>
      </c>
    </row>
    <row r="871" spans="1:21" s="30" customFormat="1" ht="24.6" hidden="1" outlineLevel="1" x14ac:dyDescent="0.55000000000000004">
      <c r="A871" s="27" t="s">
        <v>327</v>
      </c>
      <c r="B871" s="28"/>
      <c r="C871" s="27"/>
      <c r="D871" s="27" t="str">
        <f>"""NAV Direct"",""CRONUS JetCorp USA"",""21"",""1"",""343797"""</f>
        <v>"NAV Direct","CRONUS JetCorp USA","21","1","343797"</v>
      </c>
      <c r="E871" s="31" t="str">
        <f t="shared" si="247"/>
        <v>C100035</v>
      </c>
      <c r="F871" s="31"/>
      <c r="G871" s="31"/>
      <c r="H871" s="31"/>
      <c r="I871" s="56"/>
      <c r="J871" s="56"/>
      <c r="K871" s="82" t="str">
        <f t="shared" si="248"/>
        <v>Invoice</v>
      </c>
      <c r="L871" s="83" t="str">
        <f>"SI_110821"</f>
        <v>SI_110821</v>
      </c>
      <c r="M871" s="84">
        <v>43363</v>
      </c>
      <c r="N871" s="85">
        <f t="shared" si="249"/>
        <v>449</v>
      </c>
      <c r="O871" s="86">
        <f t="shared" si="250"/>
        <v>19379.810000000001</v>
      </c>
      <c r="P871" s="86">
        <f t="shared" si="251"/>
        <v>0</v>
      </c>
      <c r="Q871" s="86">
        <f t="shared" si="252"/>
        <v>0</v>
      </c>
      <c r="R871" s="86">
        <f t="shared" si="253"/>
        <v>0</v>
      </c>
      <c r="S871" s="86">
        <f t="shared" si="254"/>
        <v>0</v>
      </c>
      <c r="T871" s="86">
        <f t="shared" si="255"/>
        <v>19379.810000000001</v>
      </c>
      <c r="U871" s="87">
        <v>19379.810000000001</v>
      </c>
    </row>
    <row r="872" spans="1:21" s="30" customFormat="1" ht="24.6" hidden="1" outlineLevel="1" x14ac:dyDescent="0.55000000000000004">
      <c r="A872" s="27" t="s">
        <v>327</v>
      </c>
      <c r="B872" s="28"/>
      <c r="C872" s="27"/>
      <c r="D872" s="27" t="str">
        <f>"""NAV Direct"",""CRONUS JetCorp USA"",""21"",""1"",""343846"""</f>
        <v>"NAV Direct","CRONUS JetCorp USA","21","1","343846"</v>
      </c>
      <c r="E872" s="31">
        <f t="shared" si="247"/>
        <v>0</v>
      </c>
      <c r="F872" s="31"/>
      <c r="G872" s="31"/>
      <c r="H872" s="31"/>
      <c r="I872" s="56"/>
      <c r="J872" s="56"/>
      <c r="K872" s="82" t="str">
        <f t="shared" si="248"/>
        <v>Invoice</v>
      </c>
      <c r="L872" s="83" t="str">
        <f>"SI_110822"</f>
        <v>SI_110822</v>
      </c>
      <c r="M872" s="84">
        <v>43368</v>
      </c>
      <c r="N872" s="85">
        <f t="shared" si="249"/>
        <v>444</v>
      </c>
      <c r="O872" s="86">
        <f t="shared" si="250"/>
        <v>17994.41</v>
      </c>
      <c r="P872" s="86">
        <f t="shared" si="251"/>
        <v>0</v>
      </c>
      <c r="Q872" s="86">
        <f t="shared" si="252"/>
        <v>0</v>
      </c>
      <c r="R872" s="86">
        <f t="shared" si="253"/>
        <v>0</v>
      </c>
      <c r="S872" s="86">
        <f t="shared" si="254"/>
        <v>0</v>
      </c>
      <c r="T872" s="86">
        <f t="shared" si="255"/>
        <v>17994.41</v>
      </c>
      <c r="U872" s="87">
        <v>17994.41</v>
      </c>
    </row>
    <row r="873" spans="1:21" s="30" customFormat="1" ht="24.6" hidden="1" outlineLevel="1" x14ac:dyDescent="0.55000000000000004">
      <c r="A873" s="27" t="s">
        <v>327</v>
      </c>
      <c r="B873" s="28"/>
      <c r="C873" s="27"/>
      <c r="D873" s="27" t="str">
        <f>"""NAV Direct"",""CRONUS JetCorp USA"",""21"",""1"",""344308"""</f>
        <v>"NAV Direct","CRONUS JetCorp USA","21","1","344308"</v>
      </c>
      <c r="E873" s="31" t="str">
        <f t="shared" si="247"/>
        <v>C100035</v>
      </c>
      <c r="F873" s="31"/>
      <c r="G873" s="31"/>
      <c r="H873" s="31"/>
      <c r="I873" s="56"/>
      <c r="J873" s="56"/>
      <c r="K873" s="82" t="str">
        <f t="shared" si="248"/>
        <v>Invoice</v>
      </c>
      <c r="L873" s="83" t="str">
        <f>"SI_110834"</f>
        <v>SI_110834</v>
      </c>
      <c r="M873" s="84">
        <v>43422</v>
      </c>
      <c r="N873" s="85">
        <f t="shared" si="249"/>
        <v>390</v>
      </c>
      <c r="O873" s="86">
        <f t="shared" si="250"/>
        <v>19491.86</v>
      </c>
      <c r="P873" s="86">
        <f t="shared" si="251"/>
        <v>0</v>
      </c>
      <c r="Q873" s="86">
        <f t="shared" si="252"/>
        <v>0</v>
      </c>
      <c r="R873" s="86">
        <f t="shared" si="253"/>
        <v>0</v>
      </c>
      <c r="S873" s="86">
        <f t="shared" si="254"/>
        <v>0</v>
      </c>
      <c r="T873" s="86">
        <f t="shared" si="255"/>
        <v>19491.86</v>
      </c>
      <c r="U873" s="87">
        <v>19491.86</v>
      </c>
    </row>
    <row r="874" spans="1:21" s="30" customFormat="1" ht="24.6" hidden="1" outlineLevel="1" x14ac:dyDescent="0.55000000000000004">
      <c r="A874" s="27" t="s">
        <v>327</v>
      </c>
      <c r="B874" s="28"/>
      <c r="C874" s="27"/>
      <c r="D874" s="27" t="str">
        <f>"""NAV Direct"",""CRONUS JetCorp USA"",""21"",""1"",""345097"""</f>
        <v>"NAV Direct","CRONUS JetCorp USA","21","1","345097"</v>
      </c>
      <c r="E874" s="31">
        <f t="shared" si="247"/>
        <v>0</v>
      </c>
      <c r="F874" s="31"/>
      <c r="G874" s="31"/>
      <c r="H874" s="31"/>
      <c r="I874" s="56"/>
      <c r="J874" s="56"/>
      <c r="K874" s="82" t="str">
        <f t="shared" si="248"/>
        <v>Invoice</v>
      </c>
      <c r="L874" s="83" t="str">
        <f>"SI_110853"</f>
        <v>SI_110853</v>
      </c>
      <c r="M874" s="84">
        <v>43487</v>
      </c>
      <c r="N874" s="85">
        <f t="shared" si="249"/>
        <v>325</v>
      </c>
      <c r="O874" s="86">
        <f t="shared" si="250"/>
        <v>19758.62</v>
      </c>
      <c r="P874" s="86">
        <f t="shared" si="251"/>
        <v>0</v>
      </c>
      <c r="Q874" s="86">
        <f t="shared" si="252"/>
        <v>0</v>
      </c>
      <c r="R874" s="86">
        <f t="shared" si="253"/>
        <v>0</v>
      </c>
      <c r="S874" s="86">
        <f t="shared" si="254"/>
        <v>0</v>
      </c>
      <c r="T874" s="86">
        <f t="shared" si="255"/>
        <v>19758.62</v>
      </c>
      <c r="U874" s="87">
        <v>19758.62</v>
      </c>
    </row>
    <row r="875" spans="1:21" s="30" customFormat="1" ht="24.6" hidden="1" outlineLevel="1" x14ac:dyDescent="0.55000000000000004">
      <c r="A875" s="27" t="s">
        <v>327</v>
      </c>
      <c r="B875" s="28"/>
      <c r="C875" s="27"/>
      <c r="D875" s="27" t="str">
        <f>"""NAV Direct"",""CRONUS JetCorp USA"",""21"",""1"",""345124"""</f>
        <v>"NAV Direct","CRONUS JetCorp USA","21","1","345124"</v>
      </c>
      <c r="E875" s="31" t="str">
        <f t="shared" si="247"/>
        <v>C100035</v>
      </c>
      <c r="F875" s="31"/>
      <c r="G875" s="31"/>
      <c r="H875" s="31"/>
      <c r="I875" s="56"/>
      <c r="J875" s="56"/>
      <c r="K875" s="82" t="str">
        <f t="shared" si="248"/>
        <v>Invoice</v>
      </c>
      <c r="L875" s="83" t="str">
        <f>"SI_110854"</f>
        <v>SI_110854</v>
      </c>
      <c r="M875" s="84">
        <v>43492</v>
      </c>
      <c r="N875" s="85">
        <f t="shared" si="249"/>
        <v>320</v>
      </c>
      <c r="O875" s="86">
        <f t="shared" si="250"/>
        <v>20821.07</v>
      </c>
      <c r="P875" s="86">
        <f t="shared" si="251"/>
        <v>0</v>
      </c>
      <c r="Q875" s="86">
        <f t="shared" si="252"/>
        <v>0</v>
      </c>
      <c r="R875" s="86">
        <f t="shared" si="253"/>
        <v>0</v>
      </c>
      <c r="S875" s="86">
        <f t="shared" si="254"/>
        <v>0</v>
      </c>
      <c r="T875" s="86">
        <f t="shared" si="255"/>
        <v>20821.07</v>
      </c>
      <c r="U875" s="87">
        <v>20821.07</v>
      </c>
    </row>
    <row r="876" spans="1:21" s="30" customFormat="1" ht="24.6" hidden="1" outlineLevel="1" x14ac:dyDescent="0.55000000000000004">
      <c r="A876" s="27" t="s">
        <v>327</v>
      </c>
      <c r="B876" s="28"/>
      <c r="C876" s="27"/>
      <c r="D876" s="27" t="str">
        <f>"""NAV Direct"",""CRONUS JetCorp USA"",""21"",""1"",""345202"""</f>
        <v>"NAV Direct","CRONUS JetCorp USA","21","1","345202"</v>
      </c>
      <c r="E876" s="31">
        <f t="shared" si="247"/>
        <v>0</v>
      </c>
      <c r="F876" s="31"/>
      <c r="G876" s="31"/>
      <c r="H876" s="31"/>
      <c r="I876" s="56"/>
      <c r="J876" s="56"/>
      <c r="K876" s="82" t="str">
        <f t="shared" si="248"/>
        <v>Invoice</v>
      </c>
      <c r="L876" s="83" t="str">
        <f>"SI_110856"</f>
        <v>SI_110856</v>
      </c>
      <c r="M876" s="84">
        <v>43489</v>
      </c>
      <c r="N876" s="85">
        <f t="shared" si="249"/>
        <v>323</v>
      </c>
      <c r="O876" s="86">
        <f t="shared" si="250"/>
        <v>20607.18</v>
      </c>
      <c r="P876" s="86">
        <f t="shared" si="251"/>
        <v>0</v>
      </c>
      <c r="Q876" s="86">
        <f t="shared" si="252"/>
        <v>0</v>
      </c>
      <c r="R876" s="86">
        <f t="shared" si="253"/>
        <v>0</v>
      </c>
      <c r="S876" s="86">
        <f t="shared" si="254"/>
        <v>0</v>
      </c>
      <c r="T876" s="86">
        <f t="shared" si="255"/>
        <v>20607.18</v>
      </c>
      <c r="U876" s="87">
        <v>20607.18</v>
      </c>
    </row>
    <row r="877" spans="1:21" s="30" customFormat="1" ht="24.6" hidden="1" outlineLevel="1" x14ac:dyDescent="0.55000000000000004">
      <c r="A877" s="27" t="s">
        <v>327</v>
      </c>
      <c r="B877" s="28"/>
      <c r="C877" s="27"/>
      <c r="D877" s="27" t="str">
        <f>"""NAV Direct"",""CRONUS JetCorp USA"",""21"",""1"",""346850"""</f>
        <v>"NAV Direct","CRONUS JetCorp USA","21","1","346850"</v>
      </c>
      <c r="E877" s="31" t="str">
        <f t="shared" si="247"/>
        <v>C100035</v>
      </c>
      <c r="F877" s="31"/>
      <c r="G877" s="31"/>
      <c r="H877" s="31"/>
      <c r="I877" s="56"/>
      <c r="J877" s="56"/>
      <c r="K877" s="82" t="str">
        <f t="shared" si="248"/>
        <v>Invoice</v>
      </c>
      <c r="L877" s="83" t="str">
        <f>"SI_110896"</f>
        <v>SI_110896</v>
      </c>
      <c r="M877" s="84">
        <v>43646</v>
      </c>
      <c r="N877" s="85">
        <f t="shared" si="249"/>
        <v>166</v>
      </c>
      <c r="O877" s="86">
        <f t="shared" si="250"/>
        <v>21085.329999999998</v>
      </c>
      <c r="P877" s="86">
        <f t="shared" si="251"/>
        <v>0</v>
      </c>
      <c r="Q877" s="86">
        <f t="shared" si="252"/>
        <v>0</v>
      </c>
      <c r="R877" s="86">
        <f t="shared" si="253"/>
        <v>0</v>
      </c>
      <c r="S877" s="86">
        <f t="shared" si="254"/>
        <v>0</v>
      </c>
      <c r="T877" s="86">
        <f t="shared" si="255"/>
        <v>21085.329999999998</v>
      </c>
      <c r="U877" s="87">
        <v>21085.329999999998</v>
      </c>
    </row>
    <row r="878" spans="1:21" s="30" customFormat="1" ht="24.6" hidden="1" outlineLevel="1" x14ac:dyDescent="0.55000000000000004">
      <c r="A878" s="27" t="s">
        <v>327</v>
      </c>
      <c r="B878" s="28"/>
      <c r="C878" s="27"/>
      <c r="D878" s="27" t="str">
        <f>"""NAV Direct"",""CRONUS JetCorp USA"",""21"",""1"",""346928"""</f>
        <v>"NAV Direct","CRONUS JetCorp USA","21","1","346928"</v>
      </c>
      <c r="E878" s="31">
        <f t="shared" si="247"/>
        <v>0</v>
      </c>
      <c r="F878" s="31"/>
      <c r="G878" s="31"/>
      <c r="H878" s="31"/>
      <c r="I878" s="56"/>
      <c r="J878" s="56"/>
      <c r="K878" s="82" t="str">
        <f t="shared" si="248"/>
        <v>Invoice</v>
      </c>
      <c r="L878" s="83" t="str">
        <f>"SI_110898"</f>
        <v>SI_110898</v>
      </c>
      <c r="M878" s="84">
        <v>43651</v>
      </c>
      <c r="N878" s="85">
        <f t="shared" si="249"/>
        <v>161</v>
      </c>
      <c r="O878" s="86">
        <f t="shared" si="250"/>
        <v>21306.68</v>
      </c>
      <c r="P878" s="86">
        <f t="shared" si="251"/>
        <v>0</v>
      </c>
      <c r="Q878" s="86">
        <f t="shared" si="252"/>
        <v>0</v>
      </c>
      <c r="R878" s="86">
        <f t="shared" si="253"/>
        <v>0</v>
      </c>
      <c r="S878" s="86">
        <f t="shared" si="254"/>
        <v>0</v>
      </c>
      <c r="T878" s="86">
        <f t="shared" si="255"/>
        <v>21306.68</v>
      </c>
      <c r="U878" s="87">
        <v>21306.68</v>
      </c>
    </row>
    <row r="879" spans="1:21" s="30" customFormat="1" ht="24.6" hidden="1" outlineLevel="1" x14ac:dyDescent="0.55000000000000004">
      <c r="A879" s="27" t="s">
        <v>327</v>
      </c>
      <c r="B879" s="28"/>
      <c r="C879" s="27"/>
      <c r="D879" s="27" t="str">
        <f>"""NAV Direct"",""CRONUS JetCorp USA"",""21"",""1"",""347281"""</f>
        <v>"NAV Direct","CRONUS JetCorp USA","21","1","347281"</v>
      </c>
      <c r="E879" s="31" t="str">
        <f t="shared" si="247"/>
        <v>C100035</v>
      </c>
      <c r="F879" s="31"/>
      <c r="G879" s="31"/>
      <c r="H879" s="31"/>
      <c r="I879" s="56"/>
      <c r="J879" s="56"/>
      <c r="K879" s="82" t="str">
        <f t="shared" si="248"/>
        <v>Invoice</v>
      </c>
      <c r="L879" s="83" t="str">
        <f>"SI_110907"</f>
        <v>SI_110907</v>
      </c>
      <c r="M879" s="84">
        <v>43688</v>
      </c>
      <c r="N879" s="85">
        <f t="shared" si="249"/>
        <v>124</v>
      </c>
      <c r="O879" s="86">
        <f t="shared" si="250"/>
        <v>19374.43</v>
      </c>
      <c r="P879" s="86">
        <f t="shared" si="251"/>
        <v>0</v>
      </c>
      <c r="Q879" s="86">
        <f t="shared" si="252"/>
        <v>0</v>
      </c>
      <c r="R879" s="86">
        <f t="shared" si="253"/>
        <v>0</v>
      </c>
      <c r="S879" s="86">
        <f t="shared" si="254"/>
        <v>0</v>
      </c>
      <c r="T879" s="86">
        <f t="shared" si="255"/>
        <v>19374.43</v>
      </c>
      <c r="U879" s="87">
        <v>19374.43</v>
      </c>
    </row>
    <row r="880" spans="1:21" s="30" customFormat="1" ht="24.6" hidden="1" outlineLevel="1" x14ac:dyDescent="0.55000000000000004">
      <c r="A880" s="27" t="s">
        <v>327</v>
      </c>
      <c r="B880" s="28"/>
      <c r="C880" s="27"/>
      <c r="D880" s="27" t="str">
        <f>"""NAV Direct"",""CRONUS JetCorp USA"",""21"",""1"",""347534"""</f>
        <v>"NAV Direct","CRONUS JetCorp USA","21","1","347534"</v>
      </c>
      <c r="E880" s="31">
        <f t="shared" si="247"/>
        <v>0</v>
      </c>
      <c r="F880" s="31"/>
      <c r="G880" s="31"/>
      <c r="H880" s="31"/>
      <c r="I880" s="56"/>
      <c r="J880" s="56"/>
      <c r="K880" s="82" t="str">
        <f t="shared" si="248"/>
        <v>Invoice</v>
      </c>
      <c r="L880" s="83" t="str">
        <f>"SI_110914"</f>
        <v>SI_110914</v>
      </c>
      <c r="M880" s="84">
        <v>43703</v>
      </c>
      <c r="N880" s="85">
        <f t="shared" si="249"/>
        <v>109</v>
      </c>
      <c r="O880" s="86">
        <f t="shared" si="250"/>
        <v>18194.12</v>
      </c>
      <c r="P880" s="86">
        <f t="shared" si="251"/>
        <v>0</v>
      </c>
      <c r="Q880" s="86">
        <f t="shared" si="252"/>
        <v>0</v>
      </c>
      <c r="R880" s="86">
        <f t="shared" si="253"/>
        <v>0</v>
      </c>
      <c r="S880" s="86">
        <f t="shared" si="254"/>
        <v>0</v>
      </c>
      <c r="T880" s="86">
        <f t="shared" si="255"/>
        <v>18194.12</v>
      </c>
      <c r="U880" s="87">
        <v>18194.12</v>
      </c>
    </row>
    <row r="881" spans="1:22" s="30" customFormat="1" ht="24.6" hidden="1" outlineLevel="1" x14ac:dyDescent="0.55000000000000004">
      <c r="A881" s="27" t="s">
        <v>327</v>
      </c>
      <c r="B881" s="28"/>
      <c r="C881" s="27"/>
      <c r="D881" s="27" t="str">
        <f>"""NAV Direct"",""CRONUS JetCorp USA"",""21"",""1"",""348159"""</f>
        <v>"NAV Direct","CRONUS JetCorp USA","21","1","348159"</v>
      </c>
      <c r="E881" s="31" t="str">
        <f t="shared" si="247"/>
        <v>C100035</v>
      </c>
      <c r="F881" s="31"/>
      <c r="G881" s="31"/>
      <c r="H881" s="31"/>
      <c r="I881" s="56"/>
      <c r="J881" s="56"/>
      <c r="K881" s="82" t="str">
        <f t="shared" si="248"/>
        <v>Invoice</v>
      </c>
      <c r="L881" s="83" t="str">
        <f>"SI_110929"</f>
        <v>SI_110929</v>
      </c>
      <c r="M881" s="84">
        <v>43770</v>
      </c>
      <c r="N881" s="85">
        <f t="shared" si="249"/>
        <v>42</v>
      </c>
      <c r="O881" s="86">
        <f t="shared" si="250"/>
        <v>18675.11</v>
      </c>
      <c r="P881" s="86">
        <f t="shared" si="251"/>
        <v>0</v>
      </c>
      <c r="Q881" s="86">
        <f t="shared" si="252"/>
        <v>0</v>
      </c>
      <c r="R881" s="86">
        <f t="shared" si="253"/>
        <v>18675.11</v>
      </c>
      <c r="S881" s="86">
        <f t="shared" si="254"/>
        <v>0</v>
      </c>
      <c r="T881" s="86">
        <f t="shared" si="255"/>
        <v>0</v>
      </c>
      <c r="U881" s="87">
        <v>18675.11</v>
      </c>
    </row>
    <row r="882" spans="1:22" s="30" customFormat="1" ht="24.6" hidden="1" outlineLevel="1" x14ac:dyDescent="0.55000000000000004">
      <c r="A882" s="27" t="s">
        <v>327</v>
      </c>
      <c r="B882" s="28"/>
      <c r="C882" s="27"/>
      <c r="D882" s="27" t="str">
        <f>"""NAV Direct"",""CRONUS JetCorp USA"",""21"",""1"",""348200"""</f>
        <v>"NAV Direct","CRONUS JetCorp USA","21","1","348200"</v>
      </c>
      <c r="E882" s="31">
        <f t="shared" si="247"/>
        <v>0</v>
      </c>
      <c r="F882" s="31"/>
      <c r="G882" s="31"/>
      <c r="H882" s="31"/>
      <c r="I882" s="56"/>
      <c r="J882" s="56"/>
      <c r="K882" s="82" t="str">
        <f t="shared" si="248"/>
        <v>Invoice</v>
      </c>
      <c r="L882" s="83" t="str">
        <f>"SI_110930"</f>
        <v>SI_110930</v>
      </c>
      <c r="M882" s="84">
        <v>43790</v>
      </c>
      <c r="N882" s="85">
        <f t="shared" si="249"/>
        <v>22</v>
      </c>
      <c r="O882" s="86">
        <f t="shared" si="250"/>
        <v>18958.989999999998</v>
      </c>
      <c r="P882" s="86">
        <f t="shared" si="251"/>
        <v>0</v>
      </c>
      <c r="Q882" s="86">
        <f t="shared" si="252"/>
        <v>18958.989999999998</v>
      </c>
      <c r="R882" s="86">
        <f t="shared" si="253"/>
        <v>0</v>
      </c>
      <c r="S882" s="86">
        <f t="shared" si="254"/>
        <v>0</v>
      </c>
      <c r="T882" s="86">
        <f t="shared" si="255"/>
        <v>0</v>
      </c>
      <c r="U882" s="87">
        <v>18958.989999999998</v>
      </c>
    </row>
    <row r="883" spans="1:22" s="30" customFormat="1" ht="24.6" hidden="1" outlineLevel="1" x14ac:dyDescent="0.55000000000000004">
      <c r="A883" s="27" t="s">
        <v>327</v>
      </c>
      <c r="B883" s="28"/>
      <c r="C883" s="27"/>
      <c r="D883" s="27" t="str">
        <f>"""NAV Direct"",""CRONUS JetCorp USA"",""21"",""1"",""349004"""</f>
        <v>"NAV Direct","CRONUS JetCorp USA","21","1","349004"</v>
      </c>
      <c r="E883" s="31" t="str">
        <f t="shared" si="247"/>
        <v>C100035</v>
      </c>
      <c r="F883" s="31"/>
      <c r="G883" s="31"/>
      <c r="H883" s="31"/>
      <c r="I883" s="56"/>
      <c r="J883" s="56"/>
      <c r="K883" s="82" t="str">
        <f t="shared" si="248"/>
        <v>Invoice</v>
      </c>
      <c r="L883" s="83" t="str">
        <f>"SI_110950"</f>
        <v>SI_110950</v>
      </c>
      <c r="M883" s="84">
        <v>42028</v>
      </c>
      <c r="N883" s="85">
        <f t="shared" si="249"/>
        <v>1784</v>
      </c>
      <c r="O883" s="86">
        <f t="shared" si="250"/>
        <v>20092.560000000001</v>
      </c>
      <c r="P883" s="86">
        <f t="shared" si="251"/>
        <v>0</v>
      </c>
      <c r="Q883" s="86">
        <f t="shared" si="252"/>
        <v>0</v>
      </c>
      <c r="R883" s="86">
        <f t="shared" si="253"/>
        <v>0</v>
      </c>
      <c r="S883" s="86">
        <f t="shared" si="254"/>
        <v>0</v>
      </c>
      <c r="T883" s="86">
        <f t="shared" si="255"/>
        <v>20092.560000000001</v>
      </c>
      <c r="U883" s="87">
        <v>20092.560000000001</v>
      </c>
    </row>
    <row r="884" spans="1:22" s="30" customFormat="1" ht="24.6" hidden="1" outlineLevel="1" x14ac:dyDescent="0.55000000000000004">
      <c r="A884" s="27" t="s">
        <v>327</v>
      </c>
      <c r="B884" s="28"/>
      <c r="C884" s="27"/>
      <c r="D884" s="27" t="str">
        <f>"""NAV Direct"",""CRONUS JetCorp USA"",""21"",""1"",""349390"""</f>
        <v>"NAV Direct","CRONUS JetCorp USA","21","1","349390"</v>
      </c>
      <c r="E884" s="31">
        <f t="shared" si="247"/>
        <v>0</v>
      </c>
      <c r="F884" s="31"/>
      <c r="G884" s="31"/>
      <c r="H884" s="31"/>
      <c r="I884" s="56"/>
      <c r="J884" s="56"/>
      <c r="K884" s="82" t="str">
        <f t="shared" si="248"/>
        <v>Invoice</v>
      </c>
      <c r="L884" s="83" t="str">
        <f>"SI_110960"</f>
        <v>SI_110960</v>
      </c>
      <c r="M884" s="84">
        <v>42063</v>
      </c>
      <c r="N884" s="85">
        <f t="shared" si="249"/>
        <v>1749</v>
      </c>
      <c r="O884" s="86">
        <f t="shared" si="250"/>
        <v>19244.21</v>
      </c>
      <c r="P884" s="86">
        <f t="shared" si="251"/>
        <v>0</v>
      </c>
      <c r="Q884" s="86">
        <f t="shared" si="252"/>
        <v>0</v>
      </c>
      <c r="R884" s="86">
        <f t="shared" si="253"/>
        <v>0</v>
      </c>
      <c r="S884" s="86">
        <f t="shared" si="254"/>
        <v>0</v>
      </c>
      <c r="T884" s="86">
        <f t="shared" si="255"/>
        <v>19244.21</v>
      </c>
      <c r="U884" s="87">
        <v>19244.21</v>
      </c>
    </row>
    <row r="885" spans="1:22" s="30" customFormat="1" ht="24.6" hidden="1" outlineLevel="1" x14ac:dyDescent="0.55000000000000004">
      <c r="A885" s="27" t="s">
        <v>327</v>
      </c>
      <c r="B885" s="28"/>
      <c r="C885" s="27"/>
      <c r="D885" s="27" t="str">
        <f>"""NAV Direct"",""CRONUS JetCorp USA"",""21"",""1"",""349763"""</f>
        <v>"NAV Direct","CRONUS JetCorp USA","21","1","349763"</v>
      </c>
      <c r="E885" s="31" t="str">
        <f t="shared" si="247"/>
        <v>C100035</v>
      </c>
      <c r="F885" s="31"/>
      <c r="G885" s="31"/>
      <c r="H885" s="31"/>
      <c r="I885" s="56"/>
      <c r="J885" s="56"/>
      <c r="K885" s="82" t="str">
        <f t="shared" si="248"/>
        <v>Invoice</v>
      </c>
      <c r="L885" s="83" t="str">
        <f>"SI_110969"</f>
        <v>SI_110969</v>
      </c>
      <c r="M885" s="84">
        <v>42095</v>
      </c>
      <c r="N885" s="85">
        <f t="shared" si="249"/>
        <v>1717</v>
      </c>
      <c r="O885" s="86">
        <f t="shared" si="250"/>
        <v>19453.38</v>
      </c>
      <c r="P885" s="86">
        <f t="shared" si="251"/>
        <v>0</v>
      </c>
      <c r="Q885" s="86">
        <f t="shared" si="252"/>
        <v>0</v>
      </c>
      <c r="R885" s="86">
        <f t="shared" si="253"/>
        <v>0</v>
      </c>
      <c r="S885" s="86">
        <f t="shared" si="254"/>
        <v>0</v>
      </c>
      <c r="T885" s="86">
        <f t="shared" si="255"/>
        <v>19453.38</v>
      </c>
      <c r="U885" s="87">
        <v>19453.38</v>
      </c>
    </row>
    <row r="886" spans="1:22" s="30" customFormat="1" ht="24.6" hidden="1" outlineLevel="1" x14ac:dyDescent="0.55000000000000004">
      <c r="A886" s="27" t="s">
        <v>327</v>
      </c>
      <c r="B886" s="28"/>
      <c r="C886" s="27"/>
      <c r="D886" s="27" t="str">
        <f>"""NAV Direct"",""CRONUS JetCorp USA"",""21"",""1"",""349935"""</f>
        <v>"NAV Direct","CRONUS JetCorp USA","21","1","349935"</v>
      </c>
      <c r="E886" s="31">
        <f t="shared" si="247"/>
        <v>0</v>
      </c>
      <c r="F886" s="31"/>
      <c r="G886" s="31"/>
      <c r="H886" s="31"/>
      <c r="I886" s="56"/>
      <c r="J886" s="56"/>
      <c r="K886" s="82" t="str">
        <f t="shared" si="248"/>
        <v>Invoice</v>
      </c>
      <c r="L886" s="83" t="str">
        <f>"SI_110973"</f>
        <v>SI_110973</v>
      </c>
      <c r="M886" s="84">
        <v>42116</v>
      </c>
      <c r="N886" s="85">
        <f t="shared" si="249"/>
        <v>1696</v>
      </c>
      <c r="O886" s="86">
        <f t="shared" si="250"/>
        <v>23346.17</v>
      </c>
      <c r="P886" s="86">
        <f t="shared" si="251"/>
        <v>0</v>
      </c>
      <c r="Q886" s="86">
        <f t="shared" si="252"/>
        <v>0</v>
      </c>
      <c r="R886" s="86">
        <f t="shared" si="253"/>
        <v>0</v>
      </c>
      <c r="S886" s="86">
        <f t="shared" si="254"/>
        <v>0</v>
      </c>
      <c r="T886" s="86">
        <f t="shared" si="255"/>
        <v>23346.17</v>
      </c>
      <c r="U886" s="87">
        <v>23346.17</v>
      </c>
    </row>
    <row r="887" spans="1:22" s="30" customFormat="1" ht="24.6" hidden="1" outlineLevel="1" x14ac:dyDescent="0.55000000000000004">
      <c r="A887" s="27" t="s">
        <v>327</v>
      </c>
      <c r="B887" s="28"/>
      <c r="C887" s="27"/>
      <c r="D887" s="27" t="str">
        <f>"""NAV Direct"",""CRONUS JetCorp USA"",""21"",""1"",""350230"""</f>
        <v>"NAV Direct","CRONUS JetCorp USA","21","1","350230"</v>
      </c>
      <c r="E887" s="31" t="str">
        <f t="shared" si="247"/>
        <v>C100035</v>
      </c>
      <c r="F887" s="31"/>
      <c r="G887" s="31"/>
      <c r="H887" s="31"/>
      <c r="I887" s="56"/>
      <c r="J887" s="56"/>
      <c r="K887" s="82" t="str">
        <f t="shared" si="248"/>
        <v>Invoice</v>
      </c>
      <c r="L887" s="83" t="str">
        <f>"SI_110980"</f>
        <v>SI_110980</v>
      </c>
      <c r="M887" s="84">
        <v>42152</v>
      </c>
      <c r="N887" s="85">
        <f t="shared" si="249"/>
        <v>1660</v>
      </c>
      <c r="O887" s="86">
        <f t="shared" si="250"/>
        <v>23952.71</v>
      </c>
      <c r="P887" s="86">
        <f t="shared" si="251"/>
        <v>0</v>
      </c>
      <c r="Q887" s="86">
        <f t="shared" si="252"/>
        <v>0</v>
      </c>
      <c r="R887" s="86">
        <f t="shared" si="253"/>
        <v>0</v>
      </c>
      <c r="S887" s="86">
        <f t="shared" si="254"/>
        <v>0</v>
      </c>
      <c r="T887" s="86">
        <f t="shared" si="255"/>
        <v>23952.71</v>
      </c>
      <c r="U887" s="87">
        <v>23952.71</v>
      </c>
    </row>
    <row r="888" spans="1:22" s="30" customFormat="1" ht="24.6" hidden="1" outlineLevel="1" x14ac:dyDescent="0.55000000000000004">
      <c r="A888" s="27" t="s">
        <v>327</v>
      </c>
      <c r="B888" s="28"/>
      <c r="C888" s="27"/>
      <c r="D888" s="27" t="str">
        <f>"""NAV Direct"",""CRONUS JetCorp USA"",""21"",""1"",""350920"""</f>
        <v>"NAV Direct","CRONUS JetCorp USA","21","1","350920"</v>
      </c>
      <c r="E888" s="31">
        <f t="shared" si="247"/>
        <v>0</v>
      </c>
      <c r="F888" s="31"/>
      <c r="G888" s="31"/>
      <c r="H888" s="31"/>
      <c r="I888" s="56"/>
      <c r="J888" s="56"/>
      <c r="K888" s="82" t="str">
        <f t="shared" si="248"/>
        <v>Invoice</v>
      </c>
      <c r="L888" s="83" t="str">
        <f>"SI_110998"</f>
        <v>SI_110998</v>
      </c>
      <c r="M888" s="84">
        <v>42237</v>
      </c>
      <c r="N888" s="85">
        <f t="shared" si="249"/>
        <v>1575</v>
      </c>
      <c r="O888" s="86">
        <f t="shared" si="250"/>
        <v>18903.510000000002</v>
      </c>
      <c r="P888" s="86">
        <f t="shared" si="251"/>
        <v>0</v>
      </c>
      <c r="Q888" s="86">
        <f t="shared" si="252"/>
        <v>0</v>
      </c>
      <c r="R888" s="86">
        <f t="shared" si="253"/>
        <v>0</v>
      </c>
      <c r="S888" s="86">
        <f t="shared" si="254"/>
        <v>0</v>
      </c>
      <c r="T888" s="86">
        <f t="shared" si="255"/>
        <v>18903.510000000002</v>
      </c>
      <c r="U888" s="87">
        <v>18903.510000000002</v>
      </c>
    </row>
    <row r="889" spans="1:22" s="30" customFormat="1" ht="24.6" hidden="1" outlineLevel="1" x14ac:dyDescent="0.55000000000000004">
      <c r="A889" s="27" t="s">
        <v>327</v>
      </c>
      <c r="B889" s="28"/>
      <c r="C889" s="27"/>
      <c r="D889" s="27" t="str">
        <f>"""NAV Direct"",""CRONUS JetCorp USA"",""21"",""1"",""352006"""</f>
        <v>"NAV Direct","CRONUS JetCorp USA","21","1","352006"</v>
      </c>
      <c r="E889" s="31" t="str">
        <f t="shared" si="247"/>
        <v>C100035</v>
      </c>
      <c r="F889" s="31"/>
      <c r="G889" s="31"/>
      <c r="H889" s="31"/>
      <c r="I889" s="56"/>
      <c r="J889" s="56"/>
      <c r="K889" s="82" t="str">
        <f t="shared" si="248"/>
        <v>Invoice</v>
      </c>
      <c r="L889" s="83" t="str">
        <f>"SI_111024"</f>
        <v>SI_111024</v>
      </c>
      <c r="M889" s="84">
        <v>42338</v>
      </c>
      <c r="N889" s="85">
        <f t="shared" si="249"/>
        <v>1474</v>
      </c>
      <c r="O889" s="86">
        <f t="shared" si="250"/>
        <v>19901.940000000002</v>
      </c>
      <c r="P889" s="86">
        <f t="shared" si="251"/>
        <v>0</v>
      </c>
      <c r="Q889" s="86">
        <f t="shared" si="252"/>
        <v>0</v>
      </c>
      <c r="R889" s="86">
        <f t="shared" si="253"/>
        <v>0</v>
      </c>
      <c r="S889" s="86">
        <f t="shared" si="254"/>
        <v>0</v>
      </c>
      <c r="T889" s="86">
        <f t="shared" si="255"/>
        <v>19901.940000000002</v>
      </c>
      <c r="U889" s="87">
        <v>19901.940000000002</v>
      </c>
    </row>
    <row r="890" spans="1:22" s="22" customFormat="1" ht="20.399999999999999" collapsed="1" x14ac:dyDescent="0.45">
      <c r="A890" s="12" t="s">
        <v>327</v>
      </c>
      <c r="B890" s="19"/>
      <c r="C890" s="12"/>
      <c r="D890" s="12"/>
      <c r="E890" s="23"/>
      <c r="F890" s="23"/>
      <c r="G890" s="23"/>
      <c r="H890" s="23"/>
      <c r="I890" s="49"/>
      <c r="J890" s="88"/>
      <c r="K890" s="88"/>
      <c r="L890" s="89"/>
      <c r="M890" s="89"/>
      <c r="N890" s="89"/>
      <c r="O890" s="89"/>
      <c r="P890" s="89"/>
      <c r="Q890" s="90"/>
      <c r="R890" s="90"/>
      <c r="S890" s="91"/>
      <c r="T890" s="92"/>
      <c r="U890" s="92"/>
    </row>
    <row r="891" spans="1:22" s="22" customFormat="1" ht="20.399999999999999" x14ac:dyDescent="0.45">
      <c r="A891" s="12" t="s">
        <v>327</v>
      </c>
      <c r="B891" s="19"/>
      <c r="C891" s="12"/>
      <c r="D891" s="12"/>
      <c r="E891" s="23"/>
      <c r="F891" s="23"/>
      <c r="G891" s="23"/>
      <c r="H891" s="23"/>
      <c r="I891" s="49"/>
      <c r="J891" s="88"/>
      <c r="K891" s="88"/>
      <c r="L891" s="89"/>
      <c r="M891" s="89"/>
      <c r="N891" s="89"/>
      <c r="O891" s="89"/>
      <c r="P891" s="89"/>
      <c r="Q891" s="90"/>
      <c r="R891" s="90"/>
      <c r="S891" s="91"/>
      <c r="T891" s="92"/>
      <c r="U891" s="92"/>
    </row>
    <row r="892" spans="1:22" s="26" customFormat="1" ht="24.6" x14ac:dyDescent="0.55000000000000004">
      <c r="A892" s="27" t="s">
        <v>327</v>
      </c>
      <c r="B892" s="28"/>
      <c r="C892" s="27" t="str">
        <f>"""NAV Direct"",""CRONUS JetCorp USA"",""18"",""1"",""C100036"""</f>
        <v>"NAV Direct","CRONUS JetCorp USA","18","1","C100036"</v>
      </c>
      <c r="D892" s="27"/>
      <c r="E892" s="28" t="str">
        <f>H892</f>
        <v>C100036</v>
      </c>
      <c r="F892" s="28"/>
      <c r="G892" s="28"/>
      <c r="H892" s="28" t="str">
        <f>"C100036"</f>
        <v>C100036</v>
      </c>
      <c r="I892" s="116" t="str">
        <f>"C100036  -  Francematic"</f>
        <v>C100036  -  Francematic</v>
      </c>
      <c r="J892" s="117" t="str">
        <f>""</f>
        <v/>
      </c>
      <c r="K892" s="118"/>
      <c r="L892" s="119">
        <f>SUBTOTAL(3,L893:L918)</f>
        <v>22</v>
      </c>
      <c r="M892" s="118"/>
      <c r="N892" s="118"/>
      <c r="O892" s="120">
        <f t="shared" ref="O892:T892" si="256">SUBTOTAL(9,O893:O918)</f>
        <v>295442.89000000007</v>
      </c>
      <c r="P892" s="120">
        <f t="shared" si="256"/>
        <v>0</v>
      </c>
      <c r="Q892" s="120">
        <f t="shared" si="256"/>
        <v>40671.5</v>
      </c>
      <c r="R892" s="120">
        <f t="shared" si="256"/>
        <v>17554.47</v>
      </c>
      <c r="S892" s="120">
        <f t="shared" si="256"/>
        <v>0</v>
      </c>
      <c r="T892" s="120">
        <f t="shared" si="256"/>
        <v>237216.92000000004</v>
      </c>
      <c r="U892" s="81"/>
    </row>
    <row r="893" spans="1:22" s="26" customFormat="1" ht="24.6" x14ac:dyDescent="0.55000000000000004">
      <c r="A893" s="27" t="s">
        <v>327</v>
      </c>
      <c r="B893" s="28"/>
      <c r="C893" s="27" t="str">
        <f>C892</f>
        <v>"NAV Direct","CRONUS JetCorp USA","18","1","C100036"</v>
      </c>
      <c r="D893" s="27"/>
      <c r="E893" s="28" t="str">
        <f>E892</f>
        <v>C100036</v>
      </c>
      <c r="F893" s="28"/>
      <c r="G893" s="28"/>
      <c r="H893" s="28"/>
      <c r="I893" s="121" t="str">
        <f>"Contact: M. Herve BOURAIMA"</f>
        <v>Contact: M. Herve BOURAIMA</v>
      </c>
      <c r="J893" s="121"/>
      <c r="K893" s="122"/>
      <c r="L893" s="123"/>
      <c r="M893" s="123"/>
      <c r="N893" s="124"/>
      <c r="O893" s="124"/>
      <c r="P893" s="123"/>
      <c r="Q893" s="125"/>
      <c r="R893" s="126"/>
      <c r="S893" s="126"/>
      <c r="T893" s="125"/>
      <c r="U893" s="81"/>
    </row>
    <row r="894" spans="1:22" s="26" customFormat="1" ht="24.6" x14ac:dyDescent="0.55000000000000004">
      <c r="A894" s="27" t="s">
        <v>327</v>
      </c>
      <c r="B894" s="28"/>
      <c r="C894" s="27" t="str">
        <f>C893</f>
        <v>"NAV Direct","CRONUS JetCorp USA","18","1","C100036"</v>
      </c>
      <c r="D894" s="27"/>
      <c r="E894" s="28" t="str">
        <f>E893</f>
        <v>C100036</v>
      </c>
      <c r="F894" s="28"/>
      <c r="G894" s="28"/>
      <c r="H894" s="28"/>
      <c r="I894" s="121" t="str">
        <f>"francematic@cronuscorp.net"</f>
        <v>francematic@cronuscorp.net</v>
      </c>
      <c r="J894" s="121"/>
      <c r="K894" s="122"/>
      <c r="L894" s="124"/>
      <c r="M894" s="124"/>
      <c r="N894" s="124"/>
      <c r="O894" s="124"/>
      <c r="P894" s="123"/>
      <c r="Q894" s="125"/>
      <c r="R894" s="126"/>
      <c r="S894" s="126"/>
      <c r="T894" s="125"/>
      <c r="U894" s="81"/>
    </row>
    <row r="895" spans="1:22" ht="12.75" hidden="1" customHeight="1" outlineLevel="1" x14ac:dyDescent="0.45">
      <c r="A895" s="12" t="s">
        <v>328</v>
      </c>
      <c r="B895" s="19"/>
      <c r="E895" s="19"/>
      <c r="F895" s="19"/>
      <c r="G895" s="19"/>
      <c r="H895" s="19"/>
      <c r="I895" s="61"/>
      <c r="J895" s="61"/>
      <c r="K895" s="61"/>
      <c r="L895" s="61"/>
      <c r="M895" s="61"/>
      <c r="N895" s="61"/>
      <c r="O895" s="61"/>
      <c r="P895" s="61"/>
      <c r="Q895" s="61"/>
      <c r="R895" s="61"/>
      <c r="S895" s="61"/>
      <c r="T895" s="61"/>
      <c r="U895" s="61"/>
      <c r="V895" s="21"/>
    </row>
    <row r="896" spans="1:22" s="30" customFormat="1" ht="24.6" hidden="1" outlineLevel="1" x14ac:dyDescent="0.55000000000000004">
      <c r="A896" s="27" t="s">
        <v>327</v>
      </c>
      <c r="B896" s="28"/>
      <c r="C896" s="27"/>
      <c r="D896" s="27" t="str">
        <f>"""NAV Direct"",""CRONUS JetCorp USA"",""21"",""1"",""97694"""</f>
        <v>"NAV Direct","CRONUS JetCorp USA","21","1","97694"</v>
      </c>
      <c r="E896" s="31" t="str">
        <f t="shared" ref="E896:E917" si="257">E894</f>
        <v>C100036</v>
      </c>
      <c r="F896" s="31"/>
      <c r="G896" s="31"/>
      <c r="H896" s="31"/>
      <c r="I896" s="56"/>
      <c r="J896" s="56"/>
      <c r="K896" s="82" t="str">
        <f t="shared" ref="K896:K912" si="258">"Invoice"</f>
        <v>Invoice</v>
      </c>
      <c r="L896" s="83" t="str">
        <f>"SI_106472"</f>
        <v>SI_106472</v>
      </c>
      <c r="M896" s="84">
        <v>42101</v>
      </c>
      <c r="N896" s="85">
        <f t="shared" ref="N896:N917" si="259">StartDate-$M896+1</f>
        <v>1711</v>
      </c>
      <c r="O896" s="86">
        <f t="shared" ref="O896:O917" si="260">SUM(P896:T896)</f>
        <v>18773.62</v>
      </c>
      <c r="P896" s="86">
        <f t="shared" ref="P896:P917" si="261">IF($M896&gt;=$P$18,U896,0)</f>
        <v>0</v>
      </c>
      <c r="Q896" s="86">
        <f t="shared" ref="Q896:Q917" si="262">IF(AND($M896&gt;=$Q$16,$M896&lt;=$Q$18),U896,0)</f>
        <v>0</v>
      </c>
      <c r="R896" s="86">
        <f t="shared" ref="R896:R917" si="263">IF(AND($M896&gt;=$R$16,$M896&lt;=$R$18),U896,0)</f>
        <v>0</v>
      </c>
      <c r="S896" s="86">
        <f t="shared" ref="S896:S917" si="264">IF(AND($M896&gt;=$S$16,$M896&lt;=$S$18),U896,0)</f>
        <v>0</v>
      </c>
      <c r="T896" s="86">
        <f t="shared" ref="T896:T917" si="265">IF($M896&lt;=$T$18,U896,0)</f>
        <v>18773.62</v>
      </c>
      <c r="U896" s="87">
        <v>18773.62</v>
      </c>
    </row>
    <row r="897" spans="1:21" s="30" customFormat="1" ht="24.6" hidden="1" outlineLevel="1" x14ac:dyDescent="0.55000000000000004">
      <c r="A897" s="27" t="s">
        <v>327</v>
      </c>
      <c r="B897" s="28"/>
      <c r="C897" s="27"/>
      <c r="D897" s="27" t="str">
        <f>"""NAV Direct"",""CRONUS JetCorp USA"",""21"",""1"",""98224"""</f>
        <v>"NAV Direct","CRONUS JetCorp USA","21","1","98224"</v>
      </c>
      <c r="E897" s="31">
        <f t="shared" si="257"/>
        <v>0</v>
      </c>
      <c r="F897" s="31"/>
      <c r="G897" s="31"/>
      <c r="H897" s="31"/>
      <c r="I897" s="56"/>
      <c r="J897" s="56"/>
      <c r="K897" s="82" t="str">
        <f t="shared" si="258"/>
        <v>Invoice</v>
      </c>
      <c r="L897" s="83" t="str">
        <f>"SI_106486"</f>
        <v>SI_106486</v>
      </c>
      <c r="M897" s="84">
        <v>42316</v>
      </c>
      <c r="N897" s="85">
        <f t="shared" si="259"/>
        <v>1496</v>
      </c>
      <c r="O897" s="86">
        <f t="shared" si="260"/>
        <v>20133.189999999999</v>
      </c>
      <c r="P897" s="86">
        <f t="shared" si="261"/>
        <v>0</v>
      </c>
      <c r="Q897" s="86">
        <f t="shared" si="262"/>
        <v>0</v>
      </c>
      <c r="R897" s="86">
        <f t="shared" si="263"/>
        <v>0</v>
      </c>
      <c r="S897" s="86">
        <f t="shared" si="264"/>
        <v>0</v>
      </c>
      <c r="T897" s="86">
        <f t="shared" si="265"/>
        <v>20133.189999999999</v>
      </c>
      <c r="U897" s="87">
        <v>20133.189999999999</v>
      </c>
    </row>
    <row r="898" spans="1:21" s="30" customFormat="1" ht="24.6" hidden="1" outlineLevel="1" x14ac:dyDescent="0.55000000000000004">
      <c r="A898" s="27" t="s">
        <v>327</v>
      </c>
      <c r="B898" s="28"/>
      <c r="C898" s="27"/>
      <c r="D898" s="27" t="str">
        <f>"""NAV Direct"",""CRONUS JetCorp USA"",""21"",""1"",""98429"""</f>
        <v>"NAV Direct","CRONUS JetCorp USA","21","1","98429"</v>
      </c>
      <c r="E898" s="31" t="str">
        <f t="shared" si="257"/>
        <v>C100036</v>
      </c>
      <c r="F898" s="31"/>
      <c r="G898" s="31"/>
      <c r="H898" s="31"/>
      <c r="I898" s="56"/>
      <c r="J898" s="56"/>
      <c r="K898" s="82" t="str">
        <f t="shared" si="258"/>
        <v>Invoice</v>
      </c>
      <c r="L898" s="83" t="str">
        <f>"SI_106491"</f>
        <v>SI_106491</v>
      </c>
      <c r="M898" s="84">
        <v>42756</v>
      </c>
      <c r="N898" s="85">
        <f t="shared" si="259"/>
        <v>1056</v>
      </c>
      <c r="O898" s="86">
        <f t="shared" si="260"/>
        <v>24731.940000000002</v>
      </c>
      <c r="P898" s="86">
        <f t="shared" si="261"/>
        <v>0</v>
      </c>
      <c r="Q898" s="86">
        <f t="shared" si="262"/>
        <v>0</v>
      </c>
      <c r="R898" s="86">
        <f t="shared" si="263"/>
        <v>0</v>
      </c>
      <c r="S898" s="86">
        <f t="shared" si="264"/>
        <v>0</v>
      </c>
      <c r="T898" s="86">
        <f t="shared" si="265"/>
        <v>24731.940000000002</v>
      </c>
      <c r="U898" s="87">
        <v>24731.940000000002</v>
      </c>
    </row>
    <row r="899" spans="1:21" s="30" customFormat="1" ht="24.6" hidden="1" outlineLevel="1" x14ac:dyDescent="0.55000000000000004">
      <c r="A899" s="27" t="s">
        <v>327</v>
      </c>
      <c r="B899" s="28"/>
      <c r="C899" s="27"/>
      <c r="D899" s="27" t="str">
        <f>"""NAV Direct"",""CRONUS JetCorp USA"",""21"",""1"",""377281"""</f>
        <v>"NAV Direct","CRONUS JetCorp USA","21","1","377281"</v>
      </c>
      <c r="E899" s="31">
        <f t="shared" si="257"/>
        <v>0</v>
      </c>
      <c r="F899" s="31"/>
      <c r="G899" s="31"/>
      <c r="H899" s="31"/>
      <c r="I899" s="56"/>
      <c r="J899" s="56"/>
      <c r="K899" s="82" t="str">
        <f t="shared" si="258"/>
        <v>Invoice</v>
      </c>
      <c r="L899" s="83" t="str">
        <f>"SI_111731"</f>
        <v>SI_111731</v>
      </c>
      <c r="M899" s="84">
        <v>42441</v>
      </c>
      <c r="N899" s="85">
        <f t="shared" si="259"/>
        <v>1371</v>
      </c>
      <c r="O899" s="86">
        <f t="shared" si="260"/>
        <v>11073.77</v>
      </c>
      <c r="P899" s="86">
        <f t="shared" si="261"/>
        <v>0</v>
      </c>
      <c r="Q899" s="86">
        <f t="shared" si="262"/>
        <v>0</v>
      </c>
      <c r="R899" s="86">
        <f t="shared" si="263"/>
        <v>0</v>
      </c>
      <c r="S899" s="86">
        <f t="shared" si="264"/>
        <v>0</v>
      </c>
      <c r="T899" s="86">
        <f t="shared" si="265"/>
        <v>11073.77</v>
      </c>
      <c r="U899" s="87">
        <v>11073.77</v>
      </c>
    </row>
    <row r="900" spans="1:21" s="30" customFormat="1" ht="24.6" hidden="1" outlineLevel="1" x14ac:dyDescent="0.55000000000000004">
      <c r="A900" s="27" t="s">
        <v>327</v>
      </c>
      <c r="B900" s="28"/>
      <c r="C900" s="27"/>
      <c r="D900" s="27" t="str">
        <f>"""NAV Direct"",""CRONUS JetCorp USA"",""21"",""1"",""377341"""</f>
        <v>"NAV Direct","CRONUS JetCorp USA","21","1","377341"</v>
      </c>
      <c r="E900" s="31" t="str">
        <f t="shared" si="257"/>
        <v>C100036</v>
      </c>
      <c r="F900" s="31"/>
      <c r="G900" s="31"/>
      <c r="H900" s="31"/>
      <c r="I900" s="56"/>
      <c r="J900" s="56"/>
      <c r="K900" s="82" t="str">
        <f t="shared" si="258"/>
        <v>Invoice</v>
      </c>
      <c r="L900" s="83" t="str">
        <f>"SI_111733"</f>
        <v>SI_111733</v>
      </c>
      <c r="M900" s="84">
        <v>42465</v>
      </c>
      <c r="N900" s="85">
        <f t="shared" si="259"/>
        <v>1347</v>
      </c>
      <c r="O900" s="86">
        <f t="shared" si="260"/>
        <v>10040.14</v>
      </c>
      <c r="P900" s="86">
        <f t="shared" si="261"/>
        <v>0</v>
      </c>
      <c r="Q900" s="86">
        <f t="shared" si="262"/>
        <v>0</v>
      </c>
      <c r="R900" s="86">
        <f t="shared" si="263"/>
        <v>0</v>
      </c>
      <c r="S900" s="86">
        <f t="shared" si="264"/>
        <v>0</v>
      </c>
      <c r="T900" s="86">
        <f t="shared" si="265"/>
        <v>10040.14</v>
      </c>
      <c r="U900" s="87">
        <v>10040.14</v>
      </c>
    </row>
    <row r="901" spans="1:21" s="30" customFormat="1" ht="24.6" hidden="1" outlineLevel="1" x14ac:dyDescent="0.55000000000000004">
      <c r="A901" s="27" t="s">
        <v>327</v>
      </c>
      <c r="B901" s="28"/>
      <c r="C901" s="27"/>
      <c r="D901" s="27" t="str">
        <f>"""NAV Direct"",""CRONUS JetCorp USA"",""21"",""1"",""378244"""</f>
        <v>"NAV Direct","CRONUS JetCorp USA","21","1","378244"</v>
      </c>
      <c r="E901" s="31">
        <f t="shared" si="257"/>
        <v>0</v>
      </c>
      <c r="F901" s="31"/>
      <c r="G901" s="31"/>
      <c r="H901" s="31"/>
      <c r="I901" s="56"/>
      <c r="J901" s="56"/>
      <c r="K901" s="82" t="str">
        <f t="shared" si="258"/>
        <v>Invoice</v>
      </c>
      <c r="L901" s="83" t="str">
        <f>"SI_111762"</f>
        <v>SI_111762</v>
      </c>
      <c r="M901" s="84">
        <v>43119</v>
      </c>
      <c r="N901" s="85">
        <f t="shared" si="259"/>
        <v>693</v>
      </c>
      <c r="O901" s="86">
        <f t="shared" si="260"/>
        <v>15859.359999999999</v>
      </c>
      <c r="P901" s="86">
        <f t="shared" si="261"/>
        <v>0</v>
      </c>
      <c r="Q901" s="86">
        <f t="shared" si="262"/>
        <v>0</v>
      </c>
      <c r="R901" s="86">
        <f t="shared" si="263"/>
        <v>0</v>
      </c>
      <c r="S901" s="86">
        <f t="shared" si="264"/>
        <v>0</v>
      </c>
      <c r="T901" s="86">
        <f t="shared" si="265"/>
        <v>15859.359999999999</v>
      </c>
      <c r="U901" s="87">
        <v>15859.359999999999</v>
      </c>
    </row>
    <row r="902" spans="1:21" s="30" customFormat="1" ht="24.6" hidden="1" outlineLevel="1" x14ac:dyDescent="0.55000000000000004">
      <c r="A902" s="27" t="s">
        <v>327</v>
      </c>
      <c r="B902" s="28"/>
      <c r="C902" s="27"/>
      <c r="D902" s="27" t="str">
        <f>"""NAV Direct"",""CRONUS JetCorp USA"",""21"",""1"",""378446"""</f>
        <v>"NAV Direct","CRONUS JetCorp USA","21","1","378446"</v>
      </c>
      <c r="E902" s="31" t="str">
        <f t="shared" si="257"/>
        <v>C100036</v>
      </c>
      <c r="F902" s="31"/>
      <c r="G902" s="31"/>
      <c r="H902" s="31"/>
      <c r="I902" s="56"/>
      <c r="J902" s="56"/>
      <c r="K902" s="82" t="str">
        <f t="shared" si="258"/>
        <v>Invoice</v>
      </c>
      <c r="L902" s="83" t="str">
        <f>"SI_111768"</f>
        <v>SI_111768</v>
      </c>
      <c r="M902" s="84">
        <v>43246</v>
      </c>
      <c r="N902" s="85">
        <f t="shared" si="259"/>
        <v>566</v>
      </c>
      <c r="O902" s="86">
        <f t="shared" si="260"/>
        <v>14183.630000000001</v>
      </c>
      <c r="P902" s="86">
        <f t="shared" si="261"/>
        <v>0</v>
      </c>
      <c r="Q902" s="86">
        <f t="shared" si="262"/>
        <v>0</v>
      </c>
      <c r="R902" s="86">
        <f t="shared" si="263"/>
        <v>0</v>
      </c>
      <c r="S902" s="86">
        <f t="shared" si="264"/>
        <v>0</v>
      </c>
      <c r="T902" s="86">
        <f t="shared" si="265"/>
        <v>14183.630000000001</v>
      </c>
      <c r="U902" s="87">
        <v>14183.630000000001</v>
      </c>
    </row>
    <row r="903" spans="1:21" s="30" customFormat="1" ht="24.6" hidden="1" outlineLevel="1" x14ac:dyDescent="0.55000000000000004">
      <c r="A903" s="27" t="s">
        <v>327</v>
      </c>
      <c r="B903" s="28"/>
      <c r="C903" s="27"/>
      <c r="D903" s="27" t="str">
        <f>"""NAV Direct"",""CRONUS JetCorp USA"",""21"",""1"",""378547"""</f>
        <v>"NAV Direct","CRONUS JetCorp USA","21","1","378547"</v>
      </c>
      <c r="E903" s="31">
        <f t="shared" si="257"/>
        <v>0</v>
      </c>
      <c r="F903" s="31"/>
      <c r="G903" s="31"/>
      <c r="H903" s="31"/>
      <c r="I903" s="56"/>
      <c r="J903" s="56"/>
      <c r="K903" s="82" t="str">
        <f t="shared" si="258"/>
        <v>Invoice</v>
      </c>
      <c r="L903" s="83" t="str">
        <f>"SI_111771"</f>
        <v>SI_111771</v>
      </c>
      <c r="M903" s="84">
        <v>43322</v>
      </c>
      <c r="N903" s="85">
        <f t="shared" si="259"/>
        <v>490</v>
      </c>
      <c r="O903" s="86">
        <f t="shared" si="260"/>
        <v>15010.33</v>
      </c>
      <c r="P903" s="86">
        <f t="shared" si="261"/>
        <v>0</v>
      </c>
      <c r="Q903" s="86">
        <f t="shared" si="262"/>
        <v>0</v>
      </c>
      <c r="R903" s="86">
        <f t="shared" si="263"/>
        <v>0</v>
      </c>
      <c r="S903" s="86">
        <f t="shared" si="264"/>
        <v>0</v>
      </c>
      <c r="T903" s="86">
        <f t="shared" si="265"/>
        <v>15010.33</v>
      </c>
      <c r="U903" s="87">
        <v>15010.33</v>
      </c>
    </row>
    <row r="904" spans="1:21" s="30" customFormat="1" ht="24.6" hidden="1" outlineLevel="1" x14ac:dyDescent="0.55000000000000004">
      <c r="A904" s="27" t="s">
        <v>327</v>
      </c>
      <c r="B904" s="28"/>
      <c r="C904" s="27"/>
      <c r="D904" s="27" t="str">
        <f>"""NAV Direct"",""CRONUS JetCorp USA"",""21"",""1"",""378648"""</f>
        <v>"NAV Direct","CRONUS JetCorp USA","21","1","378648"</v>
      </c>
      <c r="E904" s="31" t="str">
        <f t="shared" si="257"/>
        <v>C100036</v>
      </c>
      <c r="F904" s="31"/>
      <c r="G904" s="31"/>
      <c r="H904" s="31"/>
      <c r="I904" s="56"/>
      <c r="J904" s="56"/>
      <c r="K904" s="82" t="str">
        <f t="shared" si="258"/>
        <v>Invoice</v>
      </c>
      <c r="L904" s="83" t="str">
        <f>"SI_111774"</f>
        <v>SI_111774</v>
      </c>
      <c r="M904" s="84">
        <v>43384</v>
      </c>
      <c r="N904" s="85">
        <f t="shared" si="259"/>
        <v>428</v>
      </c>
      <c r="O904" s="86">
        <f t="shared" si="260"/>
        <v>12822.53</v>
      </c>
      <c r="P904" s="86">
        <f t="shared" si="261"/>
        <v>0</v>
      </c>
      <c r="Q904" s="86">
        <f t="shared" si="262"/>
        <v>0</v>
      </c>
      <c r="R904" s="86">
        <f t="shared" si="263"/>
        <v>0</v>
      </c>
      <c r="S904" s="86">
        <f t="shared" si="264"/>
        <v>0</v>
      </c>
      <c r="T904" s="86">
        <f t="shared" si="265"/>
        <v>12822.53</v>
      </c>
      <c r="U904" s="87">
        <v>12822.53</v>
      </c>
    </row>
    <row r="905" spans="1:21" s="30" customFormat="1" ht="24.6" hidden="1" outlineLevel="1" x14ac:dyDescent="0.55000000000000004">
      <c r="A905" s="27" t="s">
        <v>327</v>
      </c>
      <c r="B905" s="28"/>
      <c r="C905" s="27"/>
      <c r="D905" s="27" t="str">
        <f>"""NAV Direct"",""CRONUS JetCorp USA"",""21"",""1"",""378811"""</f>
        <v>"NAV Direct","CRONUS JetCorp USA","21","1","378811"</v>
      </c>
      <c r="E905" s="31">
        <f t="shared" si="257"/>
        <v>0</v>
      </c>
      <c r="F905" s="31"/>
      <c r="G905" s="31"/>
      <c r="H905" s="31"/>
      <c r="I905" s="56"/>
      <c r="J905" s="56"/>
      <c r="K905" s="82" t="str">
        <f t="shared" si="258"/>
        <v>Invoice</v>
      </c>
      <c r="L905" s="83" t="str">
        <f>"SI_111779"</f>
        <v>SI_111779</v>
      </c>
      <c r="M905" s="84">
        <v>43445</v>
      </c>
      <c r="N905" s="85">
        <f t="shared" si="259"/>
        <v>367</v>
      </c>
      <c r="O905" s="86">
        <f t="shared" si="260"/>
        <v>15467.960000000001</v>
      </c>
      <c r="P905" s="86">
        <f t="shared" si="261"/>
        <v>0</v>
      </c>
      <c r="Q905" s="86">
        <f t="shared" si="262"/>
        <v>0</v>
      </c>
      <c r="R905" s="86">
        <f t="shared" si="263"/>
        <v>0</v>
      </c>
      <c r="S905" s="86">
        <f t="shared" si="264"/>
        <v>0</v>
      </c>
      <c r="T905" s="86">
        <f t="shared" si="265"/>
        <v>15467.960000000001</v>
      </c>
      <c r="U905" s="87">
        <v>15467.960000000001</v>
      </c>
    </row>
    <row r="906" spans="1:21" s="30" customFormat="1" ht="24.6" hidden="1" outlineLevel="1" x14ac:dyDescent="0.55000000000000004">
      <c r="A906" s="27" t="s">
        <v>327</v>
      </c>
      <c r="B906" s="28"/>
      <c r="C906" s="27"/>
      <c r="D906" s="27" t="str">
        <f>"""NAV Direct"",""CRONUS JetCorp USA"",""21"",""1"",""379154"""</f>
        <v>"NAV Direct","CRONUS JetCorp USA","21","1","379154"</v>
      </c>
      <c r="E906" s="31" t="str">
        <f t="shared" si="257"/>
        <v>C100036</v>
      </c>
      <c r="F906" s="31"/>
      <c r="G906" s="31"/>
      <c r="H906" s="31"/>
      <c r="I906" s="56"/>
      <c r="J906" s="56"/>
      <c r="K906" s="82" t="str">
        <f t="shared" si="258"/>
        <v>Invoice</v>
      </c>
      <c r="L906" s="83" t="str">
        <f>"SI_111788"</f>
        <v>SI_111788</v>
      </c>
      <c r="M906" s="84">
        <v>43597</v>
      </c>
      <c r="N906" s="85">
        <f t="shared" si="259"/>
        <v>215</v>
      </c>
      <c r="O906" s="86">
        <f t="shared" si="260"/>
        <v>24473.200000000001</v>
      </c>
      <c r="P906" s="86">
        <f t="shared" si="261"/>
        <v>0</v>
      </c>
      <c r="Q906" s="86">
        <f t="shared" si="262"/>
        <v>0</v>
      </c>
      <c r="R906" s="86">
        <f t="shared" si="263"/>
        <v>0</v>
      </c>
      <c r="S906" s="86">
        <f t="shared" si="264"/>
        <v>0</v>
      </c>
      <c r="T906" s="86">
        <f t="shared" si="265"/>
        <v>24473.200000000001</v>
      </c>
      <c r="U906" s="87">
        <v>24473.200000000001</v>
      </c>
    </row>
    <row r="907" spans="1:21" s="30" customFormat="1" ht="24.6" hidden="1" outlineLevel="1" x14ac:dyDescent="0.55000000000000004">
      <c r="A907" s="27" t="s">
        <v>327</v>
      </c>
      <c r="B907" s="28"/>
      <c r="C907" s="27"/>
      <c r="D907" s="27" t="str">
        <f>"""NAV Direct"",""CRONUS JetCorp USA"",""21"",""1"",""379515"""</f>
        <v>"NAV Direct","CRONUS JetCorp USA","21","1","379515"</v>
      </c>
      <c r="E907" s="31">
        <f t="shared" si="257"/>
        <v>0</v>
      </c>
      <c r="F907" s="31"/>
      <c r="G907" s="31"/>
      <c r="H907" s="31"/>
      <c r="I907" s="56"/>
      <c r="J907" s="56"/>
      <c r="K907" s="82" t="str">
        <f t="shared" si="258"/>
        <v>Invoice</v>
      </c>
      <c r="L907" s="83" t="str">
        <f>"SI_111797"</f>
        <v>SI_111797</v>
      </c>
      <c r="M907" s="84">
        <v>43755</v>
      </c>
      <c r="N907" s="85">
        <f t="shared" si="259"/>
        <v>57</v>
      </c>
      <c r="O907" s="86">
        <f t="shared" si="260"/>
        <v>17554.47</v>
      </c>
      <c r="P907" s="86">
        <f t="shared" si="261"/>
        <v>0</v>
      </c>
      <c r="Q907" s="86">
        <f t="shared" si="262"/>
        <v>0</v>
      </c>
      <c r="R907" s="86">
        <f t="shared" si="263"/>
        <v>17554.47</v>
      </c>
      <c r="S907" s="86">
        <f t="shared" si="264"/>
        <v>0</v>
      </c>
      <c r="T907" s="86">
        <f t="shared" si="265"/>
        <v>0</v>
      </c>
      <c r="U907" s="87">
        <v>17554.47</v>
      </c>
    </row>
    <row r="908" spans="1:21" s="30" customFormat="1" ht="24.6" hidden="1" outlineLevel="1" x14ac:dyDescent="0.55000000000000004">
      <c r="A908" s="27" t="s">
        <v>327</v>
      </c>
      <c r="B908" s="28"/>
      <c r="C908" s="27"/>
      <c r="D908" s="27" t="str">
        <f>"""NAV Direct"",""CRONUS JetCorp USA"",""21"",""1"",""379548"""</f>
        <v>"NAV Direct","CRONUS JetCorp USA","21","1","379548"</v>
      </c>
      <c r="E908" s="31" t="str">
        <f t="shared" si="257"/>
        <v>C100036</v>
      </c>
      <c r="F908" s="31"/>
      <c r="G908" s="31"/>
      <c r="H908" s="31"/>
      <c r="I908" s="56"/>
      <c r="J908" s="56"/>
      <c r="K908" s="82" t="str">
        <f t="shared" si="258"/>
        <v>Invoice</v>
      </c>
      <c r="L908" s="83" t="str">
        <f>"SI_111798"</f>
        <v>SI_111798</v>
      </c>
      <c r="M908" s="84">
        <v>43785</v>
      </c>
      <c r="N908" s="85">
        <f t="shared" si="259"/>
        <v>27</v>
      </c>
      <c r="O908" s="86">
        <f t="shared" si="260"/>
        <v>19367.22</v>
      </c>
      <c r="P908" s="86">
        <f t="shared" si="261"/>
        <v>0</v>
      </c>
      <c r="Q908" s="86">
        <f t="shared" si="262"/>
        <v>19367.22</v>
      </c>
      <c r="R908" s="86">
        <f t="shared" si="263"/>
        <v>0</v>
      </c>
      <c r="S908" s="86">
        <f t="shared" si="264"/>
        <v>0</v>
      </c>
      <c r="T908" s="86">
        <f t="shared" si="265"/>
        <v>0</v>
      </c>
      <c r="U908" s="87">
        <v>19367.22</v>
      </c>
    </row>
    <row r="909" spans="1:21" s="30" customFormat="1" ht="24.6" hidden="1" outlineLevel="1" x14ac:dyDescent="0.55000000000000004">
      <c r="A909" s="27" t="s">
        <v>327</v>
      </c>
      <c r="B909" s="28"/>
      <c r="C909" s="27"/>
      <c r="D909" s="27" t="str">
        <f>"""NAV Direct"",""CRONUS JetCorp USA"",""21"",""1"",""379616"""</f>
        <v>"NAV Direct","CRONUS JetCorp USA","21","1","379616"</v>
      </c>
      <c r="E909" s="31">
        <f t="shared" si="257"/>
        <v>0</v>
      </c>
      <c r="F909" s="31"/>
      <c r="G909" s="31"/>
      <c r="H909" s="31"/>
      <c r="I909" s="56"/>
      <c r="J909" s="56"/>
      <c r="K909" s="82" t="str">
        <f t="shared" si="258"/>
        <v>Invoice</v>
      </c>
      <c r="L909" s="83" t="str">
        <f>"SI_111800"</f>
        <v>SI_111800</v>
      </c>
      <c r="M909" s="84">
        <v>43800</v>
      </c>
      <c r="N909" s="85">
        <f t="shared" si="259"/>
        <v>12</v>
      </c>
      <c r="O909" s="86">
        <f t="shared" si="260"/>
        <v>21304.280000000002</v>
      </c>
      <c r="P909" s="86">
        <f t="shared" si="261"/>
        <v>0</v>
      </c>
      <c r="Q909" s="86">
        <f t="shared" si="262"/>
        <v>21304.280000000002</v>
      </c>
      <c r="R909" s="86">
        <f t="shared" si="263"/>
        <v>0</v>
      </c>
      <c r="S909" s="86">
        <f t="shared" si="264"/>
        <v>0</v>
      </c>
      <c r="T909" s="86">
        <f t="shared" si="265"/>
        <v>0</v>
      </c>
      <c r="U909" s="87">
        <v>21304.280000000002</v>
      </c>
    </row>
    <row r="910" spans="1:21" s="30" customFormat="1" ht="24.6" hidden="1" outlineLevel="1" x14ac:dyDescent="0.55000000000000004">
      <c r="A910" s="27" t="s">
        <v>327</v>
      </c>
      <c r="B910" s="28"/>
      <c r="C910" s="27"/>
      <c r="D910" s="27" t="str">
        <f>"""NAV Direct"",""CRONUS JetCorp USA"",""21"",""1"",""379739"""</f>
        <v>"NAV Direct","CRONUS JetCorp USA","21","1","379739"</v>
      </c>
      <c r="E910" s="31" t="str">
        <f t="shared" si="257"/>
        <v>C100036</v>
      </c>
      <c r="F910" s="31"/>
      <c r="G910" s="31"/>
      <c r="H910" s="31"/>
      <c r="I910" s="56"/>
      <c r="J910" s="56"/>
      <c r="K910" s="82" t="str">
        <f t="shared" si="258"/>
        <v>Invoice</v>
      </c>
      <c r="L910" s="83" t="str">
        <f>"SI_111803"</f>
        <v>SI_111803</v>
      </c>
      <c r="M910" s="84">
        <v>42046</v>
      </c>
      <c r="N910" s="85">
        <f t="shared" si="259"/>
        <v>1766</v>
      </c>
      <c r="O910" s="86">
        <f t="shared" si="260"/>
        <v>21490.04</v>
      </c>
      <c r="P910" s="86">
        <f t="shared" si="261"/>
        <v>0</v>
      </c>
      <c r="Q910" s="86">
        <f t="shared" si="262"/>
        <v>0</v>
      </c>
      <c r="R910" s="86">
        <f t="shared" si="263"/>
        <v>0</v>
      </c>
      <c r="S910" s="86">
        <f t="shared" si="264"/>
        <v>0</v>
      </c>
      <c r="T910" s="86">
        <f t="shared" si="265"/>
        <v>21490.04</v>
      </c>
      <c r="U910" s="87">
        <v>21490.04</v>
      </c>
    </row>
    <row r="911" spans="1:21" s="30" customFormat="1" ht="24.6" hidden="1" outlineLevel="1" x14ac:dyDescent="0.55000000000000004">
      <c r="A911" s="27" t="s">
        <v>327</v>
      </c>
      <c r="B911" s="28"/>
      <c r="C911" s="27"/>
      <c r="D911" s="27" t="str">
        <f>"""NAV Direct"",""CRONUS JetCorp USA"",""21"",""1"",""380164"""</f>
        <v>"NAV Direct","CRONUS JetCorp USA","21","1","380164"</v>
      </c>
      <c r="E911" s="31">
        <f t="shared" si="257"/>
        <v>0</v>
      </c>
      <c r="F911" s="31"/>
      <c r="G911" s="31"/>
      <c r="H911" s="31"/>
      <c r="I911" s="56"/>
      <c r="J911" s="56"/>
      <c r="K911" s="82" t="str">
        <f t="shared" si="258"/>
        <v>Invoice</v>
      </c>
      <c r="L911" s="83" t="str">
        <f>"SI_111814"</f>
        <v>SI_111814</v>
      </c>
      <c r="M911" s="84">
        <v>42231</v>
      </c>
      <c r="N911" s="85">
        <f t="shared" si="259"/>
        <v>1581</v>
      </c>
      <c r="O911" s="86">
        <f t="shared" si="260"/>
        <v>16896.39</v>
      </c>
      <c r="P911" s="86">
        <f t="shared" si="261"/>
        <v>0</v>
      </c>
      <c r="Q911" s="86">
        <f t="shared" si="262"/>
        <v>0</v>
      </c>
      <c r="R911" s="86">
        <f t="shared" si="263"/>
        <v>0</v>
      </c>
      <c r="S911" s="86">
        <f t="shared" si="264"/>
        <v>0</v>
      </c>
      <c r="T911" s="86">
        <f t="shared" si="265"/>
        <v>16896.39</v>
      </c>
      <c r="U911" s="87">
        <v>16896.39</v>
      </c>
    </row>
    <row r="912" spans="1:21" s="30" customFormat="1" ht="24.6" hidden="1" outlineLevel="1" x14ac:dyDescent="0.55000000000000004">
      <c r="A912" s="27" t="s">
        <v>327</v>
      </c>
      <c r="B912" s="28"/>
      <c r="C912" s="27"/>
      <c r="D912" s="27" t="str">
        <f>"""NAV Direct"",""CRONUS JetCorp USA"",""21"",""1"",""380197"""</f>
        <v>"NAV Direct","CRONUS JetCorp USA","21","1","380197"</v>
      </c>
      <c r="E912" s="31" t="str">
        <f t="shared" si="257"/>
        <v>C100036</v>
      </c>
      <c r="F912" s="31"/>
      <c r="G912" s="31"/>
      <c r="H912" s="31"/>
      <c r="I912" s="56"/>
      <c r="J912" s="56"/>
      <c r="K912" s="82" t="str">
        <f t="shared" si="258"/>
        <v>Invoice</v>
      </c>
      <c r="L912" s="83" t="str">
        <f>"SI_111815"</f>
        <v>SI_111815</v>
      </c>
      <c r="M912" s="84">
        <v>42246</v>
      </c>
      <c r="N912" s="85">
        <f t="shared" si="259"/>
        <v>1566</v>
      </c>
      <c r="O912" s="86">
        <f t="shared" si="260"/>
        <v>16896.82</v>
      </c>
      <c r="P912" s="86">
        <f t="shared" si="261"/>
        <v>0</v>
      </c>
      <c r="Q912" s="86">
        <f t="shared" si="262"/>
        <v>0</v>
      </c>
      <c r="R912" s="86">
        <f t="shared" si="263"/>
        <v>0</v>
      </c>
      <c r="S912" s="86">
        <f t="shared" si="264"/>
        <v>0</v>
      </c>
      <c r="T912" s="86">
        <f t="shared" si="265"/>
        <v>16896.82</v>
      </c>
      <c r="U912" s="87">
        <v>16896.82</v>
      </c>
    </row>
    <row r="913" spans="1:22" s="30" customFormat="1" ht="24.6" hidden="1" outlineLevel="1" x14ac:dyDescent="0.55000000000000004">
      <c r="A913" s="27" t="s">
        <v>327</v>
      </c>
      <c r="B913" s="28"/>
      <c r="C913" s="27"/>
      <c r="D913" s="27" t="str">
        <f>"""NAV Direct"",""CRONUS JetCorp USA"",""21"",""1"",""437898"""</f>
        <v>"NAV Direct","CRONUS JetCorp USA","21","1","437898"</v>
      </c>
      <c r="E913" s="31">
        <f t="shared" si="257"/>
        <v>0</v>
      </c>
      <c r="F913" s="31"/>
      <c r="G913" s="31"/>
      <c r="H913" s="31"/>
      <c r="I913" s="56"/>
      <c r="J913" s="56"/>
      <c r="K913" s="82" t="str">
        <f>"Credit Memo"</f>
        <v>Credit Memo</v>
      </c>
      <c r="L913" s="83" t="str">
        <f>"SC_100778"</f>
        <v>SC_100778</v>
      </c>
      <c r="M913" s="84">
        <v>42469</v>
      </c>
      <c r="N913" s="85">
        <f t="shared" si="259"/>
        <v>1343</v>
      </c>
      <c r="O913" s="86">
        <f t="shared" si="260"/>
        <v>-114.04</v>
      </c>
      <c r="P913" s="86">
        <f t="shared" si="261"/>
        <v>0</v>
      </c>
      <c r="Q913" s="86">
        <f t="shared" si="262"/>
        <v>0</v>
      </c>
      <c r="R913" s="86">
        <f t="shared" si="263"/>
        <v>0</v>
      </c>
      <c r="S913" s="86">
        <f t="shared" si="264"/>
        <v>0</v>
      </c>
      <c r="T913" s="86">
        <f t="shared" si="265"/>
        <v>-114.04</v>
      </c>
      <c r="U913" s="87">
        <v>-114.04</v>
      </c>
    </row>
    <row r="914" spans="1:22" s="30" customFormat="1" ht="24.6" hidden="1" outlineLevel="1" x14ac:dyDescent="0.55000000000000004">
      <c r="A914" s="27" t="s">
        <v>327</v>
      </c>
      <c r="B914" s="28"/>
      <c r="C914" s="27"/>
      <c r="D914" s="27" t="str">
        <f>"""NAV Direct"",""CRONUS JetCorp USA"",""21"",""1"",""437930"""</f>
        <v>"NAV Direct","CRONUS JetCorp USA","21","1","437930"</v>
      </c>
      <c r="E914" s="31" t="str">
        <f t="shared" si="257"/>
        <v>C100036</v>
      </c>
      <c r="F914" s="31"/>
      <c r="G914" s="31"/>
      <c r="H914" s="31"/>
      <c r="I914" s="56"/>
      <c r="J914" s="56"/>
      <c r="K914" s="82" t="str">
        <f>"Credit Memo"</f>
        <v>Credit Memo</v>
      </c>
      <c r="L914" s="83" t="str">
        <f>"SC_100780"</f>
        <v>SC_100780</v>
      </c>
      <c r="M914" s="84">
        <v>42514</v>
      </c>
      <c r="N914" s="85">
        <f t="shared" si="259"/>
        <v>1298</v>
      </c>
      <c r="O914" s="86">
        <f t="shared" si="260"/>
        <v>-125.36</v>
      </c>
      <c r="P914" s="86">
        <f t="shared" si="261"/>
        <v>0</v>
      </c>
      <c r="Q914" s="86">
        <f t="shared" si="262"/>
        <v>0</v>
      </c>
      <c r="R914" s="86">
        <f t="shared" si="263"/>
        <v>0</v>
      </c>
      <c r="S914" s="86">
        <f t="shared" si="264"/>
        <v>0</v>
      </c>
      <c r="T914" s="86">
        <f t="shared" si="265"/>
        <v>-125.36</v>
      </c>
      <c r="U914" s="87">
        <v>-125.36</v>
      </c>
    </row>
    <row r="915" spans="1:22" s="30" customFormat="1" ht="24.6" hidden="1" outlineLevel="1" x14ac:dyDescent="0.55000000000000004">
      <c r="A915" s="27" t="s">
        <v>327</v>
      </c>
      <c r="B915" s="28"/>
      <c r="C915" s="27"/>
      <c r="D915" s="27" t="str">
        <f>"""NAV Direct"",""CRONUS JetCorp USA"",""21"",""1"",""438027"""</f>
        <v>"NAV Direct","CRONUS JetCorp USA","21","1","438027"</v>
      </c>
      <c r="E915" s="31">
        <f t="shared" si="257"/>
        <v>0</v>
      </c>
      <c r="F915" s="31"/>
      <c r="G915" s="31"/>
      <c r="H915" s="31"/>
      <c r="I915" s="56"/>
      <c r="J915" s="56"/>
      <c r="K915" s="82" t="str">
        <f>"Credit Memo"</f>
        <v>Credit Memo</v>
      </c>
      <c r="L915" s="83" t="str">
        <f>"SC_100787"</f>
        <v>SC_100787</v>
      </c>
      <c r="M915" s="84">
        <v>42997</v>
      </c>
      <c r="N915" s="85">
        <f t="shared" si="259"/>
        <v>815</v>
      </c>
      <c r="O915" s="86">
        <f t="shared" si="260"/>
        <v>-118.15</v>
      </c>
      <c r="P915" s="86">
        <f t="shared" si="261"/>
        <v>0</v>
      </c>
      <c r="Q915" s="86">
        <f t="shared" si="262"/>
        <v>0</v>
      </c>
      <c r="R915" s="86">
        <f t="shared" si="263"/>
        <v>0</v>
      </c>
      <c r="S915" s="86">
        <f t="shared" si="264"/>
        <v>0</v>
      </c>
      <c r="T915" s="86">
        <f t="shared" si="265"/>
        <v>-118.15</v>
      </c>
      <c r="U915" s="87">
        <v>-118.15</v>
      </c>
    </row>
    <row r="916" spans="1:22" s="30" customFormat="1" ht="24.6" hidden="1" outlineLevel="1" x14ac:dyDescent="0.55000000000000004">
      <c r="A916" s="27" t="s">
        <v>327</v>
      </c>
      <c r="B916" s="28"/>
      <c r="C916" s="27"/>
      <c r="D916" s="27" t="str">
        <f>"""NAV Direct"",""CRONUS JetCorp USA"",""21"",""1"",""438046"""</f>
        <v>"NAV Direct","CRONUS JetCorp USA","21","1","438046"</v>
      </c>
      <c r="E916" s="31" t="str">
        <f t="shared" si="257"/>
        <v>C100036</v>
      </c>
      <c r="F916" s="31"/>
      <c r="G916" s="31"/>
      <c r="H916" s="31"/>
      <c r="I916" s="56"/>
      <c r="J916" s="56"/>
      <c r="K916" s="82" t="str">
        <f>"Credit Memo"</f>
        <v>Credit Memo</v>
      </c>
      <c r="L916" s="83" t="str">
        <f>"SC_100788"</f>
        <v>SC_100788</v>
      </c>
      <c r="M916" s="84">
        <v>43023</v>
      </c>
      <c r="N916" s="85">
        <f t="shared" si="259"/>
        <v>789</v>
      </c>
      <c r="O916" s="86">
        <f t="shared" si="260"/>
        <v>-129.22999999999999</v>
      </c>
      <c r="P916" s="86">
        <f t="shared" si="261"/>
        <v>0</v>
      </c>
      <c r="Q916" s="86">
        <f t="shared" si="262"/>
        <v>0</v>
      </c>
      <c r="R916" s="86">
        <f t="shared" si="263"/>
        <v>0</v>
      </c>
      <c r="S916" s="86">
        <f t="shared" si="264"/>
        <v>0</v>
      </c>
      <c r="T916" s="86">
        <f t="shared" si="265"/>
        <v>-129.22999999999999</v>
      </c>
      <c r="U916" s="87">
        <v>-129.22999999999999</v>
      </c>
    </row>
    <row r="917" spans="1:22" s="30" customFormat="1" ht="24.6" hidden="1" outlineLevel="1" x14ac:dyDescent="0.55000000000000004">
      <c r="A917" s="27" t="s">
        <v>327</v>
      </c>
      <c r="B917" s="28"/>
      <c r="C917" s="27"/>
      <c r="D917" s="27" t="str">
        <f>"""NAV Direct"",""CRONUS JetCorp USA"",""21"",""1"",""438145"""</f>
        <v>"NAV Direct","CRONUS JetCorp USA","21","1","438145"</v>
      </c>
      <c r="E917" s="31">
        <f t="shared" si="257"/>
        <v>0</v>
      </c>
      <c r="F917" s="31"/>
      <c r="G917" s="31"/>
      <c r="H917" s="31"/>
      <c r="I917" s="56"/>
      <c r="J917" s="56"/>
      <c r="K917" s="82" t="str">
        <f>"Credit Memo"</f>
        <v>Credit Memo</v>
      </c>
      <c r="L917" s="83" t="str">
        <f>"SC_100795"</f>
        <v>SC_100795</v>
      </c>
      <c r="M917" s="84">
        <v>43284</v>
      </c>
      <c r="N917" s="85">
        <f t="shared" si="259"/>
        <v>528</v>
      </c>
      <c r="O917" s="86">
        <f t="shared" si="260"/>
        <v>-149.22</v>
      </c>
      <c r="P917" s="86">
        <f t="shared" si="261"/>
        <v>0</v>
      </c>
      <c r="Q917" s="86">
        <f t="shared" si="262"/>
        <v>0</v>
      </c>
      <c r="R917" s="86">
        <f t="shared" si="263"/>
        <v>0</v>
      </c>
      <c r="S917" s="86">
        <f t="shared" si="264"/>
        <v>0</v>
      </c>
      <c r="T917" s="86">
        <f t="shared" si="265"/>
        <v>-149.22</v>
      </c>
      <c r="U917" s="87">
        <v>-149.22</v>
      </c>
    </row>
    <row r="918" spans="1:22" s="22" customFormat="1" ht="20.399999999999999" collapsed="1" x14ac:dyDescent="0.45">
      <c r="A918" s="12" t="s">
        <v>327</v>
      </c>
      <c r="B918" s="19"/>
      <c r="C918" s="12"/>
      <c r="D918" s="12"/>
      <c r="E918" s="23"/>
      <c r="F918" s="23"/>
      <c r="G918" s="23"/>
      <c r="H918" s="23"/>
      <c r="I918" s="49"/>
      <c r="J918" s="88"/>
      <c r="K918" s="88"/>
      <c r="L918" s="89"/>
      <c r="M918" s="89"/>
      <c r="N918" s="89"/>
      <c r="O918" s="89"/>
      <c r="P918" s="89"/>
      <c r="Q918" s="90"/>
      <c r="R918" s="90"/>
      <c r="S918" s="91"/>
      <c r="T918" s="92"/>
      <c r="U918" s="92"/>
    </row>
    <row r="919" spans="1:22" s="22" customFormat="1" ht="20.399999999999999" x14ac:dyDescent="0.45">
      <c r="A919" s="12" t="s">
        <v>327</v>
      </c>
      <c r="B919" s="19"/>
      <c r="C919" s="12"/>
      <c r="D919" s="12"/>
      <c r="E919" s="23"/>
      <c r="F919" s="23"/>
      <c r="G919" s="23"/>
      <c r="H919" s="23"/>
      <c r="I919" s="49"/>
      <c r="J919" s="88"/>
      <c r="K919" s="88"/>
      <c r="L919" s="89"/>
      <c r="M919" s="89"/>
      <c r="N919" s="89"/>
      <c r="O919" s="89"/>
      <c r="P919" s="89"/>
      <c r="Q919" s="90"/>
      <c r="R919" s="90"/>
      <c r="S919" s="91"/>
      <c r="T919" s="92"/>
      <c r="U919" s="92"/>
    </row>
    <row r="920" spans="1:22" s="26" customFormat="1" ht="24.6" x14ac:dyDescent="0.55000000000000004">
      <c r="A920" s="27" t="s">
        <v>327</v>
      </c>
      <c r="B920" s="28"/>
      <c r="C920" s="27" t="str">
        <f>"""NAV Direct"",""CRONUS JetCorp USA"",""18"",""1"",""C100037"""</f>
        <v>"NAV Direct","CRONUS JetCorp USA","18","1","C100037"</v>
      </c>
      <c r="D920" s="27"/>
      <c r="E920" s="28" t="str">
        <f>H920</f>
        <v>C100037</v>
      </c>
      <c r="F920" s="28"/>
      <c r="G920" s="28"/>
      <c r="H920" s="28" t="str">
        <f>"C100037"</f>
        <v>C100037</v>
      </c>
      <c r="I920" s="116" t="str">
        <f>"C100037  -  Tempsons Tropies"</f>
        <v>C100037  -  Tempsons Tropies</v>
      </c>
      <c r="J920" s="117" t="str">
        <f>""</f>
        <v/>
      </c>
      <c r="K920" s="118"/>
      <c r="L920" s="119">
        <f>SUBTOTAL(3,L921:L1025)</f>
        <v>101</v>
      </c>
      <c r="M920" s="118"/>
      <c r="N920" s="118"/>
      <c r="O920" s="120">
        <f t="shared" ref="O920:T920" si="266">SUBTOTAL(9,O921:O1025)</f>
        <v>1324499.83</v>
      </c>
      <c r="P920" s="120">
        <f t="shared" si="266"/>
        <v>48111.07</v>
      </c>
      <c r="Q920" s="120">
        <f t="shared" si="266"/>
        <v>32573.309999999998</v>
      </c>
      <c r="R920" s="120">
        <f t="shared" si="266"/>
        <v>47726.560000000005</v>
      </c>
      <c r="S920" s="120">
        <f t="shared" si="266"/>
        <v>30519.91</v>
      </c>
      <c r="T920" s="120">
        <f t="shared" si="266"/>
        <v>1165568.98</v>
      </c>
      <c r="U920" s="81"/>
    </row>
    <row r="921" spans="1:22" s="26" customFormat="1" ht="24.6" x14ac:dyDescent="0.55000000000000004">
      <c r="A921" s="27" t="s">
        <v>327</v>
      </c>
      <c r="B921" s="28"/>
      <c r="C921" s="27" t="str">
        <f>C920</f>
        <v>"NAV Direct","CRONUS JetCorp USA","18","1","C100037"</v>
      </c>
      <c r="D921" s="27"/>
      <c r="E921" s="28" t="str">
        <f>E920</f>
        <v>C100037</v>
      </c>
      <c r="F921" s="28"/>
      <c r="G921" s="28"/>
      <c r="H921" s="28"/>
      <c r="I921" s="121" t="str">
        <f>"Contact: Bill Watles"</f>
        <v>Contact: Bill Watles</v>
      </c>
      <c r="J921" s="121"/>
      <c r="K921" s="122"/>
      <c r="L921" s="123"/>
      <c r="M921" s="123"/>
      <c r="N921" s="124"/>
      <c r="O921" s="124"/>
      <c r="P921" s="123"/>
      <c r="Q921" s="125"/>
      <c r="R921" s="126"/>
      <c r="S921" s="126"/>
      <c r="T921" s="125"/>
      <c r="U921" s="81"/>
    </row>
    <row r="922" spans="1:22" s="26" customFormat="1" ht="24.6" x14ac:dyDescent="0.55000000000000004">
      <c r="A922" s="27" t="s">
        <v>327</v>
      </c>
      <c r="B922" s="28"/>
      <c r="C922" s="27" t="str">
        <f>C921</f>
        <v>"NAV Direct","CRONUS JetCorp USA","18","1","C100037"</v>
      </c>
      <c r="D922" s="27"/>
      <c r="E922" s="28" t="str">
        <f>E921</f>
        <v>C100037</v>
      </c>
      <c r="F922" s="28"/>
      <c r="G922" s="28"/>
      <c r="H922" s="28"/>
      <c r="I922" s="121" t="str">
        <f>"Tempsons Tropies@Cronus.com"</f>
        <v>Tempsons Tropies@Cronus.com</v>
      </c>
      <c r="J922" s="121"/>
      <c r="K922" s="122"/>
      <c r="L922" s="124"/>
      <c r="M922" s="124"/>
      <c r="N922" s="124"/>
      <c r="O922" s="124"/>
      <c r="P922" s="123"/>
      <c r="Q922" s="125"/>
      <c r="R922" s="126"/>
      <c r="S922" s="126"/>
      <c r="T922" s="125"/>
      <c r="U922" s="81"/>
    </row>
    <row r="923" spans="1:22" ht="12.75" hidden="1" customHeight="1" outlineLevel="1" x14ac:dyDescent="0.45">
      <c r="A923" s="12" t="s">
        <v>328</v>
      </c>
      <c r="B923" s="19"/>
      <c r="E923" s="19"/>
      <c r="F923" s="19"/>
      <c r="G923" s="19"/>
      <c r="H923" s="19"/>
      <c r="I923" s="61"/>
      <c r="J923" s="61"/>
      <c r="K923" s="61"/>
      <c r="L923" s="61"/>
      <c r="M923" s="61"/>
      <c r="N923" s="61"/>
      <c r="O923" s="61"/>
      <c r="P923" s="61"/>
      <c r="Q923" s="61"/>
      <c r="R923" s="61"/>
      <c r="S923" s="61"/>
      <c r="T923" s="61"/>
      <c r="U923" s="61"/>
      <c r="V923" s="21"/>
    </row>
    <row r="924" spans="1:22" s="30" customFormat="1" ht="24.6" hidden="1" outlineLevel="1" x14ac:dyDescent="0.55000000000000004">
      <c r="A924" s="27" t="s">
        <v>327</v>
      </c>
      <c r="B924" s="28"/>
      <c r="C924" s="27"/>
      <c r="D924" s="27" t="str">
        <f>"""NAV Direct"",""CRONUS JetCorp USA"",""21"",""1"",""14345"""</f>
        <v>"NAV Direct","CRONUS JetCorp USA","21","1","14345"</v>
      </c>
      <c r="E924" s="31" t="str">
        <f t="shared" ref="E924:E955" si="267">E922</f>
        <v>C100037</v>
      </c>
      <c r="F924" s="31"/>
      <c r="G924" s="31"/>
      <c r="H924" s="31"/>
      <c r="I924" s="56"/>
      <c r="J924" s="56"/>
      <c r="K924" s="82" t="str">
        <f>"Invoice"</f>
        <v>Invoice</v>
      </c>
      <c r="L924" s="83" t="str">
        <f>"SI_103826"</f>
        <v>SI_103826</v>
      </c>
      <c r="M924" s="84">
        <v>42331</v>
      </c>
      <c r="N924" s="85">
        <f t="shared" ref="N924:N955" si="268">StartDate-$M924+1</f>
        <v>1481</v>
      </c>
      <c r="O924" s="86">
        <f t="shared" ref="O924:O955" si="269">SUM(P924:T924)</f>
        <v>16899.88</v>
      </c>
      <c r="P924" s="86">
        <f t="shared" ref="P924:P955" si="270">IF($M924&gt;=$P$18,U924,0)</f>
        <v>0</v>
      </c>
      <c r="Q924" s="86">
        <f t="shared" ref="Q924:Q955" si="271">IF(AND($M924&gt;=$Q$16,$M924&lt;=$Q$18),U924,0)</f>
        <v>0</v>
      </c>
      <c r="R924" s="86">
        <f t="shared" ref="R924:R955" si="272">IF(AND($M924&gt;=$R$16,$M924&lt;=$R$18),U924,0)</f>
        <v>0</v>
      </c>
      <c r="S924" s="86">
        <f t="shared" ref="S924:S955" si="273">IF(AND($M924&gt;=$S$16,$M924&lt;=$S$18),U924,0)</f>
        <v>0</v>
      </c>
      <c r="T924" s="86">
        <f t="shared" ref="T924:T955" si="274">IF($M924&lt;=$T$18,U924,0)</f>
        <v>16899.88</v>
      </c>
      <c r="U924" s="87">
        <v>16899.88</v>
      </c>
    </row>
    <row r="925" spans="1:22" s="30" customFormat="1" ht="24.6" hidden="1" outlineLevel="1" x14ac:dyDescent="0.55000000000000004">
      <c r="A925" s="27" t="s">
        <v>327</v>
      </c>
      <c r="B925" s="28"/>
      <c r="C925" s="27"/>
      <c r="D925" s="27" t="str">
        <f>"""NAV Direct"",""CRONUS JetCorp USA"",""21"",""1"",""14461"""</f>
        <v>"NAV Direct","CRONUS JetCorp USA","21","1","14461"</v>
      </c>
      <c r="E925" s="31">
        <f t="shared" si="267"/>
        <v>0</v>
      </c>
      <c r="F925" s="31"/>
      <c r="G925" s="31"/>
      <c r="H925" s="31"/>
      <c r="I925" s="56"/>
      <c r="J925" s="56"/>
      <c r="K925" s="82" t="str">
        <f>"Invoice"</f>
        <v>Invoice</v>
      </c>
      <c r="L925" s="83" t="str">
        <f>"SI_103830"</f>
        <v>SI_103830</v>
      </c>
      <c r="M925" s="84">
        <v>42336</v>
      </c>
      <c r="N925" s="85">
        <f t="shared" si="268"/>
        <v>1476</v>
      </c>
      <c r="O925" s="86">
        <f t="shared" si="269"/>
        <v>17433.63</v>
      </c>
      <c r="P925" s="86">
        <f t="shared" si="270"/>
        <v>0</v>
      </c>
      <c r="Q925" s="86">
        <f t="shared" si="271"/>
        <v>0</v>
      </c>
      <c r="R925" s="86">
        <f t="shared" si="272"/>
        <v>0</v>
      </c>
      <c r="S925" s="86">
        <f t="shared" si="273"/>
        <v>0</v>
      </c>
      <c r="T925" s="86">
        <f t="shared" si="274"/>
        <v>17433.63</v>
      </c>
      <c r="U925" s="87">
        <v>17433.63</v>
      </c>
    </row>
    <row r="926" spans="1:22" s="30" customFormat="1" ht="24.6" hidden="1" outlineLevel="1" x14ac:dyDescent="0.55000000000000004">
      <c r="A926" s="27" t="s">
        <v>327</v>
      </c>
      <c r="B926" s="28"/>
      <c r="C926" s="27"/>
      <c r="D926" s="27" t="str">
        <f>"""NAV Direct"",""CRONUS JetCorp USA"",""21"",""1"",""14558"""</f>
        <v>"NAV Direct","CRONUS JetCorp USA","21","1","14558"</v>
      </c>
      <c r="E926" s="31" t="str">
        <f t="shared" si="267"/>
        <v>C100037</v>
      </c>
      <c r="F926" s="31"/>
      <c r="G926" s="31"/>
      <c r="H926" s="31"/>
      <c r="I926" s="56"/>
      <c r="J926" s="56"/>
      <c r="K926" s="82" t="str">
        <f>"Invoice"</f>
        <v>Invoice</v>
      </c>
      <c r="L926" s="83" t="str">
        <f>"SI_103833"</f>
        <v>SI_103833</v>
      </c>
      <c r="M926" s="84">
        <v>42358</v>
      </c>
      <c r="N926" s="85">
        <f t="shared" si="268"/>
        <v>1454</v>
      </c>
      <c r="O926" s="86">
        <f t="shared" si="269"/>
        <v>17432.850000000002</v>
      </c>
      <c r="P926" s="86">
        <f t="shared" si="270"/>
        <v>0</v>
      </c>
      <c r="Q926" s="86">
        <f t="shared" si="271"/>
        <v>0</v>
      </c>
      <c r="R926" s="86">
        <f t="shared" si="272"/>
        <v>0</v>
      </c>
      <c r="S926" s="86">
        <f t="shared" si="273"/>
        <v>0</v>
      </c>
      <c r="T926" s="86">
        <f t="shared" si="274"/>
        <v>17432.850000000002</v>
      </c>
      <c r="U926" s="87">
        <v>17432.850000000002</v>
      </c>
    </row>
    <row r="927" spans="1:22" s="30" customFormat="1" ht="24.6" hidden="1" outlineLevel="1" x14ac:dyDescent="0.55000000000000004">
      <c r="A927" s="27" t="s">
        <v>327</v>
      </c>
      <c r="B927" s="28"/>
      <c r="C927" s="27"/>
      <c r="D927" s="27" t="str">
        <f>"""NAV Direct"",""CRONUS JetCorp USA"",""21"",""1"",""14670"""</f>
        <v>"NAV Direct","CRONUS JetCorp USA","21","1","14670"</v>
      </c>
      <c r="E927" s="31">
        <f t="shared" si="267"/>
        <v>0</v>
      </c>
      <c r="F927" s="31"/>
      <c r="G927" s="31"/>
      <c r="H927" s="31"/>
      <c r="I927" s="56"/>
      <c r="J927" s="56"/>
      <c r="K927" s="82" t="str">
        <f>"Invoice"</f>
        <v>Invoice</v>
      </c>
      <c r="L927" s="83" t="str">
        <f>"SI_103837"</f>
        <v>SI_103837</v>
      </c>
      <c r="M927" s="84">
        <v>42368</v>
      </c>
      <c r="N927" s="85">
        <f t="shared" si="268"/>
        <v>1444</v>
      </c>
      <c r="O927" s="86">
        <f t="shared" si="269"/>
        <v>16720.87</v>
      </c>
      <c r="P927" s="86">
        <f t="shared" si="270"/>
        <v>0</v>
      </c>
      <c r="Q927" s="86">
        <f t="shared" si="271"/>
        <v>0</v>
      </c>
      <c r="R927" s="86">
        <f t="shared" si="272"/>
        <v>0</v>
      </c>
      <c r="S927" s="86">
        <f t="shared" si="273"/>
        <v>0</v>
      </c>
      <c r="T927" s="86">
        <f t="shared" si="274"/>
        <v>16720.87</v>
      </c>
      <c r="U927" s="87">
        <v>16720.87</v>
      </c>
    </row>
    <row r="928" spans="1:22" s="30" customFormat="1" ht="24.6" hidden="1" outlineLevel="1" x14ac:dyDescent="0.55000000000000004">
      <c r="A928" s="27" t="s">
        <v>327</v>
      </c>
      <c r="B928" s="28"/>
      <c r="C928" s="27"/>
      <c r="D928" s="27" t="str">
        <f>"""NAV Direct"",""CRONUS JetCorp USA"",""21"",""1"",""14769"""</f>
        <v>"NAV Direct","CRONUS JetCorp USA","21","1","14769"</v>
      </c>
      <c r="E928" s="31" t="str">
        <f t="shared" si="267"/>
        <v>C100037</v>
      </c>
      <c r="F928" s="31"/>
      <c r="G928" s="31"/>
      <c r="H928" s="31"/>
      <c r="I928" s="56"/>
      <c r="J928" s="56"/>
      <c r="K928" s="82" t="str">
        <f>"Invoice"</f>
        <v>Invoice</v>
      </c>
      <c r="L928" s="83" t="str">
        <f>"SI_103840"</f>
        <v>SI_103840</v>
      </c>
      <c r="M928" s="84">
        <v>42741</v>
      </c>
      <c r="N928" s="85">
        <f t="shared" si="268"/>
        <v>1071</v>
      </c>
      <c r="O928" s="86">
        <f t="shared" si="269"/>
        <v>17433.650000000001</v>
      </c>
      <c r="P928" s="86">
        <f t="shared" si="270"/>
        <v>0</v>
      </c>
      <c r="Q928" s="86">
        <f t="shared" si="271"/>
        <v>0</v>
      </c>
      <c r="R928" s="86">
        <f t="shared" si="272"/>
        <v>0</v>
      </c>
      <c r="S928" s="86">
        <f t="shared" si="273"/>
        <v>0</v>
      </c>
      <c r="T928" s="86">
        <f t="shared" si="274"/>
        <v>17433.650000000001</v>
      </c>
      <c r="U928" s="87">
        <v>17433.650000000001</v>
      </c>
    </row>
    <row r="929" spans="1:21" s="30" customFormat="1" ht="24.6" hidden="1" outlineLevel="1" x14ac:dyDescent="0.55000000000000004">
      <c r="A929" s="27" t="s">
        <v>327</v>
      </c>
      <c r="B929" s="28"/>
      <c r="C929" s="27"/>
      <c r="D929" s="27" t="str">
        <f>"""NAV Direct"",""CRONUS JetCorp USA"",""21"",""1"",""214116"""</f>
        <v>"NAV Direct","CRONUS JetCorp USA","21","1","214116"</v>
      </c>
      <c r="E929" s="31">
        <f t="shared" si="267"/>
        <v>0</v>
      </c>
      <c r="F929" s="31"/>
      <c r="G929" s="31"/>
      <c r="H929" s="31"/>
      <c r="I929" s="56"/>
      <c r="J929" s="56"/>
      <c r="K929" s="82" t="str">
        <f>"Credit Memo"</f>
        <v>Credit Memo</v>
      </c>
      <c r="L929" s="83" t="str">
        <f>"SC_100186"</f>
        <v>SC_100186</v>
      </c>
      <c r="M929" s="84">
        <v>42814</v>
      </c>
      <c r="N929" s="85">
        <f t="shared" si="268"/>
        <v>998</v>
      </c>
      <c r="O929" s="86">
        <f t="shared" si="269"/>
        <v>-162.42999999999998</v>
      </c>
      <c r="P929" s="86">
        <f t="shared" si="270"/>
        <v>0</v>
      </c>
      <c r="Q929" s="86">
        <f t="shared" si="271"/>
        <v>0</v>
      </c>
      <c r="R929" s="86">
        <f t="shared" si="272"/>
        <v>0</v>
      </c>
      <c r="S929" s="86">
        <f t="shared" si="273"/>
        <v>0</v>
      </c>
      <c r="T929" s="86">
        <f t="shared" si="274"/>
        <v>-162.42999999999998</v>
      </c>
      <c r="U929" s="87">
        <v>-162.42999999999998</v>
      </c>
    </row>
    <row r="930" spans="1:21" s="30" customFormat="1" ht="24.6" hidden="1" outlineLevel="1" x14ac:dyDescent="0.55000000000000004">
      <c r="A930" s="27" t="s">
        <v>327</v>
      </c>
      <c r="B930" s="28"/>
      <c r="C930" s="27"/>
      <c r="D930" s="27" t="str">
        <f>"""NAV Direct"",""CRONUS JetCorp USA"",""21"",""1"",""214157"""</f>
        <v>"NAV Direct","CRONUS JetCorp USA","21","1","214157"</v>
      </c>
      <c r="E930" s="31" t="str">
        <f t="shared" si="267"/>
        <v>C100037</v>
      </c>
      <c r="F930" s="31"/>
      <c r="G930" s="31"/>
      <c r="H930" s="31"/>
      <c r="I930" s="56"/>
      <c r="J930" s="56"/>
      <c r="K930" s="82" t="str">
        <f>"Credit Memo"</f>
        <v>Credit Memo</v>
      </c>
      <c r="L930" s="83" t="str">
        <f>"SC_100189"</f>
        <v>SC_100189</v>
      </c>
      <c r="M930" s="84">
        <v>43382</v>
      </c>
      <c r="N930" s="85">
        <f t="shared" si="268"/>
        <v>430</v>
      </c>
      <c r="O930" s="86">
        <f t="shared" si="269"/>
        <v>-156.66999999999999</v>
      </c>
      <c r="P930" s="86">
        <f t="shared" si="270"/>
        <v>0</v>
      </c>
      <c r="Q930" s="86">
        <f t="shared" si="271"/>
        <v>0</v>
      </c>
      <c r="R930" s="86">
        <f t="shared" si="272"/>
        <v>0</v>
      </c>
      <c r="S930" s="86">
        <f t="shared" si="273"/>
        <v>0</v>
      </c>
      <c r="T930" s="86">
        <f t="shared" si="274"/>
        <v>-156.66999999999999</v>
      </c>
      <c r="U930" s="87">
        <v>-156.66999999999999</v>
      </c>
    </row>
    <row r="931" spans="1:21" s="30" customFormat="1" ht="24.6" hidden="1" outlineLevel="1" x14ac:dyDescent="0.55000000000000004">
      <c r="A931" s="27" t="s">
        <v>327</v>
      </c>
      <c r="B931" s="28"/>
      <c r="C931" s="27"/>
      <c r="D931" s="27" t="str">
        <f>"""NAV Direct"",""CRONUS JetCorp USA"",""21"",""1"",""303894"""</f>
        <v>"NAV Direct","CRONUS JetCorp USA","21","1","303894"</v>
      </c>
      <c r="E931" s="31">
        <f t="shared" si="267"/>
        <v>0</v>
      </c>
      <c r="F931" s="31"/>
      <c r="G931" s="31"/>
      <c r="H931" s="31"/>
      <c r="I931" s="56"/>
      <c r="J931" s="56"/>
      <c r="K931" s="82" t="str">
        <f t="shared" ref="K931:K962" si="275">"Invoice"</f>
        <v>Invoice</v>
      </c>
      <c r="L931" s="83" t="str">
        <f>"SI_109348"</f>
        <v>SI_109348</v>
      </c>
      <c r="M931" s="84">
        <v>42402</v>
      </c>
      <c r="N931" s="85">
        <f t="shared" si="268"/>
        <v>1410</v>
      </c>
      <c r="O931" s="86">
        <f t="shared" si="269"/>
        <v>13648.73</v>
      </c>
      <c r="P931" s="86">
        <f t="shared" si="270"/>
        <v>0</v>
      </c>
      <c r="Q931" s="86">
        <f t="shared" si="271"/>
        <v>0</v>
      </c>
      <c r="R931" s="86">
        <f t="shared" si="272"/>
        <v>0</v>
      </c>
      <c r="S931" s="86">
        <f t="shared" si="273"/>
        <v>0</v>
      </c>
      <c r="T931" s="86">
        <f t="shared" si="274"/>
        <v>13648.73</v>
      </c>
      <c r="U931" s="87">
        <v>13648.73</v>
      </c>
    </row>
    <row r="932" spans="1:21" s="30" customFormat="1" ht="24.6" hidden="1" outlineLevel="1" x14ac:dyDescent="0.55000000000000004">
      <c r="A932" s="27" t="s">
        <v>327</v>
      </c>
      <c r="B932" s="28"/>
      <c r="C932" s="27"/>
      <c r="D932" s="27" t="str">
        <f>"""NAV Direct"",""CRONUS JetCorp USA"",""21"",""1"",""304271"""</f>
        <v>"NAV Direct","CRONUS JetCorp USA","21","1","304271"</v>
      </c>
      <c r="E932" s="31" t="str">
        <f t="shared" si="267"/>
        <v>C100037</v>
      </c>
      <c r="F932" s="31"/>
      <c r="G932" s="31"/>
      <c r="H932" s="31"/>
      <c r="I932" s="56"/>
      <c r="J932" s="56"/>
      <c r="K932" s="82" t="str">
        <f t="shared" si="275"/>
        <v>Invoice</v>
      </c>
      <c r="L932" s="83" t="str">
        <f>"SI_109363"</f>
        <v>SI_109363</v>
      </c>
      <c r="M932" s="84">
        <v>42489</v>
      </c>
      <c r="N932" s="85">
        <f t="shared" si="268"/>
        <v>1323</v>
      </c>
      <c r="O932" s="86">
        <f t="shared" si="269"/>
        <v>14268.300000000001</v>
      </c>
      <c r="P932" s="86">
        <f t="shared" si="270"/>
        <v>0</v>
      </c>
      <c r="Q932" s="86">
        <f t="shared" si="271"/>
        <v>0</v>
      </c>
      <c r="R932" s="86">
        <f t="shared" si="272"/>
        <v>0</v>
      </c>
      <c r="S932" s="86">
        <f t="shared" si="273"/>
        <v>0</v>
      </c>
      <c r="T932" s="86">
        <f t="shared" si="274"/>
        <v>14268.300000000001</v>
      </c>
      <c r="U932" s="87">
        <v>14268.300000000001</v>
      </c>
    </row>
    <row r="933" spans="1:21" s="30" customFormat="1" ht="24.6" hidden="1" outlineLevel="1" x14ac:dyDescent="0.55000000000000004">
      <c r="A933" s="27" t="s">
        <v>327</v>
      </c>
      <c r="B933" s="28"/>
      <c r="C933" s="27"/>
      <c r="D933" s="27" t="str">
        <f>"""NAV Direct"",""CRONUS JetCorp USA"",""21"",""1"",""304464"""</f>
        <v>"NAV Direct","CRONUS JetCorp USA","21","1","304464"</v>
      </c>
      <c r="E933" s="31">
        <f t="shared" si="267"/>
        <v>0</v>
      </c>
      <c r="F933" s="31"/>
      <c r="G933" s="31"/>
      <c r="H933" s="31"/>
      <c r="I933" s="56"/>
      <c r="J933" s="56"/>
      <c r="K933" s="82" t="str">
        <f t="shared" si="275"/>
        <v>Invoice</v>
      </c>
      <c r="L933" s="83" t="str">
        <f>"SI_109370"</f>
        <v>SI_109370</v>
      </c>
      <c r="M933" s="84">
        <v>42511</v>
      </c>
      <c r="N933" s="85">
        <f t="shared" si="268"/>
        <v>1301</v>
      </c>
      <c r="O933" s="86">
        <f t="shared" si="269"/>
        <v>13840.710000000001</v>
      </c>
      <c r="P933" s="86">
        <f t="shared" si="270"/>
        <v>0</v>
      </c>
      <c r="Q933" s="86">
        <f t="shared" si="271"/>
        <v>0</v>
      </c>
      <c r="R933" s="86">
        <f t="shared" si="272"/>
        <v>0</v>
      </c>
      <c r="S933" s="86">
        <f t="shared" si="273"/>
        <v>0</v>
      </c>
      <c r="T933" s="86">
        <f t="shared" si="274"/>
        <v>13840.710000000001</v>
      </c>
      <c r="U933" s="87">
        <v>13840.710000000001</v>
      </c>
    </row>
    <row r="934" spans="1:21" s="30" customFormat="1" ht="24.6" hidden="1" outlineLevel="1" x14ac:dyDescent="0.55000000000000004">
      <c r="A934" s="27" t="s">
        <v>327</v>
      </c>
      <c r="B934" s="28"/>
      <c r="C934" s="27"/>
      <c r="D934" s="27" t="str">
        <f>"""NAV Direct"",""CRONUS JetCorp USA"",""21"",""1"",""304516"""</f>
        <v>"NAV Direct","CRONUS JetCorp USA","21","1","304516"</v>
      </c>
      <c r="E934" s="31" t="str">
        <f t="shared" si="267"/>
        <v>C100037</v>
      </c>
      <c r="F934" s="31"/>
      <c r="G934" s="31"/>
      <c r="H934" s="31"/>
      <c r="I934" s="56"/>
      <c r="J934" s="56"/>
      <c r="K934" s="82" t="str">
        <f t="shared" si="275"/>
        <v>Invoice</v>
      </c>
      <c r="L934" s="83" t="str">
        <f>"SI_109372"</f>
        <v>SI_109372</v>
      </c>
      <c r="M934" s="84">
        <v>42516</v>
      </c>
      <c r="N934" s="85">
        <f t="shared" si="268"/>
        <v>1296</v>
      </c>
      <c r="O934" s="86">
        <f t="shared" si="269"/>
        <v>13840.6</v>
      </c>
      <c r="P934" s="86">
        <f t="shared" si="270"/>
        <v>0</v>
      </c>
      <c r="Q934" s="86">
        <f t="shared" si="271"/>
        <v>0</v>
      </c>
      <c r="R934" s="86">
        <f t="shared" si="272"/>
        <v>0</v>
      </c>
      <c r="S934" s="86">
        <f t="shared" si="273"/>
        <v>0</v>
      </c>
      <c r="T934" s="86">
        <f t="shared" si="274"/>
        <v>13840.6</v>
      </c>
      <c r="U934" s="87">
        <v>13840.6</v>
      </c>
    </row>
    <row r="935" spans="1:21" s="30" customFormat="1" ht="24.6" hidden="1" outlineLevel="1" x14ac:dyDescent="0.55000000000000004">
      <c r="A935" s="27" t="s">
        <v>327</v>
      </c>
      <c r="B935" s="28"/>
      <c r="C935" s="27"/>
      <c r="D935" s="27" t="str">
        <f>"""NAV Direct"",""CRONUS JetCorp USA"",""21"",""1"",""304666"""</f>
        <v>"NAV Direct","CRONUS JetCorp USA","21","1","304666"</v>
      </c>
      <c r="E935" s="31">
        <f t="shared" si="267"/>
        <v>0</v>
      </c>
      <c r="F935" s="31"/>
      <c r="G935" s="31"/>
      <c r="H935" s="31"/>
      <c r="I935" s="56"/>
      <c r="J935" s="56"/>
      <c r="K935" s="82" t="str">
        <f t="shared" si="275"/>
        <v>Invoice</v>
      </c>
      <c r="L935" s="83" t="str">
        <f>"SI_109378"</f>
        <v>SI_109378</v>
      </c>
      <c r="M935" s="84">
        <v>42544</v>
      </c>
      <c r="N935" s="85">
        <f t="shared" si="268"/>
        <v>1268</v>
      </c>
      <c r="O935" s="86">
        <f t="shared" si="269"/>
        <v>14239.460000000001</v>
      </c>
      <c r="P935" s="86">
        <f t="shared" si="270"/>
        <v>0</v>
      </c>
      <c r="Q935" s="86">
        <f t="shared" si="271"/>
        <v>0</v>
      </c>
      <c r="R935" s="86">
        <f t="shared" si="272"/>
        <v>0</v>
      </c>
      <c r="S935" s="86">
        <f t="shared" si="273"/>
        <v>0</v>
      </c>
      <c r="T935" s="86">
        <f t="shared" si="274"/>
        <v>14239.460000000001</v>
      </c>
      <c r="U935" s="87">
        <v>14239.460000000001</v>
      </c>
    </row>
    <row r="936" spans="1:21" s="30" customFormat="1" ht="24.6" hidden="1" outlineLevel="1" x14ac:dyDescent="0.55000000000000004">
      <c r="A936" s="27" t="s">
        <v>327</v>
      </c>
      <c r="B936" s="28"/>
      <c r="C936" s="27"/>
      <c r="D936" s="27" t="str">
        <f>"""NAV Direct"",""CRONUS JetCorp USA"",""21"",""1"",""304689"""</f>
        <v>"NAV Direct","CRONUS JetCorp USA","21","1","304689"</v>
      </c>
      <c r="E936" s="31" t="str">
        <f t="shared" si="267"/>
        <v>C100037</v>
      </c>
      <c r="F936" s="31"/>
      <c r="G936" s="31"/>
      <c r="H936" s="31"/>
      <c r="I936" s="56"/>
      <c r="J936" s="56"/>
      <c r="K936" s="82" t="str">
        <f t="shared" si="275"/>
        <v>Invoice</v>
      </c>
      <c r="L936" s="83" t="str">
        <f>"SI_109379"</f>
        <v>SI_109379</v>
      </c>
      <c r="M936" s="84">
        <v>42544</v>
      </c>
      <c r="N936" s="85">
        <f t="shared" si="268"/>
        <v>1268</v>
      </c>
      <c r="O936" s="86">
        <f t="shared" si="269"/>
        <v>14694.52</v>
      </c>
      <c r="P936" s="86">
        <f t="shared" si="270"/>
        <v>0</v>
      </c>
      <c r="Q936" s="86">
        <f t="shared" si="271"/>
        <v>0</v>
      </c>
      <c r="R936" s="86">
        <f t="shared" si="272"/>
        <v>0</v>
      </c>
      <c r="S936" s="86">
        <f t="shared" si="273"/>
        <v>0</v>
      </c>
      <c r="T936" s="86">
        <f t="shared" si="274"/>
        <v>14694.52</v>
      </c>
      <c r="U936" s="87">
        <v>14694.52</v>
      </c>
    </row>
    <row r="937" spans="1:21" s="30" customFormat="1" ht="24.6" hidden="1" outlineLevel="1" x14ac:dyDescent="0.55000000000000004">
      <c r="A937" s="27" t="s">
        <v>327</v>
      </c>
      <c r="B937" s="28"/>
      <c r="C937" s="27"/>
      <c r="D937" s="27" t="str">
        <f>"""NAV Direct"",""CRONUS JetCorp USA"",""21"",""1"",""304770"""</f>
        <v>"NAV Direct","CRONUS JetCorp USA","21","1","304770"</v>
      </c>
      <c r="E937" s="31">
        <f t="shared" si="267"/>
        <v>0</v>
      </c>
      <c r="F937" s="31"/>
      <c r="G937" s="31"/>
      <c r="H937" s="31"/>
      <c r="I937" s="56"/>
      <c r="J937" s="56"/>
      <c r="K937" s="82" t="str">
        <f t="shared" si="275"/>
        <v>Invoice</v>
      </c>
      <c r="L937" s="83" t="str">
        <f>"SI_109382"</f>
        <v>SI_109382</v>
      </c>
      <c r="M937" s="84">
        <v>42566</v>
      </c>
      <c r="N937" s="85">
        <f t="shared" si="268"/>
        <v>1246</v>
      </c>
      <c r="O937" s="86">
        <f t="shared" si="269"/>
        <v>14382.09</v>
      </c>
      <c r="P937" s="86">
        <f t="shared" si="270"/>
        <v>0</v>
      </c>
      <c r="Q937" s="86">
        <f t="shared" si="271"/>
        <v>0</v>
      </c>
      <c r="R937" s="86">
        <f t="shared" si="272"/>
        <v>0</v>
      </c>
      <c r="S937" s="86">
        <f t="shared" si="273"/>
        <v>0</v>
      </c>
      <c r="T937" s="86">
        <f t="shared" si="274"/>
        <v>14382.09</v>
      </c>
      <c r="U937" s="87">
        <v>14382.09</v>
      </c>
    </row>
    <row r="938" spans="1:21" s="30" customFormat="1" ht="24.6" hidden="1" outlineLevel="1" x14ac:dyDescent="0.55000000000000004">
      <c r="A938" s="27" t="s">
        <v>327</v>
      </c>
      <c r="B938" s="28"/>
      <c r="C938" s="27"/>
      <c r="D938" s="27" t="str">
        <f>"""NAV Direct"",""CRONUS JetCorp USA"",""21"",""1"",""304799"""</f>
        <v>"NAV Direct","CRONUS JetCorp USA","21","1","304799"</v>
      </c>
      <c r="E938" s="31" t="str">
        <f t="shared" si="267"/>
        <v>C100037</v>
      </c>
      <c r="F938" s="31"/>
      <c r="G938" s="31"/>
      <c r="H938" s="31"/>
      <c r="I938" s="56"/>
      <c r="J938" s="56"/>
      <c r="K938" s="82" t="str">
        <f t="shared" si="275"/>
        <v>Invoice</v>
      </c>
      <c r="L938" s="83" t="str">
        <f>"SI_109383"</f>
        <v>SI_109383</v>
      </c>
      <c r="M938" s="84">
        <v>42584</v>
      </c>
      <c r="N938" s="85">
        <f t="shared" si="268"/>
        <v>1228</v>
      </c>
      <c r="O938" s="86">
        <f t="shared" si="269"/>
        <v>14382.83</v>
      </c>
      <c r="P938" s="86">
        <f t="shared" si="270"/>
        <v>0</v>
      </c>
      <c r="Q938" s="86">
        <f t="shared" si="271"/>
        <v>0</v>
      </c>
      <c r="R938" s="86">
        <f t="shared" si="272"/>
        <v>0</v>
      </c>
      <c r="S938" s="86">
        <f t="shared" si="273"/>
        <v>0</v>
      </c>
      <c r="T938" s="86">
        <f t="shared" si="274"/>
        <v>14382.83</v>
      </c>
      <c r="U938" s="87">
        <v>14382.83</v>
      </c>
    </row>
    <row r="939" spans="1:21" s="30" customFormat="1" ht="24.6" hidden="1" outlineLevel="1" x14ac:dyDescent="0.55000000000000004">
      <c r="A939" s="27" t="s">
        <v>327</v>
      </c>
      <c r="B939" s="28"/>
      <c r="C939" s="27"/>
      <c r="D939" s="27" t="str">
        <f>"""NAV Direct"",""CRONUS JetCorp USA"",""21"",""1"",""304851"""</f>
        <v>"NAV Direct","CRONUS JetCorp USA","21","1","304851"</v>
      </c>
      <c r="E939" s="31">
        <f t="shared" si="267"/>
        <v>0</v>
      </c>
      <c r="F939" s="31"/>
      <c r="G939" s="31"/>
      <c r="H939" s="31"/>
      <c r="I939" s="56"/>
      <c r="J939" s="56"/>
      <c r="K939" s="82" t="str">
        <f t="shared" si="275"/>
        <v>Invoice</v>
      </c>
      <c r="L939" s="83" t="str">
        <f>"SI_109385"</f>
        <v>SI_109385</v>
      </c>
      <c r="M939" s="84">
        <v>42585</v>
      </c>
      <c r="N939" s="85">
        <f t="shared" si="268"/>
        <v>1227</v>
      </c>
      <c r="O939" s="86">
        <f t="shared" si="269"/>
        <v>14076.51</v>
      </c>
      <c r="P939" s="86">
        <f t="shared" si="270"/>
        <v>0</v>
      </c>
      <c r="Q939" s="86">
        <f t="shared" si="271"/>
        <v>0</v>
      </c>
      <c r="R939" s="86">
        <f t="shared" si="272"/>
        <v>0</v>
      </c>
      <c r="S939" s="86">
        <f t="shared" si="273"/>
        <v>0</v>
      </c>
      <c r="T939" s="86">
        <f t="shared" si="274"/>
        <v>14076.51</v>
      </c>
      <c r="U939" s="87">
        <v>14076.51</v>
      </c>
    </row>
    <row r="940" spans="1:21" s="30" customFormat="1" ht="24.6" hidden="1" outlineLevel="1" x14ac:dyDescent="0.55000000000000004">
      <c r="A940" s="27" t="s">
        <v>327</v>
      </c>
      <c r="B940" s="28"/>
      <c r="C940" s="27"/>
      <c r="D940" s="27" t="str">
        <f>"""NAV Direct"",""CRONUS JetCorp USA"",""21"",""1"",""305272"""</f>
        <v>"NAV Direct","CRONUS JetCorp USA","21","1","305272"</v>
      </c>
      <c r="E940" s="31" t="str">
        <f t="shared" si="267"/>
        <v>C100037</v>
      </c>
      <c r="F940" s="31"/>
      <c r="G940" s="31"/>
      <c r="H940" s="31"/>
      <c r="I940" s="56"/>
      <c r="J940" s="56"/>
      <c r="K940" s="82" t="str">
        <f t="shared" si="275"/>
        <v>Invoice</v>
      </c>
      <c r="L940" s="83" t="str">
        <f>"SI_109402"</f>
        <v>SI_109402</v>
      </c>
      <c r="M940" s="84">
        <v>42667</v>
      </c>
      <c r="N940" s="85">
        <f t="shared" si="268"/>
        <v>1145</v>
      </c>
      <c r="O940" s="86">
        <f t="shared" si="269"/>
        <v>15096.35</v>
      </c>
      <c r="P940" s="86">
        <f t="shared" si="270"/>
        <v>0</v>
      </c>
      <c r="Q940" s="86">
        <f t="shared" si="271"/>
        <v>0</v>
      </c>
      <c r="R940" s="86">
        <f t="shared" si="272"/>
        <v>0</v>
      </c>
      <c r="S940" s="86">
        <f t="shared" si="273"/>
        <v>0</v>
      </c>
      <c r="T940" s="86">
        <f t="shared" si="274"/>
        <v>15096.35</v>
      </c>
      <c r="U940" s="87">
        <v>15096.35</v>
      </c>
    </row>
    <row r="941" spans="1:21" s="30" customFormat="1" ht="24.6" hidden="1" outlineLevel="1" x14ac:dyDescent="0.55000000000000004">
      <c r="A941" s="27" t="s">
        <v>327</v>
      </c>
      <c r="B941" s="28"/>
      <c r="C941" s="27"/>
      <c r="D941" s="27" t="str">
        <f>"""NAV Direct"",""CRONUS JetCorp USA"",""21"",""1"",""305586"""</f>
        <v>"NAV Direct","CRONUS JetCorp USA","21","1","305586"</v>
      </c>
      <c r="E941" s="31">
        <f t="shared" si="267"/>
        <v>0</v>
      </c>
      <c r="F941" s="31"/>
      <c r="G941" s="31"/>
      <c r="H941" s="31"/>
      <c r="I941" s="56"/>
      <c r="J941" s="56"/>
      <c r="K941" s="82" t="str">
        <f t="shared" si="275"/>
        <v>Invoice</v>
      </c>
      <c r="L941" s="83" t="str">
        <f>"SI_109414"</f>
        <v>SI_109414</v>
      </c>
      <c r="M941" s="84">
        <v>42739</v>
      </c>
      <c r="N941" s="85">
        <f t="shared" si="268"/>
        <v>1073</v>
      </c>
      <c r="O941" s="86">
        <f t="shared" si="269"/>
        <v>15269.54</v>
      </c>
      <c r="P941" s="86">
        <f t="shared" si="270"/>
        <v>0</v>
      </c>
      <c r="Q941" s="86">
        <f t="shared" si="271"/>
        <v>0</v>
      </c>
      <c r="R941" s="86">
        <f t="shared" si="272"/>
        <v>0</v>
      </c>
      <c r="S941" s="86">
        <f t="shared" si="273"/>
        <v>0</v>
      </c>
      <c r="T941" s="86">
        <f t="shared" si="274"/>
        <v>15269.54</v>
      </c>
      <c r="U941" s="87">
        <v>15269.54</v>
      </c>
    </row>
    <row r="942" spans="1:21" s="30" customFormat="1" ht="24.6" hidden="1" outlineLevel="1" x14ac:dyDescent="0.55000000000000004">
      <c r="A942" s="27" t="s">
        <v>327</v>
      </c>
      <c r="B942" s="28"/>
      <c r="C942" s="27"/>
      <c r="D942" s="27" t="str">
        <f>"""NAV Direct"",""CRONUS JetCorp USA"",""21"",""1"",""305681"""</f>
        <v>"NAV Direct","CRONUS JetCorp USA","21","1","305681"</v>
      </c>
      <c r="E942" s="31" t="str">
        <f t="shared" si="267"/>
        <v>C100037</v>
      </c>
      <c r="F942" s="31"/>
      <c r="G942" s="31"/>
      <c r="H942" s="31"/>
      <c r="I942" s="56"/>
      <c r="J942" s="56"/>
      <c r="K942" s="82" t="str">
        <f t="shared" si="275"/>
        <v>Invoice</v>
      </c>
      <c r="L942" s="83" t="str">
        <f>"SI_109417"</f>
        <v>SI_109417</v>
      </c>
      <c r="M942" s="84">
        <v>42763</v>
      </c>
      <c r="N942" s="85">
        <f t="shared" si="268"/>
        <v>1049</v>
      </c>
      <c r="O942" s="86">
        <f t="shared" si="269"/>
        <v>15662.55</v>
      </c>
      <c r="P942" s="86">
        <f t="shared" si="270"/>
        <v>0</v>
      </c>
      <c r="Q942" s="86">
        <f t="shared" si="271"/>
        <v>0</v>
      </c>
      <c r="R942" s="86">
        <f t="shared" si="272"/>
        <v>0</v>
      </c>
      <c r="S942" s="86">
        <f t="shared" si="273"/>
        <v>0</v>
      </c>
      <c r="T942" s="86">
        <f t="shared" si="274"/>
        <v>15662.55</v>
      </c>
      <c r="U942" s="87">
        <v>15662.55</v>
      </c>
    </row>
    <row r="943" spans="1:21" s="30" customFormat="1" ht="24.6" hidden="1" outlineLevel="1" x14ac:dyDescent="0.55000000000000004">
      <c r="A943" s="27" t="s">
        <v>327</v>
      </c>
      <c r="B943" s="28"/>
      <c r="C943" s="27"/>
      <c r="D943" s="27" t="str">
        <f>"""NAV Direct"",""CRONUS JetCorp USA"",""21"",""1"",""305729"""</f>
        <v>"NAV Direct","CRONUS JetCorp USA","21","1","305729"</v>
      </c>
      <c r="E943" s="31">
        <f t="shared" si="267"/>
        <v>0</v>
      </c>
      <c r="F943" s="31"/>
      <c r="G943" s="31"/>
      <c r="H943" s="31"/>
      <c r="I943" s="56"/>
      <c r="J943" s="56"/>
      <c r="K943" s="82" t="str">
        <f t="shared" si="275"/>
        <v>Invoice</v>
      </c>
      <c r="L943" s="83" t="str">
        <f>"SI_109419"</f>
        <v>SI_109419</v>
      </c>
      <c r="M943" s="84">
        <v>42759</v>
      </c>
      <c r="N943" s="85">
        <f t="shared" si="268"/>
        <v>1053</v>
      </c>
      <c r="O943" s="86">
        <f t="shared" si="269"/>
        <v>15661.52</v>
      </c>
      <c r="P943" s="86">
        <f t="shared" si="270"/>
        <v>0</v>
      </c>
      <c r="Q943" s="86">
        <f t="shared" si="271"/>
        <v>0</v>
      </c>
      <c r="R943" s="86">
        <f t="shared" si="272"/>
        <v>0</v>
      </c>
      <c r="S943" s="86">
        <f t="shared" si="273"/>
        <v>0</v>
      </c>
      <c r="T943" s="86">
        <f t="shared" si="274"/>
        <v>15661.52</v>
      </c>
      <c r="U943" s="87">
        <v>15661.52</v>
      </c>
    </row>
    <row r="944" spans="1:21" s="30" customFormat="1" ht="24.6" hidden="1" outlineLevel="1" x14ac:dyDescent="0.55000000000000004">
      <c r="A944" s="27" t="s">
        <v>327</v>
      </c>
      <c r="B944" s="28"/>
      <c r="C944" s="27"/>
      <c r="D944" s="27" t="str">
        <f>"""NAV Direct"",""CRONUS JetCorp USA"",""21"",""1"",""305785"""</f>
        <v>"NAV Direct","CRONUS JetCorp USA","21","1","305785"</v>
      </c>
      <c r="E944" s="31" t="str">
        <f t="shared" si="267"/>
        <v>C100037</v>
      </c>
      <c r="F944" s="31"/>
      <c r="G944" s="31"/>
      <c r="H944" s="31"/>
      <c r="I944" s="56"/>
      <c r="J944" s="56"/>
      <c r="K944" s="82" t="str">
        <f t="shared" si="275"/>
        <v>Invoice</v>
      </c>
      <c r="L944" s="83" t="str">
        <f>"SI_109421"</f>
        <v>SI_109421</v>
      </c>
      <c r="M944" s="84">
        <v>42787</v>
      </c>
      <c r="N944" s="85">
        <f t="shared" si="268"/>
        <v>1025</v>
      </c>
      <c r="O944" s="86">
        <f t="shared" si="269"/>
        <v>15566.85</v>
      </c>
      <c r="P944" s="86">
        <f t="shared" si="270"/>
        <v>0</v>
      </c>
      <c r="Q944" s="86">
        <f t="shared" si="271"/>
        <v>0</v>
      </c>
      <c r="R944" s="86">
        <f t="shared" si="272"/>
        <v>0</v>
      </c>
      <c r="S944" s="86">
        <f t="shared" si="273"/>
        <v>0</v>
      </c>
      <c r="T944" s="86">
        <f t="shared" si="274"/>
        <v>15566.85</v>
      </c>
      <c r="U944" s="87">
        <v>15566.85</v>
      </c>
    </row>
    <row r="945" spans="1:21" s="30" customFormat="1" ht="24.6" hidden="1" outlineLevel="1" x14ac:dyDescent="0.55000000000000004">
      <c r="A945" s="27" t="s">
        <v>327</v>
      </c>
      <c r="B945" s="28"/>
      <c r="C945" s="27"/>
      <c r="D945" s="27" t="str">
        <f>"""NAV Direct"",""CRONUS JetCorp USA"",""21"",""1"",""305802"""</f>
        <v>"NAV Direct","CRONUS JetCorp USA","21","1","305802"</v>
      </c>
      <c r="E945" s="31">
        <f t="shared" si="267"/>
        <v>0</v>
      </c>
      <c r="F945" s="31"/>
      <c r="G945" s="31"/>
      <c r="H945" s="31"/>
      <c r="I945" s="56"/>
      <c r="J945" s="56"/>
      <c r="K945" s="82" t="str">
        <f t="shared" si="275"/>
        <v>Invoice</v>
      </c>
      <c r="L945" s="83" t="str">
        <f>"SI_109422"</f>
        <v>SI_109422</v>
      </c>
      <c r="M945" s="84">
        <v>42783</v>
      </c>
      <c r="N945" s="85">
        <f t="shared" si="268"/>
        <v>1029</v>
      </c>
      <c r="O945" s="86">
        <f t="shared" si="269"/>
        <v>15566.630000000001</v>
      </c>
      <c r="P945" s="86">
        <f t="shared" si="270"/>
        <v>0</v>
      </c>
      <c r="Q945" s="86">
        <f t="shared" si="271"/>
        <v>0</v>
      </c>
      <c r="R945" s="86">
        <f t="shared" si="272"/>
        <v>0</v>
      </c>
      <c r="S945" s="86">
        <f t="shared" si="273"/>
        <v>0</v>
      </c>
      <c r="T945" s="86">
        <f t="shared" si="274"/>
        <v>15566.630000000001</v>
      </c>
      <c r="U945" s="87">
        <v>15566.630000000001</v>
      </c>
    </row>
    <row r="946" spans="1:21" s="30" customFormat="1" ht="24.6" hidden="1" outlineLevel="1" x14ac:dyDescent="0.55000000000000004">
      <c r="A946" s="27" t="s">
        <v>327</v>
      </c>
      <c r="B946" s="28"/>
      <c r="C946" s="27"/>
      <c r="D946" s="27" t="str">
        <f>"""NAV Direct"",""CRONUS JetCorp USA"",""21"",""1"",""305935"""</f>
        <v>"NAV Direct","CRONUS JetCorp USA","21","1","305935"</v>
      </c>
      <c r="E946" s="31" t="str">
        <f t="shared" si="267"/>
        <v>C100037</v>
      </c>
      <c r="F946" s="31"/>
      <c r="G946" s="31"/>
      <c r="H946" s="31"/>
      <c r="I946" s="56"/>
      <c r="J946" s="56"/>
      <c r="K946" s="82" t="str">
        <f t="shared" si="275"/>
        <v>Invoice</v>
      </c>
      <c r="L946" s="83" t="str">
        <f>"SI_109427"</f>
        <v>SI_109427</v>
      </c>
      <c r="M946" s="84">
        <v>42798</v>
      </c>
      <c r="N946" s="85">
        <f t="shared" si="268"/>
        <v>1014</v>
      </c>
      <c r="O946" s="86">
        <f t="shared" si="269"/>
        <v>15566.279999999999</v>
      </c>
      <c r="P946" s="86">
        <f t="shared" si="270"/>
        <v>0</v>
      </c>
      <c r="Q946" s="86">
        <f t="shared" si="271"/>
        <v>0</v>
      </c>
      <c r="R946" s="86">
        <f t="shared" si="272"/>
        <v>0</v>
      </c>
      <c r="S946" s="86">
        <f t="shared" si="273"/>
        <v>0</v>
      </c>
      <c r="T946" s="86">
        <f t="shared" si="274"/>
        <v>15566.279999999999</v>
      </c>
      <c r="U946" s="87">
        <v>15566.279999999999</v>
      </c>
    </row>
    <row r="947" spans="1:21" s="30" customFormat="1" ht="24.6" hidden="1" outlineLevel="1" x14ac:dyDescent="0.55000000000000004">
      <c r="A947" s="27" t="s">
        <v>327</v>
      </c>
      <c r="B947" s="28"/>
      <c r="C947" s="27"/>
      <c r="D947" s="27" t="str">
        <f>"""NAV Direct"",""CRONUS JetCorp USA"",""21"",""1"",""306043"""</f>
        <v>"NAV Direct","CRONUS JetCorp USA","21","1","306043"</v>
      </c>
      <c r="E947" s="31">
        <f t="shared" si="267"/>
        <v>0</v>
      </c>
      <c r="F947" s="31"/>
      <c r="G947" s="31"/>
      <c r="H947" s="31"/>
      <c r="I947" s="56"/>
      <c r="J947" s="56"/>
      <c r="K947" s="82" t="str">
        <f t="shared" si="275"/>
        <v>Invoice</v>
      </c>
      <c r="L947" s="83" t="str">
        <f>"SI_109431"</f>
        <v>SI_109431</v>
      </c>
      <c r="M947" s="84">
        <v>42818</v>
      </c>
      <c r="N947" s="85">
        <f t="shared" si="268"/>
        <v>994</v>
      </c>
      <c r="O947" s="86">
        <f t="shared" si="269"/>
        <v>15581.039999999999</v>
      </c>
      <c r="P947" s="86">
        <f t="shared" si="270"/>
        <v>0</v>
      </c>
      <c r="Q947" s="86">
        <f t="shared" si="271"/>
        <v>0</v>
      </c>
      <c r="R947" s="86">
        <f t="shared" si="272"/>
        <v>0</v>
      </c>
      <c r="S947" s="86">
        <f t="shared" si="273"/>
        <v>0</v>
      </c>
      <c r="T947" s="86">
        <f t="shared" si="274"/>
        <v>15581.039999999999</v>
      </c>
      <c r="U947" s="87">
        <v>15581.039999999999</v>
      </c>
    </row>
    <row r="948" spans="1:21" s="30" customFormat="1" ht="24.6" hidden="1" outlineLevel="1" x14ac:dyDescent="0.55000000000000004">
      <c r="A948" s="27" t="s">
        <v>327</v>
      </c>
      <c r="B948" s="28"/>
      <c r="C948" s="27"/>
      <c r="D948" s="27" t="str">
        <f>"""NAV Direct"",""CRONUS JetCorp USA"",""21"",""1"",""306285"""</f>
        <v>"NAV Direct","CRONUS JetCorp USA","21","1","306285"</v>
      </c>
      <c r="E948" s="31" t="str">
        <f t="shared" si="267"/>
        <v>C100037</v>
      </c>
      <c r="F948" s="31"/>
      <c r="G948" s="31"/>
      <c r="H948" s="31"/>
      <c r="I948" s="56"/>
      <c r="J948" s="56"/>
      <c r="K948" s="82" t="str">
        <f t="shared" si="275"/>
        <v>Invoice</v>
      </c>
      <c r="L948" s="83" t="str">
        <f>"SI_109441"</f>
        <v>SI_109441</v>
      </c>
      <c r="M948" s="84">
        <v>42887</v>
      </c>
      <c r="N948" s="85">
        <f t="shared" si="268"/>
        <v>925</v>
      </c>
      <c r="O948" s="86">
        <f t="shared" si="269"/>
        <v>16438.759999999998</v>
      </c>
      <c r="P948" s="86">
        <f t="shared" si="270"/>
        <v>0</v>
      </c>
      <c r="Q948" s="86">
        <f t="shared" si="271"/>
        <v>0</v>
      </c>
      <c r="R948" s="86">
        <f t="shared" si="272"/>
        <v>0</v>
      </c>
      <c r="S948" s="86">
        <f t="shared" si="273"/>
        <v>0</v>
      </c>
      <c r="T948" s="86">
        <f t="shared" si="274"/>
        <v>16438.759999999998</v>
      </c>
      <c r="U948" s="87">
        <v>16438.759999999998</v>
      </c>
    </row>
    <row r="949" spans="1:21" s="30" customFormat="1" ht="24.6" hidden="1" outlineLevel="1" x14ac:dyDescent="0.55000000000000004">
      <c r="A949" s="27" t="s">
        <v>327</v>
      </c>
      <c r="B949" s="28"/>
      <c r="C949" s="27"/>
      <c r="D949" s="27" t="str">
        <f>"""NAV Direct"",""CRONUS JetCorp USA"",""21"",""1"",""306412"""</f>
        <v>"NAV Direct","CRONUS JetCorp USA","21","1","306412"</v>
      </c>
      <c r="E949" s="31">
        <f t="shared" si="267"/>
        <v>0</v>
      </c>
      <c r="F949" s="31"/>
      <c r="G949" s="31"/>
      <c r="H949" s="31"/>
      <c r="I949" s="56"/>
      <c r="J949" s="56"/>
      <c r="K949" s="82" t="str">
        <f t="shared" si="275"/>
        <v>Invoice</v>
      </c>
      <c r="L949" s="83" t="str">
        <f>"SI_109446"</f>
        <v>SI_109446</v>
      </c>
      <c r="M949" s="84">
        <v>42908</v>
      </c>
      <c r="N949" s="85">
        <f t="shared" si="268"/>
        <v>904</v>
      </c>
      <c r="O949" s="86">
        <f t="shared" si="269"/>
        <v>15952.01</v>
      </c>
      <c r="P949" s="86">
        <f t="shared" si="270"/>
        <v>0</v>
      </c>
      <c r="Q949" s="86">
        <f t="shared" si="271"/>
        <v>0</v>
      </c>
      <c r="R949" s="86">
        <f t="shared" si="272"/>
        <v>0</v>
      </c>
      <c r="S949" s="86">
        <f t="shared" si="273"/>
        <v>0</v>
      </c>
      <c r="T949" s="86">
        <f t="shared" si="274"/>
        <v>15952.01</v>
      </c>
      <c r="U949" s="87">
        <v>15952.01</v>
      </c>
    </row>
    <row r="950" spans="1:21" s="30" customFormat="1" ht="24.6" hidden="1" outlineLevel="1" x14ac:dyDescent="0.55000000000000004">
      <c r="A950" s="27" t="s">
        <v>327</v>
      </c>
      <c r="B950" s="28"/>
      <c r="C950" s="27"/>
      <c r="D950" s="27" t="str">
        <f>"""NAV Direct"",""CRONUS JetCorp USA"",""21"",""1"",""306695"""</f>
        <v>"NAV Direct","CRONUS JetCorp USA","21","1","306695"</v>
      </c>
      <c r="E950" s="31" t="str">
        <f t="shared" si="267"/>
        <v>C100037</v>
      </c>
      <c r="F950" s="31"/>
      <c r="G950" s="31"/>
      <c r="H950" s="31"/>
      <c r="I950" s="56"/>
      <c r="J950" s="56"/>
      <c r="K950" s="82" t="str">
        <f t="shared" si="275"/>
        <v>Invoice</v>
      </c>
      <c r="L950" s="83" t="str">
        <f>"SI_109457"</f>
        <v>SI_109457</v>
      </c>
      <c r="M950" s="84">
        <v>42946</v>
      </c>
      <c r="N950" s="85">
        <f t="shared" si="268"/>
        <v>866</v>
      </c>
      <c r="O950" s="86">
        <f t="shared" si="269"/>
        <v>16785.439999999999</v>
      </c>
      <c r="P950" s="86">
        <f t="shared" si="270"/>
        <v>0</v>
      </c>
      <c r="Q950" s="86">
        <f t="shared" si="271"/>
        <v>0</v>
      </c>
      <c r="R950" s="86">
        <f t="shared" si="272"/>
        <v>0</v>
      </c>
      <c r="S950" s="86">
        <f t="shared" si="273"/>
        <v>0</v>
      </c>
      <c r="T950" s="86">
        <f t="shared" si="274"/>
        <v>16785.439999999999</v>
      </c>
      <c r="U950" s="87">
        <v>16785.439999999999</v>
      </c>
    </row>
    <row r="951" spans="1:21" s="30" customFormat="1" ht="24.6" hidden="1" outlineLevel="1" x14ac:dyDescent="0.55000000000000004">
      <c r="A951" s="27" t="s">
        <v>327</v>
      </c>
      <c r="B951" s="28"/>
      <c r="C951" s="27"/>
      <c r="D951" s="27" t="str">
        <f>"""NAV Direct"",""CRONUS JetCorp USA"",""21"",""1"",""306820"""</f>
        <v>"NAV Direct","CRONUS JetCorp USA","21","1","306820"</v>
      </c>
      <c r="E951" s="31">
        <f t="shared" si="267"/>
        <v>0</v>
      </c>
      <c r="F951" s="31"/>
      <c r="G951" s="31"/>
      <c r="H951" s="31"/>
      <c r="I951" s="56"/>
      <c r="J951" s="56"/>
      <c r="K951" s="82" t="str">
        <f t="shared" si="275"/>
        <v>Invoice</v>
      </c>
      <c r="L951" s="83" t="str">
        <f>"SI_109462"</f>
        <v>SI_109462</v>
      </c>
      <c r="M951" s="84">
        <v>42976</v>
      </c>
      <c r="N951" s="85">
        <f t="shared" si="268"/>
        <v>836</v>
      </c>
      <c r="O951" s="86">
        <f t="shared" si="269"/>
        <v>15588.08</v>
      </c>
      <c r="P951" s="86">
        <f t="shared" si="270"/>
        <v>0</v>
      </c>
      <c r="Q951" s="86">
        <f t="shared" si="271"/>
        <v>0</v>
      </c>
      <c r="R951" s="86">
        <f t="shared" si="272"/>
        <v>0</v>
      </c>
      <c r="S951" s="86">
        <f t="shared" si="273"/>
        <v>0</v>
      </c>
      <c r="T951" s="86">
        <f t="shared" si="274"/>
        <v>15588.08</v>
      </c>
      <c r="U951" s="87">
        <v>15588.08</v>
      </c>
    </row>
    <row r="952" spans="1:21" s="30" customFormat="1" ht="24.6" hidden="1" outlineLevel="1" x14ac:dyDescent="0.55000000000000004">
      <c r="A952" s="27" t="s">
        <v>327</v>
      </c>
      <c r="B952" s="28"/>
      <c r="C952" s="27"/>
      <c r="D952" s="27" t="str">
        <f>"""NAV Direct"",""CRONUS JetCorp USA"",""21"",""1"",""306930"""</f>
        <v>"NAV Direct","CRONUS JetCorp USA","21","1","306930"</v>
      </c>
      <c r="E952" s="31" t="str">
        <f t="shared" si="267"/>
        <v>C100037</v>
      </c>
      <c r="F952" s="31"/>
      <c r="G952" s="31"/>
      <c r="H952" s="31"/>
      <c r="I952" s="56"/>
      <c r="J952" s="56"/>
      <c r="K952" s="82" t="str">
        <f t="shared" si="275"/>
        <v>Invoice</v>
      </c>
      <c r="L952" s="83" t="str">
        <f>"SI_109466"</f>
        <v>SI_109466</v>
      </c>
      <c r="M952" s="84">
        <v>43005</v>
      </c>
      <c r="N952" s="85">
        <f t="shared" si="268"/>
        <v>807</v>
      </c>
      <c r="O952" s="86">
        <f t="shared" si="269"/>
        <v>15919.6</v>
      </c>
      <c r="P952" s="86">
        <f t="shared" si="270"/>
        <v>0</v>
      </c>
      <c r="Q952" s="86">
        <f t="shared" si="271"/>
        <v>0</v>
      </c>
      <c r="R952" s="86">
        <f t="shared" si="272"/>
        <v>0</v>
      </c>
      <c r="S952" s="86">
        <f t="shared" si="273"/>
        <v>0</v>
      </c>
      <c r="T952" s="86">
        <f t="shared" si="274"/>
        <v>15919.6</v>
      </c>
      <c r="U952" s="87">
        <v>15919.6</v>
      </c>
    </row>
    <row r="953" spans="1:21" s="30" customFormat="1" ht="24.6" hidden="1" outlineLevel="1" x14ac:dyDescent="0.55000000000000004">
      <c r="A953" s="27" t="s">
        <v>327</v>
      </c>
      <c r="B953" s="28"/>
      <c r="C953" s="27"/>
      <c r="D953" s="27" t="str">
        <f>"""NAV Direct"",""CRONUS JetCorp USA"",""21"",""1"",""306982"""</f>
        <v>"NAV Direct","CRONUS JetCorp USA","21","1","306982"</v>
      </c>
      <c r="E953" s="31">
        <f t="shared" si="267"/>
        <v>0</v>
      </c>
      <c r="F953" s="31"/>
      <c r="G953" s="31"/>
      <c r="H953" s="31"/>
      <c r="I953" s="56"/>
      <c r="J953" s="56"/>
      <c r="K953" s="82" t="str">
        <f t="shared" si="275"/>
        <v>Invoice</v>
      </c>
      <c r="L953" s="83" t="str">
        <f>"SI_109468"</f>
        <v>SI_109468</v>
      </c>
      <c r="M953" s="84">
        <v>43002</v>
      </c>
      <c r="N953" s="85">
        <f t="shared" si="268"/>
        <v>810</v>
      </c>
      <c r="O953" s="86">
        <f t="shared" si="269"/>
        <v>15432.789999999999</v>
      </c>
      <c r="P953" s="86">
        <f t="shared" si="270"/>
        <v>0</v>
      </c>
      <c r="Q953" s="86">
        <f t="shared" si="271"/>
        <v>0</v>
      </c>
      <c r="R953" s="86">
        <f t="shared" si="272"/>
        <v>0</v>
      </c>
      <c r="S953" s="86">
        <f t="shared" si="273"/>
        <v>0</v>
      </c>
      <c r="T953" s="86">
        <f t="shared" si="274"/>
        <v>15432.789999999999</v>
      </c>
      <c r="U953" s="87">
        <v>15432.789999999999</v>
      </c>
    </row>
    <row r="954" spans="1:21" s="30" customFormat="1" ht="24.6" hidden="1" outlineLevel="1" x14ac:dyDescent="0.55000000000000004">
      <c r="A954" s="27" t="s">
        <v>327</v>
      </c>
      <c r="B954" s="28"/>
      <c r="C954" s="27"/>
      <c r="D954" s="27" t="str">
        <f>"""NAV Direct"",""CRONUS JetCorp USA"",""21"",""1"",""307560"""</f>
        <v>"NAV Direct","CRONUS JetCorp USA","21","1","307560"</v>
      </c>
      <c r="E954" s="31" t="str">
        <f t="shared" si="267"/>
        <v>C100037</v>
      </c>
      <c r="F954" s="31"/>
      <c r="G954" s="31"/>
      <c r="H954" s="31"/>
      <c r="I954" s="56"/>
      <c r="J954" s="56"/>
      <c r="K954" s="82" t="str">
        <f t="shared" si="275"/>
        <v>Invoice</v>
      </c>
      <c r="L954" s="83" t="str">
        <f>"SI_109490"</f>
        <v>SI_109490</v>
      </c>
      <c r="M954" s="84">
        <v>43127</v>
      </c>
      <c r="N954" s="85">
        <f t="shared" si="268"/>
        <v>685</v>
      </c>
      <c r="O954" s="86">
        <f t="shared" si="269"/>
        <v>14145.050000000001</v>
      </c>
      <c r="P954" s="86">
        <f t="shared" si="270"/>
        <v>0</v>
      </c>
      <c r="Q954" s="86">
        <f t="shared" si="271"/>
        <v>0</v>
      </c>
      <c r="R954" s="86">
        <f t="shared" si="272"/>
        <v>0</v>
      </c>
      <c r="S954" s="86">
        <f t="shared" si="273"/>
        <v>0</v>
      </c>
      <c r="T954" s="86">
        <f t="shared" si="274"/>
        <v>14145.050000000001</v>
      </c>
      <c r="U954" s="87">
        <v>14145.050000000001</v>
      </c>
    </row>
    <row r="955" spans="1:21" s="30" customFormat="1" ht="24.6" hidden="1" outlineLevel="1" x14ac:dyDescent="0.55000000000000004">
      <c r="A955" s="27" t="s">
        <v>327</v>
      </c>
      <c r="B955" s="28"/>
      <c r="C955" s="27"/>
      <c r="D955" s="27" t="str">
        <f>"""NAV Direct"",""CRONUS JetCorp USA"",""21"",""1"",""307666"""</f>
        <v>"NAV Direct","CRONUS JetCorp USA","21","1","307666"</v>
      </c>
      <c r="E955" s="31">
        <f t="shared" si="267"/>
        <v>0</v>
      </c>
      <c r="F955" s="31"/>
      <c r="G955" s="31"/>
      <c r="H955" s="31"/>
      <c r="I955" s="56"/>
      <c r="J955" s="56"/>
      <c r="K955" s="82" t="str">
        <f t="shared" si="275"/>
        <v>Invoice</v>
      </c>
      <c r="L955" s="83" t="str">
        <f>"SI_109494"</f>
        <v>SI_109494</v>
      </c>
      <c r="M955" s="84">
        <v>43148</v>
      </c>
      <c r="N955" s="85">
        <f t="shared" si="268"/>
        <v>664</v>
      </c>
      <c r="O955" s="86">
        <f t="shared" si="269"/>
        <v>14810.69</v>
      </c>
      <c r="P955" s="86">
        <f t="shared" si="270"/>
        <v>0</v>
      </c>
      <c r="Q955" s="86">
        <f t="shared" si="271"/>
        <v>0</v>
      </c>
      <c r="R955" s="86">
        <f t="shared" si="272"/>
        <v>0</v>
      </c>
      <c r="S955" s="86">
        <f t="shared" si="273"/>
        <v>0</v>
      </c>
      <c r="T955" s="86">
        <f t="shared" si="274"/>
        <v>14810.69</v>
      </c>
      <c r="U955" s="87">
        <v>14810.69</v>
      </c>
    </row>
    <row r="956" spans="1:21" s="30" customFormat="1" ht="24.6" hidden="1" outlineLevel="1" x14ac:dyDescent="0.55000000000000004">
      <c r="A956" s="27" t="s">
        <v>327</v>
      </c>
      <c r="B956" s="28"/>
      <c r="C956" s="27"/>
      <c r="D956" s="27" t="str">
        <f>"""NAV Direct"",""CRONUS JetCorp USA"",""21"",""1"",""307724"""</f>
        <v>"NAV Direct","CRONUS JetCorp USA","21","1","307724"</v>
      </c>
      <c r="E956" s="31" t="str">
        <f t="shared" ref="E956:E987" si="276">E954</f>
        <v>C100037</v>
      </c>
      <c r="F956" s="31"/>
      <c r="G956" s="31"/>
      <c r="H956" s="31"/>
      <c r="I956" s="56"/>
      <c r="J956" s="56"/>
      <c r="K956" s="82" t="str">
        <f t="shared" si="275"/>
        <v>Invoice</v>
      </c>
      <c r="L956" s="83" t="str">
        <f>"SI_109496"</f>
        <v>SI_109496</v>
      </c>
      <c r="M956" s="84">
        <v>43159</v>
      </c>
      <c r="N956" s="85">
        <f t="shared" ref="N956:N987" si="277">StartDate-$M956+1</f>
        <v>653</v>
      </c>
      <c r="O956" s="86">
        <f t="shared" ref="O956:O987" si="278">SUM(P956:T956)</f>
        <v>14356.560000000001</v>
      </c>
      <c r="P956" s="86">
        <f t="shared" ref="P956:P987" si="279">IF($M956&gt;=$P$18,U956,0)</f>
        <v>0</v>
      </c>
      <c r="Q956" s="86">
        <f t="shared" ref="Q956:Q987" si="280">IF(AND($M956&gt;=$Q$16,$M956&lt;=$Q$18),U956,0)</f>
        <v>0</v>
      </c>
      <c r="R956" s="86">
        <f t="shared" ref="R956:R987" si="281">IF(AND($M956&gt;=$R$16,$M956&lt;=$R$18),U956,0)</f>
        <v>0</v>
      </c>
      <c r="S956" s="86">
        <f t="shared" ref="S956:S987" si="282">IF(AND($M956&gt;=$S$16,$M956&lt;=$S$18),U956,0)</f>
        <v>0</v>
      </c>
      <c r="T956" s="86">
        <f t="shared" ref="T956:T987" si="283">IF($M956&lt;=$T$18,U956,0)</f>
        <v>14356.560000000001</v>
      </c>
      <c r="U956" s="87">
        <v>14356.560000000001</v>
      </c>
    </row>
    <row r="957" spans="1:21" s="30" customFormat="1" ht="24.6" hidden="1" outlineLevel="1" x14ac:dyDescent="0.55000000000000004">
      <c r="A957" s="27" t="s">
        <v>327</v>
      </c>
      <c r="B957" s="28"/>
      <c r="C957" s="27"/>
      <c r="D957" s="27" t="str">
        <f>"""NAV Direct"",""CRONUS JetCorp USA"",""21"",""1"",""307776"""</f>
        <v>"NAV Direct","CRONUS JetCorp USA","21","1","307776"</v>
      </c>
      <c r="E957" s="31">
        <f t="shared" si="276"/>
        <v>0</v>
      </c>
      <c r="F957" s="31"/>
      <c r="G957" s="31"/>
      <c r="H957" s="31"/>
      <c r="I957" s="56"/>
      <c r="J957" s="56"/>
      <c r="K957" s="82" t="str">
        <f t="shared" si="275"/>
        <v>Invoice</v>
      </c>
      <c r="L957" s="83" t="str">
        <f>"SI_109498"</f>
        <v>SI_109498</v>
      </c>
      <c r="M957" s="84">
        <v>43179</v>
      </c>
      <c r="N957" s="85">
        <f t="shared" si="277"/>
        <v>633</v>
      </c>
      <c r="O957" s="86">
        <f t="shared" si="278"/>
        <v>14304.81</v>
      </c>
      <c r="P957" s="86">
        <f t="shared" si="279"/>
        <v>0</v>
      </c>
      <c r="Q957" s="86">
        <f t="shared" si="280"/>
        <v>0</v>
      </c>
      <c r="R957" s="86">
        <f t="shared" si="281"/>
        <v>0</v>
      </c>
      <c r="S957" s="86">
        <f t="shared" si="282"/>
        <v>0</v>
      </c>
      <c r="T957" s="86">
        <f t="shared" si="283"/>
        <v>14304.81</v>
      </c>
      <c r="U957" s="87">
        <v>14304.81</v>
      </c>
    </row>
    <row r="958" spans="1:21" s="30" customFormat="1" ht="24.6" hidden="1" outlineLevel="1" x14ac:dyDescent="0.55000000000000004">
      <c r="A958" s="27" t="s">
        <v>327</v>
      </c>
      <c r="B958" s="28"/>
      <c r="C958" s="27"/>
      <c r="D958" s="27" t="str">
        <f>"""NAV Direct"",""CRONUS JetCorp USA"",""21"",""1"",""307797"""</f>
        <v>"NAV Direct","CRONUS JetCorp USA","21","1","307797"</v>
      </c>
      <c r="E958" s="31" t="str">
        <f t="shared" si="276"/>
        <v>C100037</v>
      </c>
      <c r="F958" s="31"/>
      <c r="G958" s="31"/>
      <c r="H958" s="31"/>
      <c r="I958" s="56"/>
      <c r="J958" s="56"/>
      <c r="K958" s="82" t="str">
        <f t="shared" si="275"/>
        <v>Invoice</v>
      </c>
      <c r="L958" s="83" t="str">
        <f>"SI_109499"</f>
        <v>SI_109499</v>
      </c>
      <c r="M958" s="84">
        <v>43185</v>
      </c>
      <c r="N958" s="85">
        <f t="shared" si="277"/>
        <v>627</v>
      </c>
      <c r="O958" s="86">
        <f t="shared" si="278"/>
        <v>14304.96</v>
      </c>
      <c r="P958" s="86">
        <f t="shared" si="279"/>
        <v>0</v>
      </c>
      <c r="Q958" s="86">
        <f t="shared" si="280"/>
        <v>0</v>
      </c>
      <c r="R958" s="86">
        <f t="shared" si="281"/>
        <v>0</v>
      </c>
      <c r="S958" s="86">
        <f t="shared" si="282"/>
        <v>0</v>
      </c>
      <c r="T958" s="86">
        <f t="shared" si="283"/>
        <v>14304.96</v>
      </c>
      <c r="U958" s="87">
        <v>14304.96</v>
      </c>
    </row>
    <row r="959" spans="1:21" s="30" customFormat="1" ht="24.6" hidden="1" outlineLevel="1" x14ac:dyDescent="0.55000000000000004">
      <c r="A959" s="27" t="s">
        <v>327</v>
      </c>
      <c r="B959" s="28"/>
      <c r="C959" s="27"/>
      <c r="D959" s="27" t="str">
        <f>"""NAV Direct"",""CRONUS JetCorp USA"",""21"",""1"",""307980"""</f>
        <v>"NAV Direct","CRONUS JetCorp USA","21","1","307980"</v>
      </c>
      <c r="E959" s="31">
        <f t="shared" si="276"/>
        <v>0</v>
      </c>
      <c r="F959" s="31"/>
      <c r="G959" s="31"/>
      <c r="H959" s="31"/>
      <c r="I959" s="56"/>
      <c r="J959" s="56"/>
      <c r="K959" s="82" t="str">
        <f t="shared" si="275"/>
        <v>Invoice</v>
      </c>
      <c r="L959" s="83" t="str">
        <f>"SI_109506"</f>
        <v>SI_109506</v>
      </c>
      <c r="M959" s="84">
        <v>43221</v>
      </c>
      <c r="N959" s="85">
        <f t="shared" si="277"/>
        <v>591</v>
      </c>
      <c r="O959" s="86">
        <f t="shared" si="278"/>
        <v>14588.9</v>
      </c>
      <c r="P959" s="86">
        <f t="shared" si="279"/>
        <v>0</v>
      </c>
      <c r="Q959" s="86">
        <f t="shared" si="280"/>
        <v>0</v>
      </c>
      <c r="R959" s="86">
        <f t="shared" si="281"/>
        <v>0</v>
      </c>
      <c r="S959" s="86">
        <f t="shared" si="282"/>
        <v>0</v>
      </c>
      <c r="T959" s="86">
        <f t="shared" si="283"/>
        <v>14588.9</v>
      </c>
      <c r="U959" s="87">
        <v>14588.9</v>
      </c>
    </row>
    <row r="960" spans="1:21" s="30" customFormat="1" ht="24.6" hidden="1" outlineLevel="1" x14ac:dyDescent="0.55000000000000004">
      <c r="A960" s="27" t="s">
        <v>327</v>
      </c>
      <c r="B960" s="28"/>
      <c r="C960" s="27"/>
      <c r="D960" s="27" t="str">
        <f>"""NAV Direct"",""CRONUS JetCorp USA"",""21"",""1"",""308047"""</f>
        <v>"NAV Direct","CRONUS JetCorp USA","21","1","308047"</v>
      </c>
      <c r="E960" s="31" t="str">
        <f t="shared" si="276"/>
        <v>C100037</v>
      </c>
      <c r="F960" s="31"/>
      <c r="G960" s="31"/>
      <c r="H960" s="31"/>
      <c r="I960" s="56"/>
      <c r="J960" s="56"/>
      <c r="K960" s="82" t="str">
        <f t="shared" si="275"/>
        <v>Invoice</v>
      </c>
      <c r="L960" s="83" t="str">
        <f>"SI_109509"</f>
        <v>SI_109509</v>
      </c>
      <c r="M960" s="84">
        <v>43233</v>
      </c>
      <c r="N960" s="85">
        <f t="shared" si="277"/>
        <v>579</v>
      </c>
      <c r="O960" s="86">
        <f t="shared" si="278"/>
        <v>14276.619999999999</v>
      </c>
      <c r="P960" s="86">
        <f t="shared" si="279"/>
        <v>0</v>
      </c>
      <c r="Q960" s="86">
        <f t="shared" si="280"/>
        <v>0</v>
      </c>
      <c r="R960" s="86">
        <f t="shared" si="281"/>
        <v>0</v>
      </c>
      <c r="S960" s="86">
        <f t="shared" si="282"/>
        <v>0</v>
      </c>
      <c r="T960" s="86">
        <f t="shared" si="283"/>
        <v>14276.619999999999</v>
      </c>
      <c r="U960" s="87">
        <v>14276.619999999999</v>
      </c>
    </row>
    <row r="961" spans="1:21" s="30" customFormat="1" ht="24.6" hidden="1" outlineLevel="1" x14ac:dyDescent="0.55000000000000004">
      <c r="A961" s="27" t="s">
        <v>327</v>
      </c>
      <c r="B961" s="28"/>
      <c r="C961" s="27"/>
      <c r="D961" s="27" t="str">
        <f>"""NAV Direct"",""CRONUS JetCorp USA"",""21"",""1"",""308068"""</f>
        <v>"NAV Direct","CRONUS JetCorp USA","21","1","308068"</v>
      </c>
      <c r="E961" s="31">
        <f t="shared" si="276"/>
        <v>0</v>
      </c>
      <c r="F961" s="31"/>
      <c r="G961" s="31"/>
      <c r="H961" s="31"/>
      <c r="I961" s="56"/>
      <c r="J961" s="56"/>
      <c r="K961" s="82" t="str">
        <f t="shared" si="275"/>
        <v>Invoice</v>
      </c>
      <c r="L961" s="83" t="str">
        <f>"SI_109510"</f>
        <v>SI_109510</v>
      </c>
      <c r="M961" s="84">
        <v>43244</v>
      </c>
      <c r="N961" s="85">
        <f t="shared" si="277"/>
        <v>568</v>
      </c>
      <c r="O961" s="86">
        <f t="shared" si="278"/>
        <v>14425.26</v>
      </c>
      <c r="P961" s="86">
        <f t="shared" si="279"/>
        <v>0</v>
      </c>
      <c r="Q961" s="86">
        <f t="shared" si="280"/>
        <v>0</v>
      </c>
      <c r="R961" s="86">
        <f t="shared" si="281"/>
        <v>0</v>
      </c>
      <c r="S961" s="86">
        <f t="shared" si="282"/>
        <v>0</v>
      </c>
      <c r="T961" s="86">
        <f t="shared" si="283"/>
        <v>14425.26</v>
      </c>
      <c r="U961" s="87">
        <v>14425.26</v>
      </c>
    </row>
    <row r="962" spans="1:21" s="30" customFormat="1" ht="24.6" hidden="1" outlineLevel="1" x14ac:dyDescent="0.55000000000000004">
      <c r="A962" s="27" t="s">
        <v>327</v>
      </c>
      <c r="B962" s="28"/>
      <c r="C962" s="27"/>
      <c r="D962" s="27" t="str">
        <f>"""NAV Direct"",""CRONUS JetCorp USA"",""21"",""1"",""308089"""</f>
        <v>"NAV Direct","CRONUS JetCorp USA","21","1","308089"</v>
      </c>
      <c r="E962" s="31" t="str">
        <f t="shared" si="276"/>
        <v>C100037</v>
      </c>
      <c r="F962" s="31"/>
      <c r="G962" s="31"/>
      <c r="H962" s="31"/>
      <c r="I962" s="56"/>
      <c r="J962" s="56"/>
      <c r="K962" s="82" t="str">
        <f t="shared" si="275"/>
        <v>Invoice</v>
      </c>
      <c r="L962" s="83" t="str">
        <f>"SI_109511"</f>
        <v>SI_109511</v>
      </c>
      <c r="M962" s="84">
        <v>43248</v>
      </c>
      <c r="N962" s="85">
        <f t="shared" si="277"/>
        <v>564</v>
      </c>
      <c r="O962" s="86">
        <f t="shared" si="278"/>
        <v>14425.380000000001</v>
      </c>
      <c r="P962" s="86">
        <f t="shared" si="279"/>
        <v>0</v>
      </c>
      <c r="Q962" s="86">
        <f t="shared" si="280"/>
        <v>0</v>
      </c>
      <c r="R962" s="86">
        <f t="shared" si="281"/>
        <v>0</v>
      </c>
      <c r="S962" s="86">
        <f t="shared" si="282"/>
        <v>0</v>
      </c>
      <c r="T962" s="86">
        <f t="shared" si="283"/>
        <v>14425.380000000001</v>
      </c>
      <c r="U962" s="87">
        <v>14425.380000000001</v>
      </c>
    </row>
    <row r="963" spans="1:21" s="30" customFormat="1" ht="24.6" hidden="1" outlineLevel="1" x14ac:dyDescent="0.55000000000000004">
      <c r="A963" s="27" t="s">
        <v>327</v>
      </c>
      <c r="B963" s="28"/>
      <c r="C963" s="27"/>
      <c r="D963" s="27" t="str">
        <f>"""NAV Direct"",""CRONUS JetCorp USA"",""21"",""1"",""308141"""</f>
        <v>"NAV Direct","CRONUS JetCorp USA","21","1","308141"</v>
      </c>
      <c r="E963" s="31">
        <f t="shared" si="276"/>
        <v>0</v>
      </c>
      <c r="F963" s="31"/>
      <c r="G963" s="31"/>
      <c r="H963" s="31"/>
      <c r="I963" s="56"/>
      <c r="J963" s="56"/>
      <c r="K963" s="82" t="str">
        <f t="shared" ref="K963:K994" si="284">"Invoice"</f>
        <v>Invoice</v>
      </c>
      <c r="L963" s="83" t="str">
        <f>"SI_109513"</f>
        <v>SI_109513</v>
      </c>
      <c r="M963" s="84">
        <v>43275</v>
      </c>
      <c r="N963" s="85">
        <f t="shared" si="277"/>
        <v>537</v>
      </c>
      <c r="O963" s="86">
        <f t="shared" si="278"/>
        <v>14785.33</v>
      </c>
      <c r="P963" s="86">
        <f t="shared" si="279"/>
        <v>0</v>
      </c>
      <c r="Q963" s="86">
        <f t="shared" si="280"/>
        <v>0</v>
      </c>
      <c r="R963" s="86">
        <f t="shared" si="281"/>
        <v>0</v>
      </c>
      <c r="S963" s="86">
        <f t="shared" si="282"/>
        <v>0</v>
      </c>
      <c r="T963" s="86">
        <f t="shared" si="283"/>
        <v>14785.33</v>
      </c>
      <c r="U963" s="87">
        <v>14785.33</v>
      </c>
    </row>
    <row r="964" spans="1:21" s="30" customFormat="1" ht="24.6" hidden="1" outlineLevel="1" x14ac:dyDescent="0.55000000000000004">
      <c r="A964" s="27" t="s">
        <v>327</v>
      </c>
      <c r="B964" s="28"/>
      <c r="C964" s="27"/>
      <c r="D964" s="27" t="str">
        <f>"""NAV Direct"",""CRONUS JetCorp USA"",""21"",""1"",""308255"""</f>
        <v>"NAV Direct","CRONUS JetCorp USA","21","1","308255"</v>
      </c>
      <c r="E964" s="31" t="str">
        <f t="shared" si="276"/>
        <v>C100037</v>
      </c>
      <c r="F964" s="31"/>
      <c r="G964" s="31"/>
      <c r="H964" s="31"/>
      <c r="I964" s="56"/>
      <c r="J964" s="56"/>
      <c r="K964" s="82" t="str">
        <f t="shared" si="284"/>
        <v>Invoice</v>
      </c>
      <c r="L964" s="83" t="str">
        <f>"SI_109517"</f>
        <v>SI_109517</v>
      </c>
      <c r="M964" s="84">
        <v>43304</v>
      </c>
      <c r="N964" s="85">
        <f t="shared" si="277"/>
        <v>508</v>
      </c>
      <c r="O964" s="86">
        <f t="shared" si="278"/>
        <v>14889.150000000001</v>
      </c>
      <c r="P964" s="86">
        <f t="shared" si="279"/>
        <v>0</v>
      </c>
      <c r="Q964" s="86">
        <f t="shared" si="280"/>
        <v>0</v>
      </c>
      <c r="R964" s="86">
        <f t="shared" si="281"/>
        <v>0</v>
      </c>
      <c r="S964" s="86">
        <f t="shared" si="282"/>
        <v>0</v>
      </c>
      <c r="T964" s="86">
        <f t="shared" si="283"/>
        <v>14889.150000000001</v>
      </c>
      <c r="U964" s="87">
        <v>14889.150000000001</v>
      </c>
    </row>
    <row r="965" spans="1:21" s="30" customFormat="1" ht="24.6" hidden="1" outlineLevel="1" x14ac:dyDescent="0.55000000000000004">
      <c r="A965" s="27" t="s">
        <v>327</v>
      </c>
      <c r="B965" s="28"/>
      <c r="C965" s="27"/>
      <c r="D965" s="27" t="str">
        <f>"""NAV Direct"",""CRONUS JetCorp USA"",""21"",""1"",""308376"""</f>
        <v>"NAV Direct","CRONUS JetCorp USA","21","1","308376"</v>
      </c>
      <c r="E965" s="31">
        <f t="shared" si="276"/>
        <v>0</v>
      </c>
      <c r="F965" s="31"/>
      <c r="G965" s="31"/>
      <c r="H965" s="31"/>
      <c r="I965" s="56"/>
      <c r="J965" s="56"/>
      <c r="K965" s="82" t="str">
        <f t="shared" si="284"/>
        <v>Invoice</v>
      </c>
      <c r="L965" s="83" t="str">
        <f>"SI_109522"</f>
        <v>SI_109522</v>
      </c>
      <c r="M965" s="84">
        <v>43319</v>
      </c>
      <c r="N965" s="85">
        <f t="shared" si="277"/>
        <v>493</v>
      </c>
      <c r="O965" s="86">
        <f t="shared" si="278"/>
        <v>14889.69</v>
      </c>
      <c r="P965" s="86">
        <f t="shared" si="279"/>
        <v>0</v>
      </c>
      <c r="Q965" s="86">
        <f t="shared" si="280"/>
        <v>0</v>
      </c>
      <c r="R965" s="86">
        <f t="shared" si="281"/>
        <v>0</v>
      </c>
      <c r="S965" s="86">
        <f t="shared" si="282"/>
        <v>0</v>
      </c>
      <c r="T965" s="86">
        <f t="shared" si="283"/>
        <v>14889.69</v>
      </c>
      <c r="U965" s="87">
        <v>14889.69</v>
      </c>
    </row>
    <row r="966" spans="1:21" s="30" customFormat="1" ht="24.6" hidden="1" outlineLevel="1" x14ac:dyDescent="0.55000000000000004">
      <c r="A966" s="27" t="s">
        <v>327</v>
      </c>
      <c r="B966" s="28"/>
      <c r="C966" s="27"/>
      <c r="D966" s="27" t="str">
        <f>"""NAV Direct"",""CRONUS JetCorp USA"",""21"",""1"",""308538"""</f>
        <v>"NAV Direct","CRONUS JetCorp USA","21","1","308538"</v>
      </c>
      <c r="E966" s="31" t="str">
        <f t="shared" si="276"/>
        <v>C100037</v>
      </c>
      <c r="F966" s="31"/>
      <c r="G966" s="31"/>
      <c r="H966" s="31"/>
      <c r="I966" s="56"/>
      <c r="J966" s="56"/>
      <c r="K966" s="82" t="str">
        <f t="shared" si="284"/>
        <v>Invoice</v>
      </c>
      <c r="L966" s="83" t="str">
        <f>"SI_109528"</f>
        <v>SI_109528</v>
      </c>
      <c r="M966" s="84">
        <v>43348</v>
      </c>
      <c r="N966" s="85">
        <f t="shared" si="277"/>
        <v>464</v>
      </c>
      <c r="O966" s="86">
        <f t="shared" si="278"/>
        <v>15118.18</v>
      </c>
      <c r="P966" s="86">
        <f t="shared" si="279"/>
        <v>0</v>
      </c>
      <c r="Q966" s="86">
        <f t="shared" si="280"/>
        <v>0</v>
      </c>
      <c r="R966" s="86">
        <f t="shared" si="281"/>
        <v>0</v>
      </c>
      <c r="S966" s="86">
        <f t="shared" si="282"/>
        <v>0</v>
      </c>
      <c r="T966" s="86">
        <f t="shared" si="283"/>
        <v>15118.18</v>
      </c>
      <c r="U966" s="87">
        <v>15118.18</v>
      </c>
    </row>
    <row r="967" spans="1:21" s="30" customFormat="1" ht="24.6" hidden="1" outlineLevel="1" x14ac:dyDescent="0.55000000000000004">
      <c r="A967" s="27" t="s">
        <v>327</v>
      </c>
      <c r="B967" s="28"/>
      <c r="C967" s="27"/>
      <c r="D967" s="27" t="str">
        <f>"""NAV Direct"",""CRONUS JetCorp USA"",""21"",""1"",""308565"""</f>
        <v>"NAV Direct","CRONUS JetCorp USA","21","1","308565"</v>
      </c>
      <c r="E967" s="31">
        <f t="shared" si="276"/>
        <v>0</v>
      </c>
      <c r="F967" s="31"/>
      <c r="G967" s="31"/>
      <c r="H967" s="31"/>
      <c r="I967" s="56"/>
      <c r="J967" s="56"/>
      <c r="K967" s="82" t="str">
        <f t="shared" si="284"/>
        <v>Invoice</v>
      </c>
      <c r="L967" s="83" t="str">
        <f>"SI_109529"</f>
        <v>SI_109529</v>
      </c>
      <c r="M967" s="84">
        <v>43351</v>
      </c>
      <c r="N967" s="85">
        <f t="shared" si="277"/>
        <v>461</v>
      </c>
      <c r="O967" s="86">
        <f t="shared" si="278"/>
        <v>14963.48</v>
      </c>
      <c r="P967" s="86">
        <f t="shared" si="279"/>
        <v>0</v>
      </c>
      <c r="Q967" s="86">
        <f t="shared" si="280"/>
        <v>0</v>
      </c>
      <c r="R967" s="86">
        <f t="shared" si="281"/>
        <v>0</v>
      </c>
      <c r="S967" s="86">
        <f t="shared" si="282"/>
        <v>0</v>
      </c>
      <c r="T967" s="86">
        <f t="shared" si="283"/>
        <v>14963.48</v>
      </c>
      <c r="U967" s="87">
        <v>14963.48</v>
      </c>
    </row>
    <row r="968" spans="1:21" s="30" customFormat="1" ht="24.6" hidden="1" outlineLevel="1" x14ac:dyDescent="0.55000000000000004">
      <c r="A968" s="27" t="s">
        <v>327</v>
      </c>
      <c r="B968" s="28"/>
      <c r="C968" s="27"/>
      <c r="D968" s="27" t="str">
        <f>"""NAV Direct"",""CRONUS JetCorp USA"",""21"",""1"",""308613"""</f>
        <v>"NAV Direct","CRONUS JetCorp USA","21","1","308613"</v>
      </c>
      <c r="E968" s="31" t="str">
        <f t="shared" si="276"/>
        <v>C100037</v>
      </c>
      <c r="F968" s="31"/>
      <c r="G968" s="31"/>
      <c r="H968" s="31"/>
      <c r="I968" s="56"/>
      <c r="J968" s="56"/>
      <c r="K968" s="82" t="str">
        <f t="shared" si="284"/>
        <v>Invoice</v>
      </c>
      <c r="L968" s="83" t="str">
        <f>"SI_109531"</f>
        <v>SI_109531</v>
      </c>
      <c r="M968" s="84">
        <v>43366</v>
      </c>
      <c r="N968" s="85">
        <f t="shared" si="277"/>
        <v>446</v>
      </c>
      <c r="O968" s="86">
        <f t="shared" si="278"/>
        <v>15586.99</v>
      </c>
      <c r="P968" s="86">
        <f t="shared" si="279"/>
        <v>0</v>
      </c>
      <c r="Q968" s="86">
        <f t="shared" si="280"/>
        <v>0</v>
      </c>
      <c r="R968" s="86">
        <f t="shared" si="281"/>
        <v>0</v>
      </c>
      <c r="S968" s="86">
        <f t="shared" si="282"/>
        <v>0</v>
      </c>
      <c r="T968" s="86">
        <f t="shared" si="283"/>
        <v>15586.99</v>
      </c>
      <c r="U968" s="87">
        <v>15586.99</v>
      </c>
    </row>
    <row r="969" spans="1:21" s="30" customFormat="1" ht="24.6" hidden="1" outlineLevel="1" x14ac:dyDescent="0.55000000000000004">
      <c r="A969" s="27" t="s">
        <v>327</v>
      </c>
      <c r="B969" s="28"/>
      <c r="C969" s="27"/>
      <c r="D969" s="27" t="str">
        <f>"""NAV Direct"",""CRONUS JetCorp USA"",""21"",""1"",""308779"""</f>
        <v>"NAV Direct","CRONUS JetCorp USA","21","1","308779"</v>
      </c>
      <c r="E969" s="31">
        <f t="shared" si="276"/>
        <v>0</v>
      </c>
      <c r="F969" s="31"/>
      <c r="G969" s="31"/>
      <c r="H969" s="31"/>
      <c r="I969" s="56"/>
      <c r="J969" s="56"/>
      <c r="K969" s="82" t="str">
        <f t="shared" si="284"/>
        <v>Invoice</v>
      </c>
      <c r="L969" s="83" t="str">
        <f>"SI_109537"</f>
        <v>SI_109537</v>
      </c>
      <c r="M969" s="84">
        <v>43394</v>
      </c>
      <c r="N969" s="85">
        <f t="shared" si="277"/>
        <v>418</v>
      </c>
      <c r="O969" s="86">
        <f t="shared" si="278"/>
        <v>15535.550000000001</v>
      </c>
      <c r="P969" s="86">
        <f t="shared" si="279"/>
        <v>0</v>
      </c>
      <c r="Q969" s="86">
        <f t="shared" si="280"/>
        <v>0</v>
      </c>
      <c r="R969" s="86">
        <f t="shared" si="281"/>
        <v>0</v>
      </c>
      <c r="S969" s="86">
        <f t="shared" si="282"/>
        <v>0</v>
      </c>
      <c r="T969" s="86">
        <f t="shared" si="283"/>
        <v>15535.550000000001</v>
      </c>
      <c r="U969" s="87">
        <v>15535.550000000001</v>
      </c>
    </row>
    <row r="970" spans="1:21" s="30" customFormat="1" ht="24.6" hidden="1" outlineLevel="1" x14ac:dyDescent="0.55000000000000004">
      <c r="A970" s="27" t="s">
        <v>327</v>
      </c>
      <c r="B970" s="28"/>
      <c r="C970" s="27"/>
      <c r="D970" s="27" t="str">
        <f>"""NAV Direct"",""CRONUS JetCorp USA"",""21"",""1"",""308864"""</f>
        <v>"NAV Direct","CRONUS JetCorp USA","21","1","308864"</v>
      </c>
      <c r="E970" s="31" t="str">
        <f t="shared" si="276"/>
        <v>C100037</v>
      </c>
      <c r="F970" s="31"/>
      <c r="G970" s="31"/>
      <c r="H970" s="31"/>
      <c r="I970" s="56"/>
      <c r="J970" s="56"/>
      <c r="K970" s="82" t="str">
        <f t="shared" si="284"/>
        <v>Invoice</v>
      </c>
      <c r="L970" s="83" t="str">
        <f>"SI_109540"</f>
        <v>SI_109540</v>
      </c>
      <c r="M970" s="84">
        <v>43397</v>
      </c>
      <c r="N970" s="85">
        <f t="shared" si="277"/>
        <v>415</v>
      </c>
      <c r="O970" s="86">
        <f t="shared" si="278"/>
        <v>15375.939999999999</v>
      </c>
      <c r="P970" s="86">
        <f t="shared" si="279"/>
        <v>0</v>
      </c>
      <c r="Q970" s="86">
        <f t="shared" si="280"/>
        <v>0</v>
      </c>
      <c r="R970" s="86">
        <f t="shared" si="281"/>
        <v>0</v>
      </c>
      <c r="S970" s="86">
        <f t="shared" si="282"/>
        <v>0</v>
      </c>
      <c r="T970" s="86">
        <f t="shared" si="283"/>
        <v>15375.939999999999</v>
      </c>
      <c r="U970" s="87">
        <v>15375.939999999999</v>
      </c>
    </row>
    <row r="971" spans="1:21" s="30" customFormat="1" ht="24.6" hidden="1" outlineLevel="1" x14ac:dyDescent="0.55000000000000004">
      <c r="A971" s="27" t="s">
        <v>327</v>
      </c>
      <c r="B971" s="28"/>
      <c r="C971" s="27"/>
      <c r="D971" s="27" t="str">
        <f>"""NAV Direct"",""CRONUS JetCorp USA"",""21"",""1"",""309072"""</f>
        <v>"NAV Direct","CRONUS JetCorp USA","21","1","309072"</v>
      </c>
      <c r="E971" s="31">
        <f t="shared" si="276"/>
        <v>0</v>
      </c>
      <c r="F971" s="31"/>
      <c r="G971" s="31"/>
      <c r="H971" s="31"/>
      <c r="I971" s="56"/>
      <c r="J971" s="56"/>
      <c r="K971" s="82" t="str">
        <f t="shared" si="284"/>
        <v>Invoice</v>
      </c>
      <c r="L971" s="83" t="str">
        <f>"SI_109548"</f>
        <v>SI_109548</v>
      </c>
      <c r="M971" s="84">
        <v>43458</v>
      </c>
      <c r="N971" s="85">
        <f t="shared" si="277"/>
        <v>354</v>
      </c>
      <c r="O971" s="86">
        <f t="shared" si="278"/>
        <v>15596.830000000002</v>
      </c>
      <c r="P971" s="86">
        <f t="shared" si="279"/>
        <v>0</v>
      </c>
      <c r="Q971" s="86">
        <f t="shared" si="280"/>
        <v>0</v>
      </c>
      <c r="R971" s="86">
        <f t="shared" si="281"/>
        <v>0</v>
      </c>
      <c r="S971" s="86">
        <f t="shared" si="282"/>
        <v>0</v>
      </c>
      <c r="T971" s="86">
        <f t="shared" si="283"/>
        <v>15596.830000000002</v>
      </c>
      <c r="U971" s="87">
        <v>15596.830000000002</v>
      </c>
    </row>
    <row r="972" spans="1:21" s="30" customFormat="1" ht="24.6" hidden="1" outlineLevel="1" x14ac:dyDescent="0.55000000000000004">
      <c r="A972" s="27" t="s">
        <v>327</v>
      </c>
      <c r="B972" s="28"/>
      <c r="C972" s="27"/>
      <c r="D972" s="27" t="str">
        <f>"""NAV Direct"",""CRONUS JetCorp USA"",""21"",""1"",""309099"""</f>
        <v>"NAV Direct","CRONUS JetCorp USA","21","1","309099"</v>
      </c>
      <c r="E972" s="31" t="str">
        <f t="shared" si="276"/>
        <v>C100037</v>
      </c>
      <c r="F972" s="31"/>
      <c r="G972" s="31"/>
      <c r="H972" s="31"/>
      <c r="I972" s="56"/>
      <c r="J972" s="56"/>
      <c r="K972" s="82" t="str">
        <f t="shared" si="284"/>
        <v>Invoice</v>
      </c>
      <c r="L972" s="83" t="str">
        <f>"SI_109549"</f>
        <v>SI_109549</v>
      </c>
      <c r="M972" s="84">
        <v>43457</v>
      </c>
      <c r="N972" s="85">
        <f t="shared" si="277"/>
        <v>355</v>
      </c>
      <c r="O972" s="86">
        <f t="shared" si="278"/>
        <v>15276.39</v>
      </c>
      <c r="P972" s="86">
        <f t="shared" si="279"/>
        <v>0</v>
      </c>
      <c r="Q972" s="86">
        <f t="shared" si="280"/>
        <v>0</v>
      </c>
      <c r="R972" s="86">
        <f t="shared" si="281"/>
        <v>0</v>
      </c>
      <c r="S972" s="86">
        <f t="shared" si="282"/>
        <v>0</v>
      </c>
      <c r="T972" s="86">
        <f t="shared" si="283"/>
        <v>15276.39</v>
      </c>
      <c r="U972" s="87">
        <v>15276.39</v>
      </c>
    </row>
    <row r="973" spans="1:21" s="30" customFormat="1" ht="24.6" hidden="1" outlineLevel="1" x14ac:dyDescent="0.55000000000000004">
      <c r="A973" s="27" t="s">
        <v>327</v>
      </c>
      <c r="B973" s="28"/>
      <c r="C973" s="27"/>
      <c r="D973" s="27" t="str">
        <f>"""NAV Direct"",""CRONUS JetCorp USA"",""21"",""1"",""309211"""</f>
        <v>"NAV Direct","CRONUS JetCorp USA","21","1","309211"</v>
      </c>
      <c r="E973" s="31">
        <f t="shared" si="276"/>
        <v>0</v>
      </c>
      <c r="F973" s="31"/>
      <c r="G973" s="31"/>
      <c r="H973" s="31"/>
      <c r="I973" s="56"/>
      <c r="J973" s="56"/>
      <c r="K973" s="82" t="str">
        <f t="shared" si="284"/>
        <v>Invoice</v>
      </c>
      <c r="L973" s="83" t="str">
        <f>"SI_109553"</f>
        <v>SI_109553</v>
      </c>
      <c r="M973" s="84">
        <v>43484</v>
      </c>
      <c r="N973" s="85">
        <f t="shared" si="277"/>
        <v>328</v>
      </c>
      <c r="O973" s="86">
        <f t="shared" si="278"/>
        <v>15535.35</v>
      </c>
      <c r="P973" s="86">
        <f t="shared" si="279"/>
        <v>0</v>
      </c>
      <c r="Q973" s="86">
        <f t="shared" si="280"/>
        <v>0</v>
      </c>
      <c r="R973" s="86">
        <f t="shared" si="281"/>
        <v>0</v>
      </c>
      <c r="S973" s="86">
        <f t="shared" si="282"/>
        <v>0</v>
      </c>
      <c r="T973" s="86">
        <f t="shared" si="283"/>
        <v>15535.35</v>
      </c>
      <c r="U973" s="87">
        <v>15535.35</v>
      </c>
    </row>
    <row r="974" spans="1:21" s="30" customFormat="1" ht="24.6" hidden="1" outlineLevel="1" x14ac:dyDescent="0.55000000000000004">
      <c r="A974" s="27" t="s">
        <v>327</v>
      </c>
      <c r="B974" s="28"/>
      <c r="C974" s="27"/>
      <c r="D974" s="27" t="str">
        <f>"""NAV Direct"",""CRONUS JetCorp USA"",""21"",""1"",""309284"""</f>
        <v>"NAV Direct","CRONUS JetCorp USA","21","1","309284"</v>
      </c>
      <c r="E974" s="31" t="str">
        <f t="shared" si="276"/>
        <v>C100037</v>
      </c>
      <c r="F974" s="31"/>
      <c r="G974" s="31"/>
      <c r="H974" s="31"/>
      <c r="I974" s="56"/>
      <c r="J974" s="56"/>
      <c r="K974" s="82" t="str">
        <f t="shared" si="284"/>
        <v>Invoice</v>
      </c>
      <c r="L974" s="83" t="str">
        <f>"SI_109556"</f>
        <v>SI_109556</v>
      </c>
      <c r="M974" s="84">
        <v>43492</v>
      </c>
      <c r="N974" s="85">
        <f t="shared" si="277"/>
        <v>320</v>
      </c>
      <c r="O974" s="86">
        <f t="shared" si="278"/>
        <v>15375.14</v>
      </c>
      <c r="P974" s="86">
        <f t="shared" si="279"/>
        <v>0</v>
      </c>
      <c r="Q974" s="86">
        <f t="shared" si="280"/>
        <v>0</v>
      </c>
      <c r="R974" s="86">
        <f t="shared" si="281"/>
        <v>0</v>
      </c>
      <c r="S974" s="86">
        <f t="shared" si="282"/>
        <v>0</v>
      </c>
      <c r="T974" s="86">
        <f t="shared" si="283"/>
        <v>15375.14</v>
      </c>
      <c r="U974" s="87">
        <v>15375.14</v>
      </c>
    </row>
    <row r="975" spans="1:21" s="30" customFormat="1" ht="24.6" hidden="1" outlineLevel="1" x14ac:dyDescent="0.55000000000000004">
      <c r="A975" s="27" t="s">
        <v>327</v>
      </c>
      <c r="B975" s="28"/>
      <c r="C975" s="27"/>
      <c r="D975" s="27" t="str">
        <f>"""NAV Direct"",""CRONUS JetCorp USA"",""21"",""1"",""309419"""</f>
        <v>"NAV Direct","CRONUS JetCorp USA","21","1","309419"</v>
      </c>
      <c r="E975" s="31">
        <f t="shared" si="276"/>
        <v>0</v>
      </c>
      <c r="F975" s="31"/>
      <c r="G975" s="31"/>
      <c r="H975" s="31"/>
      <c r="I975" s="56"/>
      <c r="J975" s="56"/>
      <c r="K975" s="82" t="str">
        <f t="shared" si="284"/>
        <v>Invoice</v>
      </c>
      <c r="L975" s="83" t="str">
        <f>"SI_109561"</f>
        <v>SI_109561</v>
      </c>
      <c r="M975" s="84">
        <v>43522</v>
      </c>
      <c r="N975" s="85">
        <f t="shared" si="277"/>
        <v>290</v>
      </c>
      <c r="O975" s="86">
        <f t="shared" si="278"/>
        <v>15758.660000000002</v>
      </c>
      <c r="P975" s="86">
        <f t="shared" si="279"/>
        <v>0</v>
      </c>
      <c r="Q975" s="86">
        <f t="shared" si="280"/>
        <v>0</v>
      </c>
      <c r="R975" s="86">
        <f t="shared" si="281"/>
        <v>0</v>
      </c>
      <c r="S975" s="86">
        <f t="shared" si="282"/>
        <v>0</v>
      </c>
      <c r="T975" s="86">
        <f t="shared" si="283"/>
        <v>15758.660000000002</v>
      </c>
      <c r="U975" s="87">
        <v>15758.660000000002</v>
      </c>
    </row>
    <row r="976" spans="1:21" s="30" customFormat="1" ht="24.6" hidden="1" outlineLevel="1" x14ac:dyDescent="0.55000000000000004">
      <c r="A976" s="27" t="s">
        <v>327</v>
      </c>
      <c r="B976" s="28"/>
      <c r="C976" s="27"/>
      <c r="D976" s="27" t="str">
        <f>"""NAV Direct"",""CRONUS JetCorp USA"",""21"",""1"",""309502"""</f>
        <v>"NAV Direct","CRONUS JetCorp USA","21","1","309502"</v>
      </c>
      <c r="E976" s="31" t="str">
        <f t="shared" si="276"/>
        <v>C100037</v>
      </c>
      <c r="F976" s="31"/>
      <c r="G976" s="31"/>
      <c r="H976" s="31"/>
      <c r="I976" s="56"/>
      <c r="J976" s="56"/>
      <c r="K976" s="82" t="str">
        <f t="shared" si="284"/>
        <v>Invoice</v>
      </c>
      <c r="L976" s="83" t="str">
        <f>"SI_109564"</f>
        <v>SI_109564</v>
      </c>
      <c r="M976" s="84">
        <v>43530</v>
      </c>
      <c r="N976" s="85">
        <f t="shared" si="277"/>
        <v>282</v>
      </c>
      <c r="O976" s="86">
        <f t="shared" si="278"/>
        <v>16086.77</v>
      </c>
      <c r="P976" s="86">
        <f t="shared" si="279"/>
        <v>0</v>
      </c>
      <c r="Q976" s="86">
        <f t="shared" si="280"/>
        <v>0</v>
      </c>
      <c r="R976" s="86">
        <f t="shared" si="281"/>
        <v>0</v>
      </c>
      <c r="S976" s="86">
        <f t="shared" si="282"/>
        <v>0</v>
      </c>
      <c r="T976" s="86">
        <f t="shared" si="283"/>
        <v>16086.77</v>
      </c>
      <c r="U976" s="87">
        <v>16086.77</v>
      </c>
    </row>
    <row r="977" spans="1:21" s="30" customFormat="1" ht="24.6" hidden="1" outlineLevel="1" x14ac:dyDescent="0.55000000000000004">
      <c r="A977" s="27" t="s">
        <v>327</v>
      </c>
      <c r="B977" s="28"/>
      <c r="C977" s="27"/>
      <c r="D977" s="27" t="str">
        <f>"""NAV Direct"",""CRONUS JetCorp USA"",""21"",""1"",""309922"""</f>
        <v>"NAV Direct","CRONUS JetCorp USA","21","1","309922"</v>
      </c>
      <c r="E977" s="31">
        <f t="shared" si="276"/>
        <v>0</v>
      </c>
      <c r="F977" s="31"/>
      <c r="G977" s="31"/>
      <c r="H977" s="31"/>
      <c r="I977" s="56"/>
      <c r="J977" s="56"/>
      <c r="K977" s="82" t="str">
        <f t="shared" si="284"/>
        <v>Invoice</v>
      </c>
      <c r="L977" s="83" t="str">
        <f>"SI_109580"</f>
        <v>SI_109580</v>
      </c>
      <c r="M977" s="84">
        <v>43644</v>
      </c>
      <c r="N977" s="85">
        <f t="shared" si="277"/>
        <v>168</v>
      </c>
      <c r="O977" s="86">
        <f t="shared" si="278"/>
        <v>21494.21</v>
      </c>
      <c r="P977" s="86">
        <f t="shared" si="279"/>
        <v>0</v>
      </c>
      <c r="Q977" s="86">
        <f t="shared" si="280"/>
        <v>0</v>
      </c>
      <c r="R977" s="86">
        <f t="shared" si="281"/>
        <v>0</v>
      </c>
      <c r="S977" s="86">
        <f t="shared" si="282"/>
        <v>0</v>
      </c>
      <c r="T977" s="86">
        <f t="shared" si="283"/>
        <v>21494.21</v>
      </c>
      <c r="U977" s="87">
        <v>21494.21</v>
      </c>
    </row>
    <row r="978" spans="1:21" s="30" customFormat="1" ht="24.6" hidden="1" outlineLevel="1" x14ac:dyDescent="0.55000000000000004">
      <c r="A978" s="27" t="s">
        <v>327</v>
      </c>
      <c r="B978" s="28"/>
      <c r="C978" s="27"/>
      <c r="D978" s="27" t="str">
        <f>"""NAV Direct"",""CRONUS JetCorp USA"",""21"",""1"",""309991"""</f>
        <v>"NAV Direct","CRONUS JetCorp USA","21","1","309991"</v>
      </c>
      <c r="E978" s="31" t="str">
        <f t="shared" si="276"/>
        <v>C100037</v>
      </c>
      <c r="F978" s="31"/>
      <c r="G978" s="31"/>
      <c r="H978" s="31"/>
      <c r="I978" s="56"/>
      <c r="J978" s="56"/>
      <c r="K978" s="82" t="str">
        <f t="shared" si="284"/>
        <v>Invoice</v>
      </c>
      <c r="L978" s="83" t="str">
        <f>"SI_109583"</f>
        <v>SI_109583</v>
      </c>
      <c r="M978" s="84">
        <v>43662</v>
      </c>
      <c r="N978" s="85">
        <f t="shared" si="277"/>
        <v>150</v>
      </c>
      <c r="O978" s="86">
        <f t="shared" si="278"/>
        <v>15014.07</v>
      </c>
      <c r="P978" s="86">
        <f t="shared" si="279"/>
        <v>0</v>
      </c>
      <c r="Q978" s="86">
        <f t="shared" si="280"/>
        <v>0</v>
      </c>
      <c r="R978" s="86">
        <f t="shared" si="281"/>
        <v>0</v>
      </c>
      <c r="S978" s="86">
        <f t="shared" si="282"/>
        <v>0</v>
      </c>
      <c r="T978" s="86">
        <f t="shared" si="283"/>
        <v>15014.07</v>
      </c>
      <c r="U978" s="87">
        <v>15014.07</v>
      </c>
    </row>
    <row r="979" spans="1:21" s="30" customFormat="1" ht="24.6" hidden="1" outlineLevel="1" x14ac:dyDescent="0.55000000000000004">
      <c r="A979" s="27" t="s">
        <v>327</v>
      </c>
      <c r="B979" s="28"/>
      <c r="C979" s="27"/>
      <c r="D979" s="27" t="str">
        <f>"""NAV Direct"",""CRONUS JetCorp USA"",""21"",""1"",""310016"""</f>
        <v>"NAV Direct","CRONUS JetCorp USA","21","1","310016"</v>
      </c>
      <c r="E979" s="31">
        <f t="shared" si="276"/>
        <v>0</v>
      </c>
      <c r="F979" s="31"/>
      <c r="G979" s="31"/>
      <c r="H979" s="31"/>
      <c r="I979" s="56"/>
      <c r="J979" s="56"/>
      <c r="K979" s="82" t="str">
        <f t="shared" si="284"/>
        <v>Invoice</v>
      </c>
      <c r="L979" s="83" t="str">
        <f>"SI_109584"</f>
        <v>SI_109584</v>
      </c>
      <c r="M979" s="84">
        <v>43670</v>
      </c>
      <c r="N979" s="85">
        <f t="shared" si="277"/>
        <v>142</v>
      </c>
      <c r="O979" s="86">
        <f t="shared" si="278"/>
        <v>15507.93</v>
      </c>
      <c r="P979" s="86">
        <f t="shared" si="279"/>
        <v>0</v>
      </c>
      <c r="Q979" s="86">
        <f t="shared" si="280"/>
        <v>0</v>
      </c>
      <c r="R979" s="86">
        <f t="shared" si="281"/>
        <v>0</v>
      </c>
      <c r="S979" s="86">
        <f t="shared" si="282"/>
        <v>0</v>
      </c>
      <c r="T979" s="86">
        <f t="shared" si="283"/>
        <v>15507.93</v>
      </c>
      <c r="U979" s="87">
        <v>15507.93</v>
      </c>
    </row>
    <row r="980" spans="1:21" s="30" customFormat="1" ht="24.6" hidden="1" outlineLevel="1" x14ac:dyDescent="0.55000000000000004">
      <c r="A980" s="27" t="s">
        <v>327</v>
      </c>
      <c r="B980" s="28"/>
      <c r="C980" s="27"/>
      <c r="D980" s="27" t="str">
        <f>"""NAV Direct"",""CRONUS JetCorp USA"",""21"",""1"",""310043"""</f>
        <v>"NAV Direct","CRONUS JetCorp USA","21","1","310043"</v>
      </c>
      <c r="E980" s="31" t="str">
        <f t="shared" si="276"/>
        <v>C100037</v>
      </c>
      <c r="F980" s="31"/>
      <c r="G980" s="31"/>
      <c r="H980" s="31"/>
      <c r="I980" s="56"/>
      <c r="J980" s="56"/>
      <c r="K980" s="82" t="str">
        <f t="shared" si="284"/>
        <v>Invoice</v>
      </c>
      <c r="L980" s="83" t="str">
        <f>"SI_109585"</f>
        <v>SI_109585</v>
      </c>
      <c r="M980" s="84">
        <v>43677</v>
      </c>
      <c r="N980" s="85">
        <f t="shared" si="277"/>
        <v>135</v>
      </c>
      <c r="O980" s="86">
        <f t="shared" si="278"/>
        <v>14848.250000000002</v>
      </c>
      <c r="P980" s="86">
        <f t="shared" si="279"/>
        <v>0</v>
      </c>
      <c r="Q980" s="86">
        <f t="shared" si="280"/>
        <v>0</v>
      </c>
      <c r="R980" s="86">
        <f t="shared" si="281"/>
        <v>0</v>
      </c>
      <c r="S980" s="86">
        <f t="shared" si="282"/>
        <v>0</v>
      </c>
      <c r="T980" s="86">
        <f t="shared" si="283"/>
        <v>14848.250000000002</v>
      </c>
      <c r="U980" s="87">
        <v>14848.250000000002</v>
      </c>
    </row>
    <row r="981" spans="1:21" s="30" customFormat="1" ht="24.6" hidden="1" outlineLevel="1" x14ac:dyDescent="0.55000000000000004">
      <c r="A981" s="27" t="s">
        <v>327</v>
      </c>
      <c r="B981" s="28"/>
      <c r="C981" s="27"/>
      <c r="D981" s="27" t="str">
        <f>"""NAV Direct"",""CRONUS JetCorp USA"",""21"",""1"",""310311"""</f>
        <v>"NAV Direct","CRONUS JetCorp USA","21","1","310311"</v>
      </c>
      <c r="E981" s="31">
        <f t="shared" si="276"/>
        <v>0</v>
      </c>
      <c r="F981" s="31"/>
      <c r="G981" s="31"/>
      <c r="H981" s="31"/>
      <c r="I981" s="56"/>
      <c r="J981" s="56"/>
      <c r="K981" s="82" t="str">
        <f t="shared" si="284"/>
        <v>Invoice</v>
      </c>
      <c r="L981" s="83" t="str">
        <f>"SI_109595"</f>
        <v>SI_109595</v>
      </c>
      <c r="M981" s="84">
        <v>43733</v>
      </c>
      <c r="N981" s="85">
        <f t="shared" si="277"/>
        <v>79</v>
      </c>
      <c r="O981" s="86">
        <f t="shared" si="278"/>
        <v>15175.98</v>
      </c>
      <c r="P981" s="86">
        <f t="shared" si="279"/>
        <v>0</v>
      </c>
      <c r="Q981" s="86">
        <f t="shared" si="280"/>
        <v>0</v>
      </c>
      <c r="R981" s="86">
        <f t="shared" si="281"/>
        <v>0</v>
      </c>
      <c r="S981" s="86">
        <f t="shared" si="282"/>
        <v>15175.98</v>
      </c>
      <c r="T981" s="86">
        <f t="shared" si="283"/>
        <v>0</v>
      </c>
      <c r="U981" s="87">
        <v>15175.98</v>
      </c>
    </row>
    <row r="982" spans="1:21" s="30" customFormat="1" ht="24.6" hidden="1" outlineLevel="1" x14ac:dyDescent="0.55000000000000004">
      <c r="A982" s="27" t="s">
        <v>327</v>
      </c>
      <c r="B982" s="28"/>
      <c r="C982" s="27"/>
      <c r="D982" s="27" t="str">
        <f>"""NAV Direct"",""CRONUS JetCorp USA"",""21"",""1"",""310355"""</f>
        <v>"NAV Direct","CRONUS JetCorp USA","21","1","310355"</v>
      </c>
      <c r="E982" s="31" t="str">
        <f t="shared" si="276"/>
        <v>C100037</v>
      </c>
      <c r="F982" s="31"/>
      <c r="G982" s="31"/>
      <c r="H982" s="31"/>
      <c r="I982" s="56"/>
      <c r="J982" s="56"/>
      <c r="K982" s="82" t="str">
        <f t="shared" si="284"/>
        <v>Invoice</v>
      </c>
      <c r="L982" s="83" t="str">
        <f>"SI_109597"</f>
        <v>SI_109597</v>
      </c>
      <c r="M982" s="84">
        <v>43733</v>
      </c>
      <c r="N982" s="85">
        <f t="shared" si="277"/>
        <v>79</v>
      </c>
      <c r="O982" s="86">
        <f t="shared" si="278"/>
        <v>15343.93</v>
      </c>
      <c r="P982" s="86">
        <f t="shared" si="279"/>
        <v>0</v>
      </c>
      <c r="Q982" s="86">
        <f t="shared" si="280"/>
        <v>0</v>
      </c>
      <c r="R982" s="86">
        <f t="shared" si="281"/>
        <v>0</v>
      </c>
      <c r="S982" s="86">
        <f t="shared" si="282"/>
        <v>15343.93</v>
      </c>
      <c r="T982" s="86">
        <f t="shared" si="283"/>
        <v>0</v>
      </c>
      <c r="U982" s="87">
        <v>15343.93</v>
      </c>
    </row>
    <row r="983" spans="1:21" s="30" customFormat="1" ht="24.6" hidden="1" outlineLevel="1" x14ac:dyDescent="0.55000000000000004">
      <c r="A983" s="27" t="s">
        <v>327</v>
      </c>
      <c r="B983" s="28"/>
      <c r="C983" s="27"/>
      <c r="D983" s="27" t="str">
        <f>"""NAV Direct"",""CRONUS JetCorp USA"",""21"",""1"",""310407"""</f>
        <v>"NAV Direct","CRONUS JetCorp USA","21","1","310407"</v>
      </c>
      <c r="E983" s="31">
        <f t="shared" si="276"/>
        <v>0</v>
      </c>
      <c r="F983" s="31"/>
      <c r="G983" s="31"/>
      <c r="H983" s="31"/>
      <c r="I983" s="56"/>
      <c r="J983" s="56"/>
      <c r="K983" s="82" t="str">
        <f t="shared" si="284"/>
        <v>Invoice</v>
      </c>
      <c r="L983" s="83" t="str">
        <f>"SI_109599"</f>
        <v>SI_109599</v>
      </c>
      <c r="M983" s="84">
        <v>43758</v>
      </c>
      <c r="N983" s="85">
        <f t="shared" si="277"/>
        <v>54</v>
      </c>
      <c r="O983" s="86">
        <f t="shared" si="278"/>
        <v>15621.250000000002</v>
      </c>
      <c r="P983" s="86">
        <f t="shared" si="279"/>
        <v>0</v>
      </c>
      <c r="Q983" s="86">
        <f t="shared" si="280"/>
        <v>0</v>
      </c>
      <c r="R983" s="86">
        <f t="shared" si="281"/>
        <v>15621.250000000002</v>
      </c>
      <c r="S983" s="86">
        <f t="shared" si="282"/>
        <v>0</v>
      </c>
      <c r="T983" s="86">
        <f t="shared" si="283"/>
        <v>0</v>
      </c>
      <c r="U983" s="87">
        <v>15621.250000000002</v>
      </c>
    </row>
    <row r="984" spans="1:21" s="30" customFormat="1" ht="24.6" hidden="1" outlineLevel="1" x14ac:dyDescent="0.55000000000000004">
      <c r="A984" s="27" t="s">
        <v>327</v>
      </c>
      <c r="B984" s="28"/>
      <c r="C984" s="27"/>
      <c r="D984" s="27" t="str">
        <f>"""NAV Direct"",""CRONUS JetCorp USA"",""21"",""1"",""310490"""</f>
        <v>"NAV Direct","CRONUS JetCorp USA","21","1","310490"</v>
      </c>
      <c r="E984" s="31" t="str">
        <f t="shared" si="276"/>
        <v>C100037</v>
      </c>
      <c r="F984" s="31"/>
      <c r="G984" s="31"/>
      <c r="H984" s="31"/>
      <c r="I984" s="56"/>
      <c r="J984" s="56"/>
      <c r="K984" s="82" t="str">
        <f t="shared" si="284"/>
        <v>Invoice</v>
      </c>
      <c r="L984" s="83" t="str">
        <f>"SI_109602"</f>
        <v>SI_109602</v>
      </c>
      <c r="M984" s="84">
        <v>43770</v>
      </c>
      <c r="N984" s="85">
        <f t="shared" si="277"/>
        <v>42</v>
      </c>
      <c r="O984" s="86">
        <f t="shared" si="278"/>
        <v>16650.82</v>
      </c>
      <c r="P984" s="86">
        <f t="shared" si="279"/>
        <v>0</v>
      </c>
      <c r="Q984" s="86">
        <f t="shared" si="280"/>
        <v>0</v>
      </c>
      <c r="R984" s="86">
        <f t="shared" si="281"/>
        <v>16650.82</v>
      </c>
      <c r="S984" s="86">
        <f t="shared" si="282"/>
        <v>0</v>
      </c>
      <c r="T984" s="86">
        <f t="shared" si="283"/>
        <v>0</v>
      </c>
      <c r="U984" s="87">
        <v>16650.82</v>
      </c>
    </row>
    <row r="985" spans="1:21" s="30" customFormat="1" ht="24.6" hidden="1" outlineLevel="1" x14ac:dyDescent="0.55000000000000004">
      <c r="A985" s="27" t="s">
        <v>327</v>
      </c>
      <c r="B985" s="28"/>
      <c r="C985" s="27"/>
      <c r="D985" s="27" t="str">
        <f>"""NAV Direct"",""CRONUS JetCorp USA"",""21"",""1"",""310521"""</f>
        <v>"NAV Direct","CRONUS JetCorp USA","21","1","310521"</v>
      </c>
      <c r="E985" s="31">
        <f t="shared" si="276"/>
        <v>0</v>
      </c>
      <c r="F985" s="31"/>
      <c r="G985" s="31"/>
      <c r="H985" s="31"/>
      <c r="I985" s="56"/>
      <c r="J985" s="56"/>
      <c r="K985" s="82" t="str">
        <f t="shared" si="284"/>
        <v>Invoice</v>
      </c>
      <c r="L985" s="83" t="str">
        <f>"SI_109603"</f>
        <v>SI_109603</v>
      </c>
      <c r="M985" s="84">
        <v>43771</v>
      </c>
      <c r="N985" s="85">
        <f t="shared" si="277"/>
        <v>41</v>
      </c>
      <c r="O985" s="86">
        <f t="shared" si="278"/>
        <v>15619.910000000002</v>
      </c>
      <c r="P985" s="86">
        <f t="shared" si="279"/>
        <v>0</v>
      </c>
      <c r="Q985" s="86">
        <f t="shared" si="280"/>
        <v>0</v>
      </c>
      <c r="R985" s="86">
        <f t="shared" si="281"/>
        <v>15619.910000000002</v>
      </c>
      <c r="S985" s="86">
        <f t="shared" si="282"/>
        <v>0</v>
      </c>
      <c r="T985" s="86">
        <f t="shared" si="283"/>
        <v>0</v>
      </c>
      <c r="U985" s="87">
        <v>15619.910000000002</v>
      </c>
    </row>
    <row r="986" spans="1:21" s="30" customFormat="1" ht="24.6" hidden="1" outlineLevel="1" x14ac:dyDescent="0.55000000000000004">
      <c r="A986" s="27" t="s">
        <v>327</v>
      </c>
      <c r="B986" s="28"/>
      <c r="C986" s="27"/>
      <c r="D986" s="27" t="str">
        <f>"""NAV Direct"",""CRONUS JetCorp USA"",""21"",""1"",""310598"""</f>
        <v>"NAV Direct","CRONUS JetCorp USA","21","1","310598"</v>
      </c>
      <c r="E986" s="31" t="str">
        <f t="shared" si="276"/>
        <v>C100037</v>
      </c>
      <c r="F986" s="31"/>
      <c r="G986" s="31"/>
      <c r="H986" s="31"/>
      <c r="I986" s="56"/>
      <c r="J986" s="56"/>
      <c r="K986" s="82" t="str">
        <f t="shared" si="284"/>
        <v>Invoice</v>
      </c>
      <c r="L986" s="83" t="str">
        <f>"SI_109606"</f>
        <v>SI_109606</v>
      </c>
      <c r="M986" s="84">
        <v>43794</v>
      </c>
      <c r="N986" s="85">
        <f t="shared" si="277"/>
        <v>18</v>
      </c>
      <c r="O986" s="86">
        <f t="shared" si="278"/>
        <v>16200.4</v>
      </c>
      <c r="P986" s="86">
        <f t="shared" si="279"/>
        <v>0</v>
      </c>
      <c r="Q986" s="86">
        <f t="shared" si="280"/>
        <v>16200.4</v>
      </c>
      <c r="R986" s="86">
        <f t="shared" si="281"/>
        <v>0</v>
      </c>
      <c r="S986" s="86">
        <f t="shared" si="282"/>
        <v>0</v>
      </c>
      <c r="T986" s="86">
        <f t="shared" si="283"/>
        <v>0</v>
      </c>
      <c r="U986" s="87">
        <v>16200.4</v>
      </c>
    </row>
    <row r="987" spans="1:21" s="30" customFormat="1" ht="24.6" hidden="1" outlineLevel="1" x14ac:dyDescent="0.55000000000000004">
      <c r="A987" s="27" t="s">
        <v>327</v>
      </c>
      <c r="B987" s="28"/>
      <c r="C987" s="27"/>
      <c r="D987" s="27" t="str">
        <f>"""NAV Direct"",""CRONUS JetCorp USA"",""21"",""1"",""310710"""</f>
        <v>"NAV Direct","CRONUS JetCorp USA","21","1","310710"</v>
      </c>
      <c r="E987" s="31">
        <f t="shared" si="276"/>
        <v>0</v>
      </c>
      <c r="F987" s="31"/>
      <c r="G987" s="31"/>
      <c r="H987" s="31"/>
      <c r="I987" s="56"/>
      <c r="J987" s="56"/>
      <c r="K987" s="82" t="str">
        <f t="shared" si="284"/>
        <v>Invoice</v>
      </c>
      <c r="L987" s="83" t="str">
        <f>"SI_109610"</f>
        <v>SI_109610</v>
      </c>
      <c r="M987" s="84">
        <v>43800</v>
      </c>
      <c r="N987" s="85">
        <f t="shared" si="277"/>
        <v>12</v>
      </c>
      <c r="O987" s="86">
        <f t="shared" si="278"/>
        <v>16372.91</v>
      </c>
      <c r="P987" s="86">
        <f t="shared" si="279"/>
        <v>0</v>
      </c>
      <c r="Q987" s="86">
        <f t="shared" si="280"/>
        <v>16372.91</v>
      </c>
      <c r="R987" s="86">
        <f t="shared" si="281"/>
        <v>0</v>
      </c>
      <c r="S987" s="86">
        <f t="shared" si="282"/>
        <v>0</v>
      </c>
      <c r="T987" s="86">
        <f t="shared" si="283"/>
        <v>0</v>
      </c>
      <c r="U987" s="87">
        <v>16372.91</v>
      </c>
    </row>
    <row r="988" spans="1:21" s="30" customFormat="1" ht="24.6" hidden="1" outlineLevel="1" x14ac:dyDescent="0.55000000000000004">
      <c r="A988" s="27" t="s">
        <v>327</v>
      </c>
      <c r="B988" s="28"/>
      <c r="C988" s="27"/>
      <c r="D988" s="27" t="str">
        <f>"""NAV Direct"",""CRONUS JetCorp USA"",""21"",""1"",""310764"""</f>
        <v>"NAV Direct","CRONUS JetCorp USA","21","1","310764"</v>
      </c>
      <c r="E988" s="31" t="str">
        <f t="shared" ref="E988:E1019" si="285">E986</f>
        <v>C100037</v>
      </c>
      <c r="F988" s="31"/>
      <c r="G988" s="31"/>
      <c r="H988" s="31"/>
      <c r="I988" s="56"/>
      <c r="J988" s="56"/>
      <c r="K988" s="82" t="str">
        <f t="shared" si="284"/>
        <v>Invoice</v>
      </c>
      <c r="L988" s="83" t="str">
        <f>"SI_109612"</f>
        <v>SI_109612</v>
      </c>
      <c r="M988" s="84">
        <v>43819</v>
      </c>
      <c r="N988" s="85">
        <f t="shared" ref="N988:N1024" si="286">StartDate-$M988+1</f>
        <v>-7</v>
      </c>
      <c r="O988" s="86">
        <f t="shared" ref="O988:O1019" si="287">SUM(P988:T988)</f>
        <v>16323.980000000001</v>
      </c>
      <c r="P988" s="86">
        <f t="shared" ref="P988:P1024" si="288">IF($M988&gt;=$P$18,U988,0)</f>
        <v>16323.980000000001</v>
      </c>
      <c r="Q988" s="86">
        <f t="shared" ref="Q988:Q1024" si="289">IF(AND($M988&gt;=$Q$16,$M988&lt;=$Q$18),U988,0)</f>
        <v>0</v>
      </c>
      <c r="R988" s="86">
        <f t="shared" ref="R988:R1024" si="290">IF(AND($M988&gt;=$R$16,$M988&lt;=$R$18),U988,0)</f>
        <v>0</v>
      </c>
      <c r="S988" s="86">
        <f t="shared" ref="S988:S1024" si="291">IF(AND($M988&gt;=$S$16,$M988&lt;=$S$18),U988,0)</f>
        <v>0</v>
      </c>
      <c r="T988" s="86">
        <f t="shared" ref="T988:T1019" si="292">IF($M988&lt;=$T$18,U988,0)</f>
        <v>0</v>
      </c>
      <c r="U988" s="87">
        <v>16323.980000000001</v>
      </c>
    </row>
    <row r="989" spans="1:21" s="30" customFormat="1" ht="24.6" hidden="1" outlineLevel="1" x14ac:dyDescent="0.55000000000000004">
      <c r="A989" s="27" t="s">
        <v>327</v>
      </c>
      <c r="B989" s="28"/>
      <c r="C989" s="27"/>
      <c r="D989" s="27" t="str">
        <f>"""NAV Direct"",""CRONUS JetCorp USA"",""21"",""1"",""310791"""</f>
        <v>"NAV Direct","CRONUS JetCorp USA","21","1","310791"</v>
      </c>
      <c r="E989" s="31">
        <f t="shared" si="285"/>
        <v>0</v>
      </c>
      <c r="F989" s="31"/>
      <c r="G989" s="31"/>
      <c r="H989" s="31"/>
      <c r="I989" s="56"/>
      <c r="J989" s="56"/>
      <c r="K989" s="82" t="str">
        <f t="shared" si="284"/>
        <v>Invoice</v>
      </c>
      <c r="L989" s="83" t="str">
        <f>"SI_109613"</f>
        <v>SI_109613</v>
      </c>
      <c r="M989" s="84">
        <v>43820</v>
      </c>
      <c r="N989" s="85">
        <f t="shared" si="286"/>
        <v>-8</v>
      </c>
      <c r="O989" s="86">
        <f t="shared" si="287"/>
        <v>15979.279999999999</v>
      </c>
      <c r="P989" s="86">
        <f t="shared" si="288"/>
        <v>15979.279999999999</v>
      </c>
      <c r="Q989" s="86">
        <f t="shared" si="289"/>
        <v>0</v>
      </c>
      <c r="R989" s="86">
        <f t="shared" si="290"/>
        <v>0</v>
      </c>
      <c r="S989" s="86">
        <f t="shared" si="291"/>
        <v>0</v>
      </c>
      <c r="T989" s="86">
        <f t="shared" si="292"/>
        <v>0</v>
      </c>
      <c r="U989" s="87">
        <v>15979.279999999999</v>
      </c>
    </row>
    <row r="990" spans="1:21" s="30" customFormat="1" ht="24.6" hidden="1" outlineLevel="1" x14ac:dyDescent="0.55000000000000004">
      <c r="A990" s="27" t="s">
        <v>327</v>
      </c>
      <c r="B990" s="28"/>
      <c r="C990" s="27"/>
      <c r="D990" s="27" t="str">
        <f>"""NAV Direct"",""CRONUS JetCorp USA"",""21"",""1"",""310822"""</f>
        <v>"NAV Direct","CRONUS JetCorp USA","21","1","310822"</v>
      </c>
      <c r="E990" s="31" t="str">
        <f t="shared" si="285"/>
        <v>C100037</v>
      </c>
      <c r="F990" s="31"/>
      <c r="G990" s="31"/>
      <c r="H990" s="31"/>
      <c r="I990" s="56"/>
      <c r="J990" s="56"/>
      <c r="K990" s="82" t="str">
        <f t="shared" si="284"/>
        <v>Invoice</v>
      </c>
      <c r="L990" s="83" t="str">
        <f>"SI_109614"</f>
        <v>SI_109614</v>
      </c>
      <c r="M990" s="84">
        <v>43823</v>
      </c>
      <c r="N990" s="85">
        <f t="shared" si="286"/>
        <v>-11</v>
      </c>
      <c r="O990" s="86">
        <f t="shared" si="287"/>
        <v>15807.81</v>
      </c>
      <c r="P990" s="86">
        <f t="shared" si="288"/>
        <v>15807.81</v>
      </c>
      <c r="Q990" s="86">
        <f t="shared" si="289"/>
        <v>0</v>
      </c>
      <c r="R990" s="86">
        <f t="shared" si="290"/>
        <v>0</v>
      </c>
      <c r="S990" s="86">
        <f t="shared" si="291"/>
        <v>0</v>
      </c>
      <c r="T990" s="86">
        <f t="shared" si="292"/>
        <v>0</v>
      </c>
      <c r="U990" s="87">
        <v>15807.81</v>
      </c>
    </row>
    <row r="991" spans="1:21" s="30" customFormat="1" ht="24.6" hidden="1" outlineLevel="1" x14ac:dyDescent="0.55000000000000004">
      <c r="A991" s="27" t="s">
        <v>327</v>
      </c>
      <c r="B991" s="28"/>
      <c r="C991" s="27"/>
      <c r="D991" s="27" t="str">
        <f>"""NAV Direct"",""CRONUS JetCorp USA"",""21"",""1"",""311017"""</f>
        <v>"NAV Direct","CRONUS JetCorp USA","21","1","311017"</v>
      </c>
      <c r="E991" s="31">
        <f t="shared" si="285"/>
        <v>0</v>
      </c>
      <c r="F991" s="31"/>
      <c r="G991" s="31"/>
      <c r="H991" s="31"/>
      <c r="I991" s="56"/>
      <c r="J991" s="56"/>
      <c r="K991" s="82" t="str">
        <f t="shared" si="284"/>
        <v>Invoice</v>
      </c>
      <c r="L991" s="83" t="str">
        <f>"SI_109621"</f>
        <v>SI_109621</v>
      </c>
      <c r="M991" s="84">
        <v>42026</v>
      </c>
      <c r="N991" s="85">
        <f t="shared" si="286"/>
        <v>1786</v>
      </c>
      <c r="O991" s="86">
        <f t="shared" si="287"/>
        <v>16535.759999999998</v>
      </c>
      <c r="P991" s="86">
        <f t="shared" si="288"/>
        <v>0</v>
      </c>
      <c r="Q991" s="86">
        <f t="shared" si="289"/>
        <v>0</v>
      </c>
      <c r="R991" s="86">
        <f t="shared" si="290"/>
        <v>0</v>
      </c>
      <c r="S991" s="86">
        <f t="shared" si="291"/>
        <v>0</v>
      </c>
      <c r="T991" s="86">
        <f t="shared" si="292"/>
        <v>16535.759999999998</v>
      </c>
      <c r="U991" s="87">
        <v>16535.759999999998</v>
      </c>
    </row>
    <row r="992" spans="1:21" s="30" customFormat="1" ht="24.6" hidden="1" outlineLevel="1" x14ac:dyDescent="0.55000000000000004">
      <c r="A992" s="27" t="s">
        <v>327</v>
      </c>
      <c r="B992" s="28"/>
      <c r="C992" s="27"/>
      <c r="D992" s="27" t="str">
        <f>"""NAV Direct"",""CRONUS JetCorp USA"",""21"",""1"",""311538"""</f>
        <v>"NAV Direct","CRONUS JetCorp USA","21","1","311538"</v>
      </c>
      <c r="E992" s="31" t="str">
        <f t="shared" si="285"/>
        <v>C100037</v>
      </c>
      <c r="F992" s="31"/>
      <c r="G992" s="31"/>
      <c r="H992" s="31"/>
      <c r="I992" s="56"/>
      <c r="J992" s="56"/>
      <c r="K992" s="82" t="str">
        <f t="shared" si="284"/>
        <v>Invoice</v>
      </c>
      <c r="L992" s="83" t="str">
        <f>"SI_109640"</f>
        <v>SI_109640</v>
      </c>
      <c r="M992" s="84">
        <v>42117</v>
      </c>
      <c r="N992" s="85">
        <f t="shared" si="286"/>
        <v>1695</v>
      </c>
      <c r="O992" s="86">
        <f t="shared" si="287"/>
        <v>17255.37</v>
      </c>
      <c r="P992" s="86">
        <f t="shared" si="288"/>
        <v>0</v>
      </c>
      <c r="Q992" s="86">
        <f t="shared" si="289"/>
        <v>0</v>
      </c>
      <c r="R992" s="86">
        <f t="shared" si="290"/>
        <v>0</v>
      </c>
      <c r="S992" s="86">
        <f t="shared" si="291"/>
        <v>0</v>
      </c>
      <c r="T992" s="86">
        <f t="shared" si="292"/>
        <v>17255.37</v>
      </c>
      <c r="U992" s="87">
        <v>17255.37</v>
      </c>
    </row>
    <row r="993" spans="1:21" s="30" customFormat="1" ht="24.6" hidden="1" outlineLevel="1" x14ac:dyDescent="0.55000000000000004">
      <c r="A993" s="27" t="s">
        <v>327</v>
      </c>
      <c r="B993" s="28"/>
      <c r="C993" s="27"/>
      <c r="D993" s="27" t="str">
        <f>"""NAV Direct"",""CRONUS JetCorp USA"",""21"",""1"",""311658"""</f>
        <v>"NAV Direct","CRONUS JetCorp USA","21","1","311658"</v>
      </c>
      <c r="E993" s="31">
        <f t="shared" si="285"/>
        <v>0</v>
      </c>
      <c r="F993" s="31"/>
      <c r="G993" s="31"/>
      <c r="H993" s="31"/>
      <c r="I993" s="56"/>
      <c r="J993" s="56"/>
      <c r="K993" s="82" t="str">
        <f t="shared" si="284"/>
        <v>Invoice</v>
      </c>
      <c r="L993" s="83" t="str">
        <f>"SI_109644"</f>
        <v>SI_109644</v>
      </c>
      <c r="M993" s="84">
        <v>42122</v>
      </c>
      <c r="N993" s="85">
        <f t="shared" si="286"/>
        <v>1690</v>
      </c>
      <c r="O993" s="86">
        <f t="shared" si="287"/>
        <v>16898.759999999998</v>
      </c>
      <c r="P993" s="86">
        <f t="shared" si="288"/>
        <v>0</v>
      </c>
      <c r="Q993" s="86">
        <f t="shared" si="289"/>
        <v>0</v>
      </c>
      <c r="R993" s="86">
        <f t="shared" si="290"/>
        <v>0</v>
      </c>
      <c r="S993" s="86">
        <f t="shared" si="291"/>
        <v>0</v>
      </c>
      <c r="T993" s="86">
        <f t="shared" si="292"/>
        <v>16898.759999999998</v>
      </c>
      <c r="U993" s="87">
        <v>16898.759999999998</v>
      </c>
    </row>
    <row r="994" spans="1:21" s="30" customFormat="1" ht="24.6" hidden="1" outlineLevel="1" x14ac:dyDescent="0.55000000000000004">
      <c r="A994" s="27" t="s">
        <v>327</v>
      </c>
      <c r="B994" s="28"/>
      <c r="C994" s="27"/>
      <c r="D994" s="27" t="str">
        <f>"""NAV Direct"",""CRONUS JetCorp USA"",""21"",""1"",""311801"""</f>
        <v>"NAV Direct","CRONUS JetCorp USA","21","1","311801"</v>
      </c>
      <c r="E994" s="31" t="str">
        <f t="shared" si="285"/>
        <v>C100037</v>
      </c>
      <c r="F994" s="31"/>
      <c r="G994" s="31"/>
      <c r="H994" s="31"/>
      <c r="I994" s="56"/>
      <c r="J994" s="56"/>
      <c r="K994" s="82" t="str">
        <f t="shared" si="284"/>
        <v>Invoice</v>
      </c>
      <c r="L994" s="83" t="str">
        <f>"SI_109649"</f>
        <v>SI_109649</v>
      </c>
      <c r="M994" s="84">
        <v>42148</v>
      </c>
      <c r="N994" s="85">
        <f t="shared" si="286"/>
        <v>1664</v>
      </c>
      <c r="O994" s="86">
        <f t="shared" si="287"/>
        <v>16898.649999999998</v>
      </c>
      <c r="P994" s="86">
        <f t="shared" si="288"/>
        <v>0</v>
      </c>
      <c r="Q994" s="86">
        <f t="shared" si="289"/>
        <v>0</v>
      </c>
      <c r="R994" s="86">
        <f t="shared" si="290"/>
        <v>0</v>
      </c>
      <c r="S994" s="86">
        <f t="shared" si="291"/>
        <v>0</v>
      </c>
      <c r="T994" s="86">
        <f t="shared" si="292"/>
        <v>16898.649999999998</v>
      </c>
      <c r="U994" s="87">
        <v>16898.649999999998</v>
      </c>
    </row>
    <row r="995" spans="1:21" s="30" customFormat="1" ht="24.6" hidden="1" outlineLevel="1" x14ac:dyDescent="0.55000000000000004">
      <c r="A995" s="27" t="s">
        <v>327</v>
      </c>
      <c r="B995" s="28"/>
      <c r="C995" s="27"/>
      <c r="D995" s="27" t="str">
        <f>"""NAV Direct"",""CRONUS JetCorp USA"",""21"",""1"",""311928"""</f>
        <v>"NAV Direct","CRONUS JetCorp USA","21","1","311928"</v>
      </c>
      <c r="E995" s="31">
        <f t="shared" si="285"/>
        <v>0</v>
      </c>
      <c r="F995" s="31"/>
      <c r="G995" s="31"/>
      <c r="H995" s="31"/>
      <c r="I995" s="56"/>
      <c r="J995" s="56"/>
      <c r="K995" s="82" t="str">
        <f t="shared" ref="K995:K1009" si="293">"Invoice"</f>
        <v>Invoice</v>
      </c>
      <c r="L995" s="83" t="str">
        <f>"SI_109654"</f>
        <v>SI_109654</v>
      </c>
      <c r="M995" s="84">
        <v>42174</v>
      </c>
      <c r="N995" s="85">
        <f t="shared" si="286"/>
        <v>1638</v>
      </c>
      <c r="O995" s="86">
        <f t="shared" si="287"/>
        <v>17433.75</v>
      </c>
      <c r="P995" s="86">
        <f t="shared" si="288"/>
        <v>0</v>
      </c>
      <c r="Q995" s="86">
        <f t="shared" si="289"/>
        <v>0</v>
      </c>
      <c r="R995" s="86">
        <f t="shared" si="290"/>
        <v>0</v>
      </c>
      <c r="S995" s="86">
        <f t="shared" si="291"/>
        <v>0</v>
      </c>
      <c r="T995" s="86">
        <f t="shared" si="292"/>
        <v>17433.75</v>
      </c>
      <c r="U995" s="87">
        <v>17433.75</v>
      </c>
    </row>
    <row r="996" spans="1:21" s="30" customFormat="1" ht="24.6" hidden="1" outlineLevel="1" x14ac:dyDescent="0.55000000000000004">
      <c r="A996" s="27" t="s">
        <v>327</v>
      </c>
      <c r="B996" s="28"/>
      <c r="C996" s="27"/>
      <c r="D996" s="27" t="str">
        <f>"""NAV Direct"",""CRONUS JetCorp USA"",""21"",""1"",""311974"""</f>
        <v>"NAV Direct","CRONUS JetCorp USA","21","1","311974"</v>
      </c>
      <c r="E996" s="31" t="str">
        <f t="shared" si="285"/>
        <v>C100037</v>
      </c>
      <c r="F996" s="31"/>
      <c r="G996" s="31"/>
      <c r="H996" s="31"/>
      <c r="I996" s="56"/>
      <c r="J996" s="56"/>
      <c r="K996" s="82" t="str">
        <f t="shared" si="293"/>
        <v>Invoice</v>
      </c>
      <c r="L996" s="83" t="str">
        <f>"SI_109656"</f>
        <v>SI_109656</v>
      </c>
      <c r="M996" s="84">
        <v>42178</v>
      </c>
      <c r="N996" s="85">
        <f t="shared" si="286"/>
        <v>1634</v>
      </c>
      <c r="O996" s="86">
        <f t="shared" si="287"/>
        <v>17432.57</v>
      </c>
      <c r="P996" s="86">
        <f t="shared" si="288"/>
        <v>0</v>
      </c>
      <c r="Q996" s="86">
        <f t="shared" si="289"/>
        <v>0</v>
      </c>
      <c r="R996" s="86">
        <f t="shared" si="290"/>
        <v>0</v>
      </c>
      <c r="S996" s="86">
        <f t="shared" si="291"/>
        <v>0</v>
      </c>
      <c r="T996" s="86">
        <f t="shared" si="292"/>
        <v>17432.57</v>
      </c>
      <c r="U996" s="87">
        <v>17432.57</v>
      </c>
    </row>
    <row r="997" spans="1:21" s="30" customFormat="1" ht="24.6" hidden="1" outlineLevel="1" x14ac:dyDescent="0.55000000000000004">
      <c r="A997" s="27" t="s">
        <v>327</v>
      </c>
      <c r="B997" s="28"/>
      <c r="C997" s="27"/>
      <c r="D997" s="27" t="str">
        <f>"""NAV Direct"",""CRONUS JetCorp USA"",""21"",""1"",""312032"""</f>
        <v>"NAV Direct","CRONUS JetCorp USA","21","1","312032"</v>
      </c>
      <c r="E997" s="31">
        <f t="shared" si="285"/>
        <v>0</v>
      </c>
      <c r="F997" s="31"/>
      <c r="G997" s="31"/>
      <c r="H997" s="31"/>
      <c r="I997" s="56"/>
      <c r="J997" s="56"/>
      <c r="K997" s="82" t="str">
        <f t="shared" si="293"/>
        <v>Invoice</v>
      </c>
      <c r="L997" s="83" t="str">
        <f>"SI_109658"</f>
        <v>SI_109658</v>
      </c>
      <c r="M997" s="84">
        <v>42178</v>
      </c>
      <c r="N997" s="85">
        <f t="shared" si="286"/>
        <v>1634</v>
      </c>
      <c r="O997" s="86">
        <f t="shared" si="287"/>
        <v>16365.810000000001</v>
      </c>
      <c r="P997" s="86">
        <f t="shared" si="288"/>
        <v>0</v>
      </c>
      <c r="Q997" s="86">
        <f t="shared" si="289"/>
        <v>0</v>
      </c>
      <c r="R997" s="86">
        <f t="shared" si="290"/>
        <v>0</v>
      </c>
      <c r="S997" s="86">
        <f t="shared" si="291"/>
        <v>0</v>
      </c>
      <c r="T997" s="86">
        <f t="shared" si="292"/>
        <v>16365.810000000001</v>
      </c>
      <c r="U997" s="87">
        <v>16365.810000000001</v>
      </c>
    </row>
    <row r="998" spans="1:21" s="30" customFormat="1" ht="24.6" hidden="1" outlineLevel="1" x14ac:dyDescent="0.55000000000000004">
      <c r="A998" s="27" t="s">
        <v>327</v>
      </c>
      <c r="B998" s="28"/>
      <c r="C998" s="27"/>
      <c r="D998" s="27" t="str">
        <f>"""NAV Direct"",""CRONUS JetCorp USA"",""21"",""1"",""312078"""</f>
        <v>"NAV Direct","CRONUS JetCorp USA","21","1","312078"</v>
      </c>
      <c r="E998" s="31" t="str">
        <f t="shared" si="285"/>
        <v>C100037</v>
      </c>
      <c r="F998" s="31"/>
      <c r="G998" s="31"/>
      <c r="H998" s="31"/>
      <c r="I998" s="56"/>
      <c r="J998" s="56"/>
      <c r="K998" s="82" t="str">
        <f t="shared" si="293"/>
        <v>Invoice</v>
      </c>
      <c r="L998" s="83" t="str">
        <f>"SI_109660"</f>
        <v>SI_109660</v>
      </c>
      <c r="M998" s="84">
        <v>42183</v>
      </c>
      <c r="N998" s="85">
        <f t="shared" si="286"/>
        <v>1629</v>
      </c>
      <c r="O998" s="86">
        <f t="shared" si="287"/>
        <v>16721.390000000003</v>
      </c>
      <c r="P998" s="86">
        <f t="shared" si="288"/>
        <v>0</v>
      </c>
      <c r="Q998" s="86">
        <f t="shared" si="289"/>
        <v>0</v>
      </c>
      <c r="R998" s="86">
        <f t="shared" si="290"/>
        <v>0</v>
      </c>
      <c r="S998" s="86">
        <f t="shared" si="291"/>
        <v>0</v>
      </c>
      <c r="T998" s="86">
        <f t="shared" si="292"/>
        <v>16721.390000000003</v>
      </c>
      <c r="U998" s="87">
        <v>16721.390000000003</v>
      </c>
    </row>
    <row r="999" spans="1:21" s="30" customFormat="1" ht="24.6" hidden="1" outlineLevel="1" x14ac:dyDescent="0.55000000000000004">
      <c r="A999" s="27" t="s">
        <v>327</v>
      </c>
      <c r="B999" s="28"/>
      <c r="C999" s="27"/>
      <c r="D999" s="27" t="str">
        <f>"""NAV Direct"",""CRONUS JetCorp USA"",""21"",""1"",""312240"""</f>
        <v>"NAV Direct","CRONUS JetCorp USA","21","1","312240"</v>
      </c>
      <c r="E999" s="31">
        <f t="shared" si="285"/>
        <v>0</v>
      </c>
      <c r="F999" s="31"/>
      <c r="G999" s="31"/>
      <c r="H999" s="31"/>
      <c r="I999" s="56"/>
      <c r="J999" s="56"/>
      <c r="K999" s="82" t="str">
        <f t="shared" si="293"/>
        <v>Invoice</v>
      </c>
      <c r="L999" s="83" t="str">
        <f>"SI_109666"</f>
        <v>SI_109666</v>
      </c>
      <c r="M999" s="84">
        <v>42209</v>
      </c>
      <c r="N999" s="85">
        <f t="shared" si="286"/>
        <v>1603</v>
      </c>
      <c r="O999" s="86">
        <f t="shared" si="287"/>
        <v>17255.98</v>
      </c>
      <c r="P999" s="86">
        <f t="shared" si="288"/>
        <v>0</v>
      </c>
      <c r="Q999" s="86">
        <f t="shared" si="289"/>
        <v>0</v>
      </c>
      <c r="R999" s="86">
        <f t="shared" si="290"/>
        <v>0</v>
      </c>
      <c r="S999" s="86">
        <f t="shared" si="291"/>
        <v>0</v>
      </c>
      <c r="T999" s="86">
        <f t="shared" si="292"/>
        <v>17255.98</v>
      </c>
      <c r="U999" s="87">
        <v>17255.98</v>
      </c>
    </row>
    <row r="1000" spans="1:21" s="30" customFormat="1" ht="24.6" hidden="1" outlineLevel="1" x14ac:dyDescent="0.55000000000000004">
      <c r="A1000" s="27" t="s">
        <v>327</v>
      </c>
      <c r="B1000" s="28"/>
      <c r="C1000" s="27"/>
      <c r="D1000" s="27" t="str">
        <f>"""NAV Direct"",""CRONUS JetCorp USA"",""21"",""1"",""312302"""</f>
        <v>"NAV Direct","CRONUS JetCorp USA","21","1","312302"</v>
      </c>
      <c r="E1000" s="31" t="str">
        <f t="shared" si="285"/>
        <v>C100037</v>
      </c>
      <c r="F1000" s="31"/>
      <c r="G1000" s="31"/>
      <c r="H1000" s="31"/>
      <c r="I1000" s="56"/>
      <c r="J1000" s="56"/>
      <c r="K1000" s="82" t="str">
        <f t="shared" si="293"/>
        <v>Invoice</v>
      </c>
      <c r="L1000" s="83" t="str">
        <f>"SI_109668"</f>
        <v>SI_109668</v>
      </c>
      <c r="M1000" s="84">
        <v>42220</v>
      </c>
      <c r="N1000" s="85">
        <f t="shared" si="286"/>
        <v>1592</v>
      </c>
      <c r="O1000" s="86">
        <f t="shared" si="287"/>
        <v>16721.96</v>
      </c>
      <c r="P1000" s="86">
        <f t="shared" si="288"/>
        <v>0</v>
      </c>
      <c r="Q1000" s="86">
        <f t="shared" si="289"/>
        <v>0</v>
      </c>
      <c r="R1000" s="86">
        <f t="shared" si="290"/>
        <v>0</v>
      </c>
      <c r="S1000" s="86">
        <f t="shared" si="291"/>
        <v>0</v>
      </c>
      <c r="T1000" s="86">
        <f t="shared" si="292"/>
        <v>16721.96</v>
      </c>
      <c r="U1000" s="87">
        <v>16721.96</v>
      </c>
    </row>
    <row r="1001" spans="1:21" s="30" customFormat="1" ht="24.6" hidden="1" outlineLevel="1" x14ac:dyDescent="0.55000000000000004">
      <c r="A1001" s="27" t="s">
        <v>327</v>
      </c>
      <c r="B1001" s="28"/>
      <c r="C1001" s="27"/>
      <c r="D1001" s="27" t="str">
        <f>"""NAV Direct"",""CRONUS JetCorp USA"",""21"",""1"",""312370"""</f>
        <v>"NAV Direct","CRONUS JetCorp USA","21","1","312370"</v>
      </c>
      <c r="E1001" s="31">
        <f t="shared" si="285"/>
        <v>0</v>
      </c>
      <c r="F1001" s="31"/>
      <c r="G1001" s="31"/>
      <c r="H1001" s="31"/>
      <c r="I1001" s="56"/>
      <c r="J1001" s="56"/>
      <c r="K1001" s="82" t="str">
        <f t="shared" si="293"/>
        <v>Invoice</v>
      </c>
      <c r="L1001" s="83" t="str">
        <f>"SI_109670"</f>
        <v>SI_109670</v>
      </c>
      <c r="M1001" s="84">
        <v>42221</v>
      </c>
      <c r="N1001" s="85">
        <f t="shared" si="286"/>
        <v>1591</v>
      </c>
      <c r="O1001" s="86">
        <f t="shared" si="287"/>
        <v>17432.32</v>
      </c>
      <c r="P1001" s="86">
        <f t="shared" si="288"/>
        <v>0</v>
      </c>
      <c r="Q1001" s="86">
        <f t="shared" si="289"/>
        <v>0</v>
      </c>
      <c r="R1001" s="86">
        <f t="shared" si="290"/>
        <v>0</v>
      </c>
      <c r="S1001" s="86">
        <f t="shared" si="291"/>
        <v>0</v>
      </c>
      <c r="T1001" s="86">
        <f t="shared" si="292"/>
        <v>17432.32</v>
      </c>
      <c r="U1001" s="87">
        <v>17432.32</v>
      </c>
    </row>
    <row r="1002" spans="1:21" s="30" customFormat="1" ht="24.6" hidden="1" outlineLevel="1" x14ac:dyDescent="0.55000000000000004">
      <c r="A1002" s="27" t="s">
        <v>327</v>
      </c>
      <c r="B1002" s="28"/>
      <c r="C1002" s="27"/>
      <c r="D1002" s="27" t="str">
        <f>"""NAV Direct"",""CRONUS JetCorp USA"",""21"",""1"",""312523"""</f>
        <v>"NAV Direct","CRONUS JetCorp USA","21","1","312523"</v>
      </c>
      <c r="E1002" s="31" t="str">
        <f t="shared" si="285"/>
        <v>C100037</v>
      </c>
      <c r="F1002" s="31"/>
      <c r="G1002" s="31"/>
      <c r="H1002" s="31"/>
      <c r="I1002" s="56"/>
      <c r="J1002" s="56"/>
      <c r="K1002" s="82" t="str">
        <f t="shared" si="293"/>
        <v>Invoice</v>
      </c>
      <c r="L1002" s="83" t="str">
        <f>"SI_109675"</f>
        <v>SI_109675</v>
      </c>
      <c r="M1002" s="84">
        <v>42249</v>
      </c>
      <c r="N1002" s="85">
        <f t="shared" si="286"/>
        <v>1563</v>
      </c>
      <c r="O1002" s="86">
        <f t="shared" si="287"/>
        <v>16722.03</v>
      </c>
      <c r="P1002" s="86">
        <f t="shared" si="288"/>
        <v>0</v>
      </c>
      <c r="Q1002" s="86">
        <f t="shared" si="289"/>
        <v>0</v>
      </c>
      <c r="R1002" s="86">
        <f t="shared" si="290"/>
        <v>0</v>
      </c>
      <c r="S1002" s="86">
        <f t="shared" si="291"/>
        <v>0</v>
      </c>
      <c r="T1002" s="86">
        <f t="shared" si="292"/>
        <v>16722.03</v>
      </c>
      <c r="U1002" s="87">
        <v>16722.03</v>
      </c>
    </row>
    <row r="1003" spans="1:21" s="30" customFormat="1" ht="24.6" hidden="1" outlineLevel="1" x14ac:dyDescent="0.55000000000000004">
      <c r="A1003" s="27" t="s">
        <v>327</v>
      </c>
      <c r="B1003" s="28"/>
      <c r="C1003" s="27"/>
      <c r="D1003" s="27" t="str">
        <f>"""NAV Direct"",""CRONUS JetCorp USA"",""21"",""1"",""312604"""</f>
        <v>"NAV Direct","CRONUS JetCorp USA","21","1","312604"</v>
      </c>
      <c r="E1003" s="31">
        <f t="shared" si="285"/>
        <v>0</v>
      </c>
      <c r="F1003" s="31"/>
      <c r="G1003" s="31"/>
      <c r="H1003" s="31"/>
      <c r="I1003" s="56"/>
      <c r="J1003" s="56"/>
      <c r="K1003" s="82" t="str">
        <f t="shared" si="293"/>
        <v>Invoice</v>
      </c>
      <c r="L1003" s="83" t="str">
        <f>"SI_109678"</f>
        <v>SI_109678</v>
      </c>
      <c r="M1003" s="84">
        <v>42273</v>
      </c>
      <c r="N1003" s="85">
        <f t="shared" si="286"/>
        <v>1539</v>
      </c>
      <c r="O1003" s="86">
        <f t="shared" si="287"/>
        <v>16899.63</v>
      </c>
      <c r="P1003" s="86">
        <f t="shared" si="288"/>
        <v>0</v>
      </c>
      <c r="Q1003" s="86">
        <f t="shared" si="289"/>
        <v>0</v>
      </c>
      <c r="R1003" s="86">
        <f t="shared" si="290"/>
        <v>0</v>
      </c>
      <c r="S1003" s="86">
        <f t="shared" si="291"/>
        <v>0</v>
      </c>
      <c r="T1003" s="86">
        <f t="shared" si="292"/>
        <v>16899.63</v>
      </c>
      <c r="U1003" s="87">
        <v>16899.63</v>
      </c>
    </row>
    <row r="1004" spans="1:21" s="30" customFormat="1" ht="24.6" hidden="1" outlineLevel="1" x14ac:dyDescent="0.55000000000000004">
      <c r="A1004" s="27" t="s">
        <v>327</v>
      </c>
      <c r="B1004" s="28"/>
      <c r="C1004" s="27"/>
      <c r="D1004" s="27" t="str">
        <f>"""NAV Direct"",""CRONUS JetCorp USA"",""21"",""1"",""312739"""</f>
        <v>"NAV Direct","CRONUS JetCorp USA","21","1","312739"</v>
      </c>
      <c r="E1004" s="31" t="str">
        <f t="shared" si="285"/>
        <v>C100037</v>
      </c>
      <c r="F1004" s="31"/>
      <c r="G1004" s="31"/>
      <c r="H1004" s="31"/>
      <c r="I1004" s="56"/>
      <c r="J1004" s="56"/>
      <c r="K1004" s="82" t="str">
        <f t="shared" si="293"/>
        <v>Invoice</v>
      </c>
      <c r="L1004" s="83" t="str">
        <f>"SI_109683"</f>
        <v>SI_109683</v>
      </c>
      <c r="M1004" s="84">
        <v>42296</v>
      </c>
      <c r="N1004" s="85">
        <f t="shared" si="286"/>
        <v>1516</v>
      </c>
      <c r="O1004" s="86">
        <f t="shared" si="287"/>
        <v>17433.13</v>
      </c>
      <c r="P1004" s="86">
        <f t="shared" si="288"/>
        <v>0</v>
      </c>
      <c r="Q1004" s="86">
        <f t="shared" si="289"/>
        <v>0</v>
      </c>
      <c r="R1004" s="86">
        <f t="shared" si="290"/>
        <v>0</v>
      </c>
      <c r="S1004" s="86">
        <f t="shared" si="291"/>
        <v>0</v>
      </c>
      <c r="T1004" s="86">
        <f t="shared" si="292"/>
        <v>17433.13</v>
      </c>
      <c r="U1004" s="87">
        <v>17433.13</v>
      </c>
    </row>
    <row r="1005" spans="1:21" s="30" customFormat="1" ht="24.6" hidden="1" outlineLevel="1" x14ac:dyDescent="0.55000000000000004">
      <c r="A1005" s="27" t="s">
        <v>327</v>
      </c>
      <c r="B1005" s="28"/>
      <c r="C1005" s="27"/>
      <c r="D1005" s="27" t="str">
        <f>"""NAV Direct"",""CRONUS JetCorp USA"",""21"",""1"",""312843"""</f>
        <v>"NAV Direct","CRONUS JetCorp USA","21","1","312843"</v>
      </c>
      <c r="E1005" s="31">
        <f t="shared" si="285"/>
        <v>0</v>
      </c>
      <c r="F1005" s="31"/>
      <c r="G1005" s="31"/>
      <c r="H1005" s="31"/>
      <c r="I1005" s="56"/>
      <c r="J1005" s="56"/>
      <c r="K1005" s="82" t="str">
        <f t="shared" si="293"/>
        <v>Invoice</v>
      </c>
      <c r="L1005" s="83" t="str">
        <f>"SI_109687"</f>
        <v>SI_109687</v>
      </c>
      <c r="M1005" s="84">
        <v>42305</v>
      </c>
      <c r="N1005" s="85">
        <f t="shared" si="286"/>
        <v>1507</v>
      </c>
      <c r="O1005" s="86">
        <f t="shared" si="287"/>
        <v>17432.62</v>
      </c>
      <c r="P1005" s="86">
        <f t="shared" si="288"/>
        <v>0</v>
      </c>
      <c r="Q1005" s="86">
        <f t="shared" si="289"/>
        <v>0</v>
      </c>
      <c r="R1005" s="86">
        <f t="shared" si="290"/>
        <v>0</v>
      </c>
      <c r="S1005" s="86">
        <f t="shared" si="291"/>
        <v>0</v>
      </c>
      <c r="T1005" s="86">
        <f t="shared" si="292"/>
        <v>17432.62</v>
      </c>
      <c r="U1005" s="87">
        <v>17432.62</v>
      </c>
    </row>
    <row r="1006" spans="1:21" s="30" customFormat="1" ht="24.6" hidden="1" outlineLevel="1" x14ac:dyDescent="0.55000000000000004">
      <c r="A1006" s="27" t="s">
        <v>327</v>
      </c>
      <c r="B1006" s="28"/>
      <c r="C1006" s="27"/>
      <c r="D1006" s="27" t="str">
        <f>"""NAV Direct"",""CRONUS JetCorp USA"",""21"",""1"",""312986"""</f>
        <v>"NAV Direct","CRONUS JetCorp USA","21","1","312986"</v>
      </c>
      <c r="E1006" s="31" t="str">
        <f t="shared" si="285"/>
        <v>C100037</v>
      </c>
      <c r="F1006" s="31"/>
      <c r="G1006" s="31"/>
      <c r="H1006" s="31"/>
      <c r="I1006" s="56"/>
      <c r="J1006" s="56"/>
      <c r="K1006" s="82" t="str">
        <f t="shared" si="293"/>
        <v>Invoice</v>
      </c>
      <c r="L1006" s="83" t="str">
        <f>"SI_109692"</f>
        <v>SI_109692</v>
      </c>
      <c r="M1006" s="84">
        <v>42324</v>
      </c>
      <c r="N1006" s="85">
        <f t="shared" si="286"/>
        <v>1488</v>
      </c>
      <c r="O1006" s="86">
        <f t="shared" si="287"/>
        <v>16543.350000000002</v>
      </c>
      <c r="P1006" s="86">
        <f t="shared" si="288"/>
        <v>0</v>
      </c>
      <c r="Q1006" s="86">
        <f t="shared" si="289"/>
        <v>0</v>
      </c>
      <c r="R1006" s="86">
        <f t="shared" si="290"/>
        <v>0</v>
      </c>
      <c r="S1006" s="86">
        <f t="shared" si="291"/>
        <v>0</v>
      </c>
      <c r="T1006" s="86">
        <f t="shared" si="292"/>
        <v>16543.350000000002</v>
      </c>
      <c r="U1006" s="87">
        <v>16543.350000000002</v>
      </c>
    </row>
    <row r="1007" spans="1:21" s="30" customFormat="1" ht="24.6" hidden="1" outlineLevel="1" x14ac:dyDescent="0.55000000000000004">
      <c r="A1007" s="27" t="s">
        <v>327</v>
      </c>
      <c r="B1007" s="28"/>
      <c r="C1007" s="27"/>
      <c r="D1007" s="27" t="str">
        <f>"""NAV Direct"",""CRONUS JetCorp USA"",""21"",""1"",""313088"""</f>
        <v>"NAV Direct","CRONUS JetCorp USA","21","1","313088"</v>
      </c>
      <c r="E1007" s="31">
        <f t="shared" si="285"/>
        <v>0</v>
      </c>
      <c r="F1007" s="31"/>
      <c r="G1007" s="31"/>
      <c r="H1007" s="31"/>
      <c r="I1007" s="56"/>
      <c r="J1007" s="56"/>
      <c r="K1007" s="82" t="str">
        <f t="shared" si="293"/>
        <v>Invoice</v>
      </c>
      <c r="L1007" s="83" t="str">
        <f>"SI_109696"</f>
        <v>SI_109696</v>
      </c>
      <c r="M1007" s="84">
        <v>42334</v>
      </c>
      <c r="N1007" s="85">
        <f t="shared" si="286"/>
        <v>1478</v>
      </c>
      <c r="O1007" s="86">
        <f t="shared" si="287"/>
        <v>16721.82</v>
      </c>
      <c r="P1007" s="86">
        <f t="shared" si="288"/>
        <v>0</v>
      </c>
      <c r="Q1007" s="86">
        <f t="shared" si="289"/>
        <v>0</v>
      </c>
      <c r="R1007" s="86">
        <f t="shared" si="290"/>
        <v>0</v>
      </c>
      <c r="S1007" s="86">
        <f t="shared" si="291"/>
        <v>0</v>
      </c>
      <c r="T1007" s="86">
        <f t="shared" si="292"/>
        <v>16721.82</v>
      </c>
      <c r="U1007" s="87">
        <v>16721.82</v>
      </c>
    </row>
    <row r="1008" spans="1:21" s="30" customFormat="1" ht="24.6" hidden="1" outlineLevel="1" x14ac:dyDescent="0.55000000000000004">
      <c r="A1008" s="27" t="s">
        <v>327</v>
      </c>
      <c r="B1008" s="28"/>
      <c r="C1008" s="27"/>
      <c r="D1008" s="27" t="str">
        <f>"""NAV Direct"",""CRONUS JetCorp USA"",""21"",""1"",""313213"""</f>
        <v>"NAV Direct","CRONUS JetCorp USA","21","1","313213"</v>
      </c>
      <c r="E1008" s="31" t="str">
        <f t="shared" si="285"/>
        <v>C100037</v>
      </c>
      <c r="F1008" s="31"/>
      <c r="G1008" s="31"/>
      <c r="H1008" s="31"/>
      <c r="I1008" s="56"/>
      <c r="J1008" s="56"/>
      <c r="K1008" s="82" t="str">
        <f t="shared" si="293"/>
        <v>Invoice</v>
      </c>
      <c r="L1008" s="83" t="str">
        <f>"SI_109701"</f>
        <v>SI_109701</v>
      </c>
      <c r="M1008" s="84">
        <v>42343</v>
      </c>
      <c r="N1008" s="85">
        <f t="shared" si="286"/>
        <v>1469</v>
      </c>
      <c r="O1008" s="86">
        <f t="shared" si="287"/>
        <v>17254.539999999997</v>
      </c>
      <c r="P1008" s="86">
        <f t="shared" si="288"/>
        <v>0</v>
      </c>
      <c r="Q1008" s="86">
        <f t="shared" si="289"/>
        <v>0</v>
      </c>
      <c r="R1008" s="86">
        <f t="shared" si="290"/>
        <v>0</v>
      </c>
      <c r="S1008" s="86">
        <f t="shared" si="291"/>
        <v>0</v>
      </c>
      <c r="T1008" s="86">
        <f t="shared" si="292"/>
        <v>17254.539999999997</v>
      </c>
      <c r="U1008" s="87">
        <v>17254.539999999997</v>
      </c>
    </row>
    <row r="1009" spans="1:21" s="30" customFormat="1" ht="24.6" hidden="1" outlineLevel="1" x14ac:dyDescent="0.55000000000000004">
      <c r="A1009" s="27" t="s">
        <v>327</v>
      </c>
      <c r="B1009" s="28"/>
      <c r="C1009" s="27"/>
      <c r="D1009" s="27" t="str">
        <f>"""NAV Direct"",""CRONUS JetCorp USA"",""21"",""1"",""313394"""</f>
        <v>"NAV Direct","CRONUS JetCorp USA","21","1","313394"</v>
      </c>
      <c r="E1009" s="31">
        <f t="shared" si="285"/>
        <v>0</v>
      </c>
      <c r="F1009" s="31"/>
      <c r="G1009" s="31"/>
      <c r="H1009" s="31"/>
      <c r="I1009" s="56"/>
      <c r="J1009" s="56"/>
      <c r="K1009" s="82" t="str">
        <f t="shared" si="293"/>
        <v>Invoice</v>
      </c>
      <c r="L1009" s="83" t="str">
        <f>"SI_109708"</f>
        <v>SI_109708</v>
      </c>
      <c r="M1009" s="84">
        <v>42367</v>
      </c>
      <c r="N1009" s="85">
        <f t="shared" si="286"/>
        <v>1445</v>
      </c>
      <c r="O1009" s="86">
        <f t="shared" si="287"/>
        <v>17432.91</v>
      </c>
      <c r="P1009" s="86">
        <f t="shared" si="288"/>
        <v>0</v>
      </c>
      <c r="Q1009" s="86">
        <f t="shared" si="289"/>
        <v>0</v>
      </c>
      <c r="R1009" s="86">
        <f t="shared" si="290"/>
        <v>0</v>
      </c>
      <c r="S1009" s="86">
        <f t="shared" si="291"/>
        <v>0</v>
      </c>
      <c r="T1009" s="86">
        <f t="shared" si="292"/>
        <v>17432.91</v>
      </c>
      <c r="U1009" s="87">
        <v>17432.91</v>
      </c>
    </row>
    <row r="1010" spans="1:21" s="30" customFormat="1" ht="24.6" hidden="1" outlineLevel="1" x14ac:dyDescent="0.55000000000000004">
      <c r="A1010" s="27" t="s">
        <v>327</v>
      </c>
      <c r="B1010" s="28"/>
      <c r="C1010" s="27"/>
      <c r="D1010" s="27" t="str">
        <f>"""NAV Direct"",""CRONUS JetCorp USA"",""21"",""1"",""429254"""</f>
        <v>"NAV Direct","CRONUS JetCorp USA","21","1","429254"</v>
      </c>
      <c r="E1010" s="31" t="str">
        <f t="shared" si="285"/>
        <v>C100037</v>
      </c>
      <c r="F1010" s="31"/>
      <c r="G1010" s="31"/>
      <c r="H1010" s="31"/>
      <c r="I1010" s="56"/>
      <c r="J1010" s="56"/>
      <c r="K1010" s="82" t="str">
        <f t="shared" ref="K1010:K1024" si="294">"Credit Memo"</f>
        <v>Credit Memo</v>
      </c>
      <c r="L1010" s="83" t="str">
        <f>"SC_100193"</f>
        <v>SC_100193</v>
      </c>
      <c r="M1010" s="84">
        <v>42377</v>
      </c>
      <c r="N1010" s="85">
        <f t="shared" si="286"/>
        <v>1435</v>
      </c>
      <c r="O1010" s="86">
        <f t="shared" si="287"/>
        <v>-138.94</v>
      </c>
      <c r="P1010" s="86">
        <f t="shared" si="288"/>
        <v>0</v>
      </c>
      <c r="Q1010" s="86">
        <f t="shared" si="289"/>
        <v>0</v>
      </c>
      <c r="R1010" s="86">
        <f t="shared" si="290"/>
        <v>0</v>
      </c>
      <c r="S1010" s="86">
        <f t="shared" si="291"/>
        <v>0</v>
      </c>
      <c r="T1010" s="86">
        <f t="shared" si="292"/>
        <v>-138.94</v>
      </c>
      <c r="U1010" s="87">
        <v>-138.94</v>
      </c>
    </row>
    <row r="1011" spans="1:21" s="30" customFormat="1" ht="24.6" hidden="1" outlineLevel="1" x14ac:dyDescent="0.55000000000000004">
      <c r="A1011" s="27" t="s">
        <v>327</v>
      </c>
      <c r="B1011" s="28"/>
      <c r="C1011" s="27"/>
      <c r="D1011" s="27" t="str">
        <f>"""NAV Direct"",""CRONUS JetCorp USA"",""21"",""1"",""429290"""</f>
        <v>"NAV Direct","CRONUS JetCorp USA","21","1","429290"</v>
      </c>
      <c r="E1011" s="31">
        <f t="shared" si="285"/>
        <v>0</v>
      </c>
      <c r="F1011" s="31"/>
      <c r="G1011" s="31"/>
      <c r="H1011" s="31"/>
      <c r="I1011" s="56"/>
      <c r="J1011" s="56"/>
      <c r="K1011" s="82" t="str">
        <f t="shared" si="294"/>
        <v>Credit Memo</v>
      </c>
      <c r="L1011" s="83" t="str">
        <f>"SC_100195"</f>
        <v>SC_100195</v>
      </c>
      <c r="M1011" s="84">
        <v>42414</v>
      </c>
      <c r="N1011" s="85">
        <f t="shared" si="286"/>
        <v>1398</v>
      </c>
      <c r="O1011" s="86">
        <f t="shared" si="287"/>
        <v>-148.35999999999999</v>
      </c>
      <c r="P1011" s="86">
        <f t="shared" si="288"/>
        <v>0</v>
      </c>
      <c r="Q1011" s="86">
        <f t="shared" si="289"/>
        <v>0</v>
      </c>
      <c r="R1011" s="86">
        <f t="shared" si="290"/>
        <v>0</v>
      </c>
      <c r="S1011" s="86">
        <f t="shared" si="291"/>
        <v>0</v>
      </c>
      <c r="T1011" s="86">
        <f t="shared" si="292"/>
        <v>-148.35999999999999</v>
      </c>
      <c r="U1011" s="87">
        <v>-148.35999999999999</v>
      </c>
    </row>
    <row r="1012" spans="1:21" s="30" customFormat="1" ht="24.6" hidden="1" outlineLevel="1" x14ac:dyDescent="0.55000000000000004">
      <c r="A1012" s="27" t="s">
        <v>327</v>
      </c>
      <c r="B1012" s="28"/>
      <c r="C1012" s="27"/>
      <c r="D1012" s="27" t="str">
        <f>"""NAV Direct"",""CRONUS JetCorp USA"",""21"",""1"",""429307"""</f>
        <v>"NAV Direct","CRONUS JetCorp USA","21","1","429307"</v>
      </c>
      <c r="E1012" s="31" t="str">
        <f t="shared" si="285"/>
        <v>C100037</v>
      </c>
      <c r="F1012" s="31"/>
      <c r="G1012" s="31"/>
      <c r="H1012" s="31"/>
      <c r="I1012" s="56"/>
      <c r="J1012" s="56"/>
      <c r="K1012" s="82" t="str">
        <f t="shared" si="294"/>
        <v>Credit Memo</v>
      </c>
      <c r="L1012" s="83" t="str">
        <f>"SC_100196"</f>
        <v>SC_100196</v>
      </c>
      <c r="M1012" s="84">
        <v>42435</v>
      </c>
      <c r="N1012" s="85">
        <f t="shared" si="286"/>
        <v>1377</v>
      </c>
      <c r="O1012" s="86">
        <f t="shared" si="287"/>
        <v>-145.94</v>
      </c>
      <c r="P1012" s="86">
        <f t="shared" si="288"/>
        <v>0</v>
      </c>
      <c r="Q1012" s="86">
        <f t="shared" si="289"/>
        <v>0</v>
      </c>
      <c r="R1012" s="86">
        <f t="shared" si="290"/>
        <v>0</v>
      </c>
      <c r="S1012" s="86">
        <f t="shared" si="291"/>
        <v>0</v>
      </c>
      <c r="T1012" s="86">
        <f t="shared" si="292"/>
        <v>-145.94</v>
      </c>
      <c r="U1012" s="87">
        <v>-145.94</v>
      </c>
    </row>
    <row r="1013" spans="1:21" s="30" customFormat="1" ht="24.6" hidden="1" outlineLevel="1" x14ac:dyDescent="0.55000000000000004">
      <c r="A1013" s="27" t="s">
        <v>327</v>
      </c>
      <c r="B1013" s="28"/>
      <c r="C1013" s="27"/>
      <c r="D1013" s="27" t="str">
        <f>"""NAV Direct"",""CRONUS JetCorp USA"",""21"",""1"",""429377"""</f>
        <v>"NAV Direct","CRONUS JetCorp USA","21","1","429377"</v>
      </c>
      <c r="E1013" s="31">
        <f t="shared" si="285"/>
        <v>0</v>
      </c>
      <c r="F1013" s="31"/>
      <c r="G1013" s="31"/>
      <c r="H1013" s="31"/>
      <c r="I1013" s="56"/>
      <c r="J1013" s="56"/>
      <c r="K1013" s="82" t="str">
        <f t="shared" si="294"/>
        <v>Credit Memo</v>
      </c>
      <c r="L1013" s="83" t="str">
        <f>"SC_100200"</f>
        <v>SC_100200</v>
      </c>
      <c r="M1013" s="84">
        <v>42556</v>
      </c>
      <c r="N1013" s="85">
        <f t="shared" si="286"/>
        <v>1256</v>
      </c>
      <c r="O1013" s="86">
        <f t="shared" si="287"/>
        <v>-144.03</v>
      </c>
      <c r="P1013" s="86">
        <f t="shared" si="288"/>
        <v>0</v>
      </c>
      <c r="Q1013" s="86">
        <f t="shared" si="289"/>
        <v>0</v>
      </c>
      <c r="R1013" s="86">
        <f t="shared" si="290"/>
        <v>0</v>
      </c>
      <c r="S1013" s="86">
        <f t="shared" si="291"/>
        <v>0</v>
      </c>
      <c r="T1013" s="86">
        <f t="shared" si="292"/>
        <v>-144.03</v>
      </c>
      <c r="U1013" s="87">
        <v>-144.03</v>
      </c>
    </row>
    <row r="1014" spans="1:21" s="30" customFormat="1" ht="24.6" hidden="1" outlineLevel="1" x14ac:dyDescent="0.55000000000000004">
      <c r="A1014" s="27" t="s">
        <v>327</v>
      </c>
      <c r="B1014" s="28"/>
      <c r="C1014" s="27"/>
      <c r="D1014" s="27" t="str">
        <f>"""NAV Direct"",""CRONUS JetCorp USA"",""21"",""1"",""429458"""</f>
        <v>"NAV Direct","CRONUS JetCorp USA","21","1","429458"</v>
      </c>
      <c r="E1014" s="31" t="str">
        <f t="shared" si="285"/>
        <v>C100037</v>
      </c>
      <c r="F1014" s="31"/>
      <c r="G1014" s="31"/>
      <c r="H1014" s="31"/>
      <c r="I1014" s="56"/>
      <c r="J1014" s="56"/>
      <c r="K1014" s="82" t="str">
        <f t="shared" si="294"/>
        <v>Credit Memo</v>
      </c>
      <c r="L1014" s="83" t="str">
        <f>"SC_100205"</f>
        <v>SC_100205</v>
      </c>
      <c r="M1014" s="84">
        <v>42694</v>
      </c>
      <c r="N1014" s="85">
        <f t="shared" si="286"/>
        <v>1118</v>
      </c>
      <c r="O1014" s="86">
        <f t="shared" si="287"/>
        <v>-150.77000000000001</v>
      </c>
      <c r="P1014" s="86">
        <f t="shared" si="288"/>
        <v>0</v>
      </c>
      <c r="Q1014" s="86">
        <f t="shared" si="289"/>
        <v>0</v>
      </c>
      <c r="R1014" s="86">
        <f t="shared" si="290"/>
        <v>0</v>
      </c>
      <c r="S1014" s="86">
        <f t="shared" si="291"/>
        <v>0</v>
      </c>
      <c r="T1014" s="86">
        <f t="shared" si="292"/>
        <v>-150.77000000000001</v>
      </c>
      <c r="U1014" s="87">
        <v>-150.77000000000001</v>
      </c>
    </row>
    <row r="1015" spans="1:21" s="30" customFormat="1" ht="24.6" hidden="1" outlineLevel="1" x14ac:dyDescent="0.55000000000000004">
      <c r="A1015" s="27" t="s">
        <v>327</v>
      </c>
      <c r="B1015" s="28"/>
      <c r="C1015" s="27"/>
      <c r="D1015" s="27" t="str">
        <f>"""NAV Direct"",""CRONUS JetCorp USA"",""21"",""1"",""429612"""</f>
        <v>"NAV Direct","CRONUS JetCorp USA","21","1","429612"</v>
      </c>
      <c r="E1015" s="31">
        <f t="shared" si="285"/>
        <v>0</v>
      </c>
      <c r="F1015" s="31"/>
      <c r="G1015" s="31"/>
      <c r="H1015" s="31"/>
      <c r="I1015" s="56"/>
      <c r="J1015" s="56"/>
      <c r="K1015" s="82" t="str">
        <f t="shared" si="294"/>
        <v>Credit Memo</v>
      </c>
      <c r="L1015" s="83" t="str">
        <f>"SC_100215"</f>
        <v>SC_100215</v>
      </c>
      <c r="M1015" s="84">
        <v>43025</v>
      </c>
      <c r="N1015" s="85">
        <f t="shared" si="286"/>
        <v>787</v>
      </c>
      <c r="O1015" s="86">
        <f t="shared" si="287"/>
        <v>-147.57000000000002</v>
      </c>
      <c r="P1015" s="86">
        <f t="shared" si="288"/>
        <v>0</v>
      </c>
      <c r="Q1015" s="86">
        <f t="shared" si="289"/>
        <v>0</v>
      </c>
      <c r="R1015" s="86">
        <f t="shared" si="290"/>
        <v>0</v>
      </c>
      <c r="S1015" s="86">
        <f t="shared" si="291"/>
        <v>0</v>
      </c>
      <c r="T1015" s="86">
        <f t="shared" si="292"/>
        <v>-147.57000000000002</v>
      </c>
      <c r="U1015" s="87">
        <v>-147.57000000000002</v>
      </c>
    </row>
    <row r="1016" spans="1:21" s="30" customFormat="1" ht="24.6" hidden="1" outlineLevel="1" x14ac:dyDescent="0.55000000000000004">
      <c r="A1016" s="27" t="s">
        <v>327</v>
      </c>
      <c r="B1016" s="28"/>
      <c r="C1016" s="27"/>
      <c r="D1016" s="27" t="str">
        <f>"""NAV Direct"",""CRONUS JetCorp USA"",""21"",""1"",""429668"""</f>
        <v>"NAV Direct","CRONUS JetCorp USA","21","1","429668"</v>
      </c>
      <c r="E1016" s="31" t="str">
        <f t="shared" si="285"/>
        <v>C100037</v>
      </c>
      <c r="F1016" s="31"/>
      <c r="G1016" s="31"/>
      <c r="H1016" s="31"/>
      <c r="I1016" s="56"/>
      <c r="J1016" s="56"/>
      <c r="K1016" s="82" t="str">
        <f t="shared" si="294"/>
        <v>Credit Memo</v>
      </c>
      <c r="L1016" s="83" t="str">
        <f>"SC_100219"</f>
        <v>SC_100219</v>
      </c>
      <c r="M1016" s="84">
        <v>43125</v>
      </c>
      <c r="N1016" s="85">
        <f t="shared" si="286"/>
        <v>687</v>
      </c>
      <c r="O1016" s="86">
        <f t="shared" si="287"/>
        <v>-142.14000000000001</v>
      </c>
      <c r="P1016" s="86">
        <f t="shared" si="288"/>
        <v>0</v>
      </c>
      <c r="Q1016" s="86">
        <f t="shared" si="289"/>
        <v>0</v>
      </c>
      <c r="R1016" s="86">
        <f t="shared" si="290"/>
        <v>0</v>
      </c>
      <c r="S1016" s="86">
        <f t="shared" si="291"/>
        <v>0</v>
      </c>
      <c r="T1016" s="86">
        <f t="shared" si="292"/>
        <v>-142.14000000000001</v>
      </c>
      <c r="U1016" s="87">
        <v>-142.14000000000001</v>
      </c>
    </row>
    <row r="1017" spans="1:21" s="30" customFormat="1" ht="24.6" hidden="1" outlineLevel="1" x14ac:dyDescent="0.55000000000000004">
      <c r="A1017" s="27" t="s">
        <v>327</v>
      </c>
      <c r="B1017" s="28"/>
      <c r="C1017" s="27"/>
      <c r="D1017" s="27" t="str">
        <f>"""NAV Direct"",""CRONUS JetCorp USA"",""21"",""1"",""429681"""</f>
        <v>"NAV Direct","CRONUS JetCorp USA","21","1","429681"</v>
      </c>
      <c r="E1017" s="31">
        <f t="shared" si="285"/>
        <v>0</v>
      </c>
      <c r="F1017" s="31"/>
      <c r="G1017" s="31"/>
      <c r="H1017" s="31"/>
      <c r="I1017" s="56"/>
      <c r="J1017" s="56"/>
      <c r="K1017" s="82" t="str">
        <f t="shared" si="294"/>
        <v>Credit Memo</v>
      </c>
      <c r="L1017" s="83" t="str">
        <f>"SC_100220"</f>
        <v>SC_100220</v>
      </c>
      <c r="M1017" s="84">
        <v>43163</v>
      </c>
      <c r="N1017" s="85">
        <f t="shared" si="286"/>
        <v>649</v>
      </c>
      <c r="O1017" s="86">
        <f t="shared" si="287"/>
        <v>-142.63</v>
      </c>
      <c r="P1017" s="86">
        <f t="shared" si="288"/>
        <v>0</v>
      </c>
      <c r="Q1017" s="86">
        <f t="shared" si="289"/>
        <v>0</v>
      </c>
      <c r="R1017" s="86">
        <f t="shared" si="290"/>
        <v>0</v>
      </c>
      <c r="S1017" s="86">
        <f t="shared" si="291"/>
        <v>0</v>
      </c>
      <c r="T1017" s="86">
        <f t="shared" si="292"/>
        <v>-142.63</v>
      </c>
      <c r="U1017" s="87">
        <v>-142.63</v>
      </c>
    </row>
    <row r="1018" spans="1:21" s="30" customFormat="1" ht="24.6" hidden="1" outlineLevel="1" x14ac:dyDescent="0.55000000000000004">
      <c r="A1018" s="27" t="s">
        <v>327</v>
      </c>
      <c r="B1018" s="28"/>
      <c r="C1018" s="27"/>
      <c r="D1018" s="27" t="str">
        <f>"""NAV Direct"",""CRONUS JetCorp USA"",""21"",""1"",""429803"""</f>
        <v>"NAV Direct","CRONUS JetCorp USA","21","1","429803"</v>
      </c>
      <c r="E1018" s="31" t="str">
        <f t="shared" si="285"/>
        <v>C100037</v>
      </c>
      <c r="F1018" s="31"/>
      <c r="G1018" s="31"/>
      <c r="H1018" s="31"/>
      <c r="I1018" s="56"/>
      <c r="J1018" s="56"/>
      <c r="K1018" s="82" t="str">
        <f t="shared" si="294"/>
        <v>Credit Memo</v>
      </c>
      <c r="L1018" s="83" t="str">
        <f>"SC_100228"</f>
        <v>SC_100228</v>
      </c>
      <c r="M1018" s="84">
        <v>43413</v>
      </c>
      <c r="N1018" s="85">
        <f t="shared" si="286"/>
        <v>399</v>
      </c>
      <c r="O1018" s="86">
        <f t="shared" si="287"/>
        <v>-157.33000000000001</v>
      </c>
      <c r="P1018" s="86">
        <f t="shared" si="288"/>
        <v>0</v>
      </c>
      <c r="Q1018" s="86">
        <f t="shared" si="289"/>
        <v>0</v>
      </c>
      <c r="R1018" s="86">
        <f t="shared" si="290"/>
        <v>0</v>
      </c>
      <c r="S1018" s="86">
        <f t="shared" si="291"/>
        <v>0</v>
      </c>
      <c r="T1018" s="86">
        <f t="shared" si="292"/>
        <v>-157.33000000000001</v>
      </c>
      <c r="U1018" s="87">
        <v>-157.33000000000001</v>
      </c>
    </row>
    <row r="1019" spans="1:21" s="30" customFormat="1" ht="24.6" hidden="1" outlineLevel="1" x14ac:dyDescent="0.55000000000000004">
      <c r="A1019" s="27" t="s">
        <v>327</v>
      </c>
      <c r="B1019" s="28"/>
      <c r="C1019" s="27"/>
      <c r="D1019" s="27" t="str">
        <f>"""NAV Direct"",""CRONUS JetCorp USA"",""21"",""1"",""429900"""</f>
        <v>"NAV Direct","CRONUS JetCorp USA","21","1","429900"</v>
      </c>
      <c r="E1019" s="31">
        <f t="shared" si="285"/>
        <v>0</v>
      </c>
      <c r="F1019" s="31"/>
      <c r="G1019" s="31"/>
      <c r="H1019" s="31"/>
      <c r="I1019" s="56"/>
      <c r="J1019" s="56"/>
      <c r="K1019" s="82" t="str">
        <f t="shared" si="294"/>
        <v>Credit Memo</v>
      </c>
      <c r="L1019" s="83" t="str">
        <f>"SC_100235"</f>
        <v>SC_100235</v>
      </c>
      <c r="M1019" s="84">
        <v>43559</v>
      </c>
      <c r="N1019" s="85">
        <f t="shared" si="286"/>
        <v>253</v>
      </c>
      <c r="O1019" s="86">
        <f t="shared" si="287"/>
        <v>-171.77</v>
      </c>
      <c r="P1019" s="86">
        <f t="shared" si="288"/>
        <v>0</v>
      </c>
      <c r="Q1019" s="86">
        <f t="shared" si="289"/>
        <v>0</v>
      </c>
      <c r="R1019" s="86">
        <f t="shared" si="290"/>
        <v>0</v>
      </c>
      <c r="S1019" s="86">
        <f t="shared" si="291"/>
        <v>0</v>
      </c>
      <c r="T1019" s="86">
        <f t="shared" si="292"/>
        <v>-171.77</v>
      </c>
      <c r="U1019" s="87">
        <v>-171.77</v>
      </c>
    </row>
    <row r="1020" spans="1:21" s="30" customFormat="1" ht="24.6" hidden="1" outlineLevel="1" x14ac:dyDescent="0.55000000000000004">
      <c r="A1020" s="27" t="s">
        <v>327</v>
      </c>
      <c r="B1020" s="28"/>
      <c r="C1020" s="27"/>
      <c r="D1020" s="27" t="str">
        <f>"""NAV Direct"",""CRONUS JetCorp USA"",""21"",""1"",""429939"""</f>
        <v>"NAV Direct","CRONUS JetCorp USA","21","1","429939"</v>
      </c>
      <c r="E1020" s="31" t="str">
        <f t="shared" ref="E1020:E1024" si="295">E1018</f>
        <v>C100037</v>
      </c>
      <c r="F1020" s="31"/>
      <c r="G1020" s="31"/>
      <c r="H1020" s="31"/>
      <c r="I1020" s="56"/>
      <c r="J1020" s="56"/>
      <c r="K1020" s="82" t="str">
        <f t="shared" si="294"/>
        <v>Credit Memo</v>
      </c>
      <c r="L1020" s="83" t="str">
        <f>"SC_100238"</f>
        <v>SC_100238</v>
      </c>
      <c r="M1020" s="84">
        <v>43574</v>
      </c>
      <c r="N1020" s="85">
        <f t="shared" si="286"/>
        <v>238</v>
      </c>
      <c r="O1020" s="86">
        <f t="shared" ref="O1020:O1024" si="296">SUM(P1020:T1020)</f>
        <v>-162.20000000000002</v>
      </c>
      <c r="P1020" s="86">
        <f t="shared" si="288"/>
        <v>0</v>
      </c>
      <c r="Q1020" s="86">
        <f t="shared" si="289"/>
        <v>0</v>
      </c>
      <c r="R1020" s="86">
        <f t="shared" si="290"/>
        <v>0</v>
      </c>
      <c r="S1020" s="86">
        <f t="shared" si="291"/>
        <v>0</v>
      </c>
      <c r="T1020" s="86">
        <f t="shared" ref="T1020:T1024" si="297">IF($M1020&lt;=$T$18,U1020,0)</f>
        <v>-162.20000000000002</v>
      </c>
      <c r="U1020" s="87">
        <v>-162.20000000000002</v>
      </c>
    </row>
    <row r="1021" spans="1:21" s="30" customFormat="1" ht="24.6" hidden="1" outlineLevel="1" x14ac:dyDescent="0.55000000000000004">
      <c r="A1021" s="27" t="s">
        <v>327</v>
      </c>
      <c r="B1021" s="28"/>
      <c r="C1021" s="27"/>
      <c r="D1021" s="27" t="str">
        <f>"""NAV Direct"",""CRONUS JetCorp USA"",""21"",""1"",""429958"""</f>
        <v>"NAV Direct","CRONUS JetCorp USA","21","1","429958"</v>
      </c>
      <c r="E1021" s="31">
        <f t="shared" si="295"/>
        <v>0</v>
      </c>
      <c r="F1021" s="31"/>
      <c r="G1021" s="31"/>
      <c r="H1021" s="31"/>
      <c r="I1021" s="56"/>
      <c r="J1021" s="56"/>
      <c r="K1021" s="82" t="str">
        <f t="shared" si="294"/>
        <v>Credit Memo</v>
      </c>
      <c r="L1021" s="83" t="str">
        <f>"SC_100239"</f>
        <v>SC_100239</v>
      </c>
      <c r="M1021" s="84">
        <v>43576</v>
      </c>
      <c r="N1021" s="85">
        <f t="shared" si="286"/>
        <v>236</v>
      </c>
      <c r="O1021" s="86">
        <f t="shared" si="296"/>
        <v>-175.51</v>
      </c>
      <c r="P1021" s="86">
        <f t="shared" si="288"/>
        <v>0</v>
      </c>
      <c r="Q1021" s="86">
        <f t="shared" si="289"/>
        <v>0</v>
      </c>
      <c r="R1021" s="86">
        <f t="shared" si="290"/>
        <v>0</v>
      </c>
      <c r="S1021" s="86">
        <f t="shared" si="291"/>
        <v>0</v>
      </c>
      <c r="T1021" s="86">
        <f t="shared" si="297"/>
        <v>-175.51</v>
      </c>
      <c r="U1021" s="87">
        <v>-175.51</v>
      </c>
    </row>
    <row r="1022" spans="1:21" s="30" customFormat="1" ht="24.6" hidden="1" outlineLevel="1" x14ac:dyDescent="0.55000000000000004">
      <c r="A1022" s="27" t="s">
        <v>327</v>
      </c>
      <c r="B1022" s="28"/>
      <c r="C1022" s="27"/>
      <c r="D1022" s="27" t="str">
        <f>"""NAV Direct"",""CRONUS JetCorp USA"",""21"",""1"",""430120"""</f>
        <v>"NAV Direct","CRONUS JetCorp USA","21","1","430120"</v>
      </c>
      <c r="E1022" s="31" t="str">
        <f t="shared" si="295"/>
        <v>C100037</v>
      </c>
      <c r="F1022" s="31"/>
      <c r="G1022" s="31"/>
      <c r="H1022" s="31"/>
      <c r="I1022" s="56"/>
      <c r="J1022" s="56"/>
      <c r="K1022" s="82" t="str">
        <f t="shared" si="294"/>
        <v>Credit Memo</v>
      </c>
      <c r="L1022" s="83" t="str">
        <f>"SC_100249"</f>
        <v>SC_100249</v>
      </c>
      <c r="M1022" s="84">
        <v>43777</v>
      </c>
      <c r="N1022" s="85">
        <f t="shared" si="286"/>
        <v>35</v>
      </c>
      <c r="O1022" s="86">
        <f t="shared" si="296"/>
        <v>-165.42000000000002</v>
      </c>
      <c r="P1022" s="86">
        <f t="shared" si="288"/>
        <v>0</v>
      </c>
      <c r="Q1022" s="86">
        <f t="shared" si="289"/>
        <v>0</v>
      </c>
      <c r="R1022" s="86">
        <f t="shared" si="290"/>
        <v>-165.42000000000002</v>
      </c>
      <c r="S1022" s="86">
        <f t="shared" si="291"/>
        <v>0</v>
      </c>
      <c r="T1022" s="86">
        <f t="shared" si="297"/>
        <v>0</v>
      </c>
      <c r="U1022" s="87">
        <v>-165.42000000000002</v>
      </c>
    </row>
    <row r="1023" spans="1:21" s="30" customFormat="1" ht="24.6" hidden="1" outlineLevel="1" x14ac:dyDescent="0.55000000000000004">
      <c r="A1023" s="27" t="s">
        <v>327</v>
      </c>
      <c r="B1023" s="28"/>
      <c r="C1023" s="27"/>
      <c r="D1023" s="27" t="str">
        <f>"""NAV Direct"",""CRONUS JetCorp USA"",""21"",""1"",""430242"""</f>
        <v>"NAV Direct","CRONUS JetCorp USA","21","1","430242"</v>
      </c>
      <c r="E1023" s="31">
        <f t="shared" si="295"/>
        <v>0</v>
      </c>
      <c r="F1023" s="31"/>
      <c r="G1023" s="31"/>
      <c r="H1023" s="31"/>
      <c r="I1023" s="56"/>
      <c r="J1023" s="56"/>
      <c r="K1023" s="82" t="str">
        <f t="shared" si="294"/>
        <v>Credit Memo</v>
      </c>
      <c r="L1023" s="83" t="str">
        <f>"SC_100257"</f>
        <v>SC_100257</v>
      </c>
      <c r="M1023" s="84">
        <v>42222</v>
      </c>
      <c r="N1023" s="85">
        <f t="shared" si="286"/>
        <v>1590</v>
      </c>
      <c r="O1023" s="86">
        <f t="shared" si="296"/>
        <v>-168.57999999999998</v>
      </c>
      <c r="P1023" s="86">
        <f t="shared" si="288"/>
        <v>0</v>
      </c>
      <c r="Q1023" s="86">
        <f t="shared" si="289"/>
        <v>0</v>
      </c>
      <c r="R1023" s="86">
        <f t="shared" si="290"/>
        <v>0</v>
      </c>
      <c r="S1023" s="86">
        <f t="shared" si="291"/>
        <v>0</v>
      </c>
      <c r="T1023" s="86">
        <f t="shared" si="297"/>
        <v>-168.57999999999998</v>
      </c>
      <c r="U1023" s="87">
        <v>-168.57999999999998</v>
      </c>
    </row>
    <row r="1024" spans="1:21" s="30" customFormat="1" ht="24.6" hidden="1" outlineLevel="1" x14ac:dyDescent="0.55000000000000004">
      <c r="A1024" s="27" t="s">
        <v>327</v>
      </c>
      <c r="B1024" s="28"/>
      <c r="C1024" s="27"/>
      <c r="D1024" s="27" t="str">
        <f>"""NAV Direct"",""CRONUS JetCorp USA"",""21"",""1"",""430255"""</f>
        <v>"NAV Direct","CRONUS JetCorp USA","21","1","430255"</v>
      </c>
      <c r="E1024" s="31" t="str">
        <f t="shared" si="295"/>
        <v>C100037</v>
      </c>
      <c r="F1024" s="31"/>
      <c r="G1024" s="31"/>
      <c r="H1024" s="31"/>
      <c r="I1024" s="56"/>
      <c r="J1024" s="56"/>
      <c r="K1024" s="82" t="str">
        <f t="shared" si="294"/>
        <v>Credit Memo</v>
      </c>
      <c r="L1024" s="83" t="str">
        <f>"SC_100258"</f>
        <v>SC_100258</v>
      </c>
      <c r="M1024" s="84">
        <v>42225</v>
      </c>
      <c r="N1024" s="85">
        <f t="shared" si="286"/>
        <v>1587</v>
      </c>
      <c r="O1024" s="86">
        <f t="shared" si="296"/>
        <v>-166.71</v>
      </c>
      <c r="P1024" s="86">
        <f t="shared" si="288"/>
        <v>0</v>
      </c>
      <c r="Q1024" s="86">
        <f t="shared" si="289"/>
        <v>0</v>
      </c>
      <c r="R1024" s="86">
        <f t="shared" si="290"/>
        <v>0</v>
      </c>
      <c r="S1024" s="86">
        <f t="shared" si="291"/>
        <v>0</v>
      </c>
      <c r="T1024" s="86">
        <f t="shared" si="297"/>
        <v>-166.71</v>
      </c>
      <c r="U1024" s="87">
        <v>-166.71</v>
      </c>
    </row>
    <row r="1025" spans="1:22" s="22" customFormat="1" ht="20.399999999999999" collapsed="1" x14ac:dyDescent="0.45">
      <c r="A1025" s="12" t="s">
        <v>327</v>
      </c>
      <c r="B1025" s="19"/>
      <c r="C1025" s="12"/>
      <c r="D1025" s="12"/>
      <c r="E1025" s="23"/>
      <c r="F1025" s="23"/>
      <c r="G1025" s="23"/>
      <c r="H1025" s="23"/>
      <c r="I1025" s="49"/>
      <c r="J1025" s="88"/>
      <c r="K1025" s="88"/>
      <c r="L1025" s="89"/>
      <c r="M1025" s="89"/>
      <c r="N1025" s="89"/>
      <c r="O1025" s="89"/>
      <c r="P1025" s="89"/>
      <c r="Q1025" s="90"/>
      <c r="R1025" s="90"/>
      <c r="S1025" s="91"/>
      <c r="T1025" s="92"/>
      <c r="U1025" s="92"/>
    </row>
    <row r="1026" spans="1:22" s="22" customFormat="1" ht="20.399999999999999" x14ac:dyDescent="0.45">
      <c r="A1026" s="12" t="s">
        <v>327</v>
      </c>
      <c r="B1026" s="19"/>
      <c r="C1026" s="12"/>
      <c r="D1026" s="12"/>
      <c r="E1026" s="23"/>
      <c r="F1026" s="23"/>
      <c r="G1026" s="23"/>
      <c r="H1026" s="23"/>
      <c r="I1026" s="49"/>
      <c r="J1026" s="88"/>
      <c r="K1026" s="88"/>
      <c r="L1026" s="89"/>
      <c r="M1026" s="89"/>
      <c r="N1026" s="89"/>
      <c r="O1026" s="89"/>
      <c r="P1026" s="89"/>
      <c r="Q1026" s="90"/>
      <c r="R1026" s="90"/>
      <c r="S1026" s="91"/>
      <c r="T1026" s="92"/>
      <c r="U1026" s="92"/>
    </row>
    <row r="1027" spans="1:22" s="26" customFormat="1" ht="24.6" x14ac:dyDescent="0.55000000000000004">
      <c r="A1027" s="27" t="s">
        <v>327</v>
      </c>
      <c r="B1027" s="28"/>
      <c r="C1027" s="27" t="str">
        <f>"""NAV Direct"",""CRONUS JetCorp USA"",""18"",""1"",""C100038"""</f>
        <v>"NAV Direct","CRONUS JetCorp USA","18","1","C100038"</v>
      </c>
      <c r="D1027" s="27"/>
      <c r="E1027" s="28" t="str">
        <f>H1027</f>
        <v>C100038</v>
      </c>
      <c r="F1027" s="28"/>
      <c r="G1027" s="28"/>
      <c r="H1027" s="28" t="str">
        <f>"C100038"</f>
        <v>C100038</v>
      </c>
      <c r="I1027" s="116" t="str">
        <f>"C100038  -  Gagn &amp; Gaman"</f>
        <v>C100038  -  Gagn &amp; Gaman</v>
      </c>
      <c r="J1027" s="117" t="str">
        <f>""</f>
        <v/>
      </c>
      <c r="K1027" s="118"/>
      <c r="L1027" s="119">
        <f>SUBTOTAL(3,L1028:L1048)</f>
        <v>17</v>
      </c>
      <c r="M1027" s="118"/>
      <c r="N1027" s="118"/>
      <c r="O1027" s="120">
        <f t="shared" ref="O1027:T1027" si="298">SUBTOTAL(9,O1028:O1048)</f>
        <v>164330.88999999998</v>
      </c>
      <c r="P1027" s="120">
        <f t="shared" si="298"/>
        <v>0</v>
      </c>
      <c r="Q1027" s="120">
        <f t="shared" si="298"/>
        <v>14509.109999999999</v>
      </c>
      <c r="R1027" s="120">
        <f t="shared" si="298"/>
        <v>0</v>
      </c>
      <c r="S1027" s="120">
        <f t="shared" si="298"/>
        <v>10828.68</v>
      </c>
      <c r="T1027" s="120">
        <f t="shared" si="298"/>
        <v>138993.1</v>
      </c>
      <c r="U1027" s="81"/>
    </row>
    <row r="1028" spans="1:22" s="26" customFormat="1" ht="24.6" x14ac:dyDescent="0.55000000000000004">
      <c r="A1028" s="27" t="s">
        <v>327</v>
      </c>
      <c r="B1028" s="28"/>
      <c r="C1028" s="27" t="str">
        <f>C1027</f>
        <v>"NAV Direct","CRONUS JetCorp USA","18","1","C100038"</v>
      </c>
      <c r="D1028" s="27"/>
      <c r="E1028" s="28" t="str">
        <f>E1027</f>
        <v>C100038</v>
      </c>
      <c r="F1028" s="28"/>
      <c r="G1028" s="28"/>
      <c r="H1028" s="28"/>
      <c r="I1028" s="121" t="str">
        <f>"Contact: Ragnheidur K. Gudmundsdottir"</f>
        <v>Contact: Ragnheidur K. Gudmundsdottir</v>
      </c>
      <c r="J1028" s="121"/>
      <c r="K1028" s="122"/>
      <c r="L1028" s="123"/>
      <c r="M1028" s="123"/>
      <c r="N1028" s="124"/>
      <c r="O1028" s="124"/>
      <c r="P1028" s="123"/>
      <c r="Q1028" s="125"/>
      <c r="R1028" s="126"/>
      <c r="S1028" s="126"/>
      <c r="T1028" s="125"/>
      <c r="U1028" s="81"/>
    </row>
    <row r="1029" spans="1:22" s="26" customFormat="1" ht="24.6" x14ac:dyDescent="0.55000000000000004">
      <c r="A1029" s="27" t="s">
        <v>327</v>
      </c>
      <c r="B1029" s="28"/>
      <c r="C1029" s="27" t="str">
        <f>C1028</f>
        <v>"NAV Direct","CRONUS JetCorp USA","18","1","C100038"</v>
      </c>
      <c r="D1029" s="27"/>
      <c r="E1029" s="28" t="str">
        <f>E1028</f>
        <v>C100038</v>
      </c>
      <c r="F1029" s="28"/>
      <c r="G1029" s="28"/>
      <c r="H1029" s="28"/>
      <c r="I1029" s="121" t="str">
        <f>"gagn.gaman@cronuscorp.net"</f>
        <v>gagn.gaman@cronuscorp.net</v>
      </c>
      <c r="J1029" s="121"/>
      <c r="K1029" s="122"/>
      <c r="L1029" s="124"/>
      <c r="M1029" s="124"/>
      <c r="N1029" s="124"/>
      <c r="O1029" s="124"/>
      <c r="P1029" s="123"/>
      <c r="Q1029" s="125"/>
      <c r="R1029" s="126"/>
      <c r="S1029" s="126"/>
      <c r="T1029" s="125"/>
      <c r="U1029" s="81"/>
    </row>
    <row r="1030" spans="1:22" ht="12.75" hidden="1" customHeight="1" outlineLevel="1" x14ac:dyDescent="0.45">
      <c r="A1030" s="12" t="s">
        <v>328</v>
      </c>
      <c r="B1030" s="19"/>
      <c r="E1030" s="19"/>
      <c r="F1030" s="19"/>
      <c r="G1030" s="19"/>
      <c r="H1030" s="19"/>
      <c r="I1030" s="61"/>
      <c r="J1030" s="61"/>
      <c r="K1030" s="61"/>
      <c r="L1030" s="61"/>
      <c r="M1030" s="61"/>
      <c r="N1030" s="61"/>
      <c r="O1030" s="61"/>
      <c r="P1030" s="61"/>
      <c r="Q1030" s="61"/>
      <c r="R1030" s="61"/>
      <c r="S1030" s="61"/>
      <c r="T1030" s="61"/>
      <c r="U1030" s="61"/>
      <c r="V1030" s="21"/>
    </row>
    <row r="1031" spans="1:22" s="30" customFormat="1" ht="24.6" hidden="1" outlineLevel="1" x14ac:dyDescent="0.55000000000000004">
      <c r="A1031" s="27" t="s">
        <v>327</v>
      </c>
      <c r="B1031" s="28"/>
      <c r="C1031" s="27"/>
      <c r="D1031" s="27" t="str">
        <f>"""NAV Direct"",""CRONUS JetCorp USA"",""21"",""1"",""101838"""</f>
        <v>"NAV Direct","CRONUS JetCorp USA","21","1","101838"</v>
      </c>
      <c r="E1031" s="31" t="str">
        <f t="shared" ref="E1031:E1047" si="299">E1029</f>
        <v>C100038</v>
      </c>
      <c r="F1031" s="31"/>
      <c r="G1031" s="31"/>
      <c r="H1031" s="31"/>
      <c r="I1031" s="56"/>
      <c r="J1031" s="56"/>
      <c r="K1031" s="82" t="str">
        <f t="shared" ref="K1031:K1044" si="300">"Invoice"</f>
        <v>Invoice</v>
      </c>
      <c r="L1031" s="83" t="str">
        <f>"SI_106594"</f>
        <v>SI_106594</v>
      </c>
      <c r="M1031" s="84">
        <v>42114</v>
      </c>
      <c r="N1031" s="85">
        <f t="shared" ref="N1031:N1047" si="301">StartDate-$M1031+1</f>
        <v>1698</v>
      </c>
      <c r="O1031" s="86">
        <f t="shared" ref="O1031:O1047" si="302">SUM(P1031:T1031)</f>
        <v>14217.050000000001</v>
      </c>
      <c r="P1031" s="86">
        <f t="shared" ref="P1031:P1047" si="303">IF($M1031&gt;=$P$18,U1031,0)</f>
        <v>0</v>
      </c>
      <c r="Q1031" s="86">
        <f t="shared" ref="Q1031:Q1047" si="304">IF(AND($M1031&gt;=$Q$16,$M1031&lt;=$Q$18),U1031,0)</f>
        <v>0</v>
      </c>
      <c r="R1031" s="86">
        <f t="shared" ref="R1031:R1047" si="305">IF(AND($M1031&gt;=$R$16,$M1031&lt;=$R$18),U1031,0)</f>
        <v>0</v>
      </c>
      <c r="S1031" s="86">
        <f t="shared" ref="S1031:S1047" si="306">IF(AND($M1031&gt;=$S$16,$M1031&lt;=$S$18),U1031,0)</f>
        <v>0</v>
      </c>
      <c r="T1031" s="86">
        <f t="shared" ref="T1031:T1047" si="307">IF($M1031&lt;=$T$18,U1031,0)</f>
        <v>14217.050000000001</v>
      </c>
      <c r="U1031" s="87">
        <v>14217.050000000001</v>
      </c>
    </row>
    <row r="1032" spans="1:22" s="30" customFormat="1" ht="24.6" hidden="1" outlineLevel="1" x14ac:dyDescent="0.55000000000000004">
      <c r="A1032" s="27" t="s">
        <v>327</v>
      </c>
      <c r="B1032" s="28"/>
      <c r="C1032" s="27"/>
      <c r="D1032" s="27" t="str">
        <f>"""NAV Direct"",""CRONUS JetCorp USA"",""21"",""1"",""102202"""</f>
        <v>"NAV Direct","CRONUS JetCorp USA","21","1","102202"</v>
      </c>
      <c r="E1032" s="31">
        <f t="shared" si="299"/>
        <v>0</v>
      </c>
      <c r="F1032" s="31"/>
      <c r="G1032" s="31"/>
      <c r="H1032" s="31"/>
      <c r="I1032" s="56"/>
      <c r="J1032" s="56"/>
      <c r="K1032" s="82" t="str">
        <f t="shared" si="300"/>
        <v>Invoice</v>
      </c>
      <c r="L1032" s="83" t="str">
        <f>"SI_106606"</f>
        <v>SI_106606</v>
      </c>
      <c r="M1032" s="84">
        <v>42300</v>
      </c>
      <c r="N1032" s="85">
        <f t="shared" si="301"/>
        <v>1512</v>
      </c>
      <c r="O1032" s="86">
        <f t="shared" si="302"/>
        <v>11330.220000000001</v>
      </c>
      <c r="P1032" s="86">
        <f t="shared" si="303"/>
        <v>0</v>
      </c>
      <c r="Q1032" s="86">
        <f t="shared" si="304"/>
        <v>0</v>
      </c>
      <c r="R1032" s="86">
        <f t="shared" si="305"/>
        <v>0</v>
      </c>
      <c r="S1032" s="86">
        <f t="shared" si="306"/>
        <v>0</v>
      </c>
      <c r="T1032" s="86">
        <f t="shared" si="307"/>
        <v>11330.220000000001</v>
      </c>
      <c r="U1032" s="87">
        <v>11330.220000000001</v>
      </c>
    </row>
    <row r="1033" spans="1:22" s="30" customFormat="1" ht="24.6" hidden="1" outlineLevel="1" x14ac:dyDescent="0.55000000000000004">
      <c r="A1033" s="27" t="s">
        <v>327</v>
      </c>
      <c r="B1033" s="28"/>
      <c r="C1033" s="27"/>
      <c r="D1033" s="27" t="str">
        <f>"""NAV Direct"",""CRONUS JetCorp USA"",""21"",""1"",""102336"""</f>
        <v>"NAV Direct","CRONUS JetCorp USA","21","1","102336"</v>
      </c>
      <c r="E1033" s="31" t="str">
        <f t="shared" si="299"/>
        <v>C100038</v>
      </c>
      <c r="F1033" s="31"/>
      <c r="G1033" s="31"/>
      <c r="H1033" s="31"/>
      <c r="I1033" s="56"/>
      <c r="J1033" s="56"/>
      <c r="K1033" s="82" t="str">
        <f t="shared" si="300"/>
        <v>Invoice</v>
      </c>
      <c r="L1033" s="83" t="str">
        <f>"SI_106610"</f>
        <v>SI_106610</v>
      </c>
      <c r="M1033" s="84">
        <v>42368</v>
      </c>
      <c r="N1033" s="85">
        <f t="shared" si="301"/>
        <v>1444</v>
      </c>
      <c r="O1033" s="86">
        <f t="shared" si="302"/>
        <v>15312.119999999999</v>
      </c>
      <c r="P1033" s="86">
        <f t="shared" si="303"/>
        <v>0</v>
      </c>
      <c r="Q1033" s="86">
        <f t="shared" si="304"/>
        <v>0</v>
      </c>
      <c r="R1033" s="86">
        <f t="shared" si="305"/>
        <v>0</v>
      </c>
      <c r="S1033" s="86">
        <f t="shared" si="306"/>
        <v>0</v>
      </c>
      <c r="T1033" s="86">
        <f t="shared" si="307"/>
        <v>15312.119999999999</v>
      </c>
      <c r="U1033" s="87">
        <v>15312.119999999999</v>
      </c>
    </row>
    <row r="1034" spans="1:22" s="30" customFormat="1" ht="24.6" hidden="1" outlineLevel="1" x14ac:dyDescent="0.55000000000000004">
      <c r="A1034" s="27" t="s">
        <v>327</v>
      </c>
      <c r="B1034" s="28"/>
      <c r="C1034" s="27"/>
      <c r="D1034" s="27" t="str">
        <f>"""NAV Direct"",""CRONUS JetCorp USA"",""21"",""1"",""380715"""</f>
        <v>"NAV Direct","CRONUS JetCorp USA","21","1","380715"</v>
      </c>
      <c r="E1034" s="31">
        <f t="shared" si="299"/>
        <v>0</v>
      </c>
      <c r="F1034" s="31"/>
      <c r="G1034" s="31"/>
      <c r="H1034" s="31"/>
      <c r="I1034" s="56"/>
      <c r="J1034" s="56"/>
      <c r="K1034" s="82" t="str">
        <f t="shared" si="300"/>
        <v>Invoice</v>
      </c>
      <c r="L1034" s="83" t="str">
        <f>"SI_111829"</f>
        <v>SI_111829</v>
      </c>
      <c r="M1034" s="84">
        <v>42477</v>
      </c>
      <c r="N1034" s="85">
        <f t="shared" si="301"/>
        <v>1335</v>
      </c>
      <c r="O1034" s="86">
        <f t="shared" si="302"/>
        <v>7765.69</v>
      </c>
      <c r="P1034" s="86">
        <f t="shared" si="303"/>
        <v>0</v>
      </c>
      <c r="Q1034" s="86">
        <f t="shared" si="304"/>
        <v>0</v>
      </c>
      <c r="R1034" s="86">
        <f t="shared" si="305"/>
        <v>0</v>
      </c>
      <c r="S1034" s="86">
        <f t="shared" si="306"/>
        <v>0</v>
      </c>
      <c r="T1034" s="86">
        <f t="shared" si="307"/>
        <v>7765.69</v>
      </c>
      <c r="U1034" s="87">
        <v>7765.69</v>
      </c>
    </row>
    <row r="1035" spans="1:22" s="30" customFormat="1" ht="24.6" hidden="1" outlineLevel="1" x14ac:dyDescent="0.55000000000000004">
      <c r="A1035" s="27" t="s">
        <v>327</v>
      </c>
      <c r="B1035" s="28"/>
      <c r="C1035" s="27"/>
      <c r="D1035" s="27" t="str">
        <f>"""NAV Direct"",""CRONUS JetCorp USA"",""21"",""1"",""380789"""</f>
        <v>"NAV Direct","CRONUS JetCorp USA","21","1","380789"</v>
      </c>
      <c r="E1035" s="31" t="str">
        <f t="shared" si="299"/>
        <v>C100038</v>
      </c>
      <c r="F1035" s="31"/>
      <c r="G1035" s="31"/>
      <c r="H1035" s="31"/>
      <c r="I1035" s="56"/>
      <c r="J1035" s="56"/>
      <c r="K1035" s="82" t="str">
        <f t="shared" si="300"/>
        <v>Invoice</v>
      </c>
      <c r="L1035" s="83" t="str">
        <f>"SI_111831"</f>
        <v>SI_111831</v>
      </c>
      <c r="M1035" s="84">
        <v>42506</v>
      </c>
      <c r="N1035" s="85">
        <f t="shared" si="301"/>
        <v>1306</v>
      </c>
      <c r="O1035" s="86">
        <f t="shared" si="302"/>
        <v>8959.43</v>
      </c>
      <c r="P1035" s="86">
        <f t="shared" si="303"/>
        <v>0</v>
      </c>
      <c r="Q1035" s="86">
        <f t="shared" si="304"/>
        <v>0</v>
      </c>
      <c r="R1035" s="86">
        <f t="shared" si="305"/>
        <v>0</v>
      </c>
      <c r="S1035" s="86">
        <f t="shared" si="306"/>
        <v>0</v>
      </c>
      <c r="T1035" s="86">
        <f t="shared" si="307"/>
        <v>8959.43</v>
      </c>
      <c r="U1035" s="87">
        <v>8959.43</v>
      </c>
    </row>
    <row r="1036" spans="1:22" s="30" customFormat="1" ht="24.6" hidden="1" outlineLevel="1" x14ac:dyDescent="0.55000000000000004">
      <c r="A1036" s="27" t="s">
        <v>327</v>
      </c>
      <c r="B1036" s="28"/>
      <c r="C1036" s="27"/>
      <c r="D1036" s="27" t="str">
        <f>"""NAV Direct"",""CRONUS JetCorp USA"",""21"",""1"",""381037"""</f>
        <v>"NAV Direct","CRONUS JetCorp USA","21","1","381037"</v>
      </c>
      <c r="E1036" s="31">
        <f t="shared" si="299"/>
        <v>0</v>
      </c>
      <c r="F1036" s="31"/>
      <c r="G1036" s="31"/>
      <c r="H1036" s="31"/>
      <c r="I1036" s="56"/>
      <c r="J1036" s="56"/>
      <c r="K1036" s="82" t="str">
        <f t="shared" si="300"/>
        <v>Invoice</v>
      </c>
      <c r="L1036" s="83" t="str">
        <f>"SI_111839"</f>
        <v>SI_111839</v>
      </c>
      <c r="M1036" s="84">
        <v>42671</v>
      </c>
      <c r="N1036" s="85">
        <f t="shared" si="301"/>
        <v>1141</v>
      </c>
      <c r="O1036" s="86">
        <f t="shared" si="302"/>
        <v>8931.619999999999</v>
      </c>
      <c r="P1036" s="86">
        <f t="shared" si="303"/>
        <v>0</v>
      </c>
      <c r="Q1036" s="86">
        <f t="shared" si="304"/>
        <v>0</v>
      </c>
      <c r="R1036" s="86">
        <f t="shared" si="305"/>
        <v>0</v>
      </c>
      <c r="S1036" s="86">
        <f t="shared" si="306"/>
        <v>0</v>
      </c>
      <c r="T1036" s="86">
        <f t="shared" si="307"/>
        <v>8931.619999999999</v>
      </c>
      <c r="U1036" s="87">
        <v>8931.619999999999</v>
      </c>
    </row>
    <row r="1037" spans="1:22" s="30" customFormat="1" ht="24.6" hidden="1" outlineLevel="1" x14ac:dyDescent="0.55000000000000004">
      <c r="A1037" s="27" t="s">
        <v>327</v>
      </c>
      <c r="B1037" s="28"/>
      <c r="C1037" s="27"/>
      <c r="D1037" s="27" t="str">
        <f>"""NAV Direct"",""CRONUS JetCorp USA"",""21"",""1"",""381232"""</f>
        <v>"NAV Direct","CRONUS JetCorp USA","21","1","381232"</v>
      </c>
      <c r="E1037" s="31" t="str">
        <f t="shared" si="299"/>
        <v>C100038</v>
      </c>
      <c r="F1037" s="31"/>
      <c r="G1037" s="31"/>
      <c r="H1037" s="31"/>
      <c r="I1037" s="56"/>
      <c r="J1037" s="56"/>
      <c r="K1037" s="82" t="str">
        <f t="shared" si="300"/>
        <v>Invoice</v>
      </c>
      <c r="L1037" s="83" t="str">
        <f>"SI_111846"</f>
        <v>SI_111846</v>
      </c>
      <c r="M1037" s="84">
        <v>42824</v>
      </c>
      <c r="N1037" s="85">
        <f t="shared" si="301"/>
        <v>988</v>
      </c>
      <c r="O1037" s="86">
        <f t="shared" si="302"/>
        <v>9191.51</v>
      </c>
      <c r="P1037" s="86">
        <f t="shared" si="303"/>
        <v>0</v>
      </c>
      <c r="Q1037" s="86">
        <f t="shared" si="304"/>
        <v>0</v>
      </c>
      <c r="R1037" s="86">
        <f t="shared" si="305"/>
        <v>0</v>
      </c>
      <c r="S1037" s="86">
        <f t="shared" si="306"/>
        <v>0</v>
      </c>
      <c r="T1037" s="86">
        <f t="shared" si="307"/>
        <v>9191.51</v>
      </c>
      <c r="U1037" s="87">
        <v>9191.51</v>
      </c>
    </row>
    <row r="1038" spans="1:22" s="30" customFormat="1" ht="24.6" hidden="1" outlineLevel="1" x14ac:dyDescent="0.55000000000000004">
      <c r="A1038" s="27" t="s">
        <v>327</v>
      </c>
      <c r="B1038" s="28"/>
      <c r="C1038" s="27"/>
      <c r="D1038" s="27" t="str">
        <f>"""NAV Direct"",""CRONUS JetCorp USA"",""21"",""1"",""381616"""</f>
        <v>"NAV Direct","CRONUS JetCorp USA","21","1","381616"</v>
      </c>
      <c r="E1038" s="31">
        <f t="shared" si="299"/>
        <v>0</v>
      </c>
      <c r="F1038" s="31"/>
      <c r="G1038" s="31"/>
      <c r="H1038" s="31"/>
      <c r="I1038" s="56"/>
      <c r="J1038" s="56"/>
      <c r="K1038" s="82" t="str">
        <f t="shared" si="300"/>
        <v>Invoice</v>
      </c>
      <c r="L1038" s="83" t="str">
        <f>"SI_111858"</f>
        <v>SI_111858</v>
      </c>
      <c r="M1038" s="84">
        <v>43062</v>
      </c>
      <c r="N1038" s="85">
        <f t="shared" si="301"/>
        <v>750</v>
      </c>
      <c r="O1038" s="86">
        <f t="shared" si="302"/>
        <v>12641.38</v>
      </c>
      <c r="P1038" s="86">
        <f t="shared" si="303"/>
        <v>0</v>
      </c>
      <c r="Q1038" s="86">
        <f t="shared" si="304"/>
        <v>0</v>
      </c>
      <c r="R1038" s="86">
        <f t="shared" si="305"/>
        <v>0</v>
      </c>
      <c r="S1038" s="86">
        <f t="shared" si="306"/>
        <v>0</v>
      </c>
      <c r="T1038" s="86">
        <f t="shared" si="307"/>
        <v>12641.38</v>
      </c>
      <c r="U1038" s="87">
        <v>12641.38</v>
      </c>
    </row>
    <row r="1039" spans="1:22" s="30" customFormat="1" ht="24.6" hidden="1" outlineLevel="1" x14ac:dyDescent="0.55000000000000004">
      <c r="A1039" s="27" t="s">
        <v>327</v>
      </c>
      <c r="B1039" s="28"/>
      <c r="C1039" s="27"/>
      <c r="D1039" s="27" t="str">
        <f>"""NAV Direct"",""CRONUS JetCorp USA"",""21"",""1"",""381779"""</f>
        <v>"NAV Direct","CRONUS JetCorp USA","21","1","381779"</v>
      </c>
      <c r="E1039" s="31" t="str">
        <f t="shared" si="299"/>
        <v>C100038</v>
      </c>
      <c r="F1039" s="31"/>
      <c r="G1039" s="31"/>
      <c r="H1039" s="31"/>
      <c r="I1039" s="56"/>
      <c r="J1039" s="56"/>
      <c r="K1039" s="82" t="str">
        <f t="shared" si="300"/>
        <v>Invoice</v>
      </c>
      <c r="L1039" s="83" t="str">
        <f>"SI_111863"</f>
        <v>SI_111863</v>
      </c>
      <c r="M1039" s="84">
        <v>43156</v>
      </c>
      <c r="N1039" s="85">
        <f t="shared" si="301"/>
        <v>656</v>
      </c>
      <c r="O1039" s="86">
        <f t="shared" si="302"/>
        <v>11202.02</v>
      </c>
      <c r="P1039" s="86">
        <f t="shared" si="303"/>
        <v>0</v>
      </c>
      <c r="Q1039" s="86">
        <f t="shared" si="304"/>
        <v>0</v>
      </c>
      <c r="R1039" s="86">
        <f t="shared" si="305"/>
        <v>0</v>
      </c>
      <c r="S1039" s="86">
        <f t="shared" si="306"/>
        <v>0</v>
      </c>
      <c r="T1039" s="86">
        <f t="shared" si="307"/>
        <v>11202.02</v>
      </c>
      <c r="U1039" s="87">
        <v>11202.02</v>
      </c>
    </row>
    <row r="1040" spans="1:22" s="30" customFormat="1" ht="24.6" hidden="1" outlineLevel="1" x14ac:dyDescent="0.55000000000000004">
      <c r="A1040" s="27" t="s">
        <v>327</v>
      </c>
      <c r="B1040" s="28"/>
      <c r="C1040" s="27"/>
      <c r="D1040" s="27" t="str">
        <f>"""NAV Direct"",""CRONUS JetCorp USA"",""21"",""1"",""382406"""</f>
        <v>"NAV Direct","CRONUS JetCorp USA","21","1","382406"</v>
      </c>
      <c r="E1040" s="31">
        <f t="shared" si="299"/>
        <v>0</v>
      </c>
      <c r="F1040" s="31"/>
      <c r="G1040" s="31"/>
      <c r="H1040" s="31"/>
      <c r="I1040" s="56"/>
      <c r="J1040" s="56"/>
      <c r="K1040" s="82" t="str">
        <f t="shared" si="300"/>
        <v>Invoice</v>
      </c>
      <c r="L1040" s="83" t="str">
        <f>"SI_111882"</f>
        <v>SI_111882</v>
      </c>
      <c r="M1040" s="84">
        <v>43512</v>
      </c>
      <c r="N1040" s="85">
        <f t="shared" si="301"/>
        <v>300</v>
      </c>
      <c r="O1040" s="86">
        <f t="shared" si="302"/>
        <v>13567.33</v>
      </c>
      <c r="P1040" s="86">
        <f t="shared" si="303"/>
        <v>0</v>
      </c>
      <c r="Q1040" s="86">
        <f t="shared" si="304"/>
        <v>0</v>
      </c>
      <c r="R1040" s="86">
        <f t="shared" si="305"/>
        <v>0</v>
      </c>
      <c r="S1040" s="86">
        <f t="shared" si="306"/>
        <v>0</v>
      </c>
      <c r="T1040" s="86">
        <f t="shared" si="307"/>
        <v>13567.33</v>
      </c>
      <c r="U1040" s="87">
        <v>13567.33</v>
      </c>
    </row>
    <row r="1041" spans="1:22" s="30" customFormat="1" ht="24.6" hidden="1" outlineLevel="1" x14ac:dyDescent="0.55000000000000004">
      <c r="A1041" s="27" t="s">
        <v>327</v>
      </c>
      <c r="B1041" s="28"/>
      <c r="C1041" s="27"/>
      <c r="D1041" s="27" t="str">
        <f>"""NAV Direct"",""CRONUS JetCorp USA"",""21"",""1"",""382703"""</f>
        <v>"NAV Direct","CRONUS JetCorp USA","21","1","382703"</v>
      </c>
      <c r="E1041" s="31" t="str">
        <f t="shared" si="299"/>
        <v>C100038</v>
      </c>
      <c r="F1041" s="31"/>
      <c r="G1041" s="31"/>
      <c r="H1041" s="31"/>
      <c r="I1041" s="56"/>
      <c r="J1041" s="56"/>
      <c r="K1041" s="82" t="str">
        <f t="shared" si="300"/>
        <v>Invoice</v>
      </c>
      <c r="L1041" s="83" t="str">
        <f>"SI_111891"</f>
        <v>SI_111891</v>
      </c>
      <c r="M1041" s="84">
        <v>43671</v>
      </c>
      <c r="N1041" s="85">
        <f t="shared" si="301"/>
        <v>141</v>
      </c>
      <c r="O1041" s="86">
        <f t="shared" si="302"/>
        <v>13022.47</v>
      </c>
      <c r="P1041" s="86">
        <f t="shared" si="303"/>
        <v>0</v>
      </c>
      <c r="Q1041" s="86">
        <f t="shared" si="304"/>
        <v>0</v>
      </c>
      <c r="R1041" s="86">
        <f t="shared" si="305"/>
        <v>0</v>
      </c>
      <c r="S1041" s="86">
        <f t="shared" si="306"/>
        <v>0</v>
      </c>
      <c r="T1041" s="86">
        <f t="shared" si="307"/>
        <v>13022.47</v>
      </c>
      <c r="U1041" s="87">
        <v>13022.47</v>
      </c>
    </row>
    <row r="1042" spans="1:22" s="30" customFormat="1" ht="24.6" hidden="1" outlineLevel="1" x14ac:dyDescent="0.55000000000000004">
      <c r="A1042" s="27" t="s">
        <v>327</v>
      </c>
      <c r="B1042" s="28"/>
      <c r="C1042" s="27"/>
      <c r="D1042" s="27" t="str">
        <f>"""NAV Direct"",""CRONUS JetCorp USA"",""21"",""1"",""382823"""</f>
        <v>"NAV Direct","CRONUS JetCorp USA","21","1","382823"</v>
      </c>
      <c r="E1042" s="31">
        <f t="shared" si="299"/>
        <v>0</v>
      </c>
      <c r="F1042" s="31"/>
      <c r="G1042" s="31"/>
      <c r="H1042" s="31"/>
      <c r="I1042" s="56"/>
      <c r="J1042" s="56"/>
      <c r="K1042" s="82" t="str">
        <f t="shared" si="300"/>
        <v>Invoice</v>
      </c>
      <c r="L1042" s="83" t="str">
        <f>"SI_111895"</f>
        <v>SI_111895</v>
      </c>
      <c r="M1042" s="84">
        <v>43740</v>
      </c>
      <c r="N1042" s="85">
        <f t="shared" si="301"/>
        <v>72</v>
      </c>
      <c r="O1042" s="86">
        <f t="shared" si="302"/>
        <v>10828.68</v>
      </c>
      <c r="P1042" s="86">
        <f t="shared" si="303"/>
        <v>0</v>
      </c>
      <c r="Q1042" s="86">
        <f t="shared" si="304"/>
        <v>0</v>
      </c>
      <c r="R1042" s="86">
        <f t="shared" si="305"/>
        <v>0</v>
      </c>
      <c r="S1042" s="86">
        <f t="shared" si="306"/>
        <v>10828.68</v>
      </c>
      <c r="T1042" s="86">
        <f t="shared" si="307"/>
        <v>0</v>
      </c>
      <c r="U1042" s="87">
        <v>10828.68</v>
      </c>
    </row>
    <row r="1043" spans="1:22" s="30" customFormat="1" ht="24.6" hidden="1" outlineLevel="1" x14ac:dyDescent="0.55000000000000004">
      <c r="A1043" s="27" t="s">
        <v>327</v>
      </c>
      <c r="B1043" s="28"/>
      <c r="C1043" s="27"/>
      <c r="D1043" s="27" t="str">
        <f>"""NAV Direct"",""CRONUS JetCorp USA"",""21"",""1"",""382899"""</f>
        <v>"NAV Direct","CRONUS JetCorp USA","21","1","382899"</v>
      </c>
      <c r="E1043" s="31" t="str">
        <f t="shared" si="299"/>
        <v>C100038</v>
      </c>
      <c r="F1043" s="31"/>
      <c r="G1043" s="31"/>
      <c r="H1043" s="31"/>
      <c r="I1043" s="56"/>
      <c r="J1043" s="56"/>
      <c r="K1043" s="82" t="str">
        <f t="shared" si="300"/>
        <v>Invoice</v>
      </c>
      <c r="L1043" s="83" t="str">
        <f>"SI_111897"</f>
        <v>SI_111897</v>
      </c>
      <c r="M1043" s="84">
        <v>43788</v>
      </c>
      <c r="N1043" s="85">
        <f t="shared" si="301"/>
        <v>24</v>
      </c>
      <c r="O1043" s="86">
        <f t="shared" si="302"/>
        <v>14509.109999999999</v>
      </c>
      <c r="P1043" s="86">
        <f t="shared" si="303"/>
        <v>0</v>
      </c>
      <c r="Q1043" s="86">
        <f t="shared" si="304"/>
        <v>14509.109999999999</v>
      </c>
      <c r="R1043" s="86">
        <f t="shared" si="305"/>
        <v>0</v>
      </c>
      <c r="S1043" s="86">
        <f t="shared" si="306"/>
        <v>0</v>
      </c>
      <c r="T1043" s="86">
        <f t="shared" si="307"/>
        <v>0</v>
      </c>
      <c r="U1043" s="87">
        <v>14509.109999999999</v>
      </c>
    </row>
    <row r="1044" spans="1:22" s="30" customFormat="1" ht="24.6" hidden="1" outlineLevel="1" x14ac:dyDescent="0.55000000000000004">
      <c r="A1044" s="27" t="s">
        <v>327</v>
      </c>
      <c r="B1044" s="28"/>
      <c r="C1044" s="27"/>
      <c r="D1044" s="27" t="str">
        <f>"""NAV Direct"",""CRONUS JetCorp USA"",""21"",""1"",""383580"""</f>
        <v>"NAV Direct","CRONUS JetCorp USA","21","1","383580"</v>
      </c>
      <c r="E1044" s="31">
        <f t="shared" si="299"/>
        <v>0</v>
      </c>
      <c r="F1044" s="31"/>
      <c r="G1044" s="31"/>
      <c r="H1044" s="31"/>
      <c r="I1044" s="56"/>
      <c r="J1044" s="56"/>
      <c r="K1044" s="82" t="str">
        <f t="shared" si="300"/>
        <v>Invoice</v>
      </c>
      <c r="L1044" s="83" t="str">
        <f>"SI_111916"</f>
        <v>SI_111916</v>
      </c>
      <c r="M1044" s="84">
        <v>42329</v>
      </c>
      <c r="N1044" s="85">
        <f t="shared" si="301"/>
        <v>1483</v>
      </c>
      <c r="O1044" s="86">
        <f t="shared" si="302"/>
        <v>13200.58</v>
      </c>
      <c r="P1044" s="86">
        <f t="shared" si="303"/>
        <v>0</v>
      </c>
      <c r="Q1044" s="86">
        <f t="shared" si="304"/>
        <v>0</v>
      </c>
      <c r="R1044" s="86">
        <f t="shared" si="305"/>
        <v>0</v>
      </c>
      <c r="S1044" s="86">
        <f t="shared" si="306"/>
        <v>0</v>
      </c>
      <c r="T1044" s="86">
        <f t="shared" si="307"/>
        <v>13200.58</v>
      </c>
      <c r="U1044" s="87">
        <v>13200.58</v>
      </c>
    </row>
    <row r="1045" spans="1:22" s="30" customFormat="1" ht="24.6" hidden="1" outlineLevel="1" x14ac:dyDescent="0.55000000000000004">
      <c r="A1045" s="27" t="s">
        <v>327</v>
      </c>
      <c r="B1045" s="28"/>
      <c r="C1045" s="27"/>
      <c r="D1045" s="27" t="str">
        <f>"""NAV Direct"",""CRONUS JetCorp USA"",""21"",""1"",""438366"""</f>
        <v>"NAV Direct","CRONUS JetCorp USA","21","1","438366"</v>
      </c>
      <c r="E1045" s="31" t="str">
        <f t="shared" si="299"/>
        <v>C100038</v>
      </c>
      <c r="F1045" s="31"/>
      <c r="G1045" s="31"/>
      <c r="H1045" s="31"/>
      <c r="I1045" s="56"/>
      <c r="J1045" s="56"/>
      <c r="K1045" s="82" t="str">
        <f>"Credit Memo"</f>
        <v>Credit Memo</v>
      </c>
      <c r="L1045" s="83" t="str">
        <f>"SC_100810"</f>
        <v>SC_100810</v>
      </c>
      <c r="M1045" s="84">
        <v>43021</v>
      </c>
      <c r="N1045" s="85">
        <f t="shared" si="301"/>
        <v>791</v>
      </c>
      <c r="O1045" s="86">
        <f t="shared" si="302"/>
        <v>-110.5</v>
      </c>
      <c r="P1045" s="86">
        <f t="shared" si="303"/>
        <v>0</v>
      </c>
      <c r="Q1045" s="86">
        <f t="shared" si="304"/>
        <v>0</v>
      </c>
      <c r="R1045" s="86">
        <f t="shared" si="305"/>
        <v>0</v>
      </c>
      <c r="S1045" s="86">
        <f t="shared" si="306"/>
        <v>0</v>
      </c>
      <c r="T1045" s="86">
        <f t="shared" si="307"/>
        <v>-110.5</v>
      </c>
      <c r="U1045" s="87">
        <v>-110.5</v>
      </c>
    </row>
    <row r="1046" spans="1:22" s="30" customFormat="1" ht="24.6" hidden="1" outlineLevel="1" x14ac:dyDescent="0.55000000000000004">
      <c r="A1046" s="27" t="s">
        <v>327</v>
      </c>
      <c r="B1046" s="28"/>
      <c r="C1046" s="27"/>
      <c r="D1046" s="27" t="str">
        <f>"""NAV Direct"",""CRONUS JetCorp USA"",""21"",""1"",""438459"""</f>
        <v>"NAV Direct","CRONUS JetCorp USA","21","1","438459"</v>
      </c>
      <c r="E1046" s="31">
        <f t="shared" si="299"/>
        <v>0</v>
      </c>
      <c r="F1046" s="31"/>
      <c r="G1046" s="31"/>
      <c r="H1046" s="31"/>
      <c r="I1046" s="56"/>
      <c r="J1046" s="56"/>
      <c r="K1046" s="82" t="str">
        <f>"Credit Memo"</f>
        <v>Credit Memo</v>
      </c>
      <c r="L1046" s="83" t="str">
        <f>"SC_100817"</f>
        <v>SC_100817</v>
      </c>
      <c r="M1046" s="84">
        <v>43419</v>
      </c>
      <c r="N1046" s="85">
        <f t="shared" si="301"/>
        <v>393</v>
      </c>
      <c r="O1046" s="86">
        <f t="shared" si="302"/>
        <v>-113.78999999999999</v>
      </c>
      <c r="P1046" s="86">
        <f t="shared" si="303"/>
        <v>0</v>
      </c>
      <c r="Q1046" s="86">
        <f t="shared" si="304"/>
        <v>0</v>
      </c>
      <c r="R1046" s="86">
        <f t="shared" si="305"/>
        <v>0</v>
      </c>
      <c r="S1046" s="86">
        <f t="shared" si="306"/>
        <v>0</v>
      </c>
      <c r="T1046" s="86">
        <f t="shared" si="307"/>
        <v>-113.78999999999999</v>
      </c>
      <c r="U1046" s="87">
        <v>-113.78999999999999</v>
      </c>
    </row>
    <row r="1047" spans="1:22" s="30" customFormat="1" ht="24.6" hidden="1" outlineLevel="1" x14ac:dyDescent="0.55000000000000004">
      <c r="A1047" s="27" t="s">
        <v>327</v>
      </c>
      <c r="B1047" s="28"/>
      <c r="C1047" s="27"/>
      <c r="D1047" s="27" t="str">
        <f>"""NAV Direct"",""CRONUS JetCorp USA"",""21"",""1"",""438534"""</f>
        <v>"NAV Direct","CRONUS JetCorp USA","21","1","438534"</v>
      </c>
      <c r="E1047" s="31" t="str">
        <f t="shared" si="299"/>
        <v>C100038</v>
      </c>
      <c r="F1047" s="31"/>
      <c r="G1047" s="31"/>
      <c r="H1047" s="31"/>
      <c r="I1047" s="56"/>
      <c r="J1047" s="56"/>
      <c r="K1047" s="82" t="str">
        <f>"Credit Memo"</f>
        <v>Credit Memo</v>
      </c>
      <c r="L1047" s="83" t="str">
        <f>"SC_100822"</f>
        <v>SC_100822</v>
      </c>
      <c r="M1047" s="84">
        <v>42078</v>
      </c>
      <c r="N1047" s="85">
        <f t="shared" si="301"/>
        <v>1734</v>
      </c>
      <c r="O1047" s="86">
        <f t="shared" si="302"/>
        <v>-124.02999999999999</v>
      </c>
      <c r="P1047" s="86">
        <f t="shared" si="303"/>
        <v>0</v>
      </c>
      <c r="Q1047" s="86">
        <f t="shared" si="304"/>
        <v>0</v>
      </c>
      <c r="R1047" s="86">
        <f t="shared" si="305"/>
        <v>0</v>
      </c>
      <c r="S1047" s="86">
        <f t="shared" si="306"/>
        <v>0</v>
      </c>
      <c r="T1047" s="86">
        <f t="shared" si="307"/>
        <v>-124.02999999999999</v>
      </c>
      <c r="U1047" s="87">
        <v>-124.02999999999999</v>
      </c>
    </row>
    <row r="1048" spans="1:22" s="22" customFormat="1" ht="20.399999999999999" collapsed="1" x14ac:dyDescent="0.45">
      <c r="A1048" s="12" t="s">
        <v>327</v>
      </c>
      <c r="B1048" s="19"/>
      <c r="C1048" s="12"/>
      <c r="D1048" s="12"/>
      <c r="E1048" s="23"/>
      <c r="F1048" s="23"/>
      <c r="G1048" s="23"/>
      <c r="H1048" s="23"/>
      <c r="I1048" s="49"/>
      <c r="J1048" s="88"/>
      <c r="K1048" s="88"/>
      <c r="L1048" s="89"/>
      <c r="M1048" s="89"/>
      <c r="N1048" s="89"/>
      <c r="O1048" s="89"/>
      <c r="P1048" s="89"/>
      <c r="Q1048" s="90"/>
      <c r="R1048" s="90"/>
      <c r="S1048" s="91"/>
      <c r="T1048" s="92"/>
      <c r="U1048" s="92"/>
    </row>
    <row r="1049" spans="1:22" s="22" customFormat="1" ht="20.399999999999999" x14ac:dyDescent="0.45">
      <c r="A1049" s="12" t="s">
        <v>327</v>
      </c>
      <c r="B1049" s="19"/>
      <c r="C1049" s="12"/>
      <c r="D1049" s="12"/>
      <c r="E1049" s="23"/>
      <c r="F1049" s="23"/>
      <c r="G1049" s="23"/>
      <c r="H1049" s="23"/>
      <c r="I1049" s="49"/>
      <c r="J1049" s="88"/>
      <c r="K1049" s="88"/>
      <c r="L1049" s="89"/>
      <c r="M1049" s="89"/>
      <c r="N1049" s="89"/>
      <c r="O1049" s="89"/>
      <c r="P1049" s="89"/>
      <c r="Q1049" s="90"/>
      <c r="R1049" s="90"/>
      <c r="S1049" s="91"/>
      <c r="T1049" s="92"/>
      <c r="U1049" s="92"/>
    </row>
    <row r="1050" spans="1:22" s="26" customFormat="1" ht="24.6" x14ac:dyDescent="0.55000000000000004">
      <c r="A1050" s="27" t="s">
        <v>327</v>
      </c>
      <c r="B1050" s="28"/>
      <c r="C1050" s="27" t="str">
        <f>"""NAV Direct"",""CRONUS JetCorp USA"",""18"",""1"",""C100039"""</f>
        <v>"NAV Direct","CRONUS JetCorp USA","18","1","C100039"</v>
      </c>
      <c r="D1050" s="27"/>
      <c r="E1050" s="28" t="str">
        <f>H1050</f>
        <v>C100039</v>
      </c>
      <c r="F1050" s="28"/>
      <c r="G1050" s="28"/>
      <c r="H1050" s="28" t="str">
        <f>"C100039"</f>
        <v>C100039</v>
      </c>
      <c r="I1050" s="116" t="str">
        <f>"C100039  -  Gary's Sports"</f>
        <v>C100039  -  Gary's Sports</v>
      </c>
      <c r="J1050" s="117" t="str">
        <f>""</f>
        <v/>
      </c>
      <c r="K1050" s="118"/>
      <c r="L1050" s="119">
        <f>SUBTOTAL(3,L1051:L1107)</f>
        <v>53</v>
      </c>
      <c r="M1050" s="118"/>
      <c r="N1050" s="118"/>
      <c r="O1050" s="120">
        <f t="shared" ref="O1050:T1050" si="308">SUBTOTAL(9,O1051:O1107)</f>
        <v>787022.90000000014</v>
      </c>
      <c r="P1050" s="120">
        <f t="shared" si="308"/>
        <v>0</v>
      </c>
      <c r="Q1050" s="120">
        <f t="shared" si="308"/>
        <v>39327.89</v>
      </c>
      <c r="R1050" s="120">
        <f t="shared" si="308"/>
        <v>0</v>
      </c>
      <c r="S1050" s="120">
        <f t="shared" si="308"/>
        <v>18148.350000000002</v>
      </c>
      <c r="T1050" s="120">
        <f t="shared" si="308"/>
        <v>729546.66000000015</v>
      </c>
      <c r="U1050" s="81"/>
    </row>
    <row r="1051" spans="1:22" s="26" customFormat="1" ht="24.6" x14ac:dyDescent="0.55000000000000004">
      <c r="A1051" s="27" t="s">
        <v>327</v>
      </c>
      <c r="B1051" s="28"/>
      <c r="C1051" s="27" t="str">
        <f>C1050</f>
        <v>"NAV Direct","CRONUS JetCorp USA","18","1","C100039"</v>
      </c>
      <c r="D1051" s="27"/>
      <c r="E1051" s="28" t="str">
        <f>E1050</f>
        <v>C100039</v>
      </c>
      <c r="F1051" s="28"/>
      <c r="G1051" s="28"/>
      <c r="H1051" s="28"/>
      <c r="I1051" s="121" t="str">
        <f>"Contact: James Madison"</f>
        <v>Contact: James Madison</v>
      </c>
      <c r="J1051" s="121"/>
      <c r="K1051" s="122"/>
      <c r="L1051" s="123"/>
      <c r="M1051" s="123"/>
      <c r="N1051" s="124"/>
      <c r="O1051" s="124"/>
      <c r="P1051" s="123"/>
      <c r="Q1051" s="125"/>
      <c r="R1051" s="126"/>
      <c r="S1051" s="126"/>
      <c r="T1051" s="125"/>
      <c r="U1051" s="81"/>
    </row>
    <row r="1052" spans="1:22" s="26" customFormat="1" ht="24.6" x14ac:dyDescent="0.55000000000000004">
      <c r="A1052" s="27" t="s">
        <v>327</v>
      </c>
      <c r="B1052" s="28"/>
      <c r="C1052" s="27" t="str">
        <f>C1051</f>
        <v>"NAV Direct","CRONUS JetCorp USA","18","1","C100039"</v>
      </c>
      <c r="D1052" s="27"/>
      <c r="E1052" s="28" t="str">
        <f>E1051</f>
        <v>C100039</v>
      </c>
      <c r="F1052" s="28"/>
      <c r="G1052" s="28"/>
      <c r="H1052" s="28"/>
      <c r="I1052" s="121" t="str">
        <f>"Gary's Sports@Cronus.com"</f>
        <v>Gary's Sports@Cronus.com</v>
      </c>
      <c r="J1052" s="121"/>
      <c r="K1052" s="122"/>
      <c r="L1052" s="124"/>
      <c r="M1052" s="124"/>
      <c r="N1052" s="124"/>
      <c r="O1052" s="124"/>
      <c r="P1052" s="123"/>
      <c r="Q1052" s="125"/>
      <c r="R1052" s="126"/>
      <c r="S1052" s="126"/>
      <c r="T1052" s="125"/>
      <c r="U1052" s="81"/>
    </row>
    <row r="1053" spans="1:22" ht="12.75" hidden="1" customHeight="1" outlineLevel="1" x14ac:dyDescent="0.45">
      <c r="A1053" s="12" t="s">
        <v>328</v>
      </c>
      <c r="B1053" s="19"/>
      <c r="E1053" s="19"/>
      <c r="F1053" s="19"/>
      <c r="G1053" s="19"/>
      <c r="H1053" s="19"/>
      <c r="I1053" s="61"/>
      <c r="J1053" s="61"/>
      <c r="K1053" s="61"/>
      <c r="L1053" s="61"/>
      <c r="M1053" s="61"/>
      <c r="N1053" s="61"/>
      <c r="O1053" s="61"/>
      <c r="P1053" s="61"/>
      <c r="Q1053" s="61"/>
      <c r="R1053" s="61"/>
      <c r="S1053" s="61"/>
      <c r="T1053" s="61"/>
      <c r="U1053" s="61"/>
      <c r="V1053" s="21"/>
    </row>
    <row r="1054" spans="1:22" s="30" customFormat="1" ht="24.6" hidden="1" outlineLevel="1" x14ac:dyDescent="0.55000000000000004">
      <c r="A1054" s="27" t="s">
        <v>327</v>
      </c>
      <c r="B1054" s="28"/>
      <c r="C1054" s="27"/>
      <c r="D1054" s="27" t="str">
        <f>"""NAV Direct"",""CRONUS JetCorp USA"",""21"",""1"",""303823"""</f>
        <v>"NAV Direct","CRONUS JetCorp USA","21","1","303823"</v>
      </c>
      <c r="E1054" s="31" t="str">
        <f t="shared" ref="E1054:E1085" si="309">E1052</f>
        <v>C100039</v>
      </c>
      <c r="F1054" s="31"/>
      <c r="G1054" s="31"/>
      <c r="H1054" s="31"/>
      <c r="I1054" s="56"/>
      <c r="J1054" s="56"/>
      <c r="K1054" s="82" t="str">
        <f t="shared" ref="K1054:K1095" si="310">"Invoice"</f>
        <v>Invoice</v>
      </c>
      <c r="L1054" s="83" t="str">
        <f>"SI_109345"</f>
        <v>SI_109345</v>
      </c>
      <c r="M1054" s="84">
        <v>43041</v>
      </c>
      <c r="N1054" s="85">
        <f t="shared" ref="N1054:N1085" si="311">StartDate-$M1054+1</f>
        <v>771</v>
      </c>
      <c r="O1054" s="86">
        <f t="shared" ref="O1054:O1085" si="312">SUM(P1054:T1054)</f>
        <v>18155.439999999999</v>
      </c>
      <c r="P1054" s="86">
        <f t="shared" ref="P1054:P1085" si="313">IF($M1054&gt;=$P$18,U1054,0)</f>
        <v>0</v>
      </c>
      <c r="Q1054" s="86">
        <f t="shared" ref="Q1054:Q1085" si="314">IF(AND($M1054&gt;=$Q$16,$M1054&lt;=$Q$18),U1054,0)</f>
        <v>0</v>
      </c>
      <c r="R1054" s="86">
        <f t="shared" ref="R1054:R1085" si="315">IF(AND($M1054&gt;=$R$16,$M1054&lt;=$R$18),U1054,0)</f>
        <v>0</v>
      </c>
      <c r="S1054" s="86">
        <f t="shared" ref="S1054:S1085" si="316">IF(AND($M1054&gt;=$S$16,$M1054&lt;=$S$18),U1054,0)</f>
        <v>0</v>
      </c>
      <c r="T1054" s="86">
        <f t="shared" ref="T1054:T1085" si="317">IF($M1054&lt;=$T$18,U1054,0)</f>
        <v>18155.439999999999</v>
      </c>
      <c r="U1054" s="87">
        <v>18155.439999999999</v>
      </c>
    </row>
    <row r="1055" spans="1:22" s="30" customFormat="1" ht="24.6" hidden="1" outlineLevel="1" x14ac:dyDescent="0.55000000000000004">
      <c r="A1055" s="27" t="s">
        <v>327</v>
      </c>
      <c r="B1055" s="28"/>
      <c r="C1055" s="27"/>
      <c r="D1055" s="27" t="str">
        <f>"""NAV Direct"",""CRONUS JetCorp USA"",""21"",""1"",""335250"""</f>
        <v>"NAV Direct","CRONUS JetCorp USA","21","1","335250"</v>
      </c>
      <c r="E1055" s="31">
        <f t="shared" si="309"/>
        <v>0</v>
      </c>
      <c r="F1055" s="31"/>
      <c r="G1055" s="31"/>
      <c r="H1055" s="31"/>
      <c r="I1055" s="56"/>
      <c r="J1055" s="56"/>
      <c r="K1055" s="82" t="str">
        <f t="shared" si="310"/>
        <v>Invoice</v>
      </c>
      <c r="L1055" s="83" t="str">
        <f>"SI_110596"</f>
        <v>SI_110596</v>
      </c>
      <c r="M1055" s="84">
        <v>42429</v>
      </c>
      <c r="N1055" s="85">
        <f t="shared" si="311"/>
        <v>1383</v>
      </c>
      <c r="O1055" s="86">
        <f t="shared" si="312"/>
        <v>15085.47</v>
      </c>
      <c r="P1055" s="86">
        <f t="shared" si="313"/>
        <v>0</v>
      </c>
      <c r="Q1055" s="86">
        <f t="shared" si="314"/>
        <v>0</v>
      </c>
      <c r="R1055" s="86">
        <f t="shared" si="315"/>
        <v>0</v>
      </c>
      <c r="S1055" s="86">
        <f t="shared" si="316"/>
        <v>0</v>
      </c>
      <c r="T1055" s="86">
        <f t="shared" si="317"/>
        <v>15085.47</v>
      </c>
      <c r="U1055" s="87">
        <v>15085.47</v>
      </c>
    </row>
    <row r="1056" spans="1:22" s="30" customFormat="1" ht="24.6" hidden="1" outlineLevel="1" x14ac:dyDescent="0.55000000000000004">
      <c r="A1056" s="27" t="s">
        <v>327</v>
      </c>
      <c r="B1056" s="28"/>
      <c r="C1056" s="27"/>
      <c r="D1056" s="27" t="str">
        <f>"""NAV Direct"",""CRONUS JetCorp USA"",""21"",""1"",""335651"""</f>
        <v>"NAV Direct","CRONUS JetCorp USA","21","1","335651"</v>
      </c>
      <c r="E1056" s="31" t="str">
        <f t="shared" si="309"/>
        <v>C100039</v>
      </c>
      <c r="F1056" s="31"/>
      <c r="G1056" s="31"/>
      <c r="H1056" s="31"/>
      <c r="I1056" s="56"/>
      <c r="J1056" s="56"/>
      <c r="K1056" s="82" t="str">
        <f t="shared" si="310"/>
        <v>Invoice</v>
      </c>
      <c r="L1056" s="83" t="str">
        <f>"SI_110607"</f>
        <v>SI_110607</v>
      </c>
      <c r="M1056" s="84">
        <v>42452</v>
      </c>
      <c r="N1056" s="85">
        <f t="shared" si="311"/>
        <v>1360</v>
      </c>
      <c r="O1056" s="86">
        <f t="shared" si="312"/>
        <v>16833.54</v>
      </c>
      <c r="P1056" s="86">
        <f t="shared" si="313"/>
        <v>0</v>
      </c>
      <c r="Q1056" s="86">
        <f t="shared" si="314"/>
        <v>0</v>
      </c>
      <c r="R1056" s="86">
        <f t="shared" si="315"/>
        <v>0</v>
      </c>
      <c r="S1056" s="86">
        <f t="shared" si="316"/>
        <v>0</v>
      </c>
      <c r="T1056" s="86">
        <f t="shared" si="317"/>
        <v>16833.54</v>
      </c>
      <c r="U1056" s="87">
        <v>16833.54</v>
      </c>
    </row>
    <row r="1057" spans="1:21" s="30" customFormat="1" ht="24.6" hidden="1" outlineLevel="1" x14ac:dyDescent="0.55000000000000004">
      <c r="A1057" s="27" t="s">
        <v>327</v>
      </c>
      <c r="B1057" s="28"/>
      <c r="C1057" s="27"/>
      <c r="D1057" s="27" t="str">
        <f>"""NAV Direct"",""CRONUS JetCorp USA"",""21"",""1"",""335686"""</f>
        <v>"NAV Direct","CRONUS JetCorp USA","21","1","335686"</v>
      </c>
      <c r="E1057" s="31">
        <f t="shared" si="309"/>
        <v>0</v>
      </c>
      <c r="F1057" s="31"/>
      <c r="G1057" s="31"/>
      <c r="H1057" s="31"/>
      <c r="I1057" s="56"/>
      <c r="J1057" s="56"/>
      <c r="K1057" s="82" t="str">
        <f t="shared" si="310"/>
        <v>Invoice</v>
      </c>
      <c r="L1057" s="83" t="str">
        <f>"SI_110608"</f>
        <v>SI_110608</v>
      </c>
      <c r="M1057" s="84">
        <v>42459</v>
      </c>
      <c r="N1057" s="85">
        <f t="shared" si="311"/>
        <v>1353</v>
      </c>
      <c r="O1057" s="86">
        <f t="shared" si="312"/>
        <v>15429.94</v>
      </c>
      <c r="P1057" s="86">
        <f t="shared" si="313"/>
        <v>0</v>
      </c>
      <c r="Q1057" s="86">
        <f t="shared" si="314"/>
        <v>0</v>
      </c>
      <c r="R1057" s="86">
        <f t="shared" si="315"/>
        <v>0</v>
      </c>
      <c r="S1057" s="86">
        <f t="shared" si="316"/>
        <v>0</v>
      </c>
      <c r="T1057" s="86">
        <f t="shared" si="317"/>
        <v>15429.94</v>
      </c>
      <c r="U1057" s="87">
        <v>15429.94</v>
      </c>
    </row>
    <row r="1058" spans="1:21" s="30" customFormat="1" ht="24.6" hidden="1" outlineLevel="1" x14ac:dyDescent="0.55000000000000004">
      <c r="A1058" s="27" t="s">
        <v>327</v>
      </c>
      <c r="B1058" s="28"/>
      <c r="C1058" s="27"/>
      <c r="D1058" s="27" t="str">
        <f>"""NAV Direct"",""CRONUS JetCorp USA"",""21"",""1"",""335832"""</f>
        <v>"NAV Direct","CRONUS JetCorp USA","21","1","335832"</v>
      </c>
      <c r="E1058" s="31" t="str">
        <f t="shared" si="309"/>
        <v>C100039</v>
      </c>
      <c r="F1058" s="31"/>
      <c r="G1058" s="31"/>
      <c r="H1058" s="31"/>
      <c r="I1058" s="56"/>
      <c r="J1058" s="56"/>
      <c r="K1058" s="82" t="str">
        <f t="shared" si="310"/>
        <v>Invoice</v>
      </c>
      <c r="L1058" s="83" t="str">
        <f>"SI_110612"</f>
        <v>SI_110612</v>
      </c>
      <c r="M1058" s="84">
        <v>42483</v>
      </c>
      <c r="N1058" s="85">
        <f t="shared" si="311"/>
        <v>1329</v>
      </c>
      <c r="O1058" s="86">
        <f t="shared" si="312"/>
        <v>15908.560000000001</v>
      </c>
      <c r="P1058" s="86">
        <f t="shared" si="313"/>
        <v>0</v>
      </c>
      <c r="Q1058" s="86">
        <f t="shared" si="314"/>
        <v>0</v>
      </c>
      <c r="R1058" s="86">
        <f t="shared" si="315"/>
        <v>0</v>
      </c>
      <c r="S1058" s="86">
        <f t="shared" si="316"/>
        <v>0</v>
      </c>
      <c r="T1058" s="86">
        <f t="shared" si="317"/>
        <v>15908.560000000001</v>
      </c>
      <c r="U1058" s="87">
        <v>15908.560000000001</v>
      </c>
    </row>
    <row r="1059" spans="1:21" s="30" customFormat="1" ht="24.6" hidden="1" outlineLevel="1" x14ac:dyDescent="0.55000000000000004">
      <c r="A1059" s="27" t="s">
        <v>327</v>
      </c>
      <c r="B1059" s="28"/>
      <c r="C1059" s="27"/>
      <c r="D1059" s="27" t="str">
        <f>"""NAV Direct"",""CRONUS JetCorp USA"",""21"",""1"",""336045"""</f>
        <v>"NAV Direct","CRONUS JetCorp USA","21","1","336045"</v>
      </c>
      <c r="E1059" s="31">
        <f t="shared" si="309"/>
        <v>0</v>
      </c>
      <c r="F1059" s="31"/>
      <c r="G1059" s="31"/>
      <c r="H1059" s="31"/>
      <c r="I1059" s="56"/>
      <c r="J1059" s="56"/>
      <c r="K1059" s="82" t="str">
        <f t="shared" si="310"/>
        <v>Invoice</v>
      </c>
      <c r="L1059" s="83" t="str">
        <f>"SI_110617"</f>
        <v>SI_110617</v>
      </c>
      <c r="M1059" s="84">
        <v>42505</v>
      </c>
      <c r="N1059" s="85">
        <f t="shared" si="311"/>
        <v>1307</v>
      </c>
      <c r="O1059" s="86">
        <f t="shared" si="312"/>
        <v>17620.46</v>
      </c>
      <c r="P1059" s="86">
        <f t="shared" si="313"/>
        <v>0</v>
      </c>
      <c r="Q1059" s="86">
        <f t="shared" si="314"/>
        <v>0</v>
      </c>
      <c r="R1059" s="86">
        <f t="shared" si="315"/>
        <v>0</v>
      </c>
      <c r="S1059" s="86">
        <f t="shared" si="316"/>
        <v>0</v>
      </c>
      <c r="T1059" s="86">
        <f t="shared" si="317"/>
        <v>17620.46</v>
      </c>
      <c r="U1059" s="87">
        <v>17620.46</v>
      </c>
    </row>
    <row r="1060" spans="1:21" s="30" customFormat="1" ht="24.6" hidden="1" outlineLevel="1" x14ac:dyDescent="0.55000000000000004">
      <c r="A1060" s="27" t="s">
        <v>327</v>
      </c>
      <c r="B1060" s="28"/>
      <c r="C1060" s="27"/>
      <c r="D1060" s="27" t="str">
        <f>"""NAV Direct"",""CRONUS JetCorp USA"",""21"",""1"",""336633"""</f>
        <v>"NAV Direct","CRONUS JetCorp USA","21","1","336633"</v>
      </c>
      <c r="E1060" s="31" t="str">
        <f t="shared" si="309"/>
        <v>C100039</v>
      </c>
      <c r="F1060" s="31"/>
      <c r="G1060" s="31"/>
      <c r="H1060" s="31"/>
      <c r="I1060" s="56"/>
      <c r="J1060" s="56"/>
      <c r="K1060" s="82" t="str">
        <f t="shared" si="310"/>
        <v>Invoice</v>
      </c>
      <c r="L1060" s="83" t="str">
        <f>"SI_110633"</f>
        <v>SI_110633</v>
      </c>
      <c r="M1060" s="84">
        <v>42567</v>
      </c>
      <c r="N1060" s="85">
        <f t="shared" si="311"/>
        <v>1245</v>
      </c>
      <c r="O1060" s="86">
        <f t="shared" si="312"/>
        <v>17068</v>
      </c>
      <c r="P1060" s="86">
        <f t="shared" si="313"/>
        <v>0</v>
      </c>
      <c r="Q1060" s="86">
        <f t="shared" si="314"/>
        <v>0</v>
      </c>
      <c r="R1060" s="86">
        <f t="shared" si="315"/>
        <v>0</v>
      </c>
      <c r="S1060" s="86">
        <f t="shared" si="316"/>
        <v>0</v>
      </c>
      <c r="T1060" s="86">
        <f t="shared" si="317"/>
        <v>17068</v>
      </c>
      <c r="U1060" s="87">
        <v>17068</v>
      </c>
    </row>
    <row r="1061" spans="1:21" s="30" customFormat="1" ht="24.6" hidden="1" outlineLevel="1" x14ac:dyDescent="0.55000000000000004">
      <c r="A1061" s="27" t="s">
        <v>327</v>
      </c>
      <c r="B1061" s="28"/>
      <c r="C1061" s="27"/>
      <c r="D1061" s="27" t="str">
        <f>"""NAV Direct"",""CRONUS JetCorp USA"",""21"",""1"",""337180"""</f>
        <v>"NAV Direct","CRONUS JetCorp USA","21","1","337180"</v>
      </c>
      <c r="E1061" s="31">
        <f t="shared" si="309"/>
        <v>0</v>
      </c>
      <c r="F1061" s="31"/>
      <c r="G1061" s="31"/>
      <c r="H1061" s="31"/>
      <c r="I1061" s="56"/>
      <c r="J1061" s="56"/>
      <c r="K1061" s="82" t="str">
        <f t="shared" si="310"/>
        <v>Invoice</v>
      </c>
      <c r="L1061" s="83" t="str">
        <f>"SI_110648"</f>
        <v>SI_110648</v>
      </c>
      <c r="M1061" s="84">
        <v>42646</v>
      </c>
      <c r="N1061" s="85">
        <f t="shared" si="311"/>
        <v>1166</v>
      </c>
      <c r="O1061" s="86">
        <f t="shared" si="312"/>
        <v>17197.87</v>
      </c>
      <c r="P1061" s="86">
        <f t="shared" si="313"/>
        <v>0</v>
      </c>
      <c r="Q1061" s="86">
        <f t="shared" si="314"/>
        <v>0</v>
      </c>
      <c r="R1061" s="86">
        <f t="shared" si="315"/>
        <v>0</v>
      </c>
      <c r="S1061" s="86">
        <f t="shared" si="316"/>
        <v>0</v>
      </c>
      <c r="T1061" s="86">
        <f t="shared" si="317"/>
        <v>17197.87</v>
      </c>
      <c r="U1061" s="87">
        <v>17197.87</v>
      </c>
    </row>
    <row r="1062" spans="1:21" s="30" customFormat="1" ht="24.6" hidden="1" outlineLevel="1" x14ac:dyDescent="0.55000000000000004">
      <c r="A1062" s="27" t="s">
        <v>327</v>
      </c>
      <c r="B1062" s="28"/>
      <c r="C1062" s="27"/>
      <c r="D1062" s="27" t="str">
        <f>"""NAV Direct"",""CRONUS JetCorp USA"",""21"",""1"",""337400"""</f>
        <v>"NAV Direct","CRONUS JetCorp USA","21","1","337400"</v>
      </c>
      <c r="E1062" s="31" t="str">
        <f t="shared" si="309"/>
        <v>C100039</v>
      </c>
      <c r="F1062" s="31"/>
      <c r="G1062" s="31"/>
      <c r="H1062" s="31"/>
      <c r="I1062" s="56"/>
      <c r="J1062" s="56"/>
      <c r="K1062" s="82" t="str">
        <f t="shared" si="310"/>
        <v>Invoice</v>
      </c>
      <c r="L1062" s="83" t="str">
        <f>"SI_110654"</f>
        <v>SI_110654</v>
      </c>
      <c r="M1062" s="84">
        <v>42694</v>
      </c>
      <c r="N1062" s="85">
        <f t="shared" si="311"/>
        <v>1118</v>
      </c>
      <c r="O1062" s="86">
        <f t="shared" si="312"/>
        <v>18914.57</v>
      </c>
      <c r="P1062" s="86">
        <f t="shared" si="313"/>
        <v>0</v>
      </c>
      <c r="Q1062" s="86">
        <f t="shared" si="314"/>
        <v>0</v>
      </c>
      <c r="R1062" s="86">
        <f t="shared" si="315"/>
        <v>0</v>
      </c>
      <c r="S1062" s="86">
        <f t="shared" si="316"/>
        <v>0</v>
      </c>
      <c r="T1062" s="86">
        <f t="shared" si="317"/>
        <v>18914.57</v>
      </c>
      <c r="U1062" s="87">
        <v>18914.57</v>
      </c>
    </row>
    <row r="1063" spans="1:21" s="30" customFormat="1" ht="24.6" hidden="1" outlineLevel="1" x14ac:dyDescent="0.55000000000000004">
      <c r="A1063" s="27" t="s">
        <v>327</v>
      </c>
      <c r="B1063" s="28"/>
      <c r="C1063" s="27"/>
      <c r="D1063" s="27" t="str">
        <f>"""NAV Direct"",""CRONUS JetCorp USA"",""21"",""1"",""337604"""</f>
        <v>"NAV Direct","CRONUS JetCorp USA","21","1","337604"</v>
      </c>
      <c r="E1063" s="31">
        <f t="shared" si="309"/>
        <v>0</v>
      </c>
      <c r="F1063" s="31"/>
      <c r="G1063" s="31"/>
      <c r="H1063" s="31"/>
      <c r="I1063" s="56"/>
      <c r="J1063" s="56"/>
      <c r="K1063" s="82" t="str">
        <f t="shared" si="310"/>
        <v>Invoice</v>
      </c>
      <c r="L1063" s="83" t="str">
        <f>"SI_110660"</f>
        <v>SI_110660</v>
      </c>
      <c r="M1063" s="84">
        <v>42704</v>
      </c>
      <c r="N1063" s="85">
        <f t="shared" si="311"/>
        <v>1108</v>
      </c>
      <c r="O1063" s="86">
        <f t="shared" si="312"/>
        <v>17756.07</v>
      </c>
      <c r="P1063" s="86">
        <f t="shared" si="313"/>
        <v>0</v>
      </c>
      <c r="Q1063" s="86">
        <f t="shared" si="314"/>
        <v>0</v>
      </c>
      <c r="R1063" s="86">
        <f t="shared" si="315"/>
        <v>0</v>
      </c>
      <c r="S1063" s="86">
        <f t="shared" si="316"/>
        <v>0</v>
      </c>
      <c r="T1063" s="86">
        <f t="shared" si="317"/>
        <v>17756.07</v>
      </c>
      <c r="U1063" s="87">
        <v>17756.07</v>
      </c>
    </row>
    <row r="1064" spans="1:21" s="30" customFormat="1" ht="24.6" hidden="1" outlineLevel="1" x14ac:dyDescent="0.55000000000000004">
      <c r="A1064" s="27" t="s">
        <v>327</v>
      </c>
      <c r="B1064" s="28"/>
      <c r="C1064" s="27"/>
      <c r="D1064" s="27" t="str">
        <f>"""NAV Direct"",""CRONUS JetCorp USA"",""21"",""1"",""337639"""</f>
        <v>"NAV Direct","CRONUS JetCorp USA","21","1","337639"</v>
      </c>
      <c r="E1064" s="31" t="str">
        <f t="shared" si="309"/>
        <v>C100039</v>
      </c>
      <c r="F1064" s="31"/>
      <c r="G1064" s="31"/>
      <c r="H1064" s="31"/>
      <c r="I1064" s="56"/>
      <c r="J1064" s="56"/>
      <c r="K1064" s="82" t="str">
        <f t="shared" si="310"/>
        <v>Invoice</v>
      </c>
      <c r="L1064" s="83" t="str">
        <f>"SI_110661"</f>
        <v>SI_110661</v>
      </c>
      <c r="M1064" s="84">
        <v>42708</v>
      </c>
      <c r="N1064" s="85">
        <f t="shared" si="311"/>
        <v>1104</v>
      </c>
      <c r="O1064" s="86">
        <f t="shared" si="312"/>
        <v>18913.84</v>
      </c>
      <c r="P1064" s="86">
        <f t="shared" si="313"/>
        <v>0</v>
      </c>
      <c r="Q1064" s="86">
        <f t="shared" si="314"/>
        <v>0</v>
      </c>
      <c r="R1064" s="86">
        <f t="shared" si="315"/>
        <v>0</v>
      </c>
      <c r="S1064" s="86">
        <f t="shared" si="316"/>
        <v>0</v>
      </c>
      <c r="T1064" s="86">
        <f t="shared" si="317"/>
        <v>18913.84</v>
      </c>
      <c r="U1064" s="87">
        <v>18913.84</v>
      </c>
    </row>
    <row r="1065" spans="1:21" s="30" customFormat="1" ht="24.6" hidden="1" outlineLevel="1" x14ac:dyDescent="0.55000000000000004">
      <c r="A1065" s="27" t="s">
        <v>327</v>
      </c>
      <c r="B1065" s="28"/>
      <c r="C1065" s="27"/>
      <c r="D1065" s="27" t="str">
        <f>"""NAV Direct"",""CRONUS JetCorp USA"",""21"",""1"",""338102"""</f>
        <v>"NAV Direct","CRONUS JetCorp USA","21","1","338102"</v>
      </c>
      <c r="E1065" s="31">
        <f t="shared" si="309"/>
        <v>0</v>
      </c>
      <c r="F1065" s="31"/>
      <c r="G1065" s="31"/>
      <c r="H1065" s="31"/>
      <c r="I1065" s="56"/>
      <c r="J1065" s="56"/>
      <c r="K1065" s="82" t="str">
        <f t="shared" si="310"/>
        <v>Invoice</v>
      </c>
      <c r="L1065" s="83" t="str">
        <f>"SI_110674"</f>
        <v>SI_110674</v>
      </c>
      <c r="M1065" s="84">
        <v>42758</v>
      </c>
      <c r="N1065" s="85">
        <f t="shared" si="311"/>
        <v>1054</v>
      </c>
      <c r="O1065" s="86">
        <f t="shared" si="312"/>
        <v>18049.849999999999</v>
      </c>
      <c r="P1065" s="86">
        <f t="shared" si="313"/>
        <v>0</v>
      </c>
      <c r="Q1065" s="86">
        <f t="shared" si="314"/>
        <v>0</v>
      </c>
      <c r="R1065" s="86">
        <f t="shared" si="315"/>
        <v>0</v>
      </c>
      <c r="S1065" s="86">
        <f t="shared" si="316"/>
        <v>0</v>
      </c>
      <c r="T1065" s="86">
        <f t="shared" si="317"/>
        <v>18049.849999999999</v>
      </c>
      <c r="U1065" s="87">
        <v>18049.849999999999</v>
      </c>
    </row>
    <row r="1066" spans="1:21" s="30" customFormat="1" ht="24.6" hidden="1" outlineLevel="1" x14ac:dyDescent="0.55000000000000004">
      <c r="A1066" s="27" t="s">
        <v>327</v>
      </c>
      <c r="B1066" s="28"/>
      <c r="C1066" s="27"/>
      <c r="D1066" s="27" t="str">
        <f>"""NAV Direct"",""CRONUS JetCorp USA"",""21"",""1"",""338984"""</f>
        <v>"NAV Direct","CRONUS JetCorp USA","21","1","338984"</v>
      </c>
      <c r="E1066" s="31" t="str">
        <f t="shared" si="309"/>
        <v>C100039</v>
      </c>
      <c r="F1066" s="31"/>
      <c r="G1066" s="31"/>
      <c r="H1066" s="31"/>
      <c r="I1066" s="56"/>
      <c r="J1066" s="56"/>
      <c r="K1066" s="82" t="str">
        <f t="shared" si="310"/>
        <v>Invoice</v>
      </c>
      <c r="L1066" s="83" t="str">
        <f>"SI_110696"</f>
        <v>SI_110696</v>
      </c>
      <c r="M1066" s="84">
        <v>42867</v>
      </c>
      <c r="N1066" s="85">
        <f t="shared" si="311"/>
        <v>945</v>
      </c>
      <c r="O1066" s="86">
        <f t="shared" si="312"/>
        <v>19272.68</v>
      </c>
      <c r="P1066" s="86">
        <f t="shared" si="313"/>
        <v>0</v>
      </c>
      <c r="Q1066" s="86">
        <f t="shared" si="314"/>
        <v>0</v>
      </c>
      <c r="R1066" s="86">
        <f t="shared" si="315"/>
        <v>0</v>
      </c>
      <c r="S1066" s="86">
        <f t="shared" si="316"/>
        <v>0</v>
      </c>
      <c r="T1066" s="86">
        <f t="shared" si="317"/>
        <v>19272.68</v>
      </c>
      <c r="U1066" s="87">
        <v>19272.68</v>
      </c>
    </row>
    <row r="1067" spans="1:21" s="30" customFormat="1" ht="24.6" hidden="1" outlineLevel="1" x14ac:dyDescent="0.55000000000000004">
      <c r="A1067" s="27" t="s">
        <v>327</v>
      </c>
      <c r="B1067" s="28"/>
      <c r="C1067" s="27"/>
      <c r="D1067" s="27" t="str">
        <f>"""NAV Direct"",""CRONUS JetCorp USA"",""21"",""1"",""339447"""</f>
        <v>"NAV Direct","CRONUS JetCorp USA","21","1","339447"</v>
      </c>
      <c r="E1067" s="31">
        <f t="shared" si="309"/>
        <v>0</v>
      </c>
      <c r="F1067" s="31"/>
      <c r="G1067" s="31"/>
      <c r="H1067" s="31"/>
      <c r="I1067" s="56"/>
      <c r="J1067" s="56"/>
      <c r="K1067" s="82" t="str">
        <f t="shared" si="310"/>
        <v>Invoice</v>
      </c>
      <c r="L1067" s="83" t="str">
        <f>"SI_110707"</f>
        <v>SI_110707</v>
      </c>
      <c r="M1067" s="84">
        <v>42913</v>
      </c>
      <c r="N1067" s="85">
        <f t="shared" si="311"/>
        <v>899</v>
      </c>
      <c r="O1067" s="86">
        <f t="shared" si="312"/>
        <v>18670.41</v>
      </c>
      <c r="P1067" s="86">
        <f t="shared" si="313"/>
        <v>0</v>
      </c>
      <c r="Q1067" s="86">
        <f t="shared" si="314"/>
        <v>0</v>
      </c>
      <c r="R1067" s="86">
        <f t="shared" si="315"/>
        <v>0</v>
      </c>
      <c r="S1067" s="86">
        <f t="shared" si="316"/>
        <v>0</v>
      </c>
      <c r="T1067" s="86">
        <f t="shared" si="317"/>
        <v>18670.41</v>
      </c>
      <c r="U1067" s="87">
        <v>18670.41</v>
      </c>
    </row>
    <row r="1068" spans="1:21" s="30" customFormat="1" ht="24.6" hidden="1" outlineLevel="1" x14ac:dyDescent="0.55000000000000004">
      <c r="A1068" s="27" t="s">
        <v>327</v>
      </c>
      <c r="B1068" s="28"/>
      <c r="C1068" s="27"/>
      <c r="D1068" s="27" t="str">
        <f>"""NAV Direct"",""CRONUS JetCorp USA"",""21"",""1"",""340164"""</f>
        <v>"NAV Direct","CRONUS JetCorp USA","21","1","340164"</v>
      </c>
      <c r="E1068" s="31" t="str">
        <f t="shared" si="309"/>
        <v>C100039</v>
      </c>
      <c r="F1068" s="31"/>
      <c r="G1068" s="31"/>
      <c r="H1068" s="31"/>
      <c r="I1068" s="56"/>
      <c r="J1068" s="56"/>
      <c r="K1068" s="82" t="str">
        <f t="shared" si="310"/>
        <v>Invoice</v>
      </c>
      <c r="L1068" s="83" t="str">
        <f>"SI_110726"</f>
        <v>SI_110726</v>
      </c>
      <c r="M1068" s="84">
        <v>42986</v>
      </c>
      <c r="N1068" s="85">
        <f t="shared" si="311"/>
        <v>826</v>
      </c>
      <c r="O1068" s="86">
        <f t="shared" si="312"/>
        <v>18713.11</v>
      </c>
      <c r="P1068" s="86">
        <f t="shared" si="313"/>
        <v>0</v>
      </c>
      <c r="Q1068" s="86">
        <f t="shared" si="314"/>
        <v>0</v>
      </c>
      <c r="R1068" s="86">
        <f t="shared" si="315"/>
        <v>0</v>
      </c>
      <c r="S1068" s="86">
        <f t="shared" si="316"/>
        <v>0</v>
      </c>
      <c r="T1068" s="86">
        <f t="shared" si="317"/>
        <v>18713.11</v>
      </c>
      <c r="U1068" s="87">
        <v>18713.11</v>
      </c>
    </row>
    <row r="1069" spans="1:21" s="30" customFormat="1" ht="24.6" hidden="1" outlineLevel="1" x14ac:dyDescent="0.55000000000000004">
      <c r="A1069" s="27" t="s">
        <v>327</v>
      </c>
      <c r="B1069" s="28"/>
      <c r="C1069" s="27"/>
      <c r="D1069" s="27" t="str">
        <f>"""NAV Direct"",""CRONUS JetCorp USA"",""21"",""1"",""340585"""</f>
        <v>"NAV Direct","CRONUS JetCorp USA","21","1","340585"</v>
      </c>
      <c r="E1069" s="31">
        <f t="shared" si="309"/>
        <v>0</v>
      </c>
      <c r="F1069" s="31"/>
      <c r="G1069" s="31"/>
      <c r="H1069" s="31"/>
      <c r="I1069" s="56"/>
      <c r="J1069" s="56"/>
      <c r="K1069" s="82" t="str">
        <f t="shared" si="310"/>
        <v>Invoice</v>
      </c>
      <c r="L1069" s="83" t="str">
        <f>"SI_110737"</f>
        <v>SI_110737</v>
      </c>
      <c r="M1069" s="84">
        <v>43028</v>
      </c>
      <c r="N1069" s="85">
        <f t="shared" si="311"/>
        <v>784</v>
      </c>
      <c r="O1069" s="86">
        <f t="shared" si="312"/>
        <v>17769.170000000002</v>
      </c>
      <c r="P1069" s="86">
        <f t="shared" si="313"/>
        <v>0</v>
      </c>
      <c r="Q1069" s="86">
        <f t="shared" si="314"/>
        <v>0</v>
      </c>
      <c r="R1069" s="86">
        <f t="shared" si="315"/>
        <v>0</v>
      </c>
      <c r="S1069" s="86">
        <f t="shared" si="316"/>
        <v>0</v>
      </c>
      <c r="T1069" s="86">
        <f t="shared" si="317"/>
        <v>17769.170000000002</v>
      </c>
      <c r="U1069" s="87">
        <v>17769.170000000002</v>
      </c>
    </row>
    <row r="1070" spans="1:21" s="30" customFormat="1" ht="24.6" hidden="1" outlineLevel="1" x14ac:dyDescent="0.55000000000000004">
      <c r="A1070" s="27" t="s">
        <v>327</v>
      </c>
      <c r="B1070" s="28"/>
      <c r="C1070" s="27"/>
      <c r="D1070" s="27" t="str">
        <f>"""NAV Direct"",""CRONUS JetCorp USA"",""21"",""1"",""340844"""</f>
        <v>"NAV Direct","CRONUS JetCorp USA","21","1","340844"</v>
      </c>
      <c r="E1070" s="31" t="str">
        <f t="shared" si="309"/>
        <v>C100039</v>
      </c>
      <c r="F1070" s="31"/>
      <c r="G1070" s="31"/>
      <c r="H1070" s="31"/>
      <c r="I1070" s="56"/>
      <c r="J1070" s="56"/>
      <c r="K1070" s="82" t="str">
        <f t="shared" si="310"/>
        <v>Invoice</v>
      </c>
      <c r="L1070" s="83" t="str">
        <f>"SI_110744"</f>
        <v>SI_110744</v>
      </c>
      <c r="M1070" s="84">
        <v>43061</v>
      </c>
      <c r="N1070" s="85">
        <f t="shared" si="311"/>
        <v>751</v>
      </c>
      <c r="O1070" s="86">
        <f t="shared" si="312"/>
        <v>19297.03</v>
      </c>
      <c r="P1070" s="86">
        <f t="shared" si="313"/>
        <v>0</v>
      </c>
      <c r="Q1070" s="86">
        <f t="shared" si="314"/>
        <v>0</v>
      </c>
      <c r="R1070" s="86">
        <f t="shared" si="315"/>
        <v>0</v>
      </c>
      <c r="S1070" s="86">
        <f t="shared" si="316"/>
        <v>0</v>
      </c>
      <c r="T1070" s="86">
        <f t="shared" si="317"/>
        <v>19297.03</v>
      </c>
      <c r="U1070" s="87">
        <v>19297.03</v>
      </c>
    </row>
    <row r="1071" spans="1:21" s="30" customFormat="1" ht="24.6" hidden="1" outlineLevel="1" x14ac:dyDescent="0.55000000000000004">
      <c r="A1071" s="27" t="s">
        <v>327</v>
      </c>
      <c r="B1071" s="28"/>
      <c r="C1071" s="27"/>
      <c r="D1071" s="27" t="str">
        <f>"""NAV Direct"",""CRONUS JetCorp USA"",""21"",""1"",""341407"""</f>
        <v>"NAV Direct","CRONUS JetCorp USA","21","1","341407"</v>
      </c>
      <c r="E1071" s="31">
        <f t="shared" si="309"/>
        <v>0</v>
      </c>
      <c r="F1071" s="31"/>
      <c r="G1071" s="31"/>
      <c r="H1071" s="31"/>
      <c r="I1071" s="56"/>
      <c r="J1071" s="56"/>
      <c r="K1071" s="82" t="str">
        <f t="shared" si="310"/>
        <v>Invoice</v>
      </c>
      <c r="L1071" s="83" t="str">
        <f>"SI_110759"</f>
        <v>SI_110759</v>
      </c>
      <c r="M1071" s="84">
        <v>43103</v>
      </c>
      <c r="N1071" s="85">
        <f t="shared" si="311"/>
        <v>709</v>
      </c>
      <c r="O1071" s="86">
        <f t="shared" si="312"/>
        <v>19317.400000000001</v>
      </c>
      <c r="P1071" s="86">
        <f t="shared" si="313"/>
        <v>0</v>
      </c>
      <c r="Q1071" s="86">
        <f t="shared" si="314"/>
        <v>0</v>
      </c>
      <c r="R1071" s="86">
        <f t="shared" si="315"/>
        <v>0</v>
      </c>
      <c r="S1071" s="86">
        <f t="shared" si="316"/>
        <v>0</v>
      </c>
      <c r="T1071" s="86">
        <f t="shared" si="317"/>
        <v>19317.400000000001</v>
      </c>
      <c r="U1071" s="87">
        <v>19317.400000000001</v>
      </c>
    </row>
    <row r="1072" spans="1:21" s="30" customFormat="1" ht="24.6" hidden="1" outlineLevel="1" x14ac:dyDescent="0.55000000000000004">
      <c r="A1072" s="27" t="s">
        <v>327</v>
      </c>
      <c r="B1072" s="28"/>
      <c r="C1072" s="27"/>
      <c r="D1072" s="27" t="str">
        <f>"""NAV Direct"",""CRONUS JetCorp USA"",""21"",""1"",""342501"""</f>
        <v>"NAV Direct","CRONUS JetCorp USA","21","1","342501"</v>
      </c>
      <c r="E1072" s="31" t="str">
        <f t="shared" si="309"/>
        <v>C100039</v>
      </c>
      <c r="F1072" s="31"/>
      <c r="G1072" s="31"/>
      <c r="H1072" s="31"/>
      <c r="I1072" s="56"/>
      <c r="J1072" s="56"/>
      <c r="K1072" s="82" t="str">
        <f t="shared" si="310"/>
        <v>Invoice</v>
      </c>
      <c r="L1072" s="83" t="str">
        <f>"SI_110787"</f>
        <v>SI_110787</v>
      </c>
      <c r="M1072" s="84">
        <v>43225</v>
      </c>
      <c r="N1072" s="85">
        <f t="shared" si="311"/>
        <v>587</v>
      </c>
      <c r="O1072" s="86">
        <f t="shared" si="312"/>
        <v>19379.13</v>
      </c>
      <c r="P1072" s="86">
        <f t="shared" si="313"/>
        <v>0</v>
      </c>
      <c r="Q1072" s="86">
        <f t="shared" si="314"/>
        <v>0</v>
      </c>
      <c r="R1072" s="86">
        <f t="shared" si="315"/>
        <v>0</v>
      </c>
      <c r="S1072" s="86">
        <f t="shared" si="316"/>
        <v>0</v>
      </c>
      <c r="T1072" s="86">
        <f t="shared" si="317"/>
        <v>19379.13</v>
      </c>
      <c r="U1072" s="87">
        <v>19379.13</v>
      </c>
    </row>
    <row r="1073" spans="1:21" s="30" customFormat="1" ht="24.6" hidden="1" outlineLevel="1" x14ac:dyDescent="0.55000000000000004">
      <c r="A1073" s="27" t="s">
        <v>327</v>
      </c>
      <c r="B1073" s="28"/>
      <c r="C1073" s="27"/>
      <c r="D1073" s="27" t="str">
        <f>"""NAV Direct"",""CRONUS JetCorp USA"",""21"",""1"",""342575"""</f>
        <v>"NAV Direct","CRONUS JetCorp USA","21","1","342575"</v>
      </c>
      <c r="E1073" s="31">
        <f t="shared" si="309"/>
        <v>0</v>
      </c>
      <c r="F1073" s="31"/>
      <c r="G1073" s="31"/>
      <c r="H1073" s="31"/>
      <c r="I1073" s="56"/>
      <c r="J1073" s="56"/>
      <c r="K1073" s="82" t="str">
        <f t="shared" si="310"/>
        <v>Invoice</v>
      </c>
      <c r="L1073" s="83" t="str">
        <f>"SI_110789"</f>
        <v>SI_110789</v>
      </c>
      <c r="M1073" s="84">
        <v>43246</v>
      </c>
      <c r="N1073" s="85">
        <f t="shared" si="311"/>
        <v>566</v>
      </c>
      <c r="O1073" s="86">
        <f t="shared" si="312"/>
        <v>20276.91</v>
      </c>
      <c r="P1073" s="86">
        <f t="shared" si="313"/>
        <v>0</v>
      </c>
      <c r="Q1073" s="86">
        <f t="shared" si="314"/>
        <v>0</v>
      </c>
      <c r="R1073" s="86">
        <f t="shared" si="315"/>
        <v>0</v>
      </c>
      <c r="S1073" s="86">
        <f t="shared" si="316"/>
        <v>0</v>
      </c>
      <c r="T1073" s="86">
        <f t="shared" si="317"/>
        <v>20276.91</v>
      </c>
      <c r="U1073" s="87">
        <v>20276.91</v>
      </c>
    </row>
    <row r="1074" spans="1:21" s="30" customFormat="1" ht="24.6" hidden="1" outlineLevel="1" x14ac:dyDescent="0.55000000000000004">
      <c r="A1074" s="27" t="s">
        <v>327</v>
      </c>
      <c r="B1074" s="28"/>
      <c r="C1074" s="27"/>
      <c r="D1074" s="27" t="str">
        <f>"""NAV Direct"",""CRONUS JetCorp USA"",""21"",""1"",""342768"""</f>
        <v>"NAV Direct","CRONUS JetCorp USA","21","1","342768"</v>
      </c>
      <c r="E1074" s="31" t="str">
        <f t="shared" si="309"/>
        <v>C100039</v>
      </c>
      <c r="F1074" s="31"/>
      <c r="G1074" s="31"/>
      <c r="H1074" s="31"/>
      <c r="I1074" s="56"/>
      <c r="J1074" s="56"/>
      <c r="K1074" s="82" t="str">
        <f t="shared" si="310"/>
        <v>Invoice</v>
      </c>
      <c r="L1074" s="83" t="str">
        <f>"SI_110794"</f>
        <v>SI_110794</v>
      </c>
      <c r="M1074" s="84">
        <v>43251</v>
      </c>
      <c r="N1074" s="85">
        <f t="shared" si="311"/>
        <v>561</v>
      </c>
      <c r="O1074" s="86">
        <f t="shared" si="312"/>
        <v>20277.37</v>
      </c>
      <c r="P1074" s="86">
        <f t="shared" si="313"/>
        <v>0</v>
      </c>
      <c r="Q1074" s="86">
        <f t="shared" si="314"/>
        <v>0</v>
      </c>
      <c r="R1074" s="86">
        <f t="shared" si="315"/>
        <v>0</v>
      </c>
      <c r="S1074" s="86">
        <f t="shared" si="316"/>
        <v>0</v>
      </c>
      <c r="T1074" s="86">
        <f t="shared" si="317"/>
        <v>20277.37</v>
      </c>
      <c r="U1074" s="87">
        <v>20277.37</v>
      </c>
    </row>
    <row r="1075" spans="1:21" s="30" customFormat="1" ht="24.6" hidden="1" outlineLevel="1" x14ac:dyDescent="0.55000000000000004">
      <c r="A1075" s="27" t="s">
        <v>327</v>
      </c>
      <c r="B1075" s="28"/>
      <c r="C1075" s="27"/>
      <c r="D1075" s="27" t="str">
        <f>"""NAV Direct"",""CRONUS JetCorp USA"",""21"",""1"",""343152"""</f>
        <v>"NAV Direct","CRONUS JetCorp USA","21","1","343152"</v>
      </c>
      <c r="E1075" s="31">
        <f t="shared" si="309"/>
        <v>0</v>
      </c>
      <c r="F1075" s="31"/>
      <c r="G1075" s="31"/>
      <c r="H1075" s="31"/>
      <c r="I1075" s="56"/>
      <c r="J1075" s="56"/>
      <c r="K1075" s="82" t="str">
        <f t="shared" si="310"/>
        <v>Invoice</v>
      </c>
      <c r="L1075" s="83" t="str">
        <f>"SI_110804"</f>
        <v>SI_110804</v>
      </c>
      <c r="M1075" s="84">
        <v>43295</v>
      </c>
      <c r="N1075" s="85">
        <f t="shared" si="311"/>
        <v>517</v>
      </c>
      <c r="O1075" s="86">
        <f t="shared" si="312"/>
        <v>20302.170000000002</v>
      </c>
      <c r="P1075" s="86">
        <f t="shared" si="313"/>
        <v>0</v>
      </c>
      <c r="Q1075" s="86">
        <f t="shared" si="314"/>
        <v>0</v>
      </c>
      <c r="R1075" s="86">
        <f t="shared" si="315"/>
        <v>0</v>
      </c>
      <c r="S1075" s="86">
        <f t="shared" si="316"/>
        <v>0</v>
      </c>
      <c r="T1075" s="86">
        <f t="shared" si="317"/>
        <v>20302.170000000002</v>
      </c>
      <c r="U1075" s="87">
        <v>20302.170000000002</v>
      </c>
    </row>
    <row r="1076" spans="1:21" s="30" customFormat="1" ht="24.6" hidden="1" outlineLevel="1" x14ac:dyDescent="0.55000000000000004">
      <c r="A1076" s="27" t="s">
        <v>327</v>
      </c>
      <c r="B1076" s="28"/>
      <c r="C1076" s="27"/>
      <c r="D1076" s="27" t="str">
        <f>"""NAV Direct"",""CRONUS JetCorp USA"",""21"",""1"",""343571"""</f>
        <v>"NAV Direct","CRONUS JetCorp USA","21","1","343571"</v>
      </c>
      <c r="E1076" s="31" t="str">
        <f t="shared" si="309"/>
        <v>C100039</v>
      </c>
      <c r="F1076" s="31"/>
      <c r="G1076" s="31"/>
      <c r="H1076" s="31"/>
      <c r="I1076" s="56"/>
      <c r="J1076" s="56"/>
      <c r="K1076" s="82" t="str">
        <f t="shared" si="310"/>
        <v>Invoice</v>
      </c>
      <c r="L1076" s="83" t="str">
        <f>"SI_110815"</f>
        <v>SI_110815</v>
      </c>
      <c r="M1076" s="84">
        <v>43338</v>
      </c>
      <c r="N1076" s="85">
        <f t="shared" si="311"/>
        <v>474</v>
      </c>
      <c r="O1076" s="86">
        <f t="shared" si="312"/>
        <v>19287.71</v>
      </c>
      <c r="P1076" s="86">
        <f t="shared" si="313"/>
        <v>0</v>
      </c>
      <c r="Q1076" s="86">
        <f t="shared" si="314"/>
        <v>0</v>
      </c>
      <c r="R1076" s="86">
        <f t="shared" si="315"/>
        <v>0</v>
      </c>
      <c r="S1076" s="86">
        <f t="shared" si="316"/>
        <v>0</v>
      </c>
      <c r="T1076" s="86">
        <f t="shared" si="317"/>
        <v>19287.71</v>
      </c>
      <c r="U1076" s="87">
        <v>19287.71</v>
      </c>
    </row>
    <row r="1077" spans="1:21" s="30" customFormat="1" ht="24.6" hidden="1" outlineLevel="1" x14ac:dyDescent="0.55000000000000004">
      <c r="A1077" s="27" t="s">
        <v>327</v>
      </c>
      <c r="B1077" s="28"/>
      <c r="C1077" s="27"/>
      <c r="D1077" s="27" t="str">
        <f>"""NAV Direct"",""CRONUS JetCorp USA"",""21"",""1"",""344076"""</f>
        <v>"NAV Direct","CRONUS JetCorp USA","21","1","344076"</v>
      </c>
      <c r="E1077" s="31">
        <f t="shared" si="309"/>
        <v>0</v>
      </c>
      <c r="F1077" s="31"/>
      <c r="G1077" s="31"/>
      <c r="H1077" s="31"/>
      <c r="I1077" s="56"/>
      <c r="J1077" s="56"/>
      <c r="K1077" s="82" t="str">
        <f t="shared" si="310"/>
        <v>Invoice</v>
      </c>
      <c r="L1077" s="83" t="str">
        <f>"SI_110828"</f>
        <v>SI_110828</v>
      </c>
      <c r="M1077" s="84">
        <v>43396</v>
      </c>
      <c r="N1077" s="85">
        <f t="shared" si="311"/>
        <v>416</v>
      </c>
      <c r="O1077" s="86">
        <f t="shared" si="312"/>
        <v>20018.919999999998</v>
      </c>
      <c r="P1077" s="86">
        <f t="shared" si="313"/>
        <v>0</v>
      </c>
      <c r="Q1077" s="86">
        <f t="shared" si="314"/>
        <v>0</v>
      </c>
      <c r="R1077" s="86">
        <f t="shared" si="315"/>
        <v>0</v>
      </c>
      <c r="S1077" s="86">
        <f t="shared" si="316"/>
        <v>0</v>
      </c>
      <c r="T1077" s="86">
        <f t="shared" si="317"/>
        <v>20018.919999999998</v>
      </c>
      <c r="U1077" s="87">
        <v>20018.919999999998</v>
      </c>
    </row>
    <row r="1078" spans="1:21" s="30" customFormat="1" ht="24.6" hidden="1" outlineLevel="1" x14ac:dyDescent="0.55000000000000004">
      <c r="A1078" s="27" t="s">
        <v>327</v>
      </c>
      <c r="B1078" s="28"/>
      <c r="C1078" s="27"/>
      <c r="D1078" s="27" t="str">
        <f>"""NAV Direct"",""CRONUS JetCorp USA"",""21"",""1"",""344238"""</f>
        <v>"NAV Direct","CRONUS JetCorp USA","21","1","344238"</v>
      </c>
      <c r="E1078" s="31" t="str">
        <f t="shared" si="309"/>
        <v>C100039</v>
      </c>
      <c r="F1078" s="31"/>
      <c r="G1078" s="31"/>
      <c r="H1078" s="31"/>
      <c r="I1078" s="56"/>
      <c r="J1078" s="56"/>
      <c r="K1078" s="82" t="str">
        <f t="shared" si="310"/>
        <v>Invoice</v>
      </c>
      <c r="L1078" s="83" t="str">
        <f>"SI_110832"</f>
        <v>SI_110832</v>
      </c>
      <c r="M1078" s="84">
        <v>43399</v>
      </c>
      <c r="N1078" s="85">
        <f t="shared" si="311"/>
        <v>413</v>
      </c>
      <c r="O1078" s="86">
        <f t="shared" si="312"/>
        <v>18588.849999999999</v>
      </c>
      <c r="P1078" s="86">
        <f t="shared" si="313"/>
        <v>0</v>
      </c>
      <c r="Q1078" s="86">
        <f t="shared" si="314"/>
        <v>0</v>
      </c>
      <c r="R1078" s="86">
        <f t="shared" si="315"/>
        <v>0</v>
      </c>
      <c r="S1078" s="86">
        <f t="shared" si="316"/>
        <v>0</v>
      </c>
      <c r="T1078" s="86">
        <f t="shared" si="317"/>
        <v>18588.849999999999</v>
      </c>
      <c r="U1078" s="87">
        <v>18588.849999999999</v>
      </c>
    </row>
    <row r="1079" spans="1:21" s="30" customFormat="1" ht="24.6" hidden="1" outlineLevel="1" x14ac:dyDescent="0.55000000000000004">
      <c r="A1079" s="27" t="s">
        <v>327</v>
      </c>
      <c r="B1079" s="28"/>
      <c r="C1079" s="27"/>
      <c r="D1079" s="27" t="str">
        <f>"""NAV Direct"",""CRONUS JetCorp USA"",""21"",""1"",""345483"""</f>
        <v>"NAV Direct","CRONUS JetCorp USA","21","1","345483"</v>
      </c>
      <c r="E1079" s="31">
        <f t="shared" si="309"/>
        <v>0</v>
      </c>
      <c r="F1079" s="31"/>
      <c r="G1079" s="31"/>
      <c r="H1079" s="31"/>
      <c r="I1079" s="56"/>
      <c r="J1079" s="56"/>
      <c r="K1079" s="82" t="str">
        <f t="shared" si="310"/>
        <v>Invoice</v>
      </c>
      <c r="L1079" s="83" t="str">
        <f>"SI_110863"</f>
        <v>SI_110863</v>
      </c>
      <c r="M1079" s="84">
        <v>43521</v>
      </c>
      <c r="N1079" s="85">
        <f t="shared" si="311"/>
        <v>291</v>
      </c>
      <c r="O1079" s="86">
        <f t="shared" si="312"/>
        <v>18738.09</v>
      </c>
      <c r="P1079" s="86">
        <f t="shared" si="313"/>
        <v>0</v>
      </c>
      <c r="Q1079" s="86">
        <f t="shared" si="314"/>
        <v>0</v>
      </c>
      <c r="R1079" s="86">
        <f t="shared" si="315"/>
        <v>0</v>
      </c>
      <c r="S1079" s="86">
        <f t="shared" si="316"/>
        <v>0</v>
      </c>
      <c r="T1079" s="86">
        <f t="shared" si="317"/>
        <v>18738.09</v>
      </c>
      <c r="U1079" s="87">
        <v>18738.09</v>
      </c>
    </row>
    <row r="1080" spans="1:21" s="30" customFormat="1" ht="24.6" hidden="1" outlineLevel="1" x14ac:dyDescent="0.55000000000000004">
      <c r="A1080" s="27" t="s">
        <v>327</v>
      </c>
      <c r="B1080" s="28"/>
      <c r="C1080" s="27"/>
      <c r="D1080" s="27" t="str">
        <f>"""NAV Direct"",""CRONUS JetCorp USA"",""21"",""1"",""345659"""</f>
        <v>"NAV Direct","CRONUS JetCorp USA","21","1","345659"</v>
      </c>
      <c r="E1080" s="31" t="str">
        <f t="shared" si="309"/>
        <v>C100039</v>
      </c>
      <c r="F1080" s="31"/>
      <c r="G1080" s="31"/>
      <c r="H1080" s="31"/>
      <c r="I1080" s="56"/>
      <c r="J1080" s="56"/>
      <c r="K1080" s="82" t="str">
        <f t="shared" si="310"/>
        <v>Invoice</v>
      </c>
      <c r="L1080" s="83" t="str">
        <f>"SI_110867"</f>
        <v>SI_110867</v>
      </c>
      <c r="M1080" s="84">
        <v>43532</v>
      </c>
      <c r="N1080" s="85">
        <f t="shared" si="311"/>
        <v>280</v>
      </c>
      <c r="O1080" s="86">
        <f t="shared" si="312"/>
        <v>20403.259999999998</v>
      </c>
      <c r="P1080" s="86">
        <f t="shared" si="313"/>
        <v>0</v>
      </c>
      <c r="Q1080" s="86">
        <f t="shared" si="314"/>
        <v>0</v>
      </c>
      <c r="R1080" s="86">
        <f t="shared" si="315"/>
        <v>0</v>
      </c>
      <c r="S1080" s="86">
        <f t="shared" si="316"/>
        <v>0</v>
      </c>
      <c r="T1080" s="86">
        <f t="shared" si="317"/>
        <v>20403.259999999998</v>
      </c>
      <c r="U1080" s="87">
        <v>20403.259999999998</v>
      </c>
    </row>
    <row r="1081" spans="1:21" s="30" customFormat="1" ht="24.6" hidden="1" outlineLevel="1" x14ac:dyDescent="0.55000000000000004">
      <c r="A1081" s="27" t="s">
        <v>327</v>
      </c>
      <c r="B1081" s="28"/>
      <c r="C1081" s="27"/>
      <c r="D1081" s="27" t="str">
        <f>"""NAV Direct"",""CRONUS JetCorp USA"",""21"",""1"",""345696"""</f>
        <v>"NAV Direct","CRONUS JetCorp USA","21","1","345696"</v>
      </c>
      <c r="E1081" s="31">
        <f t="shared" si="309"/>
        <v>0</v>
      </c>
      <c r="F1081" s="31"/>
      <c r="G1081" s="31"/>
      <c r="H1081" s="31"/>
      <c r="I1081" s="56"/>
      <c r="J1081" s="56"/>
      <c r="K1081" s="82" t="str">
        <f t="shared" si="310"/>
        <v>Invoice</v>
      </c>
      <c r="L1081" s="83" t="str">
        <f>"SI_110868"</f>
        <v>SI_110868</v>
      </c>
      <c r="M1081" s="84">
        <v>43542</v>
      </c>
      <c r="N1081" s="85">
        <f t="shared" si="311"/>
        <v>270</v>
      </c>
      <c r="O1081" s="86">
        <f t="shared" si="312"/>
        <v>19728.189999999999</v>
      </c>
      <c r="P1081" s="86">
        <f t="shared" si="313"/>
        <v>0</v>
      </c>
      <c r="Q1081" s="86">
        <f t="shared" si="314"/>
        <v>0</v>
      </c>
      <c r="R1081" s="86">
        <f t="shared" si="315"/>
        <v>0</v>
      </c>
      <c r="S1081" s="86">
        <f t="shared" si="316"/>
        <v>0</v>
      </c>
      <c r="T1081" s="86">
        <f t="shared" si="317"/>
        <v>19728.189999999999</v>
      </c>
      <c r="U1081" s="87">
        <v>19728.189999999999</v>
      </c>
    </row>
    <row r="1082" spans="1:21" s="30" customFormat="1" ht="24.6" hidden="1" outlineLevel="1" x14ac:dyDescent="0.55000000000000004">
      <c r="A1082" s="27" t="s">
        <v>327</v>
      </c>
      <c r="B1082" s="28"/>
      <c r="C1082" s="27"/>
      <c r="D1082" s="27" t="str">
        <f>"""NAV Direct"",""CRONUS JetCorp USA"",""21"",""1"",""346563"""</f>
        <v>"NAV Direct","CRONUS JetCorp USA","21","1","346563"</v>
      </c>
      <c r="E1082" s="31" t="str">
        <f t="shared" si="309"/>
        <v>C100039</v>
      </c>
      <c r="F1082" s="31"/>
      <c r="G1082" s="31"/>
      <c r="H1082" s="31"/>
      <c r="I1082" s="56"/>
      <c r="J1082" s="56"/>
      <c r="K1082" s="82" t="str">
        <f t="shared" si="310"/>
        <v>Invoice</v>
      </c>
      <c r="L1082" s="83" t="str">
        <f>"SI_110889"</f>
        <v>SI_110889</v>
      </c>
      <c r="M1082" s="84">
        <v>43618</v>
      </c>
      <c r="N1082" s="85">
        <f t="shared" si="311"/>
        <v>194</v>
      </c>
      <c r="O1082" s="86">
        <f t="shared" si="312"/>
        <v>19920.54</v>
      </c>
      <c r="P1082" s="86">
        <f t="shared" si="313"/>
        <v>0</v>
      </c>
      <c r="Q1082" s="86">
        <f t="shared" si="314"/>
        <v>0</v>
      </c>
      <c r="R1082" s="86">
        <f t="shared" si="315"/>
        <v>0</v>
      </c>
      <c r="S1082" s="86">
        <f t="shared" si="316"/>
        <v>0</v>
      </c>
      <c r="T1082" s="86">
        <f t="shared" si="317"/>
        <v>19920.54</v>
      </c>
      <c r="U1082" s="87">
        <v>19920.54</v>
      </c>
    </row>
    <row r="1083" spans="1:21" s="30" customFormat="1" ht="24.6" hidden="1" outlineLevel="1" x14ac:dyDescent="0.55000000000000004">
      <c r="A1083" s="27" t="s">
        <v>327</v>
      </c>
      <c r="B1083" s="28"/>
      <c r="C1083" s="27"/>
      <c r="D1083" s="27" t="str">
        <f>"""NAV Direct"",""CRONUS JetCorp USA"",""21"",""1"",""347727"""</f>
        <v>"NAV Direct","CRONUS JetCorp USA","21","1","347727"</v>
      </c>
      <c r="E1083" s="31">
        <f t="shared" si="309"/>
        <v>0</v>
      </c>
      <c r="F1083" s="31"/>
      <c r="G1083" s="31"/>
      <c r="H1083" s="31"/>
      <c r="I1083" s="56"/>
      <c r="J1083" s="56"/>
      <c r="K1083" s="82" t="str">
        <f t="shared" si="310"/>
        <v>Invoice</v>
      </c>
      <c r="L1083" s="83" t="str">
        <f>"SI_110919"</f>
        <v>SI_110919</v>
      </c>
      <c r="M1083" s="84">
        <v>43733</v>
      </c>
      <c r="N1083" s="85">
        <f t="shared" si="311"/>
        <v>79</v>
      </c>
      <c r="O1083" s="86">
        <f t="shared" si="312"/>
        <v>18148.350000000002</v>
      </c>
      <c r="P1083" s="86">
        <f t="shared" si="313"/>
        <v>0</v>
      </c>
      <c r="Q1083" s="86">
        <f t="shared" si="314"/>
        <v>0</v>
      </c>
      <c r="R1083" s="86">
        <f t="shared" si="315"/>
        <v>0</v>
      </c>
      <c r="S1083" s="86">
        <f t="shared" si="316"/>
        <v>18148.350000000002</v>
      </c>
      <c r="T1083" s="86">
        <f t="shared" si="317"/>
        <v>0</v>
      </c>
      <c r="U1083" s="87">
        <v>18148.350000000002</v>
      </c>
    </row>
    <row r="1084" spans="1:21" s="30" customFormat="1" ht="24.6" hidden="1" outlineLevel="1" x14ac:dyDescent="0.55000000000000004">
      <c r="A1084" s="27" t="s">
        <v>327</v>
      </c>
      <c r="B1084" s="28"/>
      <c r="C1084" s="27"/>
      <c r="D1084" s="27" t="str">
        <f>"""NAV Direct"",""CRONUS JetCorp USA"",""21"",""1"",""348372"""</f>
        <v>"NAV Direct","CRONUS JetCorp USA","21","1","348372"</v>
      </c>
      <c r="E1084" s="31" t="str">
        <f t="shared" si="309"/>
        <v>C100039</v>
      </c>
      <c r="F1084" s="31"/>
      <c r="G1084" s="31"/>
      <c r="H1084" s="31"/>
      <c r="I1084" s="56"/>
      <c r="J1084" s="56"/>
      <c r="K1084" s="82" t="str">
        <f t="shared" si="310"/>
        <v>Invoice</v>
      </c>
      <c r="L1084" s="83" t="str">
        <f>"SI_110934"</f>
        <v>SI_110934</v>
      </c>
      <c r="M1084" s="84">
        <v>43794</v>
      </c>
      <c r="N1084" s="85">
        <f t="shared" si="311"/>
        <v>18</v>
      </c>
      <c r="O1084" s="86">
        <f t="shared" si="312"/>
        <v>19764.68</v>
      </c>
      <c r="P1084" s="86">
        <f t="shared" si="313"/>
        <v>0</v>
      </c>
      <c r="Q1084" s="86">
        <f t="shared" si="314"/>
        <v>19764.68</v>
      </c>
      <c r="R1084" s="86">
        <f t="shared" si="315"/>
        <v>0</v>
      </c>
      <c r="S1084" s="86">
        <f t="shared" si="316"/>
        <v>0</v>
      </c>
      <c r="T1084" s="86">
        <f t="shared" si="317"/>
        <v>0</v>
      </c>
      <c r="U1084" s="87">
        <v>19764.68</v>
      </c>
    </row>
    <row r="1085" spans="1:21" s="30" customFormat="1" ht="24.6" hidden="1" outlineLevel="1" x14ac:dyDescent="0.55000000000000004">
      <c r="A1085" s="27" t="s">
        <v>327</v>
      </c>
      <c r="B1085" s="28"/>
      <c r="C1085" s="27"/>
      <c r="D1085" s="27" t="str">
        <f>"""NAV Direct"",""CRONUS JetCorp USA"",""21"",""1"",""348532"""</f>
        <v>"NAV Direct","CRONUS JetCorp USA","21","1","348532"</v>
      </c>
      <c r="E1085" s="31">
        <f t="shared" si="309"/>
        <v>0</v>
      </c>
      <c r="F1085" s="31"/>
      <c r="G1085" s="31"/>
      <c r="H1085" s="31"/>
      <c r="I1085" s="56"/>
      <c r="J1085" s="56"/>
      <c r="K1085" s="82" t="str">
        <f t="shared" si="310"/>
        <v>Invoice</v>
      </c>
      <c r="L1085" s="83" t="str">
        <f>"SI_110938"</f>
        <v>SI_110938</v>
      </c>
      <c r="M1085" s="84">
        <v>43805</v>
      </c>
      <c r="N1085" s="85">
        <f t="shared" si="311"/>
        <v>7</v>
      </c>
      <c r="O1085" s="86">
        <f t="shared" si="312"/>
        <v>19563.21</v>
      </c>
      <c r="P1085" s="86">
        <f t="shared" si="313"/>
        <v>0</v>
      </c>
      <c r="Q1085" s="86">
        <f t="shared" si="314"/>
        <v>19563.21</v>
      </c>
      <c r="R1085" s="86">
        <f t="shared" si="315"/>
        <v>0</v>
      </c>
      <c r="S1085" s="86">
        <f t="shared" si="316"/>
        <v>0</v>
      </c>
      <c r="T1085" s="86">
        <f t="shared" si="317"/>
        <v>0</v>
      </c>
      <c r="U1085" s="87">
        <v>19563.21</v>
      </c>
    </row>
    <row r="1086" spans="1:21" s="30" customFormat="1" ht="24.6" hidden="1" outlineLevel="1" x14ac:dyDescent="0.55000000000000004">
      <c r="A1086" s="27" t="s">
        <v>327</v>
      </c>
      <c r="B1086" s="28"/>
      <c r="C1086" s="27"/>
      <c r="D1086" s="27" t="str">
        <f>"""NAV Direct"",""CRONUS JetCorp USA"",""21"",""1"",""348893"""</f>
        <v>"NAV Direct","CRONUS JetCorp USA","21","1","348893"</v>
      </c>
      <c r="E1086" s="31" t="str">
        <f t="shared" ref="E1086:E1106" si="318">E1084</f>
        <v>C100039</v>
      </c>
      <c r="F1086" s="31"/>
      <c r="G1086" s="31"/>
      <c r="H1086" s="31"/>
      <c r="I1086" s="56"/>
      <c r="J1086" s="56"/>
      <c r="K1086" s="82" t="str">
        <f t="shared" si="310"/>
        <v>Invoice</v>
      </c>
      <c r="L1086" s="83" t="str">
        <f>"SI_110947"</f>
        <v>SI_110947</v>
      </c>
      <c r="M1086" s="84">
        <v>42013</v>
      </c>
      <c r="N1086" s="85">
        <f t="shared" ref="N1086:N1106" si="319">StartDate-$M1086+1</f>
        <v>1799</v>
      </c>
      <c r="O1086" s="86">
        <f t="shared" ref="O1086:O1106" si="320">SUM(P1086:T1086)</f>
        <v>20377.57</v>
      </c>
      <c r="P1086" s="86">
        <f t="shared" ref="P1086:P1106" si="321">IF($M1086&gt;=$P$18,U1086,0)</f>
        <v>0</v>
      </c>
      <c r="Q1086" s="86">
        <f t="shared" ref="Q1086:Q1106" si="322">IF(AND($M1086&gt;=$Q$16,$M1086&lt;=$Q$18),U1086,0)</f>
        <v>0</v>
      </c>
      <c r="R1086" s="86">
        <f t="shared" ref="R1086:R1106" si="323">IF(AND($M1086&gt;=$R$16,$M1086&lt;=$R$18),U1086,0)</f>
        <v>0</v>
      </c>
      <c r="S1086" s="86">
        <f t="shared" ref="S1086:S1106" si="324">IF(AND($M1086&gt;=$S$16,$M1086&lt;=$S$18),U1086,0)</f>
        <v>0</v>
      </c>
      <c r="T1086" s="86">
        <f t="shared" ref="T1086:T1106" si="325">IF($M1086&lt;=$T$18,U1086,0)</f>
        <v>20377.57</v>
      </c>
      <c r="U1086" s="87">
        <v>20377.57</v>
      </c>
    </row>
    <row r="1087" spans="1:21" s="30" customFormat="1" ht="24.6" hidden="1" outlineLevel="1" x14ac:dyDescent="0.55000000000000004">
      <c r="A1087" s="27" t="s">
        <v>327</v>
      </c>
      <c r="B1087" s="28"/>
      <c r="C1087" s="27"/>
      <c r="D1087" s="27" t="str">
        <f>"""NAV Direct"",""CRONUS JetCorp USA"",""21"",""1"",""350257"""</f>
        <v>"NAV Direct","CRONUS JetCorp USA","21","1","350257"</v>
      </c>
      <c r="E1087" s="31">
        <f t="shared" si="318"/>
        <v>0</v>
      </c>
      <c r="F1087" s="31"/>
      <c r="G1087" s="31"/>
      <c r="H1087" s="31"/>
      <c r="I1087" s="56"/>
      <c r="J1087" s="56"/>
      <c r="K1087" s="82" t="str">
        <f t="shared" si="310"/>
        <v>Invoice</v>
      </c>
      <c r="L1087" s="83" t="str">
        <f>"SI_110981"</f>
        <v>SI_110981</v>
      </c>
      <c r="M1087" s="84">
        <v>42154</v>
      </c>
      <c r="N1087" s="85">
        <f t="shared" si="319"/>
        <v>1658</v>
      </c>
      <c r="O1087" s="86">
        <f t="shared" si="320"/>
        <v>23952.9</v>
      </c>
      <c r="P1087" s="86">
        <f t="shared" si="321"/>
        <v>0</v>
      </c>
      <c r="Q1087" s="86">
        <f t="shared" si="322"/>
        <v>0</v>
      </c>
      <c r="R1087" s="86">
        <f t="shared" si="323"/>
        <v>0</v>
      </c>
      <c r="S1087" s="86">
        <f t="shared" si="324"/>
        <v>0</v>
      </c>
      <c r="T1087" s="86">
        <f t="shared" si="325"/>
        <v>23952.9</v>
      </c>
      <c r="U1087" s="87">
        <v>23952.9</v>
      </c>
    </row>
    <row r="1088" spans="1:21" s="30" customFormat="1" ht="24.6" hidden="1" outlineLevel="1" x14ac:dyDescent="0.55000000000000004">
      <c r="A1088" s="27" t="s">
        <v>327</v>
      </c>
      <c r="B1088" s="28"/>
      <c r="C1088" s="27"/>
      <c r="D1088" s="27" t="str">
        <f>"""NAV Direct"",""CRONUS JetCorp USA"",""21"",""1"",""350745"""</f>
        <v>"NAV Direct","CRONUS JetCorp USA","21","1","350745"</v>
      </c>
      <c r="E1088" s="31" t="str">
        <f t="shared" si="318"/>
        <v>C100039</v>
      </c>
      <c r="F1088" s="31"/>
      <c r="G1088" s="31"/>
      <c r="H1088" s="31"/>
      <c r="I1088" s="56"/>
      <c r="J1088" s="56"/>
      <c r="K1088" s="82" t="str">
        <f t="shared" si="310"/>
        <v>Invoice</v>
      </c>
      <c r="L1088" s="83" t="str">
        <f>"SI_110993"</f>
        <v>SI_110993</v>
      </c>
      <c r="M1088" s="84">
        <v>42209</v>
      </c>
      <c r="N1088" s="85">
        <f t="shared" si="319"/>
        <v>1603</v>
      </c>
      <c r="O1088" s="86">
        <f t="shared" si="320"/>
        <v>18909.169999999998</v>
      </c>
      <c r="P1088" s="86">
        <f t="shared" si="321"/>
        <v>0</v>
      </c>
      <c r="Q1088" s="86">
        <f t="shared" si="322"/>
        <v>0</v>
      </c>
      <c r="R1088" s="86">
        <f t="shared" si="323"/>
        <v>0</v>
      </c>
      <c r="S1088" s="86">
        <f t="shared" si="324"/>
        <v>0</v>
      </c>
      <c r="T1088" s="86">
        <f t="shared" si="325"/>
        <v>18909.169999999998</v>
      </c>
      <c r="U1088" s="87">
        <v>18909.169999999998</v>
      </c>
    </row>
    <row r="1089" spans="1:21" s="30" customFormat="1" ht="24.6" hidden="1" outlineLevel="1" x14ac:dyDescent="0.55000000000000004">
      <c r="A1089" s="27" t="s">
        <v>327</v>
      </c>
      <c r="B1089" s="28"/>
      <c r="C1089" s="27"/>
      <c r="D1089" s="27" t="str">
        <f>"""NAV Direct"",""CRONUS JetCorp USA"",""21"",""1"",""350784"""</f>
        <v>"NAV Direct","CRONUS JetCorp USA","21","1","350784"</v>
      </c>
      <c r="E1089" s="31">
        <f t="shared" si="318"/>
        <v>0</v>
      </c>
      <c r="F1089" s="31"/>
      <c r="G1089" s="31"/>
      <c r="H1089" s="31"/>
      <c r="I1089" s="56"/>
      <c r="J1089" s="56"/>
      <c r="K1089" s="82" t="str">
        <f t="shared" si="310"/>
        <v>Invoice</v>
      </c>
      <c r="L1089" s="83" t="str">
        <f>"SI_110994"</f>
        <v>SI_110994</v>
      </c>
      <c r="M1089" s="84">
        <v>42209</v>
      </c>
      <c r="N1089" s="85">
        <f t="shared" si="319"/>
        <v>1603</v>
      </c>
      <c r="O1089" s="86">
        <f t="shared" si="320"/>
        <v>18909.830000000002</v>
      </c>
      <c r="P1089" s="86">
        <f t="shared" si="321"/>
        <v>0</v>
      </c>
      <c r="Q1089" s="86">
        <f t="shared" si="322"/>
        <v>0</v>
      </c>
      <c r="R1089" s="86">
        <f t="shared" si="323"/>
        <v>0</v>
      </c>
      <c r="S1089" s="86">
        <f t="shared" si="324"/>
        <v>0</v>
      </c>
      <c r="T1089" s="86">
        <f t="shared" si="325"/>
        <v>18909.830000000002</v>
      </c>
      <c r="U1089" s="87">
        <v>18909.830000000002</v>
      </c>
    </row>
    <row r="1090" spans="1:21" s="30" customFormat="1" ht="24.6" hidden="1" outlineLevel="1" x14ac:dyDescent="0.55000000000000004">
      <c r="A1090" s="27" t="s">
        <v>327</v>
      </c>
      <c r="B1090" s="28"/>
      <c r="C1090" s="27"/>
      <c r="D1090" s="27" t="str">
        <f>"""NAV Direct"",""CRONUS JetCorp USA"",""21"",""1"",""350825"""</f>
        <v>"NAV Direct","CRONUS JetCorp USA","21","1","350825"</v>
      </c>
      <c r="E1090" s="31" t="str">
        <f t="shared" si="318"/>
        <v>C100039</v>
      </c>
      <c r="F1090" s="31"/>
      <c r="G1090" s="31"/>
      <c r="H1090" s="31"/>
      <c r="I1090" s="56"/>
      <c r="J1090" s="56"/>
      <c r="K1090" s="82" t="str">
        <f t="shared" si="310"/>
        <v>Invoice</v>
      </c>
      <c r="L1090" s="83" t="str">
        <f>"SI_110995"</f>
        <v>SI_110995</v>
      </c>
      <c r="M1090" s="84">
        <v>42217</v>
      </c>
      <c r="N1090" s="85">
        <f t="shared" si="319"/>
        <v>1595</v>
      </c>
      <c r="O1090" s="86">
        <f t="shared" si="320"/>
        <v>18717.370000000003</v>
      </c>
      <c r="P1090" s="86">
        <f t="shared" si="321"/>
        <v>0</v>
      </c>
      <c r="Q1090" s="86">
        <f t="shared" si="322"/>
        <v>0</v>
      </c>
      <c r="R1090" s="86">
        <f t="shared" si="323"/>
        <v>0</v>
      </c>
      <c r="S1090" s="86">
        <f t="shared" si="324"/>
        <v>0</v>
      </c>
      <c r="T1090" s="86">
        <f t="shared" si="325"/>
        <v>18717.370000000003</v>
      </c>
      <c r="U1090" s="87">
        <v>18717.370000000003</v>
      </c>
    </row>
    <row r="1091" spans="1:21" s="30" customFormat="1" ht="24.6" hidden="1" outlineLevel="1" x14ac:dyDescent="0.55000000000000004">
      <c r="A1091" s="27" t="s">
        <v>327</v>
      </c>
      <c r="B1091" s="28"/>
      <c r="C1091" s="27"/>
      <c r="D1091" s="27" t="str">
        <f>"""NAV Direct"",""CRONUS JetCorp USA"",""21"",""1"",""350992"""</f>
        <v>"NAV Direct","CRONUS JetCorp USA","21","1","350992"</v>
      </c>
      <c r="E1091" s="31">
        <f t="shared" si="318"/>
        <v>0</v>
      </c>
      <c r="F1091" s="31"/>
      <c r="G1091" s="31"/>
      <c r="H1091" s="31"/>
      <c r="I1091" s="56"/>
      <c r="J1091" s="56"/>
      <c r="K1091" s="82" t="str">
        <f t="shared" si="310"/>
        <v>Invoice</v>
      </c>
      <c r="L1091" s="83" t="str">
        <f>"SI_111000"</f>
        <v>SI_111000</v>
      </c>
      <c r="M1091" s="84">
        <v>42241</v>
      </c>
      <c r="N1091" s="85">
        <f t="shared" si="319"/>
        <v>1571</v>
      </c>
      <c r="O1091" s="86">
        <f t="shared" si="320"/>
        <v>19099.280000000002</v>
      </c>
      <c r="P1091" s="86">
        <f t="shared" si="321"/>
        <v>0</v>
      </c>
      <c r="Q1091" s="86">
        <f t="shared" si="322"/>
        <v>0</v>
      </c>
      <c r="R1091" s="86">
        <f t="shared" si="323"/>
        <v>0</v>
      </c>
      <c r="S1091" s="86">
        <f t="shared" si="324"/>
        <v>0</v>
      </c>
      <c r="T1091" s="86">
        <f t="shared" si="325"/>
        <v>19099.280000000002</v>
      </c>
      <c r="U1091" s="87">
        <v>19099.280000000002</v>
      </c>
    </row>
    <row r="1092" spans="1:21" s="30" customFormat="1" ht="24.6" hidden="1" outlineLevel="1" x14ac:dyDescent="0.55000000000000004">
      <c r="A1092" s="27" t="s">
        <v>327</v>
      </c>
      <c r="B1092" s="28"/>
      <c r="C1092" s="27"/>
      <c r="D1092" s="27" t="str">
        <f>"""NAV Direct"",""CRONUS JetCorp USA"",""21"",""1"",""351074"""</f>
        <v>"NAV Direct","CRONUS JetCorp USA","21","1","351074"</v>
      </c>
      <c r="E1092" s="31" t="str">
        <f t="shared" si="318"/>
        <v>C100039</v>
      </c>
      <c r="F1092" s="31"/>
      <c r="G1092" s="31"/>
      <c r="H1092" s="31"/>
      <c r="I1092" s="56"/>
      <c r="J1092" s="56"/>
      <c r="K1092" s="82" t="str">
        <f t="shared" si="310"/>
        <v>Invoice</v>
      </c>
      <c r="L1092" s="83" t="str">
        <f>"SI_111002"</f>
        <v>SI_111002</v>
      </c>
      <c r="M1092" s="84">
        <v>42241</v>
      </c>
      <c r="N1092" s="85">
        <f t="shared" si="319"/>
        <v>1571</v>
      </c>
      <c r="O1092" s="86">
        <f t="shared" si="320"/>
        <v>18709.239999999998</v>
      </c>
      <c r="P1092" s="86">
        <f t="shared" si="321"/>
        <v>0</v>
      </c>
      <c r="Q1092" s="86">
        <f t="shared" si="322"/>
        <v>0</v>
      </c>
      <c r="R1092" s="86">
        <f t="shared" si="323"/>
        <v>0</v>
      </c>
      <c r="S1092" s="86">
        <f t="shared" si="324"/>
        <v>0</v>
      </c>
      <c r="T1092" s="86">
        <f t="shared" si="325"/>
        <v>18709.239999999998</v>
      </c>
      <c r="U1092" s="87">
        <v>18709.239999999998</v>
      </c>
    </row>
    <row r="1093" spans="1:21" s="30" customFormat="1" ht="24.6" hidden="1" outlineLevel="1" x14ac:dyDescent="0.55000000000000004">
      <c r="A1093" s="27" t="s">
        <v>327</v>
      </c>
      <c r="B1093" s="28"/>
      <c r="C1093" s="27"/>
      <c r="D1093" s="27" t="str">
        <f>"""NAV Direct"",""CRONUS JetCorp USA"",""21"",""1"",""351183"""</f>
        <v>"NAV Direct","CRONUS JetCorp USA","21","1","351183"</v>
      </c>
      <c r="E1093" s="31">
        <f t="shared" si="318"/>
        <v>0</v>
      </c>
      <c r="F1093" s="31"/>
      <c r="G1093" s="31"/>
      <c r="H1093" s="31"/>
      <c r="I1093" s="56"/>
      <c r="J1093" s="56"/>
      <c r="K1093" s="82" t="str">
        <f t="shared" si="310"/>
        <v>Invoice</v>
      </c>
      <c r="L1093" s="83" t="str">
        <f>"SI_111005"</f>
        <v>SI_111005</v>
      </c>
      <c r="M1093" s="84">
        <v>42245</v>
      </c>
      <c r="N1093" s="85">
        <f t="shared" si="319"/>
        <v>1567</v>
      </c>
      <c r="O1093" s="86">
        <f t="shared" si="320"/>
        <v>18709.11</v>
      </c>
      <c r="P1093" s="86">
        <f t="shared" si="321"/>
        <v>0</v>
      </c>
      <c r="Q1093" s="86">
        <f t="shared" si="322"/>
        <v>0</v>
      </c>
      <c r="R1093" s="86">
        <f t="shared" si="323"/>
        <v>0</v>
      </c>
      <c r="S1093" s="86">
        <f t="shared" si="324"/>
        <v>0</v>
      </c>
      <c r="T1093" s="86">
        <f t="shared" si="325"/>
        <v>18709.11</v>
      </c>
      <c r="U1093" s="87">
        <v>18709.11</v>
      </c>
    </row>
    <row r="1094" spans="1:21" s="30" customFormat="1" ht="24.6" hidden="1" outlineLevel="1" x14ac:dyDescent="0.55000000000000004">
      <c r="A1094" s="27" t="s">
        <v>327</v>
      </c>
      <c r="B1094" s="28"/>
      <c r="C1094" s="27"/>
      <c r="D1094" s="27" t="str">
        <f>"""NAV Direct"",""CRONUS JetCorp USA"",""21"",""1"",""351226"""</f>
        <v>"NAV Direct","CRONUS JetCorp USA","21","1","351226"</v>
      </c>
      <c r="E1094" s="31" t="str">
        <f t="shared" si="318"/>
        <v>C100039</v>
      </c>
      <c r="F1094" s="31"/>
      <c r="G1094" s="31"/>
      <c r="H1094" s="31"/>
      <c r="I1094" s="56"/>
      <c r="J1094" s="56"/>
      <c r="K1094" s="82" t="str">
        <f t="shared" si="310"/>
        <v>Invoice</v>
      </c>
      <c r="L1094" s="83" t="str">
        <f>"SI_111006"</f>
        <v>SI_111006</v>
      </c>
      <c r="M1094" s="84">
        <v>42264</v>
      </c>
      <c r="N1094" s="85">
        <f t="shared" si="319"/>
        <v>1548</v>
      </c>
      <c r="O1094" s="86">
        <f t="shared" si="320"/>
        <v>18465.810000000001</v>
      </c>
      <c r="P1094" s="86">
        <f t="shared" si="321"/>
        <v>0</v>
      </c>
      <c r="Q1094" s="86">
        <f t="shared" si="322"/>
        <v>0</v>
      </c>
      <c r="R1094" s="86">
        <f t="shared" si="323"/>
        <v>0</v>
      </c>
      <c r="S1094" s="86">
        <f t="shared" si="324"/>
        <v>0</v>
      </c>
      <c r="T1094" s="86">
        <f t="shared" si="325"/>
        <v>18465.810000000001</v>
      </c>
      <c r="U1094" s="87">
        <v>18465.810000000001</v>
      </c>
    </row>
    <row r="1095" spans="1:21" s="30" customFormat="1" ht="24.6" hidden="1" outlineLevel="1" x14ac:dyDescent="0.55000000000000004">
      <c r="A1095" s="27" t="s">
        <v>327</v>
      </c>
      <c r="B1095" s="28"/>
      <c r="C1095" s="27"/>
      <c r="D1095" s="27" t="str">
        <f>"""NAV Direct"",""CRONUS JetCorp USA"",""21"",""1"",""351281"""</f>
        <v>"NAV Direct","CRONUS JetCorp USA","21","1","351281"</v>
      </c>
      <c r="E1095" s="31">
        <f t="shared" si="318"/>
        <v>0</v>
      </c>
      <c r="F1095" s="31"/>
      <c r="G1095" s="31"/>
      <c r="H1095" s="31"/>
      <c r="I1095" s="56"/>
      <c r="J1095" s="56"/>
      <c r="K1095" s="82" t="str">
        <f t="shared" si="310"/>
        <v>Invoice</v>
      </c>
      <c r="L1095" s="83" t="str">
        <f>"SI_111007"</f>
        <v>SI_111007</v>
      </c>
      <c r="M1095" s="84">
        <v>42267</v>
      </c>
      <c r="N1095" s="85">
        <f t="shared" si="319"/>
        <v>1545</v>
      </c>
      <c r="O1095" s="86">
        <f t="shared" si="320"/>
        <v>18850.289999999997</v>
      </c>
      <c r="P1095" s="86">
        <f t="shared" si="321"/>
        <v>0</v>
      </c>
      <c r="Q1095" s="86">
        <f t="shared" si="322"/>
        <v>0</v>
      </c>
      <c r="R1095" s="86">
        <f t="shared" si="323"/>
        <v>0</v>
      </c>
      <c r="S1095" s="86">
        <f t="shared" si="324"/>
        <v>0</v>
      </c>
      <c r="T1095" s="86">
        <f t="shared" si="325"/>
        <v>18850.289999999997</v>
      </c>
      <c r="U1095" s="87">
        <v>18850.289999999997</v>
      </c>
    </row>
    <row r="1096" spans="1:21" s="30" customFormat="1" ht="24.6" hidden="1" outlineLevel="1" x14ac:dyDescent="0.55000000000000004">
      <c r="A1096" s="27" t="s">
        <v>327</v>
      </c>
      <c r="B1096" s="28"/>
      <c r="C1096" s="27"/>
      <c r="D1096" s="27" t="str">
        <f>"""NAV Direct"",""CRONUS JetCorp USA"",""21"",""1"",""433572"""</f>
        <v>"NAV Direct","CRONUS JetCorp USA","21","1","433572"</v>
      </c>
      <c r="E1096" s="31" t="str">
        <f t="shared" si="318"/>
        <v>C100039</v>
      </c>
      <c r="F1096" s="31"/>
      <c r="G1096" s="31"/>
      <c r="H1096" s="31"/>
      <c r="I1096" s="56"/>
      <c r="J1096" s="56"/>
      <c r="K1096" s="82" t="str">
        <f t="shared" ref="K1096:K1106" si="326">"Credit Memo"</f>
        <v>Credit Memo</v>
      </c>
      <c r="L1096" s="83" t="str">
        <f>"SC_100498"</f>
        <v>SC_100498</v>
      </c>
      <c r="M1096" s="84">
        <v>42391</v>
      </c>
      <c r="N1096" s="85">
        <f t="shared" si="319"/>
        <v>1421</v>
      </c>
      <c r="O1096" s="86">
        <f t="shared" si="320"/>
        <v>-161.91</v>
      </c>
      <c r="P1096" s="86">
        <f t="shared" si="321"/>
        <v>0</v>
      </c>
      <c r="Q1096" s="86">
        <f t="shared" si="322"/>
        <v>0</v>
      </c>
      <c r="R1096" s="86">
        <f t="shared" si="323"/>
        <v>0</v>
      </c>
      <c r="S1096" s="86">
        <f t="shared" si="324"/>
        <v>0</v>
      </c>
      <c r="T1096" s="86">
        <f t="shared" si="325"/>
        <v>-161.91</v>
      </c>
      <c r="U1096" s="87">
        <v>-161.91</v>
      </c>
    </row>
    <row r="1097" spans="1:21" s="30" customFormat="1" ht="24.6" hidden="1" outlineLevel="1" x14ac:dyDescent="0.55000000000000004">
      <c r="A1097" s="27" t="s">
        <v>327</v>
      </c>
      <c r="B1097" s="28"/>
      <c r="C1097" s="27"/>
      <c r="D1097" s="27" t="str">
        <f>"""NAV Direct"",""CRONUS JetCorp USA"",""21"",""1"",""433666"""</f>
        <v>"NAV Direct","CRONUS JetCorp USA","21","1","433666"</v>
      </c>
      <c r="E1097" s="31">
        <f t="shared" si="318"/>
        <v>0</v>
      </c>
      <c r="F1097" s="31"/>
      <c r="G1097" s="31"/>
      <c r="H1097" s="31"/>
      <c r="I1097" s="56"/>
      <c r="J1097" s="56"/>
      <c r="K1097" s="82" t="str">
        <f t="shared" si="326"/>
        <v>Credit Memo</v>
      </c>
      <c r="L1097" s="83" t="str">
        <f>"SC_100504"</f>
        <v>SC_100504</v>
      </c>
      <c r="M1097" s="84">
        <v>42563</v>
      </c>
      <c r="N1097" s="85">
        <f t="shared" si="319"/>
        <v>1249</v>
      </c>
      <c r="O1097" s="86">
        <f t="shared" si="320"/>
        <v>-183.69</v>
      </c>
      <c r="P1097" s="86">
        <f t="shared" si="321"/>
        <v>0</v>
      </c>
      <c r="Q1097" s="86">
        <f t="shared" si="322"/>
        <v>0</v>
      </c>
      <c r="R1097" s="86">
        <f t="shared" si="323"/>
        <v>0</v>
      </c>
      <c r="S1097" s="86">
        <f t="shared" si="324"/>
        <v>0</v>
      </c>
      <c r="T1097" s="86">
        <f t="shared" si="325"/>
        <v>-183.69</v>
      </c>
      <c r="U1097" s="87">
        <v>-183.69</v>
      </c>
    </row>
    <row r="1098" spans="1:21" s="30" customFormat="1" ht="24.6" hidden="1" outlineLevel="1" x14ac:dyDescent="0.55000000000000004">
      <c r="A1098" s="27" t="s">
        <v>327</v>
      </c>
      <c r="B1098" s="28"/>
      <c r="C1098" s="27"/>
      <c r="D1098" s="27" t="str">
        <f>"""NAV Direct"",""CRONUS JetCorp USA"",""21"",""1"",""433722"""</f>
        <v>"NAV Direct","CRONUS JetCorp USA","21","1","433722"</v>
      </c>
      <c r="E1098" s="31" t="str">
        <f t="shared" si="318"/>
        <v>C100039</v>
      </c>
      <c r="F1098" s="31"/>
      <c r="G1098" s="31"/>
      <c r="H1098" s="31"/>
      <c r="I1098" s="56"/>
      <c r="J1098" s="56"/>
      <c r="K1098" s="82" t="str">
        <f t="shared" si="326"/>
        <v>Credit Memo</v>
      </c>
      <c r="L1098" s="83" t="str">
        <f>"SC_100508"</f>
        <v>SC_100508</v>
      </c>
      <c r="M1098" s="84">
        <v>42644</v>
      </c>
      <c r="N1098" s="85">
        <f t="shared" si="319"/>
        <v>1168</v>
      </c>
      <c r="O1098" s="86">
        <f t="shared" si="320"/>
        <v>-169.74</v>
      </c>
      <c r="P1098" s="86">
        <f t="shared" si="321"/>
        <v>0</v>
      </c>
      <c r="Q1098" s="86">
        <f t="shared" si="322"/>
        <v>0</v>
      </c>
      <c r="R1098" s="86">
        <f t="shared" si="323"/>
        <v>0</v>
      </c>
      <c r="S1098" s="86">
        <f t="shared" si="324"/>
        <v>0</v>
      </c>
      <c r="T1098" s="86">
        <f t="shared" si="325"/>
        <v>-169.74</v>
      </c>
      <c r="U1098" s="87">
        <v>-169.74</v>
      </c>
    </row>
    <row r="1099" spans="1:21" s="30" customFormat="1" ht="24.6" hidden="1" outlineLevel="1" x14ac:dyDescent="0.55000000000000004">
      <c r="A1099" s="27" t="s">
        <v>327</v>
      </c>
      <c r="B1099" s="28"/>
      <c r="C1099" s="27"/>
      <c r="D1099" s="27" t="str">
        <f>"""NAV Direct"",""CRONUS JetCorp USA"",""21"",""1"",""433733"""</f>
        <v>"NAV Direct","CRONUS JetCorp USA","21","1","433733"</v>
      </c>
      <c r="E1099" s="31">
        <f t="shared" si="318"/>
        <v>0</v>
      </c>
      <c r="F1099" s="31"/>
      <c r="G1099" s="31"/>
      <c r="H1099" s="31"/>
      <c r="I1099" s="56"/>
      <c r="J1099" s="56"/>
      <c r="K1099" s="82" t="str">
        <f t="shared" si="326"/>
        <v>Credit Memo</v>
      </c>
      <c r="L1099" s="83" t="str">
        <f>"SC_100509"</f>
        <v>SC_100509</v>
      </c>
      <c r="M1099" s="84">
        <v>42647</v>
      </c>
      <c r="N1099" s="85">
        <f t="shared" si="319"/>
        <v>1165</v>
      </c>
      <c r="O1099" s="86">
        <f t="shared" si="320"/>
        <v>-183.04</v>
      </c>
      <c r="P1099" s="86">
        <f t="shared" si="321"/>
        <v>0</v>
      </c>
      <c r="Q1099" s="86">
        <f t="shared" si="322"/>
        <v>0</v>
      </c>
      <c r="R1099" s="86">
        <f t="shared" si="323"/>
        <v>0</v>
      </c>
      <c r="S1099" s="86">
        <f t="shared" si="324"/>
        <v>0</v>
      </c>
      <c r="T1099" s="86">
        <f t="shared" si="325"/>
        <v>-183.04</v>
      </c>
      <c r="U1099" s="87">
        <v>-183.04</v>
      </c>
    </row>
    <row r="1100" spans="1:21" s="30" customFormat="1" ht="24.6" hidden="1" outlineLevel="1" x14ac:dyDescent="0.55000000000000004">
      <c r="A1100" s="27" t="s">
        <v>327</v>
      </c>
      <c r="B1100" s="28"/>
      <c r="C1100" s="27"/>
      <c r="D1100" s="27" t="str">
        <f>"""NAV Direct"",""CRONUS JetCorp USA"",""21"",""1"",""433752"""</f>
        <v>"NAV Direct","CRONUS JetCorp USA","21","1","433752"</v>
      </c>
      <c r="E1100" s="31" t="str">
        <f t="shared" si="318"/>
        <v>C100039</v>
      </c>
      <c r="F1100" s="31"/>
      <c r="G1100" s="31"/>
      <c r="H1100" s="31"/>
      <c r="I1100" s="56"/>
      <c r="J1100" s="56"/>
      <c r="K1100" s="82" t="str">
        <f t="shared" si="326"/>
        <v>Credit Memo</v>
      </c>
      <c r="L1100" s="83" t="str">
        <f>"SC_100510"</f>
        <v>SC_100510</v>
      </c>
      <c r="M1100" s="84">
        <v>42661</v>
      </c>
      <c r="N1100" s="85">
        <f t="shared" si="319"/>
        <v>1151</v>
      </c>
      <c r="O1100" s="86">
        <f t="shared" si="320"/>
        <v>-183.11</v>
      </c>
      <c r="P1100" s="86">
        <f t="shared" si="321"/>
        <v>0</v>
      </c>
      <c r="Q1100" s="86">
        <f t="shared" si="322"/>
        <v>0</v>
      </c>
      <c r="R1100" s="86">
        <f t="shared" si="323"/>
        <v>0</v>
      </c>
      <c r="S1100" s="86">
        <f t="shared" si="324"/>
        <v>0</v>
      </c>
      <c r="T1100" s="86">
        <f t="shared" si="325"/>
        <v>-183.11</v>
      </c>
      <c r="U1100" s="87">
        <v>-183.11</v>
      </c>
    </row>
    <row r="1101" spans="1:21" s="30" customFormat="1" ht="24.6" hidden="1" outlineLevel="1" x14ac:dyDescent="0.55000000000000004">
      <c r="A1101" s="27" t="s">
        <v>327</v>
      </c>
      <c r="B1101" s="28"/>
      <c r="C1101" s="27"/>
      <c r="D1101" s="27" t="str">
        <f>"""NAV Direct"",""CRONUS JetCorp USA"",""21"",""1"",""433840"""</f>
        <v>"NAV Direct","CRONUS JetCorp USA","21","1","433840"</v>
      </c>
      <c r="E1101" s="31">
        <f t="shared" si="318"/>
        <v>0</v>
      </c>
      <c r="F1101" s="31"/>
      <c r="G1101" s="31"/>
      <c r="H1101" s="31"/>
      <c r="I1101" s="56"/>
      <c r="J1101" s="56"/>
      <c r="K1101" s="82" t="str">
        <f t="shared" si="326"/>
        <v>Credit Memo</v>
      </c>
      <c r="L1101" s="83" t="str">
        <f>"SC_100516"</f>
        <v>SC_100516</v>
      </c>
      <c r="M1101" s="84">
        <v>42782</v>
      </c>
      <c r="N1101" s="85">
        <f t="shared" si="319"/>
        <v>1030</v>
      </c>
      <c r="O1101" s="86">
        <f t="shared" si="320"/>
        <v>-180.73</v>
      </c>
      <c r="P1101" s="86">
        <f t="shared" si="321"/>
        <v>0</v>
      </c>
      <c r="Q1101" s="86">
        <f t="shared" si="322"/>
        <v>0</v>
      </c>
      <c r="R1101" s="86">
        <f t="shared" si="323"/>
        <v>0</v>
      </c>
      <c r="S1101" s="86">
        <f t="shared" si="324"/>
        <v>0</v>
      </c>
      <c r="T1101" s="86">
        <f t="shared" si="325"/>
        <v>-180.73</v>
      </c>
      <c r="U1101" s="87">
        <v>-180.73</v>
      </c>
    </row>
    <row r="1102" spans="1:21" s="30" customFormat="1" ht="24.6" hidden="1" outlineLevel="1" x14ac:dyDescent="0.55000000000000004">
      <c r="A1102" s="27" t="s">
        <v>327</v>
      </c>
      <c r="B1102" s="28"/>
      <c r="C1102" s="27"/>
      <c r="D1102" s="27" t="str">
        <f>"""NAV Direct"",""CRONUS JetCorp USA"",""21"",""1"",""434044"""</f>
        <v>"NAV Direct","CRONUS JetCorp USA","21","1","434044"</v>
      </c>
      <c r="E1102" s="31" t="str">
        <f t="shared" si="318"/>
        <v>C100039</v>
      </c>
      <c r="F1102" s="31"/>
      <c r="G1102" s="31"/>
      <c r="H1102" s="31"/>
      <c r="I1102" s="56"/>
      <c r="J1102" s="56"/>
      <c r="K1102" s="82" t="str">
        <f t="shared" si="326"/>
        <v>Credit Memo</v>
      </c>
      <c r="L1102" s="83" t="str">
        <f>"SC_100528"</f>
        <v>SC_100528</v>
      </c>
      <c r="M1102" s="84">
        <v>43001</v>
      </c>
      <c r="N1102" s="85">
        <f t="shared" si="319"/>
        <v>811</v>
      </c>
      <c r="O1102" s="86">
        <f t="shared" si="320"/>
        <v>-177.85</v>
      </c>
      <c r="P1102" s="86">
        <f t="shared" si="321"/>
        <v>0</v>
      </c>
      <c r="Q1102" s="86">
        <f t="shared" si="322"/>
        <v>0</v>
      </c>
      <c r="R1102" s="86">
        <f t="shared" si="323"/>
        <v>0</v>
      </c>
      <c r="S1102" s="86">
        <f t="shared" si="324"/>
        <v>0</v>
      </c>
      <c r="T1102" s="86">
        <f t="shared" si="325"/>
        <v>-177.85</v>
      </c>
      <c r="U1102" s="87">
        <v>-177.85</v>
      </c>
    </row>
    <row r="1103" spans="1:21" s="30" customFormat="1" ht="24.6" hidden="1" outlineLevel="1" x14ac:dyDescent="0.55000000000000004">
      <c r="A1103" s="27" t="s">
        <v>327</v>
      </c>
      <c r="B1103" s="28"/>
      <c r="C1103" s="27"/>
      <c r="D1103" s="27" t="str">
        <f>"""NAV Direct"",""CRONUS JetCorp USA"",""21"",""1"",""434215"""</f>
        <v>"NAV Direct","CRONUS JetCorp USA","21","1","434215"</v>
      </c>
      <c r="E1103" s="31">
        <f t="shared" si="318"/>
        <v>0</v>
      </c>
      <c r="F1103" s="31"/>
      <c r="G1103" s="31"/>
      <c r="H1103" s="31"/>
      <c r="I1103" s="56"/>
      <c r="J1103" s="56"/>
      <c r="K1103" s="82" t="str">
        <f t="shared" si="326"/>
        <v>Credit Memo</v>
      </c>
      <c r="L1103" s="83" t="str">
        <f>"SC_100539"</f>
        <v>SC_100539</v>
      </c>
      <c r="M1103" s="84">
        <v>43226</v>
      </c>
      <c r="N1103" s="85">
        <f t="shared" si="319"/>
        <v>586</v>
      </c>
      <c r="O1103" s="86">
        <f t="shared" si="320"/>
        <v>-191.94000000000003</v>
      </c>
      <c r="P1103" s="86">
        <f t="shared" si="321"/>
        <v>0</v>
      </c>
      <c r="Q1103" s="86">
        <f t="shared" si="322"/>
        <v>0</v>
      </c>
      <c r="R1103" s="86">
        <f t="shared" si="323"/>
        <v>0</v>
      </c>
      <c r="S1103" s="86">
        <f t="shared" si="324"/>
        <v>0</v>
      </c>
      <c r="T1103" s="86">
        <f t="shared" si="325"/>
        <v>-191.94000000000003</v>
      </c>
      <c r="U1103" s="87">
        <v>-191.94000000000003</v>
      </c>
    </row>
    <row r="1104" spans="1:21" s="30" customFormat="1" ht="24.6" hidden="1" outlineLevel="1" x14ac:dyDescent="0.55000000000000004">
      <c r="A1104" s="27" t="s">
        <v>327</v>
      </c>
      <c r="B1104" s="28"/>
      <c r="C1104" s="27"/>
      <c r="D1104" s="27" t="str">
        <f>"""NAV Direct"",""CRONUS JetCorp USA"",""21"",""1"",""434335"""</f>
        <v>"NAV Direct","CRONUS JetCorp USA","21","1","434335"</v>
      </c>
      <c r="E1104" s="31" t="str">
        <f t="shared" si="318"/>
        <v>C100039</v>
      </c>
      <c r="F1104" s="31"/>
      <c r="G1104" s="31"/>
      <c r="H1104" s="31"/>
      <c r="I1104" s="56"/>
      <c r="J1104" s="56"/>
      <c r="K1104" s="82" t="str">
        <f t="shared" si="326"/>
        <v>Credit Memo</v>
      </c>
      <c r="L1104" s="83" t="str">
        <f>"SC_100547"</f>
        <v>SC_100547</v>
      </c>
      <c r="M1104" s="84">
        <v>43412</v>
      </c>
      <c r="N1104" s="85">
        <f t="shared" si="319"/>
        <v>400</v>
      </c>
      <c r="O1104" s="86">
        <f t="shared" si="320"/>
        <v>-189.99</v>
      </c>
      <c r="P1104" s="86">
        <f t="shared" si="321"/>
        <v>0</v>
      </c>
      <c r="Q1104" s="86">
        <f t="shared" si="322"/>
        <v>0</v>
      </c>
      <c r="R1104" s="86">
        <f t="shared" si="323"/>
        <v>0</v>
      </c>
      <c r="S1104" s="86">
        <f t="shared" si="324"/>
        <v>0</v>
      </c>
      <c r="T1104" s="86">
        <f t="shared" si="325"/>
        <v>-189.99</v>
      </c>
      <c r="U1104" s="87">
        <v>-189.99</v>
      </c>
    </row>
    <row r="1105" spans="1:22" s="30" customFormat="1" ht="24.6" hidden="1" outlineLevel="1" x14ac:dyDescent="0.55000000000000004">
      <c r="A1105" s="27" t="s">
        <v>327</v>
      </c>
      <c r="B1105" s="28"/>
      <c r="C1105" s="27"/>
      <c r="D1105" s="27" t="str">
        <f>"""NAV Direct"",""CRONUS JetCorp USA"",""21"",""1"",""434574"""</f>
        <v>"NAV Direct","CRONUS JetCorp USA","21","1","434574"</v>
      </c>
      <c r="E1105" s="31">
        <f t="shared" si="318"/>
        <v>0</v>
      </c>
      <c r="F1105" s="31"/>
      <c r="G1105" s="31"/>
      <c r="H1105" s="31"/>
      <c r="I1105" s="56"/>
      <c r="J1105" s="56"/>
      <c r="K1105" s="82" t="str">
        <f t="shared" si="326"/>
        <v>Credit Memo</v>
      </c>
      <c r="L1105" s="83" t="str">
        <f>"SC_100562"</f>
        <v>SC_100562</v>
      </c>
      <c r="M1105" s="84">
        <v>42104</v>
      </c>
      <c r="N1105" s="85">
        <f t="shared" si="319"/>
        <v>1708</v>
      </c>
      <c r="O1105" s="86">
        <f t="shared" si="320"/>
        <v>-232.54</v>
      </c>
      <c r="P1105" s="86">
        <f t="shared" si="321"/>
        <v>0</v>
      </c>
      <c r="Q1105" s="86">
        <f t="shared" si="322"/>
        <v>0</v>
      </c>
      <c r="R1105" s="86">
        <f t="shared" si="323"/>
        <v>0</v>
      </c>
      <c r="S1105" s="86">
        <f t="shared" si="324"/>
        <v>0</v>
      </c>
      <c r="T1105" s="86">
        <f t="shared" si="325"/>
        <v>-232.54</v>
      </c>
      <c r="U1105" s="87">
        <v>-232.54</v>
      </c>
    </row>
    <row r="1106" spans="1:22" s="30" customFormat="1" ht="24.6" hidden="1" outlineLevel="1" x14ac:dyDescent="0.55000000000000004">
      <c r="A1106" s="27" t="s">
        <v>327</v>
      </c>
      <c r="B1106" s="28"/>
      <c r="C1106" s="27"/>
      <c r="D1106" s="27" t="str">
        <f>"""NAV Direct"",""CRONUS JetCorp USA"",""21"",""1"",""434695"""</f>
        <v>"NAV Direct","CRONUS JetCorp USA","21","1","434695"</v>
      </c>
      <c r="E1106" s="31" t="str">
        <f t="shared" si="318"/>
        <v>C100039</v>
      </c>
      <c r="F1106" s="31"/>
      <c r="G1106" s="31"/>
      <c r="H1106" s="31"/>
      <c r="I1106" s="56"/>
      <c r="J1106" s="56"/>
      <c r="K1106" s="82" t="str">
        <f t="shared" si="326"/>
        <v>Credit Memo</v>
      </c>
      <c r="L1106" s="83" t="str">
        <f>"SC_100569"</f>
        <v>SC_100569</v>
      </c>
      <c r="M1106" s="84">
        <v>42285</v>
      </c>
      <c r="N1106" s="85">
        <f t="shared" si="319"/>
        <v>1527</v>
      </c>
      <c r="O1106" s="86">
        <f t="shared" si="320"/>
        <v>-193.92</v>
      </c>
      <c r="P1106" s="86">
        <f t="shared" si="321"/>
        <v>0</v>
      </c>
      <c r="Q1106" s="86">
        <f t="shared" si="322"/>
        <v>0</v>
      </c>
      <c r="R1106" s="86">
        <f t="shared" si="323"/>
        <v>0</v>
      </c>
      <c r="S1106" s="86">
        <f t="shared" si="324"/>
        <v>0</v>
      </c>
      <c r="T1106" s="86">
        <f t="shared" si="325"/>
        <v>-193.92</v>
      </c>
      <c r="U1106" s="87">
        <v>-193.92</v>
      </c>
    </row>
    <row r="1107" spans="1:22" s="22" customFormat="1" ht="20.399999999999999" collapsed="1" x14ac:dyDescent="0.45">
      <c r="A1107" s="12" t="s">
        <v>327</v>
      </c>
      <c r="B1107" s="19"/>
      <c r="C1107" s="12"/>
      <c r="D1107" s="12"/>
      <c r="E1107" s="23"/>
      <c r="F1107" s="23"/>
      <c r="G1107" s="23"/>
      <c r="H1107" s="23"/>
      <c r="I1107" s="49"/>
      <c r="J1107" s="88"/>
      <c r="K1107" s="88"/>
      <c r="L1107" s="89"/>
      <c r="M1107" s="89"/>
      <c r="N1107" s="89"/>
      <c r="O1107" s="89"/>
      <c r="P1107" s="89"/>
      <c r="Q1107" s="90"/>
      <c r="R1107" s="90"/>
      <c r="S1107" s="91"/>
      <c r="T1107" s="92"/>
      <c r="U1107" s="92"/>
    </row>
    <row r="1108" spans="1:22" s="22" customFormat="1" ht="20.399999999999999" x14ac:dyDescent="0.45">
      <c r="A1108" s="12" t="s">
        <v>327</v>
      </c>
      <c r="B1108" s="19"/>
      <c r="C1108" s="12"/>
      <c r="D1108" s="12"/>
      <c r="E1108" s="23"/>
      <c r="F1108" s="23"/>
      <c r="G1108" s="23"/>
      <c r="H1108" s="23"/>
      <c r="I1108" s="49"/>
      <c r="J1108" s="88"/>
      <c r="K1108" s="88"/>
      <c r="L1108" s="89"/>
      <c r="M1108" s="89"/>
      <c r="N1108" s="89"/>
      <c r="O1108" s="89"/>
      <c r="P1108" s="89"/>
      <c r="Q1108" s="90"/>
      <c r="R1108" s="90"/>
      <c r="S1108" s="91"/>
      <c r="T1108" s="92"/>
      <c r="U1108" s="92"/>
    </row>
    <row r="1109" spans="1:22" s="26" customFormat="1" ht="24.6" x14ac:dyDescent="0.55000000000000004">
      <c r="A1109" s="27" t="s">
        <v>327</v>
      </c>
      <c r="B1109" s="28"/>
      <c r="C1109" s="27" t="str">
        <f>"""NAV Direct"",""CRONUS JetCorp USA"",""18"",""1"",""C100040"""</f>
        <v>"NAV Direct","CRONUS JetCorp USA","18","1","C100040"</v>
      </c>
      <c r="D1109" s="27"/>
      <c r="E1109" s="28" t="str">
        <f>H1109</f>
        <v>C100040</v>
      </c>
      <c r="F1109" s="28"/>
      <c r="G1109" s="28"/>
      <c r="H1109" s="28" t="str">
        <f>"C100040"</f>
        <v>C100040</v>
      </c>
      <c r="I1109" s="116" t="str">
        <f>"C100040  -  Guildford Water Department"</f>
        <v>C100040  -  Guildford Water Department</v>
      </c>
      <c r="J1109" s="117" t="str">
        <f>""</f>
        <v/>
      </c>
      <c r="K1109" s="118"/>
      <c r="L1109" s="119">
        <f>SUBTOTAL(3,L1110:L1175)</f>
        <v>62</v>
      </c>
      <c r="M1109" s="118"/>
      <c r="N1109" s="118"/>
      <c r="O1109" s="120">
        <f t="shared" ref="O1109:T1109" si="327">SUBTOTAL(9,O1110:O1175)</f>
        <v>690534.2999999997</v>
      </c>
      <c r="P1109" s="120">
        <f t="shared" si="327"/>
        <v>0</v>
      </c>
      <c r="Q1109" s="120">
        <f t="shared" si="327"/>
        <v>16004.44</v>
      </c>
      <c r="R1109" s="120">
        <f t="shared" si="327"/>
        <v>14443.94</v>
      </c>
      <c r="S1109" s="120">
        <f t="shared" si="327"/>
        <v>25341.040000000001</v>
      </c>
      <c r="T1109" s="120">
        <f t="shared" si="327"/>
        <v>634744.87999999977</v>
      </c>
      <c r="U1109" s="81"/>
    </row>
    <row r="1110" spans="1:22" s="26" customFormat="1" ht="24.6" x14ac:dyDescent="0.55000000000000004">
      <c r="A1110" s="27" t="s">
        <v>327</v>
      </c>
      <c r="B1110" s="28"/>
      <c r="C1110" s="27" t="str">
        <f>C1109</f>
        <v>"NAV Direct","CRONUS JetCorp USA","18","1","C100040"</v>
      </c>
      <c r="D1110" s="27"/>
      <c r="E1110" s="28" t="str">
        <f>E1109</f>
        <v>C100040</v>
      </c>
      <c r="F1110" s="28"/>
      <c r="G1110" s="28"/>
      <c r="H1110" s="28"/>
      <c r="I1110" s="121" t="str">
        <f>"Contact: Mr. Jim Stewart"</f>
        <v>Contact: Mr. Jim Stewart</v>
      </c>
      <c r="J1110" s="121"/>
      <c r="K1110" s="122"/>
      <c r="L1110" s="123"/>
      <c r="M1110" s="123"/>
      <c r="N1110" s="124"/>
      <c r="O1110" s="124"/>
      <c r="P1110" s="123"/>
      <c r="Q1110" s="125"/>
      <c r="R1110" s="126"/>
      <c r="S1110" s="126"/>
      <c r="T1110" s="125"/>
      <c r="U1110" s="81"/>
    </row>
    <row r="1111" spans="1:22" s="26" customFormat="1" ht="24.6" x14ac:dyDescent="0.55000000000000004">
      <c r="A1111" s="27" t="s">
        <v>327</v>
      </c>
      <c r="B1111" s="28"/>
      <c r="C1111" s="27" t="str">
        <f>C1110</f>
        <v>"NAV Direct","CRONUS JetCorp USA","18","1","C100040"</v>
      </c>
      <c r="D1111" s="27"/>
      <c r="E1111" s="28" t="str">
        <f>E1110</f>
        <v>C100040</v>
      </c>
      <c r="F1111" s="28"/>
      <c r="G1111" s="28"/>
      <c r="H1111" s="28"/>
      <c r="I1111" s="121" t="str">
        <f>"Guildford Water Department@Cronus.com"</f>
        <v>Guildford Water Department@Cronus.com</v>
      </c>
      <c r="J1111" s="121"/>
      <c r="K1111" s="122"/>
      <c r="L1111" s="124"/>
      <c r="M1111" s="124"/>
      <c r="N1111" s="124"/>
      <c r="O1111" s="124"/>
      <c r="P1111" s="123"/>
      <c r="Q1111" s="125"/>
      <c r="R1111" s="126"/>
      <c r="S1111" s="126"/>
      <c r="T1111" s="125"/>
      <c r="U1111" s="81"/>
    </row>
    <row r="1112" spans="1:22" ht="12.75" hidden="1" customHeight="1" outlineLevel="1" x14ac:dyDescent="0.45">
      <c r="A1112" s="12" t="s">
        <v>328</v>
      </c>
      <c r="B1112" s="19"/>
      <c r="E1112" s="19"/>
      <c r="F1112" s="19"/>
      <c r="G1112" s="19"/>
      <c r="H1112" s="19"/>
      <c r="I1112" s="61"/>
      <c r="J1112" s="61"/>
      <c r="K1112" s="61"/>
      <c r="L1112" s="61"/>
      <c r="M1112" s="61"/>
      <c r="N1112" s="61"/>
      <c r="O1112" s="61"/>
      <c r="P1112" s="61"/>
      <c r="Q1112" s="61"/>
      <c r="R1112" s="61"/>
      <c r="S1112" s="61"/>
      <c r="T1112" s="61"/>
      <c r="U1112" s="61"/>
      <c r="V1112" s="21"/>
    </row>
    <row r="1113" spans="1:22" s="30" customFormat="1" ht="24.6" hidden="1" outlineLevel="1" x14ac:dyDescent="0.55000000000000004">
      <c r="A1113" s="27" t="s">
        <v>327</v>
      </c>
      <c r="B1113" s="28"/>
      <c r="C1113" s="27"/>
      <c r="D1113" s="27" t="str">
        <f>"""NAV Direct"",""CRONUS JetCorp USA"",""21"",""1"",""85949"""</f>
        <v>"NAV Direct","CRONUS JetCorp USA","21","1","85949"</v>
      </c>
      <c r="E1113" s="31" t="str">
        <f t="shared" ref="E1113:E1144" si="328">E1111</f>
        <v>C100040</v>
      </c>
      <c r="F1113" s="31"/>
      <c r="G1113" s="31"/>
      <c r="H1113" s="31"/>
      <c r="I1113" s="56"/>
      <c r="J1113" s="56"/>
      <c r="K1113" s="82" t="str">
        <f t="shared" ref="K1113:K1155" si="329">"Invoice"</f>
        <v>Invoice</v>
      </c>
      <c r="L1113" s="83" t="str">
        <f>"SI_106155"</f>
        <v>SI_106155</v>
      </c>
      <c r="M1113" s="84">
        <v>42309</v>
      </c>
      <c r="N1113" s="85">
        <f t="shared" ref="N1113:N1144" si="330">StartDate-$M1113+1</f>
        <v>1503</v>
      </c>
      <c r="O1113" s="86">
        <f t="shared" ref="O1113:O1144" si="331">SUM(P1113:T1113)</f>
        <v>15550.090000000002</v>
      </c>
      <c r="P1113" s="86">
        <f t="shared" ref="P1113:P1144" si="332">IF($M1113&gt;=$P$18,U1113,0)</f>
        <v>0</v>
      </c>
      <c r="Q1113" s="86">
        <f t="shared" ref="Q1113:Q1144" si="333">IF(AND($M1113&gt;=$Q$16,$M1113&lt;=$Q$18),U1113,0)</f>
        <v>0</v>
      </c>
      <c r="R1113" s="86">
        <f t="shared" ref="R1113:R1144" si="334">IF(AND($M1113&gt;=$R$16,$M1113&lt;=$R$18),U1113,0)</f>
        <v>0</v>
      </c>
      <c r="S1113" s="86">
        <f t="shared" ref="S1113:S1144" si="335">IF(AND($M1113&gt;=$S$16,$M1113&lt;=$S$18),U1113,0)</f>
        <v>0</v>
      </c>
      <c r="T1113" s="86">
        <f t="shared" ref="T1113:T1144" si="336">IF($M1113&lt;=$T$18,U1113,0)</f>
        <v>15550.090000000002</v>
      </c>
      <c r="U1113" s="87">
        <v>15550.090000000002</v>
      </c>
    </row>
    <row r="1114" spans="1:22" s="30" customFormat="1" ht="24.6" hidden="1" outlineLevel="1" x14ac:dyDescent="0.55000000000000004">
      <c r="A1114" s="27" t="s">
        <v>327</v>
      </c>
      <c r="B1114" s="28"/>
      <c r="C1114" s="27"/>
      <c r="D1114" s="27" t="str">
        <f>"""NAV Direct"",""CRONUS JetCorp USA"",""21"",""1"",""86021"""</f>
        <v>"NAV Direct","CRONUS JetCorp USA","21","1","86021"</v>
      </c>
      <c r="E1114" s="31">
        <f t="shared" si="328"/>
        <v>0</v>
      </c>
      <c r="F1114" s="31"/>
      <c r="G1114" s="31"/>
      <c r="H1114" s="31"/>
      <c r="I1114" s="56"/>
      <c r="J1114" s="56"/>
      <c r="K1114" s="82" t="str">
        <f t="shared" si="329"/>
        <v>Invoice</v>
      </c>
      <c r="L1114" s="83" t="str">
        <f>"SI_106157"</f>
        <v>SI_106157</v>
      </c>
      <c r="M1114" s="84">
        <v>42325</v>
      </c>
      <c r="N1114" s="85">
        <f t="shared" si="330"/>
        <v>1487</v>
      </c>
      <c r="O1114" s="86">
        <f t="shared" si="331"/>
        <v>17229.599999999999</v>
      </c>
      <c r="P1114" s="86">
        <f t="shared" si="332"/>
        <v>0</v>
      </c>
      <c r="Q1114" s="86">
        <f t="shared" si="333"/>
        <v>0</v>
      </c>
      <c r="R1114" s="86">
        <f t="shared" si="334"/>
        <v>0</v>
      </c>
      <c r="S1114" s="86">
        <f t="shared" si="335"/>
        <v>0</v>
      </c>
      <c r="T1114" s="86">
        <f t="shared" si="336"/>
        <v>17229.599999999999</v>
      </c>
      <c r="U1114" s="87">
        <v>17229.599999999999</v>
      </c>
    </row>
    <row r="1115" spans="1:22" s="30" customFormat="1" ht="24.6" hidden="1" outlineLevel="1" x14ac:dyDescent="0.55000000000000004">
      <c r="A1115" s="27" t="s">
        <v>327</v>
      </c>
      <c r="B1115" s="28"/>
      <c r="C1115" s="27"/>
      <c r="D1115" s="27" t="str">
        <f>"""NAV Direct"",""CRONUS JetCorp USA"",""21"",""1"",""86282"""</f>
        <v>"NAV Direct","CRONUS JetCorp USA","21","1","86282"</v>
      </c>
      <c r="E1115" s="31" t="str">
        <f t="shared" si="328"/>
        <v>C100040</v>
      </c>
      <c r="F1115" s="31"/>
      <c r="G1115" s="31"/>
      <c r="H1115" s="31"/>
      <c r="I1115" s="56"/>
      <c r="J1115" s="56"/>
      <c r="K1115" s="82" t="str">
        <f t="shared" si="329"/>
        <v>Invoice</v>
      </c>
      <c r="L1115" s="83" t="str">
        <f>"SI_106164"</f>
        <v>SI_106164</v>
      </c>
      <c r="M1115" s="84">
        <v>42355</v>
      </c>
      <c r="N1115" s="85">
        <f t="shared" si="330"/>
        <v>1457</v>
      </c>
      <c r="O1115" s="86">
        <f t="shared" si="331"/>
        <v>18815.07</v>
      </c>
      <c r="P1115" s="86">
        <f t="shared" si="332"/>
        <v>0</v>
      </c>
      <c r="Q1115" s="86">
        <f t="shared" si="333"/>
        <v>0</v>
      </c>
      <c r="R1115" s="86">
        <f t="shared" si="334"/>
        <v>0</v>
      </c>
      <c r="S1115" s="86">
        <f t="shared" si="335"/>
        <v>0</v>
      </c>
      <c r="T1115" s="86">
        <f t="shared" si="336"/>
        <v>18815.07</v>
      </c>
      <c r="U1115" s="87">
        <v>18815.07</v>
      </c>
    </row>
    <row r="1116" spans="1:22" s="30" customFormat="1" ht="24.6" hidden="1" outlineLevel="1" x14ac:dyDescent="0.55000000000000004">
      <c r="A1116" s="27" t="s">
        <v>327</v>
      </c>
      <c r="B1116" s="28"/>
      <c r="C1116" s="27"/>
      <c r="D1116" s="27" t="str">
        <f>"""NAV Direct"",""CRONUS JetCorp USA"",""21"",""1"",""86352"""</f>
        <v>"NAV Direct","CRONUS JetCorp USA","21","1","86352"</v>
      </c>
      <c r="E1116" s="31">
        <f t="shared" si="328"/>
        <v>0</v>
      </c>
      <c r="F1116" s="31"/>
      <c r="G1116" s="31"/>
      <c r="H1116" s="31"/>
      <c r="I1116" s="56"/>
      <c r="J1116" s="56"/>
      <c r="K1116" s="82" t="str">
        <f t="shared" si="329"/>
        <v>Invoice</v>
      </c>
      <c r="L1116" s="83" t="str">
        <f>"SI_106166"</f>
        <v>SI_106166</v>
      </c>
      <c r="M1116" s="84">
        <v>42361</v>
      </c>
      <c r="N1116" s="85">
        <f t="shared" si="330"/>
        <v>1451</v>
      </c>
      <c r="O1116" s="86">
        <f t="shared" si="331"/>
        <v>18815.07</v>
      </c>
      <c r="P1116" s="86">
        <f t="shared" si="332"/>
        <v>0</v>
      </c>
      <c r="Q1116" s="86">
        <f t="shared" si="333"/>
        <v>0</v>
      </c>
      <c r="R1116" s="86">
        <f t="shared" si="334"/>
        <v>0</v>
      </c>
      <c r="S1116" s="86">
        <f t="shared" si="335"/>
        <v>0</v>
      </c>
      <c r="T1116" s="86">
        <f t="shared" si="336"/>
        <v>18815.07</v>
      </c>
      <c r="U1116" s="87">
        <v>18815.07</v>
      </c>
    </row>
    <row r="1117" spans="1:22" s="30" customFormat="1" ht="24.6" hidden="1" outlineLevel="1" x14ac:dyDescent="0.55000000000000004">
      <c r="A1117" s="27" t="s">
        <v>327</v>
      </c>
      <c r="B1117" s="28"/>
      <c r="C1117" s="27"/>
      <c r="D1117" s="27" t="str">
        <f>"""NAV Direct"",""CRONUS JetCorp USA"",""21"",""1"",""86381"""</f>
        <v>"NAV Direct","CRONUS JetCorp USA","21","1","86381"</v>
      </c>
      <c r="E1117" s="31" t="str">
        <f t="shared" si="328"/>
        <v>C100040</v>
      </c>
      <c r="F1117" s="31"/>
      <c r="G1117" s="31"/>
      <c r="H1117" s="31"/>
      <c r="I1117" s="56"/>
      <c r="J1117" s="56"/>
      <c r="K1117" s="82" t="str">
        <f t="shared" si="329"/>
        <v>Invoice</v>
      </c>
      <c r="L1117" s="83" t="str">
        <f>"SI_106167"</f>
        <v>SI_106167</v>
      </c>
      <c r="M1117" s="84">
        <v>42363</v>
      </c>
      <c r="N1117" s="85">
        <f t="shared" si="330"/>
        <v>1449</v>
      </c>
      <c r="O1117" s="86">
        <f t="shared" si="331"/>
        <v>18815.07</v>
      </c>
      <c r="P1117" s="86">
        <f t="shared" si="332"/>
        <v>0</v>
      </c>
      <c r="Q1117" s="86">
        <f t="shared" si="333"/>
        <v>0</v>
      </c>
      <c r="R1117" s="86">
        <f t="shared" si="334"/>
        <v>0</v>
      </c>
      <c r="S1117" s="86">
        <f t="shared" si="335"/>
        <v>0</v>
      </c>
      <c r="T1117" s="86">
        <f t="shared" si="336"/>
        <v>18815.07</v>
      </c>
      <c r="U1117" s="87">
        <v>18815.07</v>
      </c>
    </row>
    <row r="1118" spans="1:22" s="30" customFormat="1" ht="24.6" hidden="1" outlineLevel="1" x14ac:dyDescent="0.55000000000000004">
      <c r="A1118" s="27" t="s">
        <v>327</v>
      </c>
      <c r="B1118" s="28"/>
      <c r="C1118" s="27"/>
      <c r="D1118" s="27" t="str">
        <f>"""NAV Direct"",""CRONUS JetCorp USA"",""21"",""1"",""86465"""</f>
        <v>"NAV Direct","CRONUS JetCorp USA","21","1","86465"</v>
      </c>
      <c r="E1118" s="31">
        <f t="shared" si="328"/>
        <v>0</v>
      </c>
      <c r="F1118" s="31"/>
      <c r="G1118" s="31"/>
      <c r="H1118" s="31"/>
      <c r="I1118" s="56"/>
      <c r="J1118" s="56"/>
      <c r="K1118" s="82" t="str">
        <f t="shared" si="329"/>
        <v>Invoice</v>
      </c>
      <c r="L1118" s="83" t="str">
        <f>"SI_106169"</f>
        <v>SI_106169</v>
      </c>
      <c r="M1118" s="84">
        <v>42368</v>
      </c>
      <c r="N1118" s="85">
        <f t="shared" si="330"/>
        <v>1444</v>
      </c>
      <c r="O1118" s="86">
        <f t="shared" si="331"/>
        <v>18814.900000000001</v>
      </c>
      <c r="P1118" s="86">
        <f t="shared" si="332"/>
        <v>0</v>
      </c>
      <c r="Q1118" s="86">
        <f t="shared" si="333"/>
        <v>0</v>
      </c>
      <c r="R1118" s="86">
        <f t="shared" si="334"/>
        <v>0</v>
      </c>
      <c r="S1118" s="86">
        <f t="shared" si="335"/>
        <v>0</v>
      </c>
      <c r="T1118" s="86">
        <f t="shared" si="336"/>
        <v>18814.900000000001</v>
      </c>
      <c r="U1118" s="87">
        <v>18814.900000000001</v>
      </c>
    </row>
    <row r="1119" spans="1:22" s="30" customFormat="1" ht="24.6" hidden="1" outlineLevel="1" x14ac:dyDescent="0.55000000000000004">
      <c r="A1119" s="27" t="s">
        <v>327</v>
      </c>
      <c r="B1119" s="28"/>
      <c r="C1119" s="27"/>
      <c r="D1119" s="27" t="str">
        <f>"""NAV Direct"",""CRONUS JetCorp USA"",""21"",""1"",""360932"""</f>
        <v>"NAV Direct","CRONUS JetCorp USA","21","1","360932"</v>
      </c>
      <c r="E1119" s="31" t="str">
        <f t="shared" si="328"/>
        <v>C100040</v>
      </c>
      <c r="F1119" s="31"/>
      <c r="G1119" s="31"/>
      <c r="H1119" s="31"/>
      <c r="I1119" s="56"/>
      <c r="J1119" s="56"/>
      <c r="K1119" s="82" t="str">
        <f t="shared" si="329"/>
        <v>Invoice</v>
      </c>
      <c r="L1119" s="83" t="str">
        <f>"SI_111282"</f>
        <v>SI_111282</v>
      </c>
      <c r="M1119" s="84">
        <v>42452</v>
      </c>
      <c r="N1119" s="85">
        <f t="shared" si="330"/>
        <v>1360</v>
      </c>
      <c r="O1119" s="86">
        <f t="shared" si="331"/>
        <v>7431.5599999999995</v>
      </c>
      <c r="P1119" s="86">
        <f t="shared" si="332"/>
        <v>0</v>
      </c>
      <c r="Q1119" s="86">
        <f t="shared" si="333"/>
        <v>0</v>
      </c>
      <c r="R1119" s="86">
        <f t="shared" si="334"/>
        <v>0</v>
      </c>
      <c r="S1119" s="86">
        <f t="shared" si="335"/>
        <v>0</v>
      </c>
      <c r="T1119" s="86">
        <f t="shared" si="336"/>
        <v>7431.5599999999995</v>
      </c>
      <c r="U1119" s="87">
        <v>7431.5599999999995</v>
      </c>
    </row>
    <row r="1120" spans="1:22" s="30" customFormat="1" ht="24.6" hidden="1" outlineLevel="1" x14ac:dyDescent="0.55000000000000004">
      <c r="A1120" s="27" t="s">
        <v>327</v>
      </c>
      <c r="B1120" s="28"/>
      <c r="C1120" s="27"/>
      <c r="D1120" s="27" t="str">
        <f>"""NAV Direct"",""CRONUS JetCorp USA"",""21"",""1"",""361110"""</f>
        <v>"NAV Direct","CRONUS JetCorp USA","21","1","361110"</v>
      </c>
      <c r="E1120" s="31">
        <f t="shared" si="328"/>
        <v>0</v>
      </c>
      <c r="F1120" s="31"/>
      <c r="G1120" s="31"/>
      <c r="H1120" s="31"/>
      <c r="I1120" s="56"/>
      <c r="J1120" s="56"/>
      <c r="K1120" s="82" t="str">
        <f t="shared" si="329"/>
        <v>Invoice</v>
      </c>
      <c r="L1120" s="83" t="str">
        <f>"SI_111288"</f>
        <v>SI_111288</v>
      </c>
      <c r="M1120" s="84">
        <v>42513</v>
      </c>
      <c r="N1120" s="85">
        <f t="shared" si="330"/>
        <v>1299</v>
      </c>
      <c r="O1120" s="86">
        <f t="shared" si="331"/>
        <v>9452.4600000000009</v>
      </c>
      <c r="P1120" s="86">
        <f t="shared" si="332"/>
        <v>0</v>
      </c>
      <c r="Q1120" s="86">
        <f t="shared" si="333"/>
        <v>0</v>
      </c>
      <c r="R1120" s="86">
        <f t="shared" si="334"/>
        <v>0</v>
      </c>
      <c r="S1120" s="86">
        <f t="shared" si="335"/>
        <v>0</v>
      </c>
      <c r="T1120" s="86">
        <f t="shared" si="336"/>
        <v>9452.4600000000009</v>
      </c>
      <c r="U1120" s="87">
        <v>9452.4600000000009</v>
      </c>
    </row>
    <row r="1121" spans="1:21" s="30" customFormat="1" ht="24.6" hidden="1" outlineLevel="1" x14ac:dyDescent="0.55000000000000004">
      <c r="A1121" s="27" t="s">
        <v>327</v>
      </c>
      <c r="B1121" s="28"/>
      <c r="C1121" s="27"/>
      <c r="D1121" s="27" t="str">
        <f>"""NAV Direct"",""CRONUS JetCorp USA"",""21"",""1"",""361635"""</f>
        <v>"NAV Direct","CRONUS JetCorp USA","21","1","361635"</v>
      </c>
      <c r="E1121" s="31" t="str">
        <f t="shared" si="328"/>
        <v>C100040</v>
      </c>
      <c r="F1121" s="31"/>
      <c r="G1121" s="31"/>
      <c r="H1121" s="31"/>
      <c r="I1121" s="56"/>
      <c r="J1121" s="56"/>
      <c r="K1121" s="82" t="str">
        <f t="shared" si="329"/>
        <v>Invoice</v>
      </c>
      <c r="L1121" s="83" t="str">
        <f>"SI_111305"</f>
        <v>SI_111305</v>
      </c>
      <c r="M1121" s="84">
        <v>42678</v>
      </c>
      <c r="N1121" s="85">
        <f t="shared" si="330"/>
        <v>1134</v>
      </c>
      <c r="O1121" s="86">
        <f t="shared" si="331"/>
        <v>10939.11</v>
      </c>
      <c r="P1121" s="86">
        <f t="shared" si="332"/>
        <v>0</v>
      </c>
      <c r="Q1121" s="86">
        <f t="shared" si="333"/>
        <v>0</v>
      </c>
      <c r="R1121" s="86">
        <f t="shared" si="334"/>
        <v>0</v>
      </c>
      <c r="S1121" s="86">
        <f t="shared" si="335"/>
        <v>0</v>
      </c>
      <c r="T1121" s="86">
        <f t="shared" si="336"/>
        <v>10939.11</v>
      </c>
      <c r="U1121" s="87">
        <v>10939.11</v>
      </c>
    </row>
    <row r="1122" spans="1:21" s="30" customFormat="1" ht="24.6" hidden="1" outlineLevel="1" x14ac:dyDescent="0.55000000000000004">
      <c r="A1122" s="27" t="s">
        <v>327</v>
      </c>
      <c r="B1122" s="28"/>
      <c r="C1122" s="27"/>
      <c r="D1122" s="27" t="str">
        <f>"""NAV Direct"",""CRONUS JetCorp USA"",""21"",""1"",""362539"""</f>
        <v>"NAV Direct","CRONUS JetCorp USA","21","1","362539"</v>
      </c>
      <c r="E1122" s="31">
        <f t="shared" si="328"/>
        <v>0</v>
      </c>
      <c r="F1122" s="31"/>
      <c r="G1122" s="31"/>
      <c r="H1122" s="31"/>
      <c r="I1122" s="56"/>
      <c r="J1122" s="56"/>
      <c r="K1122" s="82" t="str">
        <f t="shared" si="329"/>
        <v>Invoice</v>
      </c>
      <c r="L1122" s="83" t="str">
        <f>"SI_111331"</f>
        <v>SI_111331</v>
      </c>
      <c r="M1122" s="84">
        <v>42890</v>
      </c>
      <c r="N1122" s="85">
        <f t="shared" si="330"/>
        <v>922</v>
      </c>
      <c r="O1122" s="86">
        <f t="shared" si="331"/>
        <v>14386.09</v>
      </c>
      <c r="P1122" s="86">
        <f t="shared" si="332"/>
        <v>0</v>
      </c>
      <c r="Q1122" s="86">
        <f t="shared" si="333"/>
        <v>0</v>
      </c>
      <c r="R1122" s="86">
        <f t="shared" si="334"/>
        <v>0</v>
      </c>
      <c r="S1122" s="86">
        <f t="shared" si="335"/>
        <v>0</v>
      </c>
      <c r="T1122" s="86">
        <f t="shared" si="336"/>
        <v>14386.09</v>
      </c>
      <c r="U1122" s="87">
        <v>14386.09</v>
      </c>
    </row>
    <row r="1123" spans="1:21" s="30" customFormat="1" ht="24.6" hidden="1" outlineLevel="1" x14ac:dyDescent="0.55000000000000004">
      <c r="A1123" s="27" t="s">
        <v>327</v>
      </c>
      <c r="B1123" s="28"/>
      <c r="C1123" s="27"/>
      <c r="D1123" s="27" t="str">
        <f>"""NAV Direct"",""CRONUS JetCorp USA"",""21"",""1"",""362687"""</f>
        <v>"NAV Direct","CRONUS JetCorp USA","21","1","362687"</v>
      </c>
      <c r="E1123" s="31" t="str">
        <f t="shared" si="328"/>
        <v>C100040</v>
      </c>
      <c r="F1123" s="31"/>
      <c r="G1123" s="31"/>
      <c r="H1123" s="31"/>
      <c r="I1123" s="56"/>
      <c r="J1123" s="56"/>
      <c r="K1123" s="82" t="str">
        <f t="shared" si="329"/>
        <v>Invoice</v>
      </c>
      <c r="L1123" s="83" t="str">
        <f>"SI_111335"</f>
        <v>SI_111335</v>
      </c>
      <c r="M1123" s="84">
        <v>42920</v>
      </c>
      <c r="N1123" s="85">
        <f t="shared" si="330"/>
        <v>892</v>
      </c>
      <c r="O1123" s="86">
        <f t="shared" si="331"/>
        <v>15709.529999999999</v>
      </c>
      <c r="P1123" s="86">
        <f t="shared" si="332"/>
        <v>0</v>
      </c>
      <c r="Q1123" s="86">
        <f t="shared" si="333"/>
        <v>0</v>
      </c>
      <c r="R1123" s="86">
        <f t="shared" si="334"/>
        <v>0</v>
      </c>
      <c r="S1123" s="86">
        <f t="shared" si="335"/>
        <v>0</v>
      </c>
      <c r="T1123" s="86">
        <f t="shared" si="336"/>
        <v>15709.529999999999</v>
      </c>
      <c r="U1123" s="87">
        <v>15709.529999999999</v>
      </c>
    </row>
    <row r="1124" spans="1:21" s="30" customFormat="1" ht="24.6" hidden="1" outlineLevel="1" x14ac:dyDescent="0.55000000000000004">
      <c r="A1124" s="27" t="s">
        <v>327</v>
      </c>
      <c r="B1124" s="28"/>
      <c r="C1124" s="27"/>
      <c r="D1124" s="27" t="str">
        <f>"""NAV Direct"",""CRONUS JetCorp USA"",""21"",""1"",""362885"""</f>
        <v>"NAV Direct","CRONUS JetCorp USA","21","1","362885"</v>
      </c>
      <c r="E1124" s="31">
        <f t="shared" si="328"/>
        <v>0</v>
      </c>
      <c r="F1124" s="31"/>
      <c r="G1124" s="31"/>
      <c r="H1124" s="31"/>
      <c r="I1124" s="56"/>
      <c r="J1124" s="56"/>
      <c r="K1124" s="82" t="str">
        <f t="shared" si="329"/>
        <v>Invoice</v>
      </c>
      <c r="L1124" s="83" t="str">
        <f>"SI_111341"</f>
        <v>SI_111341</v>
      </c>
      <c r="M1124" s="84">
        <v>42973</v>
      </c>
      <c r="N1124" s="85">
        <f t="shared" si="330"/>
        <v>839</v>
      </c>
      <c r="O1124" s="86">
        <f t="shared" si="331"/>
        <v>12781.18</v>
      </c>
      <c r="P1124" s="86">
        <f t="shared" si="332"/>
        <v>0</v>
      </c>
      <c r="Q1124" s="86">
        <f t="shared" si="333"/>
        <v>0</v>
      </c>
      <c r="R1124" s="86">
        <f t="shared" si="334"/>
        <v>0</v>
      </c>
      <c r="S1124" s="86">
        <f t="shared" si="335"/>
        <v>0</v>
      </c>
      <c r="T1124" s="86">
        <f t="shared" si="336"/>
        <v>12781.18</v>
      </c>
      <c r="U1124" s="87">
        <v>12781.18</v>
      </c>
    </row>
    <row r="1125" spans="1:21" s="30" customFormat="1" ht="24.6" hidden="1" outlineLevel="1" x14ac:dyDescent="0.55000000000000004">
      <c r="A1125" s="27" t="s">
        <v>327</v>
      </c>
      <c r="B1125" s="28"/>
      <c r="C1125" s="27"/>
      <c r="D1125" s="27" t="str">
        <f>"""NAV Direct"",""CRONUS JetCorp USA"",""21"",""1"",""362963"""</f>
        <v>"NAV Direct","CRONUS JetCorp USA","21","1","362963"</v>
      </c>
      <c r="E1125" s="31" t="str">
        <f t="shared" si="328"/>
        <v>C100040</v>
      </c>
      <c r="F1125" s="31"/>
      <c r="G1125" s="31"/>
      <c r="H1125" s="31"/>
      <c r="I1125" s="56"/>
      <c r="J1125" s="56"/>
      <c r="K1125" s="82" t="str">
        <f t="shared" si="329"/>
        <v>Invoice</v>
      </c>
      <c r="L1125" s="83" t="str">
        <f>"SI_111343"</f>
        <v>SI_111343</v>
      </c>
      <c r="M1125" s="84">
        <v>42987</v>
      </c>
      <c r="N1125" s="85">
        <f t="shared" si="330"/>
        <v>825</v>
      </c>
      <c r="O1125" s="86">
        <f t="shared" si="331"/>
        <v>12780.349999999999</v>
      </c>
      <c r="P1125" s="86">
        <f t="shared" si="332"/>
        <v>0</v>
      </c>
      <c r="Q1125" s="86">
        <f t="shared" si="333"/>
        <v>0</v>
      </c>
      <c r="R1125" s="86">
        <f t="shared" si="334"/>
        <v>0</v>
      </c>
      <c r="S1125" s="86">
        <f t="shared" si="335"/>
        <v>0</v>
      </c>
      <c r="T1125" s="86">
        <f t="shared" si="336"/>
        <v>12780.349999999999</v>
      </c>
      <c r="U1125" s="87">
        <v>12780.349999999999</v>
      </c>
    </row>
    <row r="1126" spans="1:21" s="30" customFormat="1" ht="24.6" hidden="1" outlineLevel="1" x14ac:dyDescent="0.55000000000000004">
      <c r="A1126" s="27" t="s">
        <v>327</v>
      </c>
      <c r="B1126" s="28"/>
      <c r="C1126" s="27"/>
      <c r="D1126" s="27" t="str">
        <f>"""NAV Direct"",""CRONUS JetCorp USA"",""21"",""1"",""363058"""</f>
        <v>"NAV Direct","CRONUS JetCorp USA","21","1","363058"</v>
      </c>
      <c r="E1126" s="31">
        <f t="shared" si="328"/>
        <v>0</v>
      </c>
      <c r="F1126" s="31"/>
      <c r="G1126" s="31"/>
      <c r="H1126" s="31"/>
      <c r="I1126" s="56"/>
      <c r="J1126" s="56"/>
      <c r="K1126" s="82" t="str">
        <f t="shared" si="329"/>
        <v>Invoice</v>
      </c>
      <c r="L1126" s="83" t="str">
        <f>"SI_111346"</f>
        <v>SI_111346</v>
      </c>
      <c r="M1126" s="84">
        <v>43015</v>
      </c>
      <c r="N1126" s="85">
        <f t="shared" si="330"/>
        <v>797</v>
      </c>
      <c r="O1126" s="86">
        <f t="shared" si="331"/>
        <v>11604.970000000001</v>
      </c>
      <c r="P1126" s="86">
        <f t="shared" si="332"/>
        <v>0</v>
      </c>
      <c r="Q1126" s="86">
        <f t="shared" si="333"/>
        <v>0</v>
      </c>
      <c r="R1126" s="86">
        <f t="shared" si="334"/>
        <v>0</v>
      </c>
      <c r="S1126" s="86">
        <f t="shared" si="335"/>
        <v>0</v>
      </c>
      <c r="T1126" s="86">
        <f t="shared" si="336"/>
        <v>11604.970000000001</v>
      </c>
      <c r="U1126" s="87">
        <v>11604.970000000001</v>
      </c>
    </row>
    <row r="1127" spans="1:21" s="30" customFormat="1" ht="24.6" hidden="1" outlineLevel="1" x14ac:dyDescent="0.55000000000000004">
      <c r="A1127" s="27" t="s">
        <v>327</v>
      </c>
      <c r="B1127" s="28"/>
      <c r="C1127" s="27"/>
      <c r="D1127" s="27" t="str">
        <f>"""NAV Direct"",""CRONUS JetCorp USA"",""21"",""1"",""363351"""</f>
        <v>"NAV Direct","CRONUS JetCorp USA","21","1","363351"</v>
      </c>
      <c r="E1127" s="31" t="str">
        <f t="shared" si="328"/>
        <v>C100040</v>
      </c>
      <c r="F1127" s="31"/>
      <c r="G1127" s="31"/>
      <c r="H1127" s="31"/>
      <c r="I1127" s="56"/>
      <c r="J1127" s="56"/>
      <c r="K1127" s="82" t="str">
        <f t="shared" si="329"/>
        <v>Invoice</v>
      </c>
      <c r="L1127" s="83" t="str">
        <f>"SI_111355"</f>
        <v>SI_111355</v>
      </c>
      <c r="M1127" s="84">
        <v>43067</v>
      </c>
      <c r="N1127" s="85">
        <f t="shared" si="330"/>
        <v>745</v>
      </c>
      <c r="O1127" s="86">
        <f t="shared" si="331"/>
        <v>14137.85</v>
      </c>
      <c r="P1127" s="86">
        <f t="shared" si="332"/>
        <v>0</v>
      </c>
      <c r="Q1127" s="86">
        <f t="shared" si="333"/>
        <v>0</v>
      </c>
      <c r="R1127" s="86">
        <f t="shared" si="334"/>
        <v>0</v>
      </c>
      <c r="S1127" s="86">
        <f t="shared" si="335"/>
        <v>0</v>
      </c>
      <c r="T1127" s="86">
        <f t="shared" si="336"/>
        <v>14137.85</v>
      </c>
      <c r="U1127" s="87">
        <v>14137.85</v>
      </c>
    </row>
    <row r="1128" spans="1:21" s="30" customFormat="1" ht="24.6" hidden="1" outlineLevel="1" x14ac:dyDescent="0.55000000000000004">
      <c r="A1128" s="27" t="s">
        <v>327</v>
      </c>
      <c r="B1128" s="28"/>
      <c r="C1128" s="27"/>
      <c r="D1128" s="27" t="str">
        <f>"""NAV Direct"",""CRONUS JetCorp USA"",""21"",""1"",""363944"""</f>
        <v>"NAV Direct","CRONUS JetCorp USA","21","1","363944"</v>
      </c>
      <c r="E1128" s="31">
        <f t="shared" si="328"/>
        <v>0</v>
      </c>
      <c r="F1128" s="31"/>
      <c r="G1128" s="31"/>
      <c r="H1128" s="31"/>
      <c r="I1128" s="56"/>
      <c r="J1128" s="56"/>
      <c r="K1128" s="82" t="str">
        <f t="shared" si="329"/>
        <v>Invoice</v>
      </c>
      <c r="L1128" s="83" t="str">
        <f>"SI_111370"</f>
        <v>SI_111370</v>
      </c>
      <c r="M1128" s="84">
        <v>43159</v>
      </c>
      <c r="N1128" s="85">
        <f t="shared" si="330"/>
        <v>653</v>
      </c>
      <c r="O1128" s="86">
        <f t="shared" si="331"/>
        <v>15284.760000000002</v>
      </c>
      <c r="P1128" s="86">
        <f t="shared" si="332"/>
        <v>0</v>
      </c>
      <c r="Q1128" s="86">
        <f t="shared" si="333"/>
        <v>0</v>
      </c>
      <c r="R1128" s="86">
        <f t="shared" si="334"/>
        <v>0</v>
      </c>
      <c r="S1128" s="86">
        <f t="shared" si="335"/>
        <v>0</v>
      </c>
      <c r="T1128" s="86">
        <f t="shared" si="336"/>
        <v>15284.760000000002</v>
      </c>
      <c r="U1128" s="87">
        <v>15284.760000000002</v>
      </c>
    </row>
    <row r="1129" spans="1:21" s="30" customFormat="1" ht="24.6" hidden="1" outlineLevel="1" x14ac:dyDescent="0.55000000000000004">
      <c r="A1129" s="27" t="s">
        <v>327</v>
      </c>
      <c r="B1129" s="28"/>
      <c r="C1129" s="27"/>
      <c r="D1129" s="27" t="str">
        <f>"""NAV Direct"",""CRONUS JetCorp USA"",""21"",""1"",""364530"""</f>
        <v>"NAV Direct","CRONUS JetCorp USA","21","1","364530"</v>
      </c>
      <c r="E1129" s="31" t="str">
        <f t="shared" si="328"/>
        <v>C100040</v>
      </c>
      <c r="F1129" s="31"/>
      <c r="G1129" s="31"/>
      <c r="H1129" s="31"/>
      <c r="I1129" s="56"/>
      <c r="J1129" s="56"/>
      <c r="K1129" s="82" t="str">
        <f t="shared" si="329"/>
        <v>Invoice</v>
      </c>
      <c r="L1129" s="83" t="str">
        <f>"SI_111386"</f>
        <v>SI_111386</v>
      </c>
      <c r="M1129" s="84">
        <v>43271</v>
      </c>
      <c r="N1129" s="85">
        <f t="shared" si="330"/>
        <v>541</v>
      </c>
      <c r="O1129" s="86">
        <f t="shared" si="331"/>
        <v>19984.759999999998</v>
      </c>
      <c r="P1129" s="86">
        <f t="shared" si="332"/>
        <v>0</v>
      </c>
      <c r="Q1129" s="86">
        <f t="shared" si="333"/>
        <v>0</v>
      </c>
      <c r="R1129" s="86">
        <f t="shared" si="334"/>
        <v>0</v>
      </c>
      <c r="S1129" s="86">
        <f t="shared" si="335"/>
        <v>0</v>
      </c>
      <c r="T1129" s="86">
        <f t="shared" si="336"/>
        <v>19984.759999999998</v>
      </c>
      <c r="U1129" s="87">
        <v>19984.759999999998</v>
      </c>
    </row>
    <row r="1130" spans="1:21" s="30" customFormat="1" ht="24.6" hidden="1" outlineLevel="1" x14ac:dyDescent="0.55000000000000004">
      <c r="A1130" s="27" t="s">
        <v>327</v>
      </c>
      <c r="B1130" s="28"/>
      <c r="C1130" s="27"/>
      <c r="D1130" s="27" t="str">
        <f>"""NAV Direct"",""CRONUS JetCorp USA"",""21"",""1"",""365065"""</f>
        <v>"NAV Direct","CRONUS JetCorp USA","21","1","365065"</v>
      </c>
      <c r="E1130" s="31">
        <f t="shared" si="328"/>
        <v>0</v>
      </c>
      <c r="F1130" s="31"/>
      <c r="G1130" s="31"/>
      <c r="H1130" s="31"/>
      <c r="I1130" s="56"/>
      <c r="J1130" s="56"/>
      <c r="K1130" s="82" t="str">
        <f t="shared" si="329"/>
        <v>Invoice</v>
      </c>
      <c r="L1130" s="83" t="str">
        <f>"SI_111401"</f>
        <v>SI_111401</v>
      </c>
      <c r="M1130" s="84">
        <v>43337</v>
      </c>
      <c r="N1130" s="85">
        <f t="shared" si="330"/>
        <v>475</v>
      </c>
      <c r="O1130" s="86">
        <f t="shared" si="331"/>
        <v>16907.010000000002</v>
      </c>
      <c r="P1130" s="86">
        <f t="shared" si="332"/>
        <v>0</v>
      </c>
      <c r="Q1130" s="86">
        <f t="shared" si="333"/>
        <v>0</v>
      </c>
      <c r="R1130" s="86">
        <f t="shared" si="334"/>
        <v>0</v>
      </c>
      <c r="S1130" s="86">
        <f t="shared" si="335"/>
        <v>0</v>
      </c>
      <c r="T1130" s="86">
        <f t="shared" si="336"/>
        <v>16907.010000000002</v>
      </c>
      <c r="U1130" s="87">
        <v>16907.010000000002</v>
      </c>
    </row>
    <row r="1131" spans="1:21" s="30" customFormat="1" ht="24.6" hidden="1" outlineLevel="1" x14ac:dyDescent="0.55000000000000004">
      <c r="A1131" s="27" t="s">
        <v>327</v>
      </c>
      <c r="B1131" s="28"/>
      <c r="C1131" s="27"/>
      <c r="D1131" s="27" t="str">
        <f>"""NAV Direct"",""CRONUS JetCorp USA"",""21"",""1"",""365534"""</f>
        <v>"NAV Direct","CRONUS JetCorp USA","21","1","365534"</v>
      </c>
      <c r="E1131" s="31" t="str">
        <f t="shared" si="328"/>
        <v>C100040</v>
      </c>
      <c r="F1131" s="31"/>
      <c r="G1131" s="31"/>
      <c r="H1131" s="31"/>
      <c r="I1131" s="56"/>
      <c r="J1131" s="56"/>
      <c r="K1131" s="82" t="str">
        <f t="shared" si="329"/>
        <v>Invoice</v>
      </c>
      <c r="L1131" s="83" t="str">
        <f>"SI_111414"</f>
        <v>SI_111414</v>
      </c>
      <c r="M1131" s="84">
        <v>43421</v>
      </c>
      <c r="N1131" s="85">
        <f t="shared" si="330"/>
        <v>391</v>
      </c>
      <c r="O1131" s="86">
        <f t="shared" si="331"/>
        <v>19146.82</v>
      </c>
      <c r="P1131" s="86">
        <f t="shared" si="332"/>
        <v>0</v>
      </c>
      <c r="Q1131" s="86">
        <f t="shared" si="333"/>
        <v>0</v>
      </c>
      <c r="R1131" s="86">
        <f t="shared" si="334"/>
        <v>0</v>
      </c>
      <c r="S1131" s="86">
        <f t="shared" si="335"/>
        <v>0</v>
      </c>
      <c r="T1131" s="86">
        <f t="shared" si="336"/>
        <v>19146.82</v>
      </c>
      <c r="U1131" s="87">
        <v>19146.82</v>
      </c>
    </row>
    <row r="1132" spans="1:21" s="30" customFormat="1" ht="24.6" hidden="1" outlineLevel="1" x14ac:dyDescent="0.55000000000000004">
      <c r="A1132" s="27" t="s">
        <v>327</v>
      </c>
      <c r="B1132" s="28"/>
      <c r="C1132" s="27"/>
      <c r="D1132" s="27" t="str">
        <f>"""NAV Direct"",""CRONUS JetCorp USA"",""21"",""1"",""365956"""</f>
        <v>"NAV Direct","CRONUS JetCorp USA","21","1","365956"</v>
      </c>
      <c r="E1132" s="31">
        <f t="shared" si="328"/>
        <v>0</v>
      </c>
      <c r="F1132" s="31"/>
      <c r="G1132" s="31"/>
      <c r="H1132" s="31"/>
      <c r="I1132" s="56"/>
      <c r="J1132" s="56"/>
      <c r="K1132" s="82" t="str">
        <f t="shared" si="329"/>
        <v>Invoice</v>
      </c>
      <c r="L1132" s="83" t="str">
        <f>"SI_111426"</f>
        <v>SI_111426</v>
      </c>
      <c r="M1132" s="84">
        <v>43480</v>
      </c>
      <c r="N1132" s="85">
        <f t="shared" si="330"/>
        <v>332</v>
      </c>
      <c r="O1132" s="86">
        <f t="shared" si="331"/>
        <v>20183.95</v>
      </c>
      <c r="P1132" s="86">
        <f t="shared" si="332"/>
        <v>0</v>
      </c>
      <c r="Q1132" s="86">
        <f t="shared" si="333"/>
        <v>0</v>
      </c>
      <c r="R1132" s="86">
        <f t="shared" si="334"/>
        <v>0</v>
      </c>
      <c r="S1132" s="86">
        <f t="shared" si="335"/>
        <v>0</v>
      </c>
      <c r="T1132" s="86">
        <f t="shared" si="336"/>
        <v>20183.95</v>
      </c>
      <c r="U1132" s="87">
        <v>20183.95</v>
      </c>
    </row>
    <row r="1133" spans="1:21" s="30" customFormat="1" ht="24.6" hidden="1" outlineLevel="1" x14ac:dyDescent="0.55000000000000004">
      <c r="A1133" s="27" t="s">
        <v>327</v>
      </c>
      <c r="B1133" s="28"/>
      <c r="C1133" s="27"/>
      <c r="D1133" s="27" t="str">
        <f>"""NAV Direct"",""CRONUS JetCorp USA"",""21"",""1"",""366310"""</f>
        <v>"NAV Direct","CRONUS JetCorp USA","21","1","366310"</v>
      </c>
      <c r="E1133" s="31" t="str">
        <f t="shared" si="328"/>
        <v>C100040</v>
      </c>
      <c r="F1133" s="31"/>
      <c r="G1133" s="31"/>
      <c r="H1133" s="31"/>
      <c r="I1133" s="56"/>
      <c r="J1133" s="56"/>
      <c r="K1133" s="82" t="str">
        <f t="shared" si="329"/>
        <v>Invoice</v>
      </c>
      <c r="L1133" s="83" t="str">
        <f>"SI_111436"</f>
        <v>SI_111436</v>
      </c>
      <c r="M1133" s="84">
        <v>43546</v>
      </c>
      <c r="N1133" s="85">
        <f t="shared" si="330"/>
        <v>266</v>
      </c>
      <c r="O1133" s="86">
        <f t="shared" si="331"/>
        <v>17157.95</v>
      </c>
      <c r="P1133" s="86">
        <f t="shared" si="332"/>
        <v>0</v>
      </c>
      <c r="Q1133" s="86">
        <f t="shared" si="333"/>
        <v>0</v>
      </c>
      <c r="R1133" s="86">
        <f t="shared" si="334"/>
        <v>0</v>
      </c>
      <c r="S1133" s="86">
        <f t="shared" si="335"/>
        <v>0</v>
      </c>
      <c r="T1133" s="86">
        <f t="shared" si="336"/>
        <v>17157.95</v>
      </c>
      <c r="U1133" s="87">
        <v>17157.95</v>
      </c>
    </row>
    <row r="1134" spans="1:21" s="30" customFormat="1" ht="24.6" hidden="1" outlineLevel="1" x14ac:dyDescent="0.55000000000000004">
      <c r="A1134" s="27" t="s">
        <v>327</v>
      </c>
      <c r="B1134" s="28"/>
      <c r="C1134" s="27"/>
      <c r="D1134" s="27" t="str">
        <f>"""NAV Direct"",""CRONUS JetCorp USA"",""21"",""1"",""366741"""</f>
        <v>"NAV Direct","CRONUS JetCorp USA","21","1","366741"</v>
      </c>
      <c r="E1134" s="31">
        <f t="shared" si="328"/>
        <v>0</v>
      </c>
      <c r="F1134" s="31"/>
      <c r="G1134" s="31"/>
      <c r="H1134" s="31"/>
      <c r="I1134" s="56"/>
      <c r="J1134" s="56"/>
      <c r="K1134" s="82" t="str">
        <f t="shared" si="329"/>
        <v>Invoice</v>
      </c>
      <c r="L1134" s="83" t="str">
        <f>"SI_111447"</f>
        <v>SI_111447</v>
      </c>
      <c r="M1134" s="84">
        <v>43581</v>
      </c>
      <c r="N1134" s="85">
        <f t="shared" si="330"/>
        <v>231</v>
      </c>
      <c r="O1134" s="86">
        <f t="shared" si="331"/>
        <v>18393.03</v>
      </c>
      <c r="P1134" s="86">
        <f t="shared" si="332"/>
        <v>0</v>
      </c>
      <c r="Q1134" s="86">
        <f t="shared" si="333"/>
        <v>0</v>
      </c>
      <c r="R1134" s="86">
        <f t="shared" si="334"/>
        <v>0</v>
      </c>
      <c r="S1134" s="86">
        <f t="shared" si="335"/>
        <v>0</v>
      </c>
      <c r="T1134" s="86">
        <f t="shared" si="336"/>
        <v>18393.03</v>
      </c>
      <c r="U1134" s="87">
        <v>18393.03</v>
      </c>
    </row>
    <row r="1135" spans="1:21" s="30" customFormat="1" ht="24.6" hidden="1" outlineLevel="1" x14ac:dyDescent="0.55000000000000004">
      <c r="A1135" s="27" t="s">
        <v>327</v>
      </c>
      <c r="B1135" s="28"/>
      <c r="C1135" s="27"/>
      <c r="D1135" s="27" t="str">
        <f>"""NAV Direct"",""CRONUS JetCorp USA"",""21"",""1"",""366907"""</f>
        <v>"NAV Direct","CRONUS JetCorp USA","21","1","366907"</v>
      </c>
      <c r="E1135" s="31" t="str">
        <f t="shared" si="328"/>
        <v>C100040</v>
      </c>
      <c r="F1135" s="31"/>
      <c r="G1135" s="31"/>
      <c r="H1135" s="31"/>
      <c r="I1135" s="56"/>
      <c r="J1135" s="56"/>
      <c r="K1135" s="82" t="str">
        <f t="shared" si="329"/>
        <v>Invoice</v>
      </c>
      <c r="L1135" s="83" t="str">
        <f>"SI_111451"</f>
        <v>SI_111451</v>
      </c>
      <c r="M1135" s="84">
        <v>43608</v>
      </c>
      <c r="N1135" s="85">
        <f t="shared" si="330"/>
        <v>204</v>
      </c>
      <c r="O1135" s="86">
        <f t="shared" si="331"/>
        <v>20305.98</v>
      </c>
      <c r="P1135" s="86">
        <f t="shared" si="332"/>
        <v>0</v>
      </c>
      <c r="Q1135" s="86">
        <f t="shared" si="333"/>
        <v>0</v>
      </c>
      <c r="R1135" s="86">
        <f t="shared" si="334"/>
        <v>0</v>
      </c>
      <c r="S1135" s="86">
        <f t="shared" si="335"/>
        <v>0</v>
      </c>
      <c r="T1135" s="86">
        <f t="shared" si="336"/>
        <v>20305.98</v>
      </c>
      <c r="U1135" s="87">
        <v>20305.98</v>
      </c>
    </row>
    <row r="1136" spans="1:21" s="30" customFormat="1" ht="24.6" hidden="1" outlineLevel="1" x14ac:dyDescent="0.55000000000000004">
      <c r="A1136" s="27" t="s">
        <v>327</v>
      </c>
      <c r="B1136" s="28"/>
      <c r="C1136" s="27"/>
      <c r="D1136" s="27" t="str">
        <f>"""NAV Direct"",""CRONUS JetCorp USA"",""21"",""1"",""367124"""</f>
        <v>"NAV Direct","CRONUS JetCorp USA","21","1","367124"</v>
      </c>
      <c r="E1136" s="31">
        <f t="shared" si="328"/>
        <v>0</v>
      </c>
      <c r="F1136" s="31"/>
      <c r="G1136" s="31"/>
      <c r="H1136" s="31"/>
      <c r="I1136" s="56"/>
      <c r="J1136" s="56"/>
      <c r="K1136" s="82" t="str">
        <f t="shared" si="329"/>
        <v>Invoice</v>
      </c>
      <c r="L1136" s="83" t="str">
        <f>"SI_111456"</f>
        <v>SI_111456</v>
      </c>
      <c r="M1136" s="84">
        <v>43620</v>
      </c>
      <c r="N1136" s="85">
        <f t="shared" si="330"/>
        <v>192</v>
      </c>
      <c r="O1136" s="86">
        <f t="shared" si="331"/>
        <v>20306.36</v>
      </c>
      <c r="P1136" s="86">
        <f t="shared" si="332"/>
        <v>0</v>
      </c>
      <c r="Q1136" s="86">
        <f t="shared" si="333"/>
        <v>0</v>
      </c>
      <c r="R1136" s="86">
        <f t="shared" si="334"/>
        <v>0</v>
      </c>
      <c r="S1136" s="86">
        <f t="shared" si="335"/>
        <v>0</v>
      </c>
      <c r="T1136" s="86">
        <f t="shared" si="336"/>
        <v>20306.36</v>
      </c>
      <c r="U1136" s="87">
        <v>20306.36</v>
      </c>
    </row>
    <row r="1137" spans="1:21" s="30" customFormat="1" ht="24.6" hidden="1" outlineLevel="1" x14ac:dyDescent="0.55000000000000004">
      <c r="A1137" s="27" t="s">
        <v>327</v>
      </c>
      <c r="B1137" s="28"/>
      <c r="C1137" s="27"/>
      <c r="D1137" s="27" t="str">
        <f>"""NAV Direct"",""CRONUS JetCorp USA"",""21"",""1"",""367367"""</f>
        <v>"NAV Direct","CRONUS JetCorp USA","21","1","367367"</v>
      </c>
      <c r="E1137" s="31" t="str">
        <f t="shared" si="328"/>
        <v>C100040</v>
      </c>
      <c r="F1137" s="31"/>
      <c r="G1137" s="31"/>
      <c r="H1137" s="31"/>
      <c r="I1137" s="56"/>
      <c r="J1137" s="56"/>
      <c r="K1137" s="82" t="str">
        <f t="shared" si="329"/>
        <v>Invoice</v>
      </c>
      <c r="L1137" s="83" t="str">
        <f>"SI_111463"</f>
        <v>SI_111463</v>
      </c>
      <c r="M1137" s="84">
        <v>43646</v>
      </c>
      <c r="N1137" s="85">
        <f t="shared" si="330"/>
        <v>166</v>
      </c>
      <c r="O1137" s="86">
        <f t="shared" si="331"/>
        <v>23555.45</v>
      </c>
      <c r="P1137" s="86">
        <f t="shared" si="332"/>
        <v>0</v>
      </c>
      <c r="Q1137" s="86">
        <f t="shared" si="333"/>
        <v>0</v>
      </c>
      <c r="R1137" s="86">
        <f t="shared" si="334"/>
        <v>0</v>
      </c>
      <c r="S1137" s="86">
        <f t="shared" si="335"/>
        <v>0</v>
      </c>
      <c r="T1137" s="86">
        <f t="shared" si="336"/>
        <v>23555.45</v>
      </c>
      <c r="U1137" s="87">
        <v>23555.45</v>
      </c>
    </row>
    <row r="1138" spans="1:21" s="30" customFormat="1" ht="24.6" hidden="1" outlineLevel="1" x14ac:dyDescent="0.55000000000000004">
      <c r="A1138" s="27" t="s">
        <v>327</v>
      </c>
      <c r="B1138" s="28"/>
      <c r="C1138" s="27"/>
      <c r="D1138" s="27" t="str">
        <f>"""NAV Direct"",""CRONUS JetCorp USA"",""21"",""1"",""367519"""</f>
        <v>"NAV Direct","CRONUS JetCorp USA","21","1","367519"</v>
      </c>
      <c r="E1138" s="31">
        <f t="shared" si="328"/>
        <v>0</v>
      </c>
      <c r="F1138" s="31"/>
      <c r="G1138" s="31"/>
      <c r="H1138" s="31"/>
      <c r="I1138" s="56"/>
      <c r="J1138" s="56"/>
      <c r="K1138" s="82" t="str">
        <f t="shared" si="329"/>
        <v>Invoice</v>
      </c>
      <c r="L1138" s="83" t="str">
        <f>"SI_111467"</f>
        <v>SI_111467</v>
      </c>
      <c r="M1138" s="84">
        <v>43666</v>
      </c>
      <c r="N1138" s="85">
        <f t="shared" si="330"/>
        <v>146</v>
      </c>
      <c r="O1138" s="86">
        <f t="shared" si="331"/>
        <v>15579.45</v>
      </c>
      <c r="P1138" s="86">
        <f t="shared" si="332"/>
        <v>0</v>
      </c>
      <c r="Q1138" s="86">
        <f t="shared" si="333"/>
        <v>0</v>
      </c>
      <c r="R1138" s="86">
        <f t="shared" si="334"/>
        <v>0</v>
      </c>
      <c r="S1138" s="86">
        <f t="shared" si="335"/>
        <v>0</v>
      </c>
      <c r="T1138" s="86">
        <f t="shared" si="336"/>
        <v>15579.45</v>
      </c>
      <c r="U1138" s="87">
        <v>15579.45</v>
      </c>
    </row>
    <row r="1139" spans="1:21" s="30" customFormat="1" ht="24.6" hidden="1" outlineLevel="1" x14ac:dyDescent="0.55000000000000004">
      <c r="A1139" s="27" t="s">
        <v>327</v>
      </c>
      <c r="B1139" s="28"/>
      <c r="C1139" s="27"/>
      <c r="D1139" s="27" t="str">
        <f>"""NAV Direct"",""CRONUS JetCorp USA"",""21"",""1"",""367875"""</f>
        <v>"NAV Direct","CRONUS JetCorp USA","21","1","367875"</v>
      </c>
      <c r="E1139" s="31" t="str">
        <f t="shared" si="328"/>
        <v>C100040</v>
      </c>
      <c r="F1139" s="31"/>
      <c r="G1139" s="31"/>
      <c r="H1139" s="31"/>
      <c r="I1139" s="56"/>
      <c r="J1139" s="56"/>
      <c r="K1139" s="82" t="str">
        <f t="shared" si="329"/>
        <v>Invoice</v>
      </c>
      <c r="L1139" s="83" t="str">
        <f>"SI_111477"</f>
        <v>SI_111477</v>
      </c>
      <c r="M1139" s="84">
        <v>43707</v>
      </c>
      <c r="N1139" s="85">
        <f t="shared" si="330"/>
        <v>105</v>
      </c>
      <c r="O1139" s="86">
        <f t="shared" si="331"/>
        <v>13772.19</v>
      </c>
      <c r="P1139" s="86">
        <f t="shared" si="332"/>
        <v>0</v>
      </c>
      <c r="Q1139" s="86">
        <f t="shared" si="333"/>
        <v>0</v>
      </c>
      <c r="R1139" s="86">
        <f t="shared" si="334"/>
        <v>0</v>
      </c>
      <c r="S1139" s="86">
        <f t="shared" si="335"/>
        <v>0</v>
      </c>
      <c r="T1139" s="86">
        <f t="shared" si="336"/>
        <v>13772.19</v>
      </c>
      <c r="U1139" s="87">
        <v>13772.19</v>
      </c>
    </row>
    <row r="1140" spans="1:21" s="30" customFormat="1" ht="24.6" hidden="1" outlineLevel="1" x14ac:dyDescent="0.55000000000000004">
      <c r="A1140" s="27" t="s">
        <v>327</v>
      </c>
      <c r="B1140" s="28"/>
      <c r="C1140" s="27"/>
      <c r="D1140" s="27" t="str">
        <f>"""NAV Direct"",""CRONUS JetCorp USA"",""21"",""1"",""368025"""</f>
        <v>"NAV Direct","CRONUS JetCorp USA","21","1","368025"</v>
      </c>
      <c r="E1140" s="31">
        <f t="shared" si="328"/>
        <v>0</v>
      </c>
      <c r="F1140" s="31"/>
      <c r="G1140" s="31"/>
      <c r="H1140" s="31"/>
      <c r="I1140" s="56"/>
      <c r="J1140" s="56"/>
      <c r="K1140" s="82" t="str">
        <f t="shared" si="329"/>
        <v>Invoice</v>
      </c>
      <c r="L1140" s="83" t="str">
        <f>"SI_111481"</f>
        <v>SI_111481</v>
      </c>
      <c r="M1140" s="84">
        <v>43735</v>
      </c>
      <c r="N1140" s="85">
        <f t="shared" si="330"/>
        <v>77</v>
      </c>
      <c r="O1140" s="86">
        <f t="shared" si="331"/>
        <v>12670.41</v>
      </c>
      <c r="P1140" s="86">
        <f t="shared" si="332"/>
        <v>0</v>
      </c>
      <c r="Q1140" s="86">
        <f t="shared" si="333"/>
        <v>0</v>
      </c>
      <c r="R1140" s="86">
        <f t="shared" si="334"/>
        <v>0</v>
      </c>
      <c r="S1140" s="86">
        <f t="shared" si="335"/>
        <v>12670.41</v>
      </c>
      <c r="T1140" s="86">
        <f t="shared" si="336"/>
        <v>0</v>
      </c>
      <c r="U1140" s="87">
        <v>12670.41</v>
      </c>
    </row>
    <row r="1141" spans="1:21" s="30" customFormat="1" ht="24.6" hidden="1" outlineLevel="1" x14ac:dyDescent="0.55000000000000004">
      <c r="A1141" s="27" t="s">
        <v>327</v>
      </c>
      <c r="B1141" s="28"/>
      <c r="C1141" s="27"/>
      <c r="D1141" s="27" t="str">
        <f>"""NAV Direct"",""CRONUS JetCorp USA"",""21"",""1"",""368062"""</f>
        <v>"NAV Direct","CRONUS JetCorp USA","21","1","368062"</v>
      </c>
      <c r="E1141" s="31" t="str">
        <f t="shared" si="328"/>
        <v>C100040</v>
      </c>
      <c r="F1141" s="31"/>
      <c r="G1141" s="31"/>
      <c r="H1141" s="31"/>
      <c r="I1141" s="56"/>
      <c r="J1141" s="56"/>
      <c r="K1141" s="82" t="str">
        <f t="shared" si="329"/>
        <v>Invoice</v>
      </c>
      <c r="L1141" s="83" t="str">
        <f>"SI_111482"</f>
        <v>SI_111482</v>
      </c>
      <c r="M1141" s="84">
        <v>43741</v>
      </c>
      <c r="N1141" s="85">
        <f t="shared" si="330"/>
        <v>71</v>
      </c>
      <c r="O1141" s="86">
        <f t="shared" si="331"/>
        <v>12670.63</v>
      </c>
      <c r="P1141" s="86">
        <f t="shared" si="332"/>
        <v>0</v>
      </c>
      <c r="Q1141" s="86">
        <f t="shared" si="333"/>
        <v>0</v>
      </c>
      <c r="R1141" s="86">
        <f t="shared" si="334"/>
        <v>0</v>
      </c>
      <c r="S1141" s="86">
        <f t="shared" si="335"/>
        <v>12670.63</v>
      </c>
      <c r="T1141" s="86">
        <f t="shared" si="336"/>
        <v>0</v>
      </c>
      <c r="U1141" s="87">
        <v>12670.63</v>
      </c>
    </row>
    <row r="1142" spans="1:21" s="30" customFormat="1" ht="24.6" hidden="1" outlineLevel="1" x14ac:dyDescent="0.55000000000000004">
      <c r="A1142" s="27" t="s">
        <v>327</v>
      </c>
      <c r="B1142" s="28"/>
      <c r="C1142" s="27"/>
      <c r="D1142" s="27" t="str">
        <f>"""NAV Direct"",""CRONUS JetCorp USA"",""21"",""1"",""368145"""</f>
        <v>"NAV Direct","CRONUS JetCorp USA","21","1","368145"</v>
      </c>
      <c r="E1142" s="31">
        <f t="shared" si="328"/>
        <v>0</v>
      </c>
      <c r="F1142" s="31"/>
      <c r="G1142" s="31"/>
      <c r="H1142" s="31"/>
      <c r="I1142" s="56"/>
      <c r="J1142" s="56"/>
      <c r="K1142" s="82" t="str">
        <f t="shared" si="329"/>
        <v>Invoice</v>
      </c>
      <c r="L1142" s="83" t="str">
        <f>"SI_111485"</f>
        <v>SI_111485</v>
      </c>
      <c r="M1142" s="84">
        <v>43766</v>
      </c>
      <c r="N1142" s="85">
        <f t="shared" si="330"/>
        <v>46</v>
      </c>
      <c r="O1142" s="86">
        <f t="shared" si="331"/>
        <v>14443.94</v>
      </c>
      <c r="P1142" s="86">
        <f t="shared" si="332"/>
        <v>0</v>
      </c>
      <c r="Q1142" s="86">
        <f t="shared" si="333"/>
        <v>0</v>
      </c>
      <c r="R1142" s="86">
        <f t="shared" si="334"/>
        <v>14443.94</v>
      </c>
      <c r="S1142" s="86">
        <f t="shared" si="335"/>
        <v>0</v>
      </c>
      <c r="T1142" s="86">
        <f t="shared" si="336"/>
        <v>0</v>
      </c>
      <c r="U1142" s="87">
        <v>14443.94</v>
      </c>
    </row>
    <row r="1143" spans="1:21" s="30" customFormat="1" ht="24.6" hidden="1" outlineLevel="1" x14ac:dyDescent="0.55000000000000004">
      <c r="A1143" s="27" t="s">
        <v>327</v>
      </c>
      <c r="B1143" s="28"/>
      <c r="C1143" s="27"/>
      <c r="D1143" s="27" t="str">
        <f>"""NAV Direct"",""CRONUS JetCorp USA"",""21"",""1"",""368267"""</f>
        <v>"NAV Direct","CRONUS JetCorp USA","21","1","368267"</v>
      </c>
      <c r="E1143" s="31" t="str">
        <f t="shared" si="328"/>
        <v>C100040</v>
      </c>
      <c r="F1143" s="31"/>
      <c r="G1143" s="31"/>
      <c r="H1143" s="31"/>
      <c r="I1143" s="56"/>
      <c r="J1143" s="56"/>
      <c r="K1143" s="82" t="str">
        <f t="shared" si="329"/>
        <v>Invoice</v>
      </c>
      <c r="L1143" s="83" t="str">
        <f>"SI_111489"</f>
        <v>SI_111489</v>
      </c>
      <c r="M1143" s="84">
        <v>43788</v>
      </c>
      <c r="N1143" s="85">
        <f t="shared" si="330"/>
        <v>24</v>
      </c>
      <c r="O1143" s="86">
        <f t="shared" si="331"/>
        <v>16004.44</v>
      </c>
      <c r="P1143" s="86">
        <f t="shared" si="332"/>
        <v>0</v>
      </c>
      <c r="Q1143" s="86">
        <f t="shared" si="333"/>
        <v>16004.44</v>
      </c>
      <c r="R1143" s="86">
        <f t="shared" si="334"/>
        <v>0</v>
      </c>
      <c r="S1143" s="86">
        <f t="shared" si="335"/>
        <v>0</v>
      </c>
      <c r="T1143" s="86">
        <f t="shared" si="336"/>
        <v>0</v>
      </c>
      <c r="U1143" s="87">
        <v>16004.44</v>
      </c>
    </row>
    <row r="1144" spans="1:21" s="30" customFormat="1" ht="24.6" hidden="1" outlineLevel="1" x14ac:dyDescent="0.55000000000000004">
      <c r="A1144" s="27" t="s">
        <v>327</v>
      </c>
      <c r="B1144" s="28"/>
      <c r="C1144" s="27"/>
      <c r="D1144" s="27" t="str">
        <f>"""NAV Direct"",""CRONUS JetCorp USA"",""21"",""1"",""369225"""</f>
        <v>"NAV Direct","CRONUS JetCorp USA","21","1","369225"</v>
      </c>
      <c r="E1144" s="31">
        <f t="shared" si="328"/>
        <v>0</v>
      </c>
      <c r="F1144" s="31"/>
      <c r="G1144" s="31"/>
      <c r="H1144" s="31"/>
      <c r="I1144" s="56"/>
      <c r="J1144" s="56"/>
      <c r="K1144" s="82" t="str">
        <f t="shared" si="329"/>
        <v>Invoice</v>
      </c>
      <c r="L1144" s="83" t="str">
        <f>"SI_111515"</f>
        <v>SI_111515</v>
      </c>
      <c r="M1144" s="84">
        <v>42092</v>
      </c>
      <c r="N1144" s="85">
        <f t="shared" si="330"/>
        <v>1720</v>
      </c>
      <c r="O1144" s="86">
        <f t="shared" si="331"/>
        <v>15448.57</v>
      </c>
      <c r="P1144" s="86">
        <f t="shared" si="332"/>
        <v>0</v>
      </c>
      <c r="Q1144" s="86">
        <f t="shared" si="333"/>
        <v>0</v>
      </c>
      <c r="R1144" s="86">
        <f t="shared" si="334"/>
        <v>0</v>
      </c>
      <c r="S1144" s="86">
        <f t="shared" si="335"/>
        <v>0</v>
      </c>
      <c r="T1144" s="86">
        <f t="shared" si="336"/>
        <v>15448.57</v>
      </c>
      <c r="U1144" s="87">
        <v>15448.57</v>
      </c>
    </row>
    <row r="1145" spans="1:21" s="30" customFormat="1" ht="24.6" hidden="1" outlineLevel="1" x14ac:dyDescent="0.55000000000000004">
      <c r="A1145" s="27" t="s">
        <v>327</v>
      </c>
      <c r="B1145" s="28"/>
      <c r="C1145" s="27"/>
      <c r="D1145" s="27" t="str">
        <f>"""NAV Direct"",""CRONUS JetCorp USA"",""21"",""1"",""369306"""</f>
        <v>"NAV Direct","CRONUS JetCorp USA","21","1","369306"</v>
      </c>
      <c r="E1145" s="31" t="str">
        <f t="shared" ref="E1145:E1174" si="337">E1143</f>
        <v>C100040</v>
      </c>
      <c r="F1145" s="31"/>
      <c r="G1145" s="31"/>
      <c r="H1145" s="31"/>
      <c r="I1145" s="56"/>
      <c r="J1145" s="56"/>
      <c r="K1145" s="82" t="str">
        <f t="shared" si="329"/>
        <v>Invoice</v>
      </c>
      <c r="L1145" s="83" t="str">
        <f>"SI_111518"</f>
        <v>SI_111518</v>
      </c>
      <c r="M1145" s="84">
        <v>42111</v>
      </c>
      <c r="N1145" s="85">
        <f t="shared" ref="N1145:N1174" si="338">StartDate-$M1145+1</f>
        <v>1701</v>
      </c>
      <c r="O1145" s="86">
        <f t="shared" ref="O1145:O1174" si="339">SUM(P1145:T1145)</f>
        <v>16561.39</v>
      </c>
      <c r="P1145" s="86">
        <f t="shared" ref="P1145:P1174" si="340">IF($M1145&gt;=$P$18,U1145,0)</f>
        <v>0</v>
      </c>
      <c r="Q1145" s="86">
        <f t="shared" ref="Q1145:Q1174" si="341">IF(AND($M1145&gt;=$Q$16,$M1145&lt;=$Q$18),U1145,0)</f>
        <v>0</v>
      </c>
      <c r="R1145" s="86">
        <f t="shared" ref="R1145:R1174" si="342">IF(AND($M1145&gt;=$R$16,$M1145&lt;=$R$18),U1145,0)</f>
        <v>0</v>
      </c>
      <c r="S1145" s="86">
        <f t="shared" ref="S1145:S1174" si="343">IF(AND($M1145&gt;=$S$16,$M1145&lt;=$S$18),U1145,0)</f>
        <v>0</v>
      </c>
      <c r="T1145" s="86">
        <f t="shared" ref="T1145:T1174" si="344">IF($M1145&lt;=$T$18,U1145,0)</f>
        <v>16561.39</v>
      </c>
      <c r="U1145" s="87">
        <v>16561.39</v>
      </c>
    </row>
    <row r="1146" spans="1:21" s="30" customFormat="1" ht="24.6" hidden="1" outlineLevel="1" x14ac:dyDescent="0.55000000000000004">
      <c r="A1146" s="27" t="s">
        <v>327</v>
      </c>
      <c r="B1146" s="28"/>
      <c r="C1146" s="27"/>
      <c r="D1146" s="27" t="str">
        <f>"""NAV Direct"",""CRONUS JetCorp USA"",""21"",""1"",""369431"""</f>
        <v>"NAV Direct","CRONUS JetCorp USA","21","1","369431"</v>
      </c>
      <c r="E1146" s="31">
        <f t="shared" si="337"/>
        <v>0</v>
      </c>
      <c r="F1146" s="31"/>
      <c r="G1146" s="31"/>
      <c r="H1146" s="31"/>
      <c r="I1146" s="56"/>
      <c r="J1146" s="56"/>
      <c r="K1146" s="82" t="str">
        <f t="shared" si="329"/>
        <v>Invoice</v>
      </c>
      <c r="L1146" s="83" t="str">
        <f>"SI_111521"</f>
        <v>SI_111521</v>
      </c>
      <c r="M1146" s="84">
        <v>42121</v>
      </c>
      <c r="N1146" s="85">
        <f t="shared" si="338"/>
        <v>1691</v>
      </c>
      <c r="O1146" s="86">
        <f t="shared" si="339"/>
        <v>16561.25</v>
      </c>
      <c r="P1146" s="86">
        <f t="shared" si="340"/>
        <v>0</v>
      </c>
      <c r="Q1146" s="86">
        <f t="shared" si="341"/>
        <v>0</v>
      </c>
      <c r="R1146" s="86">
        <f t="shared" si="342"/>
        <v>0</v>
      </c>
      <c r="S1146" s="86">
        <f t="shared" si="343"/>
        <v>0</v>
      </c>
      <c r="T1146" s="86">
        <f t="shared" si="344"/>
        <v>16561.25</v>
      </c>
      <c r="U1146" s="87">
        <v>16561.25</v>
      </c>
    </row>
    <row r="1147" spans="1:21" s="30" customFormat="1" ht="24.6" hidden="1" outlineLevel="1" x14ac:dyDescent="0.55000000000000004">
      <c r="A1147" s="27" t="s">
        <v>327</v>
      </c>
      <c r="B1147" s="28"/>
      <c r="C1147" s="27"/>
      <c r="D1147" s="27" t="str">
        <f>"""NAV Direct"",""CRONUS JetCorp USA"",""21"",""1"",""369540"""</f>
        <v>"NAV Direct","CRONUS JetCorp USA","21","1","369540"</v>
      </c>
      <c r="E1147" s="31" t="str">
        <f t="shared" si="337"/>
        <v>C100040</v>
      </c>
      <c r="F1147" s="31"/>
      <c r="G1147" s="31"/>
      <c r="H1147" s="31"/>
      <c r="I1147" s="56"/>
      <c r="J1147" s="56"/>
      <c r="K1147" s="82" t="str">
        <f t="shared" si="329"/>
        <v>Invoice</v>
      </c>
      <c r="L1147" s="83" t="str">
        <f>"SI_111524"</f>
        <v>SI_111524</v>
      </c>
      <c r="M1147" s="84">
        <v>42147</v>
      </c>
      <c r="N1147" s="85">
        <f t="shared" si="338"/>
        <v>1665</v>
      </c>
      <c r="O1147" s="86">
        <f t="shared" si="339"/>
        <v>18284.009999999998</v>
      </c>
      <c r="P1147" s="86">
        <f t="shared" si="340"/>
        <v>0</v>
      </c>
      <c r="Q1147" s="86">
        <f t="shared" si="341"/>
        <v>0</v>
      </c>
      <c r="R1147" s="86">
        <f t="shared" si="342"/>
        <v>0</v>
      </c>
      <c r="S1147" s="86">
        <f t="shared" si="343"/>
        <v>0</v>
      </c>
      <c r="T1147" s="86">
        <f t="shared" si="344"/>
        <v>18284.009999999998</v>
      </c>
      <c r="U1147" s="87">
        <v>18284.009999999998</v>
      </c>
    </row>
    <row r="1148" spans="1:21" s="30" customFormat="1" ht="24.6" hidden="1" outlineLevel="1" x14ac:dyDescent="0.55000000000000004">
      <c r="A1148" s="27" t="s">
        <v>327</v>
      </c>
      <c r="B1148" s="28"/>
      <c r="C1148" s="27"/>
      <c r="D1148" s="27" t="str">
        <f>"""NAV Direct"",""CRONUS JetCorp USA"",""21"",""1"",""369748"""</f>
        <v>"NAV Direct","CRONUS JetCorp USA","21","1","369748"</v>
      </c>
      <c r="E1148" s="31">
        <f t="shared" si="337"/>
        <v>0</v>
      </c>
      <c r="F1148" s="31"/>
      <c r="G1148" s="31"/>
      <c r="H1148" s="31"/>
      <c r="I1148" s="56"/>
      <c r="J1148" s="56"/>
      <c r="K1148" s="82" t="str">
        <f t="shared" si="329"/>
        <v>Invoice</v>
      </c>
      <c r="L1148" s="83" t="str">
        <f>"SI_111530"</f>
        <v>SI_111530</v>
      </c>
      <c r="M1148" s="84">
        <v>42170</v>
      </c>
      <c r="N1148" s="85">
        <f t="shared" si="338"/>
        <v>1642</v>
      </c>
      <c r="O1148" s="86">
        <f t="shared" si="339"/>
        <v>21209.19</v>
      </c>
      <c r="P1148" s="86">
        <f t="shared" si="340"/>
        <v>0</v>
      </c>
      <c r="Q1148" s="86">
        <f t="shared" si="341"/>
        <v>0</v>
      </c>
      <c r="R1148" s="86">
        <f t="shared" si="342"/>
        <v>0</v>
      </c>
      <c r="S1148" s="86">
        <f t="shared" si="343"/>
        <v>0</v>
      </c>
      <c r="T1148" s="86">
        <f t="shared" si="344"/>
        <v>21209.19</v>
      </c>
      <c r="U1148" s="87">
        <v>21209.19</v>
      </c>
    </row>
    <row r="1149" spans="1:21" s="30" customFormat="1" ht="24.6" hidden="1" outlineLevel="1" x14ac:dyDescent="0.55000000000000004">
      <c r="A1149" s="27" t="s">
        <v>327</v>
      </c>
      <c r="B1149" s="28"/>
      <c r="C1149" s="27"/>
      <c r="D1149" s="27" t="str">
        <f>"""NAV Direct"",""CRONUS JetCorp USA"",""21"",""1"",""370077"""</f>
        <v>"NAV Direct","CRONUS JetCorp USA","21","1","370077"</v>
      </c>
      <c r="E1149" s="31" t="str">
        <f t="shared" si="337"/>
        <v>C100040</v>
      </c>
      <c r="F1149" s="31"/>
      <c r="G1149" s="31"/>
      <c r="H1149" s="31"/>
      <c r="I1149" s="56"/>
      <c r="J1149" s="56"/>
      <c r="K1149" s="82" t="str">
        <f t="shared" si="329"/>
        <v>Invoice</v>
      </c>
      <c r="L1149" s="83" t="str">
        <f>"SI_111539"</f>
        <v>SI_111539</v>
      </c>
      <c r="M1149" s="84">
        <v>42206</v>
      </c>
      <c r="N1149" s="85">
        <f t="shared" si="338"/>
        <v>1606</v>
      </c>
      <c r="O1149" s="86">
        <f t="shared" si="339"/>
        <v>14027.749999999998</v>
      </c>
      <c r="P1149" s="86">
        <f t="shared" si="340"/>
        <v>0</v>
      </c>
      <c r="Q1149" s="86">
        <f t="shared" si="341"/>
        <v>0</v>
      </c>
      <c r="R1149" s="86">
        <f t="shared" si="342"/>
        <v>0</v>
      </c>
      <c r="S1149" s="86">
        <f t="shared" si="343"/>
        <v>0</v>
      </c>
      <c r="T1149" s="86">
        <f t="shared" si="344"/>
        <v>14027.749999999998</v>
      </c>
      <c r="U1149" s="87">
        <v>14027.749999999998</v>
      </c>
    </row>
    <row r="1150" spans="1:21" s="30" customFormat="1" ht="24.6" hidden="1" outlineLevel="1" x14ac:dyDescent="0.55000000000000004">
      <c r="A1150" s="27" t="s">
        <v>327</v>
      </c>
      <c r="B1150" s="28"/>
      <c r="C1150" s="27"/>
      <c r="D1150" s="27" t="str">
        <f>"""NAV Direct"",""CRONUS JetCorp USA"",""21"",""1"",""370244"""</f>
        <v>"NAV Direct","CRONUS JetCorp USA","21","1","370244"</v>
      </c>
      <c r="E1150" s="31">
        <f t="shared" si="337"/>
        <v>0</v>
      </c>
      <c r="F1150" s="31"/>
      <c r="G1150" s="31"/>
      <c r="H1150" s="31"/>
      <c r="I1150" s="56"/>
      <c r="J1150" s="56"/>
      <c r="K1150" s="82" t="str">
        <f t="shared" si="329"/>
        <v>Invoice</v>
      </c>
      <c r="L1150" s="83" t="str">
        <f>"SI_111544"</f>
        <v>SI_111544</v>
      </c>
      <c r="M1150" s="84">
        <v>42235</v>
      </c>
      <c r="N1150" s="85">
        <f t="shared" si="338"/>
        <v>1577</v>
      </c>
      <c r="O1150" s="86">
        <f t="shared" si="339"/>
        <v>12400.21</v>
      </c>
      <c r="P1150" s="86">
        <f t="shared" si="340"/>
        <v>0</v>
      </c>
      <c r="Q1150" s="86">
        <f t="shared" si="341"/>
        <v>0</v>
      </c>
      <c r="R1150" s="86">
        <f t="shared" si="342"/>
        <v>0</v>
      </c>
      <c r="S1150" s="86">
        <f t="shared" si="343"/>
        <v>0</v>
      </c>
      <c r="T1150" s="86">
        <f t="shared" si="344"/>
        <v>12400.21</v>
      </c>
      <c r="U1150" s="87">
        <v>12400.21</v>
      </c>
    </row>
    <row r="1151" spans="1:21" s="30" customFormat="1" ht="24.6" hidden="1" outlineLevel="1" x14ac:dyDescent="0.55000000000000004">
      <c r="A1151" s="27" t="s">
        <v>327</v>
      </c>
      <c r="B1151" s="28"/>
      <c r="C1151" s="27"/>
      <c r="D1151" s="27" t="str">
        <f>"""NAV Direct"",""CRONUS JetCorp USA"",""21"",""1"",""370339"""</f>
        <v>"NAV Direct","CRONUS JetCorp USA","21","1","370339"</v>
      </c>
      <c r="E1151" s="31" t="str">
        <f t="shared" si="337"/>
        <v>C100040</v>
      </c>
      <c r="F1151" s="31"/>
      <c r="G1151" s="31"/>
      <c r="H1151" s="31"/>
      <c r="I1151" s="56"/>
      <c r="J1151" s="56"/>
      <c r="K1151" s="82" t="str">
        <f t="shared" si="329"/>
        <v>Invoice</v>
      </c>
      <c r="L1151" s="83" t="str">
        <f>"SI_111547"</f>
        <v>SI_111547</v>
      </c>
      <c r="M1151" s="84">
        <v>42269</v>
      </c>
      <c r="N1151" s="85">
        <f t="shared" si="338"/>
        <v>1543</v>
      </c>
      <c r="O1151" s="86">
        <f t="shared" si="339"/>
        <v>13640.66</v>
      </c>
      <c r="P1151" s="86">
        <f t="shared" si="340"/>
        <v>0</v>
      </c>
      <c r="Q1151" s="86">
        <f t="shared" si="341"/>
        <v>0</v>
      </c>
      <c r="R1151" s="86">
        <f t="shared" si="342"/>
        <v>0</v>
      </c>
      <c r="S1151" s="86">
        <f t="shared" si="343"/>
        <v>0</v>
      </c>
      <c r="T1151" s="86">
        <f t="shared" si="344"/>
        <v>13640.66</v>
      </c>
      <c r="U1151" s="87">
        <v>13640.66</v>
      </c>
    </row>
    <row r="1152" spans="1:21" s="30" customFormat="1" ht="24.6" hidden="1" outlineLevel="1" x14ac:dyDescent="0.55000000000000004">
      <c r="A1152" s="27" t="s">
        <v>327</v>
      </c>
      <c r="B1152" s="28"/>
      <c r="C1152" s="27"/>
      <c r="D1152" s="27" t="str">
        <f>"""NAV Direct"",""CRONUS JetCorp USA"",""21"",""1"",""370578"""</f>
        <v>"NAV Direct","CRONUS JetCorp USA","21","1","370578"</v>
      </c>
      <c r="E1152" s="31">
        <f t="shared" si="337"/>
        <v>0</v>
      </c>
      <c r="F1152" s="31"/>
      <c r="G1152" s="31"/>
      <c r="H1152" s="31"/>
      <c r="I1152" s="56"/>
      <c r="J1152" s="56"/>
      <c r="K1152" s="82" t="str">
        <f t="shared" si="329"/>
        <v>Invoice</v>
      </c>
      <c r="L1152" s="83" t="str">
        <f>"SI_111554"</f>
        <v>SI_111554</v>
      </c>
      <c r="M1152" s="84">
        <v>42308</v>
      </c>
      <c r="N1152" s="85">
        <f t="shared" si="338"/>
        <v>1504</v>
      </c>
      <c r="O1152" s="86">
        <f t="shared" si="339"/>
        <v>15550.15</v>
      </c>
      <c r="P1152" s="86">
        <f t="shared" si="340"/>
        <v>0</v>
      </c>
      <c r="Q1152" s="86">
        <f t="shared" si="341"/>
        <v>0</v>
      </c>
      <c r="R1152" s="86">
        <f t="shared" si="342"/>
        <v>0</v>
      </c>
      <c r="S1152" s="86">
        <f t="shared" si="343"/>
        <v>0</v>
      </c>
      <c r="T1152" s="86">
        <f t="shared" si="344"/>
        <v>15550.15</v>
      </c>
      <c r="U1152" s="87">
        <v>15550.15</v>
      </c>
    </row>
    <row r="1153" spans="1:21" s="30" customFormat="1" ht="24.6" hidden="1" outlineLevel="1" x14ac:dyDescent="0.55000000000000004">
      <c r="A1153" s="27" t="s">
        <v>327</v>
      </c>
      <c r="B1153" s="28"/>
      <c r="C1153" s="27"/>
      <c r="D1153" s="27" t="str">
        <f>"""NAV Direct"",""CRONUS JetCorp USA"",""21"",""1"",""370927"""</f>
        <v>"NAV Direct","CRONUS JetCorp USA","21","1","370927"</v>
      </c>
      <c r="E1153" s="31" t="str">
        <f t="shared" si="337"/>
        <v>C100040</v>
      </c>
      <c r="F1153" s="31"/>
      <c r="G1153" s="31"/>
      <c r="H1153" s="31"/>
      <c r="I1153" s="56"/>
      <c r="J1153" s="56"/>
      <c r="K1153" s="82" t="str">
        <f t="shared" si="329"/>
        <v>Invoice</v>
      </c>
      <c r="L1153" s="83" t="str">
        <f>"SI_111563"</f>
        <v>SI_111563</v>
      </c>
      <c r="M1153" s="84">
        <v>42358</v>
      </c>
      <c r="N1153" s="85">
        <f t="shared" si="338"/>
        <v>1454</v>
      </c>
      <c r="O1153" s="86">
        <f t="shared" si="339"/>
        <v>18814.62</v>
      </c>
      <c r="P1153" s="86">
        <f t="shared" si="340"/>
        <v>0</v>
      </c>
      <c r="Q1153" s="86">
        <f t="shared" si="341"/>
        <v>0</v>
      </c>
      <c r="R1153" s="86">
        <f t="shared" si="342"/>
        <v>0</v>
      </c>
      <c r="S1153" s="86">
        <f t="shared" si="343"/>
        <v>0</v>
      </c>
      <c r="T1153" s="86">
        <f t="shared" si="344"/>
        <v>18814.62</v>
      </c>
      <c r="U1153" s="87">
        <v>18814.62</v>
      </c>
    </row>
    <row r="1154" spans="1:21" s="30" customFormat="1" ht="24.6" hidden="1" outlineLevel="1" x14ac:dyDescent="0.55000000000000004">
      <c r="A1154" s="27" t="s">
        <v>327</v>
      </c>
      <c r="B1154" s="28"/>
      <c r="C1154" s="27"/>
      <c r="D1154" s="27" t="str">
        <f>"""NAV Direct"",""CRONUS JetCorp USA"",""21"",""1"",""370987"""</f>
        <v>"NAV Direct","CRONUS JetCorp USA","21","1","370987"</v>
      </c>
      <c r="E1154" s="31">
        <f t="shared" si="337"/>
        <v>0</v>
      </c>
      <c r="F1154" s="31"/>
      <c r="G1154" s="31"/>
      <c r="H1154" s="31"/>
      <c r="I1154" s="56"/>
      <c r="J1154" s="56"/>
      <c r="K1154" s="82" t="str">
        <f t="shared" si="329"/>
        <v>Invoice</v>
      </c>
      <c r="L1154" s="83" t="str">
        <f>"SI_111565"</f>
        <v>SI_111565</v>
      </c>
      <c r="M1154" s="84">
        <v>42361</v>
      </c>
      <c r="N1154" s="85">
        <f t="shared" si="338"/>
        <v>1451</v>
      </c>
      <c r="O1154" s="86">
        <f t="shared" si="339"/>
        <v>18815.23</v>
      </c>
      <c r="P1154" s="86">
        <f t="shared" si="340"/>
        <v>0</v>
      </c>
      <c r="Q1154" s="86">
        <f t="shared" si="341"/>
        <v>0</v>
      </c>
      <c r="R1154" s="86">
        <f t="shared" si="342"/>
        <v>0</v>
      </c>
      <c r="S1154" s="86">
        <f t="shared" si="343"/>
        <v>0</v>
      </c>
      <c r="T1154" s="86">
        <f t="shared" si="344"/>
        <v>18815.23</v>
      </c>
      <c r="U1154" s="87">
        <v>18815.23</v>
      </c>
    </row>
    <row r="1155" spans="1:21" s="30" customFormat="1" ht="24.6" hidden="1" outlineLevel="1" x14ac:dyDescent="0.55000000000000004">
      <c r="A1155" s="27" t="s">
        <v>327</v>
      </c>
      <c r="B1155" s="28"/>
      <c r="C1155" s="27"/>
      <c r="D1155" s="27" t="str">
        <f>"""NAV Direct"",""CRONUS JetCorp USA"",""21"",""1"",""371067"""</f>
        <v>"NAV Direct","CRONUS JetCorp USA","21","1","371067"</v>
      </c>
      <c r="E1155" s="31" t="str">
        <f t="shared" si="337"/>
        <v>C100040</v>
      </c>
      <c r="F1155" s="31"/>
      <c r="G1155" s="31"/>
      <c r="H1155" s="31"/>
      <c r="I1155" s="56"/>
      <c r="J1155" s="56"/>
      <c r="K1155" s="82" t="str">
        <f t="shared" si="329"/>
        <v>Invoice</v>
      </c>
      <c r="L1155" s="83" t="str">
        <f>"SI_111567"</f>
        <v>SI_111567</v>
      </c>
      <c r="M1155" s="84">
        <v>42365</v>
      </c>
      <c r="N1155" s="85">
        <f t="shared" si="338"/>
        <v>1447</v>
      </c>
      <c r="O1155" s="86">
        <f t="shared" si="339"/>
        <v>18814.170000000002</v>
      </c>
      <c r="P1155" s="86">
        <f t="shared" si="340"/>
        <v>0</v>
      </c>
      <c r="Q1155" s="86">
        <f t="shared" si="341"/>
        <v>0</v>
      </c>
      <c r="R1155" s="86">
        <f t="shared" si="342"/>
        <v>0</v>
      </c>
      <c r="S1155" s="86">
        <f t="shared" si="343"/>
        <v>0</v>
      </c>
      <c r="T1155" s="86">
        <f t="shared" si="344"/>
        <v>18814.170000000002</v>
      </c>
      <c r="U1155" s="87">
        <v>18814.170000000002</v>
      </c>
    </row>
    <row r="1156" spans="1:21" s="30" customFormat="1" ht="24.6" hidden="1" outlineLevel="1" x14ac:dyDescent="0.55000000000000004">
      <c r="A1156" s="27" t="s">
        <v>327</v>
      </c>
      <c r="B1156" s="28"/>
      <c r="C1156" s="27"/>
      <c r="D1156" s="27" t="str">
        <f>"""NAV Direct"",""CRONUS JetCorp USA"",""21"",""1"",""435966"""</f>
        <v>"NAV Direct","CRONUS JetCorp USA","21","1","435966"</v>
      </c>
      <c r="E1156" s="31">
        <f t="shared" si="337"/>
        <v>0</v>
      </c>
      <c r="F1156" s="31"/>
      <c r="G1156" s="31"/>
      <c r="H1156" s="31"/>
      <c r="I1156" s="56"/>
      <c r="J1156" s="56"/>
      <c r="K1156" s="82" t="str">
        <f t="shared" ref="K1156:K1174" si="345">"Credit Memo"</f>
        <v>Credit Memo</v>
      </c>
      <c r="L1156" s="83" t="str">
        <f>"SC_100654"</f>
        <v>SC_100654</v>
      </c>
      <c r="M1156" s="84">
        <v>42866</v>
      </c>
      <c r="N1156" s="85">
        <f t="shared" si="338"/>
        <v>946</v>
      </c>
      <c r="O1156" s="86">
        <f t="shared" si="339"/>
        <v>-143.79</v>
      </c>
      <c r="P1156" s="86">
        <f t="shared" si="340"/>
        <v>0</v>
      </c>
      <c r="Q1156" s="86">
        <f t="shared" si="341"/>
        <v>0</v>
      </c>
      <c r="R1156" s="86">
        <f t="shared" si="342"/>
        <v>0</v>
      </c>
      <c r="S1156" s="86">
        <f t="shared" si="343"/>
        <v>0</v>
      </c>
      <c r="T1156" s="86">
        <f t="shared" si="344"/>
        <v>-143.79</v>
      </c>
      <c r="U1156" s="87">
        <v>-143.79</v>
      </c>
    </row>
    <row r="1157" spans="1:21" s="30" customFormat="1" ht="24.6" hidden="1" outlineLevel="1" x14ac:dyDescent="0.55000000000000004">
      <c r="A1157" s="27" t="s">
        <v>327</v>
      </c>
      <c r="B1157" s="28"/>
      <c r="C1157" s="27"/>
      <c r="D1157" s="27" t="str">
        <f>"""NAV Direct"",""CRONUS JetCorp USA"",""21"",""1"",""436022"""</f>
        <v>"NAV Direct","CRONUS JetCorp USA","21","1","436022"</v>
      </c>
      <c r="E1157" s="31" t="str">
        <f t="shared" si="337"/>
        <v>C100040</v>
      </c>
      <c r="F1157" s="31"/>
      <c r="G1157" s="31"/>
      <c r="H1157" s="31"/>
      <c r="I1157" s="56"/>
      <c r="J1157" s="56"/>
      <c r="K1157" s="82" t="str">
        <f t="shared" si="345"/>
        <v>Credit Memo</v>
      </c>
      <c r="L1157" s="83" t="str">
        <f>"SC_100658"</f>
        <v>SC_100658</v>
      </c>
      <c r="M1157" s="84">
        <v>42936</v>
      </c>
      <c r="N1157" s="85">
        <f t="shared" si="338"/>
        <v>876</v>
      </c>
      <c r="O1157" s="86">
        <f t="shared" si="339"/>
        <v>-142.4</v>
      </c>
      <c r="P1157" s="86">
        <f t="shared" si="340"/>
        <v>0</v>
      </c>
      <c r="Q1157" s="86">
        <f t="shared" si="341"/>
        <v>0</v>
      </c>
      <c r="R1157" s="86">
        <f t="shared" si="342"/>
        <v>0</v>
      </c>
      <c r="S1157" s="86">
        <f t="shared" si="343"/>
        <v>0</v>
      </c>
      <c r="T1157" s="86">
        <f t="shared" si="344"/>
        <v>-142.4</v>
      </c>
      <c r="U1157" s="87">
        <v>-142.4</v>
      </c>
    </row>
    <row r="1158" spans="1:21" s="30" customFormat="1" ht="24.6" hidden="1" outlineLevel="1" x14ac:dyDescent="0.55000000000000004">
      <c r="A1158" s="27" t="s">
        <v>327</v>
      </c>
      <c r="B1158" s="28"/>
      <c r="C1158" s="27"/>
      <c r="D1158" s="27" t="str">
        <f>"""NAV Direct"",""CRONUS JetCorp USA"",""21"",""1"",""436058"""</f>
        <v>"NAV Direct","CRONUS JetCorp USA","21","1","436058"</v>
      </c>
      <c r="E1158" s="31">
        <f t="shared" si="337"/>
        <v>0</v>
      </c>
      <c r="F1158" s="31"/>
      <c r="G1158" s="31"/>
      <c r="H1158" s="31"/>
      <c r="I1158" s="56"/>
      <c r="J1158" s="56"/>
      <c r="K1158" s="82" t="str">
        <f t="shared" si="345"/>
        <v>Credit Memo</v>
      </c>
      <c r="L1158" s="83" t="str">
        <f>"SC_100660"</f>
        <v>SC_100660</v>
      </c>
      <c r="M1158" s="84">
        <v>42953</v>
      </c>
      <c r="N1158" s="85">
        <f t="shared" si="338"/>
        <v>859</v>
      </c>
      <c r="O1158" s="86">
        <f t="shared" si="339"/>
        <v>-127.45</v>
      </c>
      <c r="P1158" s="86">
        <f t="shared" si="340"/>
        <v>0</v>
      </c>
      <c r="Q1158" s="86">
        <f t="shared" si="341"/>
        <v>0</v>
      </c>
      <c r="R1158" s="86">
        <f t="shared" si="342"/>
        <v>0</v>
      </c>
      <c r="S1158" s="86">
        <f t="shared" si="343"/>
        <v>0</v>
      </c>
      <c r="T1158" s="86">
        <f t="shared" si="344"/>
        <v>-127.45</v>
      </c>
      <c r="U1158" s="87">
        <v>-127.45</v>
      </c>
    </row>
    <row r="1159" spans="1:21" s="30" customFormat="1" ht="24.6" hidden="1" outlineLevel="1" x14ac:dyDescent="0.55000000000000004">
      <c r="A1159" s="27" t="s">
        <v>327</v>
      </c>
      <c r="B1159" s="28"/>
      <c r="C1159" s="27"/>
      <c r="D1159" s="27" t="str">
        <f>"""NAV Direct"",""CRONUS JetCorp USA"",""21"",""1"",""436113"""</f>
        <v>"NAV Direct","CRONUS JetCorp USA","21","1","436113"</v>
      </c>
      <c r="E1159" s="31" t="str">
        <f t="shared" si="337"/>
        <v>C100040</v>
      </c>
      <c r="F1159" s="31"/>
      <c r="G1159" s="31"/>
      <c r="H1159" s="31"/>
      <c r="I1159" s="56"/>
      <c r="J1159" s="56"/>
      <c r="K1159" s="82" t="str">
        <f t="shared" si="345"/>
        <v>Credit Memo</v>
      </c>
      <c r="L1159" s="83" t="str">
        <f>"SC_100663"</f>
        <v>SC_100663</v>
      </c>
      <c r="M1159" s="84">
        <v>43021</v>
      </c>
      <c r="N1159" s="85">
        <f t="shared" si="338"/>
        <v>791</v>
      </c>
      <c r="O1159" s="86">
        <f t="shared" si="339"/>
        <v>-130.26999999999998</v>
      </c>
      <c r="P1159" s="86">
        <f t="shared" si="340"/>
        <v>0</v>
      </c>
      <c r="Q1159" s="86">
        <f t="shared" si="341"/>
        <v>0</v>
      </c>
      <c r="R1159" s="86">
        <f t="shared" si="342"/>
        <v>0</v>
      </c>
      <c r="S1159" s="86">
        <f t="shared" si="343"/>
        <v>0</v>
      </c>
      <c r="T1159" s="86">
        <f t="shared" si="344"/>
        <v>-130.26999999999998</v>
      </c>
      <c r="U1159" s="87">
        <v>-130.26999999999998</v>
      </c>
    </row>
    <row r="1160" spans="1:21" s="30" customFormat="1" ht="24.6" hidden="1" outlineLevel="1" x14ac:dyDescent="0.55000000000000004">
      <c r="A1160" s="27" t="s">
        <v>327</v>
      </c>
      <c r="B1160" s="28"/>
      <c r="C1160" s="27"/>
      <c r="D1160" s="27" t="str">
        <f>"""NAV Direct"",""CRONUS JetCorp USA"",""21"",""1"",""436137"""</f>
        <v>"NAV Direct","CRONUS JetCorp USA","21","1","436137"</v>
      </c>
      <c r="E1160" s="31">
        <f t="shared" si="337"/>
        <v>0</v>
      </c>
      <c r="F1160" s="31"/>
      <c r="G1160" s="31"/>
      <c r="H1160" s="31"/>
      <c r="I1160" s="56"/>
      <c r="J1160" s="56"/>
      <c r="K1160" s="82" t="str">
        <f t="shared" si="345"/>
        <v>Credit Memo</v>
      </c>
      <c r="L1160" s="83" t="str">
        <f>"SC_100665"</f>
        <v>SC_100665</v>
      </c>
      <c r="M1160" s="84">
        <v>43085</v>
      </c>
      <c r="N1160" s="85">
        <f t="shared" si="338"/>
        <v>727</v>
      </c>
      <c r="O1160" s="86">
        <f t="shared" si="339"/>
        <v>-163.57000000000002</v>
      </c>
      <c r="P1160" s="86">
        <f t="shared" si="340"/>
        <v>0</v>
      </c>
      <c r="Q1160" s="86">
        <f t="shared" si="341"/>
        <v>0</v>
      </c>
      <c r="R1160" s="86">
        <f t="shared" si="342"/>
        <v>0</v>
      </c>
      <c r="S1160" s="86">
        <f t="shared" si="343"/>
        <v>0</v>
      </c>
      <c r="T1160" s="86">
        <f t="shared" si="344"/>
        <v>-163.57000000000002</v>
      </c>
      <c r="U1160" s="87">
        <v>-163.57000000000002</v>
      </c>
    </row>
    <row r="1161" spans="1:21" s="30" customFormat="1" ht="24.6" hidden="1" outlineLevel="1" x14ac:dyDescent="0.55000000000000004">
      <c r="A1161" s="27" t="s">
        <v>327</v>
      </c>
      <c r="B1161" s="28"/>
      <c r="C1161" s="27"/>
      <c r="D1161" s="27" t="str">
        <f>"""NAV Direct"",""CRONUS JetCorp USA"",""21"",""1"",""436382"""</f>
        <v>"NAV Direct","CRONUS JetCorp USA","21","1","436382"</v>
      </c>
      <c r="E1161" s="31" t="str">
        <f t="shared" si="337"/>
        <v>C100040</v>
      </c>
      <c r="F1161" s="31"/>
      <c r="G1161" s="31"/>
      <c r="H1161" s="31"/>
      <c r="I1161" s="56"/>
      <c r="J1161" s="56"/>
      <c r="K1161" s="82" t="str">
        <f t="shared" si="345"/>
        <v>Credit Memo</v>
      </c>
      <c r="L1161" s="83" t="str">
        <f>"SC_100680"</f>
        <v>SC_100680</v>
      </c>
      <c r="M1161" s="84">
        <v>43362</v>
      </c>
      <c r="N1161" s="85">
        <f t="shared" si="338"/>
        <v>450</v>
      </c>
      <c r="O1161" s="86">
        <f t="shared" si="339"/>
        <v>-154.91</v>
      </c>
      <c r="P1161" s="86">
        <f t="shared" si="340"/>
        <v>0</v>
      </c>
      <c r="Q1161" s="86">
        <f t="shared" si="341"/>
        <v>0</v>
      </c>
      <c r="R1161" s="86">
        <f t="shared" si="342"/>
        <v>0</v>
      </c>
      <c r="S1161" s="86">
        <f t="shared" si="343"/>
        <v>0</v>
      </c>
      <c r="T1161" s="86">
        <f t="shared" si="344"/>
        <v>-154.91</v>
      </c>
      <c r="U1161" s="87">
        <v>-154.91</v>
      </c>
    </row>
    <row r="1162" spans="1:21" s="30" customFormat="1" ht="24.6" hidden="1" outlineLevel="1" x14ac:dyDescent="0.55000000000000004">
      <c r="A1162" s="27" t="s">
        <v>327</v>
      </c>
      <c r="B1162" s="28"/>
      <c r="C1162" s="27"/>
      <c r="D1162" s="27" t="str">
        <f>"""NAV Direct"",""CRONUS JetCorp USA"",""21"",""1"",""436393"""</f>
        <v>"NAV Direct","CRONUS JetCorp USA","21","1","436393"</v>
      </c>
      <c r="E1162" s="31">
        <f t="shared" si="337"/>
        <v>0</v>
      </c>
      <c r="F1162" s="31"/>
      <c r="G1162" s="31"/>
      <c r="H1162" s="31"/>
      <c r="I1162" s="56"/>
      <c r="J1162" s="56"/>
      <c r="K1162" s="82" t="str">
        <f t="shared" si="345"/>
        <v>Credit Memo</v>
      </c>
      <c r="L1162" s="83" t="str">
        <f>"SC_100681"</f>
        <v>SC_100681</v>
      </c>
      <c r="M1162" s="84">
        <v>43374</v>
      </c>
      <c r="N1162" s="85">
        <f t="shared" si="338"/>
        <v>438</v>
      </c>
      <c r="O1162" s="86">
        <f t="shared" si="339"/>
        <v>-177.41</v>
      </c>
      <c r="P1162" s="86">
        <f t="shared" si="340"/>
        <v>0</v>
      </c>
      <c r="Q1162" s="86">
        <f t="shared" si="341"/>
        <v>0</v>
      </c>
      <c r="R1162" s="86">
        <f t="shared" si="342"/>
        <v>0</v>
      </c>
      <c r="S1162" s="86">
        <f t="shared" si="343"/>
        <v>0</v>
      </c>
      <c r="T1162" s="86">
        <f t="shared" si="344"/>
        <v>-177.41</v>
      </c>
      <c r="U1162" s="87">
        <v>-177.41</v>
      </c>
    </row>
    <row r="1163" spans="1:21" s="30" customFormat="1" ht="24.6" hidden="1" outlineLevel="1" x14ac:dyDescent="0.55000000000000004">
      <c r="A1163" s="27" t="s">
        <v>327</v>
      </c>
      <c r="B1163" s="28"/>
      <c r="C1163" s="27"/>
      <c r="D1163" s="27" t="str">
        <f>"""NAV Direct"",""CRONUS JetCorp USA"",""21"",""1"",""436406"""</f>
        <v>"NAV Direct","CRONUS JetCorp USA","21","1","436406"</v>
      </c>
      <c r="E1163" s="31" t="str">
        <f t="shared" si="337"/>
        <v>C100040</v>
      </c>
      <c r="F1163" s="31"/>
      <c r="G1163" s="31"/>
      <c r="H1163" s="31"/>
      <c r="I1163" s="56"/>
      <c r="J1163" s="56"/>
      <c r="K1163" s="82" t="str">
        <f t="shared" si="345"/>
        <v>Credit Memo</v>
      </c>
      <c r="L1163" s="83" t="str">
        <f>"SC_100682"</f>
        <v>SC_100682</v>
      </c>
      <c r="M1163" s="84">
        <v>43378</v>
      </c>
      <c r="N1163" s="85">
        <f t="shared" si="338"/>
        <v>434</v>
      </c>
      <c r="O1163" s="86">
        <f t="shared" si="339"/>
        <v>-177.63</v>
      </c>
      <c r="P1163" s="86">
        <f t="shared" si="340"/>
        <v>0</v>
      </c>
      <c r="Q1163" s="86">
        <f t="shared" si="341"/>
        <v>0</v>
      </c>
      <c r="R1163" s="86">
        <f t="shared" si="342"/>
        <v>0</v>
      </c>
      <c r="S1163" s="86">
        <f t="shared" si="343"/>
        <v>0</v>
      </c>
      <c r="T1163" s="86">
        <f t="shared" si="344"/>
        <v>-177.63</v>
      </c>
      <c r="U1163" s="87">
        <v>-177.63</v>
      </c>
    </row>
    <row r="1164" spans="1:21" s="30" customFormat="1" ht="24.6" hidden="1" outlineLevel="1" x14ac:dyDescent="0.55000000000000004">
      <c r="A1164" s="27" t="s">
        <v>327</v>
      </c>
      <c r="B1164" s="28"/>
      <c r="C1164" s="27"/>
      <c r="D1164" s="27" t="str">
        <f>"""NAV Direct"",""CRONUS JetCorp USA"",""21"",""1"",""436449"""</f>
        <v>"NAV Direct","CRONUS JetCorp USA","21","1","436449"</v>
      </c>
      <c r="E1164" s="31">
        <f t="shared" si="337"/>
        <v>0</v>
      </c>
      <c r="F1164" s="31"/>
      <c r="G1164" s="31"/>
      <c r="H1164" s="31"/>
      <c r="I1164" s="56"/>
      <c r="J1164" s="56"/>
      <c r="K1164" s="82" t="str">
        <f t="shared" si="345"/>
        <v>Credit Memo</v>
      </c>
      <c r="L1164" s="83" t="str">
        <f>"SC_100685"</f>
        <v>SC_100685</v>
      </c>
      <c r="M1164" s="84">
        <v>43413</v>
      </c>
      <c r="N1164" s="85">
        <f t="shared" si="338"/>
        <v>399</v>
      </c>
      <c r="O1164" s="86">
        <f t="shared" si="339"/>
        <v>-191.43</v>
      </c>
      <c r="P1164" s="86">
        <f t="shared" si="340"/>
        <v>0</v>
      </c>
      <c r="Q1164" s="86">
        <f t="shared" si="341"/>
        <v>0</v>
      </c>
      <c r="R1164" s="86">
        <f t="shared" si="342"/>
        <v>0</v>
      </c>
      <c r="S1164" s="86">
        <f t="shared" si="343"/>
        <v>0</v>
      </c>
      <c r="T1164" s="86">
        <f t="shared" si="344"/>
        <v>-191.43</v>
      </c>
      <c r="U1164" s="87">
        <v>-191.43</v>
      </c>
    </row>
    <row r="1165" spans="1:21" s="30" customFormat="1" ht="24.6" hidden="1" outlineLevel="1" x14ac:dyDescent="0.55000000000000004">
      <c r="A1165" s="27" t="s">
        <v>327</v>
      </c>
      <c r="B1165" s="28"/>
      <c r="C1165" s="27"/>
      <c r="D1165" s="27" t="str">
        <f>"""NAV Direct"",""CRONUS JetCorp USA"",""21"",""1"",""436564"""</f>
        <v>"NAV Direct","CRONUS JetCorp USA","21","1","436564"</v>
      </c>
      <c r="E1165" s="31" t="str">
        <f t="shared" si="337"/>
        <v>C100040</v>
      </c>
      <c r="F1165" s="31"/>
      <c r="G1165" s="31"/>
      <c r="H1165" s="31"/>
      <c r="I1165" s="56"/>
      <c r="J1165" s="56"/>
      <c r="K1165" s="82" t="str">
        <f t="shared" si="345"/>
        <v>Credit Memo</v>
      </c>
      <c r="L1165" s="83" t="str">
        <f>"SC_100692"</f>
        <v>SC_100692</v>
      </c>
      <c r="M1165" s="84">
        <v>43484</v>
      </c>
      <c r="N1165" s="85">
        <f t="shared" si="338"/>
        <v>328</v>
      </c>
      <c r="O1165" s="86">
        <f t="shared" si="339"/>
        <v>-201.17000000000002</v>
      </c>
      <c r="P1165" s="86">
        <f t="shared" si="340"/>
        <v>0</v>
      </c>
      <c r="Q1165" s="86">
        <f t="shared" si="341"/>
        <v>0</v>
      </c>
      <c r="R1165" s="86">
        <f t="shared" si="342"/>
        <v>0</v>
      </c>
      <c r="S1165" s="86">
        <f t="shared" si="343"/>
        <v>0</v>
      </c>
      <c r="T1165" s="86">
        <f t="shared" si="344"/>
        <v>-201.17000000000002</v>
      </c>
      <c r="U1165" s="87">
        <v>-201.17000000000002</v>
      </c>
    </row>
    <row r="1166" spans="1:21" s="30" customFormat="1" ht="24.6" hidden="1" outlineLevel="1" x14ac:dyDescent="0.55000000000000004">
      <c r="A1166" s="27" t="s">
        <v>327</v>
      </c>
      <c r="B1166" s="28"/>
      <c r="C1166" s="27"/>
      <c r="D1166" s="27" t="str">
        <f>"""NAV Direct"",""CRONUS JetCorp USA"",""21"",""1"",""436620"""</f>
        <v>"NAV Direct","CRONUS JetCorp USA","21","1","436620"</v>
      </c>
      <c r="E1166" s="31">
        <f t="shared" si="337"/>
        <v>0</v>
      </c>
      <c r="F1166" s="31"/>
      <c r="G1166" s="31"/>
      <c r="H1166" s="31"/>
      <c r="I1166" s="56"/>
      <c r="J1166" s="56"/>
      <c r="K1166" s="82" t="str">
        <f t="shared" si="345"/>
        <v>Credit Memo</v>
      </c>
      <c r="L1166" s="83" t="str">
        <f>"SC_100696"</f>
        <v>SC_100696</v>
      </c>
      <c r="M1166" s="84">
        <v>43514</v>
      </c>
      <c r="N1166" s="85">
        <f t="shared" si="338"/>
        <v>298</v>
      </c>
      <c r="O1166" s="86">
        <f t="shared" si="339"/>
        <v>-185.54</v>
      </c>
      <c r="P1166" s="86">
        <f t="shared" si="340"/>
        <v>0</v>
      </c>
      <c r="Q1166" s="86">
        <f t="shared" si="341"/>
        <v>0</v>
      </c>
      <c r="R1166" s="86">
        <f t="shared" si="342"/>
        <v>0</v>
      </c>
      <c r="S1166" s="86">
        <f t="shared" si="343"/>
        <v>0</v>
      </c>
      <c r="T1166" s="86">
        <f t="shared" si="344"/>
        <v>-185.54</v>
      </c>
      <c r="U1166" s="87">
        <v>-185.54</v>
      </c>
    </row>
    <row r="1167" spans="1:21" s="30" customFormat="1" ht="24.6" hidden="1" outlineLevel="1" x14ac:dyDescent="0.55000000000000004">
      <c r="A1167" s="27" t="s">
        <v>327</v>
      </c>
      <c r="B1167" s="28"/>
      <c r="C1167" s="27"/>
      <c r="D1167" s="27" t="str">
        <f>"""NAV Direct"",""CRONUS JetCorp USA"",""21"",""1"",""436650"""</f>
        <v>"NAV Direct","CRONUS JetCorp USA","21","1","436650"</v>
      </c>
      <c r="E1167" s="31" t="str">
        <f t="shared" si="337"/>
        <v>C100040</v>
      </c>
      <c r="F1167" s="31"/>
      <c r="G1167" s="31"/>
      <c r="H1167" s="31"/>
      <c r="I1167" s="56"/>
      <c r="J1167" s="56"/>
      <c r="K1167" s="82" t="str">
        <f t="shared" si="345"/>
        <v>Credit Memo</v>
      </c>
      <c r="L1167" s="83" t="str">
        <f>"SC_100698"</f>
        <v>SC_100698</v>
      </c>
      <c r="M1167" s="84">
        <v>43577</v>
      </c>
      <c r="N1167" s="85">
        <f t="shared" si="338"/>
        <v>235</v>
      </c>
      <c r="O1167" s="86">
        <f t="shared" si="339"/>
        <v>-183.66</v>
      </c>
      <c r="P1167" s="86">
        <f t="shared" si="340"/>
        <v>0</v>
      </c>
      <c r="Q1167" s="86">
        <f t="shared" si="341"/>
        <v>0</v>
      </c>
      <c r="R1167" s="86">
        <f t="shared" si="342"/>
        <v>0</v>
      </c>
      <c r="S1167" s="86">
        <f t="shared" si="343"/>
        <v>0</v>
      </c>
      <c r="T1167" s="86">
        <f t="shared" si="344"/>
        <v>-183.66</v>
      </c>
      <c r="U1167" s="87">
        <v>-183.66</v>
      </c>
    </row>
    <row r="1168" spans="1:21" s="30" customFormat="1" ht="24.6" hidden="1" outlineLevel="1" x14ac:dyDescent="0.55000000000000004">
      <c r="A1168" s="27" t="s">
        <v>327</v>
      </c>
      <c r="B1168" s="28"/>
      <c r="C1168" s="27"/>
      <c r="D1168" s="27" t="str">
        <f>"""NAV Direct"",""CRONUS JetCorp USA"",""21"",""1"",""436851"""</f>
        <v>"NAV Direct","CRONUS JetCorp USA","21","1","436851"</v>
      </c>
      <c r="E1168" s="31">
        <f t="shared" si="337"/>
        <v>0</v>
      </c>
      <c r="F1168" s="31"/>
      <c r="G1168" s="31"/>
      <c r="H1168" s="31"/>
      <c r="I1168" s="56"/>
      <c r="J1168" s="56"/>
      <c r="K1168" s="82" t="str">
        <f t="shared" si="345"/>
        <v>Credit Memo</v>
      </c>
      <c r="L1168" s="83" t="str">
        <f>"SC_100709"</f>
        <v>SC_100709</v>
      </c>
      <c r="M1168" s="84">
        <v>42014</v>
      </c>
      <c r="N1168" s="85">
        <f t="shared" si="338"/>
        <v>1798</v>
      </c>
      <c r="O1168" s="86">
        <f t="shared" si="339"/>
        <v>-169.39</v>
      </c>
      <c r="P1168" s="86">
        <f t="shared" si="340"/>
        <v>0</v>
      </c>
      <c r="Q1168" s="86">
        <f t="shared" si="341"/>
        <v>0</v>
      </c>
      <c r="R1168" s="86">
        <f t="shared" si="342"/>
        <v>0</v>
      </c>
      <c r="S1168" s="86">
        <f t="shared" si="343"/>
        <v>0</v>
      </c>
      <c r="T1168" s="86">
        <f t="shared" si="344"/>
        <v>-169.39</v>
      </c>
      <c r="U1168" s="87">
        <v>-169.39</v>
      </c>
    </row>
    <row r="1169" spans="1:22" s="30" customFormat="1" ht="24.6" hidden="1" outlineLevel="1" x14ac:dyDescent="0.55000000000000004">
      <c r="A1169" s="27" t="s">
        <v>327</v>
      </c>
      <c r="B1169" s="28"/>
      <c r="C1169" s="27"/>
      <c r="D1169" s="27" t="str">
        <f>"""NAV Direct"",""CRONUS JetCorp USA"",""21"",""1"",""436932"""</f>
        <v>"NAV Direct","CRONUS JetCorp USA","21","1","436932"</v>
      </c>
      <c r="E1169" s="31" t="str">
        <f t="shared" si="337"/>
        <v>C100040</v>
      </c>
      <c r="F1169" s="31"/>
      <c r="G1169" s="31"/>
      <c r="H1169" s="31"/>
      <c r="I1169" s="56"/>
      <c r="J1169" s="56"/>
      <c r="K1169" s="82" t="str">
        <f t="shared" si="345"/>
        <v>Credit Memo</v>
      </c>
      <c r="L1169" s="83" t="str">
        <f>"SC_100714"</f>
        <v>SC_100714</v>
      </c>
      <c r="M1169" s="84">
        <v>42049</v>
      </c>
      <c r="N1169" s="85">
        <f t="shared" si="338"/>
        <v>1763</v>
      </c>
      <c r="O1169" s="86">
        <f t="shared" si="339"/>
        <v>-157.29</v>
      </c>
      <c r="P1169" s="86">
        <f t="shared" si="340"/>
        <v>0</v>
      </c>
      <c r="Q1169" s="86">
        <f t="shared" si="341"/>
        <v>0</v>
      </c>
      <c r="R1169" s="86">
        <f t="shared" si="342"/>
        <v>0</v>
      </c>
      <c r="S1169" s="86">
        <f t="shared" si="343"/>
        <v>0</v>
      </c>
      <c r="T1169" s="86">
        <f t="shared" si="344"/>
        <v>-157.29</v>
      </c>
      <c r="U1169" s="87">
        <v>-157.29</v>
      </c>
    </row>
    <row r="1170" spans="1:22" s="30" customFormat="1" ht="24.6" hidden="1" outlineLevel="1" x14ac:dyDescent="0.55000000000000004">
      <c r="A1170" s="27" t="s">
        <v>327</v>
      </c>
      <c r="B1170" s="28"/>
      <c r="C1170" s="27"/>
      <c r="D1170" s="27" t="str">
        <f>"""NAV Direct"",""CRONUS JetCorp USA"",""21"",""1"",""437071"""</f>
        <v>"NAV Direct","CRONUS JetCorp USA","21","1","437071"</v>
      </c>
      <c r="E1170" s="31">
        <f t="shared" si="337"/>
        <v>0</v>
      </c>
      <c r="F1170" s="31"/>
      <c r="G1170" s="31"/>
      <c r="H1170" s="31"/>
      <c r="I1170" s="56"/>
      <c r="J1170" s="56"/>
      <c r="K1170" s="82" t="str">
        <f t="shared" si="345"/>
        <v>Credit Memo</v>
      </c>
      <c r="L1170" s="83" t="str">
        <f>"SC_100723"</f>
        <v>SC_100723</v>
      </c>
      <c r="M1170" s="84">
        <v>42139</v>
      </c>
      <c r="N1170" s="85">
        <f t="shared" si="338"/>
        <v>1673</v>
      </c>
      <c r="O1170" s="86">
        <f t="shared" si="339"/>
        <v>-182.36</v>
      </c>
      <c r="P1170" s="86">
        <f t="shared" si="340"/>
        <v>0</v>
      </c>
      <c r="Q1170" s="86">
        <f t="shared" si="341"/>
        <v>0</v>
      </c>
      <c r="R1170" s="86">
        <f t="shared" si="342"/>
        <v>0</v>
      </c>
      <c r="S1170" s="86">
        <f t="shared" si="343"/>
        <v>0</v>
      </c>
      <c r="T1170" s="86">
        <f t="shared" si="344"/>
        <v>-182.36</v>
      </c>
      <c r="U1170" s="87">
        <v>-182.36</v>
      </c>
    </row>
    <row r="1171" spans="1:22" s="30" customFormat="1" ht="24.6" hidden="1" outlineLevel="1" x14ac:dyDescent="0.55000000000000004">
      <c r="A1171" s="27" t="s">
        <v>327</v>
      </c>
      <c r="B1171" s="28"/>
      <c r="C1171" s="27"/>
      <c r="D1171" s="27" t="str">
        <f>"""NAV Direct"",""CRONUS JetCorp USA"",""21"",""1"",""437103"""</f>
        <v>"NAV Direct","CRONUS JetCorp USA","21","1","437103"</v>
      </c>
      <c r="E1171" s="31" t="str">
        <f t="shared" si="337"/>
        <v>C100040</v>
      </c>
      <c r="F1171" s="31"/>
      <c r="G1171" s="31"/>
      <c r="H1171" s="31"/>
      <c r="I1171" s="56"/>
      <c r="J1171" s="56"/>
      <c r="K1171" s="82" t="str">
        <f t="shared" si="345"/>
        <v>Credit Memo</v>
      </c>
      <c r="L1171" s="83" t="str">
        <f>"SC_100725"</f>
        <v>SC_100725</v>
      </c>
      <c r="M1171" s="84">
        <v>42164</v>
      </c>
      <c r="N1171" s="85">
        <f t="shared" si="338"/>
        <v>1648</v>
      </c>
      <c r="O1171" s="86">
        <f t="shared" si="339"/>
        <v>-211.98000000000002</v>
      </c>
      <c r="P1171" s="86">
        <f t="shared" si="340"/>
        <v>0</v>
      </c>
      <c r="Q1171" s="86">
        <f t="shared" si="341"/>
        <v>0</v>
      </c>
      <c r="R1171" s="86">
        <f t="shared" si="342"/>
        <v>0</v>
      </c>
      <c r="S1171" s="86">
        <f t="shared" si="343"/>
        <v>0</v>
      </c>
      <c r="T1171" s="86">
        <f t="shared" si="344"/>
        <v>-211.98000000000002</v>
      </c>
      <c r="U1171" s="87">
        <v>-211.98000000000002</v>
      </c>
    </row>
    <row r="1172" spans="1:22" s="30" customFormat="1" ht="24.6" hidden="1" outlineLevel="1" x14ac:dyDescent="0.55000000000000004">
      <c r="A1172" s="27" t="s">
        <v>327</v>
      </c>
      <c r="B1172" s="28"/>
      <c r="C1172" s="27"/>
      <c r="D1172" s="27" t="str">
        <f>"""NAV Direct"",""CRONUS JetCorp USA"",""21"",""1"",""437130"""</f>
        <v>"NAV Direct","CRONUS JetCorp USA","21","1","437130"</v>
      </c>
      <c r="E1172" s="31">
        <f t="shared" si="337"/>
        <v>0</v>
      </c>
      <c r="F1172" s="31"/>
      <c r="G1172" s="31"/>
      <c r="H1172" s="31"/>
      <c r="I1172" s="56"/>
      <c r="J1172" s="56"/>
      <c r="K1172" s="82" t="str">
        <f t="shared" si="345"/>
        <v>Credit Memo</v>
      </c>
      <c r="L1172" s="83" t="str">
        <f>"SC_100726"</f>
        <v>SC_100726</v>
      </c>
      <c r="M1172" s="84">
        <v>42168</v>
      </c>
      <c r="N1172" s="85">
        <f t="shared" si="338"/>
        <v>1644</v>
      </c>
      <c r="O1172" s="86">
        <f t="shared" si="339"/>
        <v>-212.01000000000002</v>
      </c>
      <c r="P1172" s="86">
        <f t="shared" si="340"/>
        <v>0</v>
      </c>
      <c r="Q1172" s="86">
        <f t="shared" si="341"/>
        <v>0</v>
      </c>
      <c r="R1172" s="86">
        <f t="shared" si="342"/>
        <v>0</v>
      </c>
      <c r="S1172" s="86">
        <f t="shared" si="343"/>
        <v>0</v>
      </c>
      <c r="T1172" s="86">
        <f t="shared" si="344"/>
        <v>-212.01000000000002</v>
      </c>
      <c r="U1172" s="87">
        <v>-212.01000000000002</v>
      </c>
    </row>
    <row r="1173" spans="1:22" s="30" customFormat="1" ht="24.6" hidden="1" outlineLevel="1" x14ac:dyDescent="0.55000000000000004">
      <c r="A1173" s="27" t="s">
        <v>327</v>
      </c>
      <c r="B1173" s="28"/>
      <c r="C1173" s="27"/>
      <c r="D1173" s="27" t="str">
        <f>"""NAV Direct"",""CRONUS JetCorp USA"",""21"",""1"",""437184"""</f>
        <v>"NAV Direct","CRONUS JetCorp USA","21","1","437184"</v>
      </c>
      <c r="E1173" s="31" t="str">
        <f t="shared" si="337"/>
        <v>C100040</v>
      </c>
      <c r="F1173" s="31"/>
      <c r="G1173" s="31"/>
      <c r="H1173" s="31"/>
      <c r="I1173" s="56"/>
      <c r="J1173" s="56"/>
      <c r="K1173" s="82" t="str">
        <f t="shared" si="345"/>
        <v>Credit Memo</v>
      </c>
      <c r="L1173" s="83" t="str">
        <f>"SC_100730"</f>
        <v>SC_100730</v>
      </c>
      <c r="M1173" s="84">
        <v>42228</v>
      </c>
      <c r="N1173" s="85">
        <f t="shared" si="338"/>
        <v>1584</v>
      </c>
      <c r="O1173" s="86">
        <f t="shared" si="339"/>
        <v>-123.78999999999999</v>
      </c>
      <c r="P1173" s="86">
        <f t="shared" si="340"/>
        <v>0</v>
      </c>
      <c r="Q1173" s="86">
        <f t="shared" si="341"/>
        <v>0</v>
      </c>
      <c r="R1173" s="86">
        <f t="shared" si="342"/>
        <v>0</v>
      </c>
      <c r="S1173" s="86">
        <f t="shared" si="343"/>
        <v>0</v>
      </c>
      <c r="T1173" s="86">
        <f t="shared" si="344"/>
        <v>-123.78999999999999</v>
      </c>
      <c r="U1173" s="87">
        <v>-123.78999999999999</v>
      </c>
    </row>
    <row r="1174" spans="1:22" s="30" customFormat="1" ht="24.6" hidden="1" outlineLevel="1" x14ac:dyDescent="0.55000000000000004">
      <c r="A1174" s="27" t="s">
        <v>327</v>
      </c>
      <c r="B1174" s="28"/>
      <c r="C1174" s="27"/>
      <c r="D1174" s="27" t="str">
        <f>"""NAV Direct"",""CRONUS JetCorp USA"",""21"",""1"",""437297"""</f>
        <v>"NAV Direct","CRONUS JetCorp USA","21","1","437297"</v>
      </c>
      <c r="E1174" s="31">
        <f t="shared" si="337"/>
        <v>0</v>
      </c>
      <c r="F1174" s="31"/>
      <c r="G1174" s="31"/>
      <c r="H1174" s="31"/>
      <c r="I1174" s="56"/>
      <c r="J1174" s="56"/>
      <c r="K1174" s="82" t="str">
        <f t="shared" si="345"/>
        <v>Credit Memo</v>
      </c>
      <c r="L1174" s="83" t="str">
        <f>"SC_100737"</f>
        <v>SC_100737</v>
      </c>
      <c r="M1174" s="84">
        <v>42351</v>
      </c>
      <c r="N1174" s="85">
        <f t="shared" si="338"/>
        <v>1461</v>
      </c>
      <c r="O1174" s="86">
        <f t="shared" si="339"/>
        <v>-186.88</v>
      </c>
      <c r="P1174" s="86">
        <f t="shared" si="340"/>
        <v>0</v>
      </c>
      <c r="Q1174" s="86">
        <f t="shared" si="341"/>
        <v>0</v>
      </c>
      <c r="R1174" s="86">
        <f t="shared" si="342"/>
        <v>0</v>
      </c>
      <c r="S1174" s="86">
        <f t="shared" si="343"/>
        <v>0</v>
      </c>
      <c r="T1174" s="86">
        <f t="shared" si="344"/>
        <v>-186.88</v>
      </c>
      <c r="U1174" s="87">
        <v>-186.88</v>
      </c>
    </row>
    <row r="1175" spans="1:22" s="22" customFormat="1" ht="20.399999999999999" collapsed="1" x14ac:dyDescent="0.45">
      <c r="A1175" s="12" t="s">
        <v>327</v>
      </c>
      <c r="B1175" s="19"/>
      <c r="C1175" s="12"/>
      <c r="D1175" s="12"/>
      <c r="E1175" s="23"/>
      <c r="F1175" s="23"/>
      <c r="G1175" s="23"/>
      <c r="H1175" s="23"/>
      <c r="I1175" s="49"/>
      <c r="J1175" s="88"/>
      <c r="K1175" s="88"/>
      <c r="L1175" s="89"/>
      <c r="M1175" s="89"/>
      <c r="N1175" s="89"/>
      <c r="O1175" s="89"/>
      <c r="P1175" s="89"/>
      <c r="Q1175" s="90"/>
      <c r="R1175" s="90"/>
      <c r="S1175" s="91"/>
      <c r="T1175" s="92"/>
      <c r="U1175" s="92"/>
    </row>
    <row r="1176" spans="1:22" s="22" customFormat="1" ht="20.399999999999999" x14ac:dyDescent="0.45">
      <c r="A1176" s="12" t="s">
        <v>327</v>
      </c>
      <c r="B1176" s="19"/>
      <c r="C1176" s="12"/>
      <c r="D1176" s="12"/>
      <c r="E1176" s="23"/>
      <c r="F1176" s="23"/>
      <c r="G1176" s="23"/>
      <c r="H1176" s="23"/>
      <c r="I1176" s="49"/>
      <c r="J1176" s="88"/>
      <c r="K1176" s="88"/>
      <c r="L1176" s="89"/>
      <c r="M1176" s="89"/>
      <c r="N1176" s="89"/>
      <c r="O1176" s="89"/>
      <c r="P1176" s="89"/>
      <c r="Q1176" s="90"/>
      <c r="R1176" s="90"/>
      <c r="S1176" s="91"/>
      <c r="T1176" s="92"/>
      <c r="U1176" s="92"/>
    </row>
    <row r="1177" spans="1:22" s="26" customFormat="1" ht="24.6" x14ac:dyDescent="0.55000000000000004">
      <c r="A1177" s="27" t="s">
        <v>327</v>
      </c>
      <c r="B1177" s="28"/>
      <c r="C1177" s="27" t="str">
        <f>"""NAV Direct"",""CRONUS JetCorp USA"",""18"",""1"",""C100041"""</f>
        <v>"NAV Direct","CRONUS JetCorp USA","18","1","C100041"</v>
      </c>
      <c r="D1177" s="27"/>
      <c r="E1177" s="28" t="str">
        <f>H1177</f>
        <v>C100041</v>
      </c>
      <c r="F1177" s="28"/>
      <c r="G1177" s="28"/>
      <c r="H1177" s="28" t="str">
        <f>"C100041"</f>
        <v>C100041</v>
      </c>
      <c r="I1177" s="116" t="str">
        <f>"C100041  -  Heimilisprydi"</f>
        <v>C100041  -  Heimilisprydi</v>
      </c>
      <c r="J1177" s="117" t="str">
        <f>""</f>
        <v/>
      </c>
      <c r="K1177" s="118"/>
      <c r="L1177" s="119">
        <f>SUBTOTAL(3,L1178:L1215)</f>
        <v>34</v>
      </c>
      <c r="M1177" s="118"/>
      <c r="N1177" s="118"/>
      <c r="O1177" s="120">
        <f t="shared" ref="O1177:T1177" si="346">SUBTOTAL(9,O1178:O1215)</f>
        <v>443221.69</v>
      </c>
      <c r="P1177" s="120">
        <f t="shared" si="346"/>
        <v>17962.920000000002</v>
      </c>
      <c r="Q1177" s="120">
        <f t="shared" si="346"/>
        <v>17288.66</v>
      </c>
      <c r="R1177" s="120">
        <f t="shared" si="346"/>
        <v>0</v>
      </c>
      <c r="S1177" s="120">
        <f t="shared" si="346"/>
        <v>16783.71</v>
      </c>
      <c r="T1177" s="120">
        <f t="shared" si="346"/>
        <v>391186.4</v>
      </c>
      <c r="U1177" s="81"/>
    </row>
    <row r="1178" spans="1:22" s="26" customFormat="1" ht="24.6" x14ac:dyDescent="0.55000000000000004">
      <c r="A1178" s="27" t="s">
        <v>327</v>
      </c>
      <c r="B1178" s="28"/>
      <c r="C1178" s="27" t="str">
        <f>C1177</f>
        <v>"NAV Direct","CRONUS JetCorp USA","18","1","C100041"</v>
      </c>
      <c r="D1178" s="27"/>
      <c r="E1178" s="28" t="str">
        <f>E1177</f>
        <v>C100041</v>
      </c>
      <c r="F1178" s="28"/>
      <c r="G1178" s="28"/>
      <c r="H1178" s="28"/>
      <c r="I1178" s="121" t="str">
        <f>"Contact: Gunnar Orn Thorsteinsson"</f>
        <v>Contact: Gunnar Orn Thorsteinsson</v>
      </c>
      <c r="J1178" s="121"/>
      <c r="K1178" s="122"/>
      <c r="L1178" s="123"/>
      <c r="M1178" s="123"/>
      <c r="N1178" s="124"/>
      <c r="O1178" s="124"/>
      <c r="P1178" s="123"/>
      <c r="Q1178" s="125"/>
      <c r="R1178" s="126"/>
      <c r="S1178" s="126"/>
      <c r="T1178" s="125"/>
      <c r="U1178" s="81"/>
    </row>
    <row r="1179" spans="1:22" s="26" customFormat="1" ht="24.6" x14ac:dyDescent="0.55000000000000004">
      <c r="A1179" s="27" t="s">
        <v>327</v>
      </c>
      <c r="B1179" s="28"/>
      <c r="C1179" s="27" t="str">
        <f>C1178</f>
        <v>"NAV Direct","CRONUS JetCorp USA","18","1","C100041"</v>
      </c>
      <c r="D1179" s="27"/>
      <c r="E1179" s="28" t="str">
        <f>E1178</f>
        <v>C100041</v>
      </c>
      <c r="F1179" s="28"/>
      <c r="G1179" s="28"/>
      <c r="H1179" s="28"/>
      <c r="I1179" s="121" t="str">
        <f>"heimilisprydi@cronuscorp.net"</f>
        <v>heimilisprydi@cronuscorp.net</v>
      </c>
      <c r="J1179" s="121"/>
      <c r="K1179" s="122"/>
      <c r="L1179" s="124"/>
      <c r="M1179" s="124"/>
      <c r="N1179" s="124"/>
      <c r="O1179" s="124"/>
      <c r="P1179" s="123"/>
      <c r="Q1179" s="125"/>
      <c r="R1179" s="126"/>
      <c r="S1179" s="126"/>
      <c r="T1179" s="125"/>
      <c r="U1179" s="81"/>
    </row>
    <row r="1180" spans="1:22" ht="12.75" hidden="1" customHeight="1" outlineLevel="1" x14ac:dyDescent="0.45">
      <c r="A1180" s="12" t="s">
        <v>328</v>
      </c>
      <c r="B1180" s="19"/>
      <c r="E1180" s="19"/>
      <c r="F1180" s="19"/>
      <c r="G1180" s="19"/>
      <c r="H1180" s="19"/>
      <c r="I1180" s="61"/>
      <c r="J1180" s="61"/>
      <c r="K1180" s="61"/>
      <c r="L1180" s="61"/>
      <c r="M1180" s="61"/>
      <c r="N1180" s="61"/>
      <c r="O1180" s="61"/>
      <c r="P1180" s="61"/>
      <c r="Q1180" s="61"/>
      <c r="R1180" s="61"/>
      <c r="S1180" s="61"/>
      <c r="T1180" s="61"/>
      <c r="U1180" s="61"/>
      <c r="V1180" s="21"/>
    </row>
    <row r="1181" spans="1:22" s="30" customFormat="1" ht="24.6" hidden="1" outlineLevel="1" x14ac:dyDescent="0.55000000000000004">
      <c r="A1181" s="27" t="s">
        <v>327</v>
      </c>
      <c r="B1181" s="28"/>
      <c r="C1181" s="27"/>
      <c r="D1181" s="27" t="str">
        <f>"""NAV Direct"",""CRONUS JetCorp USA"",""21"",""1"",""35645"""</f>
        <v>"NAV Direct","CRONUS JetCorp USA","21","1","35645"</v>
      </c>
      <c r="E1181" s="31" t="str">
        <f t="shared" ref="E1181:E1214" si="347">E1179</f>
        <v>C100041</v>
      </c>
      <c r="F1181" s="31"/>
      <c r="G1181" s="31"/>
      <c r="H1181" s="31"/>
      <c r="I1181" s="56"/>
      <c r="J1181" s="56"/>
      <c r="K1181" s="82" t="str">
        <f t="shared" ref="K1181:K1206" si="348">"Invoice"</f>
        <v>Invoice</v>
      </c>
      <c r="L1181" s="83" t="str">
        <f>"SI_104675"</f>
        <v>SI_104675</v>
      </c>
      <c r="M1181" s="84">
        <v>42338</v>
      </c>
      <c r="N1181" s="85">
        <f t="shared" ref="N1181:N1214" si="349">StartDate-$M1181+1</f>
        <v>1474</v>
      </c>
      <c r="O1181" s="86">
        <f t="shared" ref="O1181:O1214" si="350">SUM(P1181:T1181)</f>
        <v>19205.53</v>
      </c>
      <c r="P1181" s="86">
        <f t="shared" ref="P1181:P1214" si="351">IF($M1181&gt;=$P$18,U1181,0)</f>
        <v>0</v>
      </c>
      <c r="Q1181" s="86">
        <f t="shared" ref="Q1181:Q1214" si="352">IF(AND($M1181&gt;=$Q$16,$M1181&lt;=$Q$18),U1181,0)</f>
        <v>0</v>
      </c>
      <c r="R1181" s="86">
        <f t="shared" ref="R1181:R1214" si="353">IF(AND($M1181&gt;=$R$16,$M1181&lt;=$R$18),U1181,0)</f>
        <v>0</v>
      </c>
      <c r="S1181" s="86">
        <f t="shared" ref="S1181:S1214" si="354">IF(AND($M1181&gt;=$S$16,$M1181&lt;=$S$18),U1181,0)</f>
        <v>0</v>
      </c>
      <c r="T1181" s="86">
        <f t="shared" ref="T1181:T1214" si="355">IF($M1181&lt;=$T$18,U1181,0)</f>
        <v>19205.53</v>
      </c>
      <c r="U1181" s="87">
        <v>19205.53</v>
      </c>
    </row>
    <row r="1182" spans="1:22" s="30" customFormat="1" ht="24.6" hidden="1" outlineLevel="1" x14ac:dyDescent="0.55000000000000004">
      <c r="A1182" s="27" t="s">
        <v>327</v>
      </c>
      <c r="B1182" s="28"/>
      <c r="C1182" s="27"/>
      <c r="D1182" s="27" t="str">
        <f>"""NAV Direct"",""CRONUS JetCorp USA"",""21"",""1"",""325502"""</f>
        <v>"NAV Direct","CRONUS JetCorp USA","21","1","325502"</v>
      </c>
      <c r="E1182" s="31">
        <f t="shared" si="347"/>
        <v>0</v>
      </c>
      <c r="F1182" s="31"/>
      <c r="G1182" s="31"/>
      <c r="H1182" s="31"/>
      <c r="I1182" s="56"/>
      <c r="J1182" s="56"/>
      <c r="K1182" s="82" t="str">
        <f t="shared" si="348"/>
        <v>Invoice</v>
      </c>
      <c r="L1182" s="83" t="str">
        <f>"SI_110212"</f>
        <v>SI_110212</v>
      </c>
      <c r="M1182" s="84">
        <v>42735</v>
      </c>
      <c r="N1182" s="85">
        <f t="shared" si="349"/>
        <v>1077</v>
      </c>
      <c r="O1182" s="86">
        <f t="shared" si="350"/>
        <v>15809.6</v>
      </c>
      <c r="P1182" s="86">
        <f t="shared" si="351"/>
        <v>0</v>
      </c>
      <c r="Q1182" s="86">
        <f t="shared" si="352"/>
        <v>0</v>
      </c>
      <c r="R1182" s="86">
        <f t="shared" si="353"/>
        <v>0</v>
      </c>
      <c r="S1182" s="86">
        <f t="shared" si="354"/>
        <v>0</v>
      </c>
      <c r="T1182" s="86">
        <f t="shared" si="355"/>
        <v>15809.6</v>
      </c>
      <c r="U1182" s="87">
        <v>15809.6</v>
      </c>
    </row>
    <row r="1183" spans="1:22" s="30" customFormat="1" ht="24.6" hidden="1" outlineLevel="1" x14ac:dyDescent="0.55000000000000004">
      <c r="A1183" s="27" t="s">
        <v>327</v>
      </c>
      <c r="B1183" s="28"/>
      <c r="C1183" s="27"/>
      <c r="D1183" s="27" t="str">
        <f>"""NAV Direct"",""CRONUS JetCorp USA"",""21"",""1"",""325720"""</f>
        <v>"NAV Direct","CRONUS JetCorp USA","21","1","325720"</v>
      </c>
      <c r="E1183" s="31" t="str">
        <f t="shared" si="347"/>
        <v>C100041</v>
      </c>
      <c r="F1183" s="31"/>
      <c r="G1183" s="31"/>
      <c r="H1183" s="31"/>
      <c r="I1183" s="56"/>
      <c r="J1183" s="56"/>
      <c r="K1183" s="82" t="str">
        <f t="shared" si="348"/>
        <v>Invoice</v>
      </c>
      <c r="L1183" s="83" t="str">
        <f>"SI_110220"</f>
        <v>SI_110220</v>
      </c>
      <c r="M1183" s="84">
        <v>42490</v>
      </c>
      <c r="N1183" s="85">
        <f t="shared" si="349"/>
        <v>1322</v>
      </c>
      <c r="O1183" s="86">
        <f t="shared" si="350"/>
        <v>17123.559999999998</v>
      </c>
      <c r="P1183" s="86">
        <f t="shared" si="351"/>
        <v>0</v>
      </c>
      <c r="Q1183" s="86">
        <f t="shared" si="352"/>
        <v>0</v>
      </c>
      <c r="R1183" s="86">
        <f t="shared" si="353"/>
        <v>0</v>
      </c>
      <c r="S1183" s="86">
        <f t="shared" si="354"/>
        <v>0</v>
      </c>
      <c r="T1183" s="86">
        <f t="shared" si="355"/>
        <v>17123.559999999998</v>
      </c>
      <c r="U1183" s="87">
        <v>17123.559999999998</v>
      </c>
    </row>
    <row r="1184" spans="1:22" s="30" customFormat="1" ht="24.6" hidden="1" outlineLevel="1" x14ac:dyDescent="0.55000000000000004">
      <c r="A1184" s="27" t="s">
        <v>327</v>
      </c>
      <c r="B1184" s="28"/>
      <c r="C1184" s="27"/>
      <c r="D1184" s="27" t="str">
        <f>"""NAV Direct"",""CRONUS JetCorp USA"",""21"",""1"",""325840"""</f>
        <v>"NAV Direct","CRONUS JetCorp USA","21","1","325840"</v>
      </c>
      <c r="E1184" s="31">
        <f t="shared" si="347"/>
        <v>0</v>
      </c>
      <c r="F1184" s="31"/>
      <c r="G1184" s="31"/>
      <c r="H1184" s="31"/>
      <c r="I1184" s="56"/>
      <c r="J1184" s="56"/>
      <c r="K1184" s="82" t="str">
        <f t="shared" si="348"/>
        <v>Invoice</v>
      </c>
      <c r="L1184" s="83" t="str">
        <f>"SI_110224"</f>
        <v>SI_110224</v>
      </c>
      <c r="M1184" s="84">
        <v>42551</v>
      </c>
      <c r="N1184" s="85">
        <f t="shared" si="349"/>
        <v>1261</v>
      </c>
      <c r="O1184" s="86">
        <f t="shared" si="350"/>
        <v>17480.96</v>
      </c>
      <c r="P1184" s="86">
        <f t="shared" si="351"/>
        <v>0</v>
      </c>
      <c r="Q1184" s="86">
        <f t="shared" si="352"/>
        <v>0</v>
      </c>
      <c r="R1184" s="86">
        <f t="shared" si="353"/>
        <v>0</v>
      </c>
      <c r="S1184" s="86">
        <f t="shared" si="354"/>
        <v>0</v>
      </c>
      <c r="T1184" s="86">
        <f t="shared" si="355"/>
        <v>17480.96</v>
      </c>
      <c r="U1184" s="87">
        <v>17480.96</v>
      </c>
    </row>
    <row r="1185" spans="1:21" s="30" customFormat="1" ht="24.6" hidden="1" outlineLevel="1" x14ac:dyDescent="0.55000000000000004">
      <c r="A1185" s="27" t="s">
        <v>327</v>
      </c>
      <c r="B1185" s="28"/>
      <c r="C1185" s="27"/>
      <c r="D1185" s="27" t="str">
        <f>"""NAV Direct"",""CRONUS JetCorp USA"",""21"",""1"",""325861"""</f>
        <v>"NAV Direct","CRONUS JetCorp USA","21","1","325861"</v>
      </c>
      <c r="E1185" s="31" t="str">
        <f t="shared" si="347"/>
        <v>C100041</v>
      </c>
      <c r="F1185" s="31"/>
      <c r="G1185" s="31"/>
      <c r="H1185" s="31"/>
      <c r="I1185" s="56"/>
      <c r="J1185" s="56"/>
      <c r="K1185" s="82" t="str">
        <f t="shared" si="348"/>
        <v>Invoice</v>
      </c>
      <c r="L1185" s="83" t="str">
        <f>"SI_110225"</f>
        <v>SI_110225</v>
      </c>
      <c r="M1185" s="84">
        <v>42551</v>
      </c>
      <c r="N1185" s="85">
        <f t="shared" si="349"/>
        <v>1261</v>
      </c>
      <c r="O1185" s="86">
        <f t="shared" si="350"/>
        <v>18224.739999999998</v>
      </c>
      <c r="P1185" s="86">
        <f t="shared" si="351"/>
        <v>0</v>
      </c>
      <c r="Q1185" s="86">
        <f t="shared" si="352"/>
        <v>0</v>
      </c>
      <c r="R1185" s="86">
        <f t="shared" si="353"/>
        <v>0</v>
      </c>
      <c r="S1185" s="86">
        <f t="shared" si="354"/>
        <v>0</v>
      </c>
      <c r="T1185" s="86">
        <f t="shared" si="355"/>
        <v>18224.739999999998</v>
      </c>
      <c r="U1185" s="87">
        <v>18224.739999999998</v>
      </c>
    </row>
    <row r="1186" spans="1:21" s="30" customFormat="1" ht="24.6" hidden="1" outlineLevel="1" x14ac:dyDescent="0.55000000000000004">
      <c r="A1186" s="27" t="s">
        <v>327</v>
      </c>
      <c r="B1186" s="28"/>
      <c r="C1186" s="27"/>
      <c r="D1186" s="27" t="str">
        <f>"""NAV Direct"",""CRONUS JetCorp USA"",""21"",""1"",""325944"""</f>
        <v>"NAV Direct","CRONUS JetCorp USA","21","1","325944"</v>
      </c>
      <c r="E1186" s="31">
        <f t="shared" si="347"/>
        <v>0</v>
      </c>
      <c r="F1186" s="31"/>
      <c r="G1186" s="31"/>
      <c r="H1186" s="31"/>
      <c r="I1186" s="56"/>
      <c r="J1186" s="56"/>
      <c r="K1186" s="82" t="str">
        <f t="shared" si="348"/>
        <v>Invoice</v>
      </c>
      <c r="L1186" s="83" t="str">
        <f>"SI_110228"</f>
        <v>SI_110228</v>
      </c>
      <c r="M1186" s="84">
        <v>42582</v>
      </c>
      <c r="N1186" s="85">
        <f t="shared" si="349"/>
        <v>1230</v>
      </c>
      <c r="O1186" s="86">
        <f t="shared" si="350"/>
        <v>17790.420000000002</v>
      </c>
      <c r="P1186" s="86">
        <f t="shared" si="351"/>
        <v>0</v>
      </c>
      <c r="Q1186" s="86">
        <f t="shared" si="352"/>
        <v>0</v>
      </c>
      <c r="R1186" s="86">
        <f t="shared" si="353"/>
        <v>0</v>
      </c>
      <c r="S1186" s="86">
        <f t="shared" si="354"/>
        <v>0</v>
      </c>
      <c r="T1186" s="86">
        <f t="shared" si="355"/>
        <v>17790.420000000002</v>
      </c>
      <c r="U1186" s="87">
        <v>17790.420000000002</v>
      </c>
    </row>
    <row r="1187" spans="1:21" s="30" customFormat="1" ht="24.6" hidden="1" outlineLevel="1" x14ac:dyDescent="0.55000000000000004">
      <c r="A1187" s="27" t="s">
        <v>327</v>
      </c>
      <c r="B1187" s="28"/>
      <c r="C1187" s="27"/>
      <c r="D1187" s="27" t="str">
        <f>"""NAV Direct"",""CRONUS JetCorp USA"",""21"",""1"",""326083"""</f>
        <v>"NAV Direct","CRONUS JetCorp USA","21","1","326083"</v>
      </c>
      <c r="E1187" s="31" t="str">
        <f t="shared" si="347"/>
        <v>C100041</v>
      </c>
      <c r="F1187" s="31"/>
      <c r="G1187" s="31"/>
      <c r="H1187" s="31"/>
      <c r="I1187" s="56"/>
      <c r="J1187" s="56"/>
      <c r="K1187" s="82" t="str">
        <f t="shared" si="348"/>
        <v>Invoice</v>
      </c>
      <c r="L1187" s="83" t="str">
        <f>"SI_110233"</f>
        <v>SI_110233</v>
      </c>
      <c r="M1187" s="84">
        <v>42674</v>
      </c>
      <c r="N1187" s="85">
        <f t="shared" si="349"/>
        <v>1138</v>
      </c>
      <c r="O1187" s="86">
        <f t="shared" si="350"/>
        <v>18208.73</v>
      </c>
      <c r="P1187" s="86">
        <f t="shared" si="351"/>
        <v>0</v>
      </c>
      <c r="Q1187" s="86">
        <f t="shared" si="352"/>
        <v>0</v>
      </c>
      <c r="R1187" s="86">
        <f t="shared" si="353"/>
        <v>0</v>
      </c>
      <c r="S1187" s="86">
        <f t="shared" si="354"/>
        <v>0</v>
      </c>
      <c r="T1187" s="86">
        <f t="shared" si="355"/>
        <v>18208.73</v>
      </c>
      <c r="U1187" s="87">
        <v>18208.73</v>
      </c>
    </row>
    <row r="1188" spans="1:21" s="30" customFormat="1" ht="24.6" hidden="1" outlineLevel="1" x14ac:dyDescent="0.55000000000000004">
      <c r="A1188" s="27" t="s">
        <v>327</v>
      </c>
      <c r="B1188" s="28"/>
      <c r="C1188" s="27"/>
      <c r="D1188" s="27" t="str">
        <f>"""NAV Direct"",""CRONUS JetCorp USA"",""21"",""1"",""326363"""</f>
        <v>"NAV Direct","CRONUS JetCorp USA","21","1","326363"</v>
      </c>
      <c r="E1188" s="31">
        <f t="shared" si="347"/>
        <v>0</v>
      </c>
      <c r="F1188" s="31"/>
      <c r="G1188" s="31"/>
      <c r="H1188" s="31"/>
      <c r="I1188" s="56"/>
      <c r="J1188" s="56"/>
      <c r="K1188" s="82" t="str">
        <f t="shared" si="348"/>
        <v>Invoice</v>
      </c>
      <c r="L1188" s="83" t="str">
        <f>"SI_110243"</f>
        <v>SI_110243</v>
      </c>
      <c r="M1188" s="84">
        <v>42794</v>
      </c>
      <c r="N1188" s="85">
        <f t="shared" si="349"/>
        <v>1018</v>
      </c>
      <c r="O1188" s="86">
        <f t="shared" si="350"/>
        <v>19688.45</v>
      </c>
      <c r="P1188" s="86">
        <f t="shared" si="351"/>
        <v>0</v>
      </c>
      <c r="Q1188" s="86">
        <f t="shared" si="352"/>
        <v>0</v>
      </c>
      <c r="R1188" s="86">
        <f t="shared" si="353"/>
        <v>0</v>
      </c>
      <c r="S1188" s="86">
        <f t="shared" si="354"/>
        <v>0</v>
      </c>
      <c r="T1188" s="86">
        <f t="shared" si="355"/>
        <v>19688.45</v>
      </c>
      <c r="U1188" s="87">
        <v>19688.45</v>
      </c>
    </row>
    <row r="1189" spans="1:21" s="30" customFormat="1" ht="24.6" hidden="1" outlineLevel="1" x14ac:dyDescent="0.55000000000000004">
      <c r="A1189" s="27" t="s">
        <v>327</v>
      </c>
      <c r="B1189" s="28"/>
      <c r="C1189" s="27"/>
      <c r="D1189" s="27" t="str">
        <f>"""NAV Direct"",""CRONUS JetCorp USA"",""21"",""1"",""326721"""</f>
        <v>"NAV Direct","CRONUS JetCorp USA","21","1","326721"</v>
      </c>
      <c r="E1189" s="31" t="str">
        <f t="shared" si="347"/>
        <v>C100041</v>
      </c>
      <c r="F1189" s="31"/>
      <c r="G1189" s="31"/>
      <c r="H1189" s="31"/>
      <c r="I1189" s="56"/>
      <c r="J1189" s="56"/>
      <c r="K1189" s="82" t="str">
        <f t="shared" si="348"/>
        <v>Invoice</v>
      </c>
      <c r="L1189" s="83" t="str">
        <f>"SI_110255"</f>
        <v>SI_110255</v>
      </c>
      <c r="M1189" s="84">
        <v>42978</v>
      </c>
      <c r="N1189" s="85">
        <f t="shared" si="349"/>
        <v>834</v>
      </c>
      <c r="O1189" s="86">
        <f t="shared" si="350"/>
        <v>18876.2</v>
      </c>
      <c r="P1189" s="86">
        <f t="shared" si="351"/>
        <v>0</v>
      </c>
      <c r="Q1189" s="86">
        <f t="shared" si="352"/>
        <v>0</v>
      </c>
      <c r="R1189" s="86">
        <f t="shared" si="353"/>
        <v>0</v>
      </c>
      <c r="S1189" s="86">
        <f t="shared" si="354"/>
        <v>0</v>
      </c>
      <c r="T1189" s="86">
        <f t="shared" si="355"/>
        <v>18876.2</v>
      </c>
      <c r="U1189" s="87">
        <v>18876.2</v>
      </c>
    </row>
    <row r="1190" spans="1:21" s="30" customFormat="1" ht="24.6" hidden="1" outlineLevel="1" x14ac:dyDescent="0.55000000000000004">
      <c r="A1190" s="27" t="s">
        <v>327</v>
      </c>
      <c r="B1190" s="28"/>
      <c r="C1190" s="27"/>
      <c r="D1190" s="27" t="str">
        <f>"""NAV Direct"",""CRONUS JetCorp USA"",""21"",""1"",""326783"""</f>
        <v>"NAV Direct","CRONUS JetCorp USA","21","1","326783"</v>
      </c>
      <c r="E1190" s="31">
        <f t="shared" si="347"/>
        <v>0</v>
      </c>
      <c r="F1190" s="31"/>
      <c r="G1190" s="31"/>
      <c r="H1190" s="31"/>
      <c r="I1190" s="56"/>
      <c r="J1190" s="56"/>
      <c r="K1190" s="82" t="str">
        <f t="shared" si="348"/>
        <v>Invoice</v>
      </c>
      <c r="L1190" s="83" t="str">
        <f>"SI_110257"</f>
        <v>SI_110257</v>
      </c>
      <c r="M1190" s="84">
        <v>43008</v>
      </c>
      <c r="N1190" s="85">
        <f t="shared" si="349"/>
        <v>804</v>
      </c>
      <c r="O1190" s="86">
        <f t="shared" si="350"/>
        <v>17601.97</v>
      </c>
      <c r="P1190" s="86">
        <f t="shared" si="351"/>
        <v>0</v>
      </c>
      <c r="Q1190" s="86">
        <f t="shared" si="352"/>
        <v>0</v>
      </c>
      <c r="R1190" s="86">
        <f t="shared" si="353"/>
        <v>0</v>
      </c>
      <c r="S1190" s="86">
        <f t="shared" si="354"/>
        <v>0</v>
      </c>
      <c r="T1190" s="86">
        <f t="shared" si="355"/>
        <v>17601.97</v>
      </c>
      <c r="U1190" s="87">
        <v>17601.97</v>
      </c>
    </row>
    <row r="1191" spans="1:21" s="30" customFormat="1" ht="24.6" hidden="1" outlineLevel="1" x14ac:dyDescent="0.55000000000000004">
      <c r="A1191" s="27" t="s">
        <v>327</v>
      </c>
      <c r="B1191" s="28"/>
      <c r="C1191" s="27"/>
      <c r="D1191" s="27" t="str">
        <f>"""NAV Direct"",""CRONUS JetCorp USA"",""21"",""1"",""326978"""</f>
        <v>"NAV Direct","CRONUS JetCorp USA","21","1","326978"</v>
      </c>
      <c r="E1191" s="31" t="str">
        <f t="shared" si="347"/>
        <v>C100041</v>
      </c>
      <c r="F1191" s="31"/>
      <c r="G1191" s="31"/>
      <c r="H1191" s="31"/>
      <c r="I1191" s="56"/>
      <c r="J1191" s="56"/>
      <c r="K1191" s="82" t="str">
        <f t="shared" si="348"/>
        <v>Invoice</v>
      </c>
      <c r="L1191" s="83" t="str">
        <f>"SI_110264"</f>
        <v>SI_110264</v>
      </c>
      <c r="M1191" s="84">
        <v>43100</v>
      </c>
      <c r="N1191" s="85">
        <f t="shared" si="349"/>
        <v>712</v>
      </c>
      <c r="O1191" s="86">
        <f t="shared" si="350"/>
        <v>16172.12</v>
      </c>
      <c r="P1191" s="86">
        <f t="shared" si="351"/>
        <v>0</v>
      </c>
      <c r="Q1191" s="86">
        <f t="shared" si="352"/>
        <v>0</v>
      </c>
      <c r="R1191" s="86">
        <f t="shared" si="353"/>
        <v>0</v>
      </c>
      <c r="S1191" s="86">
        <f t="shared" si="354"/>
        <v>0</v>
      </c>
      <c r="T1191" s="86">
        <f t="shared" si="355"/>
        <v>16172.12</v>
      </c>
      <c r="U1191" s="87">
        <v>16172.12</v>
      </c>
    </row>
    <row r="1192" spans="1:21" s="30" customFormat="1" ht="24.6" hidden="1" outlineLevel="1" x14ac:dyDescent="0.55000000000000004">
      <c r="A1192" s="27" t="s">
        <v>327</v>
      </c>
      <c r="B1192" s="28"/>
      <c r="C1192" s="27"/>
      <c r="D1192" s="27" t="str">
        <f>"""NAV Direct"",""CRONUS JetCorp USA"",""21"",""1"",""327546"""</f>
        <v>"NAV Direct","CRONUS JetCorp USA","21","1","327546"</v>
      </c>
      <c r="E1192" s="31">
        <f t="shared" si="347"/>
        <v>0</v>
      </c>
      <c r="F1192" s="31"/>
      <c r="G1192" s="31"/>
      <c r="H1192" s="31"/>
      <c r="I1192" s="56"/>
      <c r="J1192" s="56"/>
      <c r="K1192" s="82" t="str">
        <f t="shared" si="348"/>
        <v>Invoice</v>
      </c>
      <c r="L1192" s="83" t="str">
        <f>"SI_110286"</f>
        <v>SI_110286</v>
      </c>
      <c r="M1192" s="84">
        <v>43373</v>
      </c>
      <c r="N1192" s="85">
        <f t="shared" si="349"/>
        <v>439</v>
      </c>
      <c r="O1192" s="86">
        <f t="shared" si="350"/>
        <v>13483.44</v>
      </c>
      <c r="P1192" s="86">
        <f t="shared" si="351"/>
        <v>0</v>
      </c>
      <c r="Q1192" s="86">
        <f t="shared" si="352"/>
        <v>0</v>
      </c>
      <c r="R1192" s="86">
        <f t="shared" si="353"/>
        <v>0</v>
      </c>
      <c r="S1192" s="86">
        <f t="shared" si="354"/>
        <v>0</v>
      </c>
      <c r="T1192" s="86">
        <f t="shared" si="355"/>
        <v>13483.44</v>
      </c>
      <c r="U1192" s="87">
        <v>13483.44</v>
      </c>
    </row>
    <row r="1193" spans="1:21" s="30" customFormat="1" ht="24.6" hidden="1" outlineLevel="1" x14ac:dyDescent="0.55000000000000004">
      <c r="A1193" s="27" t="s">
        <v>327</v>
      </c>
      <c r="B1193" s="28"/>
      <c r="C1193" s="27"/>
      <c r="D1193" s="27" t="str">
        <f>"""NAV Direct"",""CRONUS JetCorp USA"",""21"",""1"",""327611"""</f>
        <v>"NAV Direct","CRONUS JetCorp USA","21","1","327611"</v>
      </c>
      <c r="E1193" s="31" t="str">
        <f t="shared" si="347"/>
        <v>C100041</v>
      </c>
      <c r="F1193" s="31"/>
      <c r="G1193" s="31"/>
      <c r="H1193" s="31"/>
      <c r="I1193" s="56"/>
      <c r="J1193" s="56"/>
      <c r="K1193" s="82" t="str">
        <f t="shared" si="348"/>
        <v>Invoice</v>
      </c>
      <c r="L1193" s="83" t="str">
        <f>"SI_110289"</f>
        <v>SI_110289</v>
      </c>
      <c r="M1193" s="84">
        <v>43404</v>
      </c>
      <c r="N1193" s="85">
        <f t="shared" si="349"/>
        <v>408</v>
      </c>
      <c r="O1193" s="86">
        <f t="shared" si="350"/>
        <v>13036.58</v>
      </c>
      <c r="P1193" s="86">
        <f t="shared" si="351"/>
        <v>0</v>
      </c>
      <c r="Q1193" s="86">
        <f t="shared" si="352"/>
        <v>0</v>
      </c>
      <c r="R1193" s="86">
        <f t="shared" si="353"/>
        <v>0</v>
      </c>
      <c r="S1193" s="86">
        <f t="shared" si="354"/>
        <v>0</v>
      </c>
      <c r="T1193" s="86">
        <f t="shared" si="355"/>
        <v>13036.58</v>
      </c>
      <c r="U1193" s="87">
        <v>13036.58</v>
      </c>
    </row>
    <row r="1194" spans="1:21" s="30" customFormat="1" ht="24.6" hidden="1" outlineLevel="1" x14ac:dyDescent="0.55000000000000004">
      <c r="A1194" s="27" t="s">
        <v>327</v>
      </c>
      <c r="B1194" s="28"/>
      <c r="C1194" s="27"/>
      <c r="D1194" s="27" t="str">
        <f>"""NAV Direct"",""CRONUS JetCorp USA"",""21"",""1"",""327755"""</f>
        <v>"NAV Direct","CRONUS JetCorp USA","21","1","327755"</v>
      </c>
      <c r="E1194" s="31">
        <f t="shared" si="347"/>
        <v>0</v>
      </c>
      <c r="F1194" s="31"/>
      <c r="G1194" s="31"/>
      <c r="H1194" s="31"/>
      <c r="I1194" s="56"/>
      <c r="J1194" s="56"/>
      <c r="K1194" s="82" t="str">
        <f t="shared" si="348"/>
        <v>Invoice</v>
      </c>
      <c r="L1194" s="83" t="str">
        <f>"SI_110295"</f>
        <v>SI_110295</v>
      </c>
      <c r="M1194" s="84">
        <v>43465</v>
      </c>
      <c r="N1194" s="85">
        <f t="shared" si="349"/>
        <v>347</v>
      </c>
      <c r="O1194" s="86">
        <f t="shared" si="350"/>
        <v>14002.51</v>
      </c>
      <c r="P1194" s="86">
        <f t="shared" si="351"/>
        <v>0</v>
      </c>
      <c r="Q1194" s="86">
        <f t="shared" si="352"/>
        <v>0</v>
      </c>
      <c r="R1194" s="86">
        <f t="shared" si="353"/>
        <v>0</v>
      </c>
      <c r="S1194" s="86">
        <f t="shared" si="354"/>
        <v>0</v>
      </c>
      <c r="T1194" s="86">
        <f t="shared" si="355"/>
        <v>14002.51</v>
      </c>
      <c r="U1194" s="87">
        <v>14002.51</v>
      </c>
    </row>
    <row r="1195" spans="1:21" s="30" customFormat="1" ht="24.6" hidden="1" outlineLevel="1" x14ac:dyDescent="0.55000000000000004">
      <c r="A1195" s="27" t="s">
        <v>327</v>
      </c>
      <c r="B1195" s="28"/>
      <c r="C1195" s="27"/>
      <c r="D1195" s="27" t="str">
        <f>"""NAV Direct"",""CRONUS JetCorp USA"",""21"",""1"",""327894"""</f>
        <v>"NAV Direct","CRONUS JetCorp USA","21","1","327894"</v>
      </c>
      <c r="E1195" s="31" t="str">
        <f t="shared" si="347"/>
        <v>C100041</v>
      </c>
      <c r="F1195" s="31"/>
      <c r="G1195" s="31"/>
      <c r="H1195" s="31"/>
      <c r="I1195" s="56"/>
      <c r="J1195" s="56"/>
      <c r="K1195" s="82" t="str">
        <f t="shared" si="348"/>
        <v>Invoice</v>
      </c>
      <c r="L1195" s="83" t="str">
        <f>"SI_110300"</f>
        <v>SI_110300</v>
      </c>
      <c r="M1195" s="84">
        <v>43496</v>
      </c>
      <c r="N1195" s="85">
        <f t="shared" si="349"/>
        <v>316</v>
      </c>
      <c r="O1195" s="86">
        <f t="shared" si="350"/>
        <v>13806.220000000001</v>
      </c>
      <c r="P1195" s="86">
        <f t="shared" si="351"/>
        <v>0</v>
      </c>
      <c r="Q1195" s="86">
        <f t="shared" si="352"/>
        <v>0</v>
      </c>
      <c r="R1195" s="86">
        <f t="shared" si="353"/>
        <v>0</v>
      </c>
      <c r="S1195" s="86">
        <f t="shared" si="354"/>
        <v>0</v>
      </c>
      <c r="T1195" s="86">
        <f t="shared" si="355"/>
        <v>13806.220000000001</v>
      </c>
      <c r="U1195" s="87">
        <v>13806.220000000001</v>
      </c>
    </row>
    <row r="1196" spans="1:21" s="30" customFormat="1" ht="24.6" hidden="1" outlineLevel="1" x14ac:dyDescent="0.55000000000000004">
      <c r="A1196" s="27" t="s">
        <v>327</v>
      </c>
      <c r="B1196" s="28"/>
      <c r="C1196" s="27"/>
      <c r="D1196" s="27" t="str">
        <f>"""NAV Direct"",""CRONUS JetCorp USA"",""21"",""1"",""327940"""</f>
        <v>"NAV Direct","CRONUS JetCorp USA","21","1","327940"</v>
      </c>
      <c r="E1196" s="31">
        <f t="shared" si="347"/>
        <v>0</v>
      </c>
      <c r="F1196" s="31"/>
      <c r="G1196" s="31"/>
      <c r="H1196" s="31"/>
      <c r="I1196" s="56"/>
      <c r="J1196" s="56"/>
      <c r="K1196" s="82" t="str">
        <f t="shared" si="348"/>
        <v>Invoice</v>
      </c>
      <c r="L1196" s="83" t="str">
        <f>"SI_110302"</f>
        <v>SI_110302</v>
      </c>
      <c r="M1196" s="84">
        <v>43524</v>
      </c>
      <c r="N1196" s="85">
        <f t="shared" si="349"/>
        <v>288</v>
      </c>
      <c r="O1196" s="86">
        <f t="shared" si="350"/>
        <v>14493.99</v>
      </c>
      <c r="P1196" s="86">
        <f t="shared" si="351"/>
        <v>0</v>
      </c>
      <c r="Q1196" s="86">
        <f t="shared" si="352"/>
        <v>0</v>
      </c>
      <c r="R1196" s="86">
        <f t="shared" si="353"/>
        <v>0</v>
      </c>
      <c r="S1196" s="86">
        <f t="shared" si="354"/>
        <v>0</v>
      </c>
      <c r="T1196" s="86">
        <f t="shared" si="355"/>
        <v>14493.99</v>
      </c>
      <c r="U1196" s="87">
        <v>14493.99</v>
      </c>
    </row>
    <row r="1197" spans="1:21" s="30" customFormat="1" ht="24.6" hidden="1" outlineLevel="1" x14ac:dyDescent="0.55000000000000004">
      <c r="A1197" s="27" t="s">
        <v>327</v>
      </c>
      <c r="B1197" s="28"/>
      <c r="C1197" s="27"/>
      <c r="D1197" s="27" t="str">
        <f>"""NAV Direct"",""CRONUS JetCorp USA"",""21"",""1"",""328228"""</f>
        <v>"NAV Direct","CRONUS JetCorp USA","21","1","328228"</v>
      </c>
      <c r="E1197" s="31" t="str">
        <f t="shared" si="347"/>
        <v>C100041</v>
      </c>
      <c r="F1197" s="31"/>
      <c r="G1197" s="31"/>
      <c r="H1197" s="31"/>
      <c r="I1197" s="56"/>
      <c r="J1197" s="56"/>
      <c r="K1197" s="82" t="str">
        <f t="shared" si="348"/>
        <v>Invoice</v>
      </c>
      <c r="L1197" s="83" t="str">
        <f>"SI_110314"</f>
        <v>SI_110314</v>
      </c>
      <c r="M1197" s="84">
        <v>43616</v>
      </c>
      <c r="N1197" s="85">
        <f t="shared" si="349"/>
        <v>196</v>
      </c>
      <c r="O1197" s="86">
        <f t="shared" si="350"/>
        <v>14910.359999999999</v>
      </c>
      <c r="P1197" s="86">
        <f t="shared" si="351"/>
        <v>0</v>
      </c>
      <c r="Q1197" s="86">
        <f t="shared" si="352"/>
        <v>0</v>
      </c>
      <c r="R1197" s="86">
        <f t="shared" si="353"/>
        <v>0</v>
      </c>
      <c r="S1197" s="86">
        <f t="shared" si="354"/>
        <v>0</v>
      </c>
      <c r="T1197" s="86">
        <f t="shared" si="355"/>
        <v>14910.359999999999</v>
      </c>
      <c r="U1197" s="87">
        <v>14910.359999999999</v>
      </c>
    </row>
    <row r="1198" spans="1:21" s="30" customFormat="1" ht="24.6" hidden="1" outlineLevel="1" x14ac:dyDescent="0.55000000000000004">
      <c r="A1198" s="27" t="s">
        <v>327</v>
      </c>
      <c r="B1198" s="28"/>
      <c r="C1198" s="27"/>
      <c r="D1198" s="27" t="str">
        <f>"""NAV Direct"",""CRONUS JetCorp USA"",""21"",""1"",""328307"""</f>
        <v>"NAV Direct","CRONUS JetCorp USA","21","1","328307"</v>
      </c>
      <c r="E1198" s="31">
        <f t="shared" si="347"/>
        <v>0</v>
      </c>
      <c r="F1198" s="31"/>
      <c r="G1198" s="31"/>
      <c r="H1198" s="31"/>
      <c r="I1198" s="56"/>
      <c r="J1198" s="56"/>
      <c r="K1198" s="82" t="str">
        <f t="shared" si="348"/>
        <v>Invoice</v>
      </c>
      <c r="L1198" s="83" t="str">
        <f>"SI_110317"</f>
        <v>SI_110317</v>
      </c>
      <c r="M1198" s="84">
        <v>43646</v>
      </c>
      <c r="N1198" s="85">
        <f t="shared" si="349"/>
        <v>166</v>
      </c>
      <c r="O1198" s="86">
        <f t="shared" si="350"/>
        <v>16229.4</v>
      </c>
      <c r="P1198" s="86">
        <f t="shared" si="351"/>
        <v>0</v>
      </c>
      <c r="Q1198" s="86">
        <f t="shared" si="352"/>
        <v>0</v>
      </c>
      <c r="R1198" s="86">
        <f t="shared" si="353"/>
        <v>0</v>
      </c>
      <c r="S1198" s="86">
        <f t="shared" si="354"/>
        <v>0</v>
      </c>
      <c r="T1198" s="86">
        <f t="shared" si="355"/>
        <v>16229.4</v>
      </c>
      <c r="U1198" s="87">
        <v>16229.4</v>
      </c>
    </row>
    <row r="1199" spans="1:21" s="30" customFormat="1" ht="24.6" hidden="1" outlineLevel="1" x14ac:dyDescent="0.55000000000000004">
      <c r="A1199" s="27" t="s">
        <v>327</v>
      </c>
      <c r="B1199" s="28"/>
      <c r="C1199" s="27"/>
      <c r="D1199" s="27" t="str">
        <f>"""NAV Direct"",""CRONUS JetCorp USA"",""21"",""1"",""328505"""</f>
        <v>"NAV Direct","CRONUS JetCorp USA","21","1","328505"</v>
      </c>
      <c r="E1199" s="31" t="str">
        <f t="shared" si="347"/>
        <v>C100041</v>
      </c>
      <c r="F1199" s="31"/>
      <c r="G1199" s="31"/>
      <c r="H1199" s="31"/>
      <c r="I1199" s="56"/>
      <c r="J1199" s="56"/>
      <c r="K1199" s="82" t="str">
        <f t="shared" si="348"/>
        <v>Invoice</v>
      </c>
      <c r="L1199" s="83" t="str">
        <f>"SI_110325"</f>
        <v>SI_110325</v>
      </c>
      <c r="M1199" s="84">
        <v>43738</v>
      </c>
      <c r="N1199" s="85">
        <f t="shared" si="349"/>
        <v>74</v>
      </c>
      <c r="O1199" s="86">
        <f t="shared" si="350"/>
        <v>16783.71</v>
      </c>
      <c r="P1199" s="86">
        <f t="shared" si="351"/>
        <v>0</v>
      </c>
      <c r="Q1199" s="86">
        <f t="shared" si="352"/>
        <v>0</v>
      </c>
      <c r="R1199" s="86">
        <f t="shared" si="353"/>
        <v>0</v>
      </c>
      <c r="S1199" s="86">
        <f t="shared" si="354"/>
        <v>16783.71</v>
      </c>
      <c r="T1199" s="86">
        <f t="shared" si="355"/>
        <v>0</v>
      </c>
      <c r="U1199" s="87">
        <v>16783.71</v>
      </c>
    </row>
    <row r="1200" spans="1:21" s="30" customFormat="1" ht="24.6" hidden="1" outlineLevel="1" x14ac:dyDescent="0.55000000000000004">
      <c r="A1200" s="27" t="s">
        <v>327</v>
      </c>
      <c r="B1200" s="28"/>
      <c r="C1200" s="27"/>
      <c r="D1200" s="27" t="str">
        <f>"""NAV Direct"",""CRONUS JetCorp USA"",""21"",""1"",""328702"""</f>
        <v>"NAV Direct","CRONUS JetCorp USA","21","1","328702"</v>
      </c>
      <c r="E1200" s="31">
        <f t="shared" si="347"/>
        <v>0</v>
      </c>
      <c r="F1200" s="31"/>
      <c r="G1200" s="31"/>
      <c r="H1200" s="31"/>
      <c r="I1200" s="56"/>
      <c r="J1200" s="56"/>
      <c r="K1200" s="82" t="str">
        <f t="shared" si="348"/>
        <v>Invoice</v>
      </c>
      <c r="L1200" s="83" t="str">
        <f>"SI_110332"</f>
        <v>SI_110332</v>
      </c>
      <c r="M1200" s="84">
        <v>43799</v>
      </c>
      <c r="N1200" s="85">
        <f t="shared" si="349"/>
        <v>13</v>
      </c>
      <c r="O1200" s="86">
        <f t="shared" si="350"/>
        <v>17288.66</v>
      </c>
      <c r="P1200" s="86">
        <f t="shared" si="351"/>
        <v>0</v>
      </c>
      <c r="Q1200" s="86">
        <f t="shared" si="352"/>
        <v>17288.66</v>
      </c>
      <c r="R1200" s="86">
        <f t="shared" si="353"/>
        <v>0</v>
      </c>
      <c r="S1200" s="86">
        <f t="shared" si="354"/>
        <v>0</v>
      </c>
      <c r="T1200" s="86">
        <f t="shared" si="355"/>
        <v>0</v>
      </c>
      <c r="U1200" s="87">
        <v>17288.66</v>
      </c>
    </row>
    <row r="1201" spans="1:21" s="30" customFormat="1" ht="24.6" hidden="1" outlineLevel="1" x14ac:dyDescent="0.55000000000000004">
      <c r="A1201" s="27" t="s">
        <v>327</v>
      </c>
      <c r="B1201" s="28"/>
      <c r="C1201" s="27"/>
      <c r="D1201" s="27" t="str">
        <f>"""NAV Direct"",""CRONUS JetCorp USA"",""21"",""1"",""328808"""</f>
        <v>"NAV Direct","CRONUS JetCorp USA","21","1","328808"</v>
      </c>
      <c r="E1201" s="31" t="str">
        <f t="shared" si="347"/>
        <v>C100041</v>
      </c>
      <c r="F1201" s="31"/>
      <c r="G1201" s="31"/>
      <c r="H1201" s="31"/>
      <c r="I1201" s="56"/>
      <c r="J1201" s="56"/>
      <c r="K1201" s="82" t="str">
        <f t="shared" si="348"/>
        <v>Invoice</v>
      </c>
      <c r="L1201" s="83" t="str">
        <f>"SI_110336"</f>
        <v>SI_110336</v>
      </c>
      <c r="M1201" s="84">
        <v>43830</v>
      </c>
      <c r="N1201" s="85">
        <f t="shared" si="349"/>
        <v>-18</v>
      </c>
      <c r="O1201" s="86">
        <f t="shared" si="350"/>
        <v>17962.920000000002</v>
      </c>
      <c r="P1201" s="86">
        <f t="shared" si="351"/>
        <v>17962.920000000002</v>
      </c>
      <c r="Q1201" s="86">
        <f t="shared" si="352"/>
        <v>0</v>
      </c>
      <c r="R1201" s="86">
        <f t="shared" si="353"/>
        <v>0</v>
      </c>
      <c r="S1201" s="86">
        <f t="shared" si="354"/>
        <v>0</v>
      </c>
      <c r="T1201" s="86">
        <f t="shared" si="355"/>
        <v>0</v>
      </c>
      <c r="U1201" s="87">
        <v>17962.920000000002</v>
      </c>
    </row>
    <row r="1202" spans="1:21" s="30" customFormat="1" ht="24.6" hidden="1" outlineLevel="1" x14ac:dyDescent="0.55000000000000004">
      <c r="A1202" s="27" t="s">
        <v>327</v>
      </c>
      <c r="B1202" s="28"/>
      <c r="C1202" s="27"/>
      <c r="D1202" s="27" t="str">
        <f>"""NAV Direct"",""CRONUS JetCorp USA"",""21"",""1"",""328939"""</f>
        <v>"NAV Direct","CRONUS JetCorp USA","21","1","328939"</v>
      </c>
      <c r="E1202" s="31">
        <f t="shared" si="347"/>
        <v>0</v>
      </c>
      <c r="F1202" s="31"/>
      <c r="G1202" s="31"/>
      <c r="H1202" s="31"/>
      <c r="I1202" s="56"/>
      <c r="J1202" s="56"/>
      <c r="K1202" s="82" t="str">
        <f t="shared" si="348"/>
        <v>Invoice</v>
      </c>
      <c r="L1202" s="83" t="str">
        <f>"SI_110341"</f>
        <v>SI_110341</v>
      </c>
      <c r="M1202" s="84">
        <v>42035</v>
      </c>
      <c r="N1202" s="85">
        <f t="shared" si="349"/>
        <v>1777</v>
      </c>
      <c r="O1202" s="86">
        <f t="shared" si="350"/>
        <v>18105.870000000003</v>
      </c>
      <c r="P1202" s="86">
        <f t="shared" si="351"/>
        <v>0</v>
      </c>
      <c r="Q1202" s="86">
        <f t="shared" si="352"/>
        <v>0</v>
      </c>
      <c r="R1202" s="86">
        <f t="shared" si="353"/>
        <v>0</v>
      </c>
      <c r="S1202" s="86">
        <f t="shared" si="354"/>
        <v>0</v>
      </c>
      <c r="T1202" s="86">
        <f t="shared" si="355"/>
        <v>18105.870000000003</v>
      </c>
      <c r="U1202" s="87">
        <v>18105.870000000003</v>
      </c>
    </row>
    <row r="1203" spans="1:21" s="30" customFormat="1" ht="24.6" hidden="1" outlineLevel="1" x14ac:dyDescent="0.55000000000000004">
      <c r="A1203" s="27" t="s">
        <v>327</v>
      </c>
      <c r="B1203" s="28"/>
      <c r="C1203" s="27"/>
      <c r="D1203" s="27" t="str">
        <f>"""NAV Direct"",""CRONUS JetCorp USA"",""21"",""1"",""329225"""</f>
        <v>"NAV Direct","CRONUS JetCorp USA","21","1","329225"</v>
      </c>
      <c r="E1203" s="31" t="str">
        <f t="shared" si="347"/>
        <v>C100041</v>
      </c>
      <c r="F1203" s="31"/>
      <c r="G1203" s="31"/>
      <c r="H1203" s="31"/>
      <c r="I1203" s="56"/>
      <c r="J1203" s="56"/>
      <c r="K1203" s="82" t="str">
        <f t="shared" si="348"/>
        <v>Invoice</v>
      </c>
      <c r="L1203" s="83" t="str">
        <f>"SI_110351"</f>
        <v>SI_110351</v>
      </c>
      <c r="M1203" s="84">
        <v>42155</v>
      </c>
      <c r="N1203" s="85">
        <f t="shared" si="349"/>
        <v>1657</v>
      </c>
      <c r="O1203" s="86">
        <f t="shared" si="350"/>
        <v>20097.099999999999</v>
      </c>
      <c r="P1203" s="86">
        <f t="shared" si="351"/>
        <v>0</v>
      </c>
      <c r="Q1203" s="86">
        <f t="shared" si="352"/>
        <v>0</v>
      </c>
      <c r="R1203" s="86">
        <f t="shared" si="353"/>
        <v>0</v>
      </c>
      <c r="S1203" s="86">
        <f t="shared" si="354"/>
        <v>0</v>
      </c>
      <c r="T1203" s="86">
        <f t="shared" si="355"/>
        <v>20097.099999999999</v>
      </c>
      <c r="U1203" s="87">
        <v>20097.099999999999</v>
      </c>
    </row>
    <row r="1204" spans="1:21" s="30" customFormat="1" ht="24.6" hidden="1" outlineLevel="1" x14ac:dyDescent="0.55000000000000004">
      <c r="A1204" s="27" t="s">
        <v>327</v>
      </c>
      <c r="B1204" s="28"/>
      <c r="C1204" s="27"/>
      <c r="D1204" s="27" t="str">
        <f>"""NAV Direct"",""CRONUS JetCorp USA"",""21"",""1"",""329401"""</f>
        <v>"NAV Direct","CRONUS JetCorp USA","21","1","329401"</v>
      </c>
      <c r="E1204" s="31">
        <f t="shared" si="347"/>
        <v>0</v>
      </c>
      <c r="F1204" s="31"/>
      <c r="G1204" s="31"/>
      <c r="H1204" s="31"/>
      <c r="I1204" s="56"/>
      <c r="J1204" s="56"/>
      <c r="K1204" s="82" t="str">
        <f t="shared" si="348"/>
        <v>Invoice</v>
      </c>
      <c r="L1204" s="83" t="str">
        <f>"SI_110357"</f>
        <v>SI_110357</v>
      </c>
      <c r="M1204" s="84">
        <v>42185</v>
      </c>
      <c r="N1204" s="85">
        <f t="shared" si="349"/>
        <v>1627</v>
      </c>
      <c r="O1204" s="86">
        <f t="shared" si="350"/>
        <v>19952.060000000001</v>
      </c>
      <c r="P1204" s="86">
        <f t="shared" si="351"/>
        <v>0</v>
      </c>
      <c r="Q1204" s="86">
        <f t="shared" si="352"/>
        <v>0</v>
      </c>
      <c r="R1204" s="86">
        <f t="shared" si="353"/>
        <v>0</v>
      </c>
      <c r="S1204" s="86">
        <f t="shared" si="354"/>
        <v>0</v>
      </c>
      <c r="T1204" s="86">
        <f t="shared" si="355"/>
        <v>19952.060000000001</v>
      </c>
      <c r="U1204" s="87">
        <v>19952.060000000001</v>
      </c>
    </row>
    <row r="1205" spans="1:21" s="30" customFormat="1" ht="24.6" hidden="1" outlineLevel="1" x14ac:dyDescent="0.55000000000000004">
      <c r="A1205" s="27" t="s">
        <v>327</v>
      </c>
      <c r="B1205" s="28"/>
      <c r="C1205" s="27"/>
      <c r="D1205" s="27" t="str">
        <f>"""NAV Direct"",""CRONUS JetCorp USA"",""21"",""1"",""329565"""</f>
        <v>"NAV Direct","CRONUS JetCorp USA","21","1","329565"</v>
      </c>
      <c r="E1205" s="31" t="str">
        <f t="shared" si="347"/>
        <v>C100041</v>
      </c>
      <c r="F1205" s="31"/>
      <c r="G1205" s="31"/>
      <c r="H1205" s="31"/>
      <c r="I1205" s="56"/>
      <c r="J1205" s="56"/>
      <c r="K1205" s="82" t="str">
        <f t="shared" si="348"/>
        <v>Invoice</v>
      </c>
      <c r="L1205" s="83" t="str">
        <f>"SI_110363"</f>
        <v>SI_110363</v>
      </c>
      <c r="M1205" s="84">
        <v>42247</v>
      </c>
      <c r="N1205" s="85">
        <f t="shared" si="349"/>
        <v>1565</v>
      </c>
      <c r="O1205" s="86">
        <f t="shared" si="350"/>
        <v>19081.530000000002</v>
      </c>
      <c r="P1205" s="86">
        <f t="shared" si="351"/>
        <v>0</v>
      </c>
      <c r="Q1205" s="86">
        <f t="shared" si="352"/>
        <v>0</v>
      </c>
      <c r="R1205" s="86">
        <f t="shared" si="353"/>
        <v>0</v>
      </c>
      <c r="S1205" s="86">
        <f t="shared" si="354"/>
        <v>0</v>
      </c>
      <c r="T1205" s="86">
        <f t="shared" si="355"/>
        <v>19081.530000000002</v>
      </c>
      <c r="U1205" s="87">
        <v>19081.530000000002</v>
      </c>
    </row>
    <row r="1206" spans="1:21" s="30" customFormat="1" ht="24.6" hidden="1" outlineLevel="1" x14ac:dyDescent="0.55000000000000004">
      <c r="A1206" s="27" t="s">
        <v>327</v>
      </c>
      <c r="B1206" s="28"/>
      <c r="C1206" s="27"/>
      <c r="D1206" s="27" t="str">
        <f>"""NAV Direct"",""CRONUS JetCorp USA"",""21"",""1"",""329816"""</f>
        <v>"NAV Direct","CRONUS JetCorp USA","21","1","329816"</v>
      </c>
      <c r="E1206" s="31">
        <f t="shared" si="347"/>
        <v>0</v>
      </c>
      <c r="F1206" s="31"/>
      <c r="G1206" s="31"/>
      <c r="H1206" s="31"/>
      <c r="I1206" s="56"/>
      <c r="J1206" s="56"/>
      <c r="K1206" s="82" t="str">
        <f t="shared" si="348"/>
        <v>Invoice</v>
      </c>
      <c r="L1206" s="83" t="str">
        <f>"SI_110371"</f>
        <v>SI_110371</v>
      </c>
      <c r="M1206" s="84">
        <v>42338</v>
      </c>
      <c r="N1206" s="85">
        <f t="shared" si="349"/>
        <v>1474</v>
      </c>
      <c r="O1206" s="86">
        <f t="shared" si="350"/>
        <v>19203.25</v>
      </c>
      <c r="P1206" s="86">
        <f t="shared" si="351"/>
        <v>0</v>
      </c>
      <c r="Q1206" s="86">
        <f t="shared" si="352"/>
        <v>0</v>
      </c>
      <c r="R1206" s="86">
        <f t="shared" si="353"/>
        <v>0</v>
      </c>
      <c r="S1206" s="86">
        <f t="shared" si="354"/>
        <v>0</v>
      </c>
      <c r="T1206" s="86">
        <f t="shared" si="355"/>
        <v>19203.25</v>
      </c>
      <c r="U1206" s="87">
        <v>19203.25</v>
      </c>
    </row>
    <row r="1207" spans="1:21" s="30" customFormat="1" ht="24.6" hidden="1" outlineLevel="1" x14ac:dyDescent="0.55000000000000004">
      <c r="A1207" s="27" t="s">
        <v>327</v>
      </c>
      <c r="B1207" s="28"/>
      <c r="C1207" s="27"/>
      <c r="D1207" s="27" t="str">
        <f>"""NAV Direct"",""CRONUS JetCorp USA"",""21"",""1"",""432131"""</f>
        <v>"NAV Direct","CRONUS JetCorp USA","21","1","432131"</v>
      </c>
      <c r="E1207" s="31" t="str">
        <f t="shared" si="347"/>
        <v>C100041</v>
      </c>
      <c r="F1207" s="31"/>
      <c r="G1207" s="31"/>
      <c r="H1207" s="31"/>
      <c r="I1207" s="56"/>
      <c r="J1207" s="56"/>
      <c r="K1207" s="82" t="str">
        <f t="shared" ref="K1207:K1214" si="356">"Credit Memo"</f>
        <v>Credit Memo</v>
      </c>
      <c r="L1207" s="83" t="str">
        <f>"SC_100398"</f>
        <v>SC_100398</v>
      </c>
      <c r="M1207" s="84">
        <v>42842</v>
      </c>
      <c r="N1207" s="85">
        <f t="shared" si="349"/>
        <v>970</v>
      </c>
      <c r="O1207" s="86">
        <f t="shared" si="350"/>
        <v>-204.32</v>
      </c>
      <c r="P1207" s="86">
        <f t="shared" si="351"/>
        <v>0</v>
      </c>
      <c r="Q1207" s="86">
        <f t="shared" si="352"/>
        <v>0</v>
      </c>
      <c r="R1207" s="86">
        <f t="shared" si="353"/>
        <v>0</v>
      </c>
      <c r="S1207" s="86">
        <f t="shared" si="354"/>
        <v>0</v>
      </c>
      <c r="T1207" s="86">
        <f t="shared" si="355"/>
        <v>-204.32</v>
      </c>
      <c r="U1207" s="87">
        <v>-204.32</v>
      </c>
    </row>
    <row r="1208" spans="1:21" s="30" customFormat="1" ht="24.6" hidden="1" outlineLevel="1" x14ac:dyDescent="0.55000000000000004">
      <c r="A1208" s="27" t="s">
        <v>327</v>
      </c>
      <c r="B1208" s="28"/>
      <c r="C1208" s="27"/>
      <c r="D1208" s="27" t="str">
        <f>"""NAV Direct"",""CRONUS JetCorp USA"",""21"",""1"",""432191"""</f>
        <v>"NAV Direct","CRONUS JetCorp USA","21","1","432191"</v>
      </c>
      <c r="E1208" s="31">
        <f t="shared" si="347"/>
        <v>0</v>
      </c>
      <c r="F1208" s="31"/>
      <c r="G1208" s="31"/>
      <c r="H1208" s="31"/>
      <c r="I1208" s="56"/>
      <c r="J1208" s="56"/>
      <c r="K1208" s="82" t="str">
        <f t="shared" si="356"/>
        <v>Credit Memo</v>
      </c>
      <c r="L1208" s="83" t="str">
        <f>"SC_100402"</f>
        <v>SC_100402</v>
      </c>
      <c r="M1208" s="84">
        <v>42953</v>
      </c>
      <c r="N1208" s="85">
        <f t="shared" si="349"/>
        <v>859</v>
      </c>
      <c r="O1208" s="86">
        <f t="shared" si="350"/>
        <v>-183.07</v>
      </c>
      <c r="P1208" s="86">
        <f t="shared" si="351"/>
        <v>0</v>
      </c>
      <c r="Q1208" s="86">
        <f t="shared" si="352"/>
        <v>0</v>
      </c>
      <c r="R1208" s="86">
        <f t="shared" si="353"/>
        <v>0</v>
      </c>
      <c r="S1208" s="86">
        <f t="shared" si="354"/>
        <v>0</v>
      </c>
      <c r="T1208" s="86">
        <f t="shared" si="355"/>
        <v>-183.07</v>
      </c>
      <c r="U1208" s="87">
        <v>-183.07</v>
      </c>
    </row>
    <row r="1209" spans="1:21" s="30" customFormat="1" ht="24.6" hidden="1" outlineLevel="1" x14ac:dyDescent="0.55000000000000004">
      <c r="A1209" s="27" t="s">
        <v>327</v>
      </c>
      <c r="B1209" s="28"/>
      <c r="C1209" s="27"/>
      <c r="D1209" s="27" t="str">
        <f>"""NAV Direct"",""CRONUS JetCorp USA"",""21"",""1"",""432357"""</f>
        <v>"NAV Direct","CRONUS JetCorp USA","21","1","432357"</v>
      </c>
      <c r="E1209" s="31" t="str">
        <f t="shared" si="347"/>
        <v>C100041</v>
      </c>
      <c r="F1209" s="31"/>
      <c r="G1209" s="31"/>
      <c r="H1209" s="31"/>
      <c r="I1209" s="56"/>
      <c r="J1209" s="56"/>
      <c r="K1209" s="82" t="str">
        <f t="shared" si="356"/>
        <v>Credit Memo</v>
      </c>
      <c r="L1209" s="83" t="str">
        <f>"SC_100412"</f>
        <v>SC_100412</v>
      </c>
      <c r="M1209" s="84">
        <v>43196</v>
      </c>
      <c r="N1209" s="85">
        <f t="shared" si="349"/>
        <v>616</v>
      </c>
      <c r="O1209" s="86">
        <f t="shared" si="350"/>
        <v>-147.01000000000002</v>
      </c>
      <c r="P1209" s="86">
        <f t="shared" si="351"/>
        <v>0</v>
      </c>
      <c r="Q1209" s="86">
        <f t="shared" si="352"/>
        <v>0</v>
      </c>
      <c r="R1209" s="86">
        <f t="shared" si="353"/>
        <v>0</v>
      </c>
      <c r="S1209" s="86">
        <f t="shared" si="354"/>
        <v>0</v>
      </c>
      <c r="T1209" s="86">
        <f t="shared" si="355"/>
        <v>-147.01000000000002</v>
      </c>
      <c r="U1209" s="87">
        <v>-147.01000000000002</v>
      </c>
    </row>
    <row r="1210" spans="1:21" s="30" customFormat="1" ht="24.6" hidden="1" outlineLevel="1" x14ac:dyDescent="0.55000000000000004">
      <c r="A1210" s="27" t="s">
        <v>327</v>
      </c>
      <c r="B1210" s="28"/>
      <c r="C1210" s="27"/>
      <c r="D1210" s="27" t="str">
        <f>"""NAV Direct"",""CRONUS JetCorp USA"",""21"",""1"",""432467"""</f>
        <v>"NAV Direct","CRONUS JetCorp USA","21","1","432467"</v>
      </c>
      <c r="E1210" s="31">
        <f t="shared" si="347"/>
        <v>0</v>
      </c>
      <c r="F1210" s="31"/>
      <c r="G1210" s="31"/>
      <c r="H1210" s="31"/>
      <c r="I1210" s="56"/>
      <c r="J1210" s="56"/>
      <c r="K1210" s="82" t="str">
        <f t="shared" si="356"/>
        <v>Credit Memo</v>
      </c>
      <c r="L1210" s="83" t="str">
        <f>"SC_100419"</f>
        <v>SC_100419</v>
      </c>
      <c r="M1210" s="84">
        <v>43410</v>
      </c>
      <c r="N1210" s="85">
        <f t="shared" si="349"/>
        <v>402</v>
      </c>
      <c r="O1210" s="86">
        <f t="shared" si="350"/>
        <v>-130.35</v>
      </c>
      <c r="P1210" s="86">
        <f t="shared" si="351"/>
        <v>0</v>
      </c>
      <c r="Q1210" s="86">
        <f t="shared" si="352"/>
        <v>0</v>
      </c>
      <c r="R1210" s="86">
        <f t="shared" si="353"/>
        <v>0</v>
      </c>
      <c r="S1210" s="86">
        <f t="shared" si="354"/>
        <v>0</v>
      </c>
      <c r="T1210" s="86">
        <f t="shared" si="355"/>
        <v>-130.35</v>
      </c>
      <c r="U1210" s="87">
        <v>-130.35</v>
      </c>
    </row>
    <row r="1211" spans="1:21" s="30" customFormat="1" ht="24.6" hidden="1" outlineLevel="1" x14ac:dyDescent="0.55000000000000004">
      <c r="A1211" s="27" t="s">
        <v>327</v>
      </c>
      <c r="B1211" s="28"/>
      <c r="C1211" s="27"/>
      <c r="D1211" s="27" t="str">
        <f>"""NAV Direct"",""CRONUS JetCorp USA"",""21"",""1"",""432541"""</f>
        <v>"NAV Direct","CRONUS JetCorp USA","21","1","432541"</v>
      </c>
      <c r="E1211" s="31" t="str">
        <f t="shared" si="347"/>
        <v>C100041</v>
      </c>
      <c r="F1211" s="31"/>
      <c r="G1211" s="31"/>
      <c r="H1211" s="31"/>
      <c r="I1211" s="56"/>
      <c r="J1211" s="56"/>
      <c r="K1211" s="82" t="str">
        <f t="shared" si="356"/>
        <v>Credit Memo</v>
      </c>
      <c r="L1211" s="83" t="str">
        <f>"SC_100423"</f>
        <v>SC_100423</v>
      </c>
      <c r="M1211" s="84">
        <v>43624</v>
      </c>
      <c r="N1211" s="85">
        <f t="shared" si="349"/>
        <v>188</v>
      </c>
      <c r="O1211" s="86">
        <f t="shared" si="350"/>
        <v>-161.32</v>
      </c>
      <c r="P1211" s="86">
        <f t="shared" si="351"/>
        <v>0</v>
      </c>
      <c r="Q1211" s="86">
        <f t="shared" si="352"/>
        <v>0</v>
      </c>
      <c r="R1211" s="86">
        <f t="shared" si="353"/>
        <v>0</v>
      </c>
      <c r="S1211" s="86">
        <f t="shared" si="354"/>
        <v>0</v>
      </c>
      <c r="T1211" s="86">
        <f t="shared" si="355"/>
        <v>-161.32</v>
      </c>
      <c r="U1211" s="87">
        <v>-161.32</v>
      </c>
    </row>
    <row r="1212" spans="1:21" s="30" customFormat="1" ht="24.6" hidden="1" outlineLevel="1" x14ac:dyDescent="0.55000000000000004">
      <c r="A1212" s="27" t="s">
        <v>327</v>
      </c>
      <c r="B1212" s="28"/>
      <c r="C1212" s="27"/>
      <c r="D1212" s="27" t="str">
        <f>"""NAV Direct"",""CRONUS JetCorp USA"",""21"",""1"",""432652"""</f>
        <v>"NAV Direct","CRONUS JetCorp USA","21","1","432652"</v>
      </c>
      <c r="E1212" s="31">
        <f t="shared" si="347"/>
        <v>0</v>
      </c>
      <c r="F1212" s="31"/>
      <c r="G1212" s="31"/>
      <c r="H1212" s="31"/>
      <c r="I1212" s="56"/>
      <c r="J1212" s="56"/>
      <c r="K1212" s="82" t="str">
        <f t="shared" si="356"/>
        <v>Credit Memo</v>
      </c>
      <c r="L1212" s="83" t="str">
        <f>"SC_100430"</f>
        <v>SC_100430</v>
      </c>
      <c r="M1212" s="84">
        <v>42076</v>
      </c>
      <c r="N1212" s="85">
        <f t="shared" si="349"/>
        <v>1736</v>
      </c>
      <c r="O1212" s="86">
        <f t="shared" si="350"/>
        <v>-190.18</v>
      </c>
      <c r="P1212" s="86">
        <f t="shared" si="351"/>
        <v>0</v>
      </c>
      <c r="Q1212" s="86">
        <f t="shared" si="352"/>
        <v>0</v>
      </c>
      <c r="R1212" s="86">
        <f t="shared" si="353"/>
        <v>0</v>
      </c>
      <c r="S1212" s="86">
        <f t="shared" si="354"/>
        <v>0</v>
      </c>
      <c r="T1212" s="86">
        <f t="shared" si="355"/>
        <v>-190.18</v>
      </c>
      <c r="U1212" s="87">
        <v>-190.18</v>
      </c>
    </row>
    <row r="1213" spans="1:21" s="30" customFormat="1" ht="24.6" hidden="1" outlineLevel="1" x14ac:dyDescent="0.55000000000000004">
      <c r="A1213" s="27" t="s">
        <v>327</v>
      </c>
      <c r="B1213" s="28"/>
      <c r="C1213" s="27"/>
      <c r="D1213" s="27" t="str">
        <f>"""NAV Direct"",""CRONUS JetCorp USA"",""21"",""1"",""432727"""</f>
        <v>"NAV Direct","CRONUS JetCorp USA","21","1","432727"</v>
      </c>
      <c r="E1213" s="31" t="str">
        <f t="shared" si="347"/>
        <v>C100041</v>
      </c>
      <c r="F1213" s="31"/>
      <c r="G1213" s="31"/>
      <c r="H1213" s="31"/>
      <c r="I1213" s="56"/>
      <c r="J1213" s="56"/>
      <c r="K1213" s="82" t="str">
        <f t="shared" si="356"/>
        <v>Credit Memo</v>
      </c>
      <c r="L1213" s="83" t="str">
        <f>"SC_100435"</f>
        <v>SC_100435</v>
      </c>
      <c r="M1213" s="84">
        <v>42291</v>
      </c>
      <c r="N1213" s="85">
        <f t="shared" si="349"/>
        <v>1521</v>
      </c>
      <c r="O1213" s="86">
        <f t="shared" si="350"/>
        <v>-186.25</v>
      </c>
      <c r="P1213" s="86">
        <f t="shared" si="351"/>
        <v>0</v>
      </c>
      <c r="Q1213" s="86">
        <f t="shared" si="352"/>
        <v>0</v>
      </c>
      <c r="R1213" s="86">
        <f t="shared" si="353"/>
        <v>0</v>
      </c>
      <c r="S1213" s="86">
        <f t="shared" si="354"/>
        <v>0</v>
      </c>
      <c r="T1213" s="86">
        <f t="shared" si="355"/>
        <v>-186.25</v>
      </c>
      <c r="U1213" s="87">
        <v>-186.25</v>
      </c>
    </row>
    <row r="1214" spans="1:21" s="30" customFormat="1" ht="24.6" hidden="1" outlineLevel="1" x14ac:dyDescent="0.55000000000000004">
      <c r="A1214" s="27" t="s">
        <v>327</v>
      </c>
      <c r="B1214" s="28"/>
      <c r="C1214" s="27"/>
      <c r="D1214" s="27" t="str">
        <f>"""NAV Direct"",""CRONUS JetCorp USA"",""21"",""1"",""432747"""</f>
        <v>"NAV Direct","CRONUS JetCorp USA","21","1","432747"</v>
      </c>
      <c r="E1214" s="31">
        <f t="shared" si="347"/>
        <v>0</v>
      </c>
      <c r="F1214" s="31"/>
      <c r="G1214" s="31"/>
      <c r="H1214" s="31"/>
      <c r="I1214" s="56"/>
      <c r="J1214" s="56"/>
      <c r="K1214" s="82" t="str">
        <f t="shared" si="356"/>
        <v>Credit Memo</v>
      </c>
      <c r="L1214" s="83" t="str">
        <f>"SC_100437"</f>
        <v>SC_100437</v>
      </c>
      <c r="M1214" s="84">
        <v>42321</v>
      </c>
      <c r="N1214" s="85">
        <f t="shared" si="349"/>
        <v>1491</v>
      </c>
      <c r="O1214" s="86">
        <f t="shared" si="350"/>
        <v>-195.69000000000003</v>
      </c>
      <c r="P1214" s="86">
        <f t="shared" si="351"/>
        <v>0</v>
      </c>
      <c r="Q1214" s="86">
        <f t="shared" si="352"/>
        <v>0</v>
      </c>
      <c r="R1214" s="86">
        <f t="shared" si="353"/>
        <v>0</v>
      </c>
      <c r="S1214" s="86">
        <f t="shared" si="354"/>
        <v>0</v>
      </c>
      <c r="T1214" s="86">
        <f t="shared" si="355"/>
        <v>-195.69000000000003</v>
      </c>
      <c r="U1214" s="87">
        <v>-195.69000000000003</v>
      </c>
    </row>
    <row r="1215" spans="1:21" s="22" customFormat="1" ht="20.399999999999999" collapsed="1" x14ac:dyDescent="0.45">
      <c r="A1215" s="12" t="s">
        <v>327</v>
      </c>
      <c r="B1215" s="19"/>
      <c r="C1215" s="12"/>
      <c r="D1215" s="12"/>
      <c r="E1215" s="23"/>
      <c r="F1215" s="23"/>
      <c r="G1215" s="23"/>
      <c r="H1215" s="23"/>
      <c r="I1215" s="49"/>
      <c r="J1215" s="88"/>
      <c r="K1215" s="88"/>
      <c r="L1215" s="89"/>
      <c r="M1215" s="89"/>
      <c r="N1215" s="89"/>
      <c r="O1215" s="89"/>
      <c r="P1215" s="89"/>
      <c r="Q1215" s="90"/>
      <c r="R1215" s="90"/>
      <c r="S1215" s="91"/>
      <c r="T1215" s="92"/>
      <c r="U1215" s="92"/>
    </row>
    <row r="1216" spans="1:21" s="22" customFormat="1" ht="20.399999999999999" x14ac:dyDescent="0.45">
      <c r="A1216" s="12" t="s">
        <v>327</v>
      </c>
      <c r="B1216" s="19"/>
      <c r="C1216" s="12"/>
      <c r="D1216" s="12"/>
      <c r="E1216" s="23"/>
      <c r="F1216" s="23"/>
      <c r="G1216" s="23"/>
      <c r="H1216" s="23"/>
      <c r="I1216" s="49"/>
      <c r="J1216" s="88"/>
      <c r="K1216" s="88"/>
      <c r="L1216" s="89"/>
      <c r="M1216" s="89"/>
      <c r="N1216" s="89"/>
      <c r="O1216" s="89"/>
      <c r="P1216" s="89"/>
      <c r="Q1216" s="90"/>
      <c r="R1216" s="90"/>
      <c r="S1216" s="91"/>
      <c r="T1216" s="92"/>
      <c r="U1216" s="92"/>
    </row>
    <row r="1217" spans="1:22" s="26" customFormat="1" ht="24.6" x14ac:dyDescent="0.55000000000000004">
      <c r="A1217" s="27" t="s">
        <v>327</v>
      </c>
      <c r="B1217" s="28"/>
      <c r="C1217" s="27" t="str">
        <f>"""NAV Direct"",""CRONUS JetCorp USA"",""18"",""1"",""C100042"""</f>
        <v>"NAV Direct","CRONUS JetCorp USA","18","1","C100042"</v>
      </c>
      <c r="D1217" s="27"/>
      <c r="E1217" s="28" t="str">
        <f>H1217</f>
        <v>C100042</v>
      </c>
      <c r="F1217" s="28"/>
      <c r="G1217" s="28"/>
      <c r="H1217" s="28" t="str">
        <f>"C100042"</f>
        <v>C100042</v>
      </c>
      <c r="I1217" s="116" t="str">
        <f>"C100042  -  Helguera industrial"</f>
        <v>C100042  -  Helguera industrial</v>
      </c>
      <c r="J1217" s="117" t="str">
        <f>""</f>
        <v/>
      </c>
      <c r="K1217" s="118"/>
      <c r="L1217" s="119">
        <f>SUBTOTAL(3,L1218:L1252)</f>
        <v>31</v>
      </c>
      <c r="M1217" s="118"/>
      <c r="N1217" s="118"/>
      <c r="O1217" s="120">
        <f t="shared" ref="O1217:T1217" si="357">SUBTOTAL(9,O1218:O1252)</f>
        <v>154162.18000000002</v>
      </c>
      <c r="P1217" s="120">
        <f t="shared" si="357"/>
        <v>-68.11</v>
      </c>
      <c r="Q1217" s="120">
        <f t="shared" si="357"/>
        <v>0</v>
      </c>
      <c r="R1217" s="120">
        <f t="shared" si="357"/>
        <v>-65.41</v>
      </c>
      <c r="S1217" s="120">
        <f t="shared" si="357"/>
        <v>0</v>
      </c>
      <c r="T1217" s="120">
        <f t="shared" si="357"/>
        <v>154295.70000000001</v>
      </c>
      <c r="U1217" s="81"/>
    </row>
    <row r="1218" spans="1:22" s="26" customFormat="1" ht="24.6" x14ac:dyDescent="0.55000000000000004">
      <c r="A1218" s="27" t="s">
        <v>327</v>
      </c>
      <c r="B1218" s="28"/>
      <c r="C1218" s="27" t="str">
        <f>C1217</f>
        <v>"NAV Direct","CRONUS JetCorp USA","18","1","C100042"</v>
      </c>
      <c r="D1218" s="27"/>
      <c r="E1218" s="28" t="str">
        <f>E1217</f>
        <v>C100042</v>
      </c>
      <c r="F1218" s="28"/>
      <c r="G1218" s="28"/>
      <c r="H1218" s="28"/>
      <c r="I1218" s="121" t="str">
        <f>"Contact: Sr. Ramon Garcia Noblejas"</f>
        <v>Contact: Sr. Ramon Garcia Noblejas</v>
      </c>
      <c r="J1218" s="121"/>
      <c r="K1218" s="122"/>
      <c r="L1218" s="123"/>
      <c r="M1218" s="123"/>
      <c r="N1218" s="124"/>
      <c r="O1218" s="124"/>
      <c r="P1218" s="123"/>
      <c r="Q1218" s="125"/>
      <c r="R1218" s="126"/>
      <c r="S1218" s="126"/>
      <c r="T1218" s="125"/>
      <c r="U1218" s="81"/>
    </row>
    <row r="1219" spans="1:22" s="26" customFormat="1" ht="24.6" x14ac:dyDescent="0.55000000000000004">
      <c r="A1219" s="27" t="s">
        <v>327</v>
      </c>
      <c r="B1219" s="28"/>
      <c r="C1219" s="27" t="str">
        <f>C1218</f>
        <v>"NAV Direct","CRONUS JetCorp USA","18","1","C100042"</v>
      </c>
      <c r="D1219" s="27"/>
      <c r="E1219" s="28" t="str">
        <f>E1218</f>
        <v>C100042</v>
      </c>
      <c r="F1219" s="28"/>
      <c r="G1219" s="28"/>
      <c r="H1219" s="28"/>
      <c r="I1219" s="121" t="str">
        <f>"helguera.industrial@cronuscorp.net"</f>
        <v>helguera.industrial@cronuscorp.net</v>
      </c>
      <c r="J1219" s="121"/>
      <c r="K1219" s="122"/>
      <c r="L1219" s="124"/>
      <c r="M1219" s="124"/>
      <c r="N1219" s="124"/>
      <c r="O1219" s="124"/>
      <c r="P1219" s="123"/>
      <c r="Q1219" s="125"/>
      <c r="R1219" s="126"/>
      <c r="S1219" s="126"/>
      <c r="T1219" s="125"/>
      <c r="U1219" s="81"/>
    </row>
    <row r="1220" spans="1:22" ht="12.75" hidden="1" customHeight="1" outlineLevel="1" x14ac:dyDescent="0.45">
      <c r="A1220" s="12" t="s">
        <v>328</v>
      </c>
      <c r="B1220" s="19"/>
      <c r="E1220" s="19"/>
      <c r="F1220" s="19"/>
      <c r="G1220" s="19"/>
      <c r="H1220" s="19"/>
      <c r="I1220" s="61"/>
      <c r="J1220" s="61"/>
      <c r="K1220" s="61"/>
      <c r="L1220" s="61"/>
      <c r="M1220" s="61"/>
      <c r="N1220" s="61"/>
      <c r="O1220" s="61"/>
      <c r="P1220" s="61"/>
      <c r="Q1220" s="61"/>
      <c r="R1220" s="61"/>
      <c r="S1220" s="61"/>
      <c r="T1220" s="61"/>
      <c r="U1220" s="61"/>
      <c r="V1220" s="21"/>
    </row>
    <row r="1221" spans="1:22" s="30" customFormat="1" ht="24.6" hidden="1" outlineLevel="1" x14ac:dyDescent="0.55000000000000004">
      <c r="A1221" s="27" t="s">
        <v>327</v>
      </c>
      <c r="B1221" s="28"/>
      <c r="C1221" s="27"/>
      <c r="D1221" s="27" t="str">
        <f>"""NAV Direct"",""CRONUS JetCorp USA"",""21"",""1"",""41220"""</f>
        <v>"NAV Direct","CRONUS JetCorp USA","21","1","41220"</v>
      </c>
      <c r="E1221" s="31" t="str">
        <f t="shared" ref="E1221:E1251" si="358">E1219</f>
        <v>C100042</v>
      </c>
      <c r="F1221" s="31"/>
      <c r="G1221" s="31"/>
      <c r="H1221" s="31"/>
      <c r="I1221" s="56"/>
      <c r="J1221" s="56"/>
      <c r="K1221" s="82" t="str">
        <f t="shared" ref="K1221:K1244" si="359">"Invoice"</f>
        <v>Invoice</v>
      </c>
      <c r="L1221" s="83" t="str">
        <f>"SI_104914"</f>
        <v>SI_104914</v>
      </c>
      <c r="M1221" s="84">
        <v>42024</v>
      </c>
      <c r="N1221" s="85">
        <f t="shared" ref="N1221:N1251" si="360">StartDate-$M1221+1</f>
        <v>1788</v>
      </c>
      <c r="O1221" s="86">
        <f t="shared" ref="O1221:O1251" si="361">SUM(P1221:T1221)</f>
        <v>6835.920000000001</v>
      </c>
      <c r="P1221" s="86">
        <f t="shared" ref="P1221:P1251" si="362">IF($M1221&gt;=$P$18,U1221,0)</f>
        <v>0</v>
      </c>
      <c r="Q1221" s="86">
        <f t="shared" ref="Q1221:Q1251" si="363">IF(AND($M1221&gt;=$Q$16,$M1221&lt;=$Q$18),U1221,0)</f>
        <v>0</v>
      </c>
      <c r="R1221" s="86">
        <f t="shared" ref="R1221:R1251" si="364">IF(AND($M1221&gt;=$R$16,$M1221&lt;=$R$18),U1221,0)</f>
        <v>0</v>
      </c>
      <c r="S1221" s="86">
        <f t="shared" ref="S1221:S1251" si="365">IF(AND($M1221&gt;=$S$16,$M1221&lt;=$S$18),U1221,0)</f>
        <v>0</v>
      </c>
      <c r="T1221" s="86">
        <f t="shared" ref="T1221:T1251" si="366">IF($M1221&lt;=$T$18,U1221,0)</f>
        <v>6835.920000000001</v>
      </c>
      <c r="U1221" s="87">
        <v>6835.920000000001</v>
      </c>
    </row>
    <row r="1222" spans="1:22" s="30" customFormat="1" ht="24.6" hidden="1" outlineLevel="1" x14ac:dyDescent="0.55000000000000004">
      <c r="A1222" s="27" t="s">
        <v>327</v>
      </c>
      <c r="B1222" s="28"/>
      <c r="C1222" s="27"/>
      <c r="D1222" s="27" t="str">
        <f>"""NAV Direct"",""CRONUS JetCorp USA"",""21"",""1"",""41315"""</f>
        <v>"NAV Direct","CRONUS JetCorp USA","21","1","41315"</v>
      </c>
      <c r="E1222" s="31">
        <f t="shared" si="358"/>
        <v>0</v>
      </c>
      <c r="F1222" s="31"/>
      <c r="G1222" s="31"/>
      <c r="H1222" s="31"/>
      <c r="I1222" s="56"/>
      <c r="J1222" s="56"/>
      <c r="K1222" s="82" t="str">
        <f t="shared" si="359"/>
        <v>Invoice</v>
      </c>
      <c r="L1222" s="83" t="str">
        <f>"SI_104919"</f>
        <v>SI_104919</v>
      </c>
      <c r="M1222" s="84">
        <v>42075</v>
      </c>
      <c r="N1222" s="85">
        <f t="shared" si="360"/>
        <v>1737</v>
      </c>
      <c r="O1222" s="86">
        <f t="shared" si="361"/>
        <v>7040.62</v>
      </c>
      <c r="P1222" s="86">
        <f t="shared" si="362"/>
        <v>0</v>
      </c>
      <c r="Q1222" s="86">
        <f t="shared" si="363"/>
        <v>0</v>
      </c>
      <c r="R1222" s="86">
        <f t="shared" si="364"/>
        <v>0</v>
      </c>
      <c r="S1222" s="86">
        <f t="shared" si="365"/>
        <v>0</v>
      </c>
      <c r="T1222" s="86">
        <f t="shared" si="366"/>
        <v>7040.62</v>
      </c>
      <c r="U1222" s="87">
        <v>7040.62</v>
      </c>
    </row>
    <row r="1223" spans="1:22" s="30" customFormat="1" ht="24.6" hidden="1" outlineLevel="1" x14ac:dyDescent="0.55000000000000004">
      <c r="A1223" s="27" t="s">
        <v>327</v>
      </c>
      <c r="B1223" s="28"/>
      <c r="C1223" s="27"/>
      <c r="D1223" s="27" t="str">
        <f>"""NAV Direct"",""CRONUS JetCorp USA"",""21"",""1"",""41705"""</f>
        <v>"NAV Direct","CRONUS JetCorp USA","21","1","41705"</v>
      </c>
      <c r="E1223" s="31" t="str">
        <f t="shared" si="358"/>
        <v>C100042</v>
      </c>
      <c r="F1223" s="31"/>
      <c r="G1223" s="31"/>
      <c r="H1223" s="31"/>
      <c r="I1223" s="56"/>
      <c r="J1223" s="56"/>
      <c r="K1223" s="82" t="str">
        <f t="shared" si="359"/>
        <v>Invoice</v>
      </c>
      <c r="L1223" s="83" t="str">
        <f>"SI_104937"</f>
        <v>SI_104937</v>
      </c>
      <c r="M1223" s="84">
        <v>42255</v>
      </c>
      <c r="N1223" s="85">
        <f t="shared" si="360"/>
        <v>1557</v>
      </c>
      <c r="O1223" s="86">
        <f t="shared" si="361"/>
        <v>7985.38</v>
      </c>
      <c r="P1223" s="86">
        <f t="shared" si="362"/>
        <v>0</v>
      </c>
      <c r="Q1223" s="86">
        <f t="shared" si="363"/>
        <v>0</v>
      </c>
      <c r="R1223" s="86">
        <f t="shared" si="364"/>
        <v>0</v>
      </c>
      <c r="S1223" s="86">
        <f t="shared" si="365"/>
        <v>0</v>
      </c>
      <c r="T1223" s="86">
        <f t="shared" si="366"/>
        <v>7985.38</v>
      </c>
      <c r="U1223" s="87">
        <v>7985.38</v>
      </c>
    </row>
    <row r="1224" spans="1:22" s="30" customFormat="1" ht="24.6" hidden="1" outlineLevel="1" x14ac:dyDescent="0.55000000000000004">
      <c r="A1224" s="27" t="s">
        <v>327</v>
      </c>
      <c r="B1224" s="28"/>
      <c r="C1224" s="27"/>
      <c r="D1224" s="27" t="str">
        <f>"""NAV Direct"",""CRONUS JetCorp USA"",""21"",""1"",""41916"""</f>
        <v>"NAV Direct","CRONUS JetCorp USA","21","1","41916"</v>
      </c>
      <c r="E1224" s="31">
        <f t="shared" si="358"/>
        <v>0</v>
      </c>
      <c r="F1224" s="31"/>
      <c r="G1224" s="31"/>
      <c r="H1224" s="31"/>
      <c r="I1224" s="56"/>
      <c r="J1224" s="56"/>
      <c r="K1224" s="82" t="str">
        <f t="shared" si="359"/>
        <v>Invoice</v>
      </c>
      <c r="L1224" s="83" t="str">
        <f>"SI_104946"</f>
        <v>SI_104946</v>
      </c>
      <c r="M1224" s="84">
        <v>42347</v>
      </c>
      <c r="N1224" s="85">
        <f t="shared" si="360"/>
        <v>1465</v>
      </c>
      <c r="O1224" s="86">
        <f t="shared" si="361"/>
        <v>8640.24</v>
      </c>
      <c r="P1224" s="86">
        <f t="shared" si="362"/>
        <v>0</v>
      </c>
      <c r="Q1224" s="86">
        <f t="shared" si="363"/>
        <v>0</v>
      </c>
      <c r="R1224" s="86">
        <f t="shared" si="364"/>
        <v>0</v>
      </c>
      <c r="S1224" s="86">
        <f t="shared" si="365"/>
        <v>0</v>
      </c>
      <c r="T1224" s="86">
        <f t="shared" si="366"/>
        <v>8640.24</v>
      </c>
      <c r="U1224" s="87">
        <v>8640.24</v>
      </c>
    </row>
    <row r="1225" spans="1:22" s="30" customFormat="1" ht="24.6" hidden="1" outlineLevel="1" x14ac:dyDescent="0.55000000000000004">
      <c r="A1225" s="27" t="s">
        <v>327</v>
      </c>
      <c r="B1225" s="28"/>
      <c r="C1225" s="27"/>
      <c r="D1225" s="27" t="str">
        <f>"""NAV Direct"",""CRONUS JetCorp USA"",""21"",""1"",""332475"""</f>
        <v>"NAV Direct","CRONUS JetCorp USA","21","1","332475"</v>
      </c>
      <c r="E1225" s="31" t="str">
        <f t="shared" si="358"/>
        <v>C100042</v>
      </c>
      <c r="F1225" s="31"/>
      <c r="G1225" s="31"/>
      <c r="H1225" s="31"/>
      <c r="I1225" s="56"/>
      <c r="J1225" s="56"/>
      <c r="K1225" s="82" t="str">
        <f t="shared" si="359"/>
        <v>Invoice</v>
      </c>
      <c r="L1225" s="83" t="str">
        <f>"SI_110479"</f>
        <v>SI_110479</v>
      </c>
      <c r="M1225" s="84">
        <v>42482</v>
      </c>
      <c r="N1225" s="85">
        <f t="shared" si="360"/>
        <v>1330</v>
      </c>
      <c r="O1225" s="86">
        <f t="shared" si="361"/>
        <v>5968.01</v>
      </c>
      <c r="P1225" s="86">
        <f t="shared" si="362"/>
        <v>0</v>
      </c>
      <c r="Q1225" s="86">
        <f t="shared" si="363"/>
        <v>0</v>
      </c>
      <c r="R1225" s="86">
        <f t="shared" si="364"/>
        <v>0</v>
      </c>
      <c r="S1225" s="86">
        <f t="shared" si="365"/>
        <v>0</v>
      </c>
      <c r="T1225" s="86">
        <f t="shared" si="366"/>
        <v>5968.01</v>
      </c>
      <c r="U1225" s="87">
        <v>5968.01</v>
      </c>
    </row>
    <row r="1226" spans="1:22" s="30" customFormat="1" ht="24.6" hidden="1" outlineLevel="1" x14ac:dyDescent="0.55000000000000004">
      <c r="A1226" s="27" t="s">
        <v>327</v>
      </c>
      <c r="B1226" s="28"/>
      <c r="C1226" s="27"/>
      <c r="D1226" s="27" t="str">
        <f>"""NAV Direct"",""CRONUS JetCorp USA"",""21"",""1"",""332517"""</f>
        <v>"NAV Direct","CRONUS JetCorp USA","21","1","332517"</v>
      </c>
      <c r="E1226" s="31">
        <f t="shared" si="358"/>
        <v>0</v>
      </c>
      <c r="F1226" s="31"/>
      <c r="G1226" s="31"/>
      <c r="H1226" s="31"/>
      <c r="I1226" s="56"/>
      <c r="J1226" s="56"/>
      <c r="K1226" s="82" t="str">
        <f t="shared" si="359"/>
        <v>Invoice</v>
      </c>
      <c r="L1226" s="83" t="str">
        <f>"SI_110481"</f>
        <v>SI_110481</v>
      </c>
      <c r="M1226" s="84">
        <v>42507</v>
      </c>
      <c r="N1226" s="85">
        <f t="shared" si="360"/>
        <v>1305</v>
      </c>
      <c r="O1226" s="86">
        <f t="shared" si="361"/>
        <v>6022.39</v>
      </c>
      <c r="P1226" s="86">
        <f t="shared" si="362"/>
        <v>0</v>
      </c>
      <c r="Q1226" s="86">
        <f t="shared" si="363"/>
        <v>0</v>
      </c>
      <c r="R1226" s="86">
        <f t="shared" si="364"/>
        <v>0</v>
      </c>
      <c r="S1226" s="86">
        <f t="shared" si="365"/>
        <v>0</v>
      </c>
      <c r="T1226" s="86">
        <f t="shared" si="366"/>
        <v>6022.39</v>
      </c>
      <c r="U1226" s="87">
        <v>6022.39</v>
      </c>
    </row>
    <row r="1227" spans="1:22" s="30" customFormat="1" ht="24.6" hidden="1" outlineLevel="1" x14ac:dyDescent="0.55000000000000004">
      <c r="A1227" s="27" t="s">
        <v>327</v>
      </c>
      <c r="B1227" s="28"/>
      <c r="C1227" s="27"/>
      <c r="D1227" s="27" t="str">
        <f>"""NAV Direct"",""CRONUS JetCorp USA"",""21"",""1"",""332538"""</f>
        <v>"NAV Direct","CRONUS JetCorp USA","21","1","332538"</v>
      </c>
      <c r="E1227" s="31" t="str">
        <f t="shared" si="358"/>
        <v>C100042</v>
      </c>
      <c r="F1227" s="31"/>
      <c r="G1227" s="31"/>
      <c r="H1227" s="31"/>
      <c r="I1227" s="56"/>
      <c r="J1227" s="56"/>
      <c r="K1227" s="82" t="str">
        <f t="shared" si="359"/>
        <v>Invoice</v>
      </c>
      <c r="L1227" s="83" t="str">
        <f>"SI_110482"</f>
        <v>SI_110482</v>
      </c>
      <c r="M1227" s="84">
        <v>42510</v>
      </c>
      <c r="N1227" s="85">
        <f t="shared" si="360"/>
        <v>1302</v>
      </c>
      <c r="O1227" s="86">
        <f t="shared" si="361"/>
        <v>6021.04</v>
      </c>
      <c r="P1227" s="86">
        <f t="shared" si="362"/>
        <v>0</v>
      </c>
      <c r="Q1227" s="86">
        <f t="shared" si="363"/>
        <v>0</v>
      </c>
      <c r="R1227" s="86">
        <f t="shared" si="364"/>
        <v>0</v>
      </c>
      <c r="S1227" s="86">
        <f t="shared" si="365"/>
        <v>0</v>
      </c>
      <c r="T1227" s="86">
        <f t="shared" si="366"/>
        <v>6021.04</v>
      </c>
      <c r="U1227" s="87">
        <v>6021.04</v>
      </c>
    </row>
    <row r="1228" spans="1:22" s="30" customFormat="1" ht="24.6" hidden="1" outlineLevel="1" x14ac:dyDescent="0.55000000000000004">
      <c r="A1228" s="27" t="s">
        <v>327</v>
      </c>
      <c r="B1228" s="28"/>
      <c r="C1228" s="27"/>
      <c r="D1228" s="27" t="str">
        <f>"""NAV Direct"",""CRONUS JetCorp USA"",""21"",""1"",""332586"""</f>
        <v>"NAV Direct","CRONUS JetCorp USA","21","1","332586"</v>
      </c>
      <c r="E1228" s="31">
        <f t="shared" si="358"/>
        <v>0</v>
      </c>
      <c r="F1228" s="31"/>
      <c r="G1228" s="31"/>
      <c r="H1228" s="31"/>
      <c r="I1228" s="56"/>
      <c r="J1228" s="56"/>
      <c r="K1228" s="82" t="str">
        <f t="shared" si="359"/>
        <v>Invoice</v>
      </c>
      <c r="L1228" s="83" t="str">
        <f>"SI_110484"</f>
        <v>SI_110484</v>
      </c>
      <c r="M1228" s="84">
        <v>42569</v>
      </c>
      <c r="N1228" s="85">
        <f t="shared" si="360"/>
        <v>1243</v>
      </c>
      <c r="O1228" s="86">
        <f t="shared" si="361"/>
        <v>5753.94</v>
      </c>
      <c r="P1228" s="86">
        <f t="shared" si="362"/>
        <v>0</v>
      </c>
      <c r="Q1228" s="86">
        <f t="shared" si="363"/>
        <v>0</v>
      </c>
      <c r="R1228" s="86">
        <f t="shared" si="364"/>
        <v>0</v>
      </c>
      <c r="S1228" s="86">
        <f t="shared" si="365"/>
        <v>0</v>
      </c>
      <c r="T1228" s="86">
        <f t="shared" si="366"/>
        <v>5753.94</v>
      </c>
      <c r="U1228" s="87">
        <v>5753.94</v>
      </c>
    </row>
    <row r="1229" spans="1:22" s="30" customFormat="1" ht="24.6" hidden="1" outlineLevel="1" x14ac:dyDescent="0.55000000000000004">
      <c r="A1229" s="27" t="s">
        <v>327</v>
      </c>
      <c r="B1229" s="28"/>
      <c r="C1229" s="27"/>
      <c r="D1229" s="27" t="str">
        <f>"""NAV Direct"",""CRONUS JetCorp USA"",""21"",""1"",""332741"""</f>
        <v>"NAV Direct","CRONUS JetCorp USA","21","1","332741"</v>
      </c>
      <c r="E1229" s="31" t="str">
        <f t="shared" si="358"/>
        <v>C100042</v>
      </c>
      <c r="F1229" s="31"/>
      <c r="G1229" s="31"/>
      <c r="H1229" s="31"/>
      <c r="I1229" s="56"/>
      <c r="J1229" s="56"/>
      <c r="K1229" s="82" t="str">
        <f t="shared" si="359"/>
        <v>Invoice</v>
      </c>
      <c r="L1229" s="83" t="str">
        <f>"SI_110491"</f>
        <v>SI_110491</v>
      </c>
      <c r="M1229" s="84">
        <v>42696</v>
      </c>
      <c r="N1229" s="85">
        <f t="shared" si="360"/>
        <v>1116</v>
      </c>
      <c r="O1229" s="86">
        <f t="shared" si="361"/>
        <v>6283.1399999999994</v>
      </c>
      <c r="P1229" s="86">
        <f t="shared" si="362"/>
        <v>0</v>
      </c>
      <c r="Q1229" s="86">
        <f t="shared" si="363"/>
        <v>0</v>
      </c>
      <c r="R1229" s="86">
        <f t="shared" si="364"/>
        <v>0</v>
      </c>
      <c r="S1229" s="86">
        <f t="shared" si="365"/>
        <v>0</v>
      </c>
      <c r="T1229" s="86">
        <f t="shared" si="366"/>
        <v>6283.1399999999994</v>
      </c>
      <c r="U1229" s="87">
        <v>6283.1399999999994</v>
      </c>
    </row>
    <row r="1230" spans="1:22" s="30" customFormat="1" ht="24.6" hidden="1" outlineLevel="1" x14ac:dyDescent="0.55000000000000004">
      <c r="A1230" s="27" t="s">
        <v>327</v>
      </c>
      <c r="B1230" s="28"/>
      <c r="C1230" s="27"/>
      <c r="D1230" s="27" t="str">
        <f>"""NAV Direct"",""CRONUS JetCorp USA"",""21"",""1"",""332835"""</f>
        <v>"NAV Direct","CRONUS JetCorp USA","21","1","332835"</v>
      </c>
      <c r="E1230" s="31">
        <f t="shared" si="358"/>
        <v>0</v>
      </c>
      <c r="F1230" s="31"/>
      <c r="G1230" s="31"/>
      <c r="H1230" s="31"/>
      <c r="I1230" s="56"/>
      <c r="J1230" s="56"/>
      <c r="K1230" s="82" t="str">
        <f t="shared" si="359"/>
        <v>Invoice</v>
      </c>
      <c r="L1230" s="83" t="str">
        <f>"SI_110495"</f>
        <v>SI_110495</v>
      </c>
      <c r="M1230" s="84">
        <v>42741</v>
      </c>
      <c r="N1230" s="85">
        <f t="shared" si="360"/>
        <v>1071</v>
      </c>
      <c r="O1230" s="86">
        <f t="shared" si="361"/>
        <v>6163.2699999999995</v>
      </c>
      <c r="P1230" s="86">
        <f t="shared" si="362"/>
        <v>0</v>
      </c>
      <c r="Q1230" s="86">
        <f t="shared" si="363"/>
        <v>0</v>
      </c>
      <c r="R1230" s="86">
        <f t="shared" si="364"/>
        <v>0</v>
      </c>
      <c r="S1230" s="86">
        <f t="shared" si="365"/>
        <v>0</v>
      </c>
      <c r="T1230" s="86">
        <f t="shared" si="366"/>
        <v>6163.2699999999995</v>
      </c>
      <c r="U1230" s="87">
        <v>6163.2699999999995</v>
      </c>
    </row>
    <row r="1231" spans="1:22" s="30" customFormat="1" ht="24.6" hidden="1" outlineLevel="1" x14ac:dyDescent="0.55000000000000004">
      <c r="A1231" s="27" t="s">
        <v>327</v>
      </c>
      <c r="B1231" s="28"/>
      <c r="C1231" s="27"/>
      <c r="D1231" s="27" t="str">
        <f>"""NAV Direct"",""CRONUS JetCorp USA"",""21"",""1"",""333021"""</f>
        <v>"NAV Direct","CRONUS JetCorp USA","21","1","333021"</v>
      </c>
      <c r="E1231" s="31" t="str">
        <f t="shared" si="358"/>
        <v>C100042</v>
      </c>
      <c r="F1231" s="31"/>
      <c r="G1231" s="31"/>
      <c r="H1231" s="31"/>
      <c r="I1231" s="56"/>
      <c r="J1231" s="56"/>
      <c r="K1231" s="82" t="str">
        <f t="shared" si="359"/>
        <v>Invoice</v>
      </c>
      <c r="L1231" s="83" t="str">
        <f>"SI_110503"</f>
        <v>SI_110503</v>
      </c>
      <c r="M1231" s="84">
        <v>42897</v>
      </c>
      <c r="N1231" s="85">
        <f t="shared" si="360"/>
        <v>915</v>
      </c>
      <c r="O1231" s="86">
        <f t="shared" si="361"/>
        <v>6446.07</v>
      </c>
      <c r="P1231" s="86">
        <f t="shared" si="362"/>
        <v>0</v>
      </c>
      <c r="Q1231" s="86">
        <f t="shared" si="363"/>
        <v>0</v>
      </c>
      <c r="R1231" s="86">
        <f t="shared" si="364"/>
        <v>0</v>
      </c>
      <c r="S1231" s="86">
        <f t="shared" si="365"/>
        <v>0</v>
      </c>
      <c r="T1231" s="86">
        <f t="shared" si="366"/>
        <v>6446.07</v>
      </c>
      <c r="U1231" s="87">
        <v>6446.07</v>
      </c>
    </row>
    <row r="1232" spans="1:22" s="30" customFormat="1" ht="24.6" hidden="1" outlineLevel="1" x14ac:dyDescent="0.55000000000000004">
      <c r="A1232" s="27" t="s">
        <v>327</v>
      </c>
      <c r="B1232" s="28"/>
      <c r="C1232" s="27"/>
      <c r="D1232" s="27" t="str">
        <f>"""NAV Direct"",""CRONUS JetCorp USA"",""21"",""1"",""333234"""</f>
        <v>"NAV Direct","CRONUS JetCorp USA","21","1","333234"</v>
      </c>
      <c r="E1232" s="31">
        <f t="shared" si="358"/>
        <v>0</v>
      </c>
      <c r="F1232" s="31"/>
      <c r="G1232" s="31"/>
      <c r="H1232" s="31"/>
      <c r="I1232" s="56"/>
      <c r="J1232" s="56"/>
      <c r="K1232" s="82" t="str">
        <f t="shared" si="359"/>
        <v>Invoice</v>
      </c>
      <c r="L1232" s="83" t="str">
        <f>"SI_110512"</f>
        <v>SI_110512</v>
      </c>
      <c r="M1232" s="84">
        <v>43052</v>
      </c>
      <c r="N1232" s="85">
        <f t="shared" si="360"/>
        <v>760</v>
      </c>
      <c r="O1232" s="86">
        <f t="shared" si="361"/>
        <v>4885.3600000000006</v>
      </c>
      <c r="P1232" s="86">
        <f t="shared" si="362"/>
        <v>0</v>
      </c>
      <c r="Q1232" s="86">
        <f t="shared" si="363"/>
        <v>0</v>
      </c>
      <c r="R1232" s="86">
        <f t="shared" si="364"/>
        <v>0</v>
      </c>
      <c r="S1232" s="86">
        <f t="shared" si="365"/>
        <v>0</v>
      </c>
      <c r="T1232" s="86">
        <f t="shared" si="366"/>
        <v>4885.3600000000006</v>
      </c>
      <c r="U1232" s="87">
        <v>4885.3600000000006</v>
      </c>
    </row>
    <row r="1233" spans="1:21" s="30" customFormat="1" ht="24.6" hidden="1" outlineLevel="1" x14ac:dyDescent="0.55000000000000004">
      <c r="A1233" s="27" t="s">
        <v>327</v>
      </c>
      <c r="B1233" s="28"/>
      <c r="C1233" s="27"/>
      <c r="D1233" s="27" t="str">
        <f>"""NAV Direct"",""CRONUS JetCorp USA"",""21"",""1"",""333337"""</f>
        <v>"NAV Direct","CRONUS JetCorp USA","21","1","333337"</v>
      </c>
      <c r="E1233" s="31" t="str">
        <f t="shared" si="358"/>
        <v>C100042</v>
      </c>
      <c r="F1233" s="31"/>
      <c r="G1233" s="31"/>
      <c r="H1233" s="31"/>
      <c r="I1233" s="56"/>
      <c r="J1233" s="56"/>
      <c r="K1233" s="82" t="str">
        <f t="shared" si="359"/>
        <v>Invoice</v>
      </c>
      <c r="L1233" s="83" t="str">
        <f>"SI_110517"</f>
        <v>SI_110517</v>
      </c>
      <c r="M1233" s="84">
        <v>43143</v>
      </c>
      <c r="N1233" s="85">
        <f t="shared" si="360"/>
        <v>669</v>
      </c>
      <c r="O1233" s="86">
        <f t="shared" si="361"/>
        <v>4840.3599999999997</v>
      </c>
      <c r="P1233" s="86">
        <f t="shared" si="362"/>
        <v>0</v>
      </c>
      <c r="Q1233" s="86">
        <f t="shared" si="363"/>
        <v>0</v>
      </c>
      <c r="R1233" s="86">
        <f t="shared" si="364"/>
        <v>0</v>
      </c>
      <c r="S1233" s="86">
        <f t="shared" si="365"/>
        <v>0</v>
      </c>
      <c r="T1233" s="86">
        <f t="shared" si="366"/>
        <v>4840.3599999999997</v>
      </c>
      <c r="U1233" s="87">
        <v>4840.3599999999997</v>
      </c>
    </row>
    <row r="1234" spans="1:21" s="30" customFormat="1" ht="24.6" hidden="1" outlineLevel="1" x14ac:dyDescent="0.55000000000000004">
      <c r="A1234" s="27" t="s">
        <v>327</v>
      </c>
      <c r="B1234" s="28"/>
      <c r="C1234" s="27"/>
      <c r="D1234" s="27" t="str">
        <f>"""NAV Direct"",""CRONUS JetCorp USA"",""21"",""1"",""333373"""</f>
        <v>"NAV Direct","CRONUS JetCorp USA","21","1","333373"</v>
      </c>
      <c r="E1234" s="31">
        <f t="shared" si="358"/>
        <v>0</v>
      </c>
      <c r="F1234" s="31"/>
      <c r="G1234" s="31"/>
      <c r="H1234" s="31"/>
      <c r="I1234" s="56"/>
      <c r="J1234" s="56"/>
      <c r="K1234" s="82" t="str">
        <f t="shared" si="359"/>
        <v>Invoice</v>
      </c>
      <c r="L1234" s="83" t="str">
        <f>"SI_110519"</f>
        <v>SI_110519</v>
      </c>
      <c r="M1234" s="84">
        <v>43160</v>
      </c>
      <c r="N1234" s="85">
        <f t="shared" si="360"/>
        <v>652</v>
      </c>
      <c r="O1234" s="86">
        <f t="shared" si="361"/>
        <v>4539.8499999999995</v>
      </c>
      <c r="P1234" s="86">
        <f t="shared" si="362"/>
        <v>0</v>
      </c>
      <c r="Q1234" s="86">
        <f t="shared" si="363"/>
        <v>0</v>
      </c>
      <c r="R1234" s="86">
        <f t="shared" si="364"/>
        <v>0</v>
      </c>
      <c r="S1234" s="86">
        <f t="shared" si="365"/>
        <v>0</v>
      </c>
      <c r="T1234" s="86">
        <f t="shared" si="366"/>
        <v>4539.8499999999995</v>
      </c>
      <c r="U1234" s="87">
        <v>4539.8499999999995</v>
      </c>
    </row>
    <row r="1235" spans="1:21" s="30" customFormat="1" ht="24.6" hidden="1" outlineLevel="1" x14ac:dyDescent="0.55000000000000004">
      <c r="A1235" s="27" t="s">
        <v>327</v>
      </c>
      <c r="B1235" s="28"/>
      <c r="C1235" s="27"/>
      <c r="D1235" s="27" t="str">
        <f>"""NAV Direct"",""CRONUS JetCorp USA"",""21"",""1"",""333522"""</f>
        <v>"NAV Direct","CRONUS JetCorp USA","21","1","333522"</v>
      </c>
      <c r="E1235" s="31" t="str">
        <f t="shared" si="358"/>
        <v>C100042</v>
      </c>
      <c r="F1235" s="31"/>
      <c r="G1235" s="31"/>
      <c r="H1235" s="31"/>
      <c r="I1235" s="56"/>
      <c r="J1235" s="56"/>
      <c r="K1235" s="82" t="str">
        <f t="shared" si="359"/>
        <v>Invoice</v>
      </c>
      <c r="L1235" s="83" t="str">
        <f>"SI_110526"</f>
        <v>SI_110526</v>
      </c>
      <c r="M1235" s="84">
        <v>43356</v>
      </c>
      <c r="N1235" s="85">
        <f t="shared" si="360"/>
        <v>456</v>
      </c>
      <c r="O1235" s="86">
        <f t="shared" si="361"/>
        <v>4736.45</v>
      </c>
      <c r="P1235" s="86">
        <f t="shared" si="362"/>
        <v>0</v>
      </c>
      <c r="Q1235" s="86">
        <f t="shared" si="363"/>
        <v>0</v>
      </c>
      <c r="R1235" s="86">
        <f t="shared" si="364"/>
        <v>0</v>
      </c>
      <c r="S1235" s="86">
        <f t="shared" si="365"/>
        <v>0</v>
      </c>
      <c r="T1235" s="86">
        <f t="shared" si="366"/>
        <v>4736.45</v>
      </c>
      <c r="U1235" s="87">
        <v>4736.45</v>
      </c>
    </row>
    <row r="1236" spans="1:21" s="30" customFormat="1" ht="24.6" hidden="1" outlineLevel="1" x14ac:dyDescent="0.55000000000000004">
      <c r="A1236" s="27" t="s">
        <v>327</v>
      </c>
      <c r="B1236" s="28"/>
      <c r="C1236" s="27"/>
      <c r="D1236" s="27" t="str">
        <f>"""NAV Direct"",""CRONUS JetCorp USA"",""21"",""1"",""333635"""</f>
        <v>"NAV Direct","CRONUS JetCorp USA","21","1","333635"</v>
      </c>
      <c r="E1236" s="31">
        <f t="shared" si="358"/>
        <v>0</v>
      </c>
      <c r="F1236" s="31"/>
      <c r="G1236" s="31"/>
      <c r="H1236" s="31"/>
      <c r="I1236" s="56"/>
      <c r="J1236" s="56"/>
      <c r="K1236" s="82" t="str">
        <f t="shared" si="359"/>
        <v>Invoice</v>
      </c>
      <c r="L1236" s="83" t="str">
        <f>"SI_110531"</f>
        <v>SI_110531</v>
      </c>
      <c r="M1236" s="84">
        <v>43485</v>
      </c>
      <c r="N1236" s="85">
        <f t="shared" si="360"/>
        <v>327</v>
      </c>
      <c r="O1236" s="86">
        <f t="shared" si="361"/>
        <v>5414.5199999999995</v>
      </c>
      <c r="P1236" s="86">
        <f t="shared" si="362"/>
        <v>0</v>
      </c>
      <c r="Q1236" s="86">
        <f t="shared" si="363"/>
        <v>0</v>
      </c>
      <c r="R1236" s="86">
        <f t="shared" si="364"/>
        <v>0</v>
      </c>
      <c r="S1236" s="86">
        <f t="shared" si="365"/>
        <v>0</v>
      </c>
      <c r="T1236" s="86">
        <f t="shared" si="366"/>
        <v>5414.5199999999995</v>
      </c>
      <c r="U1236" s="87">
        <v>5414.5199999999995</v>
      </c>
    </row>
    <row r="1237" spans="1:21" s="30" customFormat="1" ht="24.6" hidden="1" outlineLevel="1" x14ac:dyDescent="0.55000000000000004">
      <c r="A1237" s="27" t="s">
        <v>327</v>
      </c>
      <c r="B1237" s="28"/>
      <c r="C1237" s="27"/>
      <c r="D1237" s="27" t="str">
        <f>"""NAV Direct"",""CRONUS JetCorp USA"",""21"",""1"",""333805"""</f>
        <v>"NAV Direct","CRONUS JetCorp USA","21","1","333805"</v>
      </c>
      <c r="E1237" s="31" t="str">
        <f t="shared" si="358"/>
        <v>C100042</v>
      </c>
      <c r="F1237" s="31"/>
      <c r="G1237" s="31"/>
      <c r="H1237" s="31"/>
      <c r="I1237" s="56"/>
      <c r="J1237" s="56"/>
      <c r="K1237" s="82" t="str">
        <f t="shared" si="359"/>
        <v>Invoice</v>
      </c>
      <c r="L1237" s="83" t="str">
        <f>"SI_110539"</f>
        <v>SI_110539</v>
      </c>
      <c r="M1237" s="84">
        <v>43558</v>
      </c>
      <c r="N1237" s="85">
        <f t="shared" si="360"/>
        <v>254</v>
      </c>
      <c r="O1237" s="86">
        <f t="shared" si="361"/>
        <v>5637.63</v>
      </c>
      <c r="P1237" s="86">
        <f t="shared" si="362"/>
        <v>0</v>
      </c>
      <c r="Q1237" s="86">
        <f t="shared" si="363"/>
        <v>0</v>
      </c>
      <c r="R1237" s="86">
        <f t="shared" si="364"/>
        <v>0</v>
      </c>
      <c r="S1237" s="86">
        <f t="shared" si="365"/>
        <v>0</v>
      </c>
      <c r="T1237" s="86">
        <f t="shared" si="366"/>
        <v>5637.63</v>
      </c>
      <c r="U1237" s="87">
        <v>5637.63</v>
      </c>
    </row>
    <row r="1238" spans="1:21" s="30" customFormat="1" ht="24.6" hidden="1" outlineLevel="1" x14ac:dyDescent="0.55000000000000004">
      <c r="A1238" s="27" t="s">
        <v>327</v>
      </c>
      <c r="B1238" s="28"/>
      <c r="C1238" s="27"/>
      <c r="D1238" s="27" t="str">
        <f>"""NAV Direct"",""CRONUS JetCorp USA"",""21"",""1"",""333965"""</f>
        <v>"NAV Direct","CRONUS JetCorp USA","21","1","333965"</v>
      </c>
      <c r="E1238" s="31">
        <f t="shared" si="358"/>
        <v>0</v>
      </c>
      <c r="F1238" s="31"/>
      <c r="G1238" s="31"/>
      <c r="H1238" s="31"/>
      <c r="I1238" s="56"/>
      <c r="J1238" s="56"/>
      <c r="K1238" s="82" t="str">
        <f t="shared" si="359"/>
        <v>Invoice</v>
      </c>
      <c r="L1238" s="83" t="str">
        <f>"SI_110547"</f>
        <v>SI_110547</v>
      </c>
      <c r="M1238" s="84">
        <v>43719</v>
      </c>
      <c r="N1238" s="85">
        <f t="shared" si="360"/>
        <v>93</v>
      </c>
      <c r="O1238" s="86">
        <f t="shared" si="361"/>
        <v>6199.13</v>
      </c>
      <c r="P1238" s="86">
        <f t="shared" si="362"/>
        <v>0</v>
      </c>
      <c r="Q1238" s="86">
        <f t="shared" si="363"/>
        <v>0</v>
      </c>
      <c r="R1238" s="86">
        <f t="shared" si="364"/>
        <v>0</v>
      </c>
      <c r="S1238" s="86">
        <f t="shared" si="365"/>
        <v>0</v>
      </c>
      <c r="T1238" s="86">
        <f t="shared" si="366"/>
        <v>6199.13</v>
      </c>
      <c r="U1238" s="87">
        <v>6199.13</v>
      </c>
    </row>
    <row r="1239" spans="1:21" s="30" customFormat="1" ht="24.6" hidden="1" outlineLevel="1" x14ac:dyDescent="0.55000000000000004">
      <c r="A1239" s="27" t="s">
        <v>327</v>
      </c>
      <c r="B1239" s="28"/>
      <c r="C1239" s="27"/>
      <c r="D1239" s="27" t="str">
        <f>"""NAV Direct"",""CRONUS JetCorp USA"",""21"",""1"",""334175"""</f>
        <v>"NAV Direct","CRONUS JetCorp USA","21","1","334175"</v>
      </c>
      <c r="E1239" s="31" t="str">
        <f t="shared" si="358"/>
        <v>C100042</v>
      </c>
      <c r="F1239" s="31"/>
      <c r="G1239" s="31"/>
      <c r="H1239" s="31"/>
      <c r="I1239" s="56"/>
      <c r="J1239" s="56"/>
      <c r="K1239" s="82" t="str">
        <f t="shared" si="359"/>
        <v>Invoice</v>
      </c>
      <c r="L1239" s="83" t="str">
        <f>"SI_110557"</f>
        <v>SI_110557</v>
      </c>
      <c r="M1239" s="84">
        <v>42010</v>
      </c>
      <c r="N1239" s="85">
        <f t="shared" si="360"/>
        <v>1802</v>
      </c>
      <c r="O1239" s="86">
        <f t="shared" si="361"/>
        <v>6835.4800000000005</v>
      </c>
      <c r="P1239" s="86">
        <f t="shared" si="362"/>
        <v>0</v>
      </c>
      <c r="Q1239" s="86">
        <f t="shared" si="363"/>
        <v>0</v>
      </c>
      <c r="R1239" s="86">
        <f t="shared" si="364"/>
        <v>0</v>
      </c>
      <c r="S1239" s="86">
        <f t="shared" si="365"/>
        <v>0</v>
      </c>
      <c r="T1239" s="86">
        <f t="shared" si="366"/>
        <v>6835.4800000000005</v>
      </c>
      <c r="U1239" s="87">
        <v>6835.4800000000005</v>
      </c>
    </row>
    <row r="1240" spans="1:21" s="30" customFormat="1" ht="24.6" hidden="1" outlineLevel="1" x14ac:dyDescent="0.55000000000000004">
      <c r="A1240" s="27" t="s">
        <v>327</v>
      </c>
      <c r="B1240" s="28"/>
      <c r="C1240" s="27"/>
      <c r="D1240" s="27" t="str">
        <f>"""NAV Direct"",""CRONUS JetCorp USA"",""21"",""1"",""334198"""</f>
        <v>"NAV Direct","CRONUS JetCorp USA","21","1","334198"</v>
      </c>
      <c r="E1240" s="31">
        <f t="shared" si="358"/>
        <v>0</v>
      </c>
      <c r="F1240" s="31"/>
      <c r="G1240" s="31"/>
      <c r="H1240" s="31"/>
      <c r="I1240" s="56"/>
      <c r="J1240" s="56"/>
      <c r="K1240" s="82" t="str">
        <f t="shared" si="359"/>
        <v>Invoice</v>
      </c>
      <c r="L1240" s="83" t="str">
        <f>"SI_110558"</f>
        <v>SI_110558</v>
      </c>
      <c r="M1240" s="84">
        <v>42018</v>
      </c>
      <c r="N1240" s="85">
        <f t="shared" si="360"/>
        <v>1794</v>
      </c>
      <c r="O1240" s="86">
        <f t="shared" si="361"/>
        <v>6977.14</v>
      </c>
      <c r="P1240" s="86">
        <f t="shared" si="362"/>
        <v>0</v>
      </c>
      <c r="Q1240" s="86">
        <f t="shared" si="363"/>
        <v>0</v>
      </c>
      <c r="R1240" s="86">
        <f t="shared" si="364"/>
        <v>0</v>
      </c>
      <c r="S1240" s="86">
        <f t="shared" si="365"/>
        <v>0</v>
      </c>
      <c r="T1240" s="86">
        <f t="shared" si="366"/>
        <v>6977.14</v>
      </c>
      <c r="U1240" s="87">
        <v>6977.14</v>
      </c>
    </row>
    <row r="1241" spans="1:21" s="30" customFormat="1" ht="24.6" hidden="1" outlineLevel="1" x14ac:dyDescent="0.55000000000000004">
      <c r="A1241" s="27" t="s">
        <v>327</v>
      </c>
      <c r="B1241" s="28"/>
      <c r="C1241" s="27"/>
      <c r="D1241" s="27" t="str">
        <f>"""NAV Direct"",""CRONUS JetCorp USA"",""21"",""1"",""334240"""</f>
        <v>"NAV Direct","CRONUS JetCorp USA","21","1","334240"</v>
      </c>
      <c r="E1241" s="31" t="str">
        <f t="shared" si="358"/>
        <v>C100042</v>
      </c>
      <c r="F1241" s="31"/>
      <c r="G1241" s="31"/>
      <c r="H1241" s="31"/>
      <c r="I1241" s="56"/>
      <c r="J1241" s="56"/>
      <c r="K1241" s="82" t="str">
        <f t="shared" si="359"/>
        <v>Invoice</v>
      </c>
      <c r="L1241" s="83" t="str">
        <f>"SI_110560"</f>
        <v>SI_110560</v>
      </c>
      <c r="M1241" s="84">
        <v>42045</v>
      </c>
      <c r="N1241" s="85">
        <f t="shared" si="360"/>
        <v>1767</v>
      </c>
      <c r="O1241" s="86">
        <f t="shared" si="361"/>
        <v>6872.34</v>
      </c>
      <c r="P1241" s="86">
        <f t="shared" si="362"/>
        <v>0</v>
      </c>
      <c r="Q1241" s="86">
        <f t="shared" si="363"/>
        <v>0</v>
      </c>
      <c r="R1241" s="86">
        <f t="shared" si="364"/>
        <v>0</v>
      </c>
      <c r="S1241" s="86">
        <f t="shared" si="365"/>
        <v>0</v>
      </c>
      <c r="T1241" s="86">
        <f t="shared" si="366"/>
        <v>6872.34</v>
      </c>
      <c r="U1241" s="87">
        <v>6872.34</v>
      </c>
    </row>
    <row r="1242" spans="1:21" s="30" customFormat="1" ht="24.6" hidden="1" outlineLevel="1" x14ac:dyDescent="0.55000000000000004">
      <c r="A1242" s="27" t="s">
        <v>327</v>
      </c>
      <c r="B1242" s="28"/>
      <c r="C1242" s="27"/>
      <c r="D1242" s="27" t="str">
        <f>"""NAV Direct"",""CRONUS JetCorp USA"",""21"",""1"",""334608"""</f>
        <v>"NAV Direct","CRONUS JetCorp USA","21","1","334608"</v>
      </c>
      <c r="E1242" s="31">
        <f t="shared" si="358"/>
        <v>0</v>
      </c>
      <c r="F1242" s="31"/>
      <c r="G1242" s="31"/>
      <c r="H1242" s="31"/>
      <c r="I1242" s="56"/>
      <c r="J1242" s="56"/>
      <c r="K1242" s="82" t="str">
        <f t="shared" si="359"/>
        <v>Invoice</v>
      </c>
      <c r="L1242" s="83" t="str">
        <f>"SI_110576"</f>
        <v>SI_110576</v>
      </c>
      <c r="M1242" s="84">
        <v>42241</v>
      </c>
      <c r="N1242" s="85">
        <f t="shared" si="360"/>
        <v>1571</v>
      </c>
      <c r="O1242" s="86">
        <f t="shared" si="361"/>
        <v>7699.8700000000008</v>
      </c>
      <c r="P1242" s="86">
        <f t="shared" si="362"/>
        <v>0</v>
      </c>
      <c r="Q1242" s="86">
        <f t="shared" si="363"/>
        <v>0</v>
      </c>
      <c r="R1242" s="86">
        <f t="shared" si="364"/>
        <v>0</v>
      </c>
      <c r="S1242" s="86">
        <f t="shared" si="365"/>
        <v>0</v>
      </c>
      <c r="T1242" s="86">
        <f t="shared" si="366"/>
        <v>7699.8700000000008</v>
      </c>
      <c r="U1242" s="87">
        <v>7699.8700000000008</v>
      </c>
    </row>
    <row r="1243" spans="1:21" s="30" customFormat="1" ht="24.6" hidden="1" outlineLevel="1" x14ac:dyDescent="0.55000000000000004">
      <c r="A1243" s="27" t="s">
        <v>327</v>
      </c>
      <c r="B1243" s="28"/>
      <c r="C1243" s="27"/>
      <c r="D1243" s="27" t="str">
        <f>"""NAV Direct"",""CRONUS JetCorp USA"",""21"",""1"",""334696"""</f>
        <v>"NAV Direct","CRONUS JetCorp USA","21","1","334696"</v>
      </c>
      <c r="E1243" s="31" t="str">
        <f t="shared" si="358"/>
        <v>C100042</v>
      </c>
      <c r="F1243" s="31"/>
      <c r="G1243" s="31"/>
      <c r="H1243" s="31"/>
      <c r="I1243" s="56"/>
      <c r="J1243" s="56"/>
      <c r="K1243" s="82" t="str">
        <f t="shared" si="359"/>
        <v>Invoice</v>
      </c>
      <c r="L1243" s="83" t="str">
        <f>"SI_110580"</f>
        <v>SI_110580</v>
      </c>
      <c r="M1243" s="84">
        <v>42285</v>
      </c>
      <c r="N1243" s="85">
        <f t="shared" si="360"/>
        <v>1527</v>
      </c>
      <c r="O1243" s="86">
        <f t="shared" si="361"/>
        <v>8172.2400000000007</v>
      </c>
      <c r="P1243" s="86">
        <f t="shared" si="362"/>
        <v>0</v>
      </c>
      <c r="Q1243" s="86">
        <f t="shared" si="363"/>
        <v>0</v>
      </c>
      <c r="R1243" s="86">
        <f t="shared" si="364"/>
        <v>0</v>
      </c>
      <c r="S1243" s="86">
        <f t="shared" si="365"/>
        <v>0</v>
      </c>
      <c r="T1243" s="86">
        <f t="shared" si="366"/>
        <v>8172.2400000000007</v>
      </c>
      <c r="U1243" s="87">
        <v>8172.2400000000007</v>
      </c>
    </row>
    <row r="1244" spans="1:21" s="30" customFormat="1" ht="24.6" hidden="1" outlineLevel="1" x14ac:dyDescent="0.55000000000000004">
      <c r="A1244" s="27" t="s">
        <v>327</v>
      </c>
      <c r="B1244" s="28"/>
      <c r="C1244" s="27"/>
      <c r="D1244" s="27" t="str">
        <f>"""NAV Direct"",""CRONUS JetCorp USA"",""21"",""1"",""334792"""</f>
        <v>"NAV Direct","CRONUS JetCorp USA","21","1","334792"</v>
      </c>
      <c r="E1244" s="31">
        <f t="shared" si="358"/>
        <v>0</v>
      </c>
      <c r="F1244" s="31"/>
      <c r="G1244" s="31"/>
      <c r="H1244" s="31"/>
      <c r="I1244" s="56"/>
      <c r="J1244" s="56"/>
      <c r="K1244" s="82" t="str">
        <f t="shared" si="359"/>
        <v>Invoice</v>
      </c>
      <c r="L1244" s="83" t="str">
        <f>"SI_110584"</f>
        <v>SI_110584</v>
      </c>
      <c r="M1244" s="84">
        <v>42346</v>
      </c>
      <c r="N1244" s="85">
        <f t="shared" si="360"/>
        <v>1466</v>
      </c>
      <c r="O1244" s="86">
        <f t="shared" si="361"/>
        <v>8640.11</v>
      </c>
      <c r="P1244" s="86">
        <f t="shared" si="362"/>
        <v>0</v>
      </c>
      <c r="Q1244" s="86">
        <f t="shared" si="363"/>
        <v>0</v>
      </c>
      <c r="R1244" s="86">
        <f t="shared" si="364"/>
        <v>0</v>
      </c>
      <c r="S1244" s="86">
        <f t="shared" si="365"/>
        <v>0</v>
      </c>
      <c r="T1244" s="86">
        <f t="shared" si="366"/>
        <v>8640.11</v>
      </c>
      <c r="U1244" s="87">
        <v>8640.11</v>
      </c>
    </row>
    <row r="1245" spans="1:21" s="30" customFormat="1" ht="24.6" hidden="1" outlineLevel="1" x14ac:dyDescent="0.55000000000000004">
      <c r="A1245" s="27" t="s">
        <v>327</v>
      </c>
      <c r="B1245" s="28"/>
      <c r="C1245" s="27"/>
      <c r="D1245" s="27" t="str">
        <f>"""NAV Direct"",""CRONUS JetCorp USA"",""21"",""1"",""433272"""</f>
        <v>"NAV Direct","CRONUS JetCorp USA","21","1","433272"</v>
      </c>
      <c r="E1245" s="31" t="str">
        <f t="shared" si="358"/>
        <v>C100042</v>
      </c>
      <c r="F1245" s="31"/>
      <c r="G1245" s="31"/>
      <c r="H1245" s="31"/>
      <c r="I1245" s="56"/>
      <c r="J1245" s="56"/>
      <c r="K1245" s="82" t="str">
        <f t="shared" ref="K1245:K1251" si="367">"Credit Memo"</f>
        <v>Credit Memo</v>
      </c>
      <c r="L1245" s="83" t="str">
        <f>"SC_100476"</f>
        <v>SC_100476</v>
      </c>
      <c r="M1245" s="84">
        <v>43225</v>
      </c>
      <c r="N1245" s="85">
        <f t="shared" si="360"/>
        <v>587</v>
      </c>
      <c r="O1245" s="86">
        <f t="shared" si="361"/>
        <v>-47.18</v>
      </c>
      <c r="P1245" s="86">
        <f t="shared" si="362"/>
        <v>0</v>
      </c>
      <c r="Q1245" s="86">
        <f t="shared" si="363"/>
        <v>0</v>
      </c>
      <c r="R1245" s="86">
        <f t="shared" si="364"/>
        <v>0</v>
      </c>
      <c r="S1245" s="86">
        <f t="shared" si="365"/>
        <v>0</v>
      </c>
      <c r="T1245" s="86">
        <f t="shared" si="366"/>
        <v>-47.18</v>
      </c>
      <c r="U1245" s="87">
        <v>-47.18</v>
      </c>
    </row>
    <row r="1246" spans="1:21" s="30" customFormat="1" ht="24.6" hidden="1" outlineLevel="1" x14ac:dyDescent="0.55000000000000004">
      <c r="A1246" s="27" t="s">
        <v>327</v>
      </c>
      <c r="B1246" s="28"/>
      <c r="C1246" s="27"/>
      <c r="D1246" s="27" t="str">
        <f>"""NAV Direct"",""CRONUS JetCorp USA"",""21"",""1"",""433287"""</f>
        <v>"NAV Direct","CRONUS JetCorp USA","21","1","433287"</v>
      </c>
      <c r="E1246" s="31">
        <f t="shared" si="358"/>
        <v>0</v>
      </c>
      <c r="F1246" s="31"/>
      <c r="G1246" s="31"/>
      <c r="H1246" s="31"/>
      <c r="I1246" s="56"/>
      <c r="J1246" s="56"/>
      <c r="K1246" s="82" t="str">
        <f t="shared" si="367"/>
        <v>Credit Memo</v>
      </c>
      <c r="L1246" s="83" t="str">
        <f>"SC_100477"</f>
        <v>SC_100477</v>
      </c>
      <c r="M1246" s="84">
        <v>43233</v>
      </c>
      <c r="N1246" s="85">
        <f t="shared" si="360"/>
        <v>579</v>
      </c>
      <c r="O1246" s="86">
        <f t="shared" si="361"/>
        <v>-46.910000000000004</v>
      </c>
      <c r="P1246" s="86">
        <f t="shared" si="362"/>
        <v>0</v>
      </c>
      <c r="Q1246" s="86">
        <f t="shared" si="363"/>
        <v>0</v>
      </c>
      <c r="R1246" s="86">
        <f t="shared" si="364"/>
        <v>0</v>
      </c>
      <c r="S1246" s="86">
        <f t="shared" si="365"/>
        <v>0</v>
      </c>
      <c r="T1246" s="86">
        <f t="shared" si="366"/>
        <v>-46.910000000000004</v>
      </c>
      <c r="U1246" s="87">
        <v>-46.910000000000004</v>
      </c>
    </row>
    <row r="1247" spans="1:21" s="30" customFormat="1" ht="24.6" hidden="1" outlineLevel="1" x14ac:dyDescent="0.55000000000000004">
      <c r="A1247" s="27" t="s">
        <v>327</v>
      </c>
      <c r="B1247" s="28"/>
      <c r="C1247" s="27"/>
      <c r="D1247" s="27" t="str">
        <f>"""NAV Direct"",""CRONUS JetCorp USA"",""21"",""1"",""433425"""</f>
        <v>"NAV Direct","CRONUS JetCorp USA","21","1","433425"</v>
      </c>
      <c r="E1247" s="31" t="str">
        <f t="shared" si="358"/>
        <v>C100042</v>
      </c>
      <c r="F1247" s="31"/>
      <c r="G1247" s="31"/>
      <c r="H1247" s="31"/>
      <c r="I1247" s="56"/>
      <c r="J1247" s="56"/>
      <c r="K1247" s="82" t="str">
        <f t="shared" si="367"/>
        <v>Credit Memo</v>
      </c>
      <c r="L1247" s="83" t="str">
        <f>"SC_100487"</f>
        <v>SC_100487</v>
      </c>
      <c r="M1247" s="84">
        <v>43670</v>
      </c>
      <c r="N1247" s="85">
        <f t="shared" si="360"/>
        <v>142</v>
      </c>
      <c r="O1247" s="86">
        <f t="shared" si="361"/>
        <v>-60.58</v>
      </c>
      <c r="P1247" s="86">
        <f t="shared" si="362"/>
        <v>0</v>
      </c>
      <c r="Q1247" s="86">
        <f t="shared" si="363"/>
        <v>0</v>
      </c>
      <c r="R1247" s="86">
        <f t="shared" si="364"/>
        <v>0</v>
      </c>
      <c r="S1247" s="86">
        <f t="shared" si="365"/>
        <v>0</v>
      </c>
      <c r="T1247" s="86">
        <f t="shared" si="366"/>
        <v>-60.58</v>
      </c>
      <c r="U1247" s="87">
        <v>-60.58</v>
      </c>
    </row>
    <row r="1248" spans="1:21" s="30" customFormat="1" ht="24.6" hidden="1" outlineLevel="1" x14ac:dyDescent="0.55000000000000004">
      <c r="A1248" s="27" t="s">
        <v>327</v>
      </c>
      <c r="B1248" s="28"/>
      <c r="C1248" s="27"/>
      <c r="D1248" s="27" t="str">
        <f>"""NAV Direct"",""CRONUS JetCorp USA"",""21"",""1"",""433455"""</f>
        <v>"NAV Direct","CRONUS JetCorp USA","21","1","433455"</v>
      </c>
      <c r="E1248" s="31">
        <f t="shared" si="358"/>
        <v>0</v>
      </c>
      <c r="F1248" s="31"/>
      <c r="G1248" s="31"/>
      <c r="H1248" s="31"/>
      <c r="I1248" s="56"/>
      <c r="J1248" s="56"/>
      <c r="K1248" s="82" t="str">
        <f t="shared" si="367"/>
        <v>Credit Memo</v>
      </c>
      <c r="L1248" s="83" t="str">
        <f>"SC_100489"</f>
        <v>SC_100489</v>
      </c>
      <c r="M1248" s="84">
        <v>43776</v>
      </c>
      <c r="N1248" s="85">
        <f t="shared" si="360"/>
        <v>36</v>
      </c>
      <c r="O1248" s="86">
        <f t="shared" si="361"/>
        <v>-65.41</v>
      </c>
      <c r="P1248" s="86">
        <f t="shared" si="362"/>
        <v>0</v>
      </c>
      <c r="Q1248" s="86">
        <f t="shared" si="363"/>
        <v>0</v>
      </c>
      <c r="R1248" s="86">
        <f t="shared" si="364"/>
        <v>-65.41</v>
      </c>
      <c r="S1248" s="86">
        <f t="shared" si="365"/>
        <v>0</v>
      </c>
      <c r="T1248" s="86">
        <f t="shared" si="366"/>
        <v>0</v>
      </c>
      <c r="U1248" s="87">
        <v>-65.41</v>
      </c>
    </row>
    <row r="1249" spans="1:22" s="30" customFormat="1" ht="24.6" hidden="1" outlineLevel="1" x14ac:dyDescent="0.55000000000000004">
      <c r="A1249" s="27" t="s">
        <v>327</v>
      </c>
      <c r="B1249" s="28"/>
      <c r="C1249" s="27"/>
      <c r="D1249" s="27" t="str">
        <f>"""NAV Direct"",""CRONUS JetCorp USA"",""21"",""1"",""433472"""</f>
        <v>"NAV Direct","CRONUS JetCorp USA","21","1","433472"</v>
      </c>
      <c r="E1249" s="31" t="str">
        <f t="shared" si="358"/>
        <v>C100042</v>
      </c>
      <c r="F1249" s="31"/>
      <c r="G1249" s="31"/>
      <c r="H1249" s="31"/>
      <c r="I1249" s="56"/>
      <c r="J1249" s="56"/>
      <c r="K1249" s="82" t="str">
        <f t="shared" si="367"/>
        <v>Credit Memo</v>
      </c>
      <c r="L1249" s="83" t="str">
        <f>"SC_100490"</f>
        <v>SC_100490</v>
      </c>
      <c r="M1249" s="84">
        <v>43821</v>
      </c>
      <c r="N1249" s="85">
        <f t="shared" si="360"/>
        <v>-9</v>
      </c>
      <c r="O1249" s="86">
        <f t="shared" si="361"/>
        <v>-68.11</v>
      </c>
      <c r="P1249" s="86">
        <f t="shared" si="362"/>
        <v>-68.11</v>
      </c>
      <c r="Q1249" s="86">
        <f t="shared" si="363"/>
        <v>0</v>
      </c>
      <c r="R1249" s="86">
        <f t="shared" si="364"/>
        <v>0</v>
      </c>
      <c r="S1249" s="86">
        <f t="shared" si="365"/>
        <v>0</v>
      </c>
      <c r="T1249" s="86">
        <f t="shared" si="366"/>
        <v>0</v>
      </c>
      <c r="U1249" s="87">
        <v>-68.11</v>
      </c>
    </row>
    <row r="1250" spans="1:22" s="30" customFormat="1" ht="24.6" hidden="1" outlineLevel="1" x14ac:dyDescent="0.55000000000000004">
      <c r="A1250" s="27" t="s">
        <v>327</v>
      </c>
      <c r="B1250" s="28"/>
      <c r="C1250" s="27"/>
      <c r="D1250" s="27" t="str">
        <f>"""NAV Direct"",""CRONUS JetCorp USA"",""21"",""1"",""433505"""</f>
        <v>"NAV Direct","CRONUS JetCorp USA","21","1","433505"</v>
      </c>
      <c r="E1250" s="31">
        <f t="shared" si="358"/>
        <v>0</v>
      </c>
      <c r="F1250" s="31"/>
      <c r="G1250" s="31"/>
      <c r="H1250" s="31"/>
      <c r="I1250" s="56"/>
      <c r="J1250" s="56"/>
      <c r="K1250" s="82" t="str">
        <f t="shared" si="367"/>
        <v>Credit Memo</v>
      </c>
      <c r="L1250" s="83" t="str">
        <f>"SC_100493"</f>
        <v>SC_100493</v>
      </c>
      <c r="M1250" s="84">
        <v>42171</v>
      </c>
      <c r="N1250" s="85">
        <f t="shared" si="360"/>
        <v>1641</v>
      </c>
      <c r="O1250" s="86">
        <f t="shared" si="361"/>
        <v>-74.790000000000006</v>
      </c>
      <c r="P1250" s="86">
        <f t="shared" si="362"/>
        <v>0</v>
      </c>
      <c r="Q1250" s="86">
        <f t="shared" si="363"/>
        <v>0</v>
      </c>
      <c r="R1250" s="86">
        <f t="shared" si="364"/>
        <v>0</v>
      </c>
      <c r="S1250" s="86">
        <f t="shared" si="365"/>
        <v>0</v>
      </c>
      <c r="T1250" s="86">
        <f t="shared" si="366"/>
        <v>-74.790000000000006</v>
      </c>
      <c r="U1250" s="87">
        <v>-74.790000000000006</v>
      </c>
    </row>
    <row r="1251" spans="1:22" s="30" customFormat="1" ht="24.6" hidden="1" outlineLevel="1" x14ac:dyDescent="0.55000000000000004">
      <c r="A1251" s="27" t="s">
        <v>327</v>
      </c>
      <c r="B1251" s="28"/>
      <c r="C1251" s="27"/>
      <c r="D1251" s="27" t="str">
        <f>"""NAV Direct"",""CRONUS JetCorp USA"",""21"",""1"",""433533"""</f>
        <v>"NAV Direct","CRONUS JetCorp USA","21","1","433533"</v>
      </c>
      <c r="E1251" s="31" t="str">
        <f t="shared" si="358"/>
        <v>C100042</v>
      </c>
      <c r="F1251" s="31"/>
      <c r="G1251" s="31"/>
      <c r="H1251" s="31"/>
      <c r="I1251" s="56"/>
      <c r="J1251" s="56"/>
      <c r="K1251" s="82" t="str">
        <f t="shared" si="367"/>
        <v>Credit Memo</v>
      </c>
      <c r="L1251" s="83" t="str">
        <f>"SC_100495"</f>
        <v>SC_100495</v>
      </c>
      <c r="M1251" s="84">
        <v>42291</v>
      </c>
      <c r="N1251" s="85">
        <f t="shared" si="360"/>
        <v>1521</v>
      </c>
      <c r="O1251" s="86">
        <f t="shared" si="361"/>
        <v>-85.34</v>
      </c>
      <c r="P1251" s="86">
        <f t="shared" si="362"/>
        <v>0</v>
      </c>
      <c r="Q1251" s="86">
        <f t="shared" si="363"/>
        <v>0</v>
      </c>
      <c r="R1251" s="86">
        <f t="shared" si="364"/>
        <v>0</v>
      </c>
      <c r="S1251" s="86">
        <f t="shared" si="365"/>
        <v>0</v>
      </c>
      <c r="T1251" s="86">
        <f t="shared" si="366"/>
        <v>-85.34</v>
      </c>
      <c r="U1251" s="87">
        <v>-85.34</v>
      </c>
    </row>
    <row r="1252" spans="1:22" s="22" customFormat="1" ht="20.399999999999999" collapsed="1" x14ac:dyDescent="0.45">
      <c r="A1252" s="12" t="s">
        <v>327</v>
      </c>
      <c r="B1252" s="19"/>
      <c r="C1252" s="12"/>
      <c r="D1252" s="12"/>
      <c r="E1252" s="23"/>
      <c r="F1252" s="23"/>
      <c r="G1252" s="23"/>
      <c r="H1252" s="23"/>
      <c r="I1252" s="49"/>
      <c r="J1252" s="88"/>
      <c r="K1252" s="88"/>
      <c r="L1252" s="89"/>
      <c r="M1252" s="89"/>
      <c r="N1252" s="89"/>
      <c r="O1252" s="89"/>
      <c r="P1252" s="89"/>
      <c r="Q1252" s="90"/>
      <c r="R1252" s="90"/>
      <c r="S1252" s="91"/>
      <c r="T1252" s="92"/>
      <c r="U1252" s="92"/>
    </row>
    <row r="1253" spans="1:22" s="22" customFormat="1" ht="20.399999999999999" x14ac:dyDescent="0.45">
      <c r="A1253" s="12" t="s">
        <v>327</v>
      </c>
      <c r="B1253" s="19"/>
      <c r="C1253" s="12"/>
      <c r="D1253" s="12"/>
      <c r="E1253" s="23"/>
      <c r="F1253" s="23"/>
      <c r="G1253" s="23"/>
      <c r="H1253" s="23"/>
      <c r="I1253" s="49"/>
      <c r="J1253" s="88"/>
      <c r="K1253" s="88"/>
      <c r="L1253" s="89"/>
      <c r="M1253" s="89"/>
      <c r="N1253" s="89"/>
      <c r="O1253" s="89"/>
      <c r="P1253" s="89"/>
      <c r="Q1253" s="90"/>
      <c r="R1253" s="90"/>
      <c r="S1253" s="91"/>
      <c r="T1253" s="92"/>
      <c r="U1253" s="92"/>
    </row>
    <row r="1254" spans="1:22" s="26" customFormat="1" ht="24.6" x14ac:dyDescent="0.55000000000000004">
      <c r="A1254" s="27" t="s">
        <v>327</v>
      </c>
      <c r="B1254" s="28"/>
      <c r="C1254" s="27" t="str">
        <f>"""NAV Direct"",""CRONUS JetCorp USA"",""18"",""1"",""C100044"""</f>
        <v>"NAV Direct","CRONUS JetCorp USA","18","1","C100044"</v>
      </c>
      <c r="D1254" s="27"/>
      <c r="E1254" s="28" t="str">
        <f>H1254</f>
        <v>C100044</v>
      </c>
      <c r="F1254" s="28"/>
      <c r="G1254" s="28"/>
      <c r="H1254" s="28" t="str">
        <f>"C100044"</f>
        <v>C100044</v>
      </c>
      <c r="I1254" s="116" t="str">
        <f>"C100044  -  Hotel Pferdesee"</f>
        <v>C100044  -  Hotel Pferdesee</v>
      </c>
      <c r="J1254" s="117" t="str">
        <f>""</f>
        <v/>
      </c>
      <c r="K1254" s="118"/>
      <c r="L1254" s="119">
        <f>SUBTOTAL(3,L1255:L1286)</f>
        <v>28</v>
      </c>
      <c r="M1254" s="118"/>
      <c r="N1254" s="118"/>
      <c r="O1254" s="120">
        <f t="shared" ref="O1254:T1254" si="368">SUBTOTAL(9,O1255:O1286)</f>
        <v>213914.80999999997</v>
      </c>
      <c r="P1254" s="120">
        <f t="shared" si="368"/>
        <v>10217.52</v>
      </c>
      <c r="Q1254" s="120">
        <f t="shared" si="368"/>
        <v>-99.660000000000011</v>
      </c>
      <c r="R1254" s="120">
        <f t="shared" si="368"/>
        <v>0</v>
      </c>
      <c r="S1254" s="120">
        <f t="shared" si="368"/>
        <v>0</v>
      </c>
      <c r="T1254" s="120">
        <f t="shared" si="368"/>
        <v>203796.94999999998</v>
      </c>
      <c r="U1254" s="81"/>
    </row>
    <row r="1255" spans="1:22" s="26" customFormat="1" ht="24.6" x14ac:dyDescent="0.55000000000000004">
      <c r="A1255" s="27" t="s">
        <v>327</v>
      </c>
      <c r="B1255" s="28"/>
      <c r="C1255" s="27" t="str">
        <f>C1254</f>
        <v>"NAV Direct","CRONUS JetCorp USA","18","1","C100044"</v>
      </c>
      <c r="D1255" s="27"/>
      <c r="E1255" s="28" t="str">
        <f>E1254</f>
        <v>C100044</v>
      </c>
      <c r="F1255" s="28"/>
      <c r="G1255" s="28"/>
      <c r="H1255" s="28"/>
      <c r="I1255" s="121" t="str">
        <f>"Contact: Herrn Jonathan Haas"</f>
        <v>Contact: Herrn Jonathan Haas</v>
      </c>
      <c r="J1255" s="121"/>
      <c r="K1255" s="122"/>
      <c r="L1255" s="123"/>
      <c r="M1255" s="123"/>
      <c r="N1255" s="124"/>
      <c r="O1255" s="124"/>
      <c r="P1255" s="123"/>
      <c r="Q1255" s="125"/>
      <c r="R1255" s="126"/>
      <c r="S1255" s="126"/>
      <c r="T1255" s="125"/>
      <c r="U1255" s="81"/>
    </row>
    <row r="1256" spans="1:22" s="26" customFormat="1" ht="24.6" x14ac:dyDescent="0.55000000000000004">
      <c r="A1256" s="27" t="s">
        <v>327</v>
      </c>
      <c r="B1256" s="28"/>
      <c r="C1256" s="27" t="str">
        <f>C1255</f>
        <v>"NAV Direct","CRONUS JetCorp USA","18","1","C100044"</v>
      </c>
      <c r="D1256" s="27"/>
      <c r="E1256" s="28" t="str">
        <f>E1255</f>
        <v>C100044</v>
      </c>
      <c r="F1256" s="28"/>
      <c r="G1256" s="28"/>
      <c r="H1256" s="28"/>
      <c r="I1256" s="121" t="str">
        <f>"hotel.pferdesee@cronuscorp.net"</f>
        <v>hotel.pferdesee@cronuscorp.net</v>
      </c>
      <c r="J1256" s="121"/>
      <c r="K1256" s="122"/>
      <c r="L1256" s="124"/>
      <c r="M1256" s="124"/>
      <c r="N1256" s="124"/>
      <c r="O1256" s="124"/>
      <c r="P1256" s="123"/>
      <c r="Q1256" s="125"/>
      <c r="R1256" s="126"/>
      <c r="S1256" s="126"/>
      <c r="T1256" s="125"/>
      <c r="U1256" s="81"/>
    </row>
    <row r="1257" spans="1:22" ht="12.75" hidden="1" customHeight="1" outlineLevel="1" x14ac:dyDescent="0.45">
      <c r="A1257" s="12" t="s">
        <v>328</v>
      </c>
      <c r="B1257" s="19"/>
      <c r="E1257" s="19"/>
      <c r="F1257" s="19"/>
      <c r="G1257" s="19"/>
      <c r="H1257" s="19"/>
      <c r="I1257" s="61"/>
      <c r="J1257" s="61"/>
      <c r="K1257" s="61"/>
      <c r="L1257" s="61"/>
      <c r="M1257" s="61"/>
      <c r="N1257" s="61"/>
      <c r="O1257" s="61"/>
      <c r="P1257" s="61"/>
      <c r="Q1257" s="61"/>
      <c r="R1257" s="61"/>
      <c r="S1257" s="61"/>
      <c r="T1257" s="61"/>
      <c r="U1257" s="61"/>
      <c r="V1257" s="21"/>
    </row>
    <row r="1258" spans="1:22" s="30" customFormat="1" ht="24.6" hidden="1" outlineLevel="1" x14ac:dyDescent="0.55000000000000004">
      <c r="A1258" s="27" t="s">
        <v>327</v>
      </c>
      <c r="B1258" s="28"/>
      <c r="C1258" s="27"/>
      <c r="D1258" s="27" t="str">
        <f>"""NAV Direct"",""CRONUS JetCorp USA"",""21"",""1"",""38231"""</f>
        <v>"NAV Direct","CRONUS JetCorp USA","21","1","38231"</v>
      </c>
      <c r="E1258" s="31" t="str">
        <f t="shared" ref="E1258:E1285" si="369">E1256</f>
        <v>C100044</v>
      </c>
      <c r="F1258" s="31"/>
      <c r="G1258" s="31"/>
      <c r="H1258" s="31"/>
      <c r="I1258" s="56"/>
      <c r="J1258" s="56"/>
      <c r="K1258" s="82" t="str">
        <f t="shared" ref="K1258:K1278" si="370">"Invoice"</f>
        <v>Invoice</v>
      </c>
      <c r="L1258" s="83" t="str">
        <f>"SI_104780"</f>
        <v>SI_104780</v>
      </c>
      <c r="M1258" s="84">
        <v>42105</v>
      </c>
      <c r="N1258" s="85">
        <f t="shared" ref="N1258:N1285" si="371">StartDate-$M1258+1</f>
        <v>1707</v>
      </c>
      <c r="O1258" s="86">
        <f t="shared" ref="O1258:O1285" si="372">SUM(P1258:T1258)</f>
        <v>11026.75</v>
      </c>
      <c r="P1258" s="86">
        <f t="shared" ref="P1258:P1285" si="373">IF($M1258&gt;=$P$18,U1258,0)</f>
        <v>0</v>
      </c>
      <c r="Q1258" s="86">
        <f t="shared" ref="Q1258:Q1285" si="374">IF(AND($M1258&gt;=$Q$16,$M1258&lt;=$Q$18),U1258,0)</f>
        <v>0</v>
      </c>
      <c r="R1258" s="86">
        <f t="shared" ref="R1258:R1285" si="375">IF(AND($M1258&gt;=$R$16,$M1258&lt;=$R$18),U1258,0)</f>
        <v>0</v>
      </c>
      <c r="S1258" s="86">
        <f t="shared" ref="S1258:S1285" si="376">IF(AND($M1258&gt;=$S$16,$M1258&lt;=$S$18),U1258,0)</f>
        <v>0</v>
      </c>
      <c r="T1258" s="86">
        <f t="shared" ref="T1258:T1285" si="377">IF($M1258&lt;=$T$18,U1258,0)</f>
        <v>11026.75</v>
      </c>
      <c r="U1258" s="87">
        <v>11026.75</v>
      </c>
    </row>
    <row r="1259" spans="1:22" s="30" customFormat="1" ht="24.6" hidden="1" outlineLevel="1" x14ac:dyDescent="0.55000000000000004">
      <c r="A1259" s="27" t="s">
        <v>327</v>
      </c>
      <c r="B1259" s="28"/>
      <c r="C1259" s="27"/>
      <c r="D1259" s="27" t="str">
        <f>"""NAV Direct"",""CRONUS JetCorp USA"",""21"",""1"",""38330"""</f>
        <v>"NAV Direct","CRONUS JetCorp USA","21","1","38330"</v>
      </c>
      <c r="E1259" s="31">
        <f t="shared" si="369"/>
        <v>0</v>
      </c>
      <c r="F1259" s="31"/>
      <c r="G1259" s="31"/>
      <c r="H1259" s="31"/>
      <c r="I1259" s="56"/>
      <c r="J1259" s="56"/>
      <c r="K1259" s="82" t="str">
        <f t="shared" si="370"/>
        <v>Invoice</v>
      </c>
      <c r="L1259" s="83" t="str">
        <f>"SI_104784"</f>
        <v>SI_104784</v>
      </c>
      <c r="M1259" s="84">
        <v>42160</v>
      </c>
      <c r="N1259" s="85">
        <f t="shared" si="371"/>
        <v>1652</v>
      </c>
      <c r="O1259" s="86">
        <f t="shared" si="372"/>
        <v>9705.9600000000009</v>
      </c>
      <c r="P1259" s="86">
        <f t="shared" si="373"/>
        <v>0</v>
      </c>
      <c r="Q1259" s="86">
        <f t="shared" si="374"/>
        <v>0</v>
      </c>
      <c r="R1259" s="86">
        <f t="shared" si="375"/>
        <v>0</v>
      </c>
      <c r="S1259" s="86">
        <f t="shared" si="376"/>
        <v>0</v>
      </c>
      <c r="T1259" s="86">
        <f t="shared" si="377"/>
        <v>9705.9600000000009</v>
      </c>
      <c r="U1259" s="87">
        <v>9705.9600000000009</v>
      </c>
    </row>
    <row r="1260" spans="1:22" s="30" customFormat="1" ht="24.6" hidden="1" outlineLevel="1" x14ac:dyDescent="0.55000000000000004">
      <c r="A1260" s="27" t="s">
        <v>327</v>
      </c>
      <c r="B1260" s="28"/>
      <c r="C1260" s="27"/>
      <c r="D1260" s="27" t="str">
        <f>"""NAV Direct"",""CRONUS JetCorp USA"",""21"",""1"",""38497"""</f>
        <v>"NAV Direct","CRONUS JetCorp USA","21","1","38497"</v>
      </c>
      <c r="E1260" s="31" t="str">
        <f t="shared" si="369"/>
        <v>C100044</v>
      </c>
      <c r="F1260" s="31"/>
      <c r="G1260" s="31"/>
      <c r="H1260" s="31"/>
      <c r="I1260" s="56"/>
      <c r="J1260" s="56"/>
      <c r="K1260" s="82" t="str">
        <f t="shared" si="370"/>
        <v>Invoice</v>
      </c>
      <c r="L1260" s="83" t="str">
        <f>"SI_104791"</f>
        <v>SI_104791</v>
      </c>
      <c r="M1260" s="84">
        <v>42226</v>
      </c>
      <c r="N1260" s="85">
        <f t="shared" si="371"/>
        <v>1586</v>
      </c>
      <c r="O1260" s="86">
        <f t="shared" si="372"/>
        <v>9264.65</v>
      </c>
      <c r="P1260" s="86">
        <f t="shared" si="373"/>
        <v>0</v>
      </c>
      <c r="Q1260" s="86">
        <f t="shared" si="374"/>
        <v>0</v>
      </c>
      <c r="R1260" s="86">
        <f t="shared" si="375"/>
        <v>0</v>
      </c>
      <c r="S1260" s="86">
        <f t="shared" si="376"/>
        <v>0</v>
      </c>
      <c r="T1260" s="86">
        <f t="shared" si="377"/>
        <v>9264.65</v>
      </c>
      <c r="U1260" s="87">
        <v>9264.65</v>
      </c>
    </row>
    <row r="1261" spans="1:22" s="30" customFormat="1" ht="24.6" hidden="1" outlineLevel="1" x14ac:dyDescent="0.55000000000000004">
      <c r="A1261" s="27" t="s">
        <v>327</v>
      </c>
      <c r="B1261" s="28"/>
      <c r="C1261" s="27"/>
      <c r="D1261" s="27" t="str">
        <f>"""NAV Direct"",""CRONUS JetCorp USA"",""21"",""1"",""38608"""</f>
        <v>"NAV Direct","CRONUS JetCorp USA","21","1","38608"</v>
      </c>
      <c r="E1261" s="31">
        <f t="shared" si="369"/>
        <v>0</v>
      </c>
      <c r="F1261" s="31"/>
      <c r="G1261" s="31"/>
      <c r="H1261" s="31"/>
      <c r="I1261" s="56"/>
      <c r="J1261" s="56"/>
      <c r="K1261" s="82" t="str">
        <f t="shared" si="370"/>
        <v>Invoice</v>
      </c>
      <c r="L1261" s="83" t="str">
        <f>"SI_104796"</f>
        <v>SI_104796</v>
      </c>
      <c r="M1261" s="84">
        <v>42283</v>
      </c>
      <c r="N1261" s="85">
        <f t="shared" si="371"/>
        <v>1529</v>
      </c>
      <c r="O1261" s="86">
        <f t="shared" si="372"/>
        <v>8993.9399999999987</v>
      </c>
      <c r="P1261" s="86">
        <f t="shared" si="373"/>
        <v>0</v>
      </c>
      <c r="Q1261" s="86">
        <f t="shared" si="374"/>
        <v>0</v>
      </c>
      <c r="R1261" s="86">
        <f t="shared" si="375"/>
        <v>0</v>
      </c>
      <c r="S1261" s="86">
        <f t="shared" si="376"/>
        <v>0</v>
      </c>
      <c r="T1261" s="86">
        <f t="shared" si="377"/>
        <v>8993.9399999999987</v>
      </c>
      <c r="U1261" s="87">
        <v>8993.9399999999987</v>
      </c>
    </row>
    <row r="1262" spans="1:22" s="30" customFormat="1" ht="24.6" hidden="1" outlineLevel="1" x14ac:dyDescent="0.55000000000000004">
      <c r="A1262" s="27" t="s">
        <v>327</v>
      </c>
      <c r="B1262" s="28"/>
      <c r="C1262" s="27"/>
      <c r="D1262" s="27" t="str">
        <f>"""NAV Direct"",""CRONUS JetCorp USA"",""21"",""1"",""38660"""</f>
        <v>"NAV Direct","CRONUS JetCorp USA","21","1","38660"</v>
      </c>
      <c r="E1262" s="31" t="str">
        <f t="shared" si="369"/>
        <v>C100044</v>
      </c>
      <c r="F1262" s="31"/>
      <c r="G1262" s="31"/>
      <c r="H1262" s="31"/>
      <c r="I1262" s="56"/>
      <c r="J1262" s="56"/>
      <c r="K1262" s="82" t="str">
        <f t="shared" si="370"/>
        <v>Invoice</v>
      </c>
      <c r="L1262" s="83" t="str">
        <f>"SI_104798"</f>
        <v>SI_104798</v>
      </c>
      <c r="M1262" s="84">
        <v>42287</v>
      </c>
      <c r="N1262" s="85">
        <f t="shared" si="371"/>
        <v>1525</v>
      </c>
      <c r="O1262" s="86">
        <f t="shared" si="372"/>
        <v>8994.08</v>
      </c>
      <c r="P1262" s="86">
        <f t="shared" si="373"/>
        <v>0</v>
      </c>
      <c r="Q1262" s="86">
        <f t="shared" si="374"/>
        <v>0</v>
      </c>
      <c r="R1262" s="86">
        <f t="shared" si="375"/>
        <v>0</v>
      </c>
      <c r="S1262" s="86">
        <f t="shared" si="376"/>
        <v>0</v>
      </c>
      <c r="T1262" s="86">
        <f t="shared" si="377"/>
        <v>8994.08</v>
      </c>
      <c r="U1262" s="87">
        <v>8994.08</v>
      </c>
    </row>
    <row r="1263" spans="1:22" s="30" customFormat="1" ht="24.6" hidden="1" outlineLevel="1" x14ac:dyDescent="0.55000000000000004">
      <c r="A1263" s="27" t="s">
        <v>327</v>
      </c>
      <c r="B1263" s="28"/>
      <c r="C1263" s="27"/>
      <c r="D1263" s="27" t="str">
        <f>"""NAV Direct"",""CRONUS JetCorp USA"",""21"",""1"",""38813"""</f>
        <v>"NAV Direct","CRONUS JetCorp USA","21","1","38813"</v>
      </c>
      <c r="E1263" s="31">
        <f t="shared" si="369"/>
        <v>0</v>
      </c>
      <c r="F1263" s="31"/>
      <c r="G1263" s="31"/>
      <c r="H1263" s="31"/>
      <c r="I1263" s="56"/>
      <c r="J1263" s="56"/>
      <c r="K1263" s="82" t="str">
        <f t="shared" si="370"/>
        <v>Invoice</v>
      </c>
      <c r="L1263" s="83" t="str">
        <f>"SI_104805"</f>
        <v>SI_104805</v>
      </c>
      <c r="M1263" s="84">
        <v>42741</v>
      </c>
      <c r="N1263" s="85">
        <f t="shared" si="371"/>
        <v>1071</v>
      </c>
      <c r="O1263" s="86">
        <f t="shared" si="372"/>
        <v>9514.75</v>
      </c>
      <c r="P1263" s="86">
        <f t="shared" si="373"/>
        <v>0</v>
      </c>
      <c r="Q1263" s="86">
        <f t="shared" si="374"/>
        <v>0</v>
      </c>
      <c r="R1263" s="86">
        <f t="shared" si="375"/>
        <v>0</v>
      </c>
      <c r="S1263" s="86">
        <f t="shared" si="376"/>
        <v>0</v>
      </c>
      <c r="T1263" s="86">
        <f t="shared" si="377"/>
        <v>9514.75</v>
      </c>
      <c r="U1263" s="87">
        <v>9514.75</v>
      </c>
    </row>
    <row r="1264" spans="1:22" s="30" customFormat="1" ht="24.6" hidden="1" outlineLevel="1" x14ac:dyDescent="0.55000000000000004">
      <c r="A1264" s="27" t="s">
        <v>327</v>
      </c>
      <c r="B1264" s="28"/>
      <c r="C1264" s="27"/>
      <c r="D1264" s="27" t="str">
        <f>"""NAV Direct"",""CRONUS JetCorp USA"",""21"",""1"",""329967"""</f>
        <v>"NAV Direct","CRONUS JetCorp USA","21","1","329967"</v>
      </c>
      <c r="E1264" s="31" t="str">
        <f t="shared" si="369"/>
        <v>C100044</v>
      </c>
      <c r="F1264" s="31"/>
      <c r="G1264" s="31"/>
      <c r="H1264" s="31"/>
      <c r="I1264" s="56"/>
      <c r="J1264" s="56"/>
      <c r="K1264" s="82" t="str">
        <f t="shared" si="370"/>
        <v>Invoice</v>
      </c>
      <c r="L1264" s="83" t="str">
        <f>"SI_110377"</f>
        <v>SI_110377</v>
      </c>
      <c r="M1264" s="84">
        <v>42420</v>
      </c>
      <c r="N1264" s="85">
        <f t="shared" si="371"/>
        <v>1392</v>
      </c>
      <c r="O1264" s="86">
        <f t="shared" si="372"/>
        <v>12879.04</v>
      </c>
      <c r="P1264" s="86">
        <f t="shared" si="373"/>
        <v>0</v>
      </c>
      <c r="Q1264" s="86">
        <f t="shared" si="374"/>
        <v>0</v>
      </c>
      <c r="R1264" s="86">
        <f t="shared" si="375"/>
        <v>0</v>
      </c>
      <c r="S1264" s="86">
        <f t="shared" si="376"/>
        <v>0</v>
      </c>
      <c r="T1264" s="86">
        <f t="shared" si="377"/>
        <v>12879.04</v>
      </c>
      <c r="U1264" s="87">
        <v>12879.04</v>
      </c>
    </row>
    <row r="1265" spans="1:21" s="30" customFormat="1" ht="24.6" hidden="1" outlineLevel="1" x14ac:dyDescent="0.55000000000000004">
      <c r="A1265" s="27" t="s">
        <v>327</v>
      </c>
      <c r="B1265" s="28"/>
      <c r="C1265" s="27"/>
      <c r="D1265" s="27" t="str">
        <f>"""NAV Direct"",""CRONUS JetCorp USA"",""21"",""1"",""330226"""</f>
        <v>"NAV Direct","CRONUS JetCorp USA","21","1","330226"</v>
      </c>
      <c r="E1265" s="31">
        <f t="shared" si="369"/>
        <v>0</v>
      </c>
      <c r="F1265" s="31"/>
      <c r="G1265" s="31"/>
      <c r="H1265" s="31"/>
      <c r="I1265" s="56"/>
      <c r="J1265" s="56"/>
      <c r="K1265" s="82" t="str">
        <f t="shared" si="370"/>
        <v>Invoice</v>
      </c>
      <c r="L1265" s="83" t="str">
        <f>"SI_110387"</f>
        <v>SI_110387</v>
      </c>
      <c r="M1265" s="84">
        <v>42631</v>
      </c>
      <c r="N1265" s="85">
        <f t="shared" si="371"/>
        <v>1181</v>
      </c>
      <c r="O1265" s="86">
        <f t="shared" si="372"/>
        <v>13309.550000000001</v>
      </c>
      <c r="P1265" s="86">
        <f t="shared" si="373"/>
        <v>0</v>
      </c>
      <c r="Q1265" s="86">
        <f t="shared" si="374"/>
        <v>0</v>
      </c>
      <c r="R1265" s="86">
        <f t="shared" si="375"/>
        <v>0</v>
      </c>
      <c r="S1265" s="86">
        <f t="shared" si="376"/>
        <v>0</v>
      </c>
      <c r="T1265" s="86">
        <f t="shared" si="377"/>
        <v>13309.550000000001</v>
      </c>
      <c r="U1265" s="87">
        <v>13309.550000000001</v>
      </c>
    </row>
    <row r="1266" spans="1:21" s="30" customFormat="1" ht="24.6" hidden="1" outlineLevel="1" x14ac:dyDescent="0.55000000000000004">
      <c r="A1266" s="27" t="s">
        <v>327</v>
      </c>
      <c r="B1266" s="28"/>
      <c r="C1266" s="27"/>
      <c r="D1266" s="27" t="str">
        <f>"""NAV Direct"",""CRONUS JetCorp USA"",""21"",""1"",""330567"""</f>
        <v>"NAV Direct","CRONUS JetCorp USA","21","1","330567"</v>
      </c>
      <c r="E1266" s="31" t="str">
        <f t="shared" si="369"/>
        <v>C100044</v>
      </c>
      <c r="F1266" s="31"/>
      <c r="G1266" s="31"/>
      <c r="H1266" s="31"/>
      <c r="I1266" s="56"/>
      <c r="J1266" s="56"/>
      <c r="K1266" s="82" t="str">
        <f t="shared" si="370"/>
        <v>Invoice</v>
      </c>
      <c r="L1266" s="83" t="str">
        <f>"SI_110399"</f>
        <v>SI_110399</v>
      </c>
      <c r="M1266" s="84">
        <v>42868</v>
      </c>
      <c r="N1266" s="85">
        <f t="shared" si="371"/>
        <v>944</v>
      </c>
      <c r="O1266" s="86">
        <f t="shared" si="372"/>
        <v>13229.93</v>
      </c>
      <c r="P1266" s="86">
        <f t="shared" si="373"/>
        <v>0</v>
      </c>
      <c r="Q1266" s="86">
        <f t="shared" si="374"/>
        <v>0</v>
      </c>
      <c r="R1266" s="86">
        <f t="shared" si="375"/>
        <v>0</v>
      </c>
      <c r="S1266" s="86">
        <f t="shared" si="376"/>
        <v>0</v>
      </c>
      <c r="T1266" s="86">
        <f t="shared" si="377"/>
        <v>13229.93</v>
      </c>
      <c r="U1266" s="87">
        <v>13229.93</v>
      </c>
    </row>
    <row r="1267" spans="1:21" s="30" customFormat="1" ht="24.6" hidden="1" outlineLevel="1" x14ac:dyDescent="0.55000000000000004">
      <c r="A1267" s="27" t="s">
        <v>327</v>
      </c>
      <c r="B1267" s="28"/>
      <c r="C1267" s="27"/>
      <c r="D1267" s="27" t="str">
        <f>"""NAV Direct"",""CRONUS JetCorp USA"",""21"",""1"",""330675"""</f>
        <v>"NAV Direct","CRONUS JetCorp USA","21","1","330675"</v>
      </c>
      <c r="E1267" s="31">
        <f t="shared" si="369"/>
        <v>0</v>
      </c>
      <c r="F1267" s="31"/>
      <c r="G1267" s="31"/>
      <c r="H1267" s="31"/>
      <c r="I1267" s="56"/>
      <c r="J1267" s="56"/>
      <c r="K1267" s="82" t="str">
        <f t="shared" si="370"/>
        <v>Invoice</v>
      </c>
      <c r="L1267" s="83" t="str">
        <f>"SI_110403"</f>
        <v>SI_110403</v>
      </c>
      <c r="M1267" s="84">
        <v>42964</v>
      </c>
      <c r="N1267" s="85">
        <f t="shared" si="371"/>
        <v>848</v>
      </c>
      <c r="O1267" s="86">
        <f t="shared" si="372"/>
        <v>12479.4</v>
      </c>
      <c r="P1267" s="86">
        <f t="shared" si="373"/>
        <v>0</v>
      </c>
      <c r="Q1267" s="86">
        <f t="shared" si="374"/>
        <v>0</v>
      </c>
      <c r="R1267" s="86">
        <f t="shared" si="375"/>
        <v>0</v>
      </c>
      <c r="S1267" s="86">
        <f t="shared" si="376"/>
        <v>0</v>
      </c>
      <c r="T1267" s="86">
        <f t="shared" si="377"/>
        <v>12479.4</v>
      </c>
      <c r="U1267" s="87">
        <v>12479.4</v>
      </c>
    </row>
    <row r="1268" spans="1:21" s="30" customFormat="1" ht="24.6" hidden="1" outlineLevel="1" x14ac:dyDescent="0.55000000000000004">
      <c r="A1268" s="27" t="s">
        <v>327</v>
      </c>
      <c r="B1268" s="28"/>
      <c r="C1268" s="27"/>
      <c r="D1268" s="27" t="str">
        <f>"""NAV Direct"",""CRONUS JetCorp USA"",""21"",""1"",""331209"""</f>
        <v>"NAV Direct","CRONUS JetCorp USA","21","1","331209"</v>
      </c>
      <c r="E1268" s="31" t="str">
        <f t="shared" si="369"/>
        <v>C100044</v>
      </c>
      <c r="F1268" s="31"/>
      <c r="G1268" s="31"/>
      <c r="H1268" s="31"/>
      <c r="I1268" s="56"/>
      <c r="J1268" s="56"/>
      <c r="K1268" s="82" t="str">
        <f t="shared" si="370"/>
        <v>Invoice</v>
      </c>
      <c r="L1268" s="83" t="str">
        <f>"SI_110425"</f>
        <v>SI_110425</v>
      </c>
      <c r="M1268" s="84">
        <v>43385</v>
      </c>
      <c r="N1268" s="85">
        <f t="shared" si="371"/>
        <v>427</v>
      </c>
      <c r="O1268" s="86">
        <f t="shared" si="372"/>
        <v>7494.7199999999993</v>
      </c>
      <c r="P1268" s="86">
        <f t="shared" si="373"/>
        <v>0</v>
      </c>
      <c r="Q1268" s="86">
        <f t="shared" si="374"/>
        <v>0</v>
      </c>
      <c r="R1268" s="86">
        <f t="shared" si="375"/>
        <v>0</v>
      </c>
      <c r="S1268" s="86">
        <f t="shared" si="376"/>
        <v>0</v>
      </c>
      <c r="T1268" s="86">
        <f t="shared" si="377"/>
        <v>7494.7199999999993</v>
      </c>
      <c r="U1268" s="87">
        <v>7494.7199999999993</v>
      </c>
    </row>
    <row r="1269" spans="1:21" s="30" customFormat="1" ht="24.6" hidden="1" outlineLevel="1" x14ac:dyDescent="0.55000000000000004">
      <c r="A1269" s="27" t="s">
        <v>327</v>
      </c>
      <c r="B1269" s="28"/>
      <c r="C1269" s="27"/>
      <c r="D1269" s="27" t="str">
        <f>"""NAV Direct"",""CRONUS JetCorp USA"",""21"",""1"",""331293"""</f>
        <v>"NAV Direct","CRONUS JetCorp USA","21","1","331293"</v>
      </c>
      <c r="E1269" s="31">
        <f t="shared" si="369"/>
        <v>0</v>
      </c>
      <c r="F1269" s="31"/>
      <c r="G1269" s="31"/>
      <c r="H1269" s="31"/>
      <c r="I1269" s="56"/>
      <c r="J1269" s="56"/>
      <c r="K1269" s="82" t="str">
        <f t="shared" si="370"/>
        <v>Invoice</v>
      </c>
      <c r="L1269" s="83" t="str">
        <f>"SI_110429"</f>
        <v>SI_110429</v>
      </c>
      <c r="M1269" s="84">
        <v>43454</v>
      </c>
      <c r="N1269" s="85">
        <f t="shared" si="371"/>
        <v>358</v>
      </c>
      <c r="O1269" s="86">
        <f t="shared" si="372"/>
        <v>7731.32</v>
      </c>
      <c r="P1269" s="86">
        <f t="shared" si="373"/>
        <v>0</v>
      </c>
      <c r="Q1269" s="86">
        <f t="shared" si="374"/>
        <v>0</v>
      </c>
      <c r="R1269" s="86">
        <f t="shared" si="375"/>
        <v>0</v>
      </c>
      <c r="S1269" s="86">
        <f t="shared" si="376"/>
        <v>0</v>
      </c>
      <c r="T1269" s="86">
        <f t="shared" si="377"/>
        <v>7731.32</v>
      </c>
      <c r="U1269" s="87">
        <v>7731.32</v>
      </c>
    </row>
    <row r="1270" spans="1:21" s="30" customFormat="1" ht="24.6" hidden="1" outlineLevel="1" x14ac:dyDescent="0.55000000000000004">
      <c r="A1270" s="27" t="s">
        <v>327</v>
      </c>
      <c r="B1270" s="28"/>
      <c r="C1270" s="27"/>
      <c r="D1270" s="27" t="str">
        <f>"""NAV Direct"",""CRONUS JetCorp USA"",""21"",""1"",""331412"""</f>
        <v>"NAV Direct","CRONUS JetCorp USA","21","1","331412"</v>
      </c>
      <c r="E1270" s="31" t="str">
        <f t="shared" si="369"/>
        <v>C100044</v>
      </c>
      <c r="F1270" s="31"/>
      <c r="G1270" s="31"/>
      <c r="H1270" s="31"/>
      <c r="I1270" s="56"/>
      <c r="J1270" s="56"/>
      <c r="K1270" s="82" t="str">
        <f t="shared" si="370"/>
        <v>Invoice</v>
      </c>
      <c r="L1270" s="83" t="str">
        <f>"SI_110434"</f>
        <v>SI_110434</v>
      </c>
      <c r="M1270" s="84">
        <v>43547</v>
      </c>
      <c r="N1270" s="85">
        <f t="shared" si="371"/>
        <v>265</v>
      </c>
      <c r="O1270" s="86">
        <f t="shared" si="372"/>
        <v>8521.18</v>
      </c>
      <c r="P1270" s="86">
        <f t="shared" si="373"/>
        <v>0</v>
      </c>
      <c r="Q1270" s="86">
        <f t="shared" si="374"/>
        <v>0</v>
      </c>
      <c r="R1270" s="86">
        <f t="shared" si="375"/>
        <v>0</v>
      </c>
      <c r="S1270" s="86">
        <f t="shared" si="376"/>
        <v>0</v>
      </c>
      <c r="T1270" s="86">
        <f t="shared" si="377"/>
        <v>8521.18</v>
      </c>
      <c r="U1270" s="87">
        <v>8521.18</v>
      </c>
    </row>
    <row r="1271" spans="1:21" s="30" customFormat="1" ht="24.6" hidden="1" outlineLevel="1" x14ac:dyDescent="0.55000000000000004">
      <c r="A1271" s="27" t="s">
        <v>327</v>
      </c>
      <c r="B1271" s="28"/>
      <c r="C1271" s="27"/>
      <c r="D1271" s="27" t="str">
        <f>"""NAV Direct"",""CRONUS JetCorp USA"",""21"",""1"",""331788"""</f>
        <v>"NAV Direct","CRONUS JetCorp USA","21","1","331788"</v>
      </c>
      <c r="E1271" s="31">
        <f t="shared" si="369"/>
        <v>0</v>
      </c>
      <c r="F1271" s="31"/>
      <c r="G1271" s="31"/>
      <c r="H1271" s="31"/>
      <c r="I1271" s="56"/>
      <c r="J1271" s="56"/>
      <c r="K1271" s="82" t="str">
        <f t="shared" si="370"/>
        <v>Invoice</v>
      </c>
      <c r="L1271" s="83" t="str">
        <f>"SI_110450"</f>
        <v>SI_110450</v>
      </c>
      <c r="M1271" s="84">
        <v>43823</v>
      </c>
      <c r="N1271" s="85">
        <f t="shared" si="371"/>
        <v>-11</v>
      </c>
      <c r="O1271" s="86">
        <f t="shared" si="372"/>
        <v>10217.52</v>
      </c>
      <c r="P1271" s="86">
        <f t="shared" si="373"/>
        <v>10217.52</v>
      </c>
      <c r="Q1271" s="86">
        <f t="shared" si="374"/>
        <v>0</v>
      </c>
      <c r="R1271" s="86">
        <f t="shared" si="375"/>
        <v>0</v>
      </c>
      <c r="S1271" s="86">
        <f t="shared" si="376"/>
        <v>0</v>
      </c>
      <c r="T1271" s="86">
        <f t="shared" si="377"/>
        <v>0</v>
      </c>
      <c r="U1271" s="87">
        <v>10217.52</v>
      </c>
    </row>
    <row r="1272" spans="1:21" s="30" customFormat="1" ht="24.6" hidden="1" outlineLevel="1" x14ac:dyDescent="0.55000000000000004">
      <c r="A1272" s="27" t="s">
        <v>327</v>
      </c>
      <c r="B1272" s="28"/>
      <c r="C1272" s="27"/>
      <c r="D1272" s="27" t="str">
        <f>"""NAV Direct"",""CRONUS JetCorp USA"",""21"",""1"",""331836"""</f>
        <v>"NAV Direct","CRONUS JetCorp USA","21","1","331836"</v>
      </c>
      <c r="E1272" s="31" t="str">
        <f t="shared" si="369"/>
        <v>C100044</v>
      </c>
      <c r="F1272" s="31"/>
      <c r="G1272" s="31"/>
      <c r="H1272" s="31"/>
      <c r="I1272" s="56"/>
      <c r="J1272" s="56"/>
      <c r="K1272" s="82" t="str">
        <f t="shared" si="370"/>
        <v>Invoice</v>
      </c>
      <c r="L1272" s="83" t="str">
        <f>"SI_110452"</f>
        <v>SI_110452</v>
      </c>
      <c r="M1272" s="84">
        <v>42055</v>
      </c>
      <c r="N1272" s="85">
        <f t="shared" si="371"/>
        <v>1757</v>
      </c>
      <c r="O1272" s="86">
        <f t="shared" si="372"/>
        <v>10349.27</v>
      </c>
      <c r="P1272" s="86">
        <f t="shared" si="373"/>
        <v>0</v>
      </c>
      <c r="Q1272" s="86">
        <f t="shared" si="374"/>
        <v>0</v>
      </c>
      <c r="R1272" s="86">
        <f t="shared" si="375"/>
        <v>0</v>
      </c>
      <c r="S1272" s="86">
        <f t="shared" si="376"/>
        <v>0</v>
      </c>
      <c r="T1272" s="86">
        <f t="shared" si="377"/>
        <v>10349.27</v>
      </c>
      <c r="U1272" s="87">
        <v>10349.27</v>
      </c>
    </row>
    <row r="1273" spans="1:21" s="30" customFormat="1" ht="24.6" hidden="1" outlineLevel="1" x14ac:dyDescent="0.55000000000000004">
      <c r="A1273" s="27" t="s">
        <v>327</v>
      </c>
      <c r="B1273" s="28"/>
      <c r="C1273" s="27"/>
      <c r="D1273" s="27" t="str">
        <f>"""NAV Direct"",""CRONUS JetCorp USA"",""21"",""1"",""331865"""</f>
        <v>"NAV Direct","CRONUS JetCorp USA","21","1","331865"</v>
      </c>
      <c r="E1273" s="31">
        <f t="shared" si="369"/>
        <v>0</v>
      </c>
      <c r="F1273" s="31"/>
      <c r="G1273" s="31"/>
      <c r="H1273" s="31"/>
      <c r="I1273" s="56"/>
      <c r="J1273" s="56"/>
      <c r="K1273" s="82" t="str">
        <f t="shared" si="370"/>
        <v>Invoice</v>
      </c>
      <c r="L1273" s="83" t="str">
        <f>"SI_110453"</f>
        <v>SI_110453</v>
      </c>
      <c r="M1273" s="84">
        <v>42074</v>
      </c>
      <c r="N1273" s="85">
        <f t="shared" si="371"/>
        <v>1738</v>
      </c>
      <c r="O1273" s="86">
        <f t="shared" si="372"/>
        <v>10737.44</v>
      </c>
      <c r="P1273" s="86">
        <f t="shared" si="373"/>
        <v>0</v>
      </c>
      <c r="Q1273" s="86">
        <f t="shared" si="374"/>
        <v>0</v>
      </c>
      <c r="R1273" s="86">
        <f t="shared" si="375"/>
        <v>0</v>
      </c>
      <c r="S1273" s="86">
        <f t="shared" si="376"/>
        <v>0</v>
      </c>
      <c r="T1273" s="86">
        <f t="shared" si="377"/>
        <v>10737.44</v>
      </c>
      <c r="U1273" s="87">
        <v>10737.44</v>
      </c>
    </row>
    <row r="1274" spans="1:21" s="30" customFormat="1" ht="24.6" hidden="1" outlineLevel="1" x14ac:dyDescent="0.55000000000000004">
      <c r="A1274" s="27" t="s">
        <v>327</v>
      </c>
      <c r="B1274" s="28"/>
      <c r="C1274" s="27"/>
      <c r="D1274" s="27" t="str">
        <f>"""NAV Direct"",""CRONUS JetCorp USA"",""21"",""1"",""331898"""</f>
        <v>"NAV Direct","CRONUS JetCorp USA","21","1","331898"</v>
      </c>
      <c r="E1274" s="31" t="str">
        <f t="shared" si="369"/>
        <v>C100044</v>
      </c>
      <c r="F1274" s="31"/>
      <c r="G1274" s="31"/>
      <c r="H1274" s="31"/>
      <c r="I1274" s="56"/>
      <c r="J1274" s="56"/>
      <c r="K1274" s="82" t="str">
        <f t="shared" si="370"/>
        <v>Invoice</v>
      </c>
      <c r="L1274" s="83" t="str">
        <f>"SI_110454"</f>
        <v>SI_110454</v>
      </c>
      <c r="M1274" s="84">
        <v>42082</v>
      </c>
      <c r="N1274" s="85">
        <f t="shared" si="371"/>
        <v>1730</v>
      </c>
      <c r="O1274" s="86">
        <f t="shared" si="372"/>
        <v>10627.960000000001</v>
      </c>
      <c r="P1274" s="86">
        <f t="shared" si="373"/>
        <v>0</v>
      </c>
      <c r="Q1274" s="86">
        <f t="shared" si="374"/>
        <v>0</v>
      </c>
      <c r="R1274" s="86">
        <f t="shared" si="375"/>
        <v>0</v>
      </c>
      <c r="S1274" s="86">
        <f t="shared" si="376"/>
        <v>0</v>
      </c>
      <c r="T1274" s="86">
        <f t="shared" si="377"/>
        <v>10627.960000000001</v>
      </c>
      <c r="U1274" s="87">
        <v>10627.960000000001</v>
      </c>
    </row>
    <row r="1275" spans="1:21" s="30" customFormat="1" ht="24.6" hidden="1" outlineLevel="1" x14ac:dyDescent="0.55000000000000004">
      <c r="A1275" s="27" t="s">
        <v>327</v>
      </c>
      <c r="B1275" s="28"/>
      <c r="C1275" s="27"/>
      <c r="D1275" s="27" t="str">
        <f>"""NAV Direct"",""CRONUS JetCorp USA"",""21"",""1"",""331921"""</f>
        <v>"NAV Direct","CRONUS JetCorp USA","21","1","331921"</v>
      </c>
      <c r="E1275" s="31">
        <f t="shared" si="369"/>
        <v>0</v>
      </c>
      <c r="F1275" s="31"/>
      <c r="G1275" s="31"/>
      <c r="H1275" s="31"/>
      <c r="I1275" s="56"/>
      <c r="J1275" s="56"/>
      <c r="K1275" s="82" t="str">
        <f t="shared" si="370"/>
        <v>Invoice</v>
      </c>
      <c r="L1275" s="83" t="str">
        <f>"SI_110455"</f>
        <v>SI_110455</v>
      </c>
      <c r="M1275" s="84">
        <v>42106</v>
      </c>
      <c r="N1275" s="85">
        <f t="shared" si="371"/>
        <v>1706</v>
      </c>
      <c r="O1275" s="86">
        <f t="shared" si="372"/>
        <v>11027.710000000001</v>
      </c>
      <c r="P1275" s="86">
        <f t="shared" si="373"/>
        <v>0</v>
      </c>
      <c r="Q1275" s="86">
        <f t="shared" si="374"/>
        <v>0</v>
      </c>
      <c r="R1275" s="86">
        <f t="shared" si="375"/>
        <v>0</v>
      </c>
      <c r="S1275" s="86">
        <f t="shared" si="376"/>
        <v>0</v>
      </c>
      <c r="T1275" s="86">
        <f t="shared" si="377"/>
        <v>11027.710000000001</v>
      </c>
      <c r="U1275" s="87">
        <v>11027.710000000001</v>
      </c>
    </row>
    <row r="1276" spans="1:21" s="30" customFormat="1" ht="24.6" hidden="1" outlineLevel="1" x14ac:dyDescent="0.55000000000000004">
      <c r="A1276" s="27" t="s">
        <v>327</v>
      </c>
      <c r="B1276" s="28"/>
      <c r="C1276" s="27"/>
      <c r="D1276" s="27" t="str">
        <f>"""NAV Direct"",""CRONUS JetCorp USA"",""21"",""1"",""331946"""</f>
        <v>"NAV Direct","CRONUS JetCorp USA","21","1","331946"</v>
      </c>
      <c r="E1276" s="31" t="str">
        <f t="shared" si="369"/>
        <v>C100044</v>
      </c>
      <c r="F1276" s="31"/>
      <c r="G1276" s="31"/>
      <c r="H1276" s="31"/>
      <c r="I1276" s="56"/>
      <c r="J1276" s="56"/>
      <c r="K1276" s="82" t="str">
        <f t="shared" si="370"/>
        <v>Invoice</v>
      </c>
      <c r="L1276" s="83" t="str">
        <f>"SI_110456"</f>
        <v>SI_110456</v>
      </c>
      <c r="M1276" s="84">
        <v>42130</v>
      </c>
      <c r="N1276" s="85">
        <f t="shared" si="371"/>
        <v>1682</v>
      </c>
      <c r="O1276" s="86">
        <f t="shared" si="372"/>
        <v>10321.629999999999</v>
      </c>
      <c r="P1276" s="86">
        <f t="shared" si="373"/>
        <v>0</v>
      </c>
      <c r="Q1276" s="86">
        <f t="shared" si="374"/>
        <v>0</v>
      </c>
      <c r="R1276" s="86">
        <f t="shared" si="375"/>
        <v>0</v>
      </c>
      <c r="S1276" s="86">
        <f t="shared" si="376"/>
        <v>0</v>
      </c>
      <c r="T1276" s="86">
        <f t="shared" si="377"/>
        <v>10321.629999999999</v>
      </c>
      <c r="U1276" s="87">
        <v>10321.629999999999</v>
      </c>
    </row>
    <row r="1277" spans="1:21" s="30" customFormat="1" ht="24.6" hidden="1" outlineLevel="1" x14ac:dyDescent="0.55000000000000004">
      <c r="A1277" s="27" t="s">
        <v>327</v>
      </c>
      <c r="B1277" s="28"/>
      <c r="C1277" s="27"/>
      <c r="D1277" s="27" t="str">
        <f>"""NAV Direct"",""CRONUS JetCorp USA"",""21"",""1"",""332218"""</f>
        <v>"NAV Direct","CRONUS JetCorp USA","21","1","332218"</v>
      </c>
      <c r="E1277" s="31">
        <f t="shared" si="369"/>
        <v>0</v>
      </c>
      <c r="F1277" s="31"/>
      <c r="G1277" s="31"/>
      <c r="H1277" s="31"/>
      <c r="I1277" s="56"/>
      <c r="J1277" s="56"/>
      <c r="K1277" s="82" t="str">
        <f t="shared" si="370"/>
        <v>Invoice</v>
      </c>
      <c r="L1277" s="83" t="str">
        <f>"SI_110468"</f>
        <v>SI_110468</v>
      </c>
      <c r="M1277" s="84">
        <v>42287</v>
      </c>
      <c r="N1277" s="85">
        <f t="shared" si="371"/>
        <v>1525</v>
      </c>
      <c r="O1277" s="86">
        <f t="shared" si="372"/>
        <v>8993.92</v>
      </c>
      <c r="P1277" s="86">
        <f t="shared" si="373"/>
        <v>0</v>
      </c>
      <c r="Q1277" s="86">
        <f t="shared" si="374"/>
        <v>0</v>
      </c>
      <c r="R1277" s="86">
        <f t="shared" si="375"/>
        <v>0</v>
      </c>
      <c r="S1277" s="86">
        <f t="shared" si="376"/>
        <v>0</v>
      </c>
      <c r="T1277" s="86">
        <f t="shared" si="377"/>
        <v>8993.92</v>
      </c>
      <c r="U1277" s="87">
        <v>8993.92</v>
      </c>
    </row>
    <row r="1278" spans="1:21" s="30" customFormat="1" ht="24.6" hidden="1" outlineLevel="1" x14ac:dyDescent="0.55000000000000004">
      <c r="A1278" s="27" t="s">
        <v>327</v>
      </c>
      <c r="B1278" s="28"/>
      <c r="C1278" s="27"/>
      <c r="D1278" s="27" t="str">
        <f>"""NAV Direct"",""CRONUS JetCorp USA"",""21"",""1"",""332241"""</f>
        <v>"NAV Direct","CRONUS JetCorp USA","21","1","332241"</v>
      </c>
      <c r="E1278" s="31" t="str">
        <f t="shared" si="369"/>
        <v>C100044</v>
      </c>
      <c r="F1278" s="31"/>
      <c r="G1278" s="31"/>
      <c r="H1278" s="31"/>
      <c r="I1278" s="56"/>
      <c r="J1278" s="56"/>
      <c r="K1278" s="82" t="str">
        <f t="shared" si="370"/>
        <v>Invoice</v>
      </c>
      <c r="L1278" s="83" t="str">
        <f>"SI_110469"</f>
        <v>SI_110469</v>
      </c>
      <c r="M1278" s="84">
        <v>42318</v>
      </c>
      <c r="N1278" s="85">
        <f t="shared" si="371"/>
        <v>1494</v>
      </c>
      <c r="O1278" s="86">
        <f t="shared" si="372"/>
        <v>9258.76</v>
      </c>
      <c r="P1278" s="86">
        <f t="shared" si="373"/>
        <v>0</v>
      </c>
      <c r="Q1278" s="86">
        <f t="shared" si="374"/>
        <v>0</v>
      </c>
      <c r="R1278" s="86">
        <f t="shared" si="375"/>
        <v>0</v>
      </c>
      <c r="S1278" s="86">
        <f t="shared" si="376"/>
        <v>0</v>
      </c>
      <c r="T1278" s="86">
        <f t="shared" si="377"/>
        <v>9258.76</v>
      </c>
      <c r="U1278" s="87">
        <v>9258.76</v>
      </c>
    </row>
    <row r="1279" spans="1:21" s="30" customFormat="1" ht="24.6" hidden="1" outlineLevel="1" x14ac:dyDescent="0.55000000000000004">
      <c r="A1279" s="27" t="s">
        <v>327</v>
      </c>
      <c r="B1279" s="28"/>
      <c r="C1279" s="27"/>
      <c r="D1279" s="27" t="str">
        <f>"""NAV Direct"",""CRONUS JetCorp USA"",""21"",""1"",""432805"""</f>
        <v>"NAV Direct","CRONUS JetCorp USA","21","1","432805"</v>
      </c>
      <c r="E1279" s="31">
        <f t="shared" si="369"/>
        <v>0</v>
      </c>
      <c r="F1279" s="31"/>
      <c r="G1279" s="31"/>
      <c r="H1279" s="31"/>
      <c r="I1279" s="56"/>
      <c r="J1279" s="56"/>
      <c r="K1279" s="82" t="str">
        <f t="shared" ref="K1279:K1285" si="378">"Credit Memo"</f>
        <v>Credit Memo</v>
      </c>
      <c r="L1279" s="83" t="str">
        <f>"SC_100441"</f>
        <v>SC_100441</v>
      </c>
      <c r="M1279" s="84">
        <v>42651</v>
      </c>
      <c r="N1279" s="85">
        <f t="shared" si="371"/>
        <v>1161</v>
      </c>
      <c r="O1279" s="86">
        <f t="shared" si="372"/>
        <v>-130.26</v>
      </c>
      <c r="P1279" s="86">
        <f t="shared" si="373"/>
        <v>0</v>
      </c>
      <c r="Q1279" s="86">
        <f t="shared" si="374"/>
        <v>0</v>
      </c>
      <c r="R1279" s="86">
        <f t="shared" si="375"/>
        <v>0</v>
      </c>
      <c r="S1279" s="86">
        <f t="shared" si="376"/>
        <v>0</v>
      </c>
      <c r="T1279" s="86">
        <f t="shared" si="377"/>
        <v>-130.26</v>
      </c>
      <c r="U1279" s="87">
        <v>-130.26</v>
      </c>
    </row>
    <row r="1280" spans="1:21" s="30" customFormat="1" ht="24.6" hidden="1" outlineLevel="1" x14ac:dyDescent="0.55000000000000004">
      <c r="A1280" s="27" t="s">
        <v>327</v>
      </c>
      <c r="B1280" s="28"/>
      <c r="C1280" s="27"/>
      <c r="D1280" s="27" t="str">
        <f>"""NAV Direct"",""CRONUS JetCorp USA"",""21"",""1"",""432846"""</f>
        <v>"NAV Direct","CRONUS JetCorp USA","21","1","432846"</v>
      </c>
      <c r="E1280" s="31" t="str">
        <f t="shared" si="369"/>
        <v>C100044</v>
      </c>
      <c r="F1280" s="31"/>
      <c r="G1280" s="31"/>
      <c r="H1280" s="31"/>
      <c r="I1280" s="56"/>
      <c r="J1280" s="56"/>
      <c r="K1280" s="82" t="str">
        <f t="shared" si="378"/>
        <v>Credit Memo</v>
      </c>
      <c r="L1280" s="83" t="str">
        <f>"SC_100444"</f>
        <v>SC_100444</v>
      </c>
      <c r="M1280" s="84">
        <v>42786</v>
      </c>
      <c r="N1280" s="85">
        <f t="shared" si="371"/>
        <v>1026</v>
      </c>
      <c r="O1280" s="86">
        <f t="shared" si="372"/>
        <v>-141.13999999999999</v>
      </c>
      <c r="P1280" s="86">
        <f t="shared" si="373"/>
        <v>0</v>
      </c>
      <c r="Q1280" s="86">
        <f t="shared" si="374"/>
        <v>0</v>
      </c>
      <c r="R1280" s="86">
        <f t="shared" si="375"/>
        <v>0</v>
      </c>
      <c r="S1280" s="86">
        <f t="shared" si="376"/>
        <v>0</v>
      </c>
      <c r="T1280" s="86">
        <f t="shared" si="377"/>
        <v>-141.13999999999999</v>
      </c>
      <c r="U1280" s="87">
        <v>-141.13999999999999</v>
      </c>
    </row>
    <row r="1281" spans="1:22" s="30" customFormat="1" ht="24.6" hidden="1" outlineLevel="1" x14ac:dyDescent="0.55000000000000004">
      <c r="A1281" s="27" t="s">
        <v>327</v>
      </c>
      <c r="B1281" s="28"/>
      <c r="C1281" s="27"/>
      <c r="D1281" s="27" t="str">
        <f>"""NAV Direct"",""CRONUS JetCorp USA"",""21"",""1"",""432926"""</f>
        <v>"NAV Direct","CRONUS JetCorp USA","21","1","432926"</v>
      </c>
      <c r="E1281" s="31">
        <f t="shared" si="369"/>
        <v>0</v>
      </c>
      <c r="F1281" s="31"/>
      <c r="G1281" s="31"/>
      <c r="H1281" s="31"/>
      <c r="I1281" s="56"/>
      <c r="J1281" s="56"/>
      <c r="K1281" s="82" t="str">
        <f t="shared" si="378"/>
        <v>Credit Memo</v>
      </c>
      <c r="L1281" s="83" t="str">
        <f>"SC_100450"</f>
        <v>SC_100450</v>
      </c>
      <c r="M1281" s="84">
        <v>43117</v>
      </c>
      <c r="N1281" s="85">
        <f t="shared" si="371"/>
        <v>695</v>
      </c>
      <c r="O1281" s="86">
        <f t="shared" si="372"/>
        <v>-91.91</v>
      </c>
      <c r="P1281" s="86">
        <f t="shared" si="373"/>
        <v>0</v>
      </c>
      <c r="Q1281" s="86">
        <f t="shared" si="374"/>
        <v>0</v>
      </c>
      <c r="R1281" s="86">
        <f t="shared" si="375"/>
        <v>0</v>
      </c>
      <c r="S1281" s="86">
        <f t="shared" si="376"/>
        <v>0</v>
      </c>
      <c r="T1281" s="86">
        <f t="shared" si="377"/>
        <v>-91.91</v>
      </c>
      <c r="U1281" s="87">
        <v>-91.91</v>
      </c>
    </row>
    <row r="1282" spans="1:22" s="30" customFormat="1" ht="24.6" hidden="1" outlineLevel="1" x14ac:dyDescent="0.55000000000000004">
      <c r="A1282" s="27" t="s">
        <v>327</v>
      </c>
      <c r="B1282" s="28"/>
      <c r="C1282" s="27"/>
      <c r="D1282" s="27" t="str">
        <f>"""NAV Direct"",""CRONUS JetCorp USA"",""21"",""1"",""433002"""</f>
        <v>"NAV Direct","CRONUS JetCorp USA","21","1","433002"</v>
      </c>
      <c r="E1282" s="31" t="str">
        <f t="shared" si="369"/>
        <v>C100044</v>
      </c>
      <c r="F1282" s="31"/>
      <c r="G1282" s="31"/>
      <c r="H1282" s="31"/>
      <c r="I1282" s="56"/>
      <c r="J1282" s="56"/>
      <c r="K1282" s="82" t="str">
        <f t="shared" si="378"/>
        <v>Credit Memo</v>
      </c>
      <c r="L1282" s="83" t="str">
        <f>"SC_100456"</f>
        <v>SC_100456</v>
      </c>
      <c r="M1282" s="84">
        <v>43786</v>
      </c>
      <c r="N1282" s="85">
        <f t="shared" si="371"/>
        <v>26</v>
      </c>
      <c r="O1282" s="86">
        <f t="shared" si="372"/>
        <v>-99.660000000000011</v>
      </c>
      <c r="P1282" s="86">
        <f t="shared" si="373"/>
        <v>0</v>
      </c>
      <c r="Q1282" s="86">
        <f t="shared" si="374"/>
        <v>-99.660000000000011</v>
      </c>
      <c r="R1282" s="86">
        <f t="shared" si="375"/>
        <v>0</v>
      </c>
      <c r="S1282" s="86">
        <f t="shared" si="376"/>
        <v>0</v>
      </c>
      <c r="T1282" s="86">
        <f t="shared" si="377"/>
        <v>0</v>
      </c>
      <c r="U1282" s="87">
        <v>-99.660000000000011</v>
      </c>
    </row>
    <row r="1283" spans="1:22" s="30" customFormat="1" ht="24.6" hidden="1" outlineLevel="1" x14ac:dyDescent="0.55000000000000004">
      <c r="A1283" s="27" t="s">
        <v>327</v>
      </c>
      <c r="B1283" s="28"/>
      <c r="C1283" s="27"/>
      <c r="D1283" s="27" t="str">
        <f>"""NAV Direct"",""CRONUS JetCorp USA"",""21"",""1"",""433049"""</f>
        <v>"NAV Direct","CRONUS JetCorp USA","21","1","433049"</v>
      </c>
      <c r="E1283" s="31">
        <f t="shared" si="369"/>
        <v>0</v>
      </c>
      <c r="F1283" s="31"/>
      <c r="G1283" s="31"/>
      <c r="H1283" s="31"/>
      <c r="I1283" s="56"/>
      <c r="J1283" s="56"/>
      <c r="K1283" s="82" t="str">
        <f t="shared" si="378"/>
        <v>Credit Memo</v>
      </c>
      <c r="L1283" s="83" t="str">
        <f>"SC_100459"</f>
        <v>SC_100459</v>
      </c>
      <c r="M1283" s="84">
        <v>42068</v>
      </c>
      <c r="N1283" s="85">
        <f t="shared" si="371"/>
        <v>1744</v>
      </c>
      <c r="O1283" s="86">
        <f t="shared" si="372"/>
        <v>-109.34</v>
      </c>
      <c r="P1283" s="86">
        <f t="shared" si="373"/>
        <v>0</v>
      </c>
      <c r="Q1283" s="86">
        <f t="shared" si="374"/>
        <v>0</v>
      </c>
      <c r="R1283" s="86">
        <f t="shared" si="375"/>
        <v>0</v>
      </c>
      <c r="S1283" s="86">
        <f t="shared" si="376"/>
        <v>0</v>
      </c>
      <c r="T1283" s="86">
        <f t="shared" si="377"/>
        <v>-109.34</v>
      </c>
      <c r="U1283" s="87">
        <v>-109.34</v>
      </c>
    </row>
    <row r="1284" spans="1:22" s="30" customFormat="1" ht="24.6" hidden="1" outlineLevel="1" x14ac:dyDescent="0.55000000000000004">
      <c r="A1284" s="27" t="s">
        <v>327</v>
      </c>
      <c r="B1284" s="28"/>
      <c r="C1284" s="27"/>
      <c r="D1284" s="27" t="str">
        <f>"""NAV Direct"",""CRONUS JetCorp USA"",""21"",""1"",""433060"""</f>
        <v>"NAV Direct","CRONUS JetCorp USA","21","1","433060"</v>
      </c>
      <c r="E1284" s="31" t="str">
        <f t="shared" si="369"/>
        <v>C100044</v>
      </c>
      <c r="F1284" s="31"/>
      <c r="G1284" s="31"/>
      <c r="H1284" s="31"/>
      <c r="I1284" s="56"/>
      <c r="J1284" s="56"/>
      <c r="K1284" s="82" t="str">
        <f t="shared" si="378"/>
        <v>Credit Memo</v>
      </c>
      <c r="L1284" s="83" t="str">
        <f>"SC_100460"</f>
        <v>SC_100460</v>
      </c>
      <c r="M1284" s="84">
        <v>42115</v>
      </c>
      <c r="N1284" s="85">
        <f t="shared" si="371"/>
        <v>1697</v>
      </c>
      <c r="O1284" s="86">
        <f t="shared" si="372"/>
        <v>-102.88</v>
      </c>
      <c r="P1284" s="86">
        <f t="shared" si="373"/>
        <v>0</v>
      </c>
      <c r="Q1284" s="86">
        <f t="shared" si="374"/>
        <v>0</v>
      </c>
      <c r="R1284" s="86">
        <f t="shared" si="375"/>
        <v>0</v>
      </c>
      <c r="S1284" s="86">
        <f t="shared" si="376"/>
        <v>0</v>
      </c>
      <c r="T1284" s="86">
        <f t="shared" si="377"/>
        <v>-102.88</v>
      </c>
      <c r="U1284" s="87">
        <v>-102.88</v>
      </c>
    </row>
    <row r="1285" spans="1:22" s="30" customFormat="1" ht="24.6" hidden="1" outlineLevel="1" x14ac:dyDescent="0.55000000000000004">
      <c r="A1285" s="27" t="s">
        <v>327</v>
      </c>
      <c r="B1285" s="28"/>
      <c r="C1285" s="27"/>
      <c r="D1285" s="27" t="str">
        <f>"""NAV Direct"",""CRONUS JetCorp USA"",""21"",""1"",""433096"""</f>
        <v>"NAV Direct","CRONUS JetCorp USA","21","1","433096"</v>
      </c>
      <c r="E1285" s="31">
        <f t="shared" si="369"/>
        <v>0</v>
      </c>
      <c r="F1285" s="31"/>
      <c r="G1285" s="31"/>
      <c r="H1285" s="31"/>
      <c r="I1285" s="56"/>
      <c r="J1285" s="56"/>
      <c r="K1285" s="82" t="str">
        <f t="shared" si="378"/>
        <v>Credit Memo</v>
      </c>
      <c r="L1285" s="83" t="str">
        <f>"SC_100462"</f>
        <v>SC_100462</v>
      </c>
      <c r="M1285" s="84">
        <v>42225</v>
      </c>
      <c r="N1285" s="85">
        <f t="shared" si="371"/>
        <v>1587</v>
      </c>
      <c r="O1285" s="86">
        <f t="shared" si="372"/>
        <v>-89.48</v>
      </c>
      <c r="P1285" s="86">
        <f t="shared" si="373"/>
        <v>0</v>
      </c>
      <c r="Q1285" s="86">
        <f t="shared" si="374"/>
        <v>0</v>
      </c>
      <c r="R1285" s="86">
        <f t="shared" si="375"/>
        <v>0</v>
      </c>
      <c r="S1285" s="86">
        <f t="shared" si="376"/>
        <v>0</v>
      </c>
      <c r="T1285" s="86">
        <f t="shared" si="377"/>
        <v>-89.48</v>
      </c>
      <c r="U1285" s="87">
        <v>-89.48</v>
      </c>
    </row>
    <row r="1286" spans="1:22" s="22" customFormat="1" ht="20.399999999999999" collapsed="1" x14ac:dyDescent="0.45">
      <c r="A1286" s="12" t="s">
        <v>327</v>
      </c>
      <c r="B1286" s="19"/>
      <c r="C1286" s="12"/>
      <c r="D1286" s="12"/>
      <c r="E1286" s="23"/>
      <c r="F1286" s="23"/>
      <c r="G1286" s="23"/>
      <c r="H1286" s="23"/>
      <c r="I1286" s="49"/>
      <c r="J1286" s="88"/>
      <c r="K1286" s="88"/>
      <c r="L1286" s="89"/>
      <c r="M1286" s="89"/>
      <c r="N1286" s="89"/>
      <c r="O1286" s="89"/>
      <c r="P1286" s="89"/>
      <c r="Q1286" s="90"/>
      <c r="R1286" s="90"/>
      <c r="S1286" s="91"/>
      <c r="T1286" s="92"/>
      <c r="U1286" s="92"/>
    </row>
    <row r="1287" spans="1:22" s="22" customFormat="1" ht="20.399999999999999" x14ac:dyDescent="0.45">
      <c r="A1287" s="12" t="s">
        <v>327</v>
      </c>
      <c r="B1287" s="19"/>
      <c r="C1287" s="12"/>
      <c r="D1287" s="12"/>
      <c r="E1287" s="23"/>
      <c r="F1287" s="23"/>
      <c r="G1287" s="23"/>
      <c r="H1287" s="23"/>
      <c r="I1287" s="49"/>
      <c r="J1287" s="88"/>
      <c r="K1287" s="88"/>
      <c r="L1287" s="89"/>
      <c r="M1287" s="89"/>
      <c r="N1287" s="89"/>
      <c r="O1287" s="89"/>
      <c r="P1287" s="89"/>
      <c r="Q1287" s="90"/>
      <c r="R1287" s="90"/>
      <c r="S1287" s="91"/>
      <c r="T1287" s="92"/>
      <c r="U1287" s="92"/>
    </row>
    <row r="1288" spans="1:22" s="26" customFormat="1" ht="24.6" x14ac:dyDescent="0.55000000000000004">
      <c r="A1288" s="27" t="s">
        <v>327</v>
      </c>
      <c r="B1288" s="28"/>
      <c r="C1288" s="27" t="str">
        <f>"""NAV Direct"",""CRONUS JetCorp USA"",""18"",""1"",""C100046"""</f>
        <v>"NAV Direct","CRONUS JetCorp USA","18","1","C100046"</v>
      </c>
      <c r="D1288" s="27"/>
      <c r="E1288" s="28" t="str">
        <f>H1288</f>
        <v>C100046</v>
      </c>
      <c r="F1288" s="28"/>
      <c r="G1288" s="28"/>
      <c r="H1288" s="28" t="str">
        <f>"C100046"</f>
        <v>C100046</v>
      </c>
      <c r="I1288" s="116" t="str">
        <f>"C100046  -  John Haddock Insurance Co."</f>
        <v>C100046  -  John Haddock Insurance Co.</v>
      </c>
      <c r="J1288" s="117" t="str">
        <f>""</f>
        <v/>
      </c>
      <c r="K1288" s="118"/>
      <c r="L1288" s="119">
        <f>SUBTOTAL(3,L1289:L1330)</f>
        <v>38</v>
      </c>
      <c r="M1288" s="118"/>
      <c r="N1288" s="118"/>
      <c r="O1288" s="120">
        <f t="shared" ref="O1288:T1288" si="379">SUBTOTAL(9,O1289:O1330)</f>
        <v>303280.37999999989</v>
      </c>
      <c r="P1288" s="120">
        <f t="shared" si="379"/>
        <v>9485.7800000000007</v>
      </c>
      <c r="Q1288" s="120">
        <f t="shared" si="379"/>
        <v>0</v>
      </c>
      <c r="R1288" s="120">
        <f t="shared" si="379"/>
        <v>0</v>
      </c>
      <c r="S1288" s="120">
        <f t="shared" si="379"/>
        <v>-131.69</v>
      </c>
      <c r="T1288" s="120">
        <f t="shared" si="379"/>
        <v>293926.28999999992</v>
      </c>
      <c r="U1288" s="81"/>
    </row>
    <row r="1289" spans="1:22" s="26" customFormat="1" ht="24.6" x14ac:dyDescent="0.55000000000000004">
      <c r="A1289" s="27" t="s">
        <v>327</v>
      </c>
      <c r="B1289" s="28"/>
      <c r="C1289" s="27" t="str">
        <f>C1288</f>
        <v>"NAV Direct","CRONUS JetCorp USA","18","1","C100046"</v>
      </c>
      <c r="D1289" s="27"/>
      <c r="E1289" s="28" t="str">
        <f>E1288</f>
        <v>C100046</v>
      </c>
      <c r="F1289" s="28"/>
      <c r="G1289" s="28"/>
      <c r="H1289" s="28"/>
      <c r="I1289" s="121" t="str">
        <f>"Contact: Miss Patricia Doyle"</f>
        <v>Contact: Miss Patricia Doyle</v>
      </c>
      <c r="J1289" s="121"/>
      <c r="K1289" s="122"/>
      <c r="L1289" s="123"/>
      <c r="M1289" s="123"/>
      <c r="N1289" s="124"/>
      <c r="O1289" s="124"/>
      <c r="P1289" s="123"/>
      <c r="Q1289" s="125"/>
      <c r="R1289" s="126"/>
      <c r="S1289" s="126"/>
      <c r="T1289" s="125"/>
      <c r="U1289" s="81"/>
    </row>
    <row r="1290" spans="1:22" s="26" customFormat="1" ht="24.6" x14ac:dyDescent="0.55000000000000004">
      <c r="A1290" s="27" t="s">
        <v>327</v>
      </c>
      <c r="B1290" s="28"/>
      <c r="C1290" s="27" t="str">
        <f>C1289</f>
        <v>"NAV Direct","CRONUS JetCorp USA","18","1","C100046"</v>
      </c>
      <c r="D1290" s="27"/>
      <c r="E1290" s="28" t="str">
        <f>E1289</f>
        <v>C100046</v>
      </c>
      <c r="F1290" s="28"/>
      <c r="G1290" s="28"/>
      <c r="H1290" s="28"/>
      <c r="I1290" s="121" t="str">
        <f>"John Haddock Insurance Co.@Cronus.com"</f>
        <v>John Haddock Insurance Co.@Cronus.com</v>
      </c>
      <c r="J1290" s="121"/>
      <c r="K1290" s="122"/>
      <c r="L1290" s="124"/>
      <c r="M1290" s="124"/>
      <c r="N1290" s="124"/>
      <c r="O1290" s="124"/>
      <c r="P1290" s="123"/>
      <c r="Q1290" s="125"/>
      <c r="R1290" s="126"/>
      <c r="S1290" s="126"/>
      <c r="T1290" s="125"/>
      <c r="U1290" s="81"/>
    </row>
    <row r="1291" spans="1:22" ht="12.75" hidden="1" customHeight="1" outlineLevel="1" x14ac:dyDescent="0.45">
      <c r="A1291" s="12" t="s">
        <v>328</v>
      </c>
      <c r="B1291" s="19"/>
      <c r="E1291" s="19"/>
      <c r="F1291" s="19"/>
      <c r="G1291" s="19"/>
      <c r="H1291" s="19"/>
      <c r="I1291" s="61"/>
      <c r="J1291" s="61"/>
      <c r="K1291" s="61"/>
      <c r="L1291" s="61"/>
      <c r="M1291" s="61"/>
      <c r="N1291" s="61"/>
      <c r="O1291" s="61"/>
      <c r="P1291" s="61"/>
      <c r="Q1291" s="61"/>
      <c r="R1291" s="61"/>
      <c r="S1291" s="61"/>
      <c r="T1291" s="61"/>
      <c r="U1291" s="61"/>
      <c r="V1291" s="21"/>
    </row>
    <row r="1292" spans="1:22" s="30" customFormat="1" ht="24.6" hidden="1" outlineLevel="1" x14ac:dyDescent="0.55000000000000004">
      <c r="A1292" s="27" t="s">
        <v>327</v>
      </c>
      <c r="B1292" s="28"/>
      <c r="C1292" s="27"/>
      <c r="D1292" s="27" t="str">
        <f>"""NAV Direct"",""CRONUS JetCorp USA"",""21"",""1"",""130870"""</f>
        <v>"NAV Direct","CRONUS JetCorp USA","21","1","130870"</v>
      </c>
      <c r="E1292" s="31" t="str">
        <f t="shared" ref="E1292:E1329" si="380">E1290</f>
        <v>C100046</v>
      </c>
      <c r="F1292" s="31"/>
      <c r="G1292" s="31"/>
      <c r="H1292" s="31"/>
      <c r="I1292" s="56"/>
      <c r="J1292" s="56"/>
      <c r="K1292" s="82" t="str">
        <f t="shared" ref="K1292:K1322" si="381">"Invoice"</f>
        <v>Invoice</v>
      </c>
      <c r="L1292" s="83" t="str">
        <f>"SI_107029"</f>
        <v>SI_107029</v>
      </c>
      <c r="M1292" s="84">
        <v>42338</v>
      </c>
      <c r="N1292" s="85">
        <f t="shared" ref="N1292:N1329" si="382">StartDate-$M1292+1</f>
        <v>1474</v>
      </c>
      <c r="O1292" s="86">
        <f t="shared" ref="O1292:O1329" si="383">SUM(P1292:T1292)</f>
        <v>8317.2900000000009</v>
      </c>
      <c r="P1292" s="86">
        <f t="shared" ref="P1292:P1329" si="384">IF($M1292&gt;=$P$18,U1292,0)</f>
        <v>0</v>
      </c>
      <c r="Q1292" s="86">
        <f t="shared" ref="Q1292:Q1329" si="385">IF(AND($M1292&gt;=$Q$16,$M1292&lt;=$Q$18),U1292,0)</f>
        <v>0</v>
      </c>
      <c r="R1292" s="86">
        <f t="shared" ref="R1292:R1329" si="386">IF(AND($M1292&gt;=$R$16,$M1292&lt;=$R$18),U1292,0)</f>
        <v>0</v>
      </c>
      <c r="S1292" s="86">
        <f t="shared" ref="S1292:S1329" si="387">IF(AND($M1292&gt;=$S$16,$M1292&lt;=$S$18),U1292,0)</f>
        <v>0</v>
      </c>
      <c r="T1292" s="86">
        <f t="shared" ref="T1292:T1329" si="388">IF($M1292&lt;=$T$18,U1292,0)</f>
        <v>8317.2900000000009</v>
      </c>
      <c r="U1292" s="87">
        <v>8317.2900000000009</v>
      </c>
    </row>
    <row r="1293" spans="1:22" s="30" customFormat="1" ht="24.6" hidden="1" outlineLevel="1" x14ac:dyDescent="0.55000000000000004">
      <c r="A1293" s="27" t="s">
        <v>327</v>
      </c>
      <c r="B1293" s="28"/>
      <c r="C1293" s="27"/>
      <c r="D1293" s="27" t="str">
        <f>"""NAV Direct"",""CRONUS JetCorp USA"",""21"",""1"",""131240"""</f>
        <v>"NAV Direct","CRONUS JetCorp USA","21","1","131240"</v>
      </c>
      <c r="E1293" s="31">
        <f t="shared" si="380"/>
        <v>0</v>
      </c>
      <c r="F1293" s="31"/>
      <c r="G1293" s="31"/>
      <c r="H1293" s="31"/>
      <c r="I1293" s="56"/>
      <c r="J1293" s="56"/>
      <c r="K1293" s="82" t="str">
        <f t="shared" si="381"/>
        <v>Invoice</v>
      </c>
      <c r="L1293" s="83" t="str">
        <f>"SI_107035"</f>
        <v>SI_107035</v>
      </c>
      <c r="M1293" s="84">
        <v>42338</v>
      </c>
      <c r="N1293" s="85">
        <f t="shared" si="382"/>
        <v>1474</v>
      </c>
      <c r="O1293" s="86">
        <f t="shared" si="383"/>
        <v>8317.36</v>
      </c>
      <c r="P1293" s="86">
        <f t="shared" si="384"/>
        <v>0</v>
      </c>
      <c r="Q1293" s="86">
        <f t="shared" si="385"/>
        <v>0</v>
      </c>
      <c r="R1293" s="86">
        <f t="shared" si="386"/>
        <v>0</v>
      </c>
      <c r="S1293" s="86">
        <f t="shared" si="387"/>
        <v>0</v>
      </c>
      <c r="T1293" s="86">
        <f t="shared" si="388"/>
        <v>8317.36</v>
      </c>
      <c r="U1293" s="87">
        <v>8317.36</v>
      </c>
    </row>
    <row r="1294" spans="1:22" s="30" customFormat="1" ht="24.6" hidden="1" outlineLevel="1" x14ac:dyDescent="0.55000000000000004">
      <c r="A1294" s="27" t="s">
        <v>327</v>
      </c>
      <c r="B1294" s="28"/>
      <c r="C1294" s="27"/>
      <c r="D1294" s="27" t="str">
        <f>"""NAV Direct"",""CRONUS JetCorp USA"",""21"",""1"",""384812"""</f>
        <v>"NAV Direct","CRONUS JetCorp USA","21","1","384812"</v>
      </c>
      <c r="E1294" s="31" t="str">
        <f t="shared" si="380"/>
        <v>C100046</v>
      </c>
      <c r="F1294" s="31"/>
      <c r="G1294" s="31"/>
      <c r="H1294" s="31"/>
      <c r="I1294" s="56"/>
      <c r="J1294" s="56"/>
      <c r="K1294" s="82" t="str">
        <f t="shared" si="381"/>
        <v>Invoice</v>
      </c>
      <c r="L1294" s="83" t="str">
        <f>"SI_111940"</f>
        <v>SI_111940</v>
      </c>
      <c r="M1294" s="84">
        <v>42490</v>
      </c>
      <c r="N1294" s="85">
        <f t="shared" si="382"/>
        <v>1322</v>
      </c>
      <c r="O1294" s="86">
        <f t="shared" si="383"/>
        <v>9471.4499999999989</v>
      </c>
      <c r="P1294" s="86">
        <f t="shared" si="384"/>
        <v>0</v>
      </c>
      <c r="Q1294" s="86">
        <f t="shared" si="385"/>
        <v>0</v>
      </c>
      <c r="R1294" s="86">
        <f t="shared" si="386"/>
        <v>0</v>
      </c>
      <c r="S1294" s="86">
        <f t="shared" si="387"/>
        <v>0</v>
      </c>
      <c r="T1294" s="86">
        <f t="shared" si="388"/>
        <v>9471.4499999999989</v>
      </c>
      <c r="U1294" s="87">
        <v>9471.4499999999989</v>
      </c>
    </row>
    <row r="1295" spans="1:22" s="30" customFormat="1" ht="24.6" hidden="1" outlineLevel="1" x14ac:dyDescent="0.55000000000000004">
      <c r="A1295" s="27" t="s">
        <v>327</v>
      </c>
      <c r="B1295" s="28"/>
      <c r="C1295" s="27"/>
      <c r="D1295" s="27" t="str">
        <f>"""NAV Direct"",""CRONUS JetCorp USA"",""21"",""1"",""385238"""</f>
        <v>"NAV Direct","CRONUS JetCorp USA","21","1","385238"</v>
      </c>
      <c r="E1295" s="31">
        <f t="shared" si="380"/>
        <v>0</v>
      </c>
      <c r="F1295" s="31"/>
      <c r="G1295" s="31"/>
      <c r="H1295" s="31"/>
      <c r="I1295" s="56"/>
      <c r="J1295" s="56"/>
      <c r="K1295" s="82" t="str">
        <f t="shared" si="381"/>
        <v>Invoice</v>
      </c>
      <c r="L1295" s="83" t="str">
        <f>"SI_111948"</f>
        <v>SI_111948</v>
      </c>
      <c r="M1295" s="84">
        <v>42521</v>
      </c>
      <c r="N1295" s="85">
        <f t="shared" si="382"/>
        <v>1291</v>
      </c>
      <c r="O1295" s="86">
        <f t="shared" si="383"/>
        <v>9752.91</v>
      </c>
      <c r="P1295" s="86">
        <f t="shared" si="384"/>
        <v>0</v>
      </c>
      <c r="Q1295" s="86">
        <f t="shared" si="385"/>
        <v>0</v>
      </c>
      <c r="R1295" s="86">
        <f t="shared" si="386"/>
        <v>0</v>
      </c>
      <c r="S1295" s="86">
        <f t="shared" si="387"/>
        <v>0</v>
      </c>
      <c r="T1295" s="86">
        <f t="shared" si="388"/>
        <v>9752.91</v>
      </c>
      <c r="U1295" s="87">
        <v>9752.91</v>
      </c>
    </row>
    <row r="1296" spans="1:22" s="30" customFormat="1" ht="24.6" hidden="1" outlineLevel="1" x14ac:dyDescent="0.55000000000000004">
      <c r="A1296" s="27" t="s">
        <v>327</v>
      </c>
      <c r="B1296" s="28"/>
      <c r="C1296" s="27"/>
      <c r="D1296" s="27" t="str">
        <f>"""NAV Direct"",""CRONUS JetCorp USA"",""21"",""1"",""385632"""</f>
        <v>"NAV Direct","CRONUS JetCorp USA","21","1","385632"</v>
      </c>
      <c r="E1296" s="31" t="str">
        <f t="shared" si="380"/>
        <v>C100046</v>
      </c>
      <c r="F1296" s="31"/>
      <c r="G1296" s="31"/>
      <c r="H1296" s="31"/>
      <c r="I1296" s="56"/>
      <c r="J1296" s="56"/>
      <c r="K1296" s="82" t="str">
        <f t="shared" si="381"/>
        <v>Invoice</v>
      </c>
      <c r="L1296" s="83" t="str">
        <f>"SI_111956"</f>
        <v>SI_111956</v>
      </c>
      <c r="M1296" s="84">
        <v>42551</v>
      </c>
      <c r="N1296" s="85">
        <f t="shared" si="382"/>
        <v>1261</v>
      </c>
      <c r="O1296" s="86">
        <f t="shared" si="383"/>
        <v>9896.2999999999993</v>
      </c>
      <c r="P1296" s="86">
        <f t="shared" si="384"/>
        <v>0</v>
      </c>
      <c r="Q1296" s="86">
        <f t="shared" si="385"/>
        <v>0</v>
      </c>
      <c r="R1296" s="86">
        <f t="shared" si="386"/>
        <v>0</v>
      </c>
      <c r="S1296" s="86">
        <f t="shared" si="387"/>
        <v>0</v>
      </c>
      <c r="T1296" s="86">
        <f t="shared" si="388"/>
        <v>9896.2999999999993</v>
      </c>
      <c r="U1296" s="87">
        <v>9896.2999999999993</v>
      </c>
    </row>
    <row r="1297" spans="1:21" s="30" customFormat="1" ht="24.6" hidden="1" outlineLevel="1" x14ac:dyDescent="0.55000000000000004">
      <c r="A1297" s="27" t="s">
        <v>327</v>
      </c>
      <c r="B1297" s="28"/>
      <c r="C1297" s="27"/>
      <c r="D1297" s="27" t="str">
        <f>"""NAV Direct"",""CRONUS JetCorp USA"",""21"",""1"",""385942"""</f>
        <v>"NAV Direct","CRONUS JetCorp USA","21","1","385942"</v>
      </c>
      <c r="E1297" s="31">
        <f t="shared" si="380"/>
        <v>0</v>
      </c>
      <c r="F1297" s="31"/>
      <c r="G1297" s="31"/>
      <c r="H1297" s="31"/>
      <c r="I1297" s="56"/>
      <c r="J1297" s="56"/>
      <c r="K1297" s="82" t="str">
        <f t="shared" si="381"/>
        <v>Invoice</v>
      </c>
      <c r="L1297" s="83" t="str">
        <f>"SI_111962"</f>
        <v>SI_111962</v>
      </c>
      <c r="M1297" s="84">
        <v>42582</v>
      </c>
      <c r="N1297" s="85">
        <f t="shared" si="382"/>
        <v>1230</v>
      </c>
      <c r="O1297" s="86">
        <f t="shared" si="383"/>
        <v>9397.6200000000008</v>
      </c>
      <c r="P1297" s="86">
        <f t="shared" si="384"/>
        <v>0</v>
      </c>
      <c r="Q1297" s="86">
        <f t="shared" si="385"/>
        <v>0</v>
      </c>
      <c r="R1297" s="86">
        <f t="shared" si="386"/>
        <v>0</v>
      </c>
      <c r="S1297" s="86">
        <f t="shared" si="387"/>
        <v>0</v>
      </c>
      <c r="T1297" s="86">
        <f t="shared" si="388"/>
        <v>9397.6200000000008</v>
      </c>
      <c r="U1297" s="87">
        <v>9397.6200000000008</v>
      </c>
    </row>
    <row r="1298" spans="1:21" s="30" customFormat="1" ht="24.6" hidden="1" outlineLevel="1" x14ac:dyDescent="0.55000000000000004">
      <c r="A1298" s="27" t="s">
        <v>327</v>
      </c>
      <c r="B1298" s="28"/>
      <c r="C1298" s="27"/>
      <c r="D1298" s="27" t="str">
        <f>"""NAV Direct"",""CRONUS JetCorp USA"",""21"",""1"",""386224"""</f>
        <v>"NAV Direct","CRONUS JetCorp USA","21","1","386224"</v>
      </c>
      <c r="E1298" s="31" t="str">
        <f t="shared" si="380"/>
        <v>C100046</v>
      </c>
      <c r="F1298" s="31"/>
      <c r="G1298" s="31"/>
      <c r="H1298" s="31"/>
      <c r="I1298" s="56"/>
      <c r="J1298" s="56"/>
      <c r="K1298" s="82" t="str">
        <f t="shared" si="381"/>
        <v>Invoice</v>
      </c>
      <c r="L1298" s="83" t="str">
        <f>"SI_111968"</f>
        <v>SI_111968</v>
      </c>
      <c r="M1298" s="84">
        <v>42643</v>
      </c>
      <c r="N1298" s="85">
        <f t="shared" si="382"/>
        <v>1169</v>
      </c>
      <c r="O1298" s="86">
        <f t="shared" si="383"/>
        <v>9754.7900000000009</v>
      </c>
      <c r="P1298" s="86">
        <f t="shared" si="384"/>
        <v>0</v>
      </c>
      <c r="Q1298" s="86">
        <f t="shared" si="385"/>
        <v>0</v>
      </c>
      <c r="R1298" s="86">
        <f t="shared" si="386"/>
        <v>0</v>
      </c>
      <c r="S1298" s="86">
        <f t="shared" si="387"/>
        <v>0</v>
      </c>
      <c r="T1298" s="86">
        <f t="shared" si="388"/>
        <v>9754.7900000000009</v>
      </c>
      <c r="U1298" s="87">
        <v>9754.7900000000009</v>
      </c>
    </row>
    <row r="1299" spans="1:21" s="30" customFormat="1" ht="24.6" hidden="1" outlineLevel="1" x14ac:dyDescent="0.55000000000000004">
      <c r="A1299" s="27" t="s">
        <v>327</v>
      </c>
      <c r="B1299" s="28"/>
      <c r="C1299" s="27"/>
      <c r="D1299" s="27" t="str">
        <f>"""NAV Direct"",""CRONUS JetCorp USA"",""21"",""1"",""386977"""</f>
        <v>"NAV Direct","CRONUS JetCorp USA","21","1","386977"</v>
      </c>
      <c r="E1299" s="31">
        <f t="shared" si="380"/>
        <v>0</v>
      </c>
      <c r="F1299" s="31"/>
      <c r="G1299" s="31"/>
      <c r="H1299" s="31"/>
      <c r="I1299" s="56"/>
      <c r="J1299" s="56"/>
      <c r="K1299" s="82" t="str">
        <f t="shared" si="381"/>
        <v>Invoice</v>
      </c>
      <c r="L1299" s="83" t="str">
        <f>"SI_111983"</f>
        <v>SI_111983</v>
      </c>
      <c r="M1299" s="84">
        <v>42704</v>
      </c>
      <c r="N1299" s="85">
        <f t="shared" si="382"/>
        <v>1108</v>
      </c>
      <c r="O1299" s="86">
        <f t="shared" si="383"/>
        <v>9896.7999999999993</v>
      </c>
      <c r="P1299" s="86">
        <f t="shared" si="384"/>
        <v>0</v>
      </c>
      <c r="Q1299" s="86">
        <f t="shared" si="385"/>
        <v>0</v>
      </c>
      <c r="R1299" s="86">
        <f t="shared" si="386"/>
        <v>0</v>
      </c>
      <c r="S1299" s="86">
        <f t="shared" si="387"/>
        <v>0</v>
      </c>
      <c r="T1299" s="86">
        <f t="shared" si="388"/>
        <v>9896.7999999999993</v>
      </c>
      <c r="U1299" s="87">
        <v>9896.7999999999993</v>
      </c>
    </row>
    <row r="1300" spans="1:21" s="30" customFormat="1" ht="24.6" hidden="1" outlineLevel="1" x14ac:dyDescent="0.55000000000000004">
      <c r="A1300" s="27" t="s">
        <v>327</v>
      </c>
      <c r="B1300" s="28"/>
      <c r="C1300" s="27"/>
      <c r="D1300" s="27" t="str">
        <f>"""NAV Direct"",""CRONUS JetCorp USA"",""21"",""1"",""387469"""</f>
        <v>"NAV Direct","CRONUS JetCorp USA","21","1","387469"</v>
      </c>
      <c r="E1300" s="31" t="str">
        <f t="shared" si="380"/>
        <v>C100046</v>
      </c>
      <c r="F1300" s="31"/>
      <c r="G1300" s="31"/>
      <c r="H1300" s="31"/>
      <c r="I1300" s="56"/>
      <c r="J1300" s="56"/>
      <c r="K1300" s="82" t="str">
        <f t="shared" si="381"/>
        <v>Invoice</v>
      </c>
      <c r="L1300" s="83" t="str">
        <f>"SI_111993"</f>
        <v>SI_111993</v>
      </c>
      <c r="M1300" s="84">
        <v>42766</v>
      </c>
      <c r="N1300" s="85">
        <f t="shared" si="382"/>
        <v>1046</v>
      </c>
      <c r="O1300" s="86">
        <f t="shared" si="383"/>
        <v>10075.34</v>
      </c>
      <c r="P1300" s="86">
        <f t="shared" si="384"/>
        <v>0</v>
      </c>
      <c r="Q1300" s="86">
        <f t="shared" si="385"/>
        <v>0</v>
      </c>
      <c r="R1300" s="86">
        <f t="shared" si="386"/>
        <v>0</v>
      </c>
      <c r="S1300" s="86">
        <f t="shared" si="387"/>
        <v>0</v>
      </c>
      <c r="T1300" s="86">
        <f t="shared" si="388"/>
        <v>10075.34</v>
      </c>
      <c r="U1300" s="87">
        <v>10075.34</v>
      </c>
    </row>
    <row r="1301" spans="1:21" s="30" customFormat="1" ht="24.6" hidden="1" outlineLevel="1" x14ac:dyDescent="0.55000000000000004">
      <c r="A1301" s="27" t="s">
        <v>327</v>
      </c>
      <c r="B1301" s="28"/>
      <c r="C1301" s="27"/>
      <c r="D1301" s="27" t="str">
        <f>"""NAV Direct"",""CRONUS JetCorp USA"",""21"",""1"",""387732"""</f>
        <v>"NAV Direct","CRONUS JetCorp USA","21","1","387732"</v>
      </c>
      <c r="E1301" s="31">
        <f t="shared" si="380"/>
        <v>0</v>
      </c>
      <c r="F1301" s="31"/>
      <c r="G1301" s="31"/>
      <c r="H1301" s="31"/>
      <c r="I1301" s="56"/>
      <c r="J1301" s="56"/>
      <c r="K1301" s="82" t="str">
        <f t="shared" si="381"/>
        <v>Invoice</v>
      </c>
      <c r="L1301" s="83" t="str">
        <f>"SI_111999"</f>
        <v>SI_111999</v>
      </c>
      <c r="M1301" s="84">
        <v>42794</v>
      </c>
      <c r="N1301" s="85">
        <f t="shared" si="382"/>
        <v>1018</v>
      </c>
      <c r="O1301" s="86">
        <f t="shared" si="383"/>
        <v>11313.699999999999</v>
      </c>
      <c r="P1301" s="86">
        <f t="shared" si="384"/>
        <v>0</v>
      </c>
      <c r="Q1301" s="86">
        <f t="shared" si="385"/>
        <v>0</v>
      </c>
      <c r="R1301" s="86">
        <f t="shared" si="386"/>
        <v>0</v>
      </c>
      <c r="S1301" s="86">
        <f t="shared" si="387"/>
        <v>0</v>
      </c>
      <c r="T1301" s="86">
        <f t="shared" si="388"/>
        <v>11313.699999999999</v>
      </c>
      <c r="U1301" s="87">
        <v>11313.699999999999</v>
      </c>
    </row>
    <row r="1302" spans="1:21" s="30" customFormat="1" ht="24.6" hidden="1" outlineLevel="1" x14ac:dyDescent="0.55000000000000004">
      <c r="A1302" s="27" t="s">
        <v>327</v>
      </c>
      <c r="B1302" s="28"/>
      <c r="C1302" s="27"/>
      <c r="D1302" s="27" t="str">
        <f>"""NAV Direct"",""CRONUS JetCorp USA"",""21"",""1"",""387887"""</f>
        <v>"NAV Direct","CRONUS JetCorp USA","21","1","387887"</v>
      </c>
      <c r="E1302" s="31" t="str">
        <f t="shared" si="380"/>
        <v>C100046</v>
      </c>
      <c r="F1302" s="31"/>
      <c r="G1302" s="31"/>
      <c r="H1302" s="31"/>
      <c r="I1302" s="56"/>
      <c r="J1302" s="56"/>
      <c r="K1302" s="82" t="str">
        <f t="shared" si="381"/>
        <v>Invoice</v>
      </c>
      <c r="L1302" s="83" t="str">
        <f>"SI_112002"</f>
        <v>SI_112002</v>
      </c>
      <c r="M1302" s="84">
        <v>42794</v>
      </c>
      <c r="N1302" s="85">
        <f t="shared" si="382"/>
        <v>1018</v>
      </c>
      <c r="O1302" s="86">
        <f t="shared" si="383"/>
        <v>10967.38</v>
      </c>
      <c r="P1302" s="86">
        <f t="shared" si="384"/>
        <v>0</v>
      </c>
      <c r="Q1302" s="86">
        <f t="shared" si="385"/>
        <v>0</v>
      </c>
      <c r="R1302" s="86">
        <f t="shared" si="386"/>
        <v>0</v>
      </c>
      <c r="S1302" s="86">
        <f t="shared" si="387"/>
        <v>0</v>
      </c>
      <c r="T1302" s="86">
        <f t="shared" si="388"/>
        <v>10967.38</v>
      </c>
      <c r="U1302" s="87">
        <v>10967.38</v>
      </c>
    </row>
    <row r="1303" spans="1:21" s="30" customFormat="1" ht="24.6" hidden="1" outlineLevel="1" x14ac:dyDescent="0.55000000000000004">
      <c r="A1303" s="27" t="s">
        <v>327</v>
      </c>
      <c r="B1303" s="28"/>
      <c r="C1303" s="27"/>
      <c r="D1303" s="27" t="str">
        <f>"""NAV Direct"",""CRONUS JetCorp USA"",""21"",""1"",""388048"""</f>
        <v>"NAV Direct","CRONUS JetCorp USA","21","1","388048"</v>
      </c>
      <c r="E1303" s="31">
        <f t="shared" si="380"/>
        <v>0</v>
      </c>
      <c r="F1303" s="31"/>
      <c r="G1303" s="31"/>
      <c r="H1303" s="31"/>
      <c r="I1303" s="56"/>
      <c r="J1303" s="56"/>
      <c r="K1303" s="82" t="str">
        <f t="shared" si="381"/>
        <v>Invoice</v>
      </c>
      <c r="L1303" s="83" t="str">
        <f>"SI_112005"</f>
        <v>SI_112005</v>
      </c>
      <c r="M1303" s="84">
        <v>42825</v>
      </c>
      <c r="N1303" s="85">
        <f t="shared" si="382"/>
        <v>987</v>
      </c>
      <c r="O1303" s="86">
        <f t="shared" si="383"/>
        <v>14707.81</v>
      </c>
      <c r="P1303" s="86">
        <f t="shared" si="384"/>
        <v>0</v>
      </c>
      <c r="Q1303" s="86">
        <f t="shared" si="385"/>
        <v>0</v>
      </c>
      <c r="R1303" s="86">
        <f t="shared" si="386"/>
        <v>0</v>
      </c>
      <c r="S1303" s="86">
        <f t="shared" si="387"/>
        <v>0</v>
      </c>
      <c r="T1303" s="86">
        <f t="shared" si="388"/>
        <v>14707.81</v>
      </c>
      <c r="U1303" s="87">
        <v>14707.81</v>
      </c>
    </row>
    <row r="1304" spans="1:21" s="30" customFormat="1" ht="24.6" hidden="1" outlineLevel="1" x14ac:dyDescent="0.55000000000000004">
      <c r="A1304" s="27" t="s">
        <v>327</v>
      </c>
      <c r="B1304" s="28"/>
      <c r="C1304" s="27"/>
      <c r="D1304" s="27" t="str">
        <f>"""NAV Direct"",""CRONUS JetCorp USA"",""21"",""1"",""388538"""</f>
        <v>"NAV Direct","CRONUS JetCorp USA","21","1","388538"</v>
      </c>
      <c r="E1304" s="31" t="str">
        <f t="shared" si="380"/>
        <v>C100046</v>
      </c>
      <c r="F1304" s="31"/>
      <c r="G1304" s="31"/>
      <c r="H1304" s="31"/>
      <c r="I1304" s="56"/>
      <c r="J1304" s="56"/>
      <c r="K1304" s="82" t="str">
        <f t="shared" si="381"/>
        <v>Invoice</v>
      </c>
      <c r="L1304" s="83" t="str">
        <f>"SI_112013"</f>
        <v>SI_112013</v>
      </c>
      <c r="M1304" s="84">
        <v>42855</v>
      </c>
      <c r="N1304" s="85">
        <f t="shared" si="382"/>
        <v>957</v>
      </c>
      <c r="O1304" s="86">
        <f t="shared" si="383"/>
        <v>10967.43</v>
      </c>
      <c r="P1304" s="86">
        <f t="shared" si="384"/>
        <v>0</v>
      </c>
      <c r="Q1304" s="86">
        <f t="shared" si="385"/>
        <v>0</v>
      </c>
      <c r="R1304" s="86">
        <f t="shared" si="386"/>
        <v>0</v>
      </c>
      <c r="S1304" s="86">
        <f t="shared" si="387"/>
        <v>0</v>
      </c>
      <c r="T1304" s="86">
        <f t="shared" si="388"/>
        <v>10967.43</v>
      </c>
      <c r="U1304" s="87">
        <v>10967.43</v>
      </c>
    </row>
    <row r="1305" spans="1:21" s="30" customFormat="1" ht="24.6" hidden="1" outlineLevel="1" x14ac:dyDescent="0.55000000000000004">
      <c r="A1305" s="27" t="s">
        <v>327</v>
      </c>
      <c r="B1305" s="28"/>
      <c r="C1305" s="27"/>
      <c r="D1305" s="27" t="str">
        <f>"""NAV Direct"",""CRONUS JetCorp USA"",""21"",""1"",""388951"""</f>
        <v>"NAV Direct","CRONUS JetCorp USA","21","1","388951"</v>
      </c>
      <c r="E1305" s="31">
        <f t="shared" si="380"/>
        <v>0</v>
      </c>
      <c r="F1305" s="31"/>
      <c r="G1305" s="31"/>
      <c r="H1305" s="31"/>
      <c r="I1305" s="56"/>
      <c r="J1305" s="56"/>
      <c r="K1305" s="82" t="str">
        <f t="shared" si="381"/>
        <v>Invoice</v>
      </c>
      <c r="L1305" s="83" t="str">
        <f>"SI_112021"</f>
        <v>SI_112021</v>
      </c>
      <c r="M1305" s="84">
        <v>42886</v>
      </c>
      <c r="N1305" s="85">
        <f t="shared" si="382"/>
        <v>926</v>
      </c>
      <c r="O1305" s="86">
        <f t="shared" si="383"/>
        <v>11410.88</v>
      </c>
      <c r="P1305" s="86">
        <f t="shared" si="384"/>
        <v>0</v>
      </c>
      <c r="Q1305" s="86">
        <f t="shared" si="385"/>
        <v>0</v>
      </c>
      <c r="R1305" s="86">
        <f t="shared" si="386"/>
        <v>0</v>
      </c>
      <c r="S1305" s="86">
        <f t="shared" si="387"/>
        <v>0</v>
      </c>
      <c r="T1305" s="86">
        <f t="shared" si="388"/>
        <v>11410.88</v>
      </c>
      <c r="U1305" s="87">
        <v>11410.88</v>
      </c>
    </row>
    <row r="1306" spans="1:21" s="30" customFormat="1" ht="24.6" hidden="1" outlineLevel="1" x14ac:dyDescent="0.55000000000000004">
      <c r="A1306" s="27" t="s">
        <v>327</v>
      </c>
      <c r="B1306" s="28"/>
      <c r="C1306" s="27"/>
      <c r="D1306" s="27" t="str">
        <f>"""NAV Direct"",""CRONUS JetCorp USA"",""21"",""1"",""390496"""</f>
        <v>"NAV Direct","CRONUS JetCorp USA","21","1","390496"</v>
      </c>
      <c r="E1306" s="31" t="str">
        <f t="shared" si="380"/>
        <v>C100046</v>
      </c>
      <c r="F1306" s="31"/>
      <c r="G1306" s="31"/>
      <c r="H1306" s="31"/>
      <c r="I1306" s="56"/>
      <c r="J1306" s="56"/>
      <c r="K1306" s="82" t="str">
        <f t="shared" si="381"/>
        <v>Invoice</v>
      </c>
      <c r="L1306" s="83" t="str">
        <f>"SI_112053"</f>
        <v>SI_112053</v>
      </c>
      <c r="M1306" s="84">
        <v>43131</v>
      </c>
      <c r="N1306" s="85">
        <f t="shared" si="382"/>
        <v>681</v>
      </c>
      <c r="O1306" s="86">
        <f t="shared" si="383"/>
        <v>8221.369999999999</v>
      </c>
      <c r="P1306" s="86">
        <f t="shared" si="384"/>
        <v>0</v>
      </c>
      <c r="Q1306" s="86">
        <f t="shared" si="385"/>
        <v>0</v>
      </c>
      <c r="R1306" s="86">
        <f t="shared" si="386"/>
        <v>0</v>
      </c>
      <c r="S1306" s="86">
        <f t="shared" si="387"/>
        <v>0</v>
      </c>
      <c r="T1306" s="86">
        <f t="shared" si="388"/>
        <v>8221.369999999999</v>
      </c>
      <c r="U1306" s="87">
        <v>8221.369999999999</v>
      </c>
    </row>
    <row r="1307" spans="1:21" s="30" customFormat="1" ht="24.6" hidden="1" outlineLevel="1" x14ac:dyDescent="0.55000000000000004">
      <c r="A1307" s="27" t="s">
        <v>327</v>
      </c>
      <c r="B1307" s="28"/>
      <c r="C1307" s="27"/>
      <c r="D1307" s="27" t="str">
        <f>"""NAV Direct"",""CRONUS JetCorp USA"",""21"",""1"",""390771"""</f>
        <v>"NAV Direct","CRONUS JetCorp USA","21","1","390771"</v>
      </c>
      <c r="E1307" s="31">
        <f t="shared" si="380"/>
        <v>0</v>
      </c>
      <c r="F1307" s="31"/>
      <c r="G1307" s="31"/>
      <c r="H1307" s="31"/>
      <c r="I1307" s="56"/>
      <c r="J1307" s="56"/>
      <c r="K1307" s="82" t="str">
        <f t="shared" si="381"/>
        <v>Invoice</v>
      </c>
      <c r="L1307" s="83" t="str">
        <f>"SI_112060"</f>
        <v>SI_112060</v>
      </c>
      <c r="M1307" s="84">
        <v>43190</v>
      </c>
      <c r="N1307" s="85">
        <f t="shared" si="382"/>
        <v>622</v>
      </c>
      <c r="O1307" s="86">
        <f t="shared" si="383"/>
        <v>8291.18</v>
      </c>
      <c r="P1307" s="86">
        <f t="shared" si="384"/>
        <v>0</v>
      </c>
      <c r="Q1307" s="86">
        <f t="shared" si="385"/>
        <v>0</v>
      </c>
      <c r="R1307" s="86">
        <f t="shared" si="386"/>
        <v>0</v>
      </c>
      <c r="S1307" s="86">
        <f t="shared" si="387"/>
        <v>0</v>
      </c>
      <c r="T1307" s="86">
        <f t="shared" si="388"/>
        <v>8291.18</v>
      </c>
      <c r="U1307" s="87">
        <v>8291.18</v>
      </c>
    </row>
    <row r="1308" spans="1:21" s="30" customFormat="1" ht="24.6" hidden="1" outlineLevel="1" x14ac:dyDescent="0.55000000000000004">
      <c r="A1308" s="27" t="s">
        <v>327</v>
      </c>
      <c r="B1308" s="28"/>
      <c r="C1308" s="27"/>
      <c r="D1308" s="27" t="str">
        <f>"""NAV Direct"",""CRONUS JetCorp USA"",""21"",""1"",""392120"""</f>
        <v>"NAV Direct","CRONUS JetCorp USA","21","1","392120"</v>
      </c>
      <c r="E1308" s="31" t="str">
        <f t="shared" si="380"/>
        <v>C100046</v>
      </c>
      <c r="F1308" s="31"/>
      <c r="G1308" s="31"/>
      <c r="H1308" s="31"/>
      <c r="I1308" s="56"/>
      <c r="J1308" s="56"/>
      <c r="K1308" s="82" t="str">
        <f t="shared" si="381"/>
        <v>Invoice</v>
      </c>
      <c r="L1308" s="83" t="str">
        <f>"SI_112087"</f>
        <v>SI_112087</v>
      </c>
      <c r="M1308" s="84">
        <v>43404</v>
      </c>
      <c r="N1308" s="85">
        <f t="shared" si="382"/>
        <v>408</v>
      </c>
      <c r="O1308" s="86">
        <f t="shared" si="383"/>
        <v>12545.65</v>
      </c>
      <c r="P1308" s="86">
        <f t="shared" si="384"/>
        <v>0</v>
      </c>
      <c r="Q1308" s="86">
        <f t="shared" si="385"/>
        <v>0</v>
      </c>
      <c r="R1308" s="86">
        <f t="shared" si="386"/>
        <v>0</v>
      </c>
      <c r="S1308" s="86">
        <f t="shared" si="387"/>
        <v>0</v>
      </c>
      <c r="T1308" s="86">
        <f t="shared" si="388"/>
        <v>12545.65</v>
      </c>
      <c r="U1308" s="87">
        <v>12545.65</v>
      </c>
    </row>
    <row r="1309" spans="1:21" s="30" customFormat="1" ht="24.6" hidden="1" outlineLevel="1" x14ac:dyDescent="0.55000000000000004">
      <c r="A1309" s="27" t="s">
        <v>327</v>
      </c>
      <c r="B1309" s="28"/>
      <c r="C1309" s="27"/>
      <c r="D1309" s="27" t="str">
        <f>"""NAV Direct"",""CRONUS JetCorp USA"",""21"",""1"",""392976"""</f>
        <v>"NAV Direct","CRONUS JetCorp USA","21","1","392976"</v>
      </c>
      <c r="E1309" s="31">
        <f t="shared" si="380"/>
        <v>0</v>
      </c>
      <c r="F1309" s="31"/>
      <c r="G1309" s="31"/>
      <c r="H1309" s="31"/>
      <c r="I1309" s="56"/>
      <c r="J1309" s="56"/>
      <c r="K1309" s="82" t="str">
        <f t="shared" si="381"/>
        <v>Invoice</v>
      </c>
      <c r="L1309" s="83" t="str">
        <f>"SI_112103"</f>
        <v>SI_112103</v>
      </c>
      <c r="M1309" s="84">
        <v>43524</v>
      </c>
      <c r="N1309" s="85">
        <f t="shared" si="382"/>
        <v>288</v>
      </c>
      <c r="O1309" s="86">
        <f t="shared" si="383"/>
        <v>11824.41</v>
      </c>
      <c r="P1309" s="86">
        <f t="shared" si="384"/>
        <v>0</v>
      </c>
      <c r="Q1309" s="86">
        <f t="shared" si="385"/>
        <v>0</v>
      </c>
      <c r="R1309" s="86">
        <f t="shared" si="386"/>
        <v>0</v>
      </c>
      <c r="S1309" s="86">
        <f t="shared" si="387"/>
        <v>0</v>
      </c>
      <c r="T1309" s="86">
        <f t="shared" si="388"/>
        <v>11824.41</v>
      </c>
      <c r="U1309" s="87">
        <v>11824.41</v>
      </c>
    </row>
    <row r="1310" spans="1:21" s="30" customFormat="1" ht="24.6" hidden="1" outlineLevel="1" x14ac:dyDescent="0.55000000000000004">
      <c r="A1310" s="27" t="s">
        <v>327</v>
      </c>
      <c r="B1310" s="28"/>
      <c r="C1310" s="27"/>
      <c r="D1310" s="27" t="str">
        <f>"""NAV Direct"",""CRONUS JetCorp USA"",""21"",""1"",""394004"""</f>
        <v>"NAV Direct","CRONUS JetCorp USA","21","1","394004"</v>
      </c>
      <c r="E1310" s="31" t="str">
        <f t="shared" si="380"/>
        <v>C100046</v>
      </c>
      <c r="F1310" s="31"/>
      <c r="G1310" s="31"/>
      <c r="H1310" s="31"/>
      <c r="I1310" s="56"/>
      <c r="J1310" s="56"/>
      <c r="K1310" s="82" t="str">
        <f t="shared" si="381"/>
        <v>Invoice</v>
      </c>
      <c r="L1310" s="83" t="str">
        <f>"SI_112121"</f>
        <v>SI_112121</v>
      </c>
      <c r="M1310" s="84">
        <v>43616</v>
      </c>
      <c r="N1310" s="85">
        <f t="shared" si="382"/>
        <v>196</v>
      </c>
      <c r="O1310" s="86">
        <f t="shared" si="383"/>
        <v>10317.650000000001</v>
      </c>
      <c r="P1310" s="86">
        <f t="shared" si="384"/>
        <v>0</v>
      </c>
      <c r="Q1310" s="86">
        <f t="shared" si="385"/>
        <v>0</v>
      </c>
      <c r="R1310" s="86">
        <f t="shared" si="386"/>
        <v>0</v>
      </c>
      <c r="S1310" s="86">
        <f t="shared" si="387"/>
        <v>0</v>
      </c>
      <c r="T1310" s="86">
        <f t="shared" si="388"/>
        <v>10317.650000000001</v>
      </c>
      <c r="U1310" s="87">
        <v>10317.650000000001</v>
      </c>
    </row>
    <row r="1311" spans="1:21" s="30" customFormat="1" ht="24.6" hidden="1" outlineLevel="1" x14ac:dyDescent="0.55000000000000004">
      <c r="A1311" s="27" t="s">
        <v>327</v>
      </c>
      <c r="B1311" s="28"/>
      <c r="C1311" s="27"/>
      <c r="D1311" s="27" t="str">
        <f>"""NAV Direct"",""CRONUS JetCorp USA"",""21"",""1"",""394534"""</f>
        <v>"NAV Direct","CRONUS JetCorp USA","21","1","394534"</v>
      </c>
      <c r="E1311" s="31">
        <f t="shared" si="380"/>
        <v>0</v>
      </c>
      <c r="F1311" s="31"/>
      <c r="G1311" s="31"/>
      <c r="H1311" s="31"/>
      <c r="I1311" s="56"/>
      <c r="J1311" s="56"/>
      <c r="K1311" s="82" t="str">
        <f t="shared" si="381"/>
        <v>Invoice</v>
      </c>
      <c r="L1311" s="83" t="str">
        <f>"SI_112131"</f>
        <v>SI_112131</v>
      </c>
      <c r="M1311" s="84">
        <v>43677</v>
      </c>
      <c r="N1311" s="85">
        <f t="shared" si="382"/>
        <v>135</v>
      </c>
      <c r="O1311" s="86">
        <f t="shared" si="383"/>
        <v>9432.2999999999993</v>
      </c>
      <c r="P1311" s="86">
        <f t="shared" si="384"/>
        <v>0</v>
      </c>
      <c r="Q1311" s="86">
        <f t="shared" si="385"/>
        <v>0</v>
      </c>
      <c r="R1311" s="86">
        <f t="shared" si="386"/>
        <v>0</v>
      </c>
      <c r="S1311" s="86">
        <f t="shared" si="387"/>
        <v>0</v>
      </c>
      <c r="T1311" s="86">
        <f t="shared" si="388"/>
        <v>9432.2999999999993</v>
      </c>
      <c r="U1311" s="87">
        <v>9432.2999999999993</v>
      </c>
    </row>
    <row r="1312" spans="1:21" s="30" customFormat="1" ht="24.6" hidden="1" outlineLevel="1" x14ac:dyDescent="0.55000000000000004">
      <c r="A1312" s="27" t="s">
        <v>327</v>
      </c>
      <c r="B1312" s="28"/>
      <c r="C1312" s="27"/>
      <c r="D1312" s="27" t="str">
        <f>"""NAV Direct"",""CRONUS JetCorp USA"",""21"",""1"",""394601"""</f>
        <v>"NAV Direct","CRONUS JetCorp USA","21","1","394601"</v>
      </c>
      <c r="E1312" s="31" t="str">
        <f t="shared" si="380"/>
        <v>C100046</v>
      </c>
      <c r="F1312" s="31"/>
      <c r="G1312" s="31"/>
      <c r="H1312" s="31"/>
      <c r="I1312" s="56"/>
      <c r="J1312" s="56"/>
      <c r="K1312" s="82" t="str">
        <f t="shared" si="381"/>
        <v>Invoice</v>
      </c>
      <c r="L1312" s="83" t="str">
        <f>"SI_112132"</f>
        <v>SI_112132</v>
      </c>
      <c r="M1312" s="84">
        <v>43677</v>
      </c>
      <c r="N1312" s="85">
        <f t="shared" si="382"/>
        <v>135</v>
      </c>
      <c r="O1312" s="86">
        <f t="shared" si="383"/>
        <v>10386.02</v>
      </c>
      <c r="P1312" s="86">
        <f t="shared" si="384"/>
        <v>0</v>
      </c>
      <c r="Q1312" s="86">
        <f t="shared" si="385"/>
        <v>0</v>
      </c>
      <c r="R1312" s="86">
        <f t="shared" si="386"/>
        <v>0</v>
      </c>
      <c r="S1312" s="86">
        <f t="shared" si="387"/>
        <v>0</v>
      </c>
      <c r="T1312" s="86">
        <f t="shared" si="388"/>
        <v>10386.02</v>
      </c>
      <c r="U1312" s="87">
        <v>10386.02</v>
      </c>
    </row>
    <row r="1313" spans="1:21" s="30" customFormat="1" ht="24.6" hidden="1" outlineLevel="1" x14ac:dyDescent="0.55000000000000004">
      <c r="A1313" s="27" t="s">
        <v>327</v>
      </c>
      <c r="B1313" s="28"/>
      <c r="C1313" s="27"/>
      <c r="D1313" s="27" t="str">
        <f>"""NAV Direct"",""CRONUS JetCorp USA"",""21"",""1"",""396670"""</f>
        <v>"NAV Direct","CRONUS JetCorp USA","21","1","396670"</v>
      </c>
      <c r="E1313" s="31">
        <f t="shared" si="380"/>
        <v>0</v>
      </c>
      <c r="F1313" s="31"/>
      <c r="G1313" s="31"/>
      <c r="H1313" s="31"/>
      <c r="I1313" s="56"/>
      <c r="J1313" s="56"/>
      <c r="K1313" s="82" t="str">
        <f t="shared" si="381"/>
        <v>Invoice</v>
      </c>
      <c r="L1313" s="83" t="str">
        <f>"SI_112171"</f>
        <v>SI_112171</v>
      </c>
      <c r="M1313" s="84">
        <v>43830</v>
      </c>
      <c r="N1313" s="85">
        <f t="shared" si="382"/>
        <v>-18</v>
      </c>
      <c r="O1313" s="86">
        <f t="shared" si="383"/>
        <v>9485.7800000000007</v>
      </c>
      <c r="P1313" s="86">
        <f t="shared" si="384"/>
        <v>9485.7800000000007</v>
      </c>
      <c r="Q1313" s="86">
        <f t="shared" si="385"/>
        <v>0</v>
      </c>
      <c r="R1313" s="86">
        <f t="shared" si="386"/>
        <v>0</v>
      </c>
      <c r="S1313" s="86">
        <f t="shared" si="387"/>
        <v>0</v>
      </c>
      <c r="T1313" s="86">
        <f t="shared" si="388"/>
        <v>0</v>
      </c>
      <c r="U1313" s="87">
        <v>9485.7800000000007</v>
      </c>
    </row>
    <row r="1314" spans="1:21" s="30" customFormat="1" ht="24.6" hidden="1" outlineLevel="1" x14ac:dyDescent="0.55000000000000004">
      <c r="A1314" s="27" t="s">
        <v>327</v>
      </c>
      <c r="B1314" s="28"/>
      <c r="C1314" s="27"/>
      <c r="D1314" s="27" t="str">
        <f>"""NAV Direct"",""CRONUS JetCorp USA"",""21"",""1"",""397017"""</f>
        <v>"NAV Direct","CRONUS JetCorp USA","21","1","397017"</v>
      </c>
      <c r="E1314" s="31" t="str">
        <f t="shared" si="380"/>
        <v>C100046</v>
      </c>
      <c r="F1314" s="31"/>
      <c r="G1314" s="31"/>
      <c r="H1314" s="31"/>
      <c r="I1314" s="56"/>
      <c r="J1314" s="56"/>
      <c r="K1314" s="82" t="str">
        <f t="shared" si="381"/>
        <v>Invoice</v>
      </c>
      <c r="L1314" s="83" t="str">
        <f>"SI_112178"</f>
        <v>SI_112178</v>
      </c>
      <c r="M1314" s="84">
        <v>42035</v>
      </c>
      <c r="N1314" s="85">
        <f t="shared" si="382"/>
        <v>1777</v>
      </c>
      <c r="O1314" s="86">
        <f t="shared" si="383"/>
        <v>9818.98</v>
      </c>
      <c r="P1314" s="86">
        <f t="shared" si="384"/>
        <v>0</v>
      </c>
      <c r="Q1314" s="86">
        <f t="shared" si="385"/>
        <v>0</v>
      </c>
      <c r="R1314" s="86">
        <f t="shared" si="386"/>
        <v>0</v>
      </c>
      <c r="S1314" s="86">
        <f t="shared" si="387"/>
        <v>0</v>
      </c>
      <c r="T1314" s="86">
        <f t="shared" si="388"/>
        <v>9818.98</v>
      </c>
      <c r="U1314" s="87">
        <v>9818.98</v>
      </c>
    </row>
    <row r="1315" spans="1:21" s="30" customFormat="1" ht="24.6" hidden="1" outlineLevel="1" x14ac:dyDescent="0.55000000000000004">
      <c r="A1315" s="27" t="s">
        <v>327</v>
      </c>
      <c r="B1315" s="28"/>
      <c r="C1315" s="27"/>
      <c r="D1315" s="27" t="str">
        <f>"""NAV Direct"",""CRONUS JetCorp USA"",""21"",""1"",""397382"""</f>
        <v>"NAV Direct","CRONUS JetCorp USA","21","1","397382"</v>
      </c>
      <c r="E1315" s="31">
        <f t="shared" si="380"/>
        <v>0</v>
      </c>
      <c r="F1315" s="31"/>
      <c r="G1315" s="31"/>
      <c r="H1315" s="31"/>
      <c r="I1315" s="56"/>
      <c r="J1315" s="56"/>
      <c r="K1315" s="82" t="str">
        <f t="shared" si="381"/>
        <v>Invoice</v>
      </c>
      <c r="L1315" s="83" t="str">
        <f>"SI_112185"</f>
        <v>SI_112185</v>
      </c>
      <c r="M1315" s="84">
        <v>42094</v>
      </c>
      <c r="N1315" s="85">
        <f t="shared" si="382"/>
        <v>1718</v>
      </c>
      <c r="O1315" s="86">
        <f t="shared" si="383"/>
        <v>9850.4399999999987</v>
      </c>
      <c r="P1315" s="86">
        <f t="shared" si="384"/>
        <v>0</v>
      </c>
      <c r="Q1315" s="86">
        <f t="shared" si="385"/>
        <v>0</v>
      </c>
      <c r="R1315" s="86">
        <f t="shared" si="386"/>
        <v>0</v>
      </c>
      <c r="S1315" s="86">
        <f t="shared" si="387"/>
        <v>0</v>
      </c>
      <c r="T1315" s="86">
        <f t="shared" si="388"/>
        <v>9850.4399999999987</v>
      </c>
      <c r="U1315" s="87">
        <v>9850.4399999999987</v>
      </c>
    </row>
    <row r="1316" spans="1:21" s="30" customFormat="1" ht="24.6" hidden="1" outlineLevel="1" x14ac:dyDescent="0.55000000000000004">
      <c r="A1316" s="27" t="s">
        <v>327</v>
      </c>
      <c r="B1316" s="28"/>
      <c r="C1316" s="27"/>
      <c r="D1316" s="27" t="str">
        <f>"""NAV Direct"",""CRONUS JetCorp USA"",""21"",""1"",""397841"""</f>
        <v>"NAV Direct","CRONUS JetCorp USA","21","1","397841"</v>
      </c>
      <c r="E1316" s="31" t="str">
        <f t="shared" si="380"/>
        <v>C100046</v>
      </c>
      <c r="F1316" s="31"/>
      <c r="G1316" s="31"/>
      <c r="H1316" s="31"/>
      <c r="I1316" s="56"/>
      <c r="J1316" s="56"/>
      <c r="K1316" s="82" t="str">
        <f t="shared" si="381"/>
        <v>Invoice</v>
      </c>
      <c r="L1316" s="83" t="str">
        <f>"SI_112195"</f>
        <v>SI_112195</v>
      </c>
      <c r="M1316" s="84">
        <v>42124</v>
      </c>
      <c r="N1316" s="85">
        <f t="shared" si="382"/>
        <v>1688</v>
      </c>
      <c r="O1316" s="86">
        <f t="shared" si="383"/>
        <v>9645.2200000000012</v>
      </c>
      <c r="P1316" s="86">
        <f t="shared" si="384"/>
        <v>0</v>
      </c>
      <c r="Q1316" s="86">
        <f t="shared" si="385"/>
        <v>0</v>
      </c>
      <c r="R1316" s="86">
        <f t="shared" si="386"/>
        <v>0</v>
      </c>
      <c r="S1316" s="86">
        <f t="shared" si="387"/>
        <v>0</v>
      </c>
      <c r="T1316" s="86">
        <f t="shared" si="388"/>
        <v>9645.2200000000012</v>
      </c>
      <c r="U1316" s="87">
        <v>9645.2200000000012</v>
      </c>
    </row>
    <row r="1317" spans="1:21" s="30" customFormat="1" ht="24.6" hidden="1" outlineLevel="1" x14ac:dyDescent="0.55000000000000004">
      <c r="A1317" s="27" t="s">
        <v>327</v>
      </c>
      <c r="B1317" s="28"/>
      <c r="C1317" s="27"/>
      <c r="D1317" s="27" t="str">
        <f>"""NAV Direct"",""CRONUS JetCorp USA"",""21"",""1"",""398440"""</f>
        <v>"NAV Direct","CRONUS JetCorp USA","21","1","398440"</v>
      </c>
      <c r="E1317" s="31">
        <f t="shared" si="380"/>
        <v>0</v>
      </c>
      <c r="F1317" s="31"/>
      <c r="G1317" s="31"/>
      <c r="H1317" s="31"/>
      <c r="I1317" s="56"/>
      <c r="J1317" s="56"/>
      <c r="K1317" s="82" t="str">
        <f t="shared" si="381"/>
        <v>Invoice</v>
      </c>
      <c r="L1317" s="83" t="str">
        <f>"SI_112208"</f>
        <v>SI_112208</v>
      </c>
      <c r="M1317" s="84">
        <v>42185</v>
      </c>
      <c r="N1317" s="85">
        <f t="shared" si="382"/>
        <v>1627</v>
      </c>
      <c r="O1317" s="86">
        <f t="shared" si="383"/>
        <v>7092.19</v>
      </c>
      <c r="P1317" s="86">
        <f t="shared" si="384"/>
        <v>0</v>
      </c>
      <c r="Q1317" s="86">
        <f t="shared" si="385"/>
        <v>0</v>
      </c>
      <c r="R1317" s="86">
        <f t="shared" si="386"/>
        <v>0</v>
      </c>
      <c r="S1317" s="86">
        <f t="shared" si="387"/>
        <v>0</v>
      </c>
      <c r="T1317" s="86">
        <f t="shared" si="388"/>
        <v>7092.19</v>
      </c>
      <c r="U1317" s="87">
        <v>7092.19</v>
      </c>
    </row>
    <row r="1318" spans="1:21" s="30" customFormat="1" ht="24.6" hidden="1" outlineLevel="1" x14ac:dyDescent="0.55000000000000004">
      <c r="A1318" s="27" t="s">
        <v>327</v>
      </c>
      <c r="B1318" s="28"/>
      <c r="C1318" s="27"/>
      <c r="D1318" s="27" t="str">
        <f>"""NAV Direct"",""CRONUS JetCorp USA"",""21"",""1"",""399306"""</f>
        <v>"NAV Direct","CRONUS JetCorp USA","21","1","399306"</v>
      </c>
      <c r="E1318" s="31" t="str">
        <f t="shared" si="380"/>
        <v>C100046</v>
      </c>
      <c r="F1318" s="31"/>
      <c r="G1318" s="31"/>
      <c r="H1318" s="31"/>
      <c r="I1318" s="56"/>
      <c r="J1318" s="56"/>
      <c r="K1318" s="82" t="str">
        <f t="shared" si="381"/>
        <v>Invoice</v>
      </c>
      <c r="L1318" s="83" t="str">
        <f>"SI_112228"</f>
        <v>SI_112228</v>
      </c>
      <c r="M1318" s="84">
        <v>42247</v>
      </c>
      <c r="N1318" s="85">
        <f t="shared" si="382"/>
        <v>1565</v>
      </c>
      <c r="O1318" s="86">
        <f t="shared" si="383"/>
        <v>7623.7599999999993</v>
      </c>
      <c r="P1318" s="86">
        <f t="shared" si="384"/>
        <v>0</v>
      </c>
      <c r="Q1318" s="86">
        <f t="shared" si="385"/>
        <v>0</v>
      </c>
      <c r="R1318" s="86">
        <f t="shared" si="386"/>
        <v>0</v>
      </c>
      <c r="S1318" s="86">
        <f t="shared" si="387"/>
        <v>0</v>
      </c>
      <c r="T1318" s="86">
        <f t="shared" si="388"/>
        <v>7623.7599999999993</v>
      </c>
      <c r="U1318" s="87">
        <v>7623.7599999999993</v>
      </c>
    </row>
    <row r="1319" spans="1:21" s="30" customFormat="1" ht="24.6" hidden="1" outlineLevel="1" x14ac:dyDescent="0.55000000000000004">
      <c r="A1319" s="27" t="s">
        <v>327</v>
      </c>
      <c r="B1319" s="28"/>
      <c r="C1319" s="27"/>
      <c r="D1319" s="27" t="str">
        <f>"""NAV Direct"",""CRONUS JetCorp USA"",""21"",""1"",""399672"""</f>
        <v>"NAV Direct","CRONUS JetCorp USA","21","1","399672"</v>
      </c>
      <c r="E1319" s="31">
        <f t="shared" si="380"/>
        <v>0</v>
      </c>
      <c r="F1319" s="31"/>
      <c r="G1319" s="31"/>
      <c r="H1319" s="31"/>
      <c r="I1319" s="56"/>
      <c r="J1319" s="56"/>
      <c r="K1319" s="82" t="str">
        <f t="shared" si="381"/>
        <v>Invoice</v>
      </c>
      <c r="L1319" s="83" t="str">
        <f>"SI_112236"</f>
        <v>SI_112236</v>
      </c>
      <c r="M1319" s="84">
        <v>42277</v>
      </c>
      <c r="N1319" s="85">
        <f t="shared" si="382"/>
        <v>1535</v>
      </c>
      <c r="O1319" s="86">
        <f t="shared" si="383"/>
        <v>8675.36</v>
      </c>
      <c r="P1319" s="86">
        <f t="shared" si="384"/>
        <v>0</v>
      </c>
      <c r="Q1319" s="86">
        <f t="shared" si="385"/>
        <v>0</v>
      </c>
      <c r="R1319" s="86">
        <f t="shared" si="386"/>
        <v>0</v>
      </c>
      <c r="S1319" s="86">
        <f t="shared" si="387"/>
        <v>0</v>
      </c>
      <c r="T1319" s="86">
        <f t="shared" si="388"/>
        <v>8675.36</v>
      </c>
      <c r="U1319" s="87">
        <v>8675.36</v>
      </c>
    </row>
    <row r="1320" spans="1:21" s="30" customFormat="1" ht="24.6" hidden="1" outlineLevel="1" x14ac:dyDescent="0.55000000000000004">
      <c r="A1320" s="27" t="s">
        <v>327</v>
      </c>
      <c r="B1320" s="28"/>
      <c r="C1320" s="27"/>
      <c r="D1320" s="27" t="str">
        <f>"""NAV Direct"",""CRONUS JetCorp USA"",""21"",""1"",""400325"""</f>
        <v>"NAV Direct","CRONUS JetCorp USA","21","1","400325"</v>
      </c>
      <c r="E1320" s="31" t="str">
        <f t="shared" si="380"/>
        <v>C100046</v>
      </c>
      <c r="F1320" s="31"/>
      <c r="G1320" s="31"/>
      <c r="H1320" s="31"/>
      <c r="I1320" s="56"/>
      <c r="J1320" s="56"/>
      <c r="K1320" s="82" t="str">
        <f t="shared" si="381"/>
        <v>Invoice</v>
      </c>
      <c r="L1320" s="83" t="str">
        <f>"SI_112249"</f>
        <v>SI_112249</v>
      </c>
      <c r="M1320" s="84">
        <v>42308</v>
      </c>
      <c r="N1320" s="85">
        <f t="shared" si="382"/>
        <v>1504</v>
      </c>
      <c r="O1320" s="86">
        <f t="shared" si="383"/>
        <v>9743.7900000000009</v>
      </c>
      <c r="P1320" s="86">
        <f t="shared" si="384"/>
        <v>0</v>
      </c>
      <c r="Q1320" s="86">
        <f t="shared" si="385"/>
        <v>0</v>
      </c>
      <c r="R1320" s="86">
        <f t="shared" si="386"/>
        <v>0</v>
      </c>
      <c r="S1320" s="86">
        <f t="shared" si="387"/>
        <v>0</v>
      </c>
      <c r="T1320" s="86">
        <f t="shared" si="388"/>
        <v>9743.7900000000009</v>
      </c>
      <c r="U1320" s="87">
        <v>9743.7900000000009</v>
      </c>
    </row>
    <row r="1321" spans="1:21" s="30" customFormat="1" ht="24.6" hidden="1" outlineLevel="1" x14ac:dyDescent="0.55000000000000004">
      <c r="A1321" s="27" t="s">
        <v>327</v>
      </c>
      <c r="B1321" s="28"/>
      <c r="C1321" s="27"/>
      <c r="D1321" s="27" t="str">
        <f>"""NAV Direct"",""CRONUS JetCorp USA"",""21"",""1"",""400441"""</f>
        <v>"NAV Direct","CRONUS JetCorp USA","21","1","400441"</v>
      </c>
      <c r="E1321" s="31">
        <f t="shared" si="380"/>
        <v>0</v>
      </c>
      <c r="F1321" s="31"/>
      <c r="G1321" s="31"/>
      <c r="H1321" s="31"/>
      <c r="I1321" s="56"/>
      <c r="J1321" s="56"/>
      <c r="K1321" s="82" t="str">
        <f t="shared" si="381"/>
        <v>Invoice</v>
      </c>
      <c r="L1321" s="83" t="str">
        <f>"SI_112251"</f>
        <v>SI_112251</v>
      </c>
      <c r="M1321" s="84">
        <v>42308</v>
      </c>
      <c r="N1321" s="85">
        <f t="shared" si="382"/>
        <v>1504</v>
      </c>
      <c r="O1321" s="86">
        <f t="shared" si="383"/>
        <v>9844.2100000000009</v>
      </c>
      <c r="P1321" s="86">
        <f t="shared" si="384"/>
        <v>0</v>
      </c>
      <c r="Q1321" s="86">
        <f t="shared" si="385"/>
        <v>0</v>
      </c>
      <c r="R1321" s="86">
        <f t="shared" si="386"/>
        <v>0</v>
      </c>
      <c r="S1321" s="86">
        <f t="shared" si="387"/>
        <v>0</v>
      </c>
      <c r="T1321" s="86">
        <f t="shared" si="388"/>
        <v>9844.2100000000009</v>
      </c>
      <c r="U1321" s="87">
        <v>9844.2100000000009</v>
      </c>
    </row>
    <row r="1322" spans="1:21" s="30" customFormat="1" ht="24.6" hidden="1" outlineLevel="1" x14ac:dyDescent="0.55000000000000004">
      <c r="A1322" s="27" t="s">
        <v>327</v>
      </c>
      <c r="B1322" s="28"/>
      <c r="C1322" s="27"/>
      <c r="D1322" s="27" t="str">
        <f>"""NAV Direct"",""CRONUS JetCorp USA"",""21"",""1"",""401277"""</f>
        <v>"NAV Direct","CRONUS JetCorp USA","21","1","401277"</v>
      </c>
      <c r="E1322" s="31" t="str">
        <f t="shared" si="380"/>
        <v>C100046</v>
      </c>
      <c r="F1322" s="31"/>
      <c r="G1322" s="31"/>
      <c r="H1322" s="31"/>
      <c r="I1322" s="56"/>
      <c r="J1322" s="56"/>
      <c r="K1322" s="82" t="str">
        <f t="shared" si="381"/>
        <v>Invoice</v>
      </c>
      <c r="L1322" s="83" t="str">
        <f>"SI_112269"</f>
        <v>SI_112269</v>
      </c>
      <c r="M1322" s="84">
        <v>42369</v>
      </c>
      <c r="N1322" s="85">
        <f t="shared" si="382"/>
        <v>1443</v>
      </c>
      <c r="O1322" s="86">
        <f t="shared" si="383"/>
        <v>6943.2199999999993</v>
      </c>
      <c r="P1322" s="86">
        <f t="shared" si="384"/>
        <v>0</v>
      </c>
      <c r="Q1322" s="86">
        <f t="shared" si="385"/>
        <v>0</v>
      </c>
      <c r="R1322" s="86">
        <f t="shared" si="386"/>
        <v>0</v>
      </c>
      <c r="S1322" s="86">
        <f t="shared" si="387"/>
        <v>0</v>
      </c>
      <c r="T1322" s="86">
        <f t="shared" si="388"/>
        <v>6943.2199999999993</v>
      </c>
      <c r="U1322" s="87">
        <v>6943.2199999999993</v>
      </c>
    </row>
    <row r="1323" spans="1:21" s="30" customFormat="1" ht="24.6" hidden="1" outlineLevel="1" x14ac:dyDescent="0.55000000000000004">
      <c r="A1323" s="27" t="s">
        <v>327</v>
      </c>
      <c r="B1323" s="28"/>
      <c r="C1323" s="27"/>
      <c r="D1323" s="27" t="str">
        <f>"""NAV Direct"",""CRONUS JetCorp USA"",""21"",""1"",""438707"""</f>
        <v>"NAV Direct","CRONUS JetCorp USA","21","1","438707"</v>
      </c>
      <c r="E1323" s="31">
        <f t="shared" si="380"/>
        <v>0</v>
      </c>
      <c r="F1323" s="31"/>
      <c r="G1323" s="31"/>
      <c r="H1323" s="31"/>
      <c r="I1323" s="56"/>
      <c r="J1323" s="56"/>
      <c r="K1323" s="82" t="str">
        <f t="shared" ref="K1323:K1329" si="389">"Credit Memo"</f>
        <v>Credit Memo</v>
      </c>
      <c r="L1323" s="83" t="str">
        <f>"SC_100831"</f>
        <v>SC_100831</v>
      </c>
      <c r="M1323" s="84">
        <v>42504</v>
      </c>
      <c r="N1323" s="85">
        <f t="shared" si="382"/>
        <v>1308</v>
      </c>
      <c r="O1323" s="86">
        <f t="shared" si="383"/>
        <v>-97.52</v>
      </c>
      <c r="P1323" s="86">
        <f t="shared" si="384"/>
        <v>0</v>
      </c>
      <c r="Q1323" s="86">
        <f t="shared" si="385"/>
        <v>0</v>
      </c>
      <c r="R1323" s="86">
        <f t="shared" si="386"/>
        <v>0</v>
      </c>
      <c r="S1323" s="86">
        <f t="shared" si="387"/>
        <v>0</v>
      </c>
      <c r="T1323" s="86">
        <f t="shared" si="388"/>
        <v>-97.52</v>
      </c>
      <c r="U1323" s="87">
        <v>-97.52</v>
      </c>
    </row>
    <row r="1324" spans="1:21" s="30" customFormat="1" ht="24.6" hidden="1" outlineLevel="1" x14ac:dyDescent="0.55000000000000004">
      <c r="A1324" s="27" t="s">
        <v>327</v>
      </c>
      <c r="B1324" s="28"/>
      <c r="C1324" s="27"/>
      <c r="D1324" s="27" t="str">
        <f>"""NAV Direct"",""CRONUS JetCorp USA"",""21"",""1"",""439142"""</f>
        <v>"NAV Direct","CRONUS JetCorp USA","21","1","439142"</v>
      </c>
      <c r="E1324" s="31" t="str">
        <f t="shared" si="380"/>
        <v>C100046</v>
      </c>
      <c r="F1324" s="31"/>
      <c r="G1324" s="31"/>
      <c r="H1324" s="31"/>
      <c r="I1324" s="56"/>
      <c r="J1324" s="56"/>
      <c r="K1324" s="82" t="str">
        <f t="shared" si="389"/>
        <v>Credit Memo</v>
      </c>
      <c r="L1324" s="83" t="str">
        <f>"SC_100853"</f>
        <v>SC_100853</v>
      </c>
      <c r="M1324" s="84">
        <v>43258</v>
      </c>
      <c r="N1324" s="85">
        <f t="shared" si="382"/>
        <v>554</v>
      </c>
      <c r="O1324" s="86">
        <f t="shared" si="383"/>
        <v>-83.61</v>
      </c>
      <c r="P1324" s="86">
        <f t="shared" si="384"/>
        <v>0</v>
      </c>
      <c r="Q1324" s="86">
        <f t="shared" si="385"/>
        <v>0</v>
      </c>
      <c r="R1324" s="86">
        <f t="shared" si="386"/>
        <v>0</v>
      </c>
      <c r="S1324" s="86">
        <f t="shared" si="387"/>
        <v>0</v>
      </c>
      <c r="T1324" s="86">
        <f t="shared" si="388"/>
        <v>-83.61</v>
      </c>
      <c r="U1324" s="87">
        <v>-83.61</v>
      </c>
    </row>
    <row r="1325" spans="1:21" s="30" customFormat="1" ht="24.6" hidden="1" outlineLevel="1" x14ac:dyDescent="0.55000000000000004">
      <c r="A1325" s="27" t="s">
        <v>327</v>
      </c>
      <c r="B1325" s="28"/>
      <c r="C1325" s="27"/>
      <c r="D1325" s="27" t="str">
        <f>"""NAV Direct"",""CRONUS JetCorp USA"",""21"",""1"",""439394"""</f>
        <v>"NAV Direct","CRONUS JetCorp USA","21","1","439394"</v>
      </c>
      <c r="E1325" s="31">
        <f t="shared" si="380"/>
        <v>0</v>
      </c>
      <c r="F1325" s="31"/>
      <c r="G1325" s="31"/>
      <c r="H1325" s="31"/>
      <c r="I1325" s="56"/>
      <c r="J1325" s="56"/>
      <c r="K1325" s="82" t="str">
        <f t="shared" si="389"/>
        <v>Credit Memo</v>
      </c>
      <c r="L1325" s="83" t="str">
        <f>"SC_100865"</f>
        <v>SC_100865</v>
      </c>
      <c r="M1325" s="84">
        <v>43588</v>
      </c>
      <c r="N1325" s="85">
        <f t="shared" si="382"/>
        <v>224</v>
      </c>
      <c r="O1325" s="86">
        <f t="shared" si="383"/>
        <v>-109.88000000000001</v>
      </c>
      <c r="P1325" s="86">
        <f t="shared" si="384"/>
        <v>0</v>
      </c>
      <c r="Q1325" s="86">
        <f t="shared" si="385"/>
        <v>0</v>
      </c>
      <c r="R1325" s="86">
        <f t="shared" si="386"/>
        <v>0</v>
      </c>
      <c r="S1325" s="86">
        <f t="shared" si="387"/>
        <v>0</v>
      </c>
      <c r="T1325" s="86">
        <f t="shared" si="388"/>
        <v>-109.88000000000001</v>
      </c>
      <c r="U1325" s="87">
        <v>-109.88000000000001</v>
      </c>
    </row>
    <row r="1326" spans="1:21" s="30" customFormat="1" ht="24.6" hidden="1" outlineLevel="1" x14ac:dyDescent="0.55000000000000004">
      <c r="A1326" s="27" t="s">
        <v>327</v>
      </c>
      <c r="B1326" s="28"/>
      <c r="C1326" s="27"/>
      <c r="D1326" s="27" t="str">
        <f>"""NAV Direct"",""CRONUS JetCorp USA"",""21"",""1"",""439483"""</f>
        <v>"NAV Direct","CRONUS JetCorp USA","21","1","439483"</v>
      </c>
      <c r="E1326" s="31" t="str">
        <f t="shared" si="380"/>
        <v>C100046</v>
      </c>
      <c r="F1326" s="31"/>
      <c r="G1326" s="31"/>
      <c r="H1326" s="31"/>
      <c r="I1326" s="56"/>
      <c r="J1326" s="56"/>
      <c r="K1326" s="82" t="str">
        <f t="shared" si="389"/>
        <v>Credit Memo</v>
      </c>
      <c r="L1326" s="83" t="str">
        <f>"SC_100870"</f>
        <v>SC_100870</v>
      </c>
      <c r="M1326" s="84">
        <v>43658</v>
      </c>
      <c r="N1326" s="85">
        <f t="shared" si="382"/>
        <v>154</v>
      </c>
      <c r="O1326" s="86">
        <f t="shared" si="383"/>
        <v>-97.389999999999986</v>
      </c>
      <c r="P1326" s="86">
        <f t="shared" si="384"/>
        <v>0</v>
      </c>
      <c r="Q1326" s="86">
        <f t="shared" si="385"/>
        <v>0</v>
      </c>
      <c r="R1326" s="86">
        <f t="shared" si="386"/>
        <v>0</v>
      </c>
      <c r="S1326" s="86">
        <f t="shared" si="387"/>
        <v>0</v>
      </c>
      <c r="T1326" s="86">
        <f t="shared" si="388"/>
        <v>-97.389999999999986</v>
      </c>
      <c r="U1326" s="87">
        <v>-97.389999999999986</v>
      </c>
    </row>
    <row r="1327" spans="1:21" s="30" customFormat="1" ht="24.6" hidden="1" outlineLevel="1" x14ac:dyDescent="0.55000000000000004">
      <c r="A1327" s="27" t="s">
        <v>327</v>
      </c>
      <c r="B1327" s="28"/>
      <c r="C1327" s="27"/>
      <c r="D1327" s="27" t="str">
        <f>"""NAV Direct"",""CRONUS JetCorp USA"",""21"",""1"",""439496"""</f>
        <v>"NAV Direct","CRONUS JetCorp USA","21","1","439496"</v>
      </c>
      <c r="E1327" s="31">
        <f t="shared" si="380"/>
        <v>0</v>
      </c>
      <c r="F1327" s="31"/>
      <c r="G1327" s="31"/>
      <c r="H1327" s="31"/>
      <c r="I1327" s="56"/>
      <c r="J1327" s="56"/>
      <c r="K1327" s="82" t="str">
        <f t="shared" si="389"/>
        <v>Credit Memo</v>
      </c>
      <c r="L1327" s="83" t="str">
        <f>"SC_100871"</f>
        <v>SC_100871</v>
      </c>
      <c r="M1327" s="84">
        <v>43690</v>
      </c>
      <c r="N1327" s="85">
        <f t="shared" si="382"/>
        <v>122</v>
      </c>
      <c r="O1327" s="86">
        <f t="shared" si="383"/>
        <v>-105.16</v>
      </c>
      <c r="P1327" s="86">
        <f t="shared" si="384"/>
        <v>0</v>
      </c>
      <c r="Q1327" s="86">
        <f t="shared" si="385"/>
        <v>0</v>
      </c>
      <c r="R1327" s="86">
        <f t="shared" si="386"/>
        <v>0</v>
      </c>
      <c r="S1327" s="86">
        <f t="shared" si="387"/>
        <v>0</v>
      </c>
      <c r="T1327" s="86">
        <f t="shared" si="388"/>
        <v>-105.16</v>
      </c>
      <c r="U1327" s="87">
        <v>-105.16</v>
      </c>
    </row>
    <row r="1328" spans="1:21" s="30" customFormat="1" ht="24.6" hidden="1" outlineLevel="1" x14ac:dyDescent="0.55000000000000004">
      <c r="A1328" s="27" t="s">
        <v>327</v>
      </c>
      <c r="B1328" s="28"/>
      <c r="C1328" s="27"/>
      <c r="D1328" s="27" t="str">
        <f>"""NAV Direct"",""CRONUS JetCorp USA"",""21"",""1"",""439617"""</f>
        <v>"NAV Direct","CRONUS JetCorp USA","21","1","439617"</v>
      </c>
      <c r="E1328" s="31" t="str">
        <f t="shared" si="380"/>
        <v>C100046</v>
      </c>
      <c r="F1328" s="31"/>
      <c r="G1328" s="31"/>
      <c r="H1328" s="31"/>
      <c r="I1328" s="56"/>
      <c r="J1328" s="56"/>
      <c r="K1328" s="82" t="str">
        <f t="shared" si="389"/>
        <v>Credit Memo</v>
      </c>
      <c r="L1328" s="83" t="str">
        <f>"SC_100876"</f>
        <v>SC_100876</v>
      </c>
      <c r="M1328" s="84">
        <v>43741</v>
      </c>
      <c r="N1328" s="85">
        <f t="shared" si="382"/>
        <v>71</v>
      </c>
      <c r="O1328" s="86">
        <f t="shared" si="383"/>
        <v>-131.69</v>
      </c>
      <c r="P1328" s="86">
        <f t="shared" si="384"/>
        <v>0</v>
      </c>
      <c r="Q1328" s="86">
        <f t="shared" si="385"/>
        <v>0</v>
      </c>
      <c r="R1328" s="86">
        <f t="shared" si="386"/>
        <v>0</v>
      </c>
      <c r="S1328" s="86">
        <f t="shared" si="387"/>
        <v>-131.69</v>
      </c>
      <c r="T1328" s="86">
        <f t="shared" si="388"/>
        <v>0</v>
      </c>
      <c r="U1328" s="87">
        <v>-131.69</v>
      </c>
    </row>
    <row r="1329" spans="1:22" s="30" customFormat="1" ht="24.6" hidden="1" outlineLevel="1" x14ac:dyDescent="0.55000000000000004">
      <c r="A1329" s="27" t="s">
        <v>327</v>
      </c>
      <c r="B1329" s="28"/>
      <c r="C1329" s="27"/>
      <c r="D1329" s="27" t="str">
        <f>"""NAV Direct"",""CRONUS JetCorp USA"",""21"",""1"",""440170"""</f>
        <v>"NAV Direct","CRONUS JetCorp USA","21","1","440170"</v>
      </c>
      <c r="E1329" s="31">
        <f t="shared" si="380"/>
        <v>0</v>
      </c>
      <c r="F1329" s="31"/>
      <c r="G1329" s="31"/>
      <c r="H1329" s="31"/>
      <c r="I1329" s="56"/>
      <c r="J1329" s="56"/>
      <c r="K1329" s="82" t="str">
        <f t="shared" si="389"/>
        <v>Credit Memo</v>
      </c>
      <c r="L1329" s="83" t="str">
        <f>"SC_100905"</f>
        <v>SC_100905</v>
      </c>
      <c r="M1329" s="84">
        <v>42330</v>
      </c>
      <c r="N1329" s="85">
        <f t="shared" si="382"/>
        <v>1482</v>
      </c>
      <c r="O1329" s="86">
        <f t="shared" si="383"/>
        <v>-82.96</v>
      </c>
      <c r="P1329" s="86">
        <f t="shared" si="384"/>
        <v>0</v>
      </c>
      <c r="Q1329" s="86">
        <f t="shared" si="385"/>
        <v>0</v>
      </c>
      <c r="R1329" s="86">
        <f t="shared" si="386"/>
        <v>0</v>
      </c>
      <c r="S1329" s="86">
        <f t="shared" si="387"/>
        <v>0</v>
      </c>
      <c r="T1329" s="86">
        <f t="shared" si="388"/>
        <v>-82.96</v>
      </c>
      <c r="U1329" s="87">
        <v>-82.96</v>
      </c>
    </row>
    <row r="1330" spans="1:22" s="22" customFormat="1" ht="20.399999999999999" collapsed="1" x14ac:dyDescent="0.45">
      <c r="A1330" s="12" t="s">
        <v>327</v>
      </c>
      <c r="B1330" s="19"/>
      <c r="C1330" s="12"/>
      <c r="D1330" s="12"/>
      <c r="E1330" s="23"/>
      <c r="F1330" s="23"/>
      <c r="G1330" s="23"/>
      <c r="H1330" s="23"/>
      <c r="I1330" s="49"/>
      <c r="J1330" s="88"/>
      <c r="K1330" s="88"/>
      <c r="L1330" s="89"/>
      <c r="M1330" s="89"/>
      <c r="N1330" s="89"/>
      <c r="O1330" s="89"/>
      <c r="P1330" s="89"/>
      <c r="Q1330" s="90"/>
      <c r="R1330" s="90"/>
      <c r="S1330" s="91"/>
      <c r="T1330" s="92"/>
      <c r="U1330" s="92"/>
    </row>
    <row r="1331" spans="1:22" s="22" customFormat="1" ht="20.399999999999999" x14ac:dyDescent="0.45">
      <c r="A1331" s="12" t="s">
        <v>327</v>
      </c>
      <c r="B1331" s="19"/>
      <c r="C1331" s="12"/>
      <c r="D1331" s="12"/>
      <c r="E1331" s="23"/>
      <c r="F1331" s="23"/>
      <c r="G1331" s="23"/>
      <c r="H1331" s="23"/>
      <c r="I1331" s="49"/>
      <c r="J1331" s="88"/>
      <c r="K1331" s="88"/>
      <c r="L1331" s="89"/>
      <c r="M1331" s="89"/>
      <c r="N1331" s="89"/>
      <c r="O1331" s="89"/>
      <c r="P1331" s="89"/>
      <c r="Q1331" s="90"/>
      <c r="R1331" s="90"/>
      <c r="S1331" s="91"/>
      <c r="T1331" s="92"/>
      <c r="U1331" s="92"/>
    </row>
    <row r="1332" spans="1:22" s="26" customFormat="1" ht="24.6" x14ac:dyDescent="0.55000000000000004">
      <c r="A1332" s="27" t="s">
        <v>327</v>
      </c>
      <c r="B1332" s="28"/>
      <c r="C1332" s="27" t="str">
        <f>"""NAV Direct"",""CRONUS JetCorp USA"",""18"",""1"",""C100049"""</f>
        <v>"NAV Direct","CRONUS JetCorp USA","18","1","C100049"</v>
      </c>
      <c r="D1332" s="27"/>
      <c r="E1332" s="28" t="str">
        <f>H1332</f>
        <v>C100049</v>
      </c>
      <c r="F1332" s="28"/>
      <c r="G1332" s="28"/>
      <c r="H1332" s="28" t="str">
        <f>"C100049"</f>
        <v>C100049</v>
      </c>
      <c r="I1332" s="116" t="str">
        <f>"C100049  -  Konberg Tapet AB"</f>
        <v>C100049  -  Konberg Tapet AB</v>
      </c>
      <c r="J1332" s="117" t="str">
        <f>""</f>
        <v/>
      </c>
      <c r="K1332" s="118"/>
      <c r="L1332" s="119">
        <f>SUBTOTAL(3,L1333:L1367)</f>
        <v>31</v>
      </c>
      <c r="M1332" s="118"/>
      <c r="N1332" s="118"/>
      <c r="O1332" s="120">
        <f t="shared" ref="O1332:T1332" si="390">SUBTOTAL(9,O1333:O1367)</f>
        <v>170655.80000000005</v>
      </c>
      <c r="P1332" s="120">
        <f t="shared" si="390"/>
        <v>0</v>
      </c>
      <c r="Q1332" s="120">
        <f t="shared" si="390"/>
        <v>0</v>
      </c>
      <c r="R1332" s="120">
        <f t="shared" si="390"/>
        <v>0</v>
      </c>
      <c r="S1332" s="120">
        <f t="shared" si="390"/>
        <v>0</v>
      </c>
      <c r="T1332" s="120">
        <f t="shared" si="390"/>
        <v>170655.80000000005</v>
      </c>
      <c r="U1332" s="81"/>
    </row>
    <row r="1333" spans="1:22" s="26" customFormat="1" ht="24.6" x14ac:dyDescent="0.55000000000000004">
      <c r="A1333" s="27" t="s">
        <v>327</v>
      </c>
      <c r="B1333" s="28"/>
      <c r="C1333" s="27" t="str">
        <f>C1332</f>
        <v>"NAV Direct","CRONUS JetCorp USA","18","1","C100049"</v>
      </c>
      <c r="D1333" s="27"/>
      <c r="E1333" s="28" t="str">
        <f>E1332</f>
        <v>C100049</v>
      </c>
      <c r="F1333" s="28"/>
      <c r="G1333" s="28"/>
      <c r="H1333" s="28"/>
      <c r="I1333" s="121" t="str">
        <f>"Contact: Asta Von Elfstein"</f>
        <v>Contact: Asta Von Elfstein</v>
      </c>
      <c r="J1333" s="121"/>
      <c r="K1333" s="122"/>
      <c r="L1333" s="123"/>
      <c r="M1333" s="123"/>
      <c r="N1333" s="124"/>
      <c r="O1333" s="124"/>
      <c r="P1333" s="123"/>
      <c r="Q1333" s="125"/>
      <c r="R1333" s="126"/>
      <c r="S1333" s="126"/>
      <c r="T1333" s="125"/>
      <c r="U1333" s="81"/>
    </row>
    <row r="1334" spans="1:22" s="26" customFormat="1" ht="24.6" x14ac:dyDescent="0.55000000000000004">
      <c r="A1334" s="27" t="s">
        <v>327</v>
      </c>
      <c r="B1334" s="28"/>
      <c r="C1334" s="27" t="str">
        <f>C1333</f>
        <v>"NAV Direct","CRONUS JetCorp USA","18","1","C100049"</v>
      </c>
      <c r="D1334" s="27"/>
      <c r="E1334" s="28" t="str">
        <f>E1333</f>
        <v>C100049</v>
      </c>
      <c r="F1334" s="28"/>
      <c r="G1334" s="28"/>
      <c r="H1334" s="28"/>
      <c r="I1334" s="121" t="str">
        <f>"konberg.tapet.ab@cronuscorp.net"</f>
        <v>konberg.tapet.ab@cronuscorp.net</v>
      </c>
      <c r="J1334" s="121"/>
      <c r="K1334" s="122"/>
      <c r="L1334" s="124"/>
      <c r="M1334" s="124"/>
      <c r="N1334" s="124"/>
      <c r="O1334" s="124"/>
      <c r="P1334" s="123"/>
      <c r="Q1334" s="125"/>
      <c r="R1334" s="126"/>
      <c r="S1334" s="126"/>
      <c r="T1334" s="125"/>
      <c r="U1334" s="81"/>
    </row>
    <row r="1335" spans="1:22" ht="12.75" hidden="1" customHeight="1" outlineLevel="1" x14ac:dyDescent="0.45">
      <c r="A1335" s="12" t="s">
        <v>328</v>
      </c>
      <c r="B1335" s="19"/>
      <c r="E1335" s="19"/>
      <c r="F1335" s="19"/>
      <c r="G1335" s="19"/>
      <c r="H1335" s="19"/>
      <c r="I1335" s="61"/>
      <c r="J1335" s="61"/>
      <c r="K1335" s="61"/>
      <c r="L1335" s="61"/>
      <c r="M1335" s="61"/>
      <c r="N1335" s="61"/>
      <c r="O1335" s="61"/>
      <c r="P1335" s="61"/>
      <c r="Q1335" s="61"/>
      <c r="R1335" s="61"/>
      <c r="S1335" s="61"/>
      <c r="T1335" s="61"/>
      <c r="U1335" s="61"/>
      <c r="V1335" s="21"/>
    </row>
    <row r="1336" spans="1:22" s="30" customFormat="1" ht="24.6" hidden="1" outlineLevel="1" x14ac:dyDescent="0.55000000000000004">
      <c r="A1336" s="27" t="s">
        <v>327</v>
      </c>
      <c r="B1336" s="28"/>
      <c r="C1336" s="27"/>
      <c r="D1336" s="27" t="str">
        <f>"""NAV Direct"",""CRONUS JetCorp USA"",""21"",""1"",""41361"""</f>
        <v>"NAV Direct","CRONUS JetCorp USA","21","1","41361"</v>
      </c>
      <c r="E1336" s="31" t="str">
        <f t="shared" ref="E1336:E1366" si="391">E1334</f>
        <v>C100049</v>
      </c>
      <c r="F1336" s="31"/>
      <c r="G1336" s="31"/>
      <c r="H1336" s="31"/>
      <c r="I1336" s="56"/>
      <c r="J1336" s="56"/>
      <c r="K1336" s="82" t="str">
        <f t="shared" ref="K1336:K1360" si="392">"Invoice"</f>
        <v>Invoice</v>
      </c>
      <c r="L1336" s="83" t="str">
        <f>"SI_104921"</f>
        <v>SI_104921</v>
      </c>
      <c r="M1336" s="84">
        <v>42068</v>
      </c>
      <c r="N1336" s="85">
        <f t="shared" ref="N1336:N1366" si="393">StartDate-$M1336+1</f>
        <v>1744</v>
      </c>
      <c r="O1336" s="86">
        <f t="shared" ref="O1336:O1366" si="394">SUM(P1336:T1336)</f>
        <v>7040.68</v>
      </c>
      <c r="P1336" s="86">
        <f t="shared" ref="P1336:P1366" si="395">IF($M1336&gt;=$P$18,U1336,0)</f>
        <v>0</v>
      </c>
      <c r="Q1336" s="86">
        <f t="shared" ref="Q1336:Q1366" si="396">IF(AND($M1336&gt;=$Q$16,$M1336&lt;=$Q$18),U1336,0)</f>
        <v>0</v>
      </c>
      <c r="R1336" s="86">
        <f t="shared" ref="R1336:R1366" si="397">IF(AND($M1336&gt;=$R$16,$M1336&lt;=$R$18),U1336,0)</f>
        <v>0</v>
      </c>
      <c r="S1336" s="86">
        <f t="shared" ref="S1336:S1366" si="398">IF(AND($M1336&gt;=$S$16,$M1336&lt;=$S$18),U1336,0)</f>
        <v>0</v>
      </c>
      <c r="T1336" s="86">
        <f t="shared" ref="T1336:T1366" si="399">IF($M1336&lt;=$T$18,U1336,0)</f>
        <v>7040.68</v>
      </c>
      <c r="U1336" s="87">
        <v>7040.68</v>
      </c>
    </row>
    <row r="1337" spans="1:22" s="30" customFormat="1" ht="24.6" hidden="1" outlineLevel="1" x14ac:dyDescent="0.55000000000000004">
      <c r="A1337" s="27" t="s">
        <v>327</v>
      </c>
      <c r="B1337" s="28"/>
      <c r="C1337" s="27"/>
      <c r="D1337" s="27" t="str">
        <f>"""NAV Direct"",""CRONUS JetCorp USA"",""21"",""1"",""41380"""</f>
        <v>"NAV Direct","CRONUS JetCorp USA","21","1","41380"</v>
      </c>
      <c r="E1337" s="31">
        <f t="shared" si="391"/>
        <v>0</v>
      </c>
      <c r="F1337" s="31"/>
      <c r="G1337" s="31"/>
      <c r="H1337" s="31"/>
      <c r="I1337" s="56"/>
      <c r="J1337" s="56"/>
      <c r="K1337" s="82" t="str">
        <f t="shared" si="392"/>
        <v>Invoice</v>
      </c>
      <c r="L1337" s="83" t="str">
        <f>"SI_104922"</f>
        <v>SI_104922</v>
      </c>
      <c r="M1337" s="84">
        <v>42084</v>
      </c>
      <c r="N1337" s="85">
        <f t="shared" si="393"/>
        <v>1728</v>
      </c>
      <c r="O1337" s="86">
        <f t="shared" si="394"/>
        <v>7055.01</v>
      </c>
      <c r="P1337" s="86">
        <f t="shared" si="395"/>
        <v>0</v>
      </c>
      <c r="Q1337" s="86">
        <f t="shared" si="396"/>
        <v>0</v>
      </c>
      <c r="R1337" s="86">
        <f t="shared" si="397"/>
        <v>0</v>
      </c>
      <c r="S1337" s="86">
        <f t="shared" si="398"/>
        <v>0</v>
      </c>
      <c r="T1337" s="86">
        <f t="shared" si="399"/>
        <v>7055.01</v>
      </c>
      <c r="U1337" s="87">
        <v>7055.01</v>
      </c>
    </row>
    <row r="1338" spans="1:22" s="30" customFormat="1" ht="24.6" hidden="1" outlineLevel="1" x14ac:dyDescent="0.55000000000000004">
      <c r="A1338" s="27" t="s">
        <v>327</v>
      </c>
      <c r="B1338" s="28"/>
      <c r="C1338" s="27"/>
      <c r="D1338" s="27" t="str">
        <f>"""NAV Direct"",""CRONUS JetCorp USA"",""21"",""1"",""41405"""</f>
        <v>"NAV Direct","CRONUS JetCorp USA","21","1","41405"</v>
      </c>
      <c r="E1338" s="31" t="str">
        <f t="shared" si="391"/>
        <v>C100049</v>
      </c>
      <c r="F1338" s="31"/>
      <c r="G1338" s="31"/>
      <c r="H1338" s="31"/>
      <c r="I1338" s="56"/>
      <c r="J1338" s="56"/>
      <c r="K1338" s="82" t="str">
        <f t="shared" si="392"/>
        <v>Invoice</v>
      </c>
      <c r="L1338" s="83" t="str">
        <f>"SI_104923"</f>
        <v>SI_104923</v>
      </c>
      <c r="M1338" s="84">
        <v>42094</v>
      </c>
      <c r="N1338" s="85">
        <f t="shared" si="393"/>
        <v>1718</v>
      </c>
      <c r="O1338" s="86">
        <f t="shared" si="394"/>
        <v>7055.0300000000007</v>
      </c>
      <c r="P1338" s="86">
        <f t="shared" si="395"/>
        <v>0</v>
      </c>
      <c r="Q1338" s="86">
        <f t="shared" si="396"/>
        <v>0</v>
      </c>
      <c r="R1338" s="86">
        <f t="shared" si="397"/>
        <v>0</v>
      </c>
      <c r="S1338" s="86">
        <f t="shared" si="398"/>
        <v>0</v>
      </c>
      <c r="T1338" s="86">
        <f t="shared" si="399"/>
        <v>7055.0300000000007</v>
      </c>
      <c r="U1338" s="87">
        <v>7055.0300000000007</v>
      </c>
    </row>
    <row r="1339" spans="1:22" s="30" customFormat="1" ht="24.6" hidden="1" outlineLevel="1" x14ac:dyDescent="0.55000000000000004">
      <c r="A1339" s="27" t="s">
        <v>327</v>
      </c>
      <c r="B1339" s="28"/>
      <c r="C1339" s="27"/>
      <c r="D1339" s="27" t="str">
        <f>"""NAV Direct"",""CRONUS JetCorp USA"",""21"",""1"",""41535"""</f>
        <v>"NAV Direct","CRONUS JetCorp USA","21","1","41535"</v>
      </c>
      <c r="E1339" s="31">
        <f t="shared" si="391"/>
        <v>0</v>
      </c>
      <c r="F1339" s="31"/>
      <c r="G1339" s="31"/>
      <c r="H1339" s="31"/>
      <c r="I1339" s="56"/>
      <c r="J1339" s="56"/>
      <c r="K1339" s="82" t="str">
        <f t="shared" si="392"/>
        <v>Invoice</v>
      </c>
      <c r="L1339" s="83" t="str">
        <f>"SI_104929"</f>
        <v>SI_104929</v>
      </c>
      <c r="M1339" s="84">
        <v>42153</v>
      </c>
      <c r="N1339" s="85">
        <f t="shared" si="393"/>
        <v>1659</v>
      </c>
      <c r="O1339" s="86">
        <f t="shared" si="394"/>
        <v>7261.9100000000008</v>
      </c>
      <c r="P1339" s="86">
        <f t="shared" si="395"/>
        <v>0</v>
      </c>
      <c r="Q1339" s="86">
        <f t="shared" si="396"/>
        <v>0</v>
      </c>
      <c r="R1339" s="86">
        <f t="shared" si="397"/>
        <v>0</v>
      </c>
      <c r="S1339" s="86">
        <f t="shared" si="398"/>
        <v>0</v>
      </c>
      <c r="T1339" s="86">
        <f t="shared" si="399"/>
        <v>7261.9100000000008</v>
      </c>
      <c r="U1339" s="87">
        <v>7261.9100000000008</v>
      </c>
    </row>
    <row r="1340" spans="1:22" s="30" customFormat="1" ht="24.6" hidden="1" outlineLevel="1" x14ac:dyDescent="0.55000000000000004">
      <c r="A1340" s="27" t="s">
        <v>327</v>
      </c>
      <c r="B1340" s="28"/>
      <c r="C1340" s="27"/>
      <c r="D1340" s="27" t="str">
        <f>"""NAV Direct"",""CRONUS JetCorp USA"",""21"",""1"",""41648"""</f>
        <v>"NAV Direct","CRONUS JetCorp USA","21","1","41648"</v>
      </c>
      <c r="E1340" s="31" t="str">
        <f t="shared" si="391"/>
        <v>C100049</v>
      </c>
      <c r="F1340" s="31"/>
      <c r="G1340" s="31"/>
      <c r="H1340" s="31"/>
      <c r="I1340" s="56"/>
      <c r="J1340" s="56"/>
      <c r="K1340" s="82" t="str">
        <f t="shared" si="392"/>
        <v>Invoice</v>
      </c>
      <c r="L1340" s="83" t="str">
        <f>"SI_104934"</f>
        <v>SI_104934</v>
      </c>
      <c r="M1340" s="84">
        <v>42209</v>
      </c>
      <c r="N1340" s="85">
        <f t="shared" si="393"/>
        <v>1603</v>
      </c>
      <c r="O1340" s="86">
        <f t="shared" si="394"/>
        <v>7700.1799999999994</v>
      </c>
      <c r="P1340" s="86">
        <f t="shared" si="395"/>
        <v>0</v>
      </c>
      <c r="Q1340" s="86">
        <f t="shared" si="396"/>
        <v>0</v>
      </c>
      <c r="R1340" s="86">
        <f t="shared" si="397"/>
        <v>0</v>
      </c>
      <c r="S1340" s="86">
        <f t="shared" si="398"/>
        <v>0</v>
      </c>
      <c r="T1340" s="86">
        <f t="shared" si="399"/>
        <v>7700.1799999999994</v>
      </c>
      <c r="U1340" s="87">
        <v>7700.1799999999994</v>
      </c>
    </row>
    <row r="1341" spans="1:22" s="30" customFormat="1" ht="24.6" hidden="1" outlineLevel="1" x14ac:dyDescent="0.55000000000000004">
      <c r="A1341" s="27" t="s">
        <v>327</v>
      </c>
      <c r="B1341" s="28"/>
      <c r="C1341" s="27"/>
      <c r="D1341" s="27" t="str">
        <f>"""NAV Direct"",""CRONUS JetCorp USA"",""21"",""1"",""41724"""</f>
        <v>"NAV Direct","CRONUS JetCorp USA","21","1","41724"</v>
      </c>
      <c r="E1341" s="31">
        <f t="shared" si="391"/>
        <v>0</v>
      </c>
      <c r="F1341" s="31"/>
      <c r="G1341" s="31"/>
      <c r="H1341" s="31"/>
      <c r="I1341" s="56"/>
      <c r="J1341" s="56"/>
      <c r="K1341" s="82" t="str">
        <f t="shared" si="392"/>
        <v>Invoice</v>
      </c>
      <c r="L1341" s="83" t="str">
        <f>"SI_104938"</f>
        <v>SI_104938</v>
      </c>
      <c r="M1341" s="84">
        <v>42239</v>
      </c>
      <c r="N1341" s="85">
        <f t="shared" si="393"/>
        <v>1573</v>
      </c>
      <c r="O1341" s="86">
        <f t="shared" si="394"/>
        <v>7984.69</v>
      </c>
      <c r="P1341" s="86">
        <f t="shared" si="395"/>
        <v>0</v>
      </c>
      <c r="Q1341" s="86">
        <f t="shared" si="396"/>
        <v>0</v>
      </c>
      <c r="R1341" s="86">
        <f t="shared" si="397"/>
        <v>0</v>
      </c>
      <c r="S1341" s="86">
        <f t="shared" si="398"/>
        <v>0</v>
      </c>
      <c r="T1341" s="86">
        <f t="shared" si="399"/>
        <v>7984.69</v>
      </c>
      <c r="U1341" s="87">
        <v>7984.69</v>
      </c>
    </row>
    <row r="1342" spans="1:22" s="30" customFormat="1" ht="24.6" hidden="1" outlineLevel="1" x14ac:dyDescent="0.55000000000000004">
      <c r="A1342" s="27" t="s">
        <v>327</v>
      </c>
      <c r="B1342" s="28"/>
      <c r="C1342" s="27"/>
      <c r="D1342" s="27" t="str">
        <f>"""NAV Direct"",""CRONUS JetCorp USA"",""21"",""1"",""41801"""</f>
        <v>"NAV Direct","CRONUS JetCorp USA","21","1","41801"</v>
      </c>
      <c r="E1342" s="31" t="str">
        <f t="shared" si="391"/>
        <v>C100049</v>
      </c>
      <c r="F1342" s="31"/>
      <c r="G1342" s="31"/>
      <c r="H1342" s="31"/>
      <c r="I1342" s="56"/>
      <c r="J1342" s="56"/>
      <c r="K1342" s="82" t="str">
        <f t="shared" si="392"/>
        <v>Invoice</v>
      </c>
      <c r="L1342" s="83" t="str">
        <f>"SI_104941"</f>
        <v>SI_104941</v>
      </c>
      <c r="M1342" s="84">
        <v>42270</v>
      </c>
      <c r="N1342" s="85">
        <f t="shared" si="393"/>
        <v>1542</v>
      </c>
      <c r="O1342" s="86">
        <f t="shared" si="394"/>
        <v>8257</v>
      </c>
      <c r="P1342" s="86">
        <f t="shared" si="395"/>
        <v>0</v>
      </c>
      <c r="Q1342" s="86">
        <f t="shared" si="396"/>
        <v>0</v>
      </c>
      <c r="R1342" s="86">
        <f t="shared" si="397"/>
        <v>0</v>
      </c>
      <c r="S1342" s="86">
        <f t="shared" si="398"/>
        <v>0</v>
      </c>
      <c r="T1342" s="86">
        <f t="shared" si="399"/>
        <v>8257</v>
      </c>
      <c r="U1342" s="87">
        <v>8257</v>
      </c>
    </row>
    <row r="1343" spans="1:22" s="30" customFormat="1" ht="24.6" hidden="1" outlineLevel="1" x14ac:dyDescent="0.55000000000000004">
      <c r="A1343" s="27" t="s">
        <v>327</v>
      </c>
      <c r="B1343" s="28"/>
      <c r="C1343" s="27"/>
      <c r="D1343" s="27" t="str">
        <f>"""NAV Direct"",""CRONUS JetCorp USA"",""21"",""1"",""41937"""</f>
        <v>"NAV Direct","CRONUS JetCorp USA","21","1","41937"</v>
      </c>
      <c r="E1343" s="31">
        <f t="shared" si="391"/>
        <v>0</v>
      </c>
      <c r="F1343" s="31"/>
      <c r="G1343" s="31"/>
      <c r="H1343" s="31"/>
      <c r="I1343" s="56"/>
      <c r="J1343" s="56"/>
      <c r="K1343" s="82" t="str">
        <f t="shared" si="392"/>
        <v>Invoice</v>
      </c>
      <c r="L1343" s="83" t="str">
        <f>"SI_104947"</f>
        <v>SI_104947</v>
      </c>
      <c r="M1343" s="84">
        <v>42336</v>
      </c>
      <c r="N1343" s="85">
        <f t="shared" si="393"/>
        <v>1476</v>
      </c>
      <c r="O1343" s="86">
        <f t="shared" si="394"/>
        <v>8551.19</v>
      </c>
      <c r="P1343" s="86">
        <f t="shared" si="395"/>
        <v>0</v>
      </c>
      <c r="Q1343" s="86">
        <f t="shared" si="396"/>
        <v>0</v>
      </c>
      <c r="R1343" s="86">
        <f t="shared" si="397"/>
        <v>0</v>
      </c>
      <c r="S1343" s="86">
        <f t="shared" si="398"/>
        <v>0</v>
      </c>
      <c r="T1343" s="86">
        <f t="shared" si="399"/>
        <v>8551.19</v>
      </c>
      <c r="U1343" s="87">
        <v>8551.19</v>
      </c>
    </row>
    <row r="1344" spans="1:22" s="30" customFormat="1" ht="24.6" hidden="1" outlineLevel="1" x14ac:dyDescent="0.55000000000000004">
      <c r="A1344" s="27" t="s">
        <v>327</v>
      </c>
      <c r="B1344" s="28"/>
      <c r="C1344" s="27"/>
      <c r="D1344" s="27" t="str">
        <f>"""NAV Direct"",""CRONUS JetCorp USA"",""21"",""1"",""42008"""</f>
        <v>"NAV Direct","CRONUS JetCorp USA","21","1","42008"</v>
      </c>
      <c r="E1344" s="31" t="str">
        <f t="shared" si="391"/>
        <v>C100049</v>
      </c>
      <c r="F1344" s="31"/>
      <c r="G1344" s="31"/>
      <c r="H1344" s="31"/>
      <c r="I1344" s="56"/>
      <c r="J1344" s="56"/>
      <c r="K1344" s="82" t="str">
        <f t="shared" si="392"/>
        <v>Invoice</v>
      </c>
      <c r="L1344" s="83" t="str">
        <f>"SI_104950"</f>
        <v>SI_104950</v>
      </c>
      <c r="M1344" s="84">
        <v>42361</v>
      </c>
      <c r="N1344" s="85">
        <f t="shared" si="393"/>
        <v>1451</v>
      </c>
      <c r="O1344" s="86">
        <f t="shared" si="394"/>
        <v>8959.19</v>
      </c>
      <c r="P1344" s="86">
        <f t="shared" si="395"/>
        <v>0</v>
      </c>
      <c r="Q1344" s="86">
        <f t="shared" si="396"/>
        <v>0</v>
      </c>
      <c r="R1344" s="86">
        <f t="shared" si="397"/>
        <v>0</v>
      </c>
      <c r="S1344" s="86">
        <f t="shared" si="398"/>
        <v>0</v>
      </c>
      <c r="T1344" s="86">
        <f t="shared" si="399"/>
        <v>8959.19</v>
      </c>
      <c r="U1344" s="87">
        <v>8959.19</v>
      </c>
    </row>
    <row r="1345" spans="1:21" s="30" customFormat="1" ht="24.6" hidden="1" outlineLevel="1" x14ac:dyDescent="0.55000000000000004">
      <c r="A1345" s="27" t="s">
        <v>327</v>
      </c>
      <c r="B1345" s="28"/>
      <c r="C1345" s="27"/>
      <c r="D1345" s="27" t="str">
        <f>"""NAV Direct"",""CRONUS JetCorp USA"",""21"",""1"",""332657"""</f>
        <v>"NAV Direct","CRONUS JetCorp USA","21","1","332657"</v>
      </c>
      <c r="E1345" s="31">
        <f t="shared" si="391"/>
        <v>0</v>
      </c>
      <c r="F1345" s="31"/>
      <c r="G1345" s="31"/>
      <c r="H1345" s="31"/>
      <c r="I1345" s="56"/>
      <c r="J1345" s="56"/>
      <c r="K1345" s="82" t="str">
        <f t="shared" si="392"/>
        <v>Invoice</v>
      </c>
      <c r="L1345" s="83" t="str">
        <f>"SI_110487"</f>
        <v>SI_110487</v>
      </c>
      <c r="M1345" s="84">
        <v>42603</v>
      </c>
      <c r="N1345" s="85">
        <f t="shared" si="393"/>
        <v>1209</v>
      </c>
      <c r="O1345" s="86">
        <f t="shared" si="394"/>
        <v>6072.69</v>
      </c>
      <c r="P1345" s="86">
        <f t="shared" si="395"/>
        <v>0</v>
      </c>
      <c r="Q1345" s="86">
        <f t="shared" si="396"/>
        <v>0</v>
      </c>
      <c r="R1345" s="86">
        <f t="shared" si="397"/>
        <v>0</v>
      </c>
      <c r="S1345" s="86">
        <f t="shared" si="398"/>
        <v>0</v>
      </c>
      <c r="T1345" s="86">
        <f t="shared" si="399"/>
        <v>6072.69</v>
      </c>
      <c r="U1345" s="87">
        <v>6072.69</v>
      </c>
    </row>
    <row r="1346" spans="1:21" s="30" customFormat="1" ht="24.6" hidden="1" outlineLevel="1" x14ac:dyDescent="0.55000000000000004">
      <c r="A1346" s="27" t="s">
        <v>327</v>
      </c>
      <c r="B1346" s="28"/>
      <c r="C1346" s="27"/>
      <c r="D1346" s="27" t="str">
        <f>"""NAV Direct"",""CRONUS JetCorp USA"",""21"",""1"",""332762"""</f>
        <v>"NAV Direct","CRONUS JetCorp USA","21","1","332762"</v>
      </c>
      <c r="E1346" s="31" t="str">
        <f t="shared" si="391"/>
        <v>C100049</v>
      </c>
      <c r="F1346" s="31"/>
      <c r="G1346" s="31"/>
      <c r="H1346" s="31"/>
      <c r="I1346" s="56"/>
      <c r="J1346" s="56"/>
      <c r="K1346" s="82" t="str">
        <f t="shared" si="392"/>
        <v>Invoice</v>
      </c>
      <c r="L1346" s="83" t="str">
        <f>"SI_110492"</f>
        <v>SI_110492</v>
      </c>
      <c r="M1346" s="84">
        <v>42696</v>
      </c>
      <c r="N1346" s="85">
        <f t="shared" si="393"/>
        <v>1116</v>
      </c>
      <c r="O1346" s="86">
        <f t="shared" si="394"/>
        <v>6075.83</v>
      </c>
      <c r="P1346" s="86">
        <f t="shared" si="395"/>
        <v>0</v>
      </c>
      <c r="Q1346" s="86">
        <f t="shared" si="396"/>
        <v>0</v>
      </c>
      <c r="R1346" s="86">
        <f t="shared" si="397"/>
        <v>0</v>
      </c>
      <c r="S1346" s="86">
        <f t="shared" si="398"/>
        <v>0</v>
      </c>
      <c r="T1346" s="86">
        <f t="shared" si="399"/>
        <v>6075.83</v>
      </c>
      <c r="U1346" s="87">
        <v>6075.83</v>
      </c>
    </row>
    <row r="1347" spans="1:21" s="30" customFormat="1" ht="24.6" hidden="1" outlineLevel="1" x14ac:dyDescent="0.55000000000000004">
      <c r="A1347" s="27" t="s">
        <v>327</v>
      </c>
      <c r="B1347" s="28"/>
      <c r="C1347" s="27"/>
      <c r="D1347" s="27" t="str">
        <f>"""NAV Direct"",""CRONUS JetCorp USA"",""21"",""1"",""333079"""</f>
        <v>"NAV Direct","CRONUS JetCorp USA","21","1","333079"</v>
      </c>
      <c r="E1347" s="31">
        <f t="shared" si="391"/>
        <v>0</v>
      </c>
      <c r="F1347" s="31"/>
      <c r="G1347" s="31"/>
      <c r="H1347" s="31"/>
      <c r="I1347" s="56"/>
      <c r="J1347" s="56"/>
      <c r="K1347" s="82" t="str">
        <f t="shared" si="392"/>
        <v>Invoice</v>
      </c>
      <c r="L1347" s="83" t="str">
        <f>"SI_110505"</f>
        <v>SI_110505</v>
      </c>
      <c r="M1347" s="84">
        <v>42921</v>
      </c>
      <c r="N1347" s="85">
        <f t="shared" si="393"/>
        <v>891</v>
      </c>
      <c r="O1347" s="86">
        <f t="shared" si="394"/>
        <v>6310.1799999999994</v>
      </c>
      <c r="P1347" s="86">
        <f t="shared" si="395"/>
        <v>0</v>
      </c>
      <c r="Q1347" s="86">
        <f t="shared" si="396"/>
        <v>0</v>
      </c>
      <c r="R1347" s="86">
        <f t="shared" si="397"/>
        <v>0</v>
      </c>
      <c r="S1347" s="86">
        <f t="shared" si="398"/>
        <v>0</v>
      </c>
      <c r="T1347" s="86">
        <f t="shared" si="399"/>
        <v>6310.1799999999994</v>
      </c>
      <c r="U1347" s="87">
        <v>6310.1799999999994</v>
      </c>
    </row>
    <row r="1348" spans="1:21" s="30" customFormat="1" ht="24.6" hidden="1" outlineLevel="1" x14ac:dyDescent="0.55000000000000004">
      <c r="A1348" s="27" t="s">
        <v>327</v>
      </c>
      <c r="B1348" s="28"/>
      <c r="C1348" s="27"/>
      <c r="D1348" s="27" t="str">
        <f>"""NAV Direct"",""CRONUS JetCorp USA"",""21"",""1"",""333200"""</f>
        <v>"NAV Direct","CRONUS JetCorp USA","21","1","333200"</v>
      </c>
      <c r="E1348" s="31" t="str">
        <f t="shared" si="391"/>
        <v>C100049</v>
      </c>
      <c r="F1348" s="31"/>
      <c r="G1348" s="31"/>
      <c r="H1348" s="31"/>
      <c r="I1348" s="56"/>
      <c r="J1348" s="56"/>
      <c r="K1348" s="82" t="str">
        <f t="shared" si="392"/>
        <v>Invoice</v>
      </c>
      <c r="L1348" s="83" t="str">
        <f>"SI_110510"</f>
        <v>SI_110510</v>
      </c>
      <c r="M1348" s="84">
        <v>42985</v>
      </c>
      <c r="N1348" s="85">
        <f t="shared" si="393"/>
        <v>827</v>
      </c>
      <c r="O1348" s="86">
        <f t="shared" si="394"/>
        <v>5744.15</v>
      </c>
      <c r="P1348" s="86">
        <f t="shared" si="395"/>
        <v>0</v>
      </c>
      <c r="Q1348" s="86">
        <f t="shared" si="396"/>
        <v>0</v>
      </c>
      <c r="R1348" s="86">
        <f t="shared" si="397"/>
        <v>0</v>
      </c>
      <c r="S1348" s="86">
        <f t="shared" si="398"/>
        <v>0</v>
      </c>
      <c r="T1348" s="86">
        <f t="shared" si="399"/>
        <v>5744.15</v>
      </c>
      <c r="U1348" s="87">
        <v>5744.15</v>
      </c>
    </row>
    <row r="1349" spans="1:21" s="30" customFormat="1" ht="24.6" hidden="1" outlineLevel="1" x14ac:dyDescent="0.55000000000000004">
      <c r="A1349" s="27" t="s">
        <v>327</v>
      </c>
      <c r="B1349" s="28"/>
      <c r="C1349" s="27"/>
      <c r="D1349" s="27" t="str">
        <f>"""NAV Direct"",""CRONUS JetCorp USA"",""21"",""1"",""333289"""</f>
        <v>"NAV Direct","CRONUS JetCorp USA","21","1","333289"</v>
      </c>
      <c r="E1349" s="31">
        <f t="shared" si="391"/>
        <v>0</v>
      </c>
      <c r="F1349" s="31"/>
      <c r="G1349" s="31"/>
      <c r="H1349" s="31"/>
      <c r="I1349" s="56"/>
      <c r="J1349" s="56"/>
      <c r="K1349" s="82" t="str">
        <f t="shared" si="392"/>
        <v>Invoice</v>
      </c>
      <c r="L1349" s="83" t="str">
        <f>"SI_110515"</f>
        <v>SI_110515</v>
      </c>
      <c r="M1349" s="84">
        <v>43064</v>
      </c>
      <c r="N1349" s="85">
        <f t="shared" si="393"/>
        <v>748</v>
      </c>
      <c r="O1349" s="86">
        <f t="shared" si="394"/>
        <v>4769.5</v>
      </c>
      <c r="P1349" s="86">
        <f t="shared" si="395"/>
        <v>0</v>
      </c>
      <c r="Q1349" s="86">
        <f t="shared" si="396"/>
        <v>0</v>
      </c>
      <c r="R1349" s="86">
        <f t="shared" si="397"/>
        <v>0</v>
      </c>
      <c r="S1349" s="86">
        <f t="shared" si="398"/>
        <v>0</v>
      </c>
      <c r="T1349" s="86">
        <f t="shared" si="399"/>
        <v>4769.5</v>
      </c>
      <c r="U1349" s="87">
        <v>4769.5</v>
      </c>
    </row>
    <row r="1350" spans="1:21" s="30" customFormat="1" ht="24.6" hidden="1" outlineLevel="1" x14ac:dyDescent="0.55000000000000004">
      <c r="A1350" s="27" t="s">
        <v>327</v>
      </c>
      <c r="B1350" s="28"/>
      <c r="C1350" s="27"/>
      <c r="D1350" s="27" t="str">
        <f>"""NAV Direct"",""CRONUS JetCorp USA"",""21"",""1"",""333480"""</f>
        <v>"NAV Direct","CRONUS JetCorp USA","21","1","333480"</v>
      </c>
      <c r="E1350" s="31" t="str">
        <f t="shared" si="391"/>
        <v>C100049</v>
      </c>
      <c r="F1350" s="31"/>
      <c r="G1350" s="31"/>
      <c r="H1350" s="31"/>
      <c r="I1350" s="56"/>
      <c r="J1350" s="56"/>
      <c r="K1350" s="82" t="str">
        <f t="shared" si="392"/>
        <v>Invoice</v>
      </c>
      <c r="L1350" s="83" t="str">
        <f>"SI_110524"</f>
        <v>SI_110524</v>
      </c>
      <c r="M1350" s="84">
        <v>43301</v>
      </c>
      <c r="N1350" s="85">
        <f t="shared" si="393"/>
        <v>511</v>
      </c>
      <c r="O1350" s="86">
        <f t="shared" si="394"/>
        <v>4772.1099999999997</v>
      </c>
      <c r="P1350" s="86">
        <f t="shared" si="395"/>
        <v>0</v>
      </c>
      <c r="Q1350" s="86">
        <f t="shared" si="396"/>
        <v>0</v>
      </c>
      <c r="R1350" s="86">
        <f t="shared" si="397"/>
        <v>0</v>
      </c>
      <c r="S1350" s="86">
        <f t="shared" si="398"/>
        <v>0</v>
      </c>
      <c r="T1350" s="86">
        <f t="shared" si="399"/>
        <v>4772.1099999999997</v>
      </c>
      <c r="U1350" s="87">
        <v>4772.1099999999997</v>
      </c>
    </row>
    <row r="1351" spans="1:21" s="30" customFormat="1" ht="24.6" hidden="1" outlineLevel="1" x14ac:dyDescent="0.55000000000000004">
      <c r="A1351" s="27" t="s">
        <v>327</v>
      </c>
      <c r="B1351" s="28"/>
      <c r="C1351" s="27"/>
      <c r="D1351" s="27" t="str">
        <f>"""NAV Direct"",""CRONUS JetCorp USA"",""21"",""1"",""333677"""</f>
        <v>"NAV Direct","CRONUS JetCorp USA","21","1","333677"</v>
      </c>
      <c r="E1351" s="31">
        <f t="shared" si="391"/>
        <v>0</v>
      </c>
      <c r="F1351" s="31"/>
      <c r="G1351" s="31"/>
      <c r="H1351" s="31"/>
      <c r="I1351" s="56"/>
      <c r="J1351" s="56"/>
      <c r="K1351" s="82" t="str">
        <f t="shared" si="392"/>
        <v>Invoice</v>
      </c>
      <c r="L1351" s="83" t="str">
        <f>"SI_110533"</f>
        <v>SI_110533</v>
      </c>
      <c r="M1351" s="84">
        <v>43488</v>
      </c>
      <c r="N1351" s="85">
        <f t="shared" si="393"/>
        <v>324</v>
      </c>
      <c r="O1351" s="86">
        <f t="shared" si="394"/>
        <v>5249.9800000000005</v>
      </c>
      <c r="P1351" s="86">
        <f t="shared" si="395"/>
        <v>0</v>
      </c>
      <c r="Q1351" s="86">
        <f t="shared" si="396"/>
        <v>0</v>
      </c>
      <c r="R1351" s="86">
        <f t="shared" si="397"/>
        <v>0</v>
      </c>
      <c r="S1351" s="86">
        <f t="shared" si="398"/>
        <v>0</v>
      </c>
      <c r="T1351" s="86">
        <f t="shared" si="399"/>
        <v>5249.9800000000005</v>
      </c>
      <c r="U1351" s="87">
        <v>5249.9800000000005</v>
      </c>
    </row>
    <row r="1352" spans="1:21" s="30" customFormat="1" ht="24.6" hidden="1" outlineLevel="1" x14ac:dyDescent="0.55000000000000004">
      <c r="A1352" s="27" t="s">
        <v>327</v>
      </c>
      <c r="B1352" s="28"/>
      <c r="C1352" s="27"/>
      <c r="D1352" s="27" t="str">
        <f>"""NAV Direct"",""CRONUS JetCorp USA"",""21"",""1"",""333696"""</f>
        <v>"NAV Direct","CRONUS JetCorp USA","21","1","333696"</v>
      </c>
      <c r="E1352" s="31" t="str">
        <f t="shared" si="391"/>
        <v>C100049</v>
      </c>
      <c r="F1352" s="31"/>
      <c r="G1352" s="31"/>
      <c r="H1352" s="31"/>
      <c r="I1352" s="56"/>
      <c r="J1352" s="56"/>
      <c r="K1352" s="82" t="str">
        <f t="shared" si="392"/>
        <v>Invoice</v>
      </c>
      <c r="L1352" s="83" t="str">
        <f>"SI_110534"</f>
        <v>SI_110534</v>
      </c>
      <c r="M1352" s="84">
        <v>43492</v>
      </c>
      <c r="N1352" s="85">
        <f t="shared" si="393"/>
        <v>320</v>
      </c>
      <c r="O1352" s="86">
        <f t="shared" si="394"/>
        <v>5535.29</v>
      </c>
      <c r="P1352" s="86">
        <f t="shared" si="395"/>
        <v>0</v>
      </c>
      <c r="Q1352" s="86">
        <f t="shared" si="396"/>
        <v>0</v>
      </c>
      <c r="R1352" s="86">
        <f t="shared" si="397"/>
        <v>0</v>
      </c>
      <c r="S1352" s="86">
        <f t="shared" si="398"/>
        <v>0</v>
      </c>
      <c r="T1352" s="86">
        <f t="shared" si="399"/>
        <v>5535.29</v>
      </c>
      <c r="U1352" s="87">
        <v>5535.29</v>
      </c>
    </row>
    <row r="1353" spans="1:21" s="30" customFormat="1" ht="24.6" hidden="1" outlineLevel="1" x14ac:dyDescent="0.55000000000000004">
      <c r="A1353" s="27" t="s">
        <v>327</v>
      </c>
      <c r="B1353" s="28"/>
      <c r="C1353" s="27"/>
      <c r="D1353" s="27" t="str">
        <f>"""NAV Direct"",""CRONUS JetCorp USA"",""21"",""1"",""333765"""</f>
        <v>"NAV Direct","CRONUS JetCorp USA","21","1","333765"</v>
      </c>
      <c r="E1353" s="31">
        <f t="shared" si="391"/>
        <v>0</v>
      </c>
      <c r="F1353" s="31"/>
      <c r="G1353" s="31"/>
      <c r="H1353" s="31"/>
      <c r="I1353" s="56"/>
      <c r="J1353" s="56"/>
      <c r="K1353" s="82" t="str">
        <f t="shared" si="392"/>
        <v>Invoice</v>
      </c>
      <c r="L1353" s="83" t="str">
        <f>"SI_110537"</f>
        <v>SI_110537</v>
      </c>
      <c r="M1353" s="84">
        <v>43531</v>
      </c>
      <c r="N1353" s="85">
        <f t="shared" si="393"/>
        <v>281</v>
      </c>
      <c r="O1353" s="86">
        <f t="shared" si="394"/>
        <v>5248.53</v>
      </c>
      <c r="P1353" s="86">
        <f t="shared" si="395"/>
        <v>0</v>
      </c>
      <c r="Q1353" s="86">
        <f t="shared" si="396"/>
        <v>0</v>
      </c>
      <c r="R1353" s="86">
        <f t="shared" si="397"/>
        <v>0</v>
      </c>
      <c r="S1353" s="86">
        <f t="shared" si="398"/>
        <v>0</v>
      </c>
      <c r="T1353" s="86">
        <f t="shared" si="399"/>
        <v>5248.53</v>
      </c>
      <c r="U1353" s="87">
        <v>5248.53</v>
      </c>
    </row>
    <row r="1354" spans="1:21" s="30" customFormat="1" ht="24.6" hidden="1" outlineLevel="1" x14ac:dyDescent="0.55000000000000004">
      <c r="A1354" s="27" t="s">
        <v>327</v>
      </c>
      <c r="B1354" s="28"/>
      <c r="C1354" s="27"/>
      <c r="D1354" s="27" t="str">
        <f>"""NAV Direct"",""CRONUS JetCorp USA"",""21"",""1"",""333906"""</f>
        <v>"NAV Direct","CRONUS JetCorp USA","21","1","333906"</v>
      </c>
      <c r="E1354" s="31" t="str">
        <f t="shared" si="391"/>
        <v>C100049</v>
      </c>
      <c r="F1354" s="31"/>
      <c r="G1354" s="31"/>
      <c r="H1354" s="31"/>
      <c r="I1354" s="56"/>
      <c r="J1354" s="56"/>
      <c r="K1354" s="82" t="str">
        <f t="shared" si="392"/>
        <v>Invoice</v>
      </c>
      <c r="L1354" s="83" t="str">
        <f>"SI_110544"</f>
        <v>SI_110544</v>
      </c>
      <c r="M1354" s="84">
        <v>43637</v>
      </c>
      <c r="N1354" s="85">
        <f t="shared" si="393"/>
        <v>175</v>
      </c>
      <c r="O1354" s="86">
        <f t="shared" si="394"/>
        <v>6007.62</v>
      </c>
      <c r="P1354" s="86">
        <f t="shared" si="395"/>
        <v>0</v>
      </c>
      <c r="Q1354" s="86">
        <f t="shared" si="396"/>
        <v>0</v>
      </c>
      <c r="R1354" s="86">
        <f t="shared" si="397"/>
        <v>0</v>
      </c>
      <c r="S1354" s="86">
        <f t="shared" si="398"/>
        <v>0</v>
      </c>
      <c r="T1354" s="86">
        <f t="shared" si="399"/>
        <v>6007.62</v>
      </c>
      <c r="U1354" s="87">
        <v>6007.62</v>
      </c>
    </row>
    <row r="1355" spans="1:21" s="30" customFormat="1" ht="24.6" hidden="1" outlineLevel="1" x14ac:dyDescent="0.55000000000000004">
      <c r="A1355" s="27" t="s">
        <v>327</v>
      </c>
      <c r="B1355" s="28"/>
      <c r="C1355" s="27"/>
      <c r="D1355" s="27" t="str">
        <f>"""NAV Direct"",""CRONUS JetCorp USA"",""21"",""1"",""334215"""</f>
        <v>"NAV Direct","CRONUS JetCorp USA","21","1","334215"</v>
      </c>
      <c r="E1355" s="31">
        <f t="shared" si="391"/>
        <v>0</v>
      </c>
      <c r="F1355" s="31"/>
      <c r="G1355" s="31"/>
      <c r="H1355" s="31"/>
      <c r="I1355" s="56"/>
      <c r="J1355" s="56"/>
      <c r="K1355" s="82" t="str">
        <f t="shared" si="392"/>
        <v>Invoice</v>
      </c>
      <c r="L1355" s="83" t="str">
        <f>"SI_110559"</f>
        <v>SI_110559</v>
      </c>
      <c r="M1355" s="84">
        <v>42026</v>
      </c>
      <c r="N1355" s="85">
        <f t="shared" si="393"/>
        <v>1786</v>
      </c>
      <c r="O1355" s="86">
        <f t="shared" si="394"/>
        <v>6943.66</v>
      </c>
      <c r="P1355" s="86">
        <f t="shared" si="395"/>
        <v>0</v>
      </c>
      <c r="Q1355" s="86">
        <f t="shared" si="396"/>
        <v>0</v>
      </c>
      <c r="R1355" s="86">
        <f t="shared" si="397"/>
        <v>0</v>
      </c>
      <c r="S1355" s="86">
        <f t="shared" si="398"/>
        <v>0</v>
      </c>
      <c r="T1355" s="86">
        <f t="shared" si="399"/>
        <v>6943.66</v>
      </c>
      <c r="U1355" s="87">
        <v>6943.66</v>
      </c>
    </row>
    <row r="1356" spans="1:21" s="30" customFormat="1" ht="24.6" hidden="1" outlineLevel="1" x14ac:dyDescent="0.55000000000000004">
      <c r="A1356" s="27" t="s">
        <v>327</v>
      </c>
      <c r="B1356" s="28"/>
      <c r="C1356" s="27"/>
      <c r="D1356" s="27" t="str">
        <f>"""NAV Direct"",""CRONUS JetCorp USA"",""21"",""1"",""334274"""</f>
        <v>"NAV Direct","CRONUS JetCorp USA","21","1","334274"</v>
      </c>
      <c r="E1356" s="31" t="str">
        <f t="shared" si="391"/>
        <v>C100049</v>
      </c>
      <c r="F1356" s="31"/>
      <c r="G1356" s="31"/>
      <c r="H1356" s="31"/>
      <c r="I1356" s="56"/>
      <c r="J1356" s="56"/>
      <c r="K1356" s="82" t="str">
        <f t="shared" si="392"/>
        <v>Invoice</v>
      </c>
      <c r="L1356" s="83" t="str">
        <f>"SI_110562"</f>
        <v>SI_110562</v>
      </c>
      <c r="M1356" s="84">
        <v>42058</v>
      </c>
      <c r="N1356" s="85">
        <f t="shared" si="393"/>
        <v>1754</v>
      </c>
      <c r="O1356" s="86">
        <f t="shared" si="394"/>
        <v>6967.7499999999991</v>
      </c>
      <c r="P1356" s="86">
        <f t="shared" si="395"/>
        <v>0</v>
      </c>
      <c r="Q1356" s="86">
        <f t="shared" si="396"/>
        <v>0</v>
      </c>
      <c r="R1356" s="86">
        <f t="shared" si="397"/>
        <v>0</v>
      </c>
      <c r="S1356" s="86">
        <f t="shared" si="398"/>
        <v>0</v>
      </c>
      <c r="T1356" s="86">
        <f t="shared" si="399"/>
        <v>6967.7499999999991</v>
      </c>
      <c r="U1356" s="87">
        <v>6967.7499999999991</v>
      </c>
    </row>
    <row r="1357" spans="1:21" s="30" customFormat="1" ht="24.6" hidden="1" outlineLevel="1" x14ac:dyDescent="0.55000000000000004">
      <c r="A1357" s="27" t="s">
        <v>327</v>
      </c>
      <c r="B1357" s="28"/>
      <c r="C1357" s="27"/>
      <c r="D1357" s="27" t="str">
        <f>"""NAV Direct"",""CRONUS JetCorp USA"",""21"",""1"",""334305"""</f>
        <v>"NAV Direct","CRONUS JetCorp USA","21","1","334305"</v>
      </c>
      <c r="E1357" s="31">
        <f t="shared" si="391"/>
        <v>0</v>
      </c>
      <c r="F1357" s="31"/>
      <c r="G1357" s="31"/>
      <c r="H1357" s="31"/>
      <c r="I1357" s="56"/>
      <c r="J1357" s="56"/>
      <c r="K1357" s="82" t="str">
        <f t="shared" si="392"/>
        <v>Invoice</v>
      </c>
      <c r="L1357" s="83" t="str">
        <f>"SI_110563"</f>
        <v>SI_110563</v>
      </c>
      <c r="M1357" s="84">
        <v>42062</v>
      </c>
      <c r="N1357" s="85">
        <f t="shared" si="393"/>
        <v>1750</v>
      </c>
      <c r="O1357" s="86">
        <f t="shared" si="394"/>
        <v>6969.2</v>
      </c>
      <c r="P1357" s="86">
        <f t="shared" si="395"/>
        <v>0</v>
      </c>
      <c r="Q1357" s="86">
        <f t="shared" si="396"/>
        <v>0</v>
      </c>
      <c r="R1357" s="86">
        <f t="shared" si="397"/>
        <v>0</v>
      </c>
      <c r="S1357" s="86">
        <f t="shared" si="398"/>
        <v>0</v>
      </c>
      <c r="T1357" s="86">
        <f t="shared" si="399"/>
        <v>6969.2</v>
      </c>
      <c r="U1357" s="87">
        <v>6969.2</v>
      </c>
    </row>
    <row r="1358" spans="1:21" s="30" customFormat="1" ht="24.6" hidden="1" outlineLevel="1" x14ac:dyDescent="0.55000000000000004">
      <c r="A1358" s="27" t="s">
        <v>327</v>
      </c>
      <c r="B1358" s="28"/>
      <c r="C1358" s="27"/>
      <c r="D1358" s="27" t="str">
        <f>"""NAV Direct"",""CRONUS JetCorp USA"",""21"",""1"",""334539"""</f>
        <v>"NAV Direct","CRONUS JetCorp USA","21","1","334539"</v>
      </c>
      <c r="E1358" s="31" t="str">
        <f t="shared" si="391"/>
        <v>C100049</v>
      </c>
      <c r="F1358" s="31"/>
      <c r="G1358" s="31"/>
      <c r="H1358" s="31"/>
      <c r="I1358" s="56"/>
      <c r="J1358" s="56"/>
      <c r="K1358" s="82" t="str">
        <f t="shared" si="392"/>
        <v>Invoice</v>
      </c>
      <c r="L1358" s="83" t="str">
        <f>"SI_110573"</f>
        <v>SI_110573</v>
      </c>
      <c r="M1358" s="84">
        <v>42192</v>
      </c>
      <c r="N1358" s="85">
        <f t="shared" si="393"/>
        <v>1620</v>
      </c>
      <c r="O1358" s="86">
        <f t="shared" si="394"/>
        <v>7424.48</v>
      </c>
      <c r="P1358" s="86">
        <f t="shared" si="395"/>
        <v>0</v>
      </c>
      <c r="Q1358" s="86">
        <f t="shared" si="396"/>
        <v>0</v>
      </c>
      <c r="R1358" s="86">
        <f t="shared" si="397"/>
        <v>0</v>
      </c>
      <c r="S1358" s="86">
        <f t="shared" si="398"/>
        <v>0</v>
      </c>
      <c r="T1358" s="86">
        <f t="shared" si="399"/>
        <v>7424.48</v>
      </c>
      <c r="U1358" s="87">
        <v>7424.48</v>
      </c>
    </row>
    <row r="1359" spans="1:21" s="30" customFormat="1" ht="24.6" hidden="1" outlineLevel="1" x14ac:dyDescent="0.55000000000000004">
      <c r="A1359" s="27" t="s">
        <v>327</v>
      </c>
      <c r="B1359" s="28"/>
      <c r="C1359" s="27"/>
      <c r="D1359" s="27" t="str">
        <f>"""NAV Direct"",""CRONUS JetCorp USA"",""21"",""1"",""334742"""</f>
        <v>"NAV Direct","CRONUS JetCorp USA","21","1","334742"</v>
      </c>
      <c r="E1359" s="31">
        <f t="shared" si="391"/>
        <v>0</v>
      </c>
      <c r="F1359" s="31"/>
      <c r="G1359" s="31"/>
      <c r="H1359" s="31"/>
      <c r="I1359" s="56"/>
      <c r="J1359" s="56"/>
      <c r="K1359" s="82" t="str">
        <f t="shared" si="392"/>
        <v>Invoice</v>
      </c>
      <c r="L1359" s="83" t="str">
        <f>"SI_110582"</f>
        <v>SI_110582</v>
      </c>
      <c r="M1359" s="84">
        <v>42301</v>
      </c>
      <c r="N1359" s="85">
        <f t="shared" si="393"/>
        <v>1511</v>
      </c>
      <c r="O1359" s="86">
        <f t="shared" si="394"/>
        <v>8536.9499999999989</v>
      </c>
      <c r="P1359" s="86">
        <f t="shared" si="395"/>
        <v>0</v>
      </c>
      <c r="Q1359" s="86">
        <f t="shared" si="396"/>
        <v>0</v>
      </c>
      <c r="R1359" s="86">
        <f t="shared" si="397"/>
        <v>0</v>
      </c>
      <c r="S1359" s="86">
        <f t="shared" si="398"/>
        <v>0</v>
      </c>
      <c r="T1359" s="86">
        <f t="shared" si="399"/>
        <v>8536.9499999999989</v>
      </c>
      <c r="U1359" s="87">
        <v>8536.9499999999989</v>
      </c>
    </row>
    <row r="1360" spans="1:21" s="30" customFormat="1" ht="24.6" hidden="1" outlineLevel="1" x14ac:dyDescent="0.55000000000000004">
      <c r="A1360" s="27" t="s">
        <v>327</v>
      </c>
      <c r="B1360" s="28"/>
      <c r="C1360" s="27"/>
      <c r="D1360" s="27" t="str">
        <f>"""NAV Direct"",""CRONUS JetCorp USA"",""21"",""1"",""334767"""</f>
        <v>"NAV Direct","CRONUS JetCorp USA","21","1","334767"</v>
      </c>
      <c r="E1360" s="31" t="str">
        <f t="shared" si="391"/>
        <v>C100049</v>
      </c>
      <c r="F1360" s="31"/>
      <c r="G1360" s="31"/>
      <c r="H1360" s="31"/>
      <c r="I1360" s="56"/>
      <c r="J1360" s="56"/>
      <c r="K1360" s="82" t="str">
        <f t="shared" si="392"/>
        <v>Invoice</v>
      </c>
      <c r="L1360" s="83" t="str">
        <f>"SI_110583"</f>
        <v>SI_110583</v>
      </c>
      <c r="M1360" s="84">
        <v>42312</v>
      </c>
      <c r="N1360" s="85">
        <f t="shared" si="393"/>
        <v>1500</v>
      </c>
      <c r="O1360" s="86">
        <f t="shared" si="394"/>
        <v>8536.94</v>
      </c>
      <c r="P1360" s="86">
        <f t="shared" si="395"/>
        <v>0</v>
      </c>
      <c r="Q1360" s="86">
        <f t="shared" si="396"/>
        <v>0</v>
      </c>
      <c r="R1360" s="86">
        <f t="shared" si="397"/>
        <v>0</v>
      </c>
      <c r="S1360" s="86">
        <f t="shared" si="398"/>
        <v>0</v>
      </c>
      <c r="T1360" s="86">
        <f t="shared" si="399"/>
        <v>8536.94</v>
      </c>
      <c r="U1360" s="87">
        <v>8536.94</v>
      </c>
    </row>
    <row r="1361" spans="1:22" s="30" customFormat="1" ht="24.6" hidden="1" outlineLevel="1" x14ac:dyDescent="0.55000000000000004">
      <c r="A1361" s="27" t="s">
        <v>327</v>
      </c>
      <c r="B1361" s="28"/>
      <c r="C1361" s="27"/>
      <c r="D1361" s="27" t="str">
        <f>"""NAV Direct"",""CRONUS JetCorp USA"",""21"",""1"",""433152"""</f>
        <v>"NAV Direct","CRONUS JetCorp USA","21","1","433152"</v>
      </c>
      <c r="E1361" s="31">
        <f t="shared" si="391"/>
        <v>0</v>
      </c>
      <c r="F1361" s="31"/>
      <c r="G1361" s="31"/>
      <c r="H1361" s="31"/>
      <c r="I1361" s="56"/>
      <c r="J1361" s="56"/>
      <c r="K1361" s="82" t="str">
        <f t="shared" ref="K1361:K1366" si="400">"Credit Memo"</f>
        <v>Credit Memo</v>
      </c>
      <c r="L1361" s="83" t="str">
        <f>"SC_100466"</f>
        <v>SC_100466</v>
      </c>
      <c r="M1361" s="84">
        <v>42401</v>
      </c>
      <c r="N1361" s="85">
        <f t="shared" si="393"/>
        <v>1411</v>
      </c>
      <c r="O1361" s="86">
        <f t="shared" si="394"/>
        <v>-55.12</v>
      </c>
      <c r="P1361" s="86">
        <f t="shared" si="395"/>
        <v>0</v>
      </c>
      <c r="Q1361" s="86">
        <f t="shared" si="396"/>
        <v>0</v>
      </c>
      <c r="R1361" s="86">
        <f t="shared" si="397"/>
        <v>0</v>
      </c>
      <c r="S1361" s="86">
        <f t="shared" si="398"/>
        <v>0</v>
      </c>
      <c r="T1361" s="86">
        <f t="shared" si="399"/>
        <v>-55.12</v>
      </c>
      <c r="U1361" s="87">
        <v>-55.12</v>
      </c>
    </row>
    <row r="1362" spans="1:22" s="30" customFormat="1" ht="24.6" hidden="1" outlineLevel="1" x14ac:dyDescent="0.55000000000000004">
      <c r="A1362" s="27" t="s">
        <v>327</v>
      </c>
      <c r="B1362" s="28"/>
      <c r="C1362" s="27"/>
      <c r="D1362" s="27" t="str">
        <f>"""NAV Direct"",""CRONUS JetCorp USA"",""21"",""1"",""433163"""</f>
        <v>"NAV Direct","CRONUS JetCorp USA","21","1","433163"</v>
      </c>
      <c r="E1362" s="31" t="str">
        <f t="shared" si="391"/>
        <v>C100049</v>
      </c>
      <c r="F1362" s="31"/>
      <c r="G1362" s="31"/>
      <c r="H1362" s="31"/>
      <c r="I1362" s="56"/>
      <c r="J1362" s="56"/>
      <c r="K1362" s="82" t="str">
        <f t="shared" si="400"/>
        <v>Credit Memo</v>
      </c>
      <c r="L1362" s="83" t="str">
        <f>"SC_100467"</f>
        <v>SC_100467</v>
      </c>
      <c r="M1362" s="84">
        <v>42495</v>
      </c>
      <c r="N1362" s="85">
        <f t="shared" si="393"/>
        <v>1317</v>
      </c>
      <c r="O1362" s="86">
        <f t="shared" si="394"/>
        <v>-57.33</v>
      </c>
      <c r="P1362" s="86">
        <f t="shared" si="395"/>
        <v>0</v>
      </c>
      <c r="Q1362" s="86">
        <f t="shared" si="396"/>
        <v>0</v>
      </c>
      <c r="R1362" s="86">
        <f t="shared" si="397"/>
        <v>0</v>
      </c>
      <c r="S1362" s="86">
        <f t="shared" si="398"/>
        <v>0</v>
      </c>
      <c r="T1362" s="86">
        <f t="shared" si="399"/>
        <v>-57.33</v>
      </c>
      <c r="U1362" s="87">
        <v>-57.33</v>
      </c>
    </row>
    <row r="1363" spans="1:22" s="30" customFormat="1" ht="24.6" hidden="1" outlineLevel="1" x14ac:dyDescent="0.55000000000000004">
      <c r="A1363" s="27" t="s">
        <v>327</v>
      </c>
      <c r="B1363" s="28"/>
      <c r="C1363" s="27"/>
      <c r="D1363" s="27" t="str">
        <f>"""NAV Direct"",""CRONUS JetCorp USA"",""21"",""1"",""433324"""</f>
        <v>"NAV Direct","CRONUS JetCorp USA","21","1","433324"</v>
      </c>
      <c r="E1363" s="31">
        <f t="shared" si="391"/>
        <v>0</v>
      </c>
      <c r="F1363" s="31"/>
      <c r="G1363" s="31"/>
      <c r="H1363" s="31"/>
      <c r="I1363" s="56"/>
      <c r="J1363" s="56"/>
      <c r="K1363" s="82" t="str">
        <f t="shared" si="400"/>
        <v>Credit Memo</v>
      </c>
      <c r="L1363" s="83" t="str">
        <f>"SC_100480"</f>
        <v>SC_100480</v>
      </c>
      <c r="M1363" s="84">
        <v>43361</v>
      </c>
      <c r="N1363" s="85">
        <f t="shared" si="393"/>
        <v>451</v>
      </c>
      <c r="O1363" s="86">
        <f t="shared" si="394"/>
        <v>-44.46</v>
      </c>
      <c r="P1363" s="86">
        <f t="shared" si="395"/>
        <v>0</v>
      </c>
      <c r="Q1363" s="86">
        <f t="shared" si="396"/>
        <v>0</v>
      </c>
      <c r="R1363" s="86">
        <f t="shared" si="397"/>
        <v>0</v>
      </c>
      <c r="S1363" s="86">
        <f t="shared" si="398"/>
        <v>0</v>
      </c>
      <c r="T1363" s="86">
        <f t="shared" si="399"/>
        <v>-44.46</v>
      </c>
      <c r="U1363" s="87">
        <v>-44.46</v>
      </c>
    </row>
    <row r="1364" spans="1:22" s="30" customFormat="1" ht="24.6" hidden="1" outlineLevel="1" x14ac:dyDescent="0.55000000000000004">
      <c r="A1364" s="27" t="s">
        <v>327</v>
      </c>
      <c r="B1364" s="28"/>
      <c r="C1364" s="27"/>
      <c r="D1364" s="27" t="str">
        <f>"""NAV Direct"",""CRONUS JetCorp USA"",""21"",""1"",""433395"""</f>
        <v>"NAV Direct","CRONUS JetCorp USA","21","1","433395"</v>
      </c>
      <c r="E1364" s="31" t="str">
        <f t="shared" si="391"/>
        <v>C100049</v>
      </c>
      <c r="F1364" s="31"/>
      <c r="G1364" s="31"/>
      <c r="H1364" s="31"/>
      <c r="I1364" s="56"/>
      <c r="J1364" s="56"/>
      <c r="K1364" s="82" t="str">
        <f t="shared" si="400"/>
        <v>Credit Memo</v>
      </c>
      <c r="L1364" s="83" t="str">
        <f>"SC_100485"</f>
        <v>SC_100485</v>
      </c>
      <c r="M1364" s="84">
        <v>43628</v>
      </c>
      <c r="N1364" s="85">
        <f t="shared" si="393"/>
        <v>184</v>
      </c>
      <c r="O1364" s="86">
        <f t="shared" si="394"/>
        <v>-59.44</v>
      </c>
      <c r="P1364" s="86">
        <f t="shared" si="395"/>
        <v>0</v>
      </c>
      <c r="Q1364" s="86">
        <f t="shared" si="396"/>
        <v>0</v>
      </c>
      <c r="R1364" s="86">
        <f t="shared" si="397"/>
        <v>0</v>
      </c>
      <c r="S1364" s="86">
        <f t="shared" si="398"/>
        <v>0</v>
      </c>
      <c r="T1364" s="86">
        <f t="shared" si="399"/>
        <v>-59.44</v>
      </c>
      <c r="U1364" s="87">
        <v>-59.44</v>
      </c>
    </row>
    <row r="1365" spans="1:22" s="30" customFormat="1" ht="24.6" hidden="1" outlineLevel="1" x14ac:dyDescent="0.55000000000000004">
      <c r="A1365" s="27" t="s">
        <v>327</v>
      </c>
      <c r="B1365" s="28"/>
      <c r="C1365" s="27"/>
      <c r="D1365" s="27" t="str">
        <f>"""NAV Direct"",""CRONUS JetCorp USA"",""21"",""1"",""433485"""</f>
        <v>"NAV Direct","CRONUS JetCorp USA","21","1","433485"</v>
      </c>
      <c r="E1365" s="31">
        <f t="shared" si="391"/>
        <v>0</v>
      </c>
      <c r="F1365" s="31"/>
      <c r="G1365" s="31"/>
      <c r="H1365" s="31"/>
      <c r="I1365" s="56"/>
      <c r="J1365" s="56"/>
      <c r="K1365" s="82" t="str">
        <f t="shared" si="400"/>
        <v>Credit Memo</v>
      </c>
      <c r="L1365" s="83" t="str">
        <f>"SC_100491"</f>
        <v>SC_100491</v>
      </c>
      <c r="M1365" s="84">
        <v>42072</v>
      </c>
      <c r="N1365" s="85">
        <f t="shared" si="393"/>
        <v>1740</v>
      </c>
      <c r="O1365" s="86">
        <f t="shared" si="394"/>
        <v>-69.86</v>
      </c>
      <c r="P1365" s="86">
        <f t="shared" si="395"/>
        <v>0</v>
      </c>
      <c r="Q1365" s="86">
        <f t="shared" si="396"/>
        <v>0</v>
      </c>
      <c r="R1365" s="86">
        <f t="shared" si="397"/>
        <v>0</v>
      </c>
      <c r="S1365" s="86">
        <f t="shared" si="398"/>
        <v>0</v>
      </c>
      <c r="T1365" s="86">
        <f t="shared" si="399"/>
        <v>-69.86</v>
      </c>
      <c r="U1365" s="87">
        <v>-69.86</v>
      </c>
    </row>
    <row r="1366" spans="1:22" s="30" customFormat="1" ht="24.6" hidden="1" outlineLevel="1" x14ac:dyDescent="0.55000000000000004">
      <c r="A1366" s="27" t="s">
        <v>327</v>
      </c>
      <c r="B1366" s="28"/>
      <c r="C1366" s="27"/>
      <c r="D1366" s="27" t="str">
        <f>"""NAV Direct"",""CRONUS JetCorp USA"",""21"",""1"",""433557"""</f>
        <v>"NAV Direct","CRONUS JetCorp USA","21","1","433557"</v>
      </c>
      <c r="E1366" s="31" t="str">
        <f t="shared" si="391"/>
        <v>C100049</v>
      </c>
      <c r="F1366" s="31"/>
      <c r="G1366" s="31"/>
      <c r="H1366" s="31"/>
      <c r="I1366" s="56"/>
      <c r="J1366" s="56"/>
      <c r="K1366" s="82" t="str">
        <f t="shared" si="400"/>
        <v>Credit Memo</v>
      </c>
      <c r="L1366" s="83" t="str">
        <f>"SC_100497"</f>
        <v>SC_100497</v>
      </c>
      <c r="M1366" s="84">
        <v>42358</v>
      </c>
      <c r="N1366" s="85">
        <f t="shared" si="393"/>
        <v>1454</v>
      </c>
      <c r="O1366" s="86">
        <f t="shared" si="394"/>
        <v>-87.73</v>
      </c>
      <c r="P1366" s="86">
        <f t="shared" si="395"/>
        <v>0</v>
      </c>
      <c r="Q1366" s="86">
        <f t="shared" si="396"/>
        <v>0</v>
      </c>
      <c r="R1366" s="86">
        <f t="shared" si="397"/>
        <v>0</v>
      </c>
      <c r="S1366" s="86">
        <f t="shared" si="398"/>
        <v>0</v>
      </c>
      <c r="T1366" s="86">
        <f t="shared" si="399"/>
        <v>-87.73</v>
      </c>
      <c r="U1366" s="87">
        <v>-87.73</v>
      </c>
    </row>
    <row r="1367" spans="1:22" s="22" customFormat="1" ht="20.399999999999999" collapsed="1" x14ac:dyDescent="0.45">
      <c r="A1367" s="12" t="s">
        <v>327</v>
      </c>
      <c r="B1367" s="19"/>
      <c r="C1367" s="12"/>
      <c r="D1367" s="12"/>
      <c r="E1367" s="23"/>
      <c r="F1367" s="23"/>
      <c r="G1367" s="23"/>
      <c r="H1367" s="23"/>
      <c r="I1367" s="49"/>
      <c r="J1367" s="88"/>
      <c r="K1367" s="88"/>
      <c r="L1367" s="89"/>
      <c r="M1367" s="89"/>
      <c r="N1367" s="89"/>
      <c r="O1367" s="89"/>
      <c r="P1367" s="89"/>
      <c r="Q1367" s="90"/>
      <c r="R1367" s="90"/>
      <c r="S1367" s="91"/>
      <c r="T1367" s="92"/>
      <c r="U1367" s="92"/>
    </row>
    <row r="1368" spans="1:22" s="22" customFormat="1" ht="20.399999999999999" x14ac:dyDescent="0.45">
      <c r="A1368" s="12" t="s">
        <v>327</v>
      </c>
      <c r="B1368" s="19"/>
      <c r="C1368" s="12"/>
      <c r="D1368" s="12"/>
      <c r="E1368" s="23"/>
      <c r="F1368" s="23"/>
      <c r="G1368" s="23"/>
      <c r="H1368" s="23"/>
      <c r="I1368" s="49"/>
      <c r="J1368" s="88"/>
      <c r="K1368" s="88"/>
      <c r="L1368" s="89"/>
      <c r="M1368" s="89"/>
      <c r="N1368" s="89"/>
      <c r="O1368" s="89"/>
      <c r="P1368" s="89"/>
      <c r="Q1368" s="90"/>
      <c r="R1368" s="90"/>
      <c r="S1368" s="91"/>
      <c r="T1368" s="92"/>
      <c r="U1368" s="92"/>
    </row>
    <row r="1369" spans="1:22" s="26" customFormat="1" ht="24.6" x14ac:dyDescent="0.55000000000000004">
      <c r="A1369" s="27" t="s">
        <v>327</v>
      </c>
      <c r="B1369" s="28"/>
      <c r="C1369" s="27" t="str">
        <f>"""NAV Direct"",""CRONUS JetCorp USA"",""18"",""1"",""C100050"""</f>
        <v>"NAV Direct","CRONUS JetCorp USA","18","1","C100050"</v>
      </c>
      <c r="D1369" s="27"/>
      <c r="E1369" s="28" t="str">
        <f>H1369</f>
        <v>C100050</v>
      </c>
      <c r="F1369" s="28"/>
      <c r="G1369" s="28"/>
      <c r="H1369" s="28" t="str">
        <f>"C100050"</f>
        <v>C100050</v>
      </c>
      <c r="I1369" s="116" t="str">
        <f>"C100050  -  Lauritzen Kontorm¢bler A/S"</f>
        <v>C100050  -  Lauritzen Kontorm¢bler A/S</v>
      </c>
      <c r="J1369" s="117" t="str">
        <f>""</f>
        <v/>
      </c>
      <c r="K1369" s="118"/>
      <c r="L1369" s="119">
        <f>SUBTOTAL(3,L1370:L1419)</f>
        <v>46</v>
      </c>
      <c r="M1369" s="118"/>
      <c r="N1369" s="118"/>
      <c r="O1369" s="120">
        <f t="shared" ref="O1369:T1369" si="401">SUBTOTAL(9,O1370:O1419)</f>
        <v>677157.3</v>
      </c>
      <c r="P1369" s="120">
        <f t="shared" si="401"/>
        <v>0</v>
      </c>
      <c r="Q1369" s="120">
        <f t="shared" si="401"/>
        <v>0</v>
      </c>
      <c r="R1369" s="120">
        <f t="shared" si="401"/>
        <v>0</v>
      </c>
      <c r="S1369" s="120">
        <f t="shared" si="401"/>
        <v>-166.01999999999998</v>
      </c>
      <c r="T1369" s="120">
        <f t="shared" si="401"/>
        <v>677323.32000000007</v>
      </c>
      <c r="U1369" s="81"/>
    </row>
    <row r="1370" spans="1:22" s="26" customFormat="1" ht="24.6" x14ac:dyDescent="0.55000000000000004">
      <c r="A1370" s="27" t="s">
        <v>327</v>
      </c>
      <c r="B1370" s="28"/>
      <c r="C1370" s="27" t="str">
        <f>C1369</f>
        <v>"NAV Direct","CRONUS JetCorp USA","18","1","C100050"</v>
      </c>
      <c r="D1370" s="27"/>
      <c r="E1370" s="28" t="str">
        <f>E1369</f>
        <v>C100050</v>
      </c>
      <c r="F1370" s="28"/>
      <c r="G1370" s="28"/>
      <c r="H1370" s="28"/>
      <c r="I1370" s="121" t="str">
        <f>"Contact: Fr. Jenny Gottfried"</f>
        <v>Contact: Fr. Jenny Gottfried</v>
      </c>
      <c r="J1370" s="121"/>
      <c r="K1370" s="122"/>
      <c r="L1370" s="123"/>
      <c r="M1370" s="123"/>
      <c r="N1370" s="124"/>
      <c r="O1370" s="124"/>
      <c r="P1370" s="123"/>
      <c r="Q1370" s="125"/>
      <c r="R1370" s="126"/>
      <c r="S1370" s="126"/>
      <c r="T1370" s="125"/>
      <c r="U1370" s="81"/>
    </row>
    <row r="1371" spans="1:22" s="26" customFormat="1" ht="24.6" x14ac:dyDescent="0.55000000000000004">
      <c r="A1371" s="27" t="s">
        <v>327</v>
      </c>
      <c r="B1371" s="28"/>
      <c r="C1371" s="27" t="str">
        <f>C1370</f>
        <v>"NAV Direct","CRONUS JetCorp USA","18","1","C100050"</v>
      </c>
      <c r="D1371" s="27"/>
      <c r="E1371" s="28" t="str">
        <f>E1370</f>
        <v>C100050</v>
      </c>
      <c r="F1371" s="28"/>
      <c r="G1371" s="28"/>
      <c r="H1371" s="28"/>
      <c r="I1371" s="121" t="str">
        <f>"lauritzen.kontormobler.as@cronuscorp.net"</f>
        <v>lauritzen.kontormobler.as@cronuscorp.net</v>
      </c>
      <c r="J1371" s="121"/>
      <c r="K1371" s="122"/>
      <c r="L1371" s="124"/>
      <c r="M1371" s="124"/>
      <c r="N1371" s="124"/>
      <c r="O1371" s="124"/>
      <c r="P1371" s="123"/>
      <c r="Q1371" s="125"/>
      <c r="R1371" s="126"/>
      <c r="S1371" s="126"/>
      <c r="T1371" s="125"/>
      <c r="U1371" s="81"/>
    </row>
    <row r="1372" spans="1:22" ht="12.75" hidden="1" customHeight="1" outlineLevel="1" x14ac:dyDescent="0.45">
      <c r="A1372" s="12" t="s">
        <v>328</v>
      </c>
      <c r="B1372" s="19"/>
      <c r="E1372" s="19"/>
      <c r="F1372" s="19"/>
      <c r="G1372" s="19"/>
      <c r="H1372" s="19"/>
      <c r="I1372" s="61"/>
      <c r="J1372" s="61"/>
      <c r="K1372" s="61"/>
      <c r="L1372" s="61"/>
      <c r="M1372" s="61"/>
      <c r="N1372" s="61"/>
      <c r="O1372" s="61"/>
      <c r="P1372" s="61"/>
      <c r="Q1372" s="61"/>
      <c r="R1372" s="61"/>
      <c r="S1372" s="61"/>
      <c r="T1372" s="61"/>
      <c r="U1372" s="61"/>
      <c r="V1372" s="21"/>
    </row>
    <row r="1373" spans="1:22" s="30" customFormat="1" ht="24.6" hidden="1" outlineLevel="1" x14ac:dyDescent="0.55000000000000004">
      <c r="A1373" s="27" t="s">
        <v>327</v>
      </c>
      <c r="B1373" s="28"/>
      <c r="C1373" s="27"/>
      <c r="D1373" s="27" t="str">
        <f>"""NAV Direct"",""CRONUS JetCorp USA"",""21"",""1"",""93768"""</f>
        <v>"NAV Direct","CRONUS JetCorp USA","21","1","93768"</v>
      </c>
      <c r="E1373" s="31" t="str">
        <f t="shared" ref="E1373:E1418" si="402">E1371</f>
        <v>C100050</v>
      </c>
      <c r="F1373" s="31"/>
      <c r="G1373" s="31"/>
      <c r="H1373" s="31"/>
      <c r="I1373" s="56"/>
      <c r="J1373" s="56"/>
      <c r="K1373" s="82" t="str">
        <f t="shared" ref="K1373:K1411" si="403">"Invoice"</f>
        <v>Invoice</v>
      </c>
      <c r="L1373" s="83" t="str">
        <f>"SI_106362"</f>
        <v>SI_106362</v>
      </c>
      <c r="M1373" s="84">
        <v>42300</v>
      </c>
      <c r="N1373" s="85">
        <f t="shared" ref="N1373:N1418" si="404">StartDate-$M1373+1</f>
        <v>1512</v>
      </c>
      <c r="O1373" s="86">
        <f t="shared" ref="O1373:O1418" si="405">SUM(P1373:T1373)</f>
        <v>17142.86</v>
      </c>
      <c r="P1373" s="86">
        <f t="shared" ref="P1373:P1418" si="406">IF($M1373&gt;=$P$18,U1373,0)</f>
        <v>0</v>
      </c>
      <c r="Q1373" s="86">
        <f t="shared" ref="Q1373:Q1418" si="407">IF(AND($M1373&gt;=$Q$16,$M1373&lt;=$Q$18),U1373,0)</f>
        <v>0</v>
      </c>
      <c r="R1373" s="86">
        <f t="shared" ref="R1373:R1418" si="408">IF(AND($M1373&gt;=$R$16,$M1373&lt;=$R$18),U1373,0)</f>
        <v>0</v>
      </c>
      <c r="S1373" s="86">
        <f t="shared" ref="S1373:S1418" si="409">IF(AND($M1373&gt;=$S$16,$M1373&lt;=$S$18),U1373,0)</f>
        <v>0</v>
      </c>
      <c r="T1373" s="86">
        <f t="shared" ref="T1373:T1418" si="410">IF($M1373&lt;=$T$18,U1373,0)</f>
        <v>17142.86</v>
      </c>
      <c r="U1373" s="87">
        <v>17142.86</v>
      </c>
    </row>
    <row r="1374" spans="1:22" s="30" customFormat="1" ht="24.6" hidden="1" outlineLevel="1" x14ac:dyDescent="0.55000000000000004">
      <c r="A1374" s="27" t="s">
        <v>327</v>
      </c>
      <c r="B1374" s="28"/>
      <c r="C1374" s="27"/>
      <c r="D1374" s="27" t="str">
        <f>"""NAV Direct"",""CRONUS JetCorp USA"",""21"",""1"",""93809"""</f>
        <v>"NAV Direct","CRONUS JetCorp USA","21","1","93809"</v>
      </c>
      <c r="E1374" s="31">
        <f t="shared" si="402"/>
        <v>0</v>
      </c>
      <c r="F1374" s="31"/>
      <c r="G1374" s="31"/>
      <c r="H1374" s="31"/>
      <c r="I1374" s="56"/>
      <c r="J1374" s="56"/>
      <c r="K1374" s="82" t="str">
        <f t="shared" si="403"/>
        <v>Invoice</v>
      </c>
      <c r="L1374" s="83" t="str">
        <f>"SI_106363"</f>
        <v>SI_106363</v>
      </c>
      <c r="M1374" s="84">
        <v>42313</v>
      </c>
      <c r="N1374" s="85">
        <f t="shared" si="404"/>
        <v>1499</v>
      </c>
      <c r="O1374" s="86">
        <f t="shared" si="405"/>
        <v>18343.05</v>
      </c>
      <c r="P1374" s="86">
        <f t="shared" si="406"/>
        <v>0</v>
      </c>
      <c r="Q1374" s="86">
        <f t="shared" si="407"/>
        <v>0</v>
      </c>
      <c r="R1374" s="86">
        <f t="shared" si="408"/>
        <v>0</v>
      </c>
      <c r="S1374" s="86">
        <f t="shared" si="409"/>
        <v>0</v>
      </c>
      <c r="T1374" s="86">
        <f t="shared" si="410"/>
        <v>18343.05</v>
      </c>
      <c r="U1374" s="87">
        <v>18343.05</v>
      </c>
    </row>
    <row r="1375" spans="1:22" s="30" customFormat="1" ht="24.6" hidden="1" outlineLevel="1" x14ac:dyDescent="0.55000000000000004">
      <c r="A1375" s="27" t="s">
        <v>327</v>
      </c>
      <c r="B1375" s="28"/>
      <c r="C1375" s="27"/>
      <c r="D1375" s="27" t="str">
        <f>"""NAV Direct"",""CRONUS JetCorp USA"",""21"",""1"",""93972"""</f>
        <v>"NAV Direct","CRONUS JetCorp USA","21","1","93972"</v>
      </c>
      <c r="E1375" s="31" t="str">
        <f t="shared" si="402"/>
        <v>C100050</v>
      </c>
      <c r="F1375" s="31"/>
      <c r="G1375" s="31"/>
      <c r="H1375" s="31"/>
      <c r="I1375" s="56"/>
      <c r="J1375" s="56"/>
      <c r="K1375" s="82" t="str">
        <f t="shared" si="403"/>
        <v>Invoice</v>
      </c>
      <c r="L1375" s="83" t="str">
        <f>"SI_106368"</f>
        <v>SI_106368</v>
      </c>
      <c r="M1375" s="84">
        <v>42358</v>
      </c>
      <c r="N1375" s="85">
        <f t="shared" si="404"/>
        <v>1454</v>
      </c>
      <c r="O1375" s="86">
        <f t="shared" si="405"/>
        <v>19426.850000000002</v>
      </c>
      <c r="P1375" s="86">
        <f t="shared" si="406"/>
        <v>0</v>
      </c>
      <c r="Q1375" s="86">
        <f t="shared" si="407"/>
        <v>0</v>
      </c>
      <c r="R1375" s="86">
        <f t="shared" si="408"/>
        <v>0</v>
      </c>
      <c r="S1375" s="86">
        <f t="shared" si="409"/>
        <v>0</v>
      </c>
      <c r="T1375" s="86">
        <f t="shared" si="410"/>
        <v>19426.850000000002</v>
      </c>
      <c r="U1375" s="87">
        <v>19426.850000000002</v>
      </c>
    </row>
    <row r="1376" spans="1:22" s="30" customFormat="1" ht="24.6" hidden="1" outlineLevel="1" x14ac:dyDescent="0.55000000000000004">
      <c r="A1376" s="27" t="s">
        <v>327</v>
      </c>
      <c r="B1376" s="28"/>
      <c r="C1376" s="27"/>
      <c r="D1376" s="27" t="str">
        <f>"""NAV Direct"",""CRONUS JetCorp USA"",""21"",""1"",""94048"""</f>
        <v>"NAV Direct","CRONUS JetCorp USA","21","1","94048"</v>
      </c>
      <c r="E1376" s="31">
        <f t="shared" si="402"/>
        <v>0</v>
      </c>
      <c r="F1376" s="31"/>
      <c r="G1376" s="31"/>
      <c r="H1376" s="31"/>
      <c r="I1376" s="56"/>
      <c r="J1376" s="56"/>
      <c r="K1376" s="82" t="str">
        <f t="shared" si="403"/>
        <v>Invoice</v>
      </c>
      <c r="L1376" s="83" t="str">
        <f>"SI_106370"</f>
        <v>SI_106370</v>
      </c>
      <c r="M1376" s="84">
        <v>42740</v>
      </c>
      <c r="N1376" s="85">
        <f t="shared" si="404"/>
        <v>1072</v>
      </c>
      <c r="O1376" s="86">
        <f t="shared" si="405"/>
        <v>20883.5</v>
      </c>
      <c r="P1376" s="86">
        <f t="shared" si="406"/>
        <v>0</v>
      </c>
      <c r="Q1376" s="86">
        <f t="shared" si="407"/>
        <v>0</v>
      </c>
      <c r="R1376" s="86">
        <f t="shared" si="408"/>
        <v>0</v>
      </c>
      <c r="S1376" s="86">
        <f t="shared" si="409"/>
        <v>0</v>
      </c>
      <c r="T1376" s="86">
        <f t="shared" si="410"/>
        <v>20883.5</v>
      </c>
      <c r="U1376" s="87">
        <v>20883.5</v>
      </c>
    </row>
    <row r="1377" spans="1:21" s="30" customFormat="1" ht="24.6" hidden="1" outlineLevel="1" x14ac:dyDescent="0.55000000000000004">
      <c r="A1377" s="27" t="s">
        <v>327</v>
      </c>
      <c r="B1377" s="28"/>
      <c r="C1377" s="27"/>
      <c r="D1377" s="27" t="str">
        <f>"""NAV Direct"",""CRONUS JetCorp USA"",""21"",""1"",""371291"""</f>
        <v>"NAV Direct","CRONUS JetCorp USA","21","1","371291"</v>
      </c>
      <c r="E1377" s="31" t="str">
        <f t="shared" si="402"/>
        <v>C100050</v>
      </c>
      <c r="F1377" s="31"/>
      <c r="G1377" s="31"/>
      <c r="H1377" s="31"/>
      <c r="I1377" s="56"/>
      <c r="J1377" s="56"/>
      <c r="K1377" s="82" t="str">
        <f t="shared" si="403"/>
        <v>Invoice</v>
      </c>
      <c r="L1377" s="83" t="str">
        <f>"SI_111573"</f>
        <v>SI_111573</v>
      </c>
      <c r="M1377" s="84">
        <v>42451</v>
      </c>
      <c r="N1377" s="85">
        <f t="shared" si="404"/>
        <v>1361</v>
      </c>
      <c r="O1377" s="86">
        <f t="shared" si="405"/>
        <v>13122.429999999998</v>
      </c>
      <c r="P1377" s="86">
        <f t="shared" si="406"/>
        <v>0</v>
      </c>
      <c r="Q1377" s="86">
        <f t="shared" si="407"/>
        <v>0</v>
      </c>
      <c r="R1377" s="86">
        <f t="shared" si="408"/>
        <v>0</v>
      </c>
      <c r="S1377" s="86">
        <f t="shared" si="409"/>
        <v>0</v>
      </c>
      <c r="T1377" s="86">
        <f t="shared" si="410"/>
        <v>13122.429999999998</v>
      </c>
      <c r="U1377" s="87">
        <v>13122.429999999998</v>
      </c>
    </row>
    <row r="1378" spans="1:21" s="30" customFormat="1" ht="24.6" hidden="1" outlineLevel="1" x14ac:dyDescent="0.55000000000000004">
      <c r="A1378" s="27" t="s">
        <v>327</v>
      </c>
      <c r="B1378" s="28"/>
      <c r="C1378" s="27"/>
      <c r="D1378" s="27" t="str">
        <f>"""NAV Direct"",""CRONUS JetCorp USA"",""21"",""1"",""371382"""</f>
        <v>"NAV Direct","CRONUS JetCorp USA","21","1","371382"</v>
      </c>
      <c r="E1378" s="31">
        <f t="shared" si="402"/>
        <v>0</v>
      </c>
      <c r="F1378" s="31"/>
      <c r="G1378" s="31"/>
      <c r="H1378" s="31"/>
      <c r="I1378" s="56"/>
      <c r="J1378" s="56"/>
      <c r="K1378" s="82" t="str">
        <f t="shared" si="403"/>
        <v>Invoice</v>
      </c>
      <c r="L1378" s="83" t="str">
        <f>"SI_111576"</f>
        <v>SI_111576</v>
      </c>
      <c r="M1378" s="84">
        <v>42497</v>
      </c>
      <c r="N1378" s="85">
        <f t="shared" si="404"/>
        <v>1315</v>
      </c>
      <c r="O1378" s="86">
        <f t="shared" si="405"/>
        <v>13764.910000000002</v>
      </c>
      <c r="P1378" s="86">
        <f t="shared" si="406"/>
        <v>0</v>
      </c>
      <c r="Q1378" s="86">
        <f t="shared" si="407"/>
        <v>0</v>
      </c>
      <c r="R1378" s="86">
        <f t="shared" si="408"/>
        <v>0</v>
      </c>
      <c r="S1378" s="86">
        <f t="shared" si="409"/>
        <v>0</v>
      </c>
      <c r="T1378" s="86">
        <f t="shared" si="410"/>
        <v>13764.910000000002</v>
      </c>
      <c r="U1378" s="87">
        <v>13764.910000000002</v>
      </c>
    </row>
    <row r="1379" spans="1:21" s="30" customFormat="1" ht="24.6" hidden="1" outlineLevel="1" x14ac:dyDescent="0.55000000000000004">
      <c r="A1379" s="27" t="s">
        <v>327</v>
      </c>
      <c r="B1379" s="28"/>
      <c r="C1379" s="27"/>
      <c r="D1379" s="27" t="str">
        <f>"""NAV Direct"",""CRONUS JetCorp USA"",""21"",""1"",""371561"""</f>
        <v>"NAV Direct","CRONUS JetCorp USA","21","1","371561"</v>
      </c>
      <c r="E1379" s="31" t="str">
        <f t="shared" si="402"/>
        <v>C100050</v>
      </c>
      <c r="F1379" s="31"/>
      <c r="G1379" s="31"/>
      <c r="H1379" s="31"/>
      <c r="I1379" s="56"/>
      <c r="J1379" s="56"/>
      <c r="K1379" s="82" t="str">
        <f t="shared" si="403"/>
        <v>Invoice</v>
      </c>
      <c r="L1379" s="83" t="str">
        <f>"SI_111581"</f>
        <v>SI_111581</v>
      </c>
      <c r="M1379" s="84">
        <v>42546</v>
      </c>
      <c r="N1379" s="85">
        <f t="shared" si="404"/>
        <v>1266</v>
      </c>
      <c r="O1379" s="86">
        <f t="shared" si="405"/>
        <v>15784.8</v>
      </c>
      <c r="P1379" s="86">
        <f t="shared" si="406"/>
        <v>0</v>
      </c>
      <c r="Q1379" s="86">
        <f t="shared" si="407"/>
        <v>0</v>
      </c>
      <c r="R1379" s="86">
        <f t="shared" si="408"/>
        <v>0</v>
      </c>
      <c r="S1379" s="86">
        <f t="shared" si="409"/>
        <v>0</v>
      </c>
      <c r="T1379" s="86">
        <f t="shared" si="410"/>
        <v>15784.8</v>
      </c>
      <c r="U1379" s="87">
        <v>15784.8</v>
      </c>
    </row>
    <row r="1380" spans="1:21" s="30" customFormat="1" ht="24.6" hidden="1" outlineLevel="1" x14ac:dyDescent="0.55000000000000004">
      <c r="A1380" s="27" t="s">
        <v>327</v>
      </c>
      <c r="B1380" s="28"/>
      <c r="C1380" s="27"/>
      <c r="D1380" s="27" t="str">
        <f>"""NAV Direct"",""CRONUS JetCorp USA"",""21"",""1"",""371678"""</f>
        <v>"NAV Direct","CRONUS JetCorp USA","21","1","371678"</v>
      </c>
      <c r="E1380" s="31">
        <f t="shared" si="402"/>
        <v>0</v>
      </c>
      <c r="F1380" s="31"/>
      <c r="G1380" s="31"/>
      <c r="H1380" s="31"/>
      <c r="I1380" s="56"/>
      <c r="J1380" s="56"/>
      <c r="K1380" s="82" t="str">
        <f t="shared" si="403"/>
        <v>Invoice</v>
      </c>
      <c r="L1380" s="83" t="str">
        <f>"SI_111584"</f>
        <v>SI_111584</v>
      </c>
      <c r="M1380" s="84">
        <v>42592</v>
      </c>
      <c r="N1380" s="85">
        <f t="shared" si="404"/>
        <v>1220</v>
      </c>
      <c r="O1380" s="86">
        <f t="shared" si="405"/>
        <v>15089.849999999999</v>
      </c>
      <c r="P1380" s="86">
        <f t="shared" si="406"/>
        <v>0</v>
      </c>
      <c r="Q1380" s="86">
        <f t="shared" si="407"/>
        <v>0</v>
      </c>
      <c r="R1380" s="86">
        <f t="shared" si="408"/>
        <v>0</v>
      </c>
      <c r="S1380" s="86">
        <f t="shared" si="409"/>
        <v>0</v>
      </c>
      <c r="T1380" s="86">
        <f t="shared" si="410"/>
        <v>15089.849999999999</v>
      </c>
      <c r="U1380" s="87">
        <v>15089.849999999999</v>
      </c>
    </row>
    <row r="1381" spans="1:21" s="30" customFormat="1" ht="24.6" hidden="1" outlineLevel="1" x14ac:dyDescent="0.55000000000000004">
      <c r="A1381" s="27" t="s">
        <v>327</v>
      </c>
      <c r="B1381" s="28"/>
      <c r="C1381" s="27"/>
      <c r="D1381" s="27" t="str">
        <f>"""NAV Direct"",""CRONUS JetCorp USA"",""21"",""1"",""371746"""</f>
        <v>"NAV Direct","CRONUS JetCorp USA","21","1","371746"</v>
      </c>
      <c r="E1381" s="31" t="str">
        <f t="shared" si="402"/>
        <v>C100050</v>
      </c>
      <c r="F1381" s="31"/>
      <c r="G1381" s="31"/>
      <c r="H1381" s="31"/>
      <c r="I1381" s="56"/>
      <c r="J1381" s="56"/>
      <c r="K1381" s="82" t="str">
        <f t="shared" si="403"/>
        <v>Invoice</v>
      </c>
      <c r="L1381" s="83" t="str">
        <f>"SI_111586"</f>
        <v>SI_111586</v>
      </c>
      <c r="M1381" s="84">
        <v>42631</v>
      </c>
      <c r="N1381" s="85">
        <f t="shared" si="404"/>
        <v>1181</v>
      </c>
      <c r="O1381" s="86">
        <f t="shared" si="405"/>
        <v>14820.410000000002</v>
      </c>
      <c r="P1381" s="86">
        <f t="shared" si="406"/>
        <v>0</v>
      </c>
      <c r="Q1381" s="86">
        <f t="shared" si="407"/>
        <v>0</v>
      </c>
      <c r="R1381" s="86">
        <f t="shared" si="408"/>
        <v>0</v>
      </c>
      <c r="S1381" s="86">
        <f t="shared" si="409"/>
        <v>0</v>
      </c>
      <c r="T1381" s="86">
        <f t="shared" si="410"/>
        <v>14820.410000000002</v>
      </c>
      <c r="U1381" s="87">
        <v>14820.410000000002</v>
      </c>
    </row>
    <row r="1382" spans="1:21" s="30" customFormat="1" ht="24.6" hidden="1" outlineLevel="1" x14ac:dyDescent="0.55000000000000004">
      <c r="A1382" s="27" t="s">
        <v>327</v>
      </c>
      <c r="B1382" s="28"/>
      <c r="C1382" s="27"/>
      <c r="D1382" s="27" t="str">
        <f>"""NAV Direct"",""CRONUS JetCorp USA"",""21"",""1"",""371957"""</f>
        <v>"NAV Direct","CRONUS JetCorp USA","21","1","371957"</v>
      </c>
      <c r="E1382" s="31">
        <f t="shared" si="402"/>
        <v>0</v>
      </c>
      <c r="F1382" s="31"/>
      <c r="G1382" s="31"/>
      <c r="H1382" s="31"/>
      <c r="I1382" s="56"/>
      <c r="J1382" s="56"/>
      <c r="K1382" s="82" t="str">
        <f t="shared" si="403"/>
        <v>Invoice</v>
      </c>
      <c r="L1382" s="83" t="str">
        <f>"SI_111591"</f>
        <v>SI_111591</v>
      </c>
      <c r="M1382" s="84">
        <v>42685</v>
      </c>
      <c r="N1382" s="85">
        <f t="shared" si="404"/>
        <v>1127</v>
      </c>
      <c r="O1382" s="86">
        <f t="shared" si="405"/>
        <v>14382.470000000001</v>
      </c>
      <c r="P1382" s="86">
        <f t="shared" si="406"/>
        <v>0</v>
      </c>
      <c r="Q1382" s="86">
        <f t="shared" si="407"/>
        <v>0</v>
      </c>
      <c r="R1382" s="86">
        <f t="shared" si="408"/>
        <v>0</v>
      </c>
      <c r="S1382" s="86">
        <f t="shared" si="409"/>
        <v>0</v>
      </c>
      <c r="T1382" s="86">
        <f t="shared" si="410"/>
        <v>14382.470000000001</v>
      </c>
      <c r="U1382" s="87">
        <v>14382.470000000001</v>
      </c>
    </row>
    <row r="1383" spans="1:21" s="30" customFormat="1" ht="24.6" hidden="1" outlineLevel="1" x14ac:dyDescent="0.55000000000000004">
      <c r="A1383" s="27" t="s">
        <v>327</v>
      </c>
      <c r="B1383" s="28"/>
      <c r="C1383" s="27"/>
      <c r="D1383" s="27" t="str">
        <f>"""NAV Direct"",""CRONUS JetCorp USA"",""21"",""1"",""372029"""</f>
        <v>"NAV Direct","CRONUS JetCorp USA","21","1","372029"</v>
      </c>
      <c r="E1383" s="31" t="str">
        <f t="shared" si="402"/>
        <v>C100050</v>
      </c>
      <c r="F1383" s="31"/>
      <c r="G1383" s="31"/>
      <c r="H1383" s="31"/>
      <c r="I1383" s="56"/>
      <c r="J1383" s="56"/>
      <c r="K1383" s="82" t="str">
        <f t="shared" si="403"/>
        <v>Invoice</v>
      </c>
      <c r="L1383" s="83" t="str">
        <f>"SI_111593"</f>
        <v>SI_111593</v>
      </c>
      <c r="M1383" s="84">
        <v>42715</v>
      </c>
      <c r="N1383" s="85">
        <f t="shared" si="404"/>
        <v>1097</v>
      </c>
      <c r="O1383" s="86">
        <f t="shared" si="405"/>
        <v>15036.35</v>
      </c>
      <c r="P1383" s="86">
        <f t="shared" si="406"/>
        <v>0</v>
      </c>
      <c r="Q1383" s="86">
        <f t="shared" si="407"/>
        <v>0</v>
      </c>
      <c r="R1383" s="86">
        <f t="shared" si="408"/>
        <v>0</v>
      </c>
      <c r="S1383" s="86">
        <f t="shared" si="409"/>
        <v>0</v>
      </c>
      <c r="T1383" s="86">
        <f t="shared" si="410"/>
        <v>15036.35</v>
      </c>
      <c r="U1383" s="87">
        <v>15036.35</v>
      </c>
    </row>
    <row r="1384" spans="1:21" s="30" customFormat="1" ht="24.6" hidden="1" outlineLevel="1" x14ac:dyDescent="0.55000000000000004">
      <c r="A1384" s="27" t="s">
        <v>327</v>
      </c>
      <c r="B1384" s="28"/>
      <c r="C1384" s="27"/>
      <c r="D1384" s="27" t="str">
        <f>"""NAV Direct"",""CRONUS JetCorp USA"",""21"",""1"",""372060"""</f>
        <v>"NAV Direct","CRONUS JetCorp USA","21","1","372060"</v>
      </c>
      <c r="E1384" s="31">
        <f t="shared" si="402"/>
        <v>0</v>
      </c>
      <c r="F1384" s="31"/>
      <c r="G1384" s="31"/>
      <c r="H1384" s="31"/>
      <c r="I1384" s="56"/>
      <c r="J1384" s="56"/>
      <c r="K1384" s="82" t="str">
        <f t="shared" si="403"/>
        <v>Invoice</v>
      </c>
      <c r="L1384" s="83" t="str">
        <f>"SI_111594"</f>
        <v>SI_111594</v>
      </c>
      <c r="M1384" s="84">
        <v>42720</v>
      </c>
      <c r="N1384" s="85">
        <f t="shared" si="404"/>
        <v>1092</v>
      </c>
      <c r="O1384" s="86">
        <f t="shared" si="405"/>
        <v>14875.179999999998</v>
      </c>
      <c r="P1384" s="86">
        <f t="shared" si="406"/>
        <v>0</v>
      </c>
      <c r="Q1384" s="86">
        <f t="shared" si="407"/>
        <v>0</v>
      </c>
      <c r="R1384" s="86">
        <f t="shared" si="408"/>
        <v>0</v>
      </c>
      <c r="S1384" s="86">
        <f t="shared" si="409"/>
        <v>0</v>
      </c>
      <c r="T1384" s="86">
        <f t="shared" si="410"/>
        <v>14875.179999999998</v>
      </c>
      <c r="U1384" s="87">
        <v>14875.179999999998</v>
      </c>
    </row>
    <row r="1385" spans="1:21" s="30" customFormat="1" ht="24.6" hidden="1" outlineLevel="1" x14ac:dyDescent="0.55000000000000004">
      <c r="A1385" s="27" t="s">
        <v>327</v>
      </c>
      <c r="B1385" s="28"/>
      <c r="C1385" s="27"/>
      <c r="D1385" s="27" t="str">
        <f>"""NAV Direct"",""CRONUS JetCorp USA"",""21"",""1"",""372366"""</f>
        <v>"NAV Direct","CRONUS JetCorp USA","21","1","372366"</v>
      </c>
      <c r="E1385" s="31" t="str">
        <f t="shared" si="402"/>
        <v>C100050</v>
      </c>
      <c r="F1385" s="31"/>
      <c r="G1385" s="31"/>
      <c r="H1385" s="31"/>
      <c r="I1385" s="56"/>
      <c r="J1385" s="56"/>
      <c r="K1385" s="82" t="str">
        <f t="shared" si="403"/>
        <v>Invoice</v>
      </c>
      <c r="L1385" s="83" t="str">
        <f>"SI_111602"</f>
        <v>SI_111602</v>
      </c>
      <c r="M1385" s="84">
        <v>42794</v>
      </c>
      <c r="N1385" s="85">
        <f t="shared" si="404"/>
        <v>1018</v>
      </c>
      <c r="O1385" s="86">
        <f t="shared" si="405"/>
        <v>14818.92</v>
      </c>
      <c r="P1385" s="86">
        <f t="shared" si="406"/>
        <v>0</v>
      </c>
      <c r="Q1385" s="86">
        <f t="shared" si="407"/>
        <v>0</v>
      </c>
      <c r="R1385" s="86">
        <f t="shared" si="408"/>
        <v>0</v>
      </c>
      <c r="S1385" s="86">
        <f t="shared" si="409"/>
        <v>0</v>
      </c>
      <c r="T1385" s="86">
        <f t="shared" si="410"/>
        <v>14818.92</v>
      </c>
      <c r="U1385" s="87">
        <v>14818.92</v>
      </c>
    </row>
    <row r="1386" spans="1:21" s="30" customFormat="1" ht="24.6" hidden="1" outlineLevel="1" x14ac:dyDescent="0.55000000000000004">
      <c r="A1386" s="27" t="s">
        <v>327</v>
      </c>
      <c r="B1386" s="28"/>
      <c r="C1386" s="27"/>
      <c r="D1386" s="27" t="str">
        <f>"""NAV Direct"",""CRONUS JetCorp USA"",""21"",""1"",""372745"""</f>
        <v>"NAV Direct","CRONUS JetCorp USA","21","1","372745"</v>
      </c>
      <c r="E1386" s="31">
        <f t="shared" si="402"/>
        <v>0</v>
      </c>
      <c r="F1386" s="31"/>
      <c r="G1386" s="31"/>
      <c r="H1386" s="31"/>
      <c r="I1386" s="56"/>
      <c r="J1386" s="56"/>
      <c r="K1386" s="82" t="str">
        <f t="shared" si="403"/>
        <v>Invoice</v>
      </c>
      <c r="L1386" s="83" t="str">
        <f>"SI_111613"</f>
        <v>SI_111613</v>
      </c>
      <c r="M1386" s="84">
        <v>42926</v>
      </c>
      <c r="N1386" s="85">
        <f t="shared" si="404"/>
        <v>886</v>
      </c>
      <c r="O1386" s="86">
        <f t="shared" si="405"/>
        <v>17319.2</v>
      </c>
      <c r="P1386" s="86">
        <f t="shared" si="406"/>
        <v>0</v>
      </c>
      <c r="Q1386" s="86">
        <f t="shared" si="407"/>
        <v>0</v>
      </c>
      <c r="R1386" s="86">
        <f t="shared" si="408"/>
        <v>0</v>
      </c>
      <c r="S1386" s="86">
        <f t="shared" si="409"/>
        <v>0</v>
      </c>
      <c r="T1386" s="86">
        <f t="shared" si="410"/>
        <v>17319.2</v>
      </c>
      <c r="U1386" s="87">
        <v>17319.2</v>
      </c>
    </row>
    <row r="1387" spans="1:21" s="30" customFormat="1" ht="24.6" hidden="1" outlineLevel="1" x14ac:dyDescent="0.55000000000000004">
      <c r="A1387" s="27" t="s">
        <v>327</v>
      </c>
      <c r="B1387" s="28"/>
      <c r="C1387" s="27"/>
      <c r="D1387" s="27" t="str">
        <f>"""NAV Direct"",""CRONUS JetCorp USA"",""21"",""1"",""373004"""</f>
        <v>"NAV Direct","CRONUS JetCorp USA","21","1","373004"</v>
      </c>
      <c r="E1387" s="31" t="str">
        <f t="shared" si="402"/>
        <v>C100050</v>
      </c>
      <c r="F1387" s="31"/>
      <c r="G1387" s="31"/>
      <c r="H1387" s="31"/>
      <c r="I1387" s="56"/>
      <c r="J1387" s="56"/>
      <c r="K1387" s="82" t="str">
        <f t="shared" si="403"/>
        <v>Invoice</v>
      </c>
      <c r="L1387" s="83" t="str">
        <f>"SI_111620"</f>
        <v>SI_111620</v>
      </c>
      <c r="M1387" s="84">
        <v>42999</v>
      </c>
      <c r="N1387" s="85">
        <f t="shared" si="404"/>
        <v>813</v>
      </c>
      <c r="O1387" s="86">
        <f t="shared" si="405"/>
        <v>14854.880000000001</v>
      </c>
      <c r="P1387" s="86">
        <f t="shared" si="406"/>
        <v>0</v>
      </c>
      <c r="Q1387" s="86">
        <f t="shared" si="407"/>
        <v>0</v>
      </c>
      <c r="R1387" s="86">
        <f t="shared" si="408"/>
        <v>0</v>
      </c>
      <c r="S1387" s="86">
        <f t="shared" si="409"/>
        <v>0</v>
      </c>
      <c r="T1387" s="86">
        <f t="shared" si="410"/>
        <v>14854.880000000001</v>
      </c>
      <c r="U1387" s="87">
        <v>14854.880000000001</v>
      </c>
    </row>
    <row r="1388" spans="1:21" s="30" customFormat="1" ht="24.6" hidden="1" outlineLevel="1" x14ac:dyDescent="0.55000000000000004">
      <c r="A1388" s="27" t="s">
        <v>327</v>
      </c>
      <c r="B1388" s="28"/>
      <c r="C1388" s="27"/>
      <c r="D1388" s="27" t="str">
        <f>"""NAV Direct"",""CRONUS JetCorp USA"",""21"",""1"",""373062"""</f>
        <v>"NAV Direct","CRONUS JetCorp USA","21","1","373062"</v>
      </c>
      <c r="E1388" s="31">
        <f t="shared" si="402"/>
        <v>0</v>
      </c>
      <c r="F1388" s="31"/>
      <c r="G1388" s="31"/>
      <c r="H1388" s="31"/>
      <c r="I1388" s="56"/>
      <c r="J1388" s="56"/>
      <c r="K1388" s="82" t="str">
        <f t="shared" si="403"/>
        <v>Invoice</v>
      </c>
      <c r="L1388" s="83" t="str">
        <f>"SI_111622"</f>
        <v>SI_111622</v>
      </c>
      <c r="M1388" s="84">
        <v>43016</v>
      </c>
      <c r="N1388" s="85">
        <f t="shared" si="404"/>
        <v>796</v>
      </c>
      <c r="O1388" s="86">
        <f t="shared" si="405"/>
        <v>14620.79</v>
      </c>
      <c r="P1388" s="86">
        <f t="shared" si="406"/>
        <v>0</v>
      </c>
      <c r="Q1388" s="86">
        <f t="shared" si="407"/>
        <v>0</v>
      </c>
      <c r="R1388" s="86">
        <f t="shared" si="408"/>
        <v>0</v>
      </c>
      <c r="S1388" s="86">
        <f t="shared" si="409"/>
        <v>0</v>
      </c>
      <c r="T1388" s="86">
        <f t="shared" si="410"/>
        <v>14620.79</v>
      </c>
      <c r="U1388" s="87">
        <v>14620.79</v>
      </c>
    </row>
    <row r="1389" spans="1:21" s="30" customFormat="1" ht="24.6" hidden="1" outlineLevel="1" x14ac:dyDescent="0.55000000000000004">
      <c r="A1389" s="27" t="s">
        <v>327</v>
      </c>
      <c r="B1389" s="28"/>
      <c r="C1389" s="27"/>
      <c r="D1389" s="27" t="str">
        <f>"""NAV Direct"",""CRONUS JetCorp USA"",""21"",""1"",""373107"""</f>
        <v>"NAV Direct","CRONUS JetCorp USA","21","1","373107"</v>
      </c>
      <c r="E1389" s="31" t="str">
        <f t="shared" si="402"/>
        <v>C100050</v>
      </c>
      <c r="F1389" s="31"/>
      <c r="G1389" s="31"/>
      <c r="H1389" s="31"/>
      <c r="I1389" s="56"/>
      <c r="J1389" s="56"/>
      <c r="K1389" s="82" t="str">
        <f t="shared" si="403"/>
        <v>Invoice</v>
      </c>
      <c r="L1389" s="83" t="str">
        <f>"SI_111623"</f>
        <v>SI_111623</v>
      </c>
      <c r="M1389" s="84">
        <v>43058</v>
      </c>
      <c r="N1389" s="85">
        <f t="shared" si="404"/>
        <v>754</v>
      </c>
      <c r="O1389" s="86">
        <f t="shared" si="405"/>
        <v>15455.62</v>
      </c>
      <c r="P1389" s="86">
        <f t="shared" si="406"/>
        <v>0</v>
      </c>
      <c r="Q1389" s="86">
        <f t="shared" si="407"/>
        <v>0</v>
      </c>
      <c r="R1389" s="86">
        <f t="shared" si="408"/>
        <v>0</v>
      </c>
      <c r="S1389" s="86">
        <f t="shared" si="409"/>
        <v>0</v>
      </c>
      <c r="T1389" s="86">
        <f t="shared" si="410"/>
        <v>15455.62</v>
      </c>
      <c r="U1389" s="87">
        <v>15455.62</v>
      </c>
    </row>
    <row r="1390" spans="1:21" s="30" customFormat="1" ht="24.6" hidden="1" outlineLevel="1" x14ac:dyDescent="0.55000000000000004">
      <c r="A1390" s="27" t="s">
        <v>327</v>
      </c>
      <c r="B1390" s="28"/>
      <c r="C1390" s="27"/>
      <c r="D1390" s="27" t="str">
        <f>"""NAV Direct"",""CRONUS JetCorp USA"",""21"",""1"",""373146"""</f>
        <v>"NAV Direct","CRONUS JetCorp USA","21","1","373146"</v>
      </c>
      <c r="E1390" s="31">
        <f t="shared" si="402"/>
        <v>0</v>
      </c>
      <c r="F1390" s="31"/>
      <c r="G1390" s="31"/>
      <c r="H1390" s="31"/>
      <c r="I1390" s="56"/>
      <c r="J1390" s="56"/>
      <c r="K1390" s="82" t="str">
        <f t="shared" si="403"/>
        <v>Invoice</v>
      </c>
      <c r="L1390" s="83" t="str">
        <f>"SI_111624"</f>
        <v>SI_111624</v>
      </c>
      <c r="M1390" s="84">
        <v>43064</v>
      </c>
      <c r="N1390" s="85">
        <f t="shared" si="404"/>
        <v>748</v>
      </c>
      <c r="O1390" s="86">
        <f t="shared" si="405"/>
        <v>15455.26</v>
      </c>
      <c r="P1390" s="86">
        <f t="shared" si="406"/>
        <v>0</v>
      </c>
      <c r="Q1390" s="86">
        <f t="shared" si="407"/>
        <v>0</v>
      </c>
      <c r="R1390" s="86">
        <f t="shared" si="408"/>
        <v>0</v>
      </c>
      <c r="S1390" s="86">
        <f t="shared" si="409"/>
        <v>0</v>
      </c>
      <c r="T1390" s="86">
        <f t="shared" si="410"/>
        <v>15455.26</v>
      </c>
      <c r="U1390" s="87">
        <v>15455.26</v>
      </c>
    </row>
    <row r="1391" spans="1:21" s="30" customFormat="1" ht="24.6" hidden="1" outlineLevel="1" x14ac:dyDescent="0.55000000000000004">
      <c r="A1391" s="27" t="s">
        <v>327</v>
      </c>
      <c r="B1391" s="28"/>
      <c r="C1391" s="27"/>
      <c r="D1391" s="27" t="str">
        <f>"""NAV Direct"",""CRONUS JetCorp USA"",""21"",""1"",""373261"""</f>
        <v>"NAV Direct","CRONUS JetCorp USA","21","1","373261"</v>
      </c>
      <c r="E1391" s="31" t="str">
        <f t="shared" si="402"/>
        <v>C100050</v>
      </c>
      <c r="F1391" s="31"/>
      <c r="G1391" s="31"/>
      <c r="H1391" s="31"/>
      <c r="I1391" s="56"/>
      <c r="J1391" s="56"/>
      <c r="K1391" s="82" t="str">
        <f t="shared" si="403"/>
        <v>Invoice</v>
      </c>
      <c r="L1391" s="83" t="str">
        <f>"SI_111627"</f>
        <v>SI_111627</v>
      </c>
      <c r="M1391" s="84">
        <v>43098</v>
      </c>
      <c r="N1391" s="85">
        <f t="shared" si="404"/>
        <v>714</v>
      </c>
      <c r="O1391" s="86">
        <f t="shared" si="405"/>
        <v>15707.330000000002</v>
      </c>
      <c r="P1391" s="86">
        <f t="shared" si="406"/>
        <v>0</v>
      </c>
      <c r="Q1391" s="86">
        <f t="shared" si="407"/>
        <v>0</v>
      </c>
      <c r="R1391" s="86">
        <f t="shared" si="408"/>
        <v>0</v>
      </c>
      <c r="S1391" s="86">
        <f t="shared" si="409"/>
        <v>0</v>
      </c>
      <c r="T1391" s="86">
        <f t="shared" si="410"/>
        <v>15707.330000000002</v>
      </c>
      <c r="U1391" s="87">
        <v>15707.330000000002</v>
      </c>
    </row>
    <row r="1392" spans="1:21" s="30" customFormat="1" ht="24.6" hidden="1" outlineLevel="1" x14ac:dyDescent="0.55000000000000004">
      <c r="A1392" s="27" t="s">
        <v>327</v>
      </c>
      <c r="B1392" s="28"/>
      <c r="C1392" s="27"/>
      <c r="D1392" s="27" t="str">
        <f>"""NAV Direct"",""CRONUS JetCorp USA"",""21"",""1"",""373372"""</f>
        <v>"NAV Direct","CRONUS JetCorp USA","21","1","373372"</v>
      </c>
      <c r="E1392" s="31">
        <f t="shared" si="402"/>
        <v>0</v>
      </c>
      <c r="F1392" s="31"/>
      <c r="G1392" s="31"/>
      <c r="H1392" s="31"/>
      <c r="I1392" s="56"/>
      <c r="J1392" s="56"/>
      <c r="K1392" s="82" t="str">
        <f t="shared" si="403"/>
        <v>Invoice</v>
      </c>
      <c r="L1392" s="83" t="str">
        <f>"SI_111630"</f>
        <v>SI_111630</v>
      </c>
      <c r="M1392" s="84">
        <v>43122</v>
      </c>
      <c r="N1392" s="85">
        <f t="shared" si="404"/>
        <v>690</v>
      </c>
      <c r="O1392" s="86">
        <f t="shared" si="405"/>
        <v>17610.53</v>
      </c>
      <c r="P1392" s="86">
        <f t="shared" si="406"/>
        <v>0</v>
      </c>
      <c r="Q1392" s="86">
        <f t="shared" si="407"/>
        <v>0</v>
      </c>
      <c r="R1392" s="86">
        <f t="shared" si="408"/>
        <v>0</v>
      </c>
      <c r="S1392" s="86">
        <f t="shared" si="409"/>
        <v>0</v>
      </c>
      <c r="T1392" s="86">
        <f t="shared" si="410"/>
        <v>17610.53</v>
      </c>
      <c r="U1392" s="87">
        <v>17610.53</v>
      </c>
    </row>
    <row r="1393" spans="1:21" s="30" customFormat="1" ht="24.6" hidden="1" outlineLevel="1" x14ac:dyDescent="0.55000000000000004">
      <c r="A1393" s="27" t="s">
        <v>327</v>
      </c>
      <c r="B1393" s="28"/>
      <c r="C1393" s="27"/>
      <c r="D1393" s="27" t="str">
        <f>"""NAV Direct"",""CRONUS JetCorp USA"",""21"",""1"",""373450"""</f>
        <v>"NAV Direct","CRONUS JetCorp USA","21","1","373450"</v>
      </c>
      <c r="E1393" s="31" t="str">
        <f t="shared" si="402"/>
        <v>C100050</v>
      </c>
      <c r="F1393" s="31"/>
      <c r="G1393" s="31"/>
      <c r="H1393" s="31"/>
      <c r="I1393" s="56"/>
      <c r="J1393" s="56"/>
      <c r="K1393" s="82" t="str">
        <f t="shared" si="403"/>
        <v>Invoice</v>
      </c>
      <c r="L1393" s="83" t="str">
        <f>"SI_111632"</f>
        <v>SI_111632</v>
      </c>
      <c r="M1393" s="84">
        <v>43149</v>
      </c>
      <c r="N1393" s="85">
        <f t="shared" si="404"/>
        <v>663</v>
      </c>
      <c r="O1393" s="86">
        <f t="shared" si="405"/>
        <v>17152.900000000001</v>
      </c>
      <c r="P1393" s="86">
        <f t="shared" si="406"/>
        <v>0</v>
      </c>
      <c r="Q1393" s="86">
        <f t="shared" si="407"/>
        <v>0</v>
      </c>
      <c r="R1393" s="86">
        <f t="shared" si="408"/>
        <v>0</v>
      </c>
      <c r="S1393" s="86">
        <f t="shared" si="409"/>
        <v>0</v>
      </c>
      <c r="T1393" s="86">
        <f t="shared" si="410"/>
        <v>17152.900000000001</v>
      </c>
      <c r="U1393" s="87">
        <v>17152.900000000001</v>
      </c>
    </row>
    <row r="1394" spans="1:21" s="30" customFormat="1" ht="24.6" hidden="1" outlineLevel="1" x14ac:dyDescent="0.55000000000000004">
      <c r="A1394" s="27" t="s">
        <v>327</v>
      </c>
      <c r="B1394" s="28"/>
      <c r="C1394" s="27"/>
      <c r="D1394" s="27" t="str">
        <f>"""NAV Direct"",""CRONUS JetCorp USA"",""21"",""1"",""374003"""</f>
        <v>"NAV Direct","CRONUS JetCorp USA","21","1","374003"</v>
      </c>
      <c r="E1394" s="31">
        <f t="shared" si="402"/>
        <v>0</v>
      </c>
      <c r="F1394" s="31"/>
      <c r="G1394" s="31"/>
      <c r="H1394" s="31"/>
      <c r="I1394" s="56"/>
      <c r="J1394" s="56"/>
      <c r="K1394" s="82" t="str">
        <f t="shared" si="403"/>
        <v>Invoice</v>
      </c>
      <c r="L1394" s="83" t="str">
        <f>"SI_111647"</f>
        <v>SI_111647</v>
      </c>
      <c r="M1394" s="84">
        <v>43304</v>
      </c>
      <c r="N1394" s="85">
        <f t="shared" si="404"/>
        <v>508</v>
      </c>
      <c r="O1394" s="86">
        <f t="shared" si="405"/>
        <v>18761.100000000002</v>
      </c>
      <c r="P1394" s="86">
        <f t="shared" si="406"/>
        <v>0</v>
      </c>
      <c r="Q1394" s="86">
        <f t="shared" si="407"/>
        <v>0</v>
      </c>
      <c r="R1394" s="86">
        <f t="shared" si="408"/>
        <v>0</v>
      </c>
      <c r="S1394" s="86">
        <f t="shared" si="409"/>
        <v>0</v>
      </c>
      <c r="T1394" s="86">
        <f t="shared" si="410"/>
        <v>18761.100000000002</v>
      </c>
      <c r="U1394" s="87">
        <v>18761.100000000002</v>
      </c>
    </row>
    <row r="1395" spans="1:21" s="30" customFormat="1" ht="24.6" hidden="1" outlineLevel="1" x14ac:dyDescent="0.55000000000000004">
      <c r="A1395" s="27" t="s">
        <v>327</v>
      </c>
      <c r="B1395" s="28"/>
      <c r="C1395" s="27"/>
      <c r="D1395" s="27" t="str">
        <f>"""NAV Direct"",""CRONUS JetCorp USA"",""21"",""1"",""374118"""</f>
        <v>"NAV Direct","CRONUS JetCorp USA","21","1","374118"</v>
      </c>
      <c r="E1395" s="31" t="str">
        <f t="shared" si="402"/>
        <v>C100050</v>
      </c>
      <c r="F1395" s="31"/>
      <c r="G1395" s="31"/>
      <c r="H1395" s="31"/>
      <c r="I1395" s="56"/>
      <c r="J1395" s="56"/>
      <c r="K1395" s="82" t="str">
        <f t="shared" si="403"/>
        <v>Invoice</v>
      </c>
      <c r="L1395" s="83" t="str">
        <f>"SI_111650"</f>
        <v>SI_111650</v>
      </c>
      <c r="M1395" s="84">
        <v>43321</v>
      </c>
      <c r="N1395" s="85">
        <f t="shared" si="404"/>
        <v>491</v>
      </c>
      <c r="O1395" s="86">
        <f t="shared" si="405"/>
        <v>18893.87</v>
      </c>
      <c r="P1395" s="86">
        <f t="shared" si="406"/>
        <v>0</v>
      </c>
      <c r="Q1395" s="86">
        <f t="shared" si="407"/>
        <v>0</v>
      </c>
      <c r="R1395" s="86">
        <f t="shared" si="408"/>
        <v>0</v>
      </c>
      <c r="S1395" s="86">
        <f t="shared" si="409"/>
        <v>0</v>
      </c>
      <c r="T1395" s="86">
        <f t="shared" si="410"/>
        <v>18893.87</v>
      </c>
      <c r="U1395" s="87">
        <v>18893.87</v>
      </c>
    </row>
    <row r="1396" spans="1:21" s="30" customFormat="1" ht="24.6" hidden="1" outlineLevel="1" x14ac:dyDescent="0.55000000000000004">
      <c r="A1396" s="27" t="s">
        <v>327</v>
      </c>
      <c r="B1396" s="28"/>
      <c r="C1396" s="27"/>
      <c r="D1396" s="27" t="str">
        <f>"""NAV Direct"",""CRONUS JetCorp USA"",""21"",""1"",""374147"""</f>
        <v>"NAV Direct","CRONUS JetCorp USA","21","1","374147"</v>
      </c>
      <c r="E1396" s="31">
        <f t="shared" si="402"/>
        <v>0</v>
      </c>
      <c r="F1396" s="31"/>
      <c r="G1396" s="31"/>
      <c r="H1396" s="31"/>
      <c r="I1396" s="56"/>
      <c r="J1396" s="56"/>
      <c r="K1396" s="82" t="str">
        <f t="shared" si="403"/>
        <v>Invoice</v>
      </c>
      <c r="L1396" s="83" t="str">
        <f>"SI_111651"</f>
        <v>SI_111651</v>
      </c>
      <c r="M1396" s="84">
        <v>43348</v>
      </c>
      <c r="N1396" s="85">
        <f t="shared" si="404"/>
        <v>464</v>
      </c>
      <c r="O1396" s="86">
        <f t="shared" si="405"/>
        <v>18251.86</v>
      </c>
      <c r="P1396" s="86">
        <f t="shared" si="406"/>
        <v>0</v>
      </c>
      <c r="Q1396" s="86">
        <f t="shared" si="407"/>
        <v>0</v>
      </c>
      <c r="R1396" s="86">
        <f t="shared" si="408"/>
        <v>0</v>
      </c>
      <c r="S1396" s="86">
        <f t="shared" si="409"/>
        <v>0</v>
      </c>
      <c r="T1396" s="86">
        <f t="shared" si="410"/>
        <v>18251.86</v>
      </c>
      <c r="U1396" s="87">
        <v>18251.86</v>
      </c>
    </row>
    <row r="1397" spans="1:21" s="30" customFormat="1" ht="24.6" hidden="1" outlineLevel="1" x14ac:dyDescent="0.55000000000000004">
      <c r="A1397" s="27" t="s">
        <v>327</v>
      </c>
      <c r="B1397" s="28"/>
      <c r="C1397" s="27"/>
      <c r="D1397" s="27" t="str">
        <f>"""NAV Direct"",""CRONUS JetCorp USA"",""21"",""1"",""374229"""</f>
        <v>"NAV Direct","CRONUS JetCorp USA","21","1","374229"</v>
      </c>
      <c r="E1397" s="31" t="str">
        <f t="shared" si="402"/>
        <v>C100050</v>
      </c>
      <c r="F1397" s="31"/>
      <c r="G1397" s="31"/>
      <c r="H1397" s="31"/>
      <c r="I1397" s="56"/>
      <c r="J1397" s="56"/>
      <c r="K1397" s="82" t="str">
        <f t="shared" si="403"/>
        <v>Invoice</v>
      </c>
      <c r="L1397" s="83" t="str">
        <f>"SI_111653"</f>
        <v>SI_111653</v>
      </c>
      <c r="M1397" s="84">
        <v>43382</v>
      </c>
      <c r="N1397" s="85">
        <f t="shared" si="404"/>
        <v>430</v>
      </c>
      <c r="O1397" s="86">
        <f t="shared" si="405"/>
        <v>17306.939999999999</v>
      </c>
      <c r="P1397" s="86">
        <f t="shared" si="406"/>
        <v>0</v>
      </c>
      <c r="Q1397" s="86">
        <f t="shared" si="407"/>
        <v>0</v>
      </c>
      <c r="R1397" s="86">
        <f t="shared" si="408"/>
        <v>0</v>
      </c>
      <c r="S1397" s="86">
        <f t="shared" si="409"/>
        <v>0</v>
      </c>
      <c r="T1397" s="86">
        <f t="shared" si="410"/>
        <v>17306.939999999999</v>
      </c>
      <c r="U1397" s="87">
        <v>17306.939999999999</v>
      </c>
    </row>
    <row r="1398" spans="1:21" s="30" customFormat="1" ht="24.6" hidden="1" outlineLevel="1" x14ac:dyDescent="0.55000000000000004">
      <c r="A1398" s="27" t="s">
        <v>327</v>
      </c>
      <c r="B1398" s="28"/>
      <c r="C1398" s="27"/>
      <c r="D1398" s="27" t="str">
        <f>"""NAV Direct"",""CRONUS JetCorp USA"",""21"",""1"",""374549"""</f>
        <v>"NAV Direct","CRONUS JetCorp USA","21","1","374549"</v>
      </c>
      <c r="E1398" s="31">
        <f t="shared" si="402"/>
        <v>0</v>
      </c>
      <c r="F1398" s="31"/>
      <c r="G1398" s="31"/>
      <c r="H1398" s="31"/>
      <c r="I1398" s="56"/>
      <c r="J1398" s="56"/>
      <c r="K1398" s="82" t="str">
        <f t="shared" si="403"/>
        <v>Invoice</v>
      </c>
      <c r="L1398" s="83" t="str">
        <f>"SI_111661"</f>
        <v>SI_111661</v>
      </c>
      <c r="M1398" s="84">
        <v>43446</v>
      </c>
      <c r="N1398" s="85">
        <f t="shared" si="404"/>
        <v>366</v>
      </c>
      <c r="O1398" s="86">
        <f t="shared" si="405"/>
        <v>16634.95</v>
      </c>
      <c r="P1398" s="86">
        <f t="shared" si="406"/>
        <v>0</v>
      </c>
      <c r="Q1398" s="86">
        <f t="shared" si="407"/>
        <v>0</v>
      </c>
      <c r="R1398" s="86">
        <f t="shared" si="408"/>
        <v>0</v>
      </c>
      <c r="S1398" s="86">
        <f t="shared" si="409"/>
        <v>0</v>
      </c>
      <c r="T1398" s="86">
        <f t="shared" si="410"/>
        <v>16634.95</v>
      </c>
      <c r="U1398" s="87">
        <v>16634.95</v>
      </c>
    </row>
    <row r="1399" spans="1:21" s="30" customFormat="1" ht="24.6" hidden="1" outlineLevel="1" x14ac:dyDescent="0.55000000000000004">
      <c r="A1399" s="27" t="s">
        <v>327</v>
      </c>
      <c r="B1399" s="28"/>
      <c r="C1399" s="27"/>
      <c r="D1399" s="27" t="str">
        <f>"""NAV Direct"",""CRONUS JetCorp USA"",""21"",""1"",""374671"""</f>
        <v>"NAV Direct","CRONUS JetCorp USA","21","1","374671"</v>
      </c>
      <c r="E1399" s="31" t="str">
        <f t="shared" si="402"/>
        <v>C100050</v>
      </c>
      <c r="F1399" s="31"/>
      <c r="G1399" s="31"/>
      <c r="H1399" s="31"/>
      <c r="I1399" s="56"/>
      <c r="J1399" s="56"/>
      <c r="K1399" s="82" t="str">
        <f t="shared" si="403"/>
        <v>Invoice</v>
      </c>
      <c r="L1399" s="83" t="str">
        <f>"SI_111665"</f>
        <v>SI_111665</v>
      </c>
      <c r="M1399" s="84">
        <v>43505</v>
      </c>
      <c r="N1399" s="85">
        <f t="shared" si="404"/>
        <v>307</v>
      </c>
      <c r="O1399" s="86">
        <f t="shared" si="405"/>
        <v>13736.1</v>
      </c>
      <c r="P1399" s="86">
        <f t="shared" si="406"/>
        <v>0</v>
      </c>
      <c r="Q1399" s="86">
        <f t="shared" si="407"/>
        <v>0</v>
      </c>
      <c r="R1399" s="86">
        <f t="shared" si="408"/>
        <v>0</v>
      </c>
      <c r="S1399" s="86">
        <f t="shared" si="409"/>
        <v>0</v>
      </c>
      <c r="T1399" s="86">
        <f t="shared" si="410"/>
        <v>13736.1</v>
      </c>
      <c r="U1399" s="87">
        <v>13736.1</v>
      </c>
    </row>
    <row r="1400" spans="1:21" s="30" customFormat="1" ht="24.6" hidden="1" outlineLevel="1" x14ac:dyDescent="0.55000000000000004">
      <c r="A1400" s="27" t="s">
        <v>327</v>
      </c>
      <c r="B1400" s="28"/>
      <c r="C1400" s="27"/>
      <c r="D1400" s="27" t="str">
        <f>"""NAV Direct"",""CRONUS JetCorp USA"",""21"",""1"",""374793"""</f>
        <v>"NAV Direct","CRONUS JetCorp USA","21","1","374793"</v>
      </c>
      <c r="E1400" s="31">
        <f t="shared" si="402"/>
        <v>0</v>
      </c>
      <c r="F1400" s="31"/>
      <c r="G1400" s="31"/>
      <c r="H1400" s="31"/>
      <c r="I1400" s="56"/>
      <c r="J1400" s="56"/>
      <c r="K1400" s="82" t="str">
        <f t="shared" si="403"/>
        <v>Invoice</v>
      </c>
      <c r="L1400" s="83" t="str">
        <f>"SI_111669"</f>
        <v>SI_111669</v>
      </c>
      <c r="M1400" s="84">
        <v>43538</v>
      </c>
      <c r="N1400" s="85">
        <f t="shared" si="404"/>
        <v>274</v>
      </c>
      <c r="O1400" s="86">
        <f t="shared" si="405"/>
        <v>16298.7</v>
      </c>
      <c r="P1400" s="86">
        <f t="shared" si="406"/>
        <v>0</v>
      </c>
      <c r="Q1400" s="86">
        <f t="shared" si="407"/>
        <v>0</v>
      </c>
      <c r="R1400" s="86">
        <f t="shared" si="408"/>
        <v>0</v>
      </c>
      <c r="S1400" s="86">
        <f t="shared" si="409"/>
        <v>0</v>
      </c>
      <c r="T1400" s="86">
        <f t="shared" si="410"/>
        <v>16298.7</v>
      </c>
      <c r="U1400" s="87">
        <v>16298.7</v>
      </c>
    </row>
    <row r="1401" spans="1:21" s="30" customFormat="1" ht="24.6" hidden="1" outlineLevel="1" x14ac:dyDescent="0.55000000000000004">
      <c r="A1401" s="27" t="s">
        <v>327</v>
      </c>
      <c r="B1401" s="28"/>
      <c r="C1401" s="27"/>
      <c r="D1401" s="27" t="str">
        <f>"""NAV Direct"",""CRONUS JetCorp USA"",""21"",""1"",""374937"""</f>
        <v>"NAV Direct","CRONUS JetCorp USA","21","1","374937"</v>
      </c>
      <c r="E1401" s="31" t="str">
        <f t="shared" si="402"/>
        <v>C100050</v>
      </c>
      <c r="F1401" s="31"/>
      <c r="G1401" s="31"/>
      <c r="H1401" s="31"/>
      <c r="I1401" s="56"/>
      <c r="J1401" s="56"/>
      <c r="K1401" s="82" t="str">
        <f t="shared" si="403"/>
        <v>Invoice</v>
      </c>
      <c r="L1401" s="83" t="str">
        <f>"SI_111673"</f>
        <v>SI_111673</v>
      </c>
      <c r="M1401" s="84">
        <v>43570</v>
      </c>
      <c r="N1401" s="85">
        <f t="shared" si="404"/>
        <v>242</v>
      </c>
      <c r="O1401" s="86">
        <f t="shared" si="405"/>
        <v>19966.57</v>
      </c>
      <c r="P1401" s="86">
        <f t="shared" si="406"/>
        <v>0</v>
      </c>
      <c r="Q1401" s="86">
        <f t="shared" si="407"/>
        <v>0</v>
      </c>
      <c r="R1401" s="86">
        <f t="shared" si="408"/>
        <v>0</v>
      </c>
      <c r="S1401" s="86">
        <f t="shared" si="409"/>
        <v>0</v>
      </c>
      <c r="T1401" s="86">
        <f t="shared" si="410"/>
        <v>19966.57</v>
      </c>
      <c r="U1401" s="87">
        <v>19966.57</v>
      </c>
    </row>
    <row r="1402" spans="1:21" s="30" customFormat="1" ht="24.6" hidden="1" outlineLevel="1" x14ac:dyDescent="0.55000000000000004">
      <c r="A1402" s="27" t="s">
        <v>327</v>
      </c>
      <c r="B1402" s="28"/>
      <c r="C1402" s="27"/>
      <c r="D1402" s="27" t="str">
        <f>"""NAV Direct"",""CRONUS JetCorp USA"",""21"",""1"",""375044"""</f>
        <v>"NAV Direct","CRONUS JetCorp USA","21","1","375044"</v>
      </c>
      <c r="E1402" s="31">
        <f t="shared" si="402"/>
        <v>0</v>
      </c>
      <c r="F1402" s="31"/>
      <c r="G1402" s="31"/>
      <c r="H1402" s="31"/>
      <c r="I1402" s="56"/>
      <c r="J1402" s="56"/>
      <c r="K1402" s="82" t="str">
        <f t="shared" si="403"/>
        <v>Invoice</v>
      </c>
      <c r="L1402" s="83" t="str">
        <f>"SI_111676"</f>
        <v>SI_111676</v>
      </c>
      <c r="M1402" s="84">
        <v>43596</v>
      </c>
      <c r="N1402" s="85">
        <f t="shared" si="404"/>
        <v>216</v>
      </c>
      <c r="O1402" s="86">
        <f t="shared" si="405"/>
        <v>23958.77</v>
      </c>
      <c r="P1402" s="86">
        <f t="shared" si="406"/>
        <v>0</v>
      </c>
      <c r="Q1402" s="86">
        <f t="shared" si="407"/>
        <v>0</v>
      </c>
      <c r="R1402" s="86">
        <f t="shared" si="408"/>
        <v>0</v>
      </c>
      <c r="S1402" s="86">
        <f t="shared" si="409"/>
        <v>0</v>
      </c>
      <c r="T1402" s="86">
        <f t="shared" si="410"/>
        <v>23958.77</v>
      </c>
      <c r="U1402" s="87">
        <v>23958.77</v>
      </c>
    </row>
    <row r="1403" spans="1:21" s="30" customFormat="1" ht="24.6" hidden="1" outlineLevel="1" x14ac:dyDescent="0.55000000000000004">
      <c r="A1403" s="27" t="s">
        <v>327</v>
      </c>
      <c r="B1403" s="28"/>
      <c r="C1403" s="27"/>
      <c r="D1403" s="27" t="str">
        <f>"""NAV Direct"",""CRONUS JetCorp USA"",""21"",""1"",""375103"""</f>
        <v>"NAV Direct","CRONUS JetCorp USA","21","1","375103"</v>
      </c>
      <c r="E1403" s="31" t="str">
        <f t="shared" si="402"/>
        <v>C100050</v>
      </c>
      <c r="F1403" s="31"/>
      <c r="G1403" s="31"/>
      <c r="H1403" s="31"/>
      <c r="I1403" s="56"/>
      <c r="J1403" s="56"/>
      <c r="K1403" s="82" t="str">
        <f t="shared" si="403"/>
        <v>Invoice</v>
      </c>
      <c r="L1403" s="83" t="str">
        <f>"SI_111677"</f>
        <v>SI_111677</v>
      </c>
      <c r="M1403" s="84">
        <v>43621</v>
      </c>
      <c r="N1403" s="85">
        <f t="shared" si="404"/>
        <v>191</v>
      </c>
      <c r="O1403" s="86">
        <f t="shared" si="405"/>
        <v>24361.100000000002</v>
      </c>
      <c r="P1403" s="86">
        <f t="shared" si="406"/>
        <v>0</v>
      </c>
      <c r="Q1403" s="86">
        <f t="shared" si="407"/>
        <v>0</v>
      </c>
      <c r="R1403" s="86">
        <f t="shared" si="408"/>
        <v>0</v>
      </c>
      <c r="S1403" s="86">
        <f t="shared" si="409"/>
        <v>0</v>
      </c>
      <c r="T1403" s="86">
        <f t="shared" si="410"/>
        <v>24361.100000000002</v>
      </c>
      <c r="U1403" s="87">
        <v>24361.100000000002</v>
      </c>
    </row>
    <row r="1404" spans="1:21" s="30" customFormat="1" ht="24.6" hidden="1" outlineLevel="1" x14ac:dyDescent="0.55000000000000004">
      <c r="A1404" s="27" t="s">
        <v>327</v>
      </c>
      <c r="B1404" s="28"/>
      <c r="C1404" s="27"/>
      <c r="D1404" s="27" t="str">
        <f>"""NAV Direct"",""CRONUS JetCorp USA"",""21"",""1"",""375535"""</f>
        <v>"NAV Direct","CRONUS JetCorp USA","21","1","375535"</v>
      </c>
      <c r="E1404" s="31">
        <f t="shared" si="402"/>
        <v>0</v>
      </c>
      <c r="F1404" s="31"/>
      <c r="G1404" s="31"/>
      <c r="H1404" s="31"/>
      <c r="I1404" s="56"/>
      <c r="J1404" s="56"/>
      <c r="K1404" s="82" t="str">
        <f t="shared" si="403"/>
        <v>Invoice</v>
      </c>
      <c r="L1404" s="83" t="str">
        <f>"SI_111687"</f>
        <v>SI_111687</v>
      </c>
      <c r="M1404" s="84">
        <v>43718</v>
      </c>
      <c r="N1404" s="85">
        <f t="shared" si="404"/>
        <v>94</v>
      </c>
      <c r="O1404" s="86">
        <f t="shared" si="405"/>
        <v>17230.2</v>
      </c>
      <c r="P1404" s="86">
        <f t="shared" si="406"/>
        <v>0</v>
      </c>
      <c r="Q1404" s="86">
        <f t="shared" si="407"/>
        <v>0</v>
      </c>
      <c r="R1404" s="86">
        <f t="shared" si="408"/>
        <v>0</v>
      </c>
      <c r="S1404" s="86">
        <f t="shared" si="409"/>
        <v>0</v>
      </c>
      <c r="T1404" s="86">
        <f t="shared" si="410"/>
        <v>17230.2</v>
      </c>
      <c r="U1404" s="87">
        <v>17230.2</v>
      </c>
    </row>
    <row r="1405" spans="1:21" s="30" customFormat="1" ht="24.6" hidden="1" outlineLevel="1" x14ac:dyDescent="0.55000000000000004">
      <c r="A1405" s="27" t="s">
        <v>327</v>
      </c>
      <c r="B1405" s="28"/>
      <c r="C1405" s="27"/>
      <c r="D1405" s="27" t="str">
        <f>"""NAV Direct"",""CRONUS JetCorp USA"",""21"",""1"",""376165"""</f>
        <v>"NAV Direct","CRONUS JetCorp USA","21","1","376165"</v>
      </c>
      <c r="E1405" s="31" t="str">
        <f t="shared" si="402"/>
        <v>C100050</v>
      </c>
      <c r="F1405" s="31"/>
      <c r="G1405" s="31"/>
      <c r="H1405" s="31"/>
      <c r="I1405" s="56"/>
      <c r="J1405" s="56"/>
      <c r="K1405" s="82" t="str">
        <f t="shared" si="403"/>
        <v>Invoice</v>
      </c>
      <c r="L1405" s="83" t="str">
        <f>"SI_111703"</f>
        <v>SI_111703</v>
      </c>
      <c r="M1405" s="84">
        <v>42082</v>
      </c>
      <c r="N1405" s="85">
        <f t="shared" si="404"/>
        <v>1730</v>
      </c>
      <c r="O1405" s="86">
        <f t="shared" si="405"/>
        <v>19052.8</v>
      </c>
      <c r="P1405" s="86">
        <f t="shared" si="406"/>
        <v>0</v>
      </c>
      <c r="Q1405" s="86">
        <f t="shared" si="407"/>
        <v>0</v>
      </c>
      <c r="R1405" s="86">
        <f t="shared" si="408"/>
        <v>0</v>
      </c>
      <c r="S1405" s="86">
        <f t="shared" si="409"/>
        <v>0</v>
      </c>
      <c r="T1405" s="86">
        <f t="shared" si="410"/>
        <v>19052.8</v>
      </c>
      <c r="U1405" s="87">
        <v>19052.8</v>
      </c>
    </row>
    <row r="1406" spans="1:21" s="30" customFormat="1" ht="24.6" hidden="1" outlineLevel="1" x14ac:dyDescent="0.55000000000000004">
      <c r="A1406" s="27" t="s">
        <v>327</v>
      </c>
      <c r="B1406" s="28"/>
      <c r="C1406" s="27"/>
      <c r="D1406" s="27" t="str">
        <f>"""NAV Direct"",""CRONUS JetCorp USA"",""21"",""1"",""376237"""</f>
        <v>"NAV Direct","CRONUS JetCorp USA","21","1","376237"</v>
      </c>
      <c r="E1406" s="31">
        <f t="shared" si="402"/>
        <v>0</v>
      </c>
      <c r="F1406" s="31"/>
      <c r="G1406" s="31"/>
      <c r="H1406" s="31"/>
      <c r="I1406" s="56"/>
      <c r="J1406" s="56"/>
      <c r="K1406" s="82" t="str">
        <f t="shared" si="403"/>
        <v>Invoice</v>
      </c>
      <c r="L1406" s="83" t="str">
        <f>"SI_111705"</f>
        <v>SI_111705</v>
      </c>
      <c r="M1406" s="84">
        <v>42117</v>
      </c>
      <c r="N1406" s="85">
        <f t="shared" si="404"/>
        <v>1695</v>
      </c>
      <c r="O1406" s="86">
        <f t="shared" si="405"/>
        <v>19227.810000000001</v>
      </c>
      <c r="P1406" s="86">
        <f t="shared" si="406"/>
        <v>0</v>
      </c>
      <c r="Q1406" s="86">
        <f t="shared" si="407"/>
        <v>0</v>
      </c>
      <c r="R1406" s="86">
        <f t="shared" si="408"/>
        <v>0</v>
      </c>
      <c r="S1406" s="86">
        <f t="shared" si="409"/>
        <v>0</v>
      </c>
      <c r="T1406" s="86">
        <f t="shared" si="410"/>
        <v>19227.810000000001</v>
      </c>
      <c r="U1406" s="87">
        <v>19227.810000000001</v>
      </c>
    </row>
    <row r="1407" spans="1:21" s="30" customFormat="1" ht="24.6" hidden="1" outlineLevel="1" x14ac:dyDescent="0.55000000000000004">
      <c r="A1407" s="27" t="s">
        <v>327</v>
      </c>
      <c r="B1407" s="28"/>
      <c r="C1407" s="27"/>
      <c r="D1407" s="27" t="str">
        <f>"""NAV Direct"",""CRONUS JetCorp USA"",""21"",""1"",""376603"""</f>
        <v>"NAV Direct","CRONUS JetCorp USA","21","1","376603"</v>
      </c>
      <c r="E1407" s="31" t="str">
        <f t="shared" si="402"/>
        <v>C100050</v>
      </c>
      <c r="F1407" s="31"/>
      <c r="G1407" s="31"/>
      <c r="H1407" s="31"/>
      <c r="I1407" s="56"/>
      <c r="J1407" s="56"/>
      <c r="K1407" s="82" t="str">
        <f t="shared" si="403"/>
        <v>Invoice</v>
      </c>
      <c r="L1407" s="83" t="str">
        <f>"SI_111713"</f>
        <v>SI_111713</v>
      </c>
      <c r="M1407" s="84">
        <v>42202</v>
      </c>
      <c r="N1407" s="85">
        <f t="shared" si="404"/>
        <v>1610</v>
      </c>
      <c r="O1407" s="86">
        <f t="shared" si="405"/>
        <v>26291.200000000001</v>
      </c>
      <c r="P1407" s="86">
        <f t="shared" si="406"/>
        <v>0</v>
      </c>
      <c r="Q1407" s="86">
        <f t="shared" si="407"/>
        <v>0</v>
      </c>
      <c r="R1407" s="86">
        <f t="shared" si="408"/>
        <v>0</v>
      </c>
      <c r="S1407" s="86">
        <f t="shared" si="409"/>
        <v>0</v>
      </c>
      <c r="T1407" s="86">
        <f t="shared" si="410"/>
        <v>26291.200000000001</v>
      </c>
      <c r="U1407" s="87">
        <v>26291.200000000001</v>
      </c>
    </row>
    <row r="1408" spans="1:21" s="30" customFormat="1" ht="24.6" hidden="1" outlineLevel="1" x14ac:dyDescent="0.55000000000000004">
      <c r="A1408" s="27" t="s">
        <v>327</v>
      </c>
      <c r="B1408" s="28"/>
      <c r="C1408" s="27"/>
      <c r="D1408" s="27" t="str">
        <f>"""NAV Direct"",""CRONUS JetCorp USA"",""21"",""1"",""376732"""</f>
        <v>"NAV Direct","CRONUS JetCorp USA","21","1","376732"</v>
      </c>
      <c r="E1408" s="31">
        <f t="shared" si="402"/>
        <v>0</v>
      </c>
      <c r="F1408" s="31"/>
      <c r="G1408" s="31"/>
      <c r="H1408" s="31"/>
      <c r="I1408" s="56"/>
      <c r="J1408" s="56"/>
      <c r="K1408" s="82" t="str">
        <f t="shared" si="403"/>
        <v>Invoice</v>
      </c>
      <c r="L1408" s="83" t="str">
        <f>"SI_111716"</f>
        <v>SI_111716</v>
      </c>
      <c r="M1408" s="84">
        <v>42241</v>
      </c>
      <c r="N1408" s="85">
        <f t="shared" si="404"/>
        <v>1571</v>
      </c>
      <c r="O1408" s="86">
        <f t="shared" si="405"/>
        <v>18843.59</v>
      </c>
      <c r="P1408" s="86">
        <f t="shared" si="406"/>
        <v>0</v>
      </c>
      <c r="Q1408" s="86">
        <f t="shared" si="407"/>
        <v>0</v>
      </c>
      <c r="R1408" s="86">
        <f t="shared" si="408"/>
        <v>0</v>
      </c>
      <c r="S1408" s="86">
        <f t="shared" si="409"/>
        <v>0</v>
      </c>
      <c r="T1408" s="86">
        <f t="shared" si="410"/>
        <v>18843.59</v>
      </c>
      <c r="U1408" s="87">
        <v>18843.59</v>
      </c>
    </row>
    <row r="1409" spans="1:22" s="30" customFormat="1" ht="24.6" hidden="1" outlineLevel="1" x14ac:dyDescent="0.55000000000000004">
      <c r="A1409" s="27" t="s">
        <v>327</v>
      </c>
      <c r="B1409" s="28"/>
      <c r="C1409" s="27"/>
      <c r="D1409" s="27" t="str">
        <f>"""NAV Direct"",""CRONUS JetCorp USA"",""21"",""1"",""376839"""</f>
        <v>"NAV Direct","CRONUS JetCorp USA","21","1","376839"</v>
      </c>
      <c r="E1409" s="31" t="str">
        <f t="shared" si="402"/>
        <v>C100050</v>
      </c>
      <c r="F1409" s="31"/>
      <c r="G1409" s="31"/>
      <c r="H1409" s="31"/>
      <c r="I1409" s="56"/>
      <c r="J1409" s="56"/>
      <c r="K1409" s="82" t="str">
        <f t="shared" si="403"/>
        <v>Invoice</v>
      </c>
      <c r="L1409" s="83" t="str">
        <f>"SI_111719"</f>
        <v>SI_111719</v>
      </c>
      <c r="M1409" s="84">
        <v>42293</v>
      </c>
      <c r="N1409" s="85">
        <f t="shared" si="404"/>
        <v>1519</v>
      </c>
      <c r="O1409" s="86">
        <f t="shared" si="405"/>
        <v>17143.3</v>
      </c>
      <c r="P1409" s="86">
        <f t="shared" si="406"/>
        <v>0</v>
      </c>
      <c r="Q1409" s="86">
        <f t="shared" si="407"/>
        <v>0</v>
      </c>
      <c r="R1409" s="86">
        <f t="shared" si="408"/>
        <v>0</v>
      </c>
      <c r="S1409" s="86">
        <f t="shared" si="409"/>
        <v>0</v>
      </c>
      <c r="T1409" s="86">
        <f t="shared" si="410"/>
        <v>17143.3</v>
      </c>
      <c r="U1409" s="87">
        <v>17143.3</v>
      </c>
    </row>
    <row r="1410" spans="1:22" s="30" customFormat="1" ht="24.6" hidden="1" outlineLevel="1" x14ac:dyDescent="0.55000000000000004">
      <c r="A1410" s="27" t="s">
        <v>327</v>
      </c>
      <c r="B1410" s="28"/>
      <c r="C1410" s="27"/>
      <c r="D1410" s="27" t="str">
        <f>"""NAV Direct"",""CRONUS JetCorp USA"",""21"",""1"",""376876"""</f>
        <v>"NAV Direct","CRONUS JetCorp USA","21","1","376876"</v>
      </c>
      <c r="E1410" s="31">
        <f t="shared" si="402"/>
        <v>0</v>
      </c>
      <c r="F1410" s="31"/>
      <c r="G1410" s="31"/>
      <c r="H1410" s="31"/>
      <c r="I1410" s="56"/>
      <c r="J1410" s="56"/>
      <c r="K1410" s="82" t="str">
        <f t="shared" si="403"/>
        <v>Invoice</v>
      </c>
      <c r="L1410" s="83" t="str">
        <f>"SI_111720"</f>
        <v>SI_111720</v>
      </c>
      <c r="M1410" s="84">
        <v>42298</v>
      </c>
      <c r="N1410" s="85">
        <f t="shared" si="404"/>
        <v>1514</v>
      </c>
      <c r="O1410" s="86">
        <f t="shared" si="405"/>
        <v>17143.189999999999</v>
      </c>
      <c r="P1410" s="86">
        <f t="shared" si="406"/>
        <v>0</v>
      </c>
      <c r="Q1410" s="86">
        <f t="shared" si="407"/>
        <v>0</v>
      </c>
      <c r="R1410" s="86">
        <f t="shared" si="408"/>
        <v>0</v>
      </c>
      <c r="S1410" s="86">
        <f t="shared" si="409"/>
        <v>0</v>
      </c>
      <c r="T1410" s="86">
        <f t="shared" si="410"/>
        <v>17143.189999999999</v>
      </c>
      <c r="U1410" s="87">
        <v>17143.189999999999</v>
      </c>
    </row>
    <row r="1411" spans="1:22" s="30" customFormat="1" ht="24.6" hidden="1" outlineLevel="1" x14ac:dyDescent="0.55000000000000004">
      <c r="A1411" s="27" t="s">
        <v>327</v>
      </c>
      <c r="B1411" s="28"/>
      <c r="C1411" s="27"/>
      <c r="D1411" s="27" t="str">
        <f>"""NAV Direct"",""CRONUS JetCorp USA"",""21"",""1"",""377100"""</f>
        <v>"NAV Direct","CRONUS JetCorp USA","21","1","377100"</v>
      </c>
      <c r="E1411" s="31" t="str">
        <f t="shared" si="402"/>
        <v>C100050</v>
      </c>
      <c r="F1411" s="31"/>
      <c r="G1411" s="31"/>
      <c r="H1411" s="31"/>
      <c r="I1411" s="56"/>
      <c r="J1411" s="56"/>
      <c r="K1411" s="82" t="str">
        <f t="shared" si="403"/>
        <v>Invoice</v>
      </c>
      <c r="L1411" s="83" t="str">
        <f>"SI_111726"</f>
        <v>SI_111726</v>
      </c>
      <c r="M1411" s="84">
        <v>42348</v>
      </c>
      <c r="N1411" s="85">
        <f t="shared" si="404"/>
        <v>1464</v>
      </c>
      <c r="O1411" s="86">
        <f t="shared" si="405"/>
        <v>19626.169999999998</v>
      </c>
      <c r="P1411" s="86">
        <f t="shared" si="406"/>
        <v>0</v>
      </c>
      <c r="Q1411" s="86">
        <f t="shared" si="407"/>
        <v>0</v>
      </c>
      <c r="R1411" s="86">
        <f t="shared" si="408"/>
        <v>0</v>
      </c>
      <c r="S1411" s="86">
        <f t="shared" si="409"/>
        <v>0</v>
      </c>
      <c r="T1411" s="86">
        <f t="shared" si="410"/>
        <v>19626.169999999998</v>
      </c>
      <c r="U1411" s="87">
        <v>19626.169999999998</v>
      </c>
    </row>
    <row r="1412" spans="1:22" s="30" customFormat="1" ht="24.6" hidden="1" outlineLevel="1" x14ac:dyDescent="0.55000000000000004">
      <c r="A1412" s="27" t="s">
        <v>327</v>
      </c>
      <c r="B1412" s="28"/>
      <c r="C1412" s="27"/>
      <c r="D1412" s="27" t="str">
        <f>"""NAV Direct"",""CRONUS JetCorp USA"",""21"",""1"",""437426"""</f>
        <v>"NAV Direct","CRONUS JetCorp USA","21","1","437426"</v>
      </c>
      <c r="E1412" s="31">
        <f t="shared" si="402"/>
        <v>0</v>
      </c>
      <c r="F1412" s="31"/>
      <c r="G1412" s="31"/>
      <c r="H1412" s="31"/>
      <c r="I1412" s="56"/>
      <c r="J1412" s="56"/>
      <c r="K1412" s="82" t="str">
        <f t="shared" ref="K1412:K1418" si="411">"Credit Memo"</f>
        <v>Credit Memo</v>
      </c>
      <c r="L1412" s="83" t="str">
        <f>"SC_100746"</f>
        <v>SC_100746</v>
      </c>
      <c r="M1412" s="84">
        <v>42985</v>
      </c>
      <c r="N1412" s="85">
        <f t="shared" si="404"/>
        <v>827</v>
      </c>
      <c r="O1412" s="86">
        <f t="shared" si="405"/>
        <v>-145.37</v>
      </c>
      <c r="P1412" s="86">
        <f t="shared" si="406"/>
        <v>0</v>
      </c>
      <c r="Q1412" s="86">
        <f t="shared" si="407"/>
        <v>0</v>
      </c>
      <c r="R1412" s="86">
        <f t="shared" si="408"/>
        <v>0</v>
      </c>
      <c r="S1412" s="86">
        <f t="shared" si="409"/>
        <v>0</v>
      </c>
      <c r="T1412" s="86">
        <f t="shared" si="410"/>
        <v>-145.37</v>
      </c>
      <c r="U1412" s="87">
        <v>-145.37</v>
      </c>
    </row>
    <row r="1413" spans="1:22" s="30" customFormat="1" ht="24.6" hidden="1" outlineLevel="1" x14ac:dyDescent="0.55000000000000004">
      <c r="A1413" s="27" t="s">
        <v>327</v>
      </c>
      <c r="B1413" s="28"/>
      <c r="C1413" s="27"/>
      <c r="D1413" s="27" t="str">
        <f>"""NAV Direct"",""CRONUS JetCorp USA"",""21"",""1"",""437483"""</f>
        <v>"NAV Direct","CRONUS JetCorp USA","21","1","437483"</v>
      </c>
      <c r="E1413" s="31" t="str">
        <f t="shared" si="402"/>
        <v>C100050</v>
      </c>
      <c r="F1413" s="31"/>
      <c r="G1413" s="31"/>
      <c r="H1413" s="31"/>
      <c r="I1413" s="56"/>
      <c r="J1413" s="56"/>
      <c r="K1413" s="82" t="str">
        <f t="shared" si="411"/>
        <v>Credit Memo</v>
      </c>
      <c r="L1413" s="83" t="str">
        <f>"SC_100749"</f>
        <v>SC_100749</v>
      </c>
      <c r="M1413" s="84">
        <v>43121</v>
      </c>
      <c r="N1413" s="85">
        <f t="shared" si="404"/>
        <v>691</v>
      </c>
      <c r="O1413" s="86">
        <f t="shared" si="405"/>
        <v>-171</v>
      </c>
      <c r="P1413" s="86">
        <f t="shared" si="406"/>
        <v>0</v>
      </c>
      <c r="Q1413" s="86">
        <f t="shared" si="407"/>
        <v>0</v>
      </c>
      <c r="R1413" s="86">
        <f t="shared" si="408"/>
        <v>0</v>
      </c>
      <c r="S1413" s="86">
        <f t="shared" si="409"/>
        <v>0</v>
      </c>
      <c r="T1413" s="86">
        <f t="shared" si="410"/>
        <v>-171</v>
      </c>
      <c r="U1413" s="87">
        <v>-171</v>
      </c>
    </row>
    <row r="1414" spans="1:22" s="30" customFormat="1" ht="24.6" hidden="1" outlineLevel="1" x14ac:dyDescent="0.55000000000000004">
      <c r="A1414" s="27" t="s">
        <v>327</v>
      </c>
      <c r="B1414" s="28"/>
      <c r="C1414" s="27"/>
      <c r="D1414" s="27" t="str">
        <f>"""NAV Direct"",""CRONUS JetCorp USA"",""21"",""1"",""437610"""</f>
        <v>"NAV Direct","CRONUS JetCorp USA","21","1","437610"</v>
      </c>
      <c r="E1414" s="31">
        <f t="shared" si="402"/>
        <v>0</v>
      </c>
      <c r="F1414" s="31"/>
      <c r="G1414" s="31"/>
      <c r="H1414" s="31"/>
      <c r="I1414" s="56"/>
      <c r="J1414" s="56"/>
      <c r="K1414" s="82" t="str">
        <f t="shared" si="411"/>
        <v>Credit Memo</v>
      </c>
      <c r="L1414" s="83" t="str">
        <f>"SC_100758"</f>
        <v>SC_100758</v>
      </c>
      <c r="M1414" s="84">
        <v>43536</v>
      </c>
      <c r="N1414" s="85">
        <f t="shared" si="404"/>
        <v>276</v>
      </c>
      <c r="O1414" s="86">
        <f t="shared" si="405"/>
        <v>-193.26000000000002</v>
      </c>
      <c r="P1414" s="86">
        <f t="shared" si="406"/>
        <v>0</v>
      </c>
      <c r="Q1414" s="86">
        <f t="shared" si="407"/>
        <v>0</v>
      </c>
      <c r="R1414" s="86">
        <f t="shared" si="408"/>
        <v>0</v>
      </c>
      <c r="S1414" s="86">
        <f t="shared" si="409"/>
        <v>0</v>
      </c>
      <c r="T1414" s="86">
        <f t="shared" si="410"/>
        <v>-193.26000000000002</v>
      </c>
      <c r="U1414" s="87">
        <v>-193.26000000000002</v>
      </c>
    </row>
    <row r="1415" spans="1:22" s="30" customFormat="1" ht="24.6" hidden="1" outlineLevel="1" x14ac:dyDescent="0.55000000000000004">
      <c r="A1415" s="27" t="s">
        <v>327</v>
      </c>
      <c r="B1415" s="28"/>
      <c r="C1415" s="27"/>
      <c r="D1415" s="27" t="str">
        <f>"""NAV Direct"",""CRONUS JetCorp USA"",""21"",""1"",""437704"""</f>
        <v>"NAV Direct","CRONUS JetCorp USA","21","1","437704"</v>
      </c>
      <c r="E1415" s="31" t="str">
        <f t="shared" si="402"/>
        <v>C100050</v>
      </c>
      <c r="F1415" s="31"/>
      <c r="G1415" s="31"/>
      <c r="H1415" s="31"/>
      <c r="I1415" s="56"/>
      <c r="J1415" s="56"/>
      <c r="K1415" s="82" t="str">
        <f t="shared" si="411"/>
        <v>Credit Memo</v>
      </c>
      <c r="L1415" s="83" t="str">
        <f>"SC_100764"</f>
        <v>SC_100764</v>
      </c>
      <c r="M1415" s="84">
        <v>43723</v>
      </c>
      <c r="N1415" s="85">
        <f t="shared" si="404"/>
        <v>89</v>
      </c>
      <c r="O1415" s="86">
        <f t="shared" si="405"/>
        <v>-166.01999999999998</v>
      </c>
      <c r="P1415" s="86">
        <f t="shared" si="406"/>
        <v>0</v>
      </c>
      <c r="Q1415" s="86">
        <f t="shared" si="407"/>
        <v>0</v>
      </c>
      <c r="R1415" s="86">
        <f t="shared" si="408"/>
        <v>0</v>
      </c>
      <c r="S1415" s="86">
        <f t="shared" si="409"/>
        <v>-166.01999999999998</v>
      </c>
      <c r="T1415" s="86">
        <f t="shared" si="410"/>
        <v>0</v>
      </c>
      <c r="U1415" s="87">
        <v>-166.01999999999998</v>
      </c>
    </row>
    <row r="1416" spans="1:22" s="30" customFormat="1" ht="24.6" hidden="1" outlineLevel="1" x14ac:dyDescent="0.55000000000000004">
      <c r="A1416" s="27" t="s">
        <v>327</v>
      </c>
      <c r="B1416" s="28"/>
      <c r="C1416" s="27"/>
      <c r="D1416" s="27" t="str">
        <f>"""NAV Direct"",""CRONUS JetCorp USA"",""21"",""1"",""437766"""</f>
        <v>"NAV Direct","CRONUS JetCorp USA","21","1","437766"</v>
      </c>
      <c r="E1416" s="31">
        <f t="shared" si="402"/>
        <v>0</v>
      </c>
      <c r="F1416" s="31"/>
      <c r="G1416" s="31"/>
      <c r="H1416" s="31"/>
      <c r="I1416" s="56"/>
      <c r="J1416" s="56"/>
      <c r="K1416" s="82" t="str">
        <f t="shared" si="411"/>
        <v>Credit Memo</v>
      </c>
      <c r="L1416" s="83" t="str">
        <f>"SC_100768"</f>
        <v>SC_100768</v>
      </c>
      <c r="M1416" s="84">
        <v>42050</v>
      </c>
      <c r="N1416" s="85">
        <f t="shared" si="404"/>
        <v>1762</v>
      </c>
      <c r="O1416" s="86">
        <f t="shared" si="405"/>
        <v>-198.20000000000002</v>
      </c>
      <c r="P1416" s="86">
        <f t="shared" si="406"/>
        <v>0</v>
      </c>
      <c r="Q1416" s="86">
        <f t="shared" si="407"/>
        <v>0</v>
      </c>
      <c r="R1416" s="86">
        <f t="shared" si="408"/>
        <v>0</v>
      </c>
      <c r="S1416" s="86">
        <f t="shared" si="409"/>
        <v>0</v>
      </c>
      <c r="T1416" s="86">
        <f t="shared" si="410"/>
        <v>-198.20000000000002</v>
      </c>
      <c r="U1416" s="87">
        <v>-198.20000000000002</v>
      </c>
    </row>
    <row r="1417" spans="1:22" s="30" customFormat="1" ht="24.6" hidden="1" outlineLevel="1" x14ac:dyDescent="0.55000000000000004">
      <c r="A1417" s="27" t="s">
        <v>327</v>
      </c>
      <c r="B1417" s="28"/>
      <c r="C1417" s="27"/>
      <c r="D1417" s="27" t="str">
        <f>"""NAV Direct"",""CRONUS JetCorp USA"",""21"",""1"",""437831"""</f>
        <v>"NAV Direct","CRONUS JetCorp USA","21","1","437831"</v>
      </c>
      <c r="E1417" s="31" t="str">
        <f t="shared" si="402"/>
        <v>C100050</v>
      </c>
      <c r="F1417" s="31"/>
      <c r="G1417" s="31"/>
      <c r="H1417" s="31"/>
      <c r="I1417" s="56"/>
      <c r="J1417" s="56"/>
      <c r="K1417" s="82" t="str">
        <f t="shared" si="411"/>
        <v>Credit Memo</v>
      </c>
      <c r="L1417" s="83" t="str">
        <f>"SC_100773"</f>
        <v>SC_100773</v>
      </c>
      <c r="M1417" s="84">
        <v>42197</v>
      </c>
      <c r="N1417" s="85">
        <f t="shared" si="404"/>
        <v>1615</v>
      </c>
      <c r="O1417" s="86">
        <f t="shared" si="405"/>
        <v>-190.27</v>
      </c>
      <c r="P1417" s="86">
        <f t="shared" si="406"/>
        <v>0</v>
      </c>
      <c r="Q1417" s="86">
        <f t="shared" si="407"/>
        <v>0</v>
      </c>
      <c r="R1417" s="86">
        <f t="shared" si="408"/>
        <v>0</v>
      </c>
      <c r="S1417" s="86">
        <f t="shared" si="409"/>
        <v>0</v>
      </c>
      <c r="T1417" s="86">
        <f t="shared" si="410"/>
        <v>-190.27</v>
      </c>
      <c r="U1417" s="87">
        <v>-190.27</v>
      </c>
    </row>
    <row r="1418" spans="1:22" s="30" customFormat="1" ht="24.6" hidden="1" outlineLevel="1" x14ac:dyDescent="0.55000000000000004">
      <c r="A1418" s="27" t="s">
        <v>327</v>
      </c>
      <c r="B1418" s="28"/>
      <c r="C1418" s="27"/>
      <c r="D1418" s="27" t="str">
        <f>"""NAV Direct"",""CRONUS JetCorp USA"",""21"",""1"",""437861"""</f>
        <v>"NAV Direct","CRONUS JetCorp USA","21","1","437861"</v>
      </c>
      <c r="E1418" s="31">
        <f t="shared" si="402"/>
        <v>0</v>
      </c>
      <c r="F1418" s="31"/>
      <c r="G1418" s="31"/>
      <c r="H1418" s="31"/>
      <c r="I1418" s="56"/>
      <c r="J1418" s="56"/>
      <c r="K1418" s="82" t="str">
        <f t="shared" si="411"/>
        <v>Credit Memo</v>
      </c>
      <c r="L1418" s="83" t="str">
        <f>"SC_100775"</f>
        <v>SC_100775</v>
      </c>
      <c r="M1418" s="84">
        <v>42233</v>
      </c>
      <c r="N1418" s="85">
        <f t="shared" si="404"/>
        <v>1579</v>
      </c>
      <c r="O1418" s="86">
        <f t="shared" si="405"/>
        <v>-174.89</v>
      </c>
      <c r="P1418" s="86">
        <f t="shared" si="406"/>
        <v>0</v>
      </c>
      <c r="Q1418" s="86">
        <f t="shared" si="407"/>
        <v>0</v>
      </c>
      <c r="R1418" s="86">
        <f t="shared" si="408"/>
        <v>0</v>
      </c>
      <c r="S1418" s="86">
        <f t="shared" si="409"/>
        <v>0</v>
      </c>
      <c r="T1418" s="86">
        <f t="shared" si="410"/>
        <v>-174.89</v>
      </c>
      <c r="U1418" s="87">
        <v>-174.89</v>
      </c>
    </row>
    <row r="1419" spans="1:22" s="22" customFormat="1" ht="20.399999999999999" collapsed="1" x14ac:dyDescent="0.45">
      <c r="A1419" s="12" t="s">
        <v>327</v>
      </c>
      <c r="B1419" s="19"/>
      <c r="C1419" s="12"/>
      <c r="D1419" s="12"/>
      <c r="E1419" s="23"/>
      <c r="F1419" s="23"/>
      <c r="G1419" s="23"/>
      <c r="H1419" s="23"/>
      <c r="I1419" s="49"/>
      <c r="J1419" s="88"/>
      <c r="K1419" s="88"/>
      <c r="L1419" s="89"/>
      <c r="M1419" s="89"/>
      <c r="N1419" s="89"/>
      <c r="O1419" s="89"/>
      <c r="P1419" s="89"/>
      <c r="Q1419" s="90"/>
      <c r="R1419" s="90"/>
      <c r="S1419" s="91"/>
      <c r="T1419" s="92"/>
      <c r="U1419" s="92"/>
    </row>
    <row r="1420" spans="1:22" s="22" customFormat="1" ht="20.399999999999999" x14ac:dyDescent="0.45">
      <c r="A1420" s="12" t="s">
        <v>327</v>
      </c>
      <c r="B1420" s="19"/>
      <c r="C1420" s="12"/>
      <c r="D1420" s="12"/>
      <c r="E1420" s="23"/>
      <c r="F1420" s="23"/>
      <c r="G1420" s="23"/>
      <c r="H1420" s="23"/>
      <c r="I1420" s="49"/>
      <c r="J1420" s="88"/>
      <c r="K1420" s="88"/>
      <c r="L1420" s="89"/>
      <c r="M1420" s="89"/>
      <c r="N1420" s="89"/>
      <c r="O1420" s="89"/>
      <c r="P1420" s="89"/>
      <c r="Q1420" s="90"/>
      <c r="R1420" s="90"/>
      <c r="S1420" s="91"/>
      <c r="T1420" s="92"/>
      <c r="U1420" s="92"/>
    </row>
    <row r="1421" spans="1:22" s="26" customFormat="1" ht="24.6" x14ac:dyDescent="0.55000000000000004">
      <c r="A1421" s="27" t="s">
        <v>327</v>
      </c>
      <c r="B1421" s="28"/>
      <c r="C1421" s="27" t="str">
        <f>"""NAV Direct"",""CRONUS JetCorp USA"",""18"",""1"",""C100051"""</f>
        <v>"NAV Direct","CRONUS JetCorp USA","18","1","C100051"</v>
      </c>
      <c r="D1421" s="27"/>
      <c r="E1421" s="28" t="str">
        <f>H1421</f>
        <v>C100051</v>
      </c>
      <c r="F1421" s="28"/>
      <c r="G1421" s="28"/>
      <c r="H1421" s="28" t="str">
        <f>"C100051"</f>
        <v>C100051</v>
      </c>
      <c r="I1421" s="116" t="str">
        <f>"C100051  -  Libros S.A."</f>
        <v>C100051  -  Libros S.A.</v>
      </c>
      <c r="J1421" s="117" t="str">
        <f>""</f>
        <v/>
      </c>
      <c r="K1421" s="118"/>
      <c r="L1421" s="119">
        <f>SUBTOTAL(3,L1422:L1448)</f>
        <v>23</v>
      </c>
      <c r="M1421" s="118"/>
      <c r="N1421" s="118"/>
      <c r="O1421" s="120">
        <f t="shared" ref="O1421:T1421" si="412">SUBTOTAL(9,O1422:O1448)</f>
        <v>116695.64000000001</v>
      </c>
      <c r="P1421" s="120">
        <f t="shared" si="412"/>
        <v>0</v>
      </c>
      <c r="Q1421" s="120">
        <f t="shared" si="412"/>
        <v>0</v>
      </c>
      <c r="R1421" s="120">
        <f t="shared" si="412"/>
        <v>6623.54</v>
      </c>
      <c r="S1421" s="120">
        <f t="shared" si="412"/>
        <v>0</v>
      </c>
      <c r="T1421" s="120">
        <f t="shared" si="412"/>
        <v>110072.10000000002</v>
      </c>
      <c r="U1421" s="81"/>
    </row>
    <row r="1422" spans="1:22" s="26" customFormat="1" ht="24.6" x14ac:dyDescent="0.55000000000000004">
      <c r="A1422" s="27" t="s">
        <v>327</v>
      </c>
      <c r="B1422" s="28"/>
      <c r="C1422" s="27" t="str">
        <f>C1421</f>
        <v>"NAV Direct","CRONUS JetCorp USA","18","1","C100051"</v>
      </c>
      <c r="D1422" s="27"/>
      <c r="E1422" s="28" t="str">
        <f>E1421</f>
        <v>C100051</v>
      </c>
      <c r="F1422" s="28"/>
      <c r="G1422" s="28"/>
      <c r="H1422" s="28"/>
      <c r="I1422" s="121" t="str">
        <f>"Contact: Sr. Oscar Alfonso Caceres"</f>
        <v>Contact: Sr. Oscar Alfonso Caceres</v>
      </c>
      <c r="J1422" s="121"/>
      <c r="K1422" s="122"/>
      <c r="L1422" s="123"/>
      <c r="M1422" s="123"/>
      <c r="N1422" s="124"/>
      <c r="O1422" s="124"/>
      <c r="P1422" s="123"/>
      <c r="Q1422" s="125"/>
      <c r="R1422" s="126"/>
      <c r="S1422" s="126"/>
      <c r="T1422" s="125"/>
      <c r="U1422" s="81"/>
    </row>
    <row r="1423" spans="1:22" s="26" customFormat="1" ht="24.6" x14ac:dyDescent="0.55000000000000004">
      <c r="A1423" s="27" t="s">
        <v>327</v>
      </c>
      <c r="B1423" s="28"/>
      <c r="C1423" s="27" t="str">
        <f>C1422</f>
        <v>"NAV Direct","CRONUS JetCorp USA","18","1","C100051"</v>
      </c>
      <c r="D1423" s="27"/>
      <c r="E1423" s="28" t="str">
        <f>E1422</f>
        <v>C100051</v>
      </c>
      <c r="F1423" s="28"/>
      <c r="G1423" s="28"/>
      <c r="H1423" s="28"/>
      <c r="I1423" s="121" t="str">
        <f>"libros.sa@cronuscorp.net"</f>
        <v>libros.sa@cronuscorp.net</v>
      </c>
      <c r="J1423" s="121"/>
      <c r="K1423" s="122"/>
      <c r="L1423" s="124"/>
      <c r="M1423" s="124"/>
      <c r="N1423" s="124"/>
      <c r="O1423" s="124"/>
      <c r="P1423" s="123"/>
      <c r="Q1423" s="125"/>
      <c r="R1423" s="126"/>
      <c r="S1423" s="126"/>
      <c r="T1423" s="125"/>
      <c r="U1423" s="81"/>
    </row>
    <row r="1424" spans="1:22" ht="12.75" hidden="1" customHeight="1" outlineLevel="1" x14ac:dyDescent="0.45">
      <c r="A1424" s="12" t="s">
        <v>328</v>
      </c>
      <c r="B1424" s="19"/>
      <c r="E1424" s="19"/>
      <c r="F1424" s="19"/>
      <c r="G1424" s="19"/>
      <c r="H1424" s="19"/>
      <c r="I1424" s="61"/>
      <c r="J1424" s="61"/>
      <c r="K1424" s="61"/>
      <c r="L1424" s="61"/>
      <c r="M1424" s="61"/>
      <c r="N1424" s="61"/>
      <c r="O1424" s="61"/>
      <c r="P1424" s="61"/>
      <c r="Q1424" s="61"/>
      <c r="R1424" s="61"/>
      <c r="S1424" s="61"/>
      <c r="T1424" s="61"/>
      <c r="U1424" s="61"/>
      <c r="V1424" s="21"/>
    </row>
    <row r="1425" spans="1:21" s="30" customFormat="1" ht="24.6" hidden="1" outlineLevel="1" x14ac:dyDescent="0.55000000000000004">
      <c r="A1425" s="27" t="s">
        <v>327</v>
      </c>
      <c r="B1425" s="28"/>
      <c r="C1425" s="27"/>
      <c r="D1425" s="27" t="str">
        <f>"""NAV Direct"",""CRONUS JetCorp USA"",""21"",""1"",""41290"""</f>
        <v>"NAV Direct","CRONUS JetCorp USA","21","1","41290"</v>
      </c>
      <c r="E1425" s="31" t="str">
        <f t="shared" ref="E1425:E1447" si="413">E1423</f>
        <v>C100051</v>
      </c>
      <c r="F1425" s="31"/>
      <c r="G1425" s="31"/>
      <c r="H1425" s="31"/>
      <c r="I1425" s="56"/>
      <c r="J1425" s="56"/>
      <c r="K1425" s="82" t="str">
        <f t="shared" ref="K1425:K1442" si="414">"Invoice"</f>
        <v>Invoice</v>
      </c>
      <c r="L1425" s="83" t="str">
        <f>"SI_104918"</f>
        <v>SI_104918</v>
      </c>
      <c r="M1425" s="84">
        <v>42045</v>
      </c>
      <c r="N1425" s="85">
        <f t="shared" ref="N1425:N1447" si="415">StartDate-$M1425+1</f>
        <v>1767</v>
      </c>
      <c r="O1425" s="86">
        <f t="shared" ref="O1425:O1447" si="416">SUM(P1425:T1425)</f>
        <v>6872.58</v>
      </c>
      <c r="P1425" s="86">
        <f t="shared" ref="P1425:P1447" si="417">IF($M1425&gt;=$P$18,U1425,0)</f>
        <v>0</v>
      </c>
      <c r="Q1425" s="86">
        <f t="shared" ref="Q1425:Q1447" si="418">IF(AND($M1425&gt;=$Q$16,$M1425&lt;=$Q$18),U1425,0)</f>
        <v>0</v>
      </c>
      <c r="R1425" s="86">
        <f t="shared" ref="R1425:R1447" si="419">IF(AND($M1425&gt;=$R$16,$M1425&lt;=$R$18),U1425,0)</f>
        <v>0</v>
      </c>
      <c r="S1425" s="86">
        <f t="shared" ref="S1425:S1447" si="420">IF(AND($M1425&gt;=$S$16,$M1425&lt;=$S$18),U1425,0)</f>
        <v>0</v>
      </c>
      <c r="T1425" s="86">
        <f t="shared" ref="T1425:T1447" si="421">IF($M1425&lt;=$T$18,U1425,0)</f>
        <v>6872.58</v>
      </c>
      <c r="U1425" s="87">
        <v>6872.58</v>
      </c>
    </row>
    <row r="1426" spans="1:21" s="30" customFormat="1" ht="24.6" hidden="1" outlineLevel="1" x14ac:dyDescent="0.55000000000000004">
      <c r="A1426" s="27" t="s">
        <v>327</v>
      </c>
      <c r="B1426" s="28"/>
      <c r="C1426" s="27"/>
      <c r="D1426" s="27" t="str">
        <f>"""NAV Direct"",""CRONUS JetCorp USA"",""21"",""1"",""41560"""</f>
        <v>"NAV Direct","CRONUS JetCorp USA","21","1","41560"</v>
      </c>
      <c r="E1426" s="31">
        <f t="shared" si="413"/>
        <v>0</v>
      </c>
      <c r="F1426" s="31"/>
      <c r="G1426" s="31"/>
      <c r="H1426" s="31"/>
      <c r="I1426" s="56"/>
      <c r="J1426" s="56"/>
      <c r="K1426" s="82" t="str">
        <f t="shared" si="414"/>
        <v>Invoice</v>
      </c>
      <c r="L1426" s="83" t="str">
        <f>"SI_104930"</f>
        <v>SI_104930</v>
      </c>
      <c r="M1426" s="84">
        <v>42158</v>
      </c>
      <c r="N1426" s="85">
        <f t="shared" si="415"/>
        <v>1654</v>
      </c>
      <c r="O1426" s="86">
        <f t="shared" si="416"/>
        <v>7337.08</v>
      </c>
      <c r="P1426" s="86">
        <f t="shared" si="417"/>
        <v>0</v>
      </c>
      <c r="Q1426" s="86">
        <f t="shared" si="418"/>
        <v>0</v>
      </c>
      <c r="R1426" s="86">
        <f t="shared" si="419"/>
        <v>0</v>
      </c>
      <c r="S1426" s="86">
        <f t="shared" si="420"/>
        <v>0</v>
      </c>
      <c r="T1426" s="86">
        <f t="shared" si="421"/>
        <v>7337.08</v>
      </c>
      <c r="U1426" s="87">
        <v>7337.08</v>
      </c>
    </row>
    <row r="1427" spans="1:21" s="30" customFormat="1" ht="24.6" hidden="1" outlineLevel="1" x14ac:dyDescent="0.55000000000000004">
      <c r="A1427" s="27" t="s">
        <v>327</v>
      </c>
      <c r="B1427" s="28"/>
      <c r="C1427" s="27"/>
      <c r="D1427" s="27" t="str">
        <f>"""NAV Direct"",""CRONUS JetCorp USA"",""21"",""1"",""41589"""</f>
        <v>"NAV Direct","CRONUS JetCorp USA","21","1","41589"</v>
      </c>
      <c r="E1427" s="31" t="str">
        <f t="shared" si="413"/>
        <v>C100051</v>
      </c>
      <c r="F1427" s="31"/>
      <c r="G1427" s="31"/>
      <c r="H1427" s="31"/>
      <c r="I1427" s="56"/>
      <c r="J1427" s="56"/>
      <c r="K1427" s="82" t="str">
        <f t="shared" si="414"/>
        <v>Invoice</v>
      </c>
      <c r="L1427" s="83" t="str">
        <f>"SI_104931"</f>
        <v>SI_104931</v>
      </c>
      <c r="M1427" s="84">
        <v>42182</v>
      </c>
      <c r="N1427" s="85">
        <f t="shared" si="415"/>
        <v>1630</v>
      </c>
      <c r="O1427" s="86">
        <f t="shared" si="416"/>
        <v>7501.86</v>
      </c>
      <c r="P1427" s="86">
        <f t="shared" si="417"/>
        <v>0</v>
      </c>
      <c r="Q1427" s="86">
        <f t="shared" si="418"/>
        <v>0</v>
      </c>
      <c r="R1427" s="86">
        <f t="shared" si="419"/>
        <v>0</v>
      </c>
      <c r="S1427" s="86">
        <f t="shared" si="420"/>
        <v>0</v>
      </c>
      <c r="T1427" s="86">
        <f t="shared" si="421"/>
        <v>7501.86</v>
      </c>
      <c r="U1427" s="87">
        <v>7501.86</v>
      </c>
    </row>
    <row r="1428" spans="1:21" s="30" customFormat="1" ht="24.6" hidden="1" outlineLevel="1" x14ac:dyDescent="0.55000000000000004">
      <c r="A1428" s="27" t="s">
        <v>327</v>
      </c>
      <c r="B1428" s="28"/>
      <c r="C1428" s="27"/>
      <c r="D1428" s="27" t="str">
        <f>"""NAV Direct"",""CRONUS JetCorp USA"",""21"",""1"",""41989"""</f>
        <v>"NAV Direct","CRONUS JetCorp USA","21","1","41989"</v>
      </c>
      <c r="E1428" s="31">
        <f t="shared" si="413"/>
        <v>0</v>
      </c>
      <c r="F1428" s="31"/>
      <c r="G1428" s="31"/>
      <c r="H1428" s="31"/>
      <c r="I1428" s="56"/>
      <c r="J1428" s="56"/>
      <c r="K1428" s="82" t="str">
        <f t="shared" si="414"/>
        <v>Invoice</v>
      </c>
      <c r="L1428" s="83" t="str">
        <f>"SI_104949"</f>
        <v>SI_104949</v>
      </c>
      <c r="M1428" s="84">
        <v>42359</v>
      </c>
      <c r="N1428" s="85">
        <f t="shared" si="415"/>
        <v>1453</v>
      </c>
      <c r="O1428" s="86">
        <f t="shared" si="416"/>
        <v>8959.8700000000008</v>
      </c>
      <c r="P1428" s="86">
        <f t="shared" si="417"/>
        <v>0</v>
      </c>
      <c r="Q1428" s="86">
        <f t="shared" si="418"/>
        <v>0</v>
      </c>
      <c r="R1428" s="86">
        <f t="shared" si="419"/>
        <v>0</v>
      </c>
      <c r="S1428" s="86">
        <f t="shared" si="420"/>
        <v>0</v>
      </c>
      <c r="T1428" s="86">
        <f t="shared" si="421"/>
        <v>8959.8700000000008</v>
      </c>
      <c r="U1428" s="87">
        <v>8959.8700000000008</v>
      </c>
    </row>
    <row r="1429" spans="1:21" s="30" customFormat="1" ht="24.6" hidden="1" outlineLevel="1" x14ac:dyDescent="0.55000000000000004">
      <c r="A1429" s="27" t="s">
        <v>327</v>
      </c>
      <c r="B1429" s="28"/>
      <c r="C1429" s="27"/>
      <c r="D1429" s="27" t="str">
        <f>"""NAV Direct"",""CRONUS JetCorp USA"",""21"",""1"",""332435"""</f>
        <v>"NAV Direct","CRONUS JetCorp USA","21","1","332435"</v>
      </c>
      <c r="E1429" s="31" t="str">
        <f t="shared" si="413"/>
        <v>C100051</v>
      </c>
      <c r="F1429" s="31"/>
      <c r="G1429" s="31"/>
      <c r="H1429" s="31"/>
      <c r="I1429" s="56"/>
      <c r="J1429" s="56"/>
      <c r="K1429" s="82" t="str">
        <f t="shared" si="414"/>
        <v>Invoice</v>
      </c>
      <c r="L1429" s="83" t="str">
        <f>"SI_110477"</f>
        <v>SI_110477</v>
      </c>
      <c r="M1429" s="84">
        <v>42405</v>
      </c>
      <c r="N1429" s="85">
        <f t="shared" si="415"/>
        <v>1407</v>
      </c>
      <c r="O1429" s="86">
        <f t="shared" si="416"/>
        <v>5698.4400000000005</v>
      </c>
      <c r="P1429" s="86">
        <f t="shared" si="417"/>
        <v>0</v>
      </c>
      <c r="Q1429" s="86">
        <f t="shared" si="418"/>
        <v>0</v>
      </c>
      <c r="R1429" s="86">
        <f t="shared" si="419"/>
        <v>0</v>
      </c>
      <c r="S1429" s="86">
        <f t="shared" si="420"/>
        <v>0</v>
      </c>
      <c r="T1429" s="86">
        <f t="shared" si="421"/>
        <v>5698.4400000000005</v>
      </c>
      <c r="U1429" s="87">
        <v>5698.4400000000005</v>
      </c>
    </row>
    <row r="1430" spans="1:21" s="30" customFormat="1" ht="24.6" hidden="1" outlineLevel="1" x14ac:dyDescent="0.55000000000000004">
      <c r="A1430" s="27" t="s">
        <v>327</v>
      </c>
      <c r="B1430" s="28"/>
      <c r="C1430" s="27"/>
      <c r="D1430" s="27" t="str">
        <f>"""NAV Direct"",""CRONUS JetCorp USA"",""21"",""1"",""332678"""</f>
        <v>"NAV Direct","CRONUS JetCorp USA","21","1","332678"</v>
      </c>
      <c r="E1430" s="31">
        <f t="shared" si="413"/>
        <v>0</v>
      </c>
      <c r="F1430" s="31"/>
      <c r="G1430" s="31"/>
      <c r="H1430" s="31"/>
      <c r="I1430" s="56"/>
      <c r="J1430" s="56"/>
      <c r="K1430" s="82" t="str">
        <f t="shared" si="414"/>
        <v>Invoice</v>
      </c>
      <c r="L1430" s="83" t="str">
        <f>"SI_110488"</f>
        <v>SI_110488</v>
      </c>
      <c r="M1430" s="84">
        <v>42635</v>
      </c>
      <c r="N1430" s="85">
        <f t="shared" si="415"/>
        <v>1177</v>
      </c>
      <c r="O1430" s="86">
        <f t="shared" si="416"/>
        <v>6283.18</v>
      </c>
      <c r="P1430" s="86">
        <f t="shared" si="417"/>
        <v>0</v>
      </c>
      <c r="Q1430" s="86">
        <f t="shared" si="418"/>
        <v>0</v>
      </c>
      <c r="R1430" s="86">
        <f t="shared" si="419"/>
        <v>0</v>
      </c>
      <c r="S1430" s="86">
        <f t="shared" si="420"/>
        <v>0</v>
      </c>
      <c r="T1430" s="86">
        <f t="shared" si="421"/>
        <v>6283.18</v>
      </c>
      <c r="U1430" s="87">
        <v>6283.18</v>
      </c>
    </row>
    <row r="1431" spans="1:21" s="30" customFormat="1" ht="24.6" hidden="1" outlineLevel="1" x14ac:dyDescent="0.55000000000000004">
      <c r="A1431" s="27" t="s">
        <v>327</v>
      </c>
      <c r="B1431" s="28"/>
      <c r="C1431" s="27"/>
      <c r="D1431" s="27" t="str">
        <f>"""NAV Direct"",""CRONUS JetCorp USA"",""21"",""1"",""332720"""</f>
        <v>"NAV Direct","CRONUS JetCorp USA","21","1","332720"</v>
      </c>
      <c r="E1431" s="31" t="str">
        <f t="shared" si="413"/>
        <v>C100051</v>
      </c>
      <c r="F1431" s="31"/>
      <c r="G1431" s="31"/>
      <c r="H1431" s="31"/>
      <c r="I1431" s="56"/>
      <c r="J1431" s="56"/>
      <c r="K1431" s="82" t="str">
        <f t="shared" si="414"/>
        <v>Invoice</v>
      </c>
      <c r="L1431" s="83" t="str">
        <f>"SI_110490"</f>
        <v>SI_110490</v>
      </c>
      <c r="M1431" s="84">
        <v>42676</v>
      </c>
      <c r="N1431" s="85">
        <f t="shared" si="415"/>
        <v>1136</v>
      </c>
      <c r="O1431" s="86">
        <f t="shared" si="416"/>
        <v>6282.9699999999993</v>
      </c>
      <c r="P1431" s="86">
        <f t="shared" si="417"/>
        <v>0</v>
      </c>
      <c r="Q1431" s="86">
        <f t="shared" si="418"/>
        <v>0</v>
      </c>
      <c r="R1431" s="86">
        <f t="shared" si="419"/>
        <v>0</v>
      </c>
      <c r="S1431" s="86">
        <f t="shared" si="420"/>
        <v>0</v>
      </c>
      <c r="T1431" s="86">
        <f t="shared" si="421"/>
        <v>6282.9699999999993</v>
      </c>
      <c r="U1431" s="87">
        <v>6282.9699999999993</v>
      </c>
    </row>
    <row r="1432" spans="1:21" s="30" customFormat="1" ht="24.6" hidden="1" outlineLevel="1" x14ac:dyDescent="0.55000000000000004">
      <c r="A1432" s="27" t="s">
        <v>327</v>
      </c>
      <c r="B1432" s="28"/>
      <c r="C1432" s="27"/>
      <c r="D1432" s="27" t="str">
        <f>"""NAV Direct"",""CRONUS JetCorp USA"",""21"",""1"",""332862"""</f>
        <v>"NAV Direct","CRONUS JetCorp USA","21","1","332862"</v>
      </c>
      <c r="E1432" s="31">
        <f t="shared" si="413"/>
        <v>0</v>
      </c>
      <c r="F1432" s="31"/>
      <c r="G1432" s="31"/>
      <c r="H1432" s="31"/>
      <c r="I1432" s="56"/>
      <c r="J1432" s="56"/>
      <c r="K1432" s="82" t="str">
        <f t="shared" si="414"/>
        <v>Invoice</v>
      </c>
      <c r="L1432" s="83" t="str">
        <f>"SI_110496"</f>
        <v>SI_110496</v>
      </c>
      <c r="M1432" s="84">
        <v>42750</v>
      </c>
      <c r="N1432" s="85">
        <f t="shared" si="415"/>
        <v>1062</v>
      </c>
      <c r="O1432" s="86">
        <f t="shared" si="416"/>
        <v>6339.32</v>
      </c>
      <c r="P1432" s="86">
        <f t="shared" si="417"/>
        <v>0</v>
      </c>
      <c r="Q1432" s="86">
        <f t="shared" si="418"/>
        <v>0</v>
      </c>
      <c r="R1432" s="86">
        <f t="shared" si="419"/>
        <v>0</v>
      </c>
      <c r="S1432" s="86">
        <f t="shared" si="420"/>
        <v>0</v>
      </c>
      <c r="T1432" s="86">
        <f t="shared" si="421"/>
        <v>6339.32</v>
      </c>
      <c r="U1432" s="87">
        <v>6339.32</v>
      </c>
    </row>
    <row r="1433" spans="1:21" s="30" customFormat="1" ht="24.6" hidden="1" outlineLevel="1" x14ac:dyDescent="0.55000000000000004">
      <c r="A1433" s="27" t="s">
        <v>327</v>
      </c>
      <c r="B1433" s="28"/>
      <c r="C1433" s="27"/>
      <c r="D1433" s="27" t="str">
        <f>"""NAV Direct"",""CRONUS JetCorp USA"",""21"",""1"",""332883"""</f>
        <v>"NAV Direct","CRONUS JetCorp USA","21","1","332883"</v>
      </c>
      <c r="E1433" s="31" t="str">
        <f t="shared" si="413"/>
        <v>C100051</v>
      </c>
      <c r="F1433" s="31"/>
      <c r="G1433" s="31"/>
      <c r="H1433" s="31"/>
      <c r="I1433" s="56"/>
      <c r="J1433" s="56"/>
      <c r="K1433" s="82" t="str">
        <f t="shared" si="414"/>
        <v>Invoice</v>
      </c>
      <c r="L1433" s="83" t="str">
        <f>"SI_110497"</f>
        <v>SI_110497</v>
      </c>
      <c r="M1433" s="84">
        <v>42772</v>
      </c>
      <c r="N1433" s="85">
        <f t="shared" si="415"/>
        <v>1040</v>
      </c>
      <c r="O1433" s="86">
        <f t="shared" si="416"/>
        <v>6471.41</v>
      </c>
      <c r="P1433" s="86">
        <f t="shared" si="417"/>
        <v>0</v>
      </c>
      <c r="Q1433" s="86">
        <f t="shared" si="418"/>
        <v>0</v>
      </c>
      <c r="R1433" s="86">
        <f t="shared" si="419"/>
        <v>0</v>
      </c>
      <c r="S1433" s="86">
        <f t="shared" si="420"/>
        <v>0</v>
      </c>
      <c r="T1433" s="86">
        <f t="shared" si="421"/>
        <v>6471.41</v>
      </c>
      <c r="U1433" s="87">
        <v>6471.41</v>
      </c>
    </row>
    <row r="1434" spans="1:21" s="30" customFormat="1" ht="24.6" hidden="1" outlineLevel="1" x14ac:dyDescent="0.55000000000000004">
      <c r="A1434" s="27" t="s">
        <v>327</v>
      </c>
      <c r="B1434" s="28"/>
      <c r="C1434" s="27"/>
      <c r="D1434" s="27" t="str">
        <f>"""NAV Direct"",""CRONUS JetCorp USA"",""21"",""1"",""333219"""</f>
        <v>"NAV Direct","CRONUS JetCorp USA","21","1","333219"</v>
      </c>
      <c r="E1434" s="31">
        <f t="shared" si="413"/>
        <v>0</v>
      </c>
      <c r="F1434" s="31"/>
      <c r="G1434" s="31"/>
      <c r="H1434" s="31"/>
      <c r="I1434" s="56"/>
      <c r="J1434" s="56"/>
      <c r="K1434" s="82" t="str">
        <f t="shared" si="414"/>
        <v>Invoice</v>
      </c>
      <c r="L1434" s="83" t="str">
        <f>"SI_110511"</f>
        <v>SI_110511</v>
      </c>
      <c r="M1434" s="84">
        <v>42987</v>
      </c>
      <c r="N1434" s="85">
        <f t="shared" si="415"/>
        <v>825</v>
      </c>
      <c r="O1434" s="86">
        <f t="shared" si="416"/>
        <v>5524.99</v>
      </c>
      <c r="P1434" s="86">
        <f t="shared" si="417"/>
        <v>0</v>
      </c>
      <c r="Q1434" s="86">
        <f t="shared" si="418"/>
        <v>0</v>
      </c>
      <c r="R1434" s="86">
        <f t="shared" si="419"/>
        <v>0</v>
      </c>
      <c r="S1434" s="86">
        <f t="shared" si="420"/>
        <v>0</v>
      </c>
      <c r="T1434" s="86">
        <f t="shared" si="421"/>
        <v>5524.99</v>
      </c>
      <c r="U1434" s="87">
        <v>5524.99</v>
      </c>
    </row>
    <row r="1435" spans="1:21" s="30" customFormat="1" ht="24.6" hidden="1" outlineLevel="1" x14ac:dyDescent="0.55000000000000004">
      <c r="A1435" s="27" t="s">
        <v>327</v>
      </c>
      <c r="B1435" s="28"/>
      <c r="C1435" s="27"/>
      <c r="D1435" s="27" t="str">
        <f>"""NAV Direct"",""CRONUS JetCorp USA"",""21"",""1"",""333314"""</f>
        <v>"NAV Direct","CRONUS JetCorp USA","21","1","333314"</v>
      </c>
      <c r="E1435" s="31" t="str">
        <f t="shared" si="413"/>
        <v>C100051</v>
      </c>
      <c r="F1435" s="31"/>
      <c r="G1435" s="31"/>
      <c r="H1435" s="31"/>
      <c r="I1435" s="56"/>
      <c r="J1435" s="56"/>
      <c r="K1435" s="82" t="str">
        <f t="shared" si="414"/>
        <v>Invoice</v>
      </c>
      <c r="L1435" s="83" t="str">
        <f>"SI_110516"</f>
        <v>SI_110516</v>
      </c>
      <c r="M1435" s="84">
        <v>43098</v>
      </c>
      <c r="N1435" s="85">
        <f t="shared" si="415"/>
        <v>714</v>
      </c>
      <c r="O1435" s="86">
        <f t="shared" si="416"/>
        <v>4900.2299999999996</v>
      </c>
      <c r="P1435" s="86">
        <f t="shared" si="417"/>
        <v>0</v>
      </c>
      <c r="Q1435" s="86">
        <f t="shared" si="418"/>
        <v>0</v>
      </c>
      <c r="R1435" s="86">
        <f t="shared" si="419"/>
        <v>0</v>
      </c>
      <c r="S1435" s="86">
        <f t="shared" si="420"/>
        <v>0</v>
      </c>
      <c r="T1435" s="86">
        <f t="shared" si="421"/>
        <v>4900.2299999999996</v>
      </c>
      <c r="U1435" s="87">
        <v>4900.2299999999996</v>
      </c>
    </row>
    <row r="1436" spans="1:21" s="30" customFormat="1" ht="24.6" hidden="1" outlineLevel="1" x14ac:dyDescent="0.55000000000000004">
      <c r="A1436" s="27" t="s">
        <v>327</v>
      </c>
      <c r="B1436" s="28"/>
      <c r="C1436" s="27"/>
      <c r="D1436" s="27" t="str">
        <f>"""NAV Direct"",""CRONUS JetCorp USA"",""21"",""1"",""333394"""</f>
        <v>"NAV Direct","CRONUS JetCorp USA","21","1","333394"</v>
      </c>
      <c r="E1436" s="31">
        <f t="shared" si="413"/>
        <v>0</v>
      </c>
      <c r="F1436" s="31"/>
      <c r="G1436" s="31"/>
      <c r="H1436" s="31"/>
      <c r="I1436" s="56"/>
      <c r="J1436" s="56"/>
      <c r="K1436" s="82" t="str">
        <f t="shared" si="414"/>
        <v>Invoice</v>
      </c>
      <c r="L1436" s="83" t="str">
        <f>"SI_110520"</f>
        <v>SI_110520</v>
      </c>
      <c r="M1436" s="84">
        <v>43166</v>
      </c>
      <c r="N1436" s="85">
        <f t="shared" si="415"/>
        <v>646</v>
      </c>
      <c r="O1436" s="86">
        <f t="shared" si="416"/>
        <v>4634.63</v>
      </c>
      <c r="P1436" s="86">
        <f t="shared" si="417"/>
        <v>0</v>
      </c>
      <c r="Q1436" s="86">
        <f t="shared" si="418"/>
        <v>0</v>
      </c>
      <c r="R1436" s="86">
        <f t="shared" si="419"/>
        <v>0</v>
      </c>
      <c r="S1436" s="86">
        <f t="shared" si="420"/>
        <v>0</v>
      </c>
      <c r="T1436" s="86">
        <f t="shared" si="421"/>
        <v>4634.63</v>
      </c>
      <c r="U1436" s="87">
        <v>4634.63</v>
      </c>
    </row>
    <row r="1437" spans="1:21" s="30" customFormat="1" ht="24.6" hidden="1" outlineLevel="1" x14ac:dyDescent="0.55000000000000004">
      <c r="A1437" s="27" t="s">
        <v>327</v>
      </c>
      <c r="B1437" s="28"/>
      <c r="C1437" s="27"/>
      <c r="D1437" s="27" t="str">
        <f>"""NAV Direct"",""CRONUS JetCorp USA"",""21"",""1"",""333434"""</f>
        <v>"NAV Direct","CRONUS JetCorp USA","21","1","333434"</v>
      </c>
      <c r="E1437" s="31" t="str">
        <f t="shared" si="413"/>
        <v>C100051</v>
      </c>
      <c r="F1437" s="31"/>
      <c r="G1437" s="31"/>
      <c r="H1437" s="31"/>
      <c r="I1437" s="56"/>
      <c r="J1437" s="56"/>
      <c r="K1437" s="82" t="str">
        <f t="shared" si="414"/>
        <v>Invoice</v>
      </c>
      <c r="L1437" s="83" t="str">
        <f>"SI_110522"</f>
        <v>SI_110522</v>
      </c>
      <c r="M1437" s="84">
        <v>43267</v>
      </c>
      <c r="N1437" s="85">
        <f t="shared" si="415"/>
        <v>545</v>
      </c>
      <c r="O1437" s="86">
        <f t="shared" si="416"/>
        <v>4793.8999999999996</v>
      </c>
      <c r="P1437" s="86">
        <f t="shared" si="417"/>
        <v>0</v>
      </c>
      <c r="Q1437" s="86">
        <f t="shared" si="418"/>
        <v>0</v>
      </c>
      <c r="R1437" s="86">
        <f t="shared" si="419"/>
        <v>0</v>
      </c>
      <c r="S1437" s="86">
        <f t="shared" si="420"/>
        <v>0</v>
      </c>
      <c r="T1437" s="86">
        <f t="shared" si="421"/>
        <v>4793.8999999999996</v>
      </c>
      <c r="U1437" s="87">
        <v>4793.8999999999996</v>
      </c>
    </row>
    <row r="1438" spans="1:21" s="30" customFormat="1" ht="24.6" hidden="1" outlineLevel="1" x14ac:dyDescent="0.55000000000000004">
      <c r="A1438" s="27" t="s">
        <v>327</v>
      </c>
      <c r="B1438" s="28"/>
      <c r="C1438" s="27"/>
      <c r="D1438" s="27" t="str">
        <f>"""NAV Direct"",""CRONUS JetCorp USA"",""21"",""1"",""334007"""</f>
        <v>"NAV Direct","CRONUS JetCorp USA","21","1","334007"</v>
      </c>
      <c r="E1438" s="31">
        <f t="shared" si="413"/>
        <v>0</v>
      </c>
      <c r="F1438" s="31"/>
      <c r="G1438" s="31"/>
      <c r="H1438" s="31"/>
      <c r="I1438" s="56"/>
      <c r="J1438" s="56"/>
      <c r="K1438" s="82" t="str">
        <f t="shared" si="414"/>
        <v>Invoice</v>
      </c>
      <c r="L1438" s="83" t="str">
        <f>"SI_110549"</f>
        <v>SI_110549</v>
      </c>
      <c r="M1438" s="84">
        <v>43715</v>
      </c>
      <c r="N1438" s="85">
        <f t="shared" si="415"/>
        <v>97</v>
      </c>
      <c r="O1438" s="86">
        <f t="shared" si="416"/>
        <v>6328.32</v>
      </c>
      <c r="P1438" s="86">
        <f t="shared" si="417"/>
        <v>0</v>
      </c>
      <c r="Q1438" s="86">
        <f t="shared" si="418"/>
        <v>0</v>
      </c>
      <c r="R1438" s="86">
        <f t="shared" si="419"/>
        <v>0</v>
      </c>
      <c r="S1438" s="86">
        <f t="shared" si="420"/>
        <v>0</v>
      </c>
      <c r="T1438" s="86">
        <f t="shared" si="421"/>
        <v>6328.32</v>
      </c>
      <c r="U1438" s="87">
        <v>6328.32</v>
      </c>
    </row>
    <row r="1439" spans="1:21" s="30" customFormat="1" ht="24.6" hidden="1" outlineLevel="1" x14ac:dyDescent="0.55000000000000004">
      <c r="A1439" s="27" t="s">
        <v>327</v>
      </c>
      <c r="B1439" s="28"/>
      <c r="C1439" s="27"/>
      <c r="D1439" s="27" t="str">
        <f>"""NAV Direct"",""CRONUS JetCorp USA"",""21"",""1"",""334070"""</f>
        <v>"NAV Direct","CRONUS JetCorp USA","21","1","334070"</v>
      </c>
      <c r="E1439" s="31" t="str">
        <f t="shared" si="413"/>
        <v>C100051</v>
      </c>
      <c r="F1439" s="31"/>
      <c r="G1439" s="31"/>
      <c r="H1439" s="31"/>
      <c r="I1439" s="56"/>
      <c r="J1439" s="56"/>
      <c r="K1439" s="82" t="str">
        <f t="shared" si="414"/>
        <v>Invoice</v>
      </c>
      <c r="L1439" s="83" t="str">
        <f>"SI_110552"</f>
        <v>SI_110552</v>
      </c>
      <c r="M1439" s="84">
        <v>43756</v>
      </c>
      <c r="N1439" s="85">
        <f t="shared" si="415"/>
        <v>56</v>
      </c>
      <c r="O1439" s="86">
        <f t="shared" si="416"/>
        <v>6623.54</v>
      </c>
      <c r="P1439" s="86">
        <f t="shared" si="417"/>
        <v>0</v>
      </c>
      <c r="Q1439" s="86">
        <f t="shared" si="418"/>
        <v>0</v>
      </c>
      <c r="R1439" s="86">
        <f t="shared" si="419"/>
        <v>6623.54</v>
      </c>
      <c r="S1439" s="86">
        <f t="shared" si="420"/>
        <v>0</v>
      </c>
      <c r="T1439" s="86">
        <f t="shared" si="421"/>
        <v>0</v>
      </c>
      <c r="U1439" s="87">
        <v>6623.54</v>
      </c>
    </row>
    <row r="1440" spans="1:21" s="30" customFormat="1" ht="24.6" hidden="1" outlineLevel="1" x14ac:dyDescent="0.55000000000000004">
      <c r="A1440" s="27" t="s">
        <v>327</v>
      </c>
      <c r="B1440" s="28"/>
      <c r="C1440" s="27"/>
      <c r="D1440" s="27" t="str">
        <f>"""NAV Direct"",""CRONUS JetCorp USA"",""21"",""1"",""334347"""</f>
        <v>"NAV Direct","CRONUS JetCorp USA","21","1","334347"</v>
      </c>
      <c r="E1440" s="31">
        <f t="shared" si="413"/>
        <v>0</v>
      </c>
      <c r="F1440" s="31"/>
      <c r="G1440" s="31"/>
      <c r="H1440" s="31"/>
      <c r="I1440" s="56"/>
      <c r="J1440" s="56"/>
      <c r="K1440" s="82" t="str">
        <f t="shared" si="414"/>
        <v>Invoice</v>
      </c>
      <c r="L1440" s="83" t="str">
        <f>"SI_110565"</f>
        <v>SI_110565</v>
      </c>
      <c r="M1440" s="84">
        <v>42091</v>
      </c>
      <c r="N1440" s="85">
        <f t="shared" si="415"/>
        <v>1721</v>
      </c>
      <c r="O1440" s="86">
        <f t="shared" si="416"/>
        <v>6911.1699999999992</v>
      </c>
      <c r="P1440" s="86">
        <f t="shared" si="417"/>
        <v>0</v>
      </c>
      <c r="Q1440" s="86">
        <f t="shared" si="418"/>
        <v>0</v>
      </c>
      <c r="R1440" s="86">
        <f t="shared" si="419"/>
        <v>0</v>
      </c>
      <c r="S1440" s="86">
        <f t="shared" si="420"/>
        <v>0</v>
      </c>
      <c r="T1440" s="86">
        <f t="shared" si="421"/>
        <v>6911.1699999999992</v>
      </c>
      <c r="U1440" s="87">
        <v>6911.1699999999992</v>
      </c>
    </row>
    <row r="1441" spans="1:22" s="30" customFormat="1" ht="24.6" hidden="1" outlineLevel="1" x14ac:dyDescent="0.55000000000000004">
      <c r="A1441" s="27" t="s">
        <v>327</v>
      </c>
      <c r="B1441" s="28"/>
      <c r="C1441" s="27"/>
      <c r="D1441" s="27" t="str">
        <f>"""NAV Direct"",""CRONUS JetCorp USA"",""21"",""1"",""334512"""</f>
        <v>"NAV Direct","CRONUS JetCorp USA","21","1","334512"</v>
      </c>
      <c r="E1441" s="31" t="str">
        <f t="shared" si="413"/>
        <v>C100051</v>
      </c>
      <c r="F1441" s="31"/>
      <c r="G1441" s="31"/>
      <c r="H1441" s="31"/>
      <c r="I1441" s="56"/>
      <c r="J1441" s="56"/>
      <c r="K1441" s="82" t="str">
        <f t="shared" si="414"/>
        <v>Invoice</v>
      </c>
      <c r="L1441" s="83" t="str">
        <f>"SI_110572"</f>
        <v>SI_110572</v>
      </c>
      <c r="M1441" s="84">
        <v>42175</v>
      </c>
      <c r="N1441" s="85">
        <f t="shared" si="415"/>
        <v>1637</v>
      </c>
      <c r="O1441" s="86">
        <f t="shared" si="416"/>
        <v>7501.85</v>
      </c>
      <c r="P1441" s="86">
        <f t="shared" si="417"/>
        <v>0</v>
      </c>
      <c r="Q1441" s="86">
        <f t="shared" si="418"/>
        <v>0</v>
      </c>
      <c r="R1441" s="86">
        <f t="shared" si="419"/>
        <v>0</v>
      </c>
      <c r="S1441" s="86">
        <f t="shared" si="420"/>
        <v>0</v>
      </c>
      <c r="T1441" s="86">
        <f t="shared" si="421"/>
        <v>7501.85</v>
      </c>
      <c r="U1441" s="87">
        <v>7501.85</v>
      </c>
    </row>
    <row r="1442" spans="1:22" s="30" customFormat="1" ht="24.6" hidden="1" outlineLevel="1" x14ac:dyDescent="0.55000000000000004">
      <c r="A1442" s="27" t="s">
        <v>327</v>
      </c>
      <c r="B1442" s="28"/>
      <c r="C1442" s="27"/>
      <c r="D1442" s="27" t="str">
        <f>"""NAV Direct"",""CRONUS JetCorp USA"",""21"",""1"",""334673"""</f>
        <v>"NAV Direct","CRONUS JetCorp USA","21","1","334673"</v>
      </c>
      <c r="E1442" s="31">
        <f t="shared" si="413"/>
        <v>0</v>
      </c>
      <c r="F1442" s="31"/>
      <c r="G1442" s="31"/>
      <c r="H1442" s="31"/>
      <c r="I1442" s="56"/>
      <c r="J1442" s="56"/>
      <c r="K1442" s="82" t="str">
        <f t="shared" si="414"/>
        <v>Invoice</v>
      </c>
      <c r="L1442" s="83" t="str">
        <f>"SI_110579"</f>
        <v>SI_110579</v>
      </c>
      <c r="M1442" s="84">
        <v>42245</v>
      </c>
      <c r="N1442" s="85">
        <f t="shared" si="415"/>
        <v>1567</v>
      </c>
      <c r="O1442" s="86">
        <f t="shared" si="416"/>
        <v>7985.4100000000008</v>
      </c>
      <c r="P1442" s="86">
        <f t="shared" si="417"/>
        <v>0</v>
      </c>
      <c r="Q1442" s="86">
        <f t="shared" si="418"/>
        <v>0</v>
      </c>
      <c r="R1442" s="86">
        <f t="shared" si="419"/>
        <v>0</v>
      </c>
      <c r="S1442" s="86">
        <f t="shared" si="420"/>
        <v>0</v>
      </c>
      <c r="T1442" s="86">
        <f t="shared" si="421"/>
        <v>7985.4100000000008</v>
      </c>
      <c r="U1442" s="87">
        <v>7985.4100000000008</v>
      </c>
    </row>
    <row r="1443" spans="1:22" s="30" customFormat="1" ht="24.6" hidden="1" outlineLevel="1" x14ac:dyDescent="0.55000000000000004">
      <c r="A1443" s="27" t="s">
        <v>327</v>
      </c>
      <c r="B1443" s="28"/>
      <c r="C1443" s="27"/>
      <c r="D1443" s="27" t="str">
        <f>"""NAV Direct"",""CRONUS JetCorp USA"",""21"",""1"",""433216"""</f>
        <v>"NAV Direct","CRONUS JetCorp USA","21","1","433216"</v>
      </c>
      <c r="E1443" s="31" t="str">
        <f t="shared" si="413"/>
        <v>C100051</v>
      </c>
      <c r="F1443" s="31"/>
      <c r="G1443" s="31"/>
      <c r="H1443" s="31"/>
      <c r="I1443" s="56"/>
      <c r="J1443" s="56"/>
      <c r="K1443" s="82" t="str">
        <f>"Credit Memo"</f>
        <v>Credit Memo</v>
      </c>
      <c r="L1443" s="83" t="str">
        <f>"SC_100472"</f>
        <v>SC_100472</v>
      </c>
      <c r="M1443" s="84">
        <v>43080</v>
      </c>
      <c r="N1443" s="85">
        <f t="shared" si="415"/>
        <v>732</v>
      </c>
      <c r="O1443" s="86">
        <f t="shared" si="416"/>
        <v>-48.449999999999996</v>
      </c>
      <c r="P1443" s="86">
        <f t="shared" si="417"/>
        <v>0</v>
      </c>
      <c r="Q1443" s="86">
        <f t="shared" si="418"/>
        <v>0</v>
      </c>
      <c r="R1443" s="86">
        <f t="shared" si="419"/>
        <v>0</v>
      </c>
      <c r="S1443" s="86">
        <f t="shared" si="420"/>
        <v>0</v>
      </c>
      <c r="T1443" s="86">
        <f t="shared" si="421"/>
        <v>-48.449999999999996</v>
      </c>
      <c r="U1443" s="87">
        <v>-48.449999999999996</v>
      </c>
    </row>
    <row r="1444" spans="1:22" s="30" customFormat="1" ht="24.6" hidden="1" outlineLevel="1" x14ac:dyDescent="0.55000000000000004">
      <c r="A1444" s="27" t="s">
        <v>327</v>
      </c>
      <c r="B1444" s="28"/>
      <c r="C1444" s="27"/>
      <c r="D1444" s="27" t="str">
        <f>"""NAV Direct"",""CRONUS JetCorp USA"",""21"",""1"",""433257"""</f>
        <v>"NAV Direct","CRONUS JetCorp USA","21","1","433257"</v>
      </c>
      <c r="E1444" s="31">
        <f t="shared" si="413"/>
        <v>0</v>
      </c>
      <c r="F1444" s="31"/>
      <c r="G1444" s="31"/>
      <c r="H1444" s="31"/>
      <c r="I1444" s="56"/>
      <c r="J1444" s="56"/>
      <c r="K1444" s="82" t="str">
        <f>"Credit Memo"</f>
        <v>Credit Memo</v>
      </c>
      <c r="L1444" s="83" t="str">
        <f>"SC_100475"</f>
        <v>SC_100475</v>
      </c>
      <c r="M1444" s="84">
        <v>43211</v>
      </c>
      <c r="N1444" s="85">
        <f t="shared" si="415"/>
        <v>601</v>
      </c>
      <c r="O1444" s="86">
        <f t="shared" si="416"/>
        <v>-46.37</v>
      </c>
      <c r="P1444" s="86">
        <f t="shared" si="417"/>
        <v>0</v>
      </c>
      <c r="Q1444" s="86">
        <f t="shared" si="418"/>
        <v>0</v>
      </c>
      <c r="R1444" s="86">
        <f t="shared" si="419"/>
        <v>0</v>
      </c>
      <c r="S1444" s="86">
        <f t="shared" si="420"/>
        <v>0</v>
      </c>
      <c r="T1444" s="86">
        <f t="shared" si="421"/>
        <v>-46.37</v>
      </c>
      <c r="U1444" s="87">
        <v>-46.37</v>
      </c>
    </row>
    <row r="1445" spans="1:22" s="30" customFormat="1" ht="24.6" hidden="1" outlineLevel="1" x14ac:dyDescent="0.55000000000000004">
      <c r="A1445" s="27" t="s">
        <v>327</v>
      </c>
      <c r="B1445" s="28"/>
      <c r="C1445" s="27"/>
      <c r="D1445" s="27" t="str">
        <f>"""NAV Direct"",""CRONUS JetCorp USA"",""21"",""1"",""433298"""</f>
        <v>"NAV Direct","CRONUS JetCorp USA","21","1","433298"</v>
      </c>
      <c r="E1445" s="31" t="str">
        <f t="shared" si="413"/>
        <v>C100051</v>
      </c>
      <c r="F1445" s="31"/>
      <c r="G1445" s="31"/>
      <c r="H1445" s="31"/>
      <c r="I1445" s="56"/>
      <c r="J1445" s="56"/>
      <c r="K1445" s="82" t="str">
        <f>"Credit Memo"</f>
        <v>Credit Memo</v>
      </c>
      <c r="L1445" s="83" t="str">
        <f>"SC_100478"</f>
        <v>SC_100478</v>
      </c>
      <c r="M1445" s="84">
        <v>43334</v>
      </c>
      <c r="N1445" s="85">
        <f t="shared" si="415"/>
        <v>478</v>
      </c>
      <c r="O1445" s="86">
        <f t="shared" si="416"/>
        <v>-47.150000000000006</v>
      </c>
      <c r="P1445" s="86">
        <f t="shared" si="417"/>
        <v>0</v>
      </c>
      <c r="Q1445" s="86">
        <f t="shared" si="418"/>
        <v>0</v>
      </c>
      <c r="R1445" s="86">
        <f t="shared" si="419"/>
        <v>0</v>
      </c>
      <c r="S1445" s="86">
        <f t="shared" si="420"/>
        <v>0</v>
      </c>
      <c r="T1445" s="86">
        <f t="shared" si="421"/>
        <v>-47.150000000000006</v>
      </c>
      <c r="U1445" s="87">
        <v>-47.150000000000006</v>
      </c>
    </row>
    <row r="1446" spans="1:22" s="30" customFormat="1" ht="24.6" hidden="1" outlineLevel="1" x14ac:dyDescent="0.55000000000000004">
      <c r="A1446" s="27" t="s">
        <v>327</v>
      </c>
      <c r="B1446" s="28"/>
      <c r="C1446" s="27"/>
      <c r="D1446" s="27" t="str">
        <f>"""NAV Direct"",""CRONUS JetCorp USA"",""21"",""1"",""433335"""</f>
        <v>"NAV Direct","CRONUS JetCorp USA","21","1","433335"</v>
      </c>
      <c r="E1446" s="31">
        <f t="shared" si="413"/>
        <v>0</v>
      </c>
      <c r="F1446" s="31"/>
      <c r="G1446" s="31"/>
      <c r="H1446" s="31"/>
      <c r="I1446" s="56"/>
      <c r="J1446" s="56"/>
      <c r="K1446" s="82" t="str">
        <f>"Credit Memo"</f>
        <v>Credit Memo</v>
      </c>
      <c r="L1446" s="83" t="str">
        <f>"SC_100481"</f>
        <v>SC_100481</v>
      </c>
      <c r="M1446" s="84">
        <v>43397</v>
      </c>
      <c r="N1446" s="85">
        <f t="shared" si="415"/>
        <v>415</v>
      </c>
      <c r="O1446" s="86">
        <f t="shared" si="416"/>
        <v>-47.76</v>
      </c>
      <c r="P1446" s="86">
        <f t="shared" si="417"/>
        <v>0</v>
      </c>
      <c r="Q1446" s="86">
        <f t="shared" si="418"/>
        <v>0</v>
      </c>
      <c r="R1446" s="86">
        <f t="shared" si="419"/>
        <v>0</v>
      </c>
      <c r="S1446" s="86">
        <f t="shared" si="420"/>
        <v>0</v>
      </c>
      <c r="T1446" s="86">
        <f t="shared" si="421"/>
        <v>-47.76</v>
      </c>
      <c r="U1446" s="87">
        <v>-47.76</v>
      </c>
    </row>
    <row r="1447" spans="1:22" s="30" customFormat="1" ht="24.6" hidden="1" outlineLevel="1" x14ac:dyDescent="0.55000000000000004">
      <c r="A1447" s="27" t="s">
        <v>327</v>
      </c>
      <c r="B1447" s="28"/>
      <c r="C1447" s="27"/>
      <c r="D1447" s="27" t="str">
        <f>"""NAV Direct"",""CRONUS JetCorp USA"",""21"",""1"",""433442"""</f>
        <v>"NAV Direct","CRONUS JetCorp USA","21","1","433442"</v>
      </c>
      <c r="E1447" s="31" t="str">
        <f t="shared" si="413"/>
        <v>C100051</v>
      </c>
      <c r="F1447" s="31"/>
      <c r="G1447" s="31"/>
      <c r="H1447" s="31"/>
      <c r="I1447" s="56"/>
      <c r="J1447" s="56"/>
      <c r="K1447" s="82" t="str">
        <f>"Credit Memo"</f>
        <v>Credit Memo</v>
      </c>
      <c r="L1447" s="83" t="str">
        <f>"SC_100488"</f>
        <v>SC_100488</v>
      </c>
      <c r="M1447" s="84">
        <v>43718</v>
      </c>
      <c r="N1447" s="85">
        <f t="shared" si="415"/>
        <v>94</v>
      </c>
      <c r="O1447" s="86">
        <f t="shared" si="416"/>
        <v>-65.38</v>
      </c>
      <c r="P1447" s="86">
        <f t="shared" si="417"/>
        <v>0</v>
      </c>
      <c r="Q1447" s="86">
        <f t="shared" si="418"/>
        <v>0</v>
      </c>
      <c r="R1447" s="86">
        <f t="shared" si="419"/>
        <v>0</v>
      </c>
      <c r="S1447" s="86">
        <f t="shared" si="420"/>
        <v>0</v>
      </c>
      <c r="T1447" s="86">
        <f t="shared" si="421"/>
        <v>-65.38</v>
      </c>
      <c r="U1447" s="87">
        <v>-65.38</v>
      </c>
    </row>
    <row r="1448" spans="1:22" s="22" customFormat="1" ht="20.399999999999999" collapsed="1" x14ac:dyDescent="0.45">
      <c r="A1448" s="12" t="s">
        <v>327</v>
      </c>
      <c r="B1448" s="19"/>
      <c r="C1448" s="12"/>
      <c r="D1448" s="12"/>
      <c r="E1448" s="23"/>
      <c r="F1448" s="23"/>
      <c r="G1448" s="23"/>
      <c r="H1448" s="23"/>
      <c r="I1448" s="49"/>
      <c r="J1448" s="88"/>
      <c r="K1448" s="88"/>
      <c r="L1448" s="89"/>
      <c r="M1448" s="89"/>
      <c r="N1448" s="89"/>
      <c r="O1448" s="89"/>
      <c r="P1448" s="89"/>
      <c r="Q1448" s="90"/>
      <c r="R1448" s="90"/>
      <c r="S1448" s="91"/>
      <c r="T1448" s="92"/>
      <c r="U1448" s="92"/>
    </row>
    <row r="1449" spans="1:22" s="22" customFormat="1" ht="20.399999999999999" x14ac:dyDescent="0.45">
      <c r="A1449" s="12" t="s">
        <v>327</v>
      </c>
      <c r="B1449" s="19"/>
      <c r="C1449" s="12"/>
      <c r="D1449" s="12"/>
      <c r="E1449" s="23"/>
      <c r="F1449" s="23"/>
      <c r="G1449" s="23"/>
      <c r="H1449" s="23"/>
      <c r="I1449" s="49"/>
      <c r="J1449" s="88"/>
      <c r="K1449" s="88"/>
      <c r="L1449" s="89"/>
      <c r="M1449" s="89"/>
      <c r="N1449" s="89"/>
      <c r="O1449" s="89"/>
      <c r="P1449" s="89"/>
      <c r="Q1449" s="90"/>
      <c r="R1449" s="90"/>
      <c r="S1449" s="91"/>
      <c r="T1449" s="92"/>
      <c r="U1449" s="92"/>
    </row>
    <row r="1450" spans="1:22" s="26" customFormat="1" ht="24.6" x14ac:dyDescent="0.55000000000000004">
      <c r="A1450" s="27" t="s">
        <v>327</v>
      </c>
      <c r="B1450" s="28"/>
      <c r="C1450" s="27" t="str">
        <f>"""NAV Direct"",""CRONUS JetCorp USA"",""18"",""1"",""C100052"""</f>
        <v>"NAV Direct","CRONUS JetCorp USA","18","1","C100052"</v>
      </c>
      <c r="D1450" s="27"/>
      <c r="E1450" s="28" t="str">
        <f>H1450</f>
        <v>C100052</v>
      </c>
      <c r="F1450" s="28"/>
      <c r="G1450" s="28"/>
      <c r="H1450" s="28" t="str">
        <f>"C100052"</f>
        <v>C100052</v>
      </c>
      <c r="I1450" s="116" t="str">
        <f>"C100052  -  Livre Importants"</f>
        <v>C100052  -  Livre Importants</v>
      </c>
      <c r="J1450" s="117" t="str">
        <f>""</f>
        <v/>
      </c>
      <c r="K1450" s="118"/>
      <c r="L1450" s="119">
        <f>SUBTOTAL(3,L1451:L1473)</f>
        <v>19</v>
      </c>
      <c r="M1450" s="118"/>
      <c r="N1450" s="118"/>
      <c r="O1450" s="120">
        <f t="shared" ref="O1450:T1450" si="422">SUBTOTAL(9,O1451:O1473)</f>
        <v>149060.76</v>
      </c>
      <c r="P1450" s="120">
        <f t="shared" si="422"/>
        <v>0</v>
      </c>
      <c r="Q1450" s="120">
        <f t="shared" si="422"/>
        <v>0</v>
      </c>
      <c r="R1450" s="120">
        <f t="shared" si="422"/>
        <v>0</v>
      </c>
      <c r="S1450" s="120">
        <f t="shared" si="422"/>
        <v>0</v>
      </c>
      <c r="T1450" s="120">
        <f t="shared" si="422"/>
        <v>149060.76</v>
      </c>
      <c r="U1450" s="81"/>
    </row>
    <row r="1451" spans="1:22" s="26" customFormat="1" ht="24.6" x14ac:dyDescent="0.55000000000000004">
      <c r="A1451" s="27" t="s">
        <v>327</v>
      </c>
      <c r="B1451" s="28"/>
      <c r="C1451" s="27" t="str">
        <f>C1450</f>
        <v>"NAV Direct","CRONUS JetCorp USA","18","1","C100052"</v>
      </c>
      <c r="D1451" s="27"/>
      <c r="E1451" s="28" t="str">
        <f>E1450</f>
        <v>C100052</v>
      </c>
      <c r="F1451" s="28"/>
      <c r="G1451" s="28"/>
      <c r="H1451" s="28"/>
      <c r="I1451" s="121" t="str">
        <f>"Contact: M. Lionel PENUCHOT"</f>
        <v>Contact: M. Lionel PENUCHOT</v>
      </c>
      <c r="J1451" s="121"/>
      <c r="K1451" s="122"/>
      <c r="L1451" s="123"/>
      <c r="M1451" s="123"/>
      <c r="N1451" s="124"/>
      <c r="O1451" s="124"/>
      <c r="P1451" s="123"/>
      <c r="Q1451" s="125"/>
      <c r="R1451" s="126"/>
      <c r="S1451" s="126"/>
      <c r="T1451" s="125"/>
      <c r="U1451" s="81"/>
    </row>
    <row r="1452" spans="1:22" s="26" customFormat="1" ht="24.6" x14ac:dyDescent="0.55000000000000004">
      <c r="A1452" s="27" t="s">
        <v>327</v>
      </c>
      <c r="B1452" s="28"/>
      <c r="C1452" s="27" t="str">
        <f>C1451</f>
        <v>"NAV Direct","CRONUS JetCorp USA","18","1","C100052"</v>
      </c>
      <c r="D1452" s="27"/>
      <c r="E1452" s="28" t="str">
        <f>E1451</f>
        <v>C100052</v>
      </c>
      <c r="F1452" s="28"/>
      <c r="G1452" s="28"/>
      <c r="H1452" s="28"/>
      <c r="I1452" s="121" t="str">
        <f>"livre.importants@cronuscorp.net"</f>
        <v>livre.importants@cronuscorp.net</v>
      </c>
      <c r="J1452" s="121"/>
      <c r="K1452" s="122"/>
      <c r="L1452" s="124"/>
      <c r="M1452" s="124"/>
      <c r="N1452" s="124"/>
      <c r="O1452" s="124"/>
      <c r="P1452" s="123"/>
      <c r="Q1452" s="125"/>
      <c r="R1452" s="126"/>
      <c r="S1452" s="126"/>
      <c r="T1452" s="125"/>
      <c r="U1452" s="81"/>
    </row>
    <row r="1453" spans="1:22" ht="12.75" hidden="1" customHeight="1" outlineLevel="1" x14ac:dyDescent="0.45">
      <c r="A1453" s="12" t="s">
        <v>328</v>
      </c>
      <c r="B1453" s="19"/>
      <c r="E1453" s="19"/>
      <c r="F1453" s="19"/>
      <c r="G1453" s="19"/>
      <c r="H1453" s="19"/>
      <c r="I1453" s="61"/>
      <c r="J1453" s="61"/>
      <c r="K1453" s="61"/>
      <c r="L1453" s="61"/>
      <c r="M1453" s="61"/>
      <c r="N1453" s="61"/>
      <c r="O1453" s="61"/>
      <c r="P1453" s="61"/>
      <c r="Q1453" s="61"/>
      <c r="R1453" s="61"/>
      <c r="S1453" s="61"/>
      <c r="T1453" s="61"/>
      <c r="U1453" s="61"/>
      <c r="V1453" s="21"/>
    </row>
    <row r="1454" spans="1:22" s="30" customFormat="1" ht="24.6" hidden="1" outlineLevel="1" x14ac:dyDescent="0.55000000000000004">
      <c r="A1454" s="27" t="s">
        <v>327</v>
      </c>
      <c r="B1454" s="28"/>
      <c r="C1454" s="27"/>
      <c r="D1454" s="27" t="str">
        <f>"""NAV Direct"",""CRONUS JetCorp USA"",""21"",""1"",""101721"""</f>
        <v>"NAV Direct","CRONUS JetCorp USA","21","1","101721"</v>
      </c>
      <c r="E1454" s="31" t="str">
        <f t="shared" ref="E1454:E1472" si="423">E1452</f>
        <v>C100052</v>
      </c>
      <c r="F1454" s="31"/>
      <c r="G1454" s="31"/>
      <c r="H1454" s="31"/>
      <c r="I1454" s="56"/>
      <c r="J1454" s="56"/>
      <c r="K1454" s="82" t="str">
        <f t="shared" ref="K1454:K1466" si="424">"Invoice"</f>
        <v>Invoice</v>
      </c>
      <c r="L1454" s="83" t="str">
        <f>"SI_106591"</f>
        <v>SI_106591</v>
      </c>
      <c r="M1454" s="84">
        <v>42063</v>
      </c>
      <c r="N1454" s="85">
        <f t="shared" ref="N1454:N1472" si="425">StartDate-$M1454+1</f>
        <v>1749</v>
      </c>
      <c r="O1454" s="86">
        <f t="shared" ref="O1454:O1472" si="426">SUM(P1454:T1454)</f>
        <v>13780.630000000001</v>
      </c>
      <c r="P1454" s="86">
        <f t="shared" ref="P1454:P1472" si="427">IF($M1454&gt;=$P$18,U1454,0)</f>
        <v>0</v>
      </c>
      <c r="Q1454" s="86">
        <f t="shared" ref="Q1454:Q1472" si="428">IF(AND($M1454&gt;=$Q$16,$M1454&lt;=$Q$18),U1454,0)</f>
        <v>0</v>
      </c>
      <c r="R1454" s="86">
        <f t="shared" ref="R1454:R1472" si="429">IF(AND($M1454&gt;=$R$16,$M1454&lt;=$R$18),U1454,0)</f>
        <v>0</v>
      </c>
      <c r="S1454" s="86">
        <f t="shared" ref="S1454:S1472" si="430">IF(AND($M1454&gt;=$S$16,$M1454&lt;=$S$18),U1454,0)</f>
        <v>0</v>
      </c>
      <c r="T1454" s="86">
        <f t="shared" ref="T1454:T1472" si="431">IF($M1454&lt;=$T$18,U1454,0)</f>
        <v>13780.630000000001</v>
      </c>
      <c r="U1454" s="87">
        <v>13780.630000000001</v>
      </c>
    </row>
    <row r="1455" spans="1:22" s="30" customFormat="1" ht="24.6" hidden="1" outlineLevel="1" x14ac:dyDescent="0.55000000000000004">
      <c r="A1455" s="27" t="s">
        <v>327</v>
      </c>
      <c r="B1455" s="28"/>
      <c r="C1455" s="27"/>
      <c r="D1455" s="27" t="str">
        <f>"""NAV Direct"",""CRONUS JetCorp USA"",""21"",""1"",""102055"""</f>
        <v>"NAV Direct","CRONUS JetCorp USA","21","1","102055"</v>
      </c>
      <c r="E1455" s="31">
        <f t="shared" si="423"/>
        <v>0</v>
      </c>
      <c r="F1455" s="31"/>
      <c r="G1455" s="31"/>
      <c r="H1455" s="31"/>
      <c r="I1455" s="56"/>
      <c r="J1455" s="56"/>
      <c r="K1455" s="82" t="str">
        <f t="shared" si="424"/>
        <v>Invoice</v>
      </c>
      <c r="L1455" s="83" t="str">
        <f>"SI_106601"</f>
        <v>SI_106601</v>
      </c>
      <c r="M1455" s="84">
        <v>42216</v>
      </c>
      <c r="N1455" s="85">
        <f t="shared" si="425"/>
        <v>1596</v>
      </c>
      <c r="O1455" s="86">
        <f t="shared" si="426"/>
        <v>11847.52</v>
      </c>
      <c r="P1455" s="86">
        <f t="shared" si="427"/>
        <v>0</v>
      </c>
      <c r="Q1455" s="86">
        <f t="shared" si="428"/>
        <v>0</v>
      </c>
      <c r="R1455" s="86">
        <f t="shared" si="429"/>
        <v>0</v>
      </c>
      <c r="S1455" s="86">
        <f t="shared" si="430"/>
        <v>0</v>
      </c>
      <c r="T1455" s="86">
        <f t="shared" si="431"/>
        <v>11847.52</v>
      </c>
      <c r="U1455" s="87">
        <v>11847.52</v>
      </c>
    </row>
    <row r="1456" spans="1:22" s="30" customFormat="1" ht="24.6" hidden="1" outlineLevel="1" x14ac:dyDescent="0.55000000000000004">
      <c r="A1456" s="27" t="s">
        <v>327</v>
      </c>
      <c r="B1456" s="28"/>
      <c r="C1456" s="27"/>
      <c r="D1456" s="27" t="str">
        <f>"""NAV Direct"",""CRONUS JetCorp USA"",""21"",""1"",""102136"""</f>
        <v>"NAV Direct","CRONUS JetCorp USA","21","1","102136"</v>
      </c>
      <c r="E1456" s="31" t="str">
        <f t="shared" si="423"/>
        <v>C100052</v>
      </c>
      <c r="F1456" s="31"/>
      <c r="G1456" s="31"/>
      <c r="H1456" s="31"/>
      <c r="I1456" s="56"/>
      <c r="J1456" s="56"/>
      <c r="K1456" s="82" t="str">
        <f t="shared" si="424"/>
        <v>Invoice</v>
      </c>
      <c r="L1456" s="83" t="str">
        <f>"SI_106604"</f>
        <v>SI_106604</v>
      </c>
      <c r="M1456" s="84">
        <v>42277</v>
      </c>
      <c r="N1456" s="85">
        <f t="shared" si="425"/>
        <v>1535</v>
      </c>
      <c r="O1456" s="86">
        <f t="shared" si="426"/>
        <v>9852.7199999999993</v>
      </c>
      <c r="P1456" s="86">
        <f t="shared" si="427"/>
        <v>0</v>
      </c>
      <c r="Q1456" s="86">
        <f t="shared" si="428"/>
        <v>0</v>
      </c>
      <c r="R1456" s="86">
        <f t="shared" si="429"/>
        <v>0</v>
      </c>
      <c r="S1456" s="86">
        <f t="shared" si="430"/>
        <v>0</v>
      </c>
      <c r="T1456" s="86">
        <f t="shared" si="431"/>
        <v>9852.7199999999993</v>
      </c>
      <c r="U1456" s="87">
        <v>9852.7199999999993</v>
      </c>
    </row>
    <row r="1457" spans="1:21" s="30" customFormat="1" ht="24.6" hidden="1" outlineLevel="1" x14ac:dyDescent="0.55000000000000004">
      <c r="A1457" s="27" t="s">
        <v>327</v>
      </c>
      <c r="B1457" s="28"/>
      <c r="C1457" s="27"/>
      <c r="D1457" s="27" t="str">
        <f>"""NAV Direct"",""CRONUS JetCorp USA"",""21"",""1"",""102171"""</f>
        <v>"NAV Direct","CRONUS JetCorp USA","21","1","102171"</v>
      </c>
      <c r="E1457" s="31">
        <f t="shared" si="423"/>
        <v>0</v>
      </c>
      <c r="F1457" s="31"/>
      <c r="G1457" s="31"/>
      <c r="H1457" s="31"/>
      <c r="I1457" s="56"/>
      <c r="J1457" s="56"/>
      <c r="K1457" s="82" t="str">
        <f t="shared" si="424"/>
        <v>Invoice</v>
      </c>
      <c r="L1457" s="83" t="str">
        <f>"SI_106605"</f>
        <v>SI_106605</v>
      </c>
      <c r="M1457" s="84">
        <v>42277</v>
      </c>
      <c r="N1457" s="85">
        <f t="shared" si="425"/>
        <v>1535</v>
      </c>
      <c r="O1457" s="86">
        <f t="shared" si="426"/>
        <v>9852.5299999999988</v>
      </c>
      <c r="P1457" s="86">
        <f t="shared" si="427"/>
        <v>0</v>
      </c>
      <c r="Q1457" s="86">
        <f t="shared" si="428"/>
        <v>0</v>
      </c>
      <c r="R1457" s="86">
        <f t="shared" si="429"/>
        <v>0</v>
      </c>
      <c r="S1457" s="86">
        <f t="shared" si="430"/>
        <v>0</v>
      </c>
      <c r="T1457" s="86">
        <f t="shared" si="431"/>
        <v>9852.5299999999988</v>
      </c>
      <c r="U1457" s="87">
        <v>9852.5299999999988</v>
      </c>
    </row>
    <row r="1458" spans="1:21" s="30" customFormat="1" ht="24.6" hidden="1" outlineLevel="1" x14ac:dyDescent="0.55000000000000004">
      <c r="A1458" s="27" t="s">
        <v>327</v>
      </c>
      <c r="B1458" s="28"/>
      <c r="C1458" s="27"/>
      <c r="D1458" s="27" t="str">
        <f>"""NAV Direct"",""CRONUS JetCorp USA"",""21"",""1"",""102367"""</f>
        <v>"NAV Direct","CRONUS JetCorp USA","21","1","102367"</v>
      </c>
      <c r="E1458" s="31" t="str">
        <f t="shared" si="423"/>
        <v>C100052</v>
      </c>
      <c r="F1458" s="31"/>
      <c r="G1458" s="31"/>
      <c r="H1458" s="31"/>
      <c r="I1458" s="56"/>
      <c r="J1458" s="56"/>
      <c r="K1458" s="82" t="str">
        <f t="shared" si="424"/>
        <v>Invoice</v>
      </c>
      <c r="L1458" s="83" t="str">
        <f>"SI_106611"</f>
        <v>SI_106611</v>
      </c>
      <c r="M1458" s="84">
        <v>42369</v>
      </c>
      <c r="N1458" s="85">
        <f t="shared" si="425"/>
        <v>1443</v>
      </c>
      <c r="O1458" s="86">
        <f t="shared" si="426"/>
        <v>15312.07</v>
      </c>
      <c r="P1458" s="86">
        <f t="shared" si="427"/>
        <v>0</v>
      </c>
      <c r="Q1458" s="86">
        <f t="shared" si="428"/>
        <v>0</v>
      </c>
      <c r="R1458" s="86">
        <f t="shared" si="429"/>
        <v>0</v>
      </c>
      <c r="S1458" s="86">
        <f t="shared" si="430"/>
        <v>0</v>
      </c>
      <c r="T1458" s="86">
        <f t="shared" si="431"/>
        <v>15312.07</v>
      </c>
      <c r="U1458" s="87">
        <v>15312.07</v>
      </c>
    </row>
    <row r="1459" spans="1:21" s="30" customFormat="1" ht="24.6" hidden="1" outlineLevel="1" x14ac:dyDescent="0.55000000000000004">
      <c r="A1459" s="27" t="s">
        <v>327</v>
      </c>
      <c r="B1459" s="28"/>
      <c r="C1459" s="27"/>
      <c r="D1459" s="27" t="str">
        <f>"""NAV Direct"",""CRONUS JetCorp USA"",""21"",""1"",""381120"""</f>
        <v>"NAV Direct","CRONUS JetCorp USA","21","1","381120"</v>
      </c>
      <c r="E1459" s="31">
        <f t="shared" si="423"/>
        <v>0</v>
      </c>
      <c r="F1459" s="31"/>
      <c r="G1459" s="31"/>
      <c r="H1459" s="31"/>
      <c r="I1459" s="56"/>
      <c r="J1459" s="56"/>
      <c r="K1459" s="82" t="str">
        <f t="shared" si="424"/>
        <v>Invoice</v>
      </c>
      <c r="L1459" s="83" t="str">
        <f>"SI_111842"</f>
        <v>SI_111842</v>
      </c>
      <c r="M1459" s="84">
        <v>42735</v>
      </c>
      <c r="N1459" s="85">
        <f t="shared" si="425"/>
        <v>1077</v>
      </c>
      <c r="O1459" s="86">
        <f t="shared" si="426"/>
        <v>11320.210000000001</v>
      </c>
      <c r="P1459" s="86">
        <f t="shared" si="427"/>
        <v>0</v>
      </c>
      <c r="Q1459" s="86">
        <f t="shared" si="428"/>
        <v>0</v>
      </c>
      <c r="R1459" s="86">
        <f t="shared" si="429"/>
        <v>0</v>
      </c>
      <c r="S1459" s="86">
        <f t="shared" si="430"/>
        <v>0</v>
      </c>
      <c r="T1459" s="86">
        <f t="shared" si="431"/>
        <v>11320.210000000001</v>
      </c>
      <c r="U1459" s="87">
        <v>11320.210000000001</v>
      </c>
    </row>
    <row r="1460" spans="1:21" s="30" customFormat="1" ht="24.6" hidden="1" outlineLevel="1" x14ac:dyDescent="0.55000000000000004">
      <c r="A1460" s="27" t="s">
        <v>327</v>
      </c>
      <c r="B1460" s="28"/>
      <c r="C1460" s="27"/>
      <c r="D1460" s="27" t="str">
        <f>"""NAV Direct"",""CRONUS JetCorp USA"",""21"",""1"",""381186"""</f>
        <v>"NAV Direct","CRONUS JetCorp USA","21","1","381186"</v>
      </c>
      <c r="E1460" s="31" t="str">
        <f t="shared" si="423"/>
        <v>C100052</v>
      </c>
      <c r="F1460" s="31"/>
      <c r="G1460" s="31"/>
      <c r="H1460" s="31"/>
      <c r="I1460" s="56"/>
      <c r="J1460" s="56"/>
      <c r="K1460" s="82" t="str">
        <f t="shared" si="424"/>
        <v>Invoice</v>
      </c>
      <c r="L1460" s="83" t="str">
        <f>"SI_111844"</f>
        <v>SI_111844</v>
      </c>
      <c r="M1460" s="84">
        <v>42794</v>
      </c>
      <c r="N1460" s="85">
        <f t="shared" si="425"/>
        <v>1018</v>
      </c>
      <c r="O1460" s="86">
        <f t="shared" si="426"/>
        <v>10045.06</v>
      </c>
      <c r="P1460" s="86">
        <f t="shared" si="427"/>
        <v>0</v>
      </c>
      <c r="Q1460" s="86">
        <f t="shared" si="428"/>
        <v>0</v>
      </c>
      <c r="R1460" s="86">
        <f t="shared" si="429"/>
        <v>0</v>
      </c>
      <c r="S1460" s="86">
        <f t="shared" si="430"/>
        <v>0</v>
      </c>
      <c r="T1460" s="86">
        <f t="shared" si="431"/>
        <v>10045.06</v>
      </c>
      <c r="U1460" s="87">
        <v>10045.06</v>
      </c>
    </row>
    <row r="1461" spans="1:21" s="30" customFormat="1" ht="24.6" hidden="1" outlineLevel="1" x14ac:dyDescent="0.55000000000000004">
      <c r="A1461" s="27" t="s">
        <v>327</v>
      </c>
      <c r="B1461" s="28"/>
      <c r="C1461" s="27"/>
      <c r="D1461" s="27" t="str">
        <f>"""NAV Direct"",""CRONUS JetCorp USA"",""21"",""1"",""381267"""</f>
        <v>"NAV Direct","CRONUS JetCorp USA","21","1","381267"</v>
      </c>
      <c r="E1461" s="31">
        <f t="shared" si="423"/>
        <v>0</v>
      </c>
      <c r="F1461" s="31"/>
      <c r="G1461" s="31"/>
      <c r="H1461" s="31"/>
      <c r="I1461" s="56"/>
      <c r="J1461" s="56"/>
      <c r="K1461" s="82" t="str">
        <f t="shared" si="424"/>
        <v>Invoice</v>
      </c>
      <c r="L1461" s="83" t="str">
        <f>"SI_111847"</f>
        <v>SI_111847</v>
      </c>
      <c r="M1461" s="84">
        <v>42825</v>
      </c>
      <c r="N1461" s="85">
        <f t="shared" si="425"/>
        <v>987</v>
      </c>
      <c r="O1461" s="86">
        <f t="shared" si="426"/>
        <v>9191.33</v>
      </c>
      <c r="P1461" s="86">
        <f t="shared" si="427"/>
        <v>0</v>
      </c>
      <c r="Q1461" s="86">
        <f t="shared" si="428"/>
        <v>0</v>
      </c>
      <c r="R1461" s="86">
        <f t="shared" si="429"/>
        <v>0</v>
      </c>
      <c r="S1461" s="86">
        <f t="shared" si="430"/>
        <v>0</v>
      </c>
      <c r="T1461" s="86">
        <f t="shared" si="431"/>
        <v>9191.33</v>
      </c>
      <c r="U1461" s="87">
        <v>9191.33</v>
      </c>
    </row>
    <row r="1462" spans="1:21" s="30" customFormat="1" ht="24.6" hidden="1" outlineLevel="1" x14ac:dyDescent="0.55000000000000004">
      <c r="A1462" s="27" t="s">
        <v>327</v>
      </c>
      <c r="B1462" s="28"/>
      <c r="C1462" s="27"/>
      <c r="D1462" s="27" t="str">
        <f>"""NAV Direct"",""CRONUS JetCorp USA"",""21"",""1"",""381661"""</f>
        <v>"NAV Direct","CRONUS JetCorp USA","21","1","381661"</v>
      </c>
      <c r="E1462" s="31" t="str">
        <f t="shared" si="423"/>
        <v>C100052</v>
      </c>
      <c r="F1462" s="31"/>
      <c r="G1462" s="31"/>
      <c r="H1462" s="31"/>
      <c r="I1462" s="56"/>
      <c r="J1462" s="56"/>
      <c r="K1462" s="82" t="str">
        <f t="shared" si="424"/>
        <v>Invoice</v>
      </c>
      <c r="L1462" s="83" t="str">
        <f>"SI_111859"</f>
        <v>SI_111859</v>
      </c>
      <c r="M1462" s="84">
        <v>43100</v>
      </c>
      <c r="N1462" s="85">
        <f t="shared" si="425"/>
        <v>712</v>
      </c>
      <c r="O1462" s="86">
        <f t="shared" si="426"/>
        <v>14495.689999999999</v>
      </c>
      <c r="P1462" s="86">
        <f t="shared" si="427"/>
        <v>0</v>
      </c>
      <c r="Q1462" s="86">
        <f t="shared" si="428"/>
        <v>0</v>
      </c>
      <c r="R1462" s="86">
        <f t="shared" si="429"/>
        <v>0</v>
      </c>
      <c r="S1462" s="86">
        <f t="shared" si="430"/>
        <v>0</v>
      </c>
      <c r="T1462" s="86">
        <f t="shared" si="431"/>
        <v>14495.689999999999</v>
      </c>
      <c r="U1462" s="87">
        <v>14495.689999999999</v>
      </c>
    </row>
    <row r="1463" spans="1:21" s="30" customFormat="1" ht="24.6" hidden="1" outlineLevel="1" x14ac:dyDescent="0.55000000000000004">
      <c r="A1463" s="27" t="s">
        <v>327</v>
      </c>
      <c r="B1463" s="28"/>
      <c r="C1463" s="27"/>
      <c r="D1463" s="27" t="str">
        <f>"""NAV Direct"",""CRONUS JetCorp USA"",""21"",""1"",""381919"""</f>
        <v>"NAV Direct","CRONUS JetCorp USA","21","1","381919"</v>
      </c>
      <c r="E1463" s="31">
        <f t="shared" si="423"/>
        <v>0</v>
      </c>
      <c r="F1463" s="31"/>
      <c r="G1463" s="31"/>
      <c r="H1463" s="31"/>
      <c r="I1463" s="56"/>
      <c r="J1463" s="56"/>
      <c r="K1463" s="82" t="str">
        <f t="shared" si="424"/>
        <v>Invoice</v>
      </c>
      <c r="L1463" s="83" t="str">
        <f>"SI_111867"</f>
        <v>SI_111867</v>
      </c>
      <c r="M1463" s="84">
        <v>43220</v>
      </c>
      <c r="N1463" s="85">
        <f t="shared" si="425"/>
        <v>592</v>
      </c>
      <c r="O1463" s="86">
        <f t="shared" si="426"/>
        <v>10539.99</v>
      </c>
      <c r="P1463" s="86">
        <f t="shared" si="427"/>
        <v>0</v>
      </c>
      <c r="Q1463" s="86">
        <f t="shared" si="428"/>
        <v>0</v>
      </c>
      <c r="R1463" s="86">
        <f t="shared" si="429"/>
        <v>0</v>
      </c>
      <c r="S1463" s="86">
        <f t="shared" si="430"/>
        <v>0</v>
      </c>
      <c r="T1463" s="86">
        <f t="shared" si="431"/>
        <v>10539.99</v>
      </c>
      <c r="U1463" s="87">
        <v>10539.99</v>
      </c>
    </row>
    <row r="1464" spans="1:21" s="30" customFormat="1" ht="24.6" hidden="1" outlineLevel="1" x14ac:dyDescent="0.55000000000000004">
      <c r="A1464" s="27" t="s">
        <v>327</v>
      </c>
      <c r="B1464" s="28"/>
      <c r="C1464" s="27"/>
      <c r="D1464" s="27" t="str">
        <f>"""NAV Direct"",""CRONUS JetCorp USA"",""21"",""1"",""382049"""</f>
        <v>"NAV Direct","CRONUS JetCorp USA","21","1","382049"</v>
      </c>
      <c r="E1464" s="31" t="str">
        <f t="shared" si="423"/>
        <v>C100052</v>
      </c>
      <c r="F1464" s="31"/>
      <c r="G1464" s="31"/>
      <c r="H1464" s="31"/>
      <c r="I1464" s="56"/>
      <c r="J1464" s="56"/>
      <c r="K1464" s="82" t="str">
        <f t="shared" si="424"/>
        <v>Invoice</v>
      </c>
      <c r="L1464" s="83" t="str">
        <f>"SI_111871"</f>
        <v>SI_111871</v>
      </c>
      <c r="M1464" s="84">
        <v>43312</v>
      </c>
      <c r="N1464" s="85">
        <f t="shared" si="425"/>
        <v>500</v>
      </c>
      <c r="O1464" s="86">
        <f t="shared" si="426"/>
        <v>11738.81</v>
      </c>
      <c r="P1464" s="86">
        <f t="shared" si="427"/>
        <v>0</v>
      </c>
      <c r="Q1464" s="86">
        <f t="shared" si="428"/>
        <v>0</v>
      </c>
      <c r="R1464" s="86">
        <f t="shared" si="429"/>
        <v>0</v>
      </c>
      <c r="S1464" s="86">
        <f t="shared" si="430"/>
        <v>0</v>
      </c>
      <c r="T1464" s="86">
        <f t="shared" si="431"/>
        <v>11738.81</v>
      </c>
      <c r="U1464" s="87">
        <v>11738.81</v>
      </c>
    </row>
    <row r="1465" spans="1:21" s="30" customFormat="1" ht="24.6" hidden="1" outlineLevel="1" x14ac:dyDescent="0.55000000000000004">
      <c r="A1465" s="27" t="s">
        <v>327</v>
      </c>
      <c r="B1465" s="28"/>
      <c r="C1465" s="27"/>
      <c r="D1465" s="27" t="str">
        <f>"""NAV Direct"",""CRONUS JetCorp USA"",""21"",""1"",""382148"""</f>
        <v>"NAV Direct","CRONUS JetCorp USA","21","1","382148"</v>
      </c>
      <c r="E1465" s="31">
        <f t="shared" si="423"/>
        <v>0</v>
      </c>
      <c r="F1465" s="31"/>
      <c r="G1465" s="31"/>
      <c r="H1465" s="31"/>
      <c r="I1465" s="56"/>
      <c r="J1465" s="56"/>
      <c r="K1465" s="82" t="str">
        <f t="shared" si="424"/>
        <v>Invoice</v>
      </c>
      <c r="L1465" s="83" t="str">
        <f>"SI_111874"</f>
        <v>SI_111874</v>
      </c>
      <c r="M1465" s="84">
        <v>43373</v>
      </c>
      <c r="N1465" s="85">
        <f t="shared" si="425"/>
        <v>439</v>
      </c>
      <c r="O1465" s="86">
        <f t="shared" si="426"/>
        <v>8731.69</v>
      </c>
      <c r="P1465" s="86">
        <f t="shared" si="427"/>
        <v>0</v>
      </c>
      <c r="Q1465" s="86">
        <f t="shared" si="428"/>
        <v>0</v>
      </c>
      <c r="R1465" s="86">
        <f t="shared" si="429"/>
        <v>0</v>
      </c>
      <c r="S1465" s="86">
        <f t="shared" si="430"/>
        <v>0</v>
      </c>
      <c r="T1465" s="86">
        <f t="shared" si="431"/>
        <v>8731.69</v>
      </c>
      <c r="U1465" s="87">
        <v>8731.69</v>
      </c>
    </row>
    <row r="1466" spans="1:21" s="30" customFormat="1" ht="24.6" hidden="1" outlineLevel="1" x14ac:dyDescent="0.55000000000000004">
      <c r="A1466" s="27" t="s">
        <v>327</v>
      </c>
      <c r="B1466" s="28"/>
      <c r="C1466" s="27"/>
      <c r="D1466" s="27" t="str">
        <f>"""NAV Direct"",""CRONUS JetCorp USA"",""21"",""1"",""382678"""</f>
        <v>"NAV Direct","CRONUS JetCorp USA","21","1","382678"</v>
      </c>
      <c r="E1466" s="31" t="str">
        <f t="shared" si="423"/>
        <v>C100052</v>
      </c>
      <c r="F1466" s="31"/>
      <c r="G1466" s="31"/>
      <c r="H1466" s="31"/>
      <c r="I1466" s="56"/>
      <c r="J1466" s="56"/>
      <c r="K1466" s="82" t="str">
        <f t="shared" si="424"/>
        <v>Invoice</v>
      </c>
      <c r="L1466" s="83" t="str">
        <f>"SI_111890"</f>
        <v>SI_111890</v>
      </c>
      <c r="M1466" s="84">
        <v>43677</v>
      </c>
      <c r="N1466" s="85">
        <f t="shared" si="425"/>
        <v>135</v>
      </c>
      <c r="O1466" s="86">
        <f t="shared" si="426"/>
        <v>13022.57</v>
      </c>
      <c r="P1466" s="86">
        <f t="shared" si="427"/>
        <v>0</v>
      </c>
      <c r="Q1466" s="86">
        <f t="shared" si="428"/>
        <v>0</v>
      </c>
      <c r="R1466" s="86">
        <f t="shared" si="429"/>
        <v>0</v>
      </c>
      <c r="S1466" s="86">
        <f t="shared" si="430"/>
        <v>0</v>
      </c>
      <c r="T1466" s="86">
        <f t="shared" si="431"/>
        <v>13022.57</v>
      </c>
      <c r="U1466" s="87">
        <v>13022.57</v>
      </c>
    </row>
    <row r="1467" spans="1:21" s="30" customFormat="1" ht="24.6" hidden="1" outlineLevel="1" x14ac:dyDescent="0.55000000000000004">
      <c r="A1467" s="27" t="s">
        <v>327</v>
      </c>
      <c r="B1467" s="28"/>
      <c r="C1467" s="27"/>
      <c r="D1467" s="27" t="str">
        <f>"""NAV Direct"",""CRONUS JetCorp USA"",""21"",""1"",""438254"""</f>
        <v>"NAV Direct","CRONUS JetCorp USA","21","1","438254"</v>
      </c>
      <c r="E1467" s="31">
        <f t="shared" si="423"/>
        <v>0</v>
      </c>
      <c r="F1467" s="31"/>
      <c r="G1467" s="31"/>
      <c r="H1467" s="31"/>
      <c r="I1467" s="56"/>
      <c r="J1467" s="56"/>
      <c r="K1467" s="82" t="str">
        <f t="shared" ref="K1467:K1472" si="432">"Credit Memo"</f>
        <v>Credit Memo</v>
      </c>
      <c r="L1467" s="83" t="str">
        <f>"SC_100802"</f>
        <v>SC_100802</v>
      </c>
      <c r="M1467" s="84">
        <v>42392</v>
      </c>
      <c r="N1467" s="85">
        <f t="shared" si="425"/>
        <v>1420</v>
      </c>
      <c r="O1467" s="86">
        <f t="shared" si="426"/>
        <v>-86.710000000000008</v>
      </c>
      <c r="P1467" s="86">
        <f t="shared" si="427"/>
        <v>0</v>
      </c>
      <c r="Q1467" s="86">
        <f t="shared" si="428"/>
        <v>0</v>
      </c>
      <c r="R1467" s="86">
        <f t="shared" si="429"/>
        <v>0</v>
      </c>
      <c r="S1467" s="86">
        <f t="shared" si="430"/>
        <v>0</v>
      </c>
      <c r="T1467" s="86">
        <f t="shared" si="431"/>
        <v>-86.710000000000008</v>
      </c>
      <c r="U1467" s="87">
        <v>-86.710000000000008</v>
      </c>
    </row>
    <row r="1468" spans="1:21" s="30" customFormat="1" ht="24.6" hidden="1" outlineLevel="1" x14ac:dyDescent="0.55000000000000004">
      <c r="A1468" s="27" t="s">
        <v>327</v>
      </c>
      <c r="B1468" s="28"/>
      <c r="C1468" s="27"/>
      <c r="D1468" s="27" t="str">
        <f>"""NAV Direct"",""CRONUS JetCorp USA"",""21"",""1"",""438267"""</f>
        <v>"NAV Direct","CRONUS JetCorp USA","21","1","438267"</v>
      </c>
      <c r="E1468" s="31" t="str">
        <f t="shared" si="423"/>
        <v>C100052</v>
      </c>
      <c r="F1468" s="31"/>
      <c r="G1468" s="31"/>
      <c r="H1468" s="31"/>
      <c r="I1468" s="56"/>
      <c r="J1468" s="56"/>
      <c r="K1468" s="82" t="str">
        <f t="shared" si="432"/>
        <v>Credit Memo</v>
      </c>
      <c r="L1468" s="83" t="str">
        <f>"SC_100803"</f>
        <v>SC_100803</v>
      </c>
      <c r="M1468" s="84">
        <v>42568</v>
      </c>
      <c r="N1468" s="85">
        <f t="shared" si="425"/>
        <v>1244</v>
      </c>
      <c r="O1468" s="86">
        <f t="shared" si="426"/>
        <v>-92.06</v>
      </c>
      <c r="P1468" s="86">
        <f t="shared" si="427"/>
        <v>0</v>
      </c>
      <c r="Q1468" s="86">
        <f t="shared" si="428"/>
        <v>0</v>
      </c>
      <c r="R1468" s="86">
        <f t="shared" si="429"/>
        <v>0</v>
      </c>
      <c r="S1468" s="86">
        <f t="shared" si="430"/>
        <v>0</v>
      </c>
      <c r="T1468" s="86">
        <f t="shared" si="431"/>
        <v>-92.06</v>
      </c>
      <c r="U1468" s="87">
        <v>-92.06</v>
      </c>
    </row>
    <row r="1469" spans="1:21" s="30" customFormat="1" ht="24.6" hidden="1" outlineLevel="1" x14ac:dyDescent="0.55000000000000004">
      <c r="A1469" s="27" t="s">
        <v>327</v>
      </c>
      <c r="B1469" s="28"/>
      <c r="C1469" s="27"/>
      <c r="D1469" s="27" t="str">
        <f>"""NAV Direct"",""CRONUS JetCorp USA"",""21"",""1"",""438310"""</f>
        <v>"NAV Direct","CRONUS JetCorp USA","21","1","438310"</v>
      </c>
      <c r="E1469" s="31">
        <f t="shared" si="423"/>
        <v>0</v>
      </c>
      <c r="F1469" s="31"/>
      <c r="G1469" s="31"/>
      <c r="H1469" s="31"/>
      <c r="I1469" s="56"/>
      <c r="J1469" s="56"/>
      <c r="K1469" s="82" t="str">
        <f t="shared" si="432"/>
        <v>Credit Memo</v>
      </c>
      <c r="L1469" s="83" t="str">
        <f>"SC_100806"</f>
        <v>SC_100806</v>
      </c>
      <c r="M1469" s="84">
        <v>42707</v>
      </c>
      <c r="N1469" s="85">
        <f t="shared" si="425"/>
        <v>1105</v>
      </c>
      <c r="O1469" s="86">
        <f t="shared" si="426"/>
        <v>-115.30999999999999</v>
      </c>
      <c r="P1469" s="86">
        <f t="shared" si="427"/>
        <v>0</v>
      </c>
      <c r="Q1469" s="86">
        <f t="shared" si="428"/>
        <v>0</v>
      </c>
      <c r="R1469" s="86">
        <f t="shared" si="429"/>
        <v>0</v>
      </c>
      <c r="S1469" s="86">
        <f t="shared" si="430"/>
        <v>0</v>
      </c>
      <c r="T1469" s="86">
        <f t="shared" si="431"/>
        <v>-115.30999999999999</v>
      </c>
      <c r="U1469" s="87">
        <v>-115.30999999999999</v>
      </c>
    </row>
    <row r="1470" spans="1:21" s="30" customFormat="1" ht="24.6" hidden="1" outlineLevel="1" x14ac:dyDescent="0.55000000000000004">
      <c r="A1470" s="27" t="s">
        <v>327</v>
      </c>
      <c r="B1470" s="28"/>
      <c r="C1470" s="27"/>
      <c r="D1470" s="27" t="str">
        <f>"""NAV Direct"",""CRONUS JetCorp USA"",""21"",""1"",""438330"""</f>
        <v>"NAV Direct","CRONUS JetCorp USA","21","1","438330"</v>
      </c>
      <c r="E1470" s="31" t="str">
        <f t="shared" si="423"/>
        <v>C100052</v>
      </c>
      <c r="F1470" s="31"/>
      <c r="G1470" s="31"/>
      <c r="H1470" s="31"/>
      <c r="I1470" s="56"/>
      <c r="J1470" s="56"/>
      <c r="K1470" s="82" t="str">
        <f t="shared" si="432"/>
        <v>Credit Memo</v>
      </c>
      <c r="L1470" s="83" t="str">
        <f>"SC_100808"</f>
        <v>SC_100808</v>
      </c>
      <c r="M1470" s="84">
        <v>42849</v>
      </c>
      <c r="N1470" s="85">
        <f t="shared" si="425"/>
        <v>963</v>
      </c>
      <c r="O1470" s="86">
        <f t="shared" si="426"/>
        <v>-102.79</v>
      </c>
      <c r="P1470" s="86">
        <f t="shared" si="427"/>
        <v>0</v>
      </c>
      <c r="Q1470" s="86">
        <f t="shared" si="428"/>
        <v>0</v>
      </c>
      <c r="R1470" s="86">
        <f t="shared" si="429"/>
        <v>0</v>
      </c>
      <c r="S1470" s="86">
        <f t="shared" si="430"/>
        <v>0</v>
      </c>
      <c r="T1470" s="86">
        <f t="shared" si="431"/>
        <v>-102.79</v>
      </c>
      <c r="U1470" s="87">
        <v>-102.79</v>
      </c>
    </row>
    <row r="1471" spans="1:21" s="30" customFormat="1" ht="24.6" hidden="1" outlineLevel="1" x14ac:dyDescent="0.55000000000000004">
      <c r="A1471" s="27" t="s">
        <v>327</v>
      </c>
      <c r="B1471" s="28"/>
      <c r="C1471" s="27"/>
      <c r="D1471" s="27" t="str">
        <f>"""NAV Direct"",""CRONUS JetCorp USA"",""21"",""1"",""438412"""</f>
        <v>"NAV Direct","CRONUS JetCorp USA","21","1","438412"</v>
      </c>
      <c r="E1471" s="31">
        <f t="shared" si="423"/>
        <v>0</v>
      </c>
      <c r="F1471" s="31"/>
      <c r="G1471" s="31"/>
      <c r="H1471" s="31"/>
      <c r="I1471" s="56"/>
      <c r="J1471" s="56"/>
      <c r="K1471" s="82" t="str">
        <f t="shared" si="432"/>
        <v>Credit Memo</v>
      </c>
      <c r="L1471" s="83" t="str">
        <f>"SC_100814"</f>
        <v>SC_100814</v>
      </c>
      <c r="M1471" s="84">
        <v>43259</v>
      </c>
      <c r="N1471" s="85">
        <f t="shared" si="425"/>
        <v>553</v>
      </c>
      <c r="O1471" s="86">
        <f t="shared" si="426"/>
        <v>-139.54999999999998</v>
      </c>
      <c r="P1471" s="86">
        <f t="shared" si="427"/>
        <v>0</v>
      </c>
      <c r="Q1471" s="86">
        <f t="shared" si="428"/>
        <v>0</v>
      </c>
      <c r="R1471" s="86">
        <f t="shared" si="429"/>
        <v>0</v>
      </c>
      <c r="S1471" s="86">
        <f t="shared" si="430"/>
        <v>0</v>
      </c>
      <c r="T1471" s="86">
        <f t="shared" si="431"/>
        <v>-139.54999999999998</v>
      </c>
      <c r="U1471" s="87">
        <v>-139.54999999999998</v>
      </c>
    </row>
    <row r="1472" spans="1:21" s="30" customFormat="1" ht="24.6" hidden="1" outlineLevel="1" x14ac:dyDescent="0.55000000000000004">
      <c r="A1472" s="27" t="s">
        <v>327</v>
      </c>
      <c r="B1472" s="28"/>
      <c r="C1472" s="27"/>
      <c r="D1472" s="27" t="str">
        <f>"""NAV Direct"",""CRONUS JetCorp USA"",""21"",""1"",""438476"""</f>
        <v>"NAV Direct","CRONUS JetCorp USA","21","1","438476"</v>
      </c>
      <c r="E1472" s="31" t="str">
        <f t="shared" si="423"/>
        <v>C100052</v>
      </c>
      <c r="F1472" s="31"/>
      <c r="G1472" s="31"/>
      <c r="H1472" s="31"/>
      <c r="I1472" s="56"/>
      <c r="J1472" s="56"/>
      <c r="K1472" s="82" t="str">
        <f t="shared" si="432"/>
        <v>Credit Memo</v>
      </c>
      <c r="L1472" s="83" t="str">
        <f>"SC_100818"</f>
        <v>SC_100818</v>
      </c>
      <c r="M1472" s="84">
        <v>43499</v>
      </c>
      <c r="N1472" s="85">
        <f t="shared" si="425"/>
        <v>313</v>
      </c>
      <c r="O1472" s="86">
        <f t="shared" si="426"/>
        <v>-133.63999999999999</v>
      </c>
      <c r="P1472" s="86">
        <f t="shared" si="427"/>
        <v>0</v>
      </c>
      <c r="Q1472" s="86">
        <f t="shared" si="428"/>
        <v>0</v>
      </c>
      <c r="R1472" s="86">
        <f t="shared" si="429"/>
        <v>0</v>
      </c>
      <c r="S1472" s="86">
        <f t="shared" si="430"/>
        <v>0</v>
      </c>
      <c r="T1472" s="86">
        <f t="shared" si="431"/>
        <v>-133.63999999999999</v>
      </c>
      <c r="U1472" s="87">
        <v>-133.63999999999999</v>
      </c>
    </row>
    <row r="1473" spans="1:22" s="22" customFormat="1" ht="20.399999999999999" collapsed="1" x14ac:dyDescent="0.45">
      <c r="A1473" s="12" t="s">
        <v>327</v>
      </c>
      <c r="B1473" s="19"/>
      <c r="C1473" s="12"/>
      <c r="D1473" s="12"/>
      <c r="E1473" s="23"/>
      <c r="F1473" s="23"/>
      <c r="G1473" s="23"/>
      <c r="H1473" s="23"/>
      <c r="I1473" s="49"/>
      <c r="J1473" s="88"/>
      <c r="K1473" s="88"/>
      <c r="L1473" s="89"/>
      <c r="M1473" s="89"/>
      <c r="N1473" s="89"/>
      <c r="O1473" s="89"/>
      <c r="P1473" s="89"/>
      <c r="Q1473" s="90"/>
      <c r="R1473" s="90"/>
      <c r="S1473" s="91"/>
      <c r="T1473" s="92"/>
      <c r="U1473" s="92"/>
    </row>
    <row r="1474" spans="1:22" s="22" customFormat="1" ht="20.399999999999999" x14ac:dyDescent="0.45">
      <c r="A1474" s="12" t="s">
        <v>327</v>
      </c>
      <c r="B1474" s="19"/>
      <c r="C1474" s="12"/>
      <c r="D1474" s="12"/>
      <c r="E1474" s="23"/>
      <c r="F1474" s="23"/>
      <c r="G1474" s="23"/>
      <c r="H1474" s="23"/>
      <c r="I1474" s="49"/>
      <c r="J1474" s="88"/>
      <c r="K1474" s="88"/>
      <c r="L1474" s="89"/>
      <c r="M1474" s="89"/>
      <c r="N1474" s="89"/>
      <c r="O1474" s="89"/>
      <c r="P1474" s="89"/>
      <c r="Q1474" s="90"/>
      <c r="R1474" s="90"/>
      <c r="S1474" s="91"/>
      <c r="T1474" s="92"/>
      <c r="U1474" s="92"/>
    </row>
    <row r="1475" spans="1:22" s="26" customFormat="1" ht="24.6" x14ac:dyDescent="0.55000000000000004">
      <c r="A1475" s="27" t="s">
        <v>327</v>
      </c>
      <c r="B1475" s="28"/>
      <c r="C1475" s="27" t="str">
        <f>"""NAV Direct"",""CRONUS JetCorp USA"",""18"",""1"",""C100053"""</f>
        <v>"NAV Direct","CRONUS JetCorp USA","18","1","C100053"</v>
      </c>
      <c r="D1475" s="27"/>
      <c r="E1475" s="28" t="str">
        <f>H1475</f>
        <v>C100053</v>
      </c>
      <c r="F1475" s="28"/>
      <c r="G1475" s="28"/>
      <c r="H1475" s="28" t="str">
        <f>"C100053"</f>
        <v>C100053</v>
      </c>
      <c r="I1475" s="116" t="str">
        <f>"C100053  -  London Candoxy Storage Campus"</f>
        <v>C100053  -  London Candoxy Storage Campus</v>
      </c>
      <c r="J1475" s="117" t="str">
        <f>""</f>
        <v/>
      </c>
      <c r="K1475" s="118"/>
      <c r="L1475" s="119">
        <f>SUBTOTAL(3,L1476:L1543)</f>
        <v>64</v>
      </c>
      <c r="M1475" s="118"/>
      <c r="N1475" s="118"/>
      <c r="O1475" s="120">
        <f t="shared" ref="O1475:T1475" si="433">SUBTOTAL(9,O1476:O1543)</f>
        <v>723108.54000000015</v>
      </c>
      <c r="P1475" s="120">
        <f t="shared" si="433"/>
        <v>14299.130000000001</v>
      </c>
      <c r="Q1475" s="120">
        <f t="shared" si="433"/>
        <v>14730.9</v>
      </c>
      <c r="R1475" s="120">
        <f t="shared" si="433"/>
        <v>14484.279999999999</v>
      </c>
      <c r="S1475" s="120">
        <f t="shared" si="433"/>
        <v>28253.03</v>
      </c>
      <c r="T1475" s="120">
        <f t="shared" si="433"/>
        <v>651341.19999999995</v>
      </c>
      <c r="U1475" s="81"/>
    </row>
    <row r="1476" spans="1:22" s="26" customFormat="1" ht="24.6" x14ac:dyDescent="0.55000000000000004">
      <c r="A1476" s="27" t="s">
        <v>327</v>
      </c>
      <c r="B1476" s="28"/>
      <c r="C1476" s="27" t="str">
        <f>C1475</f>
        <v>"NAV Direct","CRONUS JetCorp USA","18","1","C100053"</v>
      </c>
      <c r="D1476" s="27"/>
      <c r="E1476" s="28" t="str">
        <f>E1475</f>
        <v>C100053</v>
      </c>
      <c r="F1476" s="28"/>
      <c r="G1476" s="28"/>
      <c r="H1476" s="28"/>
      <c r="I1476" s="121" t="str">
        <f>"Contact: Mr. John Kane"</f>
        <v>Contact: Mr. John Kane</v>
      </c>
      <c r="J1476" s="121"/>
      <c r="K1476" s="122"/>
      <c r="L1476" s="123"/>
      <c r="M1476" s="123"/>
      <c r="N1476" s="124"/>
      <c r="O1476" s="124"/>
      <c r="P1476" s="123"/>
      <c r="Q1476" s="125"/>
      <c r="R1476" s="126"/>
      <c r="S1476" s="126"/>
      <c r="T1476" s="125"/>
      <c r="U1476" s="81"/>
    </row>
    <row r="1477" spans="1:22" s="26" customFormat="1" ht="24.6" x14ac:dyDescent="0.55000000000000004">
      <c r="A1477" s="27" t="s">
        <v>327</v>
      </c>
      <c r="B1477" s="28"/>
      <c r="C1477" s="27" t="str">
        <f>C1476</f>
        <v>"NAV Direct","CRONUS JetCorp USA","18","1","C100053"</v>
      </c>
      <c r="D1477" s="27"/>
      <c r="E1477" s="28" t="str">
        <f>E1476</f>
        <v>C100053</v>
      </c>
      <c r="F1477" s="28"/>
      <c r="G1477" s="28"/>
      <c r="H1477" s="28"/>
      <c r="I1477" s="121" t="str">
        <f>"london.candoxy.storage.campus@cronuscorp.net"</f>
        <v>london.candoxy.storage.campus@cronuscorp.net</v>
      </c>
      <c r="J1477" s="121"/>
      <c r="K1477" s="122"/>
      <c r="L1477" s="124"/>
      <c r="M1477" s="124"/>
      <c r="N1477" s="124"/>
      <c r="O1477" s="124"/>
      <c r="P1477" s="123"/>
      <c r="Q1477" s="125"/>
      <c r="R1477" s="126"/>
      <c r="S1477" s="126"/>
      <c r="T1477" s="125"/>
      <c r="U1477" s="81"/>
    </row>
    <row r="1478" spans="1:22" ht="12.75" hidden="1" customHeight="1" outlineLevel="1" x14ac:dyDescent="0.45">
      <c r="A1478" s="12" t="s">
        <v>328</v>
      </c>
      <c r="B1478" s="19"/>
      <c r="E1478" s="19"/>
      <c r="F1478" s="19"/>
      <c r="G1478" s="19"/>
      <c r="H1478" s="19"/>
      <c r="I1478" s="61"/>
      <c r="J1478" s="61"/>
      <c r="K1478" s="61"/>
      <c r="L1478" s="61"/>
      <c r="M1478" s="61"/>
      <c r="N1478" s="61"/>
      <c r="O1478" s="61"/>
      <c r="P1478" s="61"/>
      <c r="Q1478" s="61"/>
      <c r="R1478" s="61"/>
      <c r="S1478" s="61"/>
      <c r="T1478" s="61"/>
      <c r="U1478" s="61"/>
      <c r="V1478" s="21"/>
    </row>
    <row r="1479" spans="1:22" s="30" customFormat="1" ht="24.6" hidden="1" outlineLevel="1" x14ac:dyDescent="0.55000000000000004">
      <c r="A1479" s="27" t="s">
        <v>327</v>
      </c>
      <c r="B1479" s="28"/>
      <c r="C1479" s="27"/>
      <c r="D1479" s="27" t="str">
        <f>"""NAV Direct"",""CRONUS JetCorp USA"",""21"",""1"",""22727"""</f>
        <v>"NAV Direct","CRONUS JetCorp USA","21","1","22727"</v>
      </c>
      <c r="E1479" s="31" t="str">
        <f t="shared" ref="E1479:E1510" si="434">E1477</f>
        <v>C100053</v>
      </c>
      <c r="F1479" s="31"/>
      <c r="G1479" s="31"/>
      <c r="H1479" s="31"/>
      <c r="I1479" s="56"/>
      <c r="J1479" s="56"/>
      <c r="K1479" s="82" t="str">
        <f t="shared" ref="K1479:K1510" si="435">"Invoice"</f>
        <v>Invoice</v>
      </c>
      <c r="L1479" s="83" t="str">
        <f>"SI_104150"</f>
        <v>SI_104150</v>
      </c>
      <c r="M1479" s="84">
        <v>42338</v>
      </c>
      <c r="N1479" s="85">
        <f t="shared" ref="N1479:N1510" si="436">StartDate-$M1479+1</f>
        <v>1474</v>
      </c>
      <c r="O1479" s="86">
        <f t="shared" ref="O1479:O1510" si="437">SUM(P1479:T1479)</f>
        <v>17212.41</v>
      </c>
      <c r="P1479" s="86">
        <f t="shared" ref="P1479:P1510" si="438">IF($M1479&gt;=$P$18,U1479,0)</f>
        <v>0</v>
      </c>
      <c r="Q1479" s="86">
        <f t="shared" ref="Q1479:Q1510" si="439">IF(AND($M1479&gt;=$Q$16,$M1479&lt;=$Q$18),U1479,0)</f>
        <v>0</v>
      </c>
      <c r="R1479" s="86">
        <f t="shared" ref="R1479:R1510" si="440">IF(AND($M1479&gt;=$R$16,$M1479&lt;=$R$18),U1479,0)</f>
        <v>0</v>
      </c>
      <c r="S1479" s="86">
        <f t="shared" ref="S1479:S1510" si="441">IF(AND($M1479&gt;=$S$16,$M1479&lt;=$S$18),U1479,0)</f>
        <v>0</v>
      </c>
      <c r="T1479" s="86">
        <f t="shared" ref="T1479:T1510" si="442">IF($M1479&lt;=$T$18,U1479,0)</f>
        <v>17212.41</v>
      </c>
      <c r="U1479" s="87">
        <v>17212.41</v>
      </c>
    </row>
    <row r="1480" spans="1:22" s="30" customFormat="1" ht="24.6" hidden="1" outlineLevel="1" x14ac:dyDescent="0.55000000000000004">
      <c r="A1480" s="27" t="s">
        <v>327</v>
      </c>
      <c r="B1480" s="28"/>
      <c r="C1480" s="27"/>
      <c r="D1480" s="27" t="str">
        <f>"""NAV Direct"",""CRONUS JetCorp USA"",""21"",""1"",""22897"""</f>
        <v>"NAV Direct","CRONUS JetCorp USA","21","1","22897"</v>
      </c>
      <c r="E1480" s="31">
        <f t="shared" si="434"/>
        <v>0</v>
      </c>
      <c r="F1480" s="31"/>
      <c r="G1480" s="31"/>
      <c r="H1480" s="31"/>
      <c r="I1480" s="56"/>
      <c r="J1480" s="56"/>
      <c r="K1480" s="82" t="str">
        <f t="shared" si="435"/>
        <v>Invoice</v>
      </c>
      <c r="L1480" s="83" t="str">
        <f>"SI_104156"</f>
        <v>SI_104156</v>
      </c>
      <c r="M1480" s="84">
        <v>42369</v>
      </c>
      <c r="N1480" s="85">
        <f t="shared" si="436"/>
        <v>1443</v>
      </c>
      <c r="O1480" s="86">
        <f t="shared" si="437"/>
        <v>16803.04</v>
      </c>
      <c r="P1480" s="86">
        <f t="shared" si="438"/>
        <v>0</v>
      </c>
      <c r="Q1480" s="86">
        <f t="shared" si="439"/>
        <v>0</v>
      </c>
      <c r="R1480" s="86">
        <f t="shared" si="440"/>
        <v>0</v>
      </c>
      <c r="S1480" s="86">
        <f t="shared" si="441"/>
        <v>0</v>
      </c>
      <c r="T1480" s="86">
        <f t="shared" si="442"/>
        <v>16803.04</v>
      </c>
      <c r="U1480" s="87">
        <v>16803.04</v>
      </c>
    </row>
    <row r="1481" spans="1:22" s="30" customFormat="1" ht="24.6" hidden="1" outlineLevel="1" x14ac:dyDescent="0.55000000000000004">
      <c r="A1481" s="27" t="s">
        <v>327</v>
      </c>
      <c r="B1481" s="28"/>
      <c r="C1481" s="27"/>
      <c r="D1481" s="27" t="str">
        <f>"""NAV Direct"",""CRONUS JetCorp USA"",""21"",""1"",""22955"""</f>
        <v>"NAV Direct","CRONUS JetCorp USA","21","1","22955"</v>
      </c>
      <c r="E1481" s="31" t="str">
        <f t="shared" si="434"/>
        <v>C100053</v>
      </c>
      <c r="F1481" s="31"/>
      <c r="G1481" s="31"/>
      <c r="H1481" s="31"/>
      <c r="I1481" s="56"/>
      <c r="J1481" s="56"/>
      <c r="K1481" s="82" t="str">
        <f t="shared" si="435"/>
        <v>Invoice</v>
      </c>
      <c r="L1481" s="83" t="str">
        <f>"SI_104158"</f>
        <v>SI_104158</v>
      </c>
      <c r="M1481" s="84">
        <v>42369</v>
      </c>
      <c r="N1481" s="85">
        <f t="shared" si="436"/>
        <v>1443</v>
      </c>
      <c r="O1481" s="86">
        <f t="shared" si="437"/>
        <v>16980.2</v>
      </c>
      <c r="P1481" s="86">
        <f t="shared" si="438"/>
        <v>0</v>
      </c>
      <c r="Q1481" s="86">
        <f t="shared" si="439"/>
        <v>0</v>
      </c>
      <c r="R1481" s="86">
        <f t="shared" si="440"/>
        <v>0</v>
      </c>
      <c r="S1481" s="86">
        <f t="shared" si="441"/>
        <v>0</v>
      </c>
      <c r="T1481" s="86">
        <f t="shared" si="442"/>
        <v>16980.2</v>
      </c>
      <c r="U1481" s="87">
        <v>16980.2</v>
      </c>
    </row>
    <row r="1482" spans="1:22" s="30" customFormat="1" ht="24.6" hidden="1" outlineLevel="1" x14ac:dyDescent="0.55000000000000004">
      <c r="A1482" s="27" t="s">
        <v>327</v>
      </c>
      <c r="B1482" s="28"/>
      <c r="C1482" s="27"/>
      <c r="D1482" s="27" t="str">
        <f>"""NAV Direct"",""CRONUS JetCorp USA"",""21"",""1"",""23016"""</f>
        <v>"NAV Direct","CRONUS JetCorp USA","21","1","23016"</v>
      </c>
      <c r="E1482" s="31">
        <f t="shared" si="434"/>
        <v>0</v>
      </c>
      <c r="F1482" s="31"/>
      <c r="G1482" s="31"/>
      <c r="H1482" s="31"/>
      <c r="I1482" s="56"/>
      <c r="J1482" s="56"/>
      <c r="K1482" s="82" t="str">
        <f t="shared" si="435"/>
        <v>Invoice</v>
      </c>
      <c r="L1482" s="83" t="str">
        <f>"SI_104161"</f>
        <v>SI_104161</v>
      </c>
      <c r="M1482" s="84">
        <v>42369</v>
      </c>
      <c r="N1482" s="85">
        <f t="shared" si="436"/>
        <v>1443</v>
      </c>
      <c r="O1482" s="86">
        <f t="shared" si="437"/>
        <v>16625.530000000002</v>
      </c>
      <c r="P1482" s="86">
        <f t="shared" si="438"/>
        <v>0</v>
      </c>
      <c r="Q1482" s="86">
        <f t="shared" si="439"/>
        <v>0</v>
      </c>
      <c r="R1482" s="86">
        <f t="shared" si="440"/>
        <v>0</v>
      </c>
      <c r="S1482" s="86">
        <f t="shared" si="441"/>
        <v>0</v>
      </c>
      <c r="T1482" s="86">
        <f t="shared" si="442"/>
        <v>16625.530000000002</v>
      </c>
      <c r="U1482" s="87">
        <v>16625.530000000002</v>
      </c>
    </row>
    <row r="1483" spans="1:22" s="30" customFormat="1" ht="24.6" hidden="1" outlineLevel="1" x14ac:dyDescent="0.55000000000000004">
      <c r="A1483" s="27" t="s">
        <v>327</v>
      </c>
      <c r="B1483" s="28"/>
      <c r="C1483" s="27"/>
      <c r="D1483" s="27" t="str">
        <f>"""NAV Direct"",""CRONUS JetCorp USA"",""21"",""1"",""313484"""</f>
        <v>"NAV Direct","CRONUS JetCorp USA","21","1","313484"</v>
      </c>
      <c r="E1483" s="31" t="str">
        <f t="shared" si="434"/>
        <v>C100053</v>
      </c>
      <c r="F1483" s="31"/>
      <c r="G1483" s="31"/>
      <c r="H1483" s="31"/>
      <c r="I1483" s="56"/>
      <c r="J1483" s="56"/>
      <c r="K1483" s="82" t="str">
        <f t="shared" si="435"/>
        <v>Invoice</v>
      </c>
      <c r="L1483" s="83" t="str">
        <f>"SI_109712"</f>
        <v>SI_109712</v>
      </c>
      <c r="M1483" s="84">
        <v>42400</v>
      </c>
      <c r="N1483" s="85">
        <f t="shared" si="436"/>
        <v>1412</v>
      </c>
      <c r="O1483" s="86">
        <f t="shared" si="437"/>
        <v>11749.679999999998</v>
      </c>
      <c r="P1483" s="86">
        <f t="shared" si="438"/>
        <v>0</v>
      </c>
      <c r="Q1483" s="86">
        <f t="shared" si="439"/>
        <v>0</v>
      </c>
      <c r="R1483" s="86">
        <f t="shared" si="440"/>
        <v>0</v>
      </c>
      <c r="S1483" s="86">
        <f t="shared" si="441"/>
        <v>0</v>
      </c>
      <c r="T1483" s="86">
        <f t="shared" si="442"/>
        <v>11749.679999999998</v>
      </c>
      <c r="U1483" s="87">
        <v>11749.679999999998</v>
      </c>
    </row>
    <row r="1484" spans="1:22" s="30" customFormat="1" ht="24.6" hidden="1" outlineLevel="1" x14ac:dyDescent="0.55000000000000004">
      <c r="A1484" s="27" t="s">
        <v>327</v>
      </c>
      <c r="B1484" s="28"/>
      <c r="C1484" s="27"/>
      <c r="D1484" s="27" t="str">
        <f>"""NAV Direct"",""CRONUS JetCorp USA"",""21"",""1"",""313509"""</f>
        <v>"NAV Direct","CRONUS JetCorp USA","21","1","313509"</v>
      </c>
      <c r="E1484" s="31">
        <f t="shared" si="434"/>
        <v>0</v>
      </c>
      <c r="F1484" s="31"/>
      <c r="G1484" s="31"/>
      <c r="H1484" s="31"/>
      <c r="I1484" s="56"/>
      <c r="J1484" s="56"/>
      <c r="K1484" s="82" t="str">
        <f t="shared" si="435"/>
        <v>Invoice</v>
      </c>
      <c r="L1484" s="83" t="str">
        <f>"SI_109713"</f>
        <v>SI_109713</v>
      </c>
      <c r="M1484" s="84">
        <v>42400</v>
      </c>
      <c r="N1484" s="85">
        <f t="shared" si="436"/>
        <v>1412</v>
      </c>
      <c r="O1484" s="86">
        <f t="shared" si="437"/>
        <v>11873.789999999999</v>
      </c>
      <c r="P1484" s="86">
        <f t="shared" si="438"/>
        <v>0</v>
      </c>
      <c r="Q1484" s="86">
        <f t="shared" si="439"/>
        <v>0</v>
      </c>
      <c r="R1484" s="86">
        <f t="shared" si="440"/>
        <v>0</v>
      </c>
      <c r="S1484" s="86">
        <f t="shared" si="441"/>
        <v>0</v>
      </c>
      <c r="T1484" s="86">
        <f t="shared" si="442"/>
        <v>11873.789999999999</v>
      </c>
      <c r="U1484" s="87">
        <v>11873.789999999999</v>
      </c>
    </row>
    <row r="1485" spans="1:22" s="30" customFormat="1" ht="24.6" hidden="1" outlineLevel="1" x14ac:dyDescent="0.55000000000000004">
      <c r="A1485" s="27" t="s">
        <v>327</v>
      </c>
      <c r="B1485" s="28"/>
      <c r="C1485" s="27"/>
      <c r="D1485" s="27" t="str">
        <f>"""NAV Direct"",""CRONUS JetCorp USA"",""21"",""1"",""313603"""</f>
        <v>"NAV Direct","CRONUS JetCorp USA","21","1","313603"</v>
      </c>
      <c r="E1485" s="31" t="str">
        <f t="shared" si="434"/>
        <v>C100053</v>
      </c>
      <c r="F1485" s="31"/>
      <c r="G1485" s="31"/>
      <c r="H1485" s="31"/>
      <c r="I1485" s="56"/>
      <c r="J1485" s="56"/>
      <c r="K1485" s="82" t="str">
        <f t="shared" si="435"/>
        <v>Invoice</v>
      </c>
      <c r="L1485" s="83" t="str">
        <f>"SI_109717"</f>
        <v>SI_109717</v>
      </c>
      <c r="M1485" s="84">
        <v>42429</v>
      </c>
      <c r="N1485" s="85">
        <f t="shared" si="436"/>
        <v>1383</v>
      </c>
      <c r="O1485" s="86">
        <f t="shared" si="437"/>
        <v>12299.89</v>
      </c>
      <c r="P1485" s="86">
        <f t="shared" si="438"/>
        <v>0</v>
      </c>
      <c r="Q1485" s="86">
        <f t="shared" si="439"/>
        <v>0</v>
      </c>
      <c r="R1485" s="86">
        <f t="shared" si="440"/>
        <v>0</v>
      </c>
      <c r="S1485" s="86">
        <f t="shared" si="441"/>
        <v>0</v>
      </c>
      <c r="T1485" s="86">
        <f t="shared" si="442"/>
        <v>12299.89</v>
      </c>
      <c r="U1485" s="87">
        <v>12299.89</v>
      </c>
    </row>
    <row r="1486" spans="1:22" s="30" customFormat="1" ht="24.6" hidden="1" outlineLevel="1" x14ac:dyDescent="0.55000000000000004">
      <c r="A1486" s="27" t="s">
        <v>327</v>
      </c>
      <c r="B1486" s="28"/>
      <c r="C1486" s="27"/>
      <c r="D1486" s="27" t="str">
        <f>"""NAV Direct"",""CRONUS JetCorp USA"",""21"",""1"",""313632"""</f>
        <v>"NAV Direct","CRONUS JetCorp USA","21","1","313632"</v>
      </c>
      <c r="E1486" s="31">
        <f t="shared" si="434"/>
        <v>0</v>
      </c>
      <c r="F1486" s="31"/>
      <c r="G1486" s="31"/>
      <c r="H1486" s="31"/>
      <c r="I1486" s="56"/>
      <c r="J1486" s="56"/>
      <c r="K1486" s="82" t="str">
        <f t="shared" si="435"/>
        <v>Invoice</v>
      </c>
      <c r="L1486" s="83" t="str">
        <f>"SI_109718"</f>
        <v>SI_109718</v>
      </c>
      <c r="M1486" s="84">
        <v>42429</v>
      </c>
      <c r="N1486" s="85">
        <f t="shared" si="436"/>
        <v>1383</v>
      </c>
      <c r="O1486" s="86">
        <f t="shared" si="437"/>
        <v>12556.15</v>
      </c>
      <c r="P1486" s="86">
        <f t="shared" si="438"/>
        <v>0</v>
      </c>
      <c r="Q1486" s="86">
        <f t="shared" si="439"/>
        <v>0</v>
      </c>
      <c r="R1486" s="86">
        <f t="shared" si="440"/>
        <v>0</v>
      </c>
      <c r="S1486" s="86">
        <f t="shared" si="441"/>
        <v>0</v>
      </c>
      <c r="T1486" s="86">
        <f t="shared" si="442"/>
        <v>12556.15</v>
      </c>
      <c r="U1486" s="87">
        <v>12556.15</v>
      </c>
    </row>
    <row r="1487" spans="1:22" s="30" customFormat="1" ht="24.6" hidden="1" outlineLevel="1" x14ac:dyDescent="0.55000000000000004">
      <c r="A1487" s="27" t="s">
        <v>327</v>
      </c>
      <c r="B1487" s="28"/>
      <c r="C1487" s="27"/>
      <c r="D1487" s="27" t="str">
        <f>"""NAV Direct"",""CRONUS JetCorp USA"",""21"",""1"",""313740"""</f>
        <v>"NAV Direct","CRONUS JetCorp USA","21","1","313740"</v>
      </c>
      <c r="E1487" s="31" t="str">
        <f t="shared" si="434"/>
        <v>C100053</v>
      </c>
      <c r="F1487" s="31"/>
      <c r="G1487" s="31"/>
      <c r="H1487" s="31"/>
      <c r="I1487" s="56"/>
      <c r="J1487" s="56"/>
      <c r="K1487" s="82" t="str">
        <f t="shared" si="435"/>
        <v>Invoice</v>
      </c>
      <c r="L1487" s="83" t="str">
        <f>"SI_109722"</f>
        <v>SI_109722</v>
      </c>
      <c r="M1487" s="84">
        <v>42460</v>
      </c>
      <c r="N1487" s="85">
        <f t="shared" si="436"/>
        <v>1352</v>
      </c>
      <c r="O1487" s="86">
        <f t="shared" si="437"/>
        <v>12512.750000000002</v>
      </c>
      <c r="P1487" s="86">
        <f t="shared" si="438"/>
        <v>0</v>
      </c>
      <c r="Q1487" s="86">
        <f t="shared" si="439"/>
        <v>0</v>
      </c>
      <c r="R1487" s="86">
        <f t="shared" si="440"/>
        <v>0</v>
      </c>
      <c r="S1487" s="86">
        <f t="shared" si="441"/>
        <v>0</v>
      </c>
      <c r="T1487" s="86">
        <f t="shared" si="442"/>
        <v>12512.750000000002</v>
      </c>
      <c r="U1487" s="87">
        <v>12512.750000000002</v>
      </c>
    </row>
    <row r="1488" spans="1:22" s="30" customFormat="1" ht="24.6" hidden="1" outlineLevel="1" x14ac:dyDescent="0.55000000000000004">
      <c r="A1488" s="27" t="s">
        <v>327</v>
      </c>
      <c r="B1488" s="28"/>
      <c r="C1488" s="27"/>
      <c r="D1488" s="27" t="str">
        <f>"""NAV Direct"",""CRONUS JetCorp USA"",""21"",""1"",""313780"""</f>
        <v>"NAV Direct","CRONUS JetCorp USA","21","1","313780"</v>
      </c>
      <c r="E1488" s="31">
        <f t="shared" si="434"/>
        <v>0</v>
      </c>
      <c r="F1488" s="31"/>
      <c r="G1488" s="31"/>
      <c r="H1488" s="31"/>
      <c r="I1488" s="56"/>
      <c r="J1488" s="56"/>
      <c r="K1488" s="82" t="str">
        <f t="shared" si="435"/>
        <v>Invoice</v>
      </c>
      <c r="L1488" s="83" t="str">
        <f>"SI_109724"</f>
        <v>SI_109724</v>
      </c>
      <c r="M1488" s="84">
        <v>42460</v>
      </c>
      <c r="N1488" s="85">
        <f t="shared" si="436"/>
        <v>1352</v>
      </c>
      <c r="O1488" s="86">
        <f t="shared" si="437"/>
        <v>12906.47</v>
      </c>
      <c r="P1488" s="86">
        <f t="shared" si="438"/>
        <v>0</v>
      </c>
      <c r="Q1488" s="86">
        <f t="shared" si="439"/>
        <v>0</v>
      </c>
      <c r="R1488" s="86">
        <f t="shared" si="440"/>
        <v>0</v>
      </c>
      <c r="S1488" s="86">
        <f t="shared" si="441"/>
        <v>0</v>
      </c>
      <c r="T1488" s="86">
        <f t="shared" si="442"/>
        <v>12906.47</v>
      </c>
      <c r="U1488" s="87">
        <v>12906.47</v>
      </c>
    </row>
    <row r="1489" spans="1:21" s="30" customFormat="1" ht="24.6" hidden="1" outlineLevel="1" x14ac:dyDescent="0.55000000000000004">
      <c r="A1489" s="27" t="s">
        <v>327</v>
      </c>
      <c r="B1489" s="28"/>
      <c r="C1489" s="27"/>
      <c r="D1489" s="27" t="str">
        <f>"""NAV Direct"",""CRONUS JetCorp USA"",""21"",""1"",""313803"""</f>
        <v>"NAV Direct","CRONUS JetCorp USA","21","1","313803"</v>
      </c>
      <c r="E1489" s="31" t="str">
        <f t="shared" si="434"/>
        <v>C100053</v>
      </c>
      <c r="F1489" s="31"/>
      <c r="G1489" s="31"/>
      <c r="H1489" s="31"/>
      <c r="I1489" s="56"/>
      <c r="J1489" s="56"/>
      <c r="K1489" s="82" t="str">
        <f t="shared" si="435"/>
        <v>Invoice</v>
      </c>
      <c r="L1489" s="83" t="str">
        <f>"SI_109725"</f>
        <v>SI_109725</v>
      </c>
      <c r="M1489" s="84">
        <v>42490</v>
      </c>
      <c r="N1489" s="85">
        <f t="shared" si="436"/>
        <v>1322</v>
      </c>
      <c r="O1489" s="86">
        <f t="shared" si="437"/>
        <v>12387.33</v>
      </c>
      <c r="P1489" s="86">
        <f t="shared" si="438"/>
        <v>0</v>
      </c>
      <c r="Q1489" s="86">
        <f t="shared" si="439"/>
        <v>0</v>
      </c>
      <c r="R1489" s="86">
        <f t="shared" si="440"/>
        <v>0</v>
      </c>
      <c r="S1489" s="86">
        <f t="shared" si="441"/>
        <v>0</v>
      </c>
      <c r="T1489" s="86">
        <f t="shared" si="442"/>
        <v>12387.33</v>
      </c>
      <c r="U1489" s="87">
        <v>12387.33</v>
      </c>
    </row>
    <row r="1490" spans="1:21" s="30" customFormat="1" ht="24.6" hidden="1" outlineLevel="1" x14ac:dyDescent="0.55000000000000004">
      <c r="A1490" s="27" t="s">
        <v>327</v>
      </c>
      <c r="B1490" s="28"/>
      <c r="C1490" s="27"/>
      <c r="D1490" s="27" t="str">
        <f>"""NAV Direct"",""CRONUS JetCorp USA"",""21"",""1"",""313903"""</f>
        <v>"NAV Direct","CRONUS JetCorp USA","21","1","313903"</v>
      </c>
      <c r="E1490" s="31">
        <f t="shared" si="434"/>
        <v>0</v>
      </c>
      <c r="F1490" s="31"/>
      <c r="G1490" s="31"/>
      <c r="H1490" s="31"/>
      <c r="I1490" s="56"/>
      <c r="J1490" s="56"/>
      <c r="K1490" s="82" t="str">
        <f t="shared" si="435"/>
        <v>Invoice</v>
      </c>
      <c r="L1490" s="83" t="str">
        <f>"SI_109729"</f>
        <v>SI_109729</v>
      </c>
      <c r="M1490" s="84">
        <v>42521</v>
      </c>
      <c r="N1490" s="85">
        <f t="shared" si="436"/>
        <v>1291</v>
      </c>
      <c r="O1490" s="86">
        <f t="shared" si="437"/>
        <v>12374.81</v>
      </c>
      <c r="P1490" s="86">
        <f t="shared" si="438"/>
        <v>0</v>
      </c>
      <c r="Q1490" s="86">
        <f t="shared" si="439"/>
        <v>0</v>
      </c>
      <c r="R1490" s="86">
        <f t="shared" si="440"/>
        <v>0</v>
      </c>
      <c r="S1490" s="86">
        <f t="shared" si="441"/>
        <v>0</v>
      </c>
      <c r="T1490" s="86">
        <f t="shared" si="442"/>
        <v>12374.81</v>
      </c>
      <c r="U1490" s="87">
        <v>12374.81</v>
      </c>
    </row>
    <row r="1491" spans="1:21" s="30" customFormat="1" ht="24.6" hidden="1" outlineLevel="1" x14ac:dyDescent="0.55000000000000004">
      <c r="A1491" s="27" t="s">
        <v>327</v>
      </c>
      <c r="B1491" s="28"/>
      <c r="C1491" s="27"/>
      <c r="D1491" s="27" t="str">
        <f>"""NAV Direct"",""CRONUS JetCorp USA"",""21"",""1"",""314254"""</f>
        <v>"NAV Direct","CRONUS JetCorp USA","21","1","314254"</v>
      </c>
      <c r="E1491" s="31" t="str">
        <f t="shared" si="434"/>
        <v>C100053</v>
      </c>
      <c r="F1491" s="31"/>
      <c r="G1491" s="31"/>
      <c r="H1491" s="31"/>
      <c r="I1491" s="56"/>
      <c r="J1491" s="56"/>
      <c r="K1491" s="82" t="str">
        <f t="shared" si="435"/>
        <v>Invoice</v>
      </c>
      <c r="L1491" s="83" t="str">
        <f>"SI_109744"</f>
        <v>SI_109744</v>
      </c>
      <c r="M1491" s="84">
        <v>42613</v>
      </c>
      <c r="N1491" s="85">
        <f t="shared" si="436"/>
        <v>1199</v>
      </c>
      <c r="O1491" s="86">
        <f t="shared" si="437"/>
        <v>12856.42</v>
      </c>
      <c r="P1491" s="86">
        <f t="shared" si="438"/>
        <v>0</v>
      </c>
      <c r="Q1491" s="86">
        <f t="shared" si="439"/>
        <v>0</v>
      </c>
      <c r="R1491" s="86">
        <f t="shared" si="440"/>
        <v>0</v>
      </c>
      <c r="S1491" s="86">
        <f t="shared" si="441"/>
        <v>0</v>
      </c>
      <c r="T1491" s="86">
        <f t="shared" si="442"/>
        <v>12856.42</v>
      </c>
      <c r="U1491" s="87">
        <v>12856.42</v>
      </c>
    </row>
    <row r="1492" spans="1:21" s="30" customFormat="1" ht="24.6" hidden="1" outlineLevel="1" x14ac:dyDescent="0.55000000000000004">
      <c r="A1492" s="27" t="s">
        <v>327</v>
      </c>
      <c r="B1492" s="28"/>
      <c r="C1492" s="27"/>
      <c r="D1492" s="27" t="str">
        <f>"""NAV Direct"",""CRONUS JetCorp USA"",""21"",""1"",""314329"""</f>
        <v>"NAV Direct","CRONUS JetCorp USA","21","1","314329"</v>
      </c>
      <c r="E1492" s="31">
        <f t="shared" si="434"/>
        <v>0</v>
      </c>
      <c r="F1492" s="31"/>
      <c r="G1492" s="31"/>
      <c r="H1492" s="31"/>
      <c r="I1492" s="56"/>
      <c r="J1492" s="56"/>
      <c r="K1492" s="82" t="str">
        <f t="shared" si="435"/>
        <v>Invoice</v>
      </c>
      <c r="L1492" s="83" t="str">
        <f>"SI_109747"</f>
        <v>SI_109747</v>
      </c>
      <c r="M1492" s="84">
        <v>42643</v>
      </c>
      <c r="N1492" s="85">
        <f t="shared" si="436"/>
        <v>1169</v>
      </c>
      <c r="O1492" s="86">
        <f t="shared" si="437"/>
        <v>12959.760000000002</v>
      </c>
      <c r="P1492" s="86">
        <f t="shared" si="438"/>
        <v>0</v>
      </c>
      <c r="Q1492" s="86">
        <f t="shared" si="439"/>
        <v>0</v>
      </c>
      <c r="R1492" s="86">
        <f t="shared" si="440"/>
        <v>0</v>
      </c>
      <c r="S1492" s="86">
        <f t="shared" si="441"/>
        <v>0</v>
      </c>
      <c r="T1492" s="86">
        <f t="shared" si="442"/>
        <v>12959.760000000002</v>
      </c>
      <c r="U1492" s="87">
        <v>12959.760000000002</v>
      </c>
    </row>
    <row r="1493" spans="1:21" s="30" customFormat="1" ht="24.6" hidden="1" outlineLevel="1" x14ac:dyDescent="0.55000000000000004">
      <c r="A1493" s="27" t="s">
        <v>327</v>
      </c>
      <c r="B1493" s="28"/>
      <c r="C1493" s="27"/>
      <c r="D1493" s="27" t="str">
        <f>"""NAV Direct"",""CRONUS JetCorp USA"",""21"",""1"",""314358"""</f>
        <v>"NAV Direct","CRONUS JetCorp USA","21","1","314358"</v>
      </c>
      <c r="E1493" s="31" t="str">
        <f t="shared" si="434"/>
        <v>C100053</v>
      </c>
      <c r="F1493" s="31"/>
      <c r="G1493" s="31"/>
      <c r="H1493" s="31"/>
      <c r="I1493" s="56"/>
      <c r="J1493" s="56"/>
      <c r="K1493" s="82" t="str">
        <f t="shared" si="435"/>
        <v>Invoice</v>
      </c>
      <c r="L1493" s="83" t="str">
        <f>"SI_109748"</f>
        <v>SI_109748</v>
      </c>
      <c r="M1493" s="84">
        <v>42643</v>
      </c>
      <c r="N1493" s="85">
        <f t="shared" si="436"/>
        <v>1169</v>
      </c>
      <c r="O1493" s="86">
        <f t="shared" si="437"/>
        <v>13229.810000000001</v>
      </c>
      <c r="P1493" s="86">
        <f t="shared" si="438"/>
        <v>0</v>
      </c>
      <c r="Q1493" s="86">
        <f t="shared" si="439"/>
        <v>0</v>
      </c>
      <c r="R1493" s="86">
        <f t="shared" si="440"/>
        <v>0</v>
      </c>
      <c r="S1493" s="86">
        <f t="shared" si="441"/>
        <v>0</v>
      </c>
      <c r="T1493" s="86">
        <f t="shared" si="442"/>
        <v>13229.810000000001</v>
      </c>
      <c r="U1493" s="87">
        <v>13229.810000000001</v>
      </c>
    </row>
    <row r="1494" spans="1:21" s="30" customFormat="1" ht="24.6" hidden="1" outlineLevel="1" x14ac:dyDescent="0.55000000000000004">
      <c r="A1494" s="27" t="s">
        <v>327</v>
      </c>
      <c r="B1494" s="28"/>
      <c r="C1494" s="27"/>
      <c r="D1494" s="27" t="str">
        <f>"""NAV Direct"",""CRONUS JetCorp USA"",""21"",""1"",""314812"""</f>
        <v>"NAV Direct","CRONUS JetCorp USA","21","1","314812"</v>
      </c>
      <c r="E1494" s="31">
        <f t="shared" si="434"/>
        <v>0</v>
      </c>
      <c r="F1494" s="31"/>
      <c r="G1494" s="31"/>
      <c r="H1494" s="31"/>
      <c r="I1494" s="56"/>
      <c r="J1494" s="56"/>
      <c r="K1494" s="82" t="str">
        <f t="shared" si="435"/>
        <v>Invoice</v>
      </c>
      <c r="L1494" s="83" t="str">
        <f>"SI_109766"</f>
        <v>SI_109766</v>
      </c>
      <c r="M1494" s="84">
        <v>42735</v>
      </c>
      <c r="N1494" s="85">
        <f t="shared" si="436"/>
        <v>1077</v>
      </c>
      <c r="O1494" s="86">
        <f t="shared" si="437"/>
        <v>13490.27</v>
      </c>
      <c r="P1494" s="86">
        <f t="shared" si="438"/>
        <v>0</v>
      </c>
      <c r="Q1494" s="86">
        <f t="shared" si="439"/>
        <v>0</v>
      </c>
      <c r="R1494" s="86">
        <f t="shared" si="440"/>
        <v>0</v>
      </c>
      <c r="S1494" s="86">
        <f t="shared" si="441"/>
        <v>0</v>
      </c>
      <c r="T1494" s="86">
        <f t="shared" si="442"/>
        <v>13490.27</v>
      </c>
      <c r="U1494" s="87">
        <v>13490.27</v>
      </c>
    </row>
    <row r="1495" spans="1:21" s="30" customFormat="1" ht="24.6" hidden="1" outlineLevel="1" x14ac:dyDescent="0.55000000000000004">
      <c r="A1495" s="27" t="s">
        <v>327</v>
      </c>
      <c r="B1495" s="28"/>
      <c r="C1495" s="27"/>
      <c r="D1495" s="27" t="str">
        <f>"""NAV Direct"",""CRONUS JetCorp USA"",""21"",""1"",""314835"""</f>
        <v>"NAV Direct","CRONUS JetCorp USA","21","1","314835"</v>
      </c>
      <c r="E1495" s="31" t="str">
        <f t="shared" si="434"/>
        <v>C100053</v>
      </c>
      <c r="F1495" s="31"/>
      <c r="G1495" s="31"/>
      <c r="H1495" s="31"/>
      <c r="I1495" s="56"/>
      <c r="J1495" s="56"/>
      <c r="K1495" s="82" t="str">
        <f t="shared" si="435"/>
        <v>Invoice</v>
      </c>
      <c r="L1495" s="83" t="str">
        <f>"SI_109767"</f>
        <v>SI_109767</v>
      </c>
      <c r="M1495" s="84">
        <v>42735</v>
      </c>
      <c r="N1495" s="85">
        <f t="shared" si="436"/>
        <v>1077</v>
      </c>
      <c r="O1495" s="86">
        <f t="shared" si="437"/>
        <v>13656.41</v>
      </c>
      <c r="P1495" s="86">
        <f t="shared" si="438"/>
        <v>0</v>
      </c>
      <c r="Q1495" s="86">
        <f t="shared" si="439"/>
        <v>0</v>
      </c>
      <c r="R1495" s="86">
        <f t="shared" si="440"/>
        <v>0</v>
      </c>
      <c r="S1495" s="86">
        <f t="shared" si="441"/>
        <v>0</v>
      </c>
      <c r="T1495" s="86">
        <f t="shared" si="442"/>
        <v>13656.41</v>
      </c>
      <c r="U1495" s="87">
        <v>13656.41</v>
      </c>
    </row>
    <row r="1496" spans="1:21" s="30" customFormat="1" ht="24.6" hidden="1" outlineLevel="1" x14ac:dyDescent="0.55000000000000004">
      <c r="A1496" s="27" t="s">
        <v>327</v>
      </c>
      <c r="B1496" s="28"/>
      <c r="C1496" s="27"/>
      <c r="D1496" s="27" t="str">
        <f>"""NAV Direct"",""CRONUS JetCorp USA"",""21"",""1"",""314925"""</f>
        <v>"NAV Direct","CRONUS JetCorp USA","21","1","314925"</v>
      </c>
      <c r="E1496" s="31">
        <f t="shared" si="434"/>
        <v>0</v>
      </c>
      <c r="F1496" s="31"/>
      <c r="G1496" s="31"/>
      <c r="H1496" s="31"/>
      <c r="I1496" s="56"/>
      <c r="J1496" s="56"/>
      <c r="K1496" s="82" t="str">
        <f t="shared" si="435"/>
        <v>Invoice</v>
      </c>
      <c r="L1496" s="83" t="str">
        <f>"SI_109771"</f>
        <v>SI_109771</v>
      </c>
      <c r="M1496" s="84">
        <v>42794</v>
      </c>
      <c r="N1496" s="85">
        <f t="shared" si="436"/>
        <v>1018</v>
      </c>
      <c r="O1496" s="86">
        <f t="shared" si="437"/>
        <v>14038.179999999998</v>
      </c>
      <c r="P1496" s="86">
        <f t="shared" si="438"/>
        <v>0</v>
      </c>
      <c r="Q1496" s="86">
        <f t="shared" si="439"/>
        <v>0</v>
      </c>
      <c r="R1496" s="86">
        <f t="shared" si="440"/>
        <v>0</v>
      </c>
      <c r="S1496" s="86">
        <f t="shared" si="441"/>
        <v>0</v>
      </c>
      <c r="T1496" s="86">
        <f t="shared" si="442"/>
        <v>14038.179999999998</v>
      </c>
      <c r="U1496" s="87">
        <v>14038.179999999998</v>
      </c>
    </row>
    <row r="1497" spans="1:21" s="30" customFormat="1" ht="24.6" hidden="1" outlineLevel="1" x14ac:dyDescent="0.55000000000000004">
      <c r="A1497" s="27" t="s">
        <v>327</v>
      </c>
      <c r="B1497" s="28"/>
      <c r="C1497" s="27"/>
      <c r="D1497" s="27" t="str">
        <f>"""NAV Direct"",""CRONUS JetCorp USA"",""21"",""1"",""315555"""</f>
        <v>"NAV Direct","CRONUS JetCorp USA","21","1","315555"</v>
      </c>
      <c r="E1497" s="31" t="str">
        <f t="shared" si="434"/>
        <v>C100053</v>
      </c>
      <c r="F1497" s="31"/>
      <c r="G1497" s="31"/>
      <c r="H1497" s="31"/>
      <c r="I1497" s="56"/>
      <c r="J1497" s="56"/>
      <c r="K1497" s="82" t="str">
        <f t="shared" si="435"/>
        <v>Invoice</v>
      </c>
      <c r="L1497" s="83" t="str">
        <f>"SI_109795"</f>
        <v>SI_109795</v>
      </c>
      <c r="M1497" s="84">
        <v>42947</v>
      </c>
      <c r="N1497" s="85">
        <f t="shared" si="436"/>
        <v>865</v>
      </c>
      <c r="O1497" s="86">
        <f t="shared" si="437"/>
        <v>12066.460000000001</v>
      </c>
      <c r="P1497" s="86">
        <f t="shared" si="438"/>
        <v>0</v>
      </c>
      <c r="Q1497" s="86">
        <f t="shared" si="439"/>
        <v>0</v>
      </c>
      <c r="R1497" s="86">
        <f t="shared" si="440"/>
        <v>0</v>
      </c>
      <c r="S1497" s="86">
        <f t="shared" si="441"/>
        <v>0</v>
      </c>
      <c r="T1497" s="86">
        <f t="shared" si="442"/>
        <v>12066.460000000001</v>
      </c>
      <c r="U1497" s="87">
        <v>12066.460000000001</v>
      </c>
    </row>
    <row r="1498" spans="1:21" s="30" customFormat="1" ht="24.6" hidden="1" outlineLevel="1" x14ac:dyDescent="0.55000000000000004">
      <c r="A1498" s="27" t="s">
        <v>327</v>
      </c>
      <c r="B1498" s="28"/>
      <c r="C1498" s="27"/>
      <c r="D1498" s="27" t="str">
        <f>"""NAV Direct"",""CRONUS JetCorp USA"",""21"",""1"",""315636"""</f>
        <v>"NAV Direct","CRONUS JetCorp USA","21","1","315636"</v>
      </c>
      <c r="E1498" s="31">
        <f t="shared" si="434"/>
        <v>0</v>
      </c>
      <c r="F1498" s="31"/>
      <c r="G1498" s="31"/>
      <c r="H1498" s="31"/>
      <c r="I1498" s="56"/>
      <c r="J1498" s="56"/>
      <c r="K1498" s="82" t="str">
        <f t="shared" si="435"/>
        <v>Invoice</v>
      </c>
      <c r="L1498" s="83" t="str">
        <f>"SI_109798"</f>
        <v>SI_109798</v>
      </c>
      <c r="M1498" s="84">
        <v>42978</v>
      </c>
      <c r="N1498" s="85">
        <f t="shared" si="436"/>
        <v>834</v>
      </c>
      <c r="O1498" s="86">
        <f t="shared" si="437"/>
        <v>11619.66</v>
      </c>
      <c r="P1498" s="86">
        <f t="shared" si="438"/>
        <v>0</v>
      </c>
      <c r="Q1498" s="86">
        <f t="shared" si="439"/>
        <v>0</v>
      </c>
      <c r="R1498" s="86">
        <f t="shared" si="440"/>
        <v>0</v>
      </c>
      <c r="S1498" s="86">
        <f t="shared" si="441"/>
        <v>0</v>
      </c>
      <c r="T1498" s="86">
        <f t="shared" si="442"/>
        <v>11619.66</v>
      </c>
      <c r="U1498" s="87">
        <v>11619.66</v>
      </c>
    </row>
    <row r="1499" spans="1:21" s="30" customFormat="1" ht="24.6" hidden="1" outlineLevel="1" x14ac:dyDescent="0.55000000000000004">
      <c r="A1499" s="27" t="s">
        <v>327</v>
      </c>
      <c r="B1499" s="28"/>
      <c r="C1499" s="27"/>
      <c r="D1499" s="27" t="str">
        <f>"""NAV Direct"",""CRONUS JetCorp USA"",""21"",""1"",""315663"""</f>
        <v>"NAV Direct","CRONUS JetCorp USA","21","1","315663"</v>
      </c>
      <c r="E1499" s="31" t="str">
        <f t="shared" si="434"/>
        <v>C100053</v>
      </c>
      <c r="F1499" s="31"/>
      <c r="G1499" s="31"/>
      <c r="H1499" s="31"/>
      <c r="I1499" s="56"/>
      <c r="J1499" s="56"/>
      <c r="K1499" s="82" t="str">
        <f t="shared" si="435"/>
        <v>Invoice</v>
      </c>
      <c r="L1499" s="83" t="str">
        <f>"SI_109799"</f>
        <v>SI_109799</v>
      </c>
      <c r="M1499" s="84">
        <v>42978</v>
      </c>
      <c r="N1499" s="85">
        <f t="shared" si="436"/>
        <v>834</v>
      </c>
      <c r="O1499" s="86">
        <f t="shared" si="437"/>
        <v>11618.77</v>
      </c>
      <c r="P1499" s="86">
        <f t="shared" si="438"/>
        <v>0</v>
      </c>
      <c r="Q1499" s="86">
        <f t="shared" si="439"/>
        <v>0</v>
      </c>
      <c r="R1499" s="86">
        <f t="shared" si="440"/>
        <v>0</v>
      </c>
      <c r="S1499" s="86">
        <f t="shared" si="441"/>
        <v>0</v>
      </c>
      <c r="T1499" s="86">
        <f t="shared" si="442"/>
        <v>11618.77</v>
      </c>
      <c r="U1499" s="87">
        <v>11618.77</v>
      </c>
    </row>
    <row r="1500" spans="1:21" s="30" customFormat="1" ht="24.6" hidden="1" outlineLevel="1" x14ac:dyDescent="0.55000000000000004">
      <c r="A1500" s="27" t="s">
        <v>327</v>
      </c>
      <c r="B1500" s="28"/>
      <c r="C1500" s="27"/>
      <c r="D1500" s="27" t="str">
        <f>"""NAV Direct"",""CRONUS JetCorp USA"",""21"",""1"",""315682"""</f>
        <v>"NAV Direct","CRONUS JetCorp USA","21","1","315682"</v>
      </c>
      <c r="E1500" s="31">
        <f t="shared" si="434"/>
        <v>0</v>
      </c>
      <c r="F1500" s="31"/>
      <c r="G1500" s="31"/>
      <c r="H1500" s="31"/>
      <c r="I1500" s="56"/>
      <c r="J1500" s="56"/>
      <c r="K1500" s="82" t="str">
        <f t="shared" si="435"/>
        <v>Invoice</v>
      </c>
      <c r="L1500" s="83" t="str">
        <f>"SI_109800"</f>
        <v>SI_109800</v>
      </c>
      <c r="M1500" s="84">
        <v>42978</v>
      </c>
      <c r="N1500" s="85">
        <f t="shared" si="436"/>
        <v>834</v>
      </c>
      <c r="O1500" s="86">
        <f t="shared" si="437"/>
        <v>11618.51</v>
      </c>
      <c r="P1500" s="86">
        <f t="shared" si="438"/>
        <v>0</v>
      </c>
      <c r="Q1500" s="86">
        <f t="shared" si="439"/>
        <v>0</v>
      </c>
      <c r="R1500" s="86">
        <f t="shared" si="440"/>
        <v>0</v>
      </c>
      <c r="S1500" s="86">
        <f t="shared" si="441"/>
        <v>0</v>
      </c>
      <c r="T1500" s="86">
        <f t="shared" si="442"/>
        <v>11618.51</v>
      </c>
      <c r="U1500" s="87">
        <v>11618.51</v>
      </c>
    </row>
    <row r="1501" spans="1:21" s="30" customFormat="1" ht="24.6" hidden="1" outlineLevel="1" x14ac:dyDescent="0.55000000000000004">
      <c r="A1501" s="27" t="s">
        <v>327</v>
      </c>
      <c r="B1501" s="28"/>
      <c r="C1501" s="27"/>
      <c r="D1501" s="27" t="str">
        <f>"""NAV Direct"",""CRONUS JetCorp USA"",""21"",""1"",""315728"""</f>
        <v>"NAV Direct","CRONUS JetCorp USA","21","1","315728"</v>
      </c>
      <c r="E1501" s="31" t="str">
        <f t="shared" si="434"/>
        <v>C100053</v>
      </c>
      <c r="F1501" s="31"/>
      <c r="G1501" s="31"/>
      <c r="H1501" s="31"/>
      <c r="I1501" s="56"/>
      <c r="J1501" s="56"/>
      <c r="K1501" s="82" t="str">
        <f t="shared" si="435"/>
        <v>Invoice</v>
      </c>
      <c r="L1501" s="83" t="str">
        <f>"SI_109802"</f>
        <v>SI_109802</v>
      </c>
      <c r="M1501" s="84">
        <v>43008</v>
      </c>
      <c r="N1501" s="85">
        <f t="shared" si="436"/>
        <v>804</v>
      </c>
      <c r="O1501" s="86">
        <f t="shared" si="437"/>
        <v>11130.47</v>
      </c>
      <c r="P1501" s="86">
        <f t="shared" si="438"/>
        <v>0</v>
      </c>
      <c r="Q1501" s="86">
        <f t="shared" si="439"/>
        <v>0</v>
      </c>
      <c r="R1501" s="86">
        <f t="shared" si="440"/>
        <v>0</v>
      </c>
      <c r="S1501" s="86">
        <f t="shared" si="441"/>
        <v>0</v>
      </c>
      <c r="T1501" s="86">
        <f t="shared" si="442"/>
        <v>11130.47</v>
      </c>
      <c r="U1501" s="87">
        <v>11130.47</v>
      </c>
    </row>
    <row r="1502" spans="1:21" s="30" customFormat="1" ht="24.6" hidden="1" outlineLevel="1" x14ac:dyDescent="0.55000000000000004">
      <c r="A1502" s="27" t="s">
        <v>327</v>
      </c>
      <c r="B1502" s="28"/>
      <c r="C1502" s="27"/>
      <c r="D1502" s="27" t="str">
        <f>"""NAV Direct"",""CRONUS JetCorp USA"",""21"",""1"",""315865"""</f>
        <v>"NAV Direct","CRONUS JetCorp USA","21","1","315865"</v>
      </c>
      <c r="E1502" s="31">
        <f t="shared" si="434"/>
        <v>0</v>
      </c>
      <c r="F1502" s="31"/>
      <c r="G1502" s="31"/>
      <c r="H1502" s="31"/>
      <c r="I1502" s="56"/>
      <c r="J1502" s="56"/>
      <c r="K1502" s="82" t="str">
        <f t="shared" si="435"/>
        <v>Invoice</v>
      </c>
      <c r="L1502" s="83" t="str">
        <f>"SI_109807"</f>
        <v>SI_109807</v>
      </c>
      <c r="M1502" s="84">
        <v>43039</v>
      </c>
      <c r="N1502" s="85">
        <f t="shared" si="436"/>
        <v>773</v>
      </c>
      <c r="O1502" s="86">
        <f t="shared" si="437"/>
        <v>11241.960000000001</v>
      </c>
      <c r="P1502" s="86">
        <f t="shared" si="438"/>
        <v>0</v>
      </c>
      <c r="Q1502" s="86">
        <f t="shared" si="439"/>
        <v>0</v>
      </c>
      <c r="R1502" s="86">
        <f t="shared" si="440"/>
        <v>0</v>
      </c>
      <c r="S1502" s="86">
        <f t="shared" si="441"/>
        <v>0</v>
      </c>
      <c r="T1502" s="86">
        <f t="shared" si="442"/>
        <v>11241.960000000001</v>
      </c>
      <c r="U1502" s="87">
        <v>11241.960000000001</v>
      </c>
    </row>
    <row r="1503" spans="1:21" s="30" customFormat="1" ht="24.6" hidden="1" outlineLevel="1" x14ac:dyDescent="0.55000000000000004">
      <c r="A1503" s="27" t="s">
        <v>327</v>
      </c>
      <c r="B1503" s="28"/>
      <c r="C1503" s="27"/>
      <c r="D1503" s="27" t="str">
        <f>"""NAV Direct"",""CRONUS JetCorp USA"",""21"",""1"",""315892"""</f>
        <v>"NAV Direct","CRONUS JetCorp USA","21","1","315892"</v>
      </c>
      <c r="E1503" s="31" t="str">
        <f t="shared" si="434"/>
        <v>C100053</v>
      </c>
      <c r="F1503" s="31"/>
      <c r="G1503" s="31"/>
      <c r="H1503" s="31"/>
      <c r="I1503" s="56"/>
      <c r="J1503" s="56"/>
      <c r="K1503" s="82" t="str">
        <f t="shared" si="435"/>
        <v>Invoice</v>
      </c>
      <c r="L1503" s="83" t="str">
        <f>"SI_109808"</f>
        <v>SI_109808</v>
      </c>
      <c r="M1503" s="84">
        <v>43039</v>
      </c>
      <c r="N1503" s="85">
        <f t="shared" si="436"/>
        <v>773</v>
      </c>
      <c r="O1503" s="86">
        <f t="shared" si="437"/>
        <v>11243.15</v>
      </c>
      <c r="P1503" s="86">
        <f t="shared" si="438"/>
        <v>0</v>
      </c>
      <c r="Q1503" s="86">
        <f t="shared" si="439"/>
        <v>0</v>
      </c>
      <c r="R1503" s="86">
        <f t="shared" si="440"/>
        <v>0</v>
      </c>
      <c r="S1503" s="86">
        <f t="shared" si="441"/>
        <v>0</v>
      </c>
      <c r="T1503" s="86">
        <f t="shared" si="442"/>
        <v>11243.15</v>
      </c>
      <c r="U1503" s="87">
        <v>11243.15</v>
      </c>
    </row>
    <row r="1504" spans="1:21" s="30" customFormat="1" ht="24.6" hidden="1" outlineLevel="1" x14ac:dyDescent="0.55000000000000004">
      <c r="A1504" s="27" t="s">
        <v>327</v>
      </c>
      <c r="B1504" s="28"/>
      <c r="C1504" s="27"/>
      <c r="D1504" s="27" t="str">
        <f>"""NAV Direct"",""CRONUS JetCorp USA"",""21"",""1"",""315913"""</f>
        <v>"NAV Direct","CRONUS JetCorp USA","21","1","315913"</v>
      </c>
      <c r="E1504" s="31">
        <f t="shared" si="434"/>
        <v>0</v>
      </c>
      <c r="F1504" s="31"/>
      <c r="G1504" s="31"/>
      <c r="H1504" s="31"/>
      <c r="I1504" s="56"/>
      <c r="J1504" s="56"/>
      <c r="K1504" s="82" t="str">
        <f t="shared" si="435"/>
        <v>Invoice</v>
      </c>
      <c r="L1504" s="83" t="str">
        <f>"SI_109809"</f>
        <v>SI_109809</v>
      </c>
      <c r="M1504" s="84">
        <v>43039</v>
      </c>
      <c r="N1504" s="85">
        <f t="shared" si="436"/>
        <v>773</v>
      </c>
      <c r="O1504" s="86">
        <f t="shared" si="437"/>
        <v>11243.15</v>
      </c>
      <c r="P1504" s="86">
        <f t="shared" si="438"/>
        <v>0</v>
      </c>
      <c r="Q1504" s="86">
        <f t="shared" si="439"/>
        <v>0</v>
      </c>
      <c r="R1504" s="86">
        <f t="shared" si="440"/>
        <v>0</v>
      </c>
      <c r="S1504" s="86">
        <f t="shared" si="441"/>
        <v>0</v>
      </c>
      <c r="T1504" s="86">
        <f t="shared" si="442"/>
        <v>11243.15</v>
      </c>
      <c r="U1504" s="87">
        <v>11243.15</v>
      </c>
    </row>
    <row r="1505" spans="1:21" s="30" customFormat="1" ht="24.6" hidden="1" outlineLevel="1" x14ac:dyDescent="0.55000000000000004">
      <c r="A1505" s="27" t="s">
        <v>327</v>
      </c>
      <c r="B1505" s="28"/>
      <c r="C1505" s="27"/>
      <c r="D1505" s="27" t="str">
        <f>"""NAV Direct"",""CRONUS JetCorp USA"",""21"",""1"",""315957"""</f>
        <v>"NAV Direct","CRONUS JetCorp USA","21","1","315957"</v>
      </c>
      <c r="E1505" s="31" t="str">
        <f t="shared" si="434"/>
        <v>C100053</v>
      </c>
      <c r="F1505" s="31"/>
      <c r="G1505" s="31"/>
      <c r="H1505" s="31"/>
      <c r="I1505" s="56"/>
      <c r="J1505" s="56"/>
      <c r="K1505" s="82" t="str">
        <f t="shared" si="435"/>
        <v>Invoice</v>
      </c>
      <c r="L1505" s="83" t="str">
        <f>"SI_109811"</f>
        <v>SI_109811</v>
      </c>
      <c r="M1505" s="84">
        <v>43039</v>
      </c>
      <c r="N1505" s="85">
        <f t="shared" si="436"/>
        <v>773</v>
      </c>
      <c r="O1505" s="86">
        <f t="shared" si="437"/>
        <v>11127.98</v>
      </c>
      <c r="P1505" s="86">
        <f t="shared" si="438"/>
        <v>0</v>
      </c>
      <c r="Q1505" s="86">
        <f t="shared" si="439"/>
        <v>0</v>
      </c>
      <c r="R1505" s="86">
        <f t="shared" si="440"/>
        <v>0</v>
      </c>
      <c r="S1505" s="86">
        <f t="shared" si="441"/>
        <v>0</v>
      </c>
      <c r="T1505" s="86">
        <f t="shared" si="442"/>
        <v>11127.98</v>
      </c>
      <c r="U1505" s="87">
        <v>11127.98</v>
      </c>
    </row>
    <row r="1506" spans="1:21" s="30" customFormat="1" ht="24.6" hidden="1" outlineLevel="1" x14ac:dyDescent="0.55000000000000004">
      <c r="A1506" s="27" t="s">
        <v>327</v>
      </c>
      <c r="B1506" s="28"/>
      <c r="C1506" s="27"/>
      <c r="D1506" s="27" t="str">
        <f>"""NAV Direct"",""CRONUS JetCorp USA"",""21"",""1"",""316091"""</f>
        <v>"NAV Direct","CRONUS JetCorp USA","21","1","316091"</v>
      </c>
      <c r="E1506" s="31">
        <f t="shared" si="434"/>
        <v>0</v>
      </c>
      <c r="F1506" s="31"/>
      <c r="G1506" s="31"/>
      <c r="H1506" s="31"/>
      <c r="I1506" s="56"/>
      <c r="J1506" s="56"/>
      <c r="K1506" s="82" t="str">
        <f t="shared" si="435"/>
        <v>Invoice</v>
      </c>
      <c r="L1506" s="83" t="str">
        <f>"SI_109817"</f>
        <v>SI_109817</v>
      </c>
      <c r="M1506" s="84">
        <v>43100</v>
      </c>
      <c r="N1506" s="85">
        <f t="shared" si="436"/>
        <v>712</v>
      </c>
      <c r="O1506" s="86">
        <f t="shared" si="437"/>
        <v>11651.55</v>
      </c>
      <c r="P1506" s="86">
        <f t="shared" si="438"/>
        <v>0</v>
      </c>
      <c r="Q1506" s="86">
        <f t="shared" si="439"/>
        <v>0</v>
      </c>
      <c r="R1506" s="86">
        <f t="shared" si="440"/>
        <v>0</v>
      </c>
      <c r="S1506" s="86">
        <f t="shared" si="441"/>
        <v>0</v>
      </c>
      <c r="T1506" s="86">
        <f t="shared" si="442"/>
        <v>11651.55</v>
      </c>
      <c r="U1506" s="87">
        <v>11651.55</v>
      </c>
    </row>
    <row r="1507" spans="1:21" s="30" customFormat="1" ht="24.6" hidden="1" outlineLevel="1" x14ac:dyDescent="0.55000000000000004">
      <c r="A1507" s="27" t="s">
        <v>327</v>
      </c>
      <c r="B1507" s="28"/>
      <c r="C1507" s="27"/>
      <c r="D1507" s="27" t="str">
        <f>"""NAV Direct"",""CRONUS JetCorp USA"",""21"",""1"",""316143"""</f>
        <v>"NAV Direct","CRONUS JetCorp USA","21","1","316143"</v>
      </c>
      <c r="E1507" s="31" t="str">
        <f t="shared" si="434"/>
        <v>C100053</v>
      </c>
      <c r="F1507" s="31"/>
      <c r="G1507" s="31"/>
      <c r="H1507" s="31"/>
      <c r="I1507" s="56"/>
      <c r="J1507" s="56"/>
      <c r="K1507" s="82" t="str">
        <f t="shared" si="435"/>
        <v>Invoice</v>
      </c>
      <c r="L1507" s="83" t="str">
        <f>"SI_109819"</f>
        <v>SI_109819</v>
      </c>
      <c r="M1507" s="84">
        <v>43100</v>
      </c>
      <c r="N1507" s="85">
        <f t="shared" si="436"/>
        <v>712</v>
      </c>
      <c r="O1507" s="86">
        <f t="shared" si="437"/>
        <v>11650.94</v>
      </c>
      <c r="P1507" s="86">
        <f t="shared" si="438"/>
        <v>0</v>
      </c>
      <c r="Q1507" s="86">
        <f t="shared" si="439"/>
        <v>0</v>
      </c>
      <c r="R1507" s="86">
        <f t="shared" si="440"/>
        <v>0</v>
      </c>
      <c r="S1507" s="86">
        <f t="shared" si="441"/>
        <v>0</v>
      </c>
      <c r="T1507" s="86">
        <f t="shared" si="442"/>
        <v>11650.94</v>
      </c>
      <c r="U1507" s="87">
        <v>11650.94</v>
      </c>
    </row>
    <row r="1508" spans="1:21" s="30" customFormat="1" ht="24.6" hidden="1" outlineLevel="1" x14ac:dyDescent="0.55000000000000004">
      <c r="A1508" s="27" t="s">
        <v>327</v>
      </c>
      <c r="B1508" s="28"/>
      <c r="C1508" s="27"/>
      <c r="D1508" s="27" t="str">
        <f>"""NAV Direct"",""CRONUS JetCorp USA"",""21"",""1"",""316322"""</f>
        <v>"NAV Direct","CRONUS JetCorp USA","21","1","316322"</v>
      </c>
      <c r="E1508" s="31">
        <f t="shared" si="434"/>
        <v>0</v>
      </c>
      <c r="F1508" s="31"/>
      <c r="G1508" s="31"/>
      <c r="H1508" s="31"/>
      <c r="I1508" s="56"/>
      <c r="J1508" s="56"/>
      <c r="K1508" s="82" t="str">
        <f t="shared" si="435"/>
        <v>Invoice</v>
      </c>
      <c r="L1508" s="83" t="str">
        <f>"SI_109826"</f>
        <v>SI_109826</v>
      </c>
      <c r="M1508" s="84">
        <v>43159</v>
      </c>
      <c r="N1508" s="85">
        <f t="shared" si="436"/>
        <v>653</v>
      </c>
      <c r="O1508" s="86">
        <f t="shared" si="437"/>
        <v>11313.62</v>
      </c>
      <c r="P1508" s="86">
        <f t="shared" si="438"/>
        <v>0</v>
      </c>
      <c r="Q1508" s="86">
        <f t="shared" si="439"/>
        <v>0</v>
      </c>
      <c r="R1508" s="86">
        <f t="shared" si="440"/>
        <v>0</v>
      </c>
      <c r="S1508" s="86">
        <f t="shared" si="441"/>
        <v>0</v>
      </c>
      <c r="T1508" s="86">
        <f t="shared" si="442"/>
        <v>11313.62</v>
      </c>
      <c r="U1508" s="87">
        <v>11313.62</v>
      </c>
    </row>
    <row r="1509" spans="1:21" s="30" customFormat="1" ht="24.6" hidden="1" outlineLevel="1" x14ac:dyDescent="0.55000000000000004">
      <c r="A1509" s="27" t="s">
        <v>327</v>
      </c>
      <c r="B1509" s="28"/>
      <c r="C1509" s="27"/>
      <c r="D1509" s="27" t="str">
        <f>"""NAV Direct"",""CRONUS JetCorp USA"",""21"",""1"",""316391"""</f>
        <v>"NAV Direct","CRONUS JetCorp USA","21","1","316391"</v>
      </c>
      <c r="E1509" s="31" t="str">
        <f t="shared" si="434"/>
        <v>C100053</v>
      </c>
      <c r="F1509" s="31"/>
      <c r="G1509" s="31"/>
      <c r="H1509" s="31"/>
      <c r="I1509" s="56"/>
      <c r="J1509" s="56"/>
      <c r="K1509" s="82" t="str">
        <f t="shared" si="435"/>
        <v>Invoice</v>
      </c>
      <c r="L1509" s="83" t="str">
        <f>"SI_109829"</f>
        <v>SI_109829</v>
      </c>
      <c r="M1509" s="84">
        <v>43190</v>
      </c>
      <c r="N1509" s="85">
        <f t="shared" si="436"/>
        <v>622</v>
      </c>
      <c r="O1509" s="86">
        <f t="shared" si="437"/>
        <v>11369.98</v>
      </c>
      <c r="P1509" s="86">
        <f t="shared" si="438"/>
        <v>0</v>
      </c>
      <c r="Q1509" s="86">
        <f t="shared" si="439"/>
        <v>0</v>
      </c>
      <c r="R1509" s="86">
        <f t="shared" si="440"/>
        <v>0</v>
      </c>
      <c r="S1509" s="86">
        <f t="shared" si="441"/>
        <v>0</v>
      </c>
      <c r="T1509" s="86">
        <f t="shared" si="442"/>
        <v>11369.98</v>
      </c>
      <c r="U1509" s="87">
        <v>11369.98</v>
      </c>
    </row>
    <row r="1510" spans="1:21" s="30" customFormat="1" ht="24.6" hidden="1" outlineLevel="1" x14ac:dyDescent="0.55000000000000004">
      <c r="A1510" s="27" t="s">
        <v>327</v>
      </c>
      <c r="B1510" s="28"/>
      <c r="C1510" s="27"/>
      <c r="D1510" s="27" t="str">
        <f>"""NAV Direct"",""CRONUS JetCorp USA"",""21"",""1"",""316553"""</f>
        <v>"NAV Direct","CRONUS JetCorp USA","21","1","316553"</v>
      </c>
      <c r="E1510" s="31">
        <f t="shared" si="434"/>
        <v>0</v>
      </c>
      <c r="F1510" s="31"/>
      <c r="G1510" s="31"/>
      <c r="H1510" s="31"/>
      <c r="I1510" s="56"/>
      <c r="J1510" s="56"/>
      <c r="K1510" s="82" t="str">
        <f t="shared" si="435"/>
        <v>Invoice</v>
      </c>
      <c r="L1510" s="83" t="str">
        <f>"SI_109835"</f>
        <v>SI_109835</v>
      </c>
      <c r="M1510" s="84">
        <v>43251</v>
      </c>
      <c r="N1510" s="85">
        <f t="shared" si="436"/>
        <v>561</v>
      </c>
      <c r="O1510" s="86">
        <f t="shared" si="437"/>
        <v>11438.36</v>
      </c>
      <c r="P1510" s="86">
        <f t="shared" si="438"/>
        <v>0</v>
      </c>
      <c r="Q1510" s="86">
        <f t="shared" si="439"/>
        <v>0</v>
      </c>
      <c r="R1510" s="86">
        <f t="shared" si="440"/>
        <v>0</v>
      </c>
      <c r="S1510" s="86">
        <f t="shared" si="441"/>
        <v>0</v>
      </c>
      <c r="T1510" s="86">
        <f t="shared" si="442"/>
        <v>11438.36</v>
      </c>
      <c r="U1510" s="87">
        <v>11438.36</v>
      </c>
    </row>
    <row r="1511" spans="1:21" s="30" customFormat="1" ht="24.6" hidden="1" outlineLevel="1" x14ac:dyDescent="0.55000000000000004">
      <c r="A1511" s="27" t="s">
        <v>327</v>
      </c>
      <c r="B1511" s="28"/>
      <c r="C1511" s="27"/>
      <c r="D1511" s="27" t="str">
        <f>"""NAV Direct"",""CRONUS JetCorp USA"",""21"",""1"",""316572"""</f>
        <v>"NAV Direct","CRONUS JetCorp USA","21","1","316572"</v>
      </c>
      <c r="E1511" s="31" t="str">
        <f t="shared" ref="E1511:E1542" si="443">E1509</f>
        <v>C100053</v>
      </c>
      <c r="F1511" s="31"/>
      <c r="G1511" s="31"/>
      <c r="H1511" s="31"/>
      <c r="I1511" s="56"/>
      <c r="J1511" s="56"/>
      <c r="K1511" s="82" t="str">
        <f t="shared" ref="K1511:K1532" si="444">"Invoice"</f>
        <v>Invoice</v>
      </c>
      <c r="L1511" s="83" t="str">
        <f>"SI_109836"</f>
        <v>SI_109836</v>
      </c>
      <c r="M1511" s="84">
        <v>43251</v>
      </c>
      <c r="N1511" s="85">
        <f t="shared" ref="N1511:N1542" si="445">StartDate-$M1511+1</f>
        <v>561</v>
      </c>
      <c r="O1511" s="86">
        <f t="shared" ref="O1511:O1542" si="446">SUM(P1511:T1511)</f>
        <v>11563.76</v>
      </c>
      <c r="P1511" s="86">
        <f t="shared" ref="P1511:P1542" si="447">IF($M1511&gt;=$P$18,U1511,0)</f>
        <v>0</v>
      </c>
      <c r="Q1511" s="86">
        <f t="shared" ref="Q1511:Q1542" si="448">IF(AND($M1511&gt;=$Q$16,$M1511&lt;=$Q$18),U1511,0)</f>
        <v>0</v>
      </c>
      <c r="R1511" s="86">
        <f t="shared" ref="R1511:R1542" si="449">IF(AND($M1511&gt;=$R$16,$M1511&lt;=$R$18),U1511,0)</f>
        <v>0</v>
      </c>
      <c r="S1511" s="86">
        <f t="shared" ref="S1511:S1542" si="450">IF(AND($M1511&gt;=$S$16,$M1511&lt;=$S$18),U1511,0)</f>
        <v>0</v>
      </c>
      <c r="T1511" s="86">
        <f t="shared" ref="T1511:T1542" si="451">IF($M1511&lt;=$T$18,U1511,0)</f>
        <v>11563.76</v>
      </c>
      <c r="U1511" s="87">
        <v>11563.76</v>
      </c>
    </row>
    <row r="1512" spans="1:21" s="30" customFormat="1" ht="24.6" hidden="1" outlineLevel="1" x14ac:dyDescent="0.55000000000000004">
      <c r="A1512" s="27" t="s">
        <v>327</v>
      </c>
      <c r="B1512" s="28"/>
      <c r="C1512" s="27"/>
      <c r="D1512" s="27" t="str">
        <f>"""NAV Direct"",""CRONUS JetCorp USA"",""21"",""1"",""316635"""</f>
        <v>"NAV Direct","CRONUS JetCorp USA","21","1","316635"</v>
      </c>
      <c r="E1512" s="31">
        <f t="shared" si="443"/>
        <v>0</v>
      </c>
      <c r="F1512" s="31"/>
      <c r="G1512" s="31"/>
      <c r="H1512" s="31"/>
      <c r="I1512" s="56"/>
      <c r="J1512" s="56"/>
      <c r="K1512" s="82" t="str">
        <f t="shared" si="444"/>
        <v>Invoice</v>
      </c>
      <c r="L1512" s="83" t="str">
        <f>"SI_109839"</f>
        <v>SI_109839</v>
      </c>
      <c r="M1512" s="84">
        <v>43281</v>
      </c>
      <c r="N1512" s="85">
        <f t="shared" si="445"/>
        <v>531</v>
      </c>
      <c r="O1512" s="86">
        <f t="shared" si="446"/>
        <v>11327.84</v>
      </c>
      <c r="P1512" s="86">
        <f t="shared" si="447"/>
        <v>0</v>
      </c>
      <c r="Q1512" s="86">
        <f t="shared" si="448"/>
        <v>0</v>
      </c>
      <c r="R1512" s="86">
        <f t="shared" si="449"/>
        <v>0</v>
      </c>
      <c r="S1512" s="86">
        <f t="shared" si="450"/>
        <v>0</v>
      </c>
      <c r="T1512" s="86">
        <f t="shared" si="451"/>
        <v>11327.84</v>
      </c>
      <c r="U1512" s="87">
        <v>11327.84</v>
      </c>
    </row>
    <row r="1513" spans="1:21" s="30" customFormat="1" ht="24.6" hidden="1" outlineLevel="1" x14ac:dyDescent="0.55000000000000004">
      <c r="A1513" s="27" t="s">
        <v>327</v>
      </c>
      <c r="B1513" s="28"/>
      <c r="C1513" s="27"/>
      <c r="D1513" s="27" t="str">
        <f>"""NAV Direct"",""CRONUS JetCorp USA"",""21"",""1"",""316946"""</f>
        <v>"NAV Direct","CRONUS JetCorp USA","21","1","316946"</v>
      </c>
      <c r="E1513" s="31" t="str">
        <f t="shared" si="443"/>
        <v>C100053</v>
      </c>
      <c r="F1513" s="31"/>
      <c r="G1513" s="31"/>
      <c r="H1513" s="31"/>
      <c r="I1513" s="56"/>
      <c r="J1513" s="56"/>
      <c r="K1513" s="82" t="str">
        <f t="shared" si="444"/>
        <v>Invoice</v>
      </c>
      <c r="L1513" s="83" t="str">
        <f>"SI_109852"</f>
        <v>SI_109852</v>
      </c>
      <c r="M1513" s="84">
        <v>43404</v>
      </c>
      <c r="N1513" s="85">
        <f t="shared" si="445"/>
        <v>408</v>
      </c>
      <c r="O1513" s="86">
        <f t="shared" si="446"/>
        <v>11663.58</v>
      </c>
      <c r="P1513" s="86">
        <f t="shared" si="447"/>
        <v>0</v>
      </c>
      <c r="Q1513" s="86">
        <f t="shared" si="448"/>
        <v>0</v>
      </c>
      <c r="R1513" s="86">
        <f t="shared" si="449"/>
        <v>0</v>
      </c>
      <c r="S1513" s="86">
        <f t="shared" si="450"/>
        <v>0</v>
      </c>
      <c r="T1513" s="86">
        <f t="shared" si="451"/>
        <v>11663.58</v>
      </c>
      <c r="U1513" s="87">
        <v>11663.58</v>
      </c>
    </row>
    <row r="1514" spans="1:21" s="30" customFormat="1" ht="24.6" hidden="1" outlineLevel="1" x14ac:dyDescent="0.55000000000000004">
      <c r="A1514" s="27" t="s">
        <v>327</v>
      </c>
      <c r="B1514" s="28"/>
      <c r="C1514" s="27"/>
      <c r="D1514" s="27" t="str">
        <f>"""NAV Direct"",""CRONUS JetCorp USA"",""21"",""1"",""317069"""</f>
        <v>"NAV Direct","CRONUS JetCorp USA","21","1","317069"</v>
      </c>
      <c r="E1514" s="31">
        <f t="shared" si="443"/>
        <v>0</v>
      </c>
      <c r="F1514" s="31"/>
      <c r="G1514" s="31"/>
      <c r="H1514" s="31"/>
      <c r="I1514" s="56"/>
      <c r="J1514" s="56"/>
      <c r="K1514" s="82" t="str">
        <f t="shared" si="444"/>
        <v>Invoice</v>
      </c>
      <c r="L1514" s="83" t="str">
        <f>"SI_109857"</f>
        <v>SI_109857</v>
      </c>
      <c r="M1514" s="84">
        <v>43434</v>
      </c>
      <c r="N1514" s="85">
        <f t="shared" si="445"/>
        <v>378</v>
      </c>
      <c r="O1514" s="86">
        <f t="shared" si="446"/>
        <v>11969.95</v>
      </c>
      <c r="P1514" s="86">
        <f t="shared" si="447"/>
        <v>0</v>
      </c>
      <c r="Q1514" s="86">
        <f t="shared" si="448"/>
        <v>0</v>
      </c>
      <c r="R1514" s="86">
        <f t="shared" si="449"/>
        <v>0</v>
      </c>
      <c r="S1514" s="86">
        <f t="shared" si="450"/>
        <v>0</v>
      </c>
      <c r="T1514" s="86">
        <f t="shared" si="451"/>
        <v>11969.95</v>
      </c>
      <c r="U1514" s="87">
        <v>11969.95</v>
      </c>
    </row>
    <row r="1515" spans="1:21" s="30" customFormat="1" ht="24.6" hidden="1" outlineLevel="1" x14ac:dyDescent="0.55000000000000004">
      <c r="A1515" s="27" t="s">
        <v>327</v>
      </c>
      <c r="B1515" s="28"/>
      <c r="C1515" s="27"/>
      <c r="D1515" s="27" t="str">
        <f>"""NAV Direct"",""CRONUS JetCorp USA"",""21"",""1"",""317573"""</f>
        <v>"NAV Direct","CRONUS JetCorp USA","21","1","317573"</v>
      </c>
      <c r="E1515" s="31" t="str">
        <f t="shared" si="443"/>
        <v>C100053</v>
      </c>
      <c r="F1515" s="31"/>
      <c r="G1515" s="31"/>
      <c r="H1515" s="31"/>
      <c r="I1515" s="56"/>
      <c r="J1515" s="56"/>
      <c r="K1515" s="82" t="str">
        <f t="shared" si="444"/>
        <v>Invoice</v>
      </c>
      <c r="L1515" s="83" t="str">
        <f>"SI_109877"</f>
        <v>SI_109877</v>
      </c>
      <c r="M1515" s="84">
        <v>43555</v>
      </c>
      <c r="N1515" s="85">
        <f t="shared" si="445"/>
        <v>257</v>
      </c>
      <c r="O1515" s="86">
        <f t="shared" si="446"/>
        <v>13249.009999999998</v>
      </c>
      <c r="P1515" s="86">
        <f t="shared" si="447"/>
        <v>0</v>
      </c>
      <c r="Q1515" s="86">
        <f t="shared" si="448"/>
        <v>0</v>
      </c>
      <c r="R1515" s="86">
        <f t="shared" si="449"/>
        <v>0</v>
      </c>
      <c r="S1515" s="86">
        <f t="shared" si="450"/>
        <v>0</v>
      </c>
      <c r="T1515" s="86">
        <f t="shared" si="451"/>
        <v>13249.009999999998</v>
      </c>
      <c r="U1515" s="87">
        <v>13249.009999999998</v>
      </c>
    </row>
    <row r="1516" spans="1:21" s="30" customFormat="1" ht="24.6" hidden="1" outlineLevel="1" x14ac:dyDescent="0.55000000000000004">
      <c r="A1516" s="27" t="s">
        <v>327</v>
      </c>
      <c r="B1516" s="28"/>
      <c r="C1516" s="27"/>
      <c r="D1516" s="27" t="str">
        <f>"""NAV Direct"",""CRONUS JetCorp USA"",""21"",""1"",""317914"""</f>
        <v>"NAV Direct","CRONUS JetCorp USA","21","1","317914"</v>
      </c>
      <c r="E1516" s="31">
        <f t="shared" si="443"/>
        <v>0</v>
      </c>
      <c r="F1516" s="31"/>
      <c r="G1516" s="31"/>
      <c r="H1516" s="31"/>
      <c r="I1516" s="56"/>
      <c r="J1516" s="56"/>
      <c r="K1516" s="82" t="str">
        <f t="shared" si="444"/>
        <v>Invoice</v>
      </c>
      <c r="L1516" s="83" t="str">
        <f>"SI_109890"</f>
        <v>SI_109890</v>
      </c>
      <c r="M1516" s="84">
        <v>43646</v>
      </c>
      <c r="N1516" s="85">
        <f t="shared" si="445"/>
        <v>166</v>
      </c>
      <c r="O1516" s="86">
        <f t="shared" si="446"/>
        <v>12584.08</v>
      </c>
      <c r="P1516" s="86">
        <f t="shared" si="447"/>
        <v>0</v>
      </c>
      <c r="Q1516" s="86">
        <f t="shared" si="448"/>
        <v>0</v>
      </c>
      <c r="R1516" s="86">
        <f t="shared" si="449"/>
        <v>0</v>
      </c>
      <c r="S1516" s="86">
        <f t="shared" si="450"/>
        <v>0</v>
      </c>
      <c r="T1516" s="86">
        <f t="shared" si="451"/>
        <v>12584.08</v>
      </c>
      <c r="U1516" s="87">
        <v>12584.08</v>
      </c>
    </row>
    <row r="1517" spans="1:21" s="30" customFormat="1" ht="24.6" hidden="1" outlineLevel="1" x14ac:dyDescent="0.55000000000000004">
      <c r="A1517" s="27" t="s">
        <v>327</v>
      </c>
      <c r="B1517" s="28"/>
      <c r="C1517" s="27"/>
      <c r="D1517" s="27" t="str">
        <f>"""NAV Direct"",""CRONUS JetCorp USA"",""21"",""1"",""318087"""</f>
        <v>"NAV Direct","CRONUS JetCorp USA","21","1","318087"</v>
      </c>
      <c r="E1517" s="31" t="str">
        <f t="shared" si="443"/>
        <v>C100053</v>
      </c>
      <c r="F1517" s="31"/>
      <c r="G1517" s="31"/>
      <c r="H1517" s="31"/>
      <c r="I1517" s="56"/>
      <c r="J1517" s="56"/>
      <c r="K1517" s="82" t="str">
        <f t="shared" si="444"/>
        <v>Invoice</v>
      </c>
      <c r="L1517" s="83" t="str">
        <f>"SI_109897"</f>
        <v>SI_109897</v>
      </c>
      <c r="M1517" s="84">
        <v>43708</v>
      </c>
      <c r="N1517" s="85">
        <f t="shared" si="445"/>
        <v>104</v>
      </c>
      <c r="O1517" s="86">
        <f t="shared" si="446"/>
        <v>13528.62</v>
      </c>
      <c r="P1517" s="86">
        <f t="shared" si="447"/>
        <v>0</v>
      </c>
      <c r="Q1517" s="86">
        <f t="shared" si="448"/>
        <v>0</v>
      </c>
      <c r="R1517" s="86">
        <f t="shared" si="449"/>
        <v>0</v>
      </c>
      <c r="S1517" s="86">
        <f t="shared" si="450"/>
        <v>0</v>
      </c>
      <c r="T1517" s="86">
        <f t="shared" si="451"/>
        <v>13528.62</v>
      </c>
      <c r="U1517" s="87">
        <v>13528.62</v>
      </c>
    </row>
    <row r="1518" spans="1:21" s="30" customFormat="1" ht="24.6" hidden="1" outlineLevel="1" x14ac:dyDescent="0.55000000000000004">
      <c r="A1518" s="27" t="s">
        <v>327</v>
      </c>
      <c r="B1518" s="28"/>
      <c r="C1518" s="27"/>
      <c r="D1518" s="27" t="str">
        <f>"""NAV Direct"",""CRONUS JetCorp USA"",""21"",""1"",""318114"""</f>
        <v>"NAV Direct","CRONUS JetCorp USA","21","1","318114"</v>
      </c>
      <c r="E1518" s="31">
        <f t="shared" si="443"/>
        <v>0</v>
      </c>
      <c r="F1518" s="31"/>
      <c r="G1518" s="31"/>
      <c r="H1518" s="31"/>
      <c r="I1518" s="56"/>
      <c r="J1518" s="56"/>
      <c r="K1518" s="82" t="str">
        <f t="shared" si="444"/>
        <v>Invoice</v>
      </c>
      <c r="L1518" s="83" t="str">
        <f>"SI_109898"</f>
        <v>SI_109898</v>
      </c>
      <c r="M1518" s="84">
        <v>43738</v>
      </c>
      <c r="N1518" s="85">
        <f t="shared" si="445"/>
        <v>74</v>
      </c>
      <c r="O1518" s="86">
        <f t="shared" si="446"/>
        <v>14276.77</v>
      </c>
      <c r="P1518" s="86">
        <f t="shared" si="447"/>
        <v>0</v>
      </c>
      <c r="Q1518" s="86">
        <f t="shared" si="448"/>
        <v>0</v>
      </c>
      <c r="R1518" s="86">
        <f t="shared" si="449"/>
        <v>0</v>
      </c>
      <c r="S1518" s="86">
        <f t="shared" si="450"/>
        <v>14276.77</v>
      </c>
      <c r="T1518" s="86">
        <f t="shared" si="451"/>
        <v>0</v>
      </c>
      <c r="U1518" s="87">
        <v>14276.77</v>
      </c>
    </row>
    <row r="1519" spans="1:21" s="30" customFormat="1" ht="24.6" hidden="1" outlineLevel="1" x14ac:dyDescent="0.55000000000000004">
      <c r="A1519" s="27" t="s">
        <v>327</v>
      </c>
      <c r="B1519" s="28"/>
      <c r="C1519" s="27"/>
      <c r="D1519" s="27" t="str">
        <f>"""NAV Direct"",""CRONUS JetCorp USA"",""21"",""1"",""318201"""</f>
        <v>"NAV Direct","CRONUS JetCorp USA","21","1","318201"</v>
      </c>
      <c r="E1519" s="31" t="str">
        <f t="shared" si="443"/>
        <v>C100053</v>
      </c>
      <c r="F1519" s="31"/>
      <c r="G1519" s="31"/>
      <c r="H1519" s="31"/>
      <c r="I1519" s="56"/>
      <c r="J1519" s="56"/>
      <c r="K1519" s="82" t="str">
        <f t="shared" si="444"/>
        <v>Invoice</v>
      </c>
      <c r="L1519" s="83" t="str">
        <f>"SI_109901"</f>
        <v>SI_109901</v>
      </c>
      <c r="M1519" s="84">
        <v>43738</v>
      </c>
      <c r="N1519" s="85">
        <f t="shared" si="445"/>
        <v>74</v>
      </c>
      <c r="O1519" s="86">
        <f t="shared" si="446"/>
        <v>13976.26</v>
      </c>
      <c r="P1519" s="86">
        <f t="shared" si="447"/>
        <v>0</v>
      </c>
      <c r="Q1519" s="86">
        <f t="shared" si="448"/>
        <v>0</v>
      </c>
      <c r="R1519" s="86">
        <f t="shared" si="449"/>
        <v>0</v>
      </c>
      <c r="S1519" s="86">
        <f t="shared" si="450"/>
        <v>13976.26</v>
      </c>
      <c r="T1519" s="86">
        <f t="shared" si="451"/>
        <v>0</v>
      </c>
      <c r="U1519" s="87">
        <v>13976.26</v>
      </c>
    </row>
    <row r="1520" spans="1:21" s="30" customFormat="1" ht="24.6" hidden="1" outlineLevel="1" x14ac:dyDescent="0.55000000000000004">
      <c r="A1520" s="27" t="s">
        <v>327</v>
      </c>
      <c r="B1520" s="28"/>
      <c r="C1520" s="27"/>
      <c r="D1520" s="27" t="str">
        <f>"""NAV Direct"",""CRONUS JetCorp USA"",""21"",""1"",""318342"""</f>
        <v>"NAV Direct","CRONUS JetCorp USA","21","1","318342"</v>
      </c>
      <c r="E1520" s="31">
        <f t="shared" si="443"/>
        <v>0</v>
      </c>
      <c r="F1520" s="31"/>
      <c r="G1520" s="31"/>
      <c r="H1520" s="31"/>
      <c r="I1520" s="56"/>
      <c r="J1520" s="56"/>
      <c r="K1520" s="82" t="str">
        <f t="shared" si="444"/>
        <v>Invoice</v>
      </c>
      <c r="L1520" s="83" t="str">
        <f>"SI_109906"</f>
        <v>SI_109906</v>
      </c>
      <c r="M1520" s="84">
        <v>43769</v>
      </c>
      <c r="N1520" s="85">
        <f t="shared" si="445"/>
        <v>43</v>
      </c>
      <c r="O1520" s="86">
        <f t="shared" si="446"/>
        <v>14484.279999999999</v>
      </c>
      <c r="P1520" s="86">
        <f t="shared" si="447"/>
        <v>0</v>
      </c>
      <c r="Q1520" s="86">
        <f t="shared" si="448"/>
        <v>0</v>
      </c>
      <c r="R1520" s="86">
        <f t="shared" si="449"/>
        <v>14484.279999999999</v>
      </c>
      <c r="S1520" s="86">
        <f t="shared" si="450"/>
        <v>0</v>
      </c>
      <c r="T1520" s="86">
        <f t="shared" si="451"/>
        <v>0</v>
      </c>
      <c r="U1520" s="87">
        <v>14484.279999999999</v>
      </c>
    </row>
    <row r="1521" spans="1:21" s="30" customFormat="1" ht="24.6" hidden="1" outlineLevel="1" x14ac:dyDescent="0.55000000000000004">
      <c r="A1521" s="27" t="s">
        <v>327</v>
      </c>
      <c r="B1521" s="28"/>
      <c r="C1521" s="27"/>
      <c r="D1521" s="27" t="str">
        <f>"""NAV Direct"",""CRONUS JetCorp USA"",""21"",""1"",""318363"""</f>
        <v>"NAV Direct","CRONUS JetCorp USA","21","1","318363"</v>
      </c>
      <c r="E1521" s="31" t="str">
        <f t="shared" si="443"/>
        <v>C100053</v>
      </c>
      <c r="F1521" s="31"/>
      <c r="G1521" s="31"/>
      <c r="H1521" s="31"/>
      <c r="I1521" s="56"/>
      <c r="J1521" s="56"/>
      <c r="K1521" s="82" t="str">
        <f t="shared" si="444"/>
        <v>Invoice</v>
      </c>
      <c r="L1521" s="83" t="str">
        <f>"SI_109907"</f>
        <v>SI_109907</v>
      </c>
      <c r="M1521" s="84">
        <v>43799</v>
      </c>
      <c r="N1521" s="85">
        <f t="shared" si="445"/>
        <v>13</v>
      </c>
      <c r="O1521" s="86">
        <f t="shared" si="446"/>
        <v>14730.9</v>
      </c>
      <c r="P1521" s="86">
        <f t="shared" si="447"/>
        <v>0</v>
      </c>
      <c r="Q1521" s="86">
        <f t="shared" si="448"/>
        <v>14730.9</v>
      </c>
      <c r="R1521" s="86">
        <f t="shared" si="449"/>
        <v>0</v>
      </c>
      <c r="S1521" s="86">
        <f t="shared" si="450"/>
        <v>0</v>
      </c>
      <c r="T1521" s="86">
        <f t="shared" si="451"/>
        <v>0</v>
      </c>
      <c r="U1521" s="87">
        <v>14730.9</v>
      </c>
    </row>
    <row r="1522" spans="1:21" s="30" customFormat="1" ht="24.6" hidden="1" outlineLevel="1" x14ac:dyDescent="0.55000000000000004">
      <c r="A1522" s="27" t="s">
        <v>327</v>
      </c>
      <c r="B1522" s="28"/>
      <c r="C1522" s="27"/>
      <c r="D1522" s="27" t="str">
        <f>"""NAV Direct"",""CRONUS JetCorp USA"",""21"",""1"",""318578"""</f>
        <v>"NAV Direct","CRONUS JetCorp USA","21","1","318578"</v>
      </c>
      <c r="E1522" s="31">
        <f t="shared" si="443"/>
        <v>0</v>
      </c>
      <c r="F1522" s="31"/>
      <c r="G1522" s="31"/>
      <c r="H1522" s="31"/>
      <c r="I1522" s="56"/>
      <c r="J1522" s="56"/>
      <c r="K1522" s="82" t="str">
        <f t="shared" si="444"/>
        <v>Invoice</v>
      </c>
      <c r="L1522" s="83" t="str">
        <f>"SI_109916"</f>
        <v>SI_109916</v>
      </c>
      <c r="M1522" s="84">
        <v>43830</v>
      </c>
      <c r="N1522" s="85">
        <f t="shared" si="445"/>
        <v>-18</v>
      </c>
      <c r="O1522" s="86">
        <f t="shared" si="446"/>
        <v>14299.130000000001</v>
      </c>
      <c r="P1522" s="86">
        <f t="shared" si="447"/>
        <v>14299.130000000001</v>
      </c>
      <c r="Q1522" s="86">
        <f t="shared" si="448"/>
        <v>0</v>
      </c>
      <c r="R1522" s="86">
        <f t="shared" si="449"/>
        <v>0</v>
      </c>
      <c r="S1522" s="86">
        <f t="shared" si="450"/>
        <v>0</v>
      </c>
      <c r="T1522" s="86">
        <f t="shared" si="451"/>
        <v>0</v>
      </c>
      <c r="U1522" s="87">
        <v>14299.130000000001</v>
      </c>
    </row>
    <row r="1523" spans="1:21" s="30" customFormat="1" ht="24.6" hidden="1" outlineLevel="1" x14ac:dyDescent="0.55000000000000004">
      <c r="A1523" s="27" t="s">
        <v>327</v>
      </c>
      <c r="B1523" s="28"/>
      <c r="C1523" s="27"/>
      <c r="D1523" s="27" t="str">
        <f>"""NAV Direct"",""CRONUS JetCorp USA"",""21"",""1"",""318666"""</f>
        <v>"NAV Direct","CRONUS JetCorp USA","21","1","318666"</v>
      </c>
      <c r="E1523" s="31" t="str">
        <f t="shared" si="443"/>
        <v>C100053</v>
      </c>
      <c r="F1523" s="31"/>
      <c r="G1523" s="31"/>
      <c r="H1523" s="31"/>
      <c r="I1523" s="56"/>
      <c r="J1523" s="56"/>
      <c r="K1523" s="82" t="str">
        <f t="shared" si="444"/>
        <v>Invoice</v>
      </c>
      <c r="L1523" s="83" t="str">
        <f>"SI_109920"</f>
        <v>SI_109920</v>
      </c>
      <c r="M1523" s="84">
        <v>42063</v>
      </c>
      <c r="N1523" s="85">
        <f t="shared" si="445"/>
        <v>1749</v>
      </c>
      <c r="O1523" s="86">
        <f t="shared" si="446"/>
        <v>14437.66</v>
      </c>
      <c r="P1523" s="86">
        <f t="shared" si="447"/>
        <v>0</v>
      </c>
      <c r="Q1523" s="86">
        <f t="shared" si="448"/>
        <v>0</v>
      </c>
      <c r="R1523" s="86">
        <f t="shared" si="449"/>
        <v>0</v>
      </c>
      <c r="S1523" s="86">
        <f t="shared" si="450"/>
        <v>0</v>
      </c>
      <c r="T1523" s="86">
        <f t="shared" si="451"/>
        <v>14437.66</v>
      </c>
      <c r="U1523" s="87">
        <v>14437.66</v>
      </c>
    </row>
    <row r="1524" spans="1:21" s="30" customFormat="1" ht="24.6" hidden="1" outlineLevel="1" x14ac:dyDescent="0.55000000000000004">
      <c r="A1524" s="27" t="s">
        <v>327</v>
      </c>
      <c r="B1524" s="28"/>
      <c r="C1524" s="27"/>
      <c r="D1524" s="27" t="str">
        <f>"""NAV Direct"",""CRONUS JetCorp USA"",""21"",""1"",""318768"""</f>
        <v>"NAV Direct","CRONUS JetCorp USA","21","1","318768"</v>
      </c>
      <c r="E1524" s="31">
        <f t="shared" si="443"/>
        <v>0</v>
      </c>
      <c r="F1524" s="31"/>
      <c r="G1524" s="31"/>
      <c r="H1524" s="31"/>
      <c r="I1524" s="56"/>
      <c r="J1524" s="56"/>
      <c r="K1524" s="82" t="str">
        <f t="shared" si="444"/>
        <v>Invoice</v>
      </c>
      <c r="L1524" s="83" t="str">
        <f>"SI_109924"</f>
        <v>SI_109924</v>
      </c>
      <c r="M1524" s="84">
        <v>42063</v>
      </c>
      <c r="N1524" s="85">
        <f t="shared" si="445"/>
        <v>1749</v>
      </c>
      <c r="O1524" s="86">
        <f t="shared" si="446"/>
        <v>14899.18</v>
      </c>
      <c r="P1524" s="86">
        <f t="shared" si="447"/>
        <v>0</v>
      </c>
      <c r="Q1524" s="86">
        <f t="shared" si="448"/>
        <v>0</v>
      </c>
      <c r="R1524" s="86">
        <f t="shared" si="449"/>
        <v>0</v>
      </c>
      <c r="S1524" s="86">
        <f t="shared" si="450"/>
        <v>0</v>
      </c>
      <c r="T1524" s="86">
        <f t="shared" si="451"/>
        <v>14899.18</v>
      </c>
      <c r="U1524" s="87">
        <v>14899.18</v>
      </c>
    </row>
    <row r="1525" spans="1:21" s="30" customFormat="1" ht="24.6" hidden="1" outlineLevel="1" x14ac:dyDescent="0.55000000000000004">
      <c r="A1525" s="27" t="s">
        <v>327</v>
      </c>
      <c r="B1525" s="28"/>
      <c r="C1525" s="27"/>
      <c r="D1525" s="27" t="str">
        <f>"""NAV Direct"",""CRONUS JetCorp USA"",""21"",""1"",""318847"""</f>
        <v>"NAV Direct","CRONUS JetCorp USA","21","1","318847"</v>
      </c>
      <c r="E1525" s="31" t="str">
        <f t="shared" si="443"/>
        <v>C100053</v>
      </c>
      <c r="F1525" s="31"/>
      <c r="G1525" s="31"/>
      <c r="H1525" s="31"/>
      <c r="I1525" s="56"/>
      <c r="J1525" s="56"/>
      <c r="K1525" s="82" t="str">
        <f t="shared" si="444"/>
        <v>Invoice</v>
      </c>
      <c r="L1525" s="83" t="str">
        <f>"SI_109927"</f>
        <v>SI_109927</v>
      </c>
      <c r="M1525" s="84">
        <v>42094</v>
      </c>
      <c r="N1525" s="85">
        <f t="shared" si="445"/>
        <v>1718</v>
      </c>
      <c r="O1525" s="86">
        <f t="shared" si="446"/>
        <v>14656.46</v>
      </c>
      <c r="P1525" s="86">
        <f t="shared" si="447"/>
        <v>0</v>
      </c>
      <c r="Q1525" s="86">
        <f t="shared" si="448"/>
        <v>0</v>
      </c>
      <c r="R1525" s="86">
        <f t="shared" si="449"/>
        <v>0</v>
      </c>
      <c r="S1525" s="86">
        <f t="shared" si="450"/>
        <v>0</v>
      </c>
      <c r="T1525" s="86">
        <f t="shared" si="451"/>
        <v>14656.46</v>
      </c>
      <c r="U1525" s="87">
        <v>14656.46</v>
      </c>
    </row>
    <row r="1526" spans="1:21" s="30" customFormat="1" ht="24.6" hidden="1" outlineLevel="1" x14ac:dyDescent="0.55000000000000004">
      <c r="A1526" s="27" t="s">
        <v>327</v>
      </c>
      <c r="B1526" s="28"/>
      <c r="C1526" s="27"/>
      <c r="D1526" s="27" t="str">
        <f>"""NAV Direct"",""CRONUS JetCorp USA"",""21"",""1"",""319384"""</f>
        <v>"NAV Direct","CRONUS JetCorp USA","21","1","319384"</v>
      </c>
      <c r="E1526" s="31">
        <f t="shared" si="443"/>
        <v>0</v>
      </c>
      <c r="F1526" s="31"/>
      <c r="G1526" s="31"/>
      <c r="H1526" s="31"/>
      <c r="I1526" s="56"/>
      <c r="J1526" s="56"/>
      <c r="K1526" s="82" t="str">
        <f t="shared" si="444"/>
        <v>Invoice</v>
      </c>
      <c r="L1526" s="83" t="str">
        <f>"SI_109946"</f>
        <v>SI_109946</v>
      </c>
      <c r="M1526" s="84">
        <v>42216</v>
      </c>
      <c r="N1526" s="85">
        <f t="shared" si="445"/>
        <v>1596</v>
      </c>
      <c r="O1526" s="86">
        <f t="shared" si="446"/>
        <v>16147.839999999998</v>
      </c>
      <c r="P1526" s="86">
        <f t="shared" si="447"/>
        <v>0</v>
      </c>
      <c r="Q1526" s="86">
        <f t="shared" si="448"/>
        <v>0</v>
      </c>
      <c r="R1526" s="86">
        <f t="shared" si="449"/>
        <v>0</v>
      </c>
      <c r="S1526" s="86">
        <f t="shared" si="450"/>
        <v>0</v>
      </c>
      <c r="T1526" s="86">
        <f t="shared" si="451"/>
        <v>16147.839999999998</v>
      </c>
      <c r="U1526" s="87">
        <v>16147.839999999998</v>
      </c>
    </row>
    <row r="1527" spans="1:21" s="30" customFormat="1" ht="24.6" hidden="1" outlineLevel="1" x14ac:dyDescent="0.55000000000000004">
      <c r="A1527" s="27" t="s">
        <v>327</v>
      </c>
      <c r="B1527" s="28"/>
      <c r="C1527" s="27"/>
      <c r="D1527" s="27" t="str">
        <f>"""NAV Direct"",""CRONUS JetCorp USA"",""21"",""1"",""319448"""</f>
        <v>"NAV Direct","CRONUS JetCorp USA","21","1","319448"</v>
      </c>
      <c r="E1527" s="31" t="str">
        <f t="shared" si="443"/>
        <v>C100053</v>
      </c>
      <c r="F1527" s="31"/>
      <c r="G1527" s="31"/>
      <c r="H1527" s="31"/>
      <c r="I1527" s="56"/>
      <c r="J1527" s="56"/>
      <c r="K1527" s="82" t="str">
        <f t="shared" si="444"/>
        <v>Invoice</v>
      </c>
      <c r="L1527" s="83" t="str">
        <f>"SI_109948"</f>
        <v>SI_109948</v>
      </c>
      <c r="M1527" s="84">
        <v>42247</v>
      </c>
      <c r="N1527" s="85">
        <f t="shared" si="445"/>
        <v>1565</v>
      </c>
      <c r="O1527" s="86">
        <f t="shared" si="446"/>
        <v>15412.250000000002</v>
      </c>
      <c r="P1527" s="86">
        <f t="shared" si="447"/>
        <v>0</v>
      </c>
      <c r="Q1527" s="86">
        <f t="shared" si="448"/>
        <v>0</v>
      </c>
      <c r="R1527" s="86">
        <f t="shared" si="449"/>
        <v>0</v>
      </c>
      <c r="S1527" s="86">
        <f t="shared" si="450"/>
        <v>0</v>
      </c>
      <c r="T1527" s="86">
        <f t="shared" si="451"/>
        <v>15412.250000000002</v>
      </c>
      <c r="U1527" s="87">
        <v>15412.250000000002</v>
      </c>
    </row>
    <row r="1528" spans="1:21" s="30" customFormat="1" ht="24.6" hidden="1" outlineLevel="1" x14ac:dyDescent="0.55000000000000004">
      <c r="A1528" s="27" t="s">
        <v>327</v>
      </c>
      <c r="B1528" s="28"/>
      <c r="C1528" s="27"/>
      <c r="D1528" s="27" t="str">
        <f>"""NAV Direct"",""CRONUS JetCorp USA"",""21"",""1"",""319475"""</f>
        <v>"NAV Direct","CRONUS JetCorp USA","21","1","319475"</v>
      </c>
      <c r="E1528" s="31">
        <f t="shared" si="443"/>
        <v>0</v>
      </c>
      <c r="F1528" s="31"/>
      <c r="G1528" s="31"/>
      <c r="H1528" s="31"/>
      <c r="I1528" s="56"/>
      <c r="J1528" s="56"/>
      <c r="K1528" s="82" t="str">
        <f t="shared" si="444"/>
        <v>Invoice</v>
      </c>
      <c r="L1528" s="83" t="str">
        <f>"SI_109949"</f>
        <v>SI_109949</v>
      </c>
      <c r="M1528" s="84">
        <v>42247</v>
      </c>
      <c r="N1528" s="85">
        <f t="shared" si="445"/>
        <v>1565</v>
      </c>
      <c r="O1528" s="86">
        <f t="shared" si="446"/>
        <v>16067.89</v>
      </c>
      <c r="P1528" s="86">
        <f t="shared" si="447"/>
        <v>0</v>
      </c>
      <c r="Q1528" s="86">
        <f t="shared" si="448"/>
        <v>0</v>
      </c>
      <c r="R1528" s="86">
        <f t="shared" si="449"/>
        <v>0</v>
      </c>
      <c r="S1528" s="86">
        <f t="shared" si="450"/>
        <v>0</v>
      </c>
      <c r="T1528" s="86">
        <f t="shared" si="451"/>
        <v>16067.89</v>
      </c>
      <c r="U1528" s="87">
        <v>16067.89</v>
      </c>
    </row>
    <row r="1529" spans="1:21" s="30" customFormat="1" ht="24.6" hidden="1" outlineLevel="1" x14ac:dyDescent="0.55000000000000004">
      <c r="A1529" s="27" t="s">
        <v>327</v>
      </c>
      <c r="B1529" s="28"/>
      <c r="C1529" s="27"/>
      <c r="D1529" s="27" t="str">
        <f>"""NAV Direct"",""CRONUS JetCorp USA"",""21"",""1"",""319772"""</f>
        <v>"NAV Direct","CRONUS JetCorp USA","21","1","319772"</v>
      </c>
      <c r="E1529" s="31" t="str">
        <f t="shared" si="443"/>
        <v>C100053</v>
      </c>
      <c r="F1529" s="31"/>
      <c r="G1529" s="31"/>
      <c r="H1529" s="31"/>
      <c r="I1529" s="56"/>
      <c r="J1529" s="56"/>
      <c r="K1529" s="82" t="str">
        <f t="shared" si="444"/>
        <v>Invoice</v>
      </c>
      <c r="L1529" s="83" t="str">
        <f>"SI_109960"</f>
        <v>SI_109960</v>
      </c>
      <c r="M1529" s="84">
        <v>42338</v>
      </c>
      <c r="N1529" s="85">
        <f t="shared" si="445"/>
        <v>1474</v>
      </c>
      <c r="O1529" s="86">
        <f t="shared" si="446"/>
        <v>16686.22</v>
      </c>
      <c r="P1529" s="86">
        <f t="shared" si="447"/>
        <v>0</v>
      </c>
      <c r="Q1529" s="86">
        <f t="shared" si="448"/>
        <v>0</v>
      </c>
      <c r="R1529" s="86">
        <f t="shared" si="449"/>
        <v>0</v>
      </c>
      <c r="S1529" s="86">
        <f t="shared" si="450"/>
        <v>0</v>
      </c>
      <c r="T1529" s="86">
        <f t="shared" si="451"/>
        <v>16686.22</v>
      </c>
      <c r="U1529" s="87">
        <v>16686.22</v>
      </c>
    </row>
    <row r="1530" spans="1:21" s="30" customFormat="1" ht="24.6" hidden="1" outlineLevel="1" x14ac:dyDescent="0.55000000000000004">
      <c r="A1530" s="27" t="s">
        <v>327</v>
      </c>
      <c r="B1530" s="28"/>
      <c r="C1530" s="27"/>
      <c r="D1530" s="27" t="str">
        <f>"""NAV Direct"",""CRONUS JetCorp USA"",""21"",""1"",""319895"""</f>
        <v>"NAV Direct","CRONUS JetCorp USA","21","1","319895"</v>
      </c>
      <c r="E1530" s="31">
        <f t="shared" si="443"/>
        <v>0</v>
      </c>
      <c r="F1530" s="31"/>
      <c r="G1530" s="31"/>
      <c r="H1530" s="31"/>
      <c r="I1530" s="56"/>
      <c r="J1530" s="56"/>
      <c r="K1530" s="82" t="str">
        <f t="shared" si="444"/>
        <v>Invoice</v>
      </c>
      <c r="L1530" s="83" t="str">
        <f>"SI_109965"</f>
        <v>SI_109965</v>
      </c>
      <c r="M1530" s="84">
        <v>42338</v>
      </c>
      <c r="N1530" s="85">
        <f t="shared" si="445"/>
        <v>1474</v>
      </c>
      <c r="O1530" s="86">
        <f t="shared" si="446"/>
        <v>17213.57</v>
      </c>
      <c r="P1530" s="86">
        <f t="shared" si="447"/>
        <v>0</v>
      </c>
      <c r="Q1530" s="86">
        <f t="shared" si="448"/>
        <v>0</v>
      </c>
      <c r="R1530" s="86">
        <f t="shared" si="449"/>
        <v>0</v>
      </c>
      <c r="S1530" s="86">
        <f t="shared" si="450"/>
        <v>0</v>
      </c>
      <c r="T1530" s="86">
        <f t="shared" si="451"/>
        <v>17213.57</v>
      </c>
      <c r="U1530" s="87">
        <v>17213.57</v>
      </c>
    </row>
    <row r="1531" spans="1:21" s="30" customFormat="1" ht="24.6" hidden="1" outlineLevel="1" x14ac:dyDescent="0.55000000000000004">
      <c r="A1531" s="27" t="s">
        <v>327</v>
      </c>
      <c r="B1531" s="28"/>
      <c r="C1531" s="27"/>
      <c r="D1531" s="27" t="str">
        <f>"""NAV Direct"",""CRONUS JetCorp USA"",""21"",""1"",""319922"""</f>
        <v>"NAV Direct","CRONUS JetCorp USA","21","1","319922"</v>
      </c>
      <c r="E1531" s="31" t="str">
        <f t="shared" si="443"/>
        <v>C100053</v>
      </c>
      <c r="F1531" s="31"/>
      <c r="G1531" s="31"/>
      <c r="H1531" s="31"/>
      <c r="I1531" s="56"/>
      <c r="J1531" s="56"/>
      <c r="K1531" s="82" t="str">
        <f t="shared" si="444"/>
        <v>Invoice</v>
      </c>
      <c r="L1531" s="83" t="str">
        <f>"SI_109966"</f>
        <v>SI_109966</v>
      </c>
      <c r="M1531" s="84">
        <v>42369</v>
      </c>
      <c r="N1531" s="85">
        <f t="shared" si="445"/>
        <v>1443</v>
      </c>
      <c r="O1531" s="86">
        <f t="shared" si="446"/>
        <v>17334.41</v>
      </c>
      <c r="P1531" s="86">
        <f t="shared" si="447"/>
        <v>0</v>
      </c>
      <c r="Q1531" s="86">
        <f t="shared" si="448"/>
        <v>0</v>
      </c>
      <c r="R1531" s="86">
        <f t="shared" si="449"/>
        <v>0</v>
      </c>
      <c r="S1531" s="86">
        <f t="shared" si="450"/>
        <v>0</v>
      </c>
      <c r="T1531" s="86">
        <f t="shared" si="451"/>
        <v>17334.41</v>
      </c>
      <c r="U1531" s="87">
        <v>17334.41</v>
      </c>
    </row>
    <row r="1532" spans="1:21" s="30" customFormat="1" ht="24.6" hidden="1" outlineLevel="1" x14ac:dyDescent="0.55000000000000004">
      <c r="A1532" s="27" t="s">
        <v>327</v>
      </c>
      <c r="B1532" s="28"/>
      <c r="C1532" s="27"/>
      <c r="D1532" s="27" t="str">
        <f>"""NAV Direct"",""CRONUS JetCorp USA"",""21"",""1"",""320003"""</f>
        <v>"NAV Direct","CRONUS JetCorp USA","21","1","320003"</v>
      </c>
      <c r="E1532" s="31">
        <f t="shared" si="443"/>
        <v>0</v>
      </c>
      <c r="F1532" s="31"/>
      <c r="G1532" s="31"/>
      <c r="H1532" s="31"/>
      <c r="I1532" s="56"/>
      <c r="J1532" s="56"/>
      <c r="K1532" s="82" t="str">
        <f t="shared" si="444"/>
        <v>Invoice</v>
      </c>
      <c r="L1532" s="83" t="str">
        <f>"SI_109969"</f>
        <v>SI_109969</v>
      </c>
      <c r="M1532" s="84">
        <v>42369</v>
      </c>
      <c r="N1532" s="85">
        <f t="shared" si="445"/>
        <v>1443</v>
      </c>
      <c r="O1532" s="86">
        <f t="shared" si="446"/>
        <v>17157.66</v>
      </c>
      <c r="P1532" s="86">
        <f t="shared" si="447"/>
        <v>0</v>
      </c>
      <c r="Q1532" s="86">
        <f t="shared" si="448"/>
        <v>0</v>
      </c>
      <c r="R1532" s="86">
        <f t="shared" si="449"/>
        <v>0</v>
      </c>
      <c r="S1532" s="86">
        <f t="shared" si="450"/>
        <v>0</v>
      </c>
      <c r="T1532" s="86">
        <f t="shared" si="451"/>
        <v>17157.66</v>
      </c>
      <c r="U1532" s="87">
        <v>17157.66</v>
      </c>
    </row>
    <row r="1533" spans="1:21" s="30" customFormat="1" ht="24.6" hidden="1" outlineLevel="1" x14ac:dyDescent="0.55000000000000004">
      <c r="A1533" s="27" t="s">
        <v>327</v>
      </c>
      <c r="B1533" s="28"/>
      <c r="C1533" s="27"/>
      <c r="D1533" s="27" t="str">
        <f>"""NAV Direct"",""CRONUS JetCorp USA"",""21"",""1"",""430423"""</f>
        <v>"NAV Direct","CRONUS JetCorp USA","21","1","430423"</v>
      </c>
      <c r="E1533" s="31" t="str">
        <f t="shared" si="443"/>
        <v>C100053</v>
      </c>
      <c r="F1533" s="31"/>
      <c r="G1533" s="31"/>
      <c r="H1533" s="31"/>
      <c r="I1533" s="56"/>
      <c r="J1533" s="56"/>
      <c r="K1533" s="82" t="str">
        <f t="shared" ref="K1533:K1542" si="452">"Credit Memo"</f>
        <v>Credit Memo</v>
      </c>
      <c r="L1533" s="83" t="str">
        <f>"SC_100270"</f>
        <v>SC_100270</v>
      </c>
      <c r="M1533" s="84">
        <v>42560</v>
      </c>
      <c r="N1533" s="85">
        <f t="shared" si="445"/>
        <v>1252</v>
      </c>
      <c r="O1533" s="86">
        <f t="shared" si="446"/>
        <v>-127.85</v>
      </c>
      <c r="P1533" s="86">
        <f t="shared" si="447"/>
        <v>0</v>
      </c>
      <c r="Q1533" s="86">
        <f t="shared" si="448"/>
        <v>0</v>
      </c>
      <c r="R1533" s="86">
        <f t="shared" si="449"/>
        <v>0</v>
      </c>
      <c r="S1533" s="86">
        <f t="shared" si="450"/>
        <v>0</v>
      </c>
      <c r="T1533" s="86">
        <f t="shared" si="451"/>
        <v>-127.85</v>
      </c>
      <c r="U1533" s="87">
        <v>-127.85</v>
      </c>
    </row>
    <row r="1534" spans="1:21" s="30" customFormat="1" ht="24.6" hidden="1" outlineLevel="1" x14ac:dyDescent="0.55000000000000004">
      <c r="A1534" s="27" t="s">
        <v>327</v>
      </c>
      <c r="B1534" s="28"/>
      <c r="C1534" s="27"/>
      <c r="D1534" s="27" t="str">
        <f>"""NAV Direct"",""CRONUS JetCorp USA"",""21"",""1"",""430451"""</f>
        <v>"NAV Direct","CRONUS JetCorp USA","21","1","430451"</v>
      </c>
      <c r="E1534" s="31">
        <f t="shared" si="443"/>
        <v>0</v>
      </c>
      <c r="F1534" s="31"/>
      <c r="G1534" s="31"/>
      <c r="H1534" s="31"/>
      <c r="I1534" s="56"/>
      <c r="J1534" s="56"/>
      <c r="K1534" s="82" t="str">
        <f t="shared" si="452"/>
        <v>Credit Memo</v>
      </c>
      <c r="L1534" s="83" t="str">
        <f>"SC_100272"</f>
        <v>SC_100272</v>
      </c>
      <c r="M1534" s="84">
        <v>42660</v>
      </c>
      <c r="N1534" s="85">
        <f t="shared" si="445"/>
        <v>1152</v>
      </c>
      <c r="O1534" s="86">
        <f t="shared" si="446"/>
        <v>-130.20000000000002</v>
      </c>
      <c r="P1534" s="86">
        <f t="shared" si="447"/>
        <v>0</v>
      </c>
      <c r="Q1534" s="86">
        <f t="shared" si="448"/>
        <v>0</v>
      </c>
      <c r="R1534" s="86">
        <f t="shared" si="449"/>
        <v>0</v>
      </c>
      <c r="S1534" s="86">
        <f t="shared" si="450"/>
        <v>0</v>
      </c>
      <c r="T1534" s="86">
        <f t="shared" si="451"/>
        <v>-130.20000000000002</v>
      </c>
      <c r="U1534" s="87">
        <v>-130.20000000000002</v>
      </c>
    </row>
    <row r="1535" spans="1:21" s="30" customFormat="1" ht="24.6" hidden="1" outlineLevel="1" x14ac:dyDescent="0.55000000000000004">
      <c r="A1535" s="27" t="s">
        <v>327</v>
      </c>
      <c r="B1535" s="28"/>
      <c r="C1535" s="27"/>
      <c r="D1535" s="27" t="str">
        <f>"""NAV Direct"",""CRONUS JetCorp USA"",""21"",""1"",""430525"""</f>
        <v>"NAV Direct","CRONUS JetCorp USA","21","1","430525"</v>
      </c>
      <c r="E1535" s="31" t="str">
        <f t="shared" si="443"/>
        <v>C100053</v>
      </c>
      <c r="F1535" s="31"/>
      <c r="G1535" s="31"/>
      <c r="H1535" s="31"/>
      <c r="I1535" s="56"/>
      <c r="J1535" s="56"/>
      <c r="K1535" s="82" t="str">
        <f t="shared" si="452"/>
        <v>Credit Memo</v>
      </c>
      <c r="L1535" s="83" t="str">
        <f>"SC_100278"</f>
        <v>SC_100278</v>
      </c>
      <c r="M1535" s="84">
        <v>42791</v>
      </c>
      <c r="N1535" s="85">
        <f t="shared" si="445"/>
        <v>1021</v>
      </c>
      <c r="O1535" s="86">
        <f t="shared" si="446"/>
        <v>-138.06</v>
      </c>
      <c r="P1535" s="86">
        <f t="shared" si="447"/>
        <v>0</v>
      </c>
      <c r="Q1535" s="86">
        <f t="shared" si="448"/>
        <v>0</v>
      </c>
      <c r="R1535" s="86">
        <f t="shared" si="449"/>
        <v>0</v>
      </c>
      <c r="S1535" s="86">
        <f t="shared" si="450"/>
        <v>0</v>
      </c>
      <c r="T1535" s="86">
        <f t="shared" si="451"/>
        <v>-138.06</v>
      </c>
      <c r="U1535" s="87">
        <v>-138.06</v>
      </c>
    </row>
    <row r="1536" spans="1:21" s="30" customFormat="1" ht="24.6" hidden="1" outlineLevel="1" x14ac:dyDescent="0.55000000000000004">
      <c r="A1536" s="27" t="s">
        <v>327</v>
      </c>
      <c r="B1536" s="28"/>
      <c r="C1536" s="27"/>
      <c r="D1536" s="27" t="str">
        <f>"""NAV Direct"",""CRONUS JetCorp USA"",""21"",""1"",""430540"""</f>
        <v>"NAV Direct","CRONUS JetCorp USA","21","1","430540"</v>
      </c>
      <c r="E1536" s="31">
        <f t="shared" si="443"/>
        <v>0</v>
      </c>
      <c r="F1536" s="31"/>
      <c r="G1536" s="31"/>
      <c r="H1536" s="31"/>
      <c r="I1536" s="56"/>
      <c r="J1536" s="56"/>
      <c r="K1536" s="82" t="str">
        <f t="shared" si="452"/>
        <v>Credit Memo</v>
      </c>
      <c r="L1536" s="83" t="str">
        <f>"SC_100279"</f>
        <v>SC_100279</v>
      </c>
      <c r="M1536" s="84">
        <v>42801</v>
      </c>
      <c r="N1536" s="85">
        <f t="shared" si="445"/>
        <v>1011</v>
      </c>
      <c r="O1536" s="86">
        <f t="shared" si="446"/>
        <v>-143.53</v>
      </c>
      <c r="P1536" s="86">
        <f t="shared" si="447"/>
        <v>0</v>
      </c>
      <c r="Q1536" s="86">
        <f t="shared" si="448"/>
        <v>0</v>
      </c>
      <c r="R1536" s="86">
        <f t="shared" si="449"/>
        <v>0</v>
      </c>
      <c r="S1536" s="86">
        <f t="shared" si="450"/>
        <v>0</v>
      </c>
      <c r="T1536" s="86">
        <f t="shared" si="451"/>
        <v>-143.53</v>
      </c>
      <c r="U1536" s="87">
        <v>-143.53</v>
      </c>
    </row>
    <row r="1537" spans="1:22" s="30" customFormat="1" ht="24.6" hidden="1" outlineLevel="1" x14ac:dyDescent="0.55000000000000004">
      <c r="A1537" s="27" t="s">
        <v>327</v>
      </c>
      <c r="B1537" s="28"/>
      <c r="C1537" s="27"/>
      <c r="D1537" s="27" t="str">
        <f>"""NAV Direct"",""CRONUS JetCorp USA"",""21"",""1"",""430573"""</f>
        <v>"NAV Direct","CRONUS JetCorp USA","21","1","430573"</v>
      </c>
      <c r="E1537" s="31" t="str">
        <f t="shared" si="443"/>
        <v>C100053</v>
      </c>
      <c r="F1537" s="31"/>
      <c r="G1537" s="31"/>
      <c r="H1537" s="31"/>
      <c r="I1537" s="56"/>
      <c r="J1537" s="56"/>
      <c r="K1537" s="82" t="str">
        <f t="shared" si="452"/>
        <v>Credit Memo</v>
      </c>
      <c r="L1537" s="83" t="str">
        <f>"SC_100282"</f>
        <v>SC_100282</v>
      </c>
      <c r="M1537" s="84">
        <v>42834</v>
      </c>
      <c r="N1537" s="85">
        <f t="shared" si="445"/>
        <v>978</v>
      </c>
      <c r="O1537" s="86">
        <f t="shared" si="446"/>
        <v>-144.30000000000001</v>
      </c>
      <c r="P1537" s="86">
        <f t="shared" si="447"/>
        <v>0</v>
      </c>
      <c r="Q1537" s="86">
        <f t="shared" si="448"/>
        <v>0</v>
      </c>
      <c r="R1537" s="86">
        <f t="shared" si="449"/>
        <v>0</v>
      </c>
      <c r="S1537" s="86">
        <f t="shared" si="450"/>
        <v>0</v>
      </c>
      <c r="T1537" s="86">
        <f t="shared" si="451"/>
        <v>-144.30000000000001</v>
      </c>
      <c r="U1537" s="87">
        <v>-144.30000000000001</v>
      </c>
    </row>
    <row r="1538" spans="1:22" s="30" customFormat="1" ht="24.6" hidden="1" outlineLevel="1" x14ac:dyDescent="0.55000000000000004">
      <c r="A1538" s="27" t="s">
        <v>327</v>
      </c>
      <c r="B1538" s="28"/>
      <c r="C1538" s="27"/>
      <c r="D1538" s="27" t="str">
        <f>"""NAV Direct"",""CRONUS JetCorp USA"",""21"",""1"",""430721"""</f>
        <v>"NAV Direct","CRONUS JetCorp USA","21","1","430721"</v>
      </c>
      <c r="E1538" s="31">
        <f t="shared" si="443"/>
        <v>0</v>
      </c>
      <c r="F1538" s="31"/>
      <c r="G1538" s="31"/>
      <c r="H1538" s="31"/>
      <c r="I1538" s="56"/>
      <c r="J1538" s="56"/>
      <c r="K1538" s="82" t="str">
        <f t="shared" si="452"/>
        <v>Credit Memo</v>
      </c>
      <c r="L1538" s="83" t="str">
        <f>"SC_100292"</f>
        <v>SC_100292</v>
      </c>
      <c r="M1538" s="84">
        <v>43349</v>
      </c>
      <c r="N1538" s="85">
        <f t="shared" si="445"/>
        <v>463</v>
      </c>
      <c r="O1538" s="86">
        <f t="shared" si="446"/>
        <v>-115.74000000000001</v>
      </c>
      <c r="P1538" s="86">
        <f t="shared" si="447"/>
        <v>0</v>
      </c>
      <c r="Q1538" s="86">
        <f t="shared" si="448"/>
        <v>0</v>
      </c>
      <c r="R1538" s="86">
        <f t="shared" si="449"/>
        <v>0</v>
      </c>
      <c r="S1538" s="86">
        <f t="shared" si="450"/>
        <v>0</v>
      </c>
      <c r="T1538" s="86">
        <f t="shared" si="451"/>
        <v>-115.74000000000001</v>
      </c>
      <c r="U1538" s="87">
        <v>-115.74000000000001</v>
      </c>
    </row>
    <row r="1539" spans="1:22" s="30" customFormat="1" ht="24.6" hidden="1" outlineLevel="1" x14ac:dyDescent="0.55000000000000004">
      <c r="A1539" s="27" t="s">
        <v>327</v>
      </c>
      <c r="B1539" s="28"/>
      <c r="C1539" s="27"/>
      <c r="D1539" s="27" t="str">
        <f>"""NAV Direct"",""CRONUS JetCorp USA"",""21"",""1"",""430792"""</f>
        <v>"NAV Direct","CRONUS JetCorp USA","21","1","430792"</v>
      </c>
      <c r="E1539" s="31" t="str">
        <f t="shared" si="443"/>
        <v>C100053</v>
      </c>
      <c r="F1539" s="31"/>
      <c r="G1539" s="31"/>
      <c r="H1539" s="31"/>
      <c r="I1539" s="56"/>
      <c r="J1539" s="56"/>
      <c r="K1539" s="82" t="str">
        <f t="shared" si="452"/>
        <v>Credit Memo</v>
      </c>
      <c r="L1539" s="83" t="str">
        <f>"SC_100297"</f>
        <v>SC_100297</v>
      </c>
      <c r="M1539" s="84">
        <v>43566</v>
      </c>
      <c r="N1539" s="85">
        <f t="shared" si="445"/>
        <v>246</v>
      </c>
      <c r="O1539" s="86">
        <f t="shared" si="446"/>
        <v>-122.09</v>
      </c>
      <c r="P1539" s="86">
        <f t="shared" si="447"/>
        <v>0</v>
      </c>
      <c r="Q1539" s="86">
        <f t="shared" si="448"/>
        <v>0</v>
      </c>
      <c r="R1539" s="86">
        <f t="shared" si="449"/>
        <v>0</v>
      </c>
      <c r="S1539" s="86">
        <f t="shared" si="450"/>
        <v>0</v>
      </c>
      <c r="T1539" s="86">
        <f t="shared" si="451"/>
        <v>-122.09</v>
      </c>
      <c r="U1539" s="87">
        <v>-122.09</v>
      </c>
    </row>
    <row r="1540" spans="1:22" s="30" customFormat="1" ht="24.6" hidden="1" outlineLevel="1" x14ac:dyDescent="0.55000000000000004">
      <c r="A1540" s="27" t="s">
        <v>327</v>
      </c>
      <c r="B1540" s="28"/>
      <c r="C1540" s="27"/>
      <c r="D1540" s="27" t="str">
        <f>"""NAV Direct"",""CRONUS JetCorp USA"",""21"",""1"",""431006"""</f>
        <v>"NAV Direct","CRONUS JetCorp USA","21","1","431006"</v>
      </c>
      <c r="E1540" s="31">
        <f t="shared" si="443"/>
        <v>0</v>
      </c>
      <c r="F1540" s="31"/>
      <c r="G1540" s="31"/>
      <c r="H1540" s="31"/>
      <c r="I1540" s="56"/>
      <c r="J1540" s="56"/>
      <c r="K1540" s="82" t="str">
        <f t="shared" si="452"/>
        <v>Credit Memo</v>
      </c>
      <c r="L1540" s="83" t="str">
        <f>"SC_100313"</f>
        <v>SC_100313</v>
      </c>
      <c r="M1540" s="84">
        <v>42133</v>
      </c>
      <c r="N1540" s="85">
        <f t="shared" si="445"/>
        <v>1679</v>
      </c>
      <c r="O1540" s="86">
        <f t="shared" si="446"/>
        <v>-157.4</v>
      </c>
      <c r="P1540" s="86">
        <f t="shared" si="447"/>
        <v>0</v>
      </c>
      <c r="Q1540" s="86">
        <f t="shared" si="448"/>
        <v>0</v>
      </c>
      <c r="R1540" s="86">
        <f t="shared" si="449"/>
        <v>0</v>
      </c>
      <c r="S1540" s="86">
        <f t="shared" si="450"/>
        <v>0</v>
      </c>
      <c r="T1540" s="86">
        <f t="shared" si="451"/>
        <v>-157.4</v>
      </c>
      <c r="U1540" s="87">
        <v>-157.4</v>
      </c>
    </row>
    <row r="1541" spans="1:22" s="30" customFormat="1" ht="24.6" hidden="1" outlineLevel="1" x14ac:dyDescent="0.55000000000000004">
      <c r="A1541" s="27" t="s">
        <v>327</v>
      </c>
      <c r="B1541" s="28"/>
      <c r="C1541" s="27"/>
      <c r="D1541" s="27" t="str">
        <f>"""NAV Direct"",""CRONUS JetCorp USA"",""21"",""1"",""431074"""</f>
        <v>"NAV Direct","CRONUS JetCorp USA","21","1","431074"</v>
      </c>
      <c r="E1541" s="31" t="str">
        <f t="shared" si="443"/>
        <v>C100053</v>
      </c>
      <c r="F1541" s="31"/>
      <c r="G1541" s="31"/>
      <c r="H1541" s="31"/>
      <c r="I1541" s="56"/>
      <c r="J1541" s="56"/>
      <c r="K1541" s="82" t="str">
        <f t="shared" si="452"/>
        <v>Credit Memo</v>
      </c>
      <c r="L1541" s="83" t="str">
        <f>"SC_100317"</f>
        <v>SC_100317</v>
      </c>
      <c r="M1541" s="84">
        <v>42194</v>
      </c>
      <c r="N1541" s="85">
        <f t="shared" si="445"/>
        <v>1618</v>
      </c>
      <c r="O1541" s="86">
        <f t="shared" si="446"/>
        <v>-159.85999999999999</v>
      </c>
      <c r="P1541" s="86">
        <f t="shared" si="447"/>
        <v>0</v>
      </c>
      <c r="Q1541" s="86">
        <f t="shared" si="448"/>
        <v>0</v>
      </c>
      <c r="R1541" s="86">
        <f t="shared" si="449"/>
        <v>0</v>
      </c>
      <c r="S1541" s="86">
        <f t="shared" si="450"/>
        <v>0</v>
      </c>
      <c r="T1541" s="86">
        <f t="shared" si="451"/>
        <v>-159.85999999999999</v>
      </c>
      <c r="U1541" s="87">
        <v>-159.85999999999999</v>
      </c>
    </row>
    <row r="1542" spans="1:22" s="30" customFormat="1" ht="24.6" hidden="1" outlineLevel="1" x14ac:dyDescent="0.55000000000000004">
      <c r="A1542" s="27" t="s">
        <v>327</v>
      </c>
      <c r="B1542" s="28"/>
      <c r="C1542" s="27"/>
      <c r="D1542" s="27" t="str">
        <f>"""NAV Direct"",""CRONUS JetCorp USA"",""21"",""1"",""431157"""</f>
        <v>"NAV Direct","CRONUS JetCorp USA","21","1","431157"</v>
      </c>
      <c r="E1542" s="31">
        <f t="shared" si="443"/>
        <v>0</v>
      </c>
      <c r="F1542" s="31"/>
      <c r="G1542" s="31"/>
      <c r="H1542" s="31"/>
      <c r="I1542" s="56"/>
      <c r="J1542" s="56"/>
      <c r="K1542" s="82" t="str">
        <f t="shared" si="452"/>
        <v>Credit Memo</v>
      </c>
      <c r="L1542" s="83" t="str">
        <f>"SC_100324"</f>
        <v>SC_100324</v>
      </c>
      <c r="M1542" s="84">
        <v>42356</v>
      </c>
      <c r="N1542" s="85">
        <f t="shared" si="445"/>
        <v>1456</v>
      </c>
      <c r="O1542" s="86">
        <f t="shared" si="446"/>
        <v>-167.21</v>
      </c>
      <c r="P1542" s="86">
        <f t="shared" si="447"/>
        <v>0</v>
      </c>
      <c r="Q1542" s="86">
        <f t="shared" si="448"/>
        <v>0</v>
      </c>
      <c r="R1542" s="86">
        <f t="shared" si="449"/>
        <v>0</v>
      </c>
      <c r="S1542" s="86">
        <f t="shared" si="450"/>
        <v>0</v>
      </c>
      <c r="T1542" s="86">
        <f t="shared" si="451"/>
        <v>-167.21</v>
      </c>
      <c r="U1542" s="87">
        <v>-167.21</v>
      </c>
    </row>
    <row r="1543" spans="1:22" s="22" customFormat="1" ht="20.399999999999999" collapsed="1" x14ac:dyDescent="0.45">
      <c r="A1543" s="12" t="s">
        <v>327</v>
      </c>
      <c r="B1543" s="19"/>
      <c r="C1543" s="12"/>
      <c r="D1543" s="12"/>
      <c r="E1543" s="23"/>
      <c r="F1543" s="23"/>
      <c r="G1543" s="23"/>
      <c r="H1543" s="23"/>
      <c r="I1543" s="49"/>
      <c r="J1543" s="88"/>
      <c r="K1543" s="88"/>
      <c r="L1543" s="89"/>
      <c r="M1543" s="89"/>
      <c r="N1543" s="89"/>
      <c r="O1543" s="89"/>
      <c r="P1543" s="89"/>
      <c r="Q1543" s="90"/>
      <c r="R1543" s="90"/>
      <c r="S1543" s="91"/>
      <c r="T1543" s="92"/>
      <c r="U1543" s="92"/>
    </row>
    <row r="1544" spans="1:22" s="22" customFormat="1" ht="20.399999999999999" x14ac:dyDescent="0.45">
      <c r="A1544" s="12" t="s">
        <v>327</v>
      </c>
      <c r="B1544" s="19"/>
      <c r="C1544" s="12"/>
      <c r="D1544" s="12"/>
      <c r="E1544" s="23"/>
      <c r="F1544" s="23"/>
      <c r="G1544" s="23"/>
      <c r="H1544" s="23"/>
      <c r="I1544" s="49"/>
      <c r="J1544" s="88"/>
      <c r="K1544" s="88"/>
      <c r="L1544" s="89"/>
      <c r="M1544" s="89"/>
      <c r="N1544" s="89"/>
      <c r="O1544" s="89"/>
      <c r="P1544" s="89"/>
      <c r="Q1544" s="90"/>
      <c r="R1544" s="90"/>
      <c r="S1544" s="91"/>
      <c r="T1544" s="92"/>
      <c r="U1544" s="92"/>
    </row>
    <row r="1545" spans="1:22" s="26" customFormat="1" ht="24.6" x14ac:dyDescent="0.55000000000000004">
      <c r="A1545" s="27" t="s">
        <v>327</v>
      </c>
      <c r="B1545" s="28"/>
      <c r="C1545" s="27" t="str">
        <f>"""NAV Direct"",""CRONUS JetCorp USA"",""18"",""1"",""C100054"""</f>
        <v>"NAV Direct","CRONUS JetCorp USA","18","1","C100054"</v>
      </c>
      <c r="D1545" s="27"/>
      <c r="E1545" s="28" t="str">
        <f>H1545</f>
        <v>C100054</v>
      </c>
      <c r="F1545" s="28"/>
      <c r="G1545" s="28"/>
      <c r="H1545" s="28" t="str">
        <f>"C100054"</f>
        <v>C100054</v>
      </c>
      <c r="I1545" s="116" t="str">
        <f>"C100054  -  London Candoxy Storage Campus"</f>
        <v>C100054  -  London Candoxy Storage Campus</v>
      </c>
      <c r="J1545" s="117" t="str">
        <f>""</f>
        <v/>
      </c>
      <c r="K1545" s="118"/>
      <c r="L1545" s="119">
        <f>SUBTOTAL(3,L1546:L1601)</f>
        <v>52</v>
      </c>
      <c r="M1545" s="118"/>
      <c r="N1545" s="118"/>
      <c r="O1545" s="120">
        <f t="shared" ref="O1545:T1545" si="453">SUBTOTAL(9,O1546:O1601)</f>
        <v>257024.58000000005</v>
      </c>
      <c r="P1545" s="120">
        <f t="shared" si="453"/>
        <v>0</v>
      </c>
      <c r="Q1545" s="120">
        <f t="shared" si="453"/>
        <v>0</v>
      </c>
      <c r="R1545" s="120">
        <f t="shared" si="453"/>
        <v>5891.8499999999995</v>
      </c>
      <c r="S1545" s="120">
        <f t="shared" si="453"/>
        <v>0</v>
      </c>
      <c r="T1545" s="120">
        <f t="shared" si="453"/>
        <v>251132.73000000004</v>
      </c>
      <c r="U1545" s="81"/>
    </row>
    <row r="1546" spans="1:22" s="26" customFormat="1" ht="24.6" x14ac:dyDescent="0.55000000000000004">
      <c r="A1546" s="27" t="s">
        <v>327</v>
      </c>
      <c r="B1546" s="28"/>
      <c r="C1546" s="27" t="str">
        <f>C1545</f>
        <v>"NAV Direct","CRONUS JetCorp USA","18","1","C100054"</v>
      </c>
      <c r="D1546" s="27"/>
      <c r="E1546" s="28" t="str">
        <f>E1545</f>
        <v>C100054</v>
      </c>
      <c r="F1546" s="28"/>
      <c r="G1546" s="28"/>
      <c r="H1546" s="28"/>
      <c r="I1546" s="121" t="str">
        <f>"Contact: Mr. John Kane"</f>
        <v>Contact: Mr. John Kane</v>
      </c>
      <c r="J1546" s="121"/>
      <c r="K1546" s="122"/>
      <c r="L1546" s="123"/>
      <c r="M1546" s="123"/>
      <c r="N1546" s="124"/>
      <c r="O1546" s="124"/>
      <c r="P1546" s="123"/>
      <c r="Q1546" s="125"/>
      <c r="R1546" s="126"/>
      <c r="S1546" s="126"/>
      <c r="T1546" s="125"/>
      <c r="U1546" s="81"/>
    </row>
    <row r="1547" spans="1:22" s="26" customFormat="1" ht="24.6" x14ac:dyDescent="0.55000000000000004">
      <c r="A1547" s="27" t="s">
        <v>327</v>
      </c>
      <c r="B1547" s="28"/>
      <c r="C1547" s="27" t="str">
        <f>C1546</f>
        <v>"NAV Direct","CRONUS JetCorp USA","18","1","C100054"</v>
      </c>
      <c r="D1547" s="27"/>
      <c r="E1547" s="28" t="str">
        <f>E1546</f>
        <v>C100054</v>
      </c>
      <c r="F1547" s="28"/>
      <c r="G1547" s="28"/>
      <c r="H1547" s="28"/>
      <c r="I1547" s="121" t="str">
        <f>"london.candoxy.storage.campus@cronuscorp.net"</f>
        <v>london.candoxy.storage.campus@cronuscorp.net</v>
      </c>
      <c r="J1547" s="121"/>
      <c r="K1547" s="122"/>
      <c r="L1547" s="124"/>
      <c r="M1547" s="124"/>
      <c r="N1547" s="124"/>
      <c r="O1547" s="124"/>
      <c r="P1547" s="123"/>
      <c r="Q1547" s="125"/>
      <c r="R1547" s="126"/>
      <c r="S1547" s="126"/>
      <c r="T1547" s="125"/>
      <c r="U1547" s="81"/>
    </row>
    <row r="1548" spans="1:22" ht="12.75" hidden="1" customHeight="1" outlineLevel="1" x14ac:dyDescent="0.45">
      <c r="A1548" s="12" t="s">
        <v>328</v>
      </c>
      <c r="B1548" s="19"/>
      <c r="E1548" s="19"/>
      <c r="F1548" s="19"/>
      <c r="G1548" s="19"/>
      <c r="H1548" s="19"/>
      <c r="I1548" s="61"/>
      <c r="J1548" s="61"/>
      <c r="K1548" s="61"/>
      <c r="L1548" s="61"/>
      <c r="M1548" s="61"/>
      <c r="N1548" s="61"/>
      <c r="O1548" s="61"/>
      <c r="P1548" s="61"/>
      <c r="Q1548" s="61"/>
      <c r="R1548" s="61"/>
      <c r="S1548" s="61"/>
      <c r="T1548" s="61"/>
      <c r="U1548" s="61"/>
      <c r="V1548" s="21"/>
    </row>
    <row r="1549" spans="1:22" s="30" customFormat="1" ht="24.6" hidden="1" outlineLevel="1" x14ac:dyDescent="0.55000000000000004">
      <c r="A1549" s="27" t="s">
        <v>327</v>
      </c>
      <c r="B1549" s="28"/>
      <c r="C1549" s="27"/>
      <c r="D1549" s="27" t="str">
        <f>"""NAV Direct"",""CRONUS JetCorp USA"",""21"",""1"",""29592"""</f>
        <v>"NAV Direct","CRONUS JetCorp USA","21","1","29592"</v>
      </c>
      <c r="E1549" s="31" t="str">
        <f t="shared" ref="E1549:E1580" si="454">E1547</f>
        <v>C100054</v>
      </c>
      <c r="F1549" s="31"/>
      <c r="G1549" s="31"/>
      <c r="H1549" s="31"/>
      <c r="I1549" s="56"/>
      <c r="J1549" s="56"/>
      <c r="K1549" s="82" t="str">
        <f t="shared" ref="K1549:K1588" si="455">"Invoice"</f>
        <v>Invoice</v>
      </c>
      <c r="L1549" s="83" t="str">
        <f>"SI_104455"</f>
        <v>SI_104455</v>
      </c>
      <c r="M1549" s="84">
        <v>42338</v>
      </c>
      <c r="N1549" s="85">
        <f t="shared" ref="N1549:N1580" si="456">StartDate-$M1549+1</f>
        <v>1474</v>
      </c>
      <c r="O1549" s="86">
        <f t="shared" ref="O1549:O1580" si="457">SUM(P1549:T1549)</f>
        <v>6512.7099999999991</v>
      </c>
      <c r="P1549" s="86">
        <f t="shared" ref="P1549:P1580" si="458">IF($M1549&gt;=$P$18,U1549,0)</f>
        <v>0</v>
      </c>
      <c r="Q1549" s="86">
        <f t="shared" ref="Q1549:Q1580" si="459">IF(AND($M1549&gt;=$Q$16,$M1549&lt;=$Q$18),U1549,0)</f>
        <v>0</v>
      </c>
      <c r="R1549" s="86">
        <f t="shared" ref="R1549:R1580" si="460">IF(AND($M1549&gt;=$R$16,$M1549&lt;=$R$18),U1549,0)</f>
        <v>0</v>
      </c>
      <c r="S1549" s="86">
        <f t="shared" ref="S1549:S1580" si="461">IF(AND($M1549&gt;=$S$16,$M1549&lt;=$S$18),U1549,0)</f>
        <v>0</v>
      </c>
      <c r="T1549" s="86">
        <f t="shared" ref="T1549:T1580" si="462">IF($M1549&lt;=$T$18,U1549,0)</f>
        <v>6512.7099999999991</v>
      </c>
      <c r="U1549" s="87">
        <v>6512.7099999999991</v>
      </c>
    </row>
    <row r="1550" spans="1:22" s="30" customFormat="1" ht="24.6" hidden="1" outlineLevel="1" x14ac:dyDescent="0.55000000000000004">
      <c r="A1550" s="27" t="s">
        <v>327</v>
      </c>
      <c r="B1550" s="28"/>
      <c r="C1550" s="27"/>
      <c r="D1550" s="27" t="str">
        <f>"""NAV Direct"",""CRONUS JetCorp USA"",""21"",""1"",""320266"""</f>
        <v>"NAV Direct","CRONUS JetCorp USA","21","1","320266"</v>
      </c>
      <c r="E1550" s="31">
        <f t="shared" si="454"/>
        <v>0</v>
      </c>
      <c r="F1550" s="31"/>
      <c r="G1550" s="31"/>
      <c r="H1550" s="31"/>
      <c r="I1550" s="56"/>
      <c r="J1550" s="56"/>
      <c r="K1550" s="82" t="str">
        <f t="shared" si="455"/>
        <v>Invoice</v>
      </c>
      <c r="L1550" s="83" t="str">
        <f>"SI_109980"</f>
        <v>SI_109980</v>
      </c>
      <c r="M1550" s="84">
        <v>42490</v>
      </c>
      <c r="N1550" s="85">
        <f t="shared" si="456"/>
        <v>1322</v>
      </c>
      <c r="O1550" s="86">
        <f t="shared" si="457"/>
        <v>7601.7800000000007</v>
      </c>
      <c r="P1550" s="86">
        <f t="shared" si="458"/>
        <v>0</v>
      </c>
      <c r="Q1550" s="86">
        <f t="shared" si="459"/>
        <v>0</v>
      </c>
      <c r="R1550" s="86">
        <f t="shared" si="460"/>
        <v>0</v>
      </c>
      <c r="S1550" s="86">
        <f t="shared" si="461"/>
        <v>0</v>
      </c>
      <c r="T1550" s="86">
        <f t="shared" si="462"/>
        <v>7601.7800000000007</v>
      </c>
      <c r="U1550" s="87">
        <v>7601.7800000000007</v>
      </c>
    </row>
    <row r="1551" spans="1:22" s="30" customFormat="1" ht="24.6" hidden="1" outlineLevel="1" x14ac:dyDescent="0.55000000000000004">
      <c r="A1551" s="27" t="s">
        <v>327</v>
      </c>
      <c r="B1551" s="28"/>
      <c r="C1551" s="27"/>
      <c r="D1551" s="27" t="str">
        <f>"""NAV Direct"",""CRONUS JetCorp USA"",""21"",""1"",""320289"""</f>
        <v>"NAV Direct","CRONUS JetCorp USA","21","1","320289"</v>
      </c>
      <c r="E1551" s="31" t="str">
        <f t="shared" si="454"/>
        <v>C100054</v>
      </c>
      <c r="F1551" s="31"/>
      <c r="G1551" s="31"/>
      <c r="H1551" s="31"/>
      <c r="I1551" s="56"/>
      <c r="J1551" s="56"/>
      <c r="K1551" s="82" t="str">
        <f t="shared" si="455"/>
        <v>Invoice</v>
      </c>
      <c r="L1551" s="83" t="str">
        <f>"SI_109981"</f>
        <v>SI_109981</v>
      </c>
      <c r="M1551" s="84">
        <v>42490</v>
      </c>
      <c r="N1551" s="85">
        <f t="shared" si="456"/>
        <v>1322</v>
      </c>
      <c r="O1551" s="86">
        <f t="shared" si="457"/>
        <v>7524.22</v>
      </c>
      <c r="P1551" s="86">
        <f t="shared" si="458"/>
        <v>0</v>
      </c>
      <c r="Q1551" s="86">
        <f t="shared" si="459"/>
        <v>0</v>
      </c>
      <c r="R1551" s="86">
        <f t="shared" si="460"/>
        <v>0</v>
      </c>
      <c r="S1551" s="86">
        <f t="shared" si="461"/>
        <v>0</v>
      </c>
      <c r="T1551" s="86">
        <f t="shared" si="462"/>
        <v>7524.22</v>
      </c>
      <c r="U1551" s="87">
        <v>7524.22</v>
      </c>
    </row>
    <row r="1552" spans="1:22" s="30" customFormat="1" ht="24.6" hidden="1" outlineLevel="1" x14ac:dyDescent="0.55000000000000004">
      <c r="A1552" s="27" t="s">
        <v>327</v>
      </c>
      <c r="B1552" s="28"/>
      <c r="C1552" s="27"/>
      <c r="D1552" s="27" t="str">
        <f>"""NAV Direct"",""CRONUS JetCorp USA"",""21"",""1"",""320666"""</f>
        <v>"NAV Direct","CRONUS JetCorp USA","21","1","320666"</v>
      </c>
      <c r="E1552" s="31">
        <f t="shared" si="454"/>
        <v>0</v>
      </c>
      <c r="F1552" s="31"/>
      <c r="G1552" s="31"/>
      <c r="H1552" s="31"/>
      <c r="I1552" s="56"/>
      <c r="J1552" s="56"/>
      <c r="K1552" s="82" t="str">
        <f t="shared" si="455"/>
        <v>Invoice</v>
      </c>
      <c r="L1552" s="83" t="str">
        <f>"SI_109998"</f>
        <v>SI_109998</v>
      </c>
      <c r="M1552" s="84">
        <v>42674</v>
      </c>
      <c r="N1552" s="85">
        <f t="shared" si="456"/>
        <v>1138</v>
      </c>
      <c r="O1552" s="86">
        <f t="shared" si="457"/>
        <v>7868.86</v>
      </c>
      <c r="P1552" s="86">
        <f t="shared" si="458"/>
        <v>0</v>
      </c>
      <c r="Q1552" s="86">
        <f t="shared" si="459"/>
        <v>0</v>
      </c>
      <c r="R1552" s="86">
        <f t="shared" si="460"/>
        <v>0</v>
      </c>
      <c r="S1552" s="86">
        <f t="shared" si="461"/>
        <v>0</v>
      </c>
      <c r="T1552" s="86">
        <f t="shared" si="462"/>
        <v>7868.86</v>
      </c>
      <c r="U1552" s="87">
        <v>7868.86</v>
      </c>
    </row>
    <row r="1553" spans="1:21" s="30" customFormat="1" ht="24.6" hidden="1" outlineLevel="1" x14ac:dyDescent="0.55000000000000004">
      <c r="A1553" s="27" t="s">
        <v>327</v>
      </c>
      <c r="B1553" s="28"/>
      <c r="C1553" s="27"/>
      <c r="D1553" s="27" t="str">
        <f>"""NAV Direct"",""CRONUS JetCorp USA"",""21"",""1"",""320741"""</f>
        <v>"NAV Direct","CRONUS JetCorp USA","21","1","320741"</v>
      </c>
      <c r="E1553" s="31" t="str">
        <f t="shared" si="454"/>
        <v>C100054</v>
      </c>
      <c r="F1553" s="31"/>
      <c r="G1553" s="31"/>
      <c r="H1553" s="31"/>
      <c r="I1553" s="56"/>
      <c r="J1553" s="56"/>
      <c r="K1553" s="82" t="str">
        <f t="shared" si="455"/>
        <v>Invoice</v>
      </c>
      <c r="L1553" s="83" t="str">
        <f>"SI_110001"</f>
        <v>SI_110001</v>
      </c>
      <c r="M1553" s="84">
        <v>42674</v>
      </c>
      <c r="N1553" s="85">
        <f t="shared" si="456"/>
        <v>1138</v>
      </c>
      <c r="O1553" s="86">
        <f t="shared" si="457"/>
        <v>7870.1600000000008</v>
      </c>
      <c r="P1553" s="86">
        <f t="shared" si="458"/>
        <v>0</v>
      </c>
      <c r="Q1553" s="86">
        <f t="shared" si="459"/>
        <v>0</v>
      </c>
      <c r="R1553" s="86">
        <f t="shared" si="460"/>
        <v>0</v>
      </c>
      <c r="S1553" s="86">
        <f t="shared" si="461"/>
        <v>0</v>
      </c>
      <c r="T1553" s="86">
        <f t="shared" si="462"/>
        <v>7870.1600000000008</v>
      </c>
      <c r="U1553" s="87">
        <v>7870.1600000000008</v>
      </c>
    </row>
    <row r="1554" spans="1:21" s="30" customFormat="1" ht="24.6" hidden="1" outlineLevel="1" x14ac:dyDescent="0.55000000000000004">
      <c r="A1554" s="27" t="s">
        <v>327</v>
      </c>
      <c r="B1554" s="28"/>
      <c r="C1554" s="27"/>
      <c r="D1554" s="27" t="str">
        <f>"""NAV Direct"",""CRONUS JetCorp USA"",""21"",""1"",""320766"""</f>
        <v>"NAV Direct","CRONUS JetCorp USA","21","1","320766"</v>
      </c>
      <c r="E1554" s="31">
        <f t="shared" si="454"/>
        <v>0</v>
      </c>
      <c r="F1554" s="31"/>
      <c r="G1554" s="31"/>
      <c r="H1554" s="31"/>
      <c r="I1554" s="56"/>
      <c r="J1554" s="56"/>
      <c r="K1554" s="82" t="str">
        <f t="shared" si="455"/>
        <v>Invoice</v>
      </c>
      <c r="L1554" s="83" t="str">
        <f>"SI_110002"</f>
        <v>SI_110002</v>
      </c>
      <c r="M1554" s="84">
        <v>42674</v>
      </c>
      <c r="N1554" s="85">
        <f t="shared" si="456"/>
        <v>1138</v>
      </c>
      <c r="O1554" s="86">
        <f t="shared" si="457"/>
        <v>7870.46</v>
      </c>
      <c r="P1554" s="86">
        <f t="shared" si="458"/>
        <v>0</v>
      </c>
      <c r="Q1554" s="86">
        <f t="shared" si="459"/>
        <v>0</v>
      </c>
      <c r="R1554" s="86">
        <f t="shared" si="460"/>
        <v>0</v>
      </c>
      <c r="S1554" s="86">
        <f t="shared" si="461"/>
        <v>0</v>
      </c>
      <c r="T1554" s="86">
        <f t="shared" si="462"/>
        <v>7870.46</v>
      </c>
      <c r="U1554" s="87">
        <v>7870.46</v>
      </c>
    </row>
    <row r="1555" spans="1:21" s="30" customFormat="1" ht="24.6" hidden="1" outlineLevel="1" x14ac:dyDescent="0.55000000000000004">
      <c r="A1555" s="27" t="s">
        <v>327</v>
      </c>
      <c r="B1555" s="28"/>
      <c r="C1555" s="27"/>
      <c r="D1555" s="27" t="str">
        <f>"""NAV Direct"",""CRONUS JetCorp USA"",""21"",""1"",""320992"""</f>
        <v>"NAV Direct","CRONUS JetCorp USA","21","1","320992"</v>
      </c>
      <c r="E1555" s="31" t="str">
        <f t="shared" si="454"/>
        <v>C100054</v>
      </c>
      <c r="F1555" s="31"/>
      <c r="G1555" s="31"/>
      <c r="H1555" s="31"/>
      <c r="I1555" s="56"/>
      <c r="J1555" s="56"/>
      <c r="K1555" s="82" t="str">
        <f t="shared" si="455"/>
        <v>Invoice</v>
      </c>
      <c r="L1555" s="83" t="str">
        <f>"SI_110012"</f>
        <v>SI_110012</v>
      </c>
      <c r="M1555" s="84">
        <v>42766</v>
      </c>
      <c r="N1555" s="85">
        <f t="shared" si="456"/>
        <v>1046</v>
      </c>
      <c r="O1555" s="86">
        <f t="shared" si="457"/>
        <v>7870.22</v>
      </c>
      <c r="P1555" s="86">
        <f t="shared" si="458"/>
        <v>0</v>
      </c>
      <c r="Q1555" s="86">
        <f t="shared" si="459"/>
        <v>0</v>
      </c>
      <c r="R1555" s="86">
        <f t="shared" si="460"/>
        <v>0</v>
      </c>
      <c r="S1555" s="86">
        <f t="shared" si="461"/>
        <v>0</v>
      </c>
      <c r="T1555" s="86">
        <f t="shared" si="462"/>
        <v>7870.22</v>
      </c>
      <c r="U1555" s="87">
        <v>7870.22</v>
      </c>
    </row>
    <row r="1556" spans="1:21" s="30" customFormat="1" ht="24.6" hidden="1" outlineLevel="1" x14ac:dyDescent="0.55000000000000004">
      <c r="A1556" s="27" t="s">
        <v>327</v>
      </c>
      <c r="B1556" s="28"/>
      <c r="C1556" s="27"/>
      <c r="D1556" s="27" t="str">
        <f>"""NAV Direct"",""CRONUS JetCorp USA"",""21"",""1"",""321086"""</f>
        <v>"NAV Direct","CRONUS JetCorp USA","21","1","321086"</v>
      </c>
      <c r="E1556" s="31">
        <f t="shared" si="454"/>
        <v>0</v>
      </c>
      <c r="F1556" s="31"/>
      <c r="G1556" s="31"/>
      <c r="H1556" s="31"/>
      <c r="I1556" s="56"/>
      <c r="J1556" s="56"/>
      <c r="K1556" s="82" t="str">
        <f t="shared" si="455"/>
        <v>Invoice</v>
      </c>
      <c r="L1556" s="83" t="str">
        <f>"SI_110016"</f>
        <v>SI_110016</v>
      </c>
      <c r="M1556" s="84">
        <v>42766</v>
      </c>
      <c r="N1556" s="85">
        <f t="shared" si="456"/>
        <v>1046</v>
      </c>
      <c r="O1556" s="86">
        <f t="shared" si="457"/>
        <v>7790.8200000000006</v>
      </c>
      <c r="P1556" s="86">
        <f t="shared" si="458"/>
        <v>0</v>
      </c>
      <c r="Q1556" s="86">
        <f t="shared" si="459"/>
        <v>0</v>
      </c>
      <c r="R1556" s="86">
        <f t="shared" si="460"/>
        <v>0</v>
      </c>
      <c r="S1556" s="86">
        <f t="shared" si="461"/>
        <v>0</v>
      </c>
      <c r="T1556" s="86">
        <f t="shared" si="462"/>
        <v>7790.8200000000006</v>
      </c>
      <c r="U1556" s="87">
        <v>7790.8200000000006</v>
      </c>
    </row>
    <row r="1557" spans="1:21" s="30" customFormat="1" ht="24.6" hidden="1" outlineLevel="1" x14ac:dyDescent="0.55000000000000004">
      <c r="A1557" s="27" t="s">
        <v>327</v>
      </c>
      <c r="B1557" s="28"/>
      <c r="C1557" s="27"/>
      <c r="D1557" s="27" t="str">
        <f>"""NAV Direct"",""CRONUS JetCorp USA"",""21"",""1"",""321270"""</f>
        <v>"NAV Direct","CRONUS JetCorp USA","21","1","321270"</v>
      </c>
      <c r="E1557" s="31" t="str">
        <f t="shared" si="454"/>
        <v>C100054</v>
      </c>
      <c r="F1557" s="31"/>
      <c r="G1557" s="31"/>
      <c r="H1557" s="31"/>
      <c r="I1557" s="56"/>
      <c r="J1557" s="56"/>
      <c r="K1557" s="82" t="str">
        <f t="shared" si="455"/>
        <v>Invoice</v>
      </c>
      <c r="L1557" s="83" t="str">
        <f>"SI_110024"</f>
        <v>SI_110024</v>
      </c>
      <c r="M1557" s="84">
        <v>42825</v>
      </c>
      <c r="N1557" s="85">
        <f t="shared" si="456"/>
        <v>987</v>
      </c>
      <c r="O1557" s="86">
        <f t="shared" si="457"/>
        <v>7736.29</v>
      </c>
      <c r="P1557" s="86">
        <f t="shared" si="458"/>
        <v>0</v>
      </c>
      <c r="Q1557" s="86">
        <f t="shared" si="459"/>
        <v>0</v>
      </c>
      <c r="R1557" s="86">
        <f t="shared" si="460"/>
        <v>0</v>
      </c>
      <c r="S1557" s="86">
        <f t="shared" si="461"/>
        <v>0</v>
      </c>
      <c r="T1557" s="86">
        <f t="shared" si="462"/>
        <v>7736.29</v>
      </c>
      <c r="U1557" s="87">
        <v>7736.29</v>
      </c>
    </row>
    <row r="1558" spans="1:21" s="30" customFormat="1" ht="24.6" hidden="1" outlineLevel="1" x14ac:dyDescent="0.55000000000000004">
      <c r="A1558" s="27" t="s">
        <v>327</v>
      </c>
      <c r="B1558" s="28"/>
      <c r="C1558" s="27"/>
      <c r="D1558" s="27" t="str">
        <f>"""NAV Direct"",""CRONUS JetCorp USA"",""21"",""1"",""321441"""</f>
        <v>"NAV Direct","CRONUS JetCorp USA","21","1","321441"</v>
      </c>
      <c r="E1558" s="31">
        <f t="shared" si="454"/>
        <v>0</v>
      </c>
      <c r="F1558" s="31"/>
      <c r="G1558" s="31"/>
      <c r="H1558" s="31"/>
      <c r="I1558" s="56"/>
      <c r="J1558" s="56"/>
      <c r="K1558" s="82" t="str">
        <f t="shared" si="455"/>
        <v>Invoice</v>
      </c>
      <c r="L1558" s="83" t="str">
        <f>"SI_110031"</f>
        <v>SI_110031</v>
      </c>
      <c r="M1558" s="84">
        <v>42886</v>
      </c>
      <c r="N1558" s="85">
        <f t="shared" si="456"/>
        <v>926</v>
      </c>
      <c r="O1558" s="86">
        <f t="shared" si="457"/>
        <v>7705.7800000000007</v>
      </c>
      <c r="P1558" s="86">
        <f t="shared" si="458"/>
        <v>0</v>
      </c>
      <c r="Q1558" s="86">
        <f t="shared" si="459"/>
        <v>0</v>
      </c>
      <c r="R1558" s="86">
        <f t="shared" si="460"/>
        <v>0</v>
      </c>
      <c r="S1558" s="86">
        <f t="shared" si="461"/>
        <v>0</v>
      </c>
      <c r="T1558" s="86">
        <f t="shared" si="462"/>
        <v>7705.7800000000007</v>
      </c>
      <c r="U1558" s="87">
        <v>7705.7800000000007</v>
      </c>
    </row>
    <row r="1559" spans="1:21" s="30" customFormat="1" ht="24.6" hidden="1" outlineLevel="1" x14ac:dyDescent="0.55000000000000004">
      <c r="A1559" s="27" t="s">
        <v>327</v>
      </c>
      <c r="B1559" s="28"/>
      <c r="C1559" s="27"/>
      <c r="D1559" s="27" t="str">
        <f>"""NAV Direct"",""CRONUS JetCorp USA"",""21"",""1"",""321567"""</f>
        <v>"NAV Direct","CRONUS JetCorp USA","21","1","321567"</v>
      </c>
      <c r="E1559" s="31" t="str">
        <f t="shared" si="454"/>
        <v>C100054</v>
      </c>
      <c r="F1559" s="31"/>
      <c r="G1559" s="31"/>
      <c r="H1559" s="31"/>
      <c r="I1559" s="56"/>
      <c r="J1559" s="56"/>
      <c r="K1559" s="82" t="str">
        <f t="shared" si="455"/>
        <v>Invoice</v>
      </c>
      <c r="L1559" s="83" t="str">
        <f>"SI_110037"</f>
        <v>SI_110037</v>
      </c>
      <c r="M1559" s="84">
        <v>42916</v>
      </c>
      <c r="N1559" s="85">
        <f t="shared" si="456"/>
        <v>896</v>
      </c>
      <c r="O1559" s="86">
        <f t="shared" si="457"/>
        <v>7681.3899999999994</v>
      </c>
      <c r="P1559" s="86">
        <f t="shared" si="458"/>
        <v>0</v>
      </c>
      <c r="Q1559" s="86">
        <f t="shared" si="459"/>
        <v>0</v>
      </c>
      <c r="R1559" s="86">
        <f t="shared" si="460"/>
        <v>0</v>
      </c>
      <c r="S1559" s="86">
        <f t="shared" si="461"/>
        <v>0</v>
      </c>
      <c r="T1559" s="86">
        <f t="shared" si="462"/>
        <v>7681.3899999999994</v>
      </c>
      <c r="U1559" s="87">
        <v>7681.3899999999994</v>
      </c>
    </row>
    <row r="1560" spans="1:21" s="30" customFormat="1" ht="24.6" hidden="1" outlineLevel="1" x14ac:dyDescent="0.55000000000000004">
      <c r="A1560" s="27" t="s">
        <v>327</v>
      </c>
      <c r="B1560" s="28"/>
      <c r="C1560" s="27"/>
      <c r="D1560" s="27" t="str">
        <f>"""NAV Direct"",""CRONUS JetCorp USA"",""21"",""1"",""321655"""</f>
        <v>"NAV Direct","CRONUS JetCorp USA","21","1","321655"</v>
      </c>
      <c r="E1560" s="31">
        <f t="shared" si="454"/>
        <v>0</v>
      </c>
      <c r="F1560" s="31"/>
      <c r="G1560" s="31"/>
      <c r="H1560" s="31"/>
      <c r="I1560" s="56"/>
      <c r="J1560" s="56"/>
      <c r="K1560" s="82" t="str">
        <f t="shared" si="455"/>
        <v>Invoice</v>
      </c>
      <c r="L1560" s="83" t="str">
        <f>"SI_110041"</f>
        <v>SI_110041</v>
      </c>
      <c r="M1560" s="84">
        <v>42947</v>
      </c>
      <c r="N1560" s="85">
        <f t="shared" si="456"/>
        <v>865</v>
      </c>
      <c r="O1560" s="86">
        <f t="shared" si="457"/>
        <v>7528.0300000000007</v>
      </c>
      <c r="P1560" s="86">
        <f t="shared" si="458"/>
        <v>0</v>
      </c>
      <c r="Q1560" s="86">
        <f t="shared" si="459"/>
        <v>0</v>
      </c>
      <c r="R1560" s="86">
        <f t="shared" si="460"/>
        <v>0</v>
      </c>
      <c r="S1560" s="86">
        <f t="shared" si="461"/>
        <v>0</v>
      </c>
      <c r="T1560" s="86">
        <f t="shared" si="462"/>
        <v>7528.0300000000007</v>
      </c>
      <c r="U1560" s="87">
        <v>7528.0300000000007</v>
      </c>
    </row>
    <row r="1561" spans="1:21" s="30" customFormat="1" ht="24.6" hidden="1" outlineLevel="1" x14ac:dyDescent="0.55000000000000004">
      <c r="A1561" s="27" t="s">
        <v>327</v>
      </c>
      <c r="B1561" s="28"/>
      <c r="C1561" s="27"/>
      <c r="D1561" s="27" t="str">
        <f>"""NAV Direct"",""CRONUS JetCorp USA"",""21"",""1"",""321697"""</f>
        <v>"NAV Direct","CRONUS JetCorp USA","21","1","321697"</v>
      </c>
      <c r="E1561" s="31" t="str">
        <f t="shared" si="454"/>
        <v>C100054</v>
      </c>
      <c r="F1561" s="31"/>
      <c r="G1561" s="31"/>
      <c r="H1561" s="31"/>
      <c r="I1561" s="56"/>
      <c r="J1561" s="56"/>
      <c r="K1561" s="82" t="str">
        <f t="shared" si="455"/>
        <v>Invoice</v>
      </c>
      <c r="L1561" s="83" t="str">
        <f>"SI_110043"</f>
        <v>SI_110043</v>
      </c>
      <c r="M1561" s="84">
        <v>42978</v>
      </c>
      <c r="N1561" s="85">
        <f t="shared" si="456"/>
        <v>834</v>
      </c>
      <c r="O1561" s="86">
        <f t="shared" si="457"/>
        <v>7626.0700000000006</v>
      </c>
      <c r="P1561" s="86">
        <f t="shared" si="458"/>
        <v>0</v>
      </c>
      <c r="Q1561" s="86">
        <f t="shared" si="459"/>
        <v>0</v>
      </c>
      <c r="R1561" s="86">
        <f t="shared" si="460"/>
        <v>0</v>
      </c>
      <c r="S1561" s="86">
        <f t="shared" si="461"/>
        <v>0</v>
      </c>
      <c r="T1561" s="86">
        <f t="shared" si="462"/>
        <v>7626.0700000000006</v>
      </c>
      <c r="U1561" s="87">
        <v>7626.0700000000006</v>
      </c>
    </row>
    <row r="1562" spans="1:21" s="30" customFormat="1" ht="24.6" hidden="1" outlineLevel="1" x14ac:dyDescent="0.55000000000000004">
      <c r="A1562" s="27" t="s">
        <v>327</v>
      </c>
      <c r="B1562" s="28"/>
      <c r="C1562" s="27"/>
      <c r="D1562" s="27" t="str">
        <f>"""NAV Direct"",""CRONUS JetCorp USA"",""21"",""1"",""321935"""</f>
        <v>"NAV Direct","CRONUS JetCorp USA","21","1","321935"</v>
      </c>
      <c r="E1562" s="31">
        <f t="shared" si="454"/>
        <v>0</v>
      </c>
      <c r="F1562" s="31"/>
      <c r="G1562" s="31"/>
      <c r="H1562" s="31"/>
      <c r="I1562" s="56"/>
      <c r="J1562" s="56"/>
      <c r="K1562" s="82" t="str">
        <f t="shared" si="455"/>
        <v>Invoice</v>
      </c>
      <c r="L1562" s="83" t="str">
        <f>"SI_110053"</f>
        <v>SI_110053</v>
      </c>
      <c r="M1562" s="84">
        <v>43039</v>
      </c>
      <c r="N1562" s="85">
        <f t="shared" si="456"/>
        <v>773</v>
      </c>
      <c r="O1562" s="86">
        <f t="shared" si="457"/>
        <v>6983</v>
      </c>
      <c r="P1562" s="86">
        <f t="shared" si="458"/>
        <v>0</v>
      </c>
      <c r="Q1562" s="86">
        <f t="shared" si="459"/>
        <v>0</v>
      </c>
      <c r="R1562" s="86">
        <f t="shared" si="460"/>
        <v>0</v>
      </c>
      <c r="S1562" s="86">
        <f t="shared" si="461"/>
        <v>0</v>
      </c>
      <c r="T1562" s="86">
        <f t="shared" si="462"/>
        <v>6983</v>
      </c>
      <c r="U1562" s="87">
        <v>6983</v>
      </c>
    </row>
    <row r="1563" spans="1:21" s="30" customFormat="1" ht="24.6" hidden="1" outlineLevel="1" x14ac:dyDescent="0.55000000000000004">
      <c r="A1563" s="27" t="s">
        <v>327</v>
      </c>
      <c r="B1563" s="28"/>
      <c r="C1563" s="27"/>
      <c r="D1563" s="27" t="str">
        <f>"""NAV Direct"",""CRONUS JetCorp USA"",""21"",""1"",""322068"""</f>
        <v>"NAV Direct","CRONUS JetCorp USA","21","1","322068"</v>
      </c>
      <c r="E1563" s="31" t="str">
        <f t="shared" si="454"/>
        <v>C100054</v>
      </c>
      <c r="F1563" s="31"/>
      <c r="G1563" s="31"/>
      <c r="H1563" s="31"/>
      <c r="I1563" s="56"/>
      <c r="J1563" s="56"/>
      <c r="K1563" s="82" t="str">
        <f t="shared" si="455"/>
        <v>Invoice</v>
      </c>
      <c r="L1563" s="83" t="str">
        <f>"SI_110058"</f>
        <v>SI_110058</v>
      </c>
      <c r="M1563" s="84">
        <v>43100</v>
      </c>
      <c r="N1563" s="85">
        <f t="shared" si="456"/>
        <v>712</v>
      </c>
      <c r="O1563" s="86">
        <f t="shared" si="457"/>
        <v>6342.8200000000006</v>
      </c>
      <c r="P1563" s="86">
        <f t="shared" si="458"/>
        <v>0</v>
      </c>
      <c r="Q1563" s="86">
        <f t="shared" si="459"/>
        <v>0</v>
      </c>
      <c r="R1563" s="86">
        <f t="shared" si="460"/>
        <v>0</v>
      </c>
      <c r="S1563" s="86">
        <f t="shared" si="461"/>
        <v>0</v>
      </c>
      <c r="T1563" s="86">
        <f t="shared" si="462"/>
        <v>6342.8200000000006</v>
      </c>
      <c r="U1563" s="87">
        <v>6342.8200000000006</v>
      </c>
    </row>
    <row r="1564" spans="1:21" s="30" customFormat="1" ht="24.6" hidden="1" outlineLevel="1" x14ac:dyDescent="0.55000000000000004">
      <c r="A1564" s="27" t="s">
        <v>327</v>
      </c>
      <c r="B1564" s="28"/>
      <c r="C1564" s="27"/>
      <c r="D1564" s="27" t="str">
        <f>"""NAV Direct"",""CRONUS JetCorp USA"",""21"",""1"",""322275"""</f>
        <v>"NAV Direct","CRONUS JetCorp USA","21","1","322275"</v>
      </c>
      <c r="E1564" s="31">
        <f t="shared" si="454"/>
        <v>0</v>
      </c>
      <c r="F1564" s="31"/>
      <c r="G1564" s="31"/>
      <c r="H1564" s="31"/>
      <c r="I1564" s="56"/>
      <c r="J1564" s="56"/>
      <c r="K1564" s="82" t="str">
        <f t="shared" si="455"/>
        <v>Invoice</v>
      </c>
      <c r="L1564" s="83" t="str">
        <f>"SI_110067"</f>
        <v>SI_110067</v>
      </c>
      <c r="M1564" s="84">
        <v>43159</v>
      </c>
      <c r="N1564" s="85">
        <f t="shared" si="456"/>
        <v>653</v>
      </c>
      <c r="O1564" s="86">
        <f t="shared" si="457"/>
        <v>5669.93</v>
      </c>
      <c r="P1564" s="86">
        <f t="shared" si="458"/>
        <v>0</v>
      </c>
      <c r="Q1564" s="86">
        <f t="shared" si="459"/>
        <v>0</v>
      </c>
      <c r="R1564" s="86">
        <f t="shared" si="460"/>
        <v>0</v>
      </c>
      <c r="S1564" s="86">
        <f t="shared" si="461"/>
        <v>0</v>
      </c>
      <c r="T1564" s="86">
        <f t="shared" si="462"/>
        <v>5669.93</v>
      </c>
      <c r="U1564" s="87">
        <v>5669.93</v>
      </c>
    </row>
    <row r="1565" spans="1:21" s="30" customFormat="1" ht="24.6" hidden="1" outlineLevel="1" x14ac:dyDescent="0.55000000000000004">
      <c r="A1565" s="27" t="s">
        <v>327</v>
      </c>
      <c r="B1565" s="28"/>
      <c r="C1565" s="27"/>
      <c r="D1565" s="27" t="str">
        <f>"""NAV Direct"",""CRONUS JetCorp USA"",""21"",""1"",""322319"""</f>
        <v>"NAV Direct","CRONUS JetCorp USA","21","1","322319"</v>
      </c>
      <c r="E1565" s="31" t="str">
        <f t="shared" si="454"/>
        <v>C100054</v>
      </c>
      <c r="F1565" s="31"/>
      <c r="G1565" s="31"/>
      <c r="H1565" s="31"/>
      <c r="I1565" s="56"/>
      <c r="J1565" s="56"/>
      <c r="K1565" s="82" t="str">
        <f t="shared" si="455"/>
        <v>Invoice</v>
      </c>
      <c r="L1565" s="83" t="str">
        <f>"SI_110069"</f>
        <v>SI_110069</v>
      </c>
      <c r="M1565" s="84">
        <v>43190</v>
      </c>
      <c r="N1565" s="85">
        <f t="shared" si="456"/>
        <v>622</v>
      </c>
      <c r="O1565" s="86">
        <f t="shared" si="457"/>
        <v>5271.72</v>
      </c>
      <c r="P1565" s="86">
        <f t="shared" si="458"/>
        <v>0</v>
      </c>
      <c r="Q1565" s="86">
        <f t="shared" si="459"/>
        <v>0</v>
      </c>
      <c r="R1565" s="86">
        <f t="shared" si="460"/>
        <v>0</v>
      </c>
      <c r="S1565" s="86">
        <f t="shared" si="461"/>
        <v>0</v>
      </c>
      <c r="T1565" s="86">
        <f t="shared" si="462"/>
        <v>5271.72</v>
      </c>
      <c r="U1565" s="87">
        <v>5271.72</v>
      </c>
    </row>
    <row r="1566" spans="1:21" s="30" customFormat="1" ht="24.6" hidden="1" outlineLevel="1" x14ac:dyDescent="0.55000000000000004">
      <c r="A1566" s="27" t="s">
        <v>327</v>
      </c>
      <c r="B1566" s="28"/>
      <c r="C1566" s="27"/>
      <c r="D1566" s="27" t="str">
        <f>"""NAV Direct"",""CRONUS JetCorp USA"",""21"",""1"",""322451"""</f>
        <v>"NAV Direct","CRONUS JetCorp USA","21","1","322451"</v>
      </c>
      <c r="E1566" s="31">
        <f t="shared" si="454"/>
        <v>0</v>
      </c>
      <c r="F1566" s="31"/>
      <c r="G1566" s="31"/>
      <c r="H1566" s="31"/>
      <c r="I1566" s="56"/>
      <c r="J1566" s="56"/>
      <c r="K1566" s="82" t="str">
        <f t="shared" si="455"/>
        <v>Invoice</v>
      </c>
      <c r="L1566" s="83" t="str">
        <f>"SI_110075"</f>
        <v>SI_110075</v>
      </c>
      <c r="M1566" s="84">
        <v>43220</v>
      </c>
      <c r="N1566" s="85">
        <f t="shared" si="456"/>
        <v>592</v>
      </c>
      <c r="O1566" s="86">
        <f t="shared" si="457"/>
        <v>5144.3500000000004</v>
      </c>
      <c r="P1566" s="86">
        <f t="shared" si="458"/>
        <v>0</v>
      </c>
      <c r="Q1566" s="86">
        <f t="shared" si="459"/>
        <v>0</v>
      </c>
      <c r="R1566" s="86">
        <f t="shared" si="460"/>
        <v>0</v>
      </c>
      <c r="S1566" s="86">
        <f t="shared" si="461"/>
        <v>0</v>
      </c>
      <c r="T1566" s="86">
        <f t="shared" si="462"/>
        <v>5144.3500000000004</v>
      </c>
      <c r="U1566" s="87">
        <v>5144.3500000000004</v>
      </c>
    </row>
    <row r="1567" spans="1:21" s="30" customFormat="1" ht="24.6" hidden="1" outlineLevel="1" x14ac:dyDescent="0.55000000000000004">
      <c r="A1567" s="27" t="s">
        <v>327</v>
      </c>
      <c r="B1567" s="28"/>
      <c r="C1567" s="27"/>
      <c r="D1567" s="27" t="str">
        <f>"""NAV Direct"",""CRONUS JetCorp USA"",""21"",""1"",""322804"""</f>
        <v>"NAV Direct","CRONUS JetCorp USA","21","1","322804"</v>
      </c>
      <c r="E1567" s="31" t="str">
        <f t="shared" si="454"/>
        <v>C100054</v>
      </c>
      <c r="F1567" s="31"/>
      <c r="G1567" s="31"/>
      <c r="H1567" s="31"/>
      <c r="I1567" s="56"/>
      <c r="J1567" s="56"/>
      <c r="K1567" s="82" t="str">
        <f t="shared" si="455"/>
        <v>Invoice</v>
      </c>
      <c r="L1567" s="83" t="str">
        <f>"SI_110090"</f>
        <v>SI_110090</v>
      </c>
      <c r="M1567" s="84">
        <v>43343</v>
      </c>
      <c r="N1567" s="85">
        <f t="shared" si="456"/>
        <v>469</v>
      </c>
      <c r="O1567" s="86">
        <f t="shared" si="457"/>
        <v>5071.75</v>
      </c>
      <c r="P1567" s="86">
        <f t="shared" si="458"/>
        <v>0</v>
      </c>
      <c r="Q1567" s="86">
        <f t="shared" si="459"/>
        <v>0</v>
      </c>
      <c r="R1567" s="86">
        <f t="shared" si="460"/>
        <v>0</v>
      </c>
      <c r="S1567" s="86">
        <f t="shared" si="461"/>
        <v>0</v>
      </c>
      <c r="T1567" s="86">
        <f t="shared" si="462"/>
        <v>5071.75</v>
      </c>
      <c r="U1567" s="87">
        <v>5071.75</v>
      </c>
    </row>
    <row r="1568" spans="1:21" s="30" customFormat="1" ht="24.6" hidden="1" outlineLevel="1" x14ac:dyDescent="0.55000000000000004">
      <c r="A1568" s="27" t="s">
        <v>327</v>
      </c>
      <c r="B1568" s="28"/>
      <c r="C1568" s="27"/>
      <c r="D1568" s="27" t="str">
        <f>"""NAV Direct"",""CRONUS JetCorp USA"",""21"",""1"",""322827"""</f>
        <v>"NAV Direct","CRONUS JetCorp USA","21","1","322827"</v>
      </c>
      <c r="E1568" s="31">
        <f t="shared" si="454"/>
        <v>0</v>
      </c>
      <c r="F1568" s="31"/>
      <c r="G1568" s="31"/>
      <c r="H1568" s="31"/>
      <c r="I1568" s="56"/>
      <c r="J1568" s="56"/>
      <c r="K1568" s="82" t="str">
        <f t="shared" si="455"/>
        <v>Invoice</v>
      </c>
      <c r="L1568" s="83" t="str">
        <f>"SI_110091"</f>
        <v>SI_110091</v>
      </c>
      <c r="M1568" s="84">
        <v>43343</v>
      </c>
      <c r="N1568" s="85">
        <f t="shared" si="456"/>
        <v>469</v>
      </c>
      <c r="O1568" s="86">
        <f t="shared" si="457"/>
        <v>5070.3900000000003</v>
      </c>
      <c r="P1568" s="86">
        <f t="shared" si="458"/>
        <v>0</v>
      </c>
      <c r="Q1568" s="86">
        <f t="shared" si="459"/>
        <v>0</v>
      </c>
      <c r="R1568" s="86">
        <f t="shared" si="460"/>
        <v>0</v>
      </c>
      <c r="S1568" s="86">
        <f t="shared" si="461"/>
        <v>0</v>
      </c>
      <c r="T1568" s="86">
        <f t="shared" si="462"/>
        <v>5070.3900000000003</v>
      </c>
      <c r="U1568" s="87">
        <v>5070.3900000000003</v>
      </c>
    </row>
    <row r="1569" spans="1:21" s="30" customFormat="1" ht="24.6" hidden="1" outlineLevel="1" x14ac:dyDescent="0.55000000000000004">
      <c r="A1569" s="27" t="s">
        <v>327</v>
      </c>
      <c r="B1569" s="28"/>
      <c r="C1569" s="27"/>
      <c r="D1569" s="27" t="str">
        <f>"""NAV Direct"",""CRONUS JetCorp USA"",""21"",""1"",""322850"""</f>
        <v>"NAV Direct","CRONUS JetCorp USA","21","1","322850"</v>
      </c>
      <c r="E1569" s="31" t="str">
        <f t="shared" si="454"/>
        <v>C100054</v>
      </c>
      <c r="F1569" s="31"/>
      <c r="G1569" s="31"/>
      <c r="H1569" s="31"/>
      <c r="I1569" s="56"/>
      <c r="J1569" s="56"/>
      <c r="K1569" s="82" t="str">
        <f t="shared" si="455"/>
        <v>Invoice</v>
      </c>
      <c r="L1569" s="83" t="str">
        <f>"SI_110092"</f>
        <v>SI_110092</v>
      </c>
      <c r="M1569" s="84">
        <v>43373</v>
      </c>
      <c r="N1569" s="85">
        <f t="shared" si="456"/>
        <v>439</v>
      </c>
      <c r="O1569" s="86">
        <f t="shared" si="457"/>
        <v>5132.5600000000004</v>
      </c>
      <c r="P1569" s="86">
        <f t="shared" si="458"/>
        <v>0</v>
      </c>
      <c r="Q1569" s="86">
        <f t="shared" si="459"/>
        <v>0</v>
      </c>
      <c r="R1569" s="86">
        <f t="shared" si="460"/>
        <v>0</v>
      </c>
      <c r="S1569" s="86">
        <f t="shared" si="461"/>
        <v>0</v>
      </c>
      <c r="T1569" s="86">
        <f t="shared" si="462"/>
        <v>5132.5600000000004</v>
      </c>
      <c r="U1569" s="87">
        <v>5132.5600000000004</v>
      </c>
    </row>
    <row r="1570" spans="1:21" s="30" customFormat="1" ht="24.6" hidden="1" outlineLevel="1" x14ac:dyDescent="0.55000000000000004">
      <c r="A1570" s="27" t="s">
        <v>327</v>
      </c>
      <c r="B1570" s="28"/>
      <c r="C1570" s="27"/>
      <c r="D1570" s="27" t="str">
        <f>"""NAV Direct"",""CRONUS JetCorp USA"",""21"",""1"",""322900"""</f>
        <v>"NAV Direct","CRONUS JetCorp USA","21","1","322900"</v>
      </c>
      <c r="E1570" s="31">
        <f t="shared" si="454"/>
        <v>0</v>
      </c>
      <c r="F1570" s="31"/>
      <c r="G1570" s="31"/>
      <c r="H1570" s="31"/>
      <c r="I1570" s="56"/>
      <c r="J1570" s="56"/>
      <c r="K1570" s="82" t="str">
        <f t="shared" si="455"/>
        <v>Invoice</v>
      </c>
      <c r="L1570" s="83" t="str">
        <f>"SI_110094"</f>
        <v>SI_110094</v>
      </c>
      <c r="M1570" s="84">
        <v>43373</v>
      </c>
      <c r="N1570" s="85">
        <f t="shared" si="456"/>
        <v>439</v>
      </c>
      <c r="O1570" s="86">
        <f t="shared" si="457"/>
        <v>5131.3899999999994</v>
      </c>
      <c r="P1570" s="86">
        <f t="shared" si="458"/>
        <v>0</v>
      </c>
      <c r="Q1570" s="86">
        <f t="shared" si="459"/>
        <v>0</v>
      </c>
      <c r="R1570" s="86">
        <f t="shared" si="460"/>
        <v>0</v>
      </c>
      <c r="S1570" s="86">
        <f t="shared" si="461"/>
        <v>0</v>
      </c>
      <c r="T1570" s="86">
        <f t="shared" si="462"/>
        <v>5131.3899999999994</v>
      </c>
      <c r="U1570" s="87">
        <v>5131.3899999999994</v>
      </c>
    </row>
    <row r="1571" spans="1:21" s="30" customFormat="1" ht="24.6" hidden="1" outlineLevel="1" x14ac:dyDescent="0.55000000000000004">
      <c r="A1571" s="27" t="s">
        <v>327</v>
      </c>
      <c r="B1571" s="28"/>
      <c r="C1571" s="27"/>
      <c r="D1571" s="27" t="str">
        <f>"""NAV Direct"",""CRONUS JetCorp USA"",""21"",""1"",""323015"""</f>
        <v>"NAV Direct","CRONUS JetCorp USA","21","1","323015"</v>
      </c>
      <c r="E1571" s="31" t="str">
        <f t="shared" si="454"/>
        <v>C100054</v>
      </c>
      <c r="F1571" s="31"/>
      <c r="G1571" s="31"/>
      <c r="H1571" s="31"/>
      <c r="I1571" s="56"/>
      <c r="J1571" s="56"/>
      <c r="K1571" s="82" t="str">
        <f t="shared" si="455"/>
        <v>Invoice</v>
      </c>
      <c r="L1571" s="83" t="str">
        <f>"SI_110099"</f>
        <v>SI_110099</v>
      </c>
      <c r="M1571" s="84">
        <v>43434</v>
      </c>
      <c r="N1571" s="85">
        <f t="shared" si="456"/>
        <v>378</v>
      </c>
      <c r="O1571" s="86">
        <f t="shared" si="457"/>
        <v>5329.22</v>
      </c>
      <c r="P1571" s="86">
        <f t="shared" si="458"/>
        <v>0</v>
      </c>
      <c r="Q1571" s="86">
        <f t="shared" si="459"/>
        <v>0</v>
      </c>
      <c r="R1571" s="86">
        <f t="shared" si="460"/>
        <v>0</v>
      </c>
      <c r="S1571" s="86">
        <f t="shared" si="461"/>
        <v>0</v>
      </c>
      <c r="T1571" s="86">
        <f t="shared" si="462"/>
        <v>5329.22</v>
      </c>
      <c r="U1571" s="87">
        <v>5329.22</v>
      </c>
    </row>
    <row r="1572" spans="1:21" s="30" customFormat="1" ht="24.6" hidden="1" outlineLevel="1" x14ac:dyDescent="0.55000000000000004">
      <c r="A1572" s="27" t="s">
        <v>327</v>
      </c>
      <c r="B1572" s="28"/>
      <c r="C1572" s="27"/>
      <c r="D1572" s="27" t="str">
        <f>"""NAV Direct"",""CRONUS JetCorp USA"",""21"",""1"",""323122"""</f>
        <v>"NAV Direct","CRONUS JetCorp USA","21","1","323122"</v>
      </c>
      <c r="E1572" s="31">
        <f t="shared" si="454"/>
        <v>0</v>
      </c>
      <c r="F1572" s="31"/>
      <c r="G1572" s="31"/>
      <c r="H1572" s="31"/>
      <c r="I1572" s="56"/>
      <c r="J1572" s="56"/>
      <c r="K1572" s="82" t="str">
        <f t="shared" si="455"/>
        <v>Invoice</v>
      </c>
      <c r="L1572" s="83" t="str">
        <f>"SI_110104"</f>
        <v>SI_110104</v>
      </c>
      <c r="M1572" s="84">
        <v>43496</v>
      </c>
      <c r="N1572" s="85">
        <f t="shared" si="456"/>
        <v>316</v>
      </c>
      <c r="O1572" s="86">
        <f t="shared" si="457"/>
        <v>5488.75</v>
      </c>
      <c r="P1572" s="86">
        <f t="shared" si="458"/>
        <v>0</v>
      </c>
      <c r="Q1572" s="86">
        <f t="shared" si="459"/>
        <v>0</v>
      </c>
      <c r="R1572" s="86">
        <f t="shared" si="460"/>
        <v>0</v>
      </c>
      <c r="S1572" s="86">
        <f t="shared" si="461"/>
        <v>0</v>
      </c>
      <c r="T1572" s="86">
        <f t="shared" si="462"/>
        <v>5488.75</v>
      </c>
      <c r="U1572" s="87">
        <v>5488.75</v>
      </c>
    </row>
    <row r="1573" spans="1:21" s="30" customFormat="1" ht="24.6" hidden="1" outlineLevel="1" x14ac:dyDescent="0.55000000000000004">
      <c r="A1573" s="27" t="s">
        <v>327</v>
      </c>
      <c r="B1573" s="28"/>
      <c r="C1573" s="27"/>
      <c r="D1573" s="27" t="str">
        <f>"""NAV Direct"",""CRONUS JetCorp USA"",""21"",""1"",""323206"""</f>
        <v>"NAV Direct","CRONUS JetCorp USA","21","1","323206"</v>
      </c>
      <c r="E1573" s="31" t="str">
        <f t="shared" si="454"/>
        <v>C100054</v>
      </c>
      <c r="F1573" s="31"/>
      <c r="G1573" s="31"/>
      <c r="H1573" s="31"/>
      <c r="I1573" s="56"/>
      <c r="J1573" s="56"/>
      <c r="K1573" s="82" t="str">
        <f t="shared" si="455"/>
        <v>Invoice</v>
      </c>
      <c r="L1573" s="83" t="str">
        <f>"SI_110108"</f>
        <v>SI_110108</v>
      </c>
      <c r="M1573" s="84">
        <v>43524</v>
      </c>
      <c r="N1573" s="85">
        <f t="shared" si="456"/>
        <v>288</v>
      </c>
      <c r="O1573" s="86">
        <f t="shared" si="457"/>
        <v>5467.69</v>
      </c>
      <c r="P1573" s="86">
        <f t="shared" si="458"/>
        <v>0</v>
      </c>
      <c r="Q1573" s="86">
        <f t="shared" si="459"/>
        <v>0</v>
      </c>
      <c r="R1573" s="86">
        <f t="shared" si="460"/>
        <v>0</v>
      </c>
      <c r="S1573" s="86">
        <f t="shared" si="461"/>
        <v>0</v>
      </c>
      <c r="T1573" s="86">
        <f t="shared" si="462"/>
        <v>5467.69</v>
      </c>
      <c r="U1573" s="87">
        <v>5467.69</v>
      </c>
    </row>
    <row r="1574" spans="1:21" s="30" customFormat="1" ht="24.6" hidden="1" outlineLevel="1" x14ac:dyDescent="0.55000000000000004">
      <c r="A1574" s="27" t="s">
        <v>327</v>
      </c>
      <c r="B1574" s="28"/>
      <c r="C1574" s="27"/>
      <c r="D1574" s="27" t="str">
        <f>"""NAV Direct"",""CRONUS JetCorp USA"",""21"",""1"",""323229"""</f>
        <v>"NAV Direct","CRONUS JetCorp USA","21","1","323229"</v>
      </c>
      <c r="E1574" s="31">
        <f t="shared" si="454"/>
        <v>0</v>
      </c>
      <c r="F1574" s="31"/>
      <c r="G1574" s="31"/>
      <c r="H1574" s="31"/>
      <c r="I1574" s="56"/>
      <c r="J1574" s="56"/>
      <c r="K1574" s="82" t="str">
        <f t="shared" si="455"/>
        <v>Invoice</v>
      </c>
      <c r="L1574" s="83" t="str">
        <f>"SI_110109"</f>
        <v>SI_110109</v>
      </c>
      <c r="M1574" s="84">
        <v>43524</v>
      </c>
      <c r="N1574" s="85">
        <f t="shared" si="456"/>
        <v>288</v>
      </c>
      <c r="O1574" s="86">
        <f t="shared" si="457"/>
        <v>5467.95</v>
      </c>
      <c r="P1574" s="86">
        <f t="shared" si="458"/>
        <v>0</v>
      </c>
      <c r="Q1574" s="86">
        <f t="shared" si="459"/>
        <v>0</v>
      </c>
      <c r="R1574" s="86">
        <f t="shared" si="460"/>
        <v>0</v>
      </c>
      <c r="S1574" s="86">
        <f t="shared" si="461"/>
        <v>0</v>
      </c>
      <c r="T1574" s="86">
        <f t="shared" si="462"/>
        <v>5467.95</v>
      </c>
      <c r="U1574" s="87">
        <v>5467.95</v>
      </c>
    </row>
    <row r="1575" spans="1:21" s="30" customFormat="1" ht="24.6" hidden="1" outlineLevel="1" x14ac:dyDescent="0.55000000000000004">
      <c r="A1575" s="27" t="s">
        <v>327</v>
      </c>
      <c r="B1575" s="28"/>
      <c r="C1575" s="27"/>
      <c r="D1575" s="27" t="str">
        <f>"""NAV Direct"",""CRONUS JetCorp USA"",""21"",""1"",""323277"""</f>
        <v>"NAV Direct","CRONUS JetCorp USA","21","1","323277"</v>
      </c>
      <c r="E1575" s="31" t="str">
        <f t="shared" si="454"/>
        <v>C100054</v>
      </c>
      <c r="F1575" s="31"/>
      <c r="G1575" s="31"/>
      <c r="H1575" s="31"/>
      <c r="I1575" s="56"/>
      <c r="J1575" s="56"/>
      <c r="K1575" s="82" t="str">
        <f t="shared" si="455"/>
        <v>Invoice</v>
      </c>
      <c r="L1575" s="83" t="str">
        <f>"SI_110111"</f>
        <v>SI_110111</v>
      </c>
      <c r="M1575" s="84">
        <v>43555</v>
      </c>
      <c r="N1575" s="85">
        <f t="shared" si="456"/>
        <v>257</v>
      </c>
      <c r="O1575" s="86">
        <f t="shared" si="457"/>
        <v>5625.24</v>
      </c>
      <c r="P1575" s="86">
        <f t="shared" si="458"/>
        <v>0</v>
      </c>
      <c r="Q1575" s="86">
        <f t="shared" si="459"/>
        <v>0</v>
      </c>
      <c r="R1575" s="86">
        <f t="shared" si="460"/>
        <v>0</v>
      </c>
      <c r="S1575" s="86">
        <f t="shared" si="461"/>
        <v>0</v>
      </c>
      <c r="T1575" s="86">
        <f t="shared" si="462"/>
        <v>5625.24</v>
      </c>
      <c r="U1575" s="87">
        <v>5625.24</v>
      </c>
    </row>
    <row r="1576" spans="1:21" s="30" customFormat="1" ht="24.6" hidden="1" outlineLevel="1" x14ac:dyDescent="0.55000000000000004">
      <c r="A1576" s="27" t="s">
        <v>327</v>
      </c>
      <c r="B1576" s="28"/>
      <c r="C1576" s="27"/>
      <c r="D1576" s="27" t="str">
        <f>"""NAV Direct"",""CRONUS JetCorp USA"",""21"",""1"",""323346"""</f>
        <v>"NAV Direct","CRONUS JetCorp USA","21","1","323346"</v>
      </c>
      <c r="E1576" s="31">
        <f t="shared" si="454"/>
        <v>0</v>
      </c>
      <c r="F1576" s="31"/>
      <c r="G1576" s="31"/>
      <c r="H1576" s="31"/>
      <c r="I1576" s="56"/>
      <c r="J1576" s="56"/>
      <c r="K1576" s="82" t="str">
        <f t="shared" si="455"/>
        <v>Invoice</v>
      </c>
      <c r="L1576" s="83" t="str">
        <f>"SI_110114"</f>
        <v>SI_110114</v>
      </c>
      <c r="M1576" s="84">
        <v>43555</v>
      </c>
      <c r="N1576" s="85">
        <f t="shared" si="456"/>
        <v>257</v>
      </c>
      <c r="O1576" s="86">
        <f t="shared" si="457"/>
        <v>5626.88</v>
      </c>
      <c r="P1576" s="86">
        <f t="shared" si="458"/>
        <v>0</v>
      </c>
      <c r="Q1576" s="86">
        <f t="shared" si="459"/>
        <v>0</v>
      </c>
      <c r="R1576" s="86">
        <f t="shared" si="460"/>
        <v>0</v>
      </c>
      <c r="S1576" s="86">
        <f t="shared" si="461"/>
        <v>0</v>
      </c>
      <c r="T1576" s="86">
        <f t="shared" si="462"/>
        <v>5626.88</v>
      </c>
      <c r="U1576" s="87">
        <v>5626.88</v>
      </c>
    </row>
    <row r="1577" spans="1:21" s="30" customFormat="1" ht="24.6" hidden="1" outlineLevel="1" x14ac:dyDescent="0.55000000000000004">
      <c r="A1577" s="27" t="s">
        <v>327</v>
      </c>
      <c r="B1577" s="28"/>
      <c r="C1577" s="27"/>
      <c r="D1577" s="27" t="str">
        <f>"""NAV Direct"",""CRONUS JetCorp USA"",""21"",""1"",""323673"""</f>
        <v>"NAV Direct","CRONUS JetCorp USA","21","1","323673"</v>
      </c>
      <c r="E1577" s="31" t="str">
        <f t="shared" si="454"/>
        <v>C100054</v>
      </c>
      <c r="F1577" s="31"/>
      <c r="G1577" s="31"/>
      <c r="H1577" s="31"/>
      <c r="I1577" s="56"/>
      <c r="J1577" s="56"/>
      <c r="K1577" s="82" t="str">
        <f t="shared" si="455"/>
        <v>Invoice</v>
      </c>
      <c r="L1577" s="83" t="str">
        <f>"SI_110129"</f>
        <v>SI_110129</v>
      </c>
      <c r="M1577" s="84">
        <v>43677</v>
      </c>
      <c r="N1577" s="85">
        <f t="shared" si="456"/>
        <v>135</v>
      </c>
      <c r="O1577" s="86">
        <f t="shared" si="457"/>
        <v>5857.35</v>
      </c>
      <c r="P1577" s="86">
        <f t="shared" si="458"/>
        <v>0</v>
      </c>
      <c r="Q1577" s="86">
        <f t="shared" si="459"/>
        <v>0</v>
      </c>
      <c r="R1577" s="86">
        <f t="shared" si="460"/>
        <v>0</v>
      </c>
      <c r="S1577" s="86">
        <f t="shared" si="461"/>
        <v>0</v>
      </c>
      <c r="T1577" s="86">
        <f t="shared" si="462"/>
        <v>5857.35</v>
      </c>
      <c r="U1577" s="87">
        <v>5857.35</v>
      </c>
    </row>
    <row r="1578" spans="1:21" s="30" customFormat="1" ht="24.6" hidden="1" outlineLevel="1" x14ac:dyDescent="0.55000000000000004">
      <c r="A1578" s="27" t="s">
        <v>327</v>
      </c>
      <c r="B1578" s="28"/>
      <c r="C1578" s="27"/>
      <c r="D1578" s="27" t="str">
        <f>"""NAV Direct"",""CRONUS JetCorp USA"",""21"",""1"",""323709"""</f>
        <v>"NAV Direct","CRONUS JetCorp USA","21","1","323709"</v>
      </c>
      <c r="E1578" s="31">
        <f t="shared" si="454"/>
        <v>0</v>
      </c>
      <c r="F1578" s="31"/>
      <c r="G1578" s="31"/>
      <c r="H1578" s="31"/>
      <c r="I1578" s="56"/>
      <c r="J1578" s="56"/>
      <c r="K1578" s="82" t="str">
        <f t="shared" si="455"/>
        <v>Invoice</v>
      </c>
      <c r="L1578" s="83" t="str">
        <f>"SI_110131"</f>
        <v>SI_110131</v>
      </c>
      <c r="M1578" s="84">
        <v>43708</v>
      </c>
      <c r="N1578" s="85">
        <f t="shared" si="456"/>
        <v>104</v>
      </c>
      <c r="O1578" s="86">
        <f t="shared" si="457"/>
        <v>5940.16</v>
      </c>
      <c r="P1578" s="86">
        <f t="shared" si="458"/>
        <v>0</v>
      </c>
      <c r="Q1578" s="86">
        <f t="shared" si="459"/>
        <v>0</v>
      </c>
      <c r="R1578" s="86">
        <f t="shared" si="460"/>
        <v>0</v>
      </c>
      <c r="S1578" s="86">
        <f t="shared" si="461"/>
        <v>0</v>
      </c>
      <c r="T1578" s="86">
        <f t="shared" si="462"/>
        <v>5940.16</v>
      </c>
      <c r="U1578" s="87">
        <v>5940.16</v>
      </c>
    </row>
    <row r="1579" spans="1:21" s="30" customFormat="1" ht="24.6" hidden="1" outlineLevel="1" x14ac:dyDescent="0.55000000000000004">
      <c r="A1579" s="27" t="s">
        <v>327</v>
      </c>
      <c r="B1579" s="28"/>
      <c r="C1579" s="27"/>
      <c r="D1579" s="27" t="str">
        <f>"""NAV Direct"",""CRONUS JetCorp USA"",""21"",""1"",""323943"""</f>
        <v>"NAV Direct","CRONUS JetCorp USA","21","1","323943"</v>
      </c>
      <c r="E1579" s="31" t="str">
        <f t="shared" si="454"/>
        <v>C100054</v>
      </c>
      <c r="F1579" s="31"/>
      <c r="G1579" s="31"/>
      <c r="H1579" s="31"/>
      <c r="I1579" s="56"/>
      <c r="J1579" s="56"/>
      <c r="K1579" s="82" t="str">
        <f t="shared" si="455"/>
        <v>Invoice</v>
      </c>
      <c r="L1579" s="83" t="str">
        <f>"SI_110141"</f>
        <v>SI_110141</v>
      </c>
      <c r="M1579" s="84">
        <v>43769</v>
      </c>
      <c r="N1579" s="85">
        <f t="shared" si="456"/>
        <v>43</v>
      </c>
      <c r="O1579" s="86">
        <f t="shared" si="457"/>
        <v>5891.8499999999995</v>
      </c>
      <c r="P1579" s="86">
        <f t="shared" si="458"/>
        <v>0</v>
      </c>
      <c r="Q1579" s="86">
        <f t="shared" si="459"/>
        <v>0</v>
      </c>
      <c r="R1579" s="86">
        <f t="shared" si="460"/>
        <v>5891.8499999999995</v>
      </c>
      <c r="S1579" s="86">
        <f t="shared" si="461"/>
        <v>0</v>
      </c>
      <c r="T1579" s="86">
        <f t="shared" si="462"/>
        <v>0</v>
      </c>
      <c r="U1579" s="87">
        <v>5891.8499999999995</v>
      </c>
    </row>
    <row r="1580" spans="1:21" s="30" customFormat="1" ht="24.6" hidden="1" outlineLevel="1" x14ac:dyDescent="0.55000000000000004">
      <c r="A1580" s="27" t="s">
        <v>327</v>
      </c>
      <c r="B1580" s="28"/>
      <c r="C1580" s="27"/>
      <c r="D1580" s="27" t="str">
        <f>"""NAV Direct"",""CRONUS JetCorp USA"",""21"",""1"",""324500"""</f>
        <v>"NAV Direct","CRONUS JetCorp USA","21","1","324500"</v>
      </c>
      <c r="E1580" s="31">
        <f t="shared" si="454"/>
        <v>0</v>
      </c>
      <c r="F1580" s="31"/>
      <c r="G1580" s="31"/>
      <c r="H1580" s="31"/>
      <c r="I1580" s="56"/>
      <c r="J1580" s="56"/>
      <c r="K1580" s="82" t="str">
        <f t="shared" si="455"/>
        <v>Invoice</v>
      </c>
      <c r="L1580" s="83" t="str">
        <f>"SI_110166"</f>
        <v>SI_110166</v>
      </c>
      <c r="M1580" s="84">
        <v>42094</v>
      </c>
      <c r="N1580" s="85">
        <f t="shared" si="456"/>
        <v>1718</v>
      </c>
      <c r="O1580" s="86">
        <f t="shared" si="457"/>
        <v>6262.7</v>
      </c>
      <c r="P1580" s="86">
        <f t="shared" si="458"/>
        <v>0</v>
      </c>
      <c r="Q1580" s="86">
        <f t="shared" si="459"/>
        <v>0</v>
      </c>
      <c r="R1580" s="86">
        <f t="shared" si="460"/>
        <v>0</v>
      </c>
      <c r="S1580" s="86">
        <f t="shared" si="461"/>
        <v>0</v>
      </c>
      <c r="T1580" s="86">
        <f t="shared" si="462"/>
        <v>6262.7</v>
      </c>
      <c r="U1580" s="87">
        <v>6262.7</v>
      </c>
    </row>
    <row r="1581" spans="1:21" s="30" customFormat="1" ht="24.6" hidden="1" outlineLevel="1" x14ac:dyDescent="0.55000000000000004">
      <c r="A1581" s="27" t="s">
        <v>327</v>
      </c>
      <c r="B1581" s="28"/>
      <c r="C1581" s="27"/>
      <c r="D1581" s="27" t="str">
        <f>"""NAV Direct"",""CRONUS JetCorp USA"",""21"",""1"",""324519"""</f>
        <v>"NAV Direct","CRONUS JetCorp USA","21","1","324519"</v>
      </c>
      <c r="E1581" s="31" t="str">
        <f t="shared" ref="E1581:E1600" si="463">E1579</f>
        <v>C100054</v>
      </c>
      <c r="F1581" s="31"/>
      <c r="G1581" s="31"/>
      <c r="H1581" s="31"/>
      <c r="I1581" s="56"/>
      <c r="J1581" s="56"/>
      <c r="K1581" s="82" t="str">
        <f t="shared" si="455"/>
        <v>Invoice</v>
      </c>
      <c r="L1581" s="83" t="str">
        <f>"SI_110167"</f>
        <v>SI_110167</v>
      </c>
      <c r="M1581" s="84">
        <v>42094</v>
      </c>
      <c r="N1581" s="85">
        <f t="shared" ref="N1581:N1600" si="464">StartDate-$M1581+1</f>
        <v>1718</v>
      </c>
      <c r="O1581" s="86">
        <f t="shared" ref="O1581:O1600" si="465">SUM(P1581:T1581)</f>
        <v>6262.47</v>
      </c>
      <c r="P1581" s="86">
        <f t="shared" ref="P1581:P1600" si="466">IF($M1581&gt;=$P$18,U1581,0)</f>
        <v>0</v>
      </c>
      <c r="Q1581" s="86">
        <f t="shared" ref="Q1581:Q1600" si="467">IF(AND($M1581&gt;=$Q$16,$M1581&lt;=$Q$18),U1581,0)</f>
        <v>0</v>
      </c>
      <c r="R1581" s="86">
        <f t="shared" ref="R1581:R1600" si="468">IF(AND($M1581&gt;=$R$16,$M1581&lt;=$R$18),U1581,0)</f>
        <v>0</v>
      </c>
      <c r="S1581" s="86">
        <f t="shared" ref="S1581:S1600" si="469">IF(AND($M1581&gt;=$S$16,$M1581&lt;=$S$18),U1581,0)</f>
        <v>0</v>
      </c>
      <c r="T1581" s="86">
        <f t="shared" ref="T1581:T1600" si="470">IF($M1581&lt;=$T$18,U1581,0)</f>
        <v>6262.47</v>
      </c>
      <c r="U1581" s="87">
        <v>6262.47</v>
      </c>
    </row>
    <row r="1582" spans="1:21" s="30" customFormat="1" ht="24.6" hidden="1" outlineLevel="1" x14ac:dyDescent="0.55000000000000004">
      <c r="A1582" s="27" t="s">
        <v>327</v>
      </c>
      <c r="B1582" s="28"/>
      <c r="C1582" s="27"/>
      <c r="D1582" s="27" t="str">
        <f>"""NAV Direct"",""CRONUS JetCorp USA"",""21"",""1"",""324710"""</f>
        <v>"NAV Direct","CRONUS JetCorp USA","21","1","324710"</v>
      </c>
      <c r="E1582" s="31">
        <f t="shared" si="463"/>
        <v>0</v>
      </c>
      <c r="F1582" s="31"/>
      <c r="G1582" s="31"/>
      <c r="H1582" s="31"/>
      <c r="I1582" s="56"/>
      <c r="J1582" s="56"/>
      <c r="K1582" s="82" t="str">
        <f t="shared" si="455"/>
        <v>Invoice</v>
      </c>
      <c r="L1582" s="83" t="str">
        <f>"SI_110176"</f>
        <v>SI_110176</v>
      </c>
      <c r="M1582" s="84">
        <v>42155</v>
      </c>
      <c r="N1582" s="85">
        <f t="shared" si="464"/>
        <v>1657</v>
      </c>
      <c r="O1582" s="86">
        <f t="shared" si="465"/>
        <v>6468.48</v>
      </c>
      <c r="P1582" s="86">
        <f t="shared" si="466"/>
        <v>0</v>
      </c>
      <c r="Q1582" s="86">
        <f t="shared" si="467"/>
        <v>0</v>
      </c>
      <c r="R1582" s="86">
        <f t="shared" si="468"/>
        <v>0</v>
      </c>
      <c r="S1582" s="86">
        <f t="shared" si="469"/>
        <v>0</v>
      </c>
      <c r="T1582" s="86">
        <f t="shared" si="470"/>
        <v>6468.48</v>
      </c>
      <c r="U1582" s="87">
        <v>6468.48</v>
      </c>
    </row>
    <row r="1583" spans="1:21" s="30" customFormat="1" ht="24.6" hidden="1" outlineLevel="1" x14ac:dyDescent="0.55000000000000004">
      <c r="A1583" s="27" t="s">
        <v>327</v>
      </c>
      <c r="B1583" s="28"/>
      <c r="C1583" s="27"/>
      <c r="D1583" s="27" t="str">
        <f>"""NAV Direct"",""CRONUS JetCorp USA"",""21"",""1"",""324802"""</f>
        <v>"NAV Direct","CRONUS JetCorp USA","21","1","324802"</v>
      </c>
      <c r="E1583" s="31" t="str">
        <f t="shared" si="463"/>
        <v>C100054</v>
      </c>
      <c r="F1583" s="31"/>
      <c r="G1583" s="31"/>
      <c r="H1583" s="31"/>
      <c r="I1583" s="56"/>
      <c r="J1583" s="56"/>
      <c r="K1583" s="82" t="str">
        <f t="shared" si="455"/>
        <v>Invoice</v>
      </c>
      <c r="L1583" s="83" t="str">
        <f>"SI_110180"</f>
        <v>SI_110180</v>
      </c>
      <c r="M1583" s="84">
        <v>42185</v>
      </c>
      <c r="N1583" s="85">
        <f t="shared" si="464"/>
        <v>1627</v>
      </c>
      <c r="O1583" s="86">
        <f t="shared" si="465"/>
        <v>6500.72</v>
      </c>
      <c r="P1583" s="86">
        <f t="shared" si="466"/>
        <v>0</v>
      </c>
      <c r="Q1583" s="86">
        <f t="shared" si="467"/>
        <v>0</v>
      </c>
      <c r="R1583" s="86">
        <f t="shared" si="468"/>
        <v>0</v>
      </c>
      <c r="S1583" s="86">
        <f t="shared" si="469"/>
        <v>0</v>
      </c>
      <c r="T1583" s="86">
        <f t="shared" si="470"/>
        <v>6500.72</v>
      </c>
      <c r="U1583" s="87">
        <v>6500.72</v>
      </c>
    </row>
    <row r="1584" spans="1:21" s="30" customFormat="1" ht="24.6" hidden="1" outlineLevel="1" x14ac:dyDescent="0.55000000000000004">
      <c r="A1584" s="27" t="s">
        <v>327</v>
      </c>
      <c r="B1584" s="28"/>
      <c r="C1584" s="27"/>
      <c r="D1584" s="27" t="str">
        <f>"""NAV Direct"",""CRONUS JetCorp USA"",""21"",""1"",""324871"""</f>
        <v>"NAV Direct","CRONUS JetCorp USA","21","1","324871"</v>
      </c>
      <c r="E1584" s="31">
        <f t="shared" si="463"/>
        <v>0</v>
      </c>
      <c r="F1584" s="31"/>
      <c r="G1584" s="31"/>
      <c r="H1584" s="31"/>
      <c r="I1584" s="56"/>
      <c r="J1584" s="56"/>
      <c r="K1584" s="82" t="str">
        <f t="shared" si="455"/>
        <v>Invoice</v>
      </c>
      <c r="L1584" s="83" t="str">
        <f>"SI_110183"</f>
        <v>SI_110183</v>
      </c>
      <c r="M1584" s="84">
        <v>42216</v>
      </c>
      <c r="N1584" s="85">
        <f t="shared" si="464"/>
        <v>1596</v>
      </c>
      <c r="O1584" s="86">
        <f t="shared" si="465"/>
        <v>6520.26</v>
      </c>
      <c r="P1584" s="86">
        <f t="shared" si="466"/>
        <v>0</v>
      </c>
      <c r="Q1584" s="86">
        <f t="shared" si="467"/>
        <v>0</v>
      </c>
      <c r="R1584" s="86">
        <f t="shared" si="468"/>
        <v>0</v>
      </c>
      <c r="S1584" s="86">
        <f t="shared" si="469"/>
        <v>0</v>
      </c>
      <c r="T1584" s="86">
        <f t="shared" si="470"/>
        <v>6520.26</v>
      </c>
      <c r="U1584" s="87">
        <v>6520.26</v>
      </c>
    </row>
    <row r="1585" spans="1:21" s="30" customFormat="1" ht="24.6" hidden="1" outlineLevel="1" x14ac:dyDescent="0.55000000000000004">
      <c r="A1585" s="27" t="s">
        <v>327</v>
      </c>
      <c r="B1585" s="28"/>
      <c r="C1585" s="27"/>
      <c r="D1585" s="27" t="str">
        <f>"""NAV Direct"",""CRONUS JetCorp USA"",""21"",""1"",""325018"""</f>
        <v>"NAV Direct","CRONUS JetCorp USA","21","1","325018"</v>
      </c>
      <c r="E1585" s="31" t="str">
        <f t="shared" si="463"/>
        <v>C100054</v>
      </c>
      <c r="F1585" s="31"/>
      <c r="G1585" s="31"/>
      <c r="H1585" s="31"/>
      <c r="I1585" s="56"/>
      <c r="J1585" s="56"/>
      <c r="K1585" s="82" t="str">
        <f t="shared" si="455"/>
        <v>Invoice</v>
      </c>
      <c r="L1585" s="83" t="str">
        <f>"SI_110190"</f>
        <v>SI_110190</v>
      </c>
      <c r="M1585" s="84">
        <v>42247</v>
      </c>
      <c r="N1585" s="85">
        <f t="shared" si="464"/>
        <v>1565</v>
      </c>
      <c r="O1585" s="86">
        <f t="shared" si="465"/>
        <v>6611.81</v>
      </c>
      <c r="P1585" s="86">
        <f t="shared" si="466"/>
        <v>0</v>
      </c>
      <c r="Q1585" s="86">
        <f t="shared" si="467"/>
        <v>0</v>
      </c>
      <c r="R1585" s="86">
        <f t="shared" si="468"/>
        <v>0</v>
      </c>
      <c r="S1585" s="86">
        <f t="shared" si="469"/>
        <v>0</v>
      </c>
      <c r="T1585" s="86">
        <f t="shared" si="470"/>
        <v>6611.81</v>
      </c>
      <c r="U1585" s="87">
        <v>6611.81</v>
      </c>
    </row>
    <row r="1586" spans="1:21" s="30" customFormat="1" ht="24.6" hidden="1" outlineLevel="1" x14ac:dyDescent="0.55000000000000004">
      <c r="A1586" s="27" t="s">
        <v>327</v>
      </c>
      <c r="B1586" s="28"/>
      <c r="C1586" s="27"/>
      <c r="D1586" s="27" t="str">
        <f>"""NAV Direct"",""CRONUS JetCorp USA"",""21"",""1"",""325098"""</f>
        <v>"NAV Direct","CRONUS JetCorp USA","21","1","325098"</v>
      </c>
      <c r="E1586" s="31">
        <f t="shared" si="463"/>
        <v>0</v>
      </c>
      <c r="F1586" s="31"/>
      <c r="G1586" s="31"/>
      <c r="H1586" s="31"/>
      <c r="I1586" s="56"/>
      <c r="J1586" s="56"/>
      <c r="K1586" s="82" t="str">
        <f t="shared" si="455"/>
        <v>Invoice</v>
      </c>
      <c r="L1586" s="83" t="str">
        <f>"SI_110194"</f>
        <v>SI_110194</v>
      </c>
      <c r="M1586" s="84">
        <v>42277</v>
      </c>
      <c r="N1586" s="85">
        <f t="shared" si="464"/>
        <v>1535</v>
      </c>
      <c r="O1586" s="86">
        <f t="shared" si="465"/>
        <v>5950.6500000000005</v>
      </c>
      <c r="P1586" s="86">
        <f t="shared" si="466"/>
        <v>0</v>
      </c>
      <c r="Q1586" s="86">
        <f t="shared" si="467"/>
        <v>0</v>
      </c>
      <c r="R1586" s="86">
        <f t="shared" si="468"/>
        <v>0</v>
      </c>
      <c r="S1586" s="86">
        <f t="shared" si="469"/>
        <v>0</v>
      </c>
      <c r="T1586" s="86">
        <f t="shared" si="470"/>
        <v>5950.6500000000005</v>
      </c>
      <c r="U1586" s="87">
        <v>5950.6500000000005</v>
      </c>
    </row>
    <row r="1587" spans="1:21" s="30" customFormat="1" ht="24.6" hidden="1" outlineLevel="1" x14ac:dyDescent="0.55000000000000004">
      <c r="A1587" s="27" t="s">
        <v>327</v>
      </c>
      <c r="B1587" s="28"/>
      <c r="C1587" s="27"/>
      <c r="D1587" s="27" t="str">
        <f>"""NAV Direct"",""CRONUS JetCorp USA"",""21"",""1"",""325431"""</f>
        <v>"NAV Direct","CRONUS JetCorp USA","21","1","325431"</v>
      </c>
      <c r="E1587" s="31" t="str">
        <f t="shared" si="463"/>
        <v>C100054</v>
      </c>
      <c r="F1587" s="31"/>
      <c r="G1587" s="31"/>
      <c r="H1587" s="31"/>
      <c r="I1587" s="56"/>
      <c r="J1587" s="56"/>
      <c r="K1587" s="82" t="str">
        <f t="shared" si="455"/>
        <v>Invoice</v>
      </c>
      <c r="L1587" s="83" t="str">
        <f>"SI_110209"</f>
        <v>SI_110209</v>
      </c>
      <c r="M1587" s="84">
        <v>42369</v>
      </c>
      <c r="N1587" s="85">
        <f t="shared" si="464"/>
        <v>1443</v>
      </c>
      <c r="O1587" s="86">
        <f t="shared" si="465"/>
        <v>6759.58</v>
      </c>
      <c r="P1587" s="86">
        <f t="shared" si="466"/>
        <v>0</v>
      </c>
      <c r="Q1587" s="86">
        <f t="shared" si="467"/>
        <v>0</v>
      </c>
      <c r="R1587" s="86">
        <f t="shared" si="468"/>
        <v>0</v>
      </c>
      <c r="S1587" s="86">
        <f t="shared" si="469"/>
        <v>0</v>
      </c>
      <c r="T1587" s="86">
        <f t="shared" si="470"/>
        <v>6759.58</v>
      </c>
      <c r="U1587" s="87">
        <v>6759.58</v>
      </c>
    </row>
    <row r="1588" spans="1:21" s="30" customFormat="1" ht="24.6" hidden="1" outlineLevel="1" x14ac:dyDescent="0.55000000000000004">
      <c r="A1588" s="27" t="s">
        <v>327</v>
      </c>
      <c r="B1588" s="28"/>
      <c r="C1588" s="27"/>
      <c r="D1588" s="27" t="str">
        <f>"""NAV Direct"",""CRONUS JetCorp USA"",""21"",""1"",""325452"""</f>
        <v>"NAV Direct","CRONUS JetCorp USA","21","1","325452"</v>
      </c>
      <c r="E1588" s="31">
        <f t="shared" si="463"/>
        <v>0</v>
      </c>
      <c r="F1588" s="31"/>
      <c r="G1588" s="31"/>
      <c r="H1588" s="31"/>
      <c r="I1588" s="56"/>
      <c r="J1588" s="56"/>
      <c r="K1588" s="82" t="str">
        <f t="shared" si="455"/>
        <v>Invoice</v>
      </c>
      <c r="L1588" s="83" t="str">
        <f>"SI_110210"</f>
        <v>SI_110210</v>
      </c>
      <c r="M1588" s="84">
        <v>42369</v>
      </c>
      <c r="N1588" s="85">
        <f t="shared" si="464"/>
        <v>1443</v>
      </c>
      <c r="O1588" s="86">
        <f t="shared" si="465"/>
        <v>6758.79</v>
      </c>
      <c r="P1588" s="86">
        <f t="shared" si="466"/>
        <v>0</v>
      </c>
      <c r="Q1588" s="86">
        <f t="shared" si="467"/>
        <v>0</v>
      </c>
      <c r="R1588" s="86">
        <f t="shared" si="468"/>
        <v>0</v>
      </c>
      <c r="S1588" s="86">
        <f t="shared" si="469"/>
        <v>0</v>
      </c>
      <c r="T1588" s="86">
        <f t="shared" si="470"/>
        <v>6758.79</v>
      </c>
      <c r="U1588" s="87">
        <v>6758.79</v>
      </c>
    </row>
    <row r="1589" spans="1:21" s="30" customFormat="1" ht="24.6" hidden="1" outlineLevel="1" x14ac:dyDescent="0.55000000000000004">
      <c r="A1589" s="27" t="s">
        <v>327</v>
      </c>
      <c r="B1589" s="28"/>
      <c r="C1589" s="27"/>
      <c r="D1589" s="27" t="str">
        <f>"""NAV Direct"",""CRONUS JetCorp USA"",""21"",""1"",""431200"""</f>
        <v>"NAV Direct","CRONUS JetCorp USA","21","1","431200"</v>
      </c>
      <c r="E1589" s="31" t="str">
        <f t="shared" si="463"/>
        <v>C100054</v>
      </c>
      <c r="F1589" s="31"/>
      <c r="G1589" s="31"/>
      <c r="H1589" s="31"/>
      <c r="I1589" s="56"/>
      <c r="J1589" s="56"/>
      <c r="K1589" s="82" t="str">
        <f t="shared" ref="K1589:K1600" si="471">"Credit Memo"</f>
        <v>Credit Memo</v>
      </c>
      <c r="L1589" s="83" t="str">
        <f>"SC_100327"</f>
        <v>SC_100327</v>
      </c>
      <c r="M1589" s="84">
        <v>42443</v>
      </c>
      <c r="N1589" s="85">
        <f t="shared" si="464"/>
        <v>1369</v>
      </c>
      <c r="O1589" s="86">
        <f t="shared" si="465"/>
        <v>-74.62</v>
      </c>
      <c r="P1589" s="86">
        <f t="shared" si="466"/>
        <v>0</v>
      </c>
      <c r="Q1589" s="86">
        <f t="shared" si="467"/>
        <v>0</v>
      </c>
      <c r="R1589" s="86">
        <f t="shared" si="468"/>
        <v>0</v>
      </c>
      <c r="S1589" s="86">
        <f t="shared" si="469"/>
        <v>0</v>
      </c>
      <c r="T1589" s="86">
        <f t="shared" si="470"/>
        <v>-74.62</v>
      </c>
      <c r="U1589" s="87">
        <v>-74.62</v>
      </c>
    </row>
    <row r="1590" spans="1:21" s="30" customFormat="1" ht="24.6" hidden="1" outlineLevel="1" x14ac:dyDescent="0.55000000000000004">
      <c r="A1590" s="27" t="s">
        <v>327</v>
      </c>
      <c r="B1590" s="28"/>
      <c r="C1590" s="27"/>
      <c r="D1590" s="27" t="str">
        <f>"""NAV Direct"",""CRONUS JetCorp USA"",""21"",""1"",""431375"""</f>
        <v>"NAV Direct","CRONUS JetCorp USA","21","1","431375"</v>
      </c>
      <c r="E1590" s="31">
        <f t="shared" si="463"/>
        <v>0</v>
      </c>
      <c r="F1590" s="31"/>
      <c r="G1590" s="31"/>
      <c r="H1590" s="31"/>
      <c r="I1590" s="56"/>
      <c r="J1590" s="56"/>
      <c r="K1590" s="82" t="str">
        <f t="shared" si="471"/>
        <v>Credit Memo</v>
      </c>
      <c r="L1590" s="83" t="str">
        <f>"SC_100340"</f>
        <v>SC_100340</v>
      </c>
      <c r="M1590" s="84">
        <v>42921</v>
      </c>
      <c r="N1590" s="85">
        <f t="shared" si="464"/>
        <v>891</v>
      </c>
      <c r="O1590" s="86">
        <f t="shared" si="465"/>
        <v>-74.819999999999993</v>
      </c>
      <c r="P1590" s="86">
        <f t="shared" si="466"/>
        <v>0</v>
      </c>
      <c r="Q1590" s="86">
        <f t="shared" si="467"/>
        <v>0</v>
      </c>
      <c r="R1590" s="86">
        <f t="shared" si="468"/>
        <v>0</v>
      </c>
      <c r="S1590" s="86">
        <f t="shared" si="469"/>
        <v>0</v>
      </c>
      <c r="T1590" s="86">
        <f t="shared" si="470"/>
        <v>-74.819999999999993</v>
      </c>
      <c r="U1590" s="87">
        <v>-74.819999999999993</v>
      </c>
    </row>
    <row r="1591" spans="1:21" s="30" customFormat="1" ht="24.6" hidden="1" outlineLevel="1" x14ac:dyDescent="0.55000000000000004">
      <c r="A1591" s="27" t="s">
        <v>327</v>
      </c>
      <c r="B1591" s="28"/>
      <c r="C1591" s="27"/>
      <c r="D1591" s="27" t="str">
        <f>"""NAV Direct"",""CRONUS JetCorp USA"",""21"",""1"",""431401"""</f>
        <v>"NAV Direct","CRONUS JetCorp USA","21","1","431401"</v>
      </c>
      <c r="E1591" s="31" t="str">
        <f t="shared" si="463"/>
        <v>C100054</v>
      </c>
      <c r="F1591" s="31"/>
      <c r="G1591" s="31"/>
      <c r="H1591" s="31"/>
      <c r="I1591" s="56"/>
      <c r="J1591" s="56"/>
      <c r="K1591" s="82" t="str">
        <f t="shared" si="471"/>
        <v>Credit Memo</v>
      </c>
      <c r="L1591" s="83" t="str">
        <f>"SC_100342"</f>
        <v>SC_100342</v>
      </c>
      <c r="M1591" s="84">
        <v>42987</v>
      </c>
      <c r="N1591" s="85">
        <f t="shared" si="464"/>
        <v>825</v>
      </c>
      <c r="O1591" s="86">
        <f t="shared" si="465"/>
        <v>-73.36999999999999</v>
      </c>
      <c r="P1591" s="86">
        <f t="shared" si="466"/>
        <v>0</v>
      </c>
      <c r="Q1591" s="86">
        <f t="shared" si="467"/>
        <v>0</v>
      </c>
      <c r="R1591" s="86">
        <f t="shared" si="468"/>
        <v>0</v>
      </c>
      <c r="S1591" s="86">
        <f t="shared" si="469"/>
        <v>0</v>
      </c>
      <c r="T1591" s="86">
        <f t="shared" si="470"/>
        <v>-73.36999999999999</v>
      </c>
      <c r="U1591" s="87">
        <v>-73.36999999999999</v>
      </c>
    </row>
    <row r="1592" spans="1:21" s="30" customFormat="1" ht="24.6" hidden="1" outlineLevel="1" x14ac:dyDescent="0.55000000000000004">
      <c r="A1592" s="27" t="s">
        <v>327</v>
      </c>
      <c r="B1592" s="28"/>
      <c r="C1592" s="27"/>
      <c r="D1592" s="27" t="str">
        <f>"""NAV Direct"",""CRONUS JetCorp USA"",""21"",""1"",""431463"""</f>
        <v>"NAV Direct","CRONUS JetCorp USA","21","1","431463"</v>
      </c>
      <c r="E1592" s="31">
        <f t="shared" si="463"/>
        <v>0</v>
      </c>
      <c r="F1592" s="31"/>
      <c r="G1592" s="31"/>
      <c r="H1592" s="31"/>
      <c r="I1592" s="56"/>
      <c r="J1592" s="56"/>
      <c r="K1592" s="82" t="str">
        <f t="shared" si="471"/>
        <v>Credit Memo</v>
      </c>
      <c r="L1592" s="83" t="str">
        <f>"SC_100346"</f>
        <v>SC_100346</v>
      </c>
      <c r="M1592" s="84">
        <v>43066</v>
      </c>
      <c r="N1592" s="85">
        <f t="shared" si="464"/>
        <v>746</v>
      </c>
      <c r="O1592" s="86">
        <f t="shared" si="465"/>
        <v>-68.7</v>
      </c>
      <c r="P1592" s="86">
        <f t="shared" si="466"/>
        <v>0</v>
      </c>
      <c r="Q1592" s="86">
        <f t="shared" si="467"/>
        <v>0</v>
      </c>
      <c r="R1592" s="86">
        <f t="shared" si="468"/>
        <v>0</v>
      </c>
      <c r="S1592" s="86">
        <f t="shared" si="469"/>
        <v>0</v>
      </c>
      <c r="T1592" s="86">
        <f t="shared" si="470"/>
        <v>-68.7</v>
      </c>
      <c r="U1592" s="87">
        <v>-68.7</v>
      </c>
    </row>
    <row r="1593" spans="1:21" s="30" customFormat="1" ht="24.6" hidden="1" outlineLevel="1" x14ac:dyDescent="0.55000000000000004">
      <c r="A1593" s="27" t="s">
        <v>327</v>
      </c>
      <c r="B1593" s="28"/>
      <c r="C1593" s="27"/>
      <c r="D1593" s="27" t="str">
        <f>"""NAV Direct"",""CRONUS JetCorp USA"",""21"",""1"",""431660"""</f>
        <v>"NAV Direct","CRONUS JetCorp USA","21","1","431660"</v>
      </c>
      <c r="E1593" s="31" t="str">
        <f t="shared" si="463"/>
        <v>C100054</v>
      </c>
      <c r="F1593" s="31"/>
      <c r="G1593" s="31"/>
      <c r="H1593" s="31"/>
      <c r="I1593" s="56"/>
      <c r="J1593" s="56"/>
      <c r="K1593" s="82" t="str">
        <f t="shared" si="471"/>
        <v>Credit Memo</v>
      </c>
      <c r="L1593" s="83" t="str">
        <f>"SC_100363"</f>
        <v>SC_100363</v>
      </c>
      <c r="M1593" s="84">
        <v>43503</v>
      </c>
      <c r="N1593" s="85">
        <f t="shared" si="464"/>
        <v>309</v>
      </c>
      <c r="O1593" s="86">
        <f t="shared" si="465"/>
        <v>-54.190000000000005</v>
      </c>
      <c r="P1593" s="86">
        <f t="shared" si="466"/>
        <v>0</v>
      </c>
      <c r="Q1593" s="86">
        <f t="shared" si="467"/>
        <v>0</v>
      </c>
      <c r="R1593" s="86">
        <f t="shared" si="468"/>
        <v>0</v>
      </c>
      <c r="S1593" s="86">
        <f t="shared" si="469"/>
        <v>0</v>
      </c>
      <c r="T1593" s="86">
        <f t="shared" si="470"/>
        <v>-54.190000000000005</v>
      </c>
      <c r="U1593" s="87">
        <v>-54.190000000000005</v>
      </c>
    </row>
    <row r="1594" spans="1:21" s="30" customFormat="1" ht="24.6" hidden="1" outlineLevel="1" x14ac:dyDescent="0.55000000000000004">
      <c r="A1594" s="27" t="s">
        <v>327</v>
      </c>
      <c r="B1594" s="28"/>
      <c r="C1594" s="27"/>
      <c r="D1594" s="27" t="str">
        <f>"""NAV Direct"",""CRONUS JetCorp USA"",""21"",""1"",""431678"""</f>
        <v>"NAV Direct","CRONUS JetCorp USA","21","1","431678"</v>
      </c>
      <c r="E1594" s="31">
        <f t="shared" si="463"/>
        <v>0</v>
      </c>
      <c r="F1594" s="31"/>
      <c r="G1594" s="31"/>
      <c r="H1594" s="31"/>
      <c r="I1594" s="56"/>
      <c r="J1594" s="56"/>
      <c r="K1594" s="82" t="str">
        <f t="shared" si="471"/>
        <v>Credit Memo</v>
      </c>
      <c r="L1594" s="83" t="str">
        <f>"SC_100365"</f>
        <v>SC_100365</v>
      </c>
      <c r="M1594" s="84">
        <v>43508</v>
      </c>
      <c r="N1594" s="85">
        <f t="shared" si="464"/>
        <v>304</v>
      </c>
      <c r="O1594" s="86">
        <f t="shared" si="465"/>
        <v>-54.21</v>
      </c>
      <c r="P1594" s="86">
        <f t="shared" si="466"/>
        <v>0</v>
      </c>
      <c r="Q1594" s="86">
        <f t="shared" si="467"/>
        <v>0</v>
      </c>
      <c r="R1594" s="86">
        <f t="shared" si="468"/>
        <v>0</v>
      </c>
      <c r="S1594" s="86">
        <f t="shared" si="469"/>
        <v>0</v>
      </c>
      <c r="T1594" s="86">
        <f t="shared" si="470"/>
        <v>-54.21</v>
      </c>
      <c r="U1594" s="87">
        <v>-54.21</v>
      </c>
    </row>
    <row r="1595" spans="1:21" s="30" customFormat="1" ht="24.6" hidden="1" outlineLevel="1" x14ac:dyDescent="0.55000000000000004">
      <c r="A1595" s="27" t="s">
        <v>327</v>
      </c>
      <c r="B1595" s="28"/>
      <c r="C1595" s="27"/>
      <c r="D1595" s="27" t="str">
        <f>"""NAV Direct"",""CRONUS JetCorp USA"",""21"",""1"",""431728"""</f>
        <v>"NAV Direct","CRONUS JetCorp USA","21","1","431728"</v>
      </c>
      <c r="E1595" s="31" t="str">
        <f t="shared" si="463"/>
        <v>C100054</v>
      </c>
      <c r="F1595" s="31"/>
      <c r="G1595" s="31"/>
      <c r="H1595" s="31"/>
      <c r="I1595" s="56"/>
      <c r="J1595" s="56"/>
      <c r="K1595" s="82" t="str">
        <f t="shared" si="471"/>
        <v>Credit Memo</v>
      </c>
      <c r="L1595" s="83" t="str">
        <f>"SC_100369"</f>
        <v>SC_100369</v>
      </c>
      <c r="M1595" s="84">
        <v>43603</v>
      </c>
      <c r="N1595" s="85">
        <f t="shared" si="464"/>
        <v>209</v>
      </c>
      <c r="O1595" s="86">
        <f t="shared" si="465"/>
        <v>-56.64</v>
      </c>
      <c r="P1595" s="86">
        <f t="shared" si="466"/>
        <v>0</v>
      </c>
      <c r="Q1595" s="86">
        <f t="shared" si="467"/>
        <v>0</v>
      </c>
      <c r="R1595" s="86">
        <f t="shared" si="468"/>
        <v>0</v>
      </c>
      <c r="S1595" s="86">
        <f t="shared" si="469"/>
        <v>0</v>
      </c>
      <c r="T1595" s="86">
        <f t="shared" si="470"/>
        <v>-56.64</v>
      </c>
      <c r="U1595" s="87">
        <v>-56.64</v>
      </c>
    </row>
    <row r="1596" spans="1:21" s="30" customFormat="1" ht="24.6" hidden="1" outlineLevel="1" x14ac:dyDescent="0.55000000000000004">
      <c r="A1596" s="27" t="s">
        <v>327</v>
      </c>
      <c r="B1596" s="28"/>
      <c r="C1596" s="27"/>
      <c r="D1596" s="27" t="str">
        <f>"""NAV Direct"",""CRONUS JetCorp USA"",""21"",""1"",""431781"""</f>
        <v>"NAV Direct","CRONUS JetCorp USA","21","1","431781"</v>
      </c>
      <c r="E1596" s="31">
        <f t="shared" si="463"/>
        <v>0</v>
      </c>
      <c r="F1596" s="31"/>
      <c r="G1596" s="31"/>
      <c r="H1596" s="31"/>
      <c r="I1596" s="56"/>
      <c r="J1596" s="56"/>
      <c r="K1596" s="82" t="str">
        <f t="shared" si="471"/>
        <v>Credit Memo</v>
      </c>
      <c r="L1596" s="83" t="str">
        <f>"SC_100374"</f>
        <v>SC_100374</v>
      </c>
      <c r="M1596" s="84">
        <v>42059</v>
      </c>
      <c r="N1596" s="85">
        <f t="shared" si="464"/>
        <v>1753</v>
      </c>
      <c r="O1596" s="86">
        <f t="shared" si="465"/>
        <v>-56.2</v>
      </c>
      <c r="P1596" s="86">
        <f t="shared" si="466"/>
        <v>0</v>
      </c>
      <c r="Q1596" s="86">
        <f t="shared" si="467"/>
        <v>0</v>
      </c>
      <c r="R1596" s="86">
        <f t="shared" si="468"/>
        <v>0</v>
      </c>
      <c r="S1596" s="86">
        <f t="shared" si="469"/>
        <v>0</v>
      </c>
      <c r="T1596" s="86">
        <f t="shared" si="470"/>
        <v>-56.2</v>
      </c>
      <c r="U1596" s="87">
        <v>-56.2</v>
      </c>
    </row>
    <row r="1597" spans="1:21" s="30" customFormat="1" ht="24.6" hidden="1" outlineLevel="1" x14ac:dyDescent="0.55000000000000004">
      <c r="A1597" s="27" t="s">
        <v>327</v>
      </c>
      <c r="B1597" s="28"/>
      <c r="C1597" s="27"/>
      <c r="D1597" s="27" t="str">
        <f>"""NAV Direct"",""CRONUS JetCorp USA"",""21"",""1"",""431814"""</f>
        <v>"NAV Direct","CRONUS JetCorp USA","21","1","431814"</v>
      </c>
      <c r="E1597" s="31" t="str">
        <f t="shared" si="463"/>
        <v>C100054</v>
      </c>
      <c r="F1597" s="31"/>
      <c r="G1597" s="31"/>
      <c r="H1597" s="31"/>
      <c r="I1597" s="56"/>
      <c r="J1597" s="56"/>
      <c r="K1597" s="82" t="str">
        <f t="shared" si="471"/>
        <v>Credit Memo</v>
      </c>
      <c r="L1597" s="83" t="str">
        <f>"SC_100377"</f>
        <v>SC_100377</v>
      </c>
      <c r="M1597" s="84">
        <v>42108</v>
      </c>
      <c r="N1597" s="85">
        <f t="shared" si="464"/>
        <v>1704</v>
      </c>
      <c r="O1597" s="86">
        <f t="shared" si="465"/>
        <v>-61.849999999999994</v>
      </c>
      <c r="P1597" s="86">
        <f t="shared" si="466"/>
        <v>0</v>
      </c>
      <c r="Q1597" s="86">
        <f t="shared" si="467"/>
        <v>0</v>
      </c>
      <c r="R1597" s="86">
        <f t="shared" si="468"/>
        <v>0</v>
      </c>
      <c r="S1597" s="86">
        <f t="shared" si="469"/>
        <v>0</v>
      </c>
      <c r="T1597" s="86">
        <f t="shared" si="470"/>
        <v>-61.849999999999994</v>
      </c>
      <c r="U1597" s="87">
        <v>-61.849999999999994</v>
      </c>
    </row>
    <row r="1598" spans="1:21" s="30" customFormat="1" ht="24.6" hidden="1" outlineLevel="1" x14ac:dyDescent="0.55000000000000004">
      <c r="A1598" s="27" t="s">
        <v>327</v>
      </c>
      <c r="B1598" s="28"/>
      <c r="C1598" s="27"/>
      <c r="D1598" s="27" t="str">
        <f>"""NAV Direct"",""CRONUS JetCorp USA"",""21"",""1"",""431842"""</f>
        <v>"NAV Direct","CRONUS JetCorp USA","21","1","431842"</v>
      </c>
      <c r="E1598" s="31">
        <f t="shared" si="463"/>
        <v>0</v>
      </c>
      <c r="F1598" s="31"/>
      <c r="G1598" s="31"/>
      <c r="H1598" s="31"/>
      <c r="I1598" s="56"/>
      <c r="J1598" s="56"/>
      <c r="K1598" s="82" t="str">
        <f t="shared" si="471"/>
        <v>Credit Memo</v>
      </c>
      <c r="L1598" s="83" t="str">
        <f>"SC_100379"</f>
        <v>SC_100379</v>
      </c>
      <c r="M1598" s="84">
        <v>42144</v>
      </c>
      <c r="N1598" s="85">
        <f t="shared" si="464"/>
        <v>1668</v>
      </c>
      <c r="O1598" s="86">
        <f t="shared" si="465"/>
        <v>-64.58</v>
      </c>
      <c r="P1598" s="86">
        <f t="shared" si="466"/>
        <v>0</v>
      </c>
      <c r="Q1598" s="86">
        <f t="shared" si="467"/>
        <v>0</v>
      </c>
      <c r="R1598" s="86">
        <f t="shared" si="468"/>
        <v>0</v>
      </c>
      <c r="S1598" s="86">
        <f t="shared" si="469"/>
        <v>0</v>
      </c>
      <c r="T1598" s="86">
        <f t="shared" si="470"/>
        <v>-64.58</v>
      </c>
      <c r="U1598" s="87">
        <v>-64.58</v>
      </c>
    </row>
    <row r="1599" spans="1:21" s="30" customFormat="1" ht="24.6" hidden="1" outlineLevel="1" x14ac:dyDescent="0.55000000000000004">
      <c r="A1599" s="27" t="s">
        <v>327</v>
      </c>
      <c r="B1599" s="28"/>
      <c r="C1599" s="27"/>
      <c r="D1599" s="27" t="str">
        <f>"""NAV Direct"",""CRONUS JetCorp USA"",""21"",""1"",""431870"""</f>
        <v>"NAV Direct","CRONUS JetCorp USA","21","1","431870"</v>
      </c>
      <c r="E1599" s="31" t="str">
        <f t="shared" si="463"/>
        <v>C100054</v>
      </c>
      <c r="F1599" s="31"/>
      <c r="G1599" s="31"/>
      <c r="H1599" s="31"/>
      <c r="I1599" s="56"/>
      <c r="J1599" s="56"/>
      <c r="K1599" s="82" t="str">
        <f t="shared" si="471"/>
        <v>Credit Memo</v>
      </c>
      <c r="L1599" s="83" t="str">
        <f>"SC_100381"</f>
        <v>SC_100381</v>
      </c>
      <c r="M1599" s="84">
        <v>42196</v>
      </c>
      <c r="N1599" s="85">
        <f t="shared" si="464"/>
        <v>1616</v>
      </c>
      <c r="O1599" s="86">
        <f t="shared" si="465"/>
        <v>-64.990000000000009</v>
      </c>
      <c r="P1599" s="86">
        <f t="shared" si="466"/>
        <v>0</v>
      </c>
      <c r="Q1599" s="86">
        <f t="shared" si="467"/>
        <v>0</v>
      </c>
      <c r="R1599" s="86">
        <f t="shared" si="468"/>
        <v>0</v>
      </c>
      <c r="S1599" s="86">
        <f t="shared" si="469"/>
        <v>0</v>
      </c>
      <c r="T1599" s="86">
        <f t="shared" si="470"/>
        <v>-64.990000000000009</v>
      </c>
      <c r="U1599" s="87">
        <v>-64.990000000000009</v>
      </c>
    </row>
    <row r="1600" spans="1:21" s="30" customFormat="1" ht="24.6" hidden="1" outlineLevel="1" x14ac:dyDescent="0.55000000000000004">
      <c r="A1600" s="27" t="s">
        <v>327</v>
      </c>
      <c r="B1600" s="28"/>
      <c r="C1600" s="27"/>
      <c r="D1600" s="27" t="str">
        <f>"""NAV Direct"",""CRONUS JetCorp USA"",""21"",""1"",""431945"""</f>
        <v>"NAV Direct","CRONUS JetCorp USA","21","1","431945"</v>
      </c>
      <c r="E1600" s="31">
        <f t="shared" si="463"/>
        <v>0</v>
      </c>
      <c r="F1600" s="31"/>
      <c r="G1600" s="31"/>
      <c r="H1600" s="31"/>
      <c r="I1600" s="56"/>
      <c r="J1600" s="56"/>
      <c r="K1600" s="82" t="str">
        <f t="shared" si="471"/>
        <v>Credit Memo</v>
      </c>
      <c r="L1600" s="83" t="str">
        <f>"SC_100386"</f>
        <v>SC_100386</v>
      </c>
      <c r="M1600" s="84">
        <v>42354</v>
      </c>
      <c r="N1600" s="85">
        <f t="shared" si="464"/>
        <v>1458</v>
      </c>
      <c r="O1600" s="86">
        <f t="shared" si="465"/>
        <v>-66.5</v>
      </c>
      <c r="P1600" s="86">
        <f t="shared" si="466"/>
        <v>0</v>
      </c>
      <c r="Q1600" s="86">
        <f t="shared" si="467"/>
        <v>0</v>
      </c>
      <c r="R1600" s="86">
        <f t="shared" si="468"/>
        <v>0</v>
      </c>
      <c r="S1600" s="86">
        <f t="shared" si="469"/>
        <v>0</v>
      </c>
      <c r="T1600" s="86">
        <f t="shared" si="470"/>
        <v>-66.5</v>
      </c>
      <c r="U1600" s="87">
        <v>-66.5</v>
      </c>
    </row>
    <row r="1601" spans="1:22" s="22" customFormat="1" ht="20.399999999999999" collapsed="1" x14ac:dyDescent="0.45">
      <c r="A1601" s="12" t="s">
        <v>327</v>
      </c>
      <c r="B1601" s="19"/>
      <c r="C1601" s="12"/>
      <c r="D1601" s="12"/>
      <c r="E1601" s="23"/>
      <c r="F1601" s="23"/>
      <c r="G1601" s="23"/>
      <c r="H1601" s="23"/>
      <c r="I1601" s="49"/>
      <c r="J1601" s="88"/>
      <c r="K1601" s="88"/>
      <c r="L1601" s="89"/>
      <c r="M1601" s="89"/>
      <c r="N1601" s="89"/>
      <c r="O1601" s="89"/>
      <c r="P1601" s="89"/>
      <c r="Q1601" s="90"/>
      <c r="R1601" s="90"/>
      <c r="S1601" s="91"/>
      <c r="T1601" s="92"/>
      <c r="U1601" s="92"/>
    </row>
    <row r="1602" spans="1:22" s="22" customFormat="1" ht="20.399999999999999" x14ac:dyDescent="0.45">
      <c r="A1602" s="12" t="s">
        <v>327</v>
      </c>
      <c r="B1602" s="19"/>
      <c r="C1602" s="12"/>
      <c r="D1602" s="12"/>
      <c r="E1602" s="23"/>
      <c r="F1602" s="23"/>
      <c r="G1602" s="23"/>
      <c r="H1602" s="23"/>
      <c r="I1602" s="49"/>
      <c r="J1602" s="88"/>
      <c r="K1602" s="88"/>
      <c r="L1602" s="89"/>
      <c r="M1602" s="89"/>
      <c r="N1602" s="89"/>
      <c r="O1602" s="89"/>
      <c r="P1602" s="89"/>
      <c r="Q1602" s="90"/>
      <c r="R1602" s="90"/>
      <c r="S1602" s="91"/>
      <c r="T1602" s="92"/>
      <c r="U1602" s="92"/>
    </row>
    <row r="1603" spans="1:22" s="26" customFormat="1" ht="24.6" x14ac:dyDescent="0.55000000000000004">
      <c r="A1603" s="27" t="s">
        <v>327</v>
      </c>
      <c r="B1603" s="28"/>
      <c r="C1603" s="27" t="str">
        <f>"""NAV Direct"",""CRONUS JetCorp USA"",""18"",""1"",""C100056"""</f>
        <v>"NAV Direct","CRONUS JetCorp USA","18","1","C100056"</v>
      </c>
      <c r="D1603" s="27"/>
      <c r="E1603" s="28" t="str">
        <f>H1603</f>
        <v>C100056</v>
      </c>
      <c r="F1603" s="28"/>
      <c r="G1603" s="28"/>
      <c r="H1603" s="28" t="str">
        <f>"C100056"</f>
        <v>C100056</v>
      </c>
      <c r="I1603" s="116" t="str">
        <f>"C100056  -  Lovaina Contractors"</f>
        <v>C100056  -  Lovaina Contractors</v>
      </c>
      <c r="J1603" s="117" t="str">
        <f>""</f>
        <v/>
      </c>
      <c r="K1603" s="118"/>
      <c r="L1603" s="119">
        <f>SUBTOTAL(3,L1604:L1625)</f>
        <v>18</v>
      </c>
      <c r="M1603" s="118"/>
      <c r="N1603" s="118"/>
      <c r="O1603" s="120">
        <f t="shared" ref="O1603:T1603" si="472">SUBTOTAL(9,O1604:O1625)</f>
        <v>285957.7</v>
      </c>
      <c r="P1603" s="120">
        <f t="shared" si="472"/>
        <v>0</v>
      </c>
      <c r="Q1603" s="120">
        <f t="shared" si="472"/>
        <v>0</v>
      </c>
      <c r="R1603" s="120">
        <f t="shared" si="472"/>
        <v>0</v>
      </c>
      <c r="S1603" s="120">
        <f t="shared" si="472"/>
        <v>0</v>
      </c>
      <c r="T1603" s="120">
        <f t="shared" si="472"/>
        <v>285957.7</v>
      </c>
      <c r="U1603" s="81"/>
    </row>
    <row r="1604" spans="1:22" s="26" customFormat="1" ht="24.6" x14ac:dyDescent="0.55000000000000004">
      <c r="A1604" s="27" t="s">
        <v>327</v>
      </c>
      <c r="B1604" s="28"/>
      <c r="C1604" s="27" t="str">
        <f>C1603</f>
        <v>"NAV Direct","CRONUS JetCorp USA","18","1","C100056"</v>
      </c>
      <c r="D1604" s="27"/>
      <c r="E1604" s="28" t="str">
        <f>E1603</f>
        <v>C100056</v>
      </c>
      <c r="F1604" s="28"/>
      <c r="G1604" s="28"/>
      <c r="H1604" s="28"/>
      <c r="I1604" s="121" t="str">
        <f>"Contact: Hans Visser"</f>
        <v>Contact: Hans Visser</v>
      </c>
      <c r="J1604" s="121"/>
      <c r="K1604" s="122"/>
      <c r="L1604" s="123"/>
      <c r="M1604" s="123"/>
      <c r="N1604" s="124"/>
      <c r="O1604" s="124"/>
      <c r="P1604" s="123"/>
      <c r="Q1604" s="125"/>
      <c r="R1604" s="126"/>
      <c r="S1604" s="126"/>
      <c r="T1604" s="125"/>
      <c r="U1604" s="81"/>
    </row>
    <row r="1605" spans="1:22" s="26" customFormat="1" ht="24.6" x14ac:dyDescent="0.55000000000000004">
      <c r="A1605" s="27" t="s">
        <v>327</v>
      </c>
      <c r="B1605" s="28"/>
      <c r="C1605" s="27" t="str">
        <f>C1604</f>
        <v>"NAV Direct","CRONUS JetCorp USA","18","1","C100056"</v>
      </c>
      <c r="D1605" s="27"/>
      <c r="E1605" s="28" t="str">
        <f>E1604</f>
        <v>C100056</v>
      </c>
      <c r="F1605" s="28"/>
      <c r="G1605" s="28"/>
      <c r="H1605" s="28"/>
      <c r="I1605" s="121" t="str">
        <f>"lovaina.contractors@cronuscorp.net"</f>
        <v>lovaina.contractors@cronuscorp.net</v>
      </c>
      <c r="J1605" s="121"/>
      <c r="K1605" s="122"/>
      <c r="L1605" s="124"/>
      <c r="M1605" s="124"/>
      <c r="N1605" s="124"/>
      <c r="O1605" s="124"/>
      <c r="P1605" s="123"/>
      <c r="Q1605" s="125"/>
      <c r="R1605" s="126"/>
      <c r="S1605" s="126"/>
      <c r="T1605" s="125"/>
      <c r="U1605" s="81"/>
    </row>
    <row r="1606" spans="1:22" ht="12.75" hidden="1" customHeight="1" outlineLevel="1" x14ac:dyDescent="0.45">
      <c r="A1606" s="12" t="s">
        <v>328</v>
      </c>
      <c r="B1606" s="19"/>
      <c r="E1606" s="19"/>
      <c r="F1606" s="19"/>
      <c r="G1606" s="19"/>
      <c r="H1606" s="19"/>
      <c r="I1606" s="61"/>
      <c r="J1606" s="61"/>
      <c r="K1606" s="61"/>
      <c r="L1606" s="61"/>
      <c r="M1606" s="61"/>
      <c r="N1606" s="61"/>
      <c r="O1606" s="61"/>
      <c r="P1606" s="61"/>
      <c r="Q1606" s="61"/>
      <c r="R1606" s="61"/>
      <c r="S1606" s="61"/>
      <c r="T1606" s="61"/>
      <c r="U1606" s="61"/>
      <c r="V1606" s="21"/>
    </row>
    <row r="1607" spans="1:22" s="30" customFormat="1" ht="24.6" hidden="1" outlineLevel="1" x14ac:dyDescent="0.55000000000000004">
      <c r="A1607" s="27" t="s">
        <v>327</v>
      </c>
      <c r="B1607" s="28"/>
      <c r="C1607" s="27"/>
      <c r="D1607" s="27" t="str">
        <f>"""NAV Direct"",""CRONUS JetCorp USA"",""21"",""1"",""97813"""</f>
        <v>"NAV Direct","CRONUS JetCorp USA","21","1","97813"</v>
      </c>
      <c r="E1607" s="31" t="str">
        <f t="shared" ref="E1607:E1624" si="473">E1605</f>
        <v>C100056</v>
      </c>
      <c r="F1607" s="31"/>
      <c r="G1607" s="31"/>
      <c r="H1607" s="31"/>
      <c r="I1607" s="56"/>
      <c r="J1607" s="56"/>
      <c r="K1607" s="82" t="str">
        <f t="shared" ref="K1607:K1623" si="474">"Invoice"</f>
        <v>Invoice</v>
      </c>
      <c r="L1607" s="83" t="str">
        <f>"SI_106475"</f>
        <v>SI_106475</v>
      </c>
      <c r="M1607" s="84">
        <v>42124</v>
      </c>
      <c r="N1607" s="85">
        <f t="shared" ref="N1607:N1624" si="475">StartDate-$M1607+1</f>
        <v>1688</v>
      </c>
      <c r="O1607" s="86">
        <f t="shared" ref="O1607:O1624" si="476">SUM(P1607:T1607)</f>
        <v>20463.810000000001</v>
      </c>
      <c r="P1607" s="86">
        <f t="shared" ref="P1607:P1624" si="477">IF($M1607&gt;=$P$18,U1607,0)</f>
        <v>0</v>
      </c>
      <c r="Q1607" s="86">
        <f t="shared" ref="Q1607:Q1624" si="478">IF(AND($M1607&gt;=$Q$16,$M1607&lt;=$Q$18),U1607,0)</f>
        <v>0</v>
      </c>
      <c r="R1607" s="86">
        <f t="shared" ref="R1607:R1624" si="479">IF(AND($M1607&gt;=$R$16,$M1607&lt;=$R$18),U1607,0)</f>
        <v>0</v>
      </c>
      <c r="S1607" s="86">
        <f t="shared" ref="S1607:S1624" si="480">IF(AND($M1607&gt;=$S$16,$M1607&lt;=$S$18),U1607,0)</f>
        <v>0</v>
      </c>
      <c r="T1607" s="86">
        <f t="shared" ref="T1607:T1624" si="481">IF($M1607&lt;=$T$18,U1607,0)</f>
        <v>20463.810000000001</v>
      </c>
      <c r="U1607" s="87">
        <v>20463.810000000001</v>
      </c>
    </row>
    <row r="1608" spans="1:22" s="30" customFormat="1" ht="24.6" hidden="1" outlineLevel="1" x14ac:dyDescent="0.55000000000000004">
      <c r="A1608" s="27" t="s">
        <v>327</v>
      </c>
      <c r="B1608" s="28"/>
      <c r="C1608" s="27"/>
      <c r="D1608" s="27" t="str">
        <f>"""NAV Direct"",""CRONUS JetCorp USA"",""21"",""1"",""98263"""</f>
        <v>"NAV Direct","CRONUS JetCorp USA","21","1","98263"</v>
      </c>
      <c r="E1608" s="31">
        <f t="shared" si="473"/>
        <v>0</v>
      </c>
      <c r="F1608" s="31"/>
      <c r="G1608" s="31"/>
      <c r="H1608" s="31"/>
      <c r="I1608" s="56"/>
      <c r="J1608" s="56"/>
      <c r="K1608" s="82" t="str">
        <f t="shared" si="474"/>
        <v>Invoice</v>
      </c>
      <c r="L1608" s="83" t="str">
        <f>"SI_106487"</f>
        <v>SI_106487</v>
      </c>
      <c r="M1608" s="84">
        <v>42308</v>
      </c>
      <c r="N1608" s="85">
        <f t="shared" si="475"/>
        <v>1504</v>
      </c>
      <c r="O1608" s="86">
        <f t="shared" si="476"/>
        <v>20133.91</v>
      </c>
      <c r="P1608" s="86">
        <f t="shared" si="477"/>
        <v>0</v>
      </c>
      <c r="Q1608" s="86">
        <f t="shared" si="478"/>
        <v>0</v>
      </c>
      <c r="R1608" s="86">
        <f t="shared" si="479"/>
        <v>0</v>
      </c>
      <c r="S1608" s="86">
        <f t="shared" si="480"/>
        <v>0</v>
      </c>
      <c r="T1608" s="86">
        <f t="shared" si="481"/>
        <v>20133.91</v>
      </c>
      <c r="U1608" s="87">
        <v>20133.91</v>
      </c>
    </row>
    <row r="1609" spans="1:22" s="30" customFormat="1" ht="24.6" hidden="1" outlineLevel="1" x14ac:dyDescent="0.55000000000000004">
      <c r="A1609" s="27" t="s">
        <v>327</v>
      </c>
      <c r="B1609" s="28"/>
      <c r="C1609" s="27"/>
      <c r="D1609" s="27" t="str">
        <f>"""NAV Direct"",""CRONUS JetCorp USA"",""21"",""1"",""377415"""</f>
        <v>"NAV Direct","CRONUS JetCorp USA","21","1","377415"</v>
      </c>
      <c r="E1609" s="31" t="str">
        <f t="shared" si="473"/>
        <v>C100056</v>
      </c>
      <c r="F1609" s="31"/>
      <c r="G1609" s="31"/>
      <c r="H1609" s="31"/>
      <c r="I1609" s="56"/>
      <c r="J1609" s="56"/>
      <c r="K1609" s="82" t="str">
        <f t="shared" si="474"/>
        <v>Invoice</v>
      </c>
      <c r="L1609" s="83" t="str">
        <f>"SI_111735"</f>
        <v>SI_111735</v>
      </c>
      <c r="M1609" s="84">
        <v>42551</v>
      </c>
      <c r="N1609" s="85">
        <f t="shared" si="475"/>
        <v>1261</v>
      </c>
      <c r="O1609" s="86">
        <f t="shared" si="476"/>
        <v>14248.62</v>
      </c>
      <c r="P1609" s="86">
        <f t="shared" si="477"/>
        <v>0</v>
      </c>
      <c r="Q1609" s="86">
        <f t="shared" si="478"/>
        <v>0</v>
      </c>
      <c r="R1609" s="86">
        <f t="shared" si="479"/>
        <v>0</v>
      </c>
      <c r="S1609" s="86">
        <f t="shared" si="480"/>
        <v>0</v>
      </c>
      <c r="T1609" s="86">
        <f t="shared" si="481"/>
        <v>14248.62</v>
      </c>
      <c r="U1609" s="87">
        <v>14248.62</v>
      </c>
    </row>
    <row r="1610" spans="1:22" s="30" customFormat="1" ht="24.6" hidden="1" outlineLevel="1" x14ac:dyDescent="0.55000000000000004">
      <c r="A1610" s="27" t="s">
        <v>327</v>
      </c>
      <c r="B1610" s="28"/>
      <c r="C1610" s="27"/>
      <c r="D1610" s="27" t="str">
        <f>"""NAV Direct"",""CRONUS JetCorp USA"",""21"",""1"",""377495"""</f>
        <v>"NAV Direct","CRONUS JetCorp USA","21","1","377495"</v>
      </c>
      <c r="E1610" s="31">
        <f t="shared" si="473"/>
        <v>0</v>
      </c>
      <c r="F1610" s="31"/>
      <c r="G1610" s="31"/>
      <c r="H1610" s="31"/>
      <c r="I1610" s="56"/>
      <c r="J1610" s="56"/>
      <c r="K1610" s="82" t="str">
        <f t="shared" si="474"/>
        <v>Invoice</v>
      </c>
      <c r="L1610" s="83" t="str">
        <f>"SI_111737"</f>
        <v>SI_111737</v>
      </c>
      <c r="M1610" s="84">
        <v>42582</v>
      </c>
      <c r="N1610" s="85">
        <f t="shared" si="475"/>
        <v>1230</v>
      </c>
      <c r="O1610" s="86">
        <f t="shared" si="476"/>
        <v>12552.35</v>
      </c>
      <c r="P1610" s="86">
        <f t="shared" si="477"/>
        <v>0</v>
      </c>
      <c r="Q1610" s="86">
        <f t="shared" si="478"/>
        <v>0</v>
      </c>
      <c r="R1610" s="86">
        <f t="shared" si="479"/>
        <v>0</v>
      </c>
      <c r="S1610" s="86">
        <f t="shared" si="480"/>
        <v>0</v>
      </c>
      <c r="T1610" s="86">
        <f t="shared" si="481"/>
        <v>12552.35</v>
      </c>
      <c r="U1610" s="87">
        <v>12552.35</v>
      </c>
    </row>
    <row r="1611" spans="1:22" s="30" customFormat="1" ht="24.6" hidden="1" outlineLevel="1" x14ac:dyDescent="0.55000000000000004">
      <c r="A1611" s="27" t="s">
        <v>327</v>
      </c>
      <c r="B1611" s="28"/>
      <c r="C1611" s="27"/>
      <c r="D1611" s="27" t="str">
        <f>"""NAV Direct"",""CRONUS JetCorp USA"",""21"",""1"",""377727"""</f>
        <v>"NAV Direct","CRONUS JetCorp USA","21","1","377727"</v>
      </c>
      <c r="E1611" s="31" t="str">
        <f t="shared" si="473"/>
        <v>C100056</v>
      </c>
      <c r="F1611" s="31"/>
      <c r="G1611" s="31"/>
      <c r="H1611" s="31"/>
      <c r="I1611" s="56"/>
      <c r="J1611" s="56"/>
      <c r="K1611" s="82" t="str">
        <f t="shared" si="474"/>
        <v>Invoice</v>
      </c>
      <c r="L1611" s="83" t="str">
        <f>"SI_111745"</f>
        <v>SI_111745</v>
      </c>
      <c r="M1611" s="84">
        <v>42766</v>
      </c>
      <c r="N1611" s="85">
        <f t="shared" si="475"/>
        <v>1046</v>
      </c>
      <c r="O1611" s="86">
        <f t="shared" si="476"/>
        <v>13496.94</v>
      </c>
      <c r="P1611" s="86">
        <f t="shared" si="477"/>
        <v>0</v>
      </c>
      <c r="Q1611" s="86">
        <f t="shared" si="478"/>
        <v>0</v>
      </c>
      <c r="R1611" s="86">
        <f t="shared" si="479"/>
        <v>0</v>
      </c>
      <c r="S1611" s="86">
        <f t="shared" si="480"/>
        <v>0</v>
      </c>
      <c r="T1611" s="86">
        <f t="shared" si="481"/>
        <v>13496.94</v>
      </c>
      <c r="U1611" s="87">
        <v>13496.94</v>
      </c>
    </row>
    <row r="1612" spans="1:22" s="30" customFormat="1" ht="24.6" hidden="1" outlineLevel="1" x14ac:dyDescent="0.55000000000000004">
      <c r="A1612" s="27" t="s">
        <v>327</v>
      </c>
      <c r="B1612" s="28"/>
      <c r="C1612" s="27"/>
      <c r="D1612" s="27" t="str">
        <f>"""NAV Direct"",""CRONUS JetCorp USA"",""21"",""1"",""377815"""</f>
        <v>"NAV Direct","CRONUS JetCorp USA","21","1","377815"</v>
      </c>
      <c r="E1612" s="31">
        <f t="shared" si="473"/>
        <v>0</v>
      </c>
      <c r="F1612" s="31"/>
      <c r="G1612" s="31"/>
      <c r="H1612" s="31"/>
      <c r="I1612" s="56"/>
      <c r="J1612" s="56"/>
      <c r="K1612" s="82" t="str">
        <f t="shared" si="474"/>
        <v>Invoice</v>
      </c>
      <c r="L1612" s="83" t="str">
        <f>"SI_111749"</f>
        <v>SI_111749</v>
      </c>
      <c r="M1612" s="84">
        <v>42855</v>
      </c>
      <c r="N1612" s="85">
        <f t="shared" si="475"/>
        <v>957</v>
      </c>
      <c r="O1612" s="86">
        <f t="shared" si="476"/>
        <v>12374.550000000001</v>
      </c>
      <c r="P1612" s="86">
        <f t="shared" si="477"/>
        <v>0</v>
      </c>
      <c r="Q1612" s="86">
        <f t="shared" si="478"/>
        <v>0</v>
      </c>
      <c r="R1612" s="86">
        <f t="shared" si="479"/>
        <v>0</v>
      </c>
      <c r="S1612" s="86">
        <f t="shared" si="480"/>
        <v>0</v>
      </c>
      <c r="T1612" s="86">
        <f t="shared" si="481"/>
        <v>12374.550000000001</v>
      </c>
      <c r="U1612" s="87">
        <v>12374.550000000001</v>
      </c>
    </row>
    <row r="1613" spans="1:22" s="30" customFormat="1" ht="24.6" hidden="1" outlineLevel="1" x14ac:dyDescent="0.55000000000000004">
      <c r="A1613" s="27" t="s">
        <v>327</v>
      </c>
      <c r="B1613" s="28"/>
      <c r="C1613" s="27"/>
      <c r="D1613" s="27" t="str">
        <f>"""NAV Direct"",""CRONUS JetCorp USA"",""21"",""1"",""378067"""</f>
        <v>"NAV Direct","CRONUS JetCorp USA","21","1","378067"</v>
      </c>
      <c r="E1613" s="31" t="str">
        <f t="shared" si="473"/>
        <v>C100056</v>
      </c>
      <c r="F1613" s="31"/>
      <c r="G1613" s="31"/>
      <c r="H1613" s="31"/>
      <c r="I1613" s="56"/>
      <c r="J1613" s="56"/>
      <c r="K1613" s="82" t="str">
        <f t="shared" si="474"/>
        <v>Invoice</v>
      </c>
      <c r="L1613" s="83" t="str">
        <f>"SI_111757"</f>
        <v>SI_111757</v>
      </c>
      <c r="M1613" s="84">
        <v>42978</v>
      </c>
      <c r="N1613" s="85">
        <f t="shared" si="475"/>
        <v>834</v>
      </c>
      <c r="O1613" s="86">
        <f t="shared" si="476"/>
        <v>12509.77</v>
      </c>
      <c r="P1613" s="86">
        <f t="shared" si="477"/>
        <v>0</v>
      </c>
      <c r="Q1613" s="86">
        <f t="shared" si="478"/>
        <v>0</v>
      </c>
      <c r="R1613" s="86">
        <f t="shared" si="479"/>
        <v>0</v>
      </c>
      <c r="S1613" s="86">
        <f t="shared" si="480"/>
        <v>0</v>
      </c>
      <c r="T1613" s="86">
        <f t="shared" si="481"/>
        <v>12509.77</v>
      </c>
      <c r="U1613" s="87">
        <v>12509.77</v>
      </c>
    </row>
    <row r="1614" spans="1:22" s="30" customFormat="1" ht="24.6" hidden="1" outlineLevel="1" x14ac:dyDescent="0.55000000000000004">
      <c r="A1614" s="27" t="s">
        <v>327</v>
      </c>
      <c r="B1614" s="28"/>
      <c r="C1614" s="27"/>
      <c r="D1614" s="27" t="str">
        <f>"""NAV Direct"",""CRONUS JetCorp USA"",""21"",""1"",""378104"""</f>
        <v>"NAV Direct","CRONUS JetCorp USA","21","1","378104"</v>
      </c>
      <c r="E1614" s="31">
        <f t="shared" si="473"/>
        <v>0</v>
      </c>
      <c r="F1614" s="31"/>
      <c r="G1614" s="31"/>
      <c r="H1614" s="31"/>
      <c r="I1614" s="56"/>
      <c r="J1614" s="56"/>
      <c r="K1614" s="82" t="str">
        <f t="shared" si="474"/>
        <v>Invoice</v>
      </c>
      <c r="L1614" s="83" t="str">
        <f>"SI_111758"</f>
        <v>SI_111758</v>
      </c>
      <c r="M1614" s="84">
        <v>42978</v>
      </c>
      <c r="N1614" s="85">
        <f t="shared" si="475"/>
        <v>834</v>
      </c>
      <c r="O1614" s="86">
        <f t="shared" si="476"/>
        <v>12638.59</v>
      </c>
      <c r="P1614" s="86">
        <f t="shared" si="477"/>
        <v>0</v>
      </c>
      <c r="Q1614" s="86">
        <f t="shared" si="478"/>
        <v>0</v>
      </c>
      <c r="R1614" s="86">
        <f t="shared" si="479"/>
        <v>0</v>
      </c>
      <c r="S1614" s="86">
        <f t="shared" si="480"/>
        <v>0</v>
      </c>
      <c r="T1614" s="86">
        <f t="shared" si="481"/>
        <v>12638.59</v>
      </c>
      <c r="U1614" s="87">
        <v>12638.59</v>
      </c>
    </row>
    <row r="1615" spans="1:22" s="30" customFormat="1" ht="24.6" hidden="1" outlineLevel="1" x14ac:dyDescent="0.55000000000000004">
      <c r="A1615" s="27" t="s">
        <v>327</v>
      </c>
      <c r="B1615" s="28"/>
      <c r="C1615" s="27"/>
      <c r="D1615" s="27" t="str">
        <f>"""NAV Direct"",""CRONUS JetCorp USA"",""21"",""1"",""378518"""</f>
        <v>"NAV Direct","CRONUS JetCorp USA","21","1","378518"</v>
      </c>
      <c r="E1615" s="31" t="str">
        <f t="shared" si="473"/>
        <v>C100056</v>
      </c>
      <c r="F1615" s="31"/>
      <c r="G1615" s="31"/>
      <c r="H1615" s="31"/>
      <c r="I1615" s="56"/>
      <c r="J1615" s="56"/>
      <c r="K1615" s="82" t="str">
        <f t="shared" si="474"/>
        <v>Invoice</v>
      </c>
      <c r="L1615" s="83" t="str">
        <f>"SI_111770"</f>
        <v>SI_111770</v>
      </c>
      <c r="M1615" s="84">
        <v>43281</v>
      </c>
      <c r="N1615" s="85">
        <f t="shared" si="475"/>
        <v>531</v>
      </c>
      <c r="O1615" s="86">
        <f t="shared" si="476"/>
        <v>16679.059999999998</v>
      </c>
      <c r="P1615" s="86">
        <f t="shared" si="477"/>
        <v>0</v>
      </c>
      <c r="Q1615" s="86">
        <f t="shared" si="478"/>
        <v>0</v>
      </c>
      <c r="R1615" s="86">
        <f t="shared" si="479"/>
        <v>0</v>
      </c>
      <c r="S1615" s="86">
        <f t="shared" si="480"/>
        <v>0</v>
      </c>
      <c r="T1615" s="86">
        <f t="shared" si="481"/>
        <v>16679.059999999998</v>
      </c>
      <c r="U1615" s="87">
        <v>16679.059999999998</v>
      </c>
    </row>
    <row r="1616" spans="1:22" s="30" customFormat="1" ht="24.6" hidden="1" outlineLevel="1" x14ac:dyDescent="0.55000000000000004">
      <c r="A1616" s="27" t="s">
        <v>327</v>
      </c>
      <c r="B1616" s="28"/>
      <c r="C1616" s="27"/>
      <c r="D1616" s="27" t="str">
        <f>"""NAV Direct"",""CRONUS JetCorp USA"",""21"",""1"",""378588"""</f>
        <v>"NAV Direct","CRONUS JetCorp USA","21","1","378588"</v>
      </c>
      <c r="E1616" s="31">
        <f t="shared" si="473"/>
        <v>0</v>
      </c>
      <c r="F1616" s="31"/>
      <c r="G1616" s="31"/>
      <c r="H1616" s="31"/>
      <c r="I1616" s="56"/>
      <c r="J1616" s="56"/>
      <c r="K1616" s="82" t="str">
        <f t="shared" si="474"/>
        <v>Invoice</v>
      </c>
      <c r="L1616" s="83" t="str">
        <f>"SI_111772"</f>
        <v>SI_111772</v>
      </c>
      <c r="M1616" s="84">
        <v>43343</v>
      </c>
      <c r="N1616" s="85">
        <f t="shared" si="475"/>
        <v>469</v>
      </c>
      <c r="O1616" s="86">
        <f t="shared" si="476"/>
        <v>14259.720000000001</v>
      </c>
      <c r="P1616" s="86">
        <f t="shared" si="477"/>
        <v>0</v>
      </c>
      <c r="Q1616" s="86">
        <f t="shared" si="478"/>
        <v>0</v>
      </c>
      <c r="R1616" s="86">
        <f t="shared" si="479"/>
        <v>0</v>
      </c>
      <c r="S1616" s="86">
        <f t="shared" si="480"/>
        <v>0</v>
      </c>
      <c r="T1616" s="86">
        <f t="shared" si="481"/>
        <v>14259.720000000001</v>
      </c>
      <c r="U1616" s="87">
        <v>14259.720000000001</v>
      </c>
    </row>
    <row r="1617" spans="1:22" s="30" customFormat="1" ht="24.6" hidden="1" outlineLevel="1" x14ac:dyDescent="0.55000000000000004">
      <c r="A1617" s="27" t="s">
        <v>327</v>
      </c>
      <c r="B1617" s="28"/>
      <c r="C1617" s="27"/>
      <c r="D1617" s="27" t="str">
        <f>"""NAV Direct"",""CRONUS JetCorp USA"",""21"",""1"",""378737"""</f>
        <v>"NAV Direct","CRONUS JetCorp USA","21","1","378737"</v>
      </c>
      <c r="E1617" s="31" t="str">
        <f t="shared" si="473"/>
        <v>C100056</v>
      </c>
      <c r="F1617" s="31"/>
      <c r="G1617" s="31"/>
      <c r="H1617" s="31"/>
      <c r="I1617" s="56"/>
      <c r="J1617" s="56"/>
      <c r="K1617" s="82" t="str">
        <f t="shared" si="474"/>
        <v>Invoice</v>
      </c>
      <c r="L1617" s="83" t="str">
        <f>"SI_111777"</f>
        <v>SI_111777</v>
      </c>
      <c r="M1617" s="84">
        <v>43404</v>
      </c>
      <c r="N1617" s="85">
        <f t="shared" si="475"/>
        <v>408</v>
      </c>
      <c r="O1617" s="86">
        <f t="shared" si="476"/>
        <v>14147.099999999999</v>
      </c>
      <c r="P1617" s="86">
        <f t="shared" si="477"/>
        <v>0</v>
      </c>
      <c r="Q1617" s="86">
        <f t="shared" si="478"/>
        <v>0</v>
      </c>
      <c r="R1617" s="86">
        <f t="shared" si="479"/>
        <v>0</v>
      </c>
      <c r="S1617" s="86">
        <f t="shared" si="480"/>
        <v>0</v>
      </c>
      <c r="T1617" s="86">
        <f t="shared" si="481"/>
        <v>14147.099999999999</v>
      </c>
      <c r="U1617" s="87">
        <v>14147.099999999999</v>
      </c>
    </row>
    <row r="1618" spans="1:22" s="30" customFormat="1" ht="24.6" hidden="1" outlineLevel="1" x14ac:dyDescent="0.55000000000000004">
      <c r="A1618" s="27" t="s">
        <v>327</v>
      </c>
      <c r="B1618" s="28"/>
      <c r="C1618" s="27"/>
      <c r="D1618" s="27" t="str">
        <f>"""NAV Direct"",""CRONUS JetCorp USA"",""21"",""1"",""379355"""</f>
        <v>"NAV Direct","CRONUS JetCorp USA","21","1","379355"</v>
      </c>
      <c r="E1618" s="31">
        <f t="shared" si="473"/>
        <v>0</v>
      </c>
      <c r="F1618" s="31"/>
      <c r="G1618" s="31"/>
      <c r="H1618" s="31"/>
      <c r="I1618" s="56"/>
      <c r="J1618" s="56"/>
      <c r="K1618" s="82" t="str">
        <f t="shared" si="474"/>
        <v>Invoice</v>
      </c>
      <c r="L1618" s="83" t="str">
        <f>"SI_111793"</f>
        <v>SI_111793</v>
      </c>
      <c r="M1618" s="84">
        <v>43677</v>
      </c>
      <c r="N1618" s="85">
        <f t="shared" si="475"/>
        <v>135</v>
      </c>
      <c r="O1618" s="86">
        <f t="shared" si="476"/>
        <v>20628.52</v>
      </c>
      <c r="P1618" s="86">
        <f t="shared" si="477"/>
        <v>0</v>
      </c>
      <c r="Q1618" s="86">
        <f t="shared" si="478"/>
        <v>0</v>
      </c>
      <c r="R1618" s="86">
        <f t="shared" si="479"/>
        <v>0</v>
      </c>
      <c r="S1618" s="86">
        <f t="shared" si="480"/>
        <v>0</v>
      </c>
      <c r="T1618" s="86">
        <f t="shared" si="481"/>
        <v>20628.52</v>
      </c>
      <c r="U1618" s="87">
        <v>20628.52</v>
      </c>
    </row>
    <row r="1619" spans="1:22" s="30" customFormat="1" ht="24.6" hidden="1" outlineLevel="1" x14ac:dyDescent="0.55000000000000004">
      <c r="A1619" s="27" t="s">
        <v>327</v>
      </c>
      <c r="B1619" s="28"/>
      <c r="C1619" s="27"/>
      <c r="D1619" s="27" t="str">
        <f>"""NAV Direct"",""CRONUS JetCorp USA"",""21"",""1"",""379390"""</f>
        <v>"NAV Direct","CRONUS JetCorp USA","21","1","379390"</v>
      </c>
      <c r="E1619" s="31" t="str">
        <f t="shared" si="473"/>
        <v>C100056</v>
      </c>
      <c r="F1619" s="31"/>
      <c r="G1619" s="31"/>
      <c r="H1619" s="31"/>
      <c r="I1619" s="56"/>
      <c r="J1619" s="56"/>
      <c r="K1619" s="82" t="str">
        <f t="shared" si="474"/>
        <v>Invoice</v>
      </c>
      <c r="L1619" s="83" t="str">
        <f>"SI_111794"</f>
        <v>SI_111794</v>
      </c>
      <c r="M1619" s="84">
        <v>43677</v>
      </c>
      <c r="N1619" s="85">
        <f t="shared" si="475"/>
        <v>135</v>
      </c>
      <c r="O1619" s="86">
        <f t="shared" si="476"/>
        <v>18222.399999999998</v>
      </c>
      <c r="P1619" s="86">
        <f t="shared" si="477"/>
        <v>0</v>
      </c>
      <c r="Q1619" s="86">
        <f t="shared" si="478"/>
        <v>0</v>
      </c>
      <c r="R1619" s="86">
        <f t="shared" si="479"/>
        <v>0</v>
      </c>
      <c r="S1619" s="86">
        <f t="shared" si="480"/>
        <v>0</v>
      </c>
      <c r="T1619" s="86">
        <f t="shared" si="481"/>
        <v>18222.399999999998</v>
      </c>
      <c r="U1619" s="87">
        <v>18222.399999999998</v>
      </c>
    </row>
    <row r="1620" spans="1:22" s="30" customFormat="1" ht="24.6" hidden="1" outlineLevel="1" x14ac:dyDescent="0.55000000000000004">
      <c r="A1620" s="27" t="s">
        <v>327</v>
      </c>
      <c r="B1620" s="28"/>
      <c r="C1620" s="27"/>
      <c r="D1620" s="27" t="str">
        <f>"""NAV Direct"",""CRONUS JetCorp USA"",""21"",""1"",""379811"""</f>
        <v>"NAV Direct","CRONUS JetCorp USA","21","1","379811"</v>
      </c>
      <c r="E1620" s="31">
        <f t="shared" si="473"/>
        <v>0</v>
      </c>
      <c r="F1620" s="31"/>
      <c r="G1620" s="31"/>
      <c r="H1620" s="31"/>
      <c r="I1620" s="56"/>
      <c r="J1620" s="56"/>
      <c r="K1620" s="82" t="str">
        <f t="shared" si="474"/>
        <v>Invoice</v>
      </c>
      <c r="L1620" s="83" t="str">
        <f>"SI_111805"</f>
        <v>SI_111805</v>
      </c>
      <c r="M1620" s="84">
        <v>42063</v>
      </c>
      <c r="N1620" s="85">
        <f t="shared" si="475"/>
        <v>1749</v>
      </c>
      <c r="O1620" s="86">
        <f t="shared" si="476"/>
        <v>20631.009999999998</v>
      </c>
      <c r="P1620" s="86">
        <f t="shared" si="477"/>
        <v>0</v>
      </c>
      <c r="Q1620" s="86">
        <f t="shared" si="478"/>
        <v>0</v>
      </c>
      <c r="R1620" s="86">
        <f t="shared" si="479"/>
        <v>0</v>
      </c>
      <c r="S1620" s="86">
        <f t="shared" si="480"/>
        <v>0</v>
      </c>
      <c r="T1620" s="86">
        <f t="shared" si="481"/>
        <v>20631.009999999998</v>
      </c>
      <c r="U1620" s="87">
        <v>20631.009999999998</v>
      </c>
    </row>
    <row r="1621" spans="1:22" s="30" customFormat="1" ht="24.6" hidden="1" outlineLevel="1" x14ac:dyDescent="0.55000000000000004">
      <c r="A1621" s="27" t="s">
        <v>327</v>
      </c>
      <c r="B1621" s="28"/>
      <c r="C1621" s="27"/>
      <c r="D1621" s="27" t="str">
        <f>"""NAV Direct"",""CRONUS JetCorp USA"",""21"",""1"",""379914"""</f>
        <v>"NAV Direct","CRONUS JetCorp USA","21","1","379914"</v>
      </c>
      <c r="E1621" s="31" t="str">
        <f t="shared" si="473"/>
        <v>C100056</v>
      </c>
      <c r="F1621" s="31"/>
      <c r="G1621" s="31"/>
      <c r="H1621" s="31"/>
      <c r="I1621" s="56"/>
      <c r="J1621" s="56"/>
      <c r="K1621" s="82" t="str">
        <f t="shared" si="474"/>
        <v>Invoice</v>
      </c>
      <c r="L1621" s="83" t="str">
        <f>"SI_111808"</f>
        <v>SI_111808</v>
      </c>
      <c r="M1621" s="84">
        <v>42094</v>
      </c>
      <c r="N1621" s="85">
        <f t="shared" si="475"/>
        <v>1718</v>
      </c>
      <c r="O1621" s="86">
        <f t="shared" si="476"/>
        <v>18774.05</v>
      </c>
      <c r="P1621" s="86">
        <f t="shared" si="477"/>
        <v>0</v>
      </c>
      <c r="Q1621" s="86">
        <f t="shared" si="478"/>
        <v>0</v>
      </c>
      <c r="R1621" s="86">
        <f t="shared" si="479"/>
        <v>0</v>
      </c>
      <c r="S1621" s="86">
        <f t="shared" si="480"/>
        <v>0</v>
      </c>
      <c r="T1621" s="86">
        <f t="shared" si="481"/>
        <v>18774.05</v>
      </c>
      <c r="U1621" s="87">
        <v>18774.05</v>
      </c>
    </row>
    <row r="1622" spans="1:22" s="30" customFormat="1" ht="24.6" hidden="1" outlineLevel="1" x14ac:dyDescent="0.55000000000000004">
      <c r="A1622" s="27" t="s">
        <v>327</v>
      </c>
      <c r="B1622" s="28"/>
      <c r="C1622" s="27"/>
      <c r="D1622" s="27" t="str">
        <f>"""NAV Direct"",""CRONUS JetCorp USA"",""21"",""1"",""380031"""</f>
        <v>"NAV Direct","CRONUS JetCorp USA","21","1","380031"</v>
      </c>
      <c r="E1622" s="31">
        <f t="shared" si="473"/>
        <v>0</v>
      </c>
      <c r="F1622" s="31"/>
      <c r="G1622" s="31"/>
      <c r="H1622" s="31"/>
      <c r="I1622" s="56"/>
      <c r="J1622" s="56"/>
      <c r="K1622" s="82" t="str">
        <f t="shared" si="474"/>
        <v>Invoice</v>
      </c>
      <c r="L1622" s="83" t="str">
        <f>"SI_111811"</f>
        <v>SI_111811</v>
      </c>
      <c r="M1622" s="84">
        <v>42155</v>
      </c>
      <c r="N1622" s="85">
        <f t="shared" si="475"/>
        <v>1657</v>
      </c>
      <c r="O1622" s="86">
        <f t="shared" si="476"/>
        <v>22167.47</v>
      </c>
      <c r="P1622" s="86">
        <f t="shared" si="477"/>
        <v>0</v>
      </c>
      <c r="Q1622" s="86">
        <f t="shared" si="478"/>
        <v>0</v>
      </c>
      <c r="R1622" s="86">
        <f t="shared" si="479"/>
        <v>0</v>
      </c>
      <c r="S1622" s="86">
        <f t="shared" si="480"/>
        <v>0</v>
      </c>
      <c r="T1622" s="86">
        <f t="shared" si="481"/>
        <v>22167.47</v>
      </c>
      <c r="U1622" s="87">
        <v>22167.47</v>
      </c>
    </row>
    <row r="1623" spans="1:22" s="30" customFormat="1" ht="24.6" hidden="1" outlineLevel="1" x14ac:dyDescent="0.55000000000000004">
      <c r="A1623" s="27" t="s">
        <v>327</v>
      </c>
      <c r="B1623" s="28"/>
      <c r="C1623" s="27"/>
      <c r="D1623" s="27" t="str">
        <f>"""NAV Direct"",""CRONUS JetCorp USA"",""21"",""1"",""380072"""</f>
        <v>"NAV Direct","CRONUS JetCorp USA","21","1","380072"</v>
      </c>
      <c r="E1623" s="31" t="str">
        <f t="shared" si="473"/>
        <v>C100056</v>
      </c>
      <c r="F1623" s="31"/>
      <c r="G1623" s="31"/>
      <c r="H1623" s="31"/>
      <c r="I1623" s="56"/>
      <c r="J1623" s="56"/>
      <c r="K1623" s="82" t="str">
        <f t="shared" si="474"/>
        <v>Invoice</v>
      </c>
      <c r="L1623" s="83" t="str">
        <f>"SI_111812"</f>
        <v>SI_111812</v>
      </c>
      <c r="M1623" s="84">
        <v>42155</v>
      </c>
      <c r="N1623" s="85">
        <f t="shared" si="475"/>
        <v>1657</v>
      </c>
      <c r="O1623" s="86">
        <f t="shared" si="476"/>
        <v>22168.940000000002</v>
      </c>
      <c r="P1623" s="86">
        <f t="shared" si="477"/>
        <v>0</v>
      </c>
      <c r="Q1623" s="86">
        <f t="shared" si="478"/>
        <v>0</v>
      </c>
      <c r="R1623" s="86">
        <f t="shared" si="479"/>
        <v>0</v>
      </c>
      <c r="S1623" s="86">
        <f t="shared" si="480"/>
        <v>0</v>
      </c>
      <c r="T1623" s="86">
        <f t="shared" si="481"/>
        <v>22168.940000000002</v>
      </c>
      <c r="U1623" s="87">
        <v>22168.940000000002</v>
      </c>
    </row>
    <row r="1624" spans="1:22" s="30" customFormat="1" ht="24.6" hidden="1" outlineLevel="1" x14ac:dyDescent="0.55000000000000004">
      <c r="A1624" s="27" t="s">
        <v>327</v>
      </c>
      <c r="B1624" s="28"/>
      <c r="C1624" s="27"/>
      <c r="D1624" s="27" t="str">
        <f>"""NAV Direct"",""CRONUS JetCorp USA"",""21"",""1"",""437943"""</f>
        <v>"NAV Direct","CRONUS JetCorp USA","21","1","437943"</v>
      </c>
      <c r="E1624" s="31">
        <f t="shared" si="473"/>
        <v>0</v>
      </c>
      <c r="F1624" s="31"/>
      <c r="G1624" s="31"/>
      <c r="H1624" s="31"/>
      <c r="I1624" s="56"/>
      <c r="J1624" s="56"/>
      <c r="K1624" s="82" t="str">
        <f>"Credit Memo"</f>
        <v>Credit Memo</v>
      </c>
      <c r="L1624" s="83" t="str">
        <f>"SC_100781"</f>
        <v>SC_100781</v>
      </c>
      <c r="M1624" s="84">
        <v>42550</v>
      </c>
      <c r="N1624" s="85">
        <f t="shared" si="475"/>
        <v>1262</v>
      </c>
      <c r="O1624" s="86">
        <f t="shared" si="476"/>
        <v>-139.11000000000001</v>
      </c>
      <c r="P1624" s="86">
        <f t="shared" si="477"/>
        <v>0</v>
      </c>
      <c r="Q1624" s="86">
        <f t="shared" si="478"/>
        <v>0</v>
      </c>
      <c r="R1624" s="86">
        <f t="shared" si="479"/>
        <v>0</v>
      </c>
      <c r="S1624" s="86">
        <f t="shared" si="480"/>
        <v>0</v>
      </c>
      <c r="T1624" s="86">
        <f t="shared" si="481"/>
        <v>-139.11000000000001</v>
      </c>
      <c r="U1624" s="87">
        <v>-139.11000000000001</v>
      </c>
    </row>
    <row r="1625" spans="1:22" s="22" customFormat="1" ht="20.399999999999999" collapsed="1" x14ac:dyDescent="0.45">
      <c r="A1625" s="12" t="s">
        <v>327</v>
      </c>
      <c r="B1625" s="19"/>
      <c r="C1625" s="12"/>
      <c r="D1625" s="12"/>
      <c r="E1625" s="23"/>
      <c r="F1625" s="23"/>
      <c r="G1625" s="23"/>
      <c r="H1625" s="23"/>
      <c r="I1625" s="49"/>
      <c r="J1625" s="88"/>
      <c r="K1625" s="88"/>
      <c r="L1625" s="89"/>
      <c r="M1625" s="89"/>
      <c r="N1625" s="89"/>
      <c r="O1625" s="89"/>
      <c r="P1625" s="89"/>
      <c r="Q1625" s="90"/>
      <c r="R1625" s="90"/>
      <c r="S1625" s="91"/>
      <c r="T1625" s="92"/>
      <c r="U1625" s="92"/>
    </row>
    <row r="1626" spans="1:22" s="22" customFormat="1" ht="20.399999999999999" x14ac:dyDescent="0.45">
      <c r="A1626" s="12" t="s">
        <v>327</v>
      </c>
      <c r="B1626" s="19"/>
      <c r="C1626" s="12"/>
      <c r="D1626" s="12"/>
      <c r="E1626" s="23"/>
      <c r="F1626" s="23"/>
      <c r="G1626" s="23"/>
      <c r="H1626" s="23"/>
      <c r="I1626" s="49"/>
      <c r="J1626" s="88"/>
      <c r="K1626" s="88"/>
      <c r="L1626" s="89"/>
      <c r="M1626" s="89"/>
      <c r="N1626" s="89"/>
      <c r="O1626" s="89"/>
      <c r="P1626" s="89"/>
      <c r="Q1626" s="90"/>
      <c r="R1626" s="90"/>
      <c r="S1626" s="91"/>
      <c r="T1626" s="92"/>
      <c r="U1626" s="92"/>
    </row>
    <row r="1627" spans="1:22" s="26" customFormat="1" ht="24.6" x14ac:dyDescent="0.55000000000000004">
      <c r="A1627" s="27" t="s">
        <v>327</v>
      </c>
      <c r="B1627" s="28"/>
      <c r="C1627" s="27" t="str">
        <f>"""NAV Direct"",""CRONUS JetCorp USA"",""18"",""1"",""C100058"""</f>
        <v>"NAV Direct","CRONUS JetCorp USA","18","1","C100058"</v>
      </c>
      <c r="D1627" s="27"/>
      <c r="E1627" s="28" t="str">
        <f>H1627</f>
        <v>C100058</v>
      </c>
      <c r="F1627" s="28"/>
      <c r="G1627" s="28"/>
      <c r="H1627" s="28" t="str">
        <f>"C100058"</f>
        <v>C100058</v>
      </c>
      <c r="I1627" s="116" t="str">
        <f>"C100058  -  Marsholm Karmstol"</f>
        <v>C100058  -  Marsholm Karmstol</v>
      </c>
      <c r="J1627" s="117" t="str">
        <f>""</f>
        <v/>
      </c>
      <c r="K1627" s="118"/>
      <c r="L1627" s="119">
        <f>SUBTOTAL(3,L1628:L1645)</f>
        <v>14</v>
      </c>
      <c r="M1627" s="118"/>
      <c r="N1627" s="118"/>
      <c r="O1627" s="120">
        <f t="shared" ref="O1627:T1627" si="482">SUBTOTAL(9,O1628:O1645)</f>
        <v>77589.660000000018</v>
      </c>
      <c r="P1627" s="120">
        <f t="shared" si="482"/>
        <v>0</v>
      </c>
      <c r="Q1627" s="120">
        <f t="shared" si="482"/>
        <v>0</v>
      </c>
      <c r="R1627" s="120">
        <f t="shared" si="482"/>
        <v>0</v>
      </c>
      <c r="S1627" s="120">
        <f t="shared" si="482"/>
        <v>0</v>
      </c>
      <c r="T1627" s="120">
        <f t="shared" si="482"/>
        <v>77589.660000000018</v>
      </c>
      <c r="U1627" s="81"/>
    </row>
    <row r="1628" spans="1:22" s="26" customFormat="1" ht="24.6" x14ac:dyDescent="0.55000000000000004">
      <c r="A1628" s="27" t="s">
        <v>327</v>
      </c>
      <c r="B1628" s="28"/>
      <c r="C1628" s="27" t="str">
        <f>C1627</f>
        <v>"NAV Direct","CRONUS JetCorp USA","18","1","C100058"</v>
      </c>
      <c r="D1628" s="27"/>
      <c r="E1628" s="28" t="str">
        <f>E1627</f>
        <v>C100058</v>
      </c>
      <c r="F1628" s="28"/>
      <c r="G1628" s="28"/>
      <c r="H1628" s="28"/>
      <c r="I1628" s="121" t="str">
        <f>"Contact: Matthias von Schellendorff"</f>
        <v>Contact: Matthias von Schellendorff</v>
      </c>
      <c r="J1628" s="121"/>
      <c r="K1628" s="122"/>
      <c r="L1628" s="123"/>
      <c r="M1628" s="123"/>
      <c r="N1628" s="124"/>
      <c r="O1628" s="124"/>
      <c r="P1628" s="123"/>
      <c r="Q1628" s="125"/>
      <c r="R1628" s="126"/>
      <c r="S1628" s="126"/>
      <c r="T1628" s="125"/>
      <c r="U1628" s="81"/>
    </row>
    <row r="1629" spans="1:22" s="26" customFormat="1" ht="24.6" x14ac:dyDescent="0.55000000000000004">
      <c r="A1629" s="27" t="s">
        <v>327</v>
      </c>
      <c r="B1629" s="28"/>
      <c r="C1629" s="27" t="str">
        <f>C1628</f>
        <v>"NAV Direct","CRONUS JetCorp USA","18","1","C100058"</v>
      </c>
      <c r="D1629" s="27"/>
      <c r="E1629" s="28" t="str">
        <f>E1628</f>
        <v>C100058</v>
      </c>
      <c r="F1629" s="28"/>
      <c r="G1629" s="28"/>
      <c r="H1629" s="28"/>
      <c r="I1629" s="121" t="str">
        <f>"marsholm.karmstol@cronuscorp.net"</f>
        <v>marsholm.karmstol@cronuscorp.net</v>
      </c>
      <c r="J1629" s="121"/>
      <c r="K1629" s="122"/>
      <c r="L1629" s="124"/>
      <c r="M1629" s="124"/>
      <c r="N1629" s="124"/>
      <c r="O1629" s="124"/>
      <c r="P1629" s="123"/>
      <c r="Q1629" s="125"/>
      <c r="R1629" s="126"/>
      <c r="S1629" s="126"/>
      <c r="T1629" s="125"/>
      <c r="U1629" s="81"/>
    </row>
    <row r="1630" spans="1:22" ht="12.75" hidden="1" customHeight="1" outlineLevel="1" x14ac:dyDescent="0.45">
      <c r="A1630" s="12" t="s">
        <v>328</v>
      </c>
      <c r="B1630" s="19"/>
      <c r="E1630" s="19"/>
      <c r="F1630" s="19"/>
      <c r="G1630" s="19"/>
      <c r="H1630" s="19"/>
      <c r="I1630" s="61"/>
      <c r="J1630" s="61"/>
      <c r="K1630" s="61"/>
      <c r="L1630" s="61"/>
      <c r="M1630" s="61"/>
      <c r="N1630" s="61"/>
      <c r="O1630" s="61"/>
      <c r="P1630" s="61"/>
      <c r="Q1630" s="61"/>
      <c r="R1630" s="61"/>
      <c r="S1630" s="61"/>
      <c r="T1630" s="61"/>
      <c r="U1630" s="61"/>
      <c r="V1630" s="21"/>
    </row>
    <row r="1631" spans="1:22" s="30" customFormat="1" ht="24.6" hidden="1" outlineLevel="1" x14ac:dyDescent="0.55000000000000004">
      <c r="A1631" s="27" t="s">
        <v>327</v>
      </c>
      <c r="B1631" s="28"/>
      <c r="C1631" s="27"/>
      <c r="D1631" s="27" t="str">
        <f>"""NAV Direct"",""CRONUS JetCorp USA"",""21"",""1"",""190911"""</f>
        <v>"NAV Direct","CRONUS JetCorp USA","21","1","190911"</v>
      </c>
      <c r="E1631" s="31" t="str">
        <f t="shared" ref="E1631:E1644" si="483">E1629</f>
        <v>C100058</v>
      </c>
      <c r="F1631" s="31"/>
      <c r="G1631" s="31"/>
      <c r="H1631" s="31"/>
      <c r="I1631" s="56"/>
      <c r="J1631" s="56"/>
      <c r="K1631" s="82" t="str">
        <f t="shared" ref="K1631:K1640" si="484">"Invoice"</f>
        <v>Invoice</v>
      </c>
      <c r="L1631" s="83" t="str">
        <f>"SI_108028"</f>
        <v>SI_108028</v>
      </c>
      <c r="M1631" s="84">
        <v>42074</v>
      </c>
      <c r="N1631" s="85">
        <f t="shared" ref="N1631:N1644" si="485">StartDate-$M1631+1</f>
        <v>1738</v>
      </c>
      <c r="O1631" s="86">
        <f t="shared" ref="O1631:O1644" si="486">SUM(P1631:T1631)</f>
        <v>7651.7000000000007</v>
      </c>
      <c r="P1631" s="86">
        <f t="shared" ref="P1631:P1644" si="487">IF($M1631&gt;=$P$18,U1631,0)</f>
        <v>0</v>
      </c>
      <c r="Q1631" s="86">
        <f t="shared" ref="Q1631:Q1644" si="488">IF(AND($M1631&gt;=$Q$16,$M1631&lt;=$Q$18),U1631,0)</f>
        <v>0</v>
      </c>
      <c r="R1631" s="86">
        <f t="shared" ref="R1631:R1644" si="489">IF(AND($M1631&gt;=$R$16,$M1631&lt;=$R$18),U1631,0)</f>
        <v>0</v>
      </c>
      <c r="S1631" s="86">
        <f t="shared" ref="S1631:S1644" si="490">IF(AND($M1631&gt;=$S$16,$M1631&lt;=$S$18),U1631,0)</f>
        <v>0</v>
      </c>
      <c r="T1631" s="86">
        <f t="shared" ref="T1631:T1644" si="491">IF($M1631&lt;=$T$18,U1631,0)</f>
        <v>7651.7000000000007</v>
      </c>
      <c r="U1631" s="87">
        <v>7651.7000000000007</v>
      </c>
    </row>
    <row r="1632" spans="1:22" s="30" customFormat="1" ht="24.6" hidden="1" outlineLevel="1" x14ac:dyDescent="0.55000000000000004">
      <c r="A1632" s="27" t="s">
        <v>327</v>
      </c>
      <c r="B1632" s="28"/>
      <c r="C1632" s="27"/>
      <c r="D1632" s="27" t="str">
        <f>"""NAV Direct"",""CRONUS JetCorp USA"",""21"",""1"",""191133"""</f>
        <v>"NAV Direct","CRONUS JetCorp USA","21","1","191133"</v>
      </c>
      <c r="E1632" s="31">
        <f t="shared" si="483"/>
        <v>0</v>
      </c>
      <c r="F1632" s="31"/>
      <c r="G1632" s="31"/>
      <c r="H1632" s="31"/>
      <c r="I1632" s="56"/>
      <c r="J1632" s="56"/>
      <c r="K1632" s="82" t="str">
        <f t="shared" si="484"/>
        <v>Invoice</v>
      </c>
      <c r="L1632" s="83" t="str">
        <f>"SI_108032"</f>
        <v>SI_108032</v>
      </c>
      <c r="M1632" s="84">
        <v>42097</v>
      </c>
      <c r="N1632" s="85">
        <f t="shared" si="485"/>
        <v>1715</v>
      </c>
      <c r="O1632" s="86">
        <f t="shared" si="486"/>
        <v>7674.46</v>
      </c>
      <c r="P1632" s="86">
        <f t="shared" si="487"/>
        <v>0</v>
      </c>
      <c r="Q1632" s="86">
        <f t="shared" si="488"/>
        <v>0</v>
      </c>
      <c r="R1632" s="86">
        <f t="shared" si="489"/>
        <v>0</v>
      </c>
      <c r="S1632" s="86">
        <f t="shared" si="490"/>
        <v>0</v>
      </c>
      <c r="T1632" s="86">
        <f t="shared" si="491"/>
        <v>7674.46</v>
      </c>
      <c r="U1632" s="87">
        <v>7674.46</v>
      </c>
    </row>
    <row r="1633" spans="1:21" s="30" customFormat="1" ht="24.6" hidden="1" outlineLevel="1" x14ac:dyDescent="0.55000000000000004">
      <c r="A1633" s="27" t="s">
        <v>327</v>
      </c>
      <c r="B1633" s="28"/>
      <c r="C1633" s="27"/>
      <c r="D1633" s="27" t="str">
        <f>"""NAV Direct"",""CRONUS JetCorp USA"",""21"",""1"",""191300"""</f>
        <v>"NAV Direct","CRONUS JetCorp USA","21","1","191300"</v>
      </c>
      <c r="E1633" s="31" t="str">
        <f t="shared" si="483"/>
        <v>C100058</v>
      </c>
      <c r="F1633" s="31"/>
      <c r="G1633" s="31"/>
      <c r="H1633" s="31"/>
      <c r="I1633" s="56"/>
      <c r="J1633" s="56"/>
      <c r="K1633" s="82" t="str">
        <f t="shared" si="484"/>
        <v>Invoice</v>
      </c>
      <c r="L1633" s="83" t="str">
        <f>"SI_108035"</f>
        <v>SI_108035</v>
      </c>
      <c r="M1633" s="84">
        <v>42132</v>
      </c>
      <c r="N1633" s="85">
        <f t="shared" si="485"/>
        <v>1680</v>
      </c>
      <c r="O1633" s="86">
        <f t="shared" si="486"/>
        <v>7904.88</v>
      </c>
      <c r="P1633" s="86">
        <f t="shared" si="487"/>
        <v>0</v>
      </c>
      <c r="Q1633" s="86">
        <f t="shared" si="488"/>
        <v>0</v>
      </c>
      <c r="R1633" s="86">
        <f t="shared" si="489"/>
        <v>0</v>
      </c>
      <c r="S1633" s="86">
        <f t="shared" si="490"/>
        <v>0</v>
      </c>
      <c r="T1633" s="86">
        <f t="shared" si="491"/>
        <v>7904.88</v>
      </c>
      <c r="U1633" s="87">
        <v>7904.88</v>
      </c>
    </row>
    <row r="1634" spans="1:21" s="30" customFormat="1" ht="24.6" hidden="1" outlineLevel="1" x14ac:dyDescent="0.55000000000000004">
      <c r="A1634" s="27" t="s">
        <v>327</v>
      </c>
      <c r="B1634" s="28"/>
      <c r="C1634" s="27"/>
      <c r="D1634" s="27" t="str">
        <f>"""NAV Direct"",""CRONUS JetCorp USA"",""21"",""1"",""191481"""</f>
        <v>"NAV Direct","CRONUS JetCorp USA","21","1","191481"</v>
      </c>
      <c r="E1634" s="31">
        <f t="shared" si="483"/>
        <v>0</v>
      </c>
      <c r="F1634" s="31"/>
      <c r="G1634" s="31"/>
      <c r="H1634" s="31"/>
      <c r="I1634" s="56"/>
      <c r="J1634" s="56"/>
      <c r="K1634" s="82" t="str">
        <f t="shared" si="484"/>
        <v>Invoice</v>
      </c>
      <c r="L1634" s="83" t="str">
        <f>"SI_108038"</f>
        <v>SI_108038</v>
      </c>
      <c r="M1634" s="84">
        <v>42138</v>
      </c>
      <c r="N1634" s="85">
        <f t="shared" si="485"/>
        <v>1674</v>
      </c>
      <c r="O1634" s="86">
        <f t="shared" si="486"/>
        <v>7824.0700000000006</v>
      </c>
      <c r="P1634" s="86">
        <f t="shared" si="487"/>
        <v>0</v>
      </c>
      <c r="Q1634" s="86">
        <f t="shared" si="488"/>
        <v>0</v>
      </c>
      <c r="R1634" s="86">
        <f t="shared" si="489"/>
        <v>0</v>
      </c>
      <c r="S1634" s="86">
        <f t="shared" si="490"/>
        <v>0</v>
      </c>
      <c r="T1634" s="86">
        <f t="shared" si="491"/>
        <v>7824.0700000000006</v>
      </c>
      <c r="U1634" s="87">
        <v>7824.0700000000006</v>
      </c>
    </row>
    <row r="1635" spans="1:21" s="30" customFormat="1" ht="24.6" hidden="1" outlineLevel="1" x14ac:dyDescent="0.55000000000000004">
      <c r="A1635" s="27" t="s">
        <v>327</v>
      </c>
      <c r="B1635" s="28"/>
      <c r="C1635" s="27"/>
      <c r="D1635" s="27" t="str">
        <f>"""NAV Direct"",""CRONUS JetCorp USA"",""21"",""1"",""191894"""</f>
        <v>"NAV Direct","CRONUS JetCorp USA","21","1","191894"</v>
      </c>
      <c r="E1635" s="31" t="str">
        <f t="shared" si="483"/>
        <v>C100058</v>
      </c>
      <c r="F1635" s="31"/>
      <c r="G1635" s="31"/>
      <c r="H1635" s="31"/>
      <c r="I1635" s="56"/>
      <c r="J1635" s="56"/>
      <c r="K1635" s="82" t="str">
        <f t="shared" si="484"/>
        <v>Invoice</v>
      </c>
      <c r="L1635" s="83" t="str">
        <f>"SI_108045"</f>
        <v>SI_108045</v>
      </c>
      <c r="M1635" s="84">
        <v>42198</v>
      </c>
      <c r="N1635" s="85">
        <f t="shared" si="485"/>
        <v>1614</v>
      </c>
      <c r="O1635" s="86">
        <f t="shared" si="486"/>
        <v>7897.65</v>
      </c>
      <c r="P1635" s="86">
        <f t="shared" si="487"/>
        <v>0</v>
      </c>
      <c r="Q1635" s="86">
        <f t="shared" si="488"/>
        <v>0</v>
      </c>
      <c r="R1635" s="86">
        <f t="shared" si="489"/>
        <v>0</v>
      </c>
      <c r="S1635" s="86">
        <f t="shared" si="490"/>
        <v>0</v>
      </c>
      <c r="T1635" s="86">
        <f t="shared" si="491"/>
        <v>7897.65</v>
      </c>
      <c r="U1635" s="87">
        <v>7897.65</v>
      </c>
    </row>
    <row r="1636" spans="1:21" s="30" customFormat="1" ht="24.6" hidden="1" outlineLevel="1" x14ac:dyDescent="0.55000000000000004">
      <c r="A1636" s="27" t="s">
        <v>327</v>
      </c>
      <c r="B1636" s="28"/>
      <c r="C1636" s="27"/>
      <c r="D1636" s="27" t="str">
        <f>"""NAV Direct"",""CRONUS JetCorp USA"",""21"",""1"",""191961"""</f>
        <v>"NAV Direct","CRONUS JetCorp USA","21","1","191961"</v>
      </c>
      <c r="E1636" s="31">
        <f t="shared" si="483"/>
        <v>0</v>
      </c>
      <c r="F1636" s="31"/>
      <c r="G1636" s="31"/>
      <c r="H1636" s="31"/>
      <c r="I1636" s="56"/>
      <c r="J1636" s="56"/>
      <c r="K1636" s="82" t="str">
        <f t="shared" si="484"/>
        <v>Invoice</v>
      </c>
      <c r="L1636" s="83" t="str">
        <f>"SI_108046"</f>
        <v>SI_108046</v>
      </c>
      <c r="M1636" s="84">
        <v>42202</v>
      </c>
      <c r="N1636" s="85">
        <f t="shared" si="485"/>
        <v>1610</v>
      </c>
      <c r="O1636" s="86">
        <f t="shared" si="486"/>
        <v>7897.6399999999994</v>
      </c>
      <c r="P1636" s="86">
        <f t="shared" si="487"/>
        <v>0</v>
      </c>
      <c r="Q1636" s="86">
        <f t="shared" si="488"/>
        <v>0</v>
      </c>
      <c r="R1636" s="86">
        <f t="shared" si="489"/>
        <v>0</v>
      </c>
      <c r="S1636" s="86">
        <f t="shared" si="490"/>
        <v>0</v>
      </c>
      <c r="T1636" s="86">
        <f t="shared" si="491"/>
        <v>7897.6399999999994</v>
      </c>
      <c r="U1636" s="87">
        <v>7897.6399999999994</v>
      </c>
    </row>
    <row r="1637" spans="1:21" s="30" customFormat="1" ht="24.6" hidden="1" outlineLevel="1" x14ac:dyDescent="0.55000000000000004">
      <c r="A1637" s="27" t="s">
        <v>327</v>
      </c>
      <c r="B1637" s="28"/>
      <c r="C1637" s="27"/>
      <c r="D1637" s="27" t="str">
        <f>"""NAV Direct"",""CRONUS JetCorp USA"",""21"",""1"",""192337"""</f>
        <v>"NAV Direct","CRONUS JetCorp USA","21","1","192337"</v>
      </c>
      <c r="E1637" s="31" t="str">
        <f t="shared" si="483"/>
        <v>C100058</v>
      </c>
      <c r="F1637" s="31"/>
      <c r="G1637" s="31"/>
      <c r="H1637" s="31"/>
      <c r="I1637" s="56"/>
      <c r="J1637" s="56"/>
      <c r="K1637" s="82" t="str">
        <f t="shared" si="484"/>
        <v>Invoice</v>
      </c>
      <c r="L1637" s="83" t="str">
        <f>"SI_108052"</f>
        <v>SI_108052</v>
      </c>
      <c r="M1637" s="84">
        <v>42257</v>
      </c>
      <c r="N1637" s="85">
        <f t="shared" si="485"/>
        <v>1555</v>
      </c>
      <c r="O1637" s="86">
        <f t="shared" si="486"/>
        <v>7741.3700000000008</v>
      </c>
      <c r="P1637" s="86">
        <f t="shared" si="487"/>
        <v>0</v>
      </c>
      <c r="Q1637" s="86">
        <f t="shared" si="488"/>
        <v>0</v>
      </c>
      <c r="R1637" s="86">
        <f t="shared" si="489"/>
        <v>0</v>
      </c>
      <c r="S1637" s="86">
        <f t="shared" si="490"/>
        <v>0</v>
      </c>
      <c r="T1637" s="86">
        <f t="shared" si="491"/>
        <v>7741.3700000000008</v>
      </c>
      <c r="U1637" s="87">
        <v>7741.3700000000008</v>
      </c>
    </row>
    <row r="1638" spans="1:21" s="30" customFormat="1" ht="24.6" hidden="1" outlineLevel="1" x14ac:dyDescent="0.55000000000000004">
      <c r="A1638" s="27" t="s">
        <v>327</v>
      </c>
      <c r="B1638" s="28"/>
      <c r="C1638" s="27"/>
      <c r="D1638" s="27" t="str">
        <f>"""NAV Direct"",""CRONUS JetCorp USA"",""21"",""1"",""192937"""</f>
        <v>"NAV Direct","CRONUS JetCorp USA","21","1","192937"</v>
      </c>
      <c r="E1638" s="31">
        <f t="shared" si="483"/>
        <v>0</v>
      </c>
      <c r="F1638" s="31"/>
      <c r="G1638" s="31"/>
      <c r="H1638" s="31"/>
      <c r="I1638" s="56"/>
      <c r="J1638" s="56"/>
      <c r="K1638" s="82" t="str">
        <f t="shared" si="484"/>
        <v>Invoice</v>
      </c>
      <c r="L1638" s="83" t="str">
        <f>"SI_108062"</f>
        <v>SI_108062</v>
      </c>
      <c r="M1638" s="84">
        <v>42322</v>
      </c>
      <c r="N1638" s="85">
        <f t="shared" si="485"/>
        <v>1490</v>
      </c>
      <c r="O1638" s="86">
        <f t="shared" si="486"/>
        <v>7749.03</v>
      </c>
      <c r="P1638" s="86">
        <f t="shared" si="487"/>
        <v>0</v>
      </c>
      <c r="Q1638" s="86">
        <f t="shared" si="488"/>
        <v>0</v>
      </c>
      <c r="R1638" s="86">
        <f t="shared" si="489"/>
        <v>0</v>
      </c>
      <c r="S1638" s="86">
        <f t="shared" si="490"/>
        <v>0</v>
      </c>
      <c r="T1638" s="86">
        <f t="shared" si="491"/>
        <v>7749.03</v>
      </c>
      <c r="U1638" s="87">
        <v>7749.03</v>
      </c>
    </row>
    <row r="1639" spans="1:21" s="30" customFormat="1" ht="24.6" hidden="1" outlineLevel="1" x14ac:dyDescent="0.55000000000000004">
      <c r="A1639" s="27" t="s">
        <v>327</v>
      </c>
      <c r="B1639" s="28"/>
      <c r="C1639" s="27"/>
      <c r="D1639" s="27" t="str">
        <f>"""NAV Direct"",""CRONUS JetCorp USA"",""21"",""1"",""193053"""</f>
        <v>"NAV Direct","CRONUS JetCorp USA","21","1","193053"</v>
      </c>
      <c r="E1639" s="31" t="str">
        <f t="shared" si="483"/>
        <v>C100058</v>
      </c>
      <c r="F1639" s="31"/>
      <c r="G1639" s="31"/>
      <c r="H1639" s="31"/>
      <c r="I1639" s="56"/>
      <c r="J1639" s="56"/>
      <c r="K1639" s="82" t="str">
        <f t="shared" si="484"/>
        <v>Invoice</v>
      </c>
      <c r="L1639" s="83" t="str">
        <f>"SI_108064"</f>
        <v>SI_108064</v>
      </c>
      <c r="M1639" s="84">
        <v>42347</v>
      </c>
      <c r="N1639" s="85">
        <f t="shared" si="485"/>
        <v>1465</v>
      </c>
      <c r="O1639" s="86">
        <f t="shared" si="486"/>
        <v>7772.3899999999994</v>
      </c>
      <c r="P1639" s="86">
        <f t="shared" si="487"/>
        <v>0</v>
      </c>
      <c r="Q1639" s="86">
        <f t="shared" si="488"/>
        <v>0</v>
      </c>
      <c r="R1639" s="86">
        <f t="shared" si="489"/>
        <v>0</v>
      </c>
      <c r="S1639" s="86">
        <f t="shared" si="490"/>
        <v>0</v>
      </c>
      <c r="T1639" s="86">
        <f t="shared" si="491"/>
        <v>7772.3899999999994</v>
      </c>
      <c r="U1639" s="87">
        <v>7772.3899999999994</v>
      </c>
    </row>
    <row r="1640" spans="1:21" s="30" customFormat="1" ht="24.6" hidden="1" outlineLevel="1" x14ac:dyDescent="0.55000000000000004">
      <c r="A1640" s="27" t="s">
        <v>327</v>
      </c>
      <c r="B1640" s="28"/>
      <c r="C1640" s="27"/>
      <c r="D1640" s="27" t="str">
        <f>"""NAV Direct"",""CRONUS JetCorp USA"",""21"",""1"",""193173"""</f>
        <v>"NAV Direct","CRONUS JetCorp USA","21","1","193173"</v>
      </c>
      <c r="E1640" s="31">
        <f t="shared" si="483"/>
        <v>0</v>
      </c>
      <c r="F1640" s="31"/>
      <c r="G1640" s="31"/>
      <c r="H1640" s="31"/>
      <c r="I1640" s="56"/>
      <c r="J1640" s="56"/>
      <c r="K1640" s="82" t="str">
        <f t="shared" si="484"/>
        <v>Invoice</v>
      </c>
      <c r="L1640" s="83" t="str">
        <f>"SI_108066"</f>
        <v>SI_108066</v>
      </c>
      <c r="M1640" s="84">
        <v>42350</v>
      </c>
      <c r="N1640" s="85">
        <f t="shared" si="485"/>
        <v>1462</v>
      </c>
      <c r="O1640" s="86">
        <f t="shared" si="486"/>
        <v>7772.3799999999992</v>
      </c>
      <c r="P1640" s="86">
        <f t="shared" si="487"/>
        <v>0</v>
      </c>
      <c r="Q1640" s="86">
        <f t="shared" si="488"/>
        <v>0</v>
      </c>
      <c r="R1640" s="86">
        <f t="shared" si="489"/>
        <v>0</v>
      </c>
      <c r="S1640" s="86">
        <f t="shared" si="490"/>
        <v>0</v>
      </c>
      <c r="T1640" s="86">
        <f t="shared" si="491"/>
        <v>7772.3799999999992</v>
      </c>
      <c r="U1640" s="87">
        <v>7772.3799999999992</v>
      </c>
    </row>
    <row r="1641" spans="1:21" s="30" customFormat="1" ht="24.6" hidden="1" outlineLevel="1" x14ac:dyDescent="0.55000000000000004">
      <c r="A1641" s="27" t="s">
        <v>327</v>
      </c>
      <c r="B1641" s="28"/>
      <c r="C1641" s="27"/>
      <c r="D1641" s="27" t="str">
        <f>"""NAV Direct"",""CRONUS JetCorp USA"",""21"",""1"",""443836"""</f>
        <v>"NAV Direct","CRONUS JetCorp USA","21","1","443836"</v>
      </c>
      <c r="E1641" s="31" t="str">
        <f t="shared" si="483"/>
        <v>C100058</v>
      </c>
      <c r="F1641" s="31"/>
      <c r="G1641" s="31"/>
      <c r="H1641" s="31"/>
      <c r="I1641" s="56"/>
      <c r="J1641" s="56"/>
      <c r="K1641" s="82" t="str">
        <f>"Credit Memo"</f>
        <v>Credit Memo</v>
      </c>
      <c r="L1641" s="83" t="str">
        <f>"SC_101108"</f>
        <v>SC_101108</v>
      </c>
      <c r="M1641" s="84">
        <v>43475</v>
      </c>
      <c r="N1641" s="85">
        <f t="shared" si="485"/>
        <v>337</v>
      </c>
      <c r="O1641" s="86">
        <f t="shared" si="486"/>
        <v>-68.67</v>
      </c>
      <c r="P1641" s="86">
        <f t="shared" si="487"/>
        <v>0</v>
      </c>
      <c r="Q1641" s="86">
        <f t="shared" si="488"/>
        <v>0</v>
      </c>
      <c r="R1641" s="86">
        <f t="shared" si="489"/>
        <v>0</v>
      </c>
      <c r="S1641" s="86">
        <f t="shared" si="490"/>
        <v>0</v>
      </c>
      <c r="T1641" s="86">
        <f t="shared" si="491"/>
        <v>-68.67</v>
      </c>
      <c r="U1641" s="87">
        <v>-68.67</v>
      </c>
    </row>
    <row r="1642" spans="1:21" s="30" customFormat="1" ht="24.6" hidden="1" outlineLevel="1" x14ac:dyDescent="0.55000000000000004">
      <c r="A1642" s="27" t="s">
        <v>327</v>
      </c>
      <c r="B1642" s="28"/>
      <c r="C1642" s="27"/>
      <c r="D1642" s="27" t="str">
        <f>"""NAV Direct"",""CRONUS JetCorp USA"",""21"",""1"",""443861"""</f>
        <v>"NAV Direct","CRONUS JetCorp USA","21","1","443861"</v>
      </c>
      <c r="E1642" s="31">
        <f t="shared" si="483"/>
        <v>0</v>
      </c>
      <c r="F1642" s="31"/>
      <c r="G1642" s="31"/>
      <c r="H1642" s="31"/>
      <c r="I1642" s="56"/>
      <c r="J1642" s="56"/>
      <c r="K1642" s="82" t="str">
        <f>"Credit Memo"</f>
        <v>Credit Memo</v>
      </c>
      <c r="L1642" s="83" t="str">
        <f>"SC_101112"</f>
        <v>SC_101112</v>
      </c>
      <c r="M1642" s="84">
        <v>43632</v>
      </c>
      <c r="N1642" s="85">
        <f t="shared" si="485"/>
        <v>180</v>
      </c>
      <c r="O1642" s="86">
        <f t="shared" si="486"/>
        <v>-73.400000000000006</v>
      </c>
      <c r="P1642" s="86">
        <f t="shared" si="487"/>
        <v>0</v>
      </c>
      <c r="Q1642" s="86">
        <f t="shared" si="488"/>
        <v>0</v>
      </c>
      <c r="R1642" s="86">
        <f t="shared" si="489"/>
        <v>0</v>
      </c>
      <c r="S1642" s="86">
        <f t="shared" si="490"/>
        <v>0</v>
      </c>
      <c r="T1642" s="86">
        <f t="shared" si="491"/>
        <v>-73.400000000000006</v>
      </c>
      <c r="U1642" s="87">
        <v>-73.400000000000006</v>
      </c>
    </row>
    <row r="1643" spans="1:21" s="30" customFormat="1" ht="24.6" hidden="1" outlineLevel="1" x14ac:dyDescent="0.55000000000000004">
      <c r="A1643" s="27" t="s">
        <v>327</v>
      </c>
      <c r="B1643" s="28"/>
      <c r="C1643" s="27"/>
      <c r="D1643" s="27" t="str">
        <f>"""NAV Direct"",""CRONUS JetCorp USA"",""21"",""1"",""443897"""</f>
        <v>"NAV Direct","CRONUS JetCorp USA","21","1","443897"</v>
      </c>
      <c r="E1643" s="31" t="str">
        <f t="shared" si="483"/>
        <v>C100058</v>
      </c>
      <c r="F1643" s="31"/>
      <c r="G1643" s="31"/>
      <c r="H1643" s="31"/>
      <c r="I1643" s="56"/>
      <c r="J1643" s="56"/>
      <c r="K1643" s="82" t="str">
        <f>"Credit Memo"</f>
        <v>Credit Memo</v>
      </c>
      <c r="L1643" s="83" t="str">
        <f>"SC_101117"</f>
        <v>SC_101117</v>
      </c>
      <c r="M1643" s="84">
        <v>42018</v>
      </c>
      <c r="N1643" s="85">
        <f t="shared" si="485"/>
        <v>1794</v>
      </c>
      <c r="O1643" s="86">
        <f t="shared" si="486"/>
        <v>-76.259999999999991</v>
      </c>
      <c r="P1643" s="86">
        <f t="shared" si="487"/>
        <v>0</v>
      </c>
      <c r="Q1643" s="86">
        <f t="shared" si="488"/>
        <v>0</v>
      </c>
      <c r="R1643" s="86">
        <f t="shared" si="489"/>
        <v>0</v>
      </c>
      <c r="S1643" s="86">
        <f t="shared" si="490"/>
        <v>0</v>
      </c>
      <c r="T1643" s="86">
        <f t="shared" si="491"/>
        <v>-76.259999999999991</v>
      </c>
      <c r="U1643" s="87">
        <v>-76.259999999999991</v>
      </c>
    </row>
    <row r="1644" spans="1:21" s="30" customFormat="1" ht="24.6" hidden="1" outlineLevel="1" x14ac:dyDescent="0.55000000000000004">
      <c r="A1644" s="27" t="s">
        <v>327</v>
      </c>
      <c r="B1644" s="28"/>
      <c r="C1644" s="27"/>
      <c r="D1644" s="27" t="str">
        <f>"""NAV Direct"",""CRONUS JetCorp USA"",""21"",""1"",""444009"""</f>
        <v>"NAV Direct","CRONUS JetCorp USA","21","1","444009"</v>
      </c>
      <c r="E1644" s="31">
        <f t="shared" si="483"/>
        <v>0</v>
      </c>
      <c r="F1644" s="31"/>
      <c r="G1644" s="31"/>
      <c r="H1644" s="31"/>
      <c r="I1644" s="56"/>
      <c r="J1644" s="56"/>
      <c r="K1644" s="82" t="str">
        <f>"Credit Memo"</f>
        <v>Credit Memo</v>
      </c>
      <c r="L1644" s="83" t="str">
        <f>"SC_101126"</f>
        <v>SC_101126</v>
      </c>
      <c r="M1644" s="84">
        <v>42339</v>
      </c>
      <c r="N1644" s="85">
        <f t="shared" si="485"/>
        <v>1473</v>
      </c>
      <c r="O1644" s="86">
        <f t="shared" si="486"/>
        <v>-77.58</v>
      </c>
      <c r="P1644" s="86">
        <f t="shared" si="487"/>
        <v>0</v>
      </c>
      <c r="Q1644" s="86">
        <f t="shared" si="488"/>
        <v>0</v>
      </c>
      <c r="R1644" s="86">
        <f t="shared" si="489"/>
        <v>0</v>
      </c>
      <c r="S1644" s="86">
        <f t="shared" si="490"/>
        <v>0</v>
      </c>
      <c r="T1644" s="86">
        <f t="shared" si="491"/>
        <v>-77.58</v>
      </c>
      <c r="U1644" s="87">
        <v>-77.58</v>
      </c>
    </row>
    <row r="1645" spans="1:21" s="22" customFormat="1" ht="20.399999999999999" collapsed="1" x14ac:dyDescent="0.45">
      <c r="A1645" s="12" t="s">
        <v>327</v>
      </c>
      <c r="B1645" s="19"/>
      <c r="C1645" s="12"/>
      <c r="D1645" s="12"/>
      <c r="E1645" s="23"/>
      <c r="F1645" s="23"/>
      <c r="G1645" s="23"/>
      <c r="H1645" s="23"/>
      <c r="I1645" s="49"/>
      <c r="J1645" s="88"/>
      <c r="K1645" s="88"/>
      <c r="L1645" s="89"/>
      <c r="M1645" s="89"/>
      <c r="N1645" s="89"/>
      <c r="O1645" s="89"/>
      <c r="P1645" s="89"/>
      <c r="Q1645" s="90"/>
      <c r="R1645" s="90"/>
      <c r="S1645" s="91"/>
      <c r="T1645" s="92"/>
      <c r="U1645" s="92"/>
    </row>
    <row r="1646" spans="1:21" s="22" customFormat="1" ht="20.399999999999999" x14ac:dyDescent="0.45">
      <c r="A1646" s="12" t="s">
        <v>327</v>
      </c>
      <c r="B1646" s="19"/>
      <c r="C1646" s="12"/>
      <c r="D1646" s="12"/>
      <c r="E1646" s="23"/>
      <c r="F1646" s="23"/>
      <c r="G1646" s="23"/>
      <c r="H1646" s="23"/>
      <c r="I1646" s="49"/>
      <c r="J1646" s="88"/>
      <c r="K1646" s="88"/>
      <c r="L1646" s="89"/>
      <c r="M1646" s="89"/>
      <c r="N1646" s="89"/>
      <c r="O1646" s="89"/>
      <c r="P1646" s="89"/>
      <c r="Q1646" s="90"/>
      <c r="R1646" s="90"/>
      <c r="S1646" s="91"/>
      <c r="T1646" s="92"/>
      <c r="U1646" s="92"/>
    </row>
    <row r="1647" spans="1:21" s="26" customFormat="1" ht="24.6" x14ac:dyDescent="0.55000000000000004">
      <c r="A1647" s="27" t="s">
        <v>327</v>
      </c>
      <c r="B1647" s="28"/>
      <c r="C1647" s="27" t="str">
        <f>"""NAV Direct"",""CRONUS JetCorp USA"",""18"",""1"",""C100059"""</f>
        <v>"NAV Direct","CRONUS JetCorp USA","18","1","C100059"</v>
      </c>
      <c r="D1647" s="27"/>
      <c r="E1647" s="28" t="str">
        <f>H1647</f>
        <v>C100059</v>
      </c>
      <c r="F1647" s="28"/>
      <c r="G1647" s="28"/>
      <c r="H1647" s="28" t="str">
        <f>"C100059"</f>
        <v>C100059</v>
      </c>
      <c r="I1647" s="116" t="str">
        <f>"C100059  -  Meersen Meubelen"</f>
        <v>C100059  -  Meersen Meubelen</v>
      </c>
      <c r="J1647" s="117" t="str">
        <f>""</f>
        <v/>
      </c>
      <c r="K1647" s="118"/>
      <c r="L1647" s="119">
        <f>SUBTOTAL(3,L1648:L1726)</f>
        <v>75</v>
      </c>
      <c r="M1647" s="118"/>
      <c r="N1647" s="118"/>
      <c r="O1647" s="120">
        <f t="shared" ref="O1647:T1647" si="492">SUBTOTAL(9,O1648:O1726)</f>
        <v>1034149.8099999998</v>
      </c>
      <c r="P1647" s="120">
        <f t="shared" si="492"/>
        <v>20588.03</v>
      </c>
      <c r="Q1647" s="120">
        <f t="shared" si="492"/>
        <v>19754.400000000001</v>
      </c>
      <c r="R1647" s="120">
        <f t="shared" si="492"/>
        <v>0</v>
      </c>
      <c r="S1647" s="120">
        <f t="shared" si="492"/>
        <v>0</v>
      </c>
      <c r="T1647" s="120">
        <f t="shared" si="492"/>
        <v>993807.37999999989</v>
      </c>
      <c r="U1647" s="81"/>
    </row>
    <row r="1648" spans="1:21" s="26" customFormat="1" ht="24.6" x14ac:dyDescent="0.55000000000000004">
      <c r="A1648" s="27" t="s">
        <v>327</v>
      </c>
      <c r="B1648" s="28"/>
      <c r="C1648" s="27" t="str">
        <f>C1647</f>
        <v>"NAV Direct","CRONUS JetCorp USA","18","1","C100059"</v>
      </c>
      <c r="D1648" s="27"/>
      <c r="E1648" s="28" t="str">
        <f>E1647</f>
        <v>C100059</v>
      </c>
      <c r="F1648" s="28"/>
      <c r="G1648" s="28"/>
      <c r="H1648" s="28"/>
      <c r="I1648" s="121" t="str">
        <f>"Contact: Michael Vanderhyde"</f>
        <v>Contact: Michael Vanderhyde</v>
      </c>
      <c r="J1648" s="121"/>
      <c r="K1648" s="122"/>
      <c r="L1648" s="123"/>
      <c r="M1648" s="123"/>
      <c r="N1648" s="124"/>
      <c r="O1648" s="124"/>
      <c r="P1648" s="123"/>
      <c r="Q1648" s="125"/>
      <c r="R1648" s="126"/>
      <c r="S1648" s="126"/>
      <c r="T1648" s="125"/>
      <c r="U1648" s="81"/>
    </row>
    <row r="1649" spans="1:22" s="26" customFormat="1" ht="24.6" x14ac:dyDescent="0.55000000000000004">
      <c r="A1649" s="27" t="s">
        <v>327</v>
      </c>
      <c r="B1649" s="28"/>
      <c r="C1649" s="27" t="str">
        <f>C1648</f>
        <v>"NAV Direct","CRONUS JetCorp USA","18","1","C100059"</v>
      </c>
      <c r="D1649" s="27"/>
      <c r="E1649" s="28" t="str">
        <f>E1648</f>
        <v>C100059</v>
      </c>
      <c r="F1649" s="28"/>
      <c r="G1649" s="28"/>
      <c r="H1649" s="28"/>
      <c r="I1649" s="121" t="str">
        <f>"meersen.meubelen@cronuscorp.net"</f>
        <v>meersen.meubelen@cronuscorp.net</v>
      </c>
      <c r="J1649" s="121"/>
      <c r="K1649" s="122"/>
      <c r="L1649" s="124"/>
      <c r="M1649" s="124"/>
      <c r="N1649" s="124"/>
      <c r="O1649" s="124"/>
      <c r="P1649" s="123"/>
      <c r="Q1649" s="125"/>
      <c r="R1649" s="126"/>
      <c r="S1649" s="126"/>
      <c r="T1649" s="125"/>
      <c r="U1649" s="81"/>
    </row>
    <row r="1650" spans="1:22" ht="12.75" hidden="1" customHeight="1" outlineLevel="1" x14ac:dyDescent="0.45">
      <c r="A1650" s="12" t="s">
        <v>328</v>
      </c>
      <c r="B1650" s="19"/>
      <c r="E1650" s="19"/>
      <c r="F1650" s="19"/>
      <c r="G1650" s="19"/>
      <c r="H1650" s="19"/>
      <c r="I1650" s="61"/>
      <c r="J1650" s="61"/>
      <c r="K1650" s="61"/>
      <c r="L1650" s="61"/>
      <c r="M1650" s="61"/>
      <c r="N1650" s="61"/>
      <c r="O1650" s="61"/>
      <c r="P1650" s="61"/>
      <c r="Q1650" s="61"/>
      <c r="R1650" s="61"/>
      <c r="S1650" s="61"/>
      <c r="T1650" s="61"/>
      <c r="U1650" s="61"/>
      <c r="V1650" s="21"/>
    </row>
    <row r="1651" spans="1:22" s="30" customFormat="1" ht="24.6" hidden="1" outlineLevel="1" x14ac:dyDescent="0.55000000000000004">
      <c r="A1651" s="27" t="s">
        <v>327</v>
      </c>
      <c r="B1651" s="28"/>
      <c r="C1651" s="27"/>
      <c r="D1651" s="27" t="str">
        <f>"""NAV Direct"",""CRONUS JetCorp USA"",""21"",""1"",""93879"""</f>
        <v>"NAV Direct","CRONUS JetCorp USA","21","1","93879"</v>
      </c>
      <c r="E1651" s="31" t="str">
        <f t="shared" ref="E1651:E1682" si="493">E1649</f>
        <v>C100059</v>
      </c>
      <c r="F1651" s="31"/>
      <c r="G1651" s="31"/>
      <c r="H1651" s="31"/>
      <c r="I1651" s="56"/>
      <c r="J1651" s="56"/>
      <c r="K1651" s="82" t="str">
        <f t="shared" ref="K1651:K1682" si="494">"Invoice"</f>
        <v>Invoice</v>
      </c>
      <c r="L1651" s="83" t="str">
        <f>"SI_106365"</f>
        <v>SI_106365</v>
      </c>
      <c r="M1651" s="84">
        <v>42315</v>
      </c>
      <c r="N1651" s="85">
        <f t="shared" ref="N1651:N1682" si="495">StartDate-$M1651+1</f>
        <v>1497</v>
      </c>
      <c r="O1651" s="86">
        <f t="shared" ref="O1651:O1682" si="496">SUM(P1651:T1651)</f>
        <v>18342.849999999999</v>
      </c>
      <c r="P1651" s="86">
        <f t="shared" ref="P1651:P1682" si="497">IF($M1651&gt;=$P$18,U1651,0)</f>
        <v>0</v>
      </c>
      <c r="Q1651" s="86">
        <f t="shared" ref="Q1651:Q1682" si="498">IF(AND($M1651&gt;=$Q$16,$M1651&lt;=$Q$18),U1651,0)</f>
        <v>0</v>
      </c>
      <c r="R1651" s="86">
        <f t="shared" ref="R1651:R1682" si="499">IF(AND($M1651&gt;=$R$16,$M1651&lt;=$R$18),U1651,0)</f>
        <v>0</v>
      </c>
      <c r="S1651" s="86">
        <f t="shared" ref="S1651:S1682" si="500">IF(AND($M1651&gt;=$S$16,$M1651&lt;=$S$18),U1651,0)</f>
        <v>0</v>
      </c>
      <c r="T1651" s="86">
        <f t="shared" ref="T1651:T1682" si="501">IF($M1651&lt;=$T$18,U1651,0)</f>
        <v>18342.849999999999</v>
      </c>
      <c r="U1651" s="87">
        <v>18342.849999999999</v>
      </c>
    </row>
    <row r="1652" spans="1:22" s="30" customFormat="1" ht="24.6" hidden="1" outlineLevel="1" x14ac:dyDescent="0.55000000000000004">
      <c r="A1652" s="27" t="s">
        <v>327</v>
      </c>
      <c r="B1652" s="28"/>
      <c r="C1652" s="27"/>
      <c r="D1652" s="27" t="str">
        <f>"""NAV Direct"",""CRONUS JetCorp USA"",""21"",""1"",""93927"""</f>
        <v>"NAV Direct","CRONUS JetCorp USA","21","1","93927"</v>
      </c>
      <c r="E1652" s="31">
        <f t="shared" si="493"/>
        <v>0</v>
      </c>
      <c r="F1652" s="31"/>
      <c r="G1652" s="31"/>
      <c r="H1652" s="31"/>
      <c r="I1652" s="56"/>
      <c r="J1652" s="56"/>
      <c r="K1652" s="82" t="str">
        <f t="shared" si="494"/>
        <v>Invoice</v>
      </c>
      <c r="L1652" s="83" t="str">
        <f>"SI_106367"</f>
        <v>SI_106367</v>
      </c>
      <c r="M1652" s="84">
        <v>42337</v>
      </c>
      <c r="N1652" s="85">
        <f t="shared" si="495"/>
        <v>1475</v>
      </c>
      <c r="O1652" s="86">
        <f t="shared" si="496"/>
        <v>19426.629999999997</v>
      </c>
      <c r="P1652" s="86">
        <f t="shared" si="497"/>
        <v>0</v>
      </c>
      <c r="Q1652" s="86">
        <f t="shared" si="498"/>
        <v>0</v>
      </c>
      <c r="R1652" s="86">
        <f t="shared" si="499"/>
        <v>0</v>
      </c>
      <c r="S1652" s="86">
        <f t="shared" si="500"/>
        <v>0</v>
      </c>
      <c r="T1652" s="86">
        <f t="shared" si="501"/>
        <v>19426.629999999997</v>
      </c>
      <c r="U1652" s="87">
        <v>19426.629999999997</v>
      </c>
    </row>
    <row r="1653" spans="1:22" s="30" customFormat="1" ht="24.6" hidden="1" outlineLevel="1" x14ac:dyDescent="0.55000000000000004">
      <c r="A1653" s="27" t="s">
        <v>327</v>
      </c>
      <c r="B1653" s="28"/>
      <c r="C1653" s="27"/>
      <c r="D1653" s="27" t="str">
        <f>"""NAV Direct"",""CRONUS JetCorp USA"",""21"",""1"",""94087"""</f>
        <v>"NAV Direct","CRONUS JetCorp USA","21","1","94087"</v>
      </c>
      <c r="E1653" s="31" t="str">
        <f t="shared" si="493"/>
        <v>C100059</v>
      </c>
      <c r="F1653" s="31"/>
      <c r="G1653" s="31"/>
      <c r="H1653" s="31"/>
      <c r="I1653" s="56"/>
      <c r="J1653" s="56"/>
      <c r="K1653" s="82" t="str">
        <f t="shared" si="494"/>
        <v>Invoice</v>
      </c>
      <c r="L1653" s="83" t="str">
        <f>"SI_106371"</f>
        <v>SI_106371</v>
      </c>
      <c r="M1653" s="84">
        <v>42364</v>
      </c>
      <c r="N1653" s="85">
        <f t="shared" si="495"/>
        <v>1448</v>
      </c>
      <c r="O1653" s="86">
        <f t="shared" si="496"/>
        <v>20670.509999999998</v>
      </c>
      <c r="P1653" s="86">
        <f t="shared" si="497"/>
        <v>0</v>
      </c>
      <c r="Q1653" s="86">
        <f t="shared" si="498"/>
        <v>0</v>
      </c>
      <c r="R1653" s="86">
        <f t="shared" si="499"/>
        <v>0</v>
      </c>
      <c r="S1653" s="86">
        <f t="shared" si="500"/>
        <v>0</v>
      </c>
      <c r="T1653" s="86">
        <f t="shared" si="501"/>
        <v>20670.509999999998</v>
      </c>
      <c r="U1653" s="87">
        <v>20670.509999999998</v>
      </c>
    </row>
    <row r="1654" spans="1:22" s="30" customFormat="1" ht="24.6" hidden="1" outlineLevel="1" x14ac:dyDescent="0.55000000000000004">
      <c r="A1654" s="27" t="s">
        <v>327</v>
      </c>
      <c r="B1654" s="28"/>
      <c r="C1654" s="27"/>
      <c r="D1654" s="27" t="str">
        <f>"""NAV Direct"",""CRONUS JetCorp USA"",""21"",""1"",""371139"""</f>
        <v>"NAV Direct","CRONUS JetCorp USA","21","1","371139"</v>
      </c>
      <c r="E1654" s="31">
        <f t="shared" si="493"/>
        <v>0</v>
      </c>
      <c r="F1654" s="31"/>
      <c r="G1654" s="31"/>
      <c r="H1654" s="31"/>
      <c r="I1654" s="56"/>
      <c r="J1654" s="56"/>
      <c r="K1654" s="82" t="str">
        <f t="shared" si="494"/>
        <v>Invoice</v>
      </c>
      <c r="L1654" s="83" t="str">
        <f>"SI_111569"</f>
        <v>SI_111569</v>
      </c>
      <c r="M1654" s="84">
        <v>42410</v>
      </c>
      <c r="N1654" s="85">
        <f t="shared" si="495"/>
        <v>1402</v>
      </c>
      <c r="O1654" s="86">
        <f t="shared" si="496"/>
        <v>14879.63</v>
      </c>
      <c r="P1654" s="86">
        <f t="shared" si="497"/>
        <v>0</v>
      </c>
      <c r="Q1654" s="86">
        <f t="shared" si="498"/>
        <v>0</v>
      </c>
      <c r="R1654" s="86">
        <f t="shared" si="499"/>
        <v>0</v>
      </c>
      <c r="S1654" s="86">
        <f t="shared" si="500"/>
        <v>0</v>
      </c>
      <c r="T1654" s="86">
        <f t="shared" si="501"/>
        <v>14879.63</v>
      </c>
      <c r="U1654" s="87">
        <v>14879.63</v>
      </c>
    </row>
    <row r="1655" spans="1:22" s="30" customFormat="1" ht="24.6" hidden="1" outlineLevel="1" x14ac:dyDescent="0.55000000000000004">
      <c r="A1655" s="27" t="s">
        <v>327</v>
      </c>
      <c r="B1655" s="28"/>
      <c r="C1655" s="27"/>
      <c r="D1655" s="27" t="str">
        <f>"""NAV Direct"",""CRONUS JetCorp USA"",""21"",""1"",""371326"""</f>
        <v>"NAV Direct","CRONUS JetCorp USA","21","1","371326"</v>
      </c>
      <c r="E1655" s="31" t="str">
        <f t="shared" si="493"/>
        <v>C100059</v>
      </c>
      <c r="F1655" s="31"/>
      <c r="G1655" s="31"/>
      <c r="H1655" s="31"/>
      <c r="I1655" s="56"/>
      <c r="J1655" s="56"/>
      <c r="K1655" s="82" t="str">
        <f t="shared" si="494"/>
        <v>Invoice</v>
      </c>
      <c r="L1655" s="83" t="str">
        <f>"SI_111574"</f>
        <v>SI_111574</v>
      </c>
      <c r="M1655" s="84">
        <v>42438</v>
      </c>
      <c r="N1655" s="85">
        <f t="shared" si="495"/>
        <v>1374</v>
      </c>
      <c r="O1655" s="86">
        <f t="shared" si="496"/>
        <v>12793.24</v>
      </c>
      <c r="P1655" s="86">
        <f t="shared" si="497"/>
        <v>0</v>
      </c>
      <c r="Q1655" s="86">
        <f t="shared" si="498"/>
        <v>0</v>
      </c>
      <c r="R1655" s="86">
        <f t="shared" si="499"/>
        <v>0</v>
      </c>
      <c r="S1655" s="86">
        <f t="shared" si="500"/>
        <v>0</v>
      </c>
      <c r="T1655" s="86">
        <f t="shared" si="501"/>
        <v>12793.24</v>
      </c>
      <c r="U1655" s="87">
        <v>12793.24</v>
      </c>
    </row>
    <row r="1656" spans="1:22" s="30" customFormat="1" ht="24.6" hidden="1" outlineLevel="1" x14ac:dyDescent="0.55000000000000004">
      <c r="A1656" s="27" t="s">
        <v>327</v>
      </c>
      <c r="B1656" s="28"/>
      <c r="C1656" s="27"/>
      <c r="D1656" s="27" t="str">
        <f>"""NAV Direct"",""CRONUS JetCorp USA"",""21"",""1"",""371355"""</f>
        <v>"NAV Direct","CRONUS JetCorp USA","21","1","371355"</v>
      </c>
      <c r="E1656" s="31">
        <f t="shared" si="493"/>
        <v>0</v>
      </c>
      <c r="F1656" s="31"/>
      <c r="G1656" s="31"/>
      <c r="H1656" s="31"/>
      <c r="I1656" s="56"/>
      <c r="J1656" s="56"/>
      <c r="K1656" s="82" t="str">
        <f t="shared" si="494"/>
        <v>Invoice</v>
      </c>
      <c r="L1656" s="83" t="str">
        <f>"SI_111575"</f>
        <v>SI_111575</v>
      </c>
      <c r="M1656" s="84">
        <v>42464</v>
      </c>
      <c r="N1656" s="85">
        <f t="shared" si="495"/>
        <v>1348</v>
      </c>
      <c r="O1656" s="86">
        <f t="shared" si="496"/>
        <v>13943.72</v>
      </c>
      <c r="P1656" s="86">
        <f t="shared" si="497"/>
        <v>0</v>
      </c>
      <c r="Q1656" s="86">
        <f t="shared" si="498"/>
        <v>0</v>
      </c>
      <c r="R1656" s="86">
        <f t="shared" si="499"/>
        <v>0</v>
      </c>
      <c r="S1656" s="86">
        <f t="shared" si="500"/>
        <v>0</v>
      </c>
      <c r="T1656" s="86">
        <f t="shared" si="501"/>
        <v>13943.72</v>
      </c>
      <c r="U1656" s="87">
        <v>13943.72</v>
      </c>
    </row>
    <row r="1657" spans="1:22" s="30" customFormat="1" ht="24.6" hidden="1" outlineLevel="1" x14ac:dyDescent="0.55000000000000004">
      <c r="A1657" s="27" t="s">
        <v>327</v>
      </c>
      <c r="B1657" s="28"/>
      <c r="C1657" s="27"/>
      <c r="D1657" s="27" t="str">
        <f>"""NAV Direct"",""CRONUS JetCorp USA"",""21"",""1"",""371407"""</f>
        <v>"NAV Direct","CRONUS JetCorp USA","21","1","371407"</v>
      </c>
      <c r="E1657" s="31" t="str">
        <f t="shared" si="493"/>
        <v>C100059</v>
      </c>
      <c r="F1657" s="31"/>
      <c r="G1657" s="31"/>
      <c r="H1657" s="31"/>
      <c r="I1657" s="56"/>
      <c r="J1657" s="56"/>
      <c r="K1657" s="82" t="str">
        <f t="shared" si="494"/>
        <v>Invoice</v>
      </c>
      <c r="L1657" s="83" t="str">
        <f>"SI_111577"</f>
        <v>SI_111577</v>
      </c>
      <c r="M1657" s="84">
        <v>42479</v>
      </c>
      <c r="N1657" s="85">
        <f t="shared" si="495"/>
        <v>1333</v>
      </c>
      <c r="O1657" s="86">
        <f t="shared" si="496"/>
        <v>13306.289999999999</v>
      </c>
      <c r="P1657" s="86">
        <f t="shared" si="497"/>
        <v>0</v>
      </c>
      <c r="Q1657" s="86">
        <f t="shared" si="498"/>
        <v>0</v>
      </c>
      <c r="R1657" s="86">
        <f t="shared" si="499"/>
        <v>0</v>
      </c>
      <c r="S1657" s="86">
        <f t="shared" si="500"/>
        <v>0</v>
      </c>
      <c r="T1657" s="86">
        <f t="shared" si="501"/>
        <v>13306.289999999999</v>
      </c>
      <c r="U1657" s="87">
        <v>13306.289999999999</v>
      </c>
    </row>
    <row r="1658" spans="1:22" s="30" customFormat="1" ht="24.6" hidden="1" outlineLevel="1" x14ac:dyDescent="0.55000000000000004">
      <c r="A1658" s="27" t="s">
        <v>327</v>
      </c>
      <c r="B1658" s="28"/>
      <c r="C1658" s="27"/>
      <c r="D1658" s="27" t="str">
        <f>"""NAV Direct"",""CRONUS JetCorp USA"",""21"",""1"",""371491"""</f>
        <v>"NAV Direct","CRONUS JetCorp USA","21","1","371491"</v>
      </c>
      <c r="E1658" s="31">
        <f t="shared" si="493"/>
        <v>0</v>
      </c>
      <c r="F1658" s="31"/>
      <c r="G1658" s="31"/>
      <c r="H1658" s="31"/>
      <c r="I1658" s="56"/>
      <c r="J1658" s="56"/>
      <c r="K1658" s="82" t="str">
        <f t="shared" si="494"/>
        <v>Invoice</v>
      </c>
      <c r="L1658" s="83" t="str">
        <f>"SI_111579"</f>
        <v>SI_111579</v>
      </c>
      <c r="M1658" s="84">
        <v>42514</v>
      </c>
      <c r="N1658" s="85">
        <f t="shared" si="495"/>
        <v>1298</v>
      </c>
      <c r="O1658" s="86">
        <f t="shared" si="496"/>
        <v>15947.36</v>
      </c>
      <c r="P1658" s="86">
        <f t="shared" si="497"/>
        <v>0</v>
      </c>
      <c r="Q1658" s="86">
        <f t="shared" si="498"/>
        <v>0</v>
      </c>
      <c r="R1658" s="86">
        <f t="shared" si="499"/>
        <v>0</v>
      </c>
      <c r="S1658" s="86">
        <f t="shared" si="500"/>
        <v>0</v>
      </c>
      <c r="T1658" s="86">
        <f t="shared" si="501"/>
        <v>15947.36</v>
      </c>
      <c r="U1658" s="87">
        <v>15947.36</v>
      </c>
    </row>
    <row r="1659" spans="1:22" s="30" customFormat="1" ht="24.6" hidden="1" outlineLevel="1" x14ac:dyDescent="0.55000000000000004">
      <c r="A1659" s="27" t="s">
        <v>327</v>
      </c>
      <c r="B1659" s="28"/>
      <c r="C1659" s="27"/>
      <c r="D1659" s="27" t="str">
        <f>"""NAV Direct"",""CRONUS JetCorp USA"",""21"",""1"",""371520"""</f>
        <v>"NAV Direct","CRONUS JetCorp USA","21","1","371520"</v>
      </c>
      <c r="E1659" s="31" t="str">
        <f t="shared" si="493"/>
        <v>C100059</v>
      </c>
      <c r="F1659" s="31"/>
      <c r="G1659" s="31"/>
      <c r="H1659" s="31"/>
      <c r="I1659" s="56"/>
      <c r="J1659" s="56"/>
      <c r="K1659" s="82" t="str">
        <f t="shared" si="494"/>
        <v>Invoice</v>
      </c>
      <c r="L1659" s="83" t="str">
        <f>"SI_111580"</f>
        <v>SI_111580</v>
      </c>
      <c r="M1659" s="84">
        <v>42515</v>
      </c>
      <c r="N1659" s="85">
        <f t="shared" si="495"/>
        <v>1297</v>
      </c>
      <c r="O1659" s="86">
        <f t="shared" si="496"/>
        <v>15623.01</v>
      </c>
      <c r="P1659" s="86">
        <f t="shared" si="497"/>
        <v>0</v>
      </c>
      <c r="Q1659" s="86">
        <f t="shared" si="498"/>
        <v>0</v>
      </c>
      <c r="R1659" s="86">
        <f t="shared" si="499"/>
        <v>0</v>
      </c>
      <c r="S1659" s="86">
        <f t="shared" si="500"/>
        <v>0</v>
      </c>
      <c r="T1659" s="86">
        <f t="shared" si="501"/>
        <v>15623.01</v>
      </c>
      <c r="U1659" s="87">
        <v>15623.01</v>
      </c>
    </row>
    <row r="1660" spans="1:22" s="30" customFormat="1" ht="24.6" hidden="1" outlineLevel="1" x14ac:dyDescent="0.55000000000000004">
      <c r="A1660" s="27" t="s">
        <v>327</v>
      </c>
      <c r="B1660" s="28"/>
      <c r="C1660" s="27"/>
      <c r="D1660" s="27" t="str">
        <f>"""NAV Direct"",""CRONUS JetCorp USA"",""21"",""1"",""371639"""</f>
        <v>"NAV Direct","CRONUS JetCorp USA","21","1","371639"</v>
      </c>
      <c r="E1660" s="31">
        <f t="shared" si="493"/>
        <v>0</v>
      </c>
      <c r="F1660" s="31"/>
      <c r="G1660" s="31"/>
      <c r="H1660" s="31"/>
      <c r="I1660" s="56"/>
      <c r="J1660" s="56"/>
      <c r="K1660" s="82" t="str">
        <f t="shared" si="494"/>
        <v>Invoice</v>
      </c>
      <c r="L1660" s="83" t="str">
        <f>"SI_111583"</f>
        <v>SI_111583</v>
      </c>
      <c r="M1660" s="84">
        <v>42566</v>
      </c>
      <c r="N1660" s="85">
        <f t="shared" si="495"/>
        <v>1246</v>
      </c>
      <c r="O1660" s="86">
        <f t="shared" si="496"/>
        <v>14278.57</v>
      </c>
      <c r="P1660" s="86">
        <f t="shared" si="497"/>
        <v>0</v>
      </c>
      <c r="Q1660" s="86">
        <f t="shared" si="498"/>
        <v>0</v>
      </c>
      <c r="R1660" s="86">
        <f t="shared" si="499"/>
        <v>0</v>
      </c>
      <c r="S1660" s="86">
        <f t="shared" si="500"/>
        <v>0</v>
      </c>
      <c r="T1660" s="86">
        <f t="shared" si="501"/>
        <v>14278.57</v>
      </c>
      <c r="U1660" s="87">
        <v>14278.57</v>
      </c>
    </row>
    <row r="1661" spans="1:22" s="30" customFormat="1" ht="24.6" hidden="1" outlineLevel="1" x14ac:dyDescent="0.55000000000000004">
      <c r="A1661" s="27" t="s">
        <v>327</v>
      </c>
      <c r="B1661" s="28"/>
      <c r="C1661" s="27"/>
      <c r="D1661" s="27" t="str">
        <f>"""NAV Direct"",""CRONUS JetCorp USA"",""21"",""1"",""371719"""</f>
        <v>"NAV Direct","CRONUS JetCorp USA","21","1","371719"</v>
      </c>
      <c r="E1661" s="31" t="str">
        <f t="shared" si="493"/>
        <v>C100059</v>
      </c>
      <c r="F1661" s="31"/>
      <c r="G1661" s="31"/>
      <c r="H1661" s="31"/>
      <c r="I1661" s="56"/>
      <c r="J1661" s="56"/>
      <c r="K1661" s="82" t="str">
        <f t="shared" si="494"/>
        <v>Invoice</v>
      </c>
      <c r="L1661" s="83" t="str">
        <f>"SI_111585"</f>
        <v>SI_111585</v>
      </c>
      <c r="M1661" s="84">
        <v>42602</v>
      </c>
      <c r="N1661" s="85">
        <f t="shared" si="495"/>
        <v>1210</v>
      </c>
      <c r="O1661" s="86">
        <f t="shared" si="496"/>
        <v>13458.48</v>
      </c>
      <c r="P1661" s="86">
        <f t="shared" si="497"/>
        <v>0</v>
      </c>
      <c r="Q1661" s="86">
        <f t="shared" si="498"/>
        <v>0</v>
      </c>
      <c r="R1661" s="86">
        <f t="shared" si="499"/>
        <v>0</v>
      </c>
      <c r="S1661" s="86">
        <f t="shared" si="500"/>
        <v>0</v>
      </c>
      <c r="T1661" s="86">
        <f t="shared" si="501"/>
        <v>13458.48</v>
      </c>
      <c r="U1661" s="87">
        <v>13458.48</v>
      </c>
    </row>
    <row r="1662" spans="1:22" s="30" customFormat="1" ht="24.6" hidden="1" outlineLevel="1" x14ac:dyDescent="0.55000000000000004">
      <c r="A1662" s="27" t="s">
        <v>327</v>
      </c>
      <c r="B1662" s="28"/>
      <c r="C1662" s="27"/>
      <c r="D1662" s="27" t="str">
        <f>"""NAV Direct"",""CRONUS JetCorp USA"",""21"",""1"",""371881"""</f>
        <v>"NAV Direct","CRONUS JetCorp USA","21","1","371881"</v>
      </c>
      <c r="E1662" s="31">
        <f t="shared" si="493"/>
        <v>0</v>
      </c>
      <c r="F1662" s="31"/>
      <c r="G1662" s="31"/>
      <c r="H1662" s="31"/>
      <c r="I1662" s="56"/>
      <c r="J1662" s="56"/>
      <c r="K1662" s="82" t="str">
        <f t="shared" si="494"/>
        <v>Invoice</v>
      </c>
      <c r="L1662" s="83" t="str">
        <f>"SI_111589"</f>
        <v>SI_111589</v>
      </c>
      <c r="M1662" s="84">
        <v>42641</v>
      </c>
      <c r="N1662" s="85">
        <f t="shared" si="495"/>
        <v>1171</v>
      </c>
      <c r="O1662" s="86">
        <f t="shared" si="496"/>
        <v>14049.8</v>
      </c>
      <c r="P1662" s="86">
        <f t="shared" si="497"/>
        <v>0</v>
      </c>
      <c r="Q1662" s="86">
        <f t="shared" si="498"/>
        <v>0</v>
      </c>
      <c r="R1662" s="86">
        <f t="shared" si="499"/>
        <v>0</v>
      </c>
      <c r="S1662" s="86">
        <f t="shared" si="500"/>
        <v>0</v>
      </c>
      <c r="T1662" s="86">
        <f t="shared" si="501"/>
        <v>14049.8</v>
      </c>
      <c r="U1662" s="87">
        <v>14049.8</v>
      </c>
    </row>
    <row r="1663" spans="1:22" s="30" customFormat="1" ht="24.6" hidden="1" outlineLevel="1" x14ac:dyDescent="0.55000000000000004">
      <c r="A1663" s="27" t="s">
        <v>327</v>
      </c>
      <c r="B1663" s="28"/>
      <c r="C1663" s="27"/>
      <c r="D1663" s="27" t="str">
        <f>"""NAV Direct"",""CRONUS JetCorp USA"",""21"",""1"",""371984"""</f>
        <v>"NAV Direct","CRONUS JetCorp USA","21","1","371984"</v>
      </c>
      <c r="E1663" s="31" t="str">
        <f t="shared" si="493"/>
        <v>C100059</v>
      </c>
      <c r="F1663" s="31"/>
      <c r="G1663" s="31"/>
      <c r="H1663" s="31"/>
      <c r="I1663" s="56"/>
      <c r="J1663" s="56"/>
      <c r="K1663" s="82" t="str">
        <f t="shared" si="494"/>
        <v>Invoice</v>
      </c>
      <c r="L1663" s="83" t="str">
        <f>"SI_111592"</f>
        <v>SI_111592</v>
      </c>
      <c r="M1663" s="84">
        <v>42670</v>
      </c>
      <c r="N1663" s="85">
        <f t="shared" si="495"/>
        <v>1142</v>
      </c>
      <c r="O1663" s="86">
        <f t="shared" si="496"/>
        <v>14684.97</v>
      </c>
      <c r="P1663" s="86">
        <f t="shared" si="497"/>
        <v>0</v>
      </c>
      <c r="Q1663" s="86">
        <f t="shared" si="498"/>
        <v>0</v>
      </c>
      <c r="R1663" s="86">
        <f t="shared" si="499"/>
        <v>0</v>
      </c>
      <c r="S1663" s="86">
        <f t="shared" si="500"/>
        <v>0</v>
      </c>
      <c r="T1663" s="86">
        <f t="shared" si="501"/>
        <v>14684.97</v>
      </c>
      <c r="U1663" s="87">
        <v>14684.97</v>
      </c>
    </row>
    <row r="1664" spans="1:22" s="30" customFormat="1" ht="24.6" hidden="1" outlineLevel="1" x14ac:dyDescent="0.55000000000000004">
      <c r="A1664" s="27" t="s">
        <v>327</v>
      </c>
      <c r="B1664" s="28"/>
      <c r="C1664" s="27"/>
      <c r="D1664" s="27" t="str">
        <f>"""NAV Direct"",""CRONUS JetCorp USA"",""21"",""1"",""372099"""</f>
        <v>"NAV Direct","CRONUS JetCorp USA","21","1","372099"</v>
      </c>
      <c r="E1664" s="31">
        <f t="shared" si="493"/>
        <v>0</v>
      </c>
      <c r="F1664" s="31"/>
      <c r="G1664" s="31"/>
      <c r="H1664" s="31"/>
      <c r="I1664" s="56"/>
      <c r="J1664" s="56"/>
      <c r="K1664" s="82" t="str">
        <f t="shared" si="494"/>
        <v>Invoice</v>
      </c>
      <c r="L1664" s="83" t="str">
        <f>"SI_111595"</f>
        <v>SI_111595</v>
      </c>
      <c r="M1664" s="84">
        <v>42701</v>
      </c>
      <c r="N1664" s="85">
        <f t="shared" si="495"/>
        <v>1111</v>
      </c>
      <c r="O1664" s="86">
        <f t="shared" si="496"/>
        <v>14874.16</v>
      </c>
      <c r="P1664" s="86">
        <f t="shared" si="497"/>
        <v>0</v>
      </c>
      <c r="Q1664" s="86">
        <f t="shared" si="498"/>
        <v>0</v>
      </c>
      <c r="R1664" s="86">
        <f t="shared" si="499"/>
        <v>0</v>
      </c>
      <c r="S1664" s="86">
        <f t="shared" si="500"/>
        <v>0</v>
      </c>
      <c r="T1664" s="86">
        <f t="shared" si="501"/>
        <v>14874.16</v>
      </c>
      <c r="U1664" s="87">
        <v>14874.16</v>
      </c>
    </row>
    <row r="1665" spans="1:21" s="30" customFormat="1" ht="24.6" hidden="1" outlineLevel="1" x14ac:dyDescent="0.55000000000000004">
      <c r="A1665" s="27" t="s">
        <v>327</v>
      </c>
      <c r="B1665" s="28"/>
      <c r="C1665" s="27"/>
      <c r="D1665" s="27" t="str">
        <f>"""NAV Direct"",""CRONUS JetCorp USA"",""21"",""1"",""372249"""</f>
        <v>"NAV Direct","CRONUS JetCorp USA","21","1","372249"</v>
      </c>
      <c r="E1665" s="31" t="str">
        <f t="shared" si="493"/>
        <v>C100059</v>
      </c>
      <c r="F1665" s="31"/>
      <c r="G1665" s="31"/>
      <c r="H1665" s="31"/>
      <c r="I1665" s="56"/>
      <c r="J1665" s="56"/>
      <c r="K1665" s="82" t="str">
        <f t="shared" si="494"/>
        <v>Invoice</v>
      </c>
      <c r="L1665" s="83" t="str">
        <f>"SI_111599"</f>
        <v>SI_111599</v>
      </c>
      <c r="M1665" s="84">
        <v>42758</v>
      </c>
      <c r="N1665" s="85">
        <f t="shared" si="495"/>
        <v>1054</v>
      </c>
      <c r="O1665" s="86">
        <f t="shared" si="496"/>
        <v>14503.15</v>
      </c>
      <c r="P1665" s="86">
        <f t="shared" si="497"/>
        <v>0</v>
      </c>
      <c r="Q1665" s="86">
        <f t="shared" si="498"/>
        <v>0</v>
      </c>
      <c r="R1665" s="86">
        <f t="shared" si="499"/>
        <v>0</v>
      </c>
      <c r="S1665" s="86">
        <f t="shared" si="500"/>
        <v>0</v>
      </c>
      <c r="T1665" s="86">
        <f t="shared" si="501"/>
        <v>14503.15</v>
      </c>
      <c r="U1665" s="87">
        <v>14503.15</v>
      </c>
    </row>
    <row r="1666" spans="1:21" s="30" customFormat="1" ht="24.6" hidden="1" outlineLevel="1" x14ac:dyDescent="0.55000000000000004">
      <c r="A1666" s="27" t="s">
        <v>327</v>
      </c>
      <c r="B1666" s="28"/>
      <c r="C1666" s="27"/>
      <c r="D1666" s="27" t="str">
        <f>"""NAV Direct"",""CRONUS JetCorp USA"",""21"",""1"",""372331"""</f>
        <v>"NAV Direct","CRONUS JetCorp USA","21","1","372331"</v>
      </c>
      <c r="E1666" s="31">
        <f t="shared" si="493"/>
        <v>0</v>
      </c>
      <c r="F1666" s="31"/>
      <c r="G1666" s="31"/>
      <c r="H1666" s="31"/>
      <c r="I1666" s="56"/>
      <c r="J1666" s="56"/>
      <c r="K1666" s="82" t="str">
        <f t="shared" si="494"/>
        <v>Invoice</v>
      </c>
      <c r="L1666" s="83" t="str">
        <f>"SI_111601"</f>
        <v>SI_111601</v>
      </c>
      <c r="M1666" s="84">
        <v>42777</v>
      </c>
      <c r="N1666" s="85">
        <f t="shared" si="495"/>
        <v>1035</v>
      </c>
      <c r="O1666" s="86">
        <f t="shared" si="496"/>
        <v>14662.3</v>
      </c>
      <c r="P1666" s="86">
        <f t="shared" si="497"/>
        <v>0</v>
      </c>
      <c r="Q1666" s="86">
        <f t="shared" si="498"/>
        <v>0</v>
      </c>
      <c r="R1666" s="86">
        <f t="shared" si="499"/>
        <v>0</v>
      </c>
      <c r="S1666" s="86">
        <f t="shared" si="500"/>
        <v>0</v>
      </c>
      <c r="T1666" s="86">
        <f t="shared" si="501"/>
        <v>14662.3</v>
      </c>
      <c r="U1666" s="87">
        <v>14662.3</v>
      </c>
    </row>
    <row r="1667" spans="1:21" s="30" customFormat="1" ht="24.6" hidden="1" outlineLevel="1" x14ac:dyDescent="0.55000000000000004">
      <c r="A1667" s="27" t="s">
        <v>327</v>
      </c>
      <c r="B1667" s="28"/>
      <c r="C1667" s="27"/>
      <c r="D1667" s="27" t="str">
        <f>"""NAV Direct"",""CRONUS JetCorp USA"",""21"",""1"",""372405"""</f>
        <v>"NAV Direct","CRONUS JetCorp USA","21","1","372405"</v>
      </c>
      <c r="E1667" s="31" t="str">
        <f t="shared" si="493"/>
        <v>C100059</v>
      </c>
      <c r="F1667" s="31"/>
      <c r="G1667" s="31"/>
      <c r="H1667" s="31"/>
      <c r="I1667" s="56"/>
      <c r="J1667" s="56"/>
      <c r="K1667" s="82" t="str">
        <f t="shared" si="494"/>
        <v>Invoice</v>
      </c>
      <c r="L1667" s="83" t="str">
        <f>"SI_111603"</f>
        <v>SI_111603</v>
      </c>
      <c r="M1667" s="84">
        <v>42800</v>
      </c>
      <c r="N1667" s="85">
        <f t="shared" si="495"/>
        <v>1012</v>
      </c>
      <c r="O1667" s="86">
        <f t="shared" si="496"/>
        <v>14350.73</v>
      </c>
      <c r="P1667" s="86">
        <f t="shared" si="497"/>
        <v>0</v>
      </c>
      <c r="Q1667" s="86">
        <f t="shared" si="498"/>
        <v>0</v>
      </c>
      <c r="R1667" s="86">
        <f t="shared" si="499"/>
        <v>0</v>
      </c>
      <c r="S1667" s="86">
        <f t="shared" si="500"/>
        <v>0</v>
      </c>
      <c r="T1667" s="86">
        <f t="shared" si="501"/>
        <v>14350.73</v>
      </c>
      <c r="U1667" s="87">
        <v>14350.73</v>
      </c>
    </row>
    <row r="1668" spans="1:21" s="30" customFormat="1" ht="24.6" hidden="1" outlineLevel="1" x14ac:dyDescent="0.55000000000000004">
      <c r="A1668" s="27" t="s">
        <v>327</v>
      </c>
      <c r="B1668" s="28"/>
      <c r="C1668" s="27"/>
      <c r="D1668" s="27" t="str">
        <f>"""NAV Direct"",""CRONUS JetCorp USA"",""21"",""1"",""372422"""</f>
        <v>"NAV Direct","CRONUS JetCorp USA","21","1","372422"</v>
      </c>
      <c r="E1668" s="31">
        <f t="shared" si="493"/>
        <v>0</v>
      </c>
      <c r="F1668" s="31"/>
      <c r="G1668" s="31"/>
      <c r="H1668" s="31"/>
      <c r="I1668" s="56"/>
      <c r="J1668" s="56"/>
      <c r="K1668" s="82" t="str">
        <f t="shared" si="494"/>
        <v>Invoice</v>
      </c>
      <c r="L1668" s="83" t="str">
        <f>"SI_111604"</f>
        <v>SI_111604</v>
      </c>
      <c r="M1668" s="84">
        <v>42820</v>
      </c>
      <c r="N1668" s="85">
        <f t="shared" si="495"/>
        <v>992</v>
      </c>
      <c r="O1668" s="86">
        <f t="shared" si="496"/>
        <v>14705.670000000002</v>
      </c>
      <c r="P1668" s="86">
        <f t="shared" si="497"/>
        <v>0</v>
      </c>
      <c r="Q1668" s="86">
        <f t="shared" si="498"/>
        <v>0</v>
      </c>
      <c r="R1668" s="86">
        <f t="shared" si="499"/>
        <v>0</v>
      </c>
      <c r="S1668" s="86">
        <f t="shared" si="500"/>
        <v>0</v>
      </c>
      <c r="T1668" s="86">
        <f t="shared" si="501"/>
        <v>14705.670000000002</v>
      </c>
      <c r="U1668" s="87">
        <v>14705.670000000002</v>
      </c>
    </row>
    <row r="1669" spans="1:21" s="30" customFormat="1" ht="24.6" hidden="1" outlineLevel="1" x14ac:dyDescent="0.55000000000000004">
      <c r="A1669" s="27" t="s">
        <v>327</v>
      </c>
      <c r="B1669" s="28"/>
      <c r="C1669" s="27"/>
      <c r="D1669" s="27" t="str">
        <f>"""NAV Direct"",""CRONUS JetCorp USA"",""21"",""1"",""372494"""</f>
        <v>"NAV Direct","CRONUS JetCorp USA","21","1","372494"</v>
      </c>
      <c r="E1669" s="31" t="str">
        <f t="shared" si="493"/>
        <v>C100059</v>
      </c>
      <c r="F1669" s="31"/>
      <c r="G1669" s="31"/>
      <c r="H1669" s="31"/>
      <c r="I1669" s="56"/>
      <c r="J1669" s="56"/>
      <c r="K1669" s="82" t="str">
        <f t="shared" si="494"/>
        <v>Invoice</v>
      </c>
      <c r="L1669" s="83" t="str">
        <f>"SI_111606"</f>
        <v>SI_111606</v>
      </c>
      <c r="M1669" s="84">
        <v>42840</v>
      </c>
      <c r="N1669" s="85">
        <f t="shared" si="495"/>
        <v>972</v>
      </c>
      <c r="O1669" s="86">
        <f t="shared" si="496"/>
        <v>14405.41</v>
      </c>
      <c r="P1669" s="86">
        <f t="shared" si="497"/>
        <v>0</v>
      </c>
      <c r="Q1669" s="86">
        <f t="shared" si="498"/>
        <v>0</v>
      </c>
      <c r="R1669" s="86">
        <f t="shared" si="499"/>
        <v>0</v>
      </c>
      <c r="S1669" s="86">
        <f t="shared" si="500"/>
        <v>0</v>
      </c>
      <c r="T1669" s="86">
        <f t="shared" si="501"/>
        <v>14405.41</v>
      </c>
      <c r="U1669" s="87">
        <v>14405.41</v>
      </c>
    </row>
    <row r="1670" spans="1:21" s="30" customFormat="1" ht="24.6" hidden="1" outlineLevel="1" x14ac:dyDescent="0.55000000000000004">
      <c r="A1670" s="27" t="s">
        <v>327</v>
      </c>
      <c r="B1670" s="28"/>
      <c r="C1670" s="27"/>
      <c r="D1670" s="27" t="str">
        <f>"""NAV Direct"",""CRONUS JetCorp USA"",""21"",""1"",""372523"""</f>
        <v>"NAV Direct","CRONUS JetCorp USA","21","1","372523"</v>
      </c>
      <c r="E1670" s="31">
        <f t="shared" si="493"/>
        <v>0</v>
      </c>
      <c r="F1670" s="31"/>
      <c r="G1670" s="31"/>
      <c r="H1670" s="31"/>
      <c r="I1670" s="56"/>
      <c r="J1670" s="56"/>
      <c r="K1670" s="82" t="str">
        <f t="shared" si="494"/>
        <v>Invoice</v>
      </c>
      <c r="L1670" s="83" t="str">
        <f>"SI_111607"</f>
        <v>SI_111607</v>
      </c>
      <c r="M1670" s="84">
        <v>42843</v>
      </c>
      <c r="N1670" s="85">
        <f t="shared" si="495"/>
        <v>969</v>
      </c>
      <c r="O1670" s="86">
        <f t="shared" si="496"/>
        <v>15588.430000000002</v>
      </c>
      <c r="P1670" s="86">
        <f t="shared" si="497"/>
        <v>0</v>
      </c>
      <c r="Q1670" s="86">
        <f t="shared" si="498"/>
        <v>0</v>
      </c>
      <c r="R1670" s="86">
        <f t="shared" si="499"/>
        <v>0</v>
      </c>
      <c r="S1670" s="86">
        <f t="shared" si="500"/>
        <v>0</v>
      </c>
      <c r="T1670" s="86">
        <f t="shared" si="501"/>
        <v>15588.430000000002</v>
      </c>
      <c r="U1670" s="87">
        <v>15588.430000000002</v>
      </c>
    </row>
    <row r="1671" spans="1:21" s="30" customFormat="1" ht="24.6" hidden="1" outlineLevel="1" x14ac:dyDescent="0.55000000000000004">
      <c r="A1671" s="27" t="s">
        <v>327</v>
      </c>
      <c r="B1671" s="28"/>
      <c r="C1671" s="27"/>
      <c r="D1671" s="27" t="str">
        <f>"""NAV Direct"",""CRONUS JetCorp USA"",""21"",""1"",""372599"""</f>
        <v>"NAV Direct","CRONUS JetCorp USA","21","1","372599"</v>
      </c>
      <c r="E1671" s="31" t="str">
        <f t="shared" si="493"/>
        <v>C100059</v>
      </c>
      <c r="F1671" s="31"/>
      <c r="G1671" s="31"/>
      <c r="H1671" s="31"/>
      <c r="I1671" s="56"/>
      <c r="J1671" s="56"/>
      <c r="K1671" s="82" t="str">
        <f t="shared" si="494"/>
        <v>Invoice</v>
      </c>
      <c r="L1671" s="83" t="str">
        <f>"SI_111609"</f>
        <v>SI_111609</v>
      </c>
      <c r="M1671" s="84">
        <v>42872</v>
      </c>
      <c r="N1671" s="85">
        <f t="shared" si="495"/>
        <v>940</v>
      </c>
      <c r="O1671" s="86">
        <f t="shared" si="496"/>
        <v>16585.09</v>
      </c>
      <c r="P1671" s="86">
        <f t="shared" si="497"/>
        <v>0</v>
      </c>
      <c r="Q1671" s="86">
        <f t="shared" si="498"/>
        <v>0</v>
      </c>
      <c r="R1671" s="86">
        <f t="shared" si="499"/>
        <v>0</v>
      </c>
      <c r="S1671" s="86">
        <f t="shared" si="500"/>
        <v>0</v>
      </c>
      <c r="T1671" s="86">
        <f t="shared" si="501"/>
        <v>16585.09</v>
      </c>
      <c r="U1671" s="87">
        <v>16585.09</v>
      </c>
    </row>
    <row r="1672" spans="1:21" s="30" customFormat="1" ht="24.6" hidden="1" outlineLevel="1" x14ac:dyDescent="0.55000000000000004">
      <c r="A1672" s="27" t="s">
        <v>327</v>
      </c>
      <c r="B1672" s="28"/>
      <c r="C1672" s="27"/>
      <c r="D1672" s="27" t="str">
        <f>"""NAV Direct"",""CRONUS JetCorp USA"",""21"",""1"",""372778"""</f>
        <v>"NAV Direct","CRONUS JetCorp USA","21","1","372778"</v>
      </c>
      <c r="E1672" s="31">
        <f t="shared" si="493"/>
        <v>0</v>
      </c>
      <c r="F1672" s="31"/>
      <c r="G1672" s="31"/>
      <c r="H1672" s="31"/>
      <c r="I1672" s="56"/>
      <c r="J1672" s="56"/>
      <c r="K1672" s="82" t="str">
        <f t="shared" si="494"/>
        <v>Invoice</v>
      </c>
      <c r="L1672" s="83" t="str">
        <f>"SI_111614"</f>
        <v>SI_111614</v>
      </c>
      <c r="M1672" s="84">
        <v>42907</v>
      </c>
      <c r="N1672" s="85">
        <f t="shared" si="495"/>
        <v>905</v>
      </c>
      <c r="O1672" s="86">
        <f t="shared" si="496"/>
        <v>17680.060000000001</v>
      </c>
      <c r="P1672" s="86">
        <f t="shared" si="497"/>
        <v>0</v>
      </c>
      <c r="Q1672" s="86">
        <f t="shared" si="498"/>
        <v>0</v>
      </c>
      <c r="R1672" s="86">
        <f t="shared" si="499"/>
        <v>0</v>
      </c>
      <c r="S1672" s="86">
        <f t="shared" si="500"/>
        <v>0</v>
      </c>
      <c r="T1672" s="86">
        <f t="shared" si="501"/>
        <v>17680.060000000001</v>
      </c>
      <c r="U1672" s="87">
        <v>17680.060000000001</v>
      </c>
    </row>
    <row r="1673" spans="1:21" s="30" customFormat="1" ht="24.6" hidden="1" outlineLevel="1" x14ac:dyDescent="0.55000000000000004">
      <c r="A1673" s="27" t="s">
        <v>327</v>
      </c>
      <c r="B1673" s="28"/>
      <c r="C1673" s="27"/>
      <c r="D1673" s="27" t="str">
        <f>"""NAV Direct"",""CRONUS JetCorp USA"",""21"",""1"",""372848"""</f>
        <v>"NAV Direct","CRONUS JetCorp USA","21","1","372848"</v>
      </c>
      <c r="E1673" s="31" t="str">
        <f t="shared" si="493"/>
        <v>C100059</v>
      </c>
      <c r="F1673" s="31"/>
      <c r="G1673" s="31"/>
      <c r="H1673" s="31"/>
      <c r="I1673" s="56"/>
      <c r="J1673" s="56"/>
      <c r="K1673" s="82" t="str">
        <f t="shared" si="494"/>
        <v>Invoice</v>
      </c>
      <c r="L1673" s="83" t="str">
        <f>"SI_111616"</f>
        <v>SI_111616</v>
      </c>
      <c r="M1673" s="84">
        <v>42943</v>
      </c>
      <c r="N1673" s="85">
        <f t="shared" si="495"/>
        <v>869</v>
      </c>
      <c r="O1673" s="86">
        <f t="shared" si="496"/>
        <v>15770.37</v>
      </c>
      <c r="P1673" s="86">
        <f t="shared" si="497"/>
        <v>0</v>
      </c>
      <c r="Q1673" s="86">
        <f t="shared" si="498"/>
        <v>0</v>
      </c>
      <c r="R1673" s="86">
        <f t="shared" si="499"/>
        <v>0</v>
      </c>
      <c r="S1673" s="86">
        <f t="shared" si="500"/>
        <v>0</v>
      </c>
      <c r="T1673" s="86">
        <f t="shared" si="501"/>
        <v>15770.37</v>
      </c>
      <c r="U1673" s="87">
        <v>15770.37</v>
      </c>
    </row>
    <row r="1674" spans="1:21" s="30" customFormat="1" ht="24.6" hidden="1" outlineLevel="1" x14ac:dyDescent="0.55000000000000004">
      <c r="A1674" s="27" t="s">
        <v>327</v>
      </c>
      <c r="B1674" s="28"/>
      <c r="C1674" s="27"/>
      <c r="D1674" s="27" t="str">
        <f>"""NAV Direct"",""CRONUS JetCorp USA"",""21"",""1"",""372959"""</f>
        <v>"NAV Direct","CRONUS JetCorp USA","21","1","372959"</v>
      </c>
      <c r="E1674" s="31">
        <f t="shared" si="493"/>
        <v>0</v>
      </c>
      <c r="F1674" s="31"/>
      <c r="G1674" s="31"/>
      <c r="H1674" s="31"/>
      <c r="I1674" s="56"/>
      <c r="J1674" s="56"/>
      <c r="K1674" s="82" t="str">
        <f t="shared" si="494"/>
        <v>Invoice</v>
      </c>
      <c r="L1674" s="83" t="str">
        <f>"SI_111619"</f>
        <v>SI_111619</v>
      </c>
      <c r="M1674" s="84">
        <v>42977</v>
      </c>
      <c r="N1674" s="85">
        <f t="shared" si="495"/>
        <v>835</v>
      </c>
      <c r="O1674" s="86">
        <f t="shared" si="496"/>
        <v>15653.289999999999</v>
      </c>
      <c r="P1674" s="86">
        <f t="shared" si="497"/>
        <v>0</v>
      </c>
      <c r="Q1674" s="86">
        <f t="shared" si="498"/>
        <v>0</v>
      </c>
      <c r="R1674" s="86">
        <f t="shared" si="499"/>
        <v>0</v>
      </c>
      <c r="S1674" s="86">
        <f t="shared" si="500"/>
        <v>0</v>
      </c>
      <c r="T1674" s="86">
        <f t="shared" si="501"/>
        <v>15653.289999999999</v>
      </c>
      <c r="U1674" s="87">
        <v>15653.289999999999</v>
      </c>
    </row>
    <row r="1675" spans="1:21" s="30" customFormat="1" ht="24.6" hidden="1" outlineLevel="1" x14ac:dyDescent="0.55000000000000004">
      <c r="A1675" s="27" t="s">
        <v>327</v>
      </c>
      <c r="B1675" s="28"/>
      <c r="C1675" s="27"/>
      <c r="D1675" s="27" t="str">
        <f>"""NAV Direct"",""CRONUS JetCorp USA"",""21"",""1"",""373286"""</f>
        <v>"NAV Direct","CRONUS JetCorp USA","21","1","373286"</v>
      </c>
      <c r="E1675" s="31" t="str">
        <f t="shared" si="493"/>
        <v>C100059</v>
      </c>
      <c r="F1675" s="31"/>
      <c r="G1675" s="31"/>
      <c r="H1675" s="31"/>
      <c r="I1675" s="56"/>
      <c r="J1675" s="56"/>
      <c r="K1675" s="82" t="str">
        <f t="shared" si="494"/>
        <v>Invoice</v>
      </c>
      <c r="L1675" s="83" t="str">
        <f>"SI_111628"</f>
        <v>SI_111628</v>
      </c>
      <c r="M1675" s="84">
        <v>43089</v>
      </c>
      <c r="N1675" s="85">
        <f t="shared" si="495"/>
        <v>723</v>
      </c>
      <c r="O1675" s="86">
        <f t="shared" si="496"/>
        <v>17610.91</v>
      </c>
      <c r="P1675" s="86">
        <f t="shared" si="497"/>
        <v>0</v>
      </c>
      <c r="Q1675" s="86">
        <f t="shared" si="498"/>
        <v>0</v>
      </c>
      <c r="R1675" s="86">
        <f t="shared" si="499"/>
        <v>0</v>
      </c>
      <c r="S1675" s="86">
        <f t="shared" si="500"/>
        <v>0</v>
      </c>
      <c r="T1675" s="86">
        <f t="shared" si="501"/>
        <v>17610.91</v>
      </c>
      <c r="U1675" s="87">
        <v>17610.91</v>
      </c>
    </row>
    <row r="1676" spans="1:21" s="30" customFormat="1" ht="24.6" hidden="1" outlineLevel="1" x14ac:dyDescent="0.55000000000000004">
      <c r="A1676" s="27" t="s">
        <v>327</v>
      </c>
      <c r="B1676" s="28"/>
      <c r="C1676" s="27"/>
      <c r="D1676" s="27" t="str">
        <f>"""NAV Direct"",""CRONUS JetCorp USA"",""21"",""1"",""373413"""</f>
        <v>"NAV Direct","CRONUS JetCorp USA","21","1","373413"</v>
      </c>
      <c r="E1676" s="31">
        <f t="shared" si="493"/>
        <v>0</v>
      </c>
      <c r="F1676" s="31"/>
      <c r="G1676" s="31"/>
      <c r="H1676" s="31"/>
      <c r="I1676" s="56"/>
      <c r="J1676" s="56"/>
      <c r="K1676" s="82" t="str">
        <f t="shared" si="494"/>
        <v>Invoice</v>
      </c>
      <c r="L1676" s="83" t="str">
        <f>"SI_111631"</f>
        <v>SI_111631</v>
      </c>
      <c r="M1676" s="84">
        <v>43124</v>
      </c>
      <c r="N1676" s="85">
        <f t="shared" si="495"/>
        <v>688</v>
      </c>
      <c r="O1676" s="86">
        <f t="shared" si="496"/>
        <v>16977.810000000001</v>
      </c>
      <c r="P1676" s="86">
        <f t="shared" si="497"/>
        <v>0</v>
      </c>
      <c r="Q1676" s="86">
        <f t="shared" si="498"/>
        <v>0</v>
      </c>
      <c r="R1676" s="86">
        <f t="shared" si="499"/>
        <v>0</v>
      </c>
      <c r="S1676" s="86">
        <f t="shared" si="500"/>
        <v>0</v>
      </c>
      <c r="T1676" s="86">
        <f t="shared" si="501"/>
        <v>16977.810000000001</v>
      </c>
      <c r="U1676" s="87">
        <v>16977.810000000001</v>
      </c>
    </row>
    <row r="1677" spans="1:21" s="30" customFormat="1" ht="24.6" hidden="1" outlineLevel="1" x14ac:dyDescent="0.55000000000000004">
      <c r="A1677" s="27" t="s">
        <v>327</v>
      </c>
      <c r="B1677" s="28"/>
      <c r="C1677" s="27"/>
      <c r="D1677" s="27" t="str">
        <f>"""NAV Direct"",""CRONUS JetCorp USA"",""21"",""1"",""373481"""</f>
        <v>"NAV Direct","CRONUS JetCorp USA","21","1","373481"</v>
      </c>
      <c r="E1677" s="31" t="str">
        <f t="shared" si="493"/>
        <v>C100059</v>
      </c>
      <c r="F1677" s="31"/>
      <c r="G1677" s="31"/>
      <c r="H1677" s="31"/>
      <c r="I1677" s="56"/>
      <c r="J1677" s="56"/>
      <c r="K1677" s="82" t="str">
        <f t="shared" si="494"/>
        <v>Invoice</v>
      </c>
      <c r="L1677" s="83" t="str">
        <f>"SI_111633"</f>
        <v>SI_111633</v>
      </c>
      <c r="M1677" s="84">
        <v>43125</v>
      </c>
      <c r="N1677" s="85">
        <f t="shared" si="495"/>
        <v>687</v>
      </c>
      <c r="O1677" s="86">
        <f t="shared" si="496"/>
        <v>16803.25</v>
      </c>
      <c r="P1677" s="86">
        <f t="shared" si="497"/>
        <v>0</v>
      </c>
      <c r="Q1677" s="86">
        <f t="shared" si="498"/>
        <v>0</v>
      </c>
      <c r="R1677" s="86">
        <f t="shared" si="499"/>
        <v>0</v>
      </c>
      <c r="S1677" s="86">
        <f t="shared" si="500"/>
        <v>0</v>
      </c>
      <c r="T1677" s="86">
        <f t="shared" si="501"/>
        <v>16803.25</v>
      </c>
      <c r="U1677" s="87">
        <v>16803.25</v>
      </c>
    </row>
    <row r="1678" spans="1:21" s="30" customFormat="1" ht="24.6" hidden="1" outlineLevel="1" x14ac:dyDescent="0.55000000000000004">
      <c r="A1678" s="27" t="s">
        <v>327</v>
      </c>
      <c r="B1678" s="28"/>
      <c r="C1678" s="27"/>
      <c r="D1678" s="27" t="str">
        <f>"""NAV Direct"",""CRONUS JetCorp USA"",""21"",""1"",""373781"""</f>
        <v>"NAV Direct","CRONUS JetCorp USA","21","1","373781"</v>
      </c>
      <c r="E1678" s="31">
        <f t="shared" si="493"/>
        <v>0</v>
      </c>
      <c r="F1678" s="31"/>
      <c r="G1678" s="31"/>
      <c r="H1678" s="31"/>
      <c r="I1678" s="56"/>
      <c r="J1678" s="56"/>
      <c r="K1678" s="82" t="str">
        <f t="shared" si="494"/>
        <v>Invoice</v>
      </c>
      <c r="L1678" s="83" t="str">
        <f>"SI_111641"</f>
        <v>SI_111641</v>
      </c>
      <c r="M1678" s="84">
        <v>43238</v>
      </c>
      <c r="N1678" s="85">
        <f t="shared" si="495"/>
        <v>574</v>
      </c>
      <c r="O1678" s="86">
        <f t="shared" si="496"/>
        <v>18521.97</v>
      </c>
      <c r="P1678" s="86">
        <f t="shared" si="497"/>
        <v>0</v>
      </c>
      <c r="Q1678" s="86">
        <f t="shared" si="498"/>
        <v>0</v>
      </c>
      <c r="R1678" s="86">
        <f t="shared" si="499"/>
        <v>0</v>
      </c>
      <c r="S1678" s="86">
        <f t="shared" si="500"/>
        <v>0</v>
      </c>
      <c r="T1678" s="86">
        <f t="shared" si="501"/>
        <v>18521.97</v>
      </c>
      <c r="U1678" s="87">
        <v>18521.97</v>
      </c>
    </row>
    <row r="1679" spans="1:21" s="30" customFormat="1" ht="24.6" hidden="1" outlineLevel="1" x14ac:dyDescent="0.55000000000000004">
      <c r="A1679" s="27" t="s">
        <v>327</v>
      </c>
      <c r="B1679" s="28"/>
      <c r="C1679" s="27"/>
      <c r="D1679" s="27" t="str">
        <f>"""NAV Direct"",""CRONUS JetCorp USA"",""21"",""1"",""373816"""</f>
        <v>"NAV Direct","CRONUS JetCorp USA","21","1","373816"</v>
      </c>
      <c r="E1679" s="31" t="str">
        <f t="shared" si="493"/>
        <v>C100059</v>
      </c>
      <c r="F1679" s="31"/>
      <c r="G1679" s="31"/>
      <c r="H1679" s="31"/>
      <c r="I1679" s="56"/>
      <c r="J1679" s="56"/>
      <c r="K1679" s="82" t="str">
        <f t="shared" si="494"/>
        <v>Invoice</v>
      </c>
      <c r="L1679" s="83" t="str">
        <f>"SI_111642"</f>
        <v>SI_111642</v>
      </c>
      <c r="M1679" s="84">
        <v>43253</v>
      </c>
      <c r="N1679" s="85">
        <f t="shared" si="495"/>
        <v>559</v>
      </c>
      <c r="O1679" s="86">
        <f t="shared" si="496"/>
        <v>17955.05</v>
      </c>
      <c r="P1679" s="86">
        <f t="shared" si="497"/>
        <v>0</v>
      </c>
      <c r="Q1679" s="86">
        <f t="shared" si="498"/>
        <v>0</v>
      </c>
      <c r="R1679" s="86">
        <f t="shared" si="499"/>
        <v>0</v>
      </c>
      <c r="S1679" s="86">
        <f t="shared" si="500"/>
        <v>0</v>
      </c>
      <c r="T1679" s="86">
        <f t="shared" si="501"/>
        <v>17955.05</v>
      </c>
      <c r="U1679" s="87">
        <v>17955.05</v>
      </c>
    </row>
    <row r="1680" spans="1:21" s="30" customFormat="1" ht="24.6" hidden="1" outlineLevel="1" x14ac:dyDescent="0.55000000000000004">
      <c r="A1680" s="27" t="s">
        <v>327</v>
      </c>
      <c r="B1680" s="28"/>
      <c r="C1680" s="27"/>
      <c r="D1680" s="27" t="str">
        <f>"""NAV Direct"",""CRONUS JetCorp USA"",""21"",""1"",""373839"""</f>
        <v>"NAV Direct","CRONUS JetCorp USA","21","1","373839"</v>
      </c>
      <c r="E1680" s="31">
        <f t="shared" si="493"/>
        <v>0</v>
      </c>
      <c r="F1680" s="31"/>
      <c r="G1680" s="31"/>
      <c r="H1680" s="31"/>
      <c r="I1680" s="56"/>
      <c r="J1680" s="56"/>
      <c r="K1680" s="82" t="str">
        <f t="shared" si="494"/>
        <v>Invoice</v>
      </c>
      <c r="L1680" s="83" t="str">
        <f>"SI_111643"</f>
        <v>SI_111643</v>
      </c>
      <c r="M1680" s="84">
        <v>43260</v>
      </c>
      <c r="N1680" s="85">
        <f t="shared" si="495"/>
        <v>552</v>
      </c>
      <c r="O1680" s="86">
        <f t="shared" si="496"/>
        <v>18521.63</v>
      </c>
      <c r="P1680" s="86">
        <f t="shared" si="497"/>
        <v>0</v>
      </c>
      <c r="Q1680" s="86">
        <f t="shared" si="498"/>
        <v>0</v>
      </c>
      <c r="R1680" s="86">
        <f t="shared" si="499"/>
        <v>0</v>
      </c>
      <c r="S1680" s="86">
        <f t="shared" si="500"/>
        <v>0</v>
      </c>
      <c r="T1680" s="86">
        <f t="shared" si="501"/>
        <v>18521.63</v>
      </c>
      <c r="U1680" s="87">
        <v>18521.63</v>
      </c>
    </row>
    <row r="1681" spans="1:21" s="30" customFormat="1" ht="24.6" hidden="1" outlineLevel="1" x14ac:dyDescent="0.55000000000000004">
      <c r="A1681" s="27" t="s">
        <v>327</v>
      </c>
      <c r="B1681" s="28"/>
      <c r="C1681" s="27"/>
      <c r="D1681" s="27" t="str">
        <f>"""NAV Direct"",""CRONUS JetCorp USA"",""21"",""1"",""374256"""</f>
        <v>"NAV Direct","CRONUS JetCorp USA","21","1","374256"</v>
      </c>
      <c r="E1681" s="31" t="str">
        <f t="shared" si="493"/>
        <v>C100059</v>
      </c>
      <c r="F1681" s="31"/>
      <c r="G1681" s="31"/>
      <c r="H1681" s="31"/>
      <c r="I1681" s="56"/>
      <c r="J1681" s="56"/>
      <c r="K1681" s="82" t="str">
        <f t="shared" si="494"/>
        <v>Invoice</v>
      </c>
      <c r="L1681" s="83" t="str">
        <f>"SI_111654"</f>
        <v>SI_111654</v>
      </c>
      <c r="M1681" s="84">
        <v>43373</v>
      </c>
      <c r="N1681" s="85">
        <f t="shared" si="495"/>
        <v>439</v>
      </c>
      <c r="O1681" s="86">
        <f t="shared" si="496"/>
        <v>17127.66</v>
      </c>
      <c r="P1681" s="86">
        <f t="shared" si="497"/>
        <v>0</v>
      </c>
      <c r="Q1681" s="86">
        <f t="shared" si="498"/>
        <v>0</v>
      </c>
      <c r="R1681" s="86">
        <f t="shared" si="499"/>
        <v>0</v>
      </c>
      <c r="S1681" s="86">
        <f t="shared" si="500"/>
        <v>0</v>
      </c>
      <c r="T1681" s="86">
        <f t="shared" si="501"/>
        <v>17127.66</v>
      </c>
      <c r="U1681" s="87">
        <v>17127.66</v>
      </c>
    </row>
    <row r="1682" spans="1:21" s="30" customFormat="1" ht="24.6" hidden="1" outlineLevel="1" x14ac:dyDescent="0.55000000000000004">
      <c r="A1682" s="27" t="s">
        <v>327</v>
      </c>
      <c r="B1682" s="28"/>
      <c r="C1682" s="27"/>
      <c r="D1682" s="27" t="str">
        <f>"""NAV Direct"",""CRONUS JetCorp USA"",""21"",""1"",""374336"""</f>
        <v>"NAV Direct","CRONUS JetCorp USA","21","1","374336"</v>
      </c>
      <c r="E1682" s="31">
        <f t="shared" si="493"/>
        <v>0</v>
      </c>
      <c r="F1682" s="31"/>
      <c r="G1682" s="31"/>
      <c r="H1682" s="31"/>
      <c r="I1682" s="56"/>
      <c r="J1682" s="56"/>
      <c r="K1682" s="82" t="str">
        <f t="shared" si="494"/>
        <v>Invoice</v>
      </c>
      <c r="L1682" s="83" t="str">
        <f>"SI_111656"</f>
        <v>SI_111656</v>
      </c>
      <c r="M1682" s="84">
        <v>43399</v>
      </c>
      <c r="N1682" s="85">
        <f t="shared" si="495"/>
        <v>413</v>
      </c>
      <c r="O1682" s="86">
        <f t="shared" si="496"/>
        <v>17720.93</v>
      </c>
      <c r="P1682" s="86">
        <f t="shared" si="497"/>
        <v>0</v>
      </c>
      <c r="Q1682" s="86">
        <f t="shared" si="498"/>
        <v>0</v>
      </c>
      <c r="R1682" s="86">
        <f t="shared" si="499"/>
        <v>0</v>
      </c>
      <c r="S1682" s="86">
        <f t="shared" si="500"/>
        <v>0</v>
      </c>
      <c r="T1682" s="86">
        <f t="shared" si="501"/>
        <v>17720.93</v>
      </c>
      <c r="U1682" s="87">
        <v>17720.93</v>
      </c>
    </row>
    <row r="1683" spans="1:21" s="30" customFormat="1" ht="24.6" hidden="1" outlineLevel="1" x14ac:dyDescent="0.55000000000000004">
      <c r="A1683" s="27" t="s">
        <v>327</v>
      </c>
      <c r="B1683" s="28"/>
      <c r="C1683" s="27"/>
      <c r="D1683" s="27" t="str">
        <f>"""NAV Direct"",""CRONUS JetCorp USA"",""21"",""1"",""374428"""</f>
        <v>"NAV Direct","CRONUS JetCorp USA","21","1","374428"</v>
      </c>
      <c r="E1683" s="31" t="str">
        <f t="shared" ref="E1683:E1714" si="502">E1681</f>
        <v>C100059</v>
      </c>
      <c r="F1683" s="31"/>
      <c r="G1683" s="31"/>
      <c r="H1683" s="31"/>
      <c r="I1683" s="56"/>
      <c r="J1683" s="56"/>
      <c r="K1683" s="82" t="str">
        <f t="shared" ref="K1683:K1708" si="503">"Invoice"</f>
        <v>Invoice</v>
      </c>
      <c r="L1683" s="83" t="str">
        <f>"SI_111658"</f>
        <v>SI_111658</v>
      </c>
      <c r="M1683" s="84">
        <v>43394</v>
      </c>
      <c r="N1683" s="85">
        <f t="shared" ref="N1683:N1714" si="504">StartDate-$M1683+1</f>
        <v>418</v>
      </c>
      <c r="O1683" s="86">
        <f t="shared" ref="O1683:O1714" si="505">SUM(P1683:T1683)</f>
        <v>17530.420000000002</v>
      </c>
      <c r="P1683" s="86">
        <f t="shared" ref="P1683:P1714" si="506">IF($M1683&gt;=$P$18,U1683,0)</f>
        <v>0</v>
      </c>
      <c r="Q1683" s="86">
        <f t="shared" ref="Q1683:Q1714" si="507">IF(AND($M1683&gt;=$Q$16,$M1683&lt;=$Q$18),U1683,0)</f>
        <v>0</v>
      </c>
      <c r="R1683" s="86">
        <f t="shared" ref="R1683:R1714" si="508">IF(AND($M1683&gt;=$R$16,$M1683&lt;=$R$18),U1683,0)</f>
        <v>0</v>
      </c>
      <c r="S1683" s="86">
        <f t="shared" ref="S1683:S1714" si="509">IF(AND($M1683&gt;=$S$16,$M1683&lt;=$S$18),U1683,0)</f>
        <v>0</v>
      </c>
      <c r="T1683" s="86">
        <f t="shared" ref="T1683:T1714" si="510">IF($M1683&lt;=$T$18,U1683,0)</f>
        <v>17530.420000000002</v>
      </c>
      <c r="U1683" s="87">
        <v>17530.420000000002</v>
      </c>
    </row>
    <row r="1684" spans="1:21" s="30" customFormat="1" ht="24.6" hidden="1" outlineLevel="1" x14ac:dyDescent="0.55000000000000004">
      <c r="A1684" s="27" t="s">
        <v>327</v>
      </c>
      <c r="B1684" s="28"/>
      <c r="C1684" s="27"/>
      <c r="D1684" s="27" t="str">
        <f>"""NAV Direct"",""CRONUS JetCorp USA"",""21"",""1"",""374473"""</f>
        <v>"NAV Direct","CRONUS JetCorp USA","21","1","374473"</v>
      </c>
      <c r="E1684" s="31">
        <f t="shared" si="502"/>
        <v>0</v>
      </c>
      <c r="F1684" s="31"/>
      <c r="G1684" s="31"/>
      <c r="H1684" s="31"/>
      <c r="I1684" s="56"/>
      <c r="J1684" s="56"/>
      <c r="K1684" s="82" t="str">
        <f t="shared" si="503"/>
        <v>Invoice</v>
      </c>
      <c r="L1684" s="83" t="str">
        <f>"SI_111659"</f>
        <v>SI_111659</v>
      </c>
      <c r="M1684" s="84">
        <v>43429</v>
      </c>
      <c r="N1684" s="85">
        <f t="shared" si="504"/>
        <v>383</v>
      </c>
      <c r="O1684" s="86">
        <f t="shared" si="505"/>
        <v>16463.400000000001</v>
      </c>
      <c r="P1684" s="86">
        <f t="shared" si="506"/>
        <v>0</v>
      </c>
      <c r="Q1684" s="86">
        <f t="shared" si="507"/>
        <v>0</v>
      </c>
      <c r="R1684" s="86">
        <f t="shared" si="508"/>
        <v>0</v>
      </c>
      <c r="S1684" s="86">
        <f t="shared" si="509"/>
        <v>0</v>
      </c>
      <c r="T1684" s="86">
        <f t="shared" si="510"/>
        <v>16463.400000000001</v>
      </c>
      <c r="U1684" s="87">
        <v>16463.400000000001</v>
      </c>
    </row>
    <row r="1685" spans="1:21" s="30" customFormat="1" ht="24.6" hidden="1" outlineLevel="1" x14ac:dyDescent="0.55000000000000004">
      <c r="A1685" s="27" t="s">
        <v>327</v>
      </c>
      <c r="B1685" s="28"/>
      <c r="C1685" s="27"/>
      <c r="D1685" s="27" t="str">
        <f>"""NAV Direct"",""CRONUS JetCorp USA"",""21"",""1"",""374727"""</f>
        <v>"NAV Direct","CRONUS JetCorp USA","21","1","374727"</v>
      </c>
      <c r="E1685" s="31" t="str">
        <f t="shared" si="502"/>
        <v>C100059</v>
      </c>
      <c r="F1685" s="31"/>
      <c r="G1685" s="31"/>
      <c r="H1685" s="31"/>
      <c r="I1685" s="56"/>
      <c r="J1685" s="56"/>
      <c r="K1685" s="82" t="str">
        <f t="shared" si="503"/>
        <v>Invoice</v>
      </c>
      <c r="L1685" s="83" t="str">
        <f>"SI_111667"</f>
        <v>SI_111667</v>
      </c>
      <c r="M1685" s="84">
        <v>43504</v>
      </c>
      <c r="N1685" s="85">
        <f t="shared" si="504"/>
        <v>308</v>
      </c>
      <c r="O1685" s="86">
        <f t="shared" si="505"/>
        <v>13890.51</v>
      </c>
      <c r="P1685" s="86">
        <f t="shared" si="506"/>
        <v>0</v>
      </c>
      <c r="Q1685" s="86">
        <f t="shared" si="507"/>
        <v>0</v>
      </c>
      <c r="R1685" s="86">
        <f t="shared" si="508"/>
        <v>0</v>
      </c>
      <c r="S1685" s="86">
        <f t="shared" si="509"/>
        <v>0</v>
      </c>
      <c r="T1685" s="86">
        <f t="shared" si="510"/>
        <v>13890.51</v>
      </c>
      <c r="U1685" s="87">
        <v>13890.51</v>
      </c>
    </row>
    <row r="1686" spans="1:21" s="30" customFormat="1" ht="24.6" hidden="1" outlineLevel="1" x14ac:dyDescent="0.55000000000000004">
      <c r="A1686" s="27" t="s">
        <v>327</v>
      </c>
      <c r="B1686" s="28"/>
      <c r="C1686" s="27"/>
      <c r="D1686" s="27" t="str">
        <f>"""NAV Direct"",""CRONUS JetCorp USA"",""21"",""1"",""374849"""</f>
        <v>"NAV Direct","CRONUS JetCorp USA","21","1","374849"</v>
      </c>
      <c r="E1686" s="31">
        <f t="shared" si="502"/>
        <v>0</v>
      </c>
      <c r="F1686" s="31"/>
      <c r="G1686" s="31"/>
      <c r="H1686" s="31"/>
      <c r="I1686" s="56"/>
      <c r="J1686" s="56"/>
      <c r="K1686" s="82" t="str">
        <f t="shared" si="503"/>
        <v>Invoice</v>
      </c>
      <c r="L1686" s="83" t="str">
        <f>"SI_111671"</f>
        <v>SI_111671</v>
      </c>
      <c r="M1686" s="84">
        <v>43525</v>
      </c>
      <c r="N1686" s="85">
        <f t="shared" si="504"/>
        <v>287</v>
      </c>
      <c r="O1686" s="86">
        <f t="shared" si="505"/>
        <v>15450.420000000002</v>
      </c>
      <c r="P1686" s="86">
        <f t="shared" si="506"/>
        <v>0</v>
      </c>
      <c r="Q1686" s="86">
        <f t="shared" si="507"/>
        <v>0</v>
      </c>
      <c r="R1686" s="86">
        <f t="shared" si="508"/>
        <v>0</v>
      </c>
      <c r="S1686" s="86">
        <f t="shared" si="509"/>
        <v>0</v>
      </c>
      <c r="T1686" s="86">
        <f t="shared" si="510"/>
        <v>15450.420000000002</v>
      </c>
      <c r="U1686" s="87">
        <v>15450.420000000002</v>
      </c>
    </row>
    <row r="1687" spans="1:21" s="30" customFormat="1" ht="24.6" hidden="1" outlineLevel="1" x14ac:dyDescent="0.55000000000000004">
      <c r="A1687" s="27" t="s">
        <v>327</v>
      </c>
      <c r="B1687" s="28"/>
      <c r="C1687" s="27"/>
      <c r="D1687" s="27" t="str">
        <f>"""NAV Direct"",""CRONUS JetCorp USA"",""21"",""1"",""374886"""</f>
        <v>"NAV Direct","CRONUS JetCorp USA","21","1","374886"</v>
      </c>
      <c r="E1687" s="31" t="str">
        <f t="shared" si="502"/>
        <v>C100059</v>
      </c>
      <c r="F1687" s="31"/>
      <c r="G1687" s="31"/>
      <c r="H1687" s="31"/>
      <c r="I1687" s="56"/>
      <c r="J1687" s="56"/>
      <c r="K1687" s="82" t="str">
        <f t="shared" si="503"/>
        <v>Invoice</v>
      </c>
      <c r="L1687" s="83" t="str">
        <f>"SI_111672"</f>
        <v>SI_111672</v>
      </c>
      <c r="M1687" s="84">
        <v>43542</v>
      </c>
      <c r="N1687" s="85">
        <f t="shared" si="504"/>
        <v>270</v>
      </c>
      <c r="O1687" s="86">
        <f t="shared" si="505"/>
        <v>18948.16</v>
      </c>
      <c r="P1687" s="86">
        <f t="shared" si="506"/>
        <v>0</v>
      </c>
      <c r="Q1687" s="86">
        <f t="shared" si="507"/>
        <v>0</v>
      </c>
      <c r="R1687" s="86">
        <f t="shared" si="508"/>
        <v>0</v>
      </c>
      <c r="S1687" s="86">
        <f t="shared" si="509"/>
        <v>0</v>
      </c>
      <c r="T1687" s="86">
        <f t="shared" si="510"/>
        <v>18948.16</v>
      </c>
      <c r="U1687" s="87">
        <v>18948.16</v>
      </c>
    </row>
    <row r="1688" spans="1:21" s="30" customFormat="1" ht="24.6" hidden="1" outlineLevel="1" x14ac:dyDescent="0.55000000000000004">
      <c r="A1688" s="27" t="s">
        <v>327</v>
      </c>
      <c r="B1688" s="28"/>
      <c r="C1688" s="27"/>
      <c r="D1688" s="27" t="str">
        <f>"""NAV Direct"",""CRONUS JetCorp USA"",""21"",""1"",""375150"""</f>
        <v>"NAV Direct","CRONUS JetCorp USA","21","1","375150"</v>
      </c>
      <c r="E1688" s="31">
        <f t="shared" si="502"/>
        <v>0</v>
      </c>
      <c r="F1688" s="31"/>
      <c r="G1688" s="31"/>
      <c r="H1688" s="31"/>
      <c r="I1688" s="56"/>
      <c r="J1688" s="56"/>
      <c r="K1688" s="82" t="str">
        <f t="shared" si="503"/>
        <v>Invoice</v>
      </c>
      <c r="L1688" s="83" t="str">
        <f>"SI_111678"</f>
        <v>SI_111678</v>
      </c>
      <c r="M1688" s="84">
        <v>43610</v>
      </c>
      <c r="N1688" s="85">
        <f t="shared" si="504"/>
        <v>202</v>
      </c>
      <c r="O1688" s="86">
        <f t="shared" si="505"/>
        <v>24101.68</v>
      </c>
      <c r="P1688" s="86">
        <f t="shared" si="506"/>
        <v>0</v>
      </c>
      <c r="Q1688" s="86">
        <f t="shared" si="507"/>
        <v>0</v>
      </c>
      <c r="R1688" s="86">
        <f t="shared" si="508"/>
        <v>0</v>
      </c>
      <c r="S1688" s="86">
        <f t="shared" si="509"/>
        <v>0</v>
      </c>
      <c r="T1688" s="86">
        <f t="shared" si="510"/>
        <v>24101.68</v>
      </c>
      <c r="U1688" s="87">
        <v>24101.68</v>
      </c>
    </row>
    <row r="1689" spans="1:21" s="30" customFormat="1" ht="24.6" hidden="1" outlineLevel="1" x14ac:dyDescent="0.55000000000000004">
      <c r="A1689" s="27" t="s">
        <v>327</v>
      </c>
      <c r="B1689" s="28"/>
      <c r="C1689" s="27"/>
      <c r="D1689" s="27" t="str">
        <f>"""NAV Direct"",""CRONUS JetCorp USA"",""21"",""1"",""375269"""</f>
        <v>"NAV Direct","CRONUS JetCorp USA","21","1","375269"</v>
      </c>
      <c r="E1689" s="31" t="str">
        <f t="shared" si="502"/>
        <v>C100059</v>
      </c>
      <c r="F1689" s="31"/>
      <c r="G1689" s="31"/>
      <c r="H1689" s="31"/>
      <c r="I1689" s="56"/>
      <c r="J1689" s="56"/>
      <c r="K1689" s="82" t="str">
        <f t="shared" si="503"/>
        <v>Invoice</v>
      </c>
      <c r="L1689" s="83" t="str">
        <f>"SI_111681"</f>
        <v>SI_111681</v>
      </c>
      <c r="M1689" s="84">
        <v>43644</v>
      </c>
      <c r="N1689" s="85">
        <f t="shared" si="504"/>
        <v>168</v>
      </c>
      <c r="O1689" s="86">
        <f t="shared" si="505"/>
        <v>25368.13</v>
      </c>
      <c r="P1689" s="86">
        <f t="shared" si="506"/>
        <v>0</v>
      </c>
      <c r="Q1689" s="86">
        <f t="shared" si="507"/>
        <v>0</v>
      </c>
      <c r="R1689" s="86">
        <f t="shared" si="508"/>
        <v>0</v>
      </c>
      <c r="S1689" s="86">
        <f t="shared" si="509"/>
        <v>0</v>
      </c>
      <c r="T1689" s="86">
        <f t="shared" si="510"/>
        <v>25368.13</v>
      </c>
      <c r="U1689" s="87">
        <v>25368.13</v>
      </c>
    </row>
    <row r="1690" spans="1:21" s="30" customFormat="1" ht="24.6" hidden="1" outlineLevel="1" x14ac:dyDescent="0.55000000000000004">
      <c r="A1690" s="27" t="s">
        <v>327</v>
      </c>
      <c r="B1690" s="28"/>
      <c r="C1690" s="27"/>
      <c r="D1690" s="27" t="str">
        <f>"""NAV Direct"",""CRONUS JetCorp USA"",""21"",""1"",""375363"""</f>
        <v>"NAV Direct","CRONUS JetCorp USA","21","1","375363"</v>
      </c>
      <c r="E1690" s="31">
        <f t="shared" si="502"/>
        <v>0</v>
      </c>
      <c r="F1690" s="31"/>
      <c r="G1690" s="31"/>
      <c r="H1690" s="31"/>
      <c r="I1690" s="56"/>
      <c r="J1690" s="56"/>
      <c r="K1690" s="82" t="str">
        <f t="shared" si="503"/>
        <v>Invoice</v>
      </c>
      <c r="L1690" s="83" t="str">
        <f>"SI_111683"</f>
        <v>SI_111683</v>
      </c>
      <c r="M1690" s="84">
        <v>43650</v>
      </c>
      <c r="N1690" s="85">
        <f t="shared" si="504"/>
        <v>162</v>
      </c>
      <c r="O1690" s="86">
        <f t="shared" si="505"/>
        <v>24540.050000000003</v>
      </c>
      <c r="P1690" s="86">
        <f t="shared" si="506"/>
        <v>0</v>
      </c>
      <c r="Q1690" s="86">
        <f t="shared" si="507"/>
        <v>0</v>
      </c>
      <c r="R1690" s="86">
        <f t="shared" si="508"/>
        <v>0</v>
      </c>
      <c r="S1690" s="86">
        <f t="shared" si="509"/>
        <v>0</v>
      </c>
      <c r="T1690" s="86">
        <f t="shared" si="510"/>
        <v>24540.050000000003</v>
      </c>
      <c r="U1690" s="87">
        <v>24540.050000000003</v>
      </c>
    </row>
    <row r="1691" spans="1:21" s="30" customFormat="1" ht="24.6" hidden="1" outlineLevel="1" x14ac:dyDescent="0.55000000000000004">
      <c r="A1691" s="27" t="s">
        <v>327</v>
      </c>
      <c r="B1691" s="28"/>
      <c r="C1691" s="27"/>
      <c r="D1691" s="27" t="str">
        <f>"""NAV Direct"",""CRONUS JetCorp USA"",""21"",""1"",""375445"""</f>
        <v>"NAV Direct","CRONUS JetCorp USA","21","1","375445"</v>
      </c>
      <c r="E1691" s="31" t="str">
        <f t="shared" si="502"/>
        <v>C100059</v>
      </c>
      <c r="F1691" s="31"/>
      <c r="G1691" s="31"/>
      <c r="H1691" s="31"/>
      <c r="I1691" s="56"/>
      <c r="J1691" s="56"/>
      <c r="K1691" s="82" t="str">
        <f t="shared" si="503"/>
        <v>Invoice</v>
      </c>
      <c r="L1691" s="83" t="str">
        <f>"SI_111685"</f>
        <v>SI_111685</v>
      </c>
      <c r="M1691" s="84">
        <v>43669</v>
      </c>
      <c r="N1691" s="85">
        <f t="shared" si="504"/>
        <v>143</v>
      </c>
      <c r="O1691" s="86">
        <f t="shared" si="505"/>
        <v>18768.66</v>
      </c>
      <c r="P1691" s="86">
        <f t="shared" si="506"/>
        <v>0</v>
      </c>
      <c r="Q1691" s="86">
        <f t="shared" si="507"/>
        <v>0</v>
      </c>
      <c r="R1691" s="86">
        <f t="shared" si="508"/>
        <v>0</v>
      </c>
      <c r="S1691" s="86">
        <f t="shared" si="509"/>
        <v>0</v>
      </c>
      <c r="T1691" s="86">
        <f t="shared" si="510"/>
        <v>18768.66</v>
      </c>
      <c r="U1691" s="87">
        <v>18768.66</v>
      </c>
    </row>
    <row r="1692" spans="1:21" s="30" customFormat="1" ht="24.6" hidden="1" outlineLevel="1" x14ac:dyDescent="0.55000000000000004">
      <c r="A1692" s="27" t="s">
        <v>327</v>
      </c>
      <c r="B1692" s="28"/>
      <c r="C1692" s="27"/>
      <c r="D1692" s="27" t="str">
        <f>"""NAV Direct"",""CRONUS JetCorp USA"",""21"",""1"",""375908"""</f>
        <v>"NAV Direct","CRONUS JetCorp USA","21","1","375908"</v>
      </c>
      <c r="E1692" s="31">
        <f t="shared" si="502"/>
        <v>0</v>
      </c>
      <c r="F1692" s="31"/>
      <c r="G1692" s="31"/>
      <c r="H1692" s="31"/>
      <c r="I1692" s="56"/>
      <c r="J1692" s="56"/>
      <c r="K1692" s="82" t="str">
        <f t="shared" si="503"/>
        <v>Invoice</v>
      </c>
      <c r="L1692" s="83" t="str">
        <f>"SI_111696"</f>
        <v>SI_111696</v>
      </c>
      <c r="M1692" s="84">
        <v>43811</v>
      </c>
      <c r="N1692" s="85">
        <f t="shared" si="504"/>
        <v>1</v>
      </c>
      <c r="O1692" s="86">
        <f t="shared" si="505"/>
        <v>19966.41</v>
      </c>
      <c r="P1692" s="86">
        <f t="shared" si="506"/>
        <v>0</v>
      </c>
      <c r="Q1692" s="86">
        <f t="shared" si="507"/>
        <v>19966.41</v>
      </c>
      <c r="R1692" s="86">
        <f t="shared" si="508"/>
        <v>0</v>
      </c>
      <c r="S1692" s="86">
        <f t="shared" si="509"/>
        <v>0</v>
      </c>
      <c r="T1692" s="86">
        <f t="shared" si="510"/>
        <v>0</v>
      </c>
      <c r="U1692" s="87">
        <v>19966.41</v>
      </c>
    </row>
    <row r="1693" spans="1:21" s="30" customFormat="1" ht="24.6" hidden="1" outlineLevel="1" x14ac:dyDescent="0.55000000000000004">
      <c r="A1693" s="27" t="s">
        <v>327</v>
      </c>
      <c r="B1693" s="28"/>
      <c r="C1693" s="27"/>
      <c r="D1693" s="27" t="str">
        <f>"""NAV Direct"",""CRONUS JetCorp USA"",""21"",""1"",""375949"""</f>
        <v>"NAV Direct","CRONUS JetCorp USA","21","1","375949"</v>
      </c>
      <c r="E1693" s="31" t="str">
        <f t="shared" si="502"/>
        <v>C100059</v>
      </c>
      <c r="F1693" s="31"/>
      <c r="G1693" s="31"/>
      <c r="H1693" s="31"/>
      <c r="I1693" s="56"/>
      <c r="J1693" s="56"/>
      <c r="K1693" s="82" t="str">
        <f t="shared" si="503"/>
        <v>Invoice</v>
      </c>
      <c r="L1693" s="83" t="str">
        <f>"SI_111697"</f>
        <v>SI_111697</v>
      </c>
      <c r="M1693" s="84">
        <v>43819</v>
      </c>
      <c r="N1693" s="85">
        <f t="shared" si="504"/>
        <v>-7</v>
      </c>
      <c r="O1693" s="86">
        <f t="shared" si="505"/>
        <v>20588.03</v>
      </c>
      <c r="P1693" s="86">
        <f t="shared" si="506"/>
        <v>20588.03</v>
      </c>
      <c r="Q1693" s="86">
        <f t="shared" si="507"/>
        <v>0</v>
      </c>
      <c r="R1693" s="86">
        <f t="shared" si="508"/>
        <v>0</v>
      </c>
      <c r="S1693" s="86">
        <f t="shared" si="509"/>
        <v>0</v>
      </c>
      <c r="T1693" s="86">
        <f t="shared" si="510"/>
        <v>0</v>
      </c>
      <c r="U1693" s="87">
        <v>20588.03</v>
      </c>
    </row>
    <row r="1694" spans="1:21" s="30" customFormat="1" ht="24.6" hidden="1" outlineLevel="1" x14ac:dyDescent="0.55000000000000004">
      <c r="A1694" s="27" t="s">
        <v>327</v>
      </c>
      <c r="B1694" s="28"/>
      <c r="C1694" s="27"/>
      <c r="D1694" s="27" t="str">
        <f>"""NAV Direct"",""CRONUS JetCorp USA"",""21"",""1"",""376025"""</f>
        <v>"NAV Direct","CRONUS JetCorp USA","21","1","376025"</v>
      </c>
      <c r="E1694" s="31">
        <f t="shared" si="502"/>
        <v>0</v>
      </c>
      <c r="F1694" s="31"/>
      <c r="G1694" s="31"/>
      <c r="H1694" s="31"/>
      <c r="I1694" s="56"/>
      <c r="J1694" s="56"/>
      <c r="K1694" s="82" t="str">
        <f t="shared" si="503"/>
        <v>Invoice</v>
      </c>
      <c r="L1694" s="83" t="str">
        <f>"SI_111699"</f>
        <v>SI_111699</v>
      </c>
      <c r="M1694" s="84">
        <v>42023</v>
      </c>
      <c r="N1694" s="85">
        <f t="shared" si="504"/>
        <v>1789</v>
      </c>
      <c r="O1694" s="86">
        <f t="shared" si="505"/>
        <v>20143.009999999998</v>
      </c>
      <c r="P1694" s="86">
        <f t="shared" si="506"/>
        <v>0</v>
      </c>
      <c r="Q1694" s="86">
        <f t="shared" si="507"/>
        <v>0</v>
      </c>
      <c r="R1694" s="86">
        <f t="shared" si="508"/>
        <v>0</v>
      </c>
      <c r="S1694" s="86">
        <f t="shared" si="509"/>
        <v>0</v>
      </c>
      <c r="T1694" s="86">
        <f t="shared" si="510"/>
        <v>20143.009999999998</v>
      </c>
      <c r="U1694" s="87">
        <v>20143.009999999998</v>
      </c>
    </row>
    <row r="1695" spans="1:21" s="30" customFormat="1" ht="24.6" hidden="1" outlineLevel="1" x14ac:dyDescent="0.55000000000000004">
      <c r="A1695" s="27" t="s">
        <v>327</v>
      </c>
      <c r="B1695" s="28"/>
      <c r="C1695" s="27"/>
      <c r="D1695" s="27" t="str">
        <f>"""NAV Direct"",""CRONUS JetCorp USA"",""21"",""1"",""376130"""</f>
        <v>"NAV Direct","CRONUS JetCorp USA","21","1","376130"</v>
      </c>
      <c r="E1695" s="31" t="str">
        <f t="shared" si="502"/>
        <v>C100059</v>
      </c>
      <c r="F1695" s="31"/>
      <c r="G1695" s="31"/>
      <c r="H1695" s="31"/>
      <c r="I1695" s="56"/>
      <c r="J1695" s="56"/>
      <c r="K1695" s="82" t="str">
        <f t="shared" si="503"/>
        <v>Invoice</v>
      </c>
      <c r="L1695" s="83" t="str">
        <f>"SI_111702"</f>
        <v>SI_111702</v>
      </c>
      <c r="M1695" s="84">
        <v>42062</v>
      </c>
      <c r="N1695" s="85">
        <f t="shared" si="504"/>
        <v>1750</v>
      </c>
      <c r="O1695" s="86">
        <f t="shared" si="505"/>
        <v>19458.350000000002</v>
      </c>
      <c r="P1695" s="86">
        <f t="shared" si="506"/>
        <v>0</v>
      </c>
      <c r="Q1695" s="86">
        <f t="shared" si="507"/>
        <v>0</v>
      </c>
      <c r="R1695" s="86">
        <f t="shared" si="508"/>
        <v>0</v>
      </c>
      <c r="S1695" s="86">
        <f t="shared" si="509"/>
        <v>0</v>
      </c>
      <c r="T1695" s="86">
        <f t="shared" si="510"/>
        <v>19458.350000000002</v>
      </c>
      <c r="U1695" s="87">
        <v>19458.350000000002</v>
      </c>
    </row>
    <row r="1696" spans="1:21" s="30" customFormat="1" ht="24.6" hidden="1" outlineLevel="1" x14ac:dyDescent="0.55000000000000004">
      <c r="A1696" s="27" t="s">
        <v>327</v>
      </c>
      <c r="B1696" s="28"/>
      <c r="C1696" s="27"/>
      <c r="D1696" s="27" t="str">
        <f>"""NAV Direct"",""CRONUS JetCorp USA"",""21"",""1"",""376202"""</f>
        <v>"NAV Direct","CRONUS JetCorp USA","21","1","376202"</v>
      </c>
      <c r="E1696" s="31">
        <f t="shared" si="502"/>
        <v>0</v>
      </c>
      <c r="F1696" s="31"/>
      <c r="G1696" s="31"/>
      <c r="H1696" s="31"/>
      <c r="I1696" s="56"/>
      <c r="J1696" s="56"/>
      <c r="K1696" s="82" t="str">
        <f t="shared" si="503"/>
        <v>Invoice</v>
      </c>
      <c r="L1696" s="83" t="str">
        <f>"SI_111704"</f>
        <v>SI_111704</v>
      </c>
      <c r="M1696" s="84">
        <v>42092</v>
      </c>
      <c r="N1696" s="85">
        <f t="shared" si="504"/>
        <v>1720</v>
      </c>
      <c r="O1696" s="86">
        <f t="shared" si="505"/>
        <v>19029.2</v>
      </c>
      <c r="P1696" s="86">
        <f t="shared" si="506"/>
        <v>0</v>
      </c>
      <c r="Q1696" s="86">
        <f t="shared" si="507"/>
        <v>0</v>
      </c>
      <c r="R1696" s="86">
        <f t="shared" si="508"/>
        <v>0</v>
      </c>
      <c r="S1696" s="86">
        <f t="shared" si="509"/>
        <v>0</v>
      </c>
      <c r="T1696" s="86">
        <f t="shared" si="510"/>
        <v>19029.2</v>
      </c>
      <c r="U1696" s="87">
        <v>19029.2</v>
      </c>
    </row>
    <row r="1697" spans="1:21" s="30" customFormat="1" ht="24.6" hidden="1" outlineLevel="1" x14ac:dyDescent="0.55000000000000004">
      <c r="A1697" s="27" t="s">
        <v>327</v>
      </c>
      <c r="B1697" s="28"/>
      <c r="C1697" s="27"/>
      <c r="D1697" s="27" t="str">
        <f>"""NAV Direct"",""CRONUS JetCorp USA"",""21"",""1"",""376313"""</f>
        <v>"NAV Direct","CRONUS JetCorp USA","21","1","376313"</v>
      </c>
      <c r="E1697" s="31" t="str">
        <f t="shared" si="502"/>
        <v>C100059</v>
      </c>
      <c r="F1697" s="31"/>
      <c r="G1697" s="31"/>
      <c r="H1697" s="31"/>
      <c r="I1697" s="56"/>
      <c r="J1697" s="56"/>
      <c r="K1697" s="82" t="str">
        <f t="shared" si="503"/>
        <v>Invoice</v>
      </c>
      <c r="L1697" s="83" t="str">
        <f>"SI_111707"</f>
        <v>SI_111707</v>
      </c>
      <c r="M1697" s="84">
        <v>42112</v>
      </c>
      <c r="N1697" s="85">
        <f t="shared" si="504"/>
        <v>1700</v>
      </c>
      <c r="O1697" s="86">
        <f t="shared" si="505"/>
        <v>22360.359999999997</v>
      </c>
      <c r="P1697" s="86">
        <f t="shared" si="506"/>
        <v>0</v>
      </c>
      <c r="Q1697" s="86">
        <f t="shared" si="507"/>
        <v>0</v>
      </c>
      <c r="R1697" s="86">
        <f t="shared" si="508"/>
        <v>0</v>
      </c>
      <c r="S1697" s="86">
        <f t="shared" si="509"/>
        <v>0</v>
      </c>
      <c r="T1697" s="86">
        <f t="shared" si="510"/>
        <v>22360.359999999997</v>
      </c>
      <c r="U1697" s="87">
        <v>22360.359999999997</v>
      </c>
    </row>
    <row r="1698" spans="1:21" s="30" customFormat="1" ht="24.6" hidden="1" outlineLevel="1" x14ac:dyDescent="0.55000000000000004">
      <c r="A1698" s="27" t="s">
        <v>327</v>
      </c>
      <c r="B1698" s="28"/>
      <c r="C1698" s="27"/>
      <c r="D1698" s="27" t="str">
        <f>"""NAV Direct"",""CRONUS JetCorp USA"",""21"",""1"",""376360"""</f>
        <v>"NAV Direct","CRONUS JetCorp USA","21","1","376360"</v>
      </c>
      <c r="E1698" s="31">
        <f t="shared" si="502"/>
        <v>0</v>
      </c>
      <c r="F1698" s="31"/>
      <c r="G1698" s="31"/>
      <c r="H1698" s="31"/>
      <c r="I1698" s="56"/>
      <c r="J1698" s="56"/>
      <c r="K1698" s="82" t="str">
        <f t="shared" si="503"/>
        <v>Invoice</v>
      </c>
      <c r="L1698" s="83" t="str">
        <f>"SI_111708"</f>
        <v>SI_111708</v>
      </c>
      <c r="M1698" s="84">
        <v>42116</v>
      </c>
      <c r="N1698" s="85">
        <f t="shared" si="504"/>
        <v>1696</v>
      </c>
      <c r="O1698" s="86">
        <f t="shared" si="505"/>
        <v>23073.4</v>
      </c>
      <c r="P1698" s="86">
        <f t="shared" si="506"/>
        <v>0</v>
      </c>
      <c r="Q1698" s="86">
        <f t="shared" si="507"/>
        <v>0</v>
      </c>
      <c r="R1698" s="86">
        <f t="shared" si="508"/>
        <v>0</v>
      </c>
      <c r="S1698" s="86">
        <f t="shared" si="509"/>
        <v>0</v>
      </c>
      <c r="T1698" s="86">
        <f t="shared" si="510"/>
        <v>23073.4</v>
      </c>
      <c r="U1698" s="87">
        <v>23073.4</v>
      </c>
    </row>
    <row r="1699" spans="1:21" s="30" customFormat="1" ht="24.6" hidden="1" outlineLevel="1" x14ac:dyDescent="0.55000000000000004">
      <c r="A1699" s="27" t="s">
        <v>327</v>
      </c>
      <c r="B1699" s="28"/>
      <c r="C1699" s="27"/>
      <c r="D1699" s="27" t="str">
        <f>"""NAV Direct"",""CRONUS JetCorp USA"",""21"",""1"",""376464"""</f>
        <v>"NAV Direct","CRONUS JetCorp USA","21","1","376464"</v>
      </c>
      <c r="E1699" s="31" t="str">
        <f t="shared" si="502"/>
        <v>C100059</v>
      </c>
      <c r="F1699" s="31"/>
      <c r="G1699" s="31"/>
      <c r="H1699" s="31"/>
      <c r="I1699" s="56"/>
      <c r="J1699" s="56"/>
      <c r="K1699" s="82" t="str">
        <f t="shared" si="503"/>
        <v>Invoice</v>
      </c>
      <c r="L1699" s="83" t="str">
        <f>"SI_111710"</f>
        <v>SI_111710</v>
      </c>
      <c r="M1699" s="84">
        <v>42151</v>
      </c>
      <c r="N1699" s="85">
        <f t="shared" si="504"/>
        <v>1661</v>
      </c>
      <c r="O1699" s="86">
        <f t="shared" si="505"/>
        <v>24206.02</v>
      </c>
      <c r="P1699" s="86">
        <f t="shared" si="506"/>
        <v>0</v>
      </c>
      <c r="Q1699" s="86">
        <f t="shared" si="507"/>
        <v>0</v>
      </c>
      <c r="R1699" s="86">
        <f t="shared" si="508"/>
        <v>0</v>
      </c>
      <c r="S1699" s="86">
        <f t="shared" si="509"/>
        <v>0</v>
      </c>
      <c r="T1699" s="86">
        <f t="shared" si="510"/>
        <v>24206.02</v>
      </c>
      <c r="U1699" s="87">
        <v>24206.02</v>
      </c>
    </row>
    <row r="1700" spans="1:21" s="30" customFormat="1" ht="24.6" hidden="1" outlineLevel="1" x14ac:dyDescent="0.55000000000000004">
      <c r="A1700" s="27" t="s">
        <v>327</v>
      </c>
      <c r="B1700" s="28"/>
      <c r="C1700" s="27"/>
      <c r="D1700" s="27" t="str">
        <f>"""NAV Direct"",""CRONUS JetCorp USA"",""21"",""1"",""376503"""</f>
        <v>"NAV Direct","CRONUS JetCorp USA","21","1","376503"</v>
      </c>
      <c r="E1700" s="31">
        <f t="shared" si="502"/>
        <v>0</v>
      </c>
      <c r="F1700" s="31"/>
      <c r="G1700" s="31"/>
      <c r="H1700" s="31"/>
      <c r="I1700" s="56"/>
      <c r="J1700" s="56"/>
      <c r="K1700" s="82" t="str">
        <f t="shared" si="503"/>
        <v>Invoice</v>
      </c>
      <c r="L1700" s="83" t="str">
        <f>"SI_111711"</f>
        <v>SI_111711</v>
      </c>
      <c r="M1700" s="84">
        <v>42152</v>
      </c>
      <c r="N1700" s="85">
        <f t="shared" si="504"/>
        <v>1660</v>
      </c>
      <c r="O1700" s="86">
        <f t="shared" si="505"/>
        <v>23702.14</v>
      </c>
      <c r="P1700" s="86">
        <f t="shared" si="506"/>
        <v>0</v>
      </c>
      <c r="Q1700" s="86">
        <f t="shared" si="507"/>
        <v>0</v>
      </c>
      <c r="R1700" s="86">
        <f t="shared" si="508"/>
        <v>0</v>
      </c>
      <c r="S1700" s="86">
        <f t="shared" si="509"/>
        <v>0</v>
      </c>
      <c r="T1700" s="86">
        <f t="shared" si="510"/>
        <v>23702.14</v>
      </c>
      <c r="U1700" s="87">
        <v>23702.14</v>
      </c>
    </row>
    <row r="1701" spans="1:21" s="30" customFormat="1" ht="24.6" hidden="1" outlineLevel="1" x14ac:dyDescent="0.55000000000000004">
      <c r="A1701" s="27" t="s">
        <v>327</v>
      </c>
      <c r="B1701" s="28"/>
      <c r="C1701" s="27"/>
      <c r="D1701" s="27" t="str">
        <f>"""NAV Direct"",""CRONUS JetCorp USA"",""21"",""1"",""376558"""</f>
        <v>"NAV Direct","CRONUS JetCorp USA","21","1","376558"</v>
      </c>
      <c r="E1701" s="31" t="str">
        <f t="shared" si="502"/>
        <v>C100059</v>
      </c>
      <c r="F1701" s="31"/>
      <c r="G1701" s="31"/>
      <c r="H1701" s="31"/>
      <c r="I1701" s="56"/>
      <c r="J1701" s="56"/>
      <c r="K1701" s="82" t="str">
        <f t="shared" si="503"/>
        <v>Invoice</v>
      </c>
      <c r="L1701" s="83" t="str">
        <f>"SI_111712"</f>
        <v>SI_111712</v>
      </c>
      <c r="M1701" s="84">
        <v>42183</v>
      </c>
      <c r="N1701" s="85">
        <f t="shared" si="504"/>
        <v>1629</v>
      </c>
      <c r="O1701" s="86">
        <f t="shared" si="505"/>
        <v>26022.240000000002</v>
      </c>
      <c r="P1701" s="86">
        <f t="shared" si="506"/>
        <v>0</v>
      </c>
      <c r="Q1701" s="86">
        <f t="shared" si="507"/>
        <v>0</v>
      </c>
      <c r="R1701" s="86">
        <f t="shared" si="508"/>
        <v>0</v>
      </c>
      <c r="S1701" s="86">
        <f t="shared" si="509"/>
        <v>0</v>
      </c>
      <c r="T1701" s="86">
        <f t="shared" si="510"/>
        <v>26022.240000000002</v>
      </c>
      <c r="U1701" s="87">
        <v>26022.240000000002</v>
      </c>
    </row>
    <row r="1702" spans="1:21" s="30" customFormat="1" ht="24.6" hidden="1" outlineLevel="1" x14ac:dyDescent="0.55000000000000004">
      <c r="A1702" s="27" t="s">
        <v>327</v>
      </c>
      <c r="B1702" s="28"/>
      <c r="C1702" s="27"/>
      <c r="D1702" s="27" t="str">
        <f>"""NAV Direct"",""CRONUS JetCorp USA"",""21"",""1"",""376695"""</f>
        <v>"NAV Direct","CRONUS JetCorp USA","21","1","376695"</v>
      </c>
      <c r="E1702" s="31">
        <f t="shared" si="502"/>
        <v>0</v>
      </c>
      <c r="F1702" s="31"/>
      <c r="G1702" s="31"/>
      <c r="H1702" s="31"/>
      <c r="I1702" s="56"/>
      <c r="J1702" s="56"/>
      <c r="K1702" s="82" t="str">
        <f t="shared" si="503"/>
        <v>Invoice</v>
      </c>
      <c r="L1702" s="83" t="str">
        <f>"SI_111715"</f>
        <v>SI_111715</v>
      </c>
      <c r="M1702" s="84">
        <v>42217</v>
      </c>
      <c r="N1702" s="85">
        <f t="shared" si="504"/>
        <v>1595</v>
      </c>
      <c r="O1702" s="86">
        <f t="shared" si="505"/>
        <v>18843.07</v>
      </c>
      <c r="P1702" s="86">
        <f t="shared" si="506"/>
        <v>0</v>
      </c>
      <c r="Q1702" s="86">
        <f t="shared" si="507"/>
        <v>0</v>
      </c>
      <c r="R1702" s="86">
        <f t="shared" si="508"/>
        <v>0</v>
      </c>
      <c r="S1702" s="86">
        <f t="shared" si="509"/>
        <v>0</v>
      </c>
      <c r="T1702" s="86">
        <f t="shared" si="510"/>
        <v>18843.07</v>
      </c>
      <c r="U1702" s="87">
        <v>18843.07</v>
      </c>
    </row>
    <row r="1703" spans="1:21" s="30" customFormat="1" ht="24.6" hidden="1" outlineLevel="1" x14ac:dyDescent="0.55000000000000004">
      <c r="A1703" s="27" t="s">
        <v>327</v>
      </c>
      <c r="B1703" s="28"/>
      <c r="C1703" s="27"/>
      <c r="D1703" s="27" t="str">
        <f>"""NAV Direct"",""CRONUS JetCorp USA"",""21"",""1"",""376769"""</f>
        <v>"NAV Direct","CRONUS JetCorp USA","21","1","376769"</v>
      </c>
      <c r="E1703" s="31" t="str">
        <f t="shared" si="502"/>
        <v>C100059</v>
      </c>
      <c r="F1703" s="31"/>
      <c r="G1703" s="31"/>
      <c r="H1703" s="31"/>
      <c r="I1703" s="56"/>
      <c r="J1703" s="56"/>
      <c r="K1703" s="82" t="str">
        <f t="shared" si="503"/>
        <v>Invoice</v>
      </c>
      <c r="L1703" s="83" t="str">
        <f>"SI_111717"</f>
        <v>SI_111717</v>
      </c>
      <c r="M1703" s="84">
        <v>42248</v>
      </c>
      <c r="N1703" s="85">
        <f t="shared" si="504"/>
        <v>1564</v>
      </c>
      <c r="O1703" s="86">
        <f t="shared" si="505"/>
        <v>17857.23</v>
      </c>
      <c r="P1703" s="86">
        <f t="shared" si="506"/>
        <v>0</v>
      </c>
      <c r="Q1703" s="86">
        <f t="shared" si="507"/>
        <v>0</v>
      </c>
      <c r="R1703" s="86">
        <f t="shared" si="508"/>
        <v>0</v>
      </c>
      <c r="S1703" s="86">
        <f t="shared" si="509"/>
        <v>0</v>
      </c>
      <c r="T1703" s="86">
        <f t="shared" si="510"/>
        <v>17857.23</v>
      </c>
      <c r="U1703" s="87">
        <v>17857.23</v>
      </c>
    </row>
    <row r="1704" spans="1:21" s="30" customFormat="1" ht="24.6" hidden="1" outlineLevel="1" x14ac:dyDescent="0.55000000000000004">
      <c r="A1704" s="27" t="s">
        <v>327</v>
      </c>
      <c r="B1704" s="28"/>
      <c r="C1704" s="27"/>
      <c r="D1704" s="27" t="str">
        <f>"""NAV Direct"",""CRONUS JetCorp USA"",""21"",""1"",""376808"""</f>
        <v>"NAV Direct","CRONUS JetCorp USA","21","1","376808"</v>
      </c>
      <c r="E1704" s="31">
        <f t="shared" si="502"/>
        <v>0</v>
      </c>
      <c r="F1704" s="31"/>
      <c r="G1704" s="31"/>
      <c r="H1704" s="31"/>
      <c r="I1704" s="56"/>
      <c r="J1704" s="56"/>
      <c r="K1704" s="82" t="str">
        <f t="shared" si="503"/>
        <v>Invoice</v>
      </c>
      <c r="L1704" s="83" t="str">
        <f>"SI_111718"</f>
        <v>SI_111718</v>
      </c>
      <c r="M1704" s="84">
        <v>42272</v>
      </c>
      <c r="N1704" s="85">
        <f t="shared" si="504"/>
        <v>1540</v>
      </c>
      <c r="O1704" s="86">
        <f t="shared" si="505"/>
        <v>17143.050000000003</v>
      </c>
      <c r="P1704" s="86">
        <f t="shared" si="506"/>
        <v>0</v>
      </c>
      <c r="Q1704" s="86">
        <f t="shared" si="507"/>
        <v>0</v>
      </c>
      <c r="R1704" s="86">
        <f t="shared" si="508"/>
        <v>0</v>
      </c>
      <c r="S1704" s="86">
        <f t="shared" si="509"/>
        <v>0</v>
      </c>
      <c r="T1704" s="86">
        <f t="shared" si="510"/>
        <v>17143.050000000003</v>
      </c>
      <c r="U1704" s="87">
        <v>17143.050000000003</v>
      </c>
    </row>
    <row r="1705" spans="1:21" s="30" customFormat="1" ht="24.6" hidden="1" outlineLevel="1" x14ac:dyDescent="0.55000000000000004">
      <c r="A1705" s="27" t="s">
        <v>327</v>
      </c>
      <c r="B1705" s="28"/>
      <c r="C1705" s="27"/>
      <c r="D1705" s="27" t="str">
        <f>"""NAV Direct"",""CRONUS JetCorp USA"",""21"",""1"",""376911"""</f>
        <v>"NAV Direct","CRONUS JetCorp USA","21","1","376911"</v>
      </c>
      <c r="E1705" s="31" t="str">
        <f t="shared" si="502"/>
        <v>C100059</v>
      </c>
      <c r="F1705" s="31"/>
      <c r="G1705" s="31"/>
      <c r="H1705" s="31"/>
      <c r="I1705" s="56"/>
      <c r="J1705" s="56"/>
      <c r="K1705" s="82" t="str">
        <f t="shared" si="503"/>
        <v>Invoice</v>
      </c>
      <c r="L1705" s="83" t="str">
        <f>"SI_111721"</f>
        <v>SI_111721</v>
      </c>
      <c r="M1705" s="84">
        <v>42302</v>
      </c>
      <c r="N1705" s="85">
        <f t="shared" si="504"/>
        <v>1510</v>
      </c>
      <c r="O1705" s="86">
        <f t="shared" si="505"/>
        <v>18343.11</v>
      </c>
      <c r="P1705" s="86">
        <f t="shared" si="506"/>
        <v>0</v>
      </c>
      <c r="Q1705" s="86">
        <f t="shared" si="507"/>
        <v>0</v>
      </c>
      <c r="R1705" s="86">
        <f t="shared" si="508"/>
        <v>0</v>
      </c>
      <c r="S1705" s="86">
        <f t="shared" si="509"/>
        <v>0</v>
      </c>
      <c r="T1705" s="86">
        <f t="shared" si="510"/>
        <v>18343.11</v>
      </c>
      <c r="U1705" s="87">
        <v>18343.11</v>
      </c>
    </row>
    <row r="1706" spans="1:21" s="30" customFormat="1" ht="24.6" hidden="1" outlineLevel="1" x14ac:dyDescent="0.55000000000000004">
      <c r="A1706" s="27" t="s">
        <v>327</v>
      </c>
      <c r="B1706" s="28"/>
      <c r="C1706" s="27"/>
      <c r="D1706" s="27" t="str">
        <f>"""NAV Direct"",""CRONUS JetCorp USA"",""21"",""1"",""376991"""</f>
        <v>"NAV Direct","CRONUS JetCorp USA","21","1","376991"</v>
      </c>
      <c r="E1706" s="31">
        <f t="shared" si="502"/>
        <v>0</v>
      </c>
      <c r="F1706" s="31"/>
      <c r="G1706" s="31"/>
      <c r="H1706" s="31"/>
      <c r="I1706" s="56"/>
      <c r="J1706" s="56"/>
      <c r="K1706" s="82" t="str">
        <f t="shared" si="503"/>
        <v>Invoice</v>
      </c>
      <c r="L1706" s="83" t="str">
        <f>"SI_111723"</f>
        <v>SI_111723</v>
      </c>
      <c r="M1706" s="84">
        <v>42316</v>
      </c>
      <c r="N1706" s="85">
        <f t="shared" si="504"/>
        <v>1496</v>
      </c>
      <c r="O1706" s="86">
        <f t="shared" si="505"/>
        <v>18342.849999999999</v>
      </c>
      <c r="P1706" s="86">
        <f t="shared" si="506"/>
        <v>0</v>
      </c>
      <c r="Q1706" s="86">
        <f t="shared" si="507"/>
        <v>0</v>
      </c>
      <c r="R1706" s="86">
        <f t="shared" si="508"/>
        <v>0</v>
      </c>
      <c r="S1706" s="86">
        <f t="shared" si="509"/>
        <v>0</v>
      </c>
      <c r="T1706" s="86">
        <f t="shared" si="510"/>
        <v>18342.849999999999</v>
      </c>
      <c r="U1706" s="87">
        <v>18342.849999999999</v>
      </c>
    </row>
    <row r="1707" spans="1:21" s="30" customFormat="1" ht="24.6" hidden="1" outlineLevel="1" x14ac:dyDescent="0.55000000000000004">
      <c r="A1707" s="27" t="s">
        <v>327</v>
      </c>
      <c r="B1707" s="28"/>
      <c r="C1707" s="27"/>
      <c r="D1707" s="27" t="str">
        <f>"""NAV Direct"",""CRONUS JetCorp USA"",""21"",""1"",""377139"""</f>
        <v>"NAV Direct","CRONUS JetCorp USA","21","1","377139"</v>
      </c>
      <c r="E1707" s="31" t="str">
        <f t="shared" si="502"/>
        <v>C100059</v>
      </c>
      <c r="F1707" s="31"/>
      <c r="G1707" s="31"/>
      <c r="H1707" s="31"/>
      <c r="I1707" s="56"/>
      <c r="J1707" s="56"/>
      <c r="K1707" s="82" t="str">
        <f t="shared" si="503"/>
        <v>Invoice</v>
      </c>
      <c r="L1707" s="83" t="str">
        <f>"SI_111727"</f>
        <v>SI_111727</v>
      </c>
      <c r="M1707" s="84">
        <v>42365</v>
      </c>
      <c r="N1707" s="85">
        <f t="shared" si="504"/>
        <v>1447</v>
      </c>
      <c r="O1707" s="86">
        <f t="shared" si="505"/>
        <v>20670.440000000002</v>
      </c>
      <c r="P1707" s="86">
        <f t="shared" si="506"/>
        <v>0</v>
      </c>
      <c r="Q1707" s="86">
        <f t="shared" si="507"/>
        <v>0</v>
      </c>
      <c r="R1707" s="86">
        <f t="shared" si="508"/>
        <v>0</v>
      </c>
      <c r="S1707" s="86">
        <f t="shared" si="509"/>
        <v>0</v>
      </c>
      <c r="T1707" s="86">
        <f t="shared" si="510"/>
        <v>20670.440000000002</v>
      </c>
      <c r="U1707" s="87">
        <v>20670.440000000002</v>
      </c>
    </row>
    <row r="1708" spans="1:21" s="30" customFormat="1" ht="24.6" hidden="1" outlineLevel="1" x14ac:dyDescent="0.55000000000000004">
      <c r="A1708" s="27" t="s">
        <v>327</v>
      </c>
      <c r="B1708" s="28"/>
      <c r="C1708" s="27"/>
      <c r="D1708" s="27" t="str">
        <f>"""NAV Direct"",""CRONUS JetCorp USA"",""21"",""1"",""377176"""</f>
        <v>"NAV Direct","CRONUS JetCorp USA","21","1","377176"</v>
      </c>
      <c r="E1708" s="31">
        <f t="shared" si="502"/>
        <v>0</v>
      </c>
      <c r="F1708" s="31"/>
      <c r="G1708" s="31"/>
      <c r="H1708" s="31"/>
      <c r="I1708" s="56"/>
      <c r="J1708" s="56"/>
      <c r="K1708" s="82" t="str">
        <f t="shared" si="503"/>
        <v>Invoice</v>
      </c>
      <c r="L1708" s="83" t="str">
        <f>"SI_111728"</f>
        <v>SI_111728</v>
      </c>
      <c r="M1708" s="84">
        <v>42367</v>
      </c>
      <c r="N1708" s="85">
        <f t="shared" si="504"/>
        <v>1445</v>
      </c>
      <c r="O1708" s="86">
        <f t="shared" si="505"/>
        <v>20883.920000000002</v>
      </c>
      <c r="P1708" s="86">
        <f t="shared" si="506"/>
        <v>0</v>
      </c>
      <c r="Q1708" s="86">
        <f t="shared" si="507"/>
        <v>0</v>
      </c>
      <c r="R1708" s="86">
        <f t="shared" si="508"/>
        <v>0</v>
      </c>
      <c r="S1708" s="86">
        <f t="shared" si="509"/>
        <v>0</v>
      </c>
      <c r="T1708" s="86">
        <f t="shared" si="510"/>
        <v>20883.920000000002</v>
      </c>
      <c r="U1708" s="87">
        <v>20883.920000000002</v>
      </c>
    </row>
    <row r="1709" spans="1:21" s="30" customFormat="1" ht="24.6" hidden="1" outlineLevel="1" x14ac:dyDescent="0.55000000000000004">
      <c r="A1709" s="27" t="s">
        <v>327</v>
      </c>
      <c r="B1709" s="28"/>
      <c r="C1709" s="27"/>
      <c r="D1709" s="27" t="str">
        <f>"""NAV Direct"",""CRONUS JetCorp USA"",""21"",""1"",""437302"""</f>
        <v>"NAV Direct","CRONUS JetCorp USA","21","1","437302"</v>
      </c>
      <c r="E1709" s="31" t="str">
        <f t="shared" si="502"/>
        <v>C100059</v>
      </c>
      <c r="F1709" s="31"/>
      <c r="G1709" s="31"/>
      <c r="H1709" s="31"/>
      <c r="I1709" s="56"/>
      <c r="J1709" s="56"/>
      <c r="K1709" s="82" t="str">
        <f t="shared" ref="K1709:K1725" si="511">"Credit Memo"</f>
        <v>Credit Memo</v>
      </c>
      <c r="L1709" s="83" t="str">
        <f>"SC_100738"</f>
        <v>SC_100738</v>
      </c>
      <c r="M1709" s="84">
        <v>42452</v>
      </c>
      <c r="N1709" s="85">
        <f t="shared" si="504"/>
        <v>1360</v>
      </c>
      <c r="O1709" s="86">
        <f t="shared" si="505"/>
        <v>-127.28999999999999</v>
      </c>
      <c r="P1709" s="86">
        <f t="shared" si="506"/>
        <v>0</v>
      </c>
      <c r="Q1709" s="86">
        <f t="shared" si="507"/>
        <v>0</v>
      </c>
      <c r="R1709" s="86">
        <f t="shared" si="508"/>
        <v>0</v>
      </c>
      <c r="S1709" s="86">
        <f t="shared" si="509"/>
        <v>0</v>
      </c>
      <c r="T1709" s="86">
        <f t="shared" si="510"/>
        <v>-127.28999999999999</v>
      </c>
      <c r="U1709" s="87">
        <v>-127.28999999999999</v>
      </c>
    </row>
    <row r="1710" spans="1:21" s="30" customFormat="1" ht="24.6" hidden="1" outlineLevel="1" x14ac:dyDescent="0.55000000000000004">
      <c r="A1710" s="27" t="s">
        <v>327</v>
      </c>
      <c r="B1710" s="28"/>
      <c r="C1710" s="27"/>
      <c r="D1710" s="27" t="str">
        <f>"""NAV Direct"",""CRONUS JetCorp USA"",""21"",""1"",""437336"""</f>
        <v>"NAV Direct","CRONUS JetCorp USA","21","1","437336"</v>
      </c>
      <c r="E1710" s="31">
        <f t="shared" si="502"/>
        <v>0</v>
      </c>
      <c r="F1710" s="31"/>
      <c r="G1710" s="31"/>
      <c r="H1710" s="31"/>
      <c r="I1710" s="56"/>
      <c r="J1710" s="56"/>
      <c r="K1710" s="82" t="str">
        <f t="shared" si="511"/>
        <v>Credit Memo</v>
      </c>
      <c r="L1710" s="83" t="str">
        <f>"SC_100740"</f>
        <v>SC_100740</v>
      </c>
      <c r="M1710" s="84">
        <v>42541</v>
      </c>
      <c r="N1710" s="85">
        <f t="shared" si="504"/>
        <v>1271</v>
      </c>
      <c r="O1710" s="86">
        <f t="shared" si="505"/>
        <v>-155.76</v>
      </c>
      <c r="P1710" s="86">
        <f t="shared" si="506"/>
        <v>0</v>
      </c>
      <c r="Q1710" s="86">
        <f t="shared" si="507"/>
        <v>0</v>
      </c>
      <c r="R1710" s="86">
        <f t="shared" si="508"/>
        <v>0</v>
      </c>
      <c r="S1710" s="86">
        <f t="shared" si="509"/>
        <v>0</v>
      </c>
      <c r="T1710" s="86">
        <f t="shared" si="510"/>
        <v>-155.76</v>
      </c>
      <c r="U1710" s="87">
        <v>-155.76</v>
      </c>
    </row>
    <row r="1711" spans="1:21" s="30" customFormat="1" ht="24.6" hidden="1" outlineLevel="1" x14ac:dyDescent="0.55000000000000004">
      <c r="A1711" s="27" t="s">
        <v>327</v>
      </c>
      <c r="B1711" s="28"/>
      <c r="C1711" s="27"/>
      <c r="D1711" s="27" t="str">
        <f>"""NAV Direct"",""CRONUS JetCorp USA"",""21"",""1"",""437351"""</f>
        <v>"NAV Direct","CRONUS JetCorp USA","21","1","437351"</v>
      </c>
      <c r="E1711" s="31" t="str">
        <f t="shared" si="502"/>
        <v>C100059</v>
      </c>
      <c r="F1711" s="31"/>
      <c r="G1711" s="31"/>
      <c r="H1711" s="31"/>
      <c r="I1711" s="56"/>
      <c r="J1711" s="56"/>
      <c r="K1711" s="82" t="str">
        <f t="shared" si="511"/>
        <v>Credit Memo</v>
      </c>
      <c r="L1711" s="83" t="str">
        <f>"SC_100741"</f>
        <v>SC_100741</v>
      </c>
      <c r="M1711" s="84">
        <v>42559</v>
      </c>
      <c r="N1711" s="85">
        <f t="shared" si="504"/>
        <v>1253</v>
      </c>
      <c r="O1711" s="86">
        <f t="shared" si="505"/>
        <v>-145.63999999999999</v>
      </c>
      <c r="P1711" s="86">
        <f t="shared" si="506"/>
        <v>0</v>
      </c>
      <c r="Q1711" s="86">
        <f t="shared" si="507"/>
        <v>0</v>
      </c>
      <c r="R1711" s="86">
        <f t="shared" si="508"/>
        <v>0</v>
      </c>
      <c r="S1711" s="86">
        <f t="shared" si="509"/>
        <v>0</v>
      </c>
      <c r="T1711" s="86">
        <f t="shared" si="510"/>
        <v>-145.63999999999999</v>
      </c>
      <c r="U1711" s="87">
        <v>-145.63999999999999</v>
      </c>
    </row>
    <row r="1712" spans="1:21" s="30" customFormat="1" ht="24.6" hidden="1" outlineLevel="1" x14ac:dyDescent="0.55000000000000004">
      <c r="A1712" s="27" t="s">
        <v>327</v>
      </c>
      <c r="B1712" s="28"/>
      <c r="C1712" s="27"/>
      <c r="D1712" s="27" t="str">
        <f>"""NAV Direct"",""CRONUS JetCorp USA"",""21"",""1"",""437368"""</f>
        <v>"NAV Direct","CRONUS JetCorp USA","21","1","437368"</v>
      </c>
      <c r="E1712" s="31">
        <f t="shared" si="502"/>
        <v>0</v>
      </c>
      <c r="F1712" s="31"/>
      <c r="G1712" s="31"/>
      <c r="H1712" s="31"/>
      <c r="I1712" s="56"/>
      <c r="J1712" s="56"/>
      <c r="K1712" s="82" t="str">
        <f t="shared" si="511"/>
        <v>Credit Memo</v>
      </c>
      <c r="L1712" s="83" t="str">
        <f>"SC_100742"</f>
        <v>SC_100742</v>
      </c>
      <c r="M1712" s="84">
        <v>42649</v>
      </c>
      <c r="N1712" s="85">
        <f t="shared" si="504"/>
        <v>1163</v>
      </c>
      <c r="O1712" s="86">
        <f t="shared" si="505"/>
        <v>-147.16</v>
      </c>
      <c r="P1712" s="86">
        <f t="shared" si="506"/>
        <v>0</v>
      </c>
      <c r="Q1712" s="86">
        <f t="shared" si="507"/>
        <v>0</v>
      </c>
      <c r="R1712" s="86">
        <f t="shared" si="508"/>
        <v>0</v>
      </c>
      <c r="S1712" s="86">
        <f t="shared" si="509"/>
        <v>0</v>
      </c>
      <c r="T1712" s="86">
        <f t="shared" si="510"/>
        <v>-147.16</v>
      </c>
      <c r="U1712" s="87">
        <v>-147.16</v>
      </c>
    </row>
    <row r="1713" spans="1:21" s="30" customFormat="1" ht="24.6" hidden="1" outlineLevel="1" x14ac:dyDescent="0.55000000000000004">
      <c r="A1713" s="27" t="s">
        <v>327</v>
      </c>
      <c r="B1713" s="28"/>
      <c r="C1713" s="27"/>
      <c r="D1713" s="27" t="str">
        <f>"""NAV Direct"",""CRONUS JetCorp USA"",""21"",""1"",""437377"""</f>
        <v>"NAV Direct","CRONUS JetCorp USA","21","1","437377"</v>
      </c>
      <c r="E1713" s="31" t="str">
        <f t="shared" si="502"/>
        <v>C100059</v>
      </c>
      <c r="F1713" s="31"/>
      <c r="G1713" s="31"/>
      <c r="H1713" s="31"/>
      <c r="I1713" s="56"/>
      <c r="J1713" s="56"/>
      <c r="K1713" s="82" t="str">
        <f t="shared" si="511"/>
        <v>Credit Memo</v>
      </c>
      <c r="L1713" s="83" t="str">
        <f>"SC_100743"</f>
        <v>SC_100743</v>
      </c>
      <c r="M1713" s="84">
        <v>42729</v>
      </c>
      <c r="N1713" s="85">
        <f t="shared" si="504"/>
        <v>1083</v>
      </c>
      <c r="O1713" s="86">
        <f t="shared" si="505"/>
        <v>-167.52</v>
      </c>
      <c r="P1713" s="86">
        <f t="shared" si="506"/>
        <v>0</v>
      </c>
      <c r="Q1713" s="86">
        <f t="shared" si="507"/>
        <v>0</v>
      </c>
      <c r="R1713" s="86">
        <f t="shared" si="508"/>
        <v>0</v>
      </c>
      <c r="S1713" s="86">
        <f t="shared" si="509"/>
        <v>0</v>
      </c>
      <c r="T1713" s="86">
        <f t="shared" si="510"/>
        <v>-167.52</v>
      </c>
      <c r="U1713" s="87">
        <v>-167.52</v>
      </c>
    </row>
    <row r="1714" spans="1:21" s="30" customFormat="1" ht="24.6" hidden="1" outlineLevel="1" x14ac:dyDescent="0.55000000000000004">
      <c r="A1714" s="27" t="s">
        <v>327</v>
      </c>
      <c r="B1714" s="28"/>
      <c r="C1714" s="27"/>
      <c r="D1714" s="27" t="str">
        <f>"""NAV Direct"",""CRONUS JetCorp USA"",""21"",""1"",""437388"""</f>
        <v>"NAV Direct","CRONUS JetCorp USA","21","1","437388"</v>
      </c>
      <c r="E1714" s="31">
        <f t="shared" si="502"/>
        <v>0</v>
      </c>
      <c r="F1714" s="31"/>
      <c r="G1714" s="31"/>
      <c r="H1714" s="31"/>
      <c r="I1714" s="56"/>
      <c r="J1714" s="56"/>
      <c r="K1714" s="82" t="str">
        <f t="shared" si="511"/>
        <v>Credit Memo</v>
      </c>
      <c r="L1714" s="83" t="str">
        <f>"SC_100744"</f>
        <v>SC_100744</v>
      </c>
      <c r="M1714" s="84">
        <v>42845</v>
      </c>
      <c r="N1714" s="85">
        <f t="shared" si="504"/>
        <v>967</v>
      </c>
      <c r="O1714" s="86">
        <f t="shared" si="505"/>
        <v>-150.79</v>
      </c>
      <c r="P1714" s="86">
        <f t="shared" si="506"/>
        <v>0</v>
      </c>
      <c r="Q1714" s="86">
        <f t="shared" si="507"/>
        <v>0</v>
      </c>
      <c r="R1714" s="86">
        <f t="shared" si="508"/>
        <v>0</v>
      </c>
      <c r="S1714" s="86">
        <f t="shared" si="509"/>
        <v>0</v>
      </c>
      <c r="T1714" s="86">
        <f t="shared" si="510"/>
        <v>-150.79</v>
      </c>
      <c r="U1714" s="87">
        <v>-150.79</v>
      </c>
    </row>
    <row r="1715" spans="1:21" s="30" customFormat="1" ht="24.6" hidden="1" outlineLevel="1" x14ac:dyDescent="0.55000000000000004">
      <c r="A1715" s="27" t="s">
        <v>327</v>
      </c>
      <c r="B1715" s="28"/>
      <c r="C1715" s="27"/>
      <c r="D1715" s="27" t="str">
        <f>"""NAV Direct"",""CRONUS JetCorp USA"",""21"",""1"",""437411"""</f>
        <v>"NAV Direct","CRONUS JetCorp USA","21","1","437411"</v>
      </c>
      <c r="E1715" s="31" t="str">
        <f t="shared" ref="E1715:E1725" si="512">E1713</f>
        <v>C100059</v>
      </c>
      <c r="F1715" s="31"/>
      <c r="G1715" s="31"/>
      <c r="H1715" s="31"/>
      <c r="I1715" s="56"/>
      <c r="J1715" s="56"/>
      <c r="K1715" s="82" t="str">
        <f t="shared" si="511"/>
        <v>Credit Memo</v>
      </c>
      <c r="L1715" s="83" t="str">
        <f>"SC_100745"</f>
        <v>SC_100745</v>
      </c>
      <c r="M1715" s="84">
        <v>42899</v>
      </c>
      <c r="N1715" s="85">
        <f t="shared" ref="N1715:N1725" si="513">StartDate-$M1715+1</f>
        <v>913</v>
      </c>
      <c r="O1715" s="86">
        <f t="shared" ref="O1715:O1725" si="514">SUM(P1715:T1715)</f>
        <v>-169.1</v>
      </c>
      <c r="P1715" s="86">
        <f t="shared" ref="P1715:P1725" si="515">IF($M1715&gt;=$P$18,U1715,0)</f>
        <v>0</v>
      </c>
      <c r="Q1715" s="86">
        <f t="shared" ref="Q1715:Q1725" si="516">IF(AND($M1715&gt;=$Q$16,$M1715&lt;=$Q$18),U1715,0)</f>
        <v>0</v>
      </c>
      <c r="R1715" s="86">
        <f t="shared" ref="R1715:R1725" si="517">IF(AND($M1715&gt;=$R$16,$M1715&lt;=$R$18),U1715,0)</f>
        <v>0</v>
      </c>
      <c r="S1715" s="86">
        <f t="shared" ref="S1715:S1725" si="518">IF(AND($M1715&gt;=$S$16,$M1715&lt;=$S$18),U1715,0)</f>
        <v>0</v>
      </c>
      <c r="T1715" s="86">
        <f t="shared" ref="T1715:T1725" si="519">IF($M1715&lt;=$T$18,U1715,0)</f>
        <v>-169.1</v>
      </c>
      <c r="U1715" s="87">
        <v>-169.1</v>
      </c>
    </row>
    <row r="1716" spans="1:21" s="30" customFormat="1" ht="24.6" hidden="1" outlineLevel="1" x14ac:dyDescent="0.55000000000000004">
      <c r="A1716" s="27" t="s">
        <v>327</v>
      </c>
      <c r="B1716" s="28"/>
      <c r="C1716" s="27"/>
      <c r="D1716" s="27" t="str">
        <f>"""NAV Direct"",""CRONUS JetCorp USA"",""21"",""1"",""437521"""</f>
        <v>"NAV Direct","CRONUS JetCorp USA","21","1","437521"</v>
      </c>
      <c r="E1716" s="31">
        <f t="shared" si="512"/>
        <v>0</v>
      </c>
      <c r="F1716" s="31"/>
      <c r="G1716" s="31"/>
      <c r="H1716" s="31"/>
      <c r="I1716" s="56"/>
      <c r="J1716" s="56"/>
      <c r="K1716" s="82" t="str">
        <f t="shared" si="511"/>
        <v>Credit Memo</v>
      </c>
      <c r="L1716" s="83" t="str">
        <f>"SC_100751"</f>
        <v>SC_100751</v>
      </c>
      <c r="M1716" s="84">
        <v>43153</v>
      </c>
      <c r="N1716" s="85">
        <f t="shared" si="513"/>
        <v>659</v>
      </c>
      <c r="O1716" s="86">
        <f t="shared" si="514"/>
        <v>-161.01000000000002</v>
      </c>
      <c r="P1716" s="86">
        <f t="shared" si="515"/>
        <v>0</v>
      </c>
      <c r="Q1716" s="86">
        <f t="shared" si="516"/>
        <v>0</v>
      </c>
      <c r="R1716" s="86">
        <f t="shared" si="517"/>
        <v>0</v>
      </c>
      <c r="S1716" s="86">
        <f t="shared" si="518"/>
        <v>0</v>
      </c>
      <c r="T1716" s="86">
        <f t="shared" si="519"/>
        <v>-161.01000000000002</v>
      </c>
      <c r="U1716" s="87">
        <v>-161.01000000000002</v>
      </c>
    </row>
    <row r="1717" spans="1:21" s="30" customFormat="1" ht="24.6" hidden="1" outlineLevel="1" x14ac:dyDescent="0.55000000000000004">
      <c r="A1717" s="27" t="s">
        <v>327</v>
      </c>
      <c r="B1717" s="28"/>
      <c r="C1717" s="27"/>
      <c r="D1717" s="27" t="str">
        <f>"""NAV Direct"",""CRONUS JetCorp USA"",""21"",""1"",""437547"""</f>
        <v>"NAV Direct","CRONUS JetCorp USA","21","1","437547"</v>
      </c>
      <c r="E1717" s="31" t="str">
        <f t="shared" si="512"/>
        <v>C100059</v>
      </c>
      <c r="F1717" s="31"/>
      <c r="G1717" s="31"/>
      <c r="H1717" s="31"/>
      <c r="I1717" s="56"/>
      <c r="J1717" s="56"/>
      <c r="K1717" s="82" t="str">
        <f t="shared" si="511"/>
        <v>Credit Memo</v>
      </c>
      <c r="L1717" s="83" t="str">
        <f>"SC_100753"</f>
        <v>SC_100753</v>
      </c>
      <c r="M1717" s="84">
        <v>43321</v>
      </c>
      <c r="N1717" s="85">
        <f t="shared" si="513"/>
        <v>491</v>
      </c>
      <c r="O1717" s="86">
        <f t="shared" si="514"/>
        <v>-180</v>
      </c>
      <c r="P1717" s="86">
        <f t="shared" si="515"/>
        <v>0</v>
      </c>
      <c r="Q1717" s="86">
        <f t="shared" si="516"/>
        <v>0</v>
      </c>
      <c r="R1717" s="86">
        <f t="shared" si="517"/>
        <v>0</v>
      </c>
      <c r="S1717" s="86">
        <f t="shared" si="518"/>
        <v>0</v>
      </c>
      <c r="T1717" s="86">
        <f t="shared" si="519"/>
        <v>-180</v>
      </c>
      <c r="U1717" s="87">
        <v>-180</v>
      </c>
    </row>
    <row r="1718" spans="1:21" s="30" customFormat="1" ht="24.6" hidden="1" outlineLevel="1" x14ac:dyDescent="0.55000000000000004">
      <c r="A1718" s="27" t="s">
        <v>327</v>
      </c>
      <c r="B1718" s="28"/>
      <c r="C1718" s="27"/>
      <c r="D1718" s="27" t="str">
        <f>"""NAV Direct"",""CRONUS JetCorp USA"",""21"",""1"",""437566"""</f>
        <v>"NAV Direct","CRONUS JetCorp USA","21","1","437566"</v>
      </c>
      <c r="E1718" s="31">
        <f t="shared" si="512"/>
        <v>0</v>
      </c>
      <c r="F1718" s="31"/>
      <c r="G1718" s="31"/>
      <c r="H1718" s="31"/>
      <c r="I1718" s="56"/>
      <c r="J1718" s="56"/>
      <c r="K1718" s="82" t="str">
        <f t="shared" si="511"/>
        <v>Credit Memo</v>
      </c>
      <c r="L1718" s="83" t="str">
        <f>"SC_100754"</f>
        <v>SC_100754</v>
      </c>
      <c r="M1718" s="84">
        <v>43357</v>
      </c>
      <c r="N1718" s="85">
        <f t="shared" si="513"/>
        <v>455</v>
      </c>
      <c r="O1718" s="86">
        <f t="shared" si="514"/>
        <v>-169.5</v>
      </c>
      <c r="P1718" s="86">
        <f t="shared" si="515"/>
        <v>0</v>
      </c>
      <c r="Q1718" s="86">
        <f t="shared" si="516"/>
        <v>0</v>
      </c>
      <c r="R1718" s="86">
        <f t="shared" si="517"/>
        <v>0</v>
      </c>
      <c r="S1718" s="86">
        <f t="shared" si="518"/>
        <v>0</v>
      </c>
      <c r="T1718" s="86">
        <f t="shared" si="519"/>
        <v>-169.5</v>
      </c>
      <c r="U1718" s="87">
        <v>-169.5</v>
      </c>
    </row>
    <row r="1719" spans="1:21" s="30" customFormat="1" ht="24.6" hidden="1" outlineLevel="1" x14ac:dyDescent="0.55000000000000004">
      <c r="A1719" s="27" t="s">
        <v>327</v>
      </c>
      <c r="B1719" s="28"/>
      <c r="C1719" s="27"/>
      <c r="D1719" s="27" t="str">
        <f>"""NAV Direct"",""CRONUS JetCorp USA"",""21"",""1"",""437575"""</f>
        <v>"NAV Direct","CRONUS JetCorp USA","21","1","437575"</v>
      </c>
      <c r="E1719" s="31" t="str">
        <f t="shared" si="512"/>
        <v>C100059</v>
      </c>
      <c r="F1719" s="31"/>
      <c r="G1719" s="31"/>
      <c r="H1719" s="31"/>
      <c r="I1719" s="56"/>
      <c r="J1719" s="56"/>
      <c r="K1719" s="82" t="str">
        <f t="shared" si="511"/>
        <v>Credit Memo</v>
      </c>
      <c r="L1719" s="83" t="str">
        <f>"SC_100755"</f>
        <v>SC_100755</v>
      </c>
      <c r="M1719" s="84">
        <v>43409</v>
      </c>
      <c r="N1719" s="85">
        <f t="shared" si="513"/>
        <v>403</v>
      </c>
      <c r="O1719" s="86">
        <f t="shared" si="514"/>
        <v>-168.05</v>
      </c>
      <c r="P1719" s="86">
        <f t="shared" si="515"/>
        <v>0</v>
      </c>
      <c r="Q1719" s="86">
        <f t="shared" si="516"/>
        <v>0</v>
      </c>
      <c r="R1719" s="86">
        <f t="shared" si="517"/>
        <v>0</v>
      </c>
      <c r="S1719" s="86">
        <f t="shared" si="518"/>
        <v>0</v>
      </c>
      <c r="T1719" s="86">
        <f t="shared" si="519"/>
        <v>-168.05</v>
      </c>
      <c r="U1719" s="87">
        <v>-168.05</v>
      </c>
    </row>
    <row r="1720" spans="1:21" s="30" customFormat="1" ht="24.6" hidden="1" outlineLevel="1" x14ac:dyDescent="0.55000000000000004">
      <c r="A1720" s="27" t="s">
        <v>327</v>
      </c>
      <c r="B1720" s="28"/>
      <c r="C1720" s="27"/>
      <c r="D1720" s="27" t="str">
        <f>"""NAV Direct"",""CRONUS JetCorp USA"",""21"",""1"",""437593"""</f>
        <v>"NAV Direct","CRONUS JetCorp USA","21","1","437593"</v>
      </c>
      <c r="E1720" s="31">
        <f t="shared" si="512"/>
        <v>0</v>
      </c>
      <c r="F1720" s="31"/>
      <c r="G1720" s="31"/>
      <c r="H1720" s="31"/>
      <c r="I1720" s="56"/>
      <c r="J1720" s="56"/>
      <c r="K1720" s="82" t="str">
        <f t="shared" si="511"/>
        <v>Credit Memo</v>
      </c>
      <c r="L1720" s="83" t="str">
        <f>"SC_100757"</f>
        <v>SC_100757</v>
      </c>
      <c r="M1720" s="84">
        <v>43477</v>
      </c>
      <c r="N1720" s="85">
        <f t="shared" si="513"/>
        <v>335</v>
      </c>
      <c r="O1720" s="86">
        <f t="shared" si="514"/>
        <v>-149.21</v>
      </c>
      <c r="P1720" s="86">
        <f t="shared" si="515"/>
        <v>0</v>
      </c>
      <c r="Q1720" s="86">
        <f t="shared" si="516"/>
        <v>0</v>
      </c>
      <c r="R1720" s="86">
        <f t="shared" si="517"/>
        <v>0</v>
      </c>
      <c r="S1720" s="86">
        <f t="shared" si="518"/>
        <v>0</v>
      </c>
      <c r="T1720" s="86">
        <f t="shared" si="519"/>
        <v>-149.21</v>
      </c>
      <c r="U1720" s="87">
        <v>-149.21</v>
      </c>
    </row>
    <row r="1721" spans="1:21" s="30" customFormat="1" ht="24.6" hidden="1" outlineLevel="1" x14ac:dyDescent="0.55000000000000004">
      <c r="A1721" s="27" t="s">
        <v>327</v>
      </c>
      <c r="B1721" s="28"/>
      <c r="C1721" s="27"/>
      <c r="D1721" s="27" t="str">
        <f>"""NAV Direct"",""CRONUS JetCorp USA"",""21"",""1"",""437644"""</f>
        <v>"NAV Direct","CRONUS JetCorp USA","21","1","437644"</v>
      </c>
      <c r="E1721" s="31" t="str">
        <f t="shared" si="512"/>
        <v>C100059</v>
      </c>
      <c r="F1721" s="31"/>
      <c r="G1721" s="31"/>
      <c r="H1721" s="31"/>
      <c r="I1721" s="56"/>
      <c r="J1721" s="56"/>
      <c r="K1721" s="82" t="str">
        <f t="shared" si="511"/>
        <v>Credit Memo</v>
      </c>
      <c r="L1721" s="83" t="str">
        <f>"SC_100760"</f>
        <v>SC_100760</v>
      </c>
      <c r="M1721" s="84">
        <v>43568</v>
      </c>
      <c r="N1721" s="85">
        <f t="shared" si="513"/>
        <v>244</v>
      </c>
      <c r="O1721" s="86">
        <f t="shared" si="514"/>
        <v>-239.06</v>
      </c>
      <c r="P1721" s="86">
        <f t="shared" si="515"/>
        <v>0</v>
      </c>
      <c r="Q1721" s="86">
        <f t="shared" si="516"/>
        <v>0</v>
      </c>
      <c r="R1721" s="86">
        <f t="shared" si="517"/>
        <v>0</v>
      </c>
      <c r="S1721" s="86">
        <f t="shared" si="518"/>
        <v>0</v>
      </c>
      <c r="T1721" s="86">
        <f t="shared" si="519"/>
        <v>-239.06</v>
      </c>
      <c r="U1721" s="87">
        <v>-239.06</v>
      </c>
    </row>
    <row r="1722" spans="1:21" s="30" customFormat="1" ht="24.6" hidden="1" outlineLevel="1" x14ac:dyDescent="0.55000000000000004">
      <c r="A1722" s="27" t="s">
        <v>327</v>
      </c>
      <c r="B1722" s="28"/>
      <c r="C1722" s="27"/>
      <c r="D1722" s="27" t="str">
        <f>"""NAV Direct"",""CRONUS JetCorp USA"",""21"",""1"",""437685"""</f>
        <v>"NAV Direct","CRONUS JetCorp USA","21","1","437685"</v>
      </c>
      <c r="E1722" s="31">
        <f t="shared" si="512"/>
        <v>0</v>
      </c>
      <c r="F1722" s="31"/>
      <c r="G1722" s="31"/>
      <c r="H1722" s="31"/>
      <c r="I1722" s="56"/>
      <c r="J1722" s="56"/>
      <c r="K1722" s="82" t="str">
        <f t="shared" si="511"/>
        <v>Credit Memo</v>
      </c>
      <c r="L1722" s="83" t="str">
        <f>"SC_100763"</f>
        <v>SC_100763</v>
      </c>
      <c r="M1722" s="84">
        <v>43719</v>
      </c>
      <c r="N1722" s="85">
        <f t="shared" si="513"/>
        <v>93</v>
      </c>
      <c r="O1722" s="86">
        <f t="shared" si="514"/>
        <v>-173.70999999999998</v>
      </c>
      <c r="P1722" s="86">
        <f t="shared" si="515"/>
        <v>0</v>
      </c>
      <c r="Q1722" s="86">
        <f t="shared" si="516"/>
        <v>0</v>
      </c>
      <c r="R1722" s="86">
        <f t="shared" si="517"/>
        <v>0</v>
      </c>
      <c r="S1722" s="86">
        <f t="shared" si="518"/>
        <v>0</v>
      </c>
      <c r="T1722" s="86">
        <f t="shared" si="519"/>
        <v>-173.70999999999998</v>
      </c>
      <c r="U1722" s="87">
        <v>-173.70999999999998</v>
      </c>
    </row>
    <row r="1723" spans="1:21" s="30" customFormat="1" ht="24.6" hidden="1" outlineLevel="1" x14ac:dyDescent="0.55000000000000004">
      <c r="A1723" s="27" t="s">
        <v>327</v>
      </c>
      <c r="B1723" s="28"/>
      <c r="C1723" s="27"/>
      <c r="D1723" s="27" t="str">
        <f>"""NAV Direct"",""CRONUS JetCorp USA"",""21"",""1"",""437717"""</f>
        <v>"NAV Direct","CRONUS JetCorp USA","21","1","437717"</v>
      </c>
      <c r="E1723" s="31" t="str">
        <f t="shared" si="512"/>
        <v>C100059</v>
      </c>
      <c r="F1723" s="31"/>
      <c r="G1723" s="31"/>
      <c r="H1723" s="31"/>
      <c r="I1723" s="56"/>
      <c r="J1723" s="56"/>
      <c r="K1723" s="82" t="str">
        <f t="shared" si="511"/>
        <v>Credit Memo</v>
      </c>
      <c r="L1723" s="83" t="str">
        <f>"SC_100765"</f>
        <v>SC_100765</v>
      </c>
      <c r="M1723" s="84">
        <v>43801</v>
      </c>
      <c r="N1723" s="85">
        <f t="shared" si="513"/>
        <v>11</v>
      </c>
      <c r="O1723" s="86">
        <f t="shared" si="514"/>
        <v>-212.01000000000002</v>
      </c>
      <c r="P1723" s="86">
        <f t="shared" si="515"/>
        <v>0</v>
      </c>
      <c r="Q1723" s="86">
        <f t="shared" si="516"/>
        <v>-212.01000000000002</v>
      </c>
      <c r="R1723" s="86">
        <f t="shared" si="517"/>
        <v>0</v>
      </c>
      <c r="S1723" s="86">
        <f t="shared" si="518"/>
        <v>0</v>
      </c>
      <c r="T1723" s="86">
        <f t="shared" si="519"/>
        <v>0</v>
      </c>
      <c r="U1723" s="87">
        <v>-212.01000000000002</v>
      </c>
    </row>
    <row r="1724" spans="1:21" s="30" customFormat="1" ht="24.6" hidden="1" outlineLevel="1" x14ac:dyDescent="0.55000000000000004">
      <c r="A1724" s="27" t="s">
        <v>327</v>
      </c>
      <c r="B1724" s="28"/>
      <c r="C1724" s="27"/>
      <c r="D1724" s="27" t="str">
        <f>"""NAV Direct"",""CRONUS JetCorp USA"",""21"",""1"",""437745"""</f>
        <v>"NAV Direct","CRONUS JetCorp USA","21","1","437745"</v>
      </c>
      <c r="E1724" s="31">
        <f t="shared" si="512"/>
        <v>0</v>
      </c>
      <c r="F1724" s="31"/>
      <c r="G1724" s="31"/>
      <c r="H1724" s="31"/>
      <c r="I1724" s="56"/>
      <c r="J1724" s="56"/>
      <c r="K1724" s="82" t="str">
        <f t="shared" si="511"/>
        <v>Credit Memo</v>
      </c>
      <c r="L1724" s="83" t="str">
        <f>"SC_100767"</f>
        <v>SC_100767</v>
      </c>
      <c r="M1724" s="84">
        <v>42020</v>
      </c>
      <c r="N1724" s="85">
        <f t="shared" si="513"/>
        <v>1792</v>
      </c>
      <c r="O1724" s="86">
        <f t="shared" si="514"/>
        <v>-197.16</v>
      </c>
      <c r="P1724" s="86">
        <f t="shared" si="515"/>
        <v>0</v>
      </c>
      <c r="Q1724" s="86">
        <f t="shared" si="516"/>
        <v>0</v>
      </c>
      <c r="R1724" s="86">
        <f t="shared" si="517"/>
        <v>0</v>
      </c>
      <c r="S1724" s="86">
        <f t="shared" si="518"/>
        <v>0</v>
      </c>
      <c r="T1724" s="86">
        <f t="shared" si="519"/>
        <v>-197.16</v>
      </c>
      <c r="U1724" s="87">
        <v>-197.16</v>
      </c>
    </row>
    <row r="1725" spans="1:21" s="30" customFormat="1" ht="24.6" hidden="1" outlineLevel="1" x14ac:dyDescent="0.55000000000000004">
      <c r="A1725" s="27" t="s">
        <v>327</v>
      </c>
      <c r="B1725" s="28"/>
      <c r="C1725" s="27"/>
      <c r="D1725" s="27" t="str">
        <f>"""NAV Direct"",""CRONUS JetCorp USA"",""21"",""1"",""437818"""</f>
        <v>"NAV Direct","CRONUS JetCorp USA","21","1","437818"</v>
      </c>
      <c r="E1725" s="31" t="str">
        <f t="shared" si="512"/>
        <v>C100059</v>
      </c>
      <c r="F1725" s="31"/>
      <c r="G1725" s="31"/>
      <c r="H1725" s="31"/>
      <c r="I1725" s="56"/>
      <c r="J1725" s="56"/>
      <c r="K1725" s="82" t="str">
        <f t="shared" si="511"/>
        <v>Credit Memo</v>
      </c>
      <c r="L1725" s="83" t="str">
        <f>"SC_100772"</f>
        <v>SC_100772</v>
      </c>
      <c r="M1725" s="84">
        <v>42162</v>
      </c>
      <c r="N1725" s="85">
        <f t="shared" si="513"/>
        <v>1650</v>
      </c>
      <c r="O1725" s="86">
        <f t="shared" si="514"/>
        <v>-254.41000000000003</v>
      </c>
      <c r="P1725" s="86">
        <f t="shared" si="515"/>
        <v>0</v>
      </c>
      <c r="Q1725" s="86">
        <f t="shared" si="516"/>
        <v>0</v>
      </c>
      <c r="R1725" s="86">
        <f t="shared" si="517"/>
        <v>0</v>
      </c>
      <c r="S1725" s="86">
        <f t="shared" si="518"/>
        <v>0</v>
      </c>
      <c r="T1725" s="86">
        <f t="shared" si="519"/>
        <v>-254.41000000000003</v>
      </c>
      <c r="U1725" s="87">
        <v>-254.41000000000003</v>
      </c>
    </row>
    <row r="1726" spans="1:21" s="22" customFormat="1" ht="20.399999999999999" collapsed="1" x14ac:dyDescent="0.45">
      <c r="A1726" s="12" t="s">
        <v>327</v>
      </c>
      <c r="B1726" s="19"/>
      <c r="C1726" s="12"/>
      <c r="D1726" s="12"/>
      <c r="E1726" s="23"/>
      <c r="F1726" s="23"/>
      <c r="G1726" s="23"/>
      <c r="H1726" s="23"/>
      <c r="I1726" s="49"/>
      <c r="J1726" s="88"/>
      <c r="K1726" s="88"/>
      <c r="L1726" s="89"/>
      <c r="M1726" s="89"/>
      <c r="N1726" s="89"/>
      <c r="O1726" s="89"/>
      <c r="P1726" s="89"/>
      <c r="Q1726" s="90"/>
      <c r="R1726" s="90"/>
      <c r="S1726" s="91"/>
      <c r="T1726" s="92"/>
      <c r="U1726" s="92"/>
    </row>
    <row r="1727" spans="1:21" s="22" customFormat="1" ht="20.399999999999999" x14ac:dyDescent="0.45">
      <c r="A1727" s="12" t="s">
        <v>327</v>
      </c>
      <c r="B1727" s="19"/>
      <c r="C1727" s="12"/>
      <c r="D1727" s="12"/>
      <c r="E1727" s="23"/>
      <c r="F1727" s="23"/>
      <c r="G1727" s="23"/>
      <c r="H1727" s="23"/>
      <c r="I1727" s="49"/>
      <c r="J1727" s="88"/>
      <c r="K1727" s="88"/>
      <c r="L1727" s="89"/>
      <c r="M1727" s="89"/>
      <c r="N1727" s="89"/>
      <c r="O1727" s="89"/>
      <c r="P1727" s="89"/>
      <c r="Q1727" s="90"/>
      <c r="R1727" s="90"/>
      <c r="S1727" s="91"/>
      <c r="T1727" s="92"/>
      <c r="U1727" s="92"/>
    </row>
    <row r="1728" spans="1:21" s="26" customFormat="1" ht="24.6" x14ac:dyDescent="0.55000000000000004">
      <c r="A1728" s="27" t="s">
        <v>327</v>
      </c>
      <c r="B1728" s="28"/>
      <c r="C1728" s="27" t="str">
        <f>"""NAV Direct"",""CRONUS JetCorp USA"",""18"",""1"",""C100060"""</f>
        <v>"NAV Direct","CRONUS JetCorp USA","18","1","C100060"</v>
      </c>
      <c r="D1728" s="27"/>
      <c r="E1728" s="28" t="str">
        <f>H1728</f>
        <v>C100060</v>
      </c>
      <c r="F1728" s="28"/>
      <c r="G1728" s="28"/>
      <c r="H1728" s="28" t="str">
        <f>"C100060"</f>
        <v>C100060</v>
      </c>
      <c r="I1728" s="116" t="str">
        <f>"C100060  -  MEMA Ljubljana d.o.o."</f>
        <v>C100060  -  MEMA Ljubljana d.o.o.</v>
      </c>
      <c r="J1728" s="117" t="str">
        <f>""</f>
        <v/>
      </c>
      <c r="K1728" s="118"/>
      <c r="L1728" s="119">
        <f>SUBTOTAL(3,L1729:L1770)</f>
        <v>38</v>
      </c>
      <c r="M1728" s="118"/>
      <c r="N1728" s="118"/>
      <c r="O1728" s="120">
        <f t="shared" ref="O1728:T1728" si="520">SUBTOTAL(9,O1729:O1770)</f>
        <v>525523.96000000008</v>
      </c>
      <c r="P1728" s="120">
        <f t="shared" si="520"/>
        <v>0</v>
      </c>
      <c r="Q1728" s="120">
        <f t="shared" si="520"/>
        <v>0</v>
      </c>
      <c r="R1728" s="120">
        <f t="shared" si="520"/>
        <v>0</v>
      </c>
      <c r="S1728" s="120">
        <f t="shared" si="520"/>
        <v>-167.36</v>
      </c>
      <c r="T1728" s="120">
        <f t="shared" si="520"/>
        <v>525691.32000000007</v>
      </c>
      <c r="U1728" s="81"/>
    </row>
    <row r="1729" spans="1:22" s="26" customFormat="1" ht="24.6" x14ac:dyDescent="0.55000000000000004">
      <c r="A1729" s="27" t="s">
        <v>327</v>
      </c>
      <c r="B1729" s="28"/>
      <c r="C1729" s="27" t="str">
        <f>C1728</f>
        <v>"NAV Direct","CRONUS JetCorp USA","18","1","C100060"</v>
      </c>
      <c r="D1729" s="27"/>
      <c r="E1729" s="28" t="str">
        <f>E1728</f>
        <v>C100060</v>
      </c>
      <c r="F1729" s="28"/>
      <c r="G1729" s="28"/>
      <c r="H1729" s="28"/>
      <c r="I1729" s="121" t="str">
        <f>"Contact: g. Bostjan Lukan"</f>
        <v>Contact: g. Bostjan Lukan</v>
      </c>
      <c r="J1729" s="121"/>
      <c r="K1729" s="122"/>
      <c r="L1729" s="123"/>
      <c r="M1729" s="123"/>
      <c r="N1729" s="124"/>
      <c r="O1729" s="124"/>
      <c r="P1729" s="123"/>
      <c r="Q1729" s="125"/>
      <c r="R1729" s="126"/>
      <c r="S1729" s="126"/>
      <c r="T1729" s="125"/>
      <c r="U1729" s="81"/>
    </row>
    <row r="1730" spans="1:22" s="26" customFormat="1" ht="24.6" x14ac:dyDescent="0.55000000000000004">
      <c r="A1730" s="27" t="s">
        <v>327</v>
      </c>
      <c r="B1730" s="28"/>
      <c r="C1730" s="27" t="str">
        <f>C1729</f>
        <v>"NAV Direct","CRONUS JetCorp USA","18","1","C100060"</v>
      </c>
      <c r="D1730" s="27"/>
      <c r="E1730" s="28" t="str">
        <f>E1729</f>
        <v>C100060</v>
      </c>
      <c r="F1730" s="28"/>
      <c r="G1730" s="28"/>
      <c r="H1730" s="28"/>
      <c r="I1730" s="121" t="str">
        <f>"mema.ljubljana.doo@cronuscorp.net"</f>
        <v>mema.ljubljana.doo@cronuscorp.net</v>
      </c>
      <c r="J1730" s="121"/>
      <c r="K1730" s="122"/>
      <c r="L1730" s="124"/>
      <c r="M1730" s="124"/>
      <c r="N1730" s="124"/>
      <c r="O1730" s="124"/>
      <c r="P1730" s="123"/>
      <c r="Q1730" s="125"/>
      <c r="R1730" s="126"/>
      <c r="S1730" s="126"/>
      <c r="T1730" s="125"/>
      <c r="U1730" s="81"/>
    </row>
    <row r="1731" spans="1:22" ht="12.75" hidden="1" customHeight="1" outlineLevel="1" x14ac:dyDescent="0.45">
      <c r="A1731" s="12" t="s">
        <v>328</v>
      </c>
      <c r="B1731" s="19"/>
      <c r="E1731" s="19"/>
      <c r="F1731" s="19"/>
      <c r="G1731" s="19"/>
      <c r="H1731" s="19"/>
      <c r="I1731" s="61"/>
      <c r="J1731" s="61"/>
      <c r="K1731" s="61"/>
      <c r="L1731" s="61"/>
      <c r="M1731" s="61"/>
      <c r="N1731" s="61"/>
      <c r="O1731" s="61"/>
      <c r="P1731" s="61"/>
      <c r="Q1731" s="61"/>
      <c r="R1731" s="61"/>
      <c r="S1731" s="61"/>
      <c r="T1731" s="61"/>
      <c r="U1731" s="61"/>
      <c r="V1731" s="21"/>
    </row>
    <row r="1732" spans="1:22" s="30" customFormat="1" ht="24.6" hidden="1" outlineLevel="1" x14ac:dyDescent="0.55000000000000004">
      <c r="A1732" s="27" t="s">
        <v>327</v>
      </c>
      <c r="B1732" s="28"/>
      <c r="C1732" s="27"/>
      <c r="D1732" s="27" t="str">
        <f>"""NAV Direct"",""CRONUS JetCorp USA"",""21"",""1"",""35462"""</f>
        <v>"NAV Direct","CRONUS JetCorp USA","21","1","35462"</v>
      </c>
      <c r="E1732" s="31" t="str">
        <f t="shared" ref="E1732:E1769" si="521">E1730</f>
        <v>C100060</v>
      </c>
      <c r="F1732" s="31"/>
      <c r="G1732" s="31"/>
      <c r="H1732" s="31"/>
      <c r="I1732" s="56"/>
      <c r="J1732" s="56"/>
      <c r="K1732" s="82" t="str">
        <f t="shared" ref="K1732:K1762" si="522">"Invoice"</f>
        <v>Invoice</v>
      </c>
      <c r="L1732" s="83" t="str">
        <f>"SI_104668"</f>
        <v>SI_104668</v>
      </c>
      <c r="M1732" s="84">
        <v>42318</v>
      </c>
      <c r="N1732" s="85">
        <f t="shared" ref="N1732:N1769" si="523">StartDate-$M1732+1</f>
        <v>1494</v>
      </c>
      <c r="O1732" s="86">
        <f t="shared" ref="O1732:O1769" si="524">SUM(P1732:T1732)</f>
        <v>18869.07</v>
      </c>
      <c r="P1732" s="86">
        <f t="shared" ref="P1732:P1769" si="525">IF($M1732&gt;=$P$18,U1732,0)</f>
        <v>0</v>
      </c>
      <c r="Q1732" s="86">
        <f t="shared" ref="Q1732:Q1769" si="526">IF(AND($M1732&gt;=$Q$16,$M1732&lt;=$Q$18),U1732,0)</f>
        <v>0</v>
      </c>
      <c r="R1732" s="86">
        <f t="shared" ref="R1732:R1769" si="527">IF(AND($M1732&gt;=$R$16,$M1732&lt;=$R$18),U1732,0)</f>
        <v>0</v>
      </c>
      <c r="S1732" s="86">
        <f t="shared" ref="S1732:S1769" si="528">IF(AND($M1732&gt;=$S$16,$M1732&lt;=$S$18),U1732,0)</f>
        <v>0</v>
      </c>
      <c r="T1732" s="86">
        <f t="shared" ref="T1732:T1769" si="529">IF($M1732&lt;=$T$18,U1732,0)</f>
        <v>18869.07</v>
      </c>
      <c r="U1732" s="87">
        <v>18869.07</v>
      </c>
    </row>
    <row r="1733" spans="1:22" s="30" customFormat="1" ht="24.6" hidden="1" outlineLevel="1" x14ac:dyDescent="0.55000000000000004">
      <c r="A1733" s="27" t="s">
        <v>327</v>
      </c>
      <c r="B1733" s="28"/>
      <c r="C1733" s="27"/>
      <c r="D1733" s="27" t="str">
        <f>"""NAV Direct"",""CRONUS JetCorp USA"",""21"",""1"",""35541"""</f>
        <v>"NAV Direct","CRONUS JetCorp USA","21","1","35541"</v>
      </c>
      <c r="E1733" s="31">
        <f t="shared" si="521"/>
        <v>0</v>
      </c>
      <c r="F1733" s="31"/>
      <c r="G1733" s="31"/>
      <c r="H1733" s="31"/>
      <c r="I1733" s="56"/>
      <c r="J1733" s="56"/>
      <c r="K1733" s="82" t="str">
        <f t="shared" si="522"/>
        <v>Invoice</v>
      </c>
      <c r="L1733" s="83" t="str">
        <f>"SI_104671"</f>
        <v>SI_104671</v>
      </c>
      <c r="M1733" s="84">
        <v>42325</v>
      </c>
      <c r="N1733" s="85">
        <f t="shared" si="523"/>
        <v>1487</v>
      </c>
      <c r="O1733" s="86">
        <f t="shared" si="524"/>
        <v>18869.29</v>
      </c>
      <c r="P1733" s="86">
        <f t="shared" si="525"/>
        <v>0</v>
      </c>
      <c r="Q1733" s="86">
        <f t="shared" si="526"/>
        <v>0</v>
      </c>
      <c r="R1733" s="86">
        <f t="shared" si="527"/>
        <v>0</v>
      </c>
      <c r="S1733" s="86">
        <f t="shared" si="528"/>
        <v>0</v>
      </c>
      <c r="T1733" s="86">
        <f t="shared" si="529"/>
        <v>18869.29</v>
      </c>
      <c r="U1733" s="87">
        <v>18869.29</v>
      </c>
    </row>
    <row r="1734" spans="1:22" s="30" customFormat="1" ht="24.6" hidden="1" outlineLevel="1" x14ac:dyDescent="0.55000000000000004">
      <c r="A1734" s="27" t="s">
        <v>327</v>
      </c>
      <c r="B1734" s="28"/>
      <c r="C1734" s="27"/>
      <c r="D1734" s="27" t="str">
        <f>"""NAV Direct"",""CRONUS JetCorp USA"",""21"",""1"",""325593"""</f>
        <v>"NAV Direct","CRONUS JetCorp USA","21","1","325593"</v>
      </c>
      <c r="E1734" s="31" t="str">
        <f t="shared" si="521"/>
        <v>C100060</v>
      </c>
      <c r="F1734" s="31"/>
      <c r="G1734" s="31"/>
      <c r="H1734" s="31"/>
      <c r="I1734" s="56"/>
      <c r="J1734" s="56"/>
      <c r="K1734" s="82" t="str">
        <f t="shared" si="522"/>
        <v>Invoice</v>
      </c>
      <c r="L1734" s="83" t="str">
        <f>"SI_110215"</f>
        <v>SI_110215</v>
      </c>
      <c r="M1734" s="84">
        <v>42447</v>
      </c>
      <c r="N1734" s="85">
        <f t="shared" si="523"/>
        <v>1365</v>
      </c>
      <c r="O1734" s="86">
        <f t="shared" si="524"/>
        <v>16661.13</v>
      </c>
      <c r="P1734" s="86">
        <f t="shared" si="525"/>
        <v>0</v>
      </c>
      <c r="Q1734" s="86">
        <f t="shared" si="526"/>
        <v>0</v>
      </c>
      <c r="R1734" s="86">
        <f t="shared" si="527"/>
        <v>0</v>
      </c>
      <c r="S1734" s="86">
        <f t="shared" si="528"/>
        <v>0</v>
      </c>
      <c r="T1734" s="86">
        <f t="shared" si="529"/>
        <v>16661.13</v>
      </c>
      <c r="U1734" s="87">
        <v>16661.13</v>
      </c>
    </row>
    <row r="1735" spans="1:22" s="30" customFormat="1" ht="24.6" hidden="1" outlineLevel="1" x14ac:dyDescent="0.55000000000000004">
      <c r="A1735" s="27" t="s">
        <v>327</v>
      </c>
      <c r="B1735" s="28"/>
      <c r="C1735" s="27"/>
      <c r="D1735" s="27" t="str">
        <f>"""NAV Direct"",""CRONUS JetCorp USA"",""21"",""1"",""326056"""</f>
        <v>"NAV Direct","CRONUS JetCorp USA","21","1","326056"</v>
      </c>
      <c r="E1735" s="31">
        <f t="shared" si="521"/>
        <v>0</v>
      </c>
      <c r="F1735" s="31"/>
      <c r="G1735" s="31"/>
      <c r="H1735" s="31"/>
      <c r="I1735" s="56"/>
      <c r="J1735" s="56"/>
      <c r="K1735" s="82" t="str">
        <f t="shared" si="522"/>
        <v>Invoice</v>
      </c>
      <c r="L1735" s="83" t="str">
        <f>"SI_110232"</f>
        <v>SI_110232</v>
      </c>
      <c r="M1735" s="84">
        <v>42662</v>
      </c>
      <c r="N1735" s="85">
        <f t="shared" si="523"/>
        <v>1150</v>
      </c>
      <c r="O1735" s="86">
        <f t="shared" si="524"/>
        <v>17852.3</v>
      </c>
      <c r="P1735" s="86">
        <f t="shared" si="525"/>
        <v>0</v>
      </c>
      <c r="Q1735" s="86">
        <f t="shared" si="526"/>
        <v>0</v>
      </c>
      <c r="R1735" s="86">
        <f t="shared" si="527"/>
        <v>0</v>
      </c>
      <c r="S1735" s="86">
        <f t="shared" si="528"/>
        <v>0</v>
      </c>
      <c r="T1735" s="86">
        <f t="shared" si="529"/>
        <v>17852.3</v>
      </c>
      <c r="U1735" s="87">
        <v>17852.3</v>
      </c>
    </row>
    <row r="1736" spans="1:22" s="30" customFormat="1" ht="24.6" hidden="1" outlineLevel="1" x14ac:dyDescent="0.55000000000000004">
      <c r="A1736" s="27" t="s">
        <v>327</v>
      </c>
      <c r="B1736" s="28"/>
      <c r="C1736" s="27"/>
      <c r="D1736" s="27" t="str">
        <f>"""NAV Direct"",""CRONUS JetCorp USA"",""21"",""1"",""326214"""</f>
        <v>"NAV Direct","CRONUS JetCorp USA","21","1","326214"</v>
      </c>
      <c r="E1736" s="31" t="str">
        <f t="shared" si="521"/>
        <v>C100060</v>
      </c>
      <c r="F1736" s="31"/>
      <c r="G1736" s="31"/>
      <c r="H1736" s="31"/>
      <c r="I1736" s="56"/>
      <c r="J1736" s="56"/>
      <c r="K1736" s="82" t="str">
        <f t="shared" si="522"/>
        <v>Invoice</v>
      </c>
      <c r="L1736" s="83" t="str">
        <f>"SI_110238"</f>
        <v>SI_110238</v>
      </c>
      <c r="M1736" s="84">
        <v>42738</v>
      </c>
      <c r="N1736" s="85">
        <f t="shared" si="523"/>
        <v>1074</v>
      </c>
      <c r="O1736" s="86">
        <f t="shared" si="524"/>
        <v>20189.72</v>
      </c>
      <c r="P1736" s="86">
        <f t="shared" si="525"/>
        <v>0</v>
      </c>
      <c r="Q1736" s="86">
        <f t="shared" si="526"/>
        <v>0</v>
      </c>
      <c r="R1736" s="86">
        <f t="shared" si="527"/>
        <v>0</v>
      </c>
      <c r="S1736" s="86">
        <f t="shared" si="528"/>
        <v>0</v>
      </c>
      <c r="T1736" s="86">
        <f t="shared" si="529"/>
        <v>20189.72</v>
      </c>
      <c r="U1736" s="87">
        <v>20189.72</v>
      </c>
    </row>
    <row r="1737" spans="1:22" s="30" customFormat="1" ht="24.6" hidden="1" outlineLevel="1" x14ac:dyDescent="0.55000000000000004">
      <c r="A1737" s="27" t="s">
        <v>327</v>
      </c>
      <c r="B1737" s="28"/>
      <c r="C1737" s="27"/>
      <c r="D1737" s="27" t="str">
        <f>"""NAV Direct"",""CRONUS JetCorp USA"",""21"",""1"",""326669"""</f>
        <v>"NAV Direct","CRONUS JetCorp USA","21","1","326669"</v>
      </c>
      <c r="E1737" s="31">
        <f t="shared" si="521"/>
        <v>0</v>
      </c>
      <c r="F1737" s="31"/>
      <c r="G1737" s="31"/>
      <c r="H1737" s="31"/>
      <c r="I1737" s="56"/>
      <c r="J1737" s="56"/>
      <c r="K1737" s="82" t="str">
        <f t="shared" si="522"/>
        <v>Invoice</v>
      </c>
      <c r="L1737" s="83" t="str">
        <f>"SI_110253"</f>
        <v>SI_110253</v>
      </c>
      <c r="M1737" s="84">
        <v>42936</v>
      </c>
      <c r="N1737" s="85">
        <f t="shared" si="523"/>
        <v>876</v>
      </c>
      <c r="O1737" s="86">
        <f t="shared" si="524"/>
        <v>20761.469999999998</v>
      </c>
      <c r="P1737" s="86">
        <f t="shared" si="525"/>
        <v>0</v>
      </c>
      <c r="Q1737" s="86">
        <f t="shared" si="526"/>
        <v>0</v>
      </c>
      <c r="R1737" s="86">
        <f t="shared" si="527"/>
        <v>0</v>
      </c>
      <c r="S1737" s="86">
        <f t="shared" si="528"/>
        <v>0</v>
      </c>
      <c r="T1737" s="86">
        <f t="shared" si="529"/>
        <v>20761.469999999998</v>
      </c>
      <c r="U1737" s="87">
        <v>20761.469999999998</v>
      </c>
    </row>
    <row r="1738" spans="1:22" s="30" customFormat="1" ht="24.6" hidden="1" outlineLevel="1" x14ac:dyDescent="0.55000000000000004">
      <c r="A1738" s="27" t="s">
        <v>327</v>
      </c>
      <c r="B1738" s="28"/>
      <c r="C1738" s="27"/>
      <c r="D1738" s="27" t="str">
        <f>"""NAV Direct"",""CRONUS JetCorp USA"",""21"",""1"",""326814"""</f>
        <v>"NAV Direct","CRONUS JetCorp USA","21","1","326814"</v>
      </c>
      <c r="E1738" s="31" t="str">
        <f t="shared" si="521"/>
        <v>C100060</v>
      </c>
      <c r="F1738" s="31"/>
      <c r="G1738" s="31"/>
      <c r="H1738" s="31"/>
      <c r="I1738" s="56"/>
      <c r="J1738" s="56"/>
      <c r="K1738" s="82" t="str">
        <f t="shared" si="522"/>
        <v>Invoice</v>
      </c>
      <c r="L1738" s="83" t="str">
        <f>"SI_110258"</f>
        <v>SI_110258</v>
      </c>
      <c r="M1738" s="84">
        <v>43030</v>
      </c>
      <c r="N1738" s="85">
        <f t="shared" si="523"/>
        <v>782</v>
      </c>
      <c r="O1738" s="86">
        <f t="shared" si="524"/>
        <v>17784.97</v>
      </c>
      <c r="P1738" s="86">
        <f t="shared" si="525"/>
        <v>0</v>
      </c>
      <c r="Q1738" s="86">
        <f t="shared" si="526"/>
        <v>0</v>
      </c>
      <c r="R1738" s="86">
        <f t="shared" si="527"/>
        <v>0</v>
      </c>
      <c r="S1738" s="86">
        <f t="shared" si="528"/>
        <v>0</v>
      </c>
      <c r="T1738" s="86">
        <f t="shared" si="529"/>
        <v>17784.97</v>
      </c>
      <c r="U1738" s="87">
        <v>17784.97</v>
      </c>
    </row>
    <row r="1739" spans="1:22" s="30" customFormat="1" ht="24.6" hidden="1" outlineLevel="1" x14ac:dyDescent="0.55000000000000004">
      <c r="A1739" s="27" t="s">
        <v>327</v>
      </c>
      <c r="B1739" s="28"/>
      <c r="C1739" s="27"/>
      <c r="D1739" s="27" t="str">
        <f>"""NAV Direct"",""CRONUS JetCorp USA"",""21"",""1"",""326922"""</f>
        <v>"NAV Direct","CRONUS JetCorp USA","21","1","326922"</v>
      </c>
      <c r="E1739" s="31">
        <f t="shared" si="521"/>
        <v>0</v>
      </c>
      <c r="F1739" s="31"/>
      <c r="G1739" s="31"/>
      <c r="H1739" s="31"/>
      <c r="I1739" s="56"/>
      <c r="J1739" s="56"/>
      <c r="K1739" s="82" t="str">
        <f t="shared" si="522"/>
        <v>Invoice</v>
      </c>
      <c r="L1739" s="83" t="str">
        <f>"SI_110262"</f>
        <v>SI_110262</v>
      </c>
      <c r="M1739" s="84">
        <v>43087</v>
      </c>
      <c r="N1739" s="85">
        <f t="shared" si="523"/>
        <v>725</v>
      </c>
      <c r="O1739" s="86">
        <f t="shared" si="524"/>
        <v>15876.92</v>
      </c>
      <c r="P1739" s="86">
        <f t="shared" si="525"/>
        <v>0</v>
      </c>
      <c r="Q1739" s="86">
        <f t="shared" si="526"/>
        <v>0</v>
      </c>
      <c r="R1739" s="86">
        <f t="shared" si="527"/>
        <v>0</v>
      </c>
      <c r="S1739" s="86">
        <f t="shared" si="528"/>
        <v>0</v>
      </c>
      <c r="T1739" s="86">
        <f t="shared" si="529"/>
        <v>15876.92</v>
      </c>
      <c r="U1739" s="87">
        <v>15876.92</v>
      </c>
    </row>
    <row r="1740" spans="1:22" s="30" customFormat="1" ht="24.6" hidden="1" outlineLevel="1" x14ac:dyDescent="0.55000000000000004">
      <c r="A1740" s="27" t="s">
        <v>327</v>
      </c>
      <c r="B1740" s="28"/>
      <c r="C1740" s="27"/>
      <c r="D1740" s="27" t="str">
        <f>"""NAV Direct"",""CRONUS JetCorp USA"",""21"",""1"",""327103"""</f>
        <v>"NAV Direct","CRONUS JetCorp USA","21","1","327103"</v>
      </c>
      <c r="E1740" s="31" t="str">
        <f t="shared" si="521"/>
        <v>C100060</v>
      </c>
      <c r="F1740" s="31"/>
      <c r="G1740" s="31"/>
      <c r="H1740" s="31"/>
      <c r="I1740" s="56"/>
      <c r="J1740" s="56"/>
      <c r="K1740" s="82" t="str">
        <f t="shared" si="522"/>
        <v>Invoice</v>
      </c>
      <c r="L1740" s="83" t="str">
        <f>"SI_110269"</f>
        <v>SI_110269</v>
      </c>
      <c r="M1740" s="84">
        <v>43169</v>
      </c>
      <c r="N1740" s="85">
        <f t="shared" si="523"/>
        <v>643</v>
      </c>
      <c r="O1740" s="86">
        <f t="shared" si="524"/>
        <v>15088.6</v>
      </c>
      <c r="P1740" s="86">
        <f t="shared" si="525"/>
        <v>0</v>
      </c>
      <c r="Q1740" s="86">
        <f t="shared" si="526"/>
        <v>0</v>
      </c>
      <c r="R1740" s="86">
        <f t="shared" si="527"/>
        <v>0</v>
      </c>
      <c r="S1740" s="86">
        <f t="shared" si="528"/>
        <v>0</v>
      </c>
      <c r="T1740" s="86">
        <f t="shared" si="529"/>
        <v>15088.6</v>
      </c>
      <c r="U1740" s="87">
        <v>15088.6</v>
      </c>
    </row>
    <row r="1741" spans="1:22" s="30" customFormat="1" ht="24.6" hidden="1" outlineLevel="1" x14ac:dyDescent="0.55000000000000004">
      <c r="A1741" s="27" t="s">
        <v>327</v>
      </c>
      <c r="B1741" s="28"/>
      <c r="C1741" s="27"/>
      <c r="D1741" s="27" t="str">
        <f>"""NAV Direct"",""CRONUS JetCorp USA"",""21"",""1"",""327120"""</f>
        <v>"NAV Direct","CRONUS JetCorp USA","21","1","327120"</v>
      </c>
      <c r="E1741" s="31">
        <f t="shared" si="521"/>
        <v>0</v>
      </c>
      <c r="F1741" s="31"/>
      <c r="G1741" s="31"/>
      <c r="H1741" s="31"/>
      <c r="I1741" s="56"/>
      <c r="J1741" s="56"/>
      <c r="K1741" s="82" t="str">
        <f t="shared" si="522"/>
        <v>Invoice</v>
      </c>
      <c r="L1741" s="83" t="str">
        <f>"SI_110270"</f>
        <v>SI_110270</v>
      </c>
      <c r="M1741" s="84">
        <v>43191</v>
      </c>
      <c r="N1741" s="85">
        <f t="shared" si="523"/>
        <v>621</v>
      </c>
      <c r="O1741" s="86">
        <f t="shared" si="524"/>
        <v>15265.19</v>
      </c>
      <c r="P1741" s="86">
        <f t="shared" si="525"/>
        <v>0</v>
      </c>
      <c r="Q1741" s="86">
        <f t="shared" si="526"/>
        <v>0</v>
      </c>
      <c r="R1741" s="86">
        <f t="shared" si="527"/>
        <v>0</v>
      </c>
      <c r="S1741" s="86">
        <f t="shared" si="528"/>
        <v>0</v>
      </c>
      <c r="T1741" s="86">
        <f t="shared" si="529"/>
        <v>15265.19</v>
      </c>
      <c r="U1741" s="87">
        <v>15265.19</v>
      </c>
    </row>
    <row r="1742" spans="1:22" s="30" customFormat="1" ht="24.6" hidden="1" outlineLevel="1" x14ac:dyDescent="0.55000000000000004">
      <c r="A1742" s="27" t="s">
        <v>327</v>
      </c>
      <c r="B1742" s="28"/>
      <c r="C1742" s="27"/>
      <c r="D1742" s="27" t="str">
        <f>"""NAV Direct"",""CRONUS JetCorp USA"",""21"",""1"",""327215"""</f>
        <v>"NAV Direct","CRONUS JetCorp USA","21","1","327215"</v>
      </c>
      <c r="E1742" s="31" t="str">
        <f t="shared" si="521"/>
        <v>C100060</v>
      </c>
      <c r="F1742" s="31"/>
      <c r="G1742" s="31"/>
      <c r="H1742" s="31"/>
      <c r="I1742" s="56"/>
      <c r="J1742" s="56"/>
      <c r="K1742" s="82" t="str">
        <f t="shared" si="522"/>
        <v>Invoice</v>
      </c>
      <c r="L1742" s="83" t="str">
        <f>"SI_110273"</f>
        <v>SI_110273</v>
      </c>
      <c r="M1742" s="84">
        <v>43237</v>
      </c>
      <c r="N1742" s="85">
        <f t="shared" si="523"/>
        <v>575</v>
      </c>
      <c r="O1742" s="86">
        <f t="shared" si="524"/>
        <v>14352.400000000001</v>
      </c>
      <c r="P1742" s="86">
        <f t="shared" si="525"/>
        <v>0</v>
      </c>
      <c r="Q1742" s="86">
        <f t="shared" si="526"/>
        <v>0</v>
      </c>
      <c r="R1742" s="86">
        <f t="shared" si="527"/>
        <v>0</v>
      </c>
      <c r="S1742" s="86">
        <f t="shared" si="528"/>
        <v>0</v>
      </c>
      <c r="T1742" s="86">
        <f t="shared" si="529"/>
        <v>14352.400000000001</v>
      </c>
      <c r="U1742" s="87">
        <v>14352.400000000001</v>
      </c>
    </row>
    <row r="1743" spans="1:22" s="30" customFormat="1" ht="24.6" hidden="1" outlineLevel="1" x14ac:dyDescent="0.55000000000000004">
      <c r="A1743" s="27" t="s">
        <v>327</v>
      </c>
      <c r="B1743" s="28"/>
      <c r="C1743" s="27"/>
      <c r="D1743" s="27" t="str">
        <f>"""NAV Direct"",""CRONUS JetCorp USA"",""21"",""1"",""327307"""</f>
        <v>"NAV Direct","CRONUS JetCorp USA","21","1","327307"</v>
      </c>
      <c r="E1743" s="31">
        <f t="shared" si="521"/>
        <v>0</v>
      </c>
      <c r="F1743" s="31"/>
      <c r="G1743" s="31"/>
      <c r="H1743" s="31"/>
      <c r="I1743" s="56"/>
      <c r="J1743" s="56"/>
      <c r="K1743" s="82" t="str">
        <f t="shared" si="522"/>
        <v>Invoice</v>
      </c>
      <c r="L1743" s="83" t="str">
        <f>"SI_110277"</f>
        <v>SI_110277</v>
      </c>
      <c r="M1743" s="84">
        <v>43291</v>
      </c>
      <c r="N1743" s="85">
        <f t="shared" si="523"/>
        <v>521</v>
      </c>
      <c r="O1743" s="86">
        <f t="shared" si="524"/>
        <v>14321.65</v>
      </c>
      <c r="P1743" s="86">
        <f t="shared" si="525"/>
        <v>0</v>
      </c>
      <c r="Q1743" s="86">
        <f t="shared" si="526"/>
        <v>0</v>
      </c>
      <c r="R1743" s="86">
        <f t="shared" si="527"/>
        <v>0</v>
      </c>
      <c r="S1743" s="86">
        <f t="shared" si="528"/>
        <v>0</v>
      </c>
      <c r="T1743" s="86">
        <f t="shared" si="529"/>
        <v>14321.65</v>
      </c>
      <c r="U1743" s="87">
        <v>14321.65</v>
      </c>
    </row>
    <row r="1744" spans="1:22" s="30" customFormat="1" ht="24.6" hidden="1" outlineLevel="1" x14ac:dyDescent="0.55000000000000004">
      <c r="A1744" s="27" t="s">
        <v>327</v>
      </c>
      <c r="B1744" s="28"/>
      <c r="C1744" s="27"/>
      <c r="D1744" s="27" t="str">
        <f>"""NAV Direct"",""CRONUS JetCorp USA"",""21"",""1"",""327361"""</f>
        <v>"NAV Direct","CRONUS JetCorp USA","21","1","327361"</v>
      </c>
      <c r="E1744" s="31" t="str">
        <f t="shared" si="521"/>
        <v>C100060</v>
      </c>
      <c r="F1744" s="31"/>
      <c r="G1744" s="31"/>
      <c r="H1744" s="31"/>
      <c r="I1744" s="56"/>
      <c r="J1744" s="56"/>
      <c r="K1744" s="82" t="str">
        <f t="shared" si="522"/>
        <v>Invoice</v>
      </c>
      <c r="L1744" s="83" t="str">
        <f>"SI_110279"</f>
        <v>SI_110279</v>
      </c>
      <c r="M1744" s="84">
        <v>43327</v>
      </c>
      <c r="N1744" s="85">
        <f t="shared" si="523"/>
        <v>485</v>
      </c>
      <c r="O1744" s="86">
        <f t="shared" si="524"/>
        <v>13202.95</v>
      </c>
      <c r="P1744" s="86">
        <f t="shared" si="525"/>
        <v>0</v>
      </c>
      <c r="Q1744" s="86">
        <f t="shared" si="526"/>
        <v>0</v>
      </c>
      <c r="R1744" s="86">
        <f t="shared" si="527"/>
        <v>0</v>
      </c>
      <c r="S1744" s="86">
        <f t="shared" si="528"/>
        <v>0</v>
      </c>
      <c r="T1744" s="86">
        <f t="shared" si="529"/>
        <v>13202.95</v>
      </c>
      <c r="U1744" s="87">
        <v>13202.95</v>
      </c>
    </row>
    <row r="1745" spans="1:21" s="30" customFormat="1" ht="24.6" hidden="1" outlineLevel="1" x14ac:dyDescent="0.55000000000000004">
      <c r="A1745" s="27" t="s">
        <v>327</v>
      </c>
      <c r="B1745" s="28"/>
      <c r="C1745" s="27"/>
      <c r="D1745" s="27" t="str">
        <f>"""NAV Direct"",""CRONUS JetCorp USA"",""21"",""1"",""327438"""</f>
        <v>"NAV Direct","CRONUS JetCorp USA","21","1","327438"</v>
      </c>
      <c r="E1745" s="31">
        <f t="shared" si="521"/>
        <v>0</v>
      </c>
      <c r="F1745" s="31"/>
      <c r="G1745" s="31"/>
      <c r="H1745" s="31"/>
      <c r="I1745" s="56"/>
      <c r="J1745" s="56"/>
      <c r="K1745" s="82" t="str">
        <f t="shared" si="522"/>
        <v>Invoice</v>
      </c>
      <c r="L1745" s="83" t="str">
        <f>"SI_110282"</f>
        <v>SI_110282</v>
      </c>
      <c r="M1745" s="84">
        <v>43357</v>
      </c>
      <c r="N1745" s="85">
        <f t="shared" si="523"/>
        <v>455</v>
      </c>
      <c r="O1745" s="86">
        <f t="shared" si="524"/>
        <v>13443.1</v>
      </c>
      <c r="P1745" s="86">
        <f t="shared" si="525"/>
        <v>0</v>
      </c>
      <c r="Q1745" s="86">
        <f t="shared" si="526"/>
        <v>0</v>
      </c>
      <c r="R1745" s="86">
        <f t="shared" si="527"/>
        <v>0</v>
      </c>
      <c r="S1745" s="86">
        <f t="shared" si="528"/>
        <v>0</v>
      </c>
      <c r="T1745" s="86">
        <f t="shared" si="529"/>
        <v>13443.1</v>
      </c>
      <c r="U1745" s="87">
        <v>13443.1</v>
      </c>
    </row>
    <row r="1746" spans="1:21" s="30" customFormat="1" ht="24.6" hidden="1" outlineLevel="1" x14ac:dyDescent="0.55000000000000004">
      <c r="A1746" s="27" t="s">
        <v>327</v>
      </c>
      <c r="B1746" s="28"/>
      <c r="C1746" s="27"/>
      <c r="D1746" s="27" t="str">
        <f>"""NAV Direct"",""CRONUS JetCorp USA"",""21"",""1"",""327567"""</f>
        <v>"NAV Direct","CRONUS JetCorp USA","21","1","327567"</v>
      </c>
      <c r="E1746" s="31" t="str">
        <f t="shared" si="521"/>
        <v>C100060</v>
      </c>
      <c r="F1746" s="31"/>
      <c r="G1746" s="31"/>
      <c r="H1746" s="31"/>
      <c r="I1746" s="56"/>
      <c r="J1746" s="56"/>
      <c r="K1746" s="82" t="str">
        <f t="shared" si="522"/>
        <v>Invoice</v>
      </c>
      <c r="L1746" s="83" t="str">
        <f>"SI_110287"</f>
        <v>SI_110287</v>
      </c>
      <c r="M1746" s="84">
        <v>43412</v>
      </c>
      <c r="N1746" s="85">
        <f t="shared" si="523"/>
        <v>400</v>
      </c>
      <c r="O1746" s="86">
        <f t="shared" si="524"/>
        <v>13175.09</v>
      </c>
      <c r="P1746" s="86">
        <f t="shared" si="525"/>
        <v>0</v>
      </c>
      <c r="Q1746" s="86">
        <f t="shared" si="526"/>
        <v>0</v>
      </c>
      <c r="R1746" s="86">
        <f t="shared" si="527"/>
        <v>0</v>
      </c>
      <c r="S1746" s="86">
        <f t="shared" si="528"/>
        <v>0</v>
      </c>
      <c r="T1746" s="86">
        <f t="shared" si="529"/>
        <v>13175.09</v>
      </c>
      <c r="U1746" s="87">
        <v>13175.09</v>
      </c>
    </row>
    <row r="1747" spans="1:21" s="30" customFormat="1" ht="24.6" hidden="1" outlineLevel="1" x14ac:dyDescent="0.55000000000000004">
      <c r="A1747" s="27" t="s">
        <v>327</v>
      </c>
      <c r="B1747" s="28"/>
      <c r="C1747" s="27"/>
      <c r="D1747" s="27" t="str">
        <f>"""NAV Direct"",""CRONUS JetCorp USA"",""21"",""1"",""327661"""</f>
        <v>"NAV Direct","CRONUS JetCorp USA","21","1","327661"</v>
      </c>
      <c r="E1747" s="31">
        <f t="shared" si="521"/>
        <v>0</v>
      </c>
      <c r="F1747" s="31"/>
      <c r="G1747" s="31"/>
      <c r="H1747" s="31"/>
      <c r="I1747" s="56"/>
      <c r="J1747" s="56"/>
      <c r="K1747" s="82" t="str">
        <f t="shared" si="522"/>
        <v>Invoice</v>
      </c>
      <c r="L1747" s="83" t="str">
        <f>"SI_110291"</f>
        <v>SI_110291</v>
      </c>
      <c r="M1747" s="84">
        <v>43446</v>
      </c>
      <c r="N1747" s="85">
        <f t="shared" si="523"/>
        <v>366</v>
      </c>
      <c r="O1747" s="86">
        <f t="shared" si="524"/>
        <v>13333.35</v>
      </c>
      <c r="P1747" s="86">
        <f t="shared" si="525"/>
        <v>0</v>
      </c>
      <c r="Q1747" s="86">
        <f t="shared" si="526"/>
        <v>0</v>
      </c>
      <c r="R1747" s="86">
        <f t="shared" si="527"/>
        <v>0</v>
      </c>
      <c r="S1747" s="86">
        <f t="shared" si="528"/>
        <v>0</v>
      </c>
      <c r="T1747" s="86">
        <f t="shared" si="529"/>
        <v>13333.35</v>
      </c>
      <c r="U1747" s="87">
        <v>13333.35</v>
      </c>
    </row>
    <row r="1748" spans="1:21" s="30" customFormat="1" ht="24.6" hidden="1" outlineLevel="1" x14ac:dyDescent="0.55000000000000004">
      <c r="A1748" s="27" t="s">
        <v>327</v>
      </c>
      <c r="B1748" s="28"/>
      <c r="C1748" s="27"/>
      <c r="D1748" s="27" t="str">
        <f>"""NAV Direct"",""CRONUS JetCorp USA"",""21"",""1"",""327844"""</f>
        <v>"NAV Direct","CRONUS JetCorp USA","21","1","327844"</v>
      </c>
      <c r="E1748" s="31" t="str">
        <f t="shared" si="521"/>
        <v>C100060</v>
      </c>
      <c r="F1748" s="31"/>
      <c r="G1748" s="31"/>
      <c r="H1748" s="31"/>
      <c r="I1748" s="56"/>
      <c r="J1748" s="56"/>
      <c r="K1748" s="82" t="str">
        <f t="shared" si="522"/>
        <v>Invoice</v>
      </c>
      <c r="L1748" s="83" t="str">
        <f>"SI_110298"</f>
        <v>SI_110298</v>
      </c>
      <c r="M1748" s="84">
        <v>43502</v>
      </c>
      <c r="N1748" s="85">
        <f t="shared" si="523"/>
        <v>310</v>
      </c>
      <c r="O1748" s="86">
        <f t="shared" si="524"/>
        <v>14547.909999999998</v>
      </c>
      <c r="P1748" s="86">
        <f t="shared" si="525"/>
        <v>0</v>
      </c>
      <c r="Q1748" s="86">
        <f t="shared" si="526"/>
        <v>0</v>
      </c>
      <c r="R1748" s="86">
        <f t="shared" si="527"/>
        <v>0</v>
      </c>
      <c r="S1748" s="86">
        <f t="shared" si="528"/>
        <v>0</v>
      </c>
      <c r="T1748" s="86">
        <f t="shared" si="529"/>
        <v>14547.909999999998</v>
      </c>
      <c r="U1748" s="87">
        <v>14547.909999999998</v>
      </c>
    </row>
    <row r="1749" spans="1:21" s="30" customFormat="1" ht="24.6" hidden="1" outlineLevel="1" x14ac:dyDescent="0.55000000000000004">
      <c r="A1749" s="27" t="s">
        <v>327</v>
      </c>
      <c r="B1749" s="28"/>
      <c r="C1749" s="27"/>
      <c r="D1749" s="27" t="str">
        <f>"""NAV Direct"",""CRONUS JetCorp USA"",""21"",""1"",""327869"""</f>
        <v>"NAV Direct","CRONUS JetCorp USA","21","1","327869"</v>
      </c>
      <c r="E1749" s="31">
        <f t="shared" si="521"/>
        <v>0</v>
      </c>
      <c r="F1749" s="31"/>
      <c r="G1749" s="31"/>
      <c r="H1749" s="31"/>
      <c r="I1749" s="56"/>
      <c r="J1749" s="56"/>
      <c r="K1749" s="82" t="str">
        <f t="shared" si="522"/>
        <v>Invoice</v>
      </c>
      <c r="L1749" s="83" t="str">
        <f>"SI_110299"</f>
        <v>SI_110299</v>
      </c>
      <c r="M1749" s="84">
        <v>43502</v>
      </c>
      <c r="N1749" s="85">
        <f t="shared" si="523"/>
        <v>310</v>
      </c>
      <c r="O1749" s="86">
        <f t="shared" si="524"/>
        <v>13806.130000000001</v>
      </c>
      <c r="P1749" s="86">
        <f t="shared" si="525"/>
        <v>0</v>
      </c>
      <c r="Q1749" s="86">
        <f t="shared" si="526"/>
        <v>0</v>
      </c>
      <c r="R1749" s="86">
        <f t="shared" si="527"/>
        <v>0</v>
      </c>
      <c r="S1749" s="86">
        <f t="shared" si="528"/>
        <v>0</v>
      </c>
      <c r="T1749" s="86">
        <f t="shared" si="529"/>
        <v>13806.130000000001</v>
      </c>
      <c r="U1749" s="87">
        <v>13806.130000000001</v>
      </c>
    </row>
    <row r="1750" spans="1:21" s="30" customFormat="1" ht="24.6" hidden="1" outlineLevel="1" x14ac:dyDescent="0.55000000000000004">
      <c r="A1750" s="27" t="s">
        <v>327</v>
      </c>
      <c r="B1750" s="28"/>
      <c r="C1750" s="27"/>
      <c r="D1750" s="27" t="str">
        <f>"""NAV Direct"",""CRONUS JetCorp USA"",""21"",""1"",""328042"""</f>
        <v>"NAV Direct","CRONUS JetCorp USA","21","1","328042"</v>
      </c>
      <c r="E1750" s="31" t="str">
        <f t="shared" si="521"/>
        <v>C100060</v>
      </c>
      <c r="F1750" s="31"/>
      <c r="G1750" s="31"/>
      <c r="H1750" s="31"/>
      <c r="I1750" s="56"/>
      <c r="J1750" s="56"/>
      <c r="K1750" s="82" t="str">
        <f t="shared" si="522"/>
        <v>Invoice</v>
      </c>
      <c r="L1750" s="83" t="str">
        <f>"SI_110306"</f>
        <v>SI_110306</v>
      </c>
      <c r="M1750" s="84">
        <v>43570</v>
      </c>
      <c r="N1750" s="85">
        <f t="shared" si="523"/>
        <v>242</v>
      </c>
      <c r="O1750" s="86">
        <f t="shared" si="524"/>
        <v>14234.33</v>
      </c>
      <c r="P1750" s="86">
        <f t="shared" si="525"/>
        <v>0</v>
      </c>
      <c r="Q1750" s="86">
        <f t="shared" si="526"/>
        <v>0</v>
      </c>
      <c r="R1750" s="86">
        <f t="shared" si="527"/>
        <v>0</v>
      </c>
      <c r="S1750" s="86">
        <f t="shared" si="528"/>
        <v>0</v>
      </c>
      <c r="T1750" s="86">
        <f t="shared" si="529"/>
        <v>14234.33</v>
      </c>
      <c r="U1750" s="87">
        <v>14234.33</v>
      </c>
    </row>
    <row r="1751" spans="1:21" s="30" customFormat="1" ht="24.6" hidden="1" outlineLevel="1" x14ac:dyDescent="0.55000000000000004">
      <c r="A1751" s="27" t="s">
        <v>327</v>
      </c>
      <c r="B1751" s="28"/>
      <c r="C1751" s="27"/>
      <c r="D1751" s="27" t="str">
        <f>"""NAV Direct"",""CRONUS JetCorp USA"",""21"",""1"",""328253"""</f>
        <v>"NAV Direct","CRONUS JetCorp USA","21","1","328253"</v>
      </c>
      <c r="E1751" s="31">
        <f t="shared" si="521"/>
        <v>0</v>
      </c>
      <c r="F1751" s="31"/>
      <c r="G1751" s="31"/>
      <c r="H1751" s="31"/>
      <c r="I1751" s="56"/>
      <c r="J1751" s="56"/>
      <c r="K1751" s="82" t="str">
        <f t="shared" si="522"/>
        <v>Invoice</v>
      </c>
      <c r="L1751" s="83" t="str">
        <f>"SI_110315"</f>
        <v>SI_110315</v>
      </c>
      <c r="M1751" s="84">
        <v>43657</v>
      </c>
      <c r="N1751" s="85">
        <f t="shared" si="523"/>
        <v>155</v>
      </c>
      <c r="O1751" s="86">
        <f t="shared" si="524"/>
        <v>15567.31</v>
      </c>
      <c r="P1751" s="86">
        <f t="shared" si="525"/>
        <v>0</v>
      </c>
      <c r="Q1751" s="86">
        <f t="shared" si="526"/>
        <v>0</v>
      </c>
      <c r="R1751" s="86">
        <f t="shared" si="527"/>
        <v>0</v>
      </c>
      <c r="S1751" s="86">
        <f t="shared" si="528"/>
        <v>0</v>
      </c>
      <c r="T1751" s="86">
        <f t="shared" si="529"/>
        <v>15567.31</v>
      </c>
      <c r="U1751" s="87">
        <v>15567.31</v>
      </c>
    </row>
    <row r="1752" spans="1:21" s="30" customFormat="1" ht="24.6" hidden="1" outlineLevel="1" x14ac:dyDescent="0.55000000000000004">
      <c r="A1752" s="27" t="s">
        <v>327</v>
      </c>
      <c r="B1752" s="28"/>
      <c r="C1752" s="27"/>
      <c r="D1752" s="27" t="str">
        <f>"""NAV Direct"",""CRONUS JetCorp USA"",""21"",""1"",""328280"""</f>
        <v>"NAV Direct","CRONUS JetCorp USA","21","1","328280"</v>
      </c>
      <c r="E1752" s="31" t="str">
        <f t="shared" si="521"/>
        <v>C100060</v>
      </c>
      <c r="F1752" s="31"/>
      <c r="G1752" s="31"/>
      <c r="H1752" s="31"/>
      <c r="I1752" s="56"/>
      <c r="J1752" s="56"/>
      <c r="K1752" s="82" t="str">
        <f t="shared" si="522"/>
        <v>Invoice</v>
      </c>
      <c r="L1752" s="83" t="str">
        <f>"SI_110316"</f>
        <v>SI_110316</v>
      </c>
      <c r="M1752" s="84">
        <v>43664</v>
      </c>
      <c r="N1752" s="85">
        <f t="shared" si="523"/>
        <v>148</v>
      </c>
      <c r="O1752" s="86">
        <f t="shared" si="524"/>
        <v>16230.669999999998</v>
      </c>
      <c r="P1752" s="86">
        <f t="shared" si="525"/>
        <v>0</v>
      </c>
      <c r="Q1752" s="86">
        <f t="shared" si="526"/>
        <v>0</v>
      </c>
      <c r="R1752" s="86">
        <f t="shared" si="527"/>
        <v>0</v>
      </c>
      <c r="S1752" s="86">
        <f t="shared" si="528"/>
        <v>0</v>
      </c>
      <c r="T1752" s="86">
        <f t="shared" si="529"/>
        <v>16230.669999999998</v>
      </c>
      <c r="U1752" s="87">
        <v>16230.669999999998</v>
      </c>
    </row>
    <row r="1753" spans="1:21" s="30" customFormat="1" ht="24.6" hidden="1" outlineLevel="1" x14ac:dyDescent="0.55000000000000004">
      <c r="A1753" s="27" t="s">
        <v>327</v>
      </c>
      <c r="B1753" s="28"/>
      <c r="C1753" s="27"/>
      <c r="D1753" s="27" t="str">
        <f>"""NAV Direct"",""CRONUS JetCorp USA"",""21"",""1"",""328384"""</f>
        <v>"NAV Direct","CRONUS JetCorp USA","21","1","328384"</v>
      </c>
      <c r="E1753" s="31">
        <f t="shared" si="521"/>
        <v>0</v>
      </c>
      <c r="F1753" s="31"/>
      <c r="G1753" s="31"/>
      <c r="H1753" s="31"/>
      <c r="I1753" s="56"/>
      <c r="J1753" s="56"/>
      <c r="K1753" s="82" t="str">
        <f t="shared" si="522"/>
        <v>Invoice</v>
      </c>
      <c r="L1753" s="83" t="str">
        <f>"SI_110320"</f>
        <v>SI_110320</v>
      </c>
      <c r="M1753" s="84">
        <v>43705</v>
      </c>
      <c r="N1753" s="85">
        <f t="shared" si="523"/>
        <v>107</v>
      </c>
      <c r="O1753" s="86">
        <f t="shared" si="524"/>
        <v>16652.53</v>
      </c>
      <c r="P1753" s="86">
        <f t="shared" si="525"/>
        <v>0</v>
      </c>
      <c r="Q1753" s="86">
        <f t="shared" si="526"/>
        <v>0</v>
      </c>
      <c r="R1753" s="86">
        <f t="shared" si="527"/>
        <v>0</v>
      </c>
      <c r="S1753" s="86">
        <f t="shared" si="528"/>
        <v>0</v>
      </c>
      <c r="T1753" s="86">
        <f t="shared" si="529"/>
        <v>16652.53</v>
      </c>
      <c r="U1753" s="87">
        <v>16652.53</v>
      </c>
    </row>
    <row r="1754" spans="1:21" s="30" customFormat="1" ht="24.6" hidden="1" outlineLevel="1" x14ac:dyDescent="0.55000000000000004">
      <c r="A1754" s="27" t="s">
        <v>327</v>
      </c>
      <c r="B1754" s="28"/>
      <c r="C1754" s="27"/>
      <c r="D1754" s="27" t="str">
        <f>"""NAV Direct"",""CRONUS JetCorp USA"",""21"",""1"",""328916"""</f>
        <v>"NAV Direct","CRONUS JetCorp USA","21","1","328916"</v>
      </c>
      <c r="E1754" s="31" t="str">
        <f t="shared" si="521"/>
        <v>C100060</v>
      </c>
      <c r="F1754" s="31"/>
      <c r="G1754" s="31"/>
      <c r="H1754" s="31"/>
      <c r="I1754" s="56"/>
      <c r="J1754" s="56"/>
      <c r="K1754" s="82" t="str">
        <f t="shared" si="522"/>
        <v>Invoice</v>
      </c>
      <c r="L1754" s="83" t="str">
        <f>"SI_110340"</f>
        <v>SI_110340</v>
      </c>
      <c r="M1754" s="84">
        <v>42050</v>
      </c>
      <c r="N1754" s="85">
        <f t="shared" si="523"/>
        <v>1762</v>
      </c>
      <c r="O1754" s="86">
        <f t="shared" si="524"/>
        <v>18106.330000000002</v>
      </c>
      <c r="P1754" s="86">
        <f t="shared" si="525"/>
        <v>0</v>
      </c>
      <c r="Q1754" s="86">
        <f t="shared" si="526"/>
        <v>0</v>
      </c>
      <c r="R1754" s="86">
        <f t="shared" si="527"/>
        <v>0</v>
      </c>
      <c r="S1754" s="86">
        <f t="shared" si="528"/>
        <v>0</v>
      </c>
      <c r="T1754" s="86">
        <f t="shared" si="529"/>
        <v>18106.330000000002</v>
      </c>
      <c r="U1754" s="87">
        <v>18106.330000000002</v>
      </c>
    </row>
    <row r="1755" spans="1:21" s="30" customFormat="1" ht="24.6" hidden="1" outlineLevel="1" x14ac:dyDescent="0.55000000000000004">
      <c r="A1755" s="27" t="s">
        <v>327</v>
      </c>
      <c r="B1755" s="28"/>
      <c r="C1755" s="27"/>
      <c r="D1755" s="27" t="str">
        <f>"""NAV Direct"",""CRONUS JetCorp USA"",""21"",""1"",""329150"""</f>
        <v>"NAV Direct","CRONUS JetCorp USA","21","1","329150"</v>
      </c>
      <c r="E1755" s="31">
        <f t="shared" si="521"/>
        <v>0</v>
      </c>
      <c r="F1755" s="31"/>
      <c r="G1755" s="31"/>
      <c r="H1755" s="31"/>
      <c r="I1755" s="56"/>
      <c r="J1755" s="56"/>
      <c r="K1755" s="82" t="str">
        <f t="shared" si="522"/>
        <v>Invoice</v>
      </c>
      <c r="L1755" s="83" t="str">
        <f>"SI_110348"</f>
        <v>SI_110348</v>
      </c>
      <c r="M1755" s="84">
        <v>42133</v>
      </c>
      <c r="N1755" s="85">
        <f t="shared" si="523"/>
        <v>1679</v>
      </c>
      <c r="O1755" s="86">
        <f t="shared" si="524"/>
        <v>19760.82</v>
      </c>
      <c r="P1755" s="86">
        <f t="shared" si="525"/>
        <v>0</v>
      </c>
      <c r="Q1755" s="86">
        <f t="shared" si="526"/>
        <v>0</v>
      </c>
      <c r="R1755" s="86">
        <f t="shared" si="527"/>
        <v>0</v>
      </c>
      <c r="S1755" s="86">
        <f t="shared" si="528"/>
        <v>0</v>
      </c>
      <c r="T1755" s="86">
        <f t="shared" si="529"/>
        <v>19760.82</v>
      </c>
      <c r="U1755" s="87">
        <v>19760.82</v>
      </c>
    </row>
    <row r="1756" spans="1:21" s="30" customFormat="1" ht="24.6" hidden="1" outlineLevel="1" x14ac:dyDescent="0.55000000000000004">
      <c r="A1756" s="27" t="s">
        <v>327</v>
      </c>
      <c r="B1756" s="28"/>
      <c r="C1756" s="27"/>
      <c r="D1756" s="27" t="str">
        <f>"""NAV Direct"",""CRONUS JetCorp USA"",""21"",""1"",""329196"""</f>
        <v>"NAV Direct","CRONUS JetCorp USA","21","1","329196"</v>
      </c>
      <c r="E1756" s="31" t="str">
        <f t="shared" si="521"/>
        <v>C100060</v>
      </c>
      <c r="F1756" s="31"/>
      <c r="G1756" s="31"/>
      <c r="H1756" s="31"/>
      <c r="I1756" s="56"/>
      <c r="J1756" s="56"/>
      <c r="K1756" s="82" t="str">
        <f t="shared" si="522"/>
        <v>Invoice</v>
      </c>
      <c r="L1756" s="83" t="str">
        <f>"SI_110350"</f>
        <v>SI_110350</v>
      </c>
      <c r="M1756" s="84">
        <v>42143</v>
      </c>
      <c r="N1756" s="85">
        <f t="shared" si="523"/>
        <v>1669</v>
      </c>
      <c r="O1756" s="86">
        <f t="shared" si="524"/>
        <v>19358.25</v>
      </c>
      <c r="P1756" s="86">
        <f t="shared" si="525"/>
        <v>0</v>
      </c>
      <c r="Q1756" s="86">
        <f t="shared" si="526"/>
        <v>0</v>
      </c>
      <c r="R1756" s="86">
        <f t="shared" si="527"/>
        <v>0</v>
      </c>
      <c r="S1756" s="86">
        <f t="shared" si="528"/>
        <v>0</v>
      </c>
      <c r="T1756" s="86">
        <f t="shared" si="529"/>
        <v>19358.25</v>
      </c>
      <c r="U1756" s="87">
        <v>19358.25</v>
      </c>
    </row>
    <row r="1757" spans="1:21" s="30" customFormat="1" ht="24.6" hidden="1" outlineLevel="1" x14ac:dyDescent="0.55000000000000004">
      <c r="A1757" s="27" t="s">
        <v>327</v>
      </c>
      <c r="B1757" s="28"/>
      <c r="C1757" s="27"/>
      <c r="D1757" s="27" t="str">
        <f>"""NAV Direct"",""CRONUS JetCorp USA"",""21"",""1"",""329256"""</f>
        <v>"NAV Direct","CRONUS JetCorp USA","21","1","329256"</v>
      </c>
      <c r="E1757" s="31">
        <f t="shared" si="521"/>
        <v>0</v>
      </c>
      <c r="F1757" s="31"/>
      <c r="G1757" s="31"/>
      <c r="H1757" s="31"/>
      <c r="I1757" s="56"/>
      <c r="J1757" s="56"/>
      <c r="K1757" s="82" t="str">
        <f t="shared" si="522"/>
        <v>Invoice</v>
      </c>
      <c r="L1757" s="83" t="str">
        <f>"SI_110352"</f>
        <v>SI_110352</v>
      </c>
      <c r="M1757" s="84">
        <v>42174</v>
      </c>
      <c r="N1757" s="85">
        <f t="shared" si="523"/>
        <v>1638</v>
      </c>
      <c r="O1757" s="86">
        <f t="shared" si="524"/>
        <v>20096.82</v>
      </c>
      <c r="P1757" s="86">
        <f t="shared" si="525"/>
        <v>0</v>
      </c>
      <c r="Q1757" s="86">
        <f t="shared" si="526"/>
        <v>0</v>
      </c>
      <c r="R1757" s="86">
        <f t="shared" si="527"/>
        <v>0</v>
      </c>
      <c r="S1757" s="86">
        <f t="shared" si="528"/>
        <v>0</v>
      </c>
      <c r="T1757" s="86">
        <f t="shared" si="529"/>
        <v>20096.82</v>
      </c>
      <c r="U1757" s="87">
        <v>20096.82</v>
      </c>
    </row>
    <row r="1758" spans="1:21" s="30" customFormat="1" ht="24.6" hidden="1" outlineLevel="1" x14ac:dyDescent="0.55000000000000004">
      <c r="A1758" s="27" t="s">
        <v>327</v>
      </c>
      <c r="B1758" s="28"/>
      <c r="C1758" s="27"/>
      <c r="D1758" s="27" t="str">
        <f>"""NAV Direct"",""CRONUS JetCorp USA"",""21"",""1"",""329374"""</f>
        <v>"NAV Direct","CRONUS JetCorp USA","21","1","329374"</v>
      </c>
      <c r="E1758" s="31" t="str">
        <f t="shared" si="521"/>
        <v>C100060</v>
      </c>
      <c r="F1758" s="31"/>
      <c r="G1758" s="31"/>
      <c r="H1758" s="31"/>
      <c r="I1758" s="56"/>
      <c r="J1758" s="56"/>
      <c r="K1758" s="82" t="str">
        <f t="shared" si="522"/>
        <v>Invoice</v>
      </c>
      <c r="L1758" s="83" t="str">
        <f>"SI_110356"</f>
        <v>SI_110356</v>
      </c>
      <c r="M1758" s="84">
        <v>42194</v>
      </c>
      <c r="N1758" s="85">
        <f t="shared" si="523"/>
        <v>1618</v>
      </c>
      <c r="O1758" s="86">
        <f t="shared" si="524"/>
        <v>19951.64</v>
      </c>
      <c r="P1758" s="86">
        <f t="shared" si="525"/>
        <v>0</v>
      </c>
      <c r="Q1758" s="86">
        <f t="shared" si="526"/>
        <v>0</v>
      </c>
      <c r="R1758" s="86">
        <f t="shared" si="527"/>
        <v>0</v>
      </c>
      <c r="S1758" s="86">
        <f t="shared" si="528"/>
        <v>0</v>
      </c>
      <c r="T1758" s="86">
        <f t="shared" si="529"/>
        <v>19951.64</v>
      </c>
      <c r="U1758" s="87">
        <v>19951.64</v>
      </c>
    </row>
    <row r="1759" spans="1:21" s="30" customFormat="1" ht="24.6" hidden="1" outlineLevel="1" x14ac:dyDescent="0.55000000000000004">
      <c r="A1759" s="27" t="s">
        <v>327</v>
      </c>
      <c r="B1759" s="28"/>
      <c r="C1759" s="27"/>
      <c r="D1759" s="27" t="str">
        <f>"""NAV Direct"",""CRONUS JetCorp USA"",""21"",""1"",""329432"""</f>
        <v>"NAV Direct","CRONUS JetCorp USA","21","1","329432"</v>
      </c>
      <c r="E1759" s="31">
        <f t="shared" si="521"/>
        <v>0</v>
      </c>
      <c r="F1759" s="31"/>
      <c r="G1759" s="31"/>
      <c r="H1759" s="31"/>
      <c r="I1759" s="56"/>
      <c r="J1759" s="56"/>
      <c r="K1759" s="82" t="str">
        <f t="shared" si="522"/>
        <v>Invoice</v>
      </c>
      <c r="L1759" s="83" t="str">
        <f>"SI_110358"</f>
        <v>SI_110358</v>
      </c>
      <c r="M1759" s="84">
        <v>42220</v>
      </c>
      <c r="N1759" s="85">
        <f t="shared" si="523"/>
        <v>1592</v>
      </c>
      <c r="O1759" s="86">
        <f t="shared" si="524"/>
        <v>20120.93</v>
      </c>
      <c r="P1759" s="86">
        <f t="shared" si="525"/>
        <v>0</v>
      </c>
      <c r="Q1759" s="86">
        <f t="shared" si="526"/>
        <v>0</v>
      </c>
      <c r="R1759" s="86">
        <f t="shared" si="527"/>
        <v>0</v>
      </c>
      <c r="S1759" s="86">
        <f t="shared" si="528"/>
        <v>0</v>
      </c>
      <c r="T1759" s="86">
        <f t="shared" si="529"/>
        <v>20120.93</v>
      </c>
      <c r="U1759" s="87">
        <v>20120.93</v>
      </c>
    </row>
    <row r="1760" spans="1:21" s="30" customFormat="1" ht="24.6" hidden="1" outlineLevel="1" x14ac:dyDescent="0.55000000000000004">
      <c r="A1760" s="27" t="s">
        <v>327</v>
      </c>
      <c r="B1760" s="28"/>
      <c r="C1760" s="27"/>
      <c r="D1760" s="27" t="str">
        <f>"""NAV Direct"",""CRONUS JetCorp USA"",""21"",""1"",""329517"""</f>
        <v>"NAV Direct","CRONUS JetCorp USA","21","1","329517"</v>
      </c>
      <c r="E1760" s="31" t="str">
        <f t="shared" si="521"/>
        <v>C100060</v>
      </c>
      <c r="F1760" s="31"/>
      <c r="G1760" s="31"/>
      <c r="H1760" s="31"/>
      <c r="I1760" s="56"/>
      <c r="J1760" s="56"/>
      <c r="K1760" s="82" t="str">
        <f t="shared" si="522"/>
        <v>Invoice</v>
      </c>
      <c r="L1760" s="83" t="str">
        <f>"SI_110361"</f>
        <v>SI_110361</v>
      </c>
      <c r="M1760" s="84">
        <v>42233</v>
      </c>
      <c r="N1760" s="85">
        <f t="shared" si="523"/>
        <v>1579</v>
      </c>
      <c r="O1760" s="86">
        <f t="shared" si="524"/>
        <v>20540.57</v>
      </c>
      <c r="P1760" s="86">
        <f t="shared" si="525"/>
        <v>0</v>
      </c>
      <c r="Q1760" s="86">
        <f t="shared" si="526"/>
        <v>0</v>
      </c>
      <c r="R1760" s="86">
        <f t="shared" si="527"/>
        <v>0</v>
      </c>
      <c r="S1760" s="86">
        <f t="shared" si="528"/>
        <v>0</v>
      </c>
      <c r="T1760" s="86">
        <f t="shared" si="529"/>
        <v>20540.57</v>
      </c>
      <c r="U1760" s="87">
        <v>20540.57</v>
      </c>
    </row>
    <row r="1761" spans="1:22" s="30" customFormat="1" ht="24.6" hidden="1" outlineLevel="1" x14ac:dyDescent="0.55000000000000004">
      <c r="A1761" s="27" t="s">
        <v>327</v>
      </c>
      <c r="B1761" s="28"/>
      <c r="C1761" s="27"/>
      <c r="D1761" s="27" t="str">
        <f>"""NAV Direct"",""CRONUS JetCorp USA"",""21"",""1"",""329626"""</f>
        <v>"NAV Direct","CRONUS JetCorp USA","21","1","329626"</v>
      </c>
      <c r="E1761" s="31">
        <f t="shared" si="521"/>
        <v>0</v>
      </c>
      <c r="F1761" s="31"/>
      <c r="G1761" s="31"/>
      <c r="H1761" s="31"/>
      <c r="I1761" s="56"/>
      <c r="J1761" s="56"/>
      <c r="K1761" s="82" t="str">
        <f t="shared" si="522"/>
        <v>Invoice</v>
      </c>
      <c r="L1761" s="83" t="str">
        <f>"SI_110365"</f>
        <v>SI_110365</v>
      </c>
      <c r="M1761" s="84">
        <v>42263</v>
      </c>
      <c r="N1761" s="85">
        <f t="shared" si="523"/>
        <v>1549</v>
      </c>
      <c r="O1761" s="86">
        <f t="shared" si="524"/>
        <v>18687.55</v>
      </c>
      <c r="P1761" s="86">
        <f t="shared" si="525"/>
        <v>0</v>
      </c>
      <c r="Q1761" s="86">
        <f t="shared" si="526"/>
        <v>0</v>
      </c>
      <c r="R1761" s="86">
        <f t="shared" si="527"/>
        <v>0</v>
      </c>
      <c r="S1761" s="86">
        <f t="shared" si="528"/>
        <v>0</v>
      </c>
      <c r="T1761" s="86">
        <f t="shared" si="529"/>
        <v>18687.55</v>
      </c>
      <c r="U1761" s="87">
        <v>18687.55</v>
      </c>
    </row>
    <row r="1762" spans="1:22" s="30" customFormat="1" ht="24.6" hidden="1" outlineLevel="1" x14ac:dyDescent="0.55000000000000004">
      <c r="A1762" s="27" t="s">
        <v>327</v>
      </c>
      <c r="B1762" s="28"/>
      <c r="C1762" s="27"/>
      <c r="D1762" s="27" t="str">
        <f>"""NAV Direct"",""CRONUS JetCorp USA"",""21"",""1"",""329893"""</f>
        <v>"NAV Direct","CRONUS JetCorp USA","21","1","329893"</v>
      </c>
      <c r="E1762" s="31" t="str">
        <f t="shared" si="521"/>
        <v>C100060</v>
      </c>
      <c r="F1762" s="31"/>
      <c r="G1762" s="31"/>
      <c r="H1762" s="31"/>
      <c r="I1762" s="56"/>
      <c r="J1762" s="56"/>
      <c r="K1762" s="82" t="str">
        <f t="shared" si="522"/>
        <v>Invoice</v>
      </c>
      <c r="L1762" s="83" t="str">
        <f>"SI_110374"</f>
        <v>SI_110374</v>
      </c>
      <c r="M1762" s="84">
        <v>42750</v>
      </c>
      <c r="N1762" s="85">
        <f t="shared" si="523"/>
        <v>1062</v>
      </c>
      <c r="O1762" s="86">
        <f t="shared" si="524"/>
        <v>19938.48</v>
      </c>
      <c r="P1762" s="86">
        <f t="shared" si="525"/>
        <v>0</v>
      </c>
      <c r="Q1762" s="86">
        <f t="shared" si="526"/>
        <v>0</v>
      </c>
      <c r="R1762" s="86">
        <f t="shared" si="527"/>
        <v>0</v>
      </c>
      <c r="S1762" s="86">
        <f t="shared" si="528"/>
        <v>0</v>
      </c>
      <c r="T1762" s="86">
        <f t="shared" si="529"/>
        <v>19938.48</v>
      </c>
      <c r="U1762" s="87">
        <v>19938.48</v>
      </c>
    </row>
    <row r="1763" spans="1:22" s="30" customFormat="1" ht="24.6" hidden="1" outlineLevel="1" x14ac:dyDescent="0.55000000000000004">
      <c r="A1763" s="27" t="s">
        <v>327</v>
      </c>
      <c r="B1763" s="28"/>
      <c r="C1763" s="27"/>
      <c r="D1763" s="27" t="str">
        <f>"""NAV Direct"",""CRONUS JetCorp USA"",""21"",""1"",""431990"""</f>
        <v>"NAV Direct","CRONUS JetCorp USA","21","1","431990"</v>
      </c>
      <c r="E1763" s="31">
        <f t="shared" si="521"/>
        <v>0</v>
      </c>
      <c r="F1763" s="31"/>
      <c r="G1763" s="31"/>
      <c r="H1763" s="31"/>
      <c r="I1763" s="56"/>
      <c r="J1763" s="56"/>
      <c r="K1763" s="82" t="str">
        <f t="shared" ref="K1763:K1769" si="530">"Credit Memo"</f>
        <v>Credit Memo</v>
      </c>
      <c r="L1763" s="83" t="str">
        <f>"SC_100389"</f>
        <v>SC_100389</v>
      </c>
      <c r="M1763" s="84">
        <v>42429</v>
      </c>
      <c r="N1763" s="85">
        <f t="shared" si="523"/>
        <v>1383</v>
      </c>
      <c r="O1763" s="86">
        <f t="shared" si="524"/>
        <v>-172.87</v>
      </c>
      <c r="P1763" s="86">
        <f t="shared" si="525"/>
        <v>0</v>
      </c>
      <c r="Q1763" s="86">
        <f t="shared" si="526"/>
        <v>0</v>
      </c>
      <c r="R1763" s="86">
        <f t="shared" si="527"/>
        <v>0</v>
      </c>
      <c r="S1763" s="86">
        <f t="shared" si="528"/>
        <v>0</v>
      </c>
      <c r="T1763" s="86">
        <f t="shared" si="529"/>
        <v>-172.87</v>
      </c>
      <c r="U1763" s="87">
        <v>-172.87</v>
      </c>
    </row>
    <row r="1764" spans="1:22" s="30" customFormat="1" ht="24.6" hidden="1" outlineLevel="1" x14ac:dyDescent="0.55000000000000004">
      <c r="A1764" s="27" t="s">
        <v>327</v>
      </c>
      <c r="B1764" s="28"/>
      <c r="C1764" s="27"/>
      <c r="D1764" s="27" t="str">
        <f>"""NAV Direct"",""CRONUS JetCorp USA"",""21"",""1"",""432167"""</f>
        <v>"NAV Direct","CRONUS JetCorp USA","21","1","432167"</v>
      </c>
      <c r="E1764" s="31" t="str">
        <f t="shared" si="521"/>
        <v>C100060</v>
      </c>
      <c r="F1764" s="31"/>
      <c r="G1764" s="31"/>
      <c r="H1764" s="31"/>
      <c r="I1764" s="56"/>
      <c r="J1764" s="56"/>
      <c r="K1764" s="82" t="str">
        <f t="shared" si="530"/>
        <v>Credit Memo</v>
      </c>
      <c r="L1764" s="83" t="str">
        <f>"SC_100400"</f>
        <v>SC_100400</v>
      </c>
      <c r="M1764" s="84">
        <v>42929</v>
      </c>
      <c r="N1764" s="85">
        <f t="shared" si="523"/>
        <v>883</v>
      </c>
      <c r="O1764" s="86">
        <f t="shared" si="524"/>
        <v>-209.65</v>
      </c>
      <c r="P1764" s="86">
        <f t="shared" si="525"/>
        <v>0</v>
      </c>
      <c r="Q1764" s="86">
        <f t="shared" si="526"/>
        <v>0</v>
      </c>
      <c r="R1764" s="86">
        <f t="shared" si="527"/>
        <v>0</v>
      </c>
      <c r="S1764" s="86">
        <f t="shared" si="528"/>
        <v>0</v>
      </c>
      <c r="T1764" s="86">
        <f t="shared" si="529"/>
        <v>-209.65</v>
      </c>
      <c r="U1764" s="87">
        <v>-209.65</v>
      </c>
    </row>
    <row r="1765" spans="1:22" s="30" customFormat="1" ht="24.6" hidden="1" outlineLevel="1" x14ac:dyDescent="0.55000000000000004">
      <c r="A1765" s="27" t="s">
        <v>327</v>
      </c>
      <c r="B1765" s="28"/>
      <c r="C1765" s="27"/>
      <c r="D1765" s="27" t="str">
        <f>"""NAV Direct"",""CRONUS JetCorp USA"",""21"",""1"",""432264"""</f>
        <v>"NAV Direct","CRONUS JetCorp USA","21","1","432264"</v>
      </c>
      <c r="E1765" s="31">
        <f t="shared" si="521"/>
        <v>0</v>
      </c>
      <c r="F1765" s="31"/>
      <c r="G1765" s="31"/>
      <c r="H1765" s="31"/>
      <c r="I1765" s="56"/>
      <c r="J1765" s="56"/>
      <c r="K1765" s="82" t="str">
        <f t="shared" si="530"/>
        <v>Credit Memo</v>
      </c>
      <c r="L1765" s="83" t="str">
        <f>"SC_100407"</f>
        <v>SC_100407</v>
      </c>
      <c r="M1765" s="84">
        <v>43126</v>
      </c>
      <c r="N1765" s="85">
        <f t="shared" si="523"/>
        <v>686</v>
      </c>
      <c r="O1765" s="86">
        <f t="shared" si="524"/>
        <v>-155.68</v>
      </c>
      <c r="P1765" s="86">
        <f t="shared" si="525"/>
        <v>0</v>
      </c>
      <c r="Q1765" s="86">
        <f t="shared" si="526"/>
        <v>0</v>
      </c>
      <c r="R1765" s="86">
        <f t="shared" si="527"/>
        <v>0</v>
      </c>
      <c r="S1765" s="86">
        <f t="shared" si="528"/>
        <v>0</v>
      </c>
      <c r="T1765" s="86">
        <f t="shared" si="529"/>
        <v>-155.68</v>
      </c>
      <c r="U1765" s="87">
        <v>-155.68</v>
      </c>
    </row>
    <row r="1766" spans="1:22" s="30" customFormat="1" ht="24.6" hidden="1" outlineLevel="1" x14ac:dyDescent="0.55000000000000004">
      <c r="A1766" s="27" t="s">
        <v>327</v>
      </c>
      <c r="B1766" s="28"/>
      <c r="C1766" s="27"/>
      <c r="D1766" s="27" t="str">
        <f>"""NAV Direct"",""CRONUS JetCorp USA"",""21"",""1"",""432321"""</f>
        <v>"NAV Direct","CRONUS JetCorp USA","21","1","432321"</v>
      </c>
      <c r="E1766" s="31" t="str">
        <f t="shared" si="521"/>
        <v>C100060</v>
      </c>
      <c r="F1766" s="31"/>
      <c r="G1766" s="31"/>
      <c r="H1766" s="31"/>
      <c r="I1766" s="56"/>
      <c r="J1766" s="56"/>
      <c r="K1766" s="82" t="str">
        <f t="shared" si="530"/>
        <v>Credit Memo</v>
      </c>
      <c r="L1766" s="83" t="str">
        <f>"SC_100410"</f>
        <v>SC_100410</v>
      </c>
      <c r="M1766" s="84">
        <v>43154</v>
      </c>
      <c r="N1766" s="85">
        <f t="shared" si="523"/>
        <v>658</v>
      </c>
      <c r="O1766" s="86">
        <f t="shared" si="524"/>
        <v>-151.67000000000002</v>
      </c>
      <c r="P1766" s="86">
        <f t="shared" si="525"/>
        <v>0</v>
      </c>
      <c r="Q1766" s="86">
        <f t="shared" si="526"/>
        <v>0</v>
      </c>
      <c r="R1766" s="86">
        <f t="shared" si="527"/>
        <v>0</v>
      </c>
      <c r="S1766" s="86">
        <f t="shared" si="528"/>
        <v>0</v>
      </c>
      <c r="T1766" s="86">
        <f t="shared" si="529"/>
        <v>-151.67000000000002</v>
      </c>
      <c r="U1766" s="87">
        <v>-151.67000000000002</v>
      </c>
    </row>
    <row r="1767" spans="1:22" s="30" customFormat="1" ht="24.6" hidden="1" outlineLevel="1" x14ac:dyDescent="0.55000000000000004">
      <c r="A1767" s="27" t="s">
        <v>327</v>
      </c>
      <c r="B1767" s="28"/>
      <c r="C1767" s="27"/>
      <c r="D1767" s="27" t="str">
        <f>"""NAV Direct"",""CRONUS JetCorp USA"",""21"",""1"",""432429"""</f>
        <v>"NAV Direct","CRONUS JetCorp USA","21","1","432429"</v>
      </c>
      <c r="E1767" s="31">
        <f t="shared" si="521"/>
        <v>0</v>
      </c>
      <c r="F1767" s="31"/>
      <c r="G1767" s="31"/>
      <c r="H1767" s="31"/>
      <c r="I1767" s="56"/>
      <c r="J1767" s="56"/>
      <c r="K1767" s="82" t="str">
        <f t="shared" si="530"/>
        <v>Credit Memo</v>
      </c>
      <c r="L1767" s="83" t="str">
        <f>"SC_100417"</f>
        <v>SC_100417</v>
      </c>
      <c r="M1767" s="84">
        <v>43321</v>
      </c>
      <c r="N1767" s="85">
        <f t="shared" si="523"/>
        <v>491</v>
      </c>
      <c r="O1767" s="86">
        <f t="shared" si="524"/>
        <v>-129.70999999999998</v>
      </c>
      <c r="P1767" s="86">
        <f t="shared" si="525"/>
        <v>0</v>
      </c>
      <c r="Q1767" s="86">
        <f t="shared" si="526"/>
        <v>0</v>
      </c>
      <c r="R1767" s="86">
        <f t="shared" si="527"/>
        <v>0</v>
      </c>
      <c r="S1767" s="86">
        <f t="shared" si="528"/>
        <v>0</v>
      </c>
      <c r="T1767" s="86">
        <f t="shared" si="529"/>
        <v>-129.70999999999998</v>
      </c>
      <c r="U1767" s="87">
        <v>-129.70999999999998</v>
      </c>
    </row>
    <row r="1768" spans="1:22" s="30" customFormat="1" ht="24.6" hidden="1" outlineLevel="1" x14ac:dyDescent="0.55000000000000004">
      <c r="A1768" s="27" t="s">
        <v>327</v>
      </c>
      <c r="B1768" s="28"/>
      <c r="C1768" s="27"/>
      <c r="D1768" s="27" t="str">
        <f>"""NAV Direct"",""CRONUS JetCorp USA"",""21"",""1"",""432486"""</f>
        <v>"NAV Direct","CRONUS JetCorp USA","21","1","432486"</v>
      </c>
      <c r="E1768" s="31" t="str">
        <f t="shared" si="521"/>
        <v>C100060</v>
      </c>
      <c r="F1768" s="31"/>
      <c r="G1768" s="31"/>
      <c r="H1768" s="31"/>
      <c r="I1768" s="56"/>
      <c r="J1768" s="56"/>
      <c r="K1768" s="82" t="str">
        <f t="shared" si="530"/>
        <v>Credit Memo</v>
      </c>
      <c r="L1768" s="83" t="str">
        <f>"SC_100420"</f>
        <v>SC_100420</v>
      </c>
      <c r="M1768" s="84">
        <v>43482</v>
      </c>
      <c r="N1768" s="85">
        <f t="shared" si="523"/>
        <v>330</v>
      </c>
      <c r="O1768" s="86">
        <f t="shared" si="524"/>
        <v>-136.57</v>
      </c>
      <c r="P1768" s="86">
        <f t="shared" si="525"/>
        <v>0</v>
      </c>
      <c r="Q1768" s="86">
        <f t="shared" si="526"/>
        <v>0</v>
      </c>
      <c r="R1768" s="86">
        <f t="shared" si="527"/>
        <v>0</v>
      </c>
      <c r="S1768" s="86">
        <f t="shared" si="528"/>
        <v>0</v>
      </c>
      <c r="T1768" s="86">
        <f t="shared" si="529"/>
        <v>-136.57</v>
      </c>
      <c r="U1768" s="87">
        <v>-136.57</v>
      </c>
    </row>
    <row r="1769" spans="1:22" s="30" customFormat="1" ht="24.6" hidden="1" outlineLevel="1" x14ac:dyDescent="0.55000000000000004">
      <c r="A1769" s="27" t="s">
        <v>327</v>
      </c>
      <c r="B1769" s="28"/>
      <c r="C1769" s="27"/>
      <c r="D1769" s="27" t="str">
        <f>"""NAV Direct"",""CRONUS JetCorp USA"",""21"",""1"",""432603"""</f>
        <v>"NAV Direct","CRONUS JetCorp USA","21","1","432603"</v>
      </c>
      <c r="E1769" s="31">
        <f t="shared" si="521"/>
        <v>0</v>
      </c>
      <c r="F1769" s="31"/>
      <c r="G1769" s="31"/>
      <c r="H1769" s="31"/>
      <c r="I1769" s="56"/>
      <c r="J1769" s="56"/>
      <c r="K1769" s="82" t="str">
        <f t="shared" si="530"/>
        <v>Credit Memo</v>
      </c>
      <c r="L1769" s="83" t="str">
        <f>"SC_100427"</f>
        <v>SC_100427</v>
      </c>
      <c r="M1769" s="84">
        <v>43749</v>
      </c>
      <c r="N1769" s="85">
        <f t="shared" si="523"/>
        <v>63</v>
      </c>
      <c r="O1769" s="86">
        <f t="shared" si="524"/>
        <v>-167.36</v>
      </c>
      <c r="P1769" s="86">
        <f t="shared" si="525"/>
        <v>0</v>
      </c>
      <c r="Q1769" s="86">
        <f t="shared" si="526"/>
        <v>0</v>
      </c>
      <c r="R1769" s="86">
        <f t="shared" si="527"/>
        <v>0</v>
      </c>
      <c r="S1769" s="86">
        <f t="shared" si="528"/>
        <v>-167.36</v>
      </c>
      <c r="T1769" s="86">
        <f t="shared" si="529"/>
        <v>0</v>
      </c>
      <c r="U1769" s="87">
        <v>-167.36</v>
      </c>
    </row>
    <row r="1770" spans="1:22" s="22" customFormat="1" ht="20.399999999999999" collapsed="1" x14ac:dyDescent="0.45">
      <c r="A1770" s="12" t="s">
        <v>327</v>
      </c>
      <c r="B1770" s="19"/>
      <c r="C1770" s="12"/>
      <c r="D1770" s="12"/>
      <c r="E1770" s="23"/>
      <c r="F1770" s="23"/>
      <c r="G1770" s="23"/>
      <c r="H1770" s="23"/>
      <c r="I1770" s="49"/>
      <c r="J1770" s="88"/>
      <c r="K1770" s="88"/>
      <c r="L1770" s="89"/>
      <c r="M1770" s="89"/>
      <c r="N1770" s="89"/>
      <c r="O1770" s="89"/>
      <c r="P1770" s="89"/>
      <c r="Q1770" s="90"/>
      <c r="R1770" s="90"/>
      <c r="S1770" s="91"/>
      <c r="T1770" s="92"/>
      <c r="U1770" s="92"/>
    </row>
    <row r="1771" spans="1:22" s="22" customFormat="1" ht="20.399999999999999" x14ac:dyDescent="0.45">
      <c r="A1771" s="12" t="s">
        <v>327</v>
      </c>
      <c r="B1771" s="19"/>
      <c r="C1771" s="12"/>
      <c r="D1771" s="12"/>
      <c r="E1771" s="23"/>
      <c r="F1771" s="23"/>
      <c r="G1771" s="23"/>
      <c r="H1771" s="23"/>
      <c r="I1771" s="49"/>
      <c r="J1771" s="88"/>
      <c r="K1771" s="88"/>
      <c r="L1771" s="89"/>
      <c r="M1771" s="89"/>
      <c r="N1771" s="89"/>
      <c r="O1771" s="89"/>
      <c r="P1771" s="89"/>
      <c r="Q1771" s="90"/>
      <c r="R1771" s="90"/>
      <c r="S1771" s="91"/>
      <c r="T1771" s="92"/>
      <c r="U1771" s="92"/>
    </row>
    <row r="1772" spans="1:22" s="26" customFormat="1" ht="24.6" x14ac:dyDescent="0.55000000000000004">
      <c r="A1772" s="27" t="s">
        <v>327</v>
      </c>
      <c r="B1772" s="28"/>
      <c r="C1772" s="27" t="str">
        <f>"""NAV Direct"",""CRONUS JetCorp USA"",""18"",""1"",""C100062"""</f>
        <v>"NAV Direct","CRONUS JetCorp USA","18","1","C100062"</v>
      </c>
      <c r="D1772" s="27"/>
      <c r="E1772" s="28" t="str">
        <f>H1772</f>
        <v>C100062</v>
      </c>
      <c r="F1772" s="28"/>
      <c r="G1772" s="28"/>
      <c r="H1772" s="28" t="str">
        <f>"C100062"</f>
        <v>C100062</v>
      </c>
      <c r="I1772" s="116" t="str">
        <f>"C100062  -  Michael Feit - Möbelhaus"</f>
        <v>C100062  -  Michael Feit - Möbelhaus</v>
      </c>
      <c r="J1772" s="117" t="str">
        <f>""</f>
        <v/>
      </c>
      <c r="K1772" s="118"/>
      <c r="L1772" s="119">
        <f>SUBTOTAL(3,L1773:L1796)</f>
        <v>20</v>
      </c>
      <c r="M1772" s="118"/>
      <c r="N1772" s="118"/>
      <c r="O1772" s="120">
        <f t="shared" ref="O1772:T1772" si="531">SUBTOTAL(9,O1773:O1796)</f>
        <v>175368.65000000002</v>
      </c>
      <c r="P1772" s="120">
        <f t="shared" si="531"/>
        <v>0</v>
      </c>
      <c r="Q1772" s="120">
        <f t="shared" si="531"/>
        <v>0</v>
      </c>
      <c r="R1772" s="120">
        <f t="shared" si="531"/>
        <v>0</v>
      </c>
      <c r="S1772" s="120">
        <f t="shared" si="531"/>
        <v>0</v>
      </c>
      <c r="T1772" s="120">
        <f t="shared" si="531"/>
        <v>175368.65000000002</v>
      </c>
      <c r="U1772" s="81"/>
    </row>
    <row r="1773" spans="1:22" s="26" customFormat="1" ht="24.6" x14ac:dyDescent="0.55000000000000004">
      <c r="A1773" s="27" t="s">
        <v>327</v>
      </c>
      <c r="B1773" s="28"/>
      <c r="C1773" s="27" t="str">
        <f>C1772</f>
        <v>"NAV Direct","CRONUS JetCorp USA","18","1","C100062"</v>
      </c>
      <c r="D1773" s="27"/>
      <c r="E1773" s="28" t="str">
        <f>E1772</f>
        <v>C100062</v>
      </c>
      <c r="F1773" s="28"/>
      <c r="G1773" s="28"/>
      <c r="H1773" s="28"/>
      <c r="I1773" s="121" t="str">
        <f>"Contact: Hr. Carl Langhorn"</f>
        <v>Contact: Hr. Carl Langhorn</v>
      </c>
      <c r="J1773" s="121"/>
      <c r="K1773" s="122"/>
      <c r="L1773" s="123"/>
      <c r="M1773" s="123"/>
      <c r="N1773" s="124"/>
      <c r="O1773" s="124"/>
      <c r="P1773" s="123"/>
      <c r="Q1773" s="125"/>
      <c r="R1773" s="126"/>
      <c r="S1773" s="126"/>
      <c r="T1773" s="125"/>
      <c r="U1773" s="81"/>
    </row>
    <row r="1774" spans="1:22" s="26" customFormat="1" ht="24.6" x14ac:dyDescent="0.55000000000000004">
      <c r="A1774" s="27" t="s">
        <v>327</v>
      </c>
      <c r="B1774" s="28"/>
      <c r="C1774" s="27" t="str">
        <f>C1773</f>
        <v>"NAV Direct","CRONUS JetCorp USA","18","1","C100062"</v>
      </c>
      <c r="D1774" s="27"/>
      <c r="E1774" s="28" t="str">
        <f>E1773</f>
        <v>C100062</v>
      </c>
      <c r="F1774" s="28"/>
      <c r="G1774" s="28"/>
      <c r="H1774" s="28"/>
      <c r="I1774" s="121" t="str">
        <f>"michael.feit.mobelhaus@cronuscorp.net"</f>
        <v>michael.feit.mobelhaus@cronuscorp.net</v>
      </c>
      <c r="J1774" s="121"/>
      <c r="K1774" s="122"/>
      <c r="L1774" s="124"/>
      <c r="M1774" s="124"/>
      <c r="N1774" s="124"/>
      <c r="O1774" s="124"/>
      <c r="P1774" s="123"/>
      <c r="Q1774" s="125"/>
      <c r="R1774" s="126"/>
      <c r="S1774" s="126"/>
      <c r="T1774" s="125"/>
      <c r="U1774" s="81"/>
    </row>
    <row r="1775" spans="1:22" ht="12.75" hidden="1" customHeight="1" outlineLevel="1" x14ac:dyDescent="0.45">
      <c r="A1775" s="12" t="s">
        <v>328</v>
      </c>
      <c r="B1775" s="19"/>
      <c r="E1775" s="19"/>
      <c r="F1775" s="19"/>
      <c r="G1775" s="19"/>
      <c r="H1775" s="19"/>
      <c r="I1775" s="61"/>
      <c r="J1775" s="61"/>
      <c r="K1775" s="61"/>
      <c r="L1775" s="61"/>
      <c r="M1775" s="61"/>
      <c r="N1775" s="61"/>
      <c r="O1775" s="61"/>
      <c r="P1775" s="61"/>
      <c r="Q1775" s="61"/>
      <c r="R1775" s="61"/>
      <c r="S1775" s="61"/>
      <c r="T1775" s="61"/>
      <c r="U1775" s="61"/>
      <c r="V1775" s="21"/>
    </row>
    <row r="1776" spans="1:22" s="30" customFormat="1" ht="24.6" hidden="1" outlineLevel="1" x14ac:dyDescent="0.55000000000000004">
      <c r="A1776" s="27" t="s">
        <v>327</v>
      </c>
      <c r="B1776" s="28"/>
      <c r="C1776" s="27"/>
      <c r="D1776" s="27" t="str">
        <f>"""NAV Direct"",""CRONUS JetCorp USA"",""21"",""1"",""38204"""</f>
        <v>"NAV Direct","CRONUS JetCorp USA","21","1","38204"</v>
      </c>
      <c r="E1776" s="31" t="str">
        <f t="shared" ref="E1776:E1795" si="532">E1774</f>
        <v>C100062</v>
      </c>
      <c r="F1776" s="31"/>
      <c r="G1776" s="31"/>
      <c r="H1776" s="31"/>
      <c r="I1776" s="56"/>
      <c r="J1776" s="56"/>
      <c r="K1776" s="82" t="str">
        <f t="shared" ref="K1776:K1792" si="533">"Invoice"</f>
        <v>Invoice</v>
      </c>
      <c r="L1776" s="83" t="str">
        <f>"SI_104779"</f>
        <v>SI_104779</v>
      </c>
      <c r="M1776" s="84">
        <v>42065</v>
      </c>
      <c r="N1776" s="85">
        <f t="shared" ref="N1776:N1795" si="534">StartDate-$M1776+1</f>
        <v>1747</v>
      </c>
      <c r="O1776" s="86">
        <f t="shared" ref="O1776:O1795" si="535">SUM(P1776:T1776)</f>
        <v>10738.61</v>
      </c>
      <c r="P1776" s="86">
        <f t="shared" ref="P1776:P1795" si="536">IF($M1776&gt;=$P$18,U1776,0)</f>
        <v>0</v>
      </c>
      <c r="Q1776" s="86">
        <f t="shared" ref="Q1776:Q1795" si="537">IF(AND($M1776&gt;=$Q$16,$M1776&lt;=$Q$18),U1776,0)</f>
        <v>0</v>
      </c>
      <c r="R1776" s="86">
        <f t="shared" ref="R1776:R1795" si="538">IF(AND($M1776&gt;=$R$16,$M1776&lt;=$R$18),U1776,0)</f>
        <v>0</v>
      </c>
      <c r="S1776" s="86">
        <f t="shared" ref="S1776:S1795" si="539">IF(AND($M1776&gt;=$S$16,$M1776&lt;=$S$18),U1776,0)</f>
        <v>0</v>
      </c>
      <c r="T1776" s="86">
        <f t="shared" ref="T1776:T1795" si="540">IF($M1776&lt;=$T$18,U1776,0)</f>
        <v>10738.61</v>
      </c>
      <c r="U1776" s="87">
        <v>10738.61</v>
      </c>
    </row>
    <row r="1777" spans="1:21" s="30" customFormat="1" ht="24.6" hidden="1" outlineLevel="1" x14ac:dyDescent="0.55000000000000004">
      <c r="A1777" s="27" t="s">
        <v>327</v>
      </c>
      <c r="B1777" s="28"/>
      <c r="C1777" s="27"/>
      <c r="D1777" s="27" t="str">
        <f>"""NAV Direct"",""CRONUS JetCorp USA"",""21"",""1"",""38283"""</f>
        <v>"NAV Direct","CRONUS JetCorp USA","21","1","38283"</v>
      </c>
      <c r="E1777" s="31">
        <f t="shared" si="532"/>
        <v>0</v>
      </c>
      <c r="F1777" s="31"/>
      <c r="G1777" s="31"/>
      <c r="H1777" s="31"/>
      <c r="I1777" s="56"/>
      <c r="J1777" s="56"/>
      <c r="K1777" s="82" t="str">
        <f t="shared" si="533"/>
        <v>Invoice</v>
      </c>
      <c r="L1777" s="83" t="str">
        <f>"SI_104782"</f>
        <v>SI_104782</v>
      </c>
      <c r="M1777" s="84">
        <v>42122</v>
      </c>
      <c r="N1777" s="85">
        <f t="shared" si="534"/>
        <v>1690</v>
      </c>
      <c r="O1777" s="86">
        <f t="shared" si="535"/>
        <v>10322.210000000001</v>
      </c>
      <c r="P1777" s="86">
        <f t="shared" si="536"/>
        <v>0</v>
      </c>
      <c r="Q1777" s="86">
        <f t="shared" si="537"/>
        <v>0</v>
      </c>
      <c r="R1777" s="86">
        <f t="shared" si="538"/>
        <v>0</v>
      </c>
      <c r="S1777" s="86">
        <f t="shared" si="539"/>
        <v>0</v>
      </c>
      <c r="T1777" s="86">
        <f t="shared" si="540"/>
        <v>10322.210000000001</v>
      </c>
      <c r="U1777" s="87">
        <v>10322.210000000001</v>
      </c>
    </row>
    <row r="1778" spans="1:21" s="30" customFormat="1" ht="24.6" hidden="1" outlineLevel="1" x14ac:dyDescent="0.55000000000000004">
      <c r="A1778" s="27" t="s">
        <v>327</v>
      </c>
      <c r="B1778" s="28"/>
      <c r="C1778" s="27"/>
      <c r="D1778" s="27" t="str">
        <f>"""NAV Direct"",""CRONUS JetCorp USA"",""21"",""1"",""38455"""</f>
        <v>"NAV Direct","CRONUS JetCorp USA","21","1","38455"</v>
      </c>
      <c r="E1778" s="31" t="str">
        <f t="shared" si="532"/>
        <v>C100062</v>
      </c>
      <c r="F1778" s="31"/>
      <c r="G1778" s="31"/>
      <c r="H1778" s="31"/>
      <c r="I1778" s="56"/>
      <c r="J1778" s="56"/>
      <c r="K1778" s="82" t="str">
        <f t="shared" si="533"/>
        <v>Invoice</v>
      </c>
      <c r="L1778" s="83" t="str">
        <f>"SI_104789"</f>
        <v>SI_104789</v>
      </c>
      <c r="M1778" s="84">
        <v>42187</v>
      </c>
      <c r="N1778" s="85">
        <f t="shared" si="534"/>
        <v>1625</v>
      </c>
      <c r="O1778" s="86">
        <f t="shared" si="535"/>
        <v>9837.1999999999989</v>
      </c>
      <c r="P1778" s="86">
        <f t="shared" si="536"/>
        <v>0</v>
      </c>
      <c r="Q1778" s="86">
        <f t="shared" si="537"/>
        <v>0</v>
      </c>
      <c r="R1778" s="86">
        <f t="shared" si="538"/>
        <v>0</v>
      </c>
      <c r="S1778" s="86">
        <f t="shared" si="539"/>
        <v>0</v>
      </c>
      <c r="T1778" s="86">
        <f t="shared" si="540"/>
        <v>9837.1999999999989</v>
      </c>
      <c r="U1778" s="87">
        <v>9837.1999999999989</v>
      </c>
    </row>
    <row r="1779" spans="1:21" s="30" customFormat="1" ht="24.6" hidden="1" outlineLevel="1" x14ac:dyDescent="0.55000000000000004">
      <c r="A1779" s="27" t="s">
        <v>327</v>
      </c>
      <c r="B1779" s="28"/>
      <c r="C1779" s="27"/>
      <c r="D1779" s="27" t="str">
        <f>"""NAV Direct"",""CRONUS JetCorp USA"",""21"",""1"",""38480"""</f>
        <v>"NAV Direct","CRONUS JetCorp USA","21","1","38480"</v>
      </c>
      <c r="E1779" s="31">
        <f t="shared" si="532"/>
        <v>0</v>
      </c>
      <c r="F1779" s="31"/>
      <c r="G1779" s="31"/>
      <c r="H1779" s="31"/>
      <c r="I1779" s="56"/>
      <c r="J1779" s="56"/>
      <c r="K1779" s="82" t="str">
        <f t="shared" si="533"/>
        <v>Invoice</v>
      </c>
      <c r="L1779" s="83" t="str">
        <f>"SI_104790"</f>
        <v>SI_104790</v>
      </c>
      <c r="M1779" s="84">
        <v>42208</v>
      </c>
      <c r="N1779" s="85">
        <f t="shared" si="534"/>
        <v>1604</v>
      </c>
      <c r="O1779" s="86">
        <f t="shared" si="535"/>
        <v>9169.1</v>
      </c>
      <c r="P1779" s="86">
        <f t="shared" si="536"/>
        <v>0</v>
      </c>
      <c r="Q1779" s="86">
        <f t="shared" si="537"/>
        <v>0</v>
      </c>
      <c r="R1779" s="86">
        <f t="shared" si="538"/>
        <v>0</v>
      </c>
      <c r="S1779" s="86">
        <f t="shared" si="539"/>
        <v>0</v>
      </c>
      <c r="T1779" s="86">
        <f t="shared" si="540"/>
        <v>9169.1</v>
      </c>
      <c r="U1779" s="87">
        <v>9169.1</v>
      </c>
    </row>
    <row r="1780" spans="1:21" s="30" customFormat="1" ht="24.6" hidden="1" outlineLevel="1" x14ac:dyDescent="0.55000000000000004">
      <c r="A1780" s="27" t="s">
        <v>327</v>
      </c>
      <c r="B1780" s="28"/>
      <c r="C1780" s="27"/>
      <c r="D1780" s="27" t="str">
        <f>"""NAV Direct"",""CRONUS JetCorp USA"",""21"",""1"",""38635"""</f>
        <v>"NAV Direct","CRONUS JetCorp USA","21","1","38635"</v>
      </c>
      <c r="E1780" s="31" t="str">
        <f t="shared" si="532"/>
        <v>C100062</v>
      </c>
      <c r="F1780" s="31"/>
      <c r="G1780" s="31"/>
      <c r="H1780" s="31"/>
      <c r="I1780" s="56"/>
      <c r="J1780" s="56"/>
      <c r="K1780" s="82" t="str">
        <f t="shared" si="533"/>
        <v>Invoice</v>
      </c>
      <c r="L1780" s="83" t="str">
        <f>"SI_104797"</f>
        <v>SI_104797</v>
      </c>
      <c r="M1780" s="84">
        <v>42271</v>
      </c>
      <c r="N1780" s="85">
        <f t="shared" si="534"/>
        <v>1541</v>
      </c>
      <c r="O1780" s="86">
        <f t="shared" si="535"/>
        <v>8993.57</v>
      </c>
      <c r="P1780" s="86">
        <f t="shared" si="536"/>
        <v>0</v>
      </c>
      <c r="Q1780" s="86">
        <f t="shared" si="537"/>
        <v>0</v>
      </c>
      <c r="R1780" s="86">
        <f t="shared" si="538"/>
        <v>0</v>
      </c>
      <c r="S1780" s="86">
        <f t="shared" si="539"/>
        <v>0</v>
      </c>
      <c r="T1780" s="86">
        <f t="shared" si="540"/>
        <v>8993.57</v>
      </c>
      <c r="U1780" s="87">
        <v>8993.57</v>
      </c>
    </row>
    <row r="1781" spans="1:21" s="30" customFormat="1" ht="24.6" hidden="1" outlineLevel="1" x14ac:dyDescent="0.55000000000000004">
      <c r="A1781" s="27" t="s">
        <v>327</v>
      </c>
      <c r="B1781" s="28"/>
      <c r="C1781" s="27"/>
      <c r="D1781" s="27" t="str">
        <f>"""NAV Direct"",""CRONUS JetCorp USA"",""21"",""1"",""38863"""</f>
        <v>"NAV Direct","CRONUS JetCorp USA","21","1","38863"</v>
      </c>
      <c r="E1781" s="31">
        <f t="shared" si="532"/>
        <v>0</v>
      </c>
      <c r="F1781" s="31"/>
      <c r="G1781" s="31"/>
      <c r="H1781" s="31"/>
      <c r="I1781" s="56"/>
      <c r="J1781" s="56"/>
      <c r="K1781" s="82" t="str">
        <f t="shared" si="533"/>
        <v>Invoice</v>
      </c>
      <c r="L1781" s="83" t="str">
        <f>"SI_104807"</f>
        <v>SI_104807</v>
      </c>
      <c r="M1781" s="84">
        <v>42368</v>
      </c>
      <c r="N1781" s="85">
        <f t="shared" si="534"/>
        <v>1444</v>
      </c>
      <c r="O1781" s="86">
        <f t="shared" si="535"/>
        <v>9515.66</v>
      </c>
      <c r="P1781" s="86">
        <f t="shared" si="536"/>
        <v>0</v>
      </c>
      <c r="Q1781" s="86">
        <f t="shared" si="537"/>
        <v>0</v>
      </c>
      <c r="R1781" s="86">
        <f t="shared" si="538"/>
        <v>0</v>
      </c>
      <c r="S1781" s="86">
        <f t="shared" si="539"/>
        <v>0</v>
      </c>
      <c r="T1781" s="86">
        <f t="shared" si="540"/>
        <v>9515.66</v>
      </c>
      <c r="U1781" s="87">
        <v>9515.66</v>
      </c>
    </row>
    <row r="1782" spans="1:21" s="30" customFormat="1" ht="24.6" hidden="1" outlineLevel="1" x14ac:dyDescent="0.55000000000000004">
      <c r="A1782" s="27" t="s">
        <v>327</v>
      </c>
      <c r="B1782" s="28"/>
      <c r="C1782" s="27"/>
      <c r="D1782" s="27" t="str">
        <f>"""NAV Direct"",""CRONUS JetCorp USA"",""21"",""1"",""330168"""</f>
        <v>"NAV Direct","CRONUS JetCorp USA","21","1","330168"</v>
      </c>
      <c r="E1782" s="31" t="str">
        <f t="shared" si="532"/>
        <v>C100062</v>
      </c>
      <c r="F1782" s="31"/>
      <c r="G1782" s="31"/>
      <c r="H1782" s="31"/>
      <c r="I1782" s="56"/>
      <c r="J1782" s="56"/>
      <c r="K1782" s="82" t="str">
        <f t="shared" si="533"/>
        <v>Invoice</v>
      </c>
      <c r="L1782" s="83" t="str">
        <f>"SI_110385"</f>
        <v>SI_110385</v>
      </c>
      <c r="M1782" s="84">
        <v>42585</v>
      </c>
      <c r="N1782" s="85">
        <f t="shared" si="534"/>
        <v>1227</v>
      </c>
      <c r="O1782" s="86">
        <f t="shared" si="535"/>
        <v>13603.57</v>
      </c>
      <c r="P1782" s="86">
        <f t="shared" si="536"/>
        <v>0</v>
      </c>
      <c r="Q1782" s="86">
        <f t="shared" si="537"/>
        <v>0</v>
      </c>
      <c r="R1782" s="86">
        <f t="shared" si="538"/>
        <v>0</v>
      </c>
      <c r="S1782" s="86">
        <f t="shared" si="539"/>
        <v>0</v>
      </c>
      <c r="T1782" s="86">
        <f t="shared" si="540"/>
        <v>13603.57</v>
      </c>
      <c r="U1782" s="87">
        <v>13603.57</v>
      </c>
    </row>
    <row r="1783" spans="1:21" s="30" customFormat="1" ht="24.6" hidden="1" outlineLevel="1" x14ac:dyDescent="0.55000000000000004">
      <c r="A1783" s="27" t="s">
        <v>327</v>
      </c>
      <c r="B1783" s="28"/>
      <c r="C1783" s="27"/>
      <c r="D1783" s="27" t="str">
        <f>"""NAV Direct"",""CRONUS JetCorp USA"",""21"",""1"",""330329"""</f>
        <v>"NAV Direct","CRONUS JetCorp USA","21","1","330329"</v>
      </c>
      <c r="E1783" s="31">
        <f t="shared" si="532"/>
        <v>0</v>
      </c>
      <c r="F1783" s="31"/>
      <c r="G1783" s="31"/>
      <c r="H1783" s="31"/>
      <c r="I1783" s="56"/>
      <c r="J1783" s="56"/>
      <c r="K1783" s="82" t="str">
        <f t="shared" si="533"/>
        <v>Invoice</v>
      </c>
      <c r="L1783" s="83" t="str">
        <f>"SI_110391"</f>
        <v>SI_110391</v>
      </c>
      <c r="M1783" s="84">
        <v>42669</v>
      </c>
      <c r="N1783" s="85">
        <f t="shared" si="534"/>
        <v>1143</v>
      </c>
      <c r="O1783" s="86">
        <f t="shared" si="535"/>
        <v>13770.51</v>
      </c>
      <c r="P1783" s="86">
        <f t="shared" si="536"/>
        <v>0</v>
      </c>
      <c r="Q1783" s="86">
        <f t="shared" si="537"/>
        <v>0</v>
      </c>
      <c r="R1783" s="86">
        <f t="shared" si="538"/>
        <v>0</v>
      </c>
      <c r="S1783" s="86">
        <f t="shared" si="539"/>
        <v>0</v>
      </c>
      <c r="T1783" s="86">
        <f t="shared" si="540"/>
        <v>13770.51</v>
      </c>
      <c r="U1783" s="87">
        <v>13770.51</v>
      </c>
    </row>
    <row r="1784" spans="1:21" s="30" customFormat="1" ht="24.6" hidden="1" outlineLevel="1" x14ac:dyDescent="0.55000000000000004">
      <c r="A1784" s="27" t="s">
        <v>327</v>
      </c>
      <c r="B1784" s="28"/>
      <c r="C1784" s="27"/>
      <c r="D1784" s="27" t="str">
        <f>"""NAV Direct"",""CRONUS JetCorp USA"",""21"",""1"",""330385"""</f>
        <v>"NAV Direct","CRONUS JetCorp USA","21","1","330385"</v>
      </c>
      <c r="E1784" s="31" t="str">
        <f t="shared" si="532"/>
        <v>C100062</v>
      </c>
      <c r="F1784" s="31"/>
      <c r="G1784" s="31"/>
      <c r="H1784" s="31"/>
      <c r="I1784" s="56"/>
      <c r="J1784" s="56"/>
      <c r="K1784" s="82" t="str">
        <f t="shared" si="533"/>
        <v>Invoice</v>
      </c>
      <c r="L1784" s="83" t="str">
        <f>"SI_110393"</f>
        <v>SI_110393</v>
      </c>
      <c r="M1784" s="84">
        <v>42715</v>
      </c>
      <c r="N1784" s="85">
        <f t="shared" si="534"/>
        <v>1097</v>
      </c>
      <c r="O1784" s="86">
        <f t="shared" si="535"/>
        <v>13090.08</v>
      </c>
      <c r="P1784" s="86">
        <f t="shared" si="536"/>
        <v>0</v>
      </c>
      <c r="Q1784" s="86">
        <f t="shared" si="537"/>
        <v>0</v>
      </c>
      <c r="R1784" s="86">
        <f t="shared" si="538"/>
        <v>0</v>
      </c>
      <c r="S1784" s="86">
        <f t="shared" si="539"/>
        <v>0</v>
      </c>
      <c r="T1784" s="86">
        <f t="shared" si="540"/>
        <v>13090.08</v>
      </c>
      <c r="U1784" s="87">
        <v>13090.08</v>
      </c>
    </row>
    <row r="1785" spans="1:21" s="30" customFormat="1" ht="24.6" hidden="1" outlineLevel="1" x14ac:dyDescent="0.55000000000000004">
      <c r="A1785" s="27" t="s">
        <v>327</v>
      </c>
      <c r="B1785" s="28"/>
      <c r="C1785" s="27"/>
      <c r="D1785" s="27" t="str">
        <f>"""NAV Direct"",""CRONUS JetCorp USA"",""21"",""1"",""330443"""</f>
        <v>"NAV Direct","CRONUS JetCorp USA","21","1","330443"</v>
      </c>
      <c r="E1785" s="31">
        <f t="shared" si="532"/>
        <v>0</v>
      </c>
      <c r="F1785" s="31"/>
      <c r="G1785" s="31"/>
      <c r="H1785" s="31"/>
      <c r="I1785" s="56"/>
      <c r="J1785" s="56"/>
      <c r="K1785" s="82" t="str">
        <f t="shared" si="533"/>
        <v>Invoice</v>
      </c>
      <c r="L1785" s="83" t="str">
        <f>"SI_110395"</f>
        <v>SI_110395</v>
      </c>
      <c r="M1785" s="84">
        <v>42755</v>
      </c>
      <c r="N1785" s="85">
        <f t="shared" si="534"/>
        <v>1057</v>
      </c>
      <c r="O1785" s="86">
        <f t="shared" si="535"/>
        <v>13718.52</v>
      </c>
      <c r="P1785" s="86">
        <f t="shared" si="536"/>
        <v>0</v>
      </c>
      <c r="Q1785" s="86">
        <f t="shared" si="537"/>
        <v>0</v>
      </c>
      <c r="R1785" s="86">
        <f t="shared" si="538"/>
        <v>0</v>
      </c>
      <c r="S1785" s="86">
        <f t="shared" si="539"/>
        <v>0</v>
      </c>
      <c r="T1785" s="86">
        <f t="shared" si="540"/>
        <v>13718.52</v>
      </c>
      <c r="U1785" s="87">
        <v>13718.52</v>
      </c>
    </row>
    <row r="1786" spans="1:21" s="30" customFormat="1" ht="24.6" hidden="1" outlineLevel="1" x14ac:dyDescent="0.55000000000000004">
      <c r="A1786" s="27" t="s">
        <v>327</v>
      </c>
      <c r="B1786" s="28"/>
      <c r="C1786" s="27"/>
      <c r="D1786" s="27" t="str">
        <f>"""NAV Direct"",""CRONUS JetCorp USA"",""21"",""1"",""330708"""</f>
        <v>"NAV Direct","CRONUS JetCorp USA","21","1","330708"</v>
      </c>
      <c r="E1786" s="31" t="str">
        <f t="shared" si="532"/>
        <v>C100062</v>
      </c>
      <c r="F1786" s="31"/>
      <c r="G1786" s="31"/>
      <c r="H1786" s="31"/>
      <c r="I1786" s="56"/>
      <c r="J1786" s="56"/>
      <c r="K1786" s="82" t="str">
        <f t="shared" si="533"/>
        <v>Invoice</v>
      </c>
      <c r="L1786" s="83" t="str">
        <f>"SI_110404"</f>
        <v>SI_110404</v>
      </c>
      <c r="M1786" s="84">
        <v>42946</v>
      </c>
      <c r="N1786" s="85">
        <f t="shared" si="534"/>
        <v>866</v>
      </c>
      <c r="O1786" s="86">
        <f t="shared" si="535"/>
        <v>12225.62</v>
      </c>
      <c r="P1786" s="86">
        <f t="shared" si="536"/>
        <v>0</v>
      </c>
      <c r="Q1786" s="86">
        <f t="shared" si="537"/>
        <v>0</v>
      </c>
      <c r="R1786" s="86">
        <f t="shared" si="538"/>
        <v>0</v>
      </c>
      <c r="S1786" s="86">
        <f t="shared" si="539"/>
        <v>0</v>
      </c>
      <c r="T1786" s="86">
        <f t="shared" si="540"/>
        <v>12225.62</v>
      </c>
      <c r="U1786" s="87">
        <v>12225.62</v>
      </c>
    </row>
    <row r="1787" spans="1:21" s="30" customFormat="1" ht="24.6" hidden="1" outlineLevel="1" x14ac:dyDescent="0.55000000000000004">
      <c r="A1787" s="27" t="s">
        <v>327</v>
      </c>
      <c r="B1787" s="28"/>
      <c r="C1787" s="27"/>
      <c r="D1787" s="27" t="str">
        <f>"""NAV Direct"",""CRONUS JetCorp USA"",""21"",""1"",""330862"""</f>
        <v>"NAV Direct","CRONUS JetCorp USA","21","1","330862"</v>
      </c>
      <c r="E1787" s="31">
        <f t="shared" si="532"/>
        <v>0</v>
      </c>
      <c r="F1787" s="31"/>
      <c r="G1787" s="31"/>
      <c r="H1787" s="31"/>
      <c r="I1787" s="56"/>
      <c r="J1787" s="56"/>
      <c r="K1787" s="82" t="str">
        <f t="shared" si="533"/>
        <v>Invoice</v>
      </c>
      <c r="L1787" s="83" t="str">
        <f>"SI_110410"</f>
        <v>SI_110410</v>
      </c>
      <c r="M1787" s="84">
        <v>43070</v>
      </c>
      <c r="N1787" s="85">
        <f t="shared" si="534"/>
        <v>742</v>
      </c>
      <c r="O1787" s="86">
        <f t="shared" si="535"/>
        <v>10016.769999999999</v>
      </c>
      <c r="P1787" s="86">
        <f t="shared" si="536"/>
        <v>0</v>
      </c>
      <c r="Q1787" s="86">
        <f t="shared" si="537"/>
        <v>0</v>
      </c>
      <c r="R1787" s="86">
        <f t="shared" si="538"/>
        <v>0</v>
      </c>
      <c r="S1787" s="86">
        <f t="shared" si="539"/>
        <v>0</v>
      </c>
      <c r="T1787" s="86">
        <f t="shared" si="540"/>
        <v>10016.769999999999</v>
      </c>
      <c r="U1787" s="87">
        <v>10016.769999999999</v>
      </c>
    </row>
    <row r="1788" spans="1:21" s="30" customFormat="1" ht="24.6" hidden="1" outlineLevel="1" x14ac:dyDescent="0.55000000000000004">
      <c r="A1788" s="27" t="s">
        <v>327</v>
      </c>
      <c r="B1788" s="28"/>
      <c r="C1788" s="27"/>
      <c r="D1788" s="27" t="str">
        <f>"""NAV Direct"",""CRONUS JetCorp USA"",""21"",""1"",""331006"""</f>
        <v>"NAV Direct","CRONUS JetCorp USA","21","1","331006"</v>
      </c>
      <c r="E1788" s="31" t="str">
        <f t="shared" si="532"/>
        <v>C100062</v>
      </c>
      <c r="F1788" s="31"/>
      <c r="G1788" s="31"/>
      <c r="H1788" s="31"/>
      <c r="I1788" s="56"/>
      <c r="J1788" s="56"/>
      <c r="K1788" s="82" t="str">
        <f t="shared" si="533"/>
        <v>Invoice</v>
      </c>
      <c r="L1788" s="83" t="str">
        <f>"SI_110416"</f>
        <v>SI_110416</v>
      </c>
      <c r="M1788" s="84">
        <v>43188</v>
      </c>
      <c r="N1788" s="85">
        <f t="shared" si="534"/>
        <v>624</v>
      </c>
      <c r="O1788" s="86">
        <f t="shared" si="535"/>
        <v>8059.7599999999993</v>
      </c>
      <c r="P1788" s="86">
        <f t="shared" si="536"/>
        <v>0</v>
      </c>
      <c r="Q1788" s="86">
        <f t="shared" si="537"/>
        <v>0</v>
      </c>
      <c r="R1788" s="86">
        <f t="shared" si="538"/>
        <v>0</v>
      </c>
      <c r="S1788" s="86">
        <f t="shared" si="539"/>
        <v>0</v>
      </c>
      <c r="T1788" s="86">
        <f t="shared" si="540"/>
        <v>8059.7599999999993</v>
      </c>
      <c r="U1788" s="87">
        <v>8059.7599999999993</v>
      </c>
    </row>
    <row r="1789" spans="1:21" s="30" customFormat="1" ht="24.6" hidden="1" outlineLevel="1" x14ac:dyDescent="0.55000000000000004">
      <c r="A1789" s="27" t="s">
        <v>327</v>
      </c>
      <c r="B1789" s="28"/>
      <c r="C1789" s="27"/>
      <c r="D1789" s="27" t="str">
        <f>"""NAV Direct"",""CRONUS JetCorp USA"",""21"",""1"",""331113"""</f>
        <v>"NAV Direct","CRONUS JetCorp USA","21","1","331113"</v>
      </c>
      <c r="E1789" s="31">
        <f t="shared" si="532"/>
        <v>0</v>
      </c>
      <c r="F1789" s="31"/>
      <c r="G1789" s="31"/>
      <c r="H1789" s="31"/>
      <c r="I1789" s="56"/>
      <c r="J1789" s="56"/>
      <c r="K1789" s="82" t="str">
        <f t="shared" si="533"/>
        <v>Invoice</v>
      </c>
      <c r="L1789" s="83" t="str">
        <f>"SI_110421"</f>
        <v>SI_110421</v>
      </c>
      <c r="M1789" s="84">
        <v>43307</v>
      </c>
      <c r="N1789" s="85">
        <f t="shared" si="534"/>
        <v>505</v>
      </c>
      <c r="O1789" s="86">
        <f t="shared" si="535"/>
        <v>7541.9500000000007</v>
      </c>
      <c r="P1789" s="86">
        <f t="shared" si="536"/>
        <v>0</v>
      </c>
      <c r="Q1789" s="86">
        <f t="shared" si="537"/>
        <v>0</v>
      </c>
      <c r="R1789" s="86">
        <f t="shared" si="538"/>
        <v>0</v>
      </c>
      <c r="S1789" s="86">
        <f t="shared" si="539"/>
        <v>0</v>
      </c>
      <c r="T1789" s="86">
        <f t="shared" si="540"/>
        <v>7541.9500000000007</v>
      </c>
      <c r="U1789" s="87">
        <v>7541.9500000000007</v>
      </c>
    </row>
    <row r="1790" spans="1:21" s="30" customFormat="1" ht="24.6" hidden="1" outlineLevel="1" x14ac:dyDescent="0.55000000000000004">
      <c r="A1790" s="27" t="s">
        <v>327</v>
      </c>
      <c r="B1790" s="28"/>
      <c r="C1790" s="27"/>
      <c r="D1790" s="27" t="str">
        <f>"""NAV Direct"",""CRONUS JetCorp USA"",""21"",""1"",""331226"""</f>
        <v>"NAV Direct","CRONUS JetCorp USA","21","1","331226"</v>
      </c>
      <c r="E1790" s="31" t="str">
        <f t="shared" si="532"/>
        <v>C100062</v>
      </c>
      <c r="F1790" s="31"/>
      <c r="G1790" s="31"/>
      <c r="H1790" s="31"/>
      <c r="I1790" s="56"/>
      <c r="J1790" s="56"/>
      <c r="K1790" s="82" t="str">
        <f t="shared" si="533"/>
        <v>Invoice</v>
      </c>
      <c r="L1790" s="83" t="str">
        <f>"SI_110426"</f>
        <v>SI_110426</v>
      </c>
      <c r="M1790" s="84">
        <v>43406</v>
      </c>
      <c r="N1790" s="85">
        <f t="shared" si="534"/>
        <v>406</v>
      </c>
      <c r="O1790" s="86">
        <f t="shared" si="535"/>
        <v>7558.09</v>
      </c>
      <c r="P1790" s="86">
        <f t="shared" si="536"/>
        <v>0</v>
      </c>
      <c r="Q1790" s="86">
        <f t="shared" si="537"/>
        <v>0</v>
      </c>
      <c r="R1790" s="86">
        <f t="shared" si="538"/>
        <v>0</v>
      </c>
      <c r="S1790" s="86">
        <f t="shared" si="539"/>
        <v>0</v>
      </c>
      <c r="T1790" s="86">
        <f t="shared" si="540"/>
        <v>7558.09</v>
      </c>
      <c r="U1790" s="87">
        <v>7558.09</v>
      </c>
    </row>
    <row r="1791" spans="1:21" s="30" customFormat="1" ht="24.6" hidden="1" outlineLevel="1" x14ac:dyDescent="0.55000000000000004">
      <c r="A1791" s="27" t="s">
        <v>327</v>
      </c>
      <c r="B1791" s="28"/>
      <c r="C1791" s="27"/>
      <c r="D1791" s="27" t="str">
        <f>"""NAV Direct"",""CRONUS JetCorp USA"",""21"",""1"",""331249"""</f>
        <v>"NAV Direct","CRONUS JetCorp USA","21","1","331249"</v>
      </c>
      <c r="E1791" s="31">
        <f t="shared" si="532"/>
        <v>0</v>
      </c>
      <c r="F1791" s="31"/>
      <c r="G1791" s="31"/>
      <c r="H1791" s="31"/>
      <c r="I1791" s="56"/>
      <c r="J1791" s="56"/>
      <c r="K1791" s="82" t="str">
        <f t="shared" si="533"/>
        <v>Invoice</v>
      </c>
      <c r="L1791" s="83" t="str">
        <f>"SI_110427"</f>
        <v>SI_110427</v>
      </c>
      <c r="M1791" s="84">
        <v>43405</v>
      </c>
      <c r="N1791" s="85">
        <f t="shared" si="534"/>
        <v>407</v>
      </c>
      <c r="O1791" s="86">
        <f t="shared" si="535"/>
        <v>7558.66</v>
      </c>
      <c r="P1791" s="86">
        <f t="shared" si="536"/>
        <v>0</v>
      </c>
      <c r="Q1791" s="86">
        <f t="shared" si="537"/>
        <v>0</v>
      </c>
      <c r="R1791" s="86">
        <f t="shared" si="538"/>
        <v>0</v>
      </c>
      <c r="S1791" s="86">
        <f t="shared" si="539"/>
        <v>0</v>
      </c>
      <c r="T1791" s="86">
        <f t="shared" si="540"/>
        <v>7558.66</v>
      </c>
      <c r="U1791" s="87">
        <v>7558.66</v>
      </c>
    </row>
    <row r="1792" spans="1:21" s="30" customFormat="1" ht="24.6" hidden="1" outlineLevel="1" x14ac:dyDescent="0.55000000000000004">
      <c r="A1792" s="27" t="s">
        <v>327</v>
      </c>
      <c r="B1792" s="28"/>
      <c r="C1792" s="27"/>
      <c r="D1792" s="27" t="str">
        <f>"""NAV Direct"",""CRONUS JetCorp USA"",""21"",""1"",""331990"""</f>
        <v>"NAV Direct","CRONUS JetCorp USA","21","1","331990"</v>
      </c>
      <c r="E1792" s="31" t="str">
        <f t="shared" si="532"/>
        <v>C100062</v>
      </c>
      <c r="F1792" s="31"/>
      <c r="G1792" s="31"/>
      <c r="H1792" s="31"/>
      <c r="I1792" s="56"/>
      <c r="J1792" s="56"/>
      <c r="K1792" s="82" t="str">
        <f t="shared" si="533"/>
        <v>Invoice</v>
      </c>
      <c r="L1792" s="83" t="str">
        <f>"SI_110458"</f>
        <v>SI_110458</v>
      </c>
      <c r="M1792" s="84">
        <v>42159</v>
      </c>
      <c r="N1792" s="85">
        <f t="shared" si="534"/>
        <v>1653</v>
      </c>
      <c r="O1792" s="86">
        <f t="shared" si="535"/>
        <v>10012.66</v>
      </c>
      <c r="P1792" s="86">
        <f t="shared" si="536"/>
        <v>0</v>
      </c>
      <c r="Q1792" s="86">
        <f t="shared" si="537"/>
        <v>0</v>
      </c>
      <c r="R1792" s="86">
        <f t="shared" si="538"/>
        <v>0</v>
      </c>
      <c r="S1792" s="86">
        <f t="shared" si="539"/>
        <v>0</v>
      </c>
      <c r="T1792" s="86">
        <f t="shared" si="540"/>
        <v>10012.66</v>
      </c>
      <c r="U1792" s="87">
        <v>10012.66</v>
      </c>
    </row>
    <row r="1793" spans="1:22" s="30" customFormat="1" ht="24.6" hidden="1" outlineLevel="1" x14ac:dyDescent="0.55000000000000004">
      <c r="A1793" s="27" t="s">
        <v>327</v>
      </c>
      <c r="B1793" s="28"/>
      <c r="C1793" s="27"/>
      <c r="D1793" s="27" t="str">
        <f>"""NAV Direct"",""CRONUS JetCorp USA"",""21"",""1"",""432773"""</f>
        <v>"NAV Direct","CRONUS JetCorp USA","21","1","432773"</v>
      </c>
      <c r="E1793" s="31">
        <f t="shared" si="532"/>
        <v>0</v>
      </c>
      <c r="F1793" s="31"/>
      <c r="G1793" s="31"/>
      <c r="H1793" s="31"/>
      <c r="I1793" s="56"/>
      <c r="J1793" s="56"/>
      <c r="K1793" s="82" t="str">
        <f>"Credit Memo"</f>
        <v>Credit Memo</v>
      </c>
      <c r="L1793" s="83" t="str">
        <f>"SC_100439"</f>
        <v>SC_100439</v>
      </c>
      <c r="M1793" s="84">
        <v>42530</v>
      </c>
      <c r="N1793" s="85">
        <f t="shared" si="534"/>
        <v>1282</v>
      </c>
      <c r="O1793" s="86">
        <f t="shared" si="535"/>
        <v>-132.12</v>
      </c>
      <c r="P1793" s="86">
        <f t="shared" si="536"/>
        <v>0</v>
      </c>
      <c r="Q1793" s="86">
        <f t="shared" si="537"/>
        <v>0</v>
      </c>
      <c r="R1793" s="86">
        <f t="shared" si="538"/>
        <v>0</v>
      </c>
      <c r="S1793" s="86">
        <f t="shared" si="539"/>
        <v>0</v>
      </c>
      <c r="T1793" s="86">
        <f t="shared" si="540"/>
        <v>-132.12</v>
      </c>
      <c r="U1793" s="87">
        <v>-132.12</v>
      </c>
    </row>
    <row r="1794" spans="1:22" s="30" customFormat="1" ht="24.6" hidden="1" outlineLevel="1" x14ac:dyDescent="0.55000000000000004">
      <c r="A1794" s="27" t="s">
        <v>327</v>
      </c>
      <c r="B1794" s="28"/>
      <c r="C1794" s="27"/>
      <c r="D1794" s="27" t="str">
        <f>"""NAV Direct"",""CRONUS JetCorp USA"",""21"",""1"",""432790"""</f>
        <v>"NAV Direct","CRONUS JetCorp USA","21","1","432790"</v>
      </c>
      <c r="E1794" s="31" t="str">
        <f t="shared" si="532"/>
        <v>C100062</v>
      </c>
      <c r="F1794" s="31"/>
      <c r="G1794" s="31"/>
      <c r="H1794" s="31"/>
      <c r="I1794" s="56"/>
      <c r="J1794" s="56"/>
      <c r="K1794" s="82" t="str">
        <f>"Credit Memo"</f>
        <v>Credit Memo</v>
      </c>
      <c r="L1794" s="83" t="str">
        <f>"SC_100440"</f>
        <v>SC_100440</v>
      </c>
      <c r="M1794" s="84">
        <v>42525</v>
      </c>
      <c r="N1794" s="85">
        <f t="shared" si="534"/>
        <v>1287</v>
      </c>
      <c r="O1794" s="86">
        <f t="shared" si="535"/>
        <v>-135.34</v>
      </c>
      <c r="P1794" s="86">
        <f t="shared" si="536"/>
        <v>0</v>
      </c>
      <c r="Q1794" s="86">
        <f t="shared" si="537"/>
        <v>0</v>
      </c>
      <c r="R1794" s="86">
        <f t="shared" si="538"/>
        <v>0</v>
      </c>
      <c r="S1794" s="86">
        <f t="shared" si="539"/>
        <v>0</v>
      </c>
      <c r="T1794" s="86">
        <f t="shared" si="540"/>
        <v>-135.34</v>
      </c>
      <c r="U1794" s="87">
        <v>-135.34</v>
      </c>
    </row>
    <row r="1795" spans="1:22" s="30" customFormat="1" ht="24.6" hidden="1" outlineLevel="1" x14ac:dyDescent="0.55000000000000004">
      <c r="A1795" s="27" t="s">
        <v>327</v>
      </c>
      <c r="B1795" s="28"/>
      <c r="C1795" s="27"/>
      <c r="D1795" s="27" t="str">
        <f>"""NAV Direct"",""CRONUS JetCorp USA"",""21"",""1"",""433079"""</f>
        <v>"NAV Direct","CRONUS JetCorp USA","21","1","433079"</v>
      </c>
      <c r="E1795" s="31">
        <f t="shared" si="532"/>
        <v>0</v>
      </c>
      <c r="F1795" s="31"/>
      <c r="G1795" s="31"/>
      <c r="H1795" s="31"/>
      <c r="I1795" s="56"/>
      <c r="J1795" s="56"/>
      <c r="K1795" s="82" t="str">
        <f>"Credit Memo"</f>
        <v>Credit Memo</v>
      </c>
      <c r="L1795" s="83" t="str">
        <f>"SC_100461"</f>
        <v>SC_100461</v>
      </c>
      <c r="M1795" s="84">
        <v>42134</v>
      </c>
      <c r="N1795" s="85">
        <f t="shared" si="534"/>
        <v>1678</v>
      </c>
      <c r="O1795" s="86">
        <f t="shared" si="535"/>
        <v>-96.429999999999993</v>
      </c>
      <c r="P1795" s="86">
        <f t="shared" si="536"/>
        <v>0</v>
      </c>
      <c r="Q1795" s="86">
        <f t="shared" si="537"/>
        <v>0</v>
      </c>
      <c r="R1795" s="86">
        <f t="shared" si="538"/>
        <v>0</v>
      </c>
      <c r="S1795" s="86">
        <f t="shared" si="539"/>
        <v>0</v>
      </c>
      <c r="T1795" s="86">
        <f t="shared" si="540"/>
        <v>-96.429999999999993</v>
      </c>
      <c r="U1795" s="87">
        <v>-96.429999999999993</v>
      </c>
    </row>
    <row r="1796" spans="1:22" s="22" customFormat="1" ht="20.399999999999999" collapsed="1" x14ac:dyDescent="0.45">
      <c r="A1796" s="12" t="s">
        <v>327</v>
      </c>
      <c r="B1796" s="19"/>
      <c r="C1796" s="12"/>
      <c r="D1796" s="12"/>
      <c r="E1796" s="23"/>
      <c r="F1796" s="23"/>
      <c r="G1796" s="23"/>
      <c r="H1796" s="23"/>
      <c r="I1796" s="49"/>
      <c r="J1796" s="88"/>
      <c r="K1796" s="88"/>
      <c r="L1796" s="89"/>
      <c r="M1796" s="89"/>
      <c r="N1796" s="89"/>
      <c r="O1796" s="89"/>
      <c r="P1796" s="89"/>
      <c r="Q1796" s="90"/>
      <c r="R1796" s="90"/>
      <c r="S1796" s="91"/>
      <c r="T1796" s="92"/>
      <c r="U1796" s="92"/>
    </row>
    <row r="1797" spans="1:22" s="22" customFormat="1" ht="20.399999999999999" x14ac:dyDescent="0.45">
      <c r="A1797" s="12" t="s">
        <v>327</v>
      </c>
      <c r="B1797" s="19"/>
      <c r="C1797" s="12"/>
      <c r="D1797" s="12"/>
      <c r="E1797" s="23"/>
      <c r="F1797" s="23"/>
      <c r="G1797" s="23"/>
      <c r="H1797" s="23"/>
      <c r="I1797" s="49"/>
      <c r="J1797" s="88"/>
      <c r="K1797" s="88"/>
      <c r="L1797" s="89"/>
      <c r="M1797" s="89"/>
      <c r="N1797" s="89"/>
      <c r="O1797" s="89"/>
      <c r="P1797" s="89"/>
      <c r="Q1797" s="90"/>
      <c r="R1797" s="90"/>
      <c r="S1797" s="91"/>
      <c r="T1797" s="92"/>
      <c r="U1797" s="92"/>
    </row>
    <row r="1798" spans="1:22" s="26" customFormat="1" ht="24.6" x14ac:dyDescent="0.55000000000000004">
      <c r="A1798" s="27" t="s">
        <v>327</v>
      </c>
      <c r="B1798" s="28"/>
      <c r="C1798" s="27" t="str">
        <f>"""NAV Direct"",""CRONUS JetCorp USA"",""18"",""1"",""C100063"""</f>
        <v>"NAV Direct","CRONUS JetCorp USA","18","1","C100063"</v>
      </c>
      <c r="D1798" s="27"/>
      <c r="E1798" s="28" t="str">
        <f>H1798</f>
        <v>C100063</v>
      </c>
      <c r="F1798" s="28"/>
      <c r="G1798" s="28"/>
      <c r="H1798" s="28" t="str">
        <f>"C100063"</f>
        <v>C100063</v>
      </c>
      <c r="I1798" s="116" t="str">
        <f>"C100063  -  Möbel Scherrer AG"</f>
        <v>C100063  -  Möbel Scherrer AG</v>
      </c>
      <c r="J1798" s="117" t="str">
        <f>""</f>
        <v/>
      </c>
      <c r="K1798" s="118"/>
      <c r="L1798" s="119">
        <f>SUBTOTAL(3,L1799:L1817)</f>
        <v>15</v>
      </c>
      <c r="M1798" s="118"/>
      <c r="N1798" s="118"/>
      <c r="O1798" s="120">
        <f t="shared" ref="O1798:T1798" si="541">SUBTOTAL(9,O1799:O1817)</f>
        <v>176055.04000000001</v>
      </c>
      <c r="P1798" s="120">
        <f t="shared" si="541"/>
        <v>-236.5</v>
      </c>
      <c r="Q1798" s="120">
        <f t="shared" si="541"/>
        <v>0</v>
      </c>
      <c r="R1798" s="120">
        <f t="shared" si="541"/>
        <v>0</v>
      </c>
      <c r="S1798" s="120">
        <f t="shared" si="541"/>
        <v>0</v>
      </c>
      <c r="T1798" s="120">
        <f t="shared" si="541"/>
        <v>176291.54</v>
      </c>
      <c r="U1798" s="81"/>
    </row>
    <row r="1799" spans="1:22" s="26" customFormat="1" ht="24.6" x14ac:dyDescent="0.55000000000000004">
      <c r="A1799" s="27" t="s">
        <v>327</v>
      </c>
      <c r="B1799" s="28"/>
      <c r="C1799" s="27" t="str">
        <f>C1798</f>
        <v>"NAV Direct","CRONUS JetCorp USA","18","1","C100063"</v>
      </c>
      <c r="D1799" s="27"/>
      <c r="E1799" s="28" t="str">
        <f>E1798</f>
        <v>C100063</v>
      </c>
      <c r="F1799" s="28"/>
      <c r="G1799" s="28"/>
      <c r="H1799" s="28"/>
      <c r="I1799" s="121" t="str">
        <f>"Contact: Herrn Stefan Delmarco"</f>
        <v>Contact: Herrn Stefan Delmarco</v>
      </c>
      <c r="J1799" s="121"/>
      <c r="K1799" s="122"/>
      <c r="L1799" s="123"/>
      <c r="M1799" s="123"/>
      <c r="N1799" s="124"/>
      <c r="O1799" s="124"/>
      <c r="P1799" s="123"/>
      <c r="Q1799" s="125"/>
      <c r="R1799" s="126"/>
      <c r="S1799" s="126"/>
      <c r="T1799" s="125"/>
      <c r="U1799" s="81"/>
    </row>
    <row r="1800" spans="1:22" s="26" customFormat="1" ht="24.6" x14ac:dyDescent="0.55000000000000004">
      <c r="A1800" s="27" t="s">
        <v>327</v>
      </c>
      <c r="B1800" s="28"/>
      <c r="C1800" s="27" t="str">
        <f>C1799</f>
        <v>"NAV Direct","CRONUS JetCorp USA","18","1","C100063"</v>
      </c>
      <c r="D1800" s="27"/>
      <c r="E1800" s="28" t="str">
        <f>E1799</f>
        <v>C100063</v>
      </c>
      <c r="F1800" s="28"/>
      <c r="G1800" s="28"/>
      <c r="H1800" s="28"/>
      <c r="I1800" s="121" t="str">
        <f>"mobel.scherrer.ag@cronuscorp.net"</f>
        <v>mobel.scherrer.ag@cronuscorp.net</v>
      </c>
      <c r="J1800" s="121"/>
      <c r="K1800" s="122"/>
      <c r="L1800" s="124"/>
      <c r="M1800" s="124"/>
      <c r="N1800" s="124"/>
      <c r="O1800" s="124"/>
      <c r="P1800" s="123"/>
      <c r="Q1800" s="125"/>
      <c r="R1800" s="126"/>
      <c r="S1800" s="126"/>
      <c r="T1800" s="125"/>
      <c r="U1800" s="81"/>
    </row>
    <row r="1801" spans="1:22" ht="12.75" hidden="1" customHeight="1" outlineLevel="1" x14ac:dyDescent="0.45">
      <c r="A1801" s="12" t="s">
        <v>328</v>
      </c>
      <c r="B1801" s="19"/>
      <c r="E1801" s="19"/>
      <c r="F1801" s="19"/>
      <c r="G1801" s="19"/>
      <c r="H1801" s="19"/>
      <c r="I1801" s="61"/>
      <c r="J1801" s="61"/>
      <c r="K1801" s="61"/>
      <c r="L1801" s="61"/>
      <c r="M1801" s="61"/>
      <c r="N1801" s="61"/>
      <c r="O1801" s="61"/>
      <c r="P1801" s="61"/>
      <c r="Q1801" s="61"/>
      <c r="R1801" s="61"/>
      <c r="S1801" s="61"/>
      <c r="T1801" s="61"/>
      <c r="U1801" s="61"/>
      <c r="V1801" s="21"/>
    </row>
    <row r="1802" spans="1:22" s="30" customFormat="1" ht="24.6" hidden="1" outlineLevel="1" x14ac:dyDescent="0.55000000000000004">
      <c r="A1802" s="27" t="s">
        <v>327</v>
      </c>
      <c r="B1802" s="28"/>
      <c r="C1802" s="27"/>
      <c r="D1802" s="27" t="str">
        <f>"""NAV Direct"",""CRONUS JetCorp USA"",""21"",""1"",""98144"""</f>
        <v>"NAV Direct","CRONUS JetCorp USA","21","1","98144"</v>
      </c>
      <c r="E1802" s="31" t="str">
        <f t="shared" ref="E1802:E1816" si="542">E1800</f>
        <v>C100063</v>
      </c>
      <c r="F1802" s="31"/>
      <c r="G1802" s="31"/>
      <c r="H1802" s="31"/>
      <c r="I1802" s="56"/>
      <c r="J1802" s="56"/>
      <c r="K1802" s="82" t="str">
        <f t="shared" ref="K1802:K1810" si="543">"Invoice"</f>
        <v>Invoice</v>
      </c>
      <c r="L1802" s="83" t="str">
        <f>"SI_106484"</f>
        <v>SI_106484</v>
      </c>
      <c r="M1802" s="84">
        <v>42287</v>
      </c>
      <c r="N1802" s="85">
        <f t="shared" ref="N1802:N1816" si="544">StartDate-$M1802+1</f>
        <v>1525</v>
      </c>
      <c r="O1802" s="86">
        <f t="shared" ref="O1802:O1816" si="545">SUM(P1802:T1802)</f>
        <v>18248.8</v>
      </c>
      <c r="P1802" s="86">
        <f t="shared" ref="P1802:P1816" si="546">IF($M1802&gt;=$P$18,U1802,0)</f>
        <v>0</v>
      </c>
      <c r="Q1802" s="86">
        <f t="shared" ref="Q1802:Q1816" si="547">IF(AND($M1802&gt;=$Q$16,$M1802&lt;=$Q$18),U1802,0)</f>
        <v>0</v>
      </c>
      <c r="R1802" s="86">
        <f t="shared" ref="R1802:R1816" si="548">IF(AND($M1802&gt;=$R$16,$M1802&lt;=$R$18),U1802,0)</f>
        <v>0</v>
      </c>
      <c r="S1802" s="86">
        <f t="shared" ref="S1802:S1816" si="549">IF(AND($M1802&gt;=$S$16,$M1802&lt;=$S$18),U1802,0)</f>
        <v>0</v>
      </c>
      <c r="T1802" s="86">
        <f t="shared" ref="T1802:T1816" si="550">IF($M1802&lt;=$T$18,U1802,0)</f>
        <v>18248.8</v>
      </c>
      <c r="U1802" s="87">
        <v>18248.8</v>
      </c>
    </row>
    <row r="1803" spans="1:22" s="30" customFormat="1" ht="24.6" hidden="1" outlineLevel="1" x14ac:dyDescent="0.55000000000000004">
      <c r="A1803" s="27" t="s">
        <v>327</v>
      </c>
      <c r="B1803" s="28"/>
      <c r="C1803" s="27"/>
      <c r="D1803" s="27" t="str">
        <f>"""NAV Direct"",""CRONUS JetCorp USA"",""21"",""1"",""378209"""</f>
        <v>"NAV Direct","CRONUS JetCorp USA","21","1","378209"</v>
      </c>
      <c r="E1803" s="31">
        <f t="shared" si="542"/>
        <v>0</v>
      </c>
      <c r="F1803" s="31"/>
      <c r="G1803" s="31"/>
      <c r="H1803" s="31"/>
      <c r="I1803" s="56"/>
      <c r="J1803" s="56"/>
      <c r="K1803" s="82" t="str">
        <f t="shared" si="543"/>
        <v>Invoice</v>
      </c>
      <c r="L1803" s="83" t="str">
        <f>"SI_111761"</f>
        <v>SI_111761</v>
      </c>
      <c r="M1803" s="84">
        <v>43090</v>
      </c>
      <c r="N1803" s="85">
        <f t="shared" si="544"/>
        <v>722</v>
      </c>
      <c r="O1803" s="86">
        <f t="shared" si="545"/>
        <v>14401.3</v>
      </c>
      <c r="P1803" s="86">
        <f t="shared" si="546"/>
        <v>0</v>
      </c>
      <c r="Q1803" s="86">
        <f t="shared" si="547"/>
        <v>0</v>
      </c>
      <c r="R1803" s="86">
        <f t="shared" si="548"/>
        <v>0</v>
      </c>
      <c r="S1803" s="86">
        <f t="shared" si="549"/>
        <v>0</v>
      </c>
      <c r="T1803" s="86">
        <f t="shared" si="550"/>
        <v>14401.3</v>
      </c>
      <c r="U1803" s="87">
        <v>14401.3</v>
      </c>
    </row>
    <row r="1804" spans="1:22" s="30" customFormat="1" ht="24.6" hidden="1" outlineLevel="1" x14ac:dyDescent="0.55000000000000004">
      <c r="A1804" s="27" t="s">
        <v>327</v>
      </c>
      <c r="B1804" s="28"/>
      <c r="C1804" s="27"/>
      <c r="D1804" s="27" t="str">
        <f>"""NAV Direct"",""CRONUS JetCorp USA"",""21"",""1"",""378696"""</f>
        <v>"NAV Direct","CRONUS JetCorp USA","21","1","378696"</v>
      </c>
      <c r="E1804" s="31" t="str">
        <f t="shared" si="542"/>
        <v>C100063</v>
      </c>
      <c r="F1804" s="31"/>
      <c r="G1804" s="31"/>
      <c r="H1804" s="31"/>
      <c r="I1804" s="56"/>
      <c r="J1804" s="56"/>
      <c r="K1804" s="82" t="str">
        <f t="shared" si="543"/>
        <v>Invoice</v>
      </c>
      <c r="L1804" s="83" t="str">
        <f>"SI_111776"</f>
        <v>SI_111776</v>
      </c>
      <c r="M1804" s="84">
        <v>43410</v>
      </c>
      <c r="N1804" s="85">
        <f t="shared" si="544"/>
        <v>402</v>
      </c>
      <c r="O1804" s="86">
        <f t="shared" si="545"/>
        <v>14146.630000000001</v>
      </c>
      <c r="P1804" s="86">
        <f t="shared" si="546"/>
        <v>0</v>
      </c>
      <c r="Q1804" s="86">
        <f t="shared" si="547"/>
        <v>0</v>
      </c>
      <c r="R1804" s="86">
        <f t="shared" si="548"/>
        <v>0</v>
      </c>
      <c r="S1804" s="86">
        <f t="shared" si="549"/>
        <v>0</v>
      </c>
      <c r="T1804" s="86">
        <f t="shared" si="550"/>
        <v>14146.630000000001</v>
      </c>
      <c r="U1804" s="87">
        <v>14146.630000000001</v>
      </c>
    </row>
    <row r="1805" spans="1:22" s="30" customFormat="1" ht="24.6" hidden="1" outlineLevel="1" x14ac:dyDescent="0.55000000000000004">
      <c r="A1805" s="27" t="s">
        <v>327</v>
      </c>
      <c r="B1805" s="28"/>
      <c r="C1805" s="27"/>
      <c r="D1805" s="27" t="str">
        <f>"""NAV Direct"",""CRONUS JetCorp USA"",""21"",""1"",""378967"""</f>
        <v>"NAV Direct","CRONUS JetCorp USA","21","1","378967"</v>
      </c>
      <c r="E1805" s="31">
        <f t="shared" si="542"/>
        <v>0</v>
      </c>
      <c r="F1805" s="31"/>
      <c r="G1805" s="31"/>
      <c r="H1805" s="31"/>
      <c r="I1805" s="56"/>
      <c r="J1805" s="56"/>
      <c r="K1805" s="82" t="str">
        <f t="shared" si="543"/>
        <v>Invoice</v>
      </c>
      <c r="L1805" s="83" t="str">
        <f>"SI_111783"</f>
        <v>SI_111783</v>
      </c>
      <c r="M1805" s="84">
        <v>43524</v>
      </c>
      <c r="N1805" s="85">
        <f t="shared" si="544"/>
        <v>288</v>
      </c>
      <c r="O1805" s="86">
        <f t="shared" si="545"/>
        <v>18556.39</v>
      </c>
      <c r="P1805" s="86">
        <f t="shared" si="546"/>
        <v>0</v>
      </c>
      <c r="Q1805" s="86">
        <f t="shared" si="547"/>
        <v>0</v>
      </c>
      <c r="R1805" s="86">
        <f t="shared" si="548"/>
        <v>0</v>
      </c>
      <c r="S1805" s="86">
        <f t="shared" si="549"/>
        <v>0</v>
      </c>
      <c r="T1805" s="86">
        <f t="shared" si="550"/>
        <v>18556.39</v>
      </c>
      <c r="U1805" s="87">
        <v>18556.39</v>
      </c>
    </row>
    <row r="1806" spans="1:22" s="30" customFormat="1" ht="24.6" hidden="1" outlineLevel="1" x14ac:dyDescent="0.55000000000000004">
      <c r="A1806" s="27" t="s">
        <v>327</v>
      </c>
      <c r="B1806" s="28"/>
      <c r="C1806" s="27"/>
      <c r="D1806" s="27" t="str">
        <f>"""NAV Direct"",""CRONUS JetCorp USA"",""21"",""1"",""378998"""</f>
        <v>"NAV Direct","CRONUS JetCorp USA","21","1","378998"</v>
      </c>
      <c r="E1806" s="31" t="str">
        <f t="shared" si="542"/>
        <v>C100063</v>
      </c>
      <c r="F1806" s="31"/>
      <c r="G1806" s="31"/>
      <c r="H1806" s="31"/>
      <c r="I1806" s="56"/>
      <c r="J1806" s="56"/>
      <c r="K1806" s="82" t="str">
        <f t="shared" si="543"/>
        <v>Invoice</v>
      </c>
      <c r="L1806" s="83" t="str">
        <f>"SI_111784"</f>
        <v>SI_111784</v>
      </c>
      <c r="M1806" s="84">
        <v>43526</v>
      </c>
      <c r="N1806" s="85">
        <f t="shared" si="544"/>
        <v>286</v>
      </c>
      <c r="O1806" s="86">
        <f t="shared" si="545"/>
        <v>20624.330000000002</v>
      </c>
      <c r="P1806" s="86">
        <f t="shared" si="546"/>
        <v>0</v>
      </c>
      <c r="Q1806" s="86">
        <f t="shared" si="547"/>
        <v>0</v>
      </c>
      <c r="R1806" s="86">
        <f t="shared" si="548"/>
        <v>0</v>
      </c>
      <c r="S1806" s="86">
        <f t="shared" si="549"/>
        <v>0</v>
      </c>
      <c r="T1806" s="86">
        <f t="shared" si="550"/>
        <v>20624.330000000002</v>
      </c>
      <c r="U1806" s="87">
        <v>20624.330000000002</v>
      </c>
    </row>
    <row r="1807" spans="1:22" s="30" customFormat="1" ht="24.6" hidden="1" outlineLevel="1" x14ac:dyDescent="0.55000000000000004">
      <c r="A1807" s="27" t="s">
        <v>327</v>
      </c>
      <c r="B1807" s="28"/>
      <c r="C1807" s="27"/>
      <c r="D1807" s="27" t="str">
        <f>"""NAV Direct"",""CRONUS JetCorp USA"",""21"",""1"",""379125"""</f>
        <v>"NAV Direct","CRONUS JetCorp USA","21","1","379125"</v>
      </c>
      <c r="E1807" s="31">
        <f t="shared" si="542"/>
        <v>0</v>
      </c>
      <c r="F1807" s="31"/>
      <c r="G1807" s="31"/>
      <c r="H1807" s="31"/>
      <c r="I1807" s="56"/>
      <c r="J1807" s="56"/>
      <c r="K1807" s="82" t="str">
        <f t="shared" si="543"/>
        <v>Invoice</v>
      </c>
      <c r="L1807" s="83" t="str">
        <f>"SI_111787"</f>
        <v>SI_111787</v>
      </c>
      <c r="M1807" s="84">
        <v>43564</v>
      </c>
      <c r="N1807" s="85">
        <f t="shared" si="544"/>
        <v>248</v>
      </c>
      <c r="O1807" s="86">
        <f t="shared" si="545"/>
        <v>22452.83</v>
      </c>
      <c r="P1807" s="86">
        <f t="shared" si="546"/>
        <v>0</v>
      </c>
      <c r="Q1807" s="86">
        <f t="shared" si="547"/>
        <v>0</v>
      </c>
      <c r="R1807" s="86">
        <f t="shared" si="548"/>
        <v>0</v>
      </c>
      <c r="S1807" s="86">
        <f t="shared" si="549"/>
        <v>0</v>
      </c>
      <c r="T1807" s="86">
        <f t="shared" si="550"/>
        <v>22452.83</v>
      </c>
      <c r="U1807" s="87">
        <v>22452.83</v>
      </c>
    </row>
    <row r="1808" spans="1:22" s="30" customFormat="1" ht="24.6" hidden="1" outlineLevel="1" x14ac:dyDescent="0.55000000000000004">
      <c r="A1808" s="27" t="s">
        <v>327</v>
      </c>
      <c r="B1808" s="28"/>
      <c r="C1808" s="27"/>
      <c r="D1808" s="27" t="str">
        <f>"""NAV Direct"",""CRONUS JetCorp USA"",""21"",""1"",""379696"""</f>
        <v>"NAV Direct","CRONUS JetCorp USA","21","1","379696"</v>
      </c>
      <c r="E1808" s="31" t="str">
        <f t="shared" si="542"/>
        <v>C100063</v>
      </c>
      <c r="F1808" s="31"/>
      <c r="G1808" s="31"/>
      <c r="H1808" s="31"/>
      <c r="I1808" s="56"/>
      <c r="J1808" s="56"/>
      <c r="K1808" s="82" t="str">
        <f t="shared" si="543"/>
        <v>Invoice</v>
      </c>
      <c r="L1808" s="83" t="str">
        <f>"SI_111802"</f>
        <v>SI_111802</v>
      </c>
      <c r="M1808" s="84">
        <v>42020</v>
      </c>
      <c r="N1808" s="85">
        <f t="shared" si="544"/>
        <v>1792</v>
      </c>
      <c r="O1808" s="86">
        <f t="shared" si="545"/>
        <v>23790.959999999999</v>
      </c>
      <c r="P1808" s="86">
        <f t="shared" si="546"/>
        <v>0</v>
      </c>
      <c r="Q1808" s="86">
        <f t="shared" si="547"/>
        <v>0</v>
      </c>
      <c r="R1808" s="86">
        <f t="shared" si="548"/>
        <v>0</v>
      </c>
      <c r="S1808" s="86">
        <f t="shared" si="549"/>
        <v>0</v>
      </c>
      <c r="T1808" s="86">
        <f t="shared" si="550"/>
        <v>23790.959999999999</v>
      </c>
      <c r="U1808" s="87">
        <v>23790.959999999999</v>
      </c>
    </row>
    <row r="1809" spans="1:22" s="30" customFormat="1" ht="24.6" hidden="1" outlineLevel="1" x14ac:dyDescent="0.55000000000000004">
      <c r="A1809" s="27" t="s">
        <v>327</v>
      </c>
      <c r="B1809" s="28"/>
      <c r="C1809" s="27"/>
      <c r="D1809" s="27" t="str">
        <f>"""NAV Direct"",""CRONUS JetCorp USA"",""21"",""1"",""379838"""</f>
        <v>"NAV Direct","CRONUS JetCorp USA","21","1","379838"</v>
      </c>
      <c r="E1809" s="31">
        <f t="shared" si="542"/>
        <v>0</v>
      </c>
      <c r="F1809" s="31"/>
      <c r="G1809" s="31"/>
      <c r="H1809" s="31"/>
      <c r="I1809" s="56"/>
      <c r="J1809" s="56"/>
      <c r="K1809" s="82" t="str">
        <f t="shared" si="543"/>
        <v>Invoice</v>
      </c>
      <c r="L1809" s="83" t="str">
        <f>"SI_111806"</f>
        <v>SI_111806</v>
      </c>
      <c r="M1809" s="84">
        <v>42076</v>
      </c>
      <c r="N1809" s="85">
        <f t="shared" si="544"/>
        <v>1736</v>
      </c>
      <c r="O1809" s="86">
        <f t="shared" si="545"/>
        <v>20631.260000000002</v>
      </c>
      <c r="P1809" s="86">
        <f t="shared" si="546"/>
        <v>0</v>
      </c>
      <c r="Q1809" s="86">
        <f t="shared" si="547"/>
        <v>0</v>
      </c>
      <c r="R1809" s="86">
        <f t="shared" si="548"/>
        <v>0</v>
      </c>
      <c r="S1809" s="86">
        <f t="shared" si="549"/>
        <v>0</v>
      </c>
      <c r="T1809" s="86">
        <f t="shared" si="550"/>
        <v>20631.260000000002</v>
      </c>
      <c r="U1809" s="87">
        <v>20631.260000000002</v>
      </c>
    </row>
    <row r="1810" spans="1:22" s="30" customFormat="1" ht="24.6" hidden="1" outlineLevel="1" x14ac:dyDescent="0.55000000000000004">
      <c r="A1810" s="27" t="s">
        <v>327</v>
      </c>
      <c r="B1810" s="28"/>
      <c r="C1810" s="27"/>
      <c r="D1810" s="27" t="str">
        <f>"""NAV Direct"",""CRONUS JetCorp USA"",""21"",""1"",""380117"""</f>
        <v>"NAV Direct","CRONUS JetCorp USA","21","1","380117"</v>
      </c>
      <c r="E1810" s="31" t="str">
        <f t="shared" si="542"/>
        <v>C100063</v>
      </c>
      <c r="F1810" s="31"/>
      <c r="G1810" s="31"/>
      <c r="H1810" s="31"/>
      <c r="I1810" s="56"/>
      <c r="J1810" s="56"/>
      <c r="K1810" s="82" t="str">
        <f t="shared" si="543"/>
        <v>Invoice</v>
      </c>
      <c r="L1810" s="83" t="str">
        <f>"SI_111813"</f>
        <v>SI_111813</v>
      </c>
      <c r="M1810" s="84">
        <v>42195</v>
      </c>
      <c r="N1810" s="85">
        <f t="shared" si="544"/>
        <v>1617</v>
      </c>
      <c r="O1810" s="86">
        <f t="shared" si="545"/>
        <v>24386.149999999998</v>
      </c>
      <c r="P1810" s="86">
        <f t="shared" si="546"/>
        <v>0</v>
      </c>
      <c r="Q1810" s="86">
        <f t="shared" si="547"/>
        <v>0</v>
      </c>
      <c r="R1810" s="86">
        <f t="shared" si="548"/>
        <v>0</v>
      </c>
      <c r="S1810" s="86">
        <f t="shared" si="549"/>
        <v>0</v>
      </c>
      <c r="T1810" s="86">
        <f t="shared" si="550"/>
        <v>24386.149999999998</v>
      </c>
      <c r="U1810" s="87">
        <v>24386.149999999998</v>
      </c>
    </row>
    <row r="1811" spans="1:22" s="30" customFormat="1" ht="24.6" hidden="1" outlineLevel="1" x14ac:dyDescent="0.55000000000000004">
      <c r="A1811" s="27" t="s">
        <v>327</v>
      </c>
      <c r="B1811" s="28"/>
      <c r="C1811" s="27"/>
      <c r="D1811" s="27" t="str">
        <f>"""NAV Direct"",""CRONUS JetCorp USA"",""21"",""1"",""437999"""</f>
        <v>"NAV Direct","CRONUS JetCorp USA","21","1","437999"</v>
      </c>
      <c r="E1811" s="31">
        <f t="shared" si="542"/>
        <v>0</v>
      </c>
      <c r="F1811" s="31"/>
      <c r="G1811" s="31"/>
      <c r="H1811" s="31"/>
      <c r="I1811" s="56"/>
      <c r="J1811" s="56"/>
      <c r="K1811" s="82" t="str">
        <f t="shared" ref="K1811:K1816" si="551">"Credit Memo"</f>
        <v>Credit Memo</v>
      </c>
      <c r="L1811" s="83" t="str">
        <f>"SC_100785"</f>
        <v>SC_100785</v>
      </c>
      <c r="M1811" s="84">
        <v>42751</v>
      </c>
      <c r="N1811" s="85">
        <f t="shared" si="544"/>
        <v>1061</v>
      </c>
      <c r="O1811" s="86">
        <f t="shared" si="545"/>
        <v>-136.15</v>
      </c>
      <c r="P1811" s="86">
        <f t="shared" si="546"/>
        <v>0</v>
      </c>
      <c r="Q1811" s="86">
        <f t="shared" si="547"/>
        <v>0</v>
      </c>
      <c r="R1811" s="86">
        <f t="shared" si="548"/>
        <v>0</v>
      </c>
      <c r="S1811" s="86">
        <f t="shared" si="549"/>
        <v>0</v>
      </c>
      <c r="T1811" s="86">
        <f t="shared" si="550"/>
        <v>-136.15</v>
      </c>
      <c r="U1811" s="87">
        <v>-136.15</v>
      </c>
    </row>
    <row r="1812" spans="1:22" s="30" customFormat="1" ht="24.6" hidden="1" outlineLevel="1" x14ac:dyDescent="0.55000000000000004">
      <c r="A1812" s="27" t="s">
        <v>327</v>
      </c>
      <c r="B1812" s="28"/>
      <c r="C1812" s="27"/>
      <c r="D1812" s="27" t="str">
        <f>"""NAV Direct"",""CRONUS JetCorp USA"",""21"",""1"",""438102"""</f>
        <v>"NAV Direct","CRONUS JetCorp USA","21","1","438102"</v>
      </c>
      <c r="E1812" s="31" t="str">
        <f t="shared" si="542"/>
        <v>C100063</v>
      </c>
      <c r="F1812" s="31"/>
      <c r="G1812" s="31"/>
      <c r="H1812" s="31"/>
      <c r="I1812" s="56"/>
      <c r="J1812" s="56"/>
      <c r="K1812" s="82" t="str">
        <f t="shared" si="551"/>
        <v>Credit Memo</v>
      </c>
      <c r="L1812" s="83" t="str">
        <f>"SC_100792"</f>
        <v>SC_100792</v>
      </c>
      <c r="M1812" s="84">
        <v>43210</v>
      </c>
      <c r="N1812" s="85">
        <f t="shared" si="544"/>
        <v>602</v>
      </c>
      <c r="O1812" s="86">
        <f t="shared" si="545"/>
        <v>-141.83000000000001</v>
      </c>
      <c r="P1812" s="86">
        <f t="shared" si="546"/>
        <v>0</v>
      </c>
      <c r="Q1812" s="86">
        <f t="shared" si="547"/>
        <v>0</v>
      </c>
      <c r="R1812" s="86">
        <f t="shared" si="548"/>
        <v>0</v>
      </c>
      <c r="S1812" s="86">
        <f t="shared" si="549"/>
        <v>0</v>
      </c>
      <c r="T1812" s="86">
        <f t="shared" si="550"/>
        <v>-141.83000000000001</v>
      </c>
      <c r="U1812" s="87">
        <v>-141.83000000000001</v>
      </c>
    </row>
    <row r="1813" spans="1:22" s="30" customFormat="1" ht="24.6" hidden="1" outlineLevel="1" x14ac:dyDescent="0.55000000000000004">
      <c r="A1813" s="27" t="s">
        <v>327</v>
      </c>
      <c r="B1813" s="28"/>
      <c r="C1813" s="27"/>
      <c r="D1813" s="27" t="str">
        <f>"""NAV Direct"",""CRONUS JetCorp USA"",""21"",""1"",""438179"""</f>
        <v>"NAV Direct","CRONUS JetCorp USA","21","1","438179"</v>
      </c>
      <c r="E1813" s="31">
        <f t="shared" si="542"/>
        <v>0</v>
      </c>
      <c r="F1813" s="31"/>
      <c r="G1813" s="31"/>
      <c r="H1813" s="31"/>
      <c r="I1813" s="56"/>
      <c r="J1813" s="56"/>
      <c r="K1813" s="82" t="str">
        <f t="shared" si="551"/>
        <v>Credit Memo</v>
      </c>
      <c r="L1813" s="83" t="str">
        <f>"SC_100797"</f>
        <v>SC_100797</v>
      </c>
      <c r="M1813" s="84">
        <v>43641</v>
      </c>
      <c r="N1813" s="85">
        <f t="shared" si="544"/>
        <v>171</v>
      </c>
      <c r="O1813" s="86">
        <f t="shared" si="545"/>
        <v>-297.52000000000004</v>
      </c>
      <c r="P1813" s="86">
        <f t="shared" si="546"/>
        <v>0</v>
      </c>
      <c r="Q1813" s="86">
        <f t="shared" si="547"/>
        <v>0</v>
      </c>
      <c r="R1813" s="86">
        <f t="shared" si="548"/>
        <v>0</v>
      </c>
      <c r="S1813" s="86">
        <f t="shared" si="549"/>
        <v>0</v>
      </c>
      <c r="T1813" s="86">
        <f t="shared" si="550"/>
        <v>-297.52000000000004</v>
      </c>
      <c r="U1813" s="87">
        <v>-297.52000000000004</v>
      </c>
    </row>
    <row r="1814" spans="1:22" s="30" customFormat="1" ht="24.6" hidden="1" outlineLevel="1" x14ac:dyDescent="0.55000000000000004">
      <c r="A1814" s="27" t="s">
        <v>327</v>
      </c>
      <c r="B1814" s="28"/>
      <c r="C1814" s="27"/>
      <c r="D1814" s="27" t="str">
        <f>"""NAV Direct"",""CRONUS JetCorp USA"",""21"",""1"",""438196"""</f>
        <v>"NAV Direct","CRONUS JetCorp USA","21","1","438196"</v>
      </c>
      <c r="E1814" s="31" t="str">
        <f t="shared" si="542"/>
        <v>C100063</v>
      </c>
      <c r="F1814" s="31"/>
      <c r="G1814" s="31"/>
      <c r="H1814" s="31"/>
      <c r="I1814" s="56"/>
      <c r="J1814" s="56"/>
      <c r="K1814" s="82" t="str">
        <f t="shared" si="551"/>
        <v>Credit Memo</v>
      </c>
      <c r="L1814" s="83" t="str">
        <f>"SC_100798"</f>
        <v>SC_100798</v>
      </c>
      <c r="M1814" s="84">
        <v>43817</v>
      </c>
      <c r="N1814" s="85">
        <f t="shared" si="544"/>
        <v>-5</v>
      </c>
      <c r="O1814" s="86">
        <f t="shared" si="545"/>
        <v>-236.5</v>
      </c>
      <c r="P1814" s="86">
        <f t="shared" si="546"/>
        <v>-236.5</v>
      </c>
      <c r="Q1814" s="86">
        <f t="shared" si="547"/>
        <v>0</v>
      </c>
      <c r="R1814" s="86">
        <f t="shared" si="548"/>
        <v>0</v>
      </c>
      <c r="S1814" s="86">
        <f t="shared" si="549"/>
        <v>0</v>
      </c>
      <c r="T1814" s="86">
        <f t="shared" si="550"/>
        <v>0</v>
      </c>
      <c r="U1814" s="87">
        <v>-236.5</v>
      </c>
    </row>
    <row r="1815" spans="1:22" s="30" customFormat="1" ht="24.6" hidden="1" outlineLevel="1" x14ac:dyDescent="0.55000000000000004">
      <c r="A1815" s="27" t="s">
        <v>327</v>
      </c>
      <c r="B1815" s="28"/>
      <c r="C1815" s="27"/>
      <c r="D1815" s="27" t="str">
        <f>"""NAV Direct"",""CRONUS JetCorp USA"",""21"",""1"",""438226"""</f>
        <v>"NAV Direct","CRONUS JetCorp USA","21","1","438226"</v>
      </c>
      <c r="E1815" s="31">
        <f t="shared" si="542"/>
        <v>0</v>
      </c>
      <c r="F1815" s="31"/>
      <c r="G1815" s="31"/>
      <c r="H1815" s="31"/>
      <c r="I1815" s="56"/>
      <c r="J1815" s="56"/>
      <c r="K1815" s="82" t="str">
        <f t="shared" si="551"/>
        <v>Credit Memo</v>
      </c>
      <c r="L1815" s="83" t="str">
        <f>"SC_100800"</f>
        <v>SC_100800</v>
      </c>
      <c r="M1815" s="84">
        <v>42231</v>
      </c>
      <c r="N1815" s="85">
        <f t="shared" si="544"/>
        <v>1581</v>
      </c>
      <c r="O1815" s="86">
        <f t="shared" si="545"/>
        <v>-151.22</v>
      </c>
      <c r="P1815" s="86">
        <f t="shared" si="546"/>
        <v>0</v>
      </c>
      <c r="Q1815" s="86">
        <f t="shared" si="547"/>
        <v>0</v>
      </c>
      <c r="R1815" s="86">
        <f t="shared" si="548"/>
        <v>0</v>
      </c>
      <c r="S1815" s="86">
        <f t="shared" si="549"/>
        <v>0</v>
      </c>
      <c r="T1815" s="86">
        <f t="shared" si="550"/>
        <v>-151.22</v>
      </c>
      <c r="U1815" s="87">
        <v>-151.22</v>
      </c>
    </row>
    <row r="1816" spans="1:22" s="30" customFormat="1" ht="24.6" hidden="1" outlineLevel="1" x14ac:dyDescent="0.55000000000000004">
      <c r="A1816" s="27" t="s">
        <v>327</v>
      </c>
      <c r="B1816" s="28"/>
      <c r="C1816" s="27"/>
      <c r="D1816" s="27" t="str">
        <f>"""NAV Direct"",""CRONUS JetCorp USA"",""21"",""1"",""438239"""</f>
        <v>"NAV Direct","CRONUS JetCorp USA","21","1","438239"</v>
      </c>
      <c r="E1816" s="31" t="str">
        <f t="shared" si="542"/>
        <v>C100063</v>
      </c>
      <c r="F1816" s="31"/>
      <c r="G1816" s="31"/>
      <c r="H1816" s="31"/>
      <c r="I1816" s="56"/>
      <c r="J1816" s="56"/>
      <c r="K1816" s="82" t="str">
        <f t="shared" si="551"/>
        <v>Credit Memo</v>
      </c>
      <c r="L1816" s="83" t="str">
        <f>"SC_100801"</f>
        <v>SC_100801</v>
      </c>
      <c r="M1816" s="84">
        <v>42323</v>
      </c>
      <c r="N1816" s="85">
        <f t="shared" si="544"/>
        <v>1489</v>
      </c>
      <c r="O1816" s="86">
        <f t="shared" si="545"/>
        <v>-220.39000000000001</v>
      </c>
      <c r="P1816" s="86">
        <f t="shared" si="546"/>
        <v>0</v>
      </c>
      <c r="Q1816" s="86">
        <f t="shared" si="547"/>
        <v>0</v>
      </c>
      <c r="R1816" s="86">
        <f t="shared" si="548"/>
        <v>0</v>
      </c>
      <c r="S1816" s="86">
        <f t="shared" si="549"/>
        <v>0</v>
      </c>
      <c r="T1816" s="86">
        <f t="shared" si="550"/>
        <v>-220.39000000000001</v>
      </c>
      <c r="U1816" s="87">
        <v>-220.39000000000001</v>
      </c>
    </row>
    <row r="1817" spans="1:22" s="22" customFormat="1" ht="20.399999999999999" collapsed="1" x14ac:dyDescent="0.45">
      <c r="A1817" s="12" t="s">
        <v>327</v>
      </c>
      <c r="B1817" s="19"/>
      <c r="C1817" s="12"/>
      <c r="D1817" s="12"/>
      <c r="E1817" s="23"/>
      <c r="F1817" s="23"/>
      <c r="G1817" s="23"/>
      <c r="H1817" s="23"/>
      <c r="I1817" s="49"/>
      <c r="J1817" s="88"/>
      <c r="K1817" s="88"/>
      <c r="L1817" s="89"/>
      <c r="M1817" s="89"/>
      <c r="N1817" s="89"/>
      <c r="O1817" s="89"/>
      <c r="P1817" s="89"/>
      <c r="Q1817" s="90"/>
      <c r="R1817" s="90"/>
      <c r="S1817" s="91"/>
      <c r="T1817" s="92"/>
      <c r="U1817" s="92"/>
    </row>
    <row r="1818" spans="1:22" s="22" customFormat="1" ht="20.399999999999999" x14ac:dyDescent="0.45">
      <c r="A1818" s="12" t="s">
        <v>327</v>
      </c>
      <c r="B1818" s="19"/>
      <c r="C1818" s="12"/>
      <c r="D1818" s="12"/>
      <c r="E1818" s="23"/>
      <c r="F1818" s="23"/>
      <c r="G1818" s="23"/>
      <c r="H1818" s="23"/>
      <c r="I1818" s="49"/>
      <c r="J1818" s="88"/>
      <c r="K1818" s="88"/>
      <c r="L1818" s="89"/>
      <c r="M1818" s="89"/>
      <c r="N1818" s="89"/>
      <c r="O1818" s="89"/>
      <c r="P1818" s="89"/>
      <c r="Q1818" s="90"/>
      <c r="R1818" s="90"/>
      <c r="S1818" s="91"/>
      <c r="T1818" s="92"/>
      <c r="U1818" s="92"/>
    </row>
    <row r="1819" spans="1:22" s="26" customFormat="1" ht="24.6" x14ac:dyDescent="0.55000000000000004">
      <c r="A1819" s="27" t="s">
        <v>327</v>
      </c>
      <c r="B1819" s="28"/>
      <c r="C1819" s="27" t="str">
        <f>"""NAV Direct"",""CRONUS JetCorp USA"",""18"",""1"",""C100064"""</f>
        <v>"NAV Direct","CRONUS JetCorp USA","18","1","C100064"</v>
      </c>
      <c r="D1819" s="27"/>
      <c r="E1819" s="28" t="str">
        <f>H1819</f>
        <v>C100064</v>
      </c>
      <c r="F1819" s="28"/>
      <c r="G1819" s="28"/>
      <c r="H1819" s="28" t="str">
        <f>"C100064"</f>
        <v>C100064</v>
      </c>
      <c r="I1819" s="116" t="str">
        <f>"C100064  -  Möbel Siegfried"</f>
        <v>C100064  -  Möbel Siegfried</v>
      </c>
      <c r="J1819" s="117" t="str">
        <f>""</f>
        <v/>
      </c>
      <c r="K1819" s="118"/>
      <c r="L1819" s="119">
        <f>SUBTOTAL(3,L1820:L1896)</f>
        <v>73</v>
      </c>
      <c r="M1819" s="118"/>
      <c r="N1819" s="118"/>
      <c r="O1819" s="120">
        <f t="shared" ref="O1819:T1819" si="552">SUBTOTAL(9,O1820:O1896)</f>
        <v>965527.05000000028</v>
      </c>
      <c r="P1819" s="120">
        <f t="shared" si="552"/>
        <v>17962.89</v>
      </c>
      <c r="Q1819" s="120">
        <f t="shared" si="552"/>
        <v>17111.63</v>
      </c>
      <c r="R1819" s="120">
        <f t="shared" si="552"/>
        <v>17288.16</v>
      </c>
      <c r="S1819" s="120">
        <f t="shared" si="552"/>
        <v>33054.78</v>
      </c>
      <c r="T1819" s="120">
        <f t="shared" si="552"/>
        <v>880109.59000000032</v>
      </c>
      <c r="U1819" s="81"/>
    </row>
    <row r="1820" spans="1:22" s="26" customFormat="1" ht="24.6" x14ac:dyDescent="0.55000000000000004">
      <c r="A1820" s="27" t="s">
        <v>327</v>
      </c>
      <c r="B1820" s="28"/>
      <c r="C1820" s="27" t="str">
        <f>C1819</f>
        <v>"NAV Direct","CRONUS JetCorp USA","18","1","C100064"</v>
      </c>
      <c r="D1820" s="27"/>
      <c r="E1820" s="28" t="str">
        <f>E1819</f>
        <v>C100064</v>
      </c>
      <c r="F1820" s="28"/>
      <c r="G1820" s="28"/>
      <c r="H1820" s="28"/>
      <c r="I1820" s="121" t="str">
        <f>"Contact: Hr. Dr. Daniel Weisman"</f>
        <v>Contact: Hr. Dr. Daniel Weisman</v>
      </c>
      <c r="J1820" s="121"/>
      <c r="K1820" s="122"/>
      <c r="L1820" s="123"/>
      <c r="M1820" s="123"/>
      <c r="N1820" s="124"/>
      <c r="O1820" s="124"/>
      <c r="P1820" s="123"/>
      <c r="Q1820" s="125"/>
      <c r="R1820" s="126"/>
      <c r="S1820" s="126"/>
      <c r="T1820" s="125"/>
      <c r="U1820" s="81"/>
    </row>
    <row r="1821" spans="1:22" s="26" customFormat="1" ht="24.6" x14ac:dyDescent="0.55000000000000004">
      <c r="A1821" s="27" t="s">
        <v>327</v>
      </c>
      <c r="B1821" s="28"/>
      <c r="C1821" s="27" t="str">
        <f>C1820</f>
        <v>"NAV Direct","CRONUS JetCorp USA","18","1","C100064"</v>
      </c>
      <c r="D1821" s="27"/>
      <c r="E1821" s="28" t="str">
        <f>E1820</f>
        <v>C100064</v>
      </c>
      <c r="F1821" s="28"/>
      <c r="G1821" s="28"/>
      <c r="H1821" s="28"/>
      <c r="I1821" s="121" t="str">
        <f>"mobel.siegfried@cronuscorp.net"</f>
        <v>mobel.siegfried@cronuscorp.net</v>
      </c>
      <c r="J1821" s="121"/>
      <c r="K1821" s="122"/>
      <c r="L1821" s="124"/>
      <c r="M1821" s="124"/>
      <c r="N1821" s="124"/>
      <c r="O1821" s="124"/>
      <c r="P1821" s="123"/>
      <c r="Q1821" s="125"/>
      <c r="R1821" s="126"/>
      <c r="S1821" s="126"/>
      <c r="T1821" s="125"/>
      <c r="U1821" s="81"/>
    </row>
    <row r="1822" spans="1:22" ht="12.75" hidden="1" customHeight="1" outlineLevel="1" x14ac:dyDescent="0.45">
      <c r="A1822" s="12" t="s">
        <v>328</v>
      </c>
      <c r="B1822" s="19"/>
      <c r="E1822" s="19"/>
      <c r="F1822" s="19"/>
      <c r="G1822" s="19"/>
      <c r="H1822" s="19"/>
      <c r="I1822" s="61"/>
      <c r="J1822" s="61"/>
      <c r="K1822" s="61"/>
      <c r="L1822" s="61"/>
      <c r="M1822" s="61"/>
      <c r="N1822" s="61"/>
      <c r="O1822" s="61"/>
      <c r="P1822" s="61"/>
      <c r="Q1822" s="61"/>
      <c r="R1822" s="61"/>
      <c r="S1822" s="61"/>
      <c r="T1822" s="61"/>
      <c r="U1822" s="61"/>
      <c r="V1822" s="21"/>
    </row>
    <row r="1823" spans="1:22" s="30" customFormat="1" ht="24.6" hidden="1" outlineLevel="1" x14ac:dyDescent="0.55000000000000004">
      <c r="A1823" s="27" t="s">
        <v>327</v>
      </c>
      <c r="B1823" s="28"/>
      <c r="C1823" s="27"/>
      <c r="D1823" s="27" t="str">
        <f>"""NAV Direct"",""CRONUS JetCorp USA"",""21"",""1"",""35518"""</f>
        <v>"NAV Direct","CRONUS JetCorp USA","21","1","35518"</v>
      </c>
      <c r="E1823" s="31" t="str">
        <f t="shared" ref="E1823:E1854" si="553">E1821</f>
        <v>C100064</v>
      </c>
      <c r="F1823" s="31"/>
      <c r="G1823" s="31"/>
      <c r="H1823" s="31"/>
      <c r="I1823" s="56"/>
      <c r="J1823" s="56"/>
      <c r="K1823" s="82" t="str">
        <f t="shared" ref="K1823:K1854" si="554">"Invoice"</f>
        <v>Invoice</v>
      </c>
      <c r="L1823" s="83" t="str">
        <f>"SI_104670"</f>
        <v>SI_104670</v>
      </c>
      <c r="M1823" s="84">
        <v>42308</v>
      </c>
      <c r="N1823" s="85">
        <f t="shared" ref="N1823:N1854" si="555">StartDate-$M1823+1</f>
        <v>1504</v>
      </c>
      <c r="O1823" s="86">
        <f t="shared" ref="O1823:O1854" si="556">SUM(P1823:T1823)</f>
        <v>18868.370000000003</v>
      </c>
      <c r="P1823" s="86">
        <f t="shared" ref="P1823:P1854" si="557">IF($M1823&gt;=$P$18,U1823,0)</f>
        <v>0</v>
      </c>
      <c r="Q1823" s="86">
        <f t="shared" ref="Q1823:Q1854" si="558">IF(AND($M1823&gt;=$Q$16,$M1823&lt;=$Q$18),U1823,0)</f>
        <v>0</v>
      </c>
      <c r="R1823" s="86">
        <f t="shared" ref="R1823:R1854" si="559">IF(AND($M1823&gt;=$R$16,$M1823&lt;=$R$18),U1823,0)</f>
        <v>0</v>
      </c>
      <c r="S1823" s="86">
        <f t="shared" ref="S1823:S1854" si="560">IF(AND($M1823&gt;=$S$16,$M1823&lt;=$S$18),U1823,0)</f>
        <v>0</v>
      </c>
      <c r="T1823" s="86">
        <f t="shared" ref="T1823:T1854" si="561">IF($M1823&lt;=$T$18,U1823,0)</f>
        <v>18868.370000000003</v>
      </c>
      <c r="U1823" s="87">
        <v>18868.370000000003</v>
      </c>
    </row>
    <row r="1824" spans="1:22" s="30" customFormat="1" ht="24.6" hidden="1" outlineLevel="1" x14ac:dyDescent="0.55000000000000004">
      <c r="A1824" s="27" t="s">
        <v>327</v>
      </c>
      <c r="B1824" s="28"/>
      <c r="C1824" s="27"/>
      <c r="D1824" s="27" t="str">
        <f>"""NAV Direct"",""CRONUS JetCorp USA"",""21"",""1"",""35570"""</f>
        <v>"NAV Direct","CRONUS JetCorp USA","21","1","35570"</v>
      </c>
      <c r="E1824" s="31">
        <f t="shared" si="553"/>
        <v>0</v>
      </c>
      <c r="F1824" s="31"/>
      <c r="G1824" s="31"/>
      <c r="H1824" s="31"/>
      <c r="I1824" s="56"/>
      <c r="J1824" s="56"/>
      <c r="K1824" s="82" t="str">
        <f t="shared" si="554"/>
        <v>Invoice</v>
      </c>
      <c r="L1824" s="83" t="str">
        <f>"SI_104672"</f>
        <v>SI_104672</v>
      </c>
      <c r="M1824" s="84">
        <v>42338</v>
      </c>
      <c r="N1824" s="85">
        <f t="shared" si="555"/>
        <v>1474</v>
      </c>
      <c r="O1824" s="86">
        <f t="shared" si="556"/>
        <v>19605.059999999998</v>
      </c>
      <c r="P1824" s="86">
        <f t="shared" si="557"/>
        <v>0</v>
      </c>
      <c r="Q1824" s="86">
        <f t="shared" si="558"/>
        <v>0</v>
      </c>
      <c r="R1824" s="86">
        <f t="shared" si="559"/>
        <v>0</v>
      </c>
      <c r="S1824" s="86">
        <f t="shared" si="560"/>
        <v>0</v>
      </c>
      <c r="T1824" s="86">
        <f t="shared" si="561"/>
        <v>19605.059999999998</v>
      </c>
      <c r="U1824" s="87">
        <v>19605.059999999998</v>
      </c>
    </row>
    <row r="1825" spans="1:21" s="30" customFormat="1" ht="24.6" hidden="1" outlineLevel="1" x14ac:dyDescent="0.55000000000000004">
      <c r="A1825" s="27" t="s">
        <v>327</v>
      </c>
      <c r="B1825" s="28"/>
      <c r="C1825" s="27"/>
      <c r="D1825" s="27" t="str">
        <f>"""NAV Direct"",""CRONUS JetCorp USA"",""21"",""1"",""35593"""</f>
        <v>"NAV Direct","CRONUS JetCorp USA","21","1","35593"</v>
      </c>
      <c r="E1825" s="31" t="str">
        <f t="shared" si="553"/>
        <v>C100064</v>
      </c>
      <c r="F1825" s="31"/>
      <c r="G1825" s="31"/>
      <c r="H1825" s="31"/>
      <c r="I1825" s="56"/>
      <c r="J1825" s="56"/>
      <c r="K1825" s="82" t="str">
        <f t="shared" si="554"/>
        <v>Invoice</v>
      </c>
      <c r="L1825" s="83" t="str">
        <f>"SI_104673"</f>
        <v>SI_104673</v>
      </c>
      <c r="M1825" s="84">
        <v>42338</v>
      </c>
      <c r="N1825" s="85">
        <f t="shared" si="555"/>
        <v>1474</v>
      </c>
      <c r="O1825" s="86">
        <f t="shared" si="556"/>
        <v>19404.809999999998</v>
      </c>
      <c r="P1825" s="86">
        <f t="shared" si="557"/>
        <v>0</v>
      </c>
      <c r="Q1825" s="86">
        <f t="shared" si="558"/>
        <v>0</v>
      </c>
      <c r="R1825" s="86">
        <f t="shared" si="559"/>
        <v>0</v>
      </c>
      <c r="S1825" s="86">
        <f t="shared" si="560"/>
        <v>0</v>
      </c>
      <c r="T1825" s="86">
        <f t="shared" si="561"/>
        <v>19404.809999999998</v>
      </c>
      <c r="U1825" s="87">
        <v>19404.809999999998</v>
      </c>
    </row>
    <row r="1826" spans="1:21" s="30" customFormat="1" ht="24.6" hidden="1" outlineLevel="1" x14ac:dyDescent="0.55000000000000004">
      <c r="A1826" s="27" t="s">
        <v>327</v>
      </c>
      <c r="B1826" s="28"/>
      <c r="C1826" s="27"/>
      <c r="D1826" s="27" t="str">
        <f>"""NAV Direct"",""CRONUS JetCorp USA"",""21"",""1"",""35616"""</f>
        <v>"NAV Direct","CRONUS JetCorp USA","21","1","35616"</v>
      </c>
      <c r="E1826" s="31">
        <f t="shared" si="553"/>
        <v>0</v>
      </c>
      <c r="F1826" s="31"/>
      <c r="G1826" s="31"/>
      <c r="H1826" s="31"/>
      <c r="I1826" s="56"/>
      <c r="J1826" s="56"/>
      <c r="K1826" s="82" t="str">
        <f t="shared" si="554"/>
        <v>Invoice</v>
      </c>
      <c r="L1826" s="83" t="str">
        <f>"SI_104674"</f>
        <v>SI_104674</v>
      </c>
      <c r="M1826" s="84">
        <v>42338</v>
      </c>
      <c r="N1826" s="85">
        <f t="shared" si="555"/>
        <v>1474</v>
      </c>
      <c r="O1826" s="86">
        <f t="shared" si="556"/>
        <v>19605.18</v>
      </c>
      <c r="P1826" s="86">
        <f t="shared" si="557"/>
        <v>0</v>
      </c>
      <c r="Q1826" s="86">
        <f t="shared" si="558"/>
        <v>0</v>
      </c>
      <c r="R1826" s="86">
        <f t="shared" si="559"/>
        <v>0</v>
      </c>
      <c r="S1826" s="86">
        <f t="shared" si="560"/>
        <v>0</v>
      </c>
      <c r="T1826" s="86">
        <f t="shared" si="561"/>
        <v>19605.18</v>
      </c>
      <c r="U1826" s="87">
        <v>19605.18</v>
      </c>
    </row>
    <row r="1827" spans="1:21" s="30" customFormat="1" ht="24.6" hidden="1" outlineLevel="1" x14ac:dyDescent="0.55000000000000004">
      <c r="A1827" s="27" t="s">
        <v>327</v>
      </c>
      <c r="B1827" s="28"/>
      <c r="C1827" s="27"/>
      <c r="D1827" s="27" t="str">
        <f>"""NAV Direct"",""CRONUS JetCorp USA"",""21"",""1"",""35674"""</f>
        <v>"NAV Direct","CRONUS JetCorp USA","21","1","35674"</v>
      </c>
      <c r="E1827" s="31" t="str">
        <f t="shared" si="553"/>
        <v>C100064</v>
      </c>
      <c r="F1827" s="31"/>
      <c r="G1827" s="31"/>
      <c r="H1827" s="31"/>
      <c r="I1827" s="56"/>
      <c r="J1827" s="56"/>
      <c r="K1827" s="82" t="str">
        <f t="shared" si="554"/>
        <v>Invoice</v>
      </c>
      <c r="L1827" s="83" t="str">
        <f>"SI_104676"</f>
        <v>SI_104676</v>
      </c>
      <c r="M1827" s="84">
        <v>42369</v>
      </c>
      <c r="N1827" s="85">
        <f t="shared" si="555"/>
        <v>1443</v>
      </c>
      <c r="O1827" s="86">
        <f t="shared" si="556"/>
        <v>19532.009999999998</v>
      </c>
      <c r="P1827" s="86">
        <f t="shared" si="557"/>
        <v>0</v>
      </c>
      <c r="Q1827" s="86">
        <f t="shared" si="558"/>
        <v>0</v>
      </c>
      <c r="R1827" s="86">
        <f t="shared" si="559"/>
        <v>0</v>
      </c>
      <c r="S1827" s="86">
        <f t="shared" si="560"/>
        <v>0</v>
      </c>
      <c r="T1827" s="86">
        <f t="shared" si="561"/>
        <v>19532.009999999998</v>
      </c>
      <c r="U1827" s="87">
        <v>19532.009999999998</v>
      </c>
    </row>
    <row r="1828" spans="1:21" s="30" customFormat="1" ht="24.6" hidden="1" outlineLevel="1" x14ac:dyDescent="0.55000000000000004">
      <c r="A1828" s="27" t="s">
        <v>327</v>
      </c>
      <c r="B1828" s="28"/>
      <c r="C1828" s="27"/>
      <c r="D1828" s="27" t="str">
        <f>"""NAV Direct"",""CRONUS JetCorp USA"",""21"",""1"",""325535"""</f>
        <v>"NAV Direct","CRONUS JetCorp USA","21","1","325535"</v>
      </c>
      <c r="E1828" s="31">
        <f t="shared" si="553"/>
        <v>0</v>
      </c>
      <c r="F1828" s="31"/>
      <c r="G1828" s="31"/>
      <c r="H1828" s="31"/>
      <c r="I1828" s="56"/>
      <c r="J1828" s="56"/>
      <c r="K1828" s="82" t="str">
        <f t="shared" si="554"/>
        <v>Invoice</v>
      </c>
      <c r="L1828" s="83" t="str">
        <f>"SI_110213"</f>
        <v>SI_110213</v>
      </c>
      <c r="M1828" s="84">
        <v>42400</v>
      </c>
      <c r="N1828" s="85">
        <f t="shared" si="555"/>
        <v>1412</v>
      </c>
      <c r="O1828" s="86">
        <f t="shared" si="556"/>
        <v>16659.75</v>
      </c>
      <c r="P1828" s="86">
        <f t="shared" si="557"/>
        <v>0</v>
      </c>
      <c r="Q1828" s="86">
        <f t="shared" si="558"/>
        <v>0</v>
      </c>
      <c r="R1828" s="86">
        <f t="shared" si="559"/>
        <v>0</v>
      </c>
      <c r="S1828" s="86">
        <f t="shared" si="560"/>
        <v>0</v>
      </c>
      <c r="T1828" s="86">
        <f t="shared" si="561"/>
        <v>16659.75</v>
      </c>
      <c r="U1828" s="87">
        <v>16659.75</v>
      </c>
    </row>
    <row r="1829" spans="1:21" s="30" customFormat="1" ht="24.6" hidden="1" outlineLevel="1" x14ac:dyDescent="0.55000000000000004">
      <c r="A1829" s="27" t="s">
        <v>327</v>
      </c>
      <c r="B1829" s="28"/>
      <c r="C1829" s="27"/>
      <c r="D1829" s="27" t="str">
        <f>"""NAV Direct"",""CRONUS JetCorp USA"",""21"",""1"",""325558"""</f>
        <v>"NAV Direct","CRONUS JetCorp USA","21","1","325558"</v>
      </c>
      <c r="E1829" s="31" t="str">
        <f t="shared" si="553"/>
        <v>C100064</v>
      </c>
      <c r="F1829" s="31"/>
      <c r="G1829" s="31"/>
      <c r="H1829" s="31"/>
      <c r="I1829" s="56"/>
      <c r="J1829" s="56"/>
      <c r="K1829" s="82" t="str">
        <f t="shared" si="554"/>
        <v>Invoice</v>
      </c>
      <c r="L1829" s="83" t="str">
        <f>"SI_110214"</f>
        <v>SI_110214</v>
      </c>
      <c r="M1829" s="84">
        <v>42400</v>
      </c>
      <c r="N1829" s="85">
        <f t="shared" si="555"/>
        <v>1412</v>
      </c>
      <c r="O1829" s="86">
        <f t="shared" si="556"/>
        <v>16148.769999999999</v>
      </c>
      <c r="P1829" s="86">
        <f t="shared" si="557"/>
        <v>0</v>
      </c>
      <c r="Q1829" s="86">
        <f t="shared" si="558"/>
        <v>0</v>
      </c>
      <c r="R1829" s="86">
        <f t="shared" si="559"/>
        <v>0</v>
      </c>
      <c r="S1829" s="86">
        <f t="shared" si="560"/>
        <v>0</v>
      </c>
      <c r="T1829" s="86">
        <f t="shared" si="561"/>
        <v>16148.769999999999</v>
      </c>
      <c r="U1829" s="87">
        <v>16148.769999999999</v>
      </c>
    </row>
    <row r="1830" spans="1:21" s="30" customFormat="1" ht="24.6" hidden="1" outlineLevel="1" x14ac:dyDescent="0.55000000000000004">
      <c r="A1830" s="27" t="s">
        <v>327</v>
      </c>
      <c r="B1830" s="28"/>
      <c r="C1830" s="27"/>
      <c r="D1830" s="27" t="str">
        <f>"""NAV Direct"",""CRONUS JetCorp USA"",""21"",""1"",""325811"""</f>
        <v>"NAV Direct","CRONUS JetCorp USA","21","1","325811"</v>
      </c>
      <c r="E1830" s="31">
        <f t="shared" si="553"/>
        <v>0</v>
      </c>
      <c r="F1830" s="31"/>
      <c r="G1830" s="31"/>
      <c r="H1830" s="31"/>
      <c r="I1830" s="56"/>
      <c r="J1830" s="56"/>
      <c r="K1830" s="82" t="str">
        <f t="shared" si="554"/>
        <v>Invoice</v>
      </c>
      <c r="L1830" s="83" t="str">
        <f>"SI_110223"</f>
        <v>SI_110223</v>
      </c>
      <c r="M1830" s="84">
        <v>42551</v>
      </c>
      <c r="N1830" s="85">
        <f t="shared" si="555"/>
        <v>1261</v>
      </c>
      <c r="O1830" s="86">
        <f t="shared" si="556"/>
        <v>18037.66</v>
      </c>
      <c r="P1830" s="86">
        <f t="shared" si="557"/>
        <v>0</v>
      </c>
      <c r="Q1830" s="86">
        <f t="shared" si="558"/>
        <v>0</v>
      </c>
      <c r="R1830" s="86">
        <f t="shared" si="559"/>
        <v>0</v>
      </c>
      <c r="S1830" s="86">
        <f t="shared" si="560"/>
        <v>0</v>
      </c>
      <c r="T1830" s="86">
        <f t="shared" si="561"/>
        <v>18037.66</v>
      </c>
      <c r="U1830" s="87">
        <v>18037.66</v>
      </c>
    </row>
    <row r="1831" spans="1:21" s="30" customFormat="1" ht="24.6" hidden="1" outlineLevel="1" x14ac:dyDescent="0.55000000000000004">
      <c r="A1831" s="27" t="s">
        <v>327</v>
      </c>
      <c r="B1831" s="28"/>
      <c r="C1831" s="27"/>
      <c r="D1831" s="27" t="str">
        <f>"""NAV Direct"",""CRONUS JetCorp USA"",""21"",""1"",""325884"""</f>
        <v>"NAV Direct","CRONUS JetCorp USA","21","1","325884"</v>
      </c>
      <c r="E1831" s="31" t="str">
        <f t="shared" si="553"/>
        <v>C100064</v>
      </c>
      <c r="F1831" s="31"/>
      <c r="G1831" s="31"/>
      <c r="H1831" s="31"/>
      <c r="I1831" s="56"/>
      <c r="J1831" s="56"/>
      <c r="K1831" s="82" t="str">
        <f t="shared" si="554"/>
        <v>Invoice</v>
      </c>
      <c r="L1831" s="83" t="str">
        <f>"SI_110226"</f>
        <v>SI_110226</v>
      </c>
      <c r="M1831" s="84">
        <v>42582</v>
      </c>
      <c r="N1831" s="85">
        <f t="shared" si="555"/>
        <v>1230</v>
      </c>
      <c r="O1831" s="86">
        <f t="shared" si="556"/>
        <v>17853.21</v>
      </c>
      <c r="P1831" s="86">
        <f t="shared" si="557"/>
        <v>0</v>
      </c>
      <c r="Q1831" s="86">
        <f t="shared" si="558"/>
        <v>0</v>
      </c>
      <c r="R1831" s="86">
        <f t="shared" si="559"/>
        <v>0</v>
      </c>
      <c r="S1831" s="86">
        <f t="shared" si="560"/>
        <v>0</v>
      </c>
      <c r="T1831" s="86">
        <f t="shared" si="561"/>
        <v>17853.21</v>
      </c>
      <c r="U1831" s="87">
        <v>17853.21</v>
      </c>
    </row>
    <row r="1832" spans="1:21" s="30" customFormat="1" ht="24.6" hidden="1" outlineLevel="1" x14ac:dyDescent="0.55000000000000004">
      <c r="A1832" s="27" t="s">
        <v>327</v>
      </c>
      <c r="B1832" s="28"/>
      <c r="C1832" s="27"/>
      <c r="D1832" s="27" t="str">
        <f>"""NAV Direct"",""CRONUS JetCorp USA"",""21"",""1"",""325917"""</f>
        <v>"NAV Direct","CRONUS JetCorp USA","21","1","325917"</v>
      </c>
      <c r="E1832" s="31">
        <f t="shared" si="553"/>
        <v>0</v>
      </c>
      <c r="F1832" s="31"/>
      <c r="G1832" s="31"/>
      <c r="H1832" s="31"/>
      <c r="I1832" s="56"/>
      <c r="J1832" s="56"/>
      <c r="K1832" s="82" t="str">
        <f t="shared" si="554"/>
        <v>Invoice</v>
      </c>
      <c r="L1832" s="83" t="str">
        <f>"SI_110227"</f>
        <v>SI_110227</v>
      </c>
      <c r="M1832" s="84">
        <v>42582</v>
      </c>
      <c r="N1832" s="85">
        <f t="shared" si="555"/>
        <v>1230</v>
      </c>
      <c r="O1832" s="86">
        <f t="shared" si="556"/>
        <v>17107.96</v>
      </c>
      <c r="P1832" s="86">
        <f t="shared" si="557"/>
        <v>0</v>
      </c>
      <c r="Q1832" s="86">
        <f t="shared" si="558"/>
        <v>0</v>
      </c>
      <c r="R1832" s="86">
        <f t="shared" si="559"/>
        <v>0</v>
      </c>
      <c r="S1832" s="86">
        <f t="shared" si="560"/>
        <v>0</v>
      </c>
      <c r="T1832" s="86">
        <f t="shared" si="561"/>
        <v>17107.96</v>
      </c>
      <c r="U1832" s="87">
        <v>17107.96</v>
      </c>
    </row>
    <row r="1833" spans="1:21" s="30" customFormat="1" ht="24.6" hidden="1" outlineLevel="1" x14ac:dyDescent="0.55000000000000004">
      <c r="A1833" s="27" t="s">
        <v>327</v>
      </c>
      <c r="B1833" s="28"/>
      <c r="C1833" s="27"/>
      <c r="D1833" s="27" t="str">
        <f>"""NAV Direct"",""CRONUS JetCorp USA"",""21"",""1"",""325971"""</f>
        <v>"NAV Direct","CRONUS JetCorp USA","21","1","325971"</v>
      </c>
      <c r="E1833" s="31" t="str">
        <f t="shared" si="553"/>
        <v>C100064</v>
      </c>
      <c r="F1833" s="31"/>
      <c r="G1833" s="31"/>
      <c r="H1833" s="31"/>
      <c r="I1833" s="56"/>
      <c r="J1833" s="56"/>
      <c r="K1833" s="82" t="str">
        <f t="shared" si="554"/>
        <v>Invoice</v>
      </c>
      <c r="L1833" s="83" t="str">
        <f>"SI_110229"</f>
        <v>SI_110229</v>
      </c>
      <c r="M1833" s="84">
        <v>42613</v>
      </c>
      <c r="N1833" s="85">
        <f t="shared" si="555"/>
        <v>1199</v>
      </c>
      <c r="O1833" s="86">
        <f t="shared" si="556"/>
        <v>18552.329999999998</v>
      </c>
      <c r="P1833" s="86">
        <f t="shared" si="557"/>
        <v>0</v>
      </c>
      <c r="Q1833" s="86">
        <f t="shared" si="558"/>
        <v>0</v>
      </c>
      <c r="R1833" s="86">
        <f t="shared" si="559"/>
        <v>0</v>
      </c>
      <c r="S1833" s="86">
        <f t="shared" si="560"/>
        <v>0</v>
      </c>
      <c r="T1833" s="86">
        <f t="shared" si="561"/>
        <v>18552.329999999998</v>
      </c>
      <c r="U1833" s="87">
        <v>18552.329999999998</v>
      </c>
    </row>
    <row r="1834" spans="1:21" s="30" customFormat="1" ht="24.6" hidden="1" outlineLevel="1" x14ac:dyDescent="0.55000000000000004">
      <c r="A1834" s="27" t="s">
        <v>327</v>
      </c>
      <c r="B1834" s="28"/>
      <c r="C1834" s="27"/>
      <c r="D1834" s="27" t="str">
        <f>"""NAV Direct"",""CRONUS JetCorp USA"",""21"",""1"",""326143"""</f>
        <v>"NAV Direct","CRONUS JetCorp USA","21","1","326143"</v>
      </c>
      <c r="E1834" s="31">
        <f t="shared" si="553"/>
        <v>0</v>
      </c>
      <c r="F1834" s="31"/>
      <c r="G1834" s="31"/>
      <c r="H1834" s="31"/>
      <c r="I1834" s="56"/>
      <c r="J1834" s="56"/>
      <c r="K1834" s="82" t="str">
        <f t="shared" si="554"/>
        <v>Invoice</v>
      </c>
      <c r="L1834" s="83" t="str">
        <f>"SI_110235"</f>
        <v>SI_110235</v>
      </c>
      <c r="M1834" s="84">
        <v>42674</v>
      </c>
      <c r="N1834" s="85">
        <f t="shared" si="555"/>
        <v>1138</v>
      </c>
      <c r="O1834" s="86">
        <f t="shared" si="556"/>
        <v>19397.07</v>
      </c>
      <c r="P1834" s="86">
        <f t="shared" si="557"/>
        <v>0</v>
      </c>
      <c r="Q1834" s="86">
        <f t="shared" si="558"/>
        <v>0</v>
      </c>
      <c r="R1834" s="86">
        <f t="shared" si="559"/>
        <v>0</v>
      </c>
      <c r="S1834" s="86">
        <f t="shared" si="560"/>
        <v>0</v>
      </c>
      <c r="T1834" s="86">
        <f t="shared" si="561"/>
        <v>19397.07</v>
      </c>
      <c r="U1834" s="87">
        <v>19397.07</v>
      </c>
    </row>
    <row r="1835" spans="1:21" s="30" customFormat="1" ht="24.6" hidden="1" outlineLevel="1" x14ac:dyDescent="0.55000000000000004">
      <c r="A1835" s="27" t="s">
        <v>327</v>
      </c>
      <c r="B1835" s="28"/>
      <c r="C1835" s="27"/>
      <c r="D1835" s="27" t="str">
        <f>"""NAV Direct"",""CRONUS JetCorp USA"",""21"",""1"",""326180"""</f>
        <v>"NAV Direct","CRONUS JetCorp USA","21","1","326180"</v>
      </c>
      <c r="E1835" s="31" t="str">
        <f t="shared" si="553"/>
        <v>C100064</v>
      </c>
      <c r="F1835" s="31"/>
      <c r="G1835" s="31"/>
      <c r="H1835" s="31"/>
      <c r="I1835" s="56"/>
      <c r="J1835" s="56"/>
      <c r="K1835" s="82" t="str">
        <f t="shared" si="554"/>
        <v>Invoice</v>
      </c>
      <c r="L1835" s="83" t="str">
        <f>"SI_110236"</f>
        <v>SI_110236</v>
      </c>
      <c r="M1835" s="84">
        <v>42704</v>
      </c>
      <c r="N1835" s="85">
        <f t="shared" si="555"/>
        <v>1108</v>
      </c>
      <c r="O1835" s="86">
        <f t="shared" si="556"/>
        <v>19347.759999999998</v>
      </c>
      <c r="P1835" s="86">
        <f t="shared" si="557"/>
        <v>0</v>
      </c>
      <c r="Q1835" s="86">
        <f t="shared" si="558"/>
        <v>0</v>
      </c>
      <c r="R1835" s="86">
        <f t="shared" si="559"/>
        <v>0</v>
      </c>
      <c r="S1835" s="86">
        <f t="shared" si="560"/>
        <v>0</v>
      </c>
      <c r="T1835" s="86">
        <f t="shared" si="561"/>
        <v>19347.759999999998</v>
      </c>
      <c r="U1835" s="87">
        <v>19347.759999999998</v>
      </c>
    </row>
    <row r="1836" spans="1:21" s="30" customFormat="1" ht="24.6" hidden="1" outlineLevel="1" x14ac:dyDescent="0.55000000000000004">
      <c r="A1836" s="27" t="s">
        <v>327</v>
      </c>
      <c r="B1836" s="28"/>
      <c r="C1836" s="27"/>
      <c r="D1836" s="27" t="str">
        <f>"""NAV Direct"",""CRONUS JetCorp USA"",""21"",""1"",""326201"""</f>
        <v>"NAV Direct","CRONUS JetCorp USA","21","1","326201"</v>
      </c>
      <c r="E1836" s="31">
        <f t="shared" si="553"/>
        <v>0</v>
      </c>
      <c r="F1836" s="31"/>
      <c r="G1836" s="31"/>
      <c r="H1836" s="31"/>
      <c r="I1836" s="56"/>
      <c r="J1836" s="56"/>
      <c r="K1836" s="82" t="str">
        <f t="shared" si="554"/>
        <v>Invoice</v>
      </c>
      <c r="L1836" s="83" t="str">
        <f>"SI_110237"</f>
        <v>SI_110237</v>
      </c>
      <c r="M1836" s="84">
        <v>42704</v>
      </c>
      <c r="N1836" s="85">
        <f t="shared" si="555"/>
        <v>1108</v>
      </c>
      <c r="O1836" s="86">
        <f t="shared" si="556"/>
        <v>19347.150000000001</v>
      </c>
      <c r="P1836" s="86">
        <f t="shared" si="557"/>
        <v>0</v>
      </c>
      <c r="Q1836" s="86">
        <f t="shared" si="558"/>
        <v>0</v>
      </c>
      <c r="R1836" s="86">
        <f t="shared" si="559"/>
        <v>0</v>
      </c>
      <c r="S1836" s="86">
        <f t="shared" si="560"/>
        <v>0</v>
      </c>
      <c r="T1836" s="86">
        <f t="shared" si="561"/>
        <v>19347.150000000001</v>
      </c>
      <c r="U1836" s="87">
        <v>19347.150000000001</v>
      </c>
    </row>
    <row r="1837" spans="1:21" s="30" customFormat="1" ht="24.6" hidden="1" outlineLevel="1" x14ac:dyDescent="0.55000000000000004">
      <c r="A1837" s="27" t="s">
        <v>327</v>
      </c>
      <c r="B1837" s="28"/>
      <c r="C1837" s="27"/>
      <c r="D1837" s="27" t="str">
        <f>"""NAV Direct"",""CRONUS JetCorp USA"",""21"",""1"",""326398"""</f>
        <v>"NAV Direct","CRONUS JetCorp USA","21","1","326398"</v>
      </c>
      <c r="E1837" s="31" t="str">
        <f t="shared" si="553"/>
        <v>C100064</v>
      </c>
      <c r="F1837" s="31"/>
      <c r="G1837" s="31"/>
      <c r="H1837" s="31"/>
      <c r="I1837" s="56"/>
      <c r="J1837" s="56"/>
      <c r="K1837" s="82" t="str">
        <f t="shared" si="554"/>
        <v>Invoice</v>
      </c>
      <c r="L1837" s="83" t="str">
        <f>"SI_110244"</f>
        <v>SI_110244</v>
      </c>
      <c r="M1837" s="84">
        <v>42794</v>
      </c>
      <c r="N1837" s="85">
        <f t="shared" si="555"/>
        <v>1018</v>
      </c>
      <c r="O1837" s="86">
        <f t="shared" si="556"/>
        <v>20111.189999999999</v>
      </c>
      <c r="P1837" s="86">
        <f t="shared" si="557"/>
        <v>0</v>
      </c>
      <c r="Q1837" s="86">
        <f t="shared" si="558"/>
        <v>0</v>
      </c>
      <c r="R1837" s="86">
        <f t="shared" si="559"/>
        <v>0</v>
      </c>
      <c r="S1837" s="86">
        <f t="shared" si="560"/>
        <v>0</v>
      </c>
      <c r="T1837" s="86">
        <f t="shared" si="561"/>
        <v>20111.189999999999</v>
      </c>
      <c r="U1837" s="87">
        <v>20111.189999999999</v>
      </c>
    </row>
    <row r="1838" spans="1:21" s="30" customFormat="1" ht="24.6" hidden="1" outlineLevel="1" x14ac:dyDescent="0.55000000000000004">
      <c r="A1838" s="27" t="s">
        <v>327</v>
      </c>
      <c r="B1838" s="28"/>
      <c r="C1838" s="27"/>
      <c r="D1838" s="27" t="str">
        <f>"""NAV Direct"",""CRONUS JetCorp USA"",""21"",""1"",""326427"""</f>
        <v>"NAV Direct","CRONUS JetCorp USA","21","1","326427"</v>
      </c>
      <c r="E1838" s="31">
        <f t="shared" si="553"/>
        <v>0</v>
      </c>
      <c r="F1838" s="31"/>
      <c r="G1838" s="31"/>
      <c r="H1838" s="31"/>
      <c r="I1838" s="56"/>
      <c r="J1838" s="56"/>
      <c r="K1838" s="82" t="str">
        <f t="shared" si="554"/>
        <v>Invoice</v>
      </c>
      <c r="L1838" s="83" t="str">
        <f>"SI_110245"</f>
        <v>SI_110245</v>
      </c>
      <c r="M1838" s="84">
        <v>42825</v>
      </c>
      <c r="N1838" s="85">
        <f t="shared" si="555"/>
        <v>987</v>
      </c>
      <c r="O1838" s="86">
        <f t="shared" si="556"/>
        <v>20622.57</v>
      </c>
      <c r="P1838" s="86">
        <f t="shared" si="557"/>
        <v>0</v>
      </c>
      <c r="Q1838" s="86">
        <f t="shared" si="558"/>
        <v>0</v>
      </c>
      <c r="R1838" s="86">
        <f t="shared" si="559"/>
        <v>0</v>
      </c>
      <c r="S1838" s="86">
        <f t="shared" si="560"/>
        <v>0</v>
      </c>
      <c r="T1838" s="86">
        <f t="shared" si="561"/>
        <v>20622.57</v>
      </c>
      <c r="U1838" s="87">
        <v>20622.57</v>
      </c>
    </row>
    <row r="1839" spans="1:21" s="30" customFormat="1" ht="24.6" hidden="1" outlineLevel="1" x14ac:dyDescent="0.55000000000000004">
      <c r="A1839" s="27" t="s">
        <v>327</v>
      </c>
      <c r="B1839" s="28"/>
      <c r="C1839" s="27"/>
      <c r="D1839" s="27" t="str">
        <f>"""NAV Direct"",""CRONUS JetCorp USA"",""21"",""1"",""326481"""</f>
        <v>"NAV Direct","CRONUS JetCorp USA","21","1","326481"</v>
      </c>
      <c r="E1839" s="31" t="str">
        <f t="shared" si="553"/>
        <v>C100064</v>
      </c>
      <c r="F1839" s="31"/>
      <c r="G1839" s="31"/>
      <c r="H1839" s="31"/>
      <c r="I1839" s="56"/>
      <c r="J1839" s="56"/>
      <c r="K1839" s="82" t="str">
        <f t="shared" si="554"/>
        <v>Invoice</v>
      </c>
      <c r="L1839" s="83" t="str">
        <f>"SI_110247"</f>
        <v>SI_110247</v>
      </c>
      <c r="M1839" s="84">
        <v>42855</v>
      </c>
      <c r="N1839" s="85">
        <f t="shared" si="555"/>
        <v>957</v>
      </c>
      <c r="O1839" s="86">
        <f t="shared" si="556"/>
        <v>19798.259999999998</v>
      </c>
      <c r="P1839" s="86">
        <f t="shared" si="557"/>
        <v>0</v>
      </c>
      <c r="Q1839" s="86">
        <f t="shared" si="558"/>
        <v>0</v>
      </c>
      <c r="R1839" s="86">
        <f t="shared" si="559"/>
        <v>0</v>
      </c>
      <c r="S1839" s="86">
        <f t="shared" si="560"/>
        <v>0</v>
      </c>
      <c r="T1839" s="86">
        <f t="shared" si="561"/>
        <v>19798.259999999998</v>
      </c>
      <c r="U1839" s="87">
        <v>19798.259999999998</v>
      </c>
    </row>
    <row r="1840" spans="1:21" s="30" customFormat="1" ht="24.6" hidden="1" outlineLevel="1" x14ac:dyDescent="0.55000000000000004">
      <c r="A1840" s="27" t="s">
        <v>327</v>
      </c>
      <c r="B1840" s="28"/>
      <c r="C1840" s="27"/>
      <c r="D1840" s="27" t="str">
        <f>"""NAV Direct"",""CRONUS JetCorp USA"",""21"",""1"",""326634"""</f>
        <v>"NAV Direct","CRONUS JetCorp USA","21","1","326634"</v>
      </c>
      <c r="E1840" s="31">
        <f t="shared" si="553"/>
        <v>0</v>
      </c>
      <c r="F1840" s="31"/>
      <c r="G1840" s="31"/>
      <c r="H1840" s="31"/>
      <c r="I1840" s="56"/>
      <c r="J1840" s="56"/>
      <c r="K1840" s="82" t="str">
        <f t="shared" si="554"/>
        <v>Invoice</v>
      </c>
      <c r="L1840" s="83" t="str">
        <f>"SI_110252"</f>
        <v>SI_110252</v>
      </c>
      <c r="M1840" s="84">
        <v>42916</v>
      </c>
      <c r="N1840" s="85">
        <f t="shared" si="555"/>
        <v>896</v>
      </c>
      <c r="O1840" s="86">
        <f t="shared" si="556"/>
        <v>20338.87</v>
      </c>
      <c r="P1840" s="86">
        <f t="shared" si="557"/>
        <v>0</v>
      </c>
      <c r="Q1840" s="86">
        <f t="shared" si="558"/>
        <v>0</v>
      </c>
      <c r="R1840" s="86">
        <f t="shared" si="559"/>
        <v>0</v>
      </c>
      <c r="S1840" s="86">
        <f t="shared" si="560"/>
        <v>0</v>
      </c>
      <c r="T1840" s="86">
        <f t="shared" si="561"/>
        <v>20338.87</v>
      </c>
      <c r="U1840" s="87">
        <v>20338.87</v>
      </c>
    </row>
    <row r="1841" spans="1:21" s="30" customFormat="1" ht="24.6" hidden="1" outlineLevel="1" x14ac:dyDescent="0.55000000000000004">
      <c r="A1841" s="27" t="s">
        <v>327</v>
      </c>
      <c r="B1841" s="28"/>
      <c r="C1841" s="27"/>
      <c r="D1841" s="27" t="str">
        <f>"""NAV Direct"",""CRONUS JetCorp USA"",""21"",""1"",""326700"""</f>
        <v>"NAV Direct","CRONUS JetCorp USA","21","1","326700"</v>
      </c>
      <c r="E1841" s="31" t="str">
        <f t="shared" si="553"/>
        <v>C100064</v>
      </c>
      <c r="F1841" s="31"/>
      <c r="G1841" s="31"/>
      <c r="H1841" s="31"/>
      <c r="I1841" s="56"/>
      <c r="J1841" s="56"/>
      <c r="K1841" s="82" t="str">
        <f t="shared" si="554"/>
        <v>Invoice</v>
      </c>
      <c r="L1841" s="83" t="str">
        <f>"SI_110254"</f>
        <v>SI_110254</v>
      </c>
      <c r="M1841" s="84">
        <v>42947</v>
      </c>
      <c r="N1841" s="85">
        <f t="shared" si="555"/>
        <v>865</v>
      </c>
      <c r="O1841" s="86">
        <f t="shared" si="556"/>
        <v>20776.59</v>
      </c>
      <c r="P1841" s="86">
        <f t="shared" si="557"/>
        <v>0</v>
      </c>
      <c r="Q1841" s="86">
        <f t="shared" si="558"/>
        <v>0</v>
      </c>
      <c r="R1841" s="86">
        <f t="shared" si="559"/>
        <v>0</v>
      </c>
      <c r="S1841" s="86">
        <f t="shared" si="560"/>
        <v>0</v>
      </c>
      <c r="T1841" s="86">
        <f t="shared" si="561"/>
        <v>20776.59</v>
      </c>
      <c r="U1841" s="87">
        <v>20776.59</v>
      </c>
    </row>
    <row r="1842" spans="1:21" s="30" customFormat="1" ht="24.6" hidden="1" outlineLevel="1" x14ac:dyDescent="0.55000000000000004">
      <c r="A1842" s="27" t="s">
        <v>327</v>
      </c>
      <c r="B1842" s="28"/>
      <c r="C1842" s="27"/>
      <c r="D1842" s="27" t="str">
        <f>"""NAV Direct"",""CRONUS JetCorp USA"",""21"",""1"",""326752"""</f>
        <v>"NAV Direct","CRONUS JetCorp USA","21","1","326752"</v>
      </c>
      <c r="E1842" s="31">
        <f t="shared" si="553"/>
        <v>0</v>
      </c>
      <c r="F1842" s="31"/>
      <c r="G1842" s="31"/>
      <c r="H1842" s="31"/>
      <c r="I1842" s="56"/>
      <c r="J1842" s="56"/>
      <c r="K1842" s="82" t="str">
        <f t="shared" si="554"/>
        <v>Invoice</v>
      </c>
      <c r="L1842" s="83" t="str">
        <f>"SI_110256"</f>
        <v>SI_110256</v>
      </c>
      <c r="M1842" s="84">
        <v>42978</v>
      </c>
      <c r="N1842" s="85">
        <f t="shared" si="555"/>
        <v>834</v>
      </c>
      <c r="O1842" s="86">
        <f t="shared" si="556"/>
        <v>18679.259999999998</v>
      </c>
      <c r="P1842" s="86">
        <f t="shared" si="557"/>
        <v>0</v>
      </c>
      <c r="Q1842" s="86">
        <f t="shared" si="558"/>
        <v>0</v>
      </c>
      <c r="R1842" s="86">
        <f t="shared" si="559"/>
        <v>0</v>
      </c>
      <c r="S1842" s="86">
        <f t="shared" si="560"/>
        <v>0</v>
      </c>
      <c r="T1842" s="86">
        <f t="shared" si="561"/>
        <v>18679.259999999998</v>
      </c>
      <c r="U1842" s="87">
        <v>18679.259999999998</v>
      </c>
    </row>
    <row r="1843" spans="1:21" s="30" customFormat="1" ht="24.6" hidden="1" outlineLevel="1" x14ac:dyDescent="0.55000000000000004">
      <c r="A1843" s="27" t="s">
        <v>327</v>
      </c>
      <c r="B1843" s="28"/>
      <c r="C1843" s="27"/>
      <c r="D1843" s="27" t="str">
        <f>"""NAV Direct"",""CRONUS JetCorp USA"",""21"",""1"",""327055"""</f>
        <v>"NAV Direct","CRONUS JetCorp USA","21","1","327055"</v>
      </c>
      <c r="E1843" s="31" t="str">
        <f t="shared" si="553"/>
        <v>C100064</v>
      </c>
      <c r="F1843" s="31"/>
      <c r="G1843" s="31"/>
      <c r="H1843" s="31"/>
      <c r="I1843" s="56"/>
      <c r="J1843" s="56"/>
      <c r="K1843" s="82" t="str">
        <f t="shared" si="554"/>
        <v>Invoice</v>
      </c>
      <c r="L1843" s="83" t="str">
        <f>"SI_110267"</f>
        <v>SI_110267</v>
      </c>
      <c r="M1843" s="84">
        <v>43131</v>
      </c>
      <c r="N1843" s="85">
        <f t="shared" si="555"/>
        <v>681</v>
      </c>
      <c r="O1843" s="86">
        <f t="shared" si="556"/>
        <v>15733.949999999999</v>
      </c>
      <c r="P1843" s="86">
        <f t="shared" si="557"/>
        <v>0</v>
      </c>
      <c r="Q1843" s="86">
        <f t="shared" si="558"/>
        <v>0</v>
      </c>
      <c r="R1843" s="86">
        <f t="shared" si="559"/>
        <v>0</v>
      </c>
      <c r="S1843" s="86">
        <f t="shared" si="560"/>
        <v>0</v>
      </c>
      <c r="T1843" s="86">
        <f t="shared" si="561"/>
        <v>15733.949999999999</v>
      </c>
      <c r="U1843" s="87">
        <v>15733.949999999999</v>
      </c>
    </row>
    <row r="1844" spans="1:21" s="30" customFormat="1" ht="24.6" hidden="1" outlineLevel="1" x14ac:dyDescent="0.55000000000000004">
      <c r="A1844" s="27" t="s">
        <v>327</v>
      </c>
      <c r="B1844" s="28"/>
      <c r="C1844" s="27"/>
      <c r="D1844" s="27" t="str">
        <f>"""NAV Direct"",""CRONUS JetCorp USA"",""21"",""1"",""327153"""</f>
        <v>"NAV Direct","CRONUS JetCorp USA","21","1","327153"</v>
      </c>
      <c r="E1844" s="31">
        <f t="shared" si="553"/>
        <v>0</v>
      </c>
      <c r="F1844" s="31"/>
      <c r="G1844" s="31"/>
      <c r="H1844" s="31"/>
      <c r="I1844" s="56"/>
      <c r="J1844" s="56"/>
      <c r="K1844" s="82" t="str">
        <f t="shared" si="554"/>
        <v>Invoice</v>
      </c>
      <c r="L1844" s="83" t="str">
        <f>"SI_110271"</f>
        <v>SI_110271</v>
      </c>
      <c r="M1844" s="84">
        <v>43190</v>
      </c>
      <c r="N1844" s="85">
        <f t="shared" si="555"/>
        <v>622</v>
      </c>
      <c r="O1844" s="86">
        <f t="shared" si="556"/>
        <v>15109.269999999999</v>
      </c>
      <c r="P1844" s="86">
        <f t="shared" si="557"/>
        <v>0</v>
      </c>
      <c r="Q1844" s="86">
        <f t="shared" si="558"/>
        <v>0</v>
      </c>
      <c r="R1844" s="86">
        <f t="shared" si="559"/>
        <v>0</v>
      </c>
      <c r="S1844" s="86">
        <f t="shared" si="560"/>
        <v>0</v>
      </c>
      <c r="T1844" s="86">
        <f t="shared" si="561"/>
        <v>15109.269999999999</v>
      </c>
      <c r="U1844" s="87">
        <v>15109.269999999999</v>
      </c>
    </row>
    <row r="1845" spans="1:21" s="30" customFormat="1" ht="24.6" hidden="1" outlineLevel="1" x14ac:dyDescent="0.55000000000000004">
      <c r="A1845" s="27" t="s">
        <v>327</v>
      </c>
      <c r="B1845" s="28"/>
      <c r="C1845" s="27"/>
      <c r="D1845" s="27" t="str">
        <f>"""NAV Direct"",""CRONUS JetCorp USA"",""21"",""1"",""327234"""</f>
        <v>"NAV Direct","CRONUS JetCorp USA","21","1","327234"</v>
      </c>
      <c r="E1845" s="31" t="str">
        <f t="shared" si="553"/>
        <v>C100064</v>
      </c>
      <c r="F1845" s="31"/>
      <c r="G1845" s="31"/>
      <c r="H1845" s="31"/>
      <c r="I1845" s="56"/>
      <c r="J1845" s="56"/>
      <c r="K1845" s="82" t="str">
        <f t="shared" si="554"/>
        <v>Invoice</v>
      </c>
      <c r="L1845" s="83" t="str">
        <f>"SI_110274"</f>
        <v>SI_110274</v>
      </c>
      <c r="M1845" s="84">
        <v>43251</v>
      </c>
      <c r="N1845" s="85">
        <f t="shared" si="555"/>
        <v>561</v>
      </c>
      <c r="O1845" s="86">
        <f t="shared" si="556"/>
        <v>14347.589999999998</v>
      </c>
      <c r="P1845" s="86">
        <f t="shared" si="557"/>
        <v>0</v>
      </c>
      <c r="Q1845" s="86">
        <f t="shared" si="558"/>
        <v>0</v>
      </c>
      <c r="R1845" s="86">
        <f t="shared" si="559"/>
        <v>0</v>
      </c>
      <c r="S1845" s="86">
        <f t="shared" si="560"/>
        <v>0</v>
      </c>
      <c r="T1845" s="86">
        <f t="shared" si="561"/>
        <v>14347.589999999998</v>
      </c>
      <c r="U1845" s="87">
        <v>14347.589999999998</v>
      </c>
    </row>
    <row r="1846" spans="1:21" s="30" customFormat="1" ht="24.6" hidden="1" outlineLevel="1" x14ac:dyDescent="0.55000000000000004">
      <c r="A1846" s="27" t="s">
        <v>327</v>
      </c>
      <c r="B1846" s="28"/>
      <c r="C1846" s="27"/>
      <c r="D1846" s="27" t="str">
        <f>"""NAV Direct"",""CRONUS JetCorp USA"",""21"",""1"",""327259"""</f>
        <v>"NAV Direct","CRONUS JetCorp USA","21","1","327259"</v>
      </c>
      <c r="E1846" s="31">
        <f t="shared" si="553"/>
        <v>0</v>
      </c>
      <c r="F1846" s="31"/>
      <c r="G1846" s="31"/>
      <c r="H1846" s="31"/>
      <c r="I1846" s="56"/>
      <c r="J1846" s="56"/>
      <c r="K1846" s="82" t="str">
        <f t="shared" si="554"/>
        <v>Invoice</v>
      </c>
      <c r="L1846" s="83" t="str">
        <f>"SI_110275"</f>
        <v>SI_110275</v>
      </c>
      <c r="M1846" s="84">
        <v>43251</v>
      </c>
      <c r="N1846" s="85">
        <f t="shared" si="555"/>
        <v>561</v>
      </c>
      <c r="O1846" s="86">
        <f t="shared" si="556"/>
        <v>14496.25</v>
      </c>
      <c r="P1846" s="86">
        <f t="shared" si="557"/>
        <v>0</v>
      </c>
      <c r="Q1846" s="86">
        <f t="shared" si="558"/>
        <v>0</v>
      </c>
      <c r="R1846" s="86">
        <f t="shared" si="559"/>
        <v>0</v>
      </c>
      <c r="S1846" s="86">
        <f t="shared" si="560"/>
        <v>0</v>
      </c>
      <c r="T1846" s="86">
        <f t="shared" si="561"/>
        <v>14496.25</v>
      </c>
      <c r="U1846" s="87">
        <v>14496.25</v>
      </c>
    </row>
    <row r="1847" spans="1:21" s="30" customFormat="1" ht="24.6" hidden="1" outlineLevel="1" x14ac:dyDescent="0.55000000000000004">
      <c r="A1847" s="27" t="s">
        <v>327</v>
      </c>
      <c r="B1847" s="28"/>
      <c r="C1847" s="27"/>
      <c r="D1847" s="27" t="str">
        <f>"""NAV Direct"",""CRONUS JetCorp USA"",""21"",""1"",""327282"""</f>
        <v>"NAV Direct","CRONUS JetCorp USA","21","1","327282"</v>
      </c>
      <c r="E1847" s="31" t="str">
        <f t="shared" si="553"/>
        <v>C100064</v>
      </c>
      <c r="F1847" s="31"/>
      <c r="G1847" s="31"/>
      <c r="H1847" s="31"/>
      <c r="I1847" s="56"/>
      <c r="J1847" s="56"/>
      <c r="K1847" s="82" t="str">
        <f t="shared" si="554"/>
        <v>Invoice</v>
      </c>
      <c r="L1847" s="83" t="str">
        <f>"SI_110276"</f>
        <v>SI_110276</v>
      </c>
      <c r="M1847" s="84">
        <v>43281</v>
      </c>
      <c r="N1847" s="85">
        <f t="shared" si="555"/>
        <v>531</v>
      </c>
      <c r="O1847" s="86">
        <f t="shared" si="556"/>
        <v>14321.640000000001</v>
      </c>
      <c r="P1847" s="86">
        <f t="shared" si="557"/>
        <v>0</v>
      </c>
      <c r="Q1847" s="86">
        <f t="shared" si="558"/>
        <v>0</v>
      </c>
      <c r="R1847" s="86">
        <f t="shared" si="559"/>
        <v>0</v>
      </c>
      <c r="S1847" s="86">
        <f t="shared" si="560"/>
        <v>0</v>
      </c>
      <c r="T1847" s="86">
        <f t="shared" si="561"/>
        <v>14321.640000000001</v>
      </c>
      <c r="U1847" s="87">
        <v>14321.640000000001</v>
      </c>
    </row>
    <row r="1848" spans="1:21" s="30" customFormat="1" ht="24.6" hidden="1" outlineLevel="1" x14ac:dyDescent="0.55000000000000004">
      <c r="A1848" s="27" t="s">
        <v>327</v>
      </c>
      <c r="B1848" s="28"/>
      <c r="C1848" s="27"/>
      <c r="D1848" s="27" t="str">
        <f>"""NAV Direct"",""CRONUS JetCorp USA"",""21"",""1"",""327407"""</f>
        <v>"NAV Direct","CRONUS JetCorp USA","21","1","327407"</v>
      </c>
      <c r="E1848" s="31">
        <f t="shared" si="553"/>
        <v>0</v>
      </c>
      <c r="F1848" s="31"/>
      <c r="G1848" s="31"/>
      <c r="H1848" s="31"/>
      <c r="I1848" s="56"/>
      <c r="J1848" s="56"/>
      <c r="K1848" s="82" t="str">
        <f t="shared" si="554"/>
        <v>Invoice</v>
      </c>
      <c r="L1848" s="83" t="str">
        <f>"SI_110281"</f>
        <v>SI_110281</v>
      </c>
      <c r="M1848" s="84">
        <v>43343</v>
      </c>
      <c r="N1848" s="85">
        <f t="shared" si="555"/>
        <v>469</v>
      </c>
      <c r="O1848" s="86">
        <f t="shared" si="556"/>
        <v>12894.199999999999</v>
      </c>
      <c r="P1848" s="86">
        <f t="shared" si="557"/>
        <v>0</v>
      </c>
      <c r="Q1848" s="86">
        <f t="shared" si="558"/>
        <v>0</v>
      </c>
      <c r="R1848" s="86">
        <f t="shared" si="559"/>
        <v>0</v>
      </c>
      <c r="S1848" s="86">
        <f t="shared" si="560"/>
        <v>0</v>
      </c>
      <c r="T1848" s="86">
        <f t="shared" si="561"/>
        <v>12894.199999999999</v>
      </c>
      <c r="U1848" s="87">
        <v>12894.199999999999</v>
      </c>
    </row>
    <row r="1849" spans="1:21" s="30" customFormat="1" ht="24.6" hidden="1" outlineLevel="1" x14ac:dyDescent="0.55000000000000004">
      <c r="A1849" s="27" t="s">
        <v>327</v>
      </c>
      <c r="B1849" s="28"/>
      <c r="C1849" s="27"/>
      <c r="D1849" s="27" t="str">
        <f>"""NAV Direct"",""CRONUS JetCorp USA"",""21"",""1"",""327467"""</f>
        <v>"NAV Direct","CRONUS JetCorp USA","21","1","327467"</v>
      </c>
      <c r="E1849" s="31" t="str">
        <f t="shared" si="553"/>
        <v>C100064</v>
      </c>
      <c r="F1849" s="31"/>
      <c r="G1849" s="31"/>
      <c r="H1849" s="31"/>
      <c r="I1849" s="56"/>
      <c r="J1849" s="56"/>
      <c r="K1849" s="82" t="str">
        <f t="shared" si="554"/>
        <v>Invoice</v>
      </c>
      <c r="L1849" s="83" t="str">
        <f>"SI_110283"</f>
        <v>SI_110283</v>
      </c>
      <c r="M1849" s="84">
        <v>43373</v>
      </c>
      <c r="N1849" s="85">
        <f t="shared" si="555"/>
        <v>439</v>
      </c>
      <c r="O1849" s="86">
        <f t="shared" si="556"/>
        <v>13070.94</v>
      </c>
      <c r="P1849" s="86">
        <f t="shared" si="557"/>
        <v>0</v>
      </c>
      <c r="Q1849" s="86">
        <f t="shared" si="558"/>
        <v>0</v>
      </c>
      <c r="R1849" s="86">
        <f t="shared" si="559"/>
        <v>0</v>
      </c>
      <c r="S1849" s="86">
        <f t="shared" si="560"/>
        <v>0</v>
      </c>
      <c r="T1849" s="86">
        <f t="shared" si="561"/>
        <v>13070.94</v>
      </c>
      <c r="U1849" s="87">
        <v>13070.94</v>
      </c>
    </row>
    <row r="1850" spans="1:21" s="30" customFormat="1" ht="24.6" hidden="1" outlineLevel="1" x14ac:dyDescent="0.55000000000000004">
      <c r="A1850" s="27" t="s">
        <v>327</v>
      </c>
      <c r="B1850" s="28"/>
      <c r="C1850" s="27"/>
      <c r="D1850" s="27" t="str">
        <f>"""NAV Direct"",""CRONUS JetCorp USA"",""21"",""1"",""327521"""</f>
        <v>"NAV Direct","CRONUS JetCorp USA","21","1","327521"</v>
      </c>
      <c r="E1850" s="31">
        <f t="shared" si="553"/>
        <v>0</v>
      </c>
      <c r="F1850" s="31"/>
      <c r="G1850" s="31"/>
      <c r="H1850" s="31"/>
      <c r="I1850" s="56"/>
      <c r="J1850" s="56"/>
      <c r="K1850" s="82" t="str">
        <f t="shared" si="554"/>
        <v>Invoice</v>
      </c>
      <c r="L1850" s="83" t="str">
        <f>"SI_110285"</f>
        <v>SI_110285</v>
      </c>
      <c r="M1850" s="84">
        <v>43373</v>
      </c>
      <c r="N1850" s="85">
        <f t="shared" si="555"/>
        <v>439</v>
      </c>
      <c r="O1850" s="86">
        <f t="shared" si="556"/>
        <v>13207.95</v>
      </c>
      <c r="P1850" s="86">
        <f t="shared" si="557"/>
        <v>0</v>
      </c>
      <c r="Q1850" s="86">
        <f t="shared" si="558"/>
        <v>0</v>
      </c>
      <c r="R1850" s="86">
        <f t="shared" si="559"/>
        <v>0</v>
      </c>
      <c r="S1850" s="86">
        <f t="shared" si="560"/>
        <v>0</v>
      </c>
      <c r="T1850" s="86">
        <f t="shared" si="561"/>
        <v>13207.95</v>
      </c>
      <c r="U1850" s="87">
        <v>13207.95</v>
      </c>
    </row>
    <row r="1851" spans="1:21" s="30" customFormat="1" ht="24.6" hidden="1" outlineLevel="1" x14ac:dyDescent="0.55000000000000004">
      <c r="A1851" s="27" t="s">
        <v>327</v>
      </c>
      <c r="B1851" s="28"/>
      <c r="C1851" s="27"/>
      <c r="D1851" s="27" t="str">
        <f>"""NAV Direct"",""CRONUS JetCorp USA"",""21"",""1"",""327584"""</f>
        <v>"NAV Direct","CRONUS JetCorp USA","21","1","327584"</v>
      </c>
      <c r="E1851" s="31" t="str">
        <f t="shared" si="553"/>
        <v>C100064</v>
      </c>
      <c r="F1851" s="31"/>
      <c r="G1851" s="31"/>
      <c r="H1851" s="31"/>
      <c r="I1851" s="56"/>
      <c r="J1851" s="56"/>
      <c r="K1851" s="82" t="str">
        <f t="shared" si="554"/>
        <v>Invoice</v>
      </c>
      <c r="L1851" s="83" t="str">
        <f>"SI_110288"</f>
        <v>SI_110288</v>
      </c>
      <c r="M1851" s="84">
        <v>43404</v>
      </c>
      <c r="N1851" s="85">
        <f t="shared" si="555"/>
        <v>408</v>
      </c>
      <c r="O1851" s="86">
        <f t="shared" si="556"/>
        <v>13591.189999999999</v>
      </c>
      <c r="P1851" s="86">
        <f t="shared" si="557"/>
        <v>0</v>
      </c>
      <c r="Q1851" s="86">
        <f t="shared" si="558"/>
        <v>0</v>
      </c>
      <c r="R1851" s="86">
        <f t="shared" si="559"/>
        <v>0</v>
      </c>
      <c r="S1851" s="86">
        <f t="shared" si="560"/>
        <v>0</v>
      </c>
      <c r="T1851" s="86">
        <f t="shared" si="561"/>
        <v>13591.189999999999</v>
      </c>
      <c r="U1851" s="87">
        <v>13591.189999999999</v>
      </c>
    </row>
    <row r="1852" spans="1:21" s="30" customFormat="1" ht="24.6" hidden="1" outlineLevel="1" x14ac:dyDescent="0.55000000000000004">
      <c r="A1852" s="27" t="s">
        <v>327</v>
      </c>
      <c r="B1852" s="28"/>
      <c r="C1852" s="27"/>
      <c r="D1852" s="27" t="str">
        <f>"""NAV Direct"",""CRONUS JetCorp USA"",""21"",""1"",""327730"""</f>
        <v>"NAV Direct","CRONUS JetCorp USA","21","1","327730"</v>
      </c>
      <c r="E1852" s="31">
        <f t="shared" si="553"/>
        <v>0</v>
      </c>
      <c r="F1852" s="31"/>
      <c r="G1852" s="31"/>
      <c r="H1852" s="31"/>
      <c r="I1852" s="56"/>
      <c r="J1852" s="56"/>
      <c r="K1852" s="82" t="str">
        <f t="shared" si="554"/>
        <v>Invoice</v>
      </c>
      <c r="L1852" s="83" t="str">
        <f>"SI_110294"</f>
        <v>SI_110294</v>
      </c>
      <c r="M1852" s="84">
        <v>43465</v>
      </c>
      <c r="N1852" s="85">
        <f t="shared" si="555"/>
        <v>347</v>
      </c>
      <c r="O1852" s="86">
        <f t="shared" si="556"/>
        <v>13859</v>
      </c>
      <c r="P1852" s="86">
        <f t="shared" si="557"/>
        <v>0</v>
      </c>
      <c r="Q1852" s="86">
        <f t="shared" si="558"/>
        <v>0</v>
      </c>
      <c r="R1852" s="86">
        <f t="shared" si="559"/>
        <v>0</v>
      </c>
      <c r="S1852" s="86">
        <f t="shared" si="560"/>
        <v>0</v>
      </c>
      <c r="T1852" s="86">
        <f t="shared" si="561"/>
        <v>13859</v>
      </c>
      <c r="U1852" s="87">
        <v>13859</v>
      </c>
    </row>
    <row r="1853" spans="1:21" s="30" customFormat="1" ht="24.6" hidden="1" outlineLevel="1" x14ac:dyDescent="0.55000000000000004">
      <c r="A1853" s="27" t="s">
        <v>327</v>
      </c>
      <c r="B1853" s="28"/>
      <c r="C1853" s="27"/>
      <c r="D1853" s="27" t="str">
        <f>"""NAV Direct"",""CRONUS JetCorp USA"",""21"",""1"",""327786"""</f>
        <v>"NAV Direct","CRONUS JetCorp USA","21","1","327786"</v>
      </c>
      <c r="E1853" s="31" t="str">
        <f t="shared" si="553"/>
        <v>C100064</v>
      </c>
      <c r="F1853" s="31"/>
      <c r="G1853" s="31"/>
      <c r="H1853" s="31"/>
      <c r="I1853" s="56"/>
      <c r="J1853" s="56"/>
      <c r="K1853" s="82" t="str">
        <f t="shared" si="554"/>
        <v>Invoice</v>
      </c>
      <c r="L1853" s="83" t="str">
        <f>"SI_110296"</f>
        <v>SI_110296</v>
      </c>
      <c r="M1853" s="84">
        <v>43465</v>
      </c>
      <c r="N1853" s="85">
        <f t="shared" si="555"/>
        <v>347</v>
      </c>
      <c r="O1853" s="86">
        <f t="shared" si="556"/>
        <v>13287.19</v>
      </c>
      <c r="P1853" s="86">
        <f t="shared" si="557"/>
        <v>0</v>
      </c>
      <c r="Q1853" s="86">
        <f t="shared" si="558"/>
        <v>0</v>
      </c>
      <c r="R1853" s="86">
        <f t="shared" si="559"/>
        <v>0</v>
      </c>
      <c r="S1853" s="86">
        <f t="shared" si="560"/>
        <v>0</v>
      </c>
      <c r="T1853" s="86">
        <f t="shared" si="561"/>
        <v>13287.19</v>
      </c>
      <c r="U1853" s="87">
        <v>13287.19</v>
      </c>
    </row>
    <row r="1854" spans="1:21" s="30" customFormat="1" ht="24.6" hidden="1" outlineLevel="1" x14ac:dyDescent="0.55000000000000004">
      <c r="A1854" s="27" t="s">
        <v>327</v>
      </c>
      <c r="B1854" s="28"/>
      <c r="C1854" s="27"/>
      <c r="D1854" s="27" t="str">
        <f>"""NAV Direct"",""CRONUS JetCorp USA"",""21"",""1"",""327815"""</f>
        <v>"NAV Direct","CRONUS JetCorp USA","21","1","327815"</v>
      </c>
      <c r="E1854" s="31">
        <f t="shared" si="553"/>
        <v>0</v>
      </c>
      <c r="F1854" s="31"/>
      <c r="G1854" s="31"/>
      <c r="H1854" s="31"/>
      <c r="I1854" s="56"/>
      <c r="J1854" s="56"/>
      <c r="K1854" s="82" t="str">
        <f t="shared" si="554"/>
        <v>Invoice</v>
      </c>
      <c r="L1854" s="83" t="str">
        <f>"SI_110297"</f>
        <v>SI_110297</v>
      </c>
      <c r="M1854" s="84">
        <v>43465</v>
      </c>
      <c r="N1854" s="85">
        <f t="shared" si="555"/>
        <v>347</v>
      </c>
      <c r="O1854" s="86">
        <f t="shared" si="556"/>
        <v>13430.000000000002</v>
      </c>
      <c r="P1854" s="86">
        <f t="shared" si="557"/>
        <v>0</v>
      </c>
      <c r="Q1854" s="86">
        <f t="shared" si="558"/>
        <v>0</v>
      </c>
      <c r="R1854" s="86">
        <f t="shared" si="559"/>
        <v>0</v>
      </c>
      <c r="S1854" s="86">
        <f t="shared" si="560"/>
        <v>0</v>
      </c>
      <c r="T1854" s="86">
        <f t="shared" si="561"/>
        <v>13430.000000000002</v>
      </c>
      <c r="U1854" s="87">
        <v>13430.000000000002</v>
      </c>
    </row>
    <row r="1855" spans="1:21" s="30" customFormat="1" ht="24.6" hidden="1" outlineLevel="1" x14ac:dyDescent="0.55000000000000004">
      <c r="A1855" s="27" t="s">
        <v>327</v>
      </c>
      <c r="B1855" s="28"/>
      <c r="C1855" s="27"/>
      <c r="D1855" s="27" t="str">
        <f>"""NAV Direct"",""CRONUS JetCorp USA"",""21"",""1"",""327988"""</f>
        <v>"NAV Direct","CRONUS JetCorp USA","21","1","327988"</v>
      </c>
      <c r="E1855" s="31" t="str">
        <f t="shared" ref="E1855:E1886" si="562">E1853</f>
        <v>C100064</v>
      </c>
      <c r="F1855" s="31"/>
      <c r="G1855" s="31"/>
      <c r="H1855" s="31"/>
      <c r="I1855" s="56"/>
      <c r="J1855" s="56"/>
      <c r="K1855" s="82" t="str">
        <f t="shared" ref="K1855:K1878" si="563">"Invoice"</f>
        <v>Invoice</v>
      </c>
      <c r="L1855" s="83" t="str">
        <f>"SI_110304"</f>
        <v>SI_110304</v>
      </c>
      <c r="M1855" s="84">
        <v>43555</v>
      </c>
      <c r="N1855" s="85">
        <f t="shared" ref="N1855:N1886" si="564">StartDate-$M1855+1</f>
        <v>257</v>
      </c>
      <c r="O1855" s="86">
        <f t="shared" ref="O1855:O1886" si="565">SUM(P1855:T1855)</f>
        <v>14083.09</v>
      </c>
      <c r="P1855" s="86">
        <f t="shared" ref="P1855:P1886" si="566">IF($M1855&gt;=$P$18,U1855,0)</f>
        <v>0</v>
      </c>
      <c r="Q1855" s="86">
        <f t="shared" ref="Q1855:Q1886" si="567">IF(AND($M1855&gt;=$Q$16,$M1855&lt;=$Q$18),U1855,0)</f>
        <v>0</v>
      </c>
      <c r="R1855" s="86">
        <f t="shared" ref="R1855:R1886" si="568">IF(AND($M1855&gt;=$R$16,$M1855&lt;=$R$18),U1855,0)</f>
        <v>0</v>
      </c>
      <c r="S1855" s="86">
        <f t="shared" ref="S1855:S1886" si="569">IF(AND($M1855&gt;=$S$16,$M1855&lt;=$S$18),U1855,0)</f>
        <v>0</v>
      </c>
      <c r="T1855" s="86">
        <f t="shared" ref="T1855:T1886" si="570">IF($M1855&lt;=$T$18,U1855,0)</f>
        <v>14083.09</v>
      </c>
      <c r="U1855" s="87">
        <v>14083.09</v>
      </c>
    </row>
    <row r="1856" spans="1:21" s="30" customFormat="1" ht="24.6" hidden="1" outlineLevel="1" x14ac:dyDescent="0.55000000000000004">
      <c r="A1856" s="27" t="s">
        <v>327</v>
      </c>
      <c r="B1856" s="28"/>
      <c r="C1856" s="27"/>
      <c r="D1856" s="27" t="str">
        <f>"""NAV Direct"",""CRONUS JetCorp USA"",""21"",""1"",""328067"""</f>
        <v>"NAV Direct","CRONUS JetCorp USA","21","1","328067"</v>
      </c>
      <c r="E1856" s="31">
        <f t="shared" si="562"/>
        <v>0</v>
      </c>
      <c r="F1856" s="31"/>
      <c r="G1856" s="31"/>
      <c r="H1856" s="31"/>
      <c r="I1856" s="56"/>
      <c r="J1856" s="56"/>
      <c r="K1856" s="82" t="str">
        <f t="shared" si="563"/>
        <v>Invoice</v>
      </c>
      <c r="L1856" s="83" t="str">
        <f>"SI_110307"</f>
        <v>SI_110307</v>
      </c>
      <c r="M1856" s="84">
        <v>43555</v>
      </c>
      <c r="N1856" s="85">
        <f t="shared" si="564"/>
        <v>257</v>
      </c>
      <c r="O1856" s="86">
        <f t="shared" si="565"/>
        <v>14083.08</v>
      </c>
      <c r="P1856" s="86">
        <f t="shared" si="566"/>
        <v>0</v>
      </c>
      <c r="Q1856" s="86">
        <f t="shared" si="567"/>
        <v>0</v>
      </c>
      <c r="R1856" s="86">
        <f t="shared" si="568"/>
        <v>0</v>
      </c>
      <c r="S1856" s="86">
        <f t="shared" si="569"/>
        <v>0</v>
      </c>
      <c r="T1856" s="86">
        <f t="shared" si="570"/>
        <v>14083.08</v>
      </c>
      <c r="U1856" s="87">
        <v>14083.08</v>
      </c>
    </row>
    <row r="1857" spans="1:21" s="30" customFormat="1" ht="24.6" hidden="1" outlineLevel="1" x14ac:dyDescent="0.55000000000000004">
      <c r="A1857" s="27" t="s">
        <v>327</v>
      </c>
      <c r="B1857" s="28"/>
      <c r="C1857" s="27"/>
      <c r="D1857" s="27" t="str">
        <f>"""NAV Direct"",""CRONUS JetCorp USA"",""21"",""1"",""328111"""</f>
        <v>"NAV Direct","CRONUS JetCorp USA","21","1","328111"</v>
      </c>
      <c r="E1857" s="31" t="str">
        <f t="shared" si="562"/>
        <v>C100064</v>
      </c>
      <c r="F1857" s="31"/>
      <c r="G1857" s="31"/>
      <c r="H1857" s="31"/>
      <c r="I1857" s="56"/>
      <c r="J1857" s="56"/>
      <c r="K1857" s="82" t="str">
        <f t="shared" si="563"/>
        <v>Invoice</v>
      </c>
      <c r="L1857" s="83" t="str">
        <f>"SI_110309"</f>
        <v>SI_110309</v>
      </c>
      <c r="M1857" s="84">
        <v>43585</v>
      </c>
      <c r="N1857" s="85">
        <f t="shared" si="564"/>
        <v>227</v>
      </c>
      <c r="O1857" s="86">
        <f t="shared" si="565"/>
        <v>14196.180000000002</v>
      </c>
      <c r="P1857" s="86">
        <f t="shared" si="566"/>
        <v>0</v>
      </c>
      <c r="Q1857" s="86">
        <f t="shared" si="567"/>
        <v>0</v>
      </c>
      <c r="R1857" s="86">
        <f t="shared" si="568"/>
        <v>0</v>
      </c>
      <c r="S1857" s="86">
        <f t="shared" si="569"/>
        <v>0</v>
      </c>
      <c r="T1857" s="86">
        <f t="shared" si="570"/>
        <v>14196.180000000002</v>
      </c>
      <c r="U1857" s="87">
        <v>14196.180000000002</v>
      </c>
    </row>
    <row r="1858" spans="1:21" s="30" customFormat="1" ht="24.6" hidden="1" outlineLevel="1" x14ac:dyDescent="0.55000000000000004">
      <c r="A1858" s="27" t="s">
        <v>327</v>
      </c>
      <c r="B1858" s="28"/>
      <c r="C1858" s="27"/>
      <c r="D1858" s="27" t="str">
        <f>"""NAV Direct"",""CRONUS JetCorp USA"",""21"",""1"",""328361"""</f>
        <v>"NAV Direct","CRONUS JetCorp USA","21","1","328361"</v>
      </c>
      <c r="E1858" s="31">
        <f t="shared" si="562"/>
        <v>0</v>
      </c>
      <c r="F1858" s="31"/>
      <c r="G1858" s="31"/>
      <c r="H1858" s="31"/>
      <c r="I1858" s="56"/>
      <c r="J1858" s="56"/>
      <c r="K1858" s="82" t="str">
        <f t="shared" si="563"/>
        <v>Invoice</v>
      </c>
      <c r="L1858" s="83" t="str">
        <f>"SI_110319"</f>
        <v>SI_110319</v>
      </c>
      <c r="M1858" s="84">
        <v>43677</v>
      </c>
      <c r="N1858" s="85">
        <f t="shared" si="564"/>
        <v>135</v>
      </c>
      <c r="O1858" s="86">
        <f t="shared" si="565"/>
        <v>16482.02</v>
      </c>
      <c r="P1858" s="86">
        <f t="shared" si="566"/>
        <v>0</v>
      </c>
      <c r="Q1858" s="86">
        <f t="shared" si="567"/>
        <v>0</v>
      </c>
      <c r="R1858" s="86">
        <f t="shared" si="568"/>
        <v>0</v>
      </c>
      <c r="S1858" s="86">
        <f t="shared" si="569"/>
        <v>0</v>
      </c>
      <c r="T1858" s="86">
        <f t="shared" si="570"/>
        <v>16482.02</v>
      </c>
      <c r="U1858" s="87">
        <v>16482.02</v>
      </c>
    </row>
    <row r="1859" spans="1:21" s="30" customFormat="1" ht="24.6" hidden="1" outlineLevel="1" x14ac:dyDescent="0.55000000000000004">
      <c r="A1859" s="27" t="s">
        <v>327</v>
      </c>
      <c r="B1859" s="28"/>
      <c r="C1859" s="27"/>
      <c r="D1859" s="27" t="str">
        <f>"""NAV Direct"",""CRONUS JetCorp USA"",""21"",""1"",""328411"""</f>
        <v>"NAV Direct","CRONUS JetCorp USA","21","1","328411"</v>
      </c>
      <c r="E1859" s="31" t="str">
        <f t="shared" si="562"/>
        <v>C100064</v>
      </c>
      <c r="F1859" s="31"/>
      <c r="G1859" s="31"/>
      <c r="H1859" s="31"/>
      <c r="I1859" s="56"/>
      <c r="J1859" s="56"/>
      <c r="K1859" s="82" t="str">
        <f t="shared" si="563"/>
        <v>Invoice</v>
      </c>
      <c r="L1859" s="83" t="str">
        <f>"SI_110321"</f>
        <v>SI_110321</v>
      </c>
      <c r="M1859" s="84">
        <v>43677</v>
      </c>
      <c r="N1859" s="85">
        <f t="shared" si="564"/>
        <v>135</v>
      </c>
      <c r="O1859" s="86">
        <f t="shared" si="565"/>
        <v>16263.86</v>
      </c>
      <c r="P1859" s="86">
        <f t="shared" si="566"/>
        <v>0</v>
      </c>
      <c r="Q1859" s="86">
        <f t="shared" si="567"/>
        <v>0</v>
      </c>
      <c r="R1859" s="86">
        <f t="shared" si="568"/>
        <v>0</v>
      </c>
      <c r="S1859" s="86">
        <f t="shared" si="569"/>
        <v>0</v>
      </c>
      <c r="T1859" s="86">
        <f t="shared" si="570"/>
        <v>16263.86</v>
      </c>
      <c r="U1859" s="87">
        <v>16263.86</v>
      </c>
    </row>
    <row r="1860" spans="1:21" s="30" customFormat="1" ht="24.6" hidden="1" outlineLevel="1" x14ac:dyDescent="0.55000000000000004">
      <c r="A1860" s="27" t="s">
        <v>327</v>
      </c>
      <c r="B1860" s="28"/>
      <c r="C1860" s="27"/>
      <c r="D1860" s="27" t="str">
        <f>"""NAV Direct"",""CRONUS JetCorp USA"",""21"",""1"",""328434"""</f>
        <v>"NAV Direct","CRONUS JetCorp USA","21","1","328434"</v>
      </c>
      <c r="E1860" s="31">
        <f t="shared" si="562"/>
        <v>0</v>
      </c>
      <c r="F1860" s="31"/>
      <c r="G1860" s="31"/>
      <c r="H1860" s="31"/>
      <c r="I1860" s="56"/>
      <c r="J1860" s="56"/>
      <c r="K1860" s="82" t="str">
        <f t="shared" si="563"/>
        <v>Invoice</v>
      </c>
      <c r="L1860" s="83" t="str">
        <f>"SI_110322"</f>
        <v>SI_110322</v>
      </c>
      <c r="M1860" s="84">
        <v>43708</v>
      </c>
      <c r="N1860" s="85">
        <f t="shared" si="564"/>
        <v>104</v>
      </c>
      <c r="O1860" s="86">
        <f t="shared" si="565"/>
        <v>16602.02</v>
      </c>
      <c r="P1860" s="86">
        <f t="shared" si="566"/>
        <v>0</v>
      </c>
      <c r="Q1860" s="86">
        <f t="shared" si="567"/>
        <v>0</v>
      </c>
      <c r="R1860" s="86">
        <f t="shared" si="568"/>
        <v>0</v>
      </c>
      <c r="S1860" s="86">
        <f t="shared" si="569"/>
        <v>0</v>
      </c>
      <c r="T1860" s="86">
        <f t="shared" si="570"/>
        <v>16602.02</v>
      </c>
      <c r="U1860" s="87">
        <v>16602.02</v>
      </c>
    </row>
    <row r="1861" spans="1:21" s="30" customFormat="1" ht="24.6" hidden="1" outlineLevel="1" x14ac:dyDescent="0.55000000000000004">
      <c r="A1861" s="27" t="s">
        <v>327</v>
      </c>
      <c r="B1861" s="28"/>
      <c r="C1861" s="27"/>
      <c r="D1861" s="27" t="str">
        <f>"""NAV Direct"",""CRONUS JetCorp USA"",""21"",""1"",""328459"""</f>
        <v>"NAV Direct","CRONUS JetCorp USA","21","1","328459"</v>
      </c>
      <c r="E1861" s="31" t="str">
        <f t="shared" si="562"/>
        <v>C100064</v>
      </c>
      <c r="F1861" s="31"/>
      <c r="G1861" s="31"/>
      <c r="H1861" s="31"/>
      <c r="I1861" s="56"/>
      <c r="J1861" s="56"/>
      <c r="K1861" s="82" t="str">
        <f t="shared" si="563"/>
        <v>Invoice</v>
      </c>
      <c r="L1861" s="83" t="str">
        <f>"SI_110323"</f>
        <v>SI_110323</v>
      </c>
      <c r="M1861" s="84">
        <v>43708</v>
      </c>
      <c r="N1861" s="85">
        <f t="shared" si="564"/>
        <v>104</v>
      </c>
      <c r="O1861" s="86">
        <f t="shared" si="565"/>
        <v>16432.810000000001</v>
      </c>
      <c r="P1861" s="86">
        <f t="shared" si="566"/>
        <v>0</v>
      </c>
      <c r="Q1861" s="86">
        <f t="shared" si="567"/>
        <v>0</v>
      </c>
      <c r="R1861" s="86">
        <f t="shared" si="568"/>
        <v>0</v>
      </c>
      <c r="S1861" s="86">
        <f t="shared" si="569"/>
        <v>0</v>
      </c>
      <c r="T1861" s="86">
        <f t="shared" si="570"/>
        <v>16432.810000000001</v>
      </c>
      <c r="U1861" s="87">
        <v>16432.810000000001</v>
      </c>
    </row>
    <row r="1862" spans="1:21" s="30" customFormat="1" ht="24.6" hidden="1" outlineLevel="1" x14ac:dyDescent="0.55000000000000004">
      <c r="A1862" s="27" t="s">
        <v>327</v>
      </c>
      <c r="B1862" s="28"/>
      <c r="C1862" s="27"/>
      <c r="D1862" s="27" t="str">
        <f>"""NAV Direct"",""CRONUS JetCorp USA"",""21"",""1"",""328482"""</f>
        <v>"NAV Direct","CRONUS JetCorp USA","21","1","328482"</v>
      </c>
      <c r="E1862" s="31">
        <f t="shared" si="562"/>
        <v>0</v>
      </c>
      <c r="F1862" s="31"/>
      <c r="G1862" s="31"/>
      <c r="H1862" s="31"/>
      <c r="I1862" s="56"/>
      <c r="J1862" s="56"/>
      <c r="K1862" s="82" t="str">
        <f t="shared" si="563"/>
        <v>Invoice</v>
      </c>
      <c r="L1862" s="83" t="str">
        <f>"SI_110324"</f>
        <v>SI_110324</v>
      </c>
      <c r="M1862" s="84">
        <v>43708</v>
      </c>
      <c r="N1862" s="85">
        <f t="shared" si="564"/>
        <v>104</v>
      </c>
      <c r="O1862" s="86">
        <f t="shared" si="565"/>
        <v>16601.79</v>
      </c>
      <c r="P1862" s="86">
        <f t="shared" si="566"/>
        <v>0</v>
      </c>
      <c r="Q1862" s="86">
        <f t="shared" si="567"/>
        <v>0</v>
      </c>
      <c r="R1862" s="86">
        <f t="shared" si="568"/>
        <v>0</v>
      </c>
      <c r="S1862" s="86">
        <f t="shared" si="569"/>
        <v>0</v>
      </c>
      <c r="T1862" s="86">
        <f t="shared" si="570"/>
        <v>16601.79</v>
      </c>
      <c r="U1862" s="87">
        <v>16601.79</v>
      </c>
    </row>
    <row r="1863" spans="1:21" s="30" customFormat="1" ht="24.6" hidden="1" outlineLevel="1" x14ac:dyDescent="0.55000000000000004">
      <c r="A1863" s="27" t="s">
        <v>327</v>
      </c>
      <c r="B1863" s="28"/>
      <c r="C1863" s="27"/>
      <c r="D1863" s="27" t="str">
        <f>"""NAV Direct"",""CRONUS JetCorp USA"",""21"",""1"",""328538"""</f>
        <v>"NAV Direct","CRONUS JetCorp USA","21","1","328538"</v>
      </c>
      <c r="E1863" s="31" t="str">
        <f t="shared" si="562"/>
        <v>C100064</v>
      </c>
      <c r="F1863" s="31"/>
      <c r="G1863" s="31"/>
      <c r="H1863" s="31"/>
      <c r="I1863" s="56"/>
      <c r="J1863" s="56"/>
      <c r="K1863" s="82" t="str">
        <f t="shared" si="563"/>
        <v>Invoice</v>
      </c>
      <c r="L1863" s="83" t="str">
        <f>"SI_110326"</f>
        <v>SI_110326</v>
      </c>
      <c r="M1863" s="84">
        <v>43738</v>
      </c>
      <c r="N1863" s="85">
        <f t="shared" si="564"/>
        <v>74</v>
      </c>
      <c r="O1863" s="86">
        <f t="shared" si="565"/>
        <v>16612.66</v>
      </c>
      <c r="P1863" s="86">
        <f t="shared" si="566"/>
        <v>0</v>
      </c>
      <c r="Q1863" s="86">
        <f t="shared" si="567"/>
        <v>0</v>
      </c>
      <c r="R1863" s="86">
        <f t="shared" si="568"/>
        <v>0</v>
      </c>
      <c r="S1863" s="86">
        <f t="shared" si="569"/>
        <v>16612.66</v>
      </c>
      <c r="T1863" s="86">
        <f t="shared" si="570"/>
        <v>0</v>
      </c>
      <c r="U1863" s="87">
        <v>16612.66</v>
      </c>
    </row>
    <row r="1864" spans="1:21" s="30" customFormat="1" ht="24.6" hidden="1" outlineLevel="1" x14ac:dyDescent="0.55000000000000004">
      <c r="A1864" s="27" t="s">
        <v>327</v>
      </c>
      <c r="B1864" s="28"/>
      <c r="C1864" s="27"/>
      <c r="D1864" s="27" t="str">
        <f>"""NAV Direct"",""CRONUS JetCorp USA"",""21"",""1"",""328561"""</f>
        <v>"NAV Direct","CRONUS JetCorp USA","21","1","328561"</v>
      </c>
      <c r="E1864" s="31">
        <f t="shared" si="562"/>
        <v>0</v>
      </c>
      <c r="F1864" s="31"/>
      <c r="G1864" s="31"/>
      <c r="H1864" s="31"/>
      <c r="I1864" s="56"/>
      <c r="J1864" s="56"/>
      <c r="K1864" s="82" t="str">
        <f t="shared" si="563"/>
        <v>Invoice</v>
      </c>
      <c r="L1864" s="83" t="str">
        <f>"SI_110327"</f>
        <v>SI_110327</v>
      </c>
      <c r="M1864" s="84">
        <v>43738</v>
      </c>
      <c r="N1864" s="85">
        <f t="shared" si="564"/>
        <v>74</v>
      </c>
      <c r="O1864" s="86">
        <f t="shared" si="565"/>
        <v>16442.120000000003</v>
      </c>
      <c r="P1864" s="86">
        <f t="shared" si="566"/>
        <v>0</v>
      </c>
      <c r="Q1864" s="86">
        <f t="shared" si="567"/>
        <v>0</v>
      </c>
      <c r="R1864" s="86">
        <f t="shared" si="568"/>
        <v>0</v>
      </c>
      <c r="S1864" s="86">
        <f t="shared" si="569"/>
        <v>16442.120000000003</v>
      </c>
      <c r="T1864" s="86">
        <f t="shared" si="570"/>
        <v>0</v>
      </c>
      <c r="U1864" s="87">
        <v>16442.120000000003</v>
      </c>
    </row>
    <row r="1865" spans="1:21" s="30" customFormat="1" ht="24.6" hidden="1" outlineLevel="1" x14ac:dyDescent="0.55000000000000004">
      <c r="A1865" s="27" t="s">
        <v>327</v>
      </c>
      <c r="B1865" s="28"/>
      <c r="C1865" s="27"/>
      <c r="D1865" s="27" t="str">
        <f>"""NAV Direct"",""CRONUS JetCorp USA"",""21"",""1"",""328584"""</f>
        <v>"NAV Direct","CRONUS JetCorp USA","21","1","328584"</v>
      </c>
      <c r="E1865" s="31" t="str">
        <f t="shared" si="562"/>
        <v>C100064</v>
      </c>
      <c r="F1865" s="31"/>
      <c r="G1865" s="31"/>
      <c r="H1865" s="31"/>
      <c r="I1865" s="56"/>
      <c r="J1865" s="56"/>
      <c r="K1865" s="82" t="str">
        <f t="shared" si="563"/>
        <v>Invoice</v>
      </c>
      <c r="L1865" s="83" t="str">
        <f>"SI_110328"</f>
        <v>SI_110328</v>
      </c>
      <c r="M1865" s="84">
        <v>43769</v>
      </c>
      <c r="N1865" s="85">
        <f t="shared" si="564"/>
        <v>43</v>
      </c>
      <c r="O1865" s="86">
        <f t="shared" si="565"/>
        <v>17288.16</v>
      </c>
      <c r="P1865" s="86">
        <f t="shared" si="566"/>
        <v>0</v>
      </c>
      <c r="Q1865" s="86">
        <f t="shared" si="567"/>
        <v>0</v>
      </c>
      <c r="R1865" s="86">
        <f t="shared" si="568"/>
        <v>17288.16</v>
      </c>
      <c r="S1865" s="86">
        <f t="shared" si="569"/>
        <v>0</v>
      </c>
      <c r="T1865" s="86">
        <f t="shared" si="570"/>
        <v>0</v>
      </c>
      <c r="U1865" s="87">
        <v>17288.16</v>
      </c>
    </row>
    <row r="1866" spans="1:21" s="30" customFormat="1" ht="24.6" hidden="1" outlineLevel="1" x14ac:dyDescent="0.55000000000000004">
      <c r="A1866" s="27" t="s">
        <v>327</v>
      </c>
      <c r="B1866" s="28"/>
      <c r="C1866" s="27"/>
      <c r="D1866" s="27" t="str">
        <f>"""NAV Direct"",""CRONUS JetCorp USA"",""21"",""1"",""328640"""</f>
        <v>"NAV Direct","CRONUS JetCorp USA","21","1","328640"</v>
      </c>
      <c r="E1866" s="31">
        <f t="shared" si="562"/>
        <v>0</v>
      </c>
      <c r="F1866" s="31"/>
      <c r="G1866" s="31"/>
      <c r="H1866" s="31"/>
      <c r="I1866" s="56"/>
      <c r="J1866" s="56"/>
      <c r="K1866" s="82" t="str">
        <f t="shared" si="563"/>
        <v>Invoice</v>
      </c>
      <c r="L1866" s="83" t="str">
        <f>"SI_110330"</f>
        <v>SI_110330</v>
      </c>
      <c r="M1866" s="84">
        <v>43799</v>
      </c>
      <c r="N1866" s="85">
        <f t="shared" si="564"/>
        <v>13</v>
      </c>
      <c r="O1866" s="86">
        <f t="shared" si="565"/>
        <v>17111.63</v>
      </c>
      <c r="P1866" s="86">
        <f t="shared" si="566"/>
        <v>0</v>
      </c>
      <c r="Q1866" s="86">
        <f t="shared" si="567"/>
        <v>17111.63</v>
      </c>
      <c r="R1866" s="86">
        <f t="shared" si="568"/>
        <v>0</v>
      </c>
      <c r="S1866" s="86">
        <f t="shared" si="569"/>
        <v>0</v>
      </c>
      <c r="T1866" s="86">
        <f t="shared" si="570"/>
        <v>0</v>
      </c>
      <c r="U1866" s="87">
        <v>17111.63</v>
      </c>
    </row>
    <row r="1867" spans="1:21" s="30" customFormat="1" ht="24.6" hidden="1" outlineLevel="1" x14ac:dyDescent="0.55000000000000004">
      <c r="A1867" s="27" t="s">
        <v>327</v>
      </c>
      <c r="B1867" s="28"/>
      <c r="C1867" s="27"/>
      <c r="D1867" s="27" t="str">
        <f>"""NAV Direct"",""CRONUS JetCorp USA"",""21"",""1"",""328837"""</f>
        <v>"NAV Direct","CRONUS JetCorp USA","21","1","328837"</v>
      </c>
      <c r="E1867" s="31" t="str">
        <f t="shared" si="562"/>
        <v>C100064</v>
      </c>
      <c r="F1867" s="31"/>
      <c r="G1867" s="31"/>
      <c r="H1867" s="31"/>
      <c r="I1867" s="56"/>
      <c r="J1867" s="56"/>
      <c r="K1867" s="82" t="str">
        <f t="shared" si="563"/>
        <v>Invoice</v>
      </c>
      <c r="L1867" s="83" t="str">
        <f>"SI_110337"</f>
        <v>SI_110337</v>
      </c>
      <c r="M1867" s="84">
        <v>43830</v>
      </c>
      <c r="N1867" s="85">
        <f t="shared" si="564"/>
        <v>-18</v>
      </c>
      <c r="O1867" s="86">
        <f t="shared" si="565"/>
        <v>17962.89</v>
      </c>
      <c r="P1867" s="86">
        <f t="shared" si="566"/>
        <v>17962.89</v>
      </c>
      <c r="Q1867" s="86">
        <f t="shared" si="567"/>
        <v>0</v>
      </c>
      <c r="R1867" s="86">
        <f t="shared" si="568"/>
        <v>0</v>
      </c>
      <c r="S1867" s="86">
        <f t="shared" si="569"/>
        <v>0</v>
      </c>
      <c r="T1867" s="86">
        <f t="shared" si="570"/>
        <v>0</v>
      </c>
      <c r="U1867" s="87">
        <v>17962.89</v>
      </c>
    </row>
    <row r="1868" spans="1:21" s="30" customFormat="1" ht="24.6" hidden="1" outlineLevel="1" x14ac:dyDescent="0.55000000000000004">
      <c r="A1868" s="27" t="s">
        <v>327</v>
      </c>
      <c r="B1868" s="28"/>
      <c r="C1868" s="27"/>
      <c r="D1868" s="27" t="str">
        <f>"""NAV Direct"",""CRONUS JetCorp USA"",""21"",""1"",""328860"""</f>
        <v>"NAV Direct","CRONUS JetCorp USA","21","1","328860"</v>
      </c>
      <c r="E1868" s="31">
        <f t="shared" si="562"/>
        <v>0</v>
      </c>
      <c r="F1868" s="31"/>
      <c r="G1868" s="31"/>
      <c r="H1868" s="31"/>
      <c r="I1868" s="56"/>
      <c r="J1868" s="56"/>
      <c r="K1868" s="82" t="str">
        <f t="shared" si="563"/>
        <v>Invoice</v>
      </c>
      <c r="L1868" s="83" t="str">
        <f>"SI_110338"</f>
        <v>SI_110338</v>
      </c>
      <c r="M1868" s="84">
        <v>42035</v>
      </c>
      <c r="N1868" s="85">
        <f t="shared" si="564"/>
        <v>1777</v>
      </c>
      <c r="O1868" s="86">
        <f t="shared" si="565"/>
        <v>17921.900000000001</v>
      </c>
      <c r="P1868" s="86">
        <f t="shared" si="566"/>
        <v>0</v>
      </c>
      <c r="Q1868" s="86">
        <f t="shared" si="567"/>
        <v>0</v>
      </c>
      <c r="R1868" s="86">
        <f t="shared" si="568"/>
        <v>0</v>
      </c>
      <c r="S1868" s="86">
        <f t="shared" si="569"/>
        <v>0</v>
      </c>
      <c r="T1868" s="86">
        <f t="shared" si="570"/>
        <v>17921.900000000001</v>
      </c>
      <c r="U1868" s="87">
        <v>17921.900000000001</v>
      </c>
    </row>
    <row r="1869" spans="1:21" s="30" customFormat="1" ht="24.6" hidden="1" outlineLevel="1" x14ac:dyDescent="0.55000000000000004">
      <c r="A1869" s="27" t="s">
        <v>327</v>
      </c>
      <c r="B1869" s="28"/>
      <c r="C1869" s="27"/>
      <c r="D1869" s="27" t="str">
        <f>"""NAV Direct"",""CRONUS JetCorp USA"",""21"",""1"",""328887"""</f>
        <v>"NAV Direct","CRONUS JetCorp USA","21","1","328887"</v>
      </c>
      <c r="E1869" s="31" t="str">
        <f t="shared" si="562"/>
        <v>C100064</v>
      </c>
      <c r="F1869" s="31"/>
      <c r="G1869" s="31"/>
      <c r="H1869" s="31"/>
      <c r="I1869" s="56"/>
      <c r="J1869" s="56"/>
      <c r="K1869" s="82" t="str">
        <f t="shared" si="563"/>
        <v>Invoice</v>
      </c>
      <c r="L1869" s="83" t="str">
        <f>"SI_110339"</f>
        <v>SI_110339</v>
      </c>
      <c r="M1869" s="84">
        <v>42035</v>
      </c>
      <c r="N1869" s="85">
        <f t="shared" si="564"/>
        <v>1777</v>
      </c>
      <c r="O1869" s="86">
        <f t="shared" si="565"/>
        <v>17736.7</v>
      </c>
      <c r="P1869" s="86">
        <f t="shared" si="566"/>
        <v>0</v>
      </c>
      <c r="Q1869" s="86">
        <f t="shared" si="567"/>
        <v>0</v>
      </c>
      <c r="R1869" s="86">
        <f t="shared" si="568"/>
        <v>0</v>
      </c>
      <c r="S1869" s="86">
        <f t="shared" si="569"/>
        <v>0</v>
      </c>
      <c r="T1869" s="86">
        <f t="shared" si="570"/>
        <v>17736.7</v>
      </c>
      <c r="U1869" s="87">
        <v>17736.7</v>
      </c>
    </row>
    <row r="1870" spans="1:21" s="30" customFormat="1" ht="24.6" hidden="1" outlineLevel="1" x14ac:dyDescent="0.55000000000000004">
      <c r="A1870" s="27" t="s">
        <v>327</v>
      </c>
      <c r="B1870" s="28"/>
      <c r="C1870" s="27"/>
      <c r="D1870" s="27" t="str">
        <f>"""NAV Direct"",""CRONUS JetCorp USA"",""21"",""1"",""328968"""</f>
        <v>"NAV Direct","CRONUS JetCorp USA","21","1","328968"</v>
      </c>
      <c r="E1870" s="31">
        <f t="shared" si="562"/>
        <v>0</v>
      </c>
      <c r="F1870" s="31"/>
      <c r="G1870" s="31"/>
      <c r="H1870" s="31"/>
      <c r="I1870" s="56"/>
      <c r="J1870" s="56"/>
      <c r="K1870" s="82" t="str">
        <f t="shared" si="563"/>
        <v>Invoice</v>
      </c>
      <c r="L1870" s="83" t="str">
        <f>"SI_110342"</f>
        <v>SI_110342</v>
      </c>
      <c r="M1870" s="84">
        <v>42063</v>
      </c>
      <c r="N1870" s="85">
        <f t="shared" si="564"/>
        <v>1749</v>
      </c>
      <c r="O1870" s="86">
        <f t="shared" si="565"/>
        <v>18620.89</v>
      </c>
      <c r="P1870" s="86">
        <f t="shared" si="566"/>
        <v>0</v>
      </c>
      <c r="Q1870" s="86">
        <f t="shared" si="567"/>
        <v>0</v>
      </c>
      <c r="R1870" s="86">
        <f t="shared" si="568"/>
        <v>0</v>
      </c>
      <c r="S1870" s="86">
        <f t="shared" si="569"/>
        <v>0</v>
      </c>
      <c r="T1870" s="86">
        <f t="shared" si="570"/>
        <v>18620.89</v>
      </c>
      <c r="U1870" s="87">
        <v>18620.89</v>
      </c>
    </row>
    <row r="1871" spans="1:21" s="30" customFormat="1" ht="24.6" hidden="1" outlineLevel="1" x14ac:dyDescent="0.55000000000000004">
      <c r="A1871" s="27" t="s">
        <v>327</v>
      </c>
      <c r="B1871" s="28"/>
      <c r="C1871" s="27"/>
      <c r="D1871" s="27" t="str">
        <f>"""NAV Direct"",""CRONUS JetCorp USA"",""21"",""1"",""329125"""</f>
        <v>"NAV Direct","CRONUS JetCorp USA","21","1","329125"</v>
      </c>
      <c r="E1871" s="31" t="str">
        <f t="shared" si="562"/>
        <v>C100064</v>
      </c>
      <c r="F1871" s="31"/>
      <c r="G1871" s="31"/>
      <c r="H1871" s="31"/>
      <c r="I1871" s="56"/>
      <c r="J1871" s="56"/>
      <c r="K1871" s="82" t="str">
        <f t="shared" si="563"/>
        <v>Invoice</v>
      </c>
      <c r="L1871" s="83" t="str">
        <f>"SI_110347"</f>
        <v>SI_110347</v>
      </c>
      <c r="M1871" s="84">
        <v>42124</v>
      </c>
      <c r="N1871" s="85">
        <f t="shared" si="564"/>
        <v>1688</v>
      </c>
      <c r="O1871" s="86">
        <f t="shared" si="565"/>
        <v>19761.48</v>
      </c>
      <c r="P1871" s="86">
        <f t="shared" si="566"/>
        <v>0</v>
      </c>
      <c r="Q1871" s="86">
        <f t="shared" si="567"/>
        <v>0</v>
      </c>
      <c r="R1871" s="86">
        <f t="shared" si="568"/>
        <v>0</v>
      </c>
      <c r="S1871" s="86">
        <f t="shared" si="569"/>
        <v>0</v>
      </c>
      <c r="T1871" s="86">
        <f t="shared" si="570"/>
        <v>19761.48</v>
      </c>
      <c r="U1871" s="87">
        <v>19761.48</v>
      </c>
    </row>
    <row r="1872" spans="1:21" s="30" customFormat="1" ht="24.6" hidden="1" outlineLevel="1" x14ac:dyDescent="0.55000000000000004">
      <c r="A1872" s="27" t="s">
        <v>327</v>
      </c>
      <c r="B1872" s="28"/>
      <c r="C1872" s="27"/>
      <c r="D1872" s="27" t="str">
        <f>"""NAV Direct"",""CRONUS JetCorp USA"",""21"",""1"",""329173"""</f>
        <v>"NAV Direct","CRONUS JetCorp USA","21","1","329173"</v>
      </c>
      <c r="E1872" s="31">
        <f t="shared" si="562"/>
        <v>0</v>
      </c>
      <c r="F1872" s="31"/>
      <c r="G1872" s="31"/>
      <c r="H1872" s="31"/>
      <c r="I1872" s="56"/>
      <c r="J1872" s="56"/>
      <c r="K1872" s="82" t="str">
        <f t="shared" si="563"/>
        <v>Invoice</v>
      </c>
      <c r="L1872" s="83" t="str">
        <f>"SI_110349"</f>
        <v>SI_110349</v>
      </c>
      <c r="M1872" s="84">
        <v>42124</v>
      </c>
      <c r="N1872" s="85">
        <f t="shared" si="564"/>
        <v>1688</v>
      </c>
      <c r="O1872" s="86">
        <f t="shared" si="565"/>
        <v>19358.04</v>
      </c>
      <c r="P1872" s="86">
        <f t="shared" si="566"/>
        <v>0</v>
      </c>
      <c r="Q1872" s="86">
        <f t="shared" si="567"/>
        <v>0</v>
      </c>
      <c r="R1872" s="86">
        <f t="shared" si="568"/>
        <v>0</v>
      </c>
      <c r="S1872" s="86">
        <f t="shared" si="569"/>
        <v>0</v>
      </c>
      <c r="T1872" s="86">
        <f t="shared" si="570"/>
        <v>19358.04</v>
      </c>
      <c r="U1872" s="87">
        <v>19358.04</v>
      </c>
    </row>
    <row r="1873" spans="1:21" s="30" customFormat="1" ht="24.6" hidden="1" outlineLevel="1" x14ac:dyDescent="0.55000000000000004">
      <c r="A1873" s="27" t="s">
        <v>327</v>
      </c>
      <c r="B1873" s="28"/>
      <c r="C1873" s="27"/>
      <c r="D1873" s="27" t="str">
        <f>"""NAV Direct"",""CRONUS JetCorp USA"",""21"",""1"",""329310"""</f>
        <v>"NAV Direct","CRONUS JetCorp USA","21","1","329310"</v>
      </c>
      <c r="E1873" s="31" t="str">
        <f t="shared" si="562"/>
        <v>C100064</v>
      </c>
      <c r="F1873" s="31"/>
      <c r="G1873" s="31"/>
      <c r="H1873" s="31"/>
      <c r="I1873" s="56"/>
      <c r="J1873" s="56"/>
      <c r="K1873" s="82" t="str">
        <f t="shared" si="563"/>
        <v>Invoice</v>
      </c>
      <c r="L1873" s="83" t="str">
        <f>"SI_110354"</f>
        <v>SI_110354</v>
      </c>
      <c r="M1873" s="84">
        <v>42185</v>
      </c>
      <c r="N1873" s="85">
        <f t="shared" si="564"/>
        <v>1627</v>
      </c>
      <c r="O1873" s="86">
        <f t="shared" si="565"/>
        <v>19746.350000000002</v>
      </c>
      <c r="P1873" s="86">
        <f t="shared" si="566"/>
        <v>0</v>
      </c>
      <c r="Q1873" s="86">
        <f t="shared" si="567"/>
        <v>0</v>
      </c>
      <c r="R1873" s="86">
        <f t="shared" si="568"/>
        <v>0</v>
      </c>
      <c r="S1873" s="86">
        <f t="shared" si="569"/>
        <v>0</v>
      </c>
      <c r="T1873" s="86">
        <f t="shared" si="570"/>
        <v>19746.350000000002</v>
      </c>
      <c r="U1873" s="87">
        <v>19746.350000000002</v>
      </c>
    </row>
    <row r="1874" spans="1:21" s="30" customFormat="1" ht="24.6" hidden="1" outlineLevel="1" x14ac:dyDescent="0.55000000000000004">
      <c r="A1874" s="27" t="s">
        <v>327</v>
      </c>
      <c r="B1874" s="28"/>
      <c r="C1874" s="27"/>
      <c r="D1874" s="27" t="str">
        <f>"""NAV Direct"",""CRONUS JetCorp USA"",""21"",""1"",""329490"""</f>
        <v>"NAV Direct","CRONUS JetCorp USA","21","1","329490"</v>
      </c>
      <c r="E1874" s="31">
        <f t="shared" si="562"/>
        <v>0</v>
      </c>
      <c r="F1874" s="31"/>
      <c r="G1874" s="31"/>
      <c r="H1874" s="31"/>
      <c r="I1874" s="56"/>
      <c r="J1874" s="56"/>
      <c r="K1874" s="82" t="str">
        <f t="shared" si="563"/>
        <v>Invoice</v>
      </c>
      <c r="L1874" s="83" t="str">
        <f>"SI_110360"</f>
        <v>SI_110360</v>
      </c>
      <c r="M1874" s="84">
        <v>42216</v>
      </c>
      <c r="N1874" s="85">
        <f t="shared" si="564"/>
        <v>1596</v>
      </c>
      <c r="O1874" s="86">
        <f t="shared" si="565"/>
        <v>20540.72</v>
      </c>
      <c r="P1874" s="86">
        <f t="shared" si="566"/>
        <v>0</v>
      </c>
      <c r="Q1874" s="86">
        <f t="shared" si="567"/>
        <v>0</v>
      </c>
      <c r="R1874" s="86">
        <f t="shared" si="568"/>
        <v>0</v>
      </c>
      <c r="S1874" s="86">
        <f t="shared" si="569"/>
        <v>0</v>
      </c>
      <c r="T1874" s="86">
        <f t="shared" si="570"/>
        <v>20540.72</v>
      </c>
      <c r="U1874" s="87">
        <v>20540.72</v>
      </c>
    </row>
    <row r="1875" spans="1:21" s="30" customFormat="1" ht="24.6" hidden="1" outlineLevel="1" x14ac:dyDescent="0.55000000000000004">
      <c r="A1875" s="27" t="s">
        <v>327</v>
      </c>
      <c r="B1875" s="28"/>
      <c r="C1875" s="27"/>
      <c r="D1875" s="27" t="str">
        <f>"""NAV Direct"",""CRONUS JetCorp USA"",""21"",""1"",""329729"""</f>
        <v>"NAV Direct","CRONUS JetCorp USA","21","1","329729"</v>
      </c>
      <c r="E1875" s="31" t="str">
        <f t="shared" si="562"/>
        <v>C100064</v>
      </c>
      <c r="F1875" s="31"/>
      <c r="G1875" s="31"/>
      <c r="H1875" s="31"/>
      <c r="I1875" s="56"/>
      <c r="J1875" s="56"/>
      <c r="K1875" s="82" t="str">
        <f t="shared" si="563"/>
        <v>Invoice</v>
      </c>
      <c r="L1875" s="83" t="str">
        <f>"SI_110368"</f>
        <v>SI_110368</v>
      </c>
      <c r="M1875" s="84">
        <v>42308</v>
      </c>
      <c r="N1875" s="85">
        <f t="shared" si="564"/>
        <v>1504</v>
      </c>
      <c r="O1875" s="86">
        <f t="shared" si="565"/>
        <v>18484.09</v>
      </c>
      <c r="P1875" s="86">
        <f t="shared" si="566"/>
        <v>0</v>
      </c>
      <c r="Q1875" s="86">
        <f t="shared" si="567"/>
        <v>0</v>
      </c>
      <c r="R1875" s="86">
        <f t="shared" si="568"/>
        <v>0</v>
      </c>
      <c r="S1875" s="86">
        <f t="shared" si="569"/>
        <v>0</v>
      </c>
      <c r="T1875" s="86">
        <f t="shared" si="570"/>
        <v>18484.09</v>
      </c>
      <c r="U1875" s="87">
        <v>18484.09</v>
      </c>
    </row>
    <row r="1876" spans="1:21" s="30" customFormat="1" ht="24.6" hidden="1" outlineLevel="1" x14ac:dyDescent="0.55000000000000004">
      <c r="A1876" s="27" t="s">
        <v>327</v>
      </c>
      <c r="B1876" s="28"/>
      <c r="C1876" s="27"/>
      <c r="D1876" s="27" t="str">
        <f>"""NAV Direct"",""CRONUS JetCorp USA"",""21"",""1"",""329754"""</f>
        <v>"NAV Direct","CRONUS JetCorp USA","21","1","329754"</v>
      </c>
      <c r="E1876" s="31">
        <f t="shared" si="562"/>
        <v>0</v>
      </c>
      <c r="F1876" s="31"/>
      <c r="G1876" s="31"/>
      <c r="H1876" s="31"/>
      <c r="I1876" s="56"/>
      <c r="J1876" s="56"/>
      <c r="K1876" s="82" t="str">
        <f t="shared" si="563"/>
        <v>Invoice</v>
      </c>
      <c r="L1876" s="83" t="str">
        <f>"SI_110369"</f>
        <v>SI_110369</v>
      </c>
      <c r="M1876" s="84">
        <v>42338</v>
      </c>
      <c r="N1876" s="85">
        <f t="shared" si="564"/>
        <v>1474</v>
      </c>
      <c r="O1876" s="86">
        <f t="shared" si="565"/>
        <v>19602.210000000003</v>
      </c>
      <c r="P1876" s="86">
        <f t="shared" si="566"/>
        <v>0</v>
      </c>
      <c r="Q1876" s="86">
        <f t="shared" si="567"/>
        <v>0</v>
      </c>
      <c r="R1876" s="86">
        <f t="shared" si="568"/>
        <v>0</v>
      </c>
      <c r="S1876" s="86">
        <f t="shared" si="569"/>
        <v>0</v>
      </c>
      <c r="T1876" s="86">
        <f t="shared" si="570"/>
        <v>19602.210000000003</v>
      </c>
      <c r="U1876" s="87">
        <v>19602.210000000003</v>
      </c>
    </row>
    <row r="1877" spans="1:21" s="30" customFormat="1" ht="24.6" hidden="1" outlineLevel="1" x14ac:dyDescent="0.55000000000000004">
      <c r="A1877" s="27" t="s">
        <v>327</v>
      </c>
      <c r="B1877" s="28"/>
      <c r="C1877" s="27"/>
      <c r="D1877" s="27" t="str">
        <f>"""NAV Direct"",""CRONUS JetCorp USA"",""21"",""1"",""329847"""</f>
        <v>"NAV Direct","CRONUS JetCorp USA","21","1","329847"</v>
      </c>
      <c r="E1877" s="31" t="str">
        <f t="shared" si="562"/>
        <v>C100064</v>
      </c>
      <c r="F1877" s="31"/>
      <c r="G1877" s="31"/>
      <c r="H1877" s="31"/>
      <c r="I1877" s="56"/>
      <c r="J1877" s="56"/>
      <c r="K1877" s="82" t="str">
        <f t="shared" si="563"/>
        <v>Invoice</v>
      </c>
      <c r="L1877" s="83" t="str">
        <f>"SI_110372"</f>
        <v>SI_110372</v>
      </c>
      <c r="M1877" s="84">
        <v>42369</v>
      </c>
      <c r="N1877" s="85">
        <f t="shared" si="564"/>
        <v>1443</v>
      </c>
      <c r="O1877" s="86">
        <f t="shared" si="565"/>
        <v>19735.440000000002</v>
      </c>
      <c r="P1877" s="86">
        <f t="shared" si="566"/>
        <v>0</v>
      </c>
      <c r="Q1877" s="86">
        <f t="shared" si="567"/>
        <v>0</v>
      </c>
      <c r="R1877" s="86">
        <f t="shared" si="568"/>
        <v>0</v>
      </c>
      <c r="S1877" s="86">
        <f t="shared" si="569"/>
        <v>0</v>
      </c>
      <c r="T1877" s="86">
        <f t="shared" si="570"/>
        <v>19735.440000000002</v>
      </c>
      <c r="U1877" s="87">
        <v>19735.440000000002</v>
      </c>
    </row>
    <row r="1878" spans="1:21" s="30" customFormat="1" ht="24.6" hidden="1" outlineLevel="1" x14ac:dyDescent="0.55000000000000004">
      <c r="A1878" s="27" t="s">
        <v>327</v>
      </c>
      <c r="B1878" s="28"/>
      <c r="C1878" s="27"/>
      <c r="D1878" s="27" t="str">
        <f>"""NAV Direct"",""CRONUS JetCorp USA"",""21"",""1"",""329866"""</f>
        <v>"NAV Direct","CRONUS JetCorp USA","21","1","329866"</v>
      </c>
      <c r="E1878" s="31">
        <f t="shared" si="562"/>
        <v>0</v>
      </c>
      <c r="F1878" s="31"/>
      <c r="G1878" s="31"/>
      <c r="H1878" s="31"/>
      <c r="I1878" s="56"/>
      <c r="J1878" s="56"/>
      <c r="K1878" s="82" t="str">
        <f t="shared" si="563"/>
        <v>Invoice</v>
      </c>
      <c r="L1878" s="83" t="str">
        <f>"SI_110373"</f>
        <v>SI_110373</v>
      </c>
      <c r="M1878" s="84">
        <v>42369</v>
      </c>
      <c r="N1878" s="85">
        <f t="shared" si="564"/>
        <v>1443</v>
      </c>
      <c r="O1878" s="86">
        <f t="shared" si="565"/>
        <v>19531.21</v>
      </c>
      <c r="P1878" s="86">
        <f t="shared" si="566"/>
        <v>0</v>
      </c>
      <c r="Q1878" s="86">
        <f t="shared" si="567"/>
        <v>0</v>
      </c>
      <c r="R1878" s="86">
        <f t="shared" si="568"/>
        <v>0</v>
      </c>
      <c r="S1878" s="86">
        <f t="shared" si="569"/>
        <v>0</v>
      </c>
      <c r="T1878" s="86">
        <f t="shared" si="570"/>
        <v>19531.21</v>
      </c>
      <c r="U1878" s="87">
        <v>19531.21</v>
      </c>
    </row>
    <row r="1879" spans="1:21" s="30" customFormat="1" ht="24.6" hidden="1" outlineLevel="1" x14ac:dyDescent="0.55000000000000004">
      <c r="A1879" s="27" t="s">
        <v>327</v>
      </c>
      <c r="B1879" s="28"/>
      <c r="C1879" s="27"/>
      <c r="D1879" s="27" t="str">
        <f>"""NAV Direct"",""CRONUS JetCorp USA"",""21"",""1"",""431973"""</f>
        <v>"NAV Direct","CRONUS JetCorp USA","21","1","431973"</v>
      </c>
      <c r="E1879" s="31" t="str">
        <f t="shared" si="562"/>
        <v>C100064</v>
      </c>
      <c r="F1879" s="31"/>
      <c r="G1879" s="31"/>
      <c r="H1879" s="31"/>
      <c r="I1879" s="56"/>
      <c r="J1879" s="56"/>
      <c r="K1879" s="82" t="str">
        <f t="shared" ref="K1879:K1895" si="571">"Credit Memo"</f>
        <v>Credit Memo</v>
      </c>
      <c r="L1879" s="83" t="str">
        <f>"SC_100388"</f>
        <v>SC_100388</v>
      </c>
      <c r="M1879" s="84">
        <v>42408</v>
      </c>
      <c r="N1879" s="85">
        <f t="shared" si="564"/>
        <v>1404</v>
      </c>
      <c r="O1879" s="86">
        <f t="shared" si="565"/>
        <v>-169.89000000000001</v>
      </c>
      <c r="P1879" s="86">
        <f t="shared" si="566"/>
        <v>0</v>
      </c>
      <c r="Q1879" s="86">
        <f t="shared" si="567"/>
        <v>0</v>
      </c>
      <c r="R1879" s="86">
        <f t="shared" si="568"/>
        <v>0</v>
      </c>
      <c r="S1879" s="86">
        <f t="shared" si="569"/>
        <v>0</v>
      </c>
      <c r="T1879" s="86">
        <f t="shared" si="570"/>
        <v>-169.89000000000001</v>
      </c>
      <c r="U1879" s="87">
        <v>-169.89000000000001</v>
      </c>
    </row>
    <row r="1880" spans="1:21" s="30" customFormat="1" ht="24.6" hidden="1" outlineLevel="1" x14ac:dyDescent="0.55000000000000004">
      <c r="A1880" s="27" t="s">
        <v>327</v>
      </c>
      <c r="B1880" s="28"/>
      <c r="C1880" s="27"/>
      <c r="D1880" s="27" t="str">
        <f>"""NAV Direct"",""CRONUS JetCorp USA"",""21"",""1"",""432007"""</f>
        <v>"NAV Direct","CRONUS JetCorp USA","21","1","432007"</v>
      </c>
      <c r="E1880" s="31">
        <f t="shared" si="562"/>
        <v>0</v>
      </c>
      <c r="F1880" s="31"/>
      <c r="G1880" s="31"/>
      <c r="H1880" s="31"/>
      <c r="I1880" s="56"/>
      <c r="J1880" s="56"/>
      <c r="K1880" s="82" t="str">
        <f t="shared" si="571"/>
        <v>Credit Memo</v>
      </c>
      <c r="L1880" s="83" t="str">
        <f>"SC_100390"</f>
        <v>SC_100390</v>
      </c>
      <c r="M1880" s="84">
        <v>42442</v>
      </c>
      <c r="N1880" s="85">
        <f t="shared" si="564"/>
        <v>1370</v>
      </c>
      <c r="O1880" s="86">
        <f t="shared" si="565"/>
        <v>-167.36</v>
      </c>
      <c r="P1880" s="86">
        <f t="shared" si="566"/>
        <v>0</v>
      </c>
      <c r="Q1880" s="86">
        <f t="shared" si="567"/>
        <v>0</v>
      </c>
      <c r="R1880" s="86">
        <f t="shared" si="568"/>
        <v>0</v>
      </c>
      <c r="S1880" s="86">
        <f t="shared" si="569"/>
        <v>0</v>
      </c>
      <c r="T1880" s="86">
        <f t="shared" si="570"/>
        <v>-167.36</v>
      </c>
      <c r="U1880" s="87">
        <v>-167.36</v>
      </c>
    </row>
    <row r="1881" spans="1:21" s="30" customFormat="1" ht="24.6" hidden="1" outlineLevel="1" x14ac:dyDescent="0.55000000000000004">
      <c r="A1881" s="27" t="s">
        <v>327</v>
      </c>
      <c r="B1881" s="28"/>
      <c r="C1881" s="27"/>
      <c r="D1881" s="27" t="str">
        <f>"""NAV Direct"",""CRONUS JetCorp USA"",""21"",""1"",""432060"""</f>
        <v>"NAV Direct","CRONUS JetCorp USA","21","1","432060"</v>
      </c>
      <c r="E1881" s="31" t="str">
        <f t="shared" si="562"/>
        <v>C100064</v>
      </c>
      <c r="F1881" s="31"/>
      <c r="G1881" s="31"/>
      <c r="H1881" s="31"/>
      <c r="I1881" s="56"/>
      <c r="J1881" s="56"/>
      <c r="K1881" s="82" t="str">
        <f t="shared" si="571"/>
        <v>Credit Memo</v>
      </c>
      <c r="L1881" s="83" t="str">
        <f>"SC_100393"</f>
        <v>SC_100393</v>
      </c>
      <c r="M1881" s="84">
        <v>42621</v>
      </c>
      <c r="N1881" s="85">
        <f t="shared" si="564"/>
        <v>1191</v>
      </c>
      <c r="O1881" s="86">
        <f t="shared" si="565"/>
        <v>-185.26000000000002</v>
      </c>
      <c r="P1881" s="86">
        <f t="shared" si="566"/>
        <v>0</v>
      </c>
      <c r="Q1881" s="86">
        <f t="shared" si="567"/>
        <v>0</v>
      </c>
      <c r="R1881" s="86">
        <f t="shared" si="568"/>
        <v>0</v>
      </c>
      <c r="S1881" s="86">
        <f t="shared" si="569"/>
        <v>0</v>
      </c>
      <c r="T1881" s="86">
        <f t="shared" si="570"/>
        <v>-185.26000000000002</v>
      </c>
      <c r="U1881" s="87">
        <v>-185.26000000000002</v>
      </c>
    </row>
    <row r="1882" spans="1:21" s="30" customFormat="1" ht="24.6" hidden="1" outlineLevel="1" x14ac:dyDescent="0.55000000000000004">
      <c r="A1882" s="27" t="s">
        <v>327</v>
      </c>
      <c r="B1882" s="28"/>
      <c r="C1882" s="27"/>
      <c r="D1882" s="27" t="str">
        <f>"""NAV Direct"",""CRONUS JetCorp USA"",""21"",""1"",""432084"""</f>
        <v>"NAV Direct","CRONUS JetCorp USA","21","1","432084"</v>
      </c>
      <c r="E1882" s="31">
        <f t="shared" si="562"/>
        <v>0</v>
      </c>
      <c r="F1882" s="31"/>
      <c r="G1882" s="31"/>
      <c r="H1882" s="31"/>
      <c r="I1882" s="56"/>
      <c r="J1882" s="56"/>
      <c r="K1882" s="82" t="str">
        <f t="shared" si="571"/>
        <v>Credit Memo</v>
      </c>
      <c r="L1882" s="83" t="str">
        <f>"SC_100395"</f>
        <v>SC_100395</v>
      </c>
      <c r="M1882" s="84">
        <v>42734</v>
      </c>
      <c r="N1882" s="85">
        <f t="shared" si="564"/>
        <v>1078</v>
      </c>
      <c r="O1882" s="86">
        <f t="shared" si="565"/>
        <v>-198.32000000000002</v>
      </c>
      <c r="P1882" s="86">
        <f t="shared" si="566"/>
        <v>0</v>
      </c>
      <c r="Q1882" s="86">
        <f t="shared" si="567"/>
        <v>0</v>
      </c>
      <c r="R1882" s="86">
        <f t="shared" si="568"/>
        <v>0</v>
      </c>
      <c r="S1882" s="86">
        <f t="shared" si="569"/>
        <v>0</v>
      </c>
      <c r="T1882" s="86">
        <f t="shared" si="570"/>
        <v>-198.32000000000002</v>
      </c>
      <c r="U1882" s="87">
        <v>-198.32000000000002</v>
      </c>
    </row>
    <row r="1883" spans="1:21" s="30" customFormat="1" ht="24.6" hidden="1" outlineLevel="1" x14ac:dyDescent="0.55000000000000004">
      <c r="A1883" s="27" t="s">
        <v>327</v>
      </c>
      <c r="B1883" s="28"/>
      <c r="C1883" s="27"/>
      <c r="D1883" s="27" t="str">
        <f>"""NAV Direct"",""CRONUS JetCorp USA"",""21"",""1"",""432249"""</f>
        <v>"NAV Direct","CRONUS JetCorp USA","21","1","432249"</v>
      </c>
      <c r="E1883" s="31" t="str">
        <f t="shared" si="562"/>
        <v>C100064</v>
      </c>
      <c r="F1883" s="31"/>
      <c r="G1883" s="31"/>
      <c r="H1883" s="31"/>
      <c r="I1883" s="56"/>
      <c r="J1883" s="56"/>
      <c r="K1883" s="82" t="str">
        <f t="shared" si="571"/>
        <v>Credit Memo</v>
      </c>
      <c r="L1883" s="83" t="str">
        <f>"SC_100406"</f>
        <v>SC_100406</v>
      </c>
      <c r="M1883" s="84">
        <v>43107</v>
      </c>
      <c r="N1883" s="85">
        <f t="shared" si="564"/>
        <v>705</v>
      </c>
      <c r="O1883" s="86">
        <f t="shared" si="565"/>
        <v>-156.70000000000002</v>
      </c>
      <c r="P1883" s="86">
        <f t="shared" si="566"/>
        <v>0</v>
      </c>
      <c r="Q1883" s="86">
        <f t="shared" si="567"/>
        <v>0</v>
      </c>
      <c r="R1883" s="86">
        <f t="shared" si="568"/>
        <v>0</v>
      </c>
      <c r="S1883" s="86">
        <f t="shared" si="569"/>
        <v>0</v>
      </c>
      <c r="T1883" s="86">
        <f t="shared" si="570"/>
        <v>-156.70000000000002</v>
      </c>
      <c r="U1883" s="87">
        <v>-156.70000000000002</v>
      </c>
    </row>
    <row r="1884" spans="1:21" s="30" customFormat="1" ht="24.6" hidden="1" outlineLevel="1" x14ac:dyDescent="0.55000000000000004">
      <c r="A1884" s="27" t="s">
        <v>327</v>
      </c>
      <c r="B1884" s="28"/>
      <c r="C1884" s="27"/>
      <c r="D1884" s="27" t="str">
        <f>"""NAV Direct"",""CRONUS JetCorp USA"",""21"",""1"",""432281"""</f>
        <v>"NAV Direct","CRONUS JetCorp USA","21","1","432281"</v>
      </c>
      <c r="E1884" s="31">
        <f t="shared" si="562"/>
        <v>0</v>
      </c>
      <c r="F1884" s="31"/>
      <c r="G1884" s="31"/>
      <c r="H1884" s="31"/>
      <c r="I1884" s="56"/>
      <c r="J1884" s="56"/>
      <c r="K1884" s="82" t="str">
        <f t="shared" si="571"/>
        <v>Credit Memo</v>
      </c>
      <c r="L1884" s="83" t="str">
        <f>"SC_100408"</f>
        <v>SC_100408</v>
      </c>
      <c r="M1884" s="84">
        <v>43136</v>
      </c>
      <c r="N1884" s="85">
        <f t="shared" si="564"/>
        <v>676</v>
      </c>
      <c r="O1884" s="86">
        <f t="shared" si="565"/>
        <v>-153.13999999999999</v>
      </c>
      <c r="P1884" s="86">
        <f t="shared" si="566"/>
        <v>0</v>
      </c>
      <c r="Q1884" s="86">
        <f t="shared" si="567"/>
        <v>0</v>
      </c>
      <c r="R1884" s="86">
        <f t="shared" si="568"/>
        <v>0</v>
      </c>
      <c r="S1884" s="86">
        <f t="shared" si="569"/>
        <v>0</v>
      </c>
      <c r="T1884" s="86">
        <f t="shared" si="570"/>
        <v>-153.13999999999999</v>
      </c>
      <c r="U1884" s="87">
        <v>-153.13999999999999</v>
      </c>
    </row>
    <row r="1885" spans="1:21" s="30" customFormat="1" ht="24.6" hidden="1" outlineLevel="1" x14ac:dyDescent="0.55000000000000004">
      <c r="A1885" s="27" t="s">
        <v>327</v>
      </c>
      <c r="B1885" s="28"/>
      <c r="C1885" s="27"/>
      <c r="D1885" s="27" t="str">
        <f>"""NAV Direct"",""CRONUS JetCorp USA"",""21"",""1"",""432372"""</f>
        <v>"NAV Direct","CRONUS JetCorp USA","21","1","432372"</v>
      </c>
      <c r="E1885" s="31" t="str">
        <f t="shared" si="562"/>
        <v>C100064</v>
      </c>
      <c r="F1885" s="31"/>
      <c r="G1885" s="31"/>
      <c r="H1885" s="31"/>
      <c r="I1885" s="56"/>
      <c r="J1885" s="56"/>
      <c r="K1885" s="82" t="str">
        <f t="shared" si="571"/>
        <v>Credit Memo</v>
      </c>
      <c r="L1885" s="83" t="str">
        <f>"SC_100413"</f>
        <v>SC_100413</v>
      </c>
      <c r="M1885" s="84">
        <v>43205</v>
      </c>
      <c r="N1885" s="85">
        <f t="shared" si="564"/>
        <v>607</v>
      </c>
      <c r="O1885" s="86">
        <f t="shared" si="565"/>
        <v>-144.25</v>
      </c>
      <c r="P1885" s="86">
        <f t="shared" si="566"/>
        <v>0</v>
      </c>
      <c r="Q1885" s="86">
        <f t="shared" si="567"/>
        <v>0</v>
      </c>
      <c r="R1885" s="86">
        <f t="shared" si="568"/>
        <v>0</v>
      </c>
      <c r="S1885" s="86">
        <f t="shared" si="569"/>
        <v>0</v>
      </c>
      <c r="T1885" s="86">
        <f t="shared" si="570"/>
        <v>-144.25</v>
      </c>
      <c r="U1885" s="87">
        <v>-144.25</v>
      </c>
    </row>
    <row r="1886" spans="1:21" s="30" customFormat="1" ht="24.6" hidden="1" outlineLevel="1" x14ac:dyDescent="0.55000000000000004">
      <c r="A1886" s="27" t="s">
        <v>327</v>
      </c>
      <c r="B1886" s="28"/>
      <c r="C1886" s="27"/>
      <c r="D1886" s="27" t="str">
        <f>"""NAV Direct"",""CRONUS JetCorp USA"",""21"",""1"",""432404"""</f>
        <v>"NAV Direct","CRONUS JetCorp USA","21","1","432404"</v>
      </c>
      <c r="E1886" s="31">
        <f t="shared" si="562"/>
        <v>0</v>
      </c>
      <c r="F1886" s="31"/>
      <c r="G1886" s="31"/>
      <c r="H1886" s="31"/>
      <c r="I1886" s="56"/>
      <c r="J1886" s="56"/>
      <c r="K1886" s="82" t="str">
        <f t="shared" si="571"/>
        <v>Credit Memo</v>
      </c>
      <c r="L1886" s="83" t="str">
        <f>"SC_100415"</f>
        <v>SC_100415</v>
      </c>
      <c r="M1886" s="84">
        <v>43229</v>
      </c>
      <c r="N1886" s="85">
        <f t="shared" si="564"/>
        <v>583</v>
      </c>
      <c r="O1886" s="86">
        <f t="shared" si="565"/>
        <v>-144.78</v>
      </c>
      <c r="P1886" s="86">
        <f t="shared" si="566"/>
        <v>0</v>
      </c>
      <c r="Q1886" s="86">
        <f t="shared" si="567"/>
        <v>0</v>
      </c>
      <c r="R1886" s="86">
        <f t="shared" si="568"/>
        <v>0</v>
      </c>
      <c r="S1886" s="86">
        <f t="shared" si="569"/>
        <v>0</v>
      </c>
      <c r="T1886" s="86">
        <f t="shared" si="570"/>
        <v>-144.78</v>
      </c>
      <c r="U1886" s="87">
        <v>-144.78</v>
      </c>
    </row>
    <row r="1887" spans="1:21" s="30" customFormat="1" ht="24.6" hidden="1" outlineLevel="1" x14ac:dyDescent="0.55000000000000004">
      <c r="A1887" s="27" t="s">
        <v>327</v>
      </c>
      <c r="B1887" s="28"/>
      <c r="C1887" s="27"/>
      <c r="D1887" s="27" t="str">
        <f>"""NAV Direct"",""CRONUS JetCorp USA"",""21"",""1"",""432419"""</f>
        <v>"NAV Direct","CRONUS JetCorp USA","21","1","432419"</v>
      </c>
      <c r="E1887" s="31" t="str">
        <f t="shared" ref="E1887:E1895" si="572">E1885</f>
        <v>C100064</v>
      </c>
      <c r="F1887" s="31"/>
      <c r="G1887" s="31"/>
      <c r="H1887" s="31"/>
      <c r="I1887" s="56"/>
      <c r="J1887" s="56"/>
      <c r="K1887" s="82" t="str">
        <f t="shared" si="571"/>
        <v>Credit Memo</v>
      </c>
      <c r="L1887" s="83" t="str">
        <f>"SC_100416"</f>
        <v>SC_100416</v>
      </c>
      <c r="M1887" s="84">
        <v>43278</v>
      </c>
      <c r="N1887" s="85">
        <f t="shared" ref="N1887:N1895" si="573">StartDate-$M1887+1</f>
        <v>534</v>
      </c>
      <c r="O1887" s="86">
        <f t="shared" ref="O1887:O1895" si="574">SUM(P1887:T1887)</f>
        <v>-141.57000000000002</v>
      </c>
      <c r="P1887" s="86">
        <f t="shared" ref="P1887:P1895" si="575">IF($M1887&gt;=$P$18,U1887,0)</f>
        <v>0</v>
      </c>
      <c r="Q1887" s="86">
        <f t="shared" ref="Q1887:Q1895" si="576">IF(AND($M1887&gt;=$Q$16,$M1887&lt;=$Q$18),U1887,0)</f>
        <v>0</v>
      </c>
      <c r="R1887" s="86">
        <f t="shared" ref="R1887:R1895" si="577">IF(AND($M1887&gt;=$R$16,$M1887&lt;=$R$18),U1887,0)</f>
        <v>0</v>
      </c>
      <c r="S1887" s="86">
        <f t="shared" ref="S1887:S1895" si="578">IF(AND($M1887&gt;=$S$16,$M1887&lt;=$S$18),U1887,0)</f>
        <v>0</v>
      </c>
      <c r="T1887" s="86">
        <f t="shared" ref="T1887:T1895" si="579">IF($M1887&lt;=$T$18,U1887,0)</f>
        <v>-141.57000000000002</v>
      </c>
      <c r="U1887" s="87">
        <v>-141.57000000000002</v>
      </c>
    </row>
    <row r="1888" spans="1:21" s="30" customFormat="1" ht="24.6" hidden="1" outlineLevel="1" x14ac:dyDescent="0.55000000000000004">
      <c r="A1888" s="27" t="s">
        <v>327</v>
      </c>
      <c r="B1888" s="28"/>
      <c r="C1888" s="27"/>
      <c r="D1888" s="27" t="str">
        <f>"""NAV Direct"",""CRONUS JetCorp USA"",""21"",""1"",""432450"""</f>
        <v>"NAV Direct","CRONUS JetCorp USA","21","1","432450"</v>
      </c>
      <c r="E1888" s="31">
        <f t="shared" si="572"/>
        <v>0</v>
      </c>
      <c r="F1888" s="31"/>
      <c r="G1888" s="31"/>
      <c r="H1888" s="31"/>
      <c r="I1888" s="56"/>
      <c r="J1888" s="56"/>
      <c r="K1888" s="82" t="str">
        <f t="shared" si="571"/>
        <v>Credit Memo</v>
      </c>
      <c r="L1888" s="83" t="str">
        <f>"SC_100418"</f>
        <v>SC_100418</v>
      </c>
      <c r="M1888" s="84">
        <v>43319</v>
      </c>
      <c r="N1888" s="85">
        <f t="shared" si="573"/>
        <v>493</v>
      </c>
      <c r="O1888" s="86">
        <f t="shared" si="574"/>
        <v>-134.26</v>
      </c>
      <c r="P1888" s="86">
        <f t="shared" si="575"/>
        <v>0</v>
      </c>
      <c r="Q1888" s="86">
        <f t="shared" si="576"/>
        <v>0</v>
      </c>
      <c r="R1888" s="86">
        <f t="shared" si="577"/>
        <v>0</v>
      </c>
      <c r="S1888" s="86">
        <f t="shared" si="578"/>
        <v>0</v>
      </c>
      <c r="T1888" s="86">
        <f t="shared" si="579"/>
        <v>-134.26</v>
      </c>
      <c r="U1888" s="87">
        <v>-134.26</v>
      </c>
    </row>
    <row r="1889" spans="1:22" s="30" customFormat="1" ht="24.6" hidden="1" outlineLevel="1" x14ac:dyDescent="0.55000000000000004">
      <c r="A1889" s="27" t="s">
        <v>327</v>
      </c>
      <c r="B1889" s="28"/>
      <c r="C1889" s="27"/>
      <c r="D1889" s="27" t="str">
        <f>"""NAV Direct"",""CRONUS JetCorp USA"",""21"",""1"",""432505"""</f>
        <v>"NAV Direct","CRONUS JetCorp USA","21","1","432505"</v>
      </c>
      <c r="E1889" s="31" t="str">
        <f t="shared" si="572"/>
        <v>C100064</v>
      </c>
      <c r="F1889" s="31"/>
      <c r="G1889" s="31"/>
      <c r="H1889" s="31"/>
      <c r="I1889" s="56"/>
      <c r="J1889" s="56"/>
      <c r="K1889" s="82" t="str">
        <f t="shared" si="571"/>
        <v>Credit Memo</v>
      </c>
      <c r="L1889" s="83" t="str">
        <f>"SC_100421"</f>
        <v>SC_100421</v>
      </c>
      <c r="M1889" s="84">
        <v>43513</v>
      </c>
      <c r="N1889" s="85">
        <f t="shared" si="573"/>
        <v>299</v>
      </c>
      <c r="O1889" s="86">
        <f t="shared" si="574"/>
        <v>-146.04000000000002</v>
      </c>
      <c r="P1889" s="86">
        <f t="shared" si="575"/>
        <v>0</v>
      </c>
      <c r="Q1889" s="86">
        <f t="shared" si="576"/>
        <v>0</v>
      </c>
      <c r="R1889" s="86">
        <f t="shared" si="577"/>
        <v>0</v>
      </c>
      <c r="S1889" s="86">
        <f t="shared" si="578"/>
        <v>0</v>
      </c>
      <c r="T1889" s="86">
        <f t="shared" si="579"/>
        <v>-146.04000000000002</v>
      </c>
      <c r="U1889" s="87">
        <v>-146.04000000000002</v>
      </c>
    </row>
    <row r="1890" spans="1:22" s="30" customFormat="1" ht="24.6" hidden="1" outlineLevel="1" x14ac:dyDescent="0.55000000000000004">
      <c r="A1890" s="27" t="s">
        <v>327</v>
      </c>
      <c r="B1890" s="28"/>
      <c r="C1890" s="27"/>
      <c r="D1890" s="27" t="str">
        <f>"""NAV Direct"",""CRONUS JetCorp USA"",""21"",""1"",""432556"""</f>
        <v>"NAV Direct","CRONUS JetCorp USA","21","1","432556"</v>
      </c>
      <c r="E1890" s="31">
        <f t="shared" si="572"/>
        <v>0</v>
      </c>
      <c r="F1890" s="31"/>
      <c r="G1890" s="31"/>
      <c r="H1890" s="31"/>
      <c r="I1890" s="56"/>
      <c r="J1890" s="56"/>
      <c r="K1890" s="82" t="str">
        <f t="shared" si="571"/>
        <v>Credit Memo</v>
      </c>
      <c r="L1890" s="83" t="str">
        <f>"SC_100424"</f>
        <v>SC_100424</v>
      </c>
      <c r="M1890" s="84">
        <v>43666</v>
      </c>
      <c r="N1890" s="85">
        <f t="shared" si="573"/>
        <v>146</v>
      </c>
      <c r="O1890" s="86">
        <f t="shared" si="574"/>
        <v>-162.08000000000001</v>
      </c>
      <c r="P1890" s="86">
        <f t="shared" si="575"/>
        <v>0</v>
      </c>
      <c r="Q1890" s="86">
        <f t="shared" si="576"/>
        <v>0</v>
      </c>
      <c r="R1890" s="86">
        <f t="shared" si="577"/>
        <v>0</v>
      </c>
      <c r="S1890" s="86">
        <f t="shared" si="578"/>
        <v>0</v>
      </c>
      <c r="T1890" s="86">
        <f t="shared" si="579"/>
        <v>-162.08000000000001</v>
      </c>
      <c r="U1890" s="87">
        <v>-162.08000000000001</v>
      </c>
    </row>
    <row r="1891" spans="1:22" s="30" customFormat="1" ht="24.6" hidden="1" outlineLevel="1" x14ac:dyDescent="0.55000000000000004">
      <c r="A1891" s="27" t="s">
        <v>327</v>
      </c>
      <c r="B1891" s="28"/>
      <c r="C1891" s="27"/>
      <c r="D1891" s="27" t="str">
        <f>"""NAV Direct"",""CRONUS JetCorp USA"",""21"",""1"",""432571"""</f>
        <v>"NAV Direct","CRONUS JetCorp USA","21","1","432571"</v>
      </c>
      <c r="E1891" s="31" t="str">
        <f t="shared" si="572"/>
        <v>C100064</v>
      </c>
      <c r="F1891" s="31"/>
      <c r="G1891" s="31"/>
      <c r="H1891" s="31"/>
      <c r="I1891" s="56"/>
      <c r="J1891" s="56"/>
      <c r="K1891" s="82" t="str">
        <f t="shared" si="571"/>
        <v>Credit Memo</v>
      </c>
      <c r="L1891" s="83" t="str">
        <f>"SC_100425"</f>
        <v>SC_100425</v>
      </c>
      <c r="M1891" s="84">
        <v>43718</v>
      </c>
      <c r="N1891" s="85">
        <f t="shared" si="573"/>
        <v>94</v>
      </c>
      <c r="O1891" s="86">
        <f t="shared" si="574"/>
        <v>-165.34</v>
      </c>
      <c r="P1891" s="86">
        <f t="shared" si="575"/>
        <v>0</v>
      </c>
      <c r="Q1891" s="86">
        <f t="shared" si="576"/>
        <v>0</v>
      </c>
      <c r="R1891" s="86">
        <f t="shared" si="577"/>
        <v>0</v>
      </c>
      <c r="S1891" s="86">
        <f t="shared" si="578"/>
        <v>0</v>
      </c>
      <c r="T1891" s="86">
        <f t="shared" si="579"/>
        <v>-165.34</v>
      </c>
      <c r="U1891" s="87">
        <v>-165.34</v>
      </c>
    </row>
    <row r="1892" spans="1:22" s="30" customFormat="1" ht="24.6" hidden="1" outlineLevel="1" x14ac:dyDescent="0.55000000000000004">
      <c r="A1892" s="27" t="s">
        <v>327</v>
      </c>
      <c r="B1892" s="28"/>
      <c r="C1892" s="27"/>
      <c r="D1892" s="27" t="str">
        <f>"""NAV Direct"",""CRONUS JetCorp USA"",""21"",""1"",""432626"""</f>
        <v>"NAV Direct","CRONUS JetCorp USA","21","1","432626"</v>
      </c>
      <c r="E1892" s="31">
        <f t="shared" si="572"/>
        <v>0</v>
      </c>
      <c r="F1892" s="31"/>
      <c r="G1892" s="31"/>
      <c r="H1892" s="31"/>
      <c r="I1892" s="56"/>
      <c r="J1892" s="56"/>
      <c r="K1892" s="82" t="str">
        <f t="shared" si="571"/>
        <v>Credit Memo</v>
      </c>
      <c r="L1892" s="83" t="str">
        <f>"SC_100428"</f>
        <v>SC_100428</v>
      </c>
      <c r="M1892" s="84">
        <v>42067</v>
      </c>
      <c r="N1892" s="85">
        <f t="shared" si="573"/>
        <v>1745</v>
      </c>
      <c r="O1892" s="86">
        <f t="shared" si="574"/>
        <v>-185.74</v>
      </c>
      <c r="P1892" s="86">
        <f t="shared" si="575"/>
        <v>0</v>
      </c>
      <c r="Q1892" s="86">
        <f t="shared" si="576"/>
        <v>0</v>
      </c>
      <c r="R1892" s="86">
        <f t="shared" si="577"/>
        <v>0</v>
      </c>
      <c r="S1892" s="86">
        <f t="shared" si="578"/>
        <v>0</v>
      </c>
      <c r="T1892" s="86">
        <f t="shared" si="579"/>
        <v>-185.74</v>
      </c>
      <c r="U1892" s="87">
        <v>-185.74</v>
      </c>
    </row>
    <row r="1893" spans="1:22" s="30" customFormat="1" ht="24.6" hidden="1" outlineLevel="1" x14ac:dyDescent="0.55000000000000004">
      <c r="A1893" s="27" t="s">
        <v>327</v>
      </c>
      <c r="B1893" s="28"/>
      <c r="C1893" s="27"/>
      <c r="D1893" s="27" t="str">
        <f>"""NAV Direct"",""CRONUS JetCorp USA"",""21"",""1"",""432637"""</f>
        <v>"NAV Direct","CRONUS JetCorp USA","21","1","432637"</v>
      </c>
      <c r="E1893" s="31" t="str">
        <f t="shared" si="572"/>
        <v>C100064</v>
      </c>
      <c r="F1893" s="31"/>
      <c r="G1893" s="31"/>
      <c r="H1893" s="31"/>
      <c r="I1893" s="56"/>
      <c r="J1893" s="56"/>
      <c r="K1893" s="82" t="str">
        <f t="shared" si="571"/>
        <v>Credit Memo</v>
      </c>
      <c r="L1893" s="83" t="str">
        <f>"SC_100429"</f>
        <v>SC_100429</v>
      </c>
      <c r="M1893" s="84">
        <v>42071</v>
      </c>
      <c r="N1893" s="85">
        <f t="shared" si="573"/>
        <v>1741</v>
      </c>
      <c r="O1893" s="86">
        <f t="shared" si="574"/>
        <v>-189.74999999999997</v>
      </c>
      <c r="P1893" s="86">
        <f t="shared" si="575"/>
        <v>0</v>
      </c>
      <c r="Q1893" s="86">
        <f t="shared" si="576"/>
        <v>0</v>
      </c>
      <c r="R1893" s="86">
        <f t="shared" si="577"/>
        <v>0</v>
      </c>
      <c r="S1893" s="86">
        <f t="shared" si="578"/>
        <v>0</v>
      </c>
      <c r="T1893" s="86">
        <f t="shared" si="579"/>
        <v>-189.74999999999997</v>
      </c>
      <c r="U1893" s="87">
        <v>-189.74999999999997</v>
      </c>
    </row>
    <row r="1894" spans="1:22" s="30" customFormat="1" ht="24.6" hidden="1" outlineLevel="1" x14ac:dyDescent="0.55000000000000004">
      <c r="A1894" s="27" t="s">
        <v>327</v>
      </c>
      <c r="B1894" s="28"/>
      <c r="C1894" s="27"/>
      <c r="D1894" s="27" t="str">
        <f>"""NAV Direct"",""CRONUS JetCorp USA"",""21"",""1"",""432689"""</f>
        <v>"NAV Direct","CRONUS JetCorp USA","21","1","432689"</v>
      </c>
      <c r="E1894" s="31">
        <f t="shared" si="572"/>
        <v>0</v>
      </c>
      <c r="F1894" s="31"/>
      <c r="G1894" s="31"/>
      <c r="H1894" s="31"/>
      <c r="I1894" s="56"/>
      <c r="J1894" s="56"/>
      <c r="K1894" s="82" t="str">
        <f t="shared" si="571"/>
        <v>Credit Memo</v>
      </c>
      <c r="L1894" s="83" t="str">
        <f>"SC_100433"</f>
        <v>SC_100433</v>
      </c>
      <c r="M1894" s="84">
        <v>42265</v>
      </c>
      <c r="N1894" s="85">
        <f t="shared" si="573"/>
        <v>1547</v>
      </c>
      <c r="O1894" s="86">
        <f t="shared" si="574"/>
        <v>-186.22</v>
      </c>
      <c r="P1894" s="86">
        <f t="shared" si="575"/>
        <v>0</v>
      </c>
      <c r="Q1894" s="86">
        <f t="shared" si="576"/>
        <v>0</v>
      </c>
      <c r="R1894" s="86">
        <f t="shared" si="577"/>
        <v>0</v>
      </c>
      <c r="S1894" s="86">
        <f t="shared" si="578"/>
        <v>0</v>
      </c>
      <c r="T1894" s="86">
        <f t="shared" si="579"/>
        <v>-186.22</v>
      </c>
      <c r="U1894" s="87">
        <v>-186.22</v>
      </c>
    </row>
    <row r="1895" spans="1:22" s="30" customFormat="1" ht="24.6" hidden="1" outlineLevel="1" x14ac:dyDescent="0.55000000000000004">
      <c r="A1895" s="27" t="s">
        <v>327</v>
      </c>
      <c r="B1895" s="28"/>
      <c r="C1895" s="27"/>
      <c r="D1895" s="27" t="str">
        <f>"""NAV Direct"",""CRONUS JetCorp USA"",""21"",""1"",""432734"""</f>
        <v>"NAV Direct","CRONUS JetCorp USA","21","1","432734"</v>
      </c>
      <c r="E1895" s="31" t="str">
        <f t="shared" si="572"/>
        <v>C100064</v>
      </c>
      <c r="F1895" s="31"/>
      <c r="G1895" s="31"/>
      <c r="H1895" s="31"/>
      <c r="I1895" s="56"/>
      <c r="J1895" s="56"/>
      <c r="K1895" s="82" t="str">
        <f t="shared" si="571"/>
        <v>Credit Memo</v>
      </c>
      <c r="L1895" s="83" t="str">
        <f>"SC_100436"</f>
        <v>SC_100436</v>
      </c>
      <c r="M1895" s="84">
        <v>42292</v>
      </c>
      <c r="N1895" s="85">
        <f t="shared" si="573"/>
        <v>1520</v>
      </c>
      <c r="O1895" s="86">
        <f t="shared" si="574"/>
        <v>-186.59</v>
      </c>
      <c r="P1895" s="86">
        <f t="shared" si="575"/>
        <v>0</v>
      </c>
      <c r="Q1895" s="86">
        <f t="shared" si="576"/>
        <v>0</v>
      </c>
      <c r="R1895" s="86">
        <f t="shared" si="577"/>
        <v>0</v>
      </c>
      <c r="S1895" s="86">
        <f t="shared" si="578"/>
        <v>0</v>
      </c>
      <c r="T1895" s="86">
        <f t="shared" si="579"/>
        <v>-186.59</v>
      </c>
      <c r="U1895" s="87">
        <v>-186.59</v>
      </c>
    </row>
    <row r="1896" spans="1:22" s="22" customFormat="1" ht="20.399999999999999" collapsed="1" x14ac:dyDescent="0.45">
      <c r="A1896" s="12" t="s">
        <v>327</v>
      </c>
      <c r="B1896" s="19"/>
      <c r="C1896" s="12"/>
      <c r="D1896" s="12"/>
      <c r="E1896" s="23"/>
      <c r="F1896" s="23"/>
      <c r="G1896" s="23"/>
      <c r="H1896" s="23"/>
      <c r="I1896" s="49"/>
      <c r="J1896" s="88"/>
      <c r="K1896" s="88"/>
      <c r="L1896" s="89"/>
      <c r="M1896" s="89"/>
      <c r="N1896" s="89"/>
      <c r="O1896" s="89"/>
      <c r="P1896" s="89"/>
      <c r="Q1896" s="90"/>
      <c r="R1896" s="90"/>
      <c r="S1896" s="91"/>
      <c r="T1896" s="92"/>
      <c r="U1896" s="92"/>
    </row>
    <row r="1897" spans="1:22" s="22" customFormat="1" ht="20.399999999999999" x14ac:dyDescent="0.45">
      <c r="A1897" s="12" t="s">
        <v>327</v>
      </c>
      <c r="B1897" s="19"/>
      <c r="C1897" s="12"/>
      <c r="D1897" s="12"/>
      <c r="E1897" s="23"/>
      <c r="F1897" s="23"/>
      <c r="G1897" s="23"/>
      <c r="H1897" s="23"/>
      <c r="I1897" s="49"/>
      <c r="J1897" s="88"/>
      <c r="K1897" s="88"/>
      <c r="L1897" s="89"/>
      <c r="M1897" s="89"/>
      <c r="N1897" s="89"/>
      <c r="O1897" s="89"/>
      <c r="P1897" s="89"/>
      <c r="Q1897" s="90"/>
      <c r="R1897" s="90"/>
      <c r="S1897" s="91"/>
      <c r="T1897" s="92"/>
      <c r="U1897" s="92"/>
    </row>
    <row r="1898" spans="1:22" s="26" customFormat="1" ht="24.6" x14ac:dyDescent="0.55000000000000004">
      <c r="A1898" s="27" t="s">
        <v>327</v>
      </c>
      <c r="B1898" s="28"/>
      <c r="C1898" s="27" t="str">
        <f>"""NAV Direct"",""CRONUS JetCorp USA"",""18"",""1"",""C100065"""</f>
        <v>"NAV Direct","CRONUS JetCorp USA","18","1","C100065"</v>
      </c>
      <c r="D1898" s="27"/>
      <c r="E1898" s="28" t="str">
        <f>H1898</f>
        <v>C100065</v>
      </c>
      <c r="F1898" s="28"/>
      <c r="G1898" s="28"/>
      <c r="H1898" s="28" t="str">
        <f>"C100065"</f>
        <v>C100065</v>
      </c>
      <c r="I1898" s="116" t="str">
        <f>"C100065  -  Nieuwe Zandpoort NV"</f>
        <v>C100065  -  Nieuwe Zandpoort NV</v>
      </c>
      <c r="J1898" s="117" t="str">
        <f>""</f>
        <v/>
      </c>
      <c r="K1898" s="118"/>
      <c r="L1898" s="119">
        <f>SUBTOTAL(3,L1899:L1917)</f>
        <v>15</v>
      </c>
      <c r="M1898" s="118"/>
      <c r="N1898" s="118"/>
      <c r="O1898" s="120">
        <f t="shared" ref="O1898:T1898" si="580">SUBTOTAL(9,O1899:O1917)</f>
        <v>153647.75999999998</v>
      </c>
      <c r="P1898" s="120">
        <f t="shared" si="580"/>
        <v>0</v>
      </c>
      <c r="Q1898" s="120">
        <f t="shared" si="580"/>
        <v>0</v>
      </c>
      <c r="R1898" s="120">
        <f t="shared" si="580"/>
        <v>0</v>
      </c>
      <c r="S1898" s="120">
        <f t="shared" si="580"/>
        <v>0</v>
      </c>
      <c r="T1898" s="120">
        <f t="shared" si="580"/>
        <v>153647.75999999998</v>
      </c>
      <c r="U1898" s="81"/>
    </row>
    <row r="1899" spans="1:22" s="26" customFormat="1" ht="24.6" x14ac:dyDescent="0.55000000000000004">
      <c r="A1899" s="27" t="s">
        <v>327</v>
      </c>
      <c r="B1899" s="28"/>
      <c r="C1899" s="27" t="str">
        <f>C1898</f>
        <v>"NAV Direct","CRONUS JetCorp USA","18","1","C100065"</v>
      </c>
      <c r="D1899" s="27"/>
      <c r="E1899" s="28" t="str">
        <f>E1898</f>
        <v>C100065</v>
      </c>
      <c r="F1899" s="28"/>
      <c r="G1899" s="28"/>
      <c r="H1899" s="28"/>
      <c r="I1899" s="121" t="str">
        <f>"Contact: Kevin Verboort"</f>
        <v>Contact: Kevin Verboort</v>
      </c>
      <c r="J1899" s="121"/>
      <c r="K1899" s="122"/>
      <c r="L1899" s="123"/>
      <c r="M1899" s="123"/>
      <c r="N1899" s="124"/>
      <c r="O1899" s="124"/>
      <c r="P1899" s="123"/>
      <c r="Q1899" s="125"/>
      <c r="R1899" s="126"/>
      <c r="S1899" s="126"/>
      <c r="T1899" s="125"/>
      <c r="U1899" s="81"/>
    </row>
    <row r="1900" spans="1:22" s="26" customFormat="1" ht="24.6" x14ac:dyDescent="0.55000000000000004">
      <c r="A1900" s="27" t="s">
        <v>327</v>
      </c>
      <c r="B1900" s="28"/>
      <c r="C1900" s="27" t="str">
        <f>C1899</f>
        <v>"NAV Direct","CRONUS JetCorp USA","18","1","C100065"</v>
      </c>
      <c r="D1900" s="27"/>
      <c r="E1900" s="28" t="str">
        <f>E1899</f>
        <v>C100065</v>
      </c>
      <c r="F1900" s="28"/>
      <c r="G1900" s="28"/>
      <c r="H1900" s="28"/>
      <c r="I1900" s="121" t="str">
        <f>"nieuwe.zandpoort.nv@cronuscorp.net"</f>
        <v>nieuwe.zandpoort.nv@cronuscorp.net</v>
      </c>
      <c r="J1900" s="121"/>
      <c r="K1900" s="122"/>
      <c r="L1900" s="124"/>
      <c r="M1900" s="124"/>
      <c r="N1900" s="124"/>
      <c r="O1900" s="124"/>
      <c r="P1900" s="123"/>
      <c r="Q1900" s="125"/>
      <c r="R1900" s="126"/>
      <c r="S1900" s="126"/>
      <c r="T1900" s="125"/>
      <c r="U1900" s="81"/>
    </row>
    <row r="1901" spans="1:22" ht="12.75" hidden="1" customHeight="1" outlineLevel="1" x14ac:dyDescent="0.45">
      <c r="A1901" s="12" t="s">
        <v>328</v>
      </c>
      <c r="B1901" s="19"/>
      <c r="E1901" s="19"/>
      <c r="F1901" s="19"/>
      <c r="G1901" s="19"/>
      <c r="H1901" s="19"/>
      <c r="I1901" s="61"/>
      <c r="J1901" s="61"/>
      <c r="K1901" s="61"/>
      <c r="L1901" s="61"/>
      <c r="M1901" s="61"/>
      <c r="N1901" s="61"/>
      <c r="O1901" s="61"/>
      <c r="P1901" s="61"/>
      <c r="Q1901" s="61"/>
      <c r="R1901" s="61"/>
      <c r="S1901" s="61"/>
      <c r="T1901" s="61"/>
      <c r="U1901" s="61"/>
      <c r="V1901" s="21"/>
    </row>
    <row r="1902" spans="1:22" s="30" customFormat="1" ht="24.6" hidden="1" outlineLevel="1" x14ac:dyDescent="0.55000000000000004">
      <c r="A1902" s="27" t="s">
        <v>327</v>
      </c>
      <c r="B1902" s="28"/>
      <c r="C1902" s="27"/>
      <c r="D1902" s="27" t="str">
        <f>"""NAV Direct"",""CRONUS JetCorp USA"",""21"",""1"",""101902"""</f>
        <v>"NAV Direct","CRONUS JetCorp USA","21","1","101902"</v>
      </c>
      <c r="E1902" s="31" t="str">
        <f t="shared" ref="E1902:E1916" si="581">E1900</f>
        <v>C100065</v>
      </c>
      <c r="F1902" s="31"/>
      <c r="G1902" s="31"/>
      <c r="H1902" s="31"/>
      <c r="I1902" s="56"/>
      <c r="J1902" s="56"/>
      <c r="K1902" s="82" t="str">
        <f t="shared" ref="K1902:K1913" si="582">"Invoice"</f>
        <v>Invoice</v>
      </c>
      <c r="L1902" s="83" t="str">
        <f>"SI_106596"</f>
        <v>SI_106596</v>
      </c>
      <c r="M1902" s="84">
        <v>42156</v>
      </c>
      <c r="N1902" s="85">
        <f t="shared" ref="N1902:N1916" si="583">StartDate-$M1902+1</f>
        <v>1656</v>
      </c>
      <c r="O1902" s="86">
        <f t="shared" ref="O1902:O1916" si="584">SUM(P1902:T1902)</f>
        <v>16421.510000000002</v>
      </c>
      <c r="P1902" s="86">
        <f t="shared" ref="P1902:P1916" si="585">IF($M1902&gt;=$P$18,U1902,0)</f>
        <v>0</v>
      </c>
      <c r="Q1902" s="86">
        <f t="shared" ref="Q1902:Q1916" si="586">IF(AND($M1902&gt;=$Q$16,$M1902&lt;=$Q$18),U1902,0)</f>
        <v>0</v>
      </c>
      <c r="R1902" s="86">
        <f t="shared" ref="R1902:R1916" si="587">IF(AND($M1902&gt;=$R$16,$M1902&lt;=$R$18),U1902,0)</f>
        <v>0</v>
      </c>
      <c r="S1902" s="86">
        <f t="shared" ref="S1902:S1916" si="588">IF(AND($M1902&gt;=$S$16,$M1902&lt;=$S$18),U1902,0)</f>
        <v>0</v>
      </c>
      <c r="T1902" s="86">
        <f t="shared" ref="T1902:T1916" si="589">IF($M1902&lt;=$T$18,U1902,0)</f>
        <v>16421.510000000002</v>
      </c>
      <c r="U1902" s="87">
        <v>16421.510000000002</v>
      </c>
    </row>
    <row r="1903" spans="1:22" s="30" customFormat="1" ht="24.6" hidden="1" outlineLevel="1" x14ac:dyDescent="0.55000000000000004">
      <c r="A1903" s="27" t="s">
        <v>327</v>
      </c>
      <c r="B1903" s="28"/>
      <c r="C1903" s="27"/>
      <c r="D1903" s="27" t="str">
        <f>"""NAV Direct"",""CRONUS JetCorp USA"",""21"",""1"",""101970"""</f>
        <v>"NAV Direct","CRONUS JetCorp USA","21","1","101970"</v>
      </c>
      <c r="E1903" s="31">
        <f t="shared" si="581"/>
        <v>0</v>
      </c>
      <c r="F1903" s="31"/>
      <c r="G1903" s="31"/>
      <c r="H1903" s="31"/>
      <c r="I1903" s="56"/>
      <c r="J1903" s="56"/>
      <c r="K1903" s="82" t="str">
        <f t="shared" si="582"/>
        <v>Invoice</v>
      </c>
      <c r="L1903" s="83" t="str">
        <f>"SI_106598"</f>
        <v>SI_106598</v>
      </c>
      <c r="M1903" s="84">
        <v>42190</v>
      </c>
      <c r="N1903" s="85">
        <f t="shared" si="583"/>
        <v>1622</v>
      </c>
      <c r="O1903" s="86">
        <f t="shared" si="584"/>
        <v>19048.759999999998</v>
      </c>
      <c r="P1903" s="86">
        <f t="shared" si="585"/>
        <v>0</v>
      </c>
      <c r="Q1903" s="86">
        <f t="shared" si="586"/>
        <v>0</v>
      </c>
      <c r="R1903" s="86">
        <f t="shared" si="587"/>
        <v>0</v>
      </c>
      <c r="S1903" s="86">
        <f t="shared" si="588"/>
        <v>0</v>
      </c>
      <c r="T1903" s="86">
        <f t="shared" si="589"/>
        <v>19048.759999999998</v>
      </c>
      <c r="U1903" s="87">
        <v>19048.759999999998</v>
      </c>
    </row>
    <row r="1904" spans="1:22" s="30" customFormat="1" ht="24.6" hidden="1" outlineLevel="1" x14ac:dyDescent="0.55000000000000004">
      <c r="A1904" s="27" t="s">
        <v>327</v>
      </c>
      <c r="B1904" s="28"/>
      <c r="C1904" s="27"/>
      <c r="D1904" s="27" t="str">
        <f>"""NAV Direct"",""CRONUS JetCorp USA"",""21"",""1"",""102103"""</f>
        <v>"NAV Direct","CRONUS JetCorp USA","21","1","102103"</v>
      </c>
      <c r="E1904" s="31" t="str">
        <f t="shared" si="581"/>
        <v>C100065</v>
      </c>
      <c r="F1904" s="31"/>
      <c r="G1904" s="31"/>
      <c r="H1904" s="31"/>
      <c r="I1904" s="56"/>
      <c r="J1904" s="56"/>
      <c r="K1904" s="82" t="str">
        <f t="shared" si="582"/>
        <v>Invoice</v>
      </c>
      <c r="L1904" s="83" t="str">
        <f>"SI_106603"</f>
        <v>SI_106603</v>
      </c>
      <c r="M1904" s="84">
        <v>42271</v>
      </c>
      <c r="N1904" s="85">
        <f t="shared" si="583"/>
        <v>1541</v>
      </c>
      <c r="O1904" s="86">
        <f t="shared" si="584"/>
        <v>10425.950000000001</v>
      </c>
      <c r="P1904" s="86">
        <f t="shared" si="585"/>
        <v>0</v>
      </c>
      <c r="Q1904" s="86">
        <f t="shared" si="586"/>
        <v>0</v>
      </c>
      <c r="R1904" s="86">
        <f t="shared" si="587"/>
        <v>0</v>
      </c>
      <c r="S1904" s="86">
        <f t="shared" si="588"/>
        <v>0</v>
      </c>
      <c r="T1904" s="86">
        <f t="shared" si="589"/>
        <v>10425.950000000001</v>
      </c>
      <c r="U1904" s="87">
        <v>10425.950000000001</v>
      </c>
    </row>
    <row r="1905" spans="1:21" s="30" customFormat="1" ht="24.6" hidden="1" outlineLevel="1" x14ac:dyDescent="0.55000000000000004">
      <c r="A1905" s="27" t="s">
        <v>327</v>
      </c>
      <c r="B1905" s="28"/>
      <c r="C1905" s="27"/>
      <c r="D1905" s="27" t="str">
        <f>"""NAV Direct"",""CRONUS JetCorp USA"",""21"",""1"",""380748"""</f>
        <v>"NAV Direct","CRONUS JetCorp USA","21","1","380748"</v>
      </c>
      <c r="E1905" s="31">
        <f t="shared" si="581"/>
        <v>0</v>
      </c>
      <c r="F1905" s="31"/>
      <c r="G1905" s="31"/>
      <c r="H1905" s="31"/>
      <c r="I1905" s="56"/>
      <c r="J1905" s="56"/>
      <c r="K1905" s="82" t="str">
        <f t="shared" si="582"/>
        <v>Invoice</v>
      </c>
      <c r="L1905" s="83" t="str">
        <f>"SI_111830"</f>
        <v>SI_111830</v>
      </c>
      <c r="M1905" s="84">
        <v>42509</v>
      </c>
      <c r="N1905" s="85">
        <f t="shared" si="583"/>
        <v>1303</v>
      </c>
      <c r="O1905" s="86">
        <f t="shared" si="584"/>
        <v>8010.79</v>
      </c>
      <c r="P1905" s="86">
        <f t="shared" si="585"/>
        <v>0</v>
      </c>
      <c r="Q1905" s="86">
        <f t="shared" si="586"/>
        <v>0</v>
      </c>
      <c r="R1905" s="86">
        <f t="shared" si="587"/>
        <v>0</v>
      </c>
      <c r="S1905" s="86">
        <f t="shared" si="588"/>
        <v>0</v>
      </c>
      <c r="T1905" s="86">
        <f t="shared" si="589"/>
        <v>8010.79</v>
      </c>
      <c r="U1905" s="87">
        <v>8010.79</v>
      </c>
    </row>
    <row r="1906" spans="1:21" s="30" customFormat="1" ht="24.6" hidden="1" outlineLevel="1" x14ac:dyDescent="0.55000000000000004">
      <c r="A1906" s="27" t="s">
        <v>327</v>
      </c>
      <c r="B1906" s="28"/>
      <c r="C1906" s="27"/>
      <c r="D1906" s="27" t="str">
        <f>"""NAV Direct"",""CRONUS JetCorp USA"",""21"",""1"",""381002"""</f>
        <v>"NAV Direct","CRONUS JetCorp USA","21","1","381002"</v>
      </c>
      <c r="E1906" s="31" t="str">
        <f t="shared" si="581"/>
        <v>C100065</v>
      </c>
      <c r="F1906" s="31"/>
      <c r="G1906" s="31"/>
      <c r="H1906" s="31"/>
      <c r="I1906" s="56"/>
      <c r="J1906" s="56"/>
      <c r="K1906" s="82" t="str">
        <f t="shared" si="582"/>
        <v>Invoice</v>
      </c>
      <c r="L1906" s="83" t="str">
        <f>"SI_111838"</f>
        <v>SI_111838</v>
      </c>
      <c r="M1906" s="84">
        <v>42665</v>
      </c>
      <c r="N1906" s="85">
        <f t="shared" si="583"/>
        <v>1147</v>
      </c>
      <c r="O1906" s="86">
        <f t="shared" si="584"/>
        <v>7687.5599999999995</v>
      </c>
      <c r="P1906" s="86">
        <f t="shared" si="585"/>
        <v>0</v>
      </c>
      <c r="Q1906" s="86">
        <f t="shared" si="586"/>
        <v>0</v>
      </c>
      <c r="R1906" s="86">
        <f t="shared" si="587"/>
        <v>0</v>
      </c>
      <c r="S1906" s="86">
        <f t="shared" si="588"/>
        <v>0</v>
      </c>
      <c r="T1906" s="86">
        <f t="shared" si="589"/>
        <v>7687.5599999999995</v>
      </c>
      <c r="U1906" s="87">
        <v>7687.5599999999995</v>
      </c>
    </row>
    <row r="1907" spans="1:21" s="30" customFormat="1" ht="24.6" hidden="1" outlineLevel="1" x14ac:dyDescent="0.55000000000000004">
      <c r="A1907" s="27" t="s">
        <v>327</v>
      </c>
      <c r="B1907" s="28"/>
      <c r="C1907" s="27"/>
      <c r="D1907" s="27" t="str">
        <f>"""NAV Direct"",""CRONUS JetCorp USA"",""21"",""1"",""381397"""</f>
        <v>"NAV Direct","CRONUS JetCorp USA","21","1","381397"</v>
      </c>
      <c r="E1907" s="31">
        <f t="shared" si="581"/>
        <v>0</v>
      </c>
      <c r="F1907" s="31"/>
      <c r="G1907" s="31"/>
      <c r="H1907" s="31"/>
      <c r="I1907" s="56"/>
      <c r="J1907" s="56"/>
      <c r="K1907" s="82" t="str">
        <f t="shared" si="582"/>
        <v>Invoice</v>
      </c>
      <c r="L1907" s="83" t="str">
        <f>"SI_111851"</f>
        <v>SI_111851</v>
      </c>
      <c r="M1907" s="84">
        <v>42932</v>
      </c>
      <c r="N1907" s="85">
        <f t="shared" si="583"/>
        <v>880</v>
      </c>
      <c r="O1907" s="86">
        <f t="shared" si="584"/>
        <v>13674.039999999999</v>
      </c>
      <c r="P1907" s="86">
        <f t="shared" si="585"/>
        <v>0</v>
      </c>
      <c r="Q1907" s="86">
        <f t="shared" si="586"/>
        <v>0</v>
      </c>
      <c r="R1907" s="86">
        <f t="shared" si="587"/>
        <v>0</v>
      </c>
      <c r="S1907" s="86">
        <f t="shared" si="588"/>
        <v>0</v>
      </c>
      <c r="T1907" s="86">
        <f t="shared" si="589"/>
        <v>13674.039999999999</v>
      </c>
      <c r="U1907" s="87">
        <v>13674.039999999999</v>
      </c>
    </row>
    <row r="1908" spans="1:21" s="30" customFormat="1" ht="24.6" hidden="1" outlineLevel="1" x14ac:dyDescent="0.55000000000000004">
      <c r="A1908" s="27" t="s">
        <v>327</v>
      </c>
      <c r="B1908" s="28"/>
      <c r="C1908" s="27"/>
      <c r="D1908" s="27" t="str">
        <f>"""NAV Direct"",""CRONUS JetCorp USA"",""21"",""1"",""381888"""</f>
        <v>"NAV Direct","CRONUS JetCorp USA","21","1","381888"</v>
      </c>
      <c r="E1908" s="31" t="str">
        <f t="shared" si="581"/>
        <v>C100065</v>
      </c>
      <c r="F1908" s="31"/>
      <c r="G1908" s="31"/>
      <c r="H1908" s="31"/>
      <c r="I1908" s="56"/>
      <c r="J1908" s="56"/>
      <c r="K1908" s="82" t="str">
        <f t="shared" si="582"/>
        <v>Invoice</v>
      </c>
      <c r="L1908" s="83" t="str">
        <f>"SI_111866"</f>
        <v>SI_111866</v>
      </c>
      <c r="M1908" s="84">
        <v>43225</v>
      </c>
      <c r="N1908" s="85">
        <f t="shared" si="583"/>
        <v>587</v>
      </c>
      <c r="O1908" s="86">
        <f t="shared" si="584"/>
        <v>10648.789999999999</v>
      </c>
      <c r="P1908" s="86">
        <f t="shared" si="585"/>
        <v>0</v>
      </c>
      <c r="Q1908" s="86">
        <f t="shared" si="586"/>
        <v>0</v>
      </c>
      <c r="R1908" s="86">
        <f t="shared" si="587"/>
        <v>0</v>
      </c>
      <c r="S1908" s="86">
        <f t="shared" si="588"/>
        <v>0</v>
      </c>
      <c r="T1908" s="86">
        <f t="shared" si="589"/>
        <v>10648.789999999999</v>
      </c>
      <c r="U1908" s="87">
        <v>10648.789999999999</v>
      </c>
    </row>
    <row r="1909" spans="1:21" s="30" customFormat="1" ht="24.6" hidden="1" outlineLevel="1" x14ac:dyDescent="0.55000000000000004">
      <c r="A1909" s="27" t="s">
        <v>327</v>
      </c>
      <c r="B1909" s="28"/>
      <c r="C1909" s="27"/>
      <c r="D1909" s="27" t="str">
        <f>"""NAV Direct"",""CRONUS JetCorp USA"",""21"",""1"",""381946"""</f>
        <v>"NAV Direct","CRONUS JetCorp USA","21","1","381946"</v>
      </c>
      <c r="E1909" s="31">
        <f t="shared" si="581"/>
        <v>0</v>
      </c>
      <c r="F1909" s="31"/>
      <c r="G1909" s="31"/>
      <c r="H1909" s="31"/>
      <c r="I1909" s="56"/>
      <c r="J1909" s="56"/>
      <c r="K1909" s="82" t="str">
        <f t="shared" si="582"/>
        <v>Invoice</v>
      </c>
      <c r="L1909" s="83" t="str">
        <f>"SI_111868"</f>
        <v>SI_111868</v>
      </c>
      <c r="M1909" s="84">
        <v>43271</v>
      </c>
      <c r="N1909" s="85">
        <f t="shared" si="583"/>
        <v>541</v>
      </c>
      <c r="O1909" s="86">
        <f t="shared" si="584"/>
        <v>12459.21</v>
      </c>
      <c r="P1909" s="86">
        <f t="shared" si="585"/>
        <v>0</v>
      </c>
      <c r="Q1909" s="86">
        <f t="shared" si="586"/>
        <v>0</v>
      </c>
      <c r="R1909" s="86">
        <f t="shared" si="587"/>
        <v>0</v>
      </c>
      <c r="S1909" s="86">
        <f t="shared" si="588"/>
        <v>0</v>
      </c>
      <c r="T1909" s="86">
        <f t="shared" si="589"/>
        <v>12459.21</v>
      </c>
      <c r="U1909" s="87">
        <v>12459.21</v>
      </c>
    </row>
    <row r="1910" spans="1:21" s="30" customFormat="1" ht="24.6" hidden="1" outlineLevel="1" x14ac:dyDescent="0.55000000000000004">
      <c r="A1910" s="27" t="s">
        <v>327</v>
      </c>
      <c r="B1910" s="28"/>
      <c r="C1910" s="27"/>
      <c r="D1910" s="27" t="str">
        <f>"""NAV Direct"",""CRONUS JetCorp USA"",""21"",""1"",""382985"""</f>
        <v>"NAV Direct","CRONUS JetCorp USA","21","1","382985"</v>
      </c>
      <c r="E1910" s="31" t="str">
        <f t="shared" si="581"/>
        <v>C100065</v>
      </c>
      <c r="F1910" s="31"/>
      <c r="G1910" s="31"/>
      <c r="H1910" s="31"/>
      <c r="I1910" s="56"/>
      <c r="J1910" s="56"/>
      <c r="K1910" s="82" t="str">
        <f t="shared" si="582"/>
        <v>Invoice</v>
      </c>
      <c r="L1910" s="83" t="str">
        <f>"SI_111899"</f>
        <v>SI_111899</v>
      </c>
      <c r="M1910" s="84">
        <v>42016</v>
      </c>
      <c r="N1910" s="85">
        <f t="shared" si="583"/>
        <v>1796</v>
      </c>
      <c r="O1910" s="86">
        <f t="shared" si="584"/>
        <v>16829.16</v>
      </c>
      <c r="P1910" s="86">
        <f t="shared" si="585"/>
        <v>0</v>
      </c>
      <c r="Q1910" s="86">
        <f t="shared" si="586"/>
        <v>0</v>
      </c>
      <c r="R1910" s="86">
        <f t="shared" si="587"/>
        <v>0</v>
      </c>
      <c r="S1910" s="86">
        <f t="shared" si="588"/>
        <v>0</v>
      </c>
      <c r="T1910" s="86">
        <f t="shared" si="589"/>
        <v>16829.16</v>
      </c>
      <c r="U1910" s="87">
        <v>16829.16</v>
      </c>
    </row>
    <row r="1911" spans="1:21" s="30" customFormat="1" ht="24.6" hidden="1" outlineLevel="1" x14ac:dyDescent="0.55000000000000004">
      <c r="A1911" s="27" t="s">
        <v>327</v>
      </c>
      <c r="B1911" s="28"/>
      <c r="C1911" s="27"/>
      <c r="D1911" s="27" t="str">
        <f>"""NAV Direct"",""CRONUS JetCorp USA"",""21"",""1"",""383115"""</f>
        <v>"NAV Direct","CRONUS JetCorp USA","21","1","383115"</v>
      </c>
      <c r="E1911" s="31">
        <f t="shared" si="581"/>
        <v>0</v>
      </c>
      <c r="F1911" s="31"/>
      <c r="G1911" s="31"/>
      <c r="H1911" s="31"/>
      <c r="I1911" s="56"/>
      <c r="J1911" s="56"/>
      <c r="K1911" s="82" t="str">
        <f t="shared" si="582"/>
        <v>Invoice</v>
      </c>
      <c r="L1911" s="83" t="str">
        <f>"SI_111903"</f>
        <v>SI_111903</v>
      </c>
      <c r="M1911" s="84">
        <v>42068</v>
      </c>
      <c r="N1911" s="85">
        <f t="shared" si="583"/>
        <v>1744</v>
      </c>
      <c r="O1911" s="86">
        <f t="shared" si="584"/>
        <v>13780.619999999999</v>
      </c>
      <c r="P1911" s="86">
        <f t="shared" si="585"/>
        <v>0</v>
      </c>
      <c r="Q1911" s="86">
        <f t="shared" si="586"/>
        <v>0</v>
      </c>
      <c r="R1911" s="86">
        <f t="shared" si="587"/>
        <v>0</v>
      </c>
      <c r="S1911" s="86">
        <f t="shared" si="588"/>
        <v>0</v>
      </c>
      <c r="T1911" s="86">
        <f t="shared" si="589"/>
        <v>13780.619999999999</v>
      </c>
      <c r="U1911" s="87">
        <v>13780.619999999999</v>
      </c>
    </row>
    <row r="1912" spans="1:21" s="30" customFormat="1" ht="24.6" hidden="1" outlineLevel="1" x14ac:dyDescent="0.55000000000000004">
      <c r="A1912" s="27" t="s">
        <v>327</v>
      </c>
      <c r="B1912" s="28"/>
      <c r="C1912" s="27"/>
      <c r="D1912" s="27" t="str">
        <f>"""NAV Direct"",""CRONUS JetCorp USA"",""21"",""1"",""383405"""</f>
        <v>"NAV Direct","CRONUS JetCorp USA","21","1","383405"</v>
      </c>
      <c r="E1912" s="31" t="str">
        <f t="shared" si="581"/>
        <v>C100065</v>
      </c>
      <c r="F1912" s="31"/>
      <c r="G1912" s="31"/>
      <c r="H1912" s="31"/>
      <c r="I1912" s="56"/>
      <c r="J1912" s="56"/>
      <c r="K1912" s="82" t="str">
        <f t="shared" si="582"/>
        <v>Invoice</v>
      </c>
      <c r="L1912" s="83" t="str">
        <f>"SI_111911"</f>
        <v>SI_111911</v>
      </c>
      <c r="M1912" s="84">
        <v>42228</v>
      </c>
      <c r="N1912" s="85">
        <f t="shared" si="583"/>
        <v>1584</v>
      </c>
      <c r="O1912" s="86">
        <f t="shared" si="584"/>
        <v>11847.74</v>
      </c>
      <c r="P1912" s="86">
        <f t="shared" si="585"/>
        <v>0</v>
      </c>
      <c r="Q1912" s="86">
        <f t="shared" si="586"/>
        <v>0</v>
      </c>
      <c r="R1912" s="86">
        <f t="shared" si="587"/>
        <v>0</v>
      </c>
      <c r="S1912" s="86">
        <f t="shared" si="588"/>
        <v>0</v>
      </c>
      <c r="T1912" s="86">
        <f t="shared" si="589"/>
        <v>11847.74</v>
      </c>
      <c r="U1912" s="87">
        <v>11847.74</v>
      </c>
    </row>
    <row r="1913" spans="1:21" s="30" customFormat="1" ht="24.6" hidden="1" outlineLevel="1" x14ac:dyDescent="0.55000000000000004">
      <c r="A1913" s="27" t="s">
        <v>327</v>
      </c>
      <c r="B1913" s="28"/>
      <c r="C1913" s="27"/>
      <c r="D1913" s="27" t="str">
        <f>"""NAV Direct"",""CRONUS JetCorp USA"",""21"",""1"",""383623"""</f>
        <v>"NAV Direct","CRONUS JetCorp USA","21","1","383623"</v>
      </c>
      <c r="E1913" s="31">
        <f t="shared" si="581"/>
        <v>0</v>
      </c>
      <c r="F1913" s="31"/>
      <c r="G1913" s="31"/>
      <c r="H1913" s="31"/>
      <c r="I1913" s="56"/>
      <c r="J1913" s="56"/>
      <c r="K1913" s="82" t="str">
        <f t="shared" si="582"/>
        <v>Invoice</v>
      </c>
      <c r="L1913" s="83" t="str">
        <f>"SI_111917"</f>
        <v>SI_111917</v>
      </c>
      <c r="M1913" s="84">
        <v>42343</v>
      </c>
      <c r="N1913" s="85">
        <f t="shared" si="583"/>
        <v>1469</v>
      </c>
      <c r="O1913" s="86">
        <f t="shared" si="584"/>
        <v>13199.4</v>
      </c>
      <c r="P1913" s="86">
        <f t="shared" si="585"/>
        <v>0</v>
      </c>
      <c r="Q1913" s="86">
        <f t="shared" si="586"/>
        <v>0</v>
      </c>
      <c r="R1913" s="86">
        <f t="shared" si="587"/>
        <v>0</v>
      </c>
      <c r="S1913" s="86">
        <f t="shared" si="588"/>
        <v>0</v>
      </c>
      <c r="T1913" s="86">
        <f t="shared" si="589"/>
        <v>13199.4</v>
      </c>
      <c r="U1913" s="87">
        <v>13199.4</v>
      </c>
    </row>
    <row r="1914" spans="1:21" s="30" customFormat="1" ht="24.6" hidden="1" outlineLevel="1" x14ac:dyDescent="0.55000000000000004">
      <c r="A1914" s="27" t="s">
        <v>327</v>
      </c>
      <c r="B1914" s="28"/>
      <c r="C1914" s="27"/>
      <c r="D1914" s="27" t="str">
        <f>"""NAV Direct"",""CRONUS JetCorp USA"",""21"",""1"",""438291"""</f>
        <v>"NAV Direct","CRONUS JetCorp USA","21","1","438291"</v>
      </c>
      <c r="E1914" s="31" t="str">
        <f t="shared" si="581"/>
        <v>C100065</v>
      </c>
      <c r="F1914" s="31"/>
      <c r="G1914" s="31"/>
      <c r="H1914" s="31"/>
      <c r="I1914" s="56"/>
      <c r="J1914" s="56"/>
      <c r="K1914" s="82" t="str">
        <f>"Credit Memo"</f>
        <v>Credit Memo</v>
      </c>
      <c r="L1914" s="83" t="str">
        <f>"SC_100805"</f>
        <v>SC_100805</v>
      </c>
      <c r="M1914" s="84">
        <v>42679</v>
      </c>
      <c r="N1914" s="85">
        <f t="shared" si="583"/>
        <v>1133</v>
      </c>
      <c r="O1914" s="86">
        <f t="shared" si="584"/>
        <v>-101.49000000000001</v>
      </c>
      <c r="P1914" s="86">
        <f t="shared" si="585"/>
        <v>0</v>
      </c>
      <c r="Q1914" s="86">
        <f t="shared" si="586"/>
        <v>0</v>
      </c>
      <c r="R1914" s="86">
        <f t="shared" si="587"/>
        <v>0</v>
      </c>
      <c r="S1914" s="86">
        <f t="shared" si="588"/>
        <v>0</v>
      </c>
      <c r="T1914" s="86">
        <f t="shared" si="589"/>
        <v>-101.49000000000001</v>
      </c>
      <c r="U1914" s="87">
        <v>-101.49000000000001</v>
      </c>
    </row>
    <row r="1915" spans="1:21" s="30" customFormat="1" ht="24.6" hidden="1" outlineLevel="1" x14ac:dyDescent="0.55000000000000004">
      <c r="A1915" s="27" t="s">
        <v>327</v>
      </c>
      <c r="B1915" s="28"/>
      <c r="C1915" s="27"/>
      <c r="D1915" s="27" t="str">
        <f>"""NAV Direct"",""CRONUS JetCorp USA"",""21"",""1"",""438489"""</f>
        <v>"NAV Direct","CRONUS JetCorp USA","21","1","438489"</v>
      </c>
      <c r="E1915" s="31">
        <f t="shared" si="581"/>
        <v>0</v>
      </c>
      <c r="F1915" s="31"/>
      <c r="G1915" s="31"/>
      <c r="H1915" s="31"/>
      <c r="I1915" s="56"/>
      <c r="J1915" s="56"/>
      <c r="K1915" s="82" t="str">
        <f>"Credit Memo"</f>
        <v>Credit Memo</v>
      </c>
      <c r="L1915" s="83" t="str">
        <f>"SC_100819"</f>
        <v>SC_100819</v>
      </c>
      <c r="M1915" s="84">
        <v>43588</v>
      </c>
      <c r="N1915" s="85">
        <f t="shared" si="583"/>
        <v>224</v>
      </c>
      <c r="O1915" s="86">
        <f t="shared" si="584"/>
        <v>-180.24</v>
      </c>
      <c r="P1915" s="86">
        <f t="shared" si="585"/>
        <v>0</v>
      </c>
      <c r="Q1915" s="86">
        <f t="shared" si="586"/>
        <v>0</v>
      </c>
      <c r="R1915" s="86">
        <f t="shared" si="587"/>
        <v>0</v>
      </c>
      <c r="S1915" s="86">
        <f t="shared" si="588"/>
        <v>0</v>
      </c>
      <c r="T1915" s="86">
        <f t="shared" si="589"/>
        <v>-180.24</v>
      </c>
      <c r="U1915" s="87">
        <v>-180.24</v>
      </c>
    </row>
    <row r="1916" spans="1:21" s="30" customFormat="1" ht="24.6" hidden="1" outlineLevel="1" x14ac:dyDescent="0.55000000000000004">
      <c r="A1916" s="27" t="s">
        <v>327</v>
      </c>
      <c r="B1916" s="28"/>
      <c r="C1916" s="27"/>
      <c r="D1916" s="27" t="str">
        <f>"""NAV Direct"",""CRONUS JetCorp USA"",""21"",""1"",""438570"""</f>
        <v>"NAV Direct","CRONUS JetCorp USA","21","1","438570"</v>
      </c>
      <c r="E1916" s="31" t="str">
        <f t="shared" si="581"/>
        <v>C100065</v>
      </c>
      <c r="F1916" s="31"/>
      <c r="G1916" s="31"/>
      <c r="H1916" s="31"/>
      <c r="I1916" s="56"/>
      <c r="J1916" s="56"/>
      <c r="K1916" s="82" t="str">
        <f>"Credit Memo"</f>
        <v>Credit Memo</v>
      </c>
      <c r="L1916" s="83" t="str">
        <f>"SC_100824"</f>
        <v>SC_100824</v>
      </c>
      <c r="M1916" s="84">
        <v>42231</v>
      </c>
      <c r="N1916" s="85">
        <f t="shared" si="583"/>
        <v>1581</v>
      </c>
      <c r="O1916" s="86">
        <f t="shared" si="584"/>
        <v>-104.03999999999999</v>
      </c>
      <c r="P1916" s="86">
        <f t="shared" si="585"/>
        <v>0</v>
      </c>
      <c r="Q1916" s="86">
        <f t="shared" si="586"/>
        <v>0</v>
      </c>
      <c r="R1916" s="86">
        <f t="shared" si="587"/>
        <v>0</v>
      </c>
      <c r="S1916" s="86">
        <f t="shared" si="588"/>
        <v>0</v>
      </c>
      <c r="T1916" s="86">
        <f t="shared" si="589"/>
        <v>-104.03999999999999</v>
      </c>
      <c r="U1916" s="87">
        <v>-104.03999999999999</v>
      </c>
    </row>
    <row r="1917" spans="1:21" s="22" customFormat="1" ht="20.399999999999999" collapsed="1" x14ac:dyDescent="0.45">
      <c r="A1917" s="12" t="s">
        <v>327</v>
      </c>
      <c r="B1917" s="19"/>
      <c r="C1917" s="12"/>
      <c r="D1917" s="12"/>
      <c r="E1917" s="23"/>
      <c r="F1917" s="23"/>
      <c r="G1917" s="23"/>
      <c r="H1917" s="23"/>
      <c r="I1917" s="49"/>
      <c r="J1917" s="88"/>
      <c r="K1917" s="88"/>
      <c r="L1917" s="89"/>
      <c r="M1917" s="89"/>
      <c r="N1917" s="89"/>
      <c r="O1917" s="89"/>
      <c r="P1917" s="89"/>
      <c r="Q1917" s="90"/>
      <c r="R1917" s="90"/>
      <c r="S1917" s="91"/>
      <c r="T1917" s="92"/>
      <c r="U1917" s="92"/>
    </row>
    <row r="1918" spans="1:21" s="22" customFormat="1" ht="20.399999999999999" x14ac:dyDescent="0.45">
      <c r="A1918" s="12" t="s">
        <v>327</v>
      </c>
      <c r="B1918" s="19"/>
      <c r="C1918" s="12"/>
      <c r="D1918" s="12"/>
      <c r="E1918" s="23"/>
      <c r="F1918" s="23"/>
      <c r="G1918" s="23"/>
      <c r="H1918" s="23"/>
      <c r="I1918" s="49"/>
      <c r="J1918" s="88"/>
      <c r="K1918" s="88"/>
      <c r="L1918" s="89"/>
      <c r="M1918" s="89"/>
      <c r="N1918" s="89"/>
      <c r="O1918" s="89"/>
      <c r="P1918" s="89"/>
      <c r="Q1918" s="90"/>
      <c r="R1918" s="90"/>
      <c r="S1918" s="91"/>
      <c r="T1918" s="92"/>
      <c r="U1918" s="92"/>
    </row>
    <row r="1919" spans="1:21" s="26" customFormat="1" ht="24.6" x14ac:dyDescent="0.55000000000000004">
      <c r="A1919" s="27" t="s">
        <v>327</v>
      </c>
      <c r="B1919" s="28"/>
      <c r="C1919" s="27" t="str">
        <f>"""NAV Direct"",""CRONUS JetCorp USA"",""18"",""1"",""C100066"""</f>
        <v>"NAV Direct","CRONUS JetCorp USA","18","1","C100066"</v>
      </c>
      <c r="D1919" s="27"/>
      <c r="E1919" s="28" t="str">
        <f>H1919</f>
        <v>C100066</v>
      </c>
      <c r="F1919" s="28"/>
      <c r="G1919" s="28"/>
      <c r="H1919" s="28" t="str">
        <f>"C100066"</f>
        <v>C100066</v>
      </c>
      <c r="I1919" s="116" t="str">
        <f>"C100066  -  Office Solutions"</f>
        <v>C100066  -  Office Solutions</v>
      </c>
      <c r="J1919" s="117" t="str">
        <f>""</f>
        <v/>
      </c>
      <c r="K1919" s="118"/>
      <c r="L1919" s="119">
        <f>SUBTOTAL(3,L1920:L2066)</f>
        <v>143</v>
      </c>
      <c r="M1919" s="118"/>
      <c r="N1919" s="118"/>
      <c r="O1919" s="120">
        <f t="shared" ref="O1919:T1919" si="590">SUBTOTAL(9,O1920:O2066)</f>
        <v>785382.33000000042</v>
      </c>
      <c r="P1919" s="120">
        <f t="shared" si="590"/>
        <v>12439.939999999999</v>
      </c>
      <c r="Q1919" s="120">
        <f t="shared" si="590"/>
        <v>6039.88</v>
      </c>
      <c r="R1919" s="120">
        <f t="shared" si="590"/>
        <v>17614.460000000003</v>
      </c>
      <c r="S1919" s="120">
        <f t="shared" si="590"/>
        <v>23686.38</v>
      </c>
      <c r="T1919" s="120">
        <f t="shared" si="590"/>
        <v>725601.67000000039</v>
      </c>
      <c r="U1919" s="81"/>
    </row>
    <row r="1920" spans="1:21" s="26" customFormat="1" ht="24.6" x14ac:dyDescent="0.55000000000000004">
      <c r="A1920" s="27" t="s">
        <v>327</v>
      </c>
      <c r="B1920" s="28"/>
      <c r="C1920" s="27" t="str">
        <f>C1919</f>
        <v>"NAV Direct","CRONUS JetCorp USA","18","1","C100066"</v>
      </c>
      <c r="D1920" s="27"/>
      <c r="E1920" s="28" t="str">
        <f>E1919</f>
        <v>C100066</v>
      </c>
      <c r="F1920" s="28"/>
      <c r="G1920" s="28"/>
      <c r="H1920" s="28"/>
      <c r="I1920" s="121" t="str">
        <f>"Contact: Susan Sureano"</f>
        <v>Contact: Susan Sureano</v>
      </c>
      <c r="J1920" s="121"/>
      <c r="K1920" s="122"/>
      <c r="L1920" s="123"/>
      <c r="M1920" s="123"/>
      <c r="N1920" s="124"/>
      <c r="O1920" s="124"/>
      <c r="P1920" s="123"/>
      <c r="Q1920" s="125"/>
      <c r="R1920" s="126"/>
      <c r="S1920" s="126"/>
      <c r="T1920" s="125"/>
      <c r="U1920" s="81"/>
    </row>
    <row r="1921" spans="1:22" s="26" customFormat="1" ht="24.6" x14ac:dyDescent="0.55000000000000004">
      <c r="A1921" s="27" t="s">
        <v>327</v>
      </c>
      <c r="B1921" s="28"/>
      <c r="C1921" s="27" t="str">
        <f>C1920</f>
        <v>"NAV Direct","CRONUS JetCorp USA","18","1","C100066"</v>
      </c>
      <c r="D1921" s="27"/>
      <c r="E1921" s="28" t="str">
        <f>E1920</f>
        <v>C100066</v>
      </c>
      <c r="F1921" s="28"/>
      <c r="G1921" s="28"/>
      <c r="H1921" s="28"/>
      <c r="I1921" s="121" t="str">
        <f>"Office Solutions@Cronus.com"</f>
        <v>Office Solutions@Cronus.com</v>
      </c>
      <c r="J1921" s="121"/>
      <c r="K1921" s="122"/>
      <c r="L1921" s="124"/>
      <c r="M1921" s="124"/>
      <c r="N1921" s="124"/>
      <c r="O1921" s="124"/>
      <c r="P1921" s="123"/>
      <c r="Q1921" s="125"/>
      <c r="R1921" s="126"/>
      <c r="S1921" s="126"/>
      <c r="T1921" s="125"/>
      <c r="U1921" s="81"/>
    </row>
    <row r="1922" spans="1:22" ht="12.75" hidden="1" customHeight="1" outlineLevel="1" x14ac:dyDescent="0.45">
      <c r="A1922" s="12" t="s">
        <v>328</v>
      </c>
      <c r="B1922" s="19"/>
      <c r="E1922" s="19"/>
      <c r="F1922" s="19"/>
      <c r="G1922" s="19"/>
      <c r="H1922" s="19"/>
      <c r="I1922" s="61"/>
      <c r="J1922" s="61"/>
      <c r="K1922" s="61"/>
      <c r="L1922" s="61"/>
      <c r="M1922" s="61"/>
      <c r="N1922" s="61"/>
      <c r="O1922" s="61"/>
      <c r="P1922" s="61"/>
      <c r="Q1922" s="61"/>
      <c r="R1922" s="61"/>
      <c r="S1922" s="61"/>
      <c r="T1922" s="61"/>
      <c r="U1922" s="61"/>
      <c r="V1922" s="21"/>
    </row>
    <row r="1923" spans="1:22" s="30" customFormat="1" ht="24.6" hidden="1" outlineLevel="1" x14ac:dyDescent="0.55000000000000004">
      <c r="A1923" s="27" t="s">
        <v>327</v>
      </c>
      <c r="B1923" s="28"/>
      <c r="C1923" s="27"/>
      <c r="D1923" s="27" t="str">
        <f>"""NAV Direct"",""CRONUS JetCorp USA"",""21"",""1"",""29567"""</f>
        <v>"NAV Direct","CRONUS JetCorp USA","21","1","29567"</v>
      </c>
      <c r="E1923" s="31" t="str">
        <f t="shared" ref="E1923:E1954" si="591">E1921</f>
        <v>C100066</v>
      </c>
      <c r="F1923" s="31"/>
      <c r="G1923" s="31"/>
      <c r="H1923" s="31"/>
      <c r="I1923" s="56"/>
      <c r="J1923" s="56"/>
      <c r="K1923" s="82" t="str">
        <f t="shared" ref="K1923:K1954" si="592">"Invoice"</f>
        <v>Invoice</v>
      </c>
      <c r="L1923" s="83" t="str">
        <f>"SI_104454"</f>
        <v>SI_104454</v>
      </c>
      <c r="M1923" s="84">
        <v>42329</v>
      </c>
      <c r="N1923" s="85">
        <f t="shared" ref="N1923:N1954" si="593">StartDate-$M1923+1</f>
        <v>1483</v>
      </c>
      <c r="O1923" s="86">
        <f t="shared" ref="O1923:O1954" si="594">SUM(P1923:T1923)</f>
        <v>6512.91</v>
      </c>
      <c r="P1923" s="86">
        <f t="shared" ref="P1923:P1954" si="595">IF($M1923&gt;=$P$18,U1923,0)</f>
        <v>0</v>
      </c>
      <c r="Q1923" s="86">
        <f t="shared" ref="Q1923:Q1954" si="596">IF(AND($M1923&gt;=$Q$16,$M1923&lt;=$Q$18),U1923,0)</f>
        <v>0</v>
      </c>
      <c r="R1923" s="86">
        <f t="shared" ref="R1923:R1954" si="597">IF(AND($M1923&gt;=$R$16,$M1923&lt;=$R$18),U1923,0)</f>
        <v>0</v>
      </c>
      <c r="S1923" s="86">
        <f t="shared" ref="S1923:S1954" si="598">IF(AND($M1923&gt;=$S$16,$M1923&lt;=$S$18),U1923,0)</f>
        <v>0</v>
      </c>
      <c r="T1923" s="86">
        <f t="shared" ref="T1923:T1954" si="599">IF($M1923&lt;=$T$18,U1923,0)</f>
        <v>6512.91</v>
      </c>
      <c r="U1923" s="87">
        <v>6512.91</v>
      </c>
    </row>
    <row r="1924" spans="1:22" s="30" customFormat="1" ht="24.6" hidden="1" outlineLevel="1" x14ac:dyDescent="0.55000000000000004">
      <c r="A1924" s="27" t="s">
        <v>327</v>
      </c>
      <c r="B1924" s="28"/>
      <c r="C1924" s="27"/>
      <c r="D1924" s="27" t="str">
        <f>"""NAV Direct"",""CRONUS JetCorp USA"",""21"",""1"",""29619"""</f>
        <v>"NAV Direct","CRONUS JetCorp USA","21","1","29619"</v>
      </c>
      <c r="E1924" s="31">
        <f t="shared" si="591"/>
        <v>0</v>
      </c>
      <c r="F1924" s="31"/>
      <c r="G1924" s="31"/>
      <c r="H1924" s="31"/>
      <c r="I1924" s="56"/>
      <c r="J1924" s="56"/>
      <c r="K1924" s="82" t="str">
        <f t="shared" si="592"/>
        <v>Invoice</v>
      </c>
      <c r="L1924" s="83" t="str">
        <f>"SI_104456"</f>
        <v>SI_104456</v>
      </c>
      <c r="M1924" s="84">
        <v>42333</v>
      </c>
      <c r="N1924" s="85">
        <f t="shared" si="593"/>
        <v>1479</v>
      </c>
      <c r="O1924" s="86">
        <f t="shared" si="594"/>
        <v>6512.7000000000007</v>
      </c>
      <c r="P1924" s="86">
        <f t="shared" si="595"/>
        <v>0</v>
      </c>
      <c r="Q1924" s="86">
        <f t="shared" si="596"/>
        <v>0</v>
      </c>
      <c r="R1924" s="86">
        <f t="shared" si="597"/>
        <v>0</v>
      </c>
      <c r="S1924" s="86">
        <f t="shared" si="598"/>
        <v>0</v>
      </c>
      <c r="T1924" s="86">
        <f t="shared" si="599"/>
        <v>6512.7000000000007</v>
      </c>
      <c r="U1924" s="87">
        <v>6512.7000000000007</v>
      </c>
    </row>
    <row r="1925" spans="1:22" s="30" customFormat="1" ht="24.6" hidden="1" outlineLevel="1" x14ac:dyDescent="0.55000000000000004">
      <c r="A1925" s="27" t="s">
        <v>327</v>
      </c>
      <c r="B1925" s="28"/>
      <c r="C1925" s="27"/>
      <c r="D1925" s="27" t="str">
        <f>"""NAV Direct"",""CRONUS JetCorp USA"",""21"",""1"",""29646"""</f>
        <v>"NAV Direct","CRONUS JetCorp USA","21","1","29646"</v>
      </c>
      <c r="E1925" s="31" t="str">
        <f t="shared" si="591"/>
        <v>C100066</v>
      </c>
      <c r="F1925" s="31"/>
      <c r="G1925" s="31"/>
      <c r="H1925" s="31"/>
      <c r="I1925" s="56"/>
      <c r="J1925" s="56"/>
      <c r="K1925" s="82" t="str">
        <f t="shared" si="592"/>
        <v>Invoice</v>
      </c>
      <c r="L1925" s="83" t="str">
        <f>"SI_104457"</f>
        <v>SI_104457</v>
      </c>
      <c r="M1925" s="84">
        <v>42338</v>
      </c>
      <c r="N1925" s="85">
        <f t="shared" si="593"/>
        <v>1474</v>
      </c>
      <c r="O1925" s="86">
        <f t="shared" si="594"/>
        <v>6512.7099999999991</v>
      </c>
      <c r="P1925" s="86">
        <f t="shared" si="595"/>
        <v>0</v>
      </c>
      <c r="Q1925" s="86">
        <f t="shared" si="596"/>
        <v>0</v>
      </c>
      <c r="R1925" s="86">
        <f t="shared" si="597"/>
        <v>0</v>
      </c>
      <c r="S1925" s="86">
        <f t="shared" si="598"/>
        <v>0</v>
      </c>
      <c r="T1925" s="86">
        <f t="shared" si="599"/>
        <v>6512.7099999999991</v>
      </c>
      <c r="U1925" s="87">
        <v>6512.7099999999991</v>
      </c>
    </row>
    <row r="1926" spans="1:22" s="30" customFormat="1" ht="24.6" hidden="1" outlineLevel="1" x14ac:dyDescent="0.55000000000000004">
      <c r="A1926" s="27" t="s">
        <v>327</v>
      </c>
      <c r="B1926" s="28"/>
      <c r="C1926" s="27"/>
      <c r="D1926" s="27" t="str">
        <f>"""NAV Direct"",""CRONUS JetCorp USA"",""21"",""1"",""29667"""</f>
        <v>"NAV Direct","CRONUS JetCorp USA","21","1","29667"</v>
      </c>
      <c r="E1926" s="31">
        <f t="shared" si="591"/>
        <v>0</v>
      </c>
      <c r="F1926" s="31"/>
      <c r="G1926" s="31"/>
      <c r="H1926" s="31"/>
      <c r="I1926" s="56"/>
      <c r="J1926" s="56"/>
      <c r="K1926" s="82" t="str">
        <f t="shared" si="592"/>
        <v>Invoice</v>
      </c>
      <c r="L1926" s="83" t="str">
        <f>"SI_104458"</f>
        <v>SI_104458</v>
      </c>
      <c r="M1926" s="84">
        <v>42340</v>
      </c>
      <c r="N1926" s="85">
        <f t="shared" si="593"/>
        <v>1472</v>
      </c>
      <c r="O1926" s="86">
        <f t="shared" si="594"/>
        <v>6511.7800000000007</v>
      </c>
      <c r="P1926" s="86">
        <f t="shared" si="595"/>
        <v>0</v>
      </c>
      <c r="Q1926" s="86">
        <f t="shared" si="596"/>
        <v>0</v>
      </c>
      <c r="R1926" s="86">
        <f t="shared" si="597"/>
        <v>0</v>
      </c>
      <c r="S1926" s="86">
        <f t="shared" si="598"/>
        <v>0</v>
      </c>
      <c r="T1926" s="86">
        <f t="shared" si="599"/>
        <v>6511.7800000000007</v>
      </c>
      <c r="U1926" s="87">
        <v>6511.7800000000007</v>
      </c>
    </row>
    <row r="1927" spans="1:22" s="30" customFormat="1" ht="24.6" hidden="1" outlineLevel="1" x14ac:dyDescent="0.55000000000000004">
      <c r="A1927" s="27" t="s">
        <v>327</v>
      </c>
      <c r="B1927" s="28"/>
      <c r="C1927" s="27"/>
      <c r="D1927" s="27" t="str">
        <f>"""NAV Direct"",""CRONUS JetCorp USA"",""21"",""1"",""29759"""</f>
        <v>"NAV Direct","CRONUS JetCorp USA","21","1","29759"</v>
      </c>
      <c r="E1927" s="31" t="str">
        <f t="shared" si="591"/>
        <v>C100066</v>
      </c>
      <c r="F1927" s="31"/>
      <c r="G1927" s="31"/>
      <c r="H1927" s="31"/>
      <c r="I1927" s="56"/>
      <c r="J1927" s="56"/>
      <c r="K1927" s="82" t="str">
        <f t="shared" si="592"/>
        <v>Invoice</v>
      </c>
      <c r="L1927" s="83" t="str">
        <f>"SI_104462"</f>
        <v>SI_104462</v>
      </c>
      <c r="M1927" s="84">
        <v>42365</v>
      </c>
      <c r="N1927" s="85">
        <f t="shared" si="593"/>
        <v>1447</v>
      </c>
      <c r="O1927" s="86">
        <f t="shared" si="594"/>
        <v>6760.23</v>
      </c>
      <c r="P1927" s="86">
        <f t="shared" si="595"/>
        <v>0</v>
      </c>
      <c r="Q1927" s="86">
        <f t="shared" si="596"/>
        <v>0</v>
      </c>
      <c r="R1927" s="86">
        <f t="shared" si="597"/>
        <v>0</v>
      </c>
      <c r="S1927" s="86">
        <f t="shared" si="598"/>
        <v>0</v>
      </c>
      <c r="T1927" s="86">
        <f t="shared" si="599"/>
        <v>6760.23</v>
      </c>
      <c r="U1927" s="87">
        <v>6760.23</v>
      </c>
    </row>
    <row r="1928" spans="1:22" s="30" customFormat="1" ht="24.6" hidden="1" outlineLevel="1" x14ac:dyDescent="0.55000000000000004">
      <c r="A1928" s="27" t="s">
        <v>327</v>
      </c>
      <c r="B1928" s="28"/>
      <c r="C1928" s="27"/>
      <c r="D1928" s="27" t="str">
        <f>"""NAV Direct"",""CRONUS JetCorp USA"",""21"",""1"",""29784"""</f>
        <v>"NAV Direct","CRONUS JetCorp USA","21","1","29784"</v>
      </c>
      <c r="E1928" s="31">
        <f t="shared" si="591"/>
        <v>0</v>
      </c>
      <c r="F1928" s="31"/>
      <c r="G1928" s="31"/>
      <c r="H1928" s="31"/>
      <c r="I1928" s="56"/>
      <c r="J1928" s="56"/>
      <c r="K1928" s="82" t="str">
        <f t="shared" si="592"/>
        <v>Invoice</v>
      </c>
      <c r="L1928" s="83" t="str">
        <f>"SI_104463"</f>
        <v>SI_104463</v>
      </c>
      <c r="M1928" s="84">
        <v>42368</v>
      </c>
      <c r="N1928" s="85">
        <f t="shared" si="593"/>
        <v>1444</v>
      </c>
      <c r="O1928" s="86">
        <f t="shared" si="594"/>
        <v>6759.53</v>
      </c>
      <c r="P1928" s="86">
        <f t="shared" si="595"/>
        <v>0</v>
      </c>
      <c r="Q1928" s="86">
        <f t="shared" si="596"/>
        <v>0</v>
      </c>
      <c r="R1928" s="86">
        <f t="shared" si="597"/>
        <v>0</v>
      </c>
      <c r="S1928" s="86">
        <f t="shared" si="598"/>
        <v>0</v>
      </c>
      <c r="T1928" s="86">
        <f t="shared" si="599"/>
        <v>6759.53</v>
      </c>
      <c r="U1928" s="87">
        <v>6759.53</v>
      </c>
    </row>
    <row r="1929" spans="1:22" s="30" customFormat="1" ht="24.6" hidden="1" outlineLevel="1" x14ac:dyDescent="0.55000000000000004">
      <c r="A1929" s="27" t="s">
        <v>327</v>
      </c>
      <c r="B1929" s="28"/>
      <c r="C1929" s="27"/>
      <c r="D1929" s="27" t="str">
        <f>"""NAV Direct"",""CRONUS JetCorp USA"",""21"",""1"",""29826"""</f>
        <v>"NAV Direct","CRONUS JetCorp USA","21","1","29826"</v>
      </c>
      <c r="E1929" s="31" t="str">
        <f t="shared" si="591"/>
        <v>C100066</v>
      </c>
      <c r="F1929" s="31"/>
      <c r="G1929" s="31"/>
      <c r="H1929" s="31"/>
      <c r="I1929" s="56"/>
      <c r="J1929" s="56"/>
      <c r="K1929" s="82" t="str">
        <f t="shared" si="592"/>
        <v>Invoice</v>
      </c>
      <c r="L1929" s="83" t="str">
        <f>"SI_104465"</f>
        <v>SI_104465</v>
      </c>
      <c r="M1929" s="84">
        <v>42737</v>
      </c>
      <c r="N1929" s="85">
        <f t="shared" si="593"/>
        <v>1075</v>
      </c>
      <c r="O1929" s="86">
        <f t="shared" si="594"/>
        <v>6759.6100000000006</v>
      </c>
      <c r="P1929" s="86">
        <f t="shared" si="595"/>
        <v>0</v>
      </c>
      <c r="Q1929" s="86">
        <f t="shared" si="596"/>
        <v>0</v>
      </c>
      <c r="R1929" s="86">
        <f t="shared" si="597"/>
        <v>0</v>
      </c>
      <c r="S1929" s="86">
        <f t="shared" si="598"/>
        <v>0</v>
      </c>
      <c r="T1929" s="86">
        <f t="shared" si="599"/>
        <v>6759.6100000000006</v>
      </c>
      <c r="U1929" s="87">
        <v>6759.6100000000006</v>
      </c>
    </row>
    <row r="1930" spans="1:22" s="30" customFormat="1" ht="24.6" hidden="1" outlineLevel="1" x14ac:dyDescent="0.55000000000000004">
      <c r="A1930" s="27" t="s">
        <v>327</v>
      </c>
      <c r="B1930" s="28"/>
      <c r="C1930" s="27"/>
      <c r="D1930" s="27" t="str">
        <f>"""NAV Direct"",""CRONUS JetCorp USA"",""21"",""1"",""320111"""</f>
        <v>"NAV Direct","CRONUS JetCorp USA","21","1","320111"</v>
      </c>
      <c r="E1930" s="31">
        <f t="shared" si="591"/>
        <v>0</v>
      </c>
      <c r="F1930" s="31"/>
      <c r="G1930" s="31"/>
      <c r="H1930" s="31"/>
      <c r="I1930" s="56"/>
      <c r="J1930" s="56"/>
      <c r="K1930" s="82" t="str">
        <f t="shared" si="592"/>
        <v>Invoice</v>
      </c>
      <c r="L1930" s="83" t="str">
        <f>"SI_109973"</f>
        <v>SI_109973</v>
      </c>
      <c r="M1930" s="84">
        <v>42391</v>
      </c>
      <c r="N1930" s="85">
        <f t="shared" si="593"/>
        <v>1421</v>
      </c>
      <c r="O1930" s="86">
        <f t="shared" si="594"/>
        <v>7348.98</v>
      </c>
      <c r="P1930" s="86">
        <f t="shared" si="595"/>
        <v>0</v>
      </c>
      <c r="Q1930" s="86">
        <f t="shared" si="596"/>
        <v>0</v>
      </c>
      <c r="R1930" s="86">
        <f t="shared" si="597"/>
        <v>0</v>
      </c>
      <c r="S1930" s="86">
        <f t="shared" si="598"/>
        <v>0</v>
      </c>
      <c r="T1930" s="86">
        <f t="shared" si="599"/>
        <v>7348.98</v>
      </c>
      <c r="U1930" s="87">
        <v>7348.98</v>
      </c>
    </row>
    <row r="1931" spans="1:22" s="30" customFormat="1" ht="24.6" hidden="1" outlineLevel="1" x14ac:dyDescent="0.55000000000000004">
      <c r="A1931" s="27" t="s">
        <v>327</v>
      </c>
      <c r="B1931" s="28"/>
      <c r="C1931" s="27"/>
      <c r="D1931" s="27" t="str">
        <f>"""NAV Direct"",""CRONUS JetCorp USA"",""21"",""1"",""320132"""</f>
        <v>"NAV Direct","CRONUS JetCorp USA","21","1","320132"</v>
      </c>
      <c r="E1931" s="31" t="str">
        <f t="shared" si="591"/>
        <v>C100066</v>
      </c>
      <c r="F1931" s="31"/>
      <c r="G1931" s="31"/>
      <c r="H1931" s="31"/>
      <c r="I1931" s="56"/>
      <c r="J1931" s="56"/>
      <c r="K1931" s="82" t="str">
        <f t="shared" si="592"/>
        <v>Invoice</v>
      </c>
      <c r="L1931" s="83" t="str">
        <f>"SI_109974"</f>
        <v>SI_109974</v>
      </c>
      <c r="M1931" s="84">
        <v>42410</v>
      </c>
      <c r="N1931" s="85">
        <f t="shared" si="593"/>
        <v>1402</v>
      </c>
      <c r="O1931" s="86">
        <f t="shared" si="594"/>
        <v>7274.63</v>
      </c>
      <c r="P1931" s="86">
        <f t="shared" si="595"/>
        <v>0</v>
      </c>
      <c r="Q1931" s="86">
        <f t="shared" si="596"/>
        <v>0</v>
      </c>
      <c r="R1931" s="86">
        <f t="shared" si="597"/>
        <v>0</v>
      </c>
      <c r="S1931" s="86">
        <f t="shared" si="598"/>
        <v>0</v>
      </c>
      <c r="T1931" s="86">
        <f t="shared" si="599"/>
        <v>7274.63</v>
      </c>
      <c r="U1931" s="87">
        <v>7274.63</v>
      </c>
    </row>
    <row r="1932" spans="1:22" s="30" customFormat="1" ht="24.6" hidden="1" outlineLevel="1" x14ac:dyDescent="0.55000000000000004">
      <c r="A1932" s="27" t="s">
        <v>327</v>
      </c>
      <c r="B1932" s="28"/>
      <c r="C1932" s="27"/>
      <c r="D1932" s="27" t="str">
        <f>"""NAV Direct"",""CRONUS JetCorp USA"",""21"",""1"",""320159"""</f>
        <v>"NAV Direct","CRONUS JetCorp USA","21","1","320159"</v>
      </c>
      <c r="E1932" s="31">
        <f t="shared" si="591"/>
        <v>0</v>
      </c>
      <c r="F1932" s="31"/>
      <c r="G1932" s="31"/>
      <c r="H1932" s="31"/>
      <c r="I1932" s="56"/>
      <c r="J1932" s="56"/>
      <c r="K1932" s="82" t="str">
        <f t="shared" si="592"/>
        <v>Invoice</v>
      </c>
      <c r="L1932" s="83" t="str">
        <f>"SI_109975"</f>
        <v>SI_109975</v>
      </c>
      <c r="M1932" s="84">
        <v>42427</v>
      </c>
      <c r="N1932" s="85">
        <f t="shared" si="593"/>
        <v>1385</v>
      </c>
      <c r="O1932" s="86">
        <f t="shared" si="594"/>
        <v>7445.5199999999995</v>
      </c>
      <c r="P1932" s="86">
        <f t="shared" si="595"/>
        <v>0</v>
      </c>
      <c r="Q1932" s="86">
        <f t="shared" si="596"/>
        <v>0</v>
      </c>
      <c r="R1932" s="86">
        <f t="shared" si="597"/>
        <v>0</v>
      </c>
      <c r="S1932" s="86">
        <f t="shared" si="598"/>
        <v>0</v>
      </c>
      <c r="T1932" s="86">
        <f t="shared" si="599"/>
        <v>7445.5199999999995</v>
      </c>
      <c r="U1932" s="87">
        <v>7445.5199999999995</v>
      </c>
    </row>
    <row r="1933" spans="1:22" s="30" customFormat="1" ht="24.6" hidden="1" outlineLevel="1" x14ac:dyDescent="0.55000000000000004">
      <c r="A1933" s="27" t="s">
        <v>327</v>
      </c>
      <c r="B1933" s="28"/>
      <c r="C1933" s="27"/>
      <c r="D1933" s="27" t="str">
        <f>"""NAV Direct"",""CRONUS JetCorp USA"",""21"",""1"",""320203"""</f>
        <v>"NAV Direct","CRONUS JetCorp USA","21","1","320203"</v>
      </c>
      <c r="E1933" s="31" t="str">
        <f t="shared" si="591"/>
        <v>C100066</v>
      </c>
      <c r="F1933" s="31"/>
      <c r="G1933" s="31"/>
      <c r="H1933" s="31"/>
      <c r="I1933" s="56"/>
      <c r="J1933" s="56"/>
      <c r="K1933" s="82" t="str">
        <f t="shared" si="592"/>
        <v>Invoice</v>
      </c>
      <c r="L1933" s="83" t="str">
        <f>"SI_109977"</f>
        <v>SI_109977</v>
      </c>
      <c r="M1933" s="84">
        <v>42424</v>
      </c>
      <c r="N1933" s="85">
        <f t="shared" si="593"/>
        <v>1388</v>
      </c>
      <c r="O1933" s="86">
        <f t="shared" si="594"/>
        <v>7367.1399999999994</v>
      </c>
      <c r="P1933" s="86">
        <f t="shared" si="595"/>
        <v>0</v>
      </c>
      <c r="Q1933" s="86">
        <f t="shared" si="596"/>
        <v>0</v>
      </c>
      <c r="R1933" s="86">
        <f t="shared" si="597"/>
        <v>0</v>
      </c>
      <c r="S1933" s="86">
        <f t="shared" si="598"/>
        <v>0</v>
      </c>
      <c r="T1933" s="86">
        <f t="shared" si="599"/>
        <v>7367.1399999999994</v>
      </c>
      <c r="U1933" s="87">
        <v>7367.1399999999994</v>
      </c>
    </row>
    <row r="1934" spans="1:22" s="30" customFormat="1" ht="24.6" hidden="1" outlineLevel="1" x14ac:dyDescent="0.55000000000000004">
      <c r="A1934" s="27" t="s">
        <v>327</v>
      </c>
      <c r="B1934" s="28"/>
      <c r="C1934" s="27"/>
      <c r="D1934" s="27" t="str">
        <f>"""NAV Direct"",""CRONUS JetCorp USA"",""21"",""1"",""320222"""</f>
        <v>"NAV Direct","CRONUS JetCorp USA","21","1","320222"</v>
      </c>
      <c r="E1934" s="31">
        <f t="shared" si="591"/>
        <v>0</v>
      </c>
      <c r="F1934" s="31"/>
      <c r="G1934" s="31"/>
      <c r="H1934" s="31"/>
      <c r="I1934" s="56"/>
      <c r="J1934" s="56"/>
      <c r="K1934" s="82" t="str">
        <f t="shared" si="592"/>
        <v>Invoice</v>
      </c>
      <c r="L1934" s="83" t="str">
        <f>"SI_109978"</f>
        <v>SI_109978</v>
      </c>
      <c r="M1934" s="84">
        <v>42445</v>
      </c>
      <c r="N1934" s="85">
        <f t="shared" si="593"/>
        <v>1367</v>
      </c>
      <c r="O1934" s="86">
        <f t="shared" si="594"/>
        <v>7428.45</v>
      </c>
      <c r="P1934" s="86">
        <f t="shared" si="595"/>
        <v>0</v>
      </c>
      <c r="Q1934" s="86">
        <f t="shared" si="596"/>
        <v>0</v>
      </c>
      <c r="R1934" s="86">
        <f t="shared" si="597"/>
        <v>0</v>
      </c>
      <c r="S1934" s="86">
        <f t="shared" si="598"/>
        <v>0</v>
      </c>
      <c r="T1934" s="86">
        <f t="shared" si="599"/>
        <v>7428.45</v>
      </c>
      <c r="U1934" s="87">
        <v>7428.45</v>
      </c>
    </row>
    <row r="1935" spans="1:22" s="30" customFormat="1" ht="24.6" hidden="1" outlineLevel="1" x14ac:dyDescent="0.55000000000000004">
      <c r="A1935" s="27" t="s">
        <v>327</v>
      </c>
      <c r="B1935" s="28"/>
      <c r="C1935" s="27"/>
      <c r="D1935" s="27" t="str">
        <f>"""NAV Direct"",""CRONUS JetCorp USA"",""21"",""1"",""320310"""</f>
        <v>"NAV Direct","CRONUS JetCorp USA","21","1","320310"</v>
      </c>
      <c r="E1935" s="31" t="str">
        <f t="shared" si="591"/>
        <v>C100066</v>
      </c>
      <c r="F1935" s="31"/>
      <c r="G1935" s="31"/>
      <c r="H1935" s="31"/>
      <c r="I1935" s="56"/>
      <c r="J1935" s="56"/>
      <c r="K1935" s="82" t="str">
        <f t="shared" si="592"/>
        <v>Invoice</v>
      </c>
      <c r="L1935" s="83" t="str">
        <f>"SI_109982"</f>
        <v>SI_109982</v>
      </c>
      <c r="M1935" s="84">
        <v>42495</v>
      </c>
      <c r="N1935" s="85">
        <f t="shared" si="593"/>
        <v>1317</v>
      </c>
      <c r="O1935" s="86">
        <f t="shared" si="594"/>
        <v>7600.95</v>
      </c>
      <c r="P1935" s="86">
        <f t="shared" si="595"/>
        <v>0</v>
      </c>
      <c r="Q1935" s="86">
        <f t="shared" si="596"/>
        <v>0</v>
      </c>
      <c r="R1935" s="86">
        <f t="shared" si="597"/>
        <v>0</v>
      </c>
      <c r="S1935" s="86">
        <f t="shared" si="598"/>
        <v>0</v>
      </c>
      <c r="T1935" s="86">
        <f t="shared" si="599"/>
        <v>7600.95</v>
      </c>
      <c r="U1935" s="87">
        <v>7600.95</v>
      </c>
    </row>
    <row r="1936" spans="1:22" s="30" customFormat="1" ht="24.6" hidden="1" outlineLevel="1" x14ac:dyDescent="0.55000000000000004">
      <c r="A1936" s="27" t="s">
        <v>327</v>
      </c>
      <c r="B1936" s="28"/>
      <c r="C1936" s="27"/>
      <c r="D1936" s="27" t="str">
        <f>"""NAV Direct"",""CRONUS JetCorp USA"",""21"",""1"",""320329"""</f>
        <v>"NAV Direct","CRONUS JetCorp USA","21","1","320329"</v>
      </c>
      <c r="E1936" s="31">
        <f t="shared" si="591"/>
        <v>0</v>
      </c>
      <c r="F1936" s="31"/>
      <c r="G1936" s="31"/>
      <c r="H1936" s="31"/>
      <c r="I1936" s="56"/>
      <c r="J1936" s="56"/>
      <c r="K1936" s="82" t="str">
        <f t="shared" si="592"/>
        <v>Invoice</v>
      </c>
      <c r="L1936" s="83" t="str">
        <f>"SI_109983"</f>
        <v>SI_109983</v>
      </c>
      <c r="M1936" s="84">
        <v>42496</v>
      </c>
      <c r="N1936" s="85">
        <f t="shared" si="593"/>
        <v>1316</v>
      </c>
      <c r="O1936" s="86">
        <f t="shared" si="594"/>
        <v>7524.3</v>
      </c>
      <c r="P1936" s="86">
        <f t="shared" si="595"/>
        <v>0</v>
      </c>
      <c r="Q1936" s="86">
        <f t="shared" si="596"/>
        <v>0</v>
      </c>
      <c r="R1936" s="86">
        <f t="shared" si="597"/>
        <v>0</v>
      </c>
      <c r="S1936" s="86">
        <f t="shared" si="598"/>
        <v>0</v>
      </c>
      <c r="T1936" s="86">
        <f t="shared" si="599"/>
        <v>7524.3</v>
      </c>
      <c r="U1936" s="87">
        <v>7524.3</v>
      </c>
    </row>
    <row r="1937" spans="1:21" s="30" customFormat="1" ht="24.6" hidden="1" outlineLevel="1" x14ac:dyDescent="0.55000000000000004">
      <c r="A1937" s="27" t="s">
        <v>327</v>
      </c>
      <c r="B1937" s="28"/>
      <c r="C1937" s="27"/>
      <c r="D1937" s="27" t="str">
        <f>"""NAV Direct"",""CRONUS JetCorp USA"",""21"",""1"",""320348"""</f>
        <v>"NAV Direct","CRONUS JetCorp USA","21","1","320348"</v>
      </c>
      <c r="E1937" s="31" t="str">
        <f t="shared" si="591"/>
        <v>C100066</v>
      </c>
      <c r="F1937" s="31"/>
      <c r="G1937" s="31"/>
      <c r="H1937" s="31"/>
      <c r="I1937" s="56"/>
      <c r="J1937" s="56"/>
      <c r="K1937" s="82" t="str">
        <f t="shared" si="592"/>
        <v>Invoice</v>
      </c>
      <c r="L1937" s="83" t="str">
        <f>"SI_109984"</f>
        <v>SI_109984</v>
      </c>
      <c r="M1937" s="84">
        <v>42511</v>
      </c>
      <c r="N1937" s="85">
        <f t="shared" si="593"/>
        <v>1301</v>
      </c>
      <c r="O1937" s="86">
        <f t="shared" si="594"/>
        <v>7564.28</v>
      </c>
      <c r="P1937" s="86">
        <f t="shared" si="595"/>
        <v>0</v>
      </c>
      <c r="Q1937" s="86">
        <f t="shared" si="596"/>
        <v>0</v>
      </c>
      <c r="R1937" s="86">
        <f t="shared" si="597"/>
        <v>0</v>
      </c>
      <c r="S1937" s="86">
        <f t="shared" si="598"/>
        <v>0</v>
      </c>
      <c r="T1937" s="86">
        <f t="shared" si="599"/>
        <v>7564.28</v>
      </c>
      <c r="U1937" s="87">
        <v>7564.28</v>
      </c>
    </row>
    <row r="1938" spans="1:21" s="30" customFormat="1" ht="24.6" hidden="1" outlineLevel="1" x14ac:dyDescent="0.55000000000000004">
      <c r="A1938" s="27" t="s">
        <v>327</v>
      </c>
      <c r="B1938" s="28"/>
      <c r="C1938" s="27"/>
      <c r="D1938" s="27" t="str">
        <f>"""NAV Direct"",""CRONUS JetCorp USA"",""21"",""1"",""320371"""</f>
        <v>"NAV Direct","CRONUS JetCorp USA","21","1","320371"</v>
      </c>
      <c r="E1938" s="31">
        <f t="shared" si="591"/>
        <v>0</v>
      </c>
      <c r="F1938" s="31"/>
      <c r="G1938" s="31"/>
      <c r="H1938" s="31"/>
      <c r="I1938" s="56"/>
      <c r="J1938" s="56"/>
      <c r="K1938" s="82" t="str">
        <f t="shared" si="592"/>
        <v>Invoice</v>
      </c>
      <c r="L1938" s="83" t="str">
        <f>"SI_109985"</f>
        <v>SI_109985</v>
      </c>
      <c r="M1938" s="84">
        <v>42525</v>
      </c>
      <c r="N1938" s="85">
        <f t="shared" si="593"/>
        <v>1287</v>
      </c>
      <c r="O1938" s="86">
        <f t="shared" si="594"/>
        <v>7564.2999999999993</v>
      </c>
      <c r="P1938" s="86">
        <f t="shared" si="595"/>
        <v>0</v>
      </c>
      <c r="Q1938" s="86">
        <f t="shared" si="596"/>
        <v>0</v>
      </c>
      <c r="R1938" s="86">
        <f t="shared" si="597"/>
        <v>0</v>
      </c>
      <c r="S1938" s="86">
        <f t="shared" si="598"/>
        <v>0</v>
      </c>
      <c r="T1938" s="86">
        <f t="shared" si="599"/>
        <v>7564.2999999999993</v>
      </c>
      <c r="U1938" s="87">
        <v>7564.2999999999993</v>
      </c>
    </row>
    <row r="1939" spans="1:21" s="30" customFormat="1" ht="24.6" hidden="1" outlineLevel="1" x14ac:dyDescent="0.55000000000000004">
      <c r="A1939" s="27" t="s">
        <v>327</v>
      </c>
      <c r="B1939" s="28"/>
      <c r="C1939" s="27"/>
      <c r="D1939" s="27" t="str">
        <f>"""NAV Direct"",""CRONUS JetCorp USA"",""21"",""1"",""320396"""</f>
        <v>"NAV Direct","CRONUS JetCorp USA","21","1","320396"</v>
      </c>
      <c r="E1939" s="31" t="str">
        <f t="shared" si="591"/>
        <v>C100066</v>
      </c>
      <c r="F1939" s="31"/>
      <c r="G1939" s="31"/>
      <c r="H1939" s="31"/>
      <c r="I1939" s="56"/>
      <c r="J1939" s="56"/>
      <c r="K1939" s="82" t="str">
        <f t="shared" si="592"/>
        <v>Invoice</v>
      </c>
      <c r="L1939" s="83" t="str">
        <f>"SI_109986"</f>
        <v>SI_109986</v>
      </c>
      <c r="M1939" s="84">
        <v>42545</v>
      </c>
      <c r="N1939" s="85">
        <f t="shared" si="593"/>
        <v>1267</v>
      </c>
      <c r="O1939" s="86">
        <f t="shared" si="594"/>
        <v>7676.4800000000005</v>
      </c>
      <c r="P1939" s="86">
        <f t="shared" si="595"/>
        <v>0</v>
      </c>
      <c r="Q1939" s="86">
        <f t="shared" si="596"/>
        <v>0</v>
      </c>
      <c r="R1939" s="86">
        <f t="shared" si="597"/>
        <v>0</v>
      </c>
      <c r="S1939" s="86">
        <f t="shared" si="598"/>
        <v>0</v>
      </c>
      <c r="T1939" s="86">
        <f t="shared" si="599"/>
        <v>7676.4800000000005</v>
      </c>
      <c r="U1939" s="87">
        <v>7676.4800000000005</v>
      </c>
    </row>
    <row r="1940" spans="1:21" s="30" customFormat="1" ht="24.6" hidden="1" outlineLevel="1" x14ac:dyDescent="0.55000000000000004">
      <c r="A1940" s="27" t="s">
        <v>327</v>
      </c>
      <c r="B1940" s="28"/>
      <c r="C1940" s="27"/>
      <c r="D1940" s="27" t="str">
        <f>"""NAV Direct"",""CRONUS JetCorp USA"",""21"",""1"",""320421"""</f>
        <v>"NAV Direct","CRONUS JetCorp USA","21","1","320421"</v>
      </c>
      <c r="E1940" s="31">
        <f t="shared" si="591"/>
        <v>0</v>
      </c>
      <c r="F1940" s="31"/>
      <c r="G1940" s="31"/>
      <c r="H1940" s="31"/>
      <c r="I1940" s="56"/>
      <c r="J1940" s="56"/>
      <c r="K1940" s="82" t="str">
        <f t="shared" si="592"/>
        <v>Invoice</v>
      </c>
      <c r="L1940" s="83" t="str">
        <f>"SI_109987"</f>
        <v>SI_109987</v>
      </c>
      <c r="M1940" s="84">
        <v>42550</v>
      </c>
      <c r="N1940" s="85">
        <f t="shared" si="593"/>
        <v>1262</v>
      </c>
      <c r="O1940" s="86">
        <f t="shared" si="594"/>
        <v>7678</v>
      </c>
      <c r="P1940" s="86">
        <f t="shared" si="595"/>
        <v>0</v>
      </c>
      <c r="Q1940" s="86">
        <f t="shared" si="596"/>
        <v>0</v>
      </c>
      <c r="R1940" s="86">
        <f t="shared" si="597"/>
        <v>0</v>
      </c>
      <c r="S1940" s="86">
        <f t="shared" si="598"/>
        <v>0</v>
      </c>
      <c r="T1940" s="86">
        <f t="shared" si="599"/>
        <v>7678</v>
      </c>
      <c r="U1940" s="87">
        <v>7678</v>
      </c>
    </row>
    <row r="1941" spans="1:21" s="30" customFormat="1" ht="24.6" hidden="1" outlineLevel="1" x14ac:dyDescent="0.55000000000000004">
      <c r="A1941" s="27" t="s">
        <v>327</v>
      </c>
      <c r="B1941" s="28"/>
      <c r="C1941" s="27"/>
      <c r="D1941" s="27" t="str">
        <f>"""NAV Direct"",""CRONUS JetCorp USA"",""21"",""1"",""320448"""</f>
        <v>"NAV Direct","CRONUS JetCorp USA","21","1","320448"</v>
      </c>
      <c r="E1941" s="31" t="str">
        <f t="shared" si="591"/>
        <v>C100066</v>
      </c>
      <c r="F1941" s="31"/>
      <c r="G1941" s="31"/>
      <c r="H1941" s="31"/>
      <c r="I1941" s="56"/>
      <c r="J1941" s="56"/>
      <c r="K1941" s="82" t="str">
        <f t="shared" si="592"/>
        <v>Invoice</v>
      </c>
      <c r="L1941" s="83" t="str">
        <f>"SI_109988"</f>
        <v>SI_109988</v>
      </c>
      <c r="M1941" s="84">
        <v>42562</v>
      </c>
      <c r="N1941" s="85">
        <f t="shared" si="593"/>
        <v>1250</v>
      </c>
      <c r="O1941" s="86">
        <f t="shared" si="594"/>
        <v>7599.63</v>
      </c>
      <c r="P1941" s="86">
        <f t="shared" si="595"/>
        <v>0</v>
      </c>
      <c r="Q1941" s="86">
        <f t="shared" si="596"/>
        <v>0</v>
      </c>
      <c r="R1941" s="86">
        <f t="shared" si="597"/>
        <v>0</v>
      </c>
      <c r="S1941" s="86">
        <f t="shared" si="598"/>
        <v>0</v>
      </c>
      <c r="T1941" s="86">
        <f t="shared" si="599"/>
        <v>7599.63</v>
      </c>
      <c r="U1941" s="87">
        <v>7599.63</v>
      </c>
    </row>
    <row r="1942" spans="1:21" s="30" customFormat="1" ht="24.6" hidden="1" outlineLevel="1" x14ac:dyDescent="0.55000000000000004">
      <c r="A1942" s="27" t="s">
        <v>327</v>
      </c>
      <c r="B1942" s="28"/>
      <c r="C1942" s="27"/>
      <c r="D1942" s="27" t="str">
        <f>"""NAV Direct"",""CRONUS JetCorp USA"",""21"",""1"",""320473"""</f>
        <v>"NAV Direct","CRONUS JetCorp USA","21","1","320473"</v>
      </c>
      <c r="E1942" s="31">
        <f t="shared" si="591"/>
        <v>0</v>
      </c>
      <c r="F1942" s="31"/>
      <c r="G1942" s="31"/>
      <c r="H1942" s="31"/>
      <c r="I1942" s="56"/>
      <c r="J1942" s="56"/>
      <c r="K1942" s="82" t="str">
        <f t="shared" si="592"/>
        <v>Invoice</v>
      </c>
      <c r="L1942" s="83" t="str">
        <f>"SI_109989"</f>
        <v>SI_109989</v>
      </c>
      <c r="M1942" s="84">
        <v>42568</v>
      </c>
      <c r="N1942" s="85">
        <f t="shared" si="593"/>
        <v>1244</v>
      </c>
      <c r="O1942" s="86">
        <f t="shared" si="594"/>
        <v>7731.07</v>
      </c>
      <c r="P1942" s="86">
        <f t="shared" si="595"/>
        <v>0</v>
      </c>
      <c r="Q1942" s="86">
        <f t="shared" si="596"/>
        <v>0</v>
      </c>
      <c r="R1942" s="86">
        <f t="shared" si="597"/>
        <v>0</v>
      </c>
      <c r="S1942" s="86">
        <f t="shared" si="598"/>
        <v>0</v>
      </c>
      <c r="T1942" s="86">
        <f t="shared" si="599"/>
        <v>7731.07</v>
      </c>
      <c r="U1942" s="87">
        <v>7731.07</v>
      </c>
    </row>
    <row r="1943" spans="1:21" s="30" customFormat="1" ht="24.6" hidden="1" outlineLevel="1" x14ac:dyDescent="0.55000000000000004">
      <c r="A1943" s="27" t="s">
        <v>327</v>
      </c>
      <c r="B1943" s="28"/>
      <c r="C1943" s="27"/>
      <c r="D1943" s="27" t="str">
        <f>"""NAV Direct"",""CRONUS JetCorp USA"",""21"",""1"",""320492"""</f>
        <v>"NAV Direct","CRONUS JetCorp USA","21","1","320492"</v>
      </c>
      <c r="E1943" s="31" t="str">
        <f t="shared" si="591"/>
        <v>C100066</v>
      </c>
      <c r="F1943" s="31"/>
      <c r="G1943" s="31"/>
      <c r="H1943" s="31"/>
      <c r="I1943" s="56"/>
      <c r="J1943" s="56"/>
      <c r="K1943" s="82" t="str">
        <f t="shared" si="592"/>
        <v>Invoice</v>
      </c>
      <c r="L1943" s="83" t="str">
        <f>"SI_109990"</f>
        <v>SI_109990</v>
      </c>
      <c r="M1943" s="84">
        <v>42575</v>
      </c>
      <c r="N1943" s="85">
        <f t="shared" si="593"/>
        <v>1237</v>
      </c>
      <c r="O1943" s="86">
        <f t="shared" si="594"/>
        <v>7731.46</v>
      </c>
      <c r="P1943" s="86">
        <f t="shared" si="595"/>
        <v>0</v>
      </c>
      <c r="Q1943" s="86">
        <f t="shared" si="596"/>
        <v>0</v>
      </c>
      <c r="R1943" s="86">
        <f t="shared" si="597"/>
        <v>0</v>
      </c>
      <c r="S1943" s="86">
        <f t="shared" si="598"/>
        <v>0</v>
      </c>
      <c r="T1943" s="86">
        <f t="shared" si="599"/>
        <v>7731.46</v>
      </c>
      <c r="U1943" s="87">
        <v>7731.46</v>
      </c>
    </row>
    <row r="1944" spans="1:21" s="30" customFormat="1" ht="24.6" hidden="1" outlineLevel="1" x14ac:dyDescent="0.55000000000000004">
      <c r="A1944" s="27" t="s">
        <v>327</v>
      </c>
      <c r="B1944" s="28"/>
      <c r="C1944" s="27"/>
      <c r="D1944" s="27" t="str">
        <f>"""NAV Direct"",""CRONUS JetCorp USA"",""21"",""1"",""320515"""</f>
        <v>"NAV Direct","CRONUS JetCorp USA","21","1","320515"</v>
      </c>
      <c r="E1944" s="31">
        <f t="shared" si="591"/>
        <v>0</v>
      </c>
      <c r="F1944" s="31"/>
      <c r="G1944" s="31"/>
      <c r="H1944" s="31"/>
      <c r="I1944" s="56"/>
      <c r="J1944" s="56"/>
      <c r="K1944" s="82" t="str">
        <f t="shared" si="592"/>
        <v>Invoice</v>
      </c>
      <c r="L1944" s="83" t="str">
        <f>"SI_109991"</f>
        <v>SI_109991</v>
      </c>
      <c r="M1944" s="84">
        <v>42606</v>
      </c>
      <c r="N1944" s="85">
        <f t="shared" si="593"/>
        <v>1206</v>
      </c>
      <c r="O1944" s="86">
        <f t="shared" si="594"/>
        <v>7669.829999999999</v>
      </c>
      <c r="P1944" s="86">
        <f t="shared" si="595"/>
        <v>0</v>
      </c>
      <c r="Q1944" s="86">
        <f t="shared" si="596"/>
        <v>0</v>
      </c>
      <c r="R1944" s="86">
        <f t="shared" si="597"/>
        <v>0</v>
      </c>
      <c r="S1944" s="86">
        <f t="shared" si="598"/>
        <v>0</v>
      </c>
      <c r="T1944" s="86">
        <f t="shared" si="599"/>
        <v>7669.829999999999</v>
      </c>
      <c r="U1944" s="87">
        <v>7669.829999999999</v>
      </c>
    </row>
    <row r="1945" spans="1:21" s="30" customFormat="1" ht="24.6" hidden="1" outlineLevel="1" x14ac:dyDescent="0.55000000000000004">
      <c r="A1945" s="27" t="s">
        <v>327</v>
      </c>
      <c r="B1945" s="28"/>
      <c r="C1945" s="27"/>
      <c r="D1945" s="27" t="str">
        <f>"""NAV Direct"",""CRONUS JetCorp USA"",""21"",""1"",""320574"""</f>
        <v>"NAV Direct","CRONUS JetCorp USA","21","1","320574"</v>
      </c>
      <c r="E1945" s="31" t="str">
        <f t="shared" si="591"/>
        <v>C100066</v>
      </c>
      <c r="F1945" s="31"/>
      <c r="G1945" s="31"/>
      <c r="H1945" s="31"/>
      <c r="I1945" s="56"/>
      <c r="J1945" s="56"/>
      <c r="K1945" s="82" t="str">
        <f t="shared" si="592"/>
        <v>Invoice</v>
      </c>
      <c r="L1945" s="83" t="str">
        <f>"SI_109994"</f>
        <v>SI_109994</v>
      </c>
      <c r="M1945" s="84">
        <v>42639</v>
      </c>
      <c r="N1945" s="85">
        <f t="shared" si="593"/>
        <v>1173</v>
      </c>
      <c r="O1945" s="86">
        <f t="shared" si="594"/>
        <v>7760.9100000000008</v>
      </c>
      <c r="P1945" s="86">
        <f t="shared" si="595"/>
        <v>0</v>
      </c>
      <c r="Q1945" s="86">
        <f t="shared" si="596"/>
        <v>0</v>
      </c>
      <c r="R1945" s="86">
        <f t="shared" si="597"/>
        <v>0</v>
      </c>
      <c r="S1945" s="86">
        <f t="shared" si="598"/>
        <v>0</v>
      </c>
      <c r="T1945" s="86">
        <f t="shared" si="599"/>
        <v>7760.9100000000008</v>
      </c>
      <c r="U1945" s="87">
        <v>7760.9100000000008</v>
      </c>
    </row>
    <row r="1946" spans="1:21" s="30" customFormat="1" ht="24.6" hidden="1" outlineLevel="1" x14ac:dyDescent="0.55000000000000004">
      <c r="A1946" s="27" t="s">
        <v>327</v>
      </c>
      <c r="B1946" s="28"/>
      <c r="C1946" s="27"/>
      <c r="D1946" s="27" t="str">
        <f>"""NAV Direct"",""CRONUS JetCorp USA"",""21"",""1"",""320601"""</f>
        <v>"NAV Direct","CRONUS JetCorp USA","21","1","320601"</v>
      </c>
      <c r="E1946" s="31">
        <f t="shared" si="591"/>
        <v>0</v>
      </c>
      <c r="F1946" s="31"/>
      <c r="G1946" s="31"/>
      <c r="H1946" s="31"/>
      <c r="I1946" s="56"/>
      <c r="J1946" s="56"/>
      <c r="K1946" s="82" t="str">
        <f t="shared" si="592"/>
        <v>Invoice</v>
      </c>
      <c r="L1946" s="83" t="str">
        <f>"SI_109995"</f>
        <v>SI_109995</v>
      </c>
      <c r="M1946" s="84">
        <v>42648</v>
      </c>
      <c r="N1946" s="85">
        <f t="shared" si="593"/>
        <v>1164</v>
      </c>
      <c r="O1946" s="86">
        <f t="shared" si="594"/>
        <v>7761.53</v>
      </c>
      <c r="P1946" s="86">
        <f t="shared" si="595"/>
        <v>0</v>
      </c>
      <c r="Q1946" s="86">
        <f t="shared" si="596"/>
        <v>0</v>
      </c>
      <c r="R1946" s="86">
        <f t="shared" si="597"/>
        <v>0</v>
      </c>
      <c r="S1946" s="86">
        <f t="shared" si="598"/>
        <v>0</v>
      </c>
      <c r="T1946" s="86">
        <f t="shared" si="599"/>
        <v>7761.53</v>
      </c>
      <c r="U1946" s="87">
        <v>7761.53</v>
      </c>
    </row>
    <row r="1947" spans="1:21" s="30" customFormat="1" ht="24.6" hidden="1" outlineLevel="1" x14ac:dyDescent="0.55000000000000004">
      <c r="A1947" s="27" t="s">
        <v>327</v>
      </c>
      <c r="B1947" s="28"/>
      <c r="C1947" s="27"/>
      <c r="D1947" s="27" t="str">
        <f>"""NAV Direct"",""CRONUS JetCorp USA"",""21"",""1"",""320645"""</f>
        <v>"NAV Direct","CRONUS JetCorp USA","21","1","320645"</v>
      </c>
      <c r="E1947" s="31" t="str">
        <f t="shared" si="591"/>
        <v>C100066</v>
      </c>
      <c r="F1947" s="31"/>
      <c r="G1947" s="31"/>
      <c r="H1947" s="31"/>
      <c r="I1947" s="56"/>
      <c r="J1947" s="56"/>
      <c r="K1947" s="82" t="str">
        <f t="shared" si="592"/>
        <v>Invoice</v>
      </c>
      <c r="L1947" s="83" t="str">
        <f>"SI_109997"</f>
        <v>SI_109997</v>
      </c>
      <c r="M1947" s="84">
        <v>42656</v>
      </c>
      <c r="N1947" s="85">
        <f t="shared" si="593"/>
        <v>1156</v>
      </c>
      <c r="O1947" s="86">
        <f t="shared" si="594"/>
        <v>7761.4400000000005</v>
      </c>
      <c r="P1947" s="86">
        <f t="shared" si="595"/>
        <v>0</v>
      </c>
      <c r="Q1947" s="86">
        <f t="shared" si="596"/>
        <v>0</v>
      </c>
      <c r="R1947" s="86">
        <f t="shared" si="597"/>
        <v>0</v>
      </c>
      <c r="S1947" s="86">
        <f t="shared" si="598"/>
        <v>0</v>
      </c>
      <c r="T1947" s="86">
        <f t="shared" si="599"/>
        <v>7761.4400000000005</v>
      </c>
      <c r="U1947" s="87">
        <v>7761.4400000000005</v>
      </c>
    </row>
    <row r="1948" spans="1:21" s="30" customFormat="1" ht="24.6" hidden="1" outlineLevel="1" x14ac:dyDescent="0.55000000000000004">
      <c r="A1948" s="27" t="s">
        <v>327</v>
      </c>
      <c r="B1948" s="28"/>
      <c r="C1948" s="27"/>
      <c r="D1948" s="27" t="str">
        <f>"""NAV Direct"",""CRONUS JetCorp USA"",""21"",""1"",""320842"""</f>
        <v>"NAV Direct","CRONUS JetCorp USA","21","1","320842"</v>
      </c>
      <c r="E1948" s="31">
        <f t="shared" si="591"/>
        <v>0</v>
      </c>
      <c r="F1948" s="31"/>
      <c r="G1948" s="31"/>
      <c r="H1948" s="31"/>
      <c r="I1948" s="56"/>
      <c r="J1948" s="56"/>
      <c r="K1948" s="82" t="str">
        <f t="shared" si="592"/>
        <v>Invoice</v>
      </c>
      <c r="L1948" s="83" t="str">
        <f>"SI_110006"</f>
        <v>SI_110006</v>
      </c>
      <c r="M1948" s="84">
        <v>42703</v>
      </c>
      <c r="N1948" s="85">
        <f t="shared" si="593"/>
        <v>1109</v>
      </c>
      <c r="O1948" s="86">
        <f t="shared" si="594"/>
        <v>7940.75</v>
      </c>
      <c r="P1948" s="86">
        <f t="shared" si="595"/>
        <v>0</v>
      </c>
      <c r="Q1948" s="86">
        <f t="shared" si="596"/>
        <v>0</v>
      </c>
      <c r="R1948" s="86">
        <f t="shared" si="597"/>
        <v>0</v>
      </c>
      <c r="S1948" s="86">
        <f t="shared" si="598"/>
        <v>0</v>
      </c>
      <c r="T1948" s="86">
        <f t="shared" si="599"/>
        <v>7940.75</v>
      </c>
      <c r="U1948" s="87">
        <v>7940.75</v>
      </c>
    </row>
    <row r="1949" spans="1:21" s="30" customFormat="1" ht="24.6" hidden="1" outlineLevel="1" x14ac:dyDescent="0.55000000000000004">
      <c r="A1949" s="27" t="s">
        <v>327</v>
      </c>
      <c r="B1949" s="28"/>
      <c r="C1949" s="27"/>
      <c r="D1949" s="27" t="str">
        <f>"""NAV Direct"",""CRONUS JetCorp USA"",""21"",""1"",""320942"""</f>
        <v>"NAV Direct","CRONUS JetCorp USA","21","1","320942"</v>
      </c>
      <c r="E1949" s="31" t="str">
        <f t="shared" si="591"/>
        <v>C100066</v>
      </c>
      <c r="F1949" s="31"/>
      <c r="G1949" s="31"/>
      <c r="H1949" s="31"/>
      <c r="I1949" s="56"/>
      <c r="J1949" s="56"/>
      <c r="K1949" s="82" t="str">
        <f t="shared" si="592"/>
        <v>Invoice</v>
      </c>
      <c r="L1949" s="83" t="str">
        <f>"SI_110010"</f>
        <v>SI_110010</v>
      </c>
      <c r="M1949" s="84">
        <v>42742</v>
      </c>
      <c r="N1949" s="85">
        <f t="shared" si="593"/>
        <v>1070</v>
      </c>
      <c r="O1949" s="86">
        <f t="shared" si="594"/>
        <v>7893.72</v>
      </c>
      <c r="P1949" s="86">
        <f t="shared" si="595"/>
        <v>0</v>
      </c>
      <c r="Q1949" s="86">
        <f t="shared" si="596"/>
        <v>0</v>
      </c>
      <c r="R1949" s="86">
        <f t="shared" si="597"/>
        <v>0</v>
      </c>
      <c r="S1949" s="86">
        <f t="shared" si="598"/>
        <v>0</v>
      </c>
      <c r="T1949" s="86">
        <f t="shared" si="599"/>
        <v>7893.72</v>
      </c>
      <c r="U1949" s="87">
        <v>7893.72</v>
      </c>
    </row>
    <row r="1950" spans="1:21" s="30" customFormat="1" ht="24.6" hidden="1" outlineLevel="1" x14ac:dyDescent="0.55000000000000004">
      <c r="A1950" s="27" t="s">
        <v>327</v>
      </c>
      <c r="B1950" s="28"/>
      <c r="C1950" s="27"/>
      <c r="D1950" s="27" t="str">
        <f>"""NAV Direct"",""CRONUS JetCorp USA"",""21"",""1"",""321103"""</f>
        <v>"NAV Direct","CRONUS JetCorp USA","21","1","321103"</v>
      </c>
      <c r="E1950" s="31">
        <f t="shared" si="591"/>
        <v>0</v>
      </c>
      <c r="F1950" s="31"/>
      <c r="G1950" s="31"/>
      <c r="H1950" s="31"/>
      <c r="I1950" s="56"/>
      <c r="J1950" s="56"/>
      <c r="K1950" s="82" t="str">
        <f t="shared" si="592"/>
        <v>Invoice</v>
      </c>
      <c r="L1950" s="83" t="str">
        <f>"SI_110017"</f>
        <v>SI_110017</v>
      </c>
      <c r="M1950" s="84">
        <v>42792</v>
      </c>
      <c r="N1950" s="85">
        <f t="shared" si="593"/>
        <v>1020</v>
      </c>
      <c r="O1950" s="86">
        <f t="shared" si="594"/>
        <v>7791.18</v>
      </c>
      <c r="P1950" s="86">
        <f t="shared" si="595"/>
        <v>0</v>
      </c>
      <c r="Q1950" s="86">
        <f t="shared" si="596"/>
        <v>0</v>
      </c>
      <c r="R1950" s="86">
        <f t="shared" si="597"/>
        <v>0</v>
      </c>
      <c r="S1950" s="86">
        <f t="shared" si="598"/>
        <v>0</v>
      </c>
      <c r="T1950" s="86">
        <f t="shared" si="599"/>
        <v>7791.18</v>
      </c>
      <c r="U1950" s="87">
        <v>7791.18</v>
      </c>
    </row>
    <row r="1951" spans="1:21" s="30" customFormat="1" ht="24.6" hidden="1" outlineLevel="1" x14ac:dyDescent="0.55000000000000004">
      <c r="A1951" s="27" t="s">
        <v>327</v>
      </c>
      <c r="B1951" s="28"/>
      <c r="C1951" s="27"/>
      <c r="D1951" s="27" t="str">
        <f>"""NAV Direct"",""CRONUS JetCorp USA"",""21"",""1"",""321149"""</f>
        <v>"NAV Direct","CRONUS JetCorp USA","21","1","321149"</v>
      </c>
      <c r="E1951" s="31" t="str">
        <f t="shared" si="591"/>
        <v>C100066</v>
      </c>
      <c r="F1951" s="31"/>
      <c r="G1951" s="31"/>
      <c r="H1951" s="31"/>
      <c r="I1951" s="56"/>
      <c r="J1951" s="56"/>
      <c r="K1951" s="82" t="str">
        <f t="shared" si="592"/>
        <v>Invoice</v>
      </c>
      <c r="L1951" s="83" t="str">
        <f>"SI_110019"</f>
        <v>SI_110019</v>
      </c>
      <c r="M1951" s="84">
        <v>42794</v>
      </c>
      <c r="N1951" s="85">
        <f t="shared" si="593"/>
        <v>1018</v>
      </c>
      <c r="O1951" s="86">
        <f t="shared" si="594"/>
        <v>7790.92</v>
      </c>
      <c r="P1951" s="86">
        <f t="shared" si="595"/>
        <v>0</v>
      </c>
      <c r="Q1951" s="86">
        <f t="shared" si="596"/>
        <v>0</v>
      </c>
      <c r="R1951" s="86">
        <f t="shared" si="597"/>
        <v>0</v>
      </c>
      <c r="S1951" s="86">
        <f t="shared" si="598"/>
        <v>0</v>
      </c>
      <c r="T1951" s="86">
        <f t="shared" si="599"/>
        <v>7790.92</v>
      </c>
      <c r="U1951" s="87">
        <v>7790.92</v>
      </c>
    </row>
    <row r="1952" spans="1:21" s="30" customFormat="1" ht="24.6" hidden="1" outlineLevel="1" x14ac:dyDescent="0.55000000000000004">
      <c r="A1952" s="27" t="s">
        <v>327</v>
      </c>
      <c r="B1952" s="28"/>
      <c r="C1952" s="27"/>
      <c r="D1952" s="27" t="str">
        <f>"""NAV Direct"",""CRONUS JetCorp USA"",""21"",""1"",""321172"""</f>
        <v>"NAV Direct","CRONUS JetCorp USA","21","1","321172"</v>
      </c>
      <c r="E1952" s="31">
        <f t="shared" si="591"/>
        <v>0</v>
      </c>
      <c r="F1952" s="31"/>
      <c r="G1952" s="31"/>
      <c r="H1952" s="31"/>
      <c r="I1952" s="56"/>
      <c r="J1952" s="56"/>
      <c r="K1952" s="82" t="str">
        <f t="shared" si="592"/>
        <v>Invoice</v>
      </c>
      <c r="L1952" s="83" t="str">
        <f>"SI_110020"</f>
        <v>SI_110020</v>
      </c>
      <c r="M1952" s="84">
        <v>42822</v>
      </c>
      <c r="N1952" s="85">
        <f t="shared" si="593"/>
        <v>990</v>
      </c>
      <c r="O1952" s="86">
        <f t="shared" si="594"/>
        <v>7736.18</v>
      </c>
      <c r="P1952" s="86">
        <f t="shared" si="595"/>
        <v>0</v>
      </c>
      <c r="Q1952" s="86">
        <f t="shared" si="596"/>
        <v>0</v>
      </c>
      <c r="R1952" s="86">
        <f t="shared" si="597"/>
        <v>0</v>
      </c>
      <c r="S1952" s="86">
        <f t="shared" si="598"/>
        <v>0</v>
      </c>
      <c r="T1952" s="86">
        <f t="shared" si="599"/>
        <v>7736.18</v>
      </c>
      <c r="U1952" s="87">
        <v>7736.18</v>
      </c>
    </row>
    <row r="1953" spans="1:21" s="30" customFormat="1" ht="24.6" hidden="1" outlineLevel="1" x14ac:dyDescent="0.55000000000000004">
      <c r="A1953" s="27" t="s">
        <v>327</v>
      </c>
      <c r="B1953" s="28"/>
      <c r="C1953" s="27"/>
      <c r="D1953" s="27" t="str">
        <f>"""NAV Direct"",""CRONUS JetCorp USA"",""21"",""1"",""321195"""</f>
        <v>"NAV Direct","CRONUS JetCorp USA","21","1","321195"</v>
      </c>
      <c r="E1953" s="31" t="str">
        <f t="shared" si="591"/>
        <v>C100066</v>
      </c>
      <c r="F1953" s="31"/>
      <c r="G1953" s="31"/>
      <c r="H1953" s="31"/>
      <c r="I1953" s="56"/>
      <c r="J1953" s="56"/>
      <c r="K1953" s="82" t="str">
        <f t="shared" si="592"/>
        <v>Invoice</v>
      </c>
      <c r="L1953" s="83" t="str">
        <f>"SI_110021"</f>
        <v>SI_110021</v>
      </c>
      <c r="M1953" s="84">
        <v>42820</v>
      </c>
      <c r="N1953" s="85">
        <f t="shared" si="593"/>
        <v>992</v>
      </c>
      <c r="O1953" s="86">
        <f t="shared" si="594"/>
        <v>7736.71</v>
      </c>
      <c r="P1953" s="86">
        <f t="shared" si="595"/>
        <v>0</v>
      </c>
      <c r="Q1953" s="86">
        <f t="shared" si="596"/>
        <v>0</v>
      </c>
      <c r="R1953" s="86">
        <f t="shared" si="597"/>
        <v>0</v>
      </c>
      <c r="S1953" s="86">
        <f t="shared" si="598"/>
        <v>0</v>
      </c>
      <c r="T1953" s="86">
        <f t="shared" si="599"/>
        <v>7736.71</v>
      </c>
      <c r="U1953" s="87">
        <v>7736.71</v>
      </c>
    </row>
    <row r="1954" spans="1:21" s="30" customFormat="1" ht="24.6" hidden="1" outlineLevel="1" x14ac:dyDescent="0.55000000000000004">
      <c r="A1954" s="27" t="s">
        <v>327</v>
      </c>
      <c r="B1954" s="28"/>
      <c r="C1954" s="27"/>
      <c r="D1954" s="27" t="str">
        <f>"""NAV Direct"",""CRONUS JetCorp USA"",""21"",""1"",""321245"""</f>
        <v>"NAV Direct","CRONUS JetCorp USA","21","1","321245"</v>
      </c>
      <c r="E1954" s="31">
        <f t="shared" si="591"/>
        <v>0</v>
      </c>
      <c r="F1954" s="31"/>
      <c r="G1954" s="31"/>
      <c r="H1954" s="31"/>
      <c r="I1954" s="56"/>
      <c r="J1954" s="56"/>
      <c r="K1954" s="82" t="str">
        <f t="shared" si="592"/>
        <v>Invoice</v>
      </c>
      <c r="L1954" s="83" t="str">
        <f>"SI_110023"</f>
        <v>SI_110023</v>
      </c>
      <c r="M1954" s="84">
        <v>42829</v>
      </c>
      <c r="N1954" s="85">
        <f t="shared" si="593"/>
        <v>983</v>
      </c>
      <c r="O1954" s="86">
        <f t="shared" si="594"/>
        <v>7736.9199999999992</v>
      </c>
      <c r="P1954" s="86">
        <f t="shared" si="595"/>
        <v>0</v>
      </c>
      <c r="Q1954" s="86">
        <f t="shared" si="596"/>
        <v>0</v>
      </c>
      <c r="R1954" s="86">
        <f t="shared" si="597"/>
        <v>0</v>
      </c>
      <c r="S1954" s="86">
        <f t="shared" si="598"/>
        <v>0</v>
      </c>
      <c r="T1954" s="86">
        <f t="shared" si="599"/>
        <v>7736.9199999999992</v>
      </c>
      <c r="U1954" s="87">
        <v>7736.9199999999992</v>
      </c>
    </row>
    <row r="1955" spans="1:21" s="30" customFormat="1" ht="24.6" hidden="1" outlineLevel="1" x14ac:dyDescent="0.55000000000000004">
      <c r="A1955" s="27" t="s">
        <v>327</v>
      </c>
      <c r="B1955" s="28"/>
      <c r="C1955" s="27"/>
      <c r="D1955" s="27" t="str">
        <f>"""NAV Direct"",""CRONUS JetCorp USA"",""21"",""1"",""321293"""</f>
        <v>"NAV Direct","CRONUS JetCorp USA","21","1","321293"</v>
      </c>
      <c r="E1955" s="31" t="str">
        <f t="shared" ref="E1955:E1986" si="600">E1953</f>
        <v>C100066</v>
      </c>
      <c r="F1955" s="31"/>
      <c r="G1955" s="31"/>
      <c r="H1955" s="31"/>
      <c r="I1955" s="56"/>
      <c r="J1955" s="56"/>
      <c r="K1955" s="82" t="str">
        <f t="shared" ref="K1955:K1986" si="601">"Invoice"</f>
        <v>Invoice</v>
      </c>
      <c r="L1955" s="83" t="str">
        <f>"SI_110025"</f>
        <v>SI_110025</v>
      </c>
      <c r="M1955" s="84">
        <v>42849</v>
      </c>
      <c r="N1955" s="85">
        <f t="shared" ref="N1955:N1986" si="602">StartDate-$M1955+1</f>
        <v>963</v>
      </c>
      <c r="O1955" s="86">
        <f t="shared" ref="O1955:O1986" si="603">SUM(P1955:T1955)</f>
        <v>7697.920000000001</v>
      </c>
      <c r="P1955" s="86">
        <f t="shared" ref="P1955:P1986" si="604">IF($M1955&gt;=$P$18,U1955,0)</f>
        <v>0</v>
      </c>
      <c r="Q1955" s="86">
        <f t="shared" ref="Q1955:Q1986" si="605">IF(AND($M1955&gt;=$Q$16,$M1955&lt;=$Q$18),U1955,0)</f>
        <v>0</v>
      </c>
      <c r="R1955" s="86">
        <f t="shared" ref="R1955:R1986" si="606">IF(AND($M1955&gt;=$R$16,$M1955&lt;=$R$18),U1955,0)</f>
        <v>0</v>
      </c>
      <c r="S1955" s="86">
        <f t="shared" ref="S1955:S1986" si="607">IF(AND($M1955&gt;=$S$16,$M1955&lt;=$S$18),U1955,0)</f>
        <v>0</v>
      </c>
      <c r="T1955" s="86">
        <f t="shared" ref="T1955:T1986" si="608">IF($M1955&lt;=$T$18,U1955,0)</f>
        <v>7697.920000000001</v>
      </c>
      <c r="U1955" s="87">
        <v>7697.920000000001</v>
      </c>
    </row>
    <row r="1956" spans="1:21" s="30" customFormat="1" ht="24.6" hidden="1" outlineLevel="1" x14ac:dyDescent="0.55000000000000004">
      <c r="A1956" s="27" t="s">
        <v>327</v>
      </c>
      <c r="B1956" s="28"/>
      <c r="C1956" s="27"/>
      <c r="D1956" s="27" t="str">
        <f>"""NAV Direct"",""CRONUS JetCorp USA"",""21"",""1"",""321312"""</f>
        <v>"NAV Direct","CRONUS JetCorp USA","21","1","321312"</v>
      </c>
      <c r="E1956" s="31">
        <f t="shared" si="600"/>
        <v>0</v>
      </c>
      <c r="F1956" s="31"/>
      <c r="G1956" s="31"/>
      <c r="H1956" s="31"/>
      <c r="I1956" s="56"/>
      <c r="J1956" s="56"/>
      <c r="K1956" s="82" t="str">
        <f t="shared" si="601"/>
        <v>Invoice</v>
      </c>
      <c r="L1956" s="83" t="str">
        <f>"SI_110026"</f>
        <v>SI_110026</v>
      </c>
      <c r="M1956" s="84">
        <v>42835</v>
      </c>
      <c r="N1956" s="85">
        <f t="shared" si="602"/>
        <v>977</v>
      </c>
      <c r="O1956" s="86">
        <f t="shared" si="603"/>
        <v>7697.58</v>
      </c>
      <c r="P1956" s="86">
        <f t="shared" si="604"/>
        <v>0</v>
      </c>
      <c r="Q1956" s="86">
        <f t="shared" si="605"/>
        <v>0</v>
      </c>
      <c r="R1956" s="86">
        <f t="shared" si="606"/>
        <v>0</v>
      </c>
      <c r="S1956" s="86">
        <f t="shared" si="607"/>
        <v>0</v>
      </c>
      <c r="T1956" s="86">
        <f t="shared" si="608"/>
        <v>7697.58</v>
      </c>
      <c r="U1956" s="87">
        <v>7697.58</v>
      </c>
    </row>
    <row r="1957" spans="1:21" s="30" customFormat="1" ht="24.6" hidden="1" outlineLevel="1" x14ac:dyDescent="0.55000000000000004">
      <c r="A1957" s="27" t="s">
        <v>327</v>
      </c>
      <c r="B1957" s="28"/>
      <c r="C1957" s="27"/>
      <c r="D1957" s="27" t="str">
        <f>"""NAV Direct"",""CRONUS JetCorp USA"",""21"",""1"",""321343"""</f>
        <v>"NAV Direct","CRONUS JetCorp USA","21","1","321343"</v>
      </c>
      <c r="E1957" s="31" t="str">
        <f t="shared" si="600"/>
        <v>C100066</v>
      </c>
      <c r="F1957" s="31"/>
      <c r="G1957" s="31"/>
      <c r="H1957" s="31"/>
      <c r="I1957" s="56"/>
      <c r="J1957" s="56"/>
      <c r="K1957" s="82" t="str">
        <f t="shared" si="601"/>
        <v>Invoice</v>
      </c>
      <c r="L1957" s="83" t="str">
        <f>"SI_110027"</f>
        <v>SI_110027</v>
      </c>
      <c r="M1957" s="84">
        <v>42850</v>
      </c>
      <c r="N1957" s="85">
        <f t="shared" si="602"/>
        <v>962</v>
      </c>
      <c r="O1957" s="86">
        <f t="shared" si="603"/>
        <v>7695.75</v>
      </c>
      <c r="P1957" s="86">
        <f t="shared" si="604"/>
        <v>0</v>
      </c>
      <c r="Q1957" s="86">
        <f t="shared" si="605"/>
        <v>0</v>
      </c>
      <c r="R1957" s="86">
        <f t="shared" si="606"/>
        <v>0</v>
      </c>
      <c r="S1957" s="86">
        <f t="shared" si="607"/>
        <v>0</v>
      </c>
      <c r="T1957" s="86">
        <f t="shared" si="608"/>
        <v>7695.75</v>
      </c>
      <c r="U1957" s="87">
        <v>7695.75</v>
      </c>
    </row>
    <row r="1958" spans="1:21" s="30" customFormat="1" ht="24.6" hidden="1" outlineLevel="1" x14ac:dyDescent="0.55000000000000004">
      <c r="A1958" s="27" t="s">
        <v>327</v>
      </c>
      <c r="B1958" s="28"/>
      <c r="C1958" s="27"/>
      <c r="D1958" s="27" t="str">
        <f>"""NAV Direct"",""CRONUS JetCorp USA"",""21"",""1"",""321374"""</f>
        <v>"NAV Direct","CRONUS JetCorp USA","21","1","321374"</v>
      </c>
      <c r="E1958" s="31">
        <f t="shared" si="600"/>
        <v>0</v>
      </c>
      <c r="F1958" s="31"/>
      <c r="G1958" s="31"/>
      <c r="H1958" s="31"/>
      <c r="I1958" s="56"/>
      <c r="J1958" s="56"/>
      <c r="K1958" s="82" t="str">
        <f t="shared" si="601"/>
        <v>Invoice</v>
      </c>
      <c r="L1958" s="83" t="str">
        <f>"SI_110028"</f>
        <v>SI_110028</v>
      </c>
      <c r="M1958" s="84">
        <v>42849</v>
      </c>
      <c r="N1958" s="85">
        <f t="shared" si="602"/>
        <v>963</v>
      </c>
      <c r="O1958" s="86">
        <f t="shared" si="603"/>
        <v>7697.5399999999991</v>
      </c>
      <c r="P1958" s="86">
        <f t="shared" si="604"/>
        <v>0</v>
      </c>
      <c r="Q1958" s="86">
        <f t="shared" si="605"/>
        <v>0</v>
      </c>
      <c r="R1958" s="86">
        <f t="shared" si="606"/>
        <v>0</v>
      </c>
      <c r="S1958" s="86">
        <f t="shared" si="607"/>
        <v>0</v>
      </c>
      <c r="T1958" s="86">
        <f t="shared" si="608"/>
        <v>7697.5399999999991</v>
      </c>
      <c r="U1958" s="87">
        <v>7697.5399999999991</v>
      </c>
    </row>
    <row r="1959" spans="1:21" s="30" customFormat="1" ht="24.6" hidden="1" outlineLevel="1" x14ac:dyDescent="0.55000000000000004">
      <c r="A1959" s="27" t="s">
        <v>327</v>
      </c>
      <c r="B1959" s="28"/>
      <c r="C1959" s="27"/>
      <c r="D1959" s="27" t="str">
        <f>"""NAV Direct"",""CRONUS JetCorp USA"",""21"",""1"",""321481"""</f>
        <v>"NAV Direct","CRONUS JetCorp USA","21","1","321481"</v>
      </c>
      <c r="E1959" s="31" t="str">
        <f t="shared" si="600"/>
        <v>C100066</v>
      </c>
      <c r="F1959" s="31"/>
      <c r="G1959" s="31"/>
      <c r="H1959" s="31"/>
      <c r="I1959" s="56"/>
      <c r="J1959" s="56"/>
      <c r="K1959" s="82" t="str">
        <f t="shared" si="601"/>
        <v>Invoice</v>
      </c>
      <c r="L1959" s="83" t="str">
        <f>"SI_110033"</f>
        <v>SI_110033</v>
      </c>
      <c r="M1959" s="84">
        <v>42870</v>
      </c>
      <c r="N1959" s="85">
        <f t="shared" si="602"/>
        <v>942</v>
      </c>
      <c r="O1959" s="86">
        <f t="shared" si="603"/>
        <v>7704.13</v>
      </c>
      <c r="P1959" s="86">
        <f t="shared" si="604"/>
        <v>0</v>
      </c>
      <c r="Q1959" s="86">
        <f t="shared" si="605"/>
        <v>0</v>
      </c>
      <c r="R1959" s="86">
        <f t="shared" si="606"/>
        <v>0</v>
      </c>
      <c r="S1959" s="86">
        <f t="shared" si="607"/>
        <v>0</v>
      </c>
      <c r="T1959" s="86">
        <f t="shared" si="608"/>
        <v>7704.13</v>
      </c>
      <c r="U1959" s="87">
        <v>7704.13</v>
      </c>
    </row>
    <row r="1960" spans="1:21" s="30" customFormat="1" ht="24.6" hidden="1" outlineLevel="1" x14ac:dyDescent="0.55000000000000004">
      <c r="A1960" s="27" t="s">
        <v>327</v>
      </c>
      <c r="B1960" s="28"/>
      <c r="C1960" s="27"/>
      <c r="D1960" s="27" t="str">
        <f>"""NAV Direct"",""CRONUS JetCorp USA"",""21"",""1"",""321500"""</f>
        <v>"NAV Direct","CRONUS JetCorp USA","21","1","321500"</v>
      </c>
      <c r="E1960" s="31">
        <f t="shared" si="600"/>
        <v>0</v>
      </c>
      <c r="F1960" s="31"/>
      <c r="G1960" s="31"/>
      <c r="H1960" s="31"/>
      <c r="I1960" s="56"/>
      <c r="J1960" s="56"/>
      <c r="K1960" s="82" t="str">
        <f t="shared" si="601"/>
        <v>Invoice</v>
      </c>
      <c r="L1960" s="83" t="str">
        <f>"SI_110034"</f>
        <v>SI_110034</v>
      </c>
      <c r="M1960" s="84">
        <v>42902</v>
      </c>
      <c r="N1960" s="85">
        <f t="shared" si="602"/>
        <v>910</v>
      </c>
      <c r="O1960" s="86">
        <f t="shared" si="603"/>
        <v>7681.7999999999993</v>
      </c>
      <c r="P1960" s="86">
        <f t="shared" si="604"/>
        <v>0</v>
      </c>
      <c r="Q1960" s="86">
        <f t="shared" si="605"/>
        <v>0</v>
      </c>
      <c r="R1960" s="86">
        <f t="shared" si="606"/>
        <v>0</v>
      </c>
      <c r="S1960" s="86">
        <f t="shared" si="607"/>
        <v>0</v>
      </c>
      <c r="T1960" s="86">
        <f t="shared" si="608"/>
        <v>7681.7999999999993</v>
      </c>
      <c r="U1960" s="87">
        <v>7681.7999999999993</v>
      </c>
    </row>
    <row r="1961" spans="1:21" s="30" customFormat="1" ht="24.6" hidden="1" outlineLevel="1" x14ac:dyDescent="0.55000000000000004">
      <c r="A1961" s="27" t="s">
        <v>327</v>
      </c>
      <c r="B1961" s="28"/>
      <c r="C1961" s="27"/>
      <c r="D1961" s="27" t="str">
        <f>"""NAV Direct"",""CRONUS JetCorp USA"",""21"",""1"",""321519"""</f>
        <v>"NAV Direct","CRONUS JetCorp USA","21","1","321519"</v>
      </c>
      <c r="E1961" s="31" t="str">
        <f t="shared" si="600"/>
        <v>C100066</v>
      </c>
      <c r="F1961" s="31"/>
      <c r="G1961" s="31"/>
      <c r="H1961" s="31"/>
      <c r="I1961" s="56"/>
      <c r="J1961" s="56"/>
      <c r="K1961" s="82" t="str">
        <f t="shared" si="601"/>
        <v>Invoice</v>
      </c>
      <c r="L1961" s="83" t="str">
        <f>"SI_110035"</f>
        <v>SI_110035</v>
      </c>
      <c r="M1961" s="84">
        <v>42913</v>
      </c>
      <c r="N1961" s="85">
        <f t="shared" si="602"/>
        <v>899</v>
      </c>
      <c r="O1961" s="86">
        <f t="shared" si="603"/>
        <v>7682.21</v>
      </c>
      <c r="P1961" s="86">
        <f t="shared" si="604"/>
        <v>0</v>
      </c>
      <c r="Q1961" s="86">
        <f t="shared" si="605"/>
        <v>0</v>
      </c>
      <c r="R1961" s="86">
        <f t="shared" si="606"/>
        <v>0</v>
      </c>
      <c r="S1961" s="86">
        <f t="shared" si="607"/>
        <v>0</v>
      </c>
      <c r="T1961" s="86">
        <f t="shared" si="608"/>
        <v>7682.21</v>
      </c>
      <c r="U1961" s="87">
        <v>7682.21</v>
      </c>
    </row>
    <row r="1962" spans="1:21" s="30" customFormat="1" ht="24.6" hidden="1" outlineLevel="1" x14ac:dyDescent="0.55000000000000004">
      <c r="A1962" s="27" t="s">
        <v>327</v>
      </c>
      <c r="B1962" s="28"/>
      <c r="C1962" s="27"/>
      <c r="D1962" s="27" t="str">
        <f>"""NAV Direct"",""CRONUS JetCorp USA"",""21"",""1"",""321586"""</f>
        <v>"NAV Direct","CRONUS JetCorp USA","21","1","321586"</v>
      </c>
      <c r="E1962" s="31">
        <f t="shared" si="600"/>
        <v>0</v>
      </c>
      <c r="F1962" s="31"/>
      <c r="G1962" s="31"/>
      <c r="H1962" s="31"/>
      <c r="I1962" s="56"/>
      <c r="J1962" s="56"/>
      <c r="K1962" s="82" t="str">
        <f t="shared" si="601"/>
        <v>Invoice</v>
      </c>
      <c r="L1962" s="83" t="str">
        <f>"SI_110038"</f>
        <v>SI_110038</v>
      </c>
      <c r="M1962" s="84">
        <v>42912</v>
      </c>
      <c r="N1962" s="85">
        <f t="shared" si="602"/>
        <v>900</v>
      </c>
      <c r="O1962" s="86">
        <f t="shared" si="603"/>
        <v>7682.22</v>
      </c>
      <c r="P1962" s="86">
        <f t="shared" si="604"/>
        <v>0</v>
      </c>
      <c r="Q1962" s="86">
        <f t="shared" si="605"/>
        <v>0</v>
      </c>
      <c r="R1962" s="86">
        <f t="shared" si="606"/>
        <v>0</v>
      </c>
      <c r="S1962" s="86">
        <f t="shared" si="607"/>
        <v>0</v>
      </c>
      <c r="T1962" s="86">
        <f t="shared" si="608"/>
        <v>7682.22</v>
      </c>
      <c r="U1962" s="87">
        <v>7682.22</v>
      </c>
    </row>
    <row r="1963" spans="1:21" s="30" customFormat="1" ht="24.6" hidden="1" outlineLevel="1" x14ac:dyDescent="0.55000000000000004">
      <c r="A1963" s="27" t="s">
        <v>327</v>
      </c>
      <c r="B1963" s="28"/>
      <c r="C1963" s="27"/>
      <c r="D1963" s="27" t="str">
        <f>"""NAV Direct"",""CRONUS JetCorp USA"",""21"",""1"",""321605"""</f>
        <v>"NAV Direct","CRONUS JetCorp USA","21","1","321605"</v>
      </c>
      <c r="E1963" s="31" t="str">
        <f t="shared" si="600"/>
        <v>C100066</v>
      </c>
      <c r="F1963" s="31"/>
      <c r="G1963" s="31"/>
      <c r="H1963" s="31"/>
      <c r="I1963" s="56"/>
      <c r="J1963" s="56"/>
      <c r="K1963" s="82" t="str">
        <f t="shared" si="601"/>
        <v>Invoice</v>
      </c>
      <c r="L1963" s="83" t="str">
        <f>"SI_110039"</f>
        <v>SI_110039</v>
      </c>
      <c r="M1963" s="84">
        <v>42938</v>
      </c>
      <c r="N1963" s="85">
        <f t="shared" si="602"/>
        <v>874</v>
      </c>
      <c r="O1963" s="86">
        <f t="shared" si="603"/>
        <v>7528.66</v>
      </c>
      <c r="P1963" s="86">
        <f t="shared" si="604"/>
        <v>0</v>
      </c>
      <c r="Q1963" s="86">
        <f t="shared" si="605"/>
        <v>0</v>
      </c>
      <c r="R1963" s="86">
        <f t="shared" si="606"/>
        <v>0</v>
      </c>
      <c r="S1963" s="86">
        <f t="shared" si="607"/>
        <v>0</v>
      </c>
      <c r="T1963" s="86">
        <f t="shared" si="608"/>
        <v>7528.66</v>
      </c>
      <c r="U1963" s="87">
        <v>7528.66</v>
      </c>
    </row>
    <row r="1964" spans="1:21" s="30" customFormat="1" ht="24.6" hidden="1" outlineLevel="1" x14ac:dyDescent="0.55000000000000004">
      <c r="A1964" s="27" t="s">
        <v>327</v>
      </c>
      <c r="B1964" s="28"/>
      <c r="C1964" s="27"/>
      <c r="D1964" s="27" t="str">
        <f>"""NAV Direct"",""CRONUS JetCorp USA"",""21"",""1"",""321778"""</f>
        <v>"NAV Direct","CRONUS JetCorp USA","21","1","321778"</v>
      </c>
      <c r="E1964" s="31">
        <f t="shared" si="600"/>
        <v>0</v>
      </c>
      <c r="F1964" s="31"/>
      <c r="G1964" s="31"/>
      <c r="H1964" s="31"/>
      <c r="I1964" s="56"/>
      <c r="J1964" s="56"/>
      <c r="K1964" s="82" t="str">
        <f t="shared" si="601"/>
        <v>Invoice</v>
      </c>
      <c r="L1964" s="83" t="str">
        <f>"SI_110046"</f>
        <v>SI_110046</v>
      </c>
      <c r="M1964" s="84">
        <v>42986</v>
      </c>
      <c r="N1964" s="85">
        <f t="shared" si="602"/>
        <v>826</v>
      </c>
      <c r="O1964" s="86">
        <f t="shared" si="603"/>
        <v>7626.7300000000005</v>
      </c>
      <c r="P1964" s="86">
        <f t="shared" si="604"/>
        <v>0</v>
      </c>
      <c r="Q1964" s="86">
        <f t="shared" si="605"/>
        <v>0</v>
      </c>
      <c r="R1964" s="86">
        <f t="shared" si="606"/>
        <v>0</v>
      </c>
      <c r="S1964" s="86">
        <f t="shared" si="607"/>
        <v>0</v>
      </c>
      <c r="T1964" s="86">
        <f t="shared" si="608"/>
        <v>7626.7300000000005</v>
      </c>
      <c r="U1964" s="87">
        <v>7626.7300000000005</v>
      </c>
    </row>
    <row r="1965" spans="1:21" s="30" customFormat="1" ht="24.6" hidden="1" outlineLevel="1" x14ac:dyDescent="0.55000000000000004">
      <c r="A1965" s="27" t="s">
        <v>327</v>
      </c>
      <c r="B1965" s="28"/>
      <c r="C1965" s="27"/>
      <c r="D1965" s="27" t="str">
        <f>"""NAV Direct"",""CRONUS JetCorp USA"",""21"",""1"",""321841"""</f>
        <v>"NAV Direct","CRONUS JetCorp USA","21","1","321841"</v>
      </c>
      <c r="E1965" s="31" t="str">
        <f t="shared" si="600"/>
        <v>C100066</v>
      </c>
      <c r="F1965" s="31"/>
      <c r="G1965" s="31"/>
      <c r="H1965" s="31"/>
      <c r="I1965" s="56"/>
      <c r="J1965" s="56"/>
      <c r="K1965" s="82" t="str">
        <f t="shared" si="601"/>
        <v>Invoice</v>
      </c>
      <c r="L1965" s="83" t="str">
        <f>"SI_110049"</f>
        <v>SI_110049</v>
      </c>
      <c r="M1965" s="84">
        <v>42994</v>
      </c>
      <c r="N1965" s="85">
        <f t="shared" si="602"/>
        <v>818</v>
      </c>
      <c r="O1965" s="86">
        <f t="shared" si="603"/>
        <v>7405.5</v>
      </c>
      <c r="P1965" s="86">
        <f t="shared" si="604"/>
        <v>0</v>
      </c>
      <c r="Q1965" s="86">
        <f t="shared" si="605"/>
        <v>0</v>
      </c>
      <c r="R1965" s="86">
        <f t="shared" si="606"/>
        <v>0</v>
      </c>
      <c r="S1965" s="86">
        <f t="shared" si="607"/>
        <v>0</v>
      </c>
      <c r="T1965" s="86">
        <f t="shared" si="608"/>
        <v>7405.5</v>
      </c>
      <c r="U1965" s="87">
        <v>7405.5</v>
      </c>
    </row>
    <row r="1966" spans="1:21" s="30" customFormat="1" ht="24.6" hidden="1" outlineLevel="1" x14ac:dyDescent="0.55000000000000004">
      <c r="A1966" s="27" t="s">
        <v>327</v>
      </c>
      <c r="B1966" s="28"/>
      <c r="C1966" s="27"/>
      <c r="D1966" s="27" t="str">
        <f>"""NAV Direct"",""CRONUS JetCorp USA"",""21"",""1"",""321912"""</f>
        <v>"NAV Direct","CRONUS JetCorp USA","21","1","321912"</v>
      </c>
      <c r="E1966" s="31">
        <f t="shared" si="600"/>
        <v>0</v>
      </c>
      <c r="F1966" s="31"/>
      <c r="G1966" s="31"/>
      <c r="H1966" s="31"/>
      <c r="I1966" s="56"/>
      <c r="J1966" s="56"/>
      <c r="K1966" s="82" t="str">
        <f t="shared" si="601"/>
        <v>Invoice</v>
      </c>
      <c r="L1966" s="83" t="str">
        <f>"SI_110052"</f>
        <v>SI_110052</v>
      </c>
      <c r="M1966" s="84">
        <v>43039</v>
      </c>
      <c r="N1966" s="85">
        <f t="shared" si="602"/>
        <v>773</v>
      </c>
      <c r="O1966" s="86">
        <f t="shared" si="603"/>
        <v>6983.42</v>
      </c>
      <c r="P1966" s="86">
        <f t="shared" si="604"/>
        <v>0</v>
      </c>
      <c r="Q1966" s="86">
        <f t="shared" si="605"/>
        <v>0</v>
      </c>
      <c r="R1966" s="86">
        <f t="shared" si="606"/>
        <v>0</v>
      </c>
      <c r="S1966" s="86">
        <f t="shared" si="607"/>
        <v>0</v>
      </c>
      <c r="T1966" s="86">
        <f t="shared" si="608"/>
        <v>6983.42</v>
      </c>
      <c r="U1966" s="87">
        <v>6983.42</v>
      </c>
    </row>
    <row r="1967" spans="1:21" s="30" customFormat="1" ht="24.6" hidden="1" outlineLevel="1" x14ac:dyDescent="0.55000000000000004">
      <c r="A1967" s="27" t="s">
        <v>327</v>
      </c>
      <c r="B1967" s="28"/>
      <c r="C1967" s="27"/>
      <c r="D1967" s="27" t="str">
        <f>"""NAV Direct"",""CRONUS JetCorp USA"",""21"",""1"",""321987"""</f>
        <v>"NAV Direct","CRONUS JetCorp USA","21","1","321987"</v>
      </c>
      <c r="E1967" s="31" t="str">
        <f t="shared" si="600"/>
        <v>C100066</v>
      </c>
      <c r="F1967" s="31"/>
      <c r="G1967" s="31"/>
      <c r="H1967" s="31"/>
      <c r="I1967" s="56"/>
      <c r="J1967" s="56"/>
      <c r="K1967" s="82" t="str">
        <f t="shared" si="601"/>
        <v>Invoice</v>
      </c>
      <c r="L1967" s="83" t="str">
        <f>"SI_110055"</f>
        <v>SI_110055</v>
      </c>
      <c r="M1967" s="84">
        <v>43052</v>
      </c>
      <c r="N1967" s="85">
        <f t="shared" si="602"/>
        <v>760</v>
      </c>
      <c r="O1967" s="86">
        <f t="shared" si="603"/>
        <v>6871.33</v>
      </c>
      <c r="P1967" s="86">
        <f t="shared" si="604"/>
        <v>0</v>
      </c>
      <c r="Q1967" s="86">
        <f t="shared" si="605"/>
        <v>0</v>
      </c>
      <c r="R1967" s="86">
        <f t="shared" si="606"/>
        <v>0</v>
      </c>
      <c r="S1967" s="86">
        <f t="shared" si="607"/>
        <v>0</v>
      </c>
      <c r="T1967" s="86">
        <f t="shared" si="608"/>
        <v>6871.33</v>
      </c>
      <c r="U1967" s="87">
        <v>6871.33</v>
      </c>
    </row>
    <row r="1968" spans="1:21" s="30" customFormat="1" ht="24.6" hidden="1" outlineLevel="1" x14ac:dyDescent="0.55000000000000004">
      <c r="A1968" s="27" t="s">
        <v>327</v>
      </c>
      <c r="B1968" s="28"/>
      <c r="C1968" s="27"/>
      <c r="D1968" s="27" t="str">
        <f>"""NAV Direct"",""CRONUS JetCorp USA"",""21"",""1"",""322016"""</f>
        <v>"NAV Direct","CRONUS JetCorp USA","21","1","322016"</v>
      </c>
      <c r="E1968" s="31">
        <f t="shared" si="600"/>
        <v>0</v>
      </c>
      <c r="F1968" s="31"/>
      <c r="G1968" s="31"/>
      <c r="H1968" s="31"/>
      <c r="I1968" s="56"/>
      <c r="J1968" s="56"/>
      <c r="K1968" s="82" t="str">
        <f t="shared" si="601"/>
        <v>Invoice</v>
      </c>
      <c r="L1968" s="83" t="str">
        <f>"SI_110056"</f>
        <v>SI_110056</v>
      </c>
      <c r="M1968" s="84">
        <v>43077</v>
      </c>
      <c r="N1968" s="85">
        <f t="shared" si="602"/>
        <v>735</v>
      </c>
      <c r="O1968" s="86">
        <f t="shared" si="603"/>
        <v>6871.42</v>
      </c>
      <c r="P1968" s="86">
        <f t="shared" si="604"/>
        <v>0</v>
      </c>
      <c r="Q1968" s="86">
        <f t="shared" si="605"/>
        <v>0</v>
      </c>
      <c r="R1968" s="86">
        <f t="shared" si="606"/>
        <v>0</v>
      </c>
      <c r="S1968" s="86">
        <f t="shared" si="607"/>
        <v>0</v>
      </c>
      <c r="T1968" s="86">
        <f t="shared" si="608"/>
        <v>6871.42</v>
      </c>
      <c r="U1968" s="87">
        <v>6871.42</v>
      </c>
    </row>
    <row r="1969" spans="1:21" s="30" customFormat="1" ht="24.6" hidden="1" outlineLevel="1" x14ac:dyDescent="0.55000000000000004">
      <c r="A1969" s="27" t="s">
        <v>327</v>
      </c>
      <c r="B1969" s="28"/>
      <c r="C1969" s="27"/>
      <c r="D1969" s="27" t="str">
        <f>"""NAV Direct"",""CRONUS JetCorp USA"",""21"",""1"",""322041"""</f>
        <v>"NAV Direct","CRONUS JetCorp USA","21","1","322041"</v>
      </c>
      <c r="E1969" s="31" t="str">
        <f t="shared" si="600"/>
        <v>C100066</v>
      </c>
      <c r="F1969" s="31"/>
      <c r="G1969" s="31"/>
      <c r="H1969" s="31"/>
      <c r="I1969" s="56"/>
      <c r="J1969" s="56"/>
      <c r="K1969" s="82" t="str">
        <f t="shared" si="601"/>
        <v>Invoice</v>
      </c>
      <c r="L1969" s="83" t="str">
        <f>"SI_110057"</f>
        <v>SI_110057</v>
      </c>
      <c r="M1969" s="84">
        <v>43093</v>
      </c>
      <c r="N1969" s="85">
        <f t="shared" si="602"/>
        <v>719</v>
      </c>
      <c r="O1969" s="86">
        <f t="shared" si="603"/>
        <v>6342.61</v>
      </c>
      <c r="P1969" s="86">
        <f t="shared" si="604"/>
        <v>0</v>
      </c>
      <c r="Q1969" s="86">
        <f t="shared" si="605"/>
        <v>0</v>
      </c>
      <c r="R1969" s="86">
        <f t="shared" si="606"/>
        <v>0</v>
      </c>
      <c r="S1969" s="86">
        <f t="shared" si="607"/>
        <v>0</v>
      </c>
      <c r="T1969" s="86">
        <f t="shared" si="608"/>
        <v>6342.61</v>
      </c>
      <c r="U1969" s="87">
        <v>6342.61</v>
      </c>
    </row>
    <row r="1970" spans="1:21" s="30" customFormat="1" ht="24.6" hidden="1" outlineLevel="1" x14ac:dyDescent="0.55000000000000004">
      <c r="A1970" s="27" t="s">
        <v>327</v>
      </c>
      <c r="B1970" s="28"/>
      <c r="C1970" s="27"/>
      <c r="D1970" s="27" t="str">
        <f>"""NAV Direct"",""CRONUS JetCorp USA"",""21"",""1"",""322093"""</f>
        <v>"NAV Direct","CRONUS JetCorp USA","21","1","322093"</v>
      </c>
      <c r="E1970" s="31">
        <f t="shared" si="600"/>
        <v>0</v>
      </c>
      <c r="F1970" s="31"/>
      <c r="G1970" s="31"/>
      <c r="H1970" s="31"/>
      <c r="I1970" s="56"/>
      <c r="J1970" s="56"/>
      <c r="K1970" s="82" t="str">
        <f t="shared" si="601"/>
        <v>Invoice</v>
      </c>
      <c r="L1970" s="83" t="str">
        <f>"SI_110059"</f>
        <v>SI_110059</v>
      </c>
      <c r="M1970" s="84">
        <v>43100</v>
      </c>
      <c r="N1970" s="85">
        <f t="shared" si="602"/>
        <v>712</v>
      </c>
      <c r="O1970" s="86">
        <f t="shared" si="603"/>
        <v>6342.38</v>
      </c>
      <c r="P1970" s="86">
        <f t="shared" si="604"/>
        <v>0</v>
      </c>
      <c r="Q1970" s="86">
        <f t="shared" si="605"/>
        <v>0</v>
      </c>
      <c r="R1970" s="86">
        <f t="shared" si="606"/>
        <v>0</v>
      </c>
      <c r="S1970" s="86">
        <f t="shared" si="607"/>
        <v>0</v>
      </c>
      <c r="T1970" s="86">
        <f t="shared" si="608"/>
        <v>6342.38</v>
      </c>
      <c r="U1970" s="87">
        <v>6342.38</v>
      </c>
    </row>
    <row r="1971" spans="1:21" s="30" customFormat="1" ht="24.6" hidden="1" outlineLevel="1" x14ac:dyDescent="0.55000000000000004">
      <c r="A1971" s="27" t="s">
        <v>327</v>
      </c>
      <c r="B1971" s="28"/>
      <c r="C1971" s="27"/>
      <c r="D1971" s="27" t="str">
        <f>"""NAV Direct"",""CRONUS JetCorp USA"",""21"",""1"",""322118"""</f>
        <v>"NAV Direct","CRONUS JetCorp USA","21","1","322118"</v>
      </c>
      <c r="E1971" s="31" t="str">
        <f t="shared" si="600"/>
        <v>C100066</v>
      </c>
      <c r="F1971" s="31"/>
      <c r="G1971" s="31"/>
      <c r="H1971" s="31"/>
      <c r="I1971" s="56"/>
      <c r="J1971" s="56"/>
      <c r="K1971" s="82" t="str">
        <f t="shared" si="601"/>
        <v>Invoice</v>
      </c>
      <c r="L1971" s="83" t="str">
        <f>"SI_110060"</f>
        <v>SI_110060</v>
      </c>
      <c r="M1971" s="84">
        <v>43105</v>
      </c>
      <c r="N1971" s="85">
        <f t="shared" si="602"/>
        <v>707</v>
      </c>
      <c r="O1971" s="86">
        <f t="shared" si="603"/>
        <v>6342.2</v>
      </c>
      <c r="P1971" s="86">
        <f t="shared" si="604"/>
        <v>0</v>
      </c>
      <c r="Q1971" s="86">
        <f t="shared" si="605"/>
        <v>0</v>
      </c>
      <c r="R1971" s="86">
        <f t="shared" si="606"/>
        <v>0</v>
      </c>
      <c r="S1971" s="86">
        <f t="shared" si="607"/>
        <v>0</v>
      </c>
      <c r="T1971" s="86">
        <f t="shared" si="608"/>
        <v>6342.2</v>
      </c>
      <c r="U1971" s="87">
        <v>6342.2</v>
      </c>
    </row>
    <row r="1972" spans="1:21" s="30" customFormat="1" ht="24.6" hidden="1" outlineLevel="1" x14ac:dyDescent="0.55000000000000004">
      <c r="A1972" s="27" t="s">
        <v>327</v>
      </c>
      <c r="B1972" s="28"/>
      <c r="C1972" s="27"/>
      <c r="D1972" s="27" t="str">
        <f>"""NAV Direct"",""CRONUS JetCorp USA"",""21"",""1"",""322177"""</f>
        <v>"NAV Direct","CRONUS JetCorp USA","21","1","322177"</v>
      </c>
      <c r="E1972" s="31">
        <f t="shared" si="600"/>
        <v>0</v>
      </c>
      <c r="F1972" s="31"/>
      <c r="G1972" s="31"/>
      <c r="H1972" s="31"/>
      <c r="I1972" s="56"/>
      <c r="J1972" s="56"/>
      <c r="K1972" s="82" t="str">
        <f t="shared" si="601"/>
        <v>Invoice</v>
      </c>
      <c r="L1972" s="83" t="str">
        <f>"SI_110063"</f>
        <v>SI_110063</v>
      </c>
      <c r="M1972" s="84">
        <v>43131</v>
      </c>
      <c r="N1972" s="85">
        <f t="shared" si="602"/>
        <v>681</v>
      </c>
      <c r="O1972" s="86">
        <f t="shared" si="603"/>
        <v>5961.54</v>
      </c>
      <c r="P1972" s="86">
        <f t="shared" si="604"/>
        <v>0</v>
      </c>
      <c r="Q1972" s="86">
        <f t="shared" si="605"/>
        <v>0</v>
      </c>
      <c r="R1972" s="86">
        <f t="shared" si="606"/>
        <v>0</v>
      </c>
      <c r="S1972" s="86">
        <f t="shared" si="607"/>
        <v>0</v>
      </c>
      <c r="T1972" s="86">
        <f t="shared" si="608"/>
        <v>5961.54</v>
      </c>
      <c r="U1972" s="87">
        <v>5961.54</v>
      </c>
    </row>
    <row r="1973" spans="1:21" s="30" customFormat="1" ht="24.6" hidden="1" outlineLevel="1" x14ac:dyDescent="0.55000000000000004">
      <c r="A1973" s="27" t="s">
        <v>327</v>
      </c>
      <c r="B1973" s="28"/>
      <c r="C1973" s="27"/>
      <c r="D1973" s="27" t="str">
        <f>"""NAV Direct"",""CRONUS JetCorp USA"",""21"",""1"",""322250"""</f>
        <v>"NAV Direct","CRONUS JetCorp USA","21","1","322250"</v>
      </c>
      <c r="E1973" s="31" t="str">
        <f t="shared" si="600"/>
        <v>C100066</v>
      </c>
      <c r="F1973" s="31"/>
      <c r="G1973" s="31"/>
      <c r="H1973" s="31"/>
      <c r="I1973" s="56"/>
      <c r="J1973" s="56"/>
      <c r="K1973" s="82" t="str">
        <f t="shared" si="601"/>
        <v>Invoice</v>
      </c>
      <c r="L1973" s="83" t="str">
        <f>"SI_110066"</f>
        <v>SI_110066</v>
      </c>
      <c r="M1973" s="84">
        <v>43149</v>
      </c>
      <c r="N1973" s="85">
        <f t="shared" si="602"/>
        <v>663</v>
      </c>
      <c r="O1973" s="86">
        <f t="shared" si="603"/>
        <v>5669.42</v>
      </c>
      <c r="P1973" s="86">
        <f t="shared" si="604"/>
        <v>0</v>
      </c>
      <c r="Q1973" s="86">
        <f t="shared" si="605"/>
        <v>0</v>
      </c>
      <c r="R1973" s="86">
        <f t="shared" si="606"/>
        <v>0</v>
      </c>
      <c r="S1973" s="86">
        <f t="shared" si="607"/>
        <v>0</v>
      </c>
      <c r="T1973" s="86">
        <f t="shared" si="608"/>
        <v>5669.42</v>
      </c>
      <c r="U1973" s="87">
        <v>5669.42</v>
      </c>
    </row>
    <row r="1974" spans="1:21" s="30" customFormat="1" ht="24.6" hidden="1" outlineLevel="1" x14ac:dyDescent="0.55000000000000004">
      <c r="A1974" s="27" t="s">
        <v>327</v>
      </c>
      <c r="B1974" s="28"/>
      <c r="C1974" s="27"/>
      <c r="D1974" s="27" t="str">
        <f>"""NAV Direct"",""CRONUS JetCorp USA"",""21"",""1"",""322296"""</f>
        <v>"NAV Direct","CRONUS JetCorp USA","21","1","322296"</v>
      </c>
      <c r="E1974" s="31">
        <f t="shared" si="600"/>
        <v>0</v>
      </c>
      <c r="F1974" s="31"/>
      <c r="G1974" s="31"/>
      <c r="H1974" s="31"/>
      <c r="I1974" s="56"/>
      <c r="J1974" s="56"/>
      <c r="K1974" s="82" t="str">
        <f t="shared" si="601"/>
        <v>Invoice</v>
      </c>
      <c r="L1974" s="83" t="str">
        <f>"SI_110068"</f>
        <v>SI_110068</v>
      </c>
      <c r="M1974" s="84">
        <v>43160</v>
      </c>
      <c r="N1974" s="85">
        <f t="shared" si="602"/>
        <v>652</v>
      </c>
      <c r="O1974" s="86">
        <f t="shared" si="603"/>
        <v>5668.15</v>
      </c>
      <c r="P1974" s="86">
        <f t="shared" si="604"/>
        <v>0</v>
      </c>
      <c r="Q1974" s="86">
        <f t="shared" si="605"/>
        <v>0</v>
      </c>
      <c r="R1974" s="86">
        <f t="shared" si="606"/>
        <v>0</v>
      </c>
      <c r="S1974" s="86">
        <f t="shared" si="607"/>
        <v>0</v>
      </c>
      <c r="T1974" s="86">
        <f t="shared" si="608"/>
        <v>5668.15</v>
      </c>
      <c r="U1974" s="87">
        <v>5668.15</v>
      </c>
    </row>
    <row r="1975" spans="1:21" s="30" customFormat="1" ht="24.6" hidden="1" outlineLevel="1" x14ac:dyDescent="0.55000000000000004">
      <c r="A1975" s="27" t="s">
        <v>327</v>
      </c>
      <c r="B1975" s="28"/>
      <c r="C1975" s="27"/>
      <c r="D1975" s="27" t="str">
        <f>"""NAV Direct"",""CRONUS JetCorp USA"",""21"",""1"",""322382"""</f>
        <v>"NAV Direct","CRONUS JetCorp USA","21","1","322382"</v>
      </c>
      <c r="E1975" s="31" t="str">
        <f t="shared" si="600"/>
        <v>C100066</v>
      </c>
      <c r="F1975" s="31"/>
      <c r="G1975" s="31"/>
      <c r="H1975" s="31"/>
      <c r="I1975" s="56"/>
      <c r="J1975" s="56"/>
      <c r="K1975" s="82" t="str">
        <f t="shared" si="601"/>
        <v>Invoice</v>
      </c>
      <c r="L1975" s="83" t="str">
        <f>"SI_110072"</f>
        <v>SI_110072</v>
      </c>
      <c r="M1975" s="84">
        <v>43193</v>
      </c>
      <c r="N1975" s="85">
        <f t="shared" si="602"/>
        <v>619</v>
      </c>
      <c r="O1975" s="86">
        <f t="shared" si="603"/>
        <v>5272.1</v>
      </c>
      <c r="P1975" s="86">
        <f t="shared" si="604"/>
        <v>0</v>
      </c>
      <c r="Q1975" s="86">
        <f t="shared" si="605"/>
        <v>0</v>
      </c>
      <c r="R1975" s="86">
        <f t="shared" si="606"/>
        <v>0</v>
      </c>
      <c r="S1975" s="86">
        <f t="shared" si="607"/>
        <v>0</v>
      </c>
      <c r="T1975" s="86">
        <f t="shared" si="608"/>
        <v>5272.1</v>
      </c>
      <c r="U1975" s="87">
        <v>5272.1</v>
      </c>
    </row>
    <row r="1976" spans="1:21" s="30" customFormat="1" ht="24.6" hidden="1" outlineLevel="1" x14ac:dyDescent="0.55000000000000004">
      <c r="A1976" s="27" t="s">
        <v>327</v>
      </c>
      <c r="B1976" s="28"/>
      <c r="C1976" s="27"/>
      <c r="D1976" s="27" t="str">
        <f>"""NAV Direct"",""CRONUS JetCorp USA"",""21"",""1"",""322409"""</f>
        <v>"NAV Direct","CRONUS JetCorp USA","21","1","322409"</v>
      </c>
      <c r="E1976" s="31">
        <f t="shared" si="600"/>
        <v>0</v>
      </c>
      <c r="F1976" s="31"/>
      <c r="G1976" s="31"/>
      <c r="H1976" s="31"/>
      <c r="I1976" s="56"/>
      <c r="J1976" s="56"/>
      <c r="K1976" s="82" t="str">
        <f t="shared" si="601"/>
        <v>Invoice</v>
      </c>
      <c r="L1976" s="83" t="str">
        <f>"SI_110073"</f>
        <v>SI_110073</v>
      </c>
      <c r="M1976" s="84">
        <v>43206</v>
      </c>
      <c r="N1976" s="85">
        <f t="shared" si="602"/>
        <v>606</v>
      </c>
      <c r="O1976" s="86">
        <f t="shared" si="603"/>
        <v>5146.6499999999996</v>
      </c>
      <c r="P1976" s="86">
        <f t="shared" si="604"/>
        <v>0</v>
      </c>
      <c r="Q1976" s="86">
        <f t="shared" si="605"/>
        <v>0</v>
      </c>
      <c r="R1976" s="86">
        <f t="shared" si="606"/>
        <v>0</v>
      </c>
      <c r="S1976" s="86">
        <f t="shared" si="607"/>
        <v>0</v>
      </c>
      <c r="T1976" s="86">
        <f t="shared" si="608"/>
        <v>5146.6499999999996</v>
      </c>
      <c r="U1976" s="87">
        <v>5146.6499999999996</v>
      </c>
    </row>
    <row r="1977" spans="1:21" s="30" customFormat="1" ht="24.6" hidden="1" outlineLevel="1" x14ac:dyDescent="0.55000000000000004">
      <c r="A1977" s="27" t="s">
        <v>327</v>
      </c>
      <c r="B1977" s="28"/>
      <c r="C1977" s="27"/>
      <c r="D1977" s="27" t="str">
        <f>"""NAV Direct"",""CRONUS JetCorp USA"",""21"",""1"",""322424"""</f>
        <v>"NAV Direct","CRONUS JetCorp USA","21","1","322424"</v>
      </c>
      <c r="E1977" s="31" t="str">
        <f t="shared" si="600"/>
        <v>C100066</v>
      </c>
      <c r="F1977" s="31"/>
      <c r="G1977" s="31"/>
      <c r="H1977" s="31"/>
      <c r="I1977" s="56"/>
      <c r="J1977" s="56"/>
      <c r="K1977" s="82" t="str">
        <f t="shared" si="601"/>
        <v>Invoice</v>
      </c>
      <c r="L1977" s="83" t="str">
        <f>"SI_110074"</f>
        <v>SI_110074</v>
      </c>
      <c r="M1977" s="84">
        <v>43216</v>
      </c>
      <c r="N1977" s="85">
        <f t="shared" si="602"/>
        <v>596</v>
      </c>
      <c r="O1977" s="86">
        <f t="shared" si="603"/>
        <v>5144.29</v>
      </c>
      <c r="P1977" s="86">
        <f t="shared" si="604"/>
        <v>0</v>
      </c>
      <c r="Q1977" s="86">
        <f t="shared" si="605"/>
        <v>0</v>
      </c>
      <c r="R1977" s="86">
        <f t="shared" si="606"/>
        <v>0</v>
      </c>
      <c r="S1977" s="86">
        <f t="shared" si="607"/>
        <v>0</v>
      </c>
      <c r="T1977" s="86">
        <f t="shared" si="608"/>
        <v>5144.29</v>
      </c>
      <c r="U1977" s="87">
        <v>5144.29</v>
      </c>
    </row>
    <row r="1978" spans="1:21" s="30" customFormat="1" ht="24.6" hidden="1" outlineLevel="1" x14ac:dyDescent="0.55000000000000004">
      <c r="A1978" s="27" t="s">
        <v>327</v>
      </c>
      <c r="B1978" s="28"/>
      <c r="C1978" s="27"/>
      <c r="D1978" s="27" t="str">
        <f>"""NAV Direct"",""CRONUS JetCorp USA"",""21"",""1"",""322499"""</f>
        <v>"NAV Direct","CRONUS JetCorp USA","21","1","322499"</v>
      </c>
      <c r="E1978" s="31">
        <f t="shared" si="600"/>
        <v>0</v>
      </c>
      <c r="F1978" s="31"/>
      <c r="G1978" s="31"/>
      <c r="H1978" s="31"/>
      <c r="I1978" s="56"/>
      <c r="J1978" s="56"/>
      <c r="K1978" s="82" t="str">
        <f t="shared" si="601"/>
        <v>Invoice</v>
      </c>
      <c r="L1978" s="83" t="str">
        <f>"SI_110077"</f>
        <v>SI_110077</v>
      </c>
      <c r="M1978" s="84">
        <v>43228</v>
      </c>
      <c r="N1978" s="85">
        <f t="shared" si="602"/>
        <v>584</v>
      </c>
      <c r="O1978" s="86">
        <f t="shared" si="603"/>
        <v>5144.21</v>
      </c>
      <c r="P1978" s="86">
        <f t="shared" si="604"/>
        <v>0</v>
      </c>
      <c r="Q1978" s="86">
        <f t="shared" si="605"/>
        <v>0</v>
      </c>
      <c r="R1978" s="86">
        <f t="shared" si="606"/>
        <v>0</v>
      </c>
      <c r="S1978" s="86">
        <f t="shared" si="607"/>
        <v>0</v>
      </c>
      <c r="T1978" s="86">
        <f t="shared" si="608"/>
        <v>5144.21</v>
      </c>
      <c r="U1978" s="87">
        <v>5144.21</v>
      </c>
    </row>
    <row r="1979" spans="1:21" s="30" customFormat="1" ht="24.6" hidden="1" outlineLevel="1" x14ac:dyDescent="0.55000000000000004">
      <c r="A1979" s="27" t="s">
        <v>327</v>
      </c>
      <c r="B1979" s="28"/>
      <c r="C1979" s="27"/>
      <c r="D1979" s="27" t="str">
        <f>"""NAV Direct"",""CRONUS JetCorp USA"",""21"",""1"",""322597"""</f>
        <v>"NAV Direct","CRONUS JetCorp USA","21","1","322597"</v>
      </c>
      <c r="E1979" s="31" t="str">
        <f t="shared" si="600"/>
        <v>C100066</v>
      </c>
      <c r="F1979" s="31"/>
      <c r="G1979" s="31"/>
      <c r="H1979" s="31"/>
      <c r="I1979" s="56"/>
      <c r="J1979" s="56"/>
      <c r="K1979" s="82" t="str">
        <f t="shared" si="601"/>
        <v>Invoice</v>
      </c>
      <c r="L1979" s="83" t="str">
        <f>"SI_110081"</f>
        <v>SI_110081</v>
      </c>
      <c r="M1979" s="84">
        <v>43248</v>
      </c>
      <c r="N1979" s="85">
        <f t="shared" si="602"/>
        <v>564</v>
      </c>
      <c r="O1979" s="86">
        <f t="shared" si="603"/>
        <v>5012.01</v>
      </c>
      <c r="P1979" s="86">
        <f t="shared" si="604"/>
        <v>0</v>
      </c>
      <c r="Q1979" s="86">
        <f t="shared" si="605"/>
        <v>0</v>
      </c>
      <c r="R1979" s="86">
        <f t="shared" si="606"/>
        <v>0</v>
      </c>
      <c r="S1979" s="86">
        <f t="shared" si="607"/>
        <v>0</v>
      </c>
      <c r="T1979" s="86">
        <f t="shared" si="608"/>
        <v>5012.01</v>
      </c>
      <c r="U1979" s="87">
        <v>5012.01</v>
      </c>
    </row>
    <row r="1980" spans="1:21" s="30" customFormat="1" ht="24.6" hidden="1" outlineLevel="1" x14ac:dyDescent="0.55000000000000004">
      <c r="A1980" s="27" t="s">
        <v>327</v>
      </c>
      <c r="B1980" s="28"/>
      <c r="C1980" s="27"/>
      <c r="D1980" s="27" t="str">
        <f>"""NAV Direct"",""CRONUS JetCorp USA"",""21"",""1"",""322618"""</f>
        <v>"NAV Direct","CRONUS JetCorp USA","21","1","322618"</v>
      </c>
      <c r="E1980" s="31">
        <f t="shared" si="600"/>
        <v>0</v>
      </c>
      <c r="F1980" s="31"/>
      <c r="G1980" s="31"/>
      <c r="H1980" s="31"/>
      <c r="I1980" s="56"/>
      <c r="J1980" s="56"/>
      <c r="K1980" s="82" t="str">
        <f t="shared" si="601"/>
        <v>Invoice</v>
      </c>
      <c r="L1980" s="83" t="str">
        <f>"SI_110082"</f>
        <v>SI_110082</v>
      </c>
      <c r="M1980" s="84">
        <v>43253</v>
      </c>
      <c r="N1980" s="85">
        <f t="shared" si="602"/>
        <v>559</v>
      </c>
      <c r="O1980" s="86">
        <f t="shared" si="603"/>
        <v>5011.45</v>
      </c>
      <c r="P1980" s="86">
        <f t="shared" si="604"/>
        <v>0</v>
      </c>
      <c r="Q1980" s="86">
        <f t="shared" si="605"/>
        <v>0</v>
      </c>
      <c r="R1980" s="86">
        <f t="shared" si="606"/>
        <v>0</v>
      </c>
      <c r="S1980" s="86">
        <f t="shared" si="607"/>
        <v>0</v>
      </c>
      <c r="T1980" s="86">
        <f t="shared" si="608"/>
        <v>5011.45</v>
      </c>
      <c r="U1980" s="87">
        <v>5011.45</v>
      </c>
    </row>
    <row r="1981" spans="1:21" s="30" customFormat="1" ht="24.6" hidden="1" outlineLevel="1" x14ac:dyDescent="0.55000000000000004">
      <c r="A1981" s="27" t="s">
        <v>327</v>
      </c>
      <c r="B1981" s="28"/>
      <c r="C1981" s="27"/>
      <c r="D1981" s="27" t="str">
        <f>"""NAV Direct"",""CRONUS JetCorp USA"",""21"",""1"",""322649"""</f>
        <v>"NAV Direct","CRONUS JetCorp USA","21","1","322649"</v>
      </c>
      <c r="E1981" s="31" t="str">
        <f t="shared" si="600"/>
        <v>C100066</v>
      </c>
      <c r="F1981" s="31"/>
      <c r="G1981" s="31"/>
      <c r="H1981" s="31"/>
      <c r="I1981" s="56"/>
      <c r="J1981" s="56"/>
      <c r="K1981" s="82" t="str">
        <f t="shared" si="601"/>
        <v>Invoice</v>
      </c>
      <c r="L1981" s="83" t="str">
        <f>"SI_110083"</f>
        <v>SI_110083</v>
      </c>
      <c r="M1981" s="84">
        <v>43279</v>
      </c>
      <c r="N1981" s="85">
        <f t="shared" si="602"/>
        <v>533</v>
      </c>
      <c r="O1981" s="86">
        <f t="shared" si="603"/>
        <v>5112.47</v>
      </c>
      <c r="P1981" s="86">
        <f t="shared" si="604"/>
        <v>0</v>
      </c>
      <c r="Q1981" s="86">
        <f t="shared" si="605"/>
        <v>0</v>
      </c>
      <c r="R1981" s="86">
        <f t="shared" si="606"/>
        <v>0</v>
      </c>
      <c r="S1981" s="86">
        <f t="shared" si="607"/>
        <v>0</v>
      </c>
      <c r="T1981" s="86">
        <f t="shared" si="608"/>
        <v>5112.47</v>
      </c>
      <c r="U1981" s="87">
        <v>5112.47</v>
      </c>
    </row>
    <row r="1982" spans="1:21" s="30" customFormat="1" ht="24.6" hidden="1" outlineLevel="1" x14ac:dyDescent="0.55000000000000004">
      <c r="A1982" s="27" t="s">
        <v>327</v>
      </c>
      <c r="B1982" s="28"/>
      <c r="C1982" s="27"/>
      <c r="D1982" s="27" t="str">
        <f>"""NAV Direct"",""CRONUS JetCorp USA"",""21"",""1"",""322762"""</f>
        <v>"NAV Direct","CRONUS JetCorp USA","21","1","322762"</v>
      </c>
      <c r="E1982" s="31">
        <f t="shared" si="600"/>
        <v>0</v>
      </c>
      <c r="F1982" s="31"/>
      <c r="G1982" s="31"/>
      <c r="H1982" s="31"/>
      <c r="I1982" s="56"/>
      <c r="J1982" s="56"/>
      <c r="K1982" s="82" t="str">
        <f t="shared" si="601"/>
        <v>Invoice</v>
      </c>
      <c r="L1982" s="83" t="str">
        <f>"SI_110088"</f>
        <v>SI_110088</v>
      </c>
      <c r="M1982" s="84">
        <v>43329</v>
      </c>
      <c r="N1982" s="85">
        <f t="shared" si="602"/>
        <v>483</v>
      </c>
      <c r="O1982" s="86">
        <f t="shared" si="603"/>
        <v>5069.95</v>
      </c>
      <c r="P1982" s="86">
        <f t="shared" si="604"/>
        <v>0</v>
      </c>
      <c r="Q1982" s="86">
        <f t="shared" si="605"/>
        <v>0</v>
      </c>
      <c r="R1982" s="86">
        <f t="shared" si="606"/>
        <v>0</v>
      </c>
      <c r="S1982" s="86">
        <f t="shared" si="607"/>
        <v>0</v>
      </c>
      <c r="T1982" s="86">
        <f t="shared" si="608"/>
        <v>5069.95</v>
      </c>
      <c r="U1982" s="87">
        <v>5069.95</v>
      </c>
    </row>
    <row r="1983" spans="1:21" s="30" customFormat="1" ht="24.6" hidden="1" outlineLevel="1" x14ac:dyDescent="0.55000000000000004">
      <c r="A1983" s="27" t="s">
        <v>327</v>
      </c>
      <c r="B1983" s="28"/>
      <c r="C1983" s="27"/>
      <c r="D1983" s="27" t="str">
        <f>"""NAV Direct"",""CRONUS JetCorp USA"",""21"",""1"",""322919"""</f>
        <v>"NAV Direct","CRONUS JetCorp USA","21","1","322919"</v>
      </c>
      <c r="E1983" s="31" t="str">
        <f t="shared" si="600"/>
        <v>C100066</v>
      </c>
      <c r="F1983" s="31"/>
      <c r="G1983" s="31"/>
      <c r="H1983" s="31"/>
      <c r="I1983" s="56"/>
      <c r="J1983" s="56"/>
      <c r="K1983" s="82" t="str">
        <f t="shared" si="601"/>
        <v>Invoice</v>
      </c>
      <c r="L1983" s="83" t="str">
        <f>"SI_110095"</f>
        <v>SI_110095</v>
      </c>
      <c r="M1983" s="84">
        <v>43373</v>
      </c>
      <c r="N1983" s="85">
        <f t="shared" si="602"/>
        <v>439</v>
      </c>
      <c r="O1983" s="86">
        <f t="shared" si="603"/>
        <v>5132.5199999999995</v>
      </c>
      <c r="P1983" s="86">
        <f t="shared" si="604"/>
        <v>0</v>
      </c>
      <c r="Q1983" s="86">
        <f t="shared" si="605"/>
        <v>0</v>
      </c>
      <c r="R1983" s="86">
        <f t="shared" si="606"/>
        <v>0</v>
      </c>
      <c r="S1983" s="86">
        <f t="shared" si="607"/>
        <v>0</v>
      </c>
      <c r="T1983" s="86">
        <f t="shared" si="608"/>
        <v>5132.5199999999995</v>
      </c>
      <c r="U1983" s="87">
        <v>5132.5199999999995</v>
      </c>
    </row>
    <row r="1984" spans="1:21" s="30" customFormat="1" ht="24.6" hidden="1" outlineLevel="1" x14ac:dyDescent="0.55000000000000004">
      <c r="A1984" s="27" t="s">
        <v>327</v>
      </c>
      <c r="B1984" s="28"/>
      <c r="C1984" s="27"/>
      <c r="D1984" s="27" t="str">
        <f>"""NAV Direct"",""CRONUS JetCorp USA"",""21"",""1"",""322996"""</f>
        <v>"NAV Direct","CRONUS JetCorp USA","21","1","322996"</v>
      </c>
      <c r="E1984" s="31">
        <f t="shared" si="600"/>
        <v>0</v>
      </c>
      <c r="F1984" s="31"/>
      <c r="G1984" s="31"/>
      <c r="H1984" s="31"/>
      <c r="I1984" s="56"/>
      <c r="J1984" s="56"/>
      <c r="K1984" s="82" t="str">
        <f t="shared" si="601"/>
        <v>Invoice</v>
      </c>
      <c r="L1984" s="83" t="str">
        <f>"SI_110098"</f>
        <v>SI_110098</v>
      </c>
      <c r="M1984" s="84">
        <v>43424</v>
      </c>
      <c r="N1984" s="85">
        <f t="shared" si="602"/>
        <v>388</v>
      </c>
      <c r="O1984" s="86">
        <f t="shared" si="603"/>
        <v>5328.1</v>
      </c>
      <c r="P1984" s="86">
        <f t="shared" si="604"/>
        <v>0</v>
      </c>
      <c r="Q1984" s="86">
        <f t="shared" si="605"/>
        <v>0</v>
      </c>
      <c r="R1984" s="86">
        <f t="shared" si="606"/>
        <v>0</v>
      </c>
      <c r="S1984" s="86">
        <f t="shared" si="607"/>
        <v>0</v>
      </c>
      <c r="T1984" s="86">
        <f t="shared" si="608"/>
        <v>5328.1</v>
      </c>
      <c r="U1984" s="87">
        <v>5328.1</v>
      </c>
    </row>
    <row r="1985" spans="1:21" s="30" customFormat="1" ht="24.6" hidden="1" outlineLevel="1" x14ac:dyDescent="0.55000000000000004">
      <c r="A1985" s="27" t="s">
        <v>327</v>
      </c>
      <c r="B1985" s="28"/>
      <c r="C1985" s="27"/>
      <c r="D1985" s="27" t="str">
        <f>"""NAV Direct"",""CRONUS JetCorp USA"",""21"",""1"",""323036"""</f>
        <v>"NAV Direct","CRONUS JetCorp USA","21","1","323036"</v>
      </c>
      <c r="E1985" s="31" t="str">
        <f t="shared" si="600"/>
        <v>C100066</v>
      </c>
      <c r="F1985" s="31"/>
      <c r="G1985" s="31"/>
      <c r="H1985" s="31"/>
      <c r="I1985" s="56"/>
      <c r="J1985" s="56"/>
      <c r="K1985" s="82" t="str">
        <f t="shared" si="601"/>
        <v>Invoice</v>
      </c>
      <c r="L1985" s="83" t="str">
        <f>"SI_110100"</f>
        <v>SI_110100</v>
      </c>
      <c r="M1985" s="84">
        <v>43432</v>
      </c>
      <c r="N1985" s="85">
        <f t="shared" si="602"/>
        <v>380</v>
      </c>
      <c r="O1985" s="86">
        <f t="shared" si="603"/>
        <v>5328.37</v>
      </c>
      <c r="P1985" s="86">
        <f t="shared" si="604"/>
        <v>0</v>
      </c>
      <c r="Q1985" s="86">
        <f t="shared" si="605"/>
        <v>0</v>
      </c>
      <c r="R1985" s="86">
        <f t="shared" si="606"/>
        <v>0</v>
      </c>
      <c r="S1985" s="86">
        <f t="shared" si="607"/>
        <v>0</v>
      </c>
      <c r="T1985" s="86">
        <f t="shared" si="608"/>
        <v>5328.37</v>
      </c>
      <c r="U1985" s="87">
        <v>5328.37</v>
      </c>
    </row>
    <row r="1986" spans="1:21" s="30" customFormat="1" ht="24.6" hidden="1" outlineLevel="1" x14ac:dyDescent="0.55000000000000004">
      <c r="A1986" s="27" t="s">
        <v>327</v>
      </c>
      <c r="B1986" s="28"/>
      <c r="C1986" s="27"/>
      <c r="D1986" s="27" t="str">
        <f>"""NAV Direct"",""CRONUS JetCorp USA"",""21"",""1"",""323143"""</f>
        <v>"NAV Direct","CRONUS JetCorp USA","21","1","323143"</v>
      </c>
      <c r="E1986" s="31">
        <f t="shared" si="600"/>
        <v>0</v>
      </c>
      <c r="F1986" s="31"/>
      <c r="G1986" s="31"/>
      <c r="H1986" s="31"/>
      <c r="I1986" s="56"/>
      <c r="J1986" s="56"/>
      <c r="K1986" s="82" t="str">
        <f t="shared" si="601"/>
        <v>Invoice</v>
      </c>
      <c r="L1986" s="83" t="str">
        <f>"SI_110105"</f>
        <v>SI_110105</v>
      </c>
      <c r="M1986" s="84">
        <v>43487</v>
      </c>
      <c r="N1986" s="85">
        <f t="shared" si="602"/>
        <v>325</v>
      </c>
      <c r="O1986" s="86">
        <f t="shared" si="603"/>
        <v>5489.77</v>
      </c>
      <c r="P1986" s="86">
        <f t="shared" si="604"/>
        <v>0</v>
      </c>
      <c r="Q1986" s="86">
        <f t="shared" si="605"/>
        <v>0</v>
      </c>
      <c r="R1986" s="86">
        <f t="shared" si="606"/>
        <v>0</v>
      </c>
      <c r="S1986" s="86">
        <f t="shared" si="607"/>
        <v>0</v>
      </c>
      <c r="T1986" s="86">
        <f t="shared" si="608"/>
        <v>5489.77</v>
      </c>
      <c r="U1986" s="87">
        <v>5489.77</v>
      </c>
    </row>
    <row r="1987" spans="1:21" s="30" customFormat="1" ht="24.6" hidden="1" outlineLevel="1" x14ac:dyDescent="0.55000000000000004">
      <c r="A1987" s="27" t="s">
        <v>327</v>
      </c>
      <c r="B1987" s="28"/>
      <c r="C1987" s="27"/>
      <c r="D1987" s="27" t="str">
        <f>"""NAV Direct"",""CRONUS JetCorp USA"",""21"",""1"",""323191"""</f>
        <v>"NAV Direct","CRONUS JetCorp USA","21","1","323191"</v>
      </c>
      <c r="E1987" s="31" t="str">
        <f t="shared" ref="E1987:E2018" si="609">E1985</f>
        <v>C100066</v>
      </c>
      <c r="F1987" s="31"/>
      <c r="G1987" s="31"/>
      <c r="H1987" s="31"/>
      <c r="I1987" s="56"/>
      <c r="J1987" s="56"/>
      <c r="K1987" s="82" t="str">
        <f t="shared" ref="K1987:K2018" si="610">"Invoice"</f>
        <v>Invoice</v>
      </c>
      <c r="L1987" s="83" t="str">
        <f>"SI_110107"</f>
        <v>SI_110107</v>
      </c>
      <c r="M1987" s="84">
        <v>43501</v>
      </c>
      <c r="N1987" s="85">
        <f t="shared" ref="N1987:N2018" si="611">StartDate-$M1987+1</f>
        <v>311</v>
      </c>
      <c r="O1987" s="86">
        <f t="shared" ref="O1987:O2018" si="612">SUM(P1987:T1987)</f>
        <v>5489.91</v>
      </c>
      <c r="P1987" s="86">
        <f t="shared" ref="P1987:P2018" si="613">IF($M1987&gt;=$P$18,U1987,0)</f>
        <v>0</v>
      </c>
      <c r="Q1987" s="86">
        <f t="shared" ref="Q1987:Q2018" si="614">IF(AND($M1987&gt;=$Q$16,$M1987&lt;=$Q$18),U1987,0)</f>
        <v>0</v>
      </c>
      <c r="R1987" s="86">
        <f t="shared" ref="R1987:R2018" si="615">IF(AND($M1987&gt;=$R$16,$M1987&lt;=$R$18),U1987,0)</f>
        <v>0</v>
      </c>
      <c r="S1987" s="86">
        <f t="shared" ref="S1987:S2018" si="616">IF(AND($M1987&gt;=$S$16,$M1987&lt;=$S$18),U1987,0)</f>
        <v>0</v>
      </c>
      <c r="T1987" s="86">
        <f t="shared" ref="T1987:T2018" si="617">IF($M1987&lt;=$T$18,U1987,0)</f>
        <v>5489.91</v>
      </c>
      <c r="U1987" s="87">
        <v>5489.91</v>
      </c>
    </row>
    <row r="1988" spans="1:21" s="30" customFormat="1" ht="24.6" hidden="1" outlineLevel="1" x14ac:dyDescent="0.55000000000000004">
      <c r="A1988" s="27" t="s">
        <v>327</v>
      </c>
      <c r="B1988" s="28"/>
      <c r="C1988" s="27"/>
      <c r="D1988" s="27" t="str">
        <f>"""NAV Direct"",""CRONUS JetCorp USA"",""21"",""1"",""323371"""</f>
        <v>"NAV Direct","CRONUS JetCorp USA","21","1","323371"</v>
      </c>
      <c r="E1988" s="31">
        <f t="shared" si="609"/>
        <v>0</v>
      </c>
      <c r="F1988" s="31"/>
      <c r="G1988" s="31"/>
      <c r="H1988" s="31"/>
      <c r="I1988" s="56"/>
      <c r="J1988" s="56"/>
      <c r="K1988" s="82" t="str">
        <f t="shared" si="610"/>
        <v>Invoice</v>
      </c>
      <c r="L1988" s="83" t="str">
        <f>"SI_110115"</f>
        <v>SI_110115</v>
      </c>
      <c r="M1988" s="84">
        <v>43574</v>
      </c>
      <c r="N1988" s="85">
        <f t="shared" si="611"/>
        <v>238</v>
      </c>
      <c r="O1988" s="86">
        <f t="shared" si="612"/>
        <v>5598.82</v>
      </c>
      <c r="P1988" s="86">
        <f t="shared" si="613"/>
        <v>0</v>
      </c>
      <c r="Q1988" s="86">
        <f t="shared" si="614"/>
        <v>0</v>
      </c>
      <c r="R1988" s="86">
        <f t="shared" si="615"/>
        <v>0</v>
      </c>
      <c r="S1988" s="86">
        <f t="shared" si="616"/>
        <v>0</v>
      </c>
      <c r="T1988" s="86">
        <f t="shared" si="617"/>
        <v>5598.82</v>
      </c>
      <c r="U1988" s="87">
        <v>5598.82</v>
      </c>
    </row>
    <row r="1989" spans="1:21" s="30" customFormat="1" ht="24.6" hidden="1" outlineLevel="1" x14ac:dyDescent="0.55000000000000004">
      <c r="A1989" s="27" t="s">
        <v>327</v>
      </c>
      <c r="B1989" s="28"/>
      <c r="C1989" s="27"/>
      <c r="D1989" s="27" t="str">
        <f>"""NAV Direct"",""CRONUS JetCorp USA"",""21"",""1"",""323417"""</f>
        <v>"NAV Direct","CRONUS JetCorp USA","21","1","323417"</v>
      </c>
      <c r="E1989" s="31" t="str">
        <f t="shared" si="609"/>
        <v>C100066</v>
      </c>
      <c r="F1989" s="31"/>
      <c r="G1989" s="31"/>
      <c r="H1989" s="31"/>
      <c r="I1989" s="56"/>
      <c r="J1989" s="56"/>
      <c r="K1989" s="82" t="str">
        <f t="shared" si="610"/>
        <v>Invoice</v>
      </c>
      <c r="L1989" s="83" t="str">
        <f>"SI_110117"</f>
        <v>SI_110117</v>
      </c>
      <c r="M1989" s="84">
        <v>43584</v>
      </c>
      <c r="N1989" s="85">
        <f t="shared" si="611"/>
        <v>228</v>
      </c>
      <c r="O1989" s="86">
        <f t="shared" si="612"/>
        <v>5598.08</v>
      </c>
      <c r="P1989" s="86">
        <f t="shared" si="613"/>
        <v>0</v>
      </c>
      <c r="Q1989" s="86">
        <f t="shared" si="614"/>
        <v>0</v>
      </c>
      <c r="R1989" s="86">
        <f t="shared" si="615"/>
        <v>0</v>
      </c>
      <c r="S1989" s="86">
        <f t="shared" si="616"/>
        <v>0</v>
      </c>
      <c r="T1989" s="86">
        <f t="shared" si="617"/>
        <v>5598.08</v>
      </c>
      <c r="U1989" s="87">
        <v>5598.08</v>
      </c>
    </row>
    <row r="1990" spans="1:21" s="30" customFormat="1" ht="24.6" hidden="1" outlineLevel="1" x14ac:dyDescent="0.55000000000000004">
      <c r="A1990" s="27" t="s">
        <v>327</v>
      </c>
      <c r="B1990" s="28"/>
      <c r="C1990" s="27"/>
      <c r="D1990" s="27" t="str">
        <f>"""NAV Direct"",""CRONUS JetCorp USA"",""21"",""1"",""323440"""</f>
        <v>"NAV Direct","CRONUS JetCorp USA","21","1","323440"</v>
      </c>
      <c r="E1990" s="31">
        <f t="shared" si="609"/>
        <v>0</v>
      </c>
      <c r="F1990" s="31"/>
      <c r="G1990" s="31"/>
      <c r="H1990" s="31"/>
      <c r="I1990" s="56"/>
      <c r="J1990" s="56"/>
      <c r="K1990" s="82" t="str">
        <f t="shared" si="610"/>
        <v>Invoice</v>
      </c>
      <c r="L1990" s="83" t="str">
        <f>"SI_110118"</f>
        <v>SI_110118</v>
      </c>
      <c r="M1990" s="84">
        <v>43585</v>
      </c>
      <c r="N1990" s="85">
        <f t="shared" si="611"/>
        <v>227</v>
      </c>
      <c r="O1990" s="86">
        <f t="shared" si="612"/>
        <v>5598.53</v>
      </c>
      <c r="P1990" s="86">
        <f t="shared" si="613"/>
        <v>0</v>
      </c>
      <c r="Q1990" s="86">
        <f t="shared" si="614"/>
        <v>0</v>
      </c>
      <c r="R1990" s="86">
        <f t="shared" si="615"/>
        <v>0</v>
      </c>
      <c r="S1990" s="86">
        <f t="shared" si="616"/>
        <v>0</v>
      </c>
      <c r="T1990" s="86">
        <f t="shared" si="617"/>
        <v>5598.53</v>
      </c>
      <c r="U1990" s="87">
        <v>5598.53</v>
      </c>
    </row>
    <row r="1991" spans="1:21" s="30" customFormat="1" ht="24.6" hidden="1" outlineLevel="1" x14ac:dyDescent="0.55000000000000004">
      <c r="A1991" s="27" t="s">
        <v>327</v>
      </c>
      <c r="B1991" s="28"/>
      <c r="C1991" s="27"/>
      <c r="D1991" s="27" t="str">
        <f>"""NAV Direct"",""CRONUS JetCorp USA"",""21"",""1"",""323459"""</f>
        <v>"NAV Direct","CRONUS JetCorp USA","21","1","323459"</v>
      </c>
      <c r="E1991" s="31" t="str">
        <f t="shared" si="609"/>
        <v>C100066</v>
      </c>
      <c r="F1991" s="31"/>
      <c r="G1991" s="31"/>
      <c r="H1991" s="31"/>
      <c r="I1991" s="56"/>
      <c r="J1991" s="56"/>
      <c r="K1991" s="82" t="str">
        <f t="shared" si="610"/>
        <v>Invoice</v>
      </c>
      <c r="L1991" s="83" t="str">
        <f>"SI_110119"</f>
        <v>SI_110119</v>
      </c>
      <c r="M1991" s="84">
        <v>43612</v>
      </c>
      <c r="N1991" s="85">
        <f t="shared" si="611"/>
        <v>200</v>
      </c>
      <c r="O1991" s="86">
        <f t="shared" si="612"/>
        <v>5810.47</v>
      </c>
      <c r="P1991" s="86">
        <f t="shared" si="613"/>
        <v>0</v>
      </c>
      <c r="Q1991" s="86">
        <f t="shared" si="614"/>
        <v>0</v>
      </c>
      <c r="R1991" s="86">
        <f t="shared" si="615"/>
        <v>0</v>
      </c>
      <c r="S1991" s="86">
        <f t="shared" si="616"/>
        <v>0</v>
      </c>
      <c r="T1991" s="86">
        <f t="shared" si="617"/>
        <v>5810.47</v>
      </c>
      <c r="U1991" s="87">
        <v>5810.47</v>
      </c>
    </row>
    <row r="1992" spans="1:21" s="30" customFormat="1" ht="24.6" hidden="1" outlineLevel="1" x14ac:dyDescent="0.55000000000000004">
      <c r="A1992" s="27" t="s">
        <v>327</v>
      </c>
      <c r="B1992" s="28"/>
      <c r="C1992" s="27"/>
      <c r="D1992" s="27" t="str">
        <f>"""NAV Direct"",""CRONUS JetCorp USA"",""21"",""1"",""323528"""</f>
        <v>"NAV Direct","CRONUS JetCorp USA","21","1","323528"</v>
      </c>
      <c r="E1992" s="31">
        <f t="shared" si="609"/>
        <v>0</v>
      </c>
      <c r="F1992" s="31"/>
      <c r="G1992" s="31"/>
      <c r="H1992" s="31"/>
      <c r="I1992" s="56"/>
      <c r="J1992" s="56"/>
      <c r="K1992" s="82" t="str">
        <f t="shared" si="610"/>
        <v>Invoice</v>
      </c>
      <c r="L1992" s="83" t="str">
        <f>"SI_110122"</f>
        <v>SI_110122</v>
      </c>
      <c r="M1992" s="84">
        <v>43642</v>
      </c>
      <c r="N1992" s="85">
        <f t="shared" si="611"/>
        <v>170</v>
      </c>
      <c r="O1992" s="86">
        <f t="shared" si="612"/>
        <v>5840.31</v>
      </c>
      <c r="P1992" s="86">
        <f t="shared" si="613"/>
        <v>0</v>
      </c>
      <c r="Q1992" s="86">
        <f t="shared" si="614"/>
        <v>0</v>
      </c>
      <c r="R1992" s="86">
        <f t="shared" si="615"/>
        <v>0</v>
      </c>
      <c r="S1992" s="86">
        <f t="shared" si="616"/>
        <v>0</v>
      </c>
      <c r="T1992" s="86">
        <f t="shared" si="617"/>
        <v>5840.31</v>
      </c>
      <c r="U1992" s="87">
        <v>5840.31</v>
      </c>
    </row>
    <row r="1993" spans="1:21" s="30" customFormat="1" ht="24.6" hidden="1" outlineLevel="1" x14ac:dyDescent="0.55000000000000004">
      <c r="A1993" s="27" t="s">
        <v>327</v>
      </c>
      <c r="B1993" s="28"/>
      <c r="C1993" s="27"/>
      <c r="D1993" s="27" t="str">
        <f>"""NAV Direct"",""CRONUS JetCorp USA"",""21"",""1"",""323553"""</f>
        <v>"NAV Direct","CRONUS JetCorp USA","21","1","323553"</v>
      </c>
      <c r="E1993" s="31" t="str">
        <f t="shared" si="609"/>
        <v>C100066</v>
      </c>
      <c r="F1993" s="31"/>
      <c r="G1993" s="31"/>
      <c r="H1993" s="31"/>
      <c r="I1993" s="56"/>
      <c r="J1993" s="56"/>
      <c r="K1993" s="82" t="str">
        <f t="shared" si="610"/>
        <v>Invoice</v>
      </c>
      <c r="L1993" s="83" t="str">
        <f>"SI_110123"</f>
        <v>SI_110123</v>
      </c>
      <c r="M1993" s="84">
        <v>43637</v>
      </c>
      <c r="N1993" s="85">
        <f t="shared" si="611"/>
        <v>175</v>
      </c>
      <c r="O1993" s="86">
        <f t="shared" si="612"/>
        <v>5840.42</v>
      </c>
      <c r="P1993" s="86">
        <f t="shared" si="613"/>
        <v>0</v>
      </c>
      <c r="Q1993" s="86">
        <f t="shared" si="614"/>
        <v>0</v>
      </c>
      <c r="R1993" s="86">
        <f t="shared" si="615"/>
        <v>0</v>
      </c>
      <c r="S1993" s="86">
        <f t="shared" si="616"/>
        <v>0</v>
      </c>
      <c r="T1993" s="86">
        <f t="shared" si="617"/>
        <v>5840.42</v>
      </c>
      <c r="U1993" s="87">
        <v>5840.42</v>
      </c>
    </row>
    <row r="1994" spans="1:21" s="30" customFormat="1" ht="24.6" hidden="1" outlineLevel="1" x14ac:dyDescent="0.55000000000000004">
      <c r="A1994" s="27" t="s">
        <v>327</v>
      </c>
      <c r="B1994" s="28"/>
      <c r="C1994" s="27"/>
      <c r="D1994" s="27" t="str">
        <f>"""NAV Direct"",""CRONUS JetCorp USA"",""21"",""1"",""323574"""</f>
        <v>"NAV Direct","CRONUS JetCorp USA","21","1","323574"</v>
      </c>
      <c r="E1994" s="31">
        <f t="shared" si="609"/>
        <v>0</v>
      </c>
      <c r="F1994" s="31"/>
      <c r="G1994" s="31"/>
      <c r="H1994" s="31"/>
      <c r="I1994" s="56"/>
      <c r="J1994" s="56"/>
      <c r="K1994" s="82" t="str">
        <f t="shared" si="610"/>
        <v>Invoice</v>
      </c>
      <c r="L1994" s="83" t="str">
        <f>"SI_110124"</f>
        <v>SI_110124</v>
      </c>
      <c r="M1994" s="84">
        <v>43640</v>
      </c>
      <c r="N1994" s="85">
        <f t="shared" si="611"/>
        <v>172</v>
      </c>
      <c r="O1994" s="86">
        <f t="shared" si="612"/>
        <v>5840.16</v>
      </c>
      <c r="P1994" s="86">
        <f t="shared" si="613"/>
        <v>0</v>
      </c>
      <c r="Q1994" s="86">
        <f t="shared" si="614"/>
        <v>0</v>
      </c>
      <c r="R1994" s="86">
        <f t="shared" si="615"/>
        <v>0</v>
      </c>
      <c r="S1994" s="86">
        <f t="shared" si="616"/>
        <v>0</v>
      </c>
      <c r="T1994" s="86">
        <f t="shared" si="617"/>
        <v>5840.16</v>
      </c>
      <c r="U1994" s="87">
        <v>5840.16</v>
      </c>
    </row>
    <row r="1995" spans="1:21" s="30" customFormat="1" ht="24.6" hidden="1" outlineLevel="1" x14ac:dyDescent="0.55000000000000004">
      <c r="A1995" s="27" t="s">
        <v>327</v>
      </c>
      <c r="B1995" s="28"/>
      <c r="C1995" s="27"/>
      <c r="D1995" s="27" t="str">
        <f>"""NAV Direct"",""CRONUS JetCorp USA"",""21"",""1"",""323591"""</f>
        <v>"NAV Direct","CRONUS JetCorp USA","21","1","323591"</v>
      </c>
      <c r="E1995" s="31" t="str">
        <f t="shared" si="609"/>
        <v>C100066</v>
      </c>
      <c r="F1995" s="31"/>
      <c r="G1995" s="31"/>
      <c r="H1995" s="31"/>
      <c r="I1995" s="56"/>
      <c r="J1995" s="56"/>
      <c r="K1995" s="82" t="str">
        <f t="shared" si="610"/>
        <v>Invoice</v>
      </c>
      <c r="L1995" s="83" t="str">
        <f>"SI_110125"</f>
        <v>SI_110125</v>
      </c>
      <c r="M1995" s="84">
        <v>43646</v>
      </c>
      <c r="N1995" s="85">
        <f t="shared" si="611"/>
        <v>166</v>
      </c>
      <c r="O1995" s="86">
        <f t="shared" si="612"/>
        <v>5840.62</v>
      </c>
      <c r="P1995" s="86">
        <f t="shared" si="613"/>
        <v>0</v>
      </c>
      <c r="Q1995" s="86">
        <f t="shared" si="614"/>
        <v>0</v>
      </c>
      <c r="R1995" s="86">
        <f t="shared" si="615"/>
        <v>0</v>
      </c>
      <c r="S1995" s="86">
        <f t="shared" si="616"/>
        <v>0</v>
      </c>
      <c r="T1995" s="86">
        <f t="shared" si="617"/>
        <v>5840.62</v>
      </c>
      <c r="U1995" s="87">
        <v>5840.62</v>
      </c>
    </row>
    <row r="1996" spans="1:21" s="30" customFormat="1" ht="24.6" hidden="1" outlineLevel="1" x14ac:dyDescent="0.55000000000000004">
      <c r="A1996" s="27" t="s">
        <v>327</v>
      </c>
      <c r="B1996" s="28"/>
      <c r="C1996" s="27"/>
      <c r="D1996" s="27" t="str">
        <f>"""NAV Direct"",""CRONUS JetCorp USA"",""21"",""1"",""323633"""</f>
        <v>"NAV Direct","CRONUS JetCorp USA","21","1","323633"</v>
      </c>
      <c r="E1996" s="31">
        <f t="shared" si="609"/>
        <v>0</v>
      </c>
      <c r="F1996" s="31"/>
      <c r="G1996" s="31"/>
      <c r="H1996" s="31"/>
      <c r="I1996" s="56"/>
      <c r="J1996" s="56"/>
      <c r="K1996" s="82" t="str">
        <f t="shared" si="610"/>
        <v>Invoice</v>
      </c>
      <c r="L1996" s="83" t="str">
        <f>"SI_110127"</f>
        <v>SI_110127</v>
      </c>
      <c r="M1996" s="84">
        <v>43667</v>
      </c>
      <c r="N1996" s="85">
        <f t="shared" si="611"/>
        <v>145</v>
      </c>
      <c r="O1996" s="86">
        <f t="shared" si="612"/>
        <v>5856.72</v>
      </c>
      <c r="P1996" s="86">
        <f t="shared" si="613"/>
        <v>0</v>
      </c>
      <c r="Q1996" s="86">
        <f t="shared" si="614"/>
        <v>0</v>
      </c>
      <c r="R1996" s="86">
        <f t="shared" si="615"/>
        <v>0</v>
      </c>
      <c r="S1996" s="86">
        <f t="shared" si="616"/>
        <v>0</v>
      </c>
      <c r="T1996" s="86">
        <f t="shared" si="617"/>
        <v>5856.72</v>
      </c>
      <c r="U1996" s="87">
        <v>5856.72</v>
      </c>
    </row>
    <row r="1997" spans="1:21" s="30" customFormat="1" ht="24.6" hidden="1" outlineLevel="1" x14ac:dyDescent="0.55000000000000004">
      <c r="A1997" s="27" t="s">
        <v>327</v>
      </c>
      <c r="B1997" s="28"/>
      <c r="C1997" s="27"/>
      <c r="D1997" s="27" t="str">
        <f>"""NAV Direct"",""CRONUS JetCorp USA"",""21"",""1"",""323656"""</f>
        <v>"NAV Direct","CRONUS JetCorp USA","21","1","323656"</v>
      </c>
      <c r="E1997" s="31" t="str">
        <f t="shared" si="609"/>
        <v>C100066</v>
      </c>
      <c r="F1997" s="31"/>
      <c r="G1997" s="31"/>
      <c r="H1997" s="31"/>
      <c r="I1997" s="56"/>
      <c r="J1997" s="56"/>
      <c r="K1997" s="82" t="str">
        <f t="shared" si="610"/>
        <v>Invoice</v>
      </c>
      <c r="L1997" s="83" t="str">
        <f>"SI_110128"</f>
        <v>SI_110128</v>
      </c>
      <c r="M1997" s="84">
        <v>43674</v>
      </c>
      <c r="N1997" s="85">
        <f t="shared" si="611"/>
        <v>138</v>
      </c>
      <c r="O1997" s="86">
        <f t="shared" si="612"/>
        <v>5858.0300000000007</v>
      </c>
      <c r="P1997" s="86">
        <f t="shared" si="613"/>
        <v>0</v>
      </c>
      <c r="Q1997" s="86">
        <f t="shared" si="614"/>
        <v>0</v>
      </c>
      <c r="R1997" s="86">
        <f t="shared" si="615"/>
        <v>0</v>
      </c>
      <c r="S1997" s="86">
        <f t="shared" si="616"/>
        <v>0</v>
      </c>
      <c r="T1997" s="86">
        <f t="shared" si="617"/>
        <v>5858.0300000000007</v>
      </c>
      <c r="U1997" s="87">
        <v>5858.0300000000007</v>
      </c>
    </row>
    <row r="1998" spans="1:21" s="30" customFormat="1" ht="24.6" hidden="1" outlineLevel="1" x14ac:dyDescent="0.55000000000000004">
      <c r="A1998" s="27" t="s">
        <v>327</v>
      </c>
      <c r="B1998" s="28"/>
      <c r="C1998" s="27"/>
      <c r="D1998" s="27" t="str">
        <f>"""NAV Direct"",""CRONUS JetCorp USA"",""21"",""1"",""323694"""</f>
        <v>"NAV Direct","CRONUS JetCorp USA","21","1","323694"</v>
      </c>
      <c r="E1998" s="31">
        <f t="shared" si="609"/>
        <v>0</v>
      </c>
      <c r="F1998" s="31"/>
      <c r="G1998" s="31"/>
      <c r="H1998" s="31"/>
      <c r="I1998" s="56"/>
      <c r="J1998" s="56"/>
      <c r="K1998" s="82" t="str">
        <f t="shared" si="610"/>
        <v>Invoice</v>
      </c>
      <c r="L1998" s="83" t="str">
        <f>"SI_110130"</f>
        <v>SI_110130</v>
      </c>
      <c r="M1998" s="84">
        <v>43692</v>
      </c>
      <c r="N1998" s="85">
        <f t="shared" si="611"/>
        <v>120</v>
      </c>
      <c r="O1998" s="86">
        <f t="shared" si="612"/>
        <v>5940.02</v>
      </c>
      <c r="P1998" s="86">
        <f t="shared" si="613"/>
        <v>0</v>
      </c>
      <c r="Q1998" s="86">
        <f t="shared" si="614"/>
        <v>0</v>
      </c>
      <c r="R1998" s="86">
        <f t="shared" si="615"/>
        <v>0</v>
      </c>
      <c r="S1998" s="86">
        <f t="shared" si="616"/>
        <v>0</v>
      </c>
      <c r="T1998" s="86">
        <f t="shared" si="617"/>
        <v>5940.02</v>
      </c>
      <c r="U1998" s="87">
        <v>5940.02</v>
      </c>
    </row>
    <row r="1999" spans="1:21" s="30" customFormat="1" ht="24.6" hidden="1" outlineLevel="1" x14ac:dyDescent="0.55000000000000004">
      <c r="A1999" s="27" t="s">
        <v>327</v>
      </c>
      <c r="B1999" s="28"/>
      <c r="C1999" s="27"/>
      <c r="D1999" s="27" t="str">
        <f>"""NAV Direct"",""CRONUS JetCorp USA"",""21"",""1"",""323763"""</f>
        <v>"NAV Direct","CRONUS JetCorp USA","21","1","323763"</v>
      </c>
      <c r="E1999" s="31" t="str">
        <f t="shared" si="609"/>
        <v>C100066</v>
      </c>
      <c r="F1999" s="31"/>
      <c r="G1999" s="31"/>
      <c r="H1999" s="31"/>
      <c r="I1999" s="56"/>
      <c r="J1999" s="56"/>
      <c r="K1999" s="82" t="str">
        <f t="shared" si="610"/>
        <v>Invoice</v>
      </c>
      <c r="L1999" s="83" t="str">
        <f>"SI_110133"</f>
        <v>SI_110133</v>
      </c>
      <c r="M1999" s="84">
        <v>43708</v>
      </c>
      <c r="N1999" s="85">
        <f t="shared" si="611"/>
        <v>104</v>
      </c>
      <c r="O1999" s="86">
        <f t="shared" si="612"/>
        <v>5939.59</v>
      </c>
      <c r="P1999" s="86">
        <f t="shared" si="613"/>
        <v>0</v>
      </c>
      <c r="Q1999" s="86">
        <f t="shared" si="614"/>
        <v>0</v>
      </c>
      <c r="R1999" s="86">
        <f t="shared" si="615"/>
        <v>0</v>
      </c>
      <c r="S1999" s="86">
        <f t="shared" si="616"/>
        <v>0</v>
      </c>
      <c r="T1999" s="86">
        <f t="shared" si="617"/>
        <v>5939.59</v>
      </c>
      <c r="U1999" s="87">
        <v>5939.59</v>
      </c>
    </row>
    <row r="2000" spans="1:21" s="30" customFormat="1" ht="24.6" hidden="1" outlineLevel="1" x14ac:dyDescent="0.55000000000000004">
      <c r="A2000" s="27" t="s">
        <v>327</v>
      </c>
      <c r="B2000" s="28"/>
      <c r="C2000" s="27"/>
      <c r="D2000" s="27" t="str">
        <f>"""NAV Direct"",""CRONUS JetCorp USA"",""21"",""1"",""323792"""</f>
        <v>"NAV Direct","CRONUS JetCorp USA","21","1","323792"</v>
      </c>
      <c r="E2000" s="31">
        <f t="shared" si="609"/>
        <v>0</v>
      </c>
      <c r="F2000" s="31"/>
      <c r="G2000" s="31"/>
      <c r="H2000" s="31"/>
      <c r="I2000" s="56"/>
      <c r="J2000" s="56"/>
      <c r="K2000" s="82" t="str">
        <f t="shared" si="610"/>
        <v>Invoice</v>
      </c>
      <c r="L2000" s="83" t="str">
        <f>"SI_110134"</f>
        <v>SI_110134</v>
      </c>
      <c r="M2000" s="84">
        <v>43724</v>
      </c>
      <c r="N2000" s="85">
        <f t="shared" si="611"/>
        <v>88</v>
      </c>
      <c r="O2000" s="86">
        <f t="shared" si="612"/>
        <v>5919.74</v>
      </c>
      <c r="P2000" s="86">
        <f t="shared" si="613"/>
        <v>0</v>
      </c>
      <c r="Q2000" s="86">
        <f t="shared" si="614"/>
        <v>0</v>
      </c>
      <c r="R2000" s="86">
        <f t="shared" si="615"/>
        <v>0</v>
      </c>
      <c r="S2000" s="86">
        <f t="shared" si="616"/>
        <v>5919.74</v>
      </c>
      <c r="T2000" s="86">
        <f t="shared" si="617"/>
        <v>0</v>
      </c>
      <c r="U2000" s="87">
        <v>5919.74</v>
      </c>
    </row>
    <row r="2001" spans="1:21" s="30" customFormat="1" ht="24.6" hidden="1" outlineLevel="1" x14ac:dyDescent="0.55000000000000004">
      <c r="A2001" s="27" t="s">
        <v>327</v>
      </c>
      <c r="B2001" s="28"/>
      <c r="C2001" s="27"/>
      <c r="D2001" s="27" t="str">
        <f>"""NAV Direct"",""CRONUS JetCorp USA"",""21"",""1"",""323815"""</f>
        <v>"NAV Direct","CRONUS JetCorp USA","21","1","323815"</v>
      </c>
      <c r="E2001" s="31" t="str">
        <f t="shared" si="609"/>
        <v>C100066</v>
      </c>
      <c r="F2001" s="31"/>
      <c r="G2001" s="31"/>
      <c r="H2001" s="31"/>
      <c r="I2001" s="56"/>
      <c r="J2001" s="56"/>
      <c r="K2001" s="82" t="str">
        <f t="shared" si="610"/>
        <v>Invoice</v>
      </c>
      <c r="L2001" s="83" t="str">
        <f>"SI_110135"</f>
        <v>SI_110135</v>
      </c>
      <c r="M2001" s="84">
        <v>43726</v>
      </c>
      <c r="N2001" s="85">
        <f t="shared" si="611"/>
        <v>86</v>
      </c>
      <c r="O2001" s="86">
        <f t="shared" si="612"/>
        <v>5922.37</v>
      </c>
      <c r="P2001" s="86">
        <f t="shared" si="613"/>
        <v>0</v>
      </c>
      <c r="Q2001" s="86">
        <f t="shared" si="614"/>
        <v>0</v>
      </c>
      <c r="R2001" s="86">
        <f t="shared" si="615"/>
        <v>0</v>
      </c>
      <c r="S2001" s="86">
        <f t="shared" si="616"/>
        <v>5922.37</v>
      </c>
      <c r="T2001" s="86">
        <f t="shared" si="617"/>
        <v>0</v>
      </c>
      <c r="U2001" s="87">
        <v>5922.37</v>
      </c>
    </row>
    <row r="2002" spans="1:21" s="30" customFormat="1" ht="24.6" hidden="1" outlineLevel="1" x14ac:dyDescent="0.55000000000000004">
      <c r="A2002" s="27" t="s">
        <v>327</v>
      </c>
      <c r="B2002" s="28"/>
      <c r="C2002" s="27"/>
      <c r="D2002" s="27" t="str">
        <f>"""NAV Direct"",""CRONUS JetCorp USA"",""21"",""1"",""323830"""</f>
        <v>"NAV Direct","CRONUS JetCorp USA","21","1","323830"</v>
      </c>
      <c r="E2002" s="31">
        <f t="shared" si="609"/>
        <v>0</v>
      </c>
      <c r="F2002" s="31"/>
      <c r="G2002" s="31"/>
      <c r="H2002" s="31"/>
      <c r="I2002" s="56"/>
      <c r="J2002" s="56"/>
      <c r="K2002" s="82" t="str">
        <f t="shared" si="610"/>
        <v>Invoice</v>
      </c>
      <c r="L2002" s="83" t="str">
        <f>"SI_110136"</f>
        <v>SI_110136</v>
      </c>
      <c r="M2002" s="84">
        <v>43729</v>
      </c>
      <c r="N2002" s="85">
        <f t="shared" si="611"/>
        <v>83</v>
      </c>
      <c r="O2002" s="86">
        <f t="shared" si="612"/>
        <v>5922.38</v>
      </c>
      <c r="P2002" s="86">
        <f t="shared" si="613"/>
        <v>0</v>
      </c>
      <c r="Q2002" s="86">
        <f t="shared" si="614"/>
        <v>0</v>
      </c>
      <c r="R2002" s="86">
        <f t="shared" si="615"/>
        <v>0</v>
      </c>
      <c r="S2002" s="86">
        <f t="shared" si="616"/>
        <v>5922.38</v>
      </c>
      <c r="T2002" s="86">
        <f t="shared" si="617"/>
        <v>0</v>
      </c>
      <c r="U2002" s="87">
        <v>5922.38</v>
      </c>
    </row>
    <row r="2003" spans="1:21" s="30" customFormat="1" ht="24.6" hidden="1" outlineLevel="1" x14ac:dyDescent="0.55000000000000004">
      <c r="A2003" s="27" t="s">
        <v>327</v>
      </c>
      <c r="B2003" s="28"/>
      <c r="C2003" s="27"/>
      <c r="D2003" s="27" t="str">
        <f>"""NAV Direct"",""CRONUS JetCorp USA"",""21"",""1"",""323878"""</f>
        <v>"NAV Direct","CRONUS JetCorp USA","21","1","323878"</v>
      </c>
      <c r="E2003" s="31" t="str">
        <f t="shared" si="609"/>
        <v>C100066</v>
      </c>
      <c r="F2003" s="31"/>
      <c r="G2003" s="31"/>
      <c r="H2003" s="31"/>
      <c r="I2003" s="56"/>
      <c r="J2003" s="56"/>
      <c r="K2003" s="82" t="str">
        <f t="shared" si="610"/>
        <v>Invoice</v>
      </c>
      <c r="L2003" s="83" t="str">
        <f>"SI_110138"</f>
        <v>SI_110138</v>
      </c>
      <c r="M2003" s="84">
        <v>43731</v>
      </c>
      <c r="N2003" s="85">
        <f t="shared" si="611"/>
        <v>81</v>
      </c>
      <c r="O2003" s="86">
        <f t="shared" si="612"/>
        <v>5921.89</v>
      </c>
      <c r="P2003" s="86">
        <f t="shared" si="613"/>
        <v>0</v>
      </c>
      <c r="Q2003" s="86">
        <f t="shared" si="614"/>
        <v>0</v>
      </c>
      <c r="R2003" s="86">
        <f t="shared" si="615"/>
        <v>0</v>
      </c>
      <c r="S2003" s="86">
        <f t="shared" si="616"/>
        <v>5921.89</v>
      </c>
      <c r="T2003" s="86">
        <f t="shared" si="617"/>
        <v>0</v>
      </c>
      <c r="U2003" s="87">
        <v>5921.89</v>
      </c>
    </row>
    <row r="2004" spans="1:21" s="30" customFormat="1" ht="24.6" hidden="1" outlineLevel="1" x14ac:dyDescent="0.55000000000000004">
      <c r="A2004" s="27" t="s">
        <v>327</v>
      </c>
      <c r="B2004" s="28"/>
      <c r="C2004" s="27"/>
      <c r="D2004" s="27" t="str">
        <f>"""NAV Direct"",""CRONUS JetCorp USA"",""21"",""1"",""323903"""</f>
        <v>"NAV Direct","CRONUS JetCorp USA","21","1","323903"</v>
      </c>
      <c r="E2004" s="31">
        <f t="shared" si="609"/>
        <v>0</v>
      </c>
      <c r="F2004" s="31"/>
      <c r="G2004" s="31"/>
      <c r="H2004" s="31"/>
      <c r="I2004" s="56"/>
      <c r="J2004" s="56"/>
      <c r="K2004" s="82" t="str">
        <f t="shared" si="610"/>
        <v>Invoice</v>
      </c>
      <c r="L2004" s="83" t="str">
        <f>"SI_110139"</f>
        <v>SI_110139</v>
      </c>
      <c r="M2004" s="84">
        <v>43756</v>
      </c>
      <c r="N2004" s="85">
        <f t="shared" si="611"/>
        <v>56</v>
      </c>
      <c r="O2004" s="86">
        <f t="shared" si="612"/>
        <v>5891.17</v>
      </c>
      <c r="P2004" s="86">
        <f t="shared" si="613"/>
        <v>0</v>
      </c>
      <c r="Q2004" s="86">
        <f t="shared" si="614"/>
        <v>0</v>
      </c>
      <c r="R2004" s="86">
        <f t="shared" si="615"/>
        <v>5891.17</v>
      </c>
      <c r="S2004" s="86">
        <f t="shared" si="616"/>
        <v>0</v>
      </c>
      <c r="T2004" s="86">
        <f t="shared" si="617"/>
        <v>0</v>
      </c>
      <c r="U2004" s="87">
        <v>5891.17</v>
      </c>
    </row>
    <row r="2005" spans="1:21" s="30" customFormat="1" ht="24.6" hidden="1" outlineLevel="1" x14ac:dyDescent="0.55000000000000004">
      <c r="A2005" s="27" t="s">
        <v>327</v>
      </c>
      <c r="B2005" s="28"/>
      <c r="C2005" s="27"/>
      <c r="D2005" s="27" t="str">
        <f>"""NAV Direct"",""CRONUS JetCorp USA"",""21"",""1"",""323924"""</f>
        <v>"NAV Direct","CRONUS JetCorp USA","21","1","323924"</v>
      </c>
      <c r="E2005" s="31" t="str">
        <f t="shared" si="609"/>
        <v>C100066</v>
      </c>
      <c r="F2005" s="31"/>
      <c r="G2005" s="31"/>
      <c r="H2005" s="31"/>
      <c r="I2005" s="56"/>
      <c r="J2005" s="56"/>
      <c r="K2005" s="82" t="str">
        <f t="shared" si="610"/>
        <v>Invoice</v>
      </c>
      <c r="L2005" s="83" t="str">
        <f>"SI_110140"</f>
        <v>SI_110140</v>
      </c>
      <c r="M2005" s="84">
        <v>43757</v>
      </c>
      <c r="N2005" s="85">
        <f t="shared" si="611"/>
        <v>55</v>
      </c>
      <c r="O2005" s="86">
        <f t="shared" si="612"/>
        <v>5891.12</v>
      </c>
      <c r="P2005" s="86">
        <f t="shared" si="613"/>
        <v>0</v>
      </c>
      <c r="Q2005" s="86">
        <f t="shared" si="614"/>
        <v>0</v>
      </c>
      <c r="R2005" s="86">
        <f t="shared" si="615"/>
        <v>5891.12</v>
      </c>
      <c r="S2005" s="86">
        <f t="shared" si="616"/>
        <v>0</v>
      </c>
      <c r="T2005" s="86">
        <f t="shared" si="617"/>
        <v>0</v>
      </c>
      <c r="U2005" s="87">
        <v>5891.12</v>
      </c>
    </row>
    <row r="2006" spans="1:21" s="30" customFormat="1" ht="24.6" hidden="1" outlineLevel="1" x14ac:dyDescent="0.55000000000000004">
      <c r="A2006" s="27" t="s">
        <v>327</v>
      </c>
      <c r="B2006" s="28"/>
      <c r="C2006" s="27"/>
      <c r="D2006" s="27" t="str">
        <f>"""NAV Direct"",""CRONUS JetCorp USA"",""21"",""1"",""323970"""</f>
        <v>"NAV Direct","CRONUS JetCorp USA","21","1","323970"</v>
      </c>
      <c r="E2006" s="31">
        <f t="shared" si="609"/>
        <v>0</v>
      </c>
      <c r="F2006" s="31"/>
      <c r="G2006" s="31"/>
      <c r="H2006" s="31"/>
      <c r="I2006" s="56"/>
      <c r="J2006" s="56"/>
      <c r="K2006" s="82" t="str">
        <f t="shared" si="610"/>
        <v>Invoice</v>
      </c>
      <c r="L2006" s="83" t="str">
        <f>"SI_110142"</f>
        <v>SI_110142</v>
      </c>
      <c r="M2006" s="84">
        <v>43765</v>
      </c>
      <c r="N2006" s="85">
        <f t="shared" si="611"/>
        <v>47</v>
      </c>
      <c r="O2006" s="86">
        <f t="shared" si="612"/>
        <v>5892.43</v>
      </c>
      <c r="P2006" s="86">
        <f t="shared" si="613"/>
        <v>0</v>
      </c>
      <c r="Q2006" s="86">
        <f t="shared" si="614"/>
        <v>0</v>
      </c>
      <c r="R2006" s="86">
        <f t="shared" si="615"/>
        <v>5892.43</v>
      </c>
      <c r="S2006" s="86">
        <f t="shared" si="616"/>
        <v>0</v>
      </c>
      <c r="T2006" s="86">
        <f t="shared" si="617"/>
        <v>0</v>
      </c>
      <c r="U2006" s="87">
        <v>5892.43</v>
      </c>
    </row>
    <row r="2007" spans="1:21" s="30" customFormat="1" ht="24.6" hidden="1" outlineLevel="1" x14ac:dyDescent="0.55000000000000004">
      <c r="A2007" s="27" t="s">
        <v>327</v>
      </c>
      <c r="B2007" s="28"/>
      <c r="C2007" s="27"/>
      <c r="D2007" s="27" t="str">
        <f>"""NAV Direct"",""CRONUS JetCorp USA"",""21"",""1"",""324022"""</f>
        <v>"NAV Direct","CRONUS JetCorp USA","21","1","324022"</v>
      </c>
      <c r="E2007" s="31" t="str">
        <f t="shared" si="609"/>
        <v>C100066</v>
      </c>
      <c r="F2007" s="31"/>
      <c r="G2007" s="31"/>
      <c r="H2007" s="31"/>
      <c r="I2007" s="56"/>
      <c r="J2007" s="56"/>
      <c r="K2007" s="82" t="str">
        <f t="shared" si="610"/>
        <v>Invoice</v>
      </c>
      <c r="L2007" s="83" t="str">
        <f>"SI_110144"</f>
        <v>SI_110144</v>
      </c>
      <c r="M2007" s="84">
        <v>43794</v>
      </c>
      <c r="N2007" s="85">
        <f t="shared" si="611"/>
        <v>18</v>
      </c>
      <c r="O2007" s="86">
        <f t="shared" si="612"/>
        <v>6039.88</v>
      </c>
      <c r="P2007" s="86">
        <f t="shared" si="613"/>
        <v>0</v>
      </c>
      <c r="Q2007" s="86">
        <f t="shared" si="614"/>
        <v>6039.88</v>
      </c>
      <c r="R2007" s="86">
        <f t="shared" si="615"/>
        <v>0</v>
      </c>
      <c r="S2007" s="86">
        <f t="shared" si="616"/>
        <v>0</v>
      </c>
      <c r="T2007" s="86">
        <f t="shared" si="617"/>
        <v>0</v>
      </c>
      <c r="U2007" s="87">
        <v>6039.88</v>
      </c>
    </row>
    <row r="2008" spans="1:21" s="30" customFormat="1" ht="24.6" hidden="1" outlineLevel="1" x14ac:dyDescent="0.55000000000000004">
      <c r="A2008" s="27" t="s">
        <v>327</v>
      </c>
      <c r="B2008" s="28"/>
      <c r="C2008" s="27"/>
      <c r="D2008" s="27" t="str">
        <f>"""NAV Direct"",""CRONUS JetCorp USA"",""21"",""1"",""324129"""</f>
        <v>"NAV Direct","CRONUS JetCorp USA","21","1","324129"</v>
      </c>
      <c r="E2008" s="31">
        <f t="shared" si="609"/>
        <v>0</v>
      </c>
      <c r="F2008" s="31"/>
      <c r="G2008" s="31"/>
      <c r="H2008" s="31"/>
      <c r="I2008" s="56"/>
      <c r="J2008" s="56"/>
      <c r="K2008" s="82" t="str">
        <f t="shared" si="610"/>
        <v>Invoice</v>
      </c>
      <c r="L2008" s="83" t="str">
        <f>"SI_110149"</f>
        <v>SI_110149</v>
      </c>
      <c r="M2008" s="84">
        <v>43818</v>
      </c>
      <c r="N2008" s="85">
        <f t="shared" si="611"/>
        <v>-6</v>
      </c>
      <c r="O2008" s="86">
        <f t="shared" si="612"/>
        <v>6251.25</v>
      </c>
      <c r="P2008" s="86">
        <f t="shared" si="613"/>
        <v>6251.25</v>
      </c>
      <c r="Q2008" s="86">
        <f t="shared" si="614"/>
        <v>0</v>
      </c>
      <c r="R2008" s="86">
        <f t="shared" si="615"/>
        <v>0</v>
      </c>
      <c r="S2008" s="86">
        <f t="shared" si="616"/>
        <v>0</v>
      </c>
      <c r="T2008" s="86">
        <f t="shared" si="617"/>
        <v>0</v>
      </c>
      <c r="U2008" s="87">
        <v>6251.25</v>
      </c>
    </row>
    <row r="2009" spans="1:21" s="30" customFormat="1" ht="24.6" hidden="1" outlineLevel="1" x14ac:dyDescent="0.55000000000000004">
      <c r="A2009" s="27" t="s">
        <v>327</v>
      </c>
      <c r="B2009" s="28"/>
      <c r="C2009" s="27"/>
      <c r="D2009" s="27" t="str">
        <f>"""NAV Direct"",""CRONUS JetCorp USA"",""21"",""1"",""324154"""</f>
        <v>"NAV Direct","CRONUS JetCorp USA","21","1","324154"</v>
      </c>
      <c r="E2009" s="31" t="str">
        <f t="shared" si="609"/>
        <v>C100066</v>
      </c>
      <c r="F2009" s="31"/>
      <c r="G2009" s="31"/>
      <c r="H2009" s="31"/>
      <c r="I2009" s="56"/>
      <c r="J2009" s="56"/>
      <c r="K2009" s="82" t="str">
        <f t="shared" si="610"/>
        <v>Invoice</v>
      </c>
      <c r="L2009" s="83" t="str">
        <f>"SI_110150"</f>
        <v>SI_110150</v>
      </c>
      <c r="M2009" s="84">
        <v>43826</v>
      </c>
      <c r="N2009" s="85">
        <f t="shared" si="611"/>
        <v>-14</v>
      </c>
      <c r="O2009" s="86">
        <f t="shared" si="612"/>
        <v>6251.12</v>
      </c>
      <c r="P2009" s="86">
        <f t="shared" si="613"/>
        <v>6251.12</v>
      </c>
      <c r="Q2009" s="86">
        <f t="shared" si="614"/>
        <v>0</v>
      </c>
      <c r="R2009" s="86">
        <f t="shared" si="615"/>
        <v>0</v>
      </c>
      <c r="S2009" s="86">
        <f t="shared" si="616"/>
        <v>0</v>
      </c>
      <c r="T2009" s="86">
        <f t="shared" si="617"/>
        <v>0</v>
      </c>
      <c r="U2009" s="87">
        <v>6251.12</v>
      </c>
    </row>
    <row r="2010" spans="1:21" s="30" customFormat="1" ht="24.6" hidden="1" outlineLevel="1" x14ac:dyDescent="0.55000000000000004">
      <c r="A2010" s="27" t="s">
        <v>327</v>
      </c>
      <c r="B2010" s="28"/>
      <c r="C2010" s="27"/>
      <c r="D2010" s="27" t="str">
        <f>"""NAV Direct"",""CRONUS JetCorp USA"",""21"",""1"",""324225"""</f>
        <v>"NAV Direct","CRONUS JetCorp USA","21","1","324225"</v>
      </c>
      <c r="E2010" s="31">
        <f t="shared" si="609"/>
        <v>0</v>
      </c>
      <c r="F2010" s="31"/>
      <c r="G2010" s="31"/>
      <c r="H2010" s="31"/>
      <c r="I2010" s="56"/>
      <c r="J2010" s="56"/>
      <c r="K2010" s="82" t="str">
        <f t="shared" si="610"/>
        <v>Invoice</v>
      </c>
      <c r="L2010" s="83" t="str">
        <f>"SI_110153"</f>
        <v>SI_110153</v>
      </c>
      <c r="M2010" s="84">
        <v>42009</v>
      </c>
      <c r="N2010" s="85">
        <f t="shared" si="611"/>
        <v>1803</v>
      </c>
      <c r="O2010" s="86">
        <f t="shared" si="612"/>
        <v>6251.2199999999993</v>
      </c>
      <c r="P2010" s="86">
        <f t="shared" si="613"/>
        <v>0</v>
      </c>
      <c r="Q2010" s="86">
        <f t="shared" si="614"/>
        <v>0</v>
      </c>
      <c r="R2010" s="86">
        <f t="shared" si="615"/>
        <v>0</v>
      </c>
      <c r="S2010" s="86">
        <f t="shared" si="616"/>
        <v>0</v>
      </c>
      <c r="T2010" s="86">
        <f t="shared" si="617"/>
        <v>6251.2199999999993</v>
      </c>
      <c r="U2010" s="87">
        <v>6251.2199999999993</v>
      </c>
    </row>
    <row r="2011" spans="1:21" s="30" customFormat="1" ht="24.6" hidden="1" outlineLevel="1" x14ac:dyDescent="0.55000000000000004">
      <c r="A2011" s="27" t="s">
        <v>327</v>
      </c>
      <c r="B2011" s="28"/>
      <c r="C2011" s="27"/>
      <c r="D2011" s="27" t="str">
        <f>"""NAV Direct"",""CRONUS JetCorp USA"",""21"",""1"",""324242"""</f>
        <v>"NAV Direct","CRONUS JetCorp USA","21","1","324242"</v>
      </c>
      <c r="E2011" s="31" t="str">
        <f t="shared" si="609"/>
        <v>C100066</v>
      </c>
      <c r="F2011" s="31"/>
      <c r="G2011" s="31"/>
      <c r="H2011" s="31"/>
      <c r="I2011" s="56"/>
      <c r="J2011" s="56"/>
      <c r="K2011" s="82" t="str">
        <f t="shared" si="610"/>
        <v>Invoice</v>
      </c>
      <c r="L2011" s="83" t="str">
        <f>"SI_110154"</f>
        <v>SI_110154</v>
      </c>
      <c r="M2011" s="84">
        <v>42019</v>
      </c>
      <c r="N2011" s="85">
        <f t="shared" si="611"/>
        <v>1793</v>
      </c>
      <c r="O2011" s="86">
        <f t="shared" si="612"/>
        <v>6325.21</v>
      </c>
      <c r="P2011" s="86">
        <f t="shared" si="613"/>
        <v>0</v>
      </c>
      <c r="Q2011" s="86">
        <f t="shared" si="614"/>
        <v>0</v>
      </c>
      <c r="R2011" s="86">
        <f t="shared" si="615"/>
        <v>0</v>
      </c>
      <c r="S2011" s="86">
        <f t="shared" si="616"/>
        <v>0</v>
      </c>
      <c r="T2011" s="86">
        <f t="shared" si="617"/>
        <v>6325.21</v>
      </c>
      <c r="U2011" s="87">
        <v>6325.21</v>
      </c>
    </row>
    <row r="2012" spans="1:21" s="30" customFormat="1" ht="24.6" hidden="1" outlineLevel="1" x14ac:dyDescent="0.55000000000000004">
      <c r="A2012" s="27" t="s">
        <v>327</v>
      </c>
      <c r="B2012" s="28"/>
      <c r="C2012" s="27"/>
      <c r="D2012" s="27" t="str">
        <f>"""NAV Direct"",""CRONUS JetCorp USA"",""21"",""1"",""324265"""</f>
        <v>"NAV Direct","CRONUS JetCorp USA","21","1","324265"</v>
      </c>
      <c r="E2012" s="31">
        <f t="shared" si="609"/>
        <v>0</v>
      </c>
      <c r="F2012" s="31"/>
      <c r="G2012" s="31"/>
      <c r="H2012" s="31"/>
      <c r="I2012" s="56"/>
      <c r="J2012" s="56"/>
      <c r="K2012" s="82" t="str">
        <f t="shared" si="610"/>
        <v>Invoice</v>
      </c>
      <c r="L2012" s="83" t="str">
        <f>"SI_110155"</f>
        <v>SI_110155</v>
      </c>
      <c r="M2012" s="84">
        <v>42029</v>
      </c>
      <c r="N2012" s="85">
        <f t="shared" si="611"/>
        <v>1783</v>
      </c>
      <c r="O2012" s="86">
        <f t="shared" si="612"/>
        <v>6326.4000000000005</v>
      </c>
      <c r="P2012" s="86">
        <f t="shared" si="613"/>
        <v>0</v>
      </c>
      <c r="Q2012" s="86">
        <f t="shared" si="614"/>
        <v>0</v>
      </c>
      <c r="R2012" s="86">
        <f t="shared" si="615"/>
        <v>0</v>
      </c>
      <c r="S2012" s="86">
        <f t="shared" si="616"/>
        <v>0</v>
      </c>
      <c r="T2012" s="86">
        <f t="shared" si="617"/>
        <v>6326.4000000000005</v>
      </c>
      <c r="U2012" s="87">
        <v>6326.4000000000005</v>
      </c>
    </row>
    <row r="2013" spans="1:21" s="30" customFormat="1" ht="24.6" hidden="1" outlineLevel="1" x14ac:dyDescent="0.55000000000000004">
      <c r="A2013" s="27" t="s">
        <v>327</v>
      </c>
      <c r="B2013" s="28"/>
      <c r="C2013" s="27"/>
      <c r="D2013" s="27" t="str">
        <f>"""NAV Direct"",""CRONUS JetCorp USA"",""21"",""1"",""324313"""</f>
        <v>"NAV Direct","CRONUS JetCorp USA","21","1","324313"</v>
      </c>
      <c r="E2013" s="31" t="str">
        <f t="shared" si="609"/>
        <v>C100066</v>
      </c>
      <c r="F2013" s="31"/>
      <c r="G2013" s="31"/>
      <c r="H2013" s="31"/>
      <c r="I2013" s="56"/>
      <c r="J2013" s="56"/>
      <c r="K2013" s="82" t="str">
        <f t="shared" si="610"/>
        <v>Invoice</v>
      </c>
      <c r="L2013" s="83" t="str">
        <f>"SI_110157"</f>
        <v>SI_110157</v>
      </c>
      <c r="M2013" s="84">
        <v>42033</v>
      </c>
      <c r="N2013" s="85">
        <f t="shared" si="611"/>
        <v>1779</v>
      </c>
      <c r="O2013" s="86">
        <f t="shared" si="612"/>
        <v>6326.5300000000007</v>
      </c>
      <c r="P2013" s="86">
        <f t="shared" si="613"/>
        <v>0</v>
      </c>
      <c r="Q2013" s="86">
        <f t="shared" si="614"/>
        <v>0</v>
      </c>
      <c r="R2013" s="86">
        <f t="shared" si="615"/>
        <v>0</v>
      </c>
      <c r="S2013" s="86">
        <f t="shared" si="616"/>
        <v>0</v>
      </c>
      <c r="T2013" s="86">
        <f t="shared" si="617"/>
        <v>6326.5300000000007</v>
      </c>
      <c r="U2013" s="87">
        <v>6326.5300000000007</v>
      </c>
    </row>
    <row r="2014" spans="1:21" s="30" customFormat="1" ht="24.6" hidden="1" outlineLevel="1" x14ac:dyDescent="0.55000000000000004">
      <c r="A2014" s="27" t="s">
        <v>327</v>
      </c>
      <c r="B2014" s="28"/>
      <c r="C2014" s="27"/>
      <c r="D2014" s="27" t="str">
        <f>"""NAV Direct"",""CRONUS JetCorp USA"",""21"",""1"",""324355"""</f>
        <v>"NAV Direct","CRONUS JetCorp USA","21","1","324355"</v>
      </c>
      <c r="E2014" s="31">
        <f t="shared" si="609"/>
        <v>0</v>
      </c>
      <c r="F2014" s="31"/>
      <c r="G2014" s="31"/>
      <c r="H2014" s="31"/>
      <c r="I2014" s="56"/>
      <c r="J2014" s="56"/>
      <c r="K2014" s="82" t="str">
        <f t="shared" si="610"/>
        <v>Invoice</v>
      </c>
      <c r="L2014" s="83" t="str">
        <f>"SI_110159"</f>
        <v>SI_110159</v>
      </c>
      <c r="M2014" s="84">
        <v>42032</v>
      </c>
      <c r="N2014" s="85">
        <f t="shared" si="611"/>
        <v>1780</v>
      </c>
      <c r="O2014" s="86">
        <f t="shared" si="612"/>
        <v>6326</v>
      </c>
      <c r="P2014" s="86">
        <f t="shared" si="613"/>
        <v>0</v>
      </c>
      <c r="Q2014" s="86">
        <f t="shared" si="614"/>
        <v>0</v>
      </c>
      <c r="R2014" s="86">
        <f t="shared" si="615"/>
        <v>0</v>
      </c>
      <c r="S2014" s="86">
        <f t="shared" si="616"/>
        <v>0</v>
      </c>
      <c r="T2014" s="86">
        <f t="shared" si="617"/>
        <v>6326</v>
      </c>
      <c r="U2014" s="87">
        <v>6326</v>
      </c>
    </row>
    <row r="2015" spans="1:21" s="30" customFormat="1" ht="24.6" hidden="1" outlineLevel="1" x14ac:dyDescent="0.55000000000000004">
      <c r="A2015" s="27" t="s">
        <v>327</v>
      </c>
      <c r="B2015" s="28"/>
      <c r="C2015" s="27"/>
      <c r="D2015" s="27" t="str">
        <f>"""NAV Direct"",""CRONUS JetCorp USA"",""21"",""1"",""324370"""</f>
        <v>"NAV Direct","CRONUS JetCorp USA","21","1","324370"</v>
      </c>
      <c r="E2015" s="31" t="str">
        <f t="shared" si="609"/>
        <v>C100066</v>
      </c>
      <c r="F2015" s="31"/>
      <c r="G2015" s="31"/>
      <c r="H2015" s="31"/>
      <c r="I2015" s="56"/>
      <c r="J2015" s="56"/>
      <c r="K2015" s="82" t="str">
        <f t="shared" si="610"/>
        <v>Invoice</v>
      </c>
      <c r="L2015" s="83" t="str">
        <f>"SI_110160"</f>
        <v>SI_110160</v>
      </c>
      <c r="M2015" s="84">
        <v>42056</v>
      </c>
      <c r="N2015" s="85">
        <f t="shared" si="611"/>
        <v>1756</v>
      </c>
      <c r="O2015" s="86">
        <f t="shared" si="612"/>
        <v>5693.8600000000006</v>
      </c>
      <c r="P2015" s="86">
        <f t="shared" si="613"/>
        <v>0</v>
      </c>
      <c r="Q2015" s="86">
        <f t="shared" si="614"/>
        <v>0</v>
      </c>
      <c r="R2015" s="86">
        <f t="shared" si="615"/>
        <v>0</v>
      </c>
      <c r="S2015" s="86">
        <f t="shared" si="616"/>
        <v>0</v>
      </c>
      <c r="T2015" s="86">
        <f t="shared" si="617"/>
        <v>5693.8600000000006</v>
      </c>
      <c r="U2015" s="87">
        <v>5693.8600000000006</v>
      </c>
    </row>
    <row r="2016" spans="1:21" s="30" customFormat="1" ht="24.6" hidden="1" outlineLevel="1" x14ac:dyDescent="0.55000000000000004">
      <c r="A2016" s="27" t="s">
        <v>327</v>
      </c>
      <c r="B2016" s="28"/>
      <c r="C2016" s="27"/>
      <c r="D2016" s="27" t="str">
        <f>"""NAV Direct"",""CRONUS JetCorp USA"",""21"",""1"",""324454"""</f>
        <v>"NAV Direct","CRONUS JetCorp USA","21","1","324454"</v>
      </c>
      <c r="E2016" s="31">
        <f t="shared" si="609"/>
        <v>0</v>
      </c>
      <c r="F2016" s="31"/>
      <c r="G2016" s="31"/>
      <c r="H2016" s="31"/>
      <c r="I2016" s="56"/>
      <c r="J2016" s="56"/>
      <c r="K2016" s="82" t="str">
        <f t="shared" si="610"/>
        <v>Invoice</v>
      </c>
      <c r="L2016" s="83" t="str">
        <f>"SI_110164"</f>
        <v>SI_110164</v>
      </c>
      <c r="M2016" s="84">
        <v>42067</v>
      </c>
      <c r="N2016" s="85">
        <f t="shared" si="611"/>
        <v>1745</v>
      </c>
      <c r="O2016" s="86">
        <f t="shared" si="612"/>
        <v>5692.2</v>
      </c>
      <c r="P2016" s="86">
        <f t="shared" si="613"/>
        <v>0</v>
      </c>
      <c r="Q2016" s="86">
        <f t="shared" si="614"/>
        <v>0</v>
      </c>
      <c r="R2016" s="86">
        <f t="shared" si="615"/>
        <v>0</v>
      </c>
      <c r="S2016" s="86">
        <f t="shared" si="616"/>
        <v>0</v>
      </c>
      <c r="T2016" s="86">
        <f t="shared" si="617"/>
        <v>5692.2</v>
      </c>
      <c r="U2016" s="87">
        <v>5692.2</v>
      </c>
    </row>
    <row r="2017" spans="1:21" s="30" customFormat="1" ht="24.6" hidden="1" outlineLevel="1" x14ac:dyDescent="0.55000000000000004">
      <c r="A2017" s="27" t="s">
        <v>327</v>
      </c>
      <c r="B2017" s="28"/>
      <c r="C2017" s="27"/>
      <c r="D2017" s="27" t="str">
        <f>"""NAV Direct"",""CRONUS JetCorp USA"",""21"",""1"",""324473"""</f>
        <v>"NAV Direct","CRONUS JetCorp USA","21","1","324473"</v>
      </c>
      <c r="E2017" s="31" t="str">
        <f t="shared" si="609"/>
        <v>C100066</v>
      </c>
      <c r="F2017" s="31"/>
      <c r="G2017" s="31"/>
      <c r="H2017" s="31"/>
      <c r="I2017" s="56"/>
      <c r="J2017" s="56"/>
      <c r="K2017" s="82" t="str">
        <f t="shared" si="610"/>
        <v>Invoice</v>
      </c>
      <c r="L2017" s="83" t="str">
        <f>"SI_110165"</f>
        <v>SI_110165</v>
      </c>
      <c r="M2017" s="84">
        <v>42084</v>
      </c>
      <c r="N2017" s="85">
        <f t="shared" si="611"/>
        <v>1728</v>
      </c>
      <c r="O2017" s="86">
        <f t="shared" si="612"/>
        <v>6263.1</v>
      </c>
      <c r="P2017" s="86">
        <f t="shared" si="613"/>
        <v>0</v>
      </c>
      <c r="Q2017" s="86">
        <f t="shared" si="614"/>
        <v>0</v>
      </c>
      <c r="R2017" s="86">
        <f t="shared" si="615"/>
        <v>0</v>
      </c>
      <c r="S2017" s="86">
        <f t="shared" si="616"/>
        <v>0</v>
      </c>
      <c r="T2017" s="86">
        <f t="shared" si="617"/>
        <v>6263.1</v>
      </c>
      <c r="U2017" s="87">
        <v>6263.1</v>
      </c>
    </row>
    <row r="2018" spans="1:21" s="30" customFormat="1" ht="24.6" hidden="1" outlineLevel="1" x14ac:dyDescent="0.55000000000000004">
      <c r="A2018" s="27" t="s">
        <v>327</v>
      </c>
      <c r="B2018" s="28"/>
      <c r="C2018" s="27"/>
      <c r="D2018" s="27" t="str">
        <f>"""NAV Direct"",""CRONUS JetCorp USA"",""21"",""1"",""324544"""</f>
        <v>"NAV Direct","CRONUS JetCorp USA","21","1","324544"</v>
      </c>
      <c r="E2018" s="31">
        <f t="shared" si="609"/>
        <v>0</v>
      </c>
      <c r="F2018" s="31"/>
      <c r="G2018" s="31"/>
      <c r="H2018" s="31"/>
      <c r="I2018" s="56"/>
      <c r="J2018" s="56"/>
      <c r="K2018" s="82" t="str">
        <f t="shared" si="610"/>
        <v>Invoice</v>
      </c>
      <c r="L2018" s="83" t="str">
        <f>"SI_110168"</f>
        <v>SI_110168</v>
      </c>
      <c r="M2018" s="84">
        <v>42097</v>
      </c>
      <c r="N2018" s="85">
        <f t="shared" si="611"/>
        <v>1715</v>
      </c>
      <c r="O2018" s="86">
        <f t="shared" si="612"/>
        <v>6262.68</v>
      </c>
      <c r="P2018" s="86">
        <f t="shared" si="613"/>
        <v>0</v>
      </c>
      <c r="Q2018" s="86">
        <f t="shared" si="614"/>
        <v>0</v>
      </c>
      <c r="R2018" s="86">
        <f t="shared" si="615"/>
        <v>0</v>
      </c>
      <c r="S2018" s="86">
        <f t="shared" si="616"/>
        <v>0</v>
      </c>
      <c r="T2018" s="86">
        <f t="shared" si="617"/>
        <v>6262.68</v>
      </c>
      <c r="U2018" s="87">
        <v>6262.68</v>
      </c>
    </row>
    <row r="2019" spans="1:21" s="30" customFormat="1" ht="24.6" hidden="1" outlineLevel="1" x14ac:dyDescent="0.55000000000000004">
      <c r="A2019" s="27" t="s">
        <v>327</v>
      </c>
      <c r="B2019" s="28"/>
      <c r="C2019" s="27"/>
      <c r="D2019" s="27" t="str">
        <f>"""NAV Direct"",""CRONUS JetCorp USA"",""21"",""1"",""324584"""</f>
        <v>"NAV Direct","CRONUS JetCorp USA","21","1","324584"</v>
      </c>
      <c r="E2019" s="31" t="str">
        <f t="shared" ref="E2019:E2050" si="618">E2017</f>
        <v>C100066</v>
      </c>
      <c r="F2019" s="31"/>
      <c r="G2019" s="31"/>
      <c r="H2019" s="31"/>
      <c r="I2019" s="56"/>
      <c r="J2019" s="56"/>
      <c r="K2019" s="82" t="str">
        <f t="shared" ref="K2019:K2042" si="619">"Invoice"</f>
        <v>Invoice</v>
      </c>
      <c r="L2019" s="83" t="str">
        <f>"SI_110170"</f>
        <v>SI_110170</v>
      </c>
      <c r="M2019" s="84">
        <v>42112</v>
      </c>
      <c r="N2019" s="85">
        <f t="shared" ref="N2019:N2050" si="620">StartDate-$M2019+1</f>
        <v>1700</v>
      </c>
      <c r="O2019" s="86">
        <f t="shared" ref="O2019:O2050" si="621">SUM(P2019:T2019)</f>
        <v>6229.04</v>
      </c>
      <c r="P2019" s="86">
        <f t="shared" ref="P2019:P2050" si="622">IF($M2019&gt;=$P$18,U2019,0)</f>
        <v>0</v>
      </c>
      <c r="Q2019" s="86">
        <f t="shared" ref="Q2019:Q2050" si="623">IF(AND($M2019&gt;=$Q$16,$M2019&lt;=$Q$18),U2019,0)</f>
        <v>0</v>
      </c>
      <c r="R2019" s="86">
        <f t="shared" ref="R2019:R2050" si="624">IF(AND($M2019&gt;=$R$16,$M2019&lt;=$R$18),U2019,0)</f>
        <v>0</v>
      </c>
      <c r="S2019" s="86">
        <f t="shared" ref="S2019:S2050" si="625">IF(AND($M2019&gt;=$S$16,$M2019&lt;=$S$18),U2019,0)</f>
        <v>0</v>
      </c>
      <c r="T2019" s="86">
        <f t="shared" ref="T2019:T2050" si="626">IF($M2019&lt;=$T$18,U2019,0)</f>
        <v>6229.04</v>
      </c>
      <c r="U2019" s="87">
        <v>6229.04</v>
      </c>
    </row>
    <row r="2020" spans="1:21" s="30" customFormat="1" ht="24.6" hidden="1" outlineLevel="1" x14ac:dyDescent="0.55000000000000004">
      <c r="A2020" s="27" t="s">
        <v>327</v>
      </c>
      <c r="B2020" s="28"/>
      <c r="C2020" s="27"/>
      <c r="D2020" s="27" t="str">
        <f>"""NAV Direct"",""CRONUS JetCorp USA"",""21"",""1"",""324609"""</f>
        <v>"NAV Direct","CRONUS JetCorp USA","21","1","324609"</v>
      </c>
      <c r="E2020" s="31">
        <f t="shared" si="618"/>
        <v>0</v>
      </c>
      <c r="F2020" s="31"/>
      <c r="G2020" s="31"/>
      <c r="H2020" s="31"/>
      <c r="I2020" s="56"/>
      <c r="J2020" s="56"/>
      <c r="K2020" s="82" t="str">
        <f t="shared" si="619"/>
        <v>Invoice</v>
      </c>
      <c r="L2020" s="83" t="str">
        <f>"SI_110171"</f>
        <v>SI_110171</v>
      </c>
      <c r="M2020" s="84">
        <v>42123</v>
      </c>
      <c r="N2020" s="85">
        <f t="shared" si="620"/>
        <v>1689</v>
      </c>
      <c r="O2020" s="86">
        <f t="shared" si="621"/>
        <v>6230.98</v>
      </c>
      <c r="P2020" s="86">
        <f t="shared" si="622"/>
        <v>0</v>
      </c>
      <c r="Q2020" s="86">
        <f t="shared" si="623"/>
        <v>0</v>
      </c>
      <c r="R2020" s="86">
        <f t="shared" si="624"/>
        <v>0</v>
      </c>
      <c r="S2020" s="86">
        <f t="shared" si="625"/>
        <v>0</v>
      </c>
      <c r="T2020" s="86">
        <f t="shared" si="626"/>
        <v>6230.98</v>
      </c>
      <c r="U2020" s="87">
        <v>6230.98</v>
      </c>
    </row>
    <row r="2021" spans="1:21" s="30" customFormat="1" ht="24.6" hidden="1" outlineLevel="1" x14ac:dyDescent="0.55000000000000004">
      <c r="A2021" s="27" t="s">
        <v>327</v>
      </c>
      <c r="B2021" s="28"/>
      <c r="C2021" s="27"/>
      <c r="D2021" s="27" t="str">
        <f>"""NAV Direct"",""CRONUS JetCorp USA"",""21"",""1"",""324651"""</f>
        <v>"NAV Direct","CRONUS JetCorp USA","21","1","324651"</v>
      </c>
      <c r="E2021" s="31" t="str">
        <f t="shared" si="618"/>
        <v>C100066</v>
      </c>
      <c r="F2021" s="31"/>
      <c r="G2021" s="31"/>
      <c r="H2021" s="31"/>
      <c r="I2021" s="56"/>
      <c r="J2021" s="56"/>
      <c r="K2021" s="82" t="str">
        <f t="shared" si="619"/>
        <v>Invoice</v>
      </c>
      <c r="L2021" s="83" t="str">
        <f>"SI_110173"</f>
        <v>SI_110173</v>
      </c>
      <c r="M2021" s="84">
        <v>42125</v>
      </c>
      <c r="N2021" s="85">
        <f t="shared" si="620"/>
        <v>1687</v>
      </c>
      <c r="O2021" s="86">
        <f t="shared" si="621"/>
        <v>6231.76</v>
      </c>
      <c r="P2021" s="86">
        <f t="shared" si="622"/>
        <v>0</v>
      </c>
      <c r="Q2021" s="86">
        <f t="shared" si="623"/>
        <v>0</v>
      </c>
      <c r="R2021" s="86">
        <f t="shared" si="624"/>
        <v>0</v>
      </c>
      <c r="S2021" s="86">
        <f t="shared" si="625"/>
        <v>0</v>
      </c>
      <c r="T2021" s="86">
        <f t="shared" si="626"/>
        <v>6231.76</v>
      </c>
      <c r="U2021" s="87">
        <v>6231.76</v>
      </c>
    </row>
    <row r="2022" spans="1:21" s="30" customFormat="1" ht="24.6" hidden="1" outlineLevel="1" x14ac:dyDescent="0.55000000000000004">
      <c r="A2022" s="27" t="s">
        <v>327</v>
      </c>
      <c r="B2022" s="28"/>
      <c r="C2022" s="27"/>
      <c r="D2022" s="27" t="str">
        <f>"""NAV Direct"",""CRONUS JetCorp USA"",""21"",""1"",""324693"""</f>
        <v>"NAV Direct","CRONUS JetCorp USA","21","1","324693"</v>
      </c>
      <c r="E2022" s="31">
        <f t="shared" si="618"/>
        <v>0</v>
      </c>
      <c r="F2022" s="31"/>
      <c r="G2022" s="31"/>
      <c r="H2022" s="31"/>
      <c r="I2022" s="56"/>
      <c r="J2022" s="56"/>
      <c r="K2022" s="82" t="str">
        <f t="shared" si="619"/>
        <v>Invoice</v>
      </c>
      <c r="L2022" s="83" t="str">
        <f>"SI_110175"</f>
        <v>SI_110175</v>
      </c>
      <c r="M2022" s="84">
        <v>42153</v>
      </c>
      <c r="N2022" s="85">
        <f t="shared" si="620"/>
        <v>1659</v>
      </c>
      <c r="O2022" s="86">
        <f t="shared" si="621"/>
        <v>6468.06</v>
      </c>
      <c r="P2022" s="86">
        <f t="shared" si="622"/>
        <v>0</v>
      </c>
      <c r="Q2022" s="86">
        <f t="shared" si="623"/>
        <v>0</v>
      </c>
      <c r="R2022" s="86">
        <f t="shared" si="624"/>
        <v>0</v>
      </c>
      <c r="S2022" s="86">
        <f t="shared" si="625"/>
        <v>0</v>
      </c>
      <c r="T2022" s="86">
        <f t="shared" si="626"/>
        <v>6468.06</v>
      </c>
      <c r="U2022" s="87">
        <v>6468.06</v>
      </c>
    </row>
    <row r="2023" spans="1:21" s="30" customFormat="1" ht="24.6" hidden="1" outlineLevel="1" x14ac:dyDescent="0.55000000000000004">
      <c r="A2023" s="27" t="s">
        <v>327</v>
      </c>
      <c r="B2023" s="28"/>
      <c r="C2023" s="27"/>
      <c r="D2023" s="27" t="str">
        <f>"""NAV Direct"",""CRONUS JetCorp USA"",""21"",""1"",""324733"""</f>
        <v>"NAV Direct","CRONUS JetCorp USA","21","1","324733"</v>
      </c>
      <c r="E2023" s="31" t="str">
        <f t="shared" si="618"/>
        <v>C100066</v>
      </c>
      <c r="F2023" s="31"/>
      <c r="G2023" s="31"/>
      <c r="H2023" s="31"/>
      <c r="I2023" s="56"/>
      <c r="J2023" s="56"/>
      <c r="K2023" s="82" t="str">
        <f t="shared" si="619"/>
        <v>Invoice</v>
      </c>
      <c r="L2023" s="83" t="str">
        <f>"SI_110177"</f>
        <v>SI_110177</v>
      </c>
      <c r="M2023" s="84">
        <v>42165</v>
      </c>
      <c r="N2023" s="85">
        <f t="shared" si="620"/>
        <v>1647</v>
      </c>
      <c r="O2023" s="86">
        <f t="shared" si="621"/>
        <v>6467.71</v>
      </c>
      <c r="P2023" s="86">
        <f t="shared" si="622"/>
        <v>0</v>
      </c>
      <c r="Q2023" s="86">
        <f t="shared" si="623"/>
        <v>0</v>
      </c>
      <c r="R2023" s="86">
        <f t="shared" si="624"/>
        <v>0</v>
      </c>
      <c r="S2023" s="86">
        <f t="shared" si="625"/>
        <v>0</v>
      </c>
      <c r="T2023" s="86">
        <f t="shared" si="626"/>
        <v>6467.71</v>
      </c>
      <c r="U2023" s="87">
        <v>6467.71</v>
      </c>
    </row>
    <row r="2024" spans="1:21" s="30" customFormat="1" ht="24.6" hidden="1" outlineLevel="1" x14ac:dyDescent="0.55000000000000004">
      <c r="A2024" s="27" t="s">
        <v>327</v>
      </c>
      <c r="B2024" s="28"/>
      <c r="C2024" s="27"/>
      <c r="D2024" s="27" t="str">
        <f>"""NAV Direct"",""CRONUS JetCorp USA"",""21"",""1"",""324758"""</f>
        <v>"NAV Direct","CRONUS JetCorp USA","21","1","324758"</v>
      </c>
      <c r="E2024" s="31">
        <f t="shared" si="618"/>
        <v>0</v>
      </c>
      <c r="F2024" s="31"/>
      <c r="G2024" s="31"/>
      <c r="H2024" s="31"/>
      <c r="I2024" s="56"/>
      <c r="J2024" s="56"/>
      <c r="K2024" s="82" t="str">
        <f t="shared" si="619"/>
        <v>Invoice</v>
      </c>
      <c r="L2024" s="83" t="str">
        <f>"SI_110178"</f>
        <v>SI_110178</v>
      </c>
      <c r="M2024" s="84">
        <v>42174</v>
      </c>
      <c r="N2024" s="85">
        <f t="shared" si="620"/>
        <v>1638</v>
      </c>
      <c r="O2024" s="86">
        <f t="shared" si="621"/>
        <v>6500.78</v>
      </c>
      <c r="P2024" s="86">
        <f t="shared" si="622"/>
        <v>0</v>
      </c>
      <c r="Q2024" s="86">
        <f t="shared" si="623"/>
        <v>0</v>
      </c>
      <c r="R2024" s="86">
        <f t="shared" si="624"/>
        <v>0</v>
      </c>
      <c r="S2024" s="86">
        <f t="shared" si="625"/>
        <v>0</v>
      </c>
      <c r="T2024" s="86">
        <f t="shared" si="626"/>
        <v>6500.78</v>
      </c>
      <c r="U2024" s="87">
        <v>6500.78</v>
      </c>
    </row>
    <row r="2025" spans="1:21" s="30" customFormat="1" ht="24.6" hidden="1" outlineLevel="1" x14ac:dyDescent="0.55000000000000004">
      <c r="A2025" s="27" t="s">
        <v>327</v>
      </c>
      <c r="B2025" s="28"/>
      <c r="C2025" s="27"/>
      <c r="D2025" s="27" t="str">
        <f>"""NAV Direct"",""CRONUS JetCorp USA"",""21"",""1"",""324850"""</f>
        <v>"NAV Direct","CRONUS JetCorp USA","21","1","324850"</v>
      </c>
      <c r="E2025" s="31" t="str">
        <f t="shared" si="618"/>
        <v>C100066</v>
      </c>
      <c r="F2025" s="31"/>
      <c r="G2025" s="31"/>
      <c r="H2025" s="31"/>
      <c r="I2025" s="56"/>
      <c r="J2025" s="56"/>
      <c r="K2025" s="82" t="str">
        <f t="shared" si="619"/>
        <v>Invoice</v>
      </c>
      <c r="L2025" s="83" t="str">
        <f>"SI_110182"</f>
        <v>SI_110182</v>
      </c>
      <c r="M2025" s="84">
        <v>42187</v>
      </c>
      <c r="N2025" s="85">
        <f t="shared" si="620"/>
        <v>1625</v>
      </c>
      <c r="O2025" s="86">
        <f t="shared" si="621"/>
        <v>6500.4900000000007</v>
      </c>
      <c r="P2025" s="86">
        <f t="shared" si="622"/>
        <v>0</v>
      </c>
      <c r="Q2025" s="86">
        <f t="shared" si="623"/>
        <v>0</v>
      </c>
      <c r="R2025" s="86">
        <f t="shared" si="624"/>
        <v>0</v>
      </c>
      <c r="S2025" s="86">
        <f t="shared" si="625"/>
        <v>0</v>
      </c>
      <c r="T2025" s="86">
        <f t="shared" si="626"/>
        <v>6500.4900000000007</v>
      </c>
      <c r="U2025" s="87">
        <v>6500.4900000000007</v>
      </c>
    </row>
    <row r="2026" spans="1:21" s="30" customFormat="1" ht="24.6" hidden="1" outlineLevel="1" x14ac:dyDescent="0.55000000000000004">
      <c r="A2026" s="27" t="s">
        <v>327</v>
      </c>
      <c r="B2026" s="28"/>
      <c r="C2026" s="27"/>
      <c r="D2026" s="27" t="str">
        <f>"""NAV Direct"",""CRONUS JetCorp USA"",""21"",""1"",""324894"""</f>
        <v>"NAV Direct","CRONUS JetCorp USA","21","1","324894"</v>
      </c>
      <c r="E2026" s="31">
        <f t="shared" si="618"/>
        <v>0</v>
      </c>
      <c r="F2026" s="31"/>
      <c r="G2026" s="31"/>
      <c r="H2026" s="31"/>
      <c r="I2026" s="56"/>
      <c r="J2026" s="56"/>
      <c r="K2026" s="82" t="str">
        <f t="shared" si="619"/>
        <v>Invoice</v>
      </c>
      <c r="L2026" s="83" t="str">
        <f>"SI_110184"</f>
        <v>SI_110184</v>
      </c>
      <c r="M2026" s="84">
        <v>42213</v>
      </c>
      <c r="N2026" s="85">
        <f t="shared" si="620"/>
        <v>1599</v>
      </c>
      <c r="O2026" s="86">
        <f t="shared" si="621"/>
        <v>6519.63</v>
      </c>
      <c r="P2026" s="86">
        <f t="shared" si="622"/>
        <v>0</v>
      </c>
      <c r="Q2026" s="86">
        <f t="shared" si="623"/>
        <v>0</v>
      </c>
      <c r="R2026" s="86">
        <f t="shared" si="624"/>
        <v>0</v>
      </c>
      <c r="S2026" s="86">
        <f t="shared" si="625"/>
        <v>0</v>
      </c>
      <c r="T2026" s="86">
        <f t="shared" si="626"/>
        <v>6519.63</v>
      </c>
      <c r="U2026" s="87">
        <v>6519.63</v>
      </c>
    </row>
    <row r="2027" spans="1:21" s="30" customFormat="1" ht="24.6" hidden="1" outlineLevel="1" x14ac:dyDescent="0.55000000000000004">
      <c r="A2027" s="27" t="s">
        <v>327</v>
      </c>
      <c r="B2027" s="28"/>
      <c r="C2027" s="27"/>
      <c r="D2027" s="27" t="str">
        <f>"""NAV Direct"",""CRONUS JetCorp USA"",""21"",""1"",""324915"""</f>
        <v>"NAV Direct","CRONUS JetCorp USA","21","1","324915"</v>
      </c>
      <c r="E2027" s="31" t="str">
        <f t="shared" si="618"/>
        <v>C100066</v>
      </c>
      <c r="F2027" s="31"/>
      <c r="G2027" s="31"/>
      <c r="H2027" s="31"/>
      <c r="I2027" s="56"/>
      <c r="J2027" s="56"/>
      <c r="K2027" s="82" t="str">
        <f t="shared" si="619"/>
        <v>Invoice</v>
      </c>
      <c r="L2027" s="83" t="str">
        <f>"SI_110185"</f>
        <v>SI_110185</v>
      </c>
      <c r="M2027" s="84">
        <v>42214</v>
      </c>
      <c r="N2027" s="85">
        <f t="shared" si="620"/>
        <v>1598</v>
      </c>
      <c r="O2027" s="86">
        <f t="shared" si="621"/>
        <v>6520.29</v>
      </c>
      <c r="P2027" s="86">
        <f t="shared" si="622"/>
        <v>0</v>
      </c>
      <c r="Q2027" s="86">
        <f t="shared" si="623"/>
        <v>0</v>
      </c>
      <c r="R2027" s="86">
        <f t="shared" si="624"/>
        <v>0</v>
      </c>
      <c r="S2027" s="86">
        <f t="shared" si="625"/>
        <v>0</v>
      </c>
      <c r="T2027" s="86">
        <f t="shared" si="626"/>
        <v>6520.29</v>
      </c>
      <c r="U2027" s="87">
        <v>6520.29</v>
      </c>
    </row>
    <row r="2028" spans="1:21" s="30" customFormat="1" ht="24.6" hidden="1" outlineLevel="1" x14ac:dyDescent="0.55000000000000004">
      <c r="A2028" s="27" t="s">
        <v>327</v>
      </c>
      <c r="B2028" s="28"/>
      <c r="C2028" s="27"/>
      <c r="D2028" s="27" t="str">
        <f>"""NAV Direct"",""CRONUS JetCorp USA"",""21"",""1"",""324957"""</f>
        <v>"NAV Direct","CRONUS JetCorp USA","21","1","324957"</v>
      </c>
      <c r="E2028" s="31">
        <f t="shared" si="618"/>
        <v>0</v>
      </c>
      <c r="F2028" s="31"/>
      <c r="G2028" s="31"/>
      <c r="H2028" s="31"/>
      <c r="I2028" s="56"/>
      <c r="J2028" s="56"/>
      <c r="K2028" s="82" t="str">
        <f t="shared" si="619"/>
        <v>Invoice</v>
      </c>
      <c r="L2028" s="83" t="str">
        <f>"SI_110187"</f>
        <v>SI_110187</v>
      </c>
      <c r="M2028" s="84">
        <v>42219</v>
      </c>
      <c r="N2028" s="85">
        <f t="shared" si="620"/>
        <v>1593</v>
      </c>
      <c r="O2028" s="86">
        <f t="shared" si="621"/>
        <v>6519.3600000000006</v>
      </c>
      <c r="P2028" s="86">
        <f t="shared" si="622"/>
        <v>0</v>
      </c>
      <c r="Q2028" s="86">
        <f t="shared" si="623"/>
        <v>0</v>
      </c>
      <c r="R2028" s="86">
        <f t="shared" si="624"/>
        <v>0</v>
      </c>
      <c r="S2028" s="86">
        <f t="shared" si="625"/>
        <v>0</v>
      </c>
      <c r="T2028" s="86">
        <f t="shared" si="626"/>
        <v>6519.3600000000006</v>
      </c>
      <c r="U2028" s="87">
        <v>6519.3600000000006</v>
      </c>
    </row>
    <row r="2029" spans="1:21" s="30" customFormat="1" ht="24.6" hidden="1" outlineLevel="1" x14ac:dyDescent="0.55000000000000004">
      <c r="A2029" s="27" t="s">
        <v>327</v>
      </c>
      <c r="B2029" s="28"/>
      <c r="C2029" s="27"/>
      <c r="D2029" s="27" t="str">
        <f>"""NAV Direct"",""CRONUS JetCorp USA"",""21"",""1"",""324982"""</f>
        <v>"NAV Direct","CRONUS JetCorp USA","21","1","324982"</v>
      </c>
      <c r="E2029" s="31" t="str">
        <f t="shared" si="618"/>
        <v>C100066</v>
      </c>
      <c r="F2029" s="31"/>
      <c r="G2029" s="31"/>
      <c r="H2029" s="31"/>
      <c r="I2029" s="56"/>
      <c r="J2029" s="56"/>
      <c r="K2029" s="82" t="str">
        <f t="shared" si="619"/>
        <v>Invoice</v>
      </c>
      <c r="L2029" s="83" t="str">
        <f>"SI_110188"</f>
        <v>SI_110188</v>
      </c>
      <c r="M2029" s="84">
        <v>42237</v>
      </c>
      <c r="N2029" s="85">
        <f t="shared" si="620"/>
        <v>1575</v>
      </c>
      <c r="O2029" s="86">
        <f t="shared" si="621"/>
        <v>6611.89</v>
      </c>
      <c r="P2029" s="86">
        <f t="shared" si="622"/>
        <v>0</v>
      </c>
      <c r="Q2029" s="86">
        <f t="shared" si="623"/>
        <v>0</v>
      </c>
      <c r="R2029" s="86">
        <f t="shared" si="624"/>
        <v>0</v>
      </c>
      <c r="S2029" s="86">
        <f t="shared" si="625"/>
        <v>0</v>
      </c>
      <c r="T2029" s="86">
        <f t="shared" si="626"/>
        <v>6611.89</v>
      </c>
      <c r="U2029" s="87">
        <v>6611.89</v>
      </c>
    </row>
    <row r="2030" spans="1:21" s="30" customFormat="1" ht="24.6" hidden="1" outlineLevel="1" x14ac:dyDescent="0.55000000000000004">
      <c r="A2030" s="27" t="s">
        <v>327</v>
      </c>
      <c r="B2030" s="28"/>
      <c r="C2030" s="27"/>
      <c r="D2030" s="27" t="str">
        <f>"""NAV Direct"",""CRONUS JetCorp USA"",""21"",""1"",""325005"""</f>
        <v>"NAV Direct","CRONUS JetCorp USA","21","1","325005"</v>
      </c>
      <c r="E2030" s="31">
        <f t="shared" si="618"/>
        <v>0</v>
      </c>
      <c r="F2030" s="31"/>
      <c r="G2030" s="31"/>
      <c r="H2030" s="31"/>
      <c r="I2030" s="56"/>
      <c r="J2030" s="56"/>
      <c r="K2030" s="82" t="str">
        <f t="shared" si="619"/>
        <v>Invoice</v>
      </c>
      <c r="L2030" s="83" t="str">
        <f>"SI_110189"</f>
        <v>SI_110189</v>
      </c>
      <c r="M2030" s="84">
        <v>42247</v>
      </c>
      <c r="N2030" s="85">
        <f t="shared" si="620"/>
        <v>1565</v>
      </c>
      <c r="O2030" s="86">
        <f t="shared" si="621"/>
        <v>6611.74</v>
      </c>
      <c r="P2030" s="86">
        <f t="shared" si="622"/>
        <v>0</v>
      </c>
      <c r="Q2030" s="86">
        <f t="shared" si="623"/>
        <v>0</v>
      </c>
      <c r="R2030" s="86">
        <f t="shared" si="624"/>
        <v>0</v>
      </c>
      <c r="S2030" s="86">
        <f t="shared" si="625"/>
        <v>0</v>
      </c>
      <c r="T2030" s="86">
        <f t="shared" si="626"/>
        <v>6611.74</v>
      </c>
      <c r="U2030" s="87">
        <v>6611.74</v>
      </c>
    </row>
    <row r="2031" spans="1:21" s="30" customFormat="1" ht="24.6" hidden="1" outlineLevel="1" x14ac:dyDescent="0.55000000000000004">
      <c r="A2031" s="27" t="s">
        <v>327</v>
      </c>
      <c r="B2031" s="28"/>
      <c r="C2031" s="27"/>
      <c r="D2031" s="27" t="str">
        <f>"""NAV Direct"",""CRONUS JetCorp USA"",""21"",""1"",""325037"""</f>
        <v>"NAV Direct","CRONUS JetCorp USA","21","1","325037"</v>
      </c>
      <c r="E2031" s="31" t="str">
        <f t="shared" si="618"/>
        <v>C100066</v>
      </c>
      <c r="F2031" s="31"/>
      <c r="G2031" s="31"/>
      <c r="H2031" s="31"/>
      <c r="I2031" s="56"/>
      <c r="J2031" s="56"/>
      <c r="K2031" s="82" t="str">
        <f t="shared" si="619"/>
        <v>Invoice</v>
      </c>
      <c r="L2031" s="83" t="str">
        <f>"SI_110191"</f>
        <v>SI_110191</v>
      </c>
      <c r="M2031" s="84">
        <v>42259</v>
      </c>
      <c r="N2031" s="85">
        <f t="shared" si="620"/>
        <v>1553</v>
      </c>
      <c r="O2031" s="86">
        <f t="shared" si="621"/>
        <v>6611.36</v>
      </c>
      <c r="P2031" s="86">
        <f t="shared" si="622"/>
        <v>0</v>
      </c>
      <c r="Q2031" s="86">
        <f t="shared" si="623"/>
        <v>0</v>
      </c>
      <c r="R2031" s="86">
        <f t="shared" si="624"/>
        <v>0</v>
      </c>
      <c r="S2031" s="86">
        <f t="shared" si="625"/>
        <v>0</v>
      </c>
      <c r="T2031" s="86">
        <f t="shared" si="626"/>
        <v>6611.36</v>
      </c>
      <c r="U2031" s="87">
        <v>6611.36</v>
      </c>
    </row>
    <row r="2032" spans="1:21" s="30" customFormat="1" ht="24.6" hidden="1" outlineLevel="1" x14ac:dyDescent="0.55000000000000004">
      <c r="A2032" s="27" t="s">
        <v>327</v>
      </c>
      <c r="B2032" s="28"/>
      <c r="C2032" s="27"/>
      <c r="D2032" s="27" t="str">
        <f>"""NAV Direct"",""CRONUS JetCorp USA"",""21"",""1"",""325079"""</f>
        <v>"NAV Direct","CRONUS JetCorp USA","21","1","325079"</v>
      </c>
      <c r="E2032" s="31">
        <f t="shared" si="618"/>
        <v>0</v>
      </c>
      <c r="F2032" s="31"/>
      <c r="G2032" s="31"/>
      <c r="H2032" s="31"/>
      <c r="I2032" s="56"/>
      <c r="J2032" s="56"/>
      <c r="K2032" s="82" t="str">
        <f t="shared" si="619"/>
        <v>Invoice</v>
      </c>
      <c r="L2032" s="83" t="str">
        <f>"SI_110193"</f>
        <v>SI_110193</v>
      </c>
      <c r="M2032" s="84">
        <v>42270</v>
      </c>
      <c r="N2032" s="85">
        <f t="shared" si="620"/>
        <v>1542</v>
      </c>
      <c r="O2032" s="86">
        <f t="shared" si="621"/>
        <v>5948.8899999999994</v>
      </c>
      <c r="P2032" s="86">
        <f t="shared" si="622"/>
        <v>0</v>
      </c>
      <c r="Q2032" s="86">
        <f t="shared" si="623"/>
        <v>0</v>
      </c>
      <c r="R2032" s="86">
        <f t="shared" si="624"/>
        <v>0</v>
      </c>
      <c r="S2032" s="86">
        <f t="shared" si="625"/>
        <v>0</v>
      </c>
      <c r="T2032" s="86">
        <f t="shared" si="626"/>
        <v>5948.8899999999994</v>
      </c>
      <c r="U2032" s="87">
        <v>5948.8899999999994</v>
      </c>
    </row>
    <row r="2033" spans="1:21" s="30" customFormat="1" ht="24.6" hidden="1" outlineLevel="1" x14ac:dyDescent="0.55000000000000004">
      <c r="A2033" s="27" t="s">
        <v>327</v>
      </c>
      <c r="B2033" s="28"/>
      <c r="C2033" s="27"/>
      <c r="D2033" s="27" t="str">
        <f>"""NAV Direct"",""CRONUS JetCorp USA"",""21"",""1"",""325188"""</f>
        <v>"NAV Direct","CRONUS JetCorp USA","21","1","325188"</v>
      </c>
      <c r="E2033" s="31" t="str">
        <f t="shared" si="618"/>
        <v>C100066</v>
      </c>
      <c r="F2033" s="31"/>
      <c r="G2033" s="31"/>
      <c r="H2033" s="31"/>
      <c r="I2033" s="56"/>
      <c r="J2033" s="56"/>
      <c r="K2033" s="82" t="str">
        <f t="shared" si="619"/>
        <v>Invoice</v>
      </c>
      <c r="L2033" s="83" t="str">
        <f>"SI_110198"</f>
        <v>SI_110198</v>
      </c>
      <c r="M2033" s="84">
        <v>42301</v>
      </c>
      <c r="N2033" s="85">
        <f t="shared" si="620"/>
        <v>1511</v>
      </c>
      <c r="O2033" s="86">
        <f t="shared" si="621"/>
        <v>6545.04</v>
      </c>
      <c r="P2033" s="86">
        <f t="shared" si="622"/>
        <v>0</v>
      </c>
      <c r="Q2033" s="86">
        <f t="shared" si="623"/>
        <v>0</v>
      </c>
      <c r="R2033" s="86">
        <f t="shared" si="624"/>
        <v>0</v>
      </c>
      <c r="S2033" s="86">
        <f t="shared" si="625"/>
        <v>0</v>
      </c>
      <c r="T2033" s="86">
        <f t="shared" si="626"/>
        <v>6545.04</v>
      </c>
      <c r="U2033" s="87">
        <v>6545.04</v>
      </c>
    </row>
    <row r="2034" spans="1:21" s="30" customFormat="1" ht="24.6" hidden="1" outlineLevel="1" x14ac:dyDescent="0.55000000000000004">
      <c r="A2034" s="27" t="s">
        <v>327</v>
      </c>
      <c r="B2034" s="28"/>
      <c r="C2034" s="27"/>
      <c r="D2034" s="27" t="str">
        <f>"""NAV Direct"",""CRONUS JetCorp USA"",""21"",""1"",""325238"""</f>
        <v>"NAV Direct","CRONUS JetCorp USA","21","1","325238"</v>
      </c>
      <c r="E2034" s="31">
        <f t="shared" si="618"/>
        <v>0</v>
      </c>
      <c r="F2034" s="31"/>
      <c r="G2034" s="31"/>
      <c r="H2034" s="31"/>
      <c r="I2034" s="56"/>
      <c r="J2034" s="56"/>
      <c r="K2034" s="82" t="str">
        <f t="shared" si="619"/>
        <v>Invoice</v>
      </c>
      <c r="L2034" s="83" t="str">
        <f>"SI_110200"</f>
        <v>SI_110200</v>
      </c>
      <c r="M2034" s="84">
        <v>42305</v>
      </c>
      <c r="N2034" s="85">
        <f t="shared" si="620"/>
        <v>1507</v>
      </c>
      <c r="O2034" s="86">
        <f t="shared" si="621"/>
        <v>6544.7699999999995</v>
      </c>
      <c r="P2034" s="86">
        <f t="shared" si="622"/>
        <v>0</v>
      </c>
      <c r="Q2034" s="86">
        <f t="shared" si="623"/>
        <v>0</v>
      </c>
      <c r="R2034" s="86">
        <f t="shared" si="624"/>
        <v>0</v>
      </c>
      <c r="S2034" s="86">
        <f t="shared" si="625"/>
        <v>0</v>
      </c>
      <c r="T2034" s="86">
        <f t="shared" si="626"/>
        <v>6544.7699999999995</v>
      </c>
      <c r="U2034" s="87">
        <v>6544.7699999999995</v>
      </c>
    </row>
    <row r="2035" spans="1:21" s="30" customFormat="1" ht="24.6" hidden="1" outlineLevel="1" x14ac:dyDescent="0.55000000000000004">
      <c r="A2035" s="27" t="s">
        <v>327</v>
      </c>
      <c r="B2035" s="28"/>
      <c r="C2035" s="27"/>
      <c r="D2035" s="27" t="str">
        <f>"""NAV Direct"",""CRONUS JetCorp USA"",""21"",""1"",""325280"""</f>
        <v>"NAV Direct","CRONUS JetCorp USA","21","1","325280"</v>
      </c>
      <c r="E2035" s="31" t="str">
        <f t="shared" si="618"/>
        <v>C100066</v>
      </c>
      <c r="F2035" s="31"/>
      <c r="G2035" s="31"/>
      <c r="H2035" s="31"/>
      <c r="I2035" s="56"/>
      <c r="J2035" s="56"/>
      <c r="K2035" s="82" t="str">
        <f t="shared" si="619"/>
        <v>Invoice</v>
      </c>
      <c r="L2035" s="83" t="str">
        <f>"SI_110202"</f>
        <v>SI_110202</v>
      </c>
      <c r="M2035" s="84">
        <v>42328</v>
      </c>
      <c r="N2035" s="85">
        <f t="shared" si="620"/>
        <v>1484</v>
      </c>
      <c r="O2035" s="86">
        <f t="shared" si="621"/>
        <v>6512.62</v>
      </c>
      <c r="P2035" s="86">
        <f t="shared" si="622"/>
        <v>0</v>
      </c>
      <c r="Q2035" s="86">
        <f t="shared" si="623"/>
        <v>0</v>
      </c>
      <c r="R2035" s="86">
        <f t="shared" si="624"/>
        <v>0</v>
      </c>
      <c r="S2035" s="86">
        <f t="shared" si="625"/>
        <v>0</v>
      </c>
      <c r="T2035" s="86">
        <f t="shared" si="626"/>
        <v>6512.62</v>
      </c>
      <c r="U2035" s="87">
        <v>6512.62</v>
      </c>
    </row>
    <row r="2036" spans="1:21" s="30" customFormat="1" ht="24.6" hidden="1" outlineLevel="1" x14ac:dyDescent="0.55000000000000004">
      <c r="A2036" s="27" t="s">
        <v>327</v>
      </c>
      <c r="B2036" s="28"/>
      <c r="C2036" s="27"/>
      <c r="D2036" s="27" t="str">
        <f>"""NAV Direct"",""CRONUS JetCorp USA"",""21"",""1"",""325301"""</f>
        <v>"NAV Direct","CRONUS JetCorp USA","21","1","325301"</v>
      </c>
      <c r="E2036" s="31">
        <f t="shared" si="618"/>
        <v>0</v>
      </c>
      <c r="F2036" s="31"/>
      <c r="G2036" s="31"/>
      <c r="H2036" s="31"/>
      <c r="I2036" s="56"/>
      <c r="J2036" s="56"/>
      <c r="K2036" s="82" t="str">
        <f t="shared" si="619"/>
        <v>Invoice</v>
      </c>
      <c r="L2036" s="83" t="str">
        <f>"SI_110203"</f>
        <v>SI_110203</v>
      </c>
      <c r="M2036" s="84">
        <v>42329</v>
      </c>
      <c r="N2036" s="85">
        <f t="shared" si="620"/>
        <v>1483</v>
      </c>
      <c r="O2036" s="86">
        <f t="shared" si="621"/>
        <v>6513.03</v>
      </c>
      <c r="P2036" s="86">
        <f t="shared" si="622"/>
        <v>0</v>
      </c>
      <c r="Q2036" s="86">
        <f t="shared" si="623"/>
        <v>0</v>
      </c>
      <c r="R2036" s="86">
        <f t="shared" si="624"/>
        <v>0</v>
      </c>
      <c r="S2036" s="86">
        <f t="shared" si="625"/>
        <v>0</v>
      </c>
      <c r="T2036" s="86">
        <f t="shared" si="626"/>
        <v>6513.03</v>
      </c>
      <c r="U2036" s="87">
        <v>6513.03</v>
      </c>
    </row>
    <row r="2037" spans="1:21" s="30" customFormat="1" ht="24.6" hidden="1" outlineLevel="1" x14ac:dyDescent="0.55000000000000004">
      <c r="A2037" s="27" t="s">
        <v>327</v>
      </c>
      <c r="B2037" s="28"/>
      <c r="C2037" s="27"/>
      <c r="D2037" s="27" t="str">
        <f>"""NAV Direct"",""CRONUS JetCorp USA"",""21"",""1"",""325324"""</f>
        <v>"NAV Direct","CRONUS JetCorp USA","21","1","325324"</v>
      </c>
      <c r="E2037" s="31" t="str">
        <f t="shared" si="618"/>
        <v>C100066</v>
      </c>
      <c r="F2037" s="31"/>
      <c r="G2037" s="31"/>
      <c r="H2037" s="31"/>
      <c r="I2037" s="56"/>
      <c r="J2037" s="56"/>
      <c r="K2037" s="82" t="str">
        <f t="shared" si="619"/>
        <v>Invoice</v>
      </c>
      <c r="L2037" s="83" t="str">
        <f>"SI_110204"</f>
        <v>SI_110204</v>
      </c>
      <c r="M2037" s="84">
        <v>42336</v>
      </c>
      <c r="N2037" s="85">
        <f t="shared" si="620"/>
        <v>1476</v>
      </c>
      <c r="O2037" s="86">
        <f t="shared" si="621"/>
        <v>6511.4800000000005</v>
      </c>
      <c r="P2037" s="86">
        <f t="shared" si="622"/>
        <v>0</v>
      </c>
      <c r="Q2037" s="86">
        <f t="shared" si="623"/>
        <v>0</v>
      </c>
      <c r="R2037" s="86">
        <f t="shared" si="624"/>
        <v>0</v>
      </c>
      <c r="S2037" s="86">
        <f t="shared" si="625"/>
        <v>0</v>
      </c>
      <c r="T2037" s="86">
        <f t="shared" si="626"/>
        <v>6511.4800000000005</v>
      </c>
      <c r="U2037" s="87">
        <v>6511.4800000000005</v>
      </c>
    </row>
    <row r="2038" spans="1:21" s="30" customFormat="1" ht="24.6" hidden="1" outlineLevel="1" x14ac:dyDescent="0.55000000000000004">
      <c r="A2038" s="27" t="s">
        <v>327</v>
      </c>
      <c r="B2038" s="28"/>
      <c r="C2038" s="27"/>
      <c r="D2038" s="27" t="str">
        <f>"""NAV Direct"",""CRONUS JetCorp USA"",""21"",""1"",""325345"""</f>
        <v>"NAV Direct","CRONUS JetCorp USA","21","1","325345"</v>
      </c>
      <c r="E2038" s="31">
        <f t="shared" si="618"/>
        <v>0</v>
      </c>
      <c r="F2038" s="31"/>
      <c r="G2038" s="31"/>
      <c r="H2038" s="31"/>
      <c r="I2038" s="56"/>
      <c r="J2038" s="56"/>
      <c r="K2038" s="82" t="str">
        <f t="shared" si="619"/>
        <v>Invoice</v>
      </c>
      <c r="L2038" s="83" t="str">
        <f>"SI_110205"</f>
        <v>SI_110205</v>
      </c>
      <c r="M2038" s="84">
        <v>42340</v>
      </c>
      <c r="N2038" s="85">
        <f t="shared" si="620"/>
        <v>1472</v>
      </c>
      <c r="O2038" s="86">
        <f t="shared" si="621"/>
        <v>6512.78</v>
      </c>
      <c r="P2038" s="86">
        <f t="shared" si="622"/>
        <v>0</v>
      </c>
      <c r="Q2038" s="86">
        <f t="shared" si="623"/>
        <v>0</v>
      </c>
      <c r="R2038" s="86">
        <f t="shared" si="624"/>
        <v>0</v>
      </c>
      <c r="S2038" s="86">
        <f t="shared" si="625"/>
        <v>0</v>
      </c>
      <c r="T2038" s="86">
        <f t="shared" si="626"/>
        <v>6512.78</v>
      </c>
      <c r="U2038" s="87">
        <v>6512.78</v>
      </c>
    </row>
    <row r="2039" spans="1:21" s="30" customFormat="1" ht="24.6" hidden="1" outlineLevel="1" x14ac:dyDescent="0.55000000000000004">
      <c r="A2039" s="27" t="s">
        <v>327</v>
      </c>
      <c r="B2039" s="28"/>
      <c r="C2039" s="27"/>
      <c r="D2039" s="27" t="str">
        <f>"""NAV Direct"",""CRONUS JetCorp USA"",""21"",""1"",""325366"""</f>
        <v>"NAV Direct","CRONUS JetCorp USA","21","1","325366"</v>
      </c>
      <c r="E2039" s="31" t="str">
        <f t="shared" si="618"/>
        <v>C100066</v>
      </c>
      <c r="F2039" s="31"/>
      <c r="G2039" s="31"/>
      <c r="H2039" s="31"/>
      <c r="I2039" s="56"/>
      <c r="J2039" s="56"/>
      <c r="K2039" s="82" t="str">
        <f t="shared" si="619"/>
        <v>Invoice</v>
      </c>
      <c r="L2039" s="83" t="str">
        <f>"SI_110206"</f>
        <v>SI_110206</v>
      </c>
      <c r="M2039" s="84">
        <v>42342</v>
      </c>
      <c r="N2039" s="85">
        <f t="shared" si="620"/>
        <v>1470</v>
      </c>
      <c r="O2039" s="86">
        <f t="shared" si="621"/>
        <v>6512.8899999999994</v>
      </c>
      <c r="P2039" s="86">
        <f t="shared" si="622"/>
        <v>0</v>
      </c>
      <c r="Q2039" s="86">
        <f t="shared" si="623"/>
        <v>0</v>
      </c>
      <c r="R2039" s="86">
        <f t="shared" si="624"/>
        <v>0</v>
      </c>
      <c r="S2039" s="86">
        <f t="shared" si="625"/>
        <v>0</v>
      </c>
      <c r="T2039" s="86">
        <f t="shared" si="626"/>
        <v>6512.8899999999994</v>
      </c>
      <c r="U2039" s="87">
        <v>6512.8899999999994</v>
      </c>
    </row>
    <row r="2040" spans="1:21" s="30" customFormat="1" ht="24.6" hidden="1" outlineLevel="1" x14ac:dyDescent="0.55000000000000004">
      <c r="A2040" s="27" t="s">
        <v>327</v>
      </c>
      <c r="B2040" s="28"/>
      <c r="C2040" s="27"/>
      <c r="D2040" s="27" t="str">
        <f>"""NAV Direct"",""CRONUS JetCorp USA"",""21"",""1"",""325389"""</f>
        <v>"NAV Direct","CRONUS JetCorp USA","21","1","325389"</v>
      </c>
      <c r="E2040" s="31">
        <f t="shared" si="618"/>
        <v>0</v>
      </c>
      <c r="F2040" s="31"/>
      <c r="G2040" s="31"/>
      <c r="H2040" s="31"/>
      <c r="I2040" s="56"/>
      <c r="J2040" s="56"/>
      <c r="K2040" s="82" t="str">
        <f t="shared" si="619"/>
        <v>Invoice</v>
      </c>
      <c r="L2040" s="83" t="str">
        <f>"SI_110207"</f>
        <v>SI_110207</v>
      </c>
      <c r="M2040" s="84">
        <v>42344</v>
      </c>
      <c r="N2040" s="85">
        <f t="shared" si="620"/>
        <v>1468</v>
      </c>
      <c r="O2040" s="86">
        <f t="shared" si="621"/>
        <v>6511.88</v>
      </c>
      <c r="P2040" s="86">
        <f t="shared" si="622"/>
        <v>0</v>
      </c>
      <c r="Q2040" s="86">
        <f t="shared" si="623"/>
        <v>0</v>
      </c>
      <c r="R2040" s="86">
        <f t="shared" si="624"/>
        <v>0</v>
      </c>
      <c r="S2040" s="86">
        <f t="shared" si="625"/>
        <v>0</v>
      </c>
      <c r="T2040" s="86">
        <f t="shared" si="626"/>
        <v>6511.88</v>
      </c>
      <c r="U2040" s="87">
        <v>6511.88</v>
      </c>
    </row>
    <row r="2041" spans="1:21" s="30" customFormat="1" ht="24.6" hidden="1" outlineLevel="1" x14ac:dyDescent="0.55000000000000004">
      <c r="A2041" s="27" t="s">
        <v>327</v>
      </c>
      <c r="B2041" s="28"/>
      <c r="C2041" s="27"/>
      <c r="D2041" s="27" t="str">
        <f>"""NAV Direct"",""CRONUS JetCorp USA"",""21"",""1"",""325410"""</f>
        <v>"NAV Direct","CRONUS JetCorp USA","21","1","325410"</v>
      </c>
      <c r="E2041" s="31" t="str">
        <f t="shared" si="618"/>
        <v>C100066</v>
      </c>
      <c r="F2041" s="31"/>
      <c r="G2041" s="31"/>
      <c r="H2041" s="31"/>
      <c r="I2041" s="56"/>
      <c r="J2041" s="56"/>
      <c r="K2041" s="82" t="str">
        <f t="shared" si="619"/>
        <v>Invoice</v>
      </c>
      <c r="L2041" s="83" t="str">
        <f>"SI_110208"</f>
        <v>SI_110208</v>
      </c>
      <c r="M2041" s="84">
        <v>42355</v>
      </c>
      <c r="N2041" s="85">
        <f t="shared" si="620"/>
        <v>1457</v>
      </c>
      <c r="O2041" s="86">
        <f t="shared" si="621"/>
        <v>6759.3700000000008</v>
      </c>
      <c r="P2041" s="86">
        <f t="shared" si="622"/>
        <v>0</v>
      </c>
      <c r="Q2041" s="86">
        <f t="shared" si="623"/>
        <v>0</v>
      </c>
      <c r="R2041" s="86">
        <f t="shared" si="624"/>
        <v>0</v>
      </c>
      <c r="S2041" s="86">
        <f t="shared" si="625"/>
        <v>0</v>
      </c>
      <c r="T2041" s="86">
        <f t="shared" si="626"/>
        <v>6759.3700000000008</v>
      </c>
      <c r="U2041" s="87">
        <v>6759.3700000000008</v>
      </c>
    </row>
    <row r="2042" spans="1:21" s="30" customFormat="1" ht="24.6" hidden="1" outlineLevel="1" x14ac:dyDescent="0.55000000000000004">
      <c r="A2042" s="27" t="s">
        <v>327</v>
      </c>
      <c r="B2042" s="28"/>
      <c r="C2042" s="27"/>
      <c r="D2042" s="27" t="str">
        <f>"""NAV Direct"",""CRONUS JetCorp USA"",""21"",""1"",""325477"""</f>
        <v>"NAV Direct","CRONUS JetCorp USA","21","1","325477"</v>
      </c>
      <c r="E2042" s="31">
        <f t="shared" si="618"/>
        <v>0</v>
      </c>
      <c r="F2042" s="31"/>
      <c r="G2042" s="31"/>
      <c r="H2042" s="31"/>
      <c r="I2042" s="56"/>
      <c r="J2042" s="56"/>
      <c r="K2042" s="82" t="str">
        <f t="shared" si="619"/>
        <v>Invoice</v>
      </c>
      <c r="L2042" s="83" t="str">
        <f>"SI_110211"</f>
        <v>SI_110211</v>
      </c>
      <c r="M2042" s="84">
        <v>42742</v>
      </c>
      <c r="N2042" s="85">
        <f t="shared" si="620"/>
        <v>1070</v>
      </c>
      <c r="O2042" s="86">
        <f t="shared" si="621"/>
        <v>6760.22</v>
      </c>
      <c r="P2042" s="86">
        <f t="shared" si="622"/>
        <v>0</v>
      </c>
      <c r="Q2042" s="86">
        <f t="shared" si="623"/>
        <v>0</v>
      </c>
      <c r="R2042" s="86">
        <f t="shared" si="624"/>
        <v>0</v>
      </c>
      <c r="S2042" s="86">
        <f t="shared" si="625"/>
        <v>0</v>
      </c>
      <c r="T2042" s="86">
        <f t="shared" si="626"/>
        <v>6760.22</v>
      </c>
      <c r="U2042" s="87">
        <v>6760.22</v>
      </c>
    </row>
    <row r="2043" spans="1:21" s="30" customFormat="1" ht="24.6" hidden="1" outlineLevel="1" x14ac:dyDescent="0.55000000000000004">
      <c r="A2043" s="27" t="s">
        <v>327</v>
      </c>
      <c r="B2043" s="28"/>
      <c r="C2043" s="27"/>
      <c r="D2043" s="27" t="str">
        <f>"""NAV Direct"",""CRONUS JetCorp USA"",""21"",""1"",""431183"""</f>
        <v>"NAV Direct","CRONUS JetCorp USA","21","1","431183"</v>
      </c>
      <c r="E2043" s="31" t="str">
        <f t="shared" si="618"/>
        <v>C100066</v>
      </c>
      <c r="F2043" s="31"/>
      <c r="G2043" s="31"/>
      <c r="H2043" s="31"/>
      <c r="I2043" s="56"/>
      <c r="J2043" s="56"/>
      <c r="K2043" s="82" t="str">
        <f t="shared" ref="K2043:K2065" si="627">"Credit Memo"</f>
        <v>Credit Memo</v>
      </c>
      <c r="L2043" s="83" t="str">
        <f>"SC_100326"</f>
        <v>SC_100326</v>
      </c>
      <c r="M2043" s="84">
        <v>42400</v>
      </c>
      <c r="N2043" s="85">
        <f t="shared" si="620"/>
        <v>1412</v>
      </c>
      <c r="O2043" s="86">
        <f t="shared" si="621"/>
        <v>-74.36</v>
      </c>
      <c r="P2043" s="86">
        <f t="shared" si="622"/>
        <v>0</v>
      </c>
      <c r="Q2043" s="86">
        <f t="shared" si="623"/>
        <v>0</v>
      </c>
      <c r="R2043" s="86">
        <f t="shared" si="624"/>
        <v>0</v>
      </c>
      <c r="S2043" s="86">
        <f t="shared" si="625"/>
        <v>0</v>
      </c>
      <c r="T2043" s="86">
        <f t="shared" si="626"/>
        <v>-74.36</v>
      </c>
      <c r="U2043" s="87">
        <v>-74.36</v>
      </c>
    </row>
    <row r="2044" spans="1:21" s="30" customFormat="1" ht="24.6" hidden="1" outlineLevel="1" x14ac:dyDescent="0.55000000000000004">
      <c r="A2044" s="27" t="s">
        <v>327</v>
      </c>
      <c r="B2044" s="28"/>
      <c r="C2044" s="27"/>
      <c r="D2044" s="27" t="str">
        <f>"""NAV Direct"",""CRONUS JetCorp USA"",""21"",""1"",""431235"""</f>
        <v>"NAV Direct","CRONUS JetCorp USA","21","1","431235"</v>
      </c>
      <c r="E2044" s="31">
        <f t="shared" si="618"/>
        <v>0</v>
      </c>
      <c r="F2044" s="31"/>
      <c r="G2044" s="31"/>
      <c r="H2044" s="31"/>
      <c r="I2044" s="56"/>
      <c r="J2044" s="56"/>
      <c r="K2044" s="82" t="str">
        <f t="shared" si="627"/>
        <v>Credit Memo</v>
      </c>
      <c r="L2044" s="83" t="str">
        <f>"SC_100330"</f>
        <v>SC_100330</v>
      </c>
      <c r="M2044" s="84">
        <v>42506</v>
      </c>
      <c r="N2044" s="85">
        <f t="shared" si="620"/>
        <v>1306</v>
      </c>
      <c r="O2044" s="86">
        <f t="shared" si="621"/>
        <v>-74.510000000000005</v>
      </c>
      <c r="P2044" s="86">
        <f t="shared" si="622"/>
        <v>0</v>
      </c>
      <c r="Q2044" s="86">
        <f t="shared" si="623"/>
        <v>0</v>
      </c>
      <c r="R2044" s="86">
        <f t="shared" si="624"/>
        <v>0</v>
      </c>
      <c r="S2044" s="86">
        <f t="shared" si="625"/>
        <v>0</v>
      </c>
      <c r="T2044" s="86">
        <f t="shared" si="626"/>
        <v>-74.510000000000005</v>
      </c>
      <c r="U2044" s="87">
        <v>-74.510000000000005</v>
      </c>
    </row>
    <row r="2045" spans="1:21" s="30" customFormat="1" ht="24.6" hidden="1" outlineLevel="1" x14ac:dyDescent="0.55000000000000004">
      <c r="A2045" s="27" t="s">
        <v>327</v>
      </c>
      <c r="B2045" s="28"/>
      <c r="C2045" s="27"/>
      <c r="D2045" s="27" t="str">
        <f>"""NAV Direct"",""CRONUS JetCorp USA"",""21"",""1"",""431248"""</f>
        <v>"NAV Direct","CRONUS JetCorp USA","21","1","431248"</v>
      </c>
      <c r="E2045" s="31" t="str">
        <f t="shared" si="618"/>
        <v>C100066</v>
      </c>
      <c r="F2045" s="31"/>
      <c r="G2045" s="31"/>
      <c r="H2045" s="31"/>
      <c r="I2045" s="56"/>
      <c r="J2045" s="56"/>
      <c r="K2045" s="82" t="str">
        <f t="shared" si="627"/>
        <v>Credit Memo</v>
      </c>
      <c r="L2045" s="83" t="str">
        <f>"SC_100331"</f>
        <v>SC_100331</v>
      </c>
      <c r="M2045" s="84">
        <v>42535</v>
      </c>
      <c r="N2045" s="85">
        <f t="shared" si="620"/>
        <v>1277</v>
      </c>
      <c r="O2045" s="86">
        <f t="shared" si="621"/>
        <v>-76.460000000000008</v>
      </c>
      <c r="P2045" s="86">
        <f t="shared" si="622"/>
        <v>0</v>
      </c>
      <c r="Q2045" s="86">
        <f t="shared" si="623"/>
        <v>0</v>
      </c>
      <c r="R2045" s="86">
        <f t="shared" si="624"/>
        <v>0</v>
      </c>
      <c r="S2045" s="86">
        <f t="shared" si="625"/>
        <v>0</v>
      </c>
      <c r="T2045" s="86">
        <f t="shared" si="626"/>
        <v>-76.460000000000008</v>
      </c>
      <c r="U2045" s="87">
        <v>-76.460000000000008</v>
      </c>
    </row>
    <row r="2046" spans="1:21" s="30" customFormat="1" ht="24.6" hidden="1" outlineLevel="1" x14ac:dyDescent="0.55000000000000004">
      <c r="A2046" s="27" t="s">
        <v>327</v>
      </c>
      <c r="B2046" s="28"/>
      <c r="C2046" s="27"/>
      <c r="D2046" s="27" t="str">
        <f>"""NAV Direct"",""CRONUS JetCorp USA"",""21"",""1"",""431265"""</f>
        <v>"NAV Direct","CRONUS JetCorp USA","21","1","431265"</v>
      </c>
      <c r="E2046" s="31">
        <f t="shared" si="618"/>
        <v>0</v>
      </c>
      <c r="F2046" s="31"/>
      <c r="G2046" s="31"/>
      <c r="H2046" s="31"/>
      <c r="I2046" s="56"/>
      <c r="J2046" s="56"/>
      <c r="K2046" s="82" t="str">
        <f t="shared" si="627"/>
        <v>Credit Memo</v>
      </c>
      <c r="L2046" s="83" t="str">
        <f>"SC_100332"</f>
        <v>SC_100332</v>
      </c>
      <c r="M2046" s="84">
        <v>42558</v>
      </c>
      <c r="N2046" s="85">
        <f t="shared" si="620"/>
        <v>1254</v>
      </c>
      <c r="O2046" s="86">
        <f t="shared" si="621"/>
        <v>-76.599999999999994</v>
      </c>
      <c r="P2046" s="86">
        <f t="shared" si="622"/>
        <v>0</v>
      </c>
      <c r="Q2046" s="86">
        <f t="shared" si="623"/>
        <v>0</v>
      </c>
      <c r="R2046" s="86">
        <f t="shared" si="624"/>
        <v>0</v>
      </c>
      <c r="S2046" s="86">
        <f t="shared" si="625"/>
        <v>0</v>
      </c>
      <c r="T2046" s="86">
        <f t="shared" si="626"/>
        <v>-76.599999999999994</v>
      </c>
      <c r="U2046" s="87">
        <v>-76.599999999999994</v>
      </c>
    </row>
    <row r="2047" spans="1:21" s="30" customFormat="1" ht="24.6" hidden="1" outlineLevel="1" x14ac:dyDescent="0.55000000000000004">
      <c r="A2047" s="27" t="s">
        <v>327</v>
      </c>
      <c r="B2047" s="28"/>
      <c r="C2047" s="27"/>
      <c r="D2047" s="27" t="str">
        <f>"""NAV Direct"",""CRONUS JetCorp USA"",""21"",""1"",""431306"""</f>
        <v>"NAV Direct","CRONUS JetCorp USA","21","1","431306"</v>
      </c>
      <c r="E2047" s="31" t="str">
        <f t="shared" si="618"/>
        <v>C100066</v>
      </c>
      <c r="F2047" s="31"/>
      <c r="G2047" s="31"/>
      <c r="H2047" s="31"/>
      <c r="I2047" s="56"/>
      <c r="J2047" s="56"/>
      <c r="K2047" s="82" t="str">
        <f t="shared" si="627"/>
        <v>Credit Memo</v>
      </c>
      <c r="L2047" s="83" t="str">
        <f>"SC_100335"</f>
        <v>SC_100335</v>
      </c>
      <c r="M2047" s="84">
        <v>42633</v>
      </c>
      <c r="N2047" s="85">
        <f t="shared" si="620"/>
        <v>1179</v>
      </c>
      <c r="O2047" s="86">
        <f t="shared" si="621"/>
        <v>-76.7</v>
      </c>
      <c r="P2047" s="86">
        <f t="shared" si="622"/>
        <v>0</v>
      </c>
      <c r="Q2047" s="86">
        <f t="shared" si="623"/>
        <v>0</v>
      </c>
      <c r="R2047" s="86">
        <f t="shared" si="624"/>
        <v>0</v>
      </c>
      <c r="S2047" s="86">
        <f t="shared" si="625"/>
        <v>0</v>
      </c>
      <c r="T2047" s="86">
        <f t="shared" si="626"/>
        <v>-76.7</v>
      </c>
      <c r="U2047" s="87">
        <v>-76.7</v>
      </c>
    </row>
    <row r="2048" spans="1:21" s="30" customFormat="1" ht="24.6" hidden="1" outlineLevel="1" x14ac:dyDescent="0.55000000000000004">
      <c r="A2048" s="27" t="s">
        <v>327</v>
      </c>
      <c r="B2048" s="28"/>
      <c r="C2048" s="27"/>
      <c r="D2048" s="27" t="str">
        <f>"""NAV Direct"",""CRONUS JetCorp USA"",""21"",""1"",""431319"""</f>
        <v>"NAV Direct","CRONUS JetCorp USA","21","1","431319"</v>
      </c>
      <c r="E2048" s="31">
        <f t="shared" si="618"/>
        <v>0</v>
      </c>
      <c r="F2048" s="31"/>
      <c r="G2048" s="31"/>
      <c r="H2048" s="31"/>
      <c r="I2048" s="56"/>
      <c r="J2048" s="56"/>
      <c r="K2048" s="82" t="str">
        <f t="shared" si="627"/>
        <v>Credit Memo</v>
      </c>
      <c r="L2048" s="83" t="str">
        <f>"SC_100336"</f>
        <v>SC_100336</v>
      </c>
      <c r="M2048" s="84">
        <v>42695</v>
      </c>
      <c r="N2048" s="85">
        <f t="shared" si="620"/>
        <v>1117</v>
      </c>
      <c r="O2048" s="86">
        <f t="shared" si="621"/>
        <v>-79.34</v>
      </c>
      <c r="P2048" s="86">
        <f t="shared" si="622"/>
        <v>0</v>
      </c>
      <c r="Q2048" s="86">
        <f t="shared" si="623"/>
        <v>0</v>
      </c>
      <c r="R2048" s="86">
        <f t="shared" si="624"/>
        <v>0</v>
      </c>
      <c r="S2048" s="86">
        <f t="shared" si="625"/>
        <v>0</v>
      </c>
      <c r="T2048" s="86">
        <f t="shared" si="626"/>
        <v>-79.34</v>
      </c>
      <c r="U2048" s="87">
        <v>-79.34</v>
      </c>
    </row>
    <row r="2049" spans="1:21" s="30" customFormat="1" ht="24.6" hidden="1" outlineLevel="1" x14ac:dyDescent="0.55000000000000004">
      <c r="A2049" s="27" t="s">
        <v>327</v>
      </c>
      <c r="B2049" s="28"/>
      <c r="C2049" s="27"/>
      <c r="D2049" s="27" t="str">
        <f>"""NAV Direct"",""CRONUS JetCorp USA"",""21"",""1"",""431338"""</f>
        <v>"NAV Direct","CRONUS JetCorp USA","21","1","431338"</v>
      </c>
      <c r="E2049" s="31" t="str">
        <f t="shared" si="618"/>
        <v>C100066</v>
      </c>
      <c r="F2049" s="31"/>
      <c r="G2049" s="31"/>
      <c r="H2049" s="31"/>
      <c r="I2049" s="56"/>
      <c r="J2049" s="56"/>
      <c r="K2049" s="82" t="str">
        <f t="shared" si="627"/>
        <v>Credit Memo</v>
      </c>
      <c r="L2049" s="83" t="str">
        <f>"SC_100337"</f>
        <v>SC_100337</v>
      </c>
      <c r="M2049" s="84">
        <v>42747</v>
      </c>
      <c r="N2049" s="85">
        <f t="shared" si="620"/>
        <v>1065</v>
      </c>
      <c r="O2049" s="86">
        <f t="shared" si="621"/>
        <v>-76.69</v>
      </c>
      <c r="P2049" s="86">
        <f t="shared" si="622"/>
        <v>0</v>
      </c>
      <c r="Q2049" s="86">
        <f t="shared" si="623"/>
        <v>0</v>
      </c>
      <c r="R2049" s="86">
        <f t="shared" si="624"/>
        <v>0</v>
      </c>
      <c r="S2049" s="86">
        <f t="shared" si="625"/>
        <v>0</v>
      </c>
      <c r="T2049" s="86">
        <f t="shared" si="626"/>
        <v>-76.69</v>
      </c>
      <c r="U2049" s="87">
        <v>-76.69</v>
      </c>
    </row>
    <row r="2050" spans="1:21" s="30" customFormat="1" ht="24.6" hidden="1" outlineLevel="1" x14ac:dyDescent="0.55000000000000004">
      <c r="A2050" s="27" t="s">
        <v>327</v>
      </c>
      <c r="B2050" s="28"/>
      <c r="C2050" s="27"/>
      <c r="D2050" s="27" t="str">
        <f>"""NAV Direct"",""CRONUS JetCorp USA"",""21"",""1"",""431388"""</f>
        <v>"NAV Direct","CRONUS JetCorp USA","21","1","431388"</v>
      </c>
      <c r="E2050" s="31">
        <f t="shared" si="618"/>
        <v>0</v>
      </c>
      <c r="F2050" s="31"/>
      <c r="G2050" s="31"/>
      <c r="H2050" s="31"/>
      <c r="I2050" s="56"/>
      <c r="J2050" s="56"/>
      <c r="K2050" s="82" t="str">
        <f t="shared" si="627"/>
        <v>Credit Memo</v>
      </c>
      <c r="L2050" s="83" t="str">
        <f>"SC_100341"</f>
        <v>SC_100341</v>
      </c>
      <c r="M2050" s="84">
        <v>42935</v>
      </c>
      <c r="N2050" s="85">
        <f t="shared" si="620"/>
        <v>877</v>
      </c>
      <c r="O2050" s="86">
        <f t="shared" si="621"/>
        <v>-75.11</v>
      </c>
      <c r="P2050" s="86">
        <f t="shared" si="622"/>
        <v>0</v>
      </c>
      <c r="Q2050" s="86">
        <f t="shared" si="623"/>
        <v>0</v>
      </c>
      <c r="R2050" s="86">
        <f t="shared" si="624"/>
        <v>0</v>
      </c>
      <c r="S2050" s="86">
        <f t="shared" si="625"/>
        <v>0</v>
      </c>
      <c r="T2050" s="86">
        <f t="shared" si="626"/>
        <v>-75.11</v>
      </c>
      <c r="U2050" s="87">
        <v>-75.11</v>
      </c>
    </row>
    <row r="2051" spans="1:21" s="30" customFormat="1" ht="24.6" hidden="1" outlineLevel="1" x14ac:dyDescent="0.55000000000000004">
      <c r="A2051" s="27" t="s">
        <v>327</v>
      </c>
      <c r="B2051" s="28"/>
      <c r="C2051" s="27"/>
      <c r="D2051" s="27" t="str">
        <f>"""NAV Direct"",""CRONUS JetCorp USA"",""21"",""1"",""431437"""</f>
        <v>"NAV Direct","CRONUS JetCorp USA","21","1","431437"</v>
      </c>
      <c r="E2051" s="31" t="str">
        <f t="shared" ref="E2051:E2065" si="628">E2049</f>
        <v>C100066</v>
      </c>
      <c r="F2051" s="31"/>
      <c r="G2051" s="31"/>
      <c r="H2051" s="31"/>
      <c r="I2051" s="56"/>
      <c r="J2051" s="56"/>
      <c r="K2051" s="82" t="str">
        <f t="shared" si="627"/>
        <v>Credit Memo</v>
      </c>
      <c r="L2051" s="83" t="str">
        <f>"SC_100344"</f>
        <v>SC_100344</v>
      </c>
      <c r="M2051" s="84">
        <v>43047</v>
      </c>
      <c r="N2051" s="85">
        <f t="shared" ref="N2051:N2065" si="629">StartDate-$M2051+1</f>
        <v>765</v>
      </c>
      <c r="O2051" s="86">
        <f t="shared" ref="O2051:O2065" si="630">SUM(P2051:T2051)</f>
        <v>-68.5</v>
      </c>
      <c r="P2051" s="86">
        <f t="shared" ref="P2051:P2065" si="631">IF($M2051&gt;=$P$18,U2051,0)</f>
        <v>0</v>
      </c>
      <c r="Q2051" s="86">
        <f t="shared" ref="Q2051:Q2065" si="632">IF(AND($M2051&gt;=$Q$16,$M2051&lt;=$Q$18),U2051,0)</f>
        <v>0</v>
      </c>
      <c r="R2051" s="86">
        <f t="shared" ref="R2051:R2065" si="633">IF(AND($M2051&gt;=$R$16,$M2051&lt;=$R$18),U2051,0)</f>
        <v>0</v>
      </c>
      <c r="S2051" s="86">
        <f t="shared" ref="S2051:S2065" si="634">IF(AND($M2051&gt;=$S$16,$M2051&lt;=$S$18),U2051,0)</f>
        <v>0</v>
      </c>
      <c r="T2051" s="86">
        <f t="shared" ref="T2051:T2065" si="635">IF($M2051&lt;=$T$18,U2051,0)</f>
        <v>-68.5</v>
      </c>
      <c r="U2051" s="87">
        <v>-68.5</v>
      </c>
    </row>
    <row r="2052" spans="1:21" s="30" customFormat="1" ht="24.6" hidden="1" outlineLevel="1" x14ac:dyDescent="0.55000000000000004">
      <c r="A2052" s="27" t="s">
        <v>327</v>
      </c>
      <c r="B2052" s="28"/>
      <c r="C2052" s="27"/>
      <c r="D2052" s="27" t="str">
        <f>"""NAV Direct"",""CRONUS JetCorp USA"",""21"",""1"",""431448"""</f>
        <v>"NAV Direct","CRONUS JetCorp USA","21","1","431448"</v>
      </c>
      <c r="E2052" s="31">
        <f t="shared" si="628"/>
        <v>0</v>
      </c>
      <c r="F2052" s="31"/>
      <c r="G2052" s="31"/>
      <c r="H2052" s="31"/>
      <c r="I2052" s="56"/>
      <c r="J2052" s="56"/>
      <c r="K2052" s="82" t="str">
        <f t="shared" si="627"/>
        <v>Credit Memo</v>
      </c>
      <c r="L2052" s="83" t="str">
        <f>"SC_100345"</f>
        <v>SC_100345</v>
      </c>
      <c r="M2052" s="84">
        <v>43056</v>
      </c>
      <c r="N2052" s="85">
        <f t="shared" si="629"/>
        <v>756</v>
      </c>
      <c r="O2052" s="86">
        <f t="shared" si="630"/>
        <v>-68.150000000000006</v>
      </c>
      <c r="P2052" s="86">
        <f t="shared" si="631"/>
        <v>0</v>
      </c>
      <c r="Q2052" s="86">
        <f t="shared" si="632"/>
        <v>0</v>
      </c>
      <c r="R2052" s="86">
        <f t="shared" si="633"/>
        <v>0</v>
      </c>
      <c r="S2052" s="86">
        <f t="shared" si="634"/>
        <v>0</v>
      </c>
      <c r="T2052" s="86">
        <f t="shared" si="635"/>
        <v>-68.150000000000006</v>
      </c>
      <c r="U2052" s="87">
        <v>-68.150000000000006</v>
      </c>
    </row>
    <row r="2053" spans="1:21" s="30" customFormat="1" ht="24.6" hidden="1" outlineLevel="1" x14ac:dyDescent="0.55000000000000004">
      <c r="A2053" s="27" t="s">
        <v>327</v>
      </c>
      <c r="B2053" s="28"/>
      <c r="C2053" s="27"/>
      <c r="D2053" s="27" t="str">
        <f>"""NAV Direct"",""CRONUS JetCorp USA"",""21"",""1"",""431485"""</f>
        <v>"NAV Direct","CRONUS JetCorp USA","21","1","431485"</v>
      </c>
      <c r="E2053" s="31" t="str">
        <f t="shared" si="628"/>
        <v>C100066</v>
      </c>
      <c r="F2053" s="31"/>
      <c r="G2053" s="31"/>
      <c r="H2053" s="31"/>
      <c r="I2053" s="56"/>
      <c r="J2053" s="56"/>
      <c r="K2053" s="82" t="str">
        <f t="shared" si="627"/>
        <v>Credit Memo</v>
      </c>
      <c r="L2053" s="83" t="str">
        <f>"SC_100348"</f>
        <v>SC_100348</v>
      </c>
      <c r="M2053" s="84">
        <v>43253</v>
      </c>
      <c r="N2053" s="85">
        <f t="shared" si="629"/>
        <v>559</v>
      </c>
      <c r="O2053" s="86">
        <f t="shared" si="630"/>
        <v>-50.37</v>
      </c>
      <c r="P2053" s="86">
        <f t="shared" si="631"/>
        <v>0</v>
      </c>
      <c r="Q2053" s="86">
        <f t="shared" si="632"/>
        <v>0</v>
      </c>
      <c r="R2053" s="86">
        <f t="shared" si="633"/>
        <v>0</v>
      </c>
      <c r="S2053" s="86">
        <f t="shared" si="634"/>
        <v>0</v>
      </c>
      <c r="T2053" s="86">
        <f t="shared" si="635"/>
        <v>-50.37</v>
      </c>
      <c r="U2053" s="87">
        <v>-50.37</v>
      </c>
    </row>
    <row r="2054" spans="1:21" s="30" customFormat="1" ht="24.6" hidden="1" outlineLevel="1" x14ac:dyDescent="0.55000000000000004">
      <c r="A2054" s="27" t="s">
        <v>327</v>
      </c>
      <c r="B2054" s="28"/>
      <c r="C2054" s="27"/>
      <c r="D2054" s="27" t="str">
        <f>"""NAV Direct"",""CRONUS JetCorp USA"",""21"",""1"",""431524"""</f>
        <v>"NAV Direct","CRONUS JetCorp USA","21","1","431524"</v>
      </c>
      <c r="E2054" s="31">
        <f t="shared" si="628"/>
        <v>0</v>
      </c>
      <c r="F2054" s="31"/>
      <c r="G2054" s="31"/>
      <c r="H2054" s="31"/>
      <c r="I2054" s="56"/>
      <c r="J2054" s="56"/>
      <c r="K2054" s="82" t="str">
        <f t="shared" si="627"/>
        <v>Credit Memo</v>
      </c>
      <c r="L2054" s="83" t="str">
        <f>"SC_100351"</f>
        <v>SC_100351</v>
      </c>
      <c r="M2054" s="84">
        <v>43289</v>
      </c>
      <c r="N2054" s="85">
        <f t="shared" si="629"/>
        <v>523</v>
      </c>
      <c r="O2054" s="86">
        <f t="shared" si="630"/>
        <v>-50.95</v>
      </c>
      <c r="P2054" s="86">
        <f t="shared" si="631"/>
        <v>0</v>
      </c>
      <c r="Q2054" s="86">
        <f t="shared" si="632"/>
        <v>0</v>
      </c>
      <c r="R2054" s="86">
        <f t="shared" si="633"/>
        <v>0</v>
      </c>
      <c r="S2054" s="86">
        <f t="shared" si="634"/>
        <v>0</v>
      </c>
      <c r="T2054" s="86">
        <f t="shared" si="635"/>
        <v>-50.95</v>
      </c>
      <c r="U2054" s="87">
        <v>-50.95</v>
      </c>
    </row>
    <row r="2055" spans="1:21" s="30" customFormat="1" ht="24.6" hidden="1" outlineLevel="1" x14ac:dyDescent="0.55000000000000004">
      <c r="A2055" s="27" t="s">
        <v>327</v>
      </c>
      <c r="B2055" s="28"/>
      <c r="C2055" s="27"/>
      <c r="D2055" s="27" t="str">
        <f>"""NAV Direct"",""CRONUS JetCorp USA"",""21"",""1"",""431561"""</f>
        <v>"NAV Direct","CRONUS JetCorp USA","21","1","431561"</v>
      </c>
      <c r="E2055" s="31" t="str">
        <f t="shared" si="628"/>
        <v>C100066</v>
      </c>
      <c r="F2055" s="31"/>
      <c r="G2055" s="31"/>
      <c r="H2055" s="31"/>
      <c r="I2055" s="56"/>
      <c r="J2055" s="56"/>
      <c r="K2055" s="82" t="str">
        <f t="shared" si="627"/>
        <v>Credit Memo</v>
      </c>
      <c r="L2055" s="83" t="str">
        <f>"SC_100354"</f>
        <v>SC_100354</v>
      </c>
      <c r="M2055" s="84">
        <v>43383</v>
      </c>
      <c r="N2055" s="85">
        <f t="shared" si="629"/>
        <v>429</v>
      </c>
      <c r="O2055" s="86">
        <f t="shared" si="630"/>
        <v>-51.8</v>
      </c>
      <c r="P2055" s="86">
        <f t="shared" si="631"/>
        <v>0</v>
      </c>
      <c r="Q2055" s="86">
        <f t="shared" si="632"/>
        <v>0</v>
      </c>
      <c r="R2055" s="86">
        <f t="shared" si="633"/>
        <v>0</v>
      </c>
      <c r="S2055" s="86">
        <f t="shared" si="634"/>
        <v>0</v>
      </c>
      <c r="T2055" s="86">
        <f t="shared" si="635"/>
        <v>-51.8</v>
      </c>
      <c r="U2055" s="87">
        <v>-51.8</v>
      </c>
    </row>
    <row r="2056" spans="1:21" s="30" customFormat="1" ht="24.6" hidden="1" outlineLevel="1" x14ac:dyDescent="0.55000000000000004">
      <c r="A2056" s="27" t="s">
        <v>327</v>
      </c>
      <c r="B2056" s="28"/>
      <c r="C2056" s="27"/>
      <c r="D2056" s="27" t="str">
        <f>"""NAV Direct"",""CRONUS JetCorp USA"",""21"",""1"",""431574"""</f>
        <v>"NAV Direct","CRONUS JetCorp USA","21","1","431574"</v>
      </c>
      <c r="E2056" s="31">
        <f t="shared" si="628"/>
        <v>0</v>
      </c>
      <c r="F2056" s="31"/>
      <c r="G2056" s="31"/>
      <c r="H2056" s="31"/>
      <c r="I2056" s="56"/>
      <c r="J2056" s="56"/>
      <c r="K2056" s="82" t="str">
        <f t="shared" si="627"/>
        <v>Credit Memo</v>
      </c>
      <c r="L2056" s="83" t="str">
        <f>"SC_100355"</f>
        <v>SC_100355</v>
      </c>
      <c r="M2056" s="84">
        <v>43379</v>
      </c>
      <c r="N2056" s="85">
        <f t="shared" si="629"/>
        <v>433</v>
      </c>
      <c r="O2056" s="86">
        <f t="shared" si="630"/>
        <v>-50.59</v>
      </c>
      <c r="P2056" s="86">
        <f t="shared" si="631"/>
        <v>0</v>
      </c>
      <c r="Q2056" s="86">
        <f t="shared" si="632"/>
        <v>0</v>
      </c>
      <c r="R2056" s="86">
        <f t="shared" si="633"/>
        <v>0</v>
      </c>
      <c r="S2056" s="86">
        <f t="shared" si="634"/>
        <v>0</v>
      </c>
      <c r="T2056" s="86">
        <f t="shared" si="635"/>
        <v>-50.59</v>
      </c>
      <c r="U2056" s="87">
        <v>-50.59</v>
      </c>
    </row>
    <row r="2057" spans="1:21" s="30" customFormat="1" ht="24.6" hidden="1" outlineLevel="1" x14ac:dyDescent="0.55000000000000004">
      <c r="A2057" s="27" t="s">
        <v>327</v>
      </c>
      <c r="B2057" s="28"/>
      <c r="C2057" s="27"/>
      <c r="D2057" s="27" t="str">
        <f>"""NAV Direct"",""CRONUS JetCorp USA"",""21"",""1"",""431610"""</f>
        <v>"NAV Direct","CRONUS JetCorp USA","21","1","431610"</v>
      </c>
      <c r="E2057" s="31" t="str">
        <f t="shared" si="628"/>
        <v>C100066</v>
      </c>
      <c r="F2057" s="31"/>
      <c r="G2057" s="31"/>
      <c r="H2057" s="31"/>
      <c r="I2057" s="56"/>
      <c r="J2057" s="56"/>
      <c r="K2057" s="82" t="str">
        <f t="shared" si="627"/>
        <v>Credit Memo</v>
      </c>
      <c r="L2057" s="83" t="str">
        <f>"SC_100359"</f>
        <v>SC_100359</v>
      </c>
      <c r="M2057" s="84">
        <v>43418</v>
      </c>
      <c r="N2057" s="85">
        <f t="shared" si="629"/>
        <v>394</v>
      </c>
      <c r="O2057" s="86">
        <f t="shared" si="630"/>
        <v>-52.38</v>
      </c>
      <c r="P2057" s="86">
        <f t="shared" si="631"/>
        <v>0</v>
      </c>
      <c r="Q2057" s="86">
        <f t="shared" si="632"/>
        <v>0</v>
      </c>
      <c r="R2057" s="86">
        <f t="shared" si="633"/>
        <v>0</v>
      </c>
      <c r="S2057" s="86">
        <f t="shared" si="634"/>
        <v>0</v>
      </c>
      <c r="T2057" s="86">
        <f t="shared" si="635"/>
        <v>-52.38</v>
      </c>
      <c r="U2057" s="87">
        <v>-52.38</v>
      </c>
    </row>
    <row r="2058" spans="1:21" s="30" customFormat="1" ht="24.6" hidden="1" outlineLevel="1" x14ac:dyDescent="0.55000000000000004">
      <c r="A2058" s="27" t="s">
        <v>327</v>
      </c>
      <c r="B2058" s="28"/>
      <c r="C2058" s="27"/>
      <c r="D2058" s="27" t="str">
        <f>"""NAV Direct"",""CRONUS JetCorp USA"",""21"",""1"",""431673"""</f>
        <v>"NAV Direct","CRONUS JetCorp USA","21","1","431673"</v>
      </c>
      <c r="E2058" s="31">
        <f t="shared" si="628"/>
        <v>0</v>
      </c>
      <c r="F2058" s="31"/>
      <c r="G2058" s="31"/>
      <c r="H2058" s="31"/>
      <c r="I2058" s="56"/>
      <c r="J2058" s="56"/>
      <c r="K2058" s="82" t="str">
        <f t="shared" si="627"/>
        <v>Credit Memo</v>
      </c>
      <c r="L2058" s="83" t="str">
        <f>"SC_100364"</f>
        <v>SC_100364</v>
      </c>
      <c r="M2058" s="84">
        <v>43509</v>
      </c>
      <c r="N2058" s="85">
        <f t="shared" si="629"/>
        <v>303</v>
      </c>
      <c r="O2058" s="86">
        <f t="shared" si="630"/>
        <v>-53.44</v>
      </c>
      <c r="P2058" s="86">
        <f t="shared" si="631"/>
        <v>0</v>
      </c>
      <c r="Q2058" s="86">
        <f t="shared" si="632"/>
        <v>0</v>
      </c>
      <c r="R2058" s="86">
        <f t="shared" si="633"/>
        <v>0</v>
      </c>
      <c r="S2058" s="86">
        <f t="shared" si="634"/>
        <v>0</v>
      </c>
      <c r="T2058" s="86">
        <f t="shared" si="635"/>
        <v>-53.44</v>
      </c>
      <c r="U2058" s="87">
        <v>-53.44</v>
      </c>
    </row>
    <row r="2059" spans="1:21" s="30" customFormat="1" ht="24.6" hidden="1" outlineLevel="1" x14ac:dyDescent="0.55000000000000004">
      <c r="A2059" s="27" t="s">
        <v>327</v>
      </c>
      <c r="B2059" s="28"/>
      <c r="C2059" s="27"/>
      <c r="D2059" s="27" t="str">
        <f>"""NAV Direct"",""CRONUS JetCorp USA"",""21"",""1"",""431689"""</f>
        <v>"NAV Direct","CRONUS JetCorp USA","21","1","431689"</v>
      </c>
      <c r="E2059" s="31" t="str">
        <f t="shared" si="628"/>
        <v>C100066</v>
      </c>
      <c r="F2059" s="31"/>
      <c r="G2059" s="31"/>
      <c r="H2059" s="31"/>
      <c r="I2059" s="56"/>
      <c r="J2059" s="56"/>
      <c r="K2059" s="82" t="str">
        <f t="shared" si="627"/>
        <v>Credit Memo</v>
      </c>
      <c r="L2059" s="83" t="str">
        <f>"SC_100366"</f>
        <v>SC_100366</v>
      </c>
      <c r="M2059" s="84">
        <v>43563</v>
      </c>
      <c r="N2059" s="85">
        <f t="shared" si="629"/>
        <v>249</v>
      </c>
      <c r="O2059" s="86">
        <f t="shared" si="630"/>
        <v>-55.859999999999992</v>
      </c>
      <c r="P2059" s="86">
        <f t="shared" si="631"/>
        <v>0</v>
      </c>
      <c r="Q2059" s="86">
        <f t="shared" si="632"/>
        <v>0</v>
      </c>
      <c r="R2059" s="86">
        <f t="shared" si="633"/>
        <v>0</v>
      </c>
      <c r="S2059" s="86">
        <f t="shared" si="634"/>
        <v>0</v>
      </c>
      <c r="T2059" s="86">
        <f t="shared" si="635"/>
        <v>-55.859999999999992</v>
      </c>
      <c r="U2059" s="87">
        <v>-55.859999999999992</v>
      </c>
    </row>
    <row r="2060" spans="1:21" s="30" customFormat="1" ht="24.6" hidden="1" outlineLevel="1" x14ac:dyDescent="0.55000000000000004">
      <c r="A2060" s="27" t="s">
        <v>327</v>
      </c>
      <c r="B2060" s="28"/>
      <c r="C2060" s="27"/>
      <c r="D2060" s="27" t="str">
        <f>"""NAV Direct"",""CRONUS JetCorp USA"",""21"",""1"",""431757"""</f>
        <v>"NAV Direct","CRONUS JetCorp USA","21","1","431757"</v>
      </c>
      <c r="E2060" s="31">
        <f t="shared" si="628"/>
        <v>0</v>
      </c>
      <c r="F2060" s="31"/>
      <c r="G2060" s="31"/>
      <c r="H2060" s="31"/>
      <c r="I2060" s="56"/>
      <c r="J2060" s="56"/>
      <c r="K2060" s="82" t="str">
        <f t="shared" si="627"/>
        <v>Credit Memo</v>
      </c>
      <c r="L2060" s="83" t="str">
        <f>"SC_100372"</f>
        <v>SC_100372</v>
      </c>
      <c r="M2060" s="84">
        <v>43772</v>
      </c>
      <c r="N2060" s="85">
        <f t="shared" si="629"/>
        <v>40</v>
      </c>
      <c r="O2060" s="86">
        <f t="shared" si="630"/>
        <v>-60.26</v>
      </c>
      <c r="P2060" s="86">
        <f t="shared" si="631"/>
        <v>0</v>
      </c>
      <c r="Q2060" s="86">
        <f t="shared" si="632"/>
        <v>0</v>
      </c>
      <c r="R2060" s="86">
        <f t="shared" si="633"/>
        <v>-60.26</v>
      </c>
      <c r="S2060" s="86">
        <f t="shared" si="634"/>
        <v>0</v>
      </c>
      <c r="T2060" s="86">
        <f t="shared" si="635"/>
        <v>0</v>
      </c>
      <c r="U2060" s="87">
        <v>-60.26</v>
      </c>
    </row>
    <row r="2061" spans="1:21" s="30" customFormat="1" ht="24.6" hidden="1" outlineLevel="1" x14ac:dyDescent="0.55000000000000004">
      <c r="A2061" s="27" t="s">
        <v>327</v>
      </c>
      <c r="B2061" s="28"/>
      <c r="C2061" s="27"/>
      <c r="D2061" s="27" t="str">
        <f>"""NAV Direct"",""CRONUS JetCorp USA"",""21"",""1"",""431770"""</f>
        <v>"NAV Direct","CRONUS JetCorp USA","21","1","431770"</v>
      </c>
      <c r="E2061" s="31" t="str">
        <f t="shared" si="628"/>
        <v>C100066</v>
      </c>
      <c r="F2061" s="31"/>
      <c r="G2061" s="31"/>
      <c r="H2061" s="31"/>
      <c r="I2061" s="56"/>
      <c r="J2061" s="56"/>
      <c r="K2061" s="82" t="str">
        <f t="shared" si="627"/>
        <v>Credit Memo</v>
      </c>
      <c r="L2061" s="83" t="str">
        <f>"SC_100373"</f>
        <v>SC_100373</v>
      </c>
      <c r="M2061" s="84">
        <v>43819</v>
      </c>
      <c r="N2061" s="85">
        <f t="shared" si="629"/>
        <v>-7</v>
      </c>
      <c r="O2061" s="86">
        <f t="shared" si="630"/>
        <v>-62.43</v>
      </c>
      <c r="P2061" s="86">
        <f t="shared" si="631"/>
        <v>-62.43</v>
      </c>
      <c r="Q2061" s="86">
        <f t="shared" si="632"/>
        <v>0</v>
      </c>
      <c r="R2061" s="86">
        <f t="shared" si="633"/>
        <v>0</v>
      </c>
      <c r="S2061" s="86">
        <f t="shared" si="634"/>
        <v>0</v>
      </c>
      <c r="T2061" s="86">
        <f t="shared" si="635"/>
        <v>0</v>
      </c>
      <c r="U2061" s="87">
        <v>-62.43</v>
      </c>
    </row>
    <row r="2062" spans="1:21" s="30" customFormat="1" ht="24.6" hidden="1" outlineLevel="1" x14ac:dyDescent="0.55000000000000004">
      <c r="A2062" s="27" t="s">
        <v>327</v>
      </c>
      <c r="B2062" s="28"/>
      <c r="C2062" s="27"/>
      <c r="D2062" s="27" t="str">
        <f>"""NAV Direct"",""CRONUS JetCorp USA"",""21"",""1"",""431801"""</f>
        <v>"NAV Direct","CRONUS JetCorp USA","21","1","431801"</v>
      </c>
      <c r="E2062" s="31">
        <f t="shared" si="628"/>
        <v>0</v>
      </c>
      <c r="F2062" s="31"/>
      <c r="G2062" s="31"/>
      <c r="H2062" s="31"/>
      <c r="I2062" s="56"/>
      <c r="J2062" s="56"/>
      <c r="K2062" s="82" t="str">
        <f t="shared" si="627"/>
        <v>Credit Memo</v>
      </c>
      <c r="L2062" s="83" t="str">
        <f>"SC_100376"</f>
        <v>SC_100376</v>
      </c>
      <c r="M2062" s="84">
        <v>42103</v>
      </c>
      <c r="N2062" s="85">
        <f t="shared" si="629"/>
        <v>1709</v>
      </c>
      <c r="O2062" s="86">
        <f t="shared" si="630"/>
        <v>-62.26</v>
      </c>
      <c r="P2062" s="86">
        <f t="shared" si="631"/>
        <v>0</v>
      </c>
      <c r="Q2062" s="86">
        <f t="shared" si="632"/>
        <v>0</v>
      </c>
      <c r="R2062" s="86">
        <f t="shared" si="633"/>
        <v>0</v>
      </c>
      <c r="S2062" s="86">
        <f t="shared" si="634"/>
        <v>0</v>
      </c>
      <c r="T2062" s="86">
        <f t="shared" si="635"/>
        <v>-62.26</v>
      </c>
      <c r="U2062" s="87">
        <v>-62.26</v>
      </c>
    </row>
    <row r="2063" spans="1:21" s="30" customFormat="1" ht="24.6" hidden="1" outlineLevel="1" x14ac:dyDescent="0.55000000000000004">
      <c r="A2063" s="27" t="s">
        <v>327</v>
      </c>
      <c r="B2063" s="28"/>
      <c r="C2063" s="27"/>
      <c r="D2063" s="27" t="str">
        <f>"""NAV Direct"",""CRONUS JetCorp USA"",""21"",""1"",""431855"""</f>
        <v>"NAV Direct","CRONUS JetCorp USA","21","1","431855"</v>
      </c>
      <c r="E2063" s="31" t="str">
        <f t="shared" si="628"/>
        <v>C100066</v>
      </c>
      <c r="F2063" s="31"/>
      <c r="G2063" s="31"/>
      <c r="H2063" s="31"/>
      <c r="I2063" s="56"/>
      <c r="J2063" s="56"/>
      <c r="K2063" s="82" t="str">
        <f t="shared" si="627"/>
        <v>Credit Memo</v>
      </c>
      <c r="L2063" s="83" t="str">
        <f>"SC_100380"</f>
        <v>SC_100380</v>
      </c>
      <c r="M2063" s="84">
        <v>42166</v>
      </c>
      <c r="N2063" s="85">
        <f t="shared" si="629"/>
        <v>1646</v>
      </c>
      <c r="O2063" s="86">
        <f t="shared" si="630"/>
        <v>-64.959999999999994</v>
      </c>
      <c r="P2063" s="86">
        <f t="shared" si="631"/>
        <v>0</v>
      </c>
      <c r="Q2063" s="86">
        <f t="shared" si="632"/>
        <v>0</v>
      </c>
      <c r="R2063" s="86">
        <f t="shared" si="633"/>
        <v>0</v>
      </c>
      <c r="S2063" s="86">
        <f t="shared" si="634"/>
        <v>0</v>
      </c>
      <c r="T2063" s="86">
        <f t="shared" si="635"/>
        <v>-64.959999999999994</v>
      </c>
      <c r="U2063" s="87">
        <v>-64.959999999999994</v>
      </c>
    </row>
    <row r="2064" spans="1:21" s="30" customFormat="1" ht="24.6" hidden="1" outlineLevel="1" x14ac:dyDescent="0.55000000000000004">
      <c r="A2064" s="27" t="s">
        <v>327</v>
      </c>
      <c r="B2064" s="28"/>
      <c r="C2064" s="27"/>
      <c r="D2064" s="27" t="str">
        <f>"""NAV Direct"",""CRONUS JetCorp USA"",""21"",""1"",""431911"""</f>
        <v>"NAV Direct","CRONUS JetCorp USA","21","1","431911"</v>
      </c>
      <c r="E2064" s="31">
        <f t="shared" si="628"/>
        <v>0</v>
      </c>
      <c r="F2064" s="31"/>
      <c r="G2064" s="31"/>
      <c r="H2064" s="31"/>
      <c r="I2064" s="56"/>
      <c r="J2064" s="56"/>
      <c r="K2064" s="82" t="str">
        <f t="shared" si="627"/>
        <v>Credit Memo</v>
      </c>
      <c r="L2064" s="83" t="str">
        <f>"SC_100384"</f>
        <v>SC_100384</v>
      </c>
      <c r="M2064" s="84">
        <v>42264</v>
      </c>
      <c r="N2064" s="85">
        <f t="shared" si="629"/>
        <v>1548</v>
      </c>
      <c r="O2064" s="86">
        <f t="shared" si="630"/>
        <v>-58.860000000000007</v>
      </c>
      <c r="P2064" s="86">
        <f t="shared" si="631"/>
        <v>0</v>
      </c>
      <c r="Q2064" s="86">
        <f t="shared" si="632"/>
        <v>0</v>
      </c>
      <c r="R2064" s="86">
        <f t="shared" si="633"/>
        <v>0</v>
      </c>
      <c r="S2064" s="86">
        <f t="shared" si="634"/>
        <v>0</v>
      </c>
      <c r="T2064" s="86">
        <f t="shared" si="635"/>
        <v>-58.860000000000007</v>
      </c>
      <c r="U2064" s="87">
        <v>-58.860000000000007</v>
      </c>
    </row>
    <row r="2065" spans="1:22" s="30" customFormat="1" ht="24.6" hidden="1" outlineLevel="1" x14ac:dyDescent="0.55000000000000004">
      <c r="A2065" s="27" t="s">
        <v>327</v>
      </c>
      <c r="B2065" s="28"/>
      <c r="C2065" s="27"/>
      <c r="D2065" s="27" t="str">
        <f>"""NAV Direct"",""CRONUS JetCorp USA"",""21"",""1"",""431926"""</f>
        <v>"NAV Direct","CRONUS JetCorp USA","21","1","431926"</v>
      </c>
      <c r="E2065" s="31" t="str">
        <f t="shared" si="628"/>
        <v>C100066</v>
      </c>
      <c r="F2065" s="31"/>
      <c r="G2065" s="31"/>
      <c r="H2065" s="31"/>
      <c r="I2065" s="56"/>
      <c r="J2065" s="56"/>
      <c r="K2065" s="82" t="str">
        <f t="shared" si="627"/>
        <v>Credit Memo</v>
      </c>
      <c r="L2065" s="83" t="str">
        <f>"SC_100385"</f>
        <v>SC_100385</v>
      </c>
      <c r="M2065" s="84">
        <v>42288</v>
      </c>
      <c r="N2065" s="85">
        <f t="shared" si="629"/>
        <v>1524</v>
      </c>
      <c r="O2065" s="86">
        <f t="shared" si="630"/>
        <v>-64.53</v>
      </c>
      <c r="P2065" s="86">
        <f t="shared" si="631"/>
        <v>0</v>
      </c>
      <c r="Q2065" s="86">
        <f t="shared" si="632"/>
        <v>0</v>
      </c>
      <c r="R2065" s="86">
        <f t="shared" si="633"/>
        <v>0</v>
      </c>
      <c r="S2065" s="86">
        <f t="shared" si="634"/>
        <v>0</v>
      </c>
      <c r="T2065" s="86">
        <f t="shared" si="635"/>
        <v>-64.53</v>
      </c>
      <c r="U2065" s="87">
        <v>-64.53</v>
      </c>
    </row>
    <row r="2066" spans="1:22" s="22" customFormat="1" ht="20.399999999999999" collapsed="1" x14ac:dyDescent="0.45">
      <c r="A2066" s="12" t="s">
        <v>327</v>
      </c>
      <c r="B2066" s="19"/>
      <c r="C2066" s="12"/>
      <c r="D2066" s="12"/>
      <c r="E2066" s="23"/>
      <c r="F2066" s="23"/>
      <c r="G2066" s="23"/>
      <c r="H2066" s="23"/>
      <c r="I2066" s="49"/>
      <c r="J2066" s="88"/>
      <c r="K2066" s="88"/>
      <c r="L2066" s="89"/>
      <c r="M2066" s="89"/>
      <c r="N2066" s="89"/>
      <c r="O2066" s="89"/>
      <c r="P2066" s="89"/>
      <c r="Q2066" s="90"/>
      <c r="R2066" s="90"/>
      <c r="S2066" s="91"/>
      <c r="T2066" s="92"/>
      <c r="U2066" s="92"/>
    </row>
    <row r="2067" spans="1:22" s="22" customFormat="1" ht="20.399999999999999" x14ac:dyDescent="0.45">
      <c r="A2067" s="12" t="s">
        <v>327</v>
      </c>
      <c r="B2067" s="19"/>
      <c r="C2067" s="12"/>
      <c r="D2067" s="12"/>
      <c r="E2067" s="23"/>
      <c r="F2067" s="23"/>
      <c r="G2067" s="23"/>
      <c r="H2067" s="23"/>
      <c r="I2067" s="49"/>
      <c r="J2067" s="88"/>
      <c r="K2067" s="88"/>
      <c r="L2067" s="89"/>
      <c r="M2067" s="89"/>
      <c r="N2067" s="89"/>
      <c r="O2067" s="89"/>
      <c r="P2067" s="89"/>
      <c r="Q2067" s="90"/>
      <c r="R2067" s="90"/>
      <c r="S2067" s="91"/>
      <c r="T2067" s="92"/>
      <c r="U2067" s="92"/>
    </row>
    <row r="2068" spans="1:22" s="26" customFormat="1" ht="24.6" x14ac:dyDescent="0.55000000000000004">
      <c r="A2068" s="27" t="s">
        <v>327</v>
      </c>
      <c r="B2068" s="28"/>
      <c r="C2068" s="27" t="str">
        <f>"""NAV Direct"",""CRONUS JetCorp USA"",""18"",""1"",""C100068"""</f>
        <v>"NAV Direct","CRONUS JetCorp USA","18","1","C100068"</v>
      </c>
      <c r="D2068" s="27"/>
      <c r="E2068" s="28" t="str">
        <f>H2068</f>
        <v>C100068</v>
      </c>
      <c r="F2068" s="28"/>
      <c r="G2068" s="28"/>
      <c r="H2068" s="28" t="str">
        <f>"C100068"</f>
        <v>C100068</v>
      </c>
      <c r="I2068" s="116" t="str">
        <f>"C100068  -  Outdoor Gear Unlimited"</f>
        <v>C100068  -  Outdoor Gear Unlimited</v>
      </c>
      <c r="J2068" s="117" t="str">
        <f>""</f>
        <v/>
      </c>
      <c r="K2068" s="118"/>
      <c r="L2068" s="119">
        <f>SUBTOTAL(3,L2069:L2083)</f>
        <v>11</v>
      </c>
      <c r="M2068" s="118"/>
      <c r="N2068" s="118"/>
      <c r="O2068" s="120">
        <f t="shared" ref="O2068:T2068" si="636">SUBTOTAL(9,O2069:O2083)</f>
        <v>61821.64</v>
      </c>
      <c r="P2068" s="120">
        <f t="shared" si="636"/>
        <v>0</v>
      </c>
      <c r="Q2068" s="120">
        <f t="shared" si="636"/>
        <v>0</v>
      </c>
      <c r="R2068" s="120">
        <f t="shared" si="636"/>
        <v>0</v>
      </c>
      <c r="S2068" s="120">
        <f t="shared" si="636"/>
        <v>0</v>
      </c>
      <c r="T2068" s="120">
        <f t="shared" si="636"/>
        <v>61821.64</v>
      </c>
      <c r="U2068" s="81"/>
    </row>
    <row r="2069" spans="1:22" s="26" customFormat="1" ht="24.6" x14ac:dyDescent="0.55000000000000004">
      <c r="A2069" s="27" t="s">
        <v>327</v>
      </c>
      <c r="B2069" s="28"/>
      <c r="C2069" s="27" t="str">
        <f>C2068</f>
        <v>"NAV Direct","CRONUS JetCorp USA","18","1","C100068"</v>
      </c>
      <c r="D2069" s="27"/>
      <c r="E2069" s="28" t="str">
        <f>E2068</f>
        <v>C100068</v>
      </c>
      <c r="F2069" s="28"/>
      <c r="G2069" s="28"/>
      <c r="H2069" s="28"/>
      <c r="I2069" s="121" t="str">
        <f>"Contact: Sara Kline"</f>
        <v>Contact: Sara Kline</v>
      </c>
      <c r="J2069" s="121"/>
      <c r="K2069" s="122"/>
      <c r="L2069" s="123"/>
      <c r="M2069" s="123"/>
      <c r="N2069" s="124"/>
      <c r="O2069" s="124"/>
      <c r="P2069" s="123"/>
      <c r="Q2069" s="125"/>
      <c r="R2069" s="126"/>
      <c r="S2069" s="126"/>
      <c r="T2069" s="125"/>
      <c r="U2069" s="81"/>
    </row>
    <row r="2070" spans="1:22" s="26" customFormat="1" ht="24.6" x14ac:dyDescent="0.55000000000000004">
      <c r="A2070" s="27" t="s">
        <v>327</v>
      </c>
      <c r="B2070" s="28"/>
      <c r="C2070" s="27" t="str">
        <f>C2069</f>
        <v>"NAV Direct","CRONUS JetCorp USA","18","1","C100068"</v>
      </c>
      <c r="D2070" s="27"/>
      <c r="E2070" s="28" t="str">
        <f>E2069</f>
        <v>C100068</v>
      </c>
      <c r="F2070" s="28"/>
      <c r="G2070" s="28"/>
      <c r="H2070" s="28"/>
      <c r="I2070" s="121" t="str">
        <f>"Metatorad Malaysia Sdn Bhd@cronuscorp.net"</f>
        <v>Metatorad Malaysia Sdn Bhd@cronuscorp.net</v>
      </c>
      <c r="J2070" s="121"/>
      <c r="K2070" s="122"/>
      <c r="L2070" s="124"/>
      <c r="M2070" s="124"/>
      <c r="N2070" s="124"/>
      <c r="O2070" s="124"/>
      <c r="P2070" s="123"/>
      <c r="Q2070" s="125"/>
      <c r="R2070" s="126"/>
      <c r="S2070" s="126"/>
      <c r="T2070" s="125"/>
      <c r="U2070" s="81"/>
    </row>
    <row r="2071" spans="1:22" ht="12.75" hidden="1" customHeight="1" outlineLevel="1" x14ac:dyDescent="0.45">
      <c r="A2071" s="12" t="s">
        <v>328</v>
      </c>
      <c r="B2071" s="19"/>
      <c r="E2071" s="19"/>
      <c r="F2071" s="19"/>
      <c r="G2071" s="19"/>
      <c r="H2071" s="19"/>
      <c r="I2071" s="61"/>
      <c r="J2071" s="61"/>
      <c r="K2071" s="61"/>
      <c r="L2071" s="61"/>
      <c r="M2071" s="61"/>
      <c r="N2071" s="61"/>
      <c r="O2071" s="61"/>
      <c r="P2071" s="61"/>
      <c r="Q2071" s="61"/>
      <c r="R2071" s="61"/>
      <c r="S2071" s="61"/>
      <c r="T2071" s="61"/>
      <c r="U2071" s="61"/>
      <c r="V2071" s="21"/>
    </row>
    <row r="2072" spans="1:22" s="30" customFormat="1" ht="24.6" hidden="1" outlineLevel="1" x14ac:dyDescent="0.55000000000000004">
      <c r="A2072" s="27" t="s">
        <v>327</v>
      </c>
      <c r="B2072" s="28"/>
      <c r="C2072" s="27"/>
      <c r="D2072" s="27" t="str">
        <f>"""NAV Direct"",""CRONUS JetCorp USA"",""21"",""1"",""190599"""</f>
        <v>"NAV Direct","CRONUS JetCorp USA","21","1","190599"</v>
      </c>
      <c r="E2072" s="31" t="str">
        <f t="shared" ref="E2072:E2082" si="637">E2070</f>
        <v>C100068</v>
      </c>
      <c r="F2072" s="31"/>
      <c r="G2072" s="31"/>
      <c r="H2072" s="31"/>
      <c r="I2072" s="56"/>
      <c r="J2072" s="56"/>
      <c r="K2072" s="82" t="str">
        <f t="shared" ref="K2072:K2079" si="638">"Invoice"</f>
        <v>Invoice</v>
      </c>
      <c r="L2072" s="83" t="str">
        <f>"SI_108022"</f>
        <v>SI_108022</v>
      </c>
      <c r="M2072" s="84">
        <v>42006</v>
      </c>
      <c r="N2072" s="85">
        <f t="shared" ref="N2072:N2082" si="639">StartDate-$M2072+1</f>
        <v>1806</v>
      </c>
      <c r="O2072" s="86">
        <f t="shared" ref="O2072:O2082" si="640">SUM(P2072:T2072)</f>
        <v>7543.32</v>
      </c>
      <c r="P2072" s="86">
        <f t="shared" ref="P2072:P2082" si="641">IF($M2072&gt;=$P$18,U2072,0)</f>
        <v>0</v>
      </c>
      <c r="Q2072" s="86">
        <f t="shared" ref="Q2072:Q2082" si="642">IF(AND($M2072&gt;=$Q$16,$M2072&lt;=$Q$18),U2072,0)</f>
        <v>0</v>
      </c>
      <c r="R2072" s="86">
        <f t="shared" ref="R2072:R2082" si="643">IF(AND($M2072&gt;=$R$16,$M2072&lt;=$R$18),U2072,0)</f>
        <v>0</v>
      </c>
      <c r="S2072" s="86">
        <f t="shared" ref="S2072:S2082" si="644">IF(AND($M2072&gt;=$S$16,$M2072&lt;=$S$18),U2072,0)</f>
        <v>0</v>
      </c>
      <c r="T2072" s="86">
        <f t="shared" ref="T2072:T2082" si="645">IF($M2072&lt;=$T$18,U2072,0)</f>
        <v>7543.32</v>
      </c>
      <c r="U2072" s="87">
        <v>7543.32</v>
      </c>
    </row>
    <row r="2073" spans="1:22" s="30" customFormat="1" ht="24.6" hidden="1" outlineLevel="1" x14ac:dyDescent="0.55000000000000004">
      <c r="A2073" s="27" t="s">
        <v>327</v>
      </c>
      <c r="B2073" s="28"/>
      <c r="C2073" s="27"/>
      <c r="D2073" s="27" t="str">
        <f>"""NAV Direct"",""CRONUS JetCorp USA"",""21"",""1"",""191365"""</f>
        <v>"NAV Direct","CRONUS JetCorp USA","21","1","191365"</v>
      </c>
      <c r="E2073" s="31">
        <f t="shared" si="637"/>
        <v>0</v>
      </c>
      <c r="F2073" s="31"/>
      <c r="G2073" s="31"/>
      <c r="H2073" s="31"/>
      <c r="I2073" s="56"/>
      <c r="J2073" s="56"/>
      <c r="K2073" s="82" t="str">
        <f t="shared" si="638"/>
        <v>Invoice</v>
      </c>
      <c r="L2073" s="83" t="str">
        <f>"SI_108036"</f>
        <v>SI_108036</v>
      </c>
      <c r="M2073" s="84">
        <v>42118</v>
      </c>
      <c r="N2073" s="85">
        <f t="shared" si="639"/>
        <v>1694</v>
      </c>
      <c r="O2073" s="86">
        <f t="shared" si="640"/>
        <v>7904.4000000000005</v>
      </c>
      <c r="P2073" s="86">
        <f t="shared" si="641"/>
        <v>0</v>
      </c>
      <c r="Q2073" s="86">
        <f t="shared" si="642"/>
        <v>0</v>
      </c>
      <c r="R2073" s="86">
        <f t="shared" si="643"/>
        <v>0</v>
      </c>
      <c r="S2073" s="86">
        <f t="shared" si="644"/>
        <v>0</v>
      </c>
      <c r="T2073" s="86">
        <f t="shared" si="645"/>
        <v>7904.4000000000005</v>
      </c>
      <c r="U2073" s="87">
        <v>7904.4000000000005</v>
      </c>
    </row>
    <row r="2074" spans="1:22" s="30" customFormat="1" ht="24.6" hidden="1" outlineLevel="1" x14ac:dyDescent="0.55000000000000004">
      <c r="A2074" s="27" t="s">
        <v>327</v>
      </c>
      <c r="B2074" s="28"/>
      <c r="C2074" s="27"/>
      <c r="D2074" s="27" t="str">
        <f>"""NAV Direct"",""CRONUS JetCorp USA"",""21"",""1"",""192087"""</f>
        <v>"NAV Direct","CRONUS JetCorp USA","21","1","192087"</v>
      </c>
      <c r="E2074" s="31" t="str">
        <f t="shared" si="637"/>
        <v>C100068</v>
      </c>
      <c r="F2074" s="31"/>
      <c r="G2074" s="31"/>
      <c r="H2074" s="31"/>
      <c r="I2074" s="56"/>
      <c r="J2074" s="56"/>
      <c r="K2074" s="82" t="str">
        <f t="shared" si="638"/>
        <v>Invoice</v>
      </c>
      <c r="L2074" s="83" t="str">
        <f>"SI_108048"</f>
        <v>SI_108048</v>
      </c>
      <c r="M2074" s="84">
        <v>42208</v>
      </c>
      <c r="N2074" s="85">
        <f t="shared" si="639"/>
        <v>1604</v>
      </c>
      <c r="O2074" s="86">
        <f t="shared" si="640"/>
        <v>7819.5099999999993</v>
      </c>
      <c r="P2074" s="86">
        <f t="shared" si="641"/>
        <v>0</v>
      </c>
      <c r="Q2074" s="86">
        <f t="shared" si="642"/>
        <v>0</v>
      </c>
      <c r="R2074" s="86">
        <f t="shared" si="643"/>
        <v>0</v>
      </c>
      <c r="S2074" s="86">
        <f t="shared" si="644"/>
        <v>0</v>
      </c>
      <c r="T2074" s="86">
        <f t="shared" si="645"/>
        <v>7819.5099999999993</v>
      </c>
      <c r="U2074" s="87">
        <v>7819.5099999999993</v>
      </c>
    </row>
    <row r="2075" spans="1:22" s="30" customFormat="1" ht="24.6" hidden="1" outlineLevel="1" x14ac:dyDescent="0.55000000000000004">
      <c r="A2075" s="27" t="s">
        <v>327</v>
      </c>
      <c r="B2075" s="28"/>
      <c r="C2075" s="27"/>
      <c r="D2075" s="27" t="str">
        <f>"""NAV Direct"",""CRONUS JetCorp USA"",""21"",""1"",""192211"""</f>
        <v>"NAV Direct","CRONUS JetCorp USA","21","1","192211"</v>
      </c>
      <c r="E2075" s="31">
        <f t="shared" si="637"/>
        <v>0</v>
      </c>
      <c r="F2075" s="31"/>
      <c r="G2075" s="31"/>
      <c r="H2075" s="31"/>
      <c r="I2075" s="56"/>
      <c r="J2075" s="56"/>
      <c r="K2075" s="82" t="str">
        <f t="shared" si="638"/>
        <v>Invoice</v>
      </c>
      <c r="L2075" s="83" t="str">
        <f>"SI_108050"</f>
        <v>SI_108050</v>
      </c>
      <c r="M2075" s="84">
        <v>42218</v>
      </c>
      <c r="N2075" s="85">
        <f t="shared" si="639"/>
        <v>1594</v>
      </c>
      <c r="O2075" s="86">
        <f t="shared" si="640"/>
        <v>7819.36</v>
      </c>
      <c r="P2075" s="86">
        <f t="shared" si="641"/>
        <v>0</v>
      </c>
      <c r="Q2075" s="86">
        <f t="shared" si="642"/>
        <v>0</v>
      </c>
      <c r="R2075" s="86">
        <f t="shared" si="643"/>
        <v>0</v>
      </c>
      <c r="S2075" s="86">
        <f t="shared" si="644"/>
        <v>0</v>
      </c>
      <c r="T2075" s="86">
        <f t="shared" si="645"/>
        <v>7819.36</v>
      </c>
      <c r="U2075" s="87">
        <v>7819.36</v>
      </c>
    </row>
    <row r="2076" spans="1:22" s="30" customFormat="1" ht="24.6" hidden="1" outlineLevel="1" x14ac:dyDescent="0.55000000000000004">
      <c r="A2076" s="27" t="s">
        <v>327</v>
      </c>
      <c r="B2076" s="28"/>
      <c r="C2076" s="27"/>
      <c r="D2076" s="27" t="str">
        <f>"""NAV Direct"",""CRONUS JetCorp USA"",""21"",""1"",""192648"""</f>
        <v>"NAV Direct","CRONUS JetCorp USA","21","1","192648"</v>
      </c>
      <c r="E2076" s="31" t="str">
        <f t="shared" si="637"/>
        <v>C100068</v>
      </c>
      <c r="F2076" s="31"/>
      <c r="G2076" s="31"/>
      <c r="H2076" s="31"/>
      <c r="I2076" s="56"/>
      <c r="J2076" s="56"/>
      <c r="K2076" s="82" t="str">
        <f t="shared" si="638"/>
        <v>Invoice</v>
      </c>
      <c r="L2076" s="83" t="str">
        <f>"SI_108057"</f>
        <v>SI_108057</v>
      </c>
      <c r="M2076" s="84">
        <v>42268</v>
      </c>
      <c r="N2076" s="85">
        <f t="shared" si="639"/>
        <v>1544</v>
      </c>
      <c r="O2076" s="86">
        <f t="shared" si="640"/>
        <v>7669.829999999999</v>
      </c>
      <c r="P2076" s="86">
        <f t="shared" si="641"/>
        <v>0</v>
      </c>
      <c r="Q2076" s="86">
        <f t="shared" si="642"/>
        <v>0</v>
      </c>
      <c r="R2076" s="86">
        <f t="shared" si="643"/>
        <v>0</v>
      </c>
      <c r="S2076" s="86">
        <f t="shared" si="644"/>
        <v>0</v>
      </c>
      <c r="T2076" s="86">
        <f t="shared" si="645"/>
        <v>7669.829999999999</v>
      </c>
      <c r="U2076" s="87">
        <v>7669.829999999999</v>
      </c>
    </row>
    <row r="2077" spans="1:22" s="30" customFormat="1" ht="24.6" hidden="1" outlineLevel="1" x14ac:dyDescent="0.55000000000000004">
      <c r="A2077" s="27" t="s">
        <v>327</v>
      </c>
      <c r="B2077" s="28"/>
      <c r="C2077" s="27"/>
      <c r="D2077" s="27" t="str">
        <f>"""NAV Direct"",""CRONUS JetCorp USA"",""21"",""1"",""192699"""</f>
        <v>"NAV Direct","CRONUS JetCorp USA","21","1","192699"</v>
      </c>
      <c r="E2077" s="31">
        <f t="shared" si="637"/>
        <v>0</v>
      </c>
      <c r="F2077" s="31"/>
      <c r="G2077" s="31"/>
      <c r="H2077" s="31"/>
      <c r="I2077" s="56"/>
      <c r="J2077" s="56"/>
      <c r="K2077" s="82" t="str">
        <f t="shared" si="638"/>
        <v>Invoice</v>
      </c>
      <c r="L2077" s="83" t="str">
        <f>"SI_108058"</f>
        <v>SI_108058</v>
      </c>
      <c r="M2077" s="84">
        <v>42267</v>
      </c>
      <c r="N2077" s="85">
        <f t="shared" si="639"/>
        <v>1545</v>
      </c>
      <c r="O2077" s="86">
        <f t="shared" si="640"/>
        <v>7749.1399999999994</v>
      </c>
      <c r="P2077" s="86">
        <f t="shared" si="641"/>
        <v>0</v>
      </c>
      <c r="Q2077" s="86">
        <f t="shared" si="642"/>
        <v>0</v>
      </c>
      <c r="R2077" s="86">
        <f t="shared" si="643"/>
        <v>0</v>
      </c>
      <c r="S2077" s="86">
        <f t="shared" si="644"/>
        <v>0</v>
      </c>
      <c r="T2077" s="86">
        <f t="shared" si="645"/>
        <v>7749.1399999999994</v>
      </c>
      <c r="U2077" s="87">
        <v>7749.1399999999994</v>
      </c>
    </row>
    <row r="2078" spans="1:22" s="30" customFormat="1" ht="24.6" hidden="1" outlineLevel="1" x14ac:dyDescent="0.55000000000000004">
      <c r="A2078" s="27" t="s">
        <v>327</v>
      </c>
      <c r="B2078" s="28"/>
      <c r="C2078" s="27"/>
      <c r="D2078" s="27" t="str">
        <f>"""NAV Direct"",""CRONUS JetCorp USA"",""21"",""1"",""193409"""</f>
        <v>"NAV Direct","CRONUS JetCorp USA","21","1","193409"</v>
      </c>
      <c r="E2078" s="31" t="str">
        <f t="shared" si="637"/>
        <v>C100068</v>
      </c>
      <c r="F2078" s="31"/>
      <c r="G2078" s="31"/>
      <c r="H2078" s="31"/>
      <c r="I2078" s="56"/>
      <c r="J2078" s="56"/>
      <c r="K2078" s="82" t="str">
        <f t="shared" si="638"/>
        <v>Invoice</v>
      </c>
      <c r="L2078" s="83" t="str">
        <f>"SI_108070"</f>
        <v>SI_108070</v>
      </c>
      <c r="M2078" s="84">
        <v>42365</v>
      </c>
      <c r="N2078" s="85">
        <f t="shared" si="639"/>
        <v>1447</v>
      </c>
      <c r="O2078" s="86">
        <f t="shared" si="640"/>
        <v>7772.15</v>
      </c>
      <c r="P2078" s="86">
        <f t="shared" si="641"/>
        <v>0</v>
      </c>
      <c r="Q2078" s="86">
        <f t="shared" si="642"/>
        <v>0</v>
      </c>
      <c r="R2078" s="86">
        <f t="shared" si="643"/>
        <v>0</v>
      </c>
      <c r="S2078" s="86">
        <f t="shared" si="644"/>
        <v>0</v>
      </c>
      <c r="T2078" s="86">
        <f t="shared" si="645"/>
        <v>7772.15</v>
      </c>
      <c r="U2078" s="87">
        <v>7772.15</v>
      </c>
    </row>
    <row r="2079" spans="1:22" s="30" customFormat="1" ht="24.6" hidden="1" outlineLevel="1" x14ac:dyDescent="0.55000000000000004">
      <c r="A2079" s="27" t="s">
        <v>327</v>
      </c>
      <c r="B2079" s="28"/>
      <c r="C2079" s="27"/>
      <c r="D2079" s="27" t="str">
        <f>"""NAV Direct"",""CRONUS JetCorp USA"",""21"",""1"",""193458"""</f>
        <v>"NAV Direct","CRONUS JetCorp USA","21","1","193458"</v>
      </c>
      <c r="E2079" s="31">
        <f t="shared" si="637"/>
        <v>0</v>
      </c>
      <c r="F2079" s="31"/>
      <c r="G2079" s="31"/>
      <c r="H2079" s="31"/>
      <c r="I2079" s="56"/>
      <c r="J2079" s="56"/>
      <c r="K2079" s="82" t="str">
        <f t="shared" si="638"/>
        <v>Invoice</v>
      </c>
      <c r="L2079" s="83" t="str">
        <f>"SI_108071"</f>
        <v>SI_108071</v>
      </c>
      <c r="M2079" s="84">
        <v>42367</v>
      </c>
      <c r="N2079" s="85">
        <f t="shared" si="639"/>
        <v>1445</v>
      </c>
      <c r="O2079" s="86">
        <f t="shared" si="640"/>
        <v>7772.29</v>
      </c>
      <c r="P2079" s="86">
        <f t="shared" si="641"/>
        <v>0</v>
      </c>
      <c r="Q2079" s="86">
        <f t="shared" si="642"/>
        <v>0</v>
      </c>
      <c r="R2079" s="86">
        <f t="shared" si="643"/>
        <v>0</v>
      </c>
      <c r="S2079" s="86">
        <f t="shared" si="644"/>
        <v>0</v>
      </c>
      <c r="T2079" s="86">
        <f t="shared" si="645"/>
        <v>7772.29</v>
      </c>
      <c r="U2079" s="87">
        <v>7772.29</v>
      </c>
    </row>
    <row r="2080" spans="1:22" s="30" customFormat="1" ht="24.6" hidden="1" outlineLevel="1" x14ac:dyDescent="0.55000000000000004">
      <c r="A2080" s="27" t="s">
        <v>327</v>
      </c>
      <c r="B2080" s="28"/>
      <c r="C2080" s="27"/>
      <c r="D2080" s="27" t="str">
        <f>"""NAV Direct"",""CRONUS JetCorp USA"",""21"",""1"",""443569"""</f>
        <v>"NAV Direct","CRONUS JetCorp USA","21","1","443569"</v>
      </c>
      <c r="E2080" s="31" t="str">
        <f t="shared" si="637"/>
        <v>C100068</v>
      </c>
      <c r="F2080" s="31"/>
      <c r="G2080" s="31"/>
      <c r="H2080" s="31"/>
      <c r="I2080" s="56"/>
      <c r="J2080" s="56"/>
      <c r="K2080" s="82" t="str">
        <f>"Credit Memo"</f>
        <v>Credit Memo</v>
      </c>
      <c r="L2080" s="83" t="str">
        <f>"SC_101079"</f>
        <v>SC_101079</v>
      </c>
      <c r="M2080" s="84">
        <v>42383</v>
      </c>
      <c r="N2080" s="85">
        <f t="shared" si="639"/>
        <v>1429</v>
      </c>
      <c r="O2080" s="86">
        <f t="shared" si="640"/>
        <v>-74.38000000000001</v>
      </c>
      <c r="P2080" s="86">
        <f t="shared" si="641"/>
        <v>0</v>
      </c>
      <c r="Q2080" s="86">
        <f t="shared" si="642"/>
        <v>0</v>
      </c>
      <c r="R2080" s="86">
        <f t="shared" si="643"/>
        <v>0</v>
      </c>
      <c r="S2080" s="86">
        <f t="shared" si="644"/>
        <v>0</v>
      </c>
      <c r="T2080" s="86">
        <f t="shared" si="645"/>
        <v>-74.38000000000001</v>
      </c>
      <c r="U2080" s="87">
        <v>-74.38000000000001</v>
      </c>
    </row>
    <row r="2081" spans="1:22" s="30" customFormat="1" ht="24.6" hidden="1" outlineLevel="1" x14ac:dyDescent="0.55000000000000004">
      <c r="A2081" s="27" t="s">
        <v>327</v>
      </c>
      <c r="B2081" s="28"/>
      <c r="C2081" s="27"/>
      <c r="D2081" s="27" t="str">
        <f>"""NAV Direct"",""CRONUS JetCorp USA"",""21"",""1"",""443741"""</f>
        <v>"NAV Direct","CRONUS JetCorp USA","21","1","443741"</v>
      </c>
      <c r="E2081" s="31">
        <f t="shared" si="637"/>
        <v>0</v>
      </c>
      <c r="F2081" s="31"/>
      <c r="G2081" s="31"/>
      <c r="H2081" s="31"/>
      <c r="I2081" s="56"/>
      <c r="J2081" s="56"/>
      <c r="K2081" s="82" t="str">
        <f>"Credit Memo"</f>
        <v>Credit Memo</v>
      </c>
      <c r="L2081" s="83" t="str">
        <f>"SC_101099"</f>
        <v>SC_101099</v>
      </c>
      <c r="M2081" s="84">
        <v>43108</v>
      </c>
      <c r="N2081" s="85">
        <f t="shared" si="639"/>
        <v>704</v>
      </c>
      <c r="O2081" s="86">
        <f t="shared" si="640"/>
        <v>-72.569999999999993</v>
      </c>
      <c r="P2081" s="86">
        <f t="shared" si="641"/>
        <v>0</v>
      </c>
      <c r="Q2081" s="86">
        <f t="shared" si="642"/>
        <v>0</v>
      </c>
      <c r="R2081" s="86">
        <f t="shared" si="643"/>
        <v>0</v>
      </c>
      <c r="S2081" s="86">
        <f t="shared" si="644"/>
        <v>0</v>
      </c>
      <c r="T2081" s="86">
        <f t="shared" si="645"/>
        <v>-72.569999999999993</v>
      </c>
      <c r="U2081" s="87">
        <v>-72.569999999999993</v>
      </c>
    </row>
    <row r="2082" spans="1:22" s="30" customFormat="1" ht="24.6" hidden="1" outlineLevel="1" x14ac:dyDescent="0.55000000000000004">
      <c r="A2082" s="27" t="s">
        <v>327</v>
      </c>
      <c r="B2082" s="28"/>
      <c r="C2082" s="27"/>
      <c r="D2082" s="27" t="str">
        <f>"""NAV Direct"",""CRONUS JetCorp USA"",""21"",""1"",""443964"""</f>
        <v>"NAV Direct","CRONUS JetCorp USA","21","1","443964"</v>
      </c>
      <c r="E2082" s="31" t="str">
        <f t="shared" si="637"/>
        <v>C100068</v>
      </c>
      <c r="F2082" s="31"/>
      <c r="G2082" s="31"/>
      <c r="H2082" s="31"/>
      <c r="I2082" s="56"/>
      <c r="J2082" s="56"/>
      <c r="K2082" s="82" t="str">
        <f>"Credit Memo"</f>
        <v>Credit Memo</v>
      </c>
      <c r="L2082" s="83" t="str">
        <f>"SC_101121"</f>
        <v>SC_101121</v>
      </c>
      <c r="M2082" s="84">
        <v>42137</v>
      </c>
      <c r="N2082" s="85">
        <f t="shared" si="639"/>
        <v>1675</v>
      </c>
      <c r="O2082" s="86">
        <f t="shared" si="640"/>
        <v>-81.41</v>
      </c>
      <c r="P2082" s="86">
        <f t="shared" si="641"/>
        <v>0</v>
      </c>
      <c r="Q2082" s="86">
        <f t="shared" si="642"/>
        <v>0</v>
      </c>
      <c r="R2082" s="86">
        <f t="shared" si="643"/>
        <v>0</v>
      </c>
      <c r="S2082" s="86">
        <f t="shared" si="644"/>
        <v>0</v>
      </c>
      <c r="T2082" s="86">
        <f t="shared" si="645"/>
        <v>-81.41</v>
      </c>
      <c r="U2082" s="87">
        <v>-81.41</v>
      </c>
    </row>
    <row r="2083" spans="1:22" s="22" customFormat="1" ht="20.399999999999999" collapsed="1" x14ac:dyDescent="0.45">
      <c r="A2083" s="12" t="s">
        <v>327</v>
      </c>
      <c r="B2083" s="19"/>
      <c r="C2083" s="12"/>
      <c r="D2083" s="12"/>
      <c r="E2083" s="23"/>
      <c r="F2083" s="23"/>
      <c r="G2083" s="23"/>
      <c r="H2083" s="23"/>
      <c r="I2083" s="49"/>
      <c r="J2083" s="88"/>
      <c r="K2083" s="88"/>
      <c r="L2083" s="89"/>
      <c r="M2083" s="89"/>
      <c r="N2083" s="89"/>
      <c r="O2083" s="89"/>
      <c r="P2083" s="89"/>
      <c r="Q2083" s="90"/>
      <c r="R2083" s="90"/>
      <c r="S2083" s="91"/>
      <c r="T2083" s="92"/>
      <c r="U2083" s="92"/>
    </row>
    <row r="2084" spans="1:22" s="22" customFormat="1" ht="20.399999999999999" x14ac:dyDescent="0.45">
      <c r="A2084" s="12" t="s">
        <v>327</v>
      </c>
      <c r="B2084" s="19"/>
      <c r="C2084" s="12"/>
      <c r="D2084" s="12"/>
      <c r="E2084" s="23"/>
      <c r="F2084" s="23"/>
      <c r="G2084" s="23"/>
      <c r="H2084" s="23"/>
      <c r="I2084" s="49"/>
      <c r="J2084" s="88"/>
      <c r="K2084" s="88"/>
      <c r="L2084" s="89"/>
      <c r="M2084" s="89"/>
      <c r="N2084" s="89"/>
      <c r="O2084" s="89"/>
      <c r="P2084" s="89"/>
      <c r="Q2084" s="90"/>
      <c r="R2084" s="90"/>
      <c r="S2084" s="91"/>
      <c r="T2084" s="92"/>
      <c r="U2084" s="92"/>
    </row>
    <row r="2085" spans="1:22" s="26" customFormat="1" ht="24.6" x14ac:dyDescent="0.55000000000000004">
      <c r="A2085" s="27" t="s">
        <v>327</v>
      </c>
      <c r="B2085" s="28"/>
      <c r="C2085" s="27" t="str">
        <f>"""NAV Direct"",""CRONUS JetCorp USA"",""18"",""1"",""C100069"""</f>
        <v>"NAV Direct","CRONUS JetCorp USA","18","1","C100069"</v>
      </c>
      <c r="D2085" s="27"/>
      <c r="E2085" s="28" t="str">
        <f>H2085</f>
        <v>C100069</v>
      </c>
      <c r="F2085" s="28"/>
      <c r="G2085" s="28"/>
      <c r="H2085" s="28" t="str">
        <f>"C100069"</f>
        <v>C100069</v>
      </c>
      <c r="I2085" s="116" t="str">
        <f>"C100069  -  Parmentier Boutique"</f>
        <v>C100069  -  Parmentier Boutique</v>
      </c>
      <c r="J2085" s="117" t="str">
        <f>""</f>
        <v/>
      </c>
      <c r="K2085" s="118"/>
      <c r="L2085" s="119">
        <f>SUBTOTAL(3,L2086:L2120)</f>
        <v>31</v>
      </c>
      <c r="M2085" s="118"/>
      <c r="N2085" s="118"/>
      <c r="O2085" s="120">
        <f t="shared" ref="O2085:T2085" si="646">SUBTOTAL(9,O2086:O2120)</f>
        <v>262159.93999999994</v>
      </c>
      <c r="P2085" s="120">
        <f t="shared" si="646"/>
        <v>0</v>
      </c>
      <c r="Q2085" s="120">
        <f t="shared" si="646"/>
        <v>-103.46</v>
      </c>
      <c r="R2085" s="120">
        <f t="shared" si="646"/>
        <v>9867.19</v>
      </c>
      <c r="S2085" s="120">
        <f t="shared" si="646"/>
        <v>9485.1</v>
      </c>
      <c r="T2085" s="120">
        <f t="shared" si="646"/>
        <v>242911.11</v>
      </c>
      <c r="U2085" s="81"/>
    </row>
    <row r="2086" spans="1:22" s="26" customFormat="1" ht="24.6" x14ac:dyDescent="0.55000000000000004">
      <c r="A2086" s="27" t="s">
        <v>327</v>
      </c>
      <c r="B2086" s="28"/>
      <c r="C2086" s="27" t="str">
        <f>C2085</f>
        <v>"NAV Direct","CRONUS JetCorp USA","18","1","C100069"</v>
      </c>
      <c r="D2086" s="27"/>
      <c r="E2086" s="28" t="str">
        <f>E2085</f>
        <v>C100069</v>
      </c>
      <c r="F2086" s="28"/>
      <c r="G2086" s="28"/>
      <c r="H2086" s="28"/>
      <c r="I2086" s="121" t="str">
        <f>"Contact: M. Jean E. TRENARY"</f>
        <v>Contact: M. Jean E. TRENARY</v>
      </c>
      <c r="J2086" s="121"/>
      <c r="K2086" s="122"/>
      <c r="L2086" s="123"/>
      <c r="M2086" s="123"/>
      <c r="N2086" s="124"/>
      <c r="O2086" s="124"/>
      <c r="P2086" s="123"/>
      <c r="Q2086" s="125"/>
      <c r="R2086" s="126"/>
      <c r="S2086" s="126"/>
      <c r="T2086" s="125"/>
      <c r="U2086" s="81"/>
    </row>
    <row r="2087" spans="1:22" s="26" customFormat="1" ht="24.6" x14ac:dyDescent="0.55000000000000004">
      <c r="A2087" s="27" t="s">
        <v>327</v>
      </c>
      <c r="B2087" s="28"/>
      <c r="C2087" s="27" t="str">
        <f>C2086</f>
        <v>"NAV Direct","CRONUS JetCorp USA","18","1","C100069"</v>
      </c>
      <c r="D2087" s="27"/>
      <c r="E2087" s="28" t="str">
        <f>E2086</f>
        <v>C100069</v>
      </c>
      <c r="F2087" s="28"/>
      <c r="G2087" s="28"/>
      <c r="H2087" s="28"/>
      <c r="I2087" s="121" t="str">
        <f>"parmentier.boutique@cronuscorp.net"</f>
        <v>parmentier.boutique@cronuscorp.net</v>
      </c>
      <c r="J2087" s="121"/>
      <c r="K2087" s="122"/>
      <c r="L2087" s="124"/>
      <c r="M2087" s="124"/>
      <c r="N2087" s="124"/>
      <c r="O2087" s="124"/>
      <c r="P2087" s="123"/>
      <c r="Q2087" s="125"/>
      <c r="R2087" s="126"/>
      <c r="S2087" s="126"/>
      <c r="T2087" s="125"/>
      <c r="U2087" s="81"/>
    </row>
    <row r="2088" spans="1:22" ht="12.75" hidden="1" customHeight="1" outlineLevel="1" x14ac:dyDescent="0.45">
      <c r="A2088" s="12" t="s">
        <v>328</v>
      </c>
      <c r="B2088" s="19"/>
      <c r="E2088" s="19"/>
      <c r="F2088" s="19"/>
      <c r="G2088" s="19"/>
      <c r="H2088" s="19"/>
      <c r="I2088" s="61"/>
      <c r="J2088" s="61"/>
      <c r="K2088" s="61"/>
      <c r="L2088" s="61"/>
      <c r="M2088" s="61"/>
      <c r="N2088" s="61"/>
      <c r="O2088" s="61"/>
      <c r="P2088" s="61"/>
      <c r="Q2088" s="61"/>
      <c r="R2088" s="61"/>
      <c r="S2088" s="61"/>
      <c r="T2088" s="61"/>
      <c r="U2088" s="61"/>
      <c r="V2088" s="21"/>
    </row>
    <row r="2089" spans="1:22" s="30" customFormat="1" ht="24.6" hidden="1" outlineLevel="1" x14ac:dyDescent="0.55000000000000004">
      <c r="A2089" s="27" t="s">
        <v>327</v>
      </c>
      <c r="B2089" s="28"/>
      <c r="C2089" s="27"/>
      <c r="D2089" s="27" t="str">
        <f>"""NAV Direct"",""CRONUS JetCorp USA"",""21"",""1"",""38127"""</f>
        <v>"NAV Direct","CRONUS JetCorp USA","21","1","38127"</v>
      </c>
      <c r="E2089" s="31" t="str">
        <f t="shared" ref="E2089:E2119" si="647">E2087</f>
        <v>C100069</v>
      </c>
      <c r="F2089" s="31"/>
      <c r="G2089" s="31"/>
      <c r="H2089" s="31"/>
      <c r="I2089" s="56"/>
      <c r="J2089" s="56"/>
      <c r="K2089" s="82" t="str">
        <f t="shared" ref="K2089:K2115" si="648">"Invoice"</f>
        <v>Invoice</v>
      </c>
      <c r="L2089" s="83" t="str">
        <f>"SI_104776"</f>
        <v>SI_104776</v>
      </c>
      <c r="M2089" s="84">
        <v>42030</v>
      </c>
      <c r="N2089" s="85">
        <f t="shared" ref="N2089:N2119" si="649">StartDate-$M2089+1</f>
        <v>1782</v>
      </c>
      <c r="O2089" s="86">
        <f t="shared" ref="O2089:O2119" si="650">SUM(P2089:T2089)</f>
        <v>10241.39</v>
      </c>
      <c r="P2089" s="86">
        <f t="shared" ref="P2089:P2119" si="651">IF($M2089&gt;=$P$18,U2089,0)</f>
        <v>0</v>
      </c>
      <c r="Q2089" s="86">
        <f t="shared" ref="Q2089:Q2119" si="652">IF(AND($M2089&gt;=$Q$16,$M2089&lt;=$Q$18),U2089,0)</f>
        <v>0</v>
      </c>
      <c r="R2089" s="86">
        <f t="shared" ref="R2089:R2119" si="653">IF(AND($M2089&gt;=$R$16,$M2089&lt;=$R$18),U2089,0)</f>
        <v>0</v>
      </c>
      <c r="S2089" s="86">
        <f t="shared" ref="S2089:S2119" si="654">IF(AND($M2089&gt;=$S$16,$M2089&lt;=$S$18),U2089,0)</f>
        <v>0</v>
      </c>
      <c r="T2089" s="86">
        <f t="shared" ref="T2089:T2119" si="655">IF($M2089&lt;=$T$18,U2089,0)</f>
        <v>10241.39</v>
      </c>
      <c r="U2089" s="87">
        <v>10241.39</v>
      </c>
    </row>
    <row r="2090" spans="1:22" s="30" customFormat="1" ht="24.6" hidden="1" outlineLevel="1" x14ac:dyDescent="0.55000000000000004">
      <c r="A2090" s="27" t="s">
        <v>327</v>
      </c>
      <c r="B2090" s="28"/>
      <c r="C2090" s="27"/>
      <c r="D2090" s="27" t="str">
        <f>"""NAV Direct"",""CRONUS JetCorp USA"",""21"",""1"",""38179"""</f>
        <v>"NAV Direct","CRONUS JetCorp USA","21","1","38179"</v>
      </c>
      <c r="E2090" s="31">
        <f t="shared" si="647"/>
        <v>0</v>
      </c>
      <c r="F2090" s="31"/>
      <c r="G2090" s="31"/>
      <c r="H2090" s="31"/>
      <c r="I2090" s="56"/>
      <c r="J2090" s="56"/>
      <c r="K2090" s="82" t="str">
        <f t="shared" si="648"/>
        <v>Invoice</v>
      </c>
      <c r="L2090" s="83" t="str">
        <f>"SI_104778"</f>
        <v>SI_104778</v>
      </c>
      <c r="M2090" s="84">
        <v>42063</v>
      </c>
      <c r="N2090" s="85">
        <f t="shared" si="649"/>
        <v>1749</v>
      </c>
      <c r="O2090" s="86">
        <f t="shared" si="650"/>
        <v>10628.79</v>
      </c>
      <c r="P2090" s="86">
        <f t="shared" si="651"/>
        <v>0</v>
      </c>
      <c r="Q2090" s="86">
        <f t="shared" si="652"/>
        <v>0</v>
      </c>
      <c r="R2090" s="86">
        <f t="shared" si="653"/>
        <v>0</v>
      </c>
      <c r="S2090" s="86">
        <f t="shared" si="654"/>
        <v>0</v>
      </c>
      <c r="T2090" s="86">
        <f t="shared" si="655"/>
        <v>10628.79</v>
      </c>
      <c r="U2090" s="87">
        <v>10628.79</v>
      </c>
    </row>
    <row r="2091" spans="1:22" s="30" customFormat="1" ht="24.6" hidden="1" outlineLevel="1" x14ac:dyDescent="0.55000000000000004">
      <c r="A2091" s="27" t="s">
        <v>327</v>
      </c>
      <c r="B2091" s="28"/>
      <c r="C2091" s="27"/>
      <c r="D2091" s="27" t="str">
        <f>"""NAV Direct"",""CRONUS JetCorp USA"",""21"",""1"",""38254"""</f>
        <v>"NAV Direct","CRONUS JetCorp USA","21","1","38254"</v>
      </c>
      <c r="E2091" s="31" t="str">
        <f t="shared" si="647"/>
        <v>C100069</v>
      </c>
      <c r="F2091" s="31"/>
      <c r="G2091" s="31"/>
      <c r="H2091" s="31"/>
      <c r="I2091" s="56"/>
      <c r="J2091" s="56"/>
      <c r="K2091" s="82" t="str">
        <f t="shared" si="648"/>
        <v>Invoice</v>
      </c>
      <c r="L2091" s="83" t="str">
        <f>"SI_104781"</f>
        <v>SI_104781</v>
      </c>
      <c r="M2091" s="84">
        <v>42096</v>
      </c>
      <c r="N2091" s="85">
        <f t="shared" si="649"/>
        <v>1716</v>
      </c>
      <c r="O2091" s="86">
        <f t="shared" si="650"/>
        <v>11026.960000000001</v>
      </c>
      <c r="P2091" s="86">
        <f t="shared" si="651"/>
        <v>0</v>
      </c>
      <c r="Q2091" s="86">
        <f t="shared" si="652"/>
        <v>0</v>
      </c>
      <c r="R2091" s="86">
        <f t="shared" si="653"/>
        <v>0</v>
      </c>
      <c r="S2091" s="86">
        <f t="shared" si="654"/>
        <v>0</v>
      </c>
      <c r="T2091" s="86">
        <f t="shared" si="655"/>
        <v>11026.960000000001</v>
      </c>
      <c r="U2091" s="87">
        <v>11026.960000000001</v>
      </c>
    </row>
    <row r="2092" spans="1:22" s="30" customFormat="1" ht="24.6" hidden="1" outlineLevel="1" x14ac:dyDescent="0.55000000000000004">
      <c r="A2092" s="27" t="s">
        <v>327</v>
      </c>
      <c r="B2092" s="28"/>
      <c r="C2092" s="27"/>
      <c r="D2092" s="27" t="str">
        <f>"""NAV Direct"",""CRONUS JetCorp USA"",""21"",""1"",""38405"""</f>
        <v>"NAV Direct","CRONUS JetCorp USA","21","1","38405"</v>
      </c>
      <c r="E2092" s="31">
        <f t="shared" si="647"/>
        <v>0</v>
      </c>
      <c r="F2092" s="31"/>
      <c r="G2092" s="31"/>
      <c r="H2092" s="31"/>
      <c r="I2092" s="56"/>
      <c r="J2092" s="56"/>
      <c r="K2092" s="82" t="str">
        <f t="shared" si="648"/>
        <v>Invoice</v>
      </c>
      <c r="L2092" s="83" t="str">
        <f>"SI_104787"</f>
        <v>SI_104787</v>
      </c>
      <c r="M2092" s="84">
        <v>42178</v>
      </c>
      <c r="N2092" s="85">
        <f t="shared" si="649"/>
        <v>1634</v>
      </c>
      <c r="O2092" s="86">
        <f t="shared" si="650"/>
        <v>9837.6299999999992</v>
      </c>
      <c r="P2092" s="86">
        <f t="shared" si="651"/>
        <v>0</v>
      </c>
      <c r="Q2092" s="86">
        <f t="shared" si="652"/>
        <v>0</v>
      </c>
      <c r="R2092" s="86">
        <f t="shared" si="653"/>
        <v>0</v>
      </c>
      <c r="S2092" s="86">
        <f t="shared" si="654"/>
        <v>0</v>
      </c>
      <c r="T2092" s="86">
        <f t="shared" si="655"/>
        <v>9837.6299999999992</v>
      </c>
      <c r="U2092" s="87">
        <v>9837.6299999999992</v>
      </c>
    </row>
    <row r="2093" spans="1:22" s="30" customFormat="1" ht="24.6" hidden="1" outlineLevel="1" x14ac:dyDescent="0.55000000000000004">
      <c r="A2093" s="27" t="s">
        <v>327</v>
      </c>
      <c r="B2093" s="28"/>
      <c r="C2093" s="27"/>
      <c r="D2093" s="27" t="str">
        <f>"""NAV Direct"",""CRONUS JetCorp USA"",""21"",""1"",""38520"""</f>
        <v>"NAV Direct","CRONUS JetCorp USA","21","1","38520"</v>
      </c>
      <c r="E2093" s="31" t="str">
        <f t="shared" si="647"/>
        <v>C100069</v>
      </c>
      <c r="F2093" s="31"/>
      <c r="G2093" s="31"/>
      <c r="H2093" s="31"/>
      <c r="I2093" s="56"/>
      <c r="J2093" s="56"/>
      <c r="K2093" s="82" t="str">
        <f t="shared" si="648"/>
        <v>Invoice</v>
      </c>
      <c r="L2093" s="83" t="str">
        <f>"SI_104792"</f>
        <v>SI_104792</v>
      </c>
      <c r="M2093" s="84">
        <v>42217</v>
      </c>
      <c r="N2093" s="85">
        <f t="shared" si="649"/>
        <v>1595</v>
      </c>
      <c r="O2093" s="86">
        <f t="shared" si="650"/>
        <v>9263.66</v>
      </c>
      <c r="P2093" s="86">
        <f t="shared" si="651"/>
        <v>0</v>
      </c>
      <c r="Q2093" s="86">
        <f t="shared" si="652"/>
        <v>0</v>
      </c>
      <c r="R2093" s="86">
        <f t="shared" si="653"/>
        <v>0</v>
      </c>
      <c r="S2093" s="86">
        <f t="shared" si="654"/>
        <v>0</v>
      </c>
      <c r="T2093" s="86">
        <f t="shared" si="655"/>
        <v>9263.66</v>
      </c>
      <c r="U2093" s="87">
        <v>9263.66</v>
      </c>
    </row>
    <row r="2094" spans="1:22" s="30" customFormat="1" ht="24.6" hidden="1" outlineLevel="1" x14ac:dyDescent="0.55000000000000004">
      <c r="A2094" s="27" t="s">
        <v>327</v>
      </c>
      <c r="B2094" s="28"/>
      <c r="C2094" s="27"/>
      <c r="D2094" s="27" t="str">
        <f>"""NAV Direct"",""CRONUS JetCorp USA"",""21"",""1"",""38585"""</f>
        <v>"NAV Direct","CRONUS JetCorp USA","21","1","38585"</v>
      </c>
      <c r="E2094" s="31">
        <f t="shared" si="647"/>
        <v>0</v>
      </c>
      <c r="F2094" s="31"/>
      <c r="G2094" s="31"/>
      <c r="H2094" s="31"/>
      <c r="I2094" s="56"/>
      <c r="J2094" s="56"/>
      <c r="K2094" s="82" t="str">
        <f t="shared" si="648"/>
        <v>Invoice</v>
      </c>
      <c r="L2094" s="83" t="str">
        <f>"SI_104795"</f>
        <v>SI_104795</v>
      </c>
      <c r="M2094" s="84">
        <v>42260</v>
      </c>
      <c r="N2094" s="85">
        <f t="shared" si="649"/>
        <v>1552</v>
      </c>
      <c r="O2094" s="86">
        <f t="shared" si="650"/>
        <v>9031.68</v>
      </c>
      <c r="P2094" s="86">
        <f t="shared" si="651"/>
        <v>0</v>
      </c>
      <c r="Q2094" s="86">
        <f t="shared" si="652"/>
        <v>0</v>
      </c>
      <c r="R2094" s="86">
        <f t="shared" si="653"/>
        <v>0</v>
      </c>
      <c r="S2094" s="86">
        <f t="shared" si="654"/>
        <v>0</v>
      </c>
      <c r="T2094" s="86">
        <f t="shared" si="655"/>
        <v>9031.68</v>
      </c>
      <c r="U2094" s="87">
        <v>9031.68</v>
      </c>
    </row>
    <row r="2095" spans="1:22" s="30" customFormat="1" ht="24.6" hidden="1" outlineLevel="1" x14ac:dyDescent="0.55000000000000004">
      <c r="A2095" s="27" t="s">
        <v>327</v>
      </c>
      <c r="B2095" s="28"/>
      <c r="C2095" s="27"/>
      <c r="D2095" s="27" t="str">
        <f>"""NAV Direct"",""CRONUS JetCorp USA"",""21"",""1"",""38723"""</f>
        <v>"NAV Direct","CRONUS JetCorp USA","21","1","38723"</v>
      </c>
      <c r="E2095" s="31" t="str">
        <f t="shared" si="647"/>
        <v>C100069</v>
      </c>
      <c r="F2095" s="31"/>
      <c r="G2095" s="31"/>
      <c r="H2095" s="31"/>
      <c r="I2095" s="56"/>
      <c r="J2095" s="56"/>
      <c r="K2095" s="82" t="str">
        <f t="shared" si="648"/>
        <v>Invoice</v>
      </c>
      <c r="L2095" s="83" t="str">
        <f>"SI_104801"</f>
        <v>SI_104801</v>
      </c>
      <c r="M2095" s="84">
        <v>42301</v>
      </c>
      <c r="N2095" s="85">
        <f t="shared" si="649"/>
        <v>1511</v>
      </c>
      <c r="O2095" s="86">
        <f t="shared" si="650"/>
        <v>9259.32</v>
      </c>
      <c r="P2095" s="86">
        <f t="shared" si="651"/>
        <v>0</v>
      </c>
      <c r="Q2095" s="86">
        <f t="shared" si="652"/>
        <v>0</v>
      </c>
      <c r="R2095" s="86">
        <f t="shared" si="653"/>
        <v>0</v>
      </c>
      <c r="S2095" s="86">
        <f t="shared" si="654"/>
        <v>0</v>
      </c>
      <c r="T2095" s="86">
        <f t="shared" si="655"/>
        <v>9259.32</v>
      </c>
      <c r="U2095" s="87">
        <v>9259.32</v>
      </c>
    </row>
    <row r="2096" spans="1:22" s="30" customFormat="1" ht="24.6" hidden="1" outlineLevel="1" x14ac:dyDescent="0.55000000000000004">
      <c r="A2096" s="27" t="s">
        <v>327</v>
      </c>
      <c r="B2096" s="28"/>
      <c r="C2096" s="27"/>
      <c r="D2096" s="27" t="str">
        <f>"""NAV Direct"",""CRONUS JetCorp USA"",""21"",""1"",""38746"""</f>
        <v>"NAV Direct","CRONUS JetCorp USA","21","1","38746"</v>
      </c>
      <c r="E2096" s="31">
        <f t="shared" si="647"/>
        <v>0</v>
      </c>
      <c r="F2096" s="31"/>
      <c r="G2096" s="31"/>
      <c r="H2096" s="31"/>
      <c r="I2096" s="56"/>
      <c r="J2096" s="56"/>
      <c r="K2096" s="82" t="str">
        <f t="shared" si="648"/>
        <v>Invoice</v>
      </c>
      <c r="L2096" s="83" t="str">
        <f>"SI_104802"</f>
        <v>SI_104802</v>
      </c>
      <c r="M2096" s="84">
        <v>42326</v>
      </c>
      <c r="N2096" s="85">
        <f t="shared" si="649"/>
        <v>1486</v>
      </c>
      <c r="O2096" s="86">
        <f t="shared" si="650"/>
        <v>9393.73</v>
      </c>
      <c r="P2096" s="86">
        <f t="shared" si="651"/>
        <v>0</v>
      </c>
      <c r="Q2096" s="86">
        <f t="shared" si="652"/>
        <v>0</v>
      </c>
      <c r="R2096" s="86">
        <f t="shared" si="653"/>
        <v>0</v>
      </c>
      <c r="S2096" s="86">
        <f t="shared" si="654"/>
        <v>0</v>
      </c>
      <c r="T2096" s="86">
        <f t="shared" si="655"/>
        <v>9393.73</v>
      </c>
      <c r="U2096" s="87">
        <v>9393.73</v>
      </c>
    </row>
    <row r="2097" spans="1:21" s="30" customFormat="1" ht="24.6" hidden="1" outlineLevel="1" x14ac:dyDescent="0.55000000000000004">
      <c r="A2097" s="27" t="s">
        <v>327</v>
      </c>
      <c r="B2097" s="28"/>
      <c r="C2097" s="27"/>
      <c r="D2097" s="27" t="str">
        <f>"""NAV Direct"",""CRONUS JetCorp USA"",""21"",""1"",""330526"""</f>
        <v>"NAV Direct","CRONUS JetCorp USA","21","1","330526"</v>
      </c>
      <c r="E2097" s="31" t="str">
        <f t="shared" si="647"/>
        <v>C100069</v>
      </c>
      <c r="F2097" s="31"/>
      <c r="G2097" s="31"/>
      <c r="H2097" s="31"/>
      <c r="I2097" s="56"/>
      <c r="J2097" s="56"/>
      <c r="K2097" s="82" t="str">
        <f t="shared" si="648"/>
        <v>Invoice</v>
      </c>
      <c r="L2097" s="83" t="str">
        <f>"SI_110398"</f>
        <v>SI_110398</v>
      </c>
      <c r="M2097" s="84">
        <v>42849</v>
      </c>
      <c r="N2097" s="85">
        <f t="shared" si="649"/>
        <v>963</v>
      </c>
      <c r="O2097" s="86">
        <f t="shared" si="650"/>
        <v>13792.37</v>
      </c>
      <c r="P2097" s="86">
        <f t="shared" si="651"/>
        <v>0</v>
      </c>
      <c r="Q2097" s="86">
        <f t="shared" si="652"/>
        <v>0</v>
      </c>
      <c r="R2097" s="86">
        <f t="shared" si="653"/>
        <v>0</v>
      </c>
      <c r="S2097" s="86">
        <f t="shared" si="654"/>
        <v>0</v>
      </c>
      <c r="T2097" s="86">
        <f t="shared" si="655"/>
        <v>13792.37</v>
      </c>
      <c r="U2097" s="87">
        <v>13792.37</v>
      </c>
    </row>
    <row r="2098" spans="1:21" s="30" customFormat="1" ht="24.6" hidden="1" outlineLevel="1" x14ac:dyDescent="0.55000000000000004">
      <c r="A2098" s="27" t="s">
        <v>327</v>
      </c>
      <c r="B2098" s="28"/>
      <c r="C2098" s="27"/>
      <c r="D2098" s="27" t="str">
        <f>"""NAV Direct"",""CRONUS JetCorp USA"",""21"",""1"",""330758"""</f>
        <v>"NAV Direct","CRONUS JetCorp USA","21","1","330758"</v>
      </c>
      <c r="E2098" s="31">
        <f t="shared" si="647"/>
        <v>0</v>
      </c>
      <c r="F2098" s="31"/>
      <c r="G2098" s="31"/>
      <c r="H2098" s="31"/>
      <c r="I2098" s="56"/>
      <c r="J2098" s="56"/>
      <c r="K2098" s="82" t="str">
        <f t="shared" si="648"/>
        <v>Invoice</v>
      </c>
      <c r="L2098" s="83" t="str">
        <f>"SI_110406"</f>
        <v>SI_110406</v>
      </c>
      <c r="M2098" s="84">
        <v>43011</v>
      </c>
      <c r="N2098" s="85">
        <f t="shared" si="649"/>
        <v>801</v>
      </c>
      <c r="O2098" s="86">
        <f t="shared" si="650"/>
        <v>11868.480000000001</v>
      </c>
      <c r="P2098" s="86">
        <f t="shared" si="651"/>
        <v>0</v>
      </c>
      <c r="Q2098" s="86">
        <f t="shared" si="652"/>
        <v>0</v>
      </c>
      <c r="R2098" s="86">
        <f t="shared" si="653"/>
        <v>0</v>
      </c>
      <c r="S2098" s="86">
        <f t="shared" si="654"/>
        <v>0</v>
      </c>
      <c r="T2098" s="86">
        <f t="shared" si="655"/>
        <v>11868.480000000001</v>
      </c>
      <c r="U2098" s="87">
        <v>11868.480000000001</v>
      </c>
    </row>
    <row r="2099" spans="1:21" s="30" customFormat="1" ht="24.6" hidden="1" outlineLevel="1" x14ac:dyDescent="0.55000000000000004">
      <c r="A2099" s="27" t="s">
        <v>327</v>
      </c>
      <c r="B2099" s="28"/>
      <c r="C2099" s="27"/>
      <c r="D2099" s="27" t="str">
        <f>"""NAV Direct"",""CRONUS JetCorp USA"",""21"",""1"",""330785"""</f>
        <v>"NAV Direct","CRONUS JetCorp USA","21","1","330785"</v>
      </c>
      <c r="E2099" s="31" t="str">
        <f t="shared" si="647"/>
        <v>C100069</v>
      </c>
      <c r="F2099" s="31"/>
      <c r="G2099" s="31"/>
      <c r="H2099" s="31"/>
      <c r="I2099" s="56"/>
      <c r="J2099" s="56"/>
      <c r="K2099" s="82" t="str">
        <f t="shared" si="648"/>
        <v>Invoice</v>
      </c>
      <c r="L2099" s="83" t="str">
        <f>"SI_110407"</f>
        <v>SI_110407</v>
      </c>
      <c r="M2099" s="84">
        <v>43014</v>
      </c>
      <c r="N2099" s="85">
        <f t="shared" si="649"/>
        <v>798</v>
      </c>
      <c r="O2099" s="86">
        <f t="shared" si="650"/>
        <v>11868.460000000001</v>
      </c>
      <c r="P2099" s="86">
        <f t="shared" si="651"/>
        <v>0</v>
      </c>
      <c r="Q2099" s="86">
        <f t="shared" si="652"/>
        <v>0</v>
      </c>
      <c r="R2099" s="86">
        <f t="shared" si="653"/>
        <v>0</v>
      </c>
      <c r="S2099" s="86">
        <f t="shared" si="654"/>
        <v>0</v>
      </c>
      <c r="T2099" s="86">
        <f t="shared" si="655"/>
        <v>11868.460000000001</v>
      </c>
      <c r="U2099" s="87">
        <v>11868.460000000001</v>
      </c>
    </row>
    <row r="2100" spans="1:21" s="30" customFormat="1" ht="24.6" hidden="1" outlineLevel="1" x14ac:dyDescent="0.55000000000000004">
      <c r="A2100" s="27" t="s">
        <v>327</v>
      </c>
      <c r="B2100" s="28"/>
      <c r="C2100" s="27"/>
      <c r="D2100" s="27" t="str">
        <f>"""NAV Direct"",""CRONUS JetCorp USA"",""21"",""1"",""330812"""</f>
        <v>"NAV Direct","CRONUS JetCorp USA","21","1","330812"</v>
      </c>
      <c r="E2100" s="31">
        <f t="shared" si="647"/>
        <v>0</v>
      </c>
      <c r="F2100" s="31"/>
      <c r="G2100" s="31"/>
      <c r="H2100" s="31"/>
      <c r="I2100" s="56"/>
      <c r="J2100" s="56"/>
      <c r="K2100" s="82" t="str">
        <f t="shared" si="648"/>
        <v>Invoice</v>
      </c>
      <c r="L2100" s="83" t="str">
        <f>"SI_110408"</f>
        <v>SI_110408</v>
      </c>
      <c r="M2100" s="84">
        <v>43030</v>
      </c>
      <c r="N2100" s="85">
        <f t="shared" si="649"/>
        <v>782</v>
      </c>
      <c r="O2100" s="86">
        <f t="shared" si="650"/>
        <v>10977.67</v>
      </c>
      <c r="P2100" s="86">
        <f t="shared" si="651"/>
        <v>0</v>
      </c>
      <c r="Q2100" s="86">
        <f t="shared" si="652"/>
        <v>0</v>
      </c>
      <c r="R2100" s="86">
        <f t="shared" si="653"/>
        <v>0</v>
      </c>
      <c r="S2100" s="86">
        <f t="shared" si="654"/>
        <v>0</v>
      </c>
      <c r="T2100" s="86">
        <f t="shared" si="655"/>
        <v>10977.67</v>
      </c>
      <c r="U2100" s="87">
        <v>10977.67</v>
      </c>
    </row>
    <row r="2101" spans="1:21" s="30" customFormat="1" ht="24.6" hidden="1" outlineLevel="1" x14ac:dyDescent="0.55000000000000004">
      <c r="A2101" s="27" t="s">
        <v>327</v>
      </c>
      <c r="B2101" s="28"/>
      <c r="C2101" s="27"/>
      <c r="D2101" s="27" t="str">
        <f>"""NAV Direct"",""CRONUS JetCorp USA"",""21"",""1"",""331046"""</f>
        <v>"NAV Direct","CRONUS JetCorp USA","21","1","331046"</v>
      </c>
      <c r="E2101" s="31" t="str">
        <f t="shared" si="647"/>
        <v>C100069</v>
      </c>
      <c r="F2101" s="31"/>
      <c r="G2101" s="31"/>
      <c r="H2101" s="31"/>
      <c r="I2101" s="56"/>
      <c r="J2101" s="56"/>
      <c r="K2101" s="82" t="str">
        <f t="shared" si="648"/>
        <v>Invoice</v>
      </c>
      <c r="L2101" s="83" t="str">
        <f>"SI_110418"</f>
        <v>SI_110418</v>
      </c>
      <c r="M2101" s="84">
        <v>43239</v>
      </c>
      <c r="N2101" s="85">
        <f t="shared" si="649"/>
        <v>573</v>
      </c>
      <c r="O2101" s="86">
        <f t="shared" si="650"/>
        <v>7841.04</v>
      </c>
      <c r="P2101" s="86">
        <f t="shared" si="651"/>
        <v>0</v>
      </c>
      <c r="Q2101" s="86">
        <f t="shared" si="652"/>
        <v>0</v>
      </c>
      <c r="R2101" s="86">
        <f t="shared" si="653"/>
        <v>0</v>
      </c>
      <c r="S2101" s="86">
        <f t="shared" si="654"/>
        <v>0</v>
      </c>
      <c r="T2101" s="86">
        <f t="shared" si="655"/>
        <v>7841.04</v>
      </c>
      <c r="U2101" s="87">
        <v>7841.04</v>
      </c>
    </row>
    <row r="2102" spans="1:21" s="30" customFormat="1" ht="24.6" hidden="1" outlineLevel="1" x14ac:dyDescent="0.55000000000000004">
      <c r="A2102" s="27" t="s">
        <v>327</v>
      </c>
      <c r="B2102" s="28"/>
      <c r="C2102" s="27"/>
      <c r="D2102" s="27" t="str">
        <f>"""NAV Direct"",""CRONUS JetCorp USA"",""21"",""1"",""331094"""</f>
        <v>"NAV Direct","CRONUS JetCorp USA","21","1","331094"</v>
      </c>
      <c r="E2102" s="31">
        <f t="shared" si="647"/>
        <v>0</v>
      </c>
      <c r="F2102" s="31"/>
      <c r="G2102" s="31"/>
      <c r="H2102" s="31"/>
      <c r="I2102" s="56"/>
      <c r="J2102" s="56"/>
      <c r="K2102" s="82" t="str">
        <f t="shared" si="648"/>
        <v>Invoice</v>
      </c>
      <c r="L2102" s="83" t="str">
        <f>"SI_110420"</f>
        <v>SI_110420</v>
      </c>
      <c r="M2102" s="84">
        <v>43277</v>
      </c>
      <c r="N2102" s="85">
        <f t="shared" si="649"/>
        <v>535</v>
      </c>
      <c r="O2102" s="86">
        <f t="shared" si="650"/>
        <v>7784.66</v>
      </c>
      <c r="P2102" s="86">
        <f t="shared" si="651"/>
        <v>0</v>
      </c>
      <c r="Q2102" s="86">
        <f t="shared" si="652"/>
        <v>0</v>
      </c>
      <c r="R2102" s="86">
        <f t="shared" si="653"/>
        <v>0</v>
      </c>
      <c r="S2102" s="86">
        <f t="shared" si="654"/>
        <v>0</v>
      </c>
      <c r="T2102" s="86">
        <f t="shared" si="655"/>
        <v>7784.66</v>
      </c>
      <c r="U2102" s="87">
        <v>7784.66</v>
      </c>
    </row>
    <row r="2103" spans="1:21" s="30" customFormat="1" ht="24.6" hidden="1" outlineLevel="1" x14ac:dyDescent="0.55000000000000004">
      <c r="A2103" s="27" t="s">
        <v>327</v>
      </c>
      <c r="B2103" s="28"/>
      <c r="C2103" s="27"/>
      <c r="D2103" s="27" t="str">
        <f>"""NAV Direct"",""CRONUS JetCorp USA"",""21"",""1"",""331458"""</f>
        <v>"NAV Direct","CRONUS JetCorp USA","21","1","331458"</v>
      </c>
      <c r="E2103" s="31" t="str">
        <f t="shared" si="647"/>
        <v>C100069</v>
      </c>
      <c r="F2103" s="31"/>
      <c r="G2103" s="31"/>
      <c r="H2103" s="31"/>
      <c r="I2103" s="56"/>
      <c r="J2103" s="56"/>
      <c r="K2103" s="82" t="str">
        <f t="shared" si="648"/>
        <v>Invoice</v>
      </c>
      <c r="L2103" s="83" t="str">
        <f>"SI_110436"</f>
        <v>SI_110436</v>
      </c>
      <c r="M2103" s="84">
        <v>43564</v>
      </c>
      <c r="N2103" s="85">
        <f t="shared" si="649"/>
        <v>248</v>
      </c>
      <c r="O2103" s="86">
        <f t="shared" si="650"/>
        <v>8207.31</v>
      </c>
      <c r="P2103" s="86">
        <f t="shared" si="651"/>
        <v>0</v>
      </c>
      <c r="Q2103" s="86">
        <f t="shared" si="652"/>
        <v>0</v>
      </c>
      <c r="R2103" s="86">
        <f t="shared" si="653"/>
        <v>0</v>
      </c>
      <c r="S2103" s="86">
        <f t="shared" si="654"/>
        <v>0</v>
      </c>
      <c r="T2103" s="86">
        <f t="shared" si="655"/>
        <v>8207.31</v>
      </c>
      <c r="U2103" s="87">
        <v>8207.31</v>
      </c>
    </row>
    <row r="2104" spans="1:21" s="30" customFormat="1" ht="24.6" hidden="1" outlineLevel="1" x14ac:dyDescent="0.55000000000000004">
      <c r="A2104" s="27" t="s">
        <v>327</v>
      </c>
      <c r="B2104" s="28"/>
      <c r="C2104" s="27"/>
      <c r="D2104" s="27" t="str">
        <f>"""NAV Direct"",""CRONUS JetCorp USA"",""21"",""1"",""331531"""</f>
        <v>"NAV Direct","CRONUS JetCorp USA","21","1","331531"</v>
      </c>
      <c r="E2104" s="31">
        <f t="shared" si="647"/>
        <v>0</v>
      </c>
      <c r="F2104" s="31"/>
      <c r="G2104" s="31"/>
      <c r="H2104" s="31"/>
      <c r="I2104" s="56"/>
      <c r="J2104" s="56"/>
      <c r="K2104" s="82" t="str">
        <f t="shared" si="648"/>
        <v>Invoice</v>
      </c>
      <c r="L2104" s="83" t="str">
        <f>"SI_110439"</f>
        <v>SI_110439</v>
      </c>
      <c r="M2104" s="84">
        <v>43618</v>
      </c>
      <c r="N2104" s="85">
        <f t="shared" si="649"/>
        <v>194</v>
      </c>
      <c r="O2104" s="86">
        <f t="shared" si="650"/>
        <v>8822.8700000000008</v>
      </c>
      <c r="P2104" s="86">
        <f t="shared" si="651"/>
        <v>0</v>
      </c>
      <c r="Q2104" s="86">
        <f t="shared" si="652"/>
        <v>0</v>
      </c>
      <c r="R2104" s="86">
        <f t="shared" si="653"/>
        <v>0</v>
      </c>
      <c r="S2104" s="86">
        <f t="shared" si="654"/>
        <v>0</v>
      </c>
      <c r="T2104" s="86">
        <f t="shared" si="655"/>
        <v>8822.8700000000008</v>
      </c>
      <c r="U2104" s="87">
        <v>8822.8700000000008</v>
      </c>
    </row>
    <row r="2105" spans="1:21" s="30" customFormat="1" ht="24.6" hidden="1" outlineLevel="1" x14ac:dyDescent="0.55000000000000004">
      <c r="A2105" s="27" t="s">
        <v>327</v>
      </c>
      <c r="B2105" s="28"/>
      <c r="C2105" s="27"/>
      <c r="D2105" s="27" t="str">
        <f>"""NAV Direct"",""CRONUS JetCorp USA"",""21"",""1"",""331604"""</f>
        <v>"NAV Direct","CRONUS JetCorp USA","21","1","331604"</v>
      </c>
      <c r="E2105" s="31" t="str">
        <f t="shared" si="647"/>
        <v>C100069</v>
      </c>
      <c r="F2105" s="31"/>
      <c r="G2105" s="31"/>
      <c r="H2105" s="31"/>
      <c r="I2105" s="56"/>
      <c r="J2105" s="56"/>
      <c r="K2105" s="82" t="str">
        <f t="shared" si="648"/>
        <v>Invoice</v>
      </c>
      <c r="L2105" s="83" t="str">
        <f>"SI_110442"</f>
        <v>SI_110442</v>
      </c>
      <c r="M2105" s="84">
        <v>43673</v>
      </c>
      <c r="N2105" s="85">
        <f t="shared" si="649"/>
        <v>139</v>
      </c>
      <c r="O2105" s="86">
        <f t="shared" si="650"/>
        <v>9311.24</v>
      </c>
      <c r="P2105" s="86">
        <f t="shared" si="651"/>
        <v>0</v>
      </c>
      <c r="Q2105" s="86">
        <f t="shared" si="652"/>
        <v>0</v>
      </c>
      <c r="R2105" s="86">
        <f t="shared" si="653"/>
        <v>0</v>
      </c>
      <c r="S2105" s="86">
        <f t="shared" si="654"/>
        <v>0</v>
      </c>
      <c r="T2105" s="86">
        <f t="shared" si="655"/>
        <v>9311.24</v>
      </c>
      <c r="U2105" s="87">
        <v>9311.24</v>
      </c>
    </row>
    <row r="2106" spans="1:21" s="30" customFormat="1" ht="24.6" hidden="1" outlineLevel="1" x14ac:dyDescent="0.55000000000000004">
      <c r="A2106" s="27" t="s">
        <v>327</v>
      </c>
      <c r="B2106" s="28"/>
      <c r="C2106" s="27"/>
      <c r="D2106" s="27" t="str">
        <f>"""NAV Direct"",""CRONUS JetCorp USA"",""21"",""1"",""331631"""</f>
        <v>"NAV Direct","CRONUS JetCorp USA","21","1","331631"</v>
      </c>
      <c r="E2106" s="31">
        <f t="shared" si="647"/>
        <v>0</v>
      </c>
      <c r="F2106" s="31"/>
      <c r="G2106" s="31"/>
      <c r="H2106" s="31"/>
      <c r="I2106" s="56"/>
      <c r="J2106" s="56"/>
      <c r="K2106" s="82" t="str">
        <f t="shared" si="648"/>
        <v>Invoice</v>
      </c>
      <c r="L2106" s="83" t="str">
        <f>"SI_110443"</f>
        <v>SI_110443</v>
      </c>
      <c r="M2106" s="84">
        <v>43685</v>
      </c>
      <c r="N2106" s="85">
        <f t="shared" si="649"/>
        <v>127</v>
      </c>
      <c r="O2106" s="86">
        <f t="shared" si="650"/>
        <v>9407.67</v>
      </c>
      <c r="P2106" s="86">
        <f t="shared" si="651"/>
        <v>0</v>
      </c>
      <c r="Q2106" s="86">
        <f t="shared" si="652"/>
        <v>0</v>
      </c>
      <c r="R2106" s="86">
        <f t="shared" si="653"/>
        <v>0</v>
      </c>
      <c r="S2106" s="86">
        <f t="shared" si="654"/>
        <v>0</v>
      </c>
      <c r="T2106" s="86">
        <f t="shared" si="655"/>
        <v>9407.67</v>
      </c>
      <c r="U2106" s="87">
        <v>9407.67</v>
      </c>
    </row>
    <row r="2107" spans="1:21" s="30" customFormat="1" ht="24.6" hidden="1" outlineLevel="1" x14ac:dyDescent="0.55000000000000004">
      <c r="A2107" s="27" t="s">
        <v>327</v>
      </c>
      <c r="B2107" s="28"/>
      <c r="C2107" s="27"/>
      <c r="D2107" s="27" t="str">
        <f>"""NAV Direct"",""CRONUS JetCorp USA"",""21"",""1"",""331702"""</f>
        <v>"NAV Direct","CRONUS JetCorp USA","21","1","331702"</v>
      </c>
      <c r="E2107" s="31" t="str">
        <f t="shared" si="647"/>
        <v>C100069</v>
      </c>
      <c r="F2107" s="31"/>
      <c r="G2107" s="31"/>
      <c r="H2107" s="31"/>
      <c r="I2107" s="56"/>
      <c r="J2107" s="56"/>
      <c r="K2107" s="82" t="str">
        <f t="shared" si="648"/>
        <v>Invoice</v>
      </c>
      <c r="L2107" s="83" t="str">
        <f>"SI_110446"</f>
        <v>SI_110446</v>
      </c>
      <c r="M2107" s="84">
        <v>43729</v>
      </c>
      <c r="N2107" s="85">
        <f t="shared" si="649"/>
        <v>83</v>
      </c>
      <c r="O2107" s="86">
        <f t="shared" si="650"/>
        <v>9485.1</v>
      </c>
      <c r="P2107" s="86">
        <f t="shared" si="651"/>
        <v>0</v>
      </c>
      <c r="Q2107" s="86">
        <f t="shared" si="652"/>
        <v>0</v>
      </c>
      <c r="R2107" s="86">
        <f t="shared" si="653"/>
        <v>0</v>
      </c>
      <c r="S2107" s="86">
        <f t="shared" si="654"/>
        <v>9485.1</v>
      </c>
      <c r="T2107" s="86">
        <f t="shared" si="655"/>
        <v>0</v>
      </c>
      <c r="U2107" s="87">
        <v>9485.1</v>
      </c>
    </row>
    <row r="2108" spans="1:21" s="30" customFormat="1" ht="24.6" hidden="1" outlineLevel="1" x14ac:dyDescent="0.55000000000000004">
      <c r="A2108" s="27" t="s">
        <v>327</v>
      </c>
      <c r="B2108" s="28"/>
      <c r="C2108" s="27"/>
      <c r="D2108" s="27" t="str">
        <f>"""NAV Direct"",""CRONUS JetCorp USA"",""21"",""1"",""331750"""</f>
        <v>"NAV Direct","CRONUS JetCorp USA","21","1","331750"</v>
      </c>
      <c r="E2108" s="31">
        <f t="shared" si="647"/>
        <v>0</v>
      </c>
      <c r="F2108" s="31"/>
      <c r="G2108" s="31"/>
      <c r="H2108" s="31"/>
      <c r="I2108" s="56"/>
      <c r="J2108" s="56"/>
      <c r="K2108" s="82" t="str">
        <f t="shared" si="648"/>
        <v>Invoice</v>
      </c>
      <c r="L2108" s="83" t="str">
        <f>"SI_110448"</f>
        <v>SI_110448</v>
      </c>
      <c r="M2108" s="84">
        <v>43766</v>
      </c>
      <c r="N2108" s="85">
        <f t="shared" si="649"/>
        <v>46</v>
      </c>
      <c r="O2108" s="86">
        <f t="shared" si="650"/>
        <v>9867.19</v>
      </c>
      <c r="P2108" s="86">
        <f t="shared" si="651"/>
        <v>0</v>
      </c>
      <c r="Q2108" s="86">
        <f t="shared" si="652"/>
        <v>0</v>
      </c>
      <c r="R2108" s="86">
        <f t="shared" si="653"/>
        <v>9867.19</v>
      </c>
      <c r="S2108" s="86">
        <f t="shared" si="654"/>
        <v>0</v>
      </c>
      <c r="T2108" s="86">
        <f t="shared" si="655"/>
        <v>0</v>
      </c>
      <c r="U2108" s="87">
        <v>9867.19</v>
      </c>
    </row>
    <row r="2109" spans="1:21" s="30" customFormat="1" ht="24.6" hidden="1" outlineLevel="1" x14ac:dyDescent="0.55000000000000004">
      <c r="A2109" s="27" t="s">
        <v>327</v>
      </c>
      <c r="B2109" s="28"/>
      <c r="C2109" s="27"/>
      <c r="D2109" s="27" t="str">
        <f>"""NAV Direct"",""CRONUS JetCorp USA"",""21"",""1"",""332084"""</f>
        <v>"NAV Direct","CRONUS JetCorp USA","21","1","332084"</v>
      </c>
      <c r="E2109" s="31" t="str">
        <f t="shared" si="647"/>
        <v>C100069</v>
      </c>
      <c r="F2109" s="31"/>
      <c r="G2109" s="31"/>
      <c r="H2109" s="31"/>
      <c r="I2109" s="56"/>
      <c r="J2109" s="56"/>
      <c r="K2109" s="82" t="str">
        <f t="shared" si="648"/>
        <v>Invoice</v>
      </c>
      <c r="L2109" s="83" t="str">
        <f>"SI_110462"</f>
        <v>SI_110462</v>
      </c>
      <c r="M2109" s="84">
        <v>42210</v>
      </c>
      <c r="N2109" s="85">
        <f t="shared" si="649"/>
        <v>1602</v>
      </c>
      <c r="O2109" s="86">
        <f t="shared" si="650"/>
        <v>9264.2100000000009</v>
      </c>
      <c r="P2109" s="86">
        <f t="shared" si="651"/>
        <v>0</v>
      </c>
      <c r="Q2109" s="86">
        <f t="shared" si="652"/>
        <v>0</v>
      </c>
      <c r="R2109" s="86">
        <f t="shared" si="653"/>
        <v>0</v>
      </c>
      <c r="S2109" s="86">
        <f t="shared" si="654"/>
        <v>0</v>
      </c>
      <c r="T2109" s="86">
        <f t="shared" si="655"/>
        <v>9264.2100000000009</v>
      </c>
      <c r="U2109" s="87">
        <v>9264.2100000000009</v>
      </c>
    </row>
    <row r="2110" spans="1:21" s="30" customFormat="1" ht="24.6" hidden="1" outlineLevel="1" x14ac:dyDescent="0.55000000000000004">
      <c r="A2110" s="27" t="s">
        <v>327</v>
      </c>
      <c r="B2110" s="28"/>
      <c r="C2110" s="27"/>
      <c r="D2110" s="27" t="str">
        <f>"""NAV Direct"",""CRONUS JetCorp USA"",""21"",""1"",""332105"""</f>
        <v>"NAV Direct","CRONUS JetCorp USA","21","1","332105"</v>
      </c>
      <c r="E2110" s="31">
        <f t="shared" si="647"/>
        <v>0</v>
      </c>
      <c r="F2110" s="31"/>
      <c r="G2110" s="31"/>
      <c r="H2110" s="31"/>
      <c r="I2110" s="56"/>
      <c r="J2110" s="56"/>
      <c r="K2110" s="82" t="str">
        <f t="shared" si="648"/>
        <v>Invoice</v>
      </c>
      <c r="L2110" s="83" t="str">
        <f>"SI_110463"</f>
        <v>SI_110463</v>
      </c>
      <c r="M2110" s="84">
        <v>42219</v>
      </c>
      <c r="N2110" s="85">
        <f t="shared" si="649"/>
        <v>1593</v>
      </c>
      <c r="O2110" s="86">
        <f t="shared" si="650"/>
        <v>9264.35</v>
      </c>
      <c r="P2110" s="86">
        <f t="shared" si="651"/>
        <v>0</v>
      </c>
      <c r="Q2110" s="86">
        <f t="shared" si="652"/>
        <v>0</v>
      </c>
      <c r="R2110" s="86">
        <f t="shared" si="653"/>
        <v>0</v>
      </c>
      <c r="S2110" s="86">
        <f t="shared" si="654"/>
        <v>0</v>
      </c>
      <c r="T2110" s="86">
        <f t="shared" si="655"/>
        <v>9264.35</v>
      </c>
      <c r="U2110" s="87">
        <v>9264.35</v>
      </c>
    </row>
    <row r="2111" spans="1:21" s="30" customFormat="1" ht="24.6" hidden="1" outlineLevel="1" x14ac:dyDescent="0.55000000000000004">
      <c r="A2111" s="27" t="s">
        <v>327</v>
      </c>
      <c r="B2111" s="28"/>
      <c r="C2111" s="27"/>
      <c r="D2111" s="27" t="str">
        <f>"""NAV Direct"",""CRONUS JetCorp USA"",""21"",""1"",""332178"""</f>
        <v>"NAV Direct","CRONUS JetCorp USA","21","1","332178"</v>
      </c>
      <c r="E2111" s="31" t="str">
        <f t="shared" si="647"/>
        <v>C100069</v>
      </c>
      <c r="F2111" s="31"/>
      <c r="G2111" s="31"/>
      <c r="H2111" s="31"/>
      <c r="I2111" s="56"/>
      <c r="J2111" s="56"/>
      <c r="K2111" s="82" t="str">
        <f t="shared" si="648"/>
        <v>Invoice</v>
      </c>
      <c r="L2111" s="83" t="str">
        <f>"SI_110466"</f>
        <v>SI_110466</v>
      </c>
      <c r="M2111" s="84">
        <v>42245</v>
      </c>
      <c r="N2111" s="85">
        <f t="shared" si="649"/>
        <v>1567</v>
      </c>
      <c r="O2111" s="86">
        <f t="shared" si="650"/>
        <v>8939.98</v>
      </c>
      <c r="P2111" s="86">
        <f t="shared" si="651"/>
        <v>0</v>
      </c>
      <c r="Q2111" s="86">
        <f t="shared" si="652"/>
        <v>0</v>
      </c>
      <c r="R2111" s="86">
        <f t="shared" si="653"/>
        <v>0</v>
      </c>
      <c r="S2111" s="86">
        <f t="shared" si="654"/>
        <v>0</v>
      </c>
      <c r="T2111" s="86">
        <f t="shared" si="655"/>
        <v>8939.98</v>
      </c>
      <c r="U2111" s="87">
        <v>8939.98</v>
      </c>
    </row>
    <row r="2112" spans="1:21" s="30" customFormat="1" ht="24.6" hidden="1" outlineLevel="1" x14ac:dyDescent="0.55000000000000004">
      <c r="A2112" s="27" t="s">
        <v>327</v>
      </c>
      <c r="B2112" s="28"/>
      <c r="C2112" s="27"/>
      <c r="D2112" s="27" t="str">
        <f>"""NAV Direct"",""CRONUS JetCorp USA"",""21"",""1"",""332197"""</f>
        <v>"NAV Direct","CRONUS JetCorp USA","21","1","332197"</v>
      </c>
      <c r="E2112" s="31">
        <f t="shared" si="647"/>
        <v>0</v>
      </c>
      <c r="F2112" s="31"/>
      <c r="G2112" s="31"/>
      <c r="H2112" s="31"/>
      <c r="I2112" s="56"/>
      <c r="J2112" s="56"/>
      <c r="K2112" s="82" t="str">
        <f t="shared" si="648"/>
        <v>Invoice</v>
      </c>
      <c r="L2112" s="83" t="str">
        <f>"SI_110467"</f>
        <v>SI_110467</v>
      </c>
      <c r="M2112" s="84">
        <v>42267</v>
      </c>
      <c r="N2112" s="85">
        <f t="shared" si="649"/>
        <v>1545</v>
      </c>
      <c r="O2112" s="86">
        <f t="shared" si="650"/>
        <v>8900.4</v>
      </c>
      <c r="P2112" s="86">
        <f t="shared" si="651"/>
        <v>0</v>
      </c>
      <c r="Q2112" s="86">
        <f t="shared" si="652"/>
        <v>0</v>
      </c>
      <c r="R2112" s="86">
        <f t="shared" si="653"/>
        <v>0</v>
      </c>
      <c r="S2112" s="86">
        <f t="shared" si="654"/>
        <v>0</v>
      </c>
      <c r="T2112" s="86">
        <f t="shared" si="655"/>
        <v>8900.4</v>
      </c>
      <c r="U2112" s="87">
        <v>8900.4</v>
      </c>
    </row>
    <row r="2113" spans="1:22" s="30" customFormat="1" ht="24.6" hidden="1" outlineLevel="1" x14ac:dyDescent="0.55000000000000004">
      <c r="A2113" s="27" t="s">
        <v>327</v>
      </c>
      <c r="B2113" s="28"/>
      <c r="C2113" s="27"/>
      <c r="D2113" s="27" t="str">
        <f>"""NAV Direct"",""CRONUS JetCorp USA"",""21"",""1"",""332293"""</f>
        <v>"NAV Direct","CRONUS JetCorp USA","21","1","332293"</v>
      </c>
      <c r="E2113" s="31" t="str">
        <f t="shared" si="647"/>
        <v>C100069</v>
      </c>
      <c r="F2113" s="31"/>
      <c r="G2113" s="31"/>
      <c r="H2113" s="31"/>
      <c r="I2113" s="56"/>
      <c r="J2113" s="56"/>
      <c r="K2113" s="82" t="str">
        <f t="shared" si="648"/>
        <v>Invoice</v>
      </c>
      <c r="L2113" s="83" t="str">
        <f>"SI_110471"</f>
        <v>SI_110471</v>
      </c>
      <c r="M2113" s="84">
        <v>42326</v>
      </c>
      <c r="N2113" s="85">
        <f t="shared" si="649"/>
        <v>1486</v>
      </c>
      <c r="O2113" s="86">
        <f t="shared" si="650"/>
        <v>9393.98</v>
      </c>
      <c r="P2113" s="86">
        <f t="shared" si="651"/>
        <v>0</v>
      </c>
      <c r="Q2113" s="86">
        <f t="shared" si="652"/>
        <v>0</v>
      </c>
      <c r="R2113" s="86">
        <f t="shared" si="653"/>
        <v>0</v>
      </c>
      <c r="S2113" s="86">
        <f t="shared" si="654"/>
        <v>0</v>
      </c>
      <c r="T2113" s="86">
        <f t="shared" si="655"/>
        <v>9393.98</v>
      </c>
      <c r="U2113" s="87">
        <v>9393.98</v>
      </c>
    </row>
    <row r="2114" spans="1:22" s="30" customFormat="1" ht="24.6" hidden="1" outlineLevel="1" x14ac:dyDescent="0.55000000000000004">
      <c r="A2114" s="27" t="s">
        <v>327</v>
      </c>
      <c r="B2114" s="28"/>
      <c r="C2114" s="27"/>
      <c r="D2114" s="27" t="str">
        <f>"""NAV Direct"",""CRONUS JetCorp USA"",""21"",""1"",""332366"""</f>
        <v>"NAV Direct","CRONUS JetCorp USA","21","1","332366"</v>
      </c>
      <c r="E2114" s="31">
        <f t="shared" si="647"/>
        <v>0</v>
      </c>
      <c r="F2114" s="31"/>
      <c r="G2114" s="31"/>
      <c r="H2114" s="31"/>
      <c r="I2114" s="56"/>
      <c r="J2114" s="56"/>
      <c r="K2114" s="82" t="str">
        <f t="shared" si="648"/>
        <v>Invoice</v>
      </c>
      <c r="L2114" s="83" t="str">
        <f>"SI_110474"</f>
        <v>SI_110474</v>
      </c>
      <c r="M2114" s="84">
        <v>42365</v>
      </c>
      <c r="N2114" s="85">
        <f t="shared" si="649"/>
        <v>1447</v>
      </c>
      <c r="O2114" s="86">
        <f t="shared" si="650"/>
        <v>9417.8799999999992</v>
      </c>
      <c r="P2114" s="86">
        <f t="shared" si="651"/>
        <v>0</v>
      </c>
      <c r="Q2114" s="86">
        <f t="shared" si="652"/>
        <v>0</v>
      </c>
      <c r="R2114" s="86">
        <f t="shared" si="653"/>
        <v>0</v>
      </c>
      <c r="S2114" s="86">
        <f t="shared" si="654"/>
        <v>0</v>
      </c>
      <c r="T2114" s="86">
        <f t="shared" si="655"/>
        <v>9417.8799999999992</v>
      </c>
      <c r="U2114" s="87">
        <v>9417.8799999999992</v>
      </c>
    </row>
    <row r="2115" spans="1:22" s="30" customFormat="1" ht="24.6" hidden="1" outlineLevel="1" x14ac:dyDescent="0.55000000000000004">
      <c r="A2115" s="27" t="s">
        <v>327</v>
      </c>
      <c r="B2115" s="28"/>
      <c r="C2115" s="27"/>
      <c r="D2115" s="27" t="str">
        <f>"""NAV Direct"",""CRONUS JetCorp USA"",""21"",""1"",""332395"""</f>
        <v>"NAV Direct","CRONUS JetCorp USA","21","1","332395"</v>
      </c>
      <c r="E2115" s="31" t="str">
        <f t="shared" si="647"/>
        <v>C100069</v>
      </c>
      <c r="F2115" s="31"/>
      <c r="G2115" s="31"/>
      <c r="H2115" s="31"/>
      <c r="I2115" s="56"/>
      <c r="J2115" s="56"/>
      <c r="K2115" s="82" t="str">
        <f t="shared" si="648"/>
        <v>Invoice</v>
      </c>
      <c r="L2115" s="83" t="str">
        <f>"SI_110475"</f>
        <v>SI_110475</v>
      </c>
      <c r="M2115" s="84">
        <v>42739</v>
      </c>
      <c r="N2115" s="85">
        <f t="shared" si="649"/>
        <v>1073</v>
      </c>
      <c r="O2115" s="86">
        <f t="shared" si="650"/>
        <v>9417.74</v>
      </c>
      <c r="P2115" s="86">
        <f t="shared" si="651"/>
        <v>0</v>
      </c>
      <c r="Q2115" s="86">
        <f t="shared" si="652"/>
        <v>0</v>
      </c>
      <c r="R2115" s="86">
        <f t="shared" si="653"/>
        <v>0</v>
      </c>
      <c r="S2115" s="86">
        <f t="shared" si="654"/>
        <v>0</v>
      </c>
      <c r="T2115" s="86">
        <f t="shared" si="655"/>
        <v>9417.74</v>
      </c>
      <c r="U2115" s="87">
        <v>9417.74</v>
      </c>
    </row>
    <row r="2116" spans="1:22" s="30" customFormat="1" ht="24.6" hidden="1" outlineLevel="1" x14ac:dyDescent="0.55000000000000004">
      <c r="A2116" s="27" t="s">
        <v>327</v>
      </c>
      <c r="B2116" s="28"/>
      <c r="C2116" s="27"/>
      <c r="D2116" s="27" t="str">
        <f>"""NAV Direct"",""CRONUS JetCorp USA"",""21"",""1"",""432904"""</f>
        <v>"NAV Direct","CRONUS JetCorp USA","21","1","432904"</v>
      </c>
      <c r="E2116" s="31">
        <f t="shared" si="647"/>
        <v>0</v>
      </c>
      <c r="F2116" s="31"/>
      <c r="G2116" s="31"/>
      <c r="H2116" s="31"/>
      <c r="I2116" s="56"/>
      <c r="J2116" s="56"/>
      <c r="K2116" s="82" t="str">
        <f>"Credit Memo"</f>
        <v>Credit Memo</v>
      </c>
      <c r="L2116" s="83" t="str">
        <f>"SC_100448"</f>
        <v>SC_100448</v>
      </c>
      <c r="M2116" s="84">
        <v>43061</v>
      </c>
      <c r="N2116" s="85">
        <f t="shared" si="649"/>
        <v>751</v>
      </c>
      <c r="O2116" s="86">
        <f t="shared" si="650"/>
        <v>-98.57</v>
      </c>
      <c r="P2116" s="86">
        <f t="shared" si="651"/>
        <v>0</v>
      </c>
      <c r="Q2116" s="86">
        <f t="shared" si="652"/>
        <v>0</v>
      </c>
      <c r="R2116" s="86">
        <f t="shared" si="653"/>
        <v>0</v>
      </c>
      <c r="S2116" s="86">
        <f t="shared" si="654"/>
        <v>0</v>
      </c>
      <c r="T2116" s="86">
        <f t="shared" si="655"/>
        <v>-98.57</v>
      </c>
      <c r="U2116" s="87">
        <v>-98.57</v>
      </c>
    </row>
    <row r="2117" spans="1:22" s="30" customFormat="1" ht="24.6" hidden="1" outlineLevel="1" x14ac:dyDescent="0.55000000000000004">
      <c r="A2117" s="27" t="s">
        <v>327</v>
      </c>
      <c r="B2117" s="28"/>
      <c r="C2117" s="27"/>
      <c r="D2117" s="27" t="str">
        <f>"""NAV Direct"",""CRONUS JetCorp USA"",""21"",""1"",""432943"""</f>
        <v>"NAV Direct","CRONUS JetCorp USA","21","1","432943"</v>
      </c>
      <c r="E2117" s="31" t="str">
        <f t="shared" si="647"/>
        <v>C100069</v>
      </c>
      <c r="F2117" s="31"/>
      <c r="G2117" s="31"/>
      <c r="H2117" s="31"/>
      <c r="I2117" s="56"/>
      <c r="J2117" s="56"/>
      <c r="K2117" s="82" t="str">
        <f>"Credit Memo"</f>
        <v>Credit Memo</v>
      </c>
      <c r="L2117" s="83" t="str">
        <f>"SC_100451"</f>
        <v>SC_100451</v>
      </c>
      <c r="M2117" s="84">
        <v>43198</v>
      </c>
      <c r="N2117" s="85">
        <f t="shared" si="649"/>
        <v>614</v>
      </c>
      <c r="O2117" s="86">
        <f t="shared" si="650"/>
        <v>-76.59</v>
      </c>
      <c r="P2117" s="86">
        <f t="shared" si="651"/>
        <v>0</v>
      </c>
      <c r="Q2117" s="86">
        <f t="shared" si="652"/>
        <v>0</v>
      </c>
      <c r="R2117" s="86">
        <f t="shared" si="653"/>
        <v>0</v>
      </c>
      <c r="S2117" s="86">
        <f t="shared" si="654"/>
        <v>0</v>
      </c>
      <c r="T2117" s="86">
        <f t="shared" si="655"/>
        <v>-76.59</v>
      </c>
      <c r="U2117" s="87">
        <v>-76.59</v>
      </c>
    </row>
    <row r="2118" spans="1:22" s="30" customFormat="1" ht="24.6" hidden="1" outlineLevel="1" x14ac:dyDescent="0.55000000000000004">
      <c r="A2118" s="27" t="s">
        <v>327</v>
      </c>
      <c r="B2118" s="28"/>
      <c r="C2118" s="27"/>
      <c r="D2118" s="27" t="str">
        <f>"""NAV Direct"",""CRONUS JetCorp USA"",""21"",""1"",""432956"""</f>
        <v>"NAV Direct","CRONUS JetCorp USA","21","1","432956"</v>
      </c>
      <c r="E2118" s="31">
        <f t="shared" si="647"/>
        <v>0</v>
      </c>
      <c r="F2118" s="31"/>
      <c r="G2118" s="31"/>
      <c r="H2118" s="31"/>
      <c r="I2118" s="56"/>
      <c r="J2118" s="56"/>
      <c r="K2118" s="82" t="str">
        <f>"Credit Memo"</f>
        <v>Credit Memo</v>
      </c>
      <c r="L2118" s="83" t="str">
        <f>"SC_100452"</f>
        <v>SC_100452</v>
      </c>
      <c r="M2118" s="84">
        <v>43226</v>
      </c>
      <c r="N2118" s="85">
        <f t="shared" si="649"/>
        <v>586</v>
      </c>
      <c r="O2118" s="86">
        <f t="shared" si="650"/>
        <v>-77.2</v>
      </c>
      <c r="P2118" s="86">
        <f t="shared" si="651"/>
        <v>0</v>
      </c>
      <c r="Q2118" s="86">
        <f t="shared" si="652"/>
        <v>0</v>
      </c>
      <c r="R2118" s="86">
        <f t="shared" si="653"/>
        <v>0</v>
      </c>
      <c r="S2118" s="86">
        <f t="shared" si="654"/>
        <v>0</v>
      </c>
      <c r="T2118" s="86">
        <f t="shared" si="655"/>
        <v>-77.2</v>
      </c>
      <c r="U2118" s="87">
        <v>-77.2</v>
      </c>
    </row>
    <row r="2119" spans="1:22" s="30" customFormat="1" ht="24.6" hidden="1" outlineLevel="1" x14ac:dyDescent="0.55000000000000004">
      <c r="A2119" s="27" t="s">
        <v>327</v>
      </c>
      <c r="B2119" s="28"/>
      <c r="C2119" s="27"/>
      <c r="D2119" s="27" t="str">
        <f>"""NAV Direct"",""CRONUS JetCorp USA"",""21"",""1"",""433019"""</f>
        <v>"NAV Direct","CRONUS JetCorp USA","21","1","433019"</v>
      </c>
      <c r="E2119" s="31" t="str">
        <f t="shared" si="647"/>
        <v>C100069</v>
      </c>
      <c r="F2119" s="31"/>
      <c r="G2119" s="31"/>
      <c r="H2119" s="31"/>
      <c r="I2119" s="56"/>
      <c r="J2119" s="56"/>
      <c r="K2119" s="82" t="str">
        <f>"Credit Memo"</f>
        <v>Credit Memo</v>
      </c>
      <c r="L2119" s="83" t="str">
        <f>"SC_100457"</f>
        <v>SC_100457</v>
      </c>
      <c r="M2119" s="84">
        <v>43810</v>
      </c>
      <c r="N2119" s="85">
        <f t="shared" si="649"/>
        <v>2</v>
      </c>
      <c r="O2119" s="86">
        <f t="shared" si="650"/>
        <v>-103.46</v>
      </c>
      <c r="P2119" s="86">
        <f t="shared" si="651"/>
        <v>0</v>
      </c>
      <c r="Q2119" s="86">
        <f t="shared" si="652"/>
        <v>-103.46</v>
      </c>
      <c r="R2119" s="86">
        <f t="shared" si="653"/>
        <v>0</v>
      </c>
      <c r="S2119" s="86">
        <f t="shared" si="654"/>
        <v>0</v>
      </c>
      <c r="T2119" s="86">
        <f t="shared" si="655"/>
        <v>0</v>
      </c>
      <c r="U2119" s="87">
        <v>-103.46</v>
      </c>
    </row>
    <row r="2120" spans="1:22" s="22" customFormat="1" ht="20.399999999999999" collapsed="1" x14ac:dyDescent="0.45">
      <c r="A2120" s="12" t="s">
        <v>327</v>
      </c>
      <c r="B2120" s="19"/>
      <c r="C2120" s="12"/>
      <c r="D2120" s="12"/>
      <c r="E2120" s="23"/>
      <c r="F2120" s="23"/>
      <c r="G2120" s="23"/>
      <c r="H2120" s="23"/>
      <c r="I2120" s="49"/>
      <c r="J2120" s="88"/>
      <c r="K2120" s="88"/>
      <c r="L2120" s="89"/>
      <c r="M2120" s="89"/>
      <c r="N2120" s="89"/>
      <c r="O2120" s="89"/>
      <c r="P2120" s="89"/>
      <c r="Q2120" s="90"/>
      <c r="R2120" s="90"/>
      <c r="S2120" s="91"/>
      <c r="T2120" s="92"/>
      <c r="U2120" s="92"/>
    </row>
    <row r="2121" spans="1:22" s="22" customFormat="1" ht="20.399999999999999" x14ac:dyDescent="0.45">
      <c r="A2121" s="12" t="s">
        <v>327</v>
      </c>
      <c r="B2121" s="19"/>
      <c r="C2121" s="12"/>
      <c r="D2121" s="12"/>
      <c r="E2121" s="23"/>
      <c r="F2121" s="23"/>
      <c r="G2121" s="23"/>
      <c r="H2121" s="23"/>
      <c r="I2121" s="49"/>
      <c r="J2121" s="88"/>
      <c r="K2121" s="88"/>
      <c r="L2121" s="89"/>
      <c r="M2121" s="89"/>
      <c r="N2121" s="89"/>
      <c r="O2121" s="89"/>
      <c r="P2121" s="89"/>
      <c r="Q2121" s="90"/>
      <c r="R2121" s="90"/>
      <c r="S2121" s="91"/>
      <c r="T2121" s="92"/>
      <c r="U2121" s="92"/>
    </row>
    <row r="2122" spans="1:22" s="26" customFormat="1" ht="24.6" x14ac:dyDescent="0.55000000000000004">
      <c r="A2122" s="27" t="s">
        <v>327</v>
      </c>
      <c r="B2122" s="28"/>
      <c r="C2122" s="27" t="str">
        <f>"""NAV Direct"",""CRONUS JetCorp USA"",""18"",""1"",""C100070"""</f>
        <v>"NAV Direct","CRONUS JetCorp USA","18","1","C100070"</v>
      </c>
      <c r="D2122" s="27"/>
      <c r="E2122" s="28" t="str">
        <f>H2122</f>
        <v>C100070</v>
      </c>
      <c r="F2122" s="28"/>
      <c r="G2122" s="28"/>
      <c r="H2122" s="28" t="str">
        <f>"C100070"</f>
        <v>C100070</v>
      </c>
      <c r="I2122" s="116" t="str">
        <f>"C100070  -  Pilatus AG"</f>
        <v>C100070  -  Pilatus AG</v>
      </c>
      <c r="J2122" s="117" t="str">
        <f>""</f>
        <v/>
      </c>
      <c r="K2122" s="118"/>
      <c r="L2122" s="119">
        <f>SUBTOTAL(3,L2123:L2158)</f>
        <v>32</v>
      </c>
      <c r="M2122" s="118"/>
      <c r="N2122" s="118"/>
      <c r="O2122" s="120">
        <f t="shared" ref="O2122:T2122" si="656">SUBTOTAL(9,O2123:O2158)</f>
        <v>270631.76999999996</v>
      </c>
      <c r="P2122" s="120">
        <f t="shared" si="656"/>
        <v>0</v>
      </c>
      <c r="Q2122" s="120">
        <f t="shared" si="656"/>
        <v>0</v>
      </c>
      <c r="R2122" s="120">
        <f t="shared" si="656"/>
        <v>9664.1</v>
      </c>
      <c r="S2122" s="120">
        <f t="shared" si="656"/>
        <v>0</v>
      </c>
      <c r="T2122" s="120">
        <f t="shared" si="656"/>
        <v>260967.67000000007</v>
      </c>
      <c r="U2122" s="81"/>
    </row>
    <row r="2123" spans="1:22" s="26" customFormat="1" ht="24.6" x14ac:dyDescent="0.55000000000000004">
      <c r="A2123" s="27" t="s">
        <v>327</v>
      </c>
      <c r="B2123" s="28"/>
      <c r="C2123" s="27" t="str">
        <f>C2122</f>
        <v>"NAV Direct","CRONUS JetCorp USA","18","1","C100070"</v>
      </c>
      <c r="D2123" s="27"/>
      <c r="E2123" s="28" t="str">
        <f>E2122</f>
        <v>C100070</v>
      </c>
      <c r="F2123" s="28"/>
      <c r="G2123" s="28"/>
      <c r="H2123" s="28"/>
      <c r="I2123" s="121" t="str">
        <f>"Contact: Fr. Gabriele Dickmann"</f>
        <v>Contact: Fr. Gabriele Dickmann</v>
      </c>
      <c r="J2123" s="121"/>
      <c r="K2123" s="122"/>
      <c r="L2123" s="123"/>
      <c r="M2123" s="123"/>
      <c r="N2123" s="124"/>
      <c r="O2123" s="124"/>
      <c r="P2123" s="123"/>
      <c r="Q2123" s="125"/>
      <c r="R2123" s="126"/>
      <c r="S2123" s="126"/>
      <c r="T2123" s="125"/>
      <c r="U2123" s="81"/>
    </row>
    <row r="2124" spans="1:22" s="26" customFormat="1" ht="24.6" x14ac:dyDescent="0.55000000000000004">
      <c r="A2124" s="27" t="s">
        <v>327</v>
      </c>
      <c r="B2124" s="28"/>
      <c r="C2124" s="27" t="str">
        <f>C2123</f>
        <v>"NAV Direct","CRONUS JetCorp USA","18","1","C100070"</v>
      </c>
      <c r="D2124" s="27"/>
      <c r="E2124" s="28" t="str">
        <f>E2123</f>
        <v>C100070</v>
      </c>
      <c r="F2124" s="28"/>
      <c r="G2124" s="28"/>
      <c r="H2124" s="28"/>
      <c r="I2124" s="121" t="str">
        <f>"pilatus.ag@cronuscorp.net"</f>
        <v>pilatus.ag@cronuscorp.net</v>
      </c>
      <c r="J2124" s="121"/>
      <c r="K2124" s="122"/>
      <c r="L2124" s="124"/>
      <c r="M2124" s="124"/>
      <c r="N2124" s="124"/>
      <c r="O2124" s="124"/>
      <c r="P2124" s="123"/>
      <c r="Q2124" s="125"/>
      <c r="R2124" s="126"/>
      <c r="S2124" s="126"/>
      <c r="T2124" s="125"/>
      <c r="U2124" s="81"/>
    </row>
    <row r="2125" spans="1:22" ht="12.75" hidden="1" customHeight="1" outlineLevel="1" x14ac:dyDescent="0.45">
      <c r="A2125" s="12" t="s">
        <v>328</v>
      </c>
      <c r="B2125" s="19"/>
      <c r="E2125" s="19"/>
      <c r="F2125" s="19"/>
      <c r="G2125" s="19"/>
      <c r="H2125" s="19"/>
      <c r="I2125" s="61"/>
      <c r="J2125" s="61"/>
      <c r="K2125" s="61"/>
      <c r="L2125" s="61"/>
      <c r="M2125" s="61"/>
      <c r="N2125" s="61"/>
      <c r="O2125" s="61"/>
      <c r="P2125" s="61"/>
      <c r="Q2125" s="61"/>
      <c r="R2125" s="61"/>
      <c r="S2125" s="61"/>
      <c r="T2125" s="61"/>
      <c r="U2125" s="61"/>
      <c r="V2125" s="21"/>
    </row>
    <row r="2126" spans="1:22" s="30" customFormat="1" ht="24.6" hidden="1" outlineLevel="1" x14ac:dyDescent="0.55000000000000004">
      <c r="A2126" s="27" t="s">
        <v>327</v>
      </c>
      <c r="B2126" s="28"/>
      <c r="C2126" s="27"/>
      <c r="D2126" s="27" t="str">
        <f>"""NAV Direct"",""CRONUS JetCorp USA"",""21"",""1"",""38380"""</f>
        <v>"NAV Direct","CRONUS JetCorp USA","21","1","38380"</v>
      </c>
      <c r="E2126" s="31" t="str">
        <f t="shared" ref="E2126:E2157" si="657">E2124</f>
        <v>C100070</v>
      </c>
      <c r="F2126" s="31"/>
      <c r="G2126" s="31"/>
      <c r="H2126" s="31"/>
      <c r="I2126" s="56"/>
      <c r="J2126" s="56"/>
      <c r="K2126" s="82" t="str">
        <f t="shared" ref="K2126:K2152" si="658">"Invoice"</f>
        <v>Invoice</v>
      </c>
      <c r="L2126" s="83" t="str">
        <f>"SI_104786"</f>
        <v>SI_104786</v>
      </c>
      <c r="M2126" s="84">
        <v>42160</v>
      </c>
      <c r="N2126" s="85">
        <f t="shared" ref="N2126:N2157" si="659">StartDate-$M2126+1</f>
        <v>1652</v>
      </c>
      <c r="O2126" s="86">
        <f t="shared" ref="O2126:O2157" si="660">SUM(P2126:T2126)</f>
        <v>10012.869999999999</v>
      </c>
      <c r="P2126" s="86">
        <f t="shared" ref="P2126:P2157" si="661">IF($M2126&gt;=$P$18,U2126,0)</f>
        <v>0</v>
      </c>
      <c r="Q2126" s="86">
        <f t="shared" ref="Q2126:Q2157" si="662">IF(AND($M2126&gt;=$Q$16,$M2126&lt;=$Q$18),U2126,0)</f>
        <v>0</v>
      </c>
      <c r="R2126" s="86">
        <f t="shared" ref="R2126:R2157" si="663">IF(AND($M2126&gt;=$R$16,$M2126&lt;=$R$18),U2126,0)</f>
        <v>0</v>
      </c>
      <c r="S2126" s="86">
        <f t="shared" ref="S2126:S2157" si="664">IF(AND($M2126&gt;=$S$16,$M2126&lt;=$S$18),U2126,0)</f>
        <v>0</v>
      </c>
      <c r="T2126" s="86">
        <f t="shared" ref="T2126:T2157" si="665">IF($M2126&lt;=$T$18,U2126,0)</f>
        <v>10012.869999999999</v>
      </c>
      <c r="U2126" s="87">
        <v>10012.869999999999</v>
      </c>
    </row>
    <row r="2127" spans="1:22" s="30" customFormat="1" ht="24.6" hidden="1" outlineLevel="1" x14ac:dyDescent="0.55000000000000004">
      <c r="A2127" s="27" t="s">
        <v>327</v>
      </c>
      <c r="B2127" s="28"/>
      <c r="C2127" s="27"/>
      <c r="D2127" s="27" t="str">
        <f>"""NAV Direct"",""CRONUS JetCorp USA"",""21"",""1"",""38541"""</f>
        <v>"NAV Direct","CRONUS JetCorp USA","21","1","38541"</v>
      </c>
      <c r="E2127" s="31">
        <f t="shared" si="657"/>
        <v>0</v>
      </c>
      <c r="F2127" s="31"/>
      <c r="G2127" s="31"/>
      <c r="H2127" s="31"/>
      <c r="I2127" s="56"/>
      <c r="J2127" s="56"/>
      <c r="K2127" s="82" t="str">
        <f t="shared" si="658"/>
        <v>Invoice</v>
      </c>
      <c r="L2127" s="83" t="str">
        <f>"SI_104793"</f>
        <v>SI_104793</v>
      </c>
      <c r="M2127" s="84">
        <v>42242</v>
      </c>
      <c r="N2127" s="85">
        <f t="shared" si="659"/>
        <v>1570</v>
      </c>
      <c r="O2127" s="86">
        <f t="shared" si="660"/>
        <v>8938.85</v>
      </c>
      <c r="P2127" s="86">
        <f t="shared" si="661"/>
        <v>0</v>
      </c>
      <c r="Q2127" s="86">
        <f t="shared" si="662"/>
        <v>0</v>
      </c>
      <c r="R2127" s="86">
        <f t="shared" si="663"/>
        <v>0</v>
      </c>
      <c r="S2127" s="86">
        <f t="shared" si="664"/>
        <v>0</v>
      </c>
      <c r="T2127" s="86">
        <f t="shared" si="665"/>
        <v>8938.85</v>
      </c>
      <c r="U2127" s="87">
        <v>8938.85</v>
      </c>
    </row>
    <row r="2128" spans="1:22" s="30" customFormat="1" ht="24.6" hidden="1" outlineLevel="1" x14ac:dyDescent="0.55000000000000004">
      <c r="A2128" s="27" t="s">
        <v>327</v>
      </c>
      <c r="B2128" s="28"/>
      <c r="C2128" s="27"/>
      <c r="D2128" s="27" t="str">
        <f>"""NAV Direct"",""CRONUS JetCorp USA"",""21"",""1"",""38763"""</f>
        <v>"NAV Direct","CRONUS JetCorp USA","21","1","38763"</v>
      </c>
      <c r="E2128" s="31" t="str">
        <f t="shared" si="657"/>
        <v>C100070</v>
      </c>
      <c r="F2128" s="31"/>
      <c r="G2128" s="31"/>
      <c r="H2128" s="31"/>
      <c r="I2128" s="56"/>
      <c r="J2128" s="56"/>
      <c r="K2128" s="82" t="str">
        <f t="shared" si="658"/>
        <v>Invoice</v>
      </c>
      <c r="L2128" s="83" t="str">
        <f>"SI_104803"</f>
        <v>SI_104803</v>
      </c>
      <c r="M2128" s="84">
        <v>42335</v>
      </c>
      <c r="N2128" s="85">
        <f t="shared" si="659"/>
        <v>1477</v>
      </c>
      <c r="O2128" s="86">
        <f t="shared" si="660"/>
        <v>9489.98</v>
      </c>
      <c r="P2128" s="86">
        <f t="shared" si="661"/>
        <v>0</v>
      </c>
      <c r="Q2128" s="86">
        <f t="shared" si="662"/>
        <v>0</v>
      </c>
      <c r="R2128" s="86">
        <f t="shared" si="663"/>
        <v>0</v>
      </c>
      <c r="S2128" s="86">
        <f t="shared" si="664"/>
        <v>0</v>
      </c>
      <c r="T2128" s="86">
        <f t="shared" si="665"/>
        <v>9489.98</v>
      </c>
      <c r="U2128" s="87">
        <v>9489.98</v>
      </c>
    </row>
    <row r="2129" spans="1:21" s="30" customFormat="1" ht="24.6" hidden="1" outlineLevel="1" x14ac:dyDescent="0.55000000000000004">
      <c r="A2129" s="27" t="s">
        <v>327</v>
      </c>
      <c r="B2129" s="28"/>
      <c r="C2129" s="27"/>
      <c r="D2129" s="27" t="str">
        <f>"""NAV Direct"",""CRONUS JetCorp USA"",""21"",""1"",""38838"""</f>
        <v>"NAV Direct","CRONUS JetCorp USA","21","1","38838"</v>
      </c>
      <c r="E2129" s="31">
        <f t="shared" si="657"/>
        <v>0</v>
      </c>
      <c r="F2129" s="31"/>
      <c r="G2129" s="31"/>
      <c r="H2129" s="31"/>
      <c r="I2129" s="56"/>
      <c r="J2129" s="56"/>
      <c r="K2129" s="82" t="str">
        <f t="shared" si="658"/>
        <v>Invoice</v>
      </c>
      <c r="L2129" s="83" t="str">
        <f>"SI_104806"</f>
        <v>SI_104806</v>
      </c>
      <c r="M2129" s="84">
        <v>42363</v>
      </c>
      <c r="N2129" s="85">
        <f t="shared" si="659"/>
        <v>1449</v>
      </c>
      <c r="O2129" s="86">
        <f t="shared" si="660"/>
        <v>9515.84</v>
      </c>
      <c r="P2129" s="86">
        <f t="shared" si="661"/>
        <v>0</v>
      </c>
      <c r="Q2129" s="86">
        <f t="shared" si="662"/>
        <v>0</v>
      </c>
      <c r="R2129" s="86">
        <f t="shared" si="663"/>
        <v>0</v>
      </c>
      <c r="S2129" s="86">
        <f t="shared" si="664"/>
        <v>0</v>
      </c>
      <c r="T2129" s="86">
        <f t="shared" si="665"/>
        <v>9515.84</v>
      </c>
      <c r="U2129" s="87">
        <v>9515.84</v>
      </c>
    </row>
    <row r="2130" spans="1:21" s="30" customFormat="1" ht="24.6" hidden="1" outlineLevel="1" x14ac:dyDescent="0.55000000000000004">
      <c r="A2130" s="27" t="s">
        <v>327</v>
      </c>
      <c r="B2130" s="28"/>
      <c r="C2130" s="27"/>
      <c r="D2130" s="27" t="str">
        <f>"""NAV Direct"",""CRONUS JetCorp USA"",""21"",""1"",""330063"""</f>
        <v>"NAV Direct","CRONUS JetCorp USA","21","1","330063"</v>
      </c>
      <c r="E2130" s="31" t="str">
        <f t="shared" si="657"/>
        <v>C100070</v>
      </c>
      <c r="F2130" s="31"/>
      <c r="G2130" s="31"/>
      <c r="H2130" s="31"/>
      <c r="I2130" s="56"/>
      <c r="J2130" s="56"/>
      <c r="K2130" s="82" t="str">
        <f t="shared" si="658"/>
        <v>Invoice</v>
      </c>
      <c r="L2130" s="83" t="str">
        <f>"SI_110381"</f>
        <v>SI_110381</v>
      </c>
      <c r="M2130" s="84">
        <v>42489</v>
      </c>
      <c r="N2130" s="85">
        <f t="shared" si="659"/>
        <v>1323</v>
      </c>
      <c r="O2130" s="86">
        <f t="shared" si="660"/>
        <v>13214.26</v>
      </c>
      <c r="P2130" s="86">
        <f t="shared" si="661"/>
        <v>0</v>
      </c>
      <c r="Q2130" s="86">
        <f t="shared" si="662"/>
        <v>0</v>
      </c>
      <c r="R2130" s="86">
        <f t="shared" si="663"/>
        <v>0</v>
      </c>
      <c r="S2130" s="86">
        <f t="shared" si="664"/>
        <v>0</v>
      </c>
      <c r="T2130" s="86">
        <f t="shared" si="665"/>
        <v>13214.26</v>
      </c>
      <c r="U2130" s="87">
        <v>13214.26</v>
      </c>
    </row>
    <row r="2131" spans="1:21" s="30" customFormat="1" ht="24.6" hidden="1" outlineLevel="1" x14ac:dyDescent="0.55000000000000004">
      <c r="A2131" s="27" t="s">
        <v>327</v>
      </c>
      <c r="B2131" s="28"/>
      <c r="C2131" s="27"/>
      <c r="D2131" s="27" t="str">
        <f>"""NAV Direct"",""CRONUS JetCorp USA"",""21"",""1"",""330116"""</f>
        <v>"NAV Direct","CRONUS JetCorp USA","21","1","330116"</v>
      </c>
      <c r="E2131" s="31">
        <f t="shared" si="657"/>
        <v>0</v>
      </c>
      <c r="F2131" s="31"/>
      <c r="G2131" s="31"/>
      <c r="H2131" s="31"/>
      <c r="I2131" s="56"/>
      <c r="J2131" s="56"/>
      <c r="K2131" s="82" t="str">
        <f t="shared" si="658"/>
        <v>Invoice</v>
      </c>
      <c r="L2131" s="83" t="str">
        <f>"SI_110383"</f>
        <v>SI_110383</v>
      </c>
      <c r="M2131" s="84">
        <v>42516</v>
      </c>
      <c r="N2131" s="85">
        <f t="shared" si="659"/>
        <v>1296</v>
      </c>
      <c r="O2131" s="86">
        <f t="shared" si="660"/>
        <v>12865.47</v>
      </c>
      <c r="P2131" s="86">
        <f t="shared" si="661"/>
        <v>0</v>
      </c>
      <c r="Q2131" s="86">
        <f t="shared" si="662"/>
        <v>0</v>
      </c>
      <c r="R2131" s="86">
        <f t="shared" si="663"/>
        <v>0</v>
      </c>
      <c r="S2131" s="86">
        <f t="shared" si="664"/>
        <v>0</v>
      </c>
      <c r="T2131" s="86">
        <f t="shared" si="665"/>
        <v>12865.47</v>
      </c>
      <c r="U2131" s="87">
        <v>12865.47</v>
      </c>
    </row>
    <row r="2132" spans="1:21" s="30" customFormat="1" ht="24.6" hidden="1" outlineLevel="1" x14ac:dyDescent="0.55000000000000004">
      <c r="A2132" s="27" t="s">
        <v>327</v>
      </c>
      <c r="B2132" s="28"/>
      <c r="C2132" s="27"/>
      <c r="D2132" s="27" t="str">
        <f>"""NAV Direct"",""CRONUS JetCorp USA"",""21"",""1"",""330279"""</f>
        <v>"NAV Direct","CRONUS JetCorp USA","21","1","330279"</v>
      </c>
      <c r="E2132" s="31" t="str">
        <f t="shared" si="657"/>
        <v>C100070</v>
      </c>
      <c r="F2132" s="31"/>
      <c r="G2132" s="31"/>
      <c r="H2132" s="31"/>
      <c r="I2132" s="56"/>
      <c r="J2132" s="56"/>
      <c r="K2132" s="82" t="str">
        <f t="shared" si="658"/>
        <v>Invoice</v>
      </c>
      <c r="L2132" s="83" t="str">
        <f>"SI_110389"</f>
        <v>SI_110389</v>
      </c>
      <c r="M2132" s="84">
        <v>42634</v>
      </c>
      <c r="N2132" s="85">
        <f t="shared" si="659"/>
        <v>1178</v>
      </c>
      <c r="O2132" s="86">
        <f t="shared" si="660"/>
        <v>13147.64</v>
      </c>
      <c r="P2132" s="86">
        <f t="shared" si="661"/>
        <v>0</v>
      </c>
      <c r="Q2132" s="86">
        <f t="shared" si="662"/>
        <v>0</v>
      </c>
      <c r="R2132" s="86">
        <f t="shared" si="663"/>
        <v>0</v>
      </c>
      <c r="S2132" s="86">
        <f t="shared" si="664"/>
        <v>0</v>
      </c>
      <c r="T2132" s="86">
        <f t="shared" si="665"/>
        <v>13147.64</v>
      </c>
      <c r="U2132" s="87">
        <v>13147.64</v>
      </c>
    </row>
    <row r="2133" spans="1:21" s="30" customFormat="1" ht="24.6" hidden="1" outlineLevel="1" x14ac:dyDescent="0.55000000000000004">
      <c r="A2133" s="27" t="s">
        <v>327</v>
      </c>
      <c r="B2133" s="28"/>
      <c r="C2133" s="27"/>
      <c r="D2133" s="27" t="str">
        <f>"""NAV Direct"",""CRONUS JetCorp USA"",""21"",""1"",""330360"""</f>
        <v>"NAV Direct","CRONUS JetCorp USA","21","1","330360"</v>
      </c>
      <c r="E2133" s="31">
        <f t="shared" si="657"/>
        <v>0</v>
      </c>
      <c r="F2133" s="31"/>
      <c r="G2133" s="31"/>
      <c r="H2133" s="31"/>
      <c r="I2133" s="56"/>
      <c r="J2133" s="56"/>
      <c r="K2133" s="82" t="str">
        <f t="shared" si="658"/>
        <v>Invoice</v>
      </c>
      <c r="L2133" s="83" t="str">
        <f>"SI_110392"</f>
        <v>SI_110392</v>
      </c>
      <c r="M2133" s="84">
        <v>42705</v>
      </c>
      <c r="N2133" s="85">
        <f t="shared" si="659"/>
        <v>1107</v>
      </c>
      <c r="O2133" s="86">
        <f t="shared" si="660"/>
        <v>13646.5</v>
      </c>
      <c r="P2133" s="86">
        <f t="shared" si="661"/>
        <v>0</v>
      </c>
      <c r="Q2133" s="86">
        <f t="shared" si="662"/>
        <v>0</v>
      </c>
      <c r="R2133" s="86">
        <f t="shared" si="663"/>
        <v>0</v>
      </c>
      <c r="S2133" s="86">
        <f t="shared" si="664"/>
        <v>0</v>
      </c>
      <c r="T2133" s="86">
        <f t="shared" si="665"/>
        <v>13646.5</v>
      </c>
      <c r="U2133" s="87">
        <v>13646.5</v>
      </c>
    </row>
    <row r="2134" spans="1:21" s="30" customFormat="1" ht="24.6" hidden="1" outlineLevel="1" x14ac:dyDescent="0.55000000000000004">
      <c r="A2134" s="27" t="s">
        <v>327</v>
      </c>
      <c r="B2134" s="28"/>
      <c r="C2134" s="27"/>
      <c r="D2134" s="27" t="str">
        <f>"""NAV Direct"",""CRONUS JetCorp USA"",""21"",""1"",""330416"""</f>
        <v>"NAV Direct","CRONUS JetCorp USA","21","1","330416"</v>
      </c>
      <c r="E2134" s="31" t="str">
        <f t="shared" si="657"/>
        <v>C100070</v>
      </c>
      <c r="F2134" s="31"/>
      <c r="G2134" s="31"/>
      <c r="H2134" s="31"/>
      <c r="I2134" s="56"/>
      <c r="J2134" s="56"/>
      <c r="K2134" s="82" t="str">
        <f t="shared" si="658"/>
        <v>Invoice</v>
      </c>
      <c r="L2134" s="83" t="str">
        <f>"SI_110394"</f>
        <v>SI_110394</v>
      </c>
      <c r="M2134" s="84">
        <v>42734</v>
      </c>
      <c r="N2134" s="85">
        <f t="shared" si="659"/>
        <v>1078</v>
      </c>
      <c r="O2134" s="86">
        <f t="shared" si="660"/>
        <v>13708.85</v>
      </c>
      <c r="P2134" s="86">
        <f t="shared" si="661"/>
        <v>0</v>
      </c>
      <c r="Q2134" s="86">
        <f t="shared" si="662"/>
        <v>0</v>
      </c>
      <c r="R2134" s="86">
        <f t="shared" si="663"/>
        <v>0</v>
      </c>
      <c r="S2134" s="86">
        <f t="shared" si="664"/>
        <v>0</v>
      </c>
      <c r="T2134" s="86">
        <f t="shared" si="665"/>
        <v>13708.85</v>
      </c>
      <c r="U2134" s="87">
        <v>13708.85</v>
      </c>
    </row>
    <row r="2135" spans="1:21" s="30" customFormat="1" ht="24.6" hidden="1" outlineLevel="1" x14ac:dyDescent="0.55000000000000004">
      <c r="A2135" s="27" t="s">
        <v>327</v>
      </c>
      <c r="B2135" s="28"/>
      <c r="C2135" s="27"/>
      <c r="D2135" s="27" t="str">
        <f>"""NAV Direct"",""CRONUS JetCorp USA"",""21"",""1"",""330470"""</f>
        <v>"NAV Direct","CRONUS JetCorp USA","21","1","330470"</v>
      </c>
      <c r="E2135" s="31">
        <f t="shared" si="657"/>
        <v>0</v>
      </c>
      <c r="F2135" s="31"/>
      <c r="G2135" s="31"/>
      <c r="H2135" s="31"/>
      <c r="I2135" s="56"/>
      <c r="J2135" s="56"/>
      <c r="K2135" s="82" t="str">
        <f t="shared" si="658"/>
        <v>Invoice</v>
      </c>
      <c r="L2135" s="83" t="str">
        <f>"SI_110396"</f>
        <v>SI_110396</v>
      </c>
      <c r="M2135" s="84">
        <v>42769</v>
      </c>
      <c r="N2135" s="85">
        <f t="shared" si="659"/>
        <v>1043</v>
      </c>
      <c r="O2135" s="86">
        <f t="shared" si="660"/>
        <v>14003.15</v>
      </c>
      <c r="P2135" s="86">
        <f t="shared" si="661"/>
        <v>0</v>
      </c>
      <c r="Q2135" s="86">
        <f t="shared" si="662"/>
        <v>0</v>
      </c>
      <c r="R2135" s="86">
        <f t="shared" si="663"/>
        <v>0</v>
      </c>
      <c r="S2135" s="86">
        <f t="shared" si="664"/>
        <v>0</v>
      </c>
      <c r="T2135" s="86">
        <f t="shared" si="665"/>
        <v>14003.15</v>
      </c>
      <c r="U2135" s="87">
        <v>14003.15</v>
      </c>
    </row>
    <row r="2136" spans="1:21" s="30" customFormat="1" ht="24.6" hidden="1" outlineLevel="1" x14ac:dyDescent="0.55000000000000004">
      <c r="A2136" s="27" t="s">
        <v>327</v>
      </c>
      <c r="B2136" s="28"/>
      <c r="C2136" s="27"/>
      <c r="D2136" s="27" t="str">
        <f>"""NAV Direct"",""CRONUS JetCorp USA"",""21"",""1"",""330731"""</f>
        <v>"NAV Direct","CRONUS JetCorp USA","21","1","330731"</v>
      </c>
      <c r="E2136" s="31" t="str">
        <f t="shared" si="657"/>
        <v>C100070</v>
      </c>
      <c r="F2136" s="31"/>
      <c r="G2136" s="31"/>
      <c r="H2136" s="31"/>
      <c r="I2136" s="56"/>
      <c r="J2136" s="56"/>
      <c r="K2136" s="82" t="str">
        <f t="shared" si="658"/>
        <v>Invoice</v>
      </c>
      <c r="L2136" s="83" t="str">
        <f>"SI_110405"</f>
        <v>SI_110405</v>
      </c>
      <c r="M2136" s="84">
        <v>42965</v>
      </c>
      <c r="N2136" s="85">
        <f t="shared" si="659"/>
        <v>847</v>
      </c>
      <c r="O2136" s="86">
        <f t="shared" si="660"/>
        <v>11920.94</v>
      </c>
      <c r="P2136" s="86">
        <f t="shared" si="661"/>
        <v>0</v>
      </c>
      <c r="Q2136" s="86">
        <f t="shared" si="662"/>
        <v>0</v>
      </c>
      <c r="R2136" s="86">
        <f t="shared" si="663"/>
        <v>0</v>
      </c>
      <c r="S2136" s="86">
        <f t="shared" si="664"/>
        <v>0</v>
      </c>
      <c r="T2136" s="86">
        <f t="shared" si="665"/>
        <v>11920.94</v>
      </c>
      <c r="U2136" s="87">
        <v>11920.94</v>
      </c>
    </row>
    <row r="2137" spans="1:21" s="30" customFormat="1" ht="24.6" hidden="1" outlineLevel="1" x14ac:dyDescent="0.55000000000000004">
      <c r="A2137" s="27" t="s">
        <v>327</v>
      </c>
      <c r="B2137" s="28"/>
      <c r="C2137" s="27"/>
      <c r="D2137" s="27" t="str">
        <f>"""NAV Direct"",""CRONUS JetCorp USA"",""21"",""1"",""330885"""</f>
        <v>"NAV Direct","CRONUS JetCorp USA","21","1","330885"</v>
      </c>
      <c r="E2137" s="31">
        <f t="shared" si="657"/>
        <v>0</v>
      </c>
      <c r="F2137" s="31"/>
      <c r="G2137" s="31"/>
      <c r="H2137" s="31"/>
      <c r="I2137" s="56"/>
      <c r="J2137" s="56"/>
      <c r="K2137" s="82" t="str">
        <f t="shared" si="658"/>
        <v>Invoice</v>
      </c>
      <c r="L2137" s="83" t="str">
        <f>"SI_110411"</f>
        <v>SI_110411</v>
      </c>
      <c r="M2137" s="84">
        <v>43095</v>
      </c>
      <c r="N2137" s="85">
        <f t="shared" si="659"/>
        <v>717</v>
      </c>
      <c r="O2137" s="86">
        <f t="shared" si="660"/>
        <v>9295.6299999999992</v>
      </c>
      <c r="P2137" s="86">
        <f t="shared" si="661"/>
        <v>0</v>
      </c>
      <c r="Q2137" s="86">
        <f t="shared" si="662"/>
        <v>0</v>
      </c>
      <c r="R2137" s="86">
        <f t="shared" si="663"/>
        <v>0</v>
      </c>
      <c r="S2137" s="86">
        <f t="shared" si="664"/>
        <v>0</v>
      </c>
      <c r="T2137" s="86">
        <f t="shared" si="665"/>
        <v>9295.6299999999992</v>
      </c>
      <c r="U2137" s="87">
        <v>9295.6299999999992</v>
      </c>
    </row>
    <row r="2138" spans="1:21" s="30" customFormat="1" ht="24.6" hidden="1" outlineLevel="1" x14ac:dyDescent="0.55000000000000004">
      <c r="A2138" s="27" t="s">
        <v>327</v>
      </c>
      <c r="B2138" s="28"/>
      <c r="C2138" s="27"/>
      <c r="D2138" s="27" t="str">
        <f>"""NAV Direct"",""CRONUS JetCorp USA"",""21"",""1"",""331071"""</f>
        <v>"NAV Direct","CRONUS JetCorp USA","21","1","331071"</v>
      </c>
      <c r="E2138" s="31" t="str">
        <f t="shared" si="657"/>
        <v>C100070</v>
      </c>
      <c r="F2138" s="31"/>
      <c r="G2138" s="31"/>
      <c r="H2138" s="31"/>
      <c r="I2138" s="56"/>
      <c r="J2138" s="56"/>
      <c r="K2138" s="82" t="str">
        <f t="shared" si="658"/>
        <v>Invoice</v>
      </c>
      <c r="L2138" s="83" t="str">
        <f>"SI_110419"</f>
        <v>SI_110419</v>
      </c>
      <c r="M2138" s="84">
        <v>43266</v>
      </c>
      <c r="N2138" s="85">
        <f t="shared" si="659"/>
        <v>546</v>
      </c>
      <c r="O2138" s="86">
        <f t="shared" si="660"/>
        <v>7542.9</v>
      </c>
      <c r="P2138" s="86">
        <f t="shared" si="661"/>
        <v>0</v>
      </c>
      <c r="Q2138" s="86">
        <f t="shared" si="662"/>
        <v>0</v>
      </c>
      <c r="R2138" s="86">
        <f t="shared" si="663"/>
        <v>0</v>
      </c>
      <c r="S2138" s="86">
        <f t="shared" si="664"/>
        <v>0</v>
      </c>
      <c r="T2138" s="86">
        <f t="shared" si="665"/>
        <v>7542.9</v>
      </c>
      <c r="U2138" s="87">
        <v>7542.9</v>
      </c>
    </row>
    <row r="2139" spans="1:21" s="30" customFormat="1" ht="24.6" hidden="1" outlineLevel="1" x14ac:dyDescent="0.55000000000000004">
      <c r="A2139" s="27" t="s">
        <v>327</v>
      </c>
      <c r="B2139" s="28"/>
      <c r="C2139" s="27"/>
      <c r="D2139" s="27" t="str">
        <f>"""NAV Direct"",""CRONUS JetCorp USA"",""21"",""1"",""331132"""</f>
        <v>"NAV Direct","CRONUS JetCorp USA","21","1","331132"</v>
      </c>
      <c r="E2139" s="31">
        <f t="shared" si="657"/>
        <v>0</v>
      </c>
      <c r="F2139" s="31"/>
      <c r="G2139" s="31"/>
      <c r="H2139" s="31"/>
      <c r="I2139" s="56"/>
      <c r="J2139" s="56"/>
      <c r="K2139" s="82" t="str">
        <f t="shared" si="658"/>
        <v>Invoice</v>
      </c>
      <c r="L2139" s="83" t="str">
        <f>"SI_110422"</f>
        <v>SI_110422</v>
      </c>
      <c r="M2139" s="84">
        <v>43319</v>
      </c>
      <c r="N2139" s="85">
        <f t="shared" si="659"/>
        <v>493</v>
      </c>
      <c r="O2139" s="86">
        <f t="shared" si="660"/>
        <v>7463.19</v>
      </c>
      <c r="P2139" s="86">
        <f t="shared" si="661"/>
        <v>0</v>
      </c>
      <c r="Q2139" s="86">
        <f t="shared" si="662"/>
        <v>0</v>
      </c>
      <c r="R2139" s="86">
        <f t="shared" si="663"/>
        <v>0</v>
      </c>
      <c r="S2139" s="86">
        <f t="shared" si="664"/>
        <v>0</v>
      </c>
      <c r="T2139" s="86">
        <f t="shared" si="665"/>
        <v>7463.19</v>
      </c>
      <c r="U2139" s="87">
        <v>7463.19</v>
      </c>
    </row>
    <row r="2140" spans="1:21" s="30" customFormat="1" ht="24.6" hidden="1" outlineLevel="1" x14ac:dyDescent="0.55000000000000004">
      <c r="A2140" s="27" t="s">
        <v>327</v>
      </c>
      <c r="B2140" s="28"/>
      <c r="C2140" s="27"/>
      <c r="D2140" s="27" t="str">
        <f>"""NAV Direct"",""CRONUS JetCorp USA"",""21"",""1"",""331161"""</f>
        <v>"NAV Direct","CRONUS JetCorp USA","21","1","331161"</v>
      </c>
      <c r="E2140" s="31" t="str">
        <f t="shared" si="657"/>
        <v>C100070</v>
      </c>
      <c r="F2140" s="31"/>
      <c r="G2140" s="31"/>
      <c r="H2140" s="31"/>
      <c r="I2140" s="56"/>
      <c r="J2140" s="56"/>
      <c r="K2140" s="82" t="str">
        <f t="shared" si="658"/>
        <v>Invoice</v>
      </c>
      <c r="L2140" s="83" t="str">
        <f>"SI_110423"</f>
        <v>SI_110423</v>
      </c>
      <c r="M2140" s="84">
        <v>43332</v>
      </c>
      <c r="N2140" s="85">
        <f t="shared" si="659"/>
        <v>480</v>
      </c>
      <c r="O2140" s="86">
        <f t="shared" si="660"/>
        <v>7262.5700000000006</v>
      </c>
      <c r="P2140" s="86">
        <f t="shared" si="661"/>
        <v>0</v>
      </c>
      <c r="Q2140" s="86">
        <f t="shared" si="662"/>
        <v>0</v>
      </c>
      <c r="R2140" s="86">
        <f t="shared" si="663"/>
        <v>0</v>
      </c>
      <c r="S2140" s="86">
        <f t="shared" si="664"/>
        <v>0</v>
      </c>
      <c r="T2140" s="86">
        <f t="shared" si="665"/>
        <v>7262.5700000000006</v>
      </c>
      <c r="U2140" s="87">
        <v>7262.5700000000006</v>
      </c>
    </row>
    <row r="2141" spans="1:21" s="30" customFormat="1" ht="24.6" hidden="1" outlineLevel="1" x14ac:dyDescent="0.55000000000000004">
      <c r="A2141" s="27" t="s">
        <v>327</v>
      </c>
      <c r="B2141" s="28"/>
      <c r="C2141" s="27"/>
      <c r="D2141" s="27" t="str">
        <f>"""NAV Direct"",""CRONUS JetCorp USA"",""21"",""1"",""331186"""</f>
        <v>"NAV Direct","CRONUS JetCorp USA","21","1","331186"</v>
      </c>
      <c r="E2141" s="31">
        <f t="shared" si="657"/>
        <v>0</v>
      </c>
      <c r="F2141" s="31"/>
      <c r="G2141" s="31"/>
      <c r="H2141" s="31"/>
      <c r="I2141" s="56"/>
      <c r="J2141" s="56"/>
      <c r="K2141" s="82" t="str">
        <f t="shared" si="658"/>
        <v>Invoice</v>
      </c>
      <c r="L2141" s="83" t="str">
        <f>"SI_110424"</f>
        <v>SI_110424</v>
      </c>
      <c r="M2141" s="84">
        <v>43342</v>
      </c>
      <c r="N2141" s="85">
        <f t="shared" si="659"/>
        <v>470</v>
      </c>
      <c r="O2141" s="86">
        <f t="shared" si="660"/>
        <v>7185.76</v>
      </c>
      <c r="P2141" s="86">
        <f t="shared" si="661"/>
        <v>0</v>
      </c>
      <c r="Q2141" s="86">
        <f t="shared" si="662"/>
        <v>0</v>
      </c>
      <c r="R2141" s="86">
        <f t="shared" si="663"/>
        <v>0</v>
      </c>
      <c r="S2141" s="86">
        <f t="shared" si="664"/>
        <v>0</v>
      </c>
      <c r="T2141" s="86">
        <f t="shared" si="665"/>
        <v>7185.76</v>
      </c>
      <c r="U2141" s="87">
        <v>7185.76</v>
      </c>
    </row>
    <row r="2142" spans="1:21" s="30" customFormat="1" ht="24.6" hidden="1" outlineLevel="1" x14ac:dyDescent="0.55000000000000004">
      <c r="A2142" s="27" t="s">
        <v>327</v>
      </c>
      <c r="B2142" s="28"/>
      <c r="C2142" s="27"/>
      <c r="D2142" s="27" t="str">
        <f>"""NAV Direct"",""CRONUS JetCorp USA"",""21"",""1"",""331337"""</f>
        <v>"NAV Direct","CRONUS JetCorp USA","21","1","331337"</v>
      </c>
      <c r="E2142" s="31" t="str">
        <f t="shared" si="657"/>
        <v>C100070</v>
      </c>
      <c r="F2142" s="31"/>
      <c r="G2142" s="31"/>
      <c r="H2142" s="31"/>
      <c r="I2142" s="56"/>
      <c r="J2142" s="56"/>
      <c r="K2142" s="82" t="str">
        <f t="shared" si="658"/>
        <v>Invoice</v>
      </c>
      <c r="L2142" s="83" t="str">
        <f>"SI_110431"</f>
        <v>SI_110431</v>
      </c>
      <c r="M2142" s="84">
        <v>43496</v>
      </c>
      <c r="N2142" s="85">
        <f t="shared" si="659"/>
        <v>316</v>
      </c>
      <c r="O2142" s="86">
        <f t="shared" si="660"/>
        <v>8193.27</v>
      </c>
      <c r="P2142" s="86">
        <f t="shared" si="661"/>
        <v>0</v>
      </c>
      <c r="Q2142" s="86">
        <f t="shared" si="662"/>
        <v>0</v>
      </c>
      <c r="R2142" s="86">
        <f t="shared" si="663"/>
        <v>0</v>
      </c>
      <c r="S2142" s="86">
        <f t="shared" si="664"/>
        <v>0</v>
      </c>
      <c r="T2142" s="86">
        <f t="shared" si="665"/>
        <v>8193.27</v>
      </c>
      <c r="U2142" s="87">
        <v>8193.27</v>
      </c>
    </row>
    <row r="2143" spans="1:21" s="30" customFormat="1" ht="24.6" hidden="1" outlineLevel="1" x14ac:dyDescent="0.55000000000000004">
      <c r="A2143" s="27" t="s">
        <v>327</v>
      </c>
      <c r="B2143" s="28"/>
      <c r="C2143" s="27"/>
      <c r="D2143" s="27" t="str">
        <f>"""NAV Direct"",""CRONUS JetCorp USA"",""21"",""1"",""331364"""</f>
        <v>"NAV Direct","CRONUS JetCorp USA","21","1","331364"</v>
      </c>
      <c r="E2143" s="31">
        <f t="shared" si="657"/>
        <v>0</v>
      </c>
      <c r="F2143" s="31"/>
      <c r="G2143" s="31"/>
      <c r="H2143" s="31"/>
      <c r="I2143" s="56"/>
      <c r="J2143" s="56"/>
      <c r="K2143" s="82" t="str">
        <f t="shared" si="658"/>
        <v>Invoice</v>
      </c>
      <c r="L2143" s="83" t="str">
        <f>"SI_110432"</f>
        <v>SI_110432</v>
      </c>
      <c r="M2143" s="84">
        <v>43505</v>
      </c>
      <c r="N2143" s="85">
        <f t="shared" si="659"/>
        <v>307</v>
      </c>
      <c r="O2143" s="86">
        <f t="shared" si="660"/>
        <v>8193.7199999999993</v>
      </c>
      <c r="P2143" s="86">
        <f t="shared" si="661"/>
        <v>0</v>
      </c>
      <c r="Q2143" s="86">
        <f t="shared" si="662"/>
        <v>0</v>
      </c>
      <c r="R2143" s="86">
        <f t="shared" si="663"/>
        <v>0</v>
      </c>
      <c r="S2143" s="86">
        <f t="shared" si="664"/>
        <v>0</v>
      </c>
      <c r="T2143" s="86">
        <f t="shared" si="665"/>
        <v>8193.7199999999993</v>
      </c>
      <c r="U2143" s="87">
        <v>8193.7199999999993</v>
      </c>
    </row>
    <row r="2144" spans="1:21" s="30" customFormat="1" ht="24.6" hidden="1" outlineLevel="1" x14ac:dyDescent="0.55000000000000004">
      <c r="A2144" s="27" t="s">
        <v>327</v>
      </c>
      <c r="B2144" s="28"/>
      <c r="C2144" s="27"/>
      <c r="D2144" s="27" t="str">
        <f>"""NAV Direct"",""CRONUS JetCorp USA"",""21"",""1"",""331508"""</f>
        <v>"NAV Direct","CRONUS JetCorp USA","21","1","331508"</v>
      </c>
      <c r="E2144" s="31" t="str">
        <f t="shared" si="657"/>
        <v>C100070</v>
      </c>
      <c r="F2144" s="31"/>
      <c r="G2144" s="31"/>
      <c r="H2144" s="31"/>
      <c r="I2144" s="56"/>
      <c r="J2144" s="56"/>
      <c r="K2144" s="82" t="str">
        <f t="shared" si="658"/>
        <v>Invoice</v>
      </c>
      <c r="L2144" s="83" t="str">
        <f>"SI_110438"</f>
        <v>SI_110438</v>
      </c>
      <c r="M2144" s="84">
        <v>43612</v>
      </c>
      <c r="N2144" s="85">
        <f t="shared" si="659"/>
        <v>200</v>
      </c>
      <c r="O2144" s="86">
        <f t="shared" si="660"/>
        <v>8915.23</v>
      </c>
      <c r="P2144" s="86">
        <f t="shared" si="661"/>
        <v>0</v>
      </c>
      <c r="Q2144" s="86">
        <f t="shared" si="662"/>
        <v>0</v>
      </c>
      <c r="R2144" s="86">
        <f t="shared" si="663"/>
        <v>0</v>
      </c>
      <c r="S2144" s="86">
        <f t="shared" si="664"/>
        <v>0</v>
      </c>
      <c r="T2144" s="86">
        <f t="shared" si="665"/>
        <v>8915.23</v>
      </c>
      <c r="U2144" s="87">
        <v>8915.23</v>
      </c>
    </row>
    <row r="2145" spans="1:21" s="30" customFormat="1" ht="24.6" hidden="1" outlineLevel="1" x14ac:dyDescent="0.55000000000000004">
      <c r="A2145" s="27" t="s">
        <v>327</v>
      </c>
      <c r="B2145" s="28"/>
      <c r="C2145" s="27"/>
      <c r="D2145" s="27" t="str">
        <f>"""NAV Direct"",""CRONUS JetCorp USA"",""21"",""1"",""331552"""</f>
        <v>"NAV Direct","CRONUS JetCorp USA","21","1","331552"</v>
      </c>
      <c r="E2145" s="31">
        <f t="shared" si="657"/>
        <v>0</v>
      </c>
      <c r="F2145" s="31"/>
      <c r="G2145" s="31"/>
      <c r="H2145" s="31"/>
      <c r="I2145" s="56"/>
      <c r="J2145" s="56"/>
      <c r="K2145" s="82" t="str">
        <f t="shared" si="658"/>
        <v>Invoice</v>
      </c>
      <c r="L2145" s="83" t="str">
        <f>"SI_110440"</f>
        <v>SI_110440</v>
      </c>
      <c r="M2145" s="84">
        <v>43628</v>
      </c>
      <c r="N2145" s="85">
        <f t="shared" si="659"/>
        <v>184</v>
      </c>
      <c r="O2145" s="86">
        <f t="shared" si="660"/>
        <v>9133.32</v>
      </c>
      <c r="P2145" s="86">
        <f t="shared" si="661"/>
        <v>0</v>
      </c>
      <c r="Q2145" s="86">
        <f t="shared" si="662"/>
        <v>0</v>
      </c>
      <c r="R2145" s="86">
        <f t="shared" si="663"/>
        <v>0</v>
      </c>
      <c r="S2145" s="86">
        <f t="shared" si="664"/>
        <v>0</v>
      </c>
      <c r="T2145" s="86">
        <f t="shared" si="665"/>
        <v>9133.32</v>
      </c>
      <c r="U2145" s="87">
        <v>9133.32</v>
      </c>
    </row>
    <row r="2146" spans="1:21" s="30" customFormat="1" ht="24.6" hidden="1" outlineLevel="1" x14ac:dyDescent="0.55000000000000004">
      <c r="A2146" s="27" t="s">
        <v>327</v>
      </c>
      <c r="B2146" s="28"/>
      <c r="C2146" s="27"/>
      <c r="D2146" s="27" t="str">
        <f>"""NAV Direct"",""CRONUS JetCorp USA"",""21"",""1"",""331579"""</f>
        <v>"NAV Direct","CRONUS JetCorp USA","21","1","331579"</v>
      </c>
      <c r="E2146" s="31" t="str">
        <f t="shared" si="657"/>
        <v>C100070</v>
      </c>
      <c r="F2146" s="31"/>
      <c r="G2146" s="31"/>
      <c r="H2146" s="31"/>
      <c r="I2146" s="56"/>
      <c r="J2146" s="56"/>
      <c r="K2146" s="82" t="str">
        <f t="shared" si="658"/>
        <v>Invoice</v>
      </c>
      <c r="L2146" s="83" t="str">
        <f>"SI_110441"</f>
        <v>SI_110441</v>
      </c>
      <c r="M2146" s="84">
        <v>43632</v>
      </c>
      <c r="N2146" s="85">
        <f t="shared" si="659"/>
        <v>180</v>
      </c>
      <c r="O2146" s="86">
        <f t="shared" si="660"/>
        <v>8760.43</v>
      </c>
      <c r="P2146" s="86">
        <f t="shared" si="661"/>
        <v>0</v>
      </c>
      <c r="Q2146" s="86">
        <f t="shared" si="662"/>
        <v>0</v>
      </c>
      <c r="R2146" s="86">
        <f t="shared" si="663"/>
        <v>0</v>
      </c>
      <c r="S2146" s="86">
        <f t="shared" si="664"/>
        <v>0</v>
      </c>
      <c r="T2146" s="86">
        <f t="shared" si="665"/>
        <v>8760.43</v>
      </c>
      <c r="U2146" s="87">
        <v>8760.43</v>
      </c>
    </row>
    <row r="2147" spans="1:21" s="30" customFormat="1" ht="24.6" hidden="1" outlineLevel="1" x14ac:dyDescent="0.55000000000000004">
      <c r="A2147" s="27" t="s">
        <v>327</v>
      </c>
      <c r="B2147" s="28"/>
      <c r="C2147" s="27"/>
      <c r="D2147" s="27" t="str">
        <f>"""NAV Direct"",""CRONUS JetCorp USA"",""21"",""1"",""331769"""</f>
        <v>"NAV Direct","CRONUS JetCorp USA","21","1","331769"</v>
      </c>
      <c r="E2147" s="31">
        <f t="shared" si="657"/>
        <v>0</v>
      </c>
      <c r="F2147" s="31"/>
      <c r="G2147" s="31"/>
      <c r="H2147" s="31"/>
      <c r="I2147" s="56"/>
      <c r="J2147" s="56"/>
      <c r="K2147" s="82" t="str">
        <f t="shared" si="658"/>
        <v>Invoice</v>
      </c>
      <c r="L2147" s="83" t="str">
        <f>"SI_110449"</f>
        <v>SI_110449</v>
      </c>
      <c r="M2147" s="84">
        <v>43776</v>
      </c>
      <c r="N2147" s="85">
        <f t="shared" si="659"/>
        <v>36</v>
      </c>
      <c r="O2147" s="86">
        <f t="shared" si="660"/>
        <v>9664.1</v>
      </c>
      <c r="P2147" s="86">
        <f t="shared" si="661"/>
        <v>0</v>
      </c>
      <c r="Q2147" s="86">
        <f t="shared" si="662"/>
        <v>0</v>
      </c>
      <c r="R2147" s="86">
        <f t="shared" si="663"/>
        <v>9664.1</v>
      </c>
      <c r="S2147" s="86">
        <f t="shared" si="664"/>
        <v>0</v>
      </c>
      <c r="T2147" s="86">
        <f t="shared" si="665"/>
        <v>0</v>
      </c>
      <c r="U2147" s="87">
        <v>9664.1</v>
      </c>
    </row>
    <row r="2148" spans="1:21" s="30" customFormat="1" ht="24.6" hidden="1" outlineLevel="1" x14ac:dyDescent="0.55000000000000004">
      <c r="A2148" s="27" t="s">
        <v>327</v>
      </c>
      <c r="B2148" s="28"/>
      <c r="C2148" s="27"/>
      <c r="D2148" s="27" t="str">
        <f>"""NAV Direct"",""CRONUS JetCorp USA"",""21"",""1"",""331811"""</f>
        <v>"NAV Direct","CRONUS JetCorp USA","21","1","331811"</v>
      </c>
      <c r="E2148" s="31" t="str">
        <f t="shared" si="657"/>
        <v>C100070</v>
      </c>
      <c r="F2148" s="31"/>
      <c r="G2148" s="31"/>
      <c r="H2148" s="31"/>
      <c r="I2148" s="56"/>
      <c r="J2148" s="56"/>
      <c r="K2148" s="82" t="str">
        <f t="shared" si="658"/>
        <v>Invoice</v>
      </c>
      <c r="L2148" s="83" t="str">
        <f>"SI_110451"</f>
        <v>SI_110451</v>
      </c>
      <c r="M2148" s="84">
        <v>42026</v>
      </c>
      <c r="N2148" s="85">
        <f t="shared" si="659"/>
        <v>1786</v>
      </c>
      <c r="O2148" s="86">
        <f t="shared" si="660"/>
        <v>10456.11</v>
      </c>
      <c r="P2148" s="86">
        <f t="shared" si="661"/>
        <v>0</v>
      </c>
      <c r="Q2148" s="86">
        <f t="shared" si="662"/>
        <v>0</v>
      </c>
      <c r="R2148" s="86">
        <f t="shared" si="663"/>
        <v>0</v>
      </c>
      <c r="S2148" s="86">
        <f t="shared" si="664"/>
        <v>0</v>
      </c>
      <c r="T2148" s="86">
        <f t="shared" si="665"/>
        <v>10456.11</v>
      </c>
      <c r="U2148" s="87">
        <v>10456.11</v>
      </c>
    </row>
    <row r="2149" spans="1:21" s="30" customFormat="1" ht="24.6" hidden="1" outlineLevel="1" x14ac:dyDescent="0.55000000000000004">
      <c r="A2149" s="27" t="s">
        <v>327</v>
      </c>
      <c r="B2149" s="28"/>
      <c r="C2149" s="27"/>
      <c r="D2149" s="27" t="str">
        <f>"""NAV Direct"",""CRONUS JetCorp USA"",""21"",""1"",""332038"""</f>
        <v>"NAV Direct","CRONUS JetCorp USA","21","1","332038"</v>
      </c>
      <c r="E2149" s="31">
        <f t="shared" si="657"/>
        <v>0</v>
      </c>
      <c r="F2149" s="31"/>
      <c r="G2149" s="31"/>
      <c r="H2149" s="31"/>
      <c r="I2149" s="56"/>
      <c r="J2149" s="56"/>
      <c r="K2149" s="82" t="str">
        <f t="shared" si="658"/>
        <v>Invoice</v>
      </c>
      <c r="L2149" s="83" t="str">
        <f>"SI_110460"</f>
        <v>SI_110460</v>
      </c>
      <c r="M2149" s="84">
        <v>42191</v>
      </c>
      <c r="N2149" s="85">
        <f t="shared" si="659"/>
        <v>1621</v>
      </c>
      <c r="O2149" s="86">
        <f t="shared" si="660"/>
        <v>10042.14</v>
      </c>
      <c r="P2149" s="86">
        <f t="shared" si="661"/>
        <v>0</v>
      </c>
      <c r="Q2149" s="86">
        <f t="shared" si="662"/>
        <v>0</v>
      </c>
      <c r="R2149" s="86">
        <f t="shared" si="663"/>
        <v>0</v>
      </c>
      <c r="S2149" s="86">
        <f t="shared" si="664"/>
        <v>0</v>
      </c>
      <c r="T2149" s="86">
        <f t="shared" si="665"/>
        <v>10042.14</v>
      </c>
      <c r="U2149" s="87">
        <v>10042.14</v>
      </c>
    </row>
    <row r="2150" spans="1:21" s="30" customFormat="1" ht="24.6" hidden="1" outlineLevel="1" x14ac:dyDescent="0.55000000000000004">
      <c r="A2150" s="27" t="s">
        <v>327</v>
      </c>
      <c r="B2150" s="28"/>
      <c r="C2150" s="27"/>
      <c r="D2150" s="27" t="str">
        <f>"""NAV Direct"",""CRONUS JetCorp USA"",""21"",""1"",""332059"""</f>
        <v>"NAV Direct","CRONUS JetCorp USA","21","1","332059"</v>
      </c>
      <c r="E2150" s="31" t="str">
        <f t="shared" si="657"/>
        <v>C100070</v>
      </c>
      <c r="F2150" s="31"/>
      <c r="G2150" s="31"/>
      <c r="H2150" s="31"/>
      <c r="I2150" s="56"/>
      <c r="J2150" s="56"/>
      <c r="K2150" s="82" t="str">
        <f t="shared" si="658"/>
        <v>Invoice</v>
      </c>
      <c r="L2150" s="83" t="str">
        <f>"SI_110461"</f>
        <v>SI_110461</v>
      </c>
      <c r="M2150" s="84">
        <v>42201</v>
      </c>
      <c r="N2150" s="85">
        <f t="shared" si="659"/>
        <v>1611</v>
      </c>
      <c r="O2150" s="86">
        <f t="shared" si="660"/>
        <v>9836.93</v>
      </c>
      <c r="P2150" s="86">
        <f t="shared" si="661"/>
        <v>0</v>
      </c>
      <c r="Q2150" s="86">
        <f t="shared" si="662"/>
        <v>0</v>
      </c>
      <c r="R2150" s="86">
        <f t="shared" si="663"/>
        <v>0</v>
      </c>
      <c r="S2150" s="86">
        <f t="shared" si="664"/>
        <v>0</v>
      </c>
      <c r="T2150" s="86">
        <f t="shared" si="665"/>
        <v>9836.93</v>
      </c>
      <c r="U2150" s="87">
        <v>9836.93</v>
      </c>
    </row>
    <row r="2151" spans="1:21" s="30" customFormat="1" ht="24.6" hidden="1" outlineLevel="1" x14ac:dyDescent="0.55000000000000004">
      <c r="A2151" s="27" t="s">
        <v>327</v>
      </c>
      <c r="B2151" s="28"/>
      <c r="C2151" s="27"/>
      <c r="D2151" s="27" t="str">
        <f>"""NAV Direct"",""CRONUS JetCorp USA"",""21"",""1"",""332138"""</f>
        <v>"NAV Direct","CRONUS JetCorp USA","21","1","332138"</v>
      </c>
      <c r="E2151" s="31">
        <f t="shared" si="657"/>
        <v>0</v>
      </c>
      <c r="F2151" s="31"/>
      <c r="G2151" s="31"/>
      <c r="H2151" s="31"/>
      <c r="I2151" s="56"/>
      <c r="J2151" s="56"/>
      <c r="K2151" s="82" t="str">
        <f t="shared" si="658"/>
        <v>Invoice</v>
      </c>
      <c r="L2151" s="83" t="str">
        <f>"SI_110464"</f>
        <v>SI_110464</v>
      </c>
      <c r="M2151" s="84">
        <v>42223</v>
      </c>
      <c r="N2151" s="85">
        <f t="shared" si="659"/>
        <v>1589</v>
      </c>
      <c r="O2151" s="86">
        <f t="shared" si="660"/>
        <v>9264.36</v>
      </c>
      <c r="P2151" s="86">
        <f t="shared" si="661"/>
        <v>0</v>
      </c>
      <c r="Q2151" s="86">
        <f t="shared" si="662"/>
        <v>0</v>
      </c>
      <c r="R2151" s="86">
        <f t="shared" si="663"/>
        <v>0</v>
      </c>
      <c r="S2151" s="86">
        <f t="shared" si="664"/>
        <v>0</v>
      </c>
      <c r="T2151" s="86">
        <f t="shared" si="665"/>
        <v>9264.36</v>
      </c>
      <c r="U2151" s="87">
        <v>9264.36</v>
      </c>
    </row>
    <row r="2152" spans="1:21" s="30" customFormat="1" ht="24.6" hidden="1" outlineLevel="1" x14ac:dyDescent="0.55000000000000004">
      <c r="A2152" s="27" t="s">
        <v>327</v>
      </c>
      <c r="B2152" s="28"/>
      <c r="C2152" s="27"/>
      <c r="D2152" s="27" t="str">
        <f>"""NAV Direct"",""CRONUS JetCorp USA"",""21"",""1"",""332324"""</f>
        <v>"NAV Direct","CRONUS JetCorp USA","21","1","332324"</v>
      </c>
      <c r="E2152" s="31" t="str">
        <f t="shared" si="657"/>
        <v>C100070</v>
      </c>
      <c r="F2152" s="31"/>
      <c r="G2152" s="31"/>
      <c r="H2152" s="31"/>
      <c r="I2152" s="56"/>
      <c r="J2152" s="56"/>
      <c r="K2152" s="82" t="str">
        <f t="shared" si="658"/>
        <v>Invoice</v>
      </c>
      <c r="L2152" s="83" t="str">
        <f>"SI_110472"</f>
        <v>SI_110472</v>
      </c>
      <c r="M2152" s="84">
        <v>42335</v>
      </c>
      <c r="N2152" s="85">
        <f t="shared" si="659"/>
        <v>1477</v>
      </c>
      <c r="O2152" s="86">
        <f t="shared" si="660"/>
        <v>9490.51</v>
      </c>
      <c r="P2152" s="86">
        <f t="shared" si="661"/>
        <v>0</v>
      </c>
      <c r="Q2152" s="86">
        <f t="shared" si="662"/>
        <v>0</v>
      </c>
      <c r="R2152" s="86">
        <f t="shared" si="663"/>
        <v>0</v>
      </c>
      <c r="S2152" s="86">
        <f t="shared" si="664"/>
        <v>0</v>
      </c>
      <c r="T2152" s="86">
        <f t="shared" si="665"/>
        <v>9490.51</v>
      </c>
      <c r="U2152" s="87">
        <v>9490.51</v>
      </c>
    </row>
    <row r="2153" spans="1:21" s="30" customFormat="1" ht="24.6" hidden="1" outlineLevel="1" x14ac:dyDescent="0.55000000000000004">
      <c r="A2153" s="27" t="s">
        <v>327</v>
      </c>
      <c r="B2153" s="28"/>
      <c r="C2153" s="27"/>
      <c r="D2153" s="27" t="str">
        <f>"""NAV Direct"",""CRONUS JetCorp USA"",""21"",""1"",""432760"""</f>
        <v>"NAV Direct","CRONUS JetCorp USA","21","1","432760"</v>
      </c>
      <c r="E2153" s="31">
        <f t="shared" si="657"/>
        <v>0</v>
      </c>
      <c r="F2153" s="31"/>
      <c r="G2153" s="31"/>
      <c r="H2153" s="31"/>
      <c r="I2153" s="56"/>
      <c r="J2153" s="56"/>
      <c r="K2153" s="82" t="str">
        <f>"Credit Memo"</f>
        <v>Credit Memo</v>
      </c>
      <c r="L2153" s="83" t="str">
        <f>"SC_100438"</f>
        <v>SC_100438</v>
      </c>
      <c r="M2153" s="84">
        <v>42404</v>
      </c>
      <c r="N2153" s="85">
        <f t="shared" si="659"/>
        <v>1408</v>
      </c>
      <c r="O2153" s="86">
        <f t="shared" si="660"/>
        <v>-127.41000000000001</v>
      </c>
      <c r="P2153" s="86">
        <f t="shared" si="661"/>
        <v>0</v>
      </c>
      <c r="Q2153" s="86">
        <f t="shared" si="662"/>
        <v>0</v>
      </c>
      <c r="R2153" s="86">
        <f t="shared" si="663"/>
        <v>0</v>
      </c>
      <c r="S2153" s="86">
        <f t="shared" si="664"/>
        <v>0</v>
      </c>
      <c r="T2153" s="86">
        <f t="shared" si="665"/>
        <v>-127.41000000000001</v>
      </c>
      <c r="U2153" s="87">
        <v>-127.41000000000001</v>
      </c>
    </row>
    <row r="2154" spans="1:21" s="30" customFormat="1" ht="24.6" hidden="1" outlineLevel="1" x14ac:dyDescent="0.55000000000000004">
      <c r="A2154" s="27" t="s">
        <v>327</v>
      </c>
      <c r="B2154" s="28"/>
      <c r="C2154" s="27"/>
      <c r="D2154" s="27" t="str">
        <f>"""NAV Direct"",""CRONUS JetCorp USA"",""21"",""1"",""432831"""</f>
        <v>"NAV Direct","CRONUS JetCorp USA","21","1","432831"</v>
      </c>
      <c r="E2154" s="31" t="str">
        <f t="shared" si="657"/>
        <v>C100070</v>
      </c>
      <c r="F2154" s="31"/>
      <c r="G2154" s="31"/>
      <c r="H2154" s="31"/>
      <c r="I2154" s="56"/>
      <c r="J2154" s="56"/>
      <c r="K2154" s="82" t="str">
        <f>"Credit Memo"</f>
        <v>Credit Memo</v>
      </c>
      <c r="L2154" s="83" t="str">
        <f>"SC_100443"</f>
        <v>SC_100443</v>
      </c>
      <c r="M2154" s="84">
        <v>42783</v>
      </c>
      <c r="N2154" s="85">
        <f t="shared" si="659"/>
        <v>1029</v>
      </c>
      <c r="O2154" s="86">
        <f t="shared" si="660"/>
        <v>-135.33000000000001</v>
      </c>
      <c r="P2154" s="86">
        <f t="shared" si="661"/>
        <v>0</v>
      </c>
      <c r="Q2154" s="86">
        <f t="shared" si="662"/>
        <v>0</v>
      </c>
      <c r="R2154" s="86">
        <f t="shared" si="663"/>
        <v>0</v>
      </c>
      <c r="S2154" s="86">
        <f t="shared" si="664"/>
        <v>0</v>
      </c>
      <c r="T2154" s="86">
        <f t="shared" si="665"/>
        <v>-135.33000000000001</v>
      </c>
      <c r="U2154" s="87">
        <v>-135.33000000000001</v>
      </c>
    </row>
    <row r="2155" spans="1:21" s="30" customFormat="1" ht="24.6" hidden="1" outlineLevel="1" x14ac:dyDescent="0.55000000000000004">
      <c r="A2155" s="27" t="s">
        <v>327</v>
      </c>
      <c r="B2155" s="28"/>
      <c r="C2155" s="27"/>
      <c r="D2155" s="27" t="str">
        <f>"""NAV Direct"",""CRONUS JetCorp USA"",""21"",""1"",""432913"""</f>
        <v>"NAV Direct","CRONUS JetCorp USA","21","1","432913"</v>
      </c>
      <c r="E2155" s="31">
        <f t="shared" si="657"/>
        <v>0</v>
      </c>
      <c r="F2155" s="31"/>
      <c r="G2155" s="31"/>
      <c r="H2155" s="31"/>
      <c r="I2155" s="56"/>
      <c r="J2155" s="56"/>
      <c r="K2155" s="82" t="str">
        <f>"Credit Memo"</f>
        <v>Credit Memo</v>
      </c>
      <c r="L2155" s="83" t="str">
        <f>"SC_100449"</f>
        <v>SC_100449</v>
      </c>
      <c r="M2155" s="84">
        <v>43085</v>
      </c>
      <c r="N2155" s="85">
        <f t="shared" si="659"/>
        <v>727</v>
      </c>
      <c r="O2155" s="86">
        <f t="shared" si="660"/>
        <v>-93.83</v>
      </c>
      <c r="P2155" s="86">
        <f t="shared" si="661"/>
        <v>0</v>
      </c>
      <c r="Q2155" s="86">
        <f t="shared" si="662"/>
        <v>0</v>
      </c>
      <c r="R2155" s="86">
        <f t="shared" si="663"/>
        <v>0</v>
      </c>
      <c r="S2155" s="86">
        <f t="shared" si="664"/>
        <v>0</v>
      </c>
      <c r="T2155" s="86">
        <f t="shared" si="665"/>
        <v>-93.83</v>
      </c>
      <c r="U2155" s="87">
        <v>-93.83</v>
      </c>
    </row>
    <row r="2156" spans="1:21" s="30" customFormat="1" ht="24.6" hidden="1" outlineLevel="1" x14ac:dyDescent="0.55000000000000004">
      <c r="A2156" s="27" t="s">
        <v>327</v>
      </c>
      <c r="B2156" s="28"/>
      <c r="C2156" s="27"/>
      <c r="D2156" s="27" t="str">
        <f>"""NAV Direct"",""CRONUS JetCorp USA"",""21"",""1"",""432983"""</f>
        <v>"NAV Direct","CRONUS JetCorp USA","21","1","432983"</v>
      </c>
      <c r="E2156" s="31" t="str">
        <f t="shared" si="657"/>
        <v>C100070</v>
      </c>
      <c r="F2156" s="31"/>
      <c r="G2156" s="31"/>
      <c r="H2156" s="31"/>
      <c r="I2156" s="56"/>
      <c r="J2156" s="56"/>
      <c r="K2156" s="82" t="str">
        <f>"Credit Memo"</f>
        <v>Credit Memo</v>
      </c>
      <c r="L2156" s="83" t="str">
        <f>"SC_100455"</f>
        <v>SC_100455</v>
      </c>
      <c r="M2156" s="84">
        <v>43556</v>
      </c>
      <c r="N2156" s="85">
        <f t="shared" si="659"/>
        <v>256</v>
      </c>
      <c r="O2156" s="86">
        <f t="shared" si="660"/>
        <v>-85.649999999999991</v>
      </c>
      <c r="P2156" s="86">
        <f t="shared" si="661"/>
        <v>0</v>
      </c>
      <c r="Q2156" s="86">
        <f t="shared" si="662"/>
        <v>0</v>
      </c>
      <c r="R2156" s="86">
        <f t="shared" si="663"/>
        <v>0</v>
      </c>
      <c r="S2156" s="86">
        <f t="shared" si="664"/>
        <v>0</v>
      </c>
      <c r="T2156" s="86">
        <f t="shared" si="665"/>
        <v>-85.649999999999991</v>
      </c>
      <c r="U2156" s="87">
        <v>-85.649999999999991</v>
      </c>
    </row>
    <row r="2157" spans="1:21" s="30" customFormat="1" ht="24.6" hidden="1" outlineLevel="1" x14ac:dyDescent="0.55000000000000004">
      <c r="A2157" s="27" t="s">
        <v>327</v>
      </c>
      <c r="B2157" s="28"/>
      <c r="C2157" s="27"/>
      <c r="D2157" s="27" t="str">
        <f>"""NAV Direct"",""CRONUS JetCorp USA"",""21"",""1"",""433126"""</f>
        <v>"NAV Direct","CRONUS JetCorp USA","21","1","433126"</v>
      </c>
      <c r="E2157" s="31">
        <f t="shared" si="657"/>
        <v>0</v>
      </c>
      <c r="F2157" s="31"/>
      <c r="G2157" s="31"/>
      <c r="H2157" s="31"/>
      <c r="I2157" s="56"/>
      <c r="J2157" s="56"/>
      <c r="K2157" s="82" t="str">
        <f>"Credit Memo"</f>
        <v>Credit Memo</v>
      </c>
      <c r="L2157" s="83" t="str">
        <f>"SC_100464"</f>
        <v>SC_100464</v>
      </c>
      <c r="M2157" s="84">
        <v>42300</v>
      </c>
      <c r="N2157" s="85">
        <f t="shared" si="659"/>
        <v>1512</v>
      </c>
      <c r="O2157" s="86">
        <f t="shared" si="660"/>
        <v>-90.53</v>
      </c>
      <c r="P2157" s="86">
        <f t="shared" si="661"/>
        <v>0</v>
      </c>
      <c r="Q2157" s="86">
        <f t="shared" si="662"/>
        <v>0</v>
      </c>
      <c r="R2157" s="86">
        <f t="shared" si="663"/>
        <v>0</v>
      </c>
      <c r="S2157" s="86">
        <f t="shared" si="664"/>
        <v>0</v>
      </c>
      <c r="T2157" s="86">
        <f t="shared" si="665"/>
        <v>-90.53</v>
      </c>
      <c r="U2157" s="87">
        <v>-90.53</v>
      </c>
    </row>
    <row r="2158" spans="1:21" s="22" customFormat="1" ht="20.399999999999999" collapsed="1" x14ac:dyDescent="0.45">
      <c r="A2158" s="12" t="s">
        <v>327</v>
      </c>
      <c r="B2158" s="19"/>
      <c r="C2158" s="12"/>
      <c r="D2158" s="12"/>
      <c r="E2158" s="23"/>
      <c r="F2158" s="23"/>
      <c r="G2158" s="23"/>
      <c r="H2158" s="23"/>
      <c r="I2158" s="49"/>
      <c r="J2158" s="88"/>
      <c r="K2158" s="88"/>
      <c r="L2158" s="89"/>
      <c r="M2158" s="89"/>
      <c r="N2158" s="89"/>
      <c r="O2158" s="89"/>
      <c r="P2158" s="89"/>
      <c r="Q2158" s="90"/>
      <c r="R2158" s="90"/>
      <c r="S2158" s="91"/>
      <c r="T2158" s="92"/>
      <c r="U2158" s="92"/>
    </row>
    <row r="2159" spans="1:21" s="22" customFormat="1" ht="20.399999999999999" x14ac:dyDescent="0.45">
      <c r="A2159" s="12" t="s">
        <v>327</v>
      </c>
      <c r="B2159" s="19"/>
      <c r="C2159" s="12"/>
      <c r="D2159" s="12"/>
      <c r="E2159" s="23"/>
      <c r="F2159" s="23"/>
      <c r="G2159" s="23"/>
      <c r="H2159" s="23"/>
      <c r="I2159" s="49"/>
      <c r="J2159" s="88"/>
      <c r="K2159" s="88"/>
      <c r="L2159" s="89"/>
      <c r="M2159" s="89"/>
      <c r="N2159" s="89"/>
      <c r="O2159" s="89"/>
      <c r="P2159" s="89"/>
      <c r="Q2159" s="90"/>
      <c r="R2159" s="90"/>
      <c r="S2159" s="91"/>
      <c r="T2159" s="92"/>
      <c r="U2159" s="92"/>
    </row>
    <row r="2160" spans="1:21" s="26" customFormat="1" ht="24.6" x14ac:dyDescent="0.55000000000000004">
      <c r="A2160" s="27" t="s">
        <v>327</v>
      </c>
      <c r="B2160" s="28"/>
      <c r="C2160" s="27" t="str">
        <f>"""NAV Direct"",""CRONUS JetCorp USA"",""18"",""1"",""C100072"""</f>
        <v>"NAV Direct","CRONUS JetCorp USA","18","1","C100072"</v>
      </c>
      <c r="D2160" s="27"/>
      <c r="E2160" s="28" t="str">
        <f>H2160</f>
        <v>C100072</v>
      </c>
      <c r="F2160" s="28"/>
      <c r="G2160" s="28"/>
      <c r="H2160" s="28" t="str">
        <f>"C100072"</f>
        <v>C100072</v>
      </c>
      <c r="I2160" s="116" t="str">
        <f>"C100072  -  Danger Unlimited"</f>
        <v>C100072  -  Danger Unlimited</v>
      </c>
      <c r="J2160" s="117" t="str">
        <f>""</f>
        <v/>
      </c>
      <c r="K2160" s="118"/>
      <c r="L2160" s="119">
        <f>SUBTOTAL(3,L2161:L2215)</f>
        <v>51</v>
      </c>
      <c r="M2160" s="118"/>
      <c r="N2160" s="118"/>
      <c r="O2160" s="120">
        <f t="shared" ref="O2160:T2160" si="666">SUBTOTAL(9,O2161:O2215)</f>
        <v>651533.42000000004</v>
      </c>
      <c r="P2160" s="120">
        <f t="shared" si="666"/>
        <v>0</v>
      </c>
      <c r="Q2160" s="120">
        <f t="shared" si="666"/>
        <v>0</v>
      </c>
      <c r="R2160" s="120">
        <f t="shared" si="666"/>
        <v>14444.449999999999</v>
      </c>
      <c r="S2160" s="120">
        <f t="shared" si="666"/>
        <v>0</v>
      </c>
      <c r="T2160" s="120">
        <f t="shared" si="666"/>
        <v>637088.97000000009</v>
      </c>
      <c r="U2160" s="81"/>
    </row>
    <row r="2161" spans="1:22" s="26" customFormat="1" ht="24.6" x14ac:dyDescent="0.55000000000000004">
      <c r="A2161" s="27" t="s">
        <v>327</v>
      </c>
      <c r="B2161" s="28"/>
      <c r="C2161" s="27" t="str">
        <f>C2160</f>
        <v>"NAV Direct","CRONUS JetCorp USA","18","1","C100072"</v>
      </c>
      <c r="D2161" s="27"/>
      <c r="E2161" s="28" t="str">
        <f>E2160</f>
        <v>C100072</v>
      </c>
      <c r="F2161" s="28"/>
      <c r="G2161" s="28"/>
      <c r="H2161" s="28"/>
      <c r="I2161" s="121" t="str">
        <f>"Contact: Mr. Scott Mitchell"</f>
        <v>Contact: Mr. Scott Mitchell</v>
      </c>
      <c r="J2161" s="121"/>
      <c r="K2161" s="122"/>
      <c r="L2161" s="123"/>
      <c r="M2161" s="123"/>
      <c r="N2161" s="124"/>
      <c r="O2161" s="124"/>
      <c r="P2161" s="123"/>
      <c r="Q2161" s="125"/>
      <c r="R2161" s="126"/>
      <c r="S2161" s="126"/>
      <c r="T2161" s="125"/>
      <c r="U2161" s="81"/>
    </row>
    <row r="2162" spans="1:22" s="26" customFormat="1" ht="24.6" x14ac:dyDescent="0.55000000000000004">
      <c r="A2162" s="27" t="s">
        <v>327</v>
      </c>
      <c r="B2162" s="28"/>
      <c r="C2162" s="27" t="str">
        <f>C2161</f>
        <v>"NAV Direct","CRONUS JetCorp USA","18","1","C100072"</v>
      </c>
      <c r="D2162" s="27"/>
      <c r="E2162" s="28" t="str">
        <f>E2161</f>
        <v>C100072</v>
      </c>
      <c r="F2162" s="28"/>
      <c r="G2162" s="28"/>
      <c r="H2162" s="28"/>
      <c r="I2162" s="121" t="str">
        <f>"progressive.home.furnishings@cronuscorp.net"</f>
        <v>progressive.home.furnishings@cronuscorp.net</v>
      </c>
      <c r="J2162" s="121"/>
      <c r="K2162" s="122"/>
      <c r="L2162" s="124"/>
      <c r="M2162" s="124"/>
      <c r="N2162" s="124"/>
      <c r="O2162" s="124"/>
      <c r="P2162" s="123"/>
      <c r="Q2162" s="125"/>
      <c r="R2162" s="126"/>
      <c r="S2162" s="126"/>
      <c r="T2162" s="125"/>
      <c r="U2162" s="81"/>
    </row>
    <row r="2163" spans="1:22" ht="12.75" hidden="1" customHeight="1" outlineLevel="1" x14ac:dyDescent="0.45">
      <c r="A2163" s="12" t="s">
        <v>328</v>
      </c>
      <c r="B2163" s="19"/>
      <c r="E2163" s="19"/>
      <c r="F2163" s="19"/>
      <c r="G2163" s="19"/>
      <c r="H2163" s="19"/>
      <c r="I2163" s="61"/>
      <c r="J2163" s="61"/>
      <c r="K2163" s="61"/>
      <c r="L2163" s="61"/>
      <c r="M2163" s="61"/>
      <c r="N2163" s="61"/>
      <c r="O2163" s="61"/>
      <c r="P2163" s="61"/>
      <c r="Q2163" s="61"/>
      <c r="R2163" s="61"/>
      <c r="S2163" s="61"/>
      <c r="T2163" s="61"/>
      <c r="U2163" s="61"/>
      <c r="V2163" s="21"/>
    </row>
    <row r="2164" spans="1:22" s="30" customFormat="1" ht="24.6" hidden="1" outlineLevel="1" x14ac:dyDescent="0.55000000000000004">
      <c r="A2164" s="27" t="s">
        <v>327</v>
      </c>
      <c r="B2164" s="28"/>
      <c r="C2164" s="27"/>
      <c r="D2164" s="27" t="str">
        <f>"""NAV Direct"",""CRONUS JetCorp USA"",""21"",""1"",""86077"""</f>
        <v>"NAV Direct","CRONUS JetCorp USA","21","1","86077"</v>
      </c>
      <c r="E2164" s="31" t="str">
        <f t="shared" ref="E2164:E2195" si="667">E2162</f>
        <v>C100072</v>
      </c>
      <c r="F2164" s="31"/>
      <c r="G2164" s="31"/>
      <c r="H2164" s="31"/>
      <c r="I2164" s="56"/>
      <c r="J2164" s="56"/>
      <c r="K2164" s="82" t="str">
        <f t="shared" ref="K2164:K2204" si="668">"Invoice"</f>
        <v>Invoice</v>
      </c>
      <c r="L2164" s="83" t="str">
        <f>"SI_106159"</f>
        <v>SI_106159</v>
      </c>
      <c r="M2164" s="84">
        <v>42341</v>
      </c>
      <c r="N2164" s="85">
        <f t="shared" ref="N2164:N2195" si="669">StartDate-$M2164+1</f>
        <v>1471</v>
      </c>
      <c r="O2164" s="86">
        <f t="shared" ref="O2164:O2195" si="670">SUM(P2164:T2164)</f>
        <v>17230.04</v>
      </c>
      <c r="P2164" s="86">
        <f t="shared" ref="P2164:P2195" si="671">IF($M2164&gt;=$P$18,U2164,0)</f>
        <v>0</v>
      </c>
      <c r="Q2164" s="86">
        <f t="shared" ref="Q2164:Q2195" si="672">IF(AND($M2164&gt;=$Q$16,$M2164&lt;=$Q$18),U2164,0)</f>
        <v>0</v>
      </c>
      <c r="R2164" s="86">
        <f t="shared" ref="R2164:R2195" si="673">IF(AND($M2164&gt;=$R$16,$M2164&lt;=$R$18),U2164,0)</f>
        <v>0</v>
      </c>
      <c r="S2164" s="86">
        <f t="shared" ref="S2164:S2195" si="674">IF(AND($M2164&gt;=$S$16,$M2164&lt;=$S$18),U2164,0)</f>
        <v>0</v>
      </c>
      <c r="T2164" s="86">
        <f t="shared" ref="T2164:T2195" si="675">IF($M2164&lt;=$T$18,U2164,0)</f>
        <v>17230.04</v>
      </c>
      <c r="U2164" s="87">
        <v>17230.04</v>
      </c>
    </row>
    <row r="2165" spans="1:22" s="30" customFormat="1" ht="24.6" hidden="1" outlineLevel="1" x14ac:dyDescent="0.55000000000000004">
      <c r="A2165" s="27" t="s">
        <v>327</v>
      </c>
      <c r="B2165" s="28"/>
      <c r="C2165" s="27"/>
      <c r="D2165" s="27" t="str">
        <f>"""NAV Direct"",""CRONUS JetCorp USA"",""21"",""1"",""360839"""</f>
        <v>"NAV Direct","CRONUS JetCorp USA","21","1","360839"</v>
      </c>
      <c r="E2165" s="31">
        <f t="shared" si="667"/>
        <v>0</v>
      </c>
      <c r="F2165" s="31"/>
      <c r="G2165" s="31"/>
      <c r="H2165" s="31"/>
      <c r="I2165" s="56"/>
      <c r="J2165" s="56"/>
      <c r="K2165" s="82" t="str">
        <f t="shared" si="668"/>
        <v>Invoice</v>
      </c>
      <c r="L2165" s="83" t="str">
        <f>"SI_111279"</f>
        <v>SI_111279</v>
      </c>
      <c r="M2165" s="84">
        <v>42438</v>
      </c>
      <c r="N2165" s="85">
        <f t="shared" si="669"/>
        <v>1374</v>
      </c>
      <c r="O2165" s="86">
        <f t="shared" si="670"/>
        <v>7432.1500000000005</v>
      </c>
      <c r="P2165" s="86">
        <f t="shared" si="671"/>
        <v>0</v>
      </c>
      <c r="Q2165" s="86">
        <f t="shared" si="672"/>
        <v>0</v>
      </c>
      <c r="R2165" s="86">
        <f t="shared" si="673"/>
        <v>0</v>
      </c>
      <c r="S2165" s="86">
        <f t="shared" si="674"/>
        <v>0</v>
      </c>
      <c r="T2165" s="86">
        <f t="shared" si="675"/>
        <v>7432.1500000000005</v>
      </c>
      <c r="U2165" s="87">
        <v>7432.1500000000005</v>
      </c>
    </row>
    <row r="2166" spans="1:22" s="30" customFormat="1" ht="24.6" hidden="1" outlineLevel="1" x14ac:dyDescent="0.55000000000000004">
      <c r="A2166" s="27" t="s">
        <v>327</v>
      </c>
      <c r="B2166" s="28"/>
      <c r="C2166" s="27"/>
      <c r="D2166" s="27" t="str">
        <f>"""NAV Direct"",""CRONUS JetCorp USA"",""21"",""1"",""360957"""</f>
        <v>"NAV Direct","CRONUS JetCorp USA","21","1","360957"</v>
      </c>
      <c r="E2166" s="31" t="str">
        <f t="shared" si="667"/>
        <v>C100072</v>
      </c>
      <c r="F2166" s="31"/>
      <c r="G2166" s="31"/>
      <c r="H2166" s="31"/>
      <c r="I2166" s="56"/>
      <c r="J2166" s="56"/>
      <c r="K2166" s="82" t="str">
        <f t="shared" si="668"/>
        <v>Invoice</v>
      </c>
      <c r="L2166" s="83" t="str">
        <f>"SI_111283"</f>
        <v>SI_111283</v>
      </c>
      <c r="M2166" s="84">
        <v>42476</v>
      </c>
      <c r="N2166" s="85">
        <f t="shared" si="669"/>
        <v>1336</v>
      </c>
      <c r="O2166" s="86">
        <f t="shared" si="670"/>
        <v>7432.0999999999995</v>
      </c>
      <c r="P2166" s="86">
        <f t="shared" si="671"/>
        <v>0</v>
      </c>
      <c r="Q2166" s="86">
        <f t="shared" si="672"/>
        <v>0</v>
      </c>
      <c r="R2166" s="86">
        <f t="shared" si="673"/>
        <v>0</v>
      </c>
      <c r="S2166" s="86">
        <f t="shared" si="674"/>
        <v>0</v>
      </c>
      <c r="T2166" s="86">
        <f t="shared" si="675"/>
        <v>7432.0999999999995</v>
      </c>
      <c r="U2166" s="87">
        <v>7432.0999999999995</v>
      </c>
    </row>
    <row r="2167" spans="1:22" s="30" customFormat="1" ht="24.6" hidden="1" outlineLevel="1" x14ac:dyDescent="0.55000000000000004">
      <c r="A2167" s="27" t="s">
        <v>327</v>
      </c>
      <c r="B2167" s="28"/>
      <c r="C2167" s="27"/>
      <c r="D2167" s="27" t="str">
        <f>"""NAV Direct"",""CRONUS JetCorp USA"",""21"",""1"",""361711"""</f>
        <v>"NAV Direct","CRONUS JetCorp USA","21","1","361711"</v>
      </c>
      <c r="E2167" s="31">
        <f t="shared" si="667"/>
        <v>0</v>
      </c>
      <c r="F2167" s="31"/>
      <c r="G2167" s="31"/>
      <c r="H2167" s="31"/>
      <c r="I2167" s="56"/>
      <c r="J2167" s="56"/>
      <c r="K2167" s="82" t="str">
        <f t="shared" si="668"/>
        <v>Invoice</v>
      </c>
      <c r="L2167" s="83" t="str">
        <f>"SI_111307"</f>
        <v>SI_111307</v>
      </c>
      <c r="M2167" s="84">
        <v>42706</v>
      </c>
      <c r="N2167" s="85">
        <f t="shared" si="669"/>
        <v>1106</v>
      </c>
      <c r="O2167" s="86">
        <f t="shared" si="670"/>
        <v>10938.95</v>
      </c>
      <c r="P2167" s="86">
        <f t="shared" si="671"/>
        <v>0</v>
      </c>
      <c r="Q2167" s="86">
        <f t="shared" si="672"/>
        <v>0</v>
      </c>
      <c r="R2167" s="86">
        <f t="shared" si="673"/>
        <v>0</v>
      </c>
      <c r="S2167" s="86">
        <f t="shared" si="674"/>
        <v>0</v>
      </c>
      <c r="T2167" s="86">
        <f t="shared" si="675"/>
        <v>10938.95</v>
      </c>
      <c r="U2167" s="87">
        <v>10938.95</v>
      </c>
    </row>
    <row r="2168" spans="1:22" s="30" customFormat="1" ht="24.6" hidden="1" outlineLevel="1" x14ac:dyDescent="0.55000000000000004">
      <c r="A2168" s="27" t="s">
        <v>327</v>
      </c>
      <c r="B2168" s="28"/>
      <c r="C2168" s="27"/>
      <c r="D2168" s="27" t="str">
        <f>"""NAV Direct"",""CRONUS JetCorp USA"",""21"",""1"",""361842"""</f>
        <v>"NAV Direct","CRONUS JetCorp USA","21","1","361842"</v>
      </c>
      <c r="E2168" s="31" t="str">
        <f t="shared" si="667"/>
        <v>C100072</v>
      </c>
      <c r="F2168" s="31"/>
      <c r="G2168" s="31"/>
      <c r="H2168" s="31"/>
      <c r="I2168" s="56"/>
      <c r="J2168" s="56"/>
      <c r="K2168" s="82" t="str">
        <f t="shared" si="668"/>
        <v>Invoice</v>
      </c>
      <c r="L2168" s="83" t="str">
        <f>"SI_111310"</f>
        <v>SI_111310</v>
      </c>
      <c r="M2168" s="84">
        <v>42713</v>
      </c>
      <c r="N2168" s="85">
        <f t="shared" si="669"/>
        <v>1099</v>
      </c>
      <c r="O2168" s="86">
        <f t="shared" si="670"/>
        <v>11770.46</v>
      </c>
      <c r="P2168" s="86">
        <f t="shared" si="671"/>
        <v>0</v>
      </c>
      <c r="Q2168" s="86">
        <f t="shared" si="672"/>
        <v>0</v>
      </c>
      <c r="R2168" s="86">
        <f t="shared" si="673"/>
        <v>0</v>
      </c>
      <c r="S2168" s="86">
        <f t="shared" si="674"/>
        <v>0</v>
      </c>
      <c r="T2168" s="86">
        <f t="shared" si="675"/>
        <v>11770.46</v>
      </c>
      <c r="U2168" s="87">
        <v>11770.46</v>
      </c>
    </row>
    <row r="2169" spans="1:22" s="30" customFormat="1" ht="24.6" hidden="1" outlineLevel="1" x14ac:dyDescent="0.55000000000000004">
      <c r="A2169" s="27" t="s">
        <v>327</v>
      </c>
      <c r="B2169" s="28"/>
      <c r="C2169" s="27"/>
      <c r="D2169" s="27" t="str">
        <f>"""NAV Direct"",""CRONUS JetCorp USA"",""21"",""1"",""361877"""</f>
        <v>"NAV Direct","CRONUS JetCorp USA","21","1","361877"</v>
      </c>
      <c r="E2169" s="31">
        <f t="shared" si="667"/>
        <v>0</v>
      </c>
      <c r="F2169" s="31"/>
      <c r="G2169" s="31"/>
      <c r="H2169" s="31"/>
      <c r="I2169" s="56"/>
      <c r="J2169" s="56"/>
      <c r="K2169" s="82" t="str">
        <f t="shared" si="668"/>
        <v>Invoice</v>
      </c>
      <c r="L2169" s="83" t="str">
        <f>"SI_111311"</f>
        <v>SI_111311</v>
      </c>
      <c r="M2169" s="84">
        <v>42723</v>
      </c>
      <c r="N2169" s="85">
        <f t="shared" si="669"/>
        <v>1089</v>
      </c>
      <c r="O2169" s="86">
        <f t="shared" si="670"/>
        <v>11770.699999999999</v>
      </c>
      <c r="P2169" s="86">
        <f t="shared" si="671"/>
        <v>0</v>
      </c>
      <c r="Q2169" s="86">
        <f t="shared" si="672"/>
        <v>0</v>
      </c>
      <c r="R2169" s="86">
        <f t="shared" si="673"/>
        <v>0</v>
      </c>
      <c r="S2169" s="86">
        <f t="shared" si="674"/>
        <v>0</v>
      </c>
      <c r="T2169" s="86">
        <f t="shared" si="675"/>
        <v>11770.699999999999</v>
      </c>
      <c r="U2169" s="87">
        <v>11770.699999999999</v>
      </c>
    </row>
    <row r="2170" spans="1:22" s="30" customFormat="1" ht="24.6" hidden="1" outlineLevel="1" x14ac:dyDescent="0.55000000000000004">
      <c r="A2170" s="27" t="s">
        <v>327</v>
      </c>
      <c r="B2170" s="28"/>
      <c r="C2170" s="27"/>
      <c r="D2170" s="27" t="str">
        <f>"""NAV Direct"",""CRONUS JetCorp USA"",""21"",""1"",""361904"""</f>
        <v>"NAV Direct","CRONUS JetCorp USA","21","1","361904"</v>
      </c>
      <c r="E2170" s="31" t="str">
        <f t="shared" si="667"/>
        <v>C100072</v>
      </c>
      <c r="F2170" s="31"/>
      <c r="G2170" s="31"/>
      <c r="H2170" s="31"/>
      <c r="I2170" s="56"/>
      <c r="J2170" s="56"/>
      <c r="K2170" s="82" t="str">
        <f t="shared" si="668"/>
        <v>Invoice</v>
      </c>
      <c r="L2170" s="83" t="str">
        <f>"SI_111312"</f>
        <v>SI_111312</v>
      </c>
      <c r="M2170" s="84">
        <v>42747</v>
      </c>
      <c r="N2170" s="85">
        <f t="shared" si="669"/>
        <v>1065</v>
      </c>
      <c r="O2170" s="86">
        <f t="shared" si="670"/>
        <v>13229.880000000001</v>
      </c>
      <c r="P2170" s="86">
        <f t="shared" si="671"/>
        <v>0</v>
      </c>
      <c r="Q2170" s="86">
        <f t="shared" si="672"/>
        <v>0</v>
      </c>
      <c r="R2170" s="86">
        <f t="shared" si="673"/>
        <v>0</v>
      </c>
      <c r="S2170" s="86">
        <f t="shared" si="674"/>
        <v>0</v>
      </c>
      <c r="T2170" s="86">
        <f t="shared" si="675"/>
        <v>13229.880000000001</v>
      </c>
      <c r="U2170" s="87">
        <v>13229.880000000001</v>
      </c>
    </row>
    <row r="2171" spans="1:22" s="30" customFormat="1" ht="24.6" hidden="1" outlineLevel="1" x14ac:dyDescent="0.55000000000000004">
      <c r="A2171" s="27" t="s">
        <v>327</v>
      </c>
      <c r="B2171" s="28"/>
      <c r="C2171" s="27"/>
      <c r="D2171" s="27" t="str">
        <f>"""NAV Direct"",""CRONUS JetCorp USA"",""21"",""1"",""362015"""</f>
        <v>"NAV Direct","CRONUS JetCorp USA","21","1","362015"</v>
      </c>
      <c r="E2171" s="31">
        <f t="shared" si="667"/>
        <v>0</v>
      </c>
      <c r="F2171" s="31"/>
      <c r="G2171" s="31"/>
      <c r="H2171" s="31"/>
      <c r="I2171" s="56"/>
      <c r="J2171" s="56"/>
      <c r="K2171" s="82" t="str">
        <f t="shared" si="668"/>
        <v>Invoice</v>
      </c>
      <c r="L2171" s="83" t="str">
        <f>"SI_111315"</f>
        <v>SI_111315</v>
      </c>
      <c r="M2171" s="84">
        <v>42748</v>
      </c>
      <c r="N2171" s="85">
        <f t="shared" si="669"/>
        <v>1064</v>
      </c>
      <c r="O2171" s="86">
        <f t="shared" si="670"/>
        <v>13229.98</v>
      </c>
      <c r="P2171" s="86">
        <f t="shared" si="671"/>
        <v>0</v>
      </c>
      <c r="Q2171" s="86">
        <f t="shared" si="672"/>
        <v>0</v>
      </c>
      <c r="R2171" s="86">
        <f t="shared" si="673"/>
        <v>0</v>
      </c>
      <c r="S2171" s="86">
        <f t="shared" si="674"/>
        <v>0</v>
      </c>
      <c r="T2171" s="86">
        <f t="shared" si="675"/>
        <v>13229.98</v>
      </c>
      <c r="U2171" s="87">
        <v>13229.98</v>
      </c>
    </row>
    <row r="2172" spans="1:22" s="30" customFormat="1" ht="24.6" hidden="1" outlineLevel="1" x14ac:dyDescent="0.55000000000000004">
      <c r="A2172" s="27" t="s">
        <v>327</v>
      </c>
      <c r="B2172" s="28"/>
      <c r="C2172" s="27"/>
      <c r="D2172" s="27" t="str">
        <f>"""NAV Direct"",""CRONUS JetCorp USA"",""21"",""1"",""362374"""</f>
        <v>"NAV Direct","CRONUS JetCorp USA","21","1","362374"</v>
      </c>
      <c r="E2172" s="31" t="str">
        <f t="shared" si="667"/>
        <v>C100072</v>
      </c>
      <c r="F2172" s="31"/>
      <c r="G2172" s="31"/>
      <c r="H2172" s="31"/>
      <c r="I2172" s="56"/>
      <c r="J2172" s="56"/>
      <c r="K2172" s="82" t="str">
        <f t="shared" si="668"/>
        <v>Invoice</v>
      </c>
      <c r="L2172" s="83" t="str">
        <f>"SI_111326"</f>
        <v>SI_111326</v>
      </c>
      <c r="M2172" s="84">
        <v>42855</v>
      </c>
      <c r="N2172" s="85">
        <f t="shared" si="669"/>
        <v>957</v>
      </c>
      <c r="O2172" s="86">
        <f t="shared" si="670"/>
        <v>12983.63</v>
      </c>
      <c r="P2172" s="86">
        <f t="shared" si="671"/>
        <v>0</v>
      </c>
      <c r="Q2172" s="86">
        <f t="shared" si="672"/>
        <v>0</v>
      </c>
      <c r="R2172" s="86">
        <f t="shared" si="673"/>
        <v>0</v>
      </c>
      <c r="S2172" s="86">
        <f t="shared" si="674"/>
        <v>0</v>
      </c>
      <c r="T2172" s="86">
        <f t="shared" si="675"/>
        <v>12983.63</v>
      </c>
      <c r="U2172" s="87">
        <v>12983.63</v>
      </c>
    </row>
    <row r="2173" spans="1:22" s="30" customFormat="1" ht="24.6" hidden="1" outlineLevel="1" x14ac:dyDescent="0.55000000000000004">
      <c r="A2173" s="27" t="s">
        <v>327</v>
      </c>
      <c r="B2173" s="28"/>
      <c r="C2173" s="27"/>
      <c r="D2173" s="27" t="str">
        <f>"""NAV Direct"",""CRONUS JetCorp USA"",""21"",""1"",""362716"""</f>
        <v>"NAV Direct","CRONUS JetCorp USA","21","1","362716"</v>
      </c>
      <c r="E2173" s="31">
        <f t="shared" si="667"/>
        <v>0</v>
      </c>
      <c r="F2173" s="31"/>
      <c r="G2173" s="31"/>
      <c r="H2173" s="31"/>
      <c r="I2173" s="56"/>
      <c r="J2173" s="56"/>
      <c r="K2173" s="82" t="str">
        <f t="shared" si="668"/>
        <v>Invoice</v>
      </c>
      <c r="L2173" s="83" t="str">
        <f>"SI_111336"</f>
        <v>SI_111336</v>
      </c>
      <c r="M2173" s="84">
        <v>42953</v>
      </c>
      <c r="N2173" s="85">
        <f t="shared" si="669"/>
        <v>859</v>
      </c>
      <c r="O2173" s="86">
        <f t="shared" si="670"/>
        <v>14264.58</v>
      </c>
      <c r="P2173" s="86">
        <f t="shared" si="671"/>
        <v>0</v>
      </c>
      <c r="Q2173" s="86">
        <f t="shared" si="672"/>
        <v>0</v>
      </c>
      <c r="R2173" s="86">
        <f t="shared" si="673"/>
        <v>0</v>
      </c>
      <c r="S2173" s="86">
        <f t="shared" si="674"/>
        <v>0</v>
      </c>
      <c r="T2173" s="86">
        <f t="shared" si="675"/>
        <v>14264.58</v>
      </c>
      <c r="U2173" s="87">
        <v>14264.58</v>
      </c>
    </row>
    <row r="2174" spans="1:22" s="30" customFormat="1" ht="24.6" hidden="1" outlineLevel="1" x14ac:dyDescent="0.55000000000000004">
      <c r="A2174" s="27" t="s">
        <v>327</v>
      </c>
      <c r="B2174" s="28"/>
      <c r="C2174" s="27"/>
      <c r="D2174" s="27" t="str">
        <f>"""NAV Direct"",""CRONUS JetCorp USA"",""21"",""1"",""362928"""</f>
        <v>"NAV Direct","CRONUS JetCorp USA","21","1","362928"</v>
      </c>
      <c r="E2174" s="31" t="str">
        <f t="shared" si="667"/>
        <v>C100072</v>
      </c>
      <c r="F2174" s="31"/>
      <c r="G2174" s="31"/>
      <c r="H2174" s="31"/>
      <c r="I2174" s="56"/>
      <c r="J2174" s="56"/>
      <c r="K2174" s="82" t="str">
        <f t="shared" si="668"/>
        <v>Invoice</v>
      </c>
      <c r="L2174" s="83" t="str">
        <f>"SI_111342"</f>
        <v>SI_111342</v>
      </c>
      <c r="M2174" s="84">
        <v>42987</v>
      </c>
      <c r="N2174" s="85">
        <f t="shared" si="669"/>
        <v>825</v>
      </c>
      <c r="O2174" s="86">
        <f t="shared" si="670"/>
        <v>12781.259999999998</v>
      </c>
      <c r="P2174" s="86">
        <f t="shared" si="671"/>
        <v>0</v>
      </c>
      <c r="Q2174" s="86">
        <f t="shared" si="672"/>
        <v>0</v>
      </c>
      <c r="R2174" s="86">
        <f t="shared" si="673"/>
        <v>0</v>
      </c>
      <c r="S2174" s="86">
        <f t="shared" si="674"/>
        <v>0</v>
      </c>
      <c r="T2174" s="86">
        <f t="shared" si="675"/>
        <v>12781.259999999998</v>
      </c>
      <c r="U2174" s="87">
        <v>12781.259999999998</v>
      </c>
    </row>
    <row r="2175" spans="1:22" s="30" customFormat="1" ht="24.6" hidden="1" outlineLevel="1" x14ac:dyDescent="0.55000000000000004">
      <c r="A2175" s="27" t="s">
        <v>327</v>
      </c>
      <c r="B2175" s="28"/>
      <c r="C2175" s="27"/>
      <c r="D2175" s="27" t="str">
        <f>"""NAV Direct"",""CRONUS JetCorp USA"",""21"",""1"",""363622"""</f>
        <v>"NAV Direct","CRONUS JetCorp USA","21","1","363622"</v>
      </c>
      <c r="E2175" s="31">
        <f t="shared" si="667"/>
        <v>0</v>
      </c>
      <c r="F2175" s="31"/>
      <c r="G2175" s="31"/>
      <c r="H2175" s="31"/>
      <c r="I2175" s="56"/>
      <c r="J2175" s="56"/>
      <c r="K2175" s="82" t="str">
        <f t="shared" si="668"/>
        <v>Invoice</v>
      </c>
      <c r="L2175" s="83" t="str">
        <f>"SI_111362"</f>
        <v>SI_111362</v>
      </c>
      <c r="M2175" s="84">
        <v>43123</v>
      </c>
      <c r="N2175" s="85">
        <f t="shared" si="669"/>
        <v>689</v>
      </c>
      <c r="O2175" s="86">
        <f t="shared" si="670"/>
        <v>16399.53</v>
      </c>
      <c r="P2175" s="86">
        <f t="shared" si="671"/>
        <v>0</v>
      </c>
      <c r="Q2175" s="86">
        <f t="shared" si="672"/>
        <v>0</v>
      </c>
      <c r="R2175" s="86">
        <f t="shared" si="673"/>
        <v>0</v>
      </c>
      <c r="S2175" s="86">
        <f t="shared" si="674"/>
        <v>0</v>
      </c>
      <c r="T2175" s="86">
        <f t="shared" si="675"/>
        <v>16399.53</v>
      </c>
      <c r="U2175" s="87">
        <v>16399.53</v>
      </c>
    </row>
    <row r="2176" spans="1:22" s="30" customFormat="1" ht="24.6" hidden="1" outlineLevel="1" x14ac:dyDescent="0.55000000000000004">
      <c r="A2176" s="27" t="s">
        <v>327</v>
      </c>
      <c r="B2176" s="28"/>
      <c r="C2176" s="27"/>
      <c r="D2176" s="27" t="str">
        <f>"""NAV Direct"",""CRONUS JetCorp USA"",""21"",""1"",""363704"""</f>
        <v>"NAV Direct","CRONUS JetCorp USA","21","1","363704"</v>
      </c>
      <c r="E2176" s="31" t="str">
        <f t="shared" si="667"/>
        <v>C100072</v>
      </c>
      <c r="F2176" s="31"/>
      <c r="G2176" s="31"/>
      <c r="H2176" s="31"/>
      <c r="I2176" s="56"/>
      <c r="J2176" s="56"/>
      <c r="K2176" s="82" t="str">
        <f t="shared" si="668"/>
        <v>Invoice</v>
      </c>
      <c r="L2176" s="83" t="str">
        <f>"SI_111364"</f>
        <v>SI_111364</v>
      </c>
      <c r="M2176" s="84">
        <v>43140</v>
      </c>
      <c r="N2176" s="85">
        <f t="shared" si="669"/>
        <v>672</v>
      </c>
      <c r="O2176" s="86">
        <f t="shared" si="670"/>
        <v>15284.539999999999</v>
      </c>
      <c r="P2176" s="86">
        <f t="shared" si="671"/>
        <v>0</v>
      </c>
      <c r="Q2176" s="86">
        <f t="shared" si="672"/>
        <v>0</v>
      </c>
      <c r="R2176" s="86">
        <f t="shared" si="673"/>
        <v>0</v>
      </c>
      <c r="S2176" s="86">
        <f t="shared" si="674"/>
        <v>0</v>
      </c>
      <c r="T2176" s="86">
        <f t="shared" si="675"/>
        <v>15284.539999999999</v>
      </c>
      <c r="U2176" s="87">
        <v>15284.539999999999</v>
      </c>
    </row>
    <row r="2177" spans="1:21" s="30" customFormat="1" ht="24.6" hidden="1" outlineLevel="1" x14ac:dyDescent="0.55000000000000004">
      <c r="A2177" s="27" t="s">
        <v>327</v>
      </c>
      <c r="B2177" s="28"/>
      <c r="C2177" s="27"/>
      <c r="D2177" s="27" t="str">
        <f>"""NAV Direct"",""CRONUS JetCorp USA"",""21"",""1"",""363741"""</f>
        <v>"NAV Direct","CRONUS JetCorp USA","21","1","363741"</v>
      </c>
      <c r="E2177" s="31">
        <f t="shared" si="667"/>
        <v>0</v>
      </c>
      <c r="F2177" s="31"/>
      <c r="G2177" s="31"/>
      <c r="H2177" s="31"/>
      <c r="I2177" s="56"/>
      <c r="J2177" s="56"/>
      <c r="K2177" s="82" t="str">
        <f t="shared" si="668"/>
        <v>Invoice</v>
      </c>
      <c r="L2177" s="83" t="str">
        <f>"SI_111365"</f>
        <v>SI_111365</v>
      </c>
      <c r="M2177" s="84">
        <v>43142</v>
      </c>
      <c r="N2177" s="85">
        <f t="shared" si="669"/>
        <v>670</v>
      </c>
      <c r="O2177" s="86">
        <f t="shared" si="670"/>
        <v>15284.779999999999</v>
      </c>
      <c r="P2177" s="86">
        <f t="shared" si="671"/>
        <v>0</v>
      </c>
      <c r="Q2177" s="86">
        <f t="shared" si="672"/>
        <v>0</v>
      </c>
      <c r="R2177" s="86">
        <f t="shared" si="673"/>
        <v>0</v>
      </c>
      <c r="S2177" s="86">
        <f t="shared" si="674"/>
        <v>0</v>
      </c>
      <c r="T2177" s="86">
        <f t="shared" si="675"/>
        <v>15284.779999999999</v>
      </c>
      <c r="U2177" s="87">
        <v>15284.779999999999</v>
      </c>
    </row>
    <row r="2178" spans="1:21" s="30" customFormat="1" ht="24.6" hidden="1" outlineLevel="1" x14ac:dyDescent="0.55000000000000004">
      <c r="A2178" s="27" t="s">
        <v>327</v>
      </c>
      <c r="B2178" s="28"/>
      <c r="C2178" s="27"/>
      <c r="D2178" s="27" t="str">
        <f>"""NAV Direct"",""CRONUS JetCorp USA"",""21"",""1"",""363782"""</f>
        <v>"NAV Direct","CRONUS JetCorp USA","21","1","363782"</v>
      </c>
      <c r="E2178" s="31" t="str">
        <f t="shared" si="667"/>
        <v>C100072</v>
      </c>
      <c r="F2178" s="31"/>
      <c r="G2178" s="31"/>
      <c r="H2178" s="31"/>
      <c r="I2178" s="56"/>
      <c r="J2178" s="56"/>
      <c r="K2178" s="82" t="str">
        <f t="shared" si="668"/>
        <v>Invoice</v>
      </c>
      <c r="L2178" s="83" t="str">
        <f>"SI_111366"</f>
        <v>SI_111366</v>
      </c>
      <c r="M2178" s="84">
        <v>43156</v>
      </c>
      <c r="N2178" s="85">
        <f t="shared" si="669"/>
        <v>656</v>
      </c>
      <c r="O2178" s="86">
        <f t="shared" si="670"/>
        <v>15284.23</v>
      </c>
      <c r="P2178" s="86">
        <f t="shared" si="671"/>
        <v>0</v>
      </c>
      <c r="Q2178" s="86">
        <f t="shared" si="672"/>
        <v>0</v>
      </c>
      <c r="R2178" s="86">
        <f t="shared" si="673"/>
        <v>0</v>
      </c>
      <c r="S2178" s="86">
        <f t="shared" si="674"/>
        <v>0</v>
      </c>
      <c r="T2178" s="86">
        <f t="shared" si="675"/>
        <v>15284.23</v>
      </c>
      <c r="U2178" s="87">
        <v>15284.23</v>
      </c>
    </row>
    <row r="2179" spans="1:21" s="30" customFormat="1" ht="24.6" hidden="1" outlineLevel="1" x14ac:dyDescent="0.55000000000000004">
      <c r="A2179" s="27" t="s">
        <v>327</v>
      </c>
      <c r="B2179" s="28"/>
      <c r="C2179" s="27"/>
      <c r="D2179" s="27" t="str">
        <f>"""NAV Direct"",""CRONUS JetCorp USA"",""21"",""1"",""364296"""</f>
        <v>"NAV Direct","CRONUS JetCorp USA","21","1","364296"</v>
      </c>
      <c r="E2179" s="31">
        <f t="shared" si="667"/>
        <v>0</v>
      </c>
      <c r="F2179" s="31"/>
      <c r="G2179" s="31"/>
      <c r="H2179" s="31"/>
      <c r="I2179" s="56"/>
      <c r="J2179" s="56"/>
      <c r="K2179" s="82" t="str">
        <f t="shared" si="668"/>
        <v>Invoice</v>
      </c>
      <c r="L2179" s="83" t="str">
        <f>"SI_111380"</f>
        <v>SI_111380</v>
      </c>
      <c r="M2179" s="84">
        <v>43240</v>
      </c>
      <c r="N2179" s="85">
        <f t="shared" si="669"/>
        <v>572</v>
      </c>
      <c r="O2179" s="86">
        <f t="shared" si="670"/>
        <v>15271.199999999999</v>
      </c>
      <c r="P2179" s="86">
        <f t="shared" si="671"/>
        <v>0</v>
      </c>
      <c r="Q2179" s="86">
        <f t="shared" si="672"/>
        <v>0</v>
      </c>
      <c r="R2179" s="86">
        <f t="shared" si="673"/>
        <v>0</v>
      </c>
      <c r="S2179" s="86">
        <f t="shared" si="674"/>
        <v>0</v>
      </c>
      <c r="T2179" s="86">
        <f t="shared" si="675"/>
        <v>15271.199999999999</v>
      </c>
      <c r="U2179" s="87">
        <v>15271.199999999999</v>
      </c>
    </row>
    <row r="2180" spans="1:21" s="30" customFormat="1" ht="24.6" hidden="1" outlineLevel="1" x14ac:dyDescent="0.55000000000000004">
      <c r="A2180" s="27" t="s">
        <v>327</v>
      </c>
      <c r="B2180" s="28"/>
      <c r="C2180" s="27"/>
      <c r="D2180" s="27" t="str">
        <f>"""NAV Direct"",""CRONUS JetCorp USA"",""21"",""1"",""364405"""</f>
        <v>"NAV Direct","CRONUS JetCorp USA","21","1","364405"</v>
      </c>
      <c r="E2180" s="31" t="str">
        <f t="shared" si="667"/>
        <v>C100072</v>
      </c>
      <c r="F2180" s="31"/>
      <c r="G2180" s="31"/>
      <c r="H2180" s="31"/>
      <c r="I2180" s="56"/>
      <c r="J2180" s="56"/>
      <c r="K2180" s="82" t="str">
        <f t="shared" si="668"/>
        <v>Invoice</v>
      </c>
      <c r="L2180" s="83" t="str">
        <f>"SI_111383"</f>
        <v>SI_111383</v>
      </c>
      <c r="M2180" s="84">
        <v>43259</v>
      </c>
      <c r="N2180" s="85">
        <f t="shared" si="669"/>
        <v>553</v>
      </c>
      <c r="O2180" s="86">
        <f t="shared" si="670"/>
        <v>17592.599999999999</v>
      </c>
      <c r="P2180" s="86">
        <f t="shared" si="671"/>
        <v>0</v>
      </c>
      <c r="Q2180" s="86">
        <f t="shared" si="672"/>
        <v>0</v>
      </c>
      <c r="R2180" s="86">
        <f t="shared" si="673"/>
        <v>0</v>
      </c>
      <c r="S2180" s="86">
        <f t="shared" si="674"/>
        <v>0</v>
      </c>
      <c r="T2180" s="86">
        <f t="shared" si="675"/>
        <v>17592.599999999999</v>
      </c>
      <c r="U2180" s="87">
        <v>17592.599999999999</v>
      </c>
    </row>
    <row r="2181" spans="1:21" s="30" customFormat="1" ht="24.6" hidden="1" outlineLevel="1" x14ac:dyDescent="0.55000000000000004">
      <c r="A2181" s="27" t="s">
        <v>327</v>
      </c>
      <c r="B2181" s="28"/>
      <c r="C2181" s="27"/>
      <c r="D2181" s="27" t="str">
        <f>"""NAV Direct"",""CRONUS JetCorp USA"",""21"",""1"",""364571"""</f>
        <v>"NAV Direct","CRONUS JetCorp USA","21","1","364571"</v>
      </c>
      <c r="E2181" s="31">
        <f t="shared" si="667"/>
        <v>0</v>
      </c>
      <c r="F2181" s="31"/>
      <c r="G2181" s="31"/>
      <c r="H2181" s="31"/>
      <c r="I2181" s="56"/>
      <c r="J2181" s="56"/>
      <c r="K2181" s="82" t="str">
        <f t="shared" si="668"/>
        <v>Invoice</v>
      </c>
      <c r="L2181" s="83" t="str">
        <f>"SI_111387"</f>
        <v>SI_111387</v>
      </c>
      <c r="M2181" s="84">
        <v>43280</v>
      </c>
      <c r="N2181" s="85">
        <f t="shared" si="669"/>
        <v>532</v>
      </c>
      <c r="O2181" s="86">
        <f t="shared" si="670"/>
        <v>19984.96</v>
      </c>
      <c r="P2181" s="86">
        <f t="shared" si="671"/>
        <v>0</v>
      </c>
      <c r="Q2181" s="86">
        <f t="shared" si="672"/>
        <v>0</v>
      </c>
      <c r="R2181" s="86">
        <f t="shared" si="673"/>
        <v>0</v>
      </c>
      <c r="S2181" s="86">
        <f t="shared" si="674"/>
        <v>0</v>
      </c>
      <c r="T2181" s="86">
        <f t="shared" si="675"/>
        <v>19984.96</v>
      </c>
      <c r="U2181" s="87">
        <v>19984.96</v>
      </c>
    </row>
    <row r="2182" spans="1:21" s="30" customFormat="1" ht="24.6" hidden="1" outlineLevel="1" x14ac:dyDescent="0.55000000000000004">
      <c r="A2182" s="27" t="s">
        <v>327</v>
      </c>
      <c r="B2182" s="28"/>
      <c r="C2182" s="27"/>
      <c r="D2182" s="27" t="str">
        <f>"""NAV Direct"",""CRONUS JetCorp USA"",""21"",""1"",""364968"""</f>
        <v>"NAV Direct","CRONUS JetCorp USA","21","1","364968"</v>
      </c>
      <c r="E2182" s="31" t="str">
        <f t="shared" si="667"/>
        <v>C100072</v>
      </c>
      <c r="F2182" s="31"/>
      <c r="G2182" s="31"/>
      <c r="H2182" s="31"/>
      <c r="I2182" s="56"/>
      <c r="J2182" s="56"/>
      <c r="K2182" s="82" t="str">
        <f t="shared" si="668"/>
        <v>Invoice</v>
      </c>
      <c r="L2182" s="83" t="str">
        <f>"SI_111398"</f>
        <v>SI_111398</v>
      </c>
      <c r="M2182" s="84">
        <v>43334</v>
      </c>
      <c r="N2182" s="85">
        <f t="shared" si="669"/>
        <v>478</v>
      </c>
      <c r="O2182" s="86">
        <f t="shared" si="670"/>
        <v>17985.91</v>
      </c>
      <c r="P2182" s="86">
        <f t="shared" si="671"/>
        <v>0</v>
      </c>
      <c r="Q2182" s="86">
        <f t="shared" si="672"/>
        <v>0</v>
      </c>
      <c r="R2182" s="86">
        <f t="shared" si="673"/>
        <v>0</v>
      </c>
      <c r="S2182" s="86">
        <f t="shared" si="674"/>
        <v>0</v>
      </c>
      <c r="T2182" s="86">
        <f t="shared" si="675"/>
        <v>17985.91</v>
      </c>
      <c r="U2182" s="87">
        <v>17985.91</v>
      </c>
    </row>
    <row r="2183" spans="1:21" s="30" customFormat="1" ht="24.6" hidden="1" outlineLevel="1" x14ac:dyDescent="0.55000000000000004">
      <c r="A2183" s="27" t="s">
        <v>327</v>
      </c>
      <c r="B2183" s="28"/>
      <c r="C2183" s="27"/>
      <c r="D2183" s="27" t="str">
        <f>"""NAV Direct"",""CRONUS JetCorp USA"",""21"",""1"",""365260"""</f>
        <v>"NAV Direct","CRONUS JetCorp USA","21","1","365260"</v>
      </c>
      <c r="E2183" s="31">
        <f t="shared" si="667"/>
        <v>0</v>
      </c>
      <c r="F2183" s="31"/>
      <c r="G2183" s="31"/>
      <c r="H2183" s="31"/>
      <c r="I2183" s="56"/>
      <c r="J2183" s="56"/>
      <c r="K2183" s="82" t="str">
        <f t="shared" si="668"/>
        <v>Invoice</v>
      </c>
      <c r="L2183" s="83" t="str">
        <f>"SI_111406"</f>
        <v>SI_111406</v>
      </c>
      <c r="M2183" s="84">
        <v>43380</v>
      </c>
      <c r="N2183" s="85">
        <f t="shared" si="669"/>
        <v>432</v>
      </c>
      <c r="O2183" s="86">
        <f t="shared" si="670"/>
        <v>15554.400000000001</v>
      </c>
      <c r="P2183" s="86">
        <f t="shared" si="671"/>
        <v>0</v>
      </c>
      <c r="Q2183" s="86">
        <f t="shared" si="672"/>
        <v>0</v>
      </c>
      <c r="R2183" s="86">
        <f t="shared" si="673"/>
        <v>0</v>
      </c>
      <c r="S2183" s="86">
        <f t="shared" si="674"/>
        <v>0</v>
      </c>
      <c r="T2183" s="86">
        <f t="shared" si="675"/>
        <v>15554.400000000001</v>
      </c>
      <c r="U2183" s="87">
        <v>15554.400000000001</v>
      </c>
    </row>
    <row r="2184" spans="1:21" s="30" customFormat="1" ht="24.6" hidden="1" outlineLevel="1" x14ac:dyDescent="0.55000000000000004">
      <c r="A2184" s="27" t="s">
        <v>327</v>
      </c>
      <c r="B2184" s="28"/>
      <c r="C2184" s="27"/>
      <c r="D2184" s="27" t="str">
        <f>"""NAV Direct"",""CRONUS JetCorp USA"",""21"",""1"",""365417"""</f>
        <v>"NAV Direct","CRONUS JetCorp USA","21","1","365417"</v>
      </c>
      <c r="E2184" s="31" t="str">
        <f t="shared" si="667"/>
        <v>C100072</v>
      </c>
      <c r="F2184" s="31"/>
      <c r="G2184" s="31"/>
      <c r="H2184" s="31"/>
      <c r="I2184" s="56"/>
      <c r="J2184" s="56"/>
      <c r="K2184" s="82" t="str">
        <f t="shared" si="668"/>
        <v>Invoice</v>
      </c>
      <c r="L2184" s="83" t="str">
        <f>"SI_111411"</f>
        <v>SI_111411</v>
      </c>
      <c r="M2184" s="84">
        <v>43420</v>
      </c>
      <c r="N2184" s="85">
        <f t="shared" si="669"/>
        <v>392</v>
      </c>
      <c r="O2184" s="86">
        <f t="shared" si="670"/>
        <v>17792.760000000002</v>
      </c>
      <c r="P2184" s="86">
        <f t="shared" si="671"/>
        <v>0</v>
      </c>
      <c r="Q2184" s="86">
        <f t="shared" si="672"/>
        <v>0</v>
      </c>
      <c r="R2184" s="86">
        <f t="shared" si="673"/>
        <v>0</v>
      </c>
      <c r="S2184" s="86">
        <f t="shared" si="674"/>
        <v>0</v>
      </c>
      <c r="T2184" s="86">
        <f t="shared" si="675"/>
        <v>17792.760000000002</v>
      </c>
      <c r="U2184" s="87">
        <v>17792.760000000002</v>
      </c>
    </row>
    <row r="2185" spans="1:21" s="30" customFormat="1" ht="24.6" hidden="1" outlineLevel="1" x14ac:dyDescent="0.55000000000000004">
      <c r="A2185" s="27" t="s">
        <v>327</v>
      </c>
      <c r="B2185" s="28"/>
      <c r="C2185" s="27"/>
      <c r="D2185" s="27" t="str">
        <f>"""NAV Direct"",""CRONUS JetCorp USA"",""21"",""1"",""365575"""</f>
        <v>"NAV Direct","CRONUS JetCorp USA","21","1","365575"</v>
      </c>
      <c r="E2185" s="31">
        <f t="shared" si="667"/>
        <v>0</v>
      </c>
      <c r="F2185" s="31"/>
      <c r="G2185" s="31"/>
      <c r="H2185" s="31"/>
      <c r="I2185" s="56"/>
      <c r="J2185" s="56"/>
      <c r="K2185" s="82" t="str">
        <f t="shared" si="668"/>
        <v>Invoice</v>
      </c>
      <c r="L2185" s="83" t="str">
        <f>"SI_111415"</f>
        <v>SI_111415</v>
      </c>
      <c r="M2185" s="84">
        <v>43438</v>
      </c>
      <c r="N2185" s="85">
        <f t="shared" si="669"/>
        <v>374</v>
      </c>
      <c r="O2185" s="86">
        <f t="shared" si="670"/>
        <v>19147.170000000002</v>
      </c>
      <c r="P2185" s="86">
        <f t="shared" si="671"/>
        <v>0</v>
      </c>
      <c r="Q2185" s="86">
        <f t="shared" si="672"/>
        <v>0</v>
      </c>
      <c r="R2185" s="86">
        <f t="shared" si="673"/>
        <v>0</v>
      </c>
      <c r="S2185" s="86">
        <f t="shared" si="674"/>
        <v>0</v>
      </c>
      <c r="T2185" s="86">
        <f t="shared" si="675"/>
        <v>19147.170000000002</v>
      </c>
      <c r="U2185" s="87">
        <v>19147.170000000002</v>
      </c>
    </row>
    <row r="2186" spans="1:21" s="30" customFormat="1" ht="24.6" hidden="1" outlineLevel="1" x14ac:dyDescent="0.55000000000000004">
      <c r="A2186" s="27" t="s">
        <v>327</v>
      </c>
      <c r="B2186" s="28"/>
      <c r="C2186" s="27"/>
      <c r="D2186" s="27" t="str">
        <f>"""NAV Direct"",""CRONUS JetCorp USA"",""21"",""1"",""366419"""</f>
        <v>"NAV Direct","CRONUS JetCorp USA","21","1","366419"</v>
      </c>
      <c r="E2186" s="31" t="str">
        <f t="shared" si="667"/>
        <v>C100072</v>
      </c>
      <c r="F2186" s="31"/>
      <c r="G2186" s="31"/>
      <c r="H2186" s="31"/>
      <c r="I2186" s="56"/>
      <c r="J2186" s="56"/>
      <c r="K2186" s="82" t="str">
        <f t="shared" si="668"/>
        <v>Invoice</v>
      </c>
      <c r="L2186" s="83" t="str">
        <f>"SI_111439"</f>
        <v>SI_111439</v>
      </c>
      <c r="M2186" s="84">
        <v>43566</v>
      </c>
      <c r="N2186" s="85">
        <f t="shared" si="669"/>
        <v>246</v>
      </c>
      <c r="O2186" s="86">
        <f t="shared" si="670"/>
        <v>17158.3</v>
      </c>
      <c r="P2186" s="86">
        <f t="shared" si="671"/>
        <v>0</v>
      </c>
      <c r="Q2186" s="86">
        <f t="shared" si="672"/>
        <v>0</v>
      </c>
      <c r="R2186" s="86">
        <f t="shared" si="673"/>
        <v>0</v>
      </c>
      <c r="S2186" s="86">
        <f t="shared" si="674"/>
        <v>0</v>
      </c>
      <c r="T2186" s="86">
        <f t="shared" si="675"/>
        <v>17158.3</v>
      </c>
      <c r="U2186" s="87">
        <v>17158.3</v>
      </c>
    </row>
    <row r="2187" spans="1:21" s="30" customFormat="1" ht="24.6" hidden="1" outlineLevel="1" x14ac:dyDescent="0.55000000000000004">
      <c r="A2187" s="27" t="s">
        <v>327</v>
      </c>
      <c r="B2187" s="28"/>
      <c r="C2187" s="27"/>
      <c r="D2187" s="27" t="str">
        <f>"""NAV Direct"",""CRONUS JetCorp USA"",""21"",""1"",""366569"""</f>
        <v>"NAV Direct","CRONUS JetCorp USA","21","1","366569"</v>
      </c>
      <c r="E2187" s="31">
        <f t="shared" si="667"/>
        <v>0</v>
      </c>
      <c r="F2187" s="31"/>
      <c r="G2187" s="31"/>
      <c r="H2187" s="31"/>
      <c r="I2187" s="56"/>
      <c r="J2187" s="56"/>
      <c r="K2187" s="82" t="str">
        <f t="shared" si="668"/>
        <v>Invoice</v>
      </c>
      <c r="L2187" s="83" t="str">
        <f>"SI_111443"</f>
        <v>SI_111443</v>
      </c>
      <c r="M2187" s="84">
        <v>43587</v>
      </c>
      <c r="N2187" s="85">
        <f t="shared" si="669"/>
        <v>225</v>
      </c>
      <c r="O2187" s="86">
        <f t="shared" si="670"/>
        <v>18393.57</v>
      </c>
      <c r="P2187" s="86">
        <f t="shared" si="671"/>
        <v>0</v>
      </c>
      <c r="Q2187" s="86">
        <f t="shared" si="672"/>
        <v>0</v>
      </c>
      <c r="R2187" s="86">
        <f t="shared" si="673"/>
        <v>0</v>
      </c>
      <c r="S2187" s="86">
        <f t="shared" si="674"/>
        <v>0</v>
      </c>
      <c r="T2187" s="86">
        <f t="shared" si="675"/>
        <v>18393.57</v>
      </c>
      <c r="U2187" s="87">
        <v>18393.57</v>
      </c>
    </row>
    <row r="2188" spans="1:21" s="30" customFormat="1" ht="24.6" hidden="1" outlineLevel="1" x14ac:dyDescent="0.55000000000000004">
      <c r="A2188" s="27" t="s">
        <v>327</v>
      </c>
      <c r="B2188" s="28"/>
      <c r="C2188" s="27"/>
      <c r="D2188" s="27" t="str">
        <f>"""NAV Direct"",""CRONUS JetCorp USA"",""21"",""1"",""366880"""</f>
        <v>"NAV Direct","CRONUS JetCorp USA","21","1","366880"</v>
      </c>
      <c r="E2188" s="31" t="str">
        <f t="shared" si="667"/>
        <v>C100072</v>
      </c>
      <c r="F2188" s="31"/>
      <c r="G2188" s="31"/>
      <c r="H2188" s="31"/>
      <c r="I2188" s="56"/>
      <c r="J2188" s="56"/>
      <c r="K2188" s="82" t="str">
        <f t="shared" si="668"/>
        <v>Invoice</v>
      </c>
      <c r="L2188" s="83" t="str">
        <f>"SI_111450"</f>
        <v>SI_111450</v>
      </c>
      <c r="M2188" s="84">
        <v>43620</v>
      </c>
      <c r="N2188" s="85">
        <f t="shared" si="669"/>
        <v>192</v>
      </c>
      <c r="O2188" s="86">
        <f t="shared" si="670"/>
        <v>20306.22</v>
      </c>
      <c r="P2188" s="86">
        <f t="shared" si="671"/>
        <v>0</v>
      </c>
      <c r="Q2188" s="86">
        <f t="shared" si="672"/>
        <v>0</v>
      </c>
      <c r="R2188" s="86">
        <f t="shared" si="673"/>
        <v>0</v>
      </c>
      <c r="S2188" s="86">
        <f t="shared" si="674"/>
        <v>0</v>
      </c>
      <c r="T2188" s="86">
        <f t="shared" si="675"/>
        <v>20306.22</v>
      </c>
      <c r="U2188" s="87">
        <v>20306.22</v>
      </c>
    </row>
    <row r="2189" spans="1:21" s="30" customFormat="1" ht="24.6" hidden="1" outlineLevel="1" x14ac:dyDescent="0.55000000000000004">
      <c r="A2189" s="27" t="s">
        <v>327</v>
      </c>
      <c r="B2189" s="28"/>
      <c r="C2189" s="27"/>
      <c r="D2189" s="27" t="str">
        <f>"""NAV Direct"",""CRONUS JetCorp USA"",""21"",""1"",""367071"""</f>
        <v>"NAV Direct","CRONUS JetCorp USA","21","1","367071"</v>
      </c>
      <c r="E2189" s="31">
        <f t="shared" si="667"/>
        <v>0</v>
      </c>
      <c r="F2189" s="31"/>
      <c r="G2189" s="31"/>
      <c r="H2189" s="31"/>
      <c r="I2189" s="56"/>
      <c r="J2189" s="56"/>
      <c r="K2189" s="82" t="str">
        <f t="shared" si="668"/>
        <v>Invoice</v>
      </c>
      <c r="L2189" s="83" t="str">
        <f>"SI_111455"</f>
        <v>SI_111455</v>
      </c>
      <c r="M2189" s="84">
        <v>43625</v>
      </c>
      <c r="N2189" s="85">
        <f t="shared" si="669"/>
        <v>187</v>
      </c>
      <c r="O2189" s="86">
        <f t="shared" si="670"/>
        <v>20306.73</v>
      </c>
      <c r="P2189" s="86">
        <f t="shared" si="671"/>
        <v>0</v>
      </c>
      <c r="Q2189" s="86">
        <f t="shared" si="672"/>
        <v>0</v>
      </c>
      <c r="R2189" s="86">
        <f t="shared" si="673"/>
        <v>0</v>
      </c>
      <c r="S2189" s="86">
        <f t="shared" si="674"/>
        <v>0</v>
      </c>
      <c r="T2189" s="86">
        <f t="shared" si="675"/>
        <v>20306.73</v>
      </c>
      <c r="U2189" s="87">
        <v>20306.73</v>
      </c>
    </row>
    <row r="2190" spans="1:21" s="30" customFormat="1" ht="24.6" hidden="1" outlineLevel="1" x14ac:dyDescent="0.55000000000000004">
      <c r="A2190" s="27" t="s">
        <v>327</v>
      </c>
      <c r="B2190" s="28"/>
      <c r="C2190" s="27"/>
      <c r="D2190" s="27" t="str">
        <f>"""NAV Direct"",""CRONUS JetCorp USA"",""21"",""1"",""367675"""</f>
        <v>"NAV Direct","CRONUS JetCorp USA","21","1","367675"</v>
      </c>
      <c r="E2190" s="31" t="str">
        <f t="shared" si="667"/>
        <v>C100072</v>
      </c>
      <c r="F2190" s="31"/>
      <c r="G2190" s="31"/>
      <c r="H2190" s="31"/>
      <c r="I2190" s="56"/>
      <c r="J2190" s="56"/>
      <c r="K2190" s="82" t="str">
        <f t="shared" si="668"/>
        <v>Invoice</v>
      </c>
      <c r="L2190" s="83" t="str">
        <f>"SI_111471"</f>
        <v>SI_111471</v>
      </c>
      <c r="M2190" s="84">
        <v>43701</v>
      </c>
      <c r="N2190" s="85">
        <f t="shared" si="669"/>
        <v>111</v>
      </c>
      <c r="O2190" s="86">
        <f t="shared" si="670"/>
        <v>15579.84</v>
      </c>
      <c r="P2190" s="86">
        <f t="shared" si="671"/>
        <v>0</v>
      </c>
      <c r="Q2190" s="86">
        <f t="shared" si="672"/>
        <v>0</v>
      </c>
      <c r="R2190" s="86">
        <f t="shared" si="673"/>
        <v>0</v>
      </c>
      <c r="S2190" s="86">
        <f t="shared" si="674"/>
        <v>0</v>
      </c>
      <c r="T2190" s="86">
        <f t="shared" si="675"/>
        <v>15579.84</v>
      </c>
      <c r="U2190" s="87">
        <v>15579.84</v>
      </c>
    </row>
    <row r="2191" spans="1:21" s="30" customFormat="1" ht="24.6" hidden="1" outlineLevel="1" x14ac:dyDescent="0.55000000000000004">
      <c r="A2191" s="27" t="s">
        <v>327</v>
      </c>
      <c r="B2191" s="28"/>
      <c r="C2191" s="27"/>
      <c r="D2191" s="27" t="str">
        <f>"""NAV Direct"",""CRONUS JetCorp USA"",""21"",""1"",""367706"""</f>
        <v>"NAV Direct","CRONUS JetCorp USA","21","1","367706"</v>
      </c>
      <c r="E2191" s="31">
        <f t="shared" si="667"/>
        <v>0</v>
      </c>
      <c r="F2191" s="31"/>
      <c r="G2191" s="31"/>
      <c r="H2191" s="31"/>
      <c r="I2191" s="56"/>
      <c r="J2191" s="56"/>
      <c r="K2191" s="82" t="str">
        <f t="shared" si="668"/>
        <v>Invoice</v>
      </c>
      <c r="L2191" s="83" t="str">
        <f>"SI_111472"</f>
        <v>SI_111472</v>
      </c>
      <c r="M2191" s="84">
        <v>43704</v>
      </c>
      <c r="N2191" s="85">
        <f t="shared" si="669"/>
        <v>108</v>
      </c>
      <c r="O2191" s="86">
        <f t="shared" si="670"/>
        <v>15579.4</v>
      </c>
      <c r="P2191" s="86">
        <f t="shared" si="671"/>
        <v>0</v>
      </c>
      <c r="Q2191" s="86">
        <f t="shared" si="672"/>
        <v>0</v>
      </c>
      <c r="R2191" s="86">
        <f t="shared" si="673"/>
        <v>0</v>
      </c>
      <c r="S2191" s="86">
        <f t="shared" si="674"/>
        <v>0</v>
      </c>
      <c r="T2191" s="86">
        <f t="shared" si="675"/>
        <v>15579.4</v>
      </c>
      <c r="U2191" s="87">
        <v>15579.4</v>
      </c>
    </row>
    <row r="2192" spans="1:21" s="30" customFormat="1" ht="24.6" hidden="1" outlineLevel="1" x14ac:dyDescent="0.55000000000000004">
      <c r="A2192" s="27" t="s">
        <v>327</v>
      </c>
      <c r="B2192" s="28"/>
      <c r="C2192" s="27"/>
      <c r="D2192" s="27" t="str">
        <f>"""NAV Direct"",""CRONUS JetCorp USA"",""21"",""1"",""368116"""</f>
        <v>"NAV Direct","CRONUS JetCorp USA","21","1","368116"</v>
      </c>
      <c r="E2192" s="31" t="str">
        <f t="shared" si="667"/>
        <v>C100072</v>
      </c>
      <c r="F2192" s="31"/>
      <c r="G2192" s="31"/>
      <c r="H2192" s="31"/>
      <c r="I2192" s="56"/>
      <c r="J2192" s="56"/>
      <c r="K2192" s="82" t="str">
        <f t="shared" si="668"/>
        <v>Invoice</v>
      </c>
      <c r="L2192" s="83" t="str">
        <f>"SI_111484"</f>
        <v>SI_111484</v>
      </c>
      <c r="M2192" s="84">
        <v>43775</v>
      </c>
      <c r="N2192" s="85">
        <f t="shared" si="669"/>
        <v>37</v>
      </c>
      <c r="O2192" s="86">
        <f t="shared" si="670"/>
        <v>14444.449999999999</v>
      </c>
      <c r="P2192" s="86">
        <f t="shared" si="671"/>
        <v>0</v>
      </c>
      <c r="Q2192" s="86">
        <f t="shared" si="672"/>
        <v>0</v>
      </c>
      <c r="R2192" s="86">
        <f t="shared" si="673"/>
        <v>14444.449999999999</v>
      </c>
      <c r="S2192" s="86">
        <f t="shared" si="674"/>
        <v>0</v>
      </c>
      <c r="T2192" s="86">
        <f t="shared" si="675"/>
        <v>0</v>
      </c>
      <c r="U2192" s="87">
        <v>14444.449999999999</v>
      </c>
    </row>
    <row r="2193" spans="1:21" s="30" customFormat="1" ht="24.6" hidden="1" outlineLevel="1" x14ac:dyDescent="0.55000000000000004">
      <c r="A2193" s="27" t="s">
        <v>327</v>
      </c>
      <c r="B2193" s="28"/>
      <c r="C2193" s="27"/>
      <c r="D2193" s="27" t="str">
        <f>"""NAV Direct"",""CRONUS JetCorp USA"",""21"",""1"",""368628"""</f>
        <v>"NAV Direct","CRONUS JetCorp USA","21","1","368628"</v>
      </c>
      <c r="E2193" s="31">
        <f t="shared" si="667"/>
        <v>0</v>
      </c>
      <c r="F2193" s="31"/>
      <c r="G2193" s="31"/>
      <c r="H2193" s="31"/>
      <c r="I2193" s="56"/>
      <c r="J2193" s="56"/>
      <c r="K2193" s="82" t="str">
        <f t="shared" si="668"/>
        <v>Invoice</v>
      </c>
      <c r="L2193" s="83" t="str">
        <f>"SI_111498"</f>
        <v>SI_111498</v>
      </c>
      <c r="M2193" s="84">
        <v>42015</v>
      </c>
      <c r="N2193" s="85">
        <f t="shared" si="669"/>
        <v>1797</v>
      </c>
      <c r="O2193" s="86">
        <f t="shared" si="670"/>
        <v>17476.849999999999</v>
      </c>
      <c r="P2193" s="86">
        <f t="shared" si="671"/>
        <v>0</v>
      </c>
      <c r="Q2193" s="86">
        <f t="shared" si="672"/>
        <v>0</v>
      </c>
      <c r="R2193" s="86">
        <f t="shared" si="673"/>
        <v>0</v>
      </c>
      <c r="S2193" s="86">
        <f t="shared" si="674"/>
        <v>0</v>
      </c>
      <c r="T2193" s="86">
        <f t="shared" si="675"/>
        <v>17476.849999999999</v>
      </c>
      <c r="U2193" s="87">
        <v>17476.849999999999</v>
      </c>
    </row>
    <row r="2194" spans="1:21" s="30" customFormat="1" ht="24.6" hidden="1" outlineLevel="1" x14ac:dyDescent="0.55000000000000004">
      <c r="A2194" s="27" t="s">
        <v>327</v>
      </c>
      <c r="B2194" s="28"/>
      <c r="C2194" s="27"/>
      <c r="D2194" s="27" t="str">
        <f>"""NAV Direct"",""CRONUS JetCorp USA"",""21"",""1"",""368844"""</f>
        <v>"NAV Direct","CRONUS JetCorp USA","21","1","368844"</v>
      </c>
      <c r="E2194" s="31" t="str">
        <f t="shared" si="667"/>
        <v>C100072</v>
      </c>
      <c r="F2194" s="31"/>
      <c r="G2194" s="31"/>
      <c r="H2194" s="31"/>
      <c r="I2194" s="56"/>
      <c r="J2194" s="56"/>
      <c r="K2194" s="82" t="str">
        <f t="shared" si="668"/>
        <v>Invoice</v>
      </c>
      <c r="L2194" s="83" t="str">
        <f>"SI_111504"</f>
        <v>SI_111504</v>
      </c>
      <c r="M2194" s="84">
        <v>42039</v>
      </c>
      <c r="N2194" s="85">
        <f t="shared" si="669"/>
        <v>1773</v>
      </c>
      <c r="O2194" s="86">
        <f t="shared" si="670"/>
        <v>16987.760000000002</v>
      </c>
      <c r="P2194" s="86">
        <f t="shared" si="671"/>
        <v>0</v>
      </c>
      <c r="Q2194" s="86">
        <f t="shared" si="672"/>
        <v>0</v>
      </c>
      <c r="R2194" s="86">
        <f t="shared" si="673"/>
        <v>0</v>
      </c>
      <c r="S2194" s="86">
        <f t="shared" si="674"/>
        <v>0</v>
      </c>
      <c r="T2194" s="86">
        <f t="shared" si="675"/>
        <v>16987.760000000002</v>
      </c>
      <c r="U2194" s="87">
        <v>16987.760000000002</v>
      </c>
    </row>
    <row r="2195" spans="1:21" s="30" customFormat="1" ht="24.6" hidden="1" outlineLevel="1" x14ac:dyDescent="0.55000000000000004">
      <c r="A2195" s="27" t="s">
        <v>327</v>
      </c>
      <c r="B2195" s="28"/>
      <c r="C2195" s="27"/>
      <c r="D2195" s="27" t="str">
        <f>"""NAV Direct"",""CRONUS JetCorp USA"",""21"",""1"",""368984"""</f>
        <v>"NAV Direct","CRONUS JetCorp USA","21","1","368984"</v>
      </c>
      <c r="E2195" s="31">
        <f t="shared" si="667"/>
        <v>0</v>
      </c>
      <c r="F2195" s="31"/>
      <c r="G2195" s="31"/>
      <c r="H2195" s="31"/>
      <c r="I2195" s="56"/>
      <c r="J2195" s="56"/>
      <c r="K2195" s="82" t="str">
        <f t="shared" si="668"/>
        <v>Invoice</v>
      </c>
      <c r="L2195" s="83" t="str">
        <f>"SI_111508"</f>
        <v>SI_111508</v>
      </c>
      <c r="M2195" s="84">
        <v>42050</v>
      </c>
      <c r="N2195" s="85">
        <f t="shared" si="669"/>
        <v>1762</v>
      </c>
      <c r="O2195" s="86">
        <f t="shared" si="670"/>
        <v>16986.739999999998</v>
      </c>
      <c r="P2195" s="86">
        <f t="shared" si="671"/>
        <v>0</v>
      </c>
      <c r="Q2195" s="86">
        <f t="shared" si="672"/>
        <v>0</v>
      </c>
      <c r="R2195" s="86">
        <f t="shared" si="673"/>
        <v>0</v>
      </c>
      <c r="S2195" s="86">
        <f t="shared" si="674"/>
        <v>0</v>
      </c>
      <c r="T2195" s="86">
        <f t="shared" si="675"/>
        <v>16986.739999999998</v>
      </c>
      <c r="U2195" s="87">
        <v>16986.739999999998</v>
      </c>
    </row>
    <row r="2196" spans="1:21" s="30" customFormat="1" ht="24.6" hidden="1" outlineLevel="1" x14ac:dyDescent="0.55000000000000004">
      <c r="A2196" s="27" t="s">
        <v>327</v>
      </c>
      <c r="B2196" s="28"/>
      <c r="C2196" s="27"/>
      <c r="D2196" s="27" t="str">
        <f>"""NAV Direct"",""CRONUS JetCorp USA"",""21"",""1"",""369081"""</f>
        <v>"NAV Direct","CRONUS JetCorp USA","21","1","369081"</v>
      </c>
      <c r="E2196" s="31" t="str">
        <f t="shared" ref="E2196:E2214" si="676">E2194</f>
        <v>C100072</v>
      </c>
      <c r="F2196" s="31"/>
      <c r="G2196" s="31"/>
      <c r="H2196" s="31"/>
      <c r="I2196" s="56"/>
      <c r="J2196" s="56"/>
      <c r="K2196" s="82" t="str">
        <f t="shared" si="668"/>
        <v>Invoice</v>
      </c>
      <c r="L2196" s="83" t="str">
        <f>"SI_111511"</f>
        <v>SI_111511</v>
      </c>
      <c r="M2196" s="84">
        <v>42080</v>
      </c>
      <c r="N2196" s="85">
        <f t="shared" ref="N2196:N2214" si="677">StartDate-$M2196+1</f>
        <v>1732</v>
      </c>
      <c r="O2196" s="86">
        <f t="shared" ref="O2196:O2214" si="678">SUM(P2196:T2196)</f>
        <v>15763.8</v>
      </c>
      <c r="P2196" s="86">
        <f t="shared" ref="P2196:P2214" si="679">IF($M2196&gt;=$P$18,U2196,0)</f>
        <v>0</v>
      </c>
      <c r="Q2196" s="86">
        <f t="shared" ref="Q2196:Q2214" si="680">IF(AND($M2196&gt;=$Q$16,$M2196&lt;=$Q$18),U2196,0)</f>
        <v>0</v>
      </c>
      <c r="R2196" s="86">
        <f t="shared" ref="R2196:R2214" si="681">IF(AND($M2196&gt;=$R$16,$M2196&lt;=$R$18),U2196,0)</f>
        <v>0</v>
      </c>
      <c r="S2196" s="86">
        <f t="shared" ref="S2196:S2214" si="682">IF(AND($M2196&gt;=$S$16,$M2196&lt;=$S$18),U2196,0)</f>
        <v>0</v>
      </c>
      <c r="T2196" s="86">
        <f t="shared" ref="T2196:T2214" si="683">IF($M2196&lt;=$T$18,U2196,0)</f>
        <v>15763.8</v>
      </c>
      <c r="U2196" s="87">
        <v>15763.8</v>
      </c>
    </row>
    <row r="2197" spans="1:21" s="30" customFormat="1" ht="24.6" hidden="1" outlineLevel="1" x14ac:dyDescent="0.55000000000000004">
      <c r="A2197" s="27" t="s">
        <v>327</v>
      </c>
      <c r="B2197" s="28"/>
      <c r="C2197" s="27"/>
      <c r="D2197" s="27" t="str">
        <f>"""NAV Direct"",""CRONUS JetCorp USA"",""21"",""1"",""369281"""</f>
        <v>"NAV Direct","CRONUS JetCorp USA","21","1","369281"</v>
      </c>
      <c r="E2197" s="31">
        <f t="shared" si="676"/>
        <v>0</v>
      </c>
      <c r="F2197" s="31"/>
      <c r="G2197" s="31"/>
      <c r="H2197" s="31"/>
      <c r="I2197" s="56"/>
      <c r="J2197" s="56"/>
      <c r="K2197" s="82" t="str">
        <f t="shared" si="668"/>
        <v>Invoice</v>
      </c>
      <c r="L2197" s="83" t="str">
        <f>"SI_111517"</f>
        <v>SI_111517</v>
      </c>
      <c r="M2197" s="84">
        <v>42115</v>
      </c>
      <c r="N2197" s="85">
        <f t="shared" si="677"/>
        <v>1697</v>
      </c>
      <c r="O2197" s="86">
        <f t="shared" si="678"/>
        <v>15448.679999999998</v>
      </c>
      <c r="P2197" s="86">
        <f t="shared" si="679"/>
        <v>0</v>
      </c>
      <c r="Q2197" s="86">
        <f t="shared" si="680"/>
        <v>0</v>
      </c>
      <c r="R2197" s="86">
        <f t="shared" si="681"/>
        <v>0</v>
      </c>
      <c r="S2197" s="86">
        <f t="shared" si="682"/>
        <v>0</v>
      </c>
      <c r="T2197" s="86">
        <f t="shared" si="683"/>
        <v>15448.679999999998</v>
      </c>
      <c r="U2197" s="87">
        <v>15448.679999999998</v>
      </c>
    </row>
    <row r="2198" spans="1:21" s="30" customFormat="1" ht="24.6" hidden="1" outlineLevel="1" x14ac:dyDescent="0.55000000000000004">
      <c r="A2198" s="27" t="s">
        <v>327</v>
      </c>
      <c r="B2198" s="28"/>
      <c r="C2198" s="27"/>
      <c r="D2198" s="27" t="str">
        <f>"""NAV Direct"",""CRONUS JetCorp USA"",""21"",""1"",""369775"""</f>
        <v>"NAV Direct","CRONUS JetCorp USA","21","1","369775"</v>
      </c>
      <c r="E2198" s="31" t="str">
        <f t="shared" si="676"/>
        <v>C100072</v>
      </c>
      <c r="F2198" s="31"/>
      <c r="G2198" s="31"/>
      <c r="H2198" s="31"/>
      <c r="I2198" s="56"/>
      <c r="J2198" s="56"/>
      <c r="K2198" s="82" t="str">
        <f t="shared" si="668"/>
        <v>Invoice</v>
      </c>
      <c r="L2198" s="83" t="str">
        <f>"SI_111531"</f>
        <v>SI_111531</v>
      </c>
      <c r="M2198" s="84">
        <v>42193</v>
      </c>
      <c r="N2198" s="85">
        <f t="shared" si="677"/>
        <v>1619</v>
      </c>
      <c r="O2198" s="86">
        <f t="shared" si="678"/>
        <v>21209.23</v>
      </c>
      <c r="P2198" s="86">
        <f t="shared" si="679"/>
        <v>0</v>
      </c>
      <c r="Q2198" s="86">
        <f t="shared" si="680"/>
        <v>0</v>
      </c>
      <c r="R2198" s="86">
        <f t="shared" si="681"/>
        <v>0</v>
      </c>
      <c r="S2198" s="86">
        <f t="shared" si="682"/>
        <v>0</v>
      </c>
      <c r="T2198" s="86">
        <f t="shared" si="683"/>
        <v>21209.23</v>
      </c>
      <c r="U2198" s="87">
        <v>21209.23</v>
      </c>
    </row>
    <row r="2199" spans="1:21" s="30" customFormat="1" ht="24.6" hidden="1" outlineLevel="1" x14ac:dyDescent="0.55000000000000004">
      <c r="A2199" s="27" t="s">
        <v>327</v>
      </c>
      <c r="B2199" s="28"/>
      <c r="C2199" s="27"/>
      <c r="D2199" s="27" t="str">
        <f>"""NAV Direct"",""CRONUS JetCorp USA"",""21"",""1"",""369804"""</f>
        <v>"NAV Direct","CRONUS JetCorp USA","21","1","369804"</v>
      </c>
      <c r="E2199" s="31">
        <f t="shared" si="676"/>
        <v>0</v>
      </c>
      <c r="F2199" s="31"/>
      <c r="G2199" s="31"/>
      <c r="H2199" s="31"/>
      <c r="I2199" s="56"/>
      <c r="J2199" s="56"/>
      <c r="K2199" s="82" t="str">
        <f t="shared" si="668"/>
        <v>Invoice</v>
      </c>
      <c r="L2199" s="83" t="str">
        <f>"SI_111532"</f>
        <v>SI_111532</v>
      </c>
      <c r="M2199" s="84">
        <v>42194</v>
      </c>
      <c r="N2199" s="85">
        <f t="shared" si="677"/>
        <v>1618</v>
      </c>
      <c r="O2199" s="86">
        <f t="shared" si="678"/>
        <v>21209.539999999997</v>
      </c>
      <c r="P2199" s="86">
        <f t="shared" si="679"/>
        <v>0</v>
      </c>
      <c r="Q2199" s="86">
        <f t="shared" si="680"/>
        <v>0</v>
      </c>
      <c r="R2199" s="86">
        <f t="shared" si="681"/>
        <v>0</v>
      </c>
      <c r="S2199" s="86">
        <f t="shared" si="682"/>
        <v>0</v>
      </c>
      <c r="T2199" s="86">
        <f t="shared" si="683"/>
        <v>21209.539999999997</v>
      </c>
      <c r="U2199" s="87">
        <v>21209.539999999997</v>
      </c>
    </row>
    <row r="2200" spans="1:21" s="30" customFormat="1" ht="24.6" hidden="1" outlineLevel="1" x14ac:dyDescent="0.55000000000000004">
      <c r="A2200" s="27" t="s">
        <v>327</v>
      </c>
      <c r="B2200" s="28"/>
      <c r="C2200" s="27"/>
      <c r="D2200" s="27" t="str">
        <f>"""NAV Direct"",""CRONUS JetCorp USA"",""21"",""1"",""369847"""</f>
        <v>"NAV Direct","CRONUS JetCorp USA","21","1","369847"</v>
      </c>
      <c r="E2200" s="31" t="str">
        <f t="shared" si="676"/>
        <v>C100072</v>
      </c>
      <c r="F2200" s="31"/>
      <c r="G2200" s="31"/>
      <c r="H2200" s="31"/>
      <c r="I2200" s="56"/>
      <c r="J2200" s="56"/>
      <c r="K2200" s="82" t="str">
        <f t="shared" si="668"/>
        <v>Invoice</v>
      </c>
      <c r="L2200" s="83" t="str">
        <f>"SI_111533"</f>
        <v>SI_111533</v>
      </c>
      <c r="M2200" s="84">
        <v>42194</v>
      </c>
      <c r="N2200" s="85">
        <f t="shared" si="677"/>
        <v>1618</v>
      </c>
      <c r="O2200" s="86">
        <f t="shared" si="678"/>
        <v>21209.62</v>
      </c>
      <c r="P2200" s="86">
        <f t="shared" si="679"/>
        <v>0</v>
      </c>
      <c r="Q2200" s="86">
        <f t="shared" si="680"/>
        <v>0</v>
      </c>
      <c r="R2200" s="86">
        <f t="shared" si="681"/>
        <v>0</v>
      </c>
      <c r="S2200" s="86">
        <f t="shared" si="682"/>
        <v>0</v>
      </c>
      <c r="T2200" s="86">
        <f t="shared" si="683"/>
        <v>21209.62</v>
      </c>
      <c r="U2200" s="87">
        <v>21209.62</v>
      </c>
    </row>
    <row r="2201" spans="1:21" s="30" customFormat="1" ht="24.6" hidden="1" outlineLevel="1" x14ac:dyDescent="0.55000000000000004">
      <c r="A2201" s="27" t="s">
        <v>327</v>
      </c>
      <c r="B2201" s="28"/>
      <c r="C2201" s="27"/>
      <c r="D2201" s="27" t="str">
        <f>"""NAV Direct"",""CRONUS JetCorp USA"",""21"",""1"",""369921"""</f>
        <v>"NAV Direct","CRONUS JetCorp USA","21","1","369921"</v>
      </c>
      <c r="E2201" s="31">
        <f t="shared" si="676"/>
        <v>0</v>
      </c>
      <c r="F2201" s="31"/>
      <c r="G2201" s="31"/>
      <c r="H2201" s="31"/>
      <c r="I2201" s="56"/>
      <c r="J2201" s="56"/>
      <c r="K2201" s="82" t="str">
        <f t="shared" si="668"/>
        <v>Invoice</v>
      </c>
      <c r="L2201" s="83" t="str">
        <f>"SI_111535"</f>
        <v>SI_111535</v>
      </c>
      <c r="M2201" s="84">
        <v>42202</v>
      </c>
      <c r="N2201" s="85">
        <f t="shared" si="677"/>
        <v>1610</v>
      </c>
      <c r="O2201" s="86">
        <f t="shared" si="678"/>
        <v>21208.76</v>
      </c>
      <c r="P2201" s="86">
        <f t="shared" si="679"/>
        <v>0</v>
      </c>
      <c r="Q2201" s="86">
        <f t="shared" si="680"/>
        <v>0</v>
      </c>
      <c r="R2201" s="86">
        <f t="shared" si="681"/>
        <v>0</v>
      </c>
      <c r="S2201" s="86">
        <f t="shared" si="682"/>
        <v>0</v>
      </c>
      <c r="T2201" s="86">
        <f t="shared" si="683"/>
        <v>21208.76</v>
      </c>
      <c r="U2201" s="87">
        <v>21208.76</v>
      </c>
    </row>
    <row r="2202" spans="1:21" s="30" customFormat="1" ht="24.6" hidden="1" outlineLevel="1" x14ac:dyDescent="0.55000000000000004">
      <c r="A2202" s="27" t="s">
        <v>327</v>
      </c>
      <c r="B2202" s="28"/>
      <c r="C2202" s="27"/>
      <c r="D2202" s="27" t="str">
        <f>"""NAV Direct"",""CRONUS JetCorp USA"",""21"",""1"",""370036"""</f>
        <v>"NAV Direct","CRONUS JetCorp USA","21","1","370036"</v>
      </c>
      <c r="E2202" s="31" t="str">
        <f t="shared" si="676"/>
        <v>C100072</v>
      </c>
      <c r="F2202" s="31"/>
      <c r="G2202" s="31"/>
      <c r="H2202" s="31"/>
      <c r="I2202" s="56"/>
      <c r="J2202" s="56"/>
      <c r="K2202" s="82" t="str">
        <f t="shared" si="668"/>
        <v>Invoice</v>
      </c>
      <c r="L2202" s="83" t="str">
        <f>"SI_111538"</f>
        <v>SI_111538</v>
      </c>
      <c r="M2202" s="84">
        <v>42223</v>
      </c>
      <c r="N2202" s="85">
        <f t="shared" si="677"/>
        <v>1589</v>
      </c>
      <c r="O2202" s="86">
        <f t="shared" si="678"/>
        <v>14027.18</v>
      </c>
      <c r="P2202" s="86">
        <f t="shared" si="679"/>
        <v>0</v>
      </c>
      <c r="Q2202" s="86">
        <f t="shared" si="680"/>
        <v>0</v>
      </c>
      <c r="R2202" s="86">
        <f t="shared" si="681"/>
        <v>0</v>
      </c>
      <c r="S2202" s="86">
        <f t="shared" si="682"/>
        <v>0</v>
      </c>
      <c r="T2202" s="86">
        <f t="shared" si="683"/>
        <v>14027.18</v>
      </c>
      <c r="U2202" s="87">
        <v>14027.18</v>
      </c>
    </row>
    <row r="2203" spans="1:21" s="30" customFormat="1" ht="24.6" hidden="1" outlineLevel="1" x14ac:dyDescent="0.55000000000000004">
      <c r="A2203" s="27" t="s">
        <v>327</v>
      </c>
      <c r="B2203" s="28"/>
      <c r="C2203" s="27"/>
      <c r="D2203" s="27" t="str">
        <f>"""NAV Direct"",""CRONUS JetCorp USA"",""21"",""1"",""370310"""</f>
        <v>"NAV Direct","CRONUS JetCorp USA","21","1","370310"</v>
      </c>
      <c r="E2203" s="31">
        <f t="shared" si="676"/>
        <v>0</v>
      </c>
      <c r="F2203" s="31"/>
      <c r="G2203" s="31"/>
      <c r="H2203" s="31"/>
      <c r="I2203" s="56"/>
      <c r="J2203" s="56"/>
      <c r="K2203" s="82" t="str">
        <f t="shared" si="668"/>
        <v>Invoice</v>
      </c>
      <c r="L2203" s="83" t="str">
        <f>"SI_111546"</f>
        <v>SI_111546</v>
      </c>
      <c r="M2203" s="84">
        <v>42267</v>
      </c>
      <c r="N2203" s="85">
        <f t="shared" si="677"/>
        <v>1545</v>
      </c>
      <c r="O2203" s="86">
        <f t="shared" si="678"/>
        <v>12400.42</v>
      </c>
      <c r="P2203" s="86">
        <f t="shared" si="679"/>
        <v>0</v>
      </c>
      <c r="Q2203" s="86">
        <f t="shared" si="680"/>
        <v>0</v>
      </c>
      <c r="R2203" s="86">
        <f t="shared" si="681"/>
        <v>0</v>
      </c>
      <c r="S2203" s="86">
        <f t="shared" si="682"/>
        <v>0</v>
      </c>
      <c r="T2203" s="86">
        <f t="shared" si="683"/>
        <v>12400.42</v>
      </c>
      <c r="U2203" s="87">
        <v>12400.42</v>
      </c>
    </row>
    <row r="2204" spans="1:21" s="30" customFormat="1" ht="24.6" hidden="1" outlineLevel="1" x14ac:dyDescent="0.55000000000000004">
      <c r="A2204" s="27" t="s">
        <v>327</v>
      </c>
      <c r="B2204" s="28"/>
      <c r="C2204" s="27"/>
      <c r="D2204" s="27" t="str">
        <f>"""NAV Direct"",""CRONUS JetCorp USA"",""21"",""1"",""370970"""</f>
        <v>"NAV Direct","CRONUS JetCorp USA","21","1","370970"</v>
      </c>
      <c r="E2204" s="31" t="str">
        <f t="shared" si="676"/>
        <v>C100072</v>
      </c>
      <c r="F2204" s="31"/>
      <c r="G2204" s="31"/>
      <c r="H2204" s="31"/>
      <c r="I2204" s="56"/>
      <c r="J2204" s="56"/>
      <c r="K2204" s="82" t="str">
        <f t="shared" si="668"/>
        <v>Invoice</v>
      </c>
      <c r="L2204" s="83" t="str">
        <f>"SI_111564"</f>
        <v>SI_111564</v>
      </c>
      <c r="M2204" s="84">
        <v>42744</v>
      </c>
      <c r="N2204" s="85">
        <f t="shared" si="677"/>
        <v>1068</v>
      </c>
      <c r="O2204" s="86">
        <f t="shared" si="678"/>
        <v>18814.349999999999</v>
      </c>
      <c r="P2204" s="86">
        <f t="shared" si="679"/>
        <v>0</v>
      </c>
      <c r="Q2204" s="86">
        <f t="shared" si="680"/>
        <v>0</v>
      </c>
      <c r="R2204" s="86">
        <f t="shared" si="681"/>
        <v>0</v>
      </c>
      <c r="S2204" s="86">
        <f t="shared" si="682"/>
        <v>0</v>
      </c>
      <c r="T2204" s="86">
        <f t="shared" si="683"/>
        <v>18814.349999999999</v>
      </c>
      <c r="U2204" s="87">
        <v>18814.349999999999</v>
      </c>
    </row>
    <row r="2205" spans="1:21" s="30" customFormat="1" ht="24.6" hidden="1" outlineLevel="1" x14ac:dyDescent="0.55000000000000004">
      <c r="A2205" s="27" t="s">
        <v>327</v>
      </c>
      <c r="B2205" s="28"/>
      <c r="C2205" s="27"/>
      <c r="D2205" s="27" t="str">
        <f>"""NAV Direct"",""CRONUS JetCorp USA"",""21"",""1"",""435938"""</f>
        <v>"NAV Direct","CRONUS JetCorp USA","21","1","435938"</v>
      </c>
      <c r="E2205" s="31">
        <f t="shared" si="676"/>
        <v>0</v>
      </c>
      <c r="F2205" s="31"/>
      <c r="G2205" s="31"/>
      <c r="H2205" s="31"/>
      <c r="I2205" s="56"/>
      <c r="J2205" s="56"/>
      <c r="K2205" s="82" t="str">
        <f t="shared" ref="K2205:K2214" si="684">"Credit Memo"</f>
        <v>Credit Memo</v>
      </c>
      <c r="L2205" s="83" t="str">
        <f>"SC_100652"</f>
        <v>SC_100652</v>
      </c>
      <c r="M2205" s="84">
        <v>42849</v>
      </c>
      <c r="N2205" s="85">
        <f t="shared" si="677"/>
        <v>963</v>
      </c>
      <c r="O2205" s="86">
        <f t="shared" si="678"/>
        <v>-129.83000000000001</v>
      </c>
      <c r="P2205" s="86">
        <f t="shared" si="679"/>
        <v>0</v>
      </c>
      <c r="Q2205" s="86">
        <f t="shared" si="680"/>
        <v>0</v>
      </c>
      <c r="R2205" s="86">
        <f t="shared" si="681"/>
        <v>0</v>
      </c>
      <c r="S2205" s="86">
        <f t="shared" si="682"/>
        <v>0</v>
      </c>
      <c r="T2205" s="86">
        <f t="shared" si="683"/>
        <v>-129.83000000000001</v>
      </c>
      <c r="U2205" s="87">
        <v>-129.83000000000001</v>
      </c>
    </row>
    <row r="2206" spans="1:21" s="30" customFormat="1" ht="24.6" hidden="1" outlineLevel="1" x14ac:dyDescent="0.55000000000000004">
      <c r="A2206" s="27" t="s">
        <v>327</v>
      </c>
      <c r="B2206" s="28"/>
      <c r="C2206" s="27"/>
      <c r="D2206" s="27" t="str">
        <f>"""NAV Direct"",""CRONUS JetCorp USA"",""21"",""1"",""436281"""</f>
        <v>"NAV Direct","CRONUS JetCorp USA","21","1","436281"</v>
      </c>
      <c r="E2206" s="31" t="str">
        <f t="shared" si="676"/>
        <v>C100072</v>
      </c>
      <c r="F2206" s="31"/>
      <c r="G2206" s="31"/>
      <c r="H2206" s="31"/>
      <c r="I2206" s="56"/>
      <c r="J2206" s="56"/>
      <c r="K2206" s="82" t="str">
        <f t="shared" si="684"/>
        <v>Credit Memo</v>
      </c>
      <c r="L2206" s="83" t="str">
        <f>"SC_100673"</f>
        <v>SC_100673</v>
      </c>
      <c r="M2206" s="84">
        <v>43223</v>
      </c>
      <c r="N2206" s="85">
        <f t="shared" si="677"/>
        <v>589</v>
      </c>
      <c r="O2206" s="86">
        <f t="shared" si="678"/>
        <v>-175.83</v>
      </c>
      <c r="P2206" s="86">
        <f t="shared" si="679"/>
        <v>0</v>
      </c>
      <c r="Q2206" s="86">
        <f t="shared" si="680"/>
        <v>0</v>
      </c>
      <c r="R2206" s="86">
        <f t="shared" si="681"/>
        <v>0</v>
      </c>
      <c r="S2206" s="86">
        <f t="shared" si="682"/>
        <v>0</v>
      </c>
      <c r="T2206" s="86">
        <f t="shared" si="683"/>
        <v>-175.83</v>
      </c>
      <c r="U2206" s="87">
        <v>-175.83</v>
      </c>
    </row>
    <row r="2207" spans="1:21" s="30" customFormat="1" ht="24.6" hidden="1" outlineLevel="1" x14ac:dyDescent="0.55000000000000004">
      <c r="A2207" s="27" t="s">
        <v>327</v>
      </c>
      <c r="B2207" s="28"/>
      <c r="C2207" s="27"/>
      <c r="D2207" s="27" t="str">
        <f>"""NAV Direct"",""CRONUS JetCorp USA"",""21"",""1"",""436417"""</f>
        <v>"NAV Direct","CRONUS JetCorp USA","21","1","436417"</v>
      </c>
      <c r="E2207" s="31">
        <f t="shared" si="676"/>
        <v>0</v>
      </c>
      <c r="F2207" s="31"/>
      <c r="G2207" s="31"/>
      <c r="H2207" s="31"/>
      <c r="I2207" s="56"/>
      <c r="J2207" s="56"/>
      <c r="K2207" s="82" t="str">
        <f t="shared" si="684"/>
        <v>Credit Memo</v>
      </c>
      <c r="L2207" s="83" t="str">
        <f>"SC_100683"</f>
        <v>SC_100683</v>
      </c>
      <c r="M2207" s="84">
        <v>43392</v>
      </c>
      <c r="N2207" s="85">
        <f t="shared" si="677"/>
        <v>420</v>
      </c>
      <c r="O2207" s="86">
        <f t="shared" si="678"/>
        <v>-177.92</v>
      </c>
      <c r="P2207" s="86">
        <f t="shared" si="679"/>
        <v>0</v>
      </c>
      <c r="Q2207" s="86">
        <f t="shared" si="680"/>
        <v>0</v>
      </c>
      <c r="R2207" s="86">
        <f t="shared" si="681"/>
        <v>0</v>
      </c>
      <c r="S2207" s="86">
        <f t="shared" si="682"/>
        <v>0</v>
      </c>
      <c r="T2207" s="86">
        <f t="shared" si="683"/>
        <v>-177.92</v>
      </c>
      <c r="U2207" s="87">
        <v>-177.92</v>
      </c>
    </row>
    <row r="2208" spans="1:21" s="30" customFormat="1" ht="24.6" hidden="1" outlineLevel="1" x14ac:dyDescent="0.55000000000000004">
      <c r="A2208" s="27" t="s">
        <v>327</v>
      </c>
      <c r="B2208" s="28"/>
      <c r="C2208" s="27"/>
      <c r="D2208" s="27" t="str">
        <f>"""NAV Direct"",""CRONUS JetCorp USA"",""21"",""1"",""436492"""</f>
        <v>"NAV Direct","CRONUS JetCorp USA","21","1","436492"</v>
      </c>
      <c r="E2208" s="31" t="str">
        <f t="shared" si="676"/>
        <v>C100072</v>
      </c>
      <c r="F2208" s="31"/>
      <c r="G2208" s="31"/>
      <c r="H2208" s="31"/>
      <c r="I2208" s="56"/>
      <c r="J2208" s="56"/>
      <c r="K2208" s="82" t="str">
        <f t="shared" si="684"/>
        <v>Credit Memo</v>
      </c>
      <c r="L2208" s="83" t="str">
        <f>"SC_100688"</f>
        <v>SC_100688</v>
      </c>
      <c r="M2208" s="84">
        <v>43447</v>
      </c>
      <c r="N2208" s="85">
        <f t="shared" si="677"/>
        <v>365</v>
      </c>
      <c r="O2208" s="86">
        <f t="shared" si="678"/>
        <v>-212.89</v>
      </c>
      <c r="P2208" s="86">
        <f t="shared" si="679"/>
        <v>0</v>
      </c>
      <c r="Q2208" s="86">
        <f t="shared" si="680"/>
        <v>0</v>
      </c>
      <c r="R2208" s="86">
        <f t="shared" si="681"/>
        <v>0</v>
      </c>
      <c r="S2208" s="86">
        <f t="shared" si="682"/>
        <v>0</v>
      </c>
      <c r="T2208" s="86">
        <f t="shared" si="683"/>
        <v>-212.89</v>
      </c>
      <c r="U2208" s="87">
        <v>-212.89</v>
      </c>
    </row>
    <row r="2209" spans="1:22" s="30" customFormat="1" ht="24.6" hidden="1" outlineLevel="1" x14ac:dyDescent="0.55000000000000004">
      <c r="A2209" s="27" t="s">
        <v>327</v>
      </c>
      <c r="B2209" s="28"/>
      <c r="C2209" s="27"/>
      <c r="D2209" s="27" t="str">
        <f>"""NAV Direct"",""CRONUS JetCorp USA"",""21"",""1"",""436890"""</f>
        <v>"NAV Direct","CRONUS JetCorp USA","21","1","436890"</v>
      </c>
      <c r="E2209" s="31">
        <f t="shared" si="676"/>
        <v>0</v>
      </c>
      <c r="F2209" s="31"/>
      <c r="G2209" s="31"/>
      <c r="H2209" s="31"/>
      <c r="I2209" s="56"/>
      <c r="J2209" s="56"/>
      <c r="K2209" s="82" t="str">
        <f t="shared" si="684"/>
        <v>Credit Memo</v>
      </c>
      <c r="L2209" s="83" t="str">
        <f>"SC_100712"</f>
        <v>SC_100712</v>
      </c>
      <c r="M2209" s="84">
        <v>42040</v>
      </c>
      <c r="N2209" s="85">
        <f t="shared" si="677"/>
        <v>1772</v>
      </c>
      <c r="O2209" s="86">
        <f t="shared" si="678"/>
        <v>-157.04</v>
      </c>
      <c r="P2209" s="86">
        <f t="shared" si="679"/>
        <v>0</v>
      </c>
      <c r="Q2209" s="86">
        <f t="shared" si="680"/>
        <v>0</v>
      </c>
      <c r="R2209" s="86">
        <f t="shared" si="681"/>
        <v>0</v>
      </c>
      <c r="S2209" s="86">
        <f t="shared" si="682"/>
        <v>0</v>
      </c>
      <c r="T2209" s="86">
        <f t="shared" si="683"/>
        <v>-157.04</v>
      </c>
      <c r="U2209" s="87">
        <v>-157.04</v>
      </c>
    </row>
    <row r="2210" spans="1:22" s="30" customFormat="1" ht="24.6" hidden="1" outlineLevel="1" x14ac:dyDescent="0.55000000000000004">
      <c r="A2210" s="27" t="s">
        <v>327</v>
      </c>
      <c r="B2210" s="28"/>
      <c r="C2210" s="27"/>
      <c r="D2210" s="27" t="str">
        <f>"""NAV Direct"",""CRONUS JetCorp USA"",""21"",""1"",""436969"""</f>
        <v>"NAV Direct","CRONUS JetCorp USA","21","1","436969"</v>
      </c>
      <c r="E2210" s="31" t="str">
        <f t="shared" si="676"/>
        <v>C100072</v>
      </c>
      <c r="F2210" s="31"/>
      <c r="G2210" s="31"/>
      <c r="H2210" s="31"/>
      <c r="I2210" s="56"/>
      <c r="J2210" s="56"/>
      <c r="K2210" s="82" t="str">
        <f t="shared" si="684"/>
        <v>Credit Memo</v>
      </c>
      <c r="L2210" s="83" t="str">
        <f>"SC_100717"</f>
        <v>SC_100717</v>
      </c>
      <c r="M2210" s="84">
        <v>42078</v>
      </c>
      <c r="N2210" s="85">
        <f t="shared" si="677"/>
        <v>1734</v>
      </c>
      <c r="O2210" s="86">
        <f t="shared" si="678"/>
        <v>-153.53</v>
      </c>
      <c r="P2210" s="86">
        <f t="shared" si="679"/>
        <v>0</v>
      </c>
      <c r="Q2210" s="86">
        <f t="shared" si="680"/>
        <v>0</v>
      </c>
      <c r="R2210" s="86">
        <f t="shared" si="681"/>
        <v>0</v>
      </c>
      <c r="S2210" s="86">
        <f t="shared" si="682"/>
        <v>0</v>
      </c>
      <c r="T2210" s="86">
        <f t="shared" si="683"/>
        <v>-153.53</v>
      </c>
      <c r="U2210" s="87">
        <v>-153.53</v>
      </c>
    </row>
    <row r="2211" spans="1:22" s="30" customFormat="1" ht="24.6" hidden="1" outlineLevel="1" x14ac:dyDescent="0.55000000000000004">
      <c r="A2211" s="27" t="s">
        <v>327</v>
      </c>
      <c r="B2211" s="28"/>
      <c r="C2211" s="27"/>
      <c r="D2211" s="27" t="str">
        <f>"""NAV Direct"",""CRONUS JetCorp USA"",""21"",""1"",""437033"""</f>
        <v>"NAV Direct","CRONUS JetCorp USA","21","1","437033"</v>
      </c>
      <c r="E2211" s="31">
        <f t="shared" si="676"/>
        <v>0</v>
      </c>
      <c r="F2211" s="31"/>
      <c r="G2211" s="31"/>
      <c r="H2211" s="31"/>
      <c r="I2211" s="56"/>
      <c r="J2211" s="56"/>
      <c r="K2211" s="82" t="str">
        <f t="shared" si="684"/>
        <v>Credit Memo</v>
      </c>
      <c r="L2211" s="83" t="str">
        <f>"SC_100721"</f>
        <v>SC_100721</v>
      </c>
      <c r="M2211" s="84">
        <v>42127</v>
      </c>
      <c r="N2211" s="85">
        <f t="shared" si="677"/>
        <v>1685</v>
      </c>
      <c r="O2211" s="86">
        <f t="shared" si="678"/>
        <v>-182.05</v>
      </c>
      <c r="P2211" s="86">
        <f t="shared" si="679"/>
        <v>0</v>
      </c>
      <c r="Q2211" s="86">
        <f t="shared" si="680"/>
        <v>0</v>
      </c>
      <c r="R2211" s="86">
        <f t="shared" si="681"/>
        <v>0</v>
      </c>
      <c r="S2211" s="86">
        <f t="shared" si="682"/>
        <v>0</v>
      </c>
      <c r="T2211" s="86">
        <f t="shared" si="683"/>
        <v>-182.05</v>
      </c>
      <c r="U2211" s="87">
        <v>-182.05</v>
      </c>
    </row>
    <row r="2212" spans="1:22" s="30" customFormat="1" ht="24.6" hidden="1" outlineLevel="1" x14ac:dyDescent="0.55000000000000004">
      <c r="A2212" s="27" t="s">
        <v>327</v>
      </c>
      <c r="B2212" s="28"/>
      <c r="C2212" s="27"/>
      <c r="D2212" s="27" t="str">
        <f>"""NAV Direct"",""CRONUS JetCorp USA"",""21"",""1"",""437135"""</f>
        <v>"NAV Direct","CRONUS JetCorp USA","21","1","437135"</v>
      </c>
      <c r="E2212" s="31" t="str">
        <f t="shared" si="676"/>
        <v>C100072</v>
      </c>
      <c r="F2212" s="31"/>
      <c r="G2212" s="31"/>
      <c r="H2212" s="31"/>
      <c r="I2212" s="56"/>
      <c r="J2212" s="56"/>
      <c r="K2212" s="82" t="str">
        <f t="shared" si="684"/>
        <v>Credit Memo</v>
      </c>
      <c r="L2212" s="83" t="str">
        <f>"SC_100727"</f>
        <v>SC_100727</v>
      </c>
      <c r="M2212" s="84">
        <v>42200</v>
      </c>
      <c r="N2212" s="85">
        <f t="shared" si="677"/>
        <v>1612</v>
      </c>
      <c r="O2212" s="86">
        <f t="shared" si="678"/>
        <v>-140.18</v>
      </c>
      <c r="P2212" s="86">
        <f t="shared" si="679"/>
        <v>0</v>
      </c>
      <c r="Q2212" s="86">
        <f t="shared" si="680"/>
        <v>0</v>
      </c>
      <c r="R2212" s="86">
        <f t="shared" si="681"/>
        <v>0</v>
      </c>
      <c r="S2212" s="86">
        <f t="shared" si="682"/>
        <v>0</v>
      </c>
      <c r="T2212" s="86">
        <f t="shared" si="683"/>
        <v>-140.18</v>
      </c>
      <c r="U2212" s="87">
        <v>-140.18</v>
      </c>
    </row>
    <row r="2213" spans="1:22" s="30" customFormat="1" ht="24.6" hidden="1" outlineLevel="1" x14ac:dyDescent="0.55000000000000004">
      <c r="A2213" s="27" t="s">
        <v>327</v>
      </c>
      <c r="B2213" s="28"/>
      <c r="C2213" s="27"/>
      <c r="D2213" s="27" t="str">
        <f>"""NAV Direct"",""CRONUS JetCorp USA"",""21"",""1"",""437152"""</f>
        <v>"NAV Direct","CRONUS JetCorp USA","21","1","437152"</v>
      </c>
      <c r="E2213" s="31">
        <f t="shared" si="676"/>
        <v>0</v>
      </c>
      <c r="F2213" s="31"/>
      <c r="G2213" s="31"/>
      <c r="H2213" s="31"/>
      <c r="I2213" s="56"/>
      <c r="J2213" s="56"/>
      <c r="K2213" s="82" t="str">
        <f t="shared" si="684"/>
        <v>Credit Memo</v>
      </c>
      <c r="L2213" s="83" t="str">
        <f>"SC_100728"</f>
        <v>SC_100728</v>
      </c>
      <c r="M2213" s="84">
        <v>42207</v>
      </c>
      <c r="N2213" s="85">
        <f t="shared" si="677"/>
        <v>1605</v>
      </c>
      <c r="O2213" s="86">
        <f t="shared" si="678"/>
        <v>-139.19</v>
      </c>
      <c r="P2213" s="86">
        <f t="shared" si="679"/>
        <v>0</v>
      </c>
      <c r="Q2213" s="86">
        <f t="shared" si="680"/>
        <v>0</v>
      </c>
      <c r="R2213" s="86">
        <f t="shared" si="681"/>
        <v>0</v>
      </c>
      <c r="S2213" s="86">
        <f t="shared" si="682"/>
        <v>0</v>
      </c>
      <c r="T2213" s="86">
        <f t="shared" si="683"/>
        <v>-139.19</v>
      </c>
      <c r="U2213" s="87">
        <v>-139.19</v>
      </c>
    </row>
    <row r="2214" spans="1:22" s="30" customFormat="1" ht="24.6" hidden="1" outlineLevel="1" x14ac:dyDescent="0.55000000000000004">
      <c r="A2214" s="27" t="s">
        <v>327</v>
      </c>
      <c r="B2214" s="28"/>
      <c r="C2214" s="27"/>
      <c r="D2214" s="27" t="str">
        <f>"""NAV Direct"",""CRONUS JetCorp USA"",""21"",""1"",""437216"""</f>
        <v>"NAV Direct","CRONUS JetCorp USA","21","1","437216"</v>
      </c>
      <c r="E2214" s="31" t="str">
        <f t="shared" si="676"/>
        <v>C100072</v>
      </c>
      <c r="F2214" s="31"/>
      <c r="G2214" s="31"/>
      <c r="H2214" s="31"/>
      <c r="I2214" s="56"/>
      <c r="J2214" s="56"/>
      <c r="K2214" s="82" t="str">
        <f t="shared" si="684"/>
        <v>Credit Memo</v>
      </c>
      <c r="L2214" s="83" t="str">
        <f>"SC_100732"</f>
        <v>SC_100732</v>
      </c>
      <c r="M2214" s="84">
        <v>42284</v>
      </c>
      <c r="N2214" s="85">
        <f t="shared" si="677"/>
        <v>1528</v>
      </c>
      <c r="O2214" s="86">
        <f t="shared" si="678"/>
        <v>-155.37</v>
      </c>
      <c r="P2214" s="86">
        <f t="shared" si="679"/>
        <v>0</v>
      </c>
      <c r="Q2214" s="86">
        <f t="shared" si="680"/>
        <v>0</v>
      </c>
      <c r="R2214" s="86">
        <f t="shared" si="681"/>
        <v>0</v>
      </c>
      <c r="S2214" s="86">
        <f t="shared" si="682"/>
        <v>0</v>
      </c>
      <c r="T2214" s="86">
        <f t="shared" si="683"/>
        <v>-155.37</v>
      </c>
      <c r="U2214" s="87">
        <v>-155.37</v>
      </c>
    </row>
    <row r="2215" spans="1:22" s="22" customFormat="1" ht="20.399999999999999" collapsed="1" x14ac:dyDescent="0.45">
      <c r="A2215" s="12" t="s">
        <v>327</v>
      </c>
      <c r="B2215" s="19"/>
      <c r="C2215" s="12"/>
      <c r="D2215" s="12"/>
      <c r="E2215" s="23"/>
      <c r="F2215" s="23"/>
      <c r="G2215" s="23"/>
      <c r="H2215" s="23"/>
      <c r="I2215" s="49"/>
      <c r="J2215" s="88"/>
      <c r="K2215" s="88"/>
      <c r="L2215" s="89"/>
      <c r="M2215" s="89"/>
      <c r="N2215" s="89"/>
      <c r="O2215" s="89"/>
      <c r="P2215" s="89"/>
      <c r="Q2215" s="90"/>
      <c r="R2215" s="90"/>
      <c r="S2215" s="91"/>
      <c r="T2215" s="92"/>
      <c r="U2215" s="92"/>
    </row>
    <row r="2216" spans="1:22" s="22" customFormat="1" ht="20.399999999999999" x14ac:dyDescent="0.45">
      <c r="A2216" s="12" t="s">
        <v>327</v>
      </c>
      <c r="B2216" s="19"/>
      <c r="C2216" s="12"/>
      <c r="D2216" s="12"/>
      <c r="E2216" s="23"/>
      <c r="F2216" s="23"/>
      <c r="G2216" s="23"/>
      <c r="H2216" s="23"/>
      <c r="I2216" s="49"/>
      <c r="J2216" s="88"/>
      <c r="K2216" s="88"/>
      <c r="L2216" s="89"/>
      <c r="M2216" s="89"/>
      <c r="N2216" s="89"/>
      <c r="O2216" s="89"/>
      <c r="P2216" s="89"/>
      <c r="Q2216" s="90"/>
      <c r="R2216" s="90"/>
      <c r="S2216" s="91"/>
      <c r="T2216" s="92"/>
      <c r="U2216" s="92"/>
    </row>
    <row r="2217" spans="1:22" s="26" customFormat="1" ht="24.6" x14ac:dyDescent="0.55000000000000004">
      <c r="A2217" s="27" t="s">
        <v>327</v>
      </c>
      <c r="B2217" s="28"/>
      <c r="C2217" s="27" t="str">
        <f>"""NAV Direct"",""CRONUS JetCorp USA"",""18"",""1"",""C100073"""</f>
        <v>"NAV Direct","CRONUS JetCorp USA","18","1","C100073"</v>
      </c>
      <c r="D2217" s="27"/>
      <c r="E2217" s="28" t="str">
        <f>H2217</f>
        <v>C100073</v>
      </c>
      <c r="F2217" s="28"/>
      <c r="G2217" s="28"/>
      <c r="H2217" s="28" t="str">
        <f>"C100073"</f>
        <v>C100073</v>
      </c>
      <c r="I2217" s="116" t="str">
        <f>"C100073  -  Ravel M¢bler"</f>
        <v>C100073  -  Ravel M¢bler</v>
      </c>
      <c r="J2217" s="117" t="str">
        <f>""</f>
        <v/>
      </c>
      <c r="K2217" s="118"/>
      <c r="L2217" s="119">
        <f>SUBTOTAL(3,L2218:L2241)</f>
        <v>20</v>
      </c>
      <c r="M2217" s="118"/>
      <c r="N2217" s="118"/>
      <c r="O2217" s="120">
        <f t="shared" ref="O2217:T2217" si="685">SUBTOTAL(9,O2218:O2241)</f>
        <v>302543.49000000005</v>
      </c>
      <c r="P2217" s="120">
        <f t="shared" si="685"/>
        <v>0</v>
      </c>
      <c r="Q2217" s="120">
        <f t="shared" si="685"/>
        <v>0</v>
      </c>
      <c r="R2217" s="120">
        <f t="shared" si="685"/>
        <v>0</v>
      </c>
      <c r="S2217" s="120">
        <f t="shared" si="685"/>
        <v>0</v>
      </c>
      <c r="T2217" s="120">
        <f t="shared" si="685"/>
        <v>302543.49000000005</v>
      </c>
      <c r="U2217" s="81"/>
    </row>
    <row r="2218" spans="1:22" s="26" customFormat="1" ht="24.6" x14ac:dyDescent="0.55000000000000004">
      <c r="A2218" s="27" t="s">
        <v>327</v>
      </c>
      <c r="B2218" s="28"/>
      <c r="C2218" s="27" t="str">
        <f>C2217</f>
        <v>"NAV Direct","CRONUS JetCorp USA","18","1","C100073"</v>
      </c>
      <c r="D2218" s="27"/>
      <c r="E2218" s="28" t="str">
        <f>E2217</f>
        <v>C100073</v>
      </c>
      <c r="F2218" s="28"/>
      <c r="G2218" s="28"/>
      <c r="H2218" s="28"/>
      <c r="I2218" s="121" t="str">
        <f>"Contact: Fr. Karen Berg"</f>
        <v>Contact: Fr. Karen Berg</v>
      </c>
      <c r="J2218" s="121"/>
      <c r="K2218" s="122"/>
      <c r="L2218" s="123"/>
      <c r="M2218" s="123"/>
      <c r="N2218" s="124"/>
      <c r="O2218" s="124"/>
      <c r="P2218" s="123"/>
      <c r="Q2218" s="125"/>
      <c r="R2218" s="126"/>
      <c r="S2218" s="126"/>
      <c r="T2218" s="125"/>
      <c r="U2218" s="81"/>
    </row>
    <row r="2219" spans="1:22" s="26" customFormat="1" ht="24.6" x14ac:dyDescent="0.55000000000000004">
      <c r="A2219" s="27" t="s">
        <v>327</v>
      </c>
      <c r="B2219" s="28"/>
      <c r="C2219" s="27" t="str">
        <f>C2218</f>
        <v>"NAV Direct","CRONUS JetCorp USA","18","1","C100073"</v>
      </c>
      <c r="D2219" s="27"/>
      <c r="E2219" s="28" t="str">
        <f>E2218</f>
        <v>C100073</v>
      </c>
      <c r="F2219" s="28"/>
      <c r="G2219" s="28"/>
      <c r="H2219" s="28"/>
      <c r="I2219" s="121" t="str">
        <f>"ravel.mobler@cronuscorp.net"</f>
        <v>ravel.mobler@cronuscorp.net</v>
      </c>
      <c r="J2219" s="121"/>
      <c r="K2219" s="122"/>
      <c r="L2219" s="124"/>
      <c r="M2219" s="124"/>
      <c r="N2219" s="124"/>
      <c r="O2219" s="124"/>
      <c r="P2219" s="123"/>
      <c r="Q2219" s="125"/>
      <c r="R2219" s="126"/>
      <c r="S2219" s="126"/>
      <c r="T2219" s="125"/>
      <c r="U2219" s="81"/>
    </row>
    <row r="2220" spans="1:22" ht="12.75" hidden="1" customHeight="1" outlineLevel="1" x14ac:dyDescent="0.45">
      <c r="A2220" s="12" t="s">
        <v>328</v>
      </c>
      <c r="B2220" s="19"/>
      <c r="E2220" s="19"/>
      <c r="F2220" s="19"/>
      <c r="G2220" s="19"/>
      <c r="H2220" s="19"/>
      <c r="I2220" s="61"/>
      <c r="J2220" s="61"/>
      <c r="K2220" s="61"/>
      <c r="L2220" s="61"/>
      <c r="M2220" s="61"/>
      <c r="N2220" s="61"/>
      <c r="O2220" s="61"/>
      <c r="P2220" s="61"/>
      <c r="Q2220" s="61"/>
      <c r="R2220" s="61"/>
      <c r="S2220" s="61"/>
      <c r="T2220" s="61"/>
      <c r="U2220" s="61"/>
      <c r="V2220" s="21"/>
    </row>
    <row r="2221" spans="1:22" s="30" customFormat="1" ht="24.6" hidden="1" outlineLevel="1" x14ac:dyDescent="0.55000000000000004">
      <c r="A2221" s="27" t="s">
        <v>327</v>
      </c>
      <c r="B2221" s="28"/>
      <c r="C2221" s="27"/>
      <c r="D2221" s="27" t="str">
        <f>"""NAV Direct"",""CRONUS JetCorp USA"",""21"",""1"",""97600"""</f>
        <v>"NAV Direct","CRONUS JetCorp USA","21","1","97600"</v>
      </c>
      <c r="E2221" s="31" t="str">
        <f t="shared" ref="E2221:E2240" si="686">E2219</f>
        <v>C100073</v>
      </c>
      <c r="F2221" s="31"/>
      <c r="G2221" s="31"/>
      <c r="H2221" s="31"/>
      <c r="I2221" s="56"/>
      <c r="J2221" s="56"/>
      <c r="K2221" s="82" t="str">
        <f t="shared" ref="K2221:K2237" si="687">"Invoice"</f>
        <v>Invoice</v>
      </c>
      <c r="L2221" s="83" t="str">
        <f>"SI_106470"</f>
        <v>SI_106470</v>
      </c>
      <c r="M2221" s="84">
        <v>42063</v>
      </c>
      <c r="N2221" s="85">
        <f t="shared" ref="N2221:N2240" si="688">StartDate-$M2221+1</f>
        <v>1749</v>
      </c>
      <c r="O2221" s="86">
        <f t="shared" ref="O2221:O2240" si="689">SUM(P2221:T2221)</f>
        <v>20630.810000000001</v>
      </c>
      <c r="P2221" s="86">
        <f t="shared" ref="P2221:P2240" si="690">IF($M2221&gt;=$P$18,U2221,0)</f>
        <v>0</v>
      </c>
      <c r="Q2221" s="86">
        <f t="shared" ref="Q2221:Q2240" si="691">IF(AND($M2221&gt;=$Q$16,$M2221&lt;=$Q$18),U2221,0)</f>
        <v>0</v>
      </c>
      <c r="R2221" s="86">
        <f t="shared" ref="R2221:R2240" si="692">IF(AND($M2221&gt;=$R$16,$M2221&lt;=$R$18),U2221,0)</f>
        <v>0</v>
      </c>
      <c r="S2221" s="86">
        <f t="shared" ref="S2221:S2240" si="693">IF(AND($M2221&gt;=$S$16,$M2221&lt;=$S$18),U2221,0)</f>
        <v>0</v>
      </c>
      <c r="T2221" s="86">
        <f t="shared" ref="T2221:T2240" si="694">IF($M2221&lt;=$T$18,U2221,0)</f>
        <v>20630.810000000001</v>
      </c>
      <c r="U2221" s="87">
        <v>20630.810000000001</v>
      </c>
    </row>
    <row r="2222" spans="1:22" s="30" customFormat="1" ht="24.6" hidden="1" outlineLevel="1" x14ac:dyDescent="0.55000000000000004">
      <c r="A2222" s="27" t="s">
        <v>327</v>
      </c>
      <c r="B2222" s="28"/>
      <c r="C2222" s="27"/>
      <c r="D2222" s="27" t="str">
        <f>"""NAV Direct"",""CRONUS JetCorp USA"",""21"",""1"",""98107"""</f>
        <v>"NAV Direct","CRONUS JetCorp USA","21","1","98107"</v>
      </c>
      <c r="E2222" s="31">
        <f t="shared" si="686"/>
        <v>0</v>
      </c>
      <c r="F2222" s="31"/>
      <c r="G2222" s="31"/>
      <c r="H2222" s="31"/>
      <c r="I2222" s="56"/>
      <c r="J2222" s="56"/>
      <c r="K2222" s="82" t="str">
        <f t="shared" si="687"/>
        <v>Invoice</v>
      </c>
      <c r="L2222" s="83" t="str">
        <f>"SI_106483"</f>
        <v>SI_106483</v>
      </c>
      <c r="M2222" s="84">
        <v>42247</v>
      </c>
      <c r="N2222" s="85">
        <f t="shared" si="688"/>
        <v>1565</v>
      </c>
      <c r="O2222" s="86">
        <f t="shared" si="689"/>
        <v>15207.2</v>
      </c>
      <c r="P2222" s="86">
        <f t="shared" si="690"/>
        <v>0</v>
      </c>
      <c r="Q2222" s="86">
        <f t="shared" si="691"/>
        <v>0</v>
      </c>
      <c r="R2222" s="86">
        <f t="shared" si="692"/>
        <v>0</v>
      </c>
      <c r="S2222" s="86">
        <f t="shared" si="693"/>
        <v>0</v>
      </c>
      <c r="T2222" s="86">
        <f t="shared" si="694"/>
        <v>15207.2</v>
      </c>
      <c r="U2222" s="87">
        <v>15207.2</v>
      </c>
    </row>
    <row r="2223" spans="1:22" s="30" customFormat="1" ht="24.6" hidden="1" outlineLevel="1" x14ac:dyDescent="0.55000000000000004">
      <c r="A2223" s="27" t="s">
        <v>327</v>
      </c>
      <c r="B2223" s="28"/>
      <c r="C2223" s="27"/>
      <c r="D2223" s="27" t="str">
        <f>"""NAV Direct"",""CRONUS JetCorp USA"",""21"",""1"",""98300"""</f>
        <v>"NAV Direct","CRONUS JetCorp USA","21","1","98300"</v>
      </c>
      <c r="E2223" s="31" t="str">
        <f t="shared" si="686"/>
        <v>C100073</v>
      </c>
      <c r="F2223" s="31"/>
      <c r="G2223" s="31"/>
      <c r="H2223" s="31"/>
      <c r="I2223" s="56"/>
      <c r="J2223" s="56"/>
      <c r="K2223" s="82" t="str">
        <f t="shared" si="687"/>
        <v>Invoice</v>
      </c>
      <c r="L2223" s="83" t="str">
        <f>"SI_106488"</f>
        <v>SI_106488</v>
      </c>
      <c r="M2223" s="84">
        <v>42338</v>
      </c>
      <c r="N2223" s="85">
        <f t="shared" si="688"/>
        <v>1474</v>
      </c>
      <c r="O2223" s="86">
        <f t="shared" si="689"/>
        <v>22147.759999999998</v>
      </c>
      <c r="P2223" s="86">
        <f t="shared" si="690"/>
        <v>0</v>
      </c>
      <c r="Q2223" s="86">
        <f t="shared" si="691"/>
        <v>0</v>
      </c>
      <c r="R2223" s="86">
        <f t="shared" si="692"/>
        <v>0</v>
      </c>
      <c r="S2223" s="86">
        <f t="shared" si="693"/>
        <v>0</v>
      </c>
      <c r="T2223" s="86">
        <f t="shared" si="694"/>
        <v>22147.759999999998</v>
      </c>
      <c r="U2223" s="87">
        <v>22147.759999999998</v>
      </c>
    </row>
    <row r="2224" spans="1:22" s="30" customFormat="1" ht="24.6" hidden="1" outlineLevel="1" x14ac:dyDescent="0.55000000000000004">
      <c r="A2224" s="27" t="s">
        <v>327</v>
      </c>
      <c r="B2224" s="28"/>
      <c r="C2224" s="27"/>
      <c r="D2224" s="27" t="str">
        <f>"""NAV Direct"",""CRONUS JetCorp USA"",""21"",""1"",""98349"""</f>
        <v>"NAV Direct","CRONUS JetCorp USA","21","1","98349"</v>
      </c>
      <c r="E2224" s="31">
        <f t="shared" si="686"/>
        <v>0</v>
      </c>
      <c r="F2224" s="31"/>
      <c r="G2224" s="31"/>
      <c r="H2224" s="31"/>
      <c r="I2224" s="56"/>
      <c r="J2224" s="56"/>
      <c r="K2224" s="82" t="str">
        <f t="shared" si="687"/>
        <v>Invoice</v>
      </c>
      <c r="L2224" s="83" t="str">
        <f>"SI_106489"</f>
        <v>SI_106489</v>
      </c>
      <c r="M2224" s="84">
        <v>42338</v>
      </c>
      <c r="N2224" s="85">
        <f t="shared" si="688"/>
        <v>1474</v>
      </c>
      <c r="O2224" s="86">
        <f t="shared" si="689"/>
        <v>22148.02</v>
      </c>
      <c r="P2224" s="86">
        <f t="shared" si="690"/>
        <v>0</v>
      </c>
      <c r="Q2224" s="86">
        <f t="shared" si="691"/>
        <v>0</v>
      </c>
      <c r="R2224" s="86">
        <f t="shared" si="692"/>
        <v>0</v>
      </c>
      <c r="S2224" s="86">
        <f t="shared" si="693"/>
        <v>0</v>
      </c>
      <c r="T2224" s="86">
        <f t="shared" si="694"/>
        <v>22148.02</v>
      </c>
      <c r="U2224" s="87">
        <v>22148.02</v>
      </c>
    </row>
    <row r="2225" spans="1:21" s="30" customFormat="1" ht="24.6" hidden="1" outlineLevel="1" x14ac:dyDescent="0.55000000000000004">
      <c r="A2225" s="27" t="s">
        <v>327</v>
      </c>
      <c r="B2225" s="28"/>
      <c r="C2225" s="27"/>
      <c r="D2225" s="27" t="str">
        <f>"""NAV Direct"",""CRONUS JetCorp USA"",""21"",""1"",""377452"""</f>
        <v>"NAV Direct","CRONUS JetCorp USA","21","1","377452"</v>
      </c>
      <c r="E2225" s="31" t="str">
        <f t="shared" si="686"/>
        <v>C100073</v>
      </c>
      <c r="F2225" s="31"/>
      <c r="G2225" s="31"/>
      <c r="H2225" s="31"/>
      <c r="I2225" s="56"/>
      <c r="J2225" s="56"/>
      <c r="K2225" s="82" t="str">
        <f t="shared" si="687"/>
        <v>Invoice</v>
      </c>
      <c r="L2225" s="83" t="str">
        <f>"SI_111736"</f>
        <v>SI_111736</v>
      </c>
      <c r="M2225" s="84">
        <v>42582</v>
      </c>
      <c r="N2225" s="85">
        <f t="shared" si="688"/>
        <v>1230</v>
      </c>
      <c r="O2225" s="86">
        <f t="shared" si="689"/>
        <v>12682.2</v>
      </c>
      <c r="P2225" s="86">
        <f t="shared" si="690"/>
        <v>0</v>
      </c>
      <c r="Q2225" s="86">
        <f t="shared" si="691"/>
        <v>0</v>
      </c>
      <c r="R2225" s="86">
        <f t="shared" si="692"/>
        <v>0</v>
      </c>
      <c r="S2225" s="86">
        <f t="shared" si="693"/>
        <v>0</v>
      </c>
      <c r="T2225" s="86">
        <f t="shared" si="694"/>
        <v>12682.2</v>
      </c>
      <c r="U2225" s="87">
        <v>12682.2</v>
      </c>
    </row>
    <row r="2226" spans="1:21" s="30" customFormat="1" ht="24.6" hidden="1" outlineLevel="1" x14ac:dyDescent="0.55000000000000004">
      <c r="A2226" s="27" t="s">
        <v>327</v>
      </c>
      <c r="B2226" s="28"/>
      <c r="C2226" s="27"/>
      <c r="D2226" s="27" t="str">
        <f>"""NAV Direct"",""CRONUS JetCorp USA"",""21"",""1"",""377665"""</f>
        <v>"NAV Direct","CRONUS JetCorp USA","21","1","377665"</v>
      </c>
      <c r="E2226" s="31">
        <f t="shared" si="686"/>
        <v>0</v>
      </c>
      <c r="F2226" s="31"/>
      <c r="G2226" s="31"/>
      <c r="H2226" s="31"/>
      <c r="I2226" s="56"/>
      <c r="J2226" s="56"/>
      <c r="K2226" s="82" t="str">
        <f t="shared" si="687"/>
        <v>Invoice</v>
      </c>
      <c r="L2226" s="83" t="str">
        <f>"SI_111743"</f>
        <v>SI_111743</v>
      </c>
      <c r="M2226" s="84">
        <v>42674</v>
      </c>
      <c r="N2226" s="85">
        <f t="shared" si="688"/>
        <v>1138</v>
      </c>
      <c r="O2226" s="86">
        <f t="shared" si="689"/>
        <v>11658.38</v>
      </c>
      <c r="P2226" s="86">
        <f t="shared" si="690"/>
        <v>0</v>
      </c>
      <c r="Q2226" s="86">
        <f t="shared" si="691"/>
        <v>0</v>
      </c>
      <c r="R2226" s="86">
        <f t="shared" si="692"/>
        <v>0</v>
      </c>
      <c r="S2226" s="86">
        <f t="shared" si="693"/>
        <v>0</v>
      </c>
      <c r="T2226" s="86">
        <f t="shared" si="694"/>
        <v>11658.38</v>
      </c>
      <c r="U2226" s="87">
        <v>11658.38</v>
      </c>
    </row>
    <row r="2227" spans="1:21" s="30" customFormat="1" ht="24.6" hidden="1" outlineLevel="1" x14ac:dyDescent="0.55000000000000004">
      <c r="A2227" s="27" t="s">
        <v>327</v>
      </c>
      <c r="B2227" s="28"/>
      <c r="C2227" s="27"/>
      <c r="D2227" s="27" t="str">
        <f>"""NAV Direct"",""CRONUS JetCorp USA"",""21"",""1"",""377692"""</f>
        <v>"NAV Direct","CRONUS JetCorp USA","21","1","377692"</v>
      </c>
      <c r="E2227" s="31" t="str">
        <f t="shared" si="686"/>
        <v>C100073</v>
      </c>
      <c r="F2227" s="31"/>
      <c r="G2227" s="31"/>
      <c r="H2227" s="31"/>
      <c r="I2227" s="56"/>
      <c r="J2227" s="56"/>
      <c r="K2227" s="82" t="str">
        <f t="shared" si="687"/>
        <v>Invoice</v>
      </c>
      <c r="L2227" s="83" t="str">
        <f>"SI_111744"</f>
        <v>SI_111744</v>
      </c>
      <c r="M2227" s="84">
        <v>42704</v>
      </c>
      <c r="N2227" s="85">
        <f t="shared" si="688"/>
        <v>1108</v>
      </c>
      <c r="O2227" s="86">
        <f t="shared" si="689"/>
        <v>12901.949999999999</v>
      </c>
      <c r="P2227" s="86">
        <f t="shared" si="690"/>
        <v>0</v>
      </c>
      <c r="Q2227" s="86">
        <f t="shared" si="691"/>
        <v>0</v>
      </c>
      <c r="R2227" s="86">
        <f t="shared" si="692"/>
        <v>0</v>
      </c>
      <c r="S2227" s="86">
        <f t="shared" si="693"/>
        <v>0</v>
      </c>
      <c r="T2227" s="86">
        <f t="shared" si="694"/>
        <v>12901.949999999999</v>
      </c>
      <c r="U2227" s="87">
        <v>12901.949999999999</v>
      </c>
    </row>
    <row r="2228" spans="1:21" s="30" customFormat="1" ht="24.6" hidden="1" outlineLevel="1" x14ac:dyDescent="0.55000000000000004">
      <c r="A2228" s="27" t="s">
        <v>327</v>
      </c>
      <c r="B2228" s="28"/>
      <c r="C2228" s="27"/>
      <c r="D2228" s="27" t="str">
        <f>"""NAV Direct"",""CRONUS JetCorp USA"",""21"",""1"",""377788"""</f>
        <v>"NAV Direct","CRONUS JetCorp USA","21","1","377788"</v>
      </c>
      <c r="E2228" s="31">
        <f t="shared" si="686"/>
        <v>0</v>
      </c>
      <c r="F2228" s="31"/>
      <c r="G2228" s="31"/>
      <c r="H2228" s="31"/>
      <c r="I2228" s="56"/>
      <c r="J2228" s="56"/>
      <c r="K2228" s="82" t="str">
        <f t="shared" si="687"/>
        <v>Invoice</v>
      </c>
      <c r="L2228" s="83" t="str">
        <f>"SI_111748"</f>
        <v>SI_111748</v>
      </c>
      <c r="M2228" s="84">
        <v>42825</v>
      </c>
      <c r="N2228" s="85">
        <f t="shared" si="688"/>
        <v>987</v>
      </c>
      <c r="O2228" s="86">
        <f t="shared" si="689"/>
        <v>11249.49</v>
      </c>
      <c r="P2228" s="86">
        <f t="shared" si="690"/>
        <v>0</v>
      </c>
      <c r="Q2228" s="86">
        <f t="shared" si="691"/>
        <v>0</v>
      </c>
      <c r="R2228" s="86">
        <f t="shared" si="692"/>
        <v>0</v>
      </c>
      <c r="S2228" s="86">
        <f t="shared" si="693"/>
        <v>0</v>
      </c>
      <c r="T2228" s="86">
        <f t="shared" si="694"/>
        <v>11249.49</v>
      </c>
      <c r="U2228" s="87">
        <v>11249.49</v>
      </c>
    </row>
    <row r="2229" spans="1:21" s="30" customFormat="1" ht="24.6" hidden="1" outlineLevel="1" x14ac:dyDescent="0.55000000000000004">
      <c r="A2229" s="27" t="s">
        <v>327</v>
      </c>
      <c r="B2229" s="28"/>
      <c r="C2229" s="27"/>
      <c r="D2229" s="27" t="str">
        <f>"""NAV Direct"",""CRONUS JetCorp USA"",""21"",""1"",""378009"""</f>
        <v>"NAV Direct","CRONUS JetCorp USA","21","1","378009"</v>
      </c>
      <c r="E2229" s="31" t="str">
        <f t="shared" si="686"/>
        <v>C100073</v>
      </c>
      <c r="F2229" s="31"/>
      <c r="G2229" s="31"/>
      <c r="H2229" s="31"/>
      <c r="I2229" s="56"/>
      <c r="J2229" s="56"/>
      <c r="K2229" s="82" t="str">
        <f t="shared" si="687"/>
        <v>Invoice</v>
      </c>
      <c r="L2229" s="83" t="str">
        <f>"SI_111755"</f>
        <v>SI_111755</v>
      </c>
      <c r="M2229" s="84">
        <v>42947</v>
      </c>
      <c r="N2229" s="85">
        <f t="shared" si="688"/>
        <v>865</v>
      </c>
      <c r="O2229" s="86">
        <f t="shared" si="689"/>
        <v>13541.35</v>
      </c>
      <c r="P2229" s="86">
        <f t="shared" si="690"/>
        <v>0</v>
      </c>
      <c r="Q2229" s="86">
        <f t="shared" si="691"/>
        <v>0</v>
      </c>
      <c r="R2229" s="86">
        <f t="shared" si="692"/>
        <v>0</v>
      </c>
      <c r="S2229" s="86">
        <f t="shared" si="693"/>
        <v>0</v>
      </c>
      <c r="T2229" s="86">
        <f t="shared" si="694"/>
        <v>13541.35</v>
      </c>
      <c r="U2229" s="87">
        <v>13541.35</v>
      </c>
    </row>
    <row r="2230" spans="1:21" s="30" customFormat="1" ht="24.6" hidden="1" outlineLevel="1" x14ac:dyDescent="0.55000000000000004">
      <c r="A2230" s="27" t="s">
        <v>327</v>
      </c>
      <c r="B2230" s="28"/>
      <c r="C2230" s="27"/>
      <c r="D2230" s="27" t="str">
        <f>"""NAV Direct"",""CRONUS JetCorp USA"",""21"",""1"",""378475"""</f>
        <v>"NAV Direct","CRONUS JetCorp USA","21","1","378475"</v>
      </c>
      <c r="E2230" s="31">
        <f t="shared" si="686"/>
        <v>0</v>
      </c>
      <c r="F2230" s="31"/>
      <c r="G2230" s="31"/>
      <c r="H2230" s="31"/>
      <c r="I2230" s="56"/>
      <c r="J2230" s="56"/>
      <c r="K2230" s="82" t="str">
        <f t="shared" si="687"/>
        <v>Invoice</v>
      </c>
      <c r="L2230" s="83" t="str">
        <f>"SI_111769"</f>
        <v>SI_111769</v>
      </c>
      <c r="M2230" s="84">
        <v>43251</v>
      </c>
      <c r="N2230" s="85">
        <f t="shared" si="688"/>
        <v>561</v>
      </c>
      <c r="O2230" s="86">
        <f t="shared" si="689"/>
        <v>15554.52</v>
      </c>
      <c r="P2230" s="86">
        <f t="shared" si="690"/>
        <v>0</v>
      </c>
      <c r="Q2230" s="86">
        <f t="shared" si="691"/>
        <v>0</v>
      </c>
      <c r="R2230" s="86">
        <f t="shared" si="692"/>
        <v>0</v>
      </c>
      <c r="S2230" s="86">
        <f t="shared" si="693"/>
        <v>0</v>
      </c>
      <c r="T2230" s="86">
        <f t="shared" si="694"/>
        <v>15554.52</v>
      </c>
      <c r="U2230" s="87">
        <v>15554.52</v>
      </c>
    </row>
    <row r="2231" spans="1:21" s="30" customFormat="1" ht="24.6" hidden="1" outlineLevel="1" x14ac:dyDescent="0.55000000000000004">
      <c r="A2231" s="27" t="s">
        <v>327</v>
      </c>
      <c r="B2231" s="28"/>
      <c r="C2231" s="27"/>
      <c r="D2231" s="27" t="str">
        <f>"""NAV Direct"",""CRONUS JetCorp USA"",""21"",""1"",""378887"""</f>
        <v>"NAV Direct","CRONUS JetCorp USA","21","1","378887"</v>
      </c>
      <c r="E2231" s="31" t="str">
        <f t="shared" si="686"/>
        <v>C100073</v>
      </c>
      <c r="F2231" s="31"/>
      <c r="G2231" s="31"/>
      <c r="H2231" s="31"/>
      <c r="I2231" s="56"/>
      <c r="J2231" s="56"/>
      <c r="K2231" s="82" t="str">
        <f t="shared" si="687"/>
        <v>Invoice</v>
      </c>
      <c r="L2231" s="83" t="str">
        <f>"SI_111781"</f>
        <v>SI_111781</v>
      </c>
      <c r="M2231" s="84">
        <v>43465</v>
      </c>
      <c r="N2231" s="85">
        <f t="shared" si="688"/>
        <v>347</v>
      </c>
      <c r="O2231" s="86">
        <f t="shared" si="689"/>
        <v>17220.63</v>
      </c>
      <c r="P2231" s="86">
        <f t="shared" si="690"/>
        <v>0</v>
      </c>
      <c r="Q2231" s="86">
        <f t="shared" si="691"/>
        <v>0</v>
      </c>
      <c r="R2231" s="86">
        <f t="shared" si="692"/>
        <v>0</v>
      </c>
      <c r="S2231" s="86">
        <f t="shared" si="693"/>
        <v>0</v>
      </c>
      <c r="T2231" s="86">
        <f t="shared" si="694"/>
        <v>17220.63</v>
      </c>
      <c r="U2231" s="87">
        <v>17220.63</v>
      </c>
    </row>
    <row r="2232" spans="1:21" s="30" customFormat="1" ht="24.6" hidden="1" outlineLevel="1" x14ac:dyDescent="0.55000000000000004">
      <c r="A2232" s="27" t="s">
        <v>327</v>
      </c>
      <c r="B2232" s="28"/>
      <c r="C2232" s="27"/>
      <c r="D2232" s="27" t="str">
        <f>"""NAV Direct"",""CRONUS JetCorp USA"",""21"",""1"",""379271"""</f>
        <v>"NAV Direct","CRONUS JetCorp USA","21","1","379271"</v>
      </c>
      <c r="E2232" s="31">
        <f t="shared" si="686"/>
        <v>0</v>
      </c>
      <c r="F2232" s="31"/>
      <c r="G2232" s="31"/>
      <c r="H2232" s="31"/>
      <c r="I2232" s="56"/>
      <c r="J2232" s="56"/>
      <c r="K2232" s="82" t="str">
        <f t="shared" si="687"/>
        <v>Invoice</v>
      </c>
      <c r="L2232" s="83" t="str">
        <f>"SI_111791"</f>
        <v>SI_111791</v>
      </c>
      <c r="M2232" s="84">
        <v>43616</v>
      </c>
      <c r="N2232" s="85">
        <f t="shared" si="688"/>
        <v>196</v>
      </c>
      <c r="O2232" s="86">
        <f t="shared" si="689"/>
        <v>27065.840000000004</v>
      </c>
      <c r="P2232" s="86">
        <f t="shared" si="690"/>
        <v>0</v>
      </c>
      <c r="Q2232" s="86">
        <f t="shared" si="691"/>
        <v>0</v>
      </c>
      <c r="R2232" s="86">
        <f t="shared" si="692"/>
        <v>0</v>
      </c>
      <c r="S2232" s="86">
        <f t="shared" si="693"/>
        <v>0</v>
      </c>
      <c r="T2232" s="86">
        <f t="shared" si="694"/>
        <v>27065.840000000004</v>
      </c>
      <c r="U2232" s="87">
        <v>27065.840000000004</v>
      </c>
    </row>
    <row r="2233" spans="1:21" s="30" customFormat="1" ht="24.6" hidden="1" outlineLevel="1" x14ac:dyDescent="0.55000000000000004">
      <c r="A2233" s="27" t="s">
        <v>327</v>
      </c>
      <c r="B2233" s="28"/>
      <c r="C2233" s="27"/>
      <c r="D2233" s="27" t="str">
        <f>"""NAV Direct"",""CRONUS JetCorp USA"",""21"",""1"",""379308"""</f>
        <v>"NAV Direct","CRONUS JetCorp USA","21","1","379308"</v>
      </c>
      <c r="E2233" s="31" t="str">
        <f t="shared" si="686"/>
        <v>C100073</v>
      </c>
      <c r="F2233" s="31"/>
      <c r="G2233" s="31"/>
      <c r="H2233" s="31"/>
      <c r="I2233" s="56"/>
      <c r="J2233" s="56"/>
      <c r="K2233" s="82" t="str">
        <f t="shared" si="687"/>
        <v>Invoice</v>
      </c>
      <c r="L2233" s="83" t="str">
        <f>"SI_111792"</f>
        <v>SI_111792</v>
      </c>
      <c r="M2233" s="84">
        <v>43677</v>
      </c>
      <c r="N2233" s="85">
        <f t="shared" si="688"/>
        <v>135</v>
      </c>
      <c r="O2233" s="86">
        <f t="shared" si="689"/>
        <v>20628.830000000002</v>
      </c>
      <c r="P2233" s="86">
        <f t="shared" si="690"/>
        <v>0</v>
      </c>
      <c r="Q2233" s="86">
        <f t="shared" si="691"/>
        <v>0</v>
      </c>
      <c r="R2233" s="86">
        <f t="shared" si="692"/>
        <v>0</v>
      </c>
      <c r="S2233" s="86">
        <f t="shared" si="693"/>
        <v>0</v>
      </c>
      <c r="T2233" s="86">
        <f t="shared" si="694"/>
        <v>20628.830000000002</v>
      </c>
      <c r="U2233" s="87">
        <v>20628.830000000002</v>
      </c>
    </row>
    <row r="2234" spans="1:21" s="30" customFormat="1" ht="24.6" hidden="1" outlineLevel="1" x14ac:dyDescent="0.55000000000000004">
      <c r="A2234" s="27" t="s">
        <v>327</v>
      </c>
      <c r="B2234" s="28"/>
      <c r="C2234" s="27"/>
      <c r="D2234" s="27" t="str">
        <f>"""NAV Direct"",""CRONUS JetCorp USA"",""21"",""1"",""379776"""</f>
        <v>"NAV Direct","CRONUS JetCorp USA","21","1","379776"</v>
      </c>
      <c r="E2234" s="31">
        <f t="shared" si="686"/>
        <v>0</v>
      </c>
      <c r="F2234" s="31"/>
      <c r="G2234" s="31"/>
      <c r="H2234" s="31"/>
      <c r="I2234" s="56"/>
      <c r="J2234" s="56"/>
      <c r="K2234" s="82" t="str">
        <f t="shared" si="687"/>
        <v>Invoice</v>
      </c>
      <c r="L2234" s="83" t="str">
        <f>"SI_111804"</f>
        <v>SI_111804</v>
      </c>
      <c r="M2234" s="84">
        <v>42035</v>
      </c>
      <c r="N2234" s="85">
        <f t="shared" si="688"/>
        <v>1777</v>
      </c>
      <c r="O2234" s="86">
        <f t="shared" si="689"/>
        <v>21490.870000000003</v>
      </c>
      <c r="P2234" s="86">
        <f t="shared" si="690"/>
        <v>0</v>
      </c>
      <c r="Q2234" s="86">
        <f t="shared" si="691"/>
        <v>0</v>
      </c>
      <c r="R2234" s="86">
        <f t="shared" si="692"/>
        <v>0</v>
      </c>
      <c r="S2234" s="86">
        <f t="shared" si="693"/>
        <v>0</v>
      </c>
      <c r="T2234" s="86">
        <f t="shared" si="694"/>
        <v>21490.870000000003</v>
      </c>
      <c r="U2234" s="87">
        <v>21490.870000000003</v>
      </c>
    </row>
    <row r="2235" spans="1:21" s="30" customFormat="1" ht="24.6" hidden="1" outlineLevel="1" x14ac:dyDescent="0.55000000000000004">
      <c r="A2235" s="27" t="s">
        <v>327</v>
      </c>
      <c r="B2235" s="28"/>
      <c r="C2235" s="27"/>
      <c r="D2235" s="27" t="str">
        <f>"""NAV Direct"",""CRONUS JetCorp USA"",""21"",""1"",""379955"""</f>
        <v>"NAV Direct","CRONUS JetCorp USA","21","1","379955"</v>
      </c>
      <c r="E2235" s="31" t="str">
        <f t="shared" si="686"/>
        <v>C100073</v>
      </c>
      <c r="F2235" s="31"/>
      <c r="G2235" s="31"/>
      <c r="H2235" s="31"/>
      <c r="I2235" s="56"/>
      <c r="J2235" s="56"/>
      <c r="K2235" s="82" t="str">
        <f t="shared" si="687"/>
        <v>Invoice</v>
      </c>
      <c r="L2235" s="83" t="str">
        <f>"SI_111809"</f>
        <v>SI_111809</v>
      </c>
      <c r="M2235" s="84">
        <v>42124</v>
      </c>
      <c r="N2235" s="85">
        <f t="shared" si="688"/>
        <v>1688</v>
      </c>
      <c r="O2235" s="86">
        <f t="shared" si="689"/>
        <v>20463.63</v>
      </c>
      <c r="P2235" s="86">
        <f t="shared" si="690"/>
        <v>0</v>
      </c>
      <c r="Q2235" s="86">
        <f t="shared" si="691"/>
        <v>0</v>
      </c>
      <c r="R2235" s="86">
        <f t="shared" si="692"/>
        <v>0</v>
      </c>
      <c r="S2235" s="86">
        <f t="shared" si="693"/>
        <v>0</v>
      </c>
      <c r="T2235" s="86">
        <f t="shared" si="694"/>
        <v>20463.63</v>
      </c>
      <c r="U2235" s="87">
        <v>20463.63</v>
      </c>
    </row>
    <row r="2236" spans="1:21" s="30" customFormat="1" ht="24.6" hidden="1" outlineLevel="1" x14ac:dyDescent="0.55000000000000004">
      <c r="A2236" s="27" t="s">
        <v>327</v>
      </c>
      <c r="B2236" s="28"/>
      <c r="C2236" s="27"/>
      <c r="D2236" s="27" t="str">
        <f>"""NAV Direct"",""CRONUS JetCorp USA"",""21"",""1"",""380273"""</f>
        <v>"NAV Direct","CRONUS JetCorp USA","21","1","380273"</v>
      </c>
      <c r="E2236" s="31">
        <f t="shared" si="686"/>
        <v>0</v>
      </c>
      <c r="F2236" s="31"/>
      <c r="G2236" s="31"/>
      <c r="H2236" s="31"/>
      <c r="I2236" s="56"/>
      <c r="J2236" s="56"/>
      <c r="K2236" s="82" t="str">
        <f t="shared" si="687"/>
        <v>Invoice</v>
      </c>
      <c r="L2236" s="83" t="str">
        <f>"SI_111817"</f>
        <v>SI_111817</v>
      </c>
      <c r="M2236" s="84">
        <v>42277</v>
      </c>
      <c r="N2236" s="85">
        <f t="shared" si="688"/>
        <v>1535</v>
      </c>
      <c r="O2236" s="86">
        <f t="shared" si="689"/>
        <v>18248.59</v>
      </c>
      <c r="P2236" s="86">
        <f t="shared" si="690"/>
        <v>0</v>
      </c>
      <c r="Q2236" s="86">
        <f t="shared" si="691"/>
        <v>0</v>
      </c>
      <c r="R2236" s="86">
        <f t="shared" si="692"/>
        <v>0</v>
      </c>
      <c r="S2236" s="86">
        <f t="shared" si="693"/>
        <v>0</v>
      </c>
      <c r="T2236" s="86">
        <f t="shared" si="694"/>
        <v>18248.59</v>
      </c>
      <c r="U2236" s="87">
        <v>18248.59</v>
      </c>
    </row>
    <row r="2237" spans="1:21" s="30" customFormat="1" ht="24.6" hidden="1" outlineLevel="1" x14ac:dyDescent="0.55000000000000004">
      <c r="A2237" s="27" t="s">
        <v>327</v>
      </c>
      <c r="B2237" s="28"/>
      <c r="C2237" s="27"/>
      <c r="D2237" s="27" t="str">
        <f>"""NAV Direct"",""CRONUS JetCorp USA"",""21"",""1"",""380355"""</f>
        <v>"NAV Direct","CRONUS JetCorp USA","21","1","380355"</v>
      </c>
      <c r="E2237" s="31" t="str">
        <f t="shared" si="686"/>
        <v>C100073</v>
      </c>
      <c r="F2237" s="31"/>
      <c r="G2237" s="31"/>
      <c r="H2237" s="31"/>
      <c r="I2237" s="56"/>
      <c r="J2237" s="56"/>
      <c r="K2237" s="82" t="str">
        <f t="shared" si="687"/>
        <v>Invoice</v>
      </c>
      <c r="L2237" s="83" t="str">
        <f>"SI_111819"</f>
        <v>SI_111819</v>
      </c>
      <c r="M2237" s="84">
        <v>42308</v>
      </c>
      <c r="N2237" s="85">
        <f t="shared" si="688"/>
        <v>1504</v>
      </c>
      <c r="O2237" s="86">
        <f t="shared" si="689"/>
        <v>20133.780000000002</v>
      </c>
      <c r="P2237" s="86">
        <f t="shared" si="690"/>
        <v>0</v>
      </c>
      <c r="Q2237" s="86">
        <f t="shared" si="691"/>
        <v>0</v>
      </c>
      <c r="R2237" s="86">
        <f t="shared" si="692"/>
        <v>0</v>
      </c>
      <c r="S2237" s="86">
        <f t="shared" si="693"/>
        <v>0</v>
      </c>
      <c r="T2237" s="86">
        <f t="shared" si="694"/>
        <v>20133.780000000002</v>
      </c>
      <c r="U2237" s="87">
        <v>20133.780000000002</v>
      </c>
    </row>
    <row r="2238" spans="1:21" s="30" customFormat="1" ht="24.6" hidden="1" outlineLevel="1" x14ac:dyDescent="0.55000000000000004">
      <c r="A2238" s="27" t="s">
        <v>327</v>
      </c>
      <c r="B2238" s="28"/>
      <c r="C2238" s="27"/>
      <c r="D2238" s="27" t="str">
        <f>"""NAV Direct"",""CRONUS JetCorp USA"",""21"",""1"",""437870"""</f>
        <v>"NAV Direct","CRONUS JetCorp USA","21","1","437870"</v>
      </c>
      <c r="E2238" s="31">
        <f t="shared" si="686"/>
        <v>0</v>
      </c>
      <c r="F2238" s="31"/>
      <c r="G2238" s="31"/>
      <c r="H2238" s="31"/>
      <c r="I2238" s="56"/>
      <c r="J2238" s="56"/>
      <c r="K2238" s="82" t="str">
        <f>"Credit Memo"</f>
        <v>Credit Memo</v>
      </c>
      <c r="L2238" s="83" t="str">
        <f>"SC_100776"</f>
        <v>SC_100776</v>
      </c>
      <c r="M2238" s="84">
        <v>42381</v>
      </c>
      <c r="N2238" s="85">
        <f t="shared" si="688"/>
        <v>1431</v>
      </c>
      <c r="O2238" s="86">
        <f t="shared" si="689"/>
        <v>-126.36000000000001</v>
      </c>
      <c r="P2238" s="86">
        <f t="shared" si="690"/>
        <v>0</v>
      </c>
      <c r="Q2238" s="86">
        <f t="shared" si="691"/>
        <v>0</v>
      </c>
      <c r="R2238" s="86">
        <f t="shared" si="692"/>
        <v>0</v>
      </c>
      <c r="S2238" s="86">
        <f t="shared" si="693"/>
        <v>0</v>
      </c>
      <c r="T2238" s="86">
        <f t="shared" si="694"/>
        <v>-126.36000000000001</v>
      </c>
      <c r="U2238" s="87">
        <v>-126.36000000000001</v>
      </c>
    </row>
    <row r="2239" spans="1:21" s="30" customFormat="1" ht="24.6" hidden="1" outlineLevel="1" x14ac:dyDescent="0.55000000000000004">
      <c r="A2239" s="27" t="s">
        <v>327</v>
      </c>
      <c r="B2239" s="28"/>
      <c r="C2239" s="27"/>
      <c r="D2239" s="27" t="str">
        <f>"""NAV Direct"",""CRONUS JetCorp USA"",""21"",""1"",""438089"""</f>
        <v>"NAV Direct","CRONUS JetCorp USA","21","1","438089"</v>
      </c>
      <c r="E2239" s="31" t="str">
        <f t="shared" si="686"/>
        <v>C100073</v>
      </c>
      <c r="F2239" s="31"/>
      <c r="G2239" s="31"/>
      <c r="H2239" s="31"/>
      <c r="I2239" s="56"/>
      <c r="J2239" s="56"/>
      <c r="K2239" s="82" t="str">
        <f>"Credit Memo"</f>
        <v>Credit Memo</v>
      </c>
      <c r="L2239" s="83" t="str">
        <f>"SC_100791"</f>
        <v>SC_100791</v>
      </c>
      <c r="M2239" s="84">
        <v>43149</v>
      </c>
      <c r="N2239" s="85">
        <f t="shared" si="688"/>
        <v>663</v>
      </c>
      <c r="O2239" s="86">
        <f t="shared" si="689"/>
        <v>-135.84</v>
      </c>
      <c r="P2239" s="86">
        <f t="shared" si="690"/>
        <v>0</v>
      </c>
      <c r="Q2239" s="86">
        <f t="shared" si="691"/>
        <v>0</v>
      </c>
      <c r="R2239" s="86">
        <f t="shared" si="692"/>
        <v>0</v>
      </c>
      <c r="S2239" s="86">
        <f t="shared" si="693"/>
        <v>0</v>
      </c>
      <c r="T2239" s="86">
        <f t="shared" si="694"/>
        <v>-135.84</v>
      </c>
      <c r="U2239" s="87">
        <v>-135.84</v>
      </c>
    </row>
    <row r="2240" spans="1:21" s="30" customFormat="1" ht="24.6" hidden="1" outlineLevel="1" x14ac:dyDescent="0.55000000000000004">
      <c r="A2240" s="27" t="s">
        <v>327</v>
      </c>
      <c r="B2240" s="28"/>
      <c r="C2240" s="27"/>
      <c r="D2240" s="27" t="str">
        <f>"""NAV Direct"",""CRONUS JetCorp USA"",""21"",""1"",""438130"""</f>
        <v>"NAV Direct","CRONUS JetCorp USA","21","1","438130"</v>
      </c>
      <c r="E2240" s="31">
        <f t="shared" si="686"/>
        <v>0</v>
      </c>
      <c r="F2240" s="31"/>
      <c r="G2240" s="31"/>
      <c r="H2240" s="31"/>
      <c r="I2240" s="56"/>
      <c r="J2240" s="56"/>
      <c r="K2240" s="82" t="str">
        <f>"Credit Memo"</f>
        <v>Credit Memo</v>
      </c>
      <c r="L2240" s="83" t="str">
        <f>"SC_100794"</f>
        <v>SC_100794</v>
      </c>
      <c r="M2240" s="84">
        <v>43269</v>
      </c>
      <c r="N2240" s="85">
        <f t="shared" si="688"/>
        <v>543</v>
      </c>
      <c r="O2240" s="86">
        <f t="shared" si="689"/>
        <v>-168.16</v>
      </c>
      <c r="P2240" s="86">
        <f t="shared" si="690"/>
        <v>0</v>
      </c>
      <c r="Q2240" s="86">
        <f t="shared" si="691"/>
        <v>0</v>
      </c>
      <c r="R2240" s="86">
        <f t="shared" si="692"/>
        <v>0</v>
      </c>
      <c r="S2240" s="86">
        <f t="shared" si="693"/>
        <v>0</v>
      </c>
      <c r="T2240" s="86">
        <f t="shared" si="694"/>
        <v>-168.16</v>
      </c>
      <c r="U2240" s="87">
        <v>-168.16</v>
      </c>
    </row>
    <row r="2241" spans="1:22" s="22" customFormat="1" ht="20.399999999999999" collapsed="1" x14ac:dyDescent="0.45">
      <c r="A2241" s="12" t="s">
        <v>327</v>
      </c>
      <c r="B2241" s="19"/>
      <c r="C2241" s="12"/>
      <c r="D2241" s="12"/>
      <c r="E2241" s="23"/>
      <c r="F2241" s="23"/>
      <c r="G2241" s="23"/>
      <c r="H2241" s="23"/>
      <c r="I2241" s="49"/>
      <c r="J2241" s="88"/>
      <c r="K2241" s="88"/>
      <c r="L2241" s="89"/>
      <c r="M2241" s="89"/>
      <c r="N2241" s="89"/>
      <c r="O2241" s="89"/>
      <c r="P2241" s="89"/>
      <c r="Q2241" s="90"/>
      <c r="R2241" s="90"/>
      <c r="S2241" s="91"/>
      <c r="T2241" s="92"/>
      <c r="U2241" s="92"/>
    </row>
    <row r="2242" spans="1:22" s="22" customFormat="1" ht="20.399999999999999" x14ac:dyDescent="0.45">
      <c r="A2242" s="12" t="s">
        <v>327</v>
      </c>
      <c r="B2242" s="19"/>
      <c r="C2242" s="12"/>
      <c r="D2242" s="12"/>
      <c r="E2242" s="23"/>
      <c r="F2242" s="23"/>
      <c r="G2242" s="23"/>
      <c r="H2242" s="23"/>
      <c r="I2242" s="49"/>
      <c r="J2242" s="88"/>
      <c r="K2242" s="88"/>
      <c r="L2242" s="89"/>
      <c r="M2242" s="89"/>
      <c r="N2242" s="89"/>
      <c r="O2242" s="89"/>
      <c r="P2242" s="89"/>
      <c r="Q2242" s="90"/>
      <c r="R2242" s="90"/>
      <c r="S2242" s="91"/>
      <c r="T2242" s="92"/>
      <c r="U2242" s="92"/>
    </row>
    <row r="2243" spans="1:22" s="26" customFormat="1" ht="24.6" x14ac:dyDescent="0.55000000000000004">
      <c r="A2243" s="27" t="s">
        <v>327</v>
      </c>
      <c r="B2243" s="28"/>
      <c r="C2243" s="27" t="str">
        <f>"""NAV Direct"",""CRONUS JetCorp USA"",""18"",""1"",""C100075"""</f>
        <v>"NAV Direct","CRONUS JetCorp USA","18","1","C100075"</v>
      </c>
      <c r="D2243" s="27"/>
      <c r="E2243" s="28" t="str">
        <f>H2243</f>
        <v>C100075</v>
      </c>
      <c r="F2243" s="28"/>
      <c r="G2243" s="28"/>
      <c r="H2243" s="28" t="str">
        <f>"C100075"</f>
        <v>C100075</v>
      </c>
      <c r="I2243" s="116" t="str">
        <f>"C100075  -  Selangorian Ltd."</f>
        <v>C100075  -  Selangorian Ltd.</v>
      </c>
      <c r="J2243" s="117" t="str">
        <f>""</f>
        <v/>
      </c>
      <c r="K2243" s="118"/>
      <c r="L2243" s="119">
        <f>SUBTOTAL(3,L2244:L2343)</f>
        <v>96</v>
      </c>
      <c r="M2243" s="118"/>
      <c r="N2243" s="118"/>
      <c r="O2243" s="120">
        <f t="shared" ref="O2243:T2243" si="695">SUBTOTAL(9,O2244:O2343)</f>
        <v>1228848.7700000003</v>
      </c>
      <c r="P2243" s="120">
        <f t="shared" si="695"/>
        <v>16151.499999999998</v>
      </c>
      <c r="Q2243" s="120">
        <f t="shared" si="695"/>
        <v>47911.34</v>
      </c>
      <c r="R2243" s="120">
        <f t="shared" si="695"/>
        <v>49437.02</v>
      </c>
      <c r="S2243" s="120">
        <f t="shared" si="695"/>
        <v>15513.82</v>
      </c>
      <c r="T2243" s="120">
        <f t="shared" si="695"/>
        <v>1099835.0900000001</v>
      </c>
      <c r="U2243" s="81"/>
    </row>
    <row r="2244" spans="1:22" s="26" customFormat="1" ht="24.6" x14ac:dyDescent="0.55000000000000004">
      <c r="A2244" s="27" t="s">
        <v>327</v>
      </c>
      <c r="B2244" s="28"/>
      <c r="C2244" s="27" t="str">
        <f>C2243</f>
        <v>"NAV Direct","CRONUS JetCorp USA","18","1","C100075"</v>
      </c>
      <c r="D2244" s="27"/>
      <c r="E2244" s="28" t="str">
        <f>E2243</f>
        <v>C100075</v>
      </c>
      <c r="F2244" s="28"/>
      <c r="G2244" s="28"/>
      <c r="H2244" s="28"/>
      <c r="I2244" s="121" t="str">
        <f>"Contact: Mr. Mark McArthur"</f>
        <v>Contact: Mr. Mark McArthur</v>
      </c>
      <c r="J2244" s="121"/>
      <c r="K2244" s="122"/>
      <c r="L2244" s="123"/>
      <c r="M2244" s="123"/>
      <c r="N2244" s="124"/>
      <c r="O2244" s="124"/>
      <c r="P2244" s="123"/>
      <c r="Q2244" s="125"/>
      <c r="R2244" s="126"/>
      <c r="S2244" s="126"/>
      <c r="T2244" s="125"/>
      <c r="U2244" s="81"/>
    </row>
    <row r="2245" spans="1:22" s="26" customFormat="1" ht="24.6" x14ac:dyDescent="0.55000000000000004">
      <c r="A2245" s="27" t="s">
        <v>327</v>
      </c>
      <c r="B2245" s="28"/>
      <c r="C2245" s="27" t="str">
        <f>C2244</f>
        <v>"NAV Direct","CRONUS JetCorp USA","18","1","C100075"</v>
      </c>
      <c r="D2245" s="27"/>
      <c r="E2245" s="28" t="str">
        <f>E2244</f>
        <v>C100075</v>
      </c>
      <c r="F2245" s="28"/>
      <c r="G2245" s="28"/>
      <c r="H2245" s="28"/>
      <c r="I2245" s="121" t="str">
        <f>"selangorian.ltd@cronuscorp.net"</f>
        <v>selangorian.ltd@cronuscorp.net</v>
      </c>
      <c r="J2245" s="121"/>
      <c r="K2245" s="122"/>
      <c r="L2245" s="124"/>
      <c r="M2245" s="124"/>
      <c r="N2245" s="124"/>
      <c r="O2245" s="124"/>
      <c r="P2245" s="123"/>
      <c r="Q2245" s="125"/>
      <c r="R2245" s="126"/>
      <c r="S2245" s="126"/>
      <c r="T2245" s="125"/>
      <c r="U2245" s="81"/>
    </row>
    <row r="2246" spans="1:22" ht="12.75" hidden="1" customHeight="1" outlineLevel="1" x14ac:dyDescent="0.45">
      <c r="A2246" s="12" t="s">
        <v>328</v>
      </c>
      <c r="B2246" s="19"/>
      <c r="E2246" s="19"/>
      <c r="F2246" s="19"/>
      <c r="G2246" s="19"/>
      <c r="H2246" s="19"/>
      <c r="I2246" s="61"/>
      <c r="J2246" s="61"/>
      <c r="K2246" s="61"/>
      <c r="L2246" s="61"/>
      <c r="M2246" s="61"/>
      <c r="N2246" s="61"/>
      <c r="O2246" s="61"/>
      <c r="P2246" s="61"/>
      <c r="Q2246" s="61"/>
      <c r="R2246" s="61"/>
      <c r="S2246" s="61"/>
      <c r="T2246" s="61"/>
      <c r="U2246" s="61"/>
      <c r="V2246" s="21"/>
    </row>
    <row r="2247" spans="1:22" s="30" customFormat="1" ht="24.6" hidden="1" outlineLevel="1" x14ac:dyDescent="0.55000000000000004">
      <c r="A2247" s="27" t="s">
        <v>327</v>
      </c>
      <c r="B2247" s="28"/>
      <c r="C2247" s="27"/>
      <c r="D2247" s="27" t="str">
        <f>"""NAV Direct"",""CRONUS JetCorp USA"",""21"",""1"",""14210"""</f>
        <v>"NAV Direct","CRONUS JetCorp USA","21","1","14210"</v>
      </c>
      <c r="E2247" s="31" t="str">
        <f t="shared" ref="E2247:E2278" si="696">E2245</f>
        <v>C100075</v>
      </c>
      <c r="F2247" s="31"/>
      <c r="G2247" s="31"/>
      <c r="H2247" s="31"/>
      <c r="I2247" s="56"/>
      <c r="J2247" s="56"/>
      <c r="K2247" s="82" t="str">
        <f t="shared" ref="K2247:K2278" si="697">"Invoice"</f>
        <v>Invoice</v>
      </c>
      <c r="L2247" s="83" t="str">
        <f>"SI_103821"</f>
        <v>SI_103821</v>
      </c>
      <c r="M2247" s="84">
        <v>42313</v>
      </c>
      <c r="N2247" s="85">
        <f t="shared" ref="N2247:N2278" si="698">StartDate-$M2247+1</f>
        <v>1499</v>
      </c>
      <c r="O2247" s="86">
        <f t="shared" ref="O2247:O2278" si="699">SUM(P2247:T2247)</f>
        <v>17255</v>
      </c>
      <c r="P2247" s="86">
        <f t="shared" ref="P2247:P2278" si="700">IF($M2247&gt;=$P$18,U2247,0)</f>
        <v>0</v>
      </c>
      <c r="Q2247" s="86">
        <f t="shared" ref="Q2247:Q2278" si="701">IF(AND($M2247&gt;=$Q$16,$M2247&lt;=$Q$18),U2247,0)</f>
        <v>0</v>
      </c>
      <c r="R2247" s="86">
        <f t="shared" ref="R2247:R2278" si="702">IF(AND($M2247&gt;=$R$16,$M2247&lt;=$R$18),U2247,0)</f>
        <v>0</v>
      </c>
      <c r="S2247" s="86">
        <f t="shared" ref="S2247:S2278" si="703">IF(AND($M2247&gt;=$S$16,$M2247&lt;=$S$18),U2247,0)</f>
        <v>0</v>
      </c>
      <c r="T2247" s="86">
        <f t="shared" ref="T2247:T2278" si="704">IF($M2247&lt;=$T$18,U2247,0)</f>
        <v>17255</v>
      </c>
      <c r="U2247" s="87">
        <v>17255</v>
      </c>
    </row>
    <row r="2248" spans="1:22" s="30" customFormat="1" ht="24.6" hidden="1" outlineLevel="1" x14ac:dyDescent="0.55000000000000004">
      <c r="A2248" s="27" t="s">
        <v>327</v>
      </c>
      <c r="B2248" s="28"/>
      <c r="C2248" s="27"/>
      <c r="D2248" s="27" t="str">
        <f>"""NAV Direct"",""CRONUS JetCorp USA"",""21"",""1"",""14434"""</f>
        <v>"NAV Direct","CRONUS JetCorp USA","21","1","14434"</v>
      </c>
      <c r="E2248" s="31">
        <f t="shared" si="696"/>
        <v>0</v>
      </c>
      <c r="F2248" s="31"/>
      <c r="G2248" s="31"/>
      <c r="H2248" s="31"/>
      <c r="I2248" s="56"/>
      <c r="J2248" s="56"/>
      <c r="K2248" s="82" t="str">
        <f t="shared" si="697"/>
        <v>Invoice</v>
      </c>
      <c r="L2248" s="83" t="str">
        <f>"SI_103829"</f>
        <v>SI_103829</v>
      </c>
      <c r="M2248" s="84">
        <v>42337</v>
      </c>
      <c r="N2248" s="85">
        <f t="shared" si="698"/>
        <v>1475</v>
      </c>
      <c r="O2248" s="86">
        <f t="shared" si="699"/>
        <v>16722.350000000002</v>
      </c>
      <c r="P2248" s="86">
        <f t="shared" si="700"/>
        <v>0</v>
      </c>
      <c r="Q2248" s="86">
        <f t="shared" si="701"/>
        <v>0</v>
      </c>
      <c r="R2248" s="86">
        <f t="shared" si="702"/>
        <v>0</v>
      </c>
      <c r="S2248" s="86">
        <f t="shared" si="703"/>
        <v>0</v>
      </c>
      <c r="T2248" s="86">
        <f t="shared" si="704"/>
        <v>16722.350000000002</v>
      </c>
      <c r="U2248" s="87">
        <v>16722.350000000002</v>
      </c>
    </row>
    <row r="2249" spans="1:22" s="30" customFormat="1" ht="24.6" hidden="1" outlineLevel="1" x14ac:dyDescent="0.55000000000000004">
      <c r="A2249" s="27" t="s">
        <v>327</v>
      </c>
      <c r="B2249" s="28"/>
      <c r="C2249" s="27"/>
      <c r="D2249" s="27" t="str">
        <f>"""NAV Direct"",""CRONUS JetCorp USA"",""21"",""1"",""14527"""</f>
        <v>"NAV Direct","CRONUS JetCorp USA","21","1","14527"</v>
      </c>
      <c r="E2249" s="31" t="str">
        <f t="shared" si="696"/>
        <v>C100075</v>
      </c>
      <c r="F2249" s="31"/>
      <c r="G2249" s="31"/>
      <c r="H2249" s="31"/>
      <c r="I2249" s="56"/>
      <c r="J2249" s="56"/>
      <c r="K2249" s="82" t="str">
        <f t="shared" si="697"/>
        <v>Invoice</v>
      </c>
      <c r="L2249" s="83" t="str">
        <f>"SI_103832"</f>
        <v>SI_103832</v>
      </c>
      <c r="M2249" s="84">
        <v>42356</v>
      </c>
      <c r="N2249" s="85">
        <f t="shared" si="698"/>
        <v>1456</v>
      </c>
      <c r="O2249" s="86">
        <f t="shared" si="699"/>
        <v>17433.59</v>
      </c>
      <c r="P2249" s="86">
        <f t="shared" si="700"/>
        <v>0</v>
      </c>
      <c r="Q2249" s="86">
        <f t="shared" si="701"/>
        <v>0</v>
      </c>
      <c r="R2249" s="86">
        <f t="shared" si="702"/>
        <v>0</v>
      </c>
      <c r="S2249" s="86">
        <f t="shared" si="703"/>
        <v>0</v>
      </c>
      <c r="T2249" s="86">
        <f t="shared" si="704"/>
        <v>17433.59</v>
      </c>
      <c r="U2249" s="87">
        <v>17433.59</v>
      </c>
    </row>
    <row r="2250" spans="1:22" s="30" customFormat="1" ht="24.6" hidden="1" outlineLevel="1" x14ac:dyDescent="0.55000000000000004">
      <c r="A2250" s="27" t="s">
        <v>327</v>
      </c>
      <c r="B2250" s="28"/>
      <c r="C2250" s="27"/>
      <c r="D2250" s="27" t="str">
        <f>"""NAV Direct"",""CRONUS JetCorp USA"",""21"",""1"",""14579"""</f>
        <v>"NAV Direct","CRONUS JetCorp USA","21","1","14579"</v>
      </c>
      <c r="E2250" s="31">
        <f t="shared" si="696"/>
        <v>0</v>
      </c>
      <c r="F2250" s="31"/>
      <c r="G2250" s="31"/>
      <c r="H2250" s="31"/>
      <c r="I2250" s="56"/>
      <c r="J2250" s="56"/>
      <c r="K2250" s="82" t="str">
        <f t="shared" si="697"/>
        <v>Invoice</v>
      </c>
      <c r="L2250" s="83" t="str">
        <f>"SI_103834"</f>
        <v>SI_103834</v>
      </c>
      <c r="M2250" s="84">
        <v>42363</v>
      </c>
      <c r="N2250" s="85">
        <f t="shared" si="698"/>
        <v>1449</v>
      </c>
      <c r="O2250" s="86">
        <f t="shared" si="699"/>
        <v>16543.98</v>
      </c>
      <c r="P2250" s="86">
        <f t="shared" si="700"/>
        <v>0</v>
      </c>
      <c r="Q2250" s="86">
        <f t="shared" si="701"/>
        <v>0</v>
      </c>
      <c r="R2250" s="86">
        <f t="shared" si="702"/>
        <v>0</v>
      </c>
      <c r="S2250" s="86">
        <f t="shared" si="703"/>
        <v>0</v>
      </c>
      <c r="T2250" s="86">
        <f t="shared" si="704"/>
        <v>16543.98</v>
      </c>
      <c r="U2250" s="87">
        <v>16543.98</v>
      </c>
    </row>
    <row r="2251" spans="1:22" s="30" customFormat="1" ht="24.6" hidden="1" outlineLevel="1" x14ac:dyDescent="0.55000000000000004">
      <c r="A2251" s="27" t="s">
        <v>327</v>
      </c>
      <c r="B2251" s="28"/>
      <c r="C2251" s="27"/>
      <c r="D2251" s="27" t="str">
        <f>"""NAV Direct"",""CRONUS JetCorp USA"",""21"",""1"",""14734"""</f>
        <v>"NAV Direct","CRONUS JetCorp USA","21","1","14734"</v>
      </c>
      <c r="E2251" s="31" t="str">
        <f t="shared" si="696"/>
        <v>C100075</v>
      </c>
      <c r="F2251" s="31"/>
      <c r="G2251" s="31"/>
      <c r="H2251" s="31"/>
      <c r="I2251" s="56"/>
      <c r="J2251" s="56"/>
      <c r="K2251" s="82" t="str">
        <f t="shared" si="697"/>
        <v>Invoice</v>
      </c>
      <c r="L2251" s="83" t="str">
        <f>"SI_103839"</f>
        <v>SI_103839</v>
      </c>
      <c r="M2251" s="84">
        <v>42739</v>
      </c>
      <c r="N2251" s="85">
        <f t="shared" si="698"/>
        <v>1073</v>
      </c>
      <c r="O2251" s="86">
        <f t="shared" si="699"/>
        <v>17432.18</v>
      </c>
      <c r="P2251" s="86">
        <f t="shared" si="700"/>
        <v>0</v>
      </c>
      <c r="Q2251" s="86">
        <f t="shared" si="701"/>
        <v>0</v>
      </c>
      <c r="R2251" s="86">
        <f t="shared" si="702"/>
        <v>0</v>
      </c>
      <c r="S2251" s="86">
        <f t="shared" si="703"/>
        <v>0</v>
      </c>
      <c r="T2251" s="86">
        <f t="shared" si="704"/>
        <v>17432.18</v>
      </c>
      <c r="U2251" s="87">
        <v>17432.18</v>
      </c>
    </row>
    <row r="2252" spans="1:22" s="30" customFormat="1" ht="24.6" hidden="1" outlineLevel="1" x14ac:dyDescent="0.55000000000000004">
      <c r="A2252" s="27" t="s">
        <v>327</v>
      </c>
      <c r="B2252" s="28"/>
      <c r="C2252" s="27"/>
      <c r="D2252" s="27" t="str">
        <f>"""NAV Direct"",""CRONUS JetCorp USA"",""21"",""1"",""14794"""</f>
        <v>"NAV Direct","CRONUS JetCorp USA","21","1","14794"</v>
      </c>
      <c r="E2252" s="31">
        <f t="shared" si="696"/>
        <v>0</v>
      </c>
      <c r="F2252" s="31"/>
      <c r="G2252" s="31"/>
      <c r="H2252" s="31"/>
      <c r="I2252" s="56"/>
      <c r="J2252" s="56"/>
      <c r="K2252" s="82" t="str">
        <f t="shared" si="697"/>
        <v>Invoice</v>
      </c>
      <c r="L2252" s="83" t="str">
        <f>"SI_103841"</f>
        <v>SI_103841</v>
      </c>
      <c r="M2252" s="84">
        <v>42741</v>
      </c>
      <c r="N2252" s="85">
        <f t="shared" si="698"/>
        <v>1071</v>
      </c>
      <c r="O2252" s="86">
        <f t="shared" si="699"/>
        <v>16543.59</v>
      </c>
      <c r="P2252" s="86">
        <f t="shared" si="700"/>
        <v>0</v>
      </c>
      <c r="Q2252" s="86">
        <f t="shared" si="701"/>
        <v>0</v>
      </c>
      <c r="R2252" s="86">
        <f t="shared" si="702"/>
        <v>0</v>
      </c>
      <c r="S2252" s="86">
        <f t="shared" si="703"/>
        <v>0</v>
      </c>
      <c r="T2252" s="86">
        <f t="shared" si="704"/>
        <v>16543.59</v>
      </c>
      <c r="U2252" s="87">
        <v>16543.59</v>
      </c>
    </row>
    <row r="2253" spans="1:22" s="30" customFormat="1" ht="24.6" hidden="1" outlineLevel="1" x14ac:dyDescent="0.55000000000000004">
      <c r="A2253" s="27" t="s">
        <v>327</v>
      </c>
      <c r="B2253" s="28"/>
      <c r="C2253" s="27"/>
      <c r="D2253" s="27" t="str">
        <f>"""NAV Direct"",""CRONUS JetCorp USA"",""21"",""1"",""303994"""</f>
        <v>"NAV Direct","CRONUS JetCorp USA","21","1","303994"</v>
      </c>
      <c r="E2253" s="31" t="str">
        <f t="shared" si="696"/>
        <v>C100075</v>
      </c>
      <c r="F2253" s="31"/>
      <c r="G2253" s="31"/>
      <c r="H2253" s="31"/>
      <c r="I2253" s="56"/>
      <c r="J2253" s="56"/>
      <c r="K2253" s="82" t="str">
        <f t="shared" si="697"/>
        <v>Invoice</v>
      </c>
      <c r="L2253" s="83" t="str">
        <f>"SI_109352"</f>
        <v>SI_109352</v>
      </c>
      <c r="M2253" s="84">
        <v>42420</v>
      </c>
      <c r="N2253" s="85">
        <f t="shared" si="698"/>
        <v>1392</v>
      </c>
      <c r="O2253" s="86">
        <f t="shared" si="699"/>
        <v>13937.38</v>
      </c>
      <c r="P2253" s="86">
        <f t="shared" si="700"/>
        <v>0</v>
      </c>
      <c r="Q2253" s="86">
        <f t="shared" si="701"/>
        <v>0</v>
      </c>
      <c r="R2253" s="86">
        <f t="shared" si="702"/>
        <v>0</v>
      </c>
      <c r="S2253" s="86">
        <f t="shared" si="703"/>
        <v>0</v>
      </c>
      <c r="T2253" s="86">
        <f t="shared" si="704"/>
        <v>13937.38</v>
      </c>
      <c r="U2253" s="87">
        <v>13937.38</v>
      </c>
    </row>
    <row r="2254" spans="1:22" s="30" customFormat="1" ht="24.6" hidden="1" outlineLevel="1" x14ac:dyDescent="0.55000000000000004">
      <c r="A2254" s="27" t="s">
        <v>327</v>
      </c>
      <c r="B2254" s="28"/>
      <c r="C2254" s="27"/>
      <c r="D2254" s="27" t="str">
        <f>"""NAV Direct"",""CRONUS JetCorp USA"",""21"",""1"",""304033"""</f>
        <v>"NAV Direct","CRONUS JetCorp USA","21","1","304033"</v>
      </c>
      <c r="E2254" s="31">
        <f t="shared" si="696"/>
        <v>0</v>
      </c>
      <c r="F2254" s="31"/>
      <c r="G2254" s="31"/>
      <c r="H2254" s="31"/>
      <c r="I2254" s="56"/>
      <c r="J2254" s="56"/>
      <c r="K2254" s="82" t="str">
        <f t="shared" si="697"/>
        <v>Invoice</v>
      </c>
      <c r="L2254" s="83" t="str">
        <f>"SI_109353"</f>
        <v>SI_109353</v>
      </c>
      <c r="M2254" s="84">
        <v>42427</v>
      </c>
      <c r="N2254" s="85">
        <f t="shared" si="698"/>
        <v>1385</v>
      </c>
      <c r="O2254" s="86">
        <f t="shared" si="699"/>
        <v>14240.000000000002</v>
      </c>
      <c r="P2254" s="86">
        <f t="shared" si="700"/>
        <v>0</v>
      </c>
      <c r="Q2254" s="86">
        <f t="shared" si="701"/>
        <v>0</v>
      </c>
      <c r="R2254" s="86">
        <f t="shared" si="702"/>
        <v>0</v>
      </c>
      <c r="S2254" s="86">
        <f t="shared" si="703"/>
        <v>0</v>
      </c>
      <c r="T2254" s="86">
        <f t="shared" si="704"/>
        <v>14240.000000000002</v>
      </c>
      <c r="U2254" s="87">
        <v>14240.000000000002</v>
      </c>
    </row>
    <row r="2255" spans="1:22" s="30" customFormat="1" ht="24.6" hidden="1" outlineLevel="1" x14ac:dyDescent="0.55000000000000004">
      <c r="A2255" s="27" t="s">
        <v>327</v>
      </c>
      <c r="B2255" s="28"/>
      <c r="C2255" s="27"/>
      <c r="D2255" s="27" t="str">
        <f>"""NAV Direct"",""CRONUS JetCorp USA"",""21"",""1"",""304142"""</f>
        <v>"NAV Direct","CRONUS JetCorp USA","21","1","304142"</v>
      </c>
      <c r="E2255" s="31" t="str">
        <f t="shared" si="696"/>
        <v>C100075</v>
      </c>
      <c r="F2255" s="31"/>
      <c r="G2255" s="31"/>
      <c r="H2255" s="31"/>
      <c r="I2255" s="56"/>
      <c r="J2255" s="56"/>
      <c r="K2255" s="82" t="str">
        <f t="shared" si="697"/>
        <v>Invoice</v>
      </c>
      <c r="L2255" s="83" t="str">
        <f>"SI_109358"</f>
        <v>SI_109358</v>
      </c>
      <c r="M2255" s="84">
        <v>42439</v>
      </c>
      <c r="N2255" s="85">
        <f t="shared" si="698"/>
        <v>1373</v>
      </c>
      <c r="O2255" s="86">
        <f t="shared" si="699"/>
        <v>14787</v>
      </c>
      <c r="P2255" s="86">
        <f t="shared" si="700"/>
        <v>0</v>
      </c>
      <c r="Q2255" s="86">
        <f t="shared" si="701"/>
        <v>0</v>
      </c>
      <c r="R2255" s="86">
        <f t="shared" si="702"/>
        <v>0</v>
      </c>
      <c r="S2255" s="86">
        <f t="shared" si="703"/>
        <v>0</v>
      </c>
      <c r="T2255" s="86">
        <f t="shared" si="704"/>
        <v>14787</v>
      </c>
      <c r="U2255" s="87">
        <v>14787</v>
      </c>
    </row>
    <row r="2256" spans="1:22" s="30" customFormat="1" ht="24.6" hidden="1" outlineLevel="1" x14ac:dyDescent="0.55000000000000004">
      <c r="A2256" s="27" t="s">
        <v>327</v>
      </c>
      <c r="B2256" s="28"/>
      <c r="C2256" s="27"/>
      <c r="D2256" s="27" t="str">
        <f>"""NAV Direct"",""CRONUS JetCorp USA"",""21"",""1"",""304192"""</f>
        <v>"NAV Direct","CRONUS JetCorp USA","21","1","304192"</v>
      </c>
      <c r="E2256" s="31">
        <f t="shared" si="696"/>
        <v>0</v>
      </c>
      <c r="F2256" s="31"/>
      <c r="G2256" s="31"/>
      <c r="H2256" s="31"/>
      <c r="I2256" s="56"/>
      <c r="J2256" s="56"/>
      <c r="K2256" s="82" t="str">
        <f t="shared" si="697"/>
        <v>Invoice</v>
      </c>
      <c r="L2256" s="83" t="str">
        <f>"SI_109360"</f>
        <v>SI_109360</v>
      </c>
      <c r="M2256" s="84">
        <v>42459</v>
      </c>
      <c r="N2256" s="85">
        <f t="shared" si="698"/>
        <v>1353</v>
      </c>
      <c r="O2256" s="86">
        <f t="shared" si="699"/>
        <v>14787.349999999999</v>
      </c>
      <c r="P2256" s="86">
        <f t="shared" si="700"/>
        <v>0</v>
      </c>
      <c r="Q2256" s="86">
        <f t="shared" si="701"/>
        <v>0</v>
      </c>
      <c r="R2256" s="86">
        <f t="shared" si="702"/>
        <v>0</v>
      </c>
      <c r="S2256" s="86">
        <f t="shared" si="703"/>
        <v>0</v>
      </c>
      <c r="T2256" s="86">
        <f t="shared" si="704"/>
        <v>14787.349999999999</v>
      </c>
      <c r="U2256" s="87">
        <v>14787.349999999999</v>
      </c>
    </row>
    <row r="2257" spans="1:21" s="30" customFormat="1" ht="24.6" hidden="1" outlineLevel="1" x14ac:dyDescent="0.55000000000000004">
      <c r="A2257" s="27" t="s">
        <v>327</v>
      </c>
      <c r="B2257" s="28"/>
      <c r="C2257" s="27"/>
      <c r="D2257" s="27" t="str">
        <f>"""NAV Direct"",""CRONUS JetCorp USA"",""21"",""1"",""304219"""</f>
        <v>"NAV Direct","CRONUS JetCorp USA","21","1","304219"</v>
      </c>
      <c r="E2257" s="31" t="str">
        <f t="shared" si="696"/>
        <v>C100075</v>
      </c>
      <c r="F2257" s="31"/>
      <c r="G2257" s="31"/>
      <c r="H2257" s="31"/>
      <c r="I2257" s="56"/>
      <c r="J2257" s="56"/>
      <c r="K2257" s="82" t="str">
        <f t="shared" si="697"/>
        <v>Invoice</v>
      </c>
      <c r="L2257" s="83" t="str">
        <f>"SI_109361"</f>
        <v>SI_109361</v>
      </c>
      <c r="M2257" s="84">
        <v>42460</v>
      </c>
      <c r="N2257" s="85">
        <f t="shared" si="698"/>
        <v>1352</v>
      </c>
      <c r="O2257" s="86">
        <f t="shared" si="699"/>
        <v>14787.58</v>
      </c>
      <c r="P2257" s="86">
        <f t="shared" si="700"/>
        <v>0</v>
      </c>
      <c r="Q2257" s="86">
        <f t="shared" si="701"/>
        <v>0</v>
      </c>
      <c r="R2257" s="86">
        <f t="shared" si="702"/>
        <v>0</v>
      </c>
      <c r="S2257" s="86">
        <f t="shared" si="703"/>
        <v>0</v>
      </c>
      <c r="T2257" s="86">
        <f t="shared" si="704"/>
        <v>14787.58</v>
      </c>
      <c r="U2257" s="87">
        <v>14787.58</v>
      </c>
    </row>
    <row r="2258" spans="1:21" s="30" customFormat="1" ht="24.6" hidden="1" outlineLevel="1" x14ac:dyDescent="0.55000000000000004">
      <c r="A2258" s="27" t="s">
        <v>327</v>
      </c>
      <c r="B2258" s="28"/>
      <c r="C2258" s="27"/>
      <c r="D2258" s="27" t="str">
        <f>"""NAV Direct"",""CRONUS JetCorp USA"",""21"",""1"",""304589"""</f>
        <v>"NAV Direct","CRONUS JetCorp USA","21","1","304589"</v>
      </c>
      <c r="E2258" s="31">
        <f t="shared" si="696"/>
        <v>0</v>
      </c>
      <c r="F2258" s="31"/>
      <c r="G2258" s="31"/>
      <c r="H2258" s="31"/>
      <c r="I2258" s="56"/>
      <c r="J2258" s="56"/>
      <c r="K2258" s="82" t="str">
        <f t="shared" si="697"/>
        <v>Invoice</v>
      </c>
      <c r="L2258" s="83" t="str">
        <f>"SI_109375"</f>
        <v>SI_109375</v>
      </c>
      <c r="M2258" s="84">
        <v>42535</v>
      </c>
      <c r="N2258" s="85">
        <f t="shared" si="698"/>
        <v>1277</v>
      </c>
      <c r="O2258" s="86">
        <f t="shared" si="699"/>
        <v>14846.09</v>
      </c>
      <c r="P2258" s="86">
        <f t="shared" si="700"/>
        <v>0</v>
      </c>
      <c r="Q2258" s="86">
        <f t="shared" si="701"/>
        <v>0</v>
      </c>
      <c r="R2258" s="86">
        <f t="shared" si="702"/>
        <v>0</v>
      </c>
      <c r="S2258" s="86">
        <f t="shared" si="703"/>
        <v>0</v>
      </c>
      <c r="T2258" s="86">
        <f t="shared" si="704"/>
        <v>14846.09</v>
      </c>
      <c r="U2258" s="87">
        <v>14846.09</v>
      </c>
    </row>
    <row r="2259" spans="1:21" s="30" customFormat="1" ht="24.6" hidden="1" outlineLevel="1" x14ac:dyDescent="0.55000000000000004">
      <c r="A2259" s="27" t="s">
        <v>327</v>
      </c>
      <c r="B2259" s="28"/>
      <c r="C2259" s="27"/>
      <c r="D2259" s="27" t="str">
        <f>"""NAV Direct"",""CRONUS JetCorp USA"",""21"",""1"",""304618"""</f>
        <v>"NAV Direct","CRONUS JetCorp USA","21","1","304618"</v>
      </c>
      <c r="E2259" s="31" t="str">
        <f t="shared" si="696"/>
        <v>C100075</v>
      </c>
      <c r="F2259" s="31"/>
      <c r="G2259" s="31"/>
      <c r="H2259" s="31"/>
      <c r="I2259" s="56"/>
      <c r="J2259" s="56"/>
      <c r="K2259" s="82" t="str">
        <f t="shared" si="697"/>
        <v>Invoice</v>
      </c>
      <c r="L2259" s="83" t="str">
        <f>"SI_109376"</f>
        <v>SI_109376</v>
      </c>
      <c r="M2259" s="84">
        <v>42540</v>
      </c>
      <c r="N2259" s="85">
        <f t="shared" si="698"/>
        <v>1272</v>
      </c>
      <c r="O2259" s="86">
        <f t="shared" si="699"/>
        <v>14391.29</v>
      </c>
      <c r="P2259" s="86">
        <f t="shared" si="700"/>
        <v>0</v>
      </c>
      <c r="Q2259" s="86">
        <f t="shared" si="701"/>
        <v>0</v>
      </c>
      <c r="R2259" s="86">
        <f t="shared" si="702"/>
        <v>0</v>
      </c>
      <c r="S2259" s="86">
        <f t="shared" si="703"/>
        <v>0</v>
      </c>
      <c r="T2259" s="86">
        <f t="shared" si="704"/>
        <v>14391.29</v>
      </c>
      <c r="U2259" s="87">
        <v>14391.29</v>
      </c>
    </row>
    <row r="2260" spans="1:21" s="30" customFormat="1" ht="24.6" hidden="1" outlineLevel="1" x14ac:dyDescent="0.55000000000000004">
      <c r="A2260" s="27" t="s">
        <v>327</v>
      </c>
      <c r="B2260" s="28"/>
      <c r="C2260" s="27"/>
      <c r="D2260" s="27" t="str">
        <f>"""NAV Direct"",""CRONUS JetCorp USA"",""21"",""1"",""304714"""</f>
        <v>"NAV Direct","CRONUS JetCorp USA","21","1","304714"</v>
      </c>
      <c r="E2260" s="31">
        <f t="shared" si="696"/>
        <v>0</v>
      </c>
      <c r="F2260" s="31"/>
      <c r="G2260" s="31"/>
      <c r="H2260" s="31"/>
      <c r="I2260" s="56"/>
      <c r="J2260" s="56"/>
      <c r="K2260" s="82" t="str">
        <f t="shared" si="697"/>
        <v>Invoice</v>
      </c>
      <c r="L2260" s="83" t="str">
        <f>"SI_109380"</f>
        <v>SI_109380</v>
      </c>
      <c r="M2260" s="84">
        <v>42547</v>
      </c>
      <c r="N2260" s="85">
        <f t="shared" si="698"/>
        <v>1265</v>
      </c>
      <c r="O2260" s="86">
        <f t="shared" si="699"/>
        <v>14088.21</v>
      </c>
      <c r="P2260" s="86">
        <f t="shared" si="700"/>
        <v>0</v>
      </c>
      <c r="Q2260" s="86">
        <f t="shared" si="701"/>
        <v>0</v>
      </c>
      <c r="R2260" s="86">
        <f t="shared" si="702"/>
        <v>0</v>
      </c>
      <c r="S2260" s="86">
        <f t="shared" si="703"/>
        <v>0</v>
      </c>
      <c r="T2260" s="86">
        <f t="shared" si="704"/>
        <v>14088.21</v>
      </c>
      <c r="U2260" s="87">
        <v>14088.21</v>
      </c>
    </row>
    <row r="2261" spans="1:21" s="30" customFormat="1" ht="24.6" hidden="1" outlineLevel="1" x14ac:dyDescent="0.55000000000000004">
      <c r="A2261" s="27" t="s">
        <v>327</v>
      </c>
      <c r="B2261" s="28"/>
      <c r="C2261" s="27"/>
      <c r="D2261" s="27" t="str">
        <f>"""NAV Direct"",""CRONUS JetCorp USA"",""21"",""1"",""304907"""</f>
        <v>"NAV Direct","CRONUS JetCorp USA","21","1","304907"</v>
      </c>
      <c r="E2261" s="31" t="str">
        <f t="shared" si="696"/>
        <v>C100075</v>
      </c>
      <c r="F2261" s="31"/>
      <c r="G2261" s="31"/>
      <c r="H2261" s="31"/>
      <c r="I2261" s="56"/>
      <c r="J2261" s="56"/>
      <c r="K2261" s="82" t="str">
        <f t="shared" si="697"/>
        <v>Invoice</v>
      </c>
      <c r="L2261" s="83" t="str">
        <f>"SI_109387"</f>
        <v>SI_109387</v>
      </c>
      <c r="M2261" s="84">
        <v>42603</v>
      </c>
      <c r="N2261" s="85">
        <f t="shared" si="698"/>
        <v>1209</v>
      </c>
      <c r="O2261" s="86">
        <f t="shared" si="699"/>
        <v>14693.16</v>
      </c>
      <c r="P2261" s="86">
        <f t="shared" si="700"/>
        <v>0</v>
      </c>
      <c r="Q2261" s="86">
        <f t="shared" si="701"/>
        <v>0</v>
      </c>
      <c r="R2261" s="86">
        <f t="shared" si="702"/>
        <v>0</v>
      </c>
      <c r="S2261" s="86">
        <f t="shared" si="703"/>
        <v>0</v>
      </c>
      <c r="T2261" s="86">
        <f t="shared" si="704"/>
        <v>14693.16</v>
      </c>
      <c r="U2261" s="87">
        <v>14693.16</v>
      </c>
    </row>
    <row r="2262" spans="1:21" s="30" customFormat="1" ht="24.6" hidden="1" outlineLevel="1" x14ac:dyDescent="0.55000000000000004">
      <c r="A2262" s="27" t="s">
        <v>327</v>
      </c>
      <c r="B2262" s="28"/>
      <c r="C2262" s="27"/>
      <c r="D2262" s="27" t="str">
        <f>"""NAV Direct"",""CRONUS JetCorp USA"",""21"",""1"",""304982"""</f>
        <v>"NAV Direct","CRONUS JetCorp USA","21","1","304982"</v>
      </c>
      <c r="E2262" s="31">
        <f t="shared" si="696"/>
        <v>0</v>
      </c>
      <c r="F2262" s="31"/>
      <c r="G2262" s="31"/>
      <c r="H2262" s="31"/>
      <c r="I2262" s="56"/>
      <c r="J2262" s="56"/>
      <c r="K2262" s="82" t="str">
        <f t="shared" si="697"/>
        <v>Invoice</v>
      </c>
      <c r="L2262" s="83" t="str">
        <f>"SI_109390"</f>
        <v>SI_109390</v>
      </c>
      <c r="M2262" s="84">
        <v>42608</v>
      </c>
      <c r="N2262" s="85">
        <f t="shared" si="698"/>
        <v>1204</v>
      </c>
      <c r="O2262" s="86">
        <f t="shared" si="699"/>
        <v>14389.53</v>
      </c>
      <c r="P2262" s="86">
        <f t="shared" si="700"/>
        <v>0</v>
      </c>
      <c r="Q2262" s="86">
        <f t="shared" si="701"/>
        <v>0</v>
      </c>
      <c r="R2262" s="86">
        <f t="shared" si="702"/>
        <v>0</v>
      </c>
      <c r="S2262" s="86">
        <f t="shared" si="703"/>
        <v>0</v>
      </c>
      <c r="T2262" s="86">
        <f t="shared" si="704"/>
        <v>14389.53</v>
      </c>
      <c r="U2262" s="87">
        <v>14389.53</v>
      </c>
    </row>
    <row r="2263" spans="1:21" s="30" customFormat="1" ht="24.6" hidden="1" outlineLevel="1" x14ac:dyDescent="0.55000000000000004">
      <c r="A2263" s="27" t="s">
        <v>327</v>
      </c>
      <c r="B2263" s="28"/>
      <c r="C2263" s="27"/>
      <c r="D2263" s="27" t="str">
        <f>"""NAV Direct"",""CRONUS JetCorp USA"",""21"",""1"",""305022"""</f>
        <v>"NAV Direct","CRONUS JetCorp USA","21","1","305022"</v>
      </c>
      <c r="E2263" s="31" t="str">
        <f t="shared" si="696"/>
        <v>C100075</v>
      </c>
      <c r="F2263" s="31"/>
      <c r="G2263" s="31"/>
      <c r="H2263" s="31"/>
      <c r="I2263" s="56"/>
      <c r="J2263" s="56"/>
      <c r="K2263" s="82" t="str">
        <f t="shared" si="697"/>
        <v>Invoice</v>
      </c>
      <c r="L2263" s="83" t="str">
        <f>"SI_109392"</f>
        <v>SI_109392</v>
      </c>
      <c r="M2263" s="84">
        <v>42611</v>
      </c>
      <c r="N2263" s="85">
        <f t="shared" si="698"/>
        <v>1201</v>
      </c>
      <c r="O2263" s="86">
        <f t="shared" si="699"/>
        <v>14844.039999999999</v>
      </c>
      <c r="P2263" s="86">
        <f t="shared" si="700"/>
        <v>0</v>
      </c>
      <c r="Q2263" s="86">
        <f t="shared" si="701"/>
        <v>0</v>
      </c>
      <c r="R2263" s="86">
        <f t="shared" si="702"/>
        <v>0</v>
      </c>
      <c r="S2263" s="86">
        <f t="shared" si="703"/>
        <v>0</v>
      </c>
      <c r="T2263" s="86">
        <f t="shared" si="704"/>
        <v>14844.039999999999</v>
      </c>
      <c r="U2263" s="87">
        <v>14844.039999999999</v>
      </c>
    </row>
    <row r="2264" spans="1:21" s="30" customFormat="1" ht="24.6" hidden="1" outlineLevel="1" x14ac:dyDescent="0.55000000000000004">
      <c r="A2264" s="27" t="s">
        <v>327</v>
      </c>
      <c r="B2264" s="28"/>
      <c r="C2264" s="27"/>
      <c r="D2264" s="27" t="str">
        <f>"""NAV Direct"",""CRONUS JetCorp USA"",""21"",""1"",""305076"""</f>
        <v>"NAV Direct","CRONUS JetCorp USA","21","1","305076"</v>
      </c>
      <c r="E2264" s="31">
        <f t="shared" si="696"/>
        <v>0</v>
      </c>
      <c r="F2264" s="31"/>
      <c r="G2264" s="31"/>
      <c r="H2264" s="31"/>
      <c r="I2264" s="56"/>
      <c r="J2264" s="56"/>
      <c r="K2264" s="82" t="str">
        <f t="shared" si="697"/>
        <v>Invoice</v>
      </c>
      <c r="L2264" s="83" t="str">
        <f>"SI_109394"</f>
        <v>SI_109394</v>
      </c>
      <c r="M2264" s="84">
        <v>42634</v>
      </c>
      <c r="N2264" s="85">
        <f t="shared" si="698"/>
        <v>1178</v>
      </c>
      <c r="O2264" s="86">
        <f t="shared" si="699"/>
        <v>14157.69</v>
      </c>
      <c r="P2264" s="86">
        <f t="shared" si="700"/>
        <v>0</v>
      </c>
      <c r="Q2264" s="86">
        <f t="shared" si="701"/>
        <v>0</v>
      </c>
      <c r="R2264" s="86">
        <f t="shared" si="702"/>
        <v>0</v>
      </c>
      <c r="S2264" s="86">
        <f t="shared" si="703"/>
        <v>0</v>
      </c>
      <c r="T2264" s="86">
        <f t="shared" si="704"/>
        <v>14157.69</v>
      </c>
      <c r="U2264" s="87">
        <v>14157.69</v>
      </c>
    </row>
    <row r="2265" spans="1:21" s="30" customFormat="1" ht="24.6" hidden="1" outlineLevel="1" x14ac:dyDescent="0.55000000000000004">
      <c r="A2265" s="27" t="s">
        <v>327</v>
      </c>
      <c r="B2265" s="28"/>
      <c r="C2265" s="27"/>
      <c r="D2265" s="27" t="str">
        <f>"""NAV Direct"",""CRONUS JetCorp USA"",""21"",""1"",""305099"""</f>
        <v>"NAV Direct","CRONUS JetCorp USA","21","1","305099"</v>
      </c>
      <c r="E2265" s="31" t="str">
        <f t="shared" si="696"/>
        <v>C100075</v>
      </c>
      <c r="F2265" s="31"/>
      <c r="G2265" s="31"/>
      <c r="H2265" s="31"/>
      <c r="I2265" s="56"/>
      <c r="J2265" s="56"/>
      <c r="K2265" s="82" t="str">
        <f t="shared" si="697"/>
        <v>Invoice</v>
      </c>
      <c r="L2265" s="83" t="str">
        <f>"SI_109395"</f>
        <v>SI_109395</v>
      </c>
      <c r="M2265" s="84">
        <v>42643</v>
      </c>
      <c r="N2265" s="85">
        <f t="shared" si="698"/>
        <v>1169</v>
      </c>
      <c r="O2265" s="86">
        <f t="shared" si="699"/>
        <v>14157.800000000001</v>
      </c>
      <c r="P2265" s="86">
        <f t="shared" si="700"/>
        <v>0</v>
      </c>
      <c r="Q2265" s="86">
        <f t="shared" si="701"/>
        <v>0</v>
      </c>
      <c r="R2265" s="86">
        <f t="shared" si="702"/>
        <v>0</v>
      </c>
      <c r="S2265" s="86">
        <f t="shared" si="703"/>
        <v>0</v>
      </c>
      <c r="T2265" s="86">
        <f t="shared" si="704"/>
        <v>14157.800000000001</v>
      </c>
      <c r="U2265" s="87">
        <v>14157.800000000001</v>
      </c>
    </row>
    <row r="2266" spans="1:21" s="30" customFormat="1" ht="24.6" hidden="1" outlineLevel="1" x14ac:dyDescent="0.55000000000000004">
      <c r="A2266" s="27" t="s">
        <v>327</v>
      </c>
      <c r="B2266" s="28"/>
      <c r="C2266" s="27"/>
      <c r="D2266" s="27" t="str">
        <f>"""NAV Direct"",""CRONUS JetCorp USA"",""21"",""1"",""305118"""</f>
        <v>"NAV Direct","CRONUS JetCorp USA","21","1","305118"</v>
      </c>
      <c r="E2266" s="31">
        <f t="shared" si="696"/>
        <v>0</v>
      </c>
      <c r="F2266" s="31"/>
      <c r="G2266" s="31"/>
      <c r="H2266" s="31"/>
      <c r="I2266" s="56"/>
      <c r="J2266" s="56"/>
      <c r="K2266" s="82" t="str">
        <f t="shared" si="697"/>
        <v>Invoice</v>
      </c>
      <c r="L2266" s="83" t="str">
        <f>"SI_109396"</f>
        <v>SI_109396</v>
      </c>
      <c r="M2266" s="84">
        <v>42649</v>
      </c>
      <c r="N2266" s="85">
        <f t="shared" si="698"/>
        <v>1163</v>
      </c>
      <c r="O2266" s="86">
        <f t="shared" si="699"/>
        <v>14309.61</v>
      </c>
      <c r="P2266" s="86">
        <f t="shared" si="700"/>
        <v>0</v>
      </c>
      <c r="Q2266" s="86">
        <f t="shared" si="701"/>
        <v>0</v>
      </c>
      <c r="R2266" s="86">
        <f t="shared" si="702"/>
        <v>0</v>
      </c>
      <c r="S2266" s="86">
        <f t="shared" si="703"/>
        <v>0</v>
      </c>
      <c r="T2266" s="86">
        <f t="shared" si="704"/>
        <v>14309.61</v>
      </c>
      <c r="U2266" s="87">
        <v>14309.61</v>
      </c>
    </row>
    <row r="2267" spans="1:21" s="30" customFormat="1" ht="24.6" hidden="1" outlineLevel="1" x14ac:dyDescent="0.55000000000000004">
      <c r="A2267" s="27" t="s">
        <v>327</v>
      </c>
      <c r="B2267" s="28"/>
      <c r="C2267" s="27"/>
      <c r="D2267" s="27" t="str">
        <f>"""NAV Direct"",""CRONUS JetCorp USA"",""21"",""1"",""305222"""</f>
        <v>"NAV Direct","CRONUS JetCorp USA","21","1","305222"</v>
      </c>
      <c r="E2267" s="31" t="str">
        <f t="shared" si="696"/>
        <v>C100075</v>
      </c>
      <c r="F2267" s="31"/>
      <c r="G2267" s="31"/>
      <c r="H2267" s="31"/>
      <c r="I2267" s="56"/>
      <c r="J2267" s="56"/>
      <c r="K2267" s="82" t="str">
        <f t="shared" si="697"/>
        <v>Invoice</v>
      </c>
      <c r="L2267" s="83" t="str">
        <f>"SI_109400"</f>
        <v>SI_109400</v>
      </c>
      <c r="M2267" s="84">
        <v>42665</v>
      </c>
      <c r="N2267" s="85">
        <f t="shared" si="698"/>
        <v>1147</v>
      </c>
      <c r="O2267" s="86">
        <f t="shared" si="699"/>
        <v>14942.869999999999</v>
      </c>
      <c r="P2267" s="86">
        <f t="shared" si="700"/>
        <v>0</v>
      </c>
      <c r="Q2267" s="86">
        <f t="shared" si="701"/>
        <v>0</v>
      </c>
      <c r="R2267" s="86">
        <f t="shared" si="702"/>
        <v>0</v>
      </c>
      <c r="S2267" s="86">
        <f t="shared" si="703"/>
        <v>0</v>
      </c>
      <c r="T2267" s="86">
        <f t="shared" si="704"/>
        <v>14942.869999999999</v>
      </c>
      <c r="U2267" s="87">
        <v>14942.869999999999</v>
      </c>
    </row>
    <row r="2268" spans="1:21" s="30" customFormat="1" ht="24.6" hidden="1" outlineLevel="1" x14ac:dyDescent="0.55000000000000004">
      <c r="A2268" s="27" t="s">
        <v>327</v>
      </c>
      <c r="B2268" s="28"/>
      <c r="C2268" s="27"/>
      <c r="D2268" s="27" t="str">
        <f>"""NAV Direct"",""CRONUS JetCorp USA"",""21"",""1"",""305295"""</f>
        <v>"NAV Direct","CRONUS JetCorp USA","21","1","305295"</v>
      </c>
      <c r="E2268" s="31">
        <f t="shared" si="696"/>
        <v>0</v>
      </c>
      <c r="F2268" s="31"/>
      <c r="G2268" s="31"/>
      <c r="H2268" s="31"/>
      <c r="I2268" s="56"/>
      <c r="J2268" s="56"/>
      <c r="K2268" s="82" t="str">
        <f t="shared" si="697"/>
        <v>Invoice</v>
      </c>
      <c r="L2268" s="83" t="str">
        <f>"SI_109403"</f>
        <v>SI_109403</v>
      </c>
      <c r="M2268" s="84">
        <v>42681</v>
      </c>
      <c r="N2268" s="85">
        <f t="shared" si="698"/>
        <v>1131</v>
      </c>
      <c r="O2268" s="86">
        <f t="shared" si="699"/>
        <v>14635.23</v>
      </c>
      <c r="P2268" s="86">
        <f t="shared" si="700"/>
        <v>0</v>
      </c>
      <c r="Q2268" s="86">
        <f t="shared" si="701"/>
        <v>0</v>
      </c>
      <c r="R2268" s="86">
        <f t="shared" si="702"/>
        <v>0</v>
      </c>
      <c r="S2268" s="86">
        <f t="shared" si="703"/>
        <v>0</v>
      </c>
      <c r="T2268" s="86">
        <f t="shared" si="704"/>
        <v>14635.23</v>
      </c>
      <c r="U2268" s="87">
        <v>14635.23</v>
      </c>
    </row>
    <row r="2269" spans="1:21" s="30" customFormat="1" ht="24.6" hidden="1" outlineLevel="1" x14ac:dyDescent="0.55000000000000004">
      <c r="A2269" s="27" t="s">
        <v>327</v>
      </c>
      <c r="B2269" s="28"/>
      <c r="C2269" s="27"/>
      <c r="D2269" s="27" t="str">
        <f>"""NAV Direct"",""CRONUS JetCorp USA"",""21"",""1"",""305380"""</f>
        <v>"NAV Direct","CRONUS JetCorp USA","21","1","305380"</v>
      </c>
      <c r="E2269" s="31" t="str">
        <f t="shared" si="696"/>
        <v>C100075</v>
      </c>
      <c r="F2269" s="31"/>
      <c r="G2269" s="31"/>
      <c r="H2269" s="31"/>
      <c r="I2269" s="56"/>
      <c r="J2269" s="56"/>
      <c r="K2269" s="82" t="str">
        <f t="shared" si="697"/>
        <v>Invoice</v>
      </c>
      <c r="L2269" s="83" t="str">
        <f>"SI_109406"</f>
        <v>SI_109406</v>
      </c>
      <c r="M2269" s="84">
        <v>42694</v>
      </c>
      <c r="N2269" s="85">
        <f t="shared" si="698"/>
        <v>1118</v>
      </c>
      <c r="O2269" s="86">
        <f t="shared" si="699"/>
        <v>15137.88</v>
      </c>
      <c r="P2269" s="86">
        <f t="shared" si="700"/>
        <v>0</v>
      </c>
      <c r="Q2269" s="86">
        <f t="shared" si="701"/>
        <v>0</v>
      </c>
      <c r="R2269" s="86">
        <f t="shared" si="702"/>
        <v>0</v>
      </c>
      <c r="S2269" s="86">
        <f t="shared" si="703"/>
        <v>0</v>
      </c>
      <c r="T2269" s="86">
        <f t="shared" si="704"/>
        <v>15137.88</v>
      </c>
      <c r="U2269" s="87">
        <v>15137.88</v>
      </c>
    </row>
    <row r="2270" spans="1:21" s="30" customFormat="1" ht="24.6" hidden="1" outlineLevel="1" x14ac:dyDescent="0.55000000000000004">
      <c r="A2270" s="27" t="s">
        <v>327</v>
      </c>
      <c r="B2270" s="28"/>
      <c r="C2270" s="27"/>
      <c r="D2270" s="27" t="str">
        <f>"""NAV Direct"",""CRONUS JetCorp USA"",""21"",""1"",""305453"""</f>
        <v>"NAV Direct","CRONUS JetCorp USA","21","1","305453"</v>
      </c>
      <c r="E2270" s="31">
        <f t="shared" si="696"/>
        <v>0</v>
      </c>
      <c r="F2270" s="31"/>
      <c r="G2270" s="31"/>
      <c r="H2270" s="31"/>
      <c r="I2270" s="56"/>
      <c r="J2270" s="56"/>
      <c r="K2270" s="82" t="str">
        <f t="shared" si="697"/>
        <v>Invoice</v>
      </c>
      <c r="L2270" s="83" t="str">
        <f>"SI_109409"</f>
        <v>SI_109409</v>
      </c>
      <c r="M2270" s="84">
        <v>42705</v>
      </c>
      <c r="N2270" s="85">
        <f t="shared" si="698"/>
        <v>1107</v>
      </c>
      <c r="O2270" s="86">
        <f t="shared" si="699"/>
        <v>14825.9</v>
      </c>
      <c r="P2270" s="86">
        <f t="shared" si="700"/>
        <v>0</v>
      </c>
      <c r="Q2270" s="86">
        <f t="shared" si="701"/>
        <v>0</v>
      </c>
      <c r="R2270" s="86">
        <f t="shared" si="702"/>
        <v>0</v>
      </c>
      <c r="S2270" s="86">
        <f t="shared" si="703"/>
        <v>0</v>
      </c>
      <c r="T2270" s="86">
        <f t="shared" si="704"/>
        <v>14825.9</v>
      </c>
      <c r="U2270" s="87">
        <v>14825.9</v>
      </c>
    </row>
    <row r="2271" spans="1:21" s="30" customFormat="1" ht="24.6" hidden="1" outlineLevel="1" x14ac:dyDescent="0.55000000000000004">
      <c r="A2271" s="27" t="s">
        <v>327</v>
      </c>
      <c r="B2271" s="28"/>
      <c r="C2271" s="27"/>
      <c r="D2271" s="27" t="str">
        <f>"""NAV Direct"",""CRONUS JetCorp USA"",""21"",""1"",""305559"""</f>
        <v>"NAV Direct","CRONUS JetCorp USA","21","1","305559"</v>
      </c>
      <c r="E2271" s="31" t="str">
        <f t="shared" si="696"/>
        <v>C100075</v>
      </c>
      <c r="F2271" s="31"/>
      <c r="G2271" s="31"/>
      <c r="H2271" s="31"/>
      <c r="I2271" s="56"/>
      <c r="J2271" s="56"/>
      <c r="K2271" s="82" t="str">
        <f t="shared" si="697"/>
        <v>Invoice</v>
      </c>
      <c r="L2271" s="83" t="str">
        <f>"SI_109413"</f>
        <v>SI_109413</v>
      </c>
      <c r="M2271" s="84">
        <v>42733</v>
      </c>
      <c r="N2271" s="85">
        <f t="shared" si="698"/>
        <v>1079</v>
      </c>
      <c r="O2271" s="86">
        <f t="shared" si="699"/>
        <v>15110.29</v>
      </c>
      <c r="P2271" s="86">
        <f t="shared" si="700"/>
        <v>0</v>
      </c>
      <c r="Q2271" s="86">
        <f t="shared" si="701"/>
        <v>0</v>
      </c>
      <c r="R2271" s="86">
        <f t="shared" si="702"/>
        <v>0</v>
      </c>
      <c r="S2271" s="86">
        <f t="shared" si="703"/>
        <v>0</v>
      </c>
      <c r="T2271" s="86">
        <f t="shared" si="704"/>
        <v>15110.29</v>
      </c>
      <c r="U2271" s="87">
        <v>15110.29</v>
      </c>
    </row>
    <row r="2272" spans="1:21" s="30" customFormat="1" ht="24.6" hidden="1" outlineLevel="1" x14ac:dyDescent="0.55000000000000004">
      <c r="A2272" s="27" t="s">
        <v>327</v>
      </c>
      <c r="B2272" s="28"/>
      <c r="C2272" s="27"/>
      <c r="D2272" s="27" t="str">
        <f>"""NAV Direct"",""CRONUS JetCorp USA"",""21"",""1"",""305825"""</f>
        <v>"NAV Direct","CRONUS JetCorp USA","21","1","305825"</v>
      </c>
      <c r="E2272" s="31">
        <f t="shared" si="696"/>
        <v>0</v>
      </c>
      <c r="F2272" s="31"/>
      <c r="G2272" s="31"/>
      <c r="H2272" s="31"/>
      <c r="I2272" s="56"/>
      <c r="J2272" s="56"/>
      <c r="K2272" s="82" t="str">
        <f t="shared" si="697"/>
        <v>Invoice</v>
      </c>
      <c r="L2272" s="83" t="str">
        <f>"SI_109423"</f>
        <v>SI_109423</v>
      </c>
      <c r="M2272" s="84">
        <v>42789</v>
      </c>
      <c r="N2272" s="85">
        <f t="shared" si="698"/>
        <v>1023</v>
      </c>
      <c r="O2272" s="86">
        <f t="shared" si="699"/>
        <v>15566.92</v>
      </c>
      <c r="P2272" s="86">
        <f t="shared" si="700"/>
        <v>0</v>
      </c>
      <c r="Q2272" s="86">
        <f t="shared" si="701"/>
        <v>0</v>
      </c>
      <c r="R2272" s="86">
        <f t="shared" si="702"/>
        <v>0</v>
      </c>
      <c r="S2272" s="86">
        <f t="shared" si="703"/>
        <v>0</v>
      </c>
      <c r="T2272" s="86">
        <f t="shared" si="704"/>
        <v>15566.92</v>
      </c>
      <c r="U2272" s="87">
        <v>15566.92</v>
      </c>
    </row>
    <row r="2273" spans="1:21" s="30" customFormat="1" ht="24.6" hidden="1" outlineLevel="1" x14ac:dyDescent="0.55000000000000004">
      <c r="A2273" s="27" t="s">
        <v>327</v>
      </c>
      <c r="B2273" s="28"/>
      <c r="C2273" s="27"/>
      <c r="D2273" s="27" t="str">
        <f>"""NAV Direct"",""CRONUS JetCorp USA"",""21"",""1"",""305995"""</f>
        <v>"NAV Direct","CRONUS JetCorp USA","21","1","305995"</v>
      </c>
      <c r="E2273" s="31" t="str">
        <f t="shared" si="696"/>
        <v>C100075</v>
      </c>
      <c r="F2273" s="31"/>
      <c r="G2273" s="31"/>
      <c r="H2273" s="31"/>
      <c r="I2273" s="56"/>
      <c r="J2273" s="56"/>
      <c r="K2273" s="82" t="str">
        <f t="shared" si="697"/>
        <v>Invoice</v>
      </c>
      <c r="L2273" s="83" t="str">
        <f>"SI_109429"</f>
        <v>SI_109429</v>
      </c>
      <c r="M2273" s="84">
        <v>42814</v>
      </c>
      <c r="N2273" s="85">
        <f t="shared" si="698"/>
        <v>998</v>
      </c>
      <c r="O2273" s="86">
        <f t="shared" si="699"/>
        <v>16078.949999999999</v>
      </c>
      <c r="P2273" s="86">
        <f t="shared" si="700"/>
        <v>0</v>
      </c>
      <c r="Q2273" s="86">
        <f t="shared" si="701"/>
        <v>0</v>
      </c>
      <c r="R2273" s="86">
        <f t="shared" si="702"/>
        <v>0</v>
      </c>
      <c r="S2273" s="86">
        <f t="shared" si="703"/>
        <v>0</v>
      </c>
      <c r="T2273" s="86">
        <f t="shared" si="704"/>
        <v>16078.949999999999</v>
      </c>
      <c r="U2273" s="87">
        <v>16078.949999999999</v>
      </c>
    </row>
    <row r="2274" spans="1:21" s="30" customFormat="1" ht="24.6" hidden="1" outlineLevel="1" x14ac:dyDescent="0.55000000000000004">
      <c r="A2274" s="27" t="s">
        <v>327</v>
      </c>
      <c r="B2274" s="28"/>
      <c r="C2274" s="27"/>
      <c r="D2274" s="27" t="str">
        <f>"""NAV Direct"",""CRONUS JetCorp USA"",""21"",""1"",""306097"""</f>
        <v>"NAV Direct","CRONUS JetCorp USA","21","1","306097"</v>
      </c>
      <c r="E2274" s="31">
        <f t="shared" si="696"/>
        <v>0</v>
      </c>
      <c r="F2274" s="31"/>
      <c r="G2274" s="31"/>
      <c r="H2274" s="31"/>
      <c r="I2274" s="56"/>
      <c r="J2274" s="56"/>
      <c r="K2274" s="82" t="str">
        <f t="shared" si="697"/>
        <v>Invoice</v>
      </c>
      <c r="L2274" s="83" t="str">
        <f>"SI_109433"</f>
        <v>SI_109433</v>
      </c>
      <c r="M2274" s="84">
        <v>42828</v>
      </c>
      <c r="N2274" s="85">
        <f t="shared" si="698"/>
        <v>984</v>
      </c>
      <c r="O2274" s="86">
        <f t="shared" si="699"/>
        <v>15913.87</v>
      </c>
      <c r="P2274" s="86">
        <f t="shared" si="700"/>
        <v>0</v>
      </c>
      <c r="Q2274" s="86">
        <f t="shared" si="701"/>
        <v>0</v>
      </c>
      <c r="R2274" s="86">
        <f t="shared" si="702"/>
        <v>0</v>
      </c>
      <c r="S2274" s="86">
        <f t="shared" si="703"/>
        <v>0</v>
      </c>
      <c r="T2274" s="86">
        <f t="shared" si="704"/>
        <v>15913.87</v>
      </c>
      <c r="U2274" s="87">
        <v>15913.87</v>
      </c>
    </row>
    <row r="2275" spans="1:21" s="30" customFormat="1" ht="24.6" hidden="1" outlineLevel="1" x14ac:dyDescent="0.55000000000000004">
      <c r="A2275" s="27" t="s">
        <v>327</v>
      </c>
      <c r="B2275" s="28"/>
      <c r="C2275" s="27"/>
      <c r="D2275" s="27" t="str">
        <f>"""NAV Direct"",""CRONUS JetCorp USA"",""21"",""1"",""306116"""</f>
        <v>"NAV Direct","CRONUS JetCorp USA","21","1","306116"</v>
      </c>
      <c r="E2275" s="31" t="str">
        <f t="shared" si="696"/>
        <v>C100075</v>
      </c>
      <c r="F2275" s="31"/>
      <c r="G2275" s="31"/>
      <c r="H2275" s="31"/>
      <c r="I2275" s="56"/>
      <c r="J2275" s="56"/>
      <c r="K2275" s="82" t="str">
        <f t="shared" si="697"/>
        <v>Invoice</v>
      </c>
      <c r="L2275" s="83" t="str">
        <f>"SI_109434"</f>
        <v>SI_109434</v>
      </c>
      <c r="M2275" s="84">
        <v>42851</v>
      </c>
      <c r="N2275" s="85">
        <f t="shared" si="698"/>
        <v>961</v>
      </c>
      <c r="O2275" s="86">
        <f t="shared" si="699"/>
        <v>15952.869999999999</v>
      </c>
      <c r="P2275" s="86">
        <f t="shared" si="700"/>
        <v>0</v>
      </c>
      <c r="Q2275" s="86">
        <f t="shared" si="701"/>
        <v>0</v>
      </c>
      <c r="R2275" s="86">
        <f t="shared" si="702"/>
        <v>0</v>
      </c>
      <c r="S2275" s="86">
        <f t="shared" si="703"/>
        <v>0</v>
      </c>
      <c r="T2275" s="86">
        <f t="shared" si="704"/>
        <v>15952.869999999999</v>
      </c>
      <c r="U2275" s="87">
        <v>15952.869999999999</v>
      </c>
    </row>
    <row r="2276" spans="1:21" s="30" customFormat="1" ht="24.6" hidden="1" outlineLevel="1" x14ac:dyDescent="0.55000000000000004">
      <c r="A2276" s="27" t="s">
        <v>327</v>
      </c>
      <c r="B2276" s="28"/>
      <c r="C2276" s="27"/>
      <c r="D2276" s="27" t="str">
        <f>"""NAV Direct"",""CRONUS JetCorp USA"",""21"",""1"",""306495"""</f>
        <v>"NAV Direct","CRONUS JetCorp USA","21","1","306495"</v>
      </c>
      <c r="E2276" s="31">
        <f t="shared" si="696"/>
        <v>0</v>
      </c>
      <c r="F2276" s="31"/>
      <c r="G2276" s="31"/>
      <c r="H2276" s="31"/>
      <c r="I2276" s="56"/>
      <c r="J2276" s="56"/>
      <c r="K2276" s="82" t="str">
        <f t="shared" si="697"/>
        <v>Invoice</v>
      </c>
      <c r="L2276" s="83" t="str">
        <f>"SI_109449"</f>
        <v>SI_109449</v>
      </c>
      <c r="M2276" s="84">
        <v>42913</v>
      </c>
      <c r="N2276" s="85">
        <f t="shared" si="698"/>
        <v>899</v>
      </c>
      <c r="O2276" s="86">
        <f t="shared" si="699"/>
        <v>16455.489999999998</v>
      </c>
      <c r="P2276" s="86">
        <f t="shared" si="700"/>
        <v>0</v>
      </c>
      <c r="Q2276" s="86">
        <f t="shared" si="701"/>
        <v>0</v>
      </c>
      <c r="R2276" s="86">
        <f t="shared" si="702"/>
        <v>0</v>
      </c>
      <c r="S2276" s="86">
        <f t="shared" si="703"/>
        <v>0</v>
      </c>
      <c r="T2276" s="86">
        <f t="shared" si="704"/>
        <v>16455.489999999998</v>
      </c>
      <c r="U2276" s="87">
        <v>16455.489999999998</v>
      </c>
    </row>
    <row r="2277" spans="1:21" s="30" customFormat="1" ht="24.6" hidden="1" outlineLevel="1" x14ac:dyDescent="0.55000000000000004">
      <c r="A2277" s="27" t="s">
        <v>327</v>
      </c>
      <c r="B2277" s="28"/>
      <c r="C2277" s="27"/>
      <c r="D2277" s="27" t="str">
        <f>"""NAV Direct"",""CRONUS JetCorp USA"",""21"",""1"",""306543"""</f>
        <v>"NAV Direct","CRONUS JetCorp USA","21","1","306543"</v>
      </c>
      <c r="E2277" s="31" t="str">
        <f t="shared" si="696"/>
        <v>C100075</v>
      </c>
      <c r="F2277" s="31"/>
      <c r="G2277" s="31"/>
      <c r="H2277" s="31"/>
      <c r="I2277" s="56"/>
      <c r="J2277" s="56"/>
      <c r="K2277" s="82" t="str">
        <f t="shared" si="697"/>
        <v>Invoice</v>
      </c>
      <c r="L2277" s="83" t="str">
        <f>"SI_109451"</f>
        <v>SI_109451</v>
      </c>
      <c r="M2277" s="84">
        <v>42923</v>
      </c>
      <c r="N2277" s="85">
        <f t="shared" si="698"/>
        <v>889</v>
      </c>
      <c r="O2277" s="86">
        <f t="shared" si="699"/>
        <v>16456.46</v>
      </c>
      <c r="P2277" s="86">
        <f t="shared" si="700"/>
        <v>0</v>
      </c>
      <c r="Q2277" s="86">
        <f t="shared" si="701"/>
        <v>0</v>
      </c>
      <c r="R2277" s="86">
        <f t="shared" si="702"/>
        <v>0</v>
      </c>
      <c r="S2277" s="86">
        <f t="shared" si="703"/>
        <v>0</v>
      </c>
      <c r="T2277" s="86">
        <f t="shared" si="704"/>
        <v>16456.46</v>
      </c>
      <c r="U2277" s="87">
        <v>16456.46</v>
      </c>
    </row>
    <row r="2278" spans="1:21" s="30" customFormat="1" ht="24.6" hidden="1" outlineLevel="1" x14ac:dyDescent="0.55000000000000004">
      <c r="A2278" s="27" t="s">
        <v>327</v>
      </c>
      <c r="B2278" s="28"/>
      <c r="C2278" s="27"/>
      <c r="D2278" s="27" t="str">
        <f>"""NAV Direct"",""CRONUS JetCorp USA"",""21"",""1"",""306593"""</f>
        <v>"NAV Direct","CRONUS JetCorp USA","21","1","306593"</v>
      </c>
      <c r="E2278" s="31">
        <f t="shared" si="696"/>
        <v>0</v>
      </c>
      <c r="F2278" s="31"/>
      <c r="G2278" s="31"/>
      <c r="H2278" s="31"/>
      <c r="I2278" s="56"/>
      <c r="J2278" s="56"/>
      <c r="K2278" s="82" t="str">
        <f t="shared" si="697"/>
        <v>Invoice</v>
      </c>
      <c r="L2278" s="83" t="str">
        <f>"SI_109453"</f>
        <v>SI_109453</v>
      </c>
      <c r="M2278" s="84">
        <v>42938</v>
      </c>
      <c r="N2278" s="85">
        <f t="shared" si="698"/>
        <v>874</v>
      </c>
      <c r="O2278" s="86">
        <f t="shared" si="699"/>
        <v>16271.85</v>
      </c>
      <c r="P2278" s="86">
        <f t="shared" si="700"/>
        <v>0</v>
      </c>
      <c r="Q2278" s="86">
        <f t="shared" si="701"/>
        <v>0</v>
      </c>
      <c r="R2278" s="86">
        <f t="shared" si="702"/>
        <v>0</v>
      </c>
      <c r="S2278" s="86">
        <f t="shared" si="703"/>
        <v>0</v>
      </c>
      <c r="T2278" s="86">
        <f t="shared" si="704"/>
        <v>16271.85</v>
      </c>
      <c r="U2278" s="87">
        <v>16271.85</v>
      </c>
    </row>
    <row r="2279" spans="1:21" s="30" customFormat="1" ht="24.6" hidden="1" outlineLevel="1" x14ac:dyDescent="0.55000000000000004">
      <c r="A2279" s="27" t="s">
        <v>327</v>
      </c>
      <c r="B2279" s="28"/>
      <c r="C2279" s="27"/>
      <c r="D2279" s="27" t="str">
        <f>"""NAV Direct"",""CRONUS JetCorp USA"",""21"",""1"",""306718"""</f>
        <v>"NAV Direct","CRONUS JetCorp USA","21","1","306718"</v>
      </c>
      <c r="E2279" s="31" t="str">
        <f t="shared" ref="E2279:E2310" si="705">E2277</f>
        <v>C100075</v>
      </c>
      <c r="F2279" s="31"/>
      <c r="G2279" s="31"/>
      <c r="H2279" s="31"/>
      <c r="I2279" s="56"/>
      <c r="J2279" s="56"/>
      <c r="K2279" s="82" t="str">
        <f t="shared" ref="K2279:K2310" si="706">"Invoice"</f>
        <v>Invoice</v>
      </c>
      <c r="L2279" s="83" t="str">
        <f>"SI_109458"</f>
        <v>SI_109458</v>
      </c>
      <c r="M2279" s="84">
        <v>42952</v>
      </c>
      <c r="N2279" s="85">
        <f t="shared" ref="N2279:N2310" si="707">StartDate-$M2279+1</f>
        <v>860</v>
      </c>
      <c r="O2279" s="86">
        <f t="shared" ref="O2279:O2310" si="708">SUM(P2279:T2279)</f>
        <v>16098.499999999998</v>
      </c>
      <c r="P2279" s="86">
        <f t="shared" ref="P2279:P2310" si="709">IF($M2279&gt;=$P$18,U2279,0)</f>
        <v>0</v>
      </c>
      <c r="Q2279" s="86">
        <f t="shared" ref="Q2279:Q2310" si="710">IF(AND($M2279&gt;=$Q$16,$M2279&lt;=$Q$18),U2279,0)</f>
        <v>0</v>
      </c>
      <c r="R2279" s="86">
        <f t="shared" ref="R2279:R2310" si="711">IF(AND($M2279&gt;=$R$16,$M2279&lt;=$R$18),U2279,0)</f>
        <v>0</v>
      </c>
      <c r="S2279" s="86">
        <f t="shared" ref="S2279:S2310" si="712">IF(AND($M2279&gt;=$S$16,$M2279&lt;=$S$18),U2279,0)</f>
        <v>0</v>
      </c>
      <c r="T2279" s="86">
        <f t="shared" ref="T2279:T2310" si="713">IF($M2279&lt;=$T$18,U2279,0)</f>
        <v>16098.499999999998</v>
      </c>
      <c r="U2279" s="87">
        <v>16098.499999999998</v>
      </c>
    </row>
    <row r="2280" spans="1:21" s="30" customFormat="1" ht="24.6" hidden="1" outlineLevel="1" x14ac:dyDescent="0.55000000000000004">
      <c r="A2280" s="27" t="s">
        <v>327</v>
      </c>
      <c r="B2280" s="28"/>
      <c r="C2280" s="27"/>
      <c r="D2280" s="27" t="str">
        <f>"""NAV Direct"",""CRONUS JetCorp USA"",""21"",""1"",""306747"""</f>
        <v>"NAV Direct","CRONUS JetCorp USA","21","1","306747"</v>
      </c>
      <c r="E2280" s="31">
        <f t="shared" si="705"/>
        <v>0</v>
      </c>
      <c r="F2280" s="31"/>
      <c r="G2280" s="31"/>
      <c r="H2280" s="31"/>
      <c r="I2280" s="56"/>
      <c r="J2280" s="56"/>
      <c r="K2280" s="82" t="str">
        <f t="shared" si="706"/>
        <v>Invoice</v>
      </c>
      <c r="L2280" s="83" t="str">
        <f>"SI_109459"</f>
        <v>SI_109459</v>
      </c>
      <c r="M2280" s="84">
        <v>42949</v>
      </c>
      <c r="N2280" s="85">
        <f t="shared" si="707"/>
        <v>863</v>
      </c>
      <c r="O2280" s="86">
        <f t="shared" si="708"/>
        <v>16784.670000000002</v>
      </c>
      <c r="P2280" s="86">
        <f t="shared" si="709"/>
        <v>0</v>
      </c>
      <c r="Q2280" s="86">
        <f t="shared" si="710"/>
        <v>0</v>
      </c>
      <c r="R2280" s="86">
        <f t="shared" si="711"/>
        <v>0</v>
      </c>
      <c r="S2280" s="86">
        <f t="shared" si="712"/>
        <v>0</v>
      </c>
      <c r="T2280" s="86">
        <f t="shared" si="713"/>
        <v>16784.670000000002</v>
      </c>
      <c r="U2280" s="87">
        <v>16784.670000000002</v>
      </c>
    </row>
    <row r="2281" spans="1:21" s="30" customFormat="1" ht="24.6" hidden="1" outlineLevel="1" x14ac:dyDescent="0.55000000000000004">
      <c r="A2281" s="27" t="s">
        <v>327</v>
      </c>
      <c r="B2281" s="28"/>
      <c r="C2281" s="27"/>
      <c r="D2281" s="27" t="str">
        <f>"""NAV Direct"",""CRONUS JetCorp USA"",""21"",""1"",""307100"""</f>
        <v>"NAV Direct","CRONUS JetCorp USA","21","1","307100"</v>
      </c>
      <c r="E2281" s="31" t="str">
        <f t="shared" si="705"/>
        <v>C100075</v>
      </c>
      <c r="F2281" s="31"/>
      <c r="G2281" s="31"/>
      <c r="H2281" s="31"/>
      <c r="I2281" s="56"/>
      <c r="J2281" s="56"/>
      <c r="K2281" s="82" t="str">
        <f t="shared" si="706"/>
        <v>Invoice</v>
      </c>
      <c r="L2281" s="83" t="str">
        <f>"SI_109472"</f>
        <v>SI_109472</v>
      </c>
      <c r="M2281" s="84">
        <v>43026</v>
      </c>
      <c r="N2281" s="85">
        <f t="shared" si="707"/>
        <v>786</v>
      </c>
      <c r="O2281" s="86">
        <f t="shared" si="708"/>
        <v>14757.51</v>
      </c>
      <c r="P2281" s="86">
        <f t="shared" si="709"/>
        <v>0</v>
      </c>
      <c r="Q2281" s="86">
        <f t="shared" si="710"/>
        <v>0</v>
      </c>
      <c r="R2281" s="86">
        <f t="shared" si="711"/>
        <v>0</v>
      </c>
      <c r="S2281" s="86">
        <f t="shared" si="712"/>
        <v>0</v>
      </c>
      <c r="T2281" s="86">
        <f t="shared" si="713"/>
        <v>14757.51</v>
      </c>
      <c r="U2281" s="87">
        <v>14757.51</v>
      </c>
    </row>
    <row r="2282" spans="1:21" s="30" customFormat="1" ht="24.6" hidden="1" outlineLevel="1" x14ac:dyDescent="0.55000000000000004">
      <c r="A2282" s="27" t="s">
        <v>327</v>
      </c>
      <c r="B2282" s="28"/>
      <c r="C2282" s="27"/>
      <c r="D2282" s="27" t="str">
        <f>"""NAV Direct"",""CRONUS JetCorp USA"",""21"",""1"",""307146"""</f>
        <v>"NAV Direct","CRONUS JetCorp USA","21","1","307146"</v>
      </c>
      <c r="E2282" s="31">
        <f t="shared" si="705"/>
        <v>0</v>
      </c>
      <c r="F2282" s="31"/>
      <c r="G2282" s="31"/>
      <c r="H2282" s="31"/>
      <c r="I2282" s="56"/>
      <c r="J2282" s="56"/>
      <c r="K2282" s="82" t="str">
        <f t="shared" si="706"/>
        <v>Invoice</v>
      </c>
      <c r="L2282" s="83" t="str">
        <f>"SI_109474"</f>
        <v>SI_109474</v>
      </c>
      <c r="M2282" s="84">
        <v>43037</v>
      </c>
      <c r="N2282" s="85">
        <f t="shared" si="707"/>
        <v>775</v>
      </c>
      <c r="O2282" s="86">
        <f t="shared" si="708"/>
        <v>14756.83</v>
      </c>
      <c r="P2282" s="86">
        <f t="shared" si="709"/>
        <v>0</v>
      </c>
      <c r="Q2282" s="86">
        <f t="shared" si="710"/>
        <v>0</v>
      </c>
      <c r="R2282" s="86">
        <f t="shared" si="711"/>
        <v>0</v>
      </c>
      <c r="S2282" s="86">
        <f t="shared" si="712"/>
        <v>0</v>
      </c>
      <c r="T2282" s="86">
        <f t="shared" si="713"/>
        <v>14756.83</v>
      </c>
      <c r="U2282" s="87">
        <v>14756.83</v>
      </c>
    </row>
    <row r="2283" spans="1:21" s="30" customFormat="1" ht="24.6" hidden="1" outlineLevel="1" x14ac:dyDescent="0.55000000000000004">
      <c r="A2283" s="27" t="s">
        <v>327</v>
      </c>
      <c r="B2283" s="28"/>
      <c r="C2283" s="27"/>
      <c r="D2283" s="27" t="str">
        <f>"""NAV Direct"",""CRONUS JetCorp USA"",""21"",""1"",""307173"""</f>
        <v>"NAV Direct","CRONUS JetCorp USA","21","1","307173"</v>
      </c>
      <c r="E2283" s="31" t="str">
        <f t="shared" si="705"/>
        <v>C100075</v>
      </c>
      <c r="F2283" s="31"/>
      <c r="G2283" s="31"/>
      <c r="H2283" s="31"/>
      <c r="I2283" s="56"/>
      <c r="J2283" s="56"/>
      <c r="K2283" s="82" t="str">
        <f t="shared" si="706"/>
        <v>Invoice</v>
      </c>
      <c r="L2283" s="83" t="str">
        <f>"SI_109475"</f>
        <v>SI_109475</v>
      </c>
      <c r="M2283" s="84">
        <v>43041</v>
      </c>
      <c r="N2283" s="85">
        <f t="shared" si="707"/>
        <v>771</v>
      </c>
      <c r="O2283" s="86">
        <f t="shared" si="708"/>
        <v>14757.09</v>
      </c>
      <c r="P2283" s="86">
        <f t="shared" si="709"/>
        <v>0</v>
      </c>
      <c r="Q2283" s="86">
        <f t="shared" si="710"/>
        <v>0</v>
      </c>
      <c r="R2283" s="86">
        <f t="shared" si="711"/>
        <v>0</v>
      </c>
      <c r="S2283" s="86">
        <f t="shared" si="712"/>
        <v>0</v>
      </c>
      <c r="T2283" s="86">
        <f t="shared" si="713"/>
        <v>14757.09</v>
      </c>
      <c r="U2283" s="87">
        <v>14757.09</v>
      </c>
    </row>
    <row r="2284" spans="1:21" s="30" customFormat="1" ht="24.6" hidden="1" outlineLevel="1" x14ac:dyDescent="0.55000000000000004">
      <c r="A2284" s="27" t="s">
        <v>327</v>
      </c>
      <c r="B2284" s="28"/>
      <c r="C2284" s="27"/>
      <c r="D2284" s="27" t="str">
        <f>"""NAV Direct"",""CRONUS JetCorp USA"",""21"",""1"",""307266"""</f>
        <v>"NAV Direct","CRONUS JetCorp USA","21","1","307266"</v>
      </c>
      <c r="E2284" s="31">
        <f t="shared" si="705"/>
        <v>0</v>
      </c>
      <c r="F2284" s="31"/>
      <c r="G2284" s="31"/>
      <c r="H2284" s="31"/>
      <c r="I2284" s="56"/>
      <c r="J2284" s="56"/>
      <c r="K2284" s="82" t="str">
        <f t="shared" si="706"/>
        <v>Invoice</v>
      </c>
      <c r="L2284" s="83" t="str">
        <f>"SI_109478"</f>
        <v>SI_109478</v>
      </c>
      <c r="M2284" s="84">
        <v>43059</v>
      </c>
      <c r="N2284" s="85">
        <f t="shared" si="707"/>
        <v>753</v>
      </c>
      <c r="O2284" s="86">
        <f t="shared" si="708"/>
        <v>14920.16</v>
      </c>
      <c r="P2284" s="86">
        <f t="shared" si="709"/>
        <v>0</v>
      </c>
      <c r="Q2284" s="86">
        <f t="shared" si="710"/>
        <v>0</v>
      </c>
      <c r="R2284" s="86">
        <f t="shared" si="711"/>
        <v>0</v>
      </c>
      <c r="S2284" s="86">
        <f t="shared" si="712"/>
        <v>0</v>
      </c>
      <c r="T2284" s="86">
        <f t="shared" si="713"/>
        <v>14920.16</v>
      </c>
      <c r="U2284" s="87">
        <v>14920.16</v>
      </c>
    </row>
    <row r="2285" spans="1:21" s="30" customFormat="1" ht="24.6" hidden="1" outlineLevel="1" x14ac:dyDescent="0.55000000000000004">
      <c r="A2285" s="27" t="s">
        <v>327</v>
      </c>
      <c r="B2285" s="28"/>
      <c r="C2285" s="27"/>
      <c r="D2285" s="27" t="str">
        <f>"""NAV Direct"",""CRONUS JetCorp USA"",""21"",""1"",""307318"""</f>
        <v>"NAV Direct","CRONUS JetCorp USA","21","1","307318"</v>
      </c>
      <c r="E2285" s="31" t="str">
        <f t="shared" si="705"/>
        <v>C100075</v>
      </c>
      <c r="F2285" s="31"/>
      <c r="G2285" s="31"/>
      <c r="H2285" s="31"/>
      <c r="I2285" s="56"/>
      <c r="J2285" s="56"/>
      <c r="K2285" s="82" t="str">
        <f t="shared" si="706"/>
        <v>Invoice</v>
      </c>
      <c r="L2285" s="83" t="str">
        <f>"SI_109480"</f>
        <v>SI_109480</v>
      </c>
      <c r="M2285" s="84">
        <v>43069</v>
      </c>
      <c r="N2285" s="85">
        <f t="shared" si="707"/>
        <v>743</v>
      </c>
      <c r="O2285" s="86">
        <f t="shared" si="708"/>
        <v>14919.55</v>
      </c>
      <c r="P2285" s="86">
        <f t="shared" si="709"/>
        <v>0</v>
      </c>
      <c r="Q2285" s="86">
        <f t="shared" si="710"/>
        <v>0</v>
      </c>
      <c r="R2285" s="86">
        <f t="shared" si="711"/>
        <v>0</v>
      </c>
      <c r="S2285" s="86">
        <f t="shared" si="712"/>
        <v>0</v>
      </c>
      <c r="T2285" s="86">
        <f t="shared" si="713"/>
        <v>14919.55</v>
      </c>
      <c r="U2285" s="87">
        <v>14919.55</v>
      </c>
    </row>
    <row r="2286" spans="1:21" s="30" customFormat="1" ht="24.6" hidden="1" outlineLevel="1" x14ac:dyDescent="0.55000000000000004">
      <c r="A2286" s="27" t="s">
        <v>327</v>
      </c>
      <c r="B2286" s="28"/>
      <c r="C2286" s="27"/>
      <c r="D2286" s="27" t="str">
        <f>"""NAV Direct"",""CRONUS JetCorp USA"",""21"",""1"",""307439"""</f>
        <v>"NAV Direct","CRONUS JetCorp USA","21","1","307439"</v>
      </c>
      <c r="E2286" s="31">
        <f t="shared" si="705"/>
        <v>0</v>
      </c>
      <c r="F2286" s="31"/>
      <c r="G2286" s="31"/>
      <c r="H2286" s="31"/>
      <c r="I2286" s="56"/>
      <c r="J2286" s="56"/>
      <c r="K2286" s="82" t="str">
        <f t="shared" si="706"/>
        <v>Invoice</v>
      </c>
      <c r="L2286" s="83" t="str">
        <f>"SI_109485"</f>
        <v>SI_109485</v>
      </c>
      <c r="M2286" s="84">
        <v>43105</v>
      </c>
      <c r="N2286" s="85">
        <f t="shared" si="707"/>
        <v>707</v>
      </c>
      <c r="O2286" s="86">
        <f t="shared" si="708"/>
        <v>14592.08</v>
      </c>
      <c r="P2286" s="86">
        <f t="shared" si="709"/>
        <v>0</v>
      </c>
      <c r="Q2286" s="86">
        <f t="shared" si="710"/>
        <v>0</v>
      </c>
      <c r="R2286" s="86">
        <f t="shared" si="711"/>
        <v>0</v>
      </c>
      <c r="S2286" s="86">
        <f t="shared" si="712"/>
        <v>0</v>
      </c>
      <c r="T2286" s="86">
        <f t="shared" si="713"/>
        <v>14592.08</v>
      </c>
      <c r="U2286" s="87">
        <v>14592.08</v>
      </c>
    </row>
    <row r="2287" spans="1:21" s="30" customFormat="1" ht="24.6" hidden="1" outlineLevel="1" x14ac:dyDescent="0.55000000000000004">
      <c r="A2287" s="27" t="s">
        <v>327</v>
      </c>
      <c r="B2287" s="28"/>
      <c r="C2287" s="27"/>
      <c r="D2287" s="27" t="str">
        <f>"""NAV Direct"",""CRONUS JetCorp USA"",""21"",""1"",""307697"""</f>
        <v>"NAV Direct","CRONUS JetCorp USA","21","1","307697"</v>
      </c>
      <c r="E2287" s="31" t="str">
        <f t="shared" si="705"/>
        <v>C100075</v>
      </c>
      <c r="F2287" s="31"/>
      <c r="G2287" s="31"/>
      <c r="H2287" s="31"/>
      <c r="I2287" s="56"/>
      <c r="J2287" s="56"/>
      <c r="K2287" s="82" t="str">
        <f t="shared" si="706"/>
        <v>Invoice</v>
      </c>
      <c r="L2287" s="83" t="str">
        <f>"SI_109495"</f>
        <v>SI_109495</v>
      </c>
      <c r="M2287" s="84">
        <v>43151</v>
      </c>
      <c r="N2287" s="85">
        <f t="shared" si="707"/>
        <v>661</v>
      </c>
      <c r="O2287" s="86">
        <f t="shared" si="708"/>
        <v>14357.11</v>
      </c>
      <c r="P2287" s="86">
        <f t="shared" si="709"/>
        <v>0</v>
      </c>
      <c r="Q2287" s="86">
        <f t="shared" si="710"/>
        <v>0</v>
      </c>
      <c r="R2287" s="86">
        <f t="shared" si="711"/>
        <v>0</v>
      </c>
      <c r="S2287" s="86">
        <f t="shared" si="712"/>
        <v>0</v>
      </c>
      <c r="T2287" s="86">
        <f t="shared" si="713"/>
        <v>14357.11</v>
      </c>
      <c r="U2287" s="87">
        <v>14357.11</v>
      </c>
    </row>
    <row r="2288" spans="1:21" s="30" customFormat="1" ht="24.6" hidden="1" outlineLevel="1" x14ac:dyDescent="0.55000000000000004">
      <c r="A2288" s="27" t="s">
        <v>327</v>
      </c>
      <c r="B2288" s="28"/>
      <c r="C2288" s="27"/>
      <c r="D2288" s="27" t="str">
        <f>"""NAV Direct"",""CRONUS JetCorp USA"",""21"",""1"",""307837"""</f>
        <v>"NAV Direct","CRONUS JetCorp USA","21","1","307837"</v>
      </c>
      <c r="E2288" s="31">
        <f t="shared" si="705"/>
        <v>0</v>
      </c>
      <c r="F2288" s="31"/>
      <c r="G2288" s="31"/>
      <c r="H2288" s="31"/>
      <c r="I2288" s="56"/>
      <c r="J2288" s="56"/>
      <c r="K2288" s="82" t="str">
        <f t="shared" si="706"/>
        <v>Invoice</v>
      </c>
      <c r="L2288" s="83" t="str">
        <f>"SI_109501"</f>
        <v>SI_109501</v>
      </c>
      <c r="M2288" s="84">
        <v>43193</v>
      </c>
      <c r="N2288" s="85">
        <f t="shared" si="707"/>
        <v>619</v>
      </c>
      <c r="O2288" s="86">
        <f t="shared" si="708"/>
        <v>14602.07</v>
      </c>
      <c r="P2288" s="86">
        <f t="shared" si="709"/>
        <v>0</v>
      </c>
      <c r="Q2288" s="86">
        <f t="shared" si="710"/>
        <v>0</v>
      </c>
      <c r="R2288" s="86">
        <f t="shared" si="711"/>
        <v>0</v>
      </c>
      <c r="S2288" s="86">
        <f t="shared" si="712"/>
        <v>0</v>
      </c>
      <c r="T2288" s="86">
        <f t="shared" si="713"/>
        <v>14602.07</v>
      </c>
      <c r="U2288" s="87">
        <v>14602.07</v>
      </c>
    </row>
    <row r="2289" spans="1:21" s="30" customFormat="1" ht="24.6" hidden="1" outlineLevel="1" x14ac:dyDescent="0.55000000000000004">
      <c r="A2289" s="27" t="s">
        <v>327</v>
      </c>
      <c r="B2289" s="28"/>
      <c r="C2289" s="27"/>
      <c r="D2289" s="27" t="str">
        <f>"""NAV Direct"",""CRONUS JetCorp USA"",""21"",""1"",""308114"""</f>
        <v>"NAV Direct","CRONUS JetCorp USA","21","1","308114"</v>
      </c>
      <c r="E2289" s="31" t="str">
        <f t="shared" si="705"/>
        <v>C100075</v>
      </c>
      <c r="F2289" s="31"/>
      <c r="G2289" s="31"/>
      <c r="H2289" s="31"/>
      <c r="I2289" s="56"/>
      <c r="J2289" s="56"/>
      <c r="K2289" s="82" t="str">
        <f t="shared" si="706"/>
        <v>Invoice</v>
      </c>
      <c r="L2289" s="83" t="str">
        <f>"SI_109512"</f>
        <v>SI_109512</v>
      </c>
      <c r="M2289" s="84">
        <v>43248</v>
      </c>
      <c r="N2289" s="85">
        <f t="shared" si="707"/>
        <v>564</v>
      </c>
      <c r="O2289" s="86">
        <f t="shared" si="708"/>
        <v>14125.579999999998</v>
      </c>
      <c r="P2289" s="86">
        <f t="shared" si="709"/>
        <v>0</v>
      </c>
      <c r="Q2289" s="86">
        <f t="shared" si="710"/>
        <v>0</v>
      </c>
      <c r="R2289" s="86">
        <f t="shared" si="711"/>
        <v>0</v>
      </c>
      <c r="S2289" s="86">
        <f t="shared" si="712"/>
        <v>0</v>
      </c>
      <c r="T2289" s="86">
        <f t="shared" si="713"/>
        <v>14125.579999999998</v>
      </c>
      <c r="U2289" s="87">
        <v>14125.579999999998</v>
      </c>
    </row>
    <row r="2290" spans="1:21" s="30" customFormat="1" ht="24.6" hidden="1" outlineLevel="1" x14ac:dyDescent="0.55000000000000004">
      <c r="A2290" s="27" t="s">
        <v>327</v>
      </c>
      <c r="B2290" s="28"/>
      <c r="C2290" s="27"/>
      <c r="D2290" s="27" t="str">
        <f>"""NAV Direct"",""CRONUS JetCorp USA"",""21"",""1"",""308280"""</f>
        <v>"NAV Direct","CRONUS JetCorp USA","21","1","308280"</v>
      </c>
      <c r="E2290" s="31">
        <f t="shared" si="705"/>
        <v>0</v>
      </c>
      <c r="F2290" s="31"/>
      <c r="G2290" s="31"/>
      <c r="H2290" s="31"/>
      <c r="I2290" s="56"/>
      <c r="J2290" s="56"/>
      <c r="K2290" s="82" t="str">
        <f t="shared" si="706"/>
        <v>Invoice</v>
      </c>
      <c r="L2290" s="83" t="str">
        <f>"SI_109518"</f>
        <v>SI_109518</v>
      </c>
      <c r="M2290" s="84">
        <v>43303</v>
      </c>
      <c r="N2290" s="85">
        <f t="shared" si="707"/>
        <v>509</v>
      </c>
      <c r="O2290" s="86">
        <f t="shared" si="708"/>
        <v>14582.32</v>
      </c>
      <c r="P2290" s="86">
        <f t="shared" si="709"/>
        <v>0</v>
      </c>
      <c r="Q2290" s="86">
        <f t="shared" si="710"/>
        <v>0</v>
      </c>
      <c r="R2290" s="86">
        <f t="shared" si="711"/>
        <v>0</v>
      </c>
      <c r="S2290" s="86">
        <f t="shared" si="712"/>
        <v>0</v>
      </c>
      <c r="T2290" s="86">
        <f t="shared" si="713"/>
        <v>14582.32</v>
      </c>
      <c r="U2290" s="87">
        <v>14582.32</v>
      </c>
    </row>
    <row r="2291" spans="1:21" s="30" customFormat="1" ht="24.6" hidden="1" outlineLevel="1" x14ac:dyDescent="0.55000000000000004">
      <c r="A2291" s="27" t="s">
        <v>327</v>
      </c>
      <c r="B2291" s="28"/>
      <c r="C2291" s="27"/>
      <c r="D2291" s="27" t="str">
        <f>"""NAV Direct"",""CRONUS JetCorp USA"",""21"",""1"",""308332"""</f>
        <v>"NAV Direct","CRONUS JetCorp USA","21","1","308332"</v>
      </c>
      <c r="E2291" s="31" t="str">
        <f t="shared" si="705"/>
        <v>C100075</v>
      </c>
      <c r="F2291" s="31"/>
      <c r="G2291" s="31"/>
      <c r="H2291" s="31"/>
      <c r="I2291" s="56"/>
      <c r="J2291" s="56"/>
      <c r="K2291" s="82" t="str">
        <f t="shared" si="706"/>
        <v>Invoice</v>
      </c>
      <c r="L2291" s="83" t="str">
        <f>"SI_109520"</f>
        <v>SI_109520</v>
      </c>
      <c r="M2291" s="84">
        <v>43318</v>
      </c>
      <c r="N2291" s="85">
        <f t="shared" si="707"/>
        <v>494</v>
      </c>
      <c r="O2291" s="86">
        <f t="shared" si="708"/>
        <v>15038.99</v>
      </c>
      <c r="P2291" s="86">
        <f t="shared" si="709"/>
        <v>0</v>
      </c>
      <c r="Q2291" s="86">
        <f t="shared" si="710"/>
        <v>0</v>
      </c>
      <c r="R2291" s="86">
        <f t="shared" si="711"/>
        <v>0</v>
      </c>
      <c r="S2291" s="86">
        <f t="shared" si="712"/>
        <v>0</v>
      </c>
      <c r="T2291" s="86">
        <f t="shared" si="713"/>
        <v>15038.99</v>
      </c>
      <c r="U2291" s="87">
        <v>15038.99</v>
      </c>
    </row>
    <row r="2292" spans="1:21" s="30" customFormat="1" ht="24.6" hidden="1" outlineLevel="1" x14ac:dyDescent="0.55000000000000004">
      <c r="A2292" s="27" t="s">
        <v>327</v>
      </c>
      <c r="B2292" s="28"/>
      <c r="C2292" s="27"/>
      <c r="D2292" s="27" t="str">
        <f>"""NAV Direct"",""CRONUS JetCorp USA"",""21"",""1"",""308457"""</f>
        <v>"NAV Direct","CRONUS JetCorp USA","21","1","308457"</v>
      </c>
      <c r="E2292" s="31">
        <f t="shared" si="705"/>
        <v>0</v>
      </c>
      <c r="F2292" s="31"/>
      <c r="G2292" s="31"/>
      <c r="H2292" s="31"/>
      <c r="I2292" s="56"/>
      <c r="J2292" s="56"/>
      <c r="K2292" s="82" t="str">
        <f t="shared" si="706"/>
        <v>Invoice</v>
      </c>
      <c r="L2292" s="83" t="str">
        <f>"SI_109525"</f>
        <v>SI_109525</v>
      </c>
      <c r="M2292" s="84">
        <v>43341</v>
      </c>
      <c r="N2292" s="85">
        <f t="shared" si="707"/>
        <v>471</v>
      </c>
      <c r="O2292" s="86">
        <f t="shared" si="708"/>
        <v>14501.169999999998</v>
      </c>
      <c r="P2292" s="86">
        <f t="shared" si="709"/>
        <v>0</v>
      </c>
      <c r="Q2292" s="86">
        <f t="shared" si="710"/>
        <v>0</v>
      </c>
      <c r="R2292" s="86">
        <f t="shared" si="711"/>
        <v>0</v>
      </c>
      <c r="S2292" s="86">
        <f t="shared" si="712"/>
        <v>0</v>
      </c>
      <c r="T2292" s="86">
        <f t="shared" si="713"/>
        <v>14501.169999999998</v>
      </c>
      <c r="U2292" s="87">
        <v>14501.169999999998</v>
      </c>
    </row>
    <row r="2293" spans="1:21" s="30" customFormat="1" ht="24.6" hidden="1" outlineLevel="1" x14ac:dyDescent="0.55000000000000004">
      <c r="A2293" s="27" t="s">
        <v>327</v>
      </c>
      <c r="B2293" s="28"/>
      <c r="C2293" s="27"/>
      <c r="D2293" s="27" t="str">
        <f>"""NAV Direct"",""CRONUS JetCorp USA"",""21"",""1"",""308490"""</f>
        <v>"NAV Direct","CRONUS JetCorp USA","21","1","308490"</v>
      </c>
      <c r="E2293" s="31" t="str">
        <f t="shared" si="705"/>
        <v>C100075</v>
      </c>
      <c r="F2293" s="31"/>
      <c r="G2293" s="31"/>
      <c r="H2293" s="31"/>
      <c r="I2293" s="56"/>
      <c r="J2293" s="56"/>
      <c r="K2293" s="82" t="str">
        <f t="shared" si="706"/>
        <v>Invoice</v>
      </c>
      <c r="L2293" s="83" t="str">
        <f>"SI_109526"</f>
        <v>SI_109526</v>
      </c>
      <c r="M2293" s="84">
        <v>43337</v>
      </c>
      <c r="N2293" s="85">
        <f t="shared" si="707"/>
        <v>475</v>
      </c>
      <c r="O2293" s="86">
        <f t="shared" si="708"/>
        <v>14655.51</v>
      </c>
      <c r="P2293" s="86">
        <f t="shared" si="709"/>
        <v>0</v>
      </c>
      <c r="Q2293" s="86">
        <f t="shared" si="710"/>
        <v>0</v>
      </c>
      <c r="R2293" s="86">
        <f t="shared" si="711"/>
        <v>0</v>
      </c>
      <c r="S2293" s="86">
        <f t="shared" si="712"/>
        <v>0</v>
      </c>
      <c r="T2293" s="86">
        <f t="shared" si="713"/>
        <v>14655.51</v>
      </c>
      <c r="U2293" s="87">
        <v>14655.51</v>
      </c>
    </row>
    <row r="2294" spans="1:21" s="30" customFormat="1" ht="24.6" hidden="1" outlineLevel="1" x14ac:dyDescent="0.55000000000000004">
      <c r="A2294" s="27" t="s">
        <v>327</v>
      </c>
      <c r="B2294" s="28"/>
      <c r="C2294" s="27"/>
      <c r="D2294" s="27" t="str">
        <f>"""NAV Direct"",""CRONUS JetCorp USA"",""21"",""1"",""308985"""</f>
        <v>"NAV Direct","CRONUS JetCorp USA","21","1","308985"</v>
      </c>
      <c r="E2294" s="31">
        <f t="shared" si="705"/>
        <v>0</v>
      </c>
      <c r="F2294" s="31"/>
      <c r="G2294" s="31"/>
      <c r="H2294" s="31"/>
      <c r="I2294" s="56"/>
      <c r="J2294" s="56"/>
      <c r="K2294" s="82" t="str">
        <f t="shared" si="706"/>
        <v>Invoice</v>
      </c>
      <c r="L2294" s="83" t="str">
        <f>"SI_109545"</f>
        <v>SI_109545</v>
      </c>
      <c r="M2294" s="84">
        <v>43429</v>
      </c>
      <c r="N2294" s="85">
        <f t="shared" si="707"/>
        <v>383</v>
      </c>
      <c r="O2294" s="86">
        <f t="shared" si="708"/>
        <v>15743.01</v>
      </c>
      <c r="P2294" s="86">
        <f t="shared" si="709"/>
        <v>0</v>
      </c>
      <c r="Q2294" s="86">
        <f t="shared" si="710"/>
        <v>0</v>
      </c>
      <c r="R2294" s="86">
        <f t="shared" si="711"/>
        <v>0</v>
      </c>
      <c r="S2294" s="86">
        <f t="shared" si="712"/>
        <v>0</v>
      </c>
      <c r="T2294" s="86">
        <f t="shared" si="713"/>
        <v>15743.01</v>
      </c>
      <c r="U2294" s="87">
        <v>15743.01</v>
      </c>
    </row>
    <row r="2295" spans="1:21" s="30" customFormat="1" ht="24.6" hidden="1" outlineLevel="1" x14ac:dyDescent="0.55000000000000004">
      <c r="A2295" s="27" t="s">
        <v>327</v>
      </c>
      <c r="B2295" s="28"/>
      <c r="C2295" s="27"/>
      <c r="D2295" s="27" t="str">
        <f>"""NAV Direct"",""CRONUS JetCorp USA"",""21"",""1"",""309149"""</f>
        <v>"NAV Direct","CRONUS JetCorp USA","21","1","309149"</v>
      </c>
      <c r="E2295" s="31" t="str">
        <f t="shared" si="705"/>
        <v>C100075</v>
      </c>
      <c r="F2295" s="31"/>
      <c r="G2295" s="31"/>
      <c r="H2295" s="31"/>
      <c r="I2295" s="56"/>
      <c r="J2295" s="56"/>
      <c r="K2295" s="82" t="str">
        <f t="shared" si="706"/>
        <v>Invoice</v>
      </c>
      <c r="L2295" s="83" t="str">
        <f>"SI_109551"</f>
        <v>SI_109551</v>
      </c>
      <c r="M2295" s="84">
        <v>43463</v>
      </c>
      <c r="N2295" s="85">
        <f t="shared" si="707"/>
        <v>349</v>
      </c>
      <c r="O2295" s="86">
        <f t="shared" si="708"/>
        <v>15758.99</v>
      </c>
      <c r="P2295" s="86">
        <f t="shared" si="709"/>
        <v>0</v>
      </c>
      <c r="Q2295" s="86">
        <f t="shared" si="710"/>
        <v>0</v>
      </c>
      <c r="R2295" s="86">
        <f t="shared" si="711"/>
        <v>0</v>
      </c>
      <c r="S2295" s="86">
        <f t="shared" si="712"/>
        <v>0</v>
      </c>
      <c r="T2295" s="86">
        <f t="shared" si="713"/>
        <v>15758.99</v>
      </c>
      <c r="U2295" s="87">
        <v>15758.99</v>
      </c>
    </row>
    <row r="2296" spans="1:21" s="30" customFormat="1" ht="24.6" hidden="1" outlineLevel="1" x14ac:dyDescent="0.55000000000000004">
      <c r="A2296" s="27" t="s">
        <v>327</v>
      </c>
      <c r="B2296" s="28"/>
      <c r="C2296" s="27"/>
      <c r="D2296" s="27" t="str">
        <f>"""NAV Direct"",""CRONUS JetCorp USA"",""21"",""1"",""309336"""</f>
        <v>"NAV Direct","CRONUS JetCorp USA","21","1","309336"</v>
      </c>
      <c r="E2296" s="31">
        <f t="shared" si="705"/>
        <v>0</v>
      </c>
      <c r="F2296" s="31"/>
      <c r="G2296" s="31"/>
      <c r="H2296" s="31"/>
      <c r="I2296" s="56"/>
      <c r="J2296" s="56"/>
      <c r="K2296" s="82" t="str">
        <f t="shared" si="706"/>
        <v>Invoice</v>
      </c>
      <c r="L2296" s="83" t="str">
        <f>"SI_109558"</f>
        <v>SI_109558</v>
      </c>
      <c r="M2296" s="84">
        <v>43492</v>
      </c>
      <c r="N2296" s="85">
        <f t="shared" si="707"/>
        <v>320</v>
      </c>
      <c r="O2296" s="86">
        <f t="shared" si="708"/>
        <v>15694.46</v>
      </c>
      <c r="P2296" s="86">
        <f t="shared" si="709"/>
        <v>0</v>
      </c>
      <c r="Q2296" s="86">
        <f t="shared" si="710"/>
        <v>0</v>
      </c>
      <c r="R2296" s="86">
        <f t="shared" si="711"/>
        <v>0</v>
      </c>
      <c r="S2296" s="86">
        <f t="shared" si="712"/>
        <v>0</v>
      </c>
      <c r="T2296" s="86">
        <f t="shared" si="713"/>
        <v>15694.46</v>
      </c>
      <c r="U2296" s="87">
        <v>15694.46</v>
      </c>
    </row>
    <row r="2297" spans="1:21" s="30" customFormat="1" ht="24.6" hidden="1" outlineLevel="1" x14ac:dyDescent="0.55000000000000004">
      <c r="A2297" s="27" t="s">
        <v>327</v>
      </c>
      <c r="B2297" s="28"/>
      <c r="C2297" s="27"/>
      <c r="D2297" s="27" t="str">
        <f>"""NAV Direct"",""CRONUS JetCorp USA"",""21"",""1"",""309394"""</f>
        <v>"NAV Direct","CRONUS JetCorp USA","21","1","309394"</v>
      </c>
      <c r="E2297" s="31" t="str">
        <f t="shared" si="705"/>
        <v>C100075</v>
      </c>
      <c r="F2297" s="31"/>
      <c r="G2297" s="31"/>
      <c r="H2297" s="31"/>
      <c r="I2297" s="56"/>
      <c r="J2297" s="56"/>
      <c r="K2297" s="82" t="str">
        <f t="shared" si="706"/>
        <v>Invoice</v>
      </c>
      <c r="L2297" s="83" t="str">
        <f>"SI_109560"</f>
        <v>SI_109560</v>
      </c>
      <c r="M2297" s="84">
        <v>43516</v>
      </c>
      <c r="N2297" s="85">
        <f t="shared" si="707"/>
        <v>296</v>
      </c>
      <c r="O2297" s="86">
        <f t="shared" si="708"/>
        <v>15103.16</v>
      </c>
      <c r="P2297" s="86">
        <f t="shared" si="709"/>
        <v>0</v>
      </c>
      <c r="Q2297" s="86">
        <f t="shared" si="710"/>
        <v>0</v>
      </c>
      <c r="R2297" s="86">
        <f t="shared" si="711"/>
        <v>0</v>
      </c>
      <c r="S2297" s="86">
        <f t="shared" si="712"/>
        <v>0</v>
      </c>
      <c r="T2297" s="86">
        <f t="shared" si="713"/>
        <v>15103.16</v>
      </c>
      <c r="U2297" s="87">
        <v>15103.16</v>
      </c>
    </row>
    <row r="2298" spans="1:21" s="30" customFormat="1" ht="24.6" hidden="1" outlineLevel="1" x14ac:dyDescent="0.55000000000000004">
      <c r="A2298" s="27" t="s">
        <v>327</v>
      </c>
      <c r="B2298" s="28"/>
      <c r="C2298" s="27"/>
      <c r="D2298" s="27" t="str">
        <f>"""NAV Direct"",""CRONUS JetCorp USA"",""21"",""1"",""309531"""</f>
        <v>"NAV Direct","CRONUS JetCorp USA","21","1","309531"</v>
      </c>
      <c r="E2298" s="31">
        <f t="shared" si="705"/>
        <v>0</v>
      </c>
      <c r="F2298" s="31"/>
      <c r="G2298" s="31"/>
      <c r="H2298" s="31"/>
      <c r="I2298" s="56"/>
      <c r="J2298" s="56"/>
      <c r="K2298" s="82" t="str">
        <f t="shared" si="706"/>
        <v>Invoice</v>
      </c>
      <c r="L2298" s="83" t="str">
        <f>"SI_109565"</f>
        <v>SI_109565</v>
      </c>
      <c r="M2298" s="84">
        <v>43542</v>
      </c>
      <c r="N2298" s="85">
        <f t="shared" si="707"/>
        <v>270</v>
      </c>
      <c r="O2298" s="86">
        <f t="shared" si="708"/>
        <v>15267.039999999999</v>
      </c>
      <c r="P2298" s="86">
        <f t="shared" si="709"/>
        <v>0</v>
      </c>
      <c r="Q2298" s="86">
        <f t="shared" si="710"/>
        <v>0</v>
      </c>
      <c r="R2298" s="86">
        <f t="shared" si="711"/>
        <v>0</v>
      </c>
      <c r="S2298" s="86">
        <f t="shared" si="712"/>
        <v>0</v>
      </c>
      <c r="T2298" s="86">
        <f t="shared" si="713"/>
        <v>15267.039999999999</v>
      </c>
      <c r="U2298" s="87">
        <v>15267.039999999999</v>
      </c>
    </row>
    <row r="2299" spans="1:21" s="30" customFormat="1" ht="24.6" hidden="1" outlineLevel="1" x14ac:dyDescent="0.55000000000000004">
      <c r="A2299" s="27" t="s">
        <v>327</v>
      </c>
      <c r="B2299" s="28"/>
      <c r="C2299" s="27"/>
      <c r="D2299" s="27" t="str">
        <f>"""NAV Direct"",""CRONUS JetCorp USA"",""21"",""1"",""309560"""</f>
        <v>"NAV Direct","CRONUS JetCorp USA","21","1","309560"</v>
      </c>
      <c r="E2299" s="31" t="str">
        <f t="shared" si="705"/>
        <v>C100075</v>
      </c>
      <c r="F2299" s="31"/>
      <c r="G2299" s="31"/>
      <c r="H2299" s="31"/>
      <c r="I2299" s="56"/>
      <c r="J2299" s="56"/>
      <c r="K2299" s="82" t="str">
        <f t="shared" si="706"/>
        <v>Invoice</v>
      </c>
      <c r="L2299" s="83" t="str">
        <f>"SI_109566"</f>
        <v>SI_109566</v>
      </c>
      <c r="M2299" s="84">
        <v>43548</v>
      </c>
      <c r="N2299" s="85">
        <f t="shared" si="707"/>
        <v>264</v>
      </c>
      <c r="O2299" s="86">
        <f t="shared" si="708"/>
        <v>16087.72</v>
      </c>
      <c r="P2299" s="86">
        <f t="shared" si="709"/>
        <v>0</v>
      </c>
      <c r="Q2299" s="86">
        <f t="shared" si="710"/>
        <v>0</v>
      </c>
      <c r="R2299" s="86">
        <f t="shared" si="711"/>
        <v>0</v>
      </c>
      <c r="S2299" s="86">
        <f t="shared" si="712"/>
        <v>0</v>
      </c>
      <c r="T2299" s="86">
        <f t="shared" si="713"/>
        <v>16087.72</v>
      </c>
      <c r="U2299" s="87">
        <v>16087.72</v>
      </c>
    </row>
    <row r="2300" spans="1:21" s="30" customFormat="1" ht="24.6" hidden="1" outlineLevel="1" x14ac:dyDescent="0.55000000000000004">
      <c r="A2300" s="27" t="s">
        <v>327</v>
      </c>
      <c r="B2300" s="28"/>
      <c r="C2300" s="27"/>
      <c r="D2300" s="27" t="str">
        <f>"""NAV Direct"",""CRONUS JetCorp USA"",""21"",""1"",""309720"""</f>
        <v>"NAV Direct","CRONUS JetCorp USA","21","1","309720"</v>
      </c>
      <c r="E2300" s="31">
        <f t="shared" si="705"/>
        <v>0</v>
      </c>
      <c r="F2300" s="31"/>
      <c r="G2300" s="31"/>
      <c r="H2300" s="31"/>
      <c r="I2300" s="56"/>
      <c r="J2300" s="56"/>
      <c r="K2300" s="82" t="str">
        <f t="shared" si="706"/>
        <v>Invoice</v>
      </c>
      <c r="L2300" s="83" t="str">
        <f>"SI_109572"</f>
        <v>SI_109572</v>
      </c>
      <c r="M2300" s="84">
        <v>43600</v>
      </c>
      <c r="N2300" s="85">
        <f t="shared" si="707"/>
        <v>212</v>
      </c>
      <c r="O2300" s="86">
        <f t="shared" si="708"/>
        <v>19520.219999999998</v>
      </c>
      <c r="P2300" s="86">
        <f t="shared" si="709"/>
        <v>0</v>
      </c>
      <c r="Q2300" s="86">
        <f t="shared" si="710"/>
        <v>0</v>
      </c>
      <c r="R2300" s="86">
        <f t="shared" si="711"/>
        <v>0</v>
      </c>
      <c r="S2300" s="86">
        <f t="shared" si="712"/>
        <v>0</v>
      </c>
      <c r="T2300" s="86">
        <f t="shared" si="713"/>
        <v>19520.219999999998</v>
      </c>
      <c r="U2300" s="87">
        <v>19520.219999999998</v>
      </c>
    </row>
    <row r="2301" spans="1:21" s="30" customFormat="1" ht="24.6" hidden="1" outlineLevel="1" x14ac:dyDescent="0.55000000000000004">
      <c r="A2301" s="27" t="s">
        <v>327</v>
      </c>
      <c r="B2301" s="28"/>
      <c r="C2301" s="27"/>
      <c r="D2301" s="27" t="str">
        <f>"""NAV Direct"",""CRONUS JetCorp USA"",""21"",""1"",""309849"""</f>
        <v>"NAV Direct","CRONUS JetCorp USA","21","1","309849"</v>
      </c>
      <c r="E2301" s="31" t="str">
        <f t="shared" si="705"/>
        <v>C100075</v>
      </c>
      <c r="F2301" s="31"/>
      <c r="G2301" s="31"/>
      <c r="H2301" s="31"/>
      <c r="I2301" s="56"/>
      <c r="J2301" s="56"/>
      <c r="K2301" s="82" t="str">
        <f t="shared" si="706"/>
        <v>Invoice</v>
      </c>
      <c r="L2301" s="83" t="str">
        <f>"SI_109577"</f>
        <v>SI_109577</v>
      </c>
      <c r="M2301" s="84">
        <v>43621</v>
      </c>
      <c r="N2301" s="85">
        <f t="shared" si="707"/>
        <v>191</v>
      </c>
      <c r="O2301" s="86">
        <f t="shared" si="708"/>
        <v>18689.91</v>
      </c>
      <c r="P2301" s="86">
        <f t="shared" si="709"/>
        <v>0</v>
      </c>
      <c r="Q2301" s="86">
        <f t="shared" si="710"/>
        <v>0</v>
      </c>
      <c r="R2301" s="86">
        <f t="shared" si="711"/>
        <v>0</v>
      </c>
      <c r="S2301" s="86">
        <f t="shared" si="712"/>
        <v>0</v>
      </c>
      <c r="T2301" s="86">
        <f t="shared" si="713"/>
        <v>18689.91</v>
      </c>
      <c r="U2301" s="87">
        <v>18689.91</v>
      </c>
    </row>
    <row r="2302" spans="1:21" s="30" customFormat="1" ht="24.6" hidden="1" outlineLevel="1" x14ac:dyDescent="0.55000000000000004">
      <c r="A2302" s="27" t="s">
        <v>327</v>
      </c>
      <c r="B2302" s="28"/>
      <c r="C2302" s="27"/>
      <c r="D2302" s="27" t="str">
        <f>"""NAV Direct"",""CRONUS JetCorp USA"",""21"",""1"",""309876"""</f>
        <v>"NAV Direct","CRONUS JetCorp USA","21","1","309876"</v>
      </c>
      <c r="E2302" s="31">
        <f t="shared" si="705"/>
        <v>0</v>
      </c>
      <c r="F2302" s="31"/>
      <c r="G2302" s="31"/>
      <c r="H2302" s="31"/>
      <c r="I2302" s="56"/>
      <c r="J2302" s="56"/>
      <c r="K2302" s="82" t="str">
        <f t="shared" si="706"/>
        <v>Invoice</v>
      </c>
      <c r="L2302" s="83" t="str">
        <f>"SI_109578"</f>
        <v>SI_109578</v>
      </c>
      <c r="M2302" s="84">
        <v>43635</v>
      </c>
      <c r="N2302" s="85">
        <f t="shared" si="707"/>
        <v>177</v>
      </c>
      <c r="O2302" s="86">
        <f t="shared" si="708"/>
        <v>20299.599999999999</v>
      </c>
      <c r="P2302" s="86">
        <f t="shared" si="709"/>
        <v>0</v>
      </c>
      <c r="Q2302" s="86">
        <f t="shared" si="710"/>
        <v>0</v>
      </c>
      <c r="R2302" s="86">
        <f t="shared" si="711"/>
        <v>0</v>
      </c>
      <c r="S2302" s="86">
        <f t="shared" si="712"/>
        <v>0</v>
      </c>
      <c r="T2302" s="86">
        <f t="shared" si="713"/>
        <v>20299.599999999999</v>
      </c>
      <c r="U2302" s="87">
        <v>20299.599999999999</v>
      </c>
    </row>
    <row r="2303" spans="1:21" s="30" customFormat="1" ht="24.6" hidden="1" outlineLevel="1" x14ac:dyDescent="0.55000000000000004">
      <c r="A2303" s="27" t="s">
        <v>327</v>
      </c>
      <c r="B2303" s="28"/>
      <c r="C2303" s="27"/>
      <c r="D2303" s="27" t="str">
        <f>"""NAV Direct"",""CRONUS JetCorp USA"",""21"",""1"",""310178"""</f>
        <v>"NAV Direct","CRONUS JetCorp USA","21","1","310178"</v>
      </c>
      <c r="E2303" s="31" t="str">
        <f t="shared" si="705"/>
        <v>C100075</v>
      </c>
      <c r="F2303" s="31"/>
      <c r="G2303" s="31"/>
      <c r="H2303" s="31"/>
      <c r="I2303" s="56"/>
      <c r="J2303" s="56"/>
      <c r="K2303" s="82" t="str">
        <f t="shared" si="706"/>
        <v>Invoice</v>
      </c>
      <c r="L2303" s="83" t="str">
        <f>"SI_109590"</f>
        <v>SI_109590</v>
      </c>
      <c r="M2303" s="84">
        <v>43704</v>
      </c>
      <c r="N2303" s="85">
        <f t="shared" si="707"/>
        <v>108</v>
      </c>
      <c r="O2303" s="86">
        <f t="shared" si="708"/>
        <v>16217.13</v>
      </c>
      <c r="P2303" s="86">
        <f t="shared" si="709"/>
        <v>0</v>
      </c>
      <c r="Q2303" s="86">
        <f t="shared" si="710"/>
        <v>0</v>
      </c>
      <c r="R2303" s="86">
        <f t="shared" si="711"/>
        <v>0</v>
      </c>
      <c r="S2303" s="86">
        <f t="shared" si="712"/>
        <v>0</v>
      </c>
      <c r="T2303" s="86">
        <f t="shared" si="713"/>
        <v>16217.13</v>
      </c>
      <c r="U2303" s="87">
        <v>16217.13</v>
      </c>
    </row>
    <row r="2304" spans="1:21" s="30" customFormat="1" ht="24.6" hidden="1" outlineLevel="1" x14ac:dyDescent="0.55000000000000004">
      <c r="A2304" s="27" t="s">
        <v>327</v>
      </c>
      <c r="B2304" s="28"/>
      <c r="C2304" s="27"/>
      <c r="D2304" s="27" t="str">
        <f>"""NAV Direct"",""CRONUS JetCorp USA"",""21"",""1"",""310253"""</f>
        <v>"NAV Direct","CRONUS JetCorp USA","21","1","310253"</v>
      </c>
      <c r="E2304" s="31">
        <f t="shared" si="705"/>
        <v>0</v>
      </c>
      <c r="F2304" s="31"/>
      <c r="G2304" s="31"/>
      <c r="H2304" s="31"/>
      <c r="I2304" s="56"/>
      <c r="J2304" s="56"/>
      <c r="K2304" s="82" t="str">
        <f t="shared" si="706"/>
        <v>Invoice</v>
      </c>
      <c r="L2304" s="83" t="str">
        <f>"SI_109593"</f>
        <v>SI_109593</v>
      </c>
      <c r="M2304" s="84">
        <v>43729</v>
      </c>
      <c r="N2304" s="85">
        <f t="shared" si="707"/>
        <v>83</v>
      </c>
      <c r="O2304" s="86">
        <f t="shared" si="708"/>
        <v>15513.82</v>
      </c>
      <c r="P2304" s="86">
        <f t="shared" si="709"/>
        <v>0</v>
      </c>
      <c r="Q2304" s="86">
        <f t="shared" si="710"/>
        <v>0</v>
      </c>
      <c r="R2304" s="86">
        <f t="shared" si="711"/>
        <v>0</v>
      </c>
      <c r="S2304" s="86">
        <f t="shared" si="712"/>
        <v>15513.82</v>
      </c>
      <c r="T2304" s="86">
        <f t="shared" si="713"/>
        <v>0</v>
      </c>
      <c r="U2304" s="87">
        <v>15513.82</v>
      </c>
    </row>
    <row r="2305" spans="1:21" s="30" customFormat="1" ht="24.6" hidden="1" outlineLevel="1" x14ac:dyDescent="0.55000000000000004">
      <c r="A2305" s="27" t="s">
        <v>327</v>
      </c>
      <c r="B2305" s="28"/>
      <c r="C2305" s="27"/>
      <c r="D2305" s="27" t="str">
        <f>"""NAV Direct"",""CRONUS JetCorp USA"",""21"",""1"",""310380"""</f>
        <v>"NAV Direct","CRONUS JetCorp USA","21","1","310380"</v>
      </c>
      <c r="E2305" s="31" t="str">
        <f t="shared" si="705"/>
        <v>C100075</v>
      </c>
      <c r="F2305" s="31"/>
      <c r="G2305" s="31"/>
      <c r="H2305" s="31"/>
      <c r="I2305" s="56"/>
      <c r="J2305" s="56"/>
      <c r="K2305" s="82" t="str">
        <f t="shared" si="706"/>
        <v>Invoice</v>
      </c>
      <c r="L2305" s="83" t="str">
        <f>"SI_109598"</f>
        <v>SI_109598</v>
      </c>
      <c r="M2305" s="84">
        <v>43759</v>
      </c>
      <c r="N2305" s="85">
        <f t="shared" si="707"/>
        <v>53</v>
      </c>
      <c r="O2305" s="86">
        <f t="shared" si="708"/>
        <v>16651.439999999999</v>
      </c>
      <c r="P2305" s="86">
        <f t="shared" si="709"/>
        <v>0</v>
      </c>
      <c r="Q2305" s="86">
        <f t="shared" si="710"/>
        <v>0</v>
      </c>
      <c r="R2305" s="86">
        <f t="shared" si="711"/>
        <v>16651.439999999999</v>
      </c>
      <c r="S2305" s="86">
        <f t="shared" si="712"/>
        <v>0</v>
      </c>
      <c r="T2305" s="86">
        <f t="shared" si="713"/>
        <v>0</v>
      </c>
      <c r="U2305" s="87">
        <v>16651.439999999999</v>
      </c>
    </row>
    <row r="2306" spans="1:21" s="30" customFormat="1" ht="24.6" hidden="1" outlineLevel="1" x14ac:dyDescent="0.55000000000000004">
      <c r="A2306" s="27" t="s">
        <v>327</v>
      </c>
      <c r="B2306" s="28"/>
      <c r="C2306" s="27"/>
      <c r="D2306" s="27" t="str">
        <f>"""NAV Direct"",""CRONUS JetCorp USA"",""21"",""1"",""310459"""</f>
        <v>"NAV Direct","CRONUS JetCorp USA","21","1","310459"</v>
      </c>
      <c r="E2306" s="31">
        <f t="shared" si="705"/>
        <v>0</v>
      </c>
      <c r="F2306" s="31"/>
      <c r="G2306" s="31"/>
      <c r="H2306" s="31"/>
      <c r="I2306" s="56"/>
      <c r="J2306" s="56"/>
      <c r="K2306" s="82" t="str">
        <f t="shared" si="706"/>
        <v>Invoice</v>
      </c>
      <c r="L2306" s="83" t="str">
        <f>"SI_109601"</f>
        <v>SI_109601</v>
      </c>
      <c r="M2306" s="84">
        <v>43766</v>
      </c>
      <c r="N2306" s="85">
        <f t="shared" si="707"/>
        <v>46</v>
      </c>
      <c r="O2306" s="86">
        <f t="shared" si="708"/>
        <v>16821.91</v>
      </c>
      <c r="P2306" s="86">
        <f t="shared" si="709"/>
        <v>0</v>
      </c>
      <c r="Q2306" s="86">
        <f t="shared" si="710"/>
        <v>0</v>
      </c>
      <c r="R2306" s="86">
        <f t="shared" si="711"/>
        <v>16821.91</v>
      </c>
      <c r="S2306" s="86">
        <f t="shared" si="712"/>
        <v>0</v>
      </c>
      <c r="T2306" s="86">
        <f t="shared" si="713"/>
        <v>0</v>
      </c>
      <c r="U2306" s="87">
        <v>16821.91</v>
      </c>
    </row>
    <row r="2307" spans="1:21" s="30" customFormat="1" ht="24.6" hidden="1" outlineLevel="1" x14ac:dyDescent="0.55000000000000004">
      <c r="A2307" s="27" t="s">
        <v>327</v>
      </c>
      <c r="B2307" s="28"/>
      <c r="C2307" s="27"/>
      <c r="D2307" s="27" t="str">
        <f>"""NAV Direct"",""CRONUS JetCorp USA"",""21"",""1"",""310544"""</f>
        <v>"NAV Direct","CRONUS JetCorp USA","21","1","310544"</v>
      </c>
      <c r="E2307" s="31" t="str">
        <f t="shared" si="705"/>
        <v>C100075</v>
      </c>
      <c r="F2307" s="31"/>
      <c r="G2307" s="31"/>
      <c r="H2307" s="31"/>
      <c r="I2307" s="56"/>
      <c r="J2307" s="56"/>
      <c r="K2307" s="82" t="str">
        <f t="shared" si="706"/>
        <v>Invoice</v>
      </c>
      <c r="L2307" s="83" t="str">
        <f>"SI_109604"</f>
        <v>SI_109604</v>
      </c>
      <c r="M2307" s="84">
        <v>43774</v>
      </c>
      <c r="N2307" s="85">
        <f t="shared" si="707"/>
        <v>38</v>
      </c>
      <c r="O2307" s="86">
        <f t="shared" si="708"/>
        <v>15963.669999999998</v>
      </c>
      <c r="P2307" s="86">
        <f t="shared" si="709"/>
        <v>0</v>
      </c>
      <c r="Q2307" s="86">
        <f t="shared" si="710"/>
        <v>0</v>
      </c>
      <c r="R2307" s="86">
        <f t="shared" si="711"/>
        <v>15963.669999999998</v>
      </c>
      <c r="S2307" s="86">
        <f t="shared" si="712"/>
        <v>0</v>
      </c>
      <c r="T2307" s="86">
        <f t="shared" si="713"/>
        <v>0</v>
      </c>
      <c r="U2307" s="87">
        <v>15963.669999999998</v>
      </c>
    </row>
    <row r="2308" spans="1:21" s="30" customFormat="1" ht="24.6" hidden="1" outlineLevel="1" x14ac:dyDescent="0.55000000000000004">
      <c r="A2308" s="27" t="s">
        <v>327</v>
      </c>
      <c r="B2308" s="28"/>
      <c r="C2308" s="27"/>
      <c r="D2308" s="27" t="str">
        <f>"""NAV Direct"",""CRONUS JetCorp USA"",""21"",""1"",""310569"""</f>
        <v>"NAV Direct","CRONUS JetCorp USA","21","1","310569"</v>
      </c>
      <c r="E2308" s="31">
        <f t="shared" si="705"/>
        <v>0</v>
      </c>
      <c r="F2308" s="31"/>
      <c r="G2308" s="31"/>
      <c r="H2308" s="31"/>
      <c r="I2308" s="56"/>
      <c r="J2308" s="56"/>
      <c r="K2308" s="82" t="str">
        <f t="shared" si="706"/>
        <v>Invoice</v>
      </c>
      <c r="L2308" s="83" t="str">
        <f>"SI_109605"</f>
        <v>SI_109605</v>
      </c>
      <c r="M2308" s="84">
        <v>43786</v>
      </c>
      <c r="N2308" s="85">
        <f t="shared" si="707"/>
        <v>26</v>
      </c>
      <c r="O2308" s="86">
        <f t="shared" si="708"/>
        <v>15682.99</v>
      </c>
      <c r="P2308" s="86">
        <f t="shared" si="709"/>
        <v>0</v>
      </c>
      <c r="Q2308" s="86">
        <f t="shared" si="710"/>
        <v>15682.99</v>
      </c>
      <c r="R2308" s="86">
        <f t="shared" si="711"/>
        <v>0</v>
      </c>
      <c r="S2308" s="86">
        <f t="shared" si="712"/>
        <v>0</v>
      </c>
      <c r="T2308" s="86">
        <f t="shared" si="713"/>
        <v>0</v>
      </c>
      <c r="U2308" s="87">
        <v>15682.99</v>
      </c>
    </row>
    <row r="2309" spans="1:21" s="30" customFormat="1" ht="24.6" hidden="1" outlineLevel="1" x14ac:dyDescent="0.55000000000000004">
      <c r="A2309" s="27" t="s">
        <v>327</v>
      </c>
      <c r="B2309" s="28"/>
      <c r="C2309" s="27"/>
      <c r="D2309" s="27" t="str">
        <f>"""NAV Direct"",""CRONUS JetCorp USA"",""21"",""1"",""310631"""</f>
        <v>"NAV Direct","CRONUS JetCorp USA","21","1","310631"</v>
      </c>
      <c r="E2309" s="31" t="str">
        <f t="shared" si="705"/>
        <v>C100075</v>
      </c>
      <c r="F2309" s="31"/>
      <c r="G2309" s="31"/>
      <c r="H2309" s="31"/>
      <c r="I2309" s="56"/>
      <c r="J2309" s="56"/>
      <c r="K2309" s="82" t="str">
        <f t="shared" si="706"/>
        <v>Invoice</v>
      </c>
      <c r="L2309" s="83" t="str">
        <f>"SI_109607"</f>
        <v>SI_109607</v>
      </c>
      <c r="M2309" s="84">
        <v>43793</v>
      </c>
      <c r="N2309" s="85">
        <f t="shared" si="707"/>
        <v>19</v>
      </c>
      <c r="O2309" s="86">
        <f t="shared" si="708"/>
        <v>16545.22</v>
      </c>
      <c r="P2309" s="86">
        <f t="shared" si="709"/>
        <v>0</v>
      </c>
      <c r="Q2309" s="86">
        <f t="shared" si="710"/>
        <v>16545.22</v>
      </c>
      <c r="R2309" s="86">
        <f t="shared" si="711"/>
        <v>0</v>
      </c>
      <c r="S2309" s="86">
        <f t="shared" si="712"/>
        <v>0</v>
      </c>
      <c r="T2309" s="86">
        <f t="shared" si="713"/>
        <v>0</v>
      </c>
      <c r="U2309" s="87">
        <v>16545.22</v>
      </c>
    </row>
    <row r="2310" spans="1:21" s="30" customFormat="1" ht="24.6" hidden="1" outlineLevel="1" x14ac:dyDescent="0.55000000000000004">
      <c r="A2310" s="27" t="s">
        <v>327</v>
      </c>
      <c r="B2310" s="28"/>
      <c r="C2310" s="27"/>
      <c r="D2310" s="27" t="str">
        <f>"""NAV Direct"",""CRONUS JetCorp USA"",""21"",""1"",""310660"""</f>
        <v>"NAV Direct","CRONUS JetCorp USA","21","1","310660"</v>
      </c>
      <c r="E2310" s="31">
        <f t="shared" si="705"/>
        <v>0</v>
      </c>
      <c r="F2310" s="31"/>
      <c r="G2310" s="31"/>
      <c r="H2310" s="31"/>
      <c r="I2310" s="56"/>
      <c r="J2310" s="56"/>
      <c r="K2310" s="82" t="str">
        <f t="shared" si="706"/>
        <v>Invoice</v>
      </c>
      <c r="L2310" s="83" t="str">
        <f>"SI_109608"</f>
        <v>SI_109608</v>
      </c>
      <c r="M2310" s="84">
        <v>43798</v>
      </c>
      <c r="N2310" s="85">
        <f t="shared" si="707"/>
        <v>14</v>
      </c>
      <c r="O2310" s="86">
        <f t="shared" si="708"/>
        <v>15683.130000000001</v>
      </c>
      <c r="P2310" s="86">
        <f t="shared" si="709"/>
        <v>0</v>
      </c>
      <c r="Q2310" s="86">
        <f t="shared" si="710"/>
        <v>15683.130000000001</v>
      </c>
      <c r="R2310" s="86">
        <f t="shared" si="711"/>
        <v>0</v>
      </c>
      <c r="S2310" s="86">
        <f t="shared" si="712"/>
        <v>0</v>
      </c>
      <c r="T2310" s="86">
        <f t="shared" si="713"/>
        <v>0</v>
      </c>
      <c r="U2310" s="87">
        <v>15683.130000000001</v>
      </c>
    </row>
    <row r="2311" spans="1:21" s="30" customFormat="1" ht="24.6" hidden="1" outlineLevel="1" x14ac:dyDescent="0.55000000000000004">
      <c r="A2311" s="27" t="s">
        <v>327</v>
      </c>
      <c r="B2311" s="28"/>
      <c r="C2311" s="27"/>
      <c r="D2311" s="27" t="str">
        <f>"""NAV Direct"",""CRONUS JetCorp USA"",""21"",""1"",""310855"""</f>
        <v>"NAV Direct","CRONUS JetCorp USA","21","1","310855"</v>
      </c>
      <c r="E2311" s="31" t="str">
        <f t="shared" ref="E2311:E2342" si="714">E2309</f>
        <v>C100075</v>
      </c>
      <c r="F2311" s="31"/>
      <c r="G2311" s="31"/>
      <c r="H2311" s="31"/>
      <c r="I2311" s="56"/>
      <c r="J2311" s="56"/>
      <c r="K2311" s="82" t="str">
        <f t="shared" ref="K2311:K2324" si="715">"Invoice"</f>
        <v>Invoice</v>
      </c>
      <c r="L2311" s="83" t="str">
        <f>"SI_109615"</f>
        <v>SI_109615</v>
      </c>
      <c r="M2311" s="84">
        <v>43824</v>
      </c>
      <c r="N2311" s="85">
        <f t="shared" ref="N2311:N2342" si="716">StartDate-$M2311+1</f>
        <v>-12</v>
      </c>
      <c r="O2311" s="86">
        <f t="shared" ref="O2311:O2342" si="717">SUM(P2311:T2311)</f>
        <v>16151.499999999998</v>
      </c>
      <c r="P2311" s="86">
        <f t="shared" ref="P2311:P2342" si="718">IF($M2311&gt;=$P$18,U2311,0)</f>
        <v>16151.499999999998</v>
      </c>
      <c r="Q2311" s="86">
        <f t="shared" ref="Q2311:Q2342" si="719">IF(AND($M2311&gt;=$Q$16,$M2311&lt;=$Q$18),U2311,0)</f>
        <v>0</v>
      </c>
      <c r="R2311" s="86">
        <f t="shared" ref="R2311:R2342" si="720">IF(AND($M2311&gt;=$R$16,$M2311&lt;=$R$18),U2311,0)</f>
        <v>0</v>
      </c>
      <c r="S2311" s="86">
        <f t="shared" ref="S2311:S2342" si="721">IF(AND($M2311&gt;=$S$16,$M2311&lt;=$S$18),U2311,0)</f>
        <v>0</v>
      </c>
      <c r="T2311" s="86">
        <f t="shared" ref="T2311:T2342" si="722">IF($M2311&lt;=$T$18,U2311,0)</f>
        <v>0</v>
      </c>
      <c r="U2311" s="87">
        <v>16151.499999999998</v>
      </c>
    </row>
    <row r="2312" spans="1:21" s="30" customFormat="1" ht="24.6" hidden="1" outlineLevel="1" x14ac:dyDescent="0.55000000000000004">
      <c r="A2312" s="27" t="s">
        <v>327</v>
      </c>
      <c r="B2312" s="28"/>
      <c r="C2312" s="27"/>
      <c r="D2312" s="27" t="str">
        <f>"""NAV Direct"",""CRONUS JetCorp USA"",""21"",""1"",""310992"""</f>
        <v>"NAV Direct","CRONUS JetCorp USA","21","1","310992"</v>
      </c>
      <c r="E2312" s="31">
        <f t="shared" si="714"/>
        <v>0</v>
      </c>
      <c r="F2312" s="31"/>
      <c r="G2312" s="31"/>
      <c r="H2312" s="31"/>
      <c r="I2312" s="56"/>
      <c r="J2312" s="56"/>
      <c r="K2312" s="82" t="str">
        <f t="shared" si="715"/>
        <v>Invoice</v>
      </c>
      <c r="L2312" s="83" t="str">
        <f>"SI_109620"</f>
        <v>SI_109620</v>
      </c>
      <c r="M2312" s="84">
        <v>42024</v>
      </c>
      <c r="N2312" s="85">
        <f t="shared" si="716"/>
        <v>1788</v>
      </c>
      <c r="O2312" s="86">
        <f t="shared" si="717"/>
        <v>16536.23</v>
      </c>
      <c r="P2312" s="86">
        <f t="shared" si="718"/>
        <v>0</v>
      </c>
      <c r="Q2312" s="86">
        <f t="shared" si="719"/>
        <v>0</v>
      </c>
      <c r="R2312" s="86">
        <f t="shared" si="720"/>
        <v>0</v>
      </c>
      <c r="S2312" s="86">
        <f t="shared" si="721"/>
        <v>0</v>
      </c>
      <c r="T2312" s="86">
        <f t="shared" si="722"/>
        <v>16536.23</v>
      </c>
      <c r="U2312" s="87">
        <v>16536.23</v>
      </c>
    </row>
    <row r="2313" spans="1:21" s="30" customFormat="1" ht="24.6" hidden="1" outlineLevel="1" x14ac:dyDescent="0.55000000000000004">
      <c r="A2313" s="27" t="s">
        <v>327</v>
      </c>
      <c r="B2313" s="28"/>
      <c r="C2313" s="27"/>
      <c r="D2313" s="27" t="str">
        <f>"""NAV Direct"",""CRONUS JetCorp USA"",""21"",""1"",""311127"""</f>
        <v>"NAV Direct","CRONUS JetCorp USA","21","1","311127"</v>
      </c>
      <c r="E2313" s="31" t="str">
        <f t="shared" si="714"/>
        <v>C100075</v>
      </c>
      <c r="F2313" s="31"/>
      <c r="G2313" s="31"/>
      <c r="H2313" s="31"/>
      <c r="I2313" s="56"/>
      <c r="J2313" s="56"/>
      <c r="K2313" s="82" t="str">
        <f t="shared" si="715"/>
        <v>Invoice</v>
      </c>
      <c r="L2313" s="83" t="str">
        <f>"SI_109625"</f>
        <v>SI_109625</v>
      </c>
      <c r="M2313" s="84">
        <v>42030</v>
      </c>
      <c r="N2313" s="85">
        <f t="shared" si="716"/>
        <v>1782</v>
      </c>
      <c r="O2313" s="86">
        <f t="shared" si="717"/>
        <v>16186.52</v>
      </c>
      <c r="P2313" s="86">
        <f t="shared" si="718"/>
        <v>0</v>
      </c>
      <c r="Q2313" s="86">
        <f t="shared" si="719"/>
        <v>0</v>
      </c>
      <c r="R2313" s="86">
        <f t="shared" si="720"/>
        <v>0</v>
      </c>
      <c r="S2313" s="86">
        <f t="shared" si="721"/>
        <v>0</v>
      </c>
      <c r="T2313" s="86">
        <f t="shared" si="722"/>
        <v>16186.52</v>
      </c>
      <c r="U2313" s="87">
        <v>16186.52</v>
      </c>
    </row>
    <row r="2314" spans="1:21" s="30" customFormat="1" ht="24.6" hidden="1" outlineLevel="1" x14ac:dyDescent="0.55000000000000004">
      <c r="A2314" s="27" t="s">
        <v>327</v>
      </c>
      <c r="B2314" s="28"/>
      <c r="C2314" s="27"/>
      <c r="D2314" s="27" t="str">
        <f>"""NAV Direct"",""CRONUS JetCorp USA"",""21"",""1"",""311349"""</f>
        <v>"NAV Direct","CRONUS JetCorp USA","21","1","311349"</v>
      </c>
      <c r="E2314" s="31">
        <f t="shared" si="714"/>
        <v>0</v>
      </c>
      <c r="F2314" s="31"/>
      <c r="G2314" s="31"/>
      <c r="H2314" s="31"/>
      <c r="I2314" s="56"/>
      <c r="J2314" s="56"/>
      <c r="K2314" s="82" t="str">
        <f t="shared" si="715"/>
        <v>Invoice</v>
      </c>
      <c r="L2314" s="83" t="str">
        <f>"SI_109633"</f>
        <v>SI_109633</v>
      </c>
      <c r="M2314" s="84">
        <v>42087</v>
      </c>
      <c r="N2314" s="85">
        <f t="shared" si="716"/>
        <v>1725</v>
      </c>
      <c r="O2314" s="86">
        <f t="shared" si="717"/>
        <v>16543.599999999999</v>
      </c>
      <c r="P2314" s="86">
        <f t="shared" si="718"/>
        <v>0</v>
      </c>
      <c r="Q2314" s="86">
        <f t="shared" si="719"/>
        <v>0</v>
      </c>
      <c r="R2314" s="86">
        <f t="shared" si="720"/>
        <v>0</v>
      </c>
      <c r="S2314" s="86">
        <f t="shared" si="721"/>
        <v>0</v>
      </c>
      <c r="T2314" s="86">
        <f t="shared" si="722"/>
        <v>16543.599999999999</v>
      </c>
      <c r="U2314" s="87">
        <v>16543.599999999999</v>
      </c>
    </row>
    <row r="2315" spans="1:21" s="30" customFormat="1" ht="24.6" hidden="1" outlineLevel="1" x14ac:dyDescent="0.55000000000000004">
      <c r="A2315" s="27" t="s">
        <v>327</v>
      </c>
      <c r="B2315" s="28"/>
      <c r="C2315" s="27"/>
      <c r="D2315" s="27" t="str">
        <f>"""NAV Direct"",""CRONUS JetCorp USA"",""21"",""1"",""311424"""</f>
        <v>"NAV Direct","CRONUS JetCorp USA","21","1","311424"</v>
      </c>
      <c r="E2315" s="31" t="str">
        <f t="shared" si="714"/>
        <v>C100075</v>
      </c>
      <c r="F2315" s="31"/>
      <c r="G2315" s="31"/>
      <c r="H2315" s="31"/>
      <c r="I2315" s="56"/>
      <c r="J2315" s="56"/>
      <c r="K2315" s="82" t="str">
        <f t="shared" si="715"/>
        <v>Invoice</v>
      </c>
      <c r="L2315" s="83" t="str">
        <f>"SI_109636"</f>
        <v>SI_109636</v>
      </c>
      <c r="M2315" s="84">
        <v>42090</v>
      </c>
      <c r="N2315" s="85">
        <f t="shared" si="716"/>
        <v>1722</v>
      </c>
      <c r="O2315" s="86">
        <f t="shared" si="717"/>
        <v>16365.58</v>
      </c>
      <c r="P2315" s="86">
        <f t="shared" si="718"/>
        <v>0</v>
      </c>
      <c r="Q2315" s="86">
        <f t="shared" si="719"/>
        <v>0</v>
      </c>
      <c r="R2315" s="86">
        <f t="shared" si="720"/>
        <v>0</v>
      </c>
      <c r="S2315" s="86">
        <f t="shared" si="721"/>
        <v>0</v>
      </c>
      <c r="T2315" s="86">
        <f t="shared" si="722"/>
        <v>16365.58</v>
      </c>
      <c r="U2315" s="87">
        <v>16365.58</v>
      </c>
    </row>
    <row r="2316" spans="1:21" s="30" customFormat="1" ht="24.6" hidden="1" outlineLevel="1" x14ac:dyDescent="0.55000000000000004">
      <c r="A2316" s="27" t="s">
        <v>327</v>
      </c>
      <c r="B2316" s="28"/>
      <c r="C2316" s="27"/>
      <c r="D2316" s="27" t="str">
        <f>"""NAV Direct"",""CRONUS JetCorp USA"",""21"",""1"",""311737"""</f>
        <v>"NAV Direct","CRONUS JetCorp USA","21","1","311737"</v>
      </c>
      <c r="E2316" s="31">
        <f t="shared" si="714"/>
        <v>0</v>
      </c>
      <c r="F2316" s="31"/>
      <c r="G2316" s="31"/>
      <c r="H2316" s="31"/>
      <c r="I2316" s="56"/>
      <c r="J2316" s="56"/>
      <c r="K2316" s="82" t="str">
        <f t="shared" si="715"/>
        <v>Invoice</v>
      </c>
      <c r="L2316" s="83" t="str">
        <f>"SI_109647"</f>
        <v>SI_109647</v>
      </c>
      <c r="M2316" s="84">
        <v>42142</v>
      </c>
      <c r="N2316" s="85">
        <f t="shared" si="716"/>
        <v>1670</v>
      </c>
      <c r="O2316" s="86">
        <f t="shared" si="717"/>
        <v>17433.75</v>
      </c>
      <c r="P2316" s="86">
        <f t="shared" si="718"/>
        <v>0</v>
      </c>
      <c r="Q2316" s="86">
        <f t="shared" si="719"/>
        <v>0</v>
      </c>
      <c r="R2316" s="86">
        <f t="shared" si="720"/>
        <v>0</v>
      </c>
      <c r="S2316" s="86">
        <f t="shared" si="721"/>
        <v>0</v>
      </c>
      <c r="T2316" s="86">
        <f t="shared" si="722"/>
        <v>17433.75</v>
      </c>
      <c r="U2316" s="87">
        <v>17433.75</v>
      </c>
    </row>
    <row r="2317" spans="1:21" s="30" customFormat="1" ht="24.6" hidden="1" outlineLevel="1" x14ac:dyDescent="0.55000000000000004">
      <c r="A2317" s="27" t="s">
        <v>327</v>
      </c>
      <c r="B2317" s="28"/>
      <c r="C2317" s="27"/>
      <c r="D2317" s="27" t="str">
        <f>"""NAV Direct"",""CRONUS JetCorp USA"",""21"",""1"",""311824"""</f>
        <v>"NAV Direct","CRONUS JetCorp USA","21","1","311824"</v>
      </c>
      <c r="E2317" s="31" t="str">
        <f t="shared" si="714"/>
        <v>C100075</v>
      </c>
      <c r="F2317" s="31"/>
      <c r="G2317" s="31"/>
      <c r="H2317" s="31"/>
      <c r="I2317" s="56"/>
      <c r="J2317" s="56"/>
      <c r="K2317" s="82" t="str">
        <f t="shared" si="715"/>
        <v>Invoice</v>
      </c>
      <c r="L2317" s="83" t="str">
        <f>"SI_109650"</f>
        <v>SI_109650</v>
      </c>
      <c r="M2317" s="84">
        <v>42149</v>
      </c>
      <c r="N2317" s="85">
        <f t="shared" si="716"/>
        <v>1663</v>
      </c>
      <c r="O2317" s="86">
        <f t="shared" si="717"/>
        <v>16722.29</v>
      </c>
      <c r="P2317" s="86">
        <f t="shared" si="718"/>
        <v>0</v>
      </c>
      <c r="Q2317" s="86">
        <f t="shared" si="719"/>
        <v>0</v>
      </c>
      <c r="R2317" s="86">
        <f t="shared" si="720"/>
        <v>0</v>
      </c>
      <c r="S2317" s="86">
        <f t="shared" si="721"/>
        <v>0</v>
      </c>
      <c r="T2317" s="86">
        <f t="shared" si="722"/>
        <v>16722.29</v>
      </c>
      <c r="U2317" s="87">
        <v>16722.29</v>
      </c>
    </row>
    <row r="2318" spans="1:21" s="30" customFormat="1" ht="24.6" hidden="1" outlineLevel="1" x14ac:dyDescent="0.55000000000000004">
      <c r="A2318" s="27" t="s">
        <v>327</v>
      </c>
      <c r="B2318" s="28"/>
      <c r="C2318" s="27"/>
      <c r="D2318" s="27" t="str">
        <f>"""NAV Direct"",""CRONUS JetCorp USA"",""21"",""1"",""312134"""</f>
        <v>"NAV Direct","CRONUS JetCorp USA","21","1","312134"</v>
      </c>
      <c r="E2318" s="31">
        <f t="shared" si="714"/>
        <v>0</v>
      </c>
      <c r="F2318" s="31"/>
      <c r="G2318" s="31"/>
      <c r="H2318" s="31"/>
      <c r="I2318" s="56"/>
      <c r="J2318" s="56"/>
      <c r="K2318" s="82" t="str">
        <f t="shared" si="715"/>
        <v>Invoice</v>
      </c>
      <c r="L2318" s="83" t="str">
        <f>"SI_109662"</f>
        <v>SI_109662</v>
      </c>
      <c r="M2318" s="84">
        <v>42205</v>
      </c>
      <c r="N2318" s="85">
        <f t="shared" si="716"/>
        <v>1607</v>
      </c>
      <c r="O2318" s="86">
        <f t="shared" si="717"/>
        <v>17433.509999999998</v>
      </c>
      <c r="P2318" s="86">
        <f t="shared" si="718"/>
        <v>0</v>
      </c>
      <c r="Q2318" s="86">
        <f t="shared" si="719"/>
        <v>0</v>
      </c>
      <c r="R2318" s="86">
        <f t="shared" si="720"/>
        <v>0</v>
      </c>
      <c r="S2318" s="86">
        <f t="shared" si="721"/>
        <v>0</v>
      </c>
      <c r="T2318" s="86">
        <f t="shared" si="722"/>
        <v>17433.509999999998</v>
      </c>
      <c r="U2318" s="87">
        <v>17433.509999999998</v>
      </c>
    </row>
    <row r="2319" spans="1:21" s="30" customFormat="1" ht="24.6" hidden="1" outlineLevel="1" x14ac:dyDescent="0.55000000000000004">
      <c r="A2319" s="27" t="s">
        <v>327</v>
      </c>
      <c r="B2319" s="28"/>
      <c r="C2319" s="27"/>
      <c r="D2319" s="27" t="str">
        <f>"""NAV Direct"",""CRONUS JetCorp USA"",""21"",""1"",""312217"""</f>
        <v>"NAV Direct","CRONUS JetCorp USA","21","1","312217"</v>
      </c>
      <c r="E2319" s="31" t="str">
        <f t="shared" si="714"/>
        <v>C100075</v>
      </c>
      <c r="F2319" s="31"/>
      <c r="G2319" s="31"/>
      <c r="H2319" s="31"/>
      <c r="I2319" s="56"/>
      <c r="J2319" s="56"/>
      <c r="K2319" s="82" t="str">
        <f t="shared" si="715"/>
        <v>Invoice</v>
      </c>
      <c r="L2319" s="83" t="str">
        <f>"SI_109665"</f>
        <v>SI_109665</v>
      </c>
      <c r="M2319" s="84">
        <v>42212</v>
      </c>
      <c r="N2319" s="85">
        <f t="shared" si="716"/>
        <v>1600</v>
      </c>
      <c r="O2319" s="86">
        <f t="shared" si="717"/>
        <v>16544.48</v>
      </c>
      <c r="P2319" s="86">
        <f t="shared" si="718"/>
        <v>0</v>
      </c>
      <c r="Q2319" s="86">
        <f t="shared" si="719"/>
        <v>0</v>
      </c>
      <c r="R2319" s="86">
        <f t="shared" si="720"/>
        <v>0</v>
      </c>
      <c r="S2319" s="86">
        <f t="shared" si="721"/>
        <v>0</v>
      </c>
      <c r="T2319" s="86">
        <f t="shared" si="722"/>
        <v>16544.48</v>
      </c>
      <c r="U2319" s="87">
        <v>16544.48</v>
      </c>
    </row>
    <row r="2320" spans="1:21" s="30" customFormat="1" ht="24.6" hidden="1" outlineLevel="1" x14ac:dyDescent="0.55000000000000004">
      <c r="A2320" s="27" t="s">
        <v>327</v>
      </c>
      <c r="B2320" s="28"/>
      <c r="C2320" s="27"/>
      <c r="D2320" s="27" t="str">
        <f>"""NAV Direct"",""CRONUS JetCorp USA"",""21"",""1"",""312271"""</f>
        <v>"NAV Direct","CRONUS JetCorp USA","21","1","312271"</v>
      </c>
      <c r="E2320" s="31">
        <f t="shared" si="714"/>
        <v>0</v>
      </c>
      <c r="F2320" s="31"/>
      <c r="G2320" s="31"/>
      <c r="H2320" s="31"/>
      <c r="I2320" s="56"/>
      <c r="J2320" s="56"/>
      <c r="K2320" s="82" t="str">
        <f t="shared" si="715"/>
        <v>Invoice</v>
      </c>
      <c r="L2320" s="83" t="str">
        <f>"SI_109667"</f>
        <v>SI_109667</v>
      </c>
      <c r="M2320" s="84">
        <v>42218</v>
      </c>
      <c r="N2320" s="85">
        <f t="shared" si="716"/>
        <v>1594</v>
      </c>
      <c r="O2320" s="86">
        <f t="shared" si="717"/>
        <v>16899.7</v>
      </c>
      <c r="P2320" s="86">
        <f t="shared" si="718"/>
        <v>0</v>
      </c>
      <c r="Q2320" s="86">
        <f t="shared" si="719"/>
        <v>0</v>
      </c>
      <c r="R2320" s="86">
        <f t="shared" si="720"/>
        <v>0</v>
      </c>
      <c r="S2320" s="86">
        <f t="shared" si="721"/>
        <v>0</v>
      </c>
      <c r="T2320" s="86">
        <f t="shared" si="722"/>
        <v>16899.7</v>
      </c>
      <c r="U2320" s="87">
        <v>16899.7</v>
      </c>
    </row>
    <row r="2321" spans="1:21" s="30" customFormat="1" ht="24.6" hidden="1" outlineLevel="1" x14ac:dyDescent="0.55000000000000004">
      <c r="A2321" s="27" t="s">
        <v>327</v>
      </c>
      <c r="B2321" s="28"/>
      <c r="C2321" s="27"/>
      <c r="D2321" s="27" t="str">
        <f>"""NAV Direct"",""CRONUS JetCorp USA"",""21"",""1"",""312548"""</f>
        <v>"NAV Direct","CRONUS JetCorp USA","21","1","312548"</v>
      </c>
      <c r="E2321" s="31" t="str">
        <f t="shared" si="714"/>
        <v>C100075</v>
      </c>
      <c r="F2321" s="31"/>
      <c r="G2321" s="31"/>
      <c r="H2321" s="31"/>
      <c r="I2321" s="56"/>
      <c r="J2321" s="56"/>
      <c r="K2321" s="82" t="str">
        <f t="shared" si="715"/>
        <v>Invoice</v>
      </c>
      <c r="L2321" s="83" t="str">
        <f>"SI_109676"</f>
        <v>SI_109676</v>
      </c>
      <c r="M2321" s="84">
        <v>42269</v>
      </c>
      <c r="N2321" s="85">
        <f t="shared" si="716"/>
        <v>1543</v>
      </c>
      <c r="O2321" s="86">
        <f t="shared" si="717"/>
        <v>17433.25</v>
      </c>
      <c r="P2321" s="86">
        <f t="shared" si="718"/>
        <v>0</v>
      </c>
      <c r="Q2321" s="86">
        <f t="shared" si="719"/>
        <v>0</v>
      </c>
      <c r="R2321" s="86">
        <f t="shared" si="720"/>
        <v>0</v>
      </c>
      <c r="S2321" s="86">
        <f t="shared" si="721"/>
        <v>0</v>
      </c>
      <c r="T2321" s="86">
        <f t="shared" si="722"/>
        <v>17433.25</v>
      </c>
      <c r="U2321" s="87">
        <v>17433.25</v>
      </c>
    </row>
    <row r="2322" spans="1:21" s="30" customFormat="1" ht="24.6" hidden="1" outlineLevel="1" x14ac:dyDescent="0.55000000000000004">
      <c r="A2322" s="27" t="s">
        <v>327</v>
      </c>
      <c r="B2322" s="28"/>
      <c r="C2322" s="27"/>
      <c r="D2322" s="27" t="str">
        <f>"""NAV Direct"",""CRONUS JetCorp USA"",""21"",""1"",""312814"""</f>
        <v>"NAV Direct","CRONUS JetCorp USA","21","1","312814"</v>
      </c>
      <c r="E2322" s="31">
        <f t="shared" si="714"/>
        <v>0</v>
      </c>
      <c r="F2322" s="31"/>
      <c r="G2322" s="31"/>
      <c r="H2322" s="31"/>
      <c r="I2322" s="56"/>
      <c r="J2322" s="56"/>
      <c r="K2322" s="82" t="str">
        <f t="shared" si="715"/>
        <v>Invoice</v>
      </c>
      <c r="L2322" s="83" t="str">
        <f>"SI_109686"</f>
        <v>SI_109686</v>
      </c>
      <c r="M2322" s="84">
        <v>42300</v>
      </c>
      <c r="N2322" s="85">
        <f t="shared" si="716"/>
        <v>1512</v>
      </c>
      <c r="O2322" s="86">
        <f t="shared" si="717"/>
        <v>17432.969999999998</v>
      </c>
      <c r="P2322" s="86">
        <f t="shared" si="718"/>
        <v>0</v>
      </c>
      <c r="Q2322" s="86">
        <f t="shared" si="719"/>
        <v>0</v>
      </c>
      <c r="R2322" s="86">
        <f t="shared" si="720"/>
        <v>0</v>
      </c>
      <c r="S2322" s="86">
        <f t="shared" si="721"/>
        <v>0</v>
      </c>
      <c r="T2322" s="86">
        <f t="shared" si="722"/>
        <v>17432.969999999998</v>
      </c>
      <c r="U2322" s="87">
        <v>17432.969999999998</v>
      </c>
    </row>
    <row r="2323" spans="1:21" s="30" customFormat="1" ht="24.6" hidden="1" outlineLevel="1" x14ac:dyDescent="0.55000000000000004">
      <c r="A2323" s="27" t="s">
        <v>327</v>
      </c>
      <c r="B2323" s="28"/>
      <c r="C2323" s="27"/>
      <c r="D2323" s="27" t="str">
        <f>"""NAV Direct"",""CRONUS JetCorp USA"",""21"",""1"",""313111"""</f>
        <v>"NAV Direct","CRONUS JetCorp USA","21","1","313111"</v>
      </c>
      <c r="E2323" s="31" t="str">
        <f t="shared" si="714"/>
        <v>C100075</v>
      </c>
      <c r="F2323" s="31"/>
      <c r="G2323" s="31"/>
      <c r="H2323" s="31"/>
      <c r="I2323" s="56"/>
      <c r="J2323" s="56"/>
      <c r="K2323" s="82" t="str">
        <f t="shared" si="715"/>
        <v>Invoice</v>
      </c>
      <c r="L2323" s="83" t="str">
        <f>"SI_109697"</f>
        <v>SI_109697</v>
      </c>
      <c r="M2323" s="84">
        <v>42339</v>
      </c>
      <c r="N2323" s="85">
        <f t="shared" si="716"/>
        <v>1473</v>
      </c>
      <c r="O2323" s="86">
        <f t="shared" si="717"/>
        <v>16543.350000000002</v>
      </c>
      <c r="P2323" s="86">
        <f t="shared" si="718"/>
        <v>0</v>
      </c>
      <c r="Q2323" s="86">
        <f t="shared" si="719"/>
        <v>0</v>
      </c>
      <c r="R2323" s="86">
        <f t="shared" si="720"/>
        <v>0</v>
      </c>
      <c r="S2323" s="86">
        <f t="shared" si="721"/>
        <v>0</v>
      </c>
      <c r="T2323" s="86">
        <f t="shared" si="722"/>
        <v>16543.350000000002</v>
      </c>
      <c r="U2323" s="87">
        <v>16543.350000000002</v>
      </c>
    </row>
    <row r="2324" spans="1:21" s="30" customFormat="1" ht="24.6" hidden="1" outlineLevel="1" x14ac:dyDescent="0.55000000000000004">
      <c r="A2324" s="27" t="s">
        <v>327</v>
      </c>
      <c r="B2324" s="28"/>
      <c r="C2324" s="27"/>
      <c r="D2324" s="27" t="str">
        <f>"""NAV Direct"",""CRONUS JetCorp USA"",""21"",""1"",""313423"""</f>
        <v>"NAV Direct","CRONUS JetCorp USA","21","1","313423"</v>
      </c>
      <c r="E2324" s="31">
        <f t="shared" si="714"/>
        <v>0</v>
      </c>
      <c r="F2324" s="31"/>
      <c r="G2324" s="31"/>
      <c r="H2324" s="31"/>
      <c r="I2324" s="56"/>
      <c r="J2324" s="56"/>
      <c r="K2324" s="82" t="str">
        <f t="shared" si="715"/>
        <v>Invoice</v>
      </c>
      <c r="L2324" s="83" t="str">
        <f>"SI_109709"</f>
        <v>SI_109709</v>
      </c>
      <c r="M2324" s="84">
        <v>42736</v>
      </c>
      <c r="N2324" s="85">
        <f t="shared" si="716"/>
        <v>1076</v>
      </c>
      <c r="O2324" s="86">
        <f t="shared" si="717"/>
        <v>17077.740000000002</v>
      </c>
      <c r="P2324" s="86">
        <f t="shared" si="718"/>
        <v>0</v>
      </c>
      <c r="Q2324" s="86">
        <f t="shared" si="719"/>
        <v>0</v>
      </c>
      <c r="R2324" s="86">
        <f t="shared" si="720"/>
        <v>0</v>
      </c>
      <c r="S2324" s="86">
        <f t="shared" si="721"/>
        <v>0</v>
      </c>
      <c r="T2324" s="86">
        <f t="shared" si="722"/>
        <v>17077.740000000002</v>
      </c>
      <c r="U2324" s="87">
        <v>17077.740000000002</v>
      </c>
    </row>
    <row r="2325" spans="1:21" s="30" customFormat="1" ht="24.6" hidden="1" outlineLevel="1" x14ac:dyDescent="0.55000000000000004">
      <c r="A2325" s="27" t="s">
        <v>327</v>
      </c>
      <c r="B2325" s="28"/>
      <c r="C2325" s="27"/>
      <c r="D2325" s="27" t="str">
        <f>"""NAV Direct"",""CRONUS JetCorp USA"",""21"",""1"",""429271"""</f>
        <v>"NAV Direct","CRONUS JetCorp USA","21","1","429271"</v>
      </c>
      <c r="E2325" s="31" t="str">
        <f t="shared" si="714"/>
        <v>C100075</v>
      </c>
      <c r="F2325" s="31"/>
      <c r="G2325" s="31"/>
      <c r="H2325" s="31"/>
      <c r="I2325" s="56"/>
      <c r="J2325" s="56"/>
      <c r="K2325" s="82" t="str">
        <f t="shared" ref="K2325:K2342" si="723">"Credit Memo"</f>
        <v>Credit Memo</v>
      </c>
      <c r="L2325" s="83" t="str">
        <f>"SC_100194"</f>
        <v>SC_100194</v>
      </c>
      <c r="M2325" s="84">
        <v>42387</v>
      </c>
      <c r="N2325" s="85">
        <f t="shared" si="716"/>
        <v>1425</v>
      </c>
      <c r="O2325" s="86">
        <f t="shared" si="717"/>
        <v>-145</v>
      </c>
      <c r="P2325" s="86">
        <f t="shared" si="718"/>
        <v>0</v>
      </c>
      <c r="Q2325" s="86">
        <f t="shared" si="719"/>
        <v>0</v>
      </c>
      <c r="R2325" s="86">
        <f t="shared" si="720"/>
        <v>0</v>
      </c>
      <c r="S2325" s="86">
        <f t="shared" si="721"/>
        <v>0</v>
      </c>
      <c r="T2325" s="86">
        <f t="shared" si="722"/>
        <v>-145</v>
      </c>
      <c r="U2325" s="87">
        <v>-145</v>
      </c>
    </row>
    <row r="2326" spans="1:21" s="30" customFormat="1" ht="24.6" hidden="1" outlineLevel="1" x14ac:dyDescent="0.55000000000000004">
      <c r="A2326" s="27" t="s">
        <v>327</v>
      </c>
      <c r="B2326" s="28"/>
      <c r="C2326" s="27"/>
      <c r="D2326" s="27" t="str">
        <f>"""NAV Direct"",""CRONUS JetCorp USA"",""21"",""1"",""429362"""</f>
        <v>"NAV Direct","CRONUS JetCorp USA","21","1","429362"</v>
      </c>
      <c r="E2326" s="31">
        <f t="shared" si="714"/>
        <v>0</v>
      </c>
      <c r="F2326" s="31"/>
      <c r="G2326" s="31"/>
      <c r="H2326" s="31"/>
      <c r="I2326" s="56"/>
      <c r="J2326" s="56"/>
      <c r="K2326" s="82" t="str">
        <f t="shared" si="723"/>
        <v>Credit Memo</v>
      </c>
      <c r="L2326" s="83" t="str">
        <f>"SC_100199"</f>
        <v>SC_100199</v>
      </c>
      <c r="M2326" s="84">
        <v>42533</v>
      </c>
      <c r="N2326" s="85">
        <f t="shared" si="716"/>
        <v>1279</v>
      </c>
      <c r="O2326" s="86">
        <f t="shared" si="717"/>
        <v>-143.18</v>
      </c>
      <c r="P2326" s="86">
        <f t="shared" si="718"/>
        <v>0</v>
      </c>
      <c r="Q2326" s="86">
        <f t="shared" si="719"/>
        <v>0</v>
      </c>
      <c r="R2326" s="86">
        <f t="shared" si="720"/>
        <v>0</v>
      </c>
      <c r="S2326" s="86">
        <f t="shared" si="721"/>
        <v>0</v>
      </c>
      <c r="T2326" s="86">
        <f t="shared" si="722"/>
        <v>-143.18</v>
      </c>
      <c r="U2326" s="87">
        <v>-143.18</v>
      </c>
    </row>
    <row r="2327" spans="1:21" s="30" customFormat="1" ht="24.6" hidden="1" outlineLevel="1" x14ac:dyDescent="0.55000000000000004">
      <c r="A2327" s="27" t="s">
        <v>327</v>
      </c>
      <c r="B2327" s="28"/>
      <c r="C2327" s="27"/>
      <c r="D2327" s="27" t="str">
        <f>"""NAV Direct"",""CRONUS JetCorp USA"",""21"",""1"",""429528"""</f>
        <v>"NAV Direct","CRONUS JetCorp USA","21","1","429528"</v>
      </c>
      <c r="E2327" s="31" t="str">
        <f t="shared" si="714"/>
        <v>C100075</v>
      </c>
      <c r="F2327" s="31"/>
      <c r="G2327" s="31"/>
      <c r="H2327" s="31"/>
      <c r="I2327" s="56"/>
      <c r="J2327" s="56"/>
      <c r="K2327" s="82" t="str">
        <f t="shared" si="723"/>
        <v>Credit Memo</v>
      </c>
      <c r="L2327" s="83" t="str">
        <f>"SC_100209"</f>
        <v>SC_100209</v>
      </c>
      <c r="M2327" s="84">
        <v>42816</v>
      </c>
      <c r="N2327" s="85">
        <f t="shared" si="716"/>
        <v>996</v>
      </c>
      <c r="O2327" s="86">
        <f t="shared" si="717"/>
        <v>-159.43</v>
      </c>
      <c r="P2327" s="86">
        <f t="shared" si="718"/>
        <v>0</v>
      </c>
      <c r="Q2327" s="86">
        <f t="shared" si="719"/>
        <v>0</v>
      </c>
      <c r="R2327" s="86">
        <f t="shared" si="720"/>
        <v>0</v>
      </c>
      <c r="S2327" s="86">
        <f t="shared" si="721"/>
        <v>0</v>
      </c>
      <c r="T2327" s="86">
        <f t="shared" si="722"/>
        <v>-159.43</v>
      </c>
      <c r="U2327" s="87">
        <v>-159.43</v>
      </c>
    </row>
    <row r="2328" spans="1:21" s="30" customFormat="1" ht="24.6" hidden="1" outlineLevel="1" x14ac:dyDescent="0.55000000000000004">
      <c r="A2328" s="27" t="s">
        <v>327</v>
      </c>
      <c r="B2328" s="28"/>
      <c r="C2328" s="27"/>
      <c r="D2328" s="27" t="str">
        <f>"""NAV Direct"",""CRONUS JetCorp USA"",""21"",""1"",""429552"""</f>
        <v>"NAV Direct","CRONUS JetCorp USA","21","1","429552"</v>
      </c>
      <c r="E2328" s="31">
        <f t="shared" si="714"/>
        <v>0</v>
      </c>
      <c r="F2328" s="31"/>
      <c r="G2328" s="31"/>
      <c r="H2328" s="31"/>
      <c r="I2328" s="56"/>
      <c r="J2328" s="56"/>
      <c r="K2328" s="82" t="str">
        <f t="shared" si="723"/>
        <v>Credit Memo</v>
      </c>
      <c r="L2328" s="83" t="str">
        <f>"SC_100211"</f>
        <v>SC_100211</v>
      </c>
      <c r="M2328" s="84">
        <v>42837</v>
      </c>
      <c r="N2328" s="85">
        <f t="shared" si="716"/>
        <v>975</v>
      </c>
      <c r="O2328" s="86">
        <f t="shared" si="717"/>
        <v>-164.41</v>
      </c>
      <c r="P2328" s="86">
        <f t="shared" si="718"/>
        <v>0</v>
      </c>
      <c r="Q2328" s="86">
        <f t="shared" si="719"/>
        <v>0</v>
      </c>
      <c r="R2328" s="86">
        <f t="shared" si="720"/>
        <v>0</v>
      </c>
      <c r="S2328" s="86">
        <f t="shared" si="721"/>
        <v>0</v>
      </c>
      <c r="T2328" s="86">
        <f t="shared" si="722"/>
        <v>-164.41</v>
      </c>
      <c r="U2328" s="87">
        <v>-164.41</v>
      </c>
    </row>
    <row r="2329" spans="1:21" s="30" customFormat="1" ht="24.6" hidden="1" outlineLevel="1" x14ac:dyDescent="0.55000000000000004">
      <c r="A2329" s="27" t="s">
        <v>327</v>
      </c>
      <c r="B2329" s="28"/>
      <c r="C2329" s="27"/>
      <c r="D2329" s="27" t="str">
        <f>"""NAV Direct"",""CRONUS JetCorp USA"",""21"",""1"",""429595"""</f>
        <v>"NAV Direct","CRONUS JetCorp USA","21","1","429595"</v>
      </c>
      <c r="E2329" s="31" t="str">
        <f t="shared" si="714"/>
        <v>C100075</v>
      </c>
      <c r="F2329" s="31"/>
      <c r="G2329" s="31"/>
      <c r="H2329" s="31"/>
      <c r="I2329" s="56"/>
      <c r="J2329" s="56"/>
      <c r="K2329" s="82" t="str">
        <f t="shared" si="723"/>
        <v>Credit Memo</v>
      </c>
      <c r="L2329" s="83" t="str">
        <f>"SC_100214"</f>
        <v>SC_100214</v>
      </c>
      <c r="M2329" s="84">
        <v>43020</v>
      </c>
      <c r="N2329" s="85">
        <f t="shared" si="716"/>
        <v>792</v>
      </c>
      <c r="O2329" s="86">
        <f t="shared" si="717"/>
        <v>-142.68</v>
      </c>
      <c r="P2329" s="86">
        <f t="shared" si="718"/>
        <v>0</v>
      </c>
      <c r="Q2329" s="86">
        <f t="shared" si="719"/>
        <v>0</v>
      </c>
      <c r="R2329" s="86">
        <f t="shared" si="720"/>
        <v>0</v>
      </c>
      <c r="S2329" s="86">
        <f t="shared" si="721"/>
        <v>0</v>
      </c>
      <c r="T2329" s="86">
        <f t="shared" si="722"/>
        <v>-142.68</v>
      </c>
      <c r="U2329" s="87">
        <v>-142.68</v>
      </c>
    </row>
    <row r="2330" spans="1:21" s="30" customFormat="1" ht="24.6" hidden="1" outlineLevel="1" x14ac:dyDescent="0.55000000000000004">
      <c r="A2330" s="27" t="s">
        <v>327</v>
      </c>
      <c r="B2330" s="28"/>
      <c r="C2330" s="27"/>
      <c r="D2330" s="27" t="str">
        <f>"""NAV Direct"",""CRONUS JetCorp USA"",""21"",""1"",""429638"""</f>
        <v>"NAV Direct","CRONUS JetCorp USA","21","1","429638"</v>
      </c>
      <c r="E2330" s="31">
        <f t="shared" si="714"/>
        <v>0</v>
      </c>
      <c r="F2330" s="31"/>
      <c r="G2330" s="31"/>
      <c r="H2330" s="31"/>
      <c r="I2330" s="56"/>
      <c r="J2330" s="56"/>
      <c r="K2330" s="82" t="str">
        <f t="shared" si="723"/>
        <v>Credit Memo</v>
      </c>
      <c r="L2330" s="83" t="str">
        <f>"SC_100217"</f>
        <v>SC_100217</v>
      </c>
      <c r="M2330" s="84">
        <v>43119</v>
      </c>
      <c r="N2330" s="85">
        <f t="shared" si="716"/>
        <v>693</v>
      </c>
      <c r="O2330" s="86">
        <f t="shared" si="717"/>
        <v>-145.88000000000002</v>
      </c>
      <c r="P2330" s="86">
        <f t="shared" si="718"/>
        <v>0</v>
      </c>
      <c r="Q2330" s="86">
        <f t="shared" si="719"/>
        <v>0</v>
      </c>
      <c r="R2330" s="86">
        <f t="shared" si="720"/>
        <v>0</v>
      </c>
      <c r="S2330" s="86">
        <f t="shared" si="721"/>
        <v>0</v>
      </c>
      <c r="T2330" s="86">
        <f t="shared" si="722"/>
        <v>-145.88000000000002</v>
      </c>
      <c r="U2330" s="87">
        <v>-145.88000000000002</v>
      </c>
    </row>
    <row r="2331" spans="1:21" s="30" customFormat="1" ht="24.6" hidden="1" outlineLevel="1" x14ac:dyDescent="0.55000000000000004">
      <c r="A2331" s="27" t="s">
        <v>327</v>
      </c>
      <c r="B2331" s="28"/>
      <c r="C2331" s="27"/>
      <c r="D2331" s="27" t="str">
        <f>"""NAV Direct"",""CRONUS JetCorp USA"",""21"",""1"",""429647"""</f>
        <v>"NAV Direct","CRONUS JetCorp USA","21","1","429647"</v>
      </c>
      <c r="E2331" s="31" t="str">
        <f t="shared" si="714"/>
        <v>C100075</v>
      </c>
      <c r="F2331" s="31"/>
      <c r="G2331" s="31"/>
      <c r="H2331" s="31"/>
      <c r="I2331" s="56"/>
      <c r="J2331" s="56"/>
      <c r="K2331" s="82" t="str">
        <f t="shared" si="723"/>
        <v>Credit Memo</v>
      </c>
      <c r="L2331" s="83" t="str">
        <f>"SC_100218"</f>
        <v>SC_100218</v>
      </c>
      <c r="M2331" s="84">
        <v>43109</v>
      </c>
      <c r="N2331" s="85">
        <f t="shared" si="716"/>
        <v>703</v>
      </c>
      <c r="O2331" s="86">
        <f t="shared" si="717"/>
        <v>-139.11000000000001</v>
      </c>
      <c r="P2331" s="86">
        <f t="shared" si="718"/>
        <v>0</v>
      </c>
      <c r="Q2331" s="86">
        <f t="shared" si="719"/>
        <v>0</v>
      </c>
      <c r="R2331" s="86">
        <f t="shared" si="720"/>
        <v>0</v>
      </c>
      <c r="S2331" s="86">
        <f t="shared" si="721"/>
        <v>0</v>
      </c>
      <c r="T2331" s="86">
        <f t="shared" si="722"/>
        <v>-139.11000000000001</v>
      </c>
      <c r="U2331" s="87">
        <v>-139.11000000000001</v>
      </c>
    </row>
    <row r="2332" spans="1:21" s="30" customFormat="1" ht="24.6" hidden="1" outlineLevel="1" x14ac:dyDescent="0.55000000000000004">
      <c r="A2332" s="27" t="s">
        <v>327</v>
      </c>
      <c r="B2332" s="28"/>
      <c r="C2332" s="27"/>
      <c r="D2332" s="27" t="str">
        <f>"""NAV Direct"",""CRONUS JetCorp USA"",""21"",""1"",""429738"""</f>
        <v>"NAV Direct","CRONUS JetCorp USA","21","1","429738"</v>
      </c>
      <c r="E2332" s="31">
        <f t="shared" si="714"/>
        <v>0</v>
      </c>
      <c r="F2332" s="31"/>
      <c r="G2332" s="31"/>
      <c r="H2332" s="31"/>
      <c r="I2332" s="56"/>
      <c r="J2332" s="56"/>
      <c r="K2332" s="82" t="str">
        <f t="shared" si="723"/>
        <v>Credit Memo</v>
      </c>
      <c r="L2332" s="83" t="str">
        <f>"SC_100223"</f>
        <v>SC_100223</v>
      </c>
      <c r="M2332" s="84">
        <v>43257</v>
      </c>
      <c r="N2332" s="85">
        <f t="shared" si="716"/>
        <v>555</v>
      </c>
      <c r="O2332" s="86">
        <f t="shared" si="717"/>
        <v>-144.97999999999999</v>
      </c>
      <c r="P2332" s="86">
        <f t="shared" si="718"/>
        <v>0</v>
      </c>
      <c r="Q2332" s="86">
        <f t="shared" si="719"/>
        <v>0</v>
      </c>
      <c r="R2332" s="86">
        <f t="shared" si="720"/>
        <v>0</v>
      </c>
      <c r="S2332" s="86">
        <f t="shared" si="721"/>
        <v>0</v>
      </c>
      <c r="T2332" s="86">
        <f t="shared" si="722"/>
        <v>-144.97999999999999</v>
      </c>
      <c r="U2332" s="87">
        <v>-144.97999999999999</v>
      </c>
    </row>
    <row r="2333" spans="1:21" s="30" customFormat="1" ht="24.6" hidden="1" outlineLevel="1" x14ac:dyDescent="0.55000000000000004">
      <c r="A2333" s="27" t="s">
        <v>327</v>
      </c>
      <c r="B2333" s="28"/>
      <c r="C2333" s="27"/>
      <c r="D2333" s="27" t="str">
        <f>"""NAV Direct"",""CRONUS JetCorp USA"",""21"",""1"",""429766"""</f>
        <v>"NAV Direct","CRONUS JetCorp USA","21","1","429766"</v>
      </c>
      <c r="E2333" s="31" t="str">
        <f t="shared" si="714"/>
        <v>C100075</v>
      </c>
      <c r="F2333" s="31"/>
      <c r="G2333" s="31"/>
      <c r="H2333" s="31"/>
      <c r="I2333" s="56"/>
      <c r="J2333" s="56"/>
      <c r="K2333" s="82" t="str">
        <f t="shared" si="723"/>
        <v>Credit Memo</v>
      </c>
      <c r="L2333" s="83" t="str">
        <f>"SC_100225"</f>
        <v>SC_100225</v>
      </c>
      <c r="M2333" s="84">
        <v>43317</v>
      </c>
      <c r="N2333" s="85">
        <f t="shared" si="716"/>
        <v>495</v>
      </c>
      <c r="O2333" s="86">
        <f t="shared" si="717"/>
        <v>-143.43</v>
      </c>
      <c r="P2333" s="86">
        <f t="shared" si="718"/>
        <v>0</v>
      </c>
      <c r="Q2333" s="86">
        <f t="shared" si="719"/>
        <v>0</v>
      </c>
      <c r="R2333" s="86">
        <f t="shared" si="720"/>
        <v>0</v>
      </c>
      <c r="S2333" s="86">
        <f t="shared" si="721"/>
        <v>0</v>
      </c>
      <c r="T2333" s="86">
        <f t="shared" si="722"/>
        <v>-143.43</v>
      </c>
      <c r="U2333" s="87">
        <v>-143.43</v>
      </c>
    </row>
    <row r="2334" spans="1:21" s="30" customFormat="1" ht="24.6" hidden="1" outlineLevel="1" x14ac:dyDescent="0.55000000000000004">
      <c r="A2334" s="27" t="s">
        <v>327</v>
      </c>
      <c r="B2334" s="28"/>
      <c r="C2334" s="27"/>
      <c r="D2334" s="27" t="str">
        <f>"""NAV Direct"",""CRONUS JetCorp USA"",""21"",""1"",""429777"""</f>
        <v>"NAV Direct","CRONUS JetCorp USA","21","1","429777"</v>
      </c>
      <c r="E2334" s="31">
        <f t="shared" si="714"/>
        <v>0</v>
      </c>
      <c r="F2334" s="31"/>
      <c r="G2334" s="31"/>
      <c r="H2334" s="31"/>
      <c r="I2334" s="56"/>
      <c r="J2334" s="56"/>
      <c r="K2334" s="82" t="str">
        <f t="shared" si="723"/>
        <v>Credit Memo</v>
      </c>
      <c r="L2334" s="83" t="str">
        <f>"SC_100226"</f>
        <v>SC_100226</v>
      </c>
      <c r="M2334" s="84">
        <v>43361</v>
      </c>
      <c r="N2334" s="85">
        <f t="shared" si="716"/>
        <v>451</v>
      </c>
      <c r="O2334" s="86">
        <f t="shared" si="717"/>
        <v>-151.64000000000001</v>
      </c>
      <c r="P2334" s="86">
        <f t="shared" si="718"/>
        <v>0</v>
      </c>
      <c r="Q2334" s="86">
        <f t="shared" si="719"/>
        <v>0</v>
      </c>
      <c r="R2334" s="86">
        <f t="shared" si="720"/>
        <v>0</v>
      </c>
      <c r="S2334" s="86">
        <f t="shared" si="721"/>
        <v>0</v>
      </c>
      <c r="T2334" s="86">
        <f t="shared" si="722"/>
        <v>-151.64000000000001</v>
      </c>
      <c r="U2334" s="87">
        <v>-151.64000000000001</v>
      </c>
    </row>
    <row r="2335" spans="1:21" s="30" customFormat="1" ht="24.6" hidden="1" outlineLevel="1" x14ac:dyDescent="0.55000000000000004">
      <c r="A2335" s="27" t="s">
        <v>327</v>
      </c>
      <c r="B2335" s="28"/>
      <c r="C2335" s="27"/>
      <c r="D2335" s="27" t="str">
        <f>"""NAV Direct"",""CRONUS JetCorp USA"",""21"",""1"",""429820"""</f>
        <v>"NAV Direct","CRONUS JetCorp USA","21","1","429820"</v>
      </c>
      <c r="E2335" s="31" t="str">
        <f t="shared" si="714"/>
        <v>C100075</v>
      </c>
      <c r="F2335" s="31"/>
      <c r="G2335" s="31"/>
      <c r="H2335" s="31"/>
      <c r="I2335" s="56"/>
      <c r="J2335" s="56"/>
      <c r="K2335" s="82" t="str">
        <f t="shared" si="723"/>
        <v>Credit Memo</v>
      </c>
      <c r="L2335" s="83" t="str">
        <f>"SC_100229"</f>
        <v>SC_100229</v>
      </c>
      <c r="M2335" s="84">
        <v>43430</v>
      </c>
      <c r="N2335" s="85">
        <f t="shared" si="716"/>
        <v>382</v>
      </c>
      <c r="O2335" s="86">
        <f t="shared" si="717"/>
        <v>-152.09</v>
      </c>
      <c r="P2335" s="86">
        <f t="shared" si="718"/>
        <v>0</v>
      </c>
      <c r="Q2335" s="86">
        <f t="shared" si="719"/>
        <v>0</v>
      </c>
      <c r="R2335" s="86">
        <f t="shared" si="720"/>
        <v>0</v>
      </c>
      <c r="S2335" s="86">
        <f t="shared" si="721"/>
        <v>0</v>
      </c>
      <c r="T2335" s="86">
        <f t="shared" si="722"/>
        <v>-152.09</v>
      </c>
      <c r="U2335" s="87">
        <v>-152.09</v>
      </c>
    </row>
    <row r="2336" spans="1:21" s="30" customFormat="1" ht="24.6" hidden="1" outlineLevel="1" x14ac:dyDescent="0.55000000000000004">
      <c r="A2336" s="27" t="s">
        <v>327</v>
      </c>
      <c r="B2336" s="28"/>
      <c r="C2336" s="27"/>
      <c r="D2336" s="27" t="str">
        <f>"""NAV Direct"",""CRONUS JetCorp USA"",""21"",""1"",""429867"""</f>
        <v>"NAV Direct","CRONUS JetCorp USA","21","1","429867"</v>
      </c>
      <c r="E2336" s="31">
        <f t="shared" si="714"/>
        <v>0</v>
      </c>
      <c r="F2336" s="31"/>
      <c r="G2336" s="31"/>
      <c r="H2336" s="31"/>
      <c r="I2336" s="56"/>
      <c r="J2336" s="56"/>
      <c r="K2336" s="82" t="str">
        <f t="shared" si="723"/>
        <v>Credit Memo</v>
      </c>
      <c r="L2336" s="83" t="str">
        <f>"SC_100232"</f>
        <v>SC_100232</v>
      </c>
      <c r="M2336" s="84">
        <v>43502</v>
      </c>
      <c r="N2336" s="85">
        <f t="shared" si="716"/>
        <v>310</v>
      </c>
      <c r="O2336" s="86">
        <f t="shared" si="717"/>
        <v>-158.91999999999999</v>
      </c>
      <c r="P2336" s="86">
        <f t="shared" si="718"/>
        <v>0</v>
      </c>
      <c r="Q2336" s="86">
        <f t="shared" si="719"/>
        <v>0</v>
      </c>
      <c r="R2336" s="86">
        <f t="shared" si="720"/>
        <v>0</v>
      </c>
      <c r="S2336" s="86">
        <f t="shared" si="721"/>
        <v>0</v>
      </c>
      <c r="T2336" s="86">
        <f t="shared" si="722"/>
        <v>-158.91999999999999</v>
      </c>
      <c r="U2336" s="87">
        <v>-158.91999999999999</v>
      </c>
    </row>
    <row r="2337" spans="1:22" s="30" customFormat="1" ht="24.6" hidden="1" outlineLevel="1" x14ac:dyDescent="0.55000000000000004">
      <c r="A2337" s="27" t="s">
        <v>327</v>
      </c>
      <c r="B2337" s="28"/>
      <c r="C2337" s="27"/>
      <c r="D2337" s="27" t="str">
        <f>"""NAV Direct"",""CRONUS JetCorp USA"",""21"",""1"",""429889"""</f>
        <v>"NAV Direct","CRONUS JetCorp USA","21","1","429889"</v>
      </c>
      <c r="E2337" s="31" t="str">
        <f t="shared" si="714"/>
        <v>C100075</v>
      </c>
      <c r="F2337" s="31"/>
      <c r="G2337" s="31"/>
      <c r="H2337" s="31"/>
      <c r="I2337" s="56"/>
      <c r="J2337" s="56"/>
      <c r="K2337" s="82" t="str">
        <f t="shared" si="723"/>
        <v>Credit Memo</v>
      </c>
      <c r="L2337" s="83" t="str">
        <f>"SC_100234"</f>
        <v>SC_100234</v>
      </c>
      <c r="M2337" s="84">
        <v>43539</v>
      </c>
      <c r="N2337" s="85">
        <f t="shared" si="716"/>
        <v>273</v>
      </c>
      <c r="O2337" s="86">
        <f t="shared" si="717"/>
        <v>-151.52000000000001</v>
      </c>
      <c r="P2337" s="86">
        <f t="shared" si="718"/>
        <v>0</v>
      </c>
      <c r="Q2337" s="86">
        <f t="shared" si="719"/>
        <v>0</v>
      </c>
      <c r="R2337" s="86">
        <f t="shared" si="720"/>
        <v>0</v>
      </c>
      <c r="S2337" s="86">
        <f t="shared" si="721"/>
        <v>0</v>
      </c>
      <c r="T2337" s="86">
        <f t="shared" si="722"/>
        <v>-151.52000000000001</v>
      </c>
      <c r="U2337" s="87">
        <v>-151.52000000000001</v>
      </c>
    </row>
    <row r="2338" spans="1:22" s="30" customFormat="1" ht="24.6" hidden="1" outlineLevel="1" x14ac:dyDescent="0.55000000000000004">
      <c r="A2338" s="27" t="s">
        <v>327</v>
      </c>
      <c r="B2338" s="28"/>
      <c r="C2338" s="27"/>
      <c r="D2338" s="27" t="str">
        <f>"""NAV Direct"",""CRONUS JetCorp USA"",""21"",""1"",""429975"""</f>
        <v>"NAV Direct","CRONUS JetCorp USA","21","1","429975"</v>
      </c>
      <c r="E2338" s="31">
        <f t="shared" si="714"/>
        <v>0</v>
      </c>
      <c r="F2338" s="31"/>
      <c r="G2338" s="31"/>
      <c r="H2338" s="31"/>
      <c r="I2338" s="56"/>
      <c r="J2338" s="56"/>
      <c r="K2338" s="82" t="str">
        <f t="shared" si="723"/>
        <v>Credit Memo</v>
      </c>
      <c r="L2338" s="83" t="str">
        <f>"SC_100240"</f>
        <v>SC_100240</v>
      </c>
      <c r="M2338" s="84">
        <v>43605</v>
      </c>
      <c r="N2338" s="85">
        <f t="shared" si="716"/>
        <v>207</v>
      </c>
      <c r="O2338" s="86">
        <f t="shared" si="717"/>
        <v>-175.56</v>
      </c>
      <c r="P2338" s="86">
        <f t="shared" si="718"/>
        <v>0</v>
      </c>
      <c r="Q2338" s="86">
        <f t="shared" si="719"/>
        <v>0</v>
      </c>
      <c r="R2338" s="86">
        <f t="shared" si="720"/>
        <v>0</v>
      </c>
      <c r="S2338" s="86">
        <f t="shared" si="721"/>
        <v>0</v>
      </c>
      <c r="T2338" s="86">
        <f t="shared" si="722"/>
        <v>-175.56</v>
      </c>
      <c r="U2338" s="87">
        <v>-175.56</v>
      </c>
    </row>
    <row r="2339" spans="1:22" s="30" customFormat="1" ht="24.6" hidden="1" outlineLevel="1" x14ac:dyDescent="0.55000000000000004">
      <c r="A2339" s="27" t="s">
        <v>327</v>
      </c>
      <c r="B2339" s="28"/>
      <c r="C2339" s="27"/>
      <c r="D2339" s="27" t="str">
        <f>"""NAV Direct"",""CRONUS JetCorp USA"",""21"",""1"",""430003"""</f>
        <v>"NAV Direct","CRONUS JetCorp USA","21","1","430003"</v>
      </c>
      <c r="E2339" s="31" t="str">
        <f t="shared" si="714"/>
        <v>C100075</v>
      </c>
      <c r="F2339" s="31"/>
      <c r="G2339" s="31"/>
      <c r="H2339" s="31"/>
      <c r="I2339" s="56"/>
      <c r="J2339" s="56"/>
      <c r="K2339" s="82" t="str">
        <f t="shared" si="723"/>
        <v>Credit Memo</v>
      </c>
      <c r="L2339" s="83" t="str">
        <f>"SC_100242"</f>
        <v>SC_100242</v>
      </c>
      <c r="M2339" s="84">
        <v>43625</v>
      </c>
      <c r="N2339" s="85">
        <f t="shared" si="716"/>
        <v>187</v>
      </c>
      <c r="O2339" s="86">
        <f t="shared" si="717"/>
        <v>-226.63</v>
      </c>
      <c r="P2339" s="86">
        <f t="shared" si="718"/>
        <v>0</v>
      </c>
      <c r="Q2339" s="86">
        <f t="shared" si="719"/>
        <v>0</v>
      </c>
      <c r="R2339" s="86">
        <f t="shared" si="720"/>
        <v>0</v>
      </c>
      <c r="S2339" s="86">
        <f t="shared" si="721"/>
        <v>0</v>
      </c>
      <c r="T2339" s="86">
        <f t="shared" si="722"/>
        <v>-226.63</v>
      </c>
      <c r="U2339" s="87">
        <v>-226.63</v>
      </c>
    </row>
    <row r="2340" spans="1:22" s="30" customFormat="1" ht="24.6" hidden="1" outlineLevel="1" x14ac:dyDescent="0.55000000000000004">
      <c r="A2340" s="27" t="s">
        <v>327</v>
      </c>
      <c r="B2340" s="28"/>
      <c r="C2340" s="27"/>
      <c r="D2340" s="27" t="str">
        <f>"""NAV Direct"",""CRONUS JetCorp USA"",""21"",""1"",""430031"""</f>
        <v>"NAV Direct","CRONUS JetCorp USA","21","1","430031"</v>
      </c>
      <c r="E2340" s="31">
        <f t="shared" si="714"/>
        <v>0</v>
      </c>
      <c r="F2340" s="31"/>
      <c r="G2340" s="31"/>
      <c r="H2340" s="31"/>
      <c r="I2340" s="56"/>
      <c r="J2340" s="56"/>
      <c r="K2340" s="82" t="str">
        <f t="shared" si="723"/>
        <v>Credit Memo</v>
      </c>
      <c r="L2340" s="83" t="str">
        <f>"SC_100244"</f>
        <v>SC_100244</v>
      </c>
      <c r="M2340" s="84">
        <v>43669</v>
      </c>
      <c r="N2340" s="85">
        <f t="shared" si="716"/>
        <v>143</v>
      </c>
      <c r="O2340" s="86">
        <f t="shared" si="717"/>
        <v>-157.27000000000001</v>
      </c>
      <c r="P2340" s="86">
        <f t="shared" si="718"/>
        <v>0</v>
      </c>
      <c r="Q2340" s="86">
        <f t="shared" si="719"/>
        <v>0</v>
      </c>
      <c r="R2340" s="86">
        <f t="shared" si="720"/>
        <v>0</v>
      </c>
      <c r="S2340" s="86">
        <f t="shared" si="721"/>
        <v>0</v>
      </c>
      <c r="T2340" s="86">
        <f t="shared" si="722"/>
        <v>-157.27000000000001</v>
      </c>
      <c r="U2340" s="87">
        <v>-157.27000000000001</v>
      </c>
    </row>
    <row r="2341" spans="1:22" s="30" customFormat="1" ht="24.6" hidden="1" outlineLevel="1" x14ac:dyDescent="0.55000000000000004">
      <c r="A2341" s="27" t="s">
        <v>327</v>
      </c>
      <c r="B2341" s="28"/>
      <c r="C2341" s="27"/>
      <c r="D2341" s="27" t="str">
        <f>"""NAV Direct"",""CRONUS JetCorp USA"",""21"",""1"",""430229"""</f>
        <v>"NAV Direct","CRONUS JetCorp USA","21","1","430229"</v>
      </c>
      <c r="E2341" s="31" t="str">
        <f t="shared" si="714"/>
        <v>C100075</v>
      </c>
      <c r="F2341" s="31"/>
      <c r="G2341" s="31"/>
      <c r="H2341" s="31"/>
      <c r="I2341" s="56"/>
      <c r="J2341" s="56"/>
      <c r="K2341" s="82" t="str">
        <f t="shared" si="723"/>
        <v>Credit Memo</v>
      </c>
      <c r="L2341" s="83" t="str">
        <f>"SC_100256"</f>
        <v>SC_100256</v>
      </c>
      <c r="M2341" s="84">
        <v>42171</v>
      </c>
      <c r="N2341" s="85">
        <f t="shared" si="716"/>
        <v>1641</v>
      </c>
      <c r="O2341" s="86">
        <f t="shared" si="717"/>
        <v>-168.46</v>
      </c>
      <c r="P2341" s="86">
        <f t="shared" si="718"/>
        <v>0</v>
      </c>
      <c r="Q2341" s="86">
        <f t="shared" si="719"/>
        <v>0</v>
      </c>
      <c r="R2341" s="86">
        <f t="shared" si="720"/>
        <v>0</v>
      </c>
      <c r="S2341" s="86">
        <f t="shared" si="721"/>
        <v>0</v>
      </c>
      <c r="T2341" s="86">
        <f t="shared" si="722"/>
        <v>-168.46</v>
      </c>
      <c r="U2341" s="87">
        <v>-168.46</v>
      </c>
    </row>
    <row r="2342" spans="1:22" s="30" customFormat="1" ht="24.6" hidden="1" outlineLevel="1" x14ac:dyDescent="0.55000000000000004">
      <c r="A2342" s="27" t="s">
        <v>327</v>
      </c>
      <c r="B2342" s="28"/>
      <c r="C2342" s="27"/>
      <c r="D2342" s="27" t="str">
        <f>"""NAV Direct"",""CRONUS JetCorp USA"",""21"",""1"",""430291"""</f>
        <v>"NAV Direct","CRONUS JetCorp USA","21","1","430291"</v>
      </c>
      <c r="E2342" s="31">
        <f t="shared" si="714"/>
        <v>0</v>
      </c>
      <c r="F2342" s="31"/>
      <c r="G2342" s="31"/>
      <c r="H2342" s="31"/>
      <c r="I2342" s="56"/>
      <c r="J2342" s="56"/>
      <c r="K2342" s="82" t="str">
        <f t="shared" si="723"/>
        <v>Credit Memo</v>
      </c>
      <c r="L2342" s="83" t="str">
        <f>"SC_100260"</f>
        <v>SC_100260</v>
      </c>
      <c r="M2342" s="84">
        <v>42234</v>
      </c>
      <c r="N2342" s="85">
        <f t="shared" si="716"/>
        <v>1578</v>
      </c>
      <c r="O2342" s="86">
        <f t="shared" si="717"/>
        <v>-174.07</v>
      </c>
      <c r="P2342" s="86">
        <f t="shared" si="718"/>
        <v>0</v>
      </c>
      <c r="Q2342" s="86">
        <f t="shared" si="719"/>
        <v>0</v>
      </c>
      <c r="R2342" s="86">
        <f t="shared" si="720"/>
        <v>0</v>
      </c>
      <c r="S2342" s="86">
        <f t="shared" si="721"/>
        <v>0</v>
      </c>
      <c r="T2342" s="86">
        <f t="shared" si="722"/>
        <v>-174.07</v>
      </c>
      <c r="U2342" s="87">
        <v>-174.07</v>
      </c>
    </row>
    <row r="2343" spans="1:22" s="22" customFormat="1" ht="20.399999999999999" collapsed="1" x14ac:dyDescent="0.45">
      <c r="A2343" s="12" t="s">
        <v>327</v>
      </c>
      <c r="B2343" s="19"/>
      <c r="C2343" s="12"/>
      <c r="D2343" s="12"/>
      <c r="E2343" s="23"/>
      <c r="F2343" s="23"/>
      <c r="G2343" s="23"/>
      <c r="H2343" s="23"/>
      <c r="I2343" s="49"/>
      <c r="J2343" s="88"/>
      <c r="K2343" s="88"/>
      <c r="L2343" s="89"/>
      <c r="M2343" s="89"/>
      <c r="N2343" s="89"/>
      <c r="O2343" s="89"/>
      <c r="P2343" s="89"/>
      <c r="Q2343" s="90"/>
      <c r="R2343" s="90"/>
      <c r="S2343" s="91"/>
      <c r="T2343" s="92"/>
      <c r="U2343" s="92"/>
    </row>
    <row r="2344" spans="1:22" s="22" customFormat="1" ht="20.399999999999999" x14ac:dyDescent="0.45">
      <c r="A2344" s="12" t="s">
        <v>327</v>
      </c>
      <c r="B2344" s="19"/>
      <c r="C2344" s="12"/>
      <c r="D2344" s="12"/>
      <c r="E2344" s="23"/>
      <c r="F2344" s="23"/>
      <c r="G2344" s="23"/>
      <c r="H2344" s="23"/>
      <c r="I2344" s="49"/>
      <c r="J2344" s="88"/>
      <c r="K2344" s="88"/>
      <c r="L2344" s="89"/>
      <c r="M2344" s="89"/>
      <c r="N2344" s="89"/>
      <c r="O2344" s="89"/>
      <c r="P2344" s="89"/>
      <c r="Q2344" s="90"/>
      <c r="R2344" s="90"/>
      <c r="S2344" s="91"/>
      <c r="T2344" s="92"/>
      <c r="U2344" s="92"/>
    </row>
    <row r="2345" spans="1:22" s="26" customFormat="1" ht="24.6" x14ac:dyDescent="0.55000000000000004">
      <c r="A2345" s="27" t="s">
        <v>327</v>
      </c>
      <c r="B2345" s="28"/>
      <c r="C2345" s="27" t="str">
        <f>"""NAV Direct"",""CRONUS JetCorp USA"",""18"",""1"",""C100076"""</f>
        <v>"NAV Direct","CRONUS JetCorp USA","18","1","C100076"</v>
      </c>
      <c r="D2345" s="27"/>
      <c r="E2345" s="28" t="str">
        <f>H2345</f>
        <v>C100076</v>
      </c>
      <c r="F2345" s="28"/>
      <c r="G2345" s="28"/>
      <c r="H2345" s="28" t="str">
        <f>"C100076"</f>
        <v>C100076</v>
      </c>
      <c r="I2345" s="116" t="str">
        <f>"C100076  -  Showmasters"</f>
        <v>C100076  -  Showmasters</v>
      </c>
      <c r="J2345" s="117" t="str">
        <f>""</f>
        <v/>
      </c>
      <c r="K2345" s="118"/>
      <c r="L2345" s="119">
        <f>SUBTOTAL(3,L2346:L2406)</f>
        <v>57</v>
      </c>
      <c r="M2345" s="118"/>
      <c r="N2345" s="118"/>
      <c r="O2345" s="120">
        <f t="shared" ref="O2345:T2345" si="724">SUBTOTAL(9,O2346:O2406)</f>
        <v>572313.75000000012</v>
      </c>
      <c r="P2345" s="120">
        <f t="shared" si="724"/>
        <v>0</v>
      </c>
      <c r="Q2345" s="120">
        <f t="shared" si="724"/>
        <v>0</v>
      </c>
      <c r="R2345" s="120">
        <f t="shared" si="724"/>
        <v>14501.749999999998</v>
      </c>
      <c r="S2345" s="120">
        <f t="shared" si="724"/>
        <v>0</v>
      </c>
      <c r="T2345" s="120">
        <f t="shared" si="724"/>
        <v>557812</v>
      </c>
      <c r="U2345" s="81"/>
    </row>
    <row r="2346" spans="1:22" s="26" customFormat="1" ht="24.6" x14ac:dyDescent="0.55000000000000004">
      <c r="A2346" s="27" t="s">
        <v>327</v>
      </c>
      <c r="B2346" s="28"/>
      <c r="C2346" s="27" t="str">
        <f>C2345</f>
        <v>"NAV Direct","CRONUS JetCorp USA","18","1","C100076"</v>
      </c>
      <c r="D2346" s="27"/>
      <c r="E2346" s="28" t="str">
        <f>E2345</f>
        <v>C100076</v>
      </c>
      <c r="F2346" s="28"/>
      <c r="G2346" s="28"/>
      <c r="H2346" s="28"/>
      <c r="I2346" s="121" t="str">
        <f>"Contact: Mr. Scott Mitchell"</f>
        <v>Contact: Mr. Scott Mitchell</v>
      </c>
      <c r="J2346" s="121"/>
      <c r="K2346" s="122"/>
      <c r="L2346" s="123"/>
      <c r="M2346" s="123"/>
      <c r="N2346" s="124"/>
      <c r="O2346" s="124"/>
      <c r="P2346" s="123"/>
      <c r="Q2346" s="125"/>
      <c r="R2346" s="126"/>
      <c r="S2346" s="126"/>
      <c r="T2346" s="125"/>
      <c r="U2346" s="81"/>
    </row>
    <row r="2347" spans="1:22" s="26" customFormat="1" ht="24.6" x14ac:dyDescent="0.55000000000000004">
      <c r="A2347" s="27" t="s">
        <v>327</v>
      </c>
      <c r="B2347" s="28"/>
      <c r="C2347" s="27" t="str">
        <f>C2346</f>
        <v>"NAV Direct","CRONUS JetCorp USA","18","1","C100076"</v>
      </c>
      <c r="D2347" s="27"/>
      <c r="E2347" s="28" t="str">
        <f>E2346</f>
        <v>C100076</v>
      </c>
      <c r="F2347" s="28"/>
      <c r="G2347" s="28"/>
      <c r="H2347" s="28"/>
      <c r="I2347" s="121" t="str">
        <f>"progressive.home.furnishings@cronuscorp.net"</f>
        <v>progressive.home.furnishings@cronuscorp.net</v>
      </c>
      <c r="J2347" s="121"/>
      <c r="K2347" s="122"/>
      <c r="L2347" s="124"/>
      <c r="M2347" s="124"/>
      <c r="N2347" s="124"/>
      <c r="O2347" s="124"/>
      <c r="P2347" s="123"/>
      <c r="Q2347" s="125"/>
      <c r="R2347" s="126"/>
      <c r="S2347" s="126"/>
      <c r="T2347" s="125"/>
      <c r="U2347" s="81"/>
    </row>
    <row r="2348" spans="1:22" ht="12.75" hidden="1" customHeight="1" outlineLevel="1" x14ac:dyDescent="0.45">
      <c r="A2348" s="12" t="s">
        <v>328</v>
      </c>
      <c r="B2348" s="19"/>
      <c r="E2348" s="19"/>
      <c r="F2348" s="19"/>
      <c r="G2348" s="19"/>
      <c r="H2348" s="19"/>
      <c r="I2348" s="61"/>
      <c r="J2348" s="61"/>
      <c r="K2348" s="61"/>
      <c r="L2348" s="61"/>
      <c r="M2348" s="61"/>
      <c r="N2348" s="61"/>
      <c r="O2348" s="61"/>
      <c r="P2348" s="61"/>
      <c r="Q2348" s="61"/>
      <c r="R2348" s="61"/>
      <c r="S2348" s="61"/>
      <c r="T2348" s="61"/>
      <c r="U2348" s="61"/>
      <c r="V2348" s="21"/>
    </row>
    <row r="2349" spans="1:22" s="30" customFormat="1" ht="24.6" hidden="1" outlineLevel="1" x14ac:dyDescent="0.55000000000000004">
      <c r="A2349" s="27" t="s">
        <v>327</v>
      </c>
      <c r="B2349" s="28"/>
      <c r="C2349" s="27"/>
      <c r="D2349" s="27" t="str">
        <f>"""NAV Direct"",""CRONUS JetCorp USA"",""21"",""1"",""22870"""</f>
        <v>"NAV Direct","CRONUS JetCorp USA","21","1","22870"</v>
      </c>
      <c r="E2349" s="31" t="str">
        <f t="shared" ref="E2349:E2380" si="725">E2347</f>
        <v>C100076</v>
      </c>
      <c r="F2349" s="31"/>
      <c r="G2349" s="31"/>
      <c r="H2349" s="31"/>
      <c r="I2349" s="56"/>
      <c r="J2349" s="56"/>
      <c r="K2349" s="82" t="str">
        <f t="shared" ref="K2349:K2390" si="726">"Invoice"</f>
        <v>Invoice</v>
      </c>
      <c r="L2349" s="83" t="str">
        <f>"SI_104155"</f>
        <v>SI_104155</v>
      </c>
      <c r="M2349" s="84">
        <v>42354</v>
      </c>
      <c r="N2349" s="85">
        <f t="shared" ref="N2349:N2380" si="727">StartDate-$M2349+1</f>
        <v>1458</v>
      </c>
      <c r="O2349" s="86">
        <f t="shared" ref="O2349:O2380" si="728">SUM(P2349:T2349)</f>
        <v>17213.73</v>
      </c>
      <c r="P2349" s="86">
        <f t="shared" ref="P2349:P2380" si="729">IF($M2349&gt;=$P$18,U2349,0)</f>
        <v>0</v>
      </c>
      <c r="Q2349" s="86">
        <f t="shared" ref="Q2349:Q2380" si="730">IF(AND($M2349&gt;=$Q$16,$M2349&lt;=$Q$18),U2349,0)</f>
        <v>0</v>
      </c>
      <c r="R2349" s="86">
        <f t="shared" ref="R2349:R2380" si="731">IF(AND($M2349&gt;=$R$16,$M2349&lt;=$R$18),U2349,0)</f>
        <v>0</v>
      </c>
      <c r="S2349" s="86">
        <f t="shared" ref="S2349:S2380" si="732">IF(AND($M2349&gt;=$S$16,$M2349&lt;=$S$18),U2349,0)</f>
        <v>0</v>
      </c>
      <c r="T2349" s="86">
        <f t="shared" ref="T2349:T2380" si="733">IF($M2349&lt;=$T$18,U2349,0)</f>
        <v>17213.73</v>
      </c>
      <c r="U2349" s="87">
        <v>17213.73</v>
      </c>
    </row>
    <row r="2350" spans="1:22" s="30" customFormat="1" ht="24.6" hidden="1" outlineLevel="1" x14ac:dyDescent="0.55000000000000004">
      <c r="A2350" s="27" t="s">
        <v>327</v>
      </c>
      <c r="B2350" s="28"/>
      <c r="C2350" s="27"/>
      <c r="D2350" s="27" t="str">
        <f>"""NAV Direct"",""CRONUS JetCorp USA"",""21"",""1"",""22993"""</f>
        <v>"NAV Direct","CRONUS JetCorp USA","21","1","22993"</v>
      </c>
      <c r="E2350" s="31">
        <f t="shared" si="725"/>
        <v>0</v>
      </c>
      <c r="F2350" s="31"/>
      <c r="G2350" s="31"/>
      <c r="H2350" s="31"/>
      <c r="I2350" s="56"/>
      <c r="J2350" s="56"/>
      <c r="K2350" s="82" t="str">
        <f t="shared" si="726"/>
        <v>Invoice</v>
      </c>
      <c r="L2350" s="83" t="str">
        <f>"SI_104160"</f>
        <v>SI_104160</v>
      </c>
      <c r="M2350" s="84">
        <v>42751</v>
      </c>
      <c r="N2350" s="85">
        <f t="shared" si="727"/>
        <v>1061</v>
      </c>
      <c r="O2350" s="86">
        <f t="shared" si="728"/>
        <v>17333.03</v>
      </c>
      <c r="P2350" s="86">
        <f t="shared" si="729"/>
        <v>0</v>
      </c>
      <c r="Q2350" s="86">
        <f t="shared" si="730"/>
        <v>0</v>
      </c>
      <c r="R2350" s="86">
        <f t="shared" si="731"/>
        <v>0</v>
      </c>
      <c r="S2350" s="86">
        <f t="shared" si="732"/>
        <v>0</v>
      </c>
      <c r="T2350" s="86">
        <f t="shared" si="733"/>
        <v>17333.03</v>
      </c>
      <c r="U2350" s="87">
        <v>17333.03</v>
      </c>
    </row>
    <row r="2351" spans="1:22" s="30" customFormat="1" ht="24.6" hidden="1" outlineLevel="1" x14ac:dyDescent="0.55000000000000004">
      <c r="A2351" s="27" t="s">
        <v>327</v>
      </c>
      <c r="B2351" s="28"/>
      <c r="C2351" s="27"/>
      <c r="D2351" s="27" t="str">
        <f>"""NAV Direct"",""CRONUS JetCorp USA"",""21"",""1"",""313832"""</f>
        <v>"NAV Direct","CRONUS JetCorp USA","21","1","313832"</v>
      </c>
      <c r="E2351" s="31" t="str">
        <f t="shared" si="725"/>
        <v>C100076</v>
      </c>
      <c r="F2351" s="31"/>
      <c r="G2351" s="31"/>
      <c r="H2351" s="31"/>
      <c r="I2351" s="56"/>
      <c r="J2351" s="56"/>
      <c r="K2351" s="82" t="str">
        <f t="shared" si="726"/>
        <v>Invoice</v>
      </c>
      <c r="L2351" s="83" t="str">
        <f>"SI_109726"</f>
        <v>SI_109726</v>
      </c>
      <c r="M2351" s="84">
        <v>42505</v>
      </c>
      <c r="N2351" s="85">
        <f t="shared" si="727"/>
        <v>1307</v>
      </c>
      <c r="O2351" s="86">
        <f t="shared" si="728"/>
        <v>12778.41</v>
      </c>
      <c r="P2351" s="86">
        <f t="shared" si="729"/>
        <v>0</v>
      </c>
      <c r="Q2351" s="86">
        <f t="shared" si="730"/>
        <v>0</v>
      </c>
      <c r="R2351" s="86">
        <f t="shared" si="731"/>
        <v>0</v>
      </c>
      <c r="S2351" s="86">
        <f t="shared" si="732"/>
        <v>0</v>
      </c>
      <c r="T2351" s="86">
        <f t="shared" si="733"/>
        <v>12778.41</v>
      </c>
      <c r="U2351" s="87">
        <v>12778.41</v>
      </c>
    </row>
    <row r="2352" spans="1:22" s="30" customFormat="1" ht="24.6" hidden="1" outlineLevel="1" x14ac:dyDescent="0.55000000000000004">
      <c r="A2352" s="27" t="s">
        <v>327</v>
      </c>
      <c r="B2352" s="28"/>
      <c r="C2352" s="27"/>
      <c r="D2352" s="27" t="str">
        <f>"""NAV Direct"",""CRONUS JetCorp USA"",""21"",""1"",""313941"""</f>
        <v>"NAV Direct","CRONUS JetCorp USA","21","1","313941"</v>
      </c>
      <c r="E2352" s="31">
        <f t="shared" si="725"/>
        <v>0</v>
      </c>
      <c r="F2352" s="31"/>
      <c r="G2352" s="31"/>
      <c r="H2352" s="31"/>
      <c r="I2352" s="56"/>
      <c r="J2352" s="56"/>
      <c r="K2352" s="82" t="str">
        <f t="shared" si="726"/>
        <v>Invoice</v>
      </c>
      <c r="L2352" s="83" t="str">
        <f>"SI_109731"</f>
        <v>SI_109731</v>
      </c>
      <c r="M2352" s="84">
        <v>42560</v>
      </c>
      <c r="N2352" s="85">
        <f t="shared" si="727"/>
        <v>1252</v>
      </c>
      <c r="O2352" s="86">
        <f t="shared" si="728"/>
        <v>12780.400000000001</v>
      </c>
      <c r="P2352" s="86">
        <f t="shared" si="729"/>
        <v>0</v>
      </c>
      <c r="Q2352" s="86">
        <f t="shared" si="730"/>
        <v>0</v>
      </c>
      <c r="R2352" s="86">
        <f t="shared" si="731"/>
        <v>0</v>
      </c>
      <c r="S2352" s="86">
        <f t="shared" si="732"/>
        <v>0</v>
      </c>
      <c r="T2352" s="86">
        <f t="shared" si="733"/>
        <v>12780.400000000001</v>
      </c>
      <c r="U2352" s="87">
        <v>12780.400000000001</v>
      </c>
    </row>
    <row r="2353" spans="1:21" s="30" customFormat="1" ht="24.6" hidden="1" outlineLevel="1" x14ac:dyDescent="0.55000000000000004">
      <c r="A2353" s="27" t="s">
        <v>327</v>
      </c>
      <c r="B2353" s="28"/>
      <c r="C2353" s="27"/>
      <c r="D2353" s="27" t="str">
        <f>"""NAV Direct"",""CRONUS JetCorp USA"",""21"",""1"",""314043"""</f>
        <v>"NAV Direct","CRONUS JetCorp USA","21","1","314043"</v>
      </c>
      <c r="E2353" s="31" t="str">
        <f t="shared" si="725"/>
        <v>C100076</v>
      </c>
      <c r="F2353" s="31"/>
      <c r="G2353" s="31"/>
      <c r="H2353" s="31"/>
      <c r="I2353" s="56"/>
      <c r="J2353" s="56"/>
      <c r="K2353" s="82" t="str">
        <f t="shared" si="726"/>
        <v>Invoice</v>
      </c>
      <c r="L2353" s="83" t="str">
        <f>"SI_109735"</f>
        <v>SI_109735</v>
      </c>
      <c r="M2353" s="84">
        <v>42573</v>
      </c>
      <c r="N2353" s="85">
        <f t="shared" si="727"/>
        <v>1239</v>
      </c>
      <c r="O2353" s="86">
        <f t="shared" si="728"/>
        <v>13045.96</v>
      </c>
      <c r="P2353" s="86">
        <f t="shared" si="729"/>
        <v>0</v>
      </c>
      <c r="Q2353" s="86">
        <f t="shared" si="730"/>
        <v>0</v>
      </c>
      <c r="R2353" s="86">
        <f t="shared" si="731"/>
        <v>0</v>
      </c>
      <c r="S2353" s="86">
        <f t="shared" si="732"/>
        <v>0</v>
      </c>
      <c r="T2353" s="86">
        <f t="shared" si="733"/>
        <v>13045.96</v>
      </c>
      <c r="U2353" s="87">
        <v>13045.96</v>
      </c>
    </row>
    <row r="2354" spans="1:21" s="30" customFormat="1" ht="24.6" hidden="1" outlineLevel="1" x14ac:dyDescent="0.55000000000000004">
      <c r="A2354" s="27" t="s">
        <v>327</v>
      </c>
      <c r="B2354" s="28"/>
      <c r="C2354" s="27"/>
      <c r="D2354" s="27" t="str">
        <f>"""NAV Direct"",""CRONUS JetCorp USA"",""21"",""1"",""314112"""</f>
        <v>"NAV Direct","CRONUS JetCorp USA","21","1","314112"</v>
      </c>
      <c r="E2354" s="31">
        <f t="shared" si="725"/>
        <v>0</v>
      </c>
      <c r="F2354" s="31"/>
      <c r="G2354" s="31"/>
      <c r="H2354" s="31"/>
      <c r="I2354" s="56"/>
      <c r="J2354" s="56"/>
      <c r="K2354" s="82" t="str">
        <f t="shared" si="726"/>
        <v>Invoice</v>
      </c>
      <c r="L2354" s="83" t="str">
        <f>"SI_109738"</f>
        <v>SI_109738</v>
      </c>
      <c r="M2354" s="84">
        <v>42603</v>
      </c>
      <c r="N2354" s="85">
        <f t="shared" si="727"/>
        <v>1209</v>
      </c>
      <c r="O2354" s="86">
        <f t="shared" si="728"/>
        <v>13059.56</v>
      </c>
      <c r="P2354" s="86">
        <f t="shared" si="729"/>
        <v>0</v>
      </c>
      <c r="Q2354" s="86">
        <f t="shared" si="730"/>
        <v>0</v>
      </c>
      <c r="R2354" s="86">
        <f t="shared" si="731"/>
        <v>0</v>
      </c>
      <c r="S2354" s="86">
        <f t="shared" si="732"/>
        <v>0</v>
      </c>
      <c r="T2354" s="86">
        <f t="shared" si="733"/>
        <v>13059.56</v>
      </c>
      <c r="U2354" s="87">
        <v>13059.56</v>
      </c>
    </row>
    <row r="2355" spans="1:21" s="30" customFormat="1" ht="24.6" hidden="1" outlineLevel="1" x14ac:dyDescent="0.55000000000000004">
      <c r="A2355" s="27" t="s">
        <v>327</v>
      </c>
      <c r="B2355" s="28"/>
      <c r="C2355" s="27"/>
      <c r="D2355" s="27" t="str">
        <f>"""NAV Direct"",""CRONUS JetCorp USA"",""21"",""1"",""314389"""</f>
        <v>"NAV Direct","CRONUS JetCorp USA","21","1","314389"</v>
      </c>
      <c r="E2355" s="31" t="str">
        <f t="shared" si="725"/>
        <v>C100076</v>
      </c>
      <c r="F2355" s="31"/>
      <c r="G2355" s="31"/>
      <c r="H2355" s="31"/>
      <c r="I2355" s="56"/>
      <c r="J2355" s="56"/>
      <c r="K2355" s="82" t="str">
        <f t="shared" si="726"/>
        <v>Invoice</v>
      </c>
      <c r="L2355" s="83" t="str">
        <f>"SI_109749"</f>
        <v>SI_109749</v>
      </c>
      <c r="M2355" s="84">
        <v>42650</v>
      </c>
      <c r="N2355" s="85">
        <f t="shared" si="727"/>
        <v>1162</v>
      </c>
      <c r="O2355" s="86">
        <f t="shared" si="728"/>
        <v>13229.230000000001</v>
      </c>
      <c r="P2355" s="86">
        <f t="shared" si="729"/>
        <v>0</v>
      </c>
      <c r="Q2355" s="86">
        <f t="shared" si="730"/>
        <v>0</v>
      </c>
      <c r="R2355" s="86">
        <f t="shared" si="731"/>
        <v>0</v>
      </c>
      <c r="S2355" s="86">
        <f t="shared" si="732"/>
        <v>0</v>
      </c>
      <c r="T2355" s="86">
        <f t="shared" si="733"/>
        <v>13229.230000000001</v>
      </c>
      <c r="U2355" s="87">
        <v>13229.230000000001</v>
      </c>
    </row>
    <row r="2356" spans="1:21" s="30" customFormat="1" ht="24.6" hidden="1" outlineLevel="1" x14ac:dyDescent="0.55000000000000004">
      <c r="A2356" s="27" t="s">
        <v>327</v>
      </c>
      <c r="B2356" s="28"/>
      <c r="C2356" s="27"/>
      <c r="D2356" s="27" t="str">
        <f>"""NAV Direct"",""CRONUS JetCorp USA"",""21"",""1"",""314410"""</f>
        <v>"NAV Direct","CRONUS JetCorp USA","21","1","314410"</v>
      </c>
      <c r="E2356" s="31">
        <f t="shared" si="725"/>
        <v>0</v>
      </c>
      <c r="F2356" s="31"/>
      <c r="G2356" s="31"/>
      <c r="H2356" s="31"/>
      <c r="I2356" s="56"/>
      <c r="J2356" s="56"/>
      <c r="K2356" s="82" t="str">
        <f t="shared" si="726"/>
        <v>Invoice</v>
      </c>
      <c r="L2356" s="83" t="str">
        <f>"SI_109750"</f>
        <v>SI_109750</v>
      </c>
      <c r="M2356" s="84">
        <v>42651</v>
      </c>
      <c r="N2356" s="85">
        <f t="shared" si="727"/>
        <v>1161</v>
      </c>
      <c r="O2356" s="86">
        <f t="shared" si="728"/>
        <v>13229.589999999998</v>
      </c>
      <c r="P2356" s="86">
        <f t="shared" si="729"/>
        <v>0</v>
      </c>
      <c r="Q2356" s="86">
        <f t="shared" si="730"/>
        <v>0</v>
      </c>
      <c r="R2356" s="86">
        <f t="shared" si="731"/>
        <v>0</v>
      </c>
      <c r="S2356" s="86">
        <f t="shared" si="732"/>
        <v>0</v>
      </c>
      <c r="T2356" s="86">
        <f t="shared" si="733"/>
        <v>13229.589999999998</v>
      </c>
      <c r="U2356" s="87">
        <v>13229.589999999998</v>
      </c>
    </row>
    <row r="2357" spans="1:21" s="30" customFormat="1" ht="24.6" hidden="1" outlineLevel="1" x14ac:dyDescent="0.55000000000000004">
      <c r="A2357" s="27" t="s">
        <v>327</v>
      </c>
      <c r="B2357" s="28"/>
      <c r="C2357" s="27"/>
      <c r="D2357" s="27" t="str">
        <f>"""NAV Direct"",""CRONUS JetCorp USA"",""21"",""1"",""314491"""</f>
        <v>"NAV Direct","CRONUS JetCorp USA","21","1","314491"</v>
      </c>
      <c r="E2357" s="31" t="str">
        <f t="shared" si="725"/>
        <v>C100076</v>
      </c>
      <c r="F2357" s="31"/>
      <c r="G2357" s="31"/>
      <c r="H2357" s="31"/>
      <c r="I2357" s="56"/>
      <c r="J2357" s="56"/>
      <c r="K2357" s="82" t="str">
        <f t="shared" si="726"/>
        <v>Invoice</v>
      </c>
      <c r="L2357" s="83" t="str">
        <f>"SI_109753"</f>
        <v>SI_109753</v>
      </c>
      <c r="M2357" s="84">
        <v>42687</v>
      </c>
      <c r="N2357" s="85">
        <f t="shared" si="727"/>
        <v>1125</v>
      </c>
      <c r="O2357" s="86">
        <f t="shared" si="728"/>
        <v>12785.69</v>
      </c>
      <c r="P2357" s="86">
        <f t="shared" si="729"/>
        <v>0</v>
      </c>
      <c r="Q2357" s="86">
        <f t="shared" si="730"/>
        <v>0</v>
      </c>
      <c r="R2357" s="86">
        <f t="shared" si="731"/>
        <v>0</v>
      </c>
      <c r="S2357" s="86">
        <f t="shared" si="732"/>
        <v>0</v>
      </c>
      <c r="T2357" s="86">
        <f t="shared" si="733"/>
        <v>12785.69</v>
      </c>
      <c r="U2357" s="87">
        <v>12785.69</v>
      </c>
    </row>
    <row r="2358" spans="1:21" s="30" customFormat="1" ht="24.6" hidden="1" outlineLevel="1" x14ac:dyDescent="0.55000000000000004">
      <c r="A2358" s="27" t="s">
        <v>327</v>
      </c>
      <c r="B2358" s="28"/>
      <c r="C2358" s="27"/>
      <c r="D2358" s="27" t="str">
        <f>"""NAV Direct"",""CRONUS JetCorp USA"",""21"",""1"",""314570"""</f>
        <v>"NAV Direct","CRONUS JetCorp USA","21","1","314570"</v>
      </c>
      <c r="E2358" s="31">
        <f t="shared" si="725"/>
        <v>0</v>
      </c>
      <c r="F2358" s="31"/>
      <c r="G2358" s="31"/>
      <c r="H2358" s="31"/>
      <c r="I2358" s="56"/>
      <c r="J2358" s="56"/>
      <c r="K2358" s="82" t="str">
        <f t="shared" si="726"/>
        <v>Invoice</v>
      </c>
      <c r="L2358" s="83" t="str">
        <f>"SI_109756"</f>
        <v>SI_109756</v>
      </c>
      <c r="M2358" s="84">
        <v>42694</v>
      </c>
      <c r="N2358" s="85">
        <f t="shared" si="727"/>
        <v>1118</v>
      </c>
      <c r="O2358" s="86">
        <f t="shared" si="728"/>
        <v>12785.640000000001</v>
      </c>
      <c r="P2358" s="86">
        <f t="shared" si="729"/>
        <v>0</v>
      </c>
      <c r="Q2358" s="86">
        <f t="shared" si="730"/>
        <v>0</v>
      </c>
      <c r="R2358" s="86">
        <f t="shared" si="731"/>
        <v>0</v>
      </c>
      <c r="S2358" s="86">
        <f t="shared" si="732"/>
        <v>0</v>
      </c>
      <c r="T2358" s="86">
        <f t="shared" si="733"/>
        <v>12785.640000000001</v>
      </c>
      <c r="U2358" s="87">
        <v>12785.640000000001</v>
      </c>
    </row>
    <row r="2359" spans="1:21" s="30" customFormat="1" ht="24.6" hidden="1" outlineLevel="1" x14ac:dyDescent="0.55000000000000004">
      <c r="A2359" s="27" t="s">
        <v>327</v>
      </c>
      <c r="B2359" s="28"/>
      <c r="C2359" s="27"/>
      <c r="D2359" s="27" t="str">
        <f>"""NAV Direct"",""CRONUS JetCorp USA"",""21"",""1"",""314595"""</f>
        <v>"NAV Direct","CRONUS JetCorp USA","21","1","314595"</v>
      </c>
      <c r="E2359" s="31" t="str">
        <f t="shared" si="725"/>
        <v>C100076</v>
      </c>
      <c r="F2359" s="31"/>
      <c r="G2359" s="31"/>
      <c r="H2359" s="31"/>
      <c r="I2359" s="56"/>
      <c r="J2359" s="56"/>
      <c r="K2359" s="82" t="str">
        <f t="shared" si="726"/>
        <v>Invoice</v>
      </c>
      <c r="L2359" s="83" t="str">
        <f>"SI_109757"</f>
        <v>SI_109757</v>
      </c>
      <c r="M2359" s="84">
        <v>42713</v>
      </c>
      <c r="N2359" s="85">
        <f t="shared" si="727"/>
        <v>1099</v>
      </c>
      <c r="O2359" s="86">
        <f t="shared" si="728"/>
        <v>13152.61</v>
      </c>
      <c r="P2359" s="86">
        <f t="shared" si="729"/>
        <v>0</v>
      </c>
      <c r="Q2359" s="86">
        <f t="shared" si="730"/>
        <v>0</v>
      </c>
      <c r="R2359" s="86">
        <f t="shared" si="731"/>
        <v>0</v>
      </c>
      <c r="S2359" s="86">
        <f t="shared" si="732"/>
        <v>0</v>
      </c>
      <c r="T2359" s="86">
        <f t="shared" si="733"/>
        <v>13152.61</v>
      </c>
      <c r="U2359" s="87">
        <v>13152.61</v>
      </c>
    </row>
    <row r="2360" spans="1:21" s="30" customFormat="1" ht="24.6" hidden="1" outlineLevel="1" x14ac:dyDescent="0.55000000000000004">
      <c r="A2360" s="27" t="s">
        <v>327</v>
      </c>
      <c r="B2360" s="28"/>
      <c r="C2360" s="27"/>
      <c r="D2360" s="27" t="str">
        <f>"""NAV Direct"",""CRONUS JetCorp USA"",""21"",""1"",""314647"""</f>
        <v>"NAV Direct","CRONUS JetCorp USA","21","1","314647"</v>
      </c>
      <c r="E2360" s="31">
        <f t="shared" si="725"/>
        <v>0</v>
      </c>
      <c r="F2360" s="31"/>
      <c r="G2360" s="31"/>
      <c r="H2360" s="31"/>
      <c r="I2360" s="56"/>
      <c r="J2360" s="56"/>
      <c r="K2360" s="82" t="str">
        <f t="shared" si="726"/>
        <v>Invoice</v>
      </c>
      <c r="L2360" s="83" t="str">
        <f>"SI_109759"</f>
        <v>SI_109759</v>
      </c>
      <c r="M2360" s="84">
        <v>42720</v>
      </c>
      <c r="N2360" s="85">
        <f t="shared" si="727"/>
        <v>1092</v>
      </c>
      <c r="O2360" s="86">
        <f t="shared" si="728"/>
        <v>13153.32</v>
      </c>
      <c r="P2360" s="86">
        <f t="shared" si="729"/>
        <v>0</v>
      </c>
      <c r="Q2360" s="86">
        <f t="shared" si="730"/>
        <v>0</v>
      </c>
      <c r="R2360" s="86">
        <f t="shared" si="731"/>
        <v>0</v>
      </c>
      <c r="S2360" s="86">
        <f t="shared" si="732"/>
        <v>0</v>
      </c>
      <c r="T2360" s="86">
        <f t="shared" si="733"/>
        <v>13153.32</v>
      </c>
      <c r="U2360" s="87">
        <v>13153.32</v>
      </c>
    </row>
    <row r="2361" spans="1:21" s="30" customFormat="1" ht="24.6" hidden="1" outlineLevel="1" x14ac:dyDescent="0.55000000000000004">
      <c r="A2361" s="27" t="s">
        <v>327</v>
      </c>
      <c r="B2361" s="28"/>
      <c r="C2361" s="27"/>
      <c r="D2361" s="27" t="str">
        <f>"""NAV Direct"",""CRONUS JetCorp USA"",""21"",""1"",""314676"""</f>
        <v>"NAV Direct","CRONUS JetCorp USA","21","1","314676"</v>
      </c>
      <c r="E2361" s="31" t="str">
        <f t="shared" si="725"/>
        <v>C100076</v>
      </c>
      <c r="F2361" s="31"/>
      <c r="G2361" s="31"/>
      <c r="H2361" s="31"/>
      <c r="I2361" s="56"/>
      <c r="J2361" s="56"/>
      <c r="K2361" s="82" t="str">
        <f t="shared" si="726"/>
        <v>Invoice</v>
      </c>
      <c r="L2361" s="83" t="str">
        <f>"SI_109760"</f>
        <v>SI_109760</v>
      </c>
      <c r="M2361" s="84">
        <v>42724</v>
      </c>
      <c r="N2361" s="85">
        <f t="shared" si="727"/>
        <v>1088</v>
      </c>
      <c r="O2361" s="86">
        <f t="shared" si="728"/>
        <v>13427.869999999999</v>
      </c>
      <c r="P2361" s="86">
        <f t="shared" si="729"/>
        <v>0</v>
      </c>
      <c r="Q2361" s="86">
        <f t="shared" si="730"/>
        <v>0</v>
      </c>
      <c r="R2361" s="86">
        <f t="shared" si="731"/>
        <v>0</v>
      </c>
      <c r="S2361" s="86">
        <f t="shared" si="732"/>
        <v>0</v>
      </c>
      <c r="T2361" s="86">
        <f t="shared" si="733"/>
        <v>13427.869999999999</v>
      </c>
      <c r="U2361" s="87">
        <v>13427.869999999999</v>
      </c>
    </row>
    <row r="2362" spans="1:21" s="30" customFormat="1" ht="24.6" hidden="1" outlineLevel="1" x14ac:dyDescent="0.55000000000000004">
      <c r="A2362" s="27" t="s">
        <v>327</v>
      </c>
      <c r="B2362" s="28"/>
      <c r="C2362" s="27"/>
      <c r="D2362" s="27" t="str">
        <f>"""NAV Direct"",""CRONUS JetCorp USA"",""21"",""1"",""314989"""</f>
        <v>"NAV Direct","CRONUS JetCorp USA","21","1","314989"</v>
      </c>
      <c r="E2362" s="31">
        <f t="shared" si="725"/>
        <v>0</v>
      </c>
      <c r="F2362" s="31"/>
      <c r="G2362" s="31"/>
      <c r="H2362" s="31"/>
      <c r="I2362" s="56"/>
      <c r="J2362" s="56"/>
      <c r="K2362" s="82" t="str">
        <f t="shared" si="726"/>
        <v>Invoice</v>
      </c>
      <c r="L2362" s="83" t="str">
        <f>"SI_109773"</f>
        <v>SI_109773</v>
      </c>
      <c r="M2362" s="84">
        <v>42815</v>
      </c>
      <c r="N2362" s="85">
        <f t="shared" si="727"/>
        <v>997</v>
      </c>
      <c r="O2362" s="86">
        <f t="shared" si="728"/>
        <v>14038.080000000002</v>
      </c>
      <c r="P2362" s="86">
        <f t="shared" si="729"/>
        <v>0</v>
      </c>
      <c r="Q2362" s="86">
        <f t="shared" si="730"/>
        <v>0</v>
      </c>
      <c r="R2362" s="86">
        <f t="shared" si="731"/>
        <v>0</v>
      </c>
      <c r="S2362" s="86">
        <f t="shared" si="732"/>
        <v>0</v>
      </c>
      <c r="T2362" s="86">
        <f t="shared" si="733"/>
        <v>14038.080000000002</v>
      </c>
      <c r="U2362" s="87">
        <v>14038.080000000002</v>
      </c>
    </row>
    <row r="2363" spans="1:21" s="30" customFormat="1" ht="24.6" hidden="1" outlineLevel="1" x14ac:dyDescent="0.55000000000000004">
      <c r="A2363" s="27" t="s">
        <v>327</v>
      </c>
      <c r="B2363" s="28"/>
      <c r="C2363" s="27"/>
      <c r="D2363" s="27" t="str">
        <f>"""NAV Direct"",""CRONUS JetCorp USA"",""21"",""1"",""315022"""</f>
        <v>"NAV Direct","CRONUS JetCorp USA","21","1","315022"</v>
      </c>
      <c r="E2363" s="31" t="str">
        <f t="shared" si="725"/>
        <v>C100076</v>
      </c>
      <c r="F2363" s="31"/>
      <c r="G2363" s="31"/>
      <c r="H2363" s="31"/>
      <c r="I2363" s="56"/>
      <c r="J2363" s="56"/>
      <c r="K2363" s="82" t="str">
        <f t="shared" si="726"/>
        <v>Invoice</v>
      </c>
      <c r="L2363" s="83" t="str">
        <f>"SI_109774"</f>
        <v>SI_109774</v>
      </c>
      <c r="M2363" s="84">
        <v>42820</v>
      </c>
      <c r="N2363" s="85">
        <f t="shared" si="727"/>
        <v>992</v>
      </c>
      <c r="O2363" s="86">
        <f t="shared" si="728"/>
        <v>14038.439999999999</v>
      </c>
      <c r="P2363" s="86">
        <f t="shared" si="729"/>
        <v>0</v>
      </c>
      <c r="Q2363" s="86">
        <f t="shared" si="730"/>
        <v>0</v>
      </c>
      <c r="R2363" s="86">
        <f t="shared" si="731"/>
        <v>0</v>
      </c>
      <c r="S2363" s="86">
        <f t="shared" si="732"/>
        <v>0</v>
      </c>
      <c r="T2363" s="86">
        <f t="shared" si="733"/>
        <v>14038.439999999999</v>
      </c>
      <c r="U2363" s="87">
        <v>14038.439999999999</v>
      </c>
    </row>
    <row r="2364" spans="1:21" s="30" customFormat="1" ht="24.6" hidden="1" outlineLevel="1" x14ac:dyDescent="0.55000000000000004">
      <c r="A2364" s="27" t="s">
        <v>327</v>
      </c>
      <c r="B2364" s="28"/>
      <c r="C2364" s="27"/>
      <c r="D2364" s="27" t="str">
        <f>"""NAV Direct"",""CRONUS JetCorp USA"",""21"",""1"",""315261"""</f>
        <v>"NAV Direct","CRONUS JetCorp USA","21","1","315261"</v>
      </c>
      <c r="E2364" s="31">
        <f t="shared" si="725"/>
        <v>0</v>
      </c>
      <c r="F2364" s="31"/>
      <c r="G2364" s="31"/>
      <c r="H2364" s="31"/>
      <c r="I2364" s="56"/>
      <c r="J2364" s="56"/>
      <c r="K2364" s="82" t="str">
        <f t="shared" si="726"/>
        <v>Invoice</v>
      </c>
      <c r="L2364" s="83" t="str">
        <f>"SI_109783"</f>
        <v>SI_109783</v>
      </c>
      <c r="M2364" s="84">
        <v>42903</v>
      </c>
      <c r="N2364" s="85">
        <f t="shared" si="727"/>
        <v>909</v>
      </c>
      <c r="O2364" s="86">
        <f t="shared" si="728"/>
        <v>14592.419999999998</v>
      </c>
      <c r="P2364" s="86">
        <f t="shared" si="729"/>
        <v>0</v>
      </c>
      <c r="Q2364" s="86">
        <f t="shared" si="730"/>
        <v>0</v>
      </c>
      <c r="R2364" s="86">
        <f t="shared" si="731"/>
        <v>0</v>
      </c>
      <c r="S2364" s="86">
        <f t="shared" si="732"/>
        <v>0</v>
      </c>
      <c r="T2364" s="86">
        <f t="shared" si="733"/>
        <v>14592.419999999998</v>
      </c>
      <c r="U2364" s="87">
        <v>14592.419999999998</v>
      </c>
    </row>
    <row r="2365" spans="1:21" s="30" customFormat="1" ht="24.6" hidden="1" outlineLevel="1" x14ac:dyDescent="0.55000000000000004">
      <c r="A2365" s="27" t="s">
        <v>327</v>
      </c>
      <c r="B2365" s="28"/>
      <c r="C2365" s="27"/>
      <c r="D2365" s="27" t="str">
        <f>"""NAV Direct"",""CRONUS JetCorp USA"",""21"",""1"",""315838"""</f>
        <v>"NAV Direct","CRONUS JetCorp USA","21","1","315838"</v>
      </c>
      <c r="E2365" s="31" t="str">
        <f t="shared" si="725"/>
        <v>C100076</v>
      </c>
      <c r="F2365" s="31"/>
      <c r="G2365" s="31"/>
      <c r="H2365" s="31"/>
      <c r="I2365" s="56"/>
      <c r="J2365" s="56"/>
      <c r="K2365" s="82" t="str">
        <f t="shared" si="726"/>
        <v>Invoice</v>
      </c>
      <c r="L2365" s="83" t="str">
        <f>"SI_109806"</f>
        <v>SI_109806</v>
      </c>
      <c r="M2365" s="84">
        <v>43028</v>
      </c>
      <c r="N2365" s="85">
        <f t="shared" si="727"/>
        <v>784</v>
      </c>
      <c r="O2365" s="86">
        <f t="shared" si="728"/>
        <v>11131.6</v>
      </c>
      <c r="P2365" s="86">
        <f t="shared" si="729"/>
        <v>0</v>
      </c>
      <c r="Q2365" s="86">
        <f t="shared" si="730"/>
        <v>0</v>
      </c>
      <c r="R2365" s="86">
        <f t="shared" si="731"/>
        <v>0</v>
      </c>
      <c r="S2365" s="86">
        <f t="shared" si="732"/>
        <v>0</v>
      </c>
      <c r="T2365" s="86">
        <f t="shared" si="733"/>
        <v>11131.6</v>
      </c>
      <c r="U2365" s="87">
        <v>11131.6</v>
      </c>
    </row>
    <row r="2366" spans="1:21" s="30" customFormat="1" ht="24.6" hidden="1" outlineLevel="1" x14ac:dyDescent="0.55000000000000004">
      <c r="A2366" s="27" t="s">
        <v>327</v>
      </c>
      <c r="B2366" s="28"/>
      <c r="C2366" s="27"/>
      <c r="D2366" s="27" t="str">
        <f>"""NAV Direct"",""CRONUS JetCorp USA"",""21"",""1"",""316043"""</f>
        <v>"NAV Direct","CRONUS JetCorp USA","21","1","316043"</v>
      </c>
      <c r="E2366" s="31">
        <f t="shared" si="725"/>
        <v>0</v>
      </c>
      <c r="F2366" s="31"/>
      <c r="G2366" s="31"/>
      <c r="H2366" s="31"/>
      <c r="I2366" s="56"/>
      <c r="J2366" s="56"/>
      <c r="K2366" s="82" t="str">
        <f t="shared" si="726"/>
        <v>Invoice</v>
      </c>
      <c r="L2366" s="83" t="str">
        <f>"SI_109815"</f>
        <v>SI_109815</v>
      </c>
      <c r="M2366" s="84">
        <v>43083</v>
      </c>
      <c r="N2366" s="85">
        <f t="shared" si="727"/>
        <v>729</v>
      </c>
      <c r="O2366" s="86">
        <f t="shared" si="728"/>
        <v>11421.85</v>
      </c>
      <c r="P2366" s="86">
        <f t="shared" si="729"/>
        <v>0</v>
      </c>
      <c r="Q2366" s="86">
        <f t="shared" si="730"/>
        <v>0</v>
      </c>
      <c r="R2366" s="86">
        <f t="shared" si="731"/>
        <v>0</v>
      </c>
      <c r="S2366" s="86">
        <f t="shared" si="732"/>
        <v>0</v>
      </c>
      <c r="T2366" s="86">
        <f t="shared" si="733"/>
        <v>11421.85</v>
      </c>
      <c r="U2366" s="87">
        <v>11421.85</v>
      </c>
    </row>
    <row r="2367" spans="1:21" s="30" customFormat="1" ht="24.6" hidden="1" outlineLevel="1" x14ac:dyDescent="0.55000000000000004">
      <c r="A2367" s="27" t="s">
        <v>327</v>
      </c>
      <c r="B2367" s="28"/>
      <c r="C2367" s="27"/>
      <c r="D2367" s="27" t="str">
        <f>"""NAV Direct"",""CRONUS JetCorp USA"",""21"",""1"",""316293"""</f>
        <v>"NAV Direct","CRONUS JetCorp USA","21","1","316293"</v>
      </c>
      <c r="E2367" s="31" t="str">
        <f t="shared" si="725"/>
        <v>C100076</v>
      </c>
      <c r="F2367" s="31"/>
      <c r="G2367" s="31"/>
      <c r="H2367" s="31"/>
      <c r="I2367" s="56"/>
      <c r="J2367" s="56"/>
      <c r="K2367" s="82" t="str">
        <f t="shared" si="726"/>
        <v>Invoice</v>
      </c>
      <c r="L2367" s="83" t="str">
        <f>"SI_109825"</f>
        <v>SI_109825</v>
      </c>
      <c r="M2367" s="84">
        <v>43171</v>
      </c>
      <c r="N2367" s="85">
        <f t="shared" si="727"/>
        <v>641</v>
      </c>
      <c r="O2367" s="86">
        <f t="shared" si="728"/>
        <v>11313.31</v>
      </c>
      <c r="P2367" s="86">
        <f t="shared" si="729"/>
        <v>0</v>
      </c>
      <c r="Q2367" s="86">
        <f t="shared" si="730"/>
        <v>0</v>
      </c>
      <c r="R2367" s="86">
        <f t="shared" si="731"/>
        <v>0</v>
      </c>
      <c r="S2367" s="86">
        <f t="shared" si="732"/>
        <v>0</v>
      </c>
      <c r="T2367" s="86">
        <f t="shared" si="733"/>
        <v>11313.31</v>
      </c>
      <c r="U2367" s="87">
        <v>11313.31</v>
      </c>
    </row>
    <row r="2368" spans="1:21" s="30" customFormat="1" ht="24.6" hidden="1" outlineLevel="1" x14ac:dyDescent="0.55000000000000004">
      <c r="A2368" s="27" t="s">
        <v>327</v>
      </c>
      <c r="B2368" s="28"/>
      <c r="C2368" s="27"/>
      <c r="D2368" s="27" t="str">
        <f>"""NAV Direct"",""CRONUS JetCorp USA"",""21"",""1"",""316591"""</f>
        <v>"NAV Direct","CRONUS JetCorp USA","21","1","316591"</v>
      </c>
      <c r="E2368" s="31">
        <f t="shared" si="725"/>
        <v>0</v>
      </c>
      <c r="F2368" s="31"/>
      <c r="G2368" s="31"/>
      <c r="H2368" s="31"/>
      <c r="I2368" s="56"/>
      <c r="J2368" s="56"/>
      <c r="K2368" s="82" t="str">
        <f t="shared" si="726"/>
        <v>Invoice</v>
      </c>
      <c r="L2368" s="83" t="str">
        <f>"SI_109837"</f>
        <v>SI_109837</v>
      </c>
      <c r="M2368" s="84">
        <v>43295</v>
      </c>
      <c r="N2368" s="85">
        <f t="shared" si="727"/>
        <v>517</v>
      </c>
      <c r="O2368" s="86">
        <f t="shared" si="728"/>
        <v>11562.09</v>
      </c>
      <c r="P2368" s="86">
        <f t="shared" si="729"/>
        <v>0</v>
      </c>
      <c r="Q2368" s="86">
        <f t="shared" si="730"/>
        <v>0</v>
      </c>
      <c r="R2368" s="86">
        <f t="shared" si="731"/>
        <v>0</v>
      </c>
      <c r="S2368" s="86">
        <f t="shared" si="732"/>
        <v>0</v>
      </c>
      <c r="T2368" s="86">
        <f t="shared" si="733"/>
        <v>11562.09</v>
      </c>
      <c r="U2368" s="87">
        <v>11562.09</v>
      </c>
    </row>
    <row r="2369" spans="1:21" s="30" customFormat="1" ht="24.6" hidden="1" outlineLevel="1" x14ac:dyDescent="0.55000000000000004">
      <c r="A2369" s="27" t="s">
        <v>327</v>
      </c>
      <c r="B2369" s="28"/>
      <c r="C2369" s="27"/>
      <c r="D2369" s="27" t="str">
        <f>"""NAV Direct"",""CRONUS JetCorp USA"",""21"",""1"",""316612"""</f>
        <v>"NAV Direct","CRONUS JetCorp USA","21","1","316612"</v>
      </c>
      <c r="E2369" s="31" t="str">
        <f t="shared" si="725"/>
        <v>C100076</v>
      </c>
      <c r="F2369" s="31"/>
      <c r="G2369" s="31"/>
      <c r="H2369" s="31"/>
      <c r="I2369" s="56"/>
      <c r="J2369" s="56"/>
      <c r="K2369" s="82" t="str">
        <f t="shared" si="726"/>
        <v>Invoice</v>
      </c>
      <c r="L2369" s="83" t="str">
        <f>"SI_109838"</f>
        <v>SI_109838</v>
      </c>
      <c r="M2369" s="84">
        <v>43288</v>
      </c>
      <c r="N2369" s="85">
        <f t="shared" si="727"/>
        <v>524</v>
      </c>
      <c r="O2369" s="86">
        <f t="shared" si="728"/>
        <v>11564.24</v>
      </c>
      <c r="P2369" s="86">
        <f t="shared" si="729"/>
        <v>0</v>
      </c>
      <c r="Q2369" s="86">
        <f t="shared" si="730"/>
        <v>0</v>
      </c>
      <c r="R2369" s="86">
        <f t="shared" si="731"/>
        <v>0</v>
      </c>
      <c r="S2369" s="86">
        <f t="shared" si="732"/>
        <v>0</v>
      </c>
      <c r="T2369" s="86">
        <f t="shared" si="733"/>
        <v>11564.24</v>
      </c>
      <c r="U2369" s="87">
        <v>11564.24</v>
      </c>
    </row>
    <row r="2370" spans="1:21" s="30" customFormat="1" ht="24.6" hidden="1" outlineLevel="1" x14ac:dyDescent="0.55000000000000004">
      <c r="A2370" s="27" t="s">
        <v>327</v>
      </c>
      <c r="B2370" s="28"/>
      <c r="C2370" s="27"/>
      <c r="D2370" s="27" t="str">
        <f>"""NAV Direct"",""CRONUS JetCorp USA"",""21"",""1"",""316733"""</f>
        <v>"NAV Direct","CRONUS JetCorp USA","21","1","316733"</v>
      </c>
      <c r="E2370" s="31">
        <f t="shared" si="725"/>
        <v>0</v>
      </c>
      <c r="F2370" s="31"/>
      <c r="G2370" s="31"/>
      <c r="H2370" s="31"/>
      <c r="I2370" s="56"/>
      <c r="J2370" s="56"/>
      <c r="K2370" s="82" t="str">
        <f t="shared" si="726"/>
        <v>Invoice</v>
      </c>
      <c r="L2370" s="83" t="str">
        <f>"SI_109843"</f>
        <v>SI_109843</v>
      </c>
      <c r="M2370" s="84">
        <v>43333</v>
      </c>
      <c r="N2370" s="85">
        <f t="shared" si="727"/>
        <v>479</v>
      </c>
      <c r="O2370" s="86">
        <f t="shared" si="728"/>
        <v>11469.58</v>
      </c>
      <c r="P2370" s="86">
        <f t="shared" si="729"/>
        <v>0</v>
      </c>
      <c r="Q2370" s="86">
        <f t="shared" si="730"/>
        <v>0</v>
      </c>
      <c r="R2370" s="86">
        <f t="shared" si="731"/>
        <v>0</v>
      </c>
      <c r="S2370" s="86">
        <f t="shared" si="732"/>
        <v>0</v>
      </c>
      <c r="T2370" s="86">
        <f t="shared" si="733"/>
        <v>11469.58</v>
      </c>
      <c r="U2370" s="87">
        <v>11469.58</v>
      </c>
    </row>
    <row r="2371" spans="1:21" s="30" customFormat="1" ht="24.6" hidden="1" outlineLevel="1" x14ac:dyDescent="0.55000000000000004">
      <c r="A2371" s="27" t="s">
        <v>327</v>
      </c>
      <c r="B2371" s="28"/>
      <c r="C2371" s="27"/>
      <c r="D2371" s="27" t="str">
        <f>"""NAV Direct"",""CRONUS JetCorp USA"",""21"",""1"",""316906"""</f>
        <v>"NAV Direct","CRONUS JetCorp USA","21","1","316906"</v>
      </c>
      <c r="E2371" s="31" t="str">
        <f t="shared" si="725"/>
        <v>C100076</v>
      </c>
      <c r="F2371" s="31"/>
      <c r="G2371" s="31"/>
      <c r="H2371" s="31"/>
      <c r="I2371" s="56"/>
      <c r="J2371" s="56"/>
      <c r="K2371" s="82" t="str">
        <f t="shared" si="726"/>
        <v>Invoice</v>
      </c>
      <c r="L2371" s="83" t="str">
        <f>"SI_109850"</f>
        <v>SI_109850</v>
      </c>
      <c r="M2371" s="84">
        <v>43387</v>
      </c>
      <c r="N2371" s="85">
        <f t="shared" si="727"/>
        <v>425</v>
      </c>
      <c r="O2371" s="86">
        <f t="shared" si="728"/>
        <v>11382.99</v>
      </c>
      <c r="P2371" s="86">
        <f t="shared" si="729"/>
        <v>0</v>
      </c>
      <c r="Q2371" s="86">
        <f t="shared" si="730"/>
        <v>0</v>
      </c>
      <c r="R2371" s="86">
        <f t="shared" si="731"/>
        <v>0</v>
      </c>
      <c r="S2371" s="86">
        <f t="shared" si="732"/>
        <v>0</v>
      </c>
      <c r="T2371" s="86">
        <f t="shared" si="733"/>
        <v>11382.99</v>
      </c>
      <c r="U2371" s="87">
        <v>11382.99</v>
      </c>
    </row>
    <row r="2372" spans="1:21" s="30" customFormat="1" ht="24.6" hidden="1" outlineLevel="1" x14ac:dyDescent="0.55000000000000004">
      <c r="A2372" s="27" t="s">
        <v>327</v>
      </c>
      <c r="B2372" s="28"/>
      <c r="C2372" s="27"/>
      <c r="D2372" s="27" t="str">
        <f>"""NAV Direct"",""CRONUS JetCorp USA"",""21"",""1"",""316921"""</f>
        <v>"NAV Direct","CRONUS JetCorp USA","21","1","316921"</v>
      </c>
      <c r="E2372" s="31">
        <f t="shared" si="725"/>
        <v>0</v>
      </c>
      <c r="F2372" s="31"/>
      <c r="G2372" s="31"/>
      <c r="H2372" s="31"/>
      <c r="I2372" s="56"/>
      <c r="J2372" s="56"/>
      <c r="K2372" s="82" t="str">
        <f t="shared" si="726"/>
        <v>Invoice</v>
      </c>
      <c r="L2372" s="83" t="str">
        <f>"SI_109851"</f>
        <v>SI_109851</v>
      </c>
      <c r="M2372" s="84">
        <v>43383</v>
      </c>
      <c r="N2372" s="85">
        <f t="shared" si="727"/>
        <v>429</v>
      </c>
      <c r="O2372" s="86">
        <f t="shared" si="728"/>
        <v>11620.3</v>
      </c>
      <c r="P2372" s="86">
        <f t="shared" si="729"/>
        <v>0</v>
      </c>
      <c r="Q2372" s="86">
        <f t="shared" si="730"/>
        <v>0</v>
      </c>
      <c r="R2372" s="86">
        <f t="shared" si="731"/>
        <v>0</v>
      </c>
      <c r="S2372" s="86">
        <f t="shared" si="732"/>
        <v>0</v>
      </c>
      <c r="T2372" s="86">
        <f t="shared" si="733"/>
        <v>11620.3</v>
      </c>
      <c r="U2372" s="87">
        <v>11620.3</v>
      </c>
    </row>
    <row r="2373" spans="1:21" s="30" customFormat="1" ht="24.6" hidden="1" outlineLevel="1" x14ac:dyDescent="0.55000000000000004">
      <c r="A2373" s="27" t="s">
        <v>327</v>
      </c>
      <c r="B2373" s="28"/>
      <c r="C2373" s="27"/>
      <c r="D2373" s="27" t="str">
        <f>"""NAV Direct"",""CRONUS JetCorp USA"",""21"",""1"",""316990"""</f>
        <v>"NAV Direct","CRONUS JetCorp USA","21","1","316990"</v>
      </c>
      <c r="E2373" s="31" t="str">
        <f t="shared" si="725"/>
        <v>C100076</v>
      </c>
      <c r="F2373" s="31"/>
      <c r="G2373" s="31"/>
      <c r="H2373" s="31"/>
      <c r="I2373" s="56"/>
      <c r="J2373" s="56"/>
      <c r="K2373" s="82" t="str">
        <f t="shared" si="726"/>
        <v>Invoice</v>
      </c>
      <c r="L2373" s="83" t="str">
        <f>"SI_109854"</f>
        <v>SI_109854</v>
      </c>
      <c r="M2373" s="84">
        <v>43411</v>
      </c>
      <c r="N2373" s="85">
        <f t="shared" si="727"/>
        <v>401</v>
      </c>
      <c r="O2373" s="86">
        <f t="shared" si="728"/>
        <v>11782.19</v>
      </c>
      <c r="P2373" s="86">
        <f t="shared" si="729"/>
        <v>0</v>
      </c>
      <c r="Q2373" s="86">
        <f t="shared" si="730"/>
        <v>0</v>
      </c>
      <c r="R2373" s="86">
        <f t="shared" si="731"/>
        <v>0</v>
      </c>
      <c r="S2373" s="86">
        <f t="shared" si="732"/>
        <v>0</v>
      </c>
      <c r="T2373" s="86">
        <f t="shared" si="733"/>
        <v>11782.19</v>
      </c>
      <c r="U2373" s="87">
        <v>11782.19</v>
      </c>
    </row>
    <row r="2374" spans="1:21" s="30" customFormat="1" ht="24.6" hidden="1" outlineLevel="1" x14ac:dyDescent="0.55000000000000004">
      <c r="A2374" s="27" t="s">
        <v>327</v>
      </c>
      <c r="B2374" s="28"/>
      <c r="C2374" s="27"/>
      <c r="D2374" s="27" t="str">
        <f>"""NAV Direct"",""CRONUS JetCorp USA"",""21"",""1"",""317136"""</f>
        <v>"NAV Direct","CRONUS JetCorp USA","21","1","317136"</v>
      </c>
      <c r="E2374" s="31">
        <f t="shared" si="725"/>
        <v>0</v>
      </c>
      <c r="F2374" s="31"/>
      <c r="G2374" s="31"/>
      <c r="H2374" s="31"/>
      <c r="I2374" s="56"/>
      <c r="J2374" s="56"/>
      <c r="K2374" s="82" t="str">
        <f t="shared" si="726"/>
        <v>Invoice</v>
      </c>
      <c r="L2374" s="83" t="str">
        <f>"SI_109860"</f>
        <v>SI_109860</v>
      </c>
      <c r="M2374" s="84">
        <v>43453</v>
      </c>
      <c r="N2374" s="85">
        <f t="shared" si="727"/>
        <v>359</v>
      </c>
      <c r="O2374" s="86">
        <f t="shared" si="728"/>
        <v>11969.69</v>
      </c>
      <c r="P2374" s="86">
        <f t="shared" si="729"/>
        <v>0</v>
      </c>
      <c r="Q2374" s="86">
        <f t="shared" si="730"/>
        <v>0</v>
      </c>
      <c r="R2374" s="86">
        <f t="shared" si="731"/>
        <v>0</v>
      </c>
      <c r="S2374" s="86">
        <f t="shared" si="732"/>
        <v>0</v>
      </c>
      <c r="T2374" s="86">
        <f t="shared" si="733"/>
        <v>11969.69</v>
      </c>
      <c r="U2374" s="87">
        <v>11969.69</v>
      </c>
    </row>
    <row r="2375" spans="1:21" s="30" customFormat="1" ht="24.6" hidden="1" outlineLevel="1" x14ac:dyDescent="0.55000000000000004">
      <c r="A2375" s="27" t="s">
        <v>327</v>
      </c>
      <c r="B2375" s="28"/>
      <c r="C2375" s="27"/>
      <c r="D2375" s="27" t="str">
        <f>"""NAV Direct"",""CRONUS JetCorp USA"",""21"",""1"",""317296"""</f>
        <v>"NAV Direct","CRONUS JetCorp USA","21","1","317296"</v>
      </c>
      <c r="E2375" s="31" t="str">
        <f t="shared" si="725"/>
        <v>C100076</v>
      </c>
      <c r="F2375" s="31"/>
      <c r="G2375" s="31"/>
      <c r="H2375" s="31"/>
      <c r="I2375" s="56"/>
      <c r="J2375" s="56"/>
      <c r="K2375" s="82" t="str">
        <f t="shared" si="726"/>
        <v>Invoice</v>
      </c>
      <c r="L2375" s="83" t="str">
        <f>"SI_109866"</f>
        <v>SI_109866</v>
      </c>
      <c r="M2375" s="84">
        <v>43501</v>
      </c>
      <c r="N2375" s="85">
        <f t="shared" si="727"/>
        <v>311</v>
      </c>
      <c r="O2375" s="86">
        <f t="shared" si="728"/>
        <v>12513.900000000001</v>
      </c>
      <c r="P2375" s="86">
        <f t="shared" si="729"/>
        <v>0</v>
      </c>
      <c r="Q2375" s="86">
        <f t="shared" si="730"/>
        <v>0</v>
      </c>
      <c r="R2375" s="86">
        <f t="shared" si="731"/>
        <v>0</v>
      </c>
      <c r="S2375" s="86">
        <f t="shared" si="732"/>
        <v>0</v>
      </c>
      <c r="T2375" s="86">
        <f t="shared" si="733"/>
        <v>12513.900000000001</v>
      </c>
      <c r="U2375" s="87">
        <v>12513.900000000001</v>
      </c>
    </row>
    <row r="2376" spans="1:21" s="30" customFormat="1" ht="24.6" hidden="1" outlineLevel="1" x14ac:dyDescent="0.55000000000000004">
      <c r="A2376" s="27" t="s">
        <v>327</v>
      </c>
      <c r="B2376" s="28"/>
      <c r="C2376" s="27"/>
      <c r="D2376" s="27" t="str">
        <f>"""NAV Direct"",""CRONUS JetCorp USA"",""21"",""1"",""317317"""</f>
        <v>"NAV Direct","CRONUS JetCorp USA","21","1","317317"</v>
      </c>
      <c r="E2376" s="31">
        <f t="shared" si="725"/>
        <v>0</v>
      </c>
      <c r="F2376" s="31"/>
      <c r="G2376" s="31"/>
      <c r="H2376" s="31"/>
      <c r="I2376" s="56"/>
      <c r="J2376" s="56"/>
      <c r="K2376" s="82" t="str">
        <f t="shared" si="726"/>
        <v>Invoice</v>
      </c>
      <c r="L2376" s="83" t="str">
        <f>"SI_109867"</f>
        <v>SI_109867</v>
      </c>
      <c r="M2376" s="84">
        <v>43505</v>
      </c>
      <c r="N2376" s="85">
        <f t="shared" si="727"/>
        <v>307</v>
      </c>
      <c r="O2376" s="86">
        <f t="shared" si="728"/>
        <v>12514.199999999999</v>
      </c>
      <c r="P2376" s="86">
        <f t="shared" si="729"/>
        <v>0</v>
      </c>
      <c r="Q2376" s="86">
        <f t="shared" si="730"/>
        <v>0</v>
      </c>
      <c r="R2376" s="86">
        <f t="shared" si="731"/>
        <v>0</v>
      </c>
      <c r="S2376" s="86">
        <f t="shared" si="732"/>
        <v>0</v>
      </c>
      <c r="T2376" s="86">
        <f t="shared" si="733"/>
        <v>12514.199999999999</v>
      </c>
      <c r="U2376" s="87">
        <v>12514.199999999999</v>
      </c>
    </row>
    <row r="2377" spans="1:21" s="30" customFormat="1" ht="24.6" hidden="1" outlineLevel="1" x14ac:dyDescent="0.55000000000000004">
      <c r="A2377" s="27" t="s">
        <v>327</v>
      </c>
      <c r="B2377" s="28"/>
      <c r="C2377" s="27"/>
      <c r="D2377" s="27" t="str">
        <f>"""NAV Direct"",""CRONUS JetCorp USA"",""21"",""1"",""317631"""</f>
        <v>"NAV Direct","CRONUS JetCorp USA","21","1","317631"</v>
      </c>
      <c r="E2377" s="31" t="str">
        <f t="shared" si="725"/>
        <v>C100076</v>
      </c>
      <c r="F2377" s="31"/>
      <c r="G2377" s="31"/>
      <c r="H2377" s="31"/>
      <c r="I2377" s="56"/>
      <c r="J2377" s="56"/>
      <c r="K2377" s="82" t="str">
        <f t="shared" si="726"/>
        <v>Invoice</v>
      </c>
      <c r="L2377" s="83" t="str">
        <f>"SI_109879"</f>
        <v>SI_109879</v>
      </c>
      <c r="M2377" s="84">
        <v>43596</v>
      </c>
      <c r="N2377" s="85">
        <f t="shared" si="727"/>
        <v>216</v>
      </c>
      <c r="O2377" s="86">
        <f t="shared" si="728"/>
        <v>12289.5</v>
      </c>
      <c r="P2377" s="86">
        <f t="shared" si="729"/>
        <v>0</v>
      </c>
      <c r="Q2377" s="86">
        <f t="shared" si="730"/>
        <v>0</v>
      </c>
      <c r="R2377" s="86">
        <f t="shared" si="731"/>
        <v>0</v>
      </c>
      <c r="S2377" s="86">
        <f t="shared" si="732"/>
        <v>0</v>
      </c>
      <c r="T2377" s="86">
        <f t="shared" si="733"/>
        <v>12289.5</v>
      </c>
      <c r="U2377" s="87">
        <v>12289.5</v>
      </c>
    </row>
    <row r="2378" spans="1:21" s="30" customFormat="1" ht="24.6" hidden="1" outlineLevel="1" x14ac:dyDescent="0.55000000000000004">
      <c r="A2378" s="27" t="s">
        <v>327</v>
      </c>
      <c r="B2378" s="28"/>
      <c r="C2378" s="27"/>
      <c r="D2378" s="27" t="str">
        <f>"""NAV Direct"",""CRONUS JetCorp USA"",""21"",""1"",""317714"""</f>
        <v>"NAV Direct","CRONUS JetCorp USA","21","1","317714"</v>
      </c>
      <c r="E2378" s="31">
        <f t="shared" si="725"/>
        <v>0</v>
      </c>
      <c r="F2378" s="31"/>
      <c r="G2378" s="31"/>
      <c r="H2378" s="31"/>
      <c r="I2378" s="56"/>
      <c r="J2378" s="56"/>
      <c r="K2378" s="82" t="str">
        <f t="shared" si="726"/>
        <v>Invoice</v>
      </c>
      <c r="L2378" s="83" t="str">
        <f>"SI_109882"</f>
        <v>SI_109882</v>
      </c>
      <c r="M2378" s="84">
        <v>43623</v>
      </c>
      <c r="N2378" s="85">
        <f t="shared" si="727"/>
        <v>189</v>
      </c>
      <c r="O2378" s="86">
        <f t="shared" si="728"/>
        <v>12356.12</v>
      </c>
      <c r="P2378" s="86">
        <f t="shared" si="729"/>
        <v>0</v>
      </c>
      <c r="Q2378" s="86">
        <f t="shared" si="730"/>
        <v>0</v>
      </c>
      <c r="R2378" s="86">
        <f t="shared" si="731"/>
        <v>0</v>
      </c>
      <c r="S2378" s="86">
        <f t="shared" si="732"/>
        <v>0</v>
      </c>
      <c r="T2378" s="86">
        <f t="shared" si="733"/>
        <v>12356.12</v>
      </c>
      <c r="U2378" s="87">
        <v>12356.12</v>
      </c>
    </row>
    <row r="2379" spans="1:21" s="30" customFormat="1" ht="24.6" hidden="1" outlineLevel="1" x14ac:dyDescent="0.55000000000000004">
      <c r="A2379" s="27" t="s">
        <v>327</v>
      </c>
      <c r="B2379" s="28"/>
      <c r="C2379" s="27"/>
      <c r="D2379" s="27" t="str">
        <f>"""NAV Direct"",""CRONUS JetCorp USA"",""21"",""1"",""318047"""</f>
        <v>"NAV Direct","CRONUS JetCorp USA","21","1","318047"</v>
      </c>
      <c r="E2379" s="31" t="str">
        <f t="shared" si="725"/>
        <v>C100076</v>
      </c>
      <c r="F2379" s="31"/>
      <c r="G2379" s="31"/>
      <c r="H2379" s="31"/>
      <c r="I2379" s="56"/>
      <c r="J2379" s="56"/>
      <c r="K2379" s="82" t="str">
        <f t="shared" si="726"/>
        <v>Invoice</v>
      </c>
      <c r="L2379" s="83" t="str">
        <f>"SI_109895"</f>
        <v>SI_109895</v>
      </c>
      <c r="M2379" s="84">
        <v>43715</v>
      </c>
      <c r="N2379" s="85">
        <f t="shared" si="727"/>
        <v>97</v>
      </c>
      <c r="O2379" s="86">
        <f t="shared" si="728"/>
        <v>14263.08</v>
      </c>
      <c r="P2379" s="86">
        <f t="shared" si="729"/>
        <v>0</v>
      </c>
      <c r="Q2379" s="86">
        <f t="shared" si="730"/>
        <v>0</v>
      </c>
      <c r="R2379" s="86">
        <f t="shared" si="731"/>
        <v>0</v>
      </c>
      <c r="S2379" s="86">
        <f t="shared" si="732"/>
        <v>0</v>
      </c>
      <c r="T2379" s="86">
        <f t="shared" si="733"/>
        <v>14263.08</v>
      </c>
      <c r="U2379" s="87">
        <v>14263.08</v>
      </c>
    </row>
    <row r="2380" spans="1:21" s="30" customFormat="1" ht="24.6" hidden="1" outlineLevel="1" x14ac:dyDescent="0.55000000000000004">
      <c r="A2380" s="27" t="s">
        <v>327</v>
      </c>
      <c r="B2380" s="28"/>
      <c r="C2380" s="27"/>
      <c r="D2380" s="27" t="str">
        <f>"""NAV Direct"",""CRONUS JetCorp USA"",""21"",""1"",""318315"""</f>
        <v>"NAV Direct","CRONUS JetCorp USA","21","1","318315"</v>
      </c>
      <c r="E2380" s="31">
        <f t="shared" si="725"/>
        <v>0</v>
      </c>
      <c r="F2380" s="31"/>
      <c r="G2380" s="31"/>
      <c r="H2380" s="31"/>
      <c r="I2380" s="56"/>
      <c r="J2380" s="56"/>
      <c r="K2380" s="82" t="str">
        <f t="shared" si="726"/>
        <v>Invoice</v>
      </c>
      <c r="L2380" s="83" t="str">
        <f>"SI_109905"</f>
        <v>SI_109905</v>
      </c>
      <c r="M2380" s="84">
        <v>43780</v>
      </c>
      <c r="N2380" s="85">
        <f t="shared" si="727"/>
        <v>32</v>
      </c>
      <c r="O2380" s="86">
        <f t="shared" si="728"/>
        <v>14786.699999999999</v>
      </c>
      <c r="P2380" s="86">
        <f t="shared" si="729"/>
        <v>0</v>
      </c>
      <c r="Q2380" s="86">
        <f t="shared" si="730"/>
        <v>0</v>
      </c>
      <c r="R2380" s="86">
        <f t="shared" si="731"/>
        <v>14786.699999999999</v>
      </c>
      <c r="S2380" s="86">
        <f t="shared" si="732"/>
        <v>0</v>
      </c>
      <c r="T2380" s="86">
        <f t="shared" si="733"/>
        <v>0</v>
      </c>
      <c r="U2380" s="87">
        <v>14786.699999999999</v>
      </c>
    </row>
    <row r="2381" spans="1:21" s="30" customFormat="1" ht="24.6" hidden="1" outlineLevel="1" x14ac:dyDescent="0.55000000000000004">
      <c r="A2381" s="27" t="s">
        <v>327</v>
      </c>
      <c r="B2381" s="28"/>
      <c r="C2381" s="27"/>
      <c r="D2381" s="27" t="str">
        <f>"""NAV Direct"",""CRONUS JetCorp USA"",""21"",""1"",""318789"""</f>
        <v>"NAV Direct","CRONUS JetCorp USA","21","1","318789"</v>
      </c>
      <c r="E2381" s="31" t="str">
        <f t="shared" ref="E2381:E2405" si="734">E2379</f>
        <v>C100076</v>
      </c>
      <c r="F2381" s="31"/>
      <c r="G2381" s="31"/>
      <c r="H2381" s="31"/>
      <c r="I2381" s="56"/>
      <c r="J2381" s="56"/>
      <c r="K2381" s="82" t="str">
        <f t="shared" si="726"/>
        <v>Invoice</v>
      </c>
      <c r="L2381" s="83" t="str">
        <f>"SI_109925"</f>
        <v>SI_109925</v>
      </c>
      <c r="M2381" s="84">
        <v>42078</v>
      </c>
      <c r="N2381" s="85">
        <f t="shared" ref="N2381:N2405" si="735">StartDate-$M2381+1</f>
        <v>1734</v>
      </c>
      <c r="O2381" s="86">
        <f t="shared" ref="O2381:O2405" si="736">SUM(P2381:T2381)</f>
        <v>14591.46</v>
      </c>
      <c r="P2381" s="86">
        <f t="shared" ref="P2381:P2405" si="737">IF($M2381&gt;=$P$18,U2381,0)</f>
        <v>0</v>
      </c>
      <c r="Q2381" s="86">
        <f t="shared" ref="Q2381:Q2405" si="738">IF(AND($M2381&gt;=$Q$16,$M2381&lt;=$Q$18),U2381,0)</f>
        <v>0</v>
      </c>
      <c r="R2381" s="86">
        <f t="shared" ref="R2381:R2405" si="739">IF(AND($M2381&gt;=$R$16,$M2381&lt;=$R$18),U2381,0)</f>
        <v>0</v>
      </c>
      <c r="S2381" s="86">
        <f t="shared" ref="S2381:S2405" si="740">IF(AND($M2381&gt;=$S$16,$M2381&lt;=$S$18),U2381,0)</f>
        <v>0</v>
      </c>
      <c r="T2381" s="86">
        <f t="shared" ref="T2381:T2405" si="741">IF($M2381&lt;=$T$18,U2381,0)</f>
        <v>14591.46</v>
      </c>
      <c r="U2381" s="87">
        <v>14591.46</v>
      </c>
    </row>
    <row r="2382" spans="1:21" s="30" customFormat="1" ht="24.6" hidden="1" outlineLevel="1" x14ac:dyDescent="0.55000000000000004">
      <c r="A2382" s="27" t="s">
        <v>327</v>
      </c>
      <c r="B2382" s="28"/>
      <c r="C2382" s="27"/>
      <c r="D2382" s="27" t="str">
        <f>"""NAV Direct"",""CRONUS JetCorp USA"",""21"",""1"",""318953"""</f>
        <v>"NAV Direct","CRONUS JetCorp USA","21","1","318953"</v>
      </c>
      <c r="E2382" s="31">
        <f t="shared" si="734"/>
        <v>0</v>
      </c>
      <c r="F2382" s="31"/>
      <c r="G2382" s="31"/>
      <c r="H2382" s="31"/>
      <c r="I2382" s="56"/>
      <c r="J2382" s="56"/>
      <c r="K2382" s="82" t="str">
        <f t="shared" si="726"/>
        <v>Invoice</v>
      </c>
      <c r="L2382" s="83" t="str">
        <f>"SI_109931"</f>
        <v>SI_109931</v>
      </c>
      <c r="M2382" s="84">
        <v>42119</v>
      </c>
      <c r="N2382" s="85">
        <f t="shared" si="735"/>
        <v>1693</v>
      </c>
      <c r="O2382" s="86">
        <f t="shared" si="736"/>
        <v>14812.869999999999</v>
      </c>
      <c r="P2382" s="86">
        <f t="shared" si="737"/>
        <v>0</v>
      </c>
      <c r="Q2382" s="86">
        <f t="shared" si="738"/>
        <v>0</v>
      </c>
      <c r="R2382" s="86">
        <f t="shared" si="739"/>
        <v>0</v>
      </c>
      <c r="S2382" s="86">
        <f t="shared" si="740"/>
        <v>0</v>
      </c>
      <c r="T2382" s="86">
        <f t="shared" si="741"/>
        <v>14812.869999999999</v>
      </c>
      <c r="U2382" s="87">
        <v>14812.869999999999</v>
      </c>
    </row>
    <row r="2383" spans="1:21" s="30" customFormat="1" ht="24.6" hidden="1" outlineLevel="1" x14ac:dyDescent="0.55000000000000004">
      <c r="A2383" s="27" t="s">
        <v>327</v>
      </c>
      <c r="B2383" s="28"/>
      <c r="C2383" s="27"/>
      <c r="D2383" s="27" t="str">
        <f>"""NAV Direct"",""CRONUS JetCorp USA"",""21"",""1"",""319189"""</f>
        <v>"NAV Direct","CRONUS JetCorp USA","21","1","319189"</v>
      </c>
      <c r="E2383" s="31" t="str">
        <f t="shared" si="734"/>
        <v>C100076</v>
      </c>
      <c r="F2383" s="31"/>
      <c r="G2383" s="31"/>
      <c r="H2383" s="31"/>
      <c r="I2383" s="56"/>
      <c r="J2383" s="56"/>
      <c r="K2383" s="82" t="str">
        <f t="shared" si="726"/>
        <v>Invoice</v>
      </c>
      <c r="L2383" s="83" t="str">
        <f>"SI_109939"</f>
        <v>SI_109939</v>
      </c>
      <c r="M2383" s="84">
        <v>42174</v>
      </c>
      <c r="N2383" s="85">
        <f t="shared" si="735"/>
        <v>1638</v>
      </c>
      <c r="O2383" s="86">
        <f t="shared" si="736"/>
        <v>15847.3</v>
      </c>
      <c r="P2383" s="86">
        <f t="shared" si="737"/>
        <v>0</v>
      </c>
      <c r="Q2383" s="86">
        <f t="shared" si="738"/>
        <v>0</v>
      </c>
      <c r="R2383" s="86">
        <f t="shared" si="739"/>
        <v>0</v>
      </c>
      <c r="S2383" s="86">
        <f t="shared" si="740"/>
        <v>0</v>
      </c>
      <c r="T2383" s="86">
        <f t="shared" si="741"/>
        <v>15847.3</v>
      </c>
      <c r="U2383" s="87">
        <v>15847.3</v>
      </c>
    </row>
    <row r="2384" spans="1:21" s="30" customFormat="1" ht="24.6" hidden="1" outlineLevel="1" x14ac:dyDescent="0.55000000000000004">
      <c r="A2384" s="27" t="s">
        <v>327</v>
      </c>
      <c r="B2384" s="28"/>
      <c r="C2384" s="27"/>
      <c r="D2384" s="27" t="str">
        <f>"""NAV Direct"",""CRONUS JetCorp USA"",""21"",""1"",""319363"""</f>
        <v>"NAV Direct","CRONUS JetCorp USA","21","1","319363"</v>
      </c>
      <c r="E2384" s="31">
        <f t="shared" si="734"/>
        <v>0</v>
      </c>
      <c r="F2384" s="31"/>
      <c r="G2384" s="31"/>
      <c r="H2384" s="31"/>
      <c r="I2384" s="56"/>
      <c r="J2384" s="56"/>
      <c r="K2384" s="82" t="str">
        <f t="shared" si="726"/>
        <v>Invoice</v>
      </c>
      <c r="L2384" s="83" t="str">
        <f>"SI_109945"</f>
        <v>SI_109945</v>
      </c>
      <c r="M2384" s="84">
        <v>42229</v>
      </c>
      <c r="N2384" s="85">
        <f t="shared" si="735"/>
        <v>1583</v>
      </c>
      <c r="O2384" s="86">
        <f t="shared" si="736"/>
        <v>16148.489999999998</v>
      </c>
      <c r="P2384" s="86">
        <f t="shared" si="737"/>
        <v>0</v>
      </c>
      <c r="Q2384" s="86">
        <f t="shared" si="738"/>
        <v>0</v>
      </c>
      <c r="R2384" s="86">
        <f t="shared" si="739"/>
        <v>0</v>
      </c>
      <c r="S2384" s="86">
        <f t="shared" si="740"/>
        <v>0</v>
      </c>
      <c r="T2384" s="86">
        <f t="shared" si="741"/>
        <v>16148.489999999998</v>
      </c>
      <c r="U2384" s="87">
        <v>16148.489999999998</v>
      </c>
    </row>
    <row r="2385" spans="1:21" s="30" customFormat="1" ht="24.6" hidden="1" outlineLevel="1" x14ac:dyDescent="0.55000000000000004">
      <c r="A2385" s="27" t="s">
        <v>327</v>
      </c>
      <c r="B2385" s="28"/>
      <c r="C2385" s="27"/>
      <c r="D2385" s="27" t="str">
        <f>"""NAV Direct"",""CRONUS JetCorp USA"",""21"",""1"",""319610"""</f>
        <v>"NAV Direct","CRONUS JetCorp USA","21","1","319610"</v>
      </c>
      <c r="E2385" s="31" t="str">
        <f t="shared" si="734"/>
        <v>C100076</v>
      </c>
      <c r="F2385" s="31"/>
      <c r="G2385" s="31"/>
      <c r="H2385" s="31"/>
      <c r="I2385" s="56"/>
      <c r="J2385" s="56"/>
      <c r="K2385" s="82" t="str">
        <f t="shared" si="726"/>
        <v>Invoice</v>
      </c>
      <c r="L2385" s="83" t="str">
        <f>"SI_109954"</f>
        <v>SI_109954</v>
      </c>
      <c r="M2385" s="84">
        <v>42297</v>
      </c>
      <c r="N2385" s="85">
        <f t="shared" si="735"/>
        <v>1515</v>
      </c>
      <c r="O2385" s="86">
        <f t="shared" si="736"/>
        <v>16132.54</v>
      </c>
      <c r="P2385" s="86">
        <f t="shared" si="737"/>
        <v>0</v>
      </c>
      <c r="Q2385" s="86">
        <f t="shared" si="738"/>
        <v>0</v>
      </c>
      <c r="R2385" s="86">
        <f t="shared" si="739"/>
        <v>0</v>
      </c>
      <c r="S2385" s="86">
        <f t="shared" si="740"/>
        <v>0</v>
      </c>
      <c r="T2385" s="86">
        <f t="shared" si="741"/>
        <v>16132.54</v>
      </c>
      <c r="U2385" s="87">
        <v>16132.54</v>
      </c>
    </row>
    <row r="2386" spans="1:21" s="30" customFormat="1" ht="24.6" hidden="1" outlineLevel="1" x14ac:dyDescent="0.55000000000000004">
      <c r="A2386" s="27" t="s">
        <v>327</v>
      </c>
      <c r="B2386" s="28"/>
      <c r="C2386" s="27"/>
      <c r="D2386" s="27" t="str">
        <f>"""NAV Direct"",""CRONUS JetCorp USA"",""21"",""1"",""319637"""</f>
        <v>"NAV Direct","CRONUS JetCorp USA","21","1","319637"</v>
      </c>
      <c r="E2386" s="31">
        <f t="shared" si="734"/>
        <v>0</v>
      </c>
      <c r="F2386" s="31"/>
      <c r="G2386" s="31"/>
      <c r="H2386" s="31"/>
      <c r="I2386" s="56"/>
      <c r="J2386" s="56"/>
      <c r="K2386" s="82" t="str">
        <f t="shared" si="726"/>
        <v>Invoice</v>
      </c>
      <c r="L2386" s="83" t="str">
        <f>"SI_109955"</f>
        <v>SI_109955</v>
      </c>
      <c r="M2386" s="84">
        <v>42310</v>
      </c>
      <c r="N2386" s="85">
        <f t="shared" si="735"/>
        <v>1502</v>
      </c>
      <c r="O2386" s="86">
        <f t="shared" si="736"/>
        <v>16550.18</v>
      </c>
      <c r="P2386" s="86">
        <f t="shared" si="737"/>
        <v>0</v>
      </c>
      <c r="Q2386" s="86">
        <f t="shared" si="738"/>
        <v>0</v>
      </c>
      <c r="R2386" s="86">
        <f t="shared" si="739"/>
        <v>0</v>
      </c>
      <c r="S2386" s="86">
        <f t="shared" si="740"/>
        <v>0</v>
      </c>
      <c r="T2386" s="86">
        <f t="shared" si="741"/>
        <v>16550.18</v>
      </c>
      <c r="U2386" s="87">
        <v>16550.18</v>
      </c>
    </row>
    <row r="2387" spans="1:21" s="30" customFormat="1" ht="24.6" hidden="1" outlineLevel="1" x14ac:dyDescent="0.55000000000000004">
      <c r="A2387" s="27" t="s">
        <v>327</v>
      </c>
      <c r="B2387" s="28"/>
      <c r="C2387" s="27"/>
      <c r="D2387" s="27" t="str">
        <f>"""NAV Direct"",""CRONUS JetCorp USA"",""21"",""1"",""319687"""</f>
        <v>"NAV Direct","CRONUS JetCorp USA","21","1","319687"</v>
      </c>
      <c r="E2387" s="31" t="str">
        <f t="shared" si="734"/>
        <v>C100076</v>
      </c>
      <c r="F2387" s="31"/>
      <c r="G2387" s="31"/>
      <c r="H2387" s="31"/>
      <c r="I2387" s="56"/>
      <c r="J2387" s="56"/>
      <c r="K2387" s="82" t="str">
        <f t="shared" si="726"/>
        <v>Invoice</v>
      </c>
      <c r="L2387" s="83" t="str">
        <f>"SI_109957"</f>
        <v>SI_109957</v>
      </c>
      <c r="M2387" s="84">
        <v>42321</v>
      </c>
      <c r="N2387" s="85">
        <f t="shared" si="735"/>
        <v>1491</v>
      </c>
      <c r="O2387" s="86">
        <f t="shared" si="736"/>
        <v>16213.29</v>
      </c>
      <c r="P2387" s="86">
        <f t="shared" si="737"/>
        <v>0</v>
      </c>
      <c r="Q2387" s="86">
        <f t="shared" si="738"/>
        <v>0</v>
      </c>
      <c r="R2387" s="86">
        <f t="shared" si="739"/>
        <v>0</v>
      </c>
      <c r="S2387" s="86">
        <f t="shared" si="740"/>
        <v>0</v>
      </c>
      <c r="T2387" s="86">
        <f t="shared" si="741"/>
        <v>16213.29</v>
      </c>
      <c r="U2387" s="87">
        <v>16213.29</v>
      </c>
    </row>
    <row r="2388" spans="1:21" s="30" customFormat="1" ht="24.6" hidden="1" outlineLevel="1" x14ac:dyDescent="0.55000000000000004">
      <c r="A2388" s="27" t="s">
        <v>327</v>
      </c>
      <c r="B2388" s="28"/>
      <c r="C2388" s="27"/>
      <c r="D2388" s="27" t="str">
        <f>"""NAV Direct"",""CRONUS JetCorp USA"",""21"",""1"",""319741"""</f>
        <v>"NAV Direct","CRONUS JetCorp USA","21","1","319741"</v>
      </c>
      <c r="E2388" s="31">
        <f t="shared" si="734"/>
        <v>0</v>
      </c>
      <c r="F2388" s="31"/>
      <c r="G2388" s="31"/>
      <c r="H2388" s="31"/>
      <c r="I2388" s="56"/>
      <c r="J2388" s="56"/>
      <c r="K2388" s="82" t="str">
        <f t="shared" si="726"/>
        <v>Invoice</v>
      </c>
      <c r="L2388" s="83" t="str">
        <f>"SI_109959"</f>
        <v>SI_109959</v>
      </c>
      <c r="M2388" s="84">
        <v>42325</v>
      </c>
      <c r="N2388" s="85">
        <f t="shared" si="735"/>
        <v>1487</v>
      </c>
      <c r="O2388" s="86">
        <f t="shared" si="736"/>
        <v>16044.64</v>
      </c>
      <c r="P2388" s="86">
        <f t="shared" si="737"/>
        <v>0</v>
      </c>
      <c r="Q2388" s="86">
        <f t="shared" si="738"/>
        <v>0</v>
      </c>
      <c r="R2388" s="86">
        <f t="shared" si="739"/>
        <v>0</v>
      </c>
      <c r="S2388" s="86">
        <f t="shared" si="740"/>
        <v>0</v>
      </c>
      <c r="T2388" s="86">
        <f t="shared" si="741"/>
        <v>16044.64</v>
      </c>
      <c r="U2388" s="87">
        <v>16044.64</v>
      </c>
    </row>
    <row r="2389" spans="1:21" s="30" customFormat="1" ht="24.6" hidden="1" outlineLevel="1" x14ac:dyDescent="0.55000000000000004">
      <c r="A2389" s="27" t="s">
        <v>327</v>
      </c>
      <c r="B2389" s="28"/>
      <c r="C2389" s="27"/>
      <c r="D2389" s="27" t="str">
        <f>"""NAV Direct"",""CRONUS JetCorp USA"",""21"",""1"",""319793"""</f>
        <v>"NAV Direct","CRONUS JetCorp USA","21","1","319793"</v>
      </c>
      <c r="E2389" s="31" t="str">
        <f t="shared" si="734"/>
        <v>C100076</v>
      </c>
      <c r="F2389" s="31"/>
      <c r="G2389" s="31"/>
      <c r="H2389" s="31"/>
      <c r="I2389" s="56"/>
      <c r="J2389" s="56"/>
      <c r="K2389" s="82" t="str">
        <f t="shared" si="726"/>
        <v>Invoice</v>
      </c>
      <c r="L2389" s="83" t="str">
        <f>"SI_109961"</f>
        <v>SI_109961</v>
      </c>
      <c r="M2389" s="84">
        <v>42349</v>
      </c>
      <c r="N2389" s="85">
        <f t="shared" si="735"/>
        <v>1463</v>
      </c>
      <c r="O2389" s="86">
        <f t="shared" si="736"/>
        <v>16509.96</v>
      </c>
      <c r="P2389" s="86">
        <f t="shared" si="737"/>
        <v>0</v>
      </c>
      <c r="Q2389" s="86">
        <f t="shared" si="738"/>
        <v>0</v>
      </c>
      <c r="R2389" s="86">
        <f t="shared" si="739"/>
        <v>0</v>
      </c>
      <c r="S2389" s="86">
        <f t="shared" si="740"/>
        <v>0</v>
      </c>
      <c r="T2389" s="86">
        <f t="shared" si="741"/>
        <v>16509.96</v>
      </c>
      <c r="U2389" s="87">
        <v>16509.96</v>
      </c>
    </row>
    <row r="2390" spans="1:21" s="30" customFormat="1" ht="24.6" hidden="1" outlineLevel="1" x14ac:dyDescent="0.55000000000000004">
      <c r="A2390" s="27" t="s">
        <v>327</v>
      </c>
      <c r="B2390" s="28"/>
      <c r="C2390" s="27"/>
      <c r="D2390" s="27" t="str">
        <f>"""NAV Direct"",""CRONUS JetCorp USA"",""21"",""1"",""319949"""</f>
        <v>"NAV Direct","CRONUS JetCorp USA","21","1","319949"</v>
      </c>
      <c r="E2390" s="31">
        <f t="shared" si="734"/>
        <v>0</v>
      </c>
      <c r="F2390" s="31"/>
      <c r="G2390" s="31"/>
      <c r="H2390" s="31"/>
      <c r="I2390" s="56"/>
      <c r="J2390" s="56"/>
      <c r="K2390" s="82" t="str">
        <f t="shared" si="726"/>
        <v>Invoice</v>
      </c>
      <c r="L2390" s="83" t="str">
        <f>"SI_109967"</f>
        <v>SI_109967</v>
      </c>
      <c r="M2390" s="84">
        <v>42742</v>
      </c>
      <c r="N2390" s="85">
        <f t="shared" si="735"/>
        <v>1070</v>
      </c>
      <c r="O2390" s="86">
        <f t="shared" si="736"/>
        <v>16979.28</v>
      </c>
      <c r="P2390" s="86">
        <f t="shared" si="737"/>
        <v>0</v>
      </c>
      <c r="Q2390" s="86">
        <f t="shared" si="738"/>
        <v>0</v>
      </c>
      <c r="R2390" s="86">
        <f t="shared" si="739"/>
        <v>0</v>
      </c>
      <c r="S2390" s="86">
        <f t="shared" si="740"/>
        <v>0</v>
      </c>
      <c r="T2390" s="86">
        <f t="shared" si="741"/>
        <v>16979.28</v>
      </c>
      <c r="U2390" s="87">
        <v>16979.28</v>
      </c>
    </row>
    <row r="2391" spans="1:21" s="30" customFormat="1" ht="24.6" hidden="1" outlineLevel="1" x14ac:dyDescent="0.55000000000000004">
      <c r="A2391" s="27" t="s">
        <v>327</v>
      </c>
      <c r="B2391" s="28"/>
      <c r="C2391" s="27"/>
      <c r="D2391" s="27" t="str">
        <f>"""NAV Direct"",""CRONUS JetCorp USA"",""21"",""1"",""430408"""</f>
        <v>"NAV Direct","CRONUS JetCorp USA","21","1","430408"</v>
      </c>
      <c r="E2391" s="31" t="str">
        <f t="shared" si="734"/>
        <v>C100076</v>
      </c>
      <c r="F2391" s="31"/>
      <c r="G2391" s="31"/>
      <c r="H2391" s="31"/>
      <c r="I2391" s="56"/>
      <c r="J2391" s="56"/>
      <c r="K2391" s="82" t="str">
        <f t="shared" ref="K2391:K2405" si="742">"Credit Memo"</f>
        <v>Credit Memo</v>
      </c>
      <c r="L2391" s="83" t="str">
        <f>"SC_100269"</f>
        <v>SC_100269</v>
      </c>
      <c r="M2391" s="84">
        <v>42494</v>
      </c>
      <c r="N2391" s="85">
        <f t="shared" si="735"/>
        <v>1318</v>
      </c>
      <c r="O2391" s="86">
        <f t="shared" si="736"/>
        <v>-127.63</v>
      </c>
      <c r="P2391" s="86">
        <f t="shared" si="737"/>
        <v>0</v>
      </c>
      <c r="Q2391" s="86">
        <f t="shared" si="738"/>
        <v>0</v>
      </c>
      <c r="R2391" s="86">
        <f t="shared" si="739"/>
        <v>0</v>
      </c>
      <c r="S2391" s="86">
        <f t="shared" si="740"/>
        <v>0</v>
      </c>
      <c r="T2391" s="86">
        <f t="shared" si="741"/>
        <v>-127.63</v>
      </c>
      <c r="U2391" s="87">
        <v>-127.63</v>
      </c>
    </row>
    <row r="2392" spans="1:21" s="30" customFormat="1" ht="24.6" hidden="1" outlineLevel="1" x14ac:dyDescent="0.55000000000000004">
      <c r="A2392" s="27" t="s">
        <v>327</v>
      </c>
      <c r="B2392" s="28"/>
      <c r="C2392" s="27"/>
      <c r="D2392" s="27" t="str">
        <f>"""NAV Direct"",""CRONUS JetCorp USA"",""21"",""1"",""430560"""</f>
        <v>"NAV Direct","CRONUS JetCorp USA","21","1","430560"</v>
      </c>
      <c r="E2392" s="31">
        <f t="shared" si="734"/>
        <v>0</v>
      </c>
      <c r="F2392" s="31"/>
      <c r="G2392" s="31"/>
      <c r="H2392" s="31"/>
      <c r="I2392" s="56"/>
      <c r="J2392" s="56"/>
      <c r="K2392" s="82" t="str">
        <f t="shared" si="742"/>
        <v>Credit Memo</v>
      </c>
      <c r="L2392" s="83" t="str">
        <f>"SC_100281"</f>
        <v>SC_100281</v>
      </c>
      <c r="M2392" s="84">
        <v>42830</v>
      </c>
      <c r="N2392" s="85">
        <f t="shared" si="735"/>
        <v>982</v>
      </c>
      <c r="O2392" s="86">
        <f t="shared" si="736"/>
        <v>-141.81</v>
      </c>
      <c r="P2392" s="86">
        <f t="shared" si="737"/>
        <v>0</v>
      </c>
      <c r="Q2392" s="86">
        <f t="shared" si="738"/>
        <v>0</v>
      </c>
      <c r="R2392" s="86">
        <f t="shared" si="739"/>
        <v>0</v>
      </c>
      <c r="S2392" s="86">
        <f t="shared" si="740"/>
        <v>0</v>
      </c>
      <c r="T2392" s="86">
        <f t="shared" si="741"/>
        <v>-141.81</v>
      </c>
      <c r="U2392" s="87">
        <v>-141.81</v>
      </c>
    </row>
    <row r="2393" spans="1:21" s="30" customFormat="1" ht="24.6" hidden="1" outlineLevel="1" x14ac:dyDescent="0.55000000000000004">
      <c r="A2393" s="27" t="s">
        <v>327</v>
      </c>
      <c r="B2393" s="28"/>
      <c r="C2393" s="27"/>
      <c r="D2393" s="27" t="str">
        <f>"""NAV Direct"",""CRONUS JetCorp USA"",""21"",""1"",""430607"""</f>
        <v>"NAV Direct","CRONUS JetCorp USA","21","1","430607"</v>
      </c>
      <c r="E2393" s="31" t="str">
        <f t="shared" si="734"/>
        <v>C100076</v>
      </c>
      <c r="F2393" s="31"/>
      <c r="G2393" s="31"/>
      <c r="H2393" s="31"/>
      <c r="I2393" s="56"/>
      <c r="J2393" s="56"/>
      <c r="K2393" s="82" t="str">
        <f t="shared" si="742"/>
        <v>Credit Memo</v>
      </c>
      <c r="L2393" s="83" t="str">
        <f>"SC_100284"</f>
        <v>SC_100284</v>
      </c>
      <c r="M2393" s="84">
        <v>42872</v>
      </c>
      <c r="N2393" s="85">
        <f t="shared" si="735"/>
        <v>940</v>
      </c>
      <c r="O2393" s="86">
        <f t="shared" si="736"/>
        <v>-148.26999999999998</v>
      </c>
      <c r="P2393" s="86">
        <f t="shared" si="737"/>
        <v>0</v>
      </c>
      <c r="Q2393" s="86">
        <f t="shared" si="738"/>
        <v>0</v>
      </c>
      <c r="R2393" s="86">
        <f t="shared" si="739"/>
        <v>0</v>
      </c>
      <c r="S2393" s="86">
        <f t="shared" si="740"/>
        <v>0</v>
      </c>
      <c r="T2393" s="86">
        <f t="shared" si="741"/>
        <v>-148.26999999999998</v>
      </c>
      <c r="U2393" s="87">
        <v>-148.26999999999998</v>
      </c>
    </row>
    <row r="2394" spans="1:21" s="30" customFormat="1" ht="24.6" hidden="1" outlineLevel="1" x14ac:dyDescent="0.55000000000000004">
      <c r="A2394" s="27" t="s">
        <v>327</v>
      </c>
      <c r="B2394" s="28"/>
      <c r="C2394" s="27"/>
      <c r="D2394" s="27" t="str">
        <f>"""NAV Direct"",""CRONUS JetCorp USA"",""21"",""1"",""430652"""</f>
        <v>"NAV Direct","CRONUS JetCorp USA","21","1","430652"</v>
      </c>
      <c r="E2394" s="31">
        <f t="shared" si="734"/>
        <v>0</v>
      </c>
      <c r="F2394" s="31"/>
      <c r="G2394" s="31"/>
      <c r="H2394" s="31"/>
      <c r="I2394" s="56"/>
      <c r="J2394" s="56"/>
      <c r="K2394" s="82" t="str">
        <f t="shared" si="742"/>
        <v>Credit Memo</v>
      </c>
      <c r="L2394" s="83" t="str">
        <f>"SC_100287"</f>
        <v>SC_100287</v>
      </c>
      <c r="M2394" s="84">
        <v>43208</v>
      </c>
      <c r="N2394" s="85">
        <f t="shared" si="735"/>
        <v>604</v>
      </c>
      <c r="O2394" s="86">
        <f t="shared" si="736"/>
        <v>-113.53</v>
      </c>
      <c r="P2394" s="86">
        <f t="shared" si="737"/>
        <v>0</v>
      </c>
      <c r="Q2394" s="86">
        <f t="shared" si="738"/>
        <v>0</v>
      </c>
      <c r="R2394" s="86">
        <f t="shared" si="739"/>
        <v>0</v>
      </c>
      <c r="S2394" s="86">
        <f t="shared" si="740"/>
        <v>0</v>
      </c>
      <c r="T2394" s="86">
        <f t="shared" si="741"/>
        <v>-113.53</v>
      </c>
      <c r="U2394" s="87">
        <v>-113.53</v>
      </c>
    </row>
    <row r="2395" spans="1:21" s="30" customFormat="1" ht="24.6" hidden="1" outlineLevel="1" x14ac:dyDescent="0.55000000000000004">
      <c r="A2395" s="27" t="s">
        <v>327</v>
      </c>
      <c r="B2395" s="28"/>
      <c r="C2395" s="27"/>
      <c r="D2395" s="27" t="str">
        <f>"""NAV Direct"",""CRONUS JetCorp USA"",""21"",""1"",""430673"""</f>
        <v>"NAV Direct","CRONUS JetCorp USA","21","1","430673"</v>
      </c>
      <c r="E2395" s="31" t="str">
        <f t="shared" si="734"/>
        <v>C100076</v>
      </c>
      <c r="F2395" s="31"/>
      <c r="G2395" s="31"/>
      <c r="H2395" s="31"/>
      <c r="I2395" s="56"/>
      <c r="J2395" s="56"/>
      <c r="K2395" s="82" t="str">
        <f t="shared" si="742"/>
        <v>Credit Memo</v>
      </c>
      <c r="L2395" s="83" t="str">
        <f>"SC_100288"</f>
        <v>SC_100288</v>
      </c>
      <c r="M2395" s="84">
        <v>43223</v>
      </c>
      <c r="N2395" s="85">
        <f t="shared" si="735"/>
        <v>589</v>
      </c>
      <c r="O2395" s="86">
        <f t="shared" si="736"/>
        <v>-113.21</v>
      </c>
      <c r="P2395" s="86">
        <f t="shared" si="737"/>
        <v>0</v>
      </c>
      <c r="Q2395" s="86">
        <f t="shared" si="738"/>
        <v>0</v>
      </c>
      <c r="R2395" s="86">
        <f t="shared" si="739"/>
        <v>0</v>
      </c>
      <c r="S2395" s="86">
        <f t="shared" si="740"/>
        <v>0</v>
      </c>
      <c r="T2395" s="86">
        <f t="shared" si="741"/>
        <v>-113.21</v>
      </c>
      <c r="U2395" s="87">
        <v>-113.21</v>
      </c>
    </row>
    <row r="2396" spans="1:21" s="30" customFormat="1" ht="24.6" hidden="1" outlineLevel="1" x14ac:dyDescent="0.55000000000000004">
      <c r="A2396" s="27" t="s">
        <v>327</v>
      </c>
      <c r="B2396" s="28"/>
      <c r="C2396" s="27"/>
      <c r="D2396" s="27" t="str">
        <f>"""NAV Direct"",""CRONUS JetCorp USA"",""21"",""1"",""430690"""</f>
        <v>"NAV Direct","CRONUS JetCorp USA","21","1","430690"</v>
      </c>
      <c r="E2396" s="31">
        <f t="shared" si="734"/>
        <v>0</v>
      </c>
      <c r="F2396" s="31"/>
      <c r="G2396" s="31"/>
      <c r="H2396" s="31"/>
      <c r="I2396" s="56"/>
      <c r="J2396" s="56"/>
      <c r="K2396" s="82" t="str">
        <f t="shared" si="742"/>
        <v>Credit Memo</v>
      </c>
      <c r="L2396" s="83" t="str">
        <f>"SC_100289"</f>
        <v>SC_100289</v>
      </c>
      <c r="M2396" s="84">
        <v>43226</v>
      </c>
      <c r="N2396" s="85">
        <f t="shared" si="735"/>
        <v>586</v>
      </c>
      <c r="O2396" s="86">
        <f t="shared" si="736"/>
        <v>-112.94000000000001</v>
      </c>
      <c r="P2396" s="86">
        <f t="shared" si="737"/>
        <v>0</v>
      </c>
      <c r="Q2396" s="86">
        <f t="shared" si="738"/>
        <v>0</v>
      </c>
      <c r="R2396" s="86">
        <f t="shared" si="739"/>
        <v>0</v>
      </c>
      <c r="S2396" s="86">
        <f t="shared" si="740"/>
        <v>0</v>
      </c>
      <c r="T2396" s="86">
        <f t="shared" si="741"/>
        <v>-112.94000000000001</v>
      </c>
      <c r="U2396" s="87">
        <v>-112.94000000000001</v>
      </c>
    </row>
    <row r="2397" spans="1:21" s="30" customFormat="1" ht="24.6" hidden="1" outlineLevel="1" x14ac:dyDescent="0.55000000000000004">
      <c r="A2397" s="27" t="s">
        <v>327</v>
      </c>
      <c r="B2397" s="28"/>
      <c r="C2397" s="27"/>
      <c r="D2397" s="27" t="str">
        <f>"""NAV Direct"",""CRONUS JetCorp USA"",""21"",""1"",""430828"""</f>
        <v>"NAV Direct","CRONUS JetCorp USA","21","1","430828"</v>
      </c>
      <c r="E2397" s="31" t="str">
        <f t="shared" si="734"/>
        <v>C100076</v>
      </c>
      <c r="F2397" s="31"/>
      <c r="G2397" s="31"/>
      <c r="H2397" s="31"/>
      <c r="I2397" s="56"/>
      <c r="J2397" s="56"/>
      <c r="K2397" s="82" t="str">
        <f t="shared" si="742"/>
        <v>Credit Memo</v>
      </c>
      <c r="L2397" s="83" t="str">
        <f>"SC_100299"</f>
        <v>SC_100299</v>
      </c>
      <c r="M2397" s="84">
        <v>43625</v>
      </c>
      <c r="N2397" s="85">
        <f t="shared" si="735"/>
        <v>187</v>
      </c>
      <c r="O2397" s="86">
        <f t="shared" si="736"/>
        <v>-134.93</v>
      </c>
      <c r="P2397" s="86">
        <f t="shared" si="737"/>
        <v>0</v>
      </c>
      <c r="Q2397" s="86">
        <f t="shared" si="738"/>
        <v>0</v>
      </c>
      <c r="R2397" s="86">
        <f t="shared" si="739"/>
        <v>0</v>
      </c>
      <c r="S2397" s="86">
        <f t="shared" si="740"/>
        <v>0</v>
      </c>
      <c r="T2397" s="86">
        <f t="shared" si="741"/>
        <v>-134.93</v>
      </c>
      <c r="U2397" s="87">
        <v>-134.93</v>
      </c>
    </row>
    <row r="2398" spans="1:21" s="30" customFormat="1" ht="24.6" hidden="1" outlineLevel="1" x14ac:dyDescent="0.55000000000000004">
      <c r="A2398" s="27" t="s">
        <v>327</v>
      </c>
      <c r="B2398" s="28"/>
      <c r="C2398" s="27"/>
      <c r="D2398" s="27" t="str">
        <f>"""NAV Direct"",""CRONUS JetCorp USA"",""21"",""1"",""430891"""</f>
        <v>"NAV Direct","CRONUS JetCorp USA","21","1","430891"</v>
      </c>
      <c r="E2398" s="31">
        <f t="shared" si="734"/>
        <v>0</v>
      </c>
      <c r="F2398" s="31"/>
      <c r="G2398" s="31"/>
      <c r="H2398" s="31"/>
      <c r="I2398" s="56"/>
      <c r="J2398" s="56"/>
      <c r="K2398" s="82" t="str">
        <f t="shared" si="742"/>
        <v>Credit Memo</v>
      </c>
      <c r="L2398" s="83" t="str">
        <f>"SC_100304"</f>
        <v>SC_100304</v>
      </c>
      <c r="M2398" s="84">
        <v>43756</v>
      </c>
      <c r="N2398" s="85">
        <f t="shared" si="735"/>
        <v>56</v>
      </c>
      <c r="O2398" s="86">
        <f t="shared" si="736"/>
        <v>-144.51</v>
      </c>
      <c r="P2398" s="86">
        <f t="shared" si="737"/>
        <v>0</v>
      </c>
      <c r="Q2398" s="86">
        <f t="shared" si="738"/>
        <v>0</v>
      </c>
      <c r="R2398" s="86">
        <f t="shared" si="739"/>
        <v>-144.51</v>
      </c>
      <c r="S2398" s="86">
        <f t="shared" si="740"/>
        <v>0</v>
      </c>
      <c r="T2398" s="86">
        <f t="shared" si="741"/>
        <v>0</v>
      </c>
      <c r="U2398" s="87">
        <v>-144.51</v>
      </c>
    </row>
    <row r="2399" spans="1:21" s="30" customFormat="1" ht="24.6" hidden="1" outlineLevel="1" x14ac:dyDescent="0.55000000000000004">
      <c r="A2399" s="27" t="s">
        <v>327</v>
      </c>
      <c r="B2399" s="28"/>
      <c r="C2399" s="27"/>
      <c r="D2399" s="27" t="str">
        <f>"""NAV Direct"",""CRONUS JetCorp USA"",""21"",""1"",""430925"""</f>
        <v>"NAV Direct","CRONUS JetCorp USA","21","1","430925"</v>
      </c>
      <c r="E2399" s="31" t="str">
        <f t="shared" si="734"/>
        <v>C100076</v>
      </c>
      <c r="F2399" s="31"/>
      <c r="G2399" s="31"/>
      <c r="H2399" s="31"/>
      <c r="I2399" s="56"/>
      <c r="J2399" s="56"/>
      <c r="K2399" s="82" t="str">
        <f t="shared" si="742"/>
        <v>Credit Memo</v>
      </c>
      <c r="L2399" s="83" t="str">
        <f>"SC_100306"</f>
        <v>SC_100306</v>
      </c>
      <c r="M2399" s="84">
        <v>43781</v>
      </c>
      <c r="N2399" s="85">
        <f t="shared" si="735"/>
        <v>31</v>
      </c>
      <c r="O2399" s="86">
        <f t="shared" si="736"/>
        <v>-140.44</v>
      </c>
      <c r="P2399" s="86">
        <f t="shared" si="737"/>
        <v>0</v>
      </c>
      <c r="Q2399" s="86">
        <f t="shared" si="738"/>
        <v>0</v>
      </c>
      <c r="R2399" s="86">
        <f t="shared" si="739"/>
        <v>-140.44</v>
      </c>
      <c r="S2399" s="86">
        <f t="shared" si="740"/>
        <v>0</v>
      </c>
      <c r="T2399" s="86">
        <f t="shared" si="741"/>
        <v>0</v>
      </c>
      <c r="U2399" s="87">
        <v>-140.44</v>
      </c>
    </row>
    <row r="2400" spans="1:21" s="30" customFormat="1" ht="24.6" hidden="1" outlineLevel="1" x14ac:dyDescent="0.55000000000000004">
      <c r="A2400" s="27" t="s">
        <v>327</v>
      </c>
      <c r="B2400" s="28"/>
      <c r="C2400" s="27"/>
      <c r="D2400" s="27" t="str">
        <f>"""NAV Direct"",""CRONUS JetCorp USA"",""21"",""1"",""430948"""</f>
        <v>"NAV Direct","CRONUS JetCorp USA","21","1","430948"</v>
      </c>
      <c r="E2400" s="31">
        <f t="shared" si="734"/>
        <v>0</v>
      </c>
      <c r="F2400" s="31"/>
      <c r="G2400" s="31"/>
      <c r="H2400" s="31"/>
      <c r="I2400" s="56"/>
      <c r="J2400" s="56"/>
      <c r="K2400" s="82" t="str">
        <f t="shared" si="742"/>
        <v>Credit Memo</v>
      </c>
      <c r="L2400" s="83" t="str">
        <f>"SC_100309"</f>
        <v>SC_100309</v>
      </c>
      <c r="M2400" s="84">
        <v>42031</v>
      </c>
      <c r="N2400" s="85">
        <f t="shared" si="735"/>
        <v>1781</v>
      </c>
      <c r="O2400" s="86">
        <f t="shared" si="736"/>
        <v>-141.82</v>
      </c>
      <c r="P2400" s="86">
        <f t="shared" si="737"/>
        <v>0</v>
      </c>
      <c r="Q2400" s="86">
        <f t="shared" si="738"/>
        <v>0</v>
      </c>
      <c r="R2400" s="86">
        <f t="shared" si="739"/>
        <v>0</v>
      </c>
      <c r="S2400" s="86">
        <f t="shared" si="740"/>
        <v>0</v>
      </c>
      <c r="T2400" s="86">
        <f t="shared" si="741"/>
        <v>-141.82</v>
      </c>
      <c r="U2400" s="87">
        <v>-141.82</v>
      </c>
    </row>
    <row r="2401" spans="1:22" s="30" customFormat="1" ht="24.6" hidden="1" outlineLevel="1" x14ac:dyDescent="0.55000000000000004">
      <c r="A2401" s="27" t="s">
        <v>327</v>
      </c>
      <c r="B2401" s="28"/>
      <c r="C2401" s="27"/>
      <c r="D2401" s="27" t="str">
        <f>"""NAV Direct"",""CRONUS JetCorp USA"",""21"",""1"",""431017"""</f>
        <v>"NAV Direct","CRONUS JetCorp USA","21","1","431017"</v>
      </c>
      <c r="E2401" s="31" t="str">
        <f t="shared" si="734"/>
        <v>C100076</v>
      </c>
      <c r="F2401" s="31"/>
      <c r="G2401" s="31"/>
      <c r="H2401" s="31"/>
      <c r="I2401" s="56"/>
      <c r="J2401" s="56"/>
      <c r="K2401" s="82" t="str">
        <f t="shared" si="742"/>
        <v>Credit Memo</v>
      </c>
      <c r="L2401" s="83" t="str">
        <f>"SC_100314"</f>
        <v>SC_100314</v>
      </c>
      <c r="M2401" s="84">
        <v>42158</v>
      </c>
      <c r="N2401" s="85">
        <f t="shared" si="735"/>
        <v>1654</v>
      </c>
      <c r="O2401" s="86">
        <f t="shared" si="736"/>
        <v>-152.10999999999999</v>
      </c>
      <c r="P2401" s="86">
        <f t="shared" si="737"/>
        <v>0</v>
      </c>
      <c r="Q2401" s="86">
        <f t="shared" si="738"/>
        <v>0</v>
      </c>
      <c r="R2401" s="86">
        <f t="shared" si="739"/>
        <v>0</v>
      </c>
      <c r="S2401" s="86">
        <f t="shared" si="740"/>
        <v>0</v>
      </c>
      <c r="T2401" s="86">
        <f t="shared" si="741"/>
        <v>-152.10999999999999</v>
      </c>
      <c r="U2401" s="87">
        <v>-152.10999999999999</v>
      </c>
    </row>
    <row r="2402" spans="1:22" s="30" customFormat="1" ht="24.6" hidden="1" outlineLevel="1" x14ac:dyDescent="0.55000000000000004">
      <c r="A2402" s="27" t="s">
        <v>327</v>
      </c>
      <c r="B2402" s="28"/>
      <c r="C2402" s="27"/>
      <c r="D2402" s="27" t="str">
        <f>"""NAV Direct"",""CRONUS JetCorp USA"",""21"",""1"",""431036"""</f>
        <v>"NAV Direct","CRONUS JetCorp USA","21","1","431036"</v>
      </c>
      <c r="E2402" s="31">
        <f t="shared" si="734"/>
        <v>0</v>
      </c>
      <c r="F2402" s="31"/>
      <c r="G2402" s="31"/>
      <c r="H2402" s="31"/>
      <c r="I2402" s="56"/>
      <c r="J2402" s="56"/>
      <c r="K2402" s="82" t="str">
        <f t="shared" si="742"/>
        <v>Credit Memo</v>
      </c>
      <c r="L2402" s="83" t="str">
        <f>"SC_100315"</f>
        <v>SC_100315</v>
      </c>
      <c r="M2402" s="84">
        <v>42162</v>
      </c>
      <c r="N2402" s="85">
        <f t="shared" si="735"/>
        <v>1650</v>
      </c>
      <c r="O2402" s="86">
        <f t="shared" si="736"/>
        <v>-156.1</v>
      </c>
      <c r="P2402" s="86">
        <f t="shared" si="737"/>
        <v>0</v>
      </c>
      <c r="Q2402" s="86">
        <f t="shared" si="738"/>
        <v>0</v>
      </c>
      <c r="R2402" s="86">
        <f t="shared" si="739"/>
        <v>0</v>
      </c>
      <c r="S2402" s="86">
        <f t="shared" si="740"/>
        <v>0</v>
      </c>
      <c r="T2402" s="86">
        <f t="shared" si="741"/>
        <v>-156.1</v>
      </c>
      <c r="U2402" s="87">
        <v>-156.1</v>
      </c>
    </row>
    <row r="2403" spans="1:22" s="30" customFormat="1" ht="24.6" hidden="1" outlineLevel="1" x14ac:dyDescent="0.55000000000000004">
      <c r="A2403" s="27" t="s">
        <v>327</v>
      </c>
      <c r="B2403" s="28"/>
      <c r="C2403" s="27"/>
      <c r="D2403" s="27" t="str">
        <f>"""NAV Direct"",""CRONUS JetCorp USA"",""21"",""1"",""431089"""</f>
        <v>"NAV Direct","CRONUS JetCorp USA","21","1","431089"</v>
      </c>
      <c r="E2403" s="31" t="str">
        <f t="shared" si="734"/>
        <v>C100076</v>
      </c>
      <c r="F2403" s="31"/>
      <c r="G2403" s="31"/>
      <c r="H2403" s="31"/>
      <c r="I2403" s="56"/>
      <c r="J2403" s="56"/>
      <c r="K2403" s="82" t="str">
        <f t="shared" si="742"/>
        <v>Credit Memo</v>
      </c>
      <c r="L2403" s="83" t="str">
        <f>"SC_100318"</f>
        <v>SC_100318</v>
      </c>
      <c r="M2403" s="84">
        <v>42198</v>
      </c>
      <c r="N2403" s="85">
        <f t="shared" si="735"/>
        <v>1614</v>
      </c>
      <c r="O2403" s="86">
        <f t="shared" si="736"/>
        <v>-157.4</v>
      </c>
      <c r="P2403" s="86">
        <f t="shared" si="737"/>
        <v>0</v>
      </c>
      <c r="Q2403" s="86">
        <f t="shared" si="738"/>
        <v>0</v>
      </c>
      <c r="R2403" s="86">
        <f t="shared" si="739"/>
        <v>0</v>
      </c>
      <c r="S2403" s="86">
        <f t="shared" si="740"/>
        <v>0</v>
      </c>
      <c r="T2403" s="86">
        <f t="shared" si="741"/>
        <v>-157.4</v>
      </c>
      <c r="U2403" s="87">
        <v>-157.4</v>
      </c>
    </row>
    <row r="2404" spans="1:22" s="30" customFormat="1" ht="24.6" hidden="1" outlineLevel="1" x14ac:dyDescent="0.55000000000000004">
      <c r="A2404" s="27" t="s">
        <v>327</v>
      </c>
      <c r="B2404" s="28"/>
      <c r="C2404" s="27"/>
      <c r="D2404" s="27" t="str">
        <f>"""NAV Direct"",""CRONUS JetCorp USA"",""21"",""1"",""431109"""</f>
        <v>"NAV Direct","CRONUS JetCorp USA","21","1","431109"</v>
      </c>
      <c r="E2404" s="31">
        <f t="shared" si="734"/>
        <v>0</v>
      </c>
      <c r="F2404" s="31"/>
      <c r="G2404" s="31"/>
      <c r="H2404" s="31"/>
      <c r="I2404" s="56"/>
      <c r="J2404" s="56"/>
      <c r="K2404" s="82" t="str">
        <f t="shared" si="742"/>
        <v>Credit Memo</v>
      </c>
      <c r="L2404" s="83" t="str">
        <f>"SC_100320"</f>
        <v>SC_100320</v>
      </c>
      <c r="M2404" s="84">
        <v>42227</v>
      </c>
      <c r="N2404" s="85">
        <f t="shared" si="735"/>
        <v>1585</v>
      </c>
      <c r="O2404" s="86">
        <f t="shared" si="736"/>
        <v>-159.58000000000001</v>
      </c>
      <c r="P2404" s="86">
        <f t="shared" si="737"/>
        <v>0</v>
      </c>
      <c r="Q2404" s="86">
        <f t="shared" si="738"/>
        <v>0</v>
      </c>
      <c r="R2404" s="86">
        <f t="shared" si="739"/>
        <v>0</v>
      </c>
      <c r="S2404" s="86">
        <f t="shared" si="740"/>
        <v>0</v>
      </c>
      <c r="T2404" s="86">
        <f t="shared" si="741"/>
        <v>-159.58000000000001</v>
      </c>
      <c r="U2404" s="87">
        <v>-159.58000000000001</v>
      </c>
    </row>
    <row r="2405" spans="1:22" s="30" customFormat="1" ht="24.6" hidden="1" outlineLevel="1" x14ac:dyDescent="0.55000000000000004">
      <c r="A2405" s="27" t="s">
        <v>327</v>
      </c>
      <c r="B2405" s="28"/>
      <c r="C2405" s="27"/>
      <c r="D2405" s="27" t="str">
        <f>"""NAV Direct"",""CRONUS JetCorp USA"",""21"",""1"",""431127"""</f>
        <v>"NAV Direct","CRONUS JetCorp USA","21","1","431127"</v>
      </c>
      <c r="E2405" s="31" t="str">
        <f t="shared" si="734"/>
        <v>C100076</v>
      </c>
      <c r="F2405" s="31"/>
      <c r="G2405" s="31"/>
      <c r="H2405" s="31"/>
      <c r="I2405" s="56"/>
      <c r="J2405" s="56"/>
      <c r="K2405" s="82" t="str">
        <f t="shared" si="742"/>
        <v>Credit Memo</v>
      </c>
      <c r="L2405" s="83" t="str">
        <f>"SC_100322"</f>
        <v>SC_100322</v>
      </c>
      <c r="M2405" s="84">
        <v>42258</v>
      </c>
      <c r="N2405" s="85">
        <f t="shared" si="735"/>
        <v>1554</v>
      </c>
      <c r="O2405" s="86">
        <f t="shared" si="736"/>
        <v>-157.29999999999998</v>
      </c>
      <c r="P2405" s="86">
        <f t="shared" si="737"/>
        <v>0</v>
      </c>
      <c r="Q2405" s="86">
        <f t="shared" si="738"/>
        <v>0</v>
      </c>
      <c r="R2405" s="86">
        <f t="shared" si="739"/>
        <v>0</v>
      </c>
      <c r="S2405" s="86">
        <f t="shared" si="740"/>
        <v>0</v>
      </c>
      <c r="T2405" s="86">
        <f t="shared" si="741"/>
        <v>-157.29999999999998</v>
      </c>
      <c r="U2405" s="87">
        <v>-157.29999999999998</v>
      </c>
    </row>
    <row r="2406" spans="1:22" s="22" customFormat="1" ht="20.399999999999999" collapsed="1" x14ac:dyDescent="0.45">
      <c r="A2406" s="12" t="s">
        <v>327</v>
      </c>
      <c r="B2406" s="19"/>
      <c r="C2406" s="12"/>
      <c r="D2406" s="12"/>
      <c r="E2406" s="23"/>
      <c r="F2406" s="23"/>
      <c r="G2406" s="23"/>
      <c r="H2406" s="23"/>
      <c r="I2406" s="49"/>
      <c r="J2406" s="88"/>
      <c r="K2406" s="88"/>
      <c r="L2406" s="89"/>
      <c r="M2406" s="89"/>
      <c r="N2406" s="89"/>
      <c r="O2406" s="89"/>
      <c r="P2406" s="89"/>
      <c r="Q2406" s="90"/>
      <c r="R2406" s="90"/>
      <c r="S2406" s="91"/>
      <c r="T2406" s="92"/>
      <c r="U2406" s="92"/>
    </row>
    <row r="2407" spans="1:22" s="22" customFormat="1" ht="20.399999999999999" x14ac:dyDescent="0.45">
      <c r="A2407" s="12" t="s">
        <v>327</v>
      </c>
      <c r="B2407" s="19"/>
      <c r="C2407" s="12"/>
      <c r="D2407" s="12"/>
      <c r="E2407" s="23"/>
      <c r="F2407" s="23"/>
      <c r="G2407" s="23"/>
      <c r="H2407" s="23"/>
      <c r="I2407" s="49"/>
      <c r="J2407" s="88"/>
      <c r="K2407" s="88"/>
      <c r="L2407" s="89"/>
      <c r="M2407" s="89"/>
      <c r="N2407" s="89"/>
      <c r="O2407" s="89"/>
      <c r="P2407" s="89"/>
      <c r="Q2407" s="90"/>
      <c r="R2407" s="90"/>
      <c r="S2407" s="91"/>
      <c r="T2407" s="92"/>
      <c r="U2407" s="92"/>
    </row>
    <row r="2408" spans="1:22" s="26" customFormat="1" ht="24.6" x14ac:dyDescent="0.55000000000000004">
      <c r="A2408" s="27" t="s">
        <v>327</v>
      </c>
      <c r="B2408" s="28"/>
      <c r="C2408" s="27" t="str">
        <f>"""NAV Direct"",""CRONUS JetCorp USA"",""18"",""1"",""C100081"""</f>
        <v>"NAV Direct","CRONUS JetCorp USA","18","1","C100081"</v>
      </c>
      <c r="D2408" s="27"/>
      <c r="E2408" s="28" t="str">
        <f>H2408</f>
        <v>C100081</v>
      </c>
      <c r="F2408" s="28"/>
      <c r="G2408" s="28"/>
      <c r="H2408" s="28" t="str">
        <f>"C100081"</f>
        <v>C100081</v>
      </c>
      <c r="I2408" s="116" t="str">
        <f>"C100081  -  Sonnmatt Design"</f>
        <v>C100081  -  Sonnmatt Design</v>
      </c>
      <c r="J2408" s="117" t="str">
        <f>""</f>
        <v/>
      </c>
      <c r="K2408" s="118"/>
      <c r="L2408" s="119">
        <f>SUBTOTAL(3,L2409:L2429)</f>
        <v>17</v>
      </c>
      <c r="M2408" s="118"/>
      <c r="N2408" s="118"/>
      <c r="O2408" s="120">
        <f t="shared" ref="O2408:T2408" si="743">SUBTOTAL(9,O2409:O2429)</f>
        <v>206591.27</v>
      </c>
      <c r="P2408" s="120">
        <f t="shared" si="743"/>
        <v>0</v>
      </c>
      <c r="Q2408" s="120">
        <f t="shared" si="743"/>
        <v>0</v>
      </c>
      <c r="R2408" s="120">
        <f t="shared" si="743"/>
        <v>0</v>
      </c>
      <c r="S2408" s="120">
        <f t="shared" si="743"/>
        <v>0</v>
      </c>
      <c r="T2408" s="120">
        <f t="shared" si="743"/>
        <v>206591.27</v>
      </c>
      <c r="U2408" s="81"/>
    </row>
    <row r="2409" spans="1:22" s="26" customFormat="1" ht="24.6" x14ac:dyDescent="0.55000000000000004">
      <c r="A2409" s="27" t="s">
        <v>327</v>
      </c>
      <c r="B2409" s="28"/>
      <c r="C2409" s="27" t="str">
        <f>C2408</f>
        <v>"NAV Direct","CRONUS JetCorp USA","18","1","C100081"</v>
      </c>
      <c r="D2409" s="27"/>
      <c r="E2409" s="28" t="str">
        <f>E2408</f>
        <v>C100081</v>
      </c>
      <c r="F2409" s="28"/>
      <c r="G2409" s="28"/>
      <c r="H2409" s="28"/>
      <c r="I2409" s="121" t="str">
        <f>"Contact: Fr. Annelie Zuber"</f>
        <v>Contact: Fr. Annelie Zuber</v>
      </c>
      <c r="J2409" s="121"/>
      <c r="K2409" s="122"/>
      <c r="L2409" s="123"/>
      <c r="M2409" s="123"/>
      <c r="N2409" s="124"/>
      <c r="O2409" s="124"/>
      <c r="P2409" s="123"/>
      <c r="Q2409" s="125"/>
      <c r="R2409" s="126"/>
      <c r="S2409" s="126"/>
      <c r="T2409" s="125"/>
      <c r="U2409" s="81"/>
    </row>
    <row r="2410" spans="1:22" s="26" customFormat="1" ht="24.6" x14ac:dyDescent="0.55000000000000004">
      <c r="A2410" s="27" t="s">
        <v>327</v>
      </c>
      <c r="B2410" s="28"/>
      <c r="C2410" s="27" t="str">
        <f>C2409</f>
        <v>"NAV Direct","CRONUS JetCorp USA","18","1","C100081"</v>
      </c>
      <c r="D2410" s="27"/>
      <c r="E2410" s="28" t="str">
        <f>E2409</f>
        <v>C100081</v>
      </c>
      <c r="F2410" s="28"/>
      <c r="G2410" s="28"/>
      <c r="H2410" s="28"/>
      <c r="I2410" s="121" t="str">
        <f>"sonnmatt.design@cronuscorp.net"</f>
        <v>sonnmatt.design@cronuscorp.net</v>
      </c>
      <c r="J2410" s="121"/>
      <c r="K2410" s="122"/>
      <c r="L2410" s="124"/>
      <c r="M2410" s="124"/>
      <c r="N2410" s="124"/>
      <c r="O2410" s="124"/>
      <c r="P2410" s="123"/>
      <c r="Q2410" s="125"/>
      <c r="R2410" s="126"/>
      <c r="S2410" s="126"/>
      <c r="T2410" s="125"/>
      <c r="U2410" s="81"/>
    </row>
    <row r="2411" spans="1:22" ht="12.75" hidden="1" customHeight="1" outlineLevel="1" x14ac:dyDescent="0.45">
      <c r="A2411" s="12" t="s">
        <v>328</v>
      </c>
      <c r="B2411" s="19"/>
      <c r="E2411" s="19"/>
      <c r="F2411" s="19"/>
      <c r="G2411" s="19"/>
      <c r="H2411" s="19"/>
      <c r="I2411" s="61"/>
      <c r="J2411" s="61"/>
      <c r="K2411" s="61"/>
      <c r="L2411" s="61"/>
      <c r="M2411" s="61"/>
      <c r="N2411" s="61"/>
      <c r="O2411" s="61"/>
      <c r="P2411" s="61"/>
      <c r="Q2411" s="61"/>
      <c r="R2411" s="61"/>
      <c r="S2411" s="61"/>
      <c r="T2411" s="61"/>
      <c r="U2411" s="61"/>
      <c r="V2411" s="21"/>
    </row>
    <row r="2412" spans="1:22" s="30" customFormat="1" ht="24.6" hidden="1" outlineLevel="1" x14ac:dyDescent="0.55000000000000004">
      <c r="A2412" s="27" t="s">
        <v>327</v>
      </c>
      <c r="B2412" s="28"/>
      <c r="C2412" s="27"/>
      <c r="D2412" s="27" t="str">
        <f>"""NAV Direct"",""CRONUS JetCorp USA"",""21"",""1"",""102028"""</f>
        <v>"NAV Direct","CRONUS JetCorp USA","21","1","102028"</v>
      </c>
      <c r="E2412" s="31" t="str">
        <f t="shared" ref="E2412:E2428" si="744">E2410</f>
        <v>C100081</v>
      </c>
      <c r="F2412" s="31"/>
      <c r="G2412" s="31"/>
      <c r="H2412" s="31"/>
      <c r="I2412" s="56"/>
      <c r="J2412" s="56"/>
      <c r="K2412" s="82" t="str">
        <f t="shared" ref="K2412:K2427" si="745">"Invoice"</f>
        <v>Invoice</v>
      </c>
      <c r="L2412" s="83" t="str">
        <f>"SI_106600"</f>
        <v>SI_106600</v>
      </c>
      <c r="M2412" s="84">
        <v>42216</v>
      </c>
      <c r="N2412" s="85">
        <f t="shared" ref="N2412:N2428" si="746">StartDate-$M2412+1</f>
        <v>1596</v>
      </c>
      <c r="O2412" s="86">
        <f t="shared" ref="O2412:O2428" si="747">SUM(P2412:T2412)</f>
        <v>11847.57</v>
      </c>
      <c r="P2412" s="86">
        <f t="shared" ref="P2412:P2428" si="748">IF($M2412&gt;=$P$18,U2412,0)</f>
        <v>0</v>
      </c>
      <c r="Q2412" s="86">
        <f t="shared" ref="Q2412:Q2428" si="749">IF(AND($M2412&gt;=$Q$16,$M2412&lt;=$Q$18),U2412,0)</f>
        <v>0</v>
      </c>
      <c r="R2412" s="86">
        <f t="shared" ref="R2412:R2428" si="750">IF(AND($M2412&gt;=$R$16,$M2412&lt;=$R$18),U2412,0)</f>
        <v>0</v>
      </c>
      <c r="S2412" s="86">
        <f t="shared" ref="S2412:S2428" si="751">IF(AND($M2412&gt;=$S$16,$M2412&lt;=$S$18),U2412,0)</f>
        <v>0</v>
      </c>
      <c r="T2412" s="86">
        <f t="shared" ref="T2412:T2428" si="752">IF($M2412&lt;=$T$18,U2412,0)</f>
        <v>11847.57</v>
      </c>
      <c r="U2412" s="87">
        <v>11847.57</v>
      </c>
    </row>
    <row r="2413" spans="1:22" s="30" customFormat="1" ht="24.6" hidden="1" outlineLevel="1" x14ac:dyDescent="0.55000000000000004">
      <c r="A2413" s="27" t="s">
        <v>327</v>
      </c>
      <c r="B2413" s="28"/>
      <c r="C2413" s="27"/>
      <c r="D2413" s="27" t="str">
        <f>"""NAV Direct"",""CRONUS JetCorp USA"",""21"",""1"",""102078"""</f>
        <v>"NAV Direct","CRONUS JetCorp USA","21","1","102078"</v>
      </c>
      <c r="E2413" s="31">
        <f t="shared" si="744"/>
        <v>0</v>
      </c>
      <c r="F2413" s="31"/>
      <c r="G2413" s="31"/>
      <c r="H2413" s="31"/>
      <c r="I2413" s="56"/>
      <c r="J2413" s="56"/>
      <c r="K2413" s="82" t="str">
        <f t="shared" si="745"/>
        <v>Invoice</v>
      </c>
      <c r="L2413" s="83" t="str">
        <f>"SI_106602"</f>
        <v>SI_106602</v>
      </c>
      <c r="M2413" s="84">
        <v>42247</v>
      </c>
      <c r="N2413" s="85">
        <f t="shared" si="746"/>
        <v>1565</v>
      </c>
      <c r="O2413" s="86">
        <f t="shared" si="747"/>
        <v>10425.619999999999</v>
      </c>
      <c r="P2413" s="86">
        <f t="shared" si="748"/>
        <v>0</v>
      </c>
      <c r="Q2413" s="86">
        <f t="shared" si="749"/>
        <v>0</v>
      </c>
      <c r="R2413" s="86">
        <f t="shared" si="750"/>
        <v>0</v>
      </c>
      <c r="S2413" s="86">
        <f t="shared" si="751"/>
        <v>0</v>
      </c>
      <c r="T2413" s="86">
        <f t="shared" si="752"/>
        <v>10425.619999999999</v>
      </c>
      <c r="U2413" s="87">
        <v>10425.619999999999</v>
      </c>
    </row>
    <row r="2414" spans="1:22" s="30" customFormat="1" ht="24.6" hidden="1" outlineLevel="1" x14ac:dyDescent="0.55000000000000004">
      <c r="A2414" s="27" t="s">
        <v>327</v>
      </c>
      <c r="B2414" s="28"/>
      <c r="C2414" s="27"/>
      <c r="D2414" s="27" t="str">
        <f>"""NAV Direct"",""CRONUS JetCorp USA"",""21"",""1"",""102270"""</f>
        <v>"NAV Direct","CRONUS JetCorp USA","21","1","102270"</v>
      </c>
      <c r="E2414" s="31" t="str">
        <f t="shared" si="744"/>
        <v>C100081</v>
      </c>
      <c r="F2414" s="31"/>
      <c r="G2414" s="31"/>
      <c r="H2414" s="31"/>
      <c r="I2414" s="56"/>
      <c r="J2414" s="56"/>
      <c r="K2414" s="82" t="str">
        <f t="shared" si="745"/>
        <v>Invoice</v>
      </c>
      <c r="L2414" s="83" t="str">
        <f>"SI_106608"</f>
        <v>SI_106608</v>
      </c>
      <c r="M2414" s="84">
        <v>42338</v>
      </c>
      <c r="N2414" s="85">
        <f t="shared" si="746"/>
        <v>1474</v>
      </c>
      <c r="O2414" s="86">
        <f t="shared" si="747"/>
        <v>13200.619999999999</v>
      </c>
      <c r="P2414" s="86">
        <f t="shared" si="748"/>
        <v>0</v>
      </c>
      <c r="Q2414" s="86">
        <f t="shared" si="749"/>
        <v>0</v>
      </c>
      <c r="R2414" s="86">
        <f t="shared" si="750"/>
        <v>0</v>
      </c>
      <c r="S2414" s="86">
        <f t="shared" si="751"/>
        <v>0</v>
      </c>
      <c r="T2414" s="86">
        <f t="shared" si="752"/>
        <v>13200.619999999999</v>
      </c>
      <c r="U2414" s="87">
        <v>13200.619999999999</v>
      </c>
    </row>
    <row r="2415" spans="1:22" s="30" customFormat="1" ht="24.6" hidden="1" outlineLevel="1" x14ac:dyDescent="0.55000000000000004">
      <c r="A2415" s="27" t="s">
        <v>327</v>
      </c>
      <c r="B2415" s="28"/>
      <c r="C2415" s="27"/>
      <c r="D2415" s="27" t="str">
        <f>"""NAV Direct"",""CRONUS JetCorp USA"",""21"",""1"",""102313"""</f>
        <v>"NAV Direct","CRONUS JetCorp USA","21","1","102313"</v>
      </c>
      <c r="E2415" s="31">
        <f t="shared" si="744"/>
        <v>0</v>
      </c>
      <c r="F2415" s="31"/>
      <c r="G2415" s="31"/>
      <c r="H2415" s="31"/>
      <c r="I2415" s="56"/>
      <c r="J2415" s="56"/>
      <c r="K2415" s="82" t="str">
        <f t="shared" si="745"/>
        <v>Invoice</v>
      </c>
      <c r="L2415" s="83" t="str">
        <f>"SI_106609"</f>
        <v>SI_106609</v>
      </c>
      <c r="M2415" s="84">
        <v>42338</v>
      </c>
      <c r="N2415" s="85">
        <f t="shared" si="746"/>
        <v>1474</v>
      </c>
      <c r="O2415" s="86">
        <f t="shared" si="747"/>
        <v>13200.08</v>
      </c>
      <c r="P2415" s="86">
        <f t="shared" si="748"/>
        <v>0</v>
      </c>
      <c r="Q2415" s="86">
        <f t="shared" si="749"/>
        <v>0</v>
      </c>
      <c r="R2415" s="86">
        <f t="shared" si="750"/>
        <v>0</v>
      </c>
      <c r="S2415" s="86">
        <f t="shared" si="751"/>
        <v>0</v>
      </c>
      <c r="T2415" s="86">
        <f t="shared" si="752"/>
        <v>13200.08</v>
      </c>
      <c r="U2415" s="87">
        <v>13200.08</v>
      </c>
    </row>
    <row r="2416" spans="1:22" s="30" customFormat="1" ht="24.6" hidden="1" outlineLevel="1" x14ac:dyDescent="0.55000000000000004">
      <c r="A2416" s="27" t="s">
        <v>327</v>
      </c>
      <c r="B2416" s="28"/>
      <c r="C2416" s="27"/>
      <c r="D2416" s="27" t="str">
        <f>"""NAV Direct"",""CRONUS JetCorp USA"",""21"",""1"",""381428"""</f>
        <v>"NAV Direct","CRONUS JetCorp USA","21","1","381428"</v>
      </c>
      <c r="E2416" s="31" t="str">
        <f t="shared" si="744"/>
        <v>C100081</v>
      </c>
      <c r="F2416" s="31"/>
      <c r="G2416" s="31"/>
      <c r="H2416" s="31"/>
      <c r="I2416" s="56"/>
      <c r="J2416" s="56"/>
      <c r="K2416" s="82" t="str">
        <f t="shared" si="745"/>
        <v>Invoice</v>
      </c>
      <c r="L2416" s="83" t="str">
        <f>"SI_111852"</f>
        <v>SI_111852</v>
      </c>
      <c r="M2416" s="84">
        <v>42916</v>
      </c>
      <c r="N2416" s="85">
        <f t="shared" si="746"/>
        <v>896</v>
      </c>
      <c r="O2416" s="86">
        <f t="shared" si="747"/>
        <v>13674.06</v>
      </c>
      <c r="P2416" s="86">
        <f t="shared" si="748"/>
        <v>0</v>
      </c>
      <c r="Q2416" s="86">
        <f t="shared" si="749"/>
        <v>0</v>
      </c>
      <c r="R2416" s="86">
        <f t="shared" si="750"/>
        <v>0</v>
      </c>
      <c r="S2416" s="86">
        <f t="shared" si="751"/>
        <v>0</v>
      </c>
      <c r="T2416" s="86">
        <f t="shared" si="752"/>
        <v>13674.06</v>
      </c>
      <c r="U2416" s="87">
        <v>13674.06</v>
      </c>
    </row>
    <row r="2417" spans="1:21" s="30" customFormat="1" ht="24.6" hidden="1" outlineLevel="1" x14ac:dyDescent="0.55000000000000004">
      <c r="A2417" s="27" t="s">
        <v>327</v>
      </c>
      <c r="B2417" s="28"/>
      <c r="C2417" s="27"/>
      <c r="D2417" s="27" t="str">
        <f>"""NAV Direct"",""CRONUS JetCorp USA"",""21"",""1"",""381546"""</f>
        <v>"NAV Direct","CRONUS JetCorp USA","21","1","381546"</v>
      </c>
      <c r="E2417" s="31">
        <f t="shared" si="744"/>
        <v>0</v>
      </c>
      <c r="F2417" s="31"/>
      <c r="G2417" s="31"/>
      <c r="H2417" s="31"/>
      <c r="I2417" s="56"/>
      <c r="J2417" s="56"/>
      <c r="K2417" s="82" t="str">
        <f t="shared" si="745"/>
        <v>Invoice</v>
      </c>
      <c r="L2417" s="83" t="str">
        <f>"SI_111856"</f>
        <v>SI_111856</v>
      </c>
      <c r="M2417" s="84">
        <v>43008</v>
      </c>
      <c r="N2417" s="85">
        <f t="shared" si="746"/>
        <v>804</v>
      </c>
      <c r="O2417" s="86">
        <f t="shared" si="747"/>
        <v>9354.7199999999993</v>
      </c>
      <c r="P2417" s="86">
        <f t="shared" si="748"/>
        <v>0</v>
      </c>
      <c r="Q2417" s="86">
        <f t="shared" si="749"/>
        <v>0</v>
      </c>
      <c r="R2417" s="86">
        <f t="shared" si="750"/>
        <v>0</v>
      </c>
      <c r="S2417" s="86">
        <f t="shared" si="751"/>
        <v>0</v>
      </c>
      <c r="T2417" s="86">
        <f t="shared" si="752"/>
        <v>9354.7199999999993</v>
      </c>
      <c r="U2417" s="87">
        <v>9354.7199999999993</v>
      </c>
    </row>
    <row r="2418" spans="1:21" s="30" customFormat="1" ht="24.6" hidden="1" outlineLevel="1" x14ac:dyDescent="0.55000000000000004">
      <c r="A2418" s="27" t="s">
        <v>327</v>
      </c>
      <c r="B2418" s="28"/>
      <c r="C2418" s="27"/>
      <c r="D2418" s="27" t="str">
        <f>"""NAV Direct"",""CRONUS JetCorp USA"",""21"",""1"",""381721"""</f>
        <v>"NAV Direct","CRONUS JetCorp USA","21","1","381721"</v>
      </c>
      <c r="E2418" s="31" t="str">
        <f t="shared" si="744"/>
        <v>C100081</v>
      </c>
      <c r="F2418" s="31"/>
      <c r="G2418" s="31"/>
      <c r="H2418" s="31"/>
      <c r="I2418" s="56"/>
      <c r="J2418" s="56"/>
      <c r="K2418" s="82" t="str">
        <f t="shared" si="745"/>
        <v>Invoice</v>
      </c>
      <c r="L2418" s="83" t="str">
        <f>"SI_111861"</f>
        <v>SI_111861</v>
      </c>
      <c r="M2418" s="84">
        <v>43131</v>
      </c>
      <c r="N2418" s="85">
        <f t="shared" si="746"/>
        <v>681</v>
      </c>
      <c r="O2418" s="86">
        <f t="shared" si="747"/>
        <v>12176.460000000001</v>
      </c>
      <c r="P2418" s="86">
        <f t="shared" si="748"/>
        <v>0</v>
      </c>
      <c r="Q2418" s="86">
        <f t="shared" si="749"/>
        <v>0</v>
      </c>
      <c r="R2418" s="86">
        <f t="shared" si="750"/>
        <v>0</v>
      </c>
      <c r="S2418" s="86">
        <f t="shared" si="751"/>
        <v>0</v>
      </c>
      <c r="T2418" s="86">
        <f t="shared" si="752"/>
        <v>12176.460000000001</v>
      </c>
      <c r="U2418" s="87">
        <v>12176.460000000001</v>
      </c>
    </row>
    <row r="2419" spans="1:21" s="30" customFormat="1" ht="24.6" hidden="1" outlineLevel="1" x14ac:dyDescent="0.55000000000000004">
      <c r="A2419" s="27" t="s">
        <v>327</v>
      </c>
      <c r="B2419" s="28"/>
      <c r="C2419" s="27"/>
      <c r="D2419" s="27" t="str">
        <f>"""NAV Direct"",""CRONUS JetCorp USA"",""21"",""1"",""381814"""</f>
        <v>"NAV Direct","CRONUS JetCorp USA","21","1","381814"</v>
      </c>
      <c r="E2419" s="31">
        <f t="shared" si="744"/>
        <v>0</v>
      </c>
      <c r="F2419" s="31"/>
      <c r="G2419" s="31"/>
      <c r="H2419" s="31"/>
      <c r="I2419" s="56"/>
      <c r="J2419" s="56"/>
      <c r="K2419" s="82" t="str">
        <f t="shared" si="745"/>
        <v>Invoice</v>
      </c>
      <c r="L2419" s="83" t="str">
        <f>"SI_111864"</f>
        <v>SI_111864</v>
      </c>
      <c r="M2419" s="84">
        <v>43159</v>
      </c>
      <c r="N2419" s="85">
        <f t="shared" si="746"/>
        <v>653</v>
      </c>
      <c r="O2419" s="86">
        <f t="shared" si="747"/>
        <v>11201.66</v>
      </c>
      <c r="P2419" s="86">
        <f t="shared" si="748"/>
        <v>0</v>
      </c>
      <c r="Q2419" s="86">
        <f t="shared" si="749"/>
        <v>0</v>
      </c>
      <c r="R2419" s="86">
        <f t="shared" si="750"/>
        <v>0</v>
      </c>
      <c r="S2419" s="86">
        <f t="shared" si="751"/>
        <v>0</v>
      </c>
      <c r="T2419" s="86">
        <f t="shared" si="752"/>
        <v>11201.66</v>
      </c>
      <c r="U2419" s="87">
        <v>11201.66</v>
      </c>
    </row>
    <row r="2420" spans="1:21" s="30" customFormat="1" ht="24.6" hidden="1" outlineLevel="1" x14ac:dyDescent="0.55000000000000004">
      <c r="A2420" s="27" t="s">
        <v>327</v>
      </c>
      <c r="B2420" s="28"/>
      <c r="C2420" s="27"/>
      <c r="D2420" s="27" t="str">
        <f>"""NAV Direct"",""CRONUS JetCorp USA"",""21"",""1"",""382084"""</f>
        <v>"NAV Direct","CRONUS JetCorp USA","21","1","382084"</v>
      </c>
      <c r="E2420" s="31" t="str">
        <f t="shared" si="744"/>
        <v>C100081</v>
      </c>
      <c r="F2420" s="31"/>
      <c r="G2420" s="31"/>
      <c r="H2420" s="31"/>
      <c r="I2420" s="56"/>
      <c r="J2420" s="56"/>
      <c r="K2420" s="82" t="str">
        <f t="shared" si="745"/>
        <v>Invoice</v>
      </c>
      <c r="L2420" s="83" t="str">
        <f>"SI_111872"</f>
        <v>SI_111872</v>
      </c>
      <c r="M2420" s="84">
        <v>43343</v>
      </c>
      <c r="N2420" s="85">
        <f t="shared" si="746"/>
        <v>469</v>
      </c>
      <c r="O2420" s="86">
        <f t="shared" si="747"/>
        <v>10318.540000000001</v>
      </c>
      <c r="P2420" s="86">
        <f t="shared" si="748"/>
        <v>0</v>
      </c>
      <c r="Q2420" s="86">
        <f t="shared" si="749"/>
        <v>0</v>
      </c>
      <c r="R2420" s="86">
        <f t="shared" si="750"/>
        <v>0</v>
      </c>
      <c r="S2420" s="86">
        <f t="shared" si="751"/>
        <v>0</v>
      </c>
      <c r="T2420" s="86">
        <f t="shared" si="752"/>
        <v>10318.540000000001</v>
      </c>
      <c r="U2420" s="87">
        <v>10318.540000000001</v>
      </c>
    </row>
    <row r="2421" spans="1:21" s="30" customFormat="1" ht="24.6" hidden="1" outlineLevel="1" x14ac:dyDescent="0.55000000000000004">
      <c r="A2421" s="27" t="s">
        <v>327</v>
      </c>
      <c r="B2421" s="28"/>
      <c r="C2421" s="27"/>
      <c r="D2421" s="27" t="str">
        <f>"""NAV Direct"",""CRONUS JetCorp USA"",""21"",""1"",""382113"""</f>
        <v>"NAV Direct","CRONUS JetCorp USA","21","1","382113"</v>
      </c>
      <c r="E2421" s="31">
        <f t="shared" si="744"/>
        <v>0</v>
      </c>
      <c r="F2421" s="31"/>
      <c r="G2421" s="31"/>
      <c r="H2421" s="31"/>
      <c r="I2421" s="56"/>
      <c r="J2421" s="56"/>
      <c r="K2421" s="82" t="str">
        <f t="shared" si="745"/>
        <v>Invoice</v>
      </c>
      <c r="L2421" s="83" t="str">
        <f>"SI_111873"</f>
        <v>SI_111873</v>
      </c>
      <c r="M2421" s="84">
        <v>43343</v>
      </c>
      <c r="N2421" s="85">
        <f t="shared" si="746"/>
        <v>469</v>
      </c>
      <c r="O2421" s="86">
        <f t="shared" si="747"/>
        <v>10318.23</v>
      </c>
      <c r="P2421" s="86">
        <f t="shared" si="748"/>
        <v>0</v>
      </c>
      <c r="Q2421" s="86">
        <f t="shared" si="749"/>
        <v>0</v>
      </c>
      <c r="R2421" s="86">
        <f t="shared" si="750"/>
        <v>0</v>
      </c>
      <c r="S2421" s="86">
        <f t="shared" si="751"/>
        <v>0</v>
      </c>
      <c r="T2421" s="86">
        <f t="shared" si="752"/>
        <v>10318.23</v>
      </c>
      <c r="U2421" s="87">
        <v>10318.23</v>
      </c>
    </row>
    <row r="2422" spans="1:21" s="30" customFormat="1" ht="24.6" hidden="1" outlineLevel="1" x14ac:dyDescent="0.55000000000000004">
      <c r="A2422" s="27" t="s">
        <v>327</v>
      </c>
      <c r="B2422" s="28"/>
      <c r="C2422" s="27"/>
      <c r="D2422" s="27" t="str">
        <f>"""NAV Direct"",""CRONUS JetCorp USA"",""21"",""1"",""382204"""</f>
        <v>"NAV Direct","CRONUS JetCorp USA","21","1","382204"</v>
      </c>
      <c r="E2422" s="31" t="str">
        <f t="shared" si="744"/>
        <v>C100081</v>
      </c>
      <c r="F2422" s="31"/>
      <c r="G2422" s="31"/>
      <c r="H2422" s="31"/>
      <c r="I2422" s="56"/>
      <c r="J2422" s="56"/>
      <c r="K2422" s="82" t="str">
        <f t="shared" si="745"/>
        <v>Invoice</v>
      </c>
      <c r="L2422" s="83" t="str">
        <f>"SI_111876"</f>
        <v>SI_111876</v>
      </c>
      <c r="M2422" s="84">
        <v>43404</v>
      </c>
      <c r="N2422" s="85">
        <f t="shared" si="746"/>
        <v>408</v>
      </c>
      <c r="O2422" s="86">
        <f t="shared" si="747"/>
        <v>10128.65</v>
      </c>
      <c r="P2422" s="86">
        <f t="shared" si="748"/>
        <v>0</v>
      </c>
      <c r="Q2422" s="86">
        <f t="shared" si="749"/>
        <v>0</v>
      </c>
      <c r="R2422" s="86">
        <f t="shared" si="750"/>
        <v>0</v>
      </c>
      <c r="S2422" s="86">
        <f t="shared" si="751"/>
        <v>0</v>
      </c>
      <c r="T2422" s="86">
        <f t="shared" si="752"/>
        <v>10128.65</v>
      </c>
      <c r="U2422" s="87">
        <v>10128.65</v>
      </c>
    </row>
    <row r="2423" spans="1:21" s="30" customFormat="1" ht="24.6" hidden="1" outlineLevel="1" x14ac:dyDescent="0.55000000000000004">
      <c r="A2423" s="27" t="s">
        <v>327</v>
      </c>
      <c r="B2423" s="28"/>
      <c r="C2423" s="27"/>
      <c r="D2423" s="27" t="str">
        <f>"""NAV Direct"",""CRONUS JetCorp USA"",""21"",""1"",""382526"""</f>
        <v>"NAV Direct","CRONUS JetCorp USA","21","1","382526"</v>
      </c>
      <c r="E2423" s="31">
        <f t="shared" si="744"/>
        <v>0</v>
      </c>
      <c r="F2423" s="31"/>
      <c r="G2423" s="31"/>
      <c r="H2423" s="31"/>
      <c r="I2423" s="56"/>
      <c r="J2423" s="56"/>
      <c r="K2423" s="82" t="str">
        <f t="shared" si="745"/>
        <v>Invoice</v>
      </c>
      <c r="L2423" s="83" t="str">
        <f>"SI_111886"</f>
        <v>SI_111886</v>
      </c>
      <c r="M2423" s="84">
        <v>43585</v>
      </c>
      <c r="N2423" s="85">
        <f t="shared" si="746"/>
        <v>227</v>
      </c>
      <c r="O2423" s="86">
        <f t="shared" si="747"/>
        <v>15627.3</v>
      </c>
      <c r="P2423" s="86">
        <f t="shared" si="748"/>
        <v>0</v>
      </c>
      <c r="Q2423" s="86">
        <f t="shared" si="749"/>
        <v>0</v>
      </c>
      <c r="R2423" s="86">
        <f t="shared" si="750"/>
        <v>0</v>
      </c>
      <c r="S2423" s="86">
        <f t="shared" si="751"/>
        <v>0</v>
      </c>
      <c r="T2423" s="86">
        <f t="shared" si="752"/>
        <v>15627.3</v>
      </c>
      <c r="U2423" s="87">
        <v>15627.3</v>
      </c>
    </row>
    <row r="2424" spans="1:21" s="30" customFormat="1" ht="24.6" hidden="1" outlineLevel="1" x14ac:dyDescent="0.55000000000000004">
      <c r="A2424" s="27" t="s">
        <v>327</v>
      </c>
      <c r="B2424" s="28"/>
      <c r="C2424" s="27"/>
      <c r="D2424" s="27" t="str">
        <f>"""NAV Direct"",""CRONUS JetCorp USA"",""21"",""1"",""382639"""</f>
        <v>"NAV Direct","CRONUS JetCorp USA","21","1","382639"</v>
      </c>
      <c r="E2424" s="31" t="str">
        <f t="shared" si="744"/>
        <v>C100081</v>
      </c>
      <c r="F2424" s="31"/>
      <c r="G2424" s="31"/>
      <c r="H2424" s="31"/>
      <c r="I2424" s="56"/>
      <c r="J2424" s="56"/>
      <c r="K2424" s="82" t="str">
        <f t="shared" si="745"/>
        <v>Invoice</v>
      </c>
      <c r="L2424" s="83" t="str">
        <f>"SI_111889"</f>
        <v>SI_111889</v>
      </c>
      <c r="M2424" s="84">
        <v>43646</v>
      </c>
      <c r="N2424" s="85">
        <f t="shared" si="746"/>
        <v>166</v>
      </c>
      <c r="O2424" s="86">
        <f t="shared" si="747"/>
        <v>20509.689999999999</v>
      </c>
      <c r="P2424" s="86">
        <f t="shared" si="748"/>
        <v>0</v>
      </c>
      <c r="Q2424" s="86">
        <f t="shared" si="749"/>
        <v>0</v>
      </c>
      <c r="R2424" s="86">
        <f t="shared" si="750"/>
        <v>0</v>
      </c>
      <c r="S2424" s="86">
        <f t="shared" si="751"/>
        <v>0</v>
      </c>
      <c r="T2424" s="86">
        <f t="shared" si="752"/>
        <v>20509.689999999999</v>
      </c>
      <c r="U2424" s="87">
        <v>20509.689999999999</v>
      </c>
    </row>
    <row r="2425" spans="1:21" s="30" customFormat="1" ht="24.6" hidden="1" outlineLevel="1" x14ac:dyDescent="0.55000000000000004">
      <c r="A2425" s="27" t="s">
        <v>327</v>
      </c>
      <c r="B2425" s="28"/>
      <c r="C2425" s="27"/>
      <c r="D2425" s="27" t="str">
        <f>"""NAV Direct"",""CRONUS JetCorp USA"",""21"",""1"",""382775"""</f>
        <v>"NAV Direct","CRONUS JetCorp USA","21","1","382775"</v>
      </c>
      <c r="E2425" s="31">
        <f t="shared" si="744"/>
        <v>0</v>
      </c>
      <c r="F2425" s="31"/>
      <c r="G2425" s="31"/>
      <c r="H2425" s="31"/>
      <c r="I2425" s="56"/>
      <c r="J2425" s="56"/>
      <c r="K2425" s="82" t="str">
        <f t="shared" si="745"/>
        <v>Invoice</v>
      </c>
      <c r="L2425" s="83" t="str">
        <f>"SI_111893"</f>
        <v>SI_111893</v>
      </c>
      <c r="M2425" s="84">
        <v>43708</v>
      </c>
      <c r="N2425" s="85">
        <f t="shared" si="746"/>
        <v>104</v>
      </c>
      <c r="O2425" s="86">
        <f t="shared" si="747"/>
        <v>11459.43</v>
      </c>
      <c r="P2425" s="86">
        <f t="shared" si="748"/>
        <v>0</v>
      </c>
      <c r="Q2425" s="86">
        <f t="shared" si="749"/>
        <v>0</v>
      </c>
      <c r="R2425" s="86">
        <f t="shared" si="750"/>
        <v>0</v>
      </c>
      <c r="S2425" s="86">
        <f t="shared" si="751"/>
        <v>0</v>
      </c>
      <c r="T2425" s="86">
        <f t="shared" si="752"/>
        <v>11459.43</v>
      </c>
      <c r="U2425" s="87">
        <v>11459.43</v>
      </c>
    </row>
    <row r="2426" spans="1:21" s="30" customFormat="1" ht="24.6" hidden="1" outlineLevel="1" x14ac:dyDescent="0.55000000000000004">
      <c r="A2426" s="27" t="s">
        <v>327</v>
      </c>
      <c r="B2426" s="28"/>
      <c r="C2426" s="27"/>
      <c r="D2426" s="27" t="str">
        <f>"""NAV Direct"",""CRONUS JetCorp USA"",""21"",""1"",""383173"""</f>
        <v>"NAV Direct","CRONUS JetCorp USA","21","1","383173"</v>
      </c>
      <c r="E2426" s="31" t="str">
        <f t="shared" si="744"/>
        <v>C100081</v>
      </c>
      <c r="F2426" s="31"/>
      <c r="G2426" s="31"/>
      <c r="H2426" s="31"/>
      <c r="I2426" s="56"/>
      <c r="J2426" s="56"/>
      <c r="K2426" s="82" t="str">
        <f t="shared" si="745"/>
        <v>Invoice</v>
      </c>
      <c r="L2426" s="83" t="str">
        <f>"SI_111905"</f>
        <v>SI_111905</v>
      </c>
      <c r="M2426" s="84">
        <v>42124</v>
      </c>
      <c r="N2426" s="85">
        <f t="shared" si="746"/>
        <v>1688</v>
      </c>
      <c r="O2426" s="86">
        <f t="shared" si="747"/>
        <v>14217.519999999999</v>
      </c>
      <c r="P2426" s="86">
        <f t="shared" si="748"/>
        <v>0</v>
      </c>
      <c r="Q2426" s="86">
        <f t="shared" si="749"/>
        <v>0</v>
      </c>
      <c r="R2426" s="86">
        <f t="shared" si="750"/>
        <v>0</v>
      </c>
      <c r="S2426" s="86">
        <f t="shared" si="751"/>
        <v>0</v>
      </c>
      <c r="T2426" s="86">
        <f t="shared" si="752"/>
        <v>14217.519999999999</v>
      </c>
      <c r="U2426" s="87">
        <v>14217.519999999999</v>
      </c>
    </row>
    <row r="2427" spans="1:21" s="30" customFormat="1" ht="24.6" hidden="1" outlineLevel="1" x14ac:dyDescent="0.55000000000000004">
      <c r="A2427" s="27" t="s">
        <v>327</v>
      </c>
      <c r="B2427" s="28"/>
      <c r="C2427" s="27"/>
      <c r="D2427" s="27" t="str">
        <f>"""NAV Direct"",""CRONUS JetCorp USA"",""21"",""1"",""383331"""</f>
        <v>"NAV Direct","CRONUS JetCorp USA","21","1","383331"</v>
      </c>
      <c r="E2427" s="31">
        <f t="shared" si="744"/>
        <v>0</v>
      </c>
      <c r="F2427" s="31"/>
      <c r="G2427" s="31"/>
      <c r="H2427" s="31"/>
      <c r="I2427" s="56"/>
      <c r="J2427" s="56"/>
      <c r="K2427" s="82" t="str">
        <f t="shared" si="745"/>
        <v>Invoice</v>
      </c>
      <c r="L2427" s="83" t="str">
        <f>"SI_111909"</f>
        <v>SI_111909</v>
      </c>
      <c r="M2427" s="84">
        <v>42185</v>
      </c>
      <c r="N2427" s="85">
        <f t="shared" si="746"/>
        <v>1627</v>
      </c>
      <c r="O2427" s="86">
        <f t="shared" si="747"/>
        <v>19048.82</v>
      </c>
      <c r="P2427" s="86">
        <f t="shared" si="748"/>
        <v>0</v>
      </c>
      <c r="Q2427" s="86">
        <f t="shared" si="749"/>
        <v>0</v>
      </c>
      <c r="R2427" s="86">
        <f t="shared" si="750"/>
        <v>0</v>
      </c>
      <c r="S2427" s="86">
        <f t="shared" si="751"/>
        <v>0</v>
      </c>
      <c r="T2427" s="86">
        <f t="shared" si="752"/>
        <v>19048.82</v>
      </c>
      <c r="U2427" s="87">
        <v>19048.82</v>
      </c>
    </row>
    <row r="2428" spans="1:21" s="30" customFormat="1" ht="24.6" hidden="1" outlineLevel="1" x14ac:dyDescent="0.55000000000000004">
      <c r="A2428" s="27" t="s">
        <v>327</v>
      </c>
      <c r="B2428" s="28"/>
      <c r="C2428" s="27"/>
      <c r="D2428" s="27" t="str">
        <f>"""NAV Direct"",""CRONUS JetCorp USA"",""21"",""1"",""438431"""</f>
        <v>"NAV Direct","CRONUS JetCorp USA","21","1","438431"</v>
      </c>
      <c r="E2428" s="31" t="str">
        <f t="shared" si="744"/>
        <v>C100081</v>
      </c>
      <c r="F2428" s="31"/>
      <c r="G2428" s="31"/>
      <c r="H2428" s="31"/>
      <c r="I2428" s="56"/>
      <c r="J2428" s="56"/>
      <c r="K2428" s="82" t="str">
        <f>"Credit Memo"</f>
        <v>Credit Memo</v>
      </c>
      <c r="L2428" s="83" t="str">
        <f>"SC_100815"</f>
        <v>SC_100815</v>
      </c>
      <c r="M2428" s="84">
        <v>43305</v>
      </c>
      <c r="N2428" s="85">
        <f t="shared" si="746"/>
        <v>507</v>
      </c>
      <c r="O2428" s="86">
        <f t="shared" si="747"/>
        <v>-117.69999999999999</v>
      </c>
      <c r="P2428" s="86">
        <f t="shared" si="748"/>
        <v>0</v>
      </c>
      <c r="Q2428" s="86">
        <f t="shared" si="749"/>
        <v>0</v>
      </c>
      <c r="R2428" s="86">
        <f t="shared" si="750"/>
        <v>0</v>
      </c>
      <c r="S2428" s="86">
        <f t="shared" si="751"/>
        <v>0</v>
      </c>
      <c r="T2428" s="86">
        <f t="shared" si="752"/>
        <v>-117.69999999999999</v>
      </c>
      <c r="U2428" s="87">
        <v>-117.69999999999999</v>
      </c>
    </row>
    <row r="2429" spans="1:21" s="22" customFormat="1" ht="20.399999999999999" collapsed="1" x14ac:dyDescent="0.45">
      <c r="A2429" s="12" t="s">
        <v>327</v>
      </c>
      <c r="B2429" s="19"/>
      <c r="C2429" s="12"/>
      <c r="D2429" s="12"/>
      <c r="E2429" s="23"/>
      <c r="F2429" s="23"/>
      <c r="G2429" s="23"/>
      <c r="H2429" s="23"/>
      <c r="I2429" s="49"/>
      <c r="J2429" s="88"/>
      <c r="K2429" s="88"/>
      <c r="L2429" s="89"/>
      <c r="M2429" s="89"/>
      <c r="N2429" s="89"/>
      <c r="O2429" s="89"/>
      <c r="P2429" s="89"/>
      <c r="Q2429" s="90"/>
      <c r="R2429" s="90"/>
      <c r="S2429" s="91"/>
      <c r="T2429" s="92"/>
      <c r="U2429" s="92"/>
    </row>
    <row r="2430" spans="1:21" s="22" customFormat="1" ht="20.399999999999999" x14ac:dyDescent="0.45">
      <c r="A2430" s="12" t="s">
        <v>327</v>
      </c>
      <c r="B2430" s="19"/>
      <c r="C2430" s="12"/>
      <c r="D2430" s="12"/>
      <c r="E2430" s="23"/>
      <c r="F2430" s="23"/>
      <c r="G2430" s="23"/>
      <c r="H2430" s="23"/>
      <c r="I2430" s="49"/>
      <c r="J2430" s="88"/>
      <c r="K2430" s="88"/>
      <c r="L2430" s="89"/>
      <c r="M2430" s="89"/>
      <c r="N2430" s="89"/>
      <c r="O2430" s="89"/>
      <c r="P2430" s="89"/>
      <c r="Q2430" s="90"/>
      <c r="R2430" s="90"/>
      <c r="S2430" s="91"/>
      <c r="T2430" s="92"/>
      <c r="U2430" s="92"/>
    </row>
    <row r="2431" spans="1:21" s="26" customFormat="1" ht="24.6" x14ac:dyDescent="0.55000000000000004">
      <c r="A2431" s="27" t="s">
        <v>327</v>
      </c>
      <c r="B2431" s="28"/>
      <c r="C2431" s="27" t="str">
        <f>"""NAV Direct"",""CRONUS JetCorp USA"",""18"",""1"",""C100082"""</f>
        <v>"NAV Direct","CRONUS JetCorp USA","18","1","C100082"</v>
      </c>
      <c r="D2431" s="27"/>
      <c r="E2431" s="28" t="str">
        <f>H2431</f>
        <v>C100082</v>
      </c>
      <c r="F2431" s="28"/>
      <c r="G2431" s="28"/>
      <c r="H2431" s="28" t="str">
        <f>"C100082"</f>
        <v>C100082</v>
      </c>
      <c r="I2431" s="116" t="str">
        <f>"C100082  -  Sporting Goods Emporium"</f>
        <v>C100082  -  Sporting Goods Emporium</v>
      </c>
      <c r="J2431" s="117" t="str">
        <f>""</f>
        <v/>
      </c>
      <c r="K2431" s="118"/>
      <c r="L2431" s="119">
        <f>SUBTOTAL(3,L2432:L2494)</f>
        <v>59</v>
      </c>
      <c r="M2431" s="118"/>
      <c r="N2431" s="118"/>
      <c r="O2431" s="120">
        <f t="shared" ref="O2431:T2431" si="753">SUBTOTAL(9,O2432:O2494)</f>
        <v>759395.84999999974</v>
      </c>
      <c r="P2431" s="120">
        <f t="shared" si="753"/>
        <v>34953.39</v>
      </c>
      <c r="Q2431" s="120">
        <f t="shared" si="753"/>
        <v>0</v>
      </c>
      <c r="R2431" s="120">
        <f t="shared" si="753"/>
        <v>-143.9</v>
      </c>
      <c r="S2431" s="120">
        <f t="shared" si="753"/>
        <v>0</v>
      </c>
      <c r="T2431" s="120">
        <f t="shared" si="753"/>
        <v>724586.35999999975</v>
      </c>
      <c r="U2431" s="81"/>
    </row>
    <row r="2432" spans="1:21" s="26" customFormat="1" ht="24.6" x14ac:dyDescent="0.55000000000000004">
      <c r="A2432" s="27" t="s">
        <v>327</v>
      </c>
      <c r="B2432" s="28"/>
      <c r="C2432" s="27" t="str">
        <f>C2431</f>
        <v>"NAV Direct","CRONUS JetCorp USA","18","1","C100082"</v>
      </c>
      <c r="D2432" s="27"/>
      <c r="E2432" s="28" t="str">
        <f>E2431</f>
        <v>C100082</v>
      </c>
      <c r="F2432" s="28"/>
      <c r="G2432" s="28"/>
      <c r="H2432" s="28"/>
      <c r="I2432" s="121" t="str">
        <f>"Contact: Bill Winton"</f>
        <v>Contact: Bill Winton</v>
      </c>
      <c r="J2432" s="121"/>
      <c r="K2432" s="122"/>
      <c r="L2432" s="123"/>
      <c r="M2432" s="123"/>
      <c r="N2432" s="124"/>
      <c r="O2432" s="124"/>
      <c r="P2432" s="123"/>
      <c r="Q2432" s="125"/>
      <c r="R2432" s="126"/>
      <c r="S2432" s="126"/>
      <c r="T2432" s="125"/>
      <c r="U2432" s="81"/>
    </row>
    <row r="2433" spans="1:22" s="26" customFormat="1" ht="24.6" x14ac:dyDescent="0.55000000000000004">
      <c r="A2433" s="27" t="s">
        <v>327</v>
      </c>
      <c r="B2433" s="28"/>
      <c r="C2433" s="27" t="str">
        <f>C2432</f>
        <v>"NAV Direct","CRONUS JetCorp USA","18","1","C100082"</v>
      </c>
      <c r="D2433" s="27"/>
      <c r="E2433" s="28" t="str">
        <f>E2432</f>
        <v>C100082</v>
      </c>
      <c r="F2433" s="28"/>
      <c r="G2433" s="28"/>
      <c r="H2433" s="28"/>
      <c r="I2433" s="121" t="str">
        <f>"Sporting Goods Emporium@Cronus.com"</f>
        <v>Sporting Goods Emporium@Cronus.com</v>
      </c>
      <c r="J2433" s="121"/>
      <c r="K2433" s="122"/>
      <c r="L2433" s="124"/>
      <c r="M2433" s="124"/>
      <c r="N2433" s="124"/>
      <c r="O2433" s="124"/>
      <c r="P2433" s="123"/>
      <c r="Q2433" s="125"/>
      <c r="R2433" s="126"/>
      <c r="S2433" s="126"/>
      <c r="T2433" s="125"/>
      <c r="U2433" s="81"/>
    </row>
    <row r="2434" spans="1:22" ht="12.75" hidden="1" customHeight="1" outlineLevel="1" x14ac:dyDescent="0.45">
      <c r="A2434" s="12" t="s">
        <v>328</v>
      </c>
      <c r="B2434" s="19"/>
      <c r="E2434" s="19"/>
      <c r="F2434" s="19"/>
      <c r="G2434" s="19"/>
      <c r="H2434" s="19"/>
      <c r="I2434" s="61"/>
      <c r="J2434" s="61"/>
      <c r="K2434" s="61"/>
      <c r="L2434" s="61"/>
      <c r="M2434" s="61"/>
      <c r="N2434" s="61"/>
      <c r="O2434" s="61"/>
      <c r="P2434" s="61"/>
      <c r="Q2434" s="61"/>
      <c r="R2434" s="61"/>
      <c r="S2434" s="61"/>
      <c r="T2434" s="61"/>
      <c r="U2434" s="61"/>
      <c r="V2434" s="21"/>
    </row>
    <row r="2435" spans="1:22" s="30" customFormat="1" ht="24.6" hidden="1" outlineLevel="1" x14ac:dyDescent="0.55000000000000004">
      <c r="A2435" s="27" t="s">
        <v>327</v>
      </c>
      <c r="B2435" s="28"/>
      <c r="C2435" s="27"/>
      <c r="D2435" s="27" t="str">
        <f>"""NAV Direct"",""CRONUS JetCorp USA"",""21"",""1"",""86157"""</f>
        <v>"NAV Direct","CRONUS JetCorp USA","21","1","86157"</v>
      </c>
      <c r="E2435" s="31" t="str">
        <f t="shared" ref="E2435:E2466" si="754">E2433</f>
        <v>C100082</v>
      </c>
      <c r="F2435" s="31"/>
      <c r="G2435" s="31"/>
      <c r="H2435" s="31"/>
      <c r="I2435" s="56"/>
      <c r="J2435" s="56"/>
      <c r="K2435" s="82" t="str">
        <f t="shared" ref="K2435:K2481" si="755">"Invoice"</f>
        <v>Invoice</v>
      </c>
      <c r="L2435" s="83" t="str">
        <f>"SI_106161"</f>
        <v>SI_106161</v>
      </c>
      <c r="M2435" s="84">
        <v>42333</v>
      </c>
      <c r="N2435" s="85">
        <f t="shared" ref="N2435:N2466" si="756">StartDate-$M2435+1</f>
        <v>1479</v>
      </c>
      <c r="O2435" s="86">
        <f t="shared" ref="O2435:O2466" si="757">SUM(P2435:T2435)</f>
        <v>17229.849999999999</v>
      </c>
      <c r="P2435" s="86">
        <f t="shared" ref="P2435:P2466" si="758">IF($M2435&gt;=$P$18,U2435,0)</f>
        <v>0</v>
      </c>
      <c r="Q2435" s="86">
        <f t="shared" ref="Q2435:Q2466" si="759">IF(AND($M2435&gt;=$Q$16,$M2435&lt;=$Q$18),U2435,0)</f>
        <v>0</v>
      </c>
      <c r="R2435" s="86">
        <f t="shared" ref="R2435:R2466" si="760">IF(AND($M2435&gt;=$R$16,$M2435&lt;=$R$18),U2435,0)</f>
        <v>0</v>
      </c>
      <c r="S2435" s="86">
        <f t="shared" ref="S2435:S2466" si="761">IF(AND($M2435&gt;=$S$16,$M2435&lt;=$S$18),U2435,0)</f>
        <v>0</v>
      </c>
      <c r="T2435" s="86">
        <f t="shared" ref="T2435:T2466" si="762">IF($M2435&lt;=$T$18,U2435,0)</f>
        <v>17229.849999999999</v>
      </c>
      <c r="U2435" s="87">
        <v>17229.849999999999</v>
      </c>
    </row>
    <row r="2436" spans="1:22" s="30" customFormat="1" ht="24.6" hidden="1" outlineLevel="1" x14ac:dyDescent="0.55000000000000004">
      <c r="A2436" s="27" t="s">
        <v>327</v>
      </c>
      <c r="B2436" s="28"/>
      <c r="C2436" s="27"/>
      <c r="D2436" s="27" t="str">
        <f>"""NAV Direct"",""CRONUS JetCorp USA"",""21"",""1"",""361019"""</f>
        <v>"NAV Direct","CRONUS JetCorp USA","21","1","361019"</v>
      </c>
      <c r="E2436" s="31">
        <f t="shared" si="754"/>
        <v>0</v>
      </c>
      <c r="F2436" s="31"/>
      <c r="G2436" s="31"/>
      <c r="H2436" s="31"/>
      <c r="I2436" s="56"/>
      <c r="J2436" s="56"/>
      <c r="K2436" s="82" t="str">
        <f t="shared" si="755"/>
        <v>Invoice</v>
      </c>
      <c r="L2436" s="83" t="str">
        <f>"SI_111285"</f>
        <v>SI_111285</v>
      </c>
      <c r="M2436" s="84">
        <v>42498</v>
      </c>
      <c r="N2436" s="85">
        <f t="shared" si="756"/>
        <v>1314</v>
      </c>
      <c r="O2436" s="86">
        <f t="shared" si="757"/>
        <v>8562.01</v>
      </c>
      <c r="P2436" s="86">
        <f t="shared" si="758"/>
        <v>0</v>
      </c>
      <c r="Q2436" s="86">
        <f t="shared" si="759"/>
        <v>0</v>
      </c>
      <c r="R2436" s="86">
        <f t="shared" si="760"/>
        <v>0</v>
      </c>
      <c r="S2436" s="86">
        <f t="shared" si="761"/>
        <v>0</v>
      </c>
      <c r="T2436" s="86">
        <f t="shared" si="762"/>
        <v>8562.01</v>
      </c>
      <c r="U2436" s="87">
        <v>8562.01</v>
      </c>
    </row>
    <row r="2437" spans="1:22" s="30" customFormat="1" ht="24.6" hidden="1" outlineLevel="1" x14ac:dyDescent="0.55000000000000004">
      <c r="A2437" s="27" t="s">
        <v>327</v>
      </c>
      <c r="B2437" s="28"/>
      <c r="C2437" s="27"/>
      <c r="D2437" s="27" t="str">
        <f>"""NAV Direct"",""CRONUS JetCorp USA"",""21"",""1"",""361085"""</f>
        <v>"NAV Direct","CRONUS JetCorp USA","21","1","361085"</v>
      </c>
      <c r="E2437" s="31" t="str">
        <f t="shared" si="754"/>
        <v>C100082</v>
      </c>
      <c r="F2437" s="31"/>
      <c r="G2437" s="31"/>
      <c r="H2437" s="31"/>
      <c r="I2437" s="56"/>
      <c r="J2437" s="56"/>
      <c r="K2437" s="82" t="str">
        <f t="shared" si="755"/>
        <v>Invoice</v>
      </c>
      <c r="L2437" s="83" t="str">
        <f>"SI_111287"</f>
        <v>SI_111287</v>
      </c>
      <c r="M2437" s="84">
        <v>42517</v>
      </c>
      <c r="N2437" s="85">
        <f t="shared" si="756"/>
        <v>1295</v>
      </c>
      <c r="O2437" s="86">
        <f t="shared" si="757"/>
        <v>9452.17</v>
      </c>
      <c r="P2437" s="86">
        <f t="shared" si="758"/>
        <v>0</v>
      </c>
      <c r="Q2437" s="86">
        <f t="shared" si="759"/>
        <v>0</v>
      </c>
      <c r="R2437" s="86">
        <f t="shared" si="760"/>
        <v>0</v>
      </c>
      <c r="S2437" s="86">
        <f t="shared" si="761"/>
        <v>0</v>
      </c>
      <c r="T2437" s="86">
        <f t="shared" si="762"/>
        <v>9452.17</v>
      </c>
      <c r="U2437" s="87">
        <v>9452.17</v>
      </c>
    </row>
    <row r="2438" spans="1:22" s="30" customFormat="1" ht="24.6" hidden="1" outlineLevel="1" x14ac:dyDescent="0.55000000000000004">
      <c r="A2438" s="27" t="s">
        <v>327</v>
      </c>
      <c r="B2438" s="28"/>
      <c r="C2438" s="27"/>
      <c r="D2438" s="27" t="str">
        <f>"""NAV Direct"",""CRONUS JetCorp USA"",""21"",""1"",""361234"""</f>
        <v>"NAV Direct","CRONUS JetCorp USA","21","1","361234"</v>
      </c>
      <c r="E2438" s="31">
        <f t="shared" si="754"/>
        <v>0</v>
      </c>
      <c r="F2438" s="31"/>
      <c r="G2438" s="31"/>
      <c r="H2438" s="31"/>
      <c r="I2438" s="56"/>
      <c r="J2438" s="56"/>
      <c r="K2438" s="82" t="str">
        <f t="shared" si="755"/>
        <v>Invoice</v>
      </c>
      <c r="L2438" s="83" t="str">
        <f>"SI_111292"</f>
        <v>SI_111292</v>
      </c>
      <c r="M2438" s="84">
        <v>42549</v>
      </c>
      <c r="N2438" s="85">
        <f t="shared" si="756"/>
        <v>1263</v>
      </c>
      <c r="O2438" s="86">
        <f t="shared" si="757"/>
        <v>10624.599999999999</v>
      </c>
      <c r="P2438" s="86">
        <f t="shared" si="758"/>
        <v>0</v>
      </c>
      <c r="Q2438" s="86">
        <f t="shared" si="759"/>
        <v>0</v>
      </c>
      <c r="R2438" s="86">
        <f t="shared" si="760"/>
        <v>0</v>
      </c>
      <c r="S2438" s="86">
        <f t="shared" si="761"/>
        <v>0</v>
      </c>
      <c r="T2438" s="86">
        <f t="shared" si="762"/>
        <v>10624.599999999999</v>
      </c>
      <c r="U2438" s="87">
        <v>10624.599999999999</v>
      </c>
    </row>
    <row r="2439" spans="1:22" s="30" customFormat="1" ht="24.6" hidden="1" outlineLevel="1" x14ac:dyDescent="0.55000000000000004">
      <c r="A2439" s="27" t="s">
        <v>327</v>
      </c>
      <c r="B2439" s="28"/>
      <c r="C2439" s="27"/>
      <c r="D2439" s="27" t="str">
        <f>"""NAV Direct"",""CRONUS JetCorp USA"",""21"",""1"",""361323"""</f>
        <v>"NAV Direct","CRONUS JetCorp USA","21","1","361323"</v>
      </c>
      <c r="E2439" s="31" t="str">
        <f t="shared" si="754"/>
        <v>C100082</v>
      </c>
      <c r="F2439" s="31"/>
      <c r="G2439" s="31"/>
      <c r="H2439" s="31"/>
      <c r="I2439" s="56"/>
      <c r="J2439" s="56"/>
      <c r="K2439" s="82" t="str">
        <f t="shared" si="755"/>
        <v>Invoice</v>
      </c>
      <c r="L2439" s="83" t="str">
        <f>"SI_111295"</f>
        <v>SI_111295</v>
      </c>
      <c r="M2439" s="84">
        <v>42575</v>
      </c>
      <c r="N2439" s="85">
        <f t="shared" si="756"/>
        <v>1237</v>
      </c>
      <c r="O2439" s="86">
        <f t="shared" si="757"/>
        <v>10369.11</v>
      </c>
      <c r="P2439" s="86">
        <f t="shared" si="758"/>
        <v>0</v>
      </c>
      <c r="Q2439" s="86">
        <f t="shared" si="759"/>
        <v>0</v>
      </c>
      <c r="R2439" s="86">
        <f t="shared" si="760"/>
        <v>0</v>
      </c>
      <c r="S2439" s="86">
        <f t="shared" si="761"/>
        <v>0</v>
      </c>
      <c r="T2439" s="86">
        <f t="shared" si="762"/>
        <v>10369.11</v>
      </c>
      <c r="U2439" s="87">
        <v>10369.11</v>
      </c>
    </row>
    <row r="2440" spans="1:22" s="30" customFormat="1" ht="24.6" hidden="1" outlineLevel="1" x14ac:dyDescent="0.55000000000000004">
      <c r="A2440" s="27" t="s">
        <v>327</v>
      </c>
      <c r="B2440" s="28"/>
      <c r="C2440" s="27"/>
      <c r="D2440" s="27" t="str">
        <f>"""NAV Direct"",""CRONUS JetCorp USA"",""21"",""1"",""361346"""</f>
        <v>"NAV Direct","CRONUS JetCorp USA","21","1","361346"</v>
      </c>
      <c r="E2440" s="31">
        <f t="shared" si="754"/>
        <v>0</v>
      </c>
      <c r="F2440" s="31"/>
      <c r="G2440" s="31"/>
      <c r="H2440" s="31"/>
      <c r="I2440" s="56"/>
      <c r="J2440" s="56"/>
      <c r="K2440" s="82" t="str">
        <f t="shared" si="755"/>
        <v>Invoice</v>
      </c>
      <c r="L2440" s="83" t="str">
        <f>"SI_111296"</f>
        <v>SI_111296</v>
      </c>
      <c r="M2440" s="84">
        <v>42578</v>
      </c>
      <c r="N2440" s="85">
        <f t="shared" si="756"/>
        <v>1234</v>
      </c>
      <c r="O2440" s="86">
        <f t="shared" si="757"/>
        <v>10368.81</v>
      </c>
      <c r="P2440" s="86">
        <f t="shared" si="758"/>
        <v>0</v>
      </c>
      <c r="Q2440" s="86">
        <f t="shared" si="759"/>
        <v>0</v>
      </c>
      <c r="R2440" s="86">
        <f t="shared" si="760"/>
        <v>0</v>
      </c>
      <c r="S2440" s="86">
        <f t="shared" si="761"/>
        <v>0</v>
      </c>
      <c r="T2440" s="86">
        <f t="shared" si="762"/>
        <v>10368.81</v>
      </c>
      <c r="U2440" s="87">
        <v>10368.81</v>
      </c>
    </row>
    <row r="2441" spans="1:22" s="30" customFormat="1" ht="24.6" hidden="1" outlineLevel="1" x14ac:dyDescent="0.55000000000000004">
      <c r="A2441" s="27" t="s">
        <v>327</v>
      </c>
      <c r="B2441" s="28"/>
      <c r="C2441" s="27"/>
      <c r="D2441" s="27" t="str">
        <f>"""NAV Direct"",""CRONUS JetCorp USA"",""21"",""1"",""361387"""</f>
        <v>"NAV Direct","CRONUS JetCorp USA","21","1","361387"</v>
      </c>
      <c r="E2441" s="31" t="str">
        <f t="shared" si="754"/>
        <v>C100082</v>
      </c>
      <c r="F2441" s="31"/>
      <c r="G2441" s="31"/>
      <c r="H2441" s="31"/>
      <c r="I2441" s="56"/>
      <c r="J2441" s="56"/>
      <c r="K2441" s="82" t="str">
        <f t="shared" si="755"/>
        <v>Invoice</v>
      </c>
      <c r="L2441" s="83" t="str">
        <f>"SI_111297"</f>
        <v>SI_111297</v>
      </c>
      <c r="M2441" s="84">
        <v>42589</v>
      </c>
      <c r="N2441" s="85">
        <f t="shared" si="756"/>
        <v>1223</v>
      </c>
      <c r="O2441" s="86">
        <f t="shared" si="757"/>
        <v>10369.549999999999</v>
      </c>
      <c r="P2441" s="86">
        <f t="shared" si="758"/>
        <v>0</v>
      </c>
      <c r="Q2441" s="86">
        <f t="shared" si="759"/>
        <v>0</v>
      </c>
      <c r="R2441" s="86">
        <f t="shared" si="760"/>
        <v>0</v>
      </c>
      <c r="S2441" s="86">
        <f t="shared" si="761"/>
        <v>0</v>
      </c>
      <c r="T2441" s="86">
        <f t="shared" si="762"/>
        <v>10369.549999999999</v>
      </c>
      <c r="U2441" s="87">
        <v>10369.549999999999</v>
      </c>
    </row>
    <row r="2442" spans="1:22" s="30" customFormat="1" ht="24.6" hidden="1" outlineLevel="1" x14ac:dyDescent="0.55000000000000004">
      <c r="A2442" s="27" t="s">
        <v>327</v>
      </c>
      <c r="B2442" s="28"/>
      <c r="C2442" s="27"/>
      <c r="D2442" s="27" t="str">
        <f>"""NAV Direct"",""CRONUS JetCorp USA"",""21"",""1"",""361799"""</f>
        <v>"NAV Direct","CRONUS JetCorp USA","21","1","361799"</v>
      </c>
      <c r="E2442" s="31">
        <f t="shared" si="754"/>
        <v>0</v>
      </c>
      <c r="F2442" s="31"/>
      <c r="G2442" s="31"/>
      <c r="H2442" s="31"/>
      <c r="I2442" s="56"/>
      <c r="J2442" s="56"/>
      <c r="K2442" s="82" t="str">
        <f t="shared" si="755"/>
        <v>Invoice</v>
      </c>
      <c r="L2442" s="83" t="str">
        <f>"SI_111309"</f>
        <v>SI_111309</v>
      </c>
      <c r="M2442" s="84">
        <v>42682</v>
      </c>
      <c r="N2442" s="85">
        <f t="shared" si="756"/>
        <v>1130</v>
      </c>
      <c r="O2442" s="86">
        <f t="shared" si="757"/>
        <v>11770.289999999999</v>
      </c>
      <c r="P2442" s="86">
        <f t="shared" si="758"/>
        <v>0</v>
      </c>
      <c r="Q2442" s="86">
        <f t="shared" si="759"/>
        <v>0</v>
      </c>
      <c r="R2442" s="86">
        <f t="shared" si="760"/>
        <v>0</v>
      </c>
      <c r="S2442" s="86">
        <f t="shared" si="761"/>
        <v>0</v>
      </c>
      <c r="T2442" s="86">
        <f t="shared" si="762"/>
        <v>11770.289999999999</v>
      </c>
      <c r="U2442" s="87">
        <v>11770.289999999999</v>
      </c>
    </row>
    <row r="2443" spans="1:22" s="30" customFormat="1" ht="24.6" hidden="1" outlineLevel="1" x14ac:dyDescent="0.55000000000000004">
      <c r="A2443" s="27" t="s">
        <v>327</v>
      </c>
      <c r="B2443" s="28"/>
      <c r="C2443" s="27"/>
      <c r="D2443" s="27" t="str">
        <f>"""NAV Direct"",""CRONUS JetCorp USA"",""21"",""1"",""362749"""</f>
        <v>"NAV Direct","CRONUS JetCorp USA","21","1","362749"</v>
      </c>
      <c r="E2443" s="31" t="str">
        <f t="shared" si="754"/>
        <v>C100082</v>
      </c>
      <c r="F2443" s="31"/>
      <c r="G2443" s="31"/>
      <c r="H2443" s="31"/>
      <c r="I2443" s="56"/>
      <c r="J2443" s="56"/>
      <c r="K2443" s="82" t="str">
        <f t="shared" si="755"/>
        <v>Invoice</v>
      </c>
      <c r="L2443" s="83" t="str">
        <f>"SI_111337"</f>
        <v>SI_111337</v>
      </c>
      <c r="M2443" s="84">
        <v>42940</v>
      </c>
      <c r="N2443" s="85">
        <f t="shared" si="756"/>
        <v>872</v>
      </c>
      <c r="O2443" s="86">
        <f t="shared" si="757"/>
        <v>14264.56</v>
      </c>
      <c r="P2443" s="86">
        <f t="shared" si="758"/>
        <v>0</v>
      </c>
      <c r="Q2443" s="86">
        <f t="shared" si="759"/>
        <v>0</v>
      </c>
      <c r="R2443" s="86">
        <f t="shared" si="760"/>
        <v>0</v>
      </c>
      <c r="S2443" s="86">
        <f t="shared" si="761"/>
        <v>0</v>
      </c>
      <c r="T2443" s="86">
        <f t="shared" si="762"/>
        <v>14264.56</v>
      </c>
      <c r="U2443" s="87">
        <v>14264.56</v>
      </c>
    </row>
    <row r="2444" spans="1:22" s="30" customFormat="1" ht="24.6" hidden="1" outlineLevel="1" x14ac:dyDescent="0.55000000000000004">
      <c r="A2444" s="27" t="s">
        <v>327</v>
      </c>
      <c r="B2444" s="28"/>
      <c r="C2444" s="27"/>
      <c r="D2444" s="27" t="str">
        <f>"""NAV Direct"",""CRONUS JetCorp USA"",""21"",""1"",""363021"""</f>
        <v>"NAV Direct","CRONUS JetCorp USA","21","1","363021"</v>
      </c>
      <c r="E2444" s="31">
        <f t="shared" si="754"/>
        <v>0</v>
      </c>
      <c r="F2444" s="31"/>
      <c r="G2444" s="31"/>
      <c r="H2444" s="31"/>
      <c r="I2444" s="56"/>
      <c r="J2444" s="56"/>
      <c r="K2444" s="82" t="str">
        <f t="shared" si="755"/>
        <v>Invoice</v>
      </c>
      <c r="L2444" s="83" t="str">
        <f>"SI_111345"</f>
        <v>SI_111345</v>
      </c>
      <c r="M2444" s="84">
        <v>43001</v>
      </c>
      <c r="N2444" s="85">
        <f t="shared" si="756"/>
        <v>811</v>
      </c>
      <c r="O2444" s="86">
        <f t="shared" si="757"/>
        <v>11605.039999999999</v>
      </c>
      <c r="P2444" s="86">
        <f t="shared" si="758"/>
        <v>0</v>
      </c>
      <c r="Q2444" s="86">
        <f t="shared" si="759"/>
        <v>0</v>
      </c>
      <c r="R2444" s="86">
        <f t="shared" si="760"/>
        <v>0</v>
      </c>
      <c r="S2444" s="86">
        <f t="shared" si="761"/>
        <v>0</v>
      </c>
      <c r="T2444" s="86">
        <f t="shared" si="762"/>
        <v>11605.039999999999</v>
      </c>
      <c r="U2444" s="87">
        <v>11605.039999999999</v>
      </c>
    </row>
    <row r="2445" spans="1:22" s="30" customFormat="1" ht="24.6" hidden="1" outlineLevel="1" x14ac:dyDescent="0.55000000000000004">
      <c r="A2445" s="27" t="s">
        <v>327</v>
      </c>
      <c r="B2445" s="28"/>
      <c r="C2445" s="27"/>
      <c r="D2445" s="27" t="str">
        <f>"""NAV Direct"",""CRONUS JetCorp USA"",""21"",""1"",""363116"""</f>
        <v>"NAV Direct","CRONUS JetCorp USA","21","1","363116"</v>
      </c>
      <c r="E2445" s="31" t="str">
        <f t="shared" si="754"/>
        <v>C100082</v>
      </c>
      <c r="F2445" s="31"/>
      <c r="G2445" s="31"/>
      <c r="H2445" s="31"/>
      <c r="I2445" s="56"/>
      <c r="J2445" s="56"/>
      <c r="K2445" s="82" t="str">
        <f t="shared" si="755"/>
        <v>Invoice</v>
      </c>
      <c r="L2445" s="83" t="str">
        <f>"SI_111348"</f>
        <v>SI_111348</v>
      </c>
      <c r="M2445" s="84">
        <v>43020</v>
      </c>
      <c r="N2445" s="85">
        <f t="shared" si="756"/>
        <v>792</v>
      </c>
      <c r="O2445" s="86">
        <f t="shared" si="757"/>
        <v>13090.33</v>
      </c>
      <c r="P2445" s="86">
        <f t="shared" si="758"/>
        <v>0</v>
      </c>
      <c r="Q2445" s="86">
        <f t="shared" si="759"/>
        <v>0</v>
      </c>
      <c r="R2445" s="86">
        <f t="shared" si="760"/>
        <v>0</v>
      </c>
      <c r="S2445" s="86">
        <f t="shared" si="761"/>
        <v>0</v>
      </c>
      <c r="T2445" s="86">
        <f t="shared" si="762"/>
        <v>13090.33</v>
      </c>
      <c r="U2445" s="87">
        <v>13090.33</v>
      </c>
    </row>
    <row r="2446" spans="1:22" s="30" customFormat="1" ht="24.6" hidden="1" outlineLevel="1" x14ac:dyDescent="0.55000000000000004">
      <c r="A2446" s="27" t="s">
        <v>327</v>
      </c>
      <c r="B2446" s="28"/>
      <c r="C2446" s="27"/>
      <c r="D2446" s="27" t="str">
        <f>"""NAV Direct"",""CRONUS JetCorp USA"",""21"",""1"",""363213"""</f>
        <v>"NAV Direct","CRONUS JetCorp USA","21","1","363213"</v>
      </c>
      <c r="E2446" s="31">
        <f t="shared" si="754"/>
        <v>0</v>
      </c>
      <c r="F2446" s="31"/>
      <c r="G2446" s="31"/>
      <c r="H2446" s="31"/>
      <c r="I2446" s="56"/>
      <c r="J2446" s="56"/>
      <c r="K2446" s="82" t="str">
        <f t="shared" si="755"/>
        <v>Invoice</v>
      </c>
      <c r="L2446" s="83" t="str">
        <f>"SI_111351"</f>
        <v>SI_111351</v>
      </c>
      <c r="M2446" s="84">
        <v>43040</v>
      </c>
      <c r="N2446" s="85">
        <f t="shared" si="756"/>
        <v>772</v>
      </c>
      <c r="O2446" s="86">
        <f t="shared" si="757"/>
        <v>13090.47</v>
      </c>
      <c r="P2446" s="86">
        <f t="shared" si="758"/>
        <v>0</v>
      </c>
      <c r="Q2446" s="86">
        <f t="shared" si="759"/>
        <v>0</v>
      </c>
      <c r="R2446" s="86">
        <f t="shared" si="760"/>
        <v>0</v>
      </c>
      <c r="S2446" s="86">
        <f t="shared" si="761"/>
        <v>0</v>
      </c>
      <c r="T2446" s="86">
        <f t="shared" si="762"/>
        <v>13090.47</v>
      </c>
      <c r="U2446" s="87">
        <v>13090.47</v>
      </c>
    </row>
    <row r="2447" spans="1:22" s="30" customFormat="1" ht="24.6" hidden="1" outlineLevel="1" x14ac:dyDescent="0.55000000000000004">
      <c r="A2447" s="27" t="s">
        <v>327</v>
      </c>
      <c r="B2447" s="28"/>
      <c r="C2447" s="27"/>
      <c r="D2447" s="27" t="str">
        <f>"""NAV Direct"",""CRONUS JetCorp USA"",""21"",""1"",""363817"""</f>
        <v>"NAV Direct","CRONUS JetCorp USA","21","1","363817"</v>
      </c>
      <c r="E2447" s="31" t="str">
        <f t="shared" si="754"/>
        <v>C100082</v>
      </c>
      <c r="F2447" s="31"/>
      <c r="G2447" s="31"/>
      <c r="H2447" s="31"/>
      <c r="I2447" s="56"/>
      <c r="J2447" s="56"/>
      <c r="K2447" s="82" t="str">
        <f t="shared" si="755"/>
        <v>Invoice</v>
      </c>
      <c r="L2447" s="83" t="str">
        <f>"SI_111367"</f>
        <v>SI_111367</v>
      </c>
      <c r="M2447" s="84">
        <v>43148</v>
      </c>
      <c r="N2447" s="85">
        <f t="shared" si="756"/>
        <v>664</v>
      </c>
      <c r="O2447" s="86">
        <f t="shared" si="757"/>
        <v>15284.859999999999</v>
      </c>
      <c r="P2447" s="86">
        <f t="shared" si="758"/>
        <v>0</v>
      </c>
      <c r="Q2447" s="86">
        <f t="shared" si="759"/>
        <v>0</v>
      </c>
      <c r="R2447" s="86">
        <f t="shared" si="760"/>
        <v>0</v>
      </c>
      <c r="S2447" s="86">
        <f t="shared" si="761"/>
        <v>0</v>
      </c>
      <c r="T2447" s="86">
        <f t="shared" si="762"/>
        <v>15284.859999999999</v>
      </c>
      <c r="U2447" s="87">
        <v>15284.859999999999</v>
      </c>
    </row>
    <row r="2448" spans="1:22" s="30" customFormat="1" ht="24.6" hidden="1" outlineLevel="1" x14ac:dyDescent="0.55000000000000004">
      <c r="A2448" s="27" t="s">
        <v>327</v>
      </c>
      <c r="B2448" s="28"/>
      <c r="C2448" s="27"/>
      <c r="D2448" s="27" t="str">
        <f>"""NAV Direct"",""CRONUS JetCorp USA"",""21"",""1"",""364489"""</f>
        <v>"NAV Direct","CRONUS JetCorp USA","21","1","364489"</v>
      </c>
      <c r="E2448" s="31">
        <f t="shared" si="754"/>
        <v>0</v>
      </c>
      <c r="F2448" s="31"/>
      <c r="G2448" s="31"/>
      <c r="H2448" s="31"/>
      <c r="I2448" s="56"/>
      <c r="J2448" s="56"/>
      <c r="K2448" s="82" t="str">
        <f t="shared" si="755"/>
        <v>Invoice</v>
      </c>
      <c r="L2448" s="83" t="str">
        <f>"SI_111385"</f>
        <v>SI_111385</v>
      </c>
      <c r="M2448" s="84">
        <v>43248</v>
      </c>
      <c r="N2448" s="85">
        <f t="shared" si="756"/>
        <v>564</v>
      </c>
      <c r="O2448" s="86">
        <f t="shared" si="757"/>
        <v>17591.95</v>
      </c>
      <c r="P2448" s="86">
        <f t="shared" si="758"/>
        <v>0</v>
      </c>
      <c r="Q2448" s="86">
        <f t="shared" si="759"/>
        <v>0</v>
      </c>
      <c r="R2448" s="86">
        <f t="shared" si="760"/>
        <v>0</v>
      </c>
      <c r="S2448" s="86">
        <f t="shared" si="761"/>
        <v>0</v>
      </c>
      <c r="T2448" s="86">
        <f t="shared" si="762"/>
        <v>17591.95</v>
      </c>
      <c r="U2448" s="87">
        <v>17591.95</v>
      </c>
    </row>
    <row r="2449" spans="1:21" s="30" customFormat="1" ht="24.6" hidden="1" outlineLevel="1" x14ac:dyDescent="0.55000000000000004">
      <c r="A2449" s="27" t="s">
        <v>327</v>
      </c>
      <c r="B2449" s="28"/>
      <c r="C2449" s="27"/>
      <c r="D2449" s="27" t="str">
        <f>"""NAV Direct"",""CRONUS JetCorp USA"",""21"",""1"",""364590"""</f>
        <v>"NAV Direct","CRONUS JetCorp USA","21","1","364590"</v>
      </c>
      <c r="E2449" s="31" t="str">
        <f t="shared" si="754"/>
        <v>C100082</v>
      </c>
      <c r="F2449" s="31"/>
      <c r="G2449" s="31"/>
      <c r="H2449" s="31"/>
      <c r="I2449" s="56"/>
      <c r="J2449" s="56"/>
      <c r="K2449" s="82" t="str">
        <f t="shared" si="755"/>
        <v>Invoice</v>
      </c>
      <c r="L2449" s="83" t="str">
        <f>"SI_111388"</f>
        <v>SI_111388</v>
      </c>
      <c r="M2449" s="84">
        <v>43271</v>
      </c>
      <c r="N2449" s="85">
        <f t="shared" si="756"/>
        <v>541</v>
      </c>
      <c r="O2449" s="86">
        <f t="shared" si="757"/>
        <v>19984.060000000001</v>
      </c>
      <c r="P2449" s="86">
        <f t="shared" si="758"/>
        <v>0</v>
      </c>
      <c r="Q2449" s="86">
        <f t="shared" si="759"/>
        <v>0</v>
      </c>
      <c r="R2449" s="86">
        <f t="shared" si="760"/>
        <v>0</v>
      </c>
      <c r="S2449" s="86">
        <f t="shared" si="761"/>
        <v>0</v>
      </c>
      <c r="T2449" s="86">
        <f t="shared" si="762"/>
        <v>19984.060000000001</v>
      </c>
      <c r="U2449" s="87">
        <v>19984.060000000001</v>
      </c>
    </row>
    <row r="2450" spans="1:21" s="30" customFormat="1" ht="24.6" hidden="1" outlineLevel="1" x14ac:dyDescent="0.55000000000000004">
      <c r="A2450" s="27" t="s">
        <v>327</v>
      </c>
      <c r="B2450" s="28"/>
      <c r="C2450" s="27"/>
      <c r="D2450" s="27" t="str">
        <f>"""NAV Direct"",""CRONUS JetCorp USA"",""21"",""1"",""364935"""</f>
        <v>"NAV Direct","CRONUS JetCorp USA","21","1","364935"</v>
      </c>
      <c r="E2450" s="31">
        <f t="shared" si="754"/>
        <v>0</v>
      </c>
      <c r="F2450" s="31"/>
      <c r="G2450" s="31"/>
      <c r="H2450" s="31"/>
      <c r="I2450" s="56"/>
      <c r="J2450" s="56"/>
      <c r="K2450" s="82" t="str">
        <f t="shared" si="755"/>
        <v>Invoice</v>
      </c>
      <c r="L2450" s="83" t="str">
        <f>"SI_111397"</f>
        <v>SI_111397</v>
      </c>
      <c r="M2450" s="84">
        <v>43315</v>
      </c>
      <c r="N2450" s="85">
        <f t="shared" si="756"/>
        <v>497</v>
      </c>
      <c r="O2450" s="86">
        <f t="shared" si="757"/>
        <v>17985.939999999999</v>
      </c>
      <c r="P2450" s="86">
        <f t="shared" si="758"/>
        <v>0</v>
      </c>
      <c r="Q2450" s="86">
        <f t="shared" si="759"/>
        <v>0</v>
      </c>
      <c r="R2450" s="86">
        <f t="shared" si="760"/>
        <v>0</v>
      </c>
      <c r="S2450" s="86">
        <f t="shared" si="761"/>
        <v>0</v>
      </c>
      <c r="T2450" s="86">
        <f t="shared" si="762"/>
        <v>17985.939999999999</v>
      </c>
      <c r="U2450" s="87">
        <v>17985.939999999999</v>
      </c>
    </row>
    <row r="2451" spans="1:21" s="30" customFormat="1" ht="24.6" hidden="1" outlineLevel="1" x14ac:dyDescent="0.55000000000000004">
      <c r="A2451" s="27" t="s">
        <v>327</v>
      </c>
      <c r="B2451" s="28"/>
      <c r="C2451" s="27"/>
      <c r="D2451" s="27" t="str">
        <f>"""NAV Direct"",""CRONUS JetCorp USA"",""21"",""1"",""365026"""</f>
        <v>"NAV Direct","CRONUS JetCorp USA","21","1","365026"</v>
      </c>
      <c r="E2451" s="31" t="str">
        <f t="shared" si="754"/>
        <v>C100082</v>
      </c>
      <c r="F2451" s="31"/>
      <c r="G2451" s="31"/>
      <c r="H2451" s="31"/>
      <c r="I2451" s="56"/>
      <c r="J2451" s="56"/>
      <c r="K2451" s="82" t="str">
        <f t="shared" si="755"/>
        <v>Invoice</v>
      </c>
      <c r="L2451" s="83" t="str">
        <f>"SI_111400"</f>
        <v>SI_111400</v>
      </c>
      <c r="M2451" s="84">
        <v>43336</v>
      </c>
      <c r="N2451" s="85">
        <f t="shared" si="756"/>
        <v>476</v>
      </c>
      <c r="O2451" s="86">
        <f t="shared" si="757"/>
        <v>16907.23</v>
      </c>
      <c r="P2451" s="86">
        <f t="shared" si="758"/>
        <v>0</v>
      </c>
      <c r="Q2451" s="86">
        <f t="shared" si="759"/>
        <v>0</v>
      </c>
      <c r="R2451" s="86">
        <f t="shared" si="760"/>
        <v>0</v>
      </c>
      <c r="S2451" s="86">
        <f t="shared" si="761"/>
        <v>0</v>
      </c>
      <c r="T2451" s="86">
        <f t="shared" si="762"/>
        <v>16907.23</v>
      </c>
      <c r="U2451" s="87">
        <v>16907.23</v>
      </c>
    </row>
    <row r="2452" spans="1:21" s="30" customFormat="1" ht="24.6" hidden="1" outlineLevel="1" x14ac:dyDescent="0.55000000000000004">
      <c r="A2452" s="27" t="s">
        <v>327</v>
      </c>
      <c r="B2452" s="28"/>
      <c r="C2452" s="27"/>
      <c r="D2452" s="27" t="str">
        <f>"""NAV Direct"",""CRONUS JetCorp USA"",""21"",""1"",""365098"""</f>
        <v>"NAV Direct","CRONUS JetCorp USA","21","1","365098"</v>
      </c>
      <c r="E2452" s="31">
        <f t="shared" si="754"/>
        <v>0</v>
      </c>
      <c r="F2452" s="31"/>
      <c r="G2452" s="31"/>
      <c r="H2452" s="31"/>
      <c r="I2452" s="56"/>
      <c r="J2452" s="56"/>
      <c r="K2452" s="82" t="str">
        <f t="shared" si="755"/>
        <v>Invoice</v>
      </c>
      <c r="L2452" s="83" t="str">
        <f>"SI_111402"</f>
        <v>SI_111402</v>
      </c>
      <c r="M2452" s="84">
        <v>43336</v>
      </c>
      <c r="N2452" s="85">
        <f t="shared" si="756"/>
        <v>476</v>
      </c>
      <c r="O2452" s="86">
        <f t="shared" si="757"/>
        <v>16907.329999999998</v>
      </c>
      <c r="P2452" s="86">
        <f t="shared" si="758"/>
        <v>0</v>
      </c>
      <c r="Q2452" s="86">
        <f t="shared" si="759"/>
        <v>0</v>
      </c>
      <c r="R2452" s="86">
        <f t="shared" si="760"/>
        <v>0</v>
      </c>
      <c r="S2452" s="86">
        <f t="shared" si="761"/>
        <v>0</v>
      </c>
      <c r="T2452" s="86">
        <f t="shared" si="762"/>
        <v>16907.329999999998</v>
      </c>
      <c r="U2452" s="87">
        <v>16907.329999999998</v>
      </c>
    </row>
    <row r="2453" spans="1:21" s="30" customFormat="1" ht="24.6" hidden="1" outlineLevel="1" x14ac:dyDescent="0.55000000000000004">
      <c r="A2453" s="27" t="s">
        <v>327</v>
      </c>
      <c r="B2453" s="28"/>
      <c r="C2453" s="27"/>
      <c r="D2453" s="27" t="str">
        <f>"""NAV Direct"",""CRONUS JetCorp USA"",""21"",""1"",""365184"""</f>
        <v>"NAV Direct","CRONUS JetCorp USA","21","1","365184"</v>
      </c>
      <c r="E2453" s="31" t="str">
        <f t="shared" si="754"/>
        <v>C100082</v>
      </c>
      <c r="F2453" s="31"/>
      <c r="G2453" s="31"/>
      <c r="H2453" s="31"/>
      <c r="I2453" s="56"/>
      <c r="J2453" s="56"/>
      <c r="K2453" s="82" t="str">
        <f t="shared" si="755"/>
        <v>Invoice</v>
      </c>
      <c r="L2453" s="83" t="str">
        <f>"SI_111404"</f>
        <v>SI_111404</v>
      </c>
      <c r="M2453" s="84">
        <v>43336</v>
      </c>
      <c r="N2453" s="85">
        <f t="shared" si="756"/>
        <v>476</v>
      </c>
      <c r="O2453" s="86">
        <f t="shared" si="757"/>
        <v>16906.39</v>
      </c>
      <c r="P2453" s="86">
        <f t="shared" si="758"/>
        <v>0</v>
      </c>
      <c r="Q2453" s="86">
        <f t="shared" si="759"/>
        <v>0</v>
      </c>
      <c r="R2453" s="86">
        <f t="shared" si="760"/>
        <v>0</v>
      </c>
      <c r="S2453" s="86">
        <f t="shared" si="761"/>
        <v>0</v>
      </c>
      <c r="T2453" s="86">
        <f t="shared" si="762"/>
        <v>16906.39</v>
      </c>
      <c r="U2453" s="87">
        <v>16906.39</v>
      </c>
    </row>
    <row r="2454" spans="1:21" s="30" customFormat="1" ht="24.6" hidden="1" outlineLevel="1" x14ac:dyDescent="0.55000000000000004">
      <c r="A2454" s="27" t="s">
        <v>327</v>
      </c>
      <c r="B2454" s="28"/>
      <c r="C2454" s="27"/>
      <c r="D2454" s="27" t="str">
        <f>"""NAV Direct"",""CRONUS JetCorp USA"",""21"",""1"",""365802"""</f>
        <v>"NAV Direct","CRONUS JetCorp USA","21","1","365802"</v>
      </c>
      <c r="E2454" s="31">
        <f t="shared" si="754"/>
        <v>0</v>
      </c>
      <c r="F2454" s="31"/>
      <c r="G2454" s="31"/>
      <c r="H2454" s="31"/>
      <c r="I2454" s="56"/>
      <c r="J2454" s="56"/>
      <c r="K2454" s="82" t="str">
        <f t="shared" si="755"/>
        <v>Invoice</v>
      </c>
      <c r="L2454" s="83" t="str">
        <f>"SI_111422"</f>
        <v>SI_111422</v>
      </c>
      <c r="M2454" s="84">
        <v>43458</v>
      </c>
      <c r="N2454" s="85">
        <f t="shared" si="756"/>
        <v>354</v>
      </c>
      <c r="O2454" s="86">
        <f t="shared" si="757"/>
        <v>21291.199999999997</v>
      </c>
      <c r="P2454" s="86">
        <f t="shared" si="758"/>
        <v>0</v>
      </c>
      <c r="Q2454" s="86">
        <f t="shared" si="759"/>
        <v>0</v>
      </c>
      <c r="R2454" s="86">
        <f t="shared" si="760"/>
        <v>0</v>
      </c>
      <c r="S2454" s="86">
        <f t="shared" si="761"/>
        <v>0</v>
      </c>
      <c r="T2454" s="86">
        <f t="shared" si="762"/>
        <v>21291.199999999997</v>
      </c>
      <c r="U2454" s="87">
        <v>21291.199999999997</v>
      </c>
    </row>
    <row r="2455" spans="1:21" s="30" customFormat="1" ht="24.6" hidden="1" outlineLevel="1" x14ac:dyDescent="0.55000000000000004">
      <c r="A2455" s="27" t="s">
        <v>327</v>
      </c>
      <c r="B2455" s="28"/>
      <c r="C2455" s="27"/>
      <c r="D2455" s="27" t="str">
        <f>"""NAV Direct"",""CRONUS JetCorp USA"",""21"",""1"",""366020"""</f>
        <v>"NAV Direct","CRONUS JetCorp USA","21","1","366020"</v>
      </c>
      <c r="E2455" s="31" t="str">
        <f t="shared" si="754"/>
        <v>C100082</v>
      </c>
      <c r="F2455" s="31"/>
      <c r="G2455" s="31"/>
      <c r="H2455" s="31"/>
      <c r="I2455" s="56"/>
      <c r="J2455" s="56"/>
      <c r="K2455" s="82" t="str">
        <f t="shared" si="755"/>
        <v>Invoice</v>
      </c>
      <c r="L2455" s="83" t="str">
        <f>"SI_111428"</f>
        <v>SI_111428</v>
      </c>
      <c r="M2455" s="84">
        <v>43491</v>
      </c>
      <c r="N2455" s="85">
        <f t="shared" si="756"/>
        <v>321</v>
      </c>
      <c r="O2455" s="86">
        <f t="shared" si="757"/>
        <v>20184.43</v>
      </c>
      <c r="P2455" s="86">
        <f t="shared" si="758"/>
        <v>0</v>
      </c>
      <c r="Q2455" s="86">
        <f t="shared" si="759"/>
        <v>0</v>
      </c>
      <c r="R2455" s="86">
        <f t="shared" si="760"/>
        <v>0</v>
      </c>
      <c r="S2455" s="86">
        <f t="shared" si="761"/>
        <v>0</v>
      </c>
      <c r="T2455" s="86">
        <f t="shared" si="762"/>
        <v>20184.43</v>
      </c>
      <c r="U2455" s="87">
        <v>20184.43</v>
      </c>
    </row>
    <row r="2456" spans="1:21" s="30" customFormat="1" ht="24.6" hidden="1" outlineLevel="1" x14ac:dyDescent="0.55000000000000004">
      <c r="A2456" s="27" t="s">
        <v>327</v>
      </c>
      <c r="B2456" s="28"/>
      <c r="C2456" s="27"/>
      <c r="D2456" s="27" t="str">
        <f>"""NAV Direct"",""CRONUS JetCorp USA"",""21"",""1"",""366088"""</f>
        <v>"NAV Direct","CRONUS JetCorp USA","21","1","366088"</v>
      </c>
      <c r="E2456" s="31">
        <f t="shared" si="754"/>
        <v>0</v>
      </c>
      <c r="F2456" s="31"/>
      <c r="G2456" s="31"/>
      <c r="H2456" s="31"/>
      <c r="I2456" s="56"/>
      <c r="J2456" s="56"/>
      <c r="K2456" s="82" t="str">
        <f t="shared" si="755"/>
        <v>Invoice</v>
      </c>
      <c r="L2456" s="83" t="str">
        <f>"SI_111430"</f>
        <v>SI_111430</v>
      </c>
      <c r="M2456" s="84">
        <v>43495</v>
      </c>
      <c r="N2456" s="85">
        <f t="shared" si="756"/>
        <v>317</v>
      </c>
      <c r="O2456" s="86">
        <f t="shared" si="757"/>
        <v>20183.87</v>
      </c>
      <c r="P2456" s="86">
        <f t="shared" si="758"/>
        <v>0</v>
      </c>
      <c r="Q2456" s="86">
        <f t="shared" si="759"/>
        <v>0</v>
      </c>
      <c r="R2456" s="86">
        <f t="shared" si="760"/>
        <v>0</v>
      </c>
      <c r="S2456" s="86">
        <f t="shared" si="761"/>
        <v>0</v>
      </c>
      <c r="T2456" s="86">
        <f t="shared" si="762"/>
        <v>20183.87</v>
      </c>
      <c r="U2456" s="87">
        <v>20183.87</v>
      </c>
    </row>
    <row r="2457" spans="1:21" s="30" customFormat="1" ht="24.6" hidden="1" outlineLevel="1" x14ac:dyDescent="0.55000000000000004">
      <c r="A2457" s="27" t="s">
        <v>327</v>
      </c>
      <c r="B2457" s="28"/>
      <c r="C2457" s="27"/>
      <c r="D2457" s="27" t="str">
        <f>"""NAV Direct"",""CRONUS JetCorp USA"",""21"",""1"",""366127"""</f>
        <v>"NAV Direct","CRONUS JetCorp USA","21","1","366127"</v>
      </c>
      <c r="E2457" s="31" t="str">
        <f t="shared" si="754"/>
        <v>C100082</v>
      </c>
      <c r="F2457" s="31"/>
      <c r="G2457" s="31"/>
      <c r="H2457" s="31"/>
      <c r="I2457" s="56"/>
      <c r="J2457" s="56"/>
      <c r="K2457" s="82" t="str">
        <f t="shared" si="755"/>
        <v>Invoice</v>
      </c>
      <c r="L2457" s="83" t="str">
        <f>"SI_111431"</f>
        <v>SI_111431</v>
      </c>
      <c r="M2457" s="84">
        <v>43515</v>
      </c>
      <c r="N2457" s="85">
        <f t="shared" si="756"/>
        <v>297</v>
      </c>
      <c r="O2457" s="86">
        <f t="shared" si="757"/>
        <v>18569.739999999998</v>
      </c>
      <c r="P2457" s="86">
        <f t="shared" si="758"/>
        <v>0</v>
      </c>
      <c r="Q2457" s="86">
        <f t="shared" si="759"/>
        <v>0</v>
      </c>
      <c r="R2457" s="86">
        <f t="shared" si="760"/>
        <v>0</v>
      </c>
      <c r="S2457" s="86">
        <f t="shared" si="761"/>
        <v>0</v>
      </c>
      <c r="T2457" s="86">
        <f t="shared" si="762"/>
        <v>18569.739999999998</v>
      </c>
      <c r="U2457" s="87">
        <v>18569.739999999998</v>
      </c>
    </row>
    <row r="2458" spans="1:21" s="30" customFormat="1" ht="24.6" hidden="1" outlineLevel="1" x14ac:dyDescent="0.55000000000000004">
      <c r="A2458" s="27" t="s">
        <v>327</v>
      </c>
      <c r="B2458" s="28"/>
      <c r="C2458" s="27"/>
      <c r="D2458" s="27" t="str">
        <f>"""NAV Direct"",""CRONUS JetCorp USA"",""21"",""1"",""366160"""</f>
        <v>"NAV Direct","CRONUS JetCorp USA","21","1","366160"</v>
      </c>
      <c r="E2458" s="31">
        <f t="shared" si="754"/>
        <v>0</v>
      </c>
      <c r="F2458" s="31"/>
      <c r="G2458" s="31"/>
      <c r="H2458" s="31"/>
      <c r="I2458" s="56"/>
      <c r="J2458" s="56"/>
      <c r="K2458" s="82" t="str">
        <f t="shared" si="755"/>
        <v>Invoice</v>
      </c>
      <c r="L2458" s="83" t="str">
        <f>"SI_111432"</f>
        <v>SI_111432</v>
      </c>
      <c r="M2458" s="84">
        <v>43522</v>
      </c>
      <c r="N2458" s="85">
        <f t="shared" si="756"/>
        <v>290</v>
      </c>
      <c r="O2458" s="86">
        <f t="shared" si="757"/>
        <v>18569.669999999998</v>
      </c>
      <c r="P2458" s="86">
        <f t="shared" si="758"/>
        <v>0</v>
      </c>
      <c r="Q2458" s="86">
        <f t="shared" si="759"/>
        <v>0</v>
      </c>
      <c r="R2458" s="86">
        <f t="shared" si="760"/>
        <v>0</v>
      </c>
      <c r="S2458" s="86">
        <f t="shared" si="761"/>
        <v>0</v>
      </c>
      <c r="T2458" s="86">
        <f t="shared" si="762"/>
        <v>18569.669999999998</v>
      </c>
      <c r="U2458" s="87">
        <v>18569.669999999998</v>
      </c>
    </row>
    <row r="2459" spans="1:21" s="30" customFormat="1" ht="24.6" hidden="1" outlineLevel="1" x14ac:dyDescent="0.55000000000000004">
      <c r="A2459" s="27" t="s">
        <v>327</v>
      </c>
      <c r="B2459" s="28"/>
      <c r="C2459" s="27"/>
      <c r="D2459" s="27" t="str">
        <f>"""NAV Direct"",""CRONUS JetCorp USA"",""21"",""1"",""366193"""</f>
        <v>"NAV Direct","CRONUS JetCorp USA","21","1","366193"</v>
      </c>
      <c r="E2459" s="31" t="str">
        <f t="shared" si="754"/>
        <v>C100082</v>
      </c>
      <c r="F2459" s="31"/>
      <c r="G2459" s="31"/>
      <c r="H2459" s="31"/>
      <c r="I2459" s="56"/>
      <c r="J2459" s="56"/>
      <c r="K2459" s="82" t="str">
        <f t="shared" si="755"/>
        <v>Invoice</v>
      </c>
      <c r="L2459" s="83" t="str">
        <f>"SI_111433"</f>
        <v>SI_111433</v>
      </c>
      <c r="M2459" s="84">
        <v>43522</v>
      </c>
      <c r="N2459" s="85">
        <f t="shared" si="756"/>
        <v>290</v>
      </c>
      <c r="O2459" s="86">
        <f t="shared" si="757"/>
        <v>18569.189999999999</v>
      </c>
      <c r="P2459" s="86">
        <f t="shared" si="758"/>
        <v>0</v>
      </c>
      <c r="Q2459" s="86">
        <f t="shared" si="759"/>
        <v>0</v>
      </c>
      <c r="R2459" s="86">
        <f t="shared" si="760"/>
        <v>0</v>
      </c>
      <c r="S2459" s="86">
        <f t="shared" si="761"/>
        <v>0</v>
      </c>
      <c r="T2459" s="86">
        <f t="shared" si="762"/>
        <v>18569.189999999999</v>
      </c>
      <c r="U2459" s="87">
        <v>18569.189999999999</v>
      </c>
    </row>
    <row r="2460" spans="1:21" s="30" customFormat="1" ht="24.6" hidden="1" outlineLevel="1" x14ac:dyDescent="0.55000000000000004">
      <c r="A2460" s="27" t="s">
        <v>327</v>
      </c>
      <c r="B2460" s="28"/>
      <c r="C2460" s="27"/>
      <c r="D2460" s="27" t="str">
        <f>"""NAV Direct"",""CRONUS JetCorp USA"",""21"",""1"",""366376"""</f>
        <v>"NAV Direct","CRONUS JetCorp USA","21","1","366376"</v>
      </c>
      <c r="E2460" s="31">
        <f t="shared" si="754"/>
        <v>0</v>
      </c>
      <c r="F2460" s="31"/>
      <c r="G2460" s="31"/>
      <c r="H2460" s="31"/>
      <c r="I2460" s="56"/>
      <c r="J2460" s="56"/>
      <c r="K2460" s="82" t="str">
        <f t="shared" si="755"/>
        <v>Invoice</v>
      </c>
      <c r="L2460" s="83" t="str">
        <f>"SI_111438"</f>
        <v>SI_111438</v>
      </c>
      <c r="M2460" s="84">
        <v>43548</v>
      </c>
      <c r="N2460" s="85">
        <f t="shared" si="756"/>
        <v>264</v>
      </c>
      <c r="O2460" s="86">
        <f t="shared" si="757"/>
        <v>17157.829999999998</v>
      </c>
      <c r="P2460" s="86">
        <f t="shared" si="758"/>
        <v>0</v>
      </c>
      <c r="Q2460" s="86">
        <f t="shared" si="759"/>
        <v>0</v>
      </c>
      <c r="R2460" s="86">
        <f t="shared" si="760"/>
        <v>0</v>
      </c>
      <c r="S2460" s="86">
        <f t="shared" si="761"/>
        <v>0</v>
      </c>
      <c r="T2460" s="86">
        <f t="shared" si="762"/>
        <v>17157.829999999998</v>
      </c>
      <c r="U2460" s="87">
        <v>17157.829999999998</v>
      </c>
    </row>
    <row r="2461" spans="1:21" s="30" customFormat="1" ht="24.6" hidden="1" outlineLevel="1" x14ac:dyDescent="0.55000000000000004">
      <c r="A2461" s="27" t="s">
        <v>327</v>
      </c>
      <c r="B2461" s="28"/>
      <c r="C2461" s="27"/>
      <c r="D2461" s="27" t="str">
        <f>"""NAV Direct"",""CRONUS JetCorp USA"",""21"",""1"",""366452"""</f>
        <v>"NAV Direct","CRONUS JetCorp USA","21","1","366452"</v>
      </c>
      <c r="E2461" s="31" t="str">
        <f t="shared" si="754"/>
        <v>C100082</v>
      </c>
      <c r="F2461" s="31"/>
      <c r="G2461" s="31"/>
      <c r="H2461" s="31"/>
      <c r="I2461" s="56"/>
      <c r="J2461" s="56"/>
      <c r="K2461" s="82" t="str">
        <f t="shared" si="755"/>
        <v>Invoice</v>
      </c>
      <c r="L2461" s="83" t="str">
        <f>"SI_111440"</f>
        <v>SI_111440</v>
      </c>
      <c r="M2461" s="84">
        <v>43555</v>
      </c>
      <c r="N2461" s="85">
        <f t="shared" si="756"/>
        <v>257</v>
      </c>
      <c r="O2461" s="86">
        <f t="shared" si="757"/>
        <v>17157.98</v>
      </c>
      <c r="P2461" s="86">
        <f t="shared" si="758"/>
        <v>0</v>
      </c>
      <c r="Q2461" s="86">
        <f t="shared" si="759"/>
        <v>0</v>
      </c>
      <c r="R2461" s="86">
        <f t="shared" si="760"/>
        <v>0</v>
      </c>
      <c r="S2461" s="86">
        <f t="shared" si="761"/>
        <v>0</v>
      </c>
      <c r="T2461" s="86">
        <f t="shared" si="762"/>
        <v>17157.98</v>
      </c>
      <c r="U2461" s="87">
        <v>17157.98</v>
      </c>
    </row>
    <row r="2462" spans="1:21" s="30" customFormat="1" ht="24.6" hidden="1" outlineLevel="1" x14ac:dyDescent="0.55000000000000004">
      <c r="A2462" s="27" t="s">
        <v>327</v>
      </c>
      <c r="B2462" s="28"/>
      <c r="C2462" s="27"/>
      <c r="D2462" s="27" t="str">
        <f>"""NAV Direct"",""CRONUS JetCorp USA"",""21"",""1"",""366532"""</f>
        <v>"NAV Direct","CRONUS JetCorp USA","21","1","366532"</v>
      </c>
      <c r="E2462" s="31">
        <f t="shared" si="754"/>
        <v>0</v>
      </c>
      <c r="F2462" s="31"/>
      <c r="G2462" s="31"/>
      <c r="H2462" s="31"/>
      <c r="I2462" s="56"/>
      <c r="J2462" s="56"/>
      <c r="K2462" s="82" t="str">
        <f t="shared" si="755"/>
        <v>Invoice</v>
      </c>
      <c r="L2462" s="83" t="str">
        <f>"SI_111442"</f>
        <v>SI_111442</v>
      </c>
      <c r="M2462" s="84">
        <v>43560</v>
      </c>
      <c r="N2462" s="85">
        <f t="shared" si="756"/>
        <v>252</v>
      </c>
      <c r="O2462" s="86">
        <f t="shared" si="757"/>
        <v>17158.27</v>
      </c>
      <c r="P2462" s="86">
        <f t="shared" si="758"/>
        <v>0</v>
      </c>
      <c r="Q2462" s="86">
        <f t="shared" si="759"/>
        <v>0</v>
      </c>
      <c r="R2462" s="86">
        <f t="shared" si="760"/>
        <v>0</v>
      </c>
      <c r="S2462" s="86">
        <f t="shared" si="761"/>
        <v>0</v>
      </c>
      <c r="T2462" s="86">
        <f t="shared" si="762"/>
        <v>17158.27</v>
      </c>
      <c r="U2462" s="87">
        <v>17158.27</v>
      </c>
    </row>
    <row r="2463" spans="1:21" s="30" customFormat="1" ht="24.6" hidden="1" outlineLevel="1" x14ac:dyDescent="0.55000000000000004">
      <c r="A2463" s="27" t="s">
        <v>327</v>
      </c>
      <c r="B2463" s="28"/>
      <c r="C2463" s="27"/>
      <c r="D2463" s="27" t="str">
        <f>"""NAV Direct"",""CRONUS JetCorp USA"",""21"",""1"",""366841"""</f>
        <v>"NAV Direct","CRONUS JetCorp USA","21","1","366841"</v>
      </c>
      <c r="E2463" s="31" t="str">
        <f t="shared" si="754"/>
        <v>C100082</v>
      </c>
      <c r="F2463" s="31"/>
      <c r="G2463" s="31"/>
      <c r="H2463" s="31"/>
      <c r="I2463" s="56"/>
      <c r="J2463" s="56"/>
      <c r="K2463" s="82" t="str">
        <f t="shared" si="755"/>
        <v>Invoice</v>
      </c>
      <c r="L2463" s="83" t="str">
        <f>"SI_111449"</f>
        <v>SI_111449</v>
      </c>
      <c r="M2463" s="84">
        <v>43587</v>
      </c>
      <c r="N2463" s="85">
        <f t="shared" si="756"/>
        <v>225</v>
      </c>
      <c r="O2463" s="86">
        <f t="shared" si="757"/>
        <v>18393.539999999997</v>
      </c>
      <c r="P2463" s="86">
        <f t="shared" si="758"/>
        <v>0</v>
      </c>
      <c r="Q2463" s="86">
        <f t="shared" si="759"/>
        <v>0</v>
      </c>
      <c r="R2463" s="86">
        <f t="shared" si="760"/>
        <v>0</v>
      </c>
      <c r="S2463" s="86">
        <f t="shared" si="761"/>
        <v>0</v>
      </c>
      <c r="T2463" s="86">
        <f t="shared" si="762"/>
        <v>18393.539999999997</v>
      </c>
      <c r="U2463" s="87">
        <v>18393.539999999997</v>
      </c>
    </row>
    <row r="2464" spans="1:21" s="30" customFormat="1" ht="24.6" hidden="1" outlineLevel="1" x14ac:dyDescent="0.55000000000000004">
      <c r="A2464" s="27" t="s">
        <v>327</v>
      </c>
      <c r="B2464" s="28"/>
      <c r="C2464" s="27"/>
      <c r="D2464" s="27" t="str">
        <f>"""NAV Direct"",""CRONUS JetCorp USA"",""21"",""1"",""366954"""</f>
        <v>"NAV Direct","CRONUS JetCorp USA","21","1","366954"</v>
      </c>
      <c r="E2464" s="31">
        <f t="shared" si="754"/>
        <v>0</v>
      </c>
      <c r="F2464" s="31"/>
      <c r="G2464" s="31"/>
      <c r="H2464" s="31"/>
      <c r="I2464" s="56"/>
      <c r="J2464" s="56"/>
      <c r="K2464" s="82" t="str">
        <f t="shared" si="755"/>
        <v>Invoice</v>
      </c>
      <c r="L2464" s="83" t="str">
        <f>"SI_111452"</f>
        <v>SI_111452</v>
      </c>
      <c r="M2464" s="84">
        <v>43606</v>
      </c>
      <c r="N2464" s="85">
        <f t="shared" si="756"/>
        <v>206</v>
      </c>
      <c r="O2464" s="86">
        <f t="shared" si="757"/>
        <v>20305.810000000001</v>
      </c>
      <c r="P2464" s="86">
        <f t="shared" si="758"/>
        <v>0</v>
      </c>
      <c r="Q2464" s="86">
        <f t="shared" si="759"/>
        <v>0</v>
      </c>
      <c r="R2464" s="86">
        <f t="shared" si="760"/>
        <v>0</v>
      </c>
      <c r="S2464" s="86">
        <f t="shared" si="761"/>
        <v>0</v>
      </c>
      <c r="T2464" s="86">
        <f t="shared" si="762"/>
        <v>20305.810000000001</v>
      </c>
      <c r="U2464" s="87">
        <v>20305.810000000001</v>
      </c>
    </row>
    <row r="2465" spans="1:21" s="30" customFormat="1" ht="24.6" hidden="1" outlineLevel="1" x14ac:dyDescent="0.55000000000000004">
      <c r="A2465" s="27" t="s">
        <v>327</v>
      </c>
      <c r="B2465" s="28"/>
      <c r="C2465" s="27"/>
      <c r="D2465" s="27" t="str">
        <f>"""NAV Direct"",""CRONUS JetCorp USA"",""21"",""1"",""367305"""</f>
        <v>"NAV Direct","CRONUS JetCorp USA","21","1","367305"</v>
      </c>
      <c r="E2465" s="31" t="str">
        <f t="shared" si="754"/>
        <v>C100082</v>
      </c>
      <c r="F2465" s="31"/>
      <c r="G2465" s="31"/>
      <c r="H2465" s="31"/>
      <c r="I2465" s="56"/>
      <c r="J2465" s="56"/>
      <c r="K2465" s="82" t="str">
        <f t="shared" si="755"/>
        <v>Invoice</v>
      </c>
      <c r="L2465" s="83" t="str">
        <f>"SI_111461"</f>
        <v>SI_111461</v>
      </c>
      <c r="M2465" s="84">
        <v>43638</v>
      </c>
      <c r="N2465" s="85">
        <f t="shared" si="756"/>
        <v>174</v>
      </c>
      <c r="O2465" s="86">
        <f t="shared" si="757"/>
        <v>23555.48</v>
      </c>
      <c r="P2465" s="86">
        <f t="shared" si="758"/>
        <v>0</v>
      </c>
      <c r="Q2465" s="86">
        <f t="shared" si="759"/>
        <v>0</v>
      </c>
      <c r="R2465" s="86">
        <f t="shared" si="760"/>
        <v>0</v>
      </c>
      <c r="S2465" s="86">
        <f t="shared" si="761"/>
        <v>0</v>
      </c>
      <c r="T2465" s="86">
        <f t="shared" si="762"/>
        <v>23555.48</v>
      </c>
      <c r="U2465" s="87">
        <v>23555.48</v>
      </c>
    </row>
    <row r="2466" spans="1:21" s="30" customFormat="1" ht="24.6" hidden="1" outlineLevel="1" x14ac:dyDescent="0.55000000000000004">
      <c r="A2466" s="27" t="s">
        <v>327</v>
      </c>
      <c r="B2466" s="28"/>
      <c r="C2466" s="27"/>
      <c r="D2466" s="27" t="str">
        <f>"""NAV Direct"",""CRONUS JetCorp USA"",""21"",""1"",""367805"""</f>
        <v>"NAV Direct","CRONUS JetCorp USA","21","1","367805"</v>
      </c>
      <c r="E2466" s="31">
        <f t="shared" si="754"/>
        <v>0</v>
      </c>
      <c r="F2466" s="31"/>
      <c r="G2466" s="31"/>
      <c r="H2466" s="31"/>
      <c r="I2466" s="56"/>
      <c r="J2466" s="56"/>
      <c r="K2466" s="82" t="str">
        <f t="shared" si="755"/>
        <v>Invoice</v>
      </c>
      <c r="L2466" s="83" t="str">
        <f>"SI_111475"</f>
        <v>SI_111475</v>
      </c>
      <c r="M2466" s="84">
        <v>43701</v>
      </c>
      <c r="N2466" s="85">
        <f t="shared" si="756"/>
        <v>111</v>
      </c>
      <c r="O2466" s="86">
        <f t="shared" si="757"/>
        <v>13772.48</v>
      </c>
      <c r="P2466" s="86">
        <f t="shared" si="758"/>
        <v>0</v>
      </c>
      <c r="Q2466" s="86">
        <f t="shared" si="759"/>
        <v>0</v>
      </c>
      <c r="R2466" s="86">
        <f t="shared" si="760"/>
        <v>0</v>
      </c>
      <c r="S2466" s="86">
        <f t="shared" si="761"/>
        <v>0</v>
      </c>
      <c r="T2466" s="86">
        <f t="shared" si="762"/>
        <v>13772.48</v>
      </c>
      <c r="U2466" s="87">
        <v>13772.48</v>
      </c>
    </row>
    <row r="2467" spans="1:21" s="30" customFormat="1" ht="24.6" hidden="1" outlineLevel="1" x14ac:dyDescent="0.55000000000000004">
      <c r="A2467" s="27" t="s">
        <v>327</v>
      </c>
      <c r="B2467" s="28"/>
      <c r="C2467" s="27"/>
      <c r="D2467" s="27" t="str">
        <f>"""NAV Direct"",""CRONUS JetCorp USA"",""21"",""1"",""368558"""</f>
        <v>"NAV Direct","CRONUS JetCorp USA","21","1","368558"</v>
      </c>
      <c r="E2467" s="31" t="str">
        <f t="shared" ref="E2467:E2493" si="763">E2465</f>
        <v>C100082</v>
      </c>
      <c r="F2467" s="31"/>
      <c r="G2467" s="31"/>
      <c r="H2467" s="31"/>
      <c r="I2467" s="56"/>
      <c r="J2467" s="56"/>
      <c r="K2467" s="82" t="str">
        <f t="shared" si="755"/>
        <v>Invoice</v>
      </c>
      <c r="L2467" s="83" t="str">
        <f>"SI_111496"</f>
        <v>SI_111496</v>
      </c>
      <c r="M2467" s="84">
        <v>43823</v>
      </c>
      <c r="N2467" s="85">
        <f t="shared" ref="N2467:N2493" si="764">StartDate-$M2467+1</f>
        <v>-11</v>
      </c>
      <c r="O2467" s="86">
        <f t="shared" ref="O2467:O2493" si="765">SUM(P2467:T2467)</f>
        <v>17476.349999999999</v>
      </c>
      <c r="P2467" s="86">
        <f t="shared" ref="P2467:P2493" si="766">IF($M2467&gt;=$P$18,U2467,0)</f>
        <v>17476.349999999999</v>
      </c>
      <c r="Q2467" s="86">
        <f t="shared" ref="Q2467:Q2493" si="767">IF(AND($M2467&gt;=$Q$16,$M2467&lt;=$Q$18),U2467,0)</f>
        <v>0</v>
      </c>
      <c r="R2467" s="86">
        <f t="shared" ref="R2467:R2493" si="768">IF(AND($M2467&gt;=$R$16,$M2467&lt;=$R$18),U2467,0)</f>
        <v>0</v>
      </c>
      <c r="S2467" s="86">
        <f t="shared" ref="S2467:S2493" si="769">IF(AND($M2467&gt;=$S$16,$M2467&lt;=$S$18),U2467,0)</f>
        <v>0</v>
      </c>
      <c r="T2467" s="86">
        <f t="shared" ref="T2467:T2493" si="770">IF($M2467&lt;=$T$18,U2467,0)</f>
        <v>0</v>
      </c>
      <c r="U2467" s="87">
        <v>17476.349999999999</v>
      </c>
    </row>
    <row r="2468" spans="1:21" s="30" customFormat="1" ht="24.6" hidden="1" outlineLevel="1" x14ac:dyDescent="0.55000000000000004">
      <c r="A2468" s="27" t="s">
        <v>327</v>
      </c>
      <c r="B2468" s="28"/>
      <c r="C2468" s="27"/>
      <c r="D2468" s="27" t="str">
        <f>"""NAV Direct"",""CRONUS JetCorp USA"",""21"",""1"",""368729"""</f>
        <v>"NAV Direct","CRONUS JetCorp USA","21","1","368729"</v>
      </c>
      <c r="E2468" s="31">
        <f t="shared" si="763"/>
        <v>0</v>
      </c>
      <c r="F2468" s="31"/>
      <c r="G2468" s="31"/>
      <c r="H2468" s="31"/>
      <c r="I2468" s="56"/>
      <c r="J2468" s="56"/>
      <c r="K2468" s="82" t="str">
        <f t="shared" si="755"/>
        <v>Invoice</v>
      </c>
      <c r="L2468" s="83" t="str">
        <f>"SI_111501"</f>
        <v>SI_111501</v>
      </c>
      <c r="M2468" s="84">
        <v>43830</v>
      </c>
      <c r="N2468" s="85">
        <f t="shared" si="764"/>
        <v>-18</v>
      </c>
      <c r="O2468" s="86">
        <f t="shared" si="765"/>
        <v>17477.04</v>
      </c>
      <c r="P2468" s="86">
        <f t="shared" si="766"/>
        <v>17477.04</v>
      </c>
      <c r="Q2468" s="86">
        <f t="shared" si="767"/>
        <v>0</v>
      </c>
      <c r="R2468" s="86">
        <f t="shared" si="768"/>
        <v>0</v>
      </c>
      <c r="S2468" s="86">
        <f t="shared" si="769"/>
        <v>0</v>
      </c>
      <c r="T2468" s="86">
        <f t="shared" si="770"/>
        <v>0</v>
      </c>
      <c r="U2468" s="87">
        <v>17477.04</v>
      </c>
    </row>
    <row r="2469" spans="1:21" s="30" customFormat="1" ht="24.6" hidden="1" outlineLevel="1" x14ac:dyDescent="0.55000000000000004">
      <c r="A2469" s="27" t="s">
        <v>327</v>
      </c>
      <c r="B2469" s="28"/>
      <c r="C2469" s="27"/>
      <c r="D2469" s="27" t="str">
        <f>"""NAV Direct"",""CRONUS JetCorp USA"",""21"",""1"",""368770"""</f>
        <v>"NAV Direct","CRONUS JetCorp USA","21","1","368770"</v>
      </c>
      <c r="E2469" s="31" t="str">
        <f t="shared" si="763"/>
        <v>C100082</v>
      </c>
      <c r="F2469" s="31"/>
      <c r="G2469" s="31"/>
      <c r="H2469" s="31"/>
      <c r="I2469" s="56"/>
      <c r="J2469" s="56"/>
      <c r="K2469" s="82" t="str">
        <f t="shared" si="755"/>
        <v>Invoice</v>
      </c>
      <c r="L2469" s="83" t="str">
        <f>"SI_111502"</f>
        <v>SI_111502</v>
      </c>
      <c r="M2469" s="84">
        <v>42005</v>
      </c>
      <c r="N2469" s="85">
        <f t="shared" si="764"/>
        <v>1807</v>
      </c>
      <c r="O2469" s="86">
        <f t="shared" si="765"/>
        <v>17476.96</v>
      </c>
      <c r="P2469" s="86">
        <f t="shared" si="766"/>
        <v>0</v>
      </c>
      <c r="Q2469" s="86">
        <f t="shared" si="767"/>
        <v>0</v>
      </c>
      <c r="R2469" s="86">
        <f t="shared" si="768"/>
        <v>0</v>
      </c>
      <c r="S2469" s="86">
        <f t="shared" si="769"/>
        <v>0</v>
      </c>
      <c r="T2469" s="86">
        <f t="shared" si="770"/>
        <v>17476.96</v>
      </c>
      <c r="U2469" s="87">
        <v>17476.96</v>
      </c>
    </row>
    <row r="2470" spans="1:21" s="30" customFormat="1" ht="24.6" hidden="1" outlineLevel="1" x14ac:dyDescent="0.55000000000000004">
      <c r="A2470" s="27" t="s">
        <v>327</v>
      </c>
      <c r="B2470" s="28"/>
      <c r="C2470" s="27"/>
      <c r="D2470" s="27" t="str">
        <f>"""NAV Direct"",""CRONUS JetCorp USA"",""21"",""1"",""368803"""</f>
        <v>"NAV Direct","CRONUS JetCorp USA","21","1","368803"</v>
      </c>
      <c r="E2470" s="31">
        <f t="shared" si="763"/>
        <v>0</v>
      </c>
      <c r="F2470" s="31"/>
      <c r="G2470" s="31"/>
      <c r="H2470" s="31"/>
      <c r="I2470" s="56"/>
      <c r="J2470" s="56"/>
      <c r="K2470" s="82" t="str">
        <f t="shared" si="755"/>
        <v>Invoice</v>
      </c>
      <c r="L2470" s="83" t="str">
        <f>"SI_111503"</f>
        <v>SI_111503</v>
      </c>
      <c r="M2470" s="84">
        <v>42009</v>
      </c>
      <c r="N2470" s="85">
        <f t="shared" si="764"/>
        <v>1803</v>
      </c>
      <c r="O2470" s="86">
        <f t="shared" si="765"/>
        <v>17476.84</v>
      </c>
      <c r="P2470" s="86">
        <f t="shared" si="766"/>
        <v>0</v>
      </c>
      <c r="Q2470" s="86">
        <f t="shared" si="767"/>
        <v>0</v>
      </c>
      <c r="R2470" s="86">
        <f t="shared" si="768"/>
        <v>0</v>
      </c>
      <c r="S2470" s="86">
        <f t="shared" si="769"/>
        <v>0</v>
      </c>
      <c r="T2470" s="86">
        <f t="shared" si="770"/>
        <v>17476.84</v>
      </c>
      <c r="U2470" s="87">
        <v>17476.84</v>
      </c>
    </row>
    <row r="2471" spans="1:21" s="30" customFormat="1" ht="24.6" hidden="1" outlineLevel="1" x14ac:dyDescent="0.55000000000000004">
      <c r="A2471" s="27" t="s">
        <v>327</v>
      </c>
      <c r="B2471" s="28"/>
      <c r="C2471" s="27"/>
      <c r="D2471" s="27" t="str">
        <f>"""NAV Direct"",""CRONUS JetCorp USA"",""21"",""1"",""368951"""</f>
        <v>"NAV Direct","CRONUS JetCorp USA","21","1","368951"</v>
      </c>
      <c r="E2471" s="31" t="str">
        <f t="shared" si="763"/>
        <v>C100082</v>
      </c>
      <c r="F2471" s="31"/>
      <c r="G2471" s="31"/>
      <c r="H2471" s="31"/>
      <c r="I2471" s="56"/>
      <c r="J2471" s="56"/>
      <c r="K2471" s="82" t="str">
        <f t="shared" si="755"/>
        <v>Invoice</v>
      </c>
      <c r="L2471" s="83" t="str">
        <f>"SI_111507"</f>
        <v>SI_111507</v>
      </c>
      <c r="M2471" s="84">
        <v>42034</v>
      </c>
      <c r="N2471" s="85">
        <f t="shared" si="764"/>
        <v>1778</v>
      </c>
      <c r="O2471" s="86">
        <f t="shared" si="765"/>
        <v>16987.109999999997</v>
      </c>
      <c r="P2471" s="86">
        <f t="shared" si="766"/>
        <v>0</v>
      </c>
      <c r="Q2471" s="86">
        <f t="shared" si="767"/>
        <v>0</v>
      </c>
      <c r="R2471" s="86">
        <f t="shared" si="768"/>
        <v>0</v>
      </c>
      <c r="S2471" s="86">
        <f t="shared" si="769"/>
        <v>0</v>
      </c>
      <c r="T2471" s="86">
        <f t="shared" si="770"/>
        <v>16987.109999999997</v>
      </c>
      <c r="U2471" s="87">
        <v>16987.109999999997</v>
      </c>
    </row>
    <row r="2472" spans="1:21" s="30" customFormat="1" ht="24.6" hidden="1" outlineLevel="1" x14ac:dyDescent="0.55000000000000004">
      <c r="A2472" s="27" t="s">
        <v>327</v>
      </c>
      <c r="B2472" s="28"/>
      <c r="C2472" s="27"/>
      <c r="D2472" s="27" t="str">
        <f>"""NAV Direct"",""CRONUS JetCorp USA"",""21"",""1"",""369023"""</f>
        <v>"NAV Direct","CRONUS JetCorp USA","21","1","369023"</v>
      </c>
      <c r="E2472" s="31">
        <f t="shared" si="763"/>
        <v>0</v>
      </c>
      <c r="F2472" s="31"/>
      <c r="G2472" s="31"/>
      <c r="H2472" s="31"/>
      <c r="I2472" s="56"/>
      <c r="J2472" s="56"/>
      <c r="K2472" s="82" t="str">
        <f t="shared" si="755"/>
        <v>Invoice</v>
      </c>
      <c r="L2472" s="83" t="str">
        <f>"SI_111509"</f>
        <v>SI_111509</v>
      </c>
      <c r="M2472" s="84">
        <v>42058</v>
      </c>
      <c r="N2472" s="85">
        <f t="shared" si="764"/>
        <v>1754</v>
      </c>
      <c r="O2472" s="86">
        <f t="shared" si="765"/>
        <v>15764.66</v>
      </c>
      <c r="P2472" s="86">
        <f t="shared" si="766"/>
        <v>0</v>
      </c>
      <c r="Q2472" s="86">
        <f t="shared" si="767"/>
        <v>0</v>
      </c>
      <c r="R2472" s="86">
        <f t="shared" si="768"/>
        <v>0</v>
      </c>
      <c r="S2472" s="86">
        <f t="shared" si="769"/>
        <v>0</v>
      </c>
      <c r="T2472" s="86">
        <f t="shared" si="770"/>
        <v>15764.66</v>
      </c>
      <c r="U2472" s="87">
        <v>15764.66</v>
      </c>
    </row>
    <row r="2473" spans="1:21" s="30" customFormat="1" ht="24.6" hidden="1" outlineLevel="1" x14ac:dyDescent="0.55000000000000004">
      <c r="A2473" s="27" t="s">
        <v>327</v>
      </c>
      <c r="B2473" s="28"/>
      <c r="C2473" s="27"/>
      <c r="D2473" s="27" t="str">
        <f>"""NAV Direct"",""CRONUS JetCorp USA"",""21"",""1"",""369180"""</f>
        <v>"NAV Direct","CRONUS JetCorp USA","21","1","369180"</v>
      </c>
      <c r="E2473" s="31" t="str">
        <f t="shared" si="763"/>
        <v>C100082</v>
      </c>
      <c r="F2473" s="31"/>
      <c r="G2473" s="31"/>
      <c r="H2473" s="31"/>
      <c r="I2473" s="56"/>
      <c r="J2473" s="56"/>
      <c r="K2473" s="82" t="str">
        <f t="shared" si="755"/>
        <v>Invoice</v>
      </c>
      <c r="L2473" s="83" t="str">
        <f>"SI_111514"</f>
        <v>SI_111514</v>
      </c>
      <c r="M2473" s="84">
        <v>42085</v>
      </c>
      <c r="N2473" s="85">
        <f t="shared" si="764"/>
        <v>1727</v>
      </c>
      <c r="O2473" s="86">
        <f t="shared" si="765"/>
        <v>15448.820000000002</v>
      </c>
      <c r="P2473" s="86">
        <f t="shared" si="766"/>
        <v>0</v>
      </c>
      <c r="Q2473" s="86">
        <f t="shared" si="767"/>
        <v>0</v>
      </c>
      <c r="R2473" s="86">
        <f t="shared" si="768"/>
        <v>0</v>
      </c>
      <c r="S2473" s="86">
        <f t="shared" si="769"/>
        <v>0</v>
      </c>
      <c r="T2473" s="86">
        <f t="shared" si="770"/>
        <v>15448.820000000002</v>
      </c>
      <c r="U2473" s="87">
        <v>15448.820000000002</v>
      </c>
    </row>
    <row r="2474" spans="1:21" s="30" customFormat="1" ht="24.6" hidden="1" outlineLevel="1" x14ac:dyDescent="0.55000000000000004">
      <c r="A2474" s="27" t="s">
        <v>327</v>
      </c>
      <c r="B2474" s="28"/>
      <c r="C2474" s="27"/>
      <c r="D2474" s="27" t="str">
        <f>"""NAV Direct"",""CRONUS JetCorp USA"",""21"",""1"",""369335"""</f>
        <v>"NAV Direct","CRONUS JetCorp USA","21","1","369335"</v>
      </c>
      <c r="E2474" s="31">
        <f t="shared" si="763"/>
        <v>0</v>
      </c>
      <c r="F2474" s="31"/>
      <c r="G2474" s="31"/>
      <c r="H2474" s="31"/>
      <c r="I2474" s="56"/>
      <c r="J2474" s="56"/>
      <c r="K2474" s="82" t="str">
        <f t="shared" si="755"/>
        <v>Invoice</v>
      </c>
      <c r="L2474" s="83" t="str">
        <f>"SI_111519"</f>
        <v>SI_111519</v>
      </c>
      <c r="M2474" s="84">
        <v>42120</v>
      </c>
      <c r="N2474" s="85">
        <f t="shared" si="764"/>
        <v>1692</v>
      </c>
      <c r="O2474" s="86">
        <f t="shared" si="765"/>
        <v>16561.490000000002</v>
      </c>
      <c r="P2474" s="86">
        <f t="shared" si="766"/>
        <v>0</v>
      </c>
      <c r="Q2474" s="86">
        <f t="shared" si="767"/>
        <v>0</v>
      </c>
      <c r="R2474" s="86">
        <f t="shared" si="768"/>
        <v>0</v>
      </c>
      <c r="S2474" s="86">
        <f t="shared" si="769"/>
        <v>0</v>
      </c>
      <c r="T2474" s="86">
        <f t="shared" si="770"/>
        <v>16561.490000000002</v>
      </c>
      <c r="U2474" s="87">
        <v>16561.490000000002</v>
      </c>
    </row>
    <row r="2475" spans="1:21" s="30" customFormat="1" ht="24.6" hidden="1" outlineLevel="1" x14ac:dyDescent="0.55000000000000004">
      <c r="A2475" s="27" t="s">
        <v>327</v>
      </c>
      <c r="B2475" s="28"/>
      <c r="C2475" s="27"/>
      <c r="D2475" s="27" t="str">
        <f>"""NAV Direct"",""CRONUS JetCorp USA"",""21"",""1"",""369997"""</f>
        <v>"NAV Direct","CRONUS JetCorp USA","21","1","369997"</v>
      </c>
      <c r="E2475" s="31" t="str">
        <f t="shared" si="763"/>
        <v>C100082</v>
      </c>
      <c r="F2475" s="31"/>
      <c r="G2475" s="31"/>
      <c r="H2475" s="31"/>
      <c r="I2475" s="56"/>
      <c r="J2475" s="56"/>
      <c r="K2475" s="82" t="str">
        <f t="shared" si="755"/>
        <v>Invoice</v>
      </c>
      <c r="L2475" s="83" t="str">
        <f>"SI_111537"</f>
        <v>SI_111537</v>
      </c>
      <c r="M2475" s="84">
        <v>42190</v>
      </c>
      <c r="N2475" s="85">
        <f t="shared" si="764"/>
        <v>1622</v>
      </c>
      <c r="O2475" s="86">
        <f t="shared" si="765"/>
        <v>21209.360000000001</v>
      </c>
      <c r="P2475" s="86">
        <f t="shared" si="766"/>
        <v>0</v>
      </c>
      <c r="Q2475" s="86">
        <f t="shared" si="767"/>
        <v>0</v>
      </c>
      <c r="R2475" s="86">
        <f t="shared" si="768"/>
        <v>0</v>
      </c>
      <c r="S2475" s="86">
        <f t="shared" si="769"/>
        <v>0</v>
      </c>
      <c r="T2475" s="86">
        <f t="shared" si="770"/>
        <v>21209.360000000001</v>
      </c>
      <c r="U2475" s="87">
        <v>21209.360000000001</v>
      </c>
    </row>
    <row r="2476" spans="1:21" s="30" customFormat="1" ht="24.6" hidden="1" outlineLevel="1" x14ac:dyDescent="0.55000000000000004">
      <c r="A2476" s="27" t="s">
        <v>327</v>
      </c>
      <c r="B2476" s="28"/>
      <c r="C2476" s="27"/>
      <c r="D2476" s="27" t="str">
        <f>"""NAV Direct"",""CRONUS JetCorp USA"",""21"",""1"",""370417"""</f>
        <v>"NAV Direct","CRONUS JetCorp USA","21","1","370417"</v>
      </c>
      <c r="E2476" s="31">
        <f t="shared" si="763"/>
        <v>0</v>
      </c>
      <c r="F2476" s="31"/>
      <c r="G2476" s="31"/>
      <c r="H2476" s="31"/>
      <c r="I2476" s="56"/>
      <c r="J2476" s="56"/>
      <c r="K2476" s="82" t="str">
        <f t="shared" si="755"/>
        <v>Invoice</v>
      </c>
      <c r="L2476" s="83" t="str">
        <f>"SI_111549"</f>
        <v>SI_111549</v>
      </c>
      <c r="M2476" s="84">
        <v>42280</v>
      </c>
      <c r="N2476" s="85">
        <f t="shared" si="764"/>
        <v>1532</v>
      </c>
      <c r="O2476" s="86">
        <f t="shared" si="765"/>
        <v>13640.820000000002</v>
      </c>
      <c r="P2476" s="86">
        <f t="shared" si="766"/>
        <v>0</v>
      </c>
      <c r="Q2476" s="86">
        <f t="shared" si="767"/>
        <v>0</v>
      </c>
      <c r="R2476" s="86">
        <f t="shared" si="768"/>
        <v>0</v>
      </c>
      <c r="S2476" s="86">
        <f t="shared" si="769"/>
        <v>0</v>
      </c>
      <c r="T2476" s="86">
        <f t="shared" si="770"/>
        <v>13640.820000000002</v>
      </c>
      <c r="U2476" s="87">
        <v>13640.820000000002</v>
      </c>
    </row>
    <row r="2477" spans="1:21" s="30" customFormat="1" ht="24.6" hidden="1" outlineLevel="1" x14ac:dyDescent="0.55000000000000004">
      <c r="A2477" s="27" t="s">
        <v>327</v>
      </c>
      <c r="B2477" s="28"/>
      <c r="C2477" s="27"/>
      <c r="D2477" s="27" t="str">
        <f>"""NAV Direct"",""CRONUS JetCorp USA"",""21"",""1"",""370518"""</f>
        <v>"NAV Direct","CRONUS JetCorp USA","21","1","370518"</v>
      </c>
      <c r="E2477" s="31" t="str">
        <f t="shared" si="763"/>
        <v>C100082</v>
      </c>
      <c r="F2477" s="31"/>
      <c r="G2477" s="31"/>
      <c r="H2477" s="31"/>
      <c r="I2477" s="56"/>
      <c r="J2477" s="56"/>
      <c r="K2477" s="82" t="str">
        <f t="shared" si="755"/>
        <v>Invoice</v>
      </c>
      <c r="L2477" s="83" t="str">
        <f>"SI_111552"</f>
        <v>SI_111552</v>
      </c>
      <c r="M2477" s="84">
        <v>42298</v>
      </c>
      <c r="N2477" s="85">
        <f t="shared" si="764"/>
        <v>1514</v>
      </c>
      <c r="O2477" s="86">
        <f t="shared" si="765"/>
        <v>15549.900000000001</v>
      </c>
      <c r="P2477" s="86">
        <f t="shared" si="766"/>
        <v>0</v>
      </c>
      <c r="Q2477" s="86">
        <f t="shared" si="767"/>
        <v>0</v>
      </c>
      <c r="R2477" s="86">
        <f t="shared" si="768"/>
        <v>0</v>
      </c>
      <c r="S2477" s="86">
        <f t="shared" si="769"/>
        <v>0</v>
      </c>
      <c r="T2477" s="86">
        <f t="shared" si="770"/>
        <v>15549.900000000001</v>
      </c>
      <c r="U2477" s="87">
        <v>15549.900000000001</v>
      </c>
    </row>
    <row r="2478" spans="1:21" s="30" customFormat="1" ht="24.6" hidden="1" outlineLevel="1" x14ac:dyDescent="0.55000000000000004">
      <c r="A2478" s="27" t="s">
        <v>327</v>
      </c>
      <c r="B2478" s="28"/>
      <c r="C2478" s="27"/>
      <c r="D2478" s="27" t="str">
        <f>"""NAV Direct"",""CRONUS JetCorp USA"",""21"",""1"",""370640"""</f>
        <v>"NAV Direct","CRONUS JetCorp USA","21","1","370640"</v>
      </c>
      <c r="E2478" s="31">
        <f t="shared" si="763"/>
        <v>0</v>
      </c>
      <c r="F2478" s="31"/>
      <c r="G2478" s="31"/>
      <c r="H2478" s="31"/>
      <c r="I2478" s="56"/>
      <c r="J2478" s="56"/>
      <c r="K2478" s="82" t="str">
        <f t="shared" si="755"/>
        <v>Invoice</v>
      </c>
      <c r="L2478" s="83" t="str">
        <f>"SI_111556"</f>
        <v>SI_111556</v>
      </c>
      <c r="M2478" s="84">
        <v>42316</v>
      </c>
      <c r="N2478" s="85">
        <f t="shared" si="764"/>
        <v>1496</v>
      </c>
      <c r="O2478" s="86">
        <f t="shared" si="765"/>
        <v>15549.84</v>
      </c>
      <c r="P2478" s="86">
        <f t="shared" si="766"/>
        <v>0</v>
      </c>
      <c r="Q2478" s="86">
        <f t="shared" si="767"/>
        <v>0</v>
      </c>
      <c r="R2478" s="86">
        <f t="shared" si="768"/>
        <v>0</v>
      </c>
      <c r="S2478" s="86">
        <f t="shared" si="769"/>
        <v>0</v>
      </c>
      <c r="T2478" s="86">
        <f t="shared" si="770"/>
        <v>15549.84</v>
      </c>
      <c r="U2478" s="87">
        <v>15549.84</v>
      </c>
    </row>
    <row r="2479" spans="1:21" s="30" customFormat="1" ht="24.6" hidden="1" outlineLevel="1" x14ac:dyDescent="0.55000000000000004">
      <c r="A2479" s="27" t="s">
        <v>327</v>
      </c>
      <c r="B2479" s="28"/>
      <c r="C2479" s="27"/>
      <c r="D2479" s="27" t="str">
        <f>"""NAV Direct"",""CRONUS JetCorp USA"",""21"",""1"",""370673"""</f>
        <v>"NAV Direct","CRONUS JetCorp USA","21","1","370673"</v>
      </c>
      <c r="E2479" s="31" t="str">
        <f t="shared" si="763"/>
        <v>C100082</v>
      </c>
      <c r="F2479" s="31"/>
      <c r="G2479" s="31"/>
      <c r="H2479" s="31"/>
      <c r="I2479" s="56"/>
      <c r="J2479" s="56"/>
      <c r="K2479" s="82" t="str">
        <f t="shared" si="755"/>
        <v>Invoice</v>
      </c>
      <c r="L2479" s="83" t="str">
        <f>"SI_111557"</f>
        <v>SI_111557</v>
      </c>
      <c r="M2479" s="84">
        <v>42334</v>
      </c>
      <c r="N2479" s="85">
        <f t="shared" si="764"/>
        <v>1478</v>
      </c>
      <c r="O2479" s="86">
        <f t="shared" si="765"/>
        <v>17229.97</v>
      </c>
      <c r="P2479" s="86">
        <f t="shared" si="766"/>
        <v>0</v>
      </c>
      <c r="Q2479" s="86">
        <f t="shared" si="767"/>
        <v>0</v>
      </c>
      <c r="R2479" s="86">
        <f t="shared" si="768"/>
        <v>0</v>
      </c>
      <c r="S2479" s="86">
        <f t="shared" si="769"/>
        <v>0</v>
      </c>
      <c r="T2479" s="86">
        <f t="shared" si="770"/>
        <v>17229.97</v>
      </c>
      <c r="U2479" s="87">
        <v>17229.97</v>
      </c>
    </row>
    <row r="2480" spans="1:21" s="30" customFormat="1" ht="24.6" hidden="1" outlineLevel="1" x14ac:dyDescent="0.55000000000000004">
      <c r="A2480" s="27" t="s">
        <v>327</v>
      </c>
      <c r="B2480" s="28"/>
      <c r="C2480" s="27"/>
      <c r="D2480" s="27" t="str">
        <f>"""NAV Direct"",""CRONUS JetCorp USA"",""21"",""1"",""370790"""</f>
        <v>"NAV Direct","CRONUS JetCorp USA","21","1","370790"</v>
      </c>
      <c r="E2480" s="31">
        <f t="shared" si="763"/>
        <v>0</v>
      </c>
      <c r="F2480" s="31"/>
      <c r="G2480" s="31"/>
      <c r="H2480" s="31"/>
      <c r="I2480" s="56"/>
      <c r="J2480" s="56"/>
      <c r="K2480" s="82" t="str">
        <f t="shared" si="755"/>
        <v>Invoice</v>
      </c>
      <c r="L2480" s="83" t="str">
        <f>"SI_111560"</f>
        <v>SI_111560</v>
      </c>
      <c r="M2480" s="84">
        <v>42340</v>
      </c>
      <c r="N2480" s="85">
        <f t="shared" si="764"/>
        <v>1472</v>
      </c>
      <c r="O2480" s="86">
        <f t="shared" si="765"/>
        <v>17229.73</v>
      </c>
      <c r="P2480" s="86">
        <f t="shared" si="766"/>
        <v>0</v>
      </c>
      <c r="Q2480" s="86">
        <f t="shared" si="767"/>
        <v>0</v>
      </c>
      <c r="R2480" s="86">
        <f t="shared" si="768"/>
        <v>0</v>
      </c>
      <c r="S2480" s="86">
        <f t="shared" si="769"/>
        <v>0</v>
      </c>
      <c r="T2480" s="86">
        <f t="shared" si="770"/>
        <v>17229.73</v>
      </c>
      <c r="U2480" s="87">
        <v>17229.73</v>
      </c>
    </row>
    <row r="2481" spans="1:21" s="30" customFormat="1" ht="24.6" hidden="1" outlineLevel="1" x14ac:dyDescent="0.55000000000000004">
      <c r="A2481" s="27" t="s">
        <v>327</v>
      </c>
      <c r="B2481" s="28"/>
      <c r="C2481" s="27"/>
      <c r="D2481" s="27" t="str">
        <f>"""NAV Direct"",""CRONUS JetCorp USA"",""21"",""1"",""370876"""</f>
        <v>"NAV Direct","CRONUS JetCorp USA","21","1","370876"</v>
      </c>
      <c r="E2481" s="31" t="str">
        <f t="shared" si="763"/>
        <v>C100082</v>
      </c>
      <c r="F2481" s="31"/>
      <c r="G2481" s="31"/>
      <c r="H2481" s="31"/>
      <c r="I2481" s="56"/>
      <c r="J2481" s="56"/>
      <c r="K2481" s="82" t="str">
        <f t="shared" si="755"/>
        <v>Invoice</v>
      </c>
      <c r="L2481" s="83" t="str">
        <f>"SI_111562"</f>
        <v>SI_111562</v>
      </c>
      <c r="M2481" s="84">
        <v>42357</v>
      </c>
      <c r="N2481" s="85">
        <f t="shared" si="764"/>
        <v>1455</v>
      </c>
      <c r="O2481" s="86">
        <f t="shared" si="765"/>
        <v>18815.16</v>
      </c>
      <c r="P2481" s="86">
        <f t="shared" si="766"/>
        <v>0</v>
      </c>
      <c r="Q2481" s="86">
        <f t="shared" si="767"/>
        <v>0</v>
      </c>
      <c r="R2481" s="86">
        <f t="shared" si="768"/>
        <v>0</v>
      </c>
      <c r="S2481" s="86">
        <f t="shared" si="769"/>
        <v>0</v>
      </c>
      <c r="T2481" s="86">
        <f t="shared" si="770"/>
        <v>18815.16</v>
      </c>
      <c r="U2481" s="87">
        <v>18815.16</v>
      </c>
    </row>
    <row r="2482" spans="1:21" s="30" customFormat="1" ht="24.6" hidden="1" outlineLevel="1" x14ac:dyDescent="0.55000000000000004">
      <c r="A2482" s="27" t="s">
        <v>327</v>
      </c>
      <c r="B2482" s="28"/>
      <c r="C2482" s="27"/>
      <c r="D2482" s="27" t="str">
        <f>"""NAV Direct"",""CRONUS JetCorp USA"",""21"",""1"",""435778"""</f>
        <v>"NAV Direct","CRONUS JetCorp USA","21","1","435778"</v>
      </c>
      <c r="E2482" s="31">
        <f t="shared" si="763"/>
        <v>0</v>
      </c>
      <c r="F2482" s="31"/>
      <c r="G2482" s="31"/>
      <c r="H2482" s="31"/>
      <c r="I2482" s="56"/>
      <c r="J2482" s="56"/>
      <c r="K2482" s="82" t="str">
        <f t="shared" ref="K2482:K2493" si="771">"Credit Memo"</f>
        <v>Credit Memo</v>
      </c>
      <c r="L2482" s="83" t="str">
        <f>"SC_100640"</f>
        <v>SC_100640</v>
      </c>
      <c r="M2482" s="84">
        <v>42447</v>
      </c>
      <c r="N2482" s="85">
        <f t="shared" si="764"/>
        <v>1365</v>
      </c>
      <c r="O2482" s="86">
        <f t="shared" si="765"/>
        <v>-73.59</v>
      </c>
      <c r="P2482" s="86">
        <f t="shared" si="766"/>
        <v>0</v>
      </c>
      <c r="Q2482" s="86">
        <f t="shared" si="767"/>
        <v>0</v>
      </c>
      <c r="R2482" s="86">
        <f t="shared" si="768"/>
        <v>0</v>
      </c>
      <c r="S2482" s="86">
        <f t="shared" si="769"/>
        <v>0</v>
      </c>
      <c r="T2482" s="86">
        <f t="shared" si="770"/>
        <v>-73.59</v>
      </c>
      <c r="U2482" s="87">
        <v>-73.59</v>
      </c>
    </row>
    <row r="2483" spans="1:21" s="30" customFormat="1" ht="24.6" hidden="1" outlineLevel="1" x14ac:dyDescent="0.55000000000000004">
      <c r="A2483" s="27" t="s">
        <v>327</v>
      </c>
      <c r="B2483" s="28"/>
      <c r="C2483" s="27"/>
      <c r="D2483" s="27" t="str">
        <f>"""NAV Direct"",""CRONUS JetCorp USA"",""21"",""1"",""435823"""</f>
        <v>"NAV Direct","CRONUS JetCorp USA","21","1","435823"</v>
      </c>
      <c r="E2483" s="31" t="str">
        <f t="shared" si="763"/>
        <v>C100082</v>
      </c>
      <c r="F2483" s="31"/>
      <c r="G2483" s="31"/>
      <c r="H2483" s="31"/>
      <c r="I2483" s="56"/>
      <c r="J2483" s="56"/>
      <c r="K2483" s="82" t="str">
        <f t="shared" si="771"/>
        <v>Credit Memo</v>
      </c>
      <c r="L2483" s="83" t="str">
        <f>"SC_100643"</f>
        <v>SC_100643</v>
      </c>
      <c r="M2483" s="84">
        <v>42627</v>
      </c>
      <c r="N2483" s="85">
        <f t="shared" si="764"/>
        <v>1185</v>
      </c>
      <c r="O2483" s="86">
        <f t="shared" si="765"/>
        <v>-94.23</v>
      </c>
      <c r="P2483" s="86">
        <f t="shared" si="766"/>
        <v>0</v>
      </c>
      <c r="Q2483" s="86">
        <f t="shared" si="767"/>
        <v>0</v>
      </c>
      <c r="R2483" s="86">
        <f t="shared" si="768"/>
        <v>0</v>
      </c>
      <c r="S2483" s="86">
        <f t="shared" si="769"/>
        <v>0</v>
      </c>
      <c r="T2483" s="86">
        <f t="shared" si="770"/>
        <v>-94.23</v>
      </c>
      <c r="U2483" s="87">
        <v>-94.23</v>
      </c>
    </row>
    <row r="2484" spans="1:21" s="30" customFormat="1" ht="24.6" hidden="1" outlineLevel="1" x14ac:dyDescent="0.55000000000000004">
      <c r="A2484" s="27" t="s">
        <v>327</v>
      </c>
      <c r="B2484" s="28"/>
      <c r="C2484" s="27"/>
      <c r="D2484" s="27" t="str">
        <f>"""NAV Direct"",""CRONUS JetCorp USA"",""21"",""1"",""435992"""</f>
        <v>"NAV Direct","CRONUS JetCorp USA","21","1","435992"</v>
      </c>
      <c r="E2484" s="31">
        <f t="shared" si="763"/>
        <v>0</v>
      </c>
      <c r="F2484" s="31"/>
      <c r="G2484" s="31"/>
      <c r="H2484" s="31"/>
      <c r="I2484" s="56"/>
      <c r="J2484" s="56"/>
      <c r="K2484" s="82" t="str">
        <f t="shared" si="771"/>
        <v>Credit Memo</v>
      </c>
      <c r="L2484" s="83" t="str">
        <f>"SC_100656"</f>
        <v>SC_100656</v>
      </c>
      <c r="M2484" s="84">
        <v>42890</v>
      </c>
      <c r="N2484" s="85">
        <f t="shared" si="764"/>
        <v>922</v>
      </c>
      <c r="O2484" s="86">
        <f t="shared" si="765"/>
        <v>-156.88</v>
      </c>
      <c r="P2484" s="86">
        <f t="shared" si="766"/>
        <v>0</v>
      </c>
      <c r="Q2484" s="86">
        <f t="shared" si="767"/>
        <v>0</v>
      </c>
      <c r="R2484" s="86">
        <f t="shared" si="768"/>
        <v>0</v>
      </c>
      <c r="S2484" s="86">
        <f t="shared" si="769"/>
        <v>0</v>
      </c>
      <c r="T2484" s="86">
        <f t="shared" si="770"/>
        <v>-156.88</v>
      </c>
      <c r="U2484" s="87">
        <v>-156.88</v>
      </c>
    </row>
    <row r="2485" spans="1:21" s="30" customFormat="1" ht="24.6" hidden="1" outlineLevel="1" x14ac:dyDescent="0.55000000000000004">
      <c r="A2485" s="27" t="s">
        <v>327</v>
      </c>
      <c r="B2485" s="28"/>
      <c r="C2485" s="27"/>
      <c r="D2485" s="27" t="str">
        <f>"""NAV Direct"",""CRONUS JetCorp USA"",""21"",""1"",""436088"""</f>
        <v>"NAV Direct","CRONUS JetCorp USA","21","1","436088"</v>
      </c>
      <c r="E2485" s="31" t="str">
        <f t="shared" si="763"/>
        <v>C100082</v>
      </c>
      <c r="F2485" s="31"/>
      <c r="G2485" s="31"/>
      <c r="H2485" s="31"/>
      <c r="I2485" s="56"/>
      <c r="J2485" s="56"/>
      <c r="K2485" s="82" t="str">
        <f t="shared" si="771"/>
        <v>Credit Memo</v>
      </c>
      <c r="L2485" s="83" t="str">
        <f>"SC_100662"</f>
        <v>SC_100662</v>
      </c>
      <c r="M2485" s="84">
        <v>42996</v>
      </c>
      <c r="N2485" s="85">
        <f t="shared" si="764"/>
        <v>816</v>
      </c>
      <c r="O2485" s="86">
        <f t="shared" si="765"/>
        <v>-115.35000000000001</v>
      </c>
      <c r="P2485" s="86">
        <f t="shared" si="766"/>
        <v>0</v>
      </c>
      <c r="Q2485" s="86">
        <f t="shared" si="767"/>
        <v>0</v>
      </c>
      <c r="R2485" s="86">
        <f t="shared" si="768"/>
        <v>0</v>
      </c>
      <c r="S2485" s="86">
        <f t="shared" si="769"/>
        <v>0</v>
      </c>
      <c r="T2485" s="86">
        <f t="shared" si="770"/>
        <v>-115.35000000000001</v>
      </c>
      <c r="U2485" s="87">
        <v>-115.35000000000001</v>
      </c>
    </row>
    <row r="2486" spans="1:21" s="30" customFormat="1" ht="24.6" hidden="1" outlineLevel="1" x14ac:dyDescent="0.55000000000000004">
      <c r="A2486" s="27" t="s">
        <v>327</v>
      </c>
      <c r="B2486" s="28"/>
      <c r="C2486" s="27"/>
      <c r="D2486" s="27" t="str">
        <f>"""NAV Direct"",""CRONUS JetCorp USA"",""21"",""1"",""436203"""</f>
        <v>"NAV Direct","CRONUS JetCorp USA","21","1","436203"</v>
      </c>
      <c r="E2486" s="31">
        <f t="shared" si="763"/>
        <v>0</v>
      </c>
      <c r="F2486" s="31"/>
      <c r="G2486" s="31"/>
      <c r="H2486" s="31"/>
      <c r="I2486" s="56"/>
      <c r="J2486" s="56"/>
      <c r="K2486" s="82" t="str">
        <f t="shared" si="771"/>
        <v>Credit Memo</v>
      </c>
      <c r="L2486" s="83" t="str">
        <f>"SC_100669"</f>
        <v>SC_100669</v>
      </c>
      <c r="M2486" s="84">
        <v>43124</v>
      </c>
      <c r="N2486" s="85">
        <f t="shared" si="764"/>
        <v>688</v>
      </c>
      <c r="O2486" s="86">
        <f t="shared" si="765"/>
        <v>-152.81</v>
      </c>
      <c r="P2486" s="86">
        <f t="shared" si="766"/>
        <v>0</v>
      </c>
      <c r="Q2486" s="86">
        <f t="shared" si="767"/>
        <v>0</v>
      </c>
      <c r="R2486" s="86">
        <f t="shared" si="768"/>
        <v>0</v>
      </c>
      <c r="S2486" s="86">
        <f t="shared" si="769"/>
        <v>0</v>
      </c>
      <c r="T2486" s="86">
        <f t="shared" si="770"/>
        <v>-152.81</v>
      </c>
      <c r="U2486" s="87">
        <v>-152.81</v>
      </c>
    </row>
    <row r="2487" spans="1:21" s="30" customFormat="1" ht="24.6" hidden="1" outlineLevel="1" x14ac:dyDescent="0.55000000000000004">
      <c r="A2487" s="27" t="s">
        <v>327</v>
      </c>
      <c r="B2487" s="28"/>
      <c r="C2487" s="27"/>
      <c r="D2487" s="27" t="str">
        <f>"""NAV Direct"",""CRONUS JetCorp USA"",""21"",""1"",""436335"""</f>
        <v>"NAV Direct","CRONUS JetCorp USA","21","1","436335"</v>
      </c>
      <c r="E2487" s="31" t="str">
        <f t="shared" si="763"/>
        <v>C100082</v>
      </c>
      <c r="F2487" s="31"/>
      <c r="G2487" s="31"/>
      <c r="H2487" s="31"/>
      <c r="I2487" s="56"/>
      <c r="J2487" s="56"/>
      <c r="K2487" s="82" t="str">
        <f t="shared" si="771"/>
        <v>Credit Memo</v>
      </c>
      <c r="L2487" s="83" t="str">
        <f>"SC_100677"</f>
        <v>SC_100677</v>
      </c>
      <c r="M2487" s="84">
        <v>43285</v>
      </c>
      <c r="N2487" s="85">
        <f t="shared" si="764"/>
        <v>527</v>
      </c>
      <c r="O2487" s="86">
        <f t="shared" si="765"/>
        <v>-179.34</v>
      </c>
      <c r="P2487" s="86">
        <f t="shared" si="766"/>
        <v>0</v>
      </c>
      <c r="Q2487" s="86">
        <f t="shared" si="767"/>
        <v>0</v>
      </c>
      <c r="R2487" s="86">
        <f t="shared" si="768"/>
        <v>0</v>
      </c>
      <c r="S2487" s="86">
        <f t="shared" si="769"/>
        <v>0</v>
      </c>
      <c r="T2487" s="86">
        <f t="shared" si="770"/>
        <v>-179.34</v>
      </c>
      <c r="U2487" s="87">
        <v>-179.34</v>
      </c>
    </row>
    <row r="2488" spans="1:21" s="30" customFormat="1" ht="24.6" hidden="1" outlineLevel="1" x14ac:dyDescent="0.55000000000000004">
      <c r="A2488" s="27" t="s">
        <v>327</v>
      </c>
      <c r="B2488" s="28"/>
      <c r="C2488" s="27"/>
      <c r="D2488" s="27" t="str">
        <f>"""NAV Direct"",""CRONUS JetCorp USA"",""21"",""1"",""436577"""</f>
        <v>"NAV Direct","CRONUS JetCorp USA","21","1","436577"</v>
      </c>
      <c r="E2488" s="31">
        <f t="shared" si="763"/>
        <v>0</v>
      </c>
      <c r="F2488" s="31"/>
      <c r="G2488" s="31"/>
      <c r="H2488" s="31"/>
      <c r="I2488" s="56"/>
      <c r="J2488" s="56"/>
      <c r="K2488" s="82" t="str">
        <f t="shared" si="771"/>
        <v>Credit Memo</v>
      </c>
      <c r="L2488" s="83" t="str">
        <f>"SC_100693"</f>
        <v>SC_100693</v>
      </c>
      <c r="M2488" s="84">
        <v>43500</v>
      </c>
      <c r="N2488" s="85">
        <f t="shared" si="764"/>
        <v>312</v>
      </c>
      <c r="O2488" s="86">
        <f t="shared" si="765"/>
        <v>-185.49</v>
      </c>
      <c r="P2488" s="86">
        <f t="shared" si="766"/>
        <v>0</v>
      </c>
      <c r="Q2488" s="86">
        <f t="shared" si="767"/>
        <v>0</v>
      </c>
      <c r="R2488" s="86">
        <f t="shared" si="768"/>
        <v>0</v>
      </c>
      <c r="S2488" s="86">
        <f t="shared" si="769"/>
        <v>0</v>
      </c>
      <c r="T2488" s="86">
        <f t="shared" si="770"/>
        <v>-185.49</v>
      </c>
      <c r="U2488" s="87">
        <v>-185.49</v>
      </c>
    </row>
    <row r="2489" spans="1:21" s="30" customFormat="1" ht="24.6" hidden="1" outlineLevel="1" x14ac:dyDescent="0.55000000000000004">
      <c r="A2489" s="27" t="s">
        <v>327</v>
      </c>
      <c r="B2489" s="28"/>
      <c r="C2489" s="27"/>
      <c r="D2489" s="27" t="str">
        <f>"""NAV Direct"",""CRONUS JetCorp USA"",""21"",""1"",""436758"""</f>
        <v>"NAV Direct","CRONUS JetCorp USA","21","1","436758"</v>
      </c>
      <c r="E2489" s="31" t="str">
        <f t="shared" si="763"/>
        <v>C100082</v>
      </c>
      <c r="F2489" s="31"/>
      <c r="G2489" s="31"/>
      <c r="H2489" s="31"/>
      <c r="I2489" s="56"/>
      <c r="J2489" s="56"/>
      <c r="K2489" s="82" t="str">
        <f t="shared" si="771"/>
        <v>Credit Memo</v>
      </c>
      <c r="L2489" s="83" t="str">
        <f>"SC_100704"</f>
        <v>SC_100704</v>
      </c>
      <c r="M2489" s="84">
        <v>43679</v>
      </c>
      <c r="N2489" s="85">
        <f t="shared" si="764"/>
        <v>133</v>
      </c>
      <c r="O2489" s="86">
        <f t="shared" si="765"/>
        <v>-136.47</v>
      </c>
      <c r="P2489" s="86">
        <f t="shared" si="766"/>
        <v>0</v>
      </c>
      <c r="Q2489" s="86">
        <f t="shared" si="767"/>
        <v>0</v>
      </c>
      <c r="R2489" s="86">
        <f t="shared" si="768"/>
        <v>0</v>
      </c>
      <c r="S2489" s="86">
        <f t="shared" si="769"/>
        <v>0</v>
      </c>
      <c r="T2489" s="86">
        <f t="shared" si="770"/>
        <v>-136.47</v>
      </c>
      <c r="U2489" s="87">
        <v>-136.47</v>
      </c>
    </row>
    <row r="2490" spans="1:21" s="30" customFormat="1" ht="24.6" hidden="1" outlineLevel="1" x14ac:dyDescent="0.55000000000000004">
      <c r="A2490" s="27" t="s">
        <v>327</v>
      </c>
      <c r="B2490" s="28"/>
      <c r="C2490" s="27"/>
      <c r="D2490" s="27" t="str">
        <f>"""NAV Direct"",""CRONUS JetCorp USA"",""21"",""1"",""436809"""</f>
        <v>"NAV Direct","CRONUS JetCorp USA","21","1","436809"</v>
      </c>
      <c r="E2490" s="31">
        <f t="shared" si="763"/>
        <v>0</v>
      </c>
      <c r="F2490" s="31"/>
      <c r="G2490" s="31"/>
      <c r="H2490" s="31"/>
      <c r="I2490" s="56"/>
      <c r="J2490" s="56"/>
      <c r="K2490" s="82" t="str">
        <f t="shared" si="771"/>
        <v>Credit Memo</v>
      </c>
      <c r="L2490" s="83" t="str">
        <f>"SC_100707"</f>
        <v>SC_100707</v>
      </c>
      <c r="M2490" s="84">
        <v>43753</v>
      </c>
      <c r="N2490" s="85">
        <f t="shared" si="764"/>
        <v>59</v>
      </c>
      <c r="O2490" s="86">
        <f t="shared" si="765"/>
        <v>-143.9</v>
      </c>
      <c r="P2490" s="86">
        <f t="shared" si="766"/>
        <v>0</v>
      </c>
      <c r="Q2490" s="86">
        <f t="shared" si="767"/>
        <v>0</v>
      </c>
      <c r="R2490" s="86">
        <f t="shared" si="768"/>
        <v>-143.9</v>
      </c>
      <c r="S2490" s="86">
        <f t="shared" si="769"/>
        <v>0</v>
      </c>
      <c r="T2490" s="86">
        <f t="shared" si="770"/>
        <v>0</v>
      </c>
      <c r="U2490" s="87">
        <v>-143.9</v>
      </c>
    </row>
    <row r="2491" spans="1:21" s="30" customFormat="1" ht="24.6" hidden="1" outlineLevel="1" x14ac:dyDescent="0.55000000000000004">
      <c r="A2491" s="27" t="s">
        <v>327</v>
      </c>
      <c r="B2491" s="28"/>
      <c r="C2491" s="27"/>
      <c r="D2491" s="27" t="str">
        <f>"""NAV Direct"",""CRONUS JetCorp USA"",""21"",""1"",""436913"""</f>
        <v>"NAV Direct","CRONUS JetCorp USA","21","1","436913"</v>
      </c>
      <c r="E2491" s="31" t="str">
        <f t="shared" si="763"/>
        <v>C100082</v>
      </c>
      <c r="F2491" s="31"/>
      <c r="G2491" s="31"/>
      <c r="H2491" s="31"/>
      <c r="I2491" s="56"/>
      <c r="J2491" s="56"/>
      <c r="K2491" s="82" t="str">
        <f t="shared" si="771"/>
        <v>Credit Memo</v>
      </c>
      <c r="L2491" s="83" t="str">
        <f>"SC_100713"</f>
        <v>SC_100713</v>
      </c>
      <c r="M2491" s="84">
        <v>42041</v>
      </c>
      <c r="N2491" s="85">
        <f t="shared" si="764"/>
        <v>1771</v>
      </c>
      <c r="O2491" s="86">
        <f t="shared" si="765"/>
        <v>-157.54999999999998</v>
      </c>
      <c r="P2491" s="86">
        <f t="shared" si="766"/>
        <v>0</v>
      </c>
      <c r="Q2491" s="86">
        <f t="shared" si="767"/>
        <v>0</v>
      </c>
      <c r="R2491" s="86">
        <f t="shared" si="768"/>
        <v>0</v>
      </c>
      <c r="S2491" s="86">
        <f t="shared" si="769"/>
        <v>0</v>
      </c>
      <c r="T2491" s="86">
        <f t="shared" si="770"/>
        <v>-157.54999999999998</v>
      </c>
      <c r="U2491" s="87">
        <v>-157.54999999999998</v>
      </c>
    </row>
    <row r="2492" spans="1:21" s="30" customFormat="1" ht="24.6" hidden="1" outlineLevel="1" x14ac:dyDescent="0.55000000000000004">
      <c r="A2492" s="27" t="s">
        <v>327</v>
      </c>
      <c r="B2492" s="28"/>
      <c r="C2492" s="27"/>
      <c r="D2492" s="27" t="str">
        <f>"""NAV Direct"",""CRONUS JetCorp USA"",""21"",""1"",""436960"""</f>
        <v>"NAV Direct","CRONUS JetCorp USA","21","1","436960"</v>
      </c>
      <c r="E2492" s="31">
        <f t="shared" si="763"/>
        <v>0</v>
      </c>
      <c r="F2492" s="31"/>
      <c r="G2492" s="31"/>
      <c r="H2492" s="31"/>
      <c r="I2492" s="56"/>
      <c r="J2492" s="56"/>
      <c r="K2492" s="82" t="str">
        <f t="shared" si="771"/>
        <v>Credit Memo</v>
      </c>
      <c r="L2492" s="83" t="str">
        <f>"SC_100716"</f>
        <v>SC_100716</v>
      </c>
      <c r="M2492" s="84">
        <v>42066</v>
      </c>
      <c r="N2492" s="85">
        <f t="shared" si="764"/>
        <v>1746</v>
      </c>
      <c r="O2492" s="86">
        <f t="shared" si="765"/>
        <v>-154.04000000000002</v>
      </c>
      <c r="P2492" s="86">
        <f t="shared" si="766"/>
        <v>0</v>
      </c>
      <c r="Q2492" s="86">
        <f t="shared" si="767"/>
        <v>0</v>
      </c>
      <c r="R2492" s="86">
        <f t="shared" si="768"/>
        <v>0</v>
      </c>
      <c r="S2492" s="86">
        <f t="shared" si="769"/>
        <v>0</v>
      </c>
      <c r="T2492" s="86">
        <f t="shared" si="770"/>
        <v>-154.04000000000002</v>
      </c>
      <c r="U2492" s="87">
        <v>-154.04000000000002</v>
      </c>
    </row>
    <row r="2493" spans="1:21" s="30" customFormat="1" ht="24.6" hidden="1" outlineLevel="1" x14ac:dyDescent="0.55000000000000004">
      <c r="A2493" s="27" t="s">
        <v>327</v>
      </c>
      <c r="B2493" s="28"/>
      <c r="C2493" s="27"/>
      <c r="D2493" s="27" t="str">
        <f>"""NAV Direct"",""CRONUS JetCorp USA"",""21"",""1"",""437086"""</f>
        <v>"NAV Direct","CRONUS JetCorp USA","21","1","437086"</v>
      </c>
      <c r="E2493" s="31" t="str">
        <f t="shared" si="763"/>
        <v>C100082</v>
      </c>
      <c r="F2493" s="31"/>
      <c r="G2493" s="31"/>
      <c r="H2493" s="31"/>
      <c r="I2493" s="56"/>
      <c r="J2493" s="56"/>
      <c r="K2493" s="82" t="str">
        <f t="shared" si="771"/>
        <v>Credit Memo</v>
      </c>
      <c r="L2493" s="83" t="str">
        <f>"SC_100724"</f>
        <v>SC_100724</v>
      </c>
      <c r="M2493" s="84">
        <v>42141</v>
      </c>
      <c r="N2493" s="85">
        <f t="shared" si="764"/>
        <v>1671</v>
      </c>
      <c r="O2493" s="86">
        <f t="shared" si="765"/>
        <v>-182.59</v>
      </c>
      <c r="P2493" s="86">
        <f t="shared" si="766"/>
        <v>0</v>
      </c>
      <c r="Q2493" s="86">
        <f t="shared" si="767"/>
        <v>0</v>
      </c>
      <c r="R2493" s="86">
        <f t="shared" si="768"/>
        <v>0</v>
      </c>
      <c r="S2493" s="86">
        <f t="shared" si="769"/>
        <v>0</v>
      </c>
      <c r="T2493" s="86">
        <f t="shared" si="770"/>
        <v>-182.59</v>
      </c>
      <c r="U2493" s="87">
        <v>-182.59</v>
      </c>
    </row>
    <row r="2494" spans="1:21" s="22" customFormat="1" ht="20.399999999999999" collapsed="1" x14ac:dyDescent="0.45">
      <c r="A2494" s="12" t="s">
        <v>327</v>
      </c>
      <c r="B2494" s="19"/>
      <c r="C2494" s="12"/>
      <c r="D2494" s="12"/>
      <c r="E2494" s="23"/>
      <c r="F2494" s="23"/>
      <c r="G2494" s="23"/>
      <c r="H2494" s="23"/>
      <c r="I2494" s="49"/>
      <c r="J2494" s="88"/>
      <c r="K2494" s="88"/>
      <c r="L2494" s="89"/>
      <c r="M2494" s="89"/>
      <c r="N2494" s="89"/>
      <c r="O2494" s="89"/>
      <c r="P2494" s="89"/>
      <c r="Q2494" s="90"/>
      <c r="R2494" s="90"/>
      <c r="S2494" s="91"/>
      <c r="T2494" s="92"/>
      <c r="U2494" s="92"/>
    </row>
    <row r="2495" spans="1:21" s="22" customFormat="1" ht="20.399999999999999" x14ac:dyDescent="0.45">
      <c r="A2495" s="12" t="s">
        <v>327</v>
      </c>
      <c r="B2495" s="19"/>
      <c r="C2495" s="12"/>
      <c r="D2495" s="12"/>
      <c r="E2495" s="23"/>
      <c r="F2495" s="23"/>
      <c r="G2495" s="23"/>
      <c r="H2495" s="23"/>
      <c r="I2495" s="49"/>
      <c r="J2495" s="88"/>
      <c r="K2495" s="88"/>
      <c r="L2495" s="89"/>
      <c r="M2495" s="89"/>
      <c r="N2495" s="89"/>
      <c r="O2495" s="89"/>
      <c r="P2495" s="89"/>
      <c r="Q2495" s="90"/>
      <c r="R2495" s="90"/>
      <c r="S2495" s="91"/>
      <c r="T2495" s="92"/>
      <c r="U2495" s="92"/>
    </row>
    <row r="2496" spans="1:21" s="26" customFormat="1" ht="24.6" x14ac:dyDescent="0.55000000000000004">
      <c r="A2496" s="27" t="s">
        <v>327</v>
      </c>
      <c r="B2496" s="28"/>
      <c r="C2496" s="27" t="str">
        <f>"""NAV Direct"",""CRONUS JetCorp USA"",""18"",""1"",""C100083"""</f>
        <v>"NAV Direct","CRONUS JetCorp USA","18","1","C100083"</v>
      </c>
      <c r="D2496" s="27"/>
      <c r="E2496" s="28" t="str">
        <f>H2496</f>
        <v>C100083</v>
      </c>
      <c r="F2496" s="28"/>
      <c r="G2496" s="28"/>
      <c r="H2496" s="28" t="str">
        <f>"C100083"</f>
        <v>C100083</v>
      </c>
      <c r="I2496" s="116" t="str">
        <f>"C100083  -  Stanfords"</f>
        <v>C100083  -  Stanfords</v>
      </c>
      <c r="J2496" s="117" t="str">
        <f>""</f>
        <v/>
      </c>
      <c r="K2496" s="118"/>
      <c r="L2496" s="119">
        <f>SUBTOTAL(3,L2497:L2648)</f>
        <v>148</v>
      </c>
      <c r="M2496" s="118"/>
      <c r="N2496" s="118"/>
      <c r="O2496" s="120">
        <f t="shared" ref="O2496:T2496" si="772">SUBTOTAL(9,O2497:O2648)</f>
        <v>1649519.2</v>
      </c>
      <c r="P2496" s="120">
        <f t="shared" si="772"/>
        <v>72571.67</v>
      </c>
      <c r="Q2496" s="120">
        <f t="shared" si="772"/>
        <v>43271.5</v>
      </c>
      <c r="R2496" s="120">
        <f t="shared" si="772"/>
        <v>14485.09</v>
      </c>
      <c r="S2496" s="120">
        <f t="shared" si="772"/>
        <v>14427.429999999998</v>
      </c>
      <c r="T2496" s="120">
        <f t="shared" si="772"/>
        <v>1504763.51</v>
      </c>
      <c r="U2496" s="81"/>
    </row>
    <row r="2497" spans="1:22" s="26" customFormat="1" ht="24.6" x14ac:dyDescent="0.55000000000000004">
      <c r="A2497" s="27" t="s">
        <v>327</v>
      </c>
      <c r="B2497" s="28"/>
      <c r="C2497" s="27" t="str">
        <f>C2496</f>
        <v>"NAV Direct","CRONUS JetCorp USA","18","1","C100083"</v>
      </c>
      <c r="D2497" s="27"/>
      <c r="E2497" s="28" t="str">
        <f>E2496</f>
        <v>C100083</v>
      </c>
      <c r="F2497" s="28"/>
      <c r="G2497" s="28"/>
      <c r="H2497" s="28"/>
      <c r="I2497" s="121" t="str">
        <f>"Contact: Chris Watley"</f>
        <v>Contact: Chris Watley</v>
      </c>
      <c r="J2497" s="121"/>
      <c r="K2497" s="122"/>
      <c r="L2497" s="123"/>
      <c r="M2497" s="123"/>
      <c r="N2497" s="124"/>
      <c r="O2497" s="124"/>
      <c r="P2497" s="123"/>
      <c r="Q2497" s="125"/>
      <c r="R2497" s="126"/>
      <c r="S2497" s="126"/>
      <c r="T2497" s="125"/>
      <c r="U2497" s="81"/>
    </row>
    <row r="2498" spans="1:22" s="26" customFormat="1" ht="24.6" x14ac:dyDescent="0.55000000000000004">
      <c r="A2498" s="27" t="s">
        <v>327</v>
      </c>
      <c r="B2498" s="28"/>
      <c r="C2498" s="27" t="str">
        <f>C2497</f>
        <v>"NAV Direct","CRONUS JetCorp USA","18","1","C100083"</v>
      </c>
      <c r="D2498" s="27"/>
      <c r="E2498" s="28" t="str">
        <f>E2497</f>
        <v>C100083</v>
      </c>
      <c r="F2498" s="28"/>
      <c r="G2498" s="28"/>
      <c r="H2498" s="28"/>
      <c r="I2498" s="121" t="str">
        <f>"Stanfords@Cronus.com"</f>
        <v>Stanfords@Cronus.com</v>
      </c>
      <c r="J2498" s="121"/>
      <c r="K2498" s="122"/>
      <c r="L2498" s="124"/>
      <c r="M2498" s="124"/>
      <c r="N2498" s="124"/>
      <c r="O2498" s="124"/>
      <c r="P2498" s="123"/>
      <c r="Q2498" s="125"/>
      <c r="R2498" s="126"/>
      <c r="S2498" s="126"/>
      <c r="T2498" s="125"/>
      <c r="U2498" s="81"/>
    </row>
    <row r="2499" spans="1:22" ht="12.75" hidden="1" customHeight="1" outlineLevel="1" x14ac:dyDescent="0.45">
      <c r="A2499" s="12" t="s">
        <v>328</v>
      </c>
      <c r="B2499" s="19"/>
      <c r="E2499" s="19"/>
      <c r="F2499" s="19"/>
      <c r="G2499" s="19"/>
      <c r="H2499" s="19"/>
      <c r="I2499" s="61"/>
      <c r="J2499" s="61"/>
      <c r="K2499" s="61"/>
      <c r="L2499" s="61"/>
      <c r="M2499" s="61"/>
      <c r="N2499" s="61"/>
      <c r="O2499" s="61"/>
      <c r="P2499" s="61"/>
      <c r="Q2499" s="61"/>
      <c r="R2499" s="61"/>
      <c r="S2499" s="61"/>
      <c r="T2499" s="61"/>
      <c r="U2499" s="61"/>
      <c r="V2499" s="21"/>
    </row>
    <row r="2500" spans="1:22" s="30" customFormat="1" ht="24.6" hidden="1" outlineLevel="1" x14ac:dyDescent="0.55000000000000004">
      <c r="A2500" s="27" t="s">
        <v>327</v>
      </c>
      <c r="B2500" s="28"/>
      <c r="C2500" s="27"/>
      <c r="D2500" s="27" t="str">
        <f>"""NAV Direct"",""CRONUS JetCorp USA"",""21"",""1"",""22779"""</f>
        <v>"NAV Direct","CRONUS JetCorp USA","21","1","22779"</v>
      </c>
      <c r="E2500" s="31" t="str">
        <f t="shared" ref="E2500:E2531" si="773">E2498</f>
        <v>C100083</v>
      </c>
      <c r="F2500" s="31"/>
      <c r="G2500" s="31"/>
      <c r="H2500" s="31"/>
      <c r="I2500" s="56"/>
      <c r="J2500" s="56"/>
      <c r="K2500" s="82" t="str">
        <f t="shared" ref="K2500:K2531" si="774">"Invoice"</f>
        <v>Invoice</v>
      </c>
      <c r="L2500" s="83" t="str">
        <f>"SI_104152"</f>
        <v>SI_104152</v>
      </c>
      <c r="M2500" s="84">
        <v>42328</v>
      </c>
      <c r="N2500" s="85">
        <f t="shared" ref="N2500:N2531" si="775">StartDate-$M2500+1</f>
        <v>1484</v>
      </c>
      <c r="O2500" s="86">
        <f t="shared" ref="O2500:O2531" si="776">SUM(P2500:T2500)</f>
        <v>16685.310000000001</v>
      </c>
      <c r="P2500" s="86">
        <f t="shared" ref="P2500:P2531" si="777">IF($M2500&gt;=$P$18,U2500,0)</f>
        <v>0</v>
      </c>
      <c r="Q2500" s="86">
        <f t="shared" ref="Q2500:Q2531" si="778">IF(AND($M2500&gt;=$Q$16,$M2500&lt;=$Q$18),U2500,0)</f>
        <v>0</v>
      </c>
      <c r="R2500" s="86">
        <f t="shared" ref="R2500:R2531" si="779">IF(AND($M2500&gt;=$R$16,$M2500&lt;=$R$18),U2500,0)</f>
        <v>0</v>
      </c>
      <c r="S2500" s="86">
        <f t="shared" ref="S2500:S2531" si="780">IF(AND($M2500&gt;=$S$16,$M2500&lt;=$S$18),U2500,0)</f>
        <v>0</v>
      </c>
      <c r="T2500" s="86">
        <f t="shared" ref="T2500:T2531" si="781">IF($M2500&lt;=$T$18,U2500,0)</f>
        <v>16685.310000000001</v>
      </c>
      <c r="U2500" s="87">
        <v>16685.310000000001</v>
      </c>
    </row>
    <row r="2501" spans="1:22" s="30" customFormat="1" ht="24.6" hidden="1" outlineLevel="1" x14ac:dyDescent="0.55000000000000004">
      <c r="A2501" s="27" t="s">
        <v>327</v>
      </c>
      <c r="B2501" s="28"/>
      <c r="C2501" s="27"/>
      <c r="D2501" s="27" t="str">
        <f>"""NAV Direct"",""CRONUS JetCorp USA"",""21"",""1"",""22812"""</f>
        <v>"NAV Direct","CRONUS JetCorp USA","21","1","22812"</v>
      </c>
      <c r="E2501" s="31">
        <f t="shared" si="773"/>
        <v>0</v>
      </c>
      <c r="F2501" s="31"/>
      <c r="G2501" s="31"/>
      <c r="H2501" s="31"/>
      <c r="I2501" s="56"/>
      <c r="J2501" s="56"/>
      <c r="K2501" s="82" t="str">
        <f t="shared" si="774"/>
        <v>Invoice</v>
      </c>
      <c r="L2501" s="83" t="str">
        <f>"SI_104153"</f>
        <v>SI_104153</v>
      </c>
      <c r="M2501" s="84">
        <v>42333</v>
      </c>
      <c r="N2501" s="85">
        <f t="shared" si="775"/>
        <v>1479</v>
      </c>
      <c r="O2501" s="86">
        <f t="shared" si="776"/>
        <v>17213.919999999998</v>
      </c>
      <c r="P2501" s="86">
        <f t="shared" si="777"/>
        <v>0</v>
      </c>
      <c r="Q2501" s="86">
        <f t="shared" si="778"/>
        <v>0</v>
      </c>
      <c r="R2501" s="86">
        <f t="shared" si="779"/>
        <v>0</v>
      </c>
      <c r="S2501" s="86">
        <f t="shared" si="780"/>
        <v>0</v>
      </c>
      <c r="T2501" s="86">
        <f t="shared" si="781"/>
        <v>17213.919999999998</v>
      </c>
      <c r="U2501" s="87">
        <v>17213.919999999998</v>
      </c>
    </row>
    <row r="2502" spans="1:22" s="30" customFormat="1" ht="24.6" hidden="1" outlineLevel="1" x14ac:dyDescent="0.55000000000000004">
      <c r="A2502" s="27" t="s">
        <v>327</v>
      </c>
      <c r="B2502" s="28"/>
      <c r="C2502" s="27"/>
      <c r="D2502" s="27" t="str">
        <f>"""NAV Direct"",""CRONUS JetCorp USA"",""21"",""1"",""22837"""</f>
        <v>"NAV Direct","CRONUS JetCorp USA","21","1","22837"</v>
      </c>
      <c r="E2502" s="31" t="str">
        <f t="shared" si="773"/>
        <v>C100083</v>
      </c>
      <c r="F2502" s="31"/>
      <c r="G2502" s="31"/>
      <c r="H2502" s="31"/>
      <c r="I2502" s="56"/>
      <c r="J2502" s="56"/>
      <c r="K2502" s="82" t="str">
        <f t="shared" si="774"/>
        <v>Invoice</v>
      </c>
      <c r="L2502" s="83" t="str">
        <f>"SI_104154"</f>
        <v>SI_104154</v>
      </c>
      <c r="M2502" s="84">
        <v>42334</v>
      </c>
      <c r="N2502" s="85">
        <f t="shared" si="775"/>
        <v>1478</v>
      </c>
      <c r="O2502" s="86">
        <f t="shared" si="776"/>
        <v>16685.939999999999</v>
      </c>
      <c r="P2502" s="86">
        <f t="shared" si="777"/>
        <v>0</v>
      </c>
      <c r="Q2502" s="86">
        <f t="shared" si="778"/>
        <v>0</v>
      </c>
      <c r="R2502" s="86">
        <f t="shared" si="779"/>
        <v>0</v>
      </c>
      <c r="S2502" s="86">
        <f t="shared" si="780"/>
        <v>0</v>
      </c>
      <c r="T2502" s="86">
        <f t="shared" si="781"/>
        <v>16685.939999999999</v>
      </c>
      <c r="U2502" s="87">
        <v>16685.939999999999</v>
      </c>
    </row>
    <row r="2503" spans="1:22" s="30" customFormat="1" ht="24.6" hidden="1" outlineLevel="1" x14ac:dyDescent="0.55000000000000004">
      <c r="A2503" s="27" t="s">
        <v>327</v>
      </c>
      <c r="B2503" s="28"/>
      <c r="C2503" s="27"/>
      <c r="D2503" s="27" t="str">
        <f>"""NAV Direct"",""CRONUS JetCorp USA"",""21"",""1"",""22924"""</f>
        <v>"NAV Direct","CRONUS JetCorp USA","21","1","22924"</v>
      </c>
      <c r="E2503" s="31">
        <f t="shared" si="773"/>
        <v>0</v>
      </c>
      <c r="F2503" s="31"/>
      <c r="G2503" s="31"/>
      <c r="H2503" s="31"/>
      <c r="I2503" s="56"/>
      <c r="J2503" s="56"/>
      <c r="K2503" s="82" t="str">
        <f t="shared" si="774"/>
        <v>Invoice</v>
      </c>
      <c r="L2503" s="83" t="str">
        <f>"SI_104157"</f>
        <v>SI_104157</v>
      </c>
      <c r="M2503" s="84">
        <v>42360</v>
      </c>
      <c r="N2503" s="85">
        <f t="shared" si="775"/>
        <v>1452</v>
      </c>
      <c r="O2503" s="86">
        <f t="shared" si="776"/>
        <v>16626.649999999998</v>
      </c>
      <c r="P2503" s="86">
        <f t="shared" si="777"/>
        <v>0</v>
      </c>
      <c r="Q2503" s="86">
        <f t="shared" si="778"/>
        <v>0</v>
      </c>
      <c r="R2503" s="86">
        <f t="shared" si="779"/>
        <v>0</v>
      </c>
      <c r="S2503" s="86">
        <f t="shared" si="780"/>
        <v>0</v>
      </c>
      <c r="T2503" s="86">
        <f t="shared" si="781"/>
        <v>16626.649999999998</v>
      </c>
      <c r="U2503" s="87">
        <v>16626.649999999998</v>
      </c>
    </row>
    <row r="2504" spans="1:22" s="30" customFormat="1" ht="24.6" hidden="1" outlineLevel="1" x14ac:dyDescent="0.55000000000000004">
      <c r="A2504" s="27" t="s">
        <v>327</v>
      </c>
      <c r="B2504" s="28"/>
      <c r="C2504" s="27"/>
      <c r="D2504" s="27" t="str">
        <f>"""NAV Direct"",""CRONUS JetCorp USA"",""21"",""1"",""22972"""</f>
        <v>"NAV Direct","CRONUS JetCorp USA","21","1","22972"</v>
      </c>
      <c r="E2504" s="31" t="str">
        <f t="shared" si="773"/>
        <v>C100083</v>
      </c>
      <c r="F2504" s="31"/>
      <c r="G2504" s="31"/>
      <c r="H2504" s="31"/>
      <c r="I2504" s="56"/>
      <c r="J2504" s="56"/>
      <c r="K2504" s="82" t="str">
        <f t="shared" si="774"/>
        <v>Invoice</v>
      </c>
      <c r="L2504" s="83" t="str">
        <f>"SI_104159"</f>
        <v>SI_104159</v>
      </c>
      <c r="M2504" s="84">
        <v>42366</v>
      </c>
      <c r="N2504" s="85">
        <f t="shared" si="775"/>
        <v>1446</v>
      </c>
      <c r="O2504" s="86">
        <f t="shared" si="776"/>
        <v>17157.190000000002</v>
      </c>
      <c r="P2504" s="86">
        <f t="shared" si="777"/>
        <v>0</v>
      </c>
      <c r="Q2504" s="86">
        <f t="shared" si="778"/>
        <v>0</v>
      </c>
      <c r="R2504" s="86">
        <f t="shared" si="779"/>
        <v>0</v>
      </c>
      <c r="S2504" s="86">
        <f t="shared" si="780"/>
        <v>0</v>
      </c>
      <c r="T2504" s="86">
        <f t="shared" si="781"/>
        <v>17157.190000000002</v>
      </c>
      <c r="U2504" s="87">
        <v>17157.190000000002</v>
      </c>
    </row>
    <row r="2505" spans="1:22" s="30" customFormat="1" ht="24.6" hidden="1" outlineLevel="1" x14ac:dyDescent="0.55000000000000004">
      <c r="A2505" s="27" t="s">
        <v>327</v>
      </c>
      <c r="B2505" s="28"/>
      <c r="C2505" s="27"/>
      <c r="D2505" s="27" t="str">
        <f>"""NAV Direct"",""CRONUS JetCorp USA"",""21"",""1"",""313467"""</f>
        <v>"NAV Direct","CRONUS JetCorp USA","21","1","313467"</v>
      </c>
      <c r="E2505" s="31">
        <f t="shared" si="773"/>
        <v>0</v>
      </c>
      <c r="F2505" s="31"/>
      <c r="G2505" s="31"/>
      <c r="H2505" s="31"/>
      <c r="I2505" s="56"/>
      <c r="J2505" s="56"/>
      <c r="K2505" s="82" t="str">
        <f t="shared" si="774"/>
        <v>Invoice</v>
      </c>
      <c r="L2505" s="83" t="str">
        <f>"SI_109711"</f>
        <v>SI_109711</v>
      </c>
      <c r="M2505" s="84">
        <v>42389</v>
      </c>
      <c r="N2505" s="85">
        <f t="shared" si="775"/>
        <v>1423</v>
      </c>
      <c r="O2505" s="86">
        <f t="shared" si="776"/>
        <v>11748.890000000001</v>
      </c>
      <c r="P2505" s="86">
        <f t="shared" si="777"/>
        <v>0</v>
      </c>
      <c r="Q2505" s="86">
        <f t="shared" si="778"/>
        <v>0</v>
      </c>
      <c r="R2505" s="86">
        <f t="shared" si="779"/>
        <v>0</v>
      </c>
      <c r="S2505" s="86">
        <f t="shared" si="780"/>
        <v>0</v>
      </c>
      <c r="T2505" s="86">
        <f t="shared" si="781"/>
        <v>11748.890000000001</v>
      </c>
      <c r="U2505" s="87">
        <v>11748.890000000001</v>
      </c>
    </row>
    <row r="2506" spans="1:22" s="30" customFormat="1" ht="24.6" hidden="1" outlineLevel="1" x14ac:dyDescent="0.55000000000000004">
      <c r="A2506" s="27" t="s">
        <v>327</v>
      </c>
      <c r="B2506" s="28"/>
      <c r="C2506" s="27"/>
      <c r="D2506" s="27" t="str">
        <f>"""NAV Direct"",""CRONUS JetCorp USA"",""21"",""1"",""313538"""</f>
        <v>"NAV Direct","CRONUS JetCorp USA","21","1","313538"</v>
      </c>
      <c r="E2506" s="31" t="str">
        <f t="shared" si="773"/>
        <v>C100083</v>
      </c>
      <c r="F2506" s="31"/>
      <c r="G2506" s="31"/>
      <c r="H2506" s="31"/>
      <c r="I2506" s="56"/>
      <c r="J2506" s="56"/>
      <c r="K2506" s="82" t="str">
        <f t="shared" si="774"/>
        <v>Invoice</v>
      </c>
      <c r="L2506" s="83" t="str">
        <f>"SI_109714"</f>
        <v>SI_109714</v>
      </c>
      <c r="M2506" s="84">
        <v>42388</v>
      </c>
      <c r="N2506" s="85">
        <f t="shared" si="775"/>
        <v>1424</v>
      </c>
      <c r="O2506" s="86">
        <f t="shared" si="776"/>
        <v>11998.58</v>
      </c>
      <c r="P2506" s="86">
        <f t="shared" si="777"/>
        <v>0</v>
      </c>
      <c r="Q2506" s="86">
        <f t="shared" si="778"/>
        <v>0</v>
      </c>
      <c r="R2506" s="86">
        <f t="shared" si="779"/>
        <v>0</v>
      </c>
      <c r="S2506" s="86">
        <f t="shared" si="780"/>
        <v>0</v>
      </c>
      <c r="T2506" s="86">
        <f t="shared" si="781"/>
        <v>11998.58</v>
      </c>
      <c r="U2506" s="87">
        <v>11998.58</v>
      </c>
    </row>
    <row r="2507" spans="1:22" s="30" customFormat="1" ht="24.6" hidden="1" outlineLevel="1" x14ac:dyDescent="0.55000000000000004">
      <c r="A2507" s="27" t="s">
        <v>327</v>
      </c>
      <c r="B2507" s="28"/>
      <c r="C2507" s="27"/>
      <c r="D2507" s="27" t="str">
        <f>"""NAV Direct"",""CRONUS JetCorp USA"",""21"",""1"",""313559"""</f>
        <v>"NAV Direct","CRONUS JetCorp USA","21","1","313559"</v>
      </c>
      <c r="E2507" s="31">
        <f t="shared" si="773"/>
        <v>0</v>
      </c>
      <c r="F2507" s="31"/>
      <c r="G2507" s="31"/>
      <c r="H2507" s="31"/>
      <c r="I2507" s="56"/>
      <c r="J2507" s="56"/>
      <c r="K2507" s="82" t="str">
        <f t="shared" si="774"/>
        <v>Invoice</v>
      </c>
      <c r="L2507" s="83" t="str">
        <f>"SI_109715"</f>
        <v>SI_109715</v>
      </c>
      <c r="M2507" s="84">
        <v>42408</v>
      </c>
      <c r="N2507" s="85">
        <f t="shared" si="775"/>
        <v>1404</v>
      </c>
      <c r="O2507" s="86">
        <f t="shared" si="776"/>
        <v>11874.19</v>
      </c>
      <c r="P2507" s="86">
        <f t="shared" si="777"/>
        <v>0</v>
      </c>
      <c r="Q2507" s="86">
        <f t="shared" si="778"/>
        <v>0</v>
      </c>
      <c r="R2507" s="86">
        <f t="shared" si="779"/>
        <v>0</v>
      </c>
      <c r="S2507" s="86">
        <f t="shared" si="780"/>
        <v>0</v>
      </c>
      <c r="T2507" s="86">
        <f t="shared" si="781"/>
        <v>11874.19</v>
      </c>
      <c r="U2507" s="87">
        <v>11874.19</v>
      </c>
    </row>
    <row r="2508" spans="1:22" s="30" customFormat="1" ht="24.6" hidden="1" outlineLevel="1" x14ac:dyDescent="0.55000000000000004">
      <c r="A2508" s="27" t="s">
        <v>327</v>
      </c>
      <c r="B2508" s="28"/>
      <c r="C2508" s="27"/>
      <c r="D2508" s="27" t="str">
        <f>"""NAV Direct"",""CRONUS JetCorp USA"",""21"",""1"",""313715"""</f>
        <v>"NAV Direct","CRONUS JetCorp USA","21","1","313715"</v>
      </c>
      <c r="E2508" s="31" t="str">
        <f t="shared" si="773"/>
        <v>C100083</v>
      </c>
      <c r="F2508" s="31"/>
      <c r="G2508" s="31"/>
      <c r="H2508" s="31"/>
      <c r="I2508" s="56"/>
      <c r="J2508" s="56"/>
      <c r="K2508" s="82" t="str">
        <f t="shared" si="774"/>
        <v>Invoice</v>
      </c>
      <c r="L2508" s="83" t="str">
        <f>"SI_109721"</f>
        <v>SI_109721</v>
      </c>
      <c r="M2508" s="84">
        <v>42458</v>
      </c>
      <c r="N2508" s="85">
        <f t="shared" si="775"/>
        <v>1354</v>
      </c>
      <c r="O2508" s="86">
        <f t="shared" si="776"/>
        <v>12907.73</v>
      </c>
      <c r="P2508" s="86">
        <f t="shared" si="777"/>
        <v>0</v>
      </c>
      <c r="Q2508" s="86">
        <f t="shared" si="778"/>
        <v>0</v>
      </c>
      <c r="R2508" s="86">
        <f t="shared" si="779"/>
        <v>0</v>
      </c>
      <c r="S2508" s="86">
        <f t="shared" si="780"/>
        <v>0</v>
      </c>
      <c r="T2508" s="86">
        <f t="shared" si="781"/>
        <v>12907.73</v>
      </c>
      <c r="U2508" s="87">
        <v>12907.73</v>
      </c>
    </row>
    <row r="2509" spans="1:22" s="30" customFormat="1" ht="24.6" hidden="1" outlineLevel="1" x14ac:dyDescent="0.55000000000000004">
      <c r="A2509" s="27" t="s">
        <v>327</v>
      </c>
      <c r="B2509" s="28"/>
      <c r="C2509" s="27"/>
      <c r="D2509" s="27" t="str">
        <f>"""NAV Direct"",""CRONUS JetCorp USA"",""21"",""1"",""313759"""</f>
        <v>"NAV Direct","CRONUS JetCorp USA","21","1","313759"</v>
      </c>
      <c r="E2509" s="31">
        <f t="shared" si="773"/>
        <v>0</v>
      </c>
      <c r="F2509" s="31"/>
      <c r="G2509" s="31"/>
      <c r="H2509" s="31"/>
      <c r="I2509" s="56"/>
      <c r="J2509" s="56"/>
      <c r="K2509" s="82" t="str">
        <f t="shared" si="774"/>
        <v>Invoice</v>
      </c>
      <c r="L2509" s="83" t="str">
        <f>"SI_109723"</f>
        <v>SI_109723</v>
      </c>
      <c r="M2509" s="84">
        <v>42463</v>
      </c>
      <c r="N2509" s="85">
        <f t="shared" si="775"/>
        <v>1349</v>
      </c>
      <c r="O2509" s="86">
        <f t="shared" si="776"/>
        <v>12906.779999999999</v>
      </c>
      <c r="P2509" s="86">
        <f t="shared" si="777"/>
        <v>0</v>
      </c>
      <c r="Q2509" s="86">
        <f t="shared" si="778"/>
        <v>0</v>
      </c>
      <c r="R2509" s="86">
        <f t="shared" si="779"/>
        <v>0</v>
      </c>
      <c r="S2509" s="86">
        <f t="shared" si="780"/>
        <v>0</v>
      </c>
      <c r="T2509" s="86">
        <f t="shared" si="781"/>
        <v>12906.779999999999</v>
      </c>
      <c r="U2509" s="87">
        <v>12906.779999999999</v>
      </c>
    </row>
    <row r="2510" spans="1:22" s="30" customFormat="1" ht="24.6" hidden="1" outlineLevel="1" x14ac:dyDescent="0.55000000000000004">
      <c r="A2510" s="27" t="s">
        <v>327</v>
      </c>
      <c r="B2510" s="28"/>
      <c r="C2510" s="27"/>
      <c r="D2510" s="27" t="str">
        <f>"""NAV Direct"",""CRONUS JetCorp USA"",""21"",""1"",""313857"""</f>
        <v>"NAV Direct","CRONUS JetCorp USA","21","1","313857"</v>
      </c>
      <c r="E2510" s="31" t="str">
        <f t="shared" si="773"/>
        <v>C100083</v>
      </c>
      <c r="F2510" s="31"/>
      <c r="G2510" s="31"/>
      <c r="H2510" s="31"/>
      <c r="I2510" s="56"/>
      <c r="J2510" s="56"/>
      <c r="K2510" s="82" t="str">
        <f t="shared" si="774"/>
        <v>Invoice</v>
      </c>
      <c r="L2510" s="83" t="str">
        <f>"SI_109727"</f>
        <v>SI_109727</v>
      </c>
      <c r="M2510" s="84">
        <v>42496</v>
      </c>
      <c r="N2510" s="85">
        <f t="shared" si="775"/>
        <v>1316</v>
      </c>
      <c r="O2510" s="86">
        <f t="shared" si="776"/>
        <v>12517.199999999999</v>
      </c>
      <c r="P2510" s="86">
        <f t="shared" si="777"/>
        <v>0</v>
      </c>
      <c r="Q2510" s="86">
        <f t="shared" si="778"/>
        <v>0</v>
      </c>
      <c r="R2510" s="86">
        <f t="shared" si="779"/>
        <v>0</v>
      </c>
      <c r="S2510" s="86">
        <f t="shared" si="780"/>
        <v>0</v>
      </c>
      <c r="T2510" s="86">
        <f t="shared" si="781"/>
        <v>12517.199999999999</v>
      </c>
      <c r="U2510" s="87">
        <v>12517.199999999999</v>
      </c>
    </row>
    <row r="2511" spans="1:22" s="30" customFormat="1" ht="24.6" hidden="1" outlineLevel="1" x14ac:dyDescent="0.55000000000000004">
      <c r="A2511" s="27" t="s">
        <v>327</v>
      </c>
      <c r="B2511" s="28"/>
      <c r="C2511" s="27"/>
      <c r="D2511" s="27" t="str">
        <f>"""NAV Direct"",""CRONUS JetCorp USA"",""21"",""1"",""313926"""</f>
        <v>"NAV Direct","CRONUS JetCorp USA","21","1","313926"</v>
      </c>
      <c r="E2511" s="31">
        <f t="shared" si="773"/>
        <v>0</v>
      </c>
      <c r="F2511" s="31"/>
      <c r="G2511" s="31"/>
      <c r="H2511" s="31"/>
      <c r="I2511" s="56"/>
      <c r="J2511" s="56"/>
      <c r="K2511" s="82" t="str">
        <f t="shared" si="774"/>
        <v>Invoice</v>
      </c>
      <c r="L2511" s="83" t="str">
        <f>"SI_109730"</f>
        <v>SI_109730</v>
      </c>
      <c r="M2511" s="84">
        <v>42528</v>
      </c>
      <c r="N2511" s="85">
        <f t="shared" si="775"/>
        <v>1284</v>
      </c>
      <c r="O2511" s="86">
        <f t="shared" si="776"/>
        <v>12505.03</v>
      </c>
      <c r="P2511" s="86">
        <f t="shared" si="777"/>
        <v>0</v>
      </c>
      <c r="Q2511" s="86">
        <f t="shared" si="778"/>
        <v>0</v>
      </c>
      <c r="R2511" s="86">
        <f t="shared" si="779"/>
        <v>0</v>
      </c>
      <c r="S2511" s="86">
        <f t="shared" si="780"/>
        <v>0</v>
      </c>
      <c r="T2511" s="86">
        <f t="shared" si="781"/>
        <v>12505.03</v>
      </c>
      <c r="U2511" s="87">
        <v>12505.03</v>
      </c>
    </row>
    <row r="2512" spans="1:22" s="30" customFormat="1" ht="24.6" hidden="1" outlineLevel="1" x14ac:dyDescent="0.55000000000000004">
      <c r="A2512" s="27" t="s">
        <v>327</v>
      </c>
      <c r="B2512" s="28"/>
      <c r="C2512" s="27"/>
      <c r="D2512" s="27" t="str">
        <f>"""NAV Direct"",""CRONUS JetCorp USA"",""21"",""1"",""313966"""</f>
        <v>"NAV Direct","CRONUS JetCorp USA","21","1","313966"</v>
      </c>
      <c r="E2512" s="31" t="str">
        <f t="shared" si="773"/>
        <v>C100083</v>
      </c>
      <c r="F2512" s="31"/>
      <c r="G2512" s="31"/>
      <c r="H2512" s="31"/>
      <c r="I2512" s="56"/>
      <c r="J2512" s="56"/>
      <c r="K2512" s="82" t="str">
        <f t="shared" si="774"/>
        <v>Invoice</v>
      </c>
      <c r="L2512" s="83" t="str">
        <f>"SI_109732"</f>
        <v>SI_109732</v>
      </c>
      <c r="M2512" s="84">
        <v>42536</v>
      </c>
      <c r="N2512" s="85">
        <f t="shared" si="775"/>
        <v>1276</v>
      </c>
      <c r="O2512" s="86">
        <f t="shared" si="776"/>
        <v>12913.130000000001</v>
      </c>
      <c r="P2512" s="86">
        <f t="shared" si="777"/>
        <v>0</v>
      </c>
      <c r="Q2512" s="86">
        <f t="shared" si="778"/>
        <v>0</v>
      </c>
      <c r="R2512" s="86">
        <f t="shared" si="779"/>
        <v>0</v>
      </c>
      <c r="S2512" s="86">
        <f t="shared" si="780"/>
        <v>0</v>
      </c>
      <c r="T2512" s="86">
        <f t="shared" si="781"/>
        <v>12913.130000000001</v>
      </c>
      <c r="U2512" s="87">
        <v>12913.130000000001</v>
      </c>
    </row>
    <row r="2513" spans="1:21" s="30" customFormat="1" ht="24.6" hidden="1" outlineLevel="1" x14ac:dyDescent="0.55000000000000004">
      <c r="A2513" s="27" t="s">
        <v>327</v>
      </c>
      <c r="B2513" s="28"/>
      <c r="C2513" s="27"/>
      <c r="D2513" s="27" t="str">
        <f>"""NAV Direct"",""CRONUS JetCorp USA"",""21"",""1"",""313993"""</f>
        <v>"NAV Direct","CRONUS JetCorp USA","21","1","313993"</v>
      </c>
      <c r="E2513" s="31">
        <f t="shared" si="773"/>
        <v>0</v>
      </c>
      <c r="F2513" s="31"/>
      <c r="G2513" s="31"/>
      <c r="H2513" s="31"/>
      <c r="I2513" s="56"/>
      <c r="J2513" s="56"/>
      <c r="K2513" s="82" t="str">
        <f t="shared" si="774"/>
        <v>Invoice</v>
      </c>
      <c r="L2513" s="83" t="str">
        <f>"SI_109733"</f>
        <v>SI_109733</v>
      </c>
      <c r="M2513" s="84">
        <v>42555</v>
      </c>
      <c r="N2513" s="85">
        <f t="shared" si="775"/>
        <v>1257</v>
      </c>
      <c r="O2513" s="86">
        <f t="shared" si="776"/>
        <v>13045.52</v>
      </c>
      <c r="P2513" s="86">
        <f t="shared" si="777"/>
        <v>0</v>
      </c>
      <c r="Q2513" s="86">
        <f t="shared" si="778"/>
        <v>0</v>
      </c>
      <c r="R2513" s="86">
        <f t="shared" si="779"/>
        <v>0</v>
      </c>
      <c r="S2513" s="86">
        <f t="shared" si="780"/>
        <v>0</v>
      </c>
      <c r="T2513" s="86">
        <f t="shared" si="781"/>
        <v>13045.52</v>
      </c>
      <c r="U2513" s="87">
        <v>13045.52</v>
      </c>
    </row>
    <row r="2514" spans="1:21" s="30" customFormat="1" ht="24.6" hidden="1" outlineLevel="1" x14ac:dyDescent="0.55000000000000004">
      <c r="A2514" s="27" t="s">
        <v>327</v>
      </c>
      <c r="B2514" s="28"/>
      <c r="C2514" s="27"/>
      <c r="D2514" s="27" t="str">
        <f>"""NAV Direct"",""CRONUS JetCorp USA"",""21"",""1"",""314020"""</f>
        <v>"NAV Direct","CRONUS JetCorp USA","21","1","314020"</v>
      </c>
      <c r="E2514" s="31" t="str">
        <f t="shared" si="773"/>
        <v>C100083</v>
      </c>
      <c r="F2514" s="31"/>
      <c r="G2514" s="31"/>
      <c r="H2514" s="31"/>
      <c r="I2514" s="56"/>
      <c r="J2514" s="56"/>
      <c r="K2514" s="82" t="str">
        <f t="shared" si="774"/>
        <v>Invoice</v>
      </c>
      <c r="L2514" s="83" t="str">
        <f>"SI_109734"</f>
        <v>SI_109734</v>
      </c>
      <c r="M2514" s="84">
        <v>42544</v>
      </c>
      <c r="N2514" s="85">
        <f t="shared" si="775"/>
        <v>1268</v>
      </c>
      <c r="O2514" s="86">
        <f t="shared" si="776"/>
        <v>12912.35</v>
      </c>
      <c r="P2514" s="86">
        <f t="shared" si="777"/>
        <v>0</v>
      </c>
      <c r="Q2514" s="86">
        <f t="shared" si="778"/>
        <v>0</v>
      </c>
      <c r="R2514" s="86">
        <f t="shared" si="779"/>
        <v>0</v>
      </c>
      <c r="S2514" s="86">
        <f t="shared" si="780"/>
        <v>0</v>
      </c>
      <c r="T2514" s="86">
        <f t="shared" si="781"/>
        <v>12912.35</v>
      </c>
      <c r="U2514" s="87">
        <v>12912.35</v>
      </c>
    </row>
    <row r="2515" spans="1:21" s="30" customFormat="1" ht="24.6" hidden="1" outlineLevel="1" x14ac:dyDescent="0.55000000000000004">
      <c r="A2515" s="27" t="s">
        <v>327</v>
      </c>
      <c r="B2515" s="28"/>
      <c r="C2515" s="27"/>
      <c r="D2515" s="27" t="str">
        <f>"""NAV Direct"",""CRONUS JetCorp USA"",""21"",""1"",""314085"""</f>
        <v>"NAV Direct","CRONUS JetCorp USA","21","1","314085"</v>
      </c>
      <c r="E2515" s="31">
        <f t="shared" si="773"/>
        <v>0</v>
      </c>
      <c r="F2515" s="31"/>
      <c r="G2515" s="31"/>
      <c r="H2515" s="31"/>
      <c r="I2515" s="56"/>
      <c r="J2515" s="56"/>
      <c r="K2515" s="82" t="str">
        <f t="shared" si="774"/>
        <v>Invoice</v>
      </c>
      <c r="L2515" s="83" t="str">
        <f>"SI_109737"</f>
        <v>SI_109737</v>
      </c>
      <c r="M2515" s="84">
        <v>42575</v>
      </c>
      <c r="N2515" s="85">
        <f t="shared" si="775"/>
        <v>1237</v>
      </c>
      <c r="O2515" s="86">
        <f t="shared" si="776"/>
        <v>12658.789999999999</v>
      </c>
      <c r="P2515" s="86">
        <f t="shared" si="777"/>
        <v>0</v>
      </c>
      <c r="Q2515" s="86">
        <f t="shared" si="778"/>
        <v>0</v>
      </c>
      <c r="R2515" s="86">
        <f t="shared" si="779"/>
        <v>0</v>
      </c>
      <c r="S2515" s="86">
        <f t="shared" si="780"/>
        <v>0</v>
      </c>
      <c r="T2515" s="86">
        <f t="shared" si="781"/>
        <v>12658.789999999999</v>
      </c>
      <c r="U2515" s="87">
        <v>12658.789999999999</v>
      </c>
    </row>
    <row r="2516" spans="1:21" s="30" customFormat="1" ht="24.6" hidden="1" outlineLevel="1" x14ac:dyDescent="0.55000000000000004">
      <c r="A2516" s="27" t="s">
        <v>327</v>
      </c>
      <c r="B2516" s="28"/>
      <c r="C2516" s="27"/>
      <c r="D2516" s="27" t="str">
        <f>"""NAV Direct"",""CRONUS JetCorp USA"",""21"",""1"",""314183"""</f>
        <v>"NAV Direct","CRONUS JetCorp USA","21","1","314183"</v>
      </c>
      <c r="E2516" s="31" t="str">
        <f t="shared" si="773"/>
        <v>C100083</v>
      </c>
      <c r="F2516" s="31"/>
      <c r="G2516" s="31"/>
      <c r="H2516" s="31"/>
      <c r="I2516" s="56"/>
      <c r="J2516" s="56"/>
      <c r="K2516" s="82" t="str">
        <f t="shared" si="774"/>
        <v>Invoice</v>
      </c>
      <c r="L2516" s="83" t="str">
        <f>"SI_109741"</f>
        <v>SI_109741</v>
      </c>
      <c r="M2516" s="84">
        <v>42600</v>
      </c>
      <c r="N2516" s="85">
        <f t="shared" si="775"/>
        <v>1212</v>
      </c>
      <c r="O2516" s="86">
        <f t="shared" si="776"/>
        <v>12856.93</v>
      </c>
      <c r="P2516" s="86">
        <f t="shared" si="777"/>
        <v>0</v>
      </c>
      <c r="Q2516" s="86">
        <f t="shared" si="778"/>
        <v>0</v>
      </c>
      <c r="R2516" s="86">
        <f t="shared" si="779"/>
        <v>0</v>
      </c>
      <c r="S2516" s="86">
        <f t="shared" si="780"/>
        <v>0</v>
      </c>
      <c r="T2516" s="86">
        <f t="shared" si="781"/>
        <v>12856.93</v>
      </c>
      <c r="U2516" s="87">
        <v>12856.93</v>
      </c>
    </row>
    <row r="2517" spans="1:21" s="30" customFormat="1" ht="24.6" hidden="1" outlineLevel="1" x14ac:dyDescent="0.55000000000000004">
      <c r="A2517" s="27" t="s">
        <v>327</v>
      </c>
      <c r="B2517" s="28"/>
      <c r="C2517" s="27"/>
      <c r="D2517" s="27" t="str">
        <f>"""NAV Direct"",""CRONUS JetCorp USA"",""21"",""1"",""314283"""</f>
        <v>"NAV Direct","CRONUS JetCorp USA","21","1","314283"</v>
      </c>
      <c r="E2517" s="31">
        <f t="shared" si="773"/>
        <v>0</v>
      </c>
      <c r="F2517" s="31"/>
      <c r="G2517" s="31"/>
      <c r="H2517" s="31"/>
      <c r="I2517" s="56"/>
      <c r="J2517" s="56"/>
      <c r="K2517" s="82" t="str">
        <f t="shared" si="774"/>
        <v>Invoice</v>
      </c>
      <c r="L2517" s="83" t="str">
        <f>"SI_109745"</f>
        <v>SI_109745</v>
      </c>
      <c r="M2517" s="84">
        <v>42610</v>
      </c>
      <c r="N2517" s="85">
        <f t="shared" si="775"/>
        <v>1202</v>
      </c>
      <c r="O2517" s="86">
        <f t="shared" si="776"/>
        <v>12721.939999999999</v>
      </c>
      <c r="P2517" s="86">
        <f t="shared" si="777"/>
        <v>0</v>
      </c>
      <c r="Q2517" s="86">
        <f t="shared" si="778"/>
        <v>0</v>
      </c>
      <c r="R2517" s="86">
        <f t="shared" si="779"/>
        <v>0</v>
      </c>
      <c r="S2517" s="86">
        <f t="shared" si="780"/>
        <v>0</v>
      </c>
      <c r="T2517" s="86">
        <f t="shared" si="781"/>
        <v>12721.939999999999</v>
      </c>
      <c r="U2517" s="87">
        <v>12721.939999999999</v>
      </c>
    </row>
    <row r="2518" spans="1:21" s="30" customFormat="1" ht="24.6" hidden="1" outlineLevel="1" x14ac:dyDescent="0.55000000000000004">
      <c r="A2518" s="27" t="s">
        <v>327</v>
      </c>
      <c r="B2518" s="28"/>
      <c r="C2518" s="27"/>
      <c r="D2518" s="27" t="str">
        <f>"""NAV Direct"",""CRONUS JetCorp USA"",""21"",""1"",""314304"""</f>
        <v>"NAV Direct","CRONUS JetCorp USA","21","1","314304"</v>
      </c>
      <c r="E2518" s="31" t="str">
        <f t="shared" si="773"/>
        <v>C100083</v>
      </c>
      <c r="F2518" s="31"/>
      <c r="G2518" s="31"/>
      <c r="H2518" s="31"/>
      <c r="I2518" s="56"/>
      <c r="J2518" s="56"/>
      <c r="K2518" s="82" t="str">
        <f t="shared" si="774"/>
        <v>Invoice</v>
      </c>
      <c r="L2518" s="83" t="str">
        <f>"SI_109746"</f>
        <v>SI_109746</v>
      </c>
      <c r="M2518" s="84">
        <v>42607</v>
      </c>
      <c r="N2518" s="85">
        <f t="shared" si="775"/>
        <v>1205</v>
      </c>
      <c r="O2518" s="86">
        <f t="shared" si="776"/>
        <v>12991.130000000001</v>
      </c>
      <c r="P2518" s="86">
        <f t="shared" si="777"/>
        <v>0</v>
      </c>
      <c r="Q2518" s="86">
        <f t="shared" si="778"/>
        <v>0</v>
      </c>
      <c r="R2518" s="86">
        <f t="shared" si="779"/>
        <v>0</v>
      </c>
      <c r="S2518" s="86">
        <f t="shared" si="780"/>
        <v>0</v>
      </c>
      <c r="T2518" s="86">
        <f t="shared" si="781"/>
        <v>12991.130000000001</v>
      </c>
      <c r="U2518" s="87">
        <v>12991.130000000001</v>
      </c>
    </row>
    <row r="2519" spans="1:21" s="30" customFormat="1" ht="24.6" hidden="1" outlineLevel="1" x14ac:dyDescent="0.55000000000000004">
      <c r="A2519" s="27" t="s">
        <v>327</v>
      </c>
      <c r="B2519" s="28"/>
      <c r="C2519" s="27"/>
      <c r="D2519" s="27" t="str">
        <f>"""NAV Direct"",""CRONUS JetCorp USA"",""21"",""1"",""314472"""</f>
        <v>"NAV Direct","CRONUS JetCorp USA","21","1","314472"</v>
      </c>
      <c r="E2519" s="31">
        <f t="shared" si="773"/>
        <v>0</v>
      </c>
      <c r="F2519" s="31"/>
      <c r="G2519" s="31"/>
      <c r="H2519" s="31"/>
      <c r="I2519" s="56"/>
      <c r="J2519" s="56"/>
      <c r="K2519" s="82" t="str">
        <f t="shared" si="774"/>
        <v>Invoice</v>
      </c>
      <c r="L2519" s="83" t="str">
        <f>"SI_109752"</f>
        <v>SI_109752</v>
      </c>
      <c r="M2519" s="84">
        <v>42661</v>
      </c>
      <c r="N2519" s="85">
        <f t="shared" si="775"/>
        <v>1151</v>
      </c>
      <c r="O2519" s="86">
        <f t="shared" si="776"/>
        <v>13055.23</v>
      </c>
      <c r="P2519" s="86">
        <f t="shared" si="777"/>
        <v>0</v>
      </c>
      <c r="Q2519" s="86">
        <f t="shared" si="778"/>
        <v>0</v>
      </c>
      <c r="R2519" s="86">
        <f t="shared" si="779"/>
        <v>0</v>
      </c>
      <c r="S2519" s="86">
        <f t="shared" si="780"/>
        <v>0</v>
      </c>
      <c r="T2519" s="86">
        <f t="shared" si="781"/>
        <v>13055.23</v>
      </c>
      <c r="U2519" s="87">
        <v>13055.23</v>
      </c>
    </row>
    <row r="2520" spans="1:21" s="30" customFormat="1" ht="24.6" hidden="1" outlineLevel="1" x14ac:dyDescent="0.55000000000000004">
      <c r="A2520" s="27" t="s">
        <v>327</v>
      </c>
      <c r="B2520" s="28"/>
      <c r="C2520" s="27"/>
      <c r="D2520" s="27" t="str">
        <f>"""NAV Direct"",""CRONUS JetCorp USA"",""21"",""1"",""314514"""</f>
        <v>"NAV Direct","CRONUS JetCorp USA","21","1","314514"</v>
      </c>
      <c r="E2520" s="31" t="str">
        <f t="shared" si="773"/>
        <v>C100083</v>
      </c>
      <c r="F2520" s="31"/>
      <c r="G2520" s="31"/>
      <c r="H2520" s="31"/>
      <c r="I2520" s="56"/>
      <c r="J2520" s="56"/>
      <c r="K2520" s="82" t="str">
        <f t="shared" si="774"/>
        <v>Invoice</v>
      </c>
      <c r="L2520" s="83" t="str">
        <f>"SI_109754"</f>
        <v>SI_109754</v>
      </c>
      <c r="M2520" s="84">
        <v>42666</v>
      </c>
      <c r="N2520" s="85">
        <f t="shared" si="775"/>
        <v>1146</v>
      </c>
      <c r="O2520" s="86">
        <f t="shared" si="776"/>
        <v>13189.7</v>
      </c>
      <c r="P2520" s="86">
        <f t="shared" si="777"/>
        <v>0</v>
      </c>
      <c r="Q2520" s="86">
        <f t="shared" si="778"/>
        <v>0</v>
      </c>
      <c r="R2520" s="86">
        <f t="shared" si="779"/>
        <v>0</v>
      </c>
      <c r="S2520" s="86">
        <f t="shared" si="780"/>
        <v>0</v>
      </c>
      <c r="T2520" s="86">
        <f t="shared" si="781"/>
        <v>13189.7</v>
      </c>
      <c r="U2520" s="87">
        <v>13189.7</v>
      </c>
    </row>
    <row r="2521" spans="1:21" s="30" customFormat="1" ht="24.6" hidden="1" outlineLevel="1" x14ac:dyDescent="0.55000000000000004">
      <c r="A2521" s="27" t="s">
        <v>327</v>
      </c>
      <c r="B2521" s="28"/>
      <c r="C2521" s="27"/>
      <c r="D2521" s="27" t="str">
        <f>"""NAV Direct"",""CRONUS JetCorp USA"",""21"",""1"",""314539"""</f>
        <v>"NAV Direct","CRONUS JetCorp USA","21","1","314539"</v>
      </c>
      <c r="E2521" s="31">
        <f t="shared" si="773"/>
        <v>0</v>
      </c>
      <c r="F2521" s="31"/>
      <c r="G2521" s="31"/>
      <c r="H2521" s="31"/>
      <c r="I2521" s="56"/>
      <c r="J2521" s="56"/>
      <c r="K2521" s="82" t="str">
        <f t="shared" si="774"/>
        <v>Invoice</v>
      </c>
      <c r="L2521" s="83" t="str">
        <f>"SI_109755"</f>
        <v>SI_109755</v>
      </c>
      <c r="M2521" s="84">
        <v>42671</v>
      </c>
      <c r="N2521" s="85">
        <f t="shared" si="775"/>
        <v>1141</v>
      </c>
      <c r="O2521" s="86">
        <f t="shared" si="776"/>
        <v>12786.25</v>
      </c>
      <c r="P2521" s="86">
        <f t="shared" si="777"/>
        <v>0</v>
      </c>
      <c r="Q2521" s="86">
        <f t="shared" si="778"/>
        <v>0</v>
      </c>
      <c r="R2521" s="86">
        <f t="shared" si="779"/>
        <v>0</v>
      </c>
      <c r="S2521" s="86">
        <f t="shared" si="780"/>
        <v>0</v>
      </c>
      <c r="T2521" s="86">
        <f t="shared" si="781"/>
        <v>12786.25</v>
      </c>
      <c r="U2521" s="87">
        <v>12786.25</v>
      </c>
    </row>
    <row r="2522" spans="1:21" s="30" customFormat="1" ht="24.6" hidden="1" outlineLevel="1" x14ac:dyDescent="0.55000000000000004">
      <c r="A2522" s="27" t="s">
        <v>327</v>
      </c>
      <c r="B2522" s="28"/>
      <c r="C2522" s="27"/>
      <c r="D2522" s="27" t="str">
        <f>"""NAV Direct"",""CRONUS JetCorp USA"",""21"",""1"",""314697"""</f>
        <v>"NAV Direct","CRONUS JetCorp USA","21","1","314697"</v>
      </c>
      <c r="E2522" s="31" t="str">
        <f t="shared" si="773"/>
        <v>C100083</v>
      </c>
      <c r="F2522" s="31"/>
      <c r="G2522" s="31"/>
      <c r="H2522" s="31"/>
      <c r="I2522" s="56"/>
      <c r="J2522" s="56"/>
      <c r="K2522" s="82" t="str">
        <f t="shared" si="774"/>
        <v>Invoice</v>
      </c>
      <c r="L2522" s="83" t="str">
        <f>"SI_109761"</f>
        <v>SI_109761</v>
      </c>
      <c r="M2522" s="84">
        <v>42710</v>
      </c>
      <c r="N2522" s="85">
        <f t="shared" si="775"/>
        <v>1102</v>
      </c>
      <c r="O2522" s="86">
        <f t="shared" si="776"/>
        <v>13152.070000000002</v>
      </c>
      <c r="P2522" s="86">
        <f t="shared" si="777"/>
        <v>0</v>
      </c>
      <c r="Q2522" s="86">
        <f t="shared" si="778"/>
        <v>0</v>
      </c>
      <c r="R2522" s="86">
        <f t="shared" si="779"/>
        <v>0</v>
      </c>
      <c r="S2522" s="86">
        <f t="shared" si="780"/>
        <v>0</v>
      </c>
      <c r="T2522" s="86">
        <f t="shared" si="781"/>
        <v>13152.070000000002</v>
      </c>
      <c r="U2522" s="87">
        <v>13152.070000000002</v>
      </c>
    </row>
    <row r="2523" spans="1:21" s="30" customFormat="1" ht="24.6" hidden="1" outlineLevel="1" x14ac:dyDescent="0.55000000000000004">
      <c r="A2523" s="27" t="s">
        <v>327</v>
      </c>
      <c r="B2523" s="28"/>
      <c r="C2523" s="27"/>
      <c r="D2523" s="27" t="str">
        <f>"""NAV Direct"",""CRONUS JetCorp USA"",""21"",""1"",""314720"""</f>
        <v>"NAV Direct","CRONUS JetCorp USA","21","1","314720"</v>
      </c>
      <c r="E2523" s="31">
        <f t="shared" si="773"/>
        <v>0</v>
      </c>
      <c r="F2523" s="31"/>
      <c r="G2523" s="31"/>
      <c r="H2523" s="31"/>
      <c r="I2523" s="56"/>
      <c r="J2523" s="56"/>
      <c r="K2523" s="82" t="str">
        <f t="shared" si="774"/>
        <v>Invoice</v>
      </c>
      <c r="L2523" s="83" t="str">
        <f>"SI_109762"</f>
        <v>SI_109762</v>
      </c>
      <c r="M2523" s="84">
        <v>42721</v>
      </c>
      <c r="N2523" s="85">
        <f t="shared" si="775"/>
        <v>1091</v>
      </c>
      <c r="O2523" s="86">
        <f t="shared" si="776"/>
        <v>13427.13</v>
      </c>
      <c r="P2523" s="86">
        <f t="shared" si="777"/>
        <v>0</v>
      </c>
      <c r="Q2523" s="86">
        <f t="shared" si="778"/>
        <v>0</v>
      </c>
      <c r="R2523" s="86">
        <f t="shared" si="779"/>
        <v>0</v>
      </c>
      <c r="S2523" s="86">
        <f t="shared" si="780"/>
        <v>0</v>
      </c>
      <c r="T2523" s="86">
        <f t="shared" si="781"/>
        <v>13427.13</v>
      </c>
      <c r="U2523" s="87">
        <v>13427.13</v>
      </c>
    </row>
    <row r="2524" spans="1:21" s="30" customFormat="1" ht="24.6" hidden="1" outlineLevel="1" x14ac:dyDescent="0.55000000000000004">
      <c r="A2524" s="27" t="s">
        <v>327</v>
      </c>
      <c r="B2524" s="28"/>
      <c r="C2524" s="27"/>
      <c r="D2524" s="27" t="str">
        <f>"""NAV Direct"",""CRONUS JetCorp USA"",""21"",""1"",""314735"""</f>
        <v>"NAV Direct","CRONUS JetCorp USA","21","1","314735"</v>
      </c>
      <c r="E2524" s="31" t="str">
        <f t="shared" si="773"/>
        <v>C100083</v>
      </c>
      <c r="F2524" s="31"/>
      <c r="G2524" s="31"/>
      <c r="H2524" s="31"/>
      <c r="I2524" s="56"/>
      <c r="J2524" s="56"/>
      <c r="K2524" s="82" t="str">
        <f t="shared" si="774"/>
        <v>Invoice</v>
      </c>
      <c r="L2524" s="83" t="str">
        <f>"SI_109763"</f>
        <v>SI_109763</v>
      </c>
      <c r="M2524" s="84">
        <v>42721</v>
      </c>
      <c r="N2524" s="85">
        <f t="shared" si="775"/>
        <v>1091</v>
      </c>
      <c r="O2524" s="86">
        <f t="shared" si="776"/>
        <v>13628.49</v>
      </c>
      <c r="P2524" s="86">
        <f t="shared" si="777"/>
        <v>0</v>
      </c>
      <c r="Q2524" s="86">
        <f t="shared" si="778"/>
        <v>0</v>
      </c>
      <c r="R2524" s="86">
        <f t="shared" si="779"/>
        <v>0</v>
      </c>
      <c r="S2524" s="86">
        <f t="shared" si="780"/>
        <v>0</v>
      </c>
      <c r="T2524" s="86">
        <f t="shared" si="781"/>
        <v>13628.49</v>
      </c>
      <c r="U2524" s="87">
        <v>13628.49</v>
      </c>
    </row>
    <row r="2525" spans="1:21" s="30" customFormat="1" ht="24.6" hidden="1" outlineLevel="1" x14ac:dyDescent="0.55000000000000004">
      <c r="A2525" s="27" t="s">
        <v>327</v>
      </c>
      <c r="B2525" s="28"/>
      <c r="C2525" s="27"/>
      <c r="D2525" s="27" t="str">
        <f>"""NAV Direct"",""CRONUS JetCorp USA"",""21"",""1"",""314764"""</f>
        <v>"NAV Direct","CRONUS JetCorp USA","21","1","314764"</v>
      </c>
      <c r="E2525" s="31">
        <f t="shared" si="773"/>
        <v>0</v>
      </c>
      <c r="F2525" s="31"/>
      <c r="G2525" s="31"/>
      <c r="H2525" s="31"/>
      <c r="I2525" s="56"/>
      <c r="J2525" s="56"/>
      <c r="K2525" s="82" t="str">
        <f t="shared" si="774"/>
        <v>Invoice</v>
      </c>
      <c r="L2525" s="83" t="str">
        <f>"SI_109764"</f>
        <v>SI_109764</v>
      </c>
      <c r="M2525" s="84">
        <v>42734</v>
      </c>
      <c r="N2525" s="85">
        <f t="shared" si="775"/>
        <v>1078</v>
      </c>
      <c r="O2525" s="86">
        <f t="shared" si="776"/>
        <v>13628.49</v>
      </c>
      <c r="P2525" s="86">
        <f t="shared" si="777"/>
        <v>0</v>
      </c>
      <c r="Q2525" s="86">
        <f t="shared" si="778"/>
        <v>0</v>
      </c>
      <c r="R2525" s="86">
        <f t="shared" si="779"/>
        <v>0</v>
      </c>
      <c r="S2525" s="86">
        <f t="shared" si="780"/>
        <v>0</v>
      </c>
      <c r="T2525" s="86">
        <f t="shared" si="781"/>
        <v>13628.49</v>
      </c>
      <c r="U2525" s="87">
        <v>13628.49</v>
      </c>
    </row>
    <row r="2526" spans="1:21" s="30" customFormat="1" ht="24.6" hidden="1" outlineLevel="1" x14ac:dyDescent="0.55000000000000004">
      <c r="A2526" s="27" t="s">
        <v>327</v>
      </c>
      <c r="B2526" s="28"/>
      <c r="C2526" s="27"/>
      <c r="D2526" s="27" t="str">
        <f>"""NAV Direct"",""CRONUS JetCorp USA"",""21"",""1"",""314862"""</f>
        <v>"NAV Direct","CRONUS JetCorp USA","21","1","314862"</v>
      </c>
      <c r="E2526" s="31" t="str">
        <f t="shared" si="773"/>
        <v>C100083</v>
      </c>
      <c r="F2526" s="31"/>
      <c r="G2526" s="31"/>
      <c r="H2526" s="31"/>
      <c r="I2526" s="56"/>
      <c r="J2526" s="56"/>
      <c r="K2526" s="82" t="str">
        <f t="shared" si="774"/>
        <v>Invoice</v>
      </c>
      <c r="L2526" s="83" t="str">
        <f>"SI_109768"</f>
        <v>SI_109768</v>
      </c>
      <c r="M2526" s="84">
        <v>42754</v>
      </c>
      <c r="N2526" s="85">
        <f t="shared" si="775"/>
        <v>1058</v>
      </c>
      <c r="O2526" s="86">
        <f t="shared" si="776"/>
        <v>13377.85</v>
      </c>
      <c r="P2526" s="86">
        <f t="shared" si="777"/>
        <v>0</v>
      </c>
      <c r="Q2526" s="86">
        <f t="shared" si="778"/>
        <v>0</v>
      </c>
      <c r="R2526" s="86">
        <f t="shared" si="779"/>
        <v>0</v>
      </c>
      <c r="S2526" s="86">
        <f t="shared" si="780"/>
        <v>0</v>
      </c>
      <c r="T2526" s="86">
        <f t="shared" si="781"/>
        <v>13377.85</v>
      </c>
      <c r="U2526" s="87">
        <v>13377.85</v>
      </c>
    </row>
    <row r="2527" spans="1:21" s="30" customFormat="1" ht="24.6" hidden="1" outlineLevel="1" x14ac:dyDescent="0.55000000000000004">
      <c r="A2527" s="27" t="s">
        <v>327</v>
      </c>
      <c r="B2527" s="28"/>
      <c r="C2527" s="27"/>
      <c r="D2527" s="27" t="str">
        <f>"""NAV Direct"",""CRONUS JetCorp USA"",""21"",""1"",""314885"""</f>
        <v>"NAV Direct","CRONUS JetCorp USA","21","1","314885"</v>
      </c>
      <c r="E2527" s="31">
        <f t="shared" si="773"/>
        <v>0</v>
      </c>
      <c r="F2527" s="31"/>
      <c r="G2527" s="31"/>
      <c r="H2527" s="31"/>
      <c r="I2527" s="56"/>
      <c r="J2527" s="56"/>
      <c r="K2527" s="82" t="str">
        <f t="shared" si="774"/>
        <v>Invoice</v>
      </c>
      <c r="L2527" s="83" t="str">
        <f>"SI_109769"</f>
        <v>SI_109769</v>
      </c>
      <c r="M2527" s="84">
        <v>42768</v>
      </c>
      <c r="N2527" s="85">
        <f t="shared" si="775"/>
        <v>1044</v>
      </c>
      <c r="O2527" s="86">
        <f t="shared" si="776"/>
        <v>13516.67</v>
      </c>
      <c r="P2527" s="86">
        <f t="shared" si="777"/>
        <v>0</v>
      </c>
      <c r="Q2527" s="86">
        <f t="shared" si="778"/>
        <v>0</v>
      </c>
      <c r="R2527" s="86">
        <f t="shared" si="779"/>
        <v>0</v>
      </c>
      <c r="S2527" s="86">
        <f t="shared" si="780"/>
        <v>0</v>
      </c>
      <c r="T2527" s="86">
        <f t="shared" si="781"/>
        <v>13516.67</v>
      </c>
      <c r="U2527" s="87">
        <v>13516.67</v>
      </c>
    </row>
    <row r="2528" spans="1:21" s="30" customFormat="1" ht="24.6" hidden="1" outlineLevel="1" x14ac:dyDescent="0.55000000000000004">
      <c r="A2528" s="27" t="s">
        <v>327</v>
      </c>
      <c r="B2528" s="28"/>
      <c r="C2528" s="27"/>
      <c r="D2528" s="27" t="str">
        <f>"""NAV Direct"",""CRONUS JetCorp USA"",""21"",""1"",""315101"""</f>
        <v>"NAV Direct","CRONUS JetCorp USA","21","1","315101"</v>
      </c>
      <c r="E2528" s="31" t="str">
        <f t="shared" si="773"/>
        <v>C100083</v>
      </c>
      <c r="F2528" s="31"/>
      <c r="G2528" s="31"/>
      <c r="H2528" s="31"/>
      <c r="I2528" s="56"/>
      <c r="J2528" s="56"/>
      <c r="K2528" s="82" t="str">
        <f t="shared" si="774"/>
        <v>Invoice</v>
      </c>
      <c r="L2528" s="83" t="str">
        <f>"SI_109777"</f>
        <v>SI_109777</v>
      </c>
      <c r="M2528" s="84">
        <v>42822</v>
      </c>
      <c r="N2528" s="85">
        <f t="shared" si="775"/>
        <v>990</v>
      </c>
      <c r="O2528" s="86">
        <f t="shared" si="776"/>
        <v>14122.91</v>
      </c>
      <c r="P2528" s="86">
        <f t="shared" si="777"/>
        <v>0</v>
      </c>
      <c r="Q2528" s="86">
        <f t="shared" si="778"/>
        <v>0</v>
      </c>
      <c r="R2528" s="86">
        <f t="shared" si="779"/>
        <v>0</v>
      </c>
      <c r="S2528" s="86">
        <f t="shared" si="780"/>
        <v>0</v>
      </c>
      <c r="T2528" s="86">
        <f t="shared" si="781"/>
        <v>14122.91</v>
      </c>
      <c r="U2528" s="87">
        <v>14122.91</v>
      </c>
    </row>
    <row r="2529" spans="1:21" s="30" customFormat="1" ht="24.6" hidden="1" outlineLevel="1" x14ac:dyDescent="0.55000000000000004">
      <c r="A2529" s="27" t="s">
        <v>327</v>
      </c>
      <c r="B2529" s="28"/>
      <c r="C2529" s="27"/>
      <c r="D2529" s="27" t="str">
        <f>"""NAV Direct"",""CRONUS JetCorp USA"",""21"",""1"",""315126"""</f>
        <v>"NAV Direct","CRONUS JetCorp USA","21","1","315126"</v>
      </c>
      <c r="E2529" s="31">
        <f t="shared" si="773"/>
        <v>0</v>
      </c>
      <c r="F2529" s="31"/>
      <c r="G2529" s="31"/>
      <c r="H2529" s="31"/>
      <c r="I2529" s="56"/>
      <c r="J2529" s="56"/>
      <c r="K2529" s="82" t="str">
        <f t="shared" si="774"/>
        <v>Invoice</v>
      </c>
      <c r="L2529" s="83" t="str">
        <f>"SI_109778"</f>
        <v>SI_109778</v>
      </c>
      <c r="M2529" s="84">
        <v>42827</v>
      </c>
      <c r="N2529" s="85">
        <f t="shared" si="775"/>
        <v>985</v>
      </c>
      <c r="O2529" s="86">
        <f t="shared" si="776"/>
        <v>14417.689999999999</v>
      </c>
      <c r="P2529" s="86">
        <f t="shared" si="777"/>
        <v>0</v>
      </c>
      <c r="Q2529" s="86">
        <f t="shared" si="778"/>
        <v>0</v>
      </c>
      <c r="R2529" s="86">
        <f t="shared" si="779"/>
        <v>0</v>
      </c>
      <c r="S2529" s="86">
        <f t="shared" si="780"/>
        <v>0</v>
      </c>
      <c r="T2529" s="86">
        <f t="shared" si="781"/>
        <v>14417.689999999999</v>
      </c>
      <c r="U2529" s="87">
        <v>14417.689999999999</v>
      </c>
    </row>
    <row r="2530" spans="1:21" s="30" customFormat="1" ht="24.6" hidden="1" outlineLevel="1" x14ac:dyDescent="0.55000000000000004">
      <c r="A2530" s="27" t="s">
        <v>327</v>
      </c>
      <c r="B2530" s="28"/>
      <c r="C2530" s="27"/>
      <c r="D2530" s="27" t="str">
        <f>"""NAV Direct"",""CRONUS JetCorp USA"",""21"",""1"",""315149"""</f>
        <v>"NAV Direct","CRONUS JetCorp USA","21","1","315149"</v>
      </c>
      <c r="E2530" s="31" t="str">
        <f t="shared" si="773"/>
        <v>C100083</v>
      </c>
      <c r="F2530" s="31"/>
      <c r="G2530" s="31"/>
      <c r="H2530" s="31"/>
      <c r="I2530" s="56"/>
      <c r="J2530" s="56"/>
      <c r="K2530" s="82" t="str">
        <f t="shared" si="774"/>
        <v>Invoice</v>
      </c>
      <c r="L2530" s="83" t="str">
        <f>"SI_109779"</f>
        <v>SI_109779</v>
      </c>
      <c r="M2530" s="84">
        <v>42851</v>
      </c>
      <c r="N2530" s="85">
        <f t="shared" si="775"/>
        <v>961</v>
      </c>
      <c r="O2530" s="86">
        <f t="shared" si="776"/>
        <v>14250.189999999999</v>
      </c>
      <c r="P2530" s="86">
        <f t="shared" si="777"/>
        <v>0</v>
      </c>
      <c r="Q2530" s="86">
        <f t="shared" si="778"/>
        <v>0</v>
      </c>
      <c r="R2530" s="86">
        <f t="shared" si="779"/>
        <v>0</v>
      </c>
      <c r="S2530" s="86">
        <f t="shared" si="780"/>
        <v>0</v>
      </c>
      <c r="T2530" s="86">
        <f t="shared" si="781"/>
        <v>14250.189999999999</v>
      </c>
      <c r="U2530" s="87">
        <v>14250.189999999999</v>
      </c>
    </row>
    <row r="2531" spans="1:21" s="30" customFormat="1" ht="24.6" hidden="1" outlineLevel="1" x14ac:dyDescent="0.55000000000000004">
      <c r="A2531" s="27" t="s">
        <v>327</v>
      </c>
      <c r="B2531" s="28"/>
      <c r="C2531" s="27"/>
      <c r="D2531" s="27" t="str">
        <f>"""NAV Direct"",""CRONUS JetCorp USA"",""21"",""1"",""315180"""</f>
        <v>"NAV Direct","CRONUS JetCorp USA","21","1","315180"</v>
      </c>
      <c r="E2531" s="31">
        <f t="shared" si="773"/>
        <v>0</v>
      </c>
      <c r="F2531" s="31"/>
      <c r="G2531" s="31"/>
      <c r="H2531" s="31"/>
      <c r="I2531" s="56"/>
      <c r="J2531" s="56"/>
      <c r="K2531" s="82" t="str">
        <f t="shared" si="774"/>
        <v>Invoice</v>
      </c>
      <c r="L2531" s="83" t="str">
        <f>"SI_109780"</f>
        <v>SI_109780</v>
      </c>
      <c r="M2531" s="84">
        <v>42848</v>
      </c>
      <c r="N2531" s="85">
        <f t="shared" si="775"/>
        <v>964</v>
      </c>
      <c r="O2531" s="86">
        <f t="shared" si="776"/>
        <v>14547.65</v>
      </c>
      <c r="P2531" s="86">
        <f t="shared" si="777"/>
        <v>0</v>
      </c>
      <c r="Q2531" s="86">
        <f t="shared" si="778"/>
        <v>0</v>
      </c>
      <c r="R2531" s="86">
        <f t="shared" si="779"/>
        <v>0</v>
      </c>
      <c r="S2531" s="86">
        <f t="shared" si="780"/>
        <v>0</v>
      </c>
      <c r="T2531" s="86">
        <f t="shared" si="781"/>
        <v>14547.65</v>
      </c>
      <c r="U2531" s="87">
        <v>14547.65</v>
      </c>
    </row>
    <row r="2532" spans="1:21" s="30" customFormat="1" ht="24.6" hidden="1" outlineLevel="1" x14ac:dyDescent="0.55000000000000004">
      <c r="A2532" s="27" t="s">
        <v>327</v>
      </c>
      <c r="B2532" s="28"/>
      <c r="C2532" s="27"/>
      <c r="D2532" s="27" t="str">
        <f>"""NAV Direct"",""CRONUS JetCorp USA"",""21"",""1"",""315209"""</f>
        <v>"NAV Direct","CRONUS JetCorp USA","21","1","315209"</v>
      </c>
      <c r="E2532" s="31" t="str">
        <f t="shared" ref="E2532:E2563" si="782">E2530</f>
        <v>C100083</v>
      </c>
      <c r="F2532" s="31"/>
      <c r="G2532" s="31"/>
      <c r="H2532" s="31"/>
      <c r="I2532" s="56"/>
      <c r="J2532" s="56"/>
      <c r="K2532" s="82" t="str">
        <f t="shared" ref="K2532:K2563" si="783">"Invoice"</f>
        <v>Invoice</v>
      </c>
      <c r="L2532" s="83" t="str">
        <f>"SI_109781"</f>
        <v>SI_109781</v>
      </c>
      <c r="M2532" s="84">
        <v>42852</v>
      </c>
      <c r="N2532" s="85">
        <f t="shared" ref="N2532:N2563" si="784">StartDate-$M2532+1</f>
        <v>960</v>
      </c>
      <c r="O2532" s="86">
        <f t="shared" ref="O2532:O2563" si="785">SUM(P2532:T2532)</f>
        <v>14546.420000000002</v>
      </c>
      <c r="P2532" s="86">
        <f t="shared" ref="P2532:P2563" si="786">IF($M2532&gt;=$P$18,U2532,0)</f>
        <v>0</v>
      </c>
      <c r="Q2532" s="86">
        <f t="shared" ref="Q2532:Q2563" si="787">IF(AND($M2532&gt;=$Q$16,$M2532&lt;=$Q$18),U2532,0)</f>
        <v>0</v>
      </c>
      <c r="R2532" s="86">
        <f t="shared" ref="R2532:R2563" si="788">IF(AND($M2532&gt;=$R$16,$M2532&lt;=$R$18),U2532,0)</f>
        <v>0</v>
      </c>
      <c r="S2532" s="86">
        <f t="shared" ref="S2532:S2563" si="789">IF(AND($M2532&gt;=$S$16,$M2532&lt;=$S$18),U2532,0)</f>
        <v>0</v>
      </c>
      <c r="T2532" s="86">
        <f t="shared" ref="T2532:T2563" si="790">IF($M2532&lt;=$T$18,U2532,0)</f>
        <v>14546.420000000002</v>
      </c>
      <c r="U2532" s="87">
        <v>14546.420000000002</v>
      </c>
    </row>
    <row r="2533" spans="1:21" s="30" customFormat="1" ht="24.6" hidden="1" outlineLevel="1" x14ac:dyDescent="0.55000000000000004">
      <c r="A2533" s="27" t="s">
        <v>327</v>
      </c>
      <c r="B2533" s="28"/>
      <c r="C2533" s="27"/>
      <c r="D2533" s="27" t="str">
        <f>"""NAV Direct"",""CRONUS JetCorp USA"",""21"",""1"",""315234"""</f>
        <v>"NAV Direct","CRONUS JetCorp USA","21","1","315234"</v>
      </c>
      <c r="E2533" s="31">
        <f t="shared" si="782"/>
        <v>0</v>
      </c>
      <c r="F2533" s="31"/>
      <c r="G2533" s="31"/>
      <c r="H2533" s="31"/>
      <c r="I2533" s="56"/>
      <c r="J2533" s="56"/>
      <c r="K2533" s="82" t="str">
        <f t="shared" si="783"/>
        <v>Invoice</v>
      </c>
      <c r="L2533" s="83" t="str">
        <f>"SI_109782"</f>
        <v>SI_109782</v>
      </c>
      <c r="M2533" s="84">
        <v>42876</v>
      </c>
      <c r="N2533" s="85">
        <f t="shared" si="784"/>
        <v>936</v>
      </c>
      <c r="O2533" s="86">
        <f t="shared" si="785"/>
        <v>14896.69</v>
      </c>
      <c r="P2533" s="86">
        <f t="shared" si="786"/>
        <v>0</v>
      </c>
      <c r="Q2533" s="86">
        <f t="shared" si="787"/>
        <v>0</v>
      </c>
      <c r="R2533" s="86">
        <f t="shared" si="788"/>
        <v>0</v>
      </c>
      <c r="S2533" s="86">
        <f t="shared" si="789"/>
        <v>0</v>
      </c>
      <c r="T2533" s="86">
        <f t="shared" si="790"/>
        <v>14896.69</v>
      </c>
      <c r="U2533" s="87">
        <v>14896.69</v>
      </c>
    </row>
    <row r="2534" spans="1:21" s="30" customFormat="1" ht="24.6" hidden="1" outlineLevel="1" x14ac:dyDescent="0.55000000000000004">
      <c r="A2534" s="27" t="s">
        <v>327</v>
      </c>
      <c r="B2534" s="28"/>
      <c r="C2534" s="27"/>
      <c r="D2534" s="27" t="str">
        <f>"""NAV Direct"",""CRONUS JetCorp USA"",""21"",""1"",""315292"""</f>
        <v>"NAV Direct","CRONUS JetCorp USA","21","1","315292"</v>
      </c>
      <c r="E2534" s="31" t="str">
        <f t="shared" si="782"/>
        <v>C100083</v>
      </c>
      <c r="F2534" s="31"/>
      <c r="G2534" s="31"/>
      <c r="H2534" s="31"/>
      <c r="I2534" s="56"/>
      <c r="J2534" s="56"/>
      <c r="K2534" s="82" t="str">
        <f t="shared" si="783"/>
        <v>Invoice</v>
      </c>
      <c r="L2534" s="83" t="str">
        <f>"SI_109784"</f>
        <v>SI_109784</v>
      </c>
      <c r="M2534" s="84">
        <v>42878</v>
      </c>
      <c r="N2534" s="85">
        <f t="shared" si="784"/>
        <v>934</v>
      </c>
      <c r="O2534" s="86">
        <f t="shared" si="785"/>
        <v>14592.86</v>
      </c>
      <c r="P2534" s="86">
        <f t="shared" si="786"/>
        <v>0</v>
      </c>
      <c r="Q2534" s="86">
        <f t="shared" si="787"/>
        <v>0</v>
      </c>
      <c r="R2534" s="86">
        <f t="shared" si="788"/>
        <v>0</v>
      </c>
      <c r="S2534" s="86">
        <f t="shared" si="789"/>
        <v>0</v>
      </c>
      <c r="T2534" s="86">
        <f t="shared" si="790"/>
        <v>14592.86</v>
      </c>
      <c r="U2534" s="87">
        <v>14592.86</v>
      </c>
    </row>
    <row r="2535" spans="1:21" s="30" customFormat="1" ht="24.6" hidden="1" outlineLevel="1" x14ac:dyDescent="0.55000000000000004">
      <c r="A2535" s="27" t="s">
        <v>327</v>
      </c>
      <c r="B2535" s="28"/>
      <c r="C2535" s="27"/>
      <c r="D2535" s="27" t="str">
        <f>"""NAV Direct"",""CRONUS JetCorp USA"",""21"",""1"",""315315"""</f>
        <v>"NAV Direct","CRONUS JetCorp USA","21","1","315315"</v>
      </c>
      <c r="E2535" s="31">
        <f t="shared" si="782"/>
        <v>0</v>
      </c>
      <c r="F2535" s="31"/>
      <c r="G2535" s="31"/>
      <c r="H2535" s="31"/>
      <c r="I2535" s="56"/>
      <c r="J2535" s="56"/>
      <c r="K2535" s="82" t="str">
        <f t="shared" si="783"/>
        <v>Invoice</v>
      </c>
      <c r="L2535" s="83" t="str">
        <f>"SI_109785"</f>
        <v>SI_109785</v>
      </c>
      <c r="M2535" s="84">
        <v>42878</v>
      </c>
      <c r="N2535" s="85">
        <f t="shared" si="784"/>
        <v>934</v>
      </c>
      <c r="O2535" s="86">
        <f t="shared" si="785"/>
        <v>14592.84</v>
      </c>
      <c r="P2535" s="86">
        <f t="shared" si="786"/>
        <v>0</v>
      </c>
      <c r="Q2535" s="86">
        <f t="shared" si="787"/>
        <v>0</v>
      </c>
      <c r="R2535" s="86">
        <f t="shared" si="788"/>
        <v>0</v>
      </c>
      <c r="S2535" s="86">
        <f t="shared" si="789"/>
        <v>0</v>
      </c>
      <c r="T2535" s="86">
        <f t="shared" si="790"/>
        <v>14592.84</v>
      </c>
      <c r="U2535" s="87">
        <v>14592.84</v>
      </c>
    </row>
    <row r="2536" spans="1:21" s="30" customFormat="1" ht="24.6" hidden="1" outlineLevel="1" x14ac:dyDescent="0.55000000000000004">
      <c r="A2536" s="27" t="s">
        <v>327</v>
      </c>
      <c r="B2536" s="28"/>
      <c r="C2536" s="27"/>
      <c r="D2536" s="27" t="str">
        <f>"""NAV Direct"",""CRONUS JetCorp USA"",""21"",""1"",""315340"""</f>
        <v>"NAV Direct","CRONUS JetCorp USA","21","1","315340"</v>
      </c>
      <c r="E2536" s="31" t="str">
        <f t="shared" si="782"/>
        <v>C100083</v>
      </c>
      <c r="F2536" s="31"/>
      <c r="G2536" s="31"/>
      <c r="H2536" s="31"/>
      <c r="I2536" s="56"/>
      <c r="J2536" s="56"/>
      <c r="K2536" s="82" t="str">
        <f t="shared" si="783"/>
        <v>Invoice</v>
      </c>
      <c r="L2536" s="83" t="str">
        <f>"SI_109786"</f>
        <v>SI_109786</v>
      </c>
      <c r="M2536" s="84">
        <v>42887</v>
      </c>
      <c r="N2536" s="85">
        <f t="shared" si="784"/>
        <v>925</v>
      </c>
      <c r="O2536" s="86">
        <f t="shared" si="785"/>
        <v>14896.84</v>
      </c>
      <c r="P2536" s="86">
        <f t="shared" si="786"/>
        <v>0</v>
      </c>
      <c r="Q2536" s="86">
        <f t="shared" si="787"/>
        <v>0</v>
      </c>
      <c r="R2536" s="86">
        <f t="shared" si="788"/>
        <v>0</v>
      </c>
      <c r="S2536" s="86">
        <f t="shared" si="789"/>
        <v>0</v>
      </c>
      <c r="T2536" s="86">
        <f t="shared" si="790"/>
        <v>14896.84</v>
      </c>
      <c r="U2536" s="87">
        <v>14896.84</v>
      </c>
    </row>
    <row r="2537" spans="1:21" s="30" customFormat="1" ht="24.6" hidden="1" outlineLevel="1" x14ac:dyDescent="0.55000000000000004">
      <c r="A2537" s="27" t="s">
        <v>327</v>
      </c>
      <c r="B2537" s="28"/>
      <c r="C2537" s="27"/>
      <c r="D2537" s="27" t="str">
        <f>"""NAV Direct"",""CRONUS JetCorp USA"",""21"",""1"",""315361"""</f>
        <v>"NAV Direct","CRONUS JetCorp USA","21","1","315361"</v>
      </c>
      <c r="E2537" s="31">
        <f t="shared" si="782"/>
        <v>0</v>
      </c>
      <c r="F2537" s="31"/>
      <c r="G2537" s="31"/>
      <c r="H2537" s="31"/>
      <c r="I2537" s="56"/>
      <c r="J2537" s="56"/>
      <c r="K2537" s="82" t="str">
        <f t="shared" si="783"/>
        <v>Invoice</v>
      </c>
      <c r="L2537" s="83" t="str">
        <f>"SI_109787"</f>
        <v>SI_109787</v>
      </c>
      <c r="M2537" s="84">
        <v>42904</v>
      </c>
      <c r="N2537" s="85">
        <f t="shared" si="784"/>
        <v>908</v>
      </c>
      <c r="O2537" s="86">
        <f t="shared" si="785"/>
        <v>13406.289999999999</v>
      </c>
      <c r="P2537" s="86">
        <f t="shared" si="786"/>
        <v>0</v>
      </c>
      <c r="Q2537" s="86">
        <f t="shared" si="787"/>
        <v>0</v>
      </c>
      <c r="R2537" s="86">
        <f t="shared" si="788"/>
        <v>0</v>
      </c>
      <c r="S2537" s="86">
        <f t="shared" si="789"/>
        <v>0</v>
      </c>
      <c r="T2537" s="86">
        <f t="shared" si="790"/>
        <v>13406.289999999999</v>
      </c>
      <c r="U2537" s="87">
        <v>13406.289999999999</v>
      </c>
    </row>
    <row r="2538" spans="1:21" s="30" customFormat="1" ht="24.6" hidden="1" outlineLevel="1" x14ac:dyDescent="0.55000000000000004">
      <c r="A2538" s="27" t="s">
        <v>327</v>
      </c>
      <c r="B2538" s="28"/>
      <c r="C2538" s="27"/>
      <c r="D2538" s="27" t="str">
        <f>"""NAV Direct"",""CRONUS JetCorp USA"",""21"",""1"",""315415"""</f>
        <v>"NAV Direct","CRONUS JetCorp USA","21","1","315415"</v>
      </c>
      <c r="E2538" s="31" t="str">
        <f t="shared" si="782"/>
        <v>C100083</v>
      </c>
      <c r="F2538" s="31"/>
      <c r="G2538" s="31"/>
      <c r="H2538" s="31"/>
      <c r="I2538" s="56"/>
      <c r="J2538" s="56"/>
      <c r="K2538" s="82" t="str">
        <f t="shared" si="783"/>
        <v>Invoice</v>
      </c>
      <c r="L2538" s="83" t="str">
        <f>"SI_109789"</f>
        <v>SI_109789</v>
      </c>
      <c r="M2538" s="84">
        <v>42910</v>
      </c>
      <c r="N2538" s="85">
        <f t="shared" si="784"/>
        <v>902</v>
      </c>
      <c r="O2538" s="86">
        <f t="shared" si="785"/>
        <v>13269.25</v>
      </c>
      <c r="P2538" s="86">
        <f t="shared" si="786"/>
        <v>0</v>
      </c>
      <c r="Q2538" s="86">
        <f t="shared" si="787"/>
        <v>0</v>
      </c>
      <c r="R2538" s="86">
        <f t="shared" si="788"/>
        <v>0</v>
      </c>
      <c r="S2538" s="86">
        <f t="shared" si="789"/>
        <v>0</v>
      </c>
      <c r="T2538" s="86">
        <f t="shared" si="790"/>
        <v>13269.25</v>
      </c>
      <c r="U2538" s="87">
        <v>13269.25</v>
      </c>
    </row>
    <row r="2539" spans="1:21" s="30" customFormat="1" ht="24.6" hidden="1" outlineLevel="1" x14ac:dyDescent="0.55000000000000004">
      <c r="A2539" s="27" t="s">
        <v>327</v>
      </c>
      <c r="B2539" s="28"/>
      <c r="C2539" s="27"/>
      <c r="D2539" s="27" t="str">
        <f>"""NAV Direct"",""CRONUS JetCorp USA"",""21"",""1"",""315444"""</f>
        <v>"NAV Direct","CRONUS JetCorp USA","21","1","315444"</v>
      </c>
      <c r="E2539" s="31">
        <f t="shared" si="782"/>
        <v>0</v>
      </c>
      <c r="F2539" s="31"/>
      <c r="G2539" s="31"/>
      <c r="H2539" s="31"/>
      <c r="I2539" s="56"/>
      <c r="J2539" s="56"/>
      <c r="K2539" s="82" t="str">
        <f t="shared" si="783"/>
        <v>Invoice</v>
      </c>
      <c r="L2539" s="83" t="str">
        <f>"SI_109790"</f>
        <v>SI_109790</v>
      </c>
      <c r="M2539" s="84">
        <v>42917</v>
      </c>
      <c r="N2539" s="85">
        <f t="shared" si="784"/>
        <v>895</v>
      </c>
      <c r="O2539" s="86">
        <f t="shared" si="785"/>
        <v>13406.28</v>
      </c>
      <c r="P2539" s="86">
        <f t="shared" si="786"/>
        <v>0</v>
      </c>
      <c r="Q2539" s="86">
        <f t="shared" si="787"/>
        <v>0</v>
      </c>
      <c r="R2539" s="86">
        <f t="shared" si="788"/>
        <v>0</v>
      </c>
      <c r="S2539" s="86">
        <f t="shared" si="789"/>
        <v>0</v>
      </c>
      <c r="T2539" s="86">
        <f t="shared" si="790"/>
        <v>13406.28</v>
      </c>
      <c r="U2539" s="87">
        <v>13406.28</v>
      </c>
    </row>
    <row r="2540" spans="1:21" s="30" customFormat="1" ht="24.6" hidden="1" outlineLevel="1" x14ac:dyDescent="0.55000000000000004">
      <c r="A2540" s="27" t="s">
        <v>327</v>
      </c>
      <c r="B2540" s="28"/>
      <c r="C2540" s="27"/>
      <c r="D2540" s="27" t="str">
        <f>"""NAV Direct"",""CRONUS JetCorp USA"",""21"",""1"",""315488"""</f>
        <v>"NAV Direct","CRONUS JetCorp USA","21","1","315488"</v>
      </c>
      <c r="E2540" s="31" t="str">
        <f t="shared" si="782"/>
        <v>C100083</v>
      </c>
      <c r="F2540" s="31"/>
      <c r="G2540" s="31"/>
      <c r="H2540" s="31"/>
      <c r="I2540" s="56"/>
      <c r="J2540" s="56"/>
      <c r="K2540" s="82" t="str">
        <f t="shared" si="783"/>
        <v>Invoice</v>
      </c>
      <c r="L2540" s="83" t="str">
        <f>"SI_109792"</f>
        <v>SI_109792</v>
      </c>
      <c r="M2540" s="84">
        <v>42941</v>
      </c>
      <c r="N2540" s="85">
        <f t="shared" si="784"/>
        <v>871</v>
      </c>
      <c r="O2540" s="86">
        <f t="shared" si="785"/>
        <v>12064.87</v>
      </c>
      <c r="P2540" s="86">
        <f t="shared" si="786"/>
        <v>0</v>
      </c>
      <c r="Q2540" s="86">
        <f t="shared" si="787"/>
        <v>0</v>
      </c>
      <c r="R2540" s="86">
        <f t="shared" si="788"/>
        <v>0</v>
      </c>
      <c r="S2540" s="86">
        <f t="shared" si="789"/>
        <v>0</v>
      </c>
      <c r="T2540" s="86">
        <f t="shared" si="790"/>
        <v>12064.87</v>
      </c>
      <c r="U2540" s="87">
        <v>12064.87</v>
      </c>
    </row>
    <row r="2541" spans="1:21" s="30" customFormat="1" ht="24.6" hidden="1" outlineLevel="1" x14ac:dyDescent="0.55000000000000004">
      <c r="A2541" s="27" t="s">
        <v>327</v>
      </c>
      <c r="B2541" s="28"/>
      <c r="C2541" s="27"/>
      <c r="D2541" s="27" t="str">
        <f>"""NAV Direct"",""CRONUS JetCorp USA"",""21"",""1"",""315511"""</f>
        <v>"NAV Direct","CRONUS JetCorp USA","21","1","315511"</v>
      </c>
      <c r="E2541" s="31">
        <f t="shared" si="782"/>
        <v>0</v>
      </c>
      <c r="F2541" s="31"/>
      <c r="G2541" s="31"/>
      <c r="H2541" s="31"/>
      <c r="I2541" s="56"/>
      <c r="J2541" s="56"/>
      <c r="K2541" s="82" t="str">
        <f t="shared" si="783"/>
        <v>Invoice</v>
      </c>
      <c r="L2541" s="83" t="str">
        <f>"SI_109793"</f>
        <v>SI_109793</v>
      </c>
      <c r="M2541" s="84">
        <v>42933</v>
      </c>
      <c r="N2541" s="85">
        <f t="shared" si="784"/>
        <v>879</v>
      </c>
      <c r="O2541" s="86">
        <f t="shared" si="785"/>
        <v>12066.060000000001</v>
      </c>
      <c r="P2541" s="86">
        <f t="shared" si="786"/>
        <v>0</v>
      </c>
      <c r="Q2541" s="86">
        <f t="shared" si="787"/>
        <v>0</v>
      </c>
      <c r="R2541" s="86">
        <f t="shared" si="788"/>
        <v>0</v>
      </c>
      <c r="S2541" s="86">
        <f t="shared" si="789"/>
        <v>0</v>
      </c>
      <c r="T2541" s="86">
        <f t="shared" si="790"/>
        <v>12066.060000000001</v>
      </c>
      <c r="U2541" s="87">
        <v>12066.060000000001</v>
      </c>
    </row>
    <row r="2542" spans="1:21" s="30" customFormat="1" ht="24.6" hidden="1" outlineLevel="1" x14ac:dyDescent="0.55000000000000004">
      <c r="A2542" s="27" t="s">
        <v>327</v>
      </c>
      <c r="B2542" s="28"/>
      <c r="C2542" s="27"/>
      <c r="D2542" s="27" t="str">
        <f>"""NAV Direct"",""CRONUS JetCorp USA"",""21"",""1"",""315534"""</f>
        <v>"NAV Direct","CRONUS JetCorp USA","21","1","315534"</v>
      </c>
      <c r="E2542" s="31" t="str">
        <f t="shared" si="782"/>
        <v>C100083</v>
      </c>
      <c r="F2542" s="31"/>
      <c r="G2542" s="31"/>
      <c r="H2542" s="31"/>
      <c r="I2542" s="56"/>
      <c r="J2542" s="56"/>
      <c r="K2542" s="82" t="str">
        <f t="shared" si="783"/>
        <v>Invoice</v>
      </c>
      <c r="L2542" s="83" t="str">
        <f>"SI_109794"</f>
        <v>SI_109794</v>
      </c>
      <c r="M2542" s="84">
        <v>42942</v>
      </c>
      <c r="N2542" s="85">
        <f t="shared" si="784"/>
        <v>870</v>
      </c>
      <c r="O2542" s="86">
        <f t="shared" si="785"/>
        <v>12065.12</v>
      </c>
      <c r="P2542" s="86">
        <f t="shared" si="786"/>
        <v>0</v>
      </c>
      <c r="Q2542" s="86">
        <f t="shared" si="787"/>
        <v>0</v>
      </c>
      <c r="R2542" s="86">
        <f t="shared" si="788"/>
        <v>0</v>
      </c>
      <c r="S2542" s="86">
        <f t="shared" si="789"/>
        <v>0</v>
      </c>
      <c r="T2542" s="86">
        <f t="shared" si="790"/>
        <v>12065.12</v>
      </c>
      <c r="U2542" s="87">
        <v>12065.12</v>
      </c>
    </row>
    <row r="2543" spans="1:21" s="30" customFormat="1" ht="24.6" hidden="1" outlineLevel="1" x14ac:dyDescent="0.55000000000000004">
      <c r="A2543" s="27" t="s">
        <v>327</v>
      </c>
      <c r="B2543" s="28"/>
      <c r="C2543" s="27"/>
      <c r="D2543" s="27" t="str">
        <f>"""NAV Direct"",""CRONUS JetCorp USA"",""21"",""1"",""315588"""</f>
        <v>"NAV Direct","CRONUS JetCorp USA","21","1","315588"</v>
      </c>
      <c r="E2543" s="31">
        <f t="shared" si="782"/>
        <v>0</v>
      </c>
      <c r="F2543" s="31"/>
      <c r="G2543" s="31"/>
      <c r="H2543" s="31"/>
      <c r="I2543" s="56"/>
      <c r="J2543" s="56"/>
      <c r="K2543" s="82" t="str">
        <f t="shared" si="783"/>
        <v>Invoice</v>
      </c>
      <c r="L2543" s="83" t="str">
        <f>"SI_109796"</f>
        <v>SI_109796</v>
      </c>
      <c r="M2543" s="84">
        <v>42950</v>
      </c>
      <c r="N2543" s="85">
        <f t="shared" si="784"/>
        <v>862</v>
      </c>
      <c r="O2543" s="86">
        <f t="shared" si="785"/>
        <v>12066.13</v>
      </c>
      <c r="P2543" s="86">
        <f t="shared" si="786"/>
        <v>0</v>
      </c>
      <c r="Q2543" s="86">
        <f t="shared" si="787"/>
        <v>0</v>
      </c>
      <c r="R2543" s="86">
        <f t="shared" si="788"/>
        <v>0</v>
      </c>
      <c r="S2543" s="86">
        <f t="shared" si="789"/>
        <v>0</v>
      </c>
      <c r="T2543" s="86">
        <f t="shared" si="790"/>
        <v>12066.13</v>
      </c>
      <c r="U2543" s="87">
        <v>12066.13</v>
      </c>
    </row>
    <row r="2544" spans="1:21" s="30" customFormat="1" ht="24.6" hidden="1" outlineLevel="1" x14ac:dyDescent="0.55000000000000004">
      <c r="A2544" s="27" t="s">
        <v>327</v>
      </c>
      <c r="B2544" s="28"/>
      <c r="C2544" s="27"/>
      <c r="D2544" s="27" t="str">
        <f>"""NAV Direct"",""CRONUS JetCorp USA"",""21"",""1"",""315613"""</f>
        <v>"NAV Direct","CRONUS JetCorp USA","21","1","315613"</v>
      </c>
      <c r="E2544" s="31" t="str">
        <f t="shared" si="782"/>
        <v>C100083</v>
      </c>
      <c r="F2544" s="31"/>
      <c r="G2544" s="31"/>
      <c r="H2544" s="31"/>
      <c r="I2544" s="56"/>
      <c r="J2544" s="56"/>
      <c r="K2544" s="82" t="str">
        <f t="shared" si="783"/>
        <v>Invoice</v>
      </c>
      <c r="L2544" s="83" t="str">
        <f>"SI_109797"</f>
        <v>SI_109797</v>
      </c>
      <c r="M2544" s="84">
        <v>42963</v>
      </c>
      <c r="N2544" s="85">
        <f t="shared" si="784"/>
        <v>849</v>
      </c>
      <c r="O2544" s="86">
        <f t="shared" si="785"/>
        <v>11619.32</v>
      </c>
      <c r="P2544" s="86">
        <f t="shared" si="786"/>
        <v>0</v>
      </c>
      <c r="Q2544" s="86">
        <f t="shared" si="787"/>
        <v>0</v>
      </c>
      <c r="R2544" s="86">
        <f t="shared" si="788"/>
        <v>0</v>
      </c>
      <c r="S2544" s="86">
        <f t="shared" si="789"/>
        <v>0</v>
      </c>
      <c r="T2544" s="86">
        <f t="shared" si="790"/>
        <v>11619.32</v>
      </c>
      <c r="U2544" s="87">
        <v>11619.32</v>
      </c>
    </row>
    <row r="2545" spans="1:21" s="30" customFormat="1" ht="24.6" hidden="1" outlineLevel="1" x14ac:dyDescent="0.55000000000000004">
      <c r="A2545" s="27" t="s">
        <v>327</v>
      </c>
      <c r="B2545" s="28"/>
      <c r="C2545" s="27"/>
      <c r="D2545" s="27" t="str">
        <f>"""NAV Direct"",""CRONUS JetCorp USA"",""21"",""1"",""315755"""</f>
        <v>"NAV Direct","CRONUS JetCorp USA","21","1","315755"</v>
      </c>
      <c r="E2545" s="31">
        <f t="shared" si="782"/>
        <v>0</v>
      </c>
      <c r="F2545" s="31"/>
      <c r="G2545" s="31"/>
      <c r="H2545" s="31"/>
      <c r="I2545" s="56"/>
      <c r="J2545" s="56"/>
      <c r="K2545" s="82" t="str">
        <f t="shared" si="783"/>
        <v>Invoice</v>
      </c>
      <c r="L2545" s="83" t="str">
        <f>"SI_109803"</f>
        <v>SI_109803</v>
      </c>
      <c r="M2545" s="84">
        <v>42997</v>
      </c>
      <c r="N2545" s="85">
        <f t="shared" si="784"/>
        <v>815</v>
      </c>
      <c r="O2545" s="86">
        <f t="shared" si="785"/>
        <v>11131.970000000001</v>
      </c>
      <c r="P2545" s="86">
        <f t="shared" si="786"/>
        <v>0</v>
      </c>
      <c r="Q2545" s="86">
        <f t="shared" si="787"/>
        <v>0</v>
      </c>
      <c r="R2545" s="86">
        <f t="shared" si="788"/>
        <v>0</v>
      </c>
      <c r="S2545" s="86">
        <f t="shared" si="789"/>
        <v>0</v>
      </c>
      <c r="T2545" s="86">
        <f t="shared" si="790"/>
        <v>11131.970000000001</v>
      </c>
      <c r="U2545" s="87">
        <v>11131.970000000001</v>
      </c>
    </row>
    <row r="2546" spans="1:21" s="30" customFormat="1" ht="24.6" hidden="1" outlineLevel="1" x14ac:dyDescent="0.55000000000000004">
      <c r="A2546" s="27" t="s">
        <v>327</v>
      </c>
      <c r="B2546" s="28"/>
      <c r="C2546" s="27"/>
      <c r="D2546" s="27" t="str">
        <f>"""NAV Direct"",""CRONUS JetCorp USA"",""21"",""1"",""315784"""</f>
        <v>"NAV Direct","CRONUS JetCorp USA","21","1","315784"</v>
      </c>
      <c r="E2546" s="31" t="str">
        <f t="shared" si="782"/>
        <v>C100083</v>
      </c>
      <c r="F2546" s="31"/>
      <c r="G2546" s="31"/>
      <c r="H2546" s="31"/>
      <c r="I2546" s="56"/>
      <c r="J2546" s="56"/>
      <c r="K2546" s="82" t="str">
        <f t="shared" si="783"/>
        <v>Invoice</v>
      </c>
      <c r="L2546" s="83" t="str">
        <f>"SI_109804"</f>
        <v>SI_109804</v>
      </c>
      <c r="M2546" s="84">
        <v>43013</v>
      </c>
      <c r="N2546" s="85">
        <f t="shared" si="784"/>
        <v>799</v>
      </c>
      <c r="O2546" s="86">
        <f t="shared" si="785"/>
        <v>11130.94</v>
      </c>
      <c r="P2546" s="86">
        <f t="shared" si="786"/>
        <v>0</v>
      </c>
      <c r="Q2546" s="86">
        <f t="shared" si="787"/>
        <v>0</v>
      </c>
      <c r="R2546" s="86">
        <f t="shared" si="788"/>
        <v>0</v>
      </c>
      <c r="S2546" s="86">
        <f t="shared" si="789"/>
        <v>0</v>
      </c>
      <c r="T2546" s="86">
        <f t="shared" si="790"/>
        <v>11130.94</v>
      </c>
      <c r="U2546" s="87">
        <v>11130.94</v>
      </c>
    </row>
    <row r="2547" spans="1:21" s="30" customFormat="1" ht="24.6" hidden="1" outlineLevel="1" x14ac:dyDescent="0.55000000000000004">
      <c r="A2547" s="27" t="s">
        <v>327</v>
      </c>
      <c r="B2547" s="28"/>
      <c r="C2547" s="27"/>
      <c r="D2547" s="27" t="str">
        <f>"""NAV Direct"",""CRONUS JetCorp USA"",""21"",""1"",""315809"""</f>
        <v>"NAV Direct","CRONUS JetCorp USA","21","1","315809"</v>
      </c>
      <c r="E2547" s="31">
        <f t="shared" si="782"/>
        <v>0</v>
      </c>
      <c r="F2547" s="31"/>
      <c r="G2547" s="31"/>
      <c r="H2547" s="31"/>
      <c r="I2547" s="56"/>
      <c r="J2547" s="56"/>
      <c r="K2547" s="82" t="str">
        <f t="shared" si="783"/>
        <v>Invoice</v>
      </c>
      <c r="L2547" s="83" t="str">
        <f>"SI_109805"</f>
        <v>SI_109805</v>
      </c>
      <c r="M2547" s="84">
        <v>43012</v>
      </c>
      <c r="N2547" s="85">
        <f t="shared" si="784"/>
        <v>800</v>
      </c>
      <c r="O2547" s="86">
        <f t="shared" si="785"/>
        <v>11131.84</v>
      </c>
      <c r="P2547" s="86">
        <f t="shared" si="786"/>
        <v>0</v>
      </c>
      <c r="Q2547" s="86">
        <f t="shared" si="787"/>
        <v>0</v>
      </c>
      <c r="R2547" s="86">
        <f t="shared" si="788"/>
        <v>0</v>
      </c>
      <c r="S2547" s="86">
        <f t="shared" si="789"/>
        <v>0</v>
      </c>
      <c r="T2547" s="86">
        <f t="shared" si="790"/>
        <v>11131.84</v>
      </c>
      <c r="U2547" s="87">
        <v>11131.84</v>
      </c>
    </row>
    <row r="2548" spans="1:21" s="30" customFormat="1" ht="24.6" hidden="1" outlineLevel="1" x14ac:dyDescent="0.55000000000000004">
      <c r="A2548" s="27" t="s">
        <v>327</v>
      </c>
      <c r="B2548" s="28"/>
      <c r="C2548" s="27"/>
      <c r="D2548" s="27" t="str">
        <f>"""NAV Direct"",""CRONUS JetCorp USA"",""21"",""1"",""315928"""</f>
        <v>"NAV Direct","CRONUS JetCorp USA","21","1","315928"</v>
      </c>
      <c r="E2548" s="31" t="str">
        <f t="shared" si="782"/>
        <v>C100083</v>
      </c>
      <c r="F2548" s="31"/>
      <c r="G2548" s="31"/>
      <c r="H2548" s="31"/>
      <c r="I2548" s="56"/>
      <c r="J2548" s="56"/>
      <c r="K2548" s="82" t="str">
        <f t="shared" si="783"/>
        <v>Invoice</v>
      </c>
      <c r="L2548" s="83" t="str">
        <f>"SI_109810"</f>
        <v>SI_109810</v>
      </c>
      <c r="M2548" s="84">
        <v>43033</v>
      </c>
      <c r="N2548" s="85">
        <f t="shared" si="784"/>
        <v>779</v>
      </c>
      <c r="O2548" s="86">
        <f t="shared" si="785"/>
        <v>11243.04</v>
      </c>
      <c r="P2548" s="86">
        <f t="shared" si="786"/>
        <v>0</v>
      </c>
      <c r="Q2548" s="86">
        <f t="shared" si="787"/>
        <v>0</v>
      </c>
      <c r="R2548" s="86">
        <f t="shared" si="788"/>
        <v>0</v>
      </c>
      <c r="S2548" s="86">
        <f t="shared" si="789"/>
        <v>0</v>
      </c>
      <c r="T2548" s="86">
        <f t="shared" si="790"/>
        <v>11243.04</v>
      </c>
      <c r="U2548" s="87">
        <v>11243.04</v>
      </c>
    </row>
    <row r="2549" spans="1:21" s="30" customFormat="1" ht="24.6" hidden="1" outlineLevel="1" x14ac:dyDescent="0.55000000000000004">
      <c r="A2549" s="27" t="s">
        <v>327</v>
      </c>
      <c r="B2549" s="28"/>
      <c r="C2549" s="27"/>
      <c r="D2549" s="27" t="str">
        <f>"""NAV Direct"",""CRONUS JetCorp USA"",""21"",""1"",""315980"""</f>
        <v>"NAV Direct","CRONUS JetCorp USA","21","1","315980"</v>
      </c>
      <c r="E2549" s="31">
        <f t="shared" si="782"/>
        <v>0</v>
      </c>
      <c r="F2549" s="31"/>
      <c r="G2549" s="31"/>
      <c r="H2549" s="31"/>
      <c r="I2549" s="56"/>
      <c r="J2549" s="56"/>
      <c r="K2549" s="82" t="str">
        <f t="shared" si="783"/>
        <v>Invoice</v>
      </c>
      <c r="L2549" s="83" t="str">
        <f>"SI_109812"</f>
        <v>SI_109812</v>
      </c>
      <c r="M2549" s="84">
        <v>43050</v>
      </c>
      <c r="N2549" s="85">
        <f t="shared" si="784"/>
        <v>762</v>
      </c>
      <c r="O2549" s="86">
        <f t="shared" si="785"/>
        <v>11422.09</v>
      </c>
      <c r="P2549" s="86">
        <f t="shared" si="786"/>
        <v>0</v>
      </c>
      <c r="Q2549" s="86">
        <f t="shared" si="787"/>
        <v>0</v>
      </c>
      <c r="R2549" s="86">
        <f t="shared" si="788"/>
        <v>0</v>
      </c>
      <c r="S2549" s="86">
        <f t="shared" si="789"/>
        <v>0</v>
      </c>
      <c r="T2549" s="86">
        <f t="shared" si="790"/>
        <v>11422.09</v>
      </c>
      <c r="U2549" s="87">
        <v>11422.09</v>
      </c>
    </row>
    <row r="2550" spans="1:21" s="30" customFormat="1" ht="24.6" hidden="1" outlineLevel="1" x14ac:dyDescent="0.55000000000000004">
      <c r="A2550" s="27" t="s">
        <v>327</v>
      </c>
      <c r="B2550" s="28"/>
      <c r="C2550" s="27"/>
      <c r="D2550" s="27" t="str">
        <f>"""NAV Direct"",""CRONUS JetCorp USA"",""21"",""1"",""316166"""</f>
        <v>"NAV Direct","CRONUS JetCorp USA","21","1","316166"</v>
      </c>
      <c r="E2550" s="31" t="str">
        <f t="shared" si="782"/>
        <v>C100083</v>
      </c>
      <c r="F2550" s="31"/>
      <c r="G2550" s="31"/>
      <c r="H2550" s="31"/>
      <c r="I2550" s="56"/>
      <c r="J2550" s="56"/>
      <c r="K2550" s="82" t="str">
        <f t="shared" si="783"/>
        <v>Invoice</v>
      </c>
      <c r="L2550" s="83" t="str">
        <f>"SI_109820"</f>
        <v>SI_109820</v>
      </c>
      <c r="M2550" s="84">
        <v>43125</v>
      </c>
      <c r="N2550" s="85">
        <f t="shared" si="784"/>
        <v>687</v>
      </c>
      <c r="O2550" s="86">
        <f t="shared" si="785"/>
        <v>11209.43</v>
      </c>
      <c r="P2550" s="86">
        <f t="shared" si="786"/>
        <v>0</v>
      </c>
      <c r="Q2550" s="86">
        <f t="shared" si="787"/>
        <v>0</v>
      </c>
      <c r="R2550" s="86">
        <f t="shared" si="788"/>
        <v>0</v>
      </c>
      <c r="S2550" s="86">
        <f t="shared" si="789"/>
        <v>0</v>
      </c>
      <c r="T2550" s="86">
        <f t="shared" si="790"/>
        <v>11209.43</v>
      </c>
      <c r="U2550" s="87">
        <v>11209.43</v>
      </c>
    </row>
    <row r="2551" spans="1:21" s="30" customFormat="1" ht="24.6" hidden="1" outlineLevel="1" x14ac:dyDescent="0.55000000000000004">
      <c r="A2551" s="27" t="s">
        <v>327</v>
      </c>
      <c r="B2551" s="28"/>
      <c r="C2551" s="27"/>
      <c r="D2551" s="27" t="str">
        <f>"""NAV Direct"",""CRONUS JetCorp USA"",""21"",""1"",""316197"""</f>
        <v>"NAV Direct","CRONUS JetCorp USA","21","1","316197"</v>
      </c>
      <c r="E2551" s="31">
        <f t="shared" si="782"/>
        <v>0</v>
      </c>
      <c r="F2551" s="31"/>
      <c r="G2551" s="31"/>
      <c r="H2551" s="31"/>
      <c r="I2551" s="56"/>
      <c r="J2551" s="56"/>
      <c r="K2551" s="82" t="str">
        <f t="shared" si="783"/>
        <v>Invoice</v>
      </c>
      <c r="L2551" s="83" t="str">
        <f>"SI_109821"</f>
        <v>SI_109821</v>
      </c>
      <c r="M2551" s="84">
        <v>43120</v>
      </c>
      <c r="N2551" s="85">
        <f t="shared" si="784"/>
        <v>692</v>
      </c>
      <c r="O2551" s="86">
        <f t="shared" si="785"/>
        <v>11209.49</v>
      </c>
      <c r="P2551" s="86">
        <f t="shared" si="786"/>
        <v>0</v>
      </c>
      <c r="Q2551" s="86">
        <f t="shared" si="787"/>
        <v>0</v>
      </c>
      <c r="R2551" s="86">
        <f t="shared" si="788"/>
        <v>0</v>
      </c>
      <c r="S2551" s="86">
        <f t="shared" si="789"/>
        <v>0</v>
      </c>
      <c r="T2551" s="86">
        <f t="shared" si="790"/>
        <v>11209.49</v>
      </c>
      <c r="U2551" s="87">
        <v>11209.49</v>
      </c>
    </row>
    <row r="2552" spans="1:21" s="30" customFormat="1" ht="24.6" hidden="1" outlineLevel="1" x14ac:dyDescent="0.55000000000000004">
      <c r="A2552" s="27" t="s">
        <v>327</v>
      </c>
      <c r="B2552" s="28"/>
      <c r="C2552" s="27"/>
      <c r="D2552" s="27" t="str">
        <f>"""NAV Direct"",""CRONUS JetCorp USA"",""21"",""1"",""316245"""</f>
        <v>"NAV Direct","CRONUS JetCorp USA","21","1","316245"</v>
      </c>
      <c r="E2552" s="31" t="str">
        <f t="shared" si="782"/>
        <v>C100083</v>
      </c>
      <c r="F2552" s="31"/>
      <c r="G2552" s="31"/>
      <c r="H2552" s="31"/>
      <c r="I2552" s="56"/>
      <c r="J2552" s="56"/>
      <c r="K2552" s="82" t="str">
        <f t="shared" si="783"/>
        <v>Invoice</v>
      </c>
      <c r="L2552" s="83" t="str">
        <f>"SI_109823"</f>
        <v>SI_109823</v>
      </c>
      <c r="M2552" s="84">
        <v>43142</v>
      </c>
      <c r="N2552" s="85">
        <f t="shared" si="784"/>
        <v>670</v>
      </c>
      <c r="O2552" s="86">
        <f t="shared" si="785"/>
        <v>11208.73</v>
      </c>
      <c r="P2552" s="86">
        <f t="shared" si="786"/>
        <v>0</v>
      </c>
      <c r="Q2552" s="86">
        <f t="shared" si="787"/>
        <v>0</v>
      </c>
      <c r="R2552" s="86">
        <f t="shared" si="788"/>
        <v>0</v>
      </c>
      <c r="S2552" s="86">
        <f t="shared" si="789"/>
        <v>0</v>
      </c>
      <c r="T2552" s="86">
        <f t="shared" si="790"/>
        <v>11208.73</v>
      </c>
      <c r="U2552" s="87">
        <v>11208.73</v>
      </c>
    </row>
    <row r="2553" spans="1:21" s="30" customFormat="1" ht="24.6" hidden="1" outlineLevel="1" x14ac:dyDescent="0.55000000000000004">
      <c r="A2553" s="27" t="s">
        <v>327</v>
      </c>
      <c r="B2553" s="28"/>
      <c r="C2553" s="27"/>
      <c r="D2553" s="27" t="str">
        <f>"""NAV Direct"",""CRONUS JetCorp USA"",""21"",""1"",""316268"""</f>
        <v>"NAV Direct","CRONUS JetCorp USA","21","1","316268"</v>
      </c>
      <c r="E2553" s="31">
        <f t="shared" si="782"/>
        <v>0</v>
      </c>
      <c r="F2553" s="31"/>
      <c r="G2553" s="31"/>
      <c r="H2553" s="31"/>
      <c r="I2553" s="56"/>
      <c r="J2553" s="56"/>
      <c r="K2553" s="82" t="str">
        <f t="shared" si="783"/>
        <v>Invoice</v>
      </c>
      <c r="L2553" s="83" t="str">
        <f>"SI_109824"</f>
        <v>SI_109824</v>
      </c>
      <c r="M2553" s="84">
        <v>43148</v>
      </c>
      <c r="N2553" s="85">
        <f t="shared" si="784"/>
        <v>664</v>
      </c>
      <c r="O2553" s="86">
        <f t="shared" si="785"/>
        <v>11314.04</v>
      </c>
      <c r="P2553" s="86">
        <f t="shared" si="786"/>
        <v>0</v>
      </c>
      <c r="Q2553" s="86">
        <f t="shared" si="787"/>
        <v>0</v>
      </c>
      <c r="R2553" s="86">
        <f t="shared" si="788"/>
        <v>0</v>
      </c>
      <c r="S2553" s="86">
        <f t="shared" si="789"/>
        <v>0</v>
      </c>
      <c r="T2553" s="86">
        <f t="shared" si="790"/>
        <v>11314.04</v>
      </c>
      <c r="U2553" s="87">
        <v>11314.04</v>
      </c>
    </row>
    <row r="2554" spans="1:21" s="30" customFormat="1" ht="24.6" hidden="1" outlineLevel="1" x14ac:dyDescent="0.55000000000000004">
      <c r="A2554" s="27" t="s">
        <v>327</v>
      </c>
      <c r="B2554" s="28"/>
      <c r="C2554" s="27"/>
      <c r="D2554" s="27" t="str">
        <f>"""NAV Direct"",""CRONUS JetCorp USA"",""21"",""1"",""316341"""</f>
        <v>"NAV Direct","CRONUS JetCorp USA","21","1","316341"</v>
      </c>
      <c r="E2554" s="31" t="str">
        <f t="shared" si="782"/>
        <v>C100083</v>
      </c>
      <c r="F2554" s="31"/>
      <c r="G2554" s="31"/>
      <c r="H2554" s="31"/>
      <c r="I2554" s="56"/>
      <c r="J2554" s="56"/>
      <c r="K2554" s="82" t="str">
        <f t="shared" si="783"/>
        <v>Invoice</v>
      </c>
      <c r="L2554" s="83" t="str">
        <f>"SI_109827"</f>
        <v>SI_109827</v>
      </c>
      <c r="M2554" s="84">
        <v>43161</v>
      </c>
      <c r="N2554" s="85">
        <f t="shared" si="784"/>
        <v>651</v>
      </c>
      <c r="O2554" s="86">
        <f t="shared" si="785"/>
        <v>11198.37</v>
      </c>
      <c r="P2554" s="86">
        <f t="shared" si="786"/>
        <v>0</v>
      </c>
      <c r="Q2554" s="86">
        <f t="shared" si="787"/>
        <v>0</v>
      </c>
      <c r="R2554" s="86">
        <f t="shared" si="788"/>
        <v>0</v>
      </c>
      <c r="S2554" s="86">
        <f t="shared" si="789"/>
        <v>0</v>
      </c>
      <c r="T2554" s="86">
        <f t="shared" si="790"/>
        <v>11198.37</v>
      </c>
      <c r="U2554" s="87">
        <v>11198.37</v>
      </c>
    </row>
    <row r="2555" spans="1:21" s="30" customFormat="1" ht="24.6" hidden="1" outlineLevel="1" x14ac:dyDescent="0.55000000000000004">
      <c r="A2555" s="27" t="s">
        <v>327</v>
      </c>
      <c r="B2555" s="28"/>
      <c r="C2555" s="27"/>
      <c r="D2555" s="27" t="str">
        <f>"""NAV Direct"",""CRONUS JetCorp USA"",""21"",""1"",""316414"""</f>
        <v>"NAV Direct","CRONUS JetCorp USA","21","1","316414"</v>
      </c>
      <c r="E2555" s="31">
        <f t="shared" si="782"/>
        <v>0</v>
      </c>
      <c r="F2555" s="31"/>
      <c r="G2555" s="31"/>
      <c r="H2555" s="31"/>
      <c r="I2555" s="56"/>
      <c r="J2555" s="56"/>
      <c r="K2555" s="82" t="str">
        <f t="shared" si="783"/>
        <v>Invoice</v>
      </c>
      <c r="L2555" s="83" t="str">
        <f>"SI_109830"</f>
        <v>SI_109830</v>
      </c>
      <c r="M2555" s="84">
        <v>43188</v>
      </c>
      <c r="N2555" s="85">
        <f t="shared" si="784"/>
        <v>624</v>
      </c>
      <c r="O2555" s="86">
        <f t="shared" si="785"/>
        <v>11369.18</v>
      </c>
      <c r="P2555" s="86">
        <f t="shared" si="786"/>
        <v>0</v>
      </c>
      <c r="Q2555" s="86">
        <f t="shared" si="787"/>
        <v>0</v>
      </c>
      <c r="R2555" s="86">
        <f t="shared" si="788"/>
        <v>0</v>
      </c>
      <c r="S2555" s="86">
        <f t="shared" si="789"/>
        <v>0</v>
      </c>
      <c r="T2555" s="86">
        <f t="shared" si="790"/>
        <v>11369.18</v>
      </c>
      <c r="U2555" s="87">
        <v>11369.18</v>
      </c>
    </row>
    <row r="2556" spans="1:21" s="30" customFormat="1" ht="24.6" hidden="1" outlineLevel="1" x14ac:dyDescent="0.55000000000000004">
      <c r="A2556" s="27" t="s">
        <v>327</v>
      </c>
      <c r="B2556" s="28"/>
      <c r="C2556" s="27"/>
      <c r="D2556" s="27" t="str">
        <f>"""NAV Direct"",""CRONUS JetCorp USA"",""21"",""1"",""316497"""</f>
        <v>"NAV Direct","CRONUS JetCorp USA","21","1","316497"</v>
      </c>
      <c r="E2556" s="31" t="str">
        <f t="shared" si="782"/>
        <v>C100083</v>
      </c>
      <c r="F2556" s="31"/>
      <c r="G2556" s="31"/>
      <c r="H2556" s="31"/>
      <c r="I2556" s="56"/>
      <c r="J2556" s="56"/>
      <c r="K2556" s="82" t="str">
        <f t="shared" si="783"/>
        <v>Invoice</v>
      </c>
      <c r="L2556" s="83" t="str">
        <f>"SI_109833"</f>
        <v>SI_109833</v>
      </c>
      <c r="M2556" s="84">
        <v>43218</v>
      </c>
      <c r="N2556" s="85">
        <f t="shared" si="784"/>
        <v>594</v>
      </c>
      <c r="O2556" s="86">
        <f t="shared" si="785"/>
        <v>11459.01</v>
      </c>
      <c r="P2556" s="86">
        <f t="shared" si="786"/>
        <v>0</v>
      </c>
      <c r="Q2556" s="86">
        <f t="shared" si="787"/>
        <v>0</v>
      </c>
      <c r="R2556" s="86">
        <f t="shared" si="788"/>
        <v>0</v>
      </c>
      <c r="S2556" s="86">
        <f t="shared" si="789"/>
        <v>0</v>
      </c>
      <c r="T2556" s="86">
        <f t="shared" si="790"/>
        <v>11459.01</v>
      </c>
      <c r="U2556" s="87">
        <v>11459.01</v>
      </c>
    </row>
    <row r="2557" spans="1:21" s="30" customFormat="1" ht="24.6" hidden="1" outlineLevel="1" x14ac:dyDescent="0.55000000000000004">
      <c r="A2557" s="27" t="s">
        <v>327</v>
      </c>
      <c r="B2557" s="28"/>
      <c r="C2557" s="27"/>
      <c r="D2557" s="27" t="str">
        <f>"""NAV Direct"",""CRONUS JetCorp USA"",""21"",""1"",""316758"""</f>
        <v>"NAV Direct","CRONUS JetCorp USA","21","1","316758"</v>
      </c>
      <c r="E2557" s="31">
        <f t="shared" si="782"/>
        <v>0</v>
      </c>
      <c r="F2557" s="31"/>
      <c r="G2557" s="31"/>
      <c r="H2557" s="31"/>
      <c r="I2557" s="56"/>
      <c r="J2557" s="56"/>
      <c r="K2557" s="82" t="str">
        <f t="shared" si="783"/>
        <v>Invoice</v>
      </c>
      <c r="L2557" s="83" t="str">
        <f>"SI_109844"</f>
        <v>SI_109844</v>
      </c>
      <c r="M2557" s="84">
        <v>43314</v>
      </c>
      <c r="N2557" s="85">
        <f t="shared" si="784"/>
        <v>498</v>
      </c>
      <c r="O2557" s="86">
        <f t="shared" si="785"/>
        <v>11354.15</v>
      </c>
      <c r="P2557" s="86">
        <f t="shared" si="786"/>
        <v>0</v>
      </c>
      <c r="Q2557" s="86">
        <f t="shared" si="787"/>
        <v>0</v>
      </c>
      <c r="R2557" s="86">
        <f t="shared" si="788"/>
        <v>0</v>
      </c>
      <c r="S2557" s="86">
        <f t="shared" si="789"/>
        <v>0</v>
      </c>
      <c r="T2557" s="86">
        <f t="shared" si="790"/>
        <v>11354.15</v>
      </c>
      <c r="U2557" s="87">
        <v>11354.15</v>
      </c>
    </row>
    <row r="2558" spans="1:21" s="30" customFormat="1" ht="24.6" hidden="1" outlineLevel="1" x14ac:dyDescent="0.55000000000000004">
      <c r="A2558" s="27" t="s">
        <v>327</v>
      </c>
      <c r="B2558" s="28"/>
      <c r="C2558" s="27"/>
      <c r="D2558" s="27" t="str">
        <f>"""NAV Direct"",""CRONUS JetCorp USA"",""21"",""1"",""316781"""</f>
        <v>"NAV Direct","CRONUS JetCorp USA","21","1","316781"</v>
      </c>
      <c r="E2558" s="31" t="str">
        <f t="shared" si="782"/>
        <v>C100083</v>
      </c>
      <c r="F2558" s="31"/>
      <c r="G2558" s="31"/>
      <c r="H2558" s="31"/>
      <c r="I2558" s="56"/>
      <c r="J2558" s="56"/>
      <c r="K2558" s="82" t="str">
        <f t="shared" si="783"/>
        <v>Invoice</v>
      </c>
      <c r="L2558" s="83" t="str">
        <f>"SI_109845"</f>
        <v>SI_109845</v>
      </c>
      <c r="M2558" s="84">
        <v>43330</v>
      </c>
      <c r="N2558" s="85">
        <f t="shared" si="784"/>
        <v>482</v>
      </c>
      <c r="O2558" s="86">
        <f t="shared" si="785"/>
        <v>11483.130000000001</v>
      </c>
      <c r="P2558" s="86">
        <f t="shared" si="786"/>
        <v>0</v>
      </c>
      <c r="Q2558" s="86">
        <f t="shared" si="787"/>
        <v>0</v>
      </c>
      <c r="R2558" s="86">
        <f t="shared" si="788"/>
        <v>0</v>
      </c>
      <c r="S2558" s="86">
        <f t="shared" si="789"/>
        <v>0</v>
      </c>
      <c r="T2558" s="86">
        <f t="shared" si="790"/>
        <v>11483.130000000001</v>
      </c>
      <c r="U2558" s="87">
        <v>11483.130000000001</v>
      </c>
    </row>
    <row r="2559" spans="1:21" s="30" customFormat="1" ht="24.6" hidden="1" outlineLevel="1" x14ac:dyDescent="0.55000000000000004">
      <c r="A2559" s="27" t="s">
        <v>327</v>
      </c>
      <c r="B2559" s="28"/>
      <c r="C2559" s="27"/>
      <c r="D2559" s="27" t="str">
        <f>"""NAV Direct"",""CRONUS JetCorp USA"",""21"",""1"",""316806"""</f>
        <v>"NAV Direct","CRONUS JetCorp USA","21","1","316806"</v>
      </c>
      <c r="E2559" s="31">
        <f t="shared" si="782"/>
        <v>0</v>
      </c>
      <c r="F2559" s="31"/>
      <c r="G2559" s="31"/>
      <c r="H2559" s="31"/>
      <c r="I2559" s="56"/>
      <c r="J2559" s="56"/>
      <c r="K2559" s="82" t="str">
        <f t="shared" si="783"/>
        <v>Invoice</v>
      </c>
      <c r="L2559" s="83" t="str">
        <f>"SI_109846"</f>
        <v>SI_109846</v>
      </c>
      <c r="M2559" s="84">
        <v>43332</v>
      </c>
      <c r="N2559" s="85">
        <f t="shared" si="784"/>
        <v>480</v>
      </c>
      <c r="O2559" s="86">
        <f t="shared" si="785"/>
        <v>11481.85</v>
      </c>
      <c r="P2559" s="86">
        <f t="shared" si="786"/>
        <v>0</v>
      </c>
      <c r="Q2559" s="86">
        <f t="shared" si="787"/>
        <v>0</v>
      </c>
      <c r="R2559" s="86">
        <f t="shared" si="788"/>
        <v>0</v>
      </c>
      <c r="S2559" s="86">
        <f t="shared" si="789"/>
        <v>0</v>
      </c>
      <c r="T2559" s="86">
        <f t="shared" si="790"/>
        <v>11481.85</v>
      </c>
      <c r="U2559" s="87">
        <v>11481.85</v>
      </c>
    </row>
    <row r="2560" spans="1:21" s="30" customFormat="1" ht="24.6" hidden="1" outlineLevel="1" x14ac:dyDescent="0.55000000000000004">
      <c r="A2560" s="27" t="s">
        <v>327</v>
      </c>
      <c r="B2560" s="28"/>
      <c r="C2560" s="27"/>
      <c r="D2560" s="27" t="str">
        <f>"""NAV Direct"",""CRONUS JetCorp USA"",""21"",""1"",""316839"""</f>
        <v>"NAV Direct","CRONUS JetCorp USA","21","1","316839"</v>
      </c>
      <c r="E2560" s="31" t="str">
        <f t="shared" si="782"/>
        <v>C100083</v>
      </c>
      <c r="F2560" s="31"/>
      <c r="G2560" s="31"/>
      <c r="H2560" s="31"/>
      <c r="I2560" s="56"/>
      <c r="J2560" s="56"/>
      <c r="K2560" s="82" t="str">
        <f t="shared" si="783"/>
        <v>Invoice</v>
      </c>
      <c r="L2560" s="83" t="str">
        <f>"SI_109847"</f>
        <v>SI_109847</v>
      </c>
      <c r="M2560" s="84">
        <v>43337</v>
      </c>
      <c r="N2560" s="85">
        <f t="shared" si="784"/>
        <v>475</v>
      </c>
      <c r="O2560" s="86">
        <f t="shared" si="785"/>
        <v>11482.86</v>
      </c>
      <c r="P2560" s="86">
        <f t="shared" si="786"/>
        <v>0</v>
      </c>
      <c r="Q2560" s="86">
        <f t="shared" si="787"/>
        <v>0</v>
      </c>
      <c r="R2560" s="86">
        <f t="shared" si="788"/>
        <v>0</v>
      </c>
      <c r="S2560" s="86">
        <f t="shared" si="789"/>
        <v>0</v>
      </c>
      <c r="T2560" s="86">
        <f t="shared" si="790"/>
        <v>11482.86</v>
      </c>
      <c r="U2560" s="87">
        <v>11482.86</v>
      </c>
    </row>
    <row r="2561" spans="1:21" s="30" customFormat="1" ht="24.6" hidden="1" outlineLevel="1" x14ac:dyDescent="0.55000000000000004">
      <c r="A2561" s="27" t="s">
        <v>327</v>
      </c>
      <c r="B2561" s="28"/>
      <c r="C2561" s="27"/>
      <c r="D2561" s="27" t="str">
        <f>"""NAV Direct"",""CRONUS JetCorp USA"",""21"",""1"",""316866"""</f>
        <v>"NAV Direct","CRONUS JetCorp USA","21","1","316866"</v>
      </c>
      <c r="E2561" s="31">
        <f t="shared" si="782"/>
        <v>0</v>
      </c>
      <c r="F2561" s="31"/>
      <c r="G2561" s="31"/>
      <c r="H2561" s="31"/>
      <c r="I2561" s="56"/>
      <c r="J2561" s="56"/>
      <c r="K2561" s="82" t="str">
        <f t="shared" si="783"/>
        <v>Invoice</v>
      </c>
      <c r="L2561" s="83" t="str">
        <f>"SI_109848"</f>
        <v>SI_109848</v>
      </c>
      <c r="M2561" s="84">
        <v>43342</v>
      </c>
      <c r="N2561" s="85">
        <f t="shared" si="784"/>
        <v>470</v>
      </c>
      <c r="O2561" s="86">
        <f t="shared" si="785"/>
        <v>11366.27</v>
      </c>
      <c r="P2561" s="86">
        <f t="shared" si="786"/>
        <v>0</v>
      </c>
      <c r="Q2561" s="86">
        <f t="shared" si="787"/>
        <v>0</v>
      </c>
      <c r="R2561" s="86">
        <f t="shared" si="788"/>
        <v>0</v>
      </c>
      <c r="S2561" s="86">
        <f t="shared" si="789"/>
        <v>0</v>
      </c>
      <c r="T2561" s="86">
        <f t="shared" si="790"/>
        <v>11366.27</v>
      </c>
      <c r="U2561" s="87">
        <v>11366.27</v>
      </c>
    </row>
    <row r="2562" spans="1:21" s="30" customFormat="1" ht="24.6" hidden="1" outlineLevel="1" x14ac:dyDescent="0.55000000000000004">
      <c r="A2562" s="27" t="s">
        <v>327</v>
      </c>
      <c r="B2562" s="28"/>
      <c r="C2562" s="27"/>
      <c r="D2562" s="27" t="str">
        <f>"""NAV Direct"",""CRONUS JetCorp USA"",""21"",""1"",""316885"""</f>
        <v>"NAV Direct","CRONUS JetCorp USA","21","1","316885"</v>
      </c>
      <c r="E2562" s="31" t="str">
        <f t="shared" si="782"/>
        <v>C100083</v>
      </c>
      <c r="F2562" s="31"/>
      <c r="G2562" s="31"/>
      <c r="H2562" s="31"/>
      <c r="I2562" s="56"/>
      <c r="J2562" s="56"/>
      <c r="K2562" s="82" t="str">
        <f t="shared" si="783"/>
        <v>Invoice</v>
      </c>
      <c r="L2562" s="83" t="str">
        <f>"SI_109849"</f>
        <v>SI_109849</v>
      </c>
      <c r="M2562" s="84">
        <v>43346</v>
      </c>
      <c r="N2562" s="85">
        <f t="shared" si="784"/>
        <v>466</v>
      </c>
      <c r="O2562" s="86">
        <f t="shared" si="785"/>
        <v>11482.77</v>
      </c>
      <c r="P2562" s="86">
        <f t="shared" si="786"/>
        <v>0</v>
      </c>
      <c r="Q2562" s="86">
        <f t="shared" si="787"/>
        <v>0</v>
      </c>
      <c r="R2562" s="86">
        <f t="shared" si="788"/>
        <v>0</v>
      </c>
      <c r="S2562" s="86">
        <f t="shared" si="789"/>
        <v>0</v>
      </c>
      <c r="T2562" s="86">
        <f t="shared" si="790"/>
        <v>11482.77</v>
      </c>
      <c r="U2562" s="87">
        <v>11482.77</v>
      </c>
    </row>
    <row r="2563" spans="1:21" s="30" customFormat="1" ht="24.6" hidden="1" outlineLevel="1" x14ac:dyDescent="0.55000000000000004">
      <c r="A2563" s="27" t="s">
        <v>327</v>
      </c>
      <c r="B2563" s="28"/>
      <c r="C2563" s="27"/>
      <c r="D2563" s="27" t="str">
        <f>"""NAV Direct"",""CRONUS JetCorp USA"",""21"",""1"",""316967"""</f>
        <v>"NAV Direct","CRONUS JetCorp USA","21","1","316967"</v>
      </c>
      <c r="E2563" s="31">
        <f t="shared" si="782"/>
        <v>0</v>
      </c>
      <c r="F2563" s="31"/>
      <c r="G2563" s="31"/>
      <c r="H2563" s="31"/>
      <c r="I2563" s="56"/>
      <c r="J2563" s="56"/>
      <c r="K2563" s="82" t="str">
        <f t="shared" si="783"/>
        <v>Invoice</v>
      </c>
      <c r="L2563" s="83" t="str">
        <f>"SI_109853"</f>
        <v>SI_109853</v>
      </c>
      <c r="M2563" s="84">
        <v>43388</v>
      </c>
      <c r="N2563" s="85">
        <f t="shared" si="784"/>
        <v>424</v>
      </c>
      <c r="O2563" s="86">
        <f t="shared" si="785"/>
        <v>11783.3</v>
      </c>
      <c r="P2563" s="86">
        <f t="shared" si="786"/>
        <v>0</v>
      </c>
      <c r="Q2563" s="86">
        <f t="shared" si="787"/>
        <v>0</v>
      </c>
      <c r="R2563" s="86">
        <f t="shared" si="788"/>
        <v>0</v>
      </c>
      <c r="S2563" s="86">
        <f t="shared" si="789"/>
        <v>0</v>
      </c>
      <c r="T2563" s="86">
        <f t="shared" si="790"/>
        <v>11783.3</v>
      </c>
      <c r="U2563" s="87">
        <v>11783.3</v>
      </c>
    </row>
    <row r="2564" spans="1:21" s="30" customFormat="1" ht="24.6" hidden="1" outlineLevel="1" x14ac:dyDescent="0.55000000000000004">
      <c r="A2564" s="27" t="s">
        <v>327</v>
      </c>
      <c r="B2564" s="28"/>
      <c r="C2564" s="27"/>
      <c r="D2564" s="27" t="str">
        <f>"""NAV Direct"",""CRONUS JetCorp USA"",""21"",""1"",""317015"""</f>
        <v>"NAV Direct","CRONUS JetCorp USA","21","1","317015"</v>
      </c>
      <c r="E2564" s="31" t="str">
        <f t="shared" ref="E2564:E2595" si="791">E2562</f>
        <v>C100083</v>
      </c>
      <c r="F2564" s="31"/>
      <c r="G2564" s="31"/>
      <c r="H2564" s="31"/>
      <c r="I2564" s="56"/>
      <c r="J2564" s="56"/>
      <c r="K2564" s="82" t="str">
        <f t="shared" ref="K2564:K2595" si="792">"Invoice"</f>
        <v>Invoice</v>
      </c>
      <c r="L2564" s="83" t="str">
        <f>"SI_109855"</f>
        <v>SI_109855</v>
      </c>
      <c r="M2564" s="84">
        <v>43404</v>
      </c>
      <c r="N2564" s="85">
        <f t="shared" ref="N2564:N2595" si="793">StartDate-$M2564+1</f>
        <v>408</v>
      </c>
      <c r="O2564" s="86">
        <f t="shared" ref="O2564:O2595" si="794">SUM(P2564:T2564)</f>
        <v>11543.07</v>
      </c>
      <c r="P2564" s="86">
        <f t="shared" ref="P2564:P2595" si="795">IF($M2564&gt;=$P$18,U2564,0)</f>
        <v>0</v>
      </c>
      <c r="Q2564" s="86">
        <f t="shared" ref="Q2564:Q2595" si="796">IF(AND($M2564&gt;=$Q$16,$M2564&lt;=$Q$18),U2564,0)</f>
        <v>0</v>
      </c>
      <c r="R2564" s="86">
        <f t="shared" ref="R2564:R2595" si="797">IF(AND($M2564&gt;=$R$16,$M2564&lt;=$R$18),U2564,0)</f>
        <v>0</v>
      </c>
      <c r="S2564" s="86">
        <f t="shared" ref="S2564:S2595" si="798">IF(AND($M2564&gt;=$S$16,$M2564&lt;=$S$18),U2564,0)</f>
        <v>0</v>
      </c>
      <c r="T2564" s="86">
        <f t="shared" ref="T2564:T2595" si="799">IF($M2564&lt;=$T$18,U2564,0)</f>
        <v>11543.07</v>
      </c>
      <c r="U2564" s="87">
        <v>11543.07</v>
      </c>
    </row>
    <row r="2565" spans="1:21" s="30" customFormat="1" ht="24.6" hidden="1" outlineLevel="1" x14ac:dyDescent="0.55000000000000004">
      <c r="A2565" s="27" t="s">
        <v>327</v>
      </c>
      <c r="B2565" s="28"/>
      <c r="C2565" s="27"/>
      <c r="D2565" s="27" t="str">
        <f>"""NAV Direct"",""CRONUS JetCorp USA"",""21"",""1"",""317046"""</f>
        <v>"NAV Direct","CRONUS JetCorp USA","21","1","317046"</v>
      </c>
      <c r="E2565" s="31">
        <f t="shared" si="791"/>
        <v>0</v>
      </c>
      <c r="F2565" s="31"/>
      <c r="G2565" s="31"/>
      <c r="H2565" s="31"/>
      <c r="I2565" s="56"/>
      <c r="J2565" s="56"/>
      <c r="K2565" s="82" t="str">
        <f t="shared" si="792"/>
        <v>Invoice</v>
      </c>
      <c r="L2565" s="83" t="str">
        <f>"SI_109856"</f>
        <v>SI_109856</v>
      </c>
      <c r="M2565" s="84">
        <v>43419</v>
      </c>
      <c r="N2565" s="85">
        <f t="shared" si="793"/>
        <v>393</v>
      </c>
      <c r="O2565" s="86">
        <f t="shared" si="794"/>
        <v>11969.53</v>
      </c>
      <c r="P2565" s="86">
        <f t="shared" si="795"/>
        <v>0</v>
      </c>
      <c r="Q2565" s="86">
        <f t="shared" si="796"/>
        <v>0</v>
      </c>
      <c r="R2565" s="86">
        <f t="shared" si="797"/>
        <v>0</v>
      </c>
      <c r="S2565" s="86">
        <f t="shared" si="798"/>
        <v>0</v>
      </c>
      <c r="T2565" s="86">
        <f t="shared" si="799"/>
        <v>11969.53</v>
      </c>
      <c r="U2565" s="87">
        <v>11969.53</v>
      </c>
    </row>
    <row r="2566" spans="1:21" s="30" customFormat="1" ht="24.6" hidden="1" outlineLevel="1" x14ac:dyDescent="0.55000000000000004">
      <c r="A2566" s="27" t="s">
        <v>327</v>
      </c>
      <c r="B2566" s="28"/>
      <c r="C2566" s="27"/>
      <c r="D2566" s="27" t="str">
        <f>"""NAV Direct"",""CRONUS JetCorp USA"",""21"",""1"",""317092"""</f>
        <v>"NAV Direct","CRONUS JetCorp USA","21","1","317092"</v>
      </c>
      <c r="E2566" s="31" t="str">
        <f t="shared" si="791"/>
        <v>C100083</v>
      </c>
      <c r="F2566" s="31"/>
      <c r="G2566" s="31"/>
      <c r="H2566" s="31"/>
      <c r="I2566" s="56"/>
      <c r="J2566" s="56"/>
      <c r="K2566" s="82" t="str">
        <f t="shared" si="792"/>
        <v>Invoice</v>
      </c>
      <c r="L2566" s="83" t="str">
        <f>"SI_109858"</f>
        <v>SI_109858</v>
      </c>
      <c r="M2566" s="84">
        <v>43433</v>
      </c>
      <c r="N2566" s="85">
        <f t="shared" si="793"/>
        <v>379</v>
      </c>
      <c r="O2566" s="86">
        <f t="shared" si="794"/>
        <v>12218.38</v>
      </c>
      <c r="P2566" s="86">
        <f t="shared" si="795"/>
        <v>0</v>
      </c>
      <c r="Q2566" s="86">
        <f t="shared" si="796"/>
        <v>0</v>
      </c>
      <c r="R2566" s="86">
        <f t="shared" si="797"/>
        <v>0</v>
      </c>
      <c r="S2566" s="86">
        <f t="shared" si="798"/>
        <v>0</v>
      </c>
      <c r="T2566" s="86">
        <f t="shared" si="799"/>
        <v>12218.38</v>
      </c>
      <c r="U2566" s="87">
        <v>12218.38</v>
      </c>
    </row>
    <row r="2567" spans="1:21" s="30" customFormat="1" ht="24.6" hidden="1" outlineLevel="1" x14ac:dyDescent="0.55000000000000004">
      <c r="A2567" s="27" t="s">
        <v>327</v>
      </c>
      <c r="B2567" s="28"/>
      <c r="C2567" s="27"/>
      <c r="D2567" s="27" t="str">
        <f>"""NAV Direct"",""CRONUS JetCorp USA"",""21"",""1"",""317113"""</f>
        <v>"NAV Direct","CRONUS JetCorp USA","21","1","317113"</v>
      </c>
      <c r="E2567" s="31">
        <f t="shared" si="791"/>
        <v>0</v>
      </c>
      <c r="F2567" s="31"/>
      <c r="G2567" s="31"/>
      <c r="H2567" s="31"/>
      <c r="I2567" s="56"/>
      <c r="J2567" s="56"/>
      <c r="K2567" s="82" t="str">
        <f t="shared" si="792"/>
        <v>Invoice</v>
      </c>
      <c r="L2567" s="83" t="str">
        <f>"SI_109859"</f>
        <v>SI_109859</v>
      </c>
      <c r="M2567" s="84">
        <v>43432</v>
      </c>
      <c r="N2567" s="85">
        <f t="shared" si="793"/>
        <v>380</v>
      </c>
      <c r="O2567" s="86">
        <f t="shared" si="794"/>
        <v>12219.749999999998</v>
      </c>
      <c r="P2567" s="86">
        <f t="shared" si="795"/>
        <v>0</v>
      </c>
      <c r="Q2567" s="86">
        <f t="shared" si="796"/>
        <v>0</v>
      </c>
      <c r="R2567" s="86">
        <f t="shared" si="797"/>
        <v>0</v>
      </c>
      <c r="S2567" s="86">
        <f t="shared" si="798"/>
        <v>0</v>
      </c>
      <c r="T2567" s="86">
        <f t="shared" si="799"/>
        <v>12219.749999999998</v>
      </c>
      <c r="U2567" s="87">
        <v>12219.749999999998</v>
      </c>
    </row>
    <row r="2568" spans="1:21" s="30" customFormat="1" ht="24.6" hidden="1" outlineLevel="1" x14ac:dyDescent="0.55000000000000004">
      <c r="A2568" s="27" t="s">
        <v>327</v>
      </c>
      <c r="B2568" s="28"/>
      <c r="C2568" s="27"/>
      <c r="D2568" s="27" t="str">
        <f>"""NAV Direct"",""CRONUS JetCorp USA"",""21"",""1"",""317169"""</f>
        <v>"NAV Direct","CRONUS JetCorp USA","21","1","317169"</v>
      </c>
      <c r="E2568" s="31" t="str">
        <f t="shared" si="791"/>
        <v>C100083</v>
      </c>
      <c r="F2568" s="31"/>
      <c r="G2568" s="31"/>
      <c r="H2568" s="31"/>
      <c r="I2568" s="56"/>
      <c r="J2568" s="56"/>
      <c r="K2568" s="82" t="str">
        <f t="shared" si="792"/>
        <v>Invoice</v>
      </c>
      <c r="L2568" s="83" t="str">
        <f>"SI_109861"</f>
        <v>SI_109861</v>
      </c>
      <c r="M2568" s="84">
        <v>43450</v>
      </c>
      <c r="N2568" s="85">
        <f t="shared" si="793"/>
        <v>362</v>
      </c>
      <c r="O2568" s="86">
        <f t="shared" si="794"/>
        <v>12389.44</v>
      </c>
      <c r="P2568" s="86">
        <f t="shared" si="795"/>
        <v>0</v>
      </c>
      <c r="Q2568" s="86">
        <f t="shared" si="796"/>
        <v>0</v>
      </c>
      <c r="R2568" s="86">
        <f t="shared" si="797"/>
        <v>0</v>
      </c>
      <c r="S2568" s="86">
        <f t="shared" si="798"/>
        <v>0</v>
      </c>
      <c r="T2568" s="86">
        <f t="shared" si="799"/>
        <v>12389.44</v>
      </c>
      <c r="U2568" s="87">
        <v>12389.44</v>
      </c>
    </row>
    <row r="2569" spans="1:21" s="30" customFormat="1" ht="24.6" hidden="1" outlineLevel="1" x14ac:dyDescent="0.55000000000000004">
      <c r="A2569" s="27" t="s">
        <v>327</v>
      </c>
      <c r="B2569" s="28"/>
      <c r="C2569" s="27"/>
      <c r="D2569" s="27" t="str">
        <f>"""NAV Direct"",""CRONUS JetCorp USA"",""21"",""1"",""317215"""</f>
        <v>"NAV Direct","CRONUS JetCorp USA","21","1","317215"</v>
      </c>
      <c r="E2569" s="31">
        <f t="shared" si="791"/>
        <v>0</v>
      </c>
      <c r="F2569" s="31"/>
      <c r="G2569" s="31"/>
      <c r="H2569" s="31"/>
      <c r="I2569" s="56"/>
      <c r="J2569" s="56"/>
      <c r="K2569" s="82" t="str">
        <f t="shared" si="792"/>
        <v>Invoice</v>
      </c>
      <c r="L2569" s="83" t="str">
        <f>"SI_109863"</f>
        <v>SI_109863</v>
      </c>
      <c r="M2569" s="84">
        <v>43456</v>
      </c>
      <c r="N2569" s="85">
        <f t="shared" si="793"/>
        <v>356</v>
      </c>
      <c r="O2569" s="86">
        <f t="shared" si="794"/>
        <v>12136.85</v>
      </c>
      <c r="P2569" s="86">
        <f t="shared" si="795"/>
        <v>0</v>
      </c>
      <c r="Q2569" s="86">
        <f t="shared" si="796"/>
        <v>0</v>
      </c>
      <c r="R2569" s="86">
        <f t="shared" si="797"/>
        <v>0</v>
      </c>
      <c r="S2569" s="86">
        <f t="shared" si="798"/>
        <v>0</v>
      </c>
      <c r="T2569" s="86">
        <f t="shared" si="799"/>
        <v>12136.85</v>
      </c>
      <c r="U2569" s="87">
        <v>12136.85</v>
      </c>
    </row>
    <row r="2570" spans="1:21" s="30" customFormat="1" ht="24.6" hidden="1" outlineLevel="1" x14ac:dyDescent="0.55000000000000004">
      <c r="A2570" s="27" t="s">
        <v>327</v>
      </c>
      <c r="B2570" s="28"/>
      <c r="C2570" s="27"/>
      <c r="D2570" s="27" t="str">
        <f>"""NAV Direct"",""CRONUS JetCorp USA"",""21"",""1"",""317338"""</f>
        <v>"NAV Direct","CRONUS JetCorp USA","21","1","317338"</v>
      </c>
      <c r="E2570" s="31" t="str">
        <f t="shared" si="791"/>
        <v>C100083</v>
      </c>
      <c r="F2570" s="31"/>
      <c r="G2570" s="31"/>
      <c r="H2570" s="31"/>
      <c r="I2570" s="56"/>
      <c r="J2570" s="56"/>
      <c r="K2570" s="82" t="str">
        <f t="shared" si="792"/>
        <v>Invoice</v>
      </c>
      <c r="L2570" s="83" t="str">
        <f>"SI_109868"</f>
        <v>SI_109868</v>
      </c>
      <c r="M2570" s="84">
        <v>43487</v>
      </c>
      <c r="N2570" s="85">
        <f t="shared" si="793"/>
        <v>325</v>
      </c>
      <c r="O2570" s="86">
        <f t="shared" si="794"/>
        <v>12131.269999999999</v>
      </c>
      <c r="P2570" s="86">
        <f t="shared" si="795"/>
        <v>0</v>
      </c>
      <c r="Q2570" s="86">
        <f t="shared" si="796"/>
        <v>0</v>
      </c>
      <c r="R2570" s="86">
        <f t="shared" si="797"/>
        <v>0</v>
      </c>
      <c r="S2570" s="86">
        <f t="shared" si="798"/>
        <v>0</v>
      </c>
      <c r="T2570" s="86">
        <f t="shared" si="799"/>
        <v>12131.269999999999</v>
      </c>
      <c r="U2570" s="87">
        <v>12131.269999999999</v>
      </c>
    </row>
    <row r="2571" spans="1:21" s="30" customFormat="1" ht="24.6" hidden="1" outlineLevel="1" x14ac:dyDescent="0.55000000000000004">
      <c r="A2571" s="27" t="s">
        <v>327</v>
      </c>
      <c r="B2571" s="28"/>
      <c r="C2571" s="27"/>
      <c r="D2571" s="27" t="str">
        <f>"""NAV Direct"",""CRONUS JetCorp USA"",""21"",""1"",""317386"""</f>
        <v>"NAV Direct","CRONUS JetCorp USA","21","1","317386"</v>
      </c>
      <c r="E2571" s="31">
        <f t="shared" si="791"/>
        <v>0</v>
      </c>
      <c r="F2571" s="31"/>
      <c r="G2571" s="31"/>
      <c r="H2571" s="31"/>
      <c r="I2571" s="56"/>
      <c r="J2571" s="56"/>
      <c r="K2571" s="82" t="str">
        <f t="shared" si="792"/>
        <v>Invoice</v>
      </c>
      <c r="L2571" s="83" t="str">
        <f>"SI_109870"</f>
        <v>SI_109870</v>
      </c>
      <c r="M2571" s="84">
        <v>43494</v>
      </c>
      <c r="N2571" s="85">
        <f t="shared" si="793"/>
        <v>318</v>
      </c>
      <c r="O2571" s="86">
        <f t="shared" si="794"/>
        <v>12131.62</v>
      </c>
      <c r="P2571" s="86">
        <f t="shared" si="795"/>
        <v>0</v>
      </c>
      <c r="Q2571" s="86">
        <f t="shared" si="796"/>
        <v>0</v>
      </c>
      <c r="R2571" s="86">
        <f t="shared" si="797"/>
        <v>0</v>
      </c>
      <c r="S2571" s="86">
        <f t="shared" si="798"/>
        <v>0</v>
      </c>
      <c r="T2571" s="86">
        <f t="shared" si="799"/>
        <v>12131.62</v>
      </c>
      <c r="U2571" s="87">
        <v>12131.62</v>
      </c>
    </row>
    <row r="2572" spans="1:21" s="30" customFormat="1" ht="24.6" hidden="1" outlineLevel="1" x14ac:dyDescent="0.55000000000000004">
      <c r="A2572" s="27" t="s">
        <v>327</v>
      </c>
      <c r="B2572" s="28"/>
      <c r="C2572" s="27"/>
      <c r="D2572" s="27" t="str">
        <f>"""NAV Direct"",""CRONUS JetCorp USA"",""21"",""1"",""317438"""</f>
        <v>"NAV Direct","CRONUS JetCorp USA","21","1","317438"</v>
      </c>
      <c r="E2572" s="31" t="str">
        <f t="shared" si="791"/>
        <v>C100083</v>
      </c>
      <c r="F2572" s="31"/>
      <c r="G2572" s="31"/>
      <c r="H2572" s="31"/>
      <c r="I2572" s="56"/>
      <c r="J2572" s="56"/>
      <c r="K2572" s="82" t="str">
        <f t="shared" si="792"/>
        <v>Invoice</v>
      </c>
      <c r="L2572" s="83" t="str">
        <f>"SI_109872"</f>
        <v>SI_109872</v>
      </c>
      <c r="M2572" s="84">
        <v>43517</v>
      </c>
      <c r="N2572" s="85">
        <f t="shared" si="793"/>
        <v>295</v>
      </c>
      <c r="O2572" s="86">
        <f t="shared" si="794"/>
        <v>12568.11</v>
      </c>
      <c r="P2572" s="86">
        <f t="shared" si="795"/>
        <v>0</v>
      </c>
      <c r="Q2572" s="86">
        <f t="shared" si="796"/>
        <v>0</v>
      </c>
      <c r="R2572" s="86">
        <f t="shared" si="797"/>
        <v>0</v>
      </c>
      <c r="S2572" s="86">
        <f t="shared" si="798"/>
        <v>0</v>
      </c>
      <c r="T2572" s="86">
        <f t="shared" si="799"/>
        <v>12568.11</v>
      </c>
      <c r="U2572" s="87">
        <v>12568.11</v>
      </c>
    </row>
    <row r="2573" spans="1:21" s="30" customFormat="1" ht="24.6" hidden="1" outlineLevel="1" x14ac:dyDescent="0.55000000000000004">
      <c r="A2573" s="27" t="s">
        <v>327</v>
      </c>
      <c r="B2573" s="28"/>
      <c r="C2573" s="27"/>
      <c r="D2573" s="27" t="str">
        <f>"""NAV Direct"",""CRONUS JetCorp USA"",""21"",""1"",""317490"""</f>
        <v>"NAV Direct","CRONUS JetCorp USA","21","1","317490"</v>
      </c>
      <c r="E2573" s="31">
        <f t="shared" si="791"/>
        <v>0</v>
      </c>
      <c r="F2573" s="31"/>
      <c r="G2573" s="31"/>
      <c r="H2573" s="31"/>
      <c r="I2573" s="56"/>
      <c r="J2573" s="56"/>
      <c r="K2573" s="82" t="str">
        <f t="shared" si="792"/>
        <v>Invoice</v>
      </c>
      <c r="L2573" s="83" t="str">
        <f>"SI_109874"</f>
        <v>SI_109874</v>
      </c>
      <c r="M2573" s="84">
        <v>43523</v>
      </c>
      <c r="N2573" s="85">
        <f t="shared" si="793"/>
        <v>289</v>
      </c>
      <c r="O2573" s="86">
        <f t="shared" si="794"/>
        <v>12965.480000000001</v>
      </c>
      <c r="P2573" s="86">
        <f t="shared" si="795"/>
        <v>0</v>
      </c>
      <c r="Q2573" s="86">
        <f t="shared" si="796"/>
        <v>0</v>
      </c>
      <c r="R2573" s="86">
        <f t="shared" si="797"/>
        <v>0</v>
      </c>
      <c r="S2573" s="86">
        <f t="shared" si="798"/>
        <v>0</v>
      </c>
      <c r="T2573" s="86">
        <f t="shared" si="799"/>
        <v>12965.480000000001</v>
      </c>
      <c r="U2573" s="87">
        <v>12965.480000000001</v>
      </c>
    </row>
    <row r="2574" spans="1:21" s="30" customFormat="1" ht="24.6" hidden="1" outlineLevel="1" x14ac:dyDescent="0.55000000000000004">
      <c r="A2574" s="27" t="s">
        <v>327</v>
      </c>
      <c r="B2574" s="28"/>
      <c r="C2574" s="27"/>
      <c r="D2574" s="27" t="str">
        <f>"""NAV Direct"",""CRONUS JetCorp USA"",""21"",""1"",""317546"""</f>
        <v>"NAV Direct","CRONUS JetCorp USA","21","1","317546"</v>
      </c>
      <c r="E2574" s="31" t="str">
        <f t="shared" si="791"/>
        <v>C100083</v>
      </c>
      <c r="F2574" s="31"/>
      <c r="G2574" s="31"/>
      <c r="H2574" s="31"/>
      <c r="I2574" s="56"/>
      <c r="J2574" s="56"/>
      <c r="K2574" s="82" t="str">
        <f t="shared" si="792"/>
        <v>Invoice</v>
      </c>
      <c r="L2574" s="83" t="str">
        <f>"SI_109876"</f>
        <v>SI_109876</v>
      </c>
      <c r="M2574" s="84">
        <v>43550</v>
      </c>
      <c r="N2574" s="85">
        <f t="shared" si="793"/>
        <v>262</v>
      </c>
      <c r="O2574" s="86">
        <f t="shared" si="794"/>
        <v>13250.400000000001</v>
      </c>
      <c r="P2574" s="86">
        <f t="shared" si="795"/>
        <v>0</v>
      </c>
      <c r="Q2574" s="86">
        <f t="shared" si="796"/>
        <v>0</v>
      </c>
      <c r="R2574" s="86">
        <f t="shared" si="797"/>
        <v>0</v>
      </c>
      <c r="S2574" s="86">
        <f t="shared" si="798"/>
        <v>0</v>
      </c>
      <c r="T2574" s="86">
        <f t="shared" si="799"/>
        <v>13250.400000000001</v>
      </c>
      <c r="U2574" s="87">
        <v>13250.400000000001</v>
      </c>
    </row>
    <row r="2575" spans="1:21" s="30" customFormat="1" ht="24.6" hidden="1" outlineLevel="1" x14ac:dyDescent="0.55000000000000004">
      <c r="A2575" s="27" t="s">
        <v>327</v>
      </c>
      <c r="B2575" s="28"/>
      <c r="C2575" s="27"/>
      <c r="D2575" s="27" t="str">
        <f>"""NAV Direct"",""CRONUS JetCorp USA"",""21"",""1"",""317600"""</f>
        <v>"NAV Direct","CRONUS JetCorp USA","21","1","317600"</v>
      </c>
      <c r="E2575" s="31">
        <f t="shared" si="791"/>
        <v>0</v>
      </c>
      <c r="F2575" s="31"/>
      <c r="G2575" s="31"/>
      <c r="H2575" s="31"/>
      <c r="I2575" s="56"/>
      <c r="J2575" s="56"/>
      <c r="K2575" s="82" t="str">
        <f t="shared" si="792"/>
        <v>Invoice</v>
      </c>
      <c r="L2575" s="83" t="str">
        <f>"SI_109878"</f>
        <v>SI_109878</v>
      </c>
      <c r="M2575" s="84">
        <v>43561</v>
      </c>
      <c r="N2575" s="85">
        <f t="shared" si="793"/>
        <v>251</v>
      </c>
      <c r="O2575" s="86">
        <f t="shared" si="794"/>
        <v>13250.26</v>
      </c>
      <c r="P2575" s="86">
        <f t="shared" si="795"/>
        <v>0</v>
      </c>
      <c r="Q2575" s="86">
        <f t="shared" si="796"/>
        <v>0</v>
      </c>
      <c r="R2575" s="86">
        <f t="shared" si="797"/>
        <v>0</v>
      </c>
      <c r="S2575" s="86">
        <f t="shared" si="798"/>
        <v>0</v>
      </c>
      <c r="T2575" s="86">
        <f t="shared" si="799"/>
        <v>13250.26</v>
      </c>
      <c r="U2575" s="87">
        <v>13250.26</v>
      </c>
    </row>
    <row r="2576" spans="1:21" s="30" customFormat="1" ht="24.6" hidden="1" outlineLevel="1" x14ac:dyDescent="0.55000000000000004">
      <c r="A2576" s="27" t="s">
        <v>327</v>
      </c>
      <c r="B2576" s="28"/>
      <c r="C2576" s="27"/>
      <c r="D2576" s="27" t="str">
        <f>"""NAV Direct"",""CRONUS JetCorp USA"",""21"",""1"",""317685"""</f>
        <v>"NAV Direct","CRONUS JetCorp USA","21","1","317685"</v>
      </c>
      <c r="E2576" s="31" t="str">
        <f t="shared" si="791"/>
        <v>C100083</v>
      </c>
      <c r="F2576" s="31"/>
      <c r="G2576" s="31"/>
      <c r="H2576" s="31"/>
      <c r="I2576" s="56"/>
      <c r="J2576" s="56"/>
      <c r="K2576" s="82" t="str">
        <f t="shared" si="792"/>
        <v>Invoice</v>
      </c>
      <c r="L2576" s="83" t="str">
        <f>"SI_109881"</f>
        <v>SI_109881</v>
      </c>
      <c r="M2576" s="84">
        <v>43587</v>
      </c>
      <c r="N2576" s="85">
        <f t="shared" si="793"/>
        <v>225</v>
      </c>
      <c r="O2576" s="86">
        <f t="shared" si="794"/>
        <v>11880.699999999999</v>
      </c>
      <c r="P2576" s="86">
        <f t="shared" si="795"/>
        <v>0</v>
      </c>
      <c r="Q2576" s="86">
        <f t="shared" si="796"/>
        <v>0</v>
      </c>
      <c r="R2576" s="86">
        <f t="shared" si="797"/>
        <v>0</v>
      </c>
      <c r="S2576" s="86">
        <f t="shared" si="798"/>
        <v>0</v>
      </c>
      <c r="T2576" s="86">
        <f t="shared" si="799"/>
        <v>11880.699999999999</v>
      </c>
      <c r="U2576" s="87">
        <v>11880.699999999999</v>
      </c>
    </row>
    <row r="2577" spans="1:21" s="30" customFormat="1" ht="24.6" hidden="1" outlineLevel="1" x14ac:dyDescent="0.55000000000000004">
      <c r="A2577" s="27" t="s">
        <v>327</v>
      </c>
      <c r="B2577" s="28"/>
      <c r="C2577" s="27"/>
      <c r="D2577" s="27" t="str">
        <f>"""NAV Direct"",""CRONUS JetCorp USA"",""21"",""1"",""317741"""</f>
        <v>"NAV Direct","CRONUS JetCorp USA","21","1","317741"</v>
      </c>
      <c r="E2577" s="31">
        <f t="shared" si="791"/>
        <v>0</v>
      </c>
      <c r="F2577" s="31"/>
      <c r="G2577" s="31"/>
      <c r="H2577" s="31"/>
      <c r="I2577" s="56"/>
      <c r="J2577" s="56"/>
      <c r="K2577" s="82" t="str">
        <f t="shared" si="792"/>
        <v>Invoice</v>
      </c>
      <c r="L2577" s="83" t="str">
        <f>"SI_109883"</f>
        <v>SI_109883</v>
      </c>
      <c r="M2577" s="84">
        <v>43607</v>
      </c>
      <c r="N2577" s="85">
        <f t="shared" si="793"/>
        <v>205</v>
      </c>
      <c r="O2577" s="86">
        <f t="shared" si="794"/>
        <v>13208.470000000001</v>
      </c>
      <c r="P2577" s="86">
        <f t="shared" si="795"/>
        <v>0</v>
      </c>
      <c r="Q2577" s="86">
        <f t="shared" si="796"/>
        <v>0</v>
      </c>
      <c r="R2577" s="86">
        <f t="shared" si="797"/>
        <v>0</v>
      </c>
      <c r="S2577" s="86">
        <f t="shared" si="798"/>
        <v>0</v>
      </c>
      <c r="T2577" s="86">
        <f t="shared" si="799"/>
        <v>13208.470000000001</v>
      </c>
      <c r="U2577" s="87">
        <v>13208.470000000001</v>
      </c>
    </row>
    <row r="2578" spans="1:21" s="30" customFormat="1" ht="24.6" hidden="1" outlineLevel="1" x14ac:dyDescent="0.55000000000000004">
      <c r="A2578" s="27" t="s">
        <v>327</v>
      </c>
      <c r="B2578" s="28"/>
      <c r="C2578" s="27"/>
      <c r="D2578" s="27" t="str">
        <f>"""NAV Direct"",""CRONUS JetCorp USA"",""21"",""1"",""317766"""</f>
        <v>"NAV Direct","CRONUS JetCorp USA","21","1","317766"</v>
      </c>
      <c r="E2578" s="31" t="str">
        <f t="shared" si="791"/>
        <v>C100083</v>
      </c>
      <c r="F2578" s="31"/>
      <c r="G2578" s="31"/>
      <c r="H2578" s="31"/>
      <c r="I2578" s="56"/>
      <c r="J2578" s="56"/>
      <c r="K2578" s="82" t="str">
        <f t="shared" si="792"/>
        <v>Invoice</v>
      </c>
      <c r="L2578" s="83" t="str">
        <f>"SI_109884"</f>
        <v>SI_109884</v>
      </c>
      <c r="M2578" s="84">
        <v>43617</v>
      </c>
      <c r="N2578" s="85">
        <f t="shared" si="793"/>
        <v>195</v>
      </c>
      <c r="O2578" s="86">
        <f t="shared" si="794"/>
        <v>12639.99</v>
      </c>
      <c r="P2578" s="86">
        <f t="shared" si="795"/>
        <v>0</v>
      </c>
      <c r="Q2578" s="86">
        <f t="shared" si="796"/>
        <v>0</v>
      </c>
      <c r="R2578" s="86">
        <f t="shared" si="797"/>
        <v>0</v>
      </c>
      <c r="S2578" s="86">
        <f t="shared" si="798"/>
        <v>0</v>
      </c>
      <c r="T2578" s="86">
        <f t="shared" si="799"/>
        <v>12639.99</v>
      </c>
      <c r="U2578" s="87">
        <v>12639.99</v>
      </c>
    </row>
    <row r="2579" spans="1:21" s="30" customFormat="1" ht="24.6" hidden="1" outlineLevel="1" x14ac:dyDescent="0.55000000000000004">
      <c r="A2579" s="27" t="s">
        <v>327</v>
      </c>
      <c r="B2579" s="28"/>
      <c r="C2579" s="27"/>
      <c r="D2579" s="27" t="str">
        <f>"""NAV Direct"",""CRONUS JetCorp USA"",""21"",""1"",""317791"""</f>
        <v>"NAV Direct","CRONUS JetCorp USA","21","1","317791"</v>
      </c>
      <c r="E2579" s="31">
        <f t="shared" si="791"/>
        <v>0</v>
      </c>
      <c r="F2579" s="31"/>
      <c r="G2579" s="31"/>
      <c r="H2579" s="31"/>
      <c r="I2579" s="56"/>
      <c r="J2579" s="56"/>
      <c r="K2579" s="82" t="str">
        <f t="shared" si="792"/>
        <v>Invoice</v>
      </c>
      <c r="L2579" s="83" t="str">
        <f>"SI_109885"</f>
        <v>SI_109885</v>
      </c>
      <c r="M2579" s="84">
        <v>43620</v>
      </c>
      <c r="N2579" s="85">
        <f t="shared" si="793"/>
        <v>192</v>
      </c>
      <c r="O2579" s="86">
        <f t="shared" si="794"/>
        <v>12497.939999999999</v>
      </c>
      <c r="P2579" s="86">
        <f t="shared" si="795"/>
        <v>0</v>
      </c>
      <c r="Q2579" s="86">
        <f t="shared" si="796"/>
        <v>0</v>
      </c>
      <c r="R2579" s="86">
        <f t="shared" si="797"/>
        <v>0</v>
      </c>
      <c r="S2579" s="86">
        <f t="shared" si="798"/>
        <v>0</v>
      </c>
      <c r="T2579" s="86">
        <f t="shared" si="799"/>
        <v>12497.939999999999</v>
      </c>
      <c r="U2579" s="87">
        <v>12497.939999999999</v>
      </c>
    </row>
    <row r="2580" spans="1:21" s="30" customFormat="1" ht="24.6" hidden="1" outlineLevel="1" x14ac:dyDescent="0.55000000000000004">
      <c r="A2580" s="27" t="s">
        <v>327</v>
      </c>
      <c r="B2580" s="28"/>
      <c r="C2580" s="27"/>
      <c r="D2580" s="27" t="str">
        <f>"""NAV Direct"",""CRONUS JetCorp USA"",""21"",""1"",""317812"""</f>
        <v>"NAV Direct","CRONUS JetCorp USA","21","1","317812"</v>
      </c>
      <c r="E2580" s="31" t="str">
        <f t="shared" si="791"/>
        <v>C100083</v>
      </c>
      <c r="F2580" s="31"/>
      <c r="G2580" s="31"/>
      <c r="H2580" s="31"/>
      <c r="I2580" s="56"/>
      <c r="J2580" s="56"/>
      <c r="K2580" s="82" t="str">
        <f t="shared" si="792"/>
        <v>Invoice</v>
      </c>
      <c r="L2580" s="83" t="str">
        <f>"SI_109886"</f>
        <v>SI_109886</v>
      </c>
      <c r="M2580" s="84">
        <v>43625</v>
      </c>
      <c r="N2580" s="85">
        <f t="shared" si="793"/>
        <v>187</v>
      </c>
      <c r="O2580" s="86">
        <f t="shared" si="794"/>
        <v>12213.839999999998</v>
      </c>
      <c r="P2580" s="86">
        <f t="shared" si="795"/>
        <v>0</v>
      </c>
      <c r="Q2580" s="86">
        <f t="shared" si="796"/>
        <v>0</v>
      </c>
      <c r="R2580" s="86">
        <f t="shared" si="797"/>
        <v>0</v>
      </c>
      <c r="S2580" s="86">
        <f t="shared" si="798"/>
        <v>0</v>
      </c>
      <c r="T2580" s="86">
        <f t="shared" si="799"/>
        <v>12213.839999999998</v>
      </c>
      <c r="U2580" s="87">
        <v>12213.839999999998</v>
      </c>
    </row>
    <row r="2581" spans="1:21" s="30" customFormat="1" ht="24.6" hidden="1" outlineLevel="1" x14ac:dyDescent="0.55000000000000004">
      <c r="A2581" s="27" t="s">
        <v>327</v>
      </c>
      <c r="B2581" s="28"/>
      <c r="C2581" s="27"/>
      <c r="D2581" s="27" t="str">
        <f>"""NAV Direct"",""CRONUS JetCorp USA"",""21"",""1"",""317835"""</f>
        <v>"NAV Direct","CRONUS JetCorp USA","21","1","317835"</v>
      </c>
      <c r="E2581" s="31">
        <f t="shared" si="791"/>
        <v>0</v>
      </c>
      <c r="F2581" s="31"/>
      <c r="G2581" s="31"/>
      <c r="H2581" s="31"/>
      <c r="I2581" s="56"/>
      <c r="J2581" s="56"/>
      <c r="K2581" s="82" t="str">
        <f t="shared" si="792"/>
        <v>Invoice</v>
      </c>
      <c r="L2581" s="83" t="str">
        <f>"SI_109887"</f>
        <v>SI_109887</v>
      </c>
      <c r="M2581" s="84">
        <v>43634</v>
      </c>
      <c r="N2581" s="85">
        <f t="shared" si="793"/>
        <v>178</v>
      </c>
      <c r="O2581" s="86">
        <f t="shared" si="794"/>
        <v>12585.45</v>
      </c>
      <c r="P2581" s="86">
        <f t="shared" si="795"/>
        <v>0</v>
      </c>
      <c r="Q2581" s="86">
        <f t="shared" si="796"/>
        <v>0</v>
      </c>
      <c r="R2581" s="86">
        <f t="shared" si="797"/>
        <v>0</v>
      </c>
      <c r="S2581" s="86">
        <f t="shared" si="798"/>
        <v>0</v>
      </c>
      <c r="T2581" s="86">
        <f t="shared" si="799"/>
        <v>12585.45</v>
      </c>
      <c r="U2581" s="87">
        <v>12585.45</v>
      </c>
    </row>
    <row r="2582" spans="1:21" s="30" customFormat="1" ht="24.6" hidden="1" outlineLevel="1" x14ac:dyDescent="0.55000000000000004">
      <c r="A2582" s="27" t="s">
        <v>327</v>
      </c>
      <c r="B2582" s="28"/>
      <c r="C2582" s="27"/>
      <c r="D2582" s="27" t="str">
        <f>"""NAV Direct"",""CRONUS JetCorp USA"",""21"",""1"",""317887"""</f>
        <v>"NAV Direct","CRONUS JetCorp USA","21","1","317887"</v>
      </c>
      <c r="E2582" s="31" t="str">
        <f t="shared" si="791"/>
        <v>C100083</v>
      </c>
      <c r="F2582" s="31"/>
      <c r="G2582" s="31"/>
      <c r="H2582" s="31"/>
      <c r="I2582" s="56"/>
      <c r="J2582" s="56"/>
      <c r="K2582" s="82" t="str">
        <f t="shared" si="792"/>
        <v>Invoice</v>
      </c>
      <c r="L2582" s="83" t="str">
        <f>"SI_109889"</f>
        <v>SI_109889</v>
      </c>
      <c r="M2582" s="84">
        <v>43644</v>
      </c>
      <c r="N2582" s="85">
        <f t="shared" si="793"/>
        <v>168</v>
      </c>
      <c r="O2582" s="86">
        <f t="shared" si="794"/>
        <v>12585.19</v>
      </c>
      <c r="P2582" s="86">
        <f t="shared" si="795"/>
        <v>0</v>
      </c>
      <c r="Q2582" s="86">
        <f t="shared" si="796"/>
        <v>0</v>
      </c>
      <c r="R2582" s="86">
        <f t="shared" si="797"/>
        <v>0</v>
      </c>
      <c r="S2582" s="86">
        <f t="shared" si="798"/>
        <v>0</v>
      </c>
      <c r="T2582" s="86">
        <f t="shared" si="799"/>
        <v>12585.19</v>
      </c>
      <c r="U2582" s="87">
        <v>12585.19</v>
      </c>
    </row>
    <row r="2583" spans="1:21" s="30" customFormat="1" ht="24.6" hidden="1" outlineLevel="1" x14ac:dyDescent="0.55000000000000004">
      <c r="A2583" s="27" t="s">
        <v>327</v>
      </c>
      <c r="B2583" s="28"/>
      <c r="C2583" s="27"/>
      <c r="D2583" s="27" t="str">
        <f>"""NAV Direct"",""CRONUS JetCorp USA"",""21"",""1"",""317939"""</f>
        <v>"NAV Direct","CRONUS JetCorp USA","21","1","317939"</v>
      </c>
      <c r="E2583" s="31">
        <f t="shared" si="791"/>
        <v>0</v>
      </c>
      <c r="F2583" s="31"/>
      <c r="G2583" s="31"/>
      <c r="H2583" s="31"/>
      <c r="I2583" s="56"/>
      <c r="J2583" s="56"/>
      <c r="K2583" s="82" t="str">
        <f t="shared" si="792"/>
        <v>Invoice</v>
      </c>
      <c r="L2583" s="83" t="str">
        <f>"SI_109891"</f>
        <v>SI_109891</v>
      </c>
      <c r="M2583" s="84">
        <v>43661</v>
      </c>
      <c r="N2583" s="85">
        <f t="shared" si="793"/>
        <v>151</v>
      </c>
      <c r="O2583" s="86">
        <f t="shared" si="794"/>
        <v>13539.84</v>
      </c>
      <c r="P2583" s="86">
        <f t="shared" si="795"/>
        <v>0</v>
      </c>
      <c r="Q2583" s="86">
        <f t="shared" si="796"/>
        <v>0</v>
      </c>
      <c r="R2583" s="86">
        <f t="shared" si="797"/>
        <v>0</v>
      </c>
      <c r="S2583" s="86">
        <f t="shared" si="798"/>
        <v>0</v>
      </c>
      <c r="T2583" s="86">
        <f t="shared" si="799"/>
        <v>13539.84</v>
      </c>
      <c r="U2583" s="87">
        <v>13539.84</v>
      </c>
    </row>
    <row r="2584" spans="1:21" s="30" customFormat="1" ht="24.6" hidden="1" outlineLevel="1" x14ac:dyDescent="0.55000000000000004">
      <c r="A2584" s="27" t="s">
        <v>327</v>
      </c>
      <c r="B2584" s="28"/>
      <c r="C2584" s="27"/>
      <c r="D2584" s="27" t="str">
        <f>"""NAV Direct"",""CRONUS JetCorp USA"",""21"",""1"",""317966"""</f>
        <v>"NAV Direct","CRONUS JetCorp USA","21","1","317966"</v>
      </c>
      <c r="E2584" s="31" t="str">
        <f t="shared" si="791"/>
        <v>C100083</v>
      </c>
      <c r="F2584" s="31"/>
      <c r="G2584" s="31"/>
      <c r="H2584" s="31"/>
      <c r="I2584" s="56"/>
      <c r="J2584" s="56"/>
      <c r="K2584" s="82" t="str">
        <f t="shared" si="792"/>
        <v>Invoice</v>
      </c>
      <c r="L2584" s="83" t="str">
        <f>"SI_109892"</f>
        <v>SI_109892</v>
      </c>
      <c r="M2584" s="84">
        <v>43670</v>
      </c>
      <c r="N2584" s="85">
        <f t="shared" si="793"/>
        <v>142</v>
      </c>
      <c r="O2584" s="86">
        <f t="shared" si="794"/>
        <v>13392.349999999999</v>
      </c>
      <c r="P2584" s="86">
        <f t="shared" si="795"/>
        <v>0</v>
      </c>
      <c r="Q2584" s="86">
        <f t="shared" si="796"/>
        <v>0</v>
      </c>
      <c r="R2584" s="86">
        <f t="shared" si="797"/>
        <v>0</v>
      </c>
      <c r="S2584" s="86">
        <f t="shared" si="798"/>
        <v>0</v>
      </c>
      <c r="T2584" s="86">
        <f t="shared" si="799"/>
        <v>13392.349999999999</v>
      </c>
      <c r="U2584" s="87">
        <v>13392.349999999999</v>
      </c>
    </row>
    <row r="2585" spans="1:21" s="30" customFormat="1" ht="24.6" hidden="1" outlineLevel="1" x14ac:dyDescent="0.55000000000000004">
      <c r="A2585" s="27" t="s">
        <v>327</v>
      </c>
      <c r="B2585" s="28"/>
      <c r="C2585" s="27"/>
      <c r="D2585" s="27" t="str">
        <f>"""NAV Direct"",""CRONUS JetCorp USA"",""21"",""1"",""317993"""</f>
        <v>"NAV Direct","CRONUS JetCorp USA","21","1","317993"</v>
      </c>
      <c r="E2585" s="31">
        <f t="shared" si="791"/>
        <v>0</v>
      </c>
      <c r="F2585" s="31"/>
      <c r="G2585" s="31"/>
      <c r="H2585" s="31"/>
      <c r="I2585" s="56"/>
      <c r="J2585" s="56"/>
      <c r="K2585" s="82" t="str">
        <f t="shared" si="792"/>
        <v>Invoice</v>
      </c>
      <c r="L2585" s="83" t="str">
        <f>"SI_109893"</f>
        <v>SI_109893</v>
      </c>
      <c r="M2585" s="84">
        <v>43671</v>
      </c>
      <c r="N2585" s="85">
        <f t="shared" si="793"/>
        <v>141</v>
      </c>
      <c r="O2585" s="86">
        <f t="shared" si="794"/>
        <v>13540.07</v>
      </c>
      <c r="P2585" s="86">
        <f t="shared" si="795"/>
        <v>0</v>
      </c>
      <c r="Q2585" s="86">
        <f t="shared" si="796"/>
        <v>0</v>
      </c>
      <c r="R2585" s="86">
        <f t="shared" si="797"/>
        <v>0</v>
      </c>
      <c r="S2585" s="86">
        <f t="shared" si="798"/>
        <v>0</v>
      </c>
      <c r="T2585" s="86">
        <f t="shared" si="799"/>
        <v>13540.07</v>
      </c>
      <c r="U2585" s="87">
        <v>13540.07</v>
      </c>
    </row>
    <row r="2586" spans="1:21" s="30" customFormat="1" ht="24.6" hidden="1" outlineLevel="1" x14ac:dyDescent="0.55000000000000004">
      <c r="A2586" s="27" t="s">
        <v>327</v>
      </c>
      <c r="B2586" s="28"/>
      <c r="C2586" s="27"/>
      <c r="D2586" s="27" t="str">
        <f>"""NAV Direct"",""CRONUS JetCorp USA"",""21"",""1"",""318234"""</f>
        <v>"NAV Direct","CRONUS JetCorp USA","21","1","318234"</v>
      </c>
      <c r="E2586" s="31" t="str">
        <f t="shared" si="791"/>
        <v>C100083</v>
      </c>
      <c r="F2586" s="31"/>
      <c r="G2586" s="31"/>
      <c r="H2586" s="31"/>
      <c r="I2586" s="56"/>
      <c r="J2586" s="56"/>
      <c r="K2586" s="82" t="str">
        <f t="shared" si="792"/>
        <v>Invoice</v>
      </c>
      <c r="L2586" s="83" t="str">
        <f>"SI_109902"</f>
        <v>SI_109902</v>
      </c>
      <c r="M2586" s="84">
        <v>43741</v>
      </c>
      <c r="N2586" s="85">
        <f t="shared" si="793"/>
        <v>71</v>
      </c>
      <c r="O2586" s="86">
        <f t="shared" si="794"/>
        <v>14427.429999999998</v>
      </c>
      <c r="P2586" s="86">
        <f t="shared" si="795"/>
        <v>0</v>
      </c>
      <c r="Q2586" s="86">
        <f t="shared" si="796"/>
        <v>0</v>
      </c>
      <c r="R2586" s="86">
        <f t="shared" si="797"/>
        <v>0</v>
      </c>
      <c r="S2586" s="86">
        <f t="shared" si="798"/>
        <v>14427.429999999998</v>
      </c>
      <c r="T2586" s="86">
        <f t="shared" si="799"/>
        <v>0</v>
      </c>
      <c r="U2586" s="87">
        <v>14427.429999999998</v>
      </c>
    </row>
    <row r="2587" spans="1:21" s="30" customFormat="1" ht="24.6" hidden="1" outlineLevel="1" x14ac:dyDescent="0.55000000000000004">
      <c r="A2587" s="27" t="s">
        <v>327</v>
      </c>
      <c r="B2587" s="28"/>
      <c r="C2587" s="27"/>
      <c r="D2587" s="27" t="str">
        <f>"""NAV Direct"",""CRONUS JetCorp USA"",""21"",""1"",""318288"""</f>
        <v>"NAV Direct","CRONUS JetCorp USA","21","1","318288"</v>
      </c>
      <c r="E2587" s="31">
        <f t="shared" si="791"/>
        <v>0</v>
      </c>
      <c r="F2587" s="31"/>
      <c r="G2587" s="31"/>
      <c r="H2587" s="31"/>
      <c r="I2587" s="56"/>
      <c r="J2587" s="56"/>
      <c r="K2587" s="82" t="str">
        <f t="shared" si="792"/>
        <v>Invoice</v>
      </c>
      <c r="L2587" s="83" t="str">
        <f>"SI_109904"</f>
        <v>SI_109904</v>
      </c>
      <c r="M2587" s="84">
        <v>43763</v>
      </c>
      <c r="N2587" s="85">
        <f t="shared" si="793"/>
        <v>49</v>
      </c>
      <c r="O2587" s="86">
        <f t="shared" si="794"/>
        <v>14635.34</v>
      </c>
      <c r="P2587" s="86">
        <f t="shared" si="795"/>
        <v>0</v>
      </c>
      <c r="Q2587" s="86">
        <f t="shared" si="796"/>
        <v>0</v>
      </c>
      <c r="R2587" s="86">
        <f t="shared" si="797"/>
        <v>14635.34</v>
      </c>
      <c r="S2587" s="86">
        <f t="shared" si="798"/>
        <v>0</v>
      </c>
      <c r="T2587" s="86">
        <f t="shared" si="799"/>
        <v>0</v>
      </c>
      <c r="U2587" s="87">
        <v>14635.34</v>
      </c>
    </row>
    <row r="2588" spans="1:21" s="30" customFormat="1" ht="24.6" hidden="1" outlineLevel="1" x14ac:dyDescent="0.55000000000000004">
      <c r="A2588" s="27" t="s">
        <v>327</v>
      </c>
      <c r="B2588" s="28"/>
      <c r="C2588" s="27"/>
      <c r="D2588" s="27" t="str">
        <f>"""NAV Direct"",""CRONUS JetCorp USA"",""21"",""1"",""318384"""</f>
        <v>"NAV Direct","CRONUS JetCorp USA","21","1","318384"</v>
      </c>
      <c r="E2588" s="31" t="str">
        <f t="shared" si="791"/>
        <v>C100083</v>
      </c>
      <c r="F2588" s="31"/>
      <c r="G2588" s="31"/>
      <c r="H2588" s="31"/>
      <c r="I2588" s="56"/>
      <c r="J2588" s="56"/>
      <c r="K2588" s="82" t="str">
        <f t="shared" si="792"/>
        <v>Invoice</v>
      </c>
      <c r="L2588" s="83" t="str">
        <f>"SI_109908"</f>
        <v>SI_109908</v>
      </c>
      <c r="M2588" s="84">
        <v>43791</v>
      </c>
      <c r="N2588" s="85">
        <f t="shared" si="793"/>
        <v>21</v>
      </c>
      <c r="O2588" s="86">
        <f t="shared" si="794"/>
        <v>14883.09</v>
      </c>
      <c r="P2588" s="86">
        <f t="shared" si="795"/>
        <v>0</v>
      </c>
      <c r="Q2588" s="86">
        <f t="shared" si="796"/>
        <v>14883.09</v>
      </c>
      <c r="R2588" s="86">
        <f t="shared" si="797"/>
        <v>0</v>
      </c>
      <c r="S2588" s="86">
        <f t="shared" si="798"/>
        <v>0</v>
      </c>
      <c r="T2588" s="86">
        <f t="shared" si="799"/>
        <v>0</v>
      </c>
      <c r="U2588" s="87">
        <v>14883.09</v>
      </c>
    </row>
    <row r="2589" spans="1:21" s="30" customFormat="1" ht="24.6" hidden="1" outlineLevel="1" x14ac:dyDescent="0.55000000000000004">
      <c r="A2589" s="27" t="s">
        <v>327</v>
      </c>
      <c r="B2589" s="28"/>
      <c r="C2589" s="27"/>
      <c r="D2589" s="27" t="str">
        <f>"""NAV Direct"",""CRONUS JetCorp USA"",""21"",""1"",""318403"""</f>
        <v>"NAV Direct","CRONUS JetCorp USA","21","1","318403"</v>
      </c>
      <c r="E2589" s="31">
        <f t="shared" si="791"/>
        <v>0</v>
      </c>
      <c r="F2589" s="31"/>
      <c r="G2589" s="31"/>
      <c r="H2589" s="31"/>
      <c r="I2589" s="56"/>
      <c r="J2589" s="56"/>
      <c r="K2589" s="82" t="str">
        <f t="shared" si="792"/>
        <v>Invoice</v>
      </c>
      <c r="L2589" s="83" t="str">
        <f>"SI_109909"</f>
        <v>SI_109909</v>
      </c>
      <c r="M2589" s="84">
        <v>43797</v>
      </c>
      <c r="N2589" s="85">
        <f t="shared" si="793"/>
        <v>15</v>
      </c>
      <c r="O2589" s="86">
        <f t="shared" si="794"/>
        <v>14424.249999999998</v>
      </c>
      <c r="P2589" s="86">
        <f t="shared" si="795"/>
        <v>0</v>
      </c>
      <c r="Q2589" s="86">
        <f t="shared" si="796"/>
        <v>14424.249999999998</v>
      </c>
      <c r="R2589" s="86">
        <f t="shared" si="797"/>
        <v>0</v>
      </c>
      <c r="S2589" s="86">
        <f t="shared" si="798"/>
        <v>0</v>
      </c>
      <c r="T2589" s="86">
        <f t="shared" si="799"/>
        <v>0</v>
      </c>
      <c r="U2589" s="87">
        <v>14424.249999999998</v>
      </c>
    </row>
    <row r="2590" spans="1:21" s="30" customFormat="1" ht="24.6" hidden="1" outlineLevel="1" x14ac:dyDescent="0.55000000000000004">
      <c r="A2590" s="27" t="s">
        <v>327</v>
      </c>
      <c r="B2590" s="28"/>
      <c r="C2590" s="27"/>
      <c r="D2590" s="27" t="str">
        <f>"""NAV Direct"",""CRONUS JetCorp USA"",""21"",""1"",""318426"""</f>
        <v>"NAV Direct","CRONUS JetCorp USA","21","1","318426"</v>
      </c>
      <c r="E2590" s="31" t="str">
        <f t="shared" si="791"/>
        <v>C100083</v>
      </c>
      <c r="F2590" s="31"/>
      <c r="G2590" s="31"/>
      <c r="H2590" s="31"/>
      <c r="I2590" s="56"/>
      <c r="J2590" s="56"/>
      <c r="K2590" s="82" t="str">
        <f t="shared" si="792"/>
        <v>Invoice</v>
      </c>
      <c r="L2590" s="83" t="str">
        <f>"SI_109910"</f>
        <v>SI_109910</v>
      </c>
      <c r="M2590" s="84">
        <v>43804</v>
      </c>
      <c r="N2590" s="85">
        <f t="shared" si="793"/>
        <v>8</v>
      </c>
      <c r="O2590" s="86">
        <f t="shared" si="794"/>
        <v>13964.16</v>
      </c>
      <c r="P2590" s="86">
        <f t="shared" si="795"/>
        <v>0</v>
      </c>
      <c r="Q2590" s="86">
        <f t="shared" si="796"/>
        <v>13964.16</v>
      </c>
      <c r="R2590" s="86">
        <f t="shared" si="797"/>
        <v>0</v>
      </c>
      <c r="S2590" s="86">
        <f t="shared" si="798"/>
        <v>0</v>
      </c>
      <c r="T2590" s="86">
        <f t="shared" si="799"/>
        <v>0</v>
      </c>
      <c r="U2590" s="87">
        <v>13964.16</v>
      </c>
    </row>
    <row r="2591" spans="1:21" s="30" customFormat="1" ht="24.6" hidden="1" outlineLevel="1" x14ac:dyDescent="0.55000000000000004">
      <c r="A2591" s="27" t="s">
        <v>327</v>
      </c>
      <c r="B2591" s="28"/>
      <c r="C2591" s="27"/>
      <c r="D2591" s="27" t="str">
        <f>"""NAV Direct"",""CRONUS JetCorp USA"",""21"",""1"",""318453"""</f>
        <v>"NAV Direct","CRONUS JetCorp USA","21","1","318453"</v>
      </c>
      <c r="E2591" s="31">
        <f t="shared" si="791"/>
        <v>0</v>
      </c>
      <c r="F2591" s="31"/>
      <c r="G2591" s="31"/>
      <c r="H2591" s="31"/>
      <c r="I2591" s="56"/>
      <c r="J2591" s="56"/>
      <c r="K2591" s="82" t="str">
        <f t="shared" si="792"/>
        <v>Invoice</v>
      </c>
      <c r="L2591" s="83" t="str">
        <f>"SI_109911"</f>
        <v>SI_109911</v>
      </c>
      <c r="M2591" s="84">
        <v>43815</v>
      </c>
      <c r="N2591" s="85">
        <f t="shared" si="793"/>
        <v>-3</v>
      </c>
      <c r="O2591" s="86">
        <f t="shared" si="794"/>
        <v>14606.94</v>
      </c>
      <c r="P2591" s="86">
        <f t="shared" si="795"/>
        <v>14606.94</v>
      </c>
      <c r="Q2591" s="86">
        <f t="shared" si="796"/>
        <v>0</v>
      </c>
      <c r="R2591" s="86">
        <f t="shared" si="797"/>
        <v>0</v>
      </c>
      <c r="S2591" s="86">
        <f t="shared" si="798"/>
        <v>0</v>
      </c>
      <c r="T2591" s="86">
        <f t="shared" si="799"/>
        <v>0</v>
      </c>
      <c r="U2591" s="87">
        <v>14606.94</v>
      </c>
    </row>
    <row r="2592" spans="1:21" s="30" customFormat="1" ht="24.6" hidden="1" outlineLevel="1" x14ac:dyDescent="0.55000000000000004">
      <c r="A2592" s="27" t="s">
        <v>327</v>
      </c>
      <c r="B2592" s="28"/>
      <c r="C2592" s="27"/>
      <c r="D2592" s="27" t="str">
        <f>"""NAV Direct"",""CRONUS JetCorp USA"",""21"",""1"",""318476"""</f>
        <v>"NAV Direct","CRONUS JetCorp USA","21","1","318476"</v>
      </c>
      <c r="E2592" s="31" t="str">
        <f t="shared" si="791"/>
        <v>C100083</v>
      </c>
      <c r="F2592" s="31"/>
      <c r="G2592" s="31"/>
      <c r="H2592" s="31"/>
      <c r="I2592" s="56"/>
      <c r="J2592" s="56"/>
      <c r="K2592" s="82" t="str">
        <f t="shared" si="792"/>
        <v>Invoice</v>
      </c>
      <c r="L2592" s="83" t="str">
        <f>"SI_109912"</f>
        <v>SI_109912</v>
      </c>
      <c r="M2592" s="84">
        <v>43823</v>
      </c>
      <c r="N2592" s="85">
        <f t="shared" si="793"/>
        <v>-11</v>
      </c>
      <c r="O2592" s="86">
        <f t="shared" si="794"/>
        <v>15067.509999999998</v>
      </c>
      <c r="P2592" s="86">
        <f t="shared" si="795"/>
        <v>15067.509999999998</v>
      </c>
      <c r="Q2592" s="86">
        <f t="shared" si="796"/>
        <v>0</v>
      </c>
      <c r="R2592" s="86">
        <f t="shared" si="797"/>
        <v>0</v>
      </c>
      <c r="S2592" s="86">
        <f t="shared" si="798"/>
        <v>0</v>
      </c>
      <c r="T2592" s="86">
        <f t="shared" si="799"/>
        <v>0</v>
      </c>
      <c r="U2592" s="87">
        <v>15067.509999999998</v>
      </c>
    </row>
    <row r="2593" spans="1:21" s="30" customFormat="1" ht="24.6" hidden="1" outlineLevel="1" x14ac:dyDescent="0.55000000000000004">
      <c r="A2593" s="27" t="s">
        <v>327</v>
      </c>
      <c r="B2593" s="28"/>
      <c r="C2593" s="27"/>
      <c r="D2593" s="27" t="str">
        <f>"""NAV Direct"",""CRONUS JetCorp USA"",""21"",""1"",""318503"""</f>
        <v>"NAV Direct","CRONUS JetCorp USA","21","1","318503"</v>
      </c>
      <c r="E2593" s="31">
        <f t="shared" si="791"/>
        <v>0</v>
      </c>
      <c r="F2593" s="31"/>
      <c r="G2593" s="31"/>
      <c r="H2593" s="31"/>
      <c r="I2593" s="56"/>
      <c r="J2593" s="56"/>
      <c r="K2593" s="82" t="str">
        <f t="shared" si="792"/>
        <v>Invoice</v>
      </c>
      <c r="L2593" s="83" t="str">
        <f>"SI_109913"</f>
        <v>SI_109913</v>
      </c>
      <c r="M2593" s="84">
        <v>43825</v>
      </c>
      <c r="N2593" s="85">
        <f t="shared" si="793"/>
        <v>-13</v>
      </c>
      <c r="O2593" s="86">
        <f t="shared" si="794"/>
        <v>14144.999999999998</v>
      </c>
      <c r="P2593" s="86">
        <f t="shared" si="795"/>
        <v>14144.999999999998</v>
      </c>
      <c r="Q2593" s="86">
        <f t="shared" si="796"/>
        <v>0</v>
      </c>
      <c r="R2593" s="86">
        <f t="shared" si="797"/>
        <v>0</v>
      </c>
      <c r="S2593" s="86">
        <f t="shared" si="798"/>
        <v>0</v>
      </c>
      <c r="T2593" s="86">
        <f t="shared" si="799"/>
        <v>0</v>
      </c>
      <c r="U2593" s="87">
        <v>14144.999999999998</v>
      </c>
    </row>
    <row r="2594" spans="1:21" s="30" customFormat="1" ht="24.6" hidden="1" outlineLevel="1" x14ac:dyDescent="0.55000000000000004">
      <c r="A2594" s="27" t="s">
        <v>327</v>
      </c>
      <c r="B2594" s="28"/>
      <c r="C2594" s="27"/>
      <c r="D2594" s="27" t="str">
        <f>"""NAV Direct"",""CRONUS JetCorp USA"",""21"",""1"",""318528"""</f>
        <v>"NAV Direct","CRONUS JetCorp USA","21","1","318528"</v>
      </c>
      <c r="E2594" s="31" t="str">
        <f t="shared" si="791"/>
        <v>C100083</v>
      </c>
      <c r="F2594" s="31"/>
      <c r="G2594" s="31"/>
      <c r="H2594" s="31"/>
      <c r="I2594" s="56"/>
      <c r="J2594" s="56"/>
      <c r="K2594" s="82" t="str">
        <f t="shared" si="792"/>
        <v>Invoice</v>
      </c>
      <c r="L2594" s="83" t="str">
        <f>"SI_109914"</f>
        <v>SI_109914</v>
      </c>
      <c r="M2594" s="84">
        <v>43826</v>
      </c>
      <c r="N2594" s="85">
        <f t="shared" si="793"/>
        <v>-14</v>
      </c>
      <c r="O2594" s="86">
        <f t="shared" si="794"/>
        <v>14299.45</v>
      </c>
      <c r="P2594" s="86">
        <f t="shared" si="795"/>
        <v>14299.45</v>
      </c>
      <c r="Q2594" s="86">
        <f t="shared" si="796"/>
        <v>0</v>
      </c>
      <c r="R2594" s="86">
        <f t="shared" si="797"/>
        <v>0</v>
      </c>
      <c r="S2594" s="86">
        <f t="shared" si="798"/>
        <v>0</v>
      </c>
      <c r="T2594" s="86">
        <f t="shared" si="799"/>
        <v>0</v>
      </c>
      <c r="U2594" s="87">
        <v>14299.45</v>
      </c>
    </row>
    <row r="2595" spans="1:21" s="30" customFormat="1" ht="24.6" hidden="1" outlineLevel="1" x14ac:dyDescent="0.55000000000000004">
      <c r="A2595" s="27" t="s">
        <v>327</v>
      </c>
      <c r="B2595" s="28"/>
      <c r="C2595" s="27"/>
      <c r="D2595" s="27" t="str">
        <f>"""NAV Direct"",""CRONUS JetCorp USA"",""21"",""1"",""318553"""</f>
        <v>"NAV Direct","CRONUS JetCorp USA","21","1","318553"</v>
      </c>
      <c r="E2595" s="31">
        <f t="shared" si="791"/>
        <v>0</v>
      </c>
      <c r="F2595" s="31"/>
      <c r="G2595" s="31"/>
      <c r="H2595" s="31"/>
      <c r="I2595" s="56"/>
      <c r="J2595" s="56"/>
      <c r="K2595" s="82" t="str">
        <f t="shared" si="792"/>
        <v>Invoice</v>
      </c>
      <c r="L2595" s="83" t="str">
        <f>"SI_109915"</f>
        <v>SI_109915</v>
      </c>
      <c r="M2595" s="84">
        <v>43829</v>
      </c>
      <c r="N2595" s="85">
        <f t="shared" si="793"/>
        <v>-17</v>
      </c>
      <c r="O2595" s="86">
        <f t="shared" si="794"/>
        <v>14452.77</v>
      </c>
      <c r="P2595" s="86">
        <f t="shared" si="795"/>
        <v>14452.77</v>
      </c>
      <c r="Q2595" s="86">
        <f t="shared" si="796"/>
        <v>0</v>
      </c>
      <c r="R2595" s="86">
        <f t="shared" si="797"/>
        <v>0</v>
      </c>
      <c r="S2595" s="86">
        <f t="shared" si="798"/>
        <v>0</v>
      </c>
      <c r="T2595" s="86">
        <f t="shared" si="799"/>
        <v>0</v>
      </c>
      <c r="U2595" s="87">
        <v>14452.77</v>
      </c>
    </row>
    <row r="2596" spans="1:21" s="30" customFormat="1" ht="24.6" hidden="1" outlineLevel="1" x14ac:dyDescent="0.55000000000000004">
      <c r="A2596" s="27" t="s">
        <v>327</v>
      </c>
      <c r="B2596" s="28"/>
      <c r="C2596" s="27"/>
      <c r="D2596" s="27" t="str">
        <f>"""NAV Direct"",""CRONUS JetCorp USA"",""21"",""1"",""318603"""</f>
        <v>"NAV Direct","CRONUS JetCorp USA","21","1","318603"</v>
      </c>
      <c r="E2596" s="31" t="str">
        <f t="shared" ref="E2596:E2627" si="800">E2594</f>
        <v>C100083</v>
      </c>
      <c r="F2596" s="31"/>
      <c r="G2596" s="31"/>
      <c r="H2596" s="31"/>
      <c r="I2596" s="56"/>
      <c r="J2596" s="56"/>
      <c r="K2596" s="82" t="str">
        <f t="shared" ref="K2596:K2621" si="801">"Invoice"</f>
        <v>Invoice</v>
      </c>
      <c r="L2596" s="83" t="str">
        <f>"SI_109917"</f>
        <v>SI_109917</v>
      </c>
      <c r="M2596" s="84">
        <v>42024</v>
      </c>
      <c r="N2596" s="85">
        <f t="shared" ref="N2596:N2627" si="802">StartDate-$M2596+1</f>
        <v>1788</v>
      </c>
      <c r="O2596" s="86">
        <f t="shared" ref="O2596:O2627" si="803">SUM(P2596:T2596)</f>
        <v>14533.54</v>
      </c>
      <c r="P2596" s="86">
        <f t="shared" ref="P2596:P2627" si="804">IF($M2596&gt;=$P$18,U2596,0)</f>
        <v>0</v>
      </c>
      <c r="Q2596" s="86">
        <f t="shared" ref="Q2596:Q2627" si="805">IF(AND($M2596&gt;=$Q$16,$M2596&lt;=$Q$18),U2596,0)</f>
        <v>0</v>
      </c>
      <c r="R2596" s="86">
        <f t="shared" ref="R2596:R2627" si="806">IF(AND($M2596&gt;=$R$16,$M2596&lt;=$R$18),U2596,0)</f>
        <v>0</v>
      </c>
      <c r="S2596" s="86">
        <f t="shared" ref="S2596:S2627" si="807">IF(AND($M2596&gt;=$S$16,$M2596&lt;=$S$18),U2596,0)</f>
        <v>0</v>
      </c>
      <c r="T2596" s="86">
        <f t="shared" ref="T2596:T2627" si="808">IF($M2596&lt;=$T$18,U2596,0)</f>
        <v>14533.54</v>
      </c>
      <c r="U2596" s="87">
        <v>14533.54</v>
      </c>
    </row>
    <row r="2597" spans="1:21" s="30" customFormat="1" ht="24.6" hidden="1" outlineLevel="1" x14ac:dyDescent="0.55000000000000004">
      <c r="A2597" s="27" t="s">
        <v>327</v>
      </c>
      <c r="B2597" s="28"/>
      <c r="C2597" s="27"/>
      <c r="D2597" s="27" t="str">
        <f>"""NAV Direct"",""CRONUS JetCorp USA"",""21"",""1"",""318618"""</f>
        <v>"NAV Direct","CRONUS JetCorp USA","21","1","318618"</v>
      </c>
      <c r="E2597" s="31">
        <f t="shared" si="800"/>
        <v>0</v>
      </c>
      <c r="F2597" s="31"/>
      <c r="G2597" s="31"/>
      <c r="H2597" s="31"/>
      <c r="I2597" s="56"/>
      <c r="J2597" s="56"/>
      <c r="K2597" s="82" t="str">
        <f t="shared" si="801"/>
        <v>Invoice</v>
      </c>
      <c r="L2597" s="83" t="str">
        <f>"SI_109918"</f>
        <v>SI_109918</v>
      </c>
      <c r="M2597" s="84">
        <v>42032</v>
      </c>
      <c r="N2597" s="85">
        <f t="shared" si="802"/>
        <v>1780</v>
      </c>
      <c r="O2597" s="86">
        <f t="shared" si="803"/>
        <v>14532.550000000001</v>
      </c>
      <c r="P2597" s="86">
        <f t="shared" si="804"/>
        <v>0</v>
      </c>
      <c r="Q2597" s="86">
        <f t="shared" si="805"/>
        <v>0</v>
      </c>
      <c r="R2597" s="86">
        <f t="shared" si="806"/>
        <v>0</v>
      </c>
      <c r="S2597" s="86">
        <f t="shared" si="807"/>
        <v>0</v>
      </c>
      <c r="T2597" s="86">
        <f t="shared" si="808"/>
        <v>14532.550000000001</v>
      </c>
      <c r="U2597" s="87">
        <v>14532.550000000001</v>
      </c>
    </row>
    <row r="2598" spans="1:21" s="30" customFormat="1" ht="24.6" hidden="1" outlineLevel="1" x14ac:dyDescent="0.55000000000000004">
      <c r="A2598" s="27" t="s">
        <v>327</v>
      </c>
      <c r="B2598" s="28"/>
      <c r="C2598" s="27"/>
      <c r="D2598" s="27" t="str">
        <f>"""NAV Direct"",""CRONUS JetCorp USA"",""21"",""1"",""318693"""</f>
        <v>"NAV Direct","CRONUS JetCorp USA","21","1","318693"</v>
      </c>
      <c r="E2598" s="31" t="str">
        <f t="shared" si="800"/>
        <v>C100083</v>
      </c>
      <c r="F2598" s="31"/>
      <c r="G2598" s="31"/>
      <c r="H2598" s="31"/>
      <c r="I2598" s="56"/>
      <c r="J2598" s="56"/>
      <c r="K2598" s="82" t="str">
        <f t="shared" si="801"/>
        <v>Invoice</v>
      </c>
      <c r="L2598" s="83" t="str">
        <f>"SI_109921"</f>
        <v>SI_109921</v>
      </c>
      <c r="M2598" s="84">
        <v>42054</v>
      </c>
      <c r="N2598" s="85">
        <f t="shared" si="802"/>
        <v>1758</v>
      </c>
      <c r="O2598" s="86">
        <f t="shared" si="803"/>
        <v>14284.52</v>
      </c>
      <c r="P2598" s="86">
        <f t="shared" si="804"/>
        <v>0</v>
      </c>
      <c r="Q2598" s="86">
        <f t="shared" si="805"/>
        <v>0</v>
      </c>
      <c r="R2598" s="86">
        <f t="shared" si="806"/>
        <v>0</v>
      </c>
      <c r="S2598" s="86">
        <f t="shared" si="807"/>
        <v>0</v>
      </c>
      <c r="T2598" s="86">
        <f t="shared" si="808"/>
        <v>14284.52</v>
      </c>
      <c r="U2598" s="87">
        <v>14284.52</v>
      </c>
    </row>
    <row r="2599" spans="1:21" s="30" customFormat="1" ht="24.6" hidden="1" outlineLevel="1" x14ac:dyDescent="0.55000000000000004">
      <c r="A2599" s="27" t="s">
        <v>327</v>
      </c>
      <c r="B2599" s="28"/>
      <c r="C2599" s="27"/>
      <c r="D2599" s="27" t="str">
        <f>"""NAV Direct"",""CRONUS JetCorp USA"",""21"",""1"",""318722"""</f>
        <v>"NAV Direct","CRONUS JetCorp USA","21","1","318722"</v>
      </c>
      <c r="E2599" s="31">
        <f t="shared" si="800"/>
        <v>0</v>
      </c>
      <c r="F2599" s="31"/>
      <c r="G2599" s="31"/>
      <c r="H2599" s="31"/>
      <c r="I2599" s="56"/>
      <c r="J2599" s="56"/>
      <c r="K2599" s="82" t="str">
        <f t="shared" si="801"/>
        <v>Invoice</v>
      </c>
      <c r="L2599" s="83" t="str">
        <f>"SI_109922"</f>
        <v>SI_109922</v>
      </c>
      <c r="M2599" s="84">
        <v>42057</v>
      </c>
      <c r="N2599" s="85">
        <f t="shared" si="802"/>
        <v>1755</v>
      </c>
      <c r="O2599" s="86">
        <f t="shared" si="803"/>
        <v>14437.13</v>
      </c>
      <c r="P2599" s="86">
        <f t="shared" si="804"/>
        <v>0</v>
      </c>
      <c r="Q2599" s="86">
        <f t="shared" si="805"/>
        <v>0</v>
      </c>
      <c r="R2599" s="86">
        <f t="shared" si="806"/>
        <v>0</v>
      </c>
      <c r="S2599" s="86">
        <f t="shared" si="807"/>
        <v>0</v>
      </c>
      <c r="T2599" s="86">
        <f t="shared" si="808"/>
        <v>14437.13</v>
      </c>
      <c r="U2599" s="87">
        <v>14437.13</v>
      </c>
    </row>
    <row r="2600" spans="1:21" s="30" customFormat="1" ht="24.6" hidden="1" outlineLevel="1" x14ac:dyDescent="0.55000000000000004">
      <c r="A2600" s="27" t="s">
        <v>327</v>
      </c>
      <c r="B2600" s="28"/>
      <c r="C2600" s="27"/>
      <c r="D2600" s="27" t="str">
        <f>"""NAV Direct"",""CRONUS JetCorp USA"",""21"",""1"",""318741"""</f>
        <v>"NAV Direct","CRONUS JetCorp USA","21","1","318741"</v>
      </c>
      <c r="E2600" s="31" t="str">
        <f t="shared" si="800"/>
        <v>C100083</v>
      </c>
      <c r="F2600" s="31"/>
      <c r="G2600" s="31"/>
      <c r="H2600" s="31"/>
      <c r="I2600" s="56"/>
      <c r="J2600" s="56"/>
      <c r="K2600" s="82" t="str">
        <f t="shared" si="801"/>
        <v>Invoice</v>
      </c>
      <c r="L2600" s="83" t="str">
        <f>"SI_109923"</f>
        <v>SI_109923</v>
      </c>
      <c r="M2600" s="84">
        <v>42059</v>
      </c>
      <c r="N2600" s="85">
        <f t="shared" si="802"/>
        <v>1753</v>
      </c>
      <c r="O2600" s="86">
        <f t="shared" si="803"/>
        <v>15052.24</v>
      </c>
      <c r="P2600" s="86">
        <f t="shared" si="804"/>
        <v>0</v>
      </c>
      <c r="Q2600" s="86">
        <f t="shared" si="805"/>
        <v>0</v>
      </c>
      <c r="R2600" s="86">
        <f t="shared" si="806"/>
        <v>0</v>
      </c>
      <c r="S2600" s="86">
        <f t="shared" si="807"/>
        <v>0</v>
      </c>
      <c r="T2600" s="86">
        <f t="shared" si="808"/>
        <v>15052.24</v>
      </c>
      <c r="U2600" s="87">
        <v>15052.24</v>
      </c>
    </row>
    <row r="2601" spans="1:21" s="30" customFormat="1" ht="24.6" hidden="1" outlineLevel="1" x14ac:dyDescent="0.55000000000000004">
      <c r="A2601" s="27" t="s">
        <v>327</v>
      </c>
      <c r="B2601" s="28"/>
      <c r="C2601" s="27"/>
      <c r="D2601" s="27" t="str">
        <f>"""NAV Direct"",""CRONUS JetCorp USA"",""21"",""1"",""318903"""</f>
        <v>"NAV Direct","CRONUS JetCorp USA","21","1","318903"</v>
      </c>
      <c r="E2601" s="31">
        <f t="shared" si="800"/>
        <v>0</v>
      </c>
      <c r="F2601" s="31"/>
      <c r="G2601" s="31"/>
      <c r="H2601" s="31"/>
      <c r="I2601" s="56"/>
      <c r="J2601" s="56"/>
      <c r="K2601" s="82" t="str">
        <f t="shared" si="801"/>
        <v>Invoice</v>
      </c>
      <c r="L2601" s="83" t="str">
        <f>"SI_109929"</f>
        <v>SI_109929</v>
      </c>
      <c r="M2601" s="84">
        <v>42095</v>
      </c>
      <c r="N2601" s="85">
        <f t="shared" si="802"/>
        <v>1717</v>
      </c>
      <c r="O2601" s="86">
        <f t="shared" si="803"/>
        <v>15444.12</v>
      </c>
      <c r="P2601" s="86">
        <f t="shared" si="804"/>
        <v>0</v>
      </c>
      <c r="Q2601" s="86">
        <f t="shared" si="805"/>
        <v>0</v>
      </c>
      <c r="R2601" s="86">
        <f t="shared" si="806"/>
        <v>0</v>
      </c>
      <c r="S2601" s="86">
        <f t="shared" si="807"/>
        <v>0</v>
      </c>
      <c r="T2601" s="86">
        <f t="shared" si="808"/>
        <v>15444.12</v>
      </c>
      <c r="U2601" s="87">
        <v>15444.12</v>
      </c>
    </row>
    <row r="2602" spans="1:21" s="30" customFormat="1" ht="24.6" hidden="1" outlineLevel="1" x14ac:dyDescent="0.55000000000000004">
      <c r="A2602" s="27" t="s">
        <v>327</v>
      </c>
      <c r="B2602" s="28"/>
      <c r="C2602" s="27"/>
      <c r="D2602" s="27" t="str">
        <f>"""NAV Direct"",""CRONUS JetCorp USA"",""21"",""1"",""318926"""</f>
        <v>"NAV Direct","CRONUS JetCorp USA","21","1","318926"</v>
      </c>
      <c r="E2602" s="31" t="str">
        <f t="shared" si="800"/>
        <v>C100083</v>
      </c>
      <c r="F2602" s="31"/>
      <c r="G2602" s="31"/>
      <c r="H2602" s="31"/>
      <c r="I2602" s="56"/>
      <c r="J2602" s="56"/>
      <c r="K2602" s="82" t="str">
        <f t="shared" si="801"/>
        <v>Invoice</v>
      </c>
      <c r="L2602" s="83" t="str">
        <f>"SI_109930"</f>
        <v>SI_109930</v>
      </c>
      <c r="M2602" s="84">
        <v>42099</v>
      </c>
      <c r="N2602" s="85">
        <f t="shared" si="802"/>
        <v>1713</v>
      </c>
      <c r="O2602" s="86">
        <f t="shared" si="803"/>
        <v>14812.36</v>
      </c>
      <c r="P2602" s="86">
        <f t="shared" si="804"/>
        <v>0</v>
      </c>
      <c r="Q2602" s="86">
        <f t="shared" si="805"/>
        <v>0</v>
      </c>
      <c r="R2602" s="86">
        <f t="shared" si="806"/>
        <v>0</v>
      </c>
      <c r="S2602" s="86">
        <f t="shared" si="807"/>
        <v>0</v>
      </c>
      <c r="T2602" s="86">
        <f t="shared" si="808"/>
        <v>14812.36</v>
      </c>
      <c r="U2602" s="87">
        <v>14812.36</v>
      </c>
    </row>
    <row r="2603" spans="1:21" s="30" customFormat="1" ht="24.6" hidden="1" outlineLevel="1" x14ac:dyDescent="0.55000000000000004">
      <c r="A2603" s="27" t="s">
        <v>327</v>
      </c>
      <c r="B2603" s="28"/>
      <c r="C2603" s="27"/>
      <c r="D2603" s="27" t="str">
        <f>"""NAV Direct"",""CRONUS JetCorp USA"",""21"",""1"",""318986"""</f>
        <v>"NAV Direct","CRONUS JetCorp USA","21","1","318986"</v>
      </c>
      <c r="E2603" s="31">
        <f t="shared" si="800"/>
        <v>0</v>
      </c>
      <c r="F2603" s="31"/>
      <c r="G2603" s="31"/>
      <c r="H2603" s="31"/>
      <c r="I2603" s="56"/>
      <c r="J2603" s="56"/>
      <c r="K2603" s="82" t="str">
        <f t="shared" si="801"/>
        <v>Invoice</v>
      </c>
      <c r="L2603" s="83" t="str">
        <f>"SI_109932"</f>
        <v>SI_109932</v>
      </c>
      <c r="M2603" s="84">
        <v>42111</v>
      </c>
      <c r="N2603" s="85">
        <f t="shared" si="802"/>
        <v>1701</v>
      </c>
      <c r="O2603" s="86">
        <f t="shared" si="803"/>
        <v>14817.57</v>
      </c>
      <c r="P2603" s="86">
        <f t="shared" si="804"/>
        <v>0</v>
      </c>
      <c r="Q2603" s="86">
        <f t="shared" si="805"/>
        <v>0</v>
      </c>
      <c r="R2603" s="86">
        <f t="shared" si="806"/>
        <v>0</v>
      </c>
      <c r="S2603" s="86">
        <f t="shared" si="807"/>
        <v>0</v>
      </c>
      <c r="T2603" s="86">
        <f t="shared" si="808"/>
        <v>14817.57</v>
      </c>
      <c r="U2603" s="87">
        <v>14817.57</v>
      </c>
    </row>
    <row r="2604" spans="1:21" s="30" customFormat="1" ht="24.6" hidden="1" outlineLevel="1" x14ac:dyDescent="0.55000000000000004">
      <c r="A2604" s="27" t="s">
        <v>327</v>
      </c>
      <c r="B2604" s="28"/>
      <c r="C2604" s="27"/>
      <c r="D2604" s="27" t="str">
        <f>"""NAV Direct"",""CRONUS JetCorp USA"",""21"",""1"",""319017"""</f>
        <v>"NAV Direct","CRONUS JetCorp USA","21","1","319017"</v>
      </c>
      <c r="E2604" s="31" t="str">
        <f t="shared" si="800"/>
        <v>C100083</v>
      </c>
      <c r="F2604" s="31"/>
      <c r="G2604" s="31"/>
      <c r="H2604" s="31"/>
      <c r="I2604" s="56"/>
      <c r="J2604" s="56"/>
      <c r="K2604" s="82" t="str">
        <f t="shared" si="801"/>
        <v>Invoice</v>
      </c>
      <c r="L2604" s="83" t="str">
        <f>"SI_109933"</f>
        <v>SI_109933</v>
      </c>
      <c r="M2604" s="84">
        <v>42115</v>
      </c>
      <c r="N2604" s="85">
        <f t="shared" si="802"/>
        <v>1697</v>
      </c>
      <c r="O2604" s="86">
        <f t="shared" si="803"/>
        <v>15622.68</v>
      </c>
      <c r="P2604" s="86">
        <f t="shared" si="804"/>
        <v>0</v>
      </c>
      <c r="Q2604" s="86">
        <f t="shared" si="805"/>
        <v>0</v>
      </c>
      <c r="R2604" s="86">
        <f t="shared" si="806"/>
        <v>0</v>
      </c>
      <c r="S2604" s="86">
        <f t="shared" si="807"/>
        <v>0</v>
      </c>
      <c r="T2604" s="86">
        <f t="shared" si="808"/>
        <v>15622.68</v>
      </c>
      <c r="U2604" s="87">
        <v>15622.68</v>
      </c>
    </row>
    <row r="2605" spans="1:21" s="30" customFormat="1" ht="24.6" hidden="1" outlineLevel="1" x14ac:dyDescent="0.55000000000000004">
      <c r="A2605" s="27" t="s">
        <v>327</v>
      </c>
      <c r="B2605" s="28"/>
      <c r="C2605" s="27"/>
      <c r="D2605" s="27" t="str">
        <f>"""NAV Direct"",""CRONUS JetCorp USA"",""21"",""1"",""319081"""</f>
        <v>"NAV Direct","CRONUS JetCorp USA","21","1","319081"</v>
      </c>
      <c r="E2605" s="31">
        <f t="shared" si="800"/>
        <v>0</v>
      </c>
      <c r="F2605" s="31"/>
      <c r="G2605" s="31"/>
      <c r="H2605" s="31"/>
      <c r="I2605" s="56"/>
      <c r="J2605" s="56"/>
      <c r="K2605" s="82" t="str">
        <f t="shared" si="801"/>
        <v>Invoice</v>
      </c>
      <c r="L2605" s="83" t="str">
        <f>"SI_109935"</f>
        <v>SI_109935</v>
      </c>
      <c r="M2605" s="84">
        <v>42123</v>
      </c>
      <c r="N2605" s="85">
        <f t="shared" si="802"/>
        <v>1689</v>
      </c>
      <c r="O2605" s="86">
        <f t="shared" si="803"/>
        <v>15461.66</v>
      </c>
      <c r="P2605" s="86">
        <f t="shared" si="804"/>
        <v>0</v>
      </c>
      <c r="Q2605" s="86">
        <f t="shared" si="805"/>
        <v>0</v>
      </c>
      <c r="R2605" s="86">
        <f t="shared" si="806"/>
        <v>0</v>
      </c>
      <c r="S2605" s="86">
        <f t="shared" si="807"/>
        <v>0</v>
      </c>
      <c r="T2605" s="86">
        <f t="shared" si="808"/>
        <v>15461.66</v>
      </c>
      <c r="U2605" s="87">
        <v>15461.66</v>
      </c>
    </row>
    <row r="2606" spans="1:21" s="30" customFormat="1" ht="24.6" hidden="1" outlineLevel="1" x14ac:dyDescent="0.55000000000000004">
      <c r="A2606" s="27" t="s">
        <v>327</v>
      </c>
      <c r="B2606" s="28"/>
      <c r="C2606" s="27"/>
      <c r="D2606" s="27" t="str">
        <f>"""NAV Direct"",""CRONUS JetCorp USA"",""21"",""1"",""319108"""</f>
        <v>"NAV Direct","CRONUS JetCorp USA","21","1","319108"</v>
      </c>
      <c r="E2606" s="31" t="str">
        <f t="shared" si="800"/>
        <v>C100083</v>
      </c>
      <c r="F2606" s="31"/>
      <c r="G2606" s="31"/>
      <c r="H2606" s="31"/>
      <c r="I2606" s="56"/>
      <c r="J2606" s="56"/>
      <c r="K2606" s="82" t="str">
        <f t="shared" si="801"/>
        <v>Invoice</v>
      </c>
      <c r="L2606" s="83" t="str">
        <f>"SI_109936"</f>
        <v>SI_109936</v>
      </c>
      <c r="M2606" s="84">
        <v>42146</v>
      </c>
      <c r="N2606" s="85">
        <f t="shared" si="802"/>
        <v>1666</v>
      </c>
      <c r="O2606" s="86">
        <f t="shared" si="803"/>
        <v>15200.53</v>
      </c>
      <c r="P2606" s="86">
        <f t="shared" si="804"/>
        <v>0</v>
      </c>
      <c r="Q2606" s="86">
        <f t="shared" si="805"/>
        <v>0</v>
      </c>
      <c r="R2606" s="86">
        <f t="shared" si="806"/>
        <v>0</v>
      </c>
      <c r="S2606" s="86">
        <f t="shared" si="807"/>
        <v>0</v>
      </c>
      <c r="T2606" s="86">
        <f t="shared" si="808"/>
        <v>15200.53</v>
      </c>
      <c r="U2606" s="87">
        <v>15200.53</v>
      </c>
    </row>
    <row r="2607" spans="1:21" s="30" customFormat="1" ht="24.6" hidden="1" outlineLevel="1" x14ac:dyDescent="0.55000000000000004">
      <c r="A2607" s="27" t="s">
        <v>327</v>
      </c>
      <c r="B2607" s="28"/>
      <c r="C2607" s="27"/>
      <c r="D2607" s="27" t="str">
        <f>"""NAV Direct"",""CRONUS JetCorp USA"",""21"",""1"",""319135"""</f>
        <v>"NAV Direct","CRONUS JetCorp USA","21","1","319135"</v>
      </c>
      <c r="E2607" s="31">
        <f t="shared" si="800"/>
        <v>0</v>
      </c>
      <c r="F2607" s="31"/>
      <c r="G2607" s="31"/>
      <c r="H2607" s="31"/>
      <c r="I2607" s="56"/>
      <c r="J2607" s="56"/>
      <c r="K2607" s="82" t="str">
        <f t="shared" si="801"/>
        <v>Invoice</v>
      </c>
      <c r="L2607" s="83" t="str">
        <f>"SI_109937"</f>
        <v>SI_109937</v>
      </c>
      <c r="M2607" s="84">
        <v>42150</v>
      </c>
      <c r="N2607" s="85">
        <f t="shared" si="802"/>
        <v>1662</v>
      </c>
      <c r="O2607" s="86">
        <f t="shared" si="803"/>
        <v>15361.6</v>
      </c>
      <c r="P2607" s="86">
        <f t="shared" si="804"/>
        <v>0</v>
      </c>
      <c r="Q2607" s="86">
        <f t="shared" si="805"/>
        <v>0</v>
      </c>
      <c r="R2607" s="86">
        <f t="shared" si="806"/>
        <v>0</v>
      </c>
      <c r="S2607" s="86">
        <f t="shared" si="807"/>
        <v>0</v>
      </c>
      <c r="T2607" s="86">
        <f t="shared" si="808"/>
        <v>15361.6</v>
      </c>
      <c r="U2607" s="87">
        <v>15361.6</v>
      </c>
    </row>
    <row r="2608" spans="1:21" s="30" customFormat="1" ht="24.6" hidden="1" outlineLevel="1" x14ac:dyDescent="0.55000000000000004">
      <c r="A2608" s="27" t="s">
        <v>327</v>
      </c>
      <c r="B2608" s="28"/>
      <c r="C2608" s="27"/>
      <c r="D2608" s="27" t="str">
        <f>"""NAV Direct"",""CRONUS JetCorp USA"",""21"",""1"",""319160"""</f>
        <v>"NAV Direct","CRONUS JetCorp USA","21","1","319160"</v>
      </c>
      <c r="E2608" s="31" t="str">
        <f t="shared" si="800"/>
        <v>C100083</v>
      </c>
      <c r="F2608" s="31"/>
      <c r="G2608" s="31"/>
      <c r="H2608" s="31"/>
      <c r="I2608" s="56"/>
      <c r="J2608" s="56"/>
      <c r="K2608" s="82" t="str">
        <f t="shared" si="801"/>
        <v>Invoice</v>
      </c>
      <c r="L2608" s="83" t="str">
        <f>"SI_109938"</f>
        <v>SI_109938</v>
      </c>
      <c r="M2608" s="84">
        <v>42150</v>
      </c>
      <c r="N2608" s="85">
        <f t="shared" si="802"/>
        <v>1662</v>
      </c>
      <c r="O2608" s="86">
        <f t="shared" si="803"/>
        <v>15523.93</v>
      </c>
      <c r="P2608" s="86">
        <f t="shared" si="804"/>
        <v>0</v>
      </c>
      <c r="Q2608" s="86">
        <f t="shared" si="805"/>
        <v>0</v>
      </c>
      <c r="R2608" s="86">
        <f t="shared" si="806"/>
        <v>0</v>
      </c>
      <c r="S2608" s="86">
        <f t="shared" si="807"/>
        <v>0</v>
      </c>
      <c r="T2608" s="86">
        <f t="shared" si="808"/>
        <v>15523.93</v>
      </c>
      <c r="U2608" s="87">
        <v>15523.93</v>
      </c>
    </row>
    <row r="2609" spans="1:21" s="30" customFormat="1" ht="24.6" hidden="1" outlineLevel="1" x14ac:dyDescent="0.55000000000000004">
      <c r="A2609" s="27" t="s">
        <v>327</v>
      </c>
      <c r="B2609" s="28"/>
      <c r="C2609" s="27"/>
      <c r="D2609" s="27" t="str">
        <f>"""NAV Direct"",""CRONUS JetCorp USA"",""21"",""1"",""319222"""</f>
        <v>"NAV Direct","CRONUS JetCorp USA","21","1","319222"</v>
      </c>
      <c r="E2609" s="31">
        <f t="shared" si="800"/>
        <v>0</v>
      </c>
      <c r="F2609" s="31"/>
      <c r="G2609" s="31"/>
      <c r="H2609" s="31"/>
      <c r="I2609" s="56"/>
      <c r="J2609" s="56"/>
      <c r="K2609" s="82" t="str">
        <f t="shared" si="801"/>
        <v>Invoice</v>
      </c>
      <c r="L2609" s="83" t="str">
        <f>"SI_109940"</f>
        <v>SI_109940</v>
      </c>
      <c r="M2609" s="84">
        <v>42174</v>
      </c>
      <c r="N2609" s="85">
        <f t="shared" si="802"/>
        <v>1638</v>
      </c>
      <c r="O2609" s="86">
        <f t="shared" si="803"/>
        <v>16116.099999999999</v>
      </c>
      <c r="P2609" s="86">
        <f t="shared" si="804"/>
        <v>0</v>
      </c>
      <c r="Q2609" s="86">
        <f t="shared" si="805"/>
        <v>0</v>
      </c>
      <c r="R2609" s="86">
        <f t="shared" si="806"/>
        <v>0</v>
      </c>
      <c r="S2609" s="86">
        <f t="shared" si="807"/>
        <v>0</v>
      </c>
      <c r="T2609" s="86">
        <f t="shared" si="808"/>
        <v>16116.099999999999</v>
      </c>
      <c r="U2609" s="87">
        <v>16116.099999999999</v>
      </c>
    </row>
    <row r="2610" spans="1:21" s="30" customFormat="1" ht="24.6" hidden="1" outlineLevel="1" x14ac:dyDescent="0.55000000000000004">
      <c r="A2610" s="27" t="s">
        <v>327</v>
      </c>
      <c r="B2610" s="28"/>
      <c r="C2610" s="27"/>
      <c r="D2610" s="27" t="str">
        <f>"""NAV Direct"",""CRONUS JetCorp USA"",""21"",""1"",""319245"""</f>
        <v>"NAV Direct","CRONUS JetCorp USA","21","1","319245"</v>
      </c>
      <c r="E2610" s="31" t="str">
        <f t="shared" si="800"/>
        <v>C100083</v>
      </c>
      <c r="F2610" s="31"/>
      <c r="G2610" s="31"/>
      <c r="H2610" s="31"/>
      <c r="I2610" s="56"/>
      <c r="J2610" s="56"/>
      <c r="K2610" s="82" t="str">
        <f t="shared" si="801"/>
        <v>Invoice</v>
      </c>
      <c r="L2610" s="83" t="str">
        <f>"SI_109941"</f>
        <v>SI_109941</v>
      </c>
      <c r="M2610" s="84">
        <v>42176</v>
      </c>
      <c r="N2610" s="85">
        <f t="shared" si="802"/>
        <v>1636</v>
      </c>
      <c r="O2610" s="86">
        <f t="shared" si="803"/>
        <v>15951.660000000002</v>
      </c>
      <c r="P2610" s="86">
        <f t="shared" si="804"/>
        <v>0</v>
      </c>
      <c r="Q2610" s="86">
        <f t="shared" si="805"/>
        <v>0</v>
      </c>
      <c r="R2610" s="86">
        <f t="shared" si="806"/>
        <v>0</v>
      </c>
      <c r="S2610" s="86">
        <f t="shared" si="807"/>
        <v>0</v>
      </c>
      <c r="T2610" s="86">
        <f t="shared" si="808"/>
        <v>15951.660000000002</v>
      </c>
      <c r="U2610" s="87">
        <v>15951.660000000002</v>
      </c>
    </row>
    <row r="2611" spans="1:21" s="30" customFormat="1" ht="24.6" hidden="1" outlineLevel="1" x14ac:dyDescent="0.55000000000000004">
      <c r="A2611" s="27" t="s">
        <v>327</v>
      </c>
      <c r="B2611" s="28"/>
      <c r="C2611" s="27"/>
      <c r="D2611" s="27" t="str">
        <f>"""NAV Direct"",""CRONUS JetCorp USA"",""21"",""1"",""319272"""</f>
        <v>"NAV Direct","CRONUS JetCorp USA","21","1","319272"</v>
      </c>
      <c r="E2611" s="31">
        <f t="shared" si="800"/>
        <v>0</v>
      </c>
      <c r="F2611" s="31"/>
      <c r="G2611" s="31"/>
      <c r="H2611" s="31"/>
      <c r="I2611" s="56"/>
      <c r="J2611" s="56"/>
      <c r="K2611" s="82" t="str">
        <f t="shared" si="801"/>
        <v>Invoice</v>
      </c>
      <c r="L2611" s="83" t="str">
        <f>"SI_109942"</f>
        <v>SI_109942</v>
      </c>
      <c r="M2611" s="84">
        <v>42180</v>
      </c>
      <c r="N2611" s="85">
        <f t="shared" si="802"/>
        <v>1632</v>
      </c>
      <c r="O2611" s="86">
        <f t="shared" si="803"/>
        <v>15787.57</v>
      </c>
      <c r="P2611" s="86">
        <f t="shared" si="804"/>
        <v>0</v>
      </c>
      <c r="Q2611" s="86">
        <f t="shared" si="805"/>
        <v>0</v>
      </c>
      <c r="R2611" s="86">
        <f t="shared" si="806"/>
        <v>0</v>
      </c>
      <c r="S2611" s="86">
        <f t="shared" si="807"/>
        <v>0</v>
      </c>
      <c r="T2611" s="86">
        <f t="shared" si="808"/>
        <v>15787.57</v>
      </c>
      <c r="U2611" s="87">
        <v>15787.57</v>
      </c>
    </row>
    <row r="2612" spans="1:21" s="30" customFormat="1" ht="24.6" hidden="1" outlineLevel="1" x14ac:dyDescent="0.55000000000000004">
      <c r="A2612" s="27" t="s">
        <v>327</v>
      </c>
      <c r="B2612" s="28"/>
      <c r="C2612" s="27"/>
      <c r="D2612" s="27" t="str">
        <f>"""NAV Direct"",""CRONUS JetCorp USA"",""21"",""1"",""319297"""</f>
        <v>"NAV Direct","CRONUS JetCorp USA","21","1","319297"</v>
      </c>
      <c r="E2612" s="31" t="str">
        <f t="shared" si="800"/>
        <v>C100083</v>
      </c>
      <c r="F2612" s="31"/>
      <c r="G2612" s="31"/>
      <c r="H2612" s="31"/>
      <c r="I2612" s="56"/>
      <c r="J2612" s="56"/>
      <c r="K2612" s="82" t="str">
        <f t="shared" si="801"/>
        <v>Invoice</v>
      </c>
      <c r="L2612" s="83" t="str">
        <f>"SI_109943"</f>
        <v>SI_109943</v>
      </c>
      <c r="M2612" s="84">
        <v>42184</v>
      </c>
      <c r="N2612" s="85">
        <f t="shared" si="802"/>
        <v>1628</v>
      </c>
      <c r="O2612" s="86">
        <f t="shared" si="803"/>
        <v>15622.43</v>
      </c>
      <c r="P2612" s="86">
        <f t="shared" si="804"/>
        <v>0</v>
      </c>
      <c r="Q2612" s="86">
        <f t="shared" si="805"/>
        <v>0</v>
      </c>
      <c r="R2612" s="86">
        <f t="shared" si="806"/>
        <v>0</v>
      </c>
      <c r="S2612" s="86">
        <f t="shared" si="807"/>
        <v>0</v>
      </c>
      <c r="T2612" s="86">
        <f t="shared" si="808"/>
        <v>15622.43</v>
      </c>
      <c r="U2612" s="87">
        <v>15622.43</v>
      </c>
    </row>
    <row r="2613" spans="1:21" s="30" customFormat="1" ht="24.6" hidden="1" outlineLevel="1" x14ac:dyDescent="0.55000000000000004">
      <c r="A2613" s="27" t="s">
        <v>327</v>
      </c>
      <c r="B2613" s="28"/>
      <c r="C2613" s="27"/>
      <c r="D2613" s="27" t="str">
        <f>"""NAV Direct"",""CRONUS JetCorp USA"",""21"",""1"",""319328"""</f>
        <v>"NAV Direct","CRONUS JetCorp USA","21","1","319328"</v>
      </c>
      <c r="E2613" s="31">
        <f t="shared" si="800"/>
        <v>0</v>
      </c>
      <c r="F2613" s="31"/>
      <c r="G2613" s="31"/>
      <c r="H2613" s="31"/>
      <c r="I2613" s="56"/>
      <c r="J2613" s="56"/>
      <c r="K2613" s="82" t="str">
        <f t="shared" si="801"/>
        <v>Invoice</v>
      </c>
      <c r="L2613" s="83" t="str">
        <f>"SI_109944"</f>
        <v>SI_109944</v>
      </c>
      <c r="M2613" s="84">
        <v>42204</v>
      </c>
      <c r="N2613" s="85">
        <f t="shared" si="802"/>
        <v>1608</v>
      </c>
      <c r="O2613" s="86">
        <f t="shared" si="803"/>
        <v>15489.150000000001</v>
      </c>
      <c r="P2613" s="86">
        <f t="shared" si="804"/>
        <v>0</v>
      </c>
      <c r="Q2613" s="86">
        <f t="shared" si="805"/>
        <v>0</v>
      </c>
      <c r="R2613" s="86">
        <f t="shared" si="806"/>
        <v>0</v>
      </c>
      <c r="S2613" s="86">
        <f t="shared" si="807"/>
        <v>0</v>
      </c>
      <c r="T2613" s="86">
        <f t="shared" si="808"/>
        <v>15489.150000000001</v>
      </c>
      <c r="U2613" s="87">
        <v>15489.150000000001</v>
      </c>
    </row>
    <row r="2614" spans="1:21" s="30" customFormat="1" ht="24.6" hidden="1" outlineLevel="1" x14ac:dyDescent="0.55000000000000004">
      <c r="A2614" s="27" t="s">
        <v>327</v>
      </c>
      <c r="B2614" s="28"/>
      <c r="C2614" s="27"/>
      <c r="D2614" s="27" t="str">
        <f>"""NAV Direct"",""CRONUS JetCorp USA"",""21"",""1"",""319415"""</f>
        <v>"NAV Direct","CRONUS JetCorp USA","21","1","319415"</v>
      </c>
      <c r="E2614" s="31" t="str">
        <f t="shared" si="800"/>
        <v>C100083</v>
      </c>
      <c r="F2614" s="31"/>
      <c r="G2614" s="31"/>
      <c r="H2614" s="31"/>
      <c r="I2614" s="56"/>
      <c r="J2614" s="56"/>
      <c r="K2614" s="82" t="str">
        <f t="shared" si="801"/>
        <v>Invoice</v>
      </c>
      <c r="L2614" s="83" t="str">
        <f>"SI_109947"</f>
        <v>SI_109947</v>
      </c>
      <c r="M2614" s="84">
        <v>42240</v>
      </c>
      <c r="N2614" s="85">
        <f t="shared" si="802"/>
        <v>1572</v>
      </c>
      <c r="O2614" s="86">
        <f t="shared" si="803"/>
        <v>16067.740000000002</v>
      </c>
      <c r="P2614" s="86">
        <f t="shared" si="804"/>
        <v>0</v>
      </c>
      <c r="Q2614" s="86">
        <f t="shared" si="805"/>
        <v>0</v>
      </c>
      <c r="R2614" s="86">
        <f t="shared" si="806"/>
        <v>0</v>
      </c>
      <c r="S2614" s="86">
        <f t="shared" si="807"/>
        <v>0</v>
      </c>
      <c r="T2614" s="86">
        <f t="shared" si="808"/>
        <v>16067.740000000002</v>
      </c>
      <c r="U2614" s="87">
        <v>16067.740000000002</v>
      </c>
    </row>
    <row r="2615" spans="1:21" s="30" customFormat="1" ht="24.6" hidden="1" outlineLevel="1" x14ac:dyDescent="0.55000000000000004">
      <c r="A2615" s="27" t="s">
        <v>327</v>
      </c>
      <c r="B2615" s="28"/>
      <c r="C2615" s="27"/>
      <c r="D2615" s="27" t="str">
        <f>"""NAV Direct"",""CRONUS JetCorp USA"",""21"",""1"",""319498"""</f>
        <v>"NAV Direct","CRONUS JetCorp USA","21","1","319498"</v>
      </c>
      <c r="E2615" s="31">
        <f t="shared" si="800"/>
        <v>0</v>
      </c>
      <c r="F2615" s="31"/>
      <c r="G2615" s="31"/>
      <c r="H2615" s="31"/>
      <c r="I2615" s="56"/>
      <c r="J2615" s="56"/>
      <c r="K2615" s="82" t="str">
        <f t="shared" si="801"/>
        <v>Invoice</v>
      </c>
      <c r="L2615" s="83" t="str">
        <f>"SI_109950"</f>
        <v>SI_109950</v>
      </c>
      <c r="M2615" s="84">
        <v>42266</v>
      </c>
      <c r="N2615" s="85">
        <f t="shared" si="802"/>
        <v>1546</v>
      </c>
      <c r="O2615" s="86">
        <f t="shared" si="803"/>
        <v>15803.07</v>
      </c>
      <c r="P2615" s="86">
        <f t="shared" si="804"/>
        <v>0</v>
      </c>
      <c r="Q2615" s="86">
        <f t="shared" si="805"/>
        <v>0</v>
      </c>
      <c r="R2615" s="86">
        <f t="shared" si="806"/>
        <v>0</v>
      </c>
      <c r="S2615" s="86">
        <f t="shared" si="807"/>
        <v>0</v>
      </c>
      <c r="T2615" s="86">
        <f t="shared" si="808"/>
        <v>15803.07</v>
      </c>
      <c r="U2615" s="87">
        <v>15803.07</v>
      </c>
    </row>
    <row r="2616" spans="1:21" s="30" customFormat="1" ht="24.6" hidden="1" outlineLevel="1" x14ac:dyDescent="0.55000000000000004">
      <c r="A2616" s="27" t="s">
        <v>327</v>
      </c>
      <c r="B2616" s="28"/>
      <c r="C2616" s="27"/>
      <c r="D2616" s="27" t="str">
        <f>"""NAV Direct"",""CRONUS JetCorp USA"",""21"",""1"",""319548"""</f>
        <v>"NAV Direct","CRONUS JetCorp USA","21","1","319548"</v>
      </c>
      <c r="E2616" s="31" t="str">
        <f t="shared" si="800"/>
        <v>C100083</v>
      </c>
      <c r="F2616" s="31"/>
      <c r="G2616" s="31"/>
      <c r="H2616" s="31"/>
      <c r="I2616" s="56"/>
      <c r="J2616" s="56"/>
      <c r="K2616" s="82" t="str">
        <f t="shared" si="801"/>
        <v>Invoice</v>
      </c>
      <c r="L2616" s="83" t="str">
        <f>"SI_109952"</f>
        <v>SI_109952</v>
      </c>
      <c r="M2616" s="84">
        <v>42276</v>
      </c>
      <c r="N2616" s="85">
        <f t="shared" si="802"/>
        <v>1536</v>
      </c>
      <c r="O2616" s="86">
        <f t="shared" si="803"/>
        <v>16132.269999999999</v>
      </c>
      <c r="P2616" s="86">
        <f t="shared" si="804"/>
        <v>0</v>
      </c>
      <c r="Q2616" s="86">
        <f t="shared" si="805"/>
        <v>0</v>
      </c>
      <c r="R2616" s="86">
        <f t="shared" si="806"/>
        <v>0</v>
      </c>
      <c r="S2616" s="86">
        <f t="shared" si="807"/>
        <v>0</v>
      </c>
      <c r="T2616" s="86">
        <f t="shared" si="808"/>
        <v>16132.269999999999</v>
      </c>
      <c r="U2616" s="87">
        <v>16132.269999999999</v>
      </c>
    </row>
    <row r="2617" spans="1:21" s="30" customFormat="1" ht="24.6" hidden="1" outlineLevel="1" x14ac:dyDescent="0.55000000000000004">
      <c r="A2617" s="27" t="s">
        <v>327</v>
      </c>
      <c r="B2617" s="28"/>
      <c r="C2617" s="27"/>
      <c r="D2617" s="27" t="str">
        <f>"""NAV Direct"",""CRONUS JetCorp USA"",""21"",""1"",""319583"""</f>
        <v>"NAV Direct","CRONUS JetCorp USA","21","1","319583"</v>
      </c>
      <c r="E2617" s="31">
        <f t="shared" si="800"/>
        <v>0</v>
      </c>
      <c r="F2617" s="31"/>
      <c r="G2617" s="31"/>
      <c r="H2617" s="31"/>
      <c r="I2617" s="56"/>
      <c r="J2617" s="56"/>
      <c r="K2617" s="82" t="str">
        <f t="shared" si="801"/>
        <v>Invoice</v>
      </c>
      <c r="L2617" s="83" t="str">
        <f>"SI_109953"</f>
        <v>SI_109953</v>
      </c>
      <c r="M2617" s="84">
        <v>42279</v>
      </c>
      <c r="N2617" s="85">
        <f t="shared" si="802"/>
        <v>1533</v>
      </c>
      <c r="O2617" s="86">
        <f t="shared" si="803"/>
        <v>15802.4</v>
      </c>
      <c r="P2617" s="86">
        <f t="shared" si="804"/>
        <v>0</v>
      </c>
      <c r="Q2617" s="86">
        <f t="shared" si="805"/>
        <v>0</v>
      </c>
      <c r="R2617" s="86">
        <f t="shared" si="806"/>
        <v>0</v>
      </c>
      <c r="S2617" s="86">
        <f t="shared" si="807"/>
        <v>0</v>
      </c>
      <c r="T2617" s="86">
        <f t="shared" si="808"/>
        <v>15802.4</v>
      </c>
      <c r="U2617" s="87">
        <v>15802.4</v>
      </c>
    </row>
    <row r="2618" spans="1:21" s="30" customFormat="1" ht="24.6" hidden="1" outlineLevel="1" x14ac:dyDescent="0.55000000000000004">
      <c r="A2618" s="27" t="s">
        <v>327</v>
      </c>
      <c r="B2618" s="28"/>
      <c r="C2618" s="27"/>
      <c r="D2618" s="27" t="str">
        <f>"""NAV Direct"",""CRONUS JetCorp USA"",""21"",""1"",""319664"""</f>
        <v>"NAV Direct","CRONUS JetCorp USA","21","1","319664"</v>
      </c>
      <c r="E2618" s="31" t="str">
        <f t="shared" si="800"/>
        <v>C100083</v>
      </c>
      <c r="F2618" s="31"/>
      <c r="G2618" s="31"/>
      <c r="H2618" s="31"/>
      <c r="I2618" s="56"/>
      <c r="J2618" s="56"/>
      <c r="K2618" s="82" t="str">
        <f t="shared" si="801"/>
        <v>Invoice</v>
      </c>
      <c r="L2618" s="83" t="str">
        <f>"SI_109956"</f>
        <v>SI_109956</v>
      </c>
      <c r="M2618" s="84">
        <v>42294</v>
      </c>
      <c r="N2618" s="85">
        <f t="shared" si="802"/>
        <v>1518</v>
      </c>
      <c r="O2618" s="86">
        <f t="shared" si="803"/>
        <v>15874.75</v>
      </c>
      <c r="P2618" s="86">
        <f t="shared" si="804"/>
        <v>0</v>
      </c>
      <c r="Q2618" s="86">
        <f t="shared" si="805"/>
        <v>0</v>
      </c>
      <c r="R2618" s="86">
        <f t="shared" si="806"/>
        <v>0</v>
      </c>
      <c r="S2618" s="86">
        <f t="shared" si="807"/>
        <v>0</v>
      </c>
      <c r="T2618" s="86">
        <f t="shared" si="808"/>
        <v>15874.75</v>
      </c>
      <c r="U2618" s="87">
        <v>15874.75</v>
      </c>
    </row>
    <row r="2619" spans="1:21" s="30" customFormat="1" ht="24.6" hidden="1" outlineLevel="1" x14ac:dyDescent="0.55000000000000004">
      <c r="A2619" s="27" t="s">
        <v>327</v>
      </c>
      <c r="B2619" s="28"/>
      <c r="C2619" s="27"/>
      <c r="D2619" s="27" t="str">
        <f>"""NAV Direct"",""CRONUS JetCorp USA"",""21"",""1"",""319845"""</f>
        <v>"NAV Direct","CRONUS JetCorp USA","21","1","319845"</v>
      </c>
      <c r="E2619" s="31">
        <f t="shared" si="800"/>
        <v>0</v>
      </c>
      <c r="F2619" s="31"/>
      <c r="G2619" s="31"/>
      <c r="H2619" s="31"/>
      <c r="I2619" s="56"/>
      <c r="J2619" s="56"/>
      <c r="K2619" s="82" t="str">
        <f t="shared" si="801"/>
        <v>Invoice</v>
      </c>
      <c r="L2619" s="83" t="str">
        <f>"SI_109963"</f>
        <v>SI_109963</v>
      </c>
      <c r="M2619" s="84">
        <v>42343</v>
      </c>
      <c r="N2619" s="85">
        <f t="shared" si="802"/>
        <v>1469</v>
      </c>
      <c r="O2619" s="86">
        <f t="shared" si="803"/>
        <v>17037.580000000002</v>
      </c>
      <c r="P2619" s="86">
        <f t="shared" si="804"/>
        <v>0</v>
      </c>
      <c r="Q2619" s="86">
        <f t="shared" si="805"/>
        <v>0</v>
      </c>
      <c r="R2619" s="86">
        <f t="shared" si="806"/>
        <v>0</v>
      </c>
      <c r="S2619" s="86">
        <f t="shared" si="807"/>
        <v>0</v>
      </c>
      <c r="T2619" s="86">
        <f t="shared" si="808"/>
        <v>17037.580000000002</v>
      </c>
      <c r="U2619" s="87">
        <v>17037.580000000002</v>
      </c>
    </row>
    <row r="2620" spans="1:21" s="30" customFormat="1" ht="24.6" hidden="1" outlineLevel="1" x14ac:dyDescent="0.55000000000000004">
      <c r="A2620" s="27" t="s">
        <v>327</v>
      </c>
      <c r="B2620" s="28"/>
      <c r="C2620" s="27"/>
      <c r="D2620" s="27" t="str">
        <f>"""NAV Direct"",""CRONUS JetCorp USA"",""21"",""1"",""319872"""</f>
        <v>"NAV Direct","CRONUS JetCorp USA","21","1","319872"</v>
      </c>
      <c r="E2620" s="31" t="str">
        <f t="shared" si="800"/>
        <v>C100083</v>
      </c>
      <c r="F2620" s="31"/>
      <c r="G2620" s="31"/>
      <c r="H2620" s="31"/>
      <c r="I2620" s="56"/>
      <c r="J2620" s="56"/>
      <c r="K2620" s="82" t="str">
        <f t="shared" si="801"/>
        <v>Invoice</v>
      </c>
      <c r="L2620" s="83" t="str">
        <f>"SI_109964"</f>
        <v>SI_109964</v>
      </c>
      <c r="M2620" s="84">
        <v>42348</v>
      </c>
      <c r="N2620" s="85">
        <f t="shared" si="802"/>
        <v>1464</v>
      </c>
      <c r="O2620" s="86">
        <f t="shared" si="803"/>
        <v>16686.14</v>
      </c>
      <c r="P2620" s="86">
        <f t="shared" si="804"/>
        <v>0</v>
      </c>
      <c r="Q2620" s="86">
        <f t="shared" si="805"/>
        <v>0</v>
      </c>
      <c r="R2620" s="86">
        <f t="shared" si="806"/>
        <v>0</v>
      </c>
      <c r="S2620" s="86">
        <f t="shared" si="807"/>
        <v>0</v>
      </c>
      <c r="T2620" s="86">
        <f t="shared" si="808"/>
        <v>16686.14</v>
      </c>
      <c r="U2620" s="87">
        <v>16686.14</v>
      </c>
    </row>
    <row r="2621" spans="1:21" s="30" customFormat="1" ht="24.6" hidden="1" outlineLevel="1" x14ac:dyDescent="0.55000000000000004">
      <c r="A2621" s="27" t="s">
        <v>327</v>
      </c>
      <c r="B2621" s="28"/>
      <c r="C2621" s="27"/>
      <c r="D2621" s="27" t="str">
        <f>"""NAV Direct"",""CRONUS JetCorp USA"",""21"",""1"",""320032"""</f>
        <v>"NAV Direct","CRONUS JetCorp USA","21","1","320032"</v>
      </c>
      <c r="E2621" s="31">
        <f t="shared" si="800"/>
        <v>0</v>
      </c>
      <c r="F2621" s="31"/>
      <c r="G2621" s="31"/>
      <c r="H2621" s="31"/>
      <c r="I2621" s="56"/>
      <c r="J2621" s="56"/>
      <c r="K2621" s="82" t="str">
        <f t="shared" si="801"/>
        <v>Invoice</v>
      </c>
      <c r="L2621" s="83" t="str">
        <f>"SI_109970"</f>
        <v>SI_109970</v>
      </c>
      <c r="M2621" s="84">
        <v>42369</v>
      </c>
      <c r="N2621" s="85">
        <f t="shared" si="802"/>
        <v>1443</v>
      </c>
      <c r="O2621" s="86">
        <f t="shared" si="803"/>
        <v>16802.439999999999</v>
      </c>
      <c r="P2621" s="86">
        <f t="shared" si="804"/>
        <v>0</v>
      </c>
      <c r="Q2621" s="86">
        <f t="shared" si="805"/>
        <v>0</v>
      </c>
      <c r="R2621" s="86">
        <f t="shared" si="806"/>
        <v>0</v>
      </c>
      <c r="S2621" s="86">
        <f t="shared" si="807"/>
        <v>0</v>
      </c>
      <c r="T2621" s="86">
        <f t="shared" si="808"/>
        <v>16802.439999999999</v>
      </c>
      <c r="U2621" s="87">
        <v>16802.439999999999</v>
      </c>
    </row>
    <row r="2622" spans="1:21" s="30" customFormat="1" ht="24.6" hidden="1" outlineLevel="1" x14ac:dyDescent="0.55000000000000004">
      <c r="A2622" s="27" t="s">
        <v>327</v>
      </c>
      <c r="B2622" s="28"/>
      <c r="C2622" s="27"/>
      <c r="D2622" s="27" t="str">
        <f>"""NAV Direct"",""CRONUS JetCorp USA"",""21"",""1"",""430354"""</f>
        <v>"NAV Direct","CRONUS JetCorp USA","21","1","430354"</v>
      </c>
      <c r="E2622" s="31" t="str">
        <f t="shared" si="800"/>
        <v>C100083</v>
      </c>
      <c r="F2622" s="31"/>
      <c r="G2622" s="31"/>
      <c r="H2622" s="31"/>
      <c r="I2622" s="56"/>
      <c r="J2622" s="56"/>
      <c r="K2622" s="82" t="str">
        <f t="shared" ref="K2622:K2647" si="809">"Credit Memo"</f>
        <v>Credit Memo</v>
      </c>
      <c r="L2622" s="83" t="str">
        <f>"SC_100265"</f>
        <v>SC_100265</v>
      </c>
      <c r="M2622" s="84">
        <v>42421</v>
      </c>
      <c r="N2622" s="85">
        <f t="shared" si="802"/>
        <v>1391</v>
      </c>
      <c r="O2622" s="86">
        <f t="shared" si="803"/>
        <v>-120.10999999999999</v>
      </c>
      <c r="P2622" s="86">
        <f t="shared" si="804"/>
        <v>0</v>
      </c>
      <c r="Q2622" s="86">
        <f t="shared" si="805"/>
        <v>0</v>
      </c>
      <c r="R2622" s="86">
        <f t="shared" si="806"/>
        <v>0</v>
      </c>
      <c r="S2622" s="86">
        <f t="shared" si="807"/>
        <v>0</v>
      </c>
      <c r="T2622" s="86">
        <f t="shared" si="808"/>
        <v>-120.10999999999999</v>
      </c>
      <c r="U2622" s="87">
        <v>-120.10999999999999</v>
      </c>
    </row>
    <row r="2623" spans="1:21" s="30" customFormat="1" ht="24.6" hidden="1" outlineLevel="1" x14ac:dyDescent="0.55000000000000004">
      <c r="A2623" s="27" t="s">
        <v>327</v>
      </c>
      <c r="B2623" s="28"/>
      <c r="C2623" s="27"/>
      <c r="D2623" s="27" t="str">
        <f>"""NAV Direct"",""CRONUS JetCorp USA"",""21"",""1"",""430378"""</f>
        <v>"NAV Direct","CRONUS JetCorp USA","21","1","430378"</v>
      </c>
      <c r="E2623" s="31">
        <f t="shared" si="800"/>
        <v>0</v>
      </c>
      <c r="F2623" s="31"/>
      <c r="G2623" s="31"/>
      <c r="H2623" s="31"/>
      <c r="I2623" s="56"/>
      <c r="J2623" s="56"/>
      <c r="K2623" s="82" t="str">
        <f t="shared" si="809"/>
        <v>Credit Memo</v>
      </c>
      <c r="L2623" s="83" t="str">
        <f>"SC_100267"</f>
        <v>SC_100267</v>
      </c>
      <c r="M2623" s="84">
        <v>42505</v>
      </c>
      <c r="N2623" s="85">
        <f t="shared" si="802"/>
        <v>1307</v>
      </c>
      <c r="O2623" s="86">
        <f t="shared" si="803"/>
        <v>-123.05999999999999</v>
      </c>
      <c r="P2623" s="86">
        <f t="shared" si="804"/>
        <v>0</v>
      </c>
      <c r="Q2623" s="86">
        <f t="shared" si="805"/>
        <v>0</v>
      </c>
      <c r="R2623" s="86">
        <f t="shared" si="806"/>
        <v>0</v>
      </c>
      <c r="S2623" s="86">
        <f t="shared" si="807"/>
        <v>0</v>
      </c>
      <c r="T2623" s="86">
        <f t="shared" si="808"/>
        <v>-123.05999999999999</v>
      </c>
      <c r="U2623" s="87">
        <v>-123.05999999999999</v>
      </c>
    </row>
    <row r="2624" spans="1:21" s="30" customFormat="1" ht="24.6" hidden="1" outlineLevel="1" x14ac:dyDescent="0.55000000000000004">
      <c r="A2624" s="27" t="s">
        <v>327</v>
      </c>
      <c r="B2624" s="28"/>
      <c r="C2624" s="27"/>
      <c r="D2624" s="27" t="str">
        <f>"""NAV Direct"",""CRONUS JetCorp USA"",""21"",""1"",""430391"""</f>
        <v>"NAV Direct","CRONUS JetCorp USA","21","1","430391"</v>
      </c>
      <c r="E2624" s="31" t="str">
        <f t="shared" si="800"/>
        <v>C100083</v>
      </c>
      <c r="F2624" s="31"/>
      <c r="G2624" s="31"/>
      <c r="H2624" s="31"/>
      <c r="I2624" s="56"/>
      <c r="J2624" s="56"/>
      <c r="K2624" s="82" t="str">
        <f t="shared" si="809"/>
        <v>Credit Memo</v>
      </c>
      <c r="L2624" s="83" t="str">
        <f>"SC_100268"</f>
        <v>SC_100268</v>
      </c>
      <c r="M2624" s="84">
        <v>42510</v>
      </c>
      <c r="N2624" s="85">
        <f t="shared" si="802"/>
        <v>1302</v>
      </c>
      <c r="O2624" s="86">
        <f t="shared" si="803"/>
        <v>-127.13</v>
      </c>
      <c r="P2624" s="86">
        <f t="shared" si="804"/>
        <v>0</v>
      </c>
      <c r="Q2624" s="86">
        <f t="shared" si="805"/>
        <v>0</v>
      </c>
      <c r="R2624" s="86">
        <f t="shared" si="806"/>
        <v>0</v>
      </c>
      <c r="S2624" s="86">
        <f t="shared" si="807"/>
        <v>0</v>
      </c>
      <c r="T2624" s="86">
        <f t="shared" si="808"/>
        <v>-127.13</v>
      </c>
      <c r="U2624" s="87">
        <v>-127.13</v>
      </c>
    </row>
    <row r="2625" spans="1:21" s="30" customFormat="1" ht="24.6" hidden="1" outlineLevel="1" x14ac:dyDescent="0.55000000000000004">
      <c r="A2625" s="27" t="s">
        <v>327</v>
      </c>
      <c r="B2625" s="28"/>
      <c r="C2625" s="27"/>
      <c r="D2625" s="27" t="str">
        <f>"""NAV Direct"",""CRONUS JetCorp USA"",""21"",""1"",""430436"""</f>
        <v>"NAV Direct","CRONUS JetCorp USA","21","1","430436"</v>
      </c>
      <c r="E2625" s="31">
        <f t="shared" si="800"/>
        <v>0</v>
      </c>
      <c r="F2625" s="31"/>
      <c r="G2625" s="31"/>
      <c r="H2625" s="31"/>
      <c r="I2625" s="56"/>
      <c r="J2625" s="56"/>
      <c r="K2625" s="82" t="str">
        <f t="shared" si="809"/>
        <v>Credit Memo</v>
      </c>
      <c r="L2625" s="83" t="str">
        <f>"SC_100271"</f>
        <v>SC_100271</v>
      </c>
      <c r="M2625" s="84">
        <v>42627</v>
      </c>
      <c r="N2625" s="85">
        <f t="shared" si="802"/>
        <v>1185</v>
      </c>
      <c r="O2625" s="86">
        <f t="shared" si="803"/>
        <v>-130.77000000000001</v>
      </c>
      <c r="P2625" s="86">
        <f t="shared" si="804"/>
        <v>0</v>
      </c>
      <c r="Q2625" s="86">
        <f t="shared" si="805"/>
        <v>0</v>
      </c>
      <c r="R2625" s="86">
        <f t="shared" si="806"/>
        <v>0</v>
      </c>
      <c r="S2625" s="86">
        <f t="shared" si="807"/>
        <v>0</v>
      </c>
      <c r="T2625" s="86">
        <f t="shared" si="808"/>
        <v>-130.77000000000001</v>
      </c>
      <c r="U2625" s="87">
        <v>-130.77000000000001</v>
      </c>
    </row>
    <row r="2626" spans="1:21" s="30" customFormat="1" ht="24.6" hidden="1" outlineLevel="1" x14ac:dyDescent="0.55000000000000004">
      <c r="A2626" s="27" t="s">
        <v>327</v>
      </c>
      <c r="B2626" s="28"/>
      <c r="C2626" s="27"/>
      <c r="D2626" s="27" t="str">
        <f>"""NAV Direct"",""CRONUS JetCorp USA"",""21"",""1"",""430469"""</f>
        <v>"NAV Direct","CRONUS JetCorp USA","21","1","430469"</v>
      </c>
      <c r="E2626" s="31" t="str">
        <f t="shared" si="800"/>
        <v>C100083</v>
      </c>
      <c r="F2626" s="31"/>
      <c r="G2626" s="31"/>
      <c r="H2626" s="31"/>
      <c r="I2626" s="56"/>
      <c r="J2626" s="56"/>
      <c r="K2626" s="82" t="str">
        <f t="shared" si="809"/>
        <v>Credit Memo</v>
      </c>
      <c r="L2626" s="83" t="str">
        <f>"SC_100274"</f>
        <v>SC_100274</v>
      </c>
      <c r="M2626" s="84">
        <v>42721</v>
      </c>
      <c r="N2626" s="85">
        <f t="shared" si="802"/>
        <v>1091</v>
      </c>
      <c r="O2626" s="86">
        <f t="shared" si="803"/>
        <v>-136.29000000000002</v>
      </c>
      <c r="P2626" s="86">
        <f t="shared" si="804"/>
        <v>0</v>
      </c>
      <c r="Q2626" s="86">
        <f t="shared" si="805"/>
        <v>0</v>
      </c>
      <c r="R2626" s="86">
        <f t="shared" si="806"/>
        <v>0</v>
      </c>
      <c r="S2626" s="86">
        <f t="shared" si="807"/>
        <v>0</v>
      </c>
      <c r="T2626" s="86">
        <f t="shared" si="808"/>
        <v>-136.29000000000002</v>
      </c>
      <c r="U2626" s="87">
        <v>-136.29000000000002</v>
      </c>
    </row>
    <row r="2627" spans="1:21" s="30" customFormat="1" ht="24.6" hidden="1" outlineLevel="1" x14ac:dyDescent="0.55000000000000004">
      <c r="A2627" s="27" t="s">
        <v>327</v>
      </c>
      <c r="B2627" s="28"/>
      <c r="C2627" s="27"/>
      <c r="D2627" s="27" t="str">
        <f>"""NAV Direct"",""CRONUS JetCorp USA"",""21"",""1"",""430497"""</f>
        <v>"NAV Direct","CRONUS JetCorp USA","21","1","430497"</v>
      </c>
      <c r="E2627" s="31">
        <f t="shared" si="800"/>
        <v>0</v>
      </c>
      <c r="F2627" s="31"/>
      <c r="G2627" s="31"/>
      <c r="H2627" s="31"/>
      <c r="I2627" s="56"/>
      <c r="J2627" s="56"/>
      <c r="K2627" s="82" t="str">
        <f t="shared" si="809"/>
        <v>Credit Memo</v>
      </c>
      <c r="L2627" s="83" t="str">
        <f>"SC_100276"</f>
        <v>SC_100276</v>
      </c>
      <c r="M2627" s="84">
        <v>42749</v>
      </c>
      <c r="N2627" s="85">
        <f t="shared" si="802"/>
        <v>1063</v>
      </c>
      <c r="O2627" s="86">
        <f t="shared" si="803"/>
        <v>-134.49</v>
      </c>
      <c r="P2627" s="86">
        <f t="shared" si="804"/>
        <v>0</v>
      </c>
      <c r="Q2627" s="86">
        <f t="shared" si="805"/>
        <v>0</v>
      </c>
      <c r="R2627" s="86">
        <f t="shared" si="806"/>
        <v>0</v>
      </c>
      <c r="S2627" s="86">
        <f t="shared" si="807"/>
        <v>0</v>
      </c>
      <c r="T2627" s="86">
        <f t="shared" si="808"/>
        <v>-134.49</v>
      </c>
      <c r="U2627" s="87">
        <v>-134.49</v>
      </c>
    </row>
    <row r="2628" spans="1:21" s="30" customFormat="1" ht="24.6" hidden="1" outlineLevel="1" x14ac:dyDescent="0.55000000000000004">
      <c r="A2628" s="27" t="s">
        <v>327</v>
      </c>
      <c r="B2628" s="28"/>
      <c r="C2628" s="27"/>
      <c r="D2628" s="27" t="str">
        <f>"""NAV Direct"",""CRONUS JetCorp USA"",""21"",""1"",""430549"""</f>
        <v>"NAV Direct","CRONUS JetCorp USA","21","1","430549"</v>
      </c>
      <c r="E2628" s="31" t="str">
        <f t="shared" ref="E2628:E2647" si="810">E2626</f>
        <v>C100083</v>
      </c>
      <c r="F2628" s="31"/>
      <c r="G2628" s="31"/>
      <c r="H2628" s="31"/>
      <c r="I2628" s="56"/>
      <c r="J2628" s="56"/>
      <c r="K2628" s="82" t="str">
        <f t="shared" si="809"/>
        <v>Credit Memo</v>
      </c>
      <c r="L2628" s="83" t="str">
        <f>"SC_100280"</f>
        <v>SC_100280</v>
      </c>
      <c r="M2628" s="84">
        <v>42809</v>
      </c>
      <c r="N2628" s="85">
        <f t="shared" ref="N2628:N2647" si="811">StartDate-$M2628+1</f>
        <v>1003</v>
      </c>
      <c r="O2628" s="86">
        <f t="shared" ref="O2628:O2647" si="812">SUM(P2628:T2628)</f>
        <v>-142.54</v>
      </c>
      <c r="P2628" s="86">
        <f t="shared" ref="P2628:P2647" si="813">IF($M2628&gt;=$P$18,U2628,0)</f>
        <v>0</v>
      </c>
      <c r="Q2628" s="86">
        <f t="shared" ref="Q2628:Q2647" si="814">IF(AND($M2628&gt;=$Q$16,$M2628&lt;=$Q$18),U2628,0)</f>
        <v>0</v>
      </c>
      <c r="R2628" s="86">
        <f t="shared" ref="R2628:R2647" si="815">IF(AND($M2628&gt;=$R$16,$M2628&lt;=$R$18),U2628,0)</f>
        <v>0</v>
      </c>
      <c r="S2628" s="86">
        <f t="shared" ref="S2628:S2647" si="816">IF(AND($M2628&gt;=$S$16,$M2628&lt;=$S$18),U2628,0)</f>
        <v>0</v>
      </c>
      <c r="T2628" s="86">
        <f t="shared" ref="T2628:T2647" si="817">IF($M2628&lt;=$T$18,U2628,0)</f>
        <v>-142.54</v>
      </c>
      <c r="U2628" s="87">
        <v>-142.54</v>
      </c>
    </row>
    <row r="2629" spans="1:21" s="30" customFormat="1" ht="24.6" hidden="1" outlineLevel="1" x14ac:dyDescent="0.55000000000000004">
      <c r="A2629" s="27" t="s">
        <v>327</v>
      </c>
      <c r="B2629" s="28"/>
      <c r="C2629" s="27"/>
      <c r="D2629" s="27" t="str">
        <f>"""NAV Direct"",""CRONUS JetCorp USA"",""21"",""1"",""430624"""</f>
        <v>"NAV Direct","CRONUS JetCorp USA","21","1","430624"</v>
      </c>
      <c r="E2629" s="31">
        <f t="shared" si="810"/>
        <v>0</v>
      </c>
      <c r="F2629" s="31"/>
      <c r="G2629" s="31"/>
      <c r="H2629" s="31"/>
      <c r="I2629" s="56"/>
      <c r="J2629" s="56"/>
      <c r="K2629" s="82" t="str">
        <f t="shared" si="809"/>
        <v>Credit Memo</v>
      </c>
      <c r="L2629" s="83" t="str">
        <f>"SC_100285"</f>
        <v>SC_100285</v>
      </c>
      <c r="M2629" s="84">
        <v>42899</v>
      </c>
      <c r="N2629" s="85">
        <f t="shared" si="811"/>
        <v>913</v>
      </c>
      <c r="O2629" s="86">
        <f t="shared" si="812"/>
        <v>-130.84</v>
      </c>
      <c r="P2629" s="86">
        <f t="shared" si="813"/>
        <v>0</v>
      </c>
      <c r="Q2629" s="86">
        <f t="shared" si="814"/>
        <v>0</v>
      </c>
      <c r="R2629" s="86">
        <f t="shared" si="815"/>
        <v>0</v>
      </c>
      <c r="S2629" s="86">
        <f t="shared" si="816"/>
        <v>0</v>
      </c>
      <c r="T2629" s="86">
        <f t="shared" si="817"/>
        <v>-130.84</v>
      </c>
      <c r="U2629" s="87">
        <v>-130.84</v>
      </c>
    </row>
    <row r="2630" spans="1:21" s="30" customFormat="1" ht="24.6" hidden="1" outlineLevel="1" x14ac:dyDescent="0.55000000000000004">
      <c r="A2630" s="27" t="s">
        <v>327</v>
      </c>
      <c r="B2630" s="28"/>
      <c r="C2630" s="27"/>
      <c r="D2630" s="27" t="str">
        <f>"""NAV Direct"",""CRONUS JetCorp USA"",""21"",""1"",""430639"""</f>
        <v>"NAV Direct","CRONUS JetCorp USA","21","1","430639"</v>
      </c>
      <c r="E2630" s="31" t="str">
        <f t="shared" si="810"/>
        <v>C100083</v>
      </c>
      <c r="F2630" s="31"/>
      <c r="G2630" s="31"/>
      <c r="H2630" s="31"/>
      <c r="I2630" s="56"/>
      <c r="J2630" s="56"/>
      <c r="K2630" s="82" t="str">
        <f t="shared" si="809"/>
        <v>Credit Memo</v>
      </c>
      <c r="L2630" s="83" t="str">
        <f>"SC_100286"</f>
        <v>SC_100286</v>
      </c>
      <c r="M2630" s="84">
        <v>43183</v>
      </c>
      <c r="N2630" s="85">
        <f t="shared" si="811"/>
        <v>629</v>
      </c>
      <c r="O2630" s="86">
        <f t="shared" si="812"/>
        <v>-111.34</v>
      </c>
      <c r="P2630" s="86">
        <f t="shared" si="813"/>
        <v>0</v>
      </c>
      <c r="Q2630" s="86">
        <f t="shared" si="814"/>
        <v>0</v>
      </c>
      <c r="R2630" s="86">
        <f t="shared" si="815"/>
        <v>0</v>
      </c>
      <c r="S2630" s="86">
        <f t="shared" si="816"/>
        <v>0</v>
      </c>
      <c r="T2630" s="86">
        <f t="shared" si="817"/>
        <v>-111.34</v>
      </c>
      <c r="U2630" s="87">
        <v>-111.34</v>
      </c>
    </row>
    <row r="2631" spans="1:21" s="30" customFormat="1" ht="24.6" hidden="1" outlineLevel="1" x14ac:dyDescent="0.55000000000000004">
      <c r="A2631" s="27" t="s">
        <v>327</v>
      </c>
      <c r="B2631" s="28"/>
      <c r="C2631" s="27"/>
      <c r="D2631" s="27" t="str">
        <f>"""NAV Direct"",""CRONUS JetCorp USA"",""21"",""1"",""430703"""</f>
        <v>"NAV Direct","CRONUS JetCorp USA","21","1","430703"</v>
      </c>
      <c r="E2631" s="31">
        <f t="shared" si="810"/>
        <v>0</v>
      </c>
      <c r="F2631" s="31"/>
      <c r="G2631" s="31"/>
      <c r="H2631" s="31"/>
      <c r="I2631" s="56"/>
      <c r="J2631" s="56"/>
      <c r="K2631" s="82" t="str">
        <f t="shared" si="809"/>
        <v>Credit Memo</v>
      </c>
      <c r="L2631" s="83" t="str">
        <f>"SC_100290"</f>
        <v>SC_100290</v>
      </c>
      <c r="M2631" s="84">
        <v>43260</v>
      </c>
      <c r="N2631" s="85">
        <f t="shared" si="811"/>
        <v>552</v>
      </c>
      <c r="O2631" s="86">
        <f t="shared" si="812"/>
        <v>-114.4</v>
      </c>
      <c r="P2631" s="86">
        <f t="shared" si="813"/>
        <v>0</v>
      </c>
      <c r="Q2631" s="86">
        <f t="shared" si="814"/>
        <v>0</v>
      </c>
      <c r="R2631" s="86">
        <f t="shared" si="815"/>
        <v>0</v>
      </c>
      <c r="S2631" s="86">
        <f t="shared" si="816"/>
        <v>0</v>
      </c>
      <c r="T2631" s="86">
        <f t="shared" si="817"/>
        <v>-114.4</v>
      </c>
      <c r="U2631" s="87">
        <v>-114.4</v>
      </c>
    </row>
    <row r="2632" spans="1:21" s="30" customFormat="1" ht="24.6" hidden="1" outlineLevel="1" x14ac:dyDescent="0.55000000000000004">
      <c r="A2632" s="27" t="s">
        <v>327</v>
      </c>
      <c r="B2632" s="28"/>
      <c r="C2632" s="27"/>
      <c r="D2632" s="27" t="str">
        <f>"""NAV Direct"",""CRONUS JetCorp USA"",""21"",""1"",""430710"""</f>
        <v>"NAV Direct","CRONUS JetCorp USA","21","1","430710"</v>
      </c>
      <c r="E2632" s="31" t="str">
        <f t="shared" si="810"/>
        <v>C100083</v>
      </c>
      <c r="F2632" s="31"/>
      <c r="G2632" s="31"/>
      <c r="H2632" s="31"/>
      <c r="I2632" s="56"/>
      <c r="J2632" s="56"/>
      <c r="K2632" s="82" t="str">
        <f t="shared" si="809"/>
        <v>Credit Memo</v>
      </c>
      <c r="L2632" s="83" t="str">
        <f>"SC_100291"</f>
        <v>SC_100291</v>
      </c>
      <c r="M2632" s="84">
        <v>43346</v>
      </c>
      <c r="N2632" s="85">
        <f t="shared" si="811"/>
        <v>466</v>
      </c>
      <c r="O2632" s="86">
        <f t="shared" si="812"/>
        <v>-115.73</v>
      </c>
      <c r="P2632" s="86">
        <f t="shared" si="813"/>
        <v>0</v>
      </c>
      <c r="Q2632" s="86">
        <f t="shared" si="814"/>
        <v>0</v>
      </c>
      <c r="R2632" s="86">
        <f t="shared" si="815"/>
        <v>0</v>
      </c>
      <c r="S2632" s="86">
        <f t="shared" si="816"/>
        <v>0</v>
      </c>
      <c r="T2632" s="86">
        <f t="shared" si="817"/>
        <v>-115.73</v>
      </c>
      <c r="U2632" s="87">
        <v>-115.73</v>
      </c>
    </row>
    <row r="2633" spans="1:21" s="30" customFormat="1" ht="24.6" hidden="1" outlineLevel="1" x14ac:dyDescent="0.55000000000000004">
      <c r="A2633" s="27" t="s">
        <v>327</v>
      </c>
      <c r="B2633" s="28"/>
      <c r="C2633" s="27"/>
      <c r="D2633" s="27" t="str">
        <f>"""NAV Direct"",""CRONUS JetCorp USA"",""21"",""1"",""430738"""</f>
        <v>"NAV Direct","CRONUS JetCorp USA","21","1","430738"</v>
      </c>
      <c r="E2633" s="31">
        <f t="shared" si="810"/>
        <v>0</v>
      </c>
      <c r="F2633" s="31"/>
      <c r="G2633" s="31"/>
      <c r="H2633" s="31"/>
      <c r="I2633" s="56"/>
      <c r="J2633" s="56"/>
      <c r="K2633" s="82" t="str">
        <f t="shared" si="809"/>
        <v>Credit Memo</v>
      </c>
      <c r="L2633" s="83" t="str">
        <f>"SC_100293"</f>
        <v>SC_100293</v>
      </c>
      <c r="M2633" s="84">
        <v>43363</v>
      </c>
      <c r="N2633" s="85">
        <f t="shared" si="811"/>
        <v>449</v>
      </c>
      <c r="O2633" s="86">
        <f t="shared" si="812"/>
        <v>-115.98</v>
      </c>
      <c r="P2633" s="86">
        <f t="shared" si="813"/>
        <v>0</v>
      </c>
      <c r="Q2633" s="86">
        <f t="shared" si="814"/>
        <v>0</v>
      </c>
      <c r="R2633" s="86">
        <f t="shared" si="815"/>
        <v>0</v>
      </c>
      <c r="S2633" s="86">
        <f t="shared" si="816"/>
        <v>0</v>
      </c>
      <c r="T2633" s="86">
        <f t="shared" si="817"/>
        <v>-115.98</v>
      </c>
      <c r="U2633" s="87">
        <v>-115.98</v>
      </c>
    </row>
    <row r="2634" spans="1:21" s="30" customFormat="1" ht="24.6" hidden="1" outlineLevel="1" x14ac:dyDescent="0.55000000000000004">
      <c r="A2634" s="27" t="s">
        <v>327</v>
      </c>
      <c r="B2634" s="28"/>
      <c r="C2634" s="27"/>
      <c r="D2634" s="27" t="str">
        <f>"""NAV Direct"",""CRONUS JetCorp USA"",""21"",""1"",""430747"""</f>
        <v>"NAV Direct","CRONUS JetCorp USA","21","1","430747"</v>
      </c>
      <c r="E2634" s="31" t="str">
        <f t="shared" si="810"/>
        <v>C100083</v>
      </c>
      <c r="F2634" s="31"/>
      <c r="G2634" s="31"/>
      <c r="H2634" s="31"/>
      <c r="I2634" s="56"/>
      <c r="J2634" s="56"/>
      <c r="K2634" s="82" t="str">
        <f t="shared" si="809"/>
        <v>Credit Memo</v>
      </c>
      <c r="L2634" s="83" t="str">
        <f>"SC_100294"</f>
        <v>SC_100294</v>
      </c>
      <c r="M2634" s="84">
        <v>43379</v>
      </c>
      <c r="N2634" s="85">
        <f t="shared" si="811"/>
        <v>433</v>
      </c>
      <c r="O2634" s="86">
        <f t="shared" si="812"/>
        <v>-116.31</v>
      </c>
      <c r="P2634" s="86">
        <f t="shared" si="813"/>
        <v>0</v>
      </c>
      <c r="Q2634" s="86">
        <f t="shared" si="814"/>
        <v>0</v>
      </c>
      <c r="R2634" s="86">
        <f t="shared" si="815"/>
        <v>0</v>
      </c>
      <c r="S2634" s="86">
        <f t="shared" si="816"/>
        <v>0</v>
      </c>
      <c r="T2634" s="86">
        <f t="shared" si="817"/>
        <v>-116.31</v>
      </c>
      <c r="U2634" s="87">
        <v>-116.31</v>
      </c>
    </row>
    <row r="2635" spans="1:21" s="30" customFormat="1" ht="24.6" hidden="1" outlineLevel="1" x14ac:dyDescent="0.55000000000000004">
      <c r="A2635" s="27" t="s">
        <v>327</v>
      </c>
      <c r="B2635" s="28"/>
      <c r="C2635" s="27"/>
      <c r="D2635" s="27" t="str">
        <f>"""NAV Direct"",""CRONUS JetCorp USA"",""21"",""1"",""430756"""</f>
        <v>"NAV Direct","CRONUS JetCorp USA","21","1","430756"</v>
      </c>
      <c r="E2635" s="31">
        <f t="shared" si="810"/>
        <v>0</v>
      </c>
      <c r="F2635" s="31"/>
      <c r="G2635" s="31"/>
      <c r="H2635" s="31"/>
      <c r="I2635" s="56"/>
      <c r="J2635" s="56"/>
      <c r="K2635" s="82" t="str">
        <f t="shared" si="809"/>
        <v>Credit Memo</v>
      </c>
      <c r="L2635" s="83" t="str">
        <f>"SC_100295"</f>
        <v>SC_100295</v>
      </c>
      <c r="M2635" s="84">
        <v>43518</v>
      </c>
      <c r="N2635" s="85">
        <f t="shared" si="811"/>
        <v>294</v>
      </c>
      <c r="O2635" s="86">
        <f t="shared" si="812"/>
        <v>-126.27999999999999</v>
      </c>
      <c r="P2635" s="86">
        <f t="shared" si="813"/>
        <v>0</v>
      </c>
      <c r="Q2635" s="86">
        <f t="shared" si="814"/>
        <v>0</v>
      </c>
      <c r="R2635" s="86">
        <f t="shared" si="815"/>
        <v>0</v>
      </c>
      <c r="S2635" s="86">
        <f t="shared" si="816"/>
        <v>0</v>
      </c>
      <c r="T2635" s="86">
        <f t="shared" si="817"/>
        <v>-126.27999999999999</v>
      </c>
      <c r="U2635" s="87">
        <v>-126.27999999999999</v>
      </c>
    </row>
    <row r="2636" spans="1:21" s="30" customFormat="1" ht="24.6" hidden="1" outlineLevel="1" x14ac:dyDescent="0.55000000000000004">
      <c r="A2636" s="27" t="s">
        <v>327</v>
      </c>
      <c r="B2636" s="28"/>
      <c r="C2636" s="27"/>
      <c r="D2636" s="27" t="str">
        <f>"""NAV Direct"",""CRONUS JetCorp USA"",""21"",""1"",""430771"""</f>
        <v>"NAV Direct","CRONUS JetCorp USA","21","1","430771"</v>
      </c>
      <c r="E2636" s="31" t="str">
        <f t="shared" si="810"/>
        <v>C100083</v>
      </c>
      <c r="F2636" s="31"/>
      <c r="G2636" s="31"/>
      <c r="H2636" s="31"/>
      <c r="I2636" s="56"/>
      <c r="J2636" s="56"/>
      <c r="K2636" s="82" t="str">
        <f t="shared" si="809"/>
        <v>Credit Memo</v>
      </c>
      <c r="L2636" s="83" t="str">
        <f>"SC_100296"</f>
        <v>SC_100296</v>
      </c>
      <c r="M2636" s="84">
        <v>43540</v>
      </c>
      <c r="N2636" s="85">
        <f t="shared" si="811"/>
        <v>272</v>
      </c>
      <c r="O2636" s="86">
        <f t="shared" si="812"/>
        <v>-131.69999999999999</v>
      </c>
      <c r="P2636" s="86">
        <f t="shared" si="813"/>
        <v>0</v>
      </c>
      <c r="Q2636" s="86">
        <f t="shared" si="814"/>
        <v>0</v>
      </c>
      <c r="R2636" s="86">
        <f t="shared" si="815"/>
        <v>0</v>
      </c>
      <c r="S2636" s="86">
        <f t="shared" si="816"/>
        <v>0</v>
      </c>
      <c r="T2636" s="86">
        <f t="shared" si="817"/>
        <v>-131.69999999999999</v>
      </c>
      <c r="U2636" s="87">
        <v>-131.69999999999999</v>
      </c>
    </row>
    <row r="2637" spans="1:21" s="30" customFormat="1" ht="24.6" hidden="1" outlineLevel="1" x14ac:dyDescent="0.55000000000000004">
      <c r="A2637" s="27" t="s">
        <v>327</v>
      </c>
      <c r="B2637" s="28"/>
      <c r="C2637" s="27"/>
      <c r="D2637" s="27" t="str">
        <f>"""NAV Direct"",""CRONUS JetCorp USA"",""21"",""1"",""430809"""</f>
        <v>"NAV Direct","CRONUS JetCorp USA","21","1","430809"</v>
      </c>
      <c r="E2637" s="31">
        <f t="shared" si="810"/>
        <v>0</v>
      </c>
      <c r="F2637" s="31"/>
      <c r="G2637" s="31"/>
      <c r="H2637" s="31"/>
      <c r="I2637" s="56"/>
      <c r="J2637" s="56"/>
      <c r="K2637" s="82" t="str">
        <f t="shared" si="809"/>
        <v>Credit Memo</v>
      </c>
      <c r="L2637" s="83" t="str">
        <f>"SC_100298"</f>
        <v>SC_100298</v>
      </c>
      <c r="M2637" s="84">
        <v>43572</v>
      </c>
      <c r="N2637" s="85">
        <f t="shared" si="811"/>
        <v>240</v>
      </c>
      <c r="O2637" s="86">
        <f t="shared" si="812"/>
        <v>-127.00000000000001</v>
      </c>
      <c r="P2637" s="86">
        <f t="shared" si="813"/>
        <v>0</v>
      </c>
      <c r="Q2637" s="86">
        <f t="shared" si="814"/>
        <v>0</v>
      </c>
      <c r="R2637" s="86">
        <f t="shared" si="815"/>
        <v>0</v>
      </c>
      <c r="S2637" s="86">
        <f t="shared" si="816"/>
        <v>0</v>
      </c>
      <c r="T2637" s="86">
        <f t="shared" si="817"/>
        <v>-127.00000000000001</v>
      </c>
      <c r="U2637" s="87">
        <v>-127.00000000000001</v>
      </c>
    </row>
    <row r="2638" spans="1:21" s="30" customFormat="1" ht="24.6" hidden="1" outlineLevel="1" x14ac:dyDescent="0.55000000000000004">
      <c r="A2638" s="27" t="s">
        <v>327</v>
      </c>
      <c r="B2638" s="28"/>
      <c r="C2638" s="27"/>
      <c r="D2638" s="27" t="str">
        <f>"""NAV Direct"",""CRONUS JetCorp USA"",""21"",""1"",""430843"""</f>
        <v>"NAV Direct","CRONUS JetCorp USA","21","1","430843"</v>
      </c>
      <c r="E2638" s="31" t="str">
        <f t="shared" si="810"/>
        <v>C100083</v>
      </c>
      <c r="F2638" s="31"/>
      <c r="G2638" s="31"/>
      <c r="H2638" s="31"/>
      <c r="I2638" s="56"/>
      <c r="J2638" s="56"/>
      <c r="K2638" s="82" t="str">
        <f t="shared" si="809"/>
        <v>Credit Memo</v>
      </c>
      <c r="L2638" s="83" t="str">
        <f>"SC_100300"</f>
        <v>SC_100300</v>
      </c>
      <c r="M2638" s="84">
        <v>43629</v>
      </c>
      <c r="N2638" s="85">
        <f t="shared" si="811"/>
        <v>183</v>
      </c>
      <c r="O2638" s="86">
        <f t="shared" si="812"/>
        <v>-133.65</v>
      </c>
      <c r="P2638" s="86">
        <f t="shared" si="813"/>
        <v>0</v>
      </c>
      <c r="Q2638" s="86">
        <f t="shared" si="814"/>
        <v>0</v>
      </c>
      <c r="R2638" s="86">
        <f t="shared" si="815"/>
        <v>0</v>
      </c>
      <c r="S2638" s="86">
        <f t="shared" si="816"/>
        <v>0</v>
      </c>
      <c r="T2638" s="86">
        <f t="shared" si="817"/>
        <v>-133.65</v>
      </c>
      <c r="U2638" s="87">
        <v>-133.65</v>
      </c>
    </row>
    <row r="2639" spans="1:21" s="30" customFormat="1" ht="24.6" hidden="1" outlineLevel="1" x14ac:dyDescent="0.55000000000000004">
      <c r="A2639" s="27" t="s">
        <v>327</v>
      </c>
      <c r="B2639" s="28"/>
      <c r="C2639" s="27"/>
      <c r="D2639" s="27" t="str">
        <f>"""NAV Direct"",""CRONUS JetCorp USA"",""21"",""1"",""430856"""</f>
        <v>"NAV Direct","CRONUS JetCorp USA","21","1","430856"</v>
      </c>
      <c r="E2639" s="31">
        <f t="shared" si="810"/>
        <v>0</v>
      </c>
      <c r="F2639" s="31"/>
      <c r="G2639" s="31"/>
      <c r="H2639" s="31"/>
      <c r="I2639" s="56"/>
      <c r="J2639" s="56"/>
      <c r="K2639" s="82" t="str">
        <f t="shared" si="809"/>
        <v>Credit Memo</v>
      </c>
      <c r="L2639" s="83" t="str">
        <f>"SC_100301"</f>
        <v>SC_100301</v>
      </c>
      <c r="M2639" s="84">
        <v>43665</v>
      </c>
      <c r="N2639" s="85">
        <f t="shared" si="811"/>
        <v>147</v>
      </c>
      <c r="O2639" s="86">
        <f t="shared" si="812"/>
        <v>-135.38999999999999</v>
      </c>
      <c r="P2639" s="86">
        <f t="shared" si="813"/>
        <v>0</v>
      </c>
      <c r="Q2639" s="86">
        <f t="shared" si="814"/>
        <v>0</v>
      </c>
      <c r="R2639" s="86">
        <f t="shared" si="815"/>
        <v>0</v>
      </c>
      <c r="S2639" s="86">
        <f t="shared" si="816"/>
        <v>0</v>
      </c>
      <c r="T2639" s="86">
        <f t="shared" si="817"/>
        <v>-135.38999999999999</v>
      </c>
      <c r="U2639" s="87">
        <v>-135.38999999999999</v>
      </c>
    </row>
    <row r="2640" spans="1:21" s="30" customFormat="1" ht="24.6" hidden="1" outlineLevel="1" x14ac:dyDescent="0.55000000000000004">
      <c r="A2640" s="27" t="s">
        <v>327</v>
      </c>
      <c r="B2640" s="28"/>
      <c r="C2640" s="27"/>
      <c r="D2640" s="27" t="str">
        <f>"""NAV Direct"",""CRONUS JetCorp USA"",""21"",""1"",""430880"""</f>
        <v>"NAV Direct","CRONUS JetCorp USA","21","1","430880"</v>
      </c>
      <c r="E2640" s="31" t="str">
        <f t="shared" si="810"/>
        <v>C100083</v>
      </c>
      <c r="F2640" s="31"/>
      <c r="G2640" s="31"/>
      <c r="H2640" s="31"/>
      <c r="I2640" s="56"/>
      <c r="J2640" s="56"/>
      <c r="K2640" s="82" t="str">
        <f t="shared" si="809"/>
        <v>Credit Memo</v>
      </c>
      <c r="L2640" s="83" t="str">
        <f>"SC_100303"</f>
        <v>SC_100303</v>
      </c>
      <c r="M2640" s="84">
        <v>43695</v>
      </c>
      <c r="N2640" s="85">
        <f t="shared" si="811"/>
        <v>117</v>
      </c>
      <c r="O2640" s="86">
        <f t="shared" si="812"/>
        <v>-137.26000000000002</v>
      </c>
      <c r="P2640" s="86">
        <f t="shared" si="813"/>
        <v>0</v>
      </c>
      <c r="Q2640" s="86">
        <f t="shared" si="814"/>
        <v>0</v>
      </c>
      <c r="R2640" s="86">
        <f t="shared" si="815"/>
        <v>0</v>
      </c>
      <c r="S2640" s="86">
        <f t="shared" si="816"/>
        <v>0</v>
      </c>
      <c r="T2640" s="86">
        <f t="shared" si="817"/>
        <v>-137.26000000000002</v>
      </c>
      <c r="U2640" s="87">
        <v>-137.26000000000002</v>
      </c>
    </row>
    <row r="2641" spans="1:22" s="30" customFormat="1" ht="24.6" hidden="1" outlineLevel="1" x14ac:dyDescent="0.55000000000000004">
      <c r="A2641" s="27" t="s">
        <v>327</v>
      </c>
      <c r="B2641" s="28"/>
      <c r="C2641" s="27"/>
      <c r="D2641" s="27" t="str">
        <f>"""NAV Direct"",""CRONUS JetCorp USA"",""21"",""1"",""430906"""</f>
        <v>"NAV Direct","CRONUS JetCorp USA","21","1","430906"</v>
      </c>
      <c r="E2641" s="31">
        <f t="shared" si="810"/>
        <v>0</v>
      </c>
      <c r="F2641" s="31"/>
      <c r="G2641" s="31"/>
      <c r="H2641" s="31"/>
      <c r="I2641" s="56"/>
      <c r="J2641" s="56"/>
      <c r="K2641" s="82" t="str">
        <f t="shared" si="809"/>
        <v>Credit Memo</v>
      </c>
      <c r="L2641" s="83" t="str">
        <f>"SC_100305"</f>
        <v>SC_100305</v>
      </c>
      <c r="M2641" s="84">
        <v>43772</v>
      </c>
      <c r="N2641" s="85">
        <f t="shared" si="811"/>
        <v>40</v>
      </c>
      <c r="O2641" s="86">
        <f t="shared" si="812"/>
        <v>-150.25</v>
      </c>
      <c r="P2641" s="86">
        <f t="shared" si="813"/>
        <v>0</v>
      </c>
      <c r="Q2641" s="86">
        <f t="shared" si="814"/>
        <v>0</v>
      </c>
      <c r="R2641" s="86">
        <f t="shared" si="815"/>
        <v>-150.25</v>
      </c>
      <c r="S2641" s="86">
        <f t="shared" si="816"/>
        <v>0</v>
      </c>
      <c r="T2641" s="86">
        <f t="shared" si="817"/>
        <v>0</v>
      </c>
      <c r="U2641" s="87">
        <v>-150.25</v>
      </c>
    </row>
    <row r="2642" spans="1:22" s="30" customFormat="1" ht="24.6" hidden="1" outlineLevel="1" x14ac:dyDescent="0.55000000000000004">
      <c r="A2642" s="27" t="s">
        <v>327</v>
      </c>
      <c r="B2642" s="28"/>
      <c r="C2642" s="27"/>
      <c r="D2642" s="27" t="str">
        <f>"""NAV Direct"",""CRONUS JetCorp USA"",""21"",""1"",""430932"""</f>
        <v>"NAV Direct","CRONUS JetCorp USA","21","1","430932"</v>
      </c>
      <c r="E2642" s="31" t="str">
        <f t="shared" si="810"/>
        <v>C100083</v>
      </c>
      <c r="F2642" s="31"/>
      <c r="G2642" s="31"/>
      <c r="H2642" s="31"/>
      <c r="I2642" s="56"/>
      <c r="J2642" s="56"/>
      <c r="K2642" s="82" t="str">
        <f t="shared" si="809"/>
        <v>Credit Memo</v>
      </c>
      <c r="L2642" s="83" t="str">
        <f>"SC_100307"</f>
        <v>SC_100307</v>
      </c>
      <c r="M2642" s="84">
        <v>42020</v>
      </c>
      <c r="N2642" s="85">
        <f t="shared" si="811"/>
        <v>1792</v>
      </c>
      <c r="O2642" s="86">
        <f t="shared" si="812"/>
        <v>-148.72</v>
      </c>
      <c r="P2642" s="86">
        <f t="shared" si="813"/>
        <v>0</v>
      </c>
      <c r="Q2642" s="86">
        <f t="shared" si="814"/>
        <v>0</v>
      </c>
      <c r="R2642" s="86">
        <f t="shared" si="815"/>
        <v>0</v>
      </c>
      <c r="S2642" s="86">
        <f t="shared" si="816"/>
        <v>0</v>
      </c>
      <c r="T2642" s="86">
        <f t="shared" si="817"/>
        <v>-148.72</v>
      </c>
      <c r="U2642" s="87">
        <v>-148.72</v>
      </c>
    </row>
    <row r="2643" spans="1:22" s="30" customFormat="1" ht="24.6" hidden="1" outlineLevel="1" x14ac:dyDescent="0.55000000000000004">
      <c r="A2643" s="27" t="s">
        <v>327</v>
      </c>
      <c r="B2643" s="28"/>
      <c r="C2643" s="27"/>
      <c r="D2643" s="27" t="str">
        <f>"""NAV Direct"",""CRONUS JetCorp USA"",""21"",""1"",""430937"""</f>
        <v>"NAV Direct","CRONUS JetCorp USA","21","1","430937"</v>
      </c>
      <c r="E2643" s="31">
        <f t="shared" si="810"/>
        <v>0</v>
      </c>
      <c r="F2643" s="31"/>
      <c r="G2643" s="31"/>
      <c r="H2643" s="31"/>
      <c r="I2643" s="56"/>
      <c r="J2643" s="56"/>
      <c r="K2643" s="82" t="str">
        <f t="shared" si="809"/>
        <v>Credit Memo</v>
      </c>
      <c r="L2643" s="83" t="str">
        <f>"SC_100308"</f>
        <v>SC_100308</v>
      </c>
      <c r="M2643" s="84">
        <v>42021</v>
      </c>
      <c r="N2643" s="85">
        <f t="shared" si="811"/>
        <v>1791</v>
      </c>
      <c r="O2643" s="86">
        <f t="shared" si="812"/>
        <v>-139.44</v>
      </c>
      <c r="P2643" s="86">
        <f t="shared" si="813"/>
        <v>0</v>
      </c>
      <c r="Q2643" s="86">
        <f t="shared" si="814"/>
        <v>0</v>
      </c>
      <c r="R2643" s="86">
        <f t="shared" si="815"/>
        <v>0</v>
      </c>
      <c r="S2643" s="86">
        <f t="shared" si="816"/>
        <v>0</v>
      </c>
      <c r="T2643" s="86">
        <f t="shared" si="817"/>
        <v>-139.44</v>
      </c>
      <c r="U2643" s="87">
        <v>-139.44</v>
      </c>
    </row>
    <row r="2644" spans="1:22" s="30" customFormat="1" ht="24.6" hidden="1" outlineLevel="1" x14ac:dyDescent="0.55000000000000004">
      <c r="A2644" s="27" t="s">
        <v>327</v>
      </c>
      <c r="B2644" s="28"/>
      <c r="C2644" s="27"/>
      <c r="D2644" s="27" t="str">
        <f>"""NAV Direct"",""CRONUS JetCorp USA"",""21"",""1"",""430963"""</f>
        <v>"NAV Direct","CRONUS JetCorp USA","21","1","430963"</v>
      </c>
      <c r="E2644" s="31" t="str">
        <f t="shared" si="810"/>
        <v>C100083</v>
      </c>
      <c r="F2644" s="31"/>
      <c r="G2644" s="31"/>
      <c r="H2644" s="31"/>
      <c r="I2644" s="56"/>
      <c r="J2644" s="56"/>
      <c r="K2644" s="82" t="str">
        <f t="shared" si="809"/>
        <v>Credit Memo</v>
      </c>
      <c r="L2644" s="83" t="str">
        <f>"SC_100310"</f>
        <v>SC_100310</v>
      </c>
      <c r="M2644" s="84">
        <v>42098</v>
      </c>
      <c r="N2644" s="85">
        <f t="shared" si="811"/>
        <v>1714</v>
      </c>
      <c r="O2644" s="86">
        <f t="shared" si="812"/>
        <v>-156.4</v>
      </c>
      <c r="P2644" s="86">
        <f t="shared" si="813"/>
        <v>0</v>
      </c>
      <c r="Q2644" s="86">
        <f t="shared" si="814"/>
        <v>0</v>
      </c>
      <c r="R2644" s="86">
        <f t="shared" si="815"/>
        <v>0</v>
      </c>
      <c r="S2644" s="86">
        <f t="shared" si="816"/>
        <v>0</v>
      </c>
      <c r="T2644" s="86">
        <f t="shared" si="817"/>
        <v>-156.4</v>
      </c>
      <c r="U2644" s="87">
        <v>-156.4</v>
      </c>
    </row>
    <row r="2645" spans="1:22" s="30" customFormat="1" ht="24.6" hidden="1" outlineLevel="1" x14ac:dyDescent="0.55000000000000004">
      <c r="A2645" s="27" t="s">
        <v>327</v>
      </c>
      <c r="B2645" s="28"/>
      <c r="C2645" s="27"/>
      <c r="D2645" s="27" t="str">
        <f>"""NAV Direct"",""CRONUS JetCorp USA"",""21"",""1"",""430974"""</f>
        <v>"NAV Direct","CRONUS JetCorp USA","21","1","430974"</v>
      </c>
      <c r="E2645" s="31">
        <f t="shared" si="810"/>
        <v>0</v>
      </c>
      <c r="F2645" s="31"/>
      <c r="G2645" s="31"/>
      <c r="H2645" s="31"/>
      <c r="I2645" s="56"/>
      <c r="J2645" s="56"/>
      <c r="K2645" s="82" t="str">
        <f t="shared" si="809"/>
        <v>Credit Memo</v>
      </c>
      <c r="L2645" s="83" t="str">
        <f>"SC_100311"</f>
        <v>SC_100311</v>
      </c>
      <c r="M2645" s="84">
        <v>42104</v>
      </c>
      <c r="N2645" s="85">
        <f t="shared" si="811"/>
        <v>1708</v>
      </c>
      <c r="O2645" s="86">
        <f t="shared" si="812"/>
        <v>-157.35</v>
      </c>
      <c r="P2645" s="86">
        <f t="shared" si="813"/>
        <v>0</v>
      </c>
      <c r="Q2645" s="86">
        <f t="shared" si="814"/>
        <v>0</v>
      </c>
      <c r="R2645" s="86">
        <f t="shared" si="815"/>
        <v>0</v>
      </c>
      <c r="S2645" s="86">
        <f t="shared" si="816"/>
        <v>0</v>
      </c>
      <c r="T2645" s="86">
        <f t="shared" si="817"/>
        <v>-157.35</v>
      </c>
      <c r="U2645" s="87">
        <v>-157.35</v>
      </c>
    </row>
    <row r="2646" spans="1:22" s="30" customFormat="1" ht="24.6" hidden="1" outlineLevel="1" x14ac:dyDescent="0.55000000000000004">
      <c r="A2646" s="27" t="s">
        <v>327</v>
      </c>
      <c r="B2646" s="28"/>
      <c r="C2646" s="27"/>
      <c r="D2646" s="27" t="str">
        <f>"""NAV Direct"",""CRONUS JetCorp USA"",""21"",""1"",""431094"""</f>
        <v>"NAV Direct","CRONUS JetCorp USA","21","1","431094"</v>
      </c>
      <c r="E2646" s="31" t="str">
        <f t="shared" si="810"/>
        <v>C100083</v>
      </c>
      <c r="F2646" s="31"/>
      <c r="G2646" s="31"/>
      <c r="H2646" s="31"/>
      <c r="I2646" s="56"/>
      <c r="J2646" s="56"/>
      <c r="K2646" s="82" t="str">
        <f t="shared" si="809"/>
        <v>Credit Memo</v>
      </c>
      <c r="L2646" s="83" t="str">
        <f>"SC_100319"</f>
        <v>SC_100319</v>
      </c>
      <c r="M2646" s="84">
        <v>42218</v>
      </c>
      <c r="N2646" s="85">
        <f t="shared" si="811"/>
        <v>1594</v>
      </c>
      <c r="O2646" s="86">
        <f t="shared" si="812"/>
        <v>-159.47</v>
      </c>
      <c r="P2646" s="86">
        <f t="shared" si="813"/>
        <v>0</v>
      </c>
      <c r="Q2646" s="86">
        <f t="shared" si="814"/>
        <v>0</v>
      </c>
      <c r="R2646" s="86">
        <f t="shared" si="815"/>
        <v>0</v>
      </c>
      <c r="S2646" s="86">
        <f t="shared" si="816"/>
        <v>0</v>
      </c>
      <c r="T2646" s="86">
        <f t="shared" si="817"/>
        <v>-159.47</v>
      </c>
      <c r="U2646" s="87">
        <v>-159.47</v>
      </c>
    </row>
    <row r="2647" spans="1:22" s="30" customFormat="1" ht="24.6" hidden="1" outlineLevel="1" x14ac:dyDescent="0.55000000000000004">
      <c r="A2647" s="27" t="s">
        <v>327</v>
      </c>
      <c r="B2647" s="28"/>
      <c r="C2647" s="27"/>
      <c r="D2647" s="27" t="str">
        <f>"""NAV Direct"",""CRONUS JetCorp USA"",""21"",""1"",""431140"""</f>
        <v>"NAV Direct","CRONUS JetCorp USA","21","1","431140"</v>
      </c>
      <c r="E2647" s="31">
        <f t="shared" si="810"/>
        <v>0</v>
      </c>
      <c r="F2647" s="31"/>
      <c r="G2647" s="31"/>
      <c r="H2647" s="31"/>
      <c r="I2647" s="56"/>
      <c r="J2647" s="56"/>
      <c r="K2647" s="82" t="str">
        <f t="shared" si="809"/>
        <v>Credit Memo</v>
      </c>
      <c r="L2647" s="83" t="str">
        <f>"SC_100323"</f>
        <v>SC_100323</v>
      </c>
      <c r="M2647" s="84">
        <v>42288</v>
      </c>
      <c r="N2647" s="85">
        <f t="shared" si="811"/>
        <v>1524</v>
      </c>
      <c r="O2647" s="86">
        <f t="shared" si="812"/>
        <v>-159.52000000000001</v>
      </c>
      <c r="P2647" s="86">
        <f t="shared" si="813"/>
        <v>0</v>
      </c>
      <c r="Q2647" s="86">
        <f t="shared" si="814"/>
        <v>0</v>
      </c>
      <c r="R2647" s="86">
        <f t="shared" si="815"/>
        <v>0</v>
      </c>
      <c r="S2647" s="86">
        <f t="shared" si="816"/>
        <v>0</v>
      </c>
      <c r="T2647" s="86">
        <f t="shared" si="817"/>
        <v>-159.52000000000001</v>
      </c>
      <c r="U2647" s="87">
        <v>-159.52000000000001</v>
      </c>
    </row>
    <row r="2648" spans="1:22" s="22" customFormat="1" ht="20.399999999999999" collapsed="1" x14ac:dyDescent="0.45">
      <c r="A2648" s="12" t="s">
        <v>327</v>
      </c>
      <c r="B2648" s="19"/>
      <c r="C2648" s="12"/>
      <c r="D2648" s="12"/>
      <c r="E2648" s="23"/>
      <c r="F2648" s="23"/>
      <c r="G2648" s="23"/>
      <c r="H2648" s="23"/>
      <c r="I2648" s="49"/>
      <c r="J2648" s="88"/>
      <c r="K2648" s="88"/>
      <c r="L2648" s="89"/>
      <c r="M2648" s="89"/>
      <c r="N2648" s="89"/>
      <c r="O2648" s="89"/>
      <c r="P2648" s="89"/>
      <c r="Q2648" s="90"/>
      <c r="R2648" s="90"/>
      <c r="S2648" s="91"/>
      <c r="T2648" s="92"/>
      <c r="U2648" s="92"/>
    </row>
    <row r="2649" spans="1:22" s="22" customFormat="1" ht="20.399999999999999" x14ac:dyDescent="0.45">
      <c r="A2649" s="12" t="s">
        <v>327</v>
      </c>
      <c r="B2649" s="19"/>
      <c r="C2649" s="12"/>
      <c r="D2649" s="12"/>
      <c r="E2649" s="23"/>
      <c r="F2649" s="23"/>
      <c r="G2649" s="23"/>
      <c r="H2649" s="23"/>
      <c r="I2649" s="49"/>
      <c r="J2649" s="88"/>
      <c r="K2649" s="88"/>
      <c r="L2649" s="89"/>
      <c r="M2649" s="89"/>
      <c r="N2649" s="89"/>
      <c r="O2649" s="89"/>
      <c r="P2649" s="89"/>
      <c r="Q2649" s="90"/>
      <c r="R2649" s="90"/>
      <c r="S2649" s="91"/>
      <c r="T2649" s="92"/>
      <c r="U2649" s="92"/>
    </row>
    <row r="2650" spans="1:22" s="26" customFormat="1" ht="24.6" x14ac:dyDescent="0.55000000000000004">
      <c r="A2650" s="27" t="s">
        <v>327</v>
      </c>
      <c r="B2650" s="28"/>
      <c r="C2650" s="27" t="str">
        <f>"""NAV Direct"",""CRONUS JetCorp USA"",""18"",""1"",""C100084"""</f>
        <v>"NAV Direct","CRONUS JetCorp USA","18","1","C100084"</v>
      </c>
      <c r="D2650" s="27"/>
      <c r="E2650" s="28" t="str">
        <f>H2650</f>
        <v>C100084</v>
      </c>
      <c r="F2650" s="28"/>
      <c r="G2650" s="28"/>
      <c r="H2650" s="28" t="str">
        <f>"C100084"</f>
        <v>C100084</v>
      </c>
      <c r="I2650" s="116" t="str">
        <f>"C100084  -  The Cannon Group PLC"</f>
        <v>C100084  -  The Cannon Group PLC</v>
      </c>
      <c r="J2650" s="117" t="str">
        <f>""</f>
        <v/>
      </c>
      <c r="K2650" s="118"/>
      <c r="L2650" s="119">
        <f>SUBTOTAL(3,L2651:L2698)</f>
        <v>44</v>
      </c>
      <c r="M2650" s="118"/>
      <c r="N2650" s="118"/>
      <c r="O2650" s="120">
        <f t="shared" ref="O2650:T2650" si="818">SUBTOTAL(9,O2651:O2698)</f>
        <v>373197.10999999993</v>
      </c>
      <c r="P2650" s="120">
        <f t="shared" si="818"/>
        <v>-122.33999999999999</v>
      </c>
      <c r="Q2650" s="120">
        <f t="shared" si="818"/>
        <v>0</v>
      </c>
      <c r="R2650" s="120">
        <f t="shared" si="818"/>
        <v>-134.42999999999998</v>
      </c>
      <c r="S2650" s="120">
        <f t="shared" si="818"/>
        <v>0</v>
      </c>
      <c r="T2650" s="120">
        <f t="shared" si="818"/>
        <v>373453.87999999995</v>
      </c>
      <c r="U2650" s="81"/>
    </row>
    <row r="2651" spans="1:22" s="26" customFormat="1" ht="24.6" x14ac:dyDescent="0.55000000000000004">
      <c r="A2651" s="27" t="s">
        <v>327</v>
      </c>
      <c r="B2651" s="28"/>
      <c r="C2651" s="27" t="str">
        <f>C2650</f>
        <v>"NAV Direct","CRONUS JetCorp USA","18","1","C100084"</v>
      </c>
      <c r="D2651" s="27"/>
      <c r="E2651" s="28" t="str">
        <f>E2650</f>
        <v>C100084</v>
      </c>
      <c r="F2651" s="28"/>
      <c r="G2651" s="28"/>
      <c r="H2651" s="28"/>
      <c r="I2651" s="121" t="str">
        <f>"Contact: Mr. Andy Teal"</f>
        <v>Contact: Mr. Andy Teal</v>
      </c>
      <c r="J2651" s="121"/>
      <c r="K2651" s="122"/>
      <c r="L2651" s="123"/>
      <c r="M2651" s="123"/>
      <c r="N2651" s="124"/>
      <c r="O2651" s="124"/>
      <c r="P2651" s="123"/>
      <c r="Q2651" s="125"/>
      <c r="R2651" s="126"/>
      <c r="S2651" s="126"/>
      <c r="T2651" s="125"/>
      <c r="U2651" s="81"/>
    </row>
    <row r="2652" spans="1:22" s="26" customFormat="1" ht="24.6" x14ac:dyDescent="0.55000000000000004">
      <c r="A2652" s="27" t="s">
        <v>327</v>
      </c>
      <c r="B2652" s="28"/>
      <c r="C2652" s="27" t="str">
        <f>C2651</f>
        <v>"NAV Direct","CRONUS JetCorp USA","18","1","C100084"</v>
      </c>
      <c r="D2652" s="27"/>
      <c r="E2652" s="28" t="str">
        <f>E2651</f>
        <v>C100084</v>
      </c>
      <c r="F2652" s="28"/>
      <c r="G2652" s="28"/>
      <c r="H2652" s="28"/>
      <c r="I2652" s="121" t="str">
        <f>"the.cannon.group.plc@cronuscorp.net"</f>
        <v>the.cannon.group.plc@cronuscorp.net</v>
      </c>
      <c r="J2652" s="121"/>
      <c r="K2652" s="122"/>
      <c r="L2652" s="124"/>
      <c r="M2652" s="124"/>
      <c r="N2652" s="124"/>
      <c r="O2652" s="124"/>
      <c r="P2652" s="123"/>
      <c r="Q2652" s="125"/>
      <c r="R2652" s="126"/>
      <c r="S2652" s="126"/>
      <c r="T2652" s="125"/>
      <c r="U2652" s="81"/>
    </row>
    <row r="2653" spans="1:22" ht="12.75" hidden="1" customHeight="1" outlineLevel="1" x14ac:dyDescent="0.45">
      <c r="A2653" s="12" t="s">
        <v>328</v>
      </c>
      <c r="B2653" s="19"/>
      <c r="E2653" s="19"/>
      <c r="F2653" s="19"/>
      <c r="G2653" s="19"/>
      <c r="H2653" s="19"/>
      <c r="I2653" s="61"/>
      <c r="J2653" s="61"/>
      <c r="K2653" s="61"/>
      <c r="L2653" s="61"/>
      <c r="M2653" s="61"/>
      <c r="N2653" s="61"/>
      <c r="O2653" s="61"/>
      <c r="P2653" s="61"/>
      <c r="Q2653" s="61"/>
      <c r="R2653" s="61"/>
      <c r="S2653" s="61"/>
      <c r="T2653" s="61"/>
      <c r="U2653" s="61"/>
      <c r="V2653" s="21"/>
    </row>
    <row r="2654" spans="1:22" s="30" customFormat="1" ht="24.6" hidden="1" outlineLevel="1" x14ac:dyDescent="0.55000000000000004">
      <c r="A2654" s="27" t="s">
        <v>327</v>
      </c>
      <c r="B2654" s="28"/>
      <c r="C2654" s="27"/>
      <c r="D2654" s="27" t="str">
        <f>"""NAV Direct"",""CRONUS JetCorp USA"",""21"",""1"",""153372"""</f>
        <v>"NAV Direct","CRONUS JetCorp USA","21","1","153372"</v>
      </c>
      <c r="E2654" s="31" t="str">
        <f t="shared" ref="E2654:E2697" si="819">E2652</f>
        <v>C100084</v>
      </c>
      <c r="F2654" s="31"/>
      <c r="G2654" s="31"/>
      <c r="H2654" s="31"/>
      <c r="I2654" s="56"/>
      <c r="J2654" s="56"/>
      <c r="K2654" s="82" t="str">
        <f t="shared" ref="K2654:K2687" si="820">"Invoice"</f>
        <v>Invoice</v>
      </c>
      <c r="L2654" s="83" t="str">
        <f>"SI_107361"</f>
        <v>SI_107361</v>
      </c>
      <c r="M2654" s="84">
        <v>42345</v>
      </c>
      <c r="N2654" s="85">
        <f t="shared" ref="N2654:N2697" si="821">StartDate-$M2654+1</f>
        <v>1467</v>
      </c>
      <c r="O2654" s="86">
        <f t="shared" ref="O2654:O2697" si="822">SUM(P2654:T2654)</f>
        <v>14181.460000000001</v>
      </c>
      <c r="P2654" s="86">
        <f t="shared" ref="P2654:P2697" si="823">IF($M2654&gt;=$P$18,U2654,0)</f>
        <v>0</v>
      </c>
      <c r="Q2654" s="86">
        <f t="shared" ref="Q2654:Q2697" si="824">IF(AND($M2654&gt;=$Q$16,$M2654&lt;=$Q$18),U2654,0)</f>
        <v>0</v>
      </c>
      <c r="R2654" s="86">
        <f t="shared" ref="R2654:R2697" si="825">IF(AND($M2654&gt;=$R$16,$M2654&lt;=$R$18),U2654,0)</f>
        <v>0</v>
      </c>
      <c r="S2654" s="86">
        <f t="shared" ref="S2654:S2697" si="826">IF(AND($M2654&gt;=$S$16,$M2654&lt;=$S$18),U2654,0)</f>
        <v>0</v>
      </c>
      <c r="T2654" s="86">
        <f t="shared" ref="T2654:T2697" si="827">IF($M2654&lt;=$T$18,U2654,0)</f>
        <v>14181.460000000001</v>
      </c>
      <c r="U2654" s="87">
        <v>14181.460000000001</v>
      </c>
    </row>
    <row r="2655" spans="1:22" s="30" customFormat="1" ht="24.6" hidden="1" outlineLevel="1" x14ac:dyDescent="0.55000000000000004">
      <c r="A2655" s="27" t="s">
        <v>327</v>
      </c>
      <c r="B2655" s="28"/>
      <c r="C2655" s="27"/>
      <c r="D2655" s="27" t="str">
        <f>"""NAV Direct"",""CRONUS JetCorp USA"",""21"",""1"",""154316"""</f>
        <v>"NAV Direct","CRONUS JetCorp USA","21","1","154316"</v>
      </c>
      <c r="E2655" s="31">
        <f t="shared" si="819"/>
        <v>0</v>
      </c>
      <c r="F2655" s="31"/>
      <c r="G2655" s="31"/>
      <c r="H2655" s="31"/>
      <c r="I2655" s="56"/>
      <c r="J2655" s="56"/>
      <c r="K2655" s="82" t="str">
        <f t="shared" si="820"/>
        <v>Invoice</v>
      </c>
      <c r="L2655" s="83" t="str">
        <f>"SI_107373"</f>
        <v>SI_107373</v>
      </c>
      <c r="M2655" s="84">
        <v>42751</v>
      </c>
      <c r="N2655" s="85">
        <f t="shared" si="821"/>
        <v>1061</v>
      </c>
      <c r="O2655" s="86">
        <f t="shared" si="822"/>
        <v>12494.539999999999</v>
      </c>
      <c r="P2655" s="86">
        <f t="shared" si="823"/>
        <v>0</v>
      </c>
      <c r="Q2655" s="86">
        <f t="shared" si="824"/>
        <v>0</v>
      </c>
      <c r="R2655" s="86">
        <f t="shared" si="825"/>
        <v>0</v>
      </c>
      <c r="S2655" s="86">
        <f t="shared" si="826"/>
        <v>0</v>
      </c>
      <c r="T2655" s="86">
        <f t="shared" si="827"/>
        <v>12494.539999999999</v>
      </c>
      <c r="U2655" s="87">
        <v>12494.539999999999</v>
      </c>
    </row>
    <row r="2656" spans="1:22" s="30" customFormat="1" ht="24.6" hidden="1" outlineLevel="1" x14ac:dyDescent="0.55000000000000004">
      <c r="A2656" s="27" t="s">
        <v>327</v>
      </c>
      <c r="B2656" s="28"/>
      <c r="C2656" s="27"/>
      <c r="D2656" s="27" t="str">
        <f>"""NAV Direct"",""CRONUS JetCorp USA"",""21"",""1"",""401774"""</f>
        <v>"NAV Direct","CRONUS JetCorp USA","21","1","401774"</v>
      </c>
      <c r="E2656" s="31" t="str">
        <f t="shared" si="819"/>
        <v>C100084</v>
      </c>
      <c r="F2656" s="31"/>
      <c r="G2656" s="31"/>
      <c r="H2656" s="31"/>
      <c r="I2656" s="56"/>
      <c r="J2656" s="56"/>
      <c r="K2656" s="82" t="str">
        <f t="shared" si="820"/>
        <v>Invoice</v>
      </c>
      <c r="L2656" s="83" t="str">
        <f>"SI_112280"</f>
        <v>SI_112280</v>
      </c>
      <c r="M2656" s="84">
        <v>42429</v>
      </c>
      <c r="N2656" s="85">
        <f t="shared" si="821"/>
        <v>1383</v>
      </c>
      <c r="O2656" s="86">
        <f t="shared" si="822"/>
        <v>8346.49</v>
      </c>
      <c r="P2656" s="86">
        <f t="shared" si="823"/>
        <v>0</v>
      </c>
      <c r="Q2656" s="86">
        <f t="shared" si="824"/>
        <v>0</v>
      </c>
      <c r="R2656" s="86">
        <f t="shared" si="825"/>
        <v>0</v>
      </c>
      <c r="S2656" s="86">
        <f t="shared" si="826"/>
        <v>0</v>
      </c>
      <c r="T2656" s="86">
        <f t="shared" si="827"/>
        <v>8346.49</v>
      </c>
      <c r="U2656" s="87">
        <v>8346.49</v>
      </c>
    </row>
    <row r="2657" spans="1:21" s="30" customFormat="1" ht="24.6" hidden="1" outlineLevel="1" x14ac:dyDescent="0.55000000000000004">
      <c r="A2657" s="27" t="s">
        <v>327</v>
      </c>
      <c r="B2657" s="28"/>
      <c r="C2657" s="27"/>
      <c r="D2657" s="27" t="str">
        <f>"""NAV Direct"",""CRONUS JetCorp USA"",""21"",""1"",""401931"""</f>
        <v>"NAV Direct","CRONUS JetCorp USA","21","1","401931"</v>
      </c>
      <c r="E2657" s="31">
        <f t="shared" si="819"/>
        <v>0</v>
      </c>
      <c r="F2657" s="31"/>
      <c r="G2657" s="31"/>
      <c r="H2657" s="31"/>
      <c r="I2657" s="56"/>
      <c r="J2657" s="56"/>
      <c r="K2657" s="82" t="str">
        <f t="shared" si="820"/>
        <v>Invoice</v>
      </c>
      <c r="L2657" s="83" t="str">
        <f>"SI_112283"</f>
        <v>SI_112283</v>
      </c>
      <c r="M2657" s="84">
        <v>42473</v>
      </c>
      <c r="N2657" s="85">
        <f t="shared" si="821"/>
        <v>1339</v>
      </c>
      <c r="O2657" s="86">
        <f t="shared" si="822"/>
        <v>10518.35</v>
      </c>
      <c r="P2657" s="86">
        <f t="shared" si="823"/>
        <v>0</v>
      </c>
      <c r="Q2657" s="86">
        <f t="shared" si="824"/>
        <v>0</v>
      </c>
      <c r="R2657" s="86">
        <f t="shared" si="825"/>
        <v>0</v>
      </c>
      <c r="S2657" s="86">
        <f t="shared" si="826"/>
        <v>0</v>
      </c>
      <c r="T2657" s="86">
        <f t="shared" si="827"/>
        <v>10518.35</v>
      </c>
      <c r="U2657" s="87">
        <v>10518.35</v>
      </c>
    </row>
    <row r="2658" spans="1:21" s="30" customFormat="1" ht="24.6" hidden="1" outlineLevel="1" x14ac:dyDescent="0.55000000000000004">
      <c r="A2658" s="27" t="s">
        <v>327</v>
      </c>
      <c r="B2658" s="28"/>
      <c r="C2658" s="27"/>
      <c r="D2658" s="27" t="str">
        <f>"""NAV Direct"",""CRONUS JetCorp USA"",""21"",""1"",""402149"""</f>
        <v>"NAV Direct","CRONUS JetCorp USA","21","1","402149"</v>
      </c>
      <c r="E2658" s="31" t="str">
        <f t="shared" si="819"/>
        <v>C100084</v>
      </c>
      <c r="F2658" s="31"/>
      <c r="G2658" s="31"/>
      <c r="H2658" s="31"/>
      <c r="I2658" s="56"/>
      <c r="J2658" s="56"/>
      <c r="K2658" s="82" t="str">
        <f t="shared" si="820"/>
        <v>Invoice</v>
      </c>
      <c r="L2658" s="83" t="str">
        <f>"SI_112287"</f>
        <v>SI_112287</v>
      </c>
      <c r="M2658" s="84">
        <v>42478</v>
      </c>
      <c r="N2658" s="85">
        <f t="shared" si="821"/>
        <v>1334</v>
      </c>
      <c r="O2658" s="86">
        <f t="shared" si="822"/>
        <v>10518.4</v>
      </c>
      <c r="P2658" s="86">
        <f t="shared" si="823"/>
        <v>0</v>
      </c>
      <c r="Q2658" s="86">
        <f t="shared" si="824"/>
        <v>0</v>
      </c>
      <c r="R2658" s="86">
        <f t="shared" si="825"/>
        <v>0</v>
      </c>
      <c r="S2658" s="86">
        <f t="shared" si="826"/>
        <v>0</v>
      </c>
      <c r="T2658" s="86">
        <f t="shared" si="827"/>
        <v>10518.4</v>
      </c>
      <c r="U2658" s="87">
        <v>10518.4</v>
      </c>
    </row>
    <row r="2659" spans="1:21" s="30" customFormat="1" ht="24.6" hidden="1" outlineLevel="1" x14ac:dyDescent="0.55000000000000004">
      <c r="A2659" s="27" t="s">
        <v>327</v>
      </c>
      <c r="B2659" s="28"/>
      <c r="C2659" s="27"/>
      <c r="D2659" s="27" t="str">
        <f>"""NAV Direct"",""CRONUS JetCorp USA"",""21"",""1"",""402651"""</f>
        <v>"NAV Direct","CRONUS JetCorp USA","21","1","402651"</v>
      </c>
      <c r="E2659" s="31">
        <f t="shared" si="819"/>
        <v>0</v>
      </c>
      <c r="F2659" s="31"/>
      <c r="G2659" s="31"/>
      <c r="H2659" s="31"/>
      <c r="I2659" s="56"/>
      <c r="J2659" s="56"/>
      <c r="K2659" s="82" t="str">
        <f t="shared" si="820"/>
        <v>Invoice</v>
      </c>
      <c r="L2659" s="83" t="str">
        <f>"SI_112298"</f>
        <v>SI_112298</v>
      </c>
      <c r="M2659" s="84">
        <v>42561</v>
      </c>
      <c r="N2659" s="85">
        <f t="shared" si="821"/>
        <v>1251</v>
      </c>
      <c r="O2659" s="86">
        <f t="shared" si="822"/>
        <v>8519.34</v>
      </c>
      <c r="P2659" s="86">
        <f t="shared" si="823"/>
        <v>0</v>
      </c>
      <c r="Q2659" s="86">
        <f t="shared" si="824"/>
        <v>0</v>
      </c>
      <c r="R2659" s="86">
        <f t="shared" si="825"/>
        <v>0</v>
      </c>
      <c r="S2659" s="86">
        <f t="shared" si="826"/>
        <v>0</v>
      </c>
      <c r="T2659" s="86">
        <f t="shared" si="827"/>
        <v>8519.34</v>
      </c>
      <c r="U2659" s="87">
        <v>8519.34</v>
      </c>
    </row>
    <row r="2660" spans="1:21" s="30" customFormat="1" ht="24.6" hidden="1" outlineLevel="1" x14ac:dyDescent="0.55000000000000004">
      <c r="A2660" s="27" t="s">
        <v>327</v>
      </c>
      <c r="B2660" s="28"/>
      <c r="C2660" s="27"/>
      <c r="D2660" s="27" t="str">
        <f>"""NAV Direct"",""CRONUS JetCorp USA"",""21"",""1"",""402960"""</f>
        <v>"NAV Direct","CRONUS JetCorp USA","21","1","402960"</v>
      </c>
      <c r="E2660" s="31" t="str">
        <f t="shared" si="819"/>
        <v>C100084</v>
      </c>
      <c r="F2660" s="31"/>
      <c r="G2660" s="31"/>
      <c r="H2660" s="31"/>
      <c r="I2660" s="56"/>
      <c r="J2660" s="56"/>
      <c r="K2660" s="82" t="str">
        <f t="shared" si="820"/>
        <v>Invoice</v>
      </c>
      <c r="L2660" s="83" t="str">
        <f>"SI_112305"</f>
        <v>SI_112305</v>
      </c>
      <c r="M2660" s="84">
        <v>42625</v>
      </c>
      <c r="N2660" s="85">
        <f t="shared" si="821"/>
        <v>1187</v>
      </c>
      <c r="O2660" s="86">
        <f t="shared" si="822"/>
        <v>8787.49</v>
      </c>
      <c r="P2660" s="86">
        <f t="shared" si="823"/>
        <v>0</v>
      </c>
      <c r="Q2660" s="86">
        <f t="shared" si="824"/>
        <v>0</v>
      </c>
      <c r="R2660" s="86">
        <f t="shared" si="825"/>
        <v>0</v>
      </c>
      <c r="S2660" s="86">
        <f t="shared" si="826"/>
        <v>0</v>
      </c>
      <c r="T2660" s="86">
        <f t="shared" si="827"/>
        <v>8787.49</v>
      </c>
      <c r="U2660" s="87">
        <v>8787.49</v>
      </c>
    </row>
    <row r="2661" spans="1:21" s="30" customFormat="1" ht="24.6" hidden="1" outlineLevel="1" x14ac:dyDescent="0.55000000000000004">
      <c r="A2661" s="27" t="s">
        <v>327</v>
      </c>
      <c r="B2661" s="28"/>
      <c r="C2661" s="27"/>
      <c r="D2661" s="27" t="str">
        <f>"""NAV Direct"",""CRONUS JetCorp USA"",""21"",""1"",""403003"""</f>
        <v>"NAV Direct","CRONUS JetCorp USA","21","1","403003"</v>
      </c>
      <c r="E2661" s="31">
        <f t="shared" si="819"/>
        <v>0</v>
      </c>
      <c r="F2661" s="31"/>
      <c r="G2661" s="31"/>
      <c r="H2661" s="31"/>
      <c r="I2661" s="56"/>
      <c r="J2661" s="56"/>
      <c r="K2661" s="82" t="str">
        <f t="shared" si="820"/>
        <v>Invoice</v>
      </c>
      <c r="L2661" s="83" t="str">
        <f>"SI_112306"</f>
        <v>SI_112306</v>
      </c>
      <c r="M2661" s="84">
        <v>42625</v>
      </c>
      <c r="N2661" s="85">
        <f t="shared" si="821"/>
        <v>1187</v>
      </c>
      <c r="O2661" s="86">
        <f t="shared" si="822"/>
        <v>8787.4</v>
      </c>
      <c r="P2661" s="86">
        <f t="shared" si="823"/>
        <v>0</v>
      </c>
      <c r="Q2661" s="86">
        <f t="shared" si="824"/>
        <v>0</v>
      </c>
      <c r="R2661" s="86">
        <f t="shared" si="825"/>
        <v>0</v>
      </c>
      <c r="S2661" s="86">
        <f t="shared" si="826"/>
        <v>0</v>
      </c>
      <c r="T2661" s="86">
        <f t="shared" si="827"/>
        <v>8787.4</v>
      </c>
      <c r="U2661" s="87">
        <v>8787.4</v>
      </c>
    </row>
    <row r="2662" spans="1:21" s="30" customFormat="1" ht="24.6" hidden="1" outlineLevel="1" x14ac:dyDescent="0.55000000000000004">
      <c r="A2662" s="27" t="s">
        <v>327</v>
      </c>
      <c r="B2662" s="28"/>
      <c r="C2662" s="27"/>
      <c r="D2662" s="27" t="str">
        <f>"""NAV Direct"",""CRONUS JetCorp USA"",""21"",""1"",""403319"""</f>
        <v>"NAV Direct","CRONUS JetCorp USA","21","1","403319"</v>
      </c>
      <c r="E2662" s="31" t="str">
        <f t="shared" si="819"/>
        <v>C100084</v>
      </c>
      <c r="F2662" s="31"/>
      <c r="G2662" s="31"/>
      <c r="H2662" s="31"/>
      <c r="I2662" s="56"/>
      <c r="J2662" s="56"/>
      <c r="K2662" s="82" t="str">
        <f t="shared" si="820"/>
        <v>Invoice</v>
      </c>
      <c r="L2662" s="83" t="str">
        <f>"SI_112313"</f>
        <v>SI_112313</v>
      </c>
      <c r="M2662" s="84">
        <v>42664</v>
      </c>
      <c r="N2662" s="85">
        <f t="shared" si="821"/>
        <v>1148</v>
      </c>
      <c r="O2662" s="86">
        <f t="shared" si="822"/>
        <v>8796.2800000000007</v>
      </c>
      <c r="P2662" s="86">
        <f t="shared" si="823"/>
        <v>0</v>
      </c>
      <c r="Q2662" s="86">
        <f t="shared" si="824"/>
        <v>0</v>
      </c>
      <c r="R2662" s="86">
        <f t="shared" si="825"/>
        <v>0</v>
      </c>
      <c r="S2662" s="86">
        <f t="shared" si="826"/>
        <v>0</v>
      </c>
      <c r="T2662" s="86">
        <f t="shared" si="827"/>
        <v>8796.2800000000007</v>
      </c>
      <c r="U2662" s="87">
        <v>8796.2800000000007</v>
      </c>
    </row>
    <row r="2663" spans="1:21" s="30" customFormat="1" ht="24.6" hidden="1" outlineLevel="1" x14ac:dyDescent="0.55000000000000004">
      <c r="A2663" s="27" t="s">
        <v>327</v>
      </c>
      <c r="B2663" s="28"/>
      <c r="C2663" s="27"/>
      <c r="D2663" s="27" t="str">
        <f>"""NAV Direct"",""CRONUS JetCorp USA"",""21"",""1"",""403417"""</f>
        <v>"NAV Direct","CRONUS JetCorp USA","21","1","403417"</v>
      </c>
      <c r="E2663" s="31">
        <f t="shared" si="819"/>
        <v>0</v>
      </c>
      <c r="F2663" s="31"/>
      <c r="G2663" s="31"/>
      <c r="H2663" s="31"/>
      <c r="I2663" s="56"/>
      <c r="J2663" s="56"/>
      <c r="K2663" s="82" t="str">
        <f t="shared" si="820"/>
        <v>Invoice</v>
      </c>
      <c r="L2663" s="83" t="str">
        <f>"SI_112315"</f>
        <v>SI_112315</v>
      </c>
      <c r="M2663" s="84">
        <v>42684</v>
      </c>
      <c r="N2663" s="85">
        <f t="shared" si="821"/>
        <v>1128</v>
      </c>
      <c r="O2663" s="86">
        <f t="shared" si="822"/>
        <v>8889.27</v>
      </c>
      <c r="P2663" s="86">
        <f t="shared" si="823"/>
        <v>0</v>
      </c>
      <c r="Q2663" s="86">
        <f t="shared" si="824"/>
        <v>0</v>
      </c>
      <c r="R2663" s="86">
        <f t="shared" si="825"/>
        <v>0</v>
      </c>
      <c r="S2663" s="86">
        <f t="shared" si="826"/>
        <v>0</v>
      </c>
      <c r="T2663" s="86">
        <f t="shared" si="827"/>
        <v>8889.27</v>
      </c>
      <c r="U2663" s="87">
        <v>8889.27</v>
      </c>
    </row>
    <row r="2664" spans="1:21" s="30" customFormat="1" ht="24.6" hidden="1" outlineLevel="1" x14ac:dyDescent="0.55000000000000004">
      <c r="A2664" s="27" t="s">
        <v>327</v>
      </c>
      <c r="B2664" s="28"/>
      <c r="C2664" s="27"/>
      <c r="D2664" s="27" t="str">
        <f>"""NAV Direct"",""CRONUS JetCorp USA"",""21"",""1"",""404101"""</f>
        <v>"NAV Direct","CRONUS JetCorp USA","21","1","404101"</v>
      </c>
      <c r="E2664" s="31" t="str">
        <f t="shared" si="819"/>
        <v>C100084</v>
      </c>
      <c r="F2664" s="31"/>
      <c r="G2664" s="31"/>
      <c r="H2664" s="31"/>
      <c r="I2664" s="56"/>
      <c r="J2664" s="56"/>
      <c r="K2664" s="82" t="str">
        <f t="shared" si="820"/>
        <v>Invoice</v>
      </c>
      <c r="L2664" s="83" t="str">
        <f>"SI_112330"</f>
        <v>SI_112330</v>
      </c>
      <c r="M2664" s="84">
        <v>42778</v>
      </c>
      <c r="N2664" s="85">
        <f t="shared" si="821"/>
        <v>1034</v>
      </c>
      <c r="O2664" s="86">
        <f t="shared" si="822"/>
        <v>8961.9499999999989</v>
      </c>
      <c r="P2664" s="86">
        <f t="shared" si="823"/>
        <v>0</v>
      </c>
      <c r="Q2664" s="86">
        <f t="shared" si="824"/>
        <v>0</v>
      </c>
      <c r="R2664" s="86">
        <f t="shared" si="825"/>
        <v>0</v>
      </c>
      <c r="S2664" s="86">
        <f t="shared" si="826"/>
        <v>0</v>
      </c>
      <c r="T2664" s="86">
        <f t="shared" si="827"/>
        <v>8961.9499999999989</v>
      </c>
      <c r="U2664" s="87">
        <v>8961.9499999999989</v>
      </c>
    </row>
    <row r="2665" spans="1:21" s="30" customFormat="1" ht="24.6" hidden="1" outlineLevel="1" x14ac:dyDescent="0.55000000000000004">
      <c r="A2665" s="27" t="s">
        <v>327</v>
      </c>
      <c r="B2665" s="28"/>
      <c r="C2665" s="27"/>
      <c r="D2665" s="27" t="str">
        <f>"""NAV Direct"",""CRONUS JetCorp USA"",""21"",""1"",""404738"""</f>
        <v>"NAV Direct","CRONUS JetCorp USA","21","1","404738"</v>
      </c>
      <c r="E2665" s="31">
        <f t="shared" si="819"/>
        <v>0</v>
      </c>
      <c r="F2665" s="31"/>
      <c r="G2665" s="31"/>
      <c r="H2665" s="31"/>
      <c r="I2665" s="56"/>
      <c r="J2665" s="56"/>
      <c r="K2665" s="82" t="str">
        <f t="shared" si="820"/>
        <v>Invoice</v>
      </c>
      <c r="L2665" s="83" t="str">
        <f>"SI_112343"</f>
        <v>SI_112343</v>
      </c>
      <c r="M2665" s="84">
        <v>42874</v>
      </c>
      <c r="N2665" s="85">
        <f t="shared" si="821"/>
        <v>938</v>
      </c>
      <c r="O2665" s="86">
        <f t="shared" si="822"/>
        <v>9757.4700000000012</v>
      </c>
      <c r="P2665" s="86">
        <f t="shared" si="823"/>
        <v>0</v>
      </c>
      <c r="Q2665" s="86">
        <f t="shared" si="824"/>
        <v>0</v>
      </c>
      <c r="R2665" s="86">
        <f t="shared" si="825"/>
        <v>0</v>
      </c>
      <c r="S2665" s="86">
        <f t="shared" si="826"/>
        <v>0</v>
      </c>
      <c r="T2665" s="86">
        <f t="shared" si="827"/>
        <v>9757.4700000000012</v>
      </c>
      <c r="U2665" s="87">
        <v>9757.4700000000012</v>
      </c>
    </row>
    <row r="2666" spans="1:21" s="30" customFormat="1" ht="24.6" hidden="1" outlineLevel="1" x14ac:dyDescent="0.55000000000000004">
      <c r="A2666" s="27" t="s">
        <v>327</v>
      </c>
      <c r="B2666" s="28"/>
      <c r="C2666" s="27"/>
      <c r="D2666" s="27" t="str">
        <f>"""NAV Direct"",""CRONUS JetCorp USA"",""21"",""1"",""405605"""</f>
        <v>"NAV Direct","CRONUS JetCorp USA","21","1","405605"</v>
      </c>
      <c r="E2666" s="31" t="str">
        <f t="shared" si="819"/>
        <v>C100084</v>
      </c>
      <c r="F2666" s="31"/>
      <c r="G2666" s="31"/>
      <c r="H2666" s="31"/>
      <c r="I2666" s="56"/>
      <c r="J2666" s="56"/>
      <c r="K2666" s="82" t="str">
        <f t="shared" si="820"/>
        <v>Invoice</v>
      </c>
      <c r="L2666" s="83" t="str">
        <f>"SI_112361"</f>
        <v>SI_112361</v>
      </c>
      <c r="M2666" s="84">
        <v>43052</v>
      </c>
      <c r="N2666" s="85">
        <f t="shared" si="821"/>
        <v>760</v>
      </c>
      <c r="O2666" s="86">
        <f t="shared" si="822"/>
        <v>7992.7300000000005</v>
      </c>
      <c r="P2666" s="86">
        <f t="shared" si="823"/>
        <v>0</v>
      </c>
      <c r="Q2666" s="86">
        <f t="shared" si="824"/>
        <v>0</v>
      </c>
      <c r="R2666" s="86">
        <f t="shared" si="825"/>
        <v>0</v>
      </c>
      <c r="S2666" s="86">
        <f t="shared" si="826"/>
        <v>0</v>
      </c>
      <c r="T2666" s="86">
        <f t="shared" si="827"/>
        <v>7992.7300000000005</v>
      </c>
      <c r="U2666" s="87">
        <v>7992.7300000000005</v>
      </c>
    </row>
    <row r="2667" spans="1:21" s="30" customFormat="1" ht="24.6" hidden="1" outlineLevel="1" x14ac:dyDescent="0.55000000000000004">
      <c r="A2667" s="27" t="s">
        <v>327</v>
      </c>
      <c r="B2667" s="28"/>
      <c r="C2667" s="27"/>
      <c r="D2667" s="27" t="str">
        <f>"""NAV Direct"",""CRONUS JetCorp USA"",""21"",""1"",""406486"""</f>
        <v>"NAV Direct","CRONUS JetCorp USA","21","1","406486"</v>
      </c>
      <c r="E2667" s="31">
        <f t="shared" si="819"/>
        <v>0</v>
      </c>
      <c r="F2667" s="31"/>
      <c r="G2667" s="31"/>
      <c r="H2667" s="31"/>
      <c r="I2667" s="56"/>
      <c r="J2667" s="56"/>
      <c r="K2667" s="82" t="str">
        <f t="shared" si="820"/>
        <v>Invoice</v>
      </c>
      <c r="L2667" s="83" t="str">
        <f>"SI_112382"</f>
        <v>SI_112382</v>
      </c>
      <c r="M2667" s="84">
        <v>43287</v>
      </c>
      <c r="N2667" s="85">
        <f t="shared" si="821"/>
        <v>525</v>
      </c>
      <c r="O2667" s="86">
        <f t="shared" si="822"/>
        <v>7867.84</v>
      </c>
      <c r="P2667" s="86">
        <f t="shared" si="823"/>
        <v>0</v>
      </c>
      <c r="Q2667" s="86">
        <f t="shared" si="824"/>
        <v>0</v>
      </c>
      <c r="R2667" s="86">
        <f t="shared" si="825"/>
        <v>0</v>
      </c>
      <c r="S2667" s="86">
        <f t="shared" si="826"/>
        <v>0</v>
      </c>
      <c r="T2667" s="86">
        <f t="shared" si="827"/>
        <v>7867.84</v>
      </c>
      <c r="U2667" s="87">
        <v>7867.84</v>
      </c>
    </row>
    <row r="2668" spans="1:21" s="30" customFormat="1" ht="24.6" hidden="1" outlineLevel="1" x14ac:dyDescent="0.55000000000000004">
      <c r="A2668" s="27" t="s">
        <v>327</v>
      </c>
      <c r="B2668" s="28"/>
      <c r="C2668" s="27"/>
      <c r="D2668" s="27" t="str">
        <f>"""NAV Direct"",""CRONUS JetCorp USA"",""21"",""1"",""406521"""</f>
        <v>"NAV Direct","CRONUS JetCorp USA","21","1","406521"</v>
      </c>
      <c r="E2668" s="31" t="str">
        <f t="shared" si="819"/>
        <v>C100084</v>
      </c>
      <c r="F2668" s="31"/>
      <c r="G2668" s="31"/>
      <c r="H2668" s="31"/>
      <c r="I2668" s="56"/>
      <c r="J2668" s="56"/>
      <c r="K2668" s="82" t="str">
        <f t="shared" si="820"/>
        <v>Invoice</v>
      </c>
      <c r="L2668" s="83" t="str">
        <f>"SI_112383"</f>
        <v>SI_112383</v>
      </c>
      <c r="M2668" s="84">
        <v>43289</v>
      </c>
      <c r="N2668" s="85">
        <f t="shared" si="821"/>
        <v>523</v>
      </c>
      <c r="O2668" s="86">
        <f t="shared" si="822"/>
        <v>7787.5800000000008</v>
      </c>
      <c r="P2668" s="86">
        <f t="shared" si="823"/>
        <v>0</v>
      </c>
      <c r="Q2668" s="86">
        <f t="shared" si="824"/>
        <v>0</v>
      </c>
      <c r="R2668" s="86">
        <f t="shared" si="825"/>
        <v>0</v>
      </c>
      <c r="S2668" s="86">
        <f t="shared" si="826"/>
        <v>0</v>
      </c>
      <c r="T2668" s="86">
        <f t="shared" si="827"/>
        <v>7787.5800000000008</v>
      </c>
      <c r="U2668" s="87">
        <v>7787.5800000000008</v>
      </c>
    </row>
    <row r="2669" spans="1:21" s="30" customFormat="1" ht="24.6" hidden="1" outlineLevel="1" x14ac:dyDescent="0.55000000000000004">
      <c r="A2669" s="27" t="s">
        <v>327</v>
      </c>
      <c r="B2669" s="28"/>
      <c r="C2669" s="27"/>
      <c r="D2669" s="27" t="str">
        <f>"""NAV Direct"",""CRONUS JetCorp USA"",""21"",""1"",""406903"""</f>
        <v>"NAV Direct","CRONUS JetCorp USA","21","1","406903"</v>
      </c>
      <c r="E2669" s="31">
        <f t="shared" si="819"/>
        <v>0</v>
      </c>
      <c r="F2669" s="31"/>
      <c r="G2669" s="31"/>
      <c r="H2669" s="31"/>
      <c r="I2669" s="56"/>
      <c r="J2669" s="56"/>
      <c r="K2669" s="82" t="str">
        <f t="shared" si="820"/>
        <v>Invoice</v>
      </c>
      <c r="L2669" s="83" t="str">
        <f>"SI_112391"</f>
        <v>SI_112391</v>
      </c>
      <c r="M2669" s="84">
        <v>43363</v>
      </c>
      <c r="N2669" s="85">
        <f t="shared" si="821"/>
        <v>449</v>
      </c>
      <c r="O2669" s="86">
        <f t="shared" si="822"/>
        <v>9952.9500000000007</v>
      </c>
      <c r="P2669" s="86">
        <f t="shared" si="823"/>
        <v>0</v>
      </c>
      <c r="Q2669" s="86">
        <f t="shared" si="824"/>
        <v>0</v>
      </c>
      <c r="R2669" s="86">
        <f t="shared" si="825"/>
        <v>0</v>
      </c>
      <c r="S2669" s="86">
        <f t="shared" si="826"/>
        <v>0</v>
      </c>
      <c r="T2669" s="86">
        <f t="shared" si="827"/>
        <v>9952.9500000000007</v>
      </c>
      <c r="U2669" s="87">
        <v>9952.9500000000007</v>
      </c>
    </row>
    <row r="2670" spans="1:21" s="30" customFormat="1" ht="24.6" hidden="1" outlineLevel="1" x14ac:dyDescent="0.55000000000000004">
      <c r="A2670" s="27" t="s">
        <v>327</v>
      </c>
      <c r="B2670" s="28"/>
      <c r="C2670" s="27"/>
      <c r="D2670" s="27" t="str">
        <f>"""NAV Direct"",""CRONUS JetCorp USA"",""21"",""1"",""407410"""</f>
        <v>"NAV Direct","CRONUS JetCorp USA","21","1","407410"</v>
      </c>
      <c r="E2670" s="31" t="str">
        <f t="shared" si="819"/>
        <v>C100084</v>
      </c>
      <c r="F2670" s="31"/>
      <c r="G2670" s="31"/>
      <c r="H2670" s="31"/>
      <c r="I2670" s="56"/>
      <c r="J2670" s="56"/>
      <c r="K2670" s="82" t="str">
        <f t="shared" si="820"/>
        <v>Invoice</v>
      </c>
      <c r="L2670" s="83" t="str">
        <f>"SI_112400"</f>
        <v>SI_112400</v>
      </c>
      <c r="M2670" s="84">
        <v>43445</v>
      </c>
      <c r="N2670" s="85">
        <f t="shared" si="821"/>
        <v>367</v>
      </c>
      <c r="O2670" s="86">
        <f t="shared" si="822"/>
        <v>12139.220000000001</v>
      </c>
      <c r="P2670" s="86">
        <f t="shared" si="823"/>
        <v>0</v>
      </c>
      <c r="Q2670" s="86">
        <f t="shared" si="824"/>
        <v>0</v>
      </c>
      <c r="R2670" s="86">
        <f t="shared" si="825"/>
        <v>0</v>
      </c>
      <c r="S2670" s="86">
        <f t="shared" si="826"/>
        <v>0</v>
      </c>
      <c r="T2670" s="86">
        <f t="shared" si="827"/>
        <v>12139.220000000001</v>
      </c>
      <c r="U2670" s="87">
        <v>12139.220000000001</v>
      </c>
    </row>
    <row r="2671" spans="1:21" s="30" customFormat="1" ht="24.6" hidden="1" outlineLevel="1" x14ac:dyDescent="0.55000000000000004">
      <c r="A2671" s="27" t="s">
        <v>327</v>
      </c>
      <c r="B2671" s="28"/>
      <c r="C2671" s="27"/>
      <c r="D2671" s="27" t="str">
        <f>"""NAV Direct"",""CRONUS JetCorp USA"",""21"",""1"",""407976"""</f>
        <v>"NAV Direct","CRONUS JetCorp USA","21","1","407976"</v>
      </c>
      <c r="E2671" s="31">
        <f t="shared" si="819"/>
        <v>0</v>
      </c>
      <c r="F2671" s="31"/>
      <c r="G2671" s="31"/>
      <c r="H2671" s="31"/>
      <c r="I2671" s="56"/>
      <c r="J2671" s="56"/>
      <c r="K2671" s="82" t="str">
        <f t="shared" si="820"/>
        <v>Invoice</v>
      </c>
      <c r="L2671" s="83" t="str">
        <f>"SI_112411"</f>
        <v>SI_112411</v>
      </c>
      <c r="M2671" s="84">
        <v>43547</v>
      </c>
      <c r="N2671" s="85">
        <f t="shared" si="821"/>
        <v>265</v>
      </c>
      <c r="O2671" s="86">
        <f t="shared" si="822"/>
        <v>11216.83</v>
      </c>
      <c r="P2671" s="86">
        <f t="shared" si="823"/>
        <v>0</v>
      </c>
      <c r="Q2671" s="86">
        <f t="shared" si="824"/>
        <v>0</v>
      </c>
      <c r="R2671" s="86">
        <f t="shared" si="825"/>
        <v>0</v>
      </c>
      <c r="S2671" s="86">
        <f t="shared" si="826"/>
        <v>0</v>
      </c>
      <c r="T2671" s="86">
        <f t="shared" si="827"/>
        <v>11216.83</v>
      </c>
      <c r="U2671" s="87">
        <v>11216.83</v>
      </c>
    </row>
    <row r="2672" spans="1:21" s="30" customFormat="1" ht="24.6" hidden="1" outlineLevel="1" x14ac:dyDescent="0.55000000000000004">
      <c r="A2672" s="27" t="s">
        <v>327</v>
      </c>
      <c r="B2672" s="28"/>
      <c r="C2672" s="27"/>
      <c r="D2672" s="27" t="str">
        <f>"""NAV Direct"",""CRONUS JetCorp USA"",""21"",""1"",""408029"""</f>
        <v>"NAV Direct","CRONUS JetCorp USA","21","1","408029"</v>
      </c>
      <c r="E2672" s="31" t="str">
        <f t="shared" si="819"/>
        <v>C100084</v>
      </c>
      <c r="F2672" s="31"/>
      <c r="G2672" s="31"/>
      <c r="H2672" s="31"/>
      <c r="I2672" s="56"/>
      <c r="J2672" s="56"/>
      <c r="K2672" s="82" t="str">
        <f t="shared" si="820"/>
        <v>Invoice</v>
      </c>
      <c r="L2672" s="83" t="str">
        <f>"SI_112412"</f>
        <v>SI_112412</v>
      </c>
      <c r="M2672" s="84">
        <v>43563</v>
      </c>
      <c r="N2672" s="85">
        <f t="shared" si="821"/>
        <v>249</v>
      </c>
      <c r="O2672" s="86">
        <f t="shared" si="822"/>
        <v>12636.06</v>
      </c>
      <c r="P2672" s="86">
        <f t="shared" si="823"/>
        <v>0</v>
      </c>
      <c r="Q2672" s="86">
        <f t="shared" si="824"/>
        <v>0</v>
      </c>
      <c r="R2672" s="86">
        <f t="shared" si="825"/>
        <v>0</v>
      </c>
      <c r="S2672" s="86">
        <f t="shared" si="826"/>
        <v>0</v>
      </c>
      <c r="T2672" s="86">
        <f t="shared" si="827"/>
        <v>12636.06</v>
      </c>
      <c r="U2672" s="87">
        <v>12636.06</v>
      </c>
    </row>
    <row r="2673" spans="1:21" s="30" customFormat="1" ht="24.6" hidden="1" outlineLevel="1" x14ac:dyDescent="0.55000000000000004">
      <c r="A2673" s="27" t="s">
        <v>327</v>
      </c>
      <c r="B2673" s="28"/>
      <c r="C2673" s="27"/>
      <c r="D2673" s="27" t="str">
        <f>"""NAV Direct"",""CRONUS JetCorp USA"",""21"",""1"",""408233"""</f>
        <v>"NAV Direct","CRONUS JetCorp USA","21","1","408233"</v>
      </c>
      <c r="E2673" s="31">
        <f t="shared" si="819"/>
        <v>0</v>
      </c>
      <c r="F2673" s="31"/>
      <c r="G2673" s="31"/>
      <c r="H2673" s="31"/>
      <c r="I2673" s="56"/>
      <c r="J2673" s="56"/>
      <c r="K2673" s="82" t="str">
        <f t="shared" si="820"/>
        <v>Invoice</v>
      </c>
      <c r="L2673" s="83" t="str">
        <f>"SI_112416"</f>
        <v>SI_112416</v>
      </c>
      <c r="M2673" s="84">
        <v>43593</v>
      </c>
      <c r="N2673" s="85">
        <f t="shared" si="821"/>
        <v>219</v>
      </c>
      <c r="O2673" s="86">
        <f t="shared" si="822"/>
        <v>12678.189999999999</v>
      </c>
      <c r="P2673" s="86">
        <f t="shared" si="823"/>
        <v>0</v>
      </c>
      <c r="Q2673" s="86">
        <f t="shared" si="824"/>
        <v>0</v>
      </c>
      <c r="R2673" s="86">
        <f t="shared" si="825"/>
        <v>0</v>
      </c>
      <c r="S2673" s="86">
        <f t="shared" si="826"/>
        <v>0</v>
      </c>
      <c r="T2673" s="86">
        <f t="shared" si="827"/>
        <v>12678.189999999999</v>
      </c>
      <c r="U2673" s="87">
        <v>12678.189999999999</v>
      </c>
    </row>
    <row r="2674" spans="1:21" s="30" customFormat="1" ht="24.6" hidden="1" outlineLevel="1" x14ac:dyDescent="0.55000000000000004">
      <c r="A2674" s="27" t="s">
        <v>327</v>
      </c>
      <c r="B2674" s="28"/>
      <c r="C2674" s="27"/>
      <c r="D2674" s="27" t="str">
        <f>"""NAV Direct"",""CRONUS JetCorp USA"",""21"",""1"",""408569"""</f>
        <v>"NAV Direct","CRONUS JetCorp USA","21","1","408569"</v>
      </c>
      <c r="E2674" s="31" t="str">
        <f t="shared" si="819"/>
        <v>C100084</v>
      </c>
      <c r="F2674" s="31"/>
      <c r="G2674" s="31"/>
      <c r="H2674" s="31"/>
      <c r="I2674" s="56"/>
      <c r="J2674" s="56"/>
      <c r="K2674" s="82" t="str">
        <f t="shared" si="820"/>
        <v>Invoice</v>
      </c>
      <c r="L2674" s="83" t="str">
        <f>"SI_112423"</f>
        <v>SI_112423</v>
      </c>
      <c r="M2674" s="84">
        <v>43634</v>
      </c>
      <c r="N2674" s="85">
        <f t="shared" si="821"/>
        <v>178</v>
      </c>
      <c r="O2674" s="86">
        <f t="shared" si="822"/>
        <v>8579.8799999999992</v>
      </c>
      <c r="P2674" s="86">
        <f t="shared" si="823"/>
        <v>0</v>
      </c>
      <c r="Q2674" s="86">
        <f t="shared" si="824"/>
        <v>0</v>
      </c>
      <c r="R2674" s="86">
        <f t="shared" si="825"/>
        <v>0</v>
      </c>
      <c r="S2674" s="86">
        <f t="shared" si="826"/>
        <v>0</v>
      </c>
      <c r="T2674" s="86">
        <f t="shared" si="827"/>
        <v>8579.8799999999992</v>
      </c>
      <c r="U2674" s="87">
        <v>8579.8799999999992</v>
      </c>
    </row>
    <row r="2675" spans="1:21" s="30" customFormat="1" ht="24.6" hidden="1" outlineLevel="1" x14ac:dyDescent="0.55000000000000004">
      <c r="A2675" s="27" t="s">
        <v>327</v>
      </c>
      <c r="B2675" s="28"/>
      <c r="C2675" s="27"/>
      <c r="D2675" s="27" t="str">
        <f>"""NAV Direct"",""CRONUS JetCorp USA"",""21"",""1"",""410339"""</f>
        <v>"NAV Direct","CRONUS JetCorp USA","21","1","410339"</v>
      </c>
      <c r="E2675" s="31">
        <f t="shared" si="819"/>
        <v>0</v>
      </c>
      <c r="F2675" s="31"/>
      <c r="G2675" s="31"/>
      <c r="H2675" s="31"/>
      <c r="I2675" s="56"/>
      <c r="J2675" s="56"/>
      <c r="K2675" s="82" t="str">
        <f t="shared" si="820"/>
        <v>Invoice</v>
      </c>
      <c r="L2675" s="83" t="str">
        <f>"SI_112457"</f>
        <v>SI_112457</v>
      </c>
      <c r="M2675" s="84">
        <v>42043</v>
      </c>
      <c r="N2675" s="85">
        <f t="shared" si="821"/>
        <v>1769</v>
      </c>
      <c r="O2675" s="86">
        <f t="shared" si="822"/>
        <v>12891.23</v>
      </c>
      <c r="P2675" s="86">
        <f t="shared" si="823"/>
        <v>0</v>
      </c>
      <c r="Q2675" s="86">
        <f t="shared" si="824"/>
        <v>0</v>
      </c>
      <c r="R2675" s="86">
        <f t="shared" si="825"/>
        <v>0</v>
      </c>
      <c r="S2675" s="86">
        <f t="shared" si="826"/>
        <v>0</v>
      </c>
      <c r="T2675" s="86">
        <f t="shared" si="827"/>
        <v>12891.23</v>
      </c>
      <c r="U2675" s="87">
        <v>12891.23</v>
      </c>
    </row>
    <row r="2676" spans="1:21" s="30" customFormat="1" ht="24.6" hidden="1" outlineLevel="1" x14ac:dyDescent="0.55000000000000004">
      <c r="A2676" s="27" t="s">
        <v>327</v>
      </c>
      <c r="B2676" s="28"/>
      <c r="C2676" s="27"/>
      <c r="D2676" s="27" t="str">
        <f>"""NAV Direct"",""CRONUS JetCorp USA"",""21"",""1"",""410534"""</f>
        <v>"NAV Direct","CRONUS JetCorp USA","21","1","410534"</v>
      </c>
      <c r="E2676" s="31" t="str">
        <f t="shared" si="819"/>
        <v>C100084</v>
      </c>
      <c r="F2676" s="31"/>
      <c r="G2676" s="31"/>
      <c r="H2676" s="31"/>
      <c r="I2676" s="56"/>
      <c r="J2676" s="56"/>
      <c r="K2676" s="82" t="str">
        <f t="shared" si="820"/>
        <v>Invoice</v>
      </c>
      <c r="L2676" s="83" t="str">
        <f>"SI_112460"</f>
        <v>SI_112460</v>
      </c>
      <c r="M2676" s="84">
        <v>42065</v>
      </c>
      <c r="N2676" s="85">
        <f t="shared" si="821"/>
        <v>1747</v>
      </c>
      <c r="O2676" s="86">
        <f t="shared" si="822"/>
        <v>12649.28</v>
      </c>
      <c r="P2676" s="86">
        <f t="shared" si="823"/>
        <v>0</v>
      </c>
      <c r="Q2676" s="86">
        <f t="shared" si="824"/>
        <v>0</v>
      </c>
      <c r="R2676" s="86">
        <f t="shared" si="825"/>
        <v>0</v>
      </c>
      <c r="S2676" s="86">
        <f t="shared" si="826"/>
        <v>0</v>
      </c>
      <c r="T2676" s="86">
        <f t="shared" si="827"/>
        <v>12649.28</v>
      </c>
      <c r="U2676" s="87">
        <v>12649.28</v>
      </c>
    </row>
    <row r="2677" spans="1:21" s="30" customFormat="1" ht="24.6" hidden="1" outlineLevel="1" x14ac:dyDescent="0.55000000000000004">
      <c r="A2677" s="27" t="s">
        <v>327</v>
      </c>
      <c r="B2677" s="28"/>
      <c r="C2677" s="27"/>
      <c r="D2677" s="27" t="str">
        <f>"""NAV Direct"",""CRONUS JetCorp USA"",""21"",""1"",""410583"""</f>
        <v>"NAV Direct","CRONUS JetCorp USA","21","1","410583"</v>
      </c>
      <c r="E2677" s="31">
        <f t="shared" si="819"/>
        <v>0</v>
      </c>
      <c r="F2677" s="31"/>
      <c r="G2677" s="31"/>
      <c r="H2677" s="31"/>
      <c r="I2677" s="56"/>
      <c r="J2677" s="56"/>
      <c r="K2677" s="82" t="str">
        <f t="shared" si="820"/>
        <v>Invoice</v>
      </c>
      <c r="L2677" s="83" t="str">
        <f>"SI_112461"</f>
        <v>SI_112461</v>
      </c>
      <c r="M2677" s="84">
        <v>42074</v>
      </c>
      <c r="N2677" s="85">
        <f t="shared" si="821"/>
        <v>1738</v>
      </c>
      <c r="O2677" s="86">
        <f t="shared" si="822"/>
        <v>12785.34</v>
      </c>
      <c r="P2677" s="86">
        <f t="shared" si="823"/>
        <v>0</v>
      </c>
      <c r="Q2677" s="86">
        <f t="shared" si="824"/>
        <v>0</v>
      </c>
      <c r="R2677" s="86">
        <f t="shared" si="825"/>
        <v>0</v>
      </c>
      <c r="S2677" s="86">
        <f t="shared" si="826"/>
        <v>0</v>
      </c>
      <c r="T2677" s="86">
        <f t="shared" si="827"/>
        <v>12785.34</v>
      </c>
      <c r="U2677" s="87">
        <v>12785.34</v>
      </c>
    </row>
    <row r="2678" spans="1:21" s="30" customFormat="1" ht="24.6" hidden="1" outlineLevel="1" x14ac:dyDescent="0.55000000000000004">
      <c r="A2678" s="27" t="s">
        <v>327</v>
      </c>
      <c r="B2678" s="28"/>
      <c r="C2678" s="27"/>
      <c r="D2678" s="27" t="str">
        <f>"""NAV Direct"",""CRONUS JetCorp USA"",""21"",""1"",""410636"""</f>
        <v>"NAV Direct","CRONUS JetCorp USA","21","1","410636"</v>
      </c>
      <c r="E2678" s="31" t="str">
        <f t="shared" si="819"/>
        <v>C100084</v>
      </c>
      <c r="F2678" s="31"/>
      <c r="G2678" s="31"/>
      <c r="H2678" s="31"/>
      <c r="I2678" s="56"/>
      <c r="J2678" s="56"/>
      <c r="K2678" s="82" t="str">
        <f t="shared" si="820"/>
        <v>Invoice</v>
      </c>
      <c r="L2678" s="83" t="str">
        <f>"SI_112462"</f>
        <v>SI_112462</v>
      </c>
      <c r="M2678" s="84">
        <v>42073</v>
      </c>
      <c r="N2678" s="85">
        <f t="shared" si="821"/>
        <v>1739</v>
      </c>
      <c r="O2678" s="86">
        <f t="shared" si="822"/>
        <v>13193.6</v>
      </c>
      <c r="P2678" s="86">
        <f t="shared" si="823"/>
        <v>0</v>
      </c>
      <c r="Q2678" s="86">
        <f t="shared" si="824"/>
        <v>0</v>
      </c>
      <c r="R2678" s="86">
        <f t="shared" si="825"/>
        <v>0</v>
      </c>
      <c r="S2678" s="86">
        <f t="shared" si="826"/>
        <v>0</v>
      </c>
      <c r="T2678" s="86">
        <f t="shared" si="827"/>
        <v>13193.6</v>
      </c>
      <c r="U2678" s="87">
        <v>13193.6</v>
      </c>
    </row>
    <row r="2679" spans="1:21" s="30" customFormat="1" ht="24.6" hidden="1" outlineLevel="1" x14ac:dyDescent="0.55000000000000004">
      <c r="A2679" s="27" t="s">
        <v>327</v>
      </c>
      <c r="B2679" s="28"/>
      <c r="C2679" s="27"/>
      <c r="D2679" s="27" t="str">
        <f>"""NAV Direct"",""CRONUS JetCorp USA"",""21"",""1"",""410744"""</f>
        <v>"NAV Direct","CRONUS JetCorp USA","21","1","410744"</v>
      </c>
      <c r="E2679" s="31">
        <f t="shared" si="819"/>
        <v>0</v>
      </c>
      <c r="F2679" s="31"/>
      <c r="G2679" s="31"/>
      <c r="H2679" s="31"/>
      <c r="I2679" s="56"/>
      <c r="J2679" s="56"/>
      <c r="K2679" s="82" t="str">
        <f t="shared" si="820"/>
        <v>Invoice</v>
      </c>
      <c r="L2679" s="83" t="str">
        <f>"SI_112464"</f>
        <v>SI_112464</v>
      </c>
      <c r="M2679" s="84">
        <v>42078</v>
      </c>
      <c r="N2679" s="85">
        <f t="shared" si="821"/>
        <v>1734</v>
      </c>
      <c r="O2679" s="86">
        <f t="shared" si="822"/>
        <v>12785.13</v>
      </c>
      <c r="P2679" s="86">
        <f t="shared" si="823"/>
        <v>0</v>
      </c>
      <c r="Q2679" s="86">
        <f t="shared" si="824"/>
        <v>0</v>
      </c>
      <c r="R2679" s="86">
        <f t="shared" si="825"/>
        <v>0</v>
      </c>
      <c r="S2679" s="86">
        <f t="shared" si="826"/>
        <v>0</v>
      </c>
      <c r="T2679" s="86">
        <f t="shared" si="827"/>
        <v>12785.13</v>
      </c>
      <c r="U2679" s="87">
        <v>12785.13</v>
      </c>
    </row>
    <row r="2680" spans="1:21" s="30" customFormat="1" ht="24.6" hidden="1" outlineLevel="1" x14ac:dyDescent="0.55000000000000004">
      <c r="A2680" s="27" t="s">
        <v>327</v>
      </c>
      <c r="B2680" s="28"/>
      <c r="C2680" s="27"/>
      <c r="D2680" s="27" t="str">
        <f>"""NAV Direct"",""CRONUS JetCorp USA"",""21"",""1"",""410795"""</f>
        <v>"NAV Direct","CRONUS JetCorp USA","21","1","410795"</v>
      </c>
      <c r="E2680" s="31" t="str">
        <f t="shared" si="819"/>
        <v>C100084</v>
      </c>
      <c r="F2680" s="31"/>
      <c r="G2680" s="31"/>
      <c r="H2680" s="31"/>
      <c r="I2680" s="56"/>
      <c r="J2680" s="56"/>
      <c r="K2680" s="82" t="str">
        <f t="shared" si="820"/>
        <v>Invoice</v>
      </c>
      <c r="L2680" s="83" t="str">
        <f>"SI_112465"</f>
        <v>SI_112465</v>
      </c>
      <c r="M2680" s="84">
        <v>42078</v>
      </c>
      <c r="N2680" s="85">
        <f t="shared" si="821"/>
        <v>1734</v>
      </c>
      <c r="O2680" s="86">
        <f t="shared" si="822"/>
        <v>12921.519999999999</v>
      </c>
      <c r="P2680" s="86">
        <f t="shared" si="823"/>
        <v>0</v>
      </c>
      <c r="Q2680" s="86">
        <f t="shared" si="824"/>
        <v>0</v>
      </c>
      <c r="R2680" s="86">
        <f t="shared" si="825"/>
        <v>0</v>
      </c>
      <c r="S2680" s="86">
        <f t="shared" si="826"/>
        <v>0</v>
      </c>
      <c r="T2680" s="86">
        <f t="shared" si="827"/>
        <v>12921.519999999999</v>
      </c>
      <c r="U2680" s="87">
        <v>12921.519999999999</v>
      </c>
    </row>
    <row r="2681" spans="1:21" s="30" customFormat="1" ht="24.6" hidden="1" outlineLevel="1" x14ac:dyDescent="0.55000000000000004">
      <c r="A2681" s="27" t="s">
        <v>327</v>
      </c>
      <c r="B2681" s="28"/>
      <c r="C2681" s="27"/>
      <c r="D2681" s="27" t="str">
        <f>"""NAV Direct"",""CRONUS JetCorp USA"",""21"",""1"",""411669"""</f>
        <v>"NAV Direct","CRONUS JetCorp USA","21","1","411669"</v>
      </c>
      <c r="E2681" s="31">
        <f t="shared" si="819"/>
        <v>0</v>
      </c>
      <c r="F2681" s="31"/>
      <c r="G2681" s="31"/>
      <c r="H2681" s="31"/>
      <c r="I2681" s="56"/>
      <c r="J2681" s="56"/>
      <c r="K2681" s="82" t="str">
        <f t="shared" si="820"/>
        <v>Invoice</v>
      </c>
      <c r="L2681" s="83" t="str">
        <f>"SI_112479"</f>
        <v>SI_112479</v>
      </c>
      <c r="M2681" s="84">
        <v>42139</v>
      </c>
      <c r="N2681" s="85">
        <f t="shared" si="821"/>
        <v>1673</v>
      </c>
      <c r="O2681" s="86">
        <f t="shared" si="822"/>
        <v>13363.02</v>
      </c>
      <c r="P2681" s="86">
        <f t="shared" si="823"/>
        <v>0</v>
      </c>
      <c r="Q2681" s="86">
        <f t="shared" si="824"/>
        <v>0</v>
      </c>
      <c r="R2681" s="86">
        <f t="shared" si="825"/>
        <v>0</v>
      </c>
      <c r="S2681" s="86">
        <f t="shared" si="826"/>
        <v>0</v>
      </c>
      <c r="T2681" s="86">
        <f t="shared" si="827"/>
        <v>13363.02</v>
      </c>
      <c r="U2681" s="87">
        <v>13363.02</v>
      </c>
    </row>
    <row r="2682" spans="1:21" s="30" customFormat="1" ht="24.6" hidden="1" outlineLevel="1" x14ac:dyDescent="0.55000000000000004">
      <c r="A2682" s="27" t="s">
        <v>327</v>
      </c>
      <c r="B2682" s="28"/>
      <c r="C2682" s="27"/>
      <c r="D2682" s="27" t="str">
        <f>"""NAV Direct"",""CRONUS JetCorp USA"",""21"",""1"",""411773"""</f>
        <v>"NAV Direct","CRONUS JetCorp USA","21","1","411773"</v>
      </c>
      <c r="E2682" s="31" t="str">
        <f t="shared" si="819"/>
        <v>C100084</v>
      </c>
      <c r="F2682" s="31"/>
      <c r="G2682" s="31"/>
      <c r="H2682" s="31"/>
      <c r="I2682" s="56"/>
      <c r="J2682" s="56"/>
      <c r="K2682" s="82" t="str">
        <f t="shared" si="820"/>
        <v>Invoice</v>
      </c>
      <c r="L2682" s="83" t="str">
        <f>"SI_112481"</f>
        <v>SI_112481</v>
      </c>
      <c r="M2682" s="84">
        <v>42161</v>
      </c>
      <c r="N2682" s="85">
        <f t="shared" si="821"/>
        <v>1651</v>
      </c>
      <c r="O2682" s="86">
        <f t="shared" si="822"/>
        <v>8204.31</v>
      </c>
      <c r="P2682" s="86">
        <f t="shared" si="823"/>
        <v>0</v>
      </c>
      <c r="Q2682" s="86">
        <f t="shared" si="824"/>
        <v>0</v>
      </c>
      <c r="R2682" s="86">
        <f t="shared" si="825"/>
        <v>0</v>
      </c>
      <c r="S2682" s="86">
        <f t="shared" si="826"/>
        <v>0</v>
      </c>
      <c r="T2682" s="86">
        <f t="shared" si="827"/>
        <v>8204.31</v>
      </c>
      <c r="U2682" s="87">
        <v>8204.31</v>
      </c>
    </row>
    <row r="2683" spans="1:21" s="30" customFormat="1" ht="24.6" hidden="1" outlineLevel="1" x14ac:dyDescent="0.55000000000000004">
      <c r="A2683" s="27" t="s">
        <v>327</v>
      </c>
      <c r="B2683" s="28"/>
      <c r="C2683" s="27"/>
      <c r="D2683" s="27" t="str">
        <f>"""NAV Direct"",""CRONUS JetCorp USA"",""21"",""1"",""413278"""</f>
        <v>"NAV Direct","CRONUS JetCorp USA","21","1","413278"</v>
      </c>
      <c r="E2683" s="31">
        <f t="shared" si="819"/>
        <v>0</v>
      </c>
      <c r="F2683" s="31"/>
      <c r="G2683" s="31"/>
      <c r="H2683" s="31"/>
      <c r="I2683" s="56"/>
      <c r="J2683" s="56"/>
      <c r="K2683" s="82" t="str">
        <f t="shared" si="820"/>
        <v>Invoice</v>
      </c>
      <c r="L2683" s="83" t="str">
        <f>"SI_112510"</f>
        <v>SI_112510</v>
      </c>
      <c r="M2683" s="84">
        <v>42299</v>
      </c>
      <c r="N2683" s="85">
        <f t="shared" si="821"/>
        <v>1513</v>
      </c>
      <c r="O2683" s="86">
        <f t="shared" si="822"/>
        <v>11666.11</v>
      </c>
      <c r="P2683" s="86">
        <f t="shared" si="823"/>
        <v>0</v>
      </c>
      <c r="Q2683" s="86">
        <f t="shared" si="824"/>
        <v>0</v>
      </c>
      <c r="R2683" s="86">
        <f t="shared" si="825"/>
        <v>0</v>
      </c>
      <c r="S2683" s="86">
        <f t="shared" si="826"/>
        <v>0</v>
      </c>
      <c r="T2683" s="86">
        <f t="shared" si="827"/>
        <v>11666.11</v>
      </c>
      <c r="U2683" s="87">
        <v>11666.11</v>
      </c>
    </row>
    <row r="2684" spans="1:21" s="30" customFormat="1" ht="24.6" hidden="1" outlineLevel="1" x14ac:dyDescent="0.55000000000000004">
      <c r="A2684" s="27" t="s">
        <v>327</v>
      </c>
      <c r="B2684" s="28"/>
      <c r="C2684" s="27"/>
      <c r="D2684" s="27" t="str">
        <f>"""NAV Direct"",""CRONUS JetCorp USA"",""21"",""1"",""413550"""</f>
        <v>"NAV Direct","CRONUS JetCorp USA","21","1","413550"</v>
      </c>
      <c r="E2684" s="31" t="str">
        <f t="shared" si="819"/>
        <v>C100084</v>
      </c>
      <c r="F2684" s="31"/>
      <c r="G2684" s="31"/>
      <c r="H2684" s="31"/>
      <c r="I2684" s="56"/>
      <c r="J2684" s="56"/>
      <c r="K2684" s="82" t="str">
        <f t="shared" si="820"/>
        <v>Invoice</v>
      </c>
      <c r="L2684" s="83" t="str">
        <f>"SI_112515"</f>
        <v>SI_112515</v>
      </c>
      <c r="M2684" s="84">
        <v>42322</v>
      </c>
      <c r="N2684" s="85">
        <f t="shared" si="821"/>
        <v>1490</v>
      </c>
      <c r="O2684" s="86">
        <f t="shared" si="822"/>
        <v>12308.9</v>
      </c>
      <c r="P2684" s="86">
        <f t="shared" si="823"/>
        <v>0</v>
      </c>
      <c r="Q2684" s="86">
        <f t="shared" si="824"/>
        <v>0</v>
      </c>
      <c r="R2684" s="86">
        <f t="shared" si="825"/>
        <v>0</v>
      </c>
      <c r="S2684" s="86">
        <f t="shared" si="826"/>
        <v>0</v>
      </c>
      <c r="T2684" s="86">
        <f t="shared" si="827"/>
        <v>12308.9</v>
      </c>
      <c r="U2684" s="87">
        <v>12308.9</v>
      </c>
    </row>
    <row r="2685" spans="1:21" s="30" customFormat="1" ht="24.6" hidden="1" outlineLevel="1" x14ac:dyDescent="0.55000000000000004">
      <c r="A2685" s="27" t="s">
        <v>327</v>
      </c>
      <c r="B2685" s="28"/>
      <c r="C2685" s="27"/>
      <c r="D2685" s="27" t="str">
        <f>"""NAV Direct"",""CRONUS JetCorp USA"",""21"",""1"",""413599"""</f>
        <v>"NAV Direct","CRONUS JetCorp USA","21","1","413599"</v>
      </c>
      <c r="E2685" s="31">
        <f t="shared" si="819"/>
        <v>0</v>
      </c>
      <c r="F2685" s="31"/>
      <c r="G2685" s="31"/>
      <c r="H2685" s="31"/>
      <c r="I2685" s="56"/>
      <c r="J2685" s="56"/>
      <c r="K2685" s="82" t="str">
        <f t="shared" si="820"/>
        <v>Invoice</v>
      </c>
      <c r="L2685" s="83" t="str">
        <f>"SI_112516"</f>
        <v>SI_112516</v>
      </c>
      <c r="M2685" s="84">
        <v>42322</v>
      </c>
      <c r="N2685" s="85">
        <f t="shared" si="821"/>
        <v>1490</v>
      </c>
      <c r="O2685" s="86">
        <f t="shared" si="822"/>
        <v>12832.74</v>
      </c>
      <c r="P2685" s="86">
        <f t="shared" si="823"/>
        <v>0</v>
      </c>
      <c r="Q2685" s="86">
        <f t="shared" si="824"/>
        <v>0</v>
      </c>
      <c r="R2685" s="86">
        <f t="shared" si="825"/>
        <v>0</v>
      </c>
      <c r="S2685" s="86">
        <f t="shared" si="826"/>
        <v>0</v>
      </c>
      <c r="T2685" s="86">
        <f t="shared" si="827"/>
        <v>12832.74</v>
      </c>
      <c r="U2685" s="87">
        <v>12832.74</v>
      </c>
    </row>
    <row r="2686" spans="1:21" s="30" customFormat="1" ht="24.6" hidden="1" outlineLevel="1" x14ac:dyDescent="0.55000000000000004">
      <c r="A2686" s="27" t="s">
        <v>327</v>
      </c>
      <c r="B2686" s="28"/>
      <c r="C2686" s="27"/>
      <c r="D2686" s="27" t="str">
        <f>"""NAV Direct"",""CRONUS JetCorp USA"",""21"",""1"",""413784"""</f>
        <v>"NAV Direct","CRONUS JetCorp USA","21","1","413784"</v>
      </c>
      <c r="E2686" s="31" t="str">
        <f t="shared" si="819"/>
        <v>C100084</v>
      </c>
      <c r="F2686" s="31"/>
      <c r="G2686" s="31"/>
      <c r="H2686" s="31"/>
      <c r="I2686" s="56"/>
      <c r="J2686" s="56"/>
      <c r="K2686" s="82" t="str">
        <f t="shared" si="820"/>
        <v>Invoice</v>
      </c>
      <c r="L2686" s="83" t="str">
        <f>"SI_112519"</f>
        <v>SI_112519</v>
      </c>
      <c r="M2686" s="84">
        <v>42343</v>
      </c>
      <c r="N2686" s="85">
        <f t="shared" si="821"/>
        <v>1469</v>
      </c>
      <c r="O2686" s="86">
        <f t="shared" si="822"/>
        <v>14629.33</v>
      </c>
      <c r="P2686" s="86">
        <f t="shared" si="823"/>
        <v>0</v>
      </c>
      <c r="Q2686" s="86">
        <f t="shared" si="824"/>
        <v>0</v>
      </c>
      <c r="R2686" s="86">
        <f t="shared" si="825"/>
        <v>0</v>
      </c>
      <c r="S2686" s="86">
        <f t="shared" si="826"/>
        <v>0</v>
      </c>
      <c r="T2686" s="86">
        <f t="shared" si="827"/>
        <v>14629.33</v>
      </c>
      <c r="U2686" s="87">
        <v>14629.33</v>
      </c>
    </row>
    <row r="2687" spans="1:21" s="30" customFormat="1" ht="24.6" hidden="1" outlineLevel="1" x14ac:dyDescent="0.55000000000000004">
      <c r="A2687" s="27" t="s">
        <v>327</v>
      </c>
      <c r="B2687" s="28"/>
      <c r="C2687" s="27"/>
      <c r="D2687" s="27" t="str">
        <f>"""NAV Direct"",""CRONUS JetCorp USA"",""21"",""1"",""414067"""</f>
        <v>"NAV Direct","CRONUS JetCorp USA","21","1","414067"</v>
      </c>
      <c r="E2687" s="31">
        <f t="shared" si="819"/>
        <v>0</v>
      </c>
      <c r="F2687" s="31"/>
      <c r="G2687" s="31"/>
      <c r="H2687" s="31"/>
      <c r="I2687" s="56"/>
      <c r="J2687" s="56"/>
      <c r="K2687" s="82" t="str">
        <f t="shared" si="820"/>
        <v>Invoice</v>
      </c>
      <c r="L2687" s="83" t="str">
        <f>"SI_112524"</f>
        <v>SI_112524</v>
      </c>
      <c r="M2687" s="84">
        <v>42354</v>
      </c>
      <c r="N2687" s="85">
        <f t="shared" si="821"/>
        <v>1458</v>
      </c>
      <c r="O2687" s="86">
        <f t="shared" si="822"/>
        <v>14629.26</v>
      </c>
      <c r="P2687" s="86">
        <f t="shared" si="823"/>
        <v>0</v>
      </c>
      <c r="Q2687" s="86">
        <f t="shared" si="824"/>
        <v>0</v>
      </c>
      <c r="R2687" s="86">
        <f t="shared" si="825"/>
        <v>0</v>
      </c>
      <c r="S2687" s="86">
        <f t="shared" si="826"/>
        <v>0</v>
      </c>
      <c r="T2687" s="86">
        <f t="shared" si="827"/>
        <v>14629.26</v>
      </c>
      <c r="U2687" s="87">
        <v>14629.26</v>
      </c>
    </row>
    <row r="2688" spans="1:21" s="30" customFormat="1" ht="24.6" hidden="1" outlineLevel="1" x14ac:dyDescent="0.55000000000000004">
      <c r="A2688" s="27" t="s">
        <v>327</v>
      </c>
      <c r="B2688" s="28"/>
      <c r="C2688" s="27"/>
      <c r="D2688" s="27" t="str">
        <f>"""NAV Direct"",""CRONUS JetCorp USA"",""21"",""1"",""440290"""</f>
        <v>"NAV Direct","CRONUS JetCorp USA","21","1","440290"</v>
      </c>
      <c r="E2688" s="31" t="str">
        <f t="shared" si="819"/>
        <v>C100084</v>
      </c>
      <c r="F2688" s="31"/>
      <c r="G2688" s="31"/>
      <c r="H2688" s="31"/>
      <c r="I2688" s="56"/>
      <c r="J2688" s="56"/>
      <c r="K2688" s="82" t="str">
        <f t="shared" ref="K2688:K2697" si="828">"Credit Memo"</f>
        <v>Credit Memo</v>
      </c>
      <c r="L2688" s="83" t="str">
        <f>"SC_100912"</f>
        <v>SC_100912</v>
      </c>
      <c r="M2688" s="84">
        <v>42471</v>
      </c>
      <c r="N2688" s="85">
        <f t="shared" si="821"/>
        <v>1341</v>
      </c>
      <c r="O2688" s="86">
        <f t="shared" si="822"/>
        <v>-81.699999999999989</v>
      </c>
      <c r="P2688" s="86">
        <f t="shared" si="823"/>
        <v>0</v>
      </c>
      <c r="Q2688" s="86">
        <f t="shared" si="824"/>
        <v>0</v>
      </c>
      <c r="R2688" s="86">
        <f t="shared" si="825"/>
        <v>0</v>
      </c>
      <c r="S2688" s="86">
        <f t="shared" si="826"/>
        <v>0</v>
      </c>
      <c r="T2688" s="86">
        <f t="shared" si="827"/>
        <v>-81.699999999999989</v>
      </c>
      <c r="U2688" s="87">
        <v>-81.699999999999989</v>
      </c>
    </row>
    <row r="2689" spans="1:22" s="30" customFormat="1" ht="24.6" hidden="1" outlineLevel="1" x14ac:dyDescent="0.55000000000000004">
      <c r="A2689" s="27" t="s">
        <v>327</v>
      </c>
      <c r="B2689" s="28"/>
      <c r="C2689" s="27"/>
      <c r="D2689" s="27" t="str">
        <f>"""NAV Direct"",""CRONUS JetCorp USA"",""21"",""1"",""440395"""</f>
        <v>"NAV Direct","CRONUS JetCorp USA","21","1","440395"</v>
      </c>
      <c r="E2689" s="31">
        <f t="shared" si="819"/>
        <v>0</v>
      </c>
      <c r="F2689" s="31"/>
      <c r="G2689" s="31"/>
      <c r="H2689" s="31"/>
      <c r="I2689" s="56"/>
      <c r="J2689" s="56"/>
      <c r="K2689" s="82" t="str">
        <f t="shared" si="828"/>
        <v>Credit Memo</v>
      </c>
      <c r="L2689" s="83" t="str">
        <f>"SC_100917"</f>
        <v>SC_100917</v>
      </c>
      <c r="M2689" s="84">
        <v>42755</v>
      </c>
      <c r="N2689" s="85">
        <f t="shared" si="821"/>
        <v>1057</v>
      </c>
      <c r="O2689" s="86">
        <f t="shared" si="822"/>
        <v>-89.58</v>
      </c>
      <c r="P2689" s="86">
        <f t="shared" si="823"/>
        <v>0</v>
      </c>
      <c r="Q2689" s="86">
        <f t="shared" si="824"/>
        <v>0</v>
      </c>
      <c r="R2689" s="86">
        <f t="shared" si="825"/>
        <v>0</v>
      </c>
      <c r="S2689" s="86">
        <f t="shared" si="826"/>
        <v>0</v>
      </c>
      <c r="T2689" s="86">
        <f t="shared" si="827"/>
        <v>-89.58</v>
      </c>
      <c r="U2689" s="87">
        <v>-89.58</v>
      </c>
    </row>
    <row r="2690" spans="1:22" s="30" customFormat="1" ht="24.6" hidden="1" outlineLevel="1" x14ac:dyDescent="0.55000000000000004">
      <c r="A2690" s="27" t="s">
        <v>327</v>
      </c>
      <c r="B2690" s="28"/>
      <c r="C2690" s="27"/>
      <c r="D2690" s="27" t="str">
        <f>"""NAV Direct"",""CRONUS JetCorp USA"",""21"",""1"",""440495"""</f>
        <v>"NAV Direct","CRONUS JetCorp USA","21","1","440495"</v>
      </c>
      <c r="E2690" s="31" t="str">
        <f t="shared" si="819"/>
        <v>C100084</v>
      </c>
      <c r="F2690" s="31"/>
      <c r="G2690" s="31"/>
      <c r="H2690" s="31"/>
      <c r="I2690" s="56"/>
      <c r="J2690" s="56"/>
      <c r="K2690" s="82" t="str">
        <f t="shared" si="828"/>
        <v>Credit Memo</v>
      </c>
      <c r="L2690" s="83" t="str">
        <f>"SC_100921"</f>
        <v>SC_100921</v>
      </c>
      <c r="M2690" s="84">
        <v>42840</v>
      </c>
      <c r="N2690" s="85">
        <f t="shared" si="821"/>
        <v>972</v>
      </c>
      <c r="O2690" s="86">
        <f t="shared" si="822"/>
        <v>-98.53</v>
      </c>
      <c r="P2690" s="86">
        <f t="shared" si="823"/>
        <v>0</v>
      </c>
      <c r="Q2690" s="86">
        <f t="shared" si="824"/>
        <v>0</v>
      </c>
      <c r="R2690" s="86">
        <f t="shared" si="825"/>
        <v>0</v>
      </c>
      <c r="S2690" s="86">
        <f t="shared" si="826"/>
        <v>0</v>
      </c>
      <c r="T2690" s="86">
        <f t="shared" si="827"/>
        <v>-98.53</v>
      </c>
      <c r="U2690" s="87">
        <v>-98.53</v>
      </c>
    </row>
    <row r="2691" spans="1:22" s="30" customFormat="1" ht="24.6" hidden="1" outlineLevel="1" x14ac:dyDescent="0.55000000000000004">
      <c r="A2691" s="27" t="s">
        <v>327</v>
      </c>
      <c r="B2691" s="28"/>
      <c r="C2691" s="27"/>
      <c r="D2691" s="27" t="str">
        <f>"""NAV Direct"",""CRONUS JetCorp USA"",""21"",""1"",""440954"""</f>
        <v>"NAV Direct","CRONUS JetCorp USA","21","1","440954"</v>
      </c>
      <c r="E2691" s="31">
        <f t="shared" si="819"/>
        <v>0</v>
      </c>
      <c r="F2691" s="31"/>
      <c r="G2691" s="31"/>
      <c r="H2691" s="31"/>
      <c r="I2691" s="56"/>
      <c r="J2691" s="56"/>
      <c r="K2691" s="82" t="str">
        <f t="shared" si="828"/>
        <v>Credit Memo</v>
      </c>
      <c r="L2691" s="83" t="str">
        <f>"SC_100947"</f>
        <v>SC_100947</v>
      </c>
      <c r="M2691" s="84">
        <v>43572</v>
      </c>
      <c r="N2691" s="85">
        <f t="shared" si="821"/>
        <v>240</v>
      </c>
      <c r="O2691" s="86">
        <f t="shared" si="822"/>
        <v>-142.88999999999999</v>
      </c>
      <c r="P2691" s="86">
        <f t="shared" si="823"/>
        <v>0</v>
      </c>
      <c r="Q2691" s="86">
        <f t="shared" si="824"/>
        <v>0</v>
      </c>
      <c r="R2691" s="86">
        <f t="shared" si="825"/>
        <v>0</v>
      </c>
      <c r="S2691" s="86">
        <f t="shared" si="826"/>
        <v>0</v>
      </c>
      <c r="T2691" s="86">
        <f t="shared" si="827"/>
        <v>-142.88999999999999</v>
      </c>
      <c r="U2691" s="87">
        <v>-142.88999999999999</v>
      </c>
    </row>
    <row r="2692" spans="1:22" s="30" customFormat="1" ht="24.6" hidden="1" outlineLevel="1" x14ac:dyDescent="0.55000000000000004">
      <c r="A2692" s="27" t="s">
        <v>327</v>
      </c>
      <c r="B2692" s="28"/>
      <c r="C2692" s="27"/>
      <c r="D2692" s="27" t="str">
        <f>"""NAV Direct"",""CRONUS JetCorp USA"",""21"",""1"",""440989"""</f>
        <v>"NAV Direct","CRONUS JetCorp USA","21","1","440989"</v>
      </c>
      <c r="E2692" s="31" t="str">
        <f t="shared" si="819"/>
        <v>C100084</v>
      </c>
      <c r="F2692" s="31"/>
      <c r="G2692" s="31"/>
      <c r="H2692" s="31"/>
      <c r="I2692" s="56"/>
      <c r="J2692" s="56"/>
      <c r="K2692" s="82" t="str">
        <f t="shared" si="828"/>
        <v>Credit Memo</v>
      </c>
      <c r="L2692" s="83" t="str">
        <f>"SC_100949"</f>
        <v>SC_100949</v>
      </c>
      <c r="M2692" s="84">
        <v>43602</v>
      </c>
      <c r="N2692" s="85">
        <f t="shared" si="821"/>
        <v>210</v>
      </c>
      <c r="O2692" s="86">
        <f t="shared" si="822"/>
        <v>-86.38000000000001</v>
      </c>
      <c r="P2692" s="86">
        <f t="shared" si="823"/>
        <v>0</v>
      </c>
      <c r="Q2692" s="86">
        <f t="shared" si="824"/>
        <v>0</v>
      </c>
      <c r="R2692" s="86">
        <f t="shared" si="825"/>
        <v>0</v>
      </c>
      <c r="S2692" s="86">
        <f t="shared" si="826"/>
        <v>0</v>
      </c>
      <c r="T2692" s="86">
        <f t="shared" si="827"/>
        <v>-86.38000000000001</v>
      </c>
      <c r="U2692" s="87">
        <v>-86.38000000000001</v>
      </c>
    </row>
    <row r="2693" spans="1:22" s="30" customFormat="1" ht="24.6" hidden="1" outlineLevel="1" x14ac:dyDescent="0.55000000000000004">
      <c r="A2693" s="27" t="s">
        <v>327</v>
      </c>
      <c r="B2693" s="28"/>
      <c r="C2693" s="27"/>
      <c r="D2693" s="27" t="str">
        <f>"""NAV Direct"",""CRONUS JetCorp USA"",""21"",""1"",""441122"""</f>
        <v>"NAV Direct","CRONUS JetCorp USA","21","1","441122"</v>
      </c>
      <c r="E2693" s="31">
        <f t="shared" si="819"/>
        <v>0</v>
      </c>
      <c r="F2693" s="31"/>
      <c r="G2693" s="31"/>
      <c r="H2693" s="31"/>
      <c r="I2693" s="56"/>
      <c r="J2693" s="56"/>
      <c r="K2693" s="82" t="str">
        <f t="shared" si="828"/>
        <v>Credit Memo</v>
      </c>
      <c r="L2693" s="83" t="str">
        <f>"SC_100955"</f>
        <v>SC_100955</v>
      </c>
      <c r="M2693" s="84">
        <v>43716</v>
      </c>
      <c r="N2693" s="85">
        <f t="shared" si="821"/>
        <v>96</v>
      </c>
      <c r="O2693" s="86">
        <f t="shared" si="822"/>
        <v>-107.26</v>
      </c>
      <c r="P2693" s="86">
        <f t="shared" si="823"/>
        <v>0</v>
      </c>
      <c r="Q2693" s="86">
        <f t="shared" si="824"/>
        <v>0</v>
      </c>
      <c r="R2693" s="86">
        <f t="shared" si="825"/>
        <v>0</v>
      </c>
      <c r="S2693" s="86">
        <f t="shared" si="826"/>
        <v>0</v>
      </c>
      <c r="T2693" s="86">
        <f t="shared" si="827"/>
        <v>-107.26</v>
      </c>
      <c r="U2693" s="87">
        <v>-107.26</v>
      </c>
    </row>
    <row r="2694" spans="1:22" s="30" customFormat="1" ht="24.6" hidden="1" outlineLevel="1" x14ac:dyDescent="0.55000000000000004">
      <c r="A2694" s="27" t="s">
        <v>327</v>
      </c>
      <c r="B2694" s="28"/>
      <c r="C2694" s="27"/>
      <c r="D2694" s="27" t="str">
        <f>"""NAV Direct"",""CRONUS JetCorp USA"",""21"",""1"",""441175"""</f>
        <v>"NAV Direct","CRONUS JetCorp USA","21","1","441175"</v>
      </c>
      <c r="E2694" s="31" t="str">
        <f t="shared" si="819"/>
        <v>C100084</v>
      </c>
      <c r="F2694" s="31"/>
      <c r="G2694" s="31"/>
      <c r="H2694" s="31"/>
      <c r="I2694" s="56"/>
      <c r="J2694" s="56"/>
      <c r="K2694" s="82" t="str">
        <f t="shared" si="828"/>
        <v>Credit Memo</v>
      </c>
      <c r="L2694" s="83" t="str">
        <f>"SC_100958"</f>
        <v>SC_100958</v>
      </c>
      <c r="M2694" s="84">
        <v>43773</v>
      </c>
      <c r="N2694" s="85">
        <f t="shared" si="821"/>
        <v>39</v>
      </c>
      <c r="O2694" s="86">
        <f t="shared" si="822"/>
        <v>-134.42999999999998</v>
      </c>
      <c r="P2694" s="86">
        <f t="shared" si="823"/>
        <v>0</v>
      </c>
      <c r="Q2694" s="86">
        <f t="shared" si="824"/>
        <v>0</v>
      </c>
      <c r="R2694" s="86">
        <f t="shared" si="825"/>
        <v>-134.42999999999998</v>
      </c>
      <c r="S2694" s="86">
        <f t="shared" si="826"/>
        <v>0</v>
      </c>
      <c r="T2694" s="86">
        <f t="shared" si="827"/>
        <v>0</v>
      </c>
      <c r="U2694" s="87">
        <v>-134.42999999999998</v>
      </c>
    </row>
    <row r="2695" spans="1:22" s="30" customFormat="1" ht="24.6" hidden="1" outlineLevel="1" x14ac:dyDescent="0.55000000000000004">
      <c r="A2695" s="27" t="s">
        <v>327</v>
      </c>
      <c r="B2695" s="28"/>
      <c r="C2695" s="27"/>
      <c r="D2695" s="27" t="str">
        <f>"""NAV Direct"",""CRONUS JetCorp USA"",""21"",""1"",""441298"""</f>
        <v>"NAV Direct","CRONUS JetCorp USA","21","1","441298"</v>
      </c>
      <c r="E2695" s="31">
        <f t="shared" si="819"/>
        <v>0</v>
      </c>
      <c r="F2695" s="31"/>
      <c r="G2695" s="31"/>
      <c r="H2695" s="31"/>
      <c r="I2695" s="56"/>
      <c r="J2695" s="56"/>
      <c r="K2695" s="82" t="str">
        <f t="shared" si="828"/>
        <v>Credit Memo</v>
      </c>
      <c r="L2695" s="83" t="str">
        <f>"SC_100963"</f>
        <v>SC_100963</v>
      </c>
      <c r="M2695" s="84">
        <v>43821</v>
      </c>
      <c r="N2695" s="85">
        <f t="shared" si="821"/>
        <v>-9</v>
      </c>
      <c r="O2695" s="86">
        <f t="shared" si="822"/>
        <v>-122.33999999999999</v>
      </c>
      <c r="P2695" s="86">
        <f t="shared" si="823"/>
        <v>-122.33999999999999</v>
      </c>
      <c r="Q2695" s="86">
        <f t="shared" si="824"/>
        <v>0</v>
      </c>
      <c r="R2695" s="86">
        <f t="shared" si="825"/>
        <v>0</v>
      </c>
      <c r="S2695" s="86">
        <f t="shared" si="826"/>
        <v>0</v>
      </c>
      <c r="T2695" s="86">
        <f t="shared" si="827"/>
        <v>0</v>
      </c>
      <c r="U2695" s="87">
        <v>-122.33999999999999</v>
      </c>
    </row>
    <row r="2696" spans="1:22" s="30" customFormat="1" ht="24.6" hidden="1" outlineLevel="1" x14ac:dyDescent="0.55000000000000004">
      <c r="A2696" s="27" t="s">
        <v>327</v>
      </c>
      <c r="B2696" s="28"/>
      <c r="C2696" s="27"/>
      <c r="D2696" s="27" t="str">
        <f>"""NAV Direct"",""CRONUS JetCorp USA"",""21"",""1"",""441399"""</f>
        <v>"NAV Direct","CRONUS JetCorp USA","21","1","441399"</v>
      </c>
      <c r="E2696" s="31" t="str">
        <f t="shared" si="819"/>
        <v>C100084</v>
      </c>
      <c r="F2696" s="31"/>
      <c r="G2696" s="31"/>
      <c r="H2696" s="31"/>
      <c r="I2696" s="56"/>
      <c r="J2696" s="56"/>
      <c r="K2696" s="82" t="str">
        <f t="shared" si="828"/>
        <v>Credit Memo</v>
      </c>
      <c r="L2696" s="83" t="str">
        <f>"SC_100968"</f>
        <v>SC_100968</v>
      </c>
      <c r="M2696" s="84">
        <v>42172</v>
      </c>
      <c r="N2696" s="85">
        <f t="shared" si="821"/>
        <v>1640</v>
      </c>
      <c r="O2696" s="86">
        <f t="shared" si="822"/>
        <v>-87.5</v>
      </c>
      <c r="P2696" s="86">
        <f t="shared" si="823"/>
        <v>0</v>
      </c>
      <c r="Q2696" s="86">
        <f t="shared" si="824"/>
        <v>0</v>
      </c>
      <c r="R2696" s="86">
        <f t="shared" si="825"/>
        <v>0</v>
      </c>
      <c r="S2696" s="86">
        <f t="shared" si="826"/>
        <v>0</v>
      </c>
      <c r="T2696" s="86">
        <f t="shared" si="827"/>
        <v>-87.5</v>
      </c>
      <c r="U2696" s="87">
        <v>-87.5</v>
      </c>
    </row>
    <row r="2697" spans="1:22" s="30" customFormat="1" ht="24.6" hidden="1" outlineLevel="1" x14ac:dyDescent="0.55000000000000004">
      <c r="A2697" s="27" t="s">
        <v>327</v>
      </c>
      <c r="B2697" s="28"/>
      <c r="C2697" s="27"/>
      <c r="D2697" s="27" t="str">
        <f>"""NAV Direct"",""CRONUS JetCorp USA"",""21"",""1"",""441545"""</f>
        <v>"NAV Direct","CRONUS JetCorp USA","21","1","441545"</v>
      </c>
      <c r="E2697" s="31">
        <f t="shared" si="819"/>
        <v>0</v>
      </c>
      <c r="F2697" s="31"/>
      <c r="G2697" s="31"/>
      <c r="H2697" s="31"/>
      <c r="I2697" s="56"/>
      <c r="J2697" s="56"/>
      <c r="K2697" s="82" t="str">
        <f t="shared" si="828"/>
        <v>Credit Memo</v>
      </c>
      <c r="L2697" s="83" t="str">
        <f>"SC_100974"</f>
        <v>SC_100974</v>
      </c>
      <c r="M2697" s="84">
        <v>42291</v>
      </c>
      <c r="N2697" s="85">
        <f t="shared" si="821"/>
        <v>1521</v>
      </c>
      <c r="O2697" s="86">
        <f t="shared" si="822"/>
        <v>-121.77</v>
      </c>
      <c r="P2697" s="86">
        <f t="shared" si="823"/>
        <v>0</v>
      </c>
      <c r="Q2697" s="86">
        <f t="shared" si="824"/>
        <v>0</v>
      </c>
      <c r="R2697" s="86">
        <f t="shared" si="825"/>
        <v>0</v>
      </c>
      <c r="S2697" s="86">
        <f t="shared" si="826"/>
        <v>0</v>
      </c>
      <c r="T2697" s="86">
        <f t="shared" si="827"/>
        <v>-121.77</v>
      </c>
      <c r="U2697" s="87">
        <v>-121.77</v>
      </c>
    </row>
    <row r="2698" spans="1:22" s="22" customFormat="1" ht="20.399999999999999" collapsed="1" x14ac:dyDescent="0.45">
      <c r="A2698" s="12" t="s">
        <v>327</v>
      </c>
      <c r="B2698" s="19"/>
      <c r="C2698" s="12"/>
      <c r="D2698" s="12"/>
      <c r="E2698" s="23"/>
      <c r="F2698" s="23"/>
      <c r="G2698" s="23"/>
      <c r="H2698" s="23"/>
      <c r="I2698" s="49"/>
      <c r="J2698" s="88"/>
      <c r="K2698" s="88"/>
      <c r="L2698" s="89"/>
      <c r="M2698" s="89"/>
      <c r="N2698" s="89"/>
      <c r="O2698" s="89"/>
      <c r="P2698" s="89"/>
      <c r="Q2698" s="90"/>
      <c r="R2698" s="90"/>
      <c r="S2698" s="91"/>
      <c r="T2698" s="92"/>
      <c r="U2698" s="92"/>
    </row>
    <row r="2699" spans="1:22" s="22" customFormat="1" ht="20.399999999999999" x14ac:dyDescent="0.45">
      <c r="A2699" s="12" t="s">
        <v>327</v>
      </c>
      <c r="B2699" s="19"/>
      <c r="C2699" s="12"/>
      <c r="D2699" s="12"/>
      <c r="E2699" s="23"/>
      <c r="F2699" s="23"/>
      <c r="G2699" s="23"/>
      <c r="H2699" s="23"/>
      <c r="I2699" s="49"/>
      <c r="J2699" s="88"/>
      <c r="K2699" s="88"/>
      <c r="L2699" s="89"/>
      <c r="M2699" s="89"/>
      <c r="N2699" s="89"/>
      <c r="O2699" s="89"/>
      <c r="P2699" s="89"/>
      <c r="Q2699" s="90"/>
      <c r="R2699" s="90"/>
      <c r="S2699" s="91"/>
      <c r="T2699" s="92"/>
      <c r="U2699" s="92"/>
    </row>
    <row r="2700" spans="1:22" s="26" customFormat="1" ht="24.6" x14ac:dyDescent="0.55000000000000004">
      <c r="A2700" s="27" t="s">
        <v>327</v>
      </c>
      <c r="B2700" s="28"/>
      <c r="C2700" s="27" t="str">
        <f>"""NAV Direct"",""CRONUS JetCorp USA"",""18"",""1"",""C100085"""</f>
        <v>"NAV Direct","CRONUS JetCorp USA","18","1","C100085"</v>
      </c>
      <c r="D2700" s="27"/>
      <c r="E2700" s="28" t="str">
        <f>H2700</f>
        <v>C100085</v>
      </c>
      <c r="F2700" s="28"/>
      <c r="G2700" s="28"/>
      <c r="H2700" s="28" t="str">
        <f>"C100085"</f>
        <v>C100085</v>
      </c>
      <c r="I2700" s="116" t="str">
        <f>"C100085  -  The Device Shop"</f>
        <v>C100085  -  The Device Shop</v>
      </c>
      <c r="J2700" s="117" t="str">
        <f>""</f>
        <v/>
      </c>
      <c r="K2700" s="118"/>
      <c r="L2700" s="119">
        <f>SUBTOTAL(3,L2701:L2721)</f>
        <v>17</v>
      </c>
      <c r="M2700" s="118"/>
      <c r="N2700" s="118"/>
      <c r="O2700" s="120">
        <f t="shared" ref="O2700:T2700" si="829">SUBTOTAL(9,O2701:O2721)</f>
        <v>68704.86</v>
      </c>
      <c r="P2700" s="120">
        <f t="shared" si="829"/>
        <v>0</v>
      </c>
      <c r="Q2700" s="120">
        <f t="shared" si="829"/>
        <v>0</v>
      </c>
      <c r="R2700" s="120">
        <f t="shared" si="829"/>
        <v>-75.059999999999988</v>
      </c>
      <c r="S2700" s="120">
        <f t="shared" si="829"/>
        <v>0</v>
      </c>
      <c r="T2700" s="120">
        <f t="shared" si="829"/>
        <v>68779.92</v>
      </c>
      <c r="U2700" s="81"/>
    </row>
    <row r="2701" spans="1:22" s="26" customFormat="1" ht="24.6" x14ac:dyDescent="0.55000000000000004">
      <c r="A2701" s="27" t="s">
        <v>327</v>
      </c>
      <c r="B2701" s="28"/>
      <c r="C2701" s="27" t="str">
        <f>C2700</f>
        <v>"NAV Direct","CRONUS JetCorp USA","18","1","C100085"</v>
      </c>
      <c r="D2701" s="27"/>
      <c r="E2701" s="28" t="str">
        <f>E2700</f>
        <v>C100085</v>
      </c>
      <c r="F2701" s="28"/>
      <c r="G2701" s="28"/>
      <c r="H2701" s="28"/>
      <c r="I2701" s="121" t="str">
        <f>"Contact: Keith Dean"</f>
        <v>Contact: Keith Dean</v>
      </c>
      <c r="J2701" s="121"/>
      <c r="K2701" s="122"/>
      <c r="L2701" s="123"/>
      <c r="M2701" s="123"/>
      <c r="N2701" s="124"/>
      <c r="O2701" s="124"/>
      <c r="P2701" s="123"/>
      <c r="Q2701" s="125"/>
      <c r="R2701" s="126"/>
      <c r="S2701" s="126"/>
      <c r="T2701" s="125"/>
      <c r="U2701" s="81"/>
    </row>
    <row r="2702" spans="1:22" s="26" customFormat="1" ht="24.6" x14ac:dyDescent="0.55000000000000004">
      <c r="A2702" s="27" t="s">
        <v>327</v>
      </c>
      <c r="B2702" s="28"/>
      <c r="C2702" s="27" t="str">
        <f>C2701</f>
        <v>"NAV Direct","CRONUS JetCorp USA","18","1","C100085"</v>
      </c>
      <c r="D2702" s="27"/>
      <c r="E2702" s="28" t="str">
        <f>E2701</f>
        <v>C100085</v>
      </c>
      <c r="F2702" s="28"/>
      <c r="G2702" s="28"/>
      <c r="H2702" s="28"/>
      <c r="I2702" s="121" t="str">
        <f>"Sj¢boden@cronuscorp.net"</f>
        <v>Sj¢boden@cronuscorp.net</v>
      </c>
      <c r="J2702" s="121"/>
      <c r="K2702" s="122"/>
      <c r="L2702" s="124"/>
      <c r="M2702" s="124"/>
      <c r="N2702" s="124"/>
      <c r="O2702" s="124"/>
      <c r="P2702" s="123"/>
      <c r="Q2702" s="125"/>
      <c r="R2702" s="126"/>
      <c r="S2702" s="126"/>
      <c r="T2702" s="125"/>
      <c r="U2702" s="81"/>
    </row>
    <row r="2703" spans="1:22" ht="12.75" hidden="1" customHeight="1" outlineLevel="1" x14ac:dyDescent="0.45">
      <c r="A2703" s="12" t="s">
        <v>328</v>
      </c>
      <c r="B2703" s="19"/>
      <c r="E2703" s="19"/>
      <c r="F2703" s="19"/>
      <c r="G2703" s="19"/>
      <c r="H2703" s="19"/>
      <c r="I2703" s="61"/>
      <c r="J2703" s="61"/>
      <c r="K2703" s="61"/>
      <c r="L2703" s="61"/>
      <c r="M2703" s="61"/>
      <c r="N2703" s="61"/>
      <c r="O2703" s="61"/>
      <c r="P2703" s="61"/>
      <c r="Q2703" s="61"/>
      <c r="R2703" s="61"/>
      <c r="S2703" s="61"/>
      <c r="T2703" s="61"/>
      <c r="U2703" s="61"/>
      <c r="V2703" s="21"/>
    </row>
    <row r="2704" spans="1:22" s="30" customFormat="1" ht="24.6" hidden="1" outlineLevel="1" x14ac:dyDescent="0.55000000000000004">
      <c r="A2704" s="27" t="s">
        <v>327</v>
      </c>
      <c r="B2704" s="28"/>
      <c r="C2704" s="27"/>
      <c r="D2704" s="27" t="str">
        <f>"""NAV Direct"",""CRONUS JetCorp USA"",""21"",""1"",""190752"""</f>
        <v>"NAV Direct","CRONUS JetCorp USA","21","1","190752"</v>
      </c>
      <c r="E2704" s="31" t="str">
        <f t="shared" ref="E2704:E2720" si="830">E2702</f>
        <v>C100085</v>
      </c>
      <c r="F2704" s="31"/>
      <c r="G2704" s="31"/>
      <c r="H2704" s="31"/>
      <c r="I2704" s="56"/>
      <c r="J2704" s="56"/>
      <c r="K2704" s="82" t="str">
        <f t="shared" ref="K2704:K2712" si="831">"Invoice"</f>
        <v>Invoice</v>
      </c>
      <c r="L2704" s="83" t="str">
        <f>"SI_108025"</f>
        <v>SI_108025</v>
      </c>
      <c r="M2704" s="84">
        <v>42038</v>
      </c>
      <c r="N2704" s="85">
        <f t="shared" ref="N2704:N2720" si="832">StartDate-$M2704+1</f>
        <v>1774</v>
      </c>
      <c r="O2704" s="86">
        <f t="shared" ref="O2704:O2720" si="833">SUM(P2704:T2704)</f>
        <v>7480.4900000000007</v>
      </c>
      <c r="P2704" s="86">
        <f t="shared" ref="P2704:P2720" si="834">IF($M2704&gt;=$P$18,U2704,0)</f>
        <v>0</v>
      </c>
      <c r="Q2704" s="86">
        <f t="shared" ref="Q2704:Q2720" si="835">IF(AND($M2704&gt;=$Q$16,$M2704&lt;=$Q$18),U2704,0)</f>
        <v>0</v>
      </c>
      <c r="R2704" s="86">
        <f t="shared" ref="R2704:R2720" si="836">IF(AND($M2704&gt;=$R$16,$M2704&lt;=$R$18),U2704,0)</f>
        <v>0</v>
      </c>
      <c r="S2704" s="86">
        <f t="shared" ref="S2704:S2720" si="837">IF(AND($M2704&gt;=$S$16,$M2704&lt;=$S$18),U2704,0)</f>
        <v>0</v>
      </c>
      <c r="T2704" s="86">
        <f t="shared" ref="T2704:T2720" si="838">IF($M2704&lt;=$T$18,U2704,0)</f>
        <v>7480.4900000000007</v>
      </c>
      <c r="U2704" s="87">
        <v>7480.4900000000007</v>
      </c>
    </row>
    <row r="2705" spans="1:21" s="30" customFormat="1" ht="24.6" hidden="1" outlineLevel="1" x14ac:dyDescent="0.55000000000000004">
      <c r="A2705" s="27" t="s">
        <v>327</v>
      </c>
      <c r="B2705" s="28"/>
      <c r="C2705" s="27"/>
      <c r="D2705" s="27" t="str">
        <f>"""NAV Direct"",""CRONUS JetCorp USA"",""21"",""1"",""190968"""</f>
        <v>"NAV Direct","CRONUS JetCorp USA","21","1","190968"</v>
      </c>
      <c r="E2705" s="31">
        <f t="shared" si="830"/>
        <v>0</v>
      </c>
      <c r="F2705" s="31"/>
      <c r="G2705" s="31"/>
      <c r="H2705" s="31"/>
      <c r="I2705" s="56"/>
      <c r="J2705" s="56"/>
      <c r="K2705" s="82" t="str">
        <f t="shared" si="831"/>
        <v>Invoice</v>
      </c>
      <c r="L2705" s="83" t="str">
        <f>"SI_108029"</f>
        <v>SI_108029</v>
      </c>
      <c r="M2705" s="84">
        <v>42061</v>
      </c>
      <c r="N2705" s="85">
        <f t="shared" si="832"/>
        <v>1751</v>
      </c>
      <c r="O2705" s="86">
        <f t="shared" si="833"/>
        <v>7495.5199999999995</v>
      </c>
      <c r="P2705" s="86">
        <f t="shared" si="834"/>
        <v>0</v>
      </c>
      <c r="Q2705" s="86">
        <f t="shared" si="835"/>
        <v>0</v>
      </c>
      <c r="R2705" s="86">
        <f t="shared" si="836"/>
        <v>0</v>
      </c>
      <c r="S2705" s="86">
        <f t="shared" si="837"/>
        <v>0</v>
      </c>
      <c r="T2705" s="86">
        <f t="shared" si="838"/>
        <v>7495.5199999999995</v>
      </c>
      <c r="U2705" s="87">
        <v>7495.5199999999995</v>
      </c>
    </row>
    <row r="2706" spans="1:21" s="30" customFormat="1" ht="24.6" hidden="1" outlineLevel="1" x14ac:dyDescent="0.55000000000000004">
      <c r="A2706" s="27" t="s">
        <v>327</v>
      </c>
      <c r="B2706" s="28"/>
      <c r="C2706" s="27"/>
      <c r="D2706" s="27" t="str">
        <f>"""NAV Direct"",""CRONUS JetCorp USA"",""21"",""1"",""191072"""</f>
        <v>"NAV Direct","CRONUS JetCorp USA","21","1","191072"</v>
      </c>
      <c r="E2706" s="31" t="str">
        <f t="shared" si="830"/>
        <v>C100085</v>
      </c>
      <c r="F2706" s="31"/>
      <c r="G2706" s="31"/>
      <c r="H2706" s="31"/>
      <c r="I2706" s="56"/>
      <c r="J2706" s="56"/>
      <c r="K2706" s="82" t="str">
        <f t="shared" si="831"/>
        <v>Invoice</v>
      </c>
      <c r="L2706" s="83" t="str">
        <f>"SI_108031"</f>
        <v>SI_108031</v>
      </c>
      <c r="M2706" s="84">
        <v>42082</v>
      </c>
      <c r="N2706" s="85">
        <f t="shared" si="832"/>
        <v>1730</v>
      </c>
      <c r="O2706" s="86">
        <f t="shared" si="833"/>
        <v>7517.89</v>
      </c>
      <c r="P2706" s="86">
        <f t="shared" si="834"/>
        <v>0</v>
      </c>
      <c r="Q2706" s="86">
        <f t="shared" si="835"/>
        <v>0</v>
      </c>
      <c r="R2706" s="86">
        <f t="shared" si="836"/>
        <v>0</v>
      </c>
      <c r="S2706" s="86">
        <f t="shared" si="837"/>
        <v>0</v>
      </c>
      <c r="T2706" s="86">
        <f t="shared" si="838"/>
        <v>7517.89</v>
      </c>
      <c r="U2706" s="87">
        <v>7517.89</v>
      </c>
    </row>
    <row r="2707" spans="1:21" s="30" customFormat="1" ht="24.6" hidden="1" outlineLevel="1" x14ac:dyDescent="0.55000000000000004">
      <c r="A2707" s="27" t="s">
        <v>327</v>
      </c>
      <c r="B2707" s="28"/>
      <c r="C2707" s="27"/>
      <c r="D2707" s="27" t="str">
        <f>"""NAV Direct"",""CRONUS JetCorp USA"",""21"",""1"",""191239"""</f>
        <v>"NAV Direct","CRONUS JetCorp USA","21","1","191239"</v>
      </c>
      <c r="E2707" s="31">
        <f t="shared" si="830"/>
        <v>0</v>
      </c>
      <c r="F2707" s="31"/>
      <c r="G2707" s="31"/>
      <c r="H2707" s="31"/>
      <c r="I2707" s="56"/>
      <c r="J2707" s="56"/>
      <c r="K2707" s="82" t="str">
        <f t="shared" si="831"/>
        <v>Invoice</v>
      </c>
      <c r="L2707" s="83" t="str">
        <f>"SI_108034"</f>
        <v>SI_108034</v>
      </c>
      <c r="M2707" s="84">
        <v>42092</v>
      </c>
      <c r="N2707" s="85">
        <f t="shared" si="832"/>
        <v>1720</v>
      </c>
      <c r="O2707" s="86">
        <f t="shared" si="833"/>
        <v>7674.52</v>
      </c>
      <c r="P2707" s="86">
        <f t="shared" si="834"/>
        <v>0</v>
      </c>
      <c r="Q2707" s="86">
        <f t="shared" si="835"/>
        <v>0</v>
      </c>
      <c r="R2707" s="86">
        <f t="shared" si="836"/>
        <v>0</v>
      </c>
      <c r="S2707" s="86">
        <f t="shared" si="837"/>
        <v>0</v>
      </c>
      <c r="T2707" s="86">
        <f t="shared" si="838"/>
        <v>7674.52</v>
      </c>
      <c r="U2707" s="87">
        <v>7674.52</v>
      </c>
    </row>
    <row r="2708" spans="1:21" s="30" customFormat="1" ht="24.6" hidden="1" outlineLevel="1" x14ac:dyDescent="0.55000000000000004">
      <c r="A2708" s="27" t="s">
        <v>327</v>
      </c>
      <c r="B2708" s="28"/>
      <c r="C2708" s="27"/>
      <c r="D2708" s="27" t="str">
        <f>"""NAV Direct"",""CRONUS JetCorp USA"",""21"",""1"",""191420"""</f>
        <v>"NAV Direct","CRONUS JetCorp USA","21","1","191420"</v>
      </c>
      <c r="E2708" s="31" t="str">
        <f t="shared" si="830"/>
        <v>C100085</v>
      </c>
      <c r="F2708" s="31"/>
      <c r="G2708" s="31"/>
      <c r="H2708" s="31"/>
      <c r="I2708" s="56"/>
      <c r="J2708" s="56"/>
      <c r="K2708" s="82" t="str">
        <f t="shared" si="831"/>
        <v>Invoice</v>
      </c>
      <c r="L2708" s="83" t="str">
        <f>"SI_108037"</f>
        <v>SI_108037</v>
      </c>
      <c r="M2708" s="84">
        <v>42122</v>
      </c>
      <c r="N2708" s="85">
        <f t="shared" si="832"/>
        <v>1690</v>
      </c>
      <c r="O2708" s="86">
        <f t="shared" si="833"/>
        <v>7824.0700000000006</v>
      </c>
      <c r="P2708" s="86">
        <f t="shared" si="834"/>
        <v>0</v>
      </c>
      <c r="Q2708" s="86">
        <f t="shared" si="835"/>
        <v>0</v>
      </c>
      <c r="R2708" s="86">
        <f t="shared" si="836"/>
        <v>0</v>
      </c>
      <c r="S2708" s="86">
        <f t="shared" si="837"/>
        <v>0</v>
      </c>
      <c r="T2708" s="86">
        <f t="shared" si="838"/>
        <v>7824.0700000000006</v>
      </c>
      <c r="U2708" s="87">
        <v>7824.0700000000006</v>
      </c>
    </row>
    <row r="2709" spans="1:21" s="30" customFormat="1" ht="24.6" hidden="1" outlineLevel="1" x14ac:dyDescent="0.55000000000000004">
      <c r="A2709" s="27" t="s">
        <v>327</v>
      </c>
      <c r="B2709" s="28"/>
      <c r="C2709" s="27"/>
      <c r="D2709" s="27" t="str">
        <f>"""NAV Direct"",""CRONUS JetCorp USA"",""21"",""1"",""191831"""</f>
        <v>"NAV Direct","CRONUS JetCorp USA","21","1","191831"</v>
      </c>
      <c r="E2709" s="31">
        <f t="shared" si="830"/>
        <v>0</v>
      </c>
      <c r="F2709" s="31"/>
      <c r="G2709" s="31"/>
      <c r="H2709" s="31"/>
      <c r="I2709" s="56"/>
      <c r="J2709" s="56"/>
      <c r="K2709" s="82" t="str">
        <f t="shared" si="831"/>
        <v>Invoice</v>
      </c>
      <c r="L2709" s="83" t="str">
        <f>"SI_108044"</f>
        <v>SI_108044</v>
      </c>
      <c r="M2709" s="84">
        <v>42177</v>
      </c>
      <c r="N2709" s="85">
        <f t="shared" si="832"/>
        <v>1635</v>
      </c>
      <c r="O2709" s="86">
        <f t="shared" si="833"/>
        <v>7978.92</v>
      </c>
      <c r="P2709" s="86">
        <f t="shared" si="834"/>
        <v>0</v>
      </c>
      <c r="Q2709" s="86">
        <f t="shared" si="835"/>
        <v>0</v>
      </c>
      <c r="R2709" s="86">
        <f t="shared" si="836"/>
        <v>0</v>
      </c>
      <c r="S2709" s="86">
        <f t="shared" si="837"/>
        <v>0</v>
      </c>
      <c r="T2709" s="86">
        <f t="shared" si="838"/>
        <v>7978.92</v>
      </c>
      <c r="U2709" s="87">
        <v>7978.92</v>
      </c>
    </row>
    <row r="2710" spans="1:21" s="30" customFormat="1" ht="24.6" hidden="1" outlineLevel="1" x14ac:dyDescent="0.55000000000000004">
      <c r="A2710" s="27" t="s">
        <v>327</v>
      </c>
      <c r="B2710" s="28"/>
      <c r="C2710" s="27"/>
      <c r="D2710" s="27" t="str">
        <f>"""NAV Direct"",""CRONUS JetCorp USA"",""21"",""1"",""192146"""</f>
        <v>"NAV Direct","CRONUS JetCorp USA","21","1","192146"</v>
      </c>
      <c r="E2710" s="31" t="str">
        <f t="shared" si="830"/>
        <v>C100085</v>
      </c>
      <c r="F2710" s="31"/>
      <c r="G2710" s="31"/>
      <c r="H2710" s="31"/>
      <c r="I2710" s="56"/>
      <c r="J2710" s="56"/>
      <c r="K2710" s="82" t="str">
        <f t="shared" si="831"/>
        <v>Invoice</v>
      </c>
      <c r="L2710" s="83" t="str">
        <f>"SI_108049"</f>
        <v>SI_108049</v>
      </c>
      <c r="M2710" s="84">
        <v>42212</v>
      </c>
      <c r="N2710" s="85">
        <f t="shared" si="832"/>
        <v>1600</v>
      </c>
      <c r="O2710" s="86">
        <f t="shared" si="833"/>
        <v>7819.5700000000006</v>
      </c>
      <c r="P2710" s="86">
        <f t="shared" si="834"/>
        <v>0</v>
      </c>
      <c r="Q2710" s="86">
        <f t="shared" si="835"/>
        <v>0</v>
      </c>
      <c r="R2710" s="86">
        <f t="shared" si="836"/>
        <v>0</v>
      </c>
      <c r="S2710" s="86">
        <f t="shared" si="837"/>
        <v>0</v>
      </c>
      <c r="T2710" s="86">
        <f t="shared" si="838"/>
        <v>7819.5700000000006</v>
      </c>
      <c r="U2710" s="87">
        <v>7819.5700000000006</v>
      </c>
    </row>
    <row r="2711" spans="1:21" s="30" customFormat="1" ht="24.6" hidden="1" outlineLevel="1" x14ac:dyDescent="0.55000000000000004">
      <c r="A2711" s="27" t="s">
        <v>327</v>
      </c>
      <c r="B2711" s="28"/>
      <c r="C2711" s="27"/>
      <c r="D2711" s="27" t="str">
        <f>"""NAV Direct"",""CRONUS JetCorp USA"",""21"",""1"",""192809"""</f>
        <v>"NAV Direct","CRONUS JetCorp USA","21","1","192809"</v>
      </c>
      <c r="E2711" s="31">
        <f t="shared" si="830"/>
        <v>0</v>
      </c>
      <c r="F2711" s="31"/>
      <c r="G2711" s="31"/>
      <c r="H2711" s="31"/>
      <c r="I2711" s="56"/>
      <c r="J2711" s="56"/>
      <c r="K2711" s="82" t="str">
        <f t="shared" si="831"/>
        <v>Invoice</v>
      </c>
      <c r="L2711" s="83" t="str">
        <f>"SI_108060"</f>
        <v>SI_108060</v>
      </c>
      <c r="M2711" s="84">
        <v>42294</v>
      </c>
      <c r="N2711" s="85">
        <f t="shared" si="832"/>
        <v>1518</v>
      </c>
      <c r="O2711" s="86">
        <f t="shared" si="833"/>
        <v>7749.0099999999993</v>
      </c>
      <c r="P2711" s="86">
        <f t="shared" si="834"/>
        <v>0</v>
      </c>
      <c r="Q2711" s="86">
        <f t="shared" si="835"/>
        <v>0</v>
      </c>
      <c r="R2711" s="86">
        <f t="shared" si="836"/>
        <v>0</v>
      </c>
      <c r="S2711" s="86">
        <f t="shared" si="837"/>
        <v>0</v>
      </c>
      <c r="T2711" s="86">
        <f t="shared" si="838"/>
        <v>7749.0099999999993</v>
      </c>
      <c r="U2711" s="87">
        <v>7749.0099999999993</v>
      </c>
    </row>
    <row r="2712" spans="1:21" s="30" customFormat="1" ht="24.6" hidden="1" outlineLevel="1" x14ac:dyDescent="0.55000000000000004">
      <c r="A2712" s="27" t="s">
        <v>327</v>
      </c>
      <c r="B2712" s="28"/>
      <c r="C2712" s="27"/>
      <c r="D2712" s="27" t="str">
        <f>"""NAV Direct"",""CRONUS JetCorp USA"",""21"",""1"",""193116"""</f>
        <v>"NAV Direct","CRONUS JetCorp USA","21","1","193116"</v>
      </c>
      <c r="E2712" s="31" t="str">
        <f t="shared" si="830"/>
        <v>C100085</v>
      </c>
      <c r="F2712" s="31"/>
      <c r="G2712" s="31"/>
      <c r="H2712" s="31"/>
      <c r="I2712" s="56"/>
      <c r="J2712" s="56"/>
      <c r="K2712" s="82" t="str">
        <f t="shared" si="831"/>
        <v>Invoice</v>
      </c>
      <c r="L2712" s="83" t="str">
        <f>"SI_108065"</f>
        <v>SI_108065</v>
      </c>
      <c r="M2712" s="84">
        <v>42332</v>
      </c>
      <c r="N2712" s="85">
        <f t="shared" si="832"/>
        <v>1480</v>
      </c>
      <c r="O2712" s="86">
        <f t="shared" si="833"/>
        <v>7772.23</v>
      </c>
      <c r="P2712" s="86">
        <f t="shared" si="834"/>
        <v>0</v>
      </c>
      <c r="Q2712" s="86">
        <f t="shared" si="835"/>
        <v>0</v>
      </c>
      <c r="R2712" s="86">
        <f t="shared" si="836"/>
        <v>0</v>
      </c>
      <c r="S2712" s="86">
        <f t="shared" si="837"/>
        <v>0</v>
      </c>
      <c r="T2712" s="86">
        <f t="shared" si="838"/>
        <v>7772.23</v>
      </c>
      <c r="U2712" s="87">
        <v>7772.23</v>
      </c>
    </row>
    <row r="2713" spans="1:21" s="30" customFormat="1" ht="24.6" hidden="1" outlineLevel="1" x14ac:dyDescent="0.55000000000000004">
      <c r="A2713" s="27" t="s">
        <v>327</v>
      </c>
      <c r="B2713" s="28"/>
      <c r="C2713" s="27"/>
      <c r="D2713" s="27" t="str">
        <f>"""NAV Direct"",""CRONUS JetCorp USA"",""21"",""1"",""443584"""</f>
        <v>"NAV Direct","CRONUS JetCorp USA","21","1","443584"</v>
      </c>
      <c r="E2713" s="31">
        <f t="shared" si="830"/>
        <v>0</v>
      </c>
      <c r="F2713" s="31"/>
      <c r="G2713" s="31"/>
      <c r="H2713" s="31"/>
      <c r="I2713" s="56"/>
      <c r="J2713" s="56"/>
      <c r="K2713" s="82" t="str">
        <f t="shared" ref="K2713:K2720" si="839">"Credit Memo"</f>
        <v>Credit Memo</v>
      </c>
      <c r="L2713" s="83" t="str">
        <f>"SC_101080"</f>
        <v>SC_101080</v>
      </c>
      <c r="M2713" s="84">
        <v>42389</v>
      </c>
      <c r="N2713" s="85">
        <f t="shared" si="832"/>
        <v>1423</v>
      </c>
      <c r="O2713" s="86">
        <f t="shared" si="833"/>
        <v>-75.990000000000009</v>
      </c>
      <c r="P2713" s="86">
        <f t="shared" si="834"/>
        <v>0</v>
      </c>
      <c r="Q2713" s="86">
        <f t="shared" si="835"/>
        <v>0</v>
      </c>
      <c r="R2713" s="86">
        <f t="shared" si="836"/>
        <v>0</v>
      </c>
      <c r="S2713" s="86">
        <f t="shared" si="837"/>
        <v>0</v>
      </c>
      <c r="T2713" s="86">
        <f t="shared" si="838"/>
        <v>-75.990000000000009</v>
      </c>
      <c r="U2713" s="87">
        <v>-75.990000000000009</v>
      </c>
    </row>
    <row r="2714" spans="1:21" s="30" customFormat="1" ht="24.6" hidden="1" outlineLevel="1" x14ac:dyDescent="0.55000000000000004">
      <c r="A2714" s="27" t="s">
        <v>327</v>
      </c>
      <c r="B2714" s="28"/>
      <c r="C2714" s="27"/>
      <c r="D2714" s="27" t="str">
        <f>"""NAV Direct"",""CRONUS JetCorp USA"",""21"",""1"",""443605"""</f>
        <v>"NAV Direct","CRONUS JetCorp USA","21","1","443605"</v>
      </c>
      <c r="E2714" s="31" t="str">
        <f t="shared" si="830"/>
        <v>C100085</v>
      </c>
      <c r="F2714" s="31"/>
      <c r="G2714" s="31"/>
      <c r="H2714" s="31"/>
      <c r="I2714" s="56"/>
      <c r="J2714" s="56"/>
      <c r="K2714" s="82" t="str">
        <f t="shared" si="839"/>
        <v>Credit Memo</v>
      </c>
      <c r="L2714" s="83" t="str">
        <f>"SC_101082"</f>
        <v>SC_101082</v>
      </c>
      <c r="M2714" s="84">
        <v>42426</v>
      </c>
      <c r="N2714" s="85">
        <f t="shared" si="832"/>
        <v>1386</v>
      </c>
      <c r="O2714" s="86">
        <f t="shared" si="833"/>
        <v>-76.38000000000001</v>
      </c>
      <c r="P2714" s="86">
        <f t="shared" si="834"/>
        <v>0</v>
      </c>
      <c r="Q2714" s="86">
        <f t="shared" si="835"/>
        <v>0</v>
      </c>
      <c r="R2714" s="86">
        <f t="shared" si="836"/>
        <v>0</v>
      </c>
      <c r="S2714" s="86">
        <f t="shared" si="837"/>
        <v>0</v>
      </c>
      <c r="T2714" s="86">
        <f t="shared" si="838"/>
        <v>-76.38000000000001</v>
      </c>
      <c r="U2714" s="87">
        <v>-76.38000000000001</v>
      </c>
    </row>
    <row r="2715" spans="1:21" s="30" customFormat="1" ht="24.6" hidden="1" outlineLevel="1" x14ac:dyDescent="0.55000000000000004">
      <c r="A2715" s="27" t="s">
        <v>327</v>
      </c>
      <c r="B2715" s="28"/>
      <c r="C2715" s="27"/>
      <c r="D2715" s="27" t="str">
        <f>"""NAV Direct"",""CRONUS JetCorp USA"",""21"",""1"",""443628"""</f>
        <v>"NAV Direct","CRONUS JetCorp USA","21","1","443628"</v>
      </c>
      <c r="E2715" s="31">
        <f t="shared" si="830"/>
        <v>0</v>
      </c>
      <c r="F2715" s="31"/>
      <c r="G2715" s="31"/>
      <c r="H2715" s="31"/>
      <c r="I2715" s="56"/>
      <c r="J2715" s="56"/>
      <c r="K2715" s="82" t="str">
        <f t="shared" si="839"/>
        <v>Credit Memo</v>
      </c>
      <c r="L2715" s="83" t="str">
        <f>"SC_101085"</f>
        <v>SC_101085</v>
      </c>
      <c r="M2715" s="84">
        <v>42499</v>
      </c>
      <c r="N2715" s="85">
        <f t="shared" si="832"/>
        <v>1313</v>
      </c>
      <c r="O2715" s="86">
        <f t="shared" si="833"/>
        <v>-76.25</v>
      </c>
      <c r="P2715" s="86">
        <f t="shared" si="834"/>
        <v>0</v>
      </c>
      <c r="Q2715" s="86">
        <f t="shared" si="835"/>
        <v>0</v>
      </c>
      <c r="R2715" s="86">
        <f t="shared" si="836"/>
        <v>0</v>
      </c>
      <c r="S2715" s="86">
        <f t="shared" si="837"/>
        <v>0</v>
      </c>
      <c r="T2715" s="86">
        <f t="shared" si="838"/>
        <v>-76.25</v>
      </c>
      <c r="U2715" s="87">
        <v>-76.25</v>
      </c>
    </row>
    <row r="2716" spans="1:21" s="30" customFormat="1" ht="24.6" hidden="1" outlineLevel="1" x14ac:dyDescent="0.55000000000000004">
      <c r="A2716" s="27" t="s">
        <v>327</v>
      </c>
      <c r="B2716" s="28"/>
      <c r="C2716" s="27"/>
      <c r="D2716" s="27" t="str">
        <f>"""NAV Direct"",""CRONUS JetCorp USA"",""21"",""1"",""443669"""</f>
        <v>"NAV Direct","CRONUS JetCorp USA","21","1","443669"</v>
      </c>
      <c r="E2716" s="31" t="str">
        <f t="shared" si="830"/>
        <v>C100085</v>
      </c>
      <c r="F2716" s="31"/>
      <c r="G2716" s="31"/>
      <c r="H2716" s="31"/>
      <c r="I2716" s="56"/>
      <c r="J2716" s="56"/>
      <c r="K2716" s="82" t="str">
        <f t="shared" si="839"/>
        <v>Credit Memo</v>
      </c>
      <c r="L2716" s="83" t="str">
        <f>"SC_101090"</f>
        <v>SC_101090</v>
      </c>
      <c r="M2716" s="84">
        <v>42804</v>
      </c>
      <c r="N2716" s="85">
        <f t="shared" si="832"/>
        <v>1008</v>
      </c>
      <c r="O2716" s="86">
        <f t="shared" si="833"/>
        <v>-80.14</v>
      </c>
      <c r="P2716" s="86">
        <f t="shared" si="834"/>
        <v>0</v>
      </c>
      <c r="Q2716" s="86">
        <f t="shared" si="835"/>
        <v>0</v>
      </c>
      <c r="R2716" s="86">
        <f t="shared" si="836"/>
        <v>0</v>
      </c>
      <c r="S2716" s="86">
        <f t="shared" si="837"/>
        <v>0</v>
      </c>
      <c r="T2716" s="86">
        <f t="shared" si="838"/>
        <v>-80.14</v>
      </c>
      <c r="U2716" s="87">
        <v>-80.14</v>
      </c>
    </row>
    <row r="2717" spans="1:21" s="30" customFormat="1" ht="24.6" hidden="1" outlineLevel="1" x14ac:dyDescent="0.55000000000000004">
      <c r="A2717" s="27" t="s">
        <v>327</v>
      </c>
      <c r="B2717" s="28"/>
      <c r="C2717" s="27"/>
      <c r="D2717" s="27" t="str">
        <f>"""NAV Direct"",""CRONUS JetCorp USA"",""21"",""1"",""443758"""</f>
        <v>"NAV Direct","CRONUS JetCorp USA","21","1","443758"</v>
      </c>
      <c r="E2717" s="31">
        <f t="shared" si="830"/>
        <v>0</v>
      </c>
      <c r="F2717" s="31"/>
      <c r="G2717" s="31"/>
      <c r="H2717" s="31"/>
      <c r="I2717" s="56"/>
      <c r="J2717" s="56"/>
      <c r="K2717" s="82" t="str">
        <f t="shared" si="839"/>
        <v>Credit Memo</v>
      </c>
      <c r="L2717" s="83" t="str">
        <f>"SC_101101"</f>
        <v>SC_101101</v>
      </c>
      <c r="M2717" s="84">
        <v>43128</v>
      </c>
      <c r="N2717" s="85">
        <f t="shared" si="832"/>
        <v>684</v>
      </c>
      <c r="O2717" s="86">
        <f t="shared" si="833"/>
        <v>-71</v>
      </c>
      <c r="P2717" s="86">
        <f t="shared" si="834"/>
        <v>0</v>
      </c>
      <c r="Q2717" s="86">
        <f t="shared" si="835"/>
        <v>0</v>
      </c>
      <c r="R2717" s="86">
        <f t="shared" si="836"/>
        <v>0</v>
      </c>
      <c r="S2717" s="86">
        <f t="shared" si="837"/>
        <v>0</v>
      </c>
      <c r="T2717" s="86">
        <f t="shared" si="838"/>
        <v>-71</v>
      </c>
      <c r="U2717" s="87">
        <v>-71</v>
      </c>
    </row>
    <row r="2718" spans="1:21" s="30" customFormat="1" ht="24.6" hidden="1" outlineLevel="1" x14ac:dyDescent="0.55000000000000004">
      <c r="A2718" s="27" t="s">
        <v>327</v>
      </c>
      <c r="B2718" s="28"/>
      <c r="C2718" s="27"/>
      <c r="D2718" s="27" t="str">
        <f>"""NAV Direct"",""CRONUS JetCorp USA"",""21"",""1"",""443876"""</f>
        <v>"NAV Direct","CRONUS JetCorp USA","21","1","443876"</v>
      </c>
      <c r="E2718" s="31" t="str">
        <f t="shared" si="830"/>
        <v>C100085</v>
      </c>
      <c r="F2718" s="31"/>
      <c r="G2718" s="31"/>
      <c r="H2718" s="31"/>
      <c r="I2718" s="56"/>
      <c r="J2718" s="56"/>
      <c r="K2718" s="82" t="str">
        <f t="shared" si="839"/>
        <v>Credit Memo</v>
      </c>
      <c r="L2718" s="83" t="str">
        <f>"SC_101114"</f>
        <v>SC_101114</v>
      </c>
      <c r="M2718" s="84">
        <v>43754</v>
      </c>
      <c r="N2718" s="85">
        <f t="shared" si="832"/>
        <v>58</v>
      </c>
      <c r="O2718" s="86">
        <f t="shared" si="833"/>
        <v>-75.059999999999988</v>
      </c>
      <c r="P2718" s="86">
        <f t="shared" si="834"/>
        <v>0</v>
      </c>
      <c r="Q2718" s="86">
        <f t="shared" si="835"/>
        <v>0</v>
      </c>
      <c r="R2718" s="86">
        <f t="shared" si="836"/>
        <v>-75.059999999999988</v>
      </c>
      <c r="S2718" s="86">
        <f t="shared" si="837"/>
        <v>0</v>
      </c>
      <c r="T2718" s="86">
        <f t="shared" si="838"/>
        <v>0</v>
      </c>
      <c r="U2718" s="87">
        <v>-75.059999999999988</v>
      </c>
    </row>
    <row r="2719" spans="1:21" s="30" customFormat="1" ht="24.6" hidden="1" outlineLevel="1" x14ac:dyDescent="0.55000000000000004">
      <c r="A2719" s="27" t="s">
        <v>327</v>
      </c>
      <c r="B2719" s="28"/>
      <c r="C2719" s="27"/>
      <c r="D2719" s="27" t="str">
        <f>"""NAV Direct"",""CRONUS JetCorp USA"",""21"",""1"",""443924"""</f>
        <v>"NAV Direct","CRONUS JetCorp USA","21","1","443924"</v>
      </c>
      <c r="E2719" s="31">
        <f t="shared" si="830"/>
        <v>0</v>
      </c>
      <c r="F2719" s="31"/>
      <c r="G2719" s="31"/>
      <c r="H2719" s="31"/>
      <c r="I2719" s="56"/>
      <c r="J2719" s="56"/>
      <c r="K2719" s="82" t="str">
        <f t="shared" si="839"/>
        <v>Credit Memo</v>
      </c>
      <c r="L2719" s="83" t="str">
        <f>"SC_101119"</f>
        <v>SC_101119</v>
      </c>
      <c r="M2719" s="84">
        <v>42093</v>
      </c>
      <c r="N2719" s="85">
        <f t="shared" si="832"/>
        <v>1719</v>
      </c>
      <c r="O2719" s="86">
        <f t="shared" si="833"/>
        <v>-75.86</v>
      </c>
      <c r="P2719" s="86">
        <f t="shared" si="834"/>
        <v>0</v>
      </c>
      <c r="Q2719" s="86">
        <f t="shared" si="835"/>
        <v>0</v>
      </c>
      <c r="R2719" s="86">
        <f t="shared" si="836"/>
        <v>0</v>
      </c>
      <c r="S2719" s="86">
        <f t="shared" si="837"/>
        <v>0</v>
      </c>
      <c r="T2719" s="86">
        <f t="shared" si="838"/>
        <v>-75.86</v>
      </c>
      <c r="U2719" s="87">
        <v>-75.86</v>
      </c>
    </row>
    <row r="2720" spans="1:21" s="30" customFormat="1" ht="24.6" hidden="1" outlineLevel="1" x14ac:dyDescent="0.55000000000000004">
      <c r="A2720" s="27" t="s">
        <v>327</v>
      </c>
      <c r="B2720" s="28"/>
      <c r="C2720" s="27"/>
      <c r="D2720" s="27" t="str">
        <f>"""NAV Direct"",""CRONUS JetCorp USA"",""21"",""1"",""443977"""</f>
        <v>"NAV Direct","CRONUS JetCorp USA","21","1","443977"</v>
      </c>
      <c r="E2720" s="31" t="str">
        <f t="shared" si="830"/>
        <v>C100085</v>
      </c>
      <c r="F2720" s="31"/>
      <c r="G2720" s="31"/>
      <c r="H2720" s="31"/>
      <c r="I2720" s="56"/>
      <c r="J2720" s="56"/>
      <c r="K2720" s="82" t="str">
        <f t="shared" si="839"/>
        <v>Credit Memo</v>
      </c>
      <c r="L2720" s="83" t="str">
        <f>"SC_101124"</f>
        <v>SC_101124</v>
      </c>
      <c r="M2720" s="84">
        <v>42255</v>
      </c>
      <c r="N2720" s="85">
        <f t="shared" si="832"/>
        <v>1557</v>
      </c>
      <c r="O2720" s="86">
        <f t="shared" si="833"/>
        <v>-76.680000000000007</v>
      </c>
      <c r="P2720" s="86">
        <f t="shared" si="834"/>
        <v>0</v>
      </c>
      <c r="Q2720" s="86">
        <f t="shared" si="835"/>
        <v>0</v>
      </c>
      <c r="R2720" s="86">
        <f t="shared" si="836"/>
        <v>0</v>
      </c>
      <c r="S2720" s="86">
        <f t="shared" si="837"/>
        <v>0</v>
      </c>
      <c r="T2720" s="86">
        <f t="shared" si="838"/>
        <v>-76.680000000000007</v>
      </c>
      <c r="U2720" s="87">
        <v>-76.680000000000007</v>
      </c>
    </row>
    <row r="2721" spans="1:22" s="22" customFormat="1" ht="20.399999999999999" collapsed="1" x14ac:dyDescent="0.45">
      <c r="A2721" s="12" t="s">
        <v>327</v>
      </c>
      <c r="B2721" s="19"/>
      <c r="C2721" s="12"/>
      <c r="D2721" s="12"/>
      <c r="E2721" s="23"/>
      <c r="F2721" s="23"/>
      <c r="G2721" s="23"/>
      <c r="H2721" s="23"/>
      <c r="I2721" s="49"/>
      <c r="J2721" s="88"/>
      <c r="K2721" s="88"/>
      <c r="L2721" s="89"/>
      <c r="M2721" s="89"/>
      <c r="N2721" s="89"/>
      <c r="O2721" s="89"/>
      <c r="P2721" s="89"/>
      <c r="Q2721" s="90"/>
      <c r="R2721" s="90"/>
      <c r="S2721" s="91"/>
      <c r="T2721" s="92"/>
      <c r="U2721" s="92"/>
    </row>
    <row r="2722" spans="1:22" s="22" customFormat="1" ht="20.399999999999999" x14ac:dyDescent="0.45">
      <c r="A2722" s="12" t="s">
        <v>327</v>
      </c>
      <c r="B2722" s="19"/>
      <c r="C2722" s="12"/>
      <c r="D2722" s="12"/>
      <c r="E2722" s="23"/>
      <c r="F2722" s="23"/>
      <c r="G2722" s="23"/>
      <c r="H2722" s="23"/>
      <c r="I2722" s="49"/>
      <c r="J2722" s="88"/>
      <c r="K2722" s="88"/>
      <c r="L2722" s="89"/>
      <c r="M2722" s="89"/>
      <c r="N2722" s="89"/>
      <c r="O2722" s="89"/>
      <c r="P2722" s="89"/>
      <c r="Q2722" s="90"/>
      <c r="R2722" s="90"/>
      <c r="S2722" s="91"/>
      <c r="T2722" s="92"/>
      <c r="U2722" s="92"/>
    </row>
    <row r="2723" spans="1:22" s="26" customFormat="1" ht="24.6" x14ac:dyDescent="0.55000000000000004">
      <c r="A2723" s="27" t="s">
        <v>327</v>
      </c>
      <c r="B2723" s="28"/>
      <c r="C2723" s="27" t="str">
        <f>"""NAV Direct"",""CRONUS JetCorp USA"",""18"",""1"",""C100086"""</f>
        <v>"NAV Direct","CRONUS JetCorp USA","18","1","C100086"</v>
      </c>
      <c r="D2723" s="27"/>
      <c r="E2723" s="28" t="str">
        <f>H2723</f>
        <v>C100086</v>
      </c>
      <c r="F2723" s="28"/>
      <c r="G2723" s="28"/>
      <c r="H2723" s="28" t="str">
        <f>"C100086"</f>
        <v>C100086</v>
      </c>
      <c r="I2723" s="116" t="str">
        <f>"C100086  -  Top Action Sports"</f>
        <v>C100086  -  Top Action Sports</v>
      </c>
      <c r="J2723" s="117" t="str">
        <f>""</f>
        <v/>
      </c>
      <c r="K2723" s="118"/>
      <c r="L2723" s="119">
        <f>SUBTOTAL(3,L2724:L2854)</f>
        <v>127</v>
      </c>
      <c r="M2723" s="118"/>
      <c r="N2723" s="118"/>
      <c r="O2723" s="120">
        <f t="shared" ref="O2723:T2723" si="840">SUBTOTAL(9,O2724:O2854)</f>
        <v>1394265.8100000003</v>
      </c>
      <c r="P2723" s="120">
        <f t="shared" si="840"/>
        <v>34953.86</v>
      </c>
      <c r="Q2723" s="120">
        <f t="shared" si="840"/>
        <v>80021.070000000007</v>
      </c>
      <c r="R2723" s="120">
        <f t="shared" si="840"/>
        <v>14444.48</v>
      </c>
      <c r="S2723" s="120">
        <f t="shared" si="840"/>
        <v>12670.76</v>
      </c>
      <c r="T2723" s="120">
        <f t="shared" si="840"/>
        <v>1252175.6399999999</v>
      </c>
      <c r="U2723" s="81"/>
    </row>
    <row r="2724" spans="1:22" s="26" customFormat="1" ht="24.6" x14ac:dyDescent="0.55000000000000004">
      <c r="A2724" s="27" t="s">
        <v>327</v>
      </c>
      <c r="B2724" s="28"/>
      <c r="C2724" s="27" t="str">
        <f>C2723</f>
        <v>"NAV Direct","CRONUS JetCorp USA","18","1","C100086"</v>
      </c>
      <c r="D2724" s="27"/>
      <c r="E2724" s="28" t="str">
        <f>E2723</f>
        <v>C100086</v>
      </c>
      <c r="F2724" s="28"/>
      <c r="G2724" s="28"/>
      <c r="H2724" s="28"/>
      <c r="I2724" s="121" t="str">
        <f>"Contact: Cynthia Lou"</f>
        <v>Contact: Cynthia Lou</v>
      </c>
      <c r="J2724" s="121"/>
      <c r="K2724" s="122"/>
      <c r="L2724" s="123"/>
      <c r="M2724" s="123"/>
      <c r="N2724" s="124"/>
      <c r="O2724" s="124"/>
      <c r="P2724" s="123"/>
      <c r="Q2724" s="125"/>
      <c r="R2724" s="126"/>
      <c r="S2724" s="126"/>
      <c r="T2724" s="125"/>
      <c r="U2724" s="81"/>
    </row>
    <row r="2725" spans="1:22" s="26" customFormat="1" ht="24.6" x14ac:dyDescent="0.55000000000000004">
      <c r="A2725" s="27" t="s">
        <v>327</v>
      </c>
      <c r="B2725" s="28"/>
      <c r="C2725" s="27" t="str">
        <f>C2724</f>
        <v>"NAV Direct","CRONUS JetCorp USA","18","1","C100086"</v>
      </c>
      <c r="D2725" s="27"/>
      <c r="E2725" s="28" t="str">
        <f>E2724</f>
        <v>C100086</v>
      </c>
      <c r="F2725" s="28"/>
      <c r="G2725" s="28"/>
      <c r="H2725" s="28"/>
      <c r="I2725" s="121" t="str">
        <f>"Top Action Sports@Cronus.com"</f>
        <v>Top Action Sports@Cronus.com</v>
      </c>
      <c r="J2725" s="121"/>
      <c r="K2725" s="122"/>
      <c r="L2725" s="124"/>
      <c r="M2725" s="124"/>
      <c r="N2725" s="124"/>
      <c r="O2725" s="124"/>
      <c r="P2725" s="123"/>
      <c r="Q2725" s="125"/>
      <c r="R2725" s="126"/>
      <c r="S2725" s="126"/>
      <c r="T2725" s="125"/>
      <c r="U2725" s="81"/>
    </row>
    <row r="2726" spans="1:22" ht="12.75" hidden="1" customHeight="1" outlineLevel="1" x14ac:dyDescent="0.45">
      <c r="A2726" s="12" t="s">
        <v>328</v>
      </c>
      <c r="B2726" s="19"/>
      <c r="E2726" s="19"/>
      <c r="F2726" s="19"/>
      <c r="G2726" s="19"/>
      <c r="H2726" s="19"/>
      <c r="I2726" s="61"/>
      <c r="J2726" s="61"/>
      <c r="K2726" s="61"/>
      <c r="L2726" s="61"/>
      <c r="M2726" s="61"/>
      <c r="N2726" s="61"/>
      <c r="O2726" s="61"/>
      <c r="P2726" s="61"/>
      <c r="Q2726" s="61"/>
      <c r="R2726" s="61"/>
      <c r="S2726" s="61"/>
      <c r="T2726" s="61"/>
      <c r="U2726" s="61"/>
      <c r="V2726" s="21"/>
    </row>
    <row r="2727" spans="1:22" s="30" customFormat="1" ht="24.6" hidden="1" outlineLevel="1" x14ac:dyDescent="0.55000000000000004">
      <c r="A2727" s="27" t="s">
        <v>327</v>
      </c>
      <c r="B2727" s="28"/>
      <c r="C2727" s="27"/>
      <c r="D2727" s="27" t="str">
        <f>"""NAV Direct"",""CRONUS JetCorp USA"",""21"",""1"",""86046"""</f>
        <v>"NAV Direct","CRONUS JetCorp USA","21","1","86046"</v>
      </c>
      <c r="E2727" s="31" t="str">
        <f t="shared" ref="E2727:E2758" si="841">E2725</f>
        <v>C100086</v>
      </c>
      <c r="F2727" s="31"/>
      <c r="G2727" s="31"/>
      <c r="H2727" s="31"/>
      <c r="I2727" s="56"/>
      <c r="J2727" s="56"/>
      <c r="K2727" s="82" t="str">
        <f t="shared" ref="K2727:K2758" si="842">"Invoice"</f>
        <v>Invoice</v>
      </c>
      <c r="L2727" s="83" t="str">
        <f>"SI_106158"</f>
        <v>SI_106158</v>
      </c>
      <c r="M2727" s="84">
        <v>42329</v>
      </c>
      <c r="N2727" s="85">
        <f t="shared" ref="N2727:N2758" si="843">StartDate-$M2727+1</f>
        <v>1483</v>
      </c>
      <c r="O2727" s="86">
        <f t="shared" ref="O2727:O2758" si="844">SUM(P2727:T2727)</f>
        <v>17229.97</v>
      </c>
      <c r="P2727" s="86">
        <f t="shared" ref="P2727:P2758" si="845">IF($M2727&gt;=$P$18,U2727,0)</f>
        <v>0</v>
      </c>
      <c r="Q2727" s="86">
        <f t="shared" ref="Q2727:Q2758" si="846">IF(AND($M2727&gt;=$Q$16,$M2727&lt;=$Q$18),U2727,0)</f>
        <v>0</v>
      </c>
      <c r="R2727" s="86">
        <f t="shared" ref="R2727:R2758" si="847">IF(AND($M2727&gt;=$R$16,$M2727&lt;=$R$18),U2727,0)</f>
        <v>0</v>
      </c>
      <c r="S2727" s="86">
        <f t="shared" ref="S2727:S2758" si="848">IF(AND($M2727&gt;=$S$16,$M2727&lt;=$S$18),U2727,0)</f>
        <v>0</v>
      </c>
      <c r="T2727" s="86">
        <f t="shared" ref="T2727:T2758" si="849">IF($M2727&lt;=$T$18,U2727,0)</f>
        <v>17229.97</v>
      </c>
      <c r="U2727" s="87">
        <v>17229.97</v>
      </c>
    </row>
    <row r="2728" spans="1:22" s="30" customFormat="1" ht="24.6" hidden="1" outlineLevel="1" x14ac:dyDescent="0.55000000000000004">
      <c r="A2728" s="27" t="s">
        <v>327</v>
      </c>
      <c r="B2728" s="28"/>
      <c r="C2728" s="27"/>
      <c r="D2728" s="27" t="str">
        <f>"""NAV Direct"",""CRONUS JetCorp USA"",""21"",""1"",""86122"""</f>
        <v>"NAV Direct","CRONUS JetCorp USA","21","1","86122"</v>
      </c>
      <c r="E2728" s="31">
        <f t="shared" si="841"/>
        <v>0</v>
      </c>
      <c r="F2728" s="31"/>
      <c r="G2728" s="31"/>
      <c r="H2728" s="31"/>
      <c r="I2728" s="56"/>
      <c r="J2728" s="56"/>
      <c r="K2728" s="82" t="str">
        <f t="shared" si="842"/>
        <v>Invoice</v>
      </c>
      <c r="L2728" s="83" t="str">
        <f>"SI_106160"</f>
        <v>SI_106160</v>
      </c>
      <c r="M2728" s="84">
        <v>42334</v>
      </c>
      <c r="N2728" s="85">
        <f t="shared" si="843"/>
        <v>1478</v>
      </c>
      <c r="O2728" s="86">
        <f t="shared" si="844"/>
        <v>17229.39</v>
      </c>
      <c r="P2728" s="86">
        <f t="shared" si="845"/>
        <v>0</v>
      </c>
      <c r="Q2728" s="86">
        <f t="shared" si="846"/>
        <v>0</v>
      </c>
      <c r="R2728" s="86">
        <f t="shared" si="847"/>
        <v>0</v>
      </c>
      <c r="S2728" s="86">
        <f t="shared" si="848"/>
        <v>0</v>
      </c>
      <c r="T2728" s="86">
        <f t="shared" si="849"/>
        <v>17229.39</v>
      </c>
      <c r="U2728" s="87">
        <v>17229.39</v>
      </c>
    </row>
    <row r="2729" spans="1:22" s="30" customFormat="1" ht="24.6" hidden="1" outlineLevel="1" x14ac:dyDescent="0.55000000000000004">
      <c r="A2729" s="27" t="s">
        <v>327</v>
      </c>
      <c r="B2729" s="28"/>
      <c r="C2729" s="27"/>
      <c r="D2729" s="27" t="str">
        <f>"""NAV Direct"",""CRONUS JetCorp USA"",""21"",""1"",""86200"""</f>
        <v>"NAV Direct","CRONUS JetCorp USA","21","1","86200"</v>
      </c>
      <c r="E2729" s="31" t="str">
        <f t="shared" si="841"/>
        <v>C100086</v>
      </c>
      <c r="F2729" s="31"/>
      <c r="G2729" s="31"/>
      <c r="H2729" s="31"/>
      <c r="I2729" s="56"/>
      <c r="J2729" s="56"/>
      <c r="K2729" s="82" t="str">
        <f t="shared" si="842"/>
        <v>Invoice</v>
      </c>
      <c r="L2729" s="83" t="str">
        <f>"SI_106162"</f>
        <v>SI_106162</v>
      </c>
      <c r="M2729" s="84">
        <v>42338</v>
      </c>
      <c r="N2729" s="85">
        <f t="shared" si="843"/>
        <v>1474</v>
      </c>
      <c r="O2729" s="86">
        <f t="shared" si="844"/>
        <v>17229.91</v>
      </c>
      <c r="P2729" s="86">
        <f t="shared" si="845"/>
        <v>0</v>
      </c>
      <c r="Q2729" s="86">
        <f t="shared" si="846"/>
        <v>0</v>
      </c>
      <c r="R2729" s="86">
        <f t="shared" si="847"/>
        <v>0</v>
      </c>
      <c r="S2729" s="86">
        <f t="shared" si="848"/>
        <v>0</v>
      </c>
      <c r="T2729" s="86">
        <f t="shared" si="849"/>
        <v>17229.91</v>
      </c>
      <c r="U2729" s="87">
        <v>17229.91</v>
      </c>
    </row>
    <row r="2730" spans="1:22" s="30" customFormat="1" ht="24.6" hidden="1" outlineLevel="1" x14ac:dyDescent="0.55000000000000004">
      <c r="A2730" s="27" t="s">
        <v>327</v>
      </c>
      <c r="B2730" s="28"/>
      <c r="C2730" s="27"/>
      <c r="D2730" s="27" t="str">
        <f>"""NAV Direct"",""CRONUS JetCorp USA"",""21"",""1"",""86235"""</f>
        <v>"NAV Direct","CRONUS JetCorp USA","21","1","86235"</v>
      </c>
      <c r="E2730" s="31">
        <f t="shared" si="841"/>
        <v>0</v>
      </c>
      <c r="F2730" s="31"/>
      <c r="G2730" s="31"/>
      <c r="H2730" s="31"/>
      <c r="I2730" s="56"/>
      <c r="J2730" s="56"/>
      <c r="K2730" s="82" t="str">
        <f t="shared" si="842"/>
        <v>Invoice</v>
      </c>
      <c r="L2730" s="83" t="str">
        <f>"SI_106163"</f>
        <v>SI_106163</v>
      </c>
      <c r="M2730" s="84">
        <v>42341</v>
      </c>
      <c r="N2730" s="85">
        <f t="shared" si="843"/>
        <v>1471</v>
      </c>
      <c r="O2730" s="86">
        <f t="shared" si="844"/>
        <v>17229.939999999999</v>
      </c>
      <c r="P2730" s="86">
        <f t="shared" si="845"/>
        <v>0</v>
      </c>
      <c r="Q2730" s="86">
        <f t="shared" si="846"/>
        <v>0</v>
      </c>
      <c r="R2730" s="86">
        <f t="shared" si="847"/>
        <v>0</v>
      </c>
      <c r="S2730" s="86">
        <f t="shared" si="848"/>
        <v>0</v>
      </c>
      <c r="T2730" s="86">
        <f t="shared" si="849"/>
        <v>17229.939999999999</v>
      </c>
      <c r="U2730" s="87">
        <v>17229.939999999999</v>
      </c>
    </row>
    <row r="2731" spans="1:22" s="30" customFormat="1" ht="24.6" hidden="1" outlineLevel="1" x14ac:dyDescent="0.55000000000000004">
      <c r="A2731" s="27" t="s">
        <v>327</v>
      </c>
      <c r="B2731" s="28"/>
      <c r="C2731" s="27"/>
      <c r="D2731" s="27" t="str">
        <f>"""NAV Direct"",""CRONUS JetCorp USA"",""21"",""1"",""86504"""</f>
        <v>"NAV Direct","CRONUS JetCorp USA","21","1","86504"</v>
      </c>
      <c r="E2731" s="31" t="str">
        <f t="shared" si="841"/>
        <v>C100086</v>
      </c>
      <c r="F2731" s="31"/>
      <c r="G2731" s="31"/>
      <c r="H2731" s="31"/>
      <c r="I2731" s="56"/>
      <c r="J2731" s="56"/>
      <c r="K2731" s="82" t="str">
        <f t="shared" si="842"/>
        <v>Invoice</v>
      </c>
      <c r="L2731" s="83" t="str">
        <f>"SI_106170"</f>
        <v>SI_106170</v>
      </c>
      <c r="M2731" s="84">
        <v>42739</v>
      </c>
      <c r="N2731" s="85">
        <f t="shared" si="843"/>
        <v>1073</v>
      </c>
      <c r="O2731" s="86">
        <f t="shared" si="844"/>
        <v>18814.669999999998</v>
      </c>
      <c r="P2731" s="86">
        <f t="shared" si="845"/>
        <v>0</v>
      </c>
      <c r="Q2731" s="86">
        <f t="shared" si="846"/>
        <v>0</v>
      </c>
      <c r="R2731" s="86">
        <f t="shared" si="847"/>
        <v>0</v>
      </c>
      <c r="S2731" s="86">
        <f t="shared" si="848"/>
        <v>0</v>
      </c>
      <c r="T2731" s="86">
        <f t="shared" si="849"/>
        <v>18814.669999999998</v>
      </c>
      <c r="U2731" s="87">
        <v>18814.669999999998</v>
      </c>
    </row>
    <row r="2732" spans="1:22" s="30" customFormat="1" ht="24.6" hidden="1" outlineLevel="1" x14ac:dyDescent="0.55000000000000004">
      <c r="A2732" s="27" t="s">
        <v>327</v>
      </c>
      <c r="B2732" s="28"/>
      <c r="C2732" s="27"/>
      <c r="D2732" s="27" t="str">
        <f>"""NAV Direct"",""CRONUS JetCorp USA"",""21"",""1"",""86541"""</f>
        <v>"NAV Direct","CRONUS JetCorp USA","21","1","86541"</v>
      </c>
      <c r="E2732" s="31">
        <f t="shared" si="841"/>
        <v>0</v>
      </c>
      <c r="F2732" s="31"/>
      <c r="G2732" s="31"/>
      <c r="H2732" s="31"/>
      <c r="I2732" s="56"/>
      <c r="J2732" s="56"/>
      <c r="K2732" s="82" t="str">
        <f t="shared" si="842"/>
        <v>Invoice</v>
      </c>
      <c r="L2732" s="83" t="str">
        <f>"SI_106171"</f>
        <v>SI_106171</v>
      </c>
      <c r="M2732" s="84">
        <v>42741</v>
      </c>
      <c r="N2732" s="85">
        <f t="shared" si="843"/>
        <v>1071</v>
      </c>
      <c r="O2732" s="86">
        <f t="shared" si="844"/>
        <v>18814.82</v>
      </c>
      <c r="P2732" s="86">
        <f t="shared" si="845"/>
        <v>0</v>
      </c>
      <c r="Q2732" s="86">
        <f t="shared" si="846"/>
        <v>0</v>
      </c>
      <c r="R2732" s="86">
        <f t="shared" si="847"/>
        <v>0</v>
      </c>
      <c r="S2732" s="86">
        <f t="shared" si="848"/>
        <v>0</v>
      </c>
      <c r="T2732" s="86">
        <f t="shared" si="849"/>
        <v>18814.82</v>
      </c>
      <c r="U2732" s="87">
        <v>18814.82</v>
      </c>
    </row>
    <row r="2733" spans="1:22" s="30" customFormat="1" ht="24.6" hidden="1" outlineLevel="1" x14ac:dyDescent="0.55000000000000004">
      <c r="A2733" s="27" t="s">
        <v>327</v>
      </c>
      <c r="B2733" s="28"/>
      <c r="C2733" s="27"/>
      <c r="D2733" s="27" t="str">
        <f>"""NAV Direct"",""CRONUS JetCorp USA"",""21"",""1"",""360781"""</f>
        <v>"NAV Direct","CRONUS JetCorp USA","21","1","360781"</v>
      </c>
      <c r="E2733" s="31" t="str">
        <f t="shared" si="841"/>
        <v>C100086</v>
      </c>
      <c r="F2733" s="31"/>
      <c r="G2733" s="31"/>
      <c r="H2733" s="31"/>
      <c r="I2733" s="56"/>
      <c r="J2733" s="56"/>
      <c r="K2733" s="82" t="str">
        <f t="shared" si="842"/>
        <v>Invoice</v>
      </c>
      <c r="L2733" s="83" t="str">
        <f>"SI_111277"</f>
        <v>SI_111277</v>
      </c>
      <c r="M2733" s="84">
        <v>42404</v>
      </c>
      <c r="N2733" s="85">
        <f t="shared" si="843"/>
        <v>1408</v>
      </c>
      <c r="O2733" s="86">
        <f t="shared" si="844"/>
        <v>7839.8300000000008</v>
      </c>
      <c r="P2733" s="86">
        <f t="shared" si="845"/>
        <v>0</v>
      </c>
      <c r="Q2733" s="86">
        <f t="shared" si="846"/>
        <v>0</v>
      </c>
      <c r="R2733" s="86">
        <f t="shared" si="847"/>
        <v>0</v>
      </c>
      <c r="S2733" s="86">
        <f t="shared" si="848"/>
        <v>0</v>
      </c>
      <c r="T2733" s="86">
        <f t="shared" si="849"/>
        <v>7839.8300000000008</v>
      </c>
      <c r="U2733" s="87">
        <v>7839.8300000000008</v>
      </c>
    </row>
    <row r="2734" spans="1:22" s="30" customFormat="1" ht="24.6" hidden="1" outlineLevel="1" x14ac:dyDescent="0.55000000000000004">
      <c r="A2734" s="27" t="s">
        <v>327</v>
      </c>
      <c r="B2734" s="28"/>
      <c r="C2734" s="27"/>
      <c r="D2734" s="27" t="str">
        <f>"""NAV Direct"",""CRONUS JetCorp USA"",""21"",""1"",""360806"""</f>
        <v>"NAV Direct","CRONUS JetCorp USA","21","1","360806"</v>
      </c>
      <c r="E2734" s="31">
        <f t="shared" si="841"/>
        <v>0</v>
      </c>
      <c r="F2734" s="31"/>
      <c r="G2734" s="31"/>
      <c r="H2734" s="31"/>
      <c r="I2734" s="56"/>
      <c r="J2734" s="56"/>
      <c r="K2734" s="82" t="str">
        <f t="shared" si="842"/>
        <v>Invoice</v>
      </c>
      <c r="L2734" s="83" t="str">
        <f>"SI_111278"</f>
        <v>SI_111278</v>
      </c>
      <c r="M2734" s="84">
        <v>42403</v>
      </c>
      <c r="N2734" s="85">
        <f t="shared" si="843"/>
        <v>1409</v>
      </c>
      <c r="O2734" s="86">
        <f t="shared" si="844"/>
        <v>7839.51</v>
      </c>
      <c r="P2734" s="86">
        <f t="shared" si="845"/>
        <v>0</v>
      </c>
      <c r="Q2734" s="86">
        <f t="shared" si="846"/>
        <v>0</v>
      </c>
      <c r="R2734" s="86">
        <f t="shared" si="847"/>
        <v>0</v>
      </c>
      <c r="S2734" s="86">
        <f t="shared" si="848"/>
        <v>0</v>
      </c>
      <c r="T2734" s="86">
        <f t="shared" si="849"/>
        <v>7839.51</v>
      </c>
      <c r="U2734" s="87">
        <v>7839.51</v>
      </c>
    </row>
    <row r="2735" spans="1:22" s="30" customFormat="1" ht="24.6" hidden="1" outlineLevel="1" x14ac:dyDescent="0.55000000000000004">
      <c r="A2735" s="27" t="s">
        <v>327</v>
      </c>
      <c r="B2735" s="28"/>
      <c r="C2735" s="27"/>
      <c r="D2735" s="27" t="str">
        <f>"""NAV Direct"",""CRONUS JetCorp USA"",""21"",""1"",""360872"""</f>
        <v>"NAV Direct","CRONUS JetCorp USA","21","1","360872"</v>
      </c>
      <c r="E2735" s="31" t="str">
        <f t="shared" si="841"/>
        <v>C100086</v>
      </c>
      <c r="F2735" s="31"/>
      <c r="G2735" s="31"/>
      <c r="H2735" s="31"/>
      <c r="I2735" s="56"/>
      <c r="J2735" s="56"/>
      <c r="K2735" s="82" t="str">
        <f t="shared" si="842"/>
        <v>Invoice</v>
      </c>
      <c r="L2735" s="83" t="str">
        <f>"SI_111280"</f>
        <v>SI_111280</v>
      </c>
      <c r="M2735" s="84">
        <v>42430</v>
      </c>
      <c r="N2735" s="85">
        <f t="shared" si="843"/>
        <v>1382</v>
      </c>
      <c r="O2735" s="86">
        <f t="shared" si="844"/>
        <v>7431.95</v>
      </c>
      <c r="P2735" s="86">
        <f t="shared" si="845"/>
        <v>0</v>
      </c>
      <c r="Q2735" s="86">
        <f t="shared" si="846"/>
        <v>0</v>
      </c>
      <c r="R2735" s="86">
        <f t="shared" si="847"/>
        <v>0</v>
      </c>
      <c r="S2735" s="86">
        <f t="shared" si="848"/>
        <v>0</v>
      </c>
      <c r="T2735" s="86">
        <f t="shared" si="849"/>
        <v>7431.95</v>
      </c>
      <c r="U2735" s="87">
        <v>7431.95</v>
      </c>
    </row>
    <row r="2736" spans="1:22" s="30" customFormat="1" ht="24.6" hidden="1" outlineLevel="1" x14ac:dyDescent="0.55000000000000004">
      <c r="A2736" s="27" t="s">
        <v>327</v>
      </c>
      <c r="B2736" s="28"/>
      <c r="C2736" s="27"/>
      <c r="D2736" s="27" t="str">
        <f>"""NAV Direct"",""CRONUS JetCorp USA"",""21"",""1"",""360988"""</f>
        <v>"NAV Direct","CRONUS JetCorp USA","21","1","360988"</v>
      </c>
      <c r="E2736" s="31">
        <f t="shared" si="841"/>
        <v>0</v>
      </c>
      <c r="F2736" s="31"/>
      <c r="G2736" s="31"/>
      <c r="H2736" s="31"/>
      <c r="I2736" s="56"/>
      <c r="J2736" s="56"/>
      <c r="K2736" s="82" t="str">
        <f t="shared" si="842"/>
        <v>Invoice</v>
      </c>
      <c r="L2736" s="83" t="str">
        <f>"SI_111284"</f>
        <v>SI_111284</v>
      </c>
      <c r="M2736" s="84">
        <v>42481</v>
      </c>
      <c r="N2736" s="85">
        <f t="shared" si="843"/>
        <v>1331</v>
      </c>
      <c r="O2736" s="86">
        <f t="shared" si="844"/>
        <v>8560.89</v>
      </c>
      <c r="P2736" s="86">
        <f t="shared" si="845"/>
        <v>0</v>
      </c>
      <c r="Q2736" s="86">
        <f t="shared" si="846"/>
        <v>0</v>
      </c>
      <c r="R2736" s="86">
        <f t="shared" si="847"/>
        <v>0</v>
      </c>
      <c r="S2736" s="86">
        <f t="shared" si="848"/>
        <v>0</v>
      </c>
      <c r="T2736" s="86">
        <f t="shared" si="849"/>
        <v>8560.89</v>
      </c>
      <c r="U2736" s="87">
        <v>8560.89</v>
      </c>
    </row>
    <row r="2737" spans="1:21" s="30" customFormat="1" ht="24.6" hidden="1" outlineLevel="1" x14ac:dyDescent="0.55000000000000004">
      <c r="A2737" s="27" t="s">
        <v>327</v>
      </c>
      <c r="B2737" s="28"/>
      <c r="C2737" s="27"/>
      <c r="D2737" s="27" t="str">
        <f>"""NAV Direct"",""CRONUS JetCorp USA"",""21"",""1"",""361178"""</f>
        <v>"NAV Direct","CRONUS JetCorp USA","21","1","361178"</v>
      </c>
      <c r="E2737" s="31" t="str">
        <f t="shared" si="841"/>
        <v>C100086</v>
      </c>
      <c r="F2737" s="31"/>
      <c r="G2737" s="31"/>
      <c r="H2737" s="31"/>
      <c r="I2737" s="56"/>
      <c r="J2737" s="56"/>
      <c r="K2737" s="82" t="str">
        <f t="shared" si="842"/>
        <v>Invoice</v>
      </c>
      <c r="L2737" s="83" t="str">
        <f>"SI_111290"</f>
        <v>SI_111290</v>
      </c>
      <c r="M2737" s="84">
        <v>42554</v>
      </c>
      <c r="N2737" s="85">
        <f t="shared" si="843"/>
        <v>1258</v>
      </c>
      <c r="O2737" s="86">
        <f t="shared" si="844"/>
        <v>10624.32</v>
      </c>
      <c r="P2737" s="86">
        <f t="shared" si="845"/>
        <v>0</v>
      </c>
      <c r="Q2737" s="86">
        <f t="shared" si="846"/>
        <v>0</v>
      </c>
      <c r="R2737" s="86">
        <f t="shared" si="847"/>
        <v>0</v>
      </c>
      <c r="S2737" s="86">
        <f t="shared" si="848"/>
        <v>0</v>
      </c>
      <c r="T2737" s="86">
        <f t="shared" si="849"/>
        <v>10624.32</v>
      </c>
      <c r="U2737" s="87">
        <v>10624.32</v>
      </c>
    </row>
    <row r="2738" spans="1:21" s="30" customFormat="1" ht="24.6" hidden="1" outlineLevel="1" x14ac:dyDescent="0.55000000000000004">
      <c r="A2738" s="27" t="s">
        <v>327</v>
      </c>
      <c r="B2738" s="28"/>
      <c r="C2738" s="27"/>
      <c r="D2738" s="27" t="str">
        <f>"""NAV Direct"",""CRONUS JetCorp USA"",""21"",""1"",""361205"""</f>
        <v>"NAV Direct","CRONUS JetCorp USA","21","1","361205"</v>
      </c>
      <c r="E2738" s="31">
        <f t="shared" si="841"/>
        <v>0</v>
      </c>
      <c r="F2738" s="31"/>
      <c r="G2738" s="31"/>
      <c r="H2738" s="31"/>
      <c r="I2738" s="56"/>
      <c r="J2738" s="56"/>
      <c r="K2738" s="82" t="str">
        <f t="shared" si="842"/>
        <v>Invoice</v>
      </c>
      <c r="L2738" s="83" t="str">
        <f>"SI_111291"</f>
        <v>SI_111291</v>
      </c>
      <c r="M2738" s="84">
        <v>42544</v>
      </c>
      <c r="N2738" s="85">
        <f t="shared" si="843"/>
        <v>1268</v>
      </c>
      <c r="O2738" s="86">
        <f t="shared" si="844"/>
        <v>10624.050000000001</v>
      </c>
      <c r="P2738" s="86">
        <f t="shared" si="845"/>
        <v>0</v>
      </c>
      <c r="Q2738" s="86">
        <f t="shared" si="846"/>
        <v>0</v>
      </c>
      <c r="R2738" s="86">
        <f t="shared" si="847"/>
        <v>0</v>
      </c>
      <c r="S2738" s="86">
        <f t="shared" si="848"/>
        <v>0</v>
      </c>
      <c r="T2738" s="86">
        <f t="shared" si="849"/>
        <v>10624.050000000001</v>
      </c>
      <c r="U2738" s="87">
        <v>10624.050000000001</v>
      </c>
    </row>
    <row r="2739" spans="1:21" s="30" customFormat="1" ht="24.6" hidden="1" outlineLevel="1" x14ac:dyDescent="0.55000000000000004">
      <c r="A2739" s="27" t="s">
        <v>327</v>
      </c>
      <c r="B2739" s="28"/>
      <c r="C2739" s="27"/>
      <c r="D2739" s="27" t="str">
        <f>"""NAV Direct"",""CRONUS JetCorp USA"",""21"",""1"",""361263"""</f>
        <v>"NAV Direct","CRONUS JetCorp USA","21","1","361263"</v>
      </c>
      <c r="E2739" s="31" t="str">
        <f t="shared" si="841"/>
        <v>C100086</v>
      </c>
      <c r="F2739" s="31"/>
      <c r="G2739" s="31"/>
      <c r="H2739" s="31"/>
      <c r="I2739" s="56"/>
      <c r="J2739" s="56"/>
      <c r="K2739" s="82" t="str">
        <f t="shared" si="842"/>
        <v>Invoice</v>
      </c>
      <c r="L2739" s="83" t="str">
        <f>"SI_111293"</f>
        <v>SI_111293</v>
      </c>
      <c r="M2739" s="84">
        <v>42552</v>
      </c>
      <c r="N2739" s="85">
        <f t="shared" si="843"/>
        <v>1260</v>
      </c>
      <c r="O2739" s="86">
        <f t="shared" si="844"/>
        <v>10624.34</v>
      </c>
      <c r="P2739" s="86">
        <f t="shared" si="845"/>
        <v>0</v>
      </c>
      <c r="Q2739" s="86">
        <f t="shared" si="846"/>
        <v>0</v>
      </c>
      <c r="R2739" s="86">
        <f t="shared" si="847"/>
        <v>0</v>
      </c>
      <c r="S2739" s="86">
        <f t="shared" si="848"/>
        <v>0</v>
      </c>
      <c r="T2739" s="86">
        <f t="shared" si="849"/>
        <v>10624.34</v>
      </c>
      <c r="U2739" s="87">
        <v>10624.34</v>
      </c>
    </row>
    <row r="2740" spans="1:21" s="30" customFormat="1" ht="24.6" hidden="1" outlineLevel="1" x14ac:dyDescent="0.55000000000000004">
      <c r="A2740" s="27" t="s">
        <v>327</v>
      </c>
      <c r="B2740" s="28"/>
      <c r="C2740" s="27"/>
      <c r="D2740" s="27" t="str">
        <f>"""NAV Direct"",""CRONUS JetCorp USA"",""21"",""1"",""361532"""</f>
        <v>"NAV Direct","CRONUS JetCorp USA","21","1","361532"</v>
      </c>
      <c r="E2740" s="31">
        <f t="shared" si="841"/>
        <v>0</v>
      </c>
      <c r="F2740" s="31"/>
      <c r="G2740" s="31"/>
      <c r="H2740" s="31"/>
      <c r="I2740" s="56"/>
      <c r="J2740" s="56"/>
      <c r="K2740" s="82" t="str">
        <f t="shared" si="842"/>
        <v>Invoice</v>
      </c>
      <c r="L2740" s="83" t="str">
        <f>"SI_111302"</f>
        <v>SI_111302</v>
      </c>
      <c r="M2740" s="84">
        <v>42642</v>
      </c>
      <c r="N2740" s="85">
        <f t="shared" si="843"/>
        <v>1170</v>
      </c>
      <c r="O2740" s="86">
        <f t="shared" si="844"/>
        <v>9430.14</v>
      </c>
      <c r="P2740" s="86">
        <f t="shared" si="845"/>
        <v>0</v>
      </c>
      <c r="Q2740" s="86">
        <f t="shared" si="846"/>
        <v>0</v>
      </c>
      <c r="R2740" s="86">
        <f t="shared" si="847"/>
        <v>0</v>
      </c>
      <c r="S2740" s="86">
        <f t="shared" si="848"/>
        <v>0</v>
      </c>
      <c r="T2740" s="86">
        <f t="shared" si="849"/>
        <v>9430.14</v>
      </c>
      <c r="U2740" s="87">
        <v>9430.14</v>
      </c>
    </row>
    <row r="2741" spans="1:21" s="30" customFormat="1" ht="24.6" hidden="1" outlineLevel="1" x14ac:dyDescent="0.55000000000000004">
      <c r="A2741" s="27" t="s">
        <v>327</v>
      </c>
      <c r="B2741" s="28"/>
      <c r="C2741" s="27"/>
      <c r="D2741" s="27" t="str">
        <f>"""NAV Direct"",""CRONUS JetCorp USA"",""21"",""1"",""361559"""</f>
        <v>"NAV Direct","CRONUS JetCorp USA","21","1","361559"</v>
      </c>
      <c r="E2741" s="31" t="str">
        <f t="shared" si="841"/>
        <v>C100086</v>
      </c>
      <c r="F2741" s="31"/>
      <c r="G2741" s="31"/>
      <c r="H2741" s="31"/>
      <c r="I2741" s="56"/>
      <c r="J2741" s="56"/>
      <c r="K2741" s="82" t="str">
        <f t="shared" si="842"/>
        <v>Invoice</v>
      </c>
      <c r="L2741" s="83" t="str">
        <f>"SI_111303"</f>
        <v>SI_111303</v>
      </c>
      <c r="M2741" s="84">
        <v>42644</v>
      </c>
      <c r="N2741" s="85">
        <f t="shared" si="843"/>
        <v>1168</v>
      </c>
      <c r="O2741" s="86">
        <f t="shared" si="844"/>
        <v>9430.1899999999987</v>
      </c>
      <c r="P2741" s="86">
        <f t="shared" si="845"/>
        <v>0</v>
      </c>
      <c r="Q2741" s="86">
        <f t="shared" si="846"/>
        <v>0</v>
      </c>
      <c r="R2741" s="86">
        <f t="shared" si="847"/>
        <v>0</v>
      </c>
      <c r="S2741" s="86">
        <f t="shared" si="848"/>
        <v>0</v>
      </c>
      <c r="T2741" s="86">
        <f t="shared" si="849"/>
        <v>9430.1899999999987</v>
      </c>
      <c r="U2741" s="87">
        <v>9430.1899999999987</v>
      </c>
    </row>
    <row r="2742" spans="1:21" s="30" customFormat="1" ht="24.6" hidden="1" outlineLevel="1" x14ac:dyDescent="0.55000000000000004">
      <c r="A2742" s="27" t="s">
        <v>327</v>
      </c>
      <c r="B2742" s="28"/>
      <c r="C2742" s="27"/>
      <c r="D2742" s="27" t="str">
        <f>"""NAV Direct"",""CRONUS JetCorp USA"",""21"",""1"",""361674"""</f>
        <v>"NAV Direct","CRONUS JetCorp USA","21","1","361674"</v>
      </c>
      <c r="E2742" s="31">
        <f t="shared" si="841"/>
        <v>0</v>
      </c>
      <c r="F2742" s="31"/>
      <c r="G2742" s="31"/>
      <c r="H2742" s="31"/>
      <c r="I2742" s="56"/>
      <c r="J2742" s="56"/>
      <c r="K2742" s="82" t="str">
        <f t="shared" si="842"/>
        <v>Invoice</v>
      </c>
      <c r="L2742" s="83" t="str">
        <f>"SI_111306"</f>
        <v>SI_111306</v>
      </c>
      <c r="M2742" s="84">
        <v>42679</v>
      </c>
      <c r="N2742" s="85">
        <f t="shared" si="843"/>
        <v>1133</v>
      </c>
      <c r="O2742" s="86">
        <f t="shared" si="844"/>
        <v>10939.37</v>
      </c>
      <c r="P2742" s="86">
        <f t="shared" si="845"/>
        <v>0</v>
      </c>
      <c r="Q2742" s="86">
        <f t="shared" si="846"/>
        <v>0</v>
      </c>
      <c r="R2742" s="86">
        <f t="shared" si="847"/>
        <v>0</v>
      </c>
      <c r="S2742" s="86">
        <f t="shared" si="848"/>
        <v>0</v>
      </c>
      <c r="T2742" s="86">
        <f t="shared" si="849"/>
        <v>10939.37</v>
      </c>
      <c r="U2742" s="87">
        <v>10939.37</v>
      </c>
    </row>
    <row r="2743" spans="1:21" s="30" customFormat="1" ht="24.6" hidden="1" outlineLevel="1" x14ac:dyDescent="0.55000000000000004">
      <c r="A2743" s="27" t="s">
        <v>327</v>
      </c>
      <c r="B2743" s="28"/>
      <c r="C2743" s="27"/>
      <c r="D2743" s="27" t="str">
        <f>"""NAV Direct"",""CRONUS JetCorp USA"",""21"",""1"",""361931"""</f>
        <v>"NAV Direct","CRONUS JetCorp USA","21","1","361931"</v>
      </c>
      <c r="E2743" s="31" t="str">
        <f t="shared" si="841"/>
        <v>C100086</v>
      </c>
      <c r="F2743" s="31"/>
      <c r="G2743" s="31"/>
      <c r="H2743" s="31"/>
      <c r="I2743" s="56"/>
      <c r="J2743" s="56"/>
      <c r="K2743" s="82" t="str">
        <f t="shared" si="842"/>
        <v>Invoice</v>
      </c>
      <c r="L2743" s="83" t="str">
        <f>"SI_111313"</f>
        <v>SI_111313</v>
      </c>
      <c r="M2743" s="84">
        <v>42734</v>
      </c>
      <c r="N2743" s="85">
        <f t="shared" si="843"/>
        <v>1078</v>
      </c>
      <c r="O2743" s="86">
        <f t="shared" si="844"/>
        <v>13229.97</v>
      </c>
      <c r="P2743" s="86">
        <f t="shared" si="845"/>
        <v>0</v>
      </c>
      <c r="Q2743" s="86">
        <f t="shared" si="846"/>
        <v>0</v>
      </c>
      <c r="R2743" s="86">
        <f t="shared" si="847"/>
        <v>0</v>
      </c>
      <c r="S2743" s="86">
        <f t="shared" si="848"/>
        <v>0</v>
      </c>
      <c r="T2743" s="86">
        <f t="shared" si="849"/>
        <v>13229.97</v>
      </c>
      <c r="U2743" s="87">
        <v>13229.97</v>
      </c>
    </row>
    <row r="2744" spans="1:21" s="30" customFormat="1" ht="24.6" hidden="1" outlineLevel="1" x14ac:dyDescent="0.55000000000000004">
      <c r="A2744" s="27" t="s">
        <v>327</v>
      </c>
      <c r="B2744" s="28"/>
      <c r="C2744" s="27"/>
      <c r="D2744" s="27" t="str">
        <f>"""NAV Direct"",""CRONUS JetCorp USA"",""21"",""1"",""361972"""</f>
        <v>"NAV Direct","CRONUS JetCorp USA","21","1","361972"</v>
      </c>
      <c r="E2744" s="31">
        <f t="shared" si="841"/>
        <v>0</v>
      </c>
      <c r="F2744" s="31"/>
      <c r="G2744" s="31"/>
      <c r="H2744" s="31"/>
      <c r="I2744" s="56"/>
      <c r="J2744" s="56"/>
      <c r="K2744" s="82" t="str">
        <f t="shared" si="842"/>
        <v>Invoice</v>
      </c>
      <c r="L2744" s="83" t="str">
        <f>"SI_111314"</f>
        <v>SI_111314</v>
      </c>
      <c r="M2744" s="84">
        <v>42745</v>
      </c>
      <c r="N2744" s="85">
        <f t="shared" si="843"/>
        <v>1067</v>
      </c>
      <c r="O2744" s="86">
        <f t="shared" si="844"/>
        <v>13230.070000000002</v>
      </c>
      <c r="P2744" s="86">
        <f t="shared" si="845"/>
        <v>0</v>
      </c>
      <c r="Q2744" s="86">
        <f t="shared" si="846"/>
        <v>0</v>
      </c>
      <c r="R2744" s="86">
        <f t="shared" si="847"/>
        <v>0</v>
      </c>
      <c r="S2744" s="86">
        <f t="shared" si="848"/>
        <v>0</v>
      </c>
      <c r="T2744" s="86">
        <f t="shared" si="849"/>
        <v>13230.070000000002</v>
      </c>
      <c r="U2744" s="87">
        <v>13230.070000000002</v>
      </c>
    </row>
    <row r="2745" spans="1:21" s="30" customFormat="1" ht="24.6" hidden="1" outlineLevel="1" x14ac:dyDescent="0.55000000000000004">
      <c r="A2745" s="27" t="s">
        <v>327</v>
      </c>
      <c r="B2745" s="28"/>
      <c r="C2745" s="27"/>
      <c r="D2745" s="27" t="str">
        <f>"""NAV Direct"",""CRONUS JetCorp USA"",""21"",""1"",""362056"""</f>
        <v>"NAV Direct","CRONUS JetCorp USA","21","1","362056"</v>
      </c>
      <c r="E2745" s="31" t="str">
        <f t="shared" si="841"/>
        <v>C100086</v>
      </c>
      <c r="F2745" s="31"/>
      <c r="G2745" s="31"/>
      <c r="H2745" s="31"/>
      <c r="I2745" s="56"/>
      <c r="J2745" s="56"/>
      <c r="K2745" s="82" t="str">
        <f t="shared" si="842"/>
        <v>Invoice</v>
      </c>
      <c r="L2745" s="83" t="str">
        <f>"SI_111316"</f>
        <v>SI_111316</v>
      </c>
      <c r="M2745" s="84">
        <v>42770</v>
      </c>
      <c r="N2745" s="85">
        <f t="shared" si="843"/>
        <v>1042</v>
      </c>
      <c r="O2745" s="86">
        <f t="shared" si="844"/>
        <v>12383.640000000001</v>
      </c>
      <c r="P2745" s="86">
        <f t="shared" si="845"/>
        <v>0</v>
      </c>
      <c r="Q2745" s="86">
        <f t="shared" si="846"/>
        <v>0</v>
      </c>
      <c r="R2745" s="86">
        <f t="shared" si="847"/>
        <v>0</v>
      </c>
      <c r="S2745" s="86">
        <f t="shared" si="848"/>
        <v>0</v>
      </c>
      <c r="T2745" s="86">
        <f t="shared" si="849"/>
        <v>12383.640000000001</v>
      </c>
      <c r="U2745" s="87">
        <v>12383.640000000001</v>
      </c>
    </row>
    <row r="2746" spans="1:21" s="30" customFormat="1" ht="24.6" hidden="1" outlineLevel="1" x14ac:dyDescent="0.55000000000000004">
      <c r="A2746" s="27" t="s">
        <v>327</v>
      </c>
      <c r="B2746" s="28"/>
      <c r="C2746" s="27"/>
      <c r="D2746" s="27" t="str">
        <f>"""NAV Direct"",""CRONUS JetCorp USA"",""21"",""1"",""362182"""</f>
        <v>"NAV Direct","CRONUS JetCorp USA","21","1","362182"</v>
      </c>
      <c r="E2746" s="31">
        <f t="shared" si="841"/>
        <v>0</v>
      </c>
      <c r="F2746" s="31"/>
      <c r="G2746" s="31"/>
      <c r="H2746" s="31"/>
      <c r="I2746" s="56"/>
      <c r="J2746" s="56"/>
      <c r="K2746" s="82" t="str">
        <f t="shared" si="842"/>
        <v>Invoice</v>
      </c>
      <c r="L2746" s="83" t="str">
        <f>"SI_111320"</f>
        <v>SI_111320</v>
      </c>
      <c r="M2746" s="84">
        <v>42794</v>
      </c>
      <c r="N2746" s="85">
        <f t="shared" si="843"/>
        <v>1018</v>
      </c>
      <c r="O2746" s="86">
        <f t="shared" si="844"/>
        <v>12185.400000000001</v>
      </c>
      <c r="P2746" s="86">
        <f t="shared" si="845"/>
        <v>0</v>
      </c>
      <c r="Q2746" s="86">
        <f t="shared" si="846"/>
        <v>0</v>
      </c>
      <c r="R2746" s="86">
        <f t="shared" si="847"/>
        <v>0</v>
      </c>
      <c r="S2746" s="86">
        <f t="shared" si="848"/>
        <v>0</v>
      </c>
      <c r="T2746" s="86">
        <f t="shared" si="849"/>
        <v>12185.400000000001</v>
      </c>
      <c r="U2746" s="87">
        <v>12185.400000000001</v>
      </c>
    </row>
    <row r="2747" spans="1:21" s="30" customFormat="1" ht="24.6" hidden="1" outlineLevel="1" x14ac:dyDescent="0.55000000000000004">
      <c r="A2747" s="27" t="s">
        <v>327</v>
      </c>
      <c r="B2747" s="28"/>
      <c r="C2747" s="27"/>
      <c r="D2747" s="27" t="str">
        <f>"""NAV Direct"",""CRONUS JetCorp USA"",""21"",""1"",""362219"""</f>
        <v>"NAV Direct","CRONUS JetCorp USA","21","1","362219"</v>
      </c>
      <c r="E2747" s="31" t="str">
        <f t="shared" si="841"/>
        <v>C100086</v>
      </c>
      <c r="F2747" s="31"/>
      <c r="G2747" s="31"/>
      <c r="H2747" s="31"/>
      <c r="I2747" s="56"/>
      <c r="J2747" s="56"/>
      <c r="K2747" s="82" t="str">
        <f t="shared" si="842"/>
        <v>Invoice</v>
      </c>
      <c r="L2747" s="83" t="str">
        <f>"SI_111321"</f>
        <v>SI_111321</v>
      </c>
      <c r="M2747" s="84">
        <v>42803</v>
      </c>
      <c r="N2747" s="85">
        <f t="shared" si="843"/>
        <v>1009</v>
      </c>
      <c r="O2747" s="86">
        <f t="shared" si="844"/>
        <v>12185.1</v>
      </c>
      <c r="P2747" s="86">
        <f t="shared" si="845"/>
        <v>0</v>
      </c>
      <c r="Q2747" s="86">
        <f t="shared" si="846"/>
        <v>0</v>
      </c>
      <c r="R2747" s="86">
        <f t="shared" si="847"/>
        <v>0</v>
      </c>
      <c r="S2747" s="86">
        <f t="shared" si="848"/>
        <v>0</v>
      </c>
      <c r="T2747" s="86">
        <f t="shared" si="849"/>
        <v>12185.1</v>
      </c>
      <c r="U2747" s="87">
        <v>12185.1</v>
      </c>
    </row>
    <row r="2748" spans="1:21" s="30" customFormat="1" ht="24.6" hidden="1" outlineLevel="1" x14ac:dyDescent="0.55000000000000004">
      <c r="A2748" s="27" t="s">
        <v>327</v>
      </c>
      <c r="B2748" s="28"/>
      <c r="C2748" s="27"/>
      <c r="D2748" s="27" t="str">
        <f>"""NAV Direct"",""CRONUS JetCorp USA"",""21"",""1"",""362287"""</f>
        <v>"NAV Direct","CRONUS JetCorp USA","21","1","362287"</v>
      </c>
      <c r="E2748" s="31">
        <f t="shared" si="841"/>
        <v>0</v>
      </c>
      <c r="F2748" s="31"/>
      <c r="G2748" s="31"/>
      <c r="H2748" s="31"/>
      <c r="I2748" s="56"/>
      <c r="J2748" s="56"/>
      <c r="K2748" s="82" t="str">
        <f t="shared" si="842"/>
        <v>Invoice</v>
      </c>
      <c r="L2748" s="83" t="str">
        <f>"SI_111323"</f>
        <v>SI_111323</v>
      </c>
      <c r="M2748" s="84">
        <v>42827</v>
      </c>
      <c r="N2748" s="85">
        <f t="shared" si="843"/>
        <v>985</v>
      </c>
      <c r="O2748" s="86">
        <f t="shared" si="844"/>
        <v>11551.15</v>
      </c>
      <c r="P2748" s="86">
        <f t="shared" si="845"/>
        <v>0</v>
      </c>
      <c r="Q2748" s="86">
        <f t="shared" si="846"/>
        <v>0</v>
      </c>
      <c r="R2748" s="86">
        <f t="shared" si="847"/>
        <v>0</v>
      </c>
      <c r="S2748" s="86">
        <f t="shared" si="848"/>
        <v>0</v>
      </c>
      <c r="T2748" s="86">
        <f t="shared" si="849"/>
        <v>11551.15</v>
      </c>
      <c r="U2748" s="87">
        <v>11551.15</v>
      </c>
    </row>
    <row r="2749" spans="1:21" s="30" customFormat="1" ht="24.6" hidden="1" outlineLevel="1" x14ac:dyDescent="0.55000000000000004">
      <c r="A2749" s="27" t="s">
        <v>327</v>
      </c>
      <c r="B2749" s="28"/>
      <c r="C2749" s="27"/>
      <c r="D2749" s="27" t="str">
        <f>"""NAV Direct"",""CRONUS JetCorp USA"",""21"",""1"",""362463"""</f>
        <v>"NAV Direct","CRONUS JetCorp USA","21","1","362463"</v>
      </c>
      <c r="E2749" s="31" t="str">
        <f t="shared" si="841"/>
        <v>C100086</v>
      </c>
      <c r="F2749" s="31"/>
      <c r="G2749" s="31"/>
      <c r="H2749" s="31"/>
      <c r="I2749" s="56"/>
      <c r="J2749" s="56"/>
      <c r="K2749" s="82" t="str">
        <f t="shared" si="842"/>
        <v>Invoice</v>
      </c>
      <c r="L2749" s="83" t="str">
        <f>"SI_111329"</f>
        <v>SI_111329</v>
      </c>
      <c r="M2749" s="84">
        <v>42883</v>
      </c>
      <c r="N2749" s="85">
        <f t="shared" si="843"/>
        <v>929</v>
      </c>
      <c r="O2749" s="86">
        <f t="shared" si="844"/>
        <v>14385.65</v>
      </c>
      <c r="P2749" s="86">
        <f t="shared" si="845"/>
        <v>0</v>
      </c>
      <c r="Q2749" s="86">
        <f t="shared" si="846"/>
        <v>0</v>
      </c>
      <c r="R2749" s="86">
        <f t="shared" si="847"/>
        <v>0</v>
      </c>
      <c r="S2749" s="86">
        <f t="shared" si="848"/>
        <v>0</v>
      </c>
      <c r="T2749" s="86">
        <f t="shared" si="849"/>
        <v>14385.65</v>
      </c>
      <c r="U2749" s="87">
        <v>14385.65</v>
      </c>
    </row>
    <row r="2750" spans="1:21" s="30" customFormat="1" ht="24.6" hidden="1" outlineLevel="1" x14ac:dyDescent="0.55000000000000004">
      <c r="A2750" s="27" t="s">
        <v>327</v>
      </c>
      <c r="B2750" s="28"/>
      <c r="C2750" s="27"/>
      <c r="D2750" s="27" t="str">
        <f>"""NAV Direct"",""CRONUS JetCorp USA"",""21"",""1"",""362494"""</f>
        <v>"NAV Direct","CRONUS JetCorp USA","21","1","362494"</v>
      </c>
      <c r="E2750" s="31">
        <f t="shared" si="841"/>
        <v>0</v>
      </c>
      <c r="F2750" s="31"/>
      <c r="G2750" s="31"/>
      <c r="H2750" s="31"/>
      <c r="I2750" s="56"/>
      <c r="J2750" s="56"/>
      <c r="K2750" s="82" t="str">
        <f t="shared" si="842"/>
        <v>Invoice</v>
      </c>
      <c r="L2750" s="83" t="str">
        <f>"SI_111330"</f>
        <v>SI_111330</v>
      </c>
      <c r="M2750" s="84">
        <v>42894</v>
      </c>
      <c r="N2750" s="85">
        <f t="shared" si="843"/>
        <v>918</v>
      </c>
      <c r="O2750" s="86">
        <f t="shared" si="844"/>
        <v>14386.000000000002</v>
      </c>
      <c r="P2750" s="86">
        <f t="shared" si="845"/>
        <v>0</v>
      </c>
      <c r="Q2750" s="86">
        <f t="shared" si="846"/>
        <v>0</v>
      </c>
      <c r="R2750" s="86">
        <f t="shared" si="847"/>
        <v>0</v>
      </c>
      <c r="S2750" s="86">
        <f t="shared" si="848"/>
        <v>0</v>
      </c>
      <c r="T2750" s="86">
        <f t="shared" si="849"/>
        <v>14386.000000000002</v>
      </c>
      <c r="U2750" s="87">
        <v>14386.000000000002</v>
      </c>
    </row>
    <row r="2751" spans="1:21" s="30" customFormat="1" ht="24.6" hidden="1" outlineLevel="1" x14ac:dyDescent="0.55000000000000004">
      <c r="A2751" s="27" t="s">
        <v>327</v>
      </c>
      <c r="B2751" s="28"/>
      <c r="C2751" s="27"/>
      <c r="D2751" s="27" t="str">
        <f>"""NAV Direct"",""CRONUS JetCorp USA"",""21"",""1"",""362574"""</f>
        <v>"NAV Direct","CRONUS JetCorp USA","21","1","362574"</v>
      </c>
      <c r="E2751" s="31" t="str">
        <f t="shared" si="841"/>
        <v>C100086</v>
      </c>
      <c r="F2751" s="31"/>
      <c r="G2751" s="31"/>
      <c r="H2751" s="31"/>
      <c r="I2751" s="56"/>
      <c r="J2751" s="56"/>
      <c r="K2751" s="82" t="str">
        <f t="shared" si="842"/>
        <v>Invoice</v>
      </c>
      <c r="L2751" s="83" t="str">
        <f>"SI_111332"</f>
        <v>SI_111332</v>
      </c>
      <c r="M2751" s="84">
        <v>42917</v>
      </c>
      <c r="N2751" s="85">
        <f t="shared" si="843"/>
        <v>895</v>
      </c>
      <c r="O2751" s="86">
        <f t="shared" si="844"/>
        <v>15709.730000000001</v>
      </c>
      <c r="P2751" s="86">
        <f t="shared" si="845"/>
        <v>0</v>
      </c>
      <c r="Q2751" s="86">
        <f t="shared" si="846"/>
        <v>0</v>
      </c>
      <c r="R2751" s="86">
        <f t="shared" si="847"/>
        <v>0</v>
      </c>
      <c r="S2751" s="86">
        <f t="shared" si="848"/>
        <v>0</v>
      </c>
      <c r="T2751" s="86">
        <f t="shared" si="849"/>
        <v>15709.730000000001</v>
      </c>
      <c r="U2751" s="87">
        <v>15709.730000000001</v>
      </c>
    </row>
    <row r="2752" spans="1:21" s="30" customFormat="1" ht="24.6" hidden="1" outlineLevel="1" x14ac:dyDescent="0.55000000000000004">
      <c r="A2752" s="27" t="s">
        <v>327</v>
      </c>
      <c r="B2752" s="28"/>
      <c r="C2752" s="27"/>
      <c r="D2752" s="27" t="str">
        <f>"""NAV Direct"",""CRONUS JetCorp USA"",""21"",""1"",""362660"""</f>
        <v>"NAV Direct","CRONUS JetCorp USA","21","1","362660"</v>
      </c>
      <c r="E2752" s="31">
        <f t="shared" si="841"/>
        <v>0</v>
      </c>
      <c r="F2752" s="31"/>
      <c r="G2752" s="31"/>
      <c r="H2752" s="31"/>
      <c r="I2752" s="56"/>
      <c r="J2752" s="56"/>
      <c r="K2752" s="82" t="str">
        <f t="shared" si="842"/>
        <v>Invoice</v>
      </c>
      <c r="L2752" s="83" t="str">
        <f>"SI_111334"</f>
        <v>SI_111334</v>
      </c>
      <c r="M2752" s="84">
        <v>42913</v>
      </c>
      <c r="N2752" s="85">
        <f t="shared" si="843"/>
        <v>899</v>
      </c>
      <c r="O2752" s="86">
        <f t="shared" si="844"/>
        <v>15709.37</v>
      </c>
      <c r="P2752" s="86">
        <f t="shared" si="845"/>
        <v>0</v>
      </c>
      <c r="Q2752" s="86">
        <f t="shared" si="846"/>
        <v>0</v>
      </c>
      <c r="R2752" s="86">
        <f t="shared" si="847"/>
        <v>0</v>
      </c>
      <c r="S2752" s="86">
        <f t="shared" si="848"/>
        <v>0</v>
      </c>
      <c r="T2752" s="86">
        <f t="shared" si="849"/>
        <v>15709.37</v>
      </c>
      <c r="U2752" s="87">
        <v>15709.37</v>
      </c>
    </row>
    <row r="2753" spans="1:21" s="30" customFormat="1" ht="24.6" hidden="1" outlineLevel="1" x14ac:dyDescent="0.55000000000000004">
      <c r="A2753" s="27" t="s">
        <v>327</v>
      </c>
      <c r="B2753" s="28"/>
      <c r="C2753" s="27"/>
      <c r="D2753" s="27" t="str">
        <f>"""NAV Direct"",""CRONUS JetCorp USA"",""21"",""1"",""362994"""</f>
        <v>"NAV Direct","CRONUS JetCorp USA","21","1","362994"</v>
      </c>
      <c r="E2753" s="31" t="str">
        <f t="shared" si="841"/>
        <v>C100086</v>
      </c>
      <c r="F2753" s="31"/>
      <c r="G2753" s="31"/>
      <c r="H2753" s="31"/>
      <c r="I2753" s="56"/>
      <c r="J2753" s="56"/>
      <c r="K2753" s="82" t="str">
        <f t="shared" si="842"/>
        <v>Invoice</v>
      </c>
      <c r="L2753" s="83" t="str">
        <f>"SI_111344"</f>
        <v>SI_111344</v>
      </c>
      <c r="M2753" s="84">
        <v>42989</v>
      </c>
      <c r="N2753" s="85">
        <f t="shared" si="843"/>
        <v>823</v>
      </c>
      <c r="O2753" s="86">
        <f t="shared" si="844"/>
        <v>12780.97</v>
      </c>
      <c r="P2753" s="86">
        <f t="shared" si="845"/>
        <v>0</v>
      </c>
      <c r="Q2753" s="86">
        <f t="shared" si="846"/>
        <v>0</v>
      </c>
      <c r="R2753" s="86">
        <f t="shared" si="847"/>
        <v>0</v>
      </c>
      <c r="S2753" s="86">
        <f t="shared" si="848"/>
        <v>0</v>
      </c>
      <c r="T2753" s="86">
        <f t="shared" si="849"/>
        <v>12780.97</v>
      </c>
      <c r="U2753" s="87">
        <v>12780.97</v>
      </c>
    </row>
    <row r="2754" spans="1:21" s="30" customFormat="1" ht="24.6" hidden="1" outlineLevel="1" x14ac:dyDescent="0.55000000000000004">
      <c r="A2754" s="27" t="s">
        <v>327</v>
      </c>
      <c r="B2754" s="28"/>
      <c r="C2754" s="27"/>
      <c r="D2754" s="27" t="str">
        <f>"""NAV Direct"",""CRONUS JetCorp USA"",""21"",""1"",""363093"""</f>
        <v>"NAV Direct","CRONUS JetCorp USA","21","1","363093"</v>
      </c>
      <c r="E2754" s="31">
        <f t="shared" si="841"/>
        <v>0</v>
      </c>
      <c r="F2754" s="31"/>
      <c r="G2754" s="31"/>
      <c r="H2754" s="31"/>
      <c r="I2754" s="56"/>
      <c r="J2754" s="56"/>
      <c r="K2754" s="82" t="str">
        <f t="shared" si="842"/>
        <v>Invoice</v>
      </c>
      <c r="L2754" s="83" t="str">
        <f>"SI_111347"</f>
        <v>SI_111347</v>
      </c>
      <c r="M2754" s="84">
        <v>43018</v>
      </c>
      <c r="N2754" s="85">
        <f t="shared" si="843"/>
        <v>794</v>
      </c>
      <c r="O2754" s="86">
        <f t="shared" si="844"/>
        <v>11604.710000000001</v>
      </c>
      <c r="P2754" s="86">
        <f t="shared" si="845"/>
        <v>0</v>
      </c>
      <c r="Q2754" s="86">
        <f t="shared" si="846"/>
        <v>0</v>
      </c>
      <c r="R2754" s="86">
        <f t="shared" si="847"/>
        <v>0</v>
      </c>
      <c r="S2754" s="86">
        <f t="shared" si="848"/>
        <v>0</v>
      </c>
      <c r="T2754" s="86">
        <f t="shared" si="849"/>
        <v>11604.710000000001</v>
      </c>
      <c r="U2754" s="87">
        <v>11604.710000000001</v>
      </c>
    </row>
    <row r="2755" spans="1:21" s="30" customFormat="1" ht="24.6" hidden="1" outlineLevel="1" x14ac:dyDescent="0.55000000000000004">
      <c r="A2755" s="27" t="s">
        <v>327</v>
      </c>
      <c r="B2755" s="28"/>
      <c r="C2755" s="27"/>
      <c r="D2755" s="27" t="str">
        <f>"""NAV Direct"",""CRONUS JetCorp USA"",""21"",""1"",""363145"""</f>
        <v>"NAV Direct","CRONUS JetCorp USA","21","1","363145"</v>
      </c>
      <c r="E2755" s="31" t="str">
        <f t="shared" si="841"/>
        <v>C100086</v>
      </c>
      <c r="F2755" s="31"/>
      <c r="G2755" s="31"/>
      <c r="H2755" s="31"/>
      <c r="I2755" s="56"/>
      <c r="J2755" s="56"/>
      <c r="K2755" s="82" t="str">
        <f t="shared" si="842"/>
        <v>Invoice</v>
      </c>
      <c r="L2755" s="83" t="str">
        <f>"SI_111349"</f>
        <v>SI_111349</v>
      </c>
      <c r="M2755" s="84">
        <v>43039</v>
      </c>
      <c r="N2755" s="85">
        <f t="shared" si="843"/>
        <v>773</v>
      </c>
      <c r="O2755" s="86">
        <f t="shared" si="844"/>
        <v>13090.169999999998</v>
      </c>
      <c r="P2755" s="86">
        <f t="shared" si="845"/>
        <v>0</v>
      </c>
      <c r="Q2755" s="86">
        <f t="shared" si="846"/>
        <v>0</v>
      </c>
      <c r="R2755" s="86">
        <f t="shared" si="847"/>
        <v>0</v>
      </c>
      <c r="S2755" s="86">
        <f t="shared" si="848"/>
        <v>0</v>
      </c>
      <c r="T2755" s="86">
        <f t="shared" si="849"/>
        <v>13090.169999999998</v>
      </c>
      <c r="U2755" s="87">
        <v>13090.169999999998</v>
      </c>
    </row>
    <row r="2756" spans="1:21" s="30" customFormat="1" ht="24.6" hidden="1" outlineLevel="1" x14ac:dyDescent="0.55000000000000004">
      <c r="A2756" s="27" t="s">
        <v>327</v>
      </c>
      <c r="B2756" s="28"/>
      <c r="C2756" s="27"/>
      <c r="D2756" s="27" t="str">
        <f>"""NAV Direct"",""CRONUS JetCorp USA"",""21"",""1"",""363312"""</f>
        <v>"NAV Direct","CRONUS JetCorp USA","21","1","363312"</v>
      </c>
      <c r="E2756" s="31">
        <f t="shared" si="841"/>
        <v>0</v>
      </c>
      <c r="F2756" s="31"/>
      <c r="G2756" s="31"/>
      <c r="H2756" s="31"/>
      <c r="I2756" s="56"/>
      <c r="J2756" s="56"/>
      <c r="K2756" s="82" t="str">
        <f t="shared" si="842"/>
        <v>Invoice</v>
      </c>
      <c r="L2756" s="83" t="str">
        <f>"SI_111354"</f>
        <v>SI_111354</v>
      </c>
      <c r="M2756" s="84">
        <v>43072</v>
      </c>
      <c r="N2756" s="85">
        <f t="shared" si="843"/>
        <v>740</v>
      </c>
      <c r="O2756" s="86">
        <f t="shared" si="844"/>
        <v>14137.750000000002</v>
      </c>
      <c r="P2756" s="86">
        <f t="shared" si="845"/>
        <v>0</v>
      </c>
      <c r="Q2756" s="86">
        <f t="shared" si="846"/>
        <v>0</v>
      </c>
      <c r="R2756" s="86">
        <f t="shared" si="847"/>
        <v>0</v>
      </c>
      <c r="S2756" s="86">
        <f t="shared" si="848"/>
        <v>0</v>
      </c>
      <c r="T2756" s="86">
        <f t="shared" si="849"/>
        <v>14137.750000000002</v>
      </c>
      <c r="U2756" s="87">
        <v>14137.750000000002</v>
      </c>
    </row>
    <row r="2757" spans="1:21" s="30" customFormat="1" ht="24.6" hidden="1" outlineLevel="1" x14ac:dyDescent="0.55000000000000004">
      <c r="A2757" s="27" t="s">
        <v>327</v>
      </c>
      <c r="B2757" s="28"/>
      <c r="C2757" s="27"/>
      <c r="D2757" s="27" t="str">
        <f>"""NAV Direct"",""CRONUS JetCorp USA"",""21"",""1"",""363392"""</f>
        <v>"NAV Direct","CRONUS JetCorp USA","21","1","363392"</v>
      </c>
      <c r="E2757" s="31" t="str">
        <f t="shared" si="841"/>
        <v>C100086</v>
      </c>
      <c r="F2757" s="31"/>
      <c r="G2757" s="31"/>
      <c r="H2757" s="31"/>
      <c r="I2757" s="56"/>
      <c r="J2757" s="56"/>
      <c r="K2757" s="82" t="str">
        <f t="shared" si="842"/>
        <v>Invoice</v>
      </c>
      <c r="L2757" s="83" t="str">
        <f>"SI_111356"</f>
        <v>SI_111356</v>
      </c>
      <c r="M2757" s="84">
        <v>43076</v>
      </c>
      <c r="N2757" s="85">
        <f t="shared" si="843"/>
        <v>736</v>
      </c>
      <c r="O2757" s="86">
        <f t="shared" si="844"/>
        <v>14138.08</v>
      </c>
      <c r="P2757" s="86">
        <f t="shared" si="845"/>
        <v>0</v>
      </c>
      <c r="Q2757" s="86">
        <f t="shared" si="846"/>
        <v>0</v>
      </c>
      <c r="R2757" s="86">
        <f t="shared" si="847"/>
        <v>0</v>
      </c>
      <c r="S2757" s="86">
        <f t="shared" si="848"/>
        <v>0</v>
      </c>
      <c r="T2757" s="86">
        <f t="shared" si="849"/>
        <v>14138.08</v>
      </c>
      <c r="U2757" s="87">
        <v>14138.08</v>
      </c>
    </row>
    <row r="2758" spans="1:21" s="30" customFormat="1" ht="24.6" hidden="1" outlineLevel="1" x14ac:dyDescent="0.55000000000000004">
      <c r="A2758" s="27" t="s">
        <v>327</v>
      </c>
      <c r="B2758" s="28"/>
      <c r="C2758" s="27"/>
      <c r="D2758" s="27" t="str">
        <f>"""NAV Direct"",""CRONUS JetCorp USA"",""21"",""1"",""363573"""</f>
        <v>"NAV Direct","CRONUS JetCorp USA","21","1","363573"</v>
      </c>
      <c r="E2758" s="31">
        <f t="shared" si="841"/>
        <v>0</v>
      </c>
      <c r="F2758" s="31"/>
      <c r="G2758" s="31"/>
      <c r="H2758" s="31"/>
      <c r="I2758" s="56"/>
      <c r="J2758" s="56"/>
      <c r="K2758" s="82" t="str">
        <f t="shared" si="842"/>
        <v>Invoice</v>
      </c>
      <c r="L2758" s="83" t="str">
        <f>"SI_111361"</f>
        <v>SI_111361</v>
      </c>
      <c r="M2758" s="84">
        <v>43116</v>
      </c>
      <c r="N2758" s="85">
        <f t="shared" si="843"/>
        <v>696</v>
      </c>
      <c r="O2758" s="86">
        <f t="shared" si="844"/>
        <v>16399.59</v>
      </c>
      <c r="P2758" s="86">
        <f t="shared" si="845"/>
        <v>0</v>
      </c>
      <c r="Q2758" s="86">
        <f t="shared" si="846"/>
        <v>0</v>
      </c>
      <c r="R2758" s="86">
        <f t="shared" si="847"/>
        <v>0</v>
      </c>
      <c r="S2758" s="86">
        <f t="shared" si="848"/>
        <v>0</v>
      </c>
      <c r="T2758" s="86">
        <f t="shared" si="849"/>
        <v>16399.59</v>
      </c>
      <c r="U2758" s="87">
        <v>16399.59</v>
      </c>
    </row>
    <row r="2759" spans="1:21" s="30" customFormat="1" ht="24.6" hidden="1" outlineLevel="1" x14ac:dyDescent="0.55000000000000004">
      <c r="A2759" s="27" t="s">
        <v>327</v>
      </c>
      <c r="B2759" s="28"/>
      <c r="C2759" s="27"/>
      <c r="D2759" s="27" t="str">
        <f>"""NAV Direct"",""CRONUS JetCorp USA"",""21"",""1"",""363862"""</f>
        <v>"NAV Direct","CRONUS JetCorp USA","21","1","363862"</v>
      </c>
      <c r="E2759" s="31" t="str">
        <f t="shared" ref="E2759:E2790" si="850">E2757</f>
        <v>C100086</v>
      </c>
      <c r="F2759" s="31"/>
      <c r="G2759" s="31"/>
      <c r="H2759" s="31"/>
      <c r="I2759" s="56"/>
      <c r="J2759" s="56"/>
      <c r="K2759" s="82" t="str">
        <f t="shared" ref="K2759:K2790" si="851">"Invoice"</f>
        <v>Invoice</v>
      </c>
      <c r="L2759" s="83" t="str">
        <f>"SI_111368"</f>
        <v>SI_111368</v>
      </c>
      <c r="M2759" s="84">
        <v>43160</v>
      </c>
      <c r="N2759" s="85">
        <f t="shared" ref="N2759:N2790" si="852">StartDate-$M2759+1</f>
        <v>652</v>
      </c>
      <c r="O2759" s="86">
        <f t="shared" ref="O2759:O2790" si="853">SUM(P2759:T2759)</f>
        <v>15284.050000000001</v>
      </c>
      <c r="P2759" s="86">
        <f t="shared" ref="P2759:P2790" si="854">IF($M2759&gt;=$P$18,U2759,0)</f>
        <v>0</v>
      </c>
      <c r="Q2759" s="86">
        <f t="shared" ref="Q2759:Q2790" si="855">IF(AND($M2759&gt;=$Q$16,$M2759&lt;=$Q$18),U2759,0)</f>
        <v>0</v>
      </c>
      <c r="R2759" s="86">
        <f t="shared" ref="R2759:R2790" si="856">IF(AND($M2759&gt;=$R$16,$M2759&lt;=$R$18),U2759,0)</f>
        <v>0</v>
      </c>
      <c r="S2759" s="86">
        <f t="shared" ref="S2759:S2790" si="857">IF(AND($M2759&gt;=$S$16,$M2759&lt;=$S$18),U2759,0)</f>
        <v>0</v>
      </c>
      <c r="T2759" s="86">
        <f t="shared" ref="T2759:T2790" si="858">IF($M2759&lt;=$T$18,U2759,0)</f>
        <v>15284.050000000001</v>
      </c>
      <c r="U2759" s="87">
        <v>15284.050000000001</v>
      </c>
    </row>
    <row r="2760" spans="1:21" s="30" customFormat="1" ht="24.6" hidden="1" outlineLevel="1" x14ac:dyDescent="0.55000000000000004">
      <c r="A2760" s="27" t="s">
        <v>327</v>
      </c>
      <c r="B2760" s="28"/>
      <c r="C2760" s="27"/>
      <c r="D2760" s="27" t="str">
        <f>"""NAV Direct"",""CRONUS JetCorp USA"",""21"",""1"",""364037"""</f>
        <v>"NAV Direct","CRONUS JetCorp USA","21","1","364037"</v>
      </c>
      <c r="E2760" s="31">
        <f t="shared" si="850"/>
        <v>0</v>
      </c>
      <c r="F2760" s="31"/>
      <c r="G2760" s="31"/>
      <c r="H2760" s="31"/>
      <c r="I2760" s="56"/>
      <c r="J2760" s="56"/>
      <c r="K2760" s="82" t="str">
        <f t="shared" si="851"/>
        <v>Invoice</v>
      </c>
      <c r="L2760" s="83" t="str">
        <f>"SI_111373"</f>
        <v>SI_111373</v>
      </c>
      <c r="M2760" s="84">
        <v>43183</v>
      </c>
      <c r="N2760" s="85">
        <f t="shared" si="852"/>
        <v>629</v>
      </c>
      <c r="O2760" s="86">
        <f t="shared" si="853"/>
        <v>14245.650000000001</v>
      </c>
      <c r="P2760" s="86">
        <f t="shared" si="854"/>
        <v>0</v>
      </c>
      <c r="Q2760" s="86">
        <f t="shared" si="855"/>
        <v>0</v>
      </c>
      <c r="R2760" s="86">
        <f t="shared" si="856"/>
        <v>0</v>
      </c>
      <c r="S2760" s="86">
        <f t="shared" si="857"/>
        <v>0</v>
      </c>
      <c r="T2760" s="86">
        <f t="shared" si="858"/>
        <v>14245.650000000001</v>
      </c>
      <c r="U2760" s="87">
        <v>14245.650000000001</v>
      </c>
    </row>
    <row r="2761" spans="1:21" s="30" customFormat="1" ht="24.6" hidden="1" outlineLevel="1" x14ac:dyDescent="0.55000000000000004">
      <c r="A2761" s="27" t="s">
        <v>327</v>
      </c>
      <c r="B2761" s="28"/>
      <c r="C2761" s="27"/>
      <c r="D2761" s="27" t="str">
        <f>"""NAV Direct"",""CRONUS JetCorp USA"",""21"",""1"",""364185"""</f>
        <v>"NAV Direct","CRONUS JetCorp USA","21","1","364185"</v>
      </c>
      <c r="E2761" s="31" t="str">
        <f t="shared" si="850"/>
        <v>C100086</v>
      </c>
      <c r="F2761" s="31"/>
      <c r="G2761" s="31"/>
      <c r="H2761" s="31"/>
      <c r="I2761" s="56"/>
      <c r="J2761" s="56"/>
      <c r="K2761" s="82" t="str">
        <f t="shared" si="851"/>
        <v>Invoice</v>
      </c>
      <c r="L2761" s="83" t="str">
        <f>"SI_111377"</f>
        <v>SI_111377</v>
      </c>
      <c r="M2761" s="84">
        <v>43193</v>
      </c>
      <c r="N2761" s="85">
        <f t="shared" si="852"/>
        <v>619</v>
      </c>
      <c r="O2761" s="86">
        <f t="shared" si="853"/>
        <v>14245.07</v>
      </c>
      <c r="P2761" s="86">
        <f t="shared" si="854"/>
        <v>0</v>
      </c>
      <c r="Q2761" s="86">
        <f t="shared" si="855"/>
        <v>0</v>
      </c>
      <c r="R2761" s="86">
        <f t="shared" si="856"/>
        <v>0</v>
      </c>
      <c r="S2761" s="86">
        <f t="shared" si="857"/>
        <v>0</v>
      </c>
      <c r="T2761" s="86">
        <f t="shared" si="858"/>
        <v>14245.07</v>
      </c>
      <c r="U2761" s="87">
        <v>14245.07</v>
      </c>
    </row>
    <row r="2762" spans="1:21" s="30" customFormat="1" ht="24.6" hidden="1" outlineLevel="1" x14ac:dyDescent="0.55000000000000004">
      <c r="A2762" s="27" t="s">
        <v>327</v>
      </c>
      <c r="B2762" s="28"/>
      <c r="C2762" s="27"/>
      <c r="D2762" s="27" t="str">
        <f>"""NAV Direct"",""CRONUS JetCorp USA"",""21"",""1"",""364228"""</f>
        <v>"NAV Direct","CRONUS JetCorp USA","21","1","364228"</v>
      </c>
      <c r="E2762" s="31">
        <f t="shared" si="850"/>
        <v>0</v>
      </c>
      <c r="F2762" s="31"/>
      <c r="G2762" s="31"/>
      <c r="H2762" s="31"/>
      <c r="I2762" s="56"/>
      <c r="J2762" s="56"/>
      <c r="K2762" s="82" t="str">
        <f t="shared" si="851"/>
        <v>Invoice</v>
      </c>
      <c r="L2762" s="83" t="str">
        <f>"SI_111378"</f>
        <v>SI_111378</v>
      </c>
      <c r="M2762" s="84">
        <v>43222</v>
      </c>
      <c r="N2762" s="85">
        <f t="shared" si="852"/>
        <v>590</v>
      </c>
      <c r="O2762" s="86">
        <f t="shared" si="853"/>
        <v>15270.339999999998</v>
      </c>
      <c r="P2762" s="86">
        <f t="shared" si="854"/>
        <v>0</v>
      </c>
      <c r="Q2762" s="86">
        <f t="shared" si="855"/>
        <v>0</v>
      </c>
      <c r="R2762" s="86">
        <f t="shared" si="856"/>
        <v>0</v>
      </c>
      <c r="S2762" s="86">
        <f t="shared" si="857"/>
        <v>0</v>
      </c>
      <c r="T2762" s="86">
        <f t="shared" si="858"/>
        <v>15270.339999999998</v>
      </c>
      <c r="U2762" s="87">
        <v>15270.339999999998</v>
      </c>
    </row>
    <row r="2763" spans="1:21" s="30" customFormat="1" ht="24.6" hidden="1" outlineLevel="1" x14ac:dyDescent="0.55000000000000004">
      <c r="A2763" s="27" t="s">
        <v>327</v>
      </c>
      <c r="B2763" s="28"/>
      <c r="C2763" s="27"/>
      <c r="D2763" s="27" t="str">
        <f>"""NAV Direct"",""CRONUS JetCorp USA"",""21"",""1"",""364345"""</f>
        <v>"NAV Direct","CRONUS JetCorp USA","21","1","364345"</v>
      </c>
      <c r="E2763" s="31" t="str">
        <f t="shared" si="850"/>
        <v>C100086</v>
      </c>
      <c r="F2763" s="31"/>
      <c r="G2763" s="31"/>
      <c r="H2763" s="31"/>
      <c r="I2763" s="56"/>
      <c r="J2763" s="56"/>
      <c r="K2763" s="82" t="str">
        <f t="shared" si="851"/>
        <v>Invoice</v>
      </c>
      <c r="L2763" s="83" t="str">
        <f>"SI_111381"</f>
        <v>SI_111381</v>
      </c>
      <c r="M2763" s="84">
        <v>43226</v>
      </c>
      <c r="N2763" s="85">
        <f t="shared" si="852"/>
        <v>586</v>
      </c>
      <c r="O2763" s="86">
        <f t="shared" si="853"/>
        <v>15270.46</v>
      </c>
      <c r="P2763" s="86">
        <f t="shared" si="854"/>
        <v>0</v>
      </c>
      <c r="Q2763" s="86">
        <f t="shared" si="855"/>
        <v>0</v>
      </c>
      <c r="R2763" s="86">
        <f t="shared" si="856"/>
        <v>0</v>
      </c>
      <c r="S2763" s="86">
        <f t="shared" si="857"/>
        <v>0</v>
      </c>
      <c r="T2763" s="86">
        <f t="shared" si="858"/>
        <v>15270.46</v>
      </c>
      <c r="U2763" s="87">
        <v>15270.46</v>
      </c>
    </row>
    <row r="2764" spans="1:21" s="30" customFormat="1" ht="24.6" hidden="1" outlineLevel="1" x14ac:dyDescent="0.55000000000000004">
      <c r="A2764" s="27" t="s">
        <v>327</v>
      </c>
      <c r="B2764" s="28"/>
      <c r="C2764" s="27"/>
      <c r="D2764" s="27" t="str">
        <f>"""NAV Direct"",""CRONUS JetCorp USA"",""21"",""1"",""364378"""</f>
        <v>"NAV Direct","CRONUS JetCorp USA","21","1","364378"</v>
      </c>
      <c r="E2764" s="31">
        <f t="shared" si="850"/>
        <v>0</v>
      </c>
      <c r="F2764" s="31"/>
      <c r="G2764" s="31"/>
      <c r="H2764" s="31"/>
      <c r="I2764" s="56"/>
      <c r="J2764" s="56"/>
      <c r="K2764" s="82" t="str">
        <f t="shared" si="851"/>
        <v>Invoice</v>
      </c>
      <c r="L2764" s="83" t="str">
        <f>"SI_111382"</f>
        <v>SI_111382</v>
      </c>
      <c r="M2764" s="84">
        <v>43242</v>
      </c>
      <c r="N2764" s="85">
        <f t="shared" si="852"/>
        <v>570</v>
      </c>
      <c r="O2764" s="86">
        <f t="shared" si="853"/>
        <v>17592.25</v>
      </c>
      <c r="P2764" s="86">
        <f t="shared" si="854"/>
        <v>0</v>
      </c>
      <c r="Q2764" s="86">
        <f t="shared" si="855"/>
        <v>0</v>
      </c>
      <c r="R2764" s="86">
        <f t="shared" si="856"/>
        <v>0</v>
      </c>
      <c r="S2764" s="86">
        <f t="shared" si="857"/>
        <v>0</v>
      </c>
      <c r="T2764" s="86">
        <f t="shared" si="858"/>
        <v>17592.25</v>
      </c>
      <c r="U2764" s="87">
        <v>17592.25</v>
      </c>
    </row>
    <row r="2765" spans="1:21" s="30" customFormat="1" ht="24.6" hidden="1" outlineLevel="1" x14ac:dyDescent="0.55000000000000004">
      <c r="A2765" s="27" t="s">
        <v>327</v>
      </c>
      <c r="B2765" s="28"/>
      <c r="C2765" s="27"/>
      <c r="D2765" s="27" t="str">
        <f>"""NAV Direct"",""CRONUS JetCorp USA"",""21"",""1"",""364662"""</f>
        <v>"NAV Direct","CRONUS JetCorp USA","21","1","364662"</v>
      </c>
      <c r="E2765" s="31" t="str">
        <f t="shared" si="850"/>
        <v>C100086</v>
      </c>
      <c r="F2765" s="31"/>
      <c r="G2765" s="31"/>
      <c r="H2765" s="31"/>
      <c r="I2765" s="56"/>
      <c r="J2765" s="56"/>
      <c r="K2765" s="82" t="str">
        <f t="shared" si="851"/>
        <v>Invoice</v>
      </c>
      <c r="L2765" s="83" t="str">
        <f>"SI_111390"</f>
        <v>SI_111390</v>
      </c>
      <c r="M2765" s="84">
        <v>43276</v>
      </c>
      <c r="N2765" s="85">
        <f t="shared" si="852"/>
        <v>536</v>
      </c>
      <c r="O2765" s="86">
        <f t="shared" si="853"/>
        <v>19984.34</v>
      </c>
      <c r="P2765" s="86">
        <f t="shared" si="854"/>
        <v>0</v>
      </c>
      <c r="Q2765" s="86">
        <f t="shared" si="855"/>
        <v>0</v>
      </c>
      <c r="R2765" s="86">
        <f t="shared" si="856"/>
        <v>0</v>
      </c>
      <c r="S2765" s="86">
        <f t="shared" si="857"/>
        <v>0</v>
      </c>
      <c r="T2765" s="86">
        <f t="shared" si="858"/>
        <v>19984.34</v>
      </c>
      <c r="U2765" s="87">
        <v>19984.34</v>
      </c>
    </row>
    <row r="2766" spans="1:21" s="30" customFormat="1" ht="24.6" hidden="1" outlineLevel="1" x14ac:dyDescent="0.55000000000000004">
      <c r="A2766" s="27" t="s">
        <v>327</v>
      </c>
      <c r="B2766" s="28"/>
      <c r="C2766" s="27"/>
      <c r="D2766" s="27" t="str">
        <f>"""NAV Direct"",""CRONUS JetCorp USA"",""21"",""1"",""365145"""</f>
        <v>"NAV Direct","CRONUS JetCorp USA","21","1","365145"</v>
      </c>
      <c r="E2766" s="31">
        <f t="shared" si="850"/>
        <v>0</v>
      </c>
      <c r="F2766" s="31"/>
      <c r="G2766" s="31"/>
      <c r="H2766" s="31"/>
      <c r="I2766" s="56"/>
      <c r="J2766" s="56"/>
      <c r="K2766" s="82" t="str">
        <f t="shared" si="851"/>
        <v>Invoice</v>
      </c>
      <c r="L2766" s="83" t="str">
        <f>"SI_111403"</f>
        <v>SI_111403</v>
      </c>
      <c r="M2766" s="84">
        <v>43342</v>
      </c>
      <c r="N2766" s="85">
        <f t="shared" si="852"/>
        <v>470</v>
      </c>
      <c r="O2766" s="86">
        <f t="shared" si="853"/>
        <v>16907.23</v>
      </c>
      <c r="P2766" s="86">
        <f t="shared" si="854"/>
        <v>0</v>
      </c>
      <c r="Q2766" s="86">
        <f t="shared" si="855"/>
        <v>0</v>
      </c>
      <c r="R2766" s="86">
        <f t="shared" si="856"/>
        <v>0</v>
      </c>
      <c r="S2766" s="86">
        <f t="shared" si="857"/>
        <v>0</v>
      </c>
      <c r="T2766" s="86">
        <f t="shared" si="858"/>
        <v>16907.23</v>
      </c>
      <c r="U2766" s="87">
        <v>16907.23</v>
      </c>
    </row>
    <row r="2767" spans="1:21" s="30" customFormat="1" ht="24.6" hidden="1" outlineLevel="1" x14ac:dyDescent="0.55000000000000004">
      <c r="A2767" s="27" t="s">
        <v>327</v>
      </c>
      <c r="B2767" s="28"/>
      <c r="C2767" s="27"/>
      <c r="D2767" s="27" t="str">
        <f>"""NAV Direct"",""CRONUS JetCorp USA"",""21"",""1"",""365221"""</f>
        <v>"NAV Direct","CRONUS JetCorp USA","21","1","365221"</v>
      </c>
      <c r="E2767" s="31" t="str">
        <f t="shared" si="850"/>
        <v>C100086</v>
      </c>
      <c r="F2767" s="31"/>
      <c r="G2767" s="31"/>
      <c r="H2767" s="31"/>
      <c r="I2767" s="56"/>
      <c r="J2767" s="56"/>
      <c r="K2767" s="82" t="str">
        <f t="shared" si="851"/>
        <v>Invoice</v>
      </c>
      <c r="L2767" s="83" t="str">
        <f>"SI_111405"</f>
        <v>SI_111405</v>
      </c>
      <c r="M2767" s="84">
        <v>43363</v>
      </c>
      <c r="N2767" s="85">
        <f t="shared" si="852"/>
        <v>449</v>
      </c>
      <c r="O2767" s="86">
        <f t="shared" si="853"/>
        <v>15554.569999999998</v>
      </c>
      <c r="P2767" s="86">
        <f t="shared" si="854"/>
        <v>0</v>
      </c>
      <c r="Q2767" s="86">
        <f t="shared" si="855"/>
        <v>0</v>
      </c>
      <c r="R2767" s="86">
        <f t="shared" si="856"/>
        <v>0</v>
      </c>
      <c r="S2767" s="86">
        <f t="shared" si="857"/>
        <v>0</v>
      </c>
      <c r="T2767" s="86">
        <f t="shared" si="858"/>
        <v>15554.569999999998</v>
      </c>
      <c r="U2767" s="87">
        <v>15554.569999999998</v>
      </c>
    </row>
    <row r="2768" spans="1:21" s="30" customFormat="1" ht="24.6" hidden="1" outlineLevel="1" x14ac:dyDescent="0.55000000000000004">
      <c r="A2768" s="27" t="s">
        <v>327</v>
      </c>
      <c r="B2768" s="28"/>
      <c r="C2768" s="27"/>
      <c r="D2768" s="27" t="str">
        <f>"""NAV Direct"",""CRONUS JetCorp USA"",""21"",""1"",""365293"""</f>
        <v>"NAV Direct","CRONUS JetCorp USA","21","1","365293"</v>
      </c>
      <c r="E2768" s="31">
        <f t="shared" si="850"/>
        <v>0</v>
      </c>
      <c r="F2768" s="31"/>
      <c r="G2768" s="31"/>
      <c r="H2768" s="31"/>
      <c r="I2768" s="56"/>
      <c r="J2768" s="56"/>
      <c r="K2768" s="82" t="str">
        <f t="shared" si="851"/>
        <v>Invoice</v>
      </c>
      <c r="L2768" s="83" t="str">
        <f>"SI_111407"</f>
        <v>SI_111407</v>
      </c>
      <c r="M2768" s="84">
        <v>43373</v>
      </c>
      <c r="N2768" s="85">
        <f t="shared" si="852"/>
        <v>439</v>
      </c>
      <c r="O2768" s="86">
        <f t="shared" si="853"/>
        <v>15554.52</v>
      </c>
      <c r="P2768" s="86">
        <f t="shared" si="854"/>
        <v>0</v>
      </c>
      <c r="Q2768" s="86">
        <f t="shared" si="855"/>
        <v>0</v>
      </c>
      <c r="R2768" s="86">
        <f t="shared" si="856"/>
        <v>0</v>
      </c>
      <c r="S2768" s="86">
        <f t="shared" si="857"/>
        <v>0</v>
      </c>
      <c r="T2768" s="86">
        <f t="shared" si="858"/>
        <v>15554.52</v>
      </c>
      <c r="U2768" s="87">
        <v>15554.52</v>
      </c>
    </row>
    <row r="2769" spans="1:21" s="30" customFormat="1" ht="24.6" hidden="1" outlineLevel="1" x14ac:dyDescent="0.55000000000000004">
      <c r="A2769" s="27" t="s">
        <v>327</v>
      </c>
      <c r="B2769" s="28"/>
      <c r="C2769" s="27"/>
      <c r="D2769" s="27" t="str">
        <f>"""NAV Direct"",""CRONUS JetCorp USA"",""21"",""1"",""365326"""</f>
        <v>"NAV Direct","CRONUS JetCorp USA","21","1","365326"</v>
      </c>
      <c r="E2769" s="31" t="str">
        <f t="shared" si="850"/>
        <v>C100086</v>
      </c>
      <c r="F2769" s="31"/>
      <c r="G2769" s="31"/>
      <c r="H2769" s="31"/>
      <c r="I2769" s="56"/>
      <c r="J2769" s="56"/>
      <c r="K2769" s="82" t="str">
        <f t="shared" si="851"/>
        <v>Invoice</v>
      </c>
      <c r="L2769" s="83" t="str">
        <f>"SI_111408"</f>
        <v>SI_111408</v>
      </c>
      <c r="M2769" s="84">
        <v>43376</v>
      </c>
      <c r="N2769" s="85">
        <f t="shared" si="852"/>
        <v>436</v>
      </c>
      <c r="O2769" s="86">
        <f t="shared" si="853"/>
        <v>15554.13</v>
      </c>
      <c r="P2769" s="86">
        <f t="shared" si="854"/>
        <v>0</v>
      </c>
      <c r="Q2769" s="86">
        <f t="shared" si="855"/>
        <v>0</v>
      </c>
      <c r="R2769" s="86">
        <f t="shared" si="856"/>
        <v>0</v>
      </c>
      <c r="S2769" s="86">
        <f t="shared" si="857"/>
        <v>0</v>
      </c>
      <c r="T2769" s="86">
        <f t="shared" si="858"/>
        <v>15554.13</v>
      </c>
      <c r="U2769" s="87">
        <v>15554.13</v>
      </c>
    </row>
    <row r="2770" spans="1:21" s="30" customFormat="1" ht="24.6" hidden="1" outlineLevel="1" x14ac:dyDescent="0.55000000000000004">
      <c r="A2770" s="27" t="s">
        <v>327</v>
      </c>
      <c r="B2770" s="28"/>
      <c r="C2770" s="27"/>
      <c r="D2770" s="27" t="str">
        <f>"""NAV Direct"",""CRONUS JetCorp USA"",""21"",""1"",""365351"""</f>
        <v>"NAV Direct","CRONUS JetCorp USA","21","1","365351"</v>
      </c>
      <c r="E2770" s="31">
        <f t="shared" si="850"/>
        <v>0</v>
      </c>
      <c r="F2770" s="31"/>
      <c r="G2770" s="31"/>
      <c r="H2770" s="31"/>
      <c r="I2770" s="56"/>
      <c r="J2770" s="56"/>
      <c r="K2770" s="82" t="str">
        <f t="shared" si="851"/>
        <v>Invoice</v>
      </c>
      <c r="L2770" s="83" t="str">
        <f>"SI_111409"</f>
        <v>SI_111409</v>
      </c>
      <c r="M2770" s="84">
        <v>43382</v>
      </c>
      <c r="N2770" s="85">
        <f t="shared" si="852"/>
        <v>430</v>
      </c>
      <c r="O2770" s="86">
        <f t="shared" si="853"/>
        <v>15554.07</v>
      </c>
      <c r="P2770" s="86">
        <f t="shared" si="854"/>
        <v>0</v>
      </c>
      <c r="Q2770" s="86">
        <f t="shared" si="855"/>
        <v>0</v>
      </c>
      <c r="R2770" s="86">
        <f t="shared" si="856"/>
        <v>0</v>
      </c>
      <c r="S2770" s="86">
        <f t="shared" si="857"/>
        <v>0</v>
      </c>
      <c r="T2770" s="86">
        <f t="shared" si="858"/>
        <v>15554.07</v>
      </c>
      <c r="U2770" s="87">
        <v>15554.07</v>
      </c>
    </row>
    <row r="2771" spans="1:21" s="30" customFormat="1" ht="24.6" hidden="1" outlineLevel="1" x14ac:dyDescent="0.55000000000000004">
      <c r="A2771" s="27" t="s">
        <v>327</v>
      </c>
      <c r="B2771" s="28"/>
      <c r="C2771" s="27"/>
      <c r="D2771" s="27" t="str">
        <f>"""NAV Direct"",""CRONUS JetCorp USA"",""21"",""1"",""365442"""</f>
        <v>"NAV Direct","CRONUS JetCorp USA","21","1","365442"</v>
      </c>
      <c r="E2771" s="31" t="str">
        <f t="shared" si="850"/>
        <v>C100086</v>
      </c>
      <c r="F2771" s="31"/>
      <c r="G2771" s="31"/>
      <c r="H2771" s="31"/>
      <c r="I2771" s="56"/>
      <c r="J2771" s="56"/>
      <c r="K2771" s="82" t="str">
        <f t="shared" si="851"/>
        <v>Invoice</v>
      </c>
      <c r="L2771" s="83" t="str">
        <f>"SI_111412"</f>
        <v>SI_111412</v>
      </c>
      <c r="M2771" s="84">
        <v>43414</v>
      </c>
      <c r="N2771" s="85">
        <f t="shared" si="852"/>
        <v>398</v>
      </c>
      <c r="O2771" s="86">
        <f t="shared" si="853"/>
        <v>17794.190000000002</v>
      </c>
      <c r="P2771" s="86">
        <f t="shared" si="854"/>
        <v>0</v>
      </c>
      <c r="Q2771" s="86">
        <f t="shared" si="855"/>
        <v>0</v>
      </c>
      <c r="R2771" s="86">
        <f t="shared" si="856"/>
        <v>0</v>
      </c>
      <c r="S2771" s="86">
        <f t="shared" si="857"/>
        <v>0</v>
      </c>
      <c r="T2771" s="86">
        <f t="shared" si="858"/>
        <v>17794.190000000002</v>
      </c>
      <c r="U2771" s="87">
        <v>17794.190000000002</v>
      </c>
    </row>
    <row r="2772" spans="1:21" s="30" customFormat="1" ht="24.6" hidden="1" outlineLevel="1" x14ac:dyDescent="0.55000000000000004">
      <c r="A2772" s="27" t="s">
        <v>327</v>
      </c>
      <c r="B2772" s="28"/>
      <c r="C2772" s="27"/>
      <c r="D2772" s="27" t="str">
        <f>"""NAV Direct"",""CRONUS JetCorp USA"",""21"",""1"",""365635"""</f>
        <v>"NAV Direct","CRONUS JetCorp USA","21","1","365635"</v>
      </c>
      <c r="E2772" s="31">
        <f t="shared" si="850"/>
        <v>0</v>
      </c>
      <c r="F2772" s="31"/>
      <c r="G2772" s="31"/>
      <c r="H2772" s="31"/>
      <c r="I2772" s="56"/>
      <c r="J2772" s="56"/>
      <c r="K2772" s="82" t="str">
        <f t="shared" si="851"/>
        <v>Invoice</v>
      </c>
      <c r="L2772" s="83" t="str">
        <f>"SI_111417"</f>
        <v>SI_111417</v>
      </c>
      <c r="M2772" s="84">
        <v>43435</v>
      </c>
      <c r="N2772" s="85">
        <f t="shared" si="852"/>
        <v>377</v>
      </c>
      <c r="O2772" s="86">
        <f t="shared" si="853"/>
        <v>19147.16</v>
      </c>
      <c r="P2772" s="86">
        <f t="shared" si="854"/>
        <v>0</v>
      </c>
      <c r="Q2772" s="86">
        <f t="shared" si="855"/>
        <v>0</v>
      </c>
      <c r="R2772" s="86">
        <f t="shared" si="856"/>
        <v>0</v>
      </c>
      <c r="S2772" s="86">
        <f t="shared" si="857"/>
        <v>0</v>
      </c>
      <c r="T2772" s="86">
        <f t="shared" si="858"/>
        <v>19147.16</v>
      </c>
      <c r="U2772" s="87">
        <v>19147.16</v>
      </c>
    </row>
    <row r="2773" spans="1:21" s="30" customFormat="1" ht="24.6" hidden="1" outlineLevel="1" x14ac:dyDescent="0.55000000000000004">
      <c r="A2773" s="27" t="s">
        <v>327</v>
      </c>
      <c r="B2773" s="28"/>
      <c r="C2773" s="27"/>
      <c r="D2773" s="27" t="str">
        <f>"""NAV Direct"",""CRONUS JetCorp USA"",""21"",""1"",""365656"""</f>
        <v>"NAV Direct","CRONUS JetCorp USA","21","1","365656"</v>
      </c>
      <c r="E2773" s="31" t="str">
        <f t="shared" si="850"/>
        <v>C100086</v>
      </c>
      <c r="F2773" s="31"/>
      <c r="G2773" s="31"/>
      <c r="H2773" s="31"/>
      <c r="I2773" s="56"/>
      <c r="J2773" s="56"/>
      <c r="K2773" s="82" t="str">
        <f t="shared" si="851"/>
        <v>Invoice</v>
      </c>
      <c r="L2773" s="83" t="str">
        <f>"SI_111418"</f>
        <v>SI_111418</v>
      </c>
      <c r="M2773" s="84">
        <v>43431</v>
      </c>
      <c r="N2773" s="85">
        <f t="shared" si="852"/>
        <v>381</v>
      </c>
      <c r="O2773" s="86">
        <f t="shared" si="853"/>
        <v>19146.98</v>
      </c>
      <c r="P2773" s="86">
        <f t="shared" si="854"/>
        <v>0</v>
      </c>
      <c r="Q2773" s="86">
        <f t="shared" si="855"/>
        <v>0</v>
      </c>
      <c r="R2773" s="86">
        <f t="shared" si="856"/>
        <v>0</v>
      </c>
      <c r="S2773" s="86">
        <f t="shared" si="857"/>
        <v>0</v>
      </c>
      <c r="T2773" s="86">
        <f t="shared" si="858"/>
        <v>19146.98</v>
      </c>
      <c r="U2773" s="87">
        <v>19146.98</v>
      </c>
    </row>
    <row r="2774" spans="1:21" s="30" customFormat="1" ht="24.6" hidden="1" outlineLevel="1" x14ac:dyDescent="0.55000000000000004">
      <c r="A2774" s="27" t="s">
        <v>327</v>
      </c>
      <c r="B2774" s="28"/>
      <c r="C2774" s="27"/>
      <c r="D2774" s="27" t="str">
        <f>"""NAV Direct"",""CRONUS JetCorp USA"",""21"",""1"",""365755"""</f>
        <v>"NAV Direct","CRONUS JetCorp USA","21","1","365755"</v>
      </c>
      <c r="E2774" s="31">
        <f t="shared" si="850"/>
        <v>0</v>
      </c>
      <c r="F2774" s="31"/>
      <c r="G2774" s="31"/>
      <c r="H2774" s="31"/>
      <c r="I2774" s="56"/>
      <c r="J2774" s="56"/>
      <c r="K2774" s="82" t="str">
        <f t="shared" si="851"/>
        <v>Invoice</v>
      </c>
      <c r="L2774" s="83" t="str">
        <f>"SI_111421"</f>
        <v>SI_111421</v>
      </c>
      <c r="M2774" s="84">
        <v>43455</v>
      </c>
      <c r="N2774" s="85">
        <f t="shared" si="852"/>
        <v>357</v>
      </c>
      <c r="O2774" s="86">
        <f t="shared" si="853"/>
        <v>21291.38</v>
      </c>
      <c r="P2774" s="86">
        <f t="shared" si="854"/>
        <v>0</v>
      </c>
      <c r="Q2774" s="86">
        <f t="shared" si="855"/>
        <v>0</v>
      </c>
      <c r="R2774" s="86">
        <f t="shared" si="856"/>
        <v>0</v>
      </c>
      <c r="S2774" s="86">
        <f t="shared" si="857"/>
        <v>0</v>
      </c>
      <c r="T2774" s="86">
        <f t="shared" si="858"/>
        <v>21291.38</v>
      </c>
      <c r="U2774" s="87">
        <v>21291.38</v>
      </c>
    </row>
    <row r="2775" spans="1:21" s="30" customFormat="1" ht="24.6" hidden="1" outlineLevel="1" x14ac:dyDescent="0.55000000000000004">
      <c r="A2775" s="27" t="s">
        <v>327</v>
      </c>
      <c r="B2775" s="28"/>
      <c r="C2775" s="27"/>
      <c r="D2775" s="27" t="str">
        <f>"""NAV Direct"",""CRONUS JetCorp USA"",""21"",""1"",""365864"""</f>
        <v>"NAV Direct","CRONUS JetCorp USA","21","1","365864"</v>
      </c>
      <c r="E2775" s="31" t="str">
        <f t="shared" si="850"/>
        <v>C100086</v>
      </c>
      <c r="F2775" s="31"/>
      <c r="G2775" s="31"/>
      <c r="H2775" s="31"/>
      <c r="I2775" s="56"/>
      <c r="J2775" s="56"/>
      <c r="K2775" s="82" t="str">
        <f t="shared" si="851"/>
        <v>Invoice</v>
      </c>
      <c r="L2775" s="83" t="str">
        <f>"SI_111424"</f>
        <v>SI_111424</v>
      </c>
      <c r="M2775" s="84">
        <v>43469</v>
      </c>
      <c r="N2775" s="85">
        <f t="shared" si="852"/>
        <v>343</v>
      </c>
      <c r="O2775" s="86">
        <f t="shared" si="853"/>
        <v>21291.48</v>
      </c>
      <c r="P2775" s="86">
        <f t="shared" si="854"/>
        <v>0</v>
      </c>
      <c r="Q2775" s="86">
        <f t="shared" si="855"/>
        <v>0</v>
      </c>
      <c r="R2775" s="86">
        <f t="shared" si="856"/>
        <v>0</v>
      </c>
      <c r="S2775" s="86">
        <f t="shared" si="857"/>
        <v>0</v>
      </c>
      <c r="T2775" s="86">
        <f t="shared" si="858"/>
        <v>21291.48</v>
      </c>
      <c r="U2775" s="87">
        <v>21291.48</v>
      </c>
    </row>
    <row r="2776" spans="1:21" s="30" customFormat="1" ht="24.6" hidden="1" outlineLevel="1" x14ac:dyDescent="0.55000000000000004">
      <c r="A2776" s="27" t="s">
        <v>327</v>
      </c>
      <c r="B2776" s="28"/>
      <c r="C2776" s="27"/>
      <c r="D2776" s="27" t="str">
        <f>"""NAV Direct"",""CRONUS JetCorp USA"",""21"",""1"",""365913"""</f>
        <v>"NAV Direct","CRONUS JetCorp USA","21","1","365913"</v>
      </c>
      <c r="E2776" s="31">
        <f t="shared" si="850"/>
        <v>0</v>
      </c>
      <c r="F2776" s="31"/>
      <c r="G2776" s="31"/>
      <c r="H2776" s="31"/>
      <c r="I2776" s="56"/>
      <c r="J2776" s="56"/>
      <c r="K2776" s="82" t="str">
        <f t="shared" si="851"/>
        <v>Invoice</v>
      </c>
      <c r="L2776" s="83" t="str">
        <f>"SI_111425"</f>
        <v>SI_111425</v>
      </c>
      <c r="M2776" s="84">
        <v>43476</v>
      </c>
      <c r="N2776" s="85">
        <f t="shared" si="852"/>
        <v>336</v>
      </c>
      <c r="O2776" s="86">
        <f t="shared" si="853"/>
        <v>21291.34</v>
      </c>
      <c r="P2776" s="86">
        <f t="shared" si="854"/>
        <v>0</v>
      </c>
      <c r="Q2776" s="86">
        <f t="shared" si="855"/>
        <v>0</v>
      </c>
      <c r="R2776" s="86">
        <f t="shared" si="856"/>
        <v>0</v>
      </c>
      <c r="S2776" s="86">
        <f t="shared" si="857"/>
        <v>0</v>
      </c>
      <c r="T2776" s="86">
        <f t="shared" si="858"/>
        <v>21291.34</v>
      </c>
      <c r="U2776" s="87">
        <v>21291.34</v>
      </c>
    </row>
    <row r="2777" spans="1:21" s="30" customFormat="1" ht="24.6" hidden="1" outlineLevel="1" x14ac:dyDescent="0.55000000000000004">
      <c r="A2777" s="27" t="s">
        <v>327</v>
      </c>
      <c r="B2777" s="28"/>
      <c r="C2777" s="27"/>
      <c r="D2777" s="27" t="str">
        <f>"""NAV Direct"",""CRONUS JetCorp USA"",""21"",""1"",""366057"""</f>
        <v>"NAV Direct","CRONUS JetCorp USA","21","1","366057"</v>
      </c>
      <c r="E2777" s="31" t="str">
        <f t="shared" si="850"/>
        <v>C100086</v>
      </c>
      <c r="F2777" s="31"/>
      <c r="G2777" s="31"/>
      <c r="H2777" s="31"/>
      <c r="I2777" s="56"/>
      <c r="J2777" s="56"/>
      <c r="K2777" s="82" t="str">
        <f t="shared" si="851"/>
        <v>Invoice</v>
      </c>
      <c r="L2777" s="83" t="str">
        <f>"SI_111429"</f>
        <v>SI_111429</v>
      </c>
      <c r="M2777" s="84">
        <v>43497</v>
      </c>
      <c r="N2777" s="85">
        <f t="shared" si="852"/>
        <v>315</v>
      </c>
      <c r="O2777" s="86">
        <f t="shared" si="853"/>
        <v>20183.940000000002</v>
      </c>
      <c r="P2777" s="86">
        <f t="shared" si="854"/>
        <v>0</v>
      </c>
      <c r="Q2777" s="86">
        <f t="shared" si="855"/>
        <v>0</v>
      </c>
      <c r="R2777" s="86">
        <f t="shared" si="856"/>
        <v>0</v>
      </c>
      <c r="S2777" s="86">
        <f t="shared" si="857"/>
        <v>0</v>
      </c>
      <c r="T2777" s="86">
        <f t="shared" si="858"/>
        <v>20183.940000000002</v>
      </c>
      <c r="U2777" s="87">
        <v>20183.940000000002</v>
      </c>
    </row>
    <row r="2778" spans="1:21" s="30" customFormat="1" ht="24.6" hidden="1" outlineLevel="1" x14ac:dyDescent="0.55000000000000004">
      <c r="A2778" s="27" t="s">
        <v>327</v>
      </c>
      <c r="B2778" s="28"/>
      <c r="C2778" s="27"/>
      <c r="D2778" s="27" t="str">
        <f>"""NAV Direct"",""CRONUS JetCorp USA"",""21"",""1"",""366273"""</f>
        <v>"NAV Direct","CRONUS JetCorp USA","21","1","366273"</v>
      </c>
      <c r="E2778" s="31">
        <f t="shared" si="850"/>
        <v>0</v>
      </c>
      <c r="F2778" s="31"/>
      <c r="G2778" s="31"/>
      <c r="H2778" s="31"/>
      <c r="I2778" s="56"/>
      <c r="J2778" s="56"/>
      <c r="K2778" s="82" t="str">
        <f t="shared" si="851"/>
        <v>Invoice</v>
      </c>
      <c r="L2778" s="83" t="str">
        <f>"SI_111435"</f>
        <v>SI_111435</v>
      </c>
      <c r="M2778" s="84">
        <v>43550</v>
      </c>
      <c r="N2778" s="85">
        <f t="shared" si="852"/>
        <v>262</v>
      </c>
      <c r="O2778" s="86">
        <f t="shared" si="853"/>
        <v>17158.11</v>
      </c>
      <c r="P2778" s="86">
        <f t="shared" si="854"/>
        <v>0</v>
      </c>
      <c r="Q2778" s="86">
        <f t="shared" si="855"/>
        <v>0</v>
      </c>
      <c r="R2778" s="86">
        <f t="shared" si="856"/>
        <v>0</v>
      </c>
      <c r="S2778" s="86">
        <f t="shared" si="857"/>
        <v>0</v>
      </c>
      <c r="T2778" s="86">
        <f t="shared" si="858"/>
        <v>17158.11</v>
      </c>
      <c r="U2778" s="87">
        <v>17158.11</v>
      </c>
    </row>
    <row r="2779" spans="1:21" s="30" customFormat="1" ht="24.6" hidden="1" outlineLevel="1" x14ac:dyDescent="0.55000000000000004">
      <c r="A2779" s="27" t="s">
        <v>327</v>
      </c>
      <c r="B2779" s="28"/>
      <c r="C2779" s="27"/>
      <c r="D2779" s="27" t="str">
        <f>"""NAV Direct"",""CRONUS JetCorp USA"",""21"",""1"",""366493"""</f>
        <v>"NAV Direct","CRONUS JetCorp USA","21","1","366493"</v>
      </c>
      <c r="E2779" s="31" t="str">
        <f t="shared" si="850"/>
        <v>C100086</v>
      </c>
      <c r="F2779" s="31"/>
      <c r="G2779" s="31"/>
      <c r="H2779" s="31"/>
      <c r="I2779" s="56"/>
      <c r="J2779" s="56"/>
      <c r="K2779" s="82" t="str">
        <f t="shared" si="851"/>
        <v>Invoice</v>
      </c>
      <c r="L2779" s="83" t="str">
        <f>"SI_111441"</f>
        <v>SI_111441</v>
      </c>
      <c r="M2779" s="84">
        <v>43560</v>
      </c>
      <c r="N2779" s="85">
        <f t="shared" si="852"/>
        <v>252</v>
      </c>
      <c r="O2779" s="86">
        <f t="shared" si="853"/>
        <v>17157.53</v>
      </c>
      <c r="P2779" s="86">
        <f t="shared" si="854"/>
        <v>0</v>
      </c>
      <c r="Q2779" s="86">
        <f t="shared" si="855"/>
        <v>0</v>
      </c>
      <c r="R2779" s="86">
        <f t="shared" si="856"/>
        <v>0</v>
      </c>
      <c r="S2779" s="86">
        <f t="shared" si="857"/>
        <v>0</v>
      </c>
      <c r="T2779" s="86">
        <f t="shared" si="858"/>
        <v>17157.53</v>
      </c>
      <c r="U2779" s="87">
        <v>17157.53</v>
      </c>
    </row>
    <row r="2780" spans="1:21" s="30" customFormat="1" ht="24.6" hidden="1" outlineLevel="1" x14ac:dyDescent="0.55000000000000004">
      <c r="A2780" s="27" t="s">
        <v>327</v>
      </c>
      <c r="B2780" s="28"/>
      <c r="C2780" s="27"/>
      <c r="D2780" s="27" t="str">
        <f>"""NAV Direct"",""CRONUS JetCorp USA"",""21"",""1"",""366706"""</f>
        <v>"NAV Direct","CRONUS JetCorp USA","21","1","366706"</v>
      </c>
      <c r="E2780" s="31">
        <f t="shared" si="850"/>
        <v>0</v>
      </c>
      <c r="F2780" s="31"/>
      <c r="G2780" s="31"/>
      <c r="H2780" s="31"/>
      <c r="I2780" s="56"/>
      <c r="J2780" s="56"/>
      <c r="K2780" s="82" t="str">
        <f t="shared" si="851"/>
        <v>Invoice</v>
      </c>
      <c r="L2780" s="83" t="str">
        <f>"SI_111446"</f>
        <v>SI_111446</v>
      </c>
      <c r="M2780" s="84">
        <v>43583</v>
      </c>
      <c r="N2780" s="85">
        <f t="shared" si="852"/>
        <v>229</v>
      </c>
      <c r="O2780" s="86">
        <f t="shared" si="853"/>
        <v>18392.990000000002</v>
      </c>
      <c r="P2780" s="86">
        <f t="shared" si="854"/>
        <v>0</v>
      </c>
      <c r="Q2780" s="86">
        <f t="shared" si="855"/>
        <v>0</v>
      </c>
      <c r="R2780" s="86">
        <f t="shared" si="856"/>
        <v>0</v>
      </c>
      <c r="S2780" s="86">
        <f t="shared" si="857"/>
        <v>0</v>
      </c>
      <c r="T2780" s="86">
        <f t="shared" si="858"/>
        <v>18392.990000000002</v>
      </c>
      <c r="U2780" s="87">
        <v>18392.990000000002</v>
      </c>
    </row>
    <row r="2781" spans="1:21" s="30" customFormat="1" ht="24.6" hidden="1" outlineLevel="1" x14ac:dyDescent="0.55000000000000004">
      <c r="A2781" s="27" t="s">
        <v>327</v>
      </c>
      <c r="B2781" s="28"/>
      <c r="C2781" s="27"/>
      <c r="D2781" s="27" t="str">
        <f>"""NAV Direct"",""CRONUS JetCorp USA"",""21"",""1"",""366794"""</f>
        <v>"NAV Direct","CRONUS JetCorp USA","21","1","366794"</v>
      </c>
      <c r="E2781" s="31" t="str">
        <f t="shared" si="850"/>
        <v>C100086</v>
      </c>
      <c r="F2781" s="31"/>
      <c r="G2781" s="31"/>
      <c r="H2781" s="31"/>
      <c r="I2781" s="56"/>
      <c r="J2781" s="56"/>
      <c r="K2781" s="82" t="str">
        <f t="shared" si="851"/>
        <v>Invoice</v>
      </c>
      <c r="L2781" s="83" t="str">
        <f>"SI_111448"</f>
        <v>SI_111448</v>
      </c>
      <c r="M2781" s="84">
        <v>43587</v>
      </c>
      <c r="N2781" s="85">
        <f t="shared" si="852"/>
        <v>225</v>
      </c>
      <c r="O2781" s="86">
        <f t="shared" si="853"/>
        <v>18393.73</v>
      </c>
      <c r="P2781" s="86">
        <f t="shared" si="854"/>
        <v>0</v>
      </c>
      <c r="Q2781" s="86">
        <f t="shared" si="855"/>
        <v>0</v>
      </c>
      <c r="R2781" s="86">
        <f t="shared" si="856"/>
        <v>0</v>
      </c>
      <c r="S2781" s="86">
        <f t="shared" si="857"/>
        <v>0</v>
      </c>
      <c r="T2781" s="86">
        <f t="shared" si="858"/>
        <v>18393.73</v>
      </c>
      <c r="U2781" s="87">
        <v>18393.73</v>
      </c>
    </row>
    <row r="2782" spans="1:21" s="30" customFormat="1" ht="24.6" hidden="1" outlineLevel="1" x14ac:dyDescent="0.55000000000000004">
      <c r="A2782" s="27" t="s">
        <v>327</v>
      </c>
      <c r="B2782" s="28"/>
      <c r="C2782" s="27"/>
      <c r="D2782" s="27" t="str">
        <f>"""NAV Direct"",""CRONUS JetCorp USA"",""21"",""1"",""367005"""</f>
        <v>"NAV Direct","CRONUS JetCorp USA","21","1","367005"</v>
      </c>
      <c r="E2782" s="31">
        <f t="shared" si="850"/>
        <v>0</v>
      </c>
      <c r="F2782" s="31"/>
      <c r="G2782" s="31"/>
      <c r="H2782" s="31"/>
      <c r="I2782" s="56"/>
      <c r="J2782" s="56"/>
      <c r="K2782" s="82" t="str">
        <f t="shared" si="851"/>
        <v>Invoice</v>
      </c>
      <c r="L2782" s="83" t="str">
        <f>"SI_111453"</f>
        <v>SI_111453</v>
      </c>
      <c r="M2782" s="84">
        <v>43608</v>
      </c>
      <c r="N2782" s="85">
        <f t="shared" si="852"/>
        <v>204</v>
      </c>
      <c r="O2782" s="86">
        <f t="shared" si="853"/>
        <v>20306.310000000001</v>
      </c>
      <c r="P2782" s="86">
        <f t="shared" si="854"/>
        <v>0</v>
      </c>
      <c r="Q2782" s="86">
        <f t="shared" si="855"/>
        <v>0</v>
      </c>
      <c r="R2782" s="86">
        <f t="shared" si="856"/>
        <v>0</v>
      </c>
      <c r="S2782" s="86">
        <f t="shared" si="857"/>
        <v>0</v>
      </c>
      <c r="T2782" s="86">
        <f t="shared" si="858"/>
        <v>20306.310000000001</v>
      </c>
      <c r="U2782" s="87">
        <v>20306.310000000001</v>
      </c>
    </row>
    <row r="2783" spans="1:21" s="30" customFormat="1" ht="24.6" hidden="1" outlineLevel="1" x14ac:dyDescent="0.55000000000000004">
      <c r="A2783" s="27" t="s">
        <v>327</v>
      </c>
      <c r="B2783" s="28"/>
      <c r="C2783" s="27"/>
      <c r="D2783" s="27" t="str">
        <f>"""NAV Direct"",""CRONUS JetCorp USA"",""21"",""1"",""367048"""</f>
        <v>"NAV Direct","CRONUS JetCorp USA","21","1","367048"</v>
      </c>
      <c r="E2783" s="31" t="str">
        <f t="shared" si="850"/>
        <v>C100086</v>
      </c>
      <c r="F2783" s="31"/>
      <c r="G2783" s="31"/>
      <c r="H2783" s="31"/>
      <c r="I2783" s="56"/>
      <c r="J2783" s="56"/>
      <c r="K2783" s="82" t="str">
        <f t="shared" si="851"/>
        <v>Invoice</v>
      </c>
      <c r="L2783" s="83" t="str">
        <f>"SI_111454"</f>
        <v>SI_111454</v>
      </c>
      <c r="M2783" s="84">
        <v>43618</v>
      </c>
      <c r="N2783" s="85">
        <f t="shared" si="852"/>
        <v>194</v>
      </c>
      <c r="O2783" s="86">
        <f t="shared" si="853"/>
        <v>20306.57</v>
      </c>
      <c r="P2783" s="86">
        <f t="shared" si="854"/>
        <v>0</v>
      </c>
      <c r="Q2783" s="86">
        <f t="shared" si="855"/>
        <v>0</v>
      </c>
      <c r="R2783" s="86">
        <f t="shared" si="856"/>
        <v>0</v>
      </c>
      <c r="S2783" s="86">
        <f t="shared" si="857"/>
        <v>0</v>
      </c>
      <c r="T2783" s="86">
        <f t="shared" si="858"/>
        <v>20306.57</v>
      </c>
      <c r="U2783" s="87">
        <v>20306.57</v>
      </c>
    </row>
    <row r="2784" spans="1:21" s="30" customFormat="1" ht="24.6" hidden="1" outlineLevel="1" x14ac:dyDescent="0.55000000000000004">
      <c r="A2784" s="27" t="s">
        <v>327</v>
      </c>
      <c r="B2784" s="28"/>
      <c r="C2784" s="27"/>
      <c r="D2784" s="27" t="str">
        <f>"""NAV Direct"",""CRONUS JetCorp USA"",""21"",""1"",""367143"""</f>
        <v>"NAV Direct","CRONUS JetCorp USA","21","1","367143"</v>
      </c>
      <c r="E2784" s="31">
        <f t="shared" si="850"/>
        <v>0</v>
      </c>
      <c r="F2784" s="31"/>
      <c r="G2784" s="31"/>
      <c r="H2784" s="31"/>
      <c r="I2784" s="56"/>
      <c r="J2784" s="56"/>
      <c r="K2784" s="82" t="str">
        <f t="shared" si="851"/>
        <v>Invoice</v>
      </c>
      <c r="L2784" s="83" t="str">
        <f>"SI_111457"</f>
        <v>SI_111457</v>
      </c>
      <c r="M2784" s="84">
        <v>43624</v>
      </c>
      <c r="N2784" s="85">
        <f t="shared" si="852"/>
        <v>188</v>
      </c>
      <c r="O2784" s="86">
        <f t="shared" si="853"/>
        <v>20306.54</v>
      </c>
      <c r="P2784" s="86">
        <f t="shared" si="854"/>
        <v>0</v>
      </c>
      <c r="Q2784" s="86">
        <f t="shared" si="855"/>
        <v>0</v>
      </c>
      <c r="R2784" s="86">
        <f t="shared" si="856"/>
        <v>0</v>
      </c>
      <c r="S2784" s="86">
        <f t="shared" si="857"/>
        <v>0</v>
      </c>
      <c r="T2784" s="86">
        <f t="shared" si="858"/>
        <v>20306.54</v>
      </c>
      <c r="U2784" s="87">
        <v>20306.54</v>
      </c>
    </row>
    <row r="2785" spans="1:21" s="30" customFormat="1" ht="24.6" hidden="1" outlineLevel="1" x14ac:dyDescent="0.55000000000000004">
      <c r="A2785" s="27" t="s">
        <v>327</v>
      </c>
      <c r="B2785" s="28"/>
      <c r="C2785" s="27"/>
      <c r="D2785" s="27" t="str">
        <f>"""NAV Direct"",""CRONUS JetCorp USA"",""21"",""1"",""367178"""</f>
        <v>"NAV Direct","CRONUS JetCorp USA","21","1","367178"</v>
      </c>
      <c r="E2785" s="31" t="str">
        <f t="shared" si="850"/>
        <v>C100086</v>
      </c>
      <c r="F2785" s="31"/>
      <c r="G2785" s="31"/>
      <c r="H2785" s="31"/>
      <c r="I2785" s="56"/>
      <c r="J2785" s="56"/>
      <c r="K2785" s="82" t="str">
        <f t="shared" si="851"/>
        <v>Invoice</v>
      </c>
      <c r="L2785" s="83" t="str">
        <f>"SI_111458"</f>
        <v>SI_111458</v>
      </c>
      <c r="M2785" s="84">
        <v>43636</v>
      </c>
      <c r="N2785" s="85">
        <f t="shared" si="852"/>
        <v>176</v>
      </c>
      <c r="O2785" s="86">
        <f t="shared" si="853"/>
        <v>23555.33</v>
      </c>
      <c r="P2785" s="86">
        <f t="shared" si="854"/>
        <v>0</v>
      </c>
      <c r="Q2785" s="86">
        <f t="shared" si="855"/>
        <v>0</v>
      </c>
      <c r="R2785" s="86">
        <f t="shared" si="856"/>
        <v>0</v>
      </c>
      <c r="S2785" s="86">
        <f t="shared" si="857"/>
        <v>0</v>
      </c>
      <c r="T2785" s="86">
        <f t="shared" si="858"/>
        <v>23555.33</v>
      </c>
      <c r="U2785" s="87">
        <v>23555.33</v>
      </c>
    </row>
    <row r="2786" spans="1:21" s="30" customFormat="1" ht="24.6" hidden="1" outlineLevel="1" x14ac:dyDescent="0.55000000000000004">
      <c r="A2786" s="27" t="s">
        <v>327</v>
      </c>
      <c r="B2786" s="28"/>
      <c r="C2786" s="27"/>
      <c r="D2786" s="27" t="str">
        <f>"""NAV Direct"",""CRONUS JetCorp USA"",""21"",""1"",""367213"""</f>
        <v>"NAV Direct","CRONUS JetCorp USA","21","1","367213"</v>
      </c>
      <c r="E2786" s="31">
        <f t="shared" si="850"/>
        <v>0</v>
      </c>
      <c r="F2786" s="31"/>
      <c r="G2786" s="31"/>
      <c r="H2786" s="31"/>
      <c r="I2786" s="56"/>
      <c r="J2786" s="56"/>
      <c r="K2786" s="82" t="str">
        <f t="shared" si="851"/>
        <v>Invoice</v>
      </c>
      <c r="L2786" s="83" t="str">
        <f>"SI_111459"</f>
        <v>SI_111459</v>
      </c>
      <c r="M2786" s="84">
        <v>43638</v>
      </c>
      <c r="N2786" s="85">
        <f t="shared" si="852"/>
        <v>174</v>
      </c>
      <c r="O2786" s="86">
        <f t="shared" si="853"/>
        <v>23555.24</v>
      </c>
      <c r="P2786" s="86">
        <f t="shared" si="854"/>
        <v>0</v>
      </c>
      <c r="Q2786" s="86">
        <f t="shared" si="855"/>
        <v>0</v>
      </c>
      <c r="R2786" s="86">
        <f t="shared" si="856"/>
        <v>0</v>
      </c>
      <c r="S2786" s="86">
        <f t="shared" si="857"/>
        <v>0</v>
      </c>
      <c r="T2786" s="86">
        <f t="shared" si="858"/>
        <v>23555.24</v>
      </c>
      <c r="U2786" s="87">
        <v>23555.24</v>
      </c>
    </row>
    <row r="2787" spans="1:21" s="30" customFormat="1" ht="24.6" hidden="1" outlineLevel="1" x14ac:dyDescent="0.55000000000000004">
      <c r="A2787" s="27" t="s">
        <v>327</v>
      </c>
      <c r="B2787" s="28"/>
      <c r="C2787" s="27"/>
      <c r="D2787" s="27" t="str">
        <f>"""NAV Direct"",""CRONUS JetCorp USA"",""21"",""1"",""367330"""</f>
        <v>"NAV Direct","CRONUS JetCorp USA","21","1","367330"</v>
      </c>
      <c r="E2787" s="31" t="str">
        <f t="shared" si="850"/>
        <v>C100086</v>
      </c>
      <c r="F2787" s="31"/>
      <c r="G2787" s="31"/>
      <c r="H2787" s="31"/>
      <c r="I2787" s="56"/>
      <c r="J2787" s="56"/>
      <c r="K2787" s="82" t="str">
        <f t="shared" si="851"/>
        <v>Invoice</v>
      </c>
      <c r="L2787" s="83" t="str">
        <f>"SI_111462"</f>
        <v>SI_111462</v>
      </c>
      <c r="M2787" s="84">
        <v>43641</v>
      </c>
      <c r="N2787" s="85">
        <f t="shared" si="852"/>
        <v>171</v>
      </c>
      <c r="O2787" s="86">
        <f t="shared" si="853"/>
        <v>23555.72</v>
      </c>
      <c r="P2787" s="86">
        <f t="shared" si="854"/>
        <v>0</v>
      </c>
      <c r="Q2787" s="86">
        <f t="shared" si="855"/>
        <v>0</v>
      </c>
      <c r="R2787" s="86">
        <f t="shared" si="856"/>
        <v>0</v>
      </c>
      <c r="S2787" s="86">
        <f t="shared" si="857"/>
        <v>0</v>
      </c>
      <c r="T2787" s="86">
        <f t="shared" si="858"/>
        <v>23555.72</v>
      </c>
      <c r="U2787" s="87">
        <v>23555.72</v>
      </c>
    </row>
    <row r="2788" spans="1:21" s="30" customFormat="1" ht="24.6" hidden="1" outlineLevel="1" x14ac:dyDescent="0.55000000000000004">
      <c r="A2788" s="27" t="s">
        <v>327</v>
      </c>
      <c r="B2788" s="28"/>
      <c r="C2788" s="27"/>
      <c r="D2788" s="27" t="str">
        <f>"""NAV Direct"",""CRONUS JetCorp USA"",""21"",""1"",""367418"""</f>
        <v>"NAV Direct","CRONUS JetCorp USA","21","1","367418"</v>
      </c>
      <c r="E2788" s="31">
        <f t="shared" si="850"/>
        <v>0</v>
      </c>
      <c r="F2788" s="31"/>
      <c r="G2788" s="31"/>
      <c r="H2788" s="31"/>
      <c r="I2788" s="56"/>
      <c r="J2788" s="56"/>
      <c r="K2788" s="82" t="str">
        <f t="shared" si="851"/>
        <v>Invoice</v>
      </c>
      <c r="L2788" s="83" t="str">
        <f>"SI_111464"</f>
        <v>SI_111464</v>
      </c>
      <c r="M2788" s="84">
        <v>43653</v>
      </c>
      <c r="N2788" s="85">
        <f t="shared" si="852"/>
        <v>159</v>
      </c>
      <c r="O2788" s="86">
        <f t="shared" si="853"/>
        <v>23555.3</v>
      </c>
      <c r="P2788" s="86">
        <f t="shared" si="854"/>
        <v>0</v>
      </c>
      <c r="Q2788" s="86">
        <f t="shared" si="855"/>
        <v>0</v>
      </c>
      <c r="R2788" s="86">
        <f t="shared" si="856"/>
        <v>0</v>
      </c>
      <c r="S2788" s="86">
        <f t="shared" si="857"/>
        <v>0</v>
      </c>
      <c r="T2788" s="86">
        <f t="shared" si="858"/>
        <v>23555.3</v>
      </c>
      <c r="U2788" s="87">
        <v>23555.3</v>
      </c>
    </row>
    <row r="2789" spans="1:21" s="30" customFormat="1" ht="24.6" hidden="1" outlineLevel="1" x14ac:dyDescent="0.55000000000000004">
      <c r="A2789" s="27" t="s">
        <v>327</v>
      </c>
      <c r="B2789" s="28"/>
      <c r="C2789" s="27"/>
      <c r="D2789" s="27" t="str">
        <f>"""NAV Direct"",""CRONUS JetCorp USA"",""21"",""1"",""367478"""</f>
        <v>"NAV Direct","CRONUS JetCorp USA","21","1","367478"</v>
      </c>
      <c r="E2789" s="31" t="str">
        <f t="shared" si="850"/>
        <v>C100086</v>
      </c>
      <c r="F2789" s="31"/>
      <c r="G2789" s="31"/>
      <c r="H2789" s="31"/>
      <c r="I2789" s="56"/>
      <c r="J2789" s="56"/>
      <c r="K2789" s="82" t="str">
        <f t="shared" si="851"/>
        <v>Invoice</v>
      </c>
      <c r="L2789" s="83" t="str">
        <f>"SI_111466"</f>
        <v>SI_111466</v>
      </c>
      <c r="M2789" s="84">
        <v>43668</v>
      </c>
      <c r="N2789" s="85">
        <f t="shared" si="852"/>
        <v>144</v>
      </c>
      <c r="O2789" s="86">
        <f t="shared" si="853"/>
        <v>15579.029999999999</v>
      </c>
      <c r="P2789" s="86">
        <f t="shared" si="854"/>
        <v>0</v>
      </c>
      <c r="Q2789" s="86">
        <f t="shared" si="855"/>
        <v>0</v>
      </c>
      <c r="R2789" s="86">
        <f t="shared" si="856"/>
        <v>0</v>
      </c>
      <c r="S2789" s="86">
        <f t="shared" si="857"/>
        <v>0</v>
      </c>
      <c r="T2789" s="86">
        <f t="shared" si="858"/>
        <v>15579.029999999999</v>
      </c>
      <c r="U2789" s="87">
        <v>15579.029999999999</v>
      </c>
    </row>
    <row r="2790" spans="1:21" s="30" customFormat="1" ht="24.6" hidden="1" outlineLevel="1" x14ac:dyDescent="0.55000000000000004">
      <c r="A2790" s="27" t="s">
        <v>327</v>
      </c>
      <c r="B2790" s="28"/>
      <c r="C2790" s="27"/>
      <c r="D2790" s="27" t="str">
        <f>"""NAV Direct"",""CRONUS JetCorp USA"",""21"",""1"",""367552"""</f>
        <v>"NAV Direct","CRONUS JetCorp USA","21","1","367552"</v>
      </c>
      <c r="E2790" s="31">
        <f t="shared" si="850"/>
        <v>0</v>
      </c>
      <c r="F2790" s="31"/>
      <c r="G2790" s="31"/>
      <c r="H2790" s="31"/>
      <c r="I2790" s="56"/>
      <c r="J2790" s="56"/>
      <c r="K2790" s="82" t="str">
        <f t="shared" si="851"/>
        <v>Invoice</v>
      </c>
      <c r="L2790" s="83" t="str">
        <f>"SI_111468"</f>
        <v>SI_111468</v>
      </c>
      <c r="M2790" s="84">
        <v>43675</v>
      </c>
      <c r="N2790" s="85">
        <f t="shared" si="852"/>
        <v>137</v>
      </c>
      <c r="O2790" s="86">
        <f t="shared" si="853"/>
        <v>15579.74</v>
      </c>
      <c r="P2790" s="86">
        <f t="shared" si="854"/>
        <v>0</v>
      </c>
      <c r="Q2790" s="86">
        <f t="shared" si="855"/>
        <v>0</v>
      </c>
      <c r="R2790" s="86">
        <f t="shared" si="856"/>
        <v>0</v>
      </c>
      <c r="S2790" s="86">
        <f t="shared" si="857"/>
        <v>0</v>
      </c>
      <c r="T2790" s="86">
        <f t="shared" si="858"/>
        <v>15579.74</v>
      </c>
      <c r="U2790" s="87">
        <v>15579.74</v>
      </c>
    </row>
    <row r="2791" spans="1:21" s="30" customFormat="1" ht="24.6" hidden="1" outlineLevel="1" x14ac:dyDescent="0.55000000000000004">
      <c r="A2791" s="27" t="s">
        <v>327</v>
      </c>
      <c r="B2791" s="28"/>
      <c r="C2791" s="27"/>
      <c r="D2791" s="27" t="str">
        <f>"""NAV Direct"",""CRONUS JetCorp USA"",""21"",""1"",""367733"""</f>
        <v>"NAV Direct","CRONUS JetCorp USA","21","1","367733"</v>
      </c>
      <c r="E2791" s="31" t="str">
        <f t="shared" ref="E2791:E2822" si="859">E2789</f>
        <v>C100086</v>
      </c>
      <c r="F2791" s="31"/>
      <c r="G2791" s="31"/>
      <c r="H2791" s="31"/>
      <c r="I2791" s="56"/>
      <c r="J2791" s="56"/>
      <c r="K2791" s="82" t="str">
        <f t="shared" ref="K2791:K2815" si="860">"Invoice"</f>
        <v>Invoice</v>
      </c>
      <c r="L2791" s="83" t="str">
        <f>"SI_111473"</f>
        <v>SI_111473</v>
      </c>
      <c r="M2791" s="84">
        <v>43702</v>
      </c>
      <c r="N2791" s="85">
        <f t="shared" ref="N2791:N2822" si="861">StartDate-$M2791+1</f>
        <v>110</v>
      </c>
      <c r="O2791" s="86">
        <f t="shared" ref="O2791:O2822" si="862">SUM(P2791:T2791)</f>
        <v>13771.85</v>
      </c>
      <c r="P2791" s="86">
        <f t="shared" ref="P2791:P2822" si="863">IF($M2791&gt;=$P$18,U2791,0)</f>
        <v>0</v>
      </c>
      <c r="Q2791" s="86">
        <f t="shared" ref="Q2791:Q2822" si="864">IF(AND($M2791&gt;=$Q$16,$M2791&lt;=$Q$18),U2791,0)</f>
        <v>0</v>
      </c>
      <c r="R2791" s="86">
        <f t="shared" ref="R2791:R2822" si="865">IF(AND($M2791&gt;=$R$16,$M2791&lt;=$R$18),U2791,0)</f>
        <v>0</v>
      </c>
      <c r="S2791" s="86">
        <f t="shared" ref="S2791:S2822" si="866">IF(AND($M2791&gt;=$S$16,$M2791&lt;=$S$18),U2791,0)</f>
        <v>0</v>
      </c>
      <c r="T2791" s="86">
        <f t="shared" ref="T2791:T2822" si="867">IF($M2791&lt;=$T$18,U2791,0)</f>
        <v>13771.85</v>
      </c>
      <c r="U2791" s="87">
        <v>13771.85</v>
      </c>
    </row>
    <row r="2792" spans="1:21" s="30" customFormat="1" ht="24.6" hidden="1" outlineLevel="1" x14ac:dyDescent="0.55000000000000004">
      <c r="A2792" s="27" t="s">
        <v>327</v>
      </c>
      <c r="B2792" s="28"/>
      <c r="C2792" s="27"/>
      <c r="D2792" s="27" t="str">
        <f>"""NAV Direct"",""CRONUS JetCorp USA"",""21"",""1"",""368095"""</f>
        <v>"NAV Direct","CRONUS JetCorp USA","21","1","368095"</v>
      </c>
      <c r="E2792" s="31">
        <f t="shared" si="859"/>
        <v>0</v>
      </c>
      <c r="F2792" s="31"/>
      <c r="G2792" s="31"/>
      <c r="H2792" s="31"/>
      <c r="I2792" s="56"/>
      <c r="J2792" s="56"/>
      <c r="K2792" s="82" t="str">
        <f t="shared" si="860"/>
        <v>Invoice</v>
      </c>
      <c r="L2792" s="83" t="str">
        <f>"SI_111483"</f>
        <v>SI_111483</v>
      </c>
      <c r="M2792" s="84">
        <v>43744</v>
      </c>
      <c r="N2792" s="85">
        <f t="shared" si="861"/>
        <v>68</v>
      </c>
      <c r="O2792" s="86">
        <f t="shared" si="862"/>
        <v>12670.76</v>
      </c>
      <c r="P2792" s="86">
        <f t="shared" si="863"/>
        <v>0</v>
      </c>
      <c r="Q2792" s="86">
        <f t="shared" si="864"/>
        <v>0</v>
      </c>
      <c r="R2792" s="86">
        <f t="shared" si="865"/>
        <v>0</v>
      </c>
      <c r="S2792" s="86">
        <f t="shared" si="866"/>
        <v>12670.76</v>
      </c>
      <c r="T2792" s="86">
        <f t="shared" si="867"/>
        <v>0</v>
      </c>
      <c r="U2792" s="87">
        <v>12670.76</v>
      </c>
    </row>
    <row r="2793" spans="1:21" s="30" customFormat="1" ht="24.6" hidden="1" outlineLevel="1" x14ac:dyDescent="0.55000000000000004">
      <c r="A2793" s="27" t="s">
        <v>327</v>
      </c>
      <c r="B2793" s="28"/>
      <c r="C2793" s="27"/>
      <c r="D2793" s="27" t="str">
        <f>"""NAV Direct"",""CRONUS JetCorp USA"",""21"",""1"",""368211"""</f>
        <v>"NAV Direct","CRONUS JetCorp USA","21","1","368211"</v>
      </c>
      <c r="E2793" s="31" t="str">
        <f t="shared" si="859"/>
        <v>C100086</v>
      </c>
      <c r="F2793" s="31"/>
      <c r="G2793" s="31"/>
      <c r="H2793" s="31"/>
      <c r="I2793" s="56"/>
      <c r="J2793" s="56"/>
      <c r="K2793" s="82" t="str">
        <f t="shared" si="860"/>
        <v>Invoice</v>
      </c>
      <c r="L2793" s="83" t="str">
        <f>"SI_111487"</f>
        <v>SI_111487</v>
      </c>
      <c r="M2793" s="84">
        <v>43775</v>
      </c>
      <c r="N2793" s="85">
        <f t="shared" si="861"/>
        <v>37</v>
      </c>
      <c r="O2793" s="86">
        <f t="shared" si="862"/>
        <v>14444.48</v>
      </c>
      <c r="P2793" s="86">
        <f t="shared" si="863"/>
        <v>0</v>
      </c>
      <c r="Q2793" s="86">
        <f t="shared" si="864"/>
        <v>0</v>
      </c>
      <c r="R2793" s="86">
        <f t="shared" si="865"/>
        <v>14444.48</v>
      </c>
      <c r="S2793" s="86">
        <f t="shared" si="866"/>
        <v>0</v>
      </c>
      <c r="T2793" s="86">
        <f t="shared" si="867"/>
        <v>0</v>
      </c>
      <c r="U2793" s="87">
        <v>14444.48</v>
      </c>
    </row>
    <row r="2794" spans="1:21" s="30" customFormat="1" ht="24.6" hidden="1" outlineLevel="1" x14ac:dyDescent="0.55000000000000004">
      <c r="A2794" s="27" t="s">
        <v>327</v>
      </c>
      <c r="B2794" s="28"/>
      <c r="C2794" s="27"/>
      <c r="D2794" s="27" t="str">
        <f>"""NAV Direct"",""CRONUS JetCorp USA"",""21"",""1"",""368308"""</f>
        <v>"NAV Direct","CRONUS JetCorp USA","21","1","368308"</v>
      </c>
      <c r="E2794" s="31">
        <f t="shared" si="859"/>
        <v>0</v>
      </c>
      <c r="F2794" s="31"/>
      <c r="G2794" s="31"/>
      <c r="H2794" s="31"/>
      <c r="I2794" s="56"/>
      <c r="J2794" s="56"/>
      <c r="K2794" s="82" t="str">
        <f t="shared" si="860"/>
        <v>Invoice</v>
      </c>
      <c r="L2794" s="83" t="str">
        <f>"SI_111490"</f>
        <v>SI_111490</v>
      </c>
      <c r="M2794" s="84">
        <v>43795</v>
      </c>
      <c r="N2794" s="85">
        <f t="shared" si="861"/>
        <v>17</v>
      </c>
      <c r="O2794" s="86">
        <f t="shared" si="862"/>
        <v>16004.310000000001</v>
      </c>
      <c r="P2794" s="86">
        <f t="shared" si="863"/>
        <v>0</v>
      </c>
      <c r="Q2794" s="86">
        <f t="shared" si="864"/>
        <v>16004.310000000001</v>
      </c>
      <c r="R2794" s="86">
        <f t="shared" si="865"/>
        <v>0</v>
      </c>
      <c r="S2794" s="86">
        <f t="shared" si="866"/>
        <v>0</v>
      </c>
      <c r="T2794" s="86">
        <f t="shared" si="867"/>
        <v>0</v>
      </c>
      <c r="U2794" s="87">
        <v>16004.310000000001</v>
      </c>
    </row>
    <row r="2795" spans="1:21" s="30" customFormat="1" ht="24.6" hidden="1" outlineLevel="1" x14ac:dyDescent="0.55000000000000004">
      <c r="A2795" s="27" t="s">
        <v>327</v>
      </c>
      <c r="B2795" s="28"/>
      <c r="C2795" s="27"/>
      <c r="D2795" s="27" t="str">
        <f>"""NAV Direct"",""CRONUS JetCorp USA"",""21"",""1"",""368353"""</f>
        <v>"NAV Direct","CRONUS JetCorp USA","21","1","368353"</v>
      </c>
      <c r="E2795" s="31" t="str">
        <f t="shared" si="859"/>
        <v>C100086</v>
      </c>
      <c r="F2795" s="31"/>
      <c r="G2795" s="31"/>
      <c r="H2795" s="31"/>
      <c r="I2795" s="56"/>
      <c r="J2795" s="56"/>
      <c r="K2795" s="82" t="str">
        <f t="shared" si="860"/>
        <v>Invoice</v>
      </c>
      <c r="L2795" s="83" t="str">
        <f>"SI_111491"</f>
        <v>SI_111491</v>
      </c>
      <c r="M2795" s="84">
        <v>43795</v>
      </c>
      <c r="N2795" s="85">
        <f t="shared" si="861"/>
        <v>17</v>
      </c>
      <c r="O2795" s="86">
        <f t="shared" si="862"/>
        <v>16004.12</v>
      </c>
      <c r="P2795" s="86">
        <f t="shared" si="863"/>
        <v>0</v>
      </c>
      <c r="Q2795" s="86">
        <f t="shared" si="864"/>
        <v>16004.12</v>
      </c>
      <c r="R2795" s="86">
        <f t="shared" si="865"/>
        <v>0</v>
      </c>
      <c r="S2795" s="86">
        <f t="shared" si="866"/>
        <v>0</v>
      </c>
      <c r="T2795" s="86">
        <f t="shared" si="867"/>
        <v>0</v>
      </c>
      <c r="U2795" s="87">
        <v>16004.12</v>
      </c>
    </row>
    <row r="2796" spans="1:21" s="30" customFormat="1" ht="24.6" hidden="1" outlineLevel="1" x14ac:dyDescent="0.55000000000000004">
      <c r="A2796" s="27" t="s">
        <v>327</v>
      </c>
      <c r="B2796" s="28"/>
      <c r="C2796" s="27"/>
      <c r="D2796" s="27" t="str">
        <f>"""NAV Direct"",""CRONUS JetCorp USA"",""21"",""1"",""368380"""</f>
        <v>"NAV Direct","CRONUS JetCorp USA","21","1","368380"</v>
      </c>
      <c r="E2796" s="31">
        <f t="shared" si="859"/>
        <v>0</v>
      </c>
      <c r="F2796" s="31"/>
      <c r="G2796" s="31"/>
      <c r="H2796" s="31"/>
      <c r="I2796" s="56"/>
      <c r="J2796" s="56"/>
      <c r="K2796" s="82" t="str">
        <f t="shared" si="860"/>
        <v>Invoice</v>
      </c>
      <c r="L2796" s="83" t="str">
        <f>"SI_111492"</f>
        <v>SI_111492</v>
      </c>
      <c r="M2796" s="84">
        <v>43802</v>
      </c>
      <c r="N2796" s="85">
        <f t="shared" si="861"/>
        <v>10</v>
      </c>
      <c r="O2796" s="86">
        <f t="shared" si="862"/>
        <v>16004.050000000001</v>
      </c>
      <c r="P2796" s="86">
        <f t="shared" si="863"/>
        <v>0</v>
      </c>
      <c r="Q2796" s="86">
        <f t="shared" si="864"/>
        <v>16004.050000000001</v>
      </c>
      <c r="R2796" s="86">
        <f t="shared" si="865"/>
        <v>0</v>
      </c>
      <c r="S2796" s="86">
        <f t="shared" si="866"/>
        <v>0</v>
      </c>
      <c r="T2796" s="86">
        <f t="shared" si="867"/>
        <v>0</v>
      </c>
      <c r="U2796" s="87">
        <v>16004.050000000001</v>
      </c>
    </row>
    <row r="2797" spans="1:21" s="30" customFormat="1" ht="24.6" hidden="1" outlineLevel="1" x14ac:dyDescent="0.55000000000000004">
      <c r="A2797" s="27" t="s">
        <v>327</v>
      </c>
      <c r="B2797" s="28"/>
      <c r="C2797" s="27"/>
      <c r="D2797" s="27" t="str">
        <f>"""NAV Direct"",""CRONUS JetCorp USA"",""21"",""1"",""368423"""</f>
        <v>"NAV Direct","CRONUS JetCorp USA","21","1","368423"</v>
      </c>
      <c r="E2797" s="31" t="str">
        <f t="shared" si="859"/>
        <v>C100086</v>
      </c>
      <c r="F2797" s="31"/>
      <c r="G2797" s="31"/>
      <c r="H2797" s="31"/>
      <c r="I2797" s="56"/>
      <c r="J2797" s="56"/>
      <c r="K2797" s="82" t="str">
        <f t="shared" si="860"/>
        <v>Invoice</v>
      </c>
      <c r="L2797" s="83" t="str">
        <f>"SI_111493"</f>
        <v>SI_111493</v>
      </c>
      <c r="M2797" s="84">
        <v>43807</v>
      </c>
      <c r="N2797" s="85">
        <f t="shared" si="861"/>
        <v>5</v>
      </c>
      <c r="O2797" s="86">
        <f t="shared" si="862"/>
        <v>16004.140000000001</v>
      </c>
      <c r="P2797" s="86">
        <f t="shared" si="863"/>
        <v>0</v>
      </c>
      <c r="Q2797" s="86">
        <f t="shared" si="864"/>
        <v>16004.140000000001</v>
      </c>
      <c r="R2797" s="86">
        <f t="shared" si="865"/>
        <v>0</v>
      </c>
      <c r="S2797" s="86">
        <f t="shared" si="866"/>
        <v>0</v>
      </c>
      <c r="T2797" s="86">
        <f t="shared" si="867"/>
        <v>0</v>
      </c>
      <c r="U2797" s="87">
        <v>16004.140000000001</v>
      </c>
    </row>
    <row r="2798" spans="1:21" s="30" customFormat="1" ht="24.6" hidden="1" outlineLevel="1" x14ac:dyDescent="0.55000000000000004">
      <c r="A2798" s="27" t="s">
        <v>327</v>
      </c>
      <c r="B2798" s="28"/>
      <c r="C2798" s="27"/>
      <c r="D2798" s="27" t="str">
        <f>"""NAV Direct"",""CRONUS JetCorp USA"",""21"",""1"",""368468"""</f>
        <v>"NAV Direct","CRONUS JetCorp USA","21","1","368468"</v>
      </c>
      <c r="E2798" s="31">
        <f t="shared" si="859"/>
        <v>0</v>
      </c>
      <c r="F2798" s="31"/>
      <c r="G2798" s="31"/>
      <c r="H2798" s="31"/>
      <c r="I2798" s="56"/>
      <c r="J2798" s="56"/>
      <c r="K2798" s="82" t="str">
        <f t="shared" si="860"/>
        <v>Invoice</v>
      </c>
      <c r="L2798" s="83" t="str">
        <f>"SI_111494"</f>
        <v>SI_111494</v>
      </c>
      <c r="M2798" s="84">
        <v>43810</v>
      </c>
      <c r="N2798" s="85">
        <f t="shared" si="861"/>
        <v>2</v>
      </c>
      <c r="O2798" s="86">
        <f t="shared" si="862"/>
        <v>16004.45</v>
      </c>
      <c r="P2798" s="86">
        <f t="shared" si="863"/>
        <v>0</v>
      </c>
      <c r="Q2798" s="86">
        <f t="shared" si="864"/>
        <v>16004.45</v>
      </c>
      <c r="R2798" s="86">
        <f t="shared" si="865"/>
        <v>0</v>
      </c>
      <c r="S2798" s="86">
        <f t="shared" si="866"/>
        <v>0</v>
      </c>
      <c r="T2798" s="86">
        <f t="shared" si="867"/>
        <v>0</v>
      </c>
      <c r="U2798" s="87">
        <v>16004.45</v>
      </c>
    </row>
    <row r="2799" spans="1:21" s="30" customFormat="1" ht="24.6" hidden="1" outlineLevel="1" x14ac:dyDescent="0.55000000000000004">
      <c r="A2799" s="27" t="s">
        <v>327</v>
      </c>
      <c r="B2799" s="28"/>
      <c r="C2799" s="27"/>
      <c r="D2799" s="27" t="str">
        <f>"""NAV Direct"",""CRONUS JetCorp USA"",""21"",""1"",""368509"""</f>
        <v>"NAV Direct","CRONUS JetCorp USA","21","1","368509"</v>
      </c>
      <c r="E2799" s="31" t="str">
        <f t="shared" si="859"/>
        <v>C100086</v>
      </c>
      <c r="F2799" s="31"/>
      <c r="G2799" s="31"/>
      <c r="H2799" s="31"/>
      <c r="I2799" s="56"/>
      <c r="J2799" s="56"/>
      <c r="K2799" s="82" t="str">
        <f t="shared" si="860"/>
        <v>Invoice</v>
      </c>
      <c r="L2799" s="83" t="str">
        <f>"SI_111495"</f>
        <v>SI_111495</v>
      </c>
      <c r="M2799" s="84">
        <v>43823</v>
      </c>
      <c r="N2799" s="85">
        <f t="shared" si="861"/>
        <v>-11</v>
      </c>
      <c r="O2799" s="86">
        <f t="shared" si="862"/>
        <v>17477.12</v>
      </c>
      <c r="P2799" s="86">
        <f t="shared" si="863"/>
        <v>17477.12</v>
      </c>
      <c r="Q2799" s="86">
        <f t="shared" si="864"/>
        <v>0</v>
      </c>
      <c r="R2799" s="86">
        <f t="shared" si="865"/>
        <v>0</v>
      </c>
      <c r="S2799" s="86">
        <f t="shared" si="866"/>
        <v>0</v>
      </c>
      <c r="T2799" s="86">
        <f t="shared" si="867"/>
        <v>0</v>
      </c>
      <c r="U2799" s="87">
        <v>17477.12</v>
      </c>
    </row>
    <row r="2800" spans="1:21" s="30" customFormat="1" ht="24.6" hidden="1" outlineLevel="1" x14ac:dyDescent="0.55000000000000004">
      <c r="A2800" s="27" t="s">
        <v>327</v>
      </c>
      <c r="B2800" s="28"/>
      <c r="C2800" s="27"/>
      <c r="D2800" s="27" t="str">
        <f>"""NAV Direct"",""CRONUS JetCorp USA"",""21"",""1"",""368597"""</f>
        <v>"NAV Direct","CRONUS JetCorp USA","21","1","368597"</v>
      </c>
      <c r="E2800" s="31">
        <f t="shared" si="859"/>
        <v>0</v>
      </c>
      <c r="F2800" s="31"/>
      <c r="G2800" s="31"/>
      <c r="H2800" s="31"/>
      <c r="I2800" s="56"/>
      <c r="J2800" s="56"/>
      <c r="K2800" s="82" t="str">
        <f t="shared" si="860"/>
        <v>Invoice</v>
      </c>
      <c r="L2800" s="83" t="str">
        <f>"SI_111497"</f>
        <v>SI_111497</v>
      </c>
      <c r="M2800" s="84">
        <v>43826</v>
      </c>
      <c r="N2800" s="85">
        <f t="shared" si="861"/>
        <v>-14</v>
      </c>
      <c r="O2800" s="86">
        <f t="shared" si="862"/>
        <v>17476.739999999998</v>
      </c>
      <c r="P2800" s="86">
        <f t="shared" si="863"/>
        <v>17476.739999999998</v>
      </c>
      <c r="Q2800" s="86">
        <f t="shared" si="864"/>
        <v>0</v>
      </c>
      <c r="R2800" s="86">
        <f t="shared" si="865"/>
        <v>0</v>
      </c>
      <c r="S2800" s="86">
        <f t="shared" si="866"/>
        <v>0</v>
      </c>
      <c r="T2800" s="86">
        <f t="shared" si="867"/>
        <v>0</v>
      </c>
      <c r="U2800" s="87">
        <v>17476.739999999998</v>
      </c>
    </row>
    <row r="2801" spans="1:21" s="30" customFormat="1" ht="24.6" hidden="1" outlineLevel="1" x14ac:dyDescent="0.55000000000000004">
      <c r="A2801" s="27" t="s">
        <v>327</v>
      </c>
      <c r="B2801" s="28"/>
      <c r="C2801" s="27"/>
      <c r="D2801" s="27" t="str">
        <f>"""NAV Direct"",""CRONUS JetCorp USA"",""21"",""1"",""369046"""</f>
        <v>"NAV Direct","CRONUS JetCorp USA","21","1","369046"</v>
      </c>
      <c r="E2801" s="31" t="str">
        <f t="shared" si="859"/>
        <v>C100086</v>
      </c>
      <c r="F2801" s="31"/>
      <c r="G2801" s="31"/>
      <c r="H2801" s="31"/>
      <c r="I2801" s="56"/>
      <c r="J2801" s="56"/>
      <c r="K2801" s="82" t="str">
        <f t="shared" si="860"/>
        <v>Invoice</v>
      </c>
      <c r="L2801" s="83" t="str">
        <f>"SI_111510"</f>
        <v>SI_111510</v>
      </c>
      <c r="M2801" s="84">
        <v>42063</v>
      </c>
      <c r="N2801" s="85">
        <f t="shared" si="861"/>
        <v>1749</v>
      </c>
      <c r="O2801" s="86">
        <f t="shared" si="862"/>
        <v>15764.61</v>
      </c>
      <c r="P2801" s="86">
        <f t="shared" si="863"/>
        <v>0</v>
      </c>
      <c r="Q2801" s="86">
        <f t="shared" si="864"/>
        <v>0</v>
      </c>
      <c r="R2801" s="86">
        <f t="shared" si="865"/>
        <v>0</v>
      </c>
      <c r="S2801" s="86">
        <f t="shared" si="866"/>
        <v>0</v>
      </c>
      <c r="T2801" s="86">
        <f t="shared" si="867"/>
        <v>15764.61</v>
      </c>
      <c r="U2801" s="87">
        <v>15764.61</v>
      </c>
    </row>
    <row r="2802" spans="1:21" s="30" customFormat="1" ht="24.6" hidden="1" outlineLevel="1" x14ac:dyDescent="0.55000000000000004">
      <c r="A2802" s="27" t="s">
        <v>327</v>
      </c>
      <c r="B2802" s="28"/>
      <c r="C2802" s="27"/>
      <c r="D2802" s="27" t="str">
        <f>"""NAV Direct"",""CRONUS JetCorp USA"",""21"",""1"",""369143"""</f>
        <v>"NAV Direct","CRONUS JetCorp USA","21","1","369143"</v>
      </c>
      <c r="E2802" s="31">
        <f t="shared" si="859"/>
        <v>0</v>
      </c>
      <c r="F2802" s="31"/>
      <c r="G2802" s="31"/>
      <c r="H2802" s="31"/>
      <c r="I2802" s="56"/>
      <c r="J2802" s="56"/>
      <c r="K2802" s="82" t="str">
        <f t="shared" si="860"/>
        <v>Invoice</v>
      </c>
      <c r="L2802" s="83" t="str">
        <f>"SI_111513"</f>
        <v>SI_111513</v>
      </c>
      <c r="M2802" s="84">
        <v>42089</v>
      </c>
      <c r="N2802" s="85">
        <f t="shared" si="861"/>
        <v>1723</v>
      </c>
      <c r="O2802" s="86">
        <f t="shared" si="862"/>
        <v>15448.509999999998</v>
      </c>
      <c r="P2802" s="86">
        <f t="shared" si="863"/>
        <v>0</v>
      </c>
      <c r="Q2802" s="86">
        <f t="shared" si="864"/>
        <v>0</v>
      </c>
      <c r="R2802" s="86">
        <f t="shared" si="865"/>
        <v>0</v>
      </c>
      <c r="S2802" s="86">
        <f t="shared" si="866"/>
        <v>0</v>
      </c>
      <c r="T2802" s="86">
        <f t="shared" si="867"/>
        <v>15448.509999999998</v>
      </c>
      <c r="U2802" s="87">
        <v>15448.509999999998</v>
      </c>
    </row>
    <row r="2803" spans="1:21" s="30" customFormat="1" ht="24.6" hidden="1" outlineLevel="1" x14ac:dyDescent="0.55000000000000004">
      <c r="A2803" s="27" t="s">
        <v>327</v>
      </c>
      <c r="B2803" s="28"/>
      <c r="C2803" s="27"/>
      <c r="D2803" s="27" t="str">
        <f>"""NAV Direct"",""CRONUS JetCorp USA"",""21"",""1"",""369384"""</f>
        <v>"NAV Direct","CRONUS JetCorp USA","21","1","369384"</v>
      </c>
      <c r="E2803" s="31" t="str">
        <f t="shared" si="859"/>
        <v>C100086</v>
      </c>
      <c r="F2803" s="31"/>
      <c r="G2803" s="31"/>
      <c r="H2803" s="31"/>
      <c r="I2803" s="56"/>
      <c r="J2803" s="56"/>
      <c r="K2803" s="82" t="str">
        <f t="shared" si="860"/>
        <v>Invoice</v>
      </c>
      <c r="L2803" s="83" t="str">
        <f>"SI_111520"</f>
        <v>SI_111520</v>
      </c>
      <c r="M2803" s="84">
        <v>42122</v>
      </c>
      <c r="N2803" s="85">
        <f t="shared" si="861"/>
        <v>1690</v>
      </c>
      <c r="O2803" s="86">
        <f t="shared" si="862"/>
        <v>16561.45</v>
      </c>
      <c r="P2803" s="86">
        <f t="shared" si="863"/>
        <v>0</v>
      </c>
      <c r="Q2803" s="86">
        <f t="shared" si="864"/>
        <v>0</v>
      </c>
      <c r="R2803" s="86">
        <f t="shared" si="865"/>
        <v>0</v>
      </c>
      <c r="S2803" s="86">
        <f t="shared" si="866"/>
        <v>0</v>
      </c>
      <c r="T2803" s="86">
        <f t="shared" si="867"/>
        <v>16561.45</v>
      </c>
      <c r="U2803" s="87">
        <v>16561.45</v>
      </c>
    </row>
    <row r="2804" spans="1:21" s="30" customFormat="1" ht="24.6" hidden="1" outlineLevel="1" x14ac:dyDescent="0.55000000000000004">
      <c r="A2804" s="27" t="s">
        <v>327</v>
      </c>
      <c r="B2804" s="28"/>
      <c r="C2804" s="27"/>
      <c r="D2804" s="27" t="str">
        <f>"""NAV Direct"",""CRONUS JetCorp USA"",""21"",""1"",""369583"""</f>
        <v>"NAV Direct","CRONUS JetCorp USA","21","1","369583"</v>
      </c>
      <c r="E2804" s="31">
        <f t="shared" si="859"/>
        <v>0</v>
      </c>
      <c r="F2804" s="31"/>
      <c r="G2804" s="31"/>
      <c r="H2804" s="31"/>
      <c r="I2804" s="56"/>
      <c r="J2804" s="56"/>
      <c r="K2804" s="82" t="str">
        <f t="shared" si="860"/>
        <v>Invoice</v>
      </c>
      <c r="L2804" s="83" t="str">
        <f>"SI_111525"</f>
        <v>SI_111525</v>
      </c>
      <c r="M2804" s="84">
        <v>42156</v>
      </c>
      <c r="N2804" s="85">
        <f t="shared" si="861"/>
        <v>1656</v>
      </c>
      <c r="O2804" s="86">
        <f t="shared" si="862"/>
        <v>18283.689999999999</v>
      </c>
      <c r="P2804" s="86">
        <f t="shared" si="863"/>
        <v>0</v>
      </c>
      <c r="Q2804" s="86">
        <f t="shared" si="864"/>
        <v>0</v>
      </c>
      <c r="R2804" s="86">
        <f t="shared" si="865"/>
        <v>0</v>
      </c>
      <c r="S2804" s="86">
        <f t="shared" si="866"/>
        <v>0</v>
      </c>
      <c r="T2804" s="86">
        <f t="shared" si="867"/>
        <v>18283.689999999999</v>
      </c>
      <c r="U2804" s="87">
        <v>18283.689999999999</v>
      </c>
    </row>
    <row r="2805" spans="1:21" s="30" customFormat="1" ht="24.6" hidden="1" outlineLevel="1" x14ac:dyDescent="0.55000000000000004">
      <c r="A2805" s="27" t="s">
        <v>327</v>
      </c>
      <c r="B2805" s="28"/>
      <c r="C2805" s="27"/>
      <c r="D2805" s="27" t="str">
        <f>"""NAV Direct"",""CRONUS JetCorp USA"",""21"",""1"",""369616"""</f>
        <v>"NAV Direct","CRONUS JetCorp USA","21","1","369616"</v>
      </c>
      <c r="E2805" s="31" t="str">
        <f t="shared" si="859"/>
        <v>C100086</v>
      </c>
      <c r="F2805" s="31"/>
      <c r="G2805" s="31"/>
      <c r="H2805" s="31"/>
      <c r="I2805" s="56"/>
      <c r="J2805" s="56"/>
      <c r="K2805" s="82" t="str">
        <f t="shared" si="860"/>
        <v>Invoice</v>
      </c>
      <c r="L2805" s="83" t="str">
        <f>"SI_111526"</f>
        <v>SI_111526</v>
      </c>
      <c r="M2805" s="84">
        <v>42158</v>
      </c>
      <c r="N2805" s="85">
        <f t="shared" si="861"/>
        <v>1654</v>
      </c>
      <c r="O2805" s="86">
        <f t="shared" si="862"/>
        <v>18283.52</v>
      </c>
      <c r="P2805" s="86">
        <f t="shared" si="863"/>
        <v>0</v>
      </c>
      <c r="Q2805" s="86">
        <f t="shared" si="864"/>
        <v>0</v>
      </c>
      <c r="R2805" s="86">
        <f t="shared" si="865"/>
        <v>0</v>
      </c>
      <c r="S2805" s="86">
        <f t="shared" si="866"/>
        <v>0</v>
      </c>
      <c r="T2805" s="86">
        <f t="shared" si="867"/>
        <v>18283.52</v>
      </c>
      <c r="U2805" s="87">
        <v>18283.52</v>
      </c>
    </row>
    <row r="2806" spans="1:21" s="30" customFormat="1" ht="24.6" hidden="1" outlineLevel="1" x14ac:dyDescent="0.55000000000000004">
      <c r="A2806" s="27" t="s">
        <v>327</v>
      </c>
      <c r="B2806" s="28"/>
      <c r="C2806" s="27"/>
      <c r="D2806" s="27" t="str">
        <f>"""NAV Direct"",""CRONUS JetCorp USA"",""21"",""1"",""369647"""</f>
        <v>"NAV Direct","CRONUS JetCorp USA","21","1","369647"</v>
      </c>
      <c r="E2806" s="31">
        <f t="shared" si="859"/>
        <v>0</v>
      </c>
      <c r="F2806" s="31"/>
      <c r="G2806" s="31"/>
      <c r="H2806" s="31"/>
      <c r="I2806" s="56"/>
      <c r="J2806" s="56"/>
      <c r="K2806" s="82" t="str">
        <f t="shared" si="860"/>
        <v>Invoice</v>
      </c>
      <c r="L2806" s="83" t="str">
        <f>"SI_111527"</f>
        <v>SI_111527</v>
      </c>
      <c r="M2806" s="84">
        <v>42162</v>
      </c>
      <c r="N2806" s="85">
        <f t="shared" si="861"/>
        <v>1650</v>
      </c>
      <c r="O2806" s="86">
        <f t="shared" si="862"/>
        <v>18283.489999999998</v>
      </c>
      <c r="P2806" s="86">
        <f t="shared" si="863"/>
        <v>0</v>
      </c>
      <c r="Q2806" s="86">
        <f t="shared" si="864"/>
        <v>0</v>
      </c>
      <c r="R2806" s="86">
        <f t="shared" si="865"/>
        <v>0</v>
      </c>
      <c r="S2806" s="86">
        <f t="shared" si="866"/>
        <v>0</v>
      </c>
      <c r="T2806" s="86">
        <f t="shared" si="867"/>
        <v>18283.489999999998</v>
      </c>
      <c r="U2806" s="87">
        <v>18283.489999999998</v>
      </c>
    </row>
    <row r="2807" spans="1:21" s="30" customFormat="1" ht="24.6" hidden="1" outlineLevel="1" x14ac:dyDescent="0.55000000000000004">
      <c r="A2807" s="27" t="s">
        <v>327</v>
      </c>
      <c r="B2807" s="28"/>
      <c r="C2807" s="27"/>
      <c r="D2807" s="27" t="str">
        <f>"""NAV Direct"",""CRONUS JetCorp USA"",""21"",""1"",""369688"""</f>
        <v>"NAV Direct","CRONUS JetCorp USA","21","1","369688"</v>
      </c>
      <c r="E2807" s="31" t="str">
        <f t="shared" si="859"/>
        <v>C100086</v>
      </c>
      <c r="F2807" s="31"/>
      <c r="G2807" s="31"/>
      <c r="H2807" s="31"/>
      <c r="I2807" s="56"/>
      <c r="J2807" s="56"/>
      <c r="K2807" s="82" t="str">
        <f t="shared" si="860"/>
        <v>Invoice</v>
      </c>
      <c r="L2807" s="83" t="str">
        <f>"SI_111528"</f>
        <v>SI_111528</v>
      </c>
      <c r="M2807" s="84">
        <v>42162</v>
      </c>
      <c r="N2807" s="85">
        <f t="shared" si="861"/>
        <v>1650</v>
      </c>
      <c r="O2807" s="86">
        <f t="shared" si="862"/>
        <v>18283.48</v>
      </c>
      <c r="P2807" s="86">
        <f t="shared" si="863"/>
        <v>0</v>
      </c>
      <c r="Q2807" s="86">
        <f t="shared" si="864"/>
        <v>0</v>
      </c>
      <c r="R2807" s="86">
        <f t="shared" si="865"/>
        <v>0</v>
      </c>
      <c r="S2807" s="86">
        <f t="shared" si="866"/>
        <v>0</v>
      </c>
      <c r="T2807" s="86">
        <f t="shared" si="867"/>
        <v>18283.48</v>
      </c>
      <c r="U2807" s="87">
        <v>18283.48</v>
      </c>
    </row>
    <row r="2808" spans="1:21" s="30" customFormat="1" ht="24.6" hidden="1" outlineLevel="1" x14ac:dyDescent="0.55000000000000004">
      <c r="A2808" s="27" t="s">
        <v>327</v>
      </c>
      <c r="B2808" s="28"/>
      <c r="C2808" s="27"/>
      <c r="D2808" s="27" t="str">
        <f>"""NAV Direct"",""CRONUS JetCorp USA"",""21"",""1"",""370182"""</f>
        <v>"NAV Direct","CRONUS JetCorp USA","21","1","370182"</v>
      </c>
      <c r="E2808" s="31">
        <f t="shared" si="859"/>
        <v>0</v>
      </c>
      <c r="F2808" s="31"/>
      <c r="G2808" s="31"/>
      <c r="H2808" s="31"/>
      <c r="I2808" s="56"/>
      <c r="J2808" s="56"/>
      <c r="K2808" s="82" t="str">
        <f t="shared" si="860"/>
        <v>Invoice</v>
      </c>
      <c r="L2808" s="83" t="str">
        <f>"SI_111542"</f>
        <v>SI_111542</v>
      </c>
      <c r="M2808" s="84">
        <v>42222</v>
      </c>
      <c r="N2808" s="85">
        <f t="shared" si="861"/>
        <v>1590</v>
      </c>
      <c r="O2808" s="86">
        <f t="shared" si="862"/>
        <v>14026.95</v>
      </c>
      <c r="P2808" s="86">
        <f t="shared" si="863"/>
        <v>0</v>
      </c>
      <c r="Q2808" s="86">
        <f t="shared" si="864"/>
        <v>0</v>
      </c>
      <c r="R2808" s="86">
        <f t="shared" si="865"/>
        <v>0</v>
      </c>
      <c r="S2808" s="86">
        <f t="shared" si="866"/>
        <v>0</v>
      </c>
      <c r="T2808" s="86">
        <f t="shared" si="867"/>
        <v>14026.95</v>
      </c>
      <c r="U2808" s="87">
        <v>14026.95</v>
      </c>
    </row>
    <row r="2809" spans="1:21" s="30" customFormat="1" ht="24.6" hidden="1" outlineLevel="1" x14ac:dyDescent="0.55000000000000004">
      <c r="A2809" s="27" t="s">
        <v>327</v>
      </c>
      <c r="B2809" s="28"/>
      <c r="C2809" s="27"/>
      <c r="D2809" s="27" t="str">
        <f>"""NAV Direct"",""CRONUS JetCorp USA"",""21"",""1"",""370211"""</f>
        <v>"NAV Direct","CRONUS JetCorp USA","21","1","370211"</v>
      </c>
      <c r="E2809" s="31" t="str">
        <f t="shared" si="859"/>
        <v>C100086</v>
      </c>
      <c r="F2809" s="31"/>
      <c r="G2809" s="31"/>
      <c r="H2809" s="31"/>
      <c r="I2809" s="56"/>
      <c r="J2809" s="56"/>
      <c r="K2809" s="82" t="str">
        <f t="shared" si="860"/>
        <v>Invoice</v>
      </c>
      <c r="L2809" s="83" t="str">
        <f>"SI_111543"</f>
        <v>SI_111543</v>
      </c>
      <c r="M2809" s="84">
        <v>42238</v>
      </c>
      <c r="N2809" s="85">
        <f t="shared" si="861"/>
        <v>1574</v>
      </c>
      <c r="O2809" s="86">
        <f t="shared" si="862"/>
        <v>12400.79</v>
      </c>
      <c r="P2809" s="86">
        <f t="shared" si="863"/>
        <v>0</v>
      </c>
      <c r="Q2809" s="86">
        <f t="shared" si="864"/>
        <v>0</v>
      </c>
      <c r="R2809" s="86">
        <f t="shared" si="865"/>
        <v>0</v>
      </c>
      <c r="S2809" s="86">
        <f t="shared" si="866"/>
        <v>0</v>
      </c>
      <c r="T2809" s="86">
        <f t="shared" si="867"/>
        <v>12400.79</v>
      </c>
      <c r="U2809" s="87">
        <v>12400.79</v>
      </c>
    </row>
    <row r="2810" spans="1:21" s="30" customFormat="1" ht="24.6" hidden="1" outlineLevel="1" x14ac:dyDescent="0.55000000000000004">
      <c r="A2810" s="27" t="s">
        <v>327</v>
      </c>
      <c r="B2810" s="28"/>
      <c r="C2810" s="27"/>
      <c r="D2810" s="27" t="str">
        <f>"""NAV Direct"",""CRONUS JetCorp USA"",""21"",""1"",""370277"""</f>
        <v>"NAV Direct","CRONUS JetCorp USA","21","1","370277"</v>
      </c>
      <c r="E2810" s="31">
        <f t="shared" si="859"/>
        <v>0</v>
      </c>
      <c r="F2810" s="31"/>
      <c r="G2810" s="31"/>
      <c r="H2810" s="31"/>
      <c r="I2810" s="56"/>
      <c r="J2810" s="56"/>
      <c r="K2810" s="82" t="str">
        <f t="shared" si="860"/>
        <v>Invoice</v>
      </c>
      <c r="L2810" s="83" t="str">
        <f>"SI_111545"</f>
        <v>SI_111545</v>
      </c>
      <c r="M2810" s="84">
        <v>42251</v>
      </c>
      <c r="N2810" s="85">
        <f t="shared" si="861"/>
        <v>1561</v>
      </c>
      <c r="O2810" s="86">
        <f t="shared" si="862"/>
        <v>12399.79</v>
      </c>
      <c r="P2810" s="86">
        <f t="shared" si="863"/>
        <v>0</v>
      </c>
      <c r="Q2810" s="86">
        <f t="shared" si="864"/>
        <v>0</v>
      </c>
      <c r="R2810" s="86">
        <f t="shared" si="865"/>
        <v>0</v>
      </c>
      <c r="S2810" s="86">
        <f t="shared" si="866"/>
        <v>0</v>
      </c>
      <c r="T2810" s="86">
        <f t="shared" si="867"/>
        <v>12399.79</v>
      </c>
      <c r="U2810" s="87">
        <v>12399.79</v>
      </c>
    </row>
    <row r="2811" spans="1:21" s="30" customFormat="1" ht="24.6" hidden="1" outlineLevel="1" x14ac:dyDescent="0.55000000000000004">
      <c r="A2811" s="27" t="s">
        <v>327</v>
      </c>
      <c r="B2811" s="28"/>
      <c r="C2811" s="27"/>
      <c r="D2811" s="27" t="str">
        <f>"""NAV Direct"",""CRONUS JetCorp USA"",""21"",""1"",""370386"""</f>
        <v>"NAV Direct","CRONUS JetCorp USA","21","1","370386"</v>
      </c>
      <c r="E2811" s="31" t="str">
        <f t="shared" si="859"/>
        <v>C100086</v>
      </c>
      <c r="F2811" s="31"/>
      <c r="G2811" s="31"/>
      <c r="H2811" s="31"/>
      <c r="I2811" s="56"/>
      <c r="J2811" s="56"/>
      <c r="K2811" s="82" t="str">
        <f t="shared" si="860"/>
        <v>Invoice</v>
      </c>
      <c r="L2811" s="83" t="str">
        <f>"SI_111548"</f>
        <v>SI_111548</v>
      </c>
      <c r="M2811" s="84">
        <v>42280</v>
      </c>
      <c r="N2811" s="85">
        <f t="shared" si="861"/>
        <v>1532</v>
      </c>
      <c r="O2811" s="86">
        <f t="shared" si="862"/>
        <v>13640.800000000001</v>
      </c>
      <c r="P2811" s="86">
        <f t="shared" si="863"/>
        <v>0</v>
      </c>
      <c r="Q2811" s="86">
        <f t="shared" si="864"/>
        <v>0</v>
      </c>
      <c r="R2811" s="86">
        <f t="shared" si="865"/>
        <v>0</v>
      </c>
      <c r="S2811" s="86">
        <f t="shared" si="866"/>
        <v>0</v>
      </c>
      <c r="T2811" s="86">
        <f t="shared" si="867"/>
        <v>13640.800000000001</v>
      </c>
      <c r="U2811" s="87">
        <v>13640.800000000001</v>
      </c>
    </row>
    <row r="2812" spans="1:21" s="30" customFormat="1" ht="24.6" hidden="1" outlineLevel="1" x14ac:dyDescent="0.55000000000000004">
      <c r="A2812" s="27" t="s">
        <v>327</v>
      </c>
      <c r="B2812" s="28"/>
      <c r="C2812" s="27"/>
      <c r="D2812" s="27" t="str">
        <f>"""NAV Direct"",""CRONUS JetCorp USA"",""21"",""1"",""370547"""</f>
        <v>"NAV Direct","CRONUS JetCorp USA","21","1","370547"</v>
      </c>
      <c r="E2812" s="31">
        <f t="shared" si="859"/>
        <v>0</v>
      </c>
      <c r="F2812" s="31"/>
      <c r="G2812" s="31"/>
      <c r="H2812" s="31"/>
      <c r="I2812" s="56"/>
      <c r="J2812" s="56"/>
      <c r="K2812" s="82" t="str">
        <f t="shared" si="860"/>
        <v>Invoice</v>
      </c>
      <c r="L2812" s="83" t="str">
        <f>"SI_111553"</f>
        <v>SI_111553</v>
      </c>
      <c r="M2812" s="84">
        <v>42307</v>
      </c>
      <c r="N2812" s="85">
        <f t="shared" si="861"/>
        <v>1505</v>
      </c>
      <c r="O2812" s="86">
        <f t="shared" si="862"/>
        <v>15550.220000000001</v>
      </c>
      <c r="P2812" s="86">
        <f t="shared" si="863"/>
        <v>0</v>
      </c>
      <c r="Q2812" s="86">
        <f t="shared" si="864"/>
        <v>0</v>
      </c>
      <c r="R2812" s="86">
        <f t="shared" si="865"/>
        <v>0</v>
      </c>
      <c r="S2812" s="86">
        <f t="shared" si="866"/>
        <v>0</v>
      </c>
      <c r="T2812" s="86">
        <f t="shared" si="867"/>
        <v>15550.220000000001</v>
      </c>
      <c r="U2812" s="87">
        <v>15550.220000000001</v>
      </c>
    </row>
    <row r="2813" spans="1:21" s="30" customFormat="1" ht="24.6" hidden="1" outlineLevel="1" x14ac:dyDescent="0.55000000000000004">
      <c r="A2813" s="27" t="s">
        <v>327</v>
      </c>
      <c r="B2813" s="28"/>
      <c r="C2813" s="27"/>
      <c r="D2813" s="27" t="str">
        <f>"""NAV Direct"",""CRONUS JetCorp USA"",""21"",""1"",""370615"""</f>
        <v>"NAV Direct","CRONUS JetCorp USA","21","1","370615"</v>
      </c>
      <c r="E2813" s="31" t="str">
        <f t="shared" si="859"/>
        <v>C100086</v>
      </c>
      <c r="F2813" s="31"/>
      <c r="G2813" s="31"/>
      <c r="H2813" s="31"/>
      <c r="I2813" s="56"/>
      <c r="J2813" s="56"/>
      <c r="K2813" s="82" t="str">
        <f t="shared" si="860"/>
        <v>Invoice</v>
      </c>
      <c r="L2813" s="83" t="str">
        <f>"SI_111555"</f>
        <v>SI_111555</v>
      </c>
      <c r="M2813" s="84">
        <v>42313</v>
      </c>
      <c r="N2813" s="85">
        <f t="shared" si="861"/>
        <v>1499</v>
      </c>
      <c r="O2813" s="86">
        <f t="shared" si="862"/>
        <v>15550.380000000001</v>
      </c>
      <c r="P2813" s="86">
        <f t="shared" si="863"/>
        <v>0</v>
      </c>
      <c r="Q2813" s="86">
        <f t="shared" si="864"/>
        <v>0</v>
      </c>
      <c r="R2813" s="86">
        <f t="shared" si="865"/>
        <v>0</v>
      </c>
      <c r="S2813" s="86">
        <f t="shared" si="866"/>
        <v>0</v>
      </c>
      <c r="T2813" s="86">
        <f t="shared" si="867"/>
        <v>15550.380000000001</v>
      </c>
      <c r="U2813" s="87">
        <v>15550.380000000001</v>
      </c>
    </row>
    <row r="2814" spans="1:21" s="30" customFormat="1" ht="24.6" hidden="1" outlineLevel="1" x14ac:dyDescent="0.55000000000000004">
      <c r="A2814" s="27" t="s">
        <v>327</v>
      </c>
      <c r="B2814" s="28"/>
      <c r="C2814" s="27"/>
      <c r="D2814" s="27" t="str">
        <f>"""NAV Direct"",""CRONUS JetCorp USA"",""21"",""1"",""370753"""</f>
        <v>"NAV Direct","CRONUS JetCorp USA","21","1","370753"</v>
      </c>
      <c r="E2814" s="31">
        <f t="shared" si="859"/>
        <v>0</v>
      </c>
      <c r="F2814" s="31"/>
      <c r="G2814" s="31"/>
      <c r="H2814" s="31"/>
      <c r="I2814" s="56"/>
      <c r="J2814" s="56"/>
      <c r="K2814" s="82" t="str">
        <f t="shared" si="860"/>
        <v>Invoice</v>
      </c>
      <c r="L2814" s="83" t="str">
        <f>"SI_111559"</f>
        <v>SI_111559</v>
      </c>
      <c r="M2814" s="84">
        <v>42342</v>
      </c>
      <c r="N2814" s="85">
        <f t="shared" si="861"/>
        <v>1470</v>
      </c>
      <c r="O2814" s="86">
        <f t="shared" si="862"/>
        <v>17229.899999999998</v>
      </c>
      <c r="P2814" s="86">
        <f t="shared" si="863"/>
        <v>0</v>
      </c>
      <c r="Q2814" s="86">
        <f t="shared" si="864"/>
        <v>0</v>
      </c>
      <c r="R2814" s="86">
        <f t="shared" si="865"/>
        <v>0</v>
      </c>
      <c r="S2814" s="86">
        <f t="shared" si="866"/>
        <v>0</v>
      </c>
      <c r="T2814" s="86">
        <f t="shared" si="867"/>
        <v>17229.899999999998</v>
      </c>
      <c r="U2814" s="87">
        <v>17229.899999999998</v>
      </c>
    </row>
    <row r="2815" spans="1:21" s="30" customFormat="1" ht="24.6" hidden="1" outlineLevel="1" x14ac:dyDescent="0.55000000000000004">
      <c r="A2815" s="27" t="s">
        <v>327</v>
      </c>
      <c r="B2815" s="28"/>
      <c r="C2815" s="27"/>
      <c r="D2815" s="27" t="str">
        <f>"""NAV Direct"",""CRONUS JetCorp USA"",""21"",""1"",""370833"""</f>
        <v>"NAV Direct","CRONUS JetCorp USA","21","1","370833"</v>
      </c>
      <c r="E2815" s="31" t="str">
        <f t="shared" si="859"/>
        <v>C100086</v>
      </c>
      <c r="F2815" s="31"/>
      <c r="G2815" s="31"/>
      <c r="H2815" s="31"/>
      <c r="I2815" s="56"/>
      <c r="J2815" s="56"/>
      <c r="K2815" s="82" t="str">
        <f t="shared" si="860"/>
        <v>Invoice</v>
      </c>
      <c r="L2815" s="83" t="str">
        <f>"SI_111561"</f>
        <v>SI_111561</v>
      </c>
      <c r="M2815" s="84">
        <v>42348</v>
      </c>
      <c r="N2815" s="85">
        <f t="shared" si="861"/>
        <v>1464</v>
      </c>
      <c r="O2815" s="86">
        <f t="shared" si="862"/>
        <v>17229.150000000001</v>
      </c>
      <c r="P2815" s="86">
        <f t="shared" si="863"/>
        <v>0</v>
      </c>
      <c r="Q2815" s="86">
        <f t="shared" si="864"/>
        <v>0</v>
      </c>
      <c r="R2815" s="86">
        <f t="shared" si="865"/>
        <v>0</v>
      </c>
      <c r="S2815" s="86">
        <f t="shared" si="866"/>
        <v>0</v>
      </c>
      <c r="T2815" s="86">
        <f t="shared" si="867"/>
        <v>17229.150000000001</v>
      </c>
      <c r="U2815" s="87">
        <v>17229.150000000001</v>
      </c>
    </row>
    <row r="2816" spans="1:21" s="30" customFormat="1" ht="24.6" hidden="1" outlineLevel="1" x14ac:dyDescent="0.55000000000000004">
      <c r="A2816" s="27" t="s">
        <v>327</v>
      </c>
      <c r="B2816" s="28"/>
      <c r="C2816" s="27"/>
      <c r="D2816" s="27" t="str">
        <f>"""NAV Direct"",""CRONUS JetCorp USA"",""21"",""1"",""435797"""</f>
        <v>"NAV Direct","CRONUS JetCorp USA","21","1","435797"</v>
      </c>
      <c r="E2816" s="31">
        <f t="shared" si="859"/>
        <v>0</v>
      </c>
      <c r="F2816" s="31"/>
      <c r="G2816" s="31"/>
      <c r="H2816" s="31"/>
      <c r="I2816" s="56"/>
      <c r="J2816" s="56"/>
      <c r="K2816" s="82" t="str">
        <f t="shared" ref="K2816:K2853" si="868">"Credit Memo"</f>
        <v>Credit Memo</v>
      </c>
      <c r="L2816" s="83" t="str">
        <f>"SC_100641"</f>
        <v>SC_100641</v>
      </c>
      <c r="M2816" s="84">
        <v>42491</v>
      </c>
      <c r="N2816" s="85">
        <f t="shared" si="861"/>
        <v>1321</v>
      </c>
      <c r="O2816" s="86">
        <f t="shared" si="862"/>
        <v>-94.48</v>
      </c>
      <c r="P2816" s="86">
        <f t="shared" si="863"/>
        <v>0</v>
      </c>
      <c r="Q2816" s="86">
        <f t="shared" si="864"/>
        <v>0</v>
      </c>
      <c r="R2816" s="86">
        <f t="shared" si="865"/>
        <v>0</v>
      </c>
      <c r="S2816" s="86">
        <f t="shared" si="866"/>
        <v>0</v>
      </c>
      <c r="T2816" s="86">
        <f t="shared" si="867"/>
        <v>-94.48</v>
      </c>
      <c r="U2816" s="87">
        <v>-94.48</v>
      </c>
    </row>
    <row r="2817" spans="1:21" s="30" customFormat="1" ht="24.6" hidden="1" outlineLevel="1" x14ac:dyDescent="0.55000000000000004">
      <c r="A2817" s="27" t="s">
        <v>327</v>
      </c>
      <c r="B2817" s="28"/>
      <c r="C2817" s="27"/>
      <c r="D2817" s="27" t="str">
        <f>"""NAV Direct"",""CRONUS JetCorp USA"",""21"",""1"",""435842"""</f>
        <v>"NAV Direct","CRONUS JetCorp USA","21","1","435842"</v>
      </c>
      <c r="E2817" s="31" t="str">
        <f t="shared" si="859"/>
        <v>C100086</v>
      </c>
      <c r="F2817" s="31"/>
      <c r="G2817" s="31"/>
      <c r="H2817" s="31"/>
      <c r="I2817" s="56"/>
      <c r="J2817" s="56"/>
      <c r="K2817" s="82" t="str">
        <f t="shared" si="868"/>
        <v>Credit Memo</v>
      </c>
      <c r="L2817" s="83" t="str">
        <f>"SC_100644"</f>
        <v>SC_100644</v>
      </c>
      <c r="M2817" s="84">
        <v>42690</v>
      </c>
      <c r="N2817" s="85">
        <f t="shared" si="861"/>
        <v>1122</v>
      </c>
      <c r="O2817" s="86">
        <f t="shared" si="862"/>
        <v>-117.53</v>
      </c>
      <c r="P2817" s="86">
        <f t="shared" si="863"/>
        <v>0</v>
      </c>
      <c r="Q2817" s="86">
        <f t="shared" si="864"/>
        <v>0</v>
      </c>
      <c r="R2817" s="86">
        <f t="shared" si="865"/>
        <v>0</v>
      </c>
      <c r="S2817" s="86">
        <f t="shared" si="866"/>
        <v>0</v>
      </c>
      <c r="T2817" s="86">
        <f t="shared" si="867"/>
        <v>-117.53</v>
      </c>
      <c r="U2817" s="87">
        <v>-117.53</v>
      </c>
    </row>
    <row r="2818" spans="1:21" s="30" customFormat="1" ht="24.6" hidden="1" outlineLevel="1" x14ac:dyDescent="0.55000000000000004">
      <c r="A2818" s="27" t="s">
        <v>327</v>
      </c>
      <c r="B2818" s="28"/>
      <c r="C2818" s="27"/>
      <c r="D2818" s="27" t="str">
        <f>"""NAV Direct"",""CRONUS JetCorp USA"",""21"",""1"",""435857"""</f>
        <v>"NAV Direct","CRONUS JetCorp USA","21","1","435857"</v>
      </c>
      <c r="E2818" s="31">
        <f t="shared" si="859"/>
        <v>0</v>
      </c>
      <c r="F2818" s="31"/>
      <c r="G2818" s="31"/>
      <c r="H2818" s="31"/>
      <c r="I2818" s="56"/>
      <c r="J2818" s="56"/>
      <c r="K2818" s="82" t="str">
        <f t="shared" si="868"/>
        <v>Credit Memo</v>
      </c>
      <c r="L2818" s="83" t="str">
        <f>"SC_100645"</f>
        <v>SC_100645</v>
      </c>
      <c r="M2818" s="84">
        <v>42721</v>
      </c>
      <c r="N2818" s="85">
        <f t="shared" si="861"/>
        <v>1091</v>
      </c>
      <c r="O2818" s="86">
        <f t="shared" si="862"/>
        <v>-131.69</v>
      </c>
      <c r="P2818" s="86">
        <f t="shared" si="863"/>
        <v>0</v>
      </c>
      <c r="Q2818" s="86">
        <f t="shared" si="864"/>
        <v>0</v>
      </c>
      <c r="R2818" s="86">
        <f t="shared" si="865"/>
        <v>0</v>
      </c>
      <c r="S2818" s="86">
        <f t="shared" si="866"/>
        <v>0</v>
      </c>
      <c r="T2818" s="86">
        <f t="shared" si="867"/>
        <v>-131.69</v>
      </c>
      <c r="U2818" s="87">
        <v>-131.69</v>
      </c>
    </row>
    <row r="2819" spans="1:21" s="30" customFormat="1" ht="24.6" hidden="1" outlineLevel="1" x14ac:dyDescent="0.55000000000000004">
      <c r="A2819" s="27" t="s">
        <v>327</v>
      </c>
      <c r="B2819" s="28"/>
      <c r="C2819" s="27"/>
      <c r="D2819" s="27" t="str">
        <f>"""NAV Direct"",""CRONUS JetCorp USA"",""21"",""1"",""435866"""</f>
        <v>"NAV Direct","CRONUS JetCorp USA","21","1","435866"</v>
      </c>
      <c r="E2819" s="31" t="str">
        <f t="shared" si="859"/>
        <v>C100086</v>
      </c>
      <c r="F2819" s="31"/>
      <c r="G2819" s="31"/>
      <c r="H2819" s="31"/>
      <c r="I2819" s="56"/>
      <c r="J2819" s="56"/>
      <c r="K2819" s="82" t="str">
        <f t="shared" si="868"/>
        <v>Credit Memo</v>
      </c>
      <c r="L2819" s="83" t="str">
        <f>"SC_100646"</f>
        <v>SC_100646</v>
      </c>
      <c r="M2819" s="84">
        <v>42751</v>
      </c>
      <c r="N2819" s="85">
        <f t="shared" si="861"/>
        <v>1061</v>
      </c>
      <c r="O2819" s="86">
        <f t="shared" si="862"/>
        <v>-123.25000000000001</v>
      </c>
      <c r="P2819" s="86">
        <f t="shared" si="863"/>
        <v>0</v>
      </c>
      <c r="Q2819" s="86">
        <f t="shared" si="864"/>
        <v>0</v>
      </c>
      <c r="R2819" s="86">
        <f t="shared" si="865"/>
        <v>0</v>
      </c>
      <c r="S2819" s="86">
        <f t="shared" si="866"/>
        <v>0</v>
      </c>
      <c r="T2819" s="86">
        <f t="shared" si="867"/>
        <v>-123.25000000000001</v>
      </c>
      <c r="U2819" s="87">
        <v>-123.25000000000001</v>
      </c>
    </row>
    <row r="2820" spans="1:21" s="30" customFormat="1" ht="24.6" hidden="1" outlineLevel="1" x14ac:dyDescent="0.55000000000000004">
      <c r="A2820" s="27" t="s">
        <v>327</v>
      </c>
      <c r="B2820" s="28"/>
      <c r="C2820" s="27"/>
      <c r="D2820" s="27" t="str">
        <f>"""NAV Direct"",""CRONUS JetCorp USA"",""21"",""1"",""435900"""</f>
        <v>"NAV Direct","CRONUS JetCorp USA","21","1","435900"</v>
      </c>
      <c r="E2820" s="31">
        <f t="shared" si="859"/>
        <v>0</v>
      </c>
      <c r="F2820" s="31"/>
      <c r="G2820" s="31"/>
      <c r="H2820" s="31"/>
      <c r="I2820" s="56"/>
      <c r="J2820" s="56"/>
      <c r="K2820" s="82" t="str">
        <f t="shared" si="868"/>
        <v>Credit Memo</v>
      </c>
      <c r="L2820" s="83" t="str">
        <f>"SC_100648"</f>
        <v>SC_100648</v>
      </c>
      <c r="M2820" s="84">
        <v>42775</v>
      </c>
      <c r="N2820" s="85">
        <f t="shared" si="861"/>
        <v>1037</v>
      </c>
      <c r="O2820" s="86">
        <f t="shared" si="862"/>
        <v>-121.38999999999999</v>
      </c>
      <c r="P2820" s="86">
        <f t="shared" si="863"/>
        <v>0</v>
      </c>
      <c r="Q2820" s="86">
        <f t="shared" si="864"/>
        <v>0</v>
      </c>
      <c r="R2820" s="86">
        <f t="shared" si="865"/>
        <v>0</v>
      </c>
      <c r="S2820" s="86">
        <f t="shared" si="866"/>
        <v>0</v>
      </c>
      <c r="T2820" s="86">
        <f t="shared" si="867"/>
        <v>-121.38999999999999</v>
      </c>
      <c r="U2820" s="87">
        <v>-121.38999999999999</v>
      </c>
    </row>
    <row r="2821" spans="1:21" s="30" customFormat="1" ht="24.6" hidden="1" outlineLevel="1" x14ac:dyDescent="0.55000000000000004">
      <c r="A2821" s="27" t="s">
        <v>327</v>
      </c>
      <c r="B2821" s="28"/>
      <c r="C2821" s="27"/>
      <c r="D2821" s="27" t="str">
        <f>"""NAV Direct"",""CRONUS JetCorp USA"",""21"",""1"",""435917"""</f>
        <v>"NAV Direct","CRONUS JetCorp USA","21","1","435917"</v>
      </c>
      <c r="E2821" s="31" t="str">
        <f t="shared" si="859"/>
        <v>C100086</v>
      </c>
      <c r="F2821" s="31"/>
      <c r="G2821" s="31"/>
      <c r="H2821" s="31"/>
      <c r="I2821" s="56"/>
      <c r="J2821" s="56"/>
      <c r="K2821" s="82" t="str">
        <f t="shared" si="868"/>
        <v>Credit Memo</v>
      </c>
      <c r="L2821" s="83" t="str">
        <f>"SC_100649"</f>
        <v>SC_100649</v>
      </c>
      <c r="M2821" s="84">
        <v>42807</v>
      </c>
      <c r="N2821" s="85">
        <f t="shared" si="861"/>
        <v>1005</v>
      </c>
      <c r="O2821" s="86">
        <f t="shared" si="862"/>
        <v>-114.74</v>
      </c>
      <c r="P2821" s="86">
        <f t="shared" si="863"/>
        <v>0</v>
      </c>
      <c r="Q2821" s="86">
        <f t="shared" si="864"/>
        <v>0</v>
      </c>
      <c r="R2821" s="86">
        <f t="shared" si="865"/>
        <v>0</v>
      </c>
      <c r="S2821" s="86">
        <f t="shared" si="866"/>
        <v>0</v>
      </c>
      <c r="T2821" s="86">
        <f t="shared" si="867"/>
        <v>-114.74</v>
      </c>
      <c r="U2821" s="87">
        <v>-114.74</v>
      </c>
    </row>
    <row r="2822" spans="1:21" s="30" customFormat="1" ht="24.6" hidden="1" outlineLevel="1" x14ac:dyDescent="0.55000000000000004">
      <c r="A2822" s="27" t="s">
        <v>327</v>
      </c>
      <c r="B2822" s="28"/>
      <c r="C2822" s="27"/>
      <c r="D2822" s="27" t="str">
        <f>"""NAV Direct"",""CRONUS JetCorp USA"",""21"",""1"",""435933"""</f>
        <v>"NAV Direct","CRONUS JetCorp USA","21","1","435933"</v>
      </c>
      <c r="E2822" s="31">
        <f t="shared" si="859"/>
        <v>0</v>
      </c>
      <c r="F2822" s="31"/>
      <c r="G2822" s="31"/>
      <c r="H2822" s="31"/>
      <c r="I2822" s="56"/>
      <c r="J2822" s="56"/>
      <c r="K2822" s="82" t="str">
        <f t="shared" si="868"/>
        <v>Credit Memo</v>
      </c>
      <c r="L2822" s="83" t="str">
        <f>"SC_100651"</f>
        <v>SC_100651</v>
      </c>
      <c r="M2822" s="84">
        <v>42826</v>
      </c>
      <c r="N2822" s="85">
        <f t="shared" si="861"/>
        <v>986</v>
      </c>
      <c r="O2822" s="86">
        <f t="shared" si="862"/>
        <v>-129.83000000000001</v>
      </c>
      <c r="P2822" s="86">
        <f t="shared" si="863"/>
        <v>0</v>
      </c>
      <c r="Q2822" s="86">
        <f t="shared" si="864"/>
        <v>0</v>
      </c>
      <c r="R2822" s="86">
        <f t="shared" si="865"/>
        <v>0</v>
      </c>
      <c r="S2822" s="86">
        <f t="shared" si="866"/>
        <v>0</v>
      </c>
      <c r="T2822" s="86">
        <f t="shared" si="867"/>
        <v>-129.83000000000001</v>
      </c>
      <c r="U2822" s="87">
        <v>-129.83000000000001</v>
      </c>
    </row>
    <row r="2823" spans="1:21" s="30" customFormat="1" ht="24.6" hidden="1" outlineLevel="1" x14ac:dyDescent="0.55000000000000004">
      <c r="A2823" s="27" t="s">
        <v>327</v>
      </c>
      <c r="B2823" s="28"/>
      <c r="C2823" s="27"/>
      <c r="D2823" s="27" t="str">
        <f>"""NAV Direct"",""CRONUS JetCorp USA"",""21"",""1"",""435951"""</f>
        <v>"NAV Direct","CRONUS JetCorp USA","21","1","435951"</v>
      </c>
      <c r="E2823" s="31" t="str">
        <f t="shared" ref="E2823:E2853" si="869">E2821</f>
        <v>C100086</v>
      </c>
      <c r="F2823" s="31"/>
      <c r="G2823" s="31"/>
      <c r="H2823" s="31"/>
      <c r="I2823" s="56"/>
      <c r="J2823" s="56"/>
      <c r="K2823" s="82" t="str">
        <f t="shared" si="868"/>
        <v>Credit Memo</v>
      </c>
      <c r="L2823" s="83" t="str">
        <f>"SC_100653"</f>
        <v>SC_100653</v>
      </c>
      <c r="M2823" s="84">
        <v>42857</v>
      </c>
      <c r="N2823" s="85">
        <f t="shared" ref="N2823:N2853" si="870">StartDate-$M2823+1</f>
        <v>955</v>
      </c>
      <c r="O2823" s="86">
        <f t="shared" ref="O2823:O2853" si="871">SUM(P2823:T2823)</f>
        <v>-143.70999999999998</v>
      </c>
      <c r="P2823" s="86">
        <f t="shared" ref="P2823:P2853" si="872">IF($M2823&gt;=$P$18,U2823,0)</f>
        <v>0</v>
      </c>
      <c r="Q2823" s="86">
        <f t="shared" ref="Q2823:Q2853" si="873">IF(AND($M2823&gt;=$Q$16,$M2823&lt;=$Q$18),U2823,0)</f>
        <v>0</v>
      </c>
      <c r="R2823" s="86">
        <f t="shared" ref="R2823:R2853" si="874">IF(AND($M2823&gt;=$R$16,$M2823&lt;=$R$18),U2823,0)</f>
        <v>0</v>
      </c>
      <c r="S2823" s="86">
        <f t="shared" ref="S2823:S2853" si="875">IF(AND($M2823&gt;=$S$16,$M2823&lt;=$S$18),U2823,0)</f>
        <v>0</v>
      </c>
      <c r="T2823" s="86">
        <f t="shared" ref="T2823:T2853" si="876">IF($M2823&lt;=$T$18,U2823,0)</f>
        <v>-143.70999999999998</v>
      </c>
      <c r="U2823" s="87">
        <v>-143.70999999999998</v>
      </c>
    </row>
    <row r="2824" spans="1:21" s="30" customFormat="1" ht="24.6" hidden="1" outlineLevel="1" x14ac:dyDescent="0.55000000000000004">
      <c r="A2824" s="27" t="s">
        <v>327</v>
      </c>
      <c r="B2824" s="28"/>
      <c r="C2824" s="27"/>
      <c r="D2824" s="27" t="str">
        <f>"""NAV Direct"",""CRONUS JetCorp USA"",""21"",""1"",""436009"""</f>
        <v>"NAV Direct","CRONUS JetCorp USA","21","1","436009"</v>
      </c>
      <c r="E2824" s="31">
        <f t="shared" si="869"/>
        <v>0</v>
      </c>
      <c r="F2824" s="31"/>
      <c r="G2824" s="31"/>
      <c r="H2824" s="31"/>
      <c r="I2824" s="56"/>
      <c r="J2824" s="56"/>
      <c r="K2824" s="82" t="str">
        <f t="shared" si="868"/>
        <v>Credit Memo</v>
      </c>
      <c r="L2824" s="83" t="str">
        <f>"SC_100657"</f>
        <v>SC_100657</v>
      </c>
      <c r="M2824" s="84">
        <v>42905</v>
      </c>
      <c r="N2824" s="85">
        <f t="shared" si="870"/>
        <v>907</v>
      </c>
      <c r="O2824" s="86">
        <f t="shared" si="871"/>
        <v>-156.79</v>
      </c>
      <c r="P2824" s="86">
        <f t="shared" si="872"/>
        <v>0</v>
      </c>
      <c r="Q2824" s="86">
        <f t="shared" si="873"/>
        <v>0</v>
      </c>
      <c r="R2824" s="86">
        <f t="shared" si="874"/>
        <v>0</v>
      </c>
      <c r="S2824" s="86">
        <f t="shared" si="875"/>
        <v>0</v>
      </c>
      <c r="T2824" s="86">
        <f t="shared" si="876"/>
        <v>-156.79</v>
      </c>
      <c r="U2824" s="87">
        <v>-156.79</v>
      </c>
    </row>
    <row r="2825" spans="1:21" s="30" customFormat="1" ht="24.6" hidden="1" outlineLevel="1" x14ac:dyDescent="0.55000000000000004">
      <c r="A2825" s="27" t="s">
        <v>327</v>
      </c>
      <c r="B2825" s="28"/>
      <c r="C2825" s="27"/>
      <c r="D2825" s="27" t="str">
        <f>"""NAV Direct"",""CRONUS JetCorp USA"",""21"",""1"",""436045"""</f>
        <v>"NAV Direct","CRONUS JetCorp USA","21","1","436045"</v>
      </c>
      <c r="E2825" s="31" t="str">
        <f t="shared" si="869"/>
        <v>C100086</v>
      </c>
      <c r="F2825" s="31"/>
      <c r="G2825" s="31"/>
      <c r="H2825" s="31"/>
      <c r="I2825" s="56"/>
      <c r="J2825" s="56"/>
      <c r="K2825" s="82" t="str">
        <f t="shared" si="868"/>
        <v>Credit Memo</v>
      </c>
      <c r="L2825" s="83" t="str">
        <f>"SC_100659"</f>
        <v>SC_100659</v>
      </c>
      <c r="M2825" s="84">
        <v>42954</v>
      </c>
      <c r="N2825" s="85">
        <f t="shared" si="870"/>
        <v>858</v>
      </c>
      <c r="O2825" s="86">
        <f t="shared" si="871"/>
        <v>-127.22999999999999</v>
      </c>
      <c r="P2825" s="86">
        <f t="shared" si="872"/>
        <v>0</v>
      </c>
      <c r="Q2825" s="86">
        <f t="shared" si="873"/>
        <v>0</v>
      </c>
      <c r="R2825" s="86">
        <f t="shared" si="874"/>
        <v>0</v>
      </c>
      <c r="S2825" s="86">
        <f t="shared" si="875"/>
        <v>0</v>
      </c>
      <c r="T2825" s="86">
        <f t="shared" si="876"/>
        <v>-127.22999999999999</v>
      </c>
      <c r="U2825" s="87">
        <v>-127.22999999999999</v>
      </c>
    </row>
    <row r="2826" spans="1:21" s="30" customFormat="1" ht="24.6" hidden="1" outlineLevel="1" x14ac:dyDescent="0.55000000000000004">
      <c r="A2826" s="27" t="s">
        <v>327</v>
      </c>
      <c r="B2826" s="28"/>
      <c r="C2826" s="27"/>
      <c r="D2826" s="27" t="str">
        <f>"""NAV Direct"",""CRONUS JetCorp USA"",""21"",""1"",""436128"""</f>
        <v>"NAV Direct","CRONUS JetCorp USA","21","1","436128"</v>
      </c>
      <c r="E2826" s="31">
        <f t="shared" si="869"/>
        <v>0</v>
      </c>
      <c r="F2826" s="31"/>
      <c r="G2826" s="31"/>
      <c r="H2826" s="31"/>
      <c r="I2826" s="56"/>
      <c r="J2826" s="56"/>
      <c r="K2826" s="82" t="str">
        <f t="shared" si="868"/>
        <v>Credit Memo</v>
      </c>
      <c r="L2826" s="83" t="str">
        <f>"SC_100664"</f>
        <v>SC_100664</v>
      </c>
      <c r="M2826" s="84">
        <v>43058</v>
      </c>
      <c r="N2826" s="85">
        <f t="shared" si="870"/>
        <v>754</v>
      </c>
      <c r="O2826" s="86">
        <f t="shared" si="871"/>
        <v>-140.57</v>
      </c>
      <c r="P2826" s="86">
        <f t="shared" si="872"/>
        <v>0</v>
      </c>
      <c r="Q2826" s="86">
        <f t="shared" si="873"/>
        <v>0</v>
      </c>
      <c r="R2826" s="86">
        <f t="shared" si="874"/>
        <v>0</v>
      </c>
      <c r="S2826" s="86">
        <f t="shared" si="875"/>
        <v>0</v>
      </c>
      <c r="T2826" s="86">
        <f t="shared" si="876"/>
        <v>-140.57</v>
      </c>
      <c r="U2826" s="87">
        <v>-140.57</v>
      </c>
    </row>
    <row r="2827" spans="1:21" s="30" customFormat="1" ht="24.6" hidden="1" outlineLevel="1" x14ac:dyDescent="0.55000000000000004">
      <c r="A2827" s="27" t="s">
        <v>327</v>
      </c>
      <c r="B2827" s="28"/>
      <c r="C2827" s="27"/>
      <c r="D2827" s="27" t="str">
        <f>"""NAV Direct"",""CRONUS JetCorp USA"",""21"",""1"",""436150"""</f>
        <v>"NAV Direct","CRONUS JetCorp USA","21","1","436150"</v>
      </c>
      <c r="E2827" s="31" t="str">
        <f t="shared" si="869"/>
        <v>C100086</v>
      </c>
      <c r="F2827" s="31"/>
      <c r="G2827" s="31"/>
      <c r="H2827" s="31"/>
      <c r="I2827" s="56"/>
      <c r="J2827" s="56"/>
      <c r="K2827" s="82" t="str">
        <f t="shared" si="868"/>
        <v>Credit Memo</v>
      </c>
      <c r="L2827" s="83" t="str">
        <f>"SC_100666"</f>
        <v>SC_100666</v>
      </c>
      <c r="M2827" s="84">
        <v>43089</v>
      </c>
      <c r="N2827" s="85">
        <f t="shared" si="870"/>
        <v>723</v>
      </c>
      <c r="O2827" s="86">
        <f t="shared" si="871"/>
        <v>-163.80000000000001</v>
      </c>
      <c r="P2827" s="86">
        <f t="shared" si="872"/>
        <v>0</v>
      </c>
      <c r="Q2827" s="86">
        <f t="shared" si="873"/>
        <v>0</v>
      </c>
      <c r="R2827" s="86">
        <f t="shared" si="874"/>
        <v>0</v>
      </c>
      <c r="S2827" s="86">
        <f t="shared" si="875"/>
        <v>0</v>
      </c>
      <c r="T2827" s="86">
        <f t="shared" si="876"/>
        <v>-163.80000000000001</v>
      </c>
      <c r="U2827" s="87">
        <v>-163.80000000000001</v>
      </c>
    </row>
    <row r="2828" spans="1:21" s="30" customFormat="1" ht="24.6" hidden="1" outlineLevel="1" x14ac:dyDescent="0.55000000000000004">
      <c r="A2828" s="27" t="s">
        <v>327</v>
      </c>
      <c r="B2828" s="28"/>
      <c r="C2828" s="27"/>
      <c r="D2828" s="27" t="str">
        <f>"""NAV Direct"",""CRONUS JetCorp USA"",""21"",""1"",""436167"""</f>
        <v>"NAV Direct","CRONUS JetCorp USA","21","1","436167"</v>
      </c>
      <c r="E2828" s="31">
        <f t="shared" si="869"/>
        <v>0</v>
      </c>
      <c r="F2828" s="31"/>
      <c r="G2828" s="31"/>
      <c r="H2828" s="31"/>
      <c r="I2828" s="56"/>
      <c r="J2828" s="56"/>
      <c r="K2828" s="82" t="str">
        <f t="shared" si="868"/>
        <v>Credit Memo</v>
      </c>
      <c r="L2828" s="83" t="str">
        <f>"SC_100667"</f>
        <v>SC_100667</v>
      </c>
      <c r="M2828" s="84">
        <v>43112</v>
      </c>
      <c r="N2828" s="85">
        <f t="shared" si="870"/>
        <v>700</v>
      </c>
      <c r="O2828" s="86">
        <f t="shared" si="871"/>
        <v>-152.08000000000001</v>
      </c>
      <c r="P2828" s="86">
        <f t="shared" si="872"/>
        <v>0</v>
      </c>
      <c r="Q2828" s="86">
        <f t="shared" si="873"/>
        <v>0</v>
      </c>
      <c r="R2828" s="86">
        <f t="shared" si="874"/>
        <v>0</v>
      </c>
      <c r="S2828" s="86">
        <f t="shared" si="875"/>
        <v>0</v>
      </c>
      <c r="T2828" s="86">
        <f t="shared" si="876"/>
        <v>-152.08000000000001</v>
      </c>
      <c r="U2828" s="87">
        <v>-152.08000000000001</v>
      </c>
    </row>
    <row r="2829" spans="1:21" s="30" customFormat="1" ht="24.6" hidden="1" outlineLevel="1" x14ac:dyDescent="0.55000000000000004">
      <c r="A2829" s="27" t="s">
        <v>327</v>
      </c>
      <c r="B2829" s="28"/>
      <c r="C2829" s="27"/>
      <c r="D2829" s="27" t="str">
        <f>"""NAV Direct"",""CRONUS JetCorp USA"",""21"",""1"",""436184"""</f>
        <v>"NAV Direct","CRONUS JetCorp USA","21","1","436184"</v>
      </c>
      <c r="E2829" s="31" t="str">
        <f t="shared" si="869"/>
        <v>C100086</v>
      </c>
      <c r="F2829" s="31"/>
      <c r="G2829" s="31"/>
      <c r="H2829" s="31"/>
      <c r="I2829" s="56"/>
      <c r="J2829" s="56"/>
      <c r="K2829" s="82" t="str">
        <f t="shared" si="868"/>
        <v>Credit Memo</v>
      </c>
      <c r="L2829" s="83" t="str">
        <f>"SC_100668"</f>
        <v>SC_100668</v>
      </c>
      <c r="M2829" s="84">
        <v>43116</v>
      </c>
      <c r="N2829" s="85">
        <f t="shared" si="870"/>
        <v>696</v>
      </c>
      <c r="O2829" s="86">
        <f t="shared" si="871"/>
        <v>-152.41</v>
      </c>
      <c r="P2829" s="86">
        <f t="shared" si="872"/>
        <v>0</v>
      </c>
      <c r="Q2829" s="86">
        <f t="shared" si="873"/>
        <v>0</v>
      </c>
      <c r="R2829" s="86">
        <f t="shared" si="874"/>
        <v>0</v>
      </c>
      <c r="S2829" s="86">
        <f t="shared" si="875"/>
        <v>0</v>
      </c>
      <c r="T2829" s="86">
        <f t="shared" si="876"/>
        <v>-152.41</v>
      </c>
      <c r="U2829" s="87">
        <v>-152.41</v>
      </c>
    </row>
    <row r="2830" spans="1:21" s="30" customFormat="1" ht="24.6" hidden="1" outlineLevel="1" x14ac:dyDescent="0.55000000000000004">
      <c r="A2830" s="27" t="s">
        <v>327</v>
      </c>
      <c r="B2830" s="28"/>
      <c r="C2830" s="27"/>
      <c r="D2830" s="27" t="str">
        <f>"""NAV Direct"",""CRONUS JetCorp USA"",""21"",""1"",""436260"""</f>
        <v>"NAV Direct","CRONUS JetCorp USA","21","1","436260"</v>
      </c>
      <c r="E2830" s="31">
        <f t="shared" si="869"/>
        <v>0</v>
      </c>
      <c r="F2830" s="31"/>
      <c r="G2830" s="31"/>
      <c r="H2830" s="31"/>
      <c r="I2830" s="56"/>
      <c r="J2830" s="56"/>
      <c r="K2830" s="82" t="str">
        <f t="shared" si="868"/>
        <v>Credit Memo</v>
      </c>
      <c r="L2830" s="83" t="str">
        <f>"SC_100672"</f>
        <v>SC_100672</v>
      </c>
      <c r="M2830" s="84">
        <v>43202</v>
      </c>
      <c r="N2830" s="85">
        <f t="shared" si="870"/>
        <v>610</v>
      </c>
      <c r="O2830" s="86">
        <f t="shared" si="871"/>
        <v>-151.89000000000001</v>
      </c>
      <c r="P2830" s="86">
        <f t="shared" si="872"/>
        <v>0</v>
      </c>
      <c r="Q2830" s="86">
        <f t="shared" si="873"/>
        <v>0</v>
      </c>
      <c r="R2830" s="86">
        <f t="shared" si="874"/>
        <v>0</v>
      </c>
      <c r="S2830" s="86">
        <f t="shared" si="875"/>
        <v>0</v>
      </c>
      <c r="T2830" s="86">
        <f t="shared" si="876"/>
        <v>-151.89000000000001</v>
      </c>
      <c r="U2830" s="87">
        <v>-151.89000000000001</v>
      </c>
    </row>
    <row r="2831" spans="1:21" s="30" customFormat="1" ht="24.6" hidden="1" outlineLevel="1" x14ac:dyDescent="0.55000000000000004">
      <c r="A2831" s="27" t="s">
        <v>327</v>
      </c>
      <c r="B2831" s="28"/>
      <c r="C2831" s="27"/>
      <c r="D2831" s="27" t="str">
        <f>"""NAV Direct"",""CRONUS JetCorp USA"",""21"",""1"",""436298"""</f>
        <v>"NAV Direct","CRONUS JetCorp USA","21","1","436298"</v>
      </c>
      <c r="E2831" s="31" t="str">
        <f t="shared" si="869"/>
        <v>C100086</v>
      </c>
      <c r="F2831" s="31"/>
      <c r="G2831" s="31"/>
      <c r="H2831" s="31"/>
      <c r="I2831" s="56"/>
      <c r="J2831" s="56"/>
      <c r="K2831" s="82" t="str">
        <f t="shared" si="868"/>
        <v>Credit Memo</v>
      </c>
      <c r="L2831" s="83" t="str">
        <f>"SC_100674"</f>
        <v>SC_100674</v>
      </c>
      <c r="M2831" s="84">
        <v>43228</v>
      </c>
      <c r="N2831" s="85">
        <f t="shared" si="870"/>
        <v>584</v>
      </c>
      <c r="O2831" s="86">
        <f t="shared" si="871"/>
        <v>-175.89000000000001</v>
      </c>
      <c r="P2831" s="86">
        <f t="shared" si="872"/>
        <v>0</v>
      </c>
      <c r="Q2831" s="86">
        <f t="shared" si="873"/>
        <v>0</v>
      </c>
      <c r="R2831" s="86">
        <f t="shared" si="874"/>
        <v>0</v>
      </c>
      <c r="S2831" s="86">
        <f t="shared" si="875"/>
        <v>0</v>
      </c>
      <c r="T2831" s="86">
        <f t="shared" si="876"/>
        <v>-175.89000000000001</v>
      </c>
      <c r="U2831" s="87">
        <v>-175.89000000000001</v>
      </c>
    </row>
    <row r="2832" spans="1:21" s="30" customFormat="1" ht="24.6" hidden="1" outlineLevel="1" x14ac:dyDescent="0.55000000000000004">
      <c r="A2832" s="27" t="s">
        <v>327</v>
      </c>
      <c r="B2832" s="28"/>
      <c r="C2832" s="27"/>
      <c r="D2832" s="27" t="str">
        <f>"""NAV Direct"",""CRONUS JetCorp USA"",""21"",""1"",""436311"""</f>
        <v>"NAV Direct","CRONUS JetCorp USA","21","1","436311"</v>
      </c>
      <c r="E2832" s="31">
        <f t="shared" si="869"/>
        <v>0</v>
      </c>
      <c r="F2832" s="31"/>
      <c r="G2832" s="31"/>
      <c r="H2832" s="31"/>
      <c r="I2832" s="56"/>
      <c r="J2832" s="56"/>
      <c r="K2832" s="82" t="str">
        <f t="shared" si="868"/>
        <v>Credit Memo</v>
      </c>
      <c r="L2832" s="83" t="str">
        <f>"SC_100675"</f>
        <v>SC_100675</v>
      </c>
      <c r="M2832" s="84">
        <v>43237</v>
      </c>
      <c r="N2832" s="85">
        <f t="shared" si="870"/>
        <v>575</v>
      </c>
      <c r="O2832" s="86">
        <f t="shared" si="871"/>
        <v>-175.84</v>
      </c>
      <c r="P2832" s="86">
        <f t="shared" si="872"/>
        <v>0</v>
      </c>
      <c r="Q2832" s="86">
        <f t="shared" si="873"/>
        <v>0</v>
      </c>
      <c r="R2832" s="86">
        <f t="shared" si="874"/>
        <v>0</v>
      </c>
      <c r="S2832" s="86">
        <f t="shared" si="875"/>
        <v>0</v>
      </c>
      <c r="T2832" s="86">
        <f t="shared" si="876"/>
        <v>-175.84</v>
      </c>
      <c r="U2832" s="87">
        <v>-175.84</v>
      </c>
    </row>
    <row r="2833" spans="1:21" s="30" customFormat="1" ht="24.6" hidden="1" outlineLevel="1" x14ac:dyDescent="0.55000000000000004">
      <c r="A2833" s="27" t="s">
        <v>327</v>
      </c>
      <c r="B2833" s="28"/>
      <c r="C2833" s="27"/>
      <c r="D2833" s="27" t="str">
        <f>"""NAV Direct"",""CRONUS JetCorp USA"",""21"",""1"",""436352"""</f>
        <v>"NAV Direct","CRONUS JetCorp USA","21","1","436352"</v>
      </c>
      <c r="E2833" s="31" t="str">
        <f t="shared" si="869"/>
        <v>C100086</v>
      </c>
      <c r="F2833" s="31"/>
      <c r="G2833" s="31"/>
      <c r="H2833" s="31"/>
      <c r="I2833" s="56"/>
      <c r="J2833" s="56"/>
      <c r="K2833" s="82" t="str">
        <f t="shared" si="868"/>
        <v>Credit Memo</v>
      </c>
      <c r="L2833" s="83" t="str">
        <f>"SC_100678"</f>
        <v>SC_100678</v>
      </c>
      <c r="M2833" s="84">
        <v>43332</v>
      </c>
      <c r="N2833" s="85">
        <f t="shared" si="870"/>
        <v>480</v>
      </c>
      <c r="O2833" s="86">
        <f t="shared" si="871"/>
        <v>-168.49</v>
      </c>
      <c r="P2833" s="86">
        <f t="shared" si="872"/>
        <v>0</v>
      </c>
      <c r="Q2833" s="86">
        <f t="shared" si="873"/>
        <v>0</v>
      </c>
      <c r="R2833" s="86">
        <f t="shared" si="874"/>
        <v>0</v>
      </c>
      <c r="S2833" s="86">
        <f t="shared" si="875"/>
        <v>0</v>
      </c>
      <c r="T2833" s="86">
        <f t="shared" si="876"/>
        <v>-168.49</v>
      </c>
      <c r="U2833" s="87">
        <v>-168.49</v>
      </c>
    </row>
    <row r="2834" spans="1:21" s="30" customFormat="1" ht="24.6" hidden="1" outlineLevel="1" x14ac:dyDescent="0.55000000000000004">
      <c r="A2834" s="27" t="s">
        <v>327</v>
      </c>
      <c r="B2834" s="28"/>
      <c r="C2834" s="27"/>
      <c r="D2834" s="27" t="str">
        <f>"""NAV Direct"",""CRONUS JetCorp USA"",""21"",""1"",""436477"""</f>
        <v>"NAV Direct","CRONUS JetCorp USA","21","1","436477"</v>
      </c>
      <c r="E2834" s="31">
        <f t="shared" si="869"/>
        <v>0</v>
      </c>
      <c r="F2834" s="31"/>
      <c r="G2834" s="31"/>
      <c r="H2834" s="31"/>
      <c r="I2834" s="56"/>
      <c r="J2834" s="56"/>
      <c r="K2834" s="82" t="str">
        <f t="shared" si="868"/>
        <v>Credit Memo</v>
      </c>
      <c r="L2834" s="83" t="str">
        <f>"SC_100687"</f>
        <v>SC_100687</v>
      </c>
      <c r="M2834" s="84">
        <v>43443</v>
      </c>
      <c r="N2834" s="85">
        <f t="shared" si="870"/>
        <v>369</v>
      </c>
      <c r="O2834" s="86">
        <f t="shared" si="871"/>
        <v>-212.2</v>
      </c>
      <c r="P2834" s="86">
        <f t="shared" si="872"/>
        <v>0</v>
      </c>
      <c r="Q2834" s="86">
        <f t="shared" si="873"/>
        <v>0</v>
      </c>
      <c r="R2834" s="86">
        <f t="shared" si="874"/>
        <v>0</v>
      </c>
      <c r="S2834" s="86">
        <f t="shared" si="875"/>
        <v>0</v>
      </c>
      <c r="T2834" s="86">
        <f t="shared" si="876"/>
        <v>-212.2</v>
      </c>
      <c r="U2834" s="87">
        <v>-212.2</v>
      </c>
    </row>
    <row r="2835" spans="1:21" s="30" customFormat="1" ht="24.6" hidden="1" outlineLevel="1" x14ac:dyDescent="0.55000000000000004">
      <c r="A2835" s="27" t="s">
        <v>327</v>
      </c>
      <c r="B2835" s="28"/>
      <c r="C2835" s="27"/>
      <c r="D2835" s="27" t="str">
        <f>"""NAV Direct"",""CRONUS JetCorp USA"",""21"",""1"",""436515"""</f>
        <v>"NAV Direct","CRONUS JetCorp USA","21","1","436515"</v>
      </c>
      <c r="E2835" s="31" t="str">
        <f t="shared" si="869"/>
        <v>C100086</v>
      </c>
      <c r="F2835" s="31"/>
      <c r="G2835" s="31"/>
      <c r="H2835" s="31"/>
      <c r="I2835" s="56"/>
      <c r="J2835" s="56"/>
      <c r="K2835" s="82" t="str">
        <f t="shared" si="868"/>
        <v>Credit Memo</v>
      </c>
      <c r="L2835" s="83" t="str">
        <f>"SC_100689"</f>
        <v>SC_100689</v>
      </c>
      <c r="M2835" s="84">
        <v>43481</v>
      </c>
      <c r="N2835" s="85">
        <f t="shared" si="870"/>
        <v>331</v>
      </c>
      <c r="O2835" s="86">
        <f t="shared" si="871"/>
        <v>-201.41</v>
      </c>
      <c r="P2835" s="86">
        <f t="shared" si="872"/>
        <v>0</v>
      </c>
      <c r="Q2835" s="86">
        <f t="shared" si="873"/>
        <v>0</v>
      </c>
      <c r="R2835" s="86">
        <f t="shared" si="874"/>
        <v>0</v>
      </c>
      <c r="S2835" s="86">
        <f t="shared" si="875"/>
        <v>0</v>
      </c>
      <c r="T2835" s="86">
        <f t="shared" si="876"/>
        <v>-201.41</v>
      </c>
      <c r="U2835" s="87">
        <v>-201.41</v>
      </c>
    </row>
    <row r="2836" spans="1:21" s="30" customFormat="1" ht="24.6" hidden="1" outlineLevel="1" x14ac:dyDescent="0.55000000000000004">
      <c r="A2836" s="27" t="s">
        <v>327</v>
      </c>
      <c r="B2836" s="28"/>
      <c r="C2836" s="27"/>
      <c r="D2836" s="27" t="str">
        <f>"""NAV Direct"",""CRONUS JetCorp USA"",""21"",""1"",""436534"""</f>
        <v>"NAV Direct","CRONUS JetCorp USA","21","1","436534"</v>
      </c>
      <c r="E2836" s="31">
        <f t="shared" si="869"/>
        <v>0</v>
      </c>
      <c r="F2836" s="31"/>
      <c r="G2836" s="31"/>
      <c r="H2836" s="31"/>
      <c r="I2836" s="56"/>
      <c r="J2836" s="56"/>
      <c r="K2836" s="82" t="str">
        <f t="shared" si="868"/>
        <v>Credit Memo</v>
      </c>
      <c r="L2836" s="83" t="str">
        <f>"SC_100690"</f>
        <v>SC_100690</v>
      </c>
      <c r="M2836" s="84">
        <v>43479</v>
      </c>
      <c r="N2836" s="85">
        <f t="shared" si="870"/>
        <v>333</v>
      </c>
      <c r="O2836" s="86">
        <f t="shared" si="871"/>
        <v>-201.08</v>
      </c>
      <c r="P2836" s="86">
        <f t="shared" si="872"/>
        <v>0</v>
      </c>
      <c r="Q2836" s="86">
        <f t="shared" si="873"/>
        <v>0</v>
      </c>
      <c r="R2836" s="86">
        <f t="shared" si="874"/>
        <v>0</v>
      </c>
      <c r="S2836" s="86">
        <f t="shared" si="875"/>
        <v>0</v>
      </c>
      <c r="T2836" s="86">
        <f t="shared" si="876"/>
        <v>-201.08</v>
      </c>
      <c r="U2836" s="87">
        <v>-201.08</v>
      </c>
    </row>
    <row r="2837" spans="1:21" s="30" customFormat="1" ht="24.6" hidden="1" outlineLevel="1" x14ac:dyDescent="0.55000000000000004">
      <c r="A2837" s="27" t="s">
        <v>327</v>
      </c>
      <c r="B2837" s="28"/>
      <c r="C2837" s="27"/>
      <c r="D2837" s="27" t="str">
        <f>"""NAV Direct"",""CRONUS JetCorp USA"",""21"",""1"",""436592"""</f>
        <v>"NAV Direct","CRONUS JetCorp USA","21","1","436592"</v>
      </c>
      <c r="E2837" s="31" t="str">
        <f t="shared" si="869"/>
        <v>C100086</v>
      </c>
      <c r="F2837" s="31"/>
      <c r="G2837" s="31"/>
      <c r="H2837" s="31"/>
      <c r="I2837" s="56"/>
      <c r="J2837" s="56"/>
      <c r="K2837" s="82" t="str">
        <f t="shared" si="868"/>
        <v>Credit Memo</v>
      </c>
      <c r="L2837" s="83" t="str">
        <f>"SC_100694"</f>
        <v>SC_100694</v>
      </c>
      <c r="M2837" s="84">
        <v>43510</v>
      </c>
      <c r="N2837" s="85">
        <f t="shared" si="870"/>
        <v>302</v>
      </c>
      <c r="O2837" s="86">
        <f t="shared" si="871"/>
        <v>-185.17000000000002</v>
      </c>
      <c r="P2837" s="86">
        <f t="shared" si="872"/>
        <v>0</v>
      </c>
      <c r="Q2837" s="86">
        <f t="shared" si="873"/>
        <v>0</v>
      </c>
      <c r="R2837" s="86">
        <f t="shared" si="874"/>
        <v>0</v>
      </c>
      <c r="S2837" s="86">
        <f t="shared" si="875"/>
        <v>0</v>
      </c>
      <c r="T2837" s="86">
        <f t="shared" si="876"/>
        <v>-185.17000000000002</v>
      </c>
      <c r="U2837" s="87">
        <v>-185.17000000000002</v>
      </c>
    </row>
    <row r="2838" spans="1:21" s="30" customFormat="1" ht="24.6" hidden="1" outlineLevel="1" x14ac:dyDescent="0.55000000000000004">
      <c r="A2838" s="27" t="s">
        <v>327</v>
      </c>
      <c r="B2838" s="28"/>
      <c r="C2838" s="27"/>
      <c r="D2838" s="27" t="str">
        <f>"""NAV Direct"",""CRONUS JetCorp USA"",""21"",""1"",""436601"""</f>
        <v>"NAV Direct","CRONUS JetCorp USA","21","1","436601"</v>
      </c>
      <c r="E2838" s="31">
        <f t="shared" si="869"/>
        <v>0</v>
      </c>
      <c r="F2838" s="31"/>
      <c r="G2838" s="31"/>
      <c r="H2838" s="31"/>
      <c r="I2838" s="56"/>
      <c r="J2838" s="56"/>
      <c r="K2838" s="82" t="str">
        <f t="shared" si="868"/>
        <v>Credit Memo</v>
      </c>
      <c r="L2838" s="83" t="str">
        <f>"SC_100695"</f>
        <v>SC_100695</v>
      </c>
      <c r="M2838" s="84">
        <v>43515</v>
      </c>
      <c r="N2838" s="85">
        <f t="shared" si="870"/>
        <v>297</v>
      </c>
      <c r="O2838" s="86">
        <f t="shared" si="871"/>
        <v>-184.87</v>
      </c>
      <c r="P2838" s="86">
        <f t="shared" si="872"/>
        <v>0</v>
      </c>
      <c r="Q2838" s="86">
        <f t="shared" si="873"/>
        <v>0</v>
      </c>
      <c r="R2838" s="86">
        <f t="shared" si="874"/>
        <v>0</v>
      </c>
      <c r="S2838" s="86">
        <f t="shared" si="875"/>
        <v>0</v>
      </c>
      <c r="T2838" s="86">
        <f t="shared" si="876"/>
        <v>-184.87</v>
      </c>
      <c r="U2838" s="87">
        <v>-184.87</v>
      </c>
    </row>
    <row r="2839" spans="1:21" s="30" customFormat="1" ht="24.6" hidden="1" outlineLevel="1" x14ac:dyDescent="0.55000000000000004">
      <c r="A2839" s="27" t="s">
        <v>327</v>
      </c>
      <c r="B2839" s="28"/>
      <c r="C2839" s="27"/>
      <c r="D2839" s="27" t="str">
        <f>"""NAV Direct"",""CRONUS JetCorp USA"",""21"",""1"",""436637"""</f>
        <v>"NAV Direct","CRONUS JetCorp USA","21","1","436637"</v>
      </c>
      <c r="E2839" s="31" t="str">
        <f t="shared" si="869"/>
        <v>C100086</v>
      </c>
      <c r="F2839" s="31"/>
      <c r="G2839" s="31"/>
      <c r="H2839" s="31"/>
      <c r="I2839" s="56"/>
      <c r="J2839" s="56"/>
      <c r="K2839" s="82" t="str">
        <f t="shared" si="868"/>
        <v>Credit Memo</v>
      </c>
      <c r="L2839" s="83" t="str">
        <f>"SC_100697"</f>
        <v>SC_100697</v>
      </c>
      <c r="M2839" s="84">
        <v>43557</v>
      </c>
      <c r="N2839" s="85">
        <f t="shared" si="870"/>
        <v>255</v>
      </c>
      <c r="O2839" s="86">
        <f t="shared" si="871"/>
        <v>-183.67000000000002</v>
      </c>
      <c r="P2839" s="86">
        <f t="shared" si="872"/>
        <v>0</v>
      </c>
      <c r="Q2839" s="86">
        <f t="shared" si="873"/>
        <v>0</v>
      </c>
      <c r="R2839" s="86">
        <f t="shared" si="874"/>
        <v>0</v>
      </c>
      <c r="S2839" s="86">
        <f t="shared" si="875"/>
        <v>0</v>
      </c>
      <c r="T2839" s="86">
        <f t="shared" si="876"/>
        <v>-183.67000000000002</v>
      </c>
      <c r="U2839" s="87">
        <v>-183.67000000000002</v>
      </c>
    </row>
    <row r="2840" spans="1:21" s="30" customFormat="1" ht="24.6" hidden="1" outlineLevel="1" x14ac:dyDescent="0.55000000000000004">
      <c r="A2840" s="27" t="s">
        <v>327</v>
      </c>
      <c r="B2840" s="28"/>
      <c r="C2840" s="27"/>
      <c r="D2840" s="27" t="str">
        <f>"""NAV Direct"",""CRONUS JetCorp USA"",""21"",""1"",""436667"""</f>
        <v>"NAV Direct","CRONUS JetCorp USA","21","1","436667"</v>
      </c>
      <c r="E2840" s="31">
        <f t="shared" si="869"/>
        <v>0</v>
      </c>
      <c r="F2840" s="31"/>
      <c r="G2840" s="31"/>
      <c r="H2840" s="31"/>
      <c r="I2840" s="56"/>
      <c r="J2840" s="56"/>
      <c r="K2840" s="82" t="str">
        <f t="shared" si="868"/>
        <v>Credit Memo</v>
      </c>
      <c r="L2840" s="83" t="str">
        <f>"SC_100699"</f>
        <v>SC_100699</v>
      </c>
      <c r="M2840" s="84">
        <v>43591</v>
      </c>
      <c r="N2840" s="85">
        <f t="shared" si="870"/>
        <v>221</v>
      </c>
      <c r="O2840" s="86">
        <f t="shared" si="871"/>
        <v>-202.98999999999998</v>
      </c>
      <c r="P2840" s="86">
        <f t="shared" si="872"/>
        <v>0</v>
      </c>
      <c r="Q2840" s="86">
        <f t="shared" si="873"/>
        <v>0</v>
      </c>
      <c r="R2840" s="86">
        <f t="shared" si="874"/>
        <v>0</v>
      </c>
      <c r="S2840" s="86">
        <f t="shared" si="875"/>
        <v>0</v>
      </c>
      <c r="T2840" s="86">
        <f t="shared" si="876"/>
        <v>-202.98999999999998</v>
      </c>
      <c r="U2840" s="87">
        <v>-202.98999999999998</v>
      </c>
    </row>
    <row r="2841" spans="1:21" s="30" customFormat="1" ht="24.6" hidden="1" outlineLevel="1" x14ac:dyDescent="0.55000000000000004">
      <c r="A2841" s="27" t="s">
        <v>327</v>
      </c>
      <c r="B2841" s="28"/>
      <c r="C2841" s="27"/>
      <c r="D2841" s="27" t="str">
        <f>"""NAV Direct"",""CRONUS JetCorp USA"",""21"",""1"",""436680"""</f>
        <v>"NAV Direct","CRONUS JetCorp USA","21","1","436680"</v>
      </c>
      <c r="E2841" s="31" t="str">
        <f t="shared" si="869"/>
        <v>C100086</v>
      </c>
      <c r="F2841" s="31"/>
      <c r="G2841" s="31"/>
      <c r="H2841" s="31"/>
      <c r="I2841" s="56"/>
      <c r="J2841" s="56"/>
      <c r="K2841" s="82" t="str">
        <f t="shared" si="868"/>
        <v>Credit Memo</v>
      </c>
      <c r="L2841" s="83" t="str">
        <f>"SC_100700"</f>
        <v>SC_100700</v>
      </c>
      <c r="M2841" s="84">
        <v>43600</v>
      </c>
      <c r="N2841" s="85">
        <f t="shared" si="870"/>
        <v>212</v>
      </c>
      <c r="O2841" s="86">
        <f t="shared" si="871"/>
        <v>-202.6</v>
      </c>
      <c r="P2841" s="86">
        <f t="shared" si="872"/>
        <v>0</v>
      </c>
      <c r="Q2841" s="86">
        <f t="shared" si="873"/>
        <v>0</v>
      </c>
      <c r="R2841" s="86">
        <f t="shared" si="874"/>
        <v>0</v>
      </c>
      <c r="S2841" s="86">
        <f t="shared" si="875"/>
        <v>0</v>
      </c>
      <c r="T2841" s="86">
        <f t="shared" si="876"/>
        <v>-202.6</v>
      </c>
      <c r="U2841" s="87">
        <v>-202.6</v>
      </c>
    </row>
    <row r="2842" spans="1:21" s="30" customFormat="1" ht="24.6" hidden="1" outlineLevel="1" x14ac:dyDescent="0.55000000000000004">
      <c r="A2842" s="27" t="s">
        <v>327</v>
      </c>
      <c r="B2842" s="28"/>
      <c r="C2842" s="27"/>
      <c r="D2842" s="27" t="str">
        <f>"""NAV Direct"",""CRONUS JetCorp USA"",""21"",""1"",""436718"""</f>
        <v>"NAV Direct","CRONUS JetCorp USA","21","1","436718"</v>
      </c>
      <c r="E2842" s="31">
        <f t="shared" si="869"/>
        <v>0</v>
      </c>
      <c r="F2842" s="31"/>
      <c r="G2842" s="31"/>
      <c r="H2842" s="31"/>
      <c r="I2842" s="56"/>
      <c r="J2842" s="56"/>
      <c r="K2842" s="82" t="str">
        <f t="shared" si="868"/>
        <v>Credit Memo</v>
      </c>
      <c r="L2842" s="83" t="str">
        <f>"SC_100702"</f>
        <v>SC_100702</v>
      </c>
      <c r="M2842" s="84">
        <v>43628</v>
      </c>
      <c r="N2842" s="85">
        <f t="shared" si="870"/>
        <v>184</v>
      </c>
      <c r="O2842" s="86">
        <f t="shared" si="871"/>
        <v>-235.15</v>
      </c>
      <c r="P2842" s="86">
        <f t="shared" si="872"/>
        <v>0</v>
      </c>
      <c r="Q2842" s="86">
        <f t="shared" si="873"/>
        <v>0</v>
      </c>
      <c r="R2842" s="86">
        <f t="shared" si="874"/>
        <v>0</v>
      </c>
      <c r="S2842" s="86">
        <f t="shared" si="875"/>
        <v>0</v>
      </c>
      <c r="T2842" s="86">
        <f t="shared" si="876"/>
        <v>-235.15</v>
      </c>
      <c r="U2842" s="87">
        <v>-235.15</v>
      </c>
    </row>
    <row r="2843" spans="1:21" s="30" customFormat="1" ht="24.6" hidden="1" outlineLevel="1" x14ac:dyDescent="0.55000000000000004">
      <c r="A2843" s="27" t="s">
        <v>327</v>
      </c>
      <c r="B2843" s="28"/>
      <c r="C2843" s="27"/>
      <c r="D2843" s="27" t="str">
        <f>"""NAV Direct"",""CRONUS JetCorp USA"",""21"",""1"",""436777"""</f>
        <v>"NAV Direct","CRONUS JetCorp USA","21","1","436777"</v>
      </c>
      <c r="E2843" s="31" t="str">
        <f t="shared" si="869"/>
        <v>C100086</v>
      </c>
      <c r="F2843" s="31"/>
      <c r="G2843" s="31"/>
      <c r="H2843" s="31"/>
      <c r="I2843" s="56"/>
      <c r="J2843" s="56"/>
      <c r="K2843" s="82" t="str">
        <f t="shared" si="868"/>
        <v>Credit Memo</v>
      </c>
      <c r="L2843" s="83" t="str">
        <f>"SC_100705"</f>
        <v>SC_100705</v>
      </c>
      <c r="M2843" s="84">
        <v>43691</v>
      </c>
      <c r="N2843" s="85">
        <f t="shared" si="870"/>
        <v>121</v>
      </c>
      <c r="O2843" s="86">
        <f t="shared" si="871"/>
        <v>-137.19</v>
      </c>
      <c r="P2843" s="86">
        <f t="shared" si="872"/>
        <v>0</v>
      </c>
      <c r="Q2843" s="86">
        <f t="shared" si="873"/>
        <v>0</v>
      </c>
      <c r="R2843" s="86">
        <f t="shared" si="874"/>
        <v>0</v>
      </c>
      <c r="S2843" s="86">
        <f t="shared" si="875"/>
        <v>0</v>
      </c>
      <c r="T2843" s="86">
        <f t="shared" si="876"/>
        <v>-137.19</v>
      </c>
      <c r="U2843" s="87">
        <v>-137.19</v>
      </c>
    </row>
    <row r="2844" spans="1:21" s="30" customFormat="1" ht="24.6" hidden="1" outlineLevel="1" x14ac:dyDescent="0.55000000000000004">
      <c r="A2844" s="27" t="s">
        <v>327</v>
      </c>
      <c r="B2844" s="28"/>
      <c r="C2844" s="27"/>
      <c r="D2844" s="27" t="str">
        <f>"""NAV Direct"",""CRONUS JetCorp USA"",""21"",""1"",""436866"""</f>
        <v>"NAV Direct","CRONUS JetCorp USA","21","1","436866"</v>
      </c>
      <c r="E2844" s="31">
        <f t="shared" si="869"/>
        <v>0</v>
      </c>
      <c r="F2844" s="31"/>
      <c r="G2844" s="31"/>
      <c r="H2844" s="31"/>
      <c r="I2844" s="56"/>
      <c r="J2844" s="56"/>
      <c r="K2844" s="82" t="str">
        <f t="shared" si="868"/>
        <v>Credit Memo</v>
      </c>
      <c r="L2844" s="83" t="str">
        <f>"SC_100710"</f>
        <v>SC_100710</v>
      </c>
      <c r="M2844" s="84">
        <v>42016</v>
      </c>
      <c r="N2844" s="85">
        <f t="shared" si="870"/>
        <v>1796</v>
      </c>
      <c r="O2844" s="86">
        <f t="shared" si="871"/>
        <v>-169.48</v>
      </c>
      <c r="P2844" s="86">
        <f t="shared" si="872"/>
        <v>0</v>
      </c>
      <c r="Q2844" s="86">
        <f t="shared" si="873"/>
        <v>0</v>
      </c>
      <c r="R2844" s="86">
        <f t="shared" si="874"/>
        <v>0</v>
      </c>
      <c r="S2844" s="86">
        <f t="shared" si="875"/>
        <v>0</v>
      </c>
      <c r="T2844" s="86">
        <f t="shared" si="876"/>
        <v>-169.48</v>
      </c>
      <c r="U2844" s="87">
        <v>-169.48</v>
      </c>
    </row>
    <row r="2845" spans="1:21" s="30" customFormat="1" ht="24.6" hidden="1" outlineLevel="1" x14ac:dyDescent="0.55000000000000004">
      <c r="A2845" s="27" t="s">
        <v>327</v>
      </c>
      <c r="B2845" s="28"/>
      <c r="C2845" s="27"/>
      <c r="D2845" s="27" t="str">
        <f>"""NAV Direct"",""CRONUS JetCorp USA"",""21"",""1"",""436873"""</f>
        <v>"NAV Direct","CRONUS JetCorp USA","21","1","436873"</v>
      </c>
      <c r="E2845" s="31" t="str">
        <f t="shared" si="869"/>
        <v>C100086</v>
      </c>
      <c r="F2845" s="31"/>
      <c r="G2845" s="31"/>
      <c r="H2845" s="31"/>
      <c r="I2845" s="56"/>
      <c r="J2845" s="56"/>
      <c r="K2845" s="82" t="str">
        <f t="shared" si="868"/>
        <v>Credit Memo</v>
      </c>
      <c r="L2845" s="83" t="str">
        <f>"SC_100711"</f>
        <v>SC_100711</v>
      </c>
      <c r="M2845" s="84">
        <v>42019</v>
      </c>
      <c r="N2845" s="85">
        <f t="shared" si="870"/>
        <v>1793</v>
      </c>
      <c r="O2845" s="86">
        <f t="shared" si="871"/>
        <v>-169.34</v>
      </c>
      <c r="P2845" s="86">
        <f t="shared" si="872"/>
        <v>0</v>
      </c>
      <c r="Q2845" s="86">
        <f t="shared" si="873"/>
        <v>0</v>
      </c>
      <c r="R2845" s="86">
        <f t="shared" si="874"/>
        <v>0</v>
      </c>
      <c r="S2845" s="86">
        <f t="shared" si="875"/>
        <v>0</v>
      </c>
      <c r="T2845" s="86">
        <f t="shared" si="876"/>
        <v>-169.34</v>
      </c>
      <c r="U2845" s="87">
        <v>-169.34</v>
      </c>
    </row>
    <row r="2846" spans="1:21" s="30" customFormat="1" ht="24.6" hidden="1" outlineLevel="1" x14ac:dyDescent="0.55000000000000004">
      <c r="A2846" s="27" t="s">
        <v>327</v>
      </c>
      <c r="B2846" s="28"/>
      <c r="C2846" s="27"/>
      <c r="D2846" s="27" t="str">
        <f>"""NAV Direct"",""CRONUS JetCorp USA"",""21"",""1"",""436990"""</f>
        <v>"NAV Direct","CRONUS JetCorp USA","21","1","436990"</v>
      </c>
      <c r="E2846" s="31">
        <f t="shared" si="869"/>
        <v>0</v>
      </c>
      <c r="F2846" s="31"/>
      <c r="G2846" s="31"/>
      <c r="H2846" s="31"/>
      <c r="I2846" s="56"/>
      <c r="J2846" s="56"/>
      <c r="K2846" s="82" t="str">
        <f t="shared" si="868"/>
        <v>Credit Memo</v>
      </c>
      <c r="L2846" s="83" t="str">
        <f>"SC_100718"</f>
        <v>SC_100718</v>
      </c>
      <c r="M2846" s="84">
        <v>42099</v>
      </c>
      <c r="N2846" s="85">
        <f t="shared" si="870"/>
        <v>1713</v>
      </c>
      <c r="O2846" s="86">
        <f t="shared" si="871"/>
        <v>-165.48</v>
      </c>
      <c r="P2846" s="86">
        <f t="shared" si="872"/>
        <v>0</v>
      </c>
      <c r="Q2846" s="86">
        <f t="shared" si="873"/>
        <v>0</v>
      </c>
      <c r="R2846" s="86">
        <f t="shared" si="874"/>
        <v>0</v>
      </c>
      <c r="S2846" s="86">
        <f t="shared" si="875"/>
        <v>0</v>
      </c>
      <c r="T2846" s="86">
        <f t="shared" si="876"/>
        <v>-165.48</v>
      </c>
      <c r="U2846" s="87">
        <v>-165.48</v>
      </c>
    </row>
    <row r="2847" spans="1:21" s="30" customFormat="1" ht="24.6" hidden="1" outlineLevel="1" x14ac:dyDescent="0.55000000000000004">
      <c r="A2847" s="27" t="s">
        <v>327</v>
      </c>
      <c r="B2847" s="28"/>
      <c r="C2847" s="27"/>
      <c r="D2847" s="27" t="str">
        <f>"""NAV Direct"",""CRONUS JetCorp USA"",""21"",""1"",""437024"""</f>
        <v>"NAV Direct","CRONUS JetCorp USA","21","1","437024"</v>
      </c>
      <c r="E2847" s="31" t="str">
        <f t="shared" si="869"/>
        <v>C100086</v>
      </c>
      <c r="F2847" s="31"/>
      <c r="G2847" s="31"/>
      <c r="H2847" s="31"/>
      <c r="I2847" s="56"/>
      <c r="J2847" s="56"/>
      <c r="K2847" s="82" t="str">
        <f t="shared" si="868"/>
        <v>Credit Memo</v>
      </c>
      <c r="L2847" s="83" t="str">
        <f>"SC_100720"</f>
        <v>SC_100720</v>
      </c>
      <c r="M2847" s="84">
        <v>42106</v>
      </c>
      <c r="N2847" s="85">
        <f t="shared" si="870"/>
        <v>1706</v>
      </c>
      <c r="O2847" s="86">
        <f t="shared" si="871"/>
        <v>-165.46</v>
      </c>
      <c r="P2847" s="86">
        <f t="shared" si="872"/>
        <v>0</v>
      </c>
      <c r="Q2847" s="86">
        <f t="shared" si="873"/>
        <v>0</v>
      </c>
      <c r="R2847" s="86">
        <f t="shared" si="874"/>
        <v>0</v>
      </c>
      <c r="S2847" s="86">
        <f t="shared" si="875"/>
        <v>0</v>
      </c>
      <c r="T2847" s="86">
        <f t="shared" si="876"/>
        <v>-165.46</v>
      </c>
      <c r="U2847" s="87">
        <v>-165.46</v>
      </c>
    </row>
    <row r="2848" spans="1:21" s="30" customFormat="1" ht="24.6" hidden="1" outlineLevel="1" x14ac:dyDescent="0.55000000000000004">
      <c r="A2848" s="27" t="s">
        <v>327</v>
      </c>
      <c r="B2848" s="28"/>
      <c r="C2848" s="27"/>
      <c r="D2848" s="27" t="str">
        <f>"""NAV Direct"",""CRONUS JetCorp USA"",""21"",""1"",""437054"""</f>
        <v>"NAV Direct","CRONUS JetCorp USA","21","1","437054"</v>
      </c>
      <c r="E2848" s="31">
        <f t="shared" si="869"/>
        <v>0</v>
      </c>
      <c r="F2848" s="31"/>
      <c r="G2848" s="31"/>
      <c r="H2848" s="31"/>
      <c r="I2848" s="56"/>
      <c r="J2848" s="56"/>
      <c r="K2848" s="82" t="str">
        <f t="shared" si="868"/>
        <v>Credit Memo</v>
      </c>
      <c r="L2848" s="83" t="str">
        <f>"SC_100722"</f>
        <v>SC_100722</v>
      </c>
      <c r="M2848" s="84">
        <v>42132</v>
      </c>
      <c r="N2848" s="85">
        <f t="shared" si="870"/>
        <v>1680</v>
      </c>
      <c r="O2848" s="86">
        <f t="shared" si="871"/>
        <v>-182.78</v>
      </c>
      <c r="P2848" s="86">
        <f t="shared" si="872"/>
        <v>0</v>
      </c>
      <c r="Q2848" s="86">
        <f t="shared" si="873"/>
        <v>0</v>
      </c>
      <c r="R2848" s="86">
        <f t="shared" si="874"/>
        <v>0</v>
      </c>
      <c r="S2848" s="86">
        <f t="shared" si="875"/>
        <v>0</v>
      </c>
      <c r="T2848" s="86">
        <f t="shared" si="876"/>
        <v>-182.78</v>
      </c>
      <c r="U2848" s="87">
        <v>-182.78</v>
      </c>
    </row>
    <row r="2849" spans="1:22" s="30" customFormat="1" ht="24.6" hidden="1" outlineLevel="1" x14ac:dyDescent="0.55000000000000004">
      <c r="A2849" s="27" t="s">
        <v>327</v>
      </c>
      <c r="B2849" s="28"/>
      <c r="C2849" s="27"/>
      <c r="D2849" s="27" t="str">
        <f>"""NAV Direct"",""CRONUS JetCorp USA"",""21"",""1"",""437167"""</f>
        <v>"NAV Direct","CRONUS JetCorp USA","21","1","437167"</v>
      </c>
      <c r="E2849" s="31" t="str">
        <f t="shared" si="869"/>
        <v>C100086</v>
      </c>
      <c r="F2849" s="31"/>
      <c r="G2849" s="31"/>
      <c r="H2849" s="31"/>
      <c r="I2849" s="56"/>
      <c r="J2849" s="56"/>
      <c r="K2849" s="82" t="str">
        <f t="shared" si="868"/>
        <v>Credit Memo</v>
      </c>
      <c r="L2849" s="83" t="str">
        <f>"SC_100729"</f>
        <v>SC_100729</v>
      </c>
      <c r="M2849" s="84">
        <v>42226</v>
      </c>
      <c r="N2849" s="85">
        <f t="shared" si="870"/>
        <v>1586</v>
      </c>
      <c r="O2849" s="86">
        <f t="shared" si="871"/>
        <v>-123.36</v>
      </c>
      <c r="P2849" s="86">
        <f t="shared" si="872"/>
        <v>0</v>
      </c>
      <c r="Q2849" s="86">
        <f t="shared" si="873"/>
        <v>0</v>
      </c>
      <c r="R2849" s="86">
        <f t="shared" si="874"/>
        <v>0</v>
      </c>
      <c r="S2849" s="86">
        <f t="shared" si="875"/>
        <v>0</v>
      </c>
      <c r="T2849" s="86">
        <f t="shared" si="876"/>
        <v>-123.36</v>
      </c>
      <c r="U2849" s="87">
        <v>-123.36</v>
      </c>
    </row>
    <row r="2850" spans="1:22" s="30" customFormat="1" ht="24.6" hidden="1" outlineLevel="1" x14ac:dyDescent="0.55000000000000004">
      <c r="A2850" s="27" t="s">
        <v>327</v>
      </c>
      <c r="B2850" s="28"/>
      <c r="C2850" s="27"/>
      <c r="D2850" s="27" t="str">
        <f>"""NAV Direct"",""CRONUS JetCorp USA"",""21"",""1"",""437203"""</f>
        <v>"NAV Direct","CRONUS JetCorp USA","21","1","437203"</v>
      </c>
      <c r="E2850" s="31">
        <f t="shared" si="869"/>
        <v>0</v>
      </c>
      <c r="F2850" s="31"/>
      <c r="G2850" s="31"/>
      <c r="H2850" s="31"/>
      <c r="I2850" s="56"/>
      <c r="J2850" s="56"/>
      <c r="K2850" s="82" t="str">
        <f t="shared" si="868"/>
        <v>Credit Memo</v>
      </c>
      <c r="L2850" s="83" t="str">
        <f>"SC_100731"</f>
        <v>SC_100731</v>
      </c>
      <c r="M2850" s="84">
        <v>42251</v>
      </c>
      <c r="N2850" s="85">
        <f t="shared" si="870"/>
        <v>1561</v>
      </c>
      <c r="O2850" s="86">
        <f t="shared" si="871"/>
        <v>-135.64000000000001</v>
      </c>
      <c r="P2850" s="86">
        <f t="shared" si="872"/>
        <v>0</v>
      </c>
      <c r="Q2850" s="86">
        <f t="shared" si="873"/>
        <v>0</v>
      </c>
      <c r="R2850" s="86">
        <f t="shared" si="874"/>
        <v>0</v>
      </c>
      <c r="S2850" s="86">
        <f t="shared" si="875"/>
        <v>0</v>
      </c>
      <c r="T2850" s="86">
        <f t="shared" si="876"/>
        <v>-135.64000000000001</v>
      </c>
      <c r="U2850" s="87">
        <v>-135.64000000000001</v>
      </c>
    </row>
    <row r="2851" spans="1:22" s="30" customFormat="1" ht="24.6" hidden="1" outlineLevel="1" x14ac:dyDescent="0.55000000000000004">
      <c r="A2851" s="27" t="s">
        <v>327</v>
      </c>
      <c r="B2851" s="28"/>
      <c r="C2851" s="27"/>
      <c r="D2851" s="27" t="str">
        <f>"""NAV Direct"",""CRONUS JetCorp USA"",""21"",""1"",""437229"""</f>
        <v>"NAV Direct","CRONUS JetCorp USA","21","1","437229"</v>
      </c>
      <c r="E2851" s="31" t="str">
        <f t="shared" si="869"/>
        <v>C100086</v>
      </c>
      <c r="F2851" s="31"/>
      <c r="G2851" s="31"/>
      <c r="H2851" s="31"/>
      <c r="I2851" s="56"/>
      <c r="J2851" s="56"/>
      <c r="K2851" s="82" t="str">
        <f t="shared" si="868"/>
        <v>Credit Memo</v>
      </c>
      <c r="L2851" s="83" t="str">
        <f>"SC_100733"</f>
        <v>SC_100733</v>
      </c>
      <c r="M2851" s="84">
        <v>42298</v>
      </c>
      <c r="N2851" s="85">
        <f t="shared" si="870"/>
        <v>1514</v>
      </c>
      <c r="O2851" s="86">
        <f t="shared" si="871"/>
        <v>-155.26000000000002</v>
      </c>
      <c r="P2851" s="86">
        <f t="shared" si="872"/>
        <v>0</v>
      </c>
      <c r="Q2851" s="86">
        <f t="shared" si="873"/>
        <v>0</v>
      </c>
      <c r="R2851" s="86">
        <f t="shared" si="874"/>
        <v>0</v>
      </c>
      <c r="S2851" s="86">
        <f t="shared" si="875"/>
        <v>0</v>
      </c>
      <c r="T2851" s="86">
        <f t="shared" si="876"/>
        <v>-155.26000000000002</v>
      </c>
      <c r="U2851" s="87">
        <v>-155.26000000000002</v>
      </c>
    </row>
    <row r="2852" spans="1:22" s="30" customFormat="1" ht="24.6" hidden="1" outlineLevel="1" x14ac:dyDescent="0.55000000000000004">
      <c r="A2852" s="27" t="s">
        <v>327</v>
      </c>
      <c r="B2852" s="28"/>
      <c r="C2852" s="27"/>
      <c r="D2852" s="27" t="str">
        <f>"""NAV Direct"",""CRONUS JetCorp USA"",""21"",""1"",""437246"""</f>
        <v>"NAV Direct","CRONUS JetCorp USA","21","1","437246"</v>
      </c>
      <c r="E2852" s="31">
        <f t="shared" si="869"/>
        <v>0</v>
      </c>
      <c r="F2852" s="31"/>
      <c r="G2852" s="31"/>
      <c r="H2852" s="31"/>
      <c r="I2852" s="56"/>
      <c r="J2852" s="56"/>
      <c r="K2852" s="82" t="str">
        <f t="shared" si="868"/>
        <v>Credit Memo</v>
      </c>
      <c r="L2852" s="83" t="str">
        <f>"SC_100734"</f>
        <v>SC_100734</v>
      </c>
      <c r="M2852" s="84">
        <v>42315</v>
      </c>
      <c r="N2852" s="85">
        <f t="shared" si="870"/>
        <v>1497</v>
      </c>
      <c r="O2852" s="86">
        <f t="shared" si="871"/>
        <v>-172.25</v>
      </c>
      <c r="P2852" s="86">
        <f t="shared" si="872"/>
        <v>0</v>
      </c>
      <c r="Q2852" s="86">
        <f t="shared" si="873"/>
        <v>0</v>
      </c>
      <c r="R2852" s="86">
        <f t="shared" si="874"/>
        <v>0</v>
      </c>
      <c r="S2852" s="86">
        <f t="shared" si="875"/>
        <v>0</v>
      </c>
      <c r="T2852" s="86">
        <f t="shared" si="876"/>
        <v>-172.25</v>
      </c>
      <c r="U2852" s="87">
        <v>-172.25</v>
      </c>
    </row>
    <row r="2853" spans="1:22" s="30" customFormat="1" ht="24.6" hidden="1" outlineLevel="1" x14ac:dyDescent="0.55000000000000004">
      <c r="A2853" s="27" t="s">
        <v>327</v>
      </c>
      <c r="B2853" s="28"/>
      <c r="C2853" s="27"/>
      <c r="D2853" s="27" t="str">
        <f>"""NAV Direct"",""CRONUS JetCorp USA"",""21"",""1"",""437269"""</f>
        <v>"NAV Direct","CRONUS JetCorp USA","21","1","437269"</v>
      </c>
      <c r="E2853" s="31" t="str">
        <f t="shared" si="869"/>
        <v>C100086</v>
      </c>
      <c r="F2853" s="31"/>
      <c r="G2853" s="31"/>
      <c r="H2853" s="31"/>
      <c r="I2853" s="56"/>
      <c r="J2853" s="56"/>
      <c r="K2853" s="82" t="str">
        <f t="shared" si="868"/>
        <v>Credit Memo</v>
      </c>
      <c r="L2853" s="83" t="str">
        <f>"SC_100735"</f>
        <v>SC_100735</v>
      </c>
      <c r="M2853" s="84">
        <v>42331</v>
      </c>
      <c r="N2853" s="85">
        <f t="shared" si="870"/>
        <v>1481</v>
      </c>
      <c r="O2853" s="86">
        <f t="shared" si="871"/>
        <v>-171.88</v>
      </c>
      <c r="P2853" s="86">
        <f t="shared" si="872"/>
        <v>0</v>
      </c>
      <c r="Q2853" s="86">
        <f t="shared" si="873"/>
        <v>0</v>
      </c>
      <c r="R2853" s="86">
        <f t="shared" si="874"/>
        <v>0</v>
      </c>
      <c r="S2853" s="86">
        <f t="shared" si="875"/>
        <v>0</v>
      </c>
      <c r="T2853" s="86">
        <f t="shared" si="876"/>
        <v>-171.88</v>
      </c>
      <c r="U2853" s="87">
        <v>-171.88</v>
      </c>
    </row>
    <row r="2854" spans="1:22" s="22" customFormat="1" ht="20.399999999999999" collapsed="1" x14ac:dyDescent="0.45">
      <c r="A2854" s="12" t="s">
        <v>327</v>
      </c>
      <c r="B2854" s="19"/>
      <c r="C2854" s="12"/>
      <c r="D2854" s="12"/>
      <c r="E2854" s="23"/>
      <c r="F2854" s="23"/>
      <c r="G2854" s="23"/>
      <c r="H2854" s="23"/>
      <c r="I2854" s="49"/>
      <c r="J2854" s="88"/>
      <c r="K2854" s="88"/>
      <c r="L2854" s="89"/>
      <c r="M2854" s="89"/>
      <c r="N2854" s="89"/>
      <c r="O2854" s="89"/>
      <c r="P2854" s="89"/>
      <c r="Q2854" s="90"/>
      <c r="R2854" s="90"/>
      <c r="S2854" s="91"/>
      <c r="T2854" s="92"/>
      <c r="U2854" s="92"/>
    </row>
    <row r="2855" spans="1:22" s="22" customFormat="1" ht="20.399999999999999" x14ac:dyDescent="0.45">
      <c r="A2855" s="12" t="s">
        <v>327</v>
      </c>
      <c r="B2855" s="19"/>
      <c r="C2855" s="12"/>
      <c r="D2855" s="12"/>
      <c r="E2855" s="23"/>
      <c r="F2855" s="23"/>
      <c r="G2855" s="23"/>
      <c r="H2855" s="23"/>
      <c r="I2855" s="49"/>
      <c r="J2855" s="88"/>
      <c r="K2855" s="88"/>
      <c r="L2855" s="89"/>
      <c r="M2855" s="89"/>
      <c r="N2855" s="89"/>
      <c r="O2855" s="89"/>
      <c r="P2855" s="89"/>
      <c r="Q2855" s="90"/>
      <c r="R2855" s="90"/>
      <c r="S2855" s="91"/>
      <c r="T2855" s="92"/>
      <c r="U2855" s="92"/>
    </row>
    <row r="2856" spans="1:22" s="26" customFormat="1" ht="24.6" x14ac:dyDescent="0.55000000000000004">
      <c r="A2856" s="27" t="s">
        <v>327</v>
      </c>
      <c r="B2856" s="28"/>
      <c r="C2856" s="27" t="str">
        <f>"""NAV Direct"",""CRONUS JetCorp USA"",""18"",""1"",""C100088"""</f>
        <v>"NAV Direct","CRONUS JetCorp USA","18","1","C100088"</v>
      </c>
      <c r="D2856" s="27"/>
      <c r="E2856" s="28" t="str">
        <f>H2856</f>
        <v>C100088</v>
      </c>
      <c r="F2856" s="28"/>
      <c r="G2856" s="28"/>
      <c r="H2856" s="28" t="str">
        <f>"C100088"</f>
        <v>C100088</v>
      </c>
      <c r="I2856" s="116" t="str">
        <f>"C100088  -  Triton Industries"</f>
        <v>C100088  -  Triton Industries</v>
      </c>
      <c r="J2856" s="117" t="str">
        <f>""</f>
        <v/>
      </c>
      <c r="K2856" s="118"/>
      <c r="L2856" s="119">
        <f>SUBTOTAL(3,L2857:L2928)</f>
        <v>68</v>
      </c>
      <c r="M2856" s="118"/>
      <c r="N2856" s="118"/>
      <c r="O2856" s="120">
        <f t="shared" ref="O2856:T2856" si="877">SUBTOTAL(9,O2857:O2928)</f>
        <v>1044618.6799999999</v>
      </c>
      <c r="P2856" s="120">
        <f t="shared" si="877"/>
        <v>0</v>
      </c>
      <c r="Q2856" s="120">
        <f t="shared" si="877"/>
        <v>16890.27</v>
      </c>
      <c r="R2856" s="120">
        <f t="shared" si="877"/>
        <v>0</v>
      </c>
      <c r="S2856" s="120">
        <f t="shared" si="877"/>
        <v>15681.61</v>
      </c>
      <c r="T2856" s="120">
        <f t="shared" si="877"/>
        <v>1012046.7999999999</v>
      </c>
      <c r="U2856" s="81"/>
    </row>
    <row r="2857" spans="1:22" s="26" customFormat="1" ht="24.6" x14ac:dyDescent="0.55000000000000004">
      <c r="A2857" s="27" t="s">
        <v>327</v>
      </c>
      <c r="B2857" s="28"/>
      <c r="C2857" s="27" t="str">
        <f>C2856</f>
        <v>"NAV Direct","CRONUS JetCorp USA","18","1","C100088"</v>
      </c>
      <c r="D2857" s="27"/>
      <c r="E2857" s="28" t="str">
        <f>E2856</f>
        <v>C100088</v>
      </c>
      <c r="F2857" s="28"/>
      <c r="G2857" s="28"/>
      <c r="H2857" s="28"/>
      <c r="I2857" s="121" t="str">
        <f>"Contact: Brandon Lee"</f>
        <v>Contact: Brandon Lee</v>
      </c>
      <c r="J2857" s="121"/>
      <c r="K2857" s="122"/>
      <c r="L2857" s="123"/>
      <c r="M2857" s="123"/>
      <c r="N2857" s="124"/>
      <c r="O2857" s="124"/>
      <c r="P2857" s="123"/>
      <c r="Q2857" s="125"/>
      <c r="R2857" s="126"/>
      <c r="S2857" s="126"/>
      <c r="T2857" s="125"/>
      <c r="U2857" s="81"/>
    </row>
    <row r="2858" spans="1:22" s="26" customFormat="1" ht="24.6" x14ac:dyDescent="0.55000000000000004">
      <c r="A2858" s="27" t="s">
        <v>327</v>
      </c>
      <c r="B2858" s="28"/>
      <c r="C2858" s="27" t="str">
        <f>C2857</f>
        <v>"NAV Direct","CRONUS JetCorp USA","18","1","C100088"</v>
      </c>
      <c r="D2858" s="27"/>
      <c r="E2858" s="28" t="str">
        <f>E2857</f>
        <v>C100088</v>
      </c>
      <c r="F2858" s="28"/>
      <c r="G2858" s="28"/>
      <c r="H2858" s="28"/>
      <c r="I2858" s="121" t="str">
        <f>"Triton Industries@Cronus.com"</f>
        <v>Triton Industries@Cronus.com</v>
      </c>
      <c r="J2858" s="121"/>
      <c r="K2858" s="122"/>
      <c r="L2858" s="124"/>
      <c r="M2858" s="124"/>
      <c r="N2858" s="124"/>
      <c r="O2858" s="124"/>
      <c r="P2858" s="123"/>
      <c r="Q2858" s="125"/>
      <c r="R2858" s="126"/>
      <c r="S2858" s="126"/>
      <c r="T2858" s="125"/>
      <c r="U2858" s="81"/>
    </row>
    <row r="2859" spans="1:22" ht="12.75" hidden="1" customHeight="1" outlineLevel="1" x14ac:dyDescent="0.45">
      <c r="A2859" s="12" t="s">
        <v>328</v>
      </c>
      <c r="B2859" s="19"/>
      <c r="E2859" s="19"/>
      <c r="F2859" s="19"/>
      <c r="G2859" s="19"/>
      <c r="H2859" s="19"/>
      <c r="I2859" s="61"/>
      <c r="J2859" s="61"/>
      <c r="K2859" s="61"/>
      <c r="L2859" s="61"/>
      <c r="M2859" s="61"/>
      <c r="N2859" s="61"/>
      <c r="O2859" s="61"/>
      <c r="P2859" s="61"/>
      <c r="Q2859" s="61"/>
      <c r="R2859" s="61"/>
      <c r="S2859" s="61"/>
      <c r="T2859" s="61"/>
      <c r="U2859" s="61"/>
      <c r="V2859" s="21"/>
    </row>
    <row r="2860" spans="1:22" s="30" customFormat="1" ht="24.6" hidden="1" outlineLevel="1" x14ac:dyDescent="0.55000000000000004">
      <c r="A2860" s="27" t="s">
        <v>327</v>
      </c>
      <c r="B2860" s="28"/>
      <c r="C2860" s="27"/>
      <c r="D2860" s="27" t="str">
        <f>"""NAV Direct"",""CRONUS JetCorp USA"",""21"",""1"",""214131"""</f>
        <v>"NAV Direct","CRONUS JetCorp USA","21","1","214131"</v>
      </c>
      <c r="E2860" s="31" t="str">
        <f t="shared" ref="E2860:E2891" si="878">E2858</f>
        <v>C100088</v>
      </c>
      <c r="F2860" s="31"/>
      <c r="G2860" s="31"/>
      <c r="H2860" s="31"/>
      <c r="I2860" s="56"/>
      <c r="J2860" s="56"/>
      <c r="K2860" s="82" t="str">
        <f>"Credit Memo"</f>
        <v>Credit Memo</v>
      </c>
      <c r="L2860" s="83" t="str">
        <f>"SC_100187"</f>
        <v>SC_100187</v>
      </c>
      <c r="M2860" s="84">
        <v>43025</v>
      </c>
      <c r="N2860" s="85">
        <f t="shared" ref="N2860:N2891" si="879">StartDate-$M2860+1</f>
        <v>787</v>
      </c>
      <c r="O2860" s="86">
        <f t="shared" ref="O2860:O2891" si="880">SUM(P2860:T2860)</f>
        <v>-147.32000000000002</v>
      </c>
      <c r="P2860" s="86">
        <f t="shared" ref="P2860:P2891" si="881">IF($M2860&gt;=$P$18,U2860,0)</f>
        <v>0</v>
      </c>
      <c r="Q2860" s="86">
        <f t="shared" ref="Q2860:Q2891" si="882">IF(AND($M2860&gt;=$Q$16,$M2860&lt;=$Q$18),U2860,0)</f>
        <v>0</v>
      </c>
      <c r="R2860" s="86">
        <f t="shared" ref="R2860:R2891" si="883">IF(AND($M2860&gt;=$R$16,$M2860&lt;=$R$18),U2860,0)</f>
        <v>0</v>
      </c>
      <c r="S2860" s="86">
        <f t="shared" ref="S2860:S2891" si="884">IF(AND($M2860&gt;=$S$16,$M2860&lt;=$S$18),U2860,0)</f>
        <v>0</v>
      </c>
      <c r="T2860" s="86">
        <f t="shared" ref="T2860:T2891" si="885">IF($M2860&lt;=$T$18,U2860,0)</f>
        <v>-147.32000000000002</v>
      </c>
      <c r="U2860" s="87">
        <v>-147.32000000000002</v>
      </c>
    </row>
    <row r="2861" spans="1:22" s="30" customFormat="1" ht="24.6" hidden="1" outlineLevel="1" x14ac:dyDescent="0.55000000000000004">
      <c r="A2861" s="27" t="s">
        <v>327</v>
      </c>
      <c r="B2861" s="28"/>
      <c r="C2861" s="27"/>
      <c r="D2861" s="27" t="str">
        <f>"""NAV Direct"",""CRONUS JetCorp USA"",""21"",""1"",""214142"""</f>
        <v>"NAV Direct","CRONUS JetCorp USA","21","1","214142"</v>
      </c>
      <c r="E2861" s="31">
        <f t="shared" si="878"/>
        <v>0</v>
      </c>
      <c r="F2861" s="31"/>
      <c r="G2861" s="31"/>
      <c r="H2861" s="31"/>
      <c r="I2861" s="56"/>
      <c r="J2861" s="56"/>
      <c r="K2861" s="82" t="str">
        <f>"Credit Memo"</f>
        <v>Credit Memo</v>
      </c>
      <c r="L2861" s="83" t="str">
        <f>"SC_100188"</f>
        <v>SC_100188</v>
      </c>
      <c r="M2861" s="84">
        <v>43285</v>
      </c>
      <c r="N2861" s="85">
        <f t="shared" si="879"/>
        <v>527</v>
      </c>
      <c r="O2861" s="86">
        <f t="shared" si="880"/>
        <v>-149.33000000000001</v>
      </c>
      <c r="P2861" s="86">
        <f t="shared" si="881"/>
        <v>0</v>
      </c>
      <c r="Q2861" s="86">
        <f t="shared" si="882"/>
        <v>0</v>
      </c>
      <c r="R2861" s="86">
        <f t="shared" si="883"/>
        <v>0</v>
      </c>
      <c r="S2861" s="86">
        <f t="shared" si="884"/>
        <v>0</v>
      </c>
      <c r="T2861" s="86">
        <f t="shared" si="885"/>
        <v>-149.33000000000001</v>
      </c>
      <c r="U2861" s="87">
        <v>-149.33000000000001</v>
      </c>
    </row>
    <row r="2862" spans="1:22" s="30" customFormat="1" ht="24.6" hidden="1" outlineLevel="1" x14ac:dyDescent="0.55000000000000004">
      <c r="A2862" s="27" t="s">
        <v>327</v>
      </c>
      <c r="B2862" s="28"/>
      <c r="C2862" s="27"/>
      <c r="D2862" s="27" t="str">
        <f>"""NAV Direct"",""CRONUS JetCorp USA"",""21"",""1"",""303919"""</f>
        <v>"NAV Direct","CRONUS JetCorp USA","21","1","303919"</v>
      </c>
      <c r="E2862" s="31" t="str">
        <f t="shared" si="878"/>
        <v>C100088</v>
      </c>
      <c r="F2862" s="31"/>
      <c r="G2862" s="31"/>
      <c r="H2862" s="31"/>
      <c r="I2862" s="56"/>
      <c r="J2862" s="56"/>
      <c r="K2862" s="82" t="str">
        <f t="shared" ref="K2862:K2893" si="886">"Invoice"</f>
        <v>Invoice</v>
      </c>
      <c r="L2862" s="83" t="str">
        <f>"SI_109349"</f>
        <v>SI_109349</v>
      </c>
      <c r="M2862" s="84">
        <v>42400</v>
      </c>
      <c r="N2862" s="85">
        <f t="shared" si="879"/>
        <v>1412</v>
      </c>
      <c r="O2862" s="86">
        <f t="shared" si="880"/>
        <v>14248.900000000001</v>
      </c>
      <c r="P2862" s="86">
        <f t="shared" si="881"/>
        <v>0</v>
      </c>
      <c r="Q2862" s="86">
        <f t="shared" si="882"/>
        <v>0</v>
      </c>
      <c r="R2862" s="86">
        <f t="shared" si="883"/>
        <v>0</v>
      </c>
      <c r="S2862" s="86">
        <f t="shared" si="884"/>
        <v>0</v>
      </c>
      <c r="T2862" s="86">
        <f t="shared" si="885"/>
        <v>14248.900000000001</v>
      </c>
      <c r="U2862" s="87">
        <v>14248.900000000001</v>
      </c>
    </row>
    <row r="2863" spans="1:22" s="30" customFormat="1" ht="24.6" hidden="1" outlineLevel="1" x14ac:dyDescent="0.55000000000000004">
      <c r="A2863" s="27" t="s">
        <v>327</v>
      </c>
      <c r="B2863" s="28"/>
      <c r="C2863" s="27"/>
      <c r="D2863" s="27" t="str">
        <f>"""NAV Direct"",""CRONUS JetCorp USA"",""21"",""1"",""303967"""</f>
        <v>"NAV Direct","CRONUS JetCorp USA","21","1","303967"</v>
      </c>
      <c r="E2863" s="31">
        <f t="shared" si="878"/>
        <v>0</v>
      </c>
      <c r="F2863" s="31"/>
      <c r="G2863" s="31"/>
      <c r="H2863" s="31"/>
      <c r="I2863" s="56"/>
      <c r="J2863" s="56"/>
      <c r="K2863" s="82" t="str">
        <f t="shared" si="886"/>
        <v>Invoice</v>
      </c>
      <c r="L2863" s="83" t="str">
        <f>"SI_109351"</f>
        <v>SI_109351</v>
      </c>
      <c r="M2863" s="84">
        <v>42437</v>
      </c>
      <c r="N2863" s="85">
        <f t="shared" si="879"/>
        <v>1375</v>
      </c>
      <c r="O2863" s="86">
        <f t="shared" si="880"/>
        <v>14846.31</v>
      </c>
      <c r="P2863" s="86">
        <f t="shared" si="881"/>
        <v>0</v>
      </c>
      <c r="Q2863" s="86">
        <f t="shared" si="882"/>
        <v>0</v>
      </c>
      <c r="R2863" s="86">
        <f t="shared" si="883"/>
        <v>0</v>
      </c>
      <c r="S2863" s="86">
        <f t="shared" si="884"/>
        <v>0</v>
      </c>
      <c r="T2863" s="86">
        <f t="shared" si="885"/>
        <v>14846.31</v>
      </c>
      <c r="U2863" s="87">
        <v>14846.31</v>
      </c>
    </row>
    <row r="2864" spans="1:22" s="30" customFormat="1" ht="24.6" hidden="1" outlineLevel="1" x14ac:dyDescent="0.55000000000000004">
      <c r="A2864" s="27" t="s">
        <v>327</v>
      </c>
      <c r="B2864" s="28"/>
      <c r="C2864" s="27"/>
      <c r="D2864" s="27" t="str">
        <f>"""NAV Direct"",""CRONUS JetCorp USA"",""21"",""1"",""304058"""</f>
        <v>"NAV Direct","CRONUS JetCorp USA","21","1","304058"</v>
      </c>
      <c r="E2864" s="31" t="str">
        <f t="shared" si="878"/>
        <v>C100088</v>
      </c>
      <c r="F2864" s="31"/>
      <c r="G2864" s="31"/>
      <c r="H2864" s="31"/>
      <c r="I2864" s="56"/>
      <c r="J2864" s="56"/>
      <c r="K2864" s="82" t="str">
        <f t="shared" si="886"/>
        <v>Invoice</v>
      </c>
      <c r="L2864" s="83" t="str">
        <f>"SI_109354"</f>
        <v>SI_109354</v>
      </c>
      <c r="M2864" s="84">
        <v>42440</v>
      </c>
      <c r="N2864" s="85">
        <f t="shared" si="879"/>
        <v>1372</v>
      </c>
      <c r="O2864" s="86">
        <f t="shared" si="880"/>
        <v>14845.47</v>
      </c>
      <c r="P2864" s="86">
        <f t="shared" si="881"/>
        <v>0</v>
      </c>
      <c r="Q2864" s="86">
        <f t="shared" si="882"/>
        <v>0</v>
      </c>
      <c r="R2864" s="86">
        <f t="shared" si="883"/>
        <v>0</v>
      </c>
      <c r="S2864" s="86">
        <f t="shared" si="884"/>
        <v>0</v>
      </c>
      <c r="T2864" s="86">
        <f t="shared" si="885"/>
        <v>14845.47</v>
      </c>
      <c r="U2864" s="87">
        <v>14845.47</v>
      </c>
    </row>
    <row r="2865" spans="1:21" s="30" customFormat="1" ht="24.6" hidden="1" outlineLevel="1" x14ac:dyDescent="0.55000000000000004">
      <c r="A2865" s="27" t="s">
        <v>327</v>
      </c>
      <c r="B2865" s="28"/>
      <c r="C2865" s="27"/>
      <c r="D2865" s="27" t="str">
        <f>"""NAV Direct"",""CRONUS JetCorp USA"",""21"",""1"",""304296"""</f>
        <v>"NAV Direct","CRONUS JetCorp USA","21","1","304296"</v>
      </c>
      <c r="E2865" s="31">
        <f t="shared" si="878"/>
        <v>0</v>
      </c>
      <c r="F2865" s="31"/>
      <c r="G2865" s="31"/>
      <c r="H2865" s="31"/>
      <c r="I2865" s="56"/>
      <c r="J2865" s="56"/>
      <c r="K2865" s="82" t="str">
        <f t="shared" si="886"/>
        <v>Invoice</v>
      </c>
      <c r="L2865" s="83" t="str">
        <f>"SI_109364"</f>
        <v>SI_109364</v>
      </c>
      <c r="M2865" s="84">
        <v>42482</v>
      </c>
      <c r="N2865" s="85">
        <f t="shared" si="879"/>
        <v>1330</v>
      </c>
      <c r="O2865" s="86">
        <f t="shared" si="880"/>
        <v>14876.220000000001</v>
      </c>
      <c r="P2865" s="86">
        <f t="shared" si="881"/>
        <v>0</v>
      </c>
      <c r="Q2865" s="86">
        <f t="shared" si="882"/>
        <v>0</v>
      </c>
      <c r="R2865" s="86">
        <f t="shared" si="883"/>
        <v>0</v>
      </c>
      <c r="S2865" s="86">
        <f t="shared" si="884"/>
        <v>0</v>
      </c>
      <c r="T2865" s="86">
        <f t="shared" si="885"/>
        <v>14876.220000000001</v>
      </c>
      <c r="U2865" s="87">
        <v>14876.220000000001</v>
      </c>
    </row>
    <row r="2866" spans="1:21" s="30" customFormat="1" ht="24.6" hidden="1" outlineLevel="1" x14ac:dyDescent="0.55000000000000004">
      <c r="A2866" s="27" t="s">
        <v>327</v>
      </c>
      <c r="B2866" s="28"/>
      <c r="C2866" s="27"/>
      <c r="D2866" s="27" t="str">
        <f>"""NAV Direct"",""CRONUS JetCorp USA"",""21"",""1"",""304418"""</f>
        <v>"NAV Direct","CRONUS JetCorp USA","21","1","304418"</v>
      </c>
      <c r="E2866" s="31" t="str">
        <f t="shared" si="878"/>
        <v>C100088</v>
      </c>
      <c r="F2866" s="31"/>
      <c r="G2866" s="31"/>
      <c r="H2866" s="31"/>
      <c r="I2866" s="56"/>
      <c r="J2866" s="56"/>
      <c r="K2866" s="82" t="str">
        <f t="shared" si="886"/>
        <v>Invoice</v>
      </c>
      <c r="L2866" s="83" t="str">
        <f>"SI_109368"</f>
        <v>SI_109368</v>
      </c>
      <c r="M2866" s="84">
        <v>42496</v>
      </c>
      <c r="N2866" s="85">
        <f t="shared" si="879"/>
        <v>1316</v>
      </c>
      <c r="O2866" s="86">
        <f t="shared" si="880"/>
        <v>14267.66</v>
      </c>
      <c r="P2866" s="86">
        <f t="shared" si="881"/>
        <v>0</v>
      </c>
      <c r="Q2866" s="86">
        <f t="shared" si="882"/>
        <v>0</v>
      </c>
      <c r="R2866" s="86">
        <f t="shared" si="883"/>
        <v>0</v>
      </c>
      <c r="S2866" s="86">
        <f t="shared" si="884"/>
        <v>0</v>
      </c>
      <c r="T2866" s="86">
        <f t="shared" si="885"/>
        <v>14267.66</v>
      </c>
      <c r="U2866" s="87">
        <v>14267.66</v>
      </c>
    </row>
    <row r="2867" spans="1:21" s="30" customFormat="1" ht="24.6" hidden="1" outlineLevel="1" x14ac:dyDescent="0.55000000000000004">
      <c r="A2867" s="27" t="s">
        <v>327</v>
      </c>
      <c r="B2867" s="28"/>
      <c r="C2867" s="27"/>
      <c r="D2867" s="27" t="str">
        <f>"""NAV Direct"",""CRONUS JetCorp USA"",""21"",""1"",""304437"""</f>
        <v>"NAV Direct","CRONUS JetCorp USA","21","1","304437"</v>
      </c>
      <c r="E2867" s="31">
        <f t="shared" si="878"/>
        <v>0</v>
      </c>
      <c r="F2867" s="31"/>
      <c r="G2867" s="31"/>
      <c r="H2867" s="31"/>
      <c r="I2867" s="56"/>
      <c r="J2867" s="56"/>
      <c r="K2867" s="82" t="str">
        <f t="shared" si="886"/>
        <v>Invoice</v>
      </c>
      <c r="L2867" s="83" t="str">
        <f>"SI_109369"</f>
        <v>SI_109369</v>
      </c>
      <c r="M2867" s="84">
        <v>42516</v>
      </c>
      <c r="N2867" s="85">
        <f t="shared" si="879"/>
        <v>1296</v>
      </c>
      <c r="O2867" s="86">
        <f t="shared" si="880"/>
        <v>14144.01</v>
      </c>
      <c r="P2867" s="86">
        <f t="shared" si="881"/>
        <v>0</v>
      </c>
      <c r="Q2867" s="86">
        <f t="shared" si="882"/>
        <v>0</v>
      </c>
      <c r="R2867" s="86">
        <f t="shared" si="883"/>
        <v>0</v>
      </c>
      <c r="S2867" s="86">
        <f t="shared" si="884"/>
        <v>0</v>
      </c>
      <c r="T2867" s="86">
        <f t="shared" si="885"/>
        <v>14144.01</v>
      </c>
      <c r="U2867" s="87">
        <v>14144.01</v>
      </c>
    </row>
    <row r="2868" spans="1:21" s="30" customFormat="1" ht="24.6" hidden="1" outlineLevel="1" x14ac:dyDescent="0.55000000000000004">
      <c r="A2868" s="27" t="s">
        <v>327</v>
      </c>
      <c r="B2868" s="28"/>
      <c r="C2868" s="27"/>
      <c r="D2868" s="27" t="str">
        <f>"""NAV Direct"",""CRONUS JetCorp USA"",""21"",""1"",""304566"""</f>
        <v>"NAV Direct","CRONUS JetCorp USA","21","1","304566"</v>
      </c>
      <c r="E2868" s="31" t="str">
        <f t="shared" si="878"/>
        <v>C100088</v>
      </c>
      <c r="F2868" s="31"/>
      <c r="G2868" s="31"/>
      <c r="H2868" s="31"/>
      <c r="I2868" s="56"/>
      <c r="J2868" s="56"/>
      <c r="K2868" s="82" t="str">
        <f t="shared" si="886"/>
        <v>Invoice</v>
      </c>
      <c r="L2868" s="83" t="str">
        <f>"SI_109374"</f>
        <v>SI_109374</v>
      </c>
      <c r="M2868" s="84">
        <v>42522</v>
      </c>
      <c r="N2868" s="85">
        <f t="shared" si="879"/>
        <v>1290</v>
      </c>
      <c r="O2868" s="86">
        <f t="shared" si="880"/>
        <v>13840.65</v>
      </c>
      <c r="P2868" s="86">
        <f t="shared" si="881"/>
        <v>0</v>
      </c>
      <c r="Q2868" s="86">
        <f t="shared" si="882"/>
        <v>0</v>
      </c>
      <c r="R2868" s="86">
        <f t="shared" si="883"/>
        <v>0</v>
      </c>
      <c r="S2868" s="86">
        <f t="shared" si="884"/>
        <v>0</v>
      </c>
      <c r="T2868" s="86">
        <f t="shared" si="885"/>
        <v>13840.65</v>
      </c>
      <c r="U2868" s="87">
        <v>13840.65</v>
      </c>
    </row>
    <row r="2869" spans="1:21" s="30" customFormat="1" ht="24.6" hidden="1" outlineLevel="1" x14ac:dyDescent="0.55000000000000004">
      <c r="A2869" s="27" t="s">
        <v>327</v>
      </c>
      <c r="B2869" s="28"/>
      <c r="C2869" s="27"/>
      <c r="D2869" s="27" t="str">
        <f>"""NAV Direct"",""CRONUS JetCorp USA"",""21"",""1"",""304876"""</f>
        <v>"NAV Direct","CRONUS JetCorp USA","21","1","304876"</v>
      </c>
      <c r="E2869" s="31">
        <f t="shared" si="878"/>
        <v>0</v>
      </c>
      <c r="F2869" s="31"/>
      <c r="G2869" s="31"/>
      <c r="H2869" s="31"/>
      <c r="I2869" s="56"/>
      <c r="J2869" s="56"/>
      <c r="K2869" s="82" t="str">
        <f t="shared" si="886"/>
        <v>Invoice</v>
      </c>
      <c r="L2869" s="83" t="str">
        <f>"SI_109386"</f>
        <v>SI_109386</v>
      </c>
      <c r="M2869" s="84">
        <v>42597</v>
      </c>
      <c r="N2869" s="85">
        <f t="shared" si="879"/>
        <v>1215</v>
      </c>
      <c r="O2869" s="86">
        <f t="shared" si="880"/>
        <v>14841.68</v>
      </c>
      <c r="P2869" s="86">
        <f t="shared" si="881"/>
        <v>0</v>
      </c>
      <c r="Q2869" s="86">
        <f t="shared" si="882"/>
        <v>0</v>
      </c>
      <c r="R2869" s="86">
        <f t="shared" si="883"/>
        <v>0</v>
      </c>
      <c r="S2869" s="86">
        <f t="shared" si="884"/>
        <v>0</v>
      </c>
      <c r="T2869" s="86">
        <f t="shared" si="885"/>
        <v>14841.68</v>
      </c>
      <c r="U2869" s="87">
        <v>14841.68</v>
      </c>
    </row>
    <row r="2870" spans="1:21" s="30" customFormat="1" ht="24.6" hidden="1" outlineLevel="1" x14ac:dyDescent="0.55000000000000004">
      <c r="A2870" s="27" t="s">
        <v>327</v>
      </c>
      <c r="B2870" s="28"/>
      <c r="C2870" s="27"/>
      <c r="D2870" s="27" t="str">
        <f>"""NAV Direct"",""CRONUS JetCorp USA"",""21"",""1"",""305049"""</f>
        <v>"NAV Direct","CRONUS JetCorp USA","21","1","305049"</v>
      </c>
      <c r="E2870" s="31" t="str">
        <f t="shared" si="878"/>
        <v>C100088</v>
      </c>
      <c r="F2870" s="31"/>
      <c r="G2870" s="31"/>
      <c r="H2870" s="31"/>
      <c r="I2870" s="56"/>
      <c r="J2870" s="56"/>
      <c r="K2870" s="82" t="str">
        <f t="shared" si="886"/>
        <v>Invoice</v>
      </c>
      <c r="L2870" s="83" t="str">
        <f>"SI_109393"</f>
        <v>SI_109393</v>
      </c>
      <c r="M2870" s="84">
        <v>42638</v>
      </c>
      <c r="N2870" s="85">
        <f t="shared" si="879"/>
        <v>1174</v>
      </c>
      <c r="O2870" s="86">
        <f t="shared" si="880"/>
        <v>14918.56</v>
      </c>
      <c r="P2870" s="86">
        <f t="shared" si="881"/>
        <v>0</v>
      </c>
      <c r="Q2870" s="86">
        <f t="shared" si="882"/>
        <v>0</v>
      </c>
      <c r="R2870" s="86">
        <f t="shared" si="883"/>
        <v>0</v>
      </c>
      <c r="S2870" s="86">
        <f t="shared" si="884"/>
        <v>0</v>
      </c>
      <c r="T2870" s="86">
        <f t="shared" si="885"/>
        <v>14918.56</v>
      </c>
      <c r="U2870" s="87">
        <v>14918.56</v>
      </c>
    </row>
    <row r="2871" spans="1:21" s="30" customFormat="1" ht="24.6" hidden="1" outlineLevel="1" x14ac:dyDescent="0.55000000000000004">
      <c r="A2871" s="27" t="s">
        <v>327</v>
      </c>
      <c r="B2871" s="28"/>
      <c r="C2871" s="27"/>
      <c r="D2871" s="27" t="str">
        <f>"""NAV Direct"",""CRONUS JetCorp USA"",""21"",""1"",""305197"""</f>
        <v>"NAV Direct","CRONUS JetCorp USA","21","1","305197"</v>
      </c>
      <c r="E2871" s="31">
        <f t="shared" si="878"/>
        <v>0</v>
      </c>
      <c r="F2871" s="31"/>
      <c r="G2871" s="31"/>
      <c r="H2871" s="31"/>
      <c r="I2871" s="56"/>
      <c r="J2871" s="56"/>
      <c r="K2871" s="82" t="str">
        <f t="shared" si="886"/>
        <v>Invoice</v>
      </c>
      <c r="L2871" s="83" t="str">
        <f>"SI_109399"</f>
        <v>SI_109399</v>
      </c>
      <c r="M2871" s="84">
        <v>42666</v>
      </c>
      <c r="N2871" s="85">
        <f t="shared" si="879"/>
        <v>1146</v>
      </c>
      <c r="O2871" s="86">
        <f t="shared" si="880"/>
        <v>15097.71</v>
      </c>
      <c r="P2871" s="86">
        <f t="shared" si="881"/>
        <v>0</v>
      </c>
      <c r="Q2871" s="86">
        <f t="shared" si="882"/>
        <v>0</v>
      </c>
      <c r="R2871" s="86">
        <f t="shared" si="883"/>
        <v>0</v>
      </c>
      <c r="S2871" s="86">
        <f t="shared" si="884"/>
        <v>0</v>
      </c>
      <c r="T2871" s="86">
        <f t="shared" si="885"/>
        <v>15097.71</v>
      </c>
      <c r="U2871" s="87">
        <v>15097.71</v>
      </c>
    </row>
    <row r="2872" spans="1:21" s="30" customFormat="1" ht="24.6" hidden="1" outlineLevel="1" x14ac:dyDescent="0.55000000000000004">
      <c r="A2872" s="27" t="s">
        <v>327</v>
      </c>
      <c r="B2872" s="28"/>
      <c r="C2872" s="27"/>
      <c r="D2872" s="27" t="str">
        <f>"""NAV Direct"",""CRONUS JetCorp USA"",""21"",""1"",""305241"""</f>
        <v>"NAV Direct","CRONUS JetCorp USA","21","1","305241"</v>
      </c>
      <c r="E2872" s="31" t="str">
        <f t="shared" si="878"/>
        <v>C100088</v>
      </c>
      <c r="F2872" s="31"/>
      <c r="G2872" s="31"/>
      <c r="H2872" s="31"/>
      <c r="I2872" s="56"/>
      <c r="J2872" s="56"/>
      <c r="K2872" s="82" t="str">
        <f t="shared" si="886"/>
        <v>Invoice</v>
      </c>
      <c r="L2872" s="83" t="str">
        <f>"SI_109401"</f>
        <v>SI_109401</v>
      </c>
      <c r="M2872" s="84">
        <v>42682</v>
      </c>
      <c r="N2872" s="85">
        <f t="shared" si="879"/>
        <v>1130</v>
      </c>
      <c r="O2872" s="86">
        <f t="shared" si="880"/>
        <v>14327.82</v>
      </c>
      <c r="P2872" s="86">
        <f t="shared" si="881"/>
        <v>0</v>
      </c>
      <c r="Q2872" s="86">
        <f t="shared" si="882"/>
        <v>0</v>
      </c>
      <c r="R2872" s="86">
        <f t="shared" si="883"/>
        <v>0</v>
      </c>
      <c r="S2872" s="86">
        <f t="shared" si="884"/>
        <v>0</v>
      </c>
      <c r="T2872" s="86">
        <f t="shared" si="885"/>
        <v>14327.82</v>
      </c>
      <c r="U2872" s="87">
        <v>14327.82</v>
      </c>
    </row>
    <row r="2873" spans="1:21" s="30" customFormat="1" ht="24.6" hidden="1" outlineLevel="1" x14ac:dyDescent="0.55000000000000004">
      <c r="A2873" s="27" t="s">
        <v>327</v>
      </c>
      <c r="B2873" s="28"/>
      <c r="C2873" s="27"/>
      <c r="D2873" s="27" t="str">
        <f>"""NAV Direct"",""CRONUS JetCorp USA"",""21"",""1"",""305326"""</f>
        <v>"NAV Direct","CRONUS JetCorp USA","21","1","305326"</v>
      </c>
      <c r="E2873" s="31">
        <f t="shared" si="878"/>
        <v>0</v>
      </c>
      <c r="F2873" s="31"/>
      <c r="G2873" s="31"/>
      <c r="H2873" s="31"/>
      <c r="I2873" s="56"/>
      <c r="J2873" s="56"/>
      <c r="K2873" s="82" t="str">
        <f t="shared" si="886"/>
        <v>Invoice</v>
      </c>
      <c r="L2873" s="83" t="str">
        <f>"SI_109404"</f>
        <v>SI_109404</v>
      </c>
      <c r="M2873" s="84">
        <v>42676</v>
      </c>
      <c r="N2873" s="85">
        <f t="shared" si="879"/>
        <v>1136</v>
      </c>
      <c r="O2873" s="86">
        <f t="shared" si="880"/>
        <v>14173.060000000001</v>
      </c>
      <c r="P2873" s="86">
        <f t="shared" si="881"/>
        <v>0</v>
      </c>
      <c r="Q2873" s="86">
        <f t="shared" si="882"/>
        <v>0</v>
      </c>
      <c r="R2873" s="86">
        <f t="shared" si="883"/>
        <v>0</v>
      </c>
      <c r="S2873" s="86">
        <f t="shared" si="884"/>
        <v>0</v>
      </c>
      <c r="T2873" s="86">
        <f t="shared" si="885"/>
        <v>14173.060000000001</v>
      </c>
      <c r="U2873" s="87">
        <v>14173.060000000001</v>
      </c>
    </row>
    <row r="2874" spans="1:21" s="30" customFormat="1" ht="24.6" hidden="1" outlineLevel="1" x14ac:dyDescent="0.55000000000000004">
      <c r="A2874" s="27" t="s">
        <v>327</v>
      </c>
      <c r="B2874" s="28"/>
      <c r="C2874" s="27"/>
      <c r="D2874" s="27" t="str">
        <f>"""NAV Direct"",""CRONUS JetCorp USA"",""21"",""1"",""305353"""</f>
        <v>"NAV Direct","CRONUS JetCorp USA","21","1","305353"</v>
      </c>
      <c r="E2874" s="31" t="str">
        <f t="shared" si="878"/>
        <v>C100088</v>
      </c>
      <c r="F2874" s="31"/>
      <c r="G2874" s="31"/>
      <c r="H2874" s="31"/>
      <c r="I2874" s="56"/>
      <c r="J2874" s="56"/>
      <c r="K2874" s="82" t="str">
        <f t="shared" si="886"/>
        <v>Invoice</v>
      </c>
      <c r="L2874" s="83" t="str">
        <f>"SI_109405"</f>
        <v>SI_109405</v>
      </c>
      <c r="M2874" s="84">
        <v>42690</v>
      </c>
      <c r="N2874" s="85">
        <f t="shared" si="879"/>
        <v>1122</v>
      </c>
      <c r="O2874" s="86">
        <f t="shared" si="880"/>
        <v>15293.98</v>
      </c>
      <c r="P2874" s="86">
        <f t="shared" si="881"/>
        <v>0</v>
      </c>
      <c r="Q2874" s="86">
        <f t="shared" si="882"/>
        <v>0</v>
      </c>
      <c r="R2874" s="86">
        <f t="shared" si="883"/>
        <v>0</v>
      </c>
      <c r="S2874" s="86">
        <f t="shared" si="884"/>
        <v>0</v>
      </c>
      <c r="T2874" s="86">
        <f t="shared" si="885"/>
        <v>15293.98</v>
      </c>
      <c r="U2874" s="87">
        <v>15293.98</v>
      </c>
    </row>
    <row r="2875" spans="1:21" s="30" customFormat="1" ht="24.6" hidden="1" outlineLevel="1" x14ac:dyDescent="0.55000000000000004">
      <c r="A2875" s="27" t="s">
        <v>327</v>
      </c>
      <c r="B2875" s="28"/>
      <c r="C2875" s="27"/>
      <c r="D2875" s="27" t="str">
        <f>"""NAV Direct"",""CRONUS JetCorp USA"",""21"",""1"",""305411"""</f>
        <v>"NAV Direct","CRONUS JetCorp USA","21","1","305411"</v>
      </c>
      <c r="E2875" s="31">
        <f t="shared" si="878"/>
        <v>0</v>
      </c>
      <c r="F2875" s="31"/>
      <c r="G2875" s="31"/>
      <c r="H2875" s="31"/>
      <c r="I2875" s="56"/>
      <c r="J2875" s="56"/>
      <c r="K2875" s="82" t="str">
        <f t="shared" si="886"/>
        <v>Invoice</v>
      </c>
      <c r="L2875" s="83" t="str">
        <f>"SI_109407"</f>
        <v>SI_109407</v>
      </c>
      <c r="M2875" s="84">
        <v>42699</v>
      </c>
      <c r="N2875" s="85">
        <f t="shared" si="879"/>
        <v>1113</v>
      </c>
      <c r="O2875" s="86">
        <f t="shared" si="880"/>
        <v>15294.499999999998</v>
      </c>
      <c r="P2875" s="86">
        <f t="shared" si="881"/>
        <v>0</v>
      </c>
      <c r="Q2875" s="86">
        <f t="shared" si="882"/>
        <v>0</v>
      </c>
      <c r="R2875" s="86">
        <f t="shared" si="883"/>
        <v>0</v>
      </c>
      <c r="S2875" s="86">
        <f t="shared" si="884"/>
        <v>0</v>
      </c>
      <c r="T2875" s="86">
        <f t="shared" si="885"/>
        <v>15294.499999999998</v>
      </c>
      <c r="U2875" s="87">
        <v>15294.499999999998</v>
      </c>
    </row>
    <row r="2876" spans="1:21" s="30" customFormat="1" ht="24.6" hidden="1" outlineLevel="1" x14ac:dyDescent="0.55000000000000004">
      <c r="A2876" s="27" t="s">
        <v>327</v>
      </c>
      <c r="B2876" s="28"/>
      <c r="C2876" s="27"/>
      <c r="D2876" s="27" t="str">
        <f>"""NAV Direct"",""CRONUS JetCorp USA"",""21"",""1"",""305503"""</f>
        <v>"NAV Direct","CRONUS JetCorp USA","21","1","305503"</v>
      </c>
      <c r="E2876" s="31" t="str">
        <f t="shared" si="878"/>
        <v>C100088</v>
      </c>
      <c r="F2876" s="31"/>
      <c r="G2876" s="31"/>
      <c r="H2876" s="31"/>
      <c r="I2876" s="56"/>
      <c r="J2876" s="56"/>
      <c r="K2876" s="82" t="str">
        <f t="shared" si="886"/>
        <v>Invoice</v>
      </c>
      <c r="L2876" s="83" t="str">
        <f>"SI_109411"</f>
        <v>SI_109411</v>
      </c>
      <c r="M2876" s="84">
        <v>42734</v>
      </c>
      <c r="N2876" s="85">
        <f t="shared" si="879"/>
        <v>1078</v>
      </c>
      <c r="O2876" s="86">
        <f t="shared" si="880"/>
        <v>15591.609999999999</v>
      </c>
      <c r="P2876" s="86">
        <f t="shared" si="881"/>
        <v>0</v>
      </c>
      <c r="Q2876" s="86">
        <f t="shared" si="882"/>
        <v>0</v>
      </c>
      <c r="R2876" s="86">
        <f t="shared" si="883"/>
        <v>0</v>
      </c>
      <c r="S2876" s="86">
        <f t="shared" si="884"/>
        <v>0</v>
      </c>
      <c r="T2876" s="86">
        <f t="shared" si="885"/>
        <v>15591.609999999999</v>
      </c>
      <c r="U2876" s="87">
        <v>15591.609999999999</v>
      </c>
    </row>
    <row r="2877" spans="1:21" s="30" customFormat="1" ht="24.6" hidden="1" outlineLevel="1" x14ac:dyDescent="0.55000000000000004">
      <c r="A2877" s="27" t="s">
        <v>327</v>
      </c>
      <c r="B2877" s="28"/>
      <c r="C2877" s="27"/>
      <c r="D2877" s="27" t="str">
        <f>"""NAV Direct"",""CRONUS JetCorp USA"",""21"",""1"",""305532"""</f>
        <v>"NAV Direct","CRONUS JetCorp USA","21","1","305532"</v>
      </c>
      <c r="E2877" s="31">
        <f t="shared" si="878"/>
        <v>0</v>
      </c>
      <c r="F2877" s="31"/>
      <c r="G2877" s="31"/>
      <c r="H2877" s="31"/>
      <c r="I2877" s="56"/>
      <c r="J2877" s="56"/>
      <c r="K2877" s="82" t="str">
        <f t="shared" si="886"/>
        <v>Invoice</v>
      </c>
      <c r="L2877" s="83" t="str">
        <f>"SI_109412"</f>
        <v>SI_109412</v>
      </c>
      <c r="M2877" s="84">
        <v>42735</v>
      </c>
      <c r="N2877" s="85">
        <f t="shared" si="879"/>
        <v>1077</v>
      </c>
      <c r="O2877" s="86">
        <f t="shared" si="880"/>
        <v>14948.39</v>
      </c>
      <c r="P2877" s="86">
        <f t="shared" si="881"/>
        <v>0</v>
      </c>
      <c r="Q2877" s="86">
        <f t="shared" si="882"/>
        <v>0</v>
      </c>
      <c r="R2877" s="86">
        <f t="shared" si="883"/>
        <v>0</v>
      </c>
      <c r="S2877" s="86">
        <f t="shared" si="884"/>
        <v>0</v>
      </c>
      <c r="T2877" s="86">
        <f t="shared" si="885"/>
        <v>14948.39</v>
      </c>
      <c r="U2877" s="87">
        <v>14948.39</v>
      </c>
    </row>
    <row r="2878" spans="1:21" s="30" customFormat="1" ht="24.6" hidden="1" outlineLevel="1" x14ac:dyDescent="0.55000000000000004">
      <c r="A2878" s="27" t="s">
        <v>327</v>
      </c>
      <c r="B2878" s="28"/>
      <c r="C2878" s="27"/>
      <c r="D2878" s="27" t="str">
        <f>"""NAV Direct"",""CRONUS JetCorp USA"",""21"",""1"",""305756"""</f>
        <v>"NAV Direct","CRONUS JetCorp USA","21","1","305756"</v>
      </c>
      <c r="E2878" s="31" t="str">
        <f t="shared" si="878"/>
        <v>C100088</v>
      </c>
      <c r="F2878" s="31"/>
      <c r="G2878" s="31"/>
      <c r="H2878" s="31"/>
      <c r="I2878" s="56"/>
      <c r="J2878" s="56"/>
      <c r="K2878" s="82" t="str">
        <f t="shared" si="886"/>
        <v>Invoice</v>
      </c>
      <c r="L2878" s="83" t="str">
        <f>"SI_109420"</f>
        <v>SI_109420</v>
      </c>
      <c r="M2878" s="84">
        <v>42778</v>
      </c>
      <c r="N2878" s="85">
        <f t="shared" si="879"/>
        <v>1034</v>
      </c>
      <c r="O2878" s="86">
        <f t="shared" si="880"/>
        <v>15172.52</v>
      </c>
      <c r="P2878" s="86">
        <f t="shared" si="881"/>
        <v>0</v>
      </c>
      <c r="Q2878" s="86">
        <f t="shared" si="882"/>
        <v>0</v>
      </c>
      <c r="R2878" s="86">
        <f t="shared" si="883"/>
        <v>0</v>
      </c>
      <c r="S2878" s="86">
        <f t="shared" si="884"/>
        <v>0</v>
      </c>
      <c r="T2878" s="86">
        <f t="shared" si="885"/>
        <v>15172.52</v>
      </c>
      <c r="U2878" s="87">
        <v>15172.52</v>
      </c>
    </row>
    <row r="2879" spans="1:21" s="30" customFormat="1" ht="24.6" hidden="1" outlineLevel="1" x14ac:dyDescent="0.55000000000000004">
      <c r="A2879" s="27" t="s">
        <v>327</v>
      </c>
      <c r="B2879" s="28"/>
      <c r="C2879" s="27"/>
      <c r="D2879" s="27" t="str">
        <f>"""NAV Direct"",""CRONUS JetCorp USA"",""21"",""1"",""305885"""</f>
        <v>"NAV Direct","CRONUS JetCorp USA","21","1","305885"</v>
      </c>
      <c r="E2879" s="31">
        <f t="shared" si="878"/>
        <v>0</v>
      </c>
      <c r="F2879" s="31"/>
      <c r="G2879" s="31"/>
      <c r="H2879" s="31"/>
      <c r="I2879" s="56"/>
      <c r="J2879" s="56"/>
      <c r="K2879" s="82" t="str">
        <f t="shared" si="886"/>
        <v>Invoice</v>
      </c>
      <c r="L2879" s="83" t="str">
        <f>"SI_109425"</f>
        <v>SI_109425</v>
      </c>
      <c r="M2879" s="84">
        <v>42801</v>
      </c>
      <c r="N2879" s="85">
        <f t="shared" si="879"/>
        <v>1011</v>
      </c>
      <c r="O2879" s="86">
        <f t="shared" si="880"/>
        <v>15400.820000000002</v>
      </c>
      <c r="P2879" s="86">
        <f t="shared" si="881"/>
        <v>0</v>
      </c>
      <c r="Q2879" s="86">
        <f t="shared" si="882"/>
        <v>0</v>
      </c>
      <c r="R2879" s="86">
        <f t="shared" si="883"/>
        <v>0</v>
      </c>
      <c r="S2879" s="86">
        <f t="shared" si="884"/>
        <v>0</v>
      </c>
      <c r="T2879" s="86">
        <f t="shared" si="885"/>
        <v>15400.820000000002</v>
      </c>
      <c r="U2879" s="87">
        <v>15400.820000000002</v>
      </c>
    </row>
    <row r="2880" spans="1:21" s="30" customFormat="1" ht="24.6" hidden="1" outlineLevel="1" x14ac:dyDescent="0.55000000000000004">
      <c r="A2880" s="27" t="s">
        <v>327</v>
      </c>
      <c r="B2880" s="28"/>
      <c r="C2880" s="27"/>
      <c r="D2880" s="27" t="str">
        <f>"""NAV Direct"",""CRONUS JetCorp USA"",""21"",""1"",""306022"""</f>
        <v>"NAV Direct","CRONUS JetCorp USA","21","1","306022"</v>
      </c>
      <c r="E2880" s="31" t="str">
        <f t="shared" si="878"/>
        <v>C100088</v>
      </c>
      <c r="F2880" s="31"/>
      <c r="G2880" s="31"/>
      <c r="H2880" s="31"/>
      <c r="I2880" s="56"/>
      <c r="J2880" s="56"/>
      <c r="K2880" s="82" t="str">
        <f t="shared" si="886"/>
        <v>Invoice</v>
      </c>
      <c r="L2880" s="83" t="str">
        <f>"SI_109430"</f>
        <v>SI_109430</v>
      </c>
      <c r="M2880" s="84">
        <v>42823</v>
      </c>
      <c r="N2880" s="85">
        <f t="shared" si="879"/>
        <v>989</v>
      </c>
      <c r="O2880" s="86">
        <f t="shared" si="880"/>
        <v>15416.269999999999</v>
      </c>
      <c r="P2880" s="86">
        <f t="shared" si="881"/>
        <v>0</v>
      </c>
      <c r="Q2880" s="86">
        <f t="shared" si="882"/>
        <v>0</v>
      </c>
      <c r="R2880" s="86">
        <f t="shared" si="883"/>
        <v>0</v>
      </c>
      <c r="S2880" s="86">
        <f t="shared" si="884"/>
        <v>0</v>
      </c>
      <c r="T2880" s="86">
        <f t="shared" si="885"/>
        <v>15416.269999999999</v>
      </c>
      <c r="U2880" s="87">
        <v>15416.269999999999</v>
      </c>
    </row>
    <row r="2881" spans="1:21" s="30" customFormat="1" ht="24.6" hidden="1" outlineLevel="1" x14ac:dyDescent="0.55000000000000004">
      <c r="A2881" s="27" t="s">
        <v>327</v>
      </c>
      <c r="B2881" s="28"/>
      <c r="C2881" s="27"/>
      <c r="D2881" s="27" t="str">
        <f>"""NAV Direct"",""CRONUS JetCorp USA"",""21"",""1"",""306078"""</f>
        <v>"NAV Direct","CRONUS JetCorp USA","21","1","306078"</v>
      </c>
      <c r="E2881" s="31">
        <f t="shared" si="878"/>
        <v>0</v>
      </c>
      <c r="F2881" s="31"/>
      <c r="G2881" s="31"/>
      <c r="H2881" s="31"/>
      <c r="I2881" s="56"/>
      <c r="J2881" s="56"/>
      <c r="K2881" s="82" t="str">
        <f t="shared" si="886"/>
        <v>Invoice</v>
      </c>
      <c r="L2881" s="83" t="str">
        <f>"SI_109432"</f>
        <v>SI_109432</v>
      </c>
      <c r="M2881" s="84">
        <v>42820</v>
      </c>
      <c r="N2881" s="85">
        <f t="shared" si="879"/>
        <v>992</v>
      </c>
      <c r="O2881" s="86">
        <f t="shared" si="880"/>
        <v>16079.720000000001</v>
      </c>
      <c r="P2881" s="86">
        <f t="shared" si="881"/>
        <v>0</v>
      </c>
      <c r="Q2881" s="86">
        <f t="shared" si="882"/>
        <v>0</v>
      </c>
      <c r="R2881" s="86">
        <f t="shared" si="883"/>
        <v>0</v>
      </c>
      <c r="S2881" s="86">
        <f t="shared" si="884"/>
        <v>0</v>
      </c>
      <c r="T2881" s="86">
        <f t="shared" si="885"/>
        <v>16079.720000000001</v>
      </c>
      <c r="U2881" s="87">
        <v>16079.720000000001</v>
      </c>
    </row>
    <row r="2882" spans="1:21" s="30" customFormat="1" ht="24.6" hidden="1" outlineLevel="1" x14ac:dyDescent="0.55000000000000004">
      <c r="A2882" s="27" t="s">
        <v>327</v>
      </c>
      <c r="B2882" s="28"/>
      <c r="C2882" s="27"/>
      <c r="D2882" s="27" t="str">
        <f>"""NAV Direct"",""CRONUS JetCorp USA"",""21"",""1"",""306168"""</f>
        <v>"NAV Direct","CRONUS JetCorp USA","21","1","306168"</v>
      </c>
      <c r="E2882" s="31" t="str">
        <f t="shared" si="878"/>
        <v>C100088</v>
      </c>
      <c r="F2882" s="31"/>
      <c r="G2882" s="31"/>
      <c r="H2882" s="31"/>
      <c r="I2882" s="56"/>
      <c r="J2882" s="56"/>
      <c r="K2882" s="82" t="str">
        <f t="shared" si="886"/>
        <v>Invoice</v>
      </c>
      <c r="L2882" s="83" t="str">
        <f>"SI_109436"</f>
        <v>SI_109436</v>
      </c>
      <c r="M2882" s="84">
        <v>42856</v>
      </c>
      <c r="N2882" s="85">
        <f t="shared" si="879"/>
        <v>956</v>
      </c>
      <c r="O2882" s="86">
        <f t="shared" si="880"/>
        <v>16456.62</v>
      </c>
      <c r="P2882" s="86">
        <f t="shared" si="881"/>
        <v>0</v>
      </c>
      <c r="Q2882" s="86">
        <f t="shared" si="882"/>
        <v>0</v>
      </c>
      <c r="R2882" s="86">
        <f t="shared" si="883"/>
        <v>0</v>
      </c>
      <c r="S2882" s="86">
        <f t="shared" si="884"/>
        <v>0</v>
      </c>
      <c r="T2882" s="86">
        <f t="shared" si="885"/>
        <v>16456.62</v>
      </c>
      <c r="U2882" s="87">
        <v>16456.62</v>
      </c>
    </row>
    <row r="2883" spans="1:21" s="30" customFormat="1" ht="24.6" hidden="1" outlineLevel="1" x14ac:dyDescent="0.55000000000000004">
      <c r="A2883" s="27" t="s">
        <v>327</v>
      </c>
      <c r="B2883" s="28"/>
      <c r="C2883" s="27"/>
      <c r="D2883" s="27" t="str">
        <f>"""NAV Direct"",""CRONUS JetCorp USA"",""21"",""1"",""306329"""</f>
        <v>"NAV Direct","CRONUS JetCorp USA","21","1","306329"</v>
      </c>
      <c r="E2883" s="31">
        <f t="shared" si="878"/>
        <v>0</v>
      </c>
      <c r="F2883" s="31"/>
      <c r="G2883" s="31"/>
      <c r="H2883" s="31"/>
      <c r="I2883" s="56"/>
      <c r="J2883" s="56"/>
      <c r="K2883" s="82" t="str">
        <f t="shared" si="886"/>
        <v>Invoice</v>
      </c>
      <c r="L2883" s="83" t="str">
        <f>"SI_109443"</f>
        <v>SI_109443</v>
      </c>
      <c r="M2883" s="84">
        <v>42893</v>
      </c>
      <c r="N2883" s="85">
        <f t="shared" si="879"/>
        <v>919</v>
      </c>
      <c r="O2883" s="86">
        <f t="shared" si="880"/>
        <v>16272.64</v>
      </c>
      <c r="P2883" s="86">
        <f t="shared" si="881"/>
        <v>0</v>
      </c>
      <c r="Q2883" s="86">
        <f t="shared" si="882"/>
        <v>0</v>
      </c>
      <c r="R2883" s="86">
        <f t="shared" si="883"/>
        <v>0</v>
      </c>
      <c r="S2883" s="86">
        <f t="shared" si="884"/>
        <v>0</v>
      </c>
      <c r="T2883" s="86">
        <f t="shared" si="885"/>
        <v>16272.64</v>
      </c>
      <c r="U2883" s="87">
        <v>16272.64</v>
      </c>
    </row>
    <row r="2884" spans="1:21" s="30" customFormat="1" ht="24.6" hidden="1" outlineLevel="1" x14ac:dyDescent="0.55000000000000004">
      <c r="A2884" s="27" t="s">
        <v>327</v>
      </c>
      <c r="B2884" s="28"/>
      <c r="C2884" s="27"/>
      <c r="D2884" s="27" t="str">
        <f>"""NAV Direct"",""CRONUS JetCorp USA"",""21"",""1"",""306381"""</f>
        <v>"NAV Direct","CRONUS JetCorp USA","21","1","306381"</v>
      </c>
      <c r="E2884" s="31" t="str">
        <f t="shared" si="878"/>
        <v>C100088</v>
      </c>
      <c r="F2884" s="31"/>
      <c r="G2884" s="31"/>
      <c r="H2884" s="31"/>
      <c r="I2884" s="56"/>
      <c r="J2884" s="56"/>
      <c r="K2884" s="82" t="str">
        <f t="shared" si="886"/>
        <v>Invoice</v>
      </c>
      <c r="L2884" s="83" t="str">
        <f>"SI_109445"</f>
        <v>SI_109445</v>
      </c>
      <c r="M2884" s="84">
        <v>42891</v>
      </c>
      <c r="N2884" s="85">
        <f t="shared" si="879"/>
        <v>921</v>
      </c>
      <c r="O2884" s="86">
        <f t="shared" si="880"/>
        <v>15936.46</v>
      </c>
      <c r="P2884" s="86">
        <f t="shared" si="881"/>
        <v>0</v>
      </c>
      <c r="Q2884" s="86">
        <f t="shared" si="882"/>
        <v>0</v>
      </c>
      <c r="R2884" s="86">
        <f t="shared" si="883"/>
        <v>0</v>
      </c>
      <c r="S2884" s="86">
        <f t="shared" si="884"/>
        <v>0</v>
      </c>
      <c r="T2884" s="86">
        <f t="shared" si="885"/>
        <v>15936.46</v>
      </c>
      <c r="U2884" s="87">
        <v>15936.46</v>
      </c>
    </row>
    <row r="2885" spans="1:21" s="30" customFormat="1" ht="24.6" hidden="1" outlineLevel="1" x14ac:dyDescent="0.55000000000000004">
      <c r="A2885" s="27" t="s">
        <v>327</v>
      </c>
      <c r="B2885" s="28"/>
      <c r="C2885" s="27"/>
      <c r="D2885" s="27" t="str">
        <f>"""NAV Direct"",""CRONUS JetCorp USA"",""21"",""1"",""306464"""</f>
        <v>"NAV Direct","CRONUS JetCorp USA","21","1","306464"</v>
      </c>
      <c r="E2885" s="31">
        <f t="shared" si="878"/>
        <v>0</v>
      </c>
      <c r="F2885" s="31"/>
      <c r="G2885" s="31"/>
      <c r="H2885" s="31"/>
      <c r="I2885" s="56"/>
      <c r="J2885" s="56"/>
      <c r="K2885" s="82" t="str">
        <f t="shared" si="886"/>
        <v>Invoice</v>
      </c>
      <c r="L2885" s="83" t="str">
        <f>"SI_109448"</f>
        <v>SI_109448</v>
      </c>
      <c r="M2885" s="84">
        <v>42916</v>
      </c>
      <c r="N2885" s="85">
        <f t="shared" si="879"/>
        <v>896</v>
      </c>
      <c r="O2885" s="86">
        <f t="shared" si="880"/>
        <v>16456.469999999998</v>
      </c>
      <c r="P2885" s="86">
        <f t="shared" si="881"/>
        <v>0</v>
      </c>
      <c r="Q2885" s="86">
        <f t="shared" si="882"/>
        <v>0</v>
      </c>
      <c r="R2885" s="86">
        <f t="shared" si="883"/>
        <v>0</v>
      </c>
      <c r="S2885" s="86">
        <f t="shared" si="884"/>
        <v>0</v>
      </c>
      <c r="T2885" s="86">
        <f t="shared" si="885"/>
        <v>16456.469999999998</v>
      </c>
      <c r="U2885" s="87">
        <v>16456.469999999998</v>
      </c>
    </row>
    <row r="2886" spans="1:21" s="30" customFormat="1" ht="24.6" hidden="1" outlineLevel="1" x14ac:dyDescent="0.55000000000000004">
      <c r="A2886" s="27" t="s">
        <v>327</v>
      </c>
      <c r="B2886" s="28"/>
      <c r="C2886" s="27"/>
      <c r="D2886" s="27" t="str">
        <f>"""NAV Direct"",""CRONUS JetCorp USA"",""21"",""1"",""306618"""</f>
        <v>"NAV Direct","CRONUS JetCorp USA","21","1","306618"</v>
      </c>
      <c r="E2886" s="31" t="str">
        <f t="shared" si="878"/>
        <v>C100088</v>
      </c>
      <c r="F2886" s="31"/>
      <c r="G2886" s="31"/>
      <c r="H2886" s="31"/>
      <c r="I2886" s="56"/>
      <c r="J2886" s="56"/>
      <c r="K2886" s="82" t="str">
        <f t="shared" si="886"/>
        <v>Invoice</v>
      </c>
      <c r="L2886" s="83" t="str">
        <f>"SI_109454"</f>
        <v>SI_109454</v>
      </c>
      <c r="M2886" s="84">
        <v>42943</v>
      </c>
      <c r="N2886" s="85">
        <f t="shared" si="879"/>
        <v>869</v>
      </c>
      <c r="O2886" s="86">
        <f t="shared" si="880"/>
        <v>16100.71</v>
      </c>
      <c r="P2886" s="86">
        <f t="shared" si="881"/>
        <v>0</v>
      </c>
      <c r="Q2886" s="86">
        <f t="shared" si="882"/>
        <v>0</v>
      </c>
      <c r="R2886" s="86">
        <f t="shared" si="883"/>
        <v>0</v>
      </c>
      <c r="S2886" s="86">
        <f t="shared" si="884"/>
        <v>0</v>
      </c>
      <c r="T2886" s="86">
        <f t="shared" si="885"/>
        <v>16100.71</v>
      </c>
      <c r="U2886" s="87">
        <v>16100.71</v>
      </c>
    </row>
    <row r="2887" spans="1:21" s="30" customFormat="1" ht="24.6" hidden="1" outlineLevel="1" x14ac:dyDescent="0.55000000000000004">
      <c r="A2887" s="27" t="s">
        <v>327</v>
      </c>
      <c r="B2887" s="28"/>
      <c r="C2887" s="27"/>
      <c r="D2887" s="27" t="str">
        <f>"""NAV Direct"",""CRONUS JetCorp USA"",""21"",""1"",""306797"""</f>
        <v>"NAV Direct","CRONUS JetCorp USA","21","1","306797"</v>
      </c>
      <c r="E2887" s="31">
        <f t="shared" si="878"/>
        <v>0</v>
      </c>
      <c r="F2887" s="31"/>
      <c r="G2887" s="31"/>
      <c r="H2887" s="31"/>
      <c r="I2887" s="56"/>
      <c r="J2887" s="56"/>
      <c r="K2887" s="82" t="str">
        <f t="shared" si="886"/>
        <v>Invoice</v>
      </c>
      <c r="L2887" s="83" t="str">
        <f>"SI_109461"</f>
        <v>SI_109461</v>
      </c>
      <c r="M2887" s="84">
        <v>42983</v>
      </c>
      <c r="N2887" s="85">
        <f t="shared" si="879"/>
        <v>829</v>
      </c>
      <c r="O2887" s="86">
        <f t="shared" si="880"/>
        <v>15916.06</v>
      </c>
      <c r="P2887" s="86">
        <f t="shared" si="881"/>
        <v>0</v>
      </c>
      <c r="Q2887" s="86">
        <f t="shared" si="882"/>
        <v>0</v>
      </c>
      <c r="R2887" s="86">
        <f t="shared" si="883"/>
        <v>0</v>
      </c>
      <c r="S2887" s="86">
        <f t="shared" si="884"/>
        <v>0</v>
      </c>
      <c r="T2887" s="86">
        <f t="shared" si="885"/>
        <v>15916.06</v>
      </c>
      <c r="U2887" s="87">
        <v>15916.06</v>
      </c>
    </row>
    <row r="2888" spans="1:21" s="30" customFormat="1" ht="24.6" hidden="1" outlineLevel="1" x14ac:dyDescent="0.55000000000000004">
      <c r="A2888" s="27" t="s">
        <v>327</v>
      </c>
      <c r="B2888" s="28"/>
      <c r="C2888" s="27"/>
      <c r="D2888" s="27" t="str">
        <f>"""NAV Direct"",""CRONUS JetCorp USA"",""21"",""1"",""306845"""</f>
        <v>"NAV Direct","CRONUS JetCorp USA","21","1","306845"</v>
      </c>
      <c r="E2888" s="31" t="str">
        <f t="shared" si="878"/>
        <v>C100088</v>
      </c>
      <c r="F2888" s="31"/>
      <c r="G2888" s="31"/>
      <c r="H2888" s="31"/>
      <c r="I2888" s="56"/>
      <c r="J2888" s="56"/>
      <c r="K2888" s="82" t="str">
        <f t="shared" si="886"/>
        <v>Invoice</v>
      </c>
      <c r="L2888" s="83" t="str">
        <f>"SI_109463"</f>
        <v>SI_109463</v>
      </c>
      <c r="M2888" s="84">
        <v>42993</v>
      </c>
      <c r="N2888" s="85">
        <f t="shared" si="879"/>
        <v>819</v>
      </c>
      <c r="O2888" s="86">
        <f t="shared" si="880"/>
        <v>15423.82</v>
      </c>
      <c r="P2888" s="86">
        <f t="shared" si="881"/>
        <v>0</v>
      </c>
      <c r="Q2888" s="86">
        <f t="shared" si="882"/>
        <v>0</v>
      </c>
      <c r="R2888" s="86">
        <f t="shared" si="883"/>
        <v>0</v>
      </c>
      <c r="S2888" s="86">
        <f t="shared" si="884"/>
        <v>0</v>
      </c>
      <c r="T2888" s="86">
        <f t="shared" si="885"/>
        <v>15423.82</v>
      </c>
      <c r="U2888" s="87">
        <v>15423.82</v>
      </c>
    </row>
    <row r="2889" spans="1:21" s="30" customFormat="1" ht="24.6" hidden="1" outlineLevel="1" x14ac:dyDescent="0.55000000000000004">
      <c r="A2889" s="27" t="s">
        <v>327</v>
      </c>
      <c r="B2889" s="28"/>
      <c r="C2889" s="27"/>
      <c r="D2889" s="27" t="str">
        <f>"""NAV Direct"",""CRONUS JetCorp USA"",""21"",""1"",""306872"""</f>
        <v>"NAV Direct","CRONUS JetCorp USA","21","1","306872"</v>
      </c>
      <c r="E2889" s="31">
        <f t="shared" si="878"/>
        <v>0</v>
      </c>
      <c r="F2889" s="31"/>
      <c r="G2889" s="31"/>
      <c r="H2889" s="31"/>
      <c r="I2889" s="56"/>
      <c r="J2889" s="56"/>
      <c r="K2889" s="82" t="str">
        <f t="shared" si="886"/>
        <v>Invoice</v>
      </c>
      <c r="L2889" s="83" t="str">
        <f>"SI_109464"</f>
        <v>SI_109464</v>
      </c>
      <c r="M2889" s="84">
        <v>42994</v>
      </c>
      <c r="N2889" s="85">
        <f t="shared" si="879"/>
        <v>818</v>
      </c>
      <c r="O2889" s="86">
        <f t="shared" si="880"/>
        <v>16080.87</v>
      </c>
      <c r="P2889" s="86">
        <f t="shared" si="881"/>
        <v>0</v>
      </c>
      <c r="Q2889" s="86">
        <f t="shared" si="882"/>
        <v>0</v>
      </c>
      <c r="R2889" s="86">
        <f t="shared" si="883"/>
        <v>0</v>
      </c>
      <c r="S2889" s="86">
        <f t="shared" si="884"/>
        <v>0</v>
      </c>
      <c r="T2889" s="86">
        <f t="shared" si="885"/>
        <v>16080.87</v>
      </c>
      <c r="U2889" s="87">
        <v>16080.87</v>
      </c>
    </row>
    <row r="2890" spans="1:21" s="30" customFormat="1" ht="24.6" hidden="1" outlineLevel="1" x14ac:dyDescent="0.55000000000000004">
      <c r="A2890" s="27" t="s">
        <v>327</v>
      </c>
      <c r="B2890" s="28"/>
      <c r="C2890" s="27"/>
      <c r="D2890" s="27" t="str">
        <f>"""NAV Direct"",""CRONUS JetCorp USA"",""21"",""1"",""307289"""</f>
        <v>"NAV Direct","CRONUS JetCorp USA","21","1","307289"</v>
      </c>
      <c r="E2890" s="31" t="str">
        <f t="shared" si="878"/>
        <v>C100088</v>
      </c>
      <c r="F2890" s="31"/>
      <c r="G2890" s="31"/>
      <c r="H2890" s="31"/>
      <c r="I2890" s="56"/>
      <c r="J2890" s="56"/>
      <c r="K2890" s="82" t="str">
        <f t="shared" si="886"/>
        <v>Invoice</v>
      </c>
      <c r="L2890" s="83" t="str">
        <f>"SI_109479"</f>
        <v>SI_109479</v>
      </c>
      <c r="M2890" s="84">
        <v>43070</v>
      </c>
      <c r="N2890" s="85">
        <f t="shared" si="879"/>
        <v>742</v>
      </c>
      <c r="O2890" s="86">
        <f t="shared" si="880"/>
        <v>14767.99</v>
      </c>
      <c r="P2890" s="86">
        <f t="shared" si="881"/>
        <v>0</v>
      </c>
      <c r="Q2890" s="86">
        <f t="shared" si="882"/>
        <v>0</v>
      </c>
      <c r="R2890" s="86">
        <f t="shared" si="883"/>
        <v>0</v>
      </c>
      <c r="S2890" s="86">
        <f t="shared" si="884"/>
        <v>0</v>
      </c>
      <c r="T2890" s="86">
        <f t="shared" si="885"/>
        <v>14767.99</v>
      </c>
      <c r="U2890" s="87">
        <v>14767.99</v>
      </c>
    </row>
    <row r="2891" spans="1:21" s="30" customFormat="1" ht="24.6" hidden="1" outlineLevel="1" x14ac:dyDescent="0.55000000000000004">
      <c r="A2891" s="27" t="s">
        <v>327</v>
      </c>
      <c r="B2891" s="28"/>
      <c r="C2891" s="27"/>
      <c r="D2891" s="27" t="str">
        <f>"""NAV Direct"",""CRONUS JetCorp USA"",""21"",""1"",""307381"""</f>
        <v>"NAV Direct","CRONUS JetCorp USA","21","1","307381"</v>
      </c>
      <c r="E2891" s="31">
        <f t="shared" si="878"/>
        <v>0</v>
      </c>
      <c r="F2891" s="31"/>
      <c r="G2891" s="31"/>
      <c r="H2891" s="31"/>
      <c r="I2891" s="56"/>
      <c r="J2891" s="56"/>
      <c r="K2891" s="82" t="str">
        <f t="shared" si="886"/>
        <v>Invoice</v>
      </c>
      <c r="L2891" s="83" t="str">
        <f>"SI_109483"</f>
        <v>SI_109483</v>
      </c>
      <c r="M2891" s="84">
        <v>43093</v>
      </c>
      <c r="N2891" s="85">
        <f t="shared" si="879"/>
        <v>719</v>
      </c>
      <c r="O2891" s="86">
        <f t="shared" si="880"/>
        <v>14591.57</v>
      </c>
      <c r="P2891" s="86">
        <f t="shared" si="881"/>
        <v>0</v>
      </c>
      <c r="Q2891" s="86">
        <f t="shared" si="882"/>
        <v>0</v>
      </c>
      <c r="R2891" s="86">
        <f t="shared" si="883"/>
        <v>0</v>
      </c>
      <c r="S2891" s="86">
        <f t="shared" si="884"/>
        <v>0</v>
      </c>
      <c r="T2891" s="86">
        <f t="shared" si="885"/>
        <v>14591.57</v>
      </c>
      <c r="U2891" s="87">
        <v>14591.57</v>
      </c>
    </row>
    <row r="2892" spans="1:21" s="30" customFormat="1" ht="24.6" hidden="1" outlineLevel="1" x14ac:dyDescent="0.55000000000000004">
      <c r="A2892" s="27" t="s">
        <v>327</v>
      </c>
      <c r="B2892" s="28"/>
      <c r="C2892" s="27"/>
      <c r="D2892" s="27" t="str">
        <f>"""NAV Direct"",""CRONUS JetCorp USA"",""21"",""1"",""307408"""</f>
        <v>"NAV Direct","CRONUS JetCorp USA","21","1","307408"</v>
      </c>
      <c r="E2892" s="31" t="str">
        <f t="shared" ref="E2892:E2923" si="887">E2890</f>
        <v>C100088</v>
      </c>
      <c r="F2892" s="31"/>
      <c r="G2892" s="31"/>
      <c r="H2892" s="31"/>
      <c r="I2892" s="56"/>
      <c r="J2892" s="56"/>
      <c r="K2892" s="82" t="str">
        <f t="shared" si="886"/>
        <v>Invoice</v>
      </c>
      <c r="L2892" s="83" t="str">
        <f>"SI_109484"</f>
        <v>SI_109484</v>
      </c>
      <c r="M2892" s="84">
        <v>43104</v>
      </c>
      <c r="N2892" s="85">
        <f t="shared" ref="N2892:N2927" si="888">StartDate-$M2892+1</f>
        <v>708</v>
      </c>
      <c r="O2892" s="86">
        <f t="shared" ref="O2892:O2923" si="889">SUM(P2892:T2892)</f>
        <v>14293.269999999999</v>
      </c>
      <c r="P2892" s="86">
        <f t="shared" ref="P2892:P2927" si="890">IF($M2892&gt;=$P$18,U2892,0)</f>
        <v>0</v>
      </c>
      <c r="Q2892" s="86">
        <f t="shared" ref="Q2892:Q2927" si="891">IF(AND($M2892&gt;=$Q$16,$M2892&lt;=$Q$18),U2892,0)</f>
        <v>0</v>
      </c>
      <c r="R2892" s="86">
        <f t="shared" ref="R2892:R2927" si="892">IF(AND($M2892&gt;=$R$16,$M2892&lt;=$R$18),U2892,0)</f>
        <v>0</v>
      </c>
      <c r="S2892" s="86">
        <f t="shared" ref="S2892:S2927" si="893">IF(AND($M2892&gt;=$S$16,$M2892&lt;=$S$18),U2892,0)</f>
        <v>0</v>
      </c>
      <c r="T2892" s="86">
        <f t="shared" ref="T2892:T2923" si="894">IF($M2892&lt;=$T$18,U2892,0)</f>
        <v>14293.269999999999</v>
      </c>
      <c r="U2892" s="87">
        <v>14293.269999999999</v>
      </c>
    </row>
    <row r="2893" spans="1:21" s="30" customFormat="1" ht="24.6" hidden="1" outlineLevel="1" x14ac:dyDescent="0.55000000000000004">
      <c r="A2893" s="27" t="s">
        <v>327</v>
      </c>
      <c r="B2893" s="28"/>
      <c r="C2893" s="27"/>
      <c r="D2893" s="27" t="str">
        <f>"""NAV Direct"",""CRONUS JetCorp USA"",""21"",""1"",""307585"""</f>
        <v>"NAV Direct","CRONUS JetCorp USA","21","1","307585"</v>
      </c>
      <c r="E2893" s="31">
        <f t="shared" si="887"/>
        <v>0</v>
      </c>
      <c r="F2893" s="31"/>
      <c r="G2893" s="31"/>
      <c r="H2893" s="31"/>
      <c r="I2893" s="56"/>
      <c r="J2893" s="56"/>
      <c r="K2893" s="82" t="str">
        <f t="shared" si="886"/>
        <v>Invoice</v>
      </c>
      <c r="L2893" s="83" t="str">
        <f>"SI_109491"</f>
        <v>SI_109491</v>
      </c>
      <c r="M2893" s="84">
        <v>43136</v>
      </c>
      <c r="N2893" s="85">
        <f t="shared" si="888"/>
        <v>676</v>
      </c>
      <c r="O2893" s="86">
        <f t="shared" si="889"/>
        <v>14144.91</v>
      </c>
      <c r="P2893" s="86">
        <f t="shared" si="890"/>
        <v>0</v>
      </c>
      <c r="Q2893" s="86">
        <f t="shared" si="891"/>
        <v>0</v>
      </c>
      <c r="R2893" s="86">
        <f t="shared" si="892"/>
        <v>0</v>
      </c>
      <c r="S2893" s="86">
        <f t="shared" si="893"/>
        <v>0</v>
      </c>
      <c r="T2893" s="86">
        <f t="shared" si="894"/>
        <v>14144.91</v>
      </c>
      <c r="U2893" s="87">
        <v>14144.91</v>
      </c>
    </row>
    <row r="2894" spans="1:21" s="30" customFormat="1" ht="24.6" hidden="1" outlineLevel="1" x14ac:dyDescent="0.55000000000000004">
      <c r="A2894" s="27" t="s">
        <v>327</v>
      </c>
      <c r="B2894" s="28"/>
      <c r="C2894" s="27"/>
      <c r="D2894" s="27" t="str">
        <f>"""NAV Direct"",""CRONUS JetCorp USA"",""21"",""1"",""307639"""</f>
        <v>"NAV Direct","CRONUS JetCorp USA","21","1","307639"</v>
      </c>
      <c r="E2894" s="31" t="str">
        <f t="shared" si="887"/>
        <v>C100088</v>
      </c>
      <c r="F2894" s="31"/>
      <c r="G2894" s="31"/>
      <c r="H2894" s="31"/>
      <c r="I2894" s="56"/>
      <c r="J2894" s="56"/>
      <c r="K2894" s="82" t="str">
        <f t="shared" ref="K2894:K2927" si="895">"Invoice"</f>
        <v>Invoice</v>
      </c>
      <c r="L2894" s="83" t="str">
        <f>"SI_109493"</f>
        <v>SI_109493</v>
      </c>
      <c r="M2894" s="84">
        <v>43157</v>
      </c>
      <c r="N2894" s="85">
        <f t="shared" si="888"/>
        <v>655</v>
      </c>
      <c r="O2894" s="86">
        <f t="shared" si="889"/>
        <v>14357.199999999999</v>
      </c>
      <c r="P2894" s="86">
        <f t="shared" si="890"/>
        <v>0</v>
      </c>
      <c r="Q2894" s="86">
        <f t="shared" si="891"/>
        <v>0</v>
      </c>
      <c r="R2894" s="86">
        <f t="shared" si="892"/>
        <v>0</v>
      </c>
      <c r="S2894" s="86">
        <f t="shared" si="893"/>
        <v>0</v>
      </c>
      <c r="T2894" s="86">
        <f t="shared" si="894"/>
        <v>14357.199999999999</v>
      </c>
      <c r="U2894" s="87">
        <v>14357.199999999999</v>
      </c>
    </row>
    <row r="2895" spans="1:21" s="30" customFormat="1" ht="24.6" hidden="1" outlineLevel="1" x14ac:dyDescent="0.55000000000000004">
      <c r="A2895" s="27" t="s">
        <v>327</v>
      </c>
      <c r="B2895" s="28"/>
      <c r="C2895" s="27"/>
      <c r="D2895" s="27" t="str">
        <f>"""NAV Direct"",""CRONUS JetCorp USA"",""21"",""1"",""307816"""</f>
        <v>"NAV Direct","CRONUS JetCorp USA","21","1","307816"</v>
      </c>
      <c r="E2895" s="31">
        <f t="shared" si="887"/>
        <v>0</v>
      </c>
      <c r="F2895" s="31"/>
      <c r="G2895" s="31"/>
      <c r="H2895" s="31"/>
      <c r="I2895" s="56"/>
      <c r="J2895" s="56"/>
      <c r="K2895" s="82" t="str">
        <f t="shared" si="895"/>
        <v>Invoice</v>
      </c>
      <c r="L2895" s="83" t="str">
        <f>"SI_109500"</f>
        <v>SI_109500</v>
      </c>
      <c r="M2895" s="84">
        <v>43192</v>
      </c>
      <c r="N2895" s="85">
        <f t="shared" si="888"/>
        <v>620</v>
      </c>
      <c r="O2895" s="86">
        <f t="shared" si="889"/>
        <v>14602.899999999998</v>
      </c>
      <c r="P2895" s="86">
        <f t="shared" si="890"/>
        <v>0</v>
      </c>
      <c r="Q2895" s="86">
        <f t="shared" si="891"/>
        <v>0</v>
      </c>
      <c r="R2895" s="86">
        <f t="shared" si="892"/>
        <v>0</v>
      </c>
      <c r="S2895" s="86">
        <f t="shared" si="893"/>
        <v>0</v>
      </c>
      <c r="T2895" s="86">
        <f t="shared" si="894"/>
        <v>14602.899999999998</v>
      </c>
      <c r="U2895" s="87">
        <v>14602.899999999998</v>
      </c>
    </row>
    <row r="2896" spans="1:21" s="30" customFormat="1" ht="24.6" hidden="1" outlineLevel="1" x14ac:dyDescent="0.55000000000000004">
      <c r="A2896" s="27" t="s">
        <v>327</v>
      </c>
      <c r="B2896" s="28"/>
      <c r="C2896" s="27"/>
      <c r="D2896" s="27" t="str">
        <f>"""NAV Direct"",""CRONUS JetCorp USA"",""21"",""1"",""307862"""</f>
        <v>"NAV Direct","CRONUS JetCorp USA","21","1","307862"</v>
      </c>
      <c r="E2896" s="31" t="str">
        <f t="shared" si="887"/>
        <v>C100088</v>
      </c>
      <c r="F2896" s="31"/>
      <c r="G2896" s="31"/>
      <c r="H2896" s="31"/>
      <c r="I2896" s="56"/>
      <c r="J2896" s="56"/>
      <c r="K2896" s="82" t="str">
        <f t="shared" si="895"/>
        <v>Invoice</v>
      </c>
      <c r="L2896" s="83" t="str">
        <f>"SI_109502"</f>
        <v>SI_109502</v>
      </c>
      <c r="M2896" s="84">
        <v>43197</v>
      </c>
      <c r="N2896" s="85">
        <f t="shared" si="888"/>
        <v>615</v>
      </c>
      <c r="O2896" s="86">
        <f t="shared" si="889"/>
        <v>14156.25</v>
      </c>
      <c r="P2896" s="86">
        <f t="shared" si="890"/>
        <v>0</v>
      </c>
      <c r="Q2896" s="86">
        <f t="shared" si="891"/>
        <v>0</v>
      </c>
      <c r="R2896" s="86">
        <f t="shared" si="892"/>
        <v>0</v>
      </c>
      <c r="S2896" s="86">
        <f t="shared" si="893"/>
        <v>0</v>
      </c>
      <c r="T2896" s="86">
        <f t="shared" si="894"/>
        <v>14156.25</v>
      </c>
      <c r="U2896" s="87">
        <v>14156.25</v>
      </c>
    </row>
    <row r="2897" spans="1:21" s="30" customFormat="1" ht="24.6" hidden="1" outlineLevel="1" x14ac:dyDescent="0.55000000000000004">
      <c r="A2897" s="27" t="s">
        <v>327</v>
      </c>
      <c r="B2897" s="28"/>
      <c r="C2897" s="27"/>
      <c r="D2897" s="27" t="str">
        <f>"""NAV Direct"",""CRONUS JetCorp USA"",""21"",""1"",""307922"""</f>
        <v>"NAV Direct","CRONUS JetCorp USA","21","1","307922"</v>
      </c>
      <c r="E2897" s="31">
        <f t="shared" si="887"/>
        <v>0</v>
      </c>
      <c r="F2897" s="31"/>
      <c r="G2897" s="31"/>
      <c r="H2897" s="31"/>
      <c r="I2897" s="56"/>
      <c r="J2897" s="56"/>
      <c r="K2897" s="82" t="str">
        <f t="shared" si="895"/>
        <v>Invoice</v>
      </c>
      <c r="L2897" s="83" t="str">
        <f>"SI_109504"</f>
        <v>SI_109504</v>
      </c>
      <c r="M2897" s="84">
        <v>43226</v>
      </c>
      <c r="N2897" s="85">
        <f t="shared" si="888"/>
        <v>586</v>
      </c>
      <c r="O2897" s="86">
        <f t="shared" si="889"/>
        <v>14291.109999999999</v>
      </c>
      <c r="P2897" s="86">
        <f t="shared" si="890"/>
        <v>0</v>
      </c>
      <c r="Q2897" s="86">
        <f t="shared" si="891"/>
        <v>0</v>
      </c>
      <c r="R2897" s="86">
        <f t="shared" si="892"/>
        <v>0</v>
      </c>
      <c r="S2897" s="86">
        <f t="shared" si="893"/>
        <v>0</v>
      </c>
      <c r="T2897" s="86">
        <f t="shared" si="894"/>
        <v>14291.109999999999</v>
      </c>
      <c r="U2897" s="87">
        <v>14291.109999999999</v>
      </c>
    </row>
    <row r="2898" spans="1:21" s="30" customFormat="1" ht="24.6" hidden="1" outlineLevel="1" x14ac:dyDescent="0.55000000000000004">
      <c r="A2898" s="27" t="s">
        <v>327</v>
      </c>
      <c r="B2898" s="28"/>
      <c r="C2898" s="27"/>
      <c r="D2898" s="27" t="str">
        <f>"""NAV Direct"",""CRONUS JetCorp USA"",""21"",""1"",""308588"""</f>
        <v>"NAV Direct","CRONUS JetCorp USA","21","1","308588"</v>
      </c>
      <c r="E2898" s="31" t="str">
        <f t="shared" si="887"/>
        <v>C100088</v>
      </c>
      <c r="F2898" s="31"/>
      <c r="G2898" s="31"/>
      <c r="H2898" s="31"/>
      <c r="I2898" s="56"/>
      <c r="J2898" s="56"/>
      <c r="K2898" s="82" t="str">
        <f t="shared" si="895"/>
        <v>Invoice</v>
      </c>
      <c r="L2898" s="83" t="str">
        <f>"SI_109530"</f>
        <v>SI_109530</v>
      </c>
      <c r="M2898" s="84">
        <v>43365</v>
      </c>
      <c r="N2898" s="85">
        <f t="shared" si="888"/>
        <v>447</v>
      </c>
      <c r="O2898" s="86">
        <f t="shared" si="889"/>
        <v>14950.77</v>
      </c>
      <c r="P2898" s="86">
        <f t="shared" si="890"/>
        <v>0</v>
      </c>
      <c r="Q2898" s="86">
        <f t="shared" si="891"/>
        <v>0</v>
      </c>
      <c r="R2898" s="86">
        <f t="shared" si="892"/>
        <v>0</v>
      </c>
      <c r="S2898" s="86">
        <f t="shared" si="893"/>
        <v>0</v>
      </c>
      <c r="T2898" s="86">
        <f t="shared" si="894"/>
        <v>14950.77</v>
      </c>
      <c r="U2898" s="87">
        <v>14950.77</v>
      </c>
    </row>
    <row r="2899" spans="1:21" s="30" customFormat="1" ht="24.6" hidden="1" outlineLevel="1" x14ac:dyDescent="0.55000000000000004">
      <c r="A2899" s="27" t="s">
        <v>327</v>
      </c>
      <c r="B2899" s="28"/>
      <c r="C2899" s="27"/>
      <c r="D2899" s="27" t="str">
        <f>"""NAV Direct"",""CRONUS JetCorp USA"",""21"",""1"",""308810"""</f>
        <v>"NAV Direct","CRONUS JetCorp USA","21","1","308810"</v>
      </c>
      <c r="E2899" s="31">
        <f t="shared" si="887"/>
        <v>0</v>
      </c>
      <c r="F2899" s="31"/>
      <c r="G2899" s="31"/>
      <c r="H2899" s="31"/>
      <c r="I2899" s="56"/>
      <c r="J2899" s="56"/>
      <c r="K2899" s="82" t="str">
        <f t="shared" si="895"/>
        <v>Invoice</v>
      </c>
      <c r="L2899" s="83" t="str">
        <f>"SI_109538"</f>
        <v>SI_109538</v>
      </c>
      <c r="M2899" s="84">
        <v>43409</v>
      </c>
      <c r="N2899" s="85">
        <f t="shared" si="888"/>
        <v>403</v>
      </c>
      <c r="O2899" s="86">
        <f t="shared" si="889"/>
        <v>15055.64</v>
      </c>
      <c r="P2899" s="86">
        <f t="shared" si="890"/>
        <v>0</v>
      </c>
      <c r="Q2899" s="86">
        <f t="shared" si="891"/>
        <v>0</v>
      </c>
      <c r="R2899" s="86">
        <f t="shared" si="892"/>
        <v>0</v>
      </c>
      <c r="S2899" s="86">
        <f t="shared" si="893"/>
        <v>0</v>
      </c>
      <c r="T2899" s="86">
        <f t="shared" si="894"/>
        <v>15055.64</v>
      </c>
      <c r="U2899" s="87">
        <v>15055.64</v>
      </c>
    </row>
    <row r="2900" spans="1:21" s="30" customFormat="1" ht="24.6" hidden="1" outlineLevel="1" x14ac:dyDescent="0.55000000000000004">
      <c r="A2900" s="27" t="s">
        <v>327</v>
      </c>
      <c r="B2900" s="28"/>
      <c r="C2900" s="27"/>
      <c r="D2900" s="27" t="str">
        <f>"""NAV Direct"",""CRONUS JetCorp USA"",""21"",""1"",""308837"""</f>
        <v>"NAV Direct","CRONUS JetCorp USA","21","1","308837"</v>
      </c>
      <c r="E2900" s="31" t="str">
        <f t="shared" si="887"/>
        <v>C100088</v>
      </c>
      <c r="F2900" s="31"/>
      <c r="G2900" s="31"/>
      <c r="H2900" s="31"/>
      <c r="I2900" s="56"/>
      <c r="J2900" s="56"/>
      <c r="K2900" s="82" t="str">
        <f t="shared" si="895"/>
        <v>Invoice</v>
      </c>
      <c r="L2900" s="83" t="str">
        <f>"SI_109539"</f>
        <v>SI_109539</v>
      </c>
      <c r="M2900" s="84">
        <v>43410</v>
      </c>
      <c r="N2900" s="85">
        <f t="shared" si="888"/>
        <v>402</v>
      </c>
      <c r="O2900" s="86">
        <f t="shared" si="889"/>
        <v>15694.919999999998</v>
      </c>
      <c r="P2900" s="86">
        <f t="shared" si="890"/>
        <v>0</v>
      </c>
      <c r="Q2900" s="86">
        <f t="shared" si="891"/>
        <v>0</v>
      </c>
      <c r="R2900" s="86">
        <f t="shared" si="892"/>
        <v>0</v>
      </c>
      <c r="S2900" s="86">
        <f t="shared" si="893"/>
        <v>0</v>
      </c>
      <c r="T2900" s="86">
        <f t="shared" si="894"/>
        <v>15694.919999999998</v>
      </c>
      <c r="U2900" s="87">
        <v>15694.919999999998</v>
      </c>
    </row>
    <row r="2901" spans="1:21" s="30" customFormat="1" ht="24.6" hidden="1" outlineLevel="1" x14ac:dyDescent="0.55000000000000004">
      <c r="A2901" s="27" t="s">
        <v>327</v>
      </c>
      <c r="B2901" s="28"/>
      <c r="C2901" s="27"/>
      <c r="D2901" s="27" t="str">
        <f>"""NAV Direct"",""CRONUS JetCorp USA"",""21"",""1"",""308964"""</f>
        <v>"NAV Direct","CRONUS JetCorp USA","21","1","308964"</v>
      </c>
      <c r="E2901" s="31">
        <f t="shared" si="887"/>
        <v>0</v>
      </c>
      <c r="F2901" s="31"/>
      <c r="G2901" s="31"/>
      <c r="H2901" s="31"/>
      <c r="I2901" s="56"/>
      <c r="J2901" s="56"/>
      <c r="K2901" s="82" t="str">
        <f t="shared" si="895"/>
        <v>Invoice</v>
      </c>
      <c r="L2901" s="83" t="str">
        <f>"SI_109544"</f>
        <v>SI_109544</v>
      </c>
      <c r="M2901" s="84">
        <v>43437</v>
      </c>
      <c r="N2901" s="85">
        <f t="shared" si="888"/>
        <v>375</v>
      </c>
      <c r="O2901" s="86">
        <f t="shared" si="889"/>
        <v>14940.06</v>
      </c>
      <c r="P2901" s="86">
        <f t="shared" si="890"/>
        <v>0</v>
      </c>
      <c r="Q2901" s="86">
        <f t="shared" si="891"/>
        <v>0</v>
      </c>
      <c r="R2901" s="86">
        <f t="shared" si="892"/>
        <v>0</v>
      </c>
      <c r="S2901" s="86">
        <f t="shared" si="893"/>
        <v>0</v>
      </c>
      <c r="T2901" s="86">
        <f t="shared" si="894"/>
        <v>14940.06</v>
      </c>
      <c r="U2901" s="87">
        <v>14940.06</v>
      </c>
    </row>
    <row r="2902" spans="1:21" s="30" customFormat="1" ht="24.6" hidden="1" outlineLevel="1" x14ac:dyDescent="0.55000000000000004">
      <c r="A2902" s="27" t="s">
        <v>327</v>
      </c>
      <c r="B2902" s="28"/>
      <c r="C2902" s="27"/>
      <c r="D2902" s="27" t="str">
        <f>"""NAV Direct"",""CRONUS JetCorp USA"",""21"",""1"",""309643"""</f>
        <v>"NAV Direct","CRONUS JetCorp USA","21","1","309643"</v>
      </c>
      <c r="E2902" s="31" t="str">
        <f t="shared" si="887"/>
        <v>C100088</v>
      </c>
      <c r="F2902" s="31"/>
      <c r="G2902" s="31"/>
      <c r="H2902" s="31"/>
      <c r="I2902" s="56"/>
      <c r="J2902" s="56"/>
      <c r="K2902" s="82" t="str">
        <f t="shared" si="895"/>
        <v>Invoice</v>
      </c>
      <c r="L2902" s="83" t="str">
        <f>"SI_109569"</f>
        <v>SI_109569</v>
      </c>
      <c r="M2902" s="84">
        <v>43561</v>
      </c>
      <c r="N2902" s="85">
        <f t="shared" si="888"/>
        <v>251</v>
      </c>
      <c r="O2902" s="86">
        <f t="shared" si="889"/>
        <v>15266.86</v>
      </c>
      <c r="P2902" s="86">
        <f t="shared" si="890"/>
        <v>0</v>
      </c>
      <c r="Q2902" s="86">
        <f t="shared" si="891"/>
        <v>0</v>
      </c>
      <c r="R2902" s="86">
        <f t="shared" si="892"/>
        <v>0</v>
      </c>
      <c r="S2902" s="86">
        <f t="shared" si="893"/>
        <v>0</v>
      </c>
      <c r="T2902" s="86">
        <f t="shared" si="894"/>
        <v>15266.86</v>
      </c>
      <c r="U2902" s="87">
        <v>15266.86</v>
      </c>
    </row>
    <row r="2903" spans="1:21" s="30" customFormat="1" ht="24.6" hidden="1" outlineLevel="1" x14ac:dyDescent="0.55000000000000004">
      <c r="A2903" s="27" t="s">
        <v>327</v>
      </c>
      <c r="B2903" s="28"/>
      <c r="C2903" s="27"/>
      <c r="D2903" s="27" t="str">
        <f>"""NAV Direct"",""CRONUS JetCorp USA"",""21"",""1"",""309826"""</f>
        <v>"NAV Direct","CRONUS JetCorp USA","21","1","309826"</v>
      </c>
      <c r="E2903" s="31">
        <f t="shared" si="887"/>
        <v>0</v>
      </c>
      <c r="F2903" s="31"/>
      <c r="G2903" s="31"/>
      <c r="H2903" s="31"/>
      <c r="I2903" s="56"/>
      <c r="J2903" s="56"/>
      <c r="K2903" s="82" t="str">
        <f t="shared" si="895"/>
        <v>Invoice</v>
      </c>
      <c r="L2903" s="83" t="str">
        <f>"SI_109576"</f>
        <v>SI_109576</v>
      </c>
      <c r="M2903" s="84">
        <v>43622</v>
      </c>
      <c r="N2903" s="85">
        <f t="shared" si="888"/>
        <v>190</v>
      </c>
      <c r="O2903" s="86">
        <f t="shared" si="889"/>
        <v>18482.240000000002</v>
      </c>
      <c r="P2903" s="86">
        <f t="shared" si="890"/>
        <v>0</v>
      </c>
      <c r="Q2903" s="86">
        <f t="shared" si="891"/>
        <v>0</v>
      </c>
      <c r="R2903" s="86">
        <f t="shared" si="892"/>
        <v>0</v>
      </c>
      <c r="S2903" s="86">
        <f t="shared" si="893"/>
        <v>0</v>
      </c>
      <c r="T2903" s="86">
        <f t="shared" si="894"/>
        <v>18482.240000000002</v>
      </c>
      <c r="U2903" s="87">
        <v>18482.240000000002</v>
      </c>
    </row>
    <row r="2904" spans="1:21" s="30" customFormat="1" ht="24.6" hidden="1" outlineLevel="1" x14ac:dyDescent="0.55000000000000004">
      <c r="A2904" s="27" t="s">
        <v>327</v>
      </c>
      <c r="B2904" s="28"/>
      <c r="C2904" s="27"/>
      <c r="D2904" s="27" t="str">
        <f>"""NAV Direct"",""CRONUS JetCorp USA"",""21"",""1"",""309901"""</f>
        <v>"NAV Direct","CRONUS JetCorp USA","21","1","309901"</v>
      </c>
      <c r="E2904" s="31" t="str">
        <f t="shared" si="887"/>
        <v>C100088</v>
      </c>
      <c r="F2904" s="31"/>
      <c r="G2904" s="31"/>
      <c r="H2904" s="31"/>
      <c r="I2904" s="56"/>
      <c r="J2904" s="56"/>
      <c r="K2904" s="82" t="str">
        <f t="shared" si="895"/>
        <v>Invoice</v>
      </c>
      <c r="L2904" s="83" t="str">
        <f>"SI_109579"</f>
        <v>SI_109579</v>
      </c>
      <c r="M2904" s="84">
        <v>43645</v>
      </c>
      <c r="N2904" s="85">
        <f t="shared" si="888"/>
        <v>167</v>
      </c>
      <c r="O2904" s="86">
        <f t="shared" si="889"/>
        <v>20777.78</v>
      </c>
      <c r="P2904" s="86">
        <f t="shared" si="890"/>
        <v>0</v>
      </c>
      <c r="Q2904" s="86">
        <f t="shared" si="891"/>
        <v>0</v>
      </c>
      <c r="R2904" s="86">
        <f t="shared" si="892"/>
        <v>0</v>
      </c>
      <c r="S2904" s="86">
        <f t="shared" si="893"/>
        <v>0</v>
      </c>
      <c r="T2904" s="86">
        <f t="shared" si="894"/>
        <v>20777.78</v>
      </c>
      <c r="U2904" s="87">
        <v>20777.78</v>
      </c>
    </row>
    <row r="2905" spans="1:21" s="30" customFormat="1" ht="24.6" hidden="1" outlineLevel="1" x14ac:dyDescent="0.55000000000000004">
      <c r="A2905" s="27" t="s">
        <v>327</v>
      </c>
      <c r="B2905" s="28"/>
      <c r="C2905" s="27"/>
      <c r="D2905" s="27" t="str">
        <f>"""NAV Direct"",""CRONUS JetCorp USA"",""21"",""1"",""309974"""</f>
        <v>"NAV Direct","CRONUS JetCorp USA","21","1","309974"</v>
      </c>
      <c r="E2905" s="31">
        <f t="shared" si="887"/>
        <v>0</v>
      </c>
      <c r="F2905" s="31"/>
      <c r="G2905" s="31"/>
      <c r="H2905" s="31"/>
      <c r="I2905" s="56"/>
      <c r="J2905" s="56"/>
      <c r="K2905" s="82" t="str">
        <f t="shared" si="895"/>
        <v>Invoice</v>
      </c>
      <c r="L2905" s="83" t="str">
        <f>"SI_109582"</f>
        <v>SI_109582</v>
      </c>
      <c r="M2905" s="84">
        <v>43658</v>
      </c>
      <c r="N2905" s="85">
        <f t="shared" si="888"/>
        <v>154</v>
      </c>
      <c r="O2905" s="86">
        <f t="shared" si="889"/>
        <v>22209.789999999997</v>
      </c>
      <c r="P2905" s="86">
        <f t="shared" si="890"/>
        <v>0</v>
      </c>
      <c r="Q2905" s="86">
        <f t="shared" si="891"/>
        <v>0</v>
      </c>
      <c r="R2905" s="86">
        <f t="shared" si="892"/>
        <v>0</v>
      </c>
      <c r="S2905" s="86">
        <f t="shared" si="893"/>
        <v>0</v>
      </c>
      <c r="T2905" s="86">
        <f t="shared" si="894"/>
        <v>22209.789999999997</v>
      </c>
      <c r="U2905" s="87">
        <v>22209.789999999997</v>
      </c>
    </row>
    <row r="2906" spans="1:21" s="30" customFormat="1" ht="24.6" hidden="1" outlineLevel="1" x14ac:dyDescent="0.55000000000000004">
      <c r="A2906" s="27" t="s">
        <v>327</v>
      </c>
      <c r="B2906" s="28"/>
      <c r="C2906" s="27"/>
      <c r="D2906" s="27" t="str">
        <f>"""NAV Direct"",""CRONUS JetCorp USA"",""21"",""1"",""310070"""</f>
        <v>"NAV Direct","CRONUS JetCorp USA","21","1","310070"</v>
      </c>
      <c r="E2906" s="31" t="str">
        <f t="shared" si="887"/>
        <v>C100088</v>
      </c>
      <c r="F2906" s="31"/>
      <c r="G2906" s="31"/>
      <c r="H2906" s="31"/>
      <c r="I2906" s="56"/>
      <c r="J2906" s="56"/>
      <c r="K2906" s="82" t="str">
        <f t="shared" si="895"/>
        <v>Invoice</v>
      </c>
      <c r="L2906" s="83" t="str">
        <f>"SI_109586"</f>
        <v>SI_109586</v>
      </c>
      <c r="M2906" s="84">
        <v>43683</v>
      </c>
      <c r="N2906" s="85">
        <f t="shared" si="888"/>
        <v>129</v>
      </c>
      <c r="O2906" s="86">
        <f t="shared" si="889"/>
        <v>16003.95</v>
      </c>
      <c r="P2906" s="86">
        <f t="shared" si="890"/>
        <v>0</v>
      </c>
      <c r="Q2906" s="86">
        <f t="shared" si="891"/>
        <v>0</v>
      </c>
      <c r="R2906" s="86">
        <f t="shared" si="892"/>
        <v>0</v>
      </c>
      <c r="S2906" s="86">
        <f t="shared" si="893"/>
        <v>0</v>
      </c>
      <c r="T2906" s="86">
        <f t="shared" si="894"/>
        <v>16003.95</v>
      </c>
      <c r="U2906" s="87">
        <v>16003.95</v>
      </c>
    </row>
    <row r="2907" spans="1:21" s="30" customFormat="1" ht="24.6" hidden="1" outlineLevel="1" x14ac:dyDescent="0.55000000000000004">
      <c r="A2907" s="27" t="s">
        <v>327</v>
      </c>
      <c r="B2907" s="28"/>
      <c r="C2907" s="27"/>
      <c r="D2907" s="27" t="str">
        <f>"""NAV Direct"",""CRONUS JetCorp USA"",""21"",""1"",""310099"""</f>
        <v>"NAV Direct","CRONUS JetCorp USA","21","1","310099"</v>
      </c>
      <c r="E2907" s="31">
        <f t="shared" si="887"/>
        <v>0</v>
      </c>
      <c r="F2907" s="31"/>
      <c r="G2907" s="31"/>
      <c r="H2907" s="31"/>
      <c r="I2907" s="56"/>
      <c r="J2907" s="56"/>
      <c r="K2907" s="82" t="str">
        <f t="shared" si="895"/>
        <v>Invoice</v>
      </c>
      <c r="L2907" s="83" t="str">
        <f>"SI_109587"</f>
        <v>SI_109587</v>
      </c>
      <c r="M2907" s="84">
        <v>43700</v>
      </c>
      <c r="N2907" s="85">
        <f t="shared" si="888"/>
        <v>112</v>
      </c>
      <c r="O2907" s="86">
        <f t="shared" si="889"/>
        <v>16051.7</v>
      </c>
      <c r="P2907" s="86">
        <f t="shared" si="890"/>
        <v>0</v>
      </c>
      <c r="Q2907" s="86">
        <f t="shared" si="891"/>
        <v>0</v>
      </c>
      <c r="R2907" s="86">
        <f t="shared" si="892"/>
        <v>0</v>
      </c>
      <c r="S2907" s="86">
        <f t="shared" si="893"/>
        <v>0</v>
      </c>
      <c r="T2907" s="86">
        <f t="shared" si="894"/>
        <v>16051.7</v>
      </c>
      <c r="U2907" s="87">
        <v>16051.7</v>
      </c>
    </row>
    <row r="2908" spans="1:21" s="30" customFormat="1" ht="24.6" hidden="1" outlineLevel="1" x14ac:dyDescent="0.55000000000000004">
      <c r="A2908" s="27" t="s">
        <v>327</v>
      </c>
      <c r="B2908" s="28"/>
      <c r="C2908" s="27"/>
      <c r="D2908" s="27" t="str">
        <f>"""NAV Direct"",""CRONUS JetCorp USA"",""21"",""1"",""310232"""</f>
        <v>"NAV Direct","CRONUS JetCorp USA","21","1","310232"</v>
      </c>
      <c r="E2908" s="31" t="str">
        <f t="shared" si="887"/>
        <v>C100088</v>
      </c>
      <c r="F2908" s="31"/>
      <c r="G2908" s="31"/>
      <c r="H2908" s="31"/>
      <c r="I2908" s="56"/>
      <c r="J2908" s="56"/>
      <c r="K2908" s="82" t="str">
        <f t="shared" si="895"/>
        <v>Invoice</v>
      </c>
      <c r="L2908" s="83" t="str">
        <f>"SI_109592"</f>
        <v>SI_109592</v>
      </c>
      <c r="M2908" s="84">
        <v>43714</v>
      </c>
      <c r="N2908" s="85">
        <f t="shared" si="888"/>
        <v>98</v>
      </c>
      <c r="O2908" s="86">
        <f t="shared" si="889"/>
        <v>14893.49</v>
      </c>
      <c r="P2908" s="86">
        <f t="shared" si="890"/>
        <v>0</v>
      </c>
      <c r="Q2908" s="86">
        <f t="shared" si="891"/>
        <v>0</v>
      </c>
      <c r="R2908" s="86">
        <f t="shared" si="892"/>
        <v>0</v>
      </c>
      <c r="S2908" s="86">
        <f t="shared" si="893"/>
        <v>0</v>
      </c>
      <c r="T2908" s="86">
        <f t="shared" si="894"/>
        <v>14893.49</v>
      </c>
      <c r="U2908" s="87">
        <v>14893.49</v>
      </c>
    </row>
    <row r="2909" spans="1:21" s="30" customFormat="1" ht="24.6" hidden="1" outlineLevel="1" x14ac:dyDescent="0.55000000000000004">
      <c r="A2909" s="27" t="s">
        <v>327</v>
      </c>
      <c r="B2909" s="28"/>
      <c r="C2909" s="27"/>
      <c r="D2909" s="27" t="str">
        <f>"""NAV Direct"",""CRONUS JetCorp USA"",""21"",""1"",""310340"""</f>
        <v>"NAV Direct","CRONUS JetCorp USA","21","1","310340"</v>
      </c>
      <c r="E2909" s="31">
        <f t="shared" si="887"/>
        <v>0</v>
      </c>
      <c r="F2909" s="31"/>
      <c r="G2909" s="31"/>
      <c r="H2909" s="31"/>
      <c r="I2909" s="56"/>
      <c r="J2909" s="56"/>
      <c r="K2909" s="82" t="str">
        <f t="shared" si="895"/>
        <v>Invoice</v>
      </c>
      <c r="L2909" s="83" t="str">
        <f>"SI_109596"</f>
        <v>SI_109596</v>
      </c>
      <c r="M2909" s="84">
        <v>43741</v>
      </c>
      <c r="N2909" s="85">
        <f t="shared" si="888"/>
        <v>71</v>
      </c>
      <c r="O2909" s="86">
        <f t="shared" si="889"/>
        <v>15681.61</v>
      </c>
      <c r="P2909" s="86">
        <f t="shared" si="890"/>
        <v>0</v>
      </c>
      <c r="Q2909" s="86">
        <f t="shared" si="891"/>
        <v>0</v>
      </c>
      <c r="R2909" s="86">
        <f t="shared" si="892"/>
        <v>0</v>
      </c>
      <c r="S2909" s="86">
        <f t="shared" si="893"/>
        <v>15681.61</v>
      </c>
      <c r="T2909" s="86">
        <f t="shared" si="894"/>
        <v>0</v>
      </c>
      <c r="U2909" s="87">
        <v>15681.61</v>
      </c>
    </row>
    <row r="2910" spans="1:21" s="30" customFormat="1" ht="24.6" hidden="1" outlineLevel="1" x14ac:dyDescent="0.55000000000000004">
      <c r="A2910" s="27" t="s">
        <v>327</v>
      </c>
      <c r="B2910" s="28"/>
      <c r="C2910" s="27"/>
      <c r="D2910" s="27" t="str">
        <f>"""NAV Direct"",""CRONUS JetCorp USA"",""21"",""1"",""310737"""</f>
        <v>"NAV Direct","CRONUS JetCorp USA","21","1","310737"</v>
      </c>
      <c r="E2910" s="31" t="str">
        <f t="shared" si="887"/>
        <v>C100088</v>
      </c>
      <c r="F2910" s="31"/>
      <c r="G2910" s="31"/>
      <c r="H2910" s="31"/>
      <c r="I2910" s="56"/>
      <c r="J2910" s="56"/>
      <c r="K2910" s="82" t="str">
        <f t="shared" si="895"/>
        <v>Invoice</v>
      </c>
      <c r="L2910" s="83" t="str">
        <f>"SI_109611"</f>
        <v>SI_109611</v>
      </c>
      <c r="M2910" s="84">
        <v>43811</v>
      </c>
      <c r="N2910" s="85">
        <f t="shared" si="888"/>
        <v>1</v>
      </c>
      <c r="O2910" s="86">
        <f t="shared" si="889"/>
        <v>16890.27</v>
      </c>
      <c r="P2910" s="86">
        <f t="shared" si="890"/>
        <v>0</v>
      </c>
      <c r="Q2910" s="86">
        <f t="shared" si="891"/>
        <v>16890.27</v>
      </c>
      <c r="R2910" s="86">
        <f t="shared" si="892"/>
        <v>0</v>
      </c>
      <c r="S2910" s="86">
        <f t="shared" si="893"/>
        <v>0</v>
      </c>
      <c r="T2910" s="86">
        <f t="shared" si="894"/>
        <v>0</v>
      </c>
      <c r="U2910" s="87">
        <v>16890.27</v>
      </c>
    </row>
    <row r="2911" spans="1:21" s="30" customFormat="1" ht="24.6" hidden="1" outlineLevel="1" x14ac:dyDescent="0.55000000000000004">
      <c r="A2911" s="27" t="s">
        <v>327</v>
      </c>
      <c r="B2911" s="28"/>
      <c r="C2911" s="27"/>
      <c r="D2911" s="27" t="str">
        <f>"""NAV Direct"",""CRONUS JetCorp USA"",""21"",""1"",""310886"""</f>
        <v>"NAV Direct","CRONUS JetCorp USA","21","1","310886"</v>
      </c>
      <c r="E2911" s="31">
        <f t="shared" si="887"/>
        <v>0</v>
      </c>
      <c r="F2911" s="31"/>
      <c r="G2911" s="31"/>
      <c r="H2911" s="31"/>
      <c r="I2911" s="56"/>
      <c r="J2911" s="56"/>
      <c r="K2911" s="82" t="str">
        <f t="shared" si="895"/>
        <v>Invoice</v>
      </c>
      <c r="L2911" s="83" t="str">
        <f>"SI_109616"</f>
        <v>SI_109616</v>
      </c>
      <c r="M2911" s="84">
        <v>42011</v>
      </c>
      <c r="N2911" s="85">
        <f t="shared" si="888"/>
        <v>1801</v>
      </c>
      <c r="O2911" s="86">
        <f t="shared" si="889"/>
        <v>15808.73</v>
      </c>
      <c r="P2911" s="86">
        <f t="shared" si="890"/>
        <v>0</v>
      </c>
      <c r="Q2911" s="86">
        <f t="shared" si="891"/>
        <v>0</v>
      </c>
      <c r="R2911" s="86">
        <f t="shared" si="892"/>
        <v>0</v>
      </c>
      <c r="S2911" s="86">
        <f t="shared" si="893"/>
        <v>0</v>
      </c>
      <c r="T2911" s="86">
        <f t="shared" si="894"/>
        <v>15808.73</v>
      </c>
      <c r="U2911" s="87">
        <v>15808.73</v>
      </c>
    </row>
    <row r="2912" spans="1:21" s="30" customFormat="1" ht="24.6" hidden="1" outlineLevel="1" x14ac:dyDescent="0.55000000000000004">
      <c r="A2912" s="27" t="s">
        <v>327</v>
      </c>
      <c r="B2912" s="28"/>
      <c r="C2912" s="27"/>
      <c r="D2912" s="27" t="str">
        <f>"""NAV Direct"",""CRONUS JetCorp USA"",""21"",""1"",""311077"""</f>
        <v>"NAV Direct","CRONUS JetCorp USA","21","1","311077"</v>
      </c>
      <c r="E2912" s="31" t="str">
        <f t="shared" si="887"/>
        <v>C100088</v>
      </c>
      <c r="F2912" s="31"/>
      <c r="G2912" s="31"/>
      <c r="H2912" s="31"/>
      <c r="I2912" s="56"/>
      <c r="J2912" s="56"/>
      <c r="K2912" s="82" t="str">
        <f t="shared" si="895"/>
        <v>Invoice</v>
      </c>
      <c r="L2912" s="83" t="str">
        <f>"SI_109623"</f>
        <v>SI_109623</v>
      </c>
      <c r="M2912" s="84">
        <v>42033</v>
      </c>
      <c r="N2912" s="85">
        <f t="shared" si="888"/>
        <v>1779</v>
      </c>
      <c r="O2912" s="86">
        <f t="shared" si="889"/>
        <v>16710.509999999998</v>
      </c>
      <c r="P2912" s="86">
        <f t="shared" si="890"/>
        <v>0</v>
      </c>
      <c r="Q2912" s="86">
        <f t="shared" si="891"/>
        <v>0</v>
      </c>
      <c r="R2912" s="86">
        <f t="shared" si="892"/>
        <v>0</v>
      </c>
      <c r="S2912" s="86">
        <f t="shared" si="893"/>
        <v>0</v>
      </c>
      <c r="T2912" s="86">
        <f t="shared" si="894"/>
        <v>16710.509999999998</v>
      </c>
      <c r="U2912" s="87">
        <v>16710.509999999998</v>
      </c>
    </row>
    <row r="2913" spans="1:21" s="30" customFormat="1" ht="24.6" hidden="1" outlineLevel="1" x14ac:dyDescent="0.55000000000000004">
      <c r="A2913" s="27" t="s">
        <v>327</v>
      </c>
      <c r="B2913" s="28"/>
      <c r="C2913" s="27"/>
      <c r="D2913" s="27" t="str">
        <f>"""NAV Direct"",""CRONUS JetCorp USA"",""21"",""1"",""311376"""</f>
        <v>"NAV Direct","CRONUS JetCorp USA","21","1","311376"</v>
      </c>
      <c r="E2913" s="31">
        <f t="shared" si="887"/>
        <v>0</v>
      </c>
      <c r="F2913" s="31"/>
      <c r="G2913" s="31"/>
      <c r="H2913" s="31"/>
      <c r="I2913" s="56"/>
      <c r="J2913" s="56"/>
      <c r="K2913" s="82" t="str">
        <f t="shared" si="895"/>
        <v>Invoice</v>
      </c>
      <c r="L2913" s="83" t="str">
        <f>"SI_109634"</f>
        <v>SI_109634</v>
      </c>
      <c r="M2913" s="84">
        <v>42094</v>
      </c>
      <c r="N2913" s="85">
        <f t="shared" si="888"/>
        <v>1718</v>
      </c>
      <c r="O2913" s="86">
        <f t="shared" si="889"/>
        <v>17255.150000000001</v>
      </c>
      <c r="P2913" s="86">
        <f t="shared" si="890"/>
        <v>0</v>
      </c>
      <c r="Q2913" s="86">
        <f t="shared" si="891"/>
        <v>0</v>
      </c>
      <c r="R2913" s="86">
        <f t="shared" si="892"/>
        <v>0</v>
      </c>
      <c r="S2913" s="86">
        <f t="shared" si="893"/>
        <v>0</v>
      </c>
      <c r="T2913" s="86">
        <f t="shared" si="894"/>
        <v>17255.150000000001</v>
      </c>
      <c r="U2913" s="87">
        <v>17255.150000000001</v>
      </c>
    </row>
    <row r="2914" spans="1:21" s="30" customFormat="1" ht="24.6" hidden="1" outlineLevel="1" x14ac:dyDescent="0.55000000000000004">
      <c r="A2914" s="27" t="s">
        <v>327</v>
      </c>
      <c r="B2914" s="28"/>
      <c r="C2914" s="27"/>
      <c r="D2914" s="27" t="str">
        <f>"""NAV Direct"",""CRONUS JetCorp USA"",""21"",""1"",""311395"""</f>
        <v>"NAV Direct","CRONUS JetCorp USA","21","1","311395"</v>
      </c>
      <c r="E2914" s="31" t="str">
        <f t="shared" si="887"/>
        <v>C100088</v>
      </c>
      <c r="F2914" s="31"/>
      <c r="G2914" s="31"/>
      <c r="H2914" s="31"/>
      <c r="I2914" s="56"/>
      <c r="J2914" s="56"/>
      <c r="K2914" s="82" t="str">
        <f t="shared" si="895"/>
        <v>Invoice</v>
      </c>
      <c r="L2914" s="83" t="str">
        <f>"SI_109635"</f>
        <v>SI_109635</v>
      </c>
      <c r="M2914" s="84">
        <v>42093</v>
      </c>
      <c r="N2914" s="85">
        <f t="shared" si="888"/>
        <v>1719</v>
      </c>
      <c r="O2914" s="86">
        <f t="shared" si="889"/>
        <v>16899.21</v>
      </c>
      <c r="P2914" s="86">
        <f t="shared" si="890"/>
        <v>0</v>
      </c>
      <c r="Q2914" s="86">
        <f t="shared" si="891"/>
        <v>0</v>
      </c>
      <c r="R2914" s="86">
        <f t="shared" si="892"/>
        <v>0</v>
      </c>
      <c r="S2914" s="86">
        <f t="shared" si="893"/>
        <v>0</v>
      </c>
      <c r="T2914" s="86">
        <f t="shared" si="894"/>
        <v>16899.21</v>
      </c>
      <c r="U2914" s="87">
        <v>16899.21</v>
      </c>
    </row>
    <row r="2915" spans="1:21" s="30" customFormat="1" ht="24.6" hidden="1" outlineLevel="1" x14ac:dyDescent="0.55000000000000004">
      <c r="A2915" s="27" t="s">
        <v>327</v>
      </c>
      <c r="B2915" s="28"/>
      <c r="C2915" s="27"/>
      <c r="D2915" s="27" t="str">
        <f>"""NAV Direct"",""CRONUS JetCorp USA"",""21"",""1"",""311507"""</f>
        <v>"NAV Direct","CRONUS JetCorp USA","21","1","311507"</v>
      </c>
      <c r="E2915" s="31">
        <f t="shared" si="887"/>
        <v>0</v>
      </c>
      <c r="F2915" s="31"/>
      <c r="G2915" s="31"/>
      <c r="H2915" s="31"/>
      <c r="I2915" s="56"/>
      <c r="J2915" s="56"/>
      <c r="K2915" s="82" t="str">
        <f t="shared" si="895"/>
        <v>Invoice</v>
      </c>
      <c r="L2915" s="83" t="str">
        <f>"SI_109639"</f>
        <v>SI_109639</v>
      </c>
      <c r="M2915" s="84">
        <v>42119</v>
      </c>
      <c r="N2915" s="85">
        <f t="shared" si="888"/>
        <v>1693</v>
      </c>
      <c r="O2915" s="86">
        <f t="shared" si="889"/>
        <v>16544.07</v>
      </c>
      <c r="P2915" s="86">
        <f t="shared" si="890"/>
        <v>0</v>
      </c>
      <c r="Q2915" s="86">
        <f t="shared" si="891"/>
        <v>0</v>
      </c>
      <c r="R2915" s="86">
        <f t="shared" si="892"/>
        <v>0</v>
      </c>
      <c r="S2915" s="86">
        <f t="shared" si="893"/>
        <v>0</v>
      </c>
      <c r="T2915" s="86">
        <f t="shared" si="894"/>
        <v>16544.07</v>
      </c>
      <c r="U2915" s="87">
        <v>16544.07</v>
      </c>
    </row>
    <row r="2916" spans="1:21" s="30" customFormat="1" ht="24.6" hidden="1" outlineLevel="1" x14ac:dyDescent="0.55000000000000004">
      <c r="A2916" s="27" t="s">
        <v>327</v>
      </c>
      <c r="B2916" s="28"/>
      <c r="C2916" s="27"/>
      <c r="D2916" s="27" t="str">
        <f>"""NAV Direct"",""CRONUS JetCorp USA"",""21"",""1"",""311571"""</f>
        <v>"NAV Direct","CRONUS JetCorp USA","21","1","311571"</v>
      </c>
      <c r="E2916" s="31" t="str">
        <f t="shared" si="887"/>
        <v>C100088</v>
      </c>
      <c r="F2916" s="31"/>
      <c r="G2916" s="31"/>
      <c r="H2916" s="31"/>
      <c r="I2916" s="56"/>
      <c r="J2916" s="56"/>
      <c r="K2916" s="82" t="str">
        <f t="shared" si="895"/>
        <v>Invoice</v>
      </c>
      <c r="L2916" s="83" t="str">
        <f>"SI_109641"</f>
        <v>SI_109641</v>
      </c>
      <c r="M2916" s="84">
        <v>42126</v>
      </c>
      <c r="N2916" s="85">
        <f t="shared" si="888"/>
        <v>1686</v>
      </c>
      <c r="O2916" s="86">
        <f t="shared" si="889"/>
        <v>16540.399999999998</v>
      </c>
      <c r="P2916" s="86">
        <f t="shared" si="890"/>
        <v>0</v>
      </c>
      <c r="Q2916" s="86">
        <f t="shared" si="891"/>
        <v>0</v>
      </c>
      <c r="R2916" s="86">
        <f t="shared" si="892"/>
        <v>0</v>
      </c>
      <c r="S2916" s="86">
        <f t="shared" si="893"/>
        <v>0</v>
      </c>
      <c r="T2916" s="86">
        <f t="shared" si="894"/>
        <v>16540.399999999998</v>
      </c>
      <c r="U2916" s="87">
        <v>16540.399999999998</v>
      </c>
    </row>
    <row r="2917" spans="1:21" s="30" customFormat="1" ht="24.6" hidden="1" outlineLevel="1" x14ac:dyDescent="0.55000000000000004">
      <c r="A2917" s="27" t="s">
        <v>327</v>
      </c>
      <c r="B2917" s="28"/>
      <c r="C2917" s="27"/>
      <c r="D2917" s="27" t="str">
        <f>"""NAV Direct"",""CRONUS JetCorp USA"",""21"",""1"",""311683"""</f>
        <v>"NAV Direct","CRONUS JetCorp USA","21","1","311683"</v>
      </c>
      <c r="E2917" s="31">
        <f t="shared" si="887"/>
        <v>0</v>
      </c>
      <c r="F2917" s="31"/>
      <c r="G2917" s="31"/>
      <c r="H2917" s="31"/>
      <c r="I2917" s="56"/>
      <c r="J2917" s="56"/>
      <c r="K2917" s="82" t="str">
        <f t="shared" si="895"/>
        <v>Invoice</v>
      </c>
      <c r="L2917" s="83" t="str">
        <f>"SI_109645"</f>
        <v>SI_109645</v>
      </c>
      <c r="M2917" s="84">
        <v>42135</v>
      </c>
      <c r="N2917" s="85">
        <f t="shared" si="888"/>
        <v>1677</v>
      </c>
      <c r="O2917" s="86">
        <f t="shared" si="889"/>
        <v>16544.2</v>
      </c>
      <c r="P2917" s="86">
        <f t="shared" si="890"/>
        <v>0</v>
      </c>
      <c r="Q2917" s="86">
        <f t="shared" si="891"/>
        <v>0</v>
      </c>
      <c r="R2917" s="86">
        <f t="shared" si="892"/>
        <v>0</v>
      </c>
      <c r="S2917" s="86">
        <f t="shared" si="893"/>
        <v>0</v>
      </c>
      <c r="T2917" s="86">
        <f t="shared" si="894"/>
        <v>16544.2</v>
      </c>
      <c r="U2917" s="87">
        <v>16544.2</v>
      </c>
    </row>
    <row r="2918" spans="1:21" s="30" customFormat="1" ht="24.6" hidden="1" outlineLevel="1" x14ac:dyDescent="0.55000000000000004">
      <c r="A2918" s="27" t="s">
        <v>327</v>
      </c>
      <c r="B2918" s="28"/>
      <c r="C2918" s="27"/>
      <c r="D2918" s="27" t="str">
        <f>"""NAV Direct"",""CRONUS JetCorp USA"",""21"",""1"",""311855"""</f>
        <v>"NAV Direct","CRONUS JetCorp USA","21","1","311855"</v>
      </c>
      <c r="E2918" s="31" t="str">
        <f t="shared" si="887"/>
        <v>C100088</v>
      </c>
      <c r="F2918" s="31"/>
      <c r="G2918" s="31"/>
      <c r="H2918" s="31"/>
      <c r="I2918" s="56"/>
      <c r="J2918" s="56"/>
      <c r="K2918" s="82" t="str">
        <f t="shared" si="895"/>
        <v>Invoice</v>
      </c>
      <c r="L2918" s="83" t="str">
        <f>"SI_109651"</f>
        <v>SI_109651</v>
      </c>
      <c r="M2918" s="84">
        <v>42156</v>
      </c>
      <c r="N2918" s="85">
        <f t="shared" si="888"/>
        <v>1656</v>
      </c>
      <c r="O2918" s="86">
        <f t="shared" si="889"/>
        <v>17076.88</v>
      </c>
      <c r="P2918" s="86">
        <f t="shared" si="890"/>
        <v>0</v>
      </c>
      <c r="Q2918" s="86">
        <f t="shared" si="891"/>
        <v>0</v>
      </c>
      <c r="R2918" s="86">
        <f t="shared" si="892"/>
        <v>0</v>
      </c>
      <c r="S2918" s="86">
        <f t="shared" si="893"/>
        <v>0</v>
      </c>
      <c r="T2918" s="86">
        <f t="shared" si="894"/>
        <v>17076.88</v>
      </c>
      <c r="U2918" s="87">
        <v>17076.88</v>
      </c>
    </row>
    <row r="2919" spans="1:21" s="30" customFormat="1" ht="24.6" hidden="1" outlineLevel="1" x14ac:dyDescent="0.55000000000000004">
      <c r="A2919" s="27" t="s">
        <v>327</v>
      </c>
      <c r="B2919" s="28"/>
      <c r="C2919" s="27"/>
      <c r="D2919" s="27" t="str">
        <f>"""NAV Direct"",""CRONUS JetCorp USA"",""21"",""1"",""311905"""</f>
        <v>"NAV Direct","CRONUS JetCorp USA","21","1","311905"</v>
      </c>
      <c r="E2919" s="31">
        <f t="shared" si="887"/>
        <v>0</v>
      </c>
      <c r="F2919" s="31"/>
      <c r="G2919" s="31"/>
      <c r="H2919" s="31"/>
      <c r="I2919" s="56"/>
      <c r="J2919" s="56"/>
      <c r="K2919" s="82" t="str">
        <f t="shared" si="895"/>
        <v>Invoice</v>
      </c>
      <c r="L2919" s="83" t="str">
        <f>"SI_109653"</f>
        <v>SI_109653</v>
      </c>
      <c r="M2919" s="84">
        <v>42161</v>
      </c>
      <c r="N2919" s="85">
        <f t="shared" si="888"/>
        <v>1651</v>
      </c>
      <c r="O2919" s="86">
        <f t="shared" si="889"/>
        <v>16721.36</v>
      </c>
      <c r="P2919" s="86">
        <f t="shared" si="890"/>
        <v>0</v>
      </c>
      <c r="Q2919" s="86">
        <f t="shared" si="891"/>
        <v>0</v>
      </c>
      <c r="R2919" s="86">
        <f t="shared" si="892"/>
        <v>0</v>
      </c>
      <c r="S2919" s="86">
        <f t="shared" si="893"/>
        <v>0</v>
      </c>
      <c r="T2919" s="86">
        <f t="shared" si="894"/>
        <v>16721.36</v>
      </c>
      <c r="U2919" s="87">
        <v>16721.36</v>
      </c>
    </row>
    <row r="2920" spans="1:21" s="30" customFormat="1" ht="24.6" hidden="1" outlineLevel="1" x14ac:dyDescent="0.55000000000000004">
      <c r="A2920" s="27" t="s">
        <v>327</v>
      </c>
      <c r="B2920" s="28"/>
      <c r="C2920" s="27"/>
      <c r="D2920" s="27" t="str">
        <f>"""NAV Direct"",""CRONUS JetCorp USA"",""21"",""1"",""312057"""</f>
        <v>"NAV Direct","CRONUS JetCorp USA","21","1","312057"</v>
      </c>
      <c r="E2920" s="31" t="str">
        <f t="shared" si="887"/>
        <v>C100088</v>
      </c>
      <c r="F2920" s="31"/>
      <c r="G2920" s="31"/>
      <c r="H2920" s="31"/>
      <c r="I2920" s="56"/>
      <c r="J2920" s="56"/>
      <c r="K2920" s="82" t="str">
        <f t="shared" si="895"/>
        <v>Invoice</v>
      </c>
      <c r="L2920" s="83" t="str">
        <f>"SI_109659"</f>
        <v>SI_109659</v>
      </c>
      <c r="M2920" s="84">
        <v>42186</v>
      </c>
      <c r="N2920" s="85">
        <f t="shared" si="888"/>
        <v>1626</v>
      </c>
      <c r="O2920" s="86">
        <f t="shared" si="889"/>
        <v>16543.920000000002</v>
      </c>
      <c r="P2920" s="86">
        <f t="shared" si="890"/>
        <v>0</v>
      </c>
      <c r="Q2920" s="86">
        <f t="shared" si="891"/>
        <v>0</v>
      </c>
      <c r="R2920" s="86">
        <f t="shared" si="892"/>
        <v>0</v>
      </c>
      <c r="S2920" s="86">
        <f t="shared" si="893"/>
        <v>0</v>
      </c>
      <c r="T2920" s="86">
        <f t="shared" si="894"/>
        <v>16543.920000000002</v>
      </c>
      <c r="U2920" s="87">
        <v>16543.920000000002</v>
      </c>
    </row>
    <row r="2921" spans="1:21" s="30" customFormat="1" ht="24.6" hidden="1" outlineLevel="1" x14ac:dyDescent="0.55000000000000004">
      <c r="A2921" s="27" t="s">
        <v>327</v>
      </c>
      <c r="B2921" s="28"/>
      <c r="C2921" s="27"/>
      <c r="D2921" s="27" t="str">
        <f>"""NAV Direct"",""CRONUS JetCorp USA"",""21"",""1"",""312335"""</f>
        <v>"NAV Direct","CRONUS JetCorp USA","21","1","312335"</v>
      </c>
      <c r="E2921" s="31">
        <f t="shared" si="887"/>
        <v>0</v>
      </c>
      <c r="F2921" s="31"/>
      <c r="G2921" s="31"/>
      <c r="H2921" s="31"/>
      <c r="I2921" s="56"/>
      <c r="J2921" s="56"/>
      <c r="K2921" s="82" t="str">
        <f t="shared" si="895"/>
        <v>Invoice</v>
      </c>
      <c r="L2921" s="83" t="str">
        <f>"SI_109669"</f>
        <v>SI_109669</v>
      </c>
      <c r="M2921" s="84">
        <v>42229</v>
      </c>
      <c r="N2921" s="85">
        <f t="shared" si="888"/>
        <v>1583</v>
      </c>
      <c r="O2921" s="86">
        <f t="shared" si="889"/>
        <v>17254.68</v>
      </c>
      <c r="P2921" s="86">
        <f t="shared" si="890"/>
        <v>0</v>
      </c>
      <c r="Q2921" s="86">
        <f t="shared" si="891"/>
        <v>0</v>
      </c>
      <c r="R2921" s="86">
        <f t="shared" si="892"/>
        <v>0</v>
      </c>
      <c r="S2921" s="86">
        <f t="shared" si="893"/>
        <v>0</v>
      </c>
      <c r="T2921" s="86">
        <f t="shared" si="894"/>
        <v>17254.68</v>
      </c>
      <c r="U2921" s="87">
        <v>17254.68</v>
      </c>
    </row>
    <row r="2922" spans="1:21" s="30" customFormat="1" ht="24.6" hidden="1" outlineLevel="1" x14ac:dyDescent="0.55000000000000004">
      <c r="A2922" s="27" t="s">
        <v>327</v>
      </c>
      <c r="B2922" s="28"/>
      <c r="C2922" s="27"/>
      <c r="D2922" s="27" t="str">
        <f>"""NAV Direct"",""CRONUS JetCorp USA"",""21"",""1"",""312461"""</f>
        <v>"NAV Direct","CRONUS JetCorp USA","21","1","312461"</v>
      </c>
      <c r="E2922" s="31" t="str">
        <f t="shared" si="887"/>
        <v>C100088</v>
      </c>
      <c r="F2922" s="31"/>
      <c r="G2922" s="31"/>
      <c r="H2922" s="31"/>
      <c r="I2922" s="56"/>
      <c r="J2922" s="56"/>
      <c r="K2922" s="82" t="str">
        <f t="shared" si="895"/>
        <v>Invoice</v>
      </c>
      <c r="L2922" s="83" t="str">
        <f>"SI_109673"</f>
        <v>SI_109673</v>
      </c>
      <c r="M2922" s="84">
        <v>42245</v>
      </c>
      <c r="N2922" s="85">
        <f t="shared" si="888"/>
        <v>1567</v>
      </c>
      <c r="O2922" s="86">
        <f t="shared" si="889"/>
        <v>17432.579999999998</v>
      </c>
      <c r="P2922" s="86">
        <f t="shared" si="890"/>
        <v>0</v>
      </c>
      <c r="Q2922" s="86">
        <f t="shared" si="891"/>
        <v>0</v>
      </c>
      <c r="R2922" s="86">
        <f t="shared" si="892"/>
        <v>0</v>
      </c>
      <c r="S2922" s="86">
        <f t="shared" si="893"/>
        <v>0</v>
      </c>
      <c r="T2922" s="86">
        <f t="shared" si="894"/>
        <v>17432.579999999998</v>
      </c>
      <c r="U2922" s="87">
        <v>17432.579999999998</v>
      </c>
    </row>
    <row r="2923" spans="1:21" s="30" customFormat="1" ht="24.6" hidden="1" outlineLevel="1" x14ac:dyDescent="0.55000000000000004">
      <c r="A2923" s="27" t="s">
        <v>327</v>
      </c>
      <c r="B2923" s="28"/>
      <c r="C2923" s="27"/>
      <c r="D2923" s="27" t="str">
        <f>"""NAV Direct"",""CRONUS JetCorp USA"",""21"",""1"",""312573"""</f>
        <v>"NAV Direct","CRONUS JetCorp USA","21","1","312573"</v>
      </c>
      <c r="E2923" s="31">
        <f t="shared" si="887"/>
        <v>0</v>
      </c>
      <c r="F2923" s="31"/>
      <c r="G2923" s="31"/>
      <c r="H2923" s="31"/>
      <c r="I2923" s="56"/>
      <c r="J2923" s="56"/>
      <c r="K2923" s="82" t="str">
        <f t="shared" si="895"/>
        <v>Invoice</v>
      </c>
      <c r="L2923" s="83" t="str">
        <f>"SI_109677"</f>
        <v>SI_109677</v>
      </c>
      <c r="M2923" s="84">
        <v>42278</v>
      </c>
      <c r="N2923" s="85">
        <f t="shared" si="888"/>
        <v>1534</v>
      </c>
      <c r="O2923" s="86">
        <f t="shared" si="889"/>
        <v>17256.07</v>
      </c>
      <c r="P2923" s="86">
        <f t="shared" si="890"/>
        <v>0</v>
      </c>
      <c r="Q2923" s="86">
        <f t="shared" si="891"/>
        <v>0</v>
      </c>
      <c r="R2923" s="86">
        <f t="shared" si="892"/>
        <v>0</v>
      </c>
      <c r="S2923" s="86">
        <f t="shared" si="893"/>
        <v>0</v>
      </c>
      <c r="T2923" s="86">
        <f t="shared" si="894"/>
        <v>17256.07</v>
      </c>
      <c r="U2923" s="87">
        <v>17256.07</v>
      </c>
    </row>
    <row r="2924" spans="1:21" s="30" customFormat="1" ht="24.6" hidden="1" outlineLevel="1" x14ac:dyDescent="0.55000000000000004">
      <c r="A2924" s="27" t="s">
        <v>327</v>
      </c>
      <c r="B2924" s="28"/>
      <c r="C2924" s="27"/>
      <c r="D2924" s="27" t="str">
        <f>"""NAV Direct"",""CRONUS JetCorp USA"",""21"",""1"",""312685"""</f>
        <v>"NAV Direct","CRONUS JetCorp USA","21","1","312685"</v>
      </c>
      <c r="E2924" s="31" t="str">
        <f t="shared" ref="E2924:E2927" si="896">E2922</f>
        <v>C100088</v>
      </c>
      <c r="F2924" s="31"/>
      <c r="G2924" s="31"/>
      <c r="H2924" s="31"/>
      <c r="I2924" s="56"/>
      <c r="J2924" s="56"/>
      <c r="K2924" s="82" t="str">
        <f t="shared" si="895"/>
        <v>Invoice</v>
      </c>
      <c r="L2924" s="83" t="str">
        <f>"SI_109681"</f>
        <v>SI_109681</v>
      </c>
      <c r="M2924" s="84">
        <v>42281</v>
      </c>
      <c r="N2924" s="85">
        <f t="shared" si="888"/>
        <v>1531</v>
      </c>
      <c r="O2924" s="86">
        <f t="shared" ref="O2924:O2927" si="897">SUM(P2924:T2924)</f>
        <v>16899.899999999998</v>
      </c>
      <c r="P2924" s="86">
        <f t="shared" si="890"/>
        <v>0</v>
      </c>
      <c r="Q2924" s="86">
        <f t="shared" si="891"/>
        <v>0</v>
      </c>
      <c r="R2924" s="86">
        <f t="shared" si="892"/>
        <v>0</v>
      </c>
      <c r="S2924" s="86">
        <f t="shared" si="893"/>
        <v>0</v>
      </c>
      <c r="T2924" s="86">
        <f t="shared" ref="T2924:T2927" si="898">IF($M2924&lt;=$T$18,U2924,0)</f>
        <v>16899.899999999998</v>
      </c>
      <c r="U2924" s="87">
        <v>16899.899999999998</v>
      </c>
    </row>
    <row r="2925" spans="1:21" s="30" customFormat="1" ht="24.6" hidden="1" outlineLevel="1" x14ac:dyDescent="0.55000000000000004">
      <c r="A2925" s="27" t="s">
        <v>327</v>
      </c>
      <c r="B2925" s="28"/>
      <c r="C2925" s="27"/>
      <c r="D2925" s="27" t="str">
        <f>"""NAV Direct"",""CRONUS JetCorp USA"",""21"",""1"",""312872"""</f>
        <v>"NAV Direct","CRONUS JetCorp USA","21","1","312872"</v>
      </c>
      <c r="E2925" s="31">
        <f t="shared" si="896"/>
        <v>0</v>
      </c>
      <c r="F2925" s="31"/>
      <c r="G2925" s="31"/>
      <c r="H2925" s="31"/>
      <c r="I2925" s="56"/>
      <c r="J2925" s="56"/>
      <c r="K2925" s="82" t="str">
        <f t="shared" si="895"/>
        <v>Invoice</v>
      </c>
      <c r="L2925" s="83" t="str">
        <f>"SI_109688"</f>
        <v>SI_109688</v>
      </c>
      <c r="M2925" s="84">
        <v>42317</v>
      </c>
      <c r="N2925" s="85">
        <f t="shared" si="888"/>
        <v>1495</v>
      </c>
      <c r="O2925" s="86">
        <f t="shared" si="897"/>
        <v>17254.89</v>
      </c>
      <c r="P2925" s="86">
        <f t="shared" si="890"/>
        <v>0</v>
      </c>
      <c r="Q2925" s="86">
        <f t="shared" si="891"/>
        <v>0</v>
      </c>
      <c r="R2925" s="86">
        <f t="shared" si="892"/>
        <v>0</v>
      </c>
      <c r="S2925" s="86">
        <f t="shared" si="893"/>
        <v>0</v>
      </c>
      <c r="T2925" s="86">
        <f t="shared" si="898"/>
        <v>17254.89</v>
      </c>
      <c r="U2925" s="87">
        <v>17254.89</v>
      </c>
    </row>
    <row r="2926" spans="1:21" s="30" customFormat="1" ht="24.6" hidden="1" outlineLevel="1" x14ac:dyDescent="0.55000000000000004">
      <c r="A2926" s="27" t="s">
        <v>327</v>
      </c>
      <c r="B2926" s="28"/>
      <c r="C2926" s="27"/>
      <c r="D2926" s="27" t="str">
        <f>"""NAV Direct"",""CRONUS JetCorp USA"",""21"",""1"",""313292"""</f>
        <v>"NAV Direct","CRONUS JetCorp USA","21","1","313292"</v>
      </c>
      <c r="E2926" s="31" t="str">
        <f t="shared" si="896"/>
        <v>C100088</v>
      </c>
      <c r="F2926" s="31"/>
      <c r="G2926" s="31"/>
      <c r="H2926" s="31"/>
      <c r="I2926" s="56"/>
      <c r="J2926" s="56"/>
      <c r="K2926" s="82" t="str">
        <f t="shared" si="895"/>
        <v>Invoice</v>
      </c>
      <c r="L2926" s="83" t="str">
        <f>"SI_109704"</f>
        <v>SI_109704</v>
      </c>
      <c r="M2926" s="84">
        <v>42368</v>
      </c>
      <c r="N2926" s="85">
        <f t="shared" si="888"/>
        <v>1444</v>
      </c>
      <c r="O2926" s="86">
        <f t="shared" si="897"/>
        <v>16543.52</v>
      </c>
      <c r="P2926" s="86">
        <f t="shared" si="890"/>
        <v>0</v>
      </c>
      <c r="Q2926" s="86">
        <f t="shared" si="891"/>
        <v>0</v>
      </c>
      <c r="R2926" s="86">
        <f t="shared" si="892"/>
        <v>0</v>
      </c>
      <c r="S2926" s="86">
        <f t="shared" si="893"/>
        <v>0</v>
      </c>
      <c r="T2926" s="86">
        <f t="shared" si="898"/>
        <v>16543.52</v>
      </c>
      <c r="U2926" s="87">
        <v>16543.52</v>
      </c>
    </row>
    <row r="2927" spans="1:21" s="30" customFormat="1" ht="24.6" hidden="1" outlineLevel="1" x14ac:dyDescent="0.55000000000000004">
      <c r="A2927" s="27" t="s">
        <v>327</v>
      </c>
      <c r="B2927" s="28"/>
      <c r="C2927" s="27"/>
      <c r="D2927" s="27" t="str">
        <f>"""NAV Direct"",""CRONUS JetCorp USA"",""21"",""1"",""313450"""</f>
        <v>"NAV Direct","CRONUS JetCorp USA","21","1","313450"</v>
      </c>
      <c r="E2927" s="31">
        <f t="shared" si="896"/>
        <v>0</v>
      </c>
      <c r="F2927" s="31"/>
      <c r="G2927" s="31"/>
      <c r="H2927" s="31"/>
      <c r="I2927" s="56"/>
      <c r="J2927" s="56"/>
      <c r="K2927" s="82" t="str">
        <f t="shared" si="895"/>
        <v>Invoice</v>
      </c>
      <c r="L2927" s="83" t="str">
        <f>"SI_109710"</f>
        <v>SI_109710</v>
      </c>
      <c r="M2927" s="84">
        <v>42743</v>
      </c>
      <c r="N2927" s="85">
        <f t="shared" si="888"/>
        <v>1069</v>
      </c>
      <c r="O2927" s="86">
        <f t="shared" si="897"/>
        <v>17255.469999999998</v>
      </c>
      <c r="P2927" s="86">
        <f t="shared" si="890"/>
        <v>0</v>
      </c>
      <c r="Q2927" s="86">
        <f t="shared" si="891"/>
        <v>0</v>
      </c>
      <c r="R2927" s="86">
        <f t="shared" si="892"/>
        <v>0</v>
      </c>
      <c r="S2927" s="86">
        <f t="shared" si="893"/>
        <v>0</v>
      </c>
      <c r="T2927" s="86">
        <f t="shared" si="898"/>
        <v>17255.469999999998</v>
      </c>
      <c r="U2927" s="87">
        <v>17255.469999999998</v>
      </c>
    </row>
    <row r="2928" spans="1:21" s="22" customFormat="1" ht="20.399999999999999" collapsed="1" x14ac:dyDescent="0.45">
      <c r="A2928" s="12" t="s">
        <v>327</v>
      </c>
      <c r="B2928" s="19"/>
      <c r="C2928" s="12"/>
      <c r="D2928" s="12"/>
      <c r="E2928" s="23"/>
      <c r="F2928" s="23"/>
      <c r="G2928" s="23"/>
      <c r="H2928" s="23"/>
      <c r="I2928" s="49"/>
      <c r="J2928" s="88"/>
      <c r="K2928" s="88"/>
      <c r="L2928" s="89"/>
      <c r="M2928" s="89"/>
      <c r="N2928" s="89"/>
      <c r="O2928" s="89"/>
      <c r="P2928" s="89"/>
      <c r="Q2928" s="90"/>
      <c r="R2928" s="90"/>
      <c r="S2928" s="91"/>
      <c r="T2928" s="92"/>
      <c r="U2928" s="92"/>
    </row>
    <row r="2929" spans="1:22" s="22" customFormat="1" ht="20.399999999999999" x14ac:dyDescent="0.45">
      <c r="A2929" s="12" t="s">
        <v>327</v>
      </c>
      <c r="B2929" s="19"/>
      <c r="C2929" s="12"/>
      <c r="D2929" s="12"/>
      <c r="E2929" s="23"/>
      <c r="F2929" s="23"/>
      <c r="G2929" s="23"/>
      <c r="H2929" s="23"/>
      <c r="I2929" s="49"/>
      <c r="J2929" s="88"/>
      <c r="K2929" s="88"/>
      <c r="L2929" s="89"/>
      <c r="M2929" s="89"/>
      <c r="N2929" s="89"/>
      <c r="O2929" s="89"/>
      <c r="P2929" s="89"/>
      <c r="Q2929" s="90"/>
      <c r="R2929" s="90"/>
      <c r="S2929" s="91"/>
      <c r="T2929" s="92"/>
      <c r="U2929" s="92"/>
    </row>
    <row r="2930" spans="1:22" s="26" customFormat="1" ht="24.6" x14ac:dyDescent="0.55000000000000004">
      <c r="A2930" s="27" t="s">
        <v>327</v>
      </c>
      <c r="B2930" s="28"/>
      <c r="C2930" s="27" t="str">
        <f>"""NAV Direct"",""CRONUS JetCorp USA"",""18"",""1"",""C100089"""</f>
        <v>"NAV Direct","CRONUS JetCorp USA","18","1","C100089"</v>
      </c>
      <c r="D2930" s="27"/>
      <c r="E2930" s="28" t="str">
        <f>H2930</f>
        <v>C100089</v>
      </c>
      <c r="F2930" s="28"/>
      <c r="G2930" s="28"/>
      <c r="H2930" s="28" t="str">
        <f>"C100089"</f>
        <v>C100089</v>
      </c>
      <c r="I2930" s="116" t="str">
        <f>"C100089  -  University of Oregon"</f>
        <v>C100089  -  University of Oregon</v>
      </c>
      <c r="J2930" s="117" t="str">
        <f>""</f>
        <v/>
      </c>
      <c r="K2930" s="118"/>
      <c r="L2930" s="119">
        <f>SUBTOTAL(3,L2931:L2977)</f>
        <v>43</v>
      </c>
      <c r="M2930" s="118"/>
      <c r="N2930" s="118"/>
      <c r="O2930" s="120">
        <f t="shared" ref="O2930:T2930" si="899">SUBTOTAL(9,O2931:O2977)</f>
        <v>348312.77</v>
      </c>
      <c r="P2930" s="120">
        <f t="shared" si="899"/>
        <v>0</v>
      </c>
      <c r="Q2930" s="120">
        <f t="shared" si="899"/>
        <v>13879.53</v>
      </c>
      <c r="R2930" s="120">
        <f t="shared" si="899"/>
        <v>-116.61000000000001</v>
      </c>
      <c r="S2930" s="120">
        <f t="shared" si="899"/>
        <v>-113.02000000000001</v>
      </c>
      <c r="T2930" s="120">
        <f t="shared" si="899"/>
        <v>334662.87</v>
      </c>
      <c r="U2930" s="81"/>
    </row>
    <row r="2931" spans="1:22" s="26" customFormat="1" ht="24.6" x14ac:dyDescent="0.55000000000000004">
      <c r="A2931" s="27" t="s">
        <v>327</v>
      </c>
      <c r="B2931" s="28"/>
      <c r="C2931" s="27" t="str">
        <f>C2930</f>
        <v>"NAV Direct","CRONUS JetCorp USA","18","1","C100089"</v>
      </c>
      <c r="D2931" s="27"/>
      <c r="E2931" s="28" t="str">
        <f>E2930</f>
        <v>C100089</v>
      </c>
      <c r="F2931" s="28"/>
      <c r="G2931" s="28"/>
      <c r="H2931" s="28"/>
      <c r="I2931" s="121" t="str">
        <f>"Contact: Sue Smith"</f>
        <v>Contact: Sue Smith</v>
      </c>
      <c r="J2931" s="121"/>
      <c r="K2931" s="122"/>
      <c r="L2931" s="123"/>
      <c r="M2931" s="123"/>
      <c r="N2931" s="124"/>
      <c r="O2931" s="124"/>
      <c r="P2931" s="123"/>
      <c r="Q2931" s="125"/>
      <c r="R2931" s="126"/>
      <c r="S2931" s="126"/>
      <c r="T2931" s="125"/>
      <c r="U2931" s="81"/>
    </row>
    <row r="2932" spans="1:22" s="26" customFormat="1" ht="24.6" x14ac:dyDescent="0.55000000000000004">
      <c r="A2932" s="27" t="s">
        <v>327</v>
      </c>
      <c r="B2932" s="28"/>
      <c r="C2932" s="27" t="str">
        <f>C2931</f>
        <v>"NAV Direct","CRONUS JetCorp USA","18","1","C100089"</v>
      </c>
      <c r="D2932" s="27"/>
      <c r="E2932" s="28" t="str">
        <f>E2931</f>
        <v>C100089</v>
      </c>
      <c r="F2932" s="28"/>
      <c r="G2932" s="28"/>
      <c r="H2932" s="28"/>
      <c r="I2932" s="121" t="str">
        <f>"University of Oregon@Cronus.com"</f>
        <v>University of Oregon@Cronus.com</v>
      </c>
      <c r="J2932" s="121"/>
      <c r="K2932" s="122"/>
      <c r="L2932" s="124"/>
      <c r="M2932" s="124"/>
      <c r="N2932" s="124"/>
      <c r="O2932" s="124"/>
      <c r="P2932" s="123"/>
      <c r="Q2932" s="125"/>
      <c r="R2932" s="126"/>
      <c r="S2932" s="126"/>
      <c r="T2932" s="125"/>
      <c r="U2932" s="81"/>
    </row>
    <row r="2933" spans="1:22" ht="12.75" hidden="1" customHeight="1" outlineLevel="1" x14ac:dyDescent="0.45">
      <c r="A2933" s="12" t="s">
        <v>328</v>
      </c>
      <c r="B2933" s="19"/>
      <c r="E2933" s="19"/>
      <c r="F2933" s="19"/>
      <c r="G2933" s="19"/>
      <c r="H2933" s="19"/>
      <c r="I2933" s="61"/>
      <c r="J2933" s="61"/>
      <c r="K2933" s="61"/>
      <c r="L2933" s="61"/>
      <c r="M2933" s="61"/>
      <c r="N2933" s="61"/>
      <c r="O2933" s="61"/>
      <c r="P2933" s="61"/>
      <c r="Q2933" s="61"/>
      <c r="R2933" s="61"/>
      <c r="S2933" s="61"/>
      <c r="T2933" s="61"/>
      <c r="U2933" s="61"/>
      <c r="V2933" s="21"/>
    </row>
    <row r="2934" spans="1:22" s="30" customFormat="1" ht="24.6" hidden="1" outlineLevel="1" x14ac:dyDescent="0.55000000000000004">
      <c r="A2934" s="27" t="s">
        <v>327</v>
      </c>
      <c r="B2934" s="28"/>
      <c r="C2934" s="27"/>
      <c r="D2934" s="27" t="str">
        <f>"""NAV Direct"",""CRONUS JetCorp USA"",""21"",""1"",""153763"""</f>
        <v>"NAV Direct","CRONUS JetCorp USA","21","1","153763"</v>
      </c>
      <c r="E2934" s="31" t="str">
        <f t="shared" ref="E2934:E2976" si="900">E2932</f>
        <v>C100089</v>
      </c>
      <c r="F2934" s="31"/>
      <c r="G2934" s="31"/>
      <c r="H2934" s="31"/>
      <c r="I2934" s="56"/>
      <c r="J2934" s="56"/>
      <c r="K2934" s="82" t="str">
        <f t="shared" ref="K2934:K2966" si="901">"Invoice"</f>
        <v>Invoice</v>
      </c>
      <c r="L2934" s="83" t="str">
        <f>"SI_107366"</f>
        <v>SI_107366</v>
      </c>
      <c r="M2934" s="84">
        <v>42331</v>
      </c>
      <c r="N2934" s="85">
        <f t="shared" ref="N2934:N2976" si="902">StartDate-$M2934+1</f>
        <v>1481</v>
      </c>
      <c r="O2934" s="86">
        <f t="shared" ref="O2934:O2976" si="903">SUM(P2934:T2934)</f>
        <v>14629.32</v>
      </c>
      <c r="P2934" s="86">
        <f t="shared" ref="P2934:P2976" si="904">IF($M2934&gt;=$P$18,U2934,0)</f>
        <v>0</v>
      </c>
      <c r="Q2934" s="86">
        <f t="shared" ref="Q2934:Q2976" si="905">IF(AND($M2934&gt;=$Q$16,$M2934&lt;=$Q$18),U2934,0)</f>
        <v>0</v>
      </c>
      <c r="R2934" s="86">
        <f t="shared" ref="R2934:R2976" si="906">IF(AND($M2934&gt;=$R$16,$M2934&lt;=$R$18),U2934,0)</f>
        <v>0</v>
      </c>
      <c r="S2934" s="86">
        <f t="shared" ref="S2934:S2976" si="907">IF(AND($M2934&gt;=$S$16,$M2934&lt;=$S$18),U2934,0)</f>
        <v>0</v>
      </c>
      <c r="T2934" s="86">
        <f t="shared" ref="T2934:T2976" si="908">IF($M2934&lt;=$T$18,U2934,0)</f>
        <v>14629.32</v>
      </c>
      <c r="U2934" s="87">
        <v>14629.32</v>
      </c>
    </row>
    <row r="2935" spans="1:22" s="30" customFormat="1" ht="24.6" hidden="1" outlineLevel="1" x14ac:dyDescent="0.55000000000000004">
      <c r="A2935" s="27" t="s">
        <v>327</v>
      </c>
      <c r="B2935" s="28"/>
      <c r="C2935" s="27"/>
      <c r="D2935" s="27" t="str">
        <f>"""NAV Direct"",""CRONUS JetCorp USA"",""21"",""1"",""153917"""</f>
        <v>"NAV Direct","CRONUS JetCorp USA","21","1","153917"</v>
      </c>
      <c r="E2935" s="31">
        <f t="shared" si="900"/>
        <v>0</v>
      </c>
      <c r="F2935" s="31"/>
      <c r="G2935" s="31"/>
      <c r="H2935" s="31"/>
      <c r="I2935" s="56"/>
      <c r="J2935" s="56"/>
      <c r="K2935" s="82" t="str">
        <f t="shared" si="901"/>
        <v>Invoice</v>
      </c>
      <c r="L2935" s="83" t="str">
        <f>"SI_107368"</f>
        <v>SI_107368</v>
      </c>
      <c r="M2935" s="84">
        <v>42348</v>
      </c>
      <c r="N2935" s="85">
        <f t="shared" si="902"/>
        <v>1464</v>
      </c>
      <c r="O2935" s="86">
        <f t="shared" si="903"/>
        <v>12763.14</v>
      </c>
      <c r="P2935" s="86">
        <f t="shared" si="904"/>
        <v>0</v>
      </c>
      <c r="Q2935" s="86">
        <f t="shared" si="905"/>
        <v>0</v>
      </c>
      <c r="R2935" s="86">
        <f t="shared" si="906"/>
        <v>0</v>
      </c>
      <c r="S2935" s="86">
        <f t="shared" si="907"/>
        <v>0</v>
      </c>
      <c r="T2935" s="86">
        <f t="shared" si="908"/>
        <v>12763.14</v>
      </c>
      <c r="U2935" s="87">
        <v>12763.14</v>
      </c>
    </row>
    <row r="2936" spans="1:22" s="30" customFormat="1" ht="24.6" hidden="1" outlineLevel="1" x14ac:dyDescent="0.55000000000000004">
      <c r="A2936" s="27" t="s">
        <v>327</v>
      </c>
      <c r="B2936" s="28"/>
      <c r="C2936" s="27"/>
      <c r="D2936" s="27" t="str">
        <f>"""NAV Direct"",""CRONUS JetCorp USA"",""21"",""1"",""402694"""</f>
        <v>"NAV Direct","CRONUS JetCorp USA","21","1","402694"</v>
      </c>
      <c r="E2936" s="31" t="str">
        <f t="shared" si="900"/>
        <v>C100089</v>
      </c>
      <c r="F2936" s="31"/>
      <c r="G2936" s="31"/>
      <c r="H2936" s="31"/>
      <c r="I2936" s="56"/>
      <c r="J2936" s="56"/>
      <c r="K2936" s="82" t="str">
        <f t="shared" si="901"/>
        <v>Invoice</v>
      </c>
      <c r="L2936" s="83" t="str">
        <f>"SI_112299"</f>
        <v>SI_112299</v>
      </c>
      <c r="M2936" s="84">
        <v>42538</v>
      </c>
      <c r="N2936" s="85">
        <f t="shared" si="902"/>
        <v>1274</v>
      </c>
      <c r="O2936" s="86">
        <f t="shared" si="903"/>
        <v>8607.33</v>
      </c>
      <c r="P2936" s="86">
        <f t="shared" si="904"/>
        <v>0</v>
      </c>
      <c r="Q2936" s="86">
        <f t="shared" si="905"/>
        <v>0</v>
      </c>
      <c r="R2936" s="86">
        <f t="shared" si="906"/>
        <v>0</v>
      </c>
      <c r="S2936" s="86">
        <f t="shared" si="907"/>
        <v>0</v>
      </c>
      <c r="T2936" s="86">
        <f t="shared" si="908"/>
        <v>8607.33</v>
      </c>
      <c r="U2936" s="87">
        <v>8607.33</v>
      </c>
    </row>
    <row r="2937" spans="1:22" s="30" customFormat="1" ht="24.6" hidden="1" outlineLevel="1" x14ac:dyDescent="0.55000000000000004">
      <c r="A2937" s="27" t="s">
        <v>327</v>
      </c>
      <c r="B2937" s="28"/>
      <c r="C2937" s="27"/>
      <c r="D2937" s="27" t="str">
        <f>"""NAV Direct"",""CRONUS JetCorp USA"",""21"",""1"",""403046"""</f>
        <v>"NAV Direct","CRONUS JetCorp USA","21","1","403046"</v>
      </c>
      <c r="E2937" s="31">
        <f t="shared" si="900"/>
        <v>0</v>
      </c>
      <c r="F2937" s="31"/>
      <c r="G2937" s="31"/>
      <c r="H2937" s="31"/>
      <c r="I2937" s="56"/>
      <c r="J2937" s="56"/>
      <c r="K2937" s="82" t="str">
        <f t="shared" si="901"/>
        <v>Invoice</v>
      </c>
      <c r="L2937" s="83" t="str">
        <f>"SI_112307"</f>
        <v>SI_112307</v>
      </c>
      <c r="M2937" s="84">
        <v>42609</v>
      </c>
      <c r="N2937" s="85">
        <f t="shared" si="902"/>
        <v>1203</v>
      </c>
      <c r="O2937" s="86">
        <f t="shared" si="903"/>
        <v>8787.4399999999987</v>
      </c>
      <c r="P2937" s="86">
        <f t="shared" si="904"/>
        <v>0</v>
      </c>
      <c r="Q2937" s="86">
        <f t="shared" si="905"/>
        <v>0</v>
      </c>
      <c r="R2937" s="86">
        <f t="shared" si="906"/>
        <v>0</v>
      </c>
      <c r="S2937" s="86">
        <f t="shared" si="907"/>
        <v>0</v>
      </c>
      <c r="T2937" s="86">
        <f t="shared" si="908"/>
        <v>8787.4399999999987</v>
      </c>
      <c r="U2937" s="87">
        <v>8787.4399999999987</v>
      </c>
    </row>
    <row r="2938" spans="1:22" s="30" customFormat="1" ht="24.6" hidden="1" outlineLevel="1" x14ac:dyDescent="0.55000000000000004">
      <c r="A2938" s="27" t="s">
        <v>327</v>
      </c>
      <c r="B2938" s="28"/>
      <c r="C2938" s="27"/>
      <c r="D2938" s="27" t="str">
        <f>"""NAV Direct"",""CRONUS JetCorp USA"",""21"",""1"",""403156"""</f>
        <v>"NAV Direct","CRONUS JetCorp USA","21","1","403156"</v>
      </c>
      <c r="E2938" s="31" t="str">
        <f t="shared" si="900"/>
        <v>C100089</v>
      </c>
      <c r="F2938" s="31"/>
      <c r="G2938" s="31"/>
      <c r="H2938" s="31"/>
      <c r="I2938" s="56"/>
      <c r="J2938" s="56"/>
      <c r="K2938" s="82" t="str">
        <f t="shared" si="901"/>
        <v>Invoice</v>
      </c>
      <c r="L2938" s="83" t="str">
        <f>"SI_112310"</f>
        <v>SI_112310</v>
      </c>
      <c r="M2938" s="84">
        <v>42624</v>
      </c>
      <c r="N2938" s="85">
        <f t="shared" si="902"/>
        <v>1188</v>
      </c>
      <c r="O2938" s="86">
        <f t="shared" si="903"/>
        <v>8796.23</v>
      </c>
      <c r="P2938" s="86">
        <f t="shared" si="904"/>
        <v>0</v>
      </c>
      <c r="Q2938" s="86">
        <f t="shared" si="905"/>
        <v>0</v>
      </c>
      <c r="R2938" s="86">
        <f t="shared" si="906"/>
        <v>0</v>
      </c>
      <c r="S2938" s="86">
        <f t="shared" si="907"/>
        <v>0</v>
      </c>
      <c r="T2938" s="86">
        <f t="shared" si="908"/>
        <v>8796.23</v>
      </c>
      <c r="U2938" s="87">
        <v>8796.23</v>
      </c>
    </row>
    <row r="2939" spans="1:22" s="30" customFormat="1" ht="24.6" hidden="1" outlineLevel="1" x14ac:dyDescent="0.55000000000000004">
      <c r="A2939" s="27" t="s">
        <v>327</v>
      </c>
      <c r="B2939" s="28"/>
      <c r="C2939" s="27"/>
      <c r="D2939" s="27" t="str">
        <f>"""NAV Direct"",""CRONUS JetCorp USA"",""21"",""1"",""403195"""</f>
        <v>"NAV Direct","CRONUS JetCorp USA","21","1","403195"</v>
      </c>
      <c r="E2939" s="31">
        <f t="shared" si="900"/>
        <v>0</v>
      </c>
      <c r="F2939" s="31"/>
      <c r="G2939" s="31"/>
      <c r="H2939" s="31"/>
      <c r="I2939" s="56"/>
      <c r="J2939" s="56"/>
      <c r="K2939" s="82" t="str">
        <f t="shared" si="901"/>
        <v>Invoice</v>
      </c>
      <c r="L2939" s="83" t="str">
        <f>"SI_112311"</f>
        <v>SI_112311</v>
      </c>
      <c r="M2939" s="84">
        <v>42642</v>
      </c>
      <c r="N2939" s="85">
        <f t="shared" si="902"/>
        <v>1170</v>
      </c>
      <c r="O2939" s="86">
        <f t="shared" si="903"/>
        <v>8616.73</v>
      </c>
      <c r="P2939" s="86">
        <f t="shared" si="904"/>
        <v>0</v>
      </c>
      <c r="Q2939" s="86">
        <f t="shared" si="905"/>
        <v>0</v>
      </c>
      <c r="R2939" s="86">
        <f t="shared" si="906"/>
        <v>0</v>
      </c>
      <c r="S2939" s="86">
        <f t="shared" si="907"/>
        <v>0</v>
      </c>
      <c r="T2939" s="86">
        <f t="shared" si="908"/>
        <v>8616.73</v>
      </c>
      <c r="U2939" s="87">
        <v>8616.73</v>
      </c>
    </row>
    <row r="2940" spans="1:22" s="30" customFormat="1" ht="24.6" hidden="1" outlineLevel="1" x14ac:dyDescent="0.55000000000000004">
      <c r="A2940" s="27" t="s">
        <v>327</v>
      </c>
      <c r="B2940" s="28"/>
      <c r="C2940" s="27"/>
      <c r="D2940" s="27" t="str">
        <f>"""NAV Direct"",""CRONUS JetCorp USA"",""21"",""1"",""403501"""</f>
        <v>"NAV Direct","CRONUS JetCorp USA","21","1","403501"</v>
      </c>
      <c r="E2940" s="31" t="str">
        <f t="shared" si="900"/>
        <v>C100089</v>
      </c>
      <c r="F2940" s="31"/>
      <c r="G2940" s="31"/>
      <c r="H2940" s="31"/>
      <c r="I2940" s="56"/>
      <c r="J2940" s="56"/>
      <c r="K2940" s="82" t="str">
        <f t="shared" si="901"/>
        <v>Invoice</v>
      </c>
      <c r="L2940" s="83" t="str">
        <f>"SI_112317"</f>
        <v>SI_112317</v>
      </c>
      <c r="M2940" s="84">
        <v>42669</v>
      </c>
      <c r="N2940" s="85">
        <f t="shared" si="902"/>
        <v>1143</v>
      </c>
      <c r="O2940" s="86">
        <f t="shared" si="903"/>
        <v>8889.2800000000007</v>
      </c>
      <c r="P2940" s="86">
        <f t="shared" si="904"/>
        <v>0</v>
      </c>
      <c r="Q2940" s="86">
        <f t="shared" si="905"/>
        <v>0</v>
      </c>
      <c r="R2940" s="86">
        <f t="shared" si="906"/>
        <v>0</v>
      </c>
      <c r="S2940" s="86">
        <f t="shared" si="907"/>
        <v>0</v>
      </c>
      <c r="T2940" s="86">
        <f t="shared" si="908"/>
        <v>8889.2800000000007</v>
      </c>
      <c r="U2940" s="87">
        <v>8889.2800000000007</v>
      </c>
    </row>
    <row r="2941" spans="1:22" s="30" customFormat="1" ht="24.6" hidden="1" outlineLevel="1" x14ac:dyDescent="0.55000000000000004">
      <c r="A2941" s="27" t="s">
        <v>327</v>
      </c>
      <c r="B2941" s="28"/>
      <c r="C2941" s="27"/>
      <c r="D2941" s="27" t="str">
        <f>"""NAV Direct"",""CRONUS JetCorp USA"",""21"",""1"",""404438"""</f>
        <v>"NAV Direct","CRONUS JetCorp USA","21","1","404438"</v>
      </c>
      <c r="E2941" s="31">
        <f t="shared" si="900"/>
        <v>0</v>
      </c>
      <c r="F2941" s="31"/>
      <c r="G2941" s="31"/>
      <c r="H2941" s="31"/>
      <c r="I2941" s="56"/>
      <c r="J2941" s="56"/>
      <c r="K2941" s="82" t="str">
        <f t="shared" si="901"/>
        <v>Invoice</v>
      </c>
      <c r="L2941" s="83" t="str">
        <f>"SI_112337"</f>
        <v>SI_112337</v>
      </c>
      <c r="M2941" s="84">
        <v>42811</v>
      </c>
      <c r="N2941" s="85">
        <f t="shared" si="902"/>
        <v>1001</v>
      </c>
      <c r="O2941" s="86">
        <f t="shared" si="903"/>
        <v>12815.470000000001</v>
      </c>
      <c r="P2941" s="86">
        <f t="shared" si="904"/>
        <v>0</v>
      </c>
      <c r="Q2941" s="86">
        <f t="shared" si="905"/>
        <v>0</v>
      </c>
      <c r="R2941" s="86">
        <f t="shared" si="906"/>
        <v>0</v>
      </c>
      <c r="S2941" s="86">
        <f t="shared" si="907"/>
        <v>0</v>
      </c>
      <c r="T2941" s="86">
        <f t="shared" si="908"/>
        <v>12815.470000000001</v>
      </c>
      <c r="U2941" s="87">
        <v>12815.470000000001</v>
      </c>
    </row>
    <row r="2942" spans="1:22" s="30" customFormat="1" ht="24.6" hidden="1" outlineLevel="1" x14ac:dyDescent="0.55000000000000004">
      <c r="A2942" s="27" t="s">
        <v>327</v>
      </c>
      <c r="B2942" s="28"/>
      <c r="C2942" s="27"/>
      <c r="D2942" s="27" t="str">
        <f>"""NAV Direct"",""CRONUS JetCorp USA"",""21"",""1"",""404880"""</f>
        <v>"NAV Direct","CRONUS JetCorp USA","21","1","404880"</v>
      </c>
      <c r="E2942" s="31" t="str">
        <f t="shared" si="900"/>
        <v>C100089</v>
      </c>
      <c r="F2942" s="31"/>
      <c r="G2942" s="31"/>
      <c r="H2942" s="31"/>
      <c r="I2942" s="56"/>
      <c r="J2942" s="56"/>
      <c r="K2942" s="82" t="str">
        <f t="shared" si="901"/>
        <v>Invoice</v>
      </c>
      <c r="L2942" s="83" t="str">
        <f>"SI_112346"</f>
        <v>SI_112346</v>
      </c>
      <c r="M2942" s="84">
        <v>42873</v>
      </c>
      <c r="N2942" s="85">
        <f t="shared" si="902"/>
        <v>939</v>
      </c>
      <c r="O2942" s="86">
        <f t="shared" si="903"/>
        <v>9936.91</v>
      </c>
      <c r="P2942" s="86">
        <f t="shared" si="904"/>
        <v>0</v>
      </c>
      <c r="Q2942" s="86">
        <f t="shared" si="905"/>
        <v>0</v>
      </c>
      <c r="R2942" s="86">
        <f t="shared" si="906"/>
        <v>0</v>
      </c>
      <c r="S2942" s="86">
        <f t="shared" si="907"/>
        <v>0</v>
      </c>
      <c r="T2942" s="86">
        <f t="shared" si="908"/>
        <v>9936.91</v>
      </c>
      <c r="U2942" s="87">
        <v>9936.91</v>
      </c>
    </row>
    <row r="2943" spans="1:22" s="30" customFormat="1" ht="24.6" hidden="1" outlineLevel="1" x14ac:dyDescent="0.55000000000000004">
      <c r="A2943" s="27" t="s">
        <v>327</v>
      </c>
      <c r="B2943" s="28"/>
      <c r="C2943" s="27"/>
      <c r="D2943" s="27" t="str">
        <f>"""NAV Direct"",""CRONUS JetCorp USA"",""21"",""1"",""405041"""</f>
        <v>"NAV Direct","CRONUS JetCorp USA","21","1","405041"</v>
      </c>
      <c r="E2943" s="31">
        <f t="shared" si="900"/>
        <v>0</v>
      </c>
      <c r="F2943" s="31"/>
      <c r="G2943" s="31"/>
      <c r="H2943" s="31"/>
      <c r="I2943" s="56"/>
      <c r="J2943" s="56"/>
      <c r="K2943" s="82" t="str">
        <f t="shared" si="901"/>
        <v>Invoice</v>
      </c>
      <c r="L2943" s="83" t="str">
        <f>"SI_112349"</f>
        <v>SI_112349</v>
      </c>
      <c r="M2943" s="84">
        <v>42900</v>
      </c>
      <c r="N2943" s="85">
        <f t="shared" si="902"/>
        <v>912</v>
      </c>
      <c r="O2943" s="86">
        <f t="shared" si="903"/>
        <v>10115.730000000001</v>
      </c>
      <c r="P2943" s="86">
        <f t="shared" si="904"/>
        <v>0</v>
      </c>
      <c r="Q2943" s="86">
        <f t="shared" si="905"/>
        <v>0</v>
      </c>
      <c r="R2943" s="86">
        <f t="shared" si="906"/>
        <v>0</v>
      </c>
      <c r="S2943" s="86">
        <f t="shared" si="907"/>
        <v>0</v>
      </c>
      <c r="T2943" s="86">
        <f t="shared" si="908"/>
        <v>10115.730000000001</v>
      </c>
      <c r="U2943" s="87">
        <v>10115.730000000001</v>
      </c>
    </row>
    <row r="2944" spans="1:22" s="30" customFormat="1" ht="24.6" hidden="1" outlineLevel="1" x14ac:dyDescent="0.55000000000000004">
      <c r="A2944" s="27" t="s">
        <v>327</v>
      </c>
      <c r="B2944" s="28"/>
      <c r="C2944" s="27"/>
      <c r="D2944" s="27" t="str">
        <f>"""NAV Direct"",""CRONUS JetCorp USA"",""21"",""1"",""405145"""</f>
        <v>"NAV Direct","CRONUS JetCorp USA","21","1","405145"</v>
      </c>
      <c r="E2944" s="31" t="str">
        <f t="shared" si="900"/>
        <v>C100089</v>
      </c>
      <c r="F2944" s="31"/>
      <c r="G2944" s="31"/>
      <c r="H2944" s="31"/>
      <c r="I2944" s="56"/>
      <c r="J2944" s="56"/>
      <c r="K2944" s="82" t="str">
        <f t="shared" si="901"/>
        <v>Invoice</v>
      </c>
      <c r="L2944" s="83" t="str">
        <f>"SI_112351"</f>
        <v>SI_112351</v>
      </c>
      <c r="M2944" s="84">
        <v>42904</v>
      </c>
      <c r="N2944" s="85">
        <f t="shared" si="902"/>
        <v>908</v>
      </c>
      <c r="O2944" s="86">
        <f t="shared" si="903"/>
        <v>10012.68</v>
      </c>
      <c r="P2944" s="86">
        <f t="shared" si="904"/>
        <v>0</v>
      </c>
      <c r="Q2944" s="86">
        <f t="shared" si="905"/>
        <v>0</v>
      </c>
      <c r="R2944" s="86">
        <f t="shared" si="906"/>
        <v>0</v>
      </c>
      <c r="S2944" s="86">
        <f t="shared" si="907"/>
        <v>0</v>
      </c>
      <c r="T2944" s="86">
        <f t="shared" si="908"/>
        <v>10012.68</v>
      </c>
      <c r="U2944" s="87">
        <v>10012.68</v>
      </c>
    </row>
    <row r="2945" spans="1:21" s="30" customFormat="1" ht="24.6" hidden="1" outlineLevel="1" x14ac:dyDescent="0.55000000000000004">
      <c r="A2945" s="27" t="s">
        <v>327</v>
      </c>
      <c r="B2945" s="28"/>
      <c r="C2945" s="27"/>
      <c r="D2945" s="27" t="str">
        <f>"""NAV Direct"",""CRONUS JetCorp USA"",""21"",""1"",""405384"""</f>
        <v>"NAV Direct","CRONUS JetCorp USA","21","1","405384"</v>
      </c>
      <c r="E2945" s="31">
        <f t="shared" si="900"/>
        <v>0</v>
      </c>
      <c r="F2945" s="31"/>
      <c r="G2945" s="31"/>
      <c r="H2945" s="31"/>
      <c r="I2945" s="56"/>
      <c r="J2945" s="56"/>
      <c r="K2945" s="82" t="str">
        <f t="shared" si="901"/>
        <v>Invoice</v>
      </c>
      <c r="L2945" s="83" t="str">
        <f>"SI_112356"</f>
        <v>SI_112356</v>
      </c>
      <c r="M2945" s="84">
        <v>42965</v>
      </c>
      <c r="N2945" s="85">
        <f t="shared" si="902"/>
        <v>847</v>
      </c>
      <c r="O2945" s="86">
        <f t="shared" si="903"/>
        <v>8084.1100000000006</v>
      </c>
      <c r="P2945" s="86">
        <f t="shared" si="904"/>
        <v>0</v>
      </c>
      <c r="Q2945" s="86">
        <f t="shared" si="905"/>
        <v>0</v>
      </c>
      <c r="R2945" s="86">
        <f t="shared" si="906"/>
        <v>0</v>
      </c>
      <c r="S2945" s="86">
        <f t="shared" si="907"/>
        <v>0</v>
      </c>
      <c r="T2945" s="86">
        <f t="shared" si="908"/>
        <v>8084.1100000000006</v>
      </c>
      <c r="U2945" s="87">
        <v>8084.1100000000006</v>
      </c>
    </row>
    <row r="2946" spans="1:21" s="30" customFormat="1" ht="24.6" hidden="1" outlineLevel="1" x14ac:dyDescent="0.55000000000000004">
      <c r="A2946" s="27" t="s">
        <v>327</v>
      </c>
      <c r="B2946" s="28"/>
      <c r="C2946" s="27"/>
      <c r="D2946" s="27" t="str">
        <f>"""NAV Direct"",""CRONUS JetCorp USA"",""21"",""1"",""406184"""</f>
        <v>"NAV Direct","CRONUS JetCorp USA","21","1","406184"</v>
      </c>
      <c r="E2946" s="31" t="str">
        <f t="shared" si="900"/>
        <v>C100089</v>
      </c>
      <c r="F2946" s="31"/>
      <c r="G2946" s="31"/>
      <c r="H2946" s="31"/>
      <c r="I2946" s="56"/>
      <c r="J2946" s="56"/>
      <c r="K2946" s="82" t="str">
        <f t="shared" si="901"/>
        <v>Invoice</v>
      </c>
      <c r="L2946" s="83" t="str">
        <f>"SI_112375"</f>
        <v>SI_112375</v>
      </c>
      <c r="M2946" s="84">
        <v>43175</v>
      </c>
      <c r="N2946" s="85">
        <f t="shared" si="902"/>
        <v>637</v>
      </c>
      <c r="O2946" s="86">
        <f t="shared" si="903"/>
        <v>7744.4800000000005</v>
      </c>
      <c r="P2946" s="86">
        <f t="shared" si="904"/>
        <v>0</v>
      </c>
      <c r="Q2946" s="86">
        <f t="shared" si="905"/>
        <v>0</v>
      </c>
      <c r="R2946" s="86">
        <f t="shared" si="906"/>
        <v>0</v>
      </c>
      <c r="S2946" s="86">
        <f t="shared" si="907"/>
        <v>0</v>
      </c>
      <c r="T2946" s="86">
        <f t="shared" si="908"/>
        <v>7744.4800000000005</v>
      </c>
      <c r="U2946" s="87">
        <v>7744.4800000000005</v>
      </c>
    </row>
    <row r="2947" spans="1:21" s="30" customFormat="1" ht="24.6" hidden="1" outlineLevel="1" x14ac:dyDescent="0.55000000000000004">
      <c r="A2947" s="27" t="s">
        <v>327</v>
      </c>
      <c r="B2947" s="28"/>
      <c r="C2947" s="27"/>
      <c r="D2947" s="27" t="str">
        <f>"""NAV Direct"",""CRONUS JetCorp USA"",""21"",""1"",""406360"""</f>
        <v>"NAV Direct","CRONUS JetCorp USA","21","1","406360"</v>
      </c>
      <c r="E2947" s="31">
        <f t="shared" si="900"/>
        <v>0</v>
      </c>
      <c r="F2947" s="31"/>
      <c r="G2947" s="31"/>
      <c r="H2947" s="31"/>
      <c r="I2947" s="56"/>
      <c r="J2947" s="56"/>
      <c r="K2947" s="82" t="str">
        <f t="shared" si="901"/>
        <v>Invoice</v>
      </c>
      <c r="L2947" s="83" t="str">
        <f>"SI_112379"</f>
        <v>SI_112379</v>
      </c>
      <c r="M2947" s="84">
        <v>43243</v>
      </c>
      <c r="N2947" s="85">
        <f t="shared" si="902"/>
        <v>569</v>
      </c>
      <c r="O2947" s="86">
        <f t="shared" si="903"/>
        <v>7875.73</v>
      </c>
      <c r="P2947" s="86">
        <f t="shared" si="904"/>
        <v>0</v>
      </c>
      <c r="Q2947" s="86">
        <f t="shared" si="905"/>
        <v>0</v>
      </c>
      <c r="R2947" s="86">
        <f t="shared" si="906"/>
        <v>0</v>
      </c>
      <c r="S2947" s="86">
        <f t="shared" si="907"/>
        <v>0</v>
      </c>
      <c r="T2947" s="86">
        <f t="shared" si="908"/>
        <v>7875.73</v>
      </c>
      <c r="U2947" s="87">
        <v>7875.73</v>
      </c>
    </row>
    <row r="2948" spans="1:21" s="30" customFormat="1" ht="24.6" hidden="1" outlineLevel="1" x14ac:dyDescent="0.55000000000000004">
      <c r="A2948" s="27" t="s">
        <v>327</v>
      </c>
      <c r="B2948" s="28"/>
      <c r="C2948" s="27"/>
      <c r="D2948" s="27" t="str">
        <f>"""NAV Direct"",""CRONUS JetCorp USA"",""21"",""1"",""407082"""</f>
        <v>"NAV Direct","CRONUS JetCorp USA","21","1","407082"</v>
      </c>
      <c r="E2948" s="31" t="str">
        <f t="shared" si="900"/>
        <v>C100089</v>
      </c>
      <c r="F2948" s="31"/>
      <c r="G2948" s="31"/>
      <c r="H2948" s="31"/>
      <c r="I2948" s="56"/>
      <c r="J2948" s="56"/>
      <c r="K2948" s="82" t="str">
        <f t="shared" si="901"/>
        <v>Invoice</v>
      </c>
      <c r="L2948" s="83" t="str">
        <f>"SI_112394"</f>
        <v>SI_112394</v>
      </c>
      <c r="M2948" s="84">
        <v>43383</v>
      </c>
      <c r="N2948" s="85">
        <f t="shared" si="902"/>
        <v>429</v>
      </c>
      <c r="O2948" s="86">
        <f t="shared" si="903"/>
        <v>11919.95</v>
      </c>
      <c r="P2948" s="86">
        <f t="shared" si="904"/>
        <v>0</v>
      </c>
      <c r="Q2948" s="86">
        <f t="shared" si="905"/>
        <v>0</v>
      </c>
      <c r="R2948" s="86">
        <f t="shared" si="906"/>
        <v>0</v>
      </c>
      <c r="S2948" s="86">
        <f t="shared" si="907"/>
        <v>0</v>
      </c>
      <c r="T2948" s="86">
        <f t="shared" si="908"/>
        <v>11919.95</v>
      </c>
      <c r="U2948" s="87">
        <v>11919.95</v>
      </c>
    </row>
    <row r="2949" spans="1:21" s="30" customFormat="1" ht="24.6" hidden="1" outlineLevel="1" x14ac:dyDescent="0.55000000000000004">
      <c r="A2949" s="27" t="s">
        <v>327</v>
      </c>
      <c r="B2949" s="28"/>
      <c r="C2949" s="27"/>
      <c r="D2949" s="27" t="str">
        <f>"""NAV Direct"",""CRONUS JetCorp USA"",""21"",""1"",""407308"""</f>
        <v>"NAV Direct","CRONUS JetCorp USA","21","1","407308"</v>
      </c>
      <c r="E2949" s="31">
        <f t="shared" si="900"/>
        <v>0</v>
      </c>
      <c r="F2949" s="31"/>
      <c r="G2949" s="31"/>
      <c r="H2949" s="31"/>
      <c r="I2949" s="56"/>
      <c r="J2949" s="56"/>
      <c r="K2949" s="82" t="str">
        <f t="shared" si="901"/>
        <v>Invoice</v>
      </c>
      <c r="L2949" s="83" t="str">
        <f>"SI_112398"</f>
        <v>SI_112398</v>
      </c>
      <c r="M2949" s="84">
        <v>43403</v>
      </c>
      <c r="N2949" s="85">
        <f t="shared" si="902"/>
        <v>409</v>
      </c>
      <c r="O2949" s="86">
        <f t="shared" si="903"/>
        <v>12042.89</v>
      </c>
      <c r="P2949" s="86">
        <f t="shared" si="904"/>
        <v>0</v>
      </c>
      <c r="Q2949" s="86">
        <f t="shared" si="905"/>
        <v>0</v>
      </c>
      <c r="R2949" s="86">
        <f t="shared" si="906"/>
        <v>0</v>
      </c>
      <c r="S2949" s="86">
        <f t="shared" si="907"/>
        <v>0</v>
      </c>
      <c r="T2949" s="86">
        <f t="shared" si="908"/>
        <v>12042.89</v>
      </c>
      <c r="U2949" s="87">
        <v>12042.89</v>
      </c>
    </row>
    <row r="2950" spans="1:21" s="30" customFormat="1" ht="24.6" hidden="1" outlineLevel="1" x14ac:dyDescent="0.55000000000000004">
      <c r="A2950" s="27" t="s">
        <v>327</v>
      </c>
      <c r="B2950" s="28"/>
      <c r="C2950" s="27"/>
      <c r="D2950" s="27" t="str">
        <f>"""NAV Direct"",""CRONUS JetCorp USA"",""21"",""1"",""407824"""</f>
        <v>"NAV Direct","CRONUS JetCorp USA","21","1","407824"</v>
      </c>
      <c r="E2950" s="31" t="str">
        <f t="shared" si="900"/>
        <v>C100089</v>
      </c>
      <c r="F2950" s="31"/>
      <c r="G2950" s="31"/>
      <c r="H2950" s="31"/>
      <c r="I2950" s="56"/>
      <c r="J2950" s="56"/>
      <c r="K2950" s="82" t="str">
        <f t="shared" si="901"/>
        <v>Invoice</v>
      </c>
      <c r="L2950" s="83" t="str">
        <f>"SI_112408"</f>
        <v>SI_112408</v>
      </c>
      <c r="M2950" s="84">
        <v>43507</v>
      </c>
      <c r="N2950" s="85">
        <f t="shared" si="902"/>
        <v>305</v>
      </c>
      <c r="O2950" s="86">
        <f t="shared" si="903"/>
        <v>11216.85</v>
      </c>
      <c r="P2950" s="86">
        <f t="shared" si="904"/>
        <v>0</v>
      </c>
      <c r="Q2950" s="86">
        <f t="shared" si="905"/>
        <v>0</v>
      </c>
      <c r="R2950" s="86">
        <f t="shared" si="906"/>
        <v>0</v>
      </c>
      <c r="S2950" s="86">
        <f t="shared" si="907"/>
        <v>0</v>
      </c>
      <c r="T2950" s="86">
        <f t="shared" si="908"/>
        <v>11216.85</v>
      </c>
      <c r="U2950" s="87">
        <v>11216.85</v>
      </c>
    </row>
    <row r="2951" spans="1:21" s="30" customFormat="1" ht="24.6" hidden="1" outlineLevel="1" x14ac:dyDescent="0.55000000000000004">
      <c r="A2951" s="27" t="s">
        <v>327</v>
      </c>
      <c r="B2951" s="28"/>
      <c r="C2951" s="27"/>
      <c r="D2951" s="27" t="str">
        <f>"""NAV Direct"",""CRONUS JetCorp USA"",""21"",""1"",""407874"""</f>
        <v>"NAV Direct","CRONUS JetCorp USA","21","1","407874"</v>
      </c>
      <c r="E2951" s="31">
        <f t="shared" si="900"/>
        <v>0</v>
      </c>
      <c r="F2951" s="31"/>
      <c r="G2951" s="31"/>
      <c r="H2951" s="31"/>
      <c r="I2951" s="56"/>
      <c r="J2951" s="56"/>
      <c r="K2951" s="82" t="str">
        <f t="shared" si="901"/>
        <v>Invoice</v>
      </c>
      <c r="L2951" s="83" t="str">
        <f>"SI_112409"</f>
        <v>SI_112409</v>
      </c>
      <c r="M2951" s="84">
        <v>43510</v>
      </c>
      <c r="N2951" s="85">
        <f t="shared" si="902"/>
        <v>302</v>
      </c>
      <c r="O2951" s="86">
        <f t="shared" si="903"/>
        <v>11216.76</v>
      </c>
      <c r="P2951" s="86">
        <f t="shared" si="904"/>
        <v>0</v>
      </c>
      <c r="Q2951" s="86">
        <f t="shared" si="905"/>
        <v>0</v>
      </c>
      <c r="R2951" s="86">
        <f t="shared" si="906"/>
        <v>0</v>
      </c>
      <c r="S2951" s="86">
        <f t="shared" si="907"/>
        <v>0</v>
      </c>
      <c r="T2951" s="86">
        <f t="shared" si="908"/>
        <v>11216.76</v>
      </c>
      <c r="U2951" s="87">
        <v>11216.76</v>
      </c>
    </row>
    <row r="2952" spans="1:21" s="30" customFormat="1" ht="24.6" hidden="1" outlineLevel="1" x14ac:dyDescent="0.55000000000000004">
      <c r="A2952" s="27" t="s">
        <v>327</v>
      </c>
      <c r="B2952" s="28"/>
      <c r="C2952" s="27"/>
      <c r="D2952" s="27" t="str">
        <f>"""NAV Direct"",""CRONUS JetCorp USA"",""21"",""1"",""409004"""</f>
        <v>"NAV Direct","CRONUS JetCorp USA","21","1","409004"</v>
      </c>
      <c r="E2952" s="31" t="str">
        <f t="shared" si="900"/>
        <v>C100089</v>
      </c>
      <c r="F2952" s="31"/>
      <c r="G2952" s="31"/>
      <c r="H2952" s="31"/>
      <c r="I2952" s="56"/>
      <c r="J2952" s="56"/>
      <c r="K2952" s="82" t="str">
        <f t="shared" si="901"/>
        <v>Invoice</v>
      </c>
      <c r="L2952" s="83" t="str">
        <f>"SI_112432"</f>
        <v>SI_112432</v>
      </c>
      <c r="M2952" s="84">
        <v>43686</v>
      </c>
      <c r="N2952" s="85">
        <f t="shared" si="902"/>
        <v>126</v>
      </c>
      <c r="O2952" s="86">
        <f t="shared" si="903"/>
        <v>9946.82</v>
      </c>
      <c r="P2952" s="86">
        <f t="shared" si="904"/>
        <v>0</v>
      </c>
      <c r="Q2952" s="86">
        <f t="shared" si="905"/>
        <v>0</v>
      </c>
      <c r="R2952" s="86">
        <f t="shared" si="906"/>
        <v>0</v>
      </c>
      <c r="S2952" s="86">
        <f t="shared" si="907"/>
        <v>0</v>
      </c>
      <c r="T2952" s="86">
        <f t="shared" si="908"/>
        <v>9946.82</v>
      </c>
      <c r="U2952" s="87">
        <v>9946.82</v>
      </c>
    </row>
    <row r="2953" spans="1:21" s="30" customFormat="1" ht="24.6" hidden="1" outlineLevel="1" x14ac:dyDescent="0.55000000000000004">
      <c r="A2953" s="27" t="s">
        <v>327</v>
      </c>
      <c r="B2953" s="28"/>
      <c r="C2953" s="27"/>
      <c r="D2953" s="27" t="str">
        <f>"""NAV Direct"",""CRONUS JetCorp USA"",""21"",""1"",""409999"""</f>
        <v>"NAV Direct","CRONUS JetCorp USA","21","1","409999"</v>
      </c>
      <c r="E2953" s="31">
        <f t="shared" si="900"/>
        <v>0</v>
      </c>
      <c r="F2953" s="31"/>
      <c r="G2953" s="31"/>
      <c r="H2953" s="31"/>
      <c r="I2953" s="56"/>
      <c r="J2953" s="56"/>
      <c r="K2953" s="82" t="str">
        <f t="shared" si="901"/>
        <v>Invoice</v>
      </c>
      <c r="L2953" s="83" t="str">
        <f>"SI_112451"</f>
        <v>SI_112451</v>
      </c>
      <c r="M2953" s="84">
        <v>43792</v>
      </c>
      <c r="N2953" s="85">
        <f t="shared" si="902"/>
        <v>20</v>
      </c>
      <c r="O2953" s="86">
        <f t="shared" si="903"/>
        <v>13879.53</v>
      </c>
      <c r="P2953" s="86">
        <f t="shared" si="904"/>
        <v>0</v>
      </c>
      <c r="Q2953" s="86">
        <f t="shared" si="905"/>
        <v>13879.53</v>
      </c>
      <c r="R2953" s="86">
        <f t="shared" si="906"/>
        <v>0</v>
      </c>
      <c r="S2953" s="86">
        <f t="shared" si="907"/>
        <v>0</v>
      </c>
      <c r="T2953" s="86">
        <f t="shared" si="908"/>
        <v>0</v>
      </c>
      <c r="U2953" s="87">
        <v>13879.53</v>
      </c>
    </row>
    <row r="2954" spans="1:21" s="30" customFormat="1" ht="24.6" hidden="1" outlineLevel="1" x14ac:dyDescent="0.55000000000000004">
      <c r="A2954" s="27" t="s">
        <v>327</v>
      </c>
      <c r="B2954" s="28"/>
      <c r="C2954" s="27"/>
      <c r="D2954" s="27" t="str">
        <f>"""NAV Direct"",""CRONUS JetCorp USA"",""21"",""1"",""410286"""</f>
        <v>"NAV Direct","CRONUS JetCorp USA","21","1","410286"</v>
      </c>
      <c r="E2954" s="31" t="str">
        <f t="shared" si="900"/>
        <v>C100089</v>
      </c>
      <c r="F2954" s="31"/>
      <c r="G2954" s="31"/>
      <c r="H2954" s="31"/>
      <c r="I2954" s="56"/>
      <c r="J2954" s="56"/>
      <c r="K2954" s="82" t="str">
        <f t="shared" si="901"/>
        <v>Invoice</v>
      </c>
      <c r="L2954" s="83" t="str">
        <f>"SI_112456"</f>
        <v>SI_112456</v>
      </c>
      <c r="M2954" s="84">
        <v>42017</v>
      </c>
      <c r="N2954" s="85">
        <f t="shared" si="902"/>
        <v>1795</v>
      </c>
      <c r="O2954" s="86">
        <f t="shared" si="903"/>
        <v>12759.74</v>
      </c>
      <c r="P2954" s="86">
        <f t="shared" si="904"/>
        <v>0</v>
      </c>
      <c r="Q2954" s="86">
        <f t="shared" si="905"/>
        <v>0</v>
      </c>
      <c r="R2954" s="86">
        <f t="shared" si="906"/>
        <v>0</v>
      </c>
      <c r="S2954" s="86">
        <f t="shared" si="907"/>
        <v>0</v>
      </c>
      <c r="T2954" s="86">
        <f t="shared" si="908"/>
        <v>12759.74</v>
      </c>
      <c r="U2954" s="87">
        <v>12759.74</v>
      </c>
    </row>
    <row r="2955" spans="1:21" s="30" customFormat="1" ht="24.6" hidden="1" outlineLevel="1" x14ac:dyDescent="0.55000000000000004">
      <c r="A2955" s="27" t="s">
        <v>327</v>
      </c>
      <c r="B2955" s="28"/>
      <c r="C2955" s="27"/>
      <c r="D2955" s="27" t="str">
        <f>"""NAV Direct"",""CRONUS JetCorp USA"",""21"",""1"",""411086"""</f>
        <v>"NAV Direct","CRONUS JetCorp USA","21","1","411086"</v>
      </c>
      <c r="E2955" s="31">
        <f t="shared" si="900"/>
        <v>0</v>
      </c>
      <c r="F2955" s="31"/>
      <c r="G2955" s="31"/>
      <c r="H2955" s="31"/>
      <c r="I2955" s="56"/>
      <c r="J2955" s="56"/>
      <c r="K2955" s="82" t="str">
        <f t="shared" si="901"/>
        <v>Invoice</v>
      </c>
      <c r="L2955" s="83" t="str">
        <f>"SI_112470"</f>
        <v>SI_112470</v>
      </c>
      <c r="M2955" s="84">
        <v>42085</v>
      </c>
      <c r="N2955" s="85">
        <f t="shared" si="902"/>
        <v>1727</v>
      </c>
      <c r="O2955" s="86">
        <f t="shared" si="903"/>
        <v>13179.960000000001</v>
      </c>
      <c r="P2955" s="86">
        <f t="shared" si="904"/>
        <v>0</v>
      </c>
      <c r="Q2955" s="86">
        <f t="shared" si="905"/>
        <v>0</v>
      </c>
      <c r="R2955" s="86">
        <f t="shared" si="906"/>
        <v>0</v>
      </c>
      <c r="S2955" s="86">
        <f t="shared" si="907"/>
        <v>0</v>
      </c>
      <c r="T2955" s="86">
        <f t="shared" si="908"/>
        <v>13179.960000000001</v>
      </c>
      <c r="U2955" s="87">
        <v>13179.960000000001</v>
      </c>
    </row>
    <row r="2956" spans="1:21" s="30" customFormat="1" ht="24.6" hidden="1" outlineLevel="1" x14ac:dyDescent="0.55000000000000004">
      <c r="A2956" s="27" t="s">
        <v>327</v>
      </c>
      <c r="B2956" s="28"/>
      <c r="C2956" s="27"/>
      <c r="D2956" s="27" t="str">
        <f>"""NAV Direct"",""CRONUS JetCorp USA"",""21"",""1"",""411830"""</f>
        <v>"NAV Direct","CRONUS JetCorp USA","21","1","411830"</v>
      </c>
      <c r="E2956" s="31" t="str">
        <f t="shared" si="900"/>
        <v>C100089</v>
      </c>
      <c r="F2956" s="31"/>
      <c r="G2956" s="31"/>
      <c r="H2956" s="31"/>
      <c r="I2956" s="56"/>
      <c r="J2956" s="56"/>
      <c r="K2956" s="82" t="str">
        <f t="shared" si="901"/>
        <v>Invoice</v>
      </c>
      <c r="L2956" s="83" t="str">
        <f>"SI_112482"</f>
        <v>SI_112482</v>
      </c>
      <c r="M2956" s="84">
        <v>42138</v>
      </c>
      <c r="N2956" s="85">
        <f t="shared" si="902"/>
        <v>1674</v>
      </c>
      <c r="O2956" s="86">
        <f t="shared" si="903"/>
        <v>8577.24</v>
      </c>
      <c r="P2956" s="86">
        <f t="shared" si="904"/>
        <v>0</v>
      </c>
      <c r="Q2956" s="86">
        <f t="shared" si="905"/>
        <v>0</v>
      </c>
      <c r="R2956" s="86">
        <f t="shared" si="906"/>
        <v>0</v>
      </c>
      <c r="S2956" s="86">
        <f t="shared" si="907"/>
        <v>0</v>
      </c>
      <c r="T2956" s="86">
        <f t="shared" si="908"/>
        <v>8577.24</v>
      </c>
      <c r="U2956" s="87">
        <v>8577.24</v>
      </c>
    </row>
    <row r="2957" spans="1:21" s="30" customFormat="1" ht="24.6" hidden="1" outlineLevel="1" x14ac:dyDescent="0.55000000000000004">
      <c r="A2957" s="27" t="s">
        <v>327</v>
      </c>
      <c r="B2957" s="28"/>
      <c r="C2957" s="27"/>
      <c r="D2957" s="27" t="str">
        <f>"""NAV Direct"",""CRONUS JetCorp USA"",""21"",""1"",""411979"""</f>
        <v>"NAV Direct","CRONUS JetCorp USA","21","1","411979"</v>
      </c>
      <c r="E2957" s="31">
        <f t="shared" si="900"/>
        <v>0</v>
      </c>
      <c r="F2957" s="31"/>
      <c r="G2957" s="31"/>
      <c r="H2957" s="31"/>
      <c r="I2957" s="56"/>
      <c r="J2957" s="56"/>
      <c r="K2957" s="82" t="str">
        <f t="shared" si="901"/>
        <v>Invoice</v>
      </c>
      <c r="L2957" s="83" t="str">
        <f>"SI_112485"</f>
        <v>SI_112485</v>
      </c>
      <c r="M2957" s="84">
        <v>42143</v>
      </c>
      <c r="N2957" s="85">
        <f t="shared" si="902"/>
        <v>1669</v>
      </c>
      <c r="O2957" s="86">
        <f t="shared" si="903"/>
        <v>7924.64</v>
      </c>
      <c r="P2957" s="86">
        <f t="shared" si="904"/>
        <v>0</v>
      </c>
      <c r="Q2957" s="86">
        <f t="shared" si="905"/>
        <v>0</v>
      </c>
      <c r="R2957" s="86">
        <f t="shared" si="906"/>
        <v>0</v>
      </c>
      <c r="S2957" s="86">
        <f t="shared" si="907"/>
        <v>0</v>
      </c>
      <c r="T2957" s="86">
        <f t="shared" si="908"/>
        <v>7924.64</v>
      </c>
      <c r="U2957" s="87">
        <v>7924.64</v>
      </c>
    </row>
    <row r="2958" spans="1:21" s="30" customFormat="1" ht="24.6" hidden="1" outlineLevel="1" x14ac:dyDescent="0.55000000000000004">
      <c r="A2958" s="27" t="s">
        <v>327</v>
      </c>
      <c r="B2958" s="28"/>
      <c r="C2958" s="27"/>
      <c r="D2958" s="27" t="str">
        <f>"""NAV Direct"",""CRONUS JetCorp USA"",""21"",""1"",""412120"""</f>
        <v>"NAV Direct","CRONUS JetCorp USA","21","1","412120"</v>
      </c>
      <c r="E2958" s="31" t="str">
        <f t="shared" si="900"/>
        <v>C100089</v>
      </c>
      <c r="F2958" s="31"/>
      <c r="G2958" s="31"/>
      <c r="H2958" s="31"/>
      <c r="I2958" s="56"/>
      <c r="J2958" s="56"/>
      <c r="K2958" s="82" t="str">
        <f t="shared" si="901"/>
        <v>Invoice</v>
      </c>
      <c r="L2958" s="83" t="str">
        <f>"SI_112488"</f>
        <v>SI_112488</v>
      </c>
      <c r="M2958" s="84">
        <v>42168</v>
      </c>
      <c r="N2958" s="85">
        <f t="shared" si="902"/>
        <v>1644</v>
      </c>
      <c r="O2958" s="86">
        <f t="shared" si="903"/>
        <v>9341.7800000000007</v>
      </c>
      <c r="P2958" s="86">
        <f t="shared" si="904"/>
        <v>0</v>
      </c>
      <c r="Q2958" s="86">
        <f t="shared" si="905"/>
        <v>0</v>
      </c>
      <c r="R2958" s="86">
        <f t="shared" si="906"/>
        <v>0</v>
      </c>
      <c r="S2958" s="86">
        <f t="shared" si="907"/>
        <v>0</v>
      </c>
      <c r="T2958" s="86">
        <f t="shared" si="908"/>
        <v>9341.7800000000007</v>
      </c>
      <c r="U2958" s="87">
        <v>9341.7800000000007</v>
      </c>
    </row>
    <row r="2959" spans="1:21" s="30" customFormat="1" ht="24.6" hidden="1" outlineLevel="1" x14ac:dyDescent="0.55000000000000004">
      <c r="A2959" s="27" t="s">
        <v>327</v>
      </c>
      <c r="B2959" s="28"/>
      <c r="C2959" s="27"/>
      <c r="D2959" s="27" t="str">
        <f>"""NAV Direct"",""CRONUS JetCorp USA"",""21"",""1"",""412454"""</f>
        <v>"NAV Direct","CRONUS JetCorp USA","21","1","412454"</v>
      </c>
      <c r="E2959" s="31">
        <f t="shared" si="900"/>
        <v>0</v>
      </c>
      <c r="F2959" s="31"/>
      <c r="G2959" s="31"/>
      <c r="H2959" s="31"/>
      <c r="I2959" s="56"/>
      <c r="J2959" s="56"/>
      <c r="K2959" s="82" t="str">
        <f t="shared" si="901"/>
        <v>Invoice</v>
      </c>
      <c r="L2959" s="83" t="str">
        <f>"SI_112494"</f>
        <v>SI_112494</v>
      </c>
      <c r="M2959" s="84">
        <v>42198</v>
      </c>
      <c r="N2959" s="85">
        <f t="shared" si="902"/>
        <v>1614</v>
      </c>
      <c r="O2959" s="86">
        <f t="shared" si="903"/>
        <v>9606.5</v>
      </c>
      <c r="P2959" s="86">
        <f t="shared" si="904"/>
        <v>0</v>
      </c>
      <c r="Q2959" s="86">
        <f t="shared" si="905"/>
        <v>0</v>
      </c>
      <c r="R2959" s="86">
        <f t="shared" si="906"/>
        <v>0</v>
      </c>
      <c r="S2959" s="86">
        <f t="shared" si="907"/>
        <v>0</v>
      </c>
      <c r="T2959" s="86">
        <f t="shared" si="908"/>
        <v>9606.5</v>
      </c>
      <c r="U2959" s="87">
        <v>9606.5</v>
      </c>
    </row>
    <row r="2960" spans="1:21" s="30" customFormat="1" ht="24.6" hidden="1" outlineLevel="1" x14ac:dyDescent="0.55000000000000004">
      <c r="A2960" s="27" t="s">
        <v>327</v>
      </c>
      <c r="B2960" s="28"/>
      <c r="C2960" s="27"/>
      <c r="D2960" s="27" t="str">
        <f>"""NAV Direct"",""CRONUS JetCorp USA"",""21"",""1"",""412497"""</f>
        <v>"NAV Direct","CRONUS JetCorp USA","21","1","412497"</v>
      </c>
      <c r="E2960" s="31" t="str">
        <f t="shared" si="900"/>
        <v>C100089</v>
      </c>
      <c r="F2960" s="31"/>
      <c r="G2960" s="31"/>
      <c r="H2960" s="31"/>
      <c r="I2960" s="56"/>
      <c r="J2960" s="56"/>
      <c r="K2960" s="82" t="str">
        <f t="shared" si="901"/>
        <v>Invoice</v>
      </c>
      <c r="L2960" s="83" t="str">
        <f>"SI_112495"</f>
        <v>SI_112495</v>
      </c>
      <c r="M2960" s="84">
        <v>42204</v>
      </c>
      <c r="N2960" s="85">
        <f t="shared" si="902"/>
        <v>1608</v>
      </c>
      <c r="O2960" s="86">
        <f t="shared" si="903"/>
        <v>9606.56</v>
      </c>
      <c r="P2960" s="86">
        <f t="shared" si="904"/>
        <v>0</v>
      </c>
      <c r="Q2960" s="86">
        <f t="shared" si="905"/>
        <v>0</v>
      </c>
      <c r="R2960" s="86">
        <f t="shared" si="906"/>
        <v>0</v>
      </c>
      <c r="S2960" s="86">
        <f t="shared" si="907"/>
        <v>0</v>
      </c>
      <c r="T2960" s="86">
        <f t="shared" si="908"/>
        <v>9606.56</v>
      </c>
      <c r="U2960" s="87">
        <v>9606.56</v>
      </c>
    </row>
    <row r="2961" spans="1:21" s="30" customFormat="1" ht="24.6" hidden="1" outlineLevel="1" x14ac:dyDescent="0.55000000000000004">
      <c r="A2961" s="27" t="s">
        <v>327</v>
      </c>
      <c r="B2961" s="28"/>
      <c r="C2961" s="27"/>
      <c r="D2961" s="27" t="str">
        <f>"""NAV Direct"",""CRONUS JetCorp USA"",""21"",""1"",""412546"""</f>
        <v>"NAV Direct","CRONUS JetCorp USA","21","1","412546"</v>
      </c>
      <c r="E2961" s="31">
        <f t="shared" si="900"/>
        <v>0</v>
      </c>
      <c r="F2961" s="31"/>
      <c r="G2961" s="31"/>
      <c r="H2961" s="31"/>
      <c r="I2961" s="56"/>
      <c r="J2961" s="56"/>
      <c r="K2961" s="82" t="str">
        <f t="shared" si="901"/>
        <v>Invoice</v>
      </c>
      <c r="L2961" s="83" t="str">
        <f>"SI_112496"</f>
        <v>SI_112496</v>
      </c>
      <c r="M2961" s="84">
        <v>42203</v>
      </c>
      <c r="N2961" s="85">
        <f t="shared" si="902"/>
        <v>1609</v>
      </c>
      <c r="O2961" s="86">
        <f t="shared" si="903"/>
        <v>9910.06</v>
      </c>
      <c r="P2961" s="86">
        <f t="shared" si="904"/>
        <v>0</v>
      </c>
      <c r="Q2961" s="86">
        <f t="shared" si="905"/>
        <v>0</v>
      </c>
      <c r="R2961" s="86">
        <f t="shared" si="906"/>
        <v>0</v>
      </c>
      <c r="S2961" s="86">
        <f t="shared" si="907"/>
        <v>0</v>
      </c>
      <c r="T2961" s="86">
        <f t="shared" si="908"/>
        <v>9910.06</v>
      </c>
      <c r="U2961" s="87">
        <v>9910.06</v>
      </c>
    </row>
    <row r="2962" spans="1:21" s="30" customFormat="1" ht="24.6" hidden="1" outlineLevel="1" x14ac:dyDescent="0.55000000000000004">
      <c r="A2962" s="27" t="s">
        <v>327</v>
      </c>
      <c r="B2962" s="28"/>
      <c r="C2962" s="27"/>
      <c r="D2962" s="27" t="str">
        <f>"""NAV Direct"",""CRONUS JetCorp USA"",""21"",""1"",""413117"""</f>
        <v>"NAV Direct","CRONUS JetCorp USA","21","1","413117"</v>
      </c>
      <c r="E2962" s="31" t="str">
        <f t="shared" si="900"/>
        <v>C100089</v>
      </c>
      <c r="F2962" s="31"/>
      <c r="G2962" s="31"/>
      <c r="H2962" s="31"/>
      <c r="I2962" s="56"/>
      <c r="J2962" s="56"/>
      <c r="K2962" s="82" t="str">
        <f t="shared" si="901"/>
        <v>Invoice</v>
      </c>
      <c r="L2962" s="83" t="str">
        <f>"SI_112507"</f>
        <v>SI_112507</v>
      </c>
      <c r="M2962" s="84">
        <v>42267</v>
      </c>
      <c r="N2962" s="85">
        <f t="shared" si="902"/>
        <v>1545</v>
      </c>
      <c r="O2962" s="86">
        <f t="shared" si="903"/>
        <v>11666.11</v>
      </c>
      <c r="P2962" s="86">
        <f t="shared" si="904"/>
        <v>0</v>
      </c>
      <c r="Q2962" s="86">
        <f t="shared" si="905"/>
        <v>0</v>
      </c>
      <c r="R2962" s="86">
        <f t="shared" si="906"/>
        <v>0</v>
      </c>
      <c r="S2962" s="86">
        <f t="shared" si="907"/>
        <v>0</v>
      </c>
      <c r="T2962" s="86">
        <f t="shared" si="908"/>
        <v>11666.11</v>
      </c>
      <c r="U2962" s="87">
        <v>11666.11</v>
      </c>
    </row>
    <row r="2963" spans="1:21" s="30" customFormat="1" ht="24.6" hidden="1" outlineLevel="1" x14ac:dyDescent="0.55000000000000004">
      <c r="A2963" s="27" t="s">
        <v>327</v>
      </c>
      <c r="B2963" s="28"/>
      <c r="C2963" s="27"/>
      <c r="D2963" s="27" t="str">
        <f>"""NAV Direct"",""CRONUS JetCorp USA"",""21"",""1"",""413158"""</f>
        <v>"NAV Direct","CRONUS JetCorp USA","21","1","413158"</v>
      </c>
      <c r="E2963" s="31">
        <f t="shared" si="900"/>
        <v>0</v>
      </c>
      <c r="F2963" s="31"/>
      <c r="G2963" s="31"/>
      <c r="H2963" s="31"/>
      <c r="I2963" s="56"/>
      <c r="J2963" s="56"/>
      <c r="K2963" s="82" t="str">
        <f t="shared" si="901"/>
        <v>Invoice</v>
      </c>
      <c r="L2963" s="83" t="str">
        <f>"SI_112508"</f>
        <v>SI_112508</v>
      </c>
      <c r="M2963" s="84">
        <v>42270</v>
      </c>
      <c r="N2963" s="85">
        <f t="shared" si="902"/>
        <v>1542</v>
      </c>
      <c r="O2963" s="86">
        <f t="shared" si="903"/>
        <v>10951.8</v>
      </c>
      <c r="P2963" s="86">
        <f t="shared" si="904"/>
        <v>0</v>
      </c>
      <c r="Q2963" s="86">
        <f t="shared" si="905"/>
        <v>0</v>
      </c>
      <c r="R2963" s="86">
        <f t="shared" si="906"/>
        <v>0</v>
      </c>
      <c r="S2963" s="86">
        <f t="shared" si="907"/>
        <v>0</v>
      </c>
      <c r="T2963" s="86">
        <f t="shared" si="908"/>
        <v>10951.8</v>
      </c>
      <c r="U2963" s="87">
        <v>10951.8</v>
      </c>
    </row>
    <row r="2964" spans="1:21" s="30" customFormat="1" ht="24.6" hidden="1" outlineLevel="1" x14ac:dyDescent="0.55000000000000004">
      <c r="A2964" s="27" t="s">
        <v>327</v>
      </c>
      <c r="B2964" s="28"/>
      <c r="C2964" s="27"/>
      <c r="D2964" s="27" t="str">
        <f>"""NAV Direct"",""CRONUS JetCorp USA"",""21"",""1"",""413215"""</f>
        <v>"NAV Direct","CRONUS JetCorp USA","21","1","413215"</v>
      </c>
      <c r="E2964" s="31" t="str">
        <f t="shared" si="900"/>
        <v>C100089</v>
      </c>
      <c r="F2964" s="31"/>
      <c r="G2964" s="31"/>
      <c r="H2964" s="31"/>
      <c r="I2964" s="56"/>
      <c r="J2964" s="56"/>
      <c r="K2964" s="82" t="str">
        <f t="shared" si="901"/>
        <v>Invoice</v>
      </c>
      <c r="L2964" s="83" t="str">
        <f>"SI_112509"</f>
        <v>SI_112509</v>
      </c>
      <c r="M2964" s="84">
        <v>42269</v>
      </c>
      <c r="N2964" s="85">
        <f t="shared" si="902"/>
        <v>1543</v>
      </c>
      <c r="O2964" s="86">
        <f t="shared" si="903"/>
        <v>10713.720000000001</v>
      </c>
      <c r="P2964" s="86">
        <f t="shared" si="904"/>
        <v>0</v>
      </c>
      <c r="Q2964" s="86">
        <f t="shared" si="905"/>
        <v>0</v>
      </c>
      <c r="R2964" s="86">
        <f t="shared" si="906"/>
        <v>0</v>
      </c>
      <c r="S2964" s="86">
        <f t="shared" si="907"/>
        <v>0</v>
      </c>
      <c r="T2964" s="86">
        <f t="shared" si="908"/>
        <v>10713.720000000001</v>
      </c>
      <c r="U2964" s="87">
        <v>10713.720000000001</v>
      </c>
    </row>
    <row r="2965" spans="1:21" s="30" customFormat="1" ht="24.6" hidden="1" outlineLevel="1" x14ac:dyDescent="0.55000000000000004">
      <c r="A2965" s="27" t="s">
        <v>327</v>
      </c>
      <c r="B2965" s="28"/>
      <c r="C2965" s="27"/>
      <c r="D2965" s="27" t="str">
        <f>"""NAV Direct"",""CRONUS JetCorp USA"",""21"",""1"",""413436"""</f>
        <v>"NAV Direct","CRONUS JetCorp USA","21","1","413436"</v>
      </c>
      <c r="E2965" s="31">
        <f t="shared" si="900"/>
        <v>0</v>
      </c>
      <c r="F2965" s="31"/>
      <c r="G2965" s="31"/>
      <c r="H2965" s="31"/>
      <c r="I2965" s="56"/>
      <c r="J2965" s="56"/>
      <c r="K2965" s="82" t="str">
        <f t="shared" si="901"/>
        <v>Invoice</v>
      </c>
      <c r="L2965" s="83" t="str">
        <f>"SI_112513"</f>
        <v>SI_112513</v>
      </c>
      <c r="M2965" s="84">
        <v>42294</v>
      </c>
      <c r="N2965" s="85">
        <f t="shared" si="902"/>
        <v>1518</v>
      </c>
      <c r="O2965" s="86">
        <f t="shared" si="903"/>
        <v>12570.789999999999</v>
      </c>
      <c r="P2965" s="86">
        <f t="shared" si="904"/>
        <v>0</v>
      </c>
      <c r="Q2965" s="86">
        <f t="shared" si="905"/>
        <v>0</v>
      </c>
      <c r="R2965" s="86">
        <f t="shared" si="906"/>
        <v>0</v>
      </c>
      <c r="S2965" s="86">
        <f t="shared" si="907"/>
        <v>0</v>
      </c>
      <c r="T2965" s="86">
        <f t="shared" si="908"/>
        <v>12570.789999999999</v>
      </c>
      <c r="U2965" s="87">
        <v>12570.789999999999</v>
      </c>
    </row>
    <row r="2966" spans="1:21" s="30" customFormat="1" ht="24.6" hidden="1" outlineLevel="1" x14ac:dyDescent="0.55000000000000004">
      <c r="A2966" s="27" t="s">
        <v>327</v>
      </c>
      <c r="B2966" s="28"/>
      <c r="C2966" s="27"/>
      <c r="D2966" s="27" t="str">
        <f>"""NAV Direct"",""CRONUS JetCorp USA"",""21"",""1"",""413711"""</f>
        <v>"NAV Direct","CRONUS JetCorp USA","21","1","413711"</v>
      </c>
      <c r="E2966" s="31" t="str">
        <f t="shared" si="900"/>
        <v>C100089</v>
      </c>
      <c r="F2966" s="31"/>
      <c r="G2966" s="31"/>
      <c r="H2966" s="31"/>
      <c r="I2966" s="56"/>
      <c r="J2966" s="56"/>
      <c r="K2966" s="82" t="str">
        <f t="shared" si="901"/>
        <v>Invoice</v>
      </c>
      <c r="L2966" s="83" t="str">
        <f>"SI_112518"</f>
        <v>SI_112518</v>
      </c>
      <c r="M2966" s="84">
        <v>42317</v>
      </c>
      <c r="N2966" s="85">
        <f t="shared" si="902"/>
        <v>1495</v>
      </c>
      <c r="O2966" s="86">
        <f t="shared" si="903"/>
        <v>14629.210000000001</v>
      </c>
      <c r="P2966" s="86">
        <f t="shared" si="904"/>
        <v>0</v>
      </c>
      <c r="Q2966" s="86">
        <f t="shared" si="905"/>
        <v>0</v>
      </c>
      <c r="R2966" s="86">
        <f t="shared" si="906"/>
        <v>0</v>
      </c>
      <c r="S2966" s="86">
        <f t="shared" si="907"/>
        <v>0</v>
      </c>
      <c r="T2966" s="86">
        <f t="shared" si="908"/>
        <v>14629.210000000001</v>
      </c>
      <c r="U2966" s="87">
        <v>14629.210000000001</v>
      </c>
    </row>
    <row r="2967" spans="1:21" s="30" customFormat="1" ht="24.6" hidden="1" outlineLevel="1" x14ac:dyDescent="0.55000000000000004">
      <c r="A2967" s="27" t="s">
        <v>327</v>
      </c>
      <c r="B2967" s="28"/>
      <c r="C2967" s="27"/>
      <c r="D2967" s="27" t="str">
        <f>"""NAV Direct"",""CRONUS JetCorp USA"",""21"",""1"",""440357"""</f>
        <v>"NAV Direct","CRONUS JetCorp USA","21","1","440357"</v>
      </c>
      <c r="E2967" s="31">
        <f t="shared" si="900"/>
        <v>0</v>
      </c>
      <c r="F2967" s="31"/>
      <c r="G2967" s="31"/>
      <c r="H2967" s="31"/>
      <c r="I2967" s="56"/>
      <c r="J2967" s="56"/>
      <c r="K2967" s="82" t="str">
        <f t="shared" ref="K2967:K2976" si="909">"Credit Memo"</f>
        <v>Credit Memo</v>
      </c>
      <c r="L2967" s="83" t="str">
        <f>"SC_100915"</f>
        <v>SC_100915</v>
      </c>
      <c r="M2967" s="84">
        <v>42536</v>
      </c>
      <c r="N2967" s="85">
        <f t="shared" si="902"/>
        <v>1276</v>
      </c>
      <c r="O2967" s="86">
        <f t="shared" si="903"/>
        <v>-86.02</v>
      </c>
      <c r="P2967" s="86">
        <f t="shared" si="904"/>
        <v>0</v>
      </c>
      <c r="Q2967" s="86">
        <f t="shared" si="905"/>
        <v>0</v>
      </c>
      <c r="R2967" s="86">
        <f t="shared" si="906"/>
        <v>0</v>
      </c>
      <c r="S2967" s="86">
        <f t="shared" si="907"/>
        <v>0</v>
      </c>
      <c r="T2967" s="86">
        <f t="shared" si="908"/>
        <v>-86.02</v>
      </c>
      <c r="U2967" s="87">
        <v>-86.02</v>
      </c>
    </row>
    <row r="2968" spans="1:21" s="30" customFormat="1" ht="24.6" hidden="1" outlineLevel="1" x14ac:dyDescent="0.55000000000000004">
      <c r="A2968" s="27" t="s">
        <v>327</v>
      </c>
      <c r="B2968" s="28"/>
      <c r="C2968" s="27"/>
      <c r="D2968" s="27" t="str">
        <f>"""NAV Direct"",""CRONUS JetCorp USA"",""21"",""1"",""440522"""</f>
        <v>"NAV Direct","CRONUS JetCorp USA","21","1","440522"</v>
      </c>
      <c r="E2968" s="31" t="str">
        <f t="shared" si="900"/>
        <v>C100089</v>
      </c>
      <c r="F2968" s="31"/>
      <c r="G2968" s="31"/>
      <c r="H2968" s="31"/>
      <c r="I2968" s="56"/>
      <c r="J2968" s="56"/>
      <c r="K2968" s="82" t="str">
        <f t="shared" si="909"/>
        <v>Credit Memo</v>
      </c>
      <c r="L2968" s="83" t="str">
        <f>"SC_100923"</f>
        <v>SC_100923</v>
      </c>
      <c r="M2968" s="84">
        <v>42927</v>
      </c>
      <c r="N2968" s="85">
        <f t="shared" si="902"/>
        <v>885</v>
      </c>
      <c r="O2968" s="86">
        <f t="shared" si="903"/>
        <v>-85.26</v>
      </c>
      <c r="P2968" s="86">
        <f t="shared" si="904"/>
        <v>0</v>
      </c>
      <c r="Q2968" s="86">
        <f t="shared" si="905"/>
        <v>0</v>
      </c>
      <c r="R2968" s="86">
        <f t="shared" si="906"/>
        <v>0</v>
      </c>
      <c r="S2968" s="86">
        <f t="shared" si="907"/>
        <v>0</v>
      </c>
      <c r="T2968" s="86">
        <f t="shared" si="908"/>
        <v>-85.26</v>
      </c>
      <c r="U2968" s="87">
        <v>-85.26</v>
      </c>
    </row>
    <row r="2969" spans="1:21" s="30" customFormat="1" ht="24.6" hidden="1" outlineLevel="1" x14ac:dyDescent="0.55000000000000004">
      <c r="A2969" s="27" t="s">
        <v>327</v>
      </c>
      <c r="B2969" s="28"/>
      <c r="C2969" s="27"/>
      <c r="D2969" s="27" t="str">
        <f>"""NAV Direct"",""CRONUS JetCorp USA"",""21"",""1"",""440640"""</f>
        <v>"NAV Direct","CRONUS JetCorp USA","21","1","440640"</v>
      </c>
      <c r="E2969" s="31">
        <f t="shared" si="900"/>
        <v>0</v>
      </c>
      <c r="F2969" s="31"/>
      <c r="G2969" s="31"/>
      <c r="H2969" s="31"/>
      <c r="I2969" s="56"/>
      <c r="J2969" s="56"/>
      <c r="K2969" s="82" t="str">
        <f t="shared" si="909"/>
        <v>Credit Memo</v>
      </c>
      <c r="L2969" s="83" t="str">
        <f>"SC_100931"</f>
        <v>SC_100931</v>
      </c>
      <c r="M2969" s="84">
        <v>43163</v>
      </c>
      <c r="N2969" s="85">
        <f t="shared" si="902"/>
        <v>649</v>
      </c>
      <c r="O2969" s="86">
        <f t="shared" si="903"/>
        <v>-77.3</v>
      </c>
      <c r="P2969" s="86">
        <f t="shared" si="904"/>
        <v>0</v>
      </c>
      <c r="Q2969" s="86">
        <f t="shared" si="905"/>
        <v>0</v>
      </c>
      <c r="R2969" s="86">
        <f t="shared" si="906"/>
        <v>0</v>
      </c>
      <c r="S2969" s="86">
        <f t="shared" si="907"/>
        <v>0</v>
      </c>
      <c r="T2969" s="86">
        <f t="shared" si="908"/>
        <v>-77.3</v>
      </c>
      <c r="U2969" s="87">
        <v>-77.3</v>
      </c>
    </row>
    <row r="2970" spans="1:21" s="30" customFormat="1" ht="24.6" hidden="1" outlineLevel="1" x14ac:dyDescent="0.55000000000000004">
      <c r="A2970" s="27" t="s">
        <v>327</v>
      </c>
      <c r="B2970" s="28"/>
      <c r="C2970" s="27"/>
      <c r="D2970" s="27" t="str">
        <f>"""NAV Direct"",""CRONUS JetCorp USA"",""21"",""1"",""440713"""</f>
        <v>"NAV Direct","CRONUS JetCorp USA","21","1","440713"</v>
      </c>
      <c r="E2970" s="31" t="str">
        <f t="shared" si="900"/>
        <v>C100089</v>
      </c>
      <c r="F2970" s="31"/>
      <c r="G2970" s="31"/>
      <c r="H2970" s="31"/>
      <c r="I2970" s="56"/>
      <c r="J2970" s="56"/>
      <c r="K2970" s="82" t="str">
        <f t="shared" si="909"/>
        <v>Credit Memo</v>
      </c>
      <c r="L2970" s="83" t="str">
        <f>"SC_100935"</f>
        <v>SC_100935</v>
      </c>
      <c r="M2970" s="84">
        <v>43331</v>
      </c>
      <c r="N2970" s="85">
        <f t="shared" si="902"/>
        <v>481</v>
      </c>
      <c r="O2970" s="86">
        <f t="shared" si="903"/>
        <v>-98.439999999999984</v>
      </c>
      <c r="P2970" s="86">
        <f t="shared" si="904"/>
        <v>0</v>
      </c>
      <c r="Q2970" s="86">
        <f t="shared" si="905"/>
        <v>0</v>
      </c>
      <c r="R2970" s="86">
        <f t="shared" si="906"/>
        <v>0</v>
      </c>
      <c r="S2970" s="86">
        <f t="shared" si="907"/>
        <v>0</v>
      </c>
      <c r="T2970" s="86">
        <f t="shared" si="908"/>
        <v>-98.439999999999984</v>
      </c>
      <c r="U2970" s="87">
        <v>-98.439999999999984</v>
      </c>
    </row>
    <row r="2971" spans="1:21" s="30" customFormat="1" ht="24.6" hidden="1" outlineLevel="1" x14ac:dyDescent="0.55000000000000004">
      <c r="A2971" s="27" t="s">
        <v>327</v>
      </c>
      <c r="B2971" s="28"/>
      <c r="C2971" s="27"/>
      <c r="D2971" s="27" t="str">
        <f>"""NAV Direct"",""CRONUS JetCorp USA"",""21"",""1"",""440823"""</f>
        <v>"NAV Direct","CRONUS JetCorp USA","21","1","440823"</v>
      </c>
      <c r="E2971" s="31">
        <f t="shared" si="900"/>
        <v>0</v>
      </c>
      <c r="F2971" s="31"/>
      <c r="G2971" s="31"/>
      <c r="H2971" s="31"/>
      <c r="I2971" s="56"/>
      <c r="J2971" s="56"/>
      <c r="K2971" s="82" t="str">
        <f t="shared" si="909"/>
        <v>Credit Memo</v>
      </c>
      <c r="L2971" s="83" t="str">
        <f>"SC_100941"</f>
        <v>SC_100941</v>
      </c>
      <c r="M2971" s="84">
        <v>43489</v>
      </c>
      <c r="N2971" s="85">
        <f t="shared" si="902"/>
        <v>323</v>
      </c>
      <c r="O2971" s="86">
        <f t="shared" si="903"/>
        <v>-101.91</v>
      </c>
      <c r="P2971" s="86">
        <f t="shared" si="904"/>
        <v>0</v>
      </c>
      <c r="Q2971" s="86">
        <f t="shared" si="905"/>
        <v>0</v>
      </c>
      <c r="R2971" s="86">
        <f t="shared" si="906"/>
        <v>0</v>
      </c>
      <c r="S2971" s="86">
        <f t="shared" si="907"/>
        <v>0</v>
      </c>
      <c r="T2971" s="86">
        <f t="shared" si="908"/>
        <v>-101.91</v>
      </c>
      <c r="U2971" s="87">
        <v>-101.91</v>
      </c>
    </row>
    <row r="2972" spans="1:21" s="30" customFormat="1" ht="24.6" hidden="1" outlineLevel="1" x14ac:dyDescent="0.55000000000000004">
      <c r="A2972" s="27" t="s">
        <v>327</v>
      </c>
      <c r="B2972" s="28"/>
      <c r="C2972" s="27"/>
      <c r="D2972" s="27" t="str">
        <f>"""NAV Direct"",""CRONUS JetCorp USA"",""21"",""1"",""440973"""</f>
        <v>"NAV Direct","CRONUS JetCorp USA","21","1","440973"</v>
      </c>
      <c r="E2972" s="31" t="str">
        <f t="shared" si="900"/>
        <v>C100089</v>
      </c>
      <c r="F2972" s="31"/>
      <c r="G2972" s="31"/>
      <c r="H2972" s="31"/>
      <c r="I2972" s="56"/>
      <c r="J2972" s="56"/>
      <c r="K2972" s="82" t="str">
        <f t="shared" si="909"/>
        <v>Credit Memo</v>
      </c>
      <c r="L2972" s="83" t="str">
        <f>"SC_100948"</f>
        <v>SC_100948</v>
      </c>
      <c r="M2972" s="84">
        <v>43595</v>
      </c>
      <c r="N2972" s="85">
        <f t="shared" si="902"/>
        <v>217</v>
      </c>
      <c r="O2972" s="86">
        <f t="shared" si="903"/>
        <v>-82.23</v>
      </c>
      <c r="P2972" s="86">
        <f t="shared" si="904"/>
        <v>0</v>
      </c>
      <c r="Q2972" s="86">
        <f t="shared" si="905"/>
        <v>0</v>
      </c>
      <c r="R2972" s="86">
        <f t="shared" si="906"/>
        <v>0</v>
      </c>
      <c r="S2972" s="86">
        <f t="shared" si="907"/>
        <v>0</v>
      </c>
      <c r="T2972" s="86">
        <f t="shared" si="908"/>
        <v>-82.23</v>
      </c>
      <c r="U2972" s="87">
        <v>-82.23</v>
      </c>
    </row>
    <row r="2973" spans="1:21" s="30" customFormat="1" ht="24.6" hidden="1" outlineLevel="1" x14ac:dyDescent="0.55000000000000004">
      <c r="A2973" s="27" t="s">
        <v>327</v>
      </c>
      <c r="B2973" s="28"/>
      <c r="C2973" s="27"/>
      <c r="D2973" s="27" t="str">
        <f>"""NAV Direct"",""CRONUS JetCorp USA"",""21"",""1"",""441145"""</f>
        <v>"NAV Direct","CRONUS JetCorp USA","21","1","441145"</v>
      </c>
      <c r="E2973" s="31">
        <f t="shared" si="900"/>
        <v>0</v>
      </c>
      <c r="F2973" s="31"/>
      <c r="G2973" s="31"/>
      <c r="H2973" s="31"/>
      <c r="I2973" s="56"/>
      <c r="J2973" s="56"/>
      <c r="K2973" s="82" t="str">
        <f t="shared" si="909"/>
        <v>Credit Memo</v>
      </c>
      <c r="L2973" s="83" t="str">
        <f>"SC_100956"</f>
        <v>SC_100956</v>
      </c>
      <c r="M2973" s="84">
        <v>43745</v>
      </c>
      <c r="N2973" s="85">
        <f t="shared" si="902"/>
        <v>67</v>
      </c>
      <c r="O2973" s="86">
        <f t="shared" si="903"/>
        <v>-113.02000000000001</v>
      </c>
      <c r="P2973" s="86">
        <f t="shared" si="904"/>
        <v>0</v>
      </c>
      <c r="Q2973" s="86">
        <f t="shared" si="905"/>
        <v>0</v>
      </c>
      <c r="R2973" s="86">
        <f t="shared" si="906"/>
        <v>0</v>
      </c>
      <c r="S2973" s="86">
        <f t="shared" si="907"/>
        <v>-113.02000000000001</v>
      </c>
      <c r="T2973" s="86">
        <f t="shared" si="908"/>
        <v>0</v>
      </c>
      <c r="U2973" s="87">
        <v>-113.02000000000001</v>
      </c>
    </row>
    <row r="2974" spans="1:21" s="30" customFormat="1" ht="24.6" hidden="1" outlineLevel="1" x14ac:dyDescent="0.55000000000000004">
      <c r="A2974" s="27" t="s">
        <v>327</v>
      </c>
      <c r="B2974" s="28"/>
      <c r="C2974" s="27"/>
      <c r="D2974" s="27" t="str">
        <f>"""NAV Direct"",""CRONUS JetCorp USA"",""21"",""1"",""441160"""</f>
        <v>"NAV Direct","CRONUS JetCorp USA","21","1","441160"</v>
      </c>
      <c r="E2974" s="31" t="str">
        <f t="shared" si="900"/>
        <v>C100089</v>
      </c>
      <c r="F2974" s="31"/>
      <c r="G2974" s="31"/>
      <c r="H2974" s="31"/>
      <c r="I2974" s="56"/>
      <c r="J2974" s="56"/>
      <c r="K2974" s="82" t="str">
        <f t="shared" si="909"/>
        <v>Credit Memo</v>
      </c>
      <c r="L2974" s="83" t="str">
        <f>"SC_100957"</f>
        <v>SC_100957</v>
      </c>
      <c r="M2974" s="84">
        <v>43755</v>
      </c>
      <c r="N2974" s="85">
        <f t="shared" si="902"/>
        <v>57</v>
      </c>
      <c r="O2974" s="86">
        <f t="shared" si="903"/>
        <v>-116.61000000000001</v>
      </c>
      <c r="P2974" s="86">
        <f t="shared" si="904"/>
        <v>0</v>
      </c>
      <c r="Q2974" s="86">
        <f t="shared" si="905"/>
        <v>0</v>
      </c>
      <c r="R2974" s="86">
        <f t="shared" si="906"/>
        <v>-116.61000000000001</v>
      </c>
      <c r="S2974" s="86">
        <f t="shared" si="907"/>
        <v>0</v>
      </c>
      <c r="T2974" s="86">
        <f t="shared" si="908"/>
        <v>0</v>
      </c>
      <c r="U2974" s="87">
        <v>-116.61000000000001</v>
      </c>
    </row>
    <row r="2975" spans="1:21" s="30" customFormat="1" ht="24.6" hidden="1" outlineLevel="1" x14ac:dyDescent="0.55000000000000004">
      <c r="A2975" s="27" t="s">
        <v>327</v>
      </c>
      <c r="B2975" s="28"/>
      <c r="C2975" s="27"/>
      <c r="D2975" s="27" t="str">
        <f>"""NAV Direct"",""CRONUS JetCorp USA"",""21"",""1"",""441380"""</f>
        <v>"NAV Direct","CRONUS JetCorp USA","21","1","441380"</v>
      </c>
      <c r="E2975" s="31">
        <f t="shared" si="900"/>
        <v>0</v>
      </c>
      <c r="F2975" s="31"/>
      <c r="G2975" s="31"/>
      <c r="H2975" s="31"/>
      <c r="I2975" s="56"/>
      <c r="J2975" s="56"/>
      <c r="K2975" s="82" t="str">
        <f t="shared" si="909"/>
        <v>Credit Memo</v>
      </c>
      <c r="L2975" s="83" t="str">
        <f>"SC_100967"</f>
        <v>SC_100967</v>
      </c>
      <c r="M2975" s="84">
        <v>42054</v>
      </c>
      <c r="N2975" s="85">
        <f t="shared" si="902"/>
        <v>1758</v>
      </c>
      <c r="O2975" s="86">
        <f t="shared" si="903"/>
        <v>-131.77000000000001</v>
      </c>
      <c r="P2975" s="86">
        <f t="shared" si="904"/>
        <v>0</v>
      </c>
      <c r="Q2975" s="86">
        <f t="shared" si="905"/>
        <v>0</v>
      </c>
      <c r="R2975" s="86">
        <f t="shared" si="906"/>
        <v>0</v>
      </c>
      <c r="S2975" s="86">
        <f t="shared" si="907"/>
        <v>0</v>
      </c>
      <c r="T2975" s="86">
        <f t="shared" si="908"/>
        <v>-131.77000000000001</v>
      </c>
      <c r="U2975" s="87">
        <v>-131.77000000000001</v>
      </c>
    </row>
    <row r="2976" spans="1:21" s="30" customFormat="1" ht="24.6" hidden="1" outlineLevel="1" x14ac:dyDescent="0.55000000000000004">
      <c r="A2976" s="27" t="s">
        <v>327</v>
      </c>
      <c r="B2976" s="28"/>
      <c r="C2976" s="27"/>
      <c r="D2976" s="27" t="str">
        <f>"""NAV Direct"",""CRONUS JetCorp USA"",""21"",""1"",""441569"""</f>
        <v>"NAV Direct","CRONUS JetCorp USA","21","1","441569"</v>
      </c>
      <c r="E2976" s="31" t="str">
        <f t="shared" si="900"/>
        <v>C100089</v>
      </c>
      <c r="F2976" s="31"/>
      <c r="G2976" s="31"/>
      <c r="H2976" s="31"/>
      <c r="I2976" s="56"/>
      <c r="J2976" s="56"/>
      <c r="K2976" s="82" t="str">
        <f t="shared" si="909"/>
        <v>Credit Memo</v>
      </c>
      <c r="L2976" s="83" t="str">
        <f>"SC_100976"</f>
        <v>SC_100976</v>
      </c>
      <c r="M2976" s="84">
        <v>42357</v>
      </c>
      <c r="N2976" s="85">
        <f t="shared" si="902"/>
        <v>1455</v>
      </c>
      <c r="O2976" s="86">
        <f t="shared" si="903"/>
        <v>-130.16</v>
      </c>
      <c r="P2976" s="86">
        <f t="shared" si="904"/>
        <v>0</v>
      </c>
      <c r="Q2976" s="86">
        <f t="shared" si="905"/>
        <v>0</v>
      </c>
      <c r="R2976" s="86">
        <f t="shared" si="906"/>
        <v>0</v>
      </c>
      <c r="S2976" s="86">
        <f t="shared" si="907"/>
        <v>0</v>
      </c>
      <c r="T2976" s="86">
        <f t="shared" si="908"/>
        <v>-130.16</v>
      </c>
      <c r="U2976" s="87">
        <v>-130.16</v>
      </c>
    </row>
    <row r="2977" spans="1:22" s="22" customFormat="1" ht="20.399999999999999" collapsed="1" x14ac:dyDescent="0.45">
      <c r="A2977" s="12" t="s">
        <v>327</v>
      </c>
      <c r="B2977" s="19"/>
      <c r="C2977" s="12"/>
      <c r="D2977" s="12"/>
      <c r="E2977" s="23"/>
      <c r="F2977" s="23"/>
      <c r="G2977" s="23"/>
      <c r="H2977" s="23"/>
      <c r="I2977" s="49"/>
      <c r="J2977" s="88"/>
      <c r="K2977" s="88"/>
      <c r="L2977" s="89"/>
      <c r="M2977" s="89"/>
      <c r="N2977" s="89"/>
      <c r="O2977" s="89"/>
      <c r="P2977" s="89"/>
      <c r="Q2977" s="90"/>
      <c r="R2977" s="90"/>
      <c r="S2977" s="91"/>
      <c r="T2977" s="92"/>
      <c r="U2977" s="92"/>
    </row>
    <row r="2978" spans="1:22" s="22" customFormat="1" ht="20.399999999999999" x14ac:dyDescent="0.45">
      <c r="A2978" s="12" t="s">
        <v>327</v>
      </c>
      <c r="B2978" s="19"/>
      <c r="C2978" s="12"/>
      <c r="D2978" s="12"/>
      <c r="E2978" s="23"/>
      <c r="F2978" s="23"/>
      <c r="G2978" s="23"/>
      <c r="H2978" s="23"/>
      <c r="I2978" s="49"/>
      <c r="J2978" s="88"/>
      <c r="K2978" s="88"/>
      <c r="L2978" s="89"/>
      <c r="M2978" s="89"/>
      <c r="N2978" s="89"/>
      <c r="O2978" s="89"/>
      <c r="P2978" s="89"/>
      <c r="Q2978" s="90"/>
      <c r="R2978" s="90"/>
      <c r="S2978" s="91"/>
      <c r="T2978" s="92"/>
      <c r="U2978" s="92"/>
    </row>
    <row r="2979" spans="1:22" s="26" customFormat="1" ht="24.6" x14ac:dyDescent="0.55000000000000004">
      <c r="A2979" s="27" t="s">
        <v>327</v>
      </c>
      <c r="B2979" s="28"/>
      <c r="C2979" s="27" t="str">
        <f>"""NAV Direct"",""CRONUS JetCorp USA"",""18"",""1"",""C100092"""</f>
        <v>"NAV Direct","CRONUS JetCorp USA","18","1","C100092"</v>
      </c>
      <c r="D2979" s="27"/>
      <c r="E2979" s="28" t="str">
        <f>H2979</f>
        <v>C100092</v>
      </c>
      <c r="F2979" s="28"/>
      <c r="G2979" s="28"/>
      <c r="H2979" s="28" t="str">
        <f>"C100092"</f>
        <v>C100092</v>
      </c>
      <c r="I2979" s="116" t="str">
        <f>"C100092  -  Zuni Home Crafts Ltd."</f>
        <v>C100092  -  Zuni Home Crafts Ltd.</v>
      </c>
      <c r="J2979" s="117" t="str">
        <f>""</f>
        <v/>
      </c>
      <c r="K2979" s="118"/>
      <c r="L2979" s="119">
        <f>SUBTOTAL(3,L2980:L3000)</f>
        <v>17</v>
      </c>
      <c r="M2979" s="118"/>
      <c r="N2979" s="118"/>
      <c r="O2979" s="120">
        <f t="shared" ref="O2979:T2979" si="910">SUBTOTAL(9,O2980:O3000)</f>
        <v>236826.33</v>
      </c>
      <c r="P2979" s="120">
        <f t="shared" si="910"/>
        <v>0</v>
      </c>
      <c r="Q2979" s="120">
        <f t="shared" si="910"/>
        <v>21305.03</v>
      </c>
      <c r="R2979" s="120">
        <f t="shared" si="910"/>
        <v>0</v>
      </c>
      <c r="S2979" s="120">
        <f t="shared" si="910"/>
        <v>17553.78</v>
      </c>
      <c r="T2979" s="120">
        <f t="shared" si="910"/>
        <v>197967.52</v>
      </c>
      <c r="U2979" s="81"/>
    </row>
    <row r="2980" spans="1:22" s="26" customFormat="1" ht="24.6" x14ac:dyDescent="0.55000000000000004">
      <c r="A2980" s="27" t="s">
        <v>327</v>
      </c>
      <c r="B2980" s="28"/>
      <c r="C2980" s="27" t="str">
        <f>C2979</f>
        <v>"NAV Direct","CRONUS JetCorp USA","18","1","C100092"</v>
      </c>
      <c r="D2980" s="27"/>
      <c r="E2980" s="28" t="str">
        <f>E2979</f>
        <v>C100092</v>
      </c>
      <c r="F2980" s="28"/>
      <c r="G2980" s="28"/>
      <c r="H2980" s="28"/>
      <c r="I2980" s="121" t="str">
        <f>"Contact: Mr. James R. Hamilton"</f>
        <v>Contact: Mr. James R. Hamilton</v>
      </c>
      <c r="J2980" s="121"/>
      <c r="K2980" s="122"/>
      <c r="L2980" s="123"/>
      <c r="M2980" s="123"/>
      <c r="N2980" s="124"/>
      <c r="O2980" s="124"/>
      <c r="P2980" s="123"/>
      <c r="Q2980" s="125"/>
      <c r="R2980" s="126"/>
      <c r="S2980" s="126"/>
      <c r="T2980" s="125"/>
      <c r="U2980" s="81"/>
    </row>
    <row r="2981" spans="1:22" s="26" customFormat="1" ht="24.6" x14ac:dyDescent="0.55000000000000004">
      <c r="A2981" s="27" t="s">
        <v>327</v>
      </c>
      <c r="B2981" s="28"/>
      <c r="C2981" s="27" t="str">
        <f>C2980</f>
        <v>"NAV Direct","CRONUS JetCorp USA","18","1","C100092"</v>
      </c>
      <c r="D2981" s="27"/>
      <c r="E2981" s="28" t="str">
        <f>E2980</f>
        <v>C100092</v>
      </c>
      <c r="F2981" s="28"/>
      <c r="G2981" s="28"/>
      <c r="H2981" s="28"/>
      <c r="I2981" s="121" t="str">
        <f>"The Device Shop@cronuscorp.net"</f>
        <v>The Device Shop@cronuscorp.net</v>
      </c>
      <c r="J2981" s="121"/>
      <c r="K2981" s="122"/>
      <c r="L2981" s="124"/>
      <c r="M2981" s="124"/>
      <c r="N2981" s="124"/>
      <c r="O2981" s="124"/>
      <c r="P2981" s="123"/>
      <c r="Q2981" s="125"/>
      <c r="R2981" s="126"/>
      <c r="S2981" s="126"/>
      <c r="T2981" s="125"/>
      <c r="U2981" s="81"/>
    </row>
    <row r="2982" spans="1:22" ht="12.75" hidden="1" customHeight="1" outlineLevel="1" x14ac:dyDescent="0.45">
      <c r="A2982" s="12" t="s">
        <v>328</v>
      </c>
      <c r="B2982" s="19"/>
      <c r="E2982" s="19"/>
      <c r="F2982" s="19"/>
      <c r="G2982" s="19"/>
      <c r="H2982" s="19"/>
      <c r="I2982" s="61"/>
      <c r="J2982" s="61"/>
      <c r="K2982" s="61"/>
      <c r="L2982" s="61"/>
      <c r="M2982" s="61"/>
      <c r="N2982" s="61"/>
      <c r="O2982" s="61"/>
      <c r="P2982" s="61"/>
      <c r="Q2982" s="61"/>
      <c r="R2982" s="61"/>
      <c r="S2982" s="61"/>
      <c r="T2982" s="61"/>
      <c r="U2982" s="61"/>
      <c r="V2982" s="21"/>
    </row>
    <row r="2983" spans="1:22" s="30" customFormat="1" ht="24.6" hidden="1" outlineLevel="1" x14ac:dyDescent="0.55000000000000004">
      <c r="A2983" s="27" t="s">
        <v>327</v>
      </c>
      <c r="B2983" s="28"/>
      <c r="C2983" s="27"/>
      <c r="D2983" s="27" t="str">
        <f>"""NAV Direct"",""CRONUS JetCorp USA"",""21"",""1"",""97641"""</f>
        <v>"NAV Direct","CRONUS JetCorp USA","21","1","97641"</v>
      </c>
      <c r="E2983" s="31" t="str">
        <f t="shared" ref="E2983:E2999" si="911">E2981</f>
        <v>C100092</v>
      </c>
      <c r="F2983" s="31"/>
      <c r="G2983" s="31"/>
      <c r="H2983" s="31"/>
      <c r="I2983" s="56"/>
      <c r="J2983" s="56"/>
      <c r="K2983" s="82" t="str">
        <f t="shared" ref="K2983:K2996" si="912">"Invoice"</f>
        <v>Invoice</v>
      </c>
      <c r="L2983" s="83" t="str">
        <f>"SI_106471"</f>
        <v>SI_106471</v>
      </c>
      <c r="M2983" s="84">
        <v>42073</v>
      </c>
      <c r="N2983" s="85">
        <f t="shared" ref="N2983:N2999" si="913">StartDate-$M2983+1</f>
        <v>1739</v>
      </c>
      <c r="O2983" s="86">
        <f t="shared" ref="O2983:O2999" si="914">SUM(P2983:T2983)</f>
        <v>20631.150000000001</v>
      </c>
      <c r="P2983" s="86">
        <f t="shared" ref="P2983:P2999" si="915">IF($M2983&gt;=$P$18,U2983,0)</f>
        <v>0</v>
      </c>
      <c r="Q2983" s="86">
        <f t="shared" ref="Q2983:Q2999" si="916">IF(AND($M2983&gt;=$Q$16,$M2983&lt;=$Q$18),U2983,0)</f>
        <v>0</v>
      </c>
      <c r="R2983" s="86">
        <f t="shared" ref="R2983:R2999" si="917">IF(AND($M2983&gt;=$R$16,$M2983&lt;=$R$18),U2983,0)</f>
        <v>0</v>
      </c>
      <c r="S2983" s="86">
        <f t="shared" ref="S2983:S2999" si="918">IF(AND($M2983&gt;=$S$16,$M2983&lt;=$S$18),U2983,0)</f>
        <v>0</v>
      </c>
      <c r="T2983" s="86">
        <f t="shared" ref="T2983:T2999" si="919">IF($M2983&lt;=$T$18,U2983,0)</f>
        <v>20631.150000000001</v>
      </c>
      <c r="U2983" s="87">
        <v>20631.150000000001</v>
      </c>
    </row>
    <row r="2984" spans="1:22" s="30" customFormat="1" ht="24.6" hidden="1" outlineLevel="1" x14ac:dyDescent="0.55000000000000004">
      <c r="A2984" s="27" t="s">
        <v>327</v>
      </c>
      <c r="B2984" s="28"/>
      <c r="C2984" s="27"/>
      <c r="D2984" s="27" t="str">
        <f>"""NAV Direct"",""CRONUS JetCorp USA"",""21"",""1"",""98047"""</f>
        <v>"NAV Direct","CRONUS JetCorp USA","21","1","98047"</v>
      </c>
      <c r="E2984" s="31">
        <f t="shared" si="911"/>
        <v>0</v>
      </c>
      <c r="F2984" s="31"/>
      <c r="G2984" s="31"/>
      <c r="H2984" s="31"/>
      <c r="I2984" s="56"/>
      <c r="J2984" s="56"/>
      <c r="K2984" s="82" t="str">
        <f t="shared" si="912"/>
        <v>Invoice</v>
      </c>
      <c r="L2984" s="83" t="str">
        <f>"SI_106481"</f>
        <v>SI_106481</v>
      </c>
      <c r="M2984" s="84">
        <v>42218</v>
      </c>
      <c r="N2984" s="85">
        <f t="shared" si="913"/>
        <v>1594</v>
      </c>
      <c r="O2984" s="86">
        <f t="shared" si="914"/>
        <v>16896.3</v>
      </c>
      <c r="P2984" s="86">
        <f t="shared" si="915"/>
        <v>0</v>
      </c>
      <c r="Q2984" s="86">
        <f t="shared" si="916"/>
        <v>0</v>
      </c>
      <c r="R2984" s="86">
        <f t="shared" si="917"/>
        <v>0</v>
      </c>
      <c r="S2984" s="86">
        <f t="shared" si="918"/>
        <v>0</v>
      </c>
      <c r="T2984" s="86">
        <f t="shared" si="919"/>
        <v>16896.3</v>
      </c>
      <c r="U2984" s="87">
        <v>16896.3</v>
      </c>
    </row>
    <row r="2985" spans="1:22" s="30" customFormat="1" ht="24.6" hidden="1" outlineLevel="1" x14ac:dyDescent="0.55000000000000004">
      <c r="A2985" s="27" t="s">
        <v>327</v>
      </c>
      <c r="B2985" s="28"/>
      <c r="C2985" s="27"/>
      <c r="D2985" s="27" t="str">
        <f>"""NAV Direct"",""CRONUS JetCorp USA"",""21"",""1"",""98380"""</f>
        <v>"NAV Direct","CRONUS JetCorp USA","21","1","98380"</v>
      </c>
      <c r="E2985" s="31" t="str">
        <f t="shared" si="911"/>
        <v>C100092</v>
      </c>
      <c r="F2985" s="31"/>
      <c r="G2985" s="31"/>
      <c r="H2985" s="31"/>
      <c r="I2985" s="56"/>
      <c r="J2985" s="56"/>
      <c r="K2985" s="82" t="str">
        <f t="shared" si="912"/>
        <v>Invoice</v>
      </c>
      <c r="L2985" s="83" t="str">
        <f>"SI_106490"</f>
        <v>SI_106490</v>
      </c>
      <c r="M2985" s="84">
        <v>42360</v>
      </c>
      <c r="N2985" s="85">
        <f t="shared" si="913"/>
        <v>1452</v>
      </c>
      <c r="O2985" s="86">
        <f t="shared" si="914"/>
        <v>24731.37</v>
      </c>
      <c r="P2985" s="86">
        <f t="shared" si="915"/>
        <v>0</v>
      </c>
      <c r="Q2985" s="86">
        <f t="shared" si="916"/>
        <v>0</v>
      </c>
      <c r="R2985" s="86">
        <f t="shared" si="917"/>
        <v>0</v>
      </c>
      <c r="S2985" s="86">
        <f t="shared" si="918"/>
        <v>0</v>
      </c>
      <c r="T2985" s="86">
        <f t="shared" si="919"/>
        <v>24731.37</v>
      </c>
      <c r="U2985" s="87">
        <v>24731.37</v>
      </c>
    </row>
    <row r="2986" spans="1:22" s="30" customFormat="1" ht="24.6" hidden="1" outlineLevel="1" x14ac:dyDescent="0.55000000000000004">
      <c r="A2986" s="27" t="s">
        <v>327</v>
      </c>
      <c r="B2986" s="28"/>
      <c r="C2986" s="27"/>
      <c r="D2986" s="27" t="str">
        <f>"""NAV Direct"",""CRONUS JetCorp USA"",""21"",""1"",""377250"""</f>
        <v>"NAV Direct","CRONUS JetCorp USA","21","1","377250"</v>
      </c>
      <c r="E2986" s="31">
        <f t="shared" si="911"/>
        <v>0</v>
      </c>
      <c r="F2986" s="31"/>
      <c r="G2986" s="31"/>
      <c r="H2986" s="31"/>
      <c r="I2986" s="56"/>
      <c r="J2986" s="56"/>
      <c r="K2986" s="82" t="str">
        <f t="shared" si="912"/>
        <v>Invoice</v>
      </c>
      <c r="L2986" s="83" t="str">
        <f>"SI_111730"</f>
        <v>SI_111730</v>
      </c>
      <c r="M2986" s="84">
        <v>42401</v>
      </c>
      <c r="N2986" s="85">
        <f t="shared" si="913"/>
        <v>1411</v>
      </c>
      <c r="O2986" s="86">
        <f t="shared" si="914"/>
        <v>12479.66</v>
      </c>
      <c r="P2986" s="86">
        <f t="shared" si="915"/>
        <v>0</v>
      </c>
      <c r="Q2986" s="86">
        <f t="shared" si="916"/>
        <v>0</v>
      </c>
      <c r="R2986" s="86">
        <f t="shared" si="917"/>
        <v>0</v>
      </c>
      <c r="S2986" s="86">
        <f t="shared" si="918"/>
        <v>0</v>
      </c>
      <c r="T2986" s="86">
        <f t="shared" si="919"/>
        <v>12479.66</v>
      </c>
      <c r="U2986" s="87">
        <v>12479.66</v>
      </c>
    </row>
    <row r="2987" spans="1:22" s="30" customFormat="1" ht="24.6" hidden="1" outlineLevel="1" x14ac:dyDescent="0.55000000000000004">
      <c r="A2987" s="27" t="s">
        <v>327</v>
      </c>
      <c r="B2987" s="28"/>
      <c r="C2987" s="27"/>
      <c r="D2987" s="27" t="str">
        <f>"""NAV Direct"",""CRONUS JetCorp USA"",""21"",""1"",""377376"""</f>
        <v>"NAV Direct","CRONUS JetCorp USA","21","1","377376"</v>
      </c>
      <c r="E2987" s="31" t="str">
        <f t="shared" si="911"/>
        <v>C100092</v>
      </c>
      <c r="F2987" s="31"/>
      <c r="G2987" s="31"/>
      <c r="H2987" s="31"/>
      <c r="I2987" s="56"/>
      <c r="J2987" s="56"/>
      <c r="K2987" s="82" t="str">
        <f t="shared" si="912"/>
        <v>Invoice</v>
      </c>
      <c r="L2987" s="83" t="str">
        <f>"SI_111734"</f>
        <v>SI_111734</v>
      </c>
      <c r="M2987" s="84">
        <v>42518</v>
      </c>
      <c r="N2987" s="85">
        <f t="shared" si="913"/>
        <v>1294</v>
      </c>
      <c r="O2987" s="86">
        <f t="shared" si="914"/>
        <v>12876.390000000001</v>
      </c>
      <c r="P2987" s="86">
        <f t="shared" si="915"/>
        <v>0</v>
      </c>
      <c r="Q2987" s="86">
        <f t="shared" si="916"/>
        <v>0</v>
      </c>
      <c r="R2987" s="86">
        <f t="shared" si="917"/>
        <v>0</v>
      </c>
      <c r="S2987" s="86">
        <f t="shared" si="918"/>
        <v>0</v>
      </c>
      <c r="T2987" s="86">
        <f t="shared" si="919"/>
        <v>12876.390000000001</v>
      </c>
      <c r="U2987" s="87">
        <v>12876.390000000001</v>
      </c>
    </row>
    <row r="2988" spans="1:22" s="30" customFormat="1" ht="24.6" hidden="1" outlineLevel="1" x14ac:dyDescent="0.55000000000000004">
      <c r="A2988" s="27" t="s">
        <v>327</v>
      </c>
      <c r="B2988" s="28"/>
      <c r="C2988" s="27"/>
      <c r="D2988" s="27" t="str">
        <f>"""NAV Direct"",""CRONUS JetCorp USA"",""21"",""1"",""378038"""</f>
        <v>"NAV Direct","CRONUS JetCorp USA","21","1","378038"</v>
      </c>
      <c r="E2988" s="31">
        <f t="shared" si="911"/>
        <v>0</v>
      </c>
      <c r="F2988" s="31"/>
      <c r="G2988" s="31"/>
      <c r="H2988" s="31"/>
      <c r="I2988" s="56"/>
      <c r="J2988" s="56"/>
      <c r="K2988" s="82" t="str">
        <f t="shared" si="912"/>
        <v>Invoice</v>
      </c>
      <c r="L2988" s="83" t="str">
        <f>"SI_111756"</f>
        <v>SI_111756</v>
      </c>
      <c r="M2988" s="84">
        <v>42930</v>
      </c>
      <c r="N2988" s="85">
        <f t="shared" si="913"/>
        <v>882</v>
      </c>
      <c r="O2988" s="86">
        <f t="shared" si="914"/>
        <v>13541.35</v>
      </c>
      <c r="P2988" s="86">
        <f t="shared" si="915"/>
        <v>0</v>
      </c>
      <c r="Q2988" s="86">
        <f t="shared" si="916"/>
        <v>0</v>
      </c>
      <c r="R2988" s="86">
        <f t="shared" si="917"/>
        <v>0</v>
      </c>
      <c r="S2988" s="86">
        <f t="shared" si="918"/>
        <v>0</v>
      </c>
      <c r="T2988" s="86">
        <f t="shared" si="919"/>
        <v>13541.35</v>
      </c>
      <c r="U2988" s="87">
        <v>13541.35</v>
      </c>
    </row>
    <row r="2989" spans="1:22" s="30" customFormat="1" ht="24.6" hidden="1" outlineLevel="1" x14ac:dyDescent="0.55000000000000004">
      <c r="A2989" s="27" t="s">
        <v>327</v>
      </c>
      <c r="B2989" s="28"/>
      <c r="C2989" s="27"/>
      <c r="D2989" s="27" t="str">
        <f>"""NAV Direct"",""CRONUS JetCorp USA"",""21"",""1"",""378164"""</f>
        <v>"NAV Direct","CRONUS JetCorp USA","21","1","378164"</v>
      </c>
      <c r="E2989" s="31" t="str">
        <f t="shared" si="911"/>
        <v>C100092</v>
      </c>
      <c r="F2989" s="31"/>
      <c r="G2989" s="31"/>
      <c r="H2989" s="31"/>
      <c r="I2989" s="56"/>
      <c r="J2989" s="56"/>
      <c r="K2989" s="82" t="str">
        <f t="shared" si="912"/>
        <v>Invoice</v>
      </c>
      <c r="L2989" s="83" t="str">
        <f>"SI_111760"</f>
        <v>SI_111760</v>
      </c>
      <c r="M2989" s="84">
        <v>43038</v>
      </c>
      <c r="N2989" s="85">
        <f t="shared" si="913"/>
        <v>774</v>
      </c>
      <c r="O2989" s="86">
        <f t="shared" si="914"/>
        <v>13012.890000000001</v>
      </c>
      <c r="P2989" s="86">
        <f t="shared" si="915"/>
        <v>0</v>
      </c>
      <c r="Q2989" s="86">
        <f t="shared" si="916"/>
        <v>0</v>
      </c>
      <c r="R2989" s="86">
        <f t="shared" si="917"/>
        <v>0</v>
      </c>
      <c r="S2989" s="86">
        <f t="shared" si="918"/>
        <v>0</v>
      </c>
      <c r="T2989" s="86">
        <f t="shared" si="919"/>
        <v>13012.890000000001</v>
      </c>
      <c r="U2989" s="87">
        <v>13012.890000000001</v>
      </c>
    </row>
    <row r="2990" spans="1:22" s="30" customFormat="1" ht="24.6" hidden="1" outlineLevel="1" x14ac:dyDescent="0.55000000000000004">
      <c r="A2990" s="27" t="s">
        <v>327</v>
      </c>
      <c r="B2990" s="28"/>
      <c r="C2990" s="27"/>
      <c r="D2990" s="27" t="str">
        <f>"""NAV Direct"",""CRONUS JetCorp USA"",""21"",""1"",""378271"""</f>
        <v>"NAV Direct","CRONUS JetCorp USA","21","1","378271"</v>
      </c>
      <c r="E2990" s="31">
        <f t="shared" si="911"/>
        <v>0</v>
      </c>
      <c r="F2990" s="31"/>
      <c r="G2990" s="31"/>
      <c r="H2990" s="31"/>
      <c r="I2990" s="56"/>
      <c r="J2990" s="56"/>
      <c r="K2990" s="82" t="str">
        <f t="shared" si="912"/>
        <v>Invoice</v>
      </c>
      <c r="L2990" s="83" t="str">
        <f>"SI_111763"</f>
        <v>SI_111763</v>
      </c>
      <c r="M2990" s="84">
        <v>43109</v>
      </c>
      <c r="N2990" s="85">
        <f t="shared" si="913"/>
        <v>703</v>
      </c>
      <c r="O2990" s="86">
        <f t="shared" si="914"/>
        <v>15859.130000000001</v>
      </c>
      <c r="P2990" s="86">
        <f t="shared" si="915"/>
        <v>0</v>
      </c>
      <c r="Q2990" s="86">
        <f t="shared" si="916"/>
        <v>0</v>
      </c>
      <c r="R2990" s="86">
        <f t="shared" si="917"/>
        <v>0</v>
      </c>
      <c r="S2990" s="86">
        <f t="shared" si="918"/>
        <v>0</v>
      </c>
      <c r="T2990" s="86">
        <f t="shared" si="919"/>
        <v>15859.130000000001</v>
      </c>
      <c r="U2990" s="87">
        <v>15859.130000000001</v>
      </c>
    </row>
    <row r="2991" spans="1:22" s="30" customFormat="1" ht="24.6" hidden="1" outlineLevel="1" x14ac:dyDescent="0.55000000000000004">
      <c r="A2991" s="27" t="s">
        <v>327</v>
      </c>
      <c r="B2991" s="28"/>
      <c r="C2991" s="27"/>
      <c r="D2991" s="27" t="str">
        <f>"""NAV Direct"",""CRONUS JetCorp USA"",""21"",""1"",""378351"""</f>
        <v>"NAV Direct","CRONUS JetCorp USA","21","1","378351"</v>
      </c>
      <c r="E2991" s="31" t="str">
        <f t="shared" si="911"/>
        <v>C100092</v>
      </c>
      <c r="F2991" s="31"/>
      <c r="G2991" s="31"/>
      <c r="H2991" s="31"/>
      <c r="I2991" s="56"/>
      <c r="J2991" s="56"/>
      <c r="K2991" s="82" t="str">
        <f t="shared" si="912"/>
        <v>Invoice</v>
      </c>
      <c r="L2991" s="83" t="str">
        <f>"SI_111765"</f>
        <v>SI_111765</v>
      </c>
      <c r="M2991" s="84">
        <v>43167</v>
      </c>
      <c r="N2991" s="85">
        <f t="shared" si="913"/>
        <v>645</v>
      </c>
      <c r="O2991" s="86">
        <f t="shared" si="914"/>
        <v>13601.070000000002</v>
      </c>
      <c r="P2991" s="86">
        <f t="shared" si="915"/>
        <v>0</v>
      </c>
      <c r="Q2991" s="86">
        <f t="shared" si="916"/>
        <v>0</v>
      </c>
      <c r="R2991" s="86">
        <f t="shared" si="917"/>
        <v>0</v>
      </c>
      <c r="S2991" s="86">
        <f t="shared" si="918"/>
        <v>0</v>
      </c>
      <c r="T2991" s="86">
        <f t="shared" si="919"/>
        <v>13601.070000000002</v>
      </c>
      <c r="U2991" s="87">
        <v>13601.070000000002</v>
      </c>
    </row>
    <row r="2992" spans="1:22" s="30" customFormat="1" ht="24.6" hidden="1" outlineLevel="1" x14ac:dyDescent="0.55000000000000004">
      <c r="A2992" s="27" t="s">
        <v>327</v>
      </c>
      <c r="B2992" s="28"/>
      <c r="C2992" s="27"/>
      <c r="D2992" s="27" t="str">
        <f>"""NAV Direct"",""CRONUS JetCorp USA"",""21"",""1"",""378786"""</f>
        <v>"NAV Direct","CRONUS JetCorp USA","21","1","378786"</v>
      </c>
      <c r="E2992" s="31">
        <f t="shared" si="911"/>
        <v>0</v>
      </c>
      <c r="F2992" s="31"/>
      <c r="G2992" s="31"/>
      <c r="H2992" s="31"/>
      <c r="I2992" s="56"/>
      <c r="J2992" s="56"/>
      <c r="K2992" s="82" t="str">
        <f t="shared" si="912"/>
        <v>Invoice</v>
      </c>
      <c r="L2992" s="83" t="str">
        <f>"SI_111778"</f>
        <v>SI_111778</v>
      </c>
      <c r="M2992" s="84">
        <v>43421</v>
      </c>
      <c r="N2992" s="85">
        <f t="shared" si="913"/>
        <v>391</v>
      </c>
      <c r="O2992" s="86">
        <f t="shared" si="914"/>
        <v>15467.409999999998</v>
      </c>
      <c r="P2992" s="86">
        <f t="shared" si="915"/>
        <v>0</v>
      </c>
      <c r="Q2992" s="86">
        <f t="shared" si="916"/>
        <v>0</v>
      </c>
      <c r="R2992" s="86">
        <f t="shared" si="917"/>
        <v>0</v>
      </c>
      <c r="S2992" s="86">
        <f t="shared" si="918"/>
        <v>0</v>
      </c>
      <c r="T2992" s="86">
        <f t="shared" si="919"/>
        <v>15467.409999999998</v>
      </c>
      <c r="U2992" s="87">
        <v>15467.409999999998</v>
      </c>
    </row>
    <row r="2993" spans="1:22" s="30" customFormat="1" ht="24.6" hidden="1" outlineLevel="1" x14ac:dyDescent="0.55000000000000004">
      <c r="A2993" s="27" t="s">
        <v>327</v>
      </c>
      <c r="B2993" s="28"/>
      <c r="C2993" s="27"/>
      <c r="D2993" s="27" t="str">
        <f>"""NAV Direct"",""CRONUS JetCorp USA"",""21"",""1"",""379474"""</f>
        <v>"NAV Direct","CRONUS JetCorp USA","21","1","379474"</v>
      </c>
      <c r="E2993" s="31" t="str">
        <f t="shared" si="911"/>
        <v>C100092</v>
      </c>
      <c r="F2993" s="31"/>
      <c r="G2993" s="31"/>
      <c r="H2993" s="31"/>
      <c r="I2993" s="56"/>
      <c r="J2993" s="56"/>
      <c r="K2993" s="82" t="str">
        <f t="shared" si="912"/>
        <v>Invoice</v>
      </c>
      <c r="L2993" s="83" t="str">
        <f>"SI_111796"</f>
        <v>SI_111796</v>
      </c>
      <c r="M2993" s="84">
        <v>43738</v>
      </c>
      <c r="N2993" s="85">
        <f t="shared" si="913"/>
        <v>74</v>
      </c>
      <c r="O2993" s="86">
        <f t="shared" si="914"/>
        <v>17553.78</v>
      </c>
      <c r="P2993" s="86">
        <f t="shared" si="915"/>
        <v>0</v>
      </c>
      <c r="Q2993" s="86">
        <f t="shared" si="916"/>
        <v>0</v>
      </c>
      <c r="R2993" s="86">
        <f t="shared" si="917"/>
        <v>0</v>
      </c>
      <c r="S2993" s="86">
        <f t="shared" si="918"/>
        <v>17553.78</v>
      </c>
      <c r="T2993" s="86">
        <f t="shared" si="919"/>
        <v>0</v>
      </c>
      <c r="U2993" s="87">
        <v>17553.78</v>
      </c>
    </row>
    <row r="2994" spans="1:22" s="30" customFormat="1" ht="24.6" hidden="1" outlineLevel="1" x14ac:dyDescent="0.55000000000000004">
      <c r="A2994" s="27" t="s">
        <v>327</v>
      </c>
      <c r="B2994" s="28"/>
      <c r="C2994" s="27"/>
      <c r="D2994" s="27" t="str">
        <f>"""NAV Direct"",""CRONUS JetCorp USA"",""21"",""1"",""379651"""</f>
        <v>"NAV Direct","CRONUS JetCorp USA","21","1","379651"</v>
      </c>
      <c r="E2994" s="31">
        <f t="shared" si="911"/>
        <v>0</v>
      </c>
      <c r="F2994" s="31"/>
      <c r="G2994" s="31"/>
      <c r="H2994" s="31"/>
      <c r="I2994" s="56"/>
      <c r="J2994" s="56"/>
      <c r="K2994" s="82" t="str">
        <f t="shared" si="912"/>
        <v>Invoice</v>
      </c>
      <c r="L2994" s="83" t="str">
        <f>"SI_111801"</f>
        <v>SI_111801</v>
      </c>
      <c r="M2994" s="84">
        <v>43791</v>
      </c>
      <c r="N2994" s="85">
        <f t="shared" si="913"/>
        <v>21</v>
      </c>
      <c r="O2994" s="86">
        <f t="shared" si="914"/>
        <v>21305.03</v>
      </c>
      <c r="P2994" s="86">
        <f t="shared" si="915"/>
        <v>0</v>
      </c>
      <c r="Q2994" s="86">
        <f t="shared" si="916"/>
        <v>21305.03</v>
      </c>
      <c r="R2994" s="86">
        <f t="shared" si="917"/>
        <v>0</v>
      </c>
      <c r="S2994" s="86">
        <f t="shared" si="918"/>
        <v>0</v>
      </c>
      <c r="T2994" s="86">
        <f t="shared" si="919"/>
        <v>0</v>
      </c>
      <c r="U2994" s="87">
        <v>21305.03</v>
      </c>
    </row>
    <row r="2995" spans="1:22" s="30" customFormat="1" ht="24.6" hidden="1" outlineLevel="1" x14ac:dyDescent="0.55000000000000004">
      <c r="A2995" s="27" t="s">
        <v>327</v>
      </c>
      <c r="B2995" s="28"/>
      <c r="C2995" s="27"/>
      <c r="D2995" s="27" t="str">
        <f>"""NAV Direct"",""CRONUS JetCorp USA"",""21"",""1"",""379885"""</f>
        <v>"NAV Direct","CRONUS JetCorp USA","21","1","379885"</v>
      </c>
      <c r="E2995" s="31" t="str">
        <f t="shared" si="911"/>
        <v>C100092</v>
      </c>
      <c r="F2995" s="31"/>
      <c r="G2995" s="31"/>
      <c r="H2995" s="31"/>
      <c r="I2995" s="56"/>
      <c r="J2995" s="56"/>
      <c r="K2995" s="82" t="str">
        <f t="shared" si="912"/>
        <v>Invoice</v>
      </c>
      <c r="L2995" s="83" t="str">
        <f>"SI_111807"</f>
        <v>SI_111807</v>
      </c>
      <c r="M2995" s="84">
        <v>42090</v>
      </c>
      <c r="N2995" s="85">
        <f t="shared" si="913"/>
        <v>1722</v>
      </c>
      <c r="O2995" s="86">
        <f t="shared" si="914"/>
        <v>18774.41</v>
      </c>
      <c r="P2995" s="86">
        <f t="shared" si="915"/>
        <v>0</v>
      </c>
      <c r="Q2995" s="86">
        <f t="shared" si="916"/>
        <v>0</v>
      </c>
      <c r="R2995" s="86">
        <f t="shared" si="917"/>
        <v>0</v>
      </c>
      <c r="S2995" s="86">
        <f t="shared" si="918"/>
        <v>0</v>
      </c>
      <c r="T2995" s="86">
        <f t="shared" si="919"/>
        <v>18774.41</v>
      </c>
      <c r="U2995" s="87">
        <v>18774.41</v>
      </c>
    </row>
    <row r="2996" spans="1:22" s="30" customFormat="1" ht="24.6" hidden="1" outlineLevel="1" x14ac:dyDescent="0.55000000000000004">
      <c r="A2996" s="27" t="s">
        <v>327</v>
      </c>
      <c r="B2996" s="28"/>
      <c r="C2996" s="27"/>
      <c r="D2996" s="27" t="str">
        <f>"""NAV Direct"",""CRONUS JetCorp USA"",""21"",""1"",""379994"""</f>
        <v>"NAV Direct","CRONUS JetCorp USA","21","1","379994"</v>
      </c>
      <c r="E2996" s="31">
        <f t="shared" si="911"/>
        <v>0</v>
      </c>
      <c r="F2996" s="31"/>
      <c r="G2996" s="31"/>
      <c r="H2996" s="31"/>
      <c r="I2996" s="56"/>
      <c r="J2996" s="56"/>
      <c r="K2996" s="82" t="str">
        <f t="shared" si="912"/>
        <v>Invoice</v>
      </c>
      <c r="L2996" s="83" t="str">
        <f>"SI_111810"</f>
        <v>SI_111810</v>
      </c>
      <c r="M2996" s="84">
        <v>42119</v>
      </c>
      <c r="N2996" s="85">
        <f t="shared" si="913"/>
        <v>1693</v>
      </c>
      <c r="O2996" s="86">
        <f t="shared" si="914"/>
        <v>20464.09</v>
      </c>
      <c r="P2996" s="86">
        <f t="shared" si="915"/>
        <v>0</v>
      </c>
      <c r="Q2996" s="86">
        <f t="shared" si="916"/>
        <v>0</v>
      </c>
      <c r="R2996" s="86">
        <f t="shared" si="917"/>
        <v>0</v>
      </c>
      <c r="S2996" s="86">
        <f t="shared" si="918"/>
        <v>0</v>
      </c>
      <c r="T2996" s="86">
        <f t="shared" si="919"/>
        <v>20464.09</v>
      </c>
      <c r="U2996" s="87">
        <v>20464.09</v>
      </c>
    </row>
    <row r="2997" spans="1:22" s="30" customFormat="1" ht="24.6" hidden="1" outlineLevel="1" x14ac:dyDescent="0.55000000000000004">
      <c r="A2997" s="27" t="s">
        <v>327</v>
      </c>
      <c r="B2997" s="28"/>
      <c r="C2997" s="27"/>
      <c r="D2997" s="27" t="str">
        <f>"""NAV Direct"",""CRONUS JetCorp USA"",""21"",""1"",""437883"""</f>
        <v>"NAV Direct","CRONUS JetCorp USA","21","1","437883"</v>
      </c>
      <c r="E2997" s="31" t="str">
        <f t="shared" si="911"/>
        <v>C100092</v>
      </c>
      <c r="F2997" s="31"/>
      <c r="G2997" s="31"/>
      <c r="H2997" s="31"/>
      <c r="I2997" s="56"/>
      <c r="J2997" s="56"/>
      <c r="K2997" s="82" t="str">
        <f>"Credit Memo"</f>
        <v>Credit Memo</v>
      </c>
      <c r="L2997" s="83" t="str">
        <f>"SC_100777"</f>
        <v>SC_100777</v>
      </c>
      <c r="M2997" s="84">
        <v>42413</v>
      </c>
      <c r="N2997" s="85">
        <f t="shared" si="913"/>
        <v>1399</v>
      </c>
      <c r="O2997" s="86">
        <f t="shared" si="914"/>
        <v>-109.98</v>
      </c>
      <c r="P2997" s="86">
        <f t="shared" si="915"/>
        <v>0</v>
      </c>
      <c r="Q2997" s="86">
        <f t="shared" si="916"/>
        <v>0</v>
      </c>
      <c r="R2997" s="86">
        <f t="shared" si="917"/>
        <v>0</v>
      </c>
      <c r="S2997" s="86">
        <f t="shared" si="918"/>
        <v>0</v>
      </c>
      <c r="T2997" s="86">
        <f t="shared" si="919"/>
        <v>-109.98</v>
      </c>
      <c r="U2997" s="87">
        <v>-109.98</v>
      </c>
    </row>
    <row r="2998" spans="1:22" s="30" customFormat="1" ht="24.6" hidden="1" outlineLevel="1" x14ac:dyDescent="0.55000000000000004">
      <c r="A2998" s="27" t="s">
        <v>327</v>
      </c>
      <c r="B2998" s="28"/>
      <c r="C2998" s="27"/>
      <c r="D2998" s="27" t="str">
        <f>"""NAV Direct"",""CRONUS JetCorp USA"",""21"",""1"",""437915"""</f>
        <v>"NAV Direct","CRONUS JetCorp USA","21","1","437915"</v>
      </c>
      <c r="E2998" s="31">
        <f t="shared" si="911"/>
        <v>0</v>
      </c>
      <c r="F2998" s="31"/>
      <c r="G2998" s="31"/>
      <c r="H2998" s="31"/>
      <c r="I2998" s="56"/>
      <c r="J2998" s="56"/>
      <c r="K2998" s="82" t="str">
        <f>"Credit Memo"</f>
        <v>Credit Memo</v>
      </c>
      <c r="L2998" s="83" t="str">
        <f>"SC_100779"</f>
        <v>SC_100779</v>
      </c>
      <c r="M2998" s="84">
        <v>42472</v>
      </c>
      <c r="N2998" s="85">
        <f t="shared" si="913"/>
        <v>1340</v>
      </c>
      <c r="O2998" s="86">
        <f t="shared" si="914"/>
        <v>-113.92</v>
      </c>
      <c r="P2998" s="86">
        <f t="shared" si="915"/>
        <v>0</v>
      </c>
      <c r="Q2998" s="86">
        <f t="shared" si="916"/>
        <v>0</v>
      </c>
      <c r="R2998" s="86">
        <f t="shared" si="917"/>
        <v>0</v>
      </c>
      <c r="S2998" s="86">
        <f t="shared" si="918"/>
        <v>0</v>
      </c>
      <c r="T2998" s="86">
        <f t="shared" si="919"/>
        <v>-113.92</v>
      </c>
      <c r="U2998" s="87">
        <v>-113.92</v>
      </c>
    </row>
    <row r="2999" spans="1:22" s="30" customFormat="1" ht="24.6" hidden="1" outlineLevel="1" x14ac:dyDescent="0.55000000000000004">
      <c r="A2999" s="27" t="s">
        <v>327</v>
      </c>
      <c r="B2999" s="28"/>
      <c r="C2999" s="27"/>
      <c r="D2999" s="27" t="str">
        <f>"""NAV Direct"",""CRONUS JetCorp USA"",""21"",""1"",""438061"""</f>
        <v>"NAV Direct","CRONUS JetCorp USA","21","1","438061"</v>
      </c>
      <c r="E2999" s="31" t="str">
        <f t="shared" si="911"/>
        <v>C100092</v>
      </c>
      <c r="F2999" s="31"/>
      <c r="G2999" s="31"/>
      <c r="H2999" s="31"/>
      <c r="I2999" s="56"/>
      <c r="J2999" s="56"/>
      <c r="K2999" s="82" t="str">
        <f>"Credit Memo"</f>
        <v>Credit Memo</v>
      </c>
      <c r="L2999" s="83" t="str">
        <f>"SC_100789"</f>
        <v>SC_100789</v>
      </c>
      <c r="M2999" s="84">
        <v>43057</v>
      </c>
      <c r="N2999" s="85">
        <f t="shared" si="913"/>
        <v>755</v>
      </c>
      <c r="O2999" s="86">
        <f t="shared" si="914"/>
        <v>-143.80000000000001</v>
      </c>
      <c r="P2999" s="86">
        <f t="shared" si="915"/>
        <v>0</v>
      </c>
      <c r="Q2999" s="86">
        <f t="shared" si="916"/>
        <v>0</v>
      </c>
      <c r="R2999" s="86">
        <f t="shared" si="917"/>
        <v>0</v>
      </c>
      <c r="S2999" s="86">
        <f t="shared" si="918"/>
        <v>0</v>
      </c>
      <c r="T2999" s="86">
        <f t="shared" si="919"/>
        <v>-143.80000000000001</v>
      </c>
      <c r="U2999" s="87">
        <v>-143.80000000000001</v>
      </c>
    </row>
    <row r="3000" spans="1:22" s="22" customFormat="1" ht="20.399999999999999" collapsed="1" x14ac:dyDescent="0.45">
      <c r="A3000" s="12" t="s">
        <v>327</v>
      </c>
      <c r="B3000" s="19"/>
      <c r="C3000" s="12"/>
      <c r="D3000" s="12"/>
      <c r="E3000" s="23"/>
      <c r="F3000" s="23"/>
      <c r="G3000" s="23"/>
      <c r="H3000" s="23"/>
      <c r="I3000" s="49"/>
      <c r="J3000" s="88"/>
      <c r="K3000" s="88"/>
      <c r="L3000" s="89"/>
      <c r="M3000" s="89"/>
      <c r="N3000" s="89"/>
      <c r="O3000" s="89"/>
      <c r="P3000" s="89"/>
      <c r="Q3000" s="90"/>
      <c r="R3000" s="90"/>
      <c r="S3000" s="91"/>
      <c r="T3000" s="92"/>
      <c r="U3000" s="92"/>
    </row>
    <row r="3001" spans="1:22" s="22" customFormat="1" ht="20.399999999999999" x14ac:dyDescent="0.45">
      <c r="A3001" s="12" t="s">
        <v>327</v>
      </c>
      <c r="B3001" s="19"/>
      <c r="C3001" s="12"/>
      <c r="D3001" s="12"/>
      <c r="E3001" s="23"/>
      <c r="F3001" s="23"/>
      <c r="G3001" s="23"/>
      <c r="H3001" s="23"/>
      <c r="I3001" s="49"/>
      <c r="J3001" s="88"/>
      <c r="K3001" s="88"/>
      <c r="L3001" s="89"/>
      <c r="M3001" s="89"/>
      <c r="N3001" s="89"/>
      <c r="O3001" s="89"/>
      <c r="P3001" s="89"/>
      <c r="Q3001" s="90"/>
      <c r="R3001" s="90"/>
      <c r="S3001" s="91"/>
      <c r="T3001" s="92"/>
      <c r="U3001" s="92"/>
    </row>
    <row r="3002" spans="1:22" s="26" customFormat="1" ht="24.6" x14ac:dyDescent="0.55000000000000004">
      <c r="A3002" s="27" t="s">
        <v>327</v>
      </c>
      <c r="B3002" s="28"/>
      <c r="C3002" s="27" t="str">
        <f>"""NAV Direct"",""CRONUS JetCorp USA"",""18"",""1"",""C100094"""</f>
        <v>"NAV Direct","CRONUS JetCorp USA","18","1","C100094"</v>
      </c>
      <c r="D3002" s="27"/>
      <c r="E3002" s="28" t="str">
        <f>H3002</f>
        <v>C100094</v>
      </c>
      <c r="F3002" s="28"/>
      <c r="G3002" s="28"/>
      <c r="H3002" s="28" t="str">
        <f>"C100094"</f>
        <v>C100094</v>
      </c>
      <c r="I3002" s="116" t="str">
        <f>"C100094  -  Ranice Sports"</f>
        <v>C100094  -  Ranice Sports</v>
      </c>
      <c r="J3002" s="117" t="str">
        <f>""</f>
        <v/>
      </c>
      <c r="K3002" s="118"/>
      <c r="L3002" s="119">
        <f>SUBTOTAL(3,L3003:L3017)</f>
        <v>11</v>
      </c>
      <c r="M3002" s="118"/>
      <c r="N3002" s="118"/>
      <c r="O3002" s="120">
        <f t="shared" ref="O3002:T3002" si="920">SUBTOTAL(9,O3003:O3017)</f>
        <v>70096.510000000009</v>
      </c>
      <c r="P3002" s="120">
        <f t="shared" si="920"/>
        <v>0</v>
      </c>
      <c r="Q3002" s="120">
        <f t="shared" si="920"/>
        <v>0</v>
      </c>
      <c r="R3002" s="120">
        <f t="shared" si="920"/>
        <v>0</v>
      </c>
      <c r="S3002" s="120">
        <f t="shared" si="920"/>
        <v>0</v>
      </c>
      <c r="T3002" s="120">
        <f t="shared" si="920"/>
        <v>70096.510000000009</v>
      </c>
      <c r="U3002" s="81"/>
    </row>
    <row r="3003" spans="1:22" s="26" customFormat="1" ht="24.6" x14ac:dyDescent="0.55000000000000004">
      <c r="A3003" s="27" t="s">
        <v>327</v>
      </c>
      <c r="B3003" s="28"/>
      <c r="C3003" s="27" t="str">
        <f>C3002</f>
        <v>"NAV Direct","CRONUS JetCorp USA","18","1","C100094"</v>
      </c>
      <c r="D3003" s="27"/>
      <c r="E3003" s="28" t="str">
        <f>E3002</f>
        <v>C100094</v>
      </c>
      <c r="F3003" s="28"/>
      <c r="G3003" s="28"/>
      <c r="H3003" s="28"/>
      <c r="I3003" s="121" t="str">
        <f>"Contact: Ian Anderson"</f>
        <v>Contact: Ian Anderson</v>
      </c>
      <c r="J3003" s="121"/>
      <c r="K3003" s="122"/>
      <c r="L3003" s="123"/>
      <c r="M3003" s="123"/>
      <c r="N3003" s="124"/>
      <c r="O3003" s="124"/>
      <c r="P3003" s="123"/>
      <c r="Q3003" s="125"/>
      <c r="R3003" s="126"/>
      <c r="S3003" s="126"/>
      <c r="T3003" s="125"/>
      <c r="U3003" s="81"/>
    </row>
    <row r="3004" spans="1:22" s="26" customFormat="1" ht="24.6" x14ac:dyDescent="0.55000000000000004">
      <c r="A3004" s="27" t="s">
        <v>327</v>
      </c>
      <c r="B3004" s="28"/>
      <c r="C3004" s="27" t="str">
        <f>C3003</f>
        <v>"NAV Direct","CRONUS JetCorp USA","18","1","C100094"</v>
      </c>
      <c r="D3004" s="27"/>
      <c r="E3004" s="28" t="str">
        <f>E3003</f>
        <v>C100094</v>
      </c>
      <c r="F3004" s="28"/>
      <c r="G3004" s="28"/>
      <c r="H3004" s="28"/>
      <c r="I3004" s="121" t="str">
        <f>"TraxTonic Sdn Bhd@cronuscorp.net"</f>
        <v>TraxTonic Sdn Bhd@cronuscorp.net</v>
      </c>
      <c r="J3004" s="121"/>
      <c r="K3004" s="122"/>
      <c r="L3004" s="124"/>
      <c r="M3004" s="124"/>
      <c r="N3004" s="124"/>
      <c r="O3004" s="124"/>
      <c r="P3004" s="123"/>
      <c r="Q3004" s="125"/>
      <c r="R3004" s="126"/>
      <c r="S3004" s="126"/>
      <c r="T3004" s="125"/>
      <c r="U3004" s="81"/>
    </row>
    <row r="3005" spans="1:22" ht="12.75" hidden="1" customHeight="1" outlineLevel="1" x14ac:dyDescent="0.45">
      <c r="A3005" s="12" t="s">
        <v>328</v>
      </c>
      <c r="B3005" s="19"/>
      <c r="E3005" s="19"/>
      <c r="F3005" s="19"/>
      <c r="G3005" s="19"/>
      <c r="H3005" s="19"/>
      <c r="I3005" s="61"/>
      <c r="J3005" s="61"/>
      <c r="K3005" s="61"/>
      <c r="L3005" s="61"/>
      <c r="M3005" s="61"/>
      <c r="N3005" s="61"/>
      <c r="O3005" s="61"/>
      <c r="P3005" s="61"/>
      <c r="Q3005" s="61"/>
      <c r="R3005" s="61"/>
      <c r="S3005" s="61"/>
      <c r="T3005" s="61"/>
      <c r="U3005" s="61"/>
      <c r="V3005" s="21"/>
    </row>
    <row r="3006" spans="1:22" s="30" customFormat="1" ht="24.6" hidden="1" outlineLevel="1" x14ac:dyDescent="0.55000000000000004">
      <c r="A3006" s="27" t="s">
        <v>327</v>
      </c>
      <c r="B3006" s="28"/>
      <c r="C3006" s="27"/>
      <c r="D3006" s="27" t="str">
        <f>"""NAV Direct"",""CRONUS JetCorp USA"",""21"",""1"",""190703"""</f>
        <v>"NAV Direct","CRONUS JetCorp USA","21","1","190703"</v>
      </c>
      <c r="E3006" s="31" t="str">
        <f t="shared" ref="E3006:E3016" si="921">E3004</f>
        <v>C100094</v>
      </c>
      <c r="F3006" s="31"/>
      <c r="G3006" s="31"/>
      <c r="H3006" s="31"/>
      <c r="I3006" s="56"/>
      <c r="J3006" s="56"/>
      <c r="K3006" s="82" t="str">
        <f t="shared" ref="K3006:K3014" si="922">"Invoice"</f>
        <v>Invoice</v>
      </c>
      <c r="L3006" s="83" t="str">
        <f>"SI_108024"</f>
        <v>SI_108024</v>
      </c>
      <c r="M3006" s="84">
        <v>42031</v>
      </c>
      <c r="N3006" s="85">
        <f t="shared" ref="N3006:N3016" si="923">StartDate-$M3006+1</f>
        <v>1781</v>
      </c>
      <c r="O3006" s="86">
        <f t="shared" ref="O3006:O3016" si="924">SUM(P3006:T3006)</f>
        <v>7558.41</v>
      </c>
      <c r="P3006" s="86">
        <f t="shared" ref="P3006:P3016" si="925">IF($M3006&gt;=$P$18,U3006,0)</f>
        <v>0</v>
      </c>
      <c r="Q3006" s="86">
        <f t="shared" ref="Q3006:Q3016" si="926">IF(AND($M3006&gt;=$Q$16,$M3006&lt;=$Q$18),U3006,0)</f>
        <v>0</v>
      </c>
      <c r="R3006" s="86">
        <f t="shared" ref="R3006:R3016" si="927">IF(AND($M3006&gt;=$R$16,$M3006&lt;=$R$18),U3006,0)</f>
        <v>0</v>
      </c>
      <c r="S3006" s="86">
        <f t="shared" ref="S3006:S3016" si="928">IF(AND($M3006&gt;=$S$16,$M3006&lt;=$S$18),U3006,0)</f>
        <v>0</v>
      </c>
      <c r="T3006" s="86">
        <f t="shared" ref="T3006:T3016" si="929">IF($M3006&lt;=$T$18,U3006,0)</f>
        <v>7558.41</v>
      </c>
      <c r="U3006" s="87">
        <v>7558.41</v>
      </c>
    </row>
    <row r="3007" spans="1:22" s="30" customFormat="1" ht="24.6" hidden="1" outlineLevel="1" x14ac:dyDescent="0.55000000000000004">
      <c r="A3007" s="27" t="s">
        <v>327</v>
      </c>
      <c r="B3007" s="28"/>
      <c r="C3007" s="27"/>
      <c r="D3007" s="27" t="str">
        <f>"""NAV Direct"",""CRONUS JetCorp USA"",""21"",""1"",""191184"""</f>
        <v>"NAV Direct","CRONUS JetCorp USA","21","1","191184"</v>
      </c>
      <c r="E3007" s="31">
        <f t="shared" si="921"/>
        <v>0</v>
      </c>
      <c r="F3007" s="31"/>
      <c r="G3007" s="31"/>
      <c r="H3007" s="31"/>
      <c r="I3007" s="56"/>
      <c r="J3007" s="56"/>
      <c r="K3007" s="82" t="str">
        <f t="shared" si="922"/>
        <v>Invoice</v>
      </c>
      <c r="L3007" s="83" t="str">
        <f>"SI_108033"</f>
        <v>SI_108033</v>
      </c>
      <c r="M3007" s="84">
        <v>42087</v>
      </c>
      <c r="N3007" s="85">
        <f t="shared" si="923"/>
        <v>1725</v>
      </c>
      <c r="O3007" s="86">
        <f t="shared" si="924"/>
        <v>7674.62</v>
      </c>
      <c r="P3007" s="86">
        <f t="shared" si="925"/>
        <v>0</v>
      </c>
      <c r="Q3007" s="86">
        <f t="shared" si="926"/>
        <v>0</v>
      </c>
      <c r="R3007" s="86">
        <f t="shared" si="927"/>
        <v>0</v>
      </c>
      <c r="S3007" s="86">
        <f t="shared" si="928"/>
        <v>0</v>
      </c>
      <c r="T3007" s="86">
        <f t="shared" si="929"/>
        <v>7674.62</v>
      </c>
      <c r="U3007" s="87">
        <v>7674.62</v>
      </c>
    </row>
    <row r="3008" spans="1:22" s="30" customFormat="1" ht="24.6" hidden="1" outlineLevel="1" x14ac:dyDescent="0.55000000000000004">
      <c r="A3008" s="27" t="s">
        <v>327</v>
      </c>
      <c r="B3008" s="28"/>
      <c r="C3008" s="27"/>
      <c r="D3008" s="27" t="str">
        <f>"""NAV Direct"",""CRONUS JetCorp USA"",""21"",""1"",""191591"""</f>
        <v>"NAV Direct","CRONUS JetCorp USA","21","1","191591"</v>
      </c>
      <c r="E3008" s="31" t="str">
        <f t="shared" si="921"/>
        <v>C100094</v>
      </c>
      <c r="F3008" s="31"/>
      <c r="G3008" s="31"/>
      <c r="H3008" s="31"/>
      <c r="I3008" s="56"/>
      <c r="J3008" s="56"/>
      <c r="K3008" s="82" t="str">
        <f t="shared" si="922"/>
        <v>Invoice</v>
      </c>
      <c r="L3008" s="83" t="str">
        <f>"SI_108040"</f>
        <v>SI_108040</v>
      </c>
      <c r="M3008" s="84">
        <v>42150</v>
      </c>
      <c r="N3008" s="85">
        <f t="shared" si="923"/>
        <v>1662</v>
      </c>
      <c r="O3008" s="86">
        <f t="shared" si="924"/>
        <v>7975.6900000000005</v>
      </c>
      <c r="P3008" s="86">
        <f t="shared" si="925"/>
        <v>0</v>
      </c>
      <c r="Q3008" s="86">
        <f t="shared" si="926"/>
        <v>0</v>
      </c>
      <c r="R3008" s="86">
        <f t="shared" si="927"/>
        <v>0</v>
      </c>
      <c r="S3008" s="86">
        <f t="shared" si="928"/>
        <v>0</v>
      </c>
      <c r="T3008" s="86">
        <f t="shared" si="929"/>
        <v>7975.6900000000005</v>
      </c>
      <c r="U3008" s="87">
        <v>7975.6900000000005</v>
      </c>
    </row>
    <row r="3009" spans="1:22" s="30" customFormat="1" ht="24.6" hidden="1" outlineLevel="1" x14ac:dyDescent="0.55000000000000004">
      <c r="A3009" s="27" t="s">
        <v>327</v>
      </c>
      <c r="B3009" s="28"/>
      <c r="C3009" s="27"/>
      <c r="D3009" s="27" t="str">
        <f>"""NAV Direct"",""CRONUS JetCorp USA"",""21"",""1"",""191650"""</f>
        <v>"NAV Direct","CRONUS JetCorp USA","21","1","191650"</v>
      </c>
      <c r="E3009" s="31">
        <f t="shared" si="921"/>
        <v>0</v>
      </c>
      <c r="F3009" s="31"/>
      <c r="G3009" s="31"/>
      <c r="H3009" s="31"/>
      <c r="I3009" s="56"/>
      <c r="J3009" s="56"/>
      <c r="K3009" s="82" t="str">
        <f t="shared" si="922"/>
        <v>Invoice</v>
      </c>
      <c r="L3009" s="83" t="str">
        <f>"SI_108041"</f>
        <v>SI_108041</v>
      </c>
      <c r="M3009" s="84">
        <v>42148</v>
      </c>
      <c r="N3009" s="85">
        <f t="shared" si="923"/>
        <v>1664</v>
      </c>
      <c r="O3009" s="86">
        <f t="shared" si="924"/>
        <v>8058.8399999999992</v>
      </c>
      <c r="P3009" s="86">
        <f t="shared" si="925"/>
        <v>0</v>
      </c>
      <c r="Q3009" s="86">
        <f t="shared" si="926"/>
        <v>0</v>
      </c>
      <c r="R3009" s="86">
        <f t="shared" si="927"/>
        <v>0</v>
      </c>
      <c r="S3009" s="86">
        <f t="shared" si="928"/>
        <v>0</v>
      </c>
      <c r="T3009" s="86">
        <f t="shared" si="929"/>
        <v>8058.8399999999992</v>
      </c>
      <c r="U3009" s="87">
        <v>8058.8399999999992</v>
      </c>
    </row>
    <row r="3010" spans="1:22" s="30" customFormat="1" ht="24.6" hidden="1" outlineLevel="1" x14ac:dyDescent="0.55000000000000004">
      <c r="A3010" s="27" t="s">
        <v>327</v>
      </c>
      <c r="B3010" s="28"/>
      <c r="C3010" s="27"/>
      <c r="D3010" s="27" t="str">
        <f>"""NAV Direct"",""CRONUS JetCorp USA"",""21"",""1"",""192022"""</f>
        <v>"NAV Direct","CRONUS JetCorp USA","21","1","192022"</v>
      </c>
      <c r="E3010" s="31" t="str">
        <f t="shared" si="921"/>
        <v>C100094</v>
      </c>
      <c r="F3010" s="31"/>
      <c r="G3010" s="31"/>
      <c r="H3010" s="31"/>
      <c r="I3010" s="56"/>
      <c r="J3010" s="56"/>
      <c r="K3010" s="82" t="str">
        <f t="shared" si="922"/>
        <v>Invoice</v>
      </c>
      <c r="L3010" s="83" t="str">
        <f>"SI_108047"</f>
        <v>SI_108047</v>
      </c>
      <c r="M3010" s="84">
        <v>42187</v>
      </c>
      <c r="N3010" s="85">
        <f t="shared" si="923"/>
        <v>1625</v>
      </c>
      <c r="O3010" s="86">
        <f t="shared" si="924"/>
        <v>7979.16</v>
      </c>
      <c r="P3010" s="86">
        <f t="shared" si="925"/>
        <v>0</v>
      </c>
      <c r="Q3010" s="86">
        <f t="shared" si="926"/>
        <v>0</v>
      </c>
      <c r="R3010" s="86">
        <f t="shared" si="927"/>
        <v>0</v>
      </c>
      <c r="S3010" s="86">
        <f t="shared" si="928"/>
        <v>0</v>
      </c>
      <c r="T3010" s="86">
        <f t="shared" si="929"/>
        <v>7979.16</v>
      </c>
      <c r="U3010" s="87">
        <v>7979.16</v>
      </c>
    </row>
    <row r="3011" spans="1:22" s="30" customFormat="1" ht="24.6" hidden="1" outlineLevel="1" x14ac:dyDescent="0.55000000000000004">
      <c r="A3011" s="27" t="s">
        <v>327</v>
      </c>
      <c r="B3011" s="28"/>
      <c r="C3011" s="27"/>
      <c r="D3011" s="27" t="str">
        <f>"""NAV Direct"",""CRONUS JetCorp USA"",""21"",""1"",""192266"""</f>
        <v>"NAV Direct","CRONUS JetCorp USA","21","1","192266"</v>
      </c>
      <c r="E3011" s="31">
        <f t="shared" si="921"/>
        <v>0</v>
      </c>
      <c r="F3011" s="31"/>
      <c r="G3011" s="31"/>
      <c r="H3011" s="31"/>
      <c r="I3011" s="56"/>
      <c r="J3011" s="56"/>
      <c r="K3011" s="82" t="str">
        <f t="shared" si="922"/>
        <v>Invoice</v>
      </c>
      <c r="L3011" s="83" t="str">
        <f>"SI_108051"</f>
        <v>SI_108051</v>
      </c>
      <c r="M3011" s="84">
        <v>42221</v>
      </c>
      <c r="N3011" s="85">
        <f t="shared" si="923"/>
        <v>1591</v>
      </c>
      <c r="O3011" s="86">
        <f t="shared" si="924"/>
        <v>7739.7800000000007</v>
      </c>
      <c r="P3011" s="86">
        <f t="shared" si="925"/>
        <v>0</v>
      </c>
      <c r="Q3011" s="86">
        <f t="shared" si="926"/>
        <v>0</v>
      </c>
      <c r="R3011" s="86">
        <f t="shared" si="927"/>
        <v>0</v>
      </c>
      <c r="S3011" s="86">
        <f t="shared" si="928"/>
        <v>0</v>
      </c>
      <c r="T3011" s="86">
        <f t="shared" si="929"/>
        <v>7739.7800000000007</v>
      </c>
      <c r="U3011" s="87">
        <v>7739.7800000000007</v>
      </c>
    </row>
    <row r="3012" spans="1:22" s="30" customFormat="1" ht="24.6" hidden="1" outlineLevel="1" x14ac:dyDescent="0.55000000000000004">
      <c r="A3012" s="27" t="s">
        <v>327</v>
      </c>
      <c r="B3012" s="28"/>
      <c r="C3012" s="27"/>
      <c r="D3012" s="27" t="str">
        <f>"""NAV Direct"",""CRONUS JetCorp USA"",""21"",""1"",""192459"""</f>
        <v>"NAV Direct","CRONUS JetCorp USA","21","1","192459"</v>
      </c>
      <c r="E3012" s="31" t="str">
        <f t="shared" si="921"/>
        <v>C100094</v>
      </c>
      <c r="F3012" s="31"/>
      <c r="G3012" s="31"/>
      <c r="H3012" s="31"/>
      <c r="I3012" s="56"/>
      <c r="J3012" s="56"/>
      <c r="K3012" s="82" t="str">
        <f t="shared" si="922"/>
        <v>Invoice</v>
      </c>
      <c r="L3012" s="83" t="str">
        <f>"SI_108054"</f>
        <v>SI_108054</v>
      </c>
      <c r="M3012" s="84">
        <v>42242</v>
      </c>
      <c r="N3012" s="85">
        <f t="shared" si="923"/>
        <v>1570</v>
      </c>
      <c r="O3012" s="86">
        <f t="shared" si="924"/>
        <v>7741.29</v>
      </c>
      <c r="P3012" s="86">
        <f t="shared" si="925"/>
        <v>0</v>
      </c>
      <c r="Q3012" s="86">
        <f t="shared" si="926"/>
        <v>0</v>
      </c>
      <c r="R3012" s="86">
        <f t="shared" si="927"/>
        <v>0</v>
      </c>
      <c r="S3012" s="86">
        <f t="shared" si="928"/>
        <v>0</v>
      </c>
      <c r="T3012" s="86">
        <f t="shared" si="929"/>
        <v>7741.29</v>
      </c>
      <c r="U3012" s="87">
        <v>7741.29</v>
      </c>
    </row>
    <row r="3013" spans="1:22" s="30" customFormat="1" ht="24.6" hidden="1" outlineLevel="1" x14ac:dyDescent="0.55000000000000004">
      <c r="A3013" s="27" t="s">
        <v>327</v>
      </c>
      <c r="B3013" s="28"/>
      <c r="C3013" s="27"/>
      <c r="D3013" s="27" t="str">
        <f>"""NAV Direct"",""CRONUS JetCorp USA"",""21"",""1"",""192750"""</f>
        <v>"NAV Direct","CRONUS JetCorp USA","21","1","192750"</v>
      </c>
      <c r="E3013" s="31">
        <f t="shared" si="921"/>
        <v>0</v>
      </c>
      <c r="F3013" s="31"/>
      <c r="G3013" s="31"/>
      <c r="H3013" s="31"/>
      <c r="I3013" s="56"/>
      <c r="J3013" s="56"/>
      <c r="K3013" s="82" t="str">
        <f t="shared" si="922"/>
        <v>Invoice</v>
      </c>
      <c r="L3013" s="83" t="str">
        <f>"SI_108059"</f>
        <v>SI_108059</v>
      </c>
      <c r="M3013" s="84">
        <v>42274</v>
      </c>
      <c r="N3013" s="85">
        <f t="shared" si="923"/>
        <v>1538</v>
      </c>
      <c r="O3013" s="86">
        <f t="shared" si="924"/>
        <v>7749.09</v>
      </c>
      <c r="P3013" s="86">
        <f t="shared" si="925"/>
        <v>0</v>
      </c>
      <c r="Q3013" s="86">
        <f t="shared" si="926"/>
        <v>0</v>
      </c>
      <c r="R3013" s="86">
        <f t="shared" si="927"/>
        <v>0</v>
      </c>
      <c r="S3013" s="86">
        <f t="shared" si="928"/>
        <v>0</v>
      </c>
      <c r="T3013" s="86">
        <f t="shared" si="929"/>
        <v>7749.09</v>
      </c>
      <c r="U3013" s="87">
        <v>7749.09</v>
      </c>
    </row>
    <row r="3014" spans="1:22" s="30" customFormat="1" ht="24.6" hidden="1" outlineLevel="1" x14ac:dyDescent="0.55000000000000004">
      <c r="A3014" s="27" t="s">
        <v>327</v>
      </c>
      <c r="B3014" s="28"/>
      <c r="C3014" s="27"/>
      <c r="D3014" s="27" t="str">
        <f>"""NAV Direct"",""CRONUS JetCorp USA"",""21"",""1"",""193338"""</f>
        <v>"NAV Direct","CRONUS JetCorp USA","21","1","193338"</v>
      </c>
      <c r="E3014" s="31" t="str">
        <f t="shared" si="921"/>
        <v>C100094</v>
      </c>
      <c r="F3014" s="31"/>
      <c r="G3014" s="31"/>
      <c r="H3014" s="31"/>
      <c r="I3014" s="56"/>
      <c r="J3014" s="56"/>
      <c r="K3014" s="82" t="str">
        <f t="shared" si="922"/>
        <v>Invoice</v>
      </c>
      <c r="L3014" s="83" t="str">
        <f>"SI_108069"</f>
        <v>SI_108069</v>
      </c>
      <c r="M3014" s="84">
        <v>42362</v>
      </c>
      <c r="N3014" s="85">
        <f t="shared" si="923"/>
        <v>1450</v>
      </c>
      <c r="O3014" s="86">
        <f t="shared" si="924"/>
        <v>7772.2100000000009</v>
      </c>
      <c r="P3014" s="86">
        <f t="shared" si="925"/>
        <v>0</v>
      </c>
      <c r="Q3014" s="86">
        <f t="shared" si="926"/>
        <v>0</v>
      </c>
      <c r="R3014" s="86">
        <f t="shared" si="927"/>
        <v>0</v>
      </c>
      <c r="S3014" s="86">
        <f t="shared" si="928"/>
        <v>0</v>
      </c>
      <c r="T3014" s="86">
        <f t="shared" si="929"/>
        <v>7772.2100000000009</v>
      </c>
      <c r="U3014" s="87">
        <v>7772.2100000000009</v>
      </c>
    </row>
    <row r="3015" spans="1:22" s="30" customFormat="1" ht="24.6" hidden="1" outlineLevel="1" x14ac:dyDescent="0.55000000000000004">
      <c r="A3015" s="27" t="s">
        <v>327</v>
      </c>
      <c r="B3015" s="28"/>
      <c r="C3015" s="27"/>
      <c r="D3015" s="27" t="str">
        <f>"""NAV Direct"",""CRONUS JetCorp USA"",""21"",""1"",""443637"""</f>
        <v>"NAV Direct","CRONUS JetCorp USA","21","1","443637"</v>
      </c>
      <c r="E3015" s="31">
        <f t="shared" si="921"/>
        <v>0</v>
      </c>
      <c r="F3015" s="31"/>
      <c r="G3015" s="31"/>
      <c r="H3015" s="31"/>
      <c r="I3015" s="56"/>
      <c r="J3015" s="56"/>
      <c r="K3015" s="82" t="str">
        <f>"Credit Memo"</f>
        <v>Credit Memo</v>
      </c>
      <c r="L3015" s="83" t="str">
        <f>"SC_101086"</f>
        <v>SC_101086</v>
      </c>
      <c r="M3015" s="84">
        <v>42543</v>
      </c>
      <c r="N3015" s="85">
        <f t="shared" si="923"/>
        <v>1269</v>
      </c>
      <c r="O3015" s="86">
        <f t="shared" si="924"/>
        <v>-77.64</v>
      </c>
      <c r="P3015" s="86">
        <f t="shared" si="925"/>
        <v>0</v>
      </c>
      <c r="Q3015" s="86">
        <f t="shared" si="926"/>
        <v>0</v>
      </c>
      <c r="R3015" s="86">
        <f t="shared" si="927"/>
        <v>0</v>
      </c>
      <c r="S3015" s="86">
        <f t="shared" si="928"/>
        <v>0</v>
      </c>
      <c r="T3015" s="86">
        <f t="shared" si="929"/>
        <v>-77.64</v>
      </c>
      <c r="U3015" s="87">
        <v>-77.64</v>
      </c>
    </row>
    <row r="3016" spans="1:22" s="30" customFormat="1" ht="24.6" hidden="1" outlineLevel="1" x14ac:dyDescent="0.55000000000000004">
      <c r="A3016" s="27" t="s">
        <v>327</v>
      </c>
      <c r="B3016" s="28"/>
      <c r="C3016" s="27"/>
      <c r="D3016" s="27" t="str">
        <f>"""NAV Direct"",""CRONUS JetCorp USA"",""21"",""1"",""443850"""</f>
        <v>"NAV Direct","CRONUS JetCorp USA","21","1","443850"</v>
      </c>
      <c r="E3016" s="31" t="str">
        <f t="shared" si="921"/>
        <v>C100094</v>
      </c>
      <c r="F3016" s="31"/>
      <c r="G3016" s="31"/>
      <c r="H3016" s="31"/>
      <c r="I3016" s="56"/>
      <c r="J3016" s="56"/>
      <c r="K3016" s="82" t="str">
        <f>"Credit Memo"</f>
        <v>Credit Memo</v>
      </c>
      <c r="L3016" s="83" t="str">
        <f>"SC_101111"</f>
        <v>SC_101111</v>
      </c>
      <c r="M3016" s="84">
        <v>43625</v>
      </c>
      <c r="N3016" s="85">
        <f t="shared" si="923"/>
        <v>187</v>
      </c>
      <c r="O3016" s="86">
        <f t="shared" si="924"/>
        <v>-74.940000000000012</v>
      </c>
      <c r="P3016" s="86">
        <f t="shared" si="925"/>
        <v>0</v>
      </c>
      <c r="Q3016" s="86">
        <f t="shared" si="926"/>
        <v>0</v>
      </c>
      <c r="R3016" s="86">
        <f t="shared" si="927"/>
        <v>0</v>
      </c>
      <c r="S3016" s="86">
        <f t="shared" si="928"/>
        <v>0</v>
      </c>
      <c r="T3016" s="86">
        <f t="shared" si="929"/>
        <v>-74.940000000000012</v>
      </c>
      <c r="U3016" s="87">
        <v>-74.940000000000012</v>
      </c>
    </row>
    <row r="3017" spans="1:22" s="22" customFormat="1" ht="20.399999999999999" collapsed="1" x14ac:dyDescent="0.45">
      <c r="A3017" s="12" t="s">
        <v>327</v>
      </c>
      <c r="B3017" s="19"/>
      <c r="C3017" s="12"/>
      <c r="D3017" s="12"/>
      <c r="E3017" s="23"/>
      <c r="F3017" s="23"/>
      <c r="G3017" s="23"/>
      <c r="H3017" s="23"/>
      <c r="I3017" s="49"/>
      <c r="J3017" s="88"/>
      <c r="K3017" s="88"/>
      <c r="L3017" s="89"/>
      <c r="M3017" s="89"/>
      <c r="N3017" s="89"/>
      <c r="O3017" s="89"/>
      <c r="P3017" s="89"/>
      <c r="Q3017" s="90"/>
      <c r="R3017" s="90"/>
      <c r="S3017" s="91"/>
      <c r="T3017" s="92"/>
      <c r="U3017" s="92"/>
    </row>
    <row r="3018" spans="1:22" s="22" customFormat="1" ht="20.399999999999999" x14ac:dyDescent="0.45">
      <c r="A3018" s="12" t="s">
        <v>327</v>
      </c>
      <c r="B3018" s="19"/>
      <c r="C3018" s="12"/>
      <c r="D3018" s="12"/>
      <c r="E3018" s="23"/>
      <c r="F3018" s="23"/>
      <c r="G3018" s="23"/>
      <c r="H3018" s="23"/>
      <c r="I3018" s="49"/>
      <c r="J3018" s="88"/>
      <c r="K3018" s="88"/>
      <c r="L3018" s="89"/>
      <c r="M3018" s="89"/>
      <c r="N3018" s="89"/>
      <c r="O3018" s="89"/>
      <c r="P3018" s="89"/>
      <c r="Q3018" s="90"/>
      <c r="R3018" s="90"/>
      <c r="S3018" s="91"/>
      <c r="T3018" s="92"/>
      <c r="U3018" s="92"/>
    </row>
    <row r="3019" spans="1:22" s="26" customFormat="1" ht="24.6" x14ac:dyDescent="0.55000000000000004">
      <c r="A3019" s="27" t="s">
        <v>327</v>
      </c>
      <c r="B3019" s="28"/>
      <c r="C3019" s="27" t="str">
        <f>"""NAV Direct"",""CRONUS JetCorp USA"",""18"",""1"",""C100095"""</f>
        <v>"NAV Direct","CRONUS JetCorp USA","18","1","C100095"</v>
      </c>
      <c r="D3019" s="27"/>
      <c r="E3019" s="28" t="str">
        <f>H3019</f>
        <v>C100095</v>
      </c>
      <c r="F3019" s="28"/>
      <c r="G3019" s="28"/>
      <c r="H3019" s="28" t="str">
        <f>"C100095"</f>
        <v>C100095</v>
      </c>
      <c r="I3019" s="116" t="str">
        <f>"C100095  -  Randotax Outfitters"</f>
        <v>C100095  -  Randotax Outfitters</v>
      </c>
      <c r="J3019" s="117" t="str">
        <f>""</f>
        <v/>
      </c>
      <c r="K3019" s="118"/>
      <c r="L3019" s="119">
        <f>SUBTOTAL(3,L3020:L3079)</f>
        <v>56</v>
      </c>
      <c r="M3019" s="118"/>
      <c r="N3019" s="118"/>
      <c r="O3019" s="120">
        <f t="shared" ref="O3019:T3019" si="930">SUBTOTAL(9,O3020:O3079)</f>
        <v>602683.67000000016</v>
      </c>
      <c r="P3019" s="120">
        <f t="shared" si="930"/>
        <v>0</v>
      </c>
      <c r="Q3019" s="120">
        <f t="shared" si="930"/>
        <v>28174.48</v>
      </c>
      <c r="R3019" s="120">
        <f t="shared" si="930"/>
        <v>42728.15</v>
      </c>
      <c r="S3019" s="120">
        <f t="shared" si="930"/>
        <v>14386.52</v>
      </c>
      <c r="T3019" s="120">
        <f t="shared" si="930"/>
        <v>517394.52</v>
      </c>
      <c r="U3019" s="81"/>
    </row>
    <row r="3020" spans="1:22" s="26" customFormat="1" ht="24.6" x14ac:dyDescent="0.55000000000000004">
      <c r="A3020" s="27" t="s">
        <v>327</v>
      </c>
      <c r="B3020" s="28"/>
      <c r="C3020" s="27" t="str">
        <f>C3019</f>
        <v>"NAV Direct","CRONUS JetCorp USA","18","1","C100095"</v>
      </c>
      <c r="D3020" s="27"/>
      <c r="E3020" s="28" t="str">
        <f>E3019</f>
        <v>C100095</v>
      </c>
      <c r="F3020" s="28"/>
      <c r="G3020" s="28"/>
      <c r="H3020" s="28"/>
      <c r="I3020" s="121" t="str">
        <f>"Contact: Blaine Everson"</f>
        <v>Contact: Blaine Everson</v>
      </c>
      <c r="J3020" s="121"/>
      <c r="K3020" s="122"/>
      <c r="L3020" s="123"/>
      <c r="M3020" s="123"/>
      <c r="N3020" s="124"/>
      <c r="O3020" s="124"/>
      <c r="P3020" s="123"/>
      <c r="Q3020" s="125"/>
      <c r="R3020" s="126"/>
      <c r="S3020" s="126"/>
      <c r="T3020" s="125"/>
      <c r="U3020" s="81"/>
    </row>
    <row r="3021" spans="1:22" s="26" customFormat="1" ht="24.6" x14ac:dyDescent="0.55000000000000004">
      <c r="A3021" s="27" t="s">
        <v>327</v>
      </c>
      <c r="B3021" s="28"/>
      <c r="C3021" s="27" t="str">
        <f>C3020</f>
        <v>"NAV Direct","CRONUS JetCorp USA","18","1","C100095"</v>
      </c>
      <c r="D3021" s="27"/>
      <c r="E3021" s="28" t="str">
        <f>E3020</f>
        <v>C100095</v>
      </c>
      <c r="F3021" s="28"/>
      <c r="G3021" s="28"/>
      <c r="H3021" s="28"/>
      <c r="I3021" s="121" t="str">
        <f>"Randotax Outfitters@Cronus.com"</f>
        <v>Randotax Outfitters@Cronus.com</v>
      </c>
      <c r="J3021" s="121"/>
      <c r="K3021" s="122"/>
      <c r="L3021" s="124"/>
      <c r="M3021" s="124"/>
      <c r="N3021" s="124"/>
      <c r="O3021" s="124"/>
      <c r="P3021" s="123"/>
      <c r="Q3021" s="125"/>
      <c r="R3021" s="126"/>
      <c r="S3021" s="126"/>
      <c r="T3021" s="125"/>
      <c r="U3021" s="81"/>
    </row>
    <row r="3022" spans="1:22" ht="12.75" hidden="1" customHeight="1" outlineLevel="1" x14ac:dyDescent="0.45">
      <c r="A3022" s="12" t="s">
        <v>328</v>
      </c>
      <c r="B3022" s="19"/>
      <c r="E3022" s="19"/>
      <c r="F3022" s="19"/>
      <c r="G3022" s="19"/>
      <c r="H3022" s="19"/>
      <c r="I3022" s="61"/>
      <c r="J3022" s="61"/>
      <c r="K3022" s="61"/>
      <c r="L3022" s="61"/>
      <c r="M3022" s="61"/>
      <c r="N3022" s="61"/>
      <c r="O3022" s="61"/>
      <c r="P3022" s="61"/>
      <c r="Q3022" s="61"/>
      <c r="R3022" s="61"/>
      <c r="S3022" s="61"/>
      <c r="T3022" s="61"/>
      <c r="U3022" s="61"/>
      <c r="V3022" s="21"/>
    </row>
    <row r="3023" spans="1:22" s="30" customFormat="1" ht="24.6" hidden="1" outlineLevel="1" x14ac:dyDescent="0.55000000000000004">
      <c r="A3023" s="27" t="s">
        <v>327</v>
      </c>
      <c r="B3023" s="28"/>
      <c r="C3023" s="27"/>
      <c r="D3023" s="27" t="str">
        <f>"""NAV Direct"",""CRONUS JetCorp USA"",""21"",""1"",""72411"""</f>
        <v>"NAV Direct","CRONUS JetCorp USA","21","1","72411"</v>
      </c>
      <c r="E3023" s="31" t="str">
        <f t="shared" ref="E3023:E3054" si="931">E3021</f>
        <v>C100095</v>
      </c>
      <c r="F3023" s="31"/>
      <c r="G3023" s="31"/>
      <c r="H3023" s="31"/>
      <c r="I3023" s="56"/>
      <c r="J3023" s="56"/>
      <c r="K3023" s="82" t="str">
        <f t="shared" ref="K3023:K3064" si="932">"Invoice"</f>
        <v>Invoice</v>
      </c>
      <c r="L3023" s="83" t="str">
        <f>"SI_105773"</f>
        <v>SI_105773</v>
      </c>
      <c r="M3023" s="84">
        <v>42355</v>
      </c>
      <c r="N3023" s="85">
        <f t="shared" ref="N3023:N3054" si="933">StartDate-$M3023+1</f>
        <v>1457</v>
      </c>
      <c r="O3023" s="86">
        <f t="shared" ref="O3023:O3054" si="934">SUM(P3023:T3023)</f>
        <v>11628.210000000001</v>
      </c>
      <c r="P3023" s="86">
        <f t="shared" ref="P3023:P3054" si="935">IF($M3023&gt;=$P$18,U3023,0)</f>
        <v>0</v>
      </c>
      <c r="Q3023" s="86">
        <f t="shared" ref="Q3023:Q3054" si="936">IF(AND($M3023&gt;=$Q$16,$M3023&lt;=$Q$18),U3023,0)</f>
        <v>0</v>
      </c>
      <c r="R3023" s="86">
        <f t="shared" ref="R3023:R3054" si="937">IF(AND($M3023&gt;=$R$16,$M3023&lt;=$R$18),U3023,0)</f>
        <v>0</v>
      </c>
      <c r="S3023" s="86">
        <f t="shared" ref="S3023:S3054" si="938">IF(AND($M3023&gt;=$S$16,$M3023&lt;=$S$18),U3023,0)</f>
        <v>0</v>
      </c>
      <c r="T3023" s="86">
        <f t="shared" ref="T3023:T3054" si="939">IF($M3023&lt;=$T$18,U3023,0)</f>
        <v>11628.210000000001</v>
      </c>
      <c r="U3023" s="87">
        <v>11628.210000000001</v>
      </c>
    </row>
    <row r="3024" spans="1:22" s="30" customFormat="1" ht="24.6" hidden="1" outlineLevel="1" x14ac:dyDescent="0.55000000000000004">
      <c r="A3024" s="27" t="s">
        <v>327</v>
      </c>
      <c r="B3024" s="28"/>
      <c r="C3024" s="27"/>
      <c r="D3024" s="27" t="str">
        <f>"""NAV Direct"",""CRONUS JetCorp USA"",""21"",""1"",""352276"""</f>
        <v>"NAV Direct","CRONUS JetCorp USA","21","1","352276"</v>
      </c>
      <c r="E3024" s="31">
        <f t="shared" si="931"/>
        <v>0</v>
      </c>
      <c r="F3024" s="31"/>
      <c r="G3024" s="31"/>
      <c r="H3024" s="31"/>
      <c r="I3024" s="56"/>
      <c r="J3024" s="56"/>
      <c r="K3024" s="82" t="str">
        <f t="shared" si="932"/>
        <v>Invoice</v>
      </c>
      <c r="L3024" s="83" t="str">
        <f>"SI_111032"</f>
        <v>SI_111032</v>
      </c>
      <c r="M3024" s="84">
        <v>42490</v>
      </c>
      <c r="N3024" s="85">
        <f t="shared" si="933"/>
        <v>1322</v>
      </c>
      <c r="O3024" s="86">
        <f t="shared" si="934"/>
        <v>9479.16</v>
      </c>
      <c r="P3024" s="86">
        <f t="shared" si="935"/>
        <v>0</v>
      </c>
      <c r="Q3024" s="86">
        <f t="shared" si="936"/>
        <v>0</v>
      </c>
      <c r="R3024" s="86">
        <f t="shared" si="937"/>
        <v>0</v>
      </c>
      <c r="S3024" s="86">
        <f t="shared" si="938"/>
        <v>0</v>
      </c>
      <c r="T3024" s="86">
        <f t="shared" si="939"/>
        <v>9479.16</v>
      </c>
      <c r="U3024" s="87">
        <v>9479.16</v>
      </c>
    </row>
    <row r="3025" spans="1:21" s="30" customFormat="1" ht="24.6" hidden="1" outlineLevel="1" x14ac:dyDescent="0.55000000000000004">
      <c r="A3025" s="27" t="s">
        <v>327</v>
      </c>
      <c r="B3025" s="28"/>
      <c r="C3025" s="27"/>
      <c r="D3025" s="27" t="str">
        <f>"""NAV Direct"",""CRONUS JetCorp USA"",""21"",""1"",""352429"""</f>
        <v>"NAV Direct","CRONUS JetCorp USA","21","1","352429"</v>
      </c>
      <c r="E3025" s="31" t="str">
        <f t="shared" si="931"/>
        <v>C100095</v>
      </c>
      <c r="F3025" s="31"/>
      <c r="G3025" s="31"/>
      <c r="H3025" s="31"/>
      <c r="I3025" s="56"/>
      <c r="J3025" s="56"/>
      <c r="K3025" s="82" t="str">
        <f t="shared" si="932"/>
        <v>Invoice</v>
      </c>
      <c r="L3025" s="83" t="str">
        <f>"SI_111037"</f>
        <v>SI_111037</v>
      </c>
      <c r="M3025" s="84">
        <v>42522</v>
      </c>
      <c r="N3025" s="85">
        <f t="shared" si="933"/>
        <v>1290</v>
      </c>
      <c r="O3025" s="86">
        <f t="shared" si="934"/>
        <v>10853.65</v>
      </c>
      <c r="P3025" s="86">
        <f t="shared" si="935"/>
        <v>0</v>
      </c>
      <c r="Q3025" s="86">
        <f t="shared" si="936"/>
        <v>0</v>
      </c>
      <c r="R3025" s="86">
        <f t="shared" si="937"/>
        <v>0</v>
      </c>
      <c r="S3025" s="86">
        <f t="shared" si="938"/>
        <v>0</v>
      </c>
      <c r="T3025" s="86">
        <f t="shared" si="939"/>
        <v>10853.65</v>
      </c>
      <c r="U3025" s="87">
        <v>10853.65</v>
      </c>
    </row>
    <row r="3026" spans="1:21" s="30" customFormat="1" ht="24.6" hidden="1" outlineLevel="1" x14ac:dyDescent="0.55000000000000004">
      <c r="A3026" s="27" t="s">
        <v>327</v>
      </c>
      <c r="B3026" s="28"/>
      <c r="C3026" s="27"/>
      <c r="D3026" s="27" t="str">
        <f>"""NAV Direct"",""CRONUS JetCorp USA"",""21"",""1"",""352526"""</f>
        <v>"NAV Direct","CRONUS JetCorp USA","21","1","352526"</v>
      </c>
      <c r="E3026" s="31">
        <f t="shared" si="931"/>
        <v>0</v>
      </c>
      <c r="F3026" s="31"/>
      <c r="G3026" s="31"/>
      <c r="H3026" s="31"/>
      <c r="I3026" s="56"/>
      <c r="J3026" s="56"/>
      <c r="K3026" s="82" t="str">
        <f t="shared" si="932"/>
        <v>Invoice</v>
      </c>
      <c r="L3026" s="83" t="str">
        <f>"SI_111040"</f>
        <v>SI_111040</v>
      </c>
      <c r="M3026" s="84">
        <v>42547</v>
      </c>
      <c r="N3026" s="85">
        <f t="shared" si="933"/>
        <v>1265</v>
      </c>
      <c r="O3026" s="86">
        <f t="shared" si="934"/>
        <v>12301.11</v>
      </c>
      <c r="P3026" s="86">
        <f t="shared" si="935"/>
        <v>0</v>
      </c>
      <c r="Q3026" s="86">
        <f t="shared" si="936"/>
        <v>0</v>
      </c>
      <c r="R3026" s="86">
        <f t="shared" si="937"/>
        <v>0</v>
      </c>
      <c r="S3026" s="86">
        <f t="shared" si="938"/>
        <v>0</v>
      </c>
      <c r="T3026" s="86">
        <f t="shared" si="939"/>
        <v>12301.11</v>
      </c>
      <c r="U3026" s="87">
        <v>12301.11</v>
      </c>
    </row>
    <row r="3027" spans="1:21" s="30" customFormat="1" ht="24.6" hidden="1" outlineLevel="1" x14ac:dyDescent="0.55000000000000004">
      <c r="A3027" s="27" t="s">
        <v>327</v>
      </c>
      <c r="B3027" s="28"/>
      <c r="C3027" s="27"/>
      <c r="D3027" s="27" t="str">
        <f>"""NAV Direct"",""CRONUS JetCorp USA"",""21"",""1"",""352849"""</f>
        <v>"NAV Direct","CRONUS JetCorp USA","21","1","352849"</v>
      </c>
      <c r="E3027" s="31" t="str">
        <f t="shared" si="931"/>
        <v>C100095</v>
      </c>
      <c r="F3027" s="31"/>
      <c r="G3027" s="31"/>
      <c r="H3027" s="31"/>
      <c r="I3027" s="56"/>
      <c r="J3027" s="56"/>
      <c r="K3027" s="82" t="str">
        <f t="shared" si="932"/>
        <v>Invoice</v>
      </c>
      <c r="L3027" s="83" t="str">
        <f>"SI_111051"</f>
        <v>SI_111051</v>
      </c>
      <c r="M3027" s="84">
        <v>42633</v>
      </c>
      <c r="N3027" s="85">
        <f t="shared" si="933"/>
        <v>1179</v>
      </c>
      <c r="O3027" s="86">
        <f t="shared" si="934"/>
        <v>9572.9699999999993</v>
      </c>
      <c r="P3027" s="86">
        <f t="shared" si="935"/>
        <v>0</v>
      </c>
      <c r="Q3027" s="86">
        <f t="shared" si="936"/>
        <v>0</v>
      </c>
      <c r="R3027" s="86">
        <f t="shared" si="937"/>
        <v>0</v>
      </c>
      <c r="S3027" s="86">
        <f t="shared" si="938"/>
        <v>0</v>
      </c>
      <c r="T3027" s="86">
        <f t="shared" si="939"/>
        <v>9572.9699999999993</v>
      </c>
      <c r="U3027" s="87">
        <v>9572.9699999999993</v>
      </c>
    </row>
    <row r="3028" spans="1:21" s="30" customFormat="1" ht="24.6" hidden="1" outlineLevel="1" x14ac:dyDescent="0.55000000000000004">
      <c r="A3028" s="27" t="s">
        <v>327</v>
      </c>
      <c r="B3028" s="28"/>
      <c r="C3028" s="27"/>
      <c r="D3028" s="27" t="str">
        <f>"""NAV Direct"",""CRONUS JetCorp USA"",""21"",""1"",""352917"""</f>
        <v>"NAV Direct","CRONUS JetCorp USA","21","1","352917"</v>
      </c>
      <c r="E3028" s="31">
        <f t="shared" si="931"/>
        <v>0</v>
      </c>
      <c r="F3028" s="31"/>
      <c r="G3028" s="31"/>
      <c r="H3028" s="31"/>
      <c r="I3028" s="56"/>
      <c r="J3028" s="56"/>
      <c r="K3028" s="82" t="str">
        <f t="shared" si="932"/>
        <v>Invoice</v>
      </c>
      <c r="L3028" s="83" t="str">
        <f>"SI_111053"</f>
        <v>SI_111053</v>
      </c>
      <c r="M3028" s="84">
        <v>42668</v>
      </c>
      <c r="N3028" s="85">
        <f t="shared" si="933"/>
        <v>1144</v>
      </c>
      <c r="O3028" s="86">
        <f t="shared" si="934"/>
        <v>10541.86</v>
      </c>
      <c r="P3028" s="86">
        <f t="shared" si="935"/>
        <v>0</v>
      </c>
      <c r="Q3028" s="86">
        <f t="shared" si="936"/>
        <v>0</v>
      </c>
      <c r="R3028" s="86">
        <f t="shared" si="937"/>
        <v>0</v>
      </c>
      <c r="S3028" s="86">
        <f t="shared" si="938"/>
        <v>0</v>
      </c>
      <c r="T3028" s="86">
        <f t="shared" si="939"/>
        <v>10541.86</v>
      </c>
      <c r="U3028" s="87">
        <v>10541.86</v>
      </c>
    </row>
    <row r="3029" spans="1:21" s="30" customFormat="1" ht="24.6" hidden="1" outlineLevel="1" x14ac:dyDescent="0.55000000000000004">
      <c r="A3029" s="27" t="s">
        <v>327</v>
      </c>
      <c r="B3029" s="28"/>
      <c r="C3029" s="27"/>
      <c r="D3029" s="27" t="str">
        <f>"""NAV Direct"",""CRONUS JetCorp USA"",""21"",""1"",""353222"""</f>
        <v>"NAV Direct","CRONUS JetCorp USA","21","1","353222"</v>
      </c>
      <c r="E3029" s="31" t="str">
        <f t="shared" si="931"/>
        <v>C100095</v>
      </c>
      <c r="F3029" s="31"/>
      <c r="G3029" s="31"/>
      <c r="H3029" s="31"/>
      <c r="I3029" s="56"/>
      <c r="J3029" s="56"/>
      <c r="K3029" s="82" t="str">
        <f t="shared" si="932"/>
        <v>Invoice</v>
      </c>
      <c r="L3029" s="83" t="str">
        <f>"SI_111062"</f>
        <v>SI_111062</v>
      </c>
      <c r="M3029" s="84">
        <v>42731</v>
      </c>
      <c r="N3029" s="85">
        <f t="shared" si="933"/>
        <v>1081</v>
      </c>
      <c r="O3029" s="86">
        <f t="shared" si="934"/>
        <v>14053.95</v>
      </c>
      <c r="P3029" s="86">
        <f t="shared" si="935"/>
        <v>0</v>
      </c>
      <c r="Q3029" s="86">
        <f t="shared" si="936"/>
        <v>0</v>
      </c>
      <c r="R3029" s="86">
        <f t="shared" si="937"/>
        <v>0</v>
      </c>
      <c r="S3029" s="86">
        <f t="shared" si="938"/>
        <v>0</v>
      </c>
      <c r="T3029" s="86">
        <f t="shared" si="939"/>
        <v>14053.95</v>
      </c>
      <c r="U3029" s="87">
        <v>14053.95</v>
      </c>
    </row>
    <row r="3030" spans="1:21" s="30" customFormat="1" ht="24.6" hidden="1" outlineLevel="1" x14ac:dyDescent="0.55000000000000004">
      <c r="A3030" s="27" t="s">
        <v>327</v>
      </c>
      <c r="B3030" s="28"/>
      <c r="C3030" s="27"/>
      <c r="D3030" s="27" t="str">
        <f>"""NAV Direct"",""CRONUS JetCorp USA"",""21"",""1"",""353391"""</f>
        <v>"NAV Direct","CRONUS JetCorp USA","21","1","353391"</v>
      </c>
      <c r="E3030" s="31">
        <f t="shared" si="931"/>
        <v>0</v>
      </c>
      <c r="F3030" s="31"/>
      <c r="G3030" s="31"/>
      <c r="H3030" s="31"/>
      <c r="I3030" s="56"/>
      <c r="J3030" s="56"/>
      <c r="K3030" s="82" t="str">
        <f t="shared" si="932"/>
        <v>Invoice</v>
      </c>
      <c r="L3030" s="83" t="str">
        <f>"SI_111067"</f>
        <v>SI_111067</v>
      </c>
      <c r="M3030" s="84">
        <v>42793</v>
      </c>
      <c r="N3030" s="85">
        <f t="shared" si="933"/>
        <v>1019</v>
      </c>
      <c r="O3030" s="86">
        <f t="shared" si="934"/>
        <v>10637.34</v>
      </c>
      <c r="P3030" s="86">
        <f t="shared" si="935"/>
        <v>0</v>
      </c>
      <c r="Q3030" s="86">
        <f t="shared" si="936"/>
        <v>0</v>
      </c>
      <c r="R3030" s="86">
        <f t="shared" si="937"/>
        <v>0</v>
      </c>
      <c r="S3030" s="86">
        <f t="shared" si="938"/>
        <v>0</v>
      </c>
      <c r="T3030" s="86">
        <f t="shared" si="939"/>
        <v>10637.34</v>
      </c>
      <c r="U3030" s="87">
        <v>10637.34</v>
      </c>
    </row>
    <row r="3031" spans="1:21" s="30" customFormat="1" ht="24.6" hidden="1" outlineLevel="1" x14ac:dyDescent="0.55000000000000004">
      <c r="A3031" s="27" t="s">
        <v>327</v>
      </c>
      <c r="B3031" s="28"/>
      <c r="C3031" s="27"/>
      <c r="D3031" s="27" t="str">
        <f>"""NAV Direct"",""CRONUS JetCorp USA"",""21"",""1"",""353747"""</f>
        <v>"NAV Direct","CRONUS JetCorp USA","21","1","353747"</v>
      </c>
      <c r="E3031" s="31" t="str">
        <f t="shared" si="931"/>
        <v>C100095</v>
      </c>
      <c r="F3031" s="31"/>
      <c r="G3031" s="31"/>
      <c r="H3031" s="31"/>
      <c r="I3031" s="56"/>
      <c r="J3031" s="56"/>
      <c r="K3031" s="82" t="str">
        <f t="shared" si="932"/>
        <v>Invoice</v>
      </c>
      <c r="L3031" s="83" t="str">
        <f>"SI_111077"</f>
        <v>SI_111077</v>
      </c>
      <c r="M3031" s="84">
        <v>42886</v>
      </c>
      <c r="N3031" s="85">
        <f t="shared" si="933"/>
        <v>926</v>
      </c>
      <c r="O3031" s="86">
        <f t="shared" si="934"/>
        <v>12941.640000000001</v>
      </c>
      <c r="P3031" s="86">
        <f t="shared" si="935"/>
        <v>0</v>
      </c>
      <c r="Q3031" s="86">
        <f t="shared" si="936"/>
        <v>0</v>
      </c>
      <c r="R3031" s="86">
        <f t="shared" si="937"/>
        <v>0</v>
      </c>
      <c r="S3031" s="86">
        <f t="shared" si="938"/>
        <v>0</v>
      </c>
      <c r="T3031" s="86">
        <f t="shared" si="939"/>
        <v>12941.640000000001</v>
      </c>
      <c r="U3031" s="87">
        <v>12941.640000000001</v>
      </c>
    </row>
    <row r="3032" spans="1:21" s="30" customFormat="1" ht="24.6" hidden="1" outlineLevel="1" x14ac:dyDescent="0.55000000000000004">
      <c r="A3032" s="27" t="s">
        <v>327</v>
      </c>
      <c r="B3032" s="28"/>
      <c r="C3032" s="27"/>
      <c r="D3032" s="27" t="str">
        <f>"""NAV Direct"",""CRONUS JetCorp USA"",""21"",""1"",""354034"""</f>
        <v>"NAV Direct","CRONUS JetCorp USA","21","1","354034"</v>
      </c>
      <c r="E3032" s="31">
        <f t="shared" si="931"/>
        <v>0</v>
      </c>
      <c r="F3032" s="31"/>
      <c r="G3032" s="31"/>
      <c r="H3032" s="31"/>
      <c r="I3032" s="56"/>
      <c r="J3032" s="56"/>
      <c r="K3032" s="82" t="str">
        <f t="shared" si="932"/>
        <v>Invoice</v>
      </c>
      <c r="L3032" s="83" t="str">
        <f>"SI_111086"</f>
        <v>SI_111086</v>
      </c>
      <c r="M3032" s="84">
        <v>42953</v>
      </c>
      <c r="N3032" s="85">
        <f t="shared" si="933"/>
        <v>859</v>
      </c>
      <c r="O3032" s="86">
        <f t="shared" si="934"/>
        <v>13378.21</v>
      </c>
      <c r="P3032" s="86">
        <f t="shared" si="935"/>
        <v>0</v>
      </c>
      <c r="Q3032" s="86">
        <f t="shared" si="936"/>
        <v>0</v>
      </c>
      <c r="R3032" s="86">
        <f t="shared" si="937"/>
        <v>0</v>
      </c>
      <c r="S3032" s="86">
        <f t="shared" si="938"/>
        <v>0</v>
      </c>
      <c r="T3032" s="86">
        <f t="shared" si="939"/>
        <v>13378.21</v>
      </c>
      <c r="U3032" s="87">
        <v>13378.21</v>
      </c>
    </row>
    <row r="3033" spans="1:21" s="30" customFormat="1" ht="24.6" hidden="1" outlineLevel="1" x14ac:dyDescent="0.55000000000000004">
      <c r="A3033" s="27" t="s">
        <v>327</v>
      </c>
      <c r="B3033" s="28"/>
      <c r="C3033" s="27"/>
      <c r="D3033" s="27" t="str">
        <f>"""NAV Direct"",""CRONUS JetCorp USA"",""21"",""1"",""354537"""</f>
        <v>"NAV Direct","CRONUS JetCorp USA","21","1","354537"</v>
      </c>
      <c r="E3033" s="31" t="str">
        <f t="shared" si="931"/>
        <v>C100095</v>
      </c>
      <c r="F3033" s="31"/>
      <c r="G3033" s="31"/>
      <c r="H3033" s="31"/>
      <c r="I3033" s="56"/>
      <c r="J3033" s="56"/>
      <c r="K3033" s="82" t="str">
        <f t="shared" si="932"/>
        <v>Invoice</v>
      </c>
      <c r="L3033" s="83" t="str">
        <f>"SI_111101"</f>
        <v>SI_111101</v>
      </c>
      <c r="M3033" s="84">
        <v>43128</v>
      </c>
      <c r="N3033" s="85">
        <f t="shared" si="933"/>
        <v>684</v>
      </c>
      <c r="O3033" s="86">
        <f t="shared" si="934"/>
        <v>15495.9</v>
      </c>
      <c r="P3033" s="86">
        <f t="shared" si="935"/>
        <v>0</v>
      </c>
      <c r="Q3033" s="86">
        <f t="shared" si="936"/>
        <v>0</v>
      </c>
      <c r="R3033" s="86">
        <f t="shared" si="937"/>
        <v>0</v>
      </c>
      <c r="S3033" s="86">
        <f t="shared" si="938"/>
        <v>0</v>
      </c>
      <c r="T3033" s="86">
        <f t="shared" si="939"/>
        <v>15495.9</v>
      </c>
      <c r="U3033" s="87">
        <v>15495.9</v>
      </c>
    </row>
    <row r="3034" spans="1:21" s="30" customFormat="1" ht="24.6" hidden="1" outlineLevel="1" x14ac:dyDescent="0.55000000000000004">
      <c r="A3034" s="27" t="s">
        <v>327</v>
      </c>
      <c r="B3034" s="28"/>
      <c r="C3034" s="27"/>
      <c r="D3034" s="27" t="str">
        <f>"""NAV Direct"",""CRONUS JetCorp USA"",""21"",""1"",""354922"""</f>
        <v>"NAV Direct","CRONUS JetCorp USA","21","1","354922"</v>
      </c>
      <c r="E3034" s="31">
        <f t="shared" si="931"/>
        <v>0</v>
      </c>
      <c r="F3034" s="31"/>
      <c r="G3034" s="31"/>
      <c r="H3034" s="31"/>
      <c r="I3034" s="56"/>
      <c r="J3034" s="56"/>
      <c r="K3034" s="82" t="str">
        <f t="shared" si="932"/>
        <v>Invoice</v>
      </c>
      <c r="L3034" s="83" t="str">
        <f>"SI_111112"</f>
        <v>SI_111112</v>
      </c>
      <c r="M3034" s="84">
        <v>43231</v>
      </c>
      <c r="N3034" s="85">
        <f t="shared" si="933"/>
        <v>581</v>
      </c>
      <c r="O3034" s="86">
        <f t="shared" si="934"/>
        <v>16629.53</v>
      </c>
      <c r="P3034" s="86">
        <f t="shared" si="935"/>
        <v>0</v>
      </c>
      <c r="Q3034" s="86">
        <f t="shared" si="936"/>
        <v>0</v>
      </c>
      <c r="R3034" s="86">
        <f t="shared" si="937"/>
        <v>0</v>
      </c>
      <c r="S3034" s="86">
        <f t="shared" si="938"/>
        <v>0</v>
      </c>
      <c r="T3034" s="86">
        <f t="shared" si="939"/>
        <v>16629.53</v>
      </c>
      <c r="U3034" s="87">
        <v>16629.53</v>
      </c>
    </row>
    <row r="3035" spans="1:21" s="30" customFormat="1" ht="24.6" hidden="1" outlineLevel="1" x14ac:dyDescent="0.55000000000000004">
      <c r="A3035" s="27" t="s">
        <v>327</v>
      </c>
      <c r="B3035" s="28"/>
      <c r="C3035" s="27"/>
      <c r="D3035" s="27" t="str">
        <f>"""NAV Direct"",""CRONUS JetCorp USA"",""21"",""1"",""355058"""</f>
        <v>"NAV Direct","CRONUS JetCorp USA","21","1","355058"</v>
      </c>
      <c r="E3035" s="31" t="str">
        <f t="shared" si="931"/>
        <v>C100095</v>
      </c>
      <c r="F3035" s="31"/>
      <c r="G3035" s="31"/>
      <c r="H3035" s="31"/>
      <c r="I3035" s="56"/>
      <c r="J3035" s="56"/>
      <c r="K3035" s="82" t="str">
        <f t="shared" si="932"/>
        <v>Invoice</v>
      </c>
      <c r="L3035" s="83" t="str">
        <f>"SI_111116"</f>
        <v>SI_111116</v>
      </c>
      <c r="M3035" s="84">
        <v>43252</v>
      </c>
      <c r="N3035" s="85">
        <f t="shared" si="933"/>
        <v>560</v>
      </c>
      <c r="O3035" s="86">
        <f t="shared" si="934"/>
        <v>16801.310000000001</v>
      </c>
      <c r="P3035" s="86">
        <f t="shared" si="935"/>
        <v>0</v>
      </c>
      <c r="Q3035" s="86">
        <f t="shared" si="936"/>
        <v>0</v>
      </c>
      <c r="R3035" s="86">
        <f t="shared" si="937"/>
        <v>0</v>
      </c>
      <c r="S3035" s="86">
        <f t="shared" si="938"/>
        <v>0</v>
      </c>
      <c r="T3035" s="86">
        <f t="shared" si="939"/>
        <v>16801.310000000001</v>
      </c>
      <c r="U3035" s="87">
        <v>16801.310000000001</v>
      </c>
    </row>
    <row r="3036" spans="1:21" s="30" customFormat="1" ht="24.6" hidden="1" outlineLevel="1" x14ac:dyDescent="0.55000000000000004">
      <c r="A3036" s="27" t="s">
        <v>327</v>
      </c>
      <c r="B3036" s="28"/>
      <c r="C3036" s="27"/>
      <c r="D3036" s="27" t="str">
        <f>"""NAV Direct"",""CRONUS JetCorp USA"",""21"",""1"",""355369"""</f>
        <v>"NAV Direct","CRONUS JetCorp USA","21","1","355369"</v>
      </c>
      <c r="E3036" s="31">
        <f t="shared" si="931"/>
        <v>0</v>
      </c>
      <c r="F3036" s="31"/>
      <c r="G3036" s="31"/>
      <c r="H3036" s="31"/>
      <c r="I3036" s="56"/>
      <c r="J3036" s="56"/>
      <c r="K3036" s="82" t="str">
        <f t="shared" si="932"/>
        <v>Invoice</v>
      </c>
      <c r="L3036" s="83" t="str">
        <f>"SI_111125"</f>
        <v>SI_111125</v>
      </c>
      <c r="M3036" s="84">
        <v>43307</v>
      </c>
      <c r="N3036" s="85">
        <f t="shared" si="933"/>
        <v>505</v>
      </c>
      <c r="O3036" s="86">
        <f t="shared" si="934"/>
        <v>16479.62</v>
      </c>
      <c r="P3036" s="86">
        <f t="shared" si="935"/>
        <v>0</v>
      </c>
      <c r="Q3036" s="86">
        <f t="shared" si="936"/>
        <v>0</v>
      </c>
      <c r="R3036" s="86">
        <f t="shared" si="937"/>
        <v>0</v>
      </c>
      <c r="S3036" s="86">
        <f t="shared" si="938"/>
        <v>0</v>
      </c>
      <c r="T3036" s="86">
        <f t="shared" si="939"/>
        <v>16479.62</v>
      </c>
      <c r="U3036" s="87">
        <v>16479.62</v>
      </c>
    </row>
    <row r="3037" spans="1:21" s="30" customFormat="1" ht="24.6" hidden="1" outlineLevel="1" x14ac:dyDescent="0.55000000000000004">
      <c r="A3037" s="27" t="s">
        <v>327</v>
      </c>
      <c r="B3037" s="28"/>
      <c r="C3037" s="27"/>
      <c r="D3037" s="27" t="str">
        <f>"""NAV Direct"",""CRONUS JetCorp USA"",""21"",""1"",""355472"""</f>
        <v>"NAV Direct","CRONUS JetCorp USA","21","1","355472"</v>
      </c>
      <c r="E3037" s="31" t="str">
        <f t="shared" si="931"/>
        <v>C100095</v>
      </c>
      <c r="F3037" s="31"/>
      <c r="G3037" s="31"/>
      <c r="H3037" s="31"/>
      <c r="I3037" s="56"/>
      <c r="J3037" s="56"/>
      <c r="K3037" s="82" t="str">
        <f t="shared" si="932"/>
        <v>Invoice</v>
      </c>
      <c r="L3037" s="83" t="str">
        <f>"SI_111128"</f>
        <v>SI_111128</v>
      </c>
      <c r="M3037" s="84">
        <v>43333</v>
      </c>
      <c r="N3037" s="85">
        <f t="shared" si="933"/>
        <v>479</v>
      </c>
      <c r="O3037" s="86">
        <f t="shared" si="934"/>
        <v>14485.01</v>
      </c>
      <c r="P3037" s="86">
        <f t="shared" si="935"/>
        <v>0</v>
      </c>
      <c r="Q3037" s="86">
        <f t="shared" si="936"/>
        <v>0</v>
      </c>
      <c r="R3037" s="86">
        <f t="shared" si="937"/>
        <v>0</v>
      </c>
      <c r="S3037" s="86">
        <f t="shared" si="938"/>
        <v>0</v>
      </c>
      <c r="T3037" s="86">
        <f t="shared" si="939"/>
        <v>14485.01</v>
      </c>
      <c r="U3037" s="87">
        <v>14485.01</v>
      </c>
    </row>
    <row r="3038" spans="1:21" s="30" customFormat="1" ht="24.6" hidden="1" outlineLevel="1" x14ac:dyDescent="0.55000000000000004">
      <c r="A3038" s="27" t="s">
        <v>327</v>
      </c>
      <c r="B3038" s="28"/>
      <c r="C3038" s="27"/>
      <c r="D3038" s="27" t="str">
        <f>"""NAV Direct"",""CRONUS JetCorp USA"",""21"",""1"",""355624"""</f>
        <v>"NAV Direct","CRONUS JetCorp USA","21","1","355624"</v>
      </c>
      <c r="E3038" s="31">
        <f t="shared" si="931"/>
        <v>0</v>
      </c>
      <c r="F3038" s="31"/>
      <c r="G3038" s="31"/>
      <c r="H3038" s="31"/>
      <c r="I3038" s="56"/>
      <c r="J3038" s="56"/>
      <c r="K3038" s="82" t="str">
        <f t="shared" si="932"/>
        <v>Invoice</v>
      </c>
      <c r="L3038" s="83" t="str">
        <f>"SI_111132"</f>
        <v>SI_111132</v>
      </c>
      <c r="M3038" s="84">
        <v>43364</v>
      </c>
      <c r="N3038" s="85">
        <f t="shared" si="933"/>
        <v>448</v>
      </c>
      <c r="O3038" s="86">
        <f t="shared" si="934"/>
        <v>13543.63</v>
      </c>
      <c r="P3038" s="86">
        <f t="shared" si="935"/>
        <v>0</v>
      </c>
      <c r="Q3038" s="86">
        <f t="shared" si="936"/>
        <v>0</v>
      </c>
      <c r="R3038" s="86">
        <f t="shared" si="937"/>
        <v>0</v>
      </c>
      <c r="S3038" s="86">
        <f t="shared" si="938"/>
        <v>0</v>
      </c>
      <c r="T3038" s="86">
        <f t="shared" si="939"/>
        <v>13543.63</v>
      </c>
      <c r="U3038" s="87">
        <v>13543.63</v>
      </c>
    </row>
    <row r="3039" spans="1:21" s="30" customFormat="1" ht="24.6" hidden="1" outlineLevel="1" x14ac:dyDescent="0.55000000000000004">
      <c r="A3039" s="27" t="s">
        <v>327</v>
      </c>
      <c r="B3039" s="28"/>
      <c r="C3039" s="27"/>
      <c r="D3039" s="27" t="str">
        <f>"""NAV Direct"",""CRONUS JetCorp USA"",""21"",""1"",""355655"""</f>
        <v>"NAV Direct","CRONUS JetCorp USA","21","1","355655"</v>
      </c>
      <c r="E3039" s="31" t="str">
        <f t="shared" si="931"/>
        <v>C100095</v>
      </c>
      <c r="F3039" s="31"/>
      <c r="G3039" s="31"/>
      <c r="H3039" s="31"/>
      <c r="I3039" s="56"/>
      <c r="J3039" s="56"/>
      <c r="K3039" s="82" t="str">
        <f t="shared" si="932"/>
        <v>Invoice</v>
      </c>
      <c r="L3039" s="83" t="str">
        <f>"SI_111133"</f>
        <v>SI_111133</v>
      </c>
      <c r="M3039" s="84">
        <v>43368</v>
      </c>
      <c r="N3039" s="85">
        <f t="shared" si="933"/>
        <v>444</v>
      </c>
      <c r="O3039" s="86">
        <f t="shared" si="934"/>
        <v>13404.26</v>
      </c>
      <c r="P3039" s="86">
        <f t="shared" si="935"/>
        <v>0</v>
      </c>
      <c r="Q3039" s="86">
        <f t="shared" si="936"/>
        <v>0</v>
      </c>
      <c r="R3039" s="86">
        <f t="shared" si="937"/>
        <v>0</v>
      </c>
      <c r="S3039" s="86">
        <f t="shared" si="938"/>
        <v>0</v>
      </c>
      <c r="T3039" s="86">
        <f t="shared" si="939"/>
        <v>13404.26</v>
      </c>
      <c r="U3039" s="87">
        <v>13404.26</v>
      </c>
    </row>
    <row r="3040" spans="1:21" s="30" customFormat="1" ht="24.6" hidden="1" outlineLevel="1" x14ac:dyDescent="0.55000000000000004">
      <c r="A3040" s="27" t="s">
        <v>327</v>
      </c>
      <c r="B3040" s="28"/>
      <c r="C3040" s="27"/>
      <c r="D3040" s="27" t="str">
        <f>"""NAV Direct"",""CRONUS JetCorp USA"",""21"",""1"",""355690"""</f>
        <v>"NAV Direct","CRONUS JetCorp USA","21","1","355690"</v>
      </c>
      <c r="E3040" s="31">
        <f t="shared" si="931"/>
        <v>0</v>
      </c>
      <c r="F3040" s="31"/>
      <c r="G3040" s="31"/>
      <c r="H3040" s="31"/>
      <c r="I3040" s="56"/>
      <c r="J3040" s="56"/>
      <c r="K3040" s="82" t="str">
        <f t="shared" si="932"/>
        <v>Invoice</v>
      </c>
      <c r="L3040" s="83" t="str">
        <f>"SI_111134"</f>
        <v>SI_111134</v>
      </c>
      <c r="M3040" s="84">
        <v>43375</v>
      </c>
      <c r="N3040" s="85">
        <f t="shared" si="933"/>
        <v>437</v>
      </c>
      <c r="O3040" s="86">
        <f t="shared" si="934"/>
        <v>13543.279999999999</v>
      </c>
      <c r="P3040" s="86">
        <f t="shared" si="935"/>
        <v>0</v>
      </c>
      <c r="Q3040" s="86">
        <f t="shared" si="936"/>
        <v>0</v>
      </c>
      <c r="R3040" s="86">
        <f t="shared" si="937"/>
        <v>0</v>
      </c>
      <c r="S3040" s="86">
        <f t="shared" si="938"/>
        <v>0</v>
      </c>
      <c r="T3040" s="86">
        <f t="shared" si="939"/>
        <v>13543.279999999999</v>
      </c>
      <c r="U3040" s="87">
        <v>13543.279999999999</v>
      </c>
    </row>
    <row r="3041" spans="1:21" s="30" customFormat="1" ht="24.6" hidden="1" outlineLevel="1" x14ac:dyDescent="0.55000000000000004">
      <c r="A3041" s="27" t="s">
        <v>327</v>
      </c>
      <c r="B3041" s="28"/>
      <c r="C3041" s="27"/>
      <c r="D3041" s="27" t="str">
        <f>"""NAV Direct"",""CRONUS JetCorp USA"",""21"",""1"",""356100"""</f>
        <v>"NAV Direct","CRONUS JetCorp USA","21","1","356100"</v>
      </c>
      <c r="E3041" s="31" t="str">
        <f t="shared" si="931"/>
        <v>C100095</v>
      </c>
      <c r="F3041" s="31"/>
      <c r="G3041" s="31"/>
      <c r="H3041" s="31"/>
      <c r="I3041" s="56"/>
      <c r="J3041" s="56"/>
      <c r="K3041" s="82" t="str">
        <f t="shared" si="932"/>
        <v>Invoice</v>
      </c>
      <c r="L3041" s="83" t="str">
        <f>"SI_111146"</f>
        <v>SI_111146</v>
      </c>
      <c r="M3041" s="84">
        <v>43452</v>
      </c>
      <c r="N3041" s="85">
        <f t="shared" si="933"/>
        <v>360</v>
      </c>
      <c r="O3041" s="86">
        <f t="shared" si="934"/>
        <v>19609.79</v>
      </c>
      <c r="P3041" s="86">
        <f t="shared" si="935"/>
        <v>0</v>
      </c>
      <c r="Q3041" s="86">
        <f t="shared" si="936"/>
        <v>0</v>
      </c>
      <c r="R3041" s="86">
        <f t="shared" si="937"/>
        <v>0</v>
      </c>
      <c r="S3041" s="86">
        <f t="shared" si="938"/>
        <v>0</v>
      </c>
      <c r="T3041" s="86">
        <f t="shared" si="939"/>
        <v>19609.79</v>
      </c>
      <c r="U3041" s="87">
        <v>19609.79</v>
      </c>
    </row>
    <row r="3042" spans="1:21" s="30" customFormat="1" ht="24.6" hidden="1" outlineLevel="1" x14ac:dyDescent="0.55000000000000004">
      <c r="A3042" s="27" t="s">
        <v>327</v>
      </c>
      <c r="B3042" s="28"/>
      <c r="C3042" s="27"/>
      <c r="D3042" s="27" t="str">
        <f>"""NAV Direct"",""CRONUS JetCorp USA"",""21"",""1"",""356371"""</f>
        <v>"NAV Direct","CRONUS JetCorp USA","21","1","356371"</v>
      </c>
      <c r="E3042" s="31">
        <f t="shared" si="931"/>
        <v>0</v>
      </c>
      <c r="F3042" s="31"/>
      <c r="G3042" s="31"/>
      <c r="H3042" s="31"/>
      <c r="I3042" s="56"/>
      <c r="J3042" s="56"/>
      <c r="K3042" s="82" t="str">
        <f t="shared" si="932"/>
        <v>Invoice</v>
      </c>
      <c r="L3042" s="83" t="str">
        <f>"SI_111153"</f>
        <v>SI_111153</v>
      </c>
      <c r="M3042" s="84">
        <v>43489</v>
      </c>
      <c r="N3042" s="85">
        <f t="shared" si="933"/>
        <v>323</v>
      </c>
      <c r="O3042" s="86">
        <f t="shared" si="934"/>
        <v>19609.71</v>
      </c>
      <c r="P3042" s="86">
        <f t="shared" si="935"/>
        <v>0</v>
      </c>
      <c r="Q3042" s="86">
        <f t="shared" si="936"/>
        <v>0</v>
      </c>
      <c r="R3042" s="86">
        <f t="shared" si="937"/>
        <v>0</v>
      </c>
      <c r="S3042" s="86">
        <f t="shared" si="938"/>
        <v>0</v>
      </c>
      <c r="T3042" s="86">
        <f t="shared" si="939"/>
        <v>19609.71</v>
      </c>
      <c r="U3042" s="87">
        <v>19609.71</v>
      </c>
    </row>
    <row r="3043" spans="1:21" s="30" customFormat="1" ht="24.6" hidden="1" outlineLevel="1" x14ac:dyDescent="0.55000000000000004">
      <c r="A3043" s="27" t="s">
        <v>327</v>
      </c>
      <c r="B3043" s="28"/>
      <c r="C3043" s="27"/>
      <c r="D3043" s="27" t="str">
        <f>"""NAV Direct"",""CRONUS JetCorp USA"",""21"",""1"",""356665"""</f>
        <v>"NAV Direct","CRONUS JetCorp USA","21","1","356665"</v>
      </c>
      <c r="E3043" s="31" t="str">
        <f t="shared" si="931"/>
        <v>C100095</v>
      </c>
      <c r="F3043" s="31"/>
      <c r="G3043" s="31"/>
      <c r="H3043" s="31"/>
      <c r="I3043" s="56"/>
      <c r="J3043" s="56"/>
      <c r="K3043" s="82" t="str">
        <f t="shared" si="932"/>
        <v>Invoice</v>
      </c>
      <c r="L3043" s="83" t="str">
        <f>"SI_111161"</f>
        <v>SI_111161</v>
      </c>
      <c r="M3043" s="84">
        <v>43543</v>
      </c>
      <c r="N3043" s="85">
        <f t="shared" si="933"/>
        <v>269</v>
      </c>
      <c r="O3043" s="86">
        <f t="shared" si="934"/>
        <v>18067</v>
      </c>
      <c r="P3043" s="86">
        <f t="shared" si="935"/>
        <v>0</v>
      </c>
      <c r="Q3043" s="86">
        <f t="shared" si="936"/>
        <v>0</v>
      </c>
      <c r="R3043" s="86">
        <f t="shared" si="937"/>
        <v>0</v>
      </c>
      <c r="S3043" s="86">
        <f t="shared" si="938"/>
        <v>0</v>
      </c>
      <c r="T3043" s="86">
        <f t="shared" si="939"/>
        <v>18067</v>
      </c>
      <c r="U3043" s="87">
        <v>18067</v>
      </c>
    </row>
    <row r="3044" spans="1:21" s="30" customFormat="1" ht="24.6" hidden="1" outlineLevel="1" x14ac:dyDescent="0.55000000000000004">
      <c r="A3044" s="27" t="s">
        <v>327</v>
      </c>
      <c r="B3044" s="28"/>
      <c r="C3044" s="27"/>
      <c r="D3044" s="27" t="str">
        <f>"""NAV Direct"",""CRONUS JetCorp USA"",""21"",""1"",""356957"""</f>
        <v>"NAV Direct","CRONUS JetCorp USA","21","1","356957"</v>
      </c>
      <c r="E3044" s="31">
        <f t="shared" si="931"/>
        <v>0</v>
      </c>
      <c r="F3044" s="31"/>
      <c r="G3044" s="31"/>
      <c r="H3044" s="31"/>
      <c r="I3044" s="56"/>
      <c r="J3044" s="56"/>
      <c r="K3044" s="82" t="str">
        <f t="shared" si="932"/>
        <v>Invoice</v>
      </c>
      <c r="L3044" s="83" t="str">
        <f>"SI_111169"</f>
        <v>SI_111169</v>
      </c>
      <c r="M3044" s="84">
        <v>43586</v>
      </c>
      <c r="N3044" s="85">
        <f t="shared" si="933"/>
        <v>226</v>
      </c>
      <c r="O3044" s="86">
        <f t="shared" si="934"/>
        <v>19874.289999999997</v>
      </c>
      <c r="P3044" s="86">
        <f t="shared" si="935"/>
        <v>0</v>
      </c>
      <c r="Q3044" s="86">
        <f t="shared" si="936"/>
        <v>0</v>
      </c>
      <c r="R3044" s="86">
        <f t="shared" si="937"/>
        <v>0</v>
      </c>
      <c r="S3044" s="86">
        <f t="shared" si="938"/>
        <v>0</v>
      </c>
      <c r="T3044" s="86">
        <f t="shared" si="939"/>
        <v>19874.289999999997</v>
      </c>
      <c r="U3044" s="87">
        <v>19874.289999999997</v>
      </c>
    </row>
    <row r="3045" spans="1:21" s="30" customFormat="1" ht="24.6" hidden="1" outlineLevel="1" x14ac:dyDescent="0.55000000000000004">
      <c r="A3045" s="27" t="s">
        <v>327</v>
      </c>
      <c r="B3045" s="28"/>
      <c r="C3045" s="27"/>
      <c r="D3045" s="27" t="str">
        <f>"""NAV Direct"",""CRONUS JetCorp USA"",""21"",""1"",""357201"""</f>
        <v>"NAV Direct","CRONUS JetCorp USA","21","1","357201"</v>
      </c>
      <c r="E3045" s="31" t="str">
        <f t="shared" si="931"/>
        <v>C100095</v>
      </c>
      <c r="F3045" s="31"/>
      <c r="G3045" s="31"/>
      <c r="H3045" s="31"/>
      <c r="I3045" s="56"/>
      <c r="J3045" s="56"/>
      <c r="K3045" s="82" t="str">
        <f t="shared" si="932"/>
        <v>Invoice</v>
      </c>
      <c r="L3045" s="83" t="str">
        <f>"SI_111175"</f>
        <v>SI_111175</v>
      </c>
      <c r="M3045" s="84">
        <v>43614</v>
      </c>
      <c r="N3045" s="85">
        <f t="shared" si="933"/>
        <v>198</v>
      </c>
      <c r="O3045" s="86">
        <f t="shared" si="934"/>
        <v>22229.03</v>
      </c>
      <c r="P3045" s="86">
        <f t="shared" si="935"/>
        <v>0</v>
      </c>
      <c r="Q3045" s="86">
        <f t="shared" si="936"/>
        <v>0</v>
      </c>
      <c r="R3045" s="86">
        <f t="shared" si="937"/>
        <v>0</v>
      </c>
      <c r="S3045" s="86">
        <f t="shared" si="938"/>
        <v>0</v>
      </c>
      <c r="T3045" s="86">
        <f t="shared" si="939"/>
        <v>22229.03</v>
      </c>
      <c r="U3045" s="87">
        <v>22229.03</v>
      </c>
    </row>
    <row r="3046" spans="1:21" s="30" customFormat="1" ht="24.6" hidden="1" outlineLevel="1" x14ac:dyDescent="0.55000000000000004">
      <c r="A3046" s="27" t="s">
        <v>327</v>
      </c>
      <c r="B3046" s="28"/>
      <c r="C3046" s="27"/>
      <c r="D3046" s="27" t="str">
        <f>"""NAV Direct"",""CRONUS JetCorp USA"",""21"",""1"",""357291"""</f>
        <v>"NAV Direct","CRONUS JetCorp USA","21","1","357291"</v>
      </c>
      <c r="E3046" s="31">
        <f t="shared" si="931"/>
        <v>0</v>
      </c>
      <c r="F3046" s="31"/>
      <c r="G3046" s="31"/>
      <c r="H3046" s="31"/>
      <c r="I3046" s="56"/>
      <c r="J3046" s="56"/>
      <c r="K3046" s="82" t="str">
        <f t="shared" si="932"/>
        <v>Invoice</v>
      </c>
      <c r="L3046" s="83" t="str">
        <f>"SI_111177"</f>
        <v>SI_111177</v>
      </c>
      <c r="M3046" s="84">
        <v>43638</v>
      </c>
      <c r="N3046" s="85">
        <f t="shared" si="933"/>
        <v>174</v>
      </c>
      <c r="O3046" s="86">
        <f t="shared" si="934"/>
        <v>25897.480000000003</v>
      </c>
      <c r="P3046" s="86">
        <f t="shared" si="935"/>
        <v>0</v>
      </c>
      <c r="Q3046" s="86">
        <f t="shared" si="936"/>
        <v>0</v>
      </c>
      <c r="R3046" s="86">
        <f t="shared" si="937"/>
        <v>0</v>
      </c>
      <c r="S3046" s="86">
        <f t="shared" si="938"/>
        <v>0</v>
      </c>
      <c r="T3046" s="86">
        <f t="shared" si="939"/>
        <v>25897.480000000003</v>
      </c>
      <c r="U3046" s="87">
        <v>25897.480000000003</v>
      </c>
    </row>
    <row r="3047" spans="1:21" s="30" customFormat="1" ht="24.6" hidden="1" outlineLevel="1" x14ac:dyDescent="0.55000000000000004">
      <c r="A3047" s="27" t="s">
        <v>327</v>
      </c>
      <c r="B3047" s="28"/>
      <c r="C3047" s="27"/>
      <c r="D3047" s="27" t="str">
        <f>"""NAV Direct"",""CRONUS JetCorp USA"",""21"",""1"",""357486"""</f>
        <v>"NAV Direct","CRONUS JetCorp USA","21","1","357486"</v>
      </c>
      <c r="E3047" s="31" t="str">
        <f t="shared" si="931"/>
        <v>C100095</v>
      </c>
      <c r="F3047" s="31"/>
      <c r="G3047" s="31"/>
      <c r="H3047" s="31"/>
      <c r="I3047" s="56"/>
      <c r="J3047" s="56"/>
      <c r="K3047" s="82" t="str">
        <f t="shared" si="932"/>
        <v>Invoice</v>
      </c>
      <c r="L3047" s="83" t="str">
        <f>"SI_111182"</f>
        <v>SI_111182</v>
      </c>
      <c r="M3047" s="84">
        <v>43649</v>
      </c>
      <c r="N3047" s="85">
        <f t="shared" si="933"/>
        <v>163</v>
      </c>
      <c r="O3047" s="86">
        <f t="shared" si="934"/>
        <v>25896.11</v>
      </c>
      <c r="P3047" s="86">
        <f t="shared" si="935"/>
        <v>0</v>
      </c>
      <c r="Q3047" s="86">
        <f t="shared" si="936"/>
        <v>0</v>
      </c>
      <c r="R3047" s="86">
        <f t="shared" si="937"/>
        <v>0</v>
      </c>
      <c r="S3047" s="86">
        <f t="shared" si="938"/>
        <v>0</v>
      </c>
      <c r="T3047" s="86">
        <f t="shared" si="939"/>
        <v>25896.11</v>
      </c>
      <c r="U3047" s="87">
        <v>25896.11</v>
      </c>
    </row>
    <row r="3048" spans="1:21" s="30" customFormat="1" ht="24.6" hidden="1" outlineLevel="1" x14ac:dyDescent="0.55000000000000004">
      <c r="A3048" s="27" t="s">
        <v>327</v>
      </c>
      <c r="B3048" s="28"/>
      <c r="C3048" s="27"/>
      <c r="D3048" s="27" t="str">
        <f>"""NAV Direct"",""CRONUS JetCorp USA"",""21"",""1"",""357792"""</f>
        <v>"NAV Direct","CRONUS JetCorp USA","21","1","357792"</v>
      </c>
      <c r="E3048" s="31">
        <f t="shared" si="931"/>
        <v>0</v>
      </c>
      <c r="F3048" s="31"/>
      <c r="G3048" s="31"/>
      <c r="H3048" s="31"/>
      <c r="I3048" s="56"/>
      <c r="J3048" s="56"/>
      <c r="K3048" s="82" t="str">
        <f t="shared" si="932"/>
        <v>Invoice</v>
      </c>
      <c r="L3048" s="83" t="str">
        <f>"SI_111190"</f>
        <v>SI_111190</v>
      </c>
      <c r="M3048" s="84">
        <v>43722</v>
      </c>
      <c r="N3048" s="85">
        <f t="shared" si="933"/>
        <v>90</v>
      </c>
      <c r="O3048" s="86">
        <f t="shared" si="934"/>
        <v>14386.52</v>
      </c>
      <c r="P3048" s="86">
        <f t="shared" si="935"/>
        <v>0</v>
      </c>
      <c r="Q3048" s="86">
        <f t="shared" si="936"/>
        <v>0</v>
      </c>
      <c r="R3048" s="86">
        <f t="shared" si="937"/>
        <v>0</v>
      </c>
      <c r="S3048" s="86">
        <f t="shared" si="938"/>
        <v>14386.52</v>
      </c>
      <c r="T3048" s="86">
        <f t="shared" si="939"/>
        <v>0</v>
      </c>
      <c r="U3048" s="87">
        <v>14386.52</v>
      </c>
    </row>
    <row r="3049" spans="1:21" s="30" customFormat="1" ht="24.6" hidden="1" outlineLevel="1" x14ac:dyDescent="0.55000000000000004">
      <c r="A3049" s="27" t="s">
        <v>327</v>
      </c>
      <c r="B3049" s="28"/>
      <c r="C3049" s="27"/>
      <c r="D3049" s="27" t="str">
        <f>"""NAV Direct"",""CRONUS JetCorp USA"",""21"",""1"",""357932"""</f>
        <v>"NAV Direct","CRONUS JetCorp USA","21","1","357932"</v>
      </c>
      <c r="E3049" s="31" t="str">
        <f t="shared" si="931"/>
        <v>C100095</v>
      </c>
      <c r="F3049" s="31"/>
      <c r="G3049" s="31"/>
      <c r="H3049" s="31"/>
      <c r="I3049" s="56"/>
      <c r="J3049" s="56"/>
      <c r="K3049" s="82" t="str">
        <f t="shared" si="932"/>
        <v>Invoice</v>
      </c>
      <c r="L3049" s="83" t="str">
        <f>"SI_111194"</f>
        <v>SI_111194</v>
      </c>
      <c r="M3049" s="84">
        <v>43760</v>
      </c>
      <c r="N3049" s="85">
        <f t="shared" si="933"/>
        <v>52</v>
      </c>
      <c r="O3049" s="86">
        <f t="shared" si="934"/>
        <v>14242.69</v>
      </c>
      <c r="P3049" s="86">
        <f t="shared" si="935"/>
        <v>0</v>
      </c>
      <c r="Q3049" s="86">
        <f t="shared" si="936"/>
        <v>0</v>
      </c>
      <c r="R3049" s="86">
        <f t="shared" si="937"/>
        <v>14242.69</v>
      </c>
      <c r="S3049" s="86">
        <f t="shared" si="938"/>
        <v>0</v>
      </c>
      <c r="T3049" s="86">
        <f t="shared" si="939"/>
        <v>0</v>
      </c>
      <c r="U3049" s="87">
        <v>14242.69</v>
      </c>
    </row>
    <row r="3050" spans="1:21" s="30" customFormat="1" ht="24.6" hidden="1" outlineLevel="1" x14ac:dyDescent="0.55000000000000004">
      <c r="A3050" s="27" t="s">
        <v>327</v>
      </c>
      <c r="B3050" s="28"/>
      <c r="C3050" s="27"/>
      <c r="D3050" s="27" t="str">
        <f>"""NAV Direct"",""CRONUS JetCorp USA"",""21"",""1"",""358037"""</f>
        <v>"NAV Direct","CRONUS JetCorp USA","21","1","358037"</v>
      </c>
      <c r="E3050" s="31">
        <f t="shared" si="931"/>
        <v>0</v>
      </c>
      <c r="F3050" s="31"/>
      <c r="G3050" s="31"/>
      <c r="H3050" s="31"/>
      <c r="I3050" s="56"/>
      <c r="J3050" s="56"/>
      <c r="K3050" s="82" t="str">
        <f t="shared" si="932"/>
        <v>Invoice</v>
      </c>
      <c r="L3050" s="83" t="str">
        <f>"SI_111197"</f>
        <v>SI_111197</v>
      </c>
      <c r="M3050" s="84">
        <v>43770</v>
      </c>
      <c r="N3050" s="85">
        <f t="shared" si="933"/>
        <v>42</v>
      </c>
      <c r="O3050" s="86">
        <f t="shared" si="934"/>
        <v>14242.93</v>
      </c>
      <c r="P3050" s="86">
        <f t="shared" si="935"/>
        <v>0</v>
      </c>
      <c r="Q3050" s="86">
        <f t="shared" si="936"/>
        <v>0</v>
      </c>
      <c r="R3050" s="86">
        <f t="shared" si="937"/>
        <v>14242.93</v>
      </c>
      <c r="S3050" s="86">
        <f t="shared" si="938"/>
        <v>0</v>
      </c>
      <c r="T3050" s="86">
        <f t="shared" si="939"/>
        <v>0</v>
      </c>
      <c r="U3050" s="87">
        <v>14242.93</v>
      </c>
    </row>
    <row r="3051" spans="1:21" s="30" customFormat="1" ht="24.6" hidden="1" outlineLevel="1" x14ac:dyDescent="0.55000000000000004">
      <c r="A3051" s="27" t="s">
        <v>327</v>
      </c>
      <c r="B3051" s="28"/>
      <c r="C3051" s="27"/>
      <c r="D3051" s="27" t="str">
        <f>"""NAV Direct"",""CRONUS JetCorp USA"",""21"",""1"",""358082"""</f>
        <v>"NAV Direct","CRONUS JetCorp USA","21","1","358082"</v>
      </c>
      <c r="E3051" s="31" t="str">
        <f t="shared" si="931"/>
        <v>C100095</v>
      </c>
      <c r="F3051" s="31"/>
      <c r="G3051" s="31"/>
      <c r="H3051" s="31"/>
      <c r="I3051" s="56"/>
      <c r="J3051" s="56"/>
      <c r="K3051" s="82" t="str">
        <f t="shared" si="932"/>
        <v>Invoice</v>
      </c>
      <c r="L3051" s="83" t="str">
        <f>"SI_111198"</f>
        <v>SI_111198</v>
      </c>
      <c r="M3051" s="84">
        <v>43772</v>
      </c>
      <c r="N3051" s="85">
        <f t="shared" si="933"/>
        <v>40</v>
      </c>
      <c r="O3051" s="86">
        <f t="shared" si="934"/>
        <v>14242.529999999999</v>
      </c>
      <c r="P3051" s="86">
        <f t="shared" si="935"/>
        <v>0</v>
      </c>
      <c r="Q3051" s="86">
        <f t="shared" si="936"/>
        <v>0</v>
      </c>
      <c r="R3051" s="86">
        <f t="shared" si="937"/>
        <v>14242.529999999999</v>
      </c>
      <c r="S3051" s="86">
        <f t="shared" si="938"/>
        <v>0</v>
      </c>
      <c r="T3051" s="86">
        <f t="shared" si="939"/>
        <v>0</v>
      </c>
      <c r="U3051" s="87">
        <v>14242.529999999999</v>
      </c>
    </row>
    <row r="3052" spans="1:21" s="30" customFormat="1" ht="24.6" hidden="1" outlineLevel="1" x14ac:dyDescent="0.55000000000000004">
      <c r="A3052" s="27" t="s">
        <v>327</v>
      </c>
      <c r="B3052" s="28"/>
      <c r="C3052" s="27"/>
      <c r="D3052" s="27" t="str">
        <f>"""NAV Direct"",""CRONUS JetCorp USA"",""21"",""1"",""358162"""</f>
        <v>"NAV Direct","CRONUS JetCorp USA","21","1","358162"</v>
      </c>
      <c r="E3052" s="31">
        <f t="shared" si="931"/>
        <v>0</v>
      </c>
      <c r="F3052" s="31"/>
      <c r="G3052" s="31"/>
      <c r="H3052" s="31"/>
      <c r="I3052" s="56"/>
      <c r="J3052" s="56"/>
      <c r="K3052" s="82" t="str">
        <f t="shared" si="932"/>
        <v>Invoice</v>
      </c>
      <c r="L3052" s="83" t="str">
        <f>"SI_111200"</f>
        <v>SI_111200</v>
      </c>
      <c r="M3052" s="84">
        <v>43795</v>
      </c>
      <c r="N3052" s="85">
        <f t="shared" si="933"/>
        <v>17</v>
      </c>
      <c r="O3052" s="86">
        <f t="shared" si="934"/>
        <v>14242.289999999999</v>
      </c>
      <c r="P3052" s="86">
        <f t="shared" si="935"/>
        <v>0</v>
      </c>
      <c r="Q3052" s="86">
        <f t="shared" si="936"/>
        <v>14242.289999999999</v>
      </c>
      <c r="R3052" s="86">
        <f t="shared" si="937"/>
        <v>0</v>
      </c>
      <c r="S3052" s="86">
        <f t="shared" si="938"/>
        <v>0</v>
      </c>
      <c r="T3052" s="86">
        <f t="shared" si="939"/>
        <v>0</v>
      </c>
      <c r="U3052" s="87">
        <v>14242.289999999999</v>
      </c>
    </row>
    <row r="3053" spans="1:21" s="30" customFormat="1" ht="24.6" hidden="1" outlineLevel="1" x14ac:dyDescent="0.55000000000000004">
      <c r="A3053" s="27" t="s">
        <v>327</v>
      </c>
      <c r="B3053" s="28"/>
      <c r="C3053" s="27"/>
      <c r="D3053" s="27" t="str">
        <f>"""NAV Direct"",""CRONUS JetCorp USA"",""21"",""1"",""358259"""</f>
        <v>"NAV Direct","CRONUS JetCorp USA","21","1","358259"</v>
      </c>
      <c r="E3053" s="31" t="str">
        <f t="shared" si="931"/>
        <v>C100095</v>
      </c>
      <c r="F3053" s="31"/>
      <c r="G3053" s="31"/>
      <c r="H3053" s="31"/>
      <c r="I3053" s="56"/>
      <c r="J3053" s="56"/>
      <c r="K3053" s="82" t="str">
        <f t="shared" si="932"/>
        <v>Invoice</v>
      </c>
      <c r="L3053" s="83" t="str">
        <f>"SI_111203"</f>
        <v>SI_111203</v>
      </c>
      <c r="M3053" s="84">
        <v>43799</v>
      </c>
      <c r="N3053" s="85">
        <f t="shared" si="933"/>
        <v>13</v>
      </c>
      <c r="O3053" s="86">
        <f t="shared" si="934"/>
        <v>14242.39</v>
      </c>
      <c r="P3053" s="86">
        <f t="shared" si="935"/>
        <v>0</v>
      </c>
      <c r="Q3053" s="86">
        <f t="shared" si="936"/>
        <v>14242.39</v>
      </c>
      <c r="R3053" s="86">
        <f t="shared" si="937"/>
        <v>0</v>
      </c>
      <c r="S3053" s="86">
        <f t="shared" si="938"/>
        <v>0</v>
      </c>
      <c r="T3053" s="86">
        <f t="shared" si="939"/>
        <v>0</v>
      </c>
      <c r="U3053" s="87">
        <v>14242.39</v>
      </c>
    </row>
    <row r="3054" spans="1:21" s="30" customFormat="1" ht="24.6" hidden="1" outlineLevel="1" x14ac:dyDescent="0.55000000000000004">
      <c r="A3054" s="27" t="s">
        <v>327</v>
      </c>
      <c r="B3054" s="28"/>
      <c r="C3054" s="27"/>
      <c r="D3054" s="27" t="str">
        <f>"""NAV Direct"",""CRONUS JetCorp USA"",""21"",""1"",""358510"""</f>
        <v>"NAV Direct","CRONUS JetCorp USA","21","1","358510"</v>
      </c>
      <c r="E3054" s="31">
        <f t="shared" si="931"/>
        <v>0</v>
      </c>
      <c r="F3054" s="31"/>
      <c r="G3054" s="31"/>
      <c r="H3054" s="31"/>
      <c r="I3054" s="56"/>
      <c r="J3054" s="56"/>
      <c r="K3054" s="82" t="str">
        <f t="shared" si="932"/>
        <v>Invoice</v>
      </c>
      <c r="L3054" s="83" t="str">
        <f>"SI_111210"</f>
        <v>SI_111210</v>
      </c>
      <c r="M3054" s="84">
        <v>42035</v>
      </c>
      <c r="N3054" s="85">
        <f t="shared" si="933"/>
        <v>1777</v>
      </c>
      <c r="O3054" s="86">
        <f t="shared" si="934"/>
        <v>14369.06</v>
      </c>
      <c r="P3054" s="86">
        <f t="shared" si="935"/>
        <v>0</v>
      </c>
      <c r="Q3054" s="86">
        <f t="shared" si="936"/>
        <v>0</v>
      </c>
      <c r="R3054" s="86">
        <f t="shared" si="937"/>
        <v>0</v>
      </c>
      <c r="S3054" s="86">
        <f t="shared" si="938"/>
        <v>0</v>
      </c>
      <c r="T3054" s="86">
        <f t="shared" si="939"/>
        <v>14369.06</v>
      </c>
      <c r="U3054" s="87">
        <v>14369.06</v>
      </c>
    </row>
    <row r="3055" spans="1:21" s="30" customFormat="1" ht="24.6" hidden="1" outlineLevel="1" x14ac:dyDescent="0.55000000000000004">
      <c r="A3055" s="27" t="s">
        <v>327</v>
      </c>
      <c r="B3055" s="28"/>
      <c r="C3055" s="27"/>
      <c r="D3055" s="27" t="str">
        <f>"""NAV Direct"",""CRONUS JetCorp USA"",""21"",""1"",""358582"""</f>
        <v>"NAV Direct","CRONUS JetCorp USA","21","1","358582"</v>
      </c>
      <c r="E3055" s="31" t="str">
        <f t="shared" ref="E3055:E3078" si="940">E3053</f>
        <v>C100095</v>
      </c>
      <c r="F3055" s="31"/>
      <c r="G3055" s="31"/>
      <c r="H3055" s="31"/>
      <c r="I3055" s="56"/>
      <c r="J3055" s="56"/>
      <c r="K3055" s="82" t="str">
        <f t="shared" si="932"/>
        <v>Invoice</v>
      </c>
      <c r="L3055" s="83" t="str">
        <f>"SI_111212"</f>
        <v>SI_111212</v>
      </c>
      <c r="M3055" s="84">
        <v>42059</v>
      </c>
      <c r="N3055" s="85">
        <f t="shared" ref="N3055:N3078" si="941">StartDate-$M3055+1</f>
        <v>1753</v>
      </c>
      <c r="O3055" s="86">
        <f t="shared" ref="O3055:O3078" si="942">SUM(P3055:T3055)</f>
        <v>14369.259999999998</v>
      </c>
      <c r="P3055" s="86">
        <f t="shared" ref="P3055:P3078" si="943">IF($M3055&gt;=$P$18,U3055,0)</f>
        <v>0</v>
      </c>
      <c r="Q3055" s="86">
        <f t="shared" ref="Q3055:Q3078" si="944">IF(AND($M3055&gt;=$Q$16,$M3055&lt;=$Q$18),U3055,0)</f>
        <v>0</v>
      </c>
      <c r="R3055" s="86">
        <f t="shared" ref="R3055:R3078" si="945">IF(AND($M3055&gt;=$R$16,$M3055&lt;=$R$18),U3055,0)</f>
        <v>0</v>
      </c>
      <c r="S3055" s="86">
        <f t="shared" ref="S3055:S3078" si="946">IF(AND($M3055&gt;=$S$16,$M3055&lt;=$S$18),U3055,0)</f>
        <v>0</v>
      </c>
      <c r="T3055" s="86">
        <f t="shared" ref="T3055:T3078" si="947">IF($M3055&lt;=$T$18,U3055,0)</f>
        <v>14369.259999999998</v>
      </c>
      <c r="U3055" s="87">
        <v>14369.259999999998</v>
      </c>
    </row>
    <row r="3056" spans="1:21" s="30" customFormat="1" ht="24.6" hidden="1" outlineLevel="1" x14ac:dyDescent="0.55000000000000004">
      <c r="A3056" s="27" t="s">
        <v>327</v>
      </c>
      <c r="B3056" s="28"/>
      <c r="C3056" s="27"/>
      <c r="D3056" s="27" t="str">
        <f>"""NAV Direct"",""CRONUS JetCorp USA"",""21"",""1"",""359508"""</f>
        <v>"NAV Direct","CRONUS JetCorp USA","21","1","359508"</v>
      </c>
      <c r="E3056" s="31">
        <f t="shared" si="940"/>
        <v>0</v>
      </c>
      <c r="F3056" s="31"/>
      <c r="G3056" s="31"/>
      <c r="H3056" s="31"/>
      <c r="I3056" s="56"/>
      <c r="J3056" s="56"/>
      <c r="K3056" s="82" t="str">
        <f t="shared" si="932"/>
        <v>Invoice</v>
      </c>
      <c r="L3056" s="83" t="str">
        <f>"SI_111238"</f>
        <v>SI_111238</v>
      </c>
      <c r="M3056" s="84">
        <v>42186</v>
      </c>
      <c r="N3056" s="85">
        <f t="shared" si="941"/>
        <v>1626</v>
      </c>
      <c r="O3056" s="86">
        <f t="shared" si="942"/>
        <v>18102.73</v>
      </c>
      <c r="P3056" s="86">
        <f t="shared" si="943"/>
        <v>0</v>
      </c>
      <c r="Q3056" s="86">
        <f t="shared" si="944"/>
        <v>0</v>
      </c>
      <c r="R3056" s="86">
        <f t="shared" si="945"/>
        <v>0</v>
      </c>
      <c r="S3056" s="86">
        <f t="shared" si="946"/>
        <v>0</v>
      </c>
      <c r="T3056" s="86">
        <f t="shared" si="947"/>
        <v>18102.73</v>
      </c>
      <c r="U3056" s="87">
        <v>18102.73</v>
      </c>
    </row>
    <row r="3057" spans="1:21" s="30" customFormat="1" ht="24.6" hidden="1" outlineLevel="1" x14ac:dyDescent="0.55000000000000004">
      <c r="A3057" s="27" t="s">
        <v>327</v>
      </c>
      <c r="B3057" s="28"/>
      <c r="C3057" s="27"/>
      <c r="D3057" s="27" t="str">
        <f>"""NAV Direct"",""CRONUS JetCorp USA"",""21"",""1"",""359630"""</f>
        <v>"NAV Direct","CRONUS JetCorp USA","21","1","359630"</v>
      </c>
      <c r="E3057" s="31" t="str">
        <f t="shared" si="940"/>
        <v>C100095</v>
      </c>
      <c r="F3057" s="31"/>
      <c r="G3057" s="31"/>
      <c r="H3057" s="31"/>
      <c r="I3057" s="56"/>
      <c r="J3057" s="56"/>
      <c r="K3057" s="82" t="str">
        <f t="shared" si="932"/>
        <v>Invoice</v>
      </c>
      <c r="L3057" s="83" t="str">
        <f>"SI_111242"</f>
        <v>SI_111242</v>
      </c>
      <c r="M3057" s="84">
        <v>42203</v>
      </c>
      <c r="N3057" s="85">
        <f t="shared" si="941"/>
        <v>1609</v>
      </c>
      <c r="O3057" s="86">
        <f t="shared" si="942"/>
        <v>11375.9</v>
      </c>
      <c r="P3057" s="86">
        <f t="shared" si="943"/>
        <v>0</v>
      </c>
      <c r="Q3057" s="86">
        <f t="shared" si="944"/>
        <v>0</v>
      </c>
      <c r="R3057" s="86">
        <f t="shared" si="945"/>
        <v>0</v>
      </c>
      <c r="S3057" s="86">
        <f t="shared" si="946"/>
        <v>0</v>
      </c>
      <c r="T3057" s="86">
        <f t="shared" si="947"/>
        <v>11375.9</v>
      </c>
      <c r="U3057" s="87">
        <v>11375.9</v>
      </c>
    </row>
    <row r="3058" spans="1:21" s="30" customFormat="1" ht="24.6" hidden="1" outlineLevel="1" x14ac:dyDescent="0.55000000000000004">
      <c r="A3058" s="27" t="s">
        <v>327</v>
      </c>
      <c r="B3058" s="28"/>
      <c r="C3058" s="27"/>
      <c r="D3058" s="27" t="str">
        <f>"""NAV Direct"",""CRONUS JetCorp USA"",""21"",""1"",""359665"""</f>
        <v>"NAV Direct","CRONUS JetCorp USA","21","1","359665"</v>
      </c>
      <c r="E3058" s="31">
        <f t="shared" si="940"/>
        <v>0</v>
      </c>
      <c r="F3058" s="31"/>
      <c r="G3058" s="31"/>
      <c r="H3058" s="31"/>
      <c r="I3058" s="56"/>
      <c r="J3058" s="56"/>
      <c r="K3058" s="82" t="str">
        <f t="shared" si="932"/>
        <v>Invoice</v>
      </c>
      <c r="L3058" s="83" t="str">
        <f>"SI_111243"</f>
        <v>SI_111243</v>
      </c>
      <c r="M3058" s="84">
        <v>42205</v>
      </c>
      <c r="N3058" s="85">
        <f t="shared" si="941"/>
        <v>1607</v>
      </c>
      <c r="O3058" s="86">
        <f t="shared" si="942"/>
        <v>11375.43</v>
      </c>
      <c r="P3058" s="86">
        <f t="shared" si="943"/>
        <v>0</v>
      </c>
      <c r="Q3058" s="86">
        <f t="shared" si="944"/>
        <v>0</v>
      </c>
      <c r="R3058" s="86">
        <f t="shared" si="945"/>
        <v>0</v>
      </c>
      <c r="S3058" s="86">
        <f t="shared" si="946"/>
        <v>0</v>
      </c>
      <c r="T3058" s="86">
        <f t="shared" si="947"/>
        <v>11375.43</v>
      </c>
      <c r="U3058" s="87">
        <v>11375.43</v>
      </c>
    </row>
    <row r="3059" spans="1:21" s="30" customFormat="1" ht="24.6" hidden="1" outlineLevel="1" x14ac:dyDescent="0.55000000000000004">
      <c r="A3059" s="27" t="s">
        <v>327</v>
      </c>
      <c r="B3059" s="28"/>
      <c r="C3059" s="27"/>
      <c r="D3059" s="27" t="str">
        <f>"""NAV Direct"",""CRONUS JetCorp USA"",""21"",""1"",""359692"""</f>
        <v>"NAV Direct","CRONUS JetCorp USA","21","1","359692"</v>
      </c>
      <c r="E3059" s="31" t="str">
        <f t="shared" si="940"/>
        <v>C100095</v>
      </c>
      <c r="F3059" s="31"/>
      <c r="G3059" s="31"/>
      <c r="H3059" s="31"/>
      <c r="I3059" s="56"/>
      <c r="J3059" s="56"/>
      <c r="K3059" s="82" t="str">
        <f t="shared" si="932"/>
        <v>Invoice</v>
      </c>
      <c r="L3059" s="83" t="str">
        <f>"SI_111244"</f>
        <v>SI_111244</v>
      </c>
      <c r="M3059" s="84">
        <v>42210</v>
      </c>
      <c r="N3059" s="85">
        <f t="shared" si="941"/>
        <v>1602</v>
      </c>
      <c r="O3059" s="86">
        <f t="shared" si="942"/>
        <v>11375.640000000001</v>
      </c>
      <c r="P3059" s="86">
        <f t="shared" si="943"/>
        <v>0</v>
      </c>
      <c r="Q3059" s="86">
        <f t="shared" si="944"/>
        <v>0</v>
      </c>
      <c r="R3059" s="86">
        <f t="shared" si="945"/>
        <v>0</v>
      </c>
      <c r="S3059" s="86">
        <f t="shared" si="946"/>
        <v>0</v>
      </c>
      <c r="T3059" s="86">
        <f t="shared" si="947"/>
        <v>11375.640000000001</v>
      </c>
      <c r="U3059" s="87">
        <v>11375.640000000001</v>
      </c>
    </row>
    <row r="3060" spans="1:21" s="30" customFormat="1" ht="24.6" hidden="1" outlineLevel="1" x14ac:dyDescent="0.55000000000000004">
      <c r="A3060" s="27" t="s">
        <v>327</v>
      </c>
      <c r="B3060" s="28"/>
      <c r="C3060" s="27"/>
      <c r="D3060" s="27" t="str">
        <f>"""NAV Direct"",""CRONUS JetCorp USA"",""21"",""1"",""359812"""</f>
        <v>"NAV Direct","CRONUS JetCorp USA","21","1","359812"</v>
      </c>
      <c r="E3060" s="31">
        <f t="shared" si="940"/>
        <v>0</v>
      </c>
      <c r="F3060" s="31"/>
      <c r="G3060" s="31"/>
      <c r="H3060" s="31"/>
      <c r="I3060" s="56"/>
      <c r="J3060" s="56"/>
      <c r="K3060" s="82" t="str">
        <f t="shared" si="932"/>
        <v>Invoice</v>
      </c>
      <c r="L3060" s="83" t="str">
        <f>"SI_111248"</f>
        <v>SI_111248</v>
      </c>
      <c r="M3060" s="84">
        <v>42241</v>
      </c>
      <c r="N3060" s="85">
        <f t="shared" si="941"/>
        <v>1571</v>
      </c>
      <c r="O3060" s="86">
        <f t="shared" si="942"/>
        <v>9953.7999999999993</v>
      </c>
      <c r="P3060" s="86">
        <f t="shared" si="943"/>
        <v>0</v>
      </c>
      <c r="Q3060" s="86">
        <f t="shared" si="944"/>
        <v>0</v>
      </c>
      <c r="R3060" s="86">
        <f t="shared" si="945"/>
        <v>0</v>
      </c>
      <c r="S3060" s="86">
        <f t="shared" si="946"/>
        <v>0</v>
      </c>
      <c r="T3060" s="86">
        <f t="shared" si="947"/>
        <v>9953.7999999999993</v>
      </c>
      <c r="U3060" s="87">
        <v>9953.7999999999993</v>
      </c>
    </row>
    <row r="3061" spans="1:21" s="30" customFormat="1" ht="24.6" hidden="1" outlineLevel="1" x14ac:dyDescent="0.55000000000000004">
      <c r="A3061" s="27" t="s">
        <v>327</v>
      </c>
      <c r="B3061" s="28"/>
      <c r="C3061" s="27"/>
      <c r="D3061" s="27" t="str">
        <f>"""NAV Direct"",""CRONUS JetCorp USA"",""21"",""1"",""359835"""</f>
        <v>"NAV Direct","CRONUS JetCorp USA","21","1","359835"</v>
      </c>
      <c r="E3061" s="31" t="str">
        <f t="shared" si="940"/>
        <v>C100095</v>
      </c>
      <c r="F3061" s="31"/>
      <c r="G3061" s="31"/>
      <c r="H3061" s="31"/>
      <c r="I3061" s="56"/>
      <c r="J3061" s="56"/>
      <c r="K3061" s="82" t="str">
        <f t="shared" si="932"/>
        <v>Invoice</v>
      </c>
      <c r="L3061" s="83" t="str">
        <f>"SI_111249"</f>
        <v>SI_111249</v>
      </c>
      <c r="M3061" s="84">
        <v>42247</v>
      </c>
      <c r="N3061" s="85">
        <f t="shared" si="941"/>
        <v>1565</v>
      </c>
      <c r="O3061" s="86">
        <f t="shared" si="942"/>
        <v>9953.9600000000009</v>
      </c>
      <c r="P3061" s="86">
        <f t="shared" si="943"/>
        <v>0</v>
      </c>
      <c r="Q3061" s="86">
        <f t="shared" si="944"/>
        <v>0</v>
      </c>
      <c r="R3061" s="86">
        <f t="shared" si="945"/>
        <v>0</v>
      </c>
      <c r="S3061" s="86">
        <f t="shared" si="946"/>
        <v>0</v>
      </c>
      <c r="T3061" s="86">
        <f t="shared" si="947"/>
        <v>9953.9600000000009</v>
      </c>
      <c r="U3061" s="87">
        <v>9953.9600000000009</v>
      </c>
    </row>
    <row r="3062" spans="1:21" s="30" customFormat="1" ht="24.6" hidden="1" outlineLevel="1" x14ac:dyDescent="0.55000000000000004">
      <c r="A3062" s="27" t="s">
        <v>327</v>
      </c>
      <c r="B3062" s="28"/>
      <c r="C3062" s="27"/>
      <c r="D3062" s="27" t="str">
        <f>"""NAV Direct"",""CRONUS JetCorp USA"",""21"",""1"",""360274"""</f>
        <v>"NAV Direct","CRONUS JetCorp USA","21","1","360274"</v>
      </c>
      <c r="E3062" s="31">
        <f t="shared" si="940"/>
        <v>0</v>
      </c>
      <c r="F3062" s="31"/>
      <c r="G3062" s="31"/>
      <c r="H3062" s="31"/>
      <c r="I3062" s="56"/>
      <c r="J3062" s="56"/>
      <c r="K3062" s="82" t="str">
        <f t="shared" si="932"/>
        <v>Invoice</v>
      </c>
      <c r="L3062" s="83" t="str">
        <f>"SI_111262"</f>
        <v>SI_111262</v>
      </c>
      <c r="M3062" s="84">
        <v>42331</v>
      </c>
      <c r="N3062" s="85">
        <f t="shared" si="941"/>
        <v>1481</v>
      </c>
      <c r="O3062" s="86">
        <f t="shared" si="942"/>
        <v>9854.7899999999991</v>
      </c>
      <c r="P3062" s="86">
        <f t="shared" si="943"/>
        <v>0</v>
      </c>
      <c r="Q3062" s="86">
        <f t="shared" si="944"/>
        <v>0</v>
      </c>
      <c r="R3062" s="86">
        <f t="shared" si="945"/>
        <v>0</v>
      </c>
      <c r="S3062" s="86">
        <f t="shared" si="946"/>
        <v>0</v>
      </c>
      <c r="T3062" s="86">
        <f t="shared" si="947"/>
        <v>9854.7899999999991</v>
      </c>
      <c r="U3062" s="87">
        <v>9854.7899999999991</v>
      </c>
    </row>
    <row r="3063" spans="1:21" s="30" customFormat="1" ht="24.6" hidden="1" outlineLevel="1" x14ac:dyDescent="0.55000000000000004">
      <c r="A3063" s="27" t="s">
        <v>327</v>
      </c>
      <c r="B3063" s="28"/>
      <c r="C3063" s="27"/>
      <c r="D3063" s="27" t="str">
        <f>"""NAV Direct"",""CRONUS JetCorp USA"",""21"",""1"",""360334"""</f>
        <v>"NAV Direct","CRONUS JetCorp USA","21","1","360334"</v>
      </c>
      <c r="E3063" s="31" t="str">
        <f t="shared" si="940"/>
        <v>C100095</v>
      </c>
      <c r="F3063" s="31"/>
      <c r="G3063" s="31"/>
      <c r="H3063" s="31"/>
      <c r="I3063" s="56"/>
      <c r="J3063" s="56"/>
      <c r="K3063" s="82" t="str">
        <f t="shared" si="932"/>
        <v>Invoice</v>
      </c>
      <c r="L3063" s="83" t="str">
        <f>"SI_111264"</f>
        <v>SI_111264</v>
      </c>
      <c r="M3063" s="84">
        <v>42333</v>
      </c>
      <c r="N3063" s="85">
        <f t="shared" si="941"/>
        <v>1479</v>
      </c>
      <c r="O3063" s="86">
        <f t="shared" si="942"/>
        <v>9854.4700000000012</v>
      </c>
      <c r="P3063" s="86">
        <f t="shared" si="943"/>
        <v>0</v>
      </c>
      <c r="Q3063" s="86">
        <f t="shared" si="944"/>
        <v>0</v>
      </c>
      <c r="R3063" s="86">
        <f t="shared" si="945"/>
        <v>0</v>
      </c>
      <c r="S3063" s="86">
        <f t="shared" si="946"/>
        <v>0</v>
      </c>
      <c r="T3063" s="86">
        <f t="shared" si="947"/>
        <v>9854.4700000000012</v>
      </c>
      <c r="U3063" s="87">
        <v>9854.4700000000012</v>
      </c>
    </row>
    <row r="3064" spans="1:21" s="30" customFormat="1" ht="24.6" hidden="1" outlineLevel="1" x14ac:dyDescent="0.55000000000000004">
      <c r="A3064" s="27" t="s">
        <v>327</v>
      </c>
      <c r="B3064" s="28"/>
      <c r="C3064" s="27"/>
      <c r="D3064" s="27" t="str">
        <f>"""NAV Direct"",""CRONUS JetCorp USA"",""21"",""1"",""360532"""</f>
        <v>"NAV Direct","CRONUS JetCorp USA","21","1","360532"</v>
      </c>
      <c r="E3064" s="31">
        <f t="shared" si="940"/>
        <v>0</v>
      </c>
      <c r="F3064" s="31"/>
      <c r="G3064" s="31"/>
      <c r="H3064" s="31"/>
      <c r="I3064" s="56"/>
      <c r="J3064" s="56"/>
      <c r="K3064" s="82" t="str">
        <f t="shared" si="932"/>
        <v>Invoice</v>
      </c>
      <c r="L3064" s="83" t="str">
        <f>"SI_111270"</f>
        <v>SI_111270</v>
      </c>
      <c r="M3064" s="84">
        <v>42364</v>
      </c>
      <c r="N3064" s="85">
        <f t="shared" si="941"/>
        <v>1448</v>
      </c>
      <c r="O3064" s="86">
        <f t="shared" si="942"/>
        <v>11627.68</v>
      </c>
      <c r="P3064" s="86">
        <f t="shared" si="943"/>
        <v>0</v>
      </c>
      <c r="Q3064" s="86">
        <f t="shared" si="944"/>
        <v>0</v>
      </c>
      <c r="R3064" s="86">
        <f t="shared" si="945"/>
        <v>0</v>
      </c>
      <c r="S3064" s="86">
        <f t="shared" si="946"/>
        <v>0</v>
      </c>
      <c r="T3064" s="86">
        <f t="shared" si="947"/>
        <v>11627.68</v>
      </c>
      <c r="U3064" s="87">
        <v>11627.68</v>
      </c>
    </row>
    <row r="3065" spans="1:21" s="30" customFormat="1" ht="24.6" hidden="1" outlineLevel="1" x14ac:dyDescent="0.55000000000000004">
      <c r="A3065" s="27" t="s">
        <v>327</v>
      </c>
      <c r="B3065" s="28"/>
      <c r="C3065" s="27"/>
      <c r="D3065" s="27" t="str">
        <f>"""NAV Direct"",""CRONUS JetCorp USA"",""21"",""1"",""434835"""</f>
        <v>"NAV Direct","CRONUS JetCorp USA","21","1","434835"</v>
      </c>
      <c r="E3065" s="31" t="str">
        <f t="shared" si="940"/>
        <v>C100095</v>
      </c>
      <c r="F3065" s="31"/>
      <c r="G3065" s="31"/>
      <c r="H3065" s="31"/>
      <c r="I3065" s="56"/>
      <c r="J3065" s="56"/>
      <c r="K3065" s="82" t="str">
        <f t="shared" ref="K3065:K3078" si="948">"Credit Memo"</f>
        <v>Credit Memo</v>
      </c>
      <c r="L3065" s="83" t="str">
        <f>"SC_100579"</f>
        <v>SC_100579</v>
      </c>
      <c r="M3065" s="84">
        <v>42604</v>
      </c>
      <c r="N3065" s="85">
        <f t="shared" si="941"/>
        <v>1208</v>
      </c>
      <c r="O3065" s="86">
        <f t="shared" si="942"/>
        <v>-106.25</v>
      </c>
      <c r="P3065" s="86">
        <f t="shared" si="943"/>
        <v>0</v>
      </c>
      <c r="Q3065" s="86">
        <f t="shared" si="944"/>
        <v>0</v>
      </c>
      <c r="R3065" s="86">
        <f t="shared" si="945"/>
        <v>0</v>
      </c>
      <c r="S3065" s="86">
        <f t="shared" si="946"/>
        <v>0</v>
      </c>
      <c r="T3065" s="86">
        <f t="shared" si="947"/>
        <v>-106.25</v>
      </c>
      <c r="U3065" s="87">
        <v>-106.25</v>
      </c>
    </row>
    <row r="3066" spans="1:21" s="30" customFormat="1" ht="24.6" hidden="1" outlineLevel="1" x14ac:dyDescent="0.55000000000000004">
      <c r="A3066" s="27" t="s">
        <v>327</v>
      </c>
      <c r="B3066" s="28"/>
      <c r="C3066" s="27"/>
      <c r="D3066" s="27" t="str">
        <f>"""NAV Direct"",""CRONUS JetCorp USA"",""21"",""1"",""434906"""</f>
        <v>"NAV Direct","CRONUS JetCorp USA","21","1","434906"</v>
      </c>
      <c r="E3066" s="31">
        <f t="shared" si="940"/>
        <v>0</v>
      </c>
      <c r="F3066" s="31"/>
      <c r="G3066" s="31"/>
      <c r="H3066" s="31"/>
      <c r="I3066" s="56"/>
      <c r="J3066" s="56"/>
      <c r="K3066" s="82" t="str">
        <f t="shared" si="948"/>
        <v>Credit Memo</v>
      </c>
      <c r="L3066" s="83" t="str">
        <f>"SC_100584"</f>
        <v>SC_100584</v>
      </c>
      <c r="M3066" s="84">
        <v>42940</v>
      </c>
      <c r="N3066" s="85">
        <f t="shared" si="941"/>
        <v>872</v>
      </c>
      <c r="O3066" s="86">
        <f t="shared" si="942"/>
        <v>-133.60999999999999</v>
      </c>
      <c r="P3066" s="86">
        <f t="shared" si="943"/>
        <v>0</v>
      </c>
      <c r="Q3066" s="86">
        <f t="shared" si="944"/>
        <v>0</v>
      </c>
      <c r="R3066" s="86">
        <f t="shared" si="945"/>
        <v>0</v>
      </c>
      <c r="S3066" s="86">
        <f t="shared" si="946"/>
        <v>0</v>
      </c>
      <c r="T3066" s="86">
        <f t="shared" si="947"/>
        <v>-133.60999999999999</v>
      </c>
      <c r="U3066" s="87">
        <v>-133.60999999999999</v>
      </c>
    </row>
    <row r="3067" spans="1:21" s="30" customFormat="1" ht="24.6" hidden="1" outlineLevel="1" x14ac:dyDescent="0.55000000000000004">
      <c r="A3067" s="27" t="s">
        <v>327</v>
      </c>
      <c r="B3067" s="28"/>
      <c r="C3067" s="27"/>
      <c r="D3067" s="27" t="str">
        <f>"""NAV Direct"",""CRONUS JetCorp USA"",""21"",""1"",""434934"""</f>
        <v>"NAV Direct","CRONUS JetCorp USA","21","1","434934"</v>
      </c>
      <c r="E3067" s="31" t="str">
        <f t="shared" si="940"/>
        <v>C100095</v>
      </c>
      <c r="F3067" s="31"/>
      <c r="G3067" s="31"/>
      <c r="H3067" s="31"/>
      <c r="I3067" s="56"/>
      <c r="J3067" s="56"/>
      <c r="K3067" s="82" t="str">
        <f t="shared" si="948"/>
        <v>Credit Memo</v>
      </c>
      <c r="L3067" s="83" t="str">
        <f>"SC_100586"</f>
        <v>SC_100586</v>
      </c>
      <c r="M3067" s="84">
        <v>42983</v>
      </c>
      <c r="N3067" s="85">
        <f t="shared" si="941"/>
        <v>829</v>
      </c>
      <c r="O3067" s="86">
        <f t="shared" si="942"/>
        <v>-101.28</v>
      </c>
      <c r="P3067" s="86">
        <f t="shared" si="943"/>
        <v>0</v>
      </c>
      <c r="Q3067" s="86">
        <f t="shared" si="944"/>
        <v>0</v>
      </c>
      <c r="R3067" s="86">
        <f t="shared" si="945"/>
        <v>0</v>
      </c>
      <c r="S3067" s="86">
        <f t="shared" si="946"/>
        <v>0</v>
      </c>
      <c r="T3067" s="86">
        <f t="shared" si="947"/>
        <v>-101.28</v>
      </c>
      <c r="U3067" s="87">
        <v>-101.28</v>
      </c>
    </row>
    <row r="3068" spans="1:21" s="30" customFormat="1" ht="24.6" hidden="1" outlineLevel="1" x14ac:dyDescent="0.55000000000000004">
      <c r="A3068" s="27" t="s">
        <v>327</v>
      </c>
      <c r="B3068" s="28"/>
      <c r="C3068" s="27"/>
      <c r="D3068" s="27" t="str">
        <f>"""NAV Direct"",""CRONUS JetCorp USA"",""21"",""1"",""434960"""</f>
        <v>"NAV Direct","CRONUS JetCorp USA","21","1","434960"</v>
      </c>
      <c r="E3068" s="31">
        <f t="shared" si="940"/>
        <v>0</v>
      </c>
      <c r="F3068" s="31"/>
      <c r="G3068" s="31"/>
      <c r="H3068" s="31"/>
      <c r="I3068" s="56"/>
      <c r="J3068" s="56"/>
      <c r="K3068" s="82" t="str">
        <f t="shared" si="948"/>
        <v>Credit Memo</v>
      </c>
      <c r="L3068" s="83" t="str">
        <f>"SC_100588"</f>
        <v>SC_100588</v>
      </c>
      <c r="M3068" s="84">
        <v>43057</v>
      </c>
      <c r="N3068" s="85">
        <f t="shared" si="941"/>
        <v>755</v>
      </c>
      <c r="O3068" s="86">
        <f t="shared" si="942"/>
        <v>-131.60999999999999</v>
      </c>
      <c r="P3068" s="86">
        <f t="shared" si="943"/>
        <v>0</v>
      </c>
      <c r="Q3068" s="86">
        <f t="shared" si="944"/>
        <v>0</v>
      </c>
      <c r="R3068" s="86">
        <f t="shared" si="945"/>
        <v>0</v>
      </c>
      <c r="S3068" s="86">
        <f t="shared" si="946"/>
        <v>0</v>
      </c>
      <c r="T3068" s="86">
        <f t="shared" si="947"/>
        <v>-131.60999999999999</v>
      </c>
      <c r="U3068" s="87">
        <v>-131.60999999999999</v>
      </c>
    </row>
    <row r="3069" spans="1:21" s="30" customFormat="1" ht="24.6" hidden="1" outlineLevel="1" x14ac:dyDescent="0.55000000000000004">
      <c r="A3069" s="27" t="s">
        <v>327</v>
      </c>
      <c r="B3069" s="28"/>
      <c r="C3069" s="27"/>
      <c r="D3069" s="27" t="str">
        <f>"""NAV Direct"",""CRONUS JetCorp USA"",""21"",""1"",""434977"""</f>
        <v>"NAV Direct","CRONUS JetCorp USA","21","1","434977"</v>
      </c>
      <c r="E3069" s="31" t="str">
        <f t="shared" si="940"/>
        <v>C100095</v>
      </c>
      <c r="F3069" s="31"/>
      <c r="G3069" s="31"/>
      <c r="H3069" s="31"/>
      <c r="I3069" s="56"/>
      <c r="J3069" s="56"/>
      <c r="K3069" s="82" t="str">
        <f t="shared" si="948"/>
        <v>Credit Memo</v>
      </c>
      <c r="L3069" s="83" t="str">
        <f>"SC_100589"</f>
        <v>SC_100589</v>
      </c>
      <c r="M3069" s="84">
        <v>43077</v>
      </c>
      <c r="N3069" s="85">
        <f t="shared" si="941"/>
        <v>735</v>
      </c>
      <c r="O3069" s="86">
        <f t="shared" si="942"/>
        <v>-158.06</v>
      </c>
      <c r="P3069" s="86">
        <f t="shared" si="943"/>
        <v>0</v>
      </c>
      <c r="Q3069" s="86">
        <f t="shared" si="944"/>
        <v>0</v>
      </c>
      <c r="R3069" s="86">
        <f t="shared" si="945"/>
        <v>0</v>
      </c>
      <c r="S3069" s="86">
        <f t="shared" si="946"/>
        <v>0</v>
      </c>
      <c r="T3069" s="86">
        <f t="shared" si="947"/>
        <v>-158.06</v>
      </c>
      <c r="U3069" s="87">
        <v>-158.06</v>
      </c>
    </row>
    <row r="3070" spans="1:21" s="30" customFormat="1" ht="24.6" hidden="1" outlineLevel="1" x14ac:dyDescent="0.55000000000000004">
      <c r="A3070" s="27" t="s">
        <v>327</v>
      </c>
      <c r="B3070" s="28"/>
      <c r="C3070" s="27"/>
      <c r="D3070" s="27" t="str">
        <f>"""NAV Direct"",""CRONUS JetCorp USA"",""21"",""1"",""435124"""</f>
        <v>"NAV Direct","CRONUS JetCorp USA","21","1","435124"</v>
      </c>
      <c r="E3070" s="31">
        <f t="shared" si="940"/>
        <v>0</v>
      </c>
      <c r="F3070" s="31"/>
      <c r="G3070" s="31"/>
      <c r="H3070" s="31"/>
      <c r="I3070" s="56"/>
      <c r="J3070" s="56"/>
      <c r="K3070" s="82" t="str">
        <f t="shared" si="948"/>
        <v>Credit Memo</v>
      </c>
      <c r="L3070" s="83" t="str">
        <f>"SC_100598"</f>
        <v>SC_100598</v>
      </c>
      <c r="M3070" s="84">
        <v>43385</v>
      </c>
      <c r="N3070" s="85">
        <f t="shared" si="941"/>
        <v>427</v>
      </c>
      <c r="O3070" s="86">
        <f t="shared" si="942"/>
        <v>-147.88</v>
      </c>
      <c r="P3070" s="86">
        <f t="shared" si="943"/>
        <v>0</v>
      </c>
      <c r="Q3070" s="86">
        <f t="shared" si="944"/>
        <v>0</v>
      </c>
      <c r="R3070" s="86">
        <f t="shared" si="945"/>
        <v>0</v>
      </c>
      <c r="S3070" s="86">
        <f t="shared" si="946"/>
        <v>0</v>
      </c>
      <c r="T3070" s="86">
        <f t="shared" si="947"/>
        <v>-147.88</v>
      </c>
      <c r="U3070" s="87">
        <v>-147.88</v>
      </c>
    </row>
    <row r="3071" spans="1:21" s="30" customFormat="1" ht="24.6" hidden="1" outlineLevel="1" x14ac:dyDescent="0.55000000000000004">
      <c r="A3071" s="27" t="s">
        <v>327</v>
      </c>
      <c r="B3071" s="28"/>
      <c r="C3071" s="27"/>
      <c r="D3071" s="27" t="str">
        <f>"""NAV Direct"",""CRONUS JetCorp USA"",""21"",""1"",""435237"""</f>
        <v>"NAV Direct","CRONUS JetCorp USA","21","1","435237"</v>
      </c>
      <c r="E3071" s="31" t="str">
        <f t="shared" si="940"/>
        <v>C100095</v>
      </c>
      <c r="F3071" s="31"/>
      <c r="G3071" s="31"/>
      <c r="H3071" s="31"/>
      <c r="I3071" s="56"/>
      <c r="J3071" s="56"/>
      <c r="K3071" s="82" t="str">
        <f t="shared" si="948"/>
        <v>Credit Memo</v>
      </c>
      <c r="L3071" s="83" t="str">
        <f>"SC_100605"</f>
        <v>SC_100605</v>
      </c>
      <c r="M3071" s="84">
        <v>43508</v>
      </c>
      <c r="N3071" s="85">
        <f t="shared" si="941"/>
        <v>304</v>
      </c>
      <c r="O3071" s="86">
        <f t="shared" si="942"/>
        <v>-190.77</v>
      </c>
      <c r="P3071" s="86">
        <f t="shared" si="943"/>
        <v>0</v>
      </c>
      <c r="Q3071" s="86">
        <f t="shared" si="944"/>
        <v>0</v>
      </c>
      <c r="R3071" s="86">
        <f t="shared" si="945"/>
        <v>0</v>
      </c>
      <c r="S3071" s="86">
        <f t="shared" si="946"/>
        <v>0</v>
      </c>
      <c r="T3071" s="86">
        <f t="shared" si="947"/>
        <v>-190.77</v>
      </c>
      <c r="U3071" s="87">
        <v>-190.77</v>
      </c>
    </row>
    <row r="3072" spans="1:21" s="30" customFormat="1" ht="24.6" hidden="1" outlineLevel="1" x14ac:dyDescent="0.55000000000000004">
      <c r="A3072" s="27" t="s">
        <v>327</v>
      </c>
      <c r="B3072" s="28"/>
      <c r="C3072" s="27"/>
      <c r="D3072" s="27" t="str">
        <f>"""NAV Direct"",""CRONUS JetCorp USA"",""21"",""1"",""435248"""</f>
        <v>"NAV Direct","CRONUS JetCorp USA","21","1","435248"</v>
      </c>
      <c r="E3072" s="31">
        <f t="shared" si="940"/>
        <v>0</v>
      </c>
      <c r="F3072" s="31"/>
      <c r="G3072" s="31"/>
      <c r="H3072" s="31"/>
      <c r="I3072" s="56"/>
      <c r="J3072" s="56"/>
      <c r="K3072" s="82" t="str">
        <f t="shared" si="948"/>
        <v>Credit Memo</v>
      </c>
      <c r="L3072" s="83" t="str">
        <f>"SC_100606"</f>
        <v>SC_100606</v>
      </c>
      <c r="M3072" s="84">
        <v>43544</v>
      </c>
      <c r="N3072" s="85">
        <f t="shared" si="941"/>
        <v>268</v>
      </c>
      <c r="O3072" s="86">
        <f t="shared" si="942"/>
        <v>-176.69</v>
      </c>
      <c r="P3072" s="86">
        <f t="shared" si="943"/>
        <v>0</v>
      </c>
      <c r="Q3072" s="86">
        <f t="shared" si="944"/>
        <v>0</v>
      </c>
      <c r="R3072" s="86">
        <f t="shared" si="945"/>
        <v>0</v>
      </c>
      <c r="S3072" s="86">
        <f t="shared" si="946"/>
        <v>0</v>
      </c>
      <c r="T3072" s="86">
        <f t="shared" si="947"/>
        <v>-176.69</v>
      </c>
      <c r="U3072" s="87">
        <v>-176.69</v>
      </c>
    </row>
    <row r="3073" spans="1:22" s="30" customFormat="1" ht="24.6" hidden="1" outlineLevel="1" x14ac:dyDescent="0.55000000000000004">
      <c r="A3073" s="27" t="s">
        <v>327</v>
      </c>
      <c r="B3073" s="28"/>
      <c r="C3073" s="27"/>
      <c r="D3073" s="27" t="str">
        <f>"""NAV Direct"",""CRONUS JetCorp USA"",""21"",""1"",""435274"""</f>
        <v>"NAV Direct","CRONUS JetCorp USA","21","1","435274"</v>
      </c>
      <c r="E3073" s="31" t="str">
        <f t="shared" si="940"/>
        <v>C100095</v>
      </c>
      <c r="F3073" s="31"/>
      <c r="G3073" s="31"/>
      <c r="H3073" s="31"/>
      <c r="I3073" s="56"/>
      <c r="J3073" s="56"/>
      <c r="K3073" s="82" t="str">
        <f t="shared" si="948"/>
        <v>Credit Memo</v>
      </c>
      <c r="L3073" s="83" t="str">
        <f>"SC_100608"</f>
        <v>SC_100608</v>
      </c>
      <c r="M3073" s="84">
        <v>43601</v>
      </c>
      <c r="N3073" s="85">
        <f t="shared" si="941"/>
        <v>211</v>
      </c>
      <c r="O3073" s="86">
        <f t="shared" si="942"/>
        <v>-222.22</v>
      </c>
      <c r="P3073" s="86">
        <f t="shared" si="943"/>
        <v>0</v>
      </c>
      <c r="Q3073" s="86">
        <f t="shared" si="944"/>
        <v>0</v>
      </c>
      <c r="R3073" s="86">
        <f t="shared" si="945"/>
        <v>0</v>
      </c>
      <c r="S3073" s="86">
        <f t="shared" si="946"/>
        <v>0</v>
      </c>
      <c r="T3073" s="86">
        <f t="shared" si="947"/>
        <v>-222.22</v>
      </c>
      <c r="U3073" s="87">
        <v>-222.22</v>
      </c>
    </row>
    <row r="3074" spans="1:22" s="30" customFormat="1" ht="24.6" hidden="1" outlineLevel="1" x14ac:dyDescent="0.55000000000000004">
      <c r="A3074" s="27" t="s">
        <v>327</v>
      </c>
      <c r="B3074" s="28"/>
      <c r="C3074" s="27"/>
      <c r="D3074" s="27" t="str">
        <f>"""NAV Direct"",""CRONUS JetCorp USA"",""21"",""1"",""435310"""</f>
        <v>"NAV Direct","CRONUS JetCorp USA","21","1","435310"</v>
      </c>
      <c r="E3074" s="31">
        <f t="shared" si="940"/>
        <v>0</v>
      </c>
      <c r="F3074" s="31"/>
      <c r="G3074" s="31"/>
      <c r="H3074" s="31"/>
      <c r="I3074" s="56"/>
      <c r="J3074" s="56"/>
      <c r="K3074" s="82" t="str">
        <f t="shared" si="948"/>
        <v>Credit Memo</v>
      </c>
      <c r="L3074" s="83" t="str">
        <f>"SC_100610"</f>
        <v>SC_100610</v>
      </c>
      <c r="M3074" s="84">
        <v>43658</v>
      </c>
      <c r="N3074" s="85">
        <f t="shared" si="941"/>
        <v>154</v>
      </c>
      <c r="O3074" s="86">
        <f t="shared" si="942"/>
        <v>-162.16999999999999</v>
      </c>
      <c r="P3074" s="86">
        <f t="shared" si="943"/>
        <v>0</v>
      </c>
      <c r="Q3074" s="86">
        <f t="shared" si="944"/>
        <v>0</v>
      </c>
      <c r="R3074" s="86">
        <f t="shared" si="945"/>
        <v>0</v>
      </c>
      <c r="S3074" s="86">
        <f t="shared" si="946"/>
        <v>0</v>
      </c>
      <c r="T3074" s="86">
        <f t="shared" si="947"/>
        <v>-162.16999999999999</v>
      </c>
      <c r="U3074" s="87">
        <v>-162.16999999999999</v>
      </c>
    </row>
    <row r="3075" spans="1:22" s="30" customFormat="1" ht="24.6" hidden="1" outlineLevel="1" x14ac:dyDescent="0.55000000000000004">
      <c r="A3075" s="27" t="s">
        <v>327</v>
      </c>
      <c r="B3075" s="28"/>
      <c r="C3075" s="27"/>
      <c r="D3075" s="27" t="str">
        <f>"""NAV Direct"",""CRONUS JetCorp USA"",""21"",""1"",""435423"""</f>
        <v>"NAV Direct","CRONUS JetCorp USA","21","1","435423"</v>
      </c>
      <c r="E3075" s="31" t="str">
        <f t="shared" si="940"/>
        <v>C100095</v>
      </c>
      <c r="F3075" s="31"/>
      <c r="G3075" s="31"/>
      <c r="H3075" s="31"/>
      <c r="I3075" s="56"/>
      <c r="J3075" s="56"/>
      <c r="K3075" s="82" t="str">
        <f t="shared" si="948"/>
        <v>Credit Memo</v>
      </c>
      <c r="L3075" s="83" t="str">
        <f>"SC_100617"</f>
        <v>SC_100617</v>
      </c>
      <c r="M3075" s="84">
        <v>43790</v>
      </c>
      <c r="N3075" s="85">
        <f t="shared" si="941"/>
        <v>22</v>
      </c>
      <c r="O3075" s="86">
        <f t="shared" si="942"/>
        <v>-142.32</v>
      </c>
      <c r="P3075" s="86">
        <f t="shared" si="943"/>
        <v>0</v>
      </c>
      <c r="Q3075" s="86">
        <f t="shared" si="944"/>
        <v>-142.32</v>
      </c>
      <c r="R3075" s="86">
        <f t="shared" si="945"/>
        <v>0</v>
      </c>
      <c r="S3075" s="86">
        <f t="shared" si="946"/>
        <v>0</v>
      </c>
      <c r="T3075" s="86">
        <f t="shared" si="947"/>
        <v>0</v>
      </c>
      <c r="U3075" s="87">
        <v>-142.32</v>
      </c>
    </row>
    <row r="3076" spans="1:22" s="30" customFormat="1" ht="24.6" hidden="1" outlineLevel="1" x14ac:dyDescent="0.55000000000000004">
      <c r="A3076" s="27" t="s">
        <v>327</v>
      </c>
      <c r="B3076" s="28"/>
      <c r="C3076" s="27"/>
      <c r="D3076" s="27" t="str">
        <f>"""NAV Direct"",""CRONUS JetCorp USA"",""21"",""1"",""435455"""</f>
        <v>"NAV Direct","CRONUS JetCorp USA","21","1","435455"</v>
      </c>
      <c r="E3076" s="31">
        <f t="shared" si="940"/>
        <v>0</v>
      </c>
      <c r="F3076" s="31"/>
      <c r="G3076" s="31"/>
      <c r="H3076" s="31"/>
      <c r="I3076" s="56"/>
      <c r="J3076" s="56"/>
      <c r="K3076" s="82" t="str">
        <f t="shared" si="948"/>
        <v>Credit Memo</v>
      </c>
      <c r="L3076" s="83" t="str">
        <f>"SC_100619"</f>
        <v>SC_100619</v>
      </c>
      <c r="M3076" s="84">
        <v>43807</v>
      </c>
      <c r="N3076" s="85">
        <f t="shared" si="941"/>
        <v>5</v>
      </c>
      <c r="O3076" s="86">
        <f t="shared" si="942"/>
        <v>-167.88</v>
      </c>
      <c r="P3076" s="86">
        <f t="shared" si="943"/>
        <v>0</v>
      </c>
      <c r="Q3076" s="86">
        <f t="shared" si="944"/>
        <v>-167.88</v>
      </c>
      <c r="R3076" s="86">
        <f t="shared" si="945"/>
        <v>0</v>
      </c>
      <c r="S3076" s="86">
        <f t="shared" si="946"/>
        <v>0</v>
      </c>
      <c r="T3076" s="86">
        <f t="shared" si="947"/>
        <v>0</v>
      </c>
      <c r="U3076" s="87">
        <v>-167.88</v>
      </c>
    </row>
    <row r="3077" spans="1:22" s="30" customFormat="1" ht="24.6" hidden="1" outlineLevel="1" x14ac:dyDescent="0.55000000000000004">
      <c r="A3077" s="27" t="s">
        <v>327</v>
      </c>
      <c r="B3077" s="28"/>
      <c r="C3077" s="27"/>
      <c r="D3077" s="27" t="str">
        <f>"""NAV Direct"",""CRONUS JetCorp USA"",""21"",""1"",""435551"""</f>
        <v>"NAV Direct","CRONUS JetCorp USA","21","1","435551"</v>
      </c>
      <c r="E3077" s="31" t="str">
        <f t="shared" si="940"/>
        <v>C100095</v>
      </c>
      <c r="F3077" s="31"/>
      <c r="G3077" s="31"/>
      <c r="H3077" s="31"/>
      <c r="I3077" s="56"/>
      <c r="J3077" s="56"/>
      <c r="K3077" s="82" t="str">
        <f t="shared" si="948"/>
        <v>Credit Memo</v>
      </c>
      <c r="L3077" s="83" t="str">
        <f>"SC_100625"</f>
        <v>SC_100625</v>
      </c>
      <c r="M3077" s="84">
        <v>42051</v>
      </c>
      <c r="N3077" s="85">
        <f t="shared" si="941"/>
        <v>1761</v>
      </c>
      <c r="O3077" s="86">
        <f t="shared" si="942"/>
        <v>-143.60999999999999</v>
      </c>
      <c r="P3077" s="86">
        <f t="shared" si="943"/>
        <v>0</v>
      </c>
      <c r="Q3077" s="86">
        <f t="shared" si="944"/>
        <v>0</v>
      </c>
      <c r="R3077" s="86">
        <f t="shared" si="945"/>
        <v>0</v>
      </c>
      <c r="S3077" s="86">
        <f t="shared" si="946"/>
        <v>0</v>
      </c>
      <c r="T3077" s="86">
        <f t="shared" si="947"/>
        <v>-143.60999999999999</v>
      </c>
      <c r="U3077" s="87">
        <v>-143.60999999999999</v>
      </c>
    </row>
    <row r="3078" spans="1:22" s="30" customFormat="1" ht="24.6" hidden="1" outlineLevel="1" x14ac:dyDescent="0.55000000000000004">
      <c r="A3078" s="27" t="s">
        <v>327</v>
      </c>
      <c r="B3078" s="28"/>
      <c r="C3078" s="27"/>
      <c r="D3078" s="27" t="str">
        <f>"""NAV Direct"",""CRONUS JetCorp USA"",""21"",""1"",""435742"""</f>
        <v>"NAV Direct","CRONUS JetCorp USA","21","1","435742"</v>
      </c>
      <c r="E3078" s="31">
        <f t="shared" si="940"/>
        <v>0</v>
      </c>
      <c r="F3078" s="31"/>
      <c r="G3078" s="31"/>
      <c r="H3078" s="31"/>
      <c r="I3078" s="56"/>
      <c r="J3078" s="56"/>
      <c r="K3078" s="82" t="str">
        <f t="shared" si="948"/>
        <v>Credit Memo</v>
      </c>
      <c r="L3078" s="83" t="str">
        <f>"SC_100638"</f>
        <v>SC_100638</v>
      </c>
      <c r="M3078" s="84">
        <v>42295</v>
      </c>
      <c r="N3078" s="85">
        <f t="shared" si="941"/>
        <v>1517</v>
      </c>
      <c r="O3078" s="86">
        <f t="shared" si="942"/>
        <v>-98.1</v>
      </c>
      <c r="P3078" s="86">
        <f t="shared" si="943"/>
        <v>0</v>
      </c>
      <c r="Q3078" s="86">
        <f t="shared" si="944"/>
        <v>0</v>
      </c>
      <c r="R3078" s="86">
        <f t="shared" si="945"/>
        <v>0</v>
      </c>
      <c r="S3078" s="86">
        <f t="shared" si="946"/>
        <v>0</v>
      </c>
      <c r="T3078" s="86">
        <f t="shared" si="947"/>
        <v>-98.1</v>
      </c>
      <c r="U3078" s="87">
        <v>-98.1</v>
      </c>
    </row>
    <row r="3079" spans="1:22" s="22" customFormat="1" ht="20.399999999999999" collapsed="1" x14ac:dyDescent="0.45">
      <c r="A3079" s="12" t="s">
        <v>327</v>
      </c>
      <c r="B3079" s="19"/>
      <c r="C3079" s="12"/>
      <c r="D3079" s="12"/>
      <c r="E3079" s="23"/>
      <c r="F3079" s="23"/>
      <c r="G3079" s="23"/>
      <c r="H3079" s="23"/>
      <c r="I3079" s="49"/>
      <c r="J3079" s="88"/>
      <c r="K3079" s="88"/>
      <c r="L3079" s="89"/>
      <c r="M3079" s="89"/>
      <c r="N3079" s="89"/>
      <c r="O3079" s="89"/>
      <c r="P3079" s="89"/>
      <c r="Q3079" s="90"/>
      <c r="R3079" s="90"/>
      <c r="S3079" s="91"/>
      <c r="T3079" s="92"/>
      <c r="U3079" s="92"/>
    </row>
    <row r="3080" spans="1:22" s="22" customFormat="1" ht="20.399999999999999" x14ac:dyDescent="0.45">
      <c r="A3080" s="12" t="s">
        <v>327</v>
      </c>
      <c r="B3080" s="19"/>
      <c r="C3080" s="12"/>
      <c r="D3080" s="12"/>
      <c r="E3080" s="23"/>
      <c r="F3080" s="23"/>
      <c r="G3080" s="23"/>
      <c r="H3080" s="23"/>
      <c r="I3080" s="49"/>
      <c r="J3080" s="88"/>
      <c r="K3080" s="88"/>
      <c r="L3080" s="89"/>
      <c r="M3080" s="89"/>
      <c r="N3080" s="89"/>
      <c r="O3080" s="89"/>
      <c r="P3080" s="89"/>
      <c r="Q3080" s="90"/>
      <c r="R3080" s="90"/>
      <c r="S3080" s="91"/>
      <c r="T3080" s="92"/>
      <c r="U3080" s="92"/>
    </row>
    <row r="3081" spans="1:22" s="26" customFormat="1" ht="24.6" x14ac:dyDescent="0.55000000000000004">
      <c r="A3081" s="27" t="s">
        <v>327</v>
      </c>
      <c r="B3081" s="28"/>
      <c r="C3081" s="27" t="str">
        <f>"""NAV Direct"",""CRONUS JetCorp USA"",""18"",""1"",""C100096"""</f>
        <v>"NAV Direct","CRONUS JetCorp USA","18","1","C100096"</v>
      </c>
      <c r="D3081" s="27"/>
      <c r="E3081" s="28" t="str">
        <f>H3081</f>
        <v>C100096</v>
      </c>
      <c r="F3081" s="28"/>
      <c r="G3081" s="28"/>
      <c r="H3081" s="28" t="str">
        <f>"C100096"</f>
        <v>C100096</v>
      </c>
      <c r="I3081" s="116" t="str">
        <f>"C100096  -  D-Com Industries"</f>
        <v>C100096  -  D-Com Industries</v>
      </c>
      <c r="J3081" s="117" t="str">
        <f>""</f>
        <v/>
      </c>
      <c r="K3081" s="118"/>
      <c r="L3081" s="119">
        <f>SUBTOTAL(3,L3082:L3124)</f>
        <v>39</v>
      </c>
      <c r="M3081" s="118"/>
      <c r="N3081" s="118"/>
      <c r="O3081" s="120">
        <f t="shared" ref="O3081:T3081" si="949">SUBTOTAL(9,O3082:O3124)</f>
        <v>359192.5199999999</v>
      </c>
      <c r="P3081" s="120">
        <f t="shared" si="949"/>
        <v>23963.34</v>
      </c>
      <c r="Q3081" s="120">
        <f t="shared" si="949"/>
        <v>0</v>
      </c>
      <c r="R3081" s="120">
        <f t="shared" si="949"/>
        <v>12174.99</v>
      </c>
      <c r="S3081" s="120">
        <f t="shared" si="949"/>
        <v>11068.15</v>
      </c>
      <c r="T3081" s="120">
        <f t="shared" si="949"/>
        <v>311986.03999999998</v>
      </c>
      <c r="U3081" s="81"/>
    </row>
    <row r="3082" spans="1:22" s="26" customFormat="1" ht="24.6" x14ac:dyDescent="0.55000000000000004">
      <c r="A3082" s="27" t="s">
        <v>327</v>
      </c>
      <c r="B3082" s="28"/>
      <c r="C3082" s="27" t="str">
        <f>C3081</f>
        <v>"NAV Direct","CRONUS JetCorp USA","18","1","C100096"</v>
      </c>
      <c r="D3082" s="27"/>
      <c r="E3082" s="28" t="str">
        <f>E3081</f>
        <v>C100096</v>
      </c>
      <c r="F3082" s="28"/>
      <c r="G3082" s="28"/>
      <c r="H3082" s="28"/>
      <c r="I3082" s="121" t="str">
        <f>"Contact: Susan Wells"</f>
        <v>Contact: Susan Wells</v>
      </c>
      <c r="J3082" s="121"/>
      <c r="K3082" s="122"/>
      <c r="L3082" s="123"/>
      <c r="M3082" s="123"/>
      <c r="N3082" s="124"/>
      <c r="O3082" s="124"/>
      <c r="P3082" s="123"/>
      <c r="Q3082" s="125"/>
      <c r="R3082" s="126"/>
      <c r="S3082" s="126"/>
      <c r="T3082" s="125"/>
      <c r="U3082" s="81"/>
    </row>
    <row r="3083" spans="1:22" s="26" customFormat="1" ht="24.6" x14ac:dyDescent="0.55000000000000004">
      <c r="A3083" s="27" t="s">
        <v>327</v>
      </c>
      <c r="B3083" s="28"/>
      <c r="C3083" s="27" t="str">
        <f>C3082</f>
        <v>"NAV Direct","CRONUS JetCorp USA","18","1","C100096"</v>
      </c>
      <c r="D3083" s="27"/>
      <c r="E3083" s="28" t="str">
        <f>E3082</f>
        <v>C100096</v>
      </c>
      <c r="F3083" s="28"/>
      <c r="G3083" s="28"/>
      <c r="H3083" s="28"/>
      <c r="I3083" s="121" t="str">
        <f>"D-Com Industries@Cronus.com"</f>
        <v>D-Com Industries@Cronus.com</v>
      </c>
      <c r="J3083" s="121"/>
      <c r="K3083" s="122"/>
      <c r="L3083" s="124"/>
      <c r="M3083" s="124"/>
      <c r="N3083" s="124"/>
      <c r="O3083" s="124"/>
      <c r="P3083" s="123"/>
      <c r="Q3083" s="125"/>
      <c r="R3083" s="126"/>
      <c r="S3083" s="126"/>
      <c r="T3083" s="125"/>
      <c r="U3083" s="81"/>
    </row>
    <row r="3084" spans="1:22" ht="12.75" hidden="1" customHeight="1" outlineLevel="1" x14ac:dyDescent="0.45">
      <c r="A3084" s="12" t="s">
        <v>328</v>
      </c>
      <c r="B3084" s="19"/>
      <c r="E3084" s="19"/>
      <c r="F3084" s="19"/>
      <c r="G3084" s="19"/>
      <c r="H3084" s="19"/>
      <c r="I3084" s="61"/>
      <c r="J3084" s="61"/>
      <c r="K3084" s="61"/>
      <c r="L3084" s="61"/>
      <c r="M3084" s="61"/>
      <c r="N3084" s="61"/>
      <c r="O3084" s="61"/>
      <c r="P3084" s="61"/>
      <c r="Q3084" s="61"/>
      <c r="R3084" s="61"/>
      <c r="S3084" s="61"/>
      <c r="T3084" s="61"/>
      <c r="U3084" s="61"/>
      <c r="V3084" s="21"/>
    </row>
    <row r="3085" spans="1:22" s="30" customFormat="1" ht="24.6" hidden="1" outlineLevel="1" x14ac:dyDescent="0.55000000000000004">
      <c r="A3085" s="27" t="s">
        <v>327</v>
      </c>
      <c r="B3085" s="28"/>
      <c r="C3085" s="27"/>
      <c r="D3085" s="27" t="str">
        <f>"""NAV Direct"",""CRONUS JetCorp USA"",""21"",""1"",""153066"""</f>
        <v>"NAV Direct","CRONUS JetCorp USA","21","1","153066"</v>
      </c>
      <c r="E3085" s="31" t="str">
        <f t="shared" ref="E3085:E3123" si="950">E3083</f>
        <v>C100096</v>
      </c>
      <c r="F3085" s="31"/>
      <c r="G3085" s="31"/>
      <c r="H3085" s="31"/>
      <c r="I3085" s="56"/>
      <c r="J3085" s="56"/>
      <c r="K3085" s="82" t="str">
        <f t="shared" ref="K3085:K3119" si="951">"Invoice"</f>
        <v>Invoice</v>
      </c>
      <c r="L3085" s="83" t="str">
        <f>"SI_107357"</f>
        <v>SI_107357</v>
      </c>
      <c r="M3085" s="84">
        <v>42307</v>
      </c>
      <c r="N3085" s="85">
        <f t="shared" ref="N3085:N3123" si="952">StartDate-$M3085+1</f>
        <v>1505</v>
      </c>
      <c r="O3085" s="86">
        <f t="shared" ref="O3085:O3123" si="953">SUM(P3085:T3085)</f>
        <v>12832.439999999999</v>
      </c>
      <c r="P3085" s="86">
        <f t="shared" ref="P3085:P3123" si="954">IF($M3085&gt;=$P$18,U3085,0)</f>
        <v>0</v>
      </c>
      <c r="Q3085" s="86">
        <f t="shared" ref="Q3085:Q3123" si="955">IF(AND($M3085&gt;=$Q$16,$M3085&lt;=$Q$18),U3085,0)</f>
        <v>0</v>
      </c>
      <c r="R3085" s="86">
        <f t="shared" ref="R3085:R3123" si="956">IF(AND($M3085&gt;=$R$16,$M3085&lt;=$R$18),U3085,0)</f>
        <v>0</v>
      </c>
      <c r="S3085" s="86">
        <f t="shared" ref="S3085:S3123" si="957">IF(AND($M3085&gt;=$S$16,$M3085&lt;=$S$18),U3085,0)</f>
        <v>0</v>
      </c>
      <c r="T3085" s="86">
        <f t="shared" ref="T3085:T3123" si="958">IF($M3085&lt;=$T$18,U3085,0)</f>
        <v>12832.439999999999</v>
      </c>
      <c r="U3085" s="87">
        <v>12832.439999999999</v>
      </c>
    </row>
    <row r="3086" spans="1:22" s="30" customFormat="1" ht="24.6" hidden="1" outlineLevel="1" x14ac:dyDescent="0.55000000000000004">
      <c r="A3086" s="27" t="s">
        <v>327</v>
      </c>
      <c r="B3086" s="28"/>
      <c r="C3086" s="27"/>
      <c r="D3086" s="27" t="str">
        <f>"""NAV Direct"",""CRONUS JetCorp USA"",""21"",""1"",""153293"""</f>
        <v>"NAV Direct","CRONUS JetCorp USA","21","1","153293"</v>
      </c>
      <c r="E3086" s="31">
        <f t="shared" si="950"/>
        <v>0</v>
      </c>
      <c r="F3086" s="31"/>
      <c r="G3086" s="31"/>
      <c r="H3086" s="31"/>
      <c r="I3086" s="56"/>
      <c r="J3086" s="56"/>
      <c r="K3086" s="82" t="str">
        <f t="shared" si="951"/>
        <v>Invoice</v>
      </c>
      <c r="L3086" s="83" t="str">
        <f>"SI_107360"</f>
        <v>SI_107360</v>
      </c>
      <c r="M3086" s="84">
        <v>42331</v>
      </c>
      <c r="N3086" s="85">
        <f t="shared" si="952"/>
        <v>1481</v>
      </c>
      <c r="O3086" s="86">
        <f t="shared" si="953"/>
        <v>14330.76</v>
      </c>
      <c r="P3086" s="86">
        <f t="shared" si="954"/>
        <v>0</v>
      </c>
      <c r="Q3086" s="86">
        <f t="shared" si="955"/>
        <v>0</v>
      </c>
      <c r="R3086" s="86">
        <f t="shared" si="956"/>
        <v>0</v>
      </c>
      <c r="S3086" s="86">
        <f t="shared" si="957"/>
        <v>0</v>
      </c>
      <c r="T3086" s="86">
        <f t="shared" si="958"/>
        <v>14330.76</v>
      </c>
      <c r="U3086" s="87">
        <v>14330.76</v>
      </c>
    </row>
    <row r="3087" spans="1:22" s="30" customFormat="1" ht="24.6" hidden="1" outlineLevel="1" x14ac:dyDescent="0.55000000000000004">
      <c r="A3087" s="27" t="s">
        <v>327</v>
      </c>
      <c r="B3087" s="28"/>
      <c r="C3087" s="27"/>
      <c r="D3087" s="27" t="str">
        <f>"""NAV Direct"",""CRONUS JetCorp USA"",""21"",""1"",""153844"""</f>
        <v>"NAV Direct","CRONUS JetCorp USA","21","1","153844"</v>
      </c>
      <c r="E3087" s="31" t="str">
        <f t="shared" si="950"/>
        <v>C100096</v>
      </c>
      <c r="F3087" s="31"/>
      <c r="G3087" s="31"/>
      <c r="H3087" s="31"/>
      <c r="I3087" s="56"/>
      <c r="J3087" s="56"/>
      <c r="K3087" s="82" t="str">
        <f t="shared" si="951"/>
        <v>Invoice</v>
      </c>
      <c r="L3087" s="83" t="str">
        <f>"SI_107367"</f>
        <v>SI_107367</v>
      </c>
      <c r="M3087" s="84">
        <v>42339</v>
      </c>
      <c r="N3087" s="85">
        <f t="shared" si="952"/>
        <v>1473</v>
      </c>
      <c r="O3087" s="86">
        <f t="shared" si="953"/>
        <v>14628.91</v>
      </c>
      <c r="P3087" s="86">
        <f t="shared" si="954"/>
        <v>0</v>
      </c>
      <c r="Q3087" s="86">
        <f t="shared" si="955"/>
        <v>0</v>
      </c>
      <c r="R3087" s="86">
        <f t="shared" si="956"/>
        <v>0</v>
      </c>
      <c r="S3087" s="86">
        <f t="shared" si="957"/>
        <v>0</v>
      </c>
      <c r="T3087" s="86">
        <f t="shared" si="958"/>
        <v>14628.91</v>
      </c>
      <c r="U3087" s="87">
        <v>14628.91</v>
      </c>
    </row>
    <row r="3088" spans="1:22" s="30" customFormat="1" ht="24.6" hidden="1" outlineLevel="1" x14ac:dyDescent="0.55000000000000004">
      <c r="A3088" s="27" t="s">
        <v>327</v>
      </c>
      <c r="B3088" s="28"/>
      <c r="C3088" s="27"/>
      <c r="D3088" s="27" t="str">
        <f>"""NAV Direct"",""CRONUS JetCorp USA"",""21"",""1"",""401878"""</f>
        <v>"NAV Direct","CRONUS JetCorp USA","21","1","401878"</v>
      </c>
      <c r="E3088" s="31">
        <f t="shared" si="950"/>
        <v>0</v>
      </c>
      <c r="F3088" s="31"/>
      <c r="G3088" s="31"/>
      <c r="H3088" s="31"/>
      <c r="I3088" s="56"/>
      <c r="J3088" s="56"/>
      <c r="K3088" s="82" t="str">
        <f t="shared" si="951"/>
        <v>Invoice</v>
      </c>
      <c r="L3088" s="83" t="str">
        <f>"SI_112282"</f>
        <v>SI_112282</v>
      </c>
      <c r="M3088" s="84">
        <v>42436</v>
      </c>
      <c r="N3088" s="85">
        <f t="shared" si="952"/>
        <v>1376</v>
      </c>
      <c r="O3088" s="86">
        <f t="shared" si="953"/>
        <v>8346.49</v>
      </c>
      <c r="P3088" s="86">
        <f t="shared" si="954"/>
        <v>0</v>
      </c>
      <c r="Q3088" s="86">
        <f t="shared" si="955"/>
        <v>0</v>
      </c>
      <c r="R3088" s="86">
        <f t="shared" si="956"/>
        <v>0</v>
      </c>
      <c r="S3088" s="86">
        <f t="shared" si="957"/>
        <v>0</v>
      </c>
      <c r="T3088" s="86">
        <f t="shared" si="958"/>
        <v>8346.49</v>
      </c>
      <c r="U3088" s="87">
        <v>8346.49</v>
      </c>
    </row>
    <row r="3089" spans="1:21" s="30" customFormat="1" ht="24.6" hidden="1" outlineLevel="1" x14ac:dyDescent="0.55000000000000004">
      <c r="A3089" s="27" t="s">
        <v>327</v>
      </c>
      <c r="B3089" s="28"/>
      <c r="C3089" s="27"/>
      <c r="D3089" s="27" t="str">
        <f>"""NAV Direct"",""CRONUS JetCorp USA"",""21"",""1"",""402045"""</f>
        <v>"NAV Direct","CRONUS JetCorp USA","21","1","402045"</v>
      </c>
      <c r="E3089" s="31" t="str">
        <f t="shared" si="950"/>
        <v>C100096</v>
      </c>
      <c r="F3089" s="31"/>
      <c r="G3089" s="31"/>
      <c r="H3089" s="31"/>
      <c r="I3089" s="56"/>
      <c r="J3089" s="56"/>
      <c r="K3089" s="82" t="str">
        <f t="shared" si="951"/>
        <v>Invoice</v>
      </c>
      <c r="L3089" s="83" t="str">
        <f>"SI_112285"</f>
        <v>SI_112285</v>
      </c>
      <c r="M3089" s="84">
        <v>42450</v>
      </c>
      <c r="N3089" s="85">
        <f t="shared" si="952"/>
        <v>1362</v>
      </c>
      <c r="O3089" s="86">
        <f t="shared" si="953"/>
        <v>10850.62</v>
      </c>
      <c r="P3089" s="86">
        <f t="shared" si="954"/>
        <v>0</v>
      </c>
      <c r="Q3089" s="86">
        <f t="shared" si="955"/>
        <v>0</v>
      </c>
      <c r="R3089" s="86">
        <f t="shared" si="956"/>
        <v>0</v>
      </c>
      <c r="S3089" s="86">
        <f t="shared" si="957"/>
        <v>0</v>
      </c>
      <c r="T3089" s="86">
        <f t="shared" si="958"/>
        <v>10850.62</v>
      </c>
      <c r="U3089" s="87">
        <v>10850.62</v>
      </c>
    </row>
    <row r="3090" spans="1:21" s="30" customFormat="1" ht="24.6" hidden="1" outlineLevel="1" x14ac:dyDescent="0.55000000000000004">
      <c r="A3090" s="27" t="s">
        <v>327</v>
      </c>
      <c r="B3090" s="28"/>
      <c r="C3090" s="27"/>
      <c r="D3090" s="27" t="str">
        <f>"""NAV Direct"",""CRONUS JetCorp USA"",""21"",""1"",""402854"""</f>
        <v>"NAV Direct","CRONUS JetCorp USA","21","1","402854"</v>
      </c>
      <c r="E3090" s="31">
        <f t="shared" si="950"/>
        <v>0</v>
      </c>
      <c r="F3090" s="31"/>
      <c r="G3090" s="31"/>
      <c r="H3090" s="31"/>
      <c r="I3090" s="56"/>
      <c r="J3090" s="56"/>
      <c r="K3090" s="82" t="str">
        <f t="shared" si="951"/>
        <v>Invoice</v>
      </c>
      <c r="L3090" s="83" t="str">
        <f>"SI_112303"</f>
        <v>SI_112303</v>
      </c>
      <c r="M3090" s="84">
        <v>42587</v>
      </c>
      <c r="N3090" s="85">
        <f t="shared" si="952"/>
        <v>1225</v>
      </c>
      <c r="O3090" s="86">
        <f t="shared" si="953"/>
        <v>8406.4</v>
      </c>
      <c r="P3090" s="86">
        <f t="shared" si="954"/>
        <v>0</v>
      </c>
      <c r="Q3090" s="86">
        <f t="shared" si="955"/>
        <v>0</v>
      </c>
      <c r="R3090" s="86">
        <f t="shared" si="956"/>
        <v>0</v>
      </c>
      <c r="S3090" s="86">
        <f t="shared" si="957"/>
        <v>0</v>
      </c>
      <c r="T3090" s="86">
        <f t="shared" si="958"/>
        <v>8406.4</v>
      </c>
      <c r="U3090" s="87">
        <v>8406.4</v>
      </c>
    </row>
    <row r="3091" spans="1:21" s="30" customFormat="1" ht="24.6" hidden="1" outlineLevel="1" x14ac:dyDescent="0.55000000000000004">
      <c r="A3091" s="27" t="s">
        <v>327</v>
      </c>
      <c r="B3091" s="28"/>
      <c r="C3091" s="27"/>
      <c r="D3091" s="27" t="str">
        <f>"""NAV Direct"",""CRONUS JetCorp USA"",""21"",""1"",""403081"""</f>
        <v>"NAV Direct","CRONUS JetCorp USA","21","1","403081"</v>
      </c>
      <c r="E3091" s="31" t="str">
        <f t="shared" si="950"/>
        <v>C100096</v>
      </c>
      <c r="F3091" s="31"/>
      <c r="G3091" s="31"/>
      <c r="H3091" s="31"/>
      <c r="I3091" s="56"/>
      <c r="J3091" s="56"/>
      <c r="K3091" s="82" t="str">
        <f t="shared" si="951"/>
        <v>Invoice</v>
      </c>
      <c r="L3091" s="83" t="str">
        <f>"SI_112308"</f>
        <v>SI_112308</v>
      </c>
      <c r="M3091" s="84">
        <v>42622</v>
      </c>
      <c r="N3091" s="85">
        <f t="shared" si="952"/>
        <v>1190</v>
      </c>
      <c r="O3091" s="86">
        <f t="shared" si="953"/>
        <v>8787.4499999999989</v>
      </c>
      <c r="P3091" s="86">
        <f t="shared" si="954"/>
        <v>0</v>
      </c>
      <c r="Q3091" s="86">
        <f t="shared" si="955"/>
        <v>0</v>
      </c>
      <c r="R3091" s="86">
        <f t="shared" si="956"/>
        <v>0</v>
      </c>
      <c r="S3091" s="86">
        <f t="shared" si="957"/>
        <v>0</v>
      </c>
      <c r="T3091" s="86">
        <f t="shared" si="958"/>
        <v>8787.4499999999989</v>
      </c>
      <c r="U3091" s="87">
        <v>8787.4499999999989</v>
      </c>
    </row>
    <row r="3092" spans="1:21" s="30" customFormat="1" ht="24.6" hidden="1" outlineLevel="1" x14ac:dyDescent="0.55000000000000004">
      <c r="A3092" s="27" t="s">
        <v>327</v>
      </c>
      <c r="B3092" s="28"/>
      <c r="C3092" s="27"/>
      <c r="D3092" s="27" t="str">
        <f>"""NAV Direct"",""CRONUS JetCorp USA"",""21"",""1"",""403368"""</f>
        <v>"NAV Direct","CRONUS JetCorp USA","21","1","403368"</v>
      </c>
      <c r="E3092" s="31">
        <f t="shared" si="950"/>
        <v>0</v>
      </c>
      <c r="F3092" s="31"/>
      <c r="G3092" s="31"/>
      <c r="H3092" s="31"/>
      <c r="I3092" s="56"/>
      <c r="J3092" s="56"/>
      <c r="K3092" s="82" t="str">
        <f t="shared" si="951"/>
        <v>Invoice</v>
      </c>
      <c r="L3092" s="83" t="str">
        <f>"SI_112314"</f>
        <v>SI_112314</v>
      </c>
      <c r="M3092" s="84">
        <v>42669</v>
      </c>
      <c r="N3092" s="85">
        <f t="shared" si="952"/>
        <v>1143</v>
      </c>
      <c r="O3092" s="86">
        <f t="shared" si="953"/>
        <v>8797.3900000000012</v>
      </c>
      <c r="P3092" s="86">
        <f t="shared" si="954"/>
        <v>0</v>
      </c>
      <c r="Q3092" s="86">
        <f t="shared" si="955"/>
        <v>0</v>
      </c>
      <c r="R3092" s="86">
        <f t="shared" si="956"/>
        <v>0</v>
      </c>
      <c r="S3092" s="86">
        <f t="shared" si="957"/>
        <v>0</v>
      </c>
      <c r="T3092" s="86">
        <f t="shared" si="958"/>
        <v>8797.3900000000012</v>
      </c>
      <c r="U3092" s="87">
        <v>8797.3900000000012</v>
      </c>
    </row>
    <row r="3093" spans="1:21" s="30" customFormat="1" ht="24.6" hidden="1" outlineLevel="1" x14ac:dyDescent="0.55000000000000004">
      <c r="A3093" s="27" t="s">
        <v>327</v>
      </c>
      <c r="B3093" s="28"/>
      <c r="C3093" s="27"/>
      <c r="D3093" s="27" t="str">
        <f>"""NAV Direct"",""CRONUS JetCorp USA"",""21"",""1"",""403699"""</f>
        <v>"NAV Direct","CRONUS JetCorp USA","21","1","403699"</v>
      </c>
      <c r="E3093" s="31" t="str">
        <f t="shared" si="950"/>
        <v>C100096</v>
      </c>
      <c r="F3093" s="31"/>
      <c r="G3093" s="31"/>
      <c r="H3093" s="31"/>
      <c r="I3093" s="56"/>
      <c r="J3093" s="56"/>
      <c r="K3093" s="82" t="str">
        <f t="shared" si="951"/>
        <v>Invoice</v>
      </c>
      <c r="L3093" s="83" t="str">
        <f>"SI_112321"</f>
        <v>SI_112321</v>
      </c>
      <c r="M3093" s="84">
        <v>42707</v>
      </c>
      <c r="N3093" s="85">
        <f t="shared" si="952"/>
        <v>1105</v>
      </c>
      <c r="O3093" s="86">
        <f t="shared" si="953"/>
        <v>8927.11</v>
      </c>
      <c r="P3093" s="86">
        <f t="shared" si="954"/>
        <v>0</v>
      </c>
      <c r="Q3093" s="86">
        <f t="shared" si="955"/>
        <v>0</v>
      </c>
      <c r="R3093" s="86">
        <f t="shared" si="956"/>
        <v>0</v>
      </c>
      <c r="S3093" s="86">
        <f t="shared" si="957"/>
        <v>0</v>
      </c>
      <c r="T3093" s="86">
        <f t="shared" si="958"/>
        <v>8927.11</v>
      </c>
      <c r="U3093" s="87">
        <v>8927.11</v>
      </c>
    </row>
    <row r="3094" spans="1:21" s="30" customFormat="1" ht="24.6" hidden="1" outlineLevel="1" x14ac:dyDescent="0.55000000000000004">
      <c r="A3094" s="27" t="s">
        <v>327</v>
      </c>
      <c r="B3094" s="28"/>
      <c r="C3094" s="27"/>
      <c r="D3094" s="27" t="str">
        <f>"""NAV Direct"",""CRONUS JetCorp USA"",""21"",""1"",""404236"""</f>
        <v>"NAV Direct","CRONUS JetCorp USA","21","1","404236"</v>
      </c>
      <c r="E3094" s="31">
        <f t="shared" si="950"/>
        <v>0</v>
      </c>
      <c r="F3094" s="31"/>
      <c r="G3094" s="31"/>
      <c r="H3094" s="31"/>
      <c r="I3094" s="56"/>
      <c r="J3094" s="56"/>
      <c r="K3094" s="82" t="str">
        <f t="shared" si="951"/>
        <v>Invoice</v>
      </c>
      <c r="L3094" s="83" t="str">
        <f>"SI_112333"</f>
        <v>SI_112333</v>
      </c>
      <c r="M3094" s="84">
        <v>42792</v>
      </c>
      <c r="N3094" s="85">
        <f t="shared" si="952"/>
        <v>1020</v>
      </c>
      <c r="O3094" s="86">
        <f t="shared" si="953"/>
        <v>9858.1</v>
      </c>
      <c r="P3094" s="86">
        <f t="shared" si="954"/>
        <v>0</v>
      </c>
      <c r="Q3094" s="86">
        <f t="shared" si="955"/>
        <v>0</v>
      </c>
      <c r="R3094" s="86">
        <f t="shared" si="956"/>
        <v>0</v>
      </c>
      <c r="S3094" s="86">
        <f t="shared" si="957"/>
        <v>0</v>
      </c>
      <c r="T3094" s="86">
        <f t="shared" si="958"/>
        <v>9858.1</v>
      </c>
      <c r="U3094" s="87">
        <v>9858.1</v>
      </c>
    </row>
    <row r="3095" spans="1:21" s="30" customFormat="1" ht="24.6" hidden="1" outlineLevel="1" x14ac:dyDescent="0.55000000000000004">
      <c r="A3095" s="27" t="s">
        <v>327</v>
      </c>
      <c r="B3095" s="28"/>
      <c r="C3095" s="27"/>
      <c r="D3095" s="27" t="str">
        <f>"""NAV Direct"",""CRONUS JetCorp USA"",""21"",""1"",""404687"""</f>
        <v>"NAV Direct","CRONUS JetCorp USA","21","1","404687"</v>
      </c>
      <c r="E3095" s="31" t="str">
        <f t="shared" si="950"/>
        <v>C100096</v>
      </c>
      <c r="F3095" s="31"/>
      <c r="G3095" s="31"/>
      <c r="H3095" s="31"/>
      <c r="I3095" s="56"/>
      <c r="J3095" s="56"/>
      <c r="K3095" s="82" t="str">
        <f t="shared" si="951"/>
        <v>Invoice</v>
      </c>
      <c r="L3095" s="83" t="str">
        <f>"SI_112342"</f>
        <v>SI_112342</v>
      </c>
      <c r="M3095" s="84">
        <v>42847</v>
      </c>
      <c r="N3095" s="85">
        <f t="shared" si="952"/>
        <v>965</v>
      </c>
      <c r="O3095" s="86">
        <f t="shared" si="953"/>
        <v>9858.0499999999993</v>
      </c>
      <c r="P3095" s="86">
        <f t="shared" si="954"/>
        <v>0</v>
      </c>
      <c r="Q3095" s="86">
        <f t="shared" si="955"/>
        <v>0</v>
      </c>
      <c r="R3095" s="86">
        <f t="shared" si="956"/>
        <v>0</v>
      </c>
      <c r="S3095" s="86">
        <f t="shared" si="957"/>
        <v>0</v>
      </c>
      <c r="T3095" s="86">
        <f t="shared" si="958"/>
        <v>9858.0499999999993</v>
      </c>
      <c r="U3095" s="87">
        <v>9858.0499999999993</v>
      </c>
    </row>
    <row r="3096" spans="1:21" s="30" customFormat="1" ht="24.6" hidden="1" outlineLevel="1" x14ac:dyDescent="0.55000000000000004">
      <c r="A3096" s="27" t="s">
        <v>327</v>
      </c>
      <c r="B3096" s="28"/>
      <c r="C3096" s="27"/>
      <c r="D3096" s="27" t="str">
        <f>"""NAV Direct"",""CRONUS JetCorp USA"",""21"",""1"",""404835"""</f>
        <v>"NAV Direct","CRONUS JetCorp USA","21","1","404835"</v>
      </c>
      <c r="E3096" s="31">
        <f t="shared" si="950"/>
        <v>0</v>
      </c>
      <c r="F3096" s="31"/>
      <c r="G3096" s="31"/>
      <c r="H3096" s="31"/>
      <c r="I3096" s="56"/>
      <c r="J3096" s="56"/>
      <c r="K3096" s="82" t="str">
        <f t="shared" si="951"/>
        <v>Invoice</v>
      </c>
      <c r="L3096" s="83" t="str">
        <f>"SI_112345"</f>
        <v>SI_112345</v>
      </c>
      <c r="M3096" s="84">
        <v>42879</v>
      </c>
      <c r="N3096" s="85">
        <f t="shared" si="952"/>
        <v>933</v>
      </c>
      <c r="O3096" s="86">
        <f t="shared" si="953"/>
        <v>9937.0300000000007</v>
      </c>
      <c r="P3096" s="86">
        <f t="shared" si="954"/>
        <v>0</v>
      </c>
      <c r="Q3096" s="86">
        <f t="shared" si="955"/>
        <v>0</v>
      </c>
      <c r="R3096" s="86">
        <f t="shared" si="956"/>
        <v>0</v>
      </c>
      <c r="S3096" s="86">
        <f t="shared" si="957"/>
        <v>0</v>
      </c>
      <c r="T3096" s="86">
        <f t="shared" si="958"/>
        <v>9937.0300000000007</v>
      </c>
      <c r="U3096" s="87">
        <v>9937.0300000000007</v>
      </c>
    </row>
    <row r="3097" spans="1:21" s="30" customFormat="1" ht="24.6" hidden="1" outlineLevel="1" x14ac:dyDescent="0.55000000000000004">
      <c r="A3097" s="27" t="s">
        <v>327</v>
      </c>
      <c r="B3097" s="28"/>
      <c r="C3097" s="27"/>
      <c r="D3097" s="27" t="str">
        <f>"""NAV Direct"",""CRONUS JetCorp USA"",""21"",""1"",""405206"""</f>
        <v>"NAV Direct","CRONUS JetCorp USA","21","1","405206"</v>
      </c>
      <c r="E3097" s="31" t="str">
        <f t="shared" si="950"/>
        <v>C100096</v>
      </c>
      <c r="F3097" s="31"/>
      <c r="G3097" s="31"/>
      <c r="H3097" s="31"/>
      <c r="I3097" s="56"/>
      <c r="J3097" s="56"/>
      <c r="K3097" s="82" t="str">
        <f t="shared" si="951"/>
        <v>Invoice</v>
      </c>
      <c r="L3097" s="83" t="str">
        <f>"SI_112352"</f>
        <v>SI_112352</v>
      </c>
      <c r="M3097" s="84">
        <v>42915</v>
      </c>
      <c r="N3097" s="85">
        <f t="shared" si="952"/>
        <v>897</v>
      </c>
      <c r="O3097" s="86">
        <f t="shared" si="953"/>
        <v>10115.84</v>
      </c>
      <c r="P3097" s="86">
        <f t="shared" si="954"/>
        <v>0</v>
      </c>
      <c r="Q3097" s="86">
        <f t="shared" si="955"/>
        <v>0</v>
      </c>
      <c r="R3097" s="86">
        <f t="shared" si="956"/>
        <v>0</v>
      </c>
      <c r="S3097" s="86">
        <f t="shared" si="957"/>
        <v>0</v>
      </c>
      <c r="T3097" s="86">
        <f t="shared" si="958"/>
        <v>10115.84</v>
      </c>
      <c r="U3097" s="87">
        <v>10115.84</v>
      </c>
    </row>
    <row r="3098" spans="1:21" s="30" customFormat="1" ht="24.6" hidden="1" outlineLevel="1" x14ac:dyDescent="0.55000000000000004">
      <c r="A3098" s="27" t="s">
        <v>327</v>
      </c>
      <c r="B3098" s="28"/>
      <c r="C3098" s="27"/>
      <c r="D3098" s="27" t="str">
        <f>"""NAV Direct"",""CRONUS JetCorp USA"",""21"",""1"",""405341"""</f>
        <v>"NAV Direct","CRONUS JetCorp USA","21","1","405341"</v>
      </c>
      <c r="E3098" s="31">
        <f t="shared" si="950"/>
        <v>0</v>
      </c>
      <c r="F3098" s="31"/>
      <c r="G3098" s="31"/>
      <c r="H3098" s="31"/>
      <c r="I3098" s="56"/>
      <c r="J3098" s="56"/>
      <c r="K3098" s="82" t="str">
        <f t="shared" si="951"/>
        <v>Invoice</v>
      </c>
      <c r="L3098" s="83" t="str">
        <f>"SI_112355"</f>
        <v>SI_112355</v>
      </c>
      <c r="M3098" s="84">
        <v>42944</v>
      </c>
      <c r="N3098" s="85">
        <f t="shared" si="952"/>
        <v>868</v>
      </c>
      <c r="O3098" s="86">
        <f t="shared" si="953"/>
        <v>8440.66</v>
      </c>
      <c r="P3098" s="86">
        <f t="shared" si="954"/>
        <v>0</v>
      </c>
      <c r="Q3098" s="86">
        <f t="shared" si="955"/>
        <v>0</v>
      </c>
      <c r="R3098" s="86">
        <f t="shared" si="956"/>
        <v>0</v>
      </c>
      <c r="S3098" s="86">
        <f t="shared" si="957"/>
        <v>0</v>
      </c>
      <c r="T3098" s="86">
        <f t="shared" si="958"/>
        <v>8440.66</v>
      </c>
      <c r="U3098" s="87">
        <v>8440.66</v>
      </c>
    </row>
    <row r="3099" spans="1:21" s="30" customFormat="1" ht="24.6" hidden="1" outlineLevel="1" x14ac:dyDescent="0.55000000000000004">
      <c r="A3099" s="27" t="s">
        <v>327</v>
      </c>
      <c r="B3099" s="28"/>
      <c r="C3099" s="27"/>
      <c r="D3099" s="27" t="str">
        <f>"""NAV Direct"",""CRONUS JetCorp USA"",""21"",""1"",""405737"""</f>
        <v>"NAV Direct","CRONUS JetCorp USA","21","1","405737"</v>
      </c>
      <c r="E3099" s="31" t="str">
        <f t="shared" si="950"/>
        <v>C100096</v>
      </c>
      <c r="F3099" s="31"/>
      <c r="G3099" s="31"/>
      <c r="H3099" s="31"/>
      <c r="I3099" s="56"/>
      <c r="J3099" s="56"/>
      <c r="K3099" s="82" t="str">
        <f t="shared" si="951"/>
        <v>Invoice</v>
      </c>
      <c r="L3099" s="83" t="str">
        <f>"SI_112364"</f>
        <v>SI_112364</v>
      </c>
      <c r="M3099" s="84">
        <v>43077</v>
      </c>
      <c r="N3099" s="85">
        <f t="shared" si="952"/>
        <v>735</v>
      </c>
      <c r="O3099" s="86">
        <f t="shared" si="953"/>
        <v>7656.98</v>
      </c>
      <c r="P3099" s="86">
        <f t="shared" si="954"/>
        <v>0</v>
      </c>
      <c r="Q3099" s="86">
        <f t="shared" si="955"/>
        <v>0</v>
      </c>
      <c r="R3099" s="86">
        <f t="shared" si="956"/>
        <v>0</v>
      </c>
      <c r="S3099" s="86">
        <f t="shared" si="957"/>
        <v>0</v>
      </c>
      <c r="T3099" s="86">
        <f t="shared" si="958"/>
        <v>7656.98</v>
      </c>
      <c r="U3099" s="87">
        <v>7656.98</v>
      </c>
    </row>
    <row r="3100" spans="1:21" s="30" customFormat="1" ht="24.6" hidden="1" outlineLevel="1" x14ac:dyDescent="0.55000000000000004">
      <c r="A3100" s="27" t="s">
        <v>327</v>
      </c>
      <c r="B3100" s="28"/>
      <c r="C3100" s="27"/>
      <c r="D3100" s="27" t="str">
        <f>"""NAV Direct"",""CRONUS JetCorp USA"",""21"",""1"",""406611"""</f>
        <v>"NAV Direct","CRONUS JetCorp USA","21","1","406611"</v>
      </c>
      <c r="E3100" s="31">
        <f t="shared" si="950"/>
        <v>0</v>
      </c>
      <c r="F3100" s="31"/>
      <c r="G3100" s="31"/>
      <c r="H3100" s="31"/>
      <c r="I3100" s="56"/>
      <c r="J3100" s="56"/>
      <c r="K3100" s="82" t="str">
        <f t="shared" si="951"/>
        <v>Invoice</v>
      </c>
      <c r="L3100" s="83" t="str">
        <f>"SI_112385"</f>
        <v>SI_112385</v>
      </c>
      <c r="M3100" s="84">
        <v>43287</v>
      </c>
      <c r="N3100" s="85">
        <f t="shared" si="952"/>
        <v>525</v>
      </c>
      <c r="O3100" s="86">
        <f t="shared" si="953"/>
        <v>7867.9000000000005</v>
      </c>
      <c r="P3100" s="86">
        <f t="shared" si="954"/>
        <v>0</v>
      </c>
      <c r="Q3100" s="86">
        <f t="shared" si="955"/>
        <v>0</v>
      </c>
      <c r="R3100" s="86">
        <f t="shared" si="956"/>
        <v>0</v>
      </c>
      <c r="S3100" s="86">
        <f t="shared" si="957"/>
        <v>0</v>
      </c>
      <c r="T3100" s="86">
        <f t="shared" si="958"/>
        <v>7867.9000000000005</v>
      </c>
      <c r="U3100" s="87">
        <v>7867.9000000000005</v>
      </c>
    </row>
    <row r="3101" spans="1:21" s="30" customFormat="1" ht="24.6" hidden="1" outlineLevel="1" x14ac:dyDescent="0.55000000000000004">
      <c r="A3101" s="27" t="s">
        <v>327</v>
      </c>
      <c r="B3101" s="28"/>
      <c r="C3101" s="27"/>
      <c r="D3101" s="27" t="str">
        <f>"""NAV Direct"",""CRONUS JetCorp USA"",""21"",""1"",""406695"""</f>
        <v>"NAV Direct","CRONUS JetCorp USA","21","1","406695"</v>
      </c>
      <c r="E3101" s="31" t="str">
        <f t="shared" si="950"/>
        <v>C100096</v>
      </c>
      <c r="F3101" s="31"/>
      <c r="G3101" s="31"/>
      <c r="H3101" s="31"/>
      <c r="I3101" s="56"/>
      <c r="J3101" s="56"/>
      <c r="K3101" s="82" t="str">
        <f t="shared" si="951"/>
        <v>Invoice</v>
      </c>
      <c r="L3101" s="83" t="str">
        <f>"SI_112387"</f>
        <v>SI_112387</v>
      </c>
      <c r="M3101" s="84">
        <v>43309</v>
      </c>
      <c r="N3101" s="85">
        <f t="shared" si="952"/>
        <v>503</v>
      </c>
      <c r="O3101" s="86">
        <f t="shared" si="953"/>
        <v>8654.74</v>
      </c>
      <c r="P3101" s="86">
        <f t="shared" si="954"/>
        <v>0</v>
      </c>
      <c r="Q3101" s="86">
        <f t="shared" si="955"/>
        <v>0</v>
      </c>
      <c r="R3101" s="86">
        <f t="shared" si="956"/>
        <v>0</v>
      </c>
      <c r="S3101" s="86">
        <f t="shared" si="957"/>
        <v>0</v>
      </c>
      <c r="T3101" s="86">
        <f t="shared" si="958"/>
        <v>8654.74</v>
      </c>
      <c r="U3101" s="87">
        <v>8654.74</v>
      </c>
    </row>
    <row r="3102" spans="1:21" s="30" customFormat="1" ht="24.6" hidden="1" outlineLevel="1" x14ac:dyDescent="0.55000000000000004">
      <c r="A3102" s="27" t="s">
        <v>327</v>
      </c>
      <c r="B3102" s="28"/>
      <c r="C3102" s="27"/>
      <c r="D3102" s="27" t="str">
        <f>"""NAV Direct"",""CRONUS JetCorp USA"",""21"",""1"",""406854"""</f>
        <v>"NAV Direct","CRONUS JetCorp USA","21","1","406854"</v>
      </c>
      <c r="E3102" s="31">
        <f t="shared" si="950"/>
        <v>0</v>
      </c>
      <c r="F3102" s="31"/>
      <c r="G3102" s="31"/>
      <c r="H3102" s="31"/>
      <c r="I3102" s="56"/>
      <c r="J3102" s="56"/>
      <c r="K3102" s="82" t="str">
        <f t="shared" si="951"/>
        <v>Invoice</v>
      </c>
      <c r="L3102" s="83" t="str">
        <f>"SI_112390"</f>
        <v>SI_112390</v>
      </c>
      <c r="M3102" s="84">
        <v>43331</v>
      </c>
      <c r="N3102" s="85">
        <f t="shared" si="952"/>
        <v>481</v>
      </c>
      <c r="O3102" s="86">
        <f t="shared" si="953"/>
        <v>9952.84</v>
      </c>
      <c r="P3102" s="86">
        <f t="shared" si="954"/>
        <v>0</v>
      </c>
      <c r="Q3102" s="86">
        <f t="shared" si="955"/>
        <v>0</v>
      </c>
      <c r="R3102" s="86">
        <f t="shared" si="956"/>
        <v>0</v>
      </c>
      <c r="S3102" s="86">
        <f t="shared" si="957"/>
        <v>0</v>
      </c>
      <c r="T3102" s="86">
        <f t="shared" si="958"/>
        <v>9952.84</v>
      </c>
      <c r="U3102" s="87">
        <v>9952.84</v>
      </c>
    </row>
    <row r="3103" spans="1:21" s="30" customFormat="1" ht="24.6" hidden="1" outlineLevel="1" x14ac:dyDescent="0.55000000000000004">
      <c r="A3103" s="27" t="s">
        <v>327</v>
      </c>
      <c r="B3103" s="28"/>
      <c r="C3103" s="27"/>
      <c r="D3103" s="27" t="str">
        <f>"""NAV Direct"",""CRONUS JetCorp USA"",""21"",""1"",""407757"""</f>
        <v>"NAV Direct","CRONUS JetCorp USA","21","1","407757"</v>
      </c>
      <c r="E3103" s="31" t="str">
        <f t="shared" si="950"/>
        <v>C100096</v>
      </c>
      <c r="F3103" s="31"/>
      <c r="G3103" s="31"/>
      <c r="H3103" s="31"/>
      <c r="I3103" s="56"/>
      <c r="J3103" s="56"/>
      <c r="K3103" s="82" t="str">
        <f t="shared" si="951"/>
        <v>Invoice</v>
      </c>
      <c r="L3103" s="83" t="str">
        <f>"SI_112407"</f>
        <v>SI_112407</v>
      </c>
      <c r="M3103" s="84">
        <v>43483</v>
      </c>
      <c r="N3103" s="85">
        <f t="shared" si="952"/>
        <v>329</v>
      </c>
      <c r="O3103" s="86">
        <f t="shared" si="953"/>
        <v>9988.98</v>
      </c>
      <c r="P3103" s="86">
        <f t="shared" si="954"/>
        <v>0</v>
      </c>
      <c r="Q3103" s="86">
        <f t="shared" si="955"/>
        <v>0</v>
      </c>
      <c r="R3103" s="86">
        <f t="shared" si="956"/>
        <v>0</v>
      </c>
      <c r="S3103" s="86">
        <f t="shared" si="957"/>
        <v>0</v>
      </c>
      <c r="T3103" s="86">
        <f t="shared" si="958"/>
        <v>9988.98</v>
      </c>
      <c r="U3103" s="87">
        <v>9988.98</v>
      </c>
    </row>
    <row r="3104" spans="1:21" s="30" customFormat="1" ht="24.6" hidden="1" outlineLevel="1" x14ac:dyDescent="0.55000000000000004">
      <c r="A3104" s="27" t="s">
        <v>327</v>
      </c>
      <c r="B3104" s="28"/>
      <c r="C3104" s="27"/>
      <c r="D3104" s="27" t="str">
        <f>"""NAV Direct"",""CRONUS JetCorp USA"",""21"",""1"",""408461"""</f>
        <v>"NAV Direct","CRONUS JetCorp USA","21","1","408461"</v>
      </c>
      <c r="E3104" s="31">
        <f t="shared" si="950"/>
        <v>0</v>
      </c>
      <c r="F3104" s="31"/>
      <c r="G3104" s="31"/>
      <c r="H3104" s="31"/>
      <c r="I3104" s="56"/>
      <c r="J3104" s="56"/>
      <c r="K3104" s="82" t="str">
        <f t="shared" si="951"/>
        <v>Invoice</v>
      </c>
      <c r="L3104" s="83" t="str">
        <f>"SI_112421"</f>
        <v>SI_112421</v>
      </c>
      <c r="M3104" s="84">
        <v>43608</v>
      </c>
      <c r="N3104" s="85">
        <f t="shared" si="952"/>
        <v>204</v>
      </c>
      <c r="O3104" s="86">
        <f t="shared" si="953"/>
        <v>8579.84</v>
      </c>
      <c r="P3104" s="86">
        <f t="shared" si="954"/>
        <v>0</v>
      </c>
      <c r="Q3104" s="86">
        <f t="shared" si="955"/>
        <v>0</v>
      </c>
      <c r="R3104" s="86">
        <f t="shared" si="956"/>
        <v>0</v>
      </c>
      <c r="S3104" s="86">
        <f t="shared" si="957"/>
        <v>0</v>
      </c>
      <c r="T3104" s="86">
        <f t="shared" si="958"/>
        <v>8579.84</v>
      </c>
      <c r="U3104" s="87">
        <v>8579.84</v>
      </c>
    </row>
    <row r="3105" spans="1:21" s="30" customFormat="1" ht="24.6" hidden="1" outlineLevel="1" x14ac:dyDescent="0.55000000000000004">
      <c r="A3105" s="27" t="s">
        <v>327</v>
      </c>
      <c r="B3105" s="28"/>
      <c r="C3105" s="27"/>
      <c r="D3105" s="27" t="str">
        <f>"""NAV Direct"",""CRONUS JetCorp USA"",""21"",""1"",""408808"""</f>
        <v>"NAV Direct","CRONUS JetCorp USA","21","1","408808"</v>
      </c>
      <c r="E3105" s="31" t="str">
        <f t="shared" si="950"/>
        <v>C100096</v>
      </c>
      <c r="F3105" s="31"/>
      <c r="G3105" s="31"/>
      <c r="H3105" s="31"/>
      <c r="I3105" s="56"/>
      <c r="J3105" s="56"/>
      <c r="K3105" s="82" t="str">
        <f t="shared" si="951"/>
        <v>Invoice</v>
      </c>
      <c r="L3105" s="83" t="str">
        <f>"SI_112428"</f>
        <v>SI_112428</v>
      </c>
      <c r="M3105" s="84">
        <v>43664</v>
      </c>
      <c r="N3105" s="85">
        <f t="shared" si="952"/>
        <v>148</v>
      </c>
      <c r="O3105" s="86">
        <f t="shared" si="953"/>
        <v>9114.27</v>
      </c>
      <c r="P3105" s="86">
        <f t="shared" si="954"/>
        <v>0</v>
      </c>
      <c r="Q3105" s="86">
        <f t="shared" si="955"/>
        <v>0</v>
      </c>
      <c r="R3105" s="86">
        <f t="shared" si="956"/>
        <v>0</v>
      </c>
      <c r="S3105" s="86">
        <f t="shared" si="957"/>
        <v>0</v>
      </c>
      <c r="T3105" s="86">
        <f t="shared" si="958"/>
        <v>9114.27</v>
      </c>
      <c r="U3105" s="87">
        <v>9114.27</v>
      </c>
    </row>
    <row r="3106" spans="1:21" s="30" customFormat="1" ht="24.6" hidden="1" outlineLevel="1" x14ac:dyDescent="0.55000000000000004">
      <c r="A3106" s="27" t="s">
        <v>327</v>
      </c>
      <c r="B3106" s="28"/>
      <c r="C3106" s="27"/>
      <c r="D3106" s="27" t="str">
        <f>"""NAV Direct"",""CRONUS JetCorp USA"",""21"",""1"",""409145"""</f>
        <v>"NAV Direct","CRONUS JetCorp USA","21","1","409145"</v>
      </c>
      <c r="E3106" s="31">
        <f t="shared" si="950"/>
        <v>0</v>
      </c>
      <c r="F3106" s="31"/>
      <c r="G3106" s="31"/>
      <c r="H3106" s="31"/>
      <c r="I3106" s="56"/>
      <c r="J3106" s="56"/>
      <c r="K3106" s="82" t="str">
        <f t="shared" si="951"/>
        <v>Invoice</v>
      </c>
      <c r="L3106" s="83" t="str">
        <f>"SI_112435"</f>
        <v>SI_112435</v>
      </c>
      <c r="M3106" s="84">
        <v>43697</v>
      </c>
      <c r="N3106" s="85">
        <f t="shared" si="952"/>
        <v>115</v>
      </c>
      <c r="O3106" s="86">
        <f t="shared" si="953"/>
        <v>10154.27</v>
      </c>
      <c r="P3106" s="86">
        <f t="shared" si="954"/>
        <v>0</v>
      </c>
      <c r="Q3106" s="86">
        <f t="shared" si="955"/>
        <v>0</v>
      </c>
      <c r="R3106" s="86">
        <f t="shared" si="956"/>
        <v>0</v>
      </c>
      <c r="S3106" s="86">
        <f t="shared" si="957"/>
        <v>0</v>
      </c>
      <c r="T3106" s="86">
        <f t="shared" si="958"/>
        <v>10154.27</v>
      </c>
      <c r="U3106" s="87">
        <v>10154.27</v>
      </c>
    </row>
    <row r="3107" spans="1:21" s="30" customFormat="1" ht="24.6" hidden="1" outlineLevel="1" x14ac:dyDescent="0.55000000000000004">
      <c r="A3107" s="27" t="s">
        <v>327</v>
      </c>
      <c r="B3107" s="28"/>
      <c r="C3107" s="27"/>
      <c r="D3107" s="27" t="str">
        <f>"""NAV Direct"",""CRONUS JetCorp USA"",""21"",""1"",""409398"""</f>
        <v>"NAV Direct","CRONUS JetCorp USA","21","1","409398"</v>
      </c>
      <c r="E3107" s="31" t="str">
        <f t="shared" si="950"/>
        <v>C100096</v>
      </c>
      <c r="F3107" s="31"/>
      <c r="G3107" s="31"/>
      <c r="H3107" s="31"/>
      <c r="I3107" s="56"/>
      <c r="J3107" s="56"/>
      <c r="K3107" s="82" t="str">
        <f t="shared" si="951"/>
        <v>Invoice</v>
      </c>
      <c r="L3107" s="83" t="str">
        <f>"SI_112440"</f>
        <v>SI_112440</v>
      </c>
      <c r="M3107" s="84">
        <v>43735</v>
      </c>
      <c r="N3107" s="85">
        <f t="shared" si="952"/>
        <v>77</v>
      </c>
      <c r="O3107" s="86">
        <f t="shared" si="953"/>
        <v>11068.15</v>
      </c>
      <c r="P3107" s="86">
        <f t="shared" si="954"/>
        <v>0</v>
      </c>
      <c r="Q3107" s="86">
        <f t="shared" si="955"/>
        <v>0</v>
      </c>
      <c r="R3107" s="86">
        <f t="shared" si="956"/>
        <v>0</v>
      </c>
      <c r="S3107" s="86">
        <f t="shared" si="957"/>
        <v>11068.15</v>
      </c>
      <c r="T3107" s="86">
        <f t="shared" si="958"/>
        <v>0</v>
      </c>
      <c r="U3107" s="87">
        <v>11068.15</v>
      </c>
    </row>
    <row r="3108" spans="1:21" s="30" customFormat="1" ht="24.6" hidden="1" outlineLevel="1" x14ac:dyDescent="0.55000000000000004">
      <c r="A3108" s="27" t="s">
        <v>327</v>
      </c>
      <c r="B3108" s="28"/>
      <c r="C3108" s="27"/>
      <c r="D3108" s="27" t="str">
        <f>"""NAV Direct"",""CRONUS JetCorp USA"",""21"",""1"",""409781"""</f>
        <v>"NAV Direct","CRONUS JetCorp USA","21","1","409781"</v>
      </c>
      <c r="E3108" s="31">
        <f t="shared" si="950"/>
        <v>0</v>
      </c>
      <c r="F3108" s="31"/>
      <c r="G3108" s="31"/>
      <c r="H3108" s="31"/>
      <c r="I3108" s="56"/>
      <c r="J3108" s="56"/>
      <c r="K3108" s="82" t="str">
        <f t="shared" si="951"/>
        <v>Invoice</v>
      </c>
      <c r="L3108" s="83" t="str">
        <f>"SI_112447"</f>
        <v>SI_112447</v>
      </c>
      <c r="M3108" s="84">
        <v>43766</v>
      </c>
      <c r="N3108" s="85">
        <f t="shared" si="952"/>
        <v>46</v>
      </c>
      <c r="O3108" s="86">
        <f t="shared" si="953"/>
        <v>12174.99</v>
      </c>
      <c r="P3108" s="86">
        <f t="shared" si="954"/>
        <v>0</v>
      </c>
      <c r="Q3108" s="86">
        <f t="shared" si="955"/>
        <v>0</v>
      </c>
      <c r="R3108" s="86">
        <f t="shared" si="956"/>
        <v>12174.99</v>
      </c>
      <c r="S3108" s="86">
        <f t="shared" si="957"/>
        <v>0</v>
      </c>
      <c r="T3108" s="86">
        <f t="shared" si="958"/>
        <v>0</v>
      </c>
      <c r="U3108" s="87">
        <v>12174.99</v>
      </c>
    </row>
    <row r="3109" spans="1:21" s="30" customFormat="1" ht="24.6" hidden="1" outlineLevel="1" x14ac:dyDescent="0.55000000000000004">
      <c r="A3109" s="27" t="s">
        <v>327</v>
      </c>
      <c r="B3109" s="28"/>
      <c r="C3109" s="27"/>
      <c r="D3109" s="27" t="str">
        <f>"""NAV Direct"",""CRONUS JetCorp USA"",""21"",""1"",""410050"""</f>
        <v>"NAV Direct","CRONUS JetCorp USA","21","1","410050"</v>
      </c>
      <c r="E3109" s="31" t="str">
        <f t="shared" si="950"/>
        <v>C100096</v>
      </c>
      <c r="F3109" s="31"/>
      <c r="G3109" s="31"/>
      <c r="H3109" s="31"/>
      <c r="I3109" s="56"/>
      <c r="J3109" s="56"/>
      <c r="K3109" s="82" t="str">
        <f t="shared" si="951"/>
        <v>Invoice</v>
      </c>
      <c r="L3109" s="83" t="str">
        <f>"SI_112452"</f>
        <v>SI_112452</v>
      </c>
      <c r="M3109" s="84">
        <v>43822</v>
      </c>
      <c r="N3109" s="85">
        <f t="shared" si="952"/>
        <v>-10</v>
      </c>
      <c r="O3109" s="86">
        <f t="shared" si="953"/>
        <v>12109.130000000001</v>
      </c>
      <c r="P3109" s="86">
        <f t="shared" si="954"/>
        <v>12109.130000000001</v>
      </c>
      <c r="Q3109" s="86">
        <f t="shared" si="955"/>
        <v>0</v>
      </c>
      <c r="R3109" s="86">
        <f t="shared" si="956"/>
        <v>0</v>
      </c>
      <c r="S3109" s="86">
        <f t="shared" si="957"/>
        <v>0</v>
      </c>
      <c r="T3109" s="86">
        <f t="shared" si="958"/>
        <v>0</v>
      </c>
      <c r="U3109" s="87">
        <v>12109.130000000001</v>
      </c>
    </row>
    <row r="3110" spans="1:21" s="30" customFormat="1" ht="24.6" hidden="1" outlineLevel="1" x14ac:dyDescent="0.55000000000000004">
      <c r="A3110" s="27" t="s">
        <v>327</v>
      </c>
      <c r="B3110" s="28"/>
      <c r="C3110" s="27"/>
      <c r="D3110" s="27" t="str">
        <f>"""NAV Direct"",""CRONUS JetCorp USA"",""21"",""1"",""410109"""</f>
        <v>"NAV Direct","CRONUS JetCorp USA","21","1","410109"</v>
      </c>
      <c r="E3110" s="31">
        <f t="shared" si="950"/>
        <v>0</v>
      </c>
      <c r="F3110" s="31"/>
      <c r="G3110" s="31"/>
      <c r="H3110" s="31"/>
      <c r="I3110" s="56"/>
      <c r="J3110" s="56"/>
      <c r="K3110" s="82" t="str">
        <f t="shared" si="951"/>
        <v>Invoice</v>
      </c>
      <c r="L3110" s="83" t="str">
        <f>"SI_112453"</f>
        <v>SI_112453</v>
      </c>
      <c r="M3110" s="84">
        <v>43824</v>
      </c>
      <c r="N3110" s="85">
        <f t="shared" si="952"/>
        <v>-12</v>
      </c>
      <c r="O3110" s="86">
        <f t="shared" si="953"/>
        <v>11854.21</v>
      </c>
      <c r="P3110" s="86">
        <f t="shared" si="954"/>
        <v>11854.21</v>
      </c>
      <c r="Q3110" s="86">
        <f t="shared" si="955"/>
        <v>0</v>
      </c>
      <c r="R3110" s="86">
        <f t="shared" si="956"/>
        <v>0</v>
      </c>
      <c r="S3110" s="86">
        <f t="shared" si="957"/>
        <v>0</v>
      </c>
      <c r="T3110" s="86">
        <f t="shared" si="958"/>
        <v>0</v>
      </c>
      <c r="U3110" s="87">
        <v>11854.21</v>
      </c>
    </row>
    <row r="3111" spans="1:21" s="30" customFormat="1" ht="24.6" hidden="1" outlineLevel="1" x14ac:dyDescent="0.55000000000000004">
      <c r="A3111" s="27" t="s">
        <v>327</v>
      </c>
      <c r="B3111" s="28"/>
      <c r="C3111" s="27"/>
      <c r="D3111" s="27" t="str">
        <f>"""NAV Direct"",""CRONUS JetCorp USA"",""21"",""1"",""412022"""</f>
        <v>"NAV Direct","CRONUS JetCorp USA","21","1","412022"</v>
      </c>
      <c r="E3111" s="31" t="str">
        <f t="shared" si="950"/>
        <v>C100096</v>
      </c>
      <c r="F3111" s="31"/>
      <c r="G3111" s="31"/>
      <c r="H3111" s="31"/>
      <c r="I3111" s="56"/>
      <c r="J3111" s="56"/>
      <c r="K3111" s="82" t="str">
        <f t="shared" si="951"/>
        <v>Invoice</v>
      </c>
      <c r="L3111" s="83" t="str">
        <f>"SI_112486"</f>
        <v>SI_112486</v>
      </c>
      <c r="M3111" s="84">
        <v>42150</v>
      </c>
      <c r="N3111" s="85">
        <f t="shared" si="952"/>
        <v>1662</v>
      </c>
      <c r="O3111" s="86">
        <f t="shared" si="953"/>
        <v>8670.4699999999993</v>
      </c>
      <c r="P3111" s="86">
        <f t="shared" si="954"/>
        <v>0</v>
      </c>
      <c r="Q3111" s="86">
        <f t="shared" si="955"/>
        <v>0</v>
      </c>
      <c r="R3111" s="86">
        <f t="shared" si="956"/>
        <v>0</v>
      </c>
      <c r="S3111" s="86">
        <f t="shared" si="957"/>
        <v>0</v>
      </c>
      <c r="T3111" s="86">
        <f t="shared" si="958"/>
        <v>8670.4699999999993</v>
      </c>
      <c r="U3111" s="87">
        <v>8670.4699999999993</v>
      </c>
    </row>
    <row r="3112" spans="1:21" s="30" customFormat="1" ht="24.6" hidden="1" outlineLevel="1" x14ac:dyDescent="0.55000000000000004">
      <c r="A3112" s="27" t="s">
        <v>327</v>
      </c>
      <c r="B3112" s="28"/>
      <c r="C3112" s="27"/>
      <c r="D3112" s="27" t="str">
        <f>"""NAV Direct"",""CRONUS JetCorp USA"",""21"",""1"",""412071"""</f>
        <v>"NAV Direct","CRONUS JetCorp USA","21","1","412071"</v>
      </c>
      <c r="E3112" s="31">
        <f t="shared" si="950"/>
        <v>0</v>
      </c>
      <c r="F3112" s="31"/>
      <c r="G3112" s="31"/>
      <c r="H3112" s="31"/>
      <c r="I3112" s="56"/>
      <c r="J3112" s="56"/>
      <c r="K3112" s="82" t="str">
        <f t="shared" si="951"/>
        <v>Invoice</v>
      </c>
      <c r="L3112" s="83" t="str">
        <f>"SI_112487"</f>
        <v>SI_112487</v>
      </c>
      <c r="M3112" s="84">
        <v>42155</v>
      </c>
      <c r="N3112" s="85">
        <f t="shared" si="952"/>
        <v>1657</v>
      </c>
      <c r="O3112" s="86">
        <f t="shared" si="953"/>
        <v>8204.2799999999988</v>
      </c>
      <c r="P3112" s="86">
        <f t="shared" si="954"/>
        <v>0</v>
      </c>
      <c r="Q3112" s="86">
        <f t="shared" si="955"/>
        <v>0</v>
      </c>
      <c r="R3112" s="86">
        <f t="shared" si="956"/>
        <v>0</v>
      </c>
      <c r="S3112" s="86">
        <f t="shared" si="957"/>
        <v>0</v>
      </c>
      <c r="T3112" s="86">
        <f t="shared" si="958"/>
        <v>8204.2799999999988</v>
      </c>
      <c r="U3112" s="87">
        <v>8204.2799999999988</v>
      </c>
    </row>
    <row r="3113" spans="1:21" s="30" customFormat="1" ht="24.6" hidden="1" outlineLevel="1" x14ac:dyDescent="0.55000000000000004">
      <c r="A3113" s="27" t="s">
        <v>327</v>
      </c>
      <c r="B3113" s="28"/>
      <c r="C3113" s="27"/>
      <c r="D3113" s="27" t="str">
        <f>"""NAV Direct"",""CRONUS JetCorp USA"",""21"",""1"",""412232"""</f>
        <v>"NAV Direct","CRONUS JetCorp USA","21","1","412232"</v>
      </c>
      <c r="E3113" s="31" t="str">
        <f t="shared" si="950"/>
        <v>C100096</v>
      </c>
      <c r="F3113" s="31"/>
      <c r="G3113" s="31"/>
      <c r="H3113" s="31"/>
      <c r="I3113" s="56"/>
      <c r="J3113" s="56"/>
      <c r="K3113" s="82" t="str">
        <f t="shared" si="951"/>
        <v>Invoice</v>
      </c>
      <c r="L3113" s="83" t="str">
        <f>"SI_112490"</f>
        <v>SI_112490</v>
      </c>
      <c r="M3113" s="84">
        <v>42176</v>
      </c>
      <c r="N3113" s="85">
        <f t="shared" si="952"/>
        <v>1636</v>
      </c>
      <c r="O3113" s="86">
        <f t="shared" si="953"/>
        <v>8764</v>
      </c>
      <c r="P3113" s="86">
        <f t="shared" si="954"/>
        <v>0</v>
      </c>
      <c r="Q3113" s="86">
        <f t="shared" si="955"/>
        <v>0</v>
      </c>
      <c r="R3113" s="86">
        <f t="shared" si="956"/>
        <v>0</v>
      </c>
      <c r="S3113" s="86">
        <f t="shared" si="957"/>
        <v>0</v>
      </c>
      <c r="T3113" s="86">
        <f t="shared" si="958"/>
        <v>8764</v>
      </c>
      <c r="U3113" s="87">
        <v>8764</v>
      </c>
    </row>
    <row r="3114" spans="1:21" s="30" customFormat="1" ht="24.6" hidden="1" outlineLevel="1" x14ac:dyDescent="0.55000000000000004">
      <c r="A3114" s="27" t="s">
        <v>327</v>
      </c>
      <c r="B3114" s="28"/>
      <c r="C3114" s="27"/>
      <c r="D3114" s="27" t="str">
        <f>"""NAV Direct"",""CRONUS JetCorp USA"",""21"",""1"",""412293"""</f>
        <v>"NAV Direct","CRONUS JetCorp USA","21","1","412293"</v>
      </c>
      <c r="E3114" s="31">
        <f t="shared" si="950"/>
        <v>0</v>
      </c>
      <c r="F3114" s="31"/>
      <c r="G3114" s="31"/>
      <c r="H3114" s="31"/>
      <c r="I3114" s="56"/>
      <c r="J3114" s="56"/>
      <c r="K3114" s="82" t="str">
        <f t="shared" si="951"/>
        <v>Invoice</v>
      </c>
      <c r="L3114" s="83" t="str">
        <f>"SI_112491"</f>
        <v>SI_112491</v>
      </c>
      <c r="M3114" s="84">
        <v>42181</v>
      </c>
      <c r="N3114" s="85">
        <f t="shared" si="952"/>
        <v>1631</v>
      </c>
      <c r="O3114" s="86">
        <f t="shared" si="953"/>
        <v>8282.4699999999993</v>
      </c>
      <c r="P3114" s="86">
        <f t="shared" si="954"/>
        <v>0</v>
      </c>
      <c r="Q3114" s="86">
        <f t="shared" si="955"/>
        <v>0</v>
      </c>
      <c r="R3114" s="86">
        <f t="shared" si="956"/>
        <v>0</v>
      </c>
      <c r="S3114" s="86">
        <f t="shared" si="957"/>
        <v>0</v>
      </c>
      <c r="T3114" s="86">
        <f t="shared" si="958"/>
        <v>8282.4699999999993</v>
      </c>
      <c r="U3114" s="87">
        <v>8282.4699999999993</v>
      </c>
    </row>
    <row r="3115" spans="1:21" s="30" customFormat="1" ht="24.6" hidden="1" outlineLevel="1" x14ac:dyDescent="0.55000000000000004">
      <c r="A3115" s="27" t="s">
        <v>327</v>
      </c>
      <c r="B3115" s="28"/>
      <c r="C3115" s="27"/>
      <c r="D3115" s="27" t="str">
        <f>"""NAV Direct"",""CRONUS JetCorp USA"",""21"",""1"",""412779"""</f>
        <v>"NAV Direct","CRONUS JetCorp USA","21","1","412779"</v>
      </c>
      <c r="E3115" s="31" t="str">
        <f t="shared" si="950"/>
        <v>C100096</v>
      </c>
      <c r="F3115" s="31"/>
      <c r="G3115" s="31"/>
      <c r="H3115" s="31"/>
      <c r="I3115" s="56"/>
      <c r="J3115" s="56"/>
      <c r="K3115" s="82" t="str">
        <f t="shared" si="951"/>
        <v>Invoice</v>
      </c>
      <c r="L3115" s="83" t="str">
        <f>"SI_112501"</f>
        <v>SI_112501</v>
      </c>
      <c r="M3115" s="84">
        <v>42235</v>
      </c>
      <c r="N3115" s="85">
        <f t="shared" si="952"/>
        <v>1577</v>
      </c>
      <c r="O3115" s="86">
        <f t="shared" si="953"/>
        <v>10047.549999999999</v>
      </c>
      <c r="P3115" s="86">
        <f t="shared" si="954"/>
        <v>0</v>
      </c>
      <c r="Q3115" s="86">
        <f t="shared" si="955"/>
        <v>0</v>
      </c>
      <c r="R3115" s="86">
        <f t="shared" si="956"/>
        <v>0</v>
      </c>
      <c r="S3115" s="86">
        <f t="shared" si="957"/>
        <v>0</v>
      </c>
      <c r="T3115" s="86">
        <f t="shared" si="958"/>
        <v>10047.549999999999</v>
      </c>
      <c r="U3115" s="87">
        <v>10047.549999999999</v>
      </c>
    </row>
    <row r="3116" spans="1:21" s="30" customFormat="1" ht="24.6" hidden="1" outlineLevel="1" x14ac:dyDescent="0.55000000000000004">
      <c r="A3116" s="27" t="s">
        <v>327</v>
      </c>
      <c r="B3116" s="28"/>
      <c r="C3116" s="27"/>
      <c r="D3116" s="27" t="str">
        <f>"""NAV Direct"",""CRONUS JetCorp USA"",""21"",""1"",""413391"""</f>
        <v>"NAV Direct","CRONUS JetCorp USA","21","1","413391"</v>
      </c>
      <c r="E3116" s="31">
        <f t="shared" si="950"/>
        <v>0</v>
      </c>
      <c r="F3116" s="31"/>
      <c r="G3116" s="31"/>
      <c r="H3116" s="31"/>
      <c r="I3116" s="56"/>
      <c r="J3116" s="56"/>
      <c r="K3116" s="82" t="str">
        <f t="shared" si="951"/>
        <v>Invoice</v>
      </c>
      <c r="L3116" s="83" t="str">
        <f>"SI_112512"</f>
        <v>SI_112512</v>
      </c>
      <c r="M3116" s="84">
        <v>42299</v>
      </c>
      <c r="N3116" s="85">
        <f t="shared" si="952"/>
        <v>1513</v>
      </c>
      <c r="O3116" s="86">
        <f t="shared" si="953"/>
        <v>12832.349999999999</v>
      </c>
      <c r="P3116" s="86">
        <f t="shared" si="954"/>
        <v>0</v>
      </c>
      <c r="Q3116" s="86">
        <f t="shared" si="955"/>
        <v>0</v>
      </c>
      <c r="R3116" s="86">
        <f t="shared" si="956"/>
        <v>0</v>
      </c>
      <c r="S3116" s="86">
        <f t="shared" si="957"/>
        <v>0</v>
      </c>
      <c r="T3116" s="86">
        <f t="shared" si="958"/>
        <v>12832.349999999999</v>
      </c>
      <c r="U3116" s="87">
        <v>12832.349999999999</v>
      </c>
    </row>
    <row r="3117" spans="1:21" s="30" customFormat="1" ht="24.6" hidden="1" outlineLevel="1" x14ac:dyDescent="0.55000000000000004">
      <c r="A3117" s="27" t="s">
        <v>327</v>
      </c>
      <c r="B3117" s="28"/>
      <c r="C3117" s="27"/>
      <c r="D3117" s="27" t="str">
        <f>"""NAV Direct"",""CRONUS JetCorp USA"",""21"",""1"",""413656"""</f>
        <v>"NAV Direct","CRONUS JetCorp USA","21","1","413656"</v>
      </c>
      <c r="E3117" s="31" t="str">
        <f t="shared" si="950"/>
        <v>C100096</v>
      </c>
      <c r="F3117" s="31"/>
      <c r="G3117" s="31"/>
      <c r="H3117" s="31"/>
      <c r="I3117" s="56"/>
      <c r="J3117" s="56"/>
      <c r="K3117" s="82" t="str">
        <f t="shared" si="951"/>
        <v>Invoice</v>
      </c>
      <c r="L3117" s="83" t="str">
        <f>"SI_112517"</f>
        <v>SI_112517</v>
      </c>
      <c r="M3117" s="84">
        <v>42307</v>
      </c>
      <c r="N3117" s="85">
        <f t="shared" si="952"/>
        <v>1505</v>
      </c>
      <c r="O3117" s="86">
        <f t="shared" si="953"/>
        <v>11916.08</v>
      </c>
      <c r="P3117" s="86">
        <f t="shared" si="954"/>
        <v>0</v>
      </c>
      <c r="Q3117" s="86">
        <f t="shared" si="955"/>
        <v>0</v>
      </c>
      <c r="R3117" s="86">
        <f t="shared" si="956"/>
        <v>0</v>
      </c>
      <c r="S3117" s="86">
        <f t="shared" si="957"/>
        <v>0</v>
      </c>
      <c r="T3117" s="86">
        <f t="shared" si="958"/>
        <v>11916.08</v>
      </c>
      <c r="U3117" s="87">
        <v>11916.08</v>
      </c>
    </row>
    <row r="3118" spans="1:21" s="30" customFormat="1" ht="24.6" hidden="1" outlineLevel="1" x14ac:dyDescent="0.55000000000000004">
      <c r="A3118" s="27" t="s">
        <v>327</v>
      </c>
      <c r="B3118" s="28"/>
      <c r="C3118" s="27"/>
      <c r="D3118" s="27" t="str">
        <f>"""NAV Direct"",""CRONUS JetCorp USA"",""21"",""1"",""413841"""</f>
        <v>"NAV Direct","CRONUS JetCorp USA","21","1","413841"</v>
      </c>
      <c r="E3118" s="31">
        <f t="shared" si="950"/>
        <v>0</v>
      </c>
      <c r="F3118" s="31"/>
      <c r="G3118" s="31"/>
      <c r="H3118" s="31"/>
      <c r="I3118" s="56"/>
      <c r="J3118" s="56"/>
      <c r="K3118" s="82" t="str">
        <f t="shared" si="951"/>
        <v>Invoice</v>
      </c>
      <c r="L3118" s="83" t="str">
        <f>"SI_112520"</f>
        <v>SI_112520</v>
      </c>
      <c r="M3118" s="84">
        <v>42332</v>
      </c>
      <c r="N3118" s="85">
        <f t="shared" si="952"/>
        <v>1480</v>
      </c>
      <c r="O3118" s="86">
        <f t="shared" si="953"/>
        <v>14629.179999999998</v>
      </c>
      <c r="P3118" s="86">
        <f t="shared" si="954"/>
        <v>0</v>
      </c>
      <c r="Q3118" s="86">
        <f t="shared" si="955"/>
        <v>0</v>
      </c>
      <c r="R3118" s="86">
        <f t="shared" si="956"/>
        <v>0</v>
      </c>
      <c r="S3118" s="86">
        <f t="shared" si="957"/>
        <v>0</v>
      </c>
      <c r="T3118" s="86">
        <f t="shared" si="958"/>
        <v>14629.179999999998</v>
      </c>
      <c r="U3118" s="87">
        <v>14629.179999999998</v>
      </c>
    </row>
    <row r="3119" spans="1:21" s="30" customFormat="1" ht="24.6" hidden="1" outlineLevel="1" x14ac:dyDescent="0.55000000000000004">
      <c r="A3119" s="27" t="s">
        <v>327</v>
      </c>
      <c r="B3119" s="28"/>
      <c r="C3119" s="27"/>
      <c r="D3119" s="27" t="str">
        <f>"""NAV Direct"",""CRONUS JetCorp USA"",""21"",""1"",""414417"""</f>
        <v>"NAV Direct","CRONUS JetCorp USA","21","1","414417"</v>
      </c>
      <c r="E3119" s="31" t="str">
        <f t="shared" si="950"/>
        <v>C100096</v>
      </c>
      <c r="F3119" s="31"/>
      <c r="G3119" s="31"/>
      <c r="H3119" s="31"/>
      <c r="I3119" s="56"/>
      <c r="J3119" s="56"/>
      <c r="K3119" s="82" t="str">
        <f t="shared" si="951"/>
        <v>Invoice</v>
      </c>
      <c r="L3119" s="83" t="str">
        <f>"SI_112530"</f>
        <v>SI_112530</v>
      </c>
      <c r="M3119" s="84">
        <v>42366</v>
      </c>
      <c r="N3119" s="85">
        <f t="shared" si="952"/>
        <v>1446</v>
      </c>
      <c r="O3119" s="86">
        <f t="shared" si="953"/>
        <v>12897.390000000001</v>
      </c>
      <c r="P3119" s="86">
        <f t="shared" si="954"/>
        <v>0</v>
      </c>
      <c r="Q3119" s="86">
        <f t="shared" si="955"/>
        <v>0</v>
      </c>
      <c r="R3119" s="86">
        <f t="shared" si="956"/>
        <v>0</v>
      </c>
      <c r="S3119" s="86">
        <f t="shared" si="957"/>
        <v>0</v>
      </c>
      <c r="T3119" s="86">
        <f t="shared" si="958"/>
        <v>12897.390000000001</v>
      </c>
      <c r="U3119" s="87">
        <v>12897.390000000001</v>
      </c>
    </row>
    <row r="3120" spans="1:21" s="30" customFormat="1" ht="24.6" hidden="1" outlineLevel="1" x14ac:dyDescent="0.55000000000000004">
      <c r="A3120" s="27" t="s">
        <v>327</v>
      </c>
      <c r="B3120" s="28"/>
      <c r="C3120" s="27"/>
      <c r="D3120" s="27" t="str">
        <f>"""NAV Direct"",""CRONUS JetCorp USA"",""21"",""1"",""440233"""</f>
        <v>"NAV Direct","CRONUS JetCorp USA","21","1","440233"</v>
      </c>
      <c r="E3120" s="31">
        <f t="shared" si="950"/>
        <v>0</v>
      </c>
      <c r="F3120" s="31"/>
      <c r="G3120" s="31"/>
      <c r="H3120" s="31"/>
      <c r="I3120" s="56"/>
      <c r="J3120" s="56"/>
      <c r="K3120" s="82" t="str">
        <f>"Credit Memo"</f>
        <v>Credit Memo</v>
      </c>
      <c r="L3120" s="83" t="str">
        <f>"SC_100909"</f>
        <v>SC_100909</v>
      </c>
      <c r="M3120" s="84">
        <v>42735</v>
      </c>
      <c r="N3120" s="85">
        <f t="shared" si="952"/>
        <v>1077</v>
      </c>
      <c r="O3120" s="86">
        <f t="shared" si="953"/>
        <v>-81.430000000000007</v>
      </c>
      <c r="P3120" s="86">
        <f t="shared" si="954"/>
        <v>0</v>
      </c>
      <c r="Q3120" s="86">
        <f t="shared" si="955"/>
        <v>0</v>
      </c>
      <c r="R3120" s="86">
        <f t="shared" si="956"/>
        <v>0</v>
      </c>
      <c r="S3120" s="86">
        <f t="shared" si="957"/>
        <v>0</v>
      </c>
      <c r="T3120" s="86">
        <f t="shared" si="958"/>
        <v>-81.430000000000007</v>
      </c>
      <c r="U3120" s="87">
        <v>-81.430000000000007</v>
      </c>
    </row>
    <row r="3121" spans="1:22" s="30" customFormat="1" ht="24.6" hidden="1" outlineLevel="1" x14ac:dyDescent="0.55000000000000004">
      <c r="A3121" s="27" t="s">
        <v>327</v>
      </c>
      <c r="B3121" s="28"/>
      <c r="C3121" s="27"/>
      <c r="D3121" s="27" t="str">
        <f>"""NAV Direct"",""CRONUS JetCorp USA"",""21"",""1"",""440444"""</f>
        <v>"NAV Direct","CRONUS JetCorp USA","21","1","440444"</v>
      </c>
      <c r="E3121" s="31" t="str">
        <f t="shared" si="950"/>
        <v>C100096</v>
      </c>
      <c r="F3121" s="31"/>
      <c r="G3121" s="31"/>
      <c r="H3121" s="31"/>
      <c r="I3121" s="56"/>
      <c r="J3121" s="56"/>
      <c r="K3121" s="82" t="str">
        <f>"Credit Memo"</f>
        <v>Credit Memo</v>
      </c>
      <c r="L3121" s="83" t="str">
        <f>"SC_100919"</f>
        <v>SC_100919</v>
      </c>
      <c r="M3121" s="84">
        <v>42771</v>
      </c>
      <c r="N3121" s="85">
        <f t="shared" si="952"/>
        <v>1041</v>
      </c>
      <c r="O3121" s="86">
        <f t="shared" si="953"/>
        <v>-97.51</v>
      </c>
      <c r="P3121" s="86">
        <f t="shared" si="954"/>
        <v>0</v>
      </c>
      <c r="Q3121" s="86">
        <f t="shared" si="955"/>
        <v>0</v>
      </c>
      <c r="R3121" s="86">
        <f t="shared" si="956"/>
        <v>0</v>
      </c>
      <c r="S3121" s="86">
        <f t="shared" si="957"/>
        <v>0</v>
      </c>
      <c r="T3121" s="86">
        <f t="shared" si="958"/>
        <v>-97.51</v>
      </c>
      <c r="U3121" s="87">
        <v>-97.51</v>
      </c>
    </row>
    <row r="3122" spans="1:22" s="30" customFormat="1" ht="24.6" hidden="1" outlineLevel="1" x14ac:dyDescent="0.55000000000000004">
      <c r="A3122" s="27" t="s">
        <v>327</v>
      </c>
      <c r="B3122" s="28"/>
      <c r="C3122" s="27"/>
      <c r="D3122" s="27" t="str">
        <f>"""NAV Direct"",""CRONUS JetCorp USA"",""21"",""1"",""440589"""</f>
        <v>"NAV Direct","CRONUS JetCorp USA","21","1","440589"</v>
      </c>
      <c r="E3122" s="31">
        <f t="shared" si="950"/>
        <v>0</v>
      </c>
      <c r="F3122" s="31"/>
      <c r="G3122" s="31"/>
      <c r="H3122" s="31"/>
      <c r="I3122" s="56"/>
      <c r="J3122" s="56"/>
      <c r="K3122" s="82" t="str">
        <f>"Credit Memo"</f>
        <v>Credit Memo</v>
      </c>
      <c r="L3122" s="83" t="str">
        <f>"SC_100928"</f>
        <v>SC_100928</v>
      </c>
      <c r="M3122" s="84">
        <v>43000</v>
      </c>
      <c r="N3122" s="85">
        <f t="shared" si="952"/>
        <v>812</v>
      </c>
      <c r="O3122" s="86">
        <f t="shared" si="953"/>
        <v>-81.89</v>
      </c>
      <c r="P3122" s="86">
        <f t="shared" si="954"/>
        <v>0</v>
      </c>
      <c r="Q3122" s="86">
        <f t="shared" si="955"/>
        <v>0</v>
      </c>
      <c r="R3122" s="86">
        <f t="shared" si="956"/>
        <v>0</v>
      </c>
      <c r="S3122" s="86">
        <f t="shared" si="957"/>
        <v>0</v>
      </c>
      <c r="T3122" s="86">
        <f t="shared" si="958"/>
        <v>-81.89</v>
      </c>
      <c r="U3122" s="87">
        <v>-81.89</v>
      </c>
    </row>
    <row r="3123" spans="1:22" s="30" customFormat="1" ht="24.6" hidden="1" outlineLevel="1" x14ac:dyDescent="0.55000000000000004">
      <c r="A3123" s="27" t="s">
        <v>327</v>
      </c>
      <c r="B3123" s="28"/>
      <c r="C3123" s="27"/>
      <c r="D3123" s="27" t="str">
        <f>"""NAV Direct"",""CRONUS JetCorp USA"",""21"",""1"",""441012"""</f>
        <v>"NAV Direct","CRONUS JetCorp USA","21","1","441012"</v>
      </c>
      <c r="E3123" s="31" t="str">
        <f t="shared" si="950"/>
        <v>C100096</v>
      </c>
      <c r="F3123" s="31"/>
      <c r="G3123" s="31"/>
      <c r="H3123" s="31"/>
      <c r="I3123" s="56"/>
      <c r="J3123" s="56"/>
      <c r="K3123" s="82" t="str">
        <f>"Credit Memo"</f>
        <v>Credit Memo</v>
      </c>
      <c r="L3123" s="83" t="str">
        <f>"SC_100950"</f>
        <v>SC_100950</v>
      </c>
      <c r="M3123" s="84">
        <v>43624</v>
      </c>
      <c r="N3123" s="85">
        <f t="shared" si="952"/>
        <v>188</v>
      </c>
      <c r="O3123" s="86">
        <f t="shared" si="953"/>
        <v>-83.97</v>
      </c>
      <c r="P3123" s="86">
        <f t="shared" si="954"/>
        <v>0</v>
      </c>
      <c r="Q3123" s="86">
        <f t="shared" si="955"/>
        <v>0</v>
      </c>
      <c r="R3123" s="86">
        <f t="shared" si="956"/>
        <v>0</v>
      </c>
      <c r="S3123" s="86">
        <f t="shared" si="957"/>
        <v>0</v>
      </c>
      <c r="T3123" s="86">
        <f t="shared" si="958"/>
        <v>-83.97</v>
      </c>
      <c r="U3123" s="87">
        <v>-83.97</v>
      </c>
    </row>
    <row r="3124" spans="1:22" s="22" customFormat="1" ht="20.399999999999999" collapsed="1" x14ac:dyDescent="0.45">
      <c r="A3124" s="12" t="s">
        <v>327</v>
      </c>
      <c r="B3124" s="19"/>
      <c r="C3124" s="12"/>
      <c r="D3124" s="12"/>
      <c r="E3124" s="23"/>
      <c r="F3124" s="23"/>
      <c r="G3124" s="23"/>
      <c r="H3124" s="23"/>
      <c r="I3124" s="49"/>
      <c r="J3124" s="88"/>
      <c r="K3124" s="88"/>
      <c r="L3124" s="89"/>
      <c r="M3124" s="89"/>
      <c r="N3124" s="89"/>
      <c r="O3124" s="89"/>
      <c r="P3124" s="89"/>
      <c r="Q3124" s="90"/>
      <c r="R3124" s="90"/>
      <c r="S3124" s="91"/>
      <c r="T3124" s="92"/>
      <c r="U3124" s="92"/>
    </row>
    <row r="3125" spans="1:22" s="22" customFormat="1" ht="20.399999999999999" x14ac:dyDescent="0.45">
      <c r="A3125" s="12" t="s">
        <v>327</v>
      </c>
      <c r="B3125" s="19"/>
      <c r="C3125" s="12"/>
      <c r="D3125" s="12"/>
      <c r="E3125" s="23"/>
      <c r="F3125" s="23"/>
      <c r="G3125" s="23"/>
      <c r="H3125" s="23"/>
      <c r="I3125" s="49"/>
      <c r="J3125" s="88"/>
      <c r="K3125" s="88"/>
      <c r="L3125" s="89"/>
      <c r="M3125" s="89"/>
      <c r="N3125" s="89"/>
      <c r="O3125" s="89"/>
      <c r="P3125" s="89"/>
      <c r="Q3125" s="90"/>
      <c r="R3125" s="90"/>
      <c r="S3125" s="91"/>
      <c r="T3125" s="92"/>
      <c r="U3125" s="92"/>
    </row>
    <row r="3126" spans="1:22" s="26" customFormat="1" ht="24.6" x14ac:dyDescent="0.55000000000000004">
      <c r="A3126" s="27" t="s">
        <v>327</v>
      </c>
      <c r="B3126" s="28"/>
      <c r="C3126" s="27" t="str">
        <f>"""NAV Direct"",""CRONUS JetCorp USA"",""18"",""1"",""C100097"""</f>
        <v>"NAV Direct","CRONUS JetCorp USA","18","1","C100097"</v>
      </c>
      <c r="D3126" s="27"/>
      <c r="E3126" s="28" t="str">
        <f>H3126</f>
        <v>C100097</v>
      </c>
      <c r="F3126" s="28"/>
      <c r="G3126" s="28"/>
      <c r="H3126" s="28" t="str">
        <f>"C100097"</f>
        <v>C100097</v>
      </c>
      <c r="I3126" s="116" t="str">
        <f>"C100097  -  Solotech"</f>
        <v>C100097  -  Solotech</v>
      </c>
      <c r="J3126" s="117" t="str">
        <f>""</f>
        <v/>
      </c>
      <c r="K3126" s="118"/>
      <c r="L3126" s="119">
        <f>SUBTOTAL(3,L3127:L3186)</f>
        <v>56</v>
      </c>
      <c r="M3126" s="118"/>
      <c r="N3126" s="118"/>
      <c r="O3126" s="120">
        <f t="shared" ref="O3126:T3126" si="959">SUBTOTAL(9,O3127:O3186)</f>
        <v>1063025.9500000004</v>
      </c>
      <c r="P3126" s="120">
        <f t="shared" si="959"/>
        <v>0</v>
      </c>
      <c r="Q3126" s="120">
        <f t="shared" si="959"/>
        <v>18958.43</v>
      </c>
      <c r="R3126" s="120">
        <f t="shared" si="959"/>
        <v>0</v>
      </c>
      <c r="S3126" s="120">
        <f t="shared" si="959"/>
        <v>0</v>
      </c>
      <c r="T3126" s="120">
        <f t="shared" si="959"/>
        <v>1044067.5200000003</v>
      </c>
      <c r="U3126" s="81"/>
    </row>
    <row r="3127" spans="1:22" s="26" customFormat="1" ht="24.6" x14ac:dyDescent="0.55000000000000004">
      <c r="A3127" s="27" t="s">
        <v>327</v>
      </c>
      <c r="B3127" s="28"/>
      <c r="C3127" s="27" t="str">
        <f>C3126</f>
        <v>"NAV Direct","CRONUS JetCorp USA","18","1","C100097"</v>
      </c>
      <c r="D3127" s="27"/>
      <c r="E3127" s="28" t="str">
        <f>E3126</f>
        <v>C100097</v>
      </c>
      <c r="F3127" s="28"/>
      <c r="G3127" s="28"/>
      <c r="H3127" s="28"/>
      <c r="I3127" s="121" t="str">
        <f>"Contact: Bill Johnson"</f>
        <v>Contact: Bill Johnson</v>
      </c>
      <c r="J3127" s="121"/>
      <c r="K3127" s="122"/>
      <c r="L3127" s="123"/>
      <c r="M3127" s="123"/>
      <c r="N3127" s="124"/>
      <c r="O3127" s="124"/>
      <c r="P3127" s="123"/>
      <c r="Q3127" s="125"/>
      <c r="R3127" s="126"/>
      <c r="S3127" s="126"/>
      <c r="T3127" s="125"/>
      <c r="U3127" s="81"/>
    </row>
    <row r="3128" spans="1:22" s="26" customFormat="1" ht="24.6" x14ac:dyDescent="0.55000000000000004">
      <c r="A3128" s="27" t="s">
        <v>327</v>
      </c>
      <c r="B3128" s="28"/>
      <c r="C3128" s="27" t="str">
        <f>C3127</f>
        <v>"NAV Direct","CRONUS JetCorp USA","18","1","C100097"</v>
      </c>
      <c r="D3128" s="27"/>
      <c r="E3128" s="28" t="str">
        <f>E3127</f>
        <v>C100097</v>
      </c>
      <c r="F3128" s="28"/>
      <c r="G3128" s="28"/>
      <c r="H3128" s="28"/>
      <c r="I3128" s="121" t="str">
        <f>"Solotech@Cronus.com"</f>
        <v>Solotech@Cronus.com</v>
      </c>
      <c r="J3128" s="121"/>
      <c r="K3128" s="122"/>
      <c r="L3128" s="124"/>
      <c r="M3128" s="124"/>
      <c r="N3128" s="124"/>
      <c r="O3128" s="124"/>
      <c r="P3128" s="123"/>
      <c r="Q3128" s="125"/>
      <c r="R3128" s="126"/>
      <c r="S3128" s="126"/>
      <c r="T3128" s="125"/>
      <c r="U3128" s="81"/>
    </row>
    <row r="3129" spans="1:22" ht="12.75" hidden="1" customHeight="1" outlineLevel="1" x14ac:dyDescent="0.45">
      <c r="A3129" s="12" t="s">
        <v>328</v>
      </c>
      <c r="B3129" s="19"/>
      <c r="E3129" s="19"/>
      <c r="F3129" s="19"/>
      <c r="G3129" s="19"/>
      <c r="H3129" s="19"/>
      <c r="I3129" s="61"/>
      <c r="J3129" s="61"/>
      <c r="K3129" s="61"/>
      <c r="L3129" s="61"/>
      <c r="M3129" s="61"/>
      <c r="N3129" s="61"/>
      <c r="O3129" s="61"/>
      <c r="P3129" s="61"/>
      <c r="Q3129" s="61"/>
      <c r="R3129" s="61"/>
      <c r="S3129" s="61"/>
      <c r="T3129" s="61"/>
      <c r="U3129" s="61"/>
      <c r="V3129" s="21"/>
    </row>
    <row r="3130" spans="1:22" s="30" customFormat="1" ht="24.6" hidden="1" outlineLevel="1" x14ac:dyDescent="0.55000000000000004">
      <c r="A3130" s="27" t="s">
        <v>327</v>
      </c>
      <c r="B3130" s="28"/>
      <c r="C3130" s="27"/>
      <c r="D3130" s="27" t="str">
        <f>"""NAV Direct"",""CRONUS JetCorp USA"",""21"",""1"",""335021"""</f>
        <v>"NAV Direct","CRONUS JetCorp USA","21","1","335021"</v>
      </c>
      <c r="E3130" s="31" t="str">
        <f t="shared" ref="E3130:E3161" si="960">E3128</f>
        <v>C100097</v>
      </c>
      <c r="F3130" s="31"/>
      <c r="G3130" s="31"/>
      <c r="H3130" s="31"/>
      <c r="I3130" s="56"/>
      <c r="J3130" s="56"/>
      <c r="K3130" s="82" t="str">
        <f t="shared" ref="K3130:K3161" si="961">"Invoice"</f>
        <v>Invoice</v>
      </c>
      <c r="L3130" s="83" t="str">
        <f>"SI_110591"</f>
        <v>SI_110591</v>
      </c>
      <c r="M3130" s="84">
        <v>42399</v>
      </c>
      <c r="N3130" s="85">
        <f t="shared" ref="N3130:N3161" si="962">StartDate-$M3130+1</f>
        <v>1413</v>
      </c>
      <c r="O3130" s="86">
        <f t="shared" ref="O3130:O3161" si="963">SUM(P3130:T3130)</f>
        <v>16379.93</v>
      </c>
      <c r="P3130" s="86">
        <f t="shared" ref="P3130:P3161" si="964">IF($M3130&gt;=$P$18,U3130,0)</f>
        <v>0</v>
      </c>
      <c r="Q3130" s="86">
        <f t="shared" ref="Q3130:Q3161" si="965">IF(AND($M3130&gt;=$Q$16,$M3130&lt;=$Q$18),U3130,0)</f>
        <v>0</v>
      </c>
      <c r="R3130" s="86">
        <f t="shared" ref="R3130:R3161" si="966">IF(AND($M3130&gt;=$R$16,$M3130&lt;=$R$18),U3130,0)</f>
        <v>0</v>
      </c>
      <c r="S3130" s="86">
        <f t="shared" ref="S3130:S3161" si="967">IF(AND($M3130&gt;=$S$16,$M3130&lt;=$S$18),U3130,0)</f>
        <v>0</v>
      </c>
      <c r="T3130" s="86">
        <f t="shared" ref="T3130:T3161" si="968">IF($M3130&lt;=$T$18,U3130,0)</f>
        <v>16379.93</v>
      </c>
      <c r="U3130" s="87">
        <v>16379.93</v>
      </c>
    </row>
    <row r="3131" spans="1:22" s="30" customFormat="1" ht="24.6" hidden="1" outlineLevel="1" x14ac:dyDescent="0.55000000000000004">
      <c r="A3131" s="27" t="s">
        <v>327</v>
      </c>
      <c r="B3131" s="28"/>
      <c r="C3131" s="27"/>
      <c r="D3131" s="27" t="str">
        <f>"""NAV Direct"",""CRONUS JetCorp USA"",""21"",""1"",""335158"""</f>
        <v>"NAV Direct","CRONUS JetCorp USA","21","1","335158"</v>
      </c>
      <c r="E3131" s="31">
        <f t="shared" si="960"/>
        <v>0</v>
      </c>
      <c r="F3131" s="31"/>
      <c r="G3131" s="31"/>
      <c r="H3131" s="31"/>
      <c r="I3131" s="56"/>
      <c r="J3131" s="56"/>
      <c r="K3131" s="82" t="str">
        <f t="shared" si="961"/>
        <v>Invoice</v>
      </c>
      <c r="L3131" s="83" t="str">
        <f>"SI_110594"</f>
        <v>SI_110594</v>
      </c>
      <c r="M3131" s="84">
        <v>42398</v>
      </c>
      <c r="N3131" s="85">
        <f t="shared" si="962"/>
        <v>1414</v>
      </c>
      <c r="O3131" s="86">
        <f t="shared" si="963"/>
        <v>17459.78</v>
      </c>
      <c r="P3131" s="86">
        <f t="shared" si="964"/>
        <v>0</v>
      </c>
      <c r="Q3131" s="86">
        <f t="shared" si="965"/>
        <v>0</v>
      </c>
      <c r="R3131" s="86">
        <f t="shared" si="966"/>
        <v>0</v>
      </c>
      <c r="S3131" s="86">
        <f t="shared" si="967"/>
        <v>0</v>
      </c>
      <c r="T3131" s="86">
        <f t="shared" si="968"/>
        <v>17459.78</v>
      </c>
      <c r="U3131" s="87">
        <v>17459.78</v>
      </c>
    </row>
    <row r="3132" spans="1:22" s="30" customFormat="1" ht="24.6" hidden="1" outlineLevel="1" x14ac:dyDescent="0.55000000000000004">
      <c r="A3132" s="27" t="s">
        <v>327</v>
      </c>
      <c r="B3132" s="28"/>
      <c r="C3132" s="27"/>
      <c r="D3132" s="27" t="str">
        <f>"""NAV Direct"",""CRONUS JetCorp USA"",""21"",""1"",""335205"""</f>
        <v>"NAV Direct","CRONUS JetCorp USA","21","1","335205"</v>
      </c>
      <c r="E3132" s="31" t="str">
        <f t="shared" si="960"/>
        <v>C100097</v>
      </c>
      <c r="F3132" s="31"/>
      <c r="G3132" s="31"/>
      <c r="H3132" s="31"/>
      <c r="I3132" s="56"/>
      <c r="J3132" s="56"/>
      <c r="K3132" s="82" t="str">
        <f t="shared" si="961"/>
        <v>Invoice</v>
      </c>
      <c r="L3132" s="83" t="str">
        <f>"SI_110595"</f>
        <v>SI_110595</v>
      </c>
      <c r="M3132" s="84">
        <v>42419</v>
      </c>
      <c r="N3132" s="85">
        <f t="shared" si="962"/>
        <v>1393</v>
      </c>
      <c r="O3132" s="86">
        <f t="shared" si="963"/>
        <v>15440.550000000001</v>
      </c>
      <c r="P3132" s="86">
        <f t="shared" si="964"/>
        <v>0</v>
      </c>
      <c r="Q3132" s="86">
        <f t="shared" si="965"/>
        <v>0</v>
      </c>
      <c r="R3132" s="86">
        <f t="shared" si="966"/>
        <v>0</v>
      </c>
      <c r="S3132" s="86">
        <f t="shared" si="967"/>
        <v>0</v>
      </c>
      <c r="T3132" s="86">
        <f t="shared" si="968"/>
        <v>15440.550000000001</v>
      </c>
      <c r="U3132" s="87">
        <v>15440.550000000001</v>
      </c>
    </row>
    <row r="3133" spans="1:22" s="30" customFormat="1" ht="24.6" hidden="1" outlineLevel="1" x14ac:dyDescent="0.55000000000000004">
      <c r="A3133" s="27" t="s">
        <v>327</v>
      </c>
      <c r="B3133" s="28"/>
      <c r="C3133" s="27"/>
      <c r="D3133" s="27" t="str">
        <f>"""NAV Direct"",""CRONUS JetCorp USA"",""21"",""1"",""335289"""</f>
        <v>"NAV Direct","CRONUS JetCorp USA","21","1","335289"</v>
      </c>
      <c r="E3133" s="31">
        <f t="shared" si="960"/>
        <v>0</v>
      </c>
      <c r="F3133" s="31"/>
      <c r="G3133" s="31"/>
      <c r="H3133" s="31"/>
      <c r="I3133" s="56"/>
      <c r="J3133" s="56"/>
      <c r="K3133" s="82" t="str">
        <f t="shared" si="961"/>
        <v>Invoice</v>
      </c>
      <c r="L3133" s="83" t="str">
        <f>"SI_110597"</f>
        <v>SI_110597</v>
      </c>
      <c r="M3133" s="84">
        <v>42425</v>
      </c>
      <c r="N3133" s="85">
        <f t="shared" si="962"/>
        <v>1387</v>
      </c>
      <c r="O3133" s="86">
        <f t="shared" si="963"/>
        <v>16505.21</v>
      </c>
      <c r="P3133" s="86">
        <f t="shared" si="964"/>
        <v>0</v>
      </c>
      <c r="Q3133" s="86">
        <f t="shared" si="965"/>
        <v>0</v>
      </c>
      <c r="R3133" s="86">
        <f t="shared" si="966"/>
        <v>0</v>
      </c>
      <c r="S3133" s="86">
        <f t="shared" si="967"/>
        <v>0</v>
      </c>
      <c r="T3133" s="86">
        <f t="shared" si="968"/>
        <v>16505.21</v>
      </c>
      <c r="U3133" s="87">
        <v>16505.21</v>
      </c>
    </row>
    <row r="3134" spans="1:22" s="30" customFormat="1" ht="24.6" hidden="1" outlineLevel="1" x14ac:dyDescent="0.55000000000000004">
      <c r="A3134" s="27" t="s">
        <v>327</v>
      </c>
      <c r="B3134" s="28"/>
      <c r="C3134" s="27"/>
      <c r="D3134" s="27" t="str">
        <f>"""NAV Direct"",""CRONUS JetCorp USA"",""21"",""1"",""335801"""</f>
        <v>"NAV Direct","CRONUS JetCorp USA","21","1","335801"</v>
      </c>
      <c r="E3134" s="31" t="str">
        <f t="shared" si="960"/>
        <v>C100097</v>
      </c>
      <c r="F3134" s="31"/>
      <c r="G3134" s="31"/>
      <c r="H3134" s="31"/>
      <c r="I3134" s="56"/>
      <c r="J3134" s="56"/>
      <c r="K3134" s="82" t="str">
        <f t="shared" si="961"/>
        <v>Invoice</v>
      </c>
      <c r="L3134" s="83" t="str">
        <f>"SI_110611"</f>
        <v>SI_110611</v>
      </c>
      <c r="M3134" s="84">
        <v>42490</v>
      </c>
      <c r="N3134" s="85">
        <f t="shared" si="962"/>
        <v>1322</v>
      </c>
      <c r="O3134" s="86">
        <f t="shared" si="963"/>
        <v>17535.810000000001</v>
      </c>
      <c r="P3134" s="86">
        <f t="shared" si="964"/>
        <v>0</v>
      </c>
      <c r="Q3134" s="86">
        <f t="shared" si="965"/>
        <v>0</v>
      </c>
      <c r="R3134" s="86">
        <f t="shared" si="966"/>
        <v>0</v>
      </c>
      <c r="S3134" s="86">
        <f t="shared" si="967"/>
        <v>0</v>
      </c>
      <c r="T3134" s="86">
        <f t="shared" si="968"/>
        <v>17535.810000000001</v>
      </c>
      <c r="U3134" s="87">
        <v>17535.810000000001</v>
      </c>
    </row>
    <row r="3135" spans="1:22" s="30" customFormat="1" ht="24.6" hidden="1" outlineLevel="1" x14ac:dyDescent="0.55000000000000004">
      <c r="A3135" s="27" t="s">
        <v>327</v>
      </c>
      <c r="B3135" s="28"/>
      <c r="C3135" s="27"/>
      <c r="D3135" s="27" t="str">
        <f>"""NAV Direct"",""CRONUS JetCorp USA"",""21"",""1"",""335914"""</f>
        <v>"NAV Direct","CRONUS JetCorp USA","21","1","335914"</v>
      </c>
      <c r="E3135" s="31">
        <f t="shared" si="960"/>
        <v>0</v>
      </c>
      <c r="F3135" s="31"/>
      <c r="G3135" s="31"/>
      <c r="H3135" s="31"/>
      <c r="I3135" s="56"/>
      <c r="J3135" s="56"/>
      <c r="K3135" s="82" t="str">
        <f t="shared" si="961"/>
        <v>Invoice</v>
      </c>
      <c r="L3135" s="83" t="str">
        <f>"SI_110614"</f>
        <v>SI_110614</v>
      </c>
      <c r="M3135" s="84">
        <v>42490</v>
      </c>
      <c r="N3135" s="85">
        <f t="shared" si="962"/>
        <v>1322</v>
      </c>
      <c r="O3135" s="86">
        <f t="shared" si="963"/>
        <v>15547.48</v>
      </c>
      <c r="P3135" s="86">
        <f t="shared" si="964"/>
        <v>0</v>
      </c>
      <c r="Q3135" s="86">
        <f t="shared" si="965"/>
        <v>0</v>
      </c>
      <c r="R3135" s="86">
        <f t="shared" si="966"/>
        <v>0</v>
      </c>
      <c r="S3135" s="86">
        <f t="shared" si="967"/>
        <v>0</v>
      </c>
      <c r="T3135" s="86">
        <f t="shared" si="968"/>
        <v>15547.48</v>
      </c>
      <c r="U3135" s="87">
        <v>15547.48</v>
      </c>
    </row>
    <row r="3136" spans="1:22" s="30" customFormat="1" ht="24.6" hidden="1" outlineLevel="1" x14ac:dyDescent="0.55000000000000004">
      <c r="A3136" s="27" t="s">
        <v>327</v>
      </c>
      <c r="B3136" s="28"/>
      <c r="C3136" s="27"/>
      <c r="D3136" s="27" t="str">
        <f>"""NAV Direct"",""CRONUS JetCorp USA"",""21"",""1"",""335959"""</f>
        <v>"NAV Direct","CRONUS JetCorp USA","21","1","335959"</v>
      </c>
      <c r="E3136" s="31" t="str">
        <f t="shared" si="960"/>
        <v>C100097</v>
      </c>
      <c r="F3136" s="31"/>
      <c r="G3136" s="31"/>
      <c r="H3136" s="31"/>
      <c r="I3136" s="56"/>
      <c r="J3136" s="56"/>
      <c r="K3136" s="82" t="str">
        <f t="shared" si="961"/>
        <v>Invoice</v>
      </c>
      <c r="L3136" s="83" t="str">
        <f>"SI_110615"</f>
        <v>SI_110615</v>
      </c>
      <c r="M3136" s="84">
        <v>42501</v>
      </c>
      <c r="N3136" s="85">
        <f t="shared" si="962"/>
        <v>1311</v>
      </c>
      <c r="O3136" s="86">
        <f t="shared" si="963"/>
        <v>17716.73</v>
      </c>
      <c r="P3136" s="86">
        <f t="shared" si="964"/>
        <v>0</v>
      </c>
      <c r="Q3136" s="86">
        <f t="shared" si="965"/>
        <v>0</v>
      </c>
      <c r="R3136" s="86">
        <f t="shared" si="966"/>
        <v>0</v>
      </c>
      <c r="S3136" s="86">
        <f t="shared" si="967"/>
        <v>0</v>
      </c>
      <c r="T3136" s="86">
        <f t="shared" si="968"/>
        <v>17716.73</v>
      </c>
      <c r="U3136" s="87">
        <v>17716.73</v>
      </c>
    </row>
    <row r="3137" spans="1:21" s="30" customFormat="1" ht="24.6" hidden="1" outlineLevel="1" x14ac:dyDescent="0.55000000000000004">
      <c r="A3137" s="27" t="s">
        <v>327</v>
      </c>
      <c r="B3137" s="28"/>
      <c r="C3137" s="27"/>
      <c r="D3137" s="27" t="str">
        <f>"""NAV Direct"",""CRONUS JetCorp USA"",""21"",""1"",""336203"""</f>
        <v>"NAV Direct","CRONUS JetCorp USA","21","1","336203"</v>
      </c>
      <c r="E3137" s="31">
        <f t="shared" si="960"/>
        <v>0</v>
      </c>
      <c r="F3137" s="31"/>
      <c r="G3137" s="31"/>
      <c r="H3137" s="31"/>
      <c r="I3137" s="56"/>
      <c r="J3137" s="56"/>
      <c r="K3137" s="82" t="str">
        <f t="shared" si="961"/>
        <v>Invoice</v>
      </c>
      <c r="L3137" s="83" t="str">
        <f>"SI_110621"</f>
        <v>SI_110621</v>
      </c>
      <c r="M3137" s="84">
        <v>42512</v>
      </c>
      <c r="N3137" s="85">
        <f t="shared" si="962"/>
        <v>1300</v>
      </c>
      <c r="O3137" s="86">
        <f t="shared" si="963"/>
        <v>17620.98</v>
      </c>
      <c r="P3137" s="86">
        <f t="shared" si="964"/>
        <v>0</v>
      </c>
      <c r="Q3137" s="86">
        <f t="shared" si="965"/>
        <v>0</v>
      </c>
      <c r="R3137" s="86">
        <f t="shared" si="966"/>
        <v>0</v>
      </c>
      <c r="S3137" s="86">
        <f t="shared" si="967"/>
        <v>0</v>
      </c>
      <c r="T3137" s="86">
        <f t="shared" si="968"/>
        <v>17620.98</v>
      </c>
      <c r="U3137" s="87">
        <v>17620.98</v>
      </c>
    </row>
    <row r="3138" spans="1:21" s="30" customFormat="1" ht="24.6" hidden="1" outlineLevel="1" x14ac:dyDescent="0.55000000000000004">
      <c r="A3138" s="27" t="s">
        <v>327</v>
      </c>
      <c r="B3138" s="28"/>
      <c r="C3138" s="27"/>
      <c r="D3138" s="27" t="str">
        <f>"""NAV Direct"",""CRONUS JetCorp USA"",""21"",""1"",""336411"""</f>
        <v>"NAV Direct","CRONUS JetCorp USA","21","1","336411"</v>
      </c>
      <c r="E3138" s="31" t="str">
        <f t="shared" si="960"/>
        <v>C100097</v>
      </c>
      <c r="F3138" s="31"/>
      <c r="G3138" s="31"/>
      <c r="H3138" s="31"/>
      <c r="I3138" s="56"/>
      <c r="J3138" s="56"/>
      <c r="K3138" s="82" t="str">
        <f t="shared" si="961"/>
        <v>Invoice</v>
      </c>
      <c r="L3138" s="83" t="str">
        <f>"SI_110627"</f>
        <v>SI_110627</v>
      </c>
      <c r="M3138" s="84">
        <v>42549</v>
      </c>
      <c r="N3138" s="85">
        <f t="shared" si="962"/>
        <v>1263</v>
      </c>
      <c r="O3138" s="86">
        <f t="shared" si="963"/>
        <v>18813.259999999998</v>
      </c>
      <c r="P3138" s="86">
        <f t="shared" si="964"/>
        <v>0</v>
      </c>
      <c r="Q3138" s="86">
        <f t="shared" si="965"/>
        <v>0</v>
      </c>
      <c r="R3138" s="86">
        <f t="shared" si="966"/>
        <v>0</v>
      </c>
      <c r="S3138" s="86">
        <f t="shared" si="967"/>
        <v>0</v>
      </c>
      <c r="T3138" s="86">
        <f t="shared" si="968"/>
        <v>18813.259999999998</v>
      </c>
      <c r="U3138" s="87">
        <v>18813.259999999998</v>
      </c>
    </row>
    <row r="3139" spans="1:21" s="30" customFormat="1" ht="24.6" hidden="1" outlineLevel="1" x14ac:dyDescent="0.55000000000000004">
      <c r="A3139" s="27" t="s">
        <v>327</v>
      </c>
      <c r="B3139" s="28"/>
      <c r="C3139" s="27"/>
      <c r="D3139" s="27" t="str">
        <f>"""NAV Direct"",""CRONUS JetCorp USA"",""21"",""1"",""336738"""</f>
        <v>"NAV Direct","CRONUS JetCorp USA","21","1","336738"</v>
      </c>
      <c r="E3139" s="31">
        <f t="shared" si="960"/>
        <v>0</v>
      </c>
      <c r="F3139" s="31"/>
      <c r="G3139" s="31"/>
      <c r="H3139" s="31"/>
      <c r="I3139" s="56"/>
      <c r="J3139" s="56"/>
      <c r="K3139" s="82" t="str">
        <f t="shared" si="961"/>
        <v>Invoice</v>
      </c>
      <c r="L3139" s="83" t="str">
        <f>"SI_110636"</f>
        <v>SI_110636</v>
      </c>
      <c r="M3139" s="84">
        <v>42600</v>
      </c>
      <c r="N3139" s="85">
        <f t="shared" si="962"/>
        <v>1212</v>
      </c>
      <c r="O3139" s="86">
        <f t="shared" si="963"/>
        <v>16509.16</v>
      </c>
      <c r="P3139" s="86">
        <f t="shared" si="964"/>
        <v>0</v>
      </c>
      <c r="Q3139" s="86">
        <f t="shared" si="965"/>
        <v>0</v>
      </c>
      <c r="R3139" s="86">
        <f t="shared" si="966"/>
        <v>0</v>
      </c>
      <c r="S3139" s="86">
        <f t="shared" si="967"/>
        <v>0</v>
      </c>
      <c r="T3139" s="86">
        <f t="shared" si="968"/>
        <v>16509.16</v>
      </c>
      <c r="U3139" s="87">
        <v>16509.16</v>
      </c>
    </row>
    <row r="3140" spans="1:21" s="30" customFormat="1" ht="24.6" hidden="1" outlineLevel="1" x14ac:dyDescent="0.55000000000000004">
      <c r="A3140" s="27" t="s">
        <v>327</v>
      </c>
      <c r="B3140" s="28"/>
      <c r="C3140" s="27"/>
      <c r="D3140" s="27" t="str">
        <f>"""NAV Direct"",""CRONUS JetCorp USA"",""21"",""1"",""337250"""</f>
        <v>"NAV Direct","CRONUS JetCorp USA","21","1","337250"</v>
      </c>
      <c r="E3140" s="31" t="str">
        <f t="shared" si="960"/>
        <v>C100097</v>
      </c>
      <c r="F3140" s="31"/>
      <c r="G3140" s="31"/>
      <c r="H3140" s="31"/>
      <c r="I3140" s="56"/>
      <c r="J3140" s="56"/>
      <c r="K3140" s="82" t="str">
        <f t="shared" si="961"/>
        <v>Invoice</v>
      </c>
      <c r="L3140" s="83" t="str">
        <f>"SI_110650"</f>
        <v>SI_110650</v>
      </c>
      <c r="M3140" s="84">
        <v>42661</v>
      </c>
      <c r="N3140" s="85">
        <f t="shared" si="962"/>
        <v>1151</v>
      </c>
      <c r="O3140" s="86">
        <f t="shared" si="963"/>
        <v>17953.32</v>
      </c>
      <c r="P3140" s="86">
        <f t="shared" si="964"/>
        <v>0</v>
      </c>
      <c r="Q3140" s="86">
        <f t="shared" si="965"/>
        <v>0</v>
      </c>
      <c r="R3140" s="86">
        <f t="shared" si="966"/>
        <v>0</v>
      </c>
      <c r="S3140" s="86">
        <f t="shared" si="967"/>
        <v>0</v>
      </c>
      <c r="T3140" s="86">
        <f t="shared" si="968"/>
        <v>17953.32</v>
      </c>
      <c r="U3140" s="87">
        <v>17953.32</v>
      </c>
    </row>
    <row r="3141" spans="1:21" s="30" customFormat="1" ht="24.6" hidden="1" outlineLevel="1" x14ac:dyDescent="0.55000000000000004">
      <c r="A3141" s="27" t="s">
        <v>327</v>
      </c>
      <c r="B3141" s="28"/>
      <c r="C3141" s="27"/>
      <c r="D3141" s="27" t="str">
        <f>"""NAV Direct"",""CRONUS JetCorp USA"",""21"",""1"",""337544"""</f>
        <v>"NAV Direct","CRONUS JetCorp USA","21","1","337544"</v>
      </c>
      <c r="E3141" s="31">
        <f t="shared" si="960"/>
        <v>0</v>
      </c>
      <c r="F3141" s="31"/>
      <c r="G3141" s="31"/>
      <c r="H3141" s="31"/>
      <c r="I3141" s="56"/>
      <c r="J3141" s="56"/>
      <c r="K3141" s="82" t="str">
        <f t="shared" si="961"/>
        <v>Invoice</v>
      </c>
      <c r="L3141" s="83" t="str">
        <f>"SI_110658"</f>
        <v>SI_110658</v>
      </c>
      <c r="M3141" s="84">
        <v>42694</v>
      </c>
      <c r="N3141" s="85">
        <f t="shared" si="962"/>
        <v>1118</v>
      </c>
      <c r="O3141" s="86">
        <f t="shared" si="963"/>
        <v>18914.09</v>
      </c>
      <c r="P3141" s="86">
        <f t="shared" si="964"/>
        <v>0</v>
      </c>
      <c r="Q3141" s="86">
        <f t="shared" si="965"/>
        <v>0</v>
      </c>
      <c r="R3141" s="86">
        <f t="shared" si="966"/>
        <v>0</v>
      </c>
      <c r="S3141" s="86">
        <f t="shared" si="967"/>
        <v>0</v>
      </c>
      <c r="T3141" s="86">
        <f t="shared" si="968"/>
        <v>18914.09</v>
      </c>
      <c r="U3141" s="87">
        <v>18914.09</v>
      </c>
    </row>
    <row r="3142" spans="1:21" s="30" customFormat="1" ht="24.6" hidden="1" outlineLevel="1" x14ac:dyDescent="0.55000000000000004">
      <c r="A3142" s="27" t="s">
        <v>327</v>
      </c>
      <c r="B3142" s="28"/>
      <c r="C3142" s="27"/>
      <c r="D3142" s="27" t="str">
        <f>"""NAV Direct"",""CRONUS JetCorp USA"",""21"",""1"",""337734"""</f>
        <v>"NAV Direct","CRONUS JetCorp USA","21","1","337734"</v>
      </c>
      <c r="E3142" s="31" t="str">
        <f t="shared" si="960"/>
        <v>C100097</v>
      </c>
      <c r="F3142" s="31"/>
      <c r="G3142" s="31"/>
      <c r="H3142" s="31"/>
      <c r="I3142" s="56"/>
      <c r="J3142" s="56"/>
      <c r="K3142" s="82" t="str">
        <f t="shared" si="961"/>
        <v>Invoice</v>
      </c>
      <c r="L3142" s="83" t="str">
        <f>"SI_110664"</f>
        <v>SI_110664</v>
      </c>
      <c r="M3142" s="84">
        <v>42728</v>
      </c>
      <c r="N3142" s="85">
        <f t="shared" si="962"/>
        <v>1084</v>
      </c>
      <c r="O3142" s="86">
        <f t="shared" si="963"/>
        <v>19519.63</v>
      </c>
      <c r="P3142" s="86">
        <f t="shared" si="964"/>
        <v>0</v>
      </c>
      <c r="Q3142" s="86">
        <f t="shared" si="965"/>
        <v>0</v>
      </c>
      <c r="R3142" s="86">
        <f t="shared" si="966"/>
        <v>0</v>
      </c>
      <c r="S3142" s="86">
        <f t="shared" si="967"/>
        <v>0</v>
      </c>
      <c r="T3142" s="86">
        <f t="shared" si="968"/>
        <v>19519.63</v>
      </c>
      <c r="U3142" s="87">
        <v>19519.63</v>
      </c>
    </row>
    <row r="3143" spans="1:21" s="30" customFormat="1" ht="24.6" hidden="1" outlineLevel="1" x14ac:dyDescent="0.55000000000000004">
      <c r="A3143" s="27" t="s">
        <v>327</v>
      </c>
      <c r="B3143" s="28"/>
      <c r="C3143" s="27"/>
      <c r="D3143" s="27" t="str">
        <f>"""NAV Direct"",""CRONUS JetCorp USA"",""21"",""1"",""338059"""</f>
        <v>"NAV Direct","CRONUS JetCorp USA","21","1","338059"</v>
      </c>
      <c r="E3143" s="31">
        <f t="shared" si="960"/>
        <v>0</v>
      </c>
      <c r="F3143" s="31"/>
      <c r="G3143" s="31"/>
      <c r="H3143" s="31"/>
      <c r="I3143" s="56"/>
      <c r="J3143" s="56"/>
      <c r="K3143" s="82" t="str">
        <f t="shared" si="961"/>
        <v>Invoice</v>
      </c>
      <c r="L3143" s="83" t="str">
        <f>"SI_110673"</f>
        <v>SI_110673</v>
      </c>
      <c r="M3143" s="84">
        <v>42761</v>
      </c>
      <c r="N3143" s="85">
        <f t="shared" si="962"/>
        <v>1051</v>
      </c>
      <c r="O3143" s="86">
        <f t="shared" si="963"/>
        <v>19227.12</v>
      </c>
      <c r="P3143" s="86">
        <f t="shared" si="964"/>
        <v>0</v>
      </c>
      <c r="Q3143" s="86">
        <f t="shared" si="965"/>
        <v>0</v>
      </c>
      <c r="R3143" s="86">
        <f t="shared" si="966"/>
        <v>0</v>
      </c>
      <c r="S3143" s="86">
        <f t="shared" si="967"/>
        <v>0</v>
      </c>
      <c r="T3143" s="86">
        <f t="shared" si="968"/>
        <v>19227.12</v>
      </c>
      <c r="U3143" s="87">
        <v>19227.12</v>
      </c>
    </row>
    <row r="3144" spans="1:21" s="30" customFormat="1" ht="24.6" hidden="1" outlineLevel="1" x14ac:dyDescent="0.55000000000000004">
      <c r="A3144" s="27" t="s">
        <v>327</v>
      </c>
      <c r="B3144" s="28"/>
      <c r="C3144" s="27"/>
      <c r="D3144" s="27" t="str">
        <f>"""NAV Direct"",""CRONUS JetCorp USA"",""21"",""1"",""338543"""</f>
        <v>"NAV Direct","CRONUS JetCorp USA","21","1","338543"</v>
      </c>
      <c r="E3144" s="31" t="str">
        <f t="shared" si="960"/>
        <v>C100097</v>
      </c>
      <c r="F3144" s="31"/>
      <c r="G3144" s="31"/>
      <c r="H3144" s="31"/>
      <c r="I3144" s="56"/>
      <c r="J3144" s="56"/>
      <c r="K3144" s="82" t="str">
        <f t="shared" si="961"/>
        <v>Invoice</v>
      </c>
      <c r="L3144" s="83" t="str">
        <f>"SI_110685"</f>
        <v>SI_110685</v>
      </c>
      <c r="M3144" s="84">
        <v>42816</v>
      </c>
      <c r="N3144" s="85">
        <f t="shared" si="962"/>
        <v>996</v>
      </c>
      <c r="O3144" s="86">
        <f t="shared" si="963"/>
        <v>18184.11</v>
      </c>
      <c r="P3144" s="86">
        <f t="shared" si="964"/>
        <v>0</v>
      </c>
      <c r="Q3144" s="86">
        <f t="shared" si="965"/>
        <v>0</v>
      </c>
      <c r="R3144" s="86">
        <f t="shared" si="966"/>
        <v>0</v>
      </c>
      <c r="S3144" s="86">
        <f t="shared" si="967"/>
        <v>0</v>
      </c>
      <c r="T3144" s="86">
        <f t="shared" si="968"/>
        <v>18184.11</v>
      </c>
      <c r="U3144" s="87">
        <v>18184.11</v>
      </c>
    </row>
    <row r="3145" spans="1:21" s="30" customFormat="1" ht="24.6" hidden="1" outlineLevel="1" x14ac:dyDescent="0.55000000000000004">
      <c r="A3145" s="27" t="s">
        <v>327</v>
      </c>
      <c r="B3145" s="28"/>
      <c r="C3145" s="27"/>
      <c r="D3145" s="27" t="str">
        <f>"""NAV Direct"",""CRONUS JetCorp USA"",""21"",""1"",""338668"""</f>
        <v>"NAV Direct","CRONUS JetCorp USA","21","1","338668"</v>
      </c>
      <c r="E3145" s="31">
        <f t="shared" si="960"/>
        <v>0</v>
      </c>
      <c r="F3145" s="31"/>
      <c r="G3145" s="31"/>
      <c r="H3145" s="31"/>
      <c r="I3145" s="56"/>
      <c r="J3145" s="56"/>
      <c r="K3145" s="82" t="str">
        <f t="shared" si="961"/>
        <v>Invoice</v>
      </c>
      <c r="L3145" s="83" t="str">
        <f>"SI_110688"</f>
        <v>SI_110688</v>
      </c>
      <c r="M3145" s="84">
        <v>42834</v>
      </c>
      <c r="N3145" s="85">
        <f t="shared" si="962"/>
        <v>978</v>
      </c>
      <c r="O3145" s="86">
        <f t="shared" si="963"/>
        <v>18574.16</v>
      </c>
      <c r="P3145" s="86">
        <f t="shared" si="964"/>
        <v>0</v>
      </c>
      <c r="Q3145" s="86">
        <f t="shared" si="965"/>
        <v>0</v>
      </c>
      <c r="R3145" s="86">
        <f t="shared" si="966"/>
        <v>0</v>
      </c>
      <c r="S3145" s="86">
        <f t="shared" si="967"/>
        <v>0</v>
      </c>
      <c r="T3145" s="86">
        <f t="shared" si="968"/>
        <v>18574.16</v>
      </c>
      <c r="U3145" s="87">
        <v>18574.16</v>
      </c>
    </row>
    <row r="3146" spans="1:21" s="30" customFormat="1" ht="24.6" hidden="1" outlineLevel="1" x14ac:dyDescent="0.55000000000000004">
      <c r="A3146" s="27" t="s">
        <v>327</v>
      </c>
      <c r="B3146" s="28"/>
      <c r="C3146" s="27"/>
      <c r="D3146" s="27" t="str">
        <f>"""NAV Direct"",""CRONUS JetCorp USA"",""21"",""1"",""338908"""</f>
        <v>"NAV Direct","CRONUS JetCorp USA","21","1","338908"</v>
      </c>
      <c r="E3146" s="31" t="str">
        <f t="shared" si="960"/>
        <v>C100097</v>
      </c>
      <c r="F3146" s="31"/>
      <c r="G3146" s="31"/>
      <c r="H3146" s="31"/>
      <c r="I3146" s="56"/>
      <c r="J3146" s="56"/>
      <c r="K3146" s="82" t="str">
        <f t="shared" si="961"/>
        <v>Invoice</v>
      </c>
      <c r="L3146" s="83" t="str">
        <f>"SI_110694"</f>
        <v>SI_110694</v>
      </c>
      <c r="M3146" s="84">
        <v>42860</v>
      </c>
      <c r="N3146" s="85">
        <f t="shared" si="962"/>
        <v>952</v>
      </c>
      <c r="O3146" s="86">
        <f t="shared" si="963"/>
        <v>17999.600000000002</v>
      </c>
      <c r="P3146" s="86">
        <f t="shared" si="964"/>
        <v>0</v>
      </c>
      <c r="Q3146" s="86">
        <f t="shared" si="965"/>
        <v>0</v>
      </c>
      <c r="R3146" s="86">
        <f t="shared" si="966"/>
        <v>0</v>
      </c>
      <c r="S3146" s="86">
        <f t="shared" si="967"/>
        <v>0</v>
      </c>
      <c r="T3146" s="86">
        <f t="shared" si="968"/>
        <v>17999.600000000002</v>
      </c>
      <c r="U3146" s="87">
        <v>17999.600000000002</v>
      </c>
    </row>
    <row r="3147" spans="1:21" s="30" customFormat="1" ht="24.6" hidden="1" outlineLevel="1" x14ac:dyDescent="0.55000000000000004">
      <c r="A3147" s="27" t="s">
        <v>327</v>
      </c>
      <c r="B3147" s="28"/>
      <c r="C3147" s="27"/>
      <c r="D3147" s="27" t="str">
        <f>"""NAV Direct"",""CRONUS JetCorp USA"",""21"",""1"",""339554"""</f>
        <v>"NAV Direct","CRONUS JetCorp USA","21","1","339554"</v>
      </c>
      <c r="E3147" s="31">
        <f t="shared" si="960"/>
        <v>0</v>
      </c>
      <c r="F3147" s="31"/>
      <c r="G3147" s="31"/>
      <c r="H3147" s="31"/>
      <c r="I3147" s="56"/>
      <c r="J3147" s="56"/>
      <c r="K3147" s="82" t="str">
        <f t="shared" si="961"/>
        <v>Invoice</v>
      </c>
      <c r="L3147" s="83" t="str">
        <f>"SI_110710"</f>
        <v>SI_110710</v>
      </c>
      <c r="M3147" s="84">
        <v>42938</v>
      </c>
      <c r="N3147" s="85">
        <f t="shared" si="962"/>
        <v>874</v>
      </c>
      <c r="O3147" s="86">
        <f t="shared" si="963"/>
        <v>18364.919999999998</v>
      </c>
      <c r="P3147" s="86">
        <f t="shared" si="964"/>
        <v>0</v>
      </c>
      <c r="Q3147" s="86">
        <f t="shared" si="965"/>
        <v>0</v>
      </c>
      <c r="R3147" s="86">
        <f t="shared" si="966"/>
        <v>0</v>
      </c>
      <c r="S3147" s="86">
        <f t="shared" si="967"/>
        <v>0</v>
      </c>
      <c r="T3147" s="86">
        <f t="shared" si="968"/>
        <v>18364.919999999998</v>
      </c>
      <c r="U3147" s="87">
        <v>18364.919999999998</v>
      </c>
    </row>
    <row r="3148" spans="1:21" s="30" customFormat="1" ht="24.6" hidden="1" outlineLevel="1" x14ac:dyDescent="0.55000000000000004">
      <c r="A3148" s="27" t="s">
        <v>327</v>
      </c>
      <c r="B3148" s="28"/>
      <c r="C3148" s="27"/>
      <c r="D3148" s="27" t="str">
        <f>"""NAV Direct"",""CRONUS JetCorp USA"",""21"",""1"",""339704"""</f>
        <v>"NAV Direct","CRONUS JetCorp USA","21","1","339704"</v>
      </c>
      <c r="E3148" s="31" t="str">
        <f t="shared" si="960"/>
        <v>C100097</v>
      </c>
      <c r="F3148" s="31"/>
      <c r="G3148" s="31"/>
      <c r="H3148" s="31"/>
      <c r="I3148" s="56"/>
      <c r="J3148" s="56"/>
      <c r="K3148" s="82" t="str">
        <f t="shared" si="961"/>
        <v>Invoice</v>
      </c>
      <c r="L3148" s="83" t="str">
        <f>"SI_110714"</f>
        <v>SI_110714</v>
      </c>
      <c r="M3148" s="84">
        <v>42943</v>
      </c>
      <c r="N3148" s="85">
        <f t="shared" si="962"/>
        <v>869</v>
      </c>
      <c r="O3148" s="86">
        <f t="shared" si="963"/>
        <v>17970</v>
      </c>
      <c r="P3148" s="86">
        <f t="shared" si="964"/>
        <v>0</v>
      </c>
      <c r="Q3148" s="86">
        <f t="shared" si="965"/>
        <v>0</v>
      </c>
      <c r="R3148" s="86">
        <f t="shared" si="966"/>
        <v>0</v>
      </c>
      <c r="S3148" s="86">
        <f t="shared" si="967"/>
        <v>0</v>
      </c>
      <c r="T3148" s="86">
        <f t="shared" si="968"/>
        <v>17970</v>
      </c>
      <c r="U3148" s="87">
        <v>17970</v>
      </c>
    </row>
    <row r="3149" spans="1:21" s="30" customFormat="1" ht="24.6" hidden="1" outlineLevel="1" x14ac:dyDescent="0.55000000000000004">
      <c r="A3149" s="27" t="s">
        <v>327</v>
      </c>
      <c r="B3149" s="28"/>
      <c r="C3149" s="27"/>
      <c r="D3149" s="27" t="str">
        <f>"""NAV Direct"",""CRONUS JetCorp USA"",""21"",""1"",""339749"""</f>
        <v>"NAV Direct","CRONUS JetCorp USA","21","1","339749"</v>
      </c>
      <c r="E3149" s="31">
        <f t="shared" si="960"/>
        <v>0</v>
      </c>
      <c r="F3149" s="31"/>
      <c r="G3149" s="31"/>
      <c r="H3149" s="31"/>
      <c r="I3149" s="56"/>
      <c r="J3149" s="56"/>
      <c r="K3149" s="82" t="str">
        <f t="shared" si="961"/>
        <v>Invoice</v>
      </c>
      <c r="L3149" s="83" t="str">
        <f>"SI_110715"</f>
        <v>SI_110715</v>
      </c>
      <c r="M3149" s="84">
        <v>42948</v>
      </c>
      <c r="N3149" s="85">
        <f t="shared" si="962"/>
        <v>864</v>
      </c>
      <c r="O3149" s="86">
        <f t="shared" si="963"/>
        <v>18562.48</v>
      </c>
      <c r="P3149" s="86">
        <f t="shared" si="964"/>
        <v>0</v>
      </c>
      <c r="Q3149" s="86">
        <f t="shared" si="965"/>
        <v>0</v>
      </c>
      <c r="R3149" s="86">
        <f t="shared" si="966"/>
        <v>0</v>
      </c>
      <c r="S3149" s="86">
        <f t="shared" si="967"/>
        <v>0</v>
      </c>
      <c r="T3149" s="86">
        <f t="shared" si="968"/>
        <v>18562.48</v>
      </c>
      <c r="U3149" s="87">
        <v>18562.48</v>
      </c>
    </row>
    <row r="3150" spans="1:21" s="30" customFormat="1" ht="24.6" hidden="1" outlineLevel="1" x14ac:dyDescent="0.55000000000000004">
      <c r="A3150" s="27" t="s">
        <v>327</v>
      </c>
      <c r="B3150" s="28"/>
      <c r="C3150" s="27"/>
      <c r="D3150" s="27" t="str">
        <f>"""NAV Direct"",""CRONUS JetCorp USA"",""21"",""1"",""339862"""</f>
        <v>"NAV Direct","CRONUS JetCorp USA","21","1","339862"</v>
      </c>
      <c r="E3150" s="31" t="str">
        <f t="shared" si="960"/>
        <v>C100097</v>
      </c>
      <c r="F3150" s="31"/>
      <c r="G3150" s="31"/>
      <c r="H3150" s="31"/>
      <c r="I3150" s="56"/>
      <c r="J3150" s="56"/>
      <c r="K3150" s="82" t="str">
        <f t="shared" si="961"/>
        <v>Invoice</v>
      </c>
      <c r="L3150" s="83" t="str">
        <f>"SI_110718"</f>
        <v>SI_110718</v>
      </c>
      <c r="M3150" s="84">
        <v>42945</v>
      </c>
      <c r="N3150" s="85">
        <f t="shared" si="962"/>
        <v>867</v>
      </c>
      <c r="O3150" s="86">
        <f t="shared" si="963"/>
        <v>19154.75</v>
      </c>
      <c r="P3150" s="86">
        <f t="shared" si="964"/>
        <v>0</v>
      </c>
      <c r="Q3150" s="86">
        <f t="shared" si="965"/>
        <v>0</v>
      </c>
      <c r="R3150" s="86">
        <f t="shared" si="966"/>
        <v>0</v>
      </c>
      <c r="S3150" s="86">
        <f t="shared" si="967"/>
        <v>0</v>
      </c>
      <c r="T3150" s="86">
        <f t="shared" si="968"/>
        <v>19154.75</v>
      </c>
      <c r="U3150" s="87">
        <v>19154.75</v>
      </c>
    </row>
    <row r="3151" spans="1:21" s="30" customFormat="1" ht="24.6" hidden="1" outlineLevel="1" x14ac:dyDescent="0.55000000000000004">
      <c r="A3151" s="27" t="s">
        <v>327</v>
      </c>
      <c r="B3151" s="28"/>
      <c r="C3151" s="27"/>
      <c r="D3151" s="27" t="str">
        <f>"""NAV Direct"",""CRONUS JetCorp USA"",""21"",""1"",""340100"""</f>
        <v>"NAV Direct","CRONUS JetCorp USA","21","1","340100"</v>
      </c>
      <c r="E3151" s="31">
        <f t="shared" si="960"/>
        <v>0</v>
      </c>
      <c r="F3151" s="31"/>
      <c r="G3151" s="31"/>
      <c r="H3151" s="31"/>
      <c r="I3151" s="56"/>
      <c r="J3151" s="56"/>
      <c r="K3151" s="82" t="str">
        <f t="shared" si="961"/>
        <v>Invoice</v>
      </c>
      <c r="L3151" s="83" t="str">
        <f>"SI_110724"</f>
        <v>SI_110724</v>
      </c>
      <c r="M3151" s="84">
        <v>42985</v>
      </c>
      <c r="N3151" s="85">
        <f t="shared" si="962"/>
        <v>827</v>
      </c>
      <c r="O3151" s="86">
        <f t="shared" si="963"/>
        <v>18713.72</v>
      </c>
      <c r="P3151" s="86">
        <f t="shared" si="964"/>
        <v>0</v>
      </c>
      <c r="Q3151" s="86">
        <f t="shared" si="965"/>
        <v>0</v>
      </c>
      <c r="R3151" s="86">
        <f t="shared" si="966"/>
        <v>0</v>
      </c>
      <c r="S3151" s="86">
        <f t="shared" si="967"/>
        <v>0</v>
      </c>
      <c r="T3151" s="86">
        <f t="shared" si="968"/>
        <v>18713.72</v>
      </c>
      <c r="U3151" s="87">
        <v>18713.72</v>
      </c>
    </row>
    <row r="3152" spans="1:21" s="30" customFormat="1" ht="24.6" hidden="1" outlineLevel="1" x14ac:dyDescent="0.55000000000000004">
      <c r="A3152" s="27" t="s">
        <v>327</v>
      </c>
      <c r="B3152" s="28"/>
      <c r="C3152" s="27"/>
      <c r="D3152" s="27" t="str">
        <f>"""NAV Direct"",""CRONUS JetCorp USA"",""21"",""1"",""340891"""</f>
        <v>"NAV Direct","CRONUS JetCorp USA","21","1","340891"</v>
      </c>
      <c r="E3152" s="31" t="str">
        <f t="shared" si="960"/>
        <v>C100097</v>
      </c>
      <c r="F3152" s="31"/>
      <c r="G3152" s="31"/>
      <c r="H3152" s="31"/>
      <c r="I3152" s="56"/>
      <c r="J3152" s="56"/>
      <c r="K3152" s="82" t="str">
        <f t="shared" si="961"/>
        <v>Invoice</v>
      </c>
      <c r="L3152" s="83" t="str">
        <f>"SI_110745"</f>
        <v>SI_110745</v>
      </c>
      <c r="M3152" s="84">
        <v>43067</v>
      </c>
      <c r="N3152" s="85">
        <f t="shared" si="962"/>
        <v>745</v>
      </c>
      <c r="O3152" s="86">
        <f t="shared" si="963"/>
        <v>19495.539999999997</v>
      </c>
      <c r="P3152" s="86">
        <f t="shared" si="964"/>
        <v>0</v>
      </c>
      <c r="Q3152" s="86">
        <f t="shared" si="965"/>
        <v>0</v>
      </c>
      <c r="R3152" s="86">
        <f t="shared" si="966"/>
        <v>0</v>
      </c>
      <c r="S3152" s="86">
        <f t="shared" si="967"/>
        <v>0</v>
      </c>
      <c r="T3152" s="86">
        <f t="shared" si="968"/>
        <v>19495.539999999997</v>
      </c>
      <c r="U3152" s="87">
        <v>19495.539999999997</v>
      </c>
    </row>
    <row r="3153" spans="1:21" s="30" customFormat="1" ht="24.6" hidden="1" outlineLevel="1" x14ac:dyDescent="0.55000000000000004">
      <c r="A3153" s="27" t="s">
        <v>327</v>
      </c>
      <c r="B3153" s="28"/>
      <c r="C3153" s="27"/>
      <c r="D3153" s="27" t="str">
        <f>"""NAV Direct"",""CRONUS JetCorp USA"",""21"",""1"",""341164"""</f>
        <v>"NAV Direct","CRONUS JetCorp USA","21","1","341164"</v>
      </c>
      <c r="E3153" s="31">
        <f t="shared" si="960"/>
        <v>0</v>
      </c>
      <c r="F3153" s="31"/>
      <c r="G3153" s="31"/>
      <c r="H3153" s="31"/>
      <c r="I3153" s="56"/>
      <c r="J3153" s="56"/>
      <c r="K3153" s="82" t="str">
        <f t="shared" si="961"/>
        <v>Invoice</v>
      </c>
      <c r="L3153" s="83" t="str">
        <f>"SI_110752"</f>
        <v>SI_110752</v>
      </c>
      <c r="M3153" s="84">
        <v>43091</v>
      </c>
      <c r="N3153" s="85">
        <f t="shared" si="962"/>
        <v>721</v>
      </c>
      <c r="O3153" s="86">
        <f t="shared" si="963"/>
        <v>20139.300000000003</v>
      </c>
      <c r="P3153" s="86">
        <f t="shared" si="964"/>
        <v>0</v>
      </c>
      <c r="Q3153" s="86">
        <f t="shared" si="965"/>
        <v>0</v>
      </c>
      <c r="R3153" s="86">
        <f t="shared" si="966"/>
        <v>0</v>
      </c>
      <c r="S3153" s="86">
        <f t="shared" si="967"/>
        <v>0</v>
      </c>
      <c r="T3153" s="86">
        <f t="shared" si="968"/>
        <v>20139.300000000003</v>
      </c>
      <c r="U3153" s="87">
        <v>20139.300000000003</v>
      </c>
    </row>
    <row r="3154" spans="1:21" s="30" customFormat="1" ht="24.6" hidden="1" outlineLevel="1" x14ac:dyDescent="0.55000000000000004">
      <c r="A3154" s="27" t="s">
        <v>327</v>
      </c>
      <c r="B3154" s="28"/>
      <c r="C3154" s="27"/>
      <c r="D3154" s="27" t="str">
        <f>"""NAV Direct"",""CRONUS JetCorp USA"",""21"",""1"",""341343"""</f>
        <v>"NAV Direct","CRONUS JetCorp USA","21","1","341343"</v>
      </c>
      <c r="E3154" s="31" t="str">
        <f t="shared" si="960"/>
        <v>C100097</v>
      </c>
      <c r="F3154" s="31"/>
      <c r="G3154" s="31"/>
      <c r="H3154" s="31"/>
      <c r="I3154" s="56"/>
      <c r="J3154" s="56"/>
      <c r="K3154" s="82" t="str">
        <f t="shared" si="961"/>
        <v>Invoice</v>
      </c>
      <c r="L3154" s="83" t="str">
        <f>"SI_110757"</f>
        <v>SI_110757</v>
      </c>
      <c r="M3154" s="84">
        <v>43098</v>
      </c>
      <c r="N3154" s="85">
        <f t="shared" si="962"/>
        <v>714</v>
      </c>
      <c r="O3154" s="86">
        <f t="shared" si="963"/>
        <v>20138.71</v>
      </c>
      <c r="P3154" s="86">
        <f t="shared" si="964"/>
        <v>0</v>
      </c>
      <c r="Q3154" s="86">
        <f t="shared" si="965"/>
        <v>0</v>
      </c>
      <c r="R3154" s="86">
        <f t="shared" si="966"/>
        <v>0</v>
      </c>
      <c r="S3154" s="86">
        <f t="shared" si="967"/>
        <v>0</v>
      </c>
      <c r="T3154" s="86">
        <f t="shared" si="968"/>
        <v>20138.71</v>
      </c>
      <c r="U3154" s="87">
        <v>20138.71</v>
      </c>
    </row>
    <row r="3155" spans="1:21" s="30" customFormat="1" ht="24.6" hidden="1" outlineLevel="1" x14ac:dyDescent="0.55000000000000004">
      <c r="A3155" s="27" t="s">
        <v>327</v>
      </c>
      <c r="B3155" s="28"/>
      <c r="C3155" s="27"/>
      <c r="D3155" s="27" t="str">
        <f>"""NAV Direct"",""CRONUS JetCorp USA"",""21"",""1"",""341380"""</f>
        <v>"NAV Direct","CRONUS JetCorp USA","21","1","341380"</v>
      </c>
      <c r="E3155" s="31">
        <f t="shared" si="960"/>
        <v>0</v>
      </c>
      <c r="F3155" s="31"/>
      <c r="G3155" s="31"/>
      <c r="H3155" s="31"/>
      <c r="I3155" s="56"/>
      <c r="J3155" s="56"/>
      <c r="K3155" s="82" t="str">
        <f t="shared" si="961"/>
        <v>Invoice</v>
      </c>
      <c r="L3155" s="83" t="str">
        <f>"SI_110758"</f>
        <v>SI_110758</v>
      </c>
      <c r="M3155" s="84">
        <v>43103</v>
      </c>
      <c r="N3155" s="85">
        <f t="shared" si="962"/>
        <v>709</v>
      </c>
      <c r="O3155" s="86">
        <f t="shared" si="963"/>
        <v>19728.309999999998</v>
      </c>
      <c r="P3155" s="86">
        <f t="shared" si="964"/>
        <v>0</v>
      </c>
      <c r="Q3155" s="86">
        <f t="shared" si="965"/>
        <v>0</v>
      </c>
      <c r="R3155" s="86">
        <f t="shared" si="966"/>
        <v>0</v>
      </c>
      <c r="S3155" s="86">
        <f t="shared" si="967"/>
        <v>0</v>
      </c>
      <c r="T3155" s="86">
        <f t="shared" si="968"/>
        <v>19728.309999999998</v>
      </c>
      <c r="U3155" s="87">
        <v>19728.309999999998</v>
      </c>
    </row>
    <row r="3156" spans="1:21" s="30" customFormat="1" ht="24.6" hidden="1" outlineLevel="1" x14ac:dyDescent="0.55000000000000004">
      <c r="A3156" s="27" t="s">
        <v>327</v>
      </c>
      <c r="B3156" s="28"/>
      <c r="C3156" s="27"/>
      <c r="D3156" s="27" t="str">
        <f>"""NAV Direct"",""CRONUS JetCorp USA"",""21"",""1"",""341563"""</f>
        <v>"NAV Direct","CRONUS JetCorp USA","21","1","341563"</v>
      </c>
      <c r="E3156" s="31" t="str">
        <f t="shared" si="960"/>
        <v>C100097</v>
      </c>
      <c r="F3156" s="31"/>
      <c r="G3156" s="31"/>
      <c r="H3156" s="31"/>
      <c r="I3156" s="56"/>
      <c r="J3156" s="56"/>
      <c r="K3156" s="82" t="str">
        <f t="shared" si="961"/>
        <v>Invoice</v>
      </c>
      <c r="L3156" s="83" t="str">
        <f>"SI_110763"</f>
        <v>SI_110763</v>
      </c>
      <c r="M3156" s="84">
        <v>43125</v>
      </c>
      <c r="N3156" s="85">
        <f t="shared" si="962"/>
        <v>687</v>
      </c>
      <c r="O3156" s="86">
        <f t="shared" si="963"/>
        <v>19085.05</v>
      </c>
      <c r="P3156" s="86">
        <f t="shared" si="964"/>
        <v>0</v>
      </c>
      <c r="Q3156" s="86">
        <f t="shared" si="965"/>
        <v>0</v>
      </c>
      <c r="R3156" s="86">
        <f t="shared" si="966"/>
        <v>0</v>
      </c>
      <c r="S3156" s="86">
        <f t="shared" si="967"/>
        <v>0</v>
      </c>
      <c r="T3156" s="86">
        <f t="shared" si="968"/>
        <v>19085.05</v>
      </c>
      <c r="U3156" s="87">
        <v>19085.05</v>
      </c>
    </row>
    <row r="3157" spans="1:21" s="30" customFormat="1" ht="24.6" hidden="1" outlineLevel="1" x14ac:dyDescent="0.55000000000000004">
      <c r="A3157" s="27" t="s">
        <v>327</v>
      </c>
      <c r="B3157" s="28"/>
      <c r="C3157" s="27"/>
      <c r="D3157" s="27" t="str">
        <f>"""NAV Direct"",""CRONUS JetCorp USA"",""21"",""1"",""341602"""</f>
        <v>"NAV Direct","CRONUS JetCorp USA","21","1","341602"</v>
      </c>
      <c r="E3157" s="31">
        <f t="shared" si="960"/>
        <v>0</v>
      </c>
      <c r="F3157" s="31"/>
      <c r="G3157" s="31"/>
      <c r="H3157" s="31"/>
      <c r="I3157" s="56"/>
      <c r="J3157" s="56"/>
      <c r="K3157" s="82" t="str">
        <f t="shared" si="961"/>
        <v>Invoice</v>
      </c>
      <c r="L3157" s="83" t="str">
        <f>"SI_110764"</f>
        <v>SI_110764</v>
      </c>
      <c r="M3157" s="84">
        <v>43122</v>
      </c>
      <c r="N3157" s="85">
        <f t="shared" si="962"/>
        <v>690</v>
      </c>
      <c r="O3157" s="86">
        <f t="shared" si="963"/>
        <v>19694.39</v>
      </c>
      <c r="P3157" s="86">
        <f t="shared" si="964"/>
        <v>0</v>
      </c>
      <c r="Q3157" s="86">
        <f t="shared" si="965"/>
        <v>0</v>
      </c>
      <c r="R3157" s="86">
        <f t="shared" si="966"/>
        <v>0</v>
      </c>
      <c r="S3157" s="86">
        <f t="shared" si="967"/>
        <v>0</v>
      </c>
      <c r="T3157" s="86">
        <f t="shared" si="968"/>
        <v>19694.39</v>
      </c>
      <c r="U3157" s="87">
        <v>19694.39</v>
      </c>
    </row>
    <row r="3158" spans="1:21" s="30" customFormat="1" ht="24.6" hidden="1" outlineLevel="1" x14ac:dyDescent="0.55000000000000004">
      <c r="A3158" s="27" t="s">
        <v>327</v>
      </c>
      <c r="B3158" s="28"/>
      <c r="C3158" s="27"/>
      <c r="D3158" s="27" t="str">
        <f>"""NAV Direct"",""CRONUS JetCorp USA"",""21"",""1"",""342181"""</f>
        <v>"NAV Direct","CRONUS JetCorp USA","21","1","342181"</v>
      </c>
      <c r="E3158" s="31" t="str">
        <f t="shared" si="960"/>
        <v>C100097</v>
      </c>
      <c r="F3158" s="31"/>
      <c r="G3158" s="31"/>
      <c r="H3158" s="31"/>
      <c r="I3158" s="56"/>
      <c r="J3158" s="56"/>
      <c r="K3158" s="82" t="str">
        <f t="shared" si="961"/>
        <v>Invoice</v>
      </c>
      <c r="L3158" s="83" t="str">
        <f>"SI_110779"</f>
        <v>SI_110779</v>
      </c>
      <c r="M3158" s="84">
        <v>43196</v>
      </c>
      <c r="N3158" s="85">
        <f t="shared" si="962"/>
        <v>616</v>
      </c>
      <c r="O3158" s="86">
        <f t="shared" si="963"/>
        <v>19205.37</v>
      </c>
      <c r="P3158" s="86">
        <f t="shared" si="964"/>
        <v>0</v>
      </c>
      <c r="Q3158" s="86">
        <f t="shared" si="965"/>
        <v>0</v>
      </c>
      <c r="R3158" s="86">
        <f t="shared" si="966"/>
        <v>0</v>
      </c>
      <c r="S3158" s="86">
        <f t="shared" si="967"/>
        <v>0</v>
      </c>
      <c r="T3158" s="86">
        <f t="shared" si="968"/>
        <v>19205.37</v>
      </c>
      <c r="U3158" s="87">
        <v>19205.37</v>
      </c>
    </row>
    <row r="3159" spans="1:21" s="30" customFormat="1" ht="24.6" hidden="1" outlineLevel="1" x14ac:dyDescent="0.55000000000000004">
      <c r="A3159" s="27" t="s">
        <v>327</v>
      </c>
      <c r="B3159" s="28"/>
      <c r="C3159" s="27"/>
      <c r="D3159" s="27" t="str">
        <f>"""NAV Direct"",""CRONUS JetCorp USA"",""21"",""1"",""342803"""</f>
        <v>"NAV Direct","CRONUS JetCorp USA","21","1","342803"</v>
      </c>
      <c r="E3159" s="31">
        <f t="shared" si="960"/>
        <v>0</v>
      </c>
      <c r="F3159" s="31"/>
      <c r="G3159" s="31"/>
      <c r="H3159" s="31"/>
      <c r="I3159" s="56"/>
      <c r="J3159" s="56"/>
      <c r="K3159" s="82" t="str">
        <f t="shared" si="961"/>
        <v>Invoice</v>
      </c>
      <c r="L3159" s="83" t="str">
        <f>"SI_110795"</f>
        <v>SI_110795</v>
      </c>
      <c r="M3159" s="84">
        <v>43271</v>
      </c>
      <c r="N3159" s="85">
        <f t="shared" si="962"/>
        <v>541</v>
      </c>
      <c r="O3159" s="86">
        <f t="shared" si="963"/>
        <v>20632.3</v>
      </c>
      <c r="P3159" s="86">
        <f t="shared" si="964"/>
        <v>0</v>
      </c>
      <c r="Q3159" s="86">
        <f t="shared" si="965"/>
        <v>0</v>
      </c>
      <c r="R3159" s="86">
        <f t="shared" si="966"/>
        <v>0</v>
      </c>
      <c r="S3159" s="86">
        <f t="shared" si="967"/>
        <v>0</v>
      </c>
      <c r="T3159" s="86">
        <f t="shared" si="968"/>
        <v>20632.3</v>
      </c>
      <c r="U3159" s="87">
        <v>20632.3</v>
      </c>
    </row>
    <row r="3160" spans="1:21" s="30" customFormat="1" ht="24.6" hidden="1" outlineLevel="1" x14ac:dyDescent="0.55000000000000004">
      <c r="A3160" s="27" t="s">
        <v>327</v>
      </c>
      <c r="B3160" s="28"/>
      <c r="C3160" s="27"/>
      <c r="D3160" s="27" t="str">
        <f>"""NAV Direct"",""CRONUS JetCorp USA"",""21"",""1"",""343111"""</f>
        <v>"NAV Direct","CRONUS JetCorp USA","21","1","343111"</v>
      </c>
      <c r="E3160" s="31" t="str">
        <f t="shared" si="960"/>
        <v>C100097</v>
      </c>
      <c r="F3160" s="31"/>
      <c r="G3160" s="31"/>
      <c r="H3160" s="31"/>
      <c r="I3160" s="56"/>
      <c r="J3160" s="56"/>
      <c r="K3160" s="82" t="str">
        <f t="shared" si="961"/>
        <v>Invoice</v>
      </c>
      <c r="L3160" s="83" t="str">
        <f>"SI_110803"</f>
        <v>SI_110803</v>
      </c>
      <c r="M3160" s="84">
        <v>43288</v>
      </c>
      <c r="N3160" s="85">
        <f t="shared" si="962"/>
        <v>524</v>
      </c>
      <c r="O3160" s="86">
        <f t="shared" si="963"/>
        <v>20844.68</v>
      </c>
      <c r="P3160" s="86">
        <f t="shared" si="964"/>
        <v>0</v>
      </c>
      <c r="Q3160" s="86">
        <f t="shared" si="965"/>
        <v>0</v>
      </c>
      <c r="R3160" s="86">
        <f t="shared" si="966"/>
        <v>0</v>
      </c>
      <c r="S3160" s="86">
        <f t="shared" si="967"/>
        <v>0</v>
      </c>
      <c r="T3160" s="86">
        <f t="shared" si="968"/>
        <v>20844.68</v>
      </c>
      <c r="U3160" s="87">
        <v>20844.68</v>
      </c>
    </row>
    <row r="3161" spans="1:21" s="30" customFormat="1" ht="24.6" hidden="1" outlineLevel="1" x14ac:dyDescent="0.55000000000000004">
      <c r="A3161" s="27" t="s">
        <v>327</v>
      </c>
      <c r="B3161" s="28"/>
      <c r="C3161" s="27"/>
      <c r="D3161" s="27" t="str">
        <f>"""NAV Direct"",""CRONUS JetCorp USA"",""21"",""1"",""343199"""</f>
        <v>"NAV Direct","CRONUS JetCorp USA","21","1","343199"</v>
      </c>
      <c r="E3161" s="31">
        <f t="shared" si="960"/>
        <v>0</v>
      </c>
      <c r="F3161" s="31"/>
      <c r="G3161" s="31"/>
      <c r="H3161" s="31"/>
      <c r="I3161" s="56"/>
      <c r="J3161" s="56"/>
      <c r="K3161" s="82" t="str">
        <f t="shared" si="961"/>
        <v>Invoice</v>
      </c>
      <c r="L3161" s="83" t="str">
        <f>"SI_110805"</f>
        <v>SI_110805</v>
      </c>
      <c r="M3161" s="84">
        <v>43293</v>
      </c>
      <c r="N3161" s="85">
        <f t="shared" si="962"/>
        <v>519</v>
      </c>
      <c r="O3161" s="86">
        <f t="shared" si="963"/>
        <v>19474.32</v>
      </c>
      <c r="P3161" s="86">
        <f t="shared" si="964"/>
        <v>0</v>
      </c>
      <c r="Q3161" s="86">
        <f t="shared" si="965"/>
        <v>0</v>
      </c>
      <c r="R3161" s="86">
        <f t="shared" si="966"/>
        <v>0</v>
      </c>
      <c r="S3161" s="86">
        <f t="shared" si="967"/>
        <v>0</v>
      </c>
      <c r="T3161" s="86">
        <f t="shared" si="968"/>
        <v>19474.32</v>
      </c>
      <c r="U3161" s="87">
        <v>19474.32</v>
      </c>
    </row>
    <row r="3162" spans="1:21" s="30" customFormat="1" ht="24.6" hidden="1" outlineLevel="1" x14ac:dyDescent="0.55000000000000004">
      <c r="A3162" s="27" t="s">
        <v>327</v>
      </c>
      <c r="B3162" s="28"/>
      <c r="C3162" s="27"/>
      <c r="D3162" s="27" t="str">
        <f>"""NAV Direct"",""CRONUS JetCorp USA"",""21"",""1"",""343723"""</f>
        <v>"NAV Direct","CRONUS JetCorp USA","21","1","343723"</v>
      </c>
      <c r="E3162" s="31" t="str">
        <f t="shared" ref="E3162:E3185" si="969">E3160</f>
        <v>C100097</v>
      </c>
      <c r="F3162" s="31"/>
      <c r="G3162" s="31"/>
      <c r="H3162" s="31"/>
      <c r="I3162" s="56"/>
      <c r="J3162" s="56"/>
      <c r="K3162" s="82" t="str">
        <f t="shared" ref="K3162:K3185" si="970">"Invoice"</f>
        <v>Invoice</v>
      </c>
      <c r="L3162" s="83" t="str">
        <f>"SI_110819"</f>
        <v>SI_110819</v>
      </c>
      <c r="M3162" s="84">
        <v>43369</v>
      </c>
      <c r="N3162" s="85">
        <f t="shared" ref="N3162:N3185" si="971">StartDate-$M3162+1</f>
        <v>443</v>
      </c>
      <c r="O3162" s="86">
        <f t="shared" ref="O3162:O3185" si="972">SUM(P3162:T3162)</f>
        <v>17995.55</v>
      </c>
      <c r="P3162" s="86">
        <f t="shared" ref="P3162:P3185" si="973">IF($M3162&gt;=$P$18,U3162,0)</f>
        <v>0</v>
      </c>
      <c r="Q3162" s="86">
        <f t="shared" ref="Q3162:Q3185" si="974">IF(AND($M3162&gt;=$Q$16,$M3162&lt;=$Q$18),U3162,0)</f>
        <v>0</v>
      </c>
      <c r="R3162" s="86">
        <f t="shared" ref="R3162:R3185" si="975">IF(AND($M3162&gt;=$R$16,$M3162&lt;=$R$18),U3162,0)</f>
        <v>0</v>
      </c>
      <c r="S3162" s="86">
        <f t="shared" ref="S3162:S3185" si="976">IF(AND($M3162&gt;=$S$16,$M3162&lt;=$S$18),U3162,0)</f>
        <v>0</v>
      </c>
      <c r="T3162" s="86">
        <f t="shared" ref="T3162:T3185" si="977">IF($M3162&lt;=$T$18,U3162,0)</f>
        <v>17995.55</v>
      </c>
      <c r="U3162" s="87">
        <v>17995.55</v>
      </c>
    </row>
    <row r="3163" spans="1:21" s="30" customFormat="1" ht="24.6" hidden="1" outlineLevel="1" x14ac:dyDescent="0.55000000000000004">
      <c r="A3163" s="27" t="s">
        <v>327</v>
      </c>
      <c r="B3163" s="28"/>
      <c r="C3163" s="27"/>
      <c r="D3163" s="27" t="str">
        <f>"""NAV Direct"",""CRONUS JetCorp USA"",""21"",""1"",""343879"""</f>
        <v>"NAV Direct","CRONUS JetCorp USA","21","1","343879"</v>
      </c>
      <c r="E3163" s="31">
        <f t="shared" si="969"/>
        <v>0</v>
      </c>
      <c r="F3163" s="31"/>
      <c r="G3163" s="31"/>
      <c r="H3163" s="31"/>
      <c r="I3163" s="56"/>
      <c r="J3163" s="56"/>
      <c r="K3163" s="82" t="str">
        <f t="shared" si="970"/>
        <v>Invoice</v>
      </c>
      <c r="L3163" s="83" t="str">
        <f>"SI_110823"</f>
        <v>SI_110823</v>
      </c>
      <c r="M3163" s="84">
        <v>43367</v>
      </c>
      <c r="N3163" s="85">
        <f t="shared" si="971"/>
        <v>445</v>
      </c>
      <c r="O3163" s="86">
        <f t="shared" si="972"/>
        <v>19379.78</v>
      </c>
      <c r="P3163" s="86">
        <f t="shared" si="973"/>
        <v>0</v>
      </c>
      <c r="Q3163" s="86">
        <f t="shared" si="974"/>
        <v>0</v>
      </c>
      <c r="R3163" s="86">
        <f t="shared" si="975"/>
        <v>0</v>
      </c>
      <c r="S3163" s="86">
        <f t="shared" si="976"/>
        <v>0</v>
      </c>
      <c r="T3163" s="86">
        <f t="shared" si="977"/>
        <v>19379.78</v>
      </c>
      <c r="U3163" s="87">
        <v>19379.78</v>
      </c>
    </row>
    <row r="3164" spans="1:21" s="30" customFormat="1" ht="24.6" hidden="1" outlineLevel="1" x14ac:dyDescent="0.55000000000000004">
      <c r="A3164" s="27" t="s">
        <v>327</v>
      </c>
      <c r="B3164" s="28"/>
      <c r="C3164" s="27"/>
      <c r="D3164" s="27" t="str">
        <f>"""NAV Direct"",""CRONUS JetCorp USA"",""21"",""1"",""344193"""</f>
        <v>"NAV Direct","CRONUS JetCorp USA","21","1","344193"</v>
      </c>
      <c r="E3164" s="31" t="str">
        <f t="shared" si="969"/>
        <v>C100097</v>
      </c>
      <c r="F3164" s="31"/>
      <c r="G3164" s="31"/>
      <c r="H3164" s="31"/>
      <c r="I3164" s="56"/>
      <c r="J3164" s="56"/>
      <c r="K3164" s="82" t="str">
        <f t="shared" si="970"/>
        <v>Invoice</v>
      </c>
      <c r="L3164" s="83" t="str">
        <f>"SI_110831"</f>
        <v>SI_110831</v>
      </c>
      <c r="M3164" s="84">
        <v>43398</v>
      </c>
      <c r="N3164" s="85">
        <f t="shared" si="971"/>
        <v>414</v>
      </c>
      <c r="O3164" s="86">
        <f t="shared" si="972"/>
        <v>20019.280000000002</v>
      </c>
      <c r="P3164" s="86">
        <f t="shared" si="973"/>
        <v>0</v>
      </c>
      <c r="Q3164" s="86">
        <f t="shared" si="974"/>
        <v>0</v>
      </c>
      <c r="R3164" s="86">
        <f t="shared" si="975"/>
        <v>0</v>
      </c>
      <c r="S3164" s="86">
        <f t="shared" si="976"/>
        <v>0</v>
      </c>
      <c r="T3164" s="86">
        <f t="shared" si="977"/>
        <v>20019.280000000002</v>
      </c>
      <c r="U3164" s="87">
        <v>20019.280000000002</v>
      </c>
    </row>
    <row r="3165" spans="1:21" s="30" customFormat="1" ht="24.6" hidden="1" outlineLevel="1" x14ac:dyDescent="0.55000000000000004">
      <c r="A3165" s="27" t="s">
        <v>327</v>
      </c>
      <c r="B3165" s="28"/>
      <c r="C3165" s="27"/>
      <c r="D3165" s="27" t="str">
        <f>"""NAV Direct"",""CRONUS JetCorp USA"",""21"",""1"",""344646"""</f>
        <v>"NAV Direct","CRONUS JetCorp USA","21","1","344646"</v>
      </c>
      <c r="E3165" s="31">
        <f t="shared" si="969"/>
        <v>0</v>
      </c>
      <c r="F3165" s="31"/>
      <c r="G3165" s="31"/>
      <c r="H3165" s="31"/>
      <c r="I3165" s="56"/>
      <c r="J3165" s="56"/>
      <c r="K3165" s="82" t="str">
        <f t="shared" si="970"/>
        <v>Invoice</v>
      </c>
      <c r="L3165" s="83" t="str">
        <f>"SI_110842"</f>
        <v>SI_110842</v>
      </c>
      <c r="M3165" s="84">
        <v>43454</v>
      </c>
      <c r="N3165" s="85">
        <f t="shared" si="971"/>
        <v>358</v>
      </c>
      <c r="O3165" s="86">
        <f t="shared" si="972"/>
        <v>19138.54</v>
      </c>
      <c r="P3165" s="86">
        <f t="shared" si="973"/>
        <v>0</v>
      </c>
      <c r="Q3165" s="86">
        <f t="shared" si="974"/>
        <v>0</v>
      </c>
      <c r="R3165" s="86">
        <f t="shared" si="975"/>
        <v>0</v>
      </c>
      <c r="S3165" s="86">
        <f t="shared" si="976"/>
        <v>0</v>
      </c>
      <c r="T3165" s="86">
        <f t="shared" si="977"/>
        <v>19138.54</v>
      </c>
      <c r="U3165" s="87">
        <v>19138.54</v>
      </c>
    </row>
    <row r="3166" spans="1:21" s="30" customFormat="1" ht="24.6" hidden="1" outlineLevel="1" x14ac:dyDescent="0.55000000000000004">
      <c r="A3166" s="27" t="s">
        <v>327</v>
      </c>
      <c r="B3166" s="28"/>
      <c r="C3166" s="27"/>
      <c r="D3166" s="27" t="str">
        <f>"""NAV Direct"",""CRONUS JetCorp USA"",""21"",""1"",""344730"""</f>
        <v>"NAV Direct","CRONUS JetCorp USA","21","1","344730"</v>
      </c>
      <c r="E3166" s="31" t="str">
        <f t="shared" si="969"/>
        <v>C100097</v>
      </c>
      <c r="F3166" s="31"/>
      <c r="G3166" s="31"/>
      <c r="H3166" s="31"/>
      <c r="I3166" s="56"/>
      <c r="J3166" s="56"/>
      <c r="K3166" s="82" t="str">
        <f t="shared" si="970"/>
        <v>Invoice</v>
      </c>
      <c r="L3166" s="83" t="str">
        <f>"SI_110844"</f>
        <v>SI_110844</v>
      </c>
      <c r="M3166" s="84">
        <v>43457</v>
      </c>
      <c r="N3166" s="85">
        <f t="shared" si="971"/>
        <v>355</v>
      </c>
      <c r="O3166" s="86">
        <f t="shared" si="972"/>
        <v>19353.53</v>
      </c>
      <c r="P3166" s="86">
        <f t="shared" si="973"/>
        <v>0</v>
      </c>
      <c r="Q3166" s="86">
        <f t="shared" si="974"/>
        <v>0</v>
      </c>
      <c r="R3166" s="86">
        <f t="shared" si="975"/>
        <v>0</v>
      </c>
      <c r="S3166" s="86">
        <f t="shared" si="976"/>
        <v>0</v>
      </c>
      <c r="T3166" s="86">
        <f t="shared" si="977"/>
        <v>19353.53</v>
      </c>
      <c r="U3166" s="87">
        <v>19353.53</v>
      </c>
    </row>
    <row r="3167" spans="1:21" s="30" customFormat="1" ht="24.6" hidden="1" outlineLevel="1" x14ac:dyDescent="0.55000000000000004">
      <c r="A3167" s="27" t="s">
        <v>327</v>
      </c>
      <c r="B3167" s="28"/>
      <c r="C3167" s="27"/>
      <c r="D3167" s="27" t="str">
        <f>"""NAV Direct"",""CRONUS JetCorp USA"",""21"",""1"",""345247"""</f>
        <v>"NAV Direct","CRONUS JetCorp USA","21","1","345247"</v>
      </c>
      <c r="E3167" s="31">
        <f t="shared" si="969"/>
        <v>0</v>
      </c>
      <c r="F3167" s="31"/>
      <c r="G3167" s="31"/>
      <c r="H3167" s="31"/>
      <c r="I3167" s="56"/>
      <c r="J3167" s="56"/>
      <c r="K3167" s="82" t="str">
        <f t="shared" si="970"/>
        <v>Invoice</v>
      </c>
      <c r="L3167" s="83" t="str">
        <f>"SI_110857"</f>
        <v>SI_110857</v>
      </c>
      <c r="M3167" s="84">
        <v>43492</v>
      </c>
      <c r="N3167" s="85">
        <f t="shared" si="971"/>
        <v>320</v>
      </c>
      <c r="O3167" s="86">
        <f t="shared" si="972"/>
        <v>18908.07</v>
      </c>
      <c r="P3167" s="86">
        <f t="shared" si="973"/>
        <v>0</v>
      </c>
      <c r="Q3167" s="86">
        <f t="shared" si="974"/>
        <v>0</v>
      </c>
      <c r="R3167" s="86">
        <f t="shared" si="975"/>
        <v>0</v>
      </c>
      <c r="S3167" s="86">
        <f t="shared" si="976"/>
        <v>0</v>
      </c>
      <c r="T3167" s="86">
        <f t="shared" si="977"/>
        <v>18908.07</v>
      </c>
      <c r="U3167" s="87">
        <v>18908.07</v>
      </c>
    </row>
    <row r="3168" spans="1:21" s="30" customFormat="1" ht="24.6" hidden="1" outlineLevel="1" x14ac:dyDescent="0.55000000000000004">
      <c r="A3168" s="27" t="s">
        <v>327</v>
      </c>
      <c r="B3168" s="28"/>
      <c r="C3168" s="27"/>
      <c r="D3168" s="27" t="str">
        <f>"""NAV Direct"",""CRONUS JetCorp USA"",""21"",""1"",""345434"""</f>
        <v>"NAV Direct","CRONUS JetCorp USA","21","1","345434"</v>
      </c>
      <c r="E3168" s="31" t="str">
        <f t="shared" si="969"/>
        <v>C100097</v>
      </c>
      <c r="F3168" s="31"/>
      <c r="G3168" s="31"/>
      <c r="H3168" s="31"/>
      <c r="I3168" s="56"/>
      <c r="J3168" s="56"/>
      <c r="K3168" s="82" t="str">
        <f t="shared" si="970"/>
        <v>Invoice</v>
      </c>
      <c r="L3168" s="83" t="str">
        <f>"SI_110862"</f>
        <v>SI_110862</v>
      </c>
      <c r="M3168" s="84">
        <v>43518</v>
      </c>
      <c r="N3168" s="85">
        <f t="shared" si="971"/>
        <v>294</v>
      </c>
      <c r="O3168" s="86">
        <f t="shared" si="972"/>
        <v>19154.940000000002</v>
      </c>
      <c r="P3168" s="86">
        <f t="shared" si="973"/>
        <v>0</v>
      </c>
      <c r="Q3168" s="86">
        <f t="shared" si="974"/>
        <v>0</v>
      </c>
      <c r="R3168" s="86">
        <f t="shared" si="975"/>
        <v>0</v>
      </c>
      <c r="S3168" s="86">
        <f t="shared" si="976"/>
        <v>0</v>
      </c>
      <c r="T3168" s="86">
        <f t="shared" si="977"/>
        <v>19154.940000000002</v>
      </c>
      <c r="U3168" s="87">
        <v>19154.940000000002</v>
      </c>
    </row>
    <row r="3169" spans="1:21" s="30" customFormat="1" ht="24.6" hidden="1" outlineLevel="1" x14ac:dyDescent="0.55000000000000004">
      <c r="A3169" s="27" t="s">
        <v>327</v>
      </c>
      <c r="B3169" s="28"/>
      <c r="C3169" s="27"/>
      <c r="D3169" s="27" t="str">
        <f>"""NAV Direct"",""CRONUS JetCorp USA"",""21"",""1"",""345844"""</f>
        <v>"NAV Direct","CRONUS JetCorp USA","21","1","345844"</v>
      </c>
      <c r="E3169" s="31">
        <f t="shared" si="969"/>
        <v>0</v>
      </c>
      <c r="F3169" s="31"/>
      <c r="G3169" s="31"/>
      <c r="H3169" s="31"/>
      <c r="I3169" s="56"/>
      <c r="J3169" s="56"/>
      <c r="K3169" s="82" t="str">
        <f t="shared" si="970"/>
        <v>Invoice</v>
      </c>
      <c r="L3169" s="83" t="str">
        <f>"SI_110872"</f>
        <v>SI_110872</v>
      </c>
      <c r="M3169" s="84">
        <v>43551</v>
      </c>
      <c r="N3169" s="85">
        <f t="shared" si="971"/>
        <v>261</v>
      </c>
      <c r="O3169" s="86">
        <f t="shared" si="972"/>
        <v>19933.39</v>
      </c>
      <c r="P3169" s="86">
        <f t="shared" si="973"/>
        <v>0</v>
      </c>
      <c r="Q3169" s="86">
        <f t="shared" si="974"/>
        <v>0</v>
      </c>
      <c r="R3169" s="86">
        <f t="shared" si="975"/>
        <v>0</v>
      </c>
      <c r="S3169" s="86">
        <f t="shared" si="976"/>
        <v>0</v>
      </c>
      <c r="T3169" s="86">
        <f t="shared" si="977"/>
        <v>19933.39</v>
      </c>
      <c r="U3169" s="87">
        <v>19933.39</v>
      </c>
    </row>
    <row r="3170" spans="1:21" s="30" customFormat="1" ht="24.6" hidden="1" outlineLevel="1" x14ac:dyDescent="0.55000000000000004">
      <c r="A3170" s="27" t="s">
        <v>327</v>
      </c>
      <c r="B3170" s="28"/>
      <c r="C3170" s="27"/>
      <c r="D3170" s="27" t="str">
        <f>"""NAV Direct"",""CRONUS JetCorp USA"",""21"",""1"",""346256"""</f>
        <v>"NAV Direct","CRONUS JetCorp USA","21","1","346256"</v>
      </c>
      <c r="E3170" s="31" t="str">
        <f t="shared" si="969"/>
        <v>C100097</v>
      </c>
      <c r="F3170" s="31"/>
      <c r="G3170" s="31"/>
      <c r="H3170" s="31"/>
      <c r="I3170" s="56"/>
      <c r="J3170" s="56"/>
      <c r="K3170" s="82" t="str">
        <f t="shared" si="970"/>
        <v>Invoice</v>
      </c>
      <c r="L3170" s="83" t="str">
        <f>"SI_110882"</f>
        <v>SI_110882</v>
      </c>
      <c r="M3170" s="84">
        <v>43587</v>
      </c>
      <c r="N3170" s="85">
        <f t="shared" si="971"/>
        <v>225</v>
      </c>
      <c r="O3170" s="86">
        <f t="shared" si="972"/>
        <v>19415.560000000001</v>
      </c>
      <c r="P3170" s="86">
        <f t="shared" si="973"/>
        <v>0</v>
      </c>
      <c r="Q3170" s="86">
        <f t="shared" si="974"/>
        <v>0</v>
      </c>
      <c r="R3170" s="86">
        <f t="shared" si="975"/>
        <v>0</v>
      </c>
      <c r="S3170" s="86">
        <f t="shared" si="976"/>
        <v>0</v>
      </c>
      <c r="T3170" s="86">
        <f t="shared" si="977"/>
        <v>19415.560000000001</v>
      </c>
      <c r="U3170" s="87">
        <v>19415.560000000001</v>
      </c>
    </row>
    <row r="3171" spans="1:21" s="30" customFormat="1" ht="24.6" hidden="1" outlineLevel="1" x14ac:dyDescent="0.55000000000000004">
      <c r="A3171" s="27" t="s">
        <v>327</v>
      </c>
      <c r="B3171" s="28"/>
      <c r="C3171" s="27"/>
      <c r="D3171" s="27" t="str">
        <f>"""NAV Direct"",""CRONUS JetCorp USA"",""21"",""1"",""346479"""</f>
        <v>"NAV Direct","CRONUS JetCorp USA","21","1","346479"</v>
      </c>
      <c r="E3171" s="31">
        <f t="shared" si="969"/>
        <v>0</v>
      </c>
      <c r="F3171" s="31"/>
      <c r="G3171" s="31"/>
      <c r="H3171" s="31"/>
      <c r="I3171" s="56"/>
      <c r="J3171" s="56"/>
      <c r="K3171" s="82" t="str">
        <f t="shared" si="970"/>
        <v>Invoice</v>
      </c>
      <c r="L3171" s="83" t="str">
        <f>"SI_110887"</f>
        <v>SI_110887</v>
      </c>
      <c r="M3171" s="84">
        <v>43614</v>
      </c>
      <c r="N3171" s="85">
        <f t="shared" si="971"/>
        <v>198</v>
      </c>
      <c r="O3171" s="86">
        <f t="shared" si="972"/>
        <v>21220.71</v>
      </c>
      <c r="P3171" s="86">
        <f t="shared" si="973"/>
        <v>0</v>
      </c>
      <c r="Q3171" s="86">
        <f t="shared" si="974"/>
        <v>0</v>
      </c>
      <c r="R3171" s="86">
        <f t="shared" si="975"/>
        <v>0</v>
      </c>
      <c r="S3171" s="86">
        <f t="shared" si="976"/>
        <v>0</v>
      </c>
      <c r="T3171" s="86">
        <f t="shared" si="977"/>
        <v>21220.71</v>
      </c>
      <c r="U3171" s="87">
        <v>21220.71</v>
      </c>
    </row>
    <row r="3172" spans="1:21" s="30" customFormat="1" ht="24.6" hidden="1" outlineLevel="1" x14ac:dyDescent="0.55000000000000004">
      <c r="A3172" s="27" t="s">
        <v>327</v>
      </c>
      <c r="B3172" s="28"/>
      <c r="C3172" s="27"/>
      <c r="D3172" s="27" t="str">
        <f>"""NAV Direct"",""CRONUS JetCorp USA"",""21"",""1"",""346522"""</f>
        <v>"NAV Direct","CRONUS JetCorp USA","21","1","346522"</v>
      </c>
      <c r="E3172" s="31" t="str">
        <f t="shared" si="969"/>
        <v>C100097</v>
      </c>
      <c r="F3172" s="31"/>
      <c r="G3172" s="31"/>
      <c r="H3172" s="31"/>
      <c r="I3172" s="56"/>
      <c r="J3172" s="56"/>
      <c r="K3172" s="82" t="str">
        <f t="shared" si="970"/>
        <v>Invoice</v>
      </c>
      <c r="L3172" s="83" t="str">
        <f>"SI_110888"</f>
        <v>SI_110888</v>
      </c>
      <c r="M3172" s="84">
        <v>43617</v>
      </c>
      <c r="N3172" s="85">
        <f t="shared" si="971"/>
        <v>195</v>
      </c>
      <c r="O3172" s="86">
        <f t="shared" si="972"/>
        <v>19704.91</v>
      </c>
      <c r="P3172" s="86">
        <f t="shared" si="973"/>
        <v>0</v>
      </c>
      <c r="Q3172" s="86">
        <f t="shared" si="974"/>
        <v>0</v>
      </c>
      <c r="R3172" s="86">
        <f t="shared" si="975"/>
        <v>0</v>
      </c>
      <c r="S3172" s="86">
        <f t="shared" si="976"/>
        <v>0</v>
      </c>
      <c r="T3172" s="86">
        <f t="shared" si="977"/>
        <v>19704.91</v>
      </c>
      <c r="U3172" s="87">
        <v>19704.91</v>
      </c>
    </row>
    <row r="3173" spans="1:21" s="30" customFormat="1" ht="24.6" hidden="1" outlineLevel="1" x14ac:dyDescent="0.55000000000000004">
      <c r="A3173" s="27" t="s">
        <v>327</v>
      </c>
      <c r="B3173" s="28"/>
      <c r="C3173" s="27"/>
      <c r="D3173" s="27" t="str">
        <f>"""NAV Direct"",""CRONUS JetCorp USA"",""21"",""1"",""346643"""</f>
        <v>"NAV Direct","CRONUS JetCorp USA","21","1","346643"</v>
      </c>
      <c r="E3173" s="31">
        <f t="shared" si="969"/>
        <v>0</v>
      </c>
      <c r="F3173" s="31"/>
      <c r="G3173" s="31"/>
      <c r="H3173" s="31"/>
      <c r="I3173" s="56"/>
      <c r="J3173" s="56"/>
      <c r="K3173" s="82" t="str">
        <f t="shared" si="970"/>
        <v>Invoice</v>
      </c>
      <c r="L3173" s="83" t="str">
        <f>"SI_110891"</f>
        <v>SI_110891</v>
      </c>
      <c r="M3173" s="84">
        <v>43631</v>
      </c>
      <c r="N3173" s="85">
        <f t="shared" si="971"/>
        <v>181</v>
      </c>
      <c r="O3173" s="86">
        <f t="shared" si="972"/>
        <v>21751.38</v>
      </c>
      <c r="P3173" s="86">
        <f t="shared" si="973"/>
        <v>0</v>
      </c>
      <c r="Q3173" s="86">
        <f t="shared" si="974"/>
        <v>0</v>
      </c>
      <c r="R3173" s="86">
        <f t="shared" si="975"/>
        <v>0</v>
      </c>
      <c r="S3173" s="86">
        <f t="shared" si="976"/>
        <v>0</v>
      </c>
      <c r="T3173" s="86">
        <f t="shared" si="977"/>
        <v>21751.38</v>
      </c>
      <c r="U3173" s="87">
        <v>21751.38</v>
      </c>
    </row>
    <row r="3174" spans="1:21" s="30" customFormat="1" ht="24.6" hidden="1" outlineLevel="1" x14ac:dyDescent="0.55000000000000004">
      <c r="A3174" s="27" t="s">
        <v>327</v>
      </c>
      <c r="B3174" s="28"/>
      <c r="C3174" s="27"/>
      <c r="D3174" s="27" t="str">
        <f>"""NAV Direct"",""CRONUS JetCorp USA"",""21"",""1"",""347373"""</f>
        <v>"NAV Direct","CRONUS JetCorp USA","21","1","347373"</v>
      </c>
      <c r="E3174" s="31" t="str">
        <f t="shared" si="969"/>
        <v>C100097</v>
      </c>
      <c r="F3174" s="31"/>
      <c r="G3174" s="31"/>
      <c r="H3174" s="31"/>
      <c r="I3174" s="56"/>
      <c r="J3174" s="56"/>
      <c r="K3174" s="82" t="str">
        <f t="shared" si="970"/>
        <v>Invoice</v>
      </c>
      <c r="L3174" s="83" t="str">
        <f>"SI_110909"</f>
        <v>SI_110909</v>
      </c>
      <c r="M3174" s="84">
        <v>43695</v>
      </c>
      <c r="N3174" s="85">
        <f t="shared" si="971"/>
        <v>117</v>
      </c>
      <c r="O3174" s="86">
        <f t="shared" si="972"/>
        <v>18967.98</v>
      </c>
      <c r="P3174" s="86">
        <f t="shared" si="973"/>
        <v>0</v>
      </c>
      <c r="Q3174" s="86">
        <f t="shared" si="974"/>
        <v>0</v>
      </c>
      <c r="R3174" s="86">
        <f t="shared" si="975"/>
        <v>0</v>
      </c>
      <c r="S3174" s="86">
        <f t="shared" si="976"/>
        <v>0</v>
      </c>
      <c r="T3174" s="86">
        <f t="shared" si="977"/>
        <v>18967.98</v>
      </c>
      <c r="U3174" s="87">
        <v>18967.98</v>
      </c>
    </row>
    <row r="3175" spans="1:21" s="30" customFormat="1" ht="24.6" hidden="1" outlineLevel="1" x14ac:dyDescent="0.55000000000000004">
      <c r="A3175" s="27" t="s">
        <v>327</v>
      </c>
      <c r="B3175" s="28"/>
      <c r="C3175" s="27"/>
      <c r="D3175" s="27" t="str">
        <f>"""NAV Direct"",""CRONUS JetCorp USA"",""21"",""1"",""347416"""</f>
        <v>"NAV Direct","CRONUS JetCorp USA","21","1","347416"</v>
      </c>
      <c r="E3175" s="31">
        <f t="shared" si="969"/>
        <v>0</v>
      </c>
      <c r="F3175" s="31"/>
      <c r="G3175" s="31"/>
      <c r="H3175" s="31"/>
      <c r="I3175" s="56"/>
      <c r="J3175" s="56"/>
      <c r="K3175" s="82" t="str">
        <f t="shared" si="970"/>
        <v>Invoice</v>
      </c>
      <c r="L3175" s="83" t="str">
        <f>"SI_110910"</f>
        <v>SI_110910</v>
      </c>
      <c r="M3175" s="84">
        <v>43697</v>
      </c>
      <c r="N3175" s="85">
        <f t="shared" si="971"/>
        <v>115</v>
      </c>
      <c r="O3175" s="86">
        <f t="shared" si="972"/>
        <v>18968.12</v>
      </c>
      <c r="P3175" s="86">
        <f t="shared" si="973"/>
        <v>0</v>
      </c>
      <c r="Q3175" s="86">
        <f t="shared" si="974"/>
        <v>0</v>
      </c>
      <c r="R3175" s="86">
        <f t="shared" si="975"/>
        <v>0</v>
      </c>
      <c r="S3175" s="86">
        <f t="shared" si="976"/>
        <v>0</v>
      </c>
      <c r="T3175" s="86">
        <f t="shared" si="977"/>
        <v>18968.12</v>
      </c>
      <c r="U3175" s="87">
        <v>18968.12</v>
      </c>
    </row>
    <row r="3176" spans="1:21" s="30" customFormat="1" ht="24.6" hidden="1" outlineLevel="1" x14ac:dyDescent="0.55000000000000004">
      <c r="A3176" s="27" t="s">
        <v>327</v>
      </c>
      <c r="B3176" s="28"/>
      <c r="C3176" s="27"/>
      <c r="D3176" s="27" t="str">
        <f>"""NAV Direct"",""CRONUS JetCorp USA"",""21"",""1"",""347497"""</f>
        <v>"NAV Direct","CRONUS JetCorp USA","21","1","347497"</v>
      </c>
      <c r="E3176" s="31" t="str">
        <f t="shared" si="969"/>
        <v>C100097</v>
      </c>
      <c r="F3176" s="31"/>
      <c r="G3176" s="31"/>
      <c r="H3176" s="31"/>
      <c r="I3176" s="56"/>
      <c r="J3176" s="56"/>
      <c r="K3176" s="82" t="str">
        <f t="shared" si="970"/>
        <v>Invoice</v>
      </c>
      <c r="L3176" s="83" t="str">
        <f>"SI_110913"</f>
        <v>SI_110913</v>
      </c>
      <c r="M3176" s="84">
        <v>43701</v>
      </c>
      <c r="N3176" s="85">
        <f t="shared" si="971"/>
        <v>111</v>
      </c>
      <c r="O3176" s="86">
        <f t="shared" si="972"/>
        <v>17806.3</v>
      </c>
      <c r="P3176" s="86">
        <f t="shared" si="973"/>
        <v>0</v>
      </c>
      <c r="Q3176" s="86">
        <f t="shared" si="974"/>
        <v>0</v>
      </c>
      <c r="R3176" s="86">
        <f t="shared" si="975"/>
        <v>0</v>
      </c>
      <c r="S3176" s="86">
        <f t="shared" si="976"/>
        <v>0</v>
      </c>
      <c r="T3176" s="86">
        <f t="shared" si="977"/>
        <v>17806.3</v>
      </c>
      <c r="U3176" s="87">
        <v>17806.3</v>
      </c>
    </row>
    <row r="3177" spans="1:21" s="30" customFormat="1" ht="24.6" hidden="1" outlineLevel="1" x14ac:dyDescent="0.55000000000000004">
      <c r="A3177" s="27" t="s">
        <v>327</v>
      </c>
      <c r="B3177" s="28"/>
      <c r="C3177" s="27"/>
      <c r="D3177" s="27" t="str">
        <f>"""NAV Direct"",""CRONUS JetCorp USA"",""21"",""1"",""348241"""</f>
        <v>"NAV Direct","CRONUS JetCorp USA","21","1","348241"</v>
      </c>
      <c r="E3177" s="31">
        <f t="shared" si="969"/>
        <v>0</v>
      </c>
      <c r="F3177" s="31"/>
      <c r="G3177" s="31"/>
      <c r="H3177" s="31"/>
      <c r="I3177" s="56"/>
      <c r="J3177" s="56"/>
      <c r="K3177" s="82" t="str">
        <f t="shared" si="970"/>
        <v>Invoice</v>
      </c>
      <c r="L3177" s="83" t="str">
        <f>"SI_110931"</f>
        <v>SI_110931</v>
      </c>
      <c r="M3177" s="84">
        <v>43788</v>
      </c>
      <c r="N3177" s="85">
        <f t="shared" si="971"/>
        <v>24</v>
      </c>
      <c r="O3177" s="86">
        <f t="shared" si="972"/>
        <v>18958.43</v>
      </c>
      <c r="P3177" s="86">
        <f t="shared" si="973"/>
        <v>0</v>
      </c>
      <c r="Q3177" s="86">
        <f t="shared" si="974"/>
        <v>18958.43</v>
      </c>
      <c r="R3177" s="86">
        <f t="shared" si="975"/>
        <v>0</v>
      </c>
      <c r="S3177" s="86">
        <f t="shared" si="976"/>
        <v>0</v>
      </c>
      <c r="T3177" s="86">
        <f t="shared" si="977"/>
        <v>0</v>
      </c>
      <c r="U3177" s="87">
        <v>18958.43</v>
      </c>
    </row>
    <row r="3178" spans="1:21" s="30" customFormat="1" ht="24.6" hidden="1" outlineLevel="1" x14ac:dyDescent="0.55000000000000004">
      <c r="A3178" s="27" t="s">
        <v>327</v>
      </c>
      <c r="B3178" s="28"/>
      <c r="C3178" s="27"/>
      <c r="D3178" s="27" t="str">
        <f>"""NAV Direct"",""CRONUS JetCorp USA"",""21"",""1"",""349059"""</f>
        <v>"NAV Direct","CRONUS JetCorp USA","21","1","349059"</v>
      </c>
      <c r="E3178" s="31" t="str">
        <f t="shared" si="969"/>
        <v>C100097</v>
      </c>
      <c r="F3178" s="31"/>
      <c r="G3178" s="31"/>
      <c r="H3178" s="31"/>
      <c r="I3178" s="56"/>
      <c r="J3178" s="56"/>
      <c r="K3178" s="82" t="str">
        <f t="shared" si="970"/>
        <v>Invoice</v>
      </c>
      <c r="L3178" s="83" t="str">
        <f>"SI_110951"</f>
        <v>SI_110951</v>
      </c>
      <c r="M3178" s="84">
        <v>42028</v>
      </c>
      <c r="N3178" s="85">
        <f t="shared" si="971"/>
        <v>1784</v>
      </c>
      <c r="O3178" s="86">
        <f t="shared" si="972"/>
        <v>20092.59</v>
      </c>
      <c r="P3178" s="86">
        <f t="shared" si="973"/>
        <v>0</v>
      </c>
      <c r="Q3178" s="86">
        <f t="shared" si="974"/>
        <v>0</v>
      </c>
      <c r="R3178" s="86">
        <f t="shared" si="975"/>
        <v>0</v>
      </c>
      <c r="S3178" s="86">
        <f t="shared" si="976"/>
        <v>0</v>
      </c>
      <c r="T3178" s="86">
        <f t="shared" si="977"/>
        <v>20092.59</v>
      </c>
      <c r="U3178" s="87">
        <v>20092.59</v>
      </c>
    </row>
    <row r="3179" spans="1:21" s="30" customFormat="1" ht="24.6" hidden="1" outlineLevel="1" x14ac:dyDescent="0.55000000000000004">
      <c r="A3179" s="27" t="s">
        <v>327</v>
      </c>
      <c r="B3179" s="28"/>
      <c r="C3179" s="27"/>
      <c r="D3179" s="27" t="str">
        <f>"""NAV Direct"",""CRONUS JetCorp USA"",""21"",""1"",""349146"""</f>
        <v>"NAV Direct","CRONUS JetCorp USA","21","1","349146"</v>
      </c>
      <c r="E3179" s="31">
        <f t="shared" si="969"/>
        <v>0</v>
      </c>
      <c r="F3179" s="31"/>
      <c r="G3179" s="31"/>
      <c r="H3179" s="31"/>
      <c r="I3179" s="56"/>
      <c r="J3179" s="56"/>
      <c r="K3179" s="82" t="str">
        <f t="shared" si="970"/>
        <v>Invoice</v>
      </c>
      <c r="L3179" s="83" t="str">
        <f>"SI_110954"</f>
        <v>SI_110954</v>
      </c>
      <c r="M3179" s="84">
        <v>42052</v>
      </c>
      <c r="N3179" s="85">
        <f t="shared" si="971"/>
        <v>1760</v>
      </c>
      <c r="O3179" s="86">
        <f t="shared" si="972"/>
        <v>19851.82</v>
      </c>
      <c r="P3179" s="86">
        <f t="shared" si="973"/>
        <v>0</v>
      </c>
      <c r="Q3179" s="86">
        <f t="shared" si="974"/>
        <v>0</v>
      </c>
      <c r="R3179" s="86">
        <f t="shared" si="975"/>
        <v>0</v>
      </c>
      <c r="S3179" s="86">
        <f t="shared" si="976"/>
        <v>0</v>
      </c>
      <c r="T3179" s="86">
        <f t="shared" si="977"/>
        <v>19851.82</v>
      </c>
      <c r="U3179" s="87">
        <v>19851.82</v>
      </c>
    </row>
    <row r="3180" spans="1:21" s="30" customFormat="1" ht="24.6" hidden="1" outlineLevel="1" x14ac:dyDescent="0.55000000000000004">
      <c r="A3180" s="27" t="s">
        <v>327</v>
      </c>
      <c r="B3180" s="28"/>
      <c r="C3180" s="27"/>
      <c r="D3180" s="27" t="str">
        <f>"""NAV Direct"",""CRONUS JetCorp USA"",""21"",""1"",""349271"""</f>
        <v>"NAV Direct","CRONUS JetCorp USA","21","1","349271"</v>
      </c>
      <c r="E3180" s="31" t="str">
        <f t="shared" si="969"/>
        <v>C100097</v>
      </c>
      <c r="F3180" s="31"/>
      <c r="G3180" s="31"/>
      <c r="H3180" s="31"/>
      <c r="I3180" s="56"/>
      <c r="J3180" s="56"/>
      <c r="K3180" s="82" t="str">
        <f t="shared" si="970"/>
        <v>Invoice</v>
      </c>
      <c r="L3180" s="83" t="str">
        <f>"SI_110957"</f>
        <v>SI_110957</v>
      </c>
      <c r="M3180" s="84">
        <v>42060</v>
      </c>
      <c r="N3180" s="85">
        <f t="shared" si="971"/>
        <v>1752</v>
      </c>
      <c r="O3180" s="86">
        <f t="shared" si="972"/>
        <v>19041.11</v>
      </c>
      <c r="P3180" s="86">
        <f t="shared" si="973"/>
        <v>0</v>
      </c>
      <c r="Q3180" s="86">
        <f t="shared" si="974"/>
        <v>0</v>
      </c>
      <c r="R3180" s="86">
        <f t="shared" si="975"/>
        <v>0</v>
      </c>
      <c r="S3180" s="86">
        <f t="shared" si="976"/>
        <v>0</v>
      </c>
      <c r="T3180" s="86">
        <f t="shared" si="977"/>
        <v>19041.11</v>
      </c>
      <c r="U3180" s="87">
        <v>19041.11</v>
      </c>
    </row>
    <row r="3181" spans="1:21" s="30" customFormat="1" ht="24.6" hidden="1" outlineLevel="1" x14ac:dyDescent="0.55000000000000004">
      <c r="A3181" s="27" t="s">
        <v>327</v>
      </c>
      <c r="B3181" s="28"/>
      <c r="C3181" s="27"/>
      <c r="D3181" s="27" t="str">
        <f>"""NAV Direct"",""CRONUS JetCorp USA"",""21"",""1"",""349898"""</f>
        <v>"NAV Direct","CRONUS JetCorp USA","21","1","349898"</v>
      </c>
      <c r="E3181" s="31">
        <f t="shared" si="969"/>
        <v>0</v>
      </c>
      <c r="F3181" s="31"/>
      <c r="G3181" s="31"/>
      <c r="H3181" s="31"/>
      <c r="I3181" s="56"/>
      <c r="J3181" s="56"/>
      <c r="K3181" s="82" t="str">
        <f t="shared" si="970"/>
        <v>Invoice</v>
      </c>
      <c r="L3181" s="83" t="str">
        <f>"SI_110972"</f>
        <v>SI_110972</v>
      </c>
      <c r="M3181" s="84">
        <v>42110</v>
      </c>
      <c r="N3181" s="85">
        <f t="shared" si="971"/>
        <v>1702</v>
      </c>
      <c r="O3181" s="86">
        <f t="shared" si="972"/>
        <v>22631.280000000002</v>
      </c>
      <c r="P3181" s="86">
        <f t="shared" si="973"/>
        <v>0</v>
      </c>
      <c r="Q3181" s="86">
        <f t="shared" si="974"/>
        <v>0</v>
      </c>
      <c r="R3181" s="86">
        <f t="shared" si="975"/>
        <v>0</v>
      </c>
      <c r="S3181" s="86">
        <f t="shared" si="976"/>
        <v>0</v>
      </c>
      <c r="T3181" s="86">
        <f t="shared" si="977"/>
        <v>22631.280000000002</v>
      </c>
      <c r="U3181" s="87">
        <v>22631.280000000002</v>
      </c>
    </row>
    <row r="3182" spans="1:21" s="30" customFormat="1" ht="24.6" hidden="1" outlineLevel="1" x14ac:dyDescent="0.55000000000000004">
      <c r="A3182" s="27" t="s">
        <v>327</v>
      </c>
      <c r="B3182" s="28"/>
      <c r="C3182" s="27"/>
      <c r="D3182" s="27" t="str">
        <f>"""NAV Direct"",""CRONUS JetCorp USA"",""21"",""1"",""350052"""</f>
        <v>"NAV Direct","CRONUS JetCorp USA","21","1","350052"</v>
      </c>
      <c r="E3182" s="31" t="str">
        <f t="shared" si="969"/>
        <v>C100097</v>
      </c>
      <c r="F3182" s="31"/>
      <c r="G3182" s="31"/>
      <c r="H3182" s="31"/>
      <c r="I3182" s="56"/>
      <c r="J3182" s="56"/>
      <c r="K3182" s="82" t="str">
        <f t="shared" si="970"/>
        <v>Invoice</v>
      </c>
      <c r="L3182" s="83" t="str">
        <f>"SI_110976"</f>
        <v>SI_110976</v>
      </c>
      <c r="M3182" s="84">
        <v>42121</v>
      </c>
      <c r="N3182" s="85">
        <f t="shared" si="971"/>
        <v>1691</v>
      </c>
      <c r="O3182" s="86">
        <f t="shared" si="972"/>
        <v>22868.63</v>
      </c>
      <c r="P3182" s="86">
        <f t="shared" si="973"/>
        <v>0</v>
      </c>
      <c r="Q3182" s="86">
        <f t="shared" si="974"/>
        <v>0</v>
      </c>
      <c r="R3182" s="86">
        <f t="shared" si="975"/>
        <v>0</v>
      </c>
      <c r="S3182" s="86">
        <f t="shared" si="976"/>
        <v>0</v>
      </c>
      <c r="T3182" s="86">
        <f t="shared" si="977"/>
        <v>22868.63</v>
      </c>
      <c r="U3182" s="87">
        <v>22868.63</v>
      </c>
    </row>
    <row r="3183" spans="1:21" s="30" customFormat="1" ht="24.6" hidden="1" outlineLevel="1" x14ac:dyDescent="0.55000000000000004">
      <c r="A3183" s="27" t="s">
        <v>327</v>
      </c>
      <c r="B3183" s="28"/>
      <c r="C3183" s="27"/>
      <c r="D3183" s="27" t="str">
        <f>"""NAV Direct"",""CRONUS JetCorp USA"",""21"",""1"",""350955"""</f>
        <v>"NAV Direct","CRONUS JetCorp USA","21","1","350955"</v>
      </c>
      <c r="E3183" s="31">
        <f t="shared" si="969"/>
        <v>0</v>
      </c>
      <c r="F3183" s="31"/>
      <c r="G3183" s="31"/>
      <c r="H3183" s="31"/>
      <c r="I3183" s="56"/>
      <c r="J3183" s="56"/>
      <c r="K3183" s="82" t="str">
        <f t="shared" si="970"/>
        <v>Invoice</v>
      </c>
      <c r="L3183" s="83" t="str">
        <f>"SI_110999"</f>
        <v>SI_110999</v>
      </c>
      <c r="M3183" s="84">
        <v>42237</v>
      </c>
      <c r="N3183" s="85">
        <f t="shared" si="971"/>
        <v>1575</v>
      </c>
      <c r="O3183" s="86">
        <f t="shared" si="972"/>
        <v>19099.41</v>
      </c>
      <c r="P3183" s="86">
        <f t="shared" si="973"/>
        <v>0</v>
      </c>
      <c r="Q3183" s="86">
        <f t="shared" si="974"/>
        <v>0</v>
      </c>
      <c r="R3183" s="86">
        <f t="shared" si="975"/>
        <v>0</v>
      </c>
      <c r="S3183" s="86">
        <f t="shared" si="976"/>
        <v>0</v>
      </c>
      <c r="T3183" s="86">
        <f t="shared" si="977"/>
        <v>19099.41</v>
      </c>
      <c r="U3183" s="87">
        <v>19099.41</v>
      </c>
    </row>
    <row r="3184" spans="1:21" s="30" customFormat="1" ht="24.6" hidden="1" outlineLevel="1" x14ac:dyDescent="0.55000000000000004">
      <c r="A3184" s="27" t="s">
        <v>327</v>
      </c>
      <c r="B3184" s="28"/>
      <c r="C3184" s="27"/>
      <c r="D3184" s="27" t="str">
        <f>"""NAV Direct"",""CRONUS JetCorp USA"",""21"",""1"",""351500"""</f>
        <v>"NAV Direct","CRONUS JetCorp USA","21","1","351500"</v>
      </c>
      <c r="E3184" s="31" t="str">
        <f t="shared" si="969"/>
        <v>C100097</v>
      </c>
      <c r="F3184" s="31"/>
      <c r="G3184" s="31"/>
      <c r="H3184" s="31"/>
      <c r="I3184" s="56"/>
      <c r="J3184" s="56"/>
      <c r="K3184" s="82" t="str">
        <f t="shared" si="970"/>
        <v>Invoice</v>
      </c>
      <c r="L3184" s="83" t="str">
        <f>"SI_111012"</f>
        <v>SI_111012</v>
      </c>
      <c r="M3184" s="84">
        <v>42278</v>
      </c>
      <c r="N3184" s="85">
        <f t="shared" si="971"/>
        <v>1534</v>
      </c>
      <c r="O3184" s="86">
        <f t="shared" si="972"/>
        <v>18658.259999999998</v>
      </c>
      <c r="P3184" s="86">
        <f t="shared" si="973"/>
        <v>0</v>
      </c>
      <c r="Q3184" s="86">
        <f t="shared" si="974"/>
        <v>0</v>
      </c>
      <c r="R3184" s="86">
        <f t="shared" si="975"/>
        <v>0</v>
      </c>
      <c r="S3184" s="86">
        <f t="shared" si="976"/>
        <v>0</v>
      </c>
      <c r="T3184" s="86">
        <f t="shared" si="977"/>
        <v>18658.259999999998</v>
      </c>
      <c r="U3184" s="87">
        <v>18658.259999999998</v>
      </c>
    </row>
    <row r="3185" spans="1:22" s="30" customFormat="1" ht="24.6" hidden="1" outlineLevel="1" x14ac:dyDescent="0.55000000000000004">
      <c r="A3185" s="27" t="s">
        <v>327</v>
      </c>
      <c r="B3185" s="28"/>
      <c r="C3185" s="27"/>
      <c r="D3185" s="27" t="str">
        <f>"""NAV Direct"",""CRONUS JetCorp USA"",""21"",""1"",""351582"""</f>
        <v>"NAV Direct","CRONUS JetCorp USA","21","1","351582"</v>
      </c>
      <c r="E3185" s="31">
        <f t="shared" si="969"/>
        <v>0</v>
      </c>
      <c r="F3185" s="31"/>
      <c r="G3185" s="31"/>
      <c r="H3185" s="31"/>
      <c r="I3185" s="56"/>
      <c r="J3185" s="56"/>
      <c r="K3185" s="82" t="str">
        <f t="shared" si="970"/>
        <v>Invoice</v>
      </c>
      <c r="L3185" s="83" t="str">
        <f>"SI_111014"</f>
        <v>SI_111014</v>
      </c>
      <c r="M3185" s="84">
        <v>42294</v>
      </c>
      <c r="N3185" s="85">
        <f t="shared" si="971"/>
        <v>1518</v>
      </c>
      <c r="O3185" s="86">
        <f t="shared" si="972"/>
        <v>19001.620000000003</v>
      </c>
      <c r="P3185" s="86">
        <f t="shared" si="973"/>
        <v>0</v>
      </c>
      <c r="Q3185" s="86">
        <f t="shared" si="974"/>
        <v>0</v>
      </c>
      <c r="R3185" s="86">
        <f t="shared" si="975"/>
        <v>0</v>
      </c>
      <c r="S3185" s="86">
        <f t="shared" si="976"/>
        <v>0</v>
      </c>
      <c r="T3185" s="86">
        <f t="shared" si="977"/>
        <v>19001.620000000003</v>
      </c>
      <c r="U3185" s="87">
        <v>19001.620000000003</v>
      </c>
    </row>
    <row r="3186" spans="1:22" s="22" customFormat="1" ht="20.399999999999999" collapsed="1" x14ac:dyDescent="0.45">
      <c r="A3186" s="12" t="s">
        <v>327</v>
      </c>
      <c r="B3186" s="19"/>
      <c r="C3186" s="12"/>
      <c r="D3186" s="12"/>
      <c r="E3186" s="23"/>
      <c r="F3186" s="23"/>
      <c r="G3186" s="23"/>
      <c r="H3186" s="23"/>
      <c r="I3186" s="49"/>
      <c r="J3186" s="88"/>
      <c r="K3186" s="88"/>
      <c r="L3186" s="89"/>
      <c r="M3186" s="89"/>
      <c r="N3186" s="89"/>
      <c r="O3186" s="89"/>
      <c r="P3186" s="89"/>
      <c r="Q3186" s="90"/>
      <c r="R3186" s="90"/>
      <c r="S3186" s="91"/>
      <c r="T3186" s="92"/>
      <c r="U3186" s="92"/>
    </row>
    <row r="3187" spans="1:22" s="22" customFormat="1" ht="20.399999999999999" x14ac:dyDescent="0.45">
      <c r="A3187" s="12" t="s">
        <v>327</v>
      </c>
      <c r="B3187" s="19"/>
      <c r="C3187" s="12"/>
      <c r="D3187" s="12"/>
      <c r="E3187" s="23"/>
      <c r="F3187" s="23"/>
      <c r="G3187" s="23"/>
      <c r="H3187" s="23"/>
      <c r="I3187" s="49"/>
      <c r="J3187" s="88"/>
      <c r="K3187" s="88"/>
      <c r="L3187" s="89"/>
      <c r="M3187" s="89"/>
      <c r="N3187" s="89"/>
      <c r="O3187" s="89"/>
      <c r="P3187" s="89"/>
      <c r="Q3187" s="90"/>
      <c r="R3187" s="90"/>
      <c r="S3187" s="91"/>
      <c r="T3187" s="92"/>
      <c r="U3187" s="92"/>
    </row>
    <row r="3188" spans="1:22" s="26" customFormat="1" ht="24.6" x14ac:dyDescent="0.55000000000000004">
      <c r="A3188" s="27" t="s">
        <v>327</v>
      </c>
      <c r="B3188" s="28"/>
      <c r="C3188" s="27" t="str">
        <f>"""NAV Direct"",""CRONUS JetCorp USA"",""18"",""1"",""C100098"""</f>
        <v>"NAV Direct","CRONUS JetCorp USA","18","1","C100098"</v>
      </c>
      <c r="D3188" s="27"/>
      <c r="E3188" s="28" t="str">
        <f>H3188</f>
        <v>C100098</v>
      </c>
      <c r="F3188" s="28"/>
      <c r="G3188" s="28"/>
      <c r="H3188" s="28" t="str">
        <f>"C100098"</f>
        <v>C100098</v>
      </c>
      <c r="I3188" s="116" t="str">
        <f>"C100098  -  BlackCane Motor Works"</f>
        <v>C100098  -  BlackCane Motor Works</v>
      </c>
      <c r="J3188" s="117" t="str">
        <f>""</f>
        <v/>
      </c>
      <c r="K3188" s="118"/>
      <c r="L3188" s="119">
        <f>SUBTOTAL(3,L3189:L3244)</f>
        <v>52</v>
      </c>
      <c r="M3188" s="118"/>
      <c r="N3188" s="118"/>
      <c r="O3188" s="120">
        <f t="shared" ref="O3188:T3188" si="978">SUBTOTAL(9,O3189:O3244)</f>
        <v>581744.01000000013</v>
      </c>
      <c r="P3188" s="120">
        <f t="shared" si="978"/>
        <v>0</v>
      </c>
      <c r="Q3188" s="120">
        <f t="shared" si="978"/>
        <v>0</v>
      </c>
      <c r="R3188" s="120">
        <f t="shared" si="978"/>
        <v>0</v>
      </c>
      <c r="S3188" s="120">
        <f t="shared" si="978"/>
        <v>0</v>
      </c>
      <c r="T3188" s="120">
        <f t="shared" si="978"/>
        <v>581744.01000000013</v>
      </c>
      <c r="U3188" s="81"/>
    </row>
    <row r="3189" spans="1:22" s="26" customFormat="1" ht="24.6" x14ac:dyDescent="0.55000000000000004">
      <c r="A3189" s="27" t="s">
        <v>327</v>
      </c>
      <c r="B3189" s="28"/>
      <c r="C3189" s="27" t="str">
        <f>C3188</f>
        <v>"NAV Direct","CRONUS JetCorp USA","18","1","C100098"</v>
      </c>
      <c r="D3189" s="27"/>
      <c r="E3189" s="28" t="str">
        <f>E3188</f>
        <v>C100098</v>
      </c>
      <c r="F3189" s="28"/>
      <c r="G3189" s="28"/>
      <c r="H3189" s="28"/>
      <c r="I3189" s="121" t="str">
        <f>"Contact: David Everson"</f>
        <v>Contact: David Everson</v>
      </c>
      <c r="J3189" s="121"/>
      <c r="K3189" s="122"/>
      <c r="L3189" s="123"/>
      <c r="M3189" s="123"/>
      <c r="N3189" s="124"/>
      <c r="O3189" s="124"/>
      <c r="P3189" s="123"/>
      <c r="Q3189" s="125"/>
      <c r="R3189" s="126"/>
      <c r="S3189" s="126"/>
      <c r="T3189" s="125"/>
      <c r="U3189" s="81"/>
    </row>
    <row r="3190" spans="1:22" s="26" customFormat="1" ht="24.6" x14ac:dyDescent="0.55000000000000004">
      <c r="A3190" s="27" t="s">
        <v>327</v>
      </c>
      <c r="B3190" s="28"/>
      <c r="C3190" s="27" t="str">
        <f>C3189</f>
        <v>"NAV Direct","CRONUS JetCorp USA","18","1","C100098"</v>
      </c>
      <c r="D3190" s="27"/>
      <c r="E3190" s="28" t="str">
        <f>E3189</f>
        <v>C100098</v>
      </c>
      <c r="F3190" s="28"/>
      <c r="G3190" s="28"/>
      <c r="H3190" s="28"/>
      <c r="I3190" s="121" t="str">
        <f>"BlackCane Motor Works@Cronus.com"</f>
        <v>BlackCane Motor Works@Cronus.com</v>
      </c>
      <c r="J3190" s="121"/>
      <c r="K3190" s="122"/>
      <c r="L3190" s="124"/>
      <c r="M3190" s="124"/>
      <c r="N3190" s="124"/>
      <c r="O3190" s="124"/>
      <c r="P3190" s="123"/>
      <c r="Q3190" s="125"/>
      <c r="R3190" s="126"/>
      <c r="S3190" s="126"/>
      <c r="T3190" s="125"/>
      <c r="U3190" s="81"/>
    </row>
    <row r="3191" spans="1:22" ht="12.75" hidden="1" customHeight="1" outlineLevel="1" x14ac:dyDescent="0.45">
      <c r="A3191" s="12" t="s">
        <v>328</v>
      </c>
      <c r="B3191" s="19"/>
      <c r="E3191" s="19"/>
      <c r="F3191" s="19"/>
      <c r="G3191" s="19"/>
      <c r="H3191" s="19"/>
      <c r="I3191" s="61"/>
      <c r="J3191" s="61"/>
      <c r="K3191" s="61"/>
      <c r="L3191" s="61"/>
      <c r="M3191" s="61"/>
      <c r="N3191" s="61"/>
      <c r="O3191" s="61"/>
      <c r="P3191" s="61"/>
      <c r="Q3191" s="61"/>
      <c r="R3191" s="61"/>
      <c r="S3191" s="61"/>
      <c r="T3191" s="61"/>
      <c r="U3191" s="61"/>
      <c r="V3191" s="21"/>
    </row>
    <row r="3192" spans="1:22" s="30" customFormat="1" ht="24.6" hidden="1" outlineLevel="1" x14ac:dyDescent="0.55000000000000004">
      <c r="A3192" s="27" t="s">
        <v>327</v>
      </c>
      <c r="B3192" s="28"/>
      <c r="C3192" s="27"/>
      <c r="D3192" s="27" t="str">
        <f>"""NAV Direct"",""CRONUS JetCorp USA"",""21"",""1"",""72450"""</f>
        <v>"NAV Direct","CRONUS JetCorp USA","21","1","72450"</v>
      </c>
      <c r="E3192" s="31" t="str">
        <f t="shared" ref="E3192:E3223" si="979">E3190</f>
        <v>C100098</v>
      </c>
      <c r="F3192" s="31"/>
      <c r="G3192" s="31"/>
      <c r="H3192" s="31"/>
      <c r="I3192" s="56"/>
      <c r="J3192" s="56"/>
      <c r="K3192" s="82" t="str">
        <f t="shared" ref="K3192:K3235" si="980">"Invoice"</f>
        <v>Invoice</v>
      </c>
      <c r="L3192" s="83" t="str">
        <f>"SI_105774"</f>
        <v>SI_105774</v>
      </c>
      <c r="M3192" s="84">
        <v>42358</v>
      </c>
      <c r="N3192" s="85">
        <f t="shared" ref="N3192:N3223" si="981">StartDate-$M3192+1</f>
        <v>1454</v>
      </c>
      <c r="O3192" s="86">
        <f t="shared" ref="O3192:O3223" si="982">SUM(P3192:T3192)</f>
        <v>11628.460000000001</v>
      </c>
      <c r="P3192" s="86">
        <f t="shared" ref="P3192:P3223" si="983">IF($M3192&gt;=$P$18,U3192,0)</f>
        <v>0</v>
      </c>
      <c r="Q3192" s="86">
        <f t="shared" ref="Q3192:Q3223" si="984">IF(AND($M3192&gt;=$Q$16,$M3192&lt;=$Q$18),U3192,0)</f>
        <v>0</v>
      </c>
      <c r="R3192" s="86">
        <f t="shared" ref="R3192:R3223" si="985">IF(AND($M3192&gt;=$R$16,$M3192&lt;=$R$18),U3192,0)</f>
        <v>0</v>
      </c>
      <c r="S3192" s="86">
        <f t="shared" ref="S3192:S3223" si="986">IF(AND($M3192&gt;=$S$16,$M3192&lt;=$S$18),U3192,0)</f>
        <v>0</v>
      </c>
      <c r="T3192" s="86">
        <f t="shared" ref="T3192:T3223" si="987">IF($M3192&lt;=$T$18,U3192,0)</f>
        <v>11628.460000000001</v>
      </c>
      <c r="U3192" s="87">
        <v>11628.460000000001</v>
      </c>
    </row>
    <row r="3193" spans="1:22" s="30" customFormat="1" ht="24.6" hidden="1" outlineLevel="1" x14ac:dyDescent="0.55000000000000004">
      <c r="A3193" s="27" t="s">
        <v>327</v>
      </c>
      <c r="B3193" s="28"/>
      <c r="C3193" s="27"/>
      <c r="D3193" s="27" t="str">
        <f>"""NAV Direct"",""CRONUS JetCorp USA"",""21"",""1"",""72493"""</f>
        <v>"NAV Direct","CRONUS JetCorp USA","21","1","72493"</v>
      </c>
      <c r="E3193" s="31">
        <f t="shared" si="979"/>
        <v>0</v>
      </c>
      <c r="F3193" s="31"/>
      <c r="G3193" s="31"/>
      <c r="H3193" s="31"/>
      <c r="I3193" s="56"/>
      <c r="J3193" s="56"/>
      <c r="K3193" s="82" t="str">
        <f t="shared" si="980"/>
        <v>Invoice</v>
      </c>
      <c r="L3193" s="83" t="str">
        <f>"SI_105775"</f>
        <v>SI_105775</v>
      </c>
      <c r="M3193" s="84">
        <v>42357</v>
      </c>
      <c r="N3193" s="85">
        <f t="shared" si="981"/>
        <v>1455</v>
      </c>
      <c r="O3193" s="86">
        <f t="shared" si="982"/>
        <v>11628.26</v>
      </c>
      <c r="P3193" s="86">
        <f t="shared" si="983"/>
        <v>0</v>
      </c>
      <c r="Q3193" s="86">
        <f t="shared" si="984"/>
        <v>0</v>
      </c>
      <c r="R3193" s="86">
        <f t="shared" si="985"/>
        <v>0</v>
      </c>
      <c r="S3193" s="86">
        <f t="shared" si="986"/>
        <v>0</v>
      </c>
      <c r="T3193" s="86">
        <f t="shared" si="987"/>
        <v>11628.26</v>
      </c>
      <c r="U3193" s="87">
        <v>11628.26</v>
      </c>
    </row>
    <row r="3194" spans="1:22" s="30" customFormat="1" ht="24.6" hidden="1" outlineLevel="1" x14ac:dyDescent="0.55000000000000004">
      <c r="A3194" s="27" t="s">
        <v>327</v>
      </c>
      <c r="B3194" s="28"/>
      <c r="C3194" s="27"/>
      <c r="D3194" s="27" t="str">
        <f>"""NAV Direct"",""CRONUS JetCorp USA"",""21"",""1"",""352152"""</f>
        <v>"NAV Direct","CRONUS JetCorp USA","21","1","352152"</v>
      </c>
      <c r="E3194" s="31" t="str">
        <f t="shared" si="979"/>
        <v>C100098</v>
      </c>
      <c r="F3194" s="31"/>
      <c r="G3194" s="31"/>
      <c r="H3194" s="31"/>
      <c r="I3194" s="56"/>
      <c r="J3194" s="56"/>
      <c r="K3194" s="82" t="str">
        <f t="shared" si="980"/>
        <v>Invoice</v>
      </c>
      <c r="L3194" s="83" t="str">
        <f>"SI_111028"</f>
        <v>SI_111028</v>
      </c>
      <c r="M3194" s="84">
        <v>42402</v>
      </c>
      <c r="N3194" s="85">
        <f t="shared" si="981"/>
        <v>1410</v>
      </c>
      <c r="O3194" s="86">
        <f t="shared" si="982"/>
        <v>10559.28</v>
      </c>
      <c r="P3194" s="86">
        <f t="shared" si="983"/>
        <v>0</v>
      </c>
      <c r="Q3194" s="86">
        <f t="shared" si="984"/>
        <v>0</v>
      </c>
      <c r="R3194" s="86">
        <f t="shared" si="985"/>
        <v>0</v>
      </c>
      <c r="S3194" s="86">
        <f t="shared" si="986"/>
        <v>0</v>
      </c>
      <c r="T3194" s="86">
        <f t="shared" si="987"/>
        <v>10559.28</v>
      </c>
      <c r="U3194" s="87">
        <v>10559.28</v>
      </c>
    </row>
    <row r="3195" spans="1:22" s="30" customFormat="1" ht="24.6" hidden="1" outlineLevel="1" x14ac:dyDescent="0.55000000000000004">
      <c r="A3195" s="27" t="s">
        <v>327</v>
      </c>
      <c r="B3195" s="28"/>
      <c r="C3195" s="27"/>
      <c r="D3195" s="27" t="str">
        <f>"""NAV Direct"",""CRONUS JetCorp USA"",""21"",""1"",""352185"""</f>
        <v>"NAV Direct","CRONUS JetCorp USA","21","1","352185"</v>
      </c>
      <c r="E3195" s="31">
        <f t="shared" si="979"/>
        <v>0</v>
      </c>
      <c r="F3195" s="31"/>
      <c r="G3195" s="31"/>
      <c r="H3195" s="31"/>
      <c r="I3195" s="56"/>
      <c r="J3195" s="56"/>
      <c r="K3195" s="82" t="str">
        <f t="shared" si="980"/>
        <v>Invoice</v>
      </c>
      <c r="L3195" s="83" t="str">
        <f>"SI_111029"</f>
        <v>SI_111029</v>
      </c>
      <c r="M3195" s="84">
        <v>42407</v>
      </c>
      <c r="N3195" s="85">
        <f t="shared" si="981"/>
        <v>1405</v>
      </c>
      <c r="O3195" s="86">
        <f t="shared" si="982"/>
        <v>10559.609999999999</v>
      </c>
      <c r="P3195" s="86">
        <f t="shared" si="983"/>
        <v>0</v>
      </c>
      <c r="Q3195" s="86">
        <f t="shared" si="984"/>
        <v>0</v>
      </c>
      <c r="R3195" s="86">
        <f t="shared" si="985"/>
        <v>0</v>
      </c>
      <c r="S3195" s="86">
        <f t="shared" si="986"/>
        <v>0</v>
      </c>
      <c r="T3195" s="86">
        <f t="shared" si="987"/>
        <v>10559.609999999999</v>
      </c>
      <c r="U3195" s="87">
        <v>10559.609999999999</v>
      </c>
    </row>
    <row r="3196" spans="1:22" s="30" customFormat="1" ht="24.6" hidden="1" outlineLevel="1" x14ac:dyDescent="0.55000000000000004">
      <c r="A3196" s="27" t="s">
        <v>327</v>
      </c>
      <c r="B3196" s="28"/>
      <c r="C3196" s="27"/>
      <c r="D3196" s="27" t="str">
        <f>"""NAV Direct"",""CRONUS JetCorp USA"",""21"",""1"",""352367"""</f>
        <v>"NAV Direct","CRONUS JetCorp USA","21","1","352367"</v>
      </c>
      <c r="E3196" s="31" t="str">
        <f t="shared" si="979"/>
        <v>C100098</v>
      </c>
      <c r="F3196" s="31"/>
      <c r="G3196" s="31"/>
      <c r="H3196" s="31"/>
      <c r="I3196" s="56"/>
      <c r="J3196" s="56"/>
      <c r="K3196" s="82" t="str">
        <f t="shared" si="980"/>
        <v>Invoice</v>
      </c>
      <c r="L3196" s="83" t="str">
        <f>"SI_111035"</f>
        <v>SI_111035</v>
      </c>
      <c r="M3196" s="84">
        <v>42493</v>
      </c>
      <c r="N3196" s="85">
        <f t="shared" si="981"/>
        <v>1319</v>
      </c>
      <c r="O3196" s="86">
        <f t="shared" si="982"/>
        <v>9382.2799999999988</v>
      </c>
      <c r="P3196" s="86">
        <f t="shared" si="983"/>
        <v>0</v>
      </c>
      <c r="Q3196" s="86">
        <f t="shared" si="984"/>
        <v>0</v>
      </c>
      <c r="R3196" s="86">
        <f t="shared" si="985"/>
        <v>0</v>
      </c>
      <c r="S3196" s="86">
        <f t="shared" si="986"/>
        <v>0</v>
      </c>
      <c r="T3196" s="86">
        <f t="shared" si="987"/>
        <v>9382.2799999999988</v>
      </c>
      <c r="U3196" s="87">
        <v>9382.2799999999988</v>
      </c>
    </row>
    <row r="3197" spans="1:22" s="30" customFormat="1" ht="24.6" hidden="1" outlineLevel="1" x14ac:dyDescent="0.55000000000000004">
      <c r="A3197" s="27" t="s">
        <v>327</v>
      </c>
      <c r="B3197" s="28"/>
      <c r="C3197" s="27"/>
      <c r="D3197" s="27" t="str">
        <f>"""NAV Direct"",""CRONUS JetCorp USA"",""21"",""1"",""352456"""</f>
        <v>"NAV Direct","CRONUS JetCorp USA","21","1","352456"</v>
      </c>
      <c r="E3197" s="31">
        <f t="shared" si="979"/>
        <v>0</v>
      </c>
      <c r="F3197" s="31"/>
      <c r="G3197" s="31"/>
      <c r="H3197" s="31"/>
      <c r="I3197" s="56"/>
      <c r="J3197" s="56"/>
      <c r="K3197" s="82" t="str">
        <f t="shared" si="980"/>
        <v>Invoice</v>
      </c>
      <c r="L3197" s="83" t="str">
        <f>"SI_111038"</f>
        <v>SI_111038</v>
      </c>
      <c r="M3197" s="84">
        <v>42520</v>
      </c>
      <c r="N3197" s="85">
        <f t="shared" si="981"/>
        <v>1292</v>
      </c>
      <c r="O3197" s="86">
        <f t="shared" si="982"/>
        <v>10853.390000000001</v>
      </c>
      <c r="P3197" s="86">
        <f t="shared" si="983"/>
        <v>0</v>
      </c>
      <c r="Q3197" s="86">
        <f t="shared" si="984"/>
        <v>0</v>
      </c>
      <c r="R3197" s="86">
        <f t="shared" si="985"/>
        <v>0</v>
      </c>
      <c r="S3197" s="86">
        <f t="shared" si="986"/>
        <v>0</v>
      </c>
      <c r="T3197" s="86">
        <f t="shared" si="987"/>
        <v>10853.390000000001</v>
      </c>
      <c r="U3197" s="87">
        <v>10853.390000000001</v>
      </c>
    </row>
    <row r="3198" spans="1:22" s="30" customFormat="1" ht="24.6" hidden="1" outlineLevel="1" x14ac:dyDescent="0.55000000000000004">
      <c r="A3198" s="27" t="s">
        <v>327</v>
      </c>
      <c r="B3198" s="28"/>
      <c r="C3198" s="27"/>
      <c r="D3198" s="27" t="str">
        <f>"""NAV Direct"",""CRONUS JetCorp USA"",""21"",""1"",""352650"""</f>
        <v>"NAV Direct","CRONUS JetCorp USA","21","1","352650"</v>
      </c>
      <c r="E3198" s="31" t="str">
        <f t="shared" si="979"/>
        <v>C100098</v>
      </c>
      <c r="F3198" s="31"/>
      <c r="G3198" s="31"/>
      <c r="H3198" s="31"/>
      <c r="I3198" s="56"/>
      <c r="J3198" s="56"/>
      <c r="K3198" s="82" t="str">
        <f t="shared" si="980"/>
        <v>Invoice</v>
      </c>
      <c r="L3198" s="83" t="str">
        <f>"SI_111044"</f>
        <v>SI_111044</v>
      </c>
      <c r="M3198" s="84">
        <v>42576</v>
      </c>
      <c r="N3198" s="85">
        <f t="shared" si="981"/>
        <v>1236</v>
      </c>
      <c r="O3198" s="86">
        <f t="shared" si="982"/>
        <v>11381.78</v>
      </c>
      <c r="P3198" s="86">
        <f t="shared" si="983"/>
        <v>0</v>
      </c>
      <c r="Q3198" s="86">
        <f t="shared" si="984"/>
        <v>0</v>
      </c>
      <c r="R3198" s="86">
        <f t="shared" si="985"/>
        <v>0</v>
      </c>
      <c r="S3198" s="86">
        <f t="shared" si="986"/>
        <v>0</v>
      </c>
      <c r="T3198" s="86">
        <f t="shared" si="987"/>
        <v>11381.78</v>
      </c>
      <c r="U3198" s="87">
        <v>11381.78</v>
      </c>
    </row>
    <row r="3199" spans="1:22" s="30" customFormat="1" ht="24.6" hidden="1" outlineLevel="1" x14ac:dyDescent="0.55000000000000004">
      <c r="A3199" s="27" t="s">
        <v>327</v>
      </c>
      <c r="B3199" s="28"/>
      <c r="C3199" s="27"/>
      <c r="D3199" s="27" t="str">
        <f>"""NAV Direct"",""CRONUS JetCorp USA"",""21"",""1"",""352710"""</f>
        <v>"NAV Direct","CRONUS JetCorp USA","21","1","352710"</v>
      </c>
      <c r="E3199" s="31">
        <f t="shared" si="979"/>
        <v>0</v>
      </c>
      <c r="F3199" s="31"/>
      <c r="G3199" s="31"/>
      <c r="H3199" s="31"/>
      <c r="I3199" s="56"/>
      <c r="J3199" s="56"/>
      <c r="K3199" s="82" t="str">
        <f t="shared" si="980"/>
        <v>Invoice</v>
      </c>
      <c r="L3199" s="83" t="str">
        <f>"SI_111046"</f>
        <v>SI_111046</v>
      </c>
      <c r="M3199" s="84">
        <v>42578</v>
      </c>
      <c r="N3199" s="85">
        <f t="shared" si="981"/>
        <v>1234</v>
      </c>
      <c r="O3199" s="86">
        <f t="shared" si="982"/>
        <v>11500.75</v>
      </c>
      <c r="P3199" s="86">
        <f t="shared" si="983"/>
        <v>0</v>
      </c>
      <c r="Q3199" s="86">
        <f t="shared" si="984"/>
        <v>0</v>
      </c>
      <c r="R3199" s="86">
        <f t="shared" si="985"/>
        <v>0</v>
      </c>
      <c r="S3199" s="86">
        <f t="shared" si="986"/>
        <v>0</v>
      </c>
      <c r="T3199" s="86">
        <f t="shared" si="987"/>
        <v>11500.75</v>
      </c>
      <c r="U3199" s="87">
        <v>11500.75</v>
      </c>
    </row>
    <row r="3200" spans="1:22" s="30" customFormat="1" ht="24.6" hidden="1" outlineLevel="1" x14ac:dyDescent="0.55000000000000004">
      <c r="A3200" s="27" t="s">
        <v>327</v>
      </c>
      <c r="B3200" s="28"/>
      <c r="C3200" s="27"/>
      <c r="D3200" s="27" t="str">
        <f>"""NAV Direct"",""CRONUS JetCorp USA"",""21"",""1"",""352770"""</f>
        <v>"NAV Direct","CRONUS JetCorp USA","21","1","352770"</v>
      </c>
      <c r="E3200" s="31" t="str">
        <f t="shared" si="979"/>
        <v>C100098</v>
      </c>
      <c r="F3200" s="31"/>
      <c r="G3200" s="31"/>
      <c r="H3200" s="31"/>
      <c r="I3200" s="56"/>
      <c r="J3200" s="56"/>
      <c r="K3200" s="82" t="str">
        <f t="shared" si="980"/>
        <v>Invoice</v>
      </c>
      <c r="L3200" s="83" t="str">
        <f>"SI_111048"</f>
        <v>SI_111048</v>
      </c>
      <c r="M3200" s="84">
        <v>42601</v>
      </c>
      <c r="N3200" s="85">
        <f t="shared" si="981"/>
        <v>1211</v>
      </c>
      <c r="O3200" s="86">
        <f t="shared" si="982"/>
        <v>10806.43</v>
      </c>
      <c r="P3200" s="86">
        <f t="shared" si="983"/>
        <v>0</v>
      </c>
      <c r="Q3200" s="86">
        <f t="shared" si="984"/>
        <v>0</v>
      </c>
      <c r="R3200" s="86">
        <f t="shared" si="985"/>
        <v>0</v>
      </c>
      <c r="S3200" s="86">
        <f t="shared" si="986"/>
        <v>0</v>
      </c>
      <c r="T3200" s="86">
        <f t="shared" si="987"/>
        <v>10806.43</v>
      </c>
      <c r="U3200" s="87">
        <v>10806.43</v>
      </c>
    </row>
    <row r="3201" spans="1:21" s="30" customFormat="1" ht="24.6" hidden="1" outlineLevel="1" x14ac:dyDescent="0.55000000000000004">
      <c r="A3201" s="27" t="s">
        <v>327</v>
      </c>
      <c r="B3201" s="28"/>
      <c r="C3201" s="27"/>
      <c r="D3201" s="27" t="str">
        <f>"""NAV Direct"",""CRONUS JetCorp USA"",""21"",""1"",""353294"""</f>
        <v>"NAV Direct","CRONUS JetCorp USA","21","1","353294"</v>
      </c>
      <c r="E3201" s="31">
        <f t="shared" si="979"/>
        <v>0</v>
      </c>
      <c r="F3201" s="31"/>
      <c r="G3201" s="31"/>
      <c r="H3201" s="31"/>
      <c r="I3201" s="56"/>
      <c r="J3201" s="56"/>
      <c r="K3201" s="82" t="str">
        <f t="shared" si="980"/>
        <v>Invoice</v>
      </c>
      <c r="L3201" s="83" t="str">
        <f>"SI_111064"</f>
        <v>SI_111064</v>
      </c>
      <c r="M3201" s="84">
        <v>42758</v>
      </c>
      <c r="N3201" s="85">
        <f t="shared" si="981"/>
        <v>1054</v>
      </c>
      <c r="O3201" s="86">
        <f t="shared" si="982"/>
        <v>12101.84</v>
      </c>
      <c r="P3201" s="86">
        <f t="shared" si="983"/>
        <v>0</v>
      </c>
      <c r="Q3201" s="86">
        <f t="shared" si="984"/>
        <v>0</v>
      </c>
      <c r="R3201" s="86">
        <f t="shared" si="985"/>
        <v>0</v>
      </c>
      <c r="S3201" s="86">
        <f t="shared" si="986"/>
        <v>0</v>
      </c>
      <c r="T3201" s="86">
        <f t="shared" si="987"/>
        <v>12101.84</v>
      </c>
      <c r="U3201" s="87">
        <v>12101.84</v>
      </c>
    </row>
    <row r="3202" spans="1:21" s="30" customFormat="1" ht="24.6" hidden="1" outlineLevel="1" x14ac:dyDescent="0.55000000000000004">
      <c r="A3202" s="27" t="s">
        <v>327</v>
      </c>
      <c r="B3202" s="28"/>
      <c r="C3202" s="27"/>
      <c r="D3202" s="27" t="str">
        <f>"""NAV Direct"",""CRONUS JetCorp USA"",""21"",""1"",""353683"""</f>
        <v>"NAV Direct","CRONUS JetCorp USA","21","1","353683"</v>
      </c>
      <c r="E3202" s="31" t="str">
        <f t="shared" si="979"/>
        <v>C100098</v>
      </c>
      <c r="F3202" s="31"/>
      <c r="G3202" s="31"/>
      <c r="H3202" s="31"/>
      <c r="I3202" s="56"/>
      <c r="J3202" s="56"/>
      <c r="K3202" s="82" t="str">
        <f t="shared" si="980"/>
        <v>Invoice</v>
      </c>
      <c r="L3202" s="83" t="str">
        <f>"SI_111075"</f>
        <v>SI_111075</v>
      </c>
      <c r="M3202" s="84">
        <v>42864</v>
      </c>
      <c r="N3202" s="85">
        <f t="shared" si="981"/>
        <v>948</v>
      </c>
      <c r="O3202" s="86">
        <f t="shared" si="982"/>
        <v>10967.460000000001</v>
      </c>
      <c r="P3202" s="86">
        <f t="shared" si="983"/>
        <v>0</v>
      </c>
      <c r="Q3202" s="86">
        <f t="shared" si="984"/>
        <v>0</v>
      </c>
      <c r="R3202" s="86">
        <f t="shared" si="985"/>
        <v>0</v>
      </c>
      <c r="S3202" s="86">
        <f t="shared" si="986"/>
        <v>0</v>
      </c>
      <c r="T3202" s="86">
        <f t="shared" si="987"/>
        <v>10967.460000000001</v>
      </c>
      <c r="U3202" s="87">
        <v>10967.460000000001</v>
      </c>
    </row>
    <row r="3203" spans="1:21" s="30" customFormat="1" ht="24.6" hidden="1" outlineLevel="1" x14ac:dyDescent="0.55000000000000004">
      <c r="A3203" s="27" t="s">
        <v>327</v>
      </c>
      <c r="B3203" s="28"/>
      <c r="C3203" s="27"/>
      <c r="D3203" s="27" t="str">
        <f>"""NAV Direct"",""CRONUS JetCorp USA"",""21"",""1"",""353899"""</f>
        <v>"NAV Direct","CRONUS JetCorp USA","21","1","353899"</v>
      </c>
      <c r="E3203" s="31">
        <f t="shared" si="979"/>
        <v>0</v>
      </c>
      <c r="F3203" s="31"/>
      <c r="G3203" s="31"/>
      <c r="H3203" s="31"/>
      <c r="I3203" s="56"/>
      <c r="J3203" s="56"/>
      <c r="K3203" s="82" t="str">
        <f t="shared" si="980"/>
        <v>Invoice</v>
      </c>
      <c r="L3203" s="83" t="str">
        <f>"SI_111081"</f>
        <v>SI_111081</v>
      </c>
      <c r="M3203" s="84">
        <v>42913</v>
      </c>
      <c r="N3203" s="85">
        <f t="shared" si="981"/>
        <v>899</v>
      </c>
      <c r="O3203" s="86">
        <f t="shared" si="982"/>
        <v>14947.750000000002</v>
      </c>
      <c r="P3203" s="86">
        <f t="shared" si="983"/>
        <v>0</v>
      </c>
      <c r="Q3203" s="86">
        <f t="shared" si="984"/>
        <v>0</v>
      </c>
      <c r="R3203" s="86">
        <f t="shared" si="985"/>
        <v>0</v>
      </c>
      <c r="S3203" s="86">
        <f t="shared" si="986"/>
        <v>0</v>
      </c>
      <c r="T3203" s="86">
        <f t="shared" si="987"/>
        <v>14947.750000000002</v>
      </c>
      <c r="U3203" s="87">
        <v>14947.750000000002</v>
      </c>
    </row>
    <row r="3204" spans="1:21" s="30" customFormat="1" ht="24.6" hidden="1" outlineLevel="1" x14ac:dyDescent="0.55000000000000004">
      <c r="A3204" s="27" t="s">
        <v>327</v>
      </c>
      <c r="B3204" s="28"/>
      <c r="C3204" s="27"/>
      <c r="D3204" s="27" t="str">
        <f>"""NAV Direct"",""CRONUS JetCorp USA"",""21"",""1"",""353986"""</f>
        <v>"NAV Direct","CRONUS JetCorp USA","21","1","353986"</v>
      </c>
      <c r="E3204" s="31" t="str">
        <f t="shared" si="979"/>
        <v>C100098</v>
      </c>
      <c r="F3204" s="31"/>
      <c r="G3204" s="31"/>
      <c r="H3204" s="31"/>
      <c r="I3204" s="56"/>
      <c r="J3204" s="56"/>
      <c r="K3204" s="82" t="str">
        <f t="shared" si="980"/>
        <v>Invoice</v>
      </c>
      <c r="L3204" s="83" t="str">
        <f>"SI_111084"</f>
        <v>SI_111084</v>
      </c>
      <c r="M3204" s="84">
        <v>42940</v>
      </c>
      <c r="N3204" s="85">
        <f t="shared" si="981"/>
        <v>872</v>
      </c>
      <c r="O3204" s="86">
        <f t="shared" si="982"/>
        <v>13241.88</v>
      </c>
      <c r="P3204" s="86">
        <f t="shared" si="983"/>
        <v>0</v>
      </c>
      <c r="Q3204" s="86">
        <f t="shared" si="984"/>
        <v>0</v>
      </c>
      <c r="R3204" s="86">
        <f t="shared" si="985"/>
        <v>0</v>
      </c>
      <c r="S3204" s="86">
        <f t="shared" si="986"/>
        <v>0</v>
      </c>
      <c r="T3204" s="86">
        <f t="shared" si="987"/>
        <v>13241.88</v>
      </c>
      <c r="U3204" s="87">
        <v>13241.88</v>
      </c>
    </row>
    <row r="3205" spans="1:21" s="30" customFormat="1" ht="24.6" hidden="1" outlineLevel="1" x14ac:dyDescent="0.55000000000000004">
      <c r="A3205" s="27" t="s">
        <v>327</v>
      </c>
      <c r="B3205" s="28"/>
      <c r="C3205" s="27"/>
      <c r="D3205" s="27" t="str">
        <f>"""NAV Direct"",""CRONUS JetCorp USA"",""21"",""1"",""354069"""</f>
        <v>"NAV Direct","CRONUS JetCorp USA","21","1","354069"</v>
      </c>
      <c r="E3205" s="31">
        <f t="shared" si="979"/>
        <v>0</v>
      </c>
      <c r="F3205" s="31"/>
      <c r="G3205" s="31"/>
      <c r="H3205" s="31"/>
      <c r="I3205" s="56"/>
      <c r="J3205" s="56"/>
      <c r="K3205" s="82" t="str">
        <f t="shared" si="980"/>
        <v>Invoice</v>
      </c>
      <c r="L3205" s="83" t="str">
        <f>"SI_111087"</f>
        <v>SI_111087</v>
      </c>
      <c r="M3205" s="84">
        <v>42969</v>
      </c>
      <c r="N3205" s="85">
        <f t="shared" si="981"/>
        <v>843</v>
      </c>
      <c r="O3205" s="86">
        <f t="shared" si="982"/>
        <v>11371.16</v>
      </c>
      <c r="P3205" s="86">
        <f t="shared" si="983"/>
        <v>0</v>
      </c>
      <c r="Q3205" s="86">
        <f t="shared" si="984"/>
        <v>0</v>
      </c>
      <c r="R3205" s="86">
        <f t="shared" si="985"/>
        <v>0</v>
      </c>
      <c r="S3205" s="86">
        <f t="shared" si="986"/>
        <v>0</v>
      </c>
      <c r="T3205" s="86">
        <f t="shared" si="987"/>
        <v>11371.16</v>
      </c>
      <c r="U3205" s="87">
        <v>11371.16</v>
      </c>
    </row>
    <row r="3206" spans="1:21" s="30" customFormat="1" ht="24.6" hidden="1" outlineLevel="1" x14ac:dyDescent="0.55000000000000004">
      <c r="A3206" s="27" t="s">
        <v>327</v>
      </c>
      <c r="B3206" s="28"/>
      <c r="C3206" s="27"/>
      <c r="D3206" s="27" t="str">
        <f>"""NAV Direct"",""CRONUS JetCorp USA"",""21"",""1"",""354135"""</f>
        <v>"NAV Direct","CRONUS JetCorp USA","21","1","354135"</v>
      </c>
      <c r="E3206" s="31" t="str">
        <f t="shared" si="979"/>
        <v>C100098</v>
      </c>
      <c r="F3206" s="31"/>
      <c r="G3206" s="31"/>
      <c r="H3206" s="31"/>
      <c r="I3206" s="56"/>
      <c r="J3206" s="56"/>
      <c r="K3206" s="82" t="str">
        <f t="shared" si="980"/>
        <v>Invoice</v>
      </c>
      <c r="L3206" s="83" t="str">
        <f>"SI_111089"</f>
        <v>SI_111089</v>
      </c>
      <c r="M3206" s="84">
        <v>43022</v>
      </c>
      <c r="N3206" s="85">
        <f t="shared" si="981"/>
        <v>790</v>
      </c>
      <c r="O3206" s="86">
        <f t="shared" si="982"/>
        <v>10234.26</v>
      </c>
      <c r="P3206" s="86">
        <f t="shared" si="983"/>
        <v>0</v>
      </c>
      <c r="Q3206" s="86">
        <f t="shared" si="984"/>
        <v>0</v>
      </c>
      <c r="R3206" s="86">
        <f t="shared" si="985"/>
        <v>0</v>
      </c>
      <c r="S3206" s="86">
        <f t="shared" si="986"/>
        <v>0</v>
      </c>
      <c r="T3206" s="86">
        <f t="shared" si="987"/>
        <v>10234.26</v>
      </c>
      <c r="U3206" s="87">
        <v>10234.26</v>
      </c>
    </row>
    <row r="3207" spans="1:21" s="30" customFormat="1" ht="24.6" hidden="1" outlineLevel="1" x14ac:dyDescent="0.55000000000000004">
      <c r="A3207" s="27" t="s">
        <v>327</v>
      </c>
      <c r="B3207" s="28"/>
      <c r="C3207" s="27"/>
      <c r="D3207" s="27" t="str">
        <f>"""NAV Direct"",""CRONUS JetCorp USA"",""21"",""1"",""354444"""</f>
        <v>"NAV Direct","CRONUS JetCorp USA","21","1","354444"</v>
      </c>
      <c r="E3207" s="31">
        <f t="shared" si="979"/>
        <v>0</v>
      </c>
      <c r="F3207" s="31"/>
      <c r="G3207" s="31"/>
      <c r="H3207" s="31"/>
      <c r="I3207" s="56"/>
      <c r="J3207" s="56"/>
      <c r="K3207" s="82" t="str">
        <f t="shared" si="980"/>
        <v>Invoice</v>
      </c>
      <c r="L3207" s="83" t="str">
        <f>"SI_111098"</f>
        <v>SI_111098</v>
      </c>
      <c r="M3207" s="84">
        <v>43103</v>
      </c>
      <c r="N3207" s="85">
        <f t="shared" si="981"/>
        <v>709</v>
      </c>
      <c r="O3207" s="86">
        <f t="shared" si="982"/>
        <v>15894.22</v>
      </c>
      <c r="P3207" s="86">
        <f t="shared" si="983"/>
        <v>0</v>
      </c>
      <c r="Q3207" s="86">
        <f t="shared" si="984"/>
        <v>0</v>
      </c>
      <c r="R3207" s="86">
        <f t="shared" si="985"/>
        <v>0</v>
      </c>
      <c r="S3207" s="86">
        <f t="shared" si="986"/>
        <v>0</v>
      </c>
      <c r="T3207" s="86">
        <f t="shared" si="987"/>
        <v>15894.22</v>
      </c>
      <c r="U3207" s="87">
        <v>15894.22</v>
      </c>
    </row>
    <row r="3208" spans="1:21" s="30" customFormat="1" ht="24.6" hidden="1" outlineLevel="1" x14ac:dyDescent="0.55000000000000004">
      <c r="A3208" s="27" t="s">
        <v>327</v>
      </c>
      <c r="B3208" s="28"/>
      <c r="C3208" s="27"/>
      <c r="D3208" s="27" t="str">
        <f>"""NAV Direct"",""CRONUS JetCorp USA"",""21"",""1"",""354603"""</f>
        <v>"NAV Direct","CRONUS JetCorp USA","21","1","354603"</v>
      </c>
      <c r="E3208" s="31" t="str">
        <f t="shared" si="979"/>
        <v>C100098</v>
      </c>
      <c r="F3208" s="31"/>
      <c r="G3208" s="31"/>
      <c r="H3208" s="31"/>
      <c r="I3208" s="56"/>
      <c r="J3208" s="56"/>
      <c r="K3208" s="82" t="str">
        <f t="shared" si="980"/>
        <v>Invoice</v>
      </c>
      <c r="L3208" s="83" t="str">
        <f>"SI_111103"</f>
        <v>SI_111103</v>
      </c>
      <c r="M3208" s="84">
        <v>43131</v>
      </c>
      <c r="N3208" s="85">
        <f t="shared" si="981"/>
        <v>681</v>
      </c>
      <c r="O3208" s="86">
        <f t="shared" si="982"/>
        <v>15496.210000000001</v>
      </c>
      <c r="P3208" s="86">
        <f t="shared" si="983"/>
        <v>0</v>
      </c>
      <c r="Q3208" s="86">
        <f t="shared" si="984"/>
        <v>0</v>
      </c>
      <c r="R3208" s="86">
        <f t="shared" si="985"/>
        <v>0</v>
      </c>
      <c r="S3208" s="86">
        <f t="shared" si="986"/>
        <v>0</v>
      </c>
      <c r="T3208" s="86">
        <f t="shared" si="987"/>
        <v>15496.210000000001</v>
      </c>
      <c r="U3208" s="87">
        <v>15496.210000000001</v>
      </c>
    </row>
    <row r="3209" spans="1:21" s="30" customFormat="1" ht="24.6" hidden="1" outlineLevel="1" x14ac:dyDescent="0.55000000000000004">
      <c r="A3209" s="27" t="s">
        <v>327</v>
      </c>
      <c r="B3209" s="28"/>
      <c r="C3209" s="27"/>
      <c r="D3209" s="27" t="str">
        <f>"""NAV Direct"",""CRONUS JetCorp USA"",""21"",""1"",""354632"""</f>
        <v>"NAV Direct","CRONUS JetCorp USA","21","1","354632"</v>
      </c>
      <c r="E3209" s="31">
        <f t="shared" si="979"/>
        <v>0</v>
      </c>
      <c r="F3209" s="31"/>
      <c r="G3209" s="31"/>
      <c r="H3209" s="31"/>
      <c r="I3209" s="56"/>
      <c r="J3209" s="56"/>
      <c r="K3209" s="82" t="str">
        <f t="shared" si="980"/>
        <v>Invoice</v>
      </c>
      <c r="L3209" s="83" t="str">
        <f>"SI_111104"</f>
        <v>SI_111104</v>
      </c>
      <c r="M3209" s="84">
        <v>43157</v>
      </c>
      <c r="N3209" s="85">
        <f t="shared" si="981"/>
        <v>655</v>
      </c>
      <c r="O3209" s="86">
        <f t="shared" si="982"/>
        <v>13404.579999999998</v>
      </c>
      <c r="P3209" s="86">
        <f t="shared" si="983"/>
        <v>0</v>
      </c>
      <c r="Q3209" s="86">
        <f t="shared" si="984"/>
        <v>0</v>
      </c>
      <c r="R3209" s="86">
        <f t="shared" si="985"/>
        <v>0</v>
      </c>
      <c r="S3209" s="86">
        <f t="shared" si="986"/>
        <v>0</v>
      </c>
      <c r="T3209" s="86">
        <f t="shared" si="987"/>
        <v>13404.579999999998</v>
      </c>
      <c r="U3209" s="87">
        <v>13404.579999999998</v>
      </c>
    </row>
    <row r="3210" spans="1:21" s="30" customFormat="1" ht="24.6" hidden="1" outlineLevel="1" x14ac:dyDescent="0.55000000000000004">
      <c r="A3210" s="27" t="s">
        <v>327</v>
      </c>
      <c r="B3210" s="28"/>
      <c r="C3210" s="27"/>
      <c r="D3210" s="27" t="str">
        <f>"""NAV Direct"",""CRONUS JetCorp USA"",""21"",""1"",""354667"""</f>
        <v>"NAV Direct","CRONUS JetCorp USA","21","1","354667"</v>
      </c>
      <c r="E3210" s="31" t="str">
        <f t="shared" si="979"/>
        <v>C100098</v>
      </c>
      <c r="F3210" s="31"/>
      <c r="G3210" s="31"/>
      <c r="H3210" s="31"/>
      <c r="I3210" s="56"/>
      <c r="J3210" s="56"/>
      <c r="K3210" s="82" t="str">
        <f t="shared" si="980"/>
        <v>Invoice</v>
      </c>
      <c r="L3210" s="83" t="str">
        <f>"SI_111105"</f>
        <v>SI_111105</v>
      </c>
      <c r="M3210" s="84">
        <v>43160</v>
      </c>
      <c r="N3210" s="85">
        <f t="shared" si="981"/>
        <v>652</v>
      </c>
      <c r="O3210" s="86">
        <f t="shared" si="982"/>
        <v>13403.88</v>
      </c>
      <c r="P3210" s="86">
        <f t="shared" si="983"/>
        <v>0</v>
      </c>
      <c r="Q3210" s="86">
        <f t="shared" si="984"/>
        <v>0</v>
      </c>
      <c r="R3210" s="86">
        <f t="shared" si="985"/>
        <v>0</v>
      </c>
      <c r="S3210" s="86">
        <f t="shared" si="986"/>
        <v>0</v>
      </c>
      <c r="T3210" s="86">
        <f t="shared" si="987"/>
        <v>13403.88</v>
      </c>
      <c r="U3210" s="87">
        <v>13403.88</v>
      </c>
    </row>
    <row r="3211" spans="1:21" s="30" customFormat="1" ht="24.6" hidden="1" outlineLevel="1" x14ac:dyDescent="0.55000000000000004">
      <c r="A3211" s="27" t="s">
        <v>327</v>
      </c>
      <c r="B3211" s="28"/>
      <c r="C3211" s="27"/>
      <c r="D3211" s="27" t="str">
        <f>"""NAV Direct"",""CRONUS JetCorp USA"",""21"",""1"",""354702"""</f>
        <v>"NAV Direct","CRONUS JetCorp USA","21","1","354702"</v>
      </c>
      <c r="E3211" s="31">
        <f t="shared" si="979"/>
        <v>0</v>
      </c>
      <c r="F3211" s="31"/>
      <c r="G3211" s="31"/>
      <c r="H3211" s="31"/>
      <c r="I3211" s="56"/>
      <c r="J3211" s="56"/>
      <c r="K3211" s="82" t="str">
        <f t="shared" si="980"/>
        <v>Invoice</v>
      </c>
      <c r="L3211" s="83" t="str">
        <f>"SI_111106"</f>
        <v>SI_111106</v>
      </c>
      <c r="M3211" s="84">
        <v>43177</v>
      </c>
      <c r="N3211" s="85">
        <f t="shared" si="981"/>
        <v>635</v>
      </c>
      <c r="O3211" s="86">
        <f t="shared" si="982"/>
        <v>12600.52</v>
      </c>
      <c r="P3211" s="86">
        <f t="shared" si="983"/>
        <v>0</v>
      </c>
      <c r="Q3211" s="86">
        <f t="shared" si="984"/>
        <v>0</v>
      </c>
      <c r="R3211" s="86">
        <f t="shared" si="985"/>
        <v>0</v>
      </c>
      <c r="S3211" s="86">
        <f t="shared" si="986"/>
        <v>0</v>
      </c>
      <c r="T3211" s="86">
        <f t="shared" si="987"/>
        <v>12600.52</v>
      </c>
      <c r="U3211" s="87">
        <v>12600.52</v>
      </c>
    </row>
    <row r="3212" spans="1:21" s="30" customFormat="1" ht="24.6" hidden="1" outlineLevel="1" x14ac:dyDescent="0.55000000000000004">
      <c r="A3212" s="27" t="s">
        <v>327</v>
      </c>
      <c r="B3212" s="28"/>
      <c r="C3212" s="27"/>
      <c r="D3212" s="27" t="str">
        <f>"""NAV Direct"",""CRONUS JetCorp USA"",""21"",""1"",""354774"""</f>
        <v>"NAV Direct","CRONUS JetCorp USA","21","1","354774"</v>
      </c>
      <c r="E3212" s="31" t="str">
        <f t="shared" si="979"/>
        <v>C100098</v>
      </c>
      <c r="F3212" s="31"/>
      <c r="G3212" s="31"/>
      <c r="H3212" s="31"/>
      <c r="I3212" s="56"/>
      <c r="J3212" s="56"/>
      <c r="K3212" s="82" t="str">
        <f t="shared" si="980"/>
        <v>Invoice</v>
      </c>
      <c r="L3212" s="83" t="str">
        <f>"SI_111108"</f>
        <v>SI_111108</v>
      </c>
      <c r="M3212" s="84">
        <v>43208</v>
      </c>
      <c r="N3212" s="85">
        <f t="shared" si="981"/>
        <v>604</v>
      </c>
      <c r="O3212" s="86">
        <f t="shared" si="982"/>
        <v>14868.320000000002</v>
      </c>
      <c r="P3212" s="86">
        <f t="shared" si="983"/>
        <v>0</v>
      </c>
      <c r="Q3212" s="86">
        <f t="shared" si="984"/>
        <v>0</v>
      </c>
      <c r="R3212" s="86">
        <f t="shared" si="985"/>
        <v>0</v>
      </c>
      <c r="S3212" s="86">
        <f t="shared" si="986"/>
        <v>0</v>
      </c>
      <c r="T3212" s="86">
        <f t="shared" si="987"/>
        <v>14868.320000000002</v>
      </c>
      <c r="U3212" s="87">
        <v>14868.320000000002</v>
      </c>
    </row>
    <row r="3213" spans="1:21" s="30" customFormat="1" ht="24.6" hidden="1" outlineLevel="1" x14ac:dyDescent="0.55000000000000004">
      <c r="A3213" s="27" t="s">
        <v>327</v>
      </c>
      <c r="B3213" s="28"/>
      <c r="C3213" s="27"/>
      <c r="D3213" s="27" t="str">
        <f>"""NAV Direct"",""CRONUS JetCorp USA"",""21"",""1"",""355297"""</f>
        <v>"NAV Direct","CRONUS JetCorp USA","21","1","355297"</v>
      </c>
      <c r="E3213" s="31">
        <f t="shared" si="979"/>
        <v>0</v>
      </c>
      <c r="F3213" s="31"/>
      <c r="G3213" s="31"/>
      <c r="H3213" s="31"/>
      <c r="I3213" s="56"/>
      <c r="J3213" s="56"/>
      <c r="K3213" s="82" t="str">
        <f t="shared" si="980"/>
        <v>Invoice</v>
      </c>
      <c r="L3213" s="83" t="str">
        <f>"SI_111123"</f>
        <v>SI_111123</v>
      </c>
      <c r="M3213" s="84">
        <v>43300</v>
      </c>
      <c r="N3213" s="85">
        <f t="shared" si="981"/>
        <v>512</v>
      </c>
      <c r="O3213" s="86">
        <f t="shared" si="982"/>
        <v>16649.23</v>
      </c>
      <c r="P3213" s="86">
        <f t="shared" si="983"/>
        <v>0</v>
      </c>
      <c r="Q3213" s="86">
        <f t="shared" si="984"/>
        <v>0</v>
      </c>
      <c r="R3213" s="86">
        <f t="shared" si="985"/>
        <v>0</v>
      </c>
      <c r="S3213" s="86">
        <f t="shared" si="986"/>
        <v>0</v>
      </c>
      <c r="T3213" s="86">
        <f t="shared" si="987"/>
        <v>16649.23</v>
      </c>
      <c r="U3213" s="87">
        <v>16649.23</v>
      </c>
    </row>
    <row r="3214" spans="1:21" s="30" customFormat="1" ht="24.6" hidden="1" outlineLevel="1" x14ac:dyDescent="0.55000000000000004">
      <c r="A3214" s="27" t="s">
        <v>327</v>
      </c>
      <c r="B3214" s="28"/>
      <c r="C3214" s="27"/>
      <c r="D3214" s="27" t="str">
        <f>"""NAV Direct"",""CRONUS JetCorp USA"",""21"",""1"",""355752"""</f>
        <v>"NAV Direct","CRONUS JetCorp USA","21","1","355752"</v>
      </c>
      <c r="E3214" s="31" t="str">
        <f t="shared" si="979"/>
        <v>C100098</v>
      </c>
      <c r="F3214" s="31"/>
      <c r="G3214" s="31"/>
      <c r="H3214" s="31"/>
      <c r="I3214" s="56"/>
      <c r="J3214" s="56"/>
      <c r="K3214" s="82" t="str">
        <f t="shared" si="980"/>
        <v>Invoice</v>
      </c>
      <c r="L3214" s="83" t="str">
        <f>"SI_111136"</f>
        <v>SI_111136</v>
      </c>
      <c r="M3214" s="84">
        <v>43377</v>
      </c>
      <c r="N3214" s="85">
        <f t="shared" si="981"/>
        <v>435</v>
      </c>
      <c r="O3214" s="86">
        <f t="shared" si="982"/>
        <v>13405.489999999998</v>
      </c>
      <c r="P3214" s="86">
        <f t="shared" si="983"/>
        <v>0</v>
      </c>
      <c r="Q3214" s="86">
        <f t="shared" si="984"/>
        <v>0</v>
      </c>
      <c r="R3214" s="86">
        <f t="shared" si="985"/>
        <v>0</v>
      </c>
      <c r="S3214" s="86">
        <f t="shared" si="986"/>
        <v>0</v>
      </c>
      <c r="T3214" s="86">
        <f t="shared" si="987"/>
        <v>13405.489999999998</v>
      </c>
      <c r="U3214" s="87">
        <v>13405.489999999998</v>
      </c>
    </row>
    <row r="3215" spans="1:21" s="30" customFormat="1" ht="24.6" hidden="1" outlineLevel="1" x14ac:dyDescent="0.55000000000000004">
      <c r="A3215" s="27" t="s">
        <v>327</v>
      </c>
      <c r="B3215" s="28"/>
      <c r="C3215" s="27"/>
      <c r="D3215" s="27" t="str">
        <f>"""NAV Direct"",""CRONUS JetCorp USA"",""21"",""1"",""355847"""</f>
        <v>"NAV Direct","CRONUS JetCorp USA","21","1","355847"</v>
      </c>
      <c r="E3215" s="31">
        <f t="shared" si="979"/>
        <v>0</v>
      </c>
      <c r="F3215" s="31"/>
      <c r="G3215" s="31"/>
      <c r="H3215" s="31"/>
      <c r="I3215" s="56"/>
      <c r="J3215" s="56"/>
      <c r="K3215" s="82" t="str">
        <f t="shared" si="980"/>
        <v>Invoice</v>
      </c>
      <c r="L3215" s="83" t="str">
        <f>"SI_111139"</f>
        <v>SI_111139</v>
      </c>
      <c r="M3215" s="84">
        <v>43401</v>
      </c>
      <c r="N3215" s="85">
        <f t="shared" si="981"/>
        <v>411</v>
      </c>
      <c r="O3215" s="86">
        <f t="shared" si="982"/>
        <v>14830.279999999999</v>
      </c>
      <c r="P3215" s="86">
        <f t="shared" si="983"/>
        <v>0</v>
      </c>
      <c r="Q3215" s="86">
        <f t="shared" si="984"/>
        <v>0</v>
      </c>
      <c r="R3215" s="86">
        <f t="shared" si="985"/>
        <v>0</v>
      </c>
      <c r="S3215" s="86">
        <f t="shared" si="986"/>
        <v>0</v>
      </c>
      <c r="T3215" s="86">
        <f t="shared" si="987"/>
        <v>14830.279999999999</v>
      </c>
      <c r="U3215" s="87">
        <v>14830.279999999999</v>
      </c>
    </row>
    <row r="3216" spans="1:21" s="30" customFormat="1" ht="24.6" hidden="1" outlineLevel="1" x14ac:dyDescent="0.55000000000000004">
      <c r="A3216" s="27" t="s">
        <v>327</v>
      </c>
      <c r="B3216" s="28"/>
      <c r="C3216" s="27"/>
      <c r="D3216" s="27" t="str">
        <f>"""NAV Direct"",""CRONUS JetCorp USA"",""21"",""1"",""355917"""</f>
        <v>"NAV Direct","CRONUS JetCorp USA","21","1","355917"</v>
      </c>
      <c r="E3216" s="31" t="str">
        <f t="shared" si="979"/>
        <v>C100098</v>
      </c>
      <c r="F3216" s="31"/>
      <c r="G3216" s="31"/>
      <c r="H3216" s="31"/>
      <c r="I3216" s="56"/>
      <c r="J3216" s="56"/>
      <c r="K3216" s="82" t="str">
        <f t="shared" si="980"/>
        <v>Invoice</v>
      </c>
      <c r="L3216" s="83" t="str">
        <f>"SI_111141"</f>
        <v>SI_111141</v>
      </c>
      <c r="M3216" s="84">
        <v>43419</v>
      </c>
      <c r="N3216" s="85">
        <f t="shared" si="981"/>
        <v>393</v>
      </c>
      <c r="O3216" s="86">
        <f t="shared" si="982"/>
        <v>16659.88</v>
      </c>
      <c r="P3216" s="86">
        <f t="shared" si="983"/>
        <v>0</v>
      </c>
      <c r="Q3216" s="86">
        <f t="shared" si="984"/>
        <v>0</v>
      </c>
      <c r="R3216" s="86">
        <f t="shared" si="985"/>
        <v>0</v>
      </c>
      <c r="S3216" s="86">
        <f t="shared" si="986"/>
        <v>0</v>
      </c>
      <c r="T3216" s="86">
        <f t="shared" si="987"/>
        <v>16659.88</v>
      </c>
      <c r="U3216" s="87">
        <v>16659.88</v>
      </c>
    </row>
    <row r="3217" spans="1:21" s="30" customFormat="1" ht="24.6" hidden="1" outlineLevel="1" x14ac:dyDescent="0.55000000000000004">
      <c r="A3217" s="27" t="s">
        <v>327</v>
      </c>
      <c r="B3217" s="28"/>
      <c r="C3217" s="27"/>
      <c r="D3217" s="27" t="str">
        <f>"""NAV Direct"",""CRONUS JetCorp USA"",""21"",""1"",""356038"""</f>
        <v>"NAV Direct","CRONUS JetCorp USA","21","1","356038"</v>
      </c>
      <c r="E3217" s="31">
        <f t="shared" si="979"/>
        <v>0</v>
      </c>
      <c r="F3217" s="31"/>
      <c r="G3217" s="31"/>
      <c r="H3217" s="31"/>
      <c r="I3217" s="56"/>
      <c r="J3217" s="56"/>
      <c r="K3217" s="82" t="str">
        <f t="shared" si="980"/>
        <v>Invoice</v>
      </c>
      <c r="L3217" s="83" t="str">
        <f>"SI_111144"</f>
        <v>SI_111144</v>
      </c>
      <c r="M3217" s="84">
        <v>43426</v>
      </c>
      <c r="N3217" s="85">
        <f t="shared" si="981"/>
        <v>386</v>
      </c>
      <c r="O3217" s="86">
        <f t="shared" si="982"/>
        <v>16488.739999999998</v>
      </c>
      <c r="P3217" s="86">
        <f t="shared" si="983"/>
        <v>0</v>
      </c>
      <c r="Q3217" s="86">
        <f t="shared" si="984"/>
        <v>0</v>
      </c>
      <c r="R3217" s="86">
        <f t="shared" si="985"/>
        <v>0</v>
      </c>
      <c r="S3217" s="86">
        <f t="shared" si="986"/>
        <v>0</v>
      </c>
      <c r="T3217" s="86">
        <f t="shared" si="987"/>
        <v>16488.739999999998</v>
      </c>
      <c r="U3217" s="87">
        <v>16488.739999999998</v>
      </c>
    </row>
    <row r="3218" spans="1:21" s="30" customFormat="1" ht="24.6" hidden="1" outlineLevel="1" x14ac:dyDescent="0.55000000000000004">
      <c r="A3218" s="27" t="s">
        <v>327</v>
      </c>
      <c r="B3218" s="28"/>
      <c r="C3218" s="27"/>
      <c r="D3218" s="27" t="str">
        <f>"""NAV Direct"",""CRONUS JetCorp USA"",""21"",""1"",""356578"""</f>
        <v>"NAV Direct","CRONUS JetCorp USA","21","1","356578"</v>
      </c>
      <c r="E3218" s="31" t="str">
        <f t="shared" si="979"/>
        <v>C100098</v>
      </c>
      <c r="F3218" s="31"/>
      <c r="G3218" s="31"/>
      <c r="H3218" s="31"/>
      <c r="I3218" s="56"/>
      <c r="J3218" s="56"/>
      <c r="K3218" s="82" t="str">
        <f t="shared" si="980"/>
        <v>Invoice</v>
      </c>
      <c r="L3218" s="83" t="str">
        <f>"SI_111158"</f>
        <v>SI_111158</v>
      </c>
      <c r="M3218" s="84">
        <v>43519</v>
      </c>
      <c r="N3218" s="85">
        <f t="shared" si="981"/>
        <v>293</v>
      </c>
      <c r="O3218" s="86">
        <f t="shared" si="982"/>
        <v>19119.71</v>
      </c>
      <c r="P3218" s="86">
        <f t="shared" si="983"/>
        <v>0</v>
      </c>
      <c r="Q3218" s="86">
        <f t="shared" si="984"/>
        <v>0</v>
      </c>
      <c r="R3218" s="86">
        <f t="shared" si="985"/>
        <v>0</v>
      </c>
      <c r="S3218" s="86">
        <f t="shared" si="986"/>
        <v>0</v>
      </c>
      <c r="T3218" s="86">
        <f t="shared" si="987"/>
        <v>19119.71</v>
      </c>
      <c r="U3218" s="87">
        <v>19119.71</v>
      </c>
    </row>
    <row r="3219" spans="1:21" s="30" customFormat="1" ht="24.6" hidden="1" outlineLevel="1" x14ac:dyDescent="0.55000000000000004">
      <c r="A3219" s="27" t="s">
        <v>327</v>
      </c>
      <c r="B3219" s="28"/>
      <c r="C3219" s="27"/>
      <c r="D3219" s="27" t="str">
        <f>"""NAV Direct"",""CRONUS JetCorp USA"",""21"",""1"",""357002"""</f>
        <v>"NAV Direct","CRONUS JetCorp USA","21","1","357002"</v>
      </c>
      <c r="E3219" s="31">
        <f t="shared" si="979"/>
        <v>0</v>
      </c>
      <c r="F3219" s="31"/>
      <c r="G3219" s="31"/>
      <c r="H3219" s="31"/>
      <c r="I3219" s="56"/>
      <c r="J3219" s="56"/>
      <c r="K3219" s="82" t="str">
        <f t="shared" si="980"/>
        <v>Invoice</v>
      </c>
      <c r="L3219" s="83" t="str">
        <f>"SI_111170"</f>
        <v>SI_111170</v>
      </c>
      <c r="M3219" s="84">
        <v>43585</v>
      </c>
      <c r="N3219" s="85">
        <f t="shared" si="981"/>
        <v>227</v>
      </c>
      <c r="O3219" s="86">
        <f t="shared" si="982"/>
        <v>19672.189999999999</v>
      </c>
      <c r="P3219" s="86">
        <f t="shared" si="983"/>
        <v>0</v>
      </c>
      <c r="Q3219" s="86">
        <f t="shared" si="984"/>
        <v>0</v>
      </c>
      <c r="R3219" s="86">
        <f t="shared" si="985"/>
        <v>0</v>
      </c>
      <c r="S3219" s="86">
        <f t="shared" si="986"/>
        <v>0</v>
      </c>
      <c r="T3219" s="86">
        <f t="shared" si="987"/>
        <v>19672.189999999999</v>
      </c>
      <c r="U3219" s="87">
        <v>19672.189999999999</v>
      </c>
    </row>
    <row r="3220" spans="1:21" s="30" customFormat="1" ht="24.6" hidden="1" outlineLevel="1" x14ac:dyDescent="0.55000000000000004">
      <c r="A3220" s="27" t="s">
        <v>327</v>
      </c>
      <c r="B3220" s="28"/>
      <c r="C3220" s="27"/>
      <c r="D3220" s="27" t="str">
        <f>"""NAV Direct"",""CRONUS JetCorp USA"",""21"",""1"",""357367"""</f>
        <v>"NAV Direct","CRONUS JetCorp USA","21","1","357367"</v>
      </c>
      <c r="E3220" s="31" t="str">
        <f t="shared" si="979"/>
        <v>C100098</v>
      </c>
      <c r="F3220" s="31"/>
      <c r="G3220" s="31"/>
      <c r="H3220" s="31"/>
      <c r="I3220" s="56"/>
      <c r="J3220" s="56"/>
      <c r="K3220" s="82" t="str">
        <f t="shared" si="980"/>
        <v>Invoice</v>
      </c>
      <c r="L3220" s="83" t="str">
        <f>"SI_111179"</f>
        <v>SI_111179</v>
      </c>
      <c r="M3220" s="84">
        <v>43639</v>
      </c>
      <c r="N3220" s="85">
        <f t="shared" si="981"/>
        <v>173</v>
      </c>
      <c r="O3220" s="86">
        <f t="shared" si="982"/>
        <v>25630.27</v>
      </c>
      <c r="P3220" s="86">
        <f t="shared" si="983"/>
        <v>0</v>
      </c>
      <c r="Q3220" s="86">
        <f t="shared" si="984"/>
        <v>0</v>
      </c>
      <c r="R3220" s="86">
        <f t="shared" si="985"/>
        <v>0</v>
      </c>
      <c r="S3220" s="86">
        <f t="shared" si="986"/>
        <v>0</v>
      </c>
      <c r="T3220" s="86">
        <f t="shared" si="987"/>
        <v>25630.27</v>
      </c>
      <c r="U3220" s="87">
        <v>25630.27</v>
      </c>
    </row>
    <row r="3221" spans="1:21" s="30" customFormat="1" ht="24.6" hidden="1" outlineLevel="1" x14ac:dyDescent="0.55000000000000004">
      <c r="A3221" s="27" t="s">
        <v>327</v>
      </c>
      <c r="B3221" s="28"/>
      <c r="C3221" s="27"/>
      <c r="D3221" s="27" t="str">
        <f>"""NAV Direct"",""CRONUS JetCorp USA"",""21"",""1"",""358477"""</f>
        <v>"NAV Direct","CRONUS JetCorp USA","21","1","358477"</v>
      </c>
      <c r="E3221" s="31">
        <f t="shared" si="979"/>
        <v>0</v>
      </c>
      <c r="F3221" s="31"/>
      <c r="G3221" s="31"/>
      <c r="H3221" s="31"/>
      <c r="I3221" s="56"/>
      <c r="J3221" s="56"/>
      <c r="K3221" s="82" t="str">
        <f t="shared" si="980"/>
        <v>Invoice</v>
      </c>
      <c r="L3221" s="83" t="str">
        <f>"SI_111209"</f>
        <v>SI_111209</v>
      </c>
      <c r="M3221" s="84">
        <v>42028</v>
      </c>
      <c r="N3221" s="85">
        <f t="shared" si="981"/>
        <v>1784</v>
      </c>
      <c r="O3221" s="86">
        <f t="shared" si="982"/>
        <v>14368.95</v>
      </c>
      <c r="P3221" s="86">
        <f t="shared" si="983"/>
        <v>0</v>
      </c>
      <c r="Q3221" s="86">
        <f t="shared" si="984"/>
        <v>0</v>
      </c>
      <c r="R3221" s="86">
        <f t="shared" si="985"/>
        <v>0</v>
      </c>
      <c r="S3221" s="86">
        <f t="shared" si="986"/>
        <v>0</v>
      </c>
      <c r="T3221" s="86">
        <f t="shared" si="987"/>
        <v>14368.95</v>
      </c>
      <c r="U3221" s="87">
        <v>14368.95</v>
      </c>
    </row>
    <row r="3222" spans="1:21" s="30" customFormat="1" ht="24.6" hidden="1" outlineLevel="1" x14ac:dyDescent="0.55000000000000004">
      <c r="A3222" s="27" t="s">
        <v>327</v>
      </c>
      <c r="B3222" s="28"/>
      <c r="C3222" s="27"/>
      <c r="D3222" s="27" t="str">
        <f>"""NAV Direct"",""CRONUS JetCorp USA"",""21"",""1"",""358955"""</f>
        <v>"NAV Direct","CRONUS JetCorp USA","21","1","358955"</v>
      </c>
      <c r="E3222" s="31" t="str">
        <f t="shared" si="979"/>
        <v>C100098</v>
      </c>
      <c r="F3222" s="31"/>
      <c r="G3222" s="31"/>
      <c r="H3222" s="31"/>
      <c r="I3222" s="56"/>
      <c r="J3222" s="56"/>
      <c r="K3222" s="82" t="str">
        <f t="shared" si="980"/>
        <v>Invoice</v>
      </c>
      <c r="L3222" s="83" t="str">
        <f>"SI_111223"</f>
        <v>SI_111223</v>
      </c>
      <c r="M3222" s="84">
        <v>42122</v>
      </c>
      <c r="N3222" s="85">
        <f t="shared" si="981"/>
        <v>1690</v>
      </c>
      <c r="O3222" s="86">
        <f t="shared" si="982"/>
        <v>13750.76</v>
      </c>
      <c r="P3222" s="86">
        <f t="shared" si="983"/>
        <v>0</v>
      </c>
      <c r="Q3222" s="86">
        <f t="shared" si="984"/>
        <v>0</v>
      </c>
      <c r="R3222" s="86">
        <f t="shared" si="985"/>
        <v>0</v>
      </c>
      <c r="S3222" s="86">
        <f t="shared" si="986"/>
        <v>0</v>
      </c>
      <c r="T3222" s="86">
        <f t="shared" si="987"/>
        <v>13750.76</v>
      </c>
      <c r="U3222" s="87">
        <v>13750.76</v>
      </c>
    </row>
    <row r="3223" spans="1:21" s="30" customFormat="1" ht="24.6" hidden="1" outlineLevel="1" x14ac:dyDescent="0.55000000000000004">
      <c r="A3223" s="27" t="s">
        <v>327</v>
      </c>
      <c r="B3223" s="28"/>
      <c r="C3223" s="27"/>
      <c r="D3223" s="27" t="str">
        <f>"""NAV Direct"",""CRONUS JetCorp USA"",""21"",""1"",""359148"""</f>
        <v>"NAV Direct","CRONUS JetCorp USA","21","1","359148"</v>
      </c>
      <c r="E3223" s="31">
        <f t="shared" si="979"/>
        <v>0</v>
      </c>
      <c r="F3223" s="31"/>
      <c r="G3223" s="31"/>
      <c r="H3223" s="31"/>
      <c r="I3223" s="56"/>
      <c r="J3223" s="56"/>
      <c r="K3223" s="82" t="str">
        <f t="shared" si="980"/>
        <v>Invoice</v>
      </c>
      <c r="L3223" s="83" t="str">
        <f>"SI_111228"</f>
        <v>SI_111228</v>
      </c>
      <c r="M3223" s="84">
        <v>42148</v>
      </c>
      <c r="N3223" s="85">
        <f t="shared" si="981"/>
        <v>1664</v>
      </c>
      <c r="O3223" s="86">
        <f t="shared" si="982"/>
        <v>15538.84</v>
      </c>
      <c r="P3223" s="86">
        <f t="shared" si="983"/>
        <v>0</v>
      </c>
      <c r="Q3223" s="86">
        <f t="shared" si="984"/>
        <v>0</v>
      </c>
      <c r="R3223" s="86">
        <f t="shared" si="985"/>
        <v>0</v>
      </c>
      <c r="S3223" s="86">
        <f t="shared" si="986"/>
        <v>0</v>
      </c>
      <c r="T3223" s="86">
        <f t="shared" si="987"/>
        <v>15538.84</v>
      </c>
      <c r="U3223" s="87">
        <v>15538.84</v>
      </c>
    </row>
    <row r="3224" spans="1:21" s="30" customFormat="1" ht="24.6" hidden="1" outlineLevel="1" x14ac:dyDescent="0.55000000000000004">
      <c r="A3224" s="27" t="s">
        <v>327</v>
      </c>
      <c r="B3224" s="28"/>
      <c r="C3224" s="27"/>
      <c r="D3224" s="27" t="str">
        <f>"""NAV Direct"",""CRONUS JetCorp USA"",""21"",""1"",""359308"""</f>
        <v>"NAV Direct","CRONUS JetCorp USA","21","1","359308"</v>
      </c>
      <c r="E3224" s="31" t="str">
        <f t="shared" ref="E3224:E3243" si="988">E3222</f>
        <v>C100098</v>
      </c>
      <c r="F3224" s="31"/>
      <c r="G3224" s="31"/>
      <c r="H3224" s="31"/>
      <c r="I3224" s="56"/>
      <c r="J3224" s="56"/>
      <c r="K3224" s="82" t="str">
        <f t="shared" si="980"/>
        <v>Invoice</v>
      </c>
      <c r="L3224" s="83" t="str">
        <f>"SI_111232"</f>
        <v>SI_111232</v>
      </c>
      <c r="M3224" s="84">
        <v>42175</v>
      </c>
      <c r="N3224" s="85">
        <f t="shared" ref="N3224:N3243" si="989">StartDate-$M3224+1</f>
        <v>1637</v>
      </c>
      <c r="O3224" s="86">
        <f t="shared" ref="O3224:O3243" si="990">SUM(P3224:T3224)</f>
        <v>18102.84</v>
      </c>
      <c r="P3224" s="86">
        <f t="shared" ref="P3224:P3243" si="991">IF($M3224&gt;=$P$18,U3224,0)</f>
        <v>0</v>
      </c>
      <c r="Q3224" s="86">
        <f t="shared" ref="Q3224:Q3243" si="992">IF(AND($M3224&gt;=$Q$16,$M3224&lt;=$Q$18),U3224,0)</f>
        <v>0</v>
      </c>
      <c r="R3224" s="86">
        <f t="shared" ref="R3224:R3243" si="993">IF(AND($M3224&gt;=$R$16,$M3224&lt;=$R$18),U3224,0)</f>
        <v>0</v>
      </c>
      <c r="S3224" s="86">
        <f t="shared" ref="S3224:S3243" si="994">IF(AND($M3224&gt;=$S$16,$M3224&lt;=$S$18),U3224,0)</f>
        <v>0</v>
      </c>
      <c r="T3224" s="86">
        <f t="shared" ref="T3224:T3243" si="995">IF($M3224&lt;=$T$18,U3224,0)</f>
        <v>18102.84</v>
      </c>
      <c r="U3224" s="87">
        <v>18102.84</v>
      </c>
    </row>
    <row r="3225" spans="1:21" s="30" customFormat="1" ht="24.6" hidden="1" outlineLevel="1" x14ac:dyDescent="0.55000000000000004">
      <c r="A3225" s="27" t="s">
        <v>327</v>
      </c>
      <c r="B3225" s="28"/>
      <c r="C3225" s="27"/>
      <c r="D3225" s="27" t="str">
        <f>"""NAV Direct"",""CRONUS JetCorp USA"",""21"",""1"",""359436"""</f>
        <v>"NAV Direct","CRONUS JetCorp USA","21","1","359436"</v>
      </c>
      <c r="E3225" s="31">
        <f t="shared" si="988"/>
        <v>0</v>
      </c>
      <c r="F3225" s="31"/>
      <c r="G3225" s="31"/>
      <c r="H3225" s="31"/>
      <c r="I3225" s="56"/>
      <c r="J3225" s="56"/>
      <c r="K3225" s="82" t="str">
        <f t="shared" si="980"/>
        <v>Invoice</v>
      </c>
      <c r="L3225" s="83" t="str">
        <f>"SI_111236"</f>
        <v>SI_111236</v>
      </c>
      <c r="M3225" s="84">
        <v>42183</v>
      </c>
      <c r="N3225" s="85">
        <f t="shared" si="989"/>
        <v>1629</v>
      </c>
      <c r="O3225" s="86">
        <f t="shared" si="990"/>
        <v>18103.259999999998</v>
      </c>
      <c r="P3225" s="86">
        <f t="shared" si="991"/>
        <v>0</v>
      </c>
      <c r="Q3225" s="86">
        <f t="shared" si="992"/>
        <v>0</v>
      </c>
      <c r="R3225" s="86">
        <f t="shared" si="993"/>
        <v>0</v>
      </c>
      <c r="S3225" s="86">
        <f t="shared" si="994"/>
        <v>0</v>
      </c>
      <c r="T3225" s="86">
        <f t="shared" si="995"/>
        <v>18103.259999999998</v>
      </c>
      <c r="U3225" s="87">
        <v>18103.259999999998</v>
      </c>
    </row>
    <row r="3226" spans="1:21" s="30" customFormat="1" ht="24.6" hidden="1" outlineLevel="1" x14ac:dyDescent="0.55000000000000004">
      <c r="A3226" s="27" t="s">
        <v>327</v>
      </c>
      <c r="B3226" s="28"/>
      <c r="C3226" s="27"/>
      <c r="D3226" s="27" t="str">
        <f>"""NAV Direct"",""CRONUS JetCorp USA"",""21"",""1"",""359731"""</f>
        <v>"NAV Direct","CRONUS JetCorp USA","21","1","359731"</v>
      </c>
      <c r="E3226" s="31" t="str">
        <f t="shared" si="988"/>
        <v>C100098</v>
      </c>
      <c r="F3226" s="31"/>
      <c r="G3226" s="31"/>
      <c r="H3226" s="31"/>
      <c r="I3226" s="56"/>
      <c r="J3226" s="56"/>
      <c r="K3226" s="82" t="str">
        <f t="shared" si="980"/>
        <v>Invoice</v>
      </c>
      <c r="L3226" s="83" t="str">
        <f>"SI_111245"</f>
        <v>SI_111245</v>
      </c>
      <c r="M3226" s="84">
        <v>42213</v>
      </c>
      <c r="N3226" s="85">
        <f t="shared" si="989"/>
        <v>1599</v>
      </c>
      <c r="O3226" s="86">
        <f t="shared" si="990"/>
        <v>11375.71</v>
      </c>
      <c r="P3226" s="86">
        <f t="shared" si="991"/>
        <v>0</v>
      </c>
      <c r="Q3226" s="86">
        <f t="shared" si="992"/>
        <v>0</v>
      </c>
      <c r="R3226" s="86">
        <f t="shared" si="993"/>
        <v>0</v>
      </c>
      <c r="S3226" s="86">
        <f t="shared" si="994"/>
        <v>0</v>
      </c>
      <c r="T3226" s="86">
        <f t="shared" si="995"/>
        <v>11375.71</v>
      </c>
      <c r="U3226" s="87">
        <v>11375.71</v>
      </c>
    </row>
    <row r="3227" spans="1:21" s="30" customFormat="1" ht="24.6" hidden="1" outlineLevel="1" x14ac:dyDescent="0.55000000000000004">
      <c r="A3227" s="27" t="s">
        <v>327</v>
      </c>
      <c r="B3227" s="28"/>
      <c r="C3227" s="27"/>
      <c r="D3227" s="27" t="str">
        <f>"""NAV Direct"",""CRONUS JetCorp USA"",""21"",""1"",""359948"""</f>
        <v>"NAV Direct","CRONUS JetCorp USA","21","1","359948"</v>
      </c>
      <c r="E3227" s="31">
        <f t="shared" si="988"/>
        <v>0</v>
      </c>
      <c r="F3227" s="31"/>
      <c r="G3227" s="31"/>
      <c r="H3227" s="31"/>
      <c r="I3227" s="56"/>
      <c r="J3227" s="56"/>
      <c r="K3227" s="82" t="str">
        <f t="shared" si="980"/>
        <v>Invoice</v>
      </c>
      <c r="L3227" s="83" t="str">
        <f>"SI_111252"</f>
        <v>SI_111252</v>
      </c>
      <c r="M3227" s="84">
        <v>42275</v>
      </c>
      <c r="N3227" s="85">
        <f t="shared" si="989"/>
        <v>1537</v>
      </c>
      <c r="O3227" s="86">
        <f t="shared" si="990"/>
        <v>8957.65</v>
      </c>
      <c r="P3227" s="86">
        <f t="shared" si="991"/>
        <v>0</v>
      </c>
      <c r="Q3227" s="86">
        <f t="shared" si="992"/>
        <v>0</v>
      </c>
      <c r="R3227" s="86">
        <f t="shared" si="993"/>
        <v>0</v>
      </c>
      <c r="S3227" s="86">
        <f t="shared" si="994"/>
        <v>0</v>
      </c>
      <c r="T3227" s="86">
        <f t="shared" si="995"/>
        <v>8957.65</v>
      </c>
      <c r="U3227" s="87">
        <v>8957.65</v>
      </c>
    </row>
    <row r="3228" spans="1:21" s="30" customFormat="1" ht="24.6" hidden="1" outlineLevel="1" x14ac:dyDescent="0.55000000000000004">
      <c r="A3228" s="27" t="s">
        <v>327</v>
      </c>
      <c r="B3228" s="28"/>
      <c r="C3228" s="27"/>
      <c r="D3228" s="27" t="str">
        <f>"""NAV Direct"",""CRONUS JetCorp USA"",""21"",""1"",""359979"""</f>
        <v>"NAV Direct","CRONUS JetCorp USA","21","1","359979"</v>
      </c>
      <c r="E3228" s="31" t="str">
        <f t="shared" si="988"/>
        <v>C100098</v>
      </c>
      <c r="F3228" s="31"/>
      <c r="G3228" s="31"/>
      <c r="H3228" s="31"/>
      <c r="I3228" s="56"/>
      <c r="J3228" s="56"/>
      <c r="K3228" s="82" t="str">
        <f t="shared" si="980"/>
        <v>Invoice</v>
      </c>
      <c r="L3228" s="83" t="str">
        <f>"SI_111253"</f>
        <v>SI_111253</v>
      </c>
      <c r="M3228" s="84">
        <v>42275</v>
      </c>
      <c r="N3228" s="85">
        <f t="shared" si="989"/>
        <v>1537</v>
      </c>
      <c r="O3228" s="86">
        <f t="shared" si="990"/>
        <v>8958.58</v>
      </c>
      <c r="P3228" s="86">
        <f t="shared" si="991"/>
        <v>0</v>
      </c>
      <c r="Q3228" s="86">
        <f t="shared" si="992"/>
        <v>0</v>
      </c>
      <c r="R3228" s="86">
        <f t="shared" si="993"/>
        <v>0</v>
      </c>
      <c r="S3228" s="86">
        <f t="shared" si="994"/>
        <v>0</v>
      </c>
      <c r="T3228" s="86">
        <f t="shared" si="995"/>
        <v>8958.58</v>
      </c>
      <c r="U3228" s="87">
        <v>8958.58</v>
      </c>
    </row>
    <row r="3229" spans="1:21" s="30" customFormat="1" ht="24.6" hidden="1" outlineLevel="1" x14ac:dyDescent="0.55000000000000004">
      <c r="A3229" s="27" t="s">
        <v>327</v>
      </c>
      <c r="B3229" s="28"/>
      <c r="C3229" s="27"/>
      <c r="D3229" s="27" t="str">
        <f>"""NAV Direct"",""CRONUS JetCorp USA"",""21"",""1"",""360084"""</f>
        <v>"NAV Direct","CRONUS JetCorp USA","21","1","360084"</v>
      </c>
      <c r="E3229" s="31">
        <f t="shared" si="988"/>
        <v>0</v>
      </c>
      <c r="F3229" s="31"/>
      <c r="G3229" s="31"/>
      <c r="H3229" s="31"/>
      <c r="I3229" s="56"/>
      <c r="J3229" s="56"/>
      <c r="K3229" s="82" t="str">
        <f t="shared" si="980"/>
        <v>Invoice</v>
      </c>
      <c r="L3229" s="83" t="str">
        <f>"SI_111256"</f>
        <v>SI_111256</v>
      </c>
      <c r="M3229" s="84">
        <v>42301</v>
      </c>
      <c r="N3229" s="85">
        <f t="shared" si="989"/>
        <v>1511</v>
      </c>
      <c r="O3229" s="86">
        <f t="shared" si="990"/>
        <v>9854.84</v>
      </c>
      <c r="P3229" s="86">
        <f t="shared" si="991"/>
        <v>0</v>
      </c>
      <c r="Q3229" s="86">
        <f t="shared" si="992"/>
        <v>0</v>
      </c>
      <c r="R3229" s="86">
        <f t="shared" si="993"/>
        <v>0</v>
      </c>
      <c r="S3229" s="86">
        <f t="shared" si="994"/>
        <v>0</v>
      </c>
      <c r="T3229" s="86">
        <f t="shared" si="995"/>
        <v>9854.84</v>
      </c>
      <c r="U3229" s="87">
        <v>9854.84</v>
      </c>
    </row>
    <row r="3230" spans="1:21" s="30" customFormat="1" ht="24.6" hidden="1" outlineLevel="1" x14ac:dyDescent="0.55000000000000004">
      <c r="A3230" s="27" t="s">
        <v>327</v>
      </c>
      <c r="B3230" s="28"/>
      <c r="C3230" s="27"/>
      <c r="D3230" s="27" t="str">
        <f>"""NAV Direct"",""CRONUS JetCorp USA"",""21"",""1"",""360140"""</f>
        <v>"NAV Direct","CRONUS JetCorp USA","21","1","360140"</v>
      </c>
      <c r="E3230" s="31" t="str">
        <f t="shared" si="988"/>
        <v>C100098</v>
      </c>
      <c r="F3230" s="31"/>
      <c r="G3230" s="31"/>
      <c r="H3230" s="31"/>
      <c r="I3230" s="56"/>
      <c r="J3230" s="56"/>
      <c r="K3230" s="82" t="str">
        <f t="shared" si="980"/>
        <v>Invoice</v>
      </c>
      <c r="L3230" s="83" t="str">
        <f>"SI_111258"</f>
        <v>SI_111258</v>
      </c>
      <c r="M3230" s="84">
        <v>42311</v>
      </c>
      <c r="N3230" s="85">
        <f t="shared" si="989"/>
        <v>1501</v>
      </c>
      <c r="O3230" s="86">
        <f t="shared" si="990"/>
        <v>9854.84</v>
      </c>
      <c r="P3230" s="86">
        <f t="shared" si="991"/>
        <v>0</v>
      </c>
      <c r="Q3230" s="86">
        <f t="shared" si="992"/>
        <v>0</v>
      </c>
      <c r="R3230" s="86">
        <f t="shared" si="993"/>
        <v>0</v>
      </c>
      <c r="S3230" s="86">
        <f t="shared" si="994"/>
        <v>0</v>
      </c>
      <c r="T3230" s="86">
        <f t="shared" si="995"/>
        <v>9854.84</v>
      </c>
      <c r="U3230" s="87">
        <v>9854.84</v>
      </c>
    </row>
    <row r="3231" spans="1:21" s="30" customFormat="1" ht="24.6" hidden="1" outlineLevel="1" x14ac:dyDescent="0.55000000000000004">
      <c r="A3231" s="27" t="s">
        <v>327</v>
      </c>
      <c r="B3231" s="28"/>
      <c r="C3231" s="27"/>
      <c r="D3231" s="27" t="str">
        <f>"""NAV Direct"",""CRONUS JetCorp USA"",""21"",""1"",""360208"""</f>
        <v>"NAV Direct","CRONUS JetCorp USA","21","1","360208"</v>
      </c>
      <c r="E3231" s="31">
        <f t="shared" si="988"/>
        <v>0</v>
      </c>
      <c r="F3231" s="31"/>
      <c r="G3231" s="31"/>
      <c r="H3231" s="31"/>
      <c r="I3231" s="56"/>
      <c r="J3231" s="56"/>
      <c r="K3231" s="82" t="str">
        <f t="shared" si="980"/>
        <v>Invoice</v>
      </c>
      <c r="L3231" s="83" t="str">
        <f>"SI_111260"</f>
        <v>SI_111260</v>
      </c>
      <c r="M3231" s="84">
        <v>42326</v>
      </c>
      <c r="N3231" s="85">
        <f t="shared" si="989"/>
        <v>1486</v>
      </c>
      <c r="O3231" s="86">
        <f t="shared" si="990"/>
        <v>9854.4600000000009</v>
      </c>
      <c r="P3231" s="86">
        <f t="shared" si="991"/>
        <v>0</v>
      </c>
      <c r="Q3231" s="86">
        <f t="shared" si="992"/>
        <v>0</v>
      </c>
      <c r="R3231" s="86">
        <f t="shared" si="993"/>
        <v>0</v>
      </c>
      <c r="S3231" s="86">
        <f t="shared" si="994"/>
        <v>0</v>
      </c>
      <c r="T3231" s="86">
        <f t="shared" si="995"/>
        <v>9854.4600000000009</v>
      </c>
      <c r="U3231" s="87">
        <v>9854.4600000000009</v>
      </c>
    </row>
    <row r="3232" spans="1:21" s="30" customFormat="1" ht="24.6" hidden="1" outlineLevel="1" x14ac:dyDescent="0.55000000000000004">
      <c r="A3232" s="27" t="s">
        <v>327</v>
      </c>
      <c r="B3232" s="28"/>
      <c r="C3232" s="27"/>
      <c r="D3232" s="27" t="str">
        <f>"""NAV Direct"",""CRONUS JetCorp USA"",""21"",""1"",""360388"""</f>
        <v>"NAV Direct","CRONUS JetCorp USA","21","1","360388"</v>
      </c>
      <c r="E3232" s="31" t="str">
        <f t="shared" si="988"/>
        <v>C100098</v>
      </c>
      <c r="F3232" s="31"/>
      <c r="G3232" s="31"/>
      <c r="H3232" s="31"/>
      <c r="I3232" s="56"/>
      <c r="J3232" s="56"/>
      <c r="K3232" s="82" t="str">
        <f t="shared" si="980"/>
        <v>Invoice</v>
      </c>
      <c r="L3232" s="83" t="str">
        <f>"SI_111266"</f>
        <v>SI_111266</v>
      </c>
      <c r="M3232" s="84">
        <v>42337</v>
      </c>
      <c r="N3232" s="85">
        <f t="shared" si="989"/>
        <v>1475</v>
      </c>
      <c r="O3232" s="86">
        <f t="shared" si="990"/>
        <v>9854.39</v>
      </c>
      <c r="P3232" s="86">
        <f t="shared" si="991"/>
        <v>0</v>
      </c>
      <c r="Q3232" s="86">
        <f t="shared" si="992"/>
        <v>0</v>
      </c>
      <c r="R3232" s="86">
        <f t="shared" si="993"/>
        <v>0</v>
      </c>
      <c r="S3232" s="86">
        <f t="shared" si="994"/>
        <v>0</v>
      </c>
      <c r="T3232" s="86">
        <f t="shared" si="995"/>
        <v>9854.39</v>
      </c>
      <c r="U3232" s="87">
        <v>9854.39</v>
      </c>
    </row>
    <row r="3233" spans="1:21" s="30" customFormat="1" ht="24.6" hidden="1" outlineLevel="1" x14ac:dyDescent="0.55000000000000004">
      <c r="A3233" s="27" t="s">
        <v>327</v>
      </c>
      <c r="B3233" s="28"/>
      <c r="C3233" s="27"/>
      <c r="D3233" s="27" t="str">
        <f>"""NAV Direct"",""CRONUS JetCorp USA"",""21"",""1"",""360495"""</f>
        <v>"NAV Direct","CRONUS JetCorp USA","21","1","360495"</v>
      </c>
      <c r="E3233" s="31">
        <f t="shared" si="988"/>
        <v>0</v>
      </c>
      <c r="F3233" s="31"/>
      <c r="G3233" s="31"/>
      <c r="H3233" s="31"/>
      <c r="I3233" s="56"/>
      <c r="J3233" s="56"/>
      <c r="K3233" s="82" t="str">
        <f t="shared" si="980"/>
        <v>Invoice</v>
      </c>
      <c r="L3233" s="83" t="str">
        <f>"SI_111269"</f>
        <v>SI_111269</v>
      </c>
      <c r="M3233" s="84">
        <v>42364</v>
      </c>
      <c r="N3233" s="85">
        <f t="shared" si="989"/>
        <v>1448</v>
      </c>
      <c r="O3233" s="86">
        <f t="shared" si="990"/>
        <v>11628.75</v>
      </c>
      <c r="P3233" s="86">
        <f t="shared" si="991"/>
        <v>0</v>
      </c>
      <c r="Q3233" s="86">
        <f t="shared" si="992"/>
        <v>0</v>
      </c>
      <c r="R3233" s="86">
        <f t="shared" si="993"/>
        <v>0</v>
      </c>
      <c r="S3233" s="86">
        <f t="shared" si="994"/>
        <v>0</v>
      </c>
      <c r="T3233" s="86">
        <f t="shared" si="995"/>
        <v>11628.75</v>
      </c>
      <c r="U3233" s="87">
        <v>11628.75</v>
      </c>
    </row>
    <row r="3234" spans="1:21" s="30" customFormat="1" ht="24.6" hidden="1" outlineLevel="1" x14ac:dyDescent="0.55000000000000004">
      <c r="A3234" s="27" t="s">
        <v>327</v>
      </c>
      <c r="B3234" s="28"/>
      <c r="C3234" s="27"/>
      <c r="D3234" s="27" t="str">
        <f>"""NAV Direct"",""CRONUS JetCorp USA"",""21"",""1"",""360614"""</f>
        <v>"NAV Direct","CRONUS JetCorp USA","21","1","360614"</v>
      </c>
      <c r="E3234" s="31" t="str">
        <f t="shared" si="988"/>
        <v>C100098</v>
      </c>
      <c r="F3234" s="31"/>
      <c r="G3234" s="31"/>
      <c r="H3234" s="31"/>
      <c r="I3234" s="56"/>
      <c r="J3234" s="56"/>
      <c r="K3234" s="82" t="str">
        <f t="shared" si="980"/>
        <v>Invoice</v>
      </c>
      <c r="L3234" s="83" t="str">
        <f>"SI_111272"</f>
        <v>SI_111272</v>
      </c>
      <c r="M3234" s="84">
        <v>42736</v>
      </c>
      <c r="N3234" s="85">
        <f t="shared" si="989"/>
        <v>1076</v>
      </c>
      <c r="O3234" s="86">
        <f t="shared" si="990"/>
        <v>11628.64</v>
      </c>
      <c r="P3234" s="86">
        <f t="shared" si="991"/>
        <v>0</v>
      </c>
      <c r="Q3234" s="86">
        <f t="shared" si="992"/>
        <v>0</v>
      </c>
      <c r="R3234" s="86">
        <f t="shared" si="993"/>
        <v>0</v>
      </c>
      <c r="S3234" s="86">
        <f t="shared" si="994"/>
        <v>0</v>
      </c>
      <c r="T3234" s="86">
        <f t="shared" si="995"/>
        <v>11628.64</v>
      </c>
      <c r="U3234" s="87">
        <v>11628.64</v>
      </c>
    </row>
    <row r="3235" spans="1:21" s="30" customFormat="1" ht="24.6" hidden="1" outlineLevel="1" x14ac:dyDescent="0.55000000000000004">
      <c r="A3235" s="27" t="s">
        <v>327</v>
      </c>
      <c r="B3235" s="28"/>
      <c r="C3235" s="27"/>
      <c r="D3235" s="27" t="str">
        <f>"""NAV Direct"",""CRONUS JetCorp USA"",""21"",""1"",""360653"""</f>
        <v>"NAV Direct","CRONUS JetCorp USA","21","1","360653"</v>
      </c>
      <c r="E3235" s="31">
        <f t="shared" si="988"/>
        <v>0</v>
      </c>
      <c r="F3235" s="31"/>
      <c r="G3235" s="31"/>
      <c r="H3235" s="31"/>
      <c r="I3235" s="56"/>
      <c r="J3235" s="56"/>
      <c r="K3235" s="82" t="str">
        <f t="shared" si="980"/>
        <v>Invoice</v>
      </c>
      <c r="L3235" s="83" t="str">
        <f>"SI_111273"</f>
        <v>SI_111273</v>
      </c>
      <c r="M3235" s="84">
        <v>42736</v>
      </c>
      <c r="N3235" s="85">
        <f t="shared" si="989"/>
        <v>1076</v>
      </c>
      <c r="O3235" s="86">
        <f t="shared" si="990"/>
        <v>11628.61</v>
      </c>
      <c r="P3235" s="86">
        <f t="shared" si="991"/>
        <v>0</v>
      </c>
      <c r="Q3235" s="86">
        <f t="shared" si="992"/>
        <v>0</v>
      </c>
      <c r="R3235" s="86">
        <f t="shared" si="993"/>
        <v>0</v>
      </c>
      <c r="S3235" s="86">
        <f t="shared" si="994"/>
        <v>0</v>
      </c>
      <c r="T3235" s="86">
        <f t="shared" si="995"/>
        <v>11628.61</v>
      </c>
      <c r="U3235" s="87">
        <v>11628.61</v>
      </c>
    </row>
    <row r="3236" spans="1:21" s="30" customFormat="1" ht="24.6" hidden="1" outlineLevel="1" x14ac:dyDescent="0.55000000000000004">
      <c r="A3236" s="27" t="s">
        <v>327</v>
      </c>
      <c r="B3236" s="28"/>
      <c r="C3236" s="27"/>
      <c r="D3236" s="27" t="str">
        <f>"""NAV Direct"",""CRONUS JetCorp USA"",""21"",""1"",""434756"""</f>
        <v>"NAV Direct","CRONUS JetCorp USA","21","1","434756"</v>
      </c>
      <c r="E3236" s="31" t="str">
        <f t="shared" si="988"/>
        <v>C100098</v>
      </c>
      <c r="F3236" s="31"/>
      <c r="G3236" s="31"/>
      <c r="H3236" s="31"/>
      <c r="I3236" s="56"/>
      <c r="J3236" s="56"/>
      <c r="K3236" s="82" t="str">
        <f t="shared" ref="K3236:K3243" si="996">"Credit Memo"</f>
        <v>Credit Memo</v>
      </c>
      <c r="L3236" s="83" t="str">
        <f>"SC_100574"</f>
        <v>SC_100574</v>
      </c>
      <c r="M3236" s="84">
        <v>42424</v>
      </c>
      <c r="N3236" s="85">
        <f t="shared" si="989"/>
        <v>1388</v>
      </c>
      <c r="O3236" s="86">
        <f t="shared" si="990"/>
        <v>-100.13000000000001</v>
      </c>
      <c r="P3236" s="86">
        <f t="shared" si="991"/>
        <v>0</v>
      </c>
      <c r="Q3236" s="86">
        <f t="shared" si="992"/>
        <v>0</v>
      </c>
      <c r="R3236" s="86">
        <f t="shared" si="993"/>
        <v>0</v>
      </c>
      <c r="S3236" s="86">
        <f t="shared" si="994"/>
        <v>0</v>
      </c>
      <c r="T3236" s="86">
        <f t="shared" si="995"/>
        <v>-100.13000000000001</v>
      </c>
      <c r="U3236" s="87">
        <v>-100.13000000000001</v>
      </c>
    </row>
    <row r="3237" spans="1:21" s="30" customFormat="1" ht="24.6" hidden="1" outlineLevel="1" x14ac:dyDescent="0.55000000000000004">
      <c r="A3237" s="27" t="s">
        <v>327</v>
      </c>
      <c r="B3237" s="28"/>
      <c r="C3237" s="27"/>
      <c r="D3237" s="27" t="str">
        <f>"""NAV Direct"",""CRONUS JetCorp USA"",""21"",""1"",""434820"""</f>
        <v>"NAV Direct","CRONUS JetCorp USA","21","1","434820"</v>
      </c>
      <c r="E3237" s="31">
        <f t="shared" si="988"/>
        <v>0</v>
      </c>
      <c r="F3237" s="31"/>
      <c r="G3237" s="31"/>
      <c r="H3237" s="31"/>
      <c r="I3237" s="56"/>
      <c r="J3237" s="56"/>
      <c r="K3237" s="82" t="str">
        <f t="shared" si="996"/>
        <v>Credit Memo</v>
      </c>
      <c r="L3237" s="83" t="str">
        <f>"SC_100578"</f>
        <v>SC_100578</v>
      </c>
      <c r="M3237" s="84">
        <v>42596</v>
      </c>
      <c r="N3237" s="85">
        <f t="shared" si="989"/>
        <v>1216</v>
      </c>
      <c r="O3237" s="86">
        <f t="shared" si="990"/>
        <v>-107.84</v>
      </c>
      <c r="P3237" s="86">
        <f t="shared" si="991"/>
        <v>0</v>
      </c>
      <c r="Q3237" s="86">
        <f t="shared" si="992"/>
        <v>0</v>
      </c>
      <c r="R3237" s="86">
        <f t="shared" si="993"/>
        <v>0</v>
      </c>
      <c r="S3237" s="86">
        <f t="shared" si="994"/>
        <v>0</v>
      </c>
      <c r="T3237" s="86">
        <f t="shared" si="995"/>
        <v>-107.84</v>
      </c>
      <c r="U3237" s="87">
        <v>-107.84</v>
      </c>
    </row>
    <row r="3238" spans="1:21" s="30" customFormat="1" ht="24.6" hidden="1" outlineLevel="1" x14ac:dyDescent="0.55000000000000004">
      <c r="A3238" s="27" t="s">
        <v>327</v>
      </c>
      <c r="B3238" s="28"/>
      <c r="C3238" s="27"/>
      <c r="D3238" s="27" t="str">
        <f>"""NAV Direct"",""CRONUS JetCorp USA"",""21"",""1"",""434992"""</f>
        <v>"NAV Direct","CRONUS JetCorp USA","21","1","434992"</v>
      </c>
      <c r="E3238" s="31" t="str">
        <f t="shared" si="988"/>
        <v>C100098</v>
      </c>
      <c r="F3238" s="31"/>
      <c r="G3238" s="31"/>
      <c r="H3238" s="31"/>
      <c r="I3238" s="56"/>
      <c r="J3238" s="56"/>
      <c r="K3238" s="82" t="str">
        <f t="shared" si="996"/>
        <v>Credit Memo</v>
      </c>
      <c r="L3238" s="83" t="str">
        <f>"SC_100590"</f>
        <v>SC_100590</v>
      </c>
      <c r="M3238" s="84">
        <v>43083</v>
      </c>
      <c r="N3238" s="85">
        <f t="shared" si="989"/>
        <v>729</v>
      </c>
      <c r="O3238" s="86">
        <f t="shared" si="990"/>
        <v>-158.47999999999999</v>
      </c>
      <c r="P3238" s="86">
        <f t="shared" si="991"/>
        <v>0</v>
      </c>
      <c r="Q3238" s="86">
        <f t="shared" si="992"/>
        <v>0</v>
      </c>
      <c r="R3238" s="86">
        <f t="shared" si="993"/>
        <v>0</v>
      </c>
      <c r="S3238" s="86">
        <f t="shared" si="994"/>
        <v>0</v>
      </c>
      <c r="T3238" s="86">
        <f t="shared" si="995"/>
        <v>-158.47999999999999</v>
      </c>
      <c r="U3238" s="87">
        <v>-158.47999999999999</v>
      </c>
    </row>
    <row r="3239" spans="1:21" s="30" customFormat="1" ht="24.6" hidden="1" outlineLevel="1" x14ac:dyDescent="0.55000000000000004">
      <c r="A3239" s="27" t="s">
        <v>327</v>
      </c>
      <c r="B3239" s="28"/>
      <c r="C3239" s="27"/>
      <c r="D3239" s="27" t="str">
        <f>"""NAV Direct"",""CRONUS JetCorp USA"",""21"",""1"",""435075"""</f>
        <v>"NAV Direct","CRONUS JetCorp USA","21","1","435075"</v>
      </c>
      <c r="E3239" s="31">
        <f t="shared" si="988"/>
        <v>0</v>
      </c>
      <c r="F3239" s="31"/>
      <c r="G3239" s="31"/>
      <c r="H3239" s="31"/>
      <c r="I3239" s="56"/>
      <c r="J3239" s="56"/>
      <c r="K3239" s="82" t="str">
        <f t="shared" si="996"/>
        <v>Credit Memo</v>
      </c>
      <c r="L3239" s="83" t="str">
        <f>"SC_100595"</f>
        <v>SC_100595</v>
      </c>
      <c r="M3239" s="84">
        <v>43207</v>
      </c>
      <c r="N3239" s="85">
        <f t="shared" si="989"/>
        <v>605</v>
      </c>
      <c r="O3239" s="86">
        <f t="shared" si="990"/>
        <v>-148.45000000000002</v>
      </c>
      <c r="P3239" s="86">
        <f t="shared" si="991"/>
        <v>0</v>
      </c>
      <c r="Q3239" s="86">
        <f t="shared" si="992"/>
        <v>0</v>
      </c>
      <c r="R3239" s="86">
        <f t="shared" si="993"/>
        <v>0</v>
      </c>
      <c r="S3239" s="86">
        <f t="shared" si="994"/>
        <v>0</v>
      </c>
      <c r="T3239" s="86">
        <f t="shared" si="995"/>
        <v>-148.45000000000002</v>
      </c>
      <c r="U3239" s="87">
        <v>-148.45000000000002</v>
      </c>
    </row>
    <row r="3240" spans="1:21" s="30" customFormat="1" ht="24.6" hidden="1" outlineLevel="1" x14ac:dyDescent="0.55000000000000004">
      <c r="A3240" s="27" t="s">
        <v>327</v>
      </c>
      <c r="B3240" s="28"/>
      <c r="C3240" s="27"/>
      <c r="D3240" s="27" t="str">
        <f>"""NAV Direct"",""CRONUS JetCorp USA"",""21"",""1"",""435160"""</f>
        <v>"NAV Direct","CRONUS JetCorp USA","21","1","435160"</v>
      </c>
      <c r="E3240" s="31" t="str">
        <f t="shared" si="988"/>
        <v>C100098</v>
      </c>
      <c r="F3240" s="31"/>
      <c r="G3240" s="31"/>
      <c r="H3240" s="31"/>
      <c r="I3240" s="56"/>
      <c r="J3240" s="56"/>
      <c r="K3240" s="82" t="str">
        <f t="shared" si="996"/>
        <v>Credit Memo</v>
      </c>
      <c r="L3240" s="83" t="str">
        <f>"SC_100600"</f>
        <v>SC_100600</v>
      </c>
      <c r="M3240" s="84">
        <v>43414</v>
      </c>
      <c r="N3240" s="85">
        <f t="shared" si="989"/>
        <v>398</v>
      </c>
      <c r="O3240" s="86">
        <f t="shared" si="990"/>
        <v>-164.15</v>
      </c>
      <c r="P3240" s="86">
        <f t="shared" si="991"/>
        <v>0</v>
      </c>
      <c r="Q3240" s="86">
        <f t="shared" si="992"/>
        <v>0</v>
      </c>
      <c r="R3240" s="86">
        <f t="shared" si="993"/>
        <v>0</v>
      </c>
      <c r="S3240" s="86">
        <f t="shared" si="994"/>
        <v>0</v>
      </c>
      <c r="T3240" s="86">
        <f t="shared" si="995"/>
        <v>-164.15</v>
      </c>
      <c r="U3240" s="87">
        <v>-164.15</v>
      </c>
    </row>
    <row r="3241" spans="1:21" s="30" customFormat="1" ht="24.6" hidden="1" outlineLevel="1" x14ac:dyDescent="0.55000000000000004">
      <c r="A3241" s="27" t="s">
        <v>327</v>
      </c>
      <c r="B3241" s="28"/>
      <c r="C3241" s="27"/>
      <c r="D3241" s="27" t="str">
        <f>"""NAV Direct"",""CRONUS JetCorp USA"",""21"",""1"",""435613"""</f>
        <v>"NAV Direct","CRONUS JetCorp USA","21","1","435613"</v>
      </c>
      <c r="E3241" s="31">
        <f t="shared" si="988"/>
        <v>0</v>
      </c>
      <c r="F3241" s="31"/>
      <c r="G3241" s="31"/>
      <c r="H3241" s="31"/>
      <c r="I3241" s="56"/>
      <c r="J3241" s="56"/>
      <c r="K3241" s="82" t="str">
        <f t="shared" si="996"/>
        <v>Credit Memo</v>
      </c>
      <c r="L3241" s="83" t="str">
        <f>"SC_100629"</f>
        <v>SC_100629</v>
      </c>
      <c r="M3241" s="84">
        <v>42105</v>
      </c>
      <c r="N3241" s="85">
        <f t="shared" si="989"/>
        <v>1707</v>
      </c>
      <c r="O3241" s="86">
        <f t="shared" si="990"/>
        <v>-137.31</v>
      </c>
      <c r="P3241" s="86">
        <f t="shared" si="991"/>
        <v>0</v>
      </c>
      <c r="Q3241" s="86">
        <f t="shared" si="992"/>
        <v>0</v>
      </c>
      <c r="R3241" s="86">
        <f t="shared" si="993"/>
        <v>0</v>
      </c>
      <c r="S3241" s="86">
        <f t="shared" si="994"/>
        <v>0</v>
      </c>
      <c r="T3241" s="86">
        <f t="shared" si="995"/>
        <v>-137.31</v>
      </c>
      <c r="U3241" s="87">
        <v>-137.31</v>
      </c>
    </row>
    <row r="3242" spans="1:21" s="30" customFormat="1" ht="24.6" hidden="1" outlineLevel="1" x14ac:dyDescent="0.55000000000000004">
      <c r="A3242" s="27" t="s">
        <v>327</v>
      </c>
      <c r="B3242" s="28"/>
      <c r="C3242" s="27"/>
      <c r="D3242" s="27" t="str">
        <f>"""NAV Direct"",""CRONUS JetCorp USA"",""21"",""1"",""435695"""</f>
        <v>"NAV Direct","CRONUS JetCorp USA","21","1","435695"</v>
      </c>
      <c r="E3242" s="31" t="str">
        <f t="shared" si="988"/>
        <v>C100098</v>
      </c>
      <c r="F3242" s="31"/>
      <c r="G3242" s="31"/>
      <c r="H3242" s="31"/>
      <c r="I3242" s="56"/>
      <c r="J3242" s="56"/>
      <c r="K3242" s="82" t="str">
        <f t="shared" si="996"/>
        <v>Credit Memo</v>
      </c>
      <c r="L3242" s="83" t="str">
        <f>"SC_100635"</f>
        <v>SC_100635</v>
      </c>
      <c r="M3242" s="84">
        <v>42235</v>
      </c>
      <c r="N3242" s="85">
        <f t="shared" si="989"/>
        <v>1577</v>
      </c>
      <c r="O3242" s="86">
        <f t="shared" si="990"/>
        <v>-99.389999999999986</v>
      </c>
      <c r="P3242" s="86">
        <f t="shared" si="991"/>
        <v>0</v>
      </c>
      <c r="Q3242" s="86">
        <f t="shared" si="992"/>
        <v>0</v>
      </c>
      <c r="R3242" s="86">
        <f t="shared" si="993"/>
        <v>0</v>
      </c>
      <c r="S3242" s="86">
        <f t="shared" si="994"/>
        <v>0</v>
      </c>
      <c r="T3242" s="86">
        <f t="shared" si="995"/>
        <v>-99.389999999999986</v>
      </c>
      <c r="U3242" s="87">
        <v>-99.389999999999986</v>
      </c>
    </row>
    <row r="3243" spans="1:21" s="30" customFormat="1" ht="24.6" hidden="1" outlineLevel="1" x14ac:dyDescent="0.55000000000000004">
      <c r="A3243" s="27" t="s">
        <v>327</v>
      </c>
      <c r="B3243" s="28"/>
      <c r="C3243" s="27"/>
      <c r="D3243" s="27" t="str">
        <f>"""NAV Direct"",""CRONUS JetCorp USA"",""21"",""1"",""435710"""</f>
        <v>"NAV Direct","CRONUS JetCorp USA","21","1","435710"</v>
      </c>
      <c r="E3243" s="31">
        <f t="shared" si="988"/>
        <v>0</v>
      </c>
      <c r="F3243" s="31"/>
      <c r="G3243" s="31"/>
      <c r="H3243" s="31"/>
      <c r="I3243" s="56"/>
      <c r="J3243" s="56"/>
      <c r="K3243" s="82" t="str">
        <f t="shared" si="996"/>
        <v>Credit Memo</v>
      </c>
      <c r="L3243" s="83" t="str">
        <f>"SC_100636"</f>
        <v>SC_100636</v>
      </c>
      <c r="M3243" s="84">
        <v>42254</v>
      </c>
      <c r="N3243" s="85">
        <f t="shared" si="989"/>
        <v>1558</v>
      </c>
      <c r="O3243" s="86">
        <f t="shared" si="990"/>
        <v>-89.47</v>
      </c>
      <c r="P3243" s="86">
        <f t="shared" si="991"/>
        <v>0</v>
      </c>
      <c r="Q3243" s="86">
        <f t="shared" si="992"/>
        <v>0</v>
      </c>
      <c r="R3243" s="86">
        <f t="shared" si="993"/>
        <v>0</v>
      </c>
      <c r="S3243" s="86">
        <f t="shared" si="994"/>
        <v>0</v>
      </c>
      <c r="T3243" s="86">
        <f t="shared" si="995"/>
        <v>-89.47</v>
      </c>
      <c r="U3243" s="87">
        <v>-89.47</v>
      </c>
    </row>
    <row r="3244" spans="1:21" s="22" customFormat="1" ht="20.399999999999999" collapsed="1" x14ac:dyDescent="0.45">
      <c r="A3244" s="12" t="s">
        <v>327</v>
      </c>
      <c r="B3244" s="19"/>
      <c r="C3244" s="12"/>
      <c r="D3244" s="12"/>
      <c r="E3244" s="23"/>
      <c r="F3244" s="23"/>
      <c r="G3244" s="23"/>
      <c r="H3244" s="23"/>
      <c r="I3244" s="49"/>
      <c r="J3244" s="88"/>
      <c r="K3244" s="88"/>
      <c r="L3244" s="89"/>
      <c r="M3244" s="89"/>
      <c r="N3244" s="89"/>
      <c r="O3244" s="89"/>
      <c r="P3244" s="89"/>
      <c r="Q3244" s="90"/>
      <c r="R3244" s="90"/>
      <c r="S3244" s="91"/>
      <c r="T3244" s="92"/>
      <c r="U3244" s="92"/>
    </row>
    <row r="3245" spans="1:21" s="22" customFormat="1" ht="20.399999999999999" x14ac:dyDescent="0.45">
      <c r="A3245" s="12" t="s">
        <v>327</v>
      </c>
      <c r="B3245" s="19"/>
      <c r="C3245" s="12"/>
      <c r="D3245" s="12"/>
      <c r="E3245" s="23"/>
      <c r="F3245" s="23"/>
      <c r="G3245" s="23"/>
      <c r="H3245" s="23"/>
      <c r="I3245" s="49"/>
      <c r="J3245" s="88"/>
      <c r="K3245" s="88"/>
      <c r="L3245" s="89"/>
      <c r="M3245" s="89"/>
      <c r="N3245" s="89"/>
      <c r="O3245" s="89"/>
      <c r="P3245" s="89"/>
      <c r="Q3245" s="90"/>
      <c r="R3245" s="90"/>
      <c r="S3245" s="91"/>
      <c r="T3245" s="92"/>
      <c r="U3245" s="92"/>
    </row>
    <row r="3246" spans="1:21" s="26" customFormat="1" ht="24.6" x14ac:dyDescent="0.55000000000000004">
      <c r="A3246" s="27" t="s">
        <v>327</v>
      </c>
      <c r="B3246" s="28"/>
      <c r="C3246" s="27" t="str">
        <f>"""NAV Direct"",""CRONUS JetCorp USA"",""18"",""1"",""C100099"""</f>
        <v>"NAV Direct","CRONUS JetCorp USA","18","1","C100099"</v>
      </c>
      <c r="D3246" s="27"/>
      <c r="E3246" s="28" t="str">
        <f>H3246</f>
        <v>C100099</v>
      </c>
      <c r="F3246" s="28"/>
      <c r="G3246" s="28"/>
      <c r="H3246" s="28" t="str">
        <f>"C100099"</f>
        <v>C100099</v>
      </c>
      <c r="I3246" s="116" t="str">
        <f>"C100099  -  Voltive Systems"</f>
        <v>C100099  -  Voltive Systems</v>
      </c>
      <c r="J3246" s="117" t="str">
        <f>""</f>
        <v/>
      </c>
      <c r="K3246" s="118"/>
      <c r="L3246" s="119">
        <f>SUBTOTAL(3,L3247:L3450)</f>
        <v>200</v>
      </c>
      <c r="M3246" s="118"/>
      <c r="N3246" s="118"/>
      <c r="O3246" s="120">
        <f t="shared" ref="O3246:T3246" si="997">SUBTOTAL(9,O3247:O3450)</f>
        <v>2495683.839999998</v>
      </c>
      <c r="P3246" s="120">
        <f t="shared" si="997"/>
        <v>16839.739999999998</v>
      </c>
      <c r="Q3246" s="120">
        <f t="shared" si="997"/>
        <v>16544.350000000002</v>
      </c>
      <c r="R3246" s="120">
        <f t="shared" si="997"/>
        <v>16651.36</v>
      </c>
      <c r="S3246" s="120">
        <f t="shared" si="997"/>
        <v>15850.98</v>
      </c>
      <c r="T3246" s="120">
        <f t="shared" si="997"/>
        <v>2429797.4099999974</v>
      </c>
      <c r="U3246" s="81"/>
    </row>
    <row r="3247" spans="1:21" s="26" customFormat="1" ht="24.6" x14ac:dyDescent="0.55000000000000004">
      <c r="A3247" s="27" t="s">
        <v>327</v>
      </c>
      <c r="B3247" s="28"/>
      <c r="C3247" s="27" t="str">
        <f>C3246</f>
        <v>"NAV Direct","CRONUS JetCorp USA","18","1","C100099"</v>
      </c>
      <c r="D3247" s="27"/>
      <c r="E3247" s="28" t="str">
        <f>E3246</f>
        <v>C100099</v>
      </c>
      <c r="F3247" s="28"/>
      <c r="G3247" s="28"/>
      <c r="H3247" s="28"/>
      <c r="I3247" s="121" t="str">
        <f>"Contact: Katie Perry"</f>
        <v>Contact: Katie Perry</v>
      </c>
      <c r="J3247" s="121"/>
      <c r="K3247" s="122"/>
      <c r="L3247" s="123"/>
      <c r="M3247" s="123"/>
      <c r="N3247" s="124"/>
      <c r="O3247" s="124"/>
      <c r="P3247" s="123"/>
      <c r="Q3247" s="125"/>
      <c r="R3247" s="126"/>
      <c r="S3247" s="126"/>
      <c r="T3247" s="125"/>
      <c r="U3247" s="81"/>
    </row>
    <row r="3248" spans="1:21" s="26" customFormat="1" ht="24.6" x14ac:dyDescent="0.55000000000000004">
      <c r="A3248" s="27" t="s">
        <v>327</v>
      </c>
      <c r="B3248" s="28"/>
      <c r="C3248" s="27" t="str">
        <f>C3247</f>
        <v>"NAV Direct","CRONUS JetCorp USA","18","1","C100099"</v>
      </c>
      <c r="D3248" s="27"/>
      <c r="E3248" s="28" t="str">
        <f>E3247</f>
        <v>C100099</v>
      </c>
      <c r="F3248" s="28"/>
      <c r="G3248" s="28"/>
      <c r="H3248" s="28"/>
      <c r="I3248" s="121" t="str">
        <f>"Voltive Systems@Cronus.com"</f>
        <v>Voltive Systems@Cronus.com</v>
      </c>
      <c r="J3248" s="121"/>
      <c r="K3248" s="122"/>
      <c r="L3248" s="124"/>
      <c r="M3248" s="124"/>
      <c r="N3248" s="124"/>
      <c r="O3248" s="124"/>
      <c r="P3248" s="123"/>
      <c r="Q3248" s="125"/>
      <c r="R3248" s="126"/>
      <c r="S3248" s="126"/>
      <c r="T3248" s="125"/>
      <c r="U3248" s="81"/>
    </row>
    <row r="3249" spans="1:22" ht="12.75" hidden="1" customHeight="1" outlineLevel="1" x14ac:dyDescent="0.45">
      <c r="A3249" s="12" t="s">
        <v>328</v>
      </c>
      <c r="B3249" s="19"/>
      <c r="E3249" s="19"/>
      <c r="F3249" s="19"/>
      <c r="G3249" s="19"/>
      <c r="H3249" s="19"/>
      <c r="I3249" s="61"/>
      <c r="J3249" s="61"/>
      <c r="K3249" s="61"/>
      <c r="L3249" s="61"/>
      <c r="M3249" s="61"/>
      <c r="N3249" s="61"/>
      <c r="O3249" s="61"/>
      <c r="P3249" s="61"/>
      <c r="Q3249" s="61"/>
      <c r="R3249" s="61"/>
      <c r="S3249" s="61"/>
      <c r="T3249" s="61"/>
      <c r="U3249" s="61"/>
      <c r="V3249" s="21"/>
    </row>
    <row r="3250" spans="1:22" s="30" customFormat="1" ht="24.6" hidden="1" outlineLevel="1" x14ac:dyDescent="0.55000000000000004">
      <c r="A3250" s="27" t="s">
        <v>327</v>
      </c>
      <c r="B3250" s="28"/>
      <c r="C3250" s="27"/>
      <c r="D3250" s="27" t="str">
        <f>"""NAV Direct"",""CRONUS JetCorp USA"",""21"",""1"",""14241"""</f>
        <v>"NAV Direct","CRONUS JetCorp USA","21","1","14241"</v>
      </c>
      <c r="E3250" s="31" t="str">
        <f t="shared" ref="E3250:E3281" si="998">E3248</f>
        <v>C100099</v>
      </c>
      <c r="F3250" s="31"/>
      <c r="G3250" s="31"/>
      <c r="H3250" s="31"/>
      <c r="I3250" s="56"/>
      <c r="J3250" s="56"/>
      <c r="K3250" s="82" t="str">
        <f t="shared" ref="K3250:K3258" si="999">"Invoice"</f>
        <v>Invoice</v>
      </c>
      <c r="L3250" s="83" t="str">
        <f>"SI_103822"</f>
        <v>SI_103822</v>
      </c>
      <c r="M3250" s="84">
        <v>42323</v>
      </c>
      <c r="N3250" s="85">
        <f t="shared" ref="N3250:N3281" si="1000">StartDate-$M3250+1</f>
        <v>1489</v>
      </c>
      <c r="O3250" s="86">
        <f t="shared" ref="O3250:O3281" si="1001">SUM(P3250:T3250)</f>
        <v>17433.16</v>
      </c>
      <c r="P3250" s="86">
        <f t="shared" ref="P3250:P3281" si="1002">IF($M3250&gt;=$P$18,U3250,0)</f>
        <v>0</v>
      </c>
      <c r="Q3250" s="86">
        <f t="shared" ref="Q3250:Q3281" si="1003">IF(AND($M3250&gt;=$Q$16,$M3250&lt;=$Q$18),U3250,0)</f>
        <v>0</v>
      </c>
      <c r="R3250" s="86">
        <f t="shared" ref="R3250:R3281" si="1004">IF(AND($M3250&gt;=$R$16,$M3250&lt;=$R$18),U3250,0)</f>
        <v>0</v>
      </c>
      <c r="S3250" s="86">
        <f t="shared" ref="S3250:S3281" si="1005">IF(AND($M3250&gt;=$S$16,$M3250&lt;=$S$18),U3250,0)</f>
        <v>0</v>
      </c>
      <c r="T3250" s="86">
        <f t="shared" ref="T3250:T3281" si="1006">IF($M3250&lt;=$T$18,U3250,0)</f>
        <v>17433.16</v>
      </c>
      <c r="U3250" s="87">
        <v>17433.16</v>
      </c>
    </row>
    <row r="3251" spans="1:22" s="30" customFormat="1" ht="24.6" hidden="1" outlineLevel="1" x14ac:dyDescent="0.55000000000000004">
      <c r="A3251" s="27" t="s">
        <v>327</v>
      </c>
      <c r="B3251" s="28"/>
      <c r="C3251" s="27"/>
      <c r="D3251" s="27" t="str">
        <f>"""NAV Direct"",""CRONUS JetCorp USA"",""21"",""1"",""14293"""</f>
        <v>"NAV Direct","CRONUS JetCorp USA","21","1","14293"</v>
      </c>
      <c r="E3251" s="31">
        <f t="shared" si="998"/>
        <v>0</v>
      </c>
      <c r="F3251" s="31"/>
      <c r="G3251" s="31"/>
      <c r="H3251" s="31"/>
      <c r="I3251" s="56"/>
      <c r="J3251" s="56"/>
      <c r="K3251" s="82" t="str">
        <f t="shared" si="999"/>
        <v>Invoice</v>
      </c>
      <c r="L3251" s="83" t="str">
        <f>"SI_103824"</f>
        <v>SI_103824</v>
      </c>
      <c r="M3251" s="84">
        <v>42327</v>
      </c>
      <c r="N3251" s="85">
        <f t="shared" si="1000"/>
        <v>1485</v>
      </c>
      <c r="O3251" s="86">
        <f t="shared" si="1001"/>
        <v>17433.939999999999</v>
      </c>
      <c r="P3251" s="86">
        <f t="shared" si="1002"/>
        <v>0</v>
      </c>
      <c r="Q3251" s="86">
        <f t="shared" si="1003"/>
        <v>0</v>
      </c>
      <c r="R3251" s="86">
        <f t="shared" si="1004"/>
        <v>0</v>
      </c>
      <c r="S3251" s="86">
        <f t="shared" si="1005"/>
        <v>0</v>
      </c>
      <c r="T3251" s="86">
        <f t="shared" si="1006"/>
        <v>17433.939999999999</v>
      </c>
      <c r="U3251" s="87">
        <v>17433.939999999999</v>
      </c>
    </row>
    <row r="3252" spans="1:22" s="30" customFormat="1" ht="24.6" hidden="1" outlineLevel="1" x14ac:dyDescent="0.55000000000000004">
      <c r="A3252" s="27" t="s">
        <v>327</v>
      </c>
      <c r="B3252" s="28"/>
      <c r="C3252" s="27"/>
      <c r="D3252" s="27" t="str">
        <f>"""NAV Direct"",""CRONUS JetCorp USA"",""21"",""1"",""14316"""</f>
        <v>"NAV Direct","CRONUS JetCorp USA","21","1","14316"</v>
      </c>
      <c r="E3252" s="31" t="str">
        <f t="shared" si="998"/>
        <v>C100099</v>
      </c>
      <c r="F3252" s="31"/>
      <c r="G3252" s="31"/>
      <c r="H3252" s="31"/>
      <c r="I3252" s="56"/>
      <c r="J3252" s="56"/>
      <c r="K3252" s="82" t="str">
        <f t="shared" si="999"/>
        <v>Invoice</v>
      </c>
      <c r="L3252" s="83" t="str">
        <f>"SI_103825"</f>
        <v>SI_103825</v>
      </c>
      <c r="M3252" s="84">
        <v>42331</v>
      </c>
      <c r="N3252" s="85">
        <f t="shared" si="1000"/>
        <v>1481</v>
      </c>
      <c r="O3252" s="86">
        <f t="shared" si="1001"/>
        <v>17433.82</v>
      </c>
      <c r="P3252" s="86">
        <f t="shared" si="1002"/>
        <v>0</v>
      </c>
      <c r="Q3252" s="86">
        <f t="shared" si="1003"/>
        <v>0</v>
      </c>
      <c r="R3252" s="86">
        <f t="shared" si="1004"/>
        <v>0</v>
      </c>
      <c r="S3252" s="86">
        <f t="shared" si="1005"/>
        <v>0</v>
      </c>
      <c r="T3252" s="86">
        <f t="shared" si="1006"/>
        <v>17433.82</v>
      </c>
      <c r="U3252" s="87">
        <v>17433.82</v>
      </c>
    </row>
    <row r="3253" spans="1:22" s="30" customFormat="1" ht="24.6" hidden="1" outlineLevel="1" x14ac:dyDescent="0.55000000000000004">
      <c r="A3253" s="27" t="s">
        <v>327</v>
      </c>
      <c r="B3253" s="28"/>
      <c r="C3253" s="27"/>
      <c r="D3253" s="27" t="str">
        <f>"""NAV Direct"",""CRONUS JetCorp USA"",""21"",""1"",""14376"""</f>
        <v>"NAV Direct","CRONUS JetCorp USA","21","1","14376"</v>
      </c>
      <c r="E3253" s="31">
        <f t="shared" si="998"/>
        <v>0</v>
      </c>
      <c r="F3253" s="31"/>
      <c r="G3253" s="31"/>
      <c r="H3253" s="31"/>
      <c r="I3253" s="56"/>
      <c r="J3253" s="56"/>
      <c r="K3253" s="82" t="str">
        <f t="shared" si="999"/>
        <v>Invoice</v>
      </c>
      <c r="L3253" s="83" t="str">
        <f>"SI_103827"</f>
        <v>SI_103827</v>
      </c>
      <c r="M3253" s="84">
        <v>42333</v>
      </c>
      <c r="N3253" s="85">
        <f t="shared" si="1000"/>
        <v>1479</v>
      </c>
      <c r="O3253" s="86">
        <f t="shared" si="1001"/>
        <v>16899.800000000003</v>
      </c>
      <c r="P3253" s="86">
        <f t="shared" si="1002"/>
        <v>0</v>
      </c>
      <c r="Q3253" s="86">
        <f t="shared" si="1003"/>
        <v>0</v>
      </c>
      <c r="R3253" s="86">
        <f t="shared" si="1004"/>
        <v>0</v>
      </c>
      <c r="S3253" s="86">
        <f t="shared" si="1005"/>
        <v>0</v>
      </c>
      <c r="T3253" s="86">
        <f t="shared" si="1006"/>
        <v>16899.800000000003</v>
      </c>
      <c r="U3253" s="87">
        <v>16899.800000000003</v>
      </c>
    </row>
    <row r="3254" spans="1:22" s="30" customFormat="1" ht="24.6" hidden="1" outlineLevel="1" x14ac:dyDescent="0.55000000000000004">
      <c r="A3254" s="27" t="s">
        <v>327</v>
      </c>
      <c r="B3254" s="28"/>
      <c r="C3254" s="27"/>
      <c r="D3254" s="27" t="str">
        <f>"""NAV Direct"",""CRONUS JetCorp USA"",""21"",""1"",""14403"""</f>
        <v>"NAV Direct","CRONUS JetCorp USA","21","1","14403"</v>
      </c>
      <c r="E3254" s="31" t="str">
        <f t="shared" si="998"/>
        <v>C100099</v>
      </c>
      <c r="F3254" s="31"/>
      <c r="G3254" s="31"/>
      <c r="H3254" s="31"/>
      <c r="I3254" s="56"/>
      <c r="J3254" s="56"/>
      <c r="K3254" s="82" t="str">
        <f t="shared" si="999"/>
        <v>Invoice</v>
      </c>
      <c r="L3254" s="83" t="str">
        <f>"SI_103828"</f>
        <v>SI_103828</v>
      </c>
      <c r="M3254" s="84">
        <v>42337</v>
      </c>
      <c r="N3254" s="85">
        <f t="shared" si="1000"/>
        <v>1475</v>
      </c>
      <c r="O3254" s="86">
        <f t="shared" si="1001"/>
        <v>16543.149999999998</v>
      </c>
      <c r="P3254" s="86">
        <f t="shared" si="1002"/>
        <v>0</v>
      </c>
      <c r="Q3254" s="86">
        <f t="shared" si="1003"/>
        <v>0</v>
      </c>
      <c r="R3254" s="86">
        <f t="shared" si="1004"/>
        <v>0</v>
      </c>
      <c r="S3254" s="86">
        <f t="shared" si="1005"/>
        <v>0</v>
      </c>
      <c r="T3254" s="86">
        <f t="shared" si="1006"/>
        <v>16543.149999999998</v>
      </c>
      <c r="U3254" s="87">
        <v>16543.149999999998</v>
      </c>
    </row>
    <row r="3255" spans="1:22" s="30" customFormat="1" ht="24.6" hidden="1" outlineLevel="1" x14ac:dyDescent="0.55000000000000004">
      <c r="A3255" s="27" t="s">
        <v>327</v>
      </c>
      <c r="B3255" s="28"/>
      <c r="C3255" s="27"/>
      <c r="D3255" s="27" t="str">
        <f>"""NAV Direct"",""CRONUS JetCorp USA"",""21"",""1"",""14498"""</f>
        <v>"NAV Direct","CRONUS JetCorp USA","21","1","14498"</v>
      </c>
      <c r="E3255" s="31">
        <f t="shared" si="998"/>
        <v>0</v>
      </c>
      <c r="F3255" s="31"/>
      <c r="G3255" s="31"/>
      <c r="H3255" s="31"/>
      <c r="I3255" s="56"/>
      <c r="J3255" s="56"/>
      <c r="K3255" s="82" t="str">
        <f t="shared" si="999"/>
        <v>Invoice</v>
      </c>
      <c r="L3255" s="83" t="str">
        <f>"SI_103831"</f>
        <v>SI_103831</v>
      </c>
      <c r="M3255" s="84">
        <v>42339</v>
      </c>
      <c r="N3255" s="85">
        <f t="shared" si="1000"/>
        <v>1473</v>
      </c>
      <c r="O3255" s="86">
        <f t="shared" si="1001"/>
        <v>17432.88</v>
      </c>
      <c r="P3255" s="86">
        <f t="shared" si="1002"/>
        <v>0</v>
      </c>
      <c r="Q3255" s="86">
        <f t="shared" si="1003"/>
        <v>0</v>
      </c>
      <c r="R3255" s="86">
        <f t="shared" si="1004"/>
        <v>0</v>
      </c>
      <c r="S3255" s="86">
        <f t="shared" si="1005"/>
        <v>0</v>
      </c>
      <c r="T3255" s="86">
        <f t="shared" si="1006"/>
        <v>17432.88</v>
      </c>
      <c r="U3255" s="87">
        <v>17432.88</v>
      </c>
    </row>
    <row r="3256" spans="1:22" s="30" customFormat="1" ht="24.6" hidden="1" outlineLevel="1" x14ac:dyDescent="0.55000000000000004">
      <c r="A3256" s="27" t="s">
        <v>327</v>
      </c>
      <c r="B3256" s="28"/>
      <c r="C3256" s="27"/>
      <c r="D3256" s="27" t="str">
        <f>"""NAV Direct"",""CRONUS JetCorp USA"",""21"",""1"",""14604"""</f>
        <v>"NAV Direct","CRONUS JetCorp USA","21","1","14604"</v>
      </c>
      <c r="E3256" s="31" t="str">
        <f t="shared" si="998"/>
        <v>C100099</v>
      </c>
      <c r="F3256" s="31"/>
      <c r="G3256" s="31"/>
      <c r="H3256" s="31"/>
      <c r="I3256" s="56"/>
      <c r="J3256" s="56"/>
      <c r="K3256" s="82" t="str">
        <f t="shared" si="999"/>
        <v>Invoice</v>
      </c>
      <c r="L3256" s="83" t="str">
        <f>"SI_103835"</f>
        <v>SI_103835</v>
      </c>
      <c r="M3256" s="84">
        <v>42361</v>
      </c>
      <c r="N3256" s="85">
        <f t="shared" si="1000"/>
        <v>1451</v>
      </c>
      <c r="O3256" s="86">
        <f t="shared" si="1001"/>
        <v>17077.12</v>
      </c>
      <c r="P3256" s="86">
        <f t="shared" si="1002"/>
        <v>0</v>
      </c>
      <c r="Q3256" s="86">
        <f t="shared" si="1003"/>
        <v>0</v>
      </c>
      <c r="R3256" s="86">
        <f t="shared" si="1004"/>
        <v>0</v>
      </c>
      <c r="S3256" s="86">
        <f t="shared" si="1005"/>
        <v>0</v>
      </c>
      <c r="T3256" s="86">
        <f t="shared" si="1006"/>
        <v>17077.12</v>
      </c>
      <c r="U3256" s="87">
        <v>17077.12</v>
      </c>
    </row>
    <row r="3257" spans="1:22" s="30" customFormat="1" ht="24.6" hidden="1" outlineLevel="1" x14ac:dyDescent="0.55000000000000004">
      <c r="A3257" s="27" t="s">
        <v>327</v>
      </c>
      <c r="B3257" s="28"/>
      <c r="C3257" s="27"/>
      <c r="D3257" s="27" t="str">
        <f>"""NAV Direct"",""CRONUS JetCorp USA"",""21"",""1"",""14635"""</f>
        <v>"NAV Direct","CRONUS JetCorp USA","21","1","14635"</v>
      </c>
      <c r="E3257" s="31">
        <f t="shared" si="998"/>
        <v>0</v>
      </c>
      <c r="F3257" s="31"/>
      <c r="G3257" s="31"/>
      <c r="H3257" s="31"/>
      <c r="I3257" s="56"/>
      <c r="J3257" s="56"/>
      <c r="K3257" s="82" t="str">
        <f t="shared" si="999"/>
        <v>Invoice</v>
      </c>
      <c r="L3257" s="83" t="str">
        <f>"SI_103836"</f>
        <v>SI_103836</v>
      </c>
      <c r="M3257" s="84">
        <v>42365</v>
      </c>
      <c r="N3257" s="85">
        <f t="shared" si="1000"/>
        <v>1447</v>
      </c>
      <c r="O3257" s="86">
        <f t="shared" si="1001"/>
        <v>16721.740000000002</v>
      </c>
      <c r="P3257" s="86">
        <f t="shared" si="1002"/>
        <v>0</v>
      </c>
      <c r="Q3257" s="86">
        <f t="shared" si="1003"/>
        <v>0</v>
      </c>
      <c r="R3257" s="86">
        <f t="shared" si="1004"/>
        <v>0</v>
      </c>
      <c r="S3257" s="86">
        <f t="shared" si="1005"/>
        <v>0</v>
      </c>
      <c r="T3257" s="86">
        <f t="shared" si="1006"/>
        <v>16721.740000000002</v>
      </c>
      <c r="U3257" s="87">
        <v>16721.740000000002</v>
      </c>
    </row>
    <row r="3258" spans="1:22" s="30" customFormat="1" ht="24.6" hidden="1" outlineLevel="1" x14ac:dyDescent="0.55000000000000004">
      <c r="A3258" s="27" t="s">
        <v>327</v>
      </c>
      <c r="B3258" s="28"/>
      <c r="C3258" s="27"/>
      <c r="D3258" s="27" t="str">
        <f>"""NAV Direct"",""CRONUS JetCorp USA"",""21"",""1"",""14703"""</f>
        <v>"NAV Direct","CRONUS JetCorp USA","21","1","14703"</v>
      </c>
      <c r="E3258" s="31" t="str">
        <f t="shared" si="998"/>
        <v>C100099</v>
      </c>
      <c r="F3258" s="31"/>
      <c r="G3258" s="31"/>
      <c r="H3258" s="31"/>
      <c r="I3258" s="56"/>
      <c r="J3258" s="56"/>
      <c r="K3258" s="82" t="str">
        <f t="shared" si="999"/>
        <v>Invoice</v>
      </c>
      <c r="L3258" s="83" t="str">
        <f>"SI_103838"</f>
        <v>SI_103838</v>
      </c>
      <c r="M3258" s="84">
        <v>42736</v>
      </c>
      <c r="N3258" s="85">
        <f t="shared" si="1000"/>
        <v>1076</v>
      </c>
      <c r="O3258" s="86">
        <f t="shared" si="1001"/>
        <v>17432.45</v>
      </c>
      <c r="P3258" s="86">
        <f t="shared" si="1002"/>
        <v>0</v>
      </c>
      <c r="Q3258" s="86">
        <f t="shared" si="1003"/>
        <v>0</v>
      </c>
      <c r="R3258" s="86">
        <f t="shared" si="1004"/>
        <v>0</v>
      </c>
      <c r="S3258" s="86">
        <f t="shared" si="1005"/>
        <v>0</v>
      </c>
      <c r="T3258" s="86">
        <f t="shared" si="1006"/>
        <v>17432.45</v>
      </c>
      <c r="U3258" s="87">
        <v>17432.45</v>
      </c>
    </row>
    <row r="3259" spans="1:22" s="30" customFormat="1" ht="24.6" hidden="1" outlineLevel="1" x14ac:dyDescent="0.55000000000000004">
      <c r="A3259" s="27" t="s">
        <v>327</v>
      </c>
      <c r="B3259" s="28"/>
      <c r="C3259" s="27"/>
      <c r="D3259" s="27" t="str">
        <f>"""NAV Direct"",""CRONUS JetCorp USA"",""21"",""1"",""214105"""</f>
        <v>"NAV Direct","CRONUS JetCorp USA","21","1","214105"</v>
      </c>
      <c r="E3259" s="31">
        <f t="shared" si="998"/>
        <v>0</v>
      </c>
      <c r="F3259" s="31"/>
      <c r="G3259" s="31"/>
      <c r="H3259" s="31"/>
      <c r="I3259" s="56"/>
      <c r="J3259" s="56"/>
      <c r="K3259" s="82" t="str">
        <f>"Credit Memo"</f>
        <v>Credit Memo</v>
      </c>
      <c r="L3259" s="83" t="str">
        <f>"SC_100185"</f>
        <v>SC_100185</v>
      </c>
      <c r="M3259" s="84">
        <v>42428</v>
      </c>
      <c r="N3259" s="85">
        <f t="shared" si="1000"/>
        <v>1384</v>
      </c>
      <c r="O3259" s="86">
        <f t="shared" si="1001"/>
        <v>-139.70999999999998</v>
      </c>
      <c r="P3259" s="86">
        <f t="shared" si="1002"/>
        <v>0</v>
      </c>
      <c r="Q3259" s="86">
        <f t="shared" si="1003"/>
        <v>0</v>
      </c>
      <c r="R3259" s="86">
        <f t="shared" si="1004"/>
        <v>0</v>
      </c>
      <c r="S3259" s="86">
        <f t="shared" si="1005"/>
        <v>0</v>
      </c>
      <c r="T3259" s="86">
        <f t="shared" si="1006"/>
        <v>-139.70999999999998</v>
      </c>
      <c r="U3259" s="87">
        <v>-139.70999999999998</v>
      </c>
    </row>
    <row r="3260" spans="1:22" s="30" customFormat="1" ht="24.6" hidden="1" outlineLevel="1" x14ac:dyDescent="0.55000000000000004">
      <c r="A3260" s="27" t="s">
        <v>327</v>
      </c>
      <c r="B3260" s="28"/>
      <c r="C3260" s="27"/>
      <c r="D3260" s="27" t="str">
        <f>"""NAV Direct"",""CRONUS JetCorp USA"",""21"",""1"",""214174"""</f>
        <v>"NAV Direct","CRONUS JetCorp USA","21","1","214174"</v>
      </c>
      <c r="E3260" s="31" t="str">
        <f t="shared" si="998"/>
        <v>C100099</v>
      </c>
      <c r="F3260" s="31"/>
      <c r="G3260" s="31"/>
      <c r="H3260" s="31"/>
      <c r="I3260" s="56"/>
      <c r="J3260" s="56"/>
      <c r="K3260" s="82" t="str">
        <f>"Credit Memo"</f>
        <v>Credit Memo</v>
      </c>
      <c r="L3260" s="83" t="str">
        <f>"SC_100190"</f>
        <v>SC_100190</v>
      </c>
      <c r="M3260" s="84">
        <v>43597</v>
      </c>
      <c r="N3260" s="85">
        <f t="shared" si="1000"/>
        <v>215</v>
      </c>
      <c r="O3260" s="86">
        <f t="shared" si="1001"/>
        <v>-203.02</v>
      </c>
      <c r="P3260" s="86">
        <f t="shared" si="1002"/>
        <v>0</v>
      </c>
      <c r="Q3260" s="86">
        <f t="shared" si="1003"/>
        <v>0</v>
      </c>
      <c r="R3260" s="86">
        <f t="shared" si="1004"/>
        <v>0</v>
      </c>
      <c r="S3260" s="86">
        <f t="shared" si="1005"/>
        <v>0</v>
      </c>
      <c r="T3260" s="86">
        <f t="shared" si="1006"/>
        <v>-203.02</v>
      </c>
      <c r="U3260" s="87">
        <v>-203.02</v>
      </c>
    </row>
    <row r="3261" spans="1:22" s="30" customFormat="1" ht="24.6" hidden="1" outlineLevel="1" x14ac:dyDescent="0.55000000000000004">
      <c r="A3261" s="27" t="s">
        <v>327</v>
      </c>
      <c r="B3261" s="28"/>
      <c r="C3261" s="27"/>
      <c r="D3261" s="27" t="str">
        <f>"""NAV Direct"",""CRONUS JetCorp USA"",""21"",""1"",""214185"""</f>
        <v>"NAV Direct","CRONUS JetCorp USA","21","1","214185"</v>
      </c>
      <c r="E3261" s="31">
        <f t="shared" si="998"/>
        <v>0</v>
      </c>
      <c r="F3261" s="31"/>
      <c r="G3261" s="31"/>
      <c r="H3261" s="31"/>
      <c r="I3261" s="56"/>
      <c r="J3261" s="56"/>
      <c r="K3261" s="82" t="str">
        <f>"Credit Memo"</f>
        <v>Credit Memo</v>
      </c>
      <c r="L3261" s="83" t="str">
        <f>"SC_100191"</f>
        <v>SC_100191</v>
      </c>
      <c r="M3261" s="84">
        <v>42166</v>
      </c>
      <c r="N3261" s="85">
        <f t="shared" si="1000"/>
        <v>1646</v>
      </c>
      <c r="O3261" s="86">
        <f t="shared" si="1001"/>
        <v>-173.35</v>
      </c>
      <c r="P3261" s="86">
        <f t="shared" si="1002"/>
        <v>0</v>
      </c>
      <c r="Q3261" s="86">
        <f t="shared" si="1003"/>
        <v>0</v>
      </c>
      <c r="R3261" s="86">
        <f t="shared" si="1004"/>
        <v>0</v>
      </c>
      <c r="S3261" s="86">
        <f t="shared" si="1005"/>
        <v>0</v>
      </c>
      <c r="T3261" s="86">
        <f t="shared" si="1006"/>
        <v>-173.35</v>
      </c>
      <c r="U3261" s="87">
        <v>-173.35</v>
      </c>
    </row>
    <row r="3262" spans="1:22" s="30" customFormat="1" ht="24.6" hidden="1" outlineLevel="1" x14ac:dyDescent="0.55000000000000004">
      <c r="A3262" s="27" t="s">
        <v>327</v>
      </c>
      <c r="B3262" s="28"/>
      <c r="C3262" s="27"/>
      <c r="D3262" s="27" t="str">
        <f>"""NAV Direct"",""CRONUS JetCorp USA"",""21"",""1"",""214204"""</f>
        <v>"NAV Direct","CRONUS JetCorp USA","21","1","214204"</v>
      </c>
      <c r="E3262" s="31" t="str">
        <f t="shared" si="998"/>
        <v>C100099</v>
      </c>
      <c r="F3262" s="31"/>
      <c r="G3262" s="31"/>
      <c r="H3262" s="31"/>
      <c r="I3262" s="56"/>
      <c r="J3262" s="56"/>
      <c r="K3262" s="82" t="str">
        <f>"Credit Memo"</f>
        <v>Credit Memo</v>
      </c>
      <c r="L3262" s="83" t="str">
        <f>"SC_100192"</f>
        <v>SC_100192</v>
      </c>
      <c r="M3262" s="84">
        <v>42260</v>
      </c>
      <c r="N3262" s="85">
        <f t="shared" si="1000"/>
        <v>1552</v>
      </c>
      <c r="O3262" s="86">
        <f t="shared" si="1001"/>
        <v>-172.54</v>
      </c>
      <c r="P3262" s="86">
        <f t="shared" si="1002"/>
        <v>0</v>
      </c>
      <c r="Q3262" s="86">
        <f t="shared" si="1003"/>
        <v>0</v>
      </c>
      <c r="R3262" s="86">
        <f t="shared" si="1004"/>
        <v>0</v>
      </c>
      <c r="S3262" s="86">
        <f t="shared" si="1005"/>
        <v>0</v>
      </c>
      <c r="T3262" s="86">
        <f t="shared" si="1006"/>
        <v>-172.54</v>
      </c>
      <c r="U3262" s="87">
        <v>-172.54</v>
      </c>
    </row>
    <row r="3263" spans="1:22" s="30" customFormat="1" ht="24.6" hidden="1" outlineLevel="1" x14ac:dyDescent="0.55000000000000004">
      <c r="A3263" s="27" t="s">
        <v>327</v>
      </c>
      <c r="B3263" s="28"/>
      <c r="C3263" s="27"/>
      <c r="D3263" s="27" t="str">
        <f>"""NAV Direct"",""CRONUS JetCorp USA"",""21"",""1"",""303844"""</f>
        <v>"NAV Direct","CRONUS JetCorp USA","21","1","303844"</v>
      </c>
      <c r="E3263" s="31">
        <f t="shared" si="998"/>
        <v>0</v>
      </c>
      <c r="F3263" s="31"/>
      <c r="G3263" s="31"/>
      <c r="H3263" s="31"/>
      <c r="I3263" s="56"/>
      <c r="J3263" s="56"/>
      <c r="K3263" s="82" t="str">
        <f t="shared" ref="K3263:K3294" si="1007">"Invoice"</f>
        <v>Invoice</v>
      </c>
      <c r="L3263" s="83" t="str">
        <f>"SI_109346"</f>
        <v>SI_109346</v>
      </c>
      <c r="M3263" s="84">
        <v>42399</v>
      </c>
      <c r="N3263" s="85">
        <f t="shared" si="1000"/>
        <v>1413</v>
      </c>
      <c r="O3263" s="86">
        <f t="shared" si="1001"/>
        <v>14249.39</v>
      </c>
      <c r="P3263" s="86">
        <f t="shared" si="1002"/>
        <v>0</v>
      </c>
      <c r="Q3263" s="86">
        <f t="shared" si="1003"/>
        <v>0</v>
      </c>
      <c r="R3263" s="86">
        <f t="shared" si="1004"/>
        <v>0</v>
      </c>
      <c r="S3263" s="86">
        <f t="shared" si="1005"/>
        <v>0</v>
      </c>
      <c r="T3263" s="86">
        <f t="shared" si="1006"/>
        <v>14249.39</v>
      </c>
      <c r="U3263" s="87">
        <v>14249.39</v>
      </c>
    </row>
    <row r="3264" spans="1:22" s="30" customFormat="1" ht="24.6" hidden="1" outlineLevel="1" x14ac:dyDescent="0.55000000000000004">
      <c r="A3264" s="27" t="s">
        <v>327</v>
      </c>
      <c r="B3264" s="28"/>
      <c r="C3264" s="27"/>
      <c r="D3264" s="27" t="str">
        <f>"""NAV Direct"",""CRONUS JetCorp USA"",""21"",""1"",""303873"""</f>
        <v>"NAV Direct","CRONUS JetCorp USA","21","1","303873"</v>
      </c>
      <c r="E3264" s="31" t="str">
        <f t="shared" si="998"/>
        <v>C100099</v>
      </c>
      <c r="F3264" s="31"/>
      <c r="G3264" s="31"/>
      <c r="H3264" s="31"/>
      <c r="I3264" s="56"/>
      <c r="J3264" s="56"/>
      <c r="K3264" s="82" t="str">
        <f t="shared" si="1007"/>
        <v>Invoice</v>
      </c>
      <c r="L3264" s="83" t="str">
        <f>"SI_109347"</f>
        <v>SI_109347</v>
      </c>
      <c r="M3264" s="84">
        <v>42396</v>
      </c>
      <c r="N3264" s="85">
        <f t="shared" si="1000"/>
        <v>1416</v>
      </c>
      <c r="O3264" s="86">
        <f t="shared" si="1001"/>
        <v>14099.839999999998</v>
      </c>
      <c r="P3264" s="86">
        <f t="shared" si="1002"/>
        <v>0</v>
      </c>
      <c r="Q3264" s="86">
        <f t="shared" si="1003"/>
        <v>0</v>
      </c>
      <c r="R3264" s="86">
        <f t="shared" si="1004"/>
        <v>0</v>
      </c>
      <c r="S3264" s="86">
        <f t="shared" si="1005"/>
        <v>0</v>
      </c>
      <c r="T3264" s="86">
        <f t="shared" si="1006"/>
        <v>14099.839999999998</v>
      </c>
      <c r="U3264" s="87">
        <v>14099.839999999998</v>
      </c>
    </row>
    <row r="3265" spans="1:21" s="30" customFormat="1" ht="24.6" hidden="1" outlineLevel="1" x14ac:dyDescent="0.55000000000000004">
      <c r="A3265" s="27" t="s">
        <v>327</v>
      </c>
      <c r="B3265" s="28"/>
      <c r="C3265" s="27"/>
      <c r="D3265" s="27" t="str">
        <f>"""NAV Direct"",""CRONUS JetCorp USA"",""21"",""1"",""303944"""</f>
        <v>"NAV Direct","CRONUS JetCorp USA","21","1","303944"</v>
      </c>
      <c r="E3265" s="31">
        <f t="shared" si="998"/>
        <v>0</v>
      </c>
      <c r="F3265" s="31"/>
      <c r="G3265" s="31"/>
      <c r="H3265" s="31"/>
      <c r="I3265" s="56"/>
      <c r="J3265" s="56"/>
      <c r="K3265" s="82" t="str">
        <f t="shared" si="1007"/>
        <v>Invoice</v>
      </c>
      <c r="L3265" s="83" t="str">
        <f>"SI_109350"</f>
        <v>SI_109350</v>
      </c>
      <c r="M3265" s="84">
        <v>42407</v>
      </c>
      <c r="N3265" s="85">
        <f t="shared" si="1000"/>
        <v>1405</v>
      </c>
      <c r="O3265" s="86">
        <f t="shared" si="1001"/>
        <v>14549.61</v>
      </c>
      <c r="P3265" s="86">
        <f t="shared" si="1002"/>
        <v>0</v>
      </c>
      <c r="Q3265" s="86">
        <f t="shared" si="1003"/>
        <v>0</v>
      </c>
      <c r="R3265" s="86">
        <f t="shared" si="1004"/>
        <v>0</v>
      </c>
      <c r="S3265" s="86">
        <f t="shared" si="1005"/>
        <v>0</v>
      </c>
      <c r="T3265" s="86">
        <f t="shared" si="1006"/>
        <v>14549.61</v>
      </c>
      <c r="U3265" s="87">
        <v>14549.61</v>
      </c>
    </row>
    <row r="3266" spans="1:21" s="30" customFormat="1" ht="24.6" hidden="1" outlineLevel="1" x14ac:dyDescent="0.55000000000000004">
      <c r="A3266" s="27" t="s">
        <v>327</v>
      </c>
      <c r="B3266" s="28"/>
      <c r="C3266" s="27"/>
      <c r="D3266" s="27" t="str">
        <f>"""NAV Direct"",""CRONUS JetCorp USA"",""21"",""1"",""304081"""</f>
        <v>"NAV Direct","CRONUS JetCorp USA","21","1","304081"</v>
      </c>
      <c r="E3266" s="31" t="str">
        <f t="shared" si="998"/>
        <v>C100099</v>
      </c>
      <c r="F3266" s="31"/>
      <c r="G3266" s="31"/>
      <c r="H3266" s="31"/>
      <c r="I3266" s="56"/>
      <c r="J3266" s="56"/>
      <c r="K3266" s="82" t="str">
        <f t="shared" si="1007"/>
        <v>Invoice</v>
      </c>
      <c r="L3266" s="83" t="str">
        <f>"SI_109355"</f>
        <v>SI_109355</v>
      </c>
      <c r="M3266" s="84">
        <v>42426</v>
      </c>
      <c r="N3266" s="85">
        <f t="shared" si="1000"/>
        <v>1386</v>
      </c>
      <c r="O3266" s="86">
        <f t="shared" si="1001"/>
        <v>14694.630000000001</v>
      </c>
      <c r="P3266" s="86">
        <f t="shared" si="1002"/>
        <v>0</v>
      </c>
      <c r="Q3266" s="86">
        <f t="shared" si="1003"/>
        <v>0</v>
      </c>
      <c r="R3266" s="86">
        <f t="shared" si="1004"/>
        <v>0</v>
      </c>
      <c r="S3266" s="86">
        <f t="shared" si="1005"/>
        <v>0</v>
      </c>
      <c r="T3266" s="86">
        <f t="shared" si="1006"/>
        <v>14694.630000000001</v>
      </c>
      <c r="U3266" s="87">
        <v>14694.630000000001</v>
      </c>
    </row>
    <row r="3267" spans="1:21" s="30" customFormat="1" ht="24.6" hidden="1" outlineLevel="1" x14ac:dyDescent="0.55000000000000004">
      <c r="A3267" s="27" t="s">
        <v>327</v>
      </c>
      <c r="B3267" s="28"/>
      <c r="C3267" s="27"/>
      <c r="D3267" s="27" t="str">
        <f>"""NAV Direct"",""CRONUS JetCorp USA"",""21"",""1"",""304100"""</f>
        <v>"NAV Direct","CRONUS JetCorp USA","21","1","304100"</v>
      </c>
      <c r="E3267" s="31">
        <f t="shared" si="998"/>
        <v>0</v>
      </c>
      <c r="F3267" s="31"/>
      <c r="G3267" s="31"/>
      <c r="H3267" s="31"/>
      <c r="I3267" s="56"/>
      <c r="J3267" s="56"/>
      <c r="K3267" s="82" t="str">
        <f t="shared" si="1007"/>
        <v>Invoice</v>
      </c>
      <c r="L3267" s="83" t="str">
        <f>"SI_109356"</f>
        <v>SI_109356</v>
      </c>
      <c r="M3267" s="84">
        <v>42436</v>
      </c>
      <c r="N3267" s="85">
        <f t="shared" si="1000"/>
        <v>1376</v>
      </c>
      <c r="O3267" s="86">
        <f t="shared" si="1001"/>
        <v>14239.92</v>
      </c>
      <c r="P3267" s="86">
        <f t="shared" si="1002"/>
        <v>0</v>
      </c>
      <c r="Q3267" s="86">
        <f t="shared" si="1003"/>
        <v>0</v>
      </c>
      <c r="R3267" s="86">
        <f t="shared" si="1004"/>
        <v>0</v>
      </c>
      <c r="S3267" s="86">
        <f t="shared" si="1005"/>
        <v>0</v>
      </c>
      <c r="T3267" s="86">
        <f t="shared" si="1006"/>
        <v>14239.92</v>
      </c>
      <c r="U3267" s="87">
        <v>14239.92</v>
      </c>
    </row>
    <row r="3268" spans="1:21" s="30" customFormat="1" ht="24.6" hidden="1" outlineLevel="1" x14ac:dyDescent="0.55000000000000004">
      <c r="A3268" s="27" t="s">
        <v>327</v>
      </c>
      <c r="B3268" s="28"/>
      <c r="C3268" s="27"/>
      <c r="D3268" s="27" t="str">
        <f>"""NAV Direct"",""CRONUS JetCorp USA"",""21"",""1"",""304119"""</f>
        <v>"NAV Direct","CRONUS JetCorp USA","21","1","304119"</v>
      </c>
      <c r="E3268" s="31" t="str">
        <f t="shared" si="998"/>
        <v>C100099</v>
      </c>
      <c r="F3268" s="31"/>
      <c r="G3268" s="31"/>
      <c r="H3268" s="31"/>
      <c r="I3268" s="56"/>
      <c r="J3268" s="56"/>
      <c r="K3268" s="82" t="str">
        <f t="shared" si="1007"/>
        <v>Invoice</v>
      </c>
      <c r="L3268" s="83" t="str">
        <f>"SI_109357"</f>
        <v>SI_109357</v>
      </c>
      <c r="M3268" s="84">
        <v>42456</v>
      </c>
      <c r="N3268" s="85">
        <f t="shared" si="1000"/>
        <v>1356</v>
      </c>
      <c r="O3268" s="86">
        <f t="shared" si="1001"/>
        <v>14636.37</v>
      </c>
      <c r="P3268" s="86">
        <f t="shared" si="1002"/>
        <v>0</v>
      </c>
      <c r="Q3268" s="86">
        <f t="shared" si="1003"/>
        <v>0</v>
      </c>
      <c r="R3268" s="86">
        <f t="shared" si="1004"/>
        <v>0</v>
      </c>
      <c r="S3268" s="86">
        <f t="shared" si="1005"/>
        <v>0</v>
      </c>
      <c r="T3268" s="86">
        <f t="shared" si="1006"/>
        <v>14636.37</v>
      </c>
      <c r="U3268" s="87">
        <v>14636.37</v>
      </c>
    </row>
    <row r="3269" spans="1:21" s="30" customFormat="1" ht="24.6" hidden="1" outlineLevel="1" x14ac:dyDescent="0.55000000000000004">
      <c r="A3269" s="27" t="s">
        <v>327</v>
      </c>
      <c r="B3269" s="28"/>
      <c r="C3269" s="27"/>
      <c r="D3269" s="27" t="str">
        <f>"""NAV Direct"",""CRONUS JetCorp USA"",""21"",""1"",""304167"""</f>
        <v>"NAV Direct","CRONUS JetCorp USA","21","1","304167"</v>
      </c>
      <c r="E3269" s="31">
        <f t="shared" si="998"/>
        <v>0</v>
      </c>
      <c r="F3269" s="31"/>
      <c r="G3269" s="31"/>
      <c r="H3269" s="31"/>
      <c r="I3269" s="56"/>
      <c r="J3269" s="56"/>
      <c r="K3269" s="82" t="str">
        <f t="shared" si="1007"/>
        <v>Invoice</v>
      </c>
      <c r="L3269" s="83" t="str">
        <f>"SI_109359"</f>
        <v>SI_109359</v>
      </c>
      <c r="M3269" s="84">
        <v>42457</v>
      </c>
      <c r="N3269" s="85">
        <f t="shared" si="1000"/>
        <v>1355</v>
      </c>
      <c r="O3269" s="86">
        <f t="shared" si="1001"/>
        <v>13730.62</v>
      </c>
      <c r="P3269" s="86">
        <f t="shared" si="1002"/>
        <v>0</v>
      </c>
      <c r="Q3269" s="86">
        <f t="shared" si="1003"/>
        <v>0</v>
      </c>
      <c r="R3269" s="86">
        <f t="shared" si="1004"/>
        <v>0</v>
      </c>
      <c r="S3269" s="86">
        <f t="shared" si="1005"/>
        <v>0</v>
      </c>
      <c r="T3269" s="86">
        <f t="shared" si="1006"/>
        <v>13730.62</v>
      </c>
      <c r="U3269" s="87">
        <v>13730.62</v>
      </c>
    </row>
    <row r="3270" spans="1:21" s="30" customFormat="1" ht="24.6" hidden="1" outlineLevel="1" x14ac:dyDescent="0.55000000000000004">
      <c r="A3270" s="27" t="s">
        <v>327</v>
      </c>
      <c r="B3270" s="28"/>
      <c r="C3270" s="27"/>
      <c r="D3270" s="27" t="str">
        <f>"""NAV Direct"",""CRONUS JetCorp USA"",""21"",""1"",""304242"""</f>
        <v>"NAV Direct","CRONUS JetCorp USA","21","1","304242"</v>
      </c>
      <c r="E3270" s="31" t="str">
        <f t="shared" si="998"/>
        <v>C100099</v>
      </c>
      <c r="F3270" s="31"/>
      <c r="G3270" s="31"/>
      <c r="H3270" s="31"/>
      <c r="I3270" s="56"/>
      <c r="J3270" s="56"/>
      <c r="K3270" s="82" t="str">
        <f t="shared" si="1007"/>
        <v>Invoice</v>
      </c>
      <c r="L3270" s="83" t="str">
        <f>"SI_109362"</f>
        <v>SI_109362</v>
      </c>
      <c r="M3270" s="84">
        <v>42486</v>
      </c>
      <c r="N3270" s="85">
        <f t="shared" si="1000"/>
        <v>1326</v>
      </c>
      <c r="O3270" s="86">
        <f t="shared" si="1001"/>
        <v>14117.07</v>
      </c>
      <c r="P3270" s="86">
        <f t="shared" si="1002"/>
        <v>0</v>
      </c>
      <c r="Q3270" s="86">
        <f t="shared" si="1003"/>
        <v>0</v>
      </c>
      <c r="R3270" s="86">
        <f t="shared" si="1004"/>
        <v>0</v>
      </c>
      <c r="S3270" s="86">
        <f t="shared" si="1005"/>
        <v>0</v>
      </c>
      <c r="T3270" s="86">
        <f t="shared" si="1006"/>
        <v>14117.07</v>
      </c>
      <c r="U3270" s="87">
        <v>14117.07</v>
      </c>
    </row>
    <row r="3271" spans="1:21" s="30" customFormat="1" ht="24.6" hidden="1" outlineLevel="1" x14ac:dyDescent="0.55000000000000004">
      <c r="A3271" s="27" t="s">
        <v>327</v>
      </c>
      <c r="B3271" s="28"/>
      <c r="C3271" s="27"/>
      <c r="D3271" s="27" t="str">
        <f>"""NAV Direct"",""CRONUS JetCorp USA"",""21"",""1"",""304331"""</f>
        <v>"NAV Direct","CRONUS JetCorp USA","21","1","304331"</v>
      </c>
      <c r="E3271" s="31">
        <f t="shared" si="998"/>
        <v>0</v>
      </c>
      <c r="F3271" s="31"/>
      <c r="G3271" s="31"/>
      <c r="H3271" s="31"/>
      <c r="I3271" s="56"/>
      <c r="J3271" s="56"/>
      <c r="K3271" s="82" t="str">
        <f t="shared" si="1007"/>
        <v>Invoice</v>
      </c>
      <c r="L3271" s="83" t="str">
        <f>"SI_109365"</f>
        <v>SI_109365</v>
      </c>
      <c r="M3271" s="84">
        <v>42475</v>
      </c>
      <c r="N3271" s="85">
        <f t="shared" si="1000"/>
        <v>1337</v>
      </c>
      <c r="O3271" s="86">
        <f t="shared" si="1001"/>
        <v>14875.49</v>
      </c>
      <c r="P3271" s="86">
        <f t="shared" si="1002"/>
        <v>0</v>
      </c>
      <c r="Q3271" s="86">
        <f t="shared" si="1003"/>
        <v>0</v>
      </c>
      <c r="R3271" s="86">
        <f t="shared" si="1004"/>
        <v>0</v>
      </c>
      <c r="S3271" s="86">
        <f t="shared" si="1005"/>
        <v>0</v>
      </c>
      <c r="T3271" s="86">
        <f t="shared" si="1006"/>
        <v>14875.49</v>
      </c>
      <c r="U3271" s="87">
        <v>14875.49</v>
      </c>
    </row>
    <row r="3272" spans="1:21" s="30" customFormat="1" ht="24.6" hidden="1" outlineLevel="1" x14ac:dyDescent="0.55000000000000004">
      <c r="A3272" s="27" t="s">
        <v>327</v>
      </c>
      <c r="B3272" s="28"/>
      <c r="C3272" s="27"/>
      <c r="D3272" s="27" t="str">
        <f>"""NAV Direct"",""CRONUS JetCorp USA"",""21"",""1"",""304362"""</f>
        <v>"NAV Direct","CRONUS JetCorp USA","21","1","304362"</v>
      </c>
      <c r="E3272" s="31" t="str">
        <f t="shared" si="998"/>
        <v>C100099</v>
      </c>
      <c r="F3272" s="31"/>
      <c r="G3272" s="31"/>
      <c r="H3272" s="31"/>
      <c r="I3272" s="56"/>
      <c r="J3272" s="56"/>
      <c r="K3272" s="82" t="str">
        <f t="shared" si="1007"/>
        <v>Invoice</v>
      </c>
      <c r="L3272" s="83" t="str">
        <f>"SI_109366"</f>
        <v>SI_109366</v>
      </c>
      <c r="M3272" s="84">
        <v>42482</v>
      </c>
      <c r="N3272" s="85">
        <f t="shared" si="1000"/>
        <v>1330</v>
      </c>
      <c r="O3272" s="86">
        <f t="shared" si="1001"/>
        <v>14875.960000000001</v>
      </c>
      <c r="P3272" s="86">
        <f t="shared" si="1002"/>
        <v>0</v>
      </c>
      <c r="Q3272" s="86">
        <f t="shared" si="1003"/>
        <v>0</v>
      </c>
      <c r="R3272" s="86">
        <f t="shared" si="1004"/>
        <v>0</v>
      </c>
      <c r="S3272" s="86">
        <f t="shared" si="1005"/>
        <v>0</v>
      </c>
      <c r="T3272" s="86">
        <f t="shared" si="1006"/>
        <v>14875.960000000001</v>
      </c>
      <c r="U3272" s="87">
        <v>14875.960000000001</v>
      </c>
    </row>
    <row r="3273" spans="1:21" s="30" customFormat="1" ht="24.6" hidden="1" outlineLevel="1" x14ac:dyDescent="0.55000000000000004">
      <c r="A3273" s="27" t="s">
        <v>327</v>
      </c>
      <c r="B3273" s="28"/>
      <c r="C3273" s="27"/>
      <c r="D3273" s="27" t="str">
        <f>"""NAV Direct"",""CRONUS JetCorp USA"",""21"",""1"",""304383"""</f>
        <v>"NAV Direct","CRONUS JetCorp USA","21","1","304383"</v>
      </c>
      <c r="E3273" s="31">
        <f t="shared" si="998"/>
        <v>0</v>
      </c>
      <c r="F3273" s="31"/>
      <c r="G3273" s="31"/>
      <c r="H3273" s="31"/>
      <c r="I3273" s="56"/>
      <c r="J3273" s="56"/>
      <c r="K3273" s="82" t="str">
        <f t="shared" si="1007"/>
        <v>Invoice</v>
      </c>
      <c r="L3273" s="83" t="str">
        <f>"SI_109367"</f>
        <v>SI_109367</v>
      </c>
      <c r="M3273" s="84">
        <v>42492</v>
      </c>
      <c r="N3273" s="85">
        <f t="shared" si="1000"/>
        <v>1320</v>
      </c>
      <c r="O3273" s="86">
        <f t="shared" si="1001"/>
        <v>14572.26</v>
      </c>
      <c r="P3273" s="86">
        <f t="shared" si="1002"/>
        <v>0</v>
      </c>
      <c r="Q3273" s="86">
        <f t="shared" si="1003"/>
        <v>0</v>
      </c>
      <c r="R3273" s="86">
        <f t="shared" si="1004"/>
        <v>0</v>
      </c>
      <c r="S3273" s="86">
        <f t="shared" si="1005"/>
        <v>0</v>
      </c>
      <c r="T3273" s="86">
        <f t="shared" si="1006"/>
        <v>14572.26</v>
      </c>
      <c r="U3273" s="87">
        <v>14572.26</v>
      </c>
    </row>
    <row r="3274" spans="1:21" s="30" customFormat="1" ht="24.6" hidden="1" outlineLevel="1" x14ac:dyDescent="0.55000000000000004">
      <c r="A3274" s="27" t="s">
        <v>327</v>
      </c>
      <c r="B3274" s="28"/>
      <c r="C3274" s="27"/>
      <c r="D3274" s="27" t="str">
        <f>"""NAV Direct"",""CRONUS JetCorp USA"",""21"",""1"",""304489"""</f>
        <v>"NAV Direct","CRONUS JetCorp USA","21","1","304489"</v>
      </c>
      <c r="E3274" s="31" t="str">
        <f t="shared" si="998"/>
        <v>C100099</v>
      </c>
      <c r="F3274" s="31"/>
      <c r="G3274" s="31"/>
      <c r="H3274" s="31"/>
      <c r="I3274" s="56"/>
      <c r="J3274" s="56"/>
      <c r="K3274" s="82" t="str">
        <f t="shared" si="1007"/>
        <v>Invoice</v>
      </c>
      <c r="L3274" s="83" t="str">
        <f>"SI_109371"</f>
        <v>SI_109371</v>
      </c>
      <c r="M3274" s="84">
        <v>42511</v>
      </c>
      <c r="N3274" s="85">
        <f t="shared" si="1000"/>
        <v>1301</v>
      </c>
      <c r="O3274" s="86">
        <f t="shared" si="1001"/>
        <v>13840.710000000001</v>
      </c>
      <c r="P3274" s="86">
        <f t="shared" si="1002"/>
        <v>0</v>
      </c>
      <c r="Q3274" s="86">
        <f t="shared" si="1003"/>
        <v>0</v>
      </c>
      <c r="R3274" s="86">
        <f t="shared" si="1004"/>
        <v>0</v>
      </c>
      <c r="S3274" s="86">
        <f t="shared" si="1005"/>
        <v>0</v>
      </c>
      <c r="T3274" s="86">
        <f t="shared" si="1006"/>
        <v>13840.710000000001</v>
      </c>
      <c r="U3274" s="87">
        <v>13840.710000000001</v>
      </c>
    </row>
    <row r="3275" spans="1:21" s="30" customFormat="1" ht="24.6" hidden="1" outlineLevel="1" x14ac:dyDescent="0.55000000000000004">
      <c r="A3275" s="27" t="s">
        <v>327</v>
      </c>
      <c r="B3275" s="28"/>
      <c r="C3275" s="27"/>
      <c r="D3275" s="27" t="str">
        <f>"""NAV Direct"",""CRONUS JetCorp USA"",""21"",""1"",""304543"""</f>
        <v>"NAV Direct","CRONUS JetCorp USA","21","1","304543"</v>
      </c>
      <c r="E3275" s="31">
        <f t="shared" si="998"/>
        <v>0</v>
      </c>
      <c r="F3275" s="31"/>
      <c r="G3275" s="31"/>
      <c r="H3275" s="31"/>
      <c r="I3275" s="56"/>
      <c r="J3275" s="56"/>
      <c r="K3275" s="82" t="str">
        <f t="shared" si="1007"/>
        <v>Invoice</v>
      </c>
      <c r="L3275" s="83" t="str">
        <f>"SI_109373"</f>
        <v>SI_109373</v>
      </c>
      <c r="M3275" s="84">
        <v>42522</v>
      </c>
      <c r="N3275" s="85">
        <f t="shared" si="1000"/>
        <v>1290</v>
      </c>
      <c r="O3275" s="86">
        <f t="shared" si="1001"/>
        <v>14601.38</v>
      </c>
      <c r="P3275" s="86">
        <f t="shared" si="1002"/>
        <v>0</v>
      </c>
      <c r="Q3275" s="86">
        <f t="shared" si="1003"/>
        <v>0</v>
      </c>
      <c r="R3275" s="86">
        <f t="shared" si="1004"/>
        <v>0</v>
      </c>
      <c r="S3275" s="86">
        <f t="shared" si="1005"/>
        <v>0</v>
      </c>
      <c r="T3275" s="86">
        <f t="shared" si="1006"/>
        <v>14601.38</v>
      </c>
      <c r="U3275" s="87">
        <v>14601.38</v>
      </c>
    </row>
    <row r="3276" spans="1:21" s="30" customFormat="1" ht="24.6" hidden="1" outlineLevel="1" x14ac:dyDescent="0.55000000000000004">
      <c r="A3276" s="27" t="s">
        <v>327</v>
      </c>
      <c r="B3276" s="28"/>
      <c r="C3276" s="27"/>
      <c r="D3276" s="27" t="str">
        <f>"""NAV Direct"",""CRONUS JetCorp USA"",""21"",""1"",""304639"""</f>
        <v>"NAV Direct","CRONUS JetCorp USA","21","1","304639"</v>
      </c>
      <c r="E3276" s="31" t="str">
        <f t="shared" si="998"/>
        <v>C100099</v>
      </c>
      <c r="F3276" s="31"/>
      <c r="G3276" s="31"/>
      <c r="H3276" s="31"/>
      <c r="I3276" s="56"/>
      <c r="J3276" s="56"/>
      <c r="K3276" s="82" t="str">
        <f t="shared" si="1007"/>
        <v>Invoice</v>
      </c>
      <c r="L3276" s="83" t="str">
        <f>"SI_109377"</f>
        <v>SI_109377</v>
      </c>
      <c r="M3276" s="84">
        <v>42548</v>
      </c>
      <c r="N3276" s="85">
        <f t="shared" si="1000"/>
        <v>1264</v>
      </c>
      <c r="O3276" s="86">
        <f t="shared" si="1001"/>
        <v>13785.15</v>
      </c>
      <c r="P3276" s="86">
        <f t="shared" si="1002"/>
        <v>0</v>
      </c>
      <c r="Q3276" s="86">
        <f t="shared" si="1003"/>
        <v>0</v>
      </c>
      <c r="R3276" s="86">
        <f t="shared" si="1004"/>
        <v>0</v>
      </c>
      <c r="S3276" s="86">
        <f t="shared" si="1005"/>
        <v>0</v>
      </c>
      <c r="T3276" s="86">
        <f t="shared" si="1006"/>
        <v>13785.15</v>
      </c>
      <c r="U3276" s="87">
        <v>13785.15</v>
      </c>
    </row>
    <row r="3277" spans="1:21" s="30" customFormat="1" ht="24.6" hidden="1" outlineLevel="1" x14ac:dyDescent="0.55000000000000004">
      <c r="A3277" s="27" t="s">
        <v>327</v>
      </c>
      <c r="B3277" s="28"/>
      <c r="C3277" s="27"/>
      <c r="D3277" s="27" t="str">
        <f>"""NAV Direct"",""CRONUS JetCorp USA"",""21"",""1"",""304743"""</f>
        <v>"NAV Direct","CRONUS JetCorp USA","21","1","304743"</v>
      </c>
      <c r="E3277" s="31">
        <f t="shared" si="998"/>
        <v>0</v>
      </c>
      <c r="F3277" s="31"/>
      <c r="G3277" s="31"/>
      <c r="H3277" s="31"/>
      <c r="I3277" s="56"/>
      <c r="J3277" s="56"/>
      <c r="K3277" s="82" t="str">
        <f t="shared" si="1007"/>
        <v>Invoice</v>
      </c>
      <c r="L3277" s="83" t="str">
        <f>"SI_109381"</f>
        <v>SI_109381</v>
      </c>
      <c r="M3277" s="84">
        <v>42566</v>
      </c>
      <c r="N3277" s="85">
        <f t="shared" si="1000"/>
        <v>1246</v>
      </c>
      <c r="O3277" s="86">
        <f t="shared" si="1001"/>
        <v>14841.76</v>
      </c>
      <c r="P3277" s="86">
        <f t="shared" si="1002"/>
        <v>0</v>
      </c>
      <c r="Q3277" s="86">
        <f t="shared" si="1003"/>
        <v>0</v>
      </c>
      <c r="R3277" s="86">
        <f t="shared" si="1004"/>
        <v>0</v>
      </c>
      <c r="S3277" s="86">
        <f t="shared" si="1005"/>
        <v>0</v>
      </c>
      <c r="T3277" s="86">
        <f t="shared" si="1006"/>
        <v>14841.76</v>
      </c>
      <c r="U3277" s="87">
        <v>14841.76</v>
      </c>
    </row>
    <row r="3278" spans="1:21" s="30" customFormat="1" ht="24.6" hidden="1" outlineLevel="1" x14ac:dyDescent="0.55000000000000004">
      <c r="A3278" s="27" t="s">
        <v>327</v>
      </c>
      <c r="B3278" s="28"/>
      <c r="C3278" s="27"/>
      <c r="D3278" s="27" t="str">
        <f>"""NAV Direct"",""CRONUS JetCorp USA"",""21"",""1"",""304826"""</f>
        <v>"NAV Direct","CRONUS JetCorp USA","21","1","304826"</v>
      </c>
      <c r="E3278" s="31" t="str">
        <f t="shared" si="998"/>
        <v>C100099</v>
      </c>
      <c r="F3278" s="31"/>
      <c r="G3278" s="31"/>
      <c r="H3278" s="31"/>
      <c r="I3278" s="56"/>
      <c r="J3278" s="56"/>
      <c r="K3278" s="82" t="str">
        <f t="shared" si="1007"/>
        <v>Invoice</v>
      </c>
      <c r="L3278" s="83" t="str">
        <f>"SI_109384"</f>
        <v>SI_109384</v>
      </c>
      <c r="M3278" s="84">
        <v>42585</v>
      </c>
      <c r="N3278" s="85">
        <f t="shared" si="1000"/>
        <v>1227</v>
      </c>
      <c r="O3278" s="86">
        <f t="shared" si="1001"/>
        <v>14535.3</v>
      </c>
      <c r="P3278" s="86">
        <f t="shared" si="1002"/>
        <v>0</v>
      </c>
      <c r="Q3278" s="86">
        <f t="shared" si="1003"/>
        <v>0</v>
      </c>
      <c r="R3278" s="86">
        <f t="shared" si="1004"/>
        <v>0</v>
      </c>
      <c r="S3278" s="86">
        <f t="shared" si="1005"/>
        <v>0</v>
      </c>
      <c r="T3278" s="86">
        <f t="shared" si="1006"/>
        <v>14535.3</v>
      </c>
      <c r="U3278" s="87">
        <v>14535.3</v>
      </c>
    </row>
    <row r="3279" spans="1:21" s="30" customFormat="1" ht="24.6" hidden="1" outlineLevel="1" x14ac:dyDescent="0.55000000000000004">
      <c r="A3279" s="27" t="s">
        <v>327</v>
      </c>
      <c r="B3279" s="28"/>
      <c r="C3279" s="27"/>
      <c r="D3279" s="27" t="str">
        <f>"""NAV Direct"",""CRONUS JetCorp USA"",""21"",""1"",""304928"""</f>
        <v>"NAV Direct","CRONUS JetCorp USA","21","1","304928"</v>
      </c>
      <c r="E3279" s="31">
        <f t="shared" si="998"/>
        <v>0</v>
      </c>
      <c r="F3279" s="31"/>
      <c r="G3279" s="31"/>
      <c r="H3279" s="31"/>
      <c r="I3279" s="56"/>
      <c r="J3279" s="56"/>
      <c r="K3279" s="82" t="str">
        <f t="shared" si="1007"/>
        <v>Invoice</v>
      </c>
      <c r="L3279" s="83" t="str">
        <f>"SI_109388"</f>
        <v>SI_109388</v>
      </c>
      <c r="M3279" s="84">
        <v>42608</v>
      </c>
      <c r="N3279" s="85">
        <f t="shared" si="1000"/>
        <v>1204</v>
      </c>
      <c r="O3279" s="86">
        <f t="shared" si="1001"/>
        <v>14238.759999999998</v>
      </c>
      <c r="P3279" s="86">
        <f t="shared" si="1002"/>
        <v>0</v>
      </c>
      <c r="Q3279" s="86">
        <f t="shared" si="1003"/>
        <v>0</v>
      </c>
      <c r="R3279" s="86">
        <f t="shared" si="1004"/>
        <v>0</v>
      </c>
      <c r="S3279" s="86">
        <f t="shared" si="1005"/>
        <v>0</v>
      </c>
      <c r="T3279" s="86">
        <f t="shared" si="1006"/>
        <v>14238.759999999998</v>
      </c>
      <c r="U3279" s="87">
        <v>14238.759999999998</v>
      </c>
    </row>
    <row r="3280" spans="1:21" s="30" customFormat="1" ht="24.6" hidden="1" outlineLevel="1" x14ac:dyDescent="0.55000000000000004">
      <c r="A3280" s="27" t="s">
        <v>327</v>
      </c>
      <c r="B3280" s="28"/>
      <c r="C3280" s="27"/>
      <c r="D3280" s="27" t="str">
        <f>"""NAV Direct"",""CRONUS JetCorp USA"",""21"",""1"",""304955"""</f>
        <v>"NAV Direct","CRONUS JetCorp USA","21","1","304955"</v>
      </c>
      <c r="E3280" s="31" t="str">
        <f t="shared" si="998"/>
        <v>C100099</v>
      </c>
      <c r="F3280" s="31"/>
      <c r="G3280" s="31"/>
      <c r="H3280" s="31"/>
      <c r="I3280" s="56"/>
      <c r="J3280" s="56"/>
      <c r="K3280" s="82" t="str">
        <f t="shared" si="1007"/>
        <v>Invoice</v>
      </c>
      <c r="L3280" s="83" t="str">
        <f>"SI_109389"</f>
        <v>SI_109389</v>
      </c>
      <c r="M3280" s="84">
        <v>42608</v>
      </c>
      <c r="N3280" s="85">
        <f t="shared" si="1000"/>
        <v>1204</v>
      </c>
      <c r="O3280" s="86">
        <f t="shared" si="1001"/>
        <v>14843.939999999999</v>
      </c>
      <c r="P3280" s="86">
        <f t="shared" si="1002"/>
        <v>0</v>
      </c>
      <c r="Q3280" s="86">
        <f t="shared" si="1003"/>
        <v>0</v>
      </c>
      <c r="R3280" s="86">
        <f t="shared" si="1004"/>
        <v>0</v>
      </c>
      <c r="S3280" s="86">
        <f t="shared" si="1005"/>
        <v>0</v>
      </c>
      <c r="T3280" s="86">
        <f t="shared" si="1006"/>
        <v>14843.939999999999</v>
      </c>
      <c r="U3280" s="87">
        <v>14843.939999999999</v>
      </c>
    </row>
    <row r="3281" spans="1:21" s="30" customFormat="1" ht="24.6" hidden="1" outlineLevel="1" x14ac:dyDescent="0.55000000000000004">
      <c r="A3281" s="27" t="s">
        <v>327</v>
      </c>
      <c r="B3281" s="28"/>
      <c r="C3281" s="27"/>
      <c r="D3281" s="27" t="str">
        <f>"""NAV Direct"",""CRONUS JetCorp USA"",""21"",""1"",""305005"""</f>
        <v>"NAV Direct","CRONUS JetCorp USA","21","1","305005"</v>
      </c>
      <c r="E3281" s="31">
        <f t="shared" si="998"/>
        <v>0</v>
      </c>
      <c r="F3281" s="31"/>
      <c r="G3281" s="31"/>
      <c r="H3281" s="31"/>
      <c r="I3281" s="56"/>
      <c r="J3281" s="56"/>
      <c r="K3281" s="82" t="str">
        <f t="shared" si="1007"/>
        <v>Invoice</v>
      </c>
      <c r="L3281" s="83" t="str">
        <f>"SI_109391"</f>
        <v>SI_109391</v>
      </c>
      <c r="M3281" s="84">
        <v>42608</v>
      </c>
      <c r="N3281" s="85">
        <f t="shared" si="1000"/>
        <v>1204</v>
      </c>
      <c r="O3281" s="86">
        <f t="shared" si="1001"/>
        <v>14238.759999999998</v>
      </c>
      <c r="P3281" s="86">
        <f t="shared" si="1002"/>
        <v>0</v>
      </c>
      <c r="Q3281" s="86">
        <f t="shared" si="1003"/>
        <v>0</v>
      </c>
      <c r="R3281" s="86">
        <f t="shared" si="1004"/>
        <v>0</v>
      </c>
      <c r="S3281" s="86">
        <f t="shared" si="1005"/>
        <v>0</v>
      </c>
      <c r="T3281" s="86">
        <f t="shared" si="1006"/>
        <v>14238.759999999998</v>
      </c>
      <c r="U3281" s="87">
        <v>14238.759999999998</v>
      </c>
    </row>
    <row r="3282" spans="1:21" s="30" customFormat="1" ht="24.6" hidden="1" outlineLevel="1" x14ac:dyDescent="0.55000000000000004">
      <c r="A3282" s="27" t="s">
        <v>327</v>
      </c>
      <c r="B3282" s="28"/>
      <c r="C3282" s="27"/>
      <c r="D3282" s="27" t="str">
        <f>"""NAV Direct"",""CRONUS JetCorp USA"",""21"",""1"",""305149"""</f>
        <v>"NAV Direct","CRONUS JetCorp USA","21","1","305149"</v>
      </c>
      <c r="E3282" s="31" t="str">
        <f t="shared" ref="E3282:E3313" si="1008">E3280</f>
        <v>C100099</v>
      </c>
      <c r="F3282" s="31"/>
      <c r="G3282" s="31"/>
      <c r="H3282" s="31"/>
      <c r="I3282" s="56"/>
      <c r="J3282" s="56"/>
      <c r="K3282" s="82" t="str">
        <f t="shared" si="1007"/>
        <v>Invoice</v>
      </c>
      <c r="L3282" s="83" t="str">
        <f>"SI_109397"</f>
        <v>SI_109397</v>
      </c>
      <c r="M3282" s="84">
        <v>42642</v>
      </c>
      <c r="N3282" s="85">
        <f t="shared" ref="N3282:N3313" si="1009">StartDate-$M3282+1</f>
        <v>1170</v>
      </c>
      <c r="O3282" s="86">
        <f t="shared" ref="O3282:O3313" si="1010">SUM(P3282:T3282)</f>
        <v>14918.779999999999</v>
      </c>
      <c r="P3282" s="86">
        <f t="shared" ref="P3282:P3313" si="1011">IF($M3282&gt;=$P$18,U3282,0)</f>
        <v>0</v>
      </c>
      <c r="Q3282" s="86">
        <f t="shared" ref="Q3282:Q3313" si="1012">IF(AND($M3282&gt;=$Q$16,$M3282&lt;=$Q$18),U3282,0)</f>
        <v>0</v>
      </c>
      <c r="R3282" s="86">
        <f t="shared" ref="R3282:R3313" si="1013">IF(AND($M3282&gt;=$R$16,$M3282&lt;=$R$18),U3282,0)</f>
        <v>0</v>
      </c>
      <c r="S3282" s="86">
        <f t="shared" ref="S3282:S3313" si="1014">IF(AND($M3282&gt;=$S$16,$M3282&lt;=$S$18),U3282,0)</f>
        <v>0</v>
      </c>
      <c r="T3282" s="86">
        <f t="shared" ref="T3282:T3313" si="1015">IF($M3282&lt;=$T$18,U3282,0)</f>
        <v>14918.779999999999</v>
      </c>
      <c r="U3282" s="87">
        <v>14918.779999999999</v>
      </c>
    </row>
    <row r="3283" spans="1:21" s="30" customFormat="1" ht="24.6" hidden="1" outlineLevel="1" x14ac:dyDescent="0.55000000000000004">
      <c r="A3283" s="27" t="s">
        <v>327</v>
      </c>
      <c r="B3283" s="28"/>
      <c r="C3283" s="27"/>
      <c r="D3283" s="27" t="str">
        <f>"""NAV Direct"",""CRONUS JetCorp USA"",""21"",""1"",""305170"""</f>
        <v>"NAV Direct","CRONUS JetCorp USA","21","1","305170"</v>
      </c>
      <c r="E3283" s="31">
        <f t="shared" si="1008"/>
        <v>0</v>
      </c>
      <c r="F3283" s="31"/>
      <c r="G3283" s="31"/>
      <c r="H3283" s="31"/>
      <c r="I3283" s="56"/>
      <c r="J3283" s="56"/>
      <c r="K3283" s="82" t="str">
        <f t="shared" si="1007"/>
        <v>Invoice</v>
      </c>
      <c r="L3283" s="83" t="str">
        <f>"SI_109398"</f>
        <v>SI_109398</v>
      </c>
      <c r="M3283" s="84">
        <v>42642</v>
      </c>
      <c r="N3283" s="85">
        <f t="shared" si="1009"/>
        <v>1170</v>
      </c>
      <c r="O3283" s="86">
        <f t="shared" si="1010"/>
        <v>14004.689999999999</v>
      </c>
      <c r="P3283" s="86">
        <f t="shared" si="1011"/>
        <v>0</v>
      </c>
      <c r="Q3283" s="86">
        <f t="shared" si="1012"/>
        <v>0</v>
      </c>
      <c r="R3283" s="86">
        <f t="shared" si="1013"/>
        <v>0</v>
      </c>
      <c r="S3283" s="86">
        <f t="shared" si="1014"/>
        <v>0</v>
      </c>
      <c r="T3283" s="86">
        <f t="shared" si="1015"/>
        <v>14004.689999999999</v>
      </c>
      <c r="U3283" s="87">
        <v>14004.689999999999</v>
      </c>
    </row>
    <row r="3284" spans="1:21" s="30" customFormat="1" ht="24.6" hidden="1" outlineLevel="1" x14ac:dyDescent="0.55000000000000004">
      <c r="A3284" s="27" t="s">
        <v>327</v>
      </c>
      <c r="B3284" s="28"/>
      <c r="C3284" s="27"/>
      <c r="D3284" s="27" t="str">
        <f>"""NAV Direct"",""CRONUS JetCorp USA"",""21"",""1"",""305434"""</f>
        <v>"NAV Direct","CRONUS JetCorp USA","21","1","305434"</v>
      </c>
      <c r="E3284" s="31" t="str">
        <f t="shared" si="1008"/>
        <v>C100099</v>
      </c>
      <c r="F3284" s="31"/>
      <c r="G3284" s="31"/>
      <c r="H3284" s="31"/>
      <c r="I3284" s="56"/>
      <c r="J3284" s="56"/>
      <c r="K3284" s="82" t="str">
        <f t="shared" si="1007"/>
        <v>Invoice</v>
      </c>
      <c r="L3284" s="83" t="str">
        <f>"SI_109408"</f>
        <v>SI_109408</v>
      </c>
      <c r="M3284" s="84">
        <v>42691</v>
      </c>
      <c r="N3284" s="85">
        <f t="shared" si="1009"/>
        <v>1121</v>
      </c>
      <c r="O3284" s="86">
        <f t="shared" si="1010"/>
        <v>14668.81</v>
      </c>
      <c r="P3284" s="86">
        <f t="shared" si="1011"/>
        <v>0</v>
      </c>
      <c r="Q3284" s="86">
        <f t="shared" si="1012"/>
        <v>0</v>
      </c>
      <c r="R3284" s="86">
        <f t="shared" si="1013"/>
        <v>0</v>
      </c>
      <c r="S3284" s="86">
        <f t="shared" si="1014"/>
        <v>0</v>
      </c>
      <c r="T3284" s="86">
        <f t="shared" si="1015"/>
        <v>14668.81</v>
      </c>
      <c r="U3284" s="87">
        <v>14668.81</v>
      </c>
    </row>
    <row r="3285" spans="1:21" s="30" customFormat="1" ht="24.6" hidden="1" outlineLevel="1" x14ac:dyDescent="0.55000000000000004">
      <c r="A3285" s="27" t="s">
        <v>327</v>
      </c>
      <c r="B3285" s="28"/>
      <c r="C3285" s="27"/>
      <c r="D3285" s="27" t="str">
        <f>"""NAV Direct"",""CRONUS JetCorp USA"",""21"",""1"",""305476"""</f>
        <v>"NAV Direct","CRONUS JetCorp USA","21","1","305476"</v>
      </c>
      <c r="E3285" s="31">
        <f t="shared" si="1008"/>
        <v>0</v>
      </c>
      <c r="F3285" s="31"/>
      <c r="G3285" s="31"/>
      <c r="H3285" s="31"/>
      <c r="I3285" s="56"/>
      <c r="J3285" s="56"/>
      <c r="K3285" s="82" t="str">
        <f t="shared" si="1007"/>
        <v>Invoice</v>
      </c>
      <c r="L3285" s="83" t="str">
        <f>"SI_109410"</f>
        <v>SI_109410</v>
      </c>
      <c r="M3285" s="84">
        <v>42718</v>
      </c>
      <c r="N3285" s="85">
        <f t="shared" si="1009"/>
        <v>1094</v>
      </c>
      <c r="O3285" s="86">
        <f t="shared" si="1010"/>
        <v>14948.51</v>
      </c>
      <c r="P3285" s="86">
        <f t="shared" si="1011"/>
        <v>0</v>
      </c>
      <c r="Q3285" s="86">
        <f t="shared" si="1012"/>
        <v>0</v>
      </c>
      <c r="R3285" s="86">
        <f t="shared" si="1013"/>
        <v>0</v>
      </c>
      <c r="S3285" s="86">
        <f t="shared" si="1014"/>
        <v>0</v>
      </c>
      <c r="T3285" s="86">
        <f t="shared" si="1015"/>
        <v>14948.51</v>
      </c>
      <c r="U3285" s="87">
        <v>14948.51</v>
      </c>
    </row>
    <row r="3286" spans="1:21" s="30" customFormat="1" ht="24.6" hidden="1" outlineLevel="1" x14ac:dyDescent="0.55000000000000004">
      <c r="A3286" s="27" t="s">
        <v>327</v>
      </c>
      <c r="B3286" s="28"/>
      <c r="C3286" s="27"/>
      <c r="D3286" s="27" t="str">
        <f>"""NAV Direct"",""CRONUS JetCorp USA"",""21"",""1"",""305615"""</f>
        <v>"NAV Direct","CRONUS JetCorp USA","21","1","305615"</v>
      </c>
      <c r="E3286" s="31" t="str">
        <f t="shared" si="1008"/>
        <v>C100099</v>
      </c>
      <c r="F3286" s="31"/>
      <c r="G3286" s="31"/>
      <c r="H3286" s="31"/>
      <c r="I3286" s="56"/>
      <c r="J3286" s="56"/>
      <c r="K3286" s="82" t="str">
        <f t="shared" si="1007"/>
        <v>Invoice</v>
      </c>
      <c r="L3286" s="83" t="str">
        <f>"SI_109415"</f>
        <v>SI_109415</v>
      </c>
      <c r="M3286" s="84">
        <v>42741</v>
      </c>
      <c r="N3286" s="85">
        <f t="shared" si="1009"/>
        <v>1071</v>
      </c>
      <c r="O3286" s="86">
        <f t="shared" si="1010"/>
        <v>15752.95</v>
      </c>
      <c r="P3286" s="86">
        <f t="shared" si="1011"/>
        <v>0</v>
      </c>
      <c r="Q3286" s="86">
        <f t="shared" si="1012"/>
        <v>0</v>
      </c>
      <c r="R3286" s="86">
        <f t="shared" si="1013"/>
        <v>0</v>
      </c>
      <c r="S3286" s="86">
        <f t="shared" si="1014"/>
        <v>0</v>
      </c>
      <c r="T3286" s="86">
        <f t="shared" si="1015"/>
        <v>15752.95</v>
      </c>
      <c r="U3286" s="87">
        <v>15752.95</v>
      </c>
    </row>
    <row r="3287" spans="1:21" s="30" customFormat="1" ht="24.6" hidden="1" outlineLevel="1" x14ac:dyDescent="0.55000000000000004">
      <c r="A3287" s="27" t="s">
        <v>327</v>
      </c>
      <c r="B3287" s="28"/>
      <c r="C3287" s="27"/>
      <c r="D3287" s="27" t="str">
        <f>"""NAV Direct"",""CRONUS JetCorp USA"",""21"",""1"",""305650"""</f>
        <v>"NAV Direct","CRONUS JetCorp USA","21","1","305650"</v>
      </c>
      <c r="E3287" s="31">
        <f t="shared" si="1008"/>
        <v>0</v>
      </c>
      <c r="F3287" s="31"/>
      <c r="G3287" s="31"/>
      <c r="H3287" s="31"/>
      <c r="I3287" s="56"/>
      <c r="J3287" s="56"/>
      <c r="K3287" s="82" t="str">
        <f t="shared" si="1007"/>
        <v>Invoice</v>
      </c>
      <c r="L3287" s="83" t="str">
        <f>"SI_109416"</f>
        <v>SI_109416</v>
      </c>
      <c r="M3287" s="84">
        <v>42748</v>
      </c>
      <c r="N3287" s="85">
        <f t="shared" si="1009"/>
        <v>1064</v>
      </c>
      <c r="O3287" s="86">
        <f t="shared" si="1010"/>
        <v>15826.46</v>
      </c>
      <c r="P3287" s="86">
        <f t="shared" si="1011"/>
        <v>0</v>
      </c>
      <c r="Q3287" s="86">
        <f t="shared" si="1012"/>
        <v>0</v>
      </c>
      <c r="R3287" s="86">
        <f t="shared" si="1013"/>
        <v>0</v>
      </c>
      <c r="S3287" s="86">
        <f t="shared" si="1014"/>
        <v>0</v>
      </c>
      <c r="T3287" s="86">
        <f t="shared" si="1015"/>
        <v>15826.46</v>
      </c>
      <c r="U3287" s="87">
        <v>15826.46</v>
      </c>
    </row>
    <row r="3288" spans="1:21" s="30" customFormat="1" ht="24.6" hidden="1" outlineLevel="1" x14ac:dyDescent="0.55000000000000004">
      <c r="A3288" s="27" t="s">
        <v>327</v>
      </c>
      <c r="B3288" s="28"/>
      <c r="C3288" s="27"/>
      <c r="D3288" s="27" t="str">
        <f>"""NAV Direct"",""CRONUS JetCorp USA"",""21"",""1"",""305696"""</f>
        <v>"NAV Direct","CRONUS JetCorp USA","21","1","305696"</v>
      </c>
      <c r="E3288" s="31" t="str">
        <f t="shared" si="1008"/>
        <v>C100099</v>
      </c>
      <c r="F3288" s="31"/>
      <c r="G3288" s="31"/>
      <c r="H3288" s="31"/>
      <c r="I3288" s="56"/>
      <c r="J3288" s="56"/>
      <c r="K3288" s="82" t="str">
        <f t="shared" si="1007"/>
        <v>Invoice</v>
      </c>
      <c r="L3288" s="83" t="str">
        <f>"SI_109418"</f>
        <v>SI_109418</v>
      </c>
      <c r="M3288" s="84">
        <v>42756</v>
      </c>
      <c r="N3288" s="85">
        <f t="shared" si="1009"/>
        <v>1056</v>
      </c>
      <c r="O3288" s="86">
        <f t="shared" si="1010"/>
        <v>15500.11</v>
      </c>
      <c r="P3288" s="86">
        <f t="shared" si="1011"/>
        <v>0</v>
      </c>
      <c r="Q3288" s="86">
        <f t="shared" si="1012"/>
        <v>0</v>
      </c>
      <c r="R3288" s="86">
        <f t="shared" si="1013"/>
        <v>0</v>
      </c>
      <c r="S3288" s="86">
        <f t="shared" si="1014"/>
        <v>0</v>
      </c>
      <c r="T3288" s="86">
        <f t="shared" si="1015"/>
        <v>15500.11</v>
      </c>
      <c r="U3288" s="87">
        <v>15500.11</v>
      </c>
    </row>
    <row r="3289" spans="1:21" s="30" customFormat="1" ht="24.6" hidden="1" outlineLevel="1" x14ac:dyDescent="0.55000000000000004">
      <c r="A3289" s="27" t="s">
        <v>327</v>
      </c>
      <c r="B3289" s="28"/>
      <c r="C3289" s="27"/>
      <c r="D3289" s="27" t="str">
        <f>"""NAV Direct"",""CRONUS JetCorp USA"",""21"",""1"",""305854"""</f>
        <v>"NAV Direct","CRONUS JetCorp USA","21","1","305854"</v>
      </c>
      <c r="E3289" s="31">
        <f t="shared" si="1008"/>
        <v>0</v>
      </c>
      <c r="F3289" s="31"/>
      <c r="G3289" s="31"/>
      <c r="H3289" s="31"/>
      <c r="I3289" s="56"/>
      <c r="J3289" s="56"/>
      <c r="K3289" s="82" t="str">
        <f t="shared" si="1007"/>
        <v>Invoice</v>
      </c>
      <c r="L3289" s="83" t="str">
        <f>"SI_109424"</f>
        <v>SI_109424</v>
      </c>
      <c r="M3289" s="84">
        <v>42797</v>
      </c>
      <c r="N3289" s="85">
        <f t="shared" si="1009"/>
        <v>1015</v>
      </c>
      <c r="O3289" s="86">
        <f t="shared" si="1010"/>
        <v>15565.830000000002</v>
      </c>
      <c r="P3289" s="86">
        <f t="shared" si="1011"/>
        <v>0</v>
      </c>
      <c r="Q3289" s="86">
        <f t="shared" si="1012"/>
        <v>0</v>
      </c>
      <c r="R3289" s="86">
        <f t="shared" si="1013"/>
        <v>0</v>
      </c>
      <c r="S3289" s="86">
        <f t="shared" si="1014"/>
        <v>0</v>
      </c>
      <c r="T3289" s="86">
        <f t="shared" si="1015"/>
        <v>15565.830000000002</v>
      </c>
      <c r="U3289" s="87">
        <v>15565.830000000002</v>
      </c>
    </row>
    <row r="3290" spans="1:21" s="30" customFormat="1" ht="24.6" hidden="1" outlineLevel="1" x14ac:dyDescent="0.55000000000000004">
      <c r="A3290" s="27" t="s">
        <v>327</v>
      </c>
      <c r="B3290" s="28"/>
      <c r="C3290" s="27"/>
      <c r="D3290" s="27" t="str">
        <f>"""NAV Direct"",""CRONUS JetCorp USA"",""21"",""1"",""305914"""</f>
        <v>"NAV Direct","CRONUS JetCorp USA","21","1","305914"</v>
      </c>
      <c r="E3290" s="31" t="str">
        <f t="shared" si="1008"/>
        <v>C100099</v>
      </c>
      <c r="F3290" s="31"/>
      <c r="G3290" s="31"/>
      <c r="H3290" s="31"/>
      <c r="I3290" s="56"/>
      <c r="J3290" s="56"/>
      <c r="K3290" s="82" t="str">
        <f t="shared" si="1007"/>
        <v>Invoice</v>
      </c>
      <c r="L3290" s="83" t="str">
        <f>"SI_109426"</f>
        <v>SI_109426</v>
      </c>
      <c r="M3290" s="84">
        <v>42798</v>
      </c>
      <c r="N3290" s="85">
        <f t="shared" si="1009"/>
        <v>1014</v>
      </c>
      <c r="O3290" s="86">
        <f t="shared" si="1010"/>
        <v>16227.750000000002</v>
      </c>
      <c r="P3290" s="86">
        <f t="shared" si="1011"/>
        <v>0</v>
      </c>
      <c r="Q3290" s="86">
        <f t="shared" si="1012"/>
        <v>0</v>
      </c>
      <c r="R3290" s="86">
        <f t="shared" si="1013"/>
        <v>0</v>
      </c>
      <c r="S3290" s="86">
        <f t="shared" si="1014"/>
        <v>0</v>
      </c>
      <c r="T3290" s="86">
        <f t="shared" si="1015"/>
        <v>16227.750000000002</v>
      </c>
      <c r="U3290" s="87">
        <v>16227.750000000002</v>
      </c>
    </row>
    <row r="3291" spans="1:21" s="30" customFormat="1" ht="24.6" hidden="1" outlineLevel="1" x14ac:dyDescent="0.55000000000000004">
      <c r="A3291" s="27" t="s">
        <v>327</v>
      </c>
      <c r="B3291" s="28"/>
      <c r="C3291" s="27"/>
      <c r="D3291" s="27" t="str">
        <f>"""NAV Direct"",""CRONUS JetCorp USA"",""21"",""1"",""305970"""</f>
        <v>"NAV Direct","CRONUS JetCorp USA","21","1","305970"</v>
      </c>
      <c r="E3291" s="31">
        <f t="shared" si="1008"/>
        <v>0</v>
      </c>
      <c r="F3291" s="31"/>
      <c r="G3291" s="31"/>
      <c r="H3291" s="31"/>
      <c r="I3291" s="56"/>
      <c r="J3291" s="56"/>
      <c r="K3291" s="82" t="str">
        <f t="shared" si="1007"/>
        <v>Invoice</v>
      </c>
      <c r="L3291" s="83" t="str">
        <f>"SI_109428"</f>
        <v>SI_109428</v>
      </c>
      <c r="M3291" s="84">
        <v>42815</v>
      </c>
      <c r="N3291" s="85">
        <f t="shared" si="1009"/>
        <v>997</v>
      </c>
      <c r="O3291" s="86">
        <f t="shared" si="1010"/>
        <v>15416.44</v>
      </c>
      <c r="P3291" s="86">
        <f t="shared" si="1011"/>
        <v>0</v>
      </c>
      <c r="Q3291" s="86">
        <f t="shared" si="1012"/>
        <v>0</v>
      </c>
      <c r="R3291" s="86">
        <f t="shared" si="1013"/>
        <v>0</v>
      </c>
      <c r="S3291" s="86">
        <f t="shared" si="1014"/>
        <v>0</v>
      </c>
      <c r="T3291" s="86">
        <f t="shared" si="1015"/>
        <v>15416.44</v>
      </c>
      <c r="U3291" s="87">
        <v>15416.44</v>
      </c>
    </row>
    <row r="3292" spans="1:21" s="30" customFormat="1" ht="24.6" hidden="1" outlineLevel="1" x14ac:dyDescent="0.55000000000000004">
      <c r="A3292" s="27" t="s">
        <v>327</v>
      </c>
      <c r="B3292" s="28"/>
      <c r="C3292" s="27"/>
      <c r="D3292" s="27" t="str">
        <f>"""NAV Direct"",""CRONUS JetCorp USA"",""21"",""1"",""306143"""</f>
        <v>"NAV Direct","CRONUS JetCorp USA","21","1","306143"</v>
      </c>
      <c r="E3292" s="31" t="str">
        <f t="shared" si="1008"/>
        <v>C100099</v>
      </c>
      <c r="F3292" s="31"/>
      <c r="G3292" s="31"/>
      <c r="H3292" s="31"/>
      <c r="I3292" s="56"/>
      <c r="J3292" s="56"/>
      <c r="K3292" s="82" t="str">
        <f t="shared" si="1007"/>
        <v>Invoice</v>
      </c>
      <c r="L3292" s="83" t="str">
        <f>"SI_109435"</f>
        <v>SI_109435</v>
      </c>
      <c r="M3292" s="84">
        <v>42856</v>
      </c>
      <c r="N3292" s="85">
        <f t="shared" si="1009"/>
        <v>956</v>
      </c>
      <c r="O3292" s="86">
        <f t="shared" si="1010"/>
        <v>16455.689999999999</v>
      </c>
      <c r="P3292" s="86">
        <f t="shared" si="1011"/>
        <v>0</v>
      </c>
      <c r="Q3292" s="86">
        <f t="shared" si="1012"/>
        <v>0</v>
      </c>
      <c r="R3292" s="86">
        <f t="shared" si="1013"/>
        <v>0</v>
      </c>
      <c r="S3292" s="86">
        <f t="shared" si="1014"/>
        <v>0</v>
      </c>
      <c r="T3292" s="86">
        <f t="shared" si="1015"/>
        <v>16455.689999999999</v>
      </c>
      <c r="U3292" s="87">
        <v>16455.689999999999</v>
      </c>
    </row>
    <row r="3293" spans="1:21" s="30" customFormat="1" ht="24.6" hidden="1" outlineLevel="1" x14ac:dyDescent="0.55000000000000004">
      <c r="A3293" s="27" t="s">
        <v>327</v>
      </c>
      <c r="B3293" s="28"/>
      <c r="C3293" s="27"/>
      <c r="D3293" s="27" t="str">
        <f>"""NAV Direct"",""CRONUS JetCorp USA"",""21"",""1"",""306191"""</f>
        <v>"NAV Direct","CRONUS JetCorp USA","21","1","306191"</v>
      </c>
      <c r="E3293" s="31">
        <f t="shared" si="1008"/>
        <v>0</v>
      </c>
      <c r="F3293" s="31"/>
      <c r="G3293" s="31"/>
      <c r="H3293" s="31"/>
      <c r="I3293" s="56"/>
      <c r="J3293" s="56"/>
      <c r="K3293" s="82" t="str">
        <f t="shared" si="1007"/>
        <v>Invoice</v>
      </c>
      <c r="L3293" s="83" t="str">
        <f>"SI_109437"</f>
        <v>SI_109437</v>
      </c>
      <c r="M3293" s="84">
        <v>42860</v>
      </c>
      <c r="N3293" s="85">
        <f t="shared" si="1009"/>
        <v>952</v>
      </c>
      <c r="O3293" s="86">
        <f t="shared" si="1010"/>
        <v>16288.169999999998</v>
      </c>
      <c r="P3293" s="86">
        <f t="shared" si="1011"/>
        <v>0</v>
      </c>
      <c r="Q3293" s="86">
        <f t="shared" si="1012"/>
        <v>0</v>
      </c>
      <c r="R3293" s="86">
        <f t="shared" si="1013"/>
        <v>0</v>
      </c>
      <c r="S3293" s="86">
        <f t="shared" si="1014"/>
        <v>0</v>
      </c>
      <c r="T3293" s="86">
        <f t="shared" si="1015"/>
        <v>16288.169999999998</v>
      </c>
      <c r="U3293" s="87">
        <v>16288.169999999998</v>
      </c>
    </row>
    <row r="3294" spans="1:21" s="30" customFormat="1" ht="24.6" hidden="1" outlineLevel="1" x14ac:dyDescent="0.55000000000000004">
      <c r="A3294" s="27" t="s">
        <v>327</v>
      </c>
      <c r="B3294" s="28"/>
      <c r="C3294" s="27"/>
      <c r="D3294" s="27" t="str">
        <f>"""NAV Direct"",""CRONUS JetCorp USA"",""21"",""1"",""306218"""</f>
        <v>"NAV Direct","CRONUS JetCorp USA","21","1","306218"</v>
      </c>
      <c r="E3294" s="31" t="str">
        <f t="shared" si="1008"/>
        <v>C100099</v>
      </c>
      <c r="F3294" s="31"/>
      <c r="G3294" s="31"/>
      <c r="H3294" s="31"/>
      <c r="I3294" s="56"/>
      <c r="J3294" s="56"/>
      <c r="K3294" s="82" t="str">
        <f t="shared" si="1007"/>
        <v>Invoice</v>
      </c>
      <c r="L3294" s="83" t="str">
        <f>"SI_109438"</f>
        <v>SI_109438</v>
      </c>
      <c r="M3294" s="84">
        <v>42867</v>
      </c>
      <c r="N3294" s="85">
        <f t="shared" si="1009"/>
        <v>945</v>
      </c>
      <c r="O3294" s="86">
        <f t="shared" si="1010"/>
        <v>16456.509999999998</v>
      </c>
      <c r="P3294" s="86">
        <f t="shared" si="1011"/>
        <v>0</v>
      </c>
      <c r="Q3294" s="86">
        <f t="shared" si="1012"/>
        <v>0</v>
      </c>
      <c r="R3294" s="86">
        <f t="shared" si="1013"/>
        <v>0</v>
      </c>
      <c r="S3294" s="86">
        <f t="shared" si="1014"/>
        <v>0</v>
      </c>
      <c r="T3294" s="86">
        <f t="shared" si="1015"/>
        <v>16456.509999999998</v>
      </c>
      <c r="U3294" s="87">
        <v>16456.509999999998</v>
      </c>
    </row>
    <row r="3295" spans="1:21" s="30" customFormat="1" ht="24.6" hidden="1" outlineLevel="1" x14ac:dyDescent="0.55000000000000004">
      <c r="A3295" s="27" t="s">
        <v>327</v>
      </c>
      <c r="B3295" s="28"/>
      <c r="C3295" s="27"/>
      <c r="D3295" s="27" t="str">
        <f>"""NAV Direct"",""CRONUS JetCorp USA"",""21"",""1"",""306245"""</f>
        <v>"NAV Direct","CRONUS JetCorp USA","21","1","306245"</v>
      </c>
      <c r="E3295" s="31">
        <f t="shared" si="1008"/>
        <v>0</v>
      </c>
      <c r="F3295" s="31"/>
      <c r="G3295" s="31"/>
      <c r="H3295" s="31"/>
      <c r="I3295" s="56"/>
      <c r="J3295" s="56"/>
      <c r="K3295" s="82" t="str">
        <f t="shared" ref="K3295:K3326" si="1016">"Invoice"</f>
        <v>Invoice</v>
      </c>
      <c r="L3295" s="83" t="str">
        <f>"SI_109439"</f>
        <v>SI_109439</v>
      </c>
      <c r="M3295" s="84">
        <v>42864</v>
      </c>
      <c r="N3295" s="85">
        <f t="shared" si="1009"/>
        <v>948</v>
      </c>
      <c r="O3295" s="86">
        <f t="shared" si="1010"/>
        <v>16104.570000000002</v>
      </c>
      <c r="P3295" s="86">
        <f t="shared" si="1011"/>
        <v>0</v>
      </c>
      <c r="Q3295" s="86">
        <f t="shared" si="1012"/>
        <v>0</v>
      </c>
      <c r="R3295" s="86">
        <f t="shared" si="1013"/>
        <v>0</v>
      </c>
      <c r="S3295" s="86">
        <f t="shared" si="1014"/>
        <v>0</v>
      </c>
      <c r="T3295" s="86">
        <f t="shared" si="1015"/>
        <v>16104.570000000002</v>
      </c>
      <c r="U3295" s="87">
        <v>16104.570000000002</v>
      </c>
    </row>
    <row r="3296" spans="1:21" s="30" customFormat="1" ht="24.6" hidden="1" outlineLevel="1" x14ac:dyDescent="0.55000000000000004">
      <c r="A3296" s="27" t="s">
        <v>327</v>
      </c>
      <c r="B3296" s="28"/>
      <c r="C3296" s="27"/>
      <c r="D3296" s="27" t="str">
        <f>"""NAV Direct"",""CRONUS JetCorp USA"",""21"",""1"",""306262"""</f>
        <v>"NAV Direct","CRONUS JetCorp USA","21","1","306262"</v>
      </c>
      <c r="E3296" s="31" t="str">
        <f t="shared" si="1008"/>
        <v>C100099</v>
      </c>
      <c r="F3296" s="31"/>
      <c r="G3296" s="31"/>
      <c r="H3296" s="31"/>
      <c r="I3296" s="56"/>
      <c r="J3296" s="56"/>
      <c r="K3296" s="82" t="str">
        <f t="shared" si="1016"/>
        <v>Invoice</v>
      </c>
      <c r="L3296" s="83" t="str">
        <f>"SI_109440"</f>
        <v>SI_109440</v>
      </c>
      <c r="M3296" s="84">
        <v>42879</v>
      </c>
      <c r="N3296" s="85">
        <f t="shared" si="1009"/>
        <v>933</v>
      </c>
      <c r="O3296" s="86">
        <f t="shared" si="1010"/>
        <v>15936.570000000002</v>
      </c>
      <c r="P3296" s="86">
        <f t="shared" si="1011"/>
        <v>0</v>
      </c>
      <c r="Q3296" s="86">
        <f t="shared" si="1012"/>
        <v>0</v>
      </c>
      <c r="R3296" s="86">
        <f t="shared" si="1013"/>
        <v>0</v>
      </c>
      <c r="S3296" s="86">
        <f t="shared" si="1014"/>
        <v>0</v>
      </c>
      <c r="T3296" s="86">
        <f t="shared" si="1015"/>
        <v>15936.570000000002</v>
      </c>
      <c r="U3296" s="87">
        <v>15936.570000000002</v>
      </c>
    </row>
    <row r="3297" spans="1:21" s="30" customFormat="1" ht="24.6" hidden="1" outlineLevel="1" x14ac:dyDescent="0.55000000000000004">
      <c r="A3297" s="27" t="s">
        <v>327</v>
      </c>
      <c r="B3297" s="28"/>
      <c r="C3297" s="27"/>
      <c r="D3297" s="27" t="str">
        <f>"""NAV Direct"",""CRONUS JetCorp USA"",""21"",""1"",""306310"""</f>
        <v>"NAV Direct","CRONUS JetCorp USA","21","1","306310"</v>
      </c>
      <c r="E3297" s="31">
        <f t="shared" si="1008"/>
        <v>0</v>
      </c>
      <c r="F3297" s="31"/>
      <c r="G3297" s="31"/>
      <c r="H3297" s="31"/>
      <c r="I3297" s="56"/>
      <c r="J3297" s="56"/>
      <c r="K3297" s="82" t="str">
        <f t="shared" si="1016"/>
        <v>Invoice</v>
      </c>
      <c r="L3297" s="83" t="str">
        <f>"SI_109442"</f>
        <v>SI_109442</v>
      </c>
      <c r="M3297" s="84">
        <v>42884</v>
      </c>
      <c r="N3297" s="85">
        <f t="shared" si="1009"/>
        <v>928</v>
      </c>
      <c r="O3297" s="86">
        <f t="shared" si="1010"/>
        <v>16439.46</v>
      </c>
      <c r="P3297" s="86">
        <f t="shared" si="1011"/>
        <v>0</v>
      </c>
      <c r="Q3297" s="86">
        <f t="shared" si="1012"/>
        <v>0</v>
      </c>
      <c r="R3297" s="86">
        <f t="shared" si="1013"/>
        <v>0</v>
      </c>
      <c r="S3297" s="86">
        <f t="shared" si="1014"/>
        <v>0</v>
      </c>
      <c r="T3297" s="86">
        <f t="shared" si="1015"/>
        <v>16439.46</v>
      </c>
      <c r="U3297" s="87">
        <v>16439.46</v>
      </c>
    </row>
    <row r="3298" spans="1:21" s="30" customFormat="1" ht="24.6" hidden="1" outlineLevel="1" x14ac:dyDescent="0.55000000000000004">
      <c r="A3298" s="27" t="s">
        <v>327</v>
      </c>
      <c r="B3298" s="28"/>
      <c r="C3298" s="27"/>
      <c r="D3298" s="27" t="str">
        <f>"""NAV Direct"",""CRONUS JetCorp USA"",""21"",""1"",""306358"""</f>
        <v>"NAV Direct","CRONUS JetCorp USA","21","1","306358"</v>
      </c>
      <c r="E3298" s="31" t="str">
        <f t="shared" si="1008"/>
        <v>C100099</v>
      </c>
      <c r="F3298" s="31"/>
      <c r="G3298" s="31"/>
      <c r="H3298" s="31"/>
      <c r="I3298" s="56"/>
      <c r="J3298" s="56"/>
      <c r="K3298" s="82" t="str">
        <f t="shared" si="1016"/>
        <v>Invoice</v>
      </c>
      <c r="L3298" s="83" t="str">
        <f>"SI_109444"</f>
        <v>SI_109444</v>
      </c>
      <c r="M3298" s="84">
        <v>42879</v>
      </c>
      <c r="N3298" s="85">
        <f t="shared" si="1009"/>
        <v>933</v>
      </c>
      <c r="O3298" s="86">
        <f t="shared" si="1010"/>
        <v>16439.71</v>
      </c>
      <c r="P3298" s="86">
        <f t="shared" si="1011"/>
        <v>0</v>
      </c>
      <c r="Q3298" s="86">
        <f t="shared" si="1012"/>
        <v>0</v>
      </c>
      <c r="R3298" s="86">
        <f t="shared" si="1013"/>
        <v>0</v>
      </c>
      <c r="S3298" s="86">
        <f t="shared" si="1014"/>
        <v>0</v>
      </c>
      <c r="T3298" s="86">
        <f t="shared" si="1015"/>
        <v>16439.71</v>
      </c>
      <c r="U3298" s="87">
        <v>16439.71</v>
      </c>
    </row>
    <row r="3299" spans="1:21" s="30" customFormat="1" ht="24.6" hidden="1" outlineLevel="1" x14ac:dyDescent="0.55000000000000004">
      <c r="A3299" s="27" t="s">
        <v>327</v>
      </c>
      <c r="B3299" s="28"/>
      <c r="C3299" s="27"/>
      <c r="D3299" s="27" t="str">
        <f>"""NAV Direct"",""CRONUS JetCorp USA"",""21"",""1"",""306439"""</f>
        <v>"NAV Direct","CRONUS JetCorp USA","21","1","306439"</v>
      </c>
      <c r="E3299" s="31">
        <f t="shared" si="1008"/>
        <v>0</v>
      </c>
      <c r="F3299" s="31"/>
      <c r="G3299" s="31"/>
      <c r="H3299" s="31"/>
      <c r="I3299" s="56"/>
      <c r="J3299" s="56"/>
      <c r="K3299" s="82" t="str">
        <f t="shared" si="1016"/>
        <v>Invoice</v>
      </c>
      <c r="L3299" s="83" t="str">
        <f>"SI_109447"</f>
        <v>SI_109447</v>
      </c>
      <c r="M3299" s="84">
        <v>42902</v>
      </c>
      <c r="N3299" s="85">
        <f t="shared" si="1009"/>
        <v>910</v>
      </c>
      <c r="O3299" s="86">
        <f t="shared" si="1010"/>
        <v>16456.690000000002</v>
      </c>
      <c r="P3299" s="86">
        <f t="shared" si="1011"/>
        <v>0</v>
      </c>
      <c r="Q3299" s="86">
        <f t="shared" si="1012"/>
        <v>0</v>
      </c>
      <c r="R3299" s="86">
        <f t="shared" si="1013"/>
        <v>0</v>
      </c>
      <c r="S3299" s="86">
        <f t="shared" si="1014"/>
        <v>0</v>
      </c>
      <c r="T3299" s="86">
        <f t="shared" si="1015"/>
        <v>16456.690000000002</v>
      </c>
      <c r="U3299" s="87">
        <v>16456.690000000002</v>
      </c>
    </row>
    <row r="3300" spans="1:21" s="30" customFormat="1" ht="24.6" hidden="1" outlineLevel="1" x14ac:dyDescent="0.55000000000000004">
      <c r="A3300" s="27" t="s">
        <v>327</v>
      </c>
      <c r="B3300" s="28"/>
      <c r="C3300" s="27"/>
      <c r="D3300" s="27" t="str">
        <f>"""NAV Direct"",""CRONUS JetCorp USA"",""21"",""1"",""306514"""</f>
        <v>"NAV Direct","CRONUS JetCorp USA","21","1","306514"</v>
      </c>
      <c r="E3300" s="31" t="str">
        <f t="shared" si="1008"/>
        <v>C100099</v>
      </c>
      <c r="F3300" s="31"/>
      <c r="G3300" s="31"/>
      <c r="H3300" s="31"/>
      <c r="I3300" s="56"/>
      <c r="J3300" s="56"/>
      <c r="K3300" s="82" t="str">
        <f t="shared" si="1016"/>
        <v>Invoice</v>
      </c>
      <c r="L3300" s="83" t="str">
        <f>"SI_109450"</f>
        <v>SI_109450</v>
      </c>
      <c r="M3300" s="84">
        <v>42916</v>
      </c>
      <c r="N3300" s="85">
        <f t="shared" si="1009"/>
        <v>896</v>
      </c>
      <c r="O3300" s="86">
        <f t="shared" si="1010"/>
        <v>16119.15</v>
      </c>
      <c r="P3300" s="86">
        <f t="shared" si="1011"/>
        <v>0</v>
      </c>
      <c r="Q3300" s="86">
        <f t="shared" si="1012"/>
        <v>0</v>
      </c>
      <c r="R3300" s="86">
        <f t="shared" si="1013"/>
        <v>0</v>
      </c>
      <c r="S3300" s="86">
        <f t="shared" si="1014"/>
        <v>0</v>
      </c>
      <c r="T3300" s="86">
        <f t="shared" si="1015"/>
        <v>16119.15</v>
      </c>
      <c r="U3300" s="87">
        <v>16119.15</v>
      </c>
    </row>
    <row r="3301" spans="1:21" s="30" customFormat="1" ht="24.6" hidden="1" outlineLevel="1" x14ac:dyDescent="0.55000000000000004">
      <c r="A3301" s="27" t="s">
        <v>327</v>
      </c>
      <c r="B3301" s="28"/>
      <c r="C3301" s="27"/>
      <c r="D3301" s="27" t="str">
        <f>"""NAV Direct"",""CRONUS JetCorp USA"",""21"",""1"",""306564"""</f>
        <v>"NAV Direct","CRONUS JetCorp USA","21","1","306564"</v>
      </c>
      <c r="E3301" s="31">
        <f t="shared" si="1008"/>
        <v>0</v>
      </c>
      <c r="F3301" s="31"/>
      <c r="G3301" s="31"/>
      <c r="H3301" s="31"/>
      <c r="I3301" s="56"/>
      <c r="J3301" s="56"/>
      <c r="K3301" s="82" t="str">
        <f t="shared" si="1016"/>
        <v>Invoice</v>
      </c>
      <c r="L3301" s="83" t="str">
        <f>"SI_109452"</f>
        <v>SI_109452</v>
      </c>
      <c r="M3301" s="84">
        <v>42928</v>
      </c>
      <c r="N3301" s="85">
        <f t="shared" si="1009"/>
        <v>884</v>
      </c>
      <c r="O3301" s="86">
        <f t="shared" si="1010"/>
        <v>16456.87</v>
      </c>
      <c r="P3301" s="86">
        <f t="shared" si="1011"/>
        <v>0</v>
      </c>
      <c r="Q3301" s="86">
        <f t="shared" si="1012"/>
        <v>0</v>
      </c>
      <c r="R3301" s="86">
        <f t="shared" si="1013"/>
        <v>0</v>
      </c>
      <c r="S3301" s="86">
        <f t="shared" si="1014"/>
        <v>0</v>
      </c>
      <c r="T3301" s="86">
        <f t="shared" si="1015"/>
        <v>16456.87</v>
      </c>
      <c r="U3301" s="87">
        <v>16456.87</v>
      </c>
    </row>
    <row r="3302" spans="1:21" s="30" customFormat="1" ht="24.6" hidden="1" outlineLevel="1" x14ac:dyDescent="0.55000000000000004">
      <c r="A3302" s="27" t="s">
        <v>327</v>
      </c>
      <c r="B3302" s="28"/>
      <c r="C3302" s="27"/>
      <c r="D3302" s="27" t="str">
        <f>"""NAV Direct"",""CRONUS JetCorp USA"",""21"",""1"",""306641"""</f>
        <v>"NAV Direct","CRONUS JetCorp USA","21","1","306641"</v>
      </c>
      <c r="E3302" s="31" t="str">
        <f t="shared" si="1008"/>
        <v>C100099</v>
      </c>
      <c r="F3302" s="31"/>
      <c r="G3302" s="31"/>
      <c r="H3302" s="31"/>
      <c r="I3302" s="56"/>
      <c r="J3302" s="56"/>
      <c r="K3302" s="82" t="str">
        <f t="shared" si="1016"/>
        <v>Invoice</v>
      </c>
      <c r="L3302" s="83" t="str">
        <f>"SI_109455"</f>
        <v>SI_109455</v>
      </c>
      <c r="M3302" s="84">
        <v>42943</v>
      </c>
      <c r="N3302" s="85">
        <f t="shared" si="1009"/>
        <v>869</v>
      </c>
      <c r="O3302" s="86">
        <f t="shared" si="1010"/>
        <v>16613.45</v>
      </c>
      <c r="P3302" s="86">
        <f t="shared" si="1011"/>
        <v>0</v>
      </c>
      <c r="Q3302" s="86">
        <f t="shared" si="1012"/>
        <v>0</v>
      </c>
      <c r="R3302" s="86">
        <f t="shared" si="1013"/>
        <v>0</v>
      </c>
      <c r="S3302" s="86">
        <f t="shared" si="1014"/>
        <v>0</v>
      </c>
      <c r="T3302" s="86">
        <f t="shared" si="1015"/>
        <v>16613.45</v>
      </c>
      <c r="U3302" s="87">
        <v>16613.45</v>
      </c>
    </row>
    <row r="3303" spans="1:21" s="30" customFormat="1" ht="24.6" hidden="1" outlineLevel="1" x14ac:dyDescent="0.55000000000000004">
      <c r="A3303" s="27" t="s">
        <v>327</v>
      </c>
      <c r="B3303" s="28"/>
      <c r="C3303" s="27"/>
      <c r="D3303" s="27" t="str">
        <f>"""NAV Direct"",""CRONUS JetCorp USA"",""21"",""1"",""306670"""</f>
        <v>"NAV Direct","CRONUS JetCorp USA","21","1","306670"</v>
      </c>
      <c r="E3303" s="31">
        <f t="shared" si="1008"/>
        <v>0</v>
      </c>
      <c r="F3303" s="31"/>
      <c r="G3303" s="31"/>
      <c r="H3303" s="31"/>
      <c r="I3303" s="56"/>
      <c r="J3303" s="56"/>
      <c r="K3303" s="82" t="str">
        <f t="shared" si="1016"/>
        <v>Invoice</v>
      </c>
      <c r="L3303" s="83" t="str">
        <f>"SI_109456"</f>
        <v>SI_109456</v>
      </c>
      <c r="M3303" s="84">
        <v>42939</v>
      </c>
      <c r="N3303" s="85">
        <f t="shared" si="1009"/>
        <v>873</v>
      </c>
      <c r="O3303" s="86">
        <f t="shared" si="1010"/>
        <v>16785.64</v>
      </c>
      <c r="P3303" s="86">
        <f t="shared" si="1011"/>
        <v>0</v>
      </c>
      <c r="Q3303" s="86">
        <f t="shared" si="1012"/>
        <v>0</v>
      </c>
      <c r="R3303" s="86">
        <f t="shared" si="1013"/>
        <v>0</v>
      </c>
      <c r="S3303" s="86">
        <f t="shared" si="1014"/>
        <v>0</v>
      </c>
      <c r="T3303" s="86">
        <f t="shared" si="1015"/>
        <v>16785.64</v>
      </c>
      <c r="U3303" s="87">
        <v>16785.64</v>
      </c>
    </row>
    <row r="3304" spans="1:21" s="30" customFormat="1" ht="24.6" hidden="1" outlineLevel="1" x14ac:dyDescent="0.55000000000000004">
      <c r="A3304" s="27" t="s">
        <v>327</v>
      </c>
      <c r="B3304" s="28"/>
      <c r="C3304" s="27"/>
      <c r="D3304" s="27" t="str">
        <f>"""NAV Direct"",""CRONUS JetCorp USA"",""21"",""1"",""306776"""</f>
        <v>"NAV Direct","CRONUS JetCorp USA","21","1","306776"</v>
      </c>
      <c r="E3304" s="31" t="str">
        <f t="shared" si="1008"/>
        <v>C100099</v>
      </c>
      <c r="F3304" s="31"/>
      <c r="G3304" s="31"/>
      <c r="H3304" s="31"/>
      <c r="I3304" s="56"/>
      <c r="J3304" s="56"/>
      <c r="K3304" s="82" t="str">
        <f t="shared" si="1016"/>
        <v>Invoice</v>
      </c>
      <c r="L3304" s="83" t="str">
        <f>"SI_109460"</f>
        <v>SI_109460</v>
      </c>
      <c r="M3304" s="84">
        <v>42968</v>
      </c>
      <c r="N3304" s="85">
        <f t="shared" si="1009"/>
        <v>844</v>
      </c>
      <c r="O3304" s="86">
        <f t="shared" si="1010"/>
        <v>16079.960000000001</v>
      </c>
      <c r="P3304" s="86">
        <f t="shared" si="1011"/>
        <v>0</v>
      </c>
      <c r="Q3304" s="86">
        <f t="shared" si="1012"/>
        <v>0</v>
      </c>
      <c r="R3304" s="86">
        <f t="shared" si="1013"/>
        <v>0</v>
      </c>
      <c r="S3304" s="86">
        <f t="shared" si="1014"/>
        <v>0</v>
      </c>
      <c r="T3304" s="86">
        <f t="shared" si="1015"/>
        <v>16079.960000000001</v>
      </c>
      <c r="U3304" s="87">
        <v>16079.960000000001</v>
      </c>
    </row>
    <row r="3305" spans="1:21" s="30" customFormat="1" ht="24.6" hidden="1" outlineLevel="1" x14ac:dyDescent="0.55000000000000004">
      <c r="A3305" s="27" t="s">
        <v>327</v>
      </c>
      <c r="B3305" s="28"/>
      <c r="C3305" s="27"/>
      <c r="D3305" s="27" t="str">
        <f>"""NAV Direct"",""CRONUS JetCorp USA"",""21"",""1"",""306901"""</f>
        <v>"NAV Direct","CRONUS JetCorp USA","21","1","306901"</v>
      </c>
      <c r="E3305" s="31">
        <f t="shared" si="1008"/>
        <v>0</v>
      </c>
      <c r="F3305" s="31"/>
      <c r="G3305" s="31"/>
      <c r="H3305" s="31"/>
      <c r="I3305" s="56"/>
      <c r="J3305" s="56"/>
      <c r="K3305" s="82" t="str">
        <f t="shared" si="1016"/>
        <v>Invoice</v>
      </c>
      <c r="L3305" s="83" t="str">
        <f>"SI_109465"</f>
        <v>SI_109465</v>
      </c>
      <c r="M3305" s="84">
        <v>42992</v>
      </c>
      <c r="N3305" s="85">
        <f t="shared" si="1009"/>
        <v>820</v>
      </c>
      <c r="O3305" s="86">
        <f t="shared" si="1010"/>
        <v>15432.730000000001</v>
      </c>
      <c r="P3305" s="86">
        <f t="shared" si="1011"/>
        <v>0</v>
      </c>
      <c r="Q3305" s="86">
        <f t="shared" si="1012"/>
        <v>0</v>
      </c>
      <c r="R3305" s="86">
        <f t="shared" si="1013"/>
        <v>0</v>
      </c>
      <c r="S3305" s="86">
        <f t="shared" si="1014"/>
        <v>0</v>
      </c>
      <c r="T3305" s="86">
        <f t="shared" si="1015"/>
        <v>15432.730000000001</v>
      </c>
      <c r="U3305" s="87">
        <v>15432.730000000001</v>
      </c>
    </row>
    <row r="3306" spans="1:21" s="30" customFormat="1" ht="24.6" hidden="1" outlineLevel="1" x14ac:dyDescent="0.55000000000000004">
      <c r="A3306" s="27" t="s">
        <v>327</v>
      </c>
      <c r="B3306" s="28"/>
      <c r="C3306" s="27"/>
      <c r="D3306" s="27" t="str">
        <f>"""NAV Direct"",""CRONUS JetCorp USA"",""21"",""1"",""306959"""</f>
        <v>"NAV Direct","CRONUS JetCorp USA","21","1","306959"</v>
      </c>
      <c r="E3306" s="31" t="str">
        <f t="shared" si="1008"/>
        <v>C100099</v>
      </c>
      <c r="F3306" s="31"/>
      <c r="G3306" s="31"/>
      <c r="H3306" s="31"/>
      <c r="I3306" s="56"/>
      <c r="J3306" s="56"/>
      <c r="K3306" s="82" t="str">
        <f t="shared" si="1016"/>
        <v>Invoice</v>
      </c>
      <c r="L3306" s="83" t="str">
        <f>"SI_109467"</f>
        <v>SI_109467</v>
      </c>
      <c r="M3306" s="84">
        <v>43001</v>
      </c>
      <c r="N3306" s="85">
        <f t="shared" si="1009"/>
        <v>811</v>
      </c>
      <c r="O3306" s="86">
        <f t="shared" si="1010"/>
        <v>15757.41</v>
      </c>
      <c r="P3306" s="86">
        <f t="shared" si="1011"/>
        <v>0</v>
      </c>
      <c r="Q3306" s="86">
        <f t="shared" si="1012"/>
        <v>0</v>
      </c>
      <c r="R3306" s="86">
        <f t="shared" si="1013"/>
        <v>0</v>
      </c>
      <c r="S3306" s="86">
        <f t="shared" si="1014"/>
        <v>0</v>
      </c>
      <c r="T3306" s="86">
        <f t="shared" si="1015"/>
        <v>15757.41</v>
      </c>
      <c r="U3306" s="87">
        <v>15757.41</v>
      </c>
    </row>
    <row r="3307" spans="1:21" s="30" customFormat="1" ht="24.6" hidden="1" outlineLevel="1" x14ac:dyDescent="0.55000000000000004">
      <c r="A3307" s="27" t="s">
        <v>327</v>
      </c>
      <c r="B3307" s="28"/>
      <c r="C3307" s="27"/>
      <c r="D3307" s="27" t="str">
        <f>"""NAV Direct"",""CRONUS JetCorp USA"",""21"",""1"",""307025"""</f>
        <v>"NAV Direct","CRONUS JetCorp USA","21","1","307025"</v>
      </c>
      <c r="E3307" s="31">
        <f t="shared" si="1008"/>
        <v>0</v>
      </c>
      <c r="F3307" s="31"/>
      <c r="G3307" s="31"/>
      <c r="H3307" s="31"/>
      <c r="I3307" s="56"/>
      <c r="J3307" s="56"/>
      <c r="K3307" s="82" t="str">
        <f t="shared" si="1016"/>
        <v>Invoice</v>
      </c>
      <c r="L3307" s="83" t="str">
        <f>"SI_109469"</f>
        <v>SI_109469</v>
      </c>
      <c r="M3307" s="84">
        <v>43013</v>
      </c>
      <c r="N3307" s="85">
        <f t="shared" si="1009"/>
        <v>799</v>
      </c>
      <c r="O3307" s="86">
        <f t="shared" si="1010"/>
        <v>15920.230000000001</v>
      </c>
      <c r="P3307" s="86">
        <f t="shared" si="1011"/>
        <v>0</v>
      </c>
      <c r="Q3307" s="86">
        <f t="shared" si="1012"/>
        <v>0</v>
      </c>
      <c r="R3307" s="86">
        <f t="shared" si="1013"/>
        <v>0</v>
      </c>
      <c r="S3307" s="86">
        <f t="shared" si="1014"/>
        <v>0</v>
      </c>
      <c r="T3307" s="86">
        <f t="shared" si="1015"/>
        <v>15920.230000000001</v>
      </c>
      <c r="U3307" s="87">
        <v>15920.230000000001</v>
      </c>
    </row>
    <row r="3308" spans="1:21" s="30" customFormat="1" ht="24.6" hidden="1" outlineLevel="1" x14ac:dyDescent="0.55000000000000004">
      <c r="A3308" s="27" t="s">
        <v>327</v>
      </c>
      <c r="B3308" s="28"/>
      <c r="C3308" s="27"/>
      <c r="D3308" s="27" t="str">
        <f>"""NAV Direct"",""CRONUS JetCorp USA"",""21"",""1"",""307050"""</f>
        <v>"NAV Direct","CRONUS JetCorp USA","21","1","307050"</v>
      </c>
      <c r="E3308" s="31" t="str">
        <f t="shared" si="1008"/>
        <v>C100099</v>
      </c>
      <c r="F3308" s="31"/>
      <c r="G3308" s="31"/>
      <c r="H3308" s="31"/>
      <c r="I3308" s="56"/>
      <c r="J3308" s="56"/>
      <c r="K3308" s="82" t="str">
        <f t="shared" si="1016"/>
        <v>Invoice</v>
      </c>
      <c r="L3308" s="83" t="str">
        <f>"SI_109470"</f>
        <v>SI_109470</v>
      </c>
      <c r="M3308" s="84">
        <v>43011</v>
      </c>
      <c r="N3308" s="85">
        <f t="shared" si="1009"/>
        <v>801</v>
      </c>
      <c r="O3308" s="86">
        <f t="shared" si="1010"/>
        <v>15757.76</v>
      </c>
      <c r="P3308" s="86">
        <f t="shared" si="1011"/>
        <v>0</v>
      </c>
      <c r="Q3308" s="86">
        <f t="shared" si="1012"/>
        <v>0</v>
      </c>
      <c r="R3308" s="86">
        <f t="shared" si="1013"/>
        <v>0</v>
      </c>
      <c r="S3308" s="86">
        <f t="shared" si="1014"/>
        <v>0</v>
      </c>
      <c r="T3308" s="86">
        <f t="shared" si="1015"/>
        <v>15757.76</v>
      </c>
      <c r="U3308" s="87">
        <v>15757.76</v>
      </c>
    </row>
    <row r="3309" spans="1:21" s="30" customFormat="1" ht="24.6" hidden="1" outlineLevel="1" x14ac:dyDescent="0.55000000000000004">
      <c r="A3309" s="27" t="s">
        <v>327</v>
      </c>
      <c r="B3309" s="28"/>
      <c r="C3309" s="27"/>
      <c r="D3309" s="27" t="str">
        <f>"""NAV Direct"",""CRONUS JetCorp USA"",""21"",""1"",""307081"""</f>
        <v>"NAV Direct","CRONUS JetCorp USA","21","1","307081"</v>
      </c>
      <c r="E3309" s="31">
        <f t="shared" si="1008"/>
        <v>0</v>
      </c>
      <c r="F3309" s="31"/>
      <c r="G3309" s="31"/>
      <c r="H3309" s="31"/>
      <c r="I3309" s="56"/>
      <c r="J3309" s="56"/>
      <c r="K3309" s="82" t="str">
        <f t="shared" si="1016"/>
        <v>Invoice</v>
      </c>
      <c r="L3309" s="83" t="str">
        <f>"SI_109471"</f>
        <v>SI_109471</v>
      </c>
      <c r="M3309" s="84">
        <v>43009</v>
      </c>
      <c r="N3309" s="85">
        <f t="shared" si="1009"/>
        <v>803</v>
      </c>
      <c r="O3309" s="86">
        <f t="shared" si="1010"/>
        <v>15594.95</v>
      </c>
      <c r="P3309" s="86">
        <f t="shared" si="1011"/>
        <v>0</v>
      </c>
      <c r="Q3309" s="86">
        <f t="shared" si="1012"/>
        <v>0</v>
      </c>
      <c r="R3309" s="86">
        <f t="shared" si="1013"/>
        <v>0</v>
      </c>
      <c r="S3309" s="86">
        <f t="shared" si="1014"/>
        <v>0</v>
      </c>
      <c r="T3309" s="86">
        <f t="shared" si="1015"/>
        <v>15594.95</v>
      </c>
      <c r="U3309" s="87">
        <v>15594.95</v>
      </c>
    </row>
    <row r="3310" spans="1:21" s="30" customFormat="1" ht="24.6" hidden="1" outlineLevel="1" x14ac:dyDescent="0.55000000000000004">
      <c r="A3310" s="27" t="s">
        <v>327</v>
      </c>
      <c r="B3310" s="28"/>
      <c r="C3310" s="27"/>
      <c r="D3310" s="27" t="str">
        <f>"""NAV Direct"",""CRONUS JetCorp USA"",""21"",""1"",""307125"""</f>
        <v>"NAV Direct","CRONUS JetCorp USA","21","1","307125"</v>
      </c>
      <c r="E3310" s="31" t="str">
        <f t="shared" si="1008"/>
        <v>C100099</v>
      </c>
      <c r="F3310" s="31"/>
      <c r="G3310" s="31"/>
      <c r="H3310" s="31"/>
      <c r="I3310" s="56"/>
      <c r="J3310" s="56"/>
      <c r="K3310" s="82" t="str">
        <f t="shared" si="1016"/>
        <v>Invoice</v>
      </c>
      <c r="L3310" s="83" t="str">
        <f>"SI_109473"</f>
        <v>SI_109473</v>
      </c>
      <c r="M3310" s="84">
        <v>43032</v>
      </c>
      <c r="N3310" s="85">
        <f t="shared" si="1009"/>
        <v>780</v>
      </c>
      <c r="O3310" s="86">
        <f t="shared" si="1010"/>
        <v>14306.01</v>
      </c>
      <c r="P3310" s="86">
        <f t="shared" si="1011"/>
        <v>0</v>
      </c>
      <c r="Q3310" s="86">
        <f t="shared" si="1012"/>
        <v>0</v>
      </c>
      <c r="R3310" s="86">
        <f t="shared" si="1013"/>
        <v>0</v>
      </c>
      <c r="S3310" s="86">
        <f t="shared" si="1014"/>
        <v>0</v>
      </c>
      <c r="T3310" s="86">
        <f t="shared" si="1015"/>
        <v>14306.01</v>
      </c>
      <c r="U3310" s="87">
        <v>14306.01</v>
      </c>
    </row>
    <row r="3311" spans="1:21" s="30" customFormat="1" ht="24.6" hidden="1" outlineLevel="1" x14ac:dyDescent="0.55000000000000004">
      <c r="A3311" s="27" t="s">
        <v>327</v>
      </c>
      <c r="B3311" s="28"/>
      <c r="C3311" s="27"/>
      <c r="D3311" s="27" t="str">
        <f>"""NAV Direct"",""CRONUS JetCorp USA"",""21"",""1"",""307204"""</f>
        <v>"NAV Direct","CRONUS JetCorp USA","21","1","307204"</v>
      </c>
      <c r="E3311" s="31">
        <f t="shared" si="1008"/>
        <v>0</v>
      </c>
      <c r="F3311" s="31"/>
      <c r="G3311" s="31"/>
      <c r="H3311" s="31"/>
      <c r="I3311" s="56"/>
      <c r="J3311" s="56"/>
      <c r="K3311" s="82" t="str">
        <f t="shared" si="1016"/>
        <v>Invoice</v>
      </c>
      <c r="L3311" s="83" t="str">
        <f>"SI_109476"</f>
        <v>SI_109476</v>
      </c>
      <c r="M3311" s="84">
        <v>43035</v>
      </c>
      <c r="N3311" s="85">
        <f t="shared" si="1009"/>
        <v>777</v>
      </c>
      <c r="O3311" s="86">
        <f t="shared" si="1010"/>
        <v>14304.26</v>
      </c>
      <c r="P3311" s="86">
        <f t="shared" si="1011"/>
        <v>0</v>
      </c>
      <c r="Q3311" s="86">
        <f t="shared" si="1012"/>
        <v>0</v>
      </c>
      <c r="R3311" s="86">
        <f t="shared" si="1013"/>
        <v>0</v>
      </c>
      <c r="S3311" s="86">
        <f t="shared" si="1014"/>
        <v>0</v>
      </c>
      <c r="T3311" s="86">
        <f t="shared" si="1015"/>
        <v>14304.26</v>
      </c>
      <c r="U3311" s="87">
        <v>14304.26</v>
      </c>
    </row>
    <row r="3312" spans="1:21" s="30" customFormat="1" ht="24.6" hidden="1" outlineLevel="1" x14ac:dyDescent="0.55000000000000004">
      <c r="A3312" s="27" t="s">
        <v>327</v>
      </c>
      <c r="B3312" s="28"/>
      <c r="C3312" s="27"/>
      <c r="D3312" s="27" t="str">
        <f>"""NAV Direct"",""CRONUS JetCorp USA"",""21"",""1"",""307231"""</f>
        <v>"NAV Direct","CRONUS JetCorp USA","21","1","307231"</v>
      </c>
      <c r="E3312" s="31" t="str">
        <f t="shared" si="1008"/>
        <v>C100099</v>
      </c>
      <c r="F3312" s="31"/>
      <c r="G3312" s="31"/>
      <c r="H3312" s="31"/>
      <c r="I3312" s="56"/>
      <c r="J3312" s="56"/>
      <c r="K3312" s="82" t="str">
        <f t="shared" si="1016"/>
        <v>Invoice</v>
      </c>
      <c r="L3312" s="83" t="str">
        <f>"SI_109477"</f>
        <v>SI_109477</v>
      </c>
      <c r="M3312" s="84">
        <v>43057</v>
      </c>
      <c r="N3312" s="85">
        <f t="shared" si="1009"/>
        <v>755</v>
      </c>
      <c r="O3312" s="86">
        <f t="shared" si="1010"/>
        <v>14615.56</v>
      </c>
      <c r="P3312" s="86">
        <f t="shared" si="1011"/>
        <v>0</v>
      </c>
      <c r="Q3312" s="86">
        <f t="shared" si="1012"/>
        <v>0</v>
      </c>
      <c r="R3312" s="86">
        <f t="shared" si="1013"/>
        <v>0</v>
      </c>
      <c r="S3312" s="86">
        <f t="shared" si="1014"/>
        <v>0</v>
      </c>
      <c r="T3312" s="86">
        <f t="shared" si="1015"/>
        <v>14615.56</v>
      </c>
      <c r="U3312" s="87">
        <v>14615.56</v>
      </c>
    </row>
    <row r="3313" spans="1:21" s="30" customFormat="1" ht="24.6" hidden="1" outlineLevel="1" x14ac:dyDescent="0.55000000000000004">
      <c r="A3313" s="27" t="s">
        <v>327</v>
      </c>
      <c r="B3313" s="28"/>
      <c r="C3313" s="27"/>
      <c r="D3313" s="27" t="str">
        <f>"""NAV Direct"",""CRONUS JetCorp USA"",""21"",""1"",""307337"""</f>
        <v>"NAV Direct","CRONUS JetCorp USA","21","1","307337"</v>
      </c>
      <c r="E3313" s="31">
        <f t="shared" si="1008"/>
        <v>0</v>
      </c>
      <c r="F3313" s="31"/>
      <c r="G3313" s="31"/>
      <c r="H3313" s="31"/>
      <c r="I3313" s="56"/>
      <c r="J3313" s="56"/>
      <c r="K3313" s="82" t="str">
        <f t="shared" si="1016"/>
        <v>Invoice</v>
      </c>
      <c r="L3313" s="83" t="str">
        <f>"SI_109481"</f>
        <v>SI_109481</v>
      </c>
      <c r="M3313" s="84">
        <v>43071</v>
      </c>
      <c r="N3313" s="85">
        <f t="shared" si="1009"/>
        <v>741</v>
      </c>
      <c r="O3313" s="86">
        <f t="shared" si="1010"/>
        <v>14920.07</v>
      </c>
      <c r="P3313" s="86">
        <f t="shared" si="1011"/>
        <v>0</v>
      </c>
      <c r="Q3313" s="86">
        <f t="shared" si="1012"/>
        <v>0</v>
      </c>
      <c r="R3313" s="86">
        <f t="shared" si="1013"/>
        <v>0</v>
      </c>
      <c r="S3313" s="86">
        <f t="shared" si="1014"/>
        <v>0</v>
      </c>
      <c r="T3313" s="86">
        <f t="shared" si="1015"/>
        <v>14920.07</v>
      </c>
      <c r="U3313" s="87">
        <v>14920.07</v>
      </c>
    </row>
    <row r="3314" spans="1:21" s="30" customFormat="1" ht="24.6" hidden="1" outlineLevel="1" x14ac:dyDescent="0.55000000000000004">
      <c r="A3314" s="27" t="s">
        <v>327</v>
      </c>
      <c r="B3314" s="28"/>
      <c r="C3314" s="27"/>
      <c r="D3314" s="27" t="str">
        <f>"""NAV Direct"",""CRONUS JetCorp USA"",""21"",""1"",""307362"""</f>
        <v>"NAV Direct","CRONUS JetCorp USA","21","1","307362"</v>
      </c>
      <c r="E3314" s="31" t="str">
        <f t="shared" ref="E3314:E3345" si="1017">E3312</f>
        <v>C100099</v>
      </c>
      <c r="F3314" s="31"/>
      <c r="G3314" s="31"/>
      <c r="H3314" s="31"/>
      <c r="I3314" s="56"/>
      <c r="J3314" s="56"/>
      <c r="K3314" s="82" t="str">
        <f t="shared" si="1016"/>
        <v>Invoice</v>
      </c>
      <c r="L3314" s="83" t="str">
        <f>"SI_109482"</f>
        <v>SI_109482</v>
      </c>
      <c r="M3314" s="84">
        <v>43077</v>
      </c>
      <c r="N3314" s="85">
        <f t="shared" ref="N3314:N3345" si="1018">StartDate-$M3314+1</f>
        <v>735</v>
      </c>
      <c r="O3314" s="86">
        <f t="shared" ref="O3314:O3345" si="1019">SUM(P3314:T3314)</f>
        <v>14919.28</v>
      </c>
      <c r="P3314" s="86">
        <f t="shared" ref="P3314:P3345" si="1020">IF($M3314&gt;=$P$18,U3314,0)</f>
        <v>0</v>
      </c>
      <c r="Q3314" s="86">
        <f t="shared" ref="Q3314:Q3345" si="1021">IF(AND($M3314&gt;=$Q$16,$M3314&lt;=$Q$18),U3314,0)</f>
        <v>0</v>
      </c>
      <c r="R3314" s="86">
        <f t="shared" ref="R3314:R3345" si="1022">IF(AND($M3314&gt;=$R$16,$M3314&lt;=$R$18),U3314,0)</f>
        <v>0</v>
      </c>
      <c r="S3314" s="86">
        <f t="shared" ref="S3314:S3345" si="1023">IF(AND($M3314&gt;=$S$16,$M3314&lt;=$S$18),U3314,0)</f>
        <v>0</v>
      </c>
      <c r="T3314" s="86">
        <f t="shared" ref="T3314:T3345" si="1024">IF($M3314&lt;=$T$18,U3314,0)</f>
        <v>14919.28</v>
      </c>
      <c r="U3314" s="87">
        <v>14919.28</v>
      </c>
    </row>
    <row r="3315" spans="1:21" s="30" customFormat="1" ht="24.6" hidden="1" outlineLevel="1" x14ac:dyDescent="0.55000000000000004">
      <c r="A3315" s="27" t="s">
        <v>327</v>
      </c>
      <c r="B3315" s="28"/>
      <c r="C3315" s="27"/>
      <c r="D3315" s="27" t="str">
        <f>"""NAV Direct"",""CRONUS JetCorp USA"",""21"",""1"",""307470"""</f>
        <v>"NAV Direct","CRONUS JetCorp USA","21","1","307470"</v>
      </c>
      <c r="E3315" s="31">
        <f t="shared" si="1017"/>
        <v>0</v>
      </c>
      <c r="F3315" s="31"/>
      <c r="G3315" s="31"/>
      <c r="H3315" s="31"/>
      <c r="I3315" s="56"/>
      <c r="J3315" s="56"/>
      <c r="K3315" s="82" t="str">
        <f t="shared" si="1016"/>
        <v>Invoice</v>
      </c>
      <c r="L3315" s="83" t="str">
        <f>"SI_109486"</f>
        <v>SI_109486</v>
      </c>
      <c r="M3315" s="84">
        <v>43104</v>
      </c>
      <c r="N3315" s="85">
        <f t="shared" si="1018"/>
        <v>708</v>
      </c>
      <c r="O3315" s="86">
        <f t="shared" si="1019"/>
        <v>14591.92</v>
      </c>
      <c r="P3315" s="86">
        <f t="shared" si="1020"/>
        <v>0</v>
      </c>
      <c r="Q3315" s="86">
        <f t="shared" si="1021"/>
        <v>0</v>
      </c>
      <c r="R3315" s="86">
        <f t="shared" si="1022"/>
        <v>0</v>
      </c>
      <c r="S3315" s="86">
        <f t="shared" si="1023"/>
        <v>0</v>
      </c>
      <c r="T3315" s="86">
        <f t="shared" si="1024"/>
        <v>14591.92</v>
      </c>
      <c r="U3315" s="87">
        <v>14591.92</v>
      </c>
    </row>
    <row r="3316" spans="1:21" s="30" customFormat="1" ht="24.6" hidden="1" outlineLevel="1" x14ac:dyDescent="0.55000000000000004">
      <c r="A3316" s="27" t="s">
        <v>327</v>
      </c>
      <c r="B3316" s="28"/>
      <c r="C3316" s="27"/>
      <c r="D3316" s="27" t="str">
        <f>"""NAV Direct"",""CRONUS JetCorp USA"",""21"",""1"",""307491"""</f>
        <v>"NAV Direct","CRONUS JetCorp USA","21","1","307491"</v>
      </c>
      <c r="E3316" s="31" t="str">
        <f t="shared" si="1017"/>
        <v>C100099</v>
      </c>
      <c r="F3316" s="31"/>
      <c r="G3316" s="31"/>
      <c r="H3316" s="31"/>
      <c r="I3316" s="56"/>
      <c r="J3316" s="56"/>
      <c r="K3316" s="82" t="str">
        <f t="shared" si="1016"/>
        <v>Invoice</v>
      </c>
      <c r="L3316" s="83" t="str">
        <f>"SI_109487"</f>
        <v>SI_109487</v>
      </c>
      <c r="M3316" s="84">
        <v>43110</v>
      </c>
      <c r="N3316" s="85">
        <f t="shared" si="1018"/>
        <v>702</v>
      </c>
      <c r="O3316" s="86">
        <f t="shared" si="1019"/>
        <v>14443.1</v>
      </c>
      <c r="P3316" s="86">
        <f t="shared" si="1020"/>
        <v>0</v>
      </c>
      <c r="Q3316" s="86">
        <f t="shared" si="1021"/>
        <v>0</v>
      </c>
      <c r="R3316" s="86">
        <f t="shared" si="1022"/>
        <v>0</v>
      </c>
      <c r="S3316" s="86">
        <f t="shared" si="1023"/>
        <v>0</v>
      </c>
      <c r="T3316" s="86">
        <f t="shared" si="1024"/>
        <v>14443.1</v>
      </c>
      <c r="U3316" s="87">
        <v>14443.1</v>
      </c>
    </row>
    <row r="3317" spans="1:21" s="30" customFormat="1" ht="24.6" hidden="1" outlineLevel="1" x14ac:dyDescent="0.55000000000000004">
      <c r="A3317" s="27" t="s">
        <v>327</v>
      </c>
      <c r="B3317" s="28"/>
      <c r="C3317" s="27"/>
      <c r="D3317" s="27" t="str">
        <f>"""NAV Direct"",""CRONUS JetCorp USA"",""21"",""1"",""307514"""</f>
        <v>"NAV Direct","CRONUS JetCorp USA","21","1","307514"</v>
      </c>
      <c r="E3317" s="31">
        <f t="shared" si="1017"/>
        <v>0</v>
      </c>
      <c r="F3317" s="31"/>
      <c r="G3317" s="31"/>
      <c r="H3317" s="31"/>
      <c r="I3317" s="56"/>
      <c r="J3317" s="56"/>
      <c r="K3317" s="82" t="str">
        <f t="shared" si="1016"/>
        <v>Invoice</v>
      </c>
      <c r="L3317" s="83" t="str">
        <f>"SI_109488"</f>
        <v>SI_109488</v>
      </c>
      <c r="M3317" s="84">
        <v>43117</v>
      </c>
      <c r="N3317" s="85">
        <f t="shared" si="1018"/>
        <v>695</v>
      </c>
      <c r="O3317" s="86">
        <f t="shared" si="1019"/>
        <v>14592.02</v>
      </c>
      <c r="P3317" s="86">
        <f t="shared" si="1020"/>
        <v>0</v>
      </c>
      <c r="Q3317" s="86">
        <f t="shared" si="1021"/>
        <v>0</v>
      </c>
      <c r="R3317" s="86">
        <f t="shared" si="1022"/>
        <v>0</v>
      </c>
      <c r="S3317" s="86">
        <f t="shared" si="1023"/>
        <v>0</v>
      </c>
      <c r="T3317" s="86">
        <f t="shared" si="1024"/>
        <v>14592.02</v>
      </c>
      <c r="U3317" s="87">
        <v>14592.02</v>
      </c>
    </row>
    <row r="3318" spans="1:21" s="30" customFormat="1" ht="24.6" hidden="1" outlineLevel="1" x14ac:dyDescent="0.55000000000000004">
      <c r="A3318" s="27" t="s">
        <v>327</v>
      </c>
      <c r="B3318" s="28"/>
      <c r="C3318" s="27"/>
      <c r="D3318" s="27" t="str">
        <f>"""NAV Direct"",""CRONUS JetCorp USA"",""21"",""1"",""307539"""</f>
        <v>"NAV Direct","CRONUS JetCorp USA","21","1","307539"</v>
      </c>
      <c r="E3318" s="31" t="str">
        <f t="shared" si="1017"/>
        <v>C100099</v>
      </c>
      <c r="F3318" s="31"/>
      <c r="G3318" s="31"/>
      <c r="H3318" s="31"/>
      <c r="I3318" s="56"/>
      <c r="J3318" s="56"/>
      <c r="K3318" s="82" t="str">
        <f t="shared" si="1016"/>
        <v>Invoice</v>
      </c>
      <c r="L3318" s="83" t="str">
        <f>"SI_109489"</f>
        <v>SI_109489</v>
      </c>
      <c r="M3318" s="84">
        <v>43118</v>
      </c>
      <c r="N3318" s="85">
        <f t="shared" si="1018"/>
        <v>694</v>
      </c>
      <c r="O3318" s="86">
        <f t="shared" si="1019"/>
        <v>14442.7</v>
      </c>
      <c r="P3318" s="86">
        <f t="shared" si="1020"/>
        <v>0</v>
      </c>
      <c r="Q3318" s="86">
        <f t="shared" si="1021"/>
        <v>0</v>
      </c>
      <c r="R3318" s="86">
        <f t="shared" si="1022"/>
        <v>0</v>
      </c>
      <c r="S3318" s="86">
        <f t="shared" si="1023"/>
        <v>0</v>
      </c>
      <c r="T3318" s="86">
        <f t="shared" si="1024"/>
        <v>14442.7</v>
      </c>
      <c r="U3318" s="87">
        <v>14442.7</v>
      </c>
    </row>
    <row r="3319" spans="1:21" s="30" customFormat="1" ht="24.6" hidden="1" outlineLevel="1" x14ac:dyDescent="0.55000000000000004">
      <c r="A3319" s="27" t="s">
        <v>327</v>
      </c>
      <c r="B3319" s="28"/>
      <c r="C3319" s="27"/>
      <c r="D3319" s="27" t="str">
        <f>"""NAV Direct"",""CRONUS JetCorp USA"",""21"",""1"",""307614"""</f>
        <v>"NAV Direct","CRONUS JetCorp USA","21","1","307614"</v>
      </c>
      <c r="E3319" s="31">
        <f t="shared" si="1017"/>
        <v>0</v>
      </c>
      <c r="F3319" s="31"/>
      <c r="G3319" s="31"/>
      <c r="H3319" s="31"/>
      <c r="I3319" s="56"/>
      <c r="J3319" s="56"/>
      <c r="K3319" s="82" t="str">
        <f t="shared" si="1016"/>
        <v>Invoice</v>
      </c>
      <c r="L3319" s="83" t="str">
        <f>"SI_109492"</f>
        <v>SI_109492</v>
      </c>
      <c r="M3319" s="84">
        <v>43151</v>
      </c>
      <c r="N3319" s="85">
        <f t="shared" si="1018"/>
        <v>661</v>
      </c>
      <c r="O3319" s="86">
        <f t="shared" si="1019"/>
        <v>14508.74</v>
      </c>
      <c r="P3319" s="86">
        <f t="shared" si="1020"/>
        <v>0</v>
      </c>
      <c r="Q3319" s="86">
        <f t="shared" si="1021"/>
        <v>0</v>
      </c>
      <c r="R3319" s="86">
        <f t="shared" si="1022"/>
        <v>0</v>
      </c>
      <c r="S3319" s="86">
        <f t="shared" si="1023"/>
        <v>0</v>
      </c>
      <c r="T3319" s="86">
        <f t="shared" si="1024"/>
        <v>14508.74</v>
      </c>
      <c r="U3319" s="87">
        <v>14508.74</v>
      </c>
    </row>
    <row r="3320" spans="1:21" s="30" customFormat="1" ht="24.6" hidden="1" outlineLevel="1" x14ac:dyDescent="0.55000000000000004">
      <c r="A3320" s="27" t="s">
        <v>327</v>
      </c>
      <c r="B3320" s="28"/>
      <c r="C3320" s="27"/>
      <c r="D3320" s="27" t="str">
        <f>"""NAV Direct"",""CRONUS JetCorp USA"",""21"",""1"",""307747"""</f>
        <v>"NAV Direct","CRONUS JetCorp USA","21","1","307747"</v>
      </c>
      <c r="E3320" s="31" t="str">
        <f t="shared" si="1017"/>
        <v>C100099</v>
      </c>
      <c r="F3320" s="31"/>
      <c r="G3320" s="31"/>
      <c r="H3320" s="31"/>
      <c r="I3320" s="56"/>
      <c r="J3320" s="56"/>
      <c r="K3320" s="82" t="str">
        <f t="shared" si="1016"/>
        <v>Invoice</v>
      </c>
      <c r="L3320" s="83" t="str">
        <f>"SI_109497"</f>
        <v>SI_109497</v>
      </c>
      <c r="M3320" s="84">
        <v>43164</v>
      </c>
      <c r="N3320" s="85">
        <f t="shared" si="1018"/>
        <v>648</v>
      </c>
      <c r="O3320" s="86">
        <f t="shared" si="1019"/>
        <v>14810.14</v>
      </c>
      <c r="P3320" s="86">
        <f t="shared" si="1020"/>
        <v>0</v>
      </c>
      <c r="Q3320" s="86">
        <f t="shared" si="1021"/>
        <v>0</v>
      </c>
      <c r="R3320" s="86">
        <f t="shared" si="1022"/>
        <v>0</v>
      </c>
      <c r="S3320" s="86">
        <f t="shared" si="1023"/>
        <v>0</v>
      </c>
      <c r="T3320" s="86">
        <f t="shared" si="1024"/>
        <v>14810.14</v>
      </c>
      <c r="U3320" s="87">
        <v>14810.14</v>
      </c>
    </row>
    <row r="3321" spans="1:21" s="30" customFormat="1" ht="24.6" hidden="1" outlineLevel="1" x14ac:dyDescent="0.55000000000000004">
      <c r="A3321" s="27" t="s">
        <v>327</v>
      </c>
      <c r="B3321" s="28"/>
      <c r="C3321" s="27"/>
      <c r="D3321" s="27" t="str">
        <f>"""NAV Direct"",""CRONUS JetCorp USA"",""21"",""1"",""307893"""</f>
        <v>"NAV Direct","CRONUS JetCorp USA","21","1","307893"</v>
      </c>
      <c r="E3321" s="31">
        <f t="shared" si="1017"/>
        <v>0</v>
      </c>
      <c r="F3321" s="31"/>
      <c r="G3321" s="31"/>
      <c r="H3321" s="31"/>
      <c r="I3321" s="56"/>
      <c r="J3321" s="56"/>
      <c r="K3321" s="82" t="str">
        <f t="shared" si="1016"/>
        <v>Invoice</v>
      </c>
      <c r="L3321" s="83" t="str">
        <f>"SI_109503"</f>
        <v>SI_109503</v>
      </c>
      <c r="M3321" s="84">
        <v>43212</v>
      </c>
      <c r="N3321" s="85">
        <f t="shared" si="1018"/>
        <v>600</v>
      </c>
      <c r="O3321" s="86">
        <f t="shared" si="1019"/>
        <v>14587.109999999999</v>
      </c>
      <c r="P3321" s="86">
        <f t="shared" si="1020"/>
        <v>0</v>
      </c>
      <c r="Q3321" s="86">
        <f t="shared" si="1021"/>
        <v>0</v>
      </c>
      <c r="R3321" s="86">
        <f t="shared" si="1022"/>
        <v>0</v>
      </c>
      <c r="S3321" s="86">
        <f t="shared" si="1023"/>
        <v>0</v>
      </c>
      <c r="T3321" s="86">
        <f t="shared" si="1024"/>
        <v>14587.109999999999</v>
      </c>
      <c r="U3321" s="87">
        <v>14587.109999999999</v>
      </c>
    </row>
    <row r="3322" spans="1:21" s="30" customFormat="1" ht="24.6" hidden="1" outlineLevel="1" x14ac:dyDescent="0.55000000000000004">
      <c r="A3322" s="27" t="s">
        <v>327</v>
      </c>
      <c r="B3322" s="28"/>
      <c r="C3322" s="27"/>
      <c r="D3322" s="27" t="str">
        <f>"""NAV Direct"",""CRONUS JetCorp USA"",""21"",""1"",""307951"""</f>
        <v>"NAV Direct","CRONUS JetCorp USA","21","1","307951"</v>
      </c>
      <c r="E3322" s="31" t="str">
        <f t="shared" si="1017"/>
        <v>C100099</v>
      </c>
      <c r="F3322" s="31"/>
      <c r="G3322" s="31"/>
      <c r="H3322" s="31"/>
      <c r="I3322" s="56"/>
      <c r="J3322" s="56"/>
      <c r="K3322" s="82" t="str">
        <f t="shared" si="1016"/>
        <v>Invoice</v>
      </c>
      <c r="L3322" s="83" t="str">
        <f>"SI_109505"</f>
        <v>SI_109505</v>
      </c>
      <c r="M3322" s="84">
        <v>43219</v>
      </c>
      <c r="N3322" s="85">
        <f t="shared" si="1018"/>
        <v>593</v>
      </c>
      <c r="O3322" s="86">
        <f t="shared" si="1019"/>
        <v>14439.599999999999</v>
      </c>
      <c r="P3322" s="86">
        <f t="shared" si="1020"/>
        <v>0</v>
      </c>
      <c r="Q3322" s="86">
        <f t="shared" si="1021"/>
        <v>0</v>
      </c>
      <c r="R3322" s="86">
        <f t="shared" si="1022"/>
        <v>0</v>
      </c>
      <c r="S3322" s="86">
        <f t="shared" si="1023"/>
        <v>0</v>
      </c>
      <c r="T3322" s="86">
        <f t="shared" si="1024"/>
        <v>14439.599999999999</v>
      </c>
      <c r="U3322" s="87">
        <v>14439.599999999999</v>
      </c>
    </row>
    <row r="3323" spans="1:21" s="30" customFormat="1" ht="24.6" hidden="1" outlineLevel="1" x14ac:dyDescent="0.55000000000000004">
      <c r="A3323" s="27" t="s">
        <v>327</v>
      </c>
      <c r="B3323" s="28"/>
      <c r="C3323" s="27"/>
      <c r="D3323" s="27" t="str">
        <f>"""NAV Direct"",""CRONUS JetCorp USA"",""21"",""1"",""308005"""</f>
        <v>"NAV Direct","CRONUS JetCorp USA","21","1","308005"</v>
      </c>
      <c r="E3323" s="31">
        <f t="shared" si="1017"/>
        <v>0</v>
      </c>
      <c r="F3323" s="31"/>
      <c r="G3323" s="31"/>
      <c r="H3323" s="31"/>
      <c r="I3323" s="56"/>
      <c r="J3323" s="56"/>
      <c r="K3323" s="82" t="str">
        <f t="shared" si="1016"/>
        <v>Invoice</v>
      </c>
      <c r="L3323" s="83" t="str">
        <f>"SI_109507"</f>
        <v>SI_109507</v>
      </c>
      <c r="M3323" s="84">
        <v>43228</v>
      </c>
      <c r="N3323" s="85">
        <f t="shared" si="1018"/>
        <v>584</v>
      </c>
      <c r="O3323" s="86">
        <f t="shared" si="1019"/>
        <v>14142.42</v>
      </c>
      <c r="P3323" s="86">
        <f t="shared" si="1020"/>
        <v>0</v>
      </c>
      <c r="Q3323" s="86">
        <f t="shared" si="1021"/>
        <v>0</v>
      </c>
      <c r="R3323" s="86">
        <f t="shared" si="1022"/>
        <v>0</v>
      </c>
      <c r="S3323" s="86">
        <f t="shared" si="1023"/>
        <v>0</v>
      </c>
      <c r="T3323" s="86">
        <f t="shared" si="1024"/>
        <v>14142.42</v>
      </c>
      <c r="U3323" s="87">
        <v>14142.42</v>
      </c>
    </row>
    <row r="3324" spans="1:21" s="30" customFormat="1" ht="24.6" hidden="1" outlineLevel="1" x14ac:dyDescent="0.55000000000000004">
      <c r="A3324" s="27" t="s">
        <v>327</v>
      </c>
      <c r="B3324" s="28"/>
      <c r="C3324" s="27"/>
      <c r="D3324" s="27" t="str">
        <f>"""NAV Direct"",""CRONUS JetCorp USA"",""21"",""1"",""308028"""</f>
        <v>"NAV Direct","CRONUS JetCorp USA","21","1","308028"</v>
      </c>
      <c r="E3324" s="31" t="str">
        <f t="shared" si="1017"/>
        <v>C100099</v>
      </c>
      <c r="F3324" s="31"/>
      <c r="G3324" s="31"/>
      <c r="H3324" s="31"/>
      <c r="I3324" s="56"/>
      <c r="J3324" s="56"/>
      <c r="K3324" s="82" t="str">
        <f t="shared" si="1016"/>
        <v>Invoice</v>
      </c>
      <c r="L3324" s="83" t="str">
        <f>"SI_109508"</f>
        <v>SI_109508</v>
      </c>
      <c r="M3324" s="84">
        <v>43232</v>
      </c>
      <c r="N3324" s="85">
        <f t="shared" si="1018"/>
        <v>580</v>
      </c>
      <c r="O3324" s="86">
        <f t="shared" si="1019"/>
        <v>14141.28</v>
      </c>
      <c r="P3324" s="86">
        <f t="shared" si="1020"/>
        <v>0</v>
      </c>
      <c r="Q3324" s="86">
        <f t="shared" si="1021"/>
        <v>0</v>
      </c>
      <c r="R3324" s="86">
        <f t="shared" si="1022"/>
        <v>0</v>
      </c>
      <c r="S3324" s="86">
        <f t="shared" si="1023"/>
        <v>0</v>
      </c>
      <c r="T3324" s="86">
        <f t="shared" si="1024"/>
        <v>14141.28</v>
      </c>
      <c r="U3324" s="87">
        <v>14141.28</v>
      </c>
    </row>
    <row r="3325" spans="1:21" s="30" customFormat="1" ht="24.6" hidden="1" outlineLevel="1" x14ac:dyDescent="0.55000000000000004">
      <c r="A3325" s="27" t="s">
        <v>327</v>
      </c>
      <c r="B3325" s="28"/>
      <c r="C3325" s="27"/>
      <c r="D3325" s="27" t="str">
        <f>"""NAV Direct"",""CRONUS JetCorp USA"",""21"",""1"",""308168"""</f>
        <v>"NAV Direct","CRONUS JetCorp USA","21","1","308168"</v>
      </c>
      <c r="E3325" s="31">
        <f t="shared" si="1017"/>
        <v>0</v>
      </c>
      <c r="F3325" s="31"/>
      <c r="G3325" s="31"/>
      <c r="H3325" s="31"/>
      <c r="I3325" s="56"/>
      <c r="J3325" s="56"/>
      <c r="K3325" s="82" t="str">
        <f t="shared" si="1016"/>
        <v>Invoice</v>
      </c>
      <c r="L3325" s="83" t="str">
        <f>"SI_109514"</f>
        <v>SI_109514</v>
      </c>
      <c r="M3325" s="84">
        <v>43279</v>
      </c>
      <c r="N3325" s="85">
        <f t="shared" si="1018"/>
        <v>533</v>
      </c>
      <c r="O3325" s="86">
        <f t="shared" si="1019"/>
        <v>14784.769999999999</v>
      </c>
      <c r="P3325" s="86">
        <f t="shared" si="1020"/>
        <v>0</v>
      </c>
      <c r="Q3325" s="86">
        <f t="shared" si="1021"/>
        <v>0</v>
      </c>
      <c r="R3325" s="86">
        <f t="shared" si="1022"/>
        <v>0</v>
      </c>
      <c r="S3325" s="86">
        <f t="shared" si="1023"/>
        <v>0</v>
      </c>
      <c r="T3325" s="86">
        <f t="shared" si="1024"/>
        <v>14784.769999999999</v>
      </c>
      <c r="U3325" s="87">
        <v>14784.769999999999</v>
      </c>
    </row>
    <row r="3326" spans="1:21" s="30" customFormat="1" ht="24.6" hidden="1" outlineLevel="1" x14ac:dyDescent="0.55000000000000004">
      <c r="A3326" s="27" t="s">
        <v>327</v>
      </c>
      <c r="B3326" s="28"/>
      <c r="C3326" s="27"/>
      <c r="D3326" s="27" t="str">
        <f>"""NAV Direct"",""CRONUS JetCorp USA"",""21"",""1"",""308197"""</f>
        <v>"NAV Direct","CRONUS JetCorp USA","21","1","308197"</v>
      </c>
      <c r="E3326" s="31" t="str">
        <f t="shared" si="1017"/>
        <v>C100099</v>
      </c>
      <c r="F3326" s="31"/>
      <c r="G3326" s="31"/>
      <c r="H3326" s="31"/>
      <c r="I3326" s="56"/>
      <c r="J3326" s="56"/>
      <c r="K3326" s="82" t="str">
        <f t="shared" si="1016"/>
        <v>Invoice</v>
      </c>
      <c r="L3326" s="83" t="str">
        <f>"SI_109515"</f>
        <v>SI_109515</v>
      </c>
      <c r="M3326" s="84">
        <v>43280</v>
      </c>
      <c r="N3326" s="85">
        <f t="shared" si="1018"/>
        <v>532</v>
      </c>
      <c r="O3326" s="86">
        <f t="shared" si="1019"/>
        <v>14938.609999999999</v>
      </c>
      <c r="P3326" s="86">
        <f t="shared" si="1020"/>
        <v>0</v>
      </c>
      <c r="Q3326" s="86">
        <f t="shared" si="1021"/>
        <v>0</v>
      </c>
      <c r="R3326" s="86">
        <f t="shared" si="1022"/>
        <v>0</v>
      </c>
      <c r="S3326" s="86">
        <f t="shared" si="1023"/>
        <v>0</v>
      </c>
      <c r="T3326" s="86">
        <f t="shared" si="1024"/>
        <v>14938.609999999999</v>
      </c>
      <c r="U3326" s="87">
        <v>14938.609999999999</v>
      </c>
    </row>
    <row r="3327" spans="1:21" s="30" customFormat="1" ht="24.6" hidden="1" outlineLevel="1" x14ac:dyDescent="0.55000000000000004">
      <c r="A3327" s="27" t="s">
        <v>327</v>
      </c>
      <c r="B3327" s="28"/>
      <c r="C3327" s="27"/>
      <c r="D3327" s="27" t="str">
        <f>"""NAV Direct"",""CRONUS JetCorp USA"",""21"",""1"",""308224"""</f>
        <v>"NAV Direct","CRONUS JetCorp USA","21","1","308224"</v>
      </c>
      <c r="E3327" s="31">
        <f t="shared" si="1017"/>
        <v>0</v>
      </c>
      <c r="F3327" s="31"/>
      <c r="G3327" s="31"/>
      <c r="H3327" s="31"/>
      <c r="I3327" s="56"/>
      <c r="J3327" s="56"/>
      <c r="K3327" s="82" t="str">
        <f t="shared" ref="K3327:K3358" si="1025">"Invoice"</f>
        <v>Invoice</v>
      </c>
      <c r="L3327" s="83" t="str">
        <f>"SI_109516"</f>
        <v>SI_109516</v>
      </c>
      <c r="M3327" s="84">
        <v>43287</v>
      </c>
      <c r="N3327" s="85">
        <f t="shared" si="1018"/>
        <v>525</v>
      </c>
      <c r="O3327" s="86">
        <f t="shared" si="1019"/>
        <v>14633.88</v>
      </c>
      <c r="P3327" s="86">
        <f t="shared" si="1020"/>
        <v>0</v>
      </c>
      <c r="Q3327" s="86">
        <f t="shared" si="1021"/>
        <v>0</v>
      </c>
      <c r="R3327" s="86">
        <f t="shared" si="1022"/>
        <v>0</v>
      </c>
      <c r="S3327" s="86">
        <f t="shared" si="1023"/>
        <v>0</v>
      </c>
      <c r="T3327" s="86">
        <f t="shared" si="1024"/>
        <v>14633.88</v>
      </c>
      <c r="U3327" s="87">
        <v>14633.88</v>
      </c>
    </row>
    <row r="3328" spans="1:21" s="30" customFormat="1" ht="24.6" hidden="1" outlineLevel="1" x14ac:dyDescent="0.55000000000000004">
      <c r="A3328" s="27" t="s">
        <v>327</v>
      </c>
      <c r="B3328" s="28"/>
      <c r="C3328" s="27"/>
      <c r="D3328" s="27" t="str">
        <f>"""NAV Direct"",""CRONUS JetCorp USA"",""21"",""1"",""308303"""</f>
        <v>"NAV Direct","CRONUS JetCorp USA","21","1","308303"</v>
      </c>
      <c r="E3328" s="31" t="str">
        <f t="shared" si="1017"/>
        <v>C100099</v>
      </c>
      <c r="F3328" s="31"/>
      <c r="G3328" s="31"/>
      <c r="H3328" s="31"/>
      <c r="I3328" s="56"/>
      <c r="J3328" s="56"/>
      <c r="K3328" s="82" t="str">
        <f t="shared" si="1025"/>
        <v>Invoice</v>
      </c>
      <c r="L3328" s="83" t="str">
        <f>"SI_109519"</f>
        <v>SI_109519</v>
      </c>
      <c r="M3328" s="84">
        <v>43307</v>
      </c>
      <c r="N3328" s="85">
        <f t="shared" si="1018"/>
        <v>505</v>
      </c>
      <c r="O3328" s="86">
        <f t="shared" si="1019"/>
        <v>14429.07</v>
      </c>
      <c r="P3328" s="86">
        <f t="shared" si="1020"/>
        <v>0</v>
      </c>
      <c r="Q3328" s="86">
        <f t="shared" si="1021"/>
        <v>0</v>
      </c>
      <c r="R3328" s="86">
        <f t="shared" si="1022"/>
        <v>0</v>
      </c>
      <c r="S3328" s="86">
        <f t="shared" si="1023"/>
        <v>0</v>
      </c>
      <c r="T3328" s="86">
        <f t="shared" si="1024"/>
        <v>14429.07</v>
      </c>
      <c r="U3328" s="87">
        <v>14429.07</v>
      </c>
    </row>
    <row r="3329" spans="1:21" s="30" customFormat="1" ht="24.6" hidden="1" outlineLevel="1" x14ac:dyDescent="0.55000000000000004">
      <c r="A3329" s="27" t="s">
        <v>327</v>
      </c>
      <c r="B3329" s="28"/>
      <c r="C3329" s="27"/>
      <c r="D3329" s="27" t="str">
        <f>"""NAV Direct"",""CRONUS JetCorp USA"",""21"",""1"",""308355"""</f>
        <v>"NAV Direct","CRONUS JetCorp USA","21","1","308355"</v>
      </c>
      <c r="E3329" s="31">
        <f t="shared" si="1017"/>
        <v>0</v>
      </c>
      <c r="F3329" s="31"/>
      <c r="G3329" s="31"/>
      <c r="H3329" s="31"/>
      <c r="I3329" s="56"/>
      <c r="J3329" s="56"/>
      <c r="K3329" s="82" t="str">
        <f t="shared" si="1025"/>
        <v>Invoice</v>
      </c>
      <c r="L3329" s="83" t="str">
        <f>"SI_109521"</f>
        <v>SI_109521</v>
      </c>
      <c r="M3329" s="84">
        <v>43314</v>
      </c>
      <c r="N3329" s="85">
        <f t="shared" si="1018"/>
        <v>498</v>
      </c>
      <c r="O3329" s="86">
        <f t="shared" si="1019"/>
        <v>14736.08</v>
      </c>
      <c r="P3329" s="86">
        <f t="shared" si="1020"/>
        <v>0</v>
      </c>
      <c r="Q3329" s="86">
        <f t="shared" si="1021"/>
        <v>0</v>
      </c>
      <c r="R3329" s="86">
        <f t="shared" si="1022"/>
        <v>0</v>
      </c>
      <c r="S3329" s="86">
        <f t="shared" si="1023"/>
        <v>0</v>
      </c>
      <c r="T3329" s="86">
        <f t="shared" si="1024"/>
        <v>14736.08</v>
      </c>
      <c r="U3329" s="87">
        <v>14736.08</v>
      </c>
    </row>
    <row r="3330" spans="1:21" s="30" customFormat="1" ht="24.6" hidden="1" outlineLevel="1" x14ac:dyDescent="0.55000000000000004">
      <c r="A3330" s="27" t="s">
        <v>327</v>
      </c>
      <c r="B3330" s="28"/>
      <c r="C3330" s="27"/>
      <c r="D3330" s="27" t="str">
        <f>"""NAV Direct"",""CRONUS JetCorp USA"",""21"",""1"",""308407"""</f>
        <v>"NAV Direct","CRONUS JetCorp USA","21","1","308407"</v>
      </c>
      <c r="E3330" s="31" t="str">
        <f t="shared" si="1017"/>
        <v>C100099</v>
      </c>
      <c r="F3330" s="31"/>
      <c r="G3330" s="31"/>
      <c r="H3330" s="31"/>
      <c r="I3330" s="56"/>
      <c r="J3330" s="56"/>
      <c r="K3330" s="82" t="str">
        <f t="shared" si="1025"/>
        <v>Invoice</v>
      </c>
      <c r="L3330" s="83" t="str">
        <f>"SI_109523"</f>
        <v>SI_109523</v>
      </c>
      <c r="M3330" s="84">
        <v>43321</v>
      </c>
      <c r="N3330" s="85">
        <f t="shared" si="1018"/>
        <v>491</v>
      </c>
      <c r="O3330" s="86">
        <f t="shared" si="1019"/>
        <v>14889.730000000001</v>
      </c>
      <c r="P3330" s="86">
        <f t="shared" si="1020"/>
        <v>0</v>
      </c>
      <c r="Q3330" s="86">
        <f t="shared" si="1021"/>
        <v>0</v>
      </c>
      <c r="R3330" s="86">
        <f t="shared" si="1022"/>
        <v>0</v>
      </c>
      <c r="S3330" s="86">
        <f t="shared" si="1023"/>
        <v>0</v>
      </c>
      <c r="T3330" s="86">
        <f t="shared" si="1024"/>
        <v>14889.730000000001</v>
      </c>
      <c r="U3330" s="87">
        <v>14889.730000000001</v>
      </c>
    </row>
    <row r="3331" spans="1:21" s="30" customFormat="1" ht="24.6" hidden="1" outlineLevel="1" x14ac:dyDescent="0.55000000000000004">
      <c r="A3331" s="27" t="s">
        <v>327</v>
      </c>
      <c r="B3331" s="28"/>
      <c r="C3331" s="27"/>
      <c r="D3331" s="27" t="str">
        <f>"""NAV Direct"",""CRONUS JetCorp USA"",""21"",""1"",""308432"""</f>
        <v>"NAV Direct","CRONUS JetCorp USA","21","1","308432"</v>
      </c>
      <c r="E3331" s="31">
        <f t="shared" si="1017"/>
        <v>0</v>
      </c>
      <c r="F3331" s="31"/>
      <c r="G3331" s="31"/>
      <c r="H3331" s="31"/>
      <c r="I3331" s="56"/>
      <c r="J3331" s="56"/>
      <c r="K3331" s="82" t="str">
        <f t="shared" si="1025"/>
        <v>Invoice</v>
      </c>
      <c r="L3331" s="83" t="str">
        <f>"SI_109524"</f>
        <v>SI_109524</v>
      </c>
      <c r="M3331" s="84">
        <v>43325</v>
      </c>
      <c r="N3331" s="85">
        <f t="shared" si="1018"/>
        <v>487</v>
      </c>
      <c r="O3331" s="86">
        <f t="shared" si="1019"/>
        <v>14655.57</v>
      </c>
      <c r="P3331" s="86">
        <f t="shared" si="1020"/>
        <v>0</v>
      </c>
      <c r="Q3331" s="86">
        <f t="shared" si="1021"/>
        <v>0</v>
      </c>
      <c r="R3331" s="86">
        <f t="shared" si="1022"/>
        <v>0</v>
      </c>
      <c r="S3331" s="86">
        <f t="shared" si="1023"/>
        <v>0</v>
      </c>
      <c r="T3331" s="86">
        <f t="shared" si="1024"/>
        <v>14655.57</v>
      </c>
      <c r="U3331" s="87">
        <v>14655.57</v>
      </c>
    </row>
    <row r="3332" spans="1:21" s="30" customFormat="1" ht="24.6" hidden="1" outlineLevel="1" x14ac:dyDescent="0.55000000000000004">
      <c r="A3332" s="27" t="s">
        <v>327</v>
      </c>
      <c r="B3332" s="28"/>
      <c r="C3332" s="27"/>
      <c r="D3332" s="27" t="str">
        <f>"""NAV Direct"",""CRONUS JetCorp USA"",""21"",""1"",""308517"""</f>
        <v>"NAV Direct","CRONUS JetCorp USA","21","1","308517"</v>
      </c>
      <c r="E3332" s="31" t="str">
        <f t="shared" si="1017"/>
        <v>C100099</v>
      </c>
      <c r="F3332" s="31"/>
      <c r="G3332" s="31"/>
      <c r="H3332" s="31"/>
      <c r="I3332" s="56"/>
      <c r="J3332" s="56"/>
      <c r="K3332" s="82" t="str">
        <f t="shared" si="1025"/>
        <v>Invoice</v>
      </c>
      <c r="L3332" s="83" t="str">
        <f>"SI_109527"</f>
        <v>SI_109527</v>
      </c>
      <c r="M3332" s="84">
        <v>43343</v>
      </c>
      <c r="N3332" s="85">
        <f t="shared" si="1018"/>
        <v>469</v>
      </c>
      <c r="O3332" s="86">
        <f t="shared" si="1019"/>
        <v>14809.29</v>
      </c>
      <c r="P3332" s="86">
        <f t="shared" si="1020"/>
        <v>0</v>
      </c>
      <c r="Q3332" s="86">
        <f t="shared" si="1021"/>
        <v>0</v>
      </c>
      <c r="R3332" s="86">
        <f t="shared" si="1022"/>
        <v>0</v>
      </c>
      <c r="S3332" s="86">
        <f t="shared" si="1023"/>
        <v>0</v>
      </c>
      <c r="T3332" s="86">
        <f t="shared" si="1024"/>
        <v>14809.29</v>
      </c>
      <c r="U3332" s="87">
        <v>14809.29</v>
      </c>
    </row>
    <row r="3333" spans="1:21" s="30" customFormat="1" ht="24.6" hidden="1" outlineLevel="1" x14ac:dyDescent="0.55000000000000004">
      <c r="A3333" s="27" t="s">
        <v>327</v>
      </c>
      <c r="B3333" s="28"/>
      <c r="C3333" s="27"/>
      <c r="D3333" s="27" t="str">
        <f>"""NAV Direct"",""CRONUS JetCorp USA"",""21"",""1"",""308642"""</f>
        <v>"NAV Direct","CRONUS JetCorp USA","21","1","308642"</v>
      </c>
      <c r="E3333" s="31">
        <f t="shared" si="1017"/>
        <v>0</v>
      </c>
      <c r="F3333" s="31"/>
      <c r="G3333" s="31"/>
      <c r="H3333" s="31"/>
      <c r="I3333" s="56"/>
      <c r="J3333" s="56"/>
      <c r="K3333" s="82" t="str">
        <f t="shared" si="1025"/>
        <v>Invoice</v>
      </c>
      <c r="L3333" s="83" t="str">
        <f>"SI_109532"</f>
        <v>SI_109532</v>
      </c>
      <c r="M3333" s="84">
        <v>43368</v>
      </c>
      <c r="N3333" s="85">
        <f t="shared" si="1018"/>
        <v>444</v>
      </c>
      <c r="O3333" s="86">
        <f t="shared" si="1019"/>
        <v>15586.739999999998</v>
      </c>
      <c r="P3333" s="86">
        <f t="shared" si="1020"/>
        <v>0</v>
      </c>
      <c r="Q3333" s="86">
        <f t="shared" si="1021"/>
        <v>0</v>
      </c>
      <c r="R3333" s="86">
        <f t="shared" si="1022"/>
        <v>0</v>
      </c>
      <c r="S3333" s="86">
        <f t="shared" si="1023"/>
        <v>0</v>
      </c>
      <c r="T3333" s="86">
        <f t="shared" si="1024"/>
        <v>15586.739999999998</v>
      </c>
      <c r="U3333" s="87">
        <v>15586.739999999998</v>
      </c>
    </row>
    <row r="3334" spans="1:21" s="30" customFormat="1" ht="24.6" hidden="1" outlineLevel="1" x14ac:dyDescent="0.55000000000000004">
      <c r="A3334" s="27" t="s">
        <v>327</v>
      </c>
      <c r="B3334" s="28"/>
      <c r="C3334" s="27"/>
      <c r="D3334" s="27" t="str">
        <f>"""NAV Direct"",""CRONUS JetCorp USA"",""21"",""1"",""308667"""</f>
        <v>"NAV Direct","CRONUS JetCorp USA","21","1","308667"</v>
      </c>
      <c r="E3334" s="31" t="str">
        <f t="shared" si="1017"/>
        <v>C100099</v>
      </c>
      <c r="F3334" s="31"/>
      <c r="G3334" s="31"/>
      <c r="H3334" s="31"/>
      <c r="I3334" s="56"/>
      <c r="J3334" s="56"/>
      <c r="K3334" s="82" t="str">
        <f t="shared" si="1025"/>
        <v>Invoice</v>
      </c>
      <c r="L3334" s="83" t="str">
        <f>"SI_109533"</f>
        <v>SI_109533</v>
      </c>
      <c r="M3334" s="84">
        <v>43366</v>
      </c>
      <c r="N3334" s="85">
        <f t="shared" si="1018"/>
        <v>446</v>
      </c>
      <c r="O3334" s="86">
        <f t="shared" si="1019"/>
        <v>14791.849999999999</v>
      </c>
      <c r="P3334" s="86">
        <f t="shared" si="1020"/>
        <v>0</v>
      </c>
      <c r="Q3334" s="86">
        <f t="shared" si="1021"/>
        <v>0</v>
      </c>
      <c r="R3334" s="86">
        <f t="shared" si="1022"/>
        <v>0</v>
      </c>
      <c r="S3334" s="86">
        <f t="shared" si="1023"/>
        <v>0</v>
      </c>
      <c r="T3334" s="86">
        <f t="shared" si="1024"/>
        <v>14791.849999999999</v>
      </c>
      <c r="U3334" s="87">
        <v>14791.849999999999</v>
      </c>
    </row>
    <row r="3335" spans="1:21" s="30" customFormat="1" ht="24.6" hidden="1" outlineLevel="1" x14ac:dyDescent="0.55000000000000004">
      <c r="A3335" s="27" t="s">
        <v>327</v>
      </c>
      <c r="B3335" s="28"/>
      <c r="C3335" s="27"/>
      <c r="D3335" s="27" t="str">
        <f>"""NAV Direct"",""CRONUS JetCorp USA"",""21"",""1"",""308700"""</f>
        <v>"NAV Direct","CRONUS JetCorp USA","21","1","308700"</v>
      </c>
      <c r="E3335" s="31">
        <f t="shared" si="1017"/>
        <v>0</v>
      </c>
      <c r="F3335" s="31"/>
      <c r="G3335" s="31"/>
      <c r="H3335" s="31"/>
      <c r="I3335" s="56"/>
      <c r="J3335" s="56"/>
      <c r="K3335" s="82" t="str">
        <f t="shared" si="1025"/>
        <v>Invoice</v>
      </c>
      <c r="L3335" s="83" t="str">
        <f>"SI_109534"</f>
        <v>SI_109534</v>
      </c>
      <c r="M3335" s="84">
        <v>43371</v>
      </c>
      <c r="N3335" s="85">
        <f t="shared" si="1018"/>
        <v>441</v>
      </c>
      <c r="O3335" s="86">
        <f t="shared" si="1019"/>
        <v>15586.720000000001</v>
      </c>
      <c r="P3335" s="86">
        <f t="shared" si="1020"/>
        <v>0</v>
      </c>
      <c r="Q3335" s="86">
        <f t="shared" si="1021"/>
        <v>0</v>
      </c>
      <c r="R3335" s="86">
        <f t="shared" si="1022"/>
        <v>0</v>
      </c>
      <c r="S3335" s="86">
        <f t="shared" si="1023"/>
        <v>0</v>
      </c>
      <c r="T3335" s="86">
        <f t="shared" si="1024"/>
        <v>15586.720000000001</v>
      </c>
      <c r="U3335" s="87">
        <v>15586.720000000001</v>
      </c>
    </row>
    <row r="3336" spans="1:21" s="30" customFormat="1" ht="24.6" hidden="1" outlineLevel="1" x14ac:dyDescent="0.55000000000000004">
      <c r="A3336" s="27" t="s">
        <v>327</v>
      </c>
      <c r="B3336" s="28"/>
      <c r="C3336" s="27"/>
      <c r="D3336" s="27" t="str">
        <f>"""NAV Direct"",""CRONUS JetCorp USA"",""21"",""1"",""308721"""</f>
        <v>"NAV Direct","CRONUS JetCorp USA","21","1","308721"</v>
      </c>
      <c r="E3336" s="31" t="str">
        <f t="shared" si="1017"/>
        <v>C100099</v>
      </c>
      <c r="F3336" s="31"/>
      <c r="G3336" s="31"/>
      <c r="H3336" s="31"/>
      <c r="I3336" s="56"/>
      <c r="J3336" s="56"/>
      <c r="K3336" s="82" t="str">
        <f t="shared" si="1025"/>
        <v>Invoice</v>
      </c>
      <c r="L3336" s="83" t="str">
        <f>"SI_109535"</f>
        <v>SI_109535</v>
      </c>
      <c r="M3336" s="84">
        <v>43394</v>
      </c>
      <c r="N3336" s="85">
        <f t="shared" si="1018"/>
        <v>418</v>
      </c>
      <c r="O3336" s="86">
        <f t="shared" si="1019"/>
        <v>14894.78</v>
      </c>
      <c r="P3336" s="86">
        <f t="shared" si="1020"/>
        <v>0</v>
      </c>
      <c r="Q3336" s="86">
        <f t="shared" si="1021"/>
        <v>0</v>
      </c>
      <c r="R3336" s="86">
        <f t="shared" si="1022"/>
        <v>0</v>
      </c>
      <c r="S3336" s="86">
        <f t="shared" si="1023"/>
        <v>0</v>
      </c>
      <c r="T3336" s="86">
        <f t="shared" si="1024"/>
        <v>14894.78</v>
      </c>
      <c r="U3336" s="87">
        <v>14894.78</v>
      </c>
    </row>
    <row r="3337" spans="1:21" s="30" customFormat="1" ht="24.6" hidden="1" outlineLevel="1" x14ac:dyDescent="0.55000000000000004">
      <c r="A3337" s="27" t="s">
        <v>327</v>
      </c>
      <c r="B3337" s="28"/>
      <c r="C3337" s="27"/>
      <c r="D3337" s="27" t="str">
        <f>"""NAV Direct"",""CRONUS JetCorp USA"",""21"",""1"",""308748"""</f>
        <v>"NAV Direct","CRONUS JetCorp USA","21","1","308748"</v>
      </c>
      <c r="E3337" s="31">
        <f t="shared" si="1017"/>
        <v>0</v>
      </c>
      <c r="F3337" s="31"/>
      <c r="G3337" s="31"/>
      <c r="H3337" s="31"/>
      <c r="I3337" s="56"/>
      <c r="J3337" s="56"/>
      <c r="K3337" s="82" t="str">
        <f t="shared" si="1025"/>
        <v>Invoice</v>
      </c>
      <c r="L3337" s="83" t="str">
        <f>"SI_109536"</f>
        <v>SI_109536</v>
      </c>
      <c r="M3337" s="84">
        <v>43392</v>
      </c>
      <c r="N3337" s="85">
        <f t="shared" si="1018"/>
        <v>420</v>
      </c>
      <c r="O3337" s="86">
        <f t="shared" si="1019"/>
        <v>15055.09</v>
      </c>
      <c r="P3337" s="86">
        <f t="shared" si="1020"/>
        <v>0</v>
      </c>
      <c r="Q3337" s="86">
        <f t="shared" si="1021"/>
        <v>0</v>
      </c>
      <c r="R3337" s="86">
        <f t="shared" si="1022"/>
        <v>0</v>
      </c>
      <c r="S3337" s="86">
        <f t="shared" si="1023"/>
        <v>0</v>
      </c>
      <c r="T3337" s="86">
        <f t="shared" si="1024"/>
        <v>15055.09</v>
      </c>
      <c r="U3337" s="87">
        <v>15055.09</v>
      </c>
    </row>
    <row r="3338" spans="1:21" s="30" customFormat="1" ht="24.6" hidden="1" outlineLevel="1" x14ac:dyDescent="0.55000000000000004">
      <c r="A3338" s="27" t="s">
        <v>327</v>
      </c>
      <c r="B3338" s="28"/>
      <c r="C3338" s="27"/>
      <c r="D3338" s="27" t="str">
        <f>"""NAV Direct"",""CRONUS JetCorp USA"",""21"",""1"",""308885"""</f>
        <v>"NAV Direct","CRONUS JetCorp USA","21","1","308885"</v>
      </c>
      <c r="E3338" s="31" t="str">
        <f t="shared" si="1017"/>
        <v>C100099</v>
      </c>
      <c r="F3338" s="31"/>
      <c r="G3338" s="31"/>
      <c r="H3338" s="31"/>
      <c r="I3338" s="56"/>
      <c r="J3338" s="56"/>
      <c r="K3338" s="82" t="str">
        <f t="shared" si="1025"/>
        <v>Invoice</v>
      </c>
      <c r="L3338" s="83" t="str">
        <f>"SI_109541"</f>
        <v>SI_109541</v>
      </c>
      <c r="M3338" s="84">
        <v>43400</v>
      </c>
      <c r="N3338" s="85">
        <f t="shared" si="1018"/>
        <v>412</v>
      </c>
      <c r="O3338" s="86">
        <f t="shared" si="1019"/>
        <v>15696.27</v>
      </c>
      <c r="P3338" s="86">
        <f t="shared" si="1020"/>
        <v>0</v>
      </c>
      <c r="Q3338" s="86">
        <f t="shared" si="1021"/>
        <v>0</v>
      </c>
      <c r="R3338" s="86">
        <f t="shared" si="1022"/>
        <v>0</v>
      </c>
      <c r="S3338" s="86">
        <f t="shared" si="1023"/>
        <v>0</v>
      </c>
      <c r="T3338" s="86">
        <f t="shared" si="1024"/>
        <v>15696.27</v>
      </c>
      <c r="U3338" s="87">
        <v>15696.27</v>
      </c>
    </row>
    <row r="3339" spans="1:21" s="30" customFormat="1" ht="24.6" hidden="1" outlineLevel="1" x14ac:dyDescent="0.55000000000000004">
      <c r="A3339" s="27" t="s">
        <v>327</v>
      </c>
      <c r="B3339" s="28"/>
      <c r="C3339" s="27"/>
      <c r="D3339" s="27" t="str">
        <f>"""NAV Direct"",""CRONUS JetCorp USA"",""21"",""1"",""308912"""</f>
        <v>"NAV Direct","CRONUS JetCorp USA","21","1","308912"</v>
      </c>
      <c r="E3339" s="31">
        <f t="shared" si="1017"/>
        <v>0</v>
      </c>
      <c r="F3339" s="31"/>
      <c r="G3339" s="31"/>
      <c r="H3339" s="31"/>
      <c r="I3339" s="56"/>
      <c r="J3339" s="56"/>
      <c r="K3339" s="82" t="str">
        <f t="shared" si="1025"/>
        <v>Invoice</v>
      </c>
      <c r="L3339" s="83" t="str">
        <f>"SI_109542"</f>
        <v>SI_109542</v>
      </c>
      <c r="M3339" s="84">
        <v>43424</v>
      </c>
      <c r="N3339" s="85">
        <f t="shared" si="1018"/>
        <v>388</v>
      </c>
      <c r="O3339" s="86">
        <f t="shared" si="1019"/>
        <v>15261.140000000001</v>
      </c>
      <c r="P3339" s="86">
        <f t="shared" si="1020"/>
        <v>0</v>
      </c>
      <c r="Q3339" s="86">
        <f t="shared" si="1021"/>
        <v>0</v>
      </c>
      <c r="R3339" s="86">
        <f t="shared" si="1022"/>
        <v>0</v>
      </c>
      <c r="S3339" s="86">
        <f t="shared" si="1023"/>
        <v>0</v>
      </c>
      <c r="T3339" s="86">
        <f t="shared" si="1024"/>
        <v>15261.140000000001</v>
      </c>
      <c r="U3339" s="87">
        <v>15261.140000000001</v>
      </c>
    </row>
    <row r="3340" spans="1:21" s="30" customFormat="1" ht="24.6" hidden="1" outlineLevel="1" x14ac:dyDescent="0.55000000000000004">
      <c r="A3340" s="27" t="s">
        <v>327</v>
      </c>
      <c r="B3340" s="28"/>
      <c r="C3340" s="27"/>
      <c r="D3340" s="27" t="str">
        <f>"""NAV Direct"",""CRONUS JetCorp USA"",""21"",""1"",""308937"""</f>
        <v>"NAV Direct","CRONUS JetCorp USA","21","1","308937"</v>
      </c>
      <c r="E3340" s="31" t="str">
        <f t="shared" si="1017"/>
        <v>C100099</v>
      </c>
      <c r="F3340" s="31"/>
      <c r="G3340" s="31"/>
      <c r="H3340" s="31"/>
      <c r="I3340" s="56"/>
      <c r="J3340" s="56"/>
      <c r="K3340" s="82" t="str">
        <f t="shared" si="1025"/>
        <v>Invoice</v>
      </c>
      <c r="L3340" s="83" t="str">
        <f>"SI_109543"</f>
        <v>SI_109543</v>
      </c>
      <c r="M3340" s="84">
        <v>43428</v>
      </c>
      <c r="N3340" s="85">
        <f t="shared" si="1018"/>
        <v>384</v>
      </c>
      <c r="O3340" s="86">
        <f t="shared" si="1019"/>
        <v>15421.93</v>
      </c>
      <c r="P3340" s="86">
        <f t="shared" si="1020"/>
        <v>0</v>
      </c>
      <c r="Q3340" s="86">
        <f t="shared" si="1021"/>
        <v>0</v>
      </c>
      <c r="R3340" s="86">
        <f t="shared" si="1022"/>
        <v>0</v>
      </c>
      <c r="S3340" s="86">
        <f t="shared" si="1023"/>
        <v>0</v>
      </c>
      <c r="T3340" s="86">
        <f t="shared" si="1024"/>
        <v>15421.93</v>
      </c>
      <c r="U3340" s="87">
        <v>15421.93</v>
      </c>
    </row>
    <row r="3341" spans="1:21" s="30" customFormat="1" ht="24.6" hidden="1" outlineLevel="1" x14ac:dyDescent="0.55000000000000004">
      <c r="A3341" s="27" t="s">
        <v>327</v>
      </c>
      <c r="B3341" s="28"/>
      <c r="C3341" s="27"/>
      <c r="D3341" s="27" t="str">
        <f>"""NAV Direct"",""CRONUS JetCorp USA"",""21"",""1"",""309020"""</f>
        <v>"NAV Direct","CRONUS JetCorp USA","21","1","309020"</v>
      </c>
      <c r="E3341" s="31">
        <f t="shared" si="1017"/>
        <v>0</v>
      </c>
      <c r="F3341" s="31"/>
      <c r="G3341" s="31"/>
      <c r="H3341" s="31"/>
      <c r="I3341" s="56"/>
      <c r="J3341" s="56"/>
      <c r="K3341" s="82" t="str">
        <f t="shared" si="1025"/>
        <v>Invoice</v>
      </c>
      <c r="L3341" s="83" t="str">
        <f>"SI_109546"</f>
        <v>SI_109546</v>
      </c>
      <c r="M3341" s="84">
        <v>43434</v>
      </c>
      <c r="N3341" s="85">
        <f t="shared" si="1018"/>
        <v>378</v>
      </c>
      <c r="O3341" s="86">
        <f t="shared" si="1019"/>
        <v>15261.51</v>
      </c>
      <c r="P3341" s="86">
        <f t="shared" si="1020"/>
        <v>0</v>
      </c>
      <c r="Q3341" s="86">
        <f t="shared" si="1021"/>
        <v>0</v>
      </c>
      <c r="R3341" s="86">
        <f t="shared" si="1022"/>
        <v>0</v>
      </c>
      <c r="S3341" s="86">
        <f t="shared" si="1023"/>
        <v>0</v>
      </c>
      <c r="T3341" s="86">
        <f t="shared" si="1024"/>
        <v>15261.51</v>
      </c>
      <c r="U3341" s="87">
        <v>15261.51</v>
      </c>
    </row>
    <row r="3342" spans="1:21" s="30" customFormat="1" ht="24.6" hidden="1" outlineLevel="1" x14ac:dyDescent="0.55000000000000004">
      <c r="A3342" s="27" t="s">
        <v>327</v>
      </c>
      <c r="B3342" s="28"/>
      <c r="C3342" s="27"/>
      <c r="D3342" s="27" t="str">
        <f>"""NAV Direct"",""CRONUS JetCorp USA"",""21"",""1"",""309049"""</f>
        <v>"NAV Direct","CRONUS JetCorp USA","21","1","309049"</v>
      </c>
      <c r="E3342" s="31" t="str">
        <f t="shared" si="1017"/>
        <v>C100099</v>
      </c>
      <c r="F3342" s="31"/>
      <c r="G3342" s="31"/>
      <c r="H3342" s="31"/>
      <c r="I3342" s="56"/>
      <c r="J3342" s="56"/>
      <c r="K3342" s="82" t="str">
        <f t="shared" si="1025"/>
        <v>Invoice</v>
      </c>
      <c r="L3342" s="83" t="str">
        <f>"SI_109547"</f>
        <v>SI_109547</v>
      </c>
      <c r="M3342" s="84">
        <v>43432</v>
      </c>
      <c r="N3342" s="85">
        <f t="shared" si="1018"/>
        <v>380</v>
      </c>
      <c r="O3342" s="86">
        <f t="shared" si="1019"/>
        <v>14939.83</v>
      </c>
      <c r="P3342" s="86">
        <f t="shared" si="1020"/>
        <v>0</v>
      </c>
      <c r="Q3342" s="86">
        <f t="shared" si="1021"/>
        <v>0</v>
      </c>
      <c r="R3342" s="86">
        <f t="shared" si="1022"/>
        <v>0</v>
      </c>
      <c r="S3342" s="86">
        <f t="shared" si="1023"/>
        <v>0</v>
      </c>
      <c r="T3342" s="86">
        <f t="shared" si="1024"/>
        <v>14939.83</v>
      </c>
      <c r="U3342" s="87">
        <v>14939.83</v>
      </c>
    </row>
    <row r="3343" spans="1:21" s="30" customFormat="1" ht="24.6" hidden="1" outlineLevel="1" x14ac:dyDescent="0.55000000000000004">
      <c r="A3343" s="27" t="s">
        <v>327</v>
      </c>
      <c r="B3343" s="28"/>
      <c r="C3343" s="27"/>
      <c r="D3343" s="27" t="str">
        <f>"""NAV Direct"",""CRONUS JetCorp USA"",""21"",""1"",""309126"""</f>
        <v>"NAV Direct","CRONUS JetCorp USA","21","1","309126"</v>
      </c>
      <c r="E3343" s="31">
        <f t="shared" si="1017"/>
        <v>0</v>
      </c>
      <c r="F3343" s="31"/>
      <c r="G3343" s="31"/>
      <c r="H3343" s="31"/>
      <c r="I3343" s="56"/>
      <c r="J3343" s="56"/>
      <c r="K3343" s="82" t="str">
        <f t="shared" si="1025"/>
        <v>Invoice</v>
      </c>
      <c r="L3343" s="83" t="str">
        <f>"SI_109550"</f>
        <v>SI_109550</v>
      </c>
      <c r="M3343" s="84">
        <v>43457</v>
      </c>
      <c r="N3343" s="85">
        <f t="shared" si="1018"/>
        <v>355</v>
      </c>
      <c r="O3343" s="86">
        <f t="shared" si="1019"/>
        <v>15758.550000000001</v>
      </c>
      <c r="P3343" s="86">
        <f t="shared" si="1020"/>
        <v>0</v>
      </c>
      <c r="Q3343" s="86">
        <f t="shared" si="1021"/>
        <v>0</v>
      </c>
      <c r="R3343" s="86">
        <f t="shared" si="1022"/>
        <v>0</v>
      </c>
      <c r="S3343" s="86">
        <f t="shared" si="1023"/>
        <v>0</v>
      </c>
      <c r="T3343" s="86">
        <f t="shared" si="1024"/>
        <v>15758.550000000001</v>
      </c>
      <c r="U3343" s="87">
        <v>15758.550000000001</v>
      </c>
    </row>
    <row r="3344" spans="1:21" s="30" customFormat="1" ht="24.6" hidden="1" outlineLevel="1" x14ac:dyDescent="0.55000000000000004">
      <c r="A3344" s="27" t="s">
        <v>327</v>
      </c>
      <c r="B3344" s="28"/>
      <c r="C3344" s="27"/>
      <c r="D3344" s="27" t="str">
        <f>"""NAV Direct"",""CRONUS JetCorp USA"",""21"",""1"",""309176"""</f>
        <v>"NAV Direct","CRONUS JetCorp USA","21","1","309176"</v>
      </c>
      <c r="E3344" s="31" t="str">
        <f t="shared" si="1017"/>
        <v>C100099</v>
      </c>
      <c r="F3344" s="31"/>
      <c r="G3344" s="31"/>
      <c r="H3344" s="31"/>
      <c r="I3344" s="56"/>
      <c r="J3344" s="56"/>
      <c r="K3344" s="82" t="str">
        <f t="shared" si="1025"/>
        <v>Invoice</v>
      </c>
      <c r="L3344" s="83" t="str">
        <f>"SI_109552"</f>
        <v>SI_109552</v>
      </c>
      <c r="M3344" s="84">
        <v>43486</v>
      </c>
      <c r="N3344" s="85">
        <f t="shared" si="1018"/>
        <v>326</v>
      </c>
      <c r="O3344" s="86">
        <f t="shared" si="1019"/>
        <v>15054.65</v>
      </c>
      <c r="P3344" s="86">
        <f t="shared" si="1020"/>
        <v>0</v>
      </c>
      <c r="Q3344" s="86">
        <f t="shared" si="1021"/>
        <v>0</v>
      </c>
      <c r="R3344" s="86">
        <f t="shared" si="1022"/>
        <v>0</v>
      </c>
      <c r="S3344" s="86">
        <f t="shared" si="1023"/>
        <v>0</v>
      </c>
      <c r="T3344" s="86">
        <f t="shared" si="1024"/>
        <v>15054.65</v>
      </c>
      <c r="U3344" s="87">
        <v>15054.65</v>
      </c>
    </row>
    <row r="3345" spans="1:21" s="30" customFormat="1" ht="24.6" hidden="1" outlineLevel="1" x14ac:dyDescent="0.55000000000000004">
      <c r="A3345" s="27" t="s">
        <v>327</v>
      </c>
      <c r="B3345" s="28"/>
      <c r="C3345" s="27"/>
      <c r="D3345" s="27" t="str">
        <f>"""NAV Direct"",""CRONUS JetCorp USA"",""21"",""1"",""309234"""</f>
        <v>"NAV Direct","CRONUS JetCorp USA","21","1","309234"</v>
      </c>
      <c r="E3345" s="31">
        <f t="shared" si="1017"/>
        <v>0</v>
      </c>
      <c r="F3345" s="31"/>
      <c r="G3345" s="31"/>
      <c r="H3345" s="31"/>
      <c r="I3345" s="56"/>
      <c r="J3345" s="56"/>
      <c r="K3345" s="82" t="str">
        <f t="shared" si="1025"/>
        <v>Invoice</v>
      </c>
      <c r="L3345" s="83" t="str">
        <f>"SI_109554"</f>
        <v>SI_109554</v>
      </c>
      <c r="M3345" s="84">
        <v>43486</v>
      </c>
      <c r="N3345" s="85">
        <f t="shared" si="1018"/>
        <v>326</v>
      </c>
      <c r="O3345" s="86">
        <f t="shared" si="1019"/>
        <v>14895.08</v>
      </c>
      <c r="P3345" s="86">
        <f t="shared" si="1020"/>
        <v>0</v>
      </c>
      <c r="Q3345" s="86">
        <f t="shared" si="1021"/>
        <v>0</v>
      </c>
      <c r="R3345" s="86">
        <f t="shared" si="1022"/>
        <v>0</v>
      </c>
      <c r="S3345" s="86">
        <f t="shared" si="1023"/>
        <v>0</v>
      </c>
      <c r="T3345" s="86">
        <f t="shared" si="1024"/>
        <v>14895.08</v>
      </c>
      <c r="U3345" s="87">
        <v>14895.08</v>
      </c>
    </row>
    <row r="3346" spans="1:21" s="30" customFormat="1" ht="24.6" hidden="1" outlineLevel="1" x14ac:dyDescent="0.55000000000000004">
      <c r="A3346" s="27" t="s">
        <v>327</v>
      </c>
      <c r="B3346" s="28"/>
      <c r="C3346" s="27"/>
      <c r="D3346" s="27" t="str">
        <f>"""NAV Direct"",""CRONUS JetCorp USA"",""21"",""1"",""309257"""</f>
        <v>"NAV Direct","CRONUS JetCorp USA","21","1","309257"</v>
      </c>
      <c r="E3346" s="31" t="str">
        <f t="shared" ref="E3346:E3377" si="1026">E3344</f>
        <v>C100099</v>
      </c>
      <c r="F3346" s="31"/>
      <c r="G3346" s="31"/>
      <c r="H3346" s="31"/>
      <c r="I3346" s="56"/>
      <c r="J3346" s="56"/>
      <c r="K3346" s="82" t="str">
        <f t="shared" si="1025"/>
        <v>Invoice</v>
      </c>
      <c r="L3346" s="83" t="str">
        <f>"SI_109555"</f>
        <v>SI_109555</v>
      </c>
      <c r="M3346" s="84">
        <v>43486</v>
      </c>
      <c r="N3346" s="85">
        <f t="shared" ref="N3346:N3377" si="1027">StartDate-$M3346+1</f>
        <v>326</v>
      </c>
      <c r="O3346" s="86">
        <f t="shared" ref="O3346:O3377" si="1028">SUM(P3346:T3346)</f>
        <v>15534.810000000001</v>
      </c>
      <c r="P3346" s="86">
        <f t="shared" ref="P3346:P3377" si="1029">IF($M3346&gt;=$P$18,U3346,0)</f>
        <v>0</v>
      </c>
      <c r="Q3346" s="86">
        <f t="shared" ref="Q3346:Q3377" si="1030">IF(AND($M3346&gt;=$Q$16,$M3346&lt;=$Q$18),U3346,0)</f>
        <v>0</v>
      </c>
      <c r="R3346" s="86">
        <f t="shared" ref="R3346:R3377" si="1031">IF(AND($M3346&gt;=$R$16,$M3346&lt;=$R$18),U3346,0)</f>
        <v>0</v>
      </c>
      <c r="S3346" s="86">
        <f t="shared" ref="S3346:S3377" si="1032">IF(AND($M3346&gt;=$S$16,$M3346&lt;=$S$18),U3346,0)</f>
        <v>0</v>
      </c>
      <c r="T3346" s="86">
        <f t="shared" ref="T3346:T3377" si="1033">IF($M3346&lt;=$T$18,U3346,0)</f>
        <v>15534.810000000001</v>
      </c>
      <c r="U3346" s="87">
        <v>15534.810000000001</v>
      </c>
    </row>
    <row r="3347" spans="1:21" s="30" customFormat="1" ht="24.6" hidden="1" outlineLevel="1" x14ac:dyDescent="0.55000000000000004">
      <c r="A3347" s="27" t="s">
        <v>327</v>
      </c>
      <c r="B3347" s="28"/>
      <c r="C3347" s="27"/>
      <c r="D3347" s="27" t="str">
        <f>"""NAV Direct"",""CRONUS JetCorp USA"",""21"",""1"",""309313"""</f>
        <v>"NAV Direct","CRONUS JetCorp USA","21","1","309313"</v>
      </c>
      <c r="E3347" s="31">
        <f t="shared" si="1026"/>
        <v>0</v>
      </c>
      <c r="F3347" s="31"/>
      <c r="G3347" s="31"/>
      <c r="H3347" s="31"/>
      <c r="I3347" s="56"/>
      <c r="J3347" s="56"/>
      <c r="K3347" s="82" t="str">
        <f t="shared" si="1025"/>
        <v>Invoice</v>
      </c>
      <c r="L3347" s="83" t="str">
        <f>"SI_109557"</f>
        <v>SI_109557</v>
      </c>
      <c r="M3347" s="84">
        <v>43500</v>
      </c>
      <c r="N3347" s="85">
        <f t="shared" si="1027"/>
        <v>312</v>
      </c>
      <c r="O3347" s="86">
        <f t="shared" si="1028"/>
        <v>15535.550000000001</v>
      </c>
      <c r="P3347" s="86">
        <f t="shared" si="1029"/>
        <v>0</v>
      </c>
      <c r="Q3347" s="86">
        <f t="shared" si="1030"/>
        <v>0</v>
      </c>
      <c r="R3347" s="86">
        <f t="shared" si="1031"/>
        <v>0</v>
      </c>
      <c r="S3347" s="86">
        <f t="shared" si="1032"/>
        <v>0</v>
      </c>
      <c r="T3347" s="86">
        <f t="shared" si="1033"/>
        <v>15535.550000000001</v>
      </c>
      <c r="U3347" s="87">
        <v>15535.550000000001</v>
      </c>
    </row>
    <row r="3348" spans="1:21" s="30" customFormat="1" ht="24.6" hidden="1" outlineLevel="1" x14ac:dyDescent="0.55000000000000004">
      <c r="A3348" s="27" t="s">
        <v>327</v>
      </c>
      <c r="B3348" s="28"/>
      <c r="C3348" s="27"/>
      <c r="D3348" s="27" t="str">
        <f>"""NAV Direct"",""CRONUS JetCorp USA"",""21"",""1"",""309365"""</f>
        <v>"NAV Direct","CRONUS JetCorp USA","21","1","309365"</v>
      </c>
      <c r="E3348" s="31" t="str">
        <f t="shared" si="1026"/>
        <v>C100099</v>
      </c>
      <c r="F3348" s="31"/>
      <c r="G3348" s="31"/>
      <c r="H3348" s="31"/>
      <c r="I3348" s="56"/>
      <c r="J3348" s="56"/>
      <c r="K3348" s="82" t="str">
        <f t="shared" si="1025"/>
        <v>Invoice</v>
      </c>
      <c r="L3348" s="83" t="str">
        <f>"SI_109559"</f>
        <v>SI_109559</v>
      </c>
      <c r="M3348" s="84">
        <v>43512</v>
      </c>
      <c r="N3348" s="85">
        <f t="shared" si="1027"/>
        <v>300</v>
      </c>
      <c r="O3348" s="86">
        <f t="shared" si="1028"/>
        <v>15760.27</v>
      </c>
      <c r="P3348" s="86">
        <f t="shared" si="1029"/>
        <v>0</v>
      </c>
      <c r="Q3348" s="86">
        <f t="shared" si="1030"/>
        <v>0</v>
      </c>
      <c r="R3348" s="86">
        <f t="shared" si="1031"/>
        <v>0</v>
      </c>
      <c r="S3348" s="86">
        <f t="shared" si="1032"/>
        <v>0</v>
      </c>
      <c r="T3348" s="86">
        <f t="shared" si="1033"/>
        <v>15760.27</v>
      </c>
      <c r="U3348" s="87">
        <v>15760.27</v>
      </c>
    </row>
    <row r="3349" spans="1:21" s="30" customFormat="1" ht="24.6" hidden="1" outlineLevel="1" x14ac:dyDescent="0.55000000000000004">
      <c r="A3349" s="27" t="s">
        <v>327</v>
      </c>
      <c r="B3349" s="28"/>
      <c r="C3349" s="27"/>
      <c r="D3349" s="27" t="str">
        <f>"""NAV Direct"",""CRONUS JetCorp USA"",""21"",""1"",""309448"""</f>
        <v>"NAV Direct","CRONUS JetCorp USA","21","1","309448"</v>
      </c>
      <c r="E3349" s="31">
        <f t="shared" si="1026"/>
        <v>0</v>
      </c>
      <c r="F3349" s="31"/>
      <c r="G3349" s="31"/>
      <c r="H3349" s="31"/>
      <c r="I3349" s="56"/>
      <c r="J3349" s="56"/>
      <c r="K3349" s="82" t="str">
        <f t="shared" si="1025"/>
        <v>Invoice</v>
      </c>
      <c r="L3349" s="83" t="str">
        <f>"SI_109562"</f>
        <v>SI_109562</v>
      </c>
      <c r="M3349" s="84">
        <v>43524</v>
      </c>
      <c r="N3349" s="85">
        <f t="shared" si="1027"/>
        <v>288</v>
      </c>
      <c r="O3349" s="86">
        <f t="shared" si="1028"/>
        <v>16087.27</v>
      </c>
      <c r="P3349" s="86">
        <f t="shared" si="1029"/>
        <v>0</v>
      </c>
      <c r="Q3349" s="86">
        <f t="shared" si="1030"/>
        <v>0</v>
      </c>
      <c r="R3349" s="86">
        <f t="shared" si="1031"/>
        <v>0</v>
      </c>
      <c r="S3349" s="86">
        <f t="shared" si="1032"/>
        <v>0</v>
      </c>
      <c r="T3349" s="86">
        <f t="shared" si="1033"/>
        <v>16087.27</v>
      </c>
      <c r="U3349" s="87">
        <v>16087.27</v>
      </c>
    </row>
    <row r="3350" spans="1:21" s="30" customFormat="1" ht="24.6" hidden="1" outlineLevel="1" x14ac:dyDescent="0.55000000000000004">
      <c r="A3350" s="27" t="s">
        <v>327</v>
      </c>
      <c r="B3350" s="28"/>
      <c r="C3350" s="27"/>
      <c r="D3350" s="27" t="str">
        <f>"""NAV Direct"",""CRONUS JetCorp USA"",""21"",""1"",""309475"""</f>
        <v>"NAV Direct","CRONUS JetCorp USA","21","1","309475"</v>
      </c>
      <c r="E3350" s="31" t="str">
        <f t="shared" si="1026"/>
        <v>C100099</v>
      </c>
      <c r="F3350" s="31"/>
      <c r="G3350" s="31"/>
      <c r="H3350" s="31"/>
      <c r="I3350" s="56"/>
      <c r="J3350" s="56"/>
      <c r="K3350" s="82" t="str">
        <f t="shared" si="1025"/>
        <v>Invoice</v>
      </c>
      <c r="L3350" s="83" t="str">
        <f>"SI_109563"</f>
        <v>SI_109563</v>
      </c>
      <c r="M3350" s="84">
        <v>43525</v>
      </c>
      <c r="N3350" s="85">
        <f t="shared" si="1027"/>
        <v>287</v>
      </c>
      <c r="O3350" s="86">
        <f t="shared" si="1028"/>
        <v>15102.720000000001</v>
      </c>
      <c r="P3350" s="86">
        <f t="shared" si="1029"/>
        <v>0</v>
      </c>
      <c r="Q3350" s="86">
        <f t="shared" si="1030"/>
        <v>0</v>
      </c>
      <c r="R3350" s="86">
        <f t="shared" si="1031"/>
        <v>0</v>
      </c>
      <c r="S3350" s="86">
        <f t="shared" si="1032"/>
        <v>0</v>
      </c>
      <c r="T3350" s="86">
        <f t="shared" si="1033"/>
        <v>15102.720000000001</v>
      </c>
      <c r="U3350" s="87">
        <v>15102.720000000001</v>
      </c>
    </row>
    <row r="3351" spans="1:21" s="30" customFormat="1" ht="24.6" hidden="1" outlineLevel="1" x14ac:dyDescent="0.55000000000000004">
      <c r="A3351" s="27" t="s">
        <v>327</v>
      </c>
      <c r="B3351" s="28"/>
      <c r="C3351" s="27"/>
      <c r="D3351" s="27" t="str">
        <f>"""NAV Direct"",""CRONUS JetCorp USA"",""21"",""1"",""309583"""</f>
        <v>"NAV Direct","CRONUS JetCorp USA","21","1","309583"</v>
      </c>
      <c r="E3351" s="31">
        <f t="shared" si="1026"/>
        <v>0</v>
      </c>
      <c r="F3351" s="31"/>
      <c r="G3351" s="31"/>
      <c r="H3351" s="31"/>
      <c r="I3351" s="56"/>
      <c r="J3351" s="56"/>
      <c r="K3351" s="82" t="str">
        <f t="shared" si="1025"/>
        <v>Invoice</v>
      </c>
      <c r="L3351" s="83" t="str">
        <f>"SI_109567"</f>
        <v>SI_109567</v>
      </c>
      <c r="M3351" s="84">
        <v>43550</v>
      </c>
      <c r="N3351" s="85">
        <f t="shared" si="1027"/>
        <v>262</v>
      </c>
      <c r="O3351" s="86">
        <f t="shared" si="1028"/>
        <v>15431.01</v>
      </c>
      <c r="P3351" s="86">
        <f t="shared" si="1029"/>
        <v>0</v>
      </c>
      <c r="Q3351" s="86">
        <f t="shared" si="1030"/>
        <v>0</v>
      </c>
      <c r="R3351" s="86">
        <f t="shared" si="1031"/>
        <v>0</v>
      </c>
      <c r="S3351" s="86">
        <f t="shared" si="1032"/>
        <v>0</v>
      </c>
      <c r="T3351" s="86">
        <f t="shared" si="1033"/>
        <v>15431.01</v>
      </c>
      <c r="U3351" s="87">
        <v>15431.01</v>
      </c>
    </row>
    <row r="3352" spans="1:21" s="30" customFormat="1" ht="24.6" hidden="1" outlineLevel="1" x14ac:dyDescent="0.55000000000000004">
      <c r="A3352" s="27" t="s">
        <v>327</v>
      </c>
      <c r="B3352" s="28"/>
      <c r="C3352" s="27"/>
      <c r="D3352" s="27" t="str">
        <f>"""NAV Direct"",""CRONUS JetCorp USA"",""21"",""1"",""309608"""</f>
        <v>"NAV Direct","CRONUS JetCorp USA","21","1","309608"</v>
      </c>
      <c r="E3352" s="31" t="str">
        <f t="shared" si="1026"/>
        <v>C100099</v>
      </c>
      <c r="F3352" s="31"/>
      <c r="G3352" s="31"/>
      <c r="H3352" s="31"/>
      <c r="I3352" s="56"/>
      <c r="J3352" s="56"/>
      <c r="K3352" s="82" t="str">
        <f t="shared" si="1025"/>
        <v>Invoice</v>
      </c>
      <c r="L3352" s="83" t="str">
        <f>"SI_109568"</f>
        <v>SI_109568</v>
      </c>
      <c r="M3352" s="84">
        <v>43553</v>
      </c>
      <c r="N3352" s="85">
        <f t="shared" si="1027"/>
        <v>259</v>
      </c>
      <c r="O3352" s="86">
        <f t="shared" si="1028"/>
        <v>16088.51</v>
      </c>
      <c r="P3352" s="86">
        <f t="shared" si="1029"/>
        <v>0</v>
      </c>
      <c r="Q3352" s="86">
        <f t="shared" si="1030"/>
        <v>0</v>
      </c>
      <c r="R3352" s="86">
        <f t="shared" si="1031"/>
        <v>0</v>
      </c>
      <c r="S3352" s="86">
        <f t="shared" si="1032"/>
        <v>0</v>
      </c>
      <c r="T3352" s="86">
        <f t="shared" si="1033"/>
        <v>16088.51</v>
      </c>
      <c r="U3352" s="87">
        <v>16088.51</v>
      </c>
    </row>
    <row r="3353" spans="1:21" s="30" customFormat="1" ht="24.6" hidden="1" outlineLevel="1" x14ac:dyDescent="0.55000000000000004">
      <c r="A3353" s="27" t="s">
        <v>327</v>
      </c>
      <c r="B3353" s="28"/>
      <c r="C3353" s="27"/>
      <c r="D3353" s="27" t="str">
        <f>"""NAV Direct"",""CRONUS JetCorp USA"",""21"",""1"",""309670"""</f>
        <v>"NAV Direct","CRONUS JetCorp USA","21","1","309670"</v>
      </c>
      <c r="E3353" s="31">
        <f t="shared" si="1026"/>
        <v>0</v>
      </c>
      <c r="F3353" s="31"/>
      <c r="G3353" s="31"/>
      <c r="H3353" s="31"/>
      <c r="I3353" s="56"/>
      <c r="J3353" s="56"/>
      <c r="K3353" s="82" t="str">
        <f t="shared" si="1025"/>
        <v>Invoice</v>
      </c>
      <c r="L3353" s="83" t="str">
        <f>"SI_109570"</f>
        <v>SI_109570</v>
      </c>
      <c r="M3353" s="84">
        <v>43581</v>
      </c>
      <c r="N3353" s="85">
        <f t="shared" si="1027"/>
        <v>231</v>
      </c>
      <c r="O3353" s="86">
        <f t="shared" si="1028"/>
        <v>17368.27</v>
      </c>
      <c r="P3353" s="86">
        <f t="shared" si="1029"/>
        <v>0</v>
      </c>
      <c r="Q3353" s="86">
        <f t="shared" si="1030"/>
        <v>0</v>
      </c>
      <c r="R3353" s="86">
        <f t="shared" si="1031"/>
        <v>0</v>
      </c>
      <c r="S3353" s="86">
        <f t="shared" si="1032"/>
        <v>0</v>
      </c>
      <c r="T3353" s="86">
        <f t="shared" si="1033"/>
        <v>17368.27</v>
      </c>
      <c r="U3353" s="87">
        <v>17368.27</v>
      </c>
    </row>
    <row r="3354" spans="1:21" s="30" customFormat="1" ht="24.6" hidden="1" outlineLevel="1" x14ac:dyDescent="0.55000000000000004">
      <c r="A3354" s="27" t="s">
        <v>327</v>
      </c>
      <c r="B3354" s="28"/>
      <c r="C3354" s="27"/>
      <c r="D3354" s="27" t="str">
        <f>"""NAV Direct"",""CRONUS JetCorp USA"",""21"",""1"",""309693"""</f>
        <v>"NAV Direct","CRONUS JetCorp USA","21","1","309693"</v>
      </c>
      <c r="E3354" s="31" t="str">
        <f t="shared" si="1026"/>
        <v>C100099</v>
      </c>
      <c r="F3354" s="31"/>
      <c r="G3354" s="31"/>
      <c r="H3354" s="31"/>
      <c r="I3354" s="56"/>
      <c r="J3354" s="56"/>
      <c r="K3354" s="82" t="str">
        <f t="shared" si="1025"/>
        <v>Invoice</v>
      </c>
      <c r="L3354" s="83" t="str">
        <f>"SI_109571"</f>
        <v>SI_109571</v>
      </c>
      <c r="M3354" s="84">
        <v>43580</v>
      </c>
      <c r="N3354" s="85">
        <f t="shared" si="1027"/>
        <v>232</v>
      </c>
      <c r="O3354" s="86">
        <f t="shared" si="1028"/>
        <v>17746.38</v>
      </c>
      <c r="P3354" s="86">
        <f t="shared" si="1029"/>
        <v>0</v>
      </c>
      <c r="Q3354" s="86">
        <f t="shared" si="1030"/>
        <v>0</v>
      </c>
      <c r="R3354" s="86">
        <f t="shared" si="1031"/>
        <v>0</v>
      </c>
      <c r="S3354" s="86">
        <f t="shared" si="1032"/>
        <v>0</v>
      </c>
      <c r="T3354" s="86">
        <f t="shared" si="1033"/>
        <v>17746.38</v>
      </c>
      <c r="U3354" s="87">
        <v>17746.38</v>
      </c>
    </row>
    <row r="3355" spans="1:21" s="30" customFormat="1" ht="24.6" hidden="1" outlineLevel="1" x14ac:dyDescent="0.55000000000000004">
      <c r="A3355" s="27" t="s">
        <v>327</v>
      </c>
      <c r="B3355" s="28"/>
      <c r="C3355" s="27"/>
      <c r="D3355" s="27" t="str">
        <f>"""NAV Direct"",""CRONUS JetCorp USA"",""21"",""1"",""309743"""</f>
        <v>"NAV Direct","CRONUS JetCorp USA","21","1","309743"</v>
      </c>
      <c r="E3355" s="31">
        <f t="shared" si="1026"/>
        <v>0</v>
      </c>
      <c r="F3355" s="31"/>
      <c r="G3355" s="31"/>
      <c r="H3355" s="31"/>
      <c r="I3355" s="56"/>
      <c r="J3355" s="56"/>
      <c r="K3355" s="82" t="str">
        <f t="shared" si="1025"/>
        <v>Invoice</v>
      </c>
      <c r="L3355" s="83" t="str">
        <f>"SI_109573"</f>
        <v>SI_109573</v>
      </c>
      <c r="M3355" s="84">
        <v>43605</v>
      </c>
      <c r="N3355" s="85">
        <f t="shared" si="1027"/>
        <v>207</v>
      </c>
      <c r="O3355" s="86">
        <f t="shared" si="1028"/>
        <v>20349.89</v>
      </c>
      <c r="P3355" s="86">
        <f t="shared" si="1029"/>
        <v>0</v>
      </c>
      <c r="Q3355" s="86">
        <f t="shared" si="1030"/>
        <v>0</v>
      </c>
      <c r="R3355" s="86">
        <f t="shared" si="1031"/>
        <v>0</v>
      </c>
      <c r="S3355" s="86">
        <f t="shared" si="1032"/>
        <v>0</v>
      </c>
      <c r="T3355" s="86">
        <f t="shared" si="1033"/>
        <v>20349.89</v>
      </c>
      <c r="U3355" s="87">
        <v>20349.89</v>
      </c>
    </row>
    <row r="3356" spans="1:21" s="30" customFormat="1" ht="24.6" hidden="1" outlineLevel="1" x14ac:dyDescent="0.55000000000000004">
      <c r="A3356" s="27" t="s">
        <v>327</v>
      </c>
      <c r="B3356" s="28"/>
      <c r="C3356" s="27"/>
      <c r="D3356" s="27" t="str">
        <f>"""NAV Direct"",""CRONUS JetCorp USA"",""21"",""1"",""309774"""</f>
        <v>"NAV Direct","CRONUS JetCorp USA","21","1","309774"</v>
      </c>
      <c r="E3356" s="31" t="str">
        <f t="shared" si="1026"/>
        <v>C100099</v>
      </c>
      <c r="F3356" s="31"/>
      <c r="G3356" s="31"/>
      <c r="H3356" s="31"/>
      <c r="I3356" s="56"/>
      <c r="J3356" s="56"/>
      <c r="K3356" s="82" t="str">
        <f t="shared" si="1025"/>
        <v>Invoice</v>
      </c>
      <c r="L3356" s="83" t="str">
        <f>"SI_109574"</f>
        <v>SI_109574</v>
      </c>
      <c r="M3356" s="84">
        <v>43611</v>
      </c>
      <c r="N3356" s="85">
        <f t="shared" si="1027"/>
        <v>201</v>
      </c>
      <c r="O3356" s="86">
        <f t="shared" si="1028"/>
        <v>18897.23</v>
      </c>
      <c r="P3356" s="86">
        <f t="shared" si="1029"/>
        <v>0</v>
      </c>
      <c r="Q3356" s="86">
        <f t="shared" si="1030"/>
        <v>0</v>
      </c>
      <c r="R3356" s="86">
        <f t="shared" si="1031"/>
        <v>0</v>
      </c>
      <c r="S3356" s="86">
        <f t="shared" si="1032"/>
        <v>0</v>
      </c>
      <c r="T3356" s="86">
        <f t="shared" si="1033"/>
        <v>18897.23</v>
      </c>
      <c r="U3356" s="87">
        <v>18897.23</v>
      </c>
    </row>
    <row r="3357" spans="1:21" s="30" customFormat="1" ht="24.6" hidden="1" outlineLevel="1" x14ac:dyDescent="0.55000000000000004">
      <c r="A3357" s="27" t="s">
        <v>327</v>
      </c>
      <c r="B3357" s="28"/>
      <c r="C3357" s="27"/>
      <c r="D3357" s="27" t="str">
        <f>"""NAV Direct"",""CRONUS JetCorp USA"",""21"",""1"",""309799"""</f>
        <v>"NAV Direct","CRONUS JetCorp USA","21","1","309799"</v>
      </c>
      <c r="E3357" s="31">
        <f t="shared" si="1026"/>
        <v>0</v>
      </c>
      <c r="F3357" s="31"/>
      <c r="G3357" s="31"/>
      <c r="H3357" s="31"/>
      <c r="I3357" s="56"/>
      <c r="J3357" s="56"/>
      <c r="K3357" s="82" t="str">
        <f t="shared" si="1025"/>
        <v>Invoice</v>
      </c>
      <c r="L3357" s="83" t="str">
        <f>"SI_109575"</f>
        <v>SI_109575</v>
      </c>
      <c r="M3357" s="84">
        <v>43609</v>
      </c>
      <c r="N3357" s="85">
        <f t="shared" si="1027"/>
        <v>203</v>
      </c>
      <c r="O3357" s="86">
        <f t="shared" si="1028"/>
        <v>17859.48</v>
      </c>
      <c r="P3357" s="86">
        <f t="shared" si="1029"/>
        <v>0</v>
      </c>
      <c r="Q3357" s="86">
        <f t="shared" si="1030"/>
        <v>0</v>
      </c>
      <c r="R3357" s="86">
        <f t="shared" si="1031"/>
        <v>0</v>
      </c>
      <c r="S3357" s="86">
        <f t="shared" si="1032"/>
        <v>0</v>
      </c>
      <c r="T3357" s="86">
        <f t="shared" si="1033"/>
        <v>17859.48</v>
      </c>
      <c r="U3357" s="87">
        <v>17859.48</v>
      </c>
    </row>
    <row r="3358" spans="1:21" s="30" customFormat="1" ht="24.6" hidden="1" outlineLevel="1" x14ac:dyDescent="0.55000000000000004">
      <c r="A3358" s="27" t="s">
        <v>327</v>
      </c>
      <c r="B3358" s="28"/>
      <c r="C3358" s="27"/>
      <c r="D3358" s="27" t="str">
        <f>"""NAV Direct"",""CRONUS JetCorp USA"",""21"",""1"",""309947"""</f>
        <v>"NAV Direct","CRONUS JetCorp USA","21","1","309947"</v>
      </c>
      <c r="E3358" s="31" t="str">
        <f t="shared" si="1026"/>
        <v>C100099</v>
      </c>
      <c r="F3358" s="31"/>
      <c r="G3358" s="31"/>
      <c r="H3358" s="31"/>
      <c r="I3358" s="56"/>
      <c r="J3358" s="56"/>
      <c r="K3358" s="82" t="str">
        <f t="shared" si="1025"/>
        <v>Invoice</v>
      </c>
      <c r="L3358" s="83" t="str">
        <f>"SI_109581"</f>
        <v>SI_109581</v>
      </c>
      <c r="M3358" s="84">
        <v>43648</v>
      </c>
      <c r="N3358" s="85">
        <f t="shared" si="1027"/>
        <v>164</v>
      </c>
      <c r="O3358" s="86">
        <f t="shared" si="1028"/>
        <v>20299.79</v>
      </c>
      <c r="P3358" s="86">
        <f t="shared" si="1029"/>
        <v>0</v>
      </c>
      <c r="Q3358" s="86">
        <f t="shared" si="1030"/>
        <v>0</v>
      </c>
      <c r="R3358" s="86">
        <f t="shared" si="1031"/>
        <v>0</v>
      </c>
      <c r="S3358" s="86">
        <f t="shared" si="1032"/>
        <v>0</v>
      </c>
      <c r="T3358" s="86">
        <f t="shared" si="1033"/>
        <v>20299.79</v>
      </c>
      <c r="U3358" s="87">
        <v>20299.79</v>
      </c>
    </row>
    <row r="3359" spans="1:21" s="30" customFormat="1" ht="24.6" hidden="1" outlineLevel="1" x14ac:dyDescent="0.55000000000000004">
      <c r="A3359" s="27" t="s">
        <v>327</v>
      </c>
      <c r="B3359" s="28"/>
      <c r="C3359" s="27"/>
      <c r="D3359" s="27" t="str">
        <f>"""NAV Direct"",""CRONUS JetCorp USA"",""21"",""1"",""310128"""</f>
        <v>"NAV Direct","CRONUS JetCorp USA","21","1","310128"</v>
      </c>
      <c r="E3359" s="31">
        <f t="shared" si="1026"/>
        <v>0</v>
      </c>
      <c r="F3359" s="31"/>
      <c r="G3359" s="31"/>
      <c r="H3359" s="31"/>
      <c r="I3359" s="56"/>
      <c r="J3359" s="56"/>
      <c r="K3359" s="82" t="str">
        <f t="shared" ref="K3359:K3390" si="1034">"Invoice"</f>
        <v>Invoice</v>
      </c>
      <c r="L3359" s="83" t="str">
        <f>"SI_109588"</f>
        <v>SI_109588</v>
      </c>
      <c r="M3359" s="84">
        <v>43695</v>
      </c>
      <c r="N3359" s="85">
        <f t="shared" si="1027"/>
        <v>117</v>
      </c>
      <c r="O3359" s="86">
        <f t="shared" si="1028"/>
        <v>16217.33</v>
      </c>
      <c r="P3359" s="86">
        <f t="shared" si="1029"/>
        <v>0</v>
      </c>
      <c r="Q3359" s="86">
        <f t="shared" si="1030"/>
        <v>0</v>
      </c>
      <c r="R3359" s="86">
        <f t="shared" si="1031"/>
        <v>0</v>
      </c>
      <c r="S3359" s="86">
        <f t="shared" si="1032"/>
        <v>0</v>
      </c>
      <c r="T3359" s="86">
        <f t="shared" si="1033"/>
        <v>16217.33</v>
      </c>
      <c r="U3359" s="87">
        <v>16217.33</v>
      </c>
    </row>
    <row r="3360" spans="1:21" s="30" customFormat="1" ht="24.6" hidden="1" outlineLevel="1" x14ac:dyDescent="0.55000000000000004">
      <c r="A3360" s="27" t="s">
        <v>327</v>
      </c>
      <c r="B3360" s="28"/>
      <c r="C3360" s="27"/>
      <c r="D3360" s="27" t="str">
        <f>"""NAV Direct"",""CRONUS JetCorp USA"",""21"",""1"",""310153"""</f>
        <v>"NAV Direct","CRONUS JetCorp USA","21","1","310153"</v>
      </c>
      <c r="E3360" s="31" t="str">
        <f t="shared" si="1026"/>
        <v>C100099</v>
      </c>
      <c r="F3360" s="31"/>
      <c r="G3360" s="31"/>
      <c r="H3360" s="31"/>
      <c r="I3360" s="56"/>
      <c r="J3360" s="56"/>
      <c r="K3360" s="82" t="str">
        <f t="shared" si="1034"/>
        <v>Invoice</v>
      </c>
      <c r="L3360" s="83" t="str">
        <f>"SI_109589"</f>
        <v>SI_109589</v>
      </c>
      <c r="M3360" s="84">
        <v>43697</v>
      </c>
      <c r="N3360" s="85">
        <f t="shared" si="1027"/>
        <v>115</v>
      </c>
      <c r="O3360" s="86">
        <f t="shared" si="1028"/>
        <v>16216.769999999999</v>
      </c>
      <c r="P3360" s="86">
        <f t="shared" si="1029"/>
        <v>0</v>
      </c>
      <c r="Q3360" s="86">
        <f t="shared" si="1030"/>
        <v>0</v>
      </c>
      <c r="R3360" s="86">
        <f t="shared" si="1031"/>
        <v>0</v>
      </c>
      <c r="S3360" s="86">
        <f t="shared" si="1032"/>
        <v>0</v>
      </c>
      <c r="T3360" s="86">
        <f t="shared" si="1033"/>
        <v>16216.769999999999</v>
      </c>
      <c r="U3360" s="87">
        <v>16216.769999999999</v>
      </c>
    </row>
    <row r="3361" spans="1:21" s="30" customFormat="1" ht="24.6" hidden="1" outlineLevel="1" x14ac:dyDescent="0.55000000000000004">
      <c r="A3361" s="27" t="s">
        <v>327</v>
      </c>
      <c r="B3361" s="28"/>
      <c r="C3361" s="27"/>
      <c r="D3361" s="27" t="str">
        <f>"""NAV Direct"",""CRONUS JetCorp USA"",""21"",""1"",""310199"""</f>
        <v>"NAV Direct","CRONUS JetCorp USA","21","1","310199"</v>
      </c>
      <c r="E3361" s="31">
        <f t="shared" si="1026"/>
        <v>0</v>
      </c>
      <c r="F3361" s="31"/>
      <c r="G3361" s="31"/>
      <c r="H3361" s="31"/>
      <c r="I3361" s="56"/>
      <c r="J3361" s="56"/>
      <c r="K3361" s="82" t="str">
        <f t="shared" si="1034"/>
        <v>Invoice</v>
      </c>
      <c r="L3361" s="83" t="str">
        <f>"SI_109591"</f>
        <v>SI_109591</v>
      </c>
      <c r="M3361" s="84">
        <v>43706</v>
      </c>
      <c r="N3361" s="85">
        <f t="shared" si="1027"/>
        <v>106</v>
      </c>
      <c r="O3361" s="86">
        <f t="shared" si="1028"/>
        <v>16216.439999999999</v>
      </c>
      <c r="P3361" s="86">
        <f t="shared" si="1029"/>
        <v>0</v>
      </c>
      <c r="Q3361" s="86">
        <f t="shared" si="1030"/>
        <v>0</v>
      </c>
      <c r="R3361" s="86">
        <f t="shared" si="1031"/>
        <v>0</v>
      </c>
      <c r="S3361" s="86">
        <f t="shared" si="1032"/>
        <v>0</v>
      </c>
      <c r="T3361" s="86">
        <f t="shared" si="1033"/>
        <v>16216.439999999999</v>
      </c>
      <c r="U3361" s="87">
        <v>16216.439999999999</v>
      </c>
    </row>
    <row r="3362" spans="1:21" s="30" customFormat="1" ht="24.6" hidden="1" outlineLevel="1" x14ac:dyDescent="0.55000000000000004">
      <c r="A3362" s="27" t="s">
        <v>327</v>
      </c>
      <c r="B3362" s="28"/>
      <c r="C3362" s="27"/>
      <c r="D3362" s="27" t="str">
        <f>"""NAV Direct"",""CRONUS JetCorp USA"",""21"",""1"",""310280"""</f>
        <v>"NAV Direct","CRONUS JetCorp USA","21","1","310280"</v>
      </c>
      <c r="E3362" s="31" t="str">
        <f t="shared" si="1026"/>
        <v>C100099</v>
      </c>
      <c r="F3362" s="31"/>
      <c r="G3362" s="31"/>
      <c r="H3362" s="31"/>
      <c r="I3362" s="56"/>
      <c r="J3362" s="56"/>
      <c r="K3362" s="82" t="str">
        <f t="shared" si="1034"/>
        <v>Invoice</v>
      </c>
      <c r="L3362" s="83" t="str">
        <f>"SI_109594"</f>
        <v>SI_109594</v>
      </c>
      <c r="M3362" s="84">
        <v>43732</v>
      </c>
      <c r="N3362" s="85">
        <f t="shared" si="1027"/>
        <v>80</v>
      </c>
      <c r="O3362" s="86">
        <f t="shared" si="1028"/>
        <v>15850.98</v>
      </c>
      <c r="P3362" s="86">
        <f t="shared" si="1029"/>
        <v>0</v>
      </c>
      <c r="Q3362" s="86">
        <f t="shared" si="1030"/>
        <v>0</v>
      </c>
      <c r="R3362" s="86">
        <f t="shared" si="1031"/>
        <v>0</v>
      </c>
      <c r="S3362" s="86">
        <f t="shared" si="1032"/>
        <v>15850.98</v>
      </c>
      <c r="T3362" s="86">
        <f t="shared" si="1033"/>
        <v>0</v>
      </c>
      <c r="U3362" s="87">
        <v>15850.98</v>
      </c>
    </row>
    <row r="3363" spans="1:21" s="30" customFormat="1" ht="24.6" hidden="1" outlineLevel="1" x14ac:dyDescent="0.55000000000000004">
      <c r="A3363" s="27" t="s">
        <v>327</v>
      </c>
      <c r="B3363" s="28"/>
      <c r="C3363" s="27"/>
      <c r="D3363" s="27" t="str">
        <f>"""NAV Direct"",""CRONUS JetCorp USA"",""21"",""1"",""310430"""</f>
        <v>"NAV Direct","CRONUS JetCorp USA","21","1","310430"</v>
      </c>
      <c r="E3363" s="31">
        <f t="shared" si="1026"/>
        <v>0</v>
      </c>
      <c r="F3363" s="31"/>
      <c r="G3363" s="31"/>
      <c r="H3363" s="31"/>
      <c r="I3363" s="56"/>
      <c r="J3363" s="56"/>
      <c r="K3363" s="82" t="str">
        <f t="shared" si="1034"/>
        <v>Invoice</v>
      </c>
      <c r="L3363" s="83" t="str">
        <f>"SI_109600"</f>
        <v>SI_109600</v>
      </c>
      <c r="M3363" s="84">
        <v>43759</v>
      </c>
      <c r="N3363" s="85">
        <f t="shared" si="1027"/>
        <v>53</v>
      </c>
      <c r="O3363" s="86">
        <f t="shared" si="1028"/>
        <v>16651.36</v>
      </c>
      <c r="P3363" s="86">
        <f t="shared" si="1029"/>
        <v>0</v>
      </c>
      <c r="Q3363" s="86">
        <f t="shared" si="1030"/>
        <v>0</v>
      </c>
      <c r="R3363" s="86">
        <f t="shared" si="1031"/>
        <v>16651.36</v>
      </c>
      <c r="S3363" s="86">
        <f t="shared" si="1032"/>
        <v>0</v>
      </c>
      <c r="T3363" s="86">
        <f t="shared" si="1033"/>
        <v>0</v>
      </c>
      <c r="U3363" s="87">
        <v>16651.36</v>
      </c>
    </row>
    <row r="3364" spans="1:21" s="30" customFormat="1" ht="24.6" hidden="1" outlineLevel="1" x14ac:dyDescent="0.55000000000000004">
      <c r="A3364" s="27" t="s">
        <v>327</v>
      </c>
      <c r="B3364" s="28"/>
      <c r="C3364" s="27"/>
      <c r="D3364" s="27" t="str">
        <f>"""NAV Direct"",""CRONUS JetCorp USA"",""21"",""1"",""310683"""</f>
        <v>"NAV Direct","CRONUS JetCorp USA","21","1","310683"</v>
      </c>
      <c r="E3364" s="31" t="str">
        <f t="shared" si="1026"/>
        <v>C100099</v>
      </c>
      <c r="F3364" s="31"/>
      <c r="G3364" s="31"/>
      <c r="H3364" s="31"/>
      <c r="I3364" s="56"/>
      <c r="J3364" s="56"/>
      <c r="K3364" s="82" t="str">
        <f t="shared" si="1034"/>
        <v>Invoice</v>
      </c>
      <c r="L3364" s="83" t="str">
        <f>"SI_109609"</f>
        <v>SI_109609</v>
      </c>
      <c r="M3364" s="84">
        <v>43797</v>
      </c>
      <c r="N3364" s="85">
        <f t="shared" si="1027"/>
        <v>15</v>
      </c>
      <c r="O3364" s="86">
        <f t="shared" si="1028"/>
        <v>16544.350000000002</v>
      </c>
      <c r="P3364" s="86">
        <f t="shared" si="1029"/>
        <v>0</v>
      </c>
      <c r="Q3364" s="86">
        <f t="shared" si="1030"/>
        <v>16544.350000000002</v>
      </c>
      <c r="R3364" s="86">
        <f t="shared" si="1031"/>
        <v>0</v>
      </c>
      <c r="S3364" s="86">
        <f t="shared" si="1032"/>
        <v>0</v>
      </c>
      <c r="T3364" s="86">
        <f t="shared" si="1033"/>
        <v>0</v>
      </c>
      <c r="U3364" s="87">
        <v>16544.350000000002</v>
      </c>
    </row>
    <row r="3365" spans="1:21" s="30" customFormat="1" ht="24.6" hidden="1" outlineLevel="1" x14ac:dyDescent="0.55000000000000004">
      <c r="A3365" s="27" t="s">
        <v>327</v>
      </c>
      <c r="B3365" s="28"/>
      <c r="C3365" s="27"/>
      <c r="D3365" s="27" t="str">
        <f>"""NAV Direct"",""CRONUS JetCorp USA"",""21"",""1"",""310913"""</f>
        <v>"NAV Direct","CRONUS JetCorp USA","21","1","310913"</v>
      </c>
      <c r="E3365" s="31">
        <f t="shared" si="1026"/>
        <v>0</v>
      </c>
      <c r="F3365" s="31"/>
      <c r="G3365" s="31"/>
      <c r="H3365" s="31"/>
      <c r="I3365" s="56"/>
      <c r="J3365" s="56"/>
      <c r="K3365" s="82" t="str">
        <f t="shared" si="1034"/>
        <v>Invoice</v>
      </c>
      <c r="L3365" s="83" t="str">
        <f>"SI_109617"</f>
        <v>SI_109617</v>
      </c>
      <c r="M3365" s="84">
        <v>42005</v>
      </c>
      <c r="N3365" s="85">
        <f t="shared" si="1027"/>
        <v>1807</v>
      </c>
      <c r="O3365" s="86">
        <f t="shared" si="1028"/>
        <v>16666.89</v>
      </c>
      <c r="P3365" s="86">
        <f t="shared" si="1029"/>
        <v>0</v>
      </c>
      <c r="Q3365" s="86">
        <f t="shared" si="1030"/>
        <v>0</v>
      </c>
      <c r="R3365" s="86">
        <f t="shared" si="1031"/>
        <v>0</v>
      </c>
      <c r="S3365" s="86">
        <f t="shared" si="1032"/>
        <v>0</v>
      </c>
      <c r="T3365" s="86">
        <f t="shared" si="1033"/>
        <v>16666.89</v>
      </c>
      <c r="U3365" s="87">
        <v>16666.89</v>
      </c>
    </row>
    <row r="3366" spans="1:21" s="30" customFormat="1" ht="24.6" hidden="1" outlineLevel="1" x14ac:dyDescent="0.55000000000000004">
      <c r="A3366" s="27" t="s">
        <v>327</v>
      </c>
      <c r="B3366" s="28"/>
      <c r="C3366" s="27"/>
      <c r="D3366" s="27" t="str">
        <f>"""NAV Direct"",""CRONUS JetCorp USA"",""21"",""1"",""310944"""</f>
        <v>"NAV Direct","CRONUS JetCorp USA","21","1","310944"</v>
      </c>
      <c r="E3366" s="31" t="str">
        <f t="shared" si="1026"/>
        <v>C100099</v>
      </c>
      <c r="F3366" s="31"/>
      <c r="G3366" s="31"/>
      <c r="H3366" s="31"/>
      <c r="I3366" s="56"/>
      <c r="J3366" s="56"/>
      <c r="K3366" s="82" t="str">
        <f t="shared" si="1034"/>
        <v>Invoice</v>
      </c>
      <c r="L3366" s="83" t="str">
        <f>"SI_109618"</f>
        <v>SI_109618</v>
      </c>
      <c r="M3366" s="84">
        <v>43829</v>
      </c>
      <c r="N3366" s="85">
        <f t="shared" si="1027"/>
        <v>-17</v>
      </c>
      <c r="O3366" s="86">
        <f t="shared" si="1028"/>
        <v>16839.739999999998</v>
      </c>
      <c r="P3366" s="86">
        <f t="shared" si="1029"/>
        <v>16839.739999999998</v>
      </c>
      <c r="Q3366" s="86">
        <f t="shared" si="1030"/>
        <v>0</v>
      </c>
      <c r="R3366" s="86">
        <f t="shared" si="1031"/>
        <v>0</v>
      </c>
      <c r="S3366" s="86">
        <f t="shared" si="1032"/>
        <v>0</v>
      </c>
      <c r="T3366" s="86">
        <f t="shared" si="1033"/>
        <v>0</v>
      </c>
      <c r="U3366" s="87">
        <v>16839.739999999998</v>
      </c>
    </row>
    <row r="3367" spans="1:21" s="30" customFormat="1" ht="24.6" hidden="1" outlineLevel="1" x14ac:dyDescent="0.55000000000000004">
      <c r="A3367" s="27" t="s">
        <v>327</v>
      </c>
      <c r="B3367" s="28"/>
      <c r="C3367" s="27"/>
      <c r="D3367" s="27" t="str">
        <f>"""NAV Direct"",""CRONUS JetCorp USA"",""21"",""1"",""310967"""</f>
        <v>"NAV Direct","CRONUS JetCorp USA","21","1","310967"</v>
      </c>
      <c r="E3367" s="31">
        <f t="shared" si="1026"/>
        <v>0</v>
      </c>
      <c r="F3367" s="31"/>
      <c r="G3367" s="31"/>
      <c r="H3367" s="31"/>
      <c r="I3367" s="56"/>
      <c r="J3367" s="56"/>
      <c r="K3367" s="82" t="str">
        <f t="shared" si="1034"/>
        <v>Invoice</v>
      </c>
      <c r="L3367" s="83" t="str">
        <f>"SI_109619"</f>
        <v>SI_109619</v>
      </c>
      <c r="M3367" s="84">
        <v>42005</v>
      </c>
      <c r="N3367" s="85">
        <f t="shared" si="1027"/>
        <v>1807</v>
      </c>
      <c r="O3367" s="86">
        <f t="shared" si="1028"/>
        <v>15807.050000000001</v>
      </c>
      <c r="P3367" s="86">
        <f t="shared" si="1029"/>
        <v>0</v>
      </c>
      <c r="Q3367" s="86">
        <f t="shared" si="1030"/>
        <v>0</v>
      </c>
      <c r="R3367" s="86">
        <f t="shared" si="1031"/>
        <v>0</v>
      </c>
      <c r="S3367" s="86">
        <f t="shared" si="1032"/>
        <v>0</v>
      </c>
      <c r="T3367" s="86">
        <f t="shared" si="1033"/>
        <v>15807.050000000001</v>
      </c>
      <c r="U3367" s="87">
        <v>15807.050000000001</v>
      </c>
    </row>
    <row r="3368" spans="1:21" s="30" customFormat="1" ht="24.6" hidden="1" outlineLevel="1" x14ac:dyDescent="0.55000000000000004">
      <c r="A3368" s="27" t="s">
        <v>327</v>
      </c>
      <c r="B3368" s="28"/>
      <c r="C3368" s="27"/>
      <c r="D3368" s="27" t="str">
        <f>"""NAV Direct"",""CRONUS JetCorp USA"",""21"",""1"",""311050"""</f>
        <v>"NAV Direct","CRONUS JetCorp USA","21","1","311050"</v>
      </c>
      <c r="E3368" s="31" t="str">
        <f t="shared" si="1026"/>
        <v>C100099</v>
      </c>
      <c r="F3368" s="31"/>
      <c r="G3368" s="31"/>
      <c r="H3368" s="31"/>
      <c r="I3368" s="56"/>
      <c r="J3368" s="56"/>
      <c r="K3368" s="82" t="str">
        <f t="shared" si="1034"/>
        <v>Invoice</v>
      </c>
      <c r="L3368" s="83" t="str">
        <f>"SI_109622"</f>
        <v>SI_109622</v>
      </c>
      <c r="M3368" s="84">
        <v>42027</v>
      </c>
      <c r="N3368" s="85">
        <f t="shared" si="1027"/>
        <v>1785</v>
      </c>
      <c r="O3368" s="86">
        <f t="shared" si="1028"/>
        <v>16709.849999999999</v>
      </c>
      <c r="P3368" s="86">
        <f t="shared" si="1029"/>
        <v>0</v>
      </c>
      <c r="Q3368" s="86">
        <f t="shared" si="1030"/>
        <v>0</v>
      </c>
      <c r="R3368" s="86">
        <f t="shared" si="1031"/>
        <v>0</v>
      </c>
      <c r="S3368" s="86">
        <f t="shared" si="1032"/>
        <v>0</v>
      </c>
      <c r="T3368" s="86">
        <f t="shared" si="1033"/>
        <v>16709.849999999999</v>
      </c>
      <c r="U3368" s="87">
        <v>16709.849999999999</v>
      </c>
    </row>
    <row r="3369" spans="1:21" s="30" customFormat="1" ht="24.6" hidden="1" outlineLevel="1" x14ac:dyDescent="0.55000000000000004">
      <c r="A3369" s="27" t="s">
        <v>327</v>
      </c>
      <c r="B3369" s="28"/>
      <c r="C3369" s="27"/>
      <c r="D3369" s="27" t="str">
        <f>"""NAV Direct"",""CRONUS JetCorp USA"",""21"",""1"",""311102"""</f>
        <v>"NAV Direct","CRONUS JetCorp USA","21","1","311102"</v>
      </c>
      <c r="E3369" s="31">
        <f t="shared" si="1026"/>
        <v>0</v>
      </c>
      <c r="F3369" s="31"/>
      <c r="G3369" s="31"/>
      <c r="H3369" s="31"/>
      <c r="I3369" s="56"/>
      <c r="J3369" s="56"/>
      <c r="K3369" s="82" t="str">
        <f t="shared" si="1034"/>
        <v>Invoice</v>
      </c>
      <c r="L3369" s="83" t="str">
        <f>"SI_109624"</f>
        <v>SI_109624</v>
      </c>
      <c r="M3369" s="84">
        <v>42029</v>
      </c>
      <c r="N3369" s="85">
        <f t="shared" si="1027"/>
        <v>1783</v>
      </c>
      <c r="O3369" s="86">
        <f t="shared" si="1028"/>
        <v>16884.599999999999</v>
      </c>
      <c r="P3369" s="86">
        <f t="shared" si="1029"/>
        <v>0</v>
      </c>
      <c r="Q3369" s="86">
        <f t="shared" si="1030"/>
        <v>0</v>
      </c>
      <c r="R3369" s="86">
        <f t="shared" si="1031"/>
        <v>0</v>
      </c>
      <c r="S3369" s="86">
        <f t="shared" si="1032"/>
        <v>0</v>
      </c>
      <c r="T3369" s="86">
        <f t="shared" si="1033"/>
        <v>16884.599999999999</v>
      </c>
      <c r="U3369" s="87">
        <v>16884.599999999999</v>
      </c>
    </row>
    <row r="3370" spans="1:21" s="30" customFormat="1" ht="24.6" hidden="1" outlineLevel="1" x14ac:dyDescent="0.55000000000000004">
      <c r="A3370" s="27" t="s">
        <v>327</v>
      </c>
      <c r="B3370" s="28"/>
      <c r="C3370" s="27"/>
      <c r="D3370" s="27" t="str">
        <f>"""NAV Direct"",""CRONUS JetCorp USA"",""21"",""1"",""311154"""</f>
        <v>"NAV Direct","CRONUS JetCorp USA","21","1","311154"</v>
      </c>
      <c r="E3370" s="31" t="str">
        <f t="shared" si="1026"/>
        <v>C100099</v>
      </c>
      <c r="F3370" s="31"/>
      <c r="G3370" s="31"/>
      <c r="H3370" s="31"/>
      <c r="I3370" s="56"/>
      <c r="J3370" s="56"/>
      <c r="K3370" s="82" t="str">
        <f t="shared" si="1034"/>
        <v>Invoice</v>
      </c>
      <c r="L3370" s="83" t="str">
        <f>"SI_109626"</f>
        <v>SI_109626</v>
      </c>
      <c r="M3370" s="84">
        <v>42056</v>
      </c>
      <c r="N3370" s="85">
        <f t="shared" si="1027"/>
        <v>1756</v>
      </c>
      <c r="O3370" s="86">
        <f t="shared" si="1028"/>
        <v>16366.58</v>
      </c>
      <c r="P3370" s="86">
        <f t="shared" si="1029"/>
        <v>0</v>
      </c>
      <c r="Q3370" s="86">
        <f t="shared" si="1030"/>
        <v>0</v>
      </c>
      <c r="R3370" s="86">
        <f t="shared" si="1031"/>
        <v>0</v>
      </c>
      <c r="S3370" s="86">
        <f t="shared" si="1032"/>
        <v>0</v>
      </c>
      <c r="T3370" s="86">
        <f t="shared" si="1033"/>
        <v>16366.58</v>
      </c>
      <c r="U3370" s="87">
        <v>16366.58</v>
      </c>
    </row>
    <row r="3371" spans="1:21" s="30" customFormat="1" ht="24.6" hidden="1" outlineLevel="1" x14ac:dyDescent="0.55000000000000004">
      <c r="A3371" s="27" t="s">
        <v>327</v>
      </c>
      <c r="B3371" s="28"/>
      <c r="C3371" s="27"/>
      <c r="D3371" s="27" t="str">
        <f>"""NAV Direct"",""CRONUS JetCorp USA"",""21"",""1"",""311183"""</f>
        <v>"NAV Direct","CRONUS JetCorp USA","21","1","311183"</v>
      </c>
      <c r="E3371" s="31">
        <f t="shared" si="1026"/>
        <v>0</v>
      </c>
      <c r="F3371" s="31"/>
      <c r="G3371" s="31"/>
      <c r="H3371" s="31"/>
      <c r="I3371" s="56"/>
      <c r="J3371" s="56"/>
      <c r="K3371" s="82" t="str">
        <f t="shared" si="1034"/>
        <v>Invoice</v>
      </c>
      <c r="L3371" s="83" t="str">
        <f>"SI_109627"</f>
        <v>SI_109627</v>
      </c>
      <c r="M3371" s="84">
        <v>42056</v>
      </c>
      <c r="N3371" s="85">
        <f t="shared" si="1027"/>
        <v>1756</v>
      </c>
      <c r="O3371" s="86">
        <f t="shared" si="1028"/>
        <v>17077.579999999998</v>
      </c>
      <c r="P3371" s="86">
        <f t="shared" si="1029"/>
        <v>0</v>
      </c>
      <c r="Q3371" s="86">
        <f t="shared" si="1030"/>
        <v>0</v>
      </c>
      <c r="R3371" s="86">
        <f t="shared" si="1031"/>
        <v>0</v>
      </c>
      <c r="S3371" s="86">
        <f t="shared" si="1032"/>
        <v>0</v>
      </c>
      <c r="T3371" s="86">
        <f t="shared" si="1033"/>
        <v>17077.579999999998</v>
      </c>
      <c r="U3371" s="87">
        <v>17077.579999999998</v>
      </c>
    </row>
    <row r="3372" spans="1:21" s="30" customFormat="1" ht="24.6" hidden="1" outlineLevel="1" x14ac:dyDescent="0.55000000000000004">
      <c r="A3372" s="27" t="s">
        <v>327</v>
      </c>
      <c r="B3372" s="28"/>
      <c r="C3372" s="27"/>
      <c r="D3372" s="27" t="str">
        <f>"""NAV Direct"",""CRONUS JetCorp USA"",""21"",""1"",""311208"""</f>
        <v>"NAV Direct","CRONUS JetCorp USA","21","1","311208"</v>
      </c>
      <c r="E3372" s="31" t="str">
        <f t="shared" si="1026"/>
        <v>C100099</v>
      </c>
      <c r="F3372" s="31"/>
      <c r="G3372" s="31"/>
      <c r="H3372" s="31"/>
      <c r="I3372" s="56"/>
      <c r="J3372" s="56"/>
      <c r="K3372" s="82" t="str">
        <f t="shared" si="1034"/>
        <v>Invoice</v>
      </c>
      <c r="L3372" s="83" t="str">
        <f>"SI_109628"</f>
        <v>SI_109628</v>
      </c>
      <c r="M3372" s="84">
        <v>42063</v>
      </c>
      <c r="N3372" s="85">
        <f t="shared" si="1027"/>
        <v>1749</v>
      </c>
      <c r="O3372" s="86">
        <f t="shared" si="1028"/>
        <v>16366.050000000001</v>
      </c>
      <c r="P3372" s="86">
        <f t="shared" si="1029"/>
        <v>0</v>
      </c>
      <c r="Q3372" s="86">
        <f t="shared" si="1030"/>
        <v>0</v>
      </c>
      <c r="R3372" s="86">
        <f t="shared" si="1031"/>
        <v>0</v>
      </c>
      <c r="S3372" s="86">
        <f t="shared" si="1032"/>
        <v>0</v>
      </c>
      <c r="T3372" s="86">
        <f t="shared" si="1033"/>
        <v>16366.050000000001</v>
      </c>
      <c r="U3372" s="87">
        <v>16366.050000000001</v>
      </c>
    </row>
    <row r="3373" spans="1:21" s="30" customFormat="1" ht="24.6" hidden="1" outlineLevel="1" x14ac:dyDescent="0.55000000000000004">
      <c r="A3373" s="27" t="s">
        <v>327</v>
      </c>
      <c r="B3373" s="28"/>
      <c r="C3373" s="27"/>
      <c r="D3373" s="27" t="str">
        <f>"""NAV Direct"",""CRONUS JetCorp USA"",""21"",""1"",""311237"""</f>
        <v>"NAV Direct","CRONUS JetCorp USA","21","1","311237"</v>
      </c>
      <c r="E3373" s="31">
        <f t="shared" si="1026"/>
        <v>0</v>
      </c>
      <c r="F3373" s="31"/>
      <c r="G3373" s="31"/>
      <c r="H3373" s="31"/>
      <c r="I3373" s="56"/>
      <c r="J3373" s="56"/>
      <c r="K3373" s="82" t="str">
        <f t="shared" si="1034"/>
        <v>Invoice</v>
      </c>
      <c r="L3373" s="83" t="str">
        <f>"SI_109629"</f>
        <v>SI_109629</v>
      </c>
      <c r="M3373" s="84">
        <v>42066</v>
      </c>
      <c r="N3373" s="85">
        <f t="shared" si="1027"/>
        <v>1746</v>
      </c>
      <c r="O3373" s="86">
        <f t="shared" si="1028"/>
        <v>17433.650000000001</v>
      </c>
      <c r="P3373" s="86">
        <f t="shared" si="1029"/>
        <v>0</v>
      </c>
      <c r="Q3373" s="86">
        <f t="shared" si="1030"/>
        <v>0</v>
      </c>
      <c r="R3373" s="86">
        <f t="shared" si="1031"/>
        <v>0</v>
      </c>
      <c r="S3373" s="86">
        <f t="shared" si="1032"/>
        <v>0</v>
      </c>
      <c r="T3373" s="86">
        <f t="shared" si="1033"/>
        <v>17433.650000000001</v>
      </c>
      <c r="U3373" s="87">
        <v>17433.650000000001</v>
      </c>
    </row>
    <row r="3374" spans="1:21" s="30" customFormat="1" ht="24.6" hidden="1" outlineLevel="1" x14ac:dyDescent="0.55000000000000004">
      <c r="A3374" s="27" t="s">
        <v>327</v>
      </c>
      <c r="B3374" s="28"/>
      <c r="C3374" s="27"/>
      <c r="D3374" s="27" t="str">
        <f>"""NAV Direct"",""CRONUS JetCorp USA"",""21"",""1"",""311268"""</f>
        <v>"NAV Direct","CRONUS JetCorp USA","21","1","311268"</v>
      </c>
      <c r="E3374" s="31" t="str">
        <f t="shared" si="1026"/>
        <v>C100099</v>
      </c>
      <c r="F3374" s="31"/>
      <c r="G3374" s="31"/>
      <c r="H3374" s="31"/>
      <c r="I3374" s="56"/>
      <c r="J3374" s="56"/>
      <c r="K3374" s="82" t="str">
        <f t="shared" si="1034"/>
        <v>Invoice</v>
      </c>
      <c r="L3374" s="83" t="str">
        <f>"SI_109630"</f>
        <v>SI_109630</v>
      </c>
      <c r="M3374" s="84">
        <v>42066</v>
      </c>
      <c r="N3374" s="85">
        <f t="shared" si="1027"/>
        <v>1746</v>
      </c>
      <c r="O3374" s="86">
        <f t="shared" si="1028"/>
        <v>16900.27</v>
      </c>
      <c r="P3374" s="86">
        <f t="shared" si="1029"/>
        <v>0</v>
      </c>
      <c r="Q3374" s="86">
        <f t="shared" si="1030"/>
        <v>0</v>
      </c>
      <c r="R3374" s="86">
        <f t="shared" si="1031"/>
        <v>0</v>
      </c>
      <c r="S3374" s="86">
        <f t="shared" si="1032"/>
        <v>0</v>
      </c>
      <c r="T3374" s="86">
        <f t="shared" si="1033"/>
        <v>16900.27</v>
      </c>
      <c r="U3374" s="87">
        <v>16900.27</v>
      </c>
    </row>
    <row r="3375" spans="1:21" s="30" customFormat="1" ht="24.6" hidden="1" outlineLevel="1" x14ac:dyDescent="0.55000000000000004">
      <c r="A3375" s="27" t="s">
        <v>327</v>
      </c>
      <c r="B3375" s="28"/>
      <c r="C3375" s="27"/>
      <c r="D3375" s="27" t="str">
        <f>"""NAV Direct"",""CRONUS JetCorp USA"",""21"",""1"",""311291"""</f>
        <v>"NAV Direct","CRONUS JetCorp USA","21","1","311291"</v>
      </c>
      <c r="E3375" s="31">
        <f t="shared" si="1026"/>
        <v>0</v>
      </c>
      <c r="F3375" s="31"/>
      <c r="G3375" s="31"/>
      <c r="H3375" s="31"/>
      <c r="I3375" s="56"/>
      <c r="J3375" s="56"/>
      <c r="K3375" s="82" t="str">
        <f t="shared" si="1034"/>
        <v>Invoice</v>
      </c>
      <c r="L3375" s="83" t="str">
        <f>"SI_109631"</f>
        <v>SI_109631</v>
      </c>
      <c r="M3375" s="84">
        <v>42083</v>
      </c>
      <c r="N3375" s="85">
        <f t="shared" si="1027"/>
        <v>1729</v>
      </c>
      <c r="O3375" s="86">
        <f t="shared" si="1028"/>
        <v>17077.36</v>
      </c>
      <c r="P3375" s="86">
        <f t="shared" si="1029"/>
        <v>0</v>
      </c>
      <c r="Q3375" s="86">
        <f t="shared" si="1030"/>
        <v>0</v>
      </c>
      <c r="R3375" s="86">
        <f t="shared" si="1031"/>
        <v>0</v>
      </c>
      <c r="S3375" s="86">
        <f t="shared" si="1032"/>
        <v>0</v>
      </c>
      <c r="T3375" s="86">
        <f t="shared" si="1033"/>
        <v>17077.36</v>
      </c>
      <c r="U3375" s="87">
        <v>17077.36</v>
      </c>
    </row>
    <row r="3376" spans="1:21" s="30" customFormat="1" ht="24.6" hidden="1" outlineLevel="1" x14ac:dyDescent="0.55000000000000004">
      <c r="A3376" s="27" t="s">
        <v>327</v>
      </c>
      <c r="B3376" s="28"/>
      <c r="C3376" s="27"/>
      <c r="D3376" s="27" t="str">
        <f>"""NAV Direct"",""CRONUS JetCorp USA"",""21"",""1"",""311320"""</f>
        <v>"NAV Direct","CRONUS JetCorp USA","21","1","311320"</v>
      </c>
      <c r="E3376" s="31" t="str">
        <f t="shared" si="1026"/>
        <v>C100099</v>
      </c>
      <c r="F3376" s="31"/>
      <c r="G3376" s="31"/>
      <c r="H3376" s="31"/>
      <c r="I3376" s="56"/>
      <c r="J3376" s="56"/>
      <c r="K3376" s="82" t="str">
        <f t="shared" si="1034"/>
        <v>Invoice</v>
      </c>
      <c r="L3376" s="83" t="str">
        <f>"SI_109632"</f>
        <v>SI_109632</v>
      </c>
      <c r="M3376" s="84">
        <v>42084</v>
      </c>
      <c r="N3376" s="85">
        <f t="shared" si="1027"/>
        <v>1728</v>
      </c>
      <c r="O3376" s="86">
        <f t="shared" si="1028"/>
        <v>16899.670000000002</v>
      </c>
      <c r="P3376" s="86">
        <f t="shared" si="1029"/>
        <v>0</v>
      </c>
      <c r="Q3376" s="86">
        <f t="shared" si="1030"/>
        <v>0</v>
      </c>
      <c r="R3376" s="86">
        <f t="shared" si="1031"/>
        <v>0</v>
      </c>
      <c r="S3376" s="86">
        <f t="shared" si="1032"/>
        <v>0</v>
      </c>
      <c r="T3376" s="86">
        <f t="shared" si="1033"/>
        <v>16899.670000000002</v>
      </c>
      <c r="U3376" s="87">
        <v>16899.670000000002</v>
      </c>
    </row>
    <row r="3377" spans="1:21" s="30" customFormat="1" ht="24.6" hidden="1" outlineLevel="1" x14ac:dyDescent="0.55000000000000004">
      <c r="A3377" s="27" t="s">
        <v>327</v>
      </c>
      <c r="B3377" s="28"/>
      <c r="C3377" s="27"/>
      <c r="D3377" s="27" t="str">
        <f>"""NAV Direct"",""CRONUS JetCorp USA"",""21"",""1"",""311455"""</f>
        <v>"NAV Direct","CRONUS JetCorp USA","21","1","311455"</v>
      </c>
      <c r="E3377" s="31">
        <f t="shared" si="1026"/>
        <v>0</v>
      </c>
      <c r="F3377" s="31"/>
      <c r="G3377" s="31"/>
      <c r="H3377" s="31"/>
      <c r="I3377" s="56"/>
      <c r="J3377" s="56"/>
      <c r="K3377" s="82" t="str">
        <f t="shared" si="1034"/>
        <v>Invoice</v>
      </c>
      <c r="L3377" s="83" t="str">
        <f>"SI_109637"</f>
        <v>SI_109637</v>
      </c>
      <c r="M3377" s="84">
        <v>42093</v>
      </c>
      <c r="N3377" s="85">
        <f t="shared" si="1027"/>
        <v>1719</v>
      </c>
      <c r="O3377" s="86">
        <f t="shared" si="1028"/>
        <v>16542.940000000002</v>
      </c>
      <c r="P3377" s="86">
        <f t="shared" si="1029"/>
        <v>0</v>
      </c>
      <c r="Q3377" s="86">
        <f t="shared" si="1030"/>
        <v>0</v>
      </c>
      <c r="R3377" s="86">
        <f t="shared" si="1031"/>
        <v>0</v>
      </c>
      <c r="S3377" s="86">
        <f t="shared" si="1032"/>
        <v>0</v>
      </c>
      <c r="T3377" s="86">
        <f t="shared" si="1033"/>
        <v>16542.940000000002</v>
      </c>
      <c r="U3377" s="87">
        <v>16542.940000000002</v>
      </c>
    </row>
    <row r="3378" spans="1:21" s="30" customFormat="1" ht="24.6" hidden="1" outlineLevel="1" x14ac:dyDescent="0.55000000000000004">
      <c r="A3378" s="27" t="s">
        <v>327</v>
      </c>
      <c r="B3378" s="28"/>
      <c r="C3378" s="27"/>
      <c r="D3378" s="27" t="str">
        <f>"""NAV Direct"",""CRONUS JetCorp USA"",""21"",""1"",""311478"""</f>
        <v>"NAV Direct","CRONUS JetCorp USA","21","1","311478"</v>
      </c>
      <c r="E3378" s="31" t="str">
        <f t="shared" ref="E3378:E3409" si="1035">E3376</f>
        <v>C100099</v>
      </c>
      <c r="F3378" s="31"/>
      <c r="G3378" s="31"/>
      <c r="H3378" s="31"/>
      <c r="I3378" s="56"/>
      <c r="J3378" s="56"/>
      <c r="K3378" s="82" t="str">
        <f t="shared" si="1034"/>
        <v>Invoice</v>
      </c>
      <c r="L3378" s="83" t="str">
        <f>"SI_109638"</f>
        <v>SI_109638</v>
      </c>
      <c r="M3378" s="84">
        <v>42092</v>
      </c>
      <c r="N3378" s="85">
        <f t="shared" ref="N3378:N3409" si="1036">StartDate-$M3378+1</f>
        <v>1720</v>
      </c>
      <c r="O3378" s="86">
        <f t="shared" ref="O3378:O3409" si="1037">SUM(P3378:T3378)</f>
        <v>16721.57</v>
      </c>
      <c r="P3378" s="86">
        <f t="shared" ref="P3378:P3409" si="1038">IF($M3378&gt;=$P$18,U3378,0)</f>
        <v>0</v>
      </c>
      <c r="Q3378" s="86">
        <f t="shared" ref="Q3378:Q3409" si="1039">IF(AND($M3378&gt;=$Q$16,$M3378&lt;=$Q$18),U3378,0)</f>
        <v>0</v>
      </c>
      <c r="R3378" s="86">
        <f t="shared" ref="R3378:R3409" si="1040">IF(AND($M3378&gt;=$R$16,$M3378&lt;=$R$18),U3378,0)</f>
        <v>0</v>
      </c>
      <c r="S3378" s="86">
        <f t="shared" ref="S3378:S3409" si="1041">IF(AND($M3378&gt;=$S$16,$M3378&lt;=$S$18),U3378,0)</f>
        <v>0</v>
      </c>
      <c r="T3378" s="86">
        <f t="shared" ref="T3378:T3409" si="1042">IF($M3378&lt;=$T$18,U3378,0)</f>
        <v>16721.57</v>
      </c>
      <c r="U3378" s="87">
        <v>16721.57</v>
      </c>
    </row>
    <row r="3379" spans="1:21" s="30" customFormat="1" ht="24.6" hidden="1" outlineLevel="1" x14ac:dyDescent="0.55000000000000004">
      <c r="A3379" s="27" t="s">
        <v>327</v>
      </c>
      <c r="B3379" s="28"/>
      <c r="C3379" s="27"/>
      <c r="D3379" s="27" t="str">
        <f>"""NAV Direct"",""CRONUS JetCorp USA"",""21"",""1"",""311606"""</f>
        <v>"NAV Direct","CRONUS JetCorp USA","21","1","311606"</v>
      </c>
      <c r="E3379" s="31">
        <f t="shared" si="1035"/>
        <v>0</v>
      </c>
      <c r="F3379" s="31"/>
      <c r="G3379" s="31"/>
      <c r="H3379" s="31"/>
      <c r="I3379" s="56"/>
      <c r="J3379" s="56"/>
      <c r="K3379" s="82" t="str">
        <f t="shared" si="1034"/>
        <v>Invoice</v>
      </c>
      <c r="L3379" s="83" t="str">
        <f>"SI_109642"</f>
        <v>SI_109642</v>
      </c>
      <c r="M3379" s="84">
        <v>42119</v>
      </c>
      <c r="N3379" s="85">
        <f t="shared" si="1036"/>
        <v>1693</v>
      </c>
      <c r="O3379" s="86">
        <f t="shared" si="1037"/>
        <v>16899.59</v>
      </c>
      <c r="P3379" s="86">
        <f t="shared" si="1038"/>
        <v>0</v>
      </c>
      <c r="Q3379" s="86">
        <f t="shared" si="1039"/>
        <v>0</v>
      </c>
      <c r="R3379" s="86">
        <f t="shared" si="1040"/>
        <v>0</v>
      </c>
      <c r="S3379" s="86">
        <f t="shared" si="1041"/>
        <v>0</v>
      </c>
      <c r="T3379" s="86">
        <f t="shared" si="1042"/>
        <v>16899.59</v>
      </c>
      <c r="U3379" s="87">
        <v>16899.59</v>
      </c>
    </row>
    <row r="3380" spans="1:21" s="30" customFormat="1" ht="24.6" hidden="1" outlineLevel="1" x14ac:dyDescent="0.55000000000000004">
      <c r="A3380" s="27" t="s">
        <v>327</v>
      </c>
      <c r="B3380" s="28"/>
      <c r="C3380" s="27"/>
      <c r="D3380" s="27" t="str">
        <f>"""NAV Direct"",""CRONUS JetCorp USA"",""21"",""1"",""311631"""</f>
        <v>"NAV Direct","CRONUS JetCorp USA","21","1","311631"</v>
      </c>
      <c r="E3380" s="31" t="str">
        <f t="shared" si="1035"/>
        <v>C100099</v>
      </c>
      <c r="F3380" s="31"/>
      <c r="G3380" s="31"/>
      <c r="H3380" s="31"/>
      <c r="I3380" s="56"/>
      <c r="J3380" s="56"/>
      <c r="K3380" s="82" t="str">
        <f t="shared" si="1034"/>
        <v>Invoice</v>
      </c>
      <c r="L3380" s="83" t="str">
        <f>"SI_109643"</f>
        <v>SI_109643</v>
      </c>
      <c r="M3380" s="84">
        <v>42125</v>
      </c>
      <c r="N3380" s="85">
        <f t="shared" si="1036"/>
        <v>1687</v>
      </c>
      <c r="O3380" s="86">
        <f t="shared" si="1037"/>
        <v>16365.59</v>
      </c>
      <c r="P3380" s="86">
        <f t="shared" si="1038"/>
        <v>0</v>
      </c>
      <c r="Q3380" s="86">
        <f t="shared" si="1039"/>
        <v>0</v>
      </c>
      <c r="R3380" s="86">
        <f t="shared" si="1040"/>
        <v>0</v>
      </c>
      <c r="S3380" s="86">
        <f t="shared" si="1041"/>
        <v>0</v>
      </c>
      <c r="T3380" s="86">
        <f t="shared" si="1042"/>
        <v>16365.59</v>
      </c>
      <c r="U3380" s="87">
        <v>16365.59</v>
      </c>
    </row>
    <row r="3381" spans="1:21" s="30" customFormat="1" ht="24.6" hidden="1" outlineLevel="1" x14ac:dyDescent="0.55000000000000004">
      <c r="A3381" s="27" t="s">
        <v>327</v>
      </c>
      <c r="B3381" s="28"/>
      <c r="C3381" s="27"/>
      <c r="D3381" s="27" t="str">
        <f>"""NAV Direct"",""CRONUS JetCorp USA"",""21"",""1"",""311714"""</f>
        <v>"NAV Direct","CRONUS JetCorp USA","21","1","311714"</v>
      </c>
      <c r="E3381" s="31">
        <f t="shared" si="1035"/>
        <v>0</v>
      </c>
      <c r="F3381" s="31"/>
      <c r="G3381" s="31"/>
      <c r="H3381" s="31"/>
      <c r="I3381" s="56"/>
      <c r="J3381" s="56"/>
      <c r="K3381" s="82" t="str">
        <f t="shared" si="1034"/>
        <v>Invoice</v>
      </c>
      <c r="L3381" s="83" t="str">
        <f>"SI_109646"</f>
        <v>SI_109646</v>
      </c>
      <c r="M3381" s="84">
        <v>42131</v>
      </c>
      <c r="N3381" s="85">
        <f t="shared" si="1036"/>
        <v>1681</v>
      </c>
      <c r="O3381" s="86">
        <f t="shared" si="1037"/>
        <v>16721.669999999998</v>
      </c>
      <c r="P3381" s="86">
        <f t="shared" si="1038"/>
        <v>0</v>
      </c>
      <c r="Q3381" s="86">
        <f t="shared" si="1039"/>
        <v>0</v>
      </c>
      <c r="R3381" s="86">
        <f t="shared" si="1040"/>
        <v>0</v>
      </c>
      <c r="S3381" s="86">
        <f t="shared" si="1041"/>
        <v>0</v>
      </c>
      <c r="T3381" s="86">
        <f t="shared" si="1042"/>
        <v>16721.669999999998</v>
      </c>
      <c r="U3381" s="87">
        <v>16721.669999999998</v>
      </c>
    </row>
    <row r="3382" spans="1:21" s="30" customFormat="1" ht="24.6" hidden="1" outlineLevel="1" x14ac:dyDescent="0.55000000000000004">
      <c r="A3382" s="27" t="s">
        <v>327</v>
      </c>
      <c r="B3382" s="28"/>
      <c r="C3382" s="27"/>
      <c r="D3382" s="27" t="str">
        <f>"""NAV Direct"",""CRONUS JetCorp USA"",""21"",""1"",""311772"""</f>
        <v>"NAV Direct","CRONUS JetCorp USA","21","1","311772"</v>
      </c>
      <c r="E3382" s="31" t="str">
        <f t="shared" si="1035"/>
        <v>C100099</v>
      </c>
      <c r="F3382" s="31"/>
      <c r="G3382" s="31"/>
      <c r="H3382" s="31"/>
      <c r="I3382" s="56"/>
      <c r="J3382" s="56"/>
      <c r="K3382" s="82" t="str">
        <f t="shared" si="1034"/>
        <v>Invoice</v>
      </c>
      <c r="L3382" s="83" t="str">
        <f>"SI_109648"</f>
        <v>SI_109648</v>
      </c>
      <c r="M3382" s="84">
        <v>42146</v>
      </c>
      <c r="N3382" s="85">
        <f t="shared" si="1036"/>
        <v>1666</v>
      </c>
      <c r="O3382" s="86">
        <f t="shared" si="1037"/>
        <v>17433.399999999998</v>
      </c>
      <c r="P3382" s="86">
        <f t="shared" si="1038"/>
        <v>0</v>
      </c>
      <c r="Q3382" s="86">
        <f t="shared" si="1039"/>
        <v>0</v>
      </c>
      <c r="R3382" s="86">
        <f t="shared" si="1040"/>
        <v>0</v>
      </c>
      <c r="S3382" s="86">
        <f t="shared" si="1041"/>
        <v>0</v>
      </c>
      <c r="T3382" s="86">
        <f t="shared" si="1042"/>
        <v>17433.399999999998</v>
      </c>
      <c r="U3382" s="87">
        <v>17433.399999999998</v>
      </c>
    </row>
    <row r="3383" spans="1:21" s="30" customFormat="1" ht="24.6" hidden="1" outlineLevel="1" x14ac:dyDescent="0.55000000000000004">
      <c r="A3383" s="27" t="s">
        <v>327</v>
      </c>
      <c r="B3383" s="28"/>
      <c r="C3383" s="27"/>
      <c r="D3383" s="27" t="str">
        <f>"""NAV Direct"",""CRONUS JetCorp USA"",""21"",""1"",""311878"""</f>
        <v>"NAV Direct","CRONUS JetCorp USA","21","1","311878"</v>
      </c>
      <c r="E3383" s="31">
        <f t="shared" si="1035"/>
        <v>0</v>
      </c>
      <c r="F3383" s="31"/>
      <c r="G3383" s="31"/>
      <c r="H3383" s="31"/>
      <c r="I3383" s="56"/>
      <c r="J3383" s="56"/>
      <c r="K3383" s="82" t="str">
        <f t="shared" si="1034"/>
        <v>Invoice</v>
      </c>
      <c r="L3383" s="83" t="str">
        <f>"SI_109652"</f>
        <v>SI_109652</v>
      </c>
      <c r="M3383" s="84">
        <v>42149</v>
      </c>
      <c r="N3383" s="85">
        <f t="shared" si="1036"/>
        <v>1663</v>
      </c>
      <c r="O3383" s="86">
        <f t="shared" si="1037"/>
        <v>17077.57</v>
      </c>
      <c r="P3383" s="86">
        <f t="shared" si="1038"/>
        <v>0</v>
      </c>
      <c r="Q3383" s="86">
        <f t="shared" si="1039"/>
        <v>0</v>
      </c>
      <c r="R3383" s="86">
        <f t="shared" si="1040"/>
        <v>0</v>
      </c>
      <c r="S3383" s="86">
        <f t="shared" si="1041"/>
        <v>0</v>
      </c>
      <c r="T3383" s="86">
        <f t="shared" si="1042"/>
        <v>17077.57</v>
      </c>
      <c r="U3383" s="87">
        <v>17077.57</v>
      </c>
    </row>
    <row r="3384" spans="1:21" s="30" customFormat="1" ht="24.6" hidden="1" outlineLevel="1" x14ac:dyDescent="0.55000000000000004">
      <c r="A3384" s="27" t="s">
        <v>327</v>
      </c>
      <c r="B3384" s="28"/>
      <c r="C3384" s="27"/>
      <c r="D3384" s="27" t="str">
        <f>"""NAV Direct"",""CRONUS JetCorp USA"",""21"",""1"",""311957"""</f>
        <v>"NAV Direct","CRONUS JetCorp USA","21","1","311957"</v>
      </c>
      <c r="E3384" s="31" t="str">
        <f t="shared" si="1035"/>
        <v>C100099</v>
      </c>
      <c r="F3384" s="31"/>
      <c r="G3384" s="31"/>
      <c r="H3384" s="31"/>
      <c r="I3384" s="56"/>
      <c r="J3384" s="56"/>
      <c r="K3384" s="82" t="str">
        <f t="shared" si="1034"/>
        <v>Invoice</v>
      </c>
      <c r="L3384" s="83" t="str">
        <f>"SI_109655"</f>
        <v>SI_109655</v>
      </c>
      <c r="M3384" s="84">
        <v>42175</v>
      </c>
      <c r="N3384" s="85">
        <f t="shared" si="1036"/>
        <v>1637</v>
      </c>
      <c r="O3384" s="86">
        <f t="shared" si="1037"/>
        <v>16899.850000000002</v>
      </c>
      <c r="P3384" s="86">
        <f t="shared" si="1038"/>
        <v>0</v>
      </c>
      <c r="Q3384" s="86">
        <f t="shared" si="1039"/>
        <v>0</v>
      </c>
      <c r="R3384" s="86">
        <f t="shared" si="1040"/>
        <v>0</v>
      </c>
      <c r="S3384" s="86">
        <f t="shared" si="1041"/>
        <v>0</v>
      </c>
      <c r="T3384" s="86">
        <f t="shared" si="1042"/>
        <v>16899.850000000002</v>
      </c>
      <c r="U3384" s="87">
        <v>16899.850000000002</v>
      </c>
    </row>
    <row r="3385" spans="1:21" s="30" customFormat="1" ht="24.6" hidden="1" outlineLevel="1" x14ac:dyDescent="0.55000000000000004">
      <c r="A3385" s="27" t="s">
        <v>327</v>
      </c>
      <c r="B3385" s="28"/>
      <c r="C3385" s="27"/>
      <c r="D3385" s="27" t="str">
        <f>"""NAV Direct"",""CRONUS JetCorp USA"",""21"",""1"",""312003"""</f>
        <v>"NAV Direct","CRONUS JetCorp USA","21","1","312003"</v>
      </c>
      <c r="E3385" s="31">
        <f t="shared" si="1035"/>
        <v>0</v>
      </c>
      <c r="F3385" s="31"/>
      <c r="G3385" s="31"/>
      <c r="H3385" s="31"/>
      <c r="I3385" s="56"/>
      <c r="J3385" s="56"/>
      <c r="K3385" s="82" t="str">
        <f t="shared" si="1034"/>
        <v>Invoice</v>
      </c>
      <c r="L3385" s="83" t="str">
        <f>"SI_109657"</f>
        <v>SI_109657</v>
      </c>
      <c r="M3385" s="84">
        <v>42178</v>
      </c>
      <c r="N3385" s="85">
        <f t="shared" si="1036"/>
        <v>1634</v>
      </c>
      <c r="O3385" s="86">
        <f t="shared" si="1037"/>
        <v>17254.66</v>
      </c>
      <c r="P3385" s="86">
        <f t="shared" si="1038"/>
        <v>0</v>
      </c>
      <c r="Q3385" s="86">
        <f t="shared" si="1039"/>
        <v>0</v>
      </c>
      <c r="R3385" s="86">
        <f t="shared" si="1040"/>
        <v>0</v>
      </c>
      <c r="S3385" s="86">
        <f t="shared" si="1041"/>
        <v>0</v>
      </c>
      <c r="T3385" s="86">
        <f t="shared" si="1042"/>
        <v>17254.66</v>
      </c>
      <c r="U3385" s="87">
        <v>17254.66</v>
      </c>
    </row>
    <row r="3386" spans="1:21" s="30" customFormat="1" ht="24.6" hidden="1" outlineLevel="1" x14ac:dyDescent="0.55000000000000004">
      <c r="A3386" s="27" t="s">
        <v>327</v>
      </c>
      <c r="B3386" s="28"/>
      <c r="C3386" s="27"/>
      <c r="D3386" s="27" t="str">
        <f>"""NAV Direct"",""CRONUS JetCorp USA"",""21"",""1"",""312101"""</f>
        <v>"NAV Direct","CRONUS JetCorp USA","21","1","312101"</v>
      </c>
      <c r="E3386" s="31" t="str">
        <f t="shared" si="1035"/>
        <v>C100099</v>
      </c>
      <c r="F3386" s="31"/>
      <c r="G3386" s="31"/>
      <c r="H3386" s="31"/>
      <c r="I3386" s="56"/>
      <c r="J3386" s="56"/>
      <c r="K3386" s="82" t="str">
        <f t="shared" si="1034"/>
        <v>Invoice</v>
      </c>
      <c r="L3386" s="83" t="str">
        <f>"SI_109661"</f>
        <v>SI_109661</v>
      </c>
      <c r="M3386" s="84">
        <v>42186</v>
      </c>
      <c r="N3386" s="85">
        <f t="shared" si="1036"/>
        <v>1626</v>
      </c>
      <c r="O3386" s="86">
        <f t="shared" si="1037"/>
        <v>17077.46</v>
      </c>
      <c r="P3386" s="86">
        <f t="shared" si="1038"/>
        <v>0</v>
      </c>
      <c r="Q3386" s="86">
        <f t="shared" si="1039"/>
        <v>0</v>
      </c>
      <c r="R3386" s="86">
        <f t="shared" si="1040"/>
        <v>0</v>
      </c>
      <c r="S3386" s="86">
        <f t="shared" si="1041"/>
        <v>0</v>
      </c>
      <c r="T3386" s="86">
        <f t="shared" si="1042"/>
        <v>17077.46</v>
      </c>
      <c r="U3386" s="87">
        <v>17077.46</v>
      </c>
    </row>
    <row r="3387" spans="1:21" s="30" customFormat="1" ht="24.6" hidden="1" outlineLevel="1" x14ac:dyDescent="0.55000000000000004">
      <c r="A3387" s="27" t="s">
        <v>327</v>
      </c>
      <c r="B3387" s="28"/>
      <c r="C3387" s="27"/>
      <c r="D3387" s="27" t="str">
        <f>"""NAV Direct"",""CRONUS JetCorp USA"",""21"",""1"",""312167"""</f>
        <v>"NAV Direct","CRONUS JetCorp USA","21","1","312167"</v>
      </c>
      <c r="E3387" s="31">
        <f t="shared" si="1035"/>
        <v>0</v>
      </c>
      <c r="F3387" s="31"/>
      <c r="G3387" s="31"/>
      <c r="H3387" s="31"/>
      <c r="I3387" s="56"/>
      <c r="J3387" s="56"/>
      <c r="K3387" s="82" t="str">
        <f t="shared" si="1034"/>
        <v>Invoice</v>
      </c>
      <c r="L3387" s="83" t="str">
        <f>"SI_109663"</f>
        <v>SI_109663</v>
      </c>
      <c r="M3387" s="84">
        <v>42205</v>
      </c>
      <c r="N3387" s="85">
        <f t="shared" si="1036"/>
        <v>1607</v>
      </c>
      <c r="O3387" s="86">
        <f t="shared" si="1037"/>
        <v>16722.310000000001</v>
      </c>
      <c r="P3387" s="86">
        <f t="shared" si="1038"/>
        <v>0</v>
      </c>
      <c r="Q3387" s="86">
        <f t="shared" si="1039"/>
        <v>0</v>
      </c>
      <c r="R3387" s="86">
        <f t="shared" si="1040"/>
        <v>0</v>
      </c>
      <c r="S3387" s="86">
        <f t="shared" si="1041"/>
        <v>0</v>
      </c>
      <c r="T3387" s="86">
        <f t="shared" si="1042"/>
        <v>16722.310000000001</v>
      </c>
      <c r="U3387" s="87">
        <v>16722.310000000001</v>
      </c>
    </row>
    <row r="3388" spans="1:21" s="30" customFormat="1" ht="24.6" hidden="1" outlineLevel="1" x14ac:dyDescent="0.55000000000000004">
      <c r="A3388" s="27" t="s">
        <v>327</v>
      </c>
      <c r="B3388" s="28"/>
      <c r="C3388" s="27"/>
      <c r="D3388" s="27" t="str">
        <f>"""NAV Direct"",""CRONUS JetCorp USA"",""21"",""1"",""312192"""</f>
        <v>"NAV Direct","CRONUS JetCorp USA","21","1","312192"</v>
      </c>
      <c r="E3388" s="31" t="str">
        <f t="shared" si="1035"/>
        <v>C100099</v>
      </c>
      <c r="F3388" s="31"/>
      <c r="G3388" s="31"/>
      <c r="H3388" s="31"/>
      <c r="I3388" s="56"/>
      <c r="J3388" s="56"/>
      <c r="K3388" s="82" t="str">
        <f t="shared" si="1034"/>
        <v>Invoice</v>
      </c>
      <c r="L3388" s="83" t="str">
        <f>"SI_109664"</f>
        <v>SI_109664</v>
      </c>
      <c r="M3388" s="84">
        <v>42208</v>
      </c>
      <c r="N3388" s="85">
        <f t="shared" si="1036"/>
        <v>1604</v>
      </c>
      <c r="O3388" s="86">
        <f t="shared" si="1037"/>
        <v>17077.7</v>
      </c>
      <c r="P3388" s="86">
        <f t="shared" si="1038"/>
        <v>0</v>
      </c>
      <c r="Q3388" s="86">
        <f t="shared" si="1039"/>
        <v>0</v>
      </c>
      <c r="R3388" s="86">
        <f t="shared" si="1040"/>
        <v>0</v>
      </c>
      <c r="S3388" s="86">
        <f t="shared" si="1041"/>
        <v>0</v>
      </c>
      <c r="T3388" s="86">
        <f t="shared" si="1042"/>
        <v>17077.7</v>
      </c>
      <c r="U3388" s="87">
        <v>17077.7</v>
      </c>
    </row>
    <row r="3389" spans="1:21" s="30" customFormat="1" ht="24.6" hidden="1" outlineLevel="1" x14ac:dyDescent="0.55000000000000004">
      <c r="A3389" s="27" t="s">
        <v>327</v>
      </c>
      <c r="B3389" s="28"/>
      <c r="C3389" s="27"/>
      <c r="D3389" s="27" t="str">
        <f>"""NAV Direct"",""CRONUS JetCorp USA"",""21"",""1"",""312399"""</f>
        <v>"NAV Direct","CRONUS JetCorp USA","21","1","312399"</v>
      </c>
      <c r="E3389" s="31">
        <f t="shared" si="1035"/>
        <v>0</v>
      </c>
      <c r="F3389" s="31"/>
      <c r="G3389" s="31"/>
      <c r="H3389" s="31"/>
      <c r="I3389" s="56"/>
      <c r="J3389" s="56"/>
      <c r="K3389" s="82" t="str">
        <f t="shared" si="1034"/>
        <v>Invoice</v>
      </c>
      <c r="L3389" s="83" t="str">
        <f>"SI_109671"</f>
        <v>SI_109671</v>
      </c>
      <c r="M3389" s="84">
        <v>42236</v>
      </c>
      <c r="N3389" s="85">
        <f t="shared" si="1036"/>
        <v>1576</v>
      </c>
      <c r="O3389" s="86">
        <f t="shared" si="1037"/>
        <v>17077.969999999998</v>
      </c>
      <c r="P3389" s="86">
        <f t="shared" si="1038"/>
        <v>0</v>
      </c>
      <c r="Q3389" s="86">
        <f t="shared" si="1039"/>
        <v>0</v>
      </c>
      <c r="R3389" s="86">
        <f t="shared" si="1040"/>
        <v>0</v>
      </c>
      <c r="S3389" s="86">
        <f t="shared" si="1041"/>
        <v>0</v>
      </c>
      <c r="T3389" s="86">
        <f t="shared" si="1042"/>
        <v>17077.969999999998</v>
      </c>
      <c r="U3389" s="87">
        <v>17077.969999999998</v>
      </c>
    </row>
    <row r="3390" spans="1:21" s="30" customFormat="1" ht="24.6" hidden="1" outlineLevel="1" x14ac:dyDescent="0.55000000000000004">
      <c r="A3390" s="27" t="s">
        <v>327</v>
      </c>
      <c r="B3390" s="28"/>
      <c r="C3390" s="27"/>
      <c r="D3390" s="27" t="str">
        <f>"""NAV Direct"",""CRONUS JetCorp USA"",""21"",""1"",""312426"""</f>
        <v>"NAV Direct","CRONUS JetCorp USA","21","1","312426"</v>
      </c>
      <c r="E3390" s="31" t="str">
        <f t="shared" si="1035"/>
        <v>C100099</v>
      </c>
      <c r="F3390" s="31"/>
      <c r="G3390" s="31"/>
      <c r="H3390" s="31"/>
      <c r="I3390" s="56"/>
      <c r="J3390" s="56"/>
      <c r="K3390" s="82" t="str">
        <f t="shared" si="1034"/>
        <v>Invoice</v>
      </c>
      <c r="L3390" s="83" t="str">
        <f>"SI_109672"</f>
        <v>SI_109672</v>
      </c>
      <c r="M3390" s="84">
        <v>42236</v>
      </c>
      <c r="N3390" s="85">
        <f t="shared" si="1036"/>
        <v>1576</v>
      </c>
      <c r="O3390" s="86">
        <f t="shared" si="1037"/>
        <v>16544.12</v>
      </c>
      <c r="P3390" s="86">
        <f t="shared" si="1038"/>
        <v>0</v>
      </c>
      <c r="Q3390" s="86">
        <f t="shared" si="1039"/>
        <v>0</v>
      </c>
      <c r="R3390" s="86">
        <f t="shared" si="1040"/>
        <v>0</v>
      </c>
      <c r="S3390" s="86">
        <f t="shared" si="1041"/>
        <v>0</v>
      </c>
      <c r="T3390" s="86">
        <f t="shared" si="1042"/>
        <v>16544.12</v>
      </c>
      <c r="U3390" s="87">
        <v>16544.12</v>
      </c>
    </row>
    <row r="3391" spans="1:21" s="30" customFormat="1" ht="24.6" hidden="1" outlineLevel="1" x14ac:dyDescent="0.55000000000000004">
      <c r="A3391" s="27" t="s">
        <v>327</v>
      </c>
      <c r="B3391" s="28"/>
      <c r="C3391" s="27"/>
      <c r="D3391" s="27" t="str">
        <f>"""NAV Direct"",""CRONUS JetCorp USA"",""21"",""1"",""312492"""</f>
        <v>"NAV Direct","CRONUS JetCorp USA","21","1","312492"</v>
      </c>
      <c r="E3391" s="31">
        <f t="shared" si="1035"/>
        <v>0</v>
      </c>
      <c r="F3391" s="31"/>
      <c r="G3391" s="31"/>
      <c r="H3391" s="31"/>
      <c r="I3391" s="56"/>
      <c r="J3391" s="56"/>
      <c r="K3391" s="82" t="str">
        <f t="shared" ref="K3391:K3410" si="1043">"Invoice"</f>
        <v>Invoice</v>
      </c>
      <c r="L3391" s="83" t="str">
        <f>"SI_109674"</f>
        <v>SI_109674</v>
      </c>
      <c r="M3391" s="84">
        <v>42241</v>
      </c>
      <c r="N3391" s="85">
        <f t="shared" si="1036"/>
        <v>1571</v>
      </c>
      <c r="O3391" s="86">
        <f t="shared" si="1037"/>
        <v>16899.79</v>
      </c>
      <c r="P3391" s="86">
        <f t="shared" si="1038"/>
        <v>0</v>
      </c>
      <c r="Q3391" s="86">
        <f t="shared" si="1039"/>
        <v>0</v>
      </c>
      <c r="R3391" s="86">
        <f t="shared" si="1040"/>
        <v>0</v>
      </c>
      <c r="S3391" s="86">
        <f t="shared" si="1041"/>
        <v>0</v>
      </c>
      <c r="T3391" s="86">
        <f t="shared" si="1042"/>
        <v>16899.79</v>
      </c>
      <c r="U3391" s="87">
        <v>16899.79</v>
      </c>
    </row>
    <row r="3392" spans="1:21" s="30" customFormat="1" ht="24.6" hidden="1" outlineLevel="1" x14ac:dyDescent="0.55000000000000004">
      <c r="A3392" s="27" t="s">
        <v>327</v>
      </c>
      <c r="B3392" s="28"/>
      <c r="C3392" s="27"/>
      <c r="D3392" s="27" t="str">
        <f>"""NAV Direct"",""CRONUS JetCorp USA"",""21"",""1"",""312637"""</f>
        <v>"NAV Direct","CRONUS JetCorp USA","21","1","312637"</v>
      </c>
      <c r="E3392" s="31" t="str">
        <f t="shared" si="1035"/>
        <v>C100099</v>
      </c>
      <c r="F3392" s="31"/>
      <c r="G3392" s="31"/>
      <c r="H3392" s="31"/>
      <c r="I3392" s="56"/>
      <c r="J3392" s="56"/>
      <c r="K3392" s="82" t="str">
        <f t="shared" si="1043"/>
        <v>Invoice</v>
      </c>
      <c r="L3392" s="83" t="str">
        <f>"SI_109679"</f>
        <v>SI_109679</v>
      </c>
      <c r="M3392" s="84">
        <v>42270</v>
      </c>
      <c r="N3392" s="85">
        <f t="shared" si="1036"/>
        <v>1542</v>
      </c>
      <c r="O3392" s="86">
        <f t="shared" si="1037"/>
        <v>17433.7</v>
      </c>
      <c r="P3392" s="86">
        <f t="shared" si="1038"/>
        <v>0</v>
      </c>
      <c r="Q3392" s="86">
        <f t="shared" si="1039"/>
        <v>0</v>
      </c>
      <c r="R3392" s="86">
        <f t="shared" si="1040"/>
        <v>0</v>
      </c>
      <c r="S3392" s="86">
        <f t="shared" si="1041"/>
        <v>0</v>
      </c>
      <c r="T3392" s="86">
        <f t="shared" si="1042"/>
        <v>17433.7</v>
      </c>
      <c r="U3392" s="87">
        <v>17433.7</v>
      </c>
    </row>
    <row r="3393" spans="1:21" s="30" customFormat="1" ht="24.6" hidden="1" outlineLevel="1" x14ac:dyDescent="0.55000000000000004">
      <c r="A3393" s="27" t="s">
        <v>327</v>
      </c>
      <c r="B3393" s="28"/>
      <c r="C3393" s="27"/>
      <c r="D3393" s="27" t="str">
        <f>"""NAV Direct"",""CRONUS JetCorp USA"",""21"",""1"",""312656"""</f>
        <v>"NAV Direct","CRONUS JetCorp USA","21","1","312656"</v>
      </c>
      <c r="E3393" s="31">
        <f t="shared" si="1035"/>
        <v>0</v>
      </c>
      <c r="F3393" s="31"/>
      <c r="G3393" s="31"/>
      <c r="H3393" s="31"/>
      <c r="I3393" s="56"/>
      <c r="J3393" s="56"/>
      <c r="K3393" s="82" t="str">
        <f t="shared" si="1043"/>
        <v>Invoice</v>
      </c>
      <c r="L3393" s="83" t="str">
        <f>"SI_109680"</f>
        <v>SI_109680</v>
      </c>
      <c r="M3393" s="84">
        <v>42276</v>
      </c>
      <c r="N3393" s="85">
        <f t="shared" si="1036"/>
        <v>1536</v>
      </c>
      <c r="O3393" s="86">
        <f t="shared" si="1037"/>
        <v>17077.13</v>
      </c>
      <c r="P3393" s="86">
        <f t="shared" si="1038"/>
        <v>0</v>
      </c>
      <c r="Q3393" s="86">
        <f t="shared" si="1039"/>
        <v>0</v>
      </c>
      <c r="R3393" s="86">
        <f t="shared" si="1040"/>
        <v>0</v>
      </c>
      <c r="S3393" s="86">
        <f t="shared" si="1041"/>
        <v>0</v>
      </c>
      <c r="T3393" s="86">
        <f t="shared" si="1042"/>
        <v>17077.13</v>
      </c>
      <c r="U3393" s="87">
        <v>17077.13</v>
      </c>
    </row>
    <row r="3394" spans="1:21" s="30" customFormat="1" ht="24.6" hidden="1" outlineLevel="1" x14ac:dyDescent="0.55000000000000004">
      <c r="A3394" s="27" t="s">
        <v>327</v>
      </c>
      <c r="B3394" s="28"/>
      <c r="C3394" s="27"/>
      <c r="D3394" s="27" t="str">
        <f>"""NAV Direct"",""CRONUS JetCorp USA"",""21"",""1"",""312706"""</f>
        <v>"NAV Direct","CRONUS JetCorp USA","21","1","312706"</v>
      </c>
      <c r="E3394" s="31" t="str">
        <f t="shared" si="1035"/>
        <v>C100099</v>
      </c>
      <c r="F3394" s="31"/>
      <c r="G3394" s="31"/>
      <c r="H3394" s="31"/>
      <c r="I3394" s="56"/>
      <c r="J3394" s="56"/>
      <c r="K3394" s="82" t="str">
        <f t="shared" si="1043"/>
        <v>Invoice</v>
      </c>
      <c r="L3394" s="83" t="str">
        <f>"SI_109682"</f>
        <v>SI_109682</v>
      </c>
      <c r="M3394" s="84">
        <v>42278</v>
      </c>
      <c r="N3394" s="85">
        <f t="shared" si="1036"/>
        <v>1534</v>
      </c>
      <c r="O3394" s="86">
        <f t="shared" si="1037"/>
        <v>17433.150000000001</v>
      </c>
      <c r="P3394" s="86">
        <f t="shared" si="1038"/>
        <v>0</v>
      </c>
      <c r="Q3394" s="86">
        <f t="shared" si="1039"/>
        <v>0</v>
      </c>
      <c r="R3394" s="86">
        <f t="shared" si="1040"/>
        <v>0</v>
      </c>
      <c r="S3394" s="86">
        <f t="shared" si="1041"/>
        <v>0</v>
      </c>
      <c r="T3394" s="86">
        <f t="shared" si="1042"/>
        <v>17433.150000000001</v>
      </c>
      <c r="U3394" s="87">
        <v>17433.150000000001</v>
      </c>
    </row>
    <row r="3395" spans="1:21" s="30" customFormat="1" ht="24.6" hidden="1" outlineLevel="1" x14ac:dyDescent="0.55000000000000004">
      <c r="A3395" s="27" t="s">
        <v>327</v>
      </c>
      <c r="B3395" s="28"/>
      <c r="C3395" s="27"/>
      <c r="D3395" s="27" t="str">
        <f>"""NAV Direct"",""CRONUS JetCorp USA"",""21"",""1"",""312764"""</f>
        <v>"NAV Direct","CRONUS JetCorp USA","21","1","312764"</v>
      </c>
      <c r="E3395" s="31">
        <f t="shared" si="1035"/>
        <v>0</v>
      </c>
      <c r="F3395" s="31"/>
      <c r="G3395" s="31"/>
      <c r="H3395" s="31"/>
      <c r="I3395" s="56"/>
      <c r="J3395" s="56"/>
      <c r="K3395" s="82" t="str">
        <f t="shared" si="1043"/>
        <v>Invoice</v>
      </c>
      <c r="L3395" s="83" t="str">
        <f>"SI_109684"</f>
        <v>SI_109684</v>
      </c>
      <c r="M3395" s="84">
        <v>42295</v>
      </c>
      <c r="N3395" s="85">
        <f t="shared" si="1036"/>
        <v>1517</v>
      </c>
      <c r="O3395" s="86">
        <f t="shared" si="1037"/>
        <v>16722.38</v>
      </c>
      <c r="P3395" s="86">
        <f t="shared" si="1038"/>
        <v>0</v>
      </c>
      <c r="Q3395" s="86">
        <f t="shared" si="1039"/>
        <v>0</v>
      </c>
      <c r="R3395" s="86">
        <f t="shared" si="1040"/>
        <v>0</v>
      </c>
      <c r="S3395" s="86">
        <f t="shared" si="1041"/>
        <v>0</v>
      </c>
      <c r="T3395" s="86">
        <f t="shared" si="1042"/>
        <v>16722.38</v>
      </c>
      <c r="U3395" s="87">
        <v>16722.38</v>
      </c>
    </row>
    <row r="3396" spans="1:21" s="30" customFormat="1" ht="24.6" hidden="1" outlineLevel="1" x14ac:dyDescent="0.55000000000000004">
      <c r="A3396" s="27" t="s">
        <v>327</v>
      </c>
      <c r="B3396" s="28"/>
      <c r="C3396" s="27"/>
      <c r="D3396" s="27" t="str">
        <f>"""NAV Direct"",""CRONUS JetCorp USA"",""21"",""1"",""312787"""</f>
        <v>"NAV Direct","CRONUS JetCorp USA","21","1","312787"</v>
      </c>
      <c r="E3396" s="31" t="str">
        <f t="shared" si="1035"/>
        <v>C100099</v>
      </c>
      <c r="F3396" s="31"/>
      <c r="G3396" s="31"/>
      <c r="H3396" s="31"/>
      <c r="I3396" s="56"/>
      <c r="J3396" s="56"/>
      <c r="K3396" s="82" t="str">
        <f t="shared" si="1043"/>
        <v>Invoice</v>
      </c>
      <c r="L3396" s="83" t="str">
        <f>"SI_109685"</f>
        <v>SI_109685</v>
      </c>
      <c r="M3396" s="84">
        <v>42297</v>
      </c>
      <c r="N3396" s="85">
        <f t="shared" si="1036"/>
        <v>1515</v>
      </c>
      <c r="O3396" s="86">
        <f t="shared" si="1037"/>
        <v>16543.96</v>
      </c>
      <c r="P3396" s="86">
        <f t="shared" si="1038"/>
        <v>0</v>
      </c>
      <c r="Q3396" s="86">
        <f t="shared" si="1039"/>
        <v>0</v>
      </c>
      <c r="R3396" s="86">
        <f t="shared" si="1040"/>
        <v>0</v>
      </c>
      <c r="S3396" s="86">
        <f t="shared" si="1041"/>
        <v>0</v>
      </c>
      <c r="T3396" s="86">
        <f t="shared" si="1042"/>
        <v>16543.96</v>
      </c>
      <c r="U3396" s="87">
        <v>16543.96</v>
      </c>
    </row>
    <row r="3397" spans="1:21" s="30" customFormat="1" ht="24.6" hidden="1" outlineLevel="1" x14ac:dyDescent="0.55000000000000004">
      <c r="A3397" s="27" t="s">
        <v>327</v>
      </c>
      <c r="B3397" s="28"/>
      <c r="C3397" s="27"/>
      <c r="D3397" s="27" t="str">
        <f>"""NAV Direct"",""CRONUS JetCorp USA"",""21"",""1"",""312903"""</f>
        <v>"NAV Direct","CRONUS JetCorp USA","21","1","312903"</v>
      </c>
      <c r="E3397" s="31">
        <f t="shared" si="1035"/>
        <v>0</v>
      </c>
      <c r="F3397" s="31"/>
      <c r="G3397" s="31"/>
      <c r="H3397" s="31"/>
      <c r="I3397" s="56"/>
      <c r="J3397" s="56"/>
      <c r="K3397" s="82" t="str">
        <f t="shared" si="1043"/>
        <v>Invoice</v>
      </c>
      <c r="L3397" s="83" t="str">
        <f>"SI_109689"</f>
        <v>SI_109689</v>
      </c>
      <c r="M3397" s="84">
        <v>42312</v>
      </c>
      <c r="N3397" s="85">
        <f t="shared" si="1036"/>
        <v>1500</v>
      </c>
      <c r="O3397" s="86">
        <f t="shared" si="1037"/>
        <v>17433.439999999999</v>
      </c>
      <c r="P3397" s="86">
        <f t="shared" si="1038"/>
        <v>0</v>
      </c>
      <c r="Q3397" s="86">
        <f t="shared" si="1039"/>
        <v>0</v>
      </c>
      <c r="R3397" s="86">
        <f t="shared" si="1040"/>
        <v>0</v>
      </c>
      <c r="S3397" s="86">
        <f t="shared" si="1041"/>
        <v>0</v>
      </c>
      <c r="T3397" s="86">
        <f t="shared" si="1042"/>
        <v>17433.439999999999</v>
      </c>
      <c r="U3397" s="87">
        <v>17433.439999999999</v>
      </c>
    </row>
    <row r="3398" spans="1:21" s="30" customFormat="1" ht="24.6" hidden="1" outlineLevel="1" x14ac:dyDescent="0.55000000000000004">
      <c r="A3398" s="27" t="s">
        <v>327</v>
      </c>
      <c r="B3398" s="28"/>
      <c r="C3398" s="27"/>
      <c r="D3398" s="27" t="str">
        <f>"""NAV Direct"",""CRONUS JetCorp USA"",""21"",""1"",""312934"""</f>
        <v>"NAV Direct","CRONUS JetCorp USA","21","1","312934"</v>
      </c>
      <c r="E3398" s="31" t="str">
        <f t="shared" si="1035"/>
        <v>C100099</v>
      </c>
      <c r="F3398" s="31"/>
      <c r="G3398" s="31"/>
      <c r="H3398" s="31"/>
      <c r="I3398" s="56"/>
      <c r="J3398" s="56"/>
      <c r="K3398" s="82" t="str">
        <f t="shared" si="1043"/>
        <v>Invoice</v>
      </c>
      <c r="L3398" s="83" t="str">
        <f>"SI_109690"</f>
        <v>SI_109690</v>
      </c>
      <c r="M3398" s="84">
        <v>42311</v>
      </c>
      <c r="N3398" s="85">
        <f t="shared" si="1036"/>
        <v>1501</v>
      </c>
      <c r="O3398" s="86">
        <f t="shared" si="1037"/>
        <v>16900.170000000002</v>
      </c>
      <c r="P3398" s="86">
        <f t="shared" si="1038"/>
        <v>0</v>
      </c>
      <c r="Q3398" s="86">
        <f t="shared" si="1039"/>
        <v>0</v>
      </c>
      <c r="R3398" s="86">
        <f t="shared" si="1040"/>
        <v>0</v>
      </c>
      <c r="S3398" s="86">
        <f t="shared" si="1041"/>
        <v>0</v>
      </c>
      <c r="T3398" s="86">
        <f t="shared" si="1042"/>
        <v>16900.170000000002</v>
      </c>
      <c r="U3398" s="87">
        <v>16900.170000000002</v>
      </c>
    </row>
    <row r="3399" spans="1:21" s="30" customFormat="1" ht="24.6" hidden="1" outlineLevel="1" x14ac:dyDescent="0.55000000000000004">
      <c r="A3399" s="27" t="s">
        <v>327</v>
      </c>
      <c r="B3399" s="28"/>
      <c r="C3399" s="27"/>
      <c r="D3399" s="27" t="str">
        <f>"""NAV Direct"",""CRONUS JetCorp USA"",""21"",""1"",""312963"""</f>
        <v>"NAV Direct","CRONUS JetCorp USA","21","1","312963"</v>
      </c>
      <c r="E3399" s="31">
        <f t="shared" si="1035"/>
        <v>0</v>
      </c>
      <c r="F3399" s="31"/>
      <c r="G3399" s="31"/>
      <c r="H3399" s="31"/>
      <c r="I3399" s="56"/>
      <c r="J3399" s="56"/>
      <c r="K3399" s="82" t="str">
        <f t="shared" si="1043"/>
        <v>Invoice</v>
      </c>
      <c r="L3399" s="83" t="str">
        <f>"SI_109691"</f>
        <v>SI_109691</v>
      </c>
      <c r="M3399" s="84">
        <v>42313</v>
      </c>
      <c r="N3399" s="85">
        <f t="shared" si="1036"/>
        <v>1499</v>
      </c>
      <c r="O3399" s="86">
        <f t="shared" si="1037"/>
        <v>16900.07</v>
      </c>
      <c r="P3399" s="86">
        <f t="shared" si="1038"/>
        <v>0</v>
      </c>
      <c r="Q3399" s="86">
        <f t="shared" si="1039"/>
        <v>0</v>
      </c>
      <c r="R3399" s="86">
        <f t="shared" si="1040"/>
        <v>0</v>
      </c>
      <c r="S3399" s="86">
        <f t="shared" si="1041"/>
        <v>0</v>
      </c>
      <c r="T3399" s="86">
        <f t="shared" si="1042"/>
        <v>16900.07</v>
      </c>
      <c r="U3399" s="87">
        <v>16900.07</v>
      </c>
    </row>
    <row r="3400" spans="1:21" s="30" customFormat="1" ht="24.6" hidden="1" outlineLevel="1" x14ac:dyDescent="0.55000000000000004">
      <c r="A3400" s="27" t="s">
        <v>327</v>
      </c>
      <c r="B3400" s="28"/>
      <c r="C3400" s="27"/>
      <c r="D3400" s="27" t="str">
        <f>"""NAV Direct"",""CRONUS JetCorp USA"",""21"",""1"",""313007"""</f>
        <v>"NAV Direct","CRONUS JetCorp USA","21","1","313007"</v>
      </c>
      <c r="E3400" s="31" t="str">
        <f t="shared" si="1035"/>
        <v>C100099</v>
      </c>
      <c r="F3400" s="31"/>
      <c r="G3400" s="31"/>
      <c r="H3400" s="31"/>
      <c r="I3400" s="56"/>
      <c r="J3400" s="56"/>
      <c r="K3400" s="82" t="str">
        <f t="shared" si="1043"/>
        <v>Invoice</v>
      </c>
      <c r="L3400" s="83" t="str">
        <f>"SI_109693"</f>
        <v>SI_109693</v>
      </c>
      <c r="M3400" s="84">
        <v>42330</v>
      </c>
      <c r="N3400" s="85">
        <f t="shared" si="1036"/>
        <v>1482</v>
      </c>
      <c r="O3400" s="86">
        <f t="shared" si="1037"/>
        <v>16899.71</v>
      </c>
      <c r="P3400" s="86">
        <f t="shared" si="1038"/>
        <v>0</v>
      </c>
      <c r="Q3400" s="86">
        <f t="shared" si="1039"/>
        <v>0</v>
      </c>
      <c r="R3400" s="86">
        <f t="shared" si="1040"/>
        <v>0</v>
      </c>
      <c r="S3400" s="86">
        <f t="shared" si="1041"/>
        <v>0</v>
      </c>
      <c r="T3400" s="86">
        <f t="shared" si="1042"/>
        <v>16899.71</v>
      </c>
      <c r="U3400" s="87">
        <v>16899.71</v>
      </c>
    </row>
    <row r="3401" spans="1:21" s="30" customFormat="1" ht="24.6" hidden="1" outlineLevel="1" x14ac:dyDescent="0.55000000000000004">
      <c r="A3401" s="27" t="s">
        <v>327</v>
      </c>
      <c r="B3401" s="28"/>
      <c r="C3401" s="27"/>
      <c r="D3401" s="27" t="str">
        <f>"""NAV Direct"",""CRONUS JetCorp USA"",""21"",""1"",""313038"""</f>
        <v>"NAV Direct","CRONUS JetCorp USA","21","1","313038"</v>
      </c>
      <c r="E3401" s="31">
        <f t="shared" si="1035"/>
        <v>0</v>
      </c>
      <c r="F3401" s="31"/>
      <c r="G3401" s="31"/>
      <c r="H3401" s="31"/>
      <c r="I3401" s="56"/>
      <c r="J3401" s="56"/>
      <c r="K3401" s="82" t="str">
        <f t="shared" si="1043"/>
        <v>Invoice</v>
      </c>
      <c r="L3401" s="83" t="str">
        <f>"SI_109694"</f>
        <v>SI_109694</v>
      </c>
      <c r="M3401" s="84">
        <v>42333</v>
      </c>
      <c r="N3401" s="85">
        <f t="shared" si="1036"/>
        <v>1479</v>
      </c>
      <c r="O3401" s="86">
        <f t="shared" si="1037"/>
        <v>17076.88</v>
      </c>
      <c r="P3401" s="86">
        <f t="shared" si="1038"/>
        <v>0</v>
      </c>
      <c r="Q3401" s="86">
        <f t="shared" si="1039"/>
        <v>0</v>
      </c>
      <c r="R3401" s="86">
        <f t="shared" si="1040"/>
        <v>0</v>
      </c>
      <c r="S3401" s="86">
        <f t="shared" si="1041"/>
        <v>0</v>
      </c>
      <c r="T3401" s="86">
        <f t="shared" si="1042"/>
        <v>17076.88</v>
      </c>
      <c r="U3401" s="87">
        <v>17076.88</v>
      </c>
    </row>
    <row r="3402" spans="1:21" s="30" customFormat="1" ht="24.6" hidden="1" outlineLevel="1" x14ac:dyDescent="0.55000000000000004">
      <c r="A3402" s="27" t="s">
        <v>327</v>
      </c>
      <c r="B3402" s="28"/>
      <c r="C3402" s="27"/>
      <c r="D3402" s="27" t="str">
        <f>"""NAV Direct"",""CRONUS JetCorp USA"",""21"",""1"",""313063"""</f>
        <v>"NAV Direct","CRONUS JetCorp USA","21","1","313063"</v>
      </c>
      <c r="E3402" s="31" t="str">
        <f t="shared" si="1035"/>
        <v>C100099</v>
      </c>
      <c r="F3402" s="31"/>
      <c r="G3402" s="31"/>
      <c r="H3402" s="31"/>
      <c r="I3402" s="56"/>
      <c r="J3402" s="56"/>
      <c r="K3402" s="82" t="str">
        <f t="shared" si="1043"/>
        <v>Invoice</v>
      </c>
      <c r="L3402" s="83" t="str">
        <f>"SI_109695"</f>
        <v>SI_109695</v>
      </c>
      <c r="M3402" s="84">
        <v>42335</v>
      </c>
      <c r="N3402" s="85">
        <f t="shared" si="1036"/>
        <v>1477</v>
      </c>
      <c r="O3402" s="86">
        <f t="shared" si="1037"/>
        <v>16722.32</v>
      </c>
      <c r="P3402" s="86">
        <f t="shared" si="1038"/>
        <v>0</v>
      </c>
      <c r="Q3402" s="86">
        <f t="shared" si="1039"/>
        <v>0</v>
      </c>
      <c r="R3402" s="86">
        <f t="shared" si="1040"/>
        <v>0</v>
      </c>
      <c r="S3402" s="86">
        <f t="shared" si="1041"/>
        <v>0</v>
      </c>
      <c r="T3402" s="86">
        <f t="shared" si="1042"/>
        <v>16722.32</v>
      </c>
      <c r="U3402" s="87">
        <v>16722.32</v>
      </c>
    </row>
    <row r="3403" spans="1:21" s="30" customFormat="1" ht="24.6" hidden="1" outlineLevel="1" x14ac:dyDescent="0.55000000000000004">
      <c r="A3403" s="27" t="s">
        <v>327</v>
      </c>
      <c r="B3403" s="28"/>
      <c r="C3403" s="27"/>
      <c r="D3403" s="27" t="str">
        <f>"""NAV Direct"",""CRONUS JetCorp USA"",""21"",""1"",""313132"""</f>
        <v>"NAV Direct","CRONUS JetCorp USA","21","1","313132"</v>
      </c>
      <c r="E3403" s="31">
        <f t="shared" si="1035"/>
        <v>0</v>
      </c>
      <c r="F3403" s="31"/>
      <c r="G3403" s="31"/>
      <c r="H3403" s="31"/>
      <c r="I3403" s="56"/>
      <c r="J3403" s="56"/>
      <c r="K3403" s="82" t="str">
        <f t="shared" si="1043"/>
        <v>Invoice</v>
      </c>
      <c r="L3403" s="83" t="str">
        <f>"SI_109698"</f>
        <v>SI_109698</v>
      </c>
      <c r="M3403" s="84">
        <v>42341</v>
      </c>
      <c r="N3403" s="85">
        <f t="shared" si="1036"/>
        <v>1471</v>
      </c>
      <c r="O3403" s="86">
        <f t="shared" si="1037"/>
        <v>16720.75</v>
      </c>
      <c r="P3403" s="86">
        <f t="shared" si="1038"/>
        <v>0</v>
      </c>
      <c r="Q3403" s="86">
        <f t="shared" si="1039"/>
        <v>0</v>
      </c>
      <c r="R3403" s="86">
        <f t="shared" si="1040"/>
        <v>0</v>
      </c>
      <c r="S3403" s="86">
        <f t="shared" si="1041"/>
        <v>0</v>
      </c>
      <c r="T3403" s="86">
        <f t="shared" si="1042"/>
        <v>16720.75</v>
      </c>
      <c r="U3403" s="87">
        <v>16720.75</v>
      </c>
    </row>
    <row r="3404" spans="1:21" s="30" customFormat="1" ht="24.6" hidden="1" outlineLevel="1" x14ac:dyDescent="0.55000000000000004">
      <c r="A3404" s="27" t="s">
        <v>327</v>
      </c>
      <c r="B3404" s="28"/>
      <c r="C3404" s="27"/>
      <c r="D3404" s="27" t="str">
        <f>"""NAV Direct"",""CRONUS JetCorp USA"",""21"",""1"",""313157"""</f>
        <v>"NAV Direct","CRONUS JetCorp USA","21","1","313157"</v>
      </c>
      <c r="E3404" s="31" t="str">
        <f t="shared" si="1035"/>
        <v>C100099</v>
      </c>
      <c r="F3404" s="31"/>
      <c r="G3404" s="31"/>
      <c r="H3404" s="31"/>
      <c r="I3404" s="56"/>
      <c r="J3404" s="56"/>
      <c r="K3404" s="82" t="str">
        <f t="shared" si="1043"/>
        <v>Invoice</v>
      </c>
      <c r="L3404" s="83" t="str">
        <f>"SI_109699"</f>
        <v>SI_109699</v>
      </c>
      <c r="M3404" s="84">
        <v>42340</v>
      </c>
      <c r="N3404" s="85">
        <f t="shared" si="1036"/>
        <v>1472</v>
      </c>
      <c r="O3404" s="86">
        <f t="shared" si="1037"/>
        <v>16721.13</v>
      </c>
      <c r="P3404" s="86">
        <f t="shared" si="1038"/>
        <v>0</v>
      </c>
      <c r="Q3404" s="86">
        <f t="shared" si="1039"/>
        <v>0</v>
      </c>
      <c r="R3404" s="86">
        <f t="shared" si="1040"/>
        <v>0</v>
      </c>
      <c r="S3404" s="86">
        <f t="shared" si="1041"/>
        <v>0</v>
      </c>
      <c r="T3404" s="86">
        <f t="shared" si="1042"/>
        <v>16721.13</v>
      </c>
      <c r="U3404" s="87">
        <v>16721.13</v>
      </c>
    </row>
    <row r="3405" spans="1:21" s="30" customFormat="1" ht="24.6" hidden="1" outlineLevel="1" x14ac:dyDescent="0.55000000000000004">
      <c r="A3405" s="27" t="s">
        <v>327</v>
      </c>
      <c r="B3405" s="28"/>
      <c r="C3405" s="27"/>
      <c r="D3405" s="27" t="str">
        <f>"""NAV Direct"",""CRONUS JetCorp USA"",""21"",""1"",""313186"""</f>
        <v>"NAV Direct","CRONUS JetCorp USA","21","1","313186"</v>
      </c>
      <c r="E3405" s="31">
        <f t="shared" si="1035"/>
        <v>0</v>
      </c>
      <c r="F3405" s="31"/>
      <c r="G3405" s="31"/>
      <c r="H3405" s="31"/>
      <c r="I3405" s="56"/>
      <c r="J3405" s="56"/>
      <c r="K3405" s="82" t="str">
        <f t="shared" si="1043"/>
        <v>Invoice</v>
      </c>
      <c r="L3405" s="83" t="str">
        <f>"SI_109700"</f>
        <v>SI_109700</v>
      </c>
      <c r="M3405" s="84">
        <v>42342</v>
      </c>
      <c r="N3405" s="85">
        <f t="shared" si="1036"/>
        <v>1470</v>
      </c>
      <c r="O3405" s="86">
        <f t="shared" si="1037"/>
        <v>16543.61</v>
      </c>
      <c r="P3405" s="86">
        <f t="shared" si="1038"/>
        <v>0</v>
      </c>
      <c r="Q3405" s="86">
        <f t="shared" si="1039"/>
        <v>0</v>
      </c>
      <c r="R3405" s="86">
        <f t="shared" si="1040"/>
        <v>0</v>
      </c>
      <c r="S3405" s="86">
        <f t="shared" si="1041"/>
        <v>0</v>
      </c>
      <c r="T3405" s="86">
        <f t="shared" si="1042"/>
        <v>16543.61</v>
      </c>
      <c r="U3405" s="87">
        <v>16543.61</v>
      </c>
    </row>
    <row r="3406" spans="1:21" s="30" customFormat="1" ht="24.6" hidden="1" outlineLevel="1" x14ac:dyDescent="0.55000000000000004">
      <c r="A3406" s="27" t="s">
        <v>327</v>
      </c>
      <c r="B3406" s="28"/>
      <c r="C3406" s="27"/>
      <c r="D3406" s="27" t="str">
        <f>"""NAV Direct"",""CRONUS JetCorp USA"",""21"",""1"",""313236"""</f>
        <v>"NAV Direct","CRONUS JetCorp USA","21","1","313236"</v>
      </c>
      <c r="E3406" s="31" t="str">
        <f t="shared" si="1035"/>
        <v>C100099</v>
      </c>
      <c r="F3406" s="31"/>
      <c r="G3406" s="31"/>
      <c r="H3406" s="31"/>
      <c r="I3406" s="56"/>
      <c r="J3406" s="56"/>
      <c r="K3406" s="82" t="str">
        <f t="shared" si="1043"/>
        <v>Invoice</v>
      </c>
      <c r="L3406" s="83" t="str">
        <f>"SI_109702"</f>
        <v>SI_109702</v>
      </c>
      <c r="M3406" s="84">
        <v>42355</v>
      </c>
      <c r="N3406" s="85">
        <f t="shared" si="1036"/>
        <v>1457</v>
      </c>
      <c r="O3406" s="86">
        <f t="shared" si="1037"/>
        <v>16899.46</v>
      </c>
      <c r="P3406" s="86">
        <f t="shared" si="1038"/>
        <v>0</v>
      </c>
      <c r="Q3406" s="86">
        <f t="shared" si="1039"/>
        <v>0</v>
      </c>
      <c r="R3406" s="86">
        <f t="shared" si="1040"/>
        <v>0</v>
      </c>
      <c r="S3406" s="86">
        <f t="shared" si="1041"/>
        <v>0</v>
      </c>
      <c r="T3406" s="86">
        <f t="shared" si="1042"/>
        <v>16899.46</v>
      </c>
      <c r="U3406" s="87">
        <v>16899.46</v>
      </c>
    </row>
    <row r="3407" spans="1:21" s="30" customFormat="1" ht="24.6" hidden="1" outlineLevel="1" x14ac:dyDescent="0.55000000000000004">
      <c r="A3407" s="27" t="s">
        <v>327</v>
      </c>
      <c r="B3407" s="28"/>
      <c r="C3407" s="27"/>
      <c r="D3407" s="27" t="str">
        <f>"""NAV Direct"",""CRONUS JetCorp USA"",""21"",""1"",""313267"""</f>
        <v>"NAV Direct","CRONUS JetCorp USA","21","1","313267"</v>
      </c>
      <c r="E3407" s="31">
        <f t="shared" si="1035"/>
        <v>0</v>
      </c>
      <c r="F3407" s="31"/>
      <c r="G3407" s="31"/>
      <c r="H3407" s="31"/>
      <c r="I3407" s="56"/>
      <c r="J3407" s="56"/>
      <c r="K3407" s="82" t="str">
        <f t="shared" si="1043"/>
        <v>Invoice</v>
      </c>
      <c r="L3407" s="83" t="str">
        <f>"SI_109703"</f>
        <v>SI_109703</v>
      </c>
      <c r="M3407" s="84">
        <v>42359</v>
      </c>
      <c r="N3407" s="85">
        <f t="shared" si="1036"/>
        <v>1453</v>
      </c>
      <c r="O3407" s="86">
        <f t="shared" si="1037"/>
        <v>17077.98</v>
      </c>
      <c r="P3407" s="86">
        <f t="shared" si="1038"/>
        <v>0</v>
      </c>
      <c r="Q3407" s="86">
        <f t="shared" si="1039"/>
        <v>0</v>
      </c>
      <c r="R3407" s="86">
        <f t="shared" si="1040"/>
        <v>0</v>
      </c>
      <c r="S3407" s="86">
        <f t="shared" si="1041"/>
        <v>0</v>
      </c>
      <c r="T3407" s="86">
        <f t="shared" si="1042"/>
        <v>17077.98</v>
      </c>
      <c r="U3407" s="87">
        <v>17077.98</v>
      </c>
    </row>
    <row r="3408" spans="1:21" s="30" customFormat="1" ht="24.6" hidden="1" outlineLevel="1" x14ac:dyDescent="0.55000000000000004">
      <c r="A3408" s="27" t="s">
        <v>327</v>
      </c>
      <c r="B3408" s="28"/>
      <c r="C3408" s="27"/>
      <c r="D3408" s="27" t="str">
        <f>"""NAV Direct"",""CRONUS JetCorp USA"",""21"",""1"",""313325"""</f>
        <v>"NAV Direct","CRONUS JetCorp USA","21","1","313325"</v>
      </c>
      <c r="E3408" s="31" t="str">
        <f t="shared" si="1035"/>
        <v>C100099</v>
      </c>
      <c r="F3408" s="31"/>
      <c r="G3408" s="31"/>
      <c r="H3408" s="31"/>
      <c r="I3408" s="56"/>
      <c r="J3408" s="56"/>
      <c r="K3408" s="82" t="str">
        <f t="shared" si="1043"/>
        <v>Invoice</v>
      </c>
      <c r="L3408" s="83" t="str">
        <f>"SI_109705"</f>
        <v>SI_109705</v>
      </c>
      <c r="M3408" s="84">
        <v>42363</v>
      </c>
      <c r="N3408" s="85">
        <f t="shared" si="1036"/>
        <v>1449</v>
      </c>
      <c r="O3408" s="86">
        <f t="shared" si="1037"/>
        <v>16720.78</v>
      </c>
      <c r="P3408" s="86">
        <f t="shared" si="1038"/>
        <v>0</v>
      </c>
      <c r="Q3408" s="86">
        <f t="shared" si="1039"/>
        <v>0</v>
      </c>
      <c r="R3408" s="86">
        <f t="shared" si="1040"/>
        <v>0</v>
      </c>
      <c r="S3408" s="86">
        <f t="shared" si="1041"/>
        <v>0</v>
      </c>
      <c r="T3408" s="86">
        <f t="shared" si="1042"/>
        <v>16720.78</v>
      </c>
      <c r="U3408" s="87">
        <v>16720.78</v>
      </c>
    </row>
    <row r="3409" spans="1:21" s="30" customFormat="1" ht="24.6" hidden="1" outlineLevel="1" x14ac:dyDescent="0.55000000000000004">
      <c r="A3409" s="27" t="s">
        <v>327</v>
      </c>
      <c r="B3409" s="28"/>
      <c r="C3409" s="27"/>
      <c r="D3409" s="27" t="str">
        <f>"""NAV Direct"",""CRONUS JetCorp USA"",""21"",""1"",""313346"""</f>
        <v>"NAV Direct","CRONUS JetCorp USA","21","1","313346"</v>
      </c>
      <c r="E3409" s="31">
        <f t="shared" si="1035"/>
        <v>0</v>
      </c>
      <c r="F3409" s="31"/>
      <c r="G3409" s="31"/>
      <c r="H3409" s="31"/>
      <c r="I3409" s="56"/>
      <c r="J3409" s="56"/>
      <c r="K3409" s="82" t="str">
        <f t="shared" si="1043"/>
        <v>Invoice</v>
      </c>
      <c r="L3409" s="83" t="str">
        <f>"SI_109706"</f>
        <v>SI_109706</v>
      </c>
      <c r="M3409" s="84">
        <v>42366</v>
      </c>
      <c r="N3409" s="85">
        <f t="shared" si="1036"/>
        <v>1446</v>
      </c>
      <c r="O3409" s="86">
        <f t="shared" si="1037"/>
        <v>17433.45</v>
      </c>
      <c r="P3409" s="86">
        <f t="shared" si="1038"/>
        <v>0</v>
      </c>
      <c r="Q3409" s="86">
        <f t="shared" si="1039"/>
        <v>0</v>
      </c>
      <c r="R3409" s="86">
        <f t="shared" si="1040"/>
        <v>0</v>
      </c>
      <c r="S3409" s="86">
        <f t="shared" si="1041"/>
        <v>0</v>
      </c>
      <c r="T3409" s="86">
        <f t="shared" si="1042"/>
        <v>17433.45</v>
      </c>
      <c r="U3409" s="87">
        <v>17433.45</v>
      </c>
    </row>
    <row r="3410" spans="1:21" s="30" customFormat="1" ht="24.6" hidden="1" outlineLevel="1" x14ac:dyDescent="0.55000000000000004">
      <c r="A3410" s="27" t="s">
        <v>327</v>
      </c>
      <c r="B3410" s="28"/>
      <c r="C3410" s="27"/>
      <c r="D3410" s="27" t="str">
        <f>"""NAV Direct"",""CRONUS JetCorp USA"",""21"",""1"",""313373"""</f>
        <v>"NAV Direct","CRONUS JetCorp USA","21","1","313373"</v>
      </c>
      <c r="E3410" s="31" t="str">
        <f t="shared" ref="E3410:E3441" si="1044">E3408</f>
        <v>C100099</v>
      </c>
      <c r="F3410" s="31"/>
      <c r="G3410" s="31"/>
      <c r="H3410" s="31"/>
      <c r="I3410" s="56"/>
      <c r="J3410" s="56"/>
      <c r="K3410" s="82" t="str">
        <f t="shared" si="1043"/>
        <v>Invoice</v>
      </c>
      <c r="L3410" s="83" t="str">
        <f>"SI_109707"</f>
        <v>SI_109707</v>
      </c>
      <c r="M3410" s="84">
        <v>42364</v>
      </c>
      <c r="N3410" s="85">
        <f t="shared" ref="N3410:N3441" si="1045">StartDate-$M3410+1</f>
        <v>1448</v>
      </c>
      <c r="O3410" s="86">
        <f t="shared" ref="O3410:O3441" si="1046">SUM(P3410:T3410)</f>
        <v>17433.82</v>
      </c>
      <c r="P3410" s="86">
        <f t="shared" ref="P3410:P3441" si="1047">IF($M3410&gt;=$P$18,U3410,0)</f>
        <v>0</v>
      </c>
      <c r="Q3410" s="86">
        <f t="shared" ref="Q3410:Q3441" si="1048">IF(AND($M3410&gt;=$Q$16,$M3410&lt;=$Q$18),U3410,0)</f>
        <v>0</v>
      </c>
      <c r="R3410" s="86">
        <f t="shared" ref="R3410:R3441" si="1049">IF(AND($M3410&gt;=$R$16,$M3410&lt;=$R$18),U3410,0)</f>
        <v>0</v>
      </c>
      <c r="S3410" s="86">
        <f t="shared" ref="S3410:S3441" si="1050">IF(AND($M3410&gt;=$S$16,$M3410&lt;=$S$18),U3410,0)</f>
        <v>0</v>
      </c>
      <c r="T3410" s="86">
        <f t="shared" ref="T3410:T3441" si="1051">IF($M3410&lt;=$T$18,U3410,0)</f>
        <v>17433.82</v>
      </c>
      <c r="U3410" s="87">
        <v>17433.82</v>
      </c>
    </row>
    <row r="3411" spans="1:21" s="30" customFormat="1" ht="24.6" hidden="1" outlineLevel="1" x14ac:dyDescent="0.55000000000000004">
      <c r="A3411" s="27" t="s">
        <v>327</v>
      </c>
      <c r="B3411" s="28"/>
      <c r="C3411" s="27"/>
      <c r="D3411" s="27" t="str">
        <f>"""NAV Direct"",""CRONUS JetCorp USA"",""21"",""1"",""429326"""</f>
        <v>"NAV Direct","CRONUS JetCorp USA","21","1","429326"</v>
      </c>
      <c r="E3411" s="31">
        <f t="shared" si="1044"/>
        <v>0</v>
      </c>
      <c r="F3411" s="31"/>
      <c r="G3411" s="31"/>
      <c r="H3411" s="31"/>
      <c r="I3411" s="56"/>
      <c r="J3411" s="56"/>
      <c r="K3411" s="82" t="str">
        <f t="shared" ref="K3411:K3449" si="1052">"Credit Memo"</f>
        <v>Credit Memo</v>
      </c>
      <c r="L3411" s="83" t="str">
        <f>"SC_100197"</f>
        <v>SC_100197</v>
      </c>
      <c r="M3411" s="84">
        <v>42457</v>
      </c>
      <c r="N3411" s="85">
        <f t="shared" si="1045"/>
        <v>1355</v>
      </c>
      <c r="O3411" s="86">
        <f t="shared" si="1046"/>
        <v>-137.89000000000001</v>
      </c>
      <c r="P3411" s="86">
        <f t="shared" si="1047"/>
        <v>0</v>
      </c>
      <c r="Q3411" s="86">
        <f t="shared" si="1048"/>
        <v>0</v>
      </c>
      <c r="R3411" s="86">
        <f t="shared" si="1049"/>
        <v>0</v>
      </c>
      <c r="S3411" s="86">
        <f t="shared" si="1050"/>
        <v>0</v>
      </c>
      <c r="T3411" s="86">
        <f t="shared" si="1051"/>
        <v>-137.89000000000001</v>
      </c>
      <c r="U3411" s="87">
        <v>-137.89000000000001</v>
      </c>
    </row>
    <row r="3412" spans="1:21" s="30" customFormat="1" ht="24.6" hidden="1" outlineLevel="1" x14ac:dyDescent="0.55000000000000004">
      <c r="A3412" s="27" t="s">
        <v>327</v>
      </c>
      <c r="B3412" s="28"/>
      <c r="C3412" s="27"/>
      <c r="D3412" s="27" t="str">
        <f>"""NAV Direct"",""CRONUS JetCorp USA"",""21"",""1"",""429343"""</f>
        <v>"NAV Direct","CRONUS JetCorp USA","21","1","429343"</v>
      </c>
      <c r="E3412" s="31" t="str">
        <f t="shared" si="1044"/>
        <v>C100099</v>
      </c>
      <c r="F3412" s="31"/>
      <c r="G3412" s="31"/>
      <c r="H3412" s="31"/>
      <c r="I3412" s="56"/>
      <c r="J3412" s="56"/>
      <c r="K3412" s="82" t="str">
        <f t="shared" si="1052"/>
        <v>Credit Memo</v>
      </c>
      <c r="L3412" s="83" t="str">
        <f>"SC_100198"</f>
        <v>SC_100198</v>
      </c>
      <c r="M3412" s="84">
        <v>42508</v>
      </c>
      <c r="N3412" s="85">
        <f t="shared" si="1045"/>
        <v>1304</v>
      </c>
      <c r="O3412" s="86">
        <f t="shared" si="1046"/>
        <v>-138.01</v>
      </c>
      <c r="P3412" s="86">
        <f t="shared" si="1047"/>
        <v>0</v>
      </c>
      <c r="Q3412" s="86">
        <f t="shared" si="1048"/>
        <v>0</v>
      </c>
      <c r="R3412" s="86">
        <f t="shared" si="1049"/>
        <v>0</v>
      </c>
      <c r="S3412" s="86">
        <f t="shared" si="1050"/>
        <v>0</v>
      </c>
      <c r="T3412" s="86">
        <f t="shared" si="1051"/>
        <v>-138.01</v>
      </c>
      <c r="U3412" s="87">
        <v>-138.01</v>
      </c>
    </row>
    <row r="3413" spans="1:21" s="30" customFormat="1" ht="24.6" hidden="1" outlineLevel="1" x14ac:dyDescent="0.55000000000000004">
      <c r="A3413" s="27" t="s">
        <v>327</v>
      </c>
      <c r="B3413" s="28"/>
      <c r="C3413" s="27"/>
      <c r="D3413" s="27" t="str">
        <f>"""NAV Direct"",""CRONUS JetCorp USA"",""21"",""1"",""429396"""</f>
        <v>"NAV Direct","CRONUS JetCorp USA","21","1","429396"</v>
      </c>
      <c r="E3413" s="31">
        <f t="shared" si="1044"/>
        <v>0</v>
      </c>
      <c r="F3413" s="31"/>
      <c r="G3413" s="31"/>
      <c r="H3413" s="31"/>
      <c r="I3413" s="56"/>
      <c r="J3413" s="56"/>
      <c r="K3413" s="82" t="str">
        <f t="shared" si="1052"/>
        <v>Credit Memo</v>
      </c>
      <c r="L3413" s="83" t="str">
        <f>"SC_100201"</f>
        <v>SC_100201</v>
      </c>
      <c r="M3413" s="84">
        <v>42595</v>
      </c>
      <c r="N3413" s="85">
        <f t="shared" si="1045"/>
        <v>1217</v>
      </c>
      <c r="O3413" s="86">
        <f t="shared" si="1046"/>
        <v>-139.1</v>
      </c>
      <c r="P3413" s="86">
        <f t="shared" si="1047"/>
        <v>0</v>
      </c>
      <c r="Q3413" s="86">
        <f t="shared" si="1048"/>
        <v>0</v>
      </c>
      <c r="R3413" s="86">
        <f t="shared" si="1049"/>
        <v>0</v>
      </c>
      <c r="S3413" s="86">
        <f t="shared" si="1050"/>
        <v>0</v>
      </c>
      <c r="T3413" s="86">
        <f t="shared" si="1051"/>
        <v>-139.1</v>
      </c>
      <c r="U3413" s="87">
        <v>-139.1</v>
      </c>
    </row>
    <row r="3414" spans="1:21" s="30" customFormat="1" ht="24.6" hidden="1" outlineLevel="1" x14ac:dyDescent="0.55000000000000004">
      <c r="A3414" s="27" t="s">
        <v>327</v>
      </c>
      <c r="B3414" s="28"/>
      <c r="C3414" s="27"/>
      <c r="D3414" s="27" t="str">
        <f>"""NAV Direct"",""CRONUS JetCorp USA"",""21"",""1"",""429409"""</f>
        <v>"NAV Direct","CRONUS JetCorp USA","21","1","429409"</v>
      </c>
      <c r="E3414" s="31" t="str">
        <f t="shared" si="1044"/>
        <v>C100099</v>
      </c>
      <c r="F3414" s="31"/>
      <c r="G3414" s="31"/>
      <c r="H3414" s="31"/>
      <c r="I3414" s="56"/>
      <c r="J3414" s="56"/>
      <c r="K3414" s="82" t="str">
        <f t="shared" si="1052"/>
        <v>Credit Memo</v>
      </c>
      <c r="L3414" s="83" t="str">
        <f>"SC_100202"</f>
        <v>SC_100202</v>
      </c>
      <c r="M3414" s="84">
        <v>42623</v>
      </c>
      <c r="N3414" s="85">
        <f t="shared" si="1045"/>
        <v>1189</v>
      </c>
      <c r="O3414" s="86">
        <f t="shared" si="1046"/>
        <v>-142.46</v>
      </c>
      <c r="P3414" s="86">
        <f t="shared" si="1047"/>
        <v>0</v>
      </c>
      <c r="Q3414" s="86">
        <f t="shared" si="1048"/>
        <v>0</v>
      </c>
      <c r="R3414" s="86">
        <f t="shared" si="1049"/>
        <v>0</v>
      </c>
      <c r="S3414" s="86">
        <f t="shared" si="1050"/>
        <v>0</v>
      </c>
      <c r="T3414" s="86">
        <f t="shared" si="1051"/>
        <v>-142.46</v>
      </c>
      <c r="U3414" s="87">
        <v>-142.46</v>
      </c>
    </row>
    <row r="3415" spans="1:21" s="30" customFormat="1" ht="24.6" hidden="1" outlineLevel="1" x14ac:dyDescent="0.55000000000000004">
      <c r="A3415" s="27" t="s">
        <v>327</v>
      </c>
      <c r="B3415" s="28"/>
      <c r="C3415" s="27"/>
      <c r="D3415" s="27" t="str">
        <f>"""NAV Direct"",""CRONUS JetCorp USA"",""21"",""1"",""429426"""</f>
        <v>"NAV Direct","CRONUS JetCorp USA","21","1","429426"</v>
      </c>
      <c r="E3415" s="31">
        <f t="shared" si="1044"/>
        <v>0</v>
      </c>
      <c r="F3415" s="31"/>
      <c r="G3415" s="31"/>
      <c r="H3415" s="31"/>
      <c r="I3415" s="56"/>
      <c r="J3415" s="56"/>
      <c r="K3415" s="82" t="str">
        <f t="shared" si="1052"/>
        <v>Credit Memo</v>
      </c>
      <c r="L3415" s="83" t="str">
        <f>"SC_100203"</f>
        <v>SC_100203</v>
      </c>
      <c r="M3415" s="84">
        <v>42651</v>
      </c>
      <c r="N3415" s="85">
        <f t="shared" si="1045"/>
        <v>1161</v>
      </c>
      <c r="O3415" s="86">
        <f t="shared" si="1046"/>
        <v>-142.77000000000001</v>
      </c>
      <c r="P3415" s="86">
        <f t="shared" si="1047"/>
        <v>0</v>
      </c>
      <c r="Q3415" s="86">
        <f t="shared" si="1048"/>
        <v>0</v>
      </c>
      <c r="R3415" s="86">
        <f t="shared" si="1049"/>
        <v>0</v>
      </c>
      <c r="S3415" s="86">
        <f t="shared" si="1050"/>
        <v>0</v>
      </c>
      <c r="T3415" s="86">
        <f t="shared" si="1051"/>
        <v>-142.77000000000001</v>
      </c>
      <c r="U3415" s="87">
        <v>-142.77000000000001</v>
      </c>
    </row>
    <row r="3416" spans="1:21" s="30" customFormat="1" ht="24.6" hidden="1" outlineLevel="1" x14ac:dyDescent="0.55000000000000004">
      <c r="A3416" s="27" t="s">
        <v>327</v>
      </c>
      <c r="B3416" s="28"/>
      <c r="C3416" s="27"/>
      <c r="D3416" s="27" t="str">
        <f>"""NAV Direct"",""CRONUS JetCorp USA"",""21"",""1"",""429443"""</f>
        <v>"NAV Direct","CRONUS JetCorp USA","21","1","429443"</v>
      </c>
      <c r="E3416" s="31" t="str">
        <f t="shared" si="1044"/>
        <v>C100099</v>
      </c>
      <c r="F3416" s="31"/>
      <c r="G3416" s="31"/>
      <c r="H3416" s="31"/>
      <c r="I3416" s="56"/>
      <c r="J3416" s="56"/>
      <c r="K3416" s="82" t="str">
        <f t="shared" si="1052"/>
        <v>Credit Memo</v>
      </c>
      <c r="L3416" s="83" t="str">
        <f>"SC_100204"</f>
        <v>SC_100204</v>
      </c>
      <c r="M3416" s="84">
        <v>42675</v>
      </c>
      <c r="N3416" s="85">
        <f t="shared" si="1045"/>
        <v>1137</v>
      </c>
      <c r="O3416" s="86">
        <f t="shared" si="1046"/>
        <v>-146.6</v>
      </c>
      <c r="P3416" s="86">
        <f t="shared" si="1047"/>
        <v>0</v>
      </c>
      <c r="Q3416" s="86">
        <f t="shared" si="1048"/>
        <v>0</v>
      </c>
      <c r="R3416" s="86">
        <f t="shared" si="1049"/>
        <v>0</v>
      </c>
      <c r="S3416" s="86">
        <f t="shared" si="1050"/>
        <v>0</v>
      </c>
      <c r="T3416" s="86">
        <f t="shared" si="1051"/>
        <v>-146.6</v>
      </c>
      <c r="U3416" s="87">
        <v>-146.6</v>
      </c>
    </row>
    <row r="3417" spans="1:21" s="30" customFormat="1" ht="24.6" hidden="1" outlineLevel="1" x14ac:dyDescent="0.55000000000000004">
      <c r="A3417" s="27" t="s">
        <v>327</v>
      </c>
      <c r="B3417" s="28"/>
      <c r="C3417" s="27"/>
      <c r="D3417" s="27" t="str">
        <f>"""NAV Direct"",""CRONUS JetCorp USA"",""21"",""1"",""429475"""</f>
        <v>"NAV Direct","CRONUS JetCorp USA","21","1","429475"</v>
      </c>
      <c r="E3417" s="31">
        <f t="shared" si="1044"/>
        <v>0</v>
      </c>
      <c r="F3417" s="31"/>
      <c r="G3417" s="31"/>
      <c r="H3417" s="31"/>
      <c r="I3417" s="56"/>
      <c r="J3417" s="56"/>
      <c r="K3417" s="82" t="str">
        <f t="shared" si="1052"/>
        <v>Credit Memo</v>
      </c>
      <c r="L3417" s="83" t="str">
        <f>"SC_100206"</f>
        <v>SC_100206</v>
      </c>
      <c r="M3417" s="84">
        <v>42722</v>
      </c>
      <c r="N3417" s="85">
        <f t="shared" si="1045"/>
        <v>1090</v>
      </c>
      <c r="O3417" s="86">
        <f t="shared" si="1046"/>
        <v>-153.68</v>
      </c>
      <c r="P3417" s="86">
        <f t="shared" si="1047"/>
        <v>0</v>
      </c>
      <c r="Q3417" s="86">
        <f t="shared" si="1048"/>
        <v>0</v>
      </c>
      <c r="R3417" s="86">
        <f t="shared" si="1049"/>
        <v>0</v>
      </c>
      <c r="S3417" s="86">
        <f t="shared" si="1050"/>
        <v>0</v>
      </c>
      <c r="T3417" s="86">
        <f t="shared" si="1051"/>
        <v>-153.68</v>
      </c>
      <c r="U3417" s="87">
        <v>-153.68</v>
      </c>
    </row>
    <row r="3418" spans="1:21" s="30" customFormat="1" ht="24.6" hidden="1" outlineLevel="1" x14ac:dyDescent="0.55000000000000004">
      <c r="A3418" s="27" t="s">
        <v>327</v>
      </c>
      <c r="B3418" s="28"/>
      <c r="C3418" s="27"/>
      <c r="D3418" s="27" t="str">
        <f>"""NAV Direct"",""CRONUS JetCorp USA"",""21"",""1"",""429494"""</f>
        <v>"NAV Direct","CRONUS JetCorp USA","21","1","429494"</v>
      </c>
      <c r="E3418" s="31" t="str">
        <f t="shared" si="1044"/>
        <v>C100099</v>
      </c>
      <c r="F3418" s="31"/>
      <c r="G3418" s="31"/>
      <c r="H3418" s="31"/>
      <c r="I3418" s="56"/>
      <c r="J3418" s="56"/>
      <c r="K3418" s="82" t="str">
        <f t="shared" si="1052"/>
        <v>Credit Memo</v>
      </c>
      <c r="L3418" s="83" t="str">
        <f>"SC_100207"</f>
        <v>SC_100207</v>
      </c>
      <c r="M3418" s="84">
        <v>42754</v>
      </c>
      <c r="N3418" s="85">
        <f t="shared" si="1045"/>
        <v>1058</v>
      </c>
      <c r="O3418" s="86">
        <f t="shared" si="1046"/>
        <v>-159.68</v>
      </c>
      <c r="P3418" s="86">
        <f t="shared" si="1047"/>
        <v>0</v>
      </c>
      <c r="Q3418" s="86">
        <f t="shared" si="1048"/>
        <v>0</v>
      </c>
      <c r="R3418" s="86">
        <f t="shared" si="1049"/>
        <v>0</v>
      </c>
      <c r="S3418" s="86">
        <f t="shared" si="1050"/>
        <v>0</v>
      </c>
      <c r="T3418" s="86">
        <f t="shared" si="1051"/>
        <v>-159.68</v>
      </c>
      <c r="U3418" s="87">
        <v>-159.68</v>
      </c>
    </row>
    <row r="3419" spans="1:21" s="30" customFormat="1" ht="24.6" hidden="1" outlineLevel="1" x14ac:dyDescent="0.55000000000000004">
      <c r="A3419" s="27" t="s">
        <v>327</v>
      </c>
      <c r="B3419" s="28"/>
      <c r="C3419" s="27"/>
      <c r="D3419" s="27" t="str">
        <f>"""NAV Direct"",""CRONUS JetCorp USA"",""21"",""1"",""429515"""</f>
        <v>"NAV Direct","CRONUS JetCorp USA","21","1","429515"</v>
      </c>
      <c r="E3419" s="31">
        <f t="shared" si="1044"/>
        <v>0</v>
      </c>
      <c r="F3419" s="31"/>
      <c r="G3419" s="31"/>
      <c r="H3419" s="31"/>
      <c r="I3419" s="56"/>
      <c r="J3419" s="56"/>
      <c r="K3419" s="82" t="str">
        <f t="shared" si="1052"/>
        <v>Credit Memo</v>
      </c>
      <c r="L3419" s="83" t="str">
        <f>"SC_100208"</f>
        <v>SC_100208</v>
      </c>
      <c r="M3419" s="84">
        <v>42762</v>
      </c>
      <c r="N3419" s="85">
        <f t="shared" si="1045"/>
        <v>1050</v>
      </c>
      <c r="O3419" s="86">
        <f t="shared" si="1046"/>
        <v>-153.33000000000001</v>
      </c>
      <c r="P3419" s="86">
        <f t="shared" si="1047"/>
        <v>0</v>
      </c>
      <c r="Q3419" s="86">
        <f t="shared" si="1048"/>
        <v>0</v>
      </c>
      <c r="R3419" s="86">
        <f t="shared" si="1049"/>
        <v>0</v>
      </c>
      <c r="S3419" s="86">
        <f t="shared" si="1050"/>
        <v>0</v>
      </c>
      <c r="T3419" s="86">
        <f t="shared" si="1051"/>
        <v>-153.33000000000001</v>
      </c>
      <c r="U3419" s="87">
        <v>-153.33000000000001</v>
      </c>
    </row>
    <row r="3420" spans="1:21" s="30" customFormat="1" ht="24.6" hidden="1" outlineLevel="1" x14ac:dyDescent="0.55000000000000004">
      <c r="A3420" s="27" t="s">
        <v>327</v>
      </c>
      <c r="B3420" s="28"/>
      <c r="C3420" s="27"/>
      <c r="D3420" s="27" t="str">
        <f>"""NAV Direct"",""CRONUS JetCorp USA"",""21"",""1"",""429541"""</f>
        <v>"NAV Direct","CRONUS JetCorp USA","21","1","429541"</v>
      </c>
      <c r="E3420" s="31" t="str">
        <f t="shared" si="1044"/>
        <v>C100099</v>
      </c>
      <c r="F3420" s="31"/>
      <c r="G3420" s="31"/>
      <c r="H3420" s="31"/>
      <c r="I3420" s="56"/>
      <c r="J3420" s="56"/>
      <c r="K3420" s="82" t="str">
        <f t="shared" si="1052"/>
        <v>Credit Memo</v>
      </c>
      <c r="L3420" s="83" t="str">
        <f>"SC_100210"</f>
        <v>SC_100210</v>
      </c>
      <c r="M3420" s="84">
        <v>42822</v>
      </c>
      <c r="N3420" s="85">
        <f t="shared" si="1045"/>
        <v>990</v>
      </c>
      <c r="O3420" s="86">
        <f t="shared" si="1046"/>
        <v>-162.14000000000001</v>
      </c>
      <c r="P3420" s="86">
        <f t="shared" si="1047"/>
        <v>0</v>
      </c>
      <c r="Q3420" s="86">
        <f t="shared" si="1048"/>
        <v>0</v>
      </c>
      <c r="R3420" s="86">
        <f t="shared" si="1049"/>
        <v>0</v>
      </c>
      <c r="S3420" s="86">
        <f t="shared" si="1050"/>
        <v>0</v>
      </c>
      <c r="T3420" s="86">
        <f t="shared" si="1051"/>
        <v>-162.14000000000001</v>
      </c>
      <c r="U3420" s="87">
        <v>-162.14000000000001</v>
      </c>
    </row>
    <row r="3421" spans="1:21" s="30" customFormat="1" ht="24.6" hidden="1" outlineLevel="1" x14ac:dyDescent="0.55000000000000004">
      <c r="A3421" s="27" t="s">
        <v>327</v>
      </c>
      <c r="B3421" s="28"/>
      <c r="C3421" s="27"/>
      <c r="D3421" s="27" t="str">
        <f>"""NAV Direct"",""CRONUS JetCorp USA"",""21"",""1"",""429569"""</f>
        <v>"NAV Direct","CRONUS JetCorp USA","21","1","429569"</v>
      </c>
      <c r="E3421" s="31">
        <f t="shared" si="1044"/>
        <v>0</v>
      </c>
      <c r="F3421" s="31"/>
      <c r="G3421" s="31"/>
      <c r="H3421" s="31"/>
      <c r="I3421" s="56"/>
      <c r="J3421" s="56"/>
      <c r="K3421" s="82" t="str">
        <f t="shared" si="1052"/>
        <v>Credit Memo</v>
      </c>
      <c r="L3421" s="83" t="str">
        <f>"SC_100212"</f>
        <v>SC_100212</v>
      </c>
      <c r="M3421" s="84">
        <v>42961</v>
      </c>
      <c r="N3421" s="85">
        <f t="shared" si="1045"/>
        <v>851</v>
      </c>
      <c r="O3421" s="86">
        <f t="shared" si="1046"/>
        <v>-157.69999999999999</v>
      </c>
      <c r="P3421" s="86">
        <f t="shared" si="1047"/>
        <v>0</v>
      </c>
      <c r="Q3421" s="86">
        <f t="shared" si="1048"/>
        <v>0</v>
      </c>
      <c r="R3421" s="86">
        <f t="shared" si="1049"/>
        <v>0</v>
      </c>
      <c r="S3421" s="86">
        <f t="shared" si="1050"/>
        <v>0</v>
      </c>
      <c r="T3421" s="86">
        <f t="shared" si="1051"/>
        <v>-157.69999999999999</v>
      </c>
      <c r="U3421" s="87">
        <v>-157.69999999999999</v>
      </c>
    </row>
    <row r="3422" spans="1:21" s="30" customFormat="1" ht="24.6" hidden="1" outlineLevel="1" x14ac:dyDescent="0.55000000000000004">
      <c r="A3422" s="27" t="s">
        <v>327</v>
      </c>
      <c r="B3422" s="28"/>
      <c r="C3422" s="27"/>
      <c r="D3422" s="27" t="str">
        <f>"""NAV Direct"",""CRONUS JetCorp USA"",""21"",""1"",""429580"""</f>
        <v>"NAV Direct","CRONUS JetCorp USA","21","1","429580"</v>
      </c>
      <c r="E3422" s="31" t="str">
        <f t="shared" si="1044"/>
        <v>C100099</v>
      </c>
      <c r="F3422" s="31"/>
      <c r="G3422" s="31"/>
      <c r="H3422" s="31"/>
      <c r="I3422" s="56"/>
      <c r="J3422" s="56"/>
      <c r="K3422" s="82" t="str">
        <f t="shared" si="1052"/>
        <v>Credit Memo</v>
      </c>
      <c r="L3422" s="83" t="str">
        <f>"SC_100213"</f>
        <v>SC_100213</v>
      </c>
      <c r="M3422" s="84">
        <v>42960</v>
      </c>
      <c r="N3422" s="85">
        <f t="shared" si="1045"/>
        <v>852</v>
      </c>
      <c r="O3422" s="86">
        <f t="shared" si="1046"/>
        <v>-153.38999999999999</v>
      </c>
      <c r="P3422" s="86">
        <f t="shared" si="1047"/>
        <v>0</v>
      </c>
      <c r="Q3422" s="86">
        <f t="shared" si="1048"/>
        <v>0</v>
      </c>
      <c r="R3422" s="86">
        <f t="shared" si="1049"/>
        <v>0</v>
      </c>
      <c r="S3422" s="86">
        <f t="shared" si="1050"/>
        <v>0</v>
      </c>
      <c r="T3422" s="86">
        <f t="shared" si="1051"/>
        <v>-153.38999999999999</v>
      </c>
      <c r="U3422" s="87">
        <v>-153.38999999999999</v>
      </c>
    </row>
    <row r="3423" spans="1:21" s="30" customFormat="1" ht="24.6" hidden="1" outlineLevel="1" x14ac:dyDescent="0.55000000000000004">
      <c r="A3423" s="27" t="s">
        <v>327</v>
      </c>
      <c r="B3423" s="28"/>
      <c r="C3423" s="27"/>
      <c r="D3423" s="27" t="str">
        <f>"""NAV Direct"",""CRONUS JetCorp USA"",""21"",""1"",""429623"""</f>
        <v>"NAV Direct","CRONUS JetCorp USA","21","1","429623"</v>
      </c>
      <c r="E3423" s="31">
        <f t="shared" si="1044"/>
        <v>0</v>
      </c>
      <c r="F3423" s="31"/>
      <c r="G3423" s="31"/>
      <c r="H3423" s="31"/>
      <c r="I3423" s="56"/>
      <c r="J3423" s="56"/>
      <c r="K3423" s="82" t="str">
        <f t="shared" si="1052"/>
        <v>Credit Memo</v>
      </c>
      <c r="L3423" s="83" t="str">
        <f>"SC_100216"</f>
        <v>SC_100216</v>
      </c>
      <c r="M3423" s="84">
        <v>43061</v>
      </c>
      <c r="N3423" s="85">
        <f t="shared" si="1045"/>
        <v>751</v>
      </c>
      <c r="O3423" s="86">
        <f t="shared" si="1046"/>
        <v>-145.33000000000001</v>
      </c>
      <c r="P3423" s="86">
        <f t="shared" si="1047"/>
        <v>0</v>
      </c>
      <c r="Q3423" s="86">
        <f t="shared" si="1048"/>
        <v>0</v>
      </c>
      <c r="R3423" s="86">
        <f t="shared" si="1049"/>
        <v>0</v>
      </c>
      <c r="S3423" s="86">
        <f t="shared" si="1050"/>
        <v>0</v>
      </c>
      <c r="T3423" s="86">
        <f t="shared" si="1051"/>
        <v>-145.33000000000001</v>
      </c>
      <c r="U3423" s="87">
        <v>-145.33000000000001</v>
      </c>
    </row>
    <row r="3424" spans="1:21" s="30" customFormat="1" ht="24.6" hidden="1" outlineLevel="1" x14ac:dyDescent="0.55000000000000004">
      <c r="A3424" s="27" t="s">
        <v>327</v>
      </c>
      <c r="B3424" s="28"/>
      <c r="C3424" s="27"/>
      <c r="D3424" s="27" t="str">
        <f>"""NAV Direct"",""CRONUS JetCorp USA"",""21"",""1"",""429702"""</f>
        <v>"NAV Direct","CRONUS JetCorp USA","21","1","429702"</v>
      </c>
      <c r="E3424" s="31" t="str">
        <f t="shared" si="1044"/>
        <v>C100099</v>
      </c>
      <c r="F3424" s="31"/>
      <c r="G3424" s="31"/>
      <c r="H3424" s="31"/>
      <c r="I3424" s="56"/>
      <c r="J3424" s="56"/>
      <c r="K3424" s="82" t="str">
        <f t="shared" si="1052"/>
        <v>Credit Memo</v>
      </c>
      <c r="L3424" s="83" t="str">
        <f>"SC_100221"</f>
        <v>SC_100221</v>
      </c>
      <c r="M3424" s="84">
        <v>43234</v>
      </c>
      <c r="N3424" s="85">
        <f t="shared" si="1045"/>
        <v>578</v>
      </c>
      <c r="O3424" s="86">
        <f t="shared" si="1046"/>
        <v>-143.94999999999999</v>
      </c>
      <c r="P3424" s="86">
        <f t="shared" si="1047"/>
        <v>0</v>
      </c>
      <c r="Q3424" s="86">
        <f t="shared" si="1048"/>
        <v>0</v>
      </c>
      <c r="R3424" s="86">
        <f t="shared" si="1049"/>
        <v>0</v>
      </c>
      <c r="S3424" s="86">
        <f t="shared" si="1050"/>
        <v>0</v>
      </c>
      <c r="T3424" s="86">
        <f t="shared" si="1051"/>
        <v>-143.94999999999999</v>
      </c>
      <c r="U3424" s="87">
        <v>-143.94999999999999</v>
      </c>
    </row>
    <row r="3425" spans="1:21" s="30" customFormat="1" ht="24.6" hidden="1" outlineLevel="1" x14ac:dyDescent="0.55000000000000004">
      <c r="A3425" s="27" t="s">
        <v>327</v>
      </c>
      <c r="B3425" s="28"/>
      <c r="C3425" s="27"/>
      <c r="D3425" s="27" t="str">
        <f>"""NAV Direct"",""CRONUS JetCorp USA"",""21"",""1"",""429717"""</f>
        <v>"NAV Direct","CRONUS JetCorp USA","21","1","429717"</v>
      </c>
      <c r="E3425" s="31">
        <f t="shared" si="1044"/>
        <v>0</v>
      </c>
      <c r="F3425" s="31"/>
      <c r="G3425" s="31"/>
      <c r="H3425" s="31"/>
      <c r="I3425" s="56"/>
      <c r="J3425" s="56"/>
      <c r="K3425" s="82" t="str">
        <f t="shared" si="1052"/>
        <v>Credit Memo</v>
      </c>
      <c r="L3425" s="83" t="str">
        <f>"SC_100222"</f>
        <v>SC_100222</v>
      </c>
      <c r="M3425" s="84">
        <v>43232</v>
      </c>
      <c r="N3425" s="85">
        <f t="shared" si="1045"/>
        <v>580</v>
      </c>
      <c r="O3425" s="86">
        <f t="shared" si="1046"/>
        <v>-139.6</v>
      </c>
      <c r="P3425" s="86">
        <f t="shared" si="1047"/>
        <v>0</v>
      </c>
      <c r="Q3425" s="86">
        <f t="shared" si="1048"/>
        <v>0</v>
      </c>
      <c r="R3425" s="86">
        <f t="shared" si="1049"/>
        <v>0</v>
      </c>
      <c r="S3425" s="86">
        <f t="shared" si="1050"/>
        <v>0</v>
      </c>
      <c r="T3425" s="86">
        <f t="shared" si="1051"/>
        <v>-139.6</v>
      </c>
      <c r="U3425" s="87">
        <v>-139.6</v>
      </c>
    </row>
    <row r="3426" spans="1:21" s="30" customFormat="1" ht="24.6" hidden="1" outlineLevel="1" x14ac:dyDescent="0.55000000000000004">
      <c r="A3426" s="27" t="s">
        <v>327</v>
      </c>
      <c r="B3426" s="28"/>
      <c r="C3426" s="27"/>
      <c r="D3426" s="27" t="str">
        <f>"""NAV Direct"",""CRONUS JetCorp USA"",""21"",""1"",""429755"""</f>
        <v>"NAV Direct","CRONUS JetCorp USA","21","1","429755"</v>
      </c>
      <c r="E3426" s="31" t="str">
        <f t="shared" si="1044"/>
        <v>C100099</v>
      </c>
      <c r="F3426" s="31"/>
      <c r="G3426" s="31"/>
      <c r="H3426" s="31"/>
      <c r="I3426" s="56"/>
      <c r="J3426" s="56"/>
      <c r="K3426" s="82" t="str">
        <f t="shared" si="1052"/>
        <v>Credit Memo</v>
      </c>
      <c r="L3426" s="83" t="str">
        <f>"SC_100224"</f>
        <v>SC_100224</v>
      </c>
      <c r="M3426" s="84">
        <v>43269</v>
      </c>
      <c r="N3426" s="85">
        <f t="shared" si="1045"/>
        <v>543</v>
      </c>
      <c r="O3426" s="86">
        <f t="shared" si="1046"/>
        <v>-149.37</v>
      </c>
      <c r="P3426" s="86">
        <f t="shared" si="1047"/>
        <v>0</v>
      </c>
      <c r="Q3426" s="86">
        <f t="shared" si="1048"/>
        <v>0</v>
      </c>
      <c r="R3426" s="86">
        <f t="shared" si="1049"/>
        <v>0</v>
      </c>
      <c r="S3426" s="86">
        <f t="shared" si="1050"/>
        <v>0</v>
      </c>
      <c r="T3426" s="86">
        <f t="shared" si="1051"/>
        <v>-149.37</v>
      </c>
      <c r="U3426" s="87">
        <v>-149.37</v>
      </c>
    </row>
    <row r="3427" spans="1:21" s="30" customFormat="1" ht="24.6" hidden="1" outlineLevel="1" x14ac:dyDescent="0.55000000000000004">
      <c r="A3427" s="27" t="s">
        <v>327</v>
      </c>
      <c r="B3427" s="28"/>
      <c r="C3427" s="27"/>
      <c r="D3427" s="27" t="str">
        <f>"""NAV Direct"",""CRONUS JetCorp USA"",""21"",""1"",""429792"""</f>
        <v>"NAV Direct","CRONUS JetCorp USA","21","1","429792"</v>
      </c>
      <c r="E3427" s="31">
        <f t="shared" si="1044"/>
        <v>0</v>
      </c>
      <c r="F3427" s="31"/>
      <c r="G3427" s="31"/>
      <c r="H3427" s="31"/>
      <c r="I3427" s="56"/>
      <c r="J3427" s="56"/>
      <c r="K3427" s="82" t="str">
        <f t="shared" si="1052"/>
        <v>Credit Memo</v>
      </c>
      <c r="L3427" s="83" t="str">
        <f>"SC_100227"</f>
        <v>SC_100227</v>
      </c>
      <c r="M3427" s="84">
        <v>43367</v>
      </c>
      <c r="N3427" s="85">
        <f t="shared" si="1045"/>
        <v>445</v>
      </c>
      <c r="O3427" s="86">
        <f t="shared" si="1046"/>
        <v>-150.47999999999999</v>
      </c>
      <c r="P3427" s="86">
        <f t="shared" si="1047"/>
        <v>0</v>
      </c>
      <c r="Q3427" s="86">
        <f t="shared" si="1048"/>
        <v>0</v>
      </c>
      <c r="R3427" s="86">
        <f t="shared" si="1049"/>
        <v>0</v>
      </c>
      <c r="S3427" s="86">
        <f t="shared" si="1050"/>
        <v>0</v>
      </c>
      <c r="T3427" s="86">
        <f t="shared" si="1051"/>
        <v>-150.47999999999999</v>
      </c>
      <c r="U3427" s="87">
        <v>-150.47999999999999</v>
      </c>
    </row>
    <row r="3428" spans="1:21" s="30" customFormat="1" ht="24.6" hidden="1" outlineLevel="1" x14ac:dyDescent="0.55000000000000004">
      <c r="A3428" s="27" t="s">
        <v>327</v>
      </c>
      <c r="B3428" s="28"/>
      <c r="C3428" s="27"/>
      <c r="D3428" s="27" t="str">
        <f>"""NAV Direct"",""CRONUS JetCorp USA"",""21"",""1"",""429839"""</f>
        <v>"NAV Direct","CRONUS JetCorp USA","21","1","429839"</v>
      </c>
      <c r="E3428" s="31" t="str">
        <f t="shared" si="1044"/>
        <v>C100099</v>
      </c>
      <c r="F3428" s="31"/>
      <c r="G3428" s="31"/>
      <c r="H3428" s="31"/>
      <c r="I3428" s="56"/>
      <c r="J3428" s="56"/>
      <c r="K3428" s="82" t="str">
        <f t="shared" si="1052"/>
        <v>Credit Memo</v>
      </c>
      <c r="L3428" s="83" t="str">
        <f>"SC_100230"</f>
        <v>SC_100230</v>
      </c>
      <c r="M3428" s="84">
        <v>43445</v>
      </c>
      <c r="N3428" s="85">
        <f t="shared" si="1045"/>
        <v>367</v>
      </c>
      <c r="O3428" s="86">
        <f t="shared" si="1046"/>
        <v>-149.43</v>
      </c>
      <c r="P3428" s="86">
        <f t="shared" si="1047"/>
        <v>0</v>
      </c>
      <c r="Q3428" s="86">
        <f t="shared" si="1048"/>
        <v>0</v>
      </c>
      <c r="R3428" s="86">
        <f t="shared" si="1049"/>
        <v>0</v>
      </c>
      <c r="S3428" s="86">
        <f t="shared" si="1050"/>
        <v>0</v>
      </c>
      <c r="T3428" s="86">
        <f t="shared" si="1051"/>
        <v>-149.43</v>
      </c>
      <c r="U3428" s="87">
        <v>-149.43</v>
      </c>
    </row>
    <row r="3429" spans="1:21" s="30" customFormat="1" ht="24.6" hidden="1" outlineLevel="1" x14ac:dyDescent="0.55000000000000004">
      <c r="A3429" s="27" t="s">
        <v>327</v>
      </c>
      <c r="B3429" s="28"/>
      <c r="C3429" s="27"/>
      <c r="D3429" s="27" t="str">
        <f>"""NAV Direct"",""CRONUS JetCorp USA"",""21"",""1"",""429852"""</f>
        <v>"NAV Direct","CRONUS JetCorp USA","21","1","429852"</v>
      </c>
      <c r="E3429" s="31">
        <f t="shared" si="1044"/>
        <v>0</v>
      </c>
      <c r="F3429" s="31"/>
      <c r="G3429" s="31"/>
      <c r="H3429" s="31"/>
      <c r="I3429" s="56"/>
      <c r="J3429" s="56"/>
      <c r="K3429" s="82" t="str">
        <f t="shared" si="1052"/>
        <v>Credit Memo</v>
      </c>
      <c r="L3429" s="83" t="str">
        <f>"SC_100231"</f>
        <v>SC_100231</v>
      </c>
      <c r="M3429" s="84">
        <v>43452</v>
      </c>
      <c r="N3429" s="85">
        <f t="shared" si="1045"/>
        <v>360</v>
      </c>
      <c r="O3429" s="86">
        <f t="shared" si="1046"/>
        <v>-157.57000000000002</v>
      </c>
      <c r="P3429" s="86">
        <f t="shared" si="1047"/>
        <v>0</v>
      </c>
      <c r="Q3429" s="86">
        <f t="shared" si="1048"/>
        <v>0</v>
      </c>
      <c r="R3429" s="86">
        <f t="shared" si="1049"/>
        <v>0</v>
      </c>
      <c r="S3429" s="86">
        <f t="shared" si="1050"/>
        <v>0</v>
      </c>
      <c r="T3429" s="86">
        <f t="shared" si="1051"/>
        <v>-157.57000000000002</v>
      </c>
      <c r="U3429" s="87">
        <v>-157.57000000000002</v>
      </c>
    </row>
    <row r="3430" spans="1:21" s="30" customFormat="1" ht="24.6" hidden="1" outlineLevel="1" x14ac:dyDescent="0.55000000000000004">
      <c r="A3430" s="27" t="s">
        <v>327</v>
      </c>
      <c r="B3430" s="28"/>
      <c r="C3430" s="27"/>
      <c r="D3430" s="27" t="str">
        <f>"""NAV Direct"",""CRONUS JetCorp USA"",""21"",""1"",""429876"""</f>
        <v>"NAV Direct","CRONUS JetCorp USA","21","1","429876"</v>
      </c>
      <c r="E3430" s="31" t="str">
        <f t="shared" si="1044"/>
        <v>C100099</v>
      </c>
      <c r="F3430" s="31"/>
      <c r="G3430" s="31"/>
      <c r="H3430" s="31"/>
      <c r="I3430" s="56"/>
      <c r="J3430" s="56"/>
      <c r="K3430" s="82" t="str">
        <f t="shared" si="1052"/>
        <v>Credit Memo</v>
      </c>
      <c r="L3430" s="83" t="str">
        <f>"SC_100233"</f>
        <v>SC_100233</v>
      </c>
      <c r="M3430" s="84">
        <v>43534</v>
      </c>
      <c r="N3430" s="85">
        <f t="shared" si="1045"/>
        <v>278</v>
      </c>
      <c r="O3430" s="86">
        <f t="shared" si="1046"/>
        <v>-151.79</v>
      </c>
      <c r="P3430" s="86">
        <f t="shared" si="1047"/>
        <v>0</v>
      </c>
      <c r="Q3430" s="86">
        <f t="shared" si="1048"/>
        <v>0</v>
      </c>
      <c r="R3430" s="86">
        <f t="shared" si="1049"/>
        <v>0</v>
      </c>
      <c r="S3430" s="86">
        <f t="shared" si="1050"/>
        <v>0</v>
      </c>
      <c r="T3430" s="86">
        <f t="shared" si="1051"/>
        <v>-151.79</v>
      </c>
      <c r="U3430" s="87">
        <v>-151.79</v>
      </c>
    </row>
    <row r="3431" spans="1:21" s="30" customFormat="1" ht="24.6" hidden="1" outlineLevel="1" x14ac:dyDescent="0.55000000000000004">
      <c r="A3431" s="27" t="s">
        <v>327</v>
      </c>
      <c r="B3431" s="28"/>
      <c r="C3431" s="27"/>
      <c r="D3431" s="27" t="str">
        <f>"""NAV Direct"",""CRONUS JetCorp USA"",""21"",""1"",""429917"""</f>
        <v>"NAV Direct","CRONUS JetCorp USA","21","1","429917"</v>
      </c>
      <c r="E3431" s="31">
        <f t="shared" si="1044"/>
        <v>0</v>
      </c>
      <c r="F3431" s="31"/>
      <c r="G3431" s="31"/>
      <c r="H3431" s="31"/>
      <c r="I3431" s="56"/>
      <c r="J3431" s="56"/>
      <c r="K3431" s="82" t="str">
        <f t="shared" si="1052"/>
        <v>Credit Memo</v>
      </c>
      <c r="L3431" s="83" t="str">
        <f>"SC_100236"</f>
        <v>SC_100236</v>
      </c>
      <c r="M3431" s="84">
        <v>43565</v>
      </c>
      <c r="N3431" s="85">
        <f t="shared" si="1045"/>
        <v>247</v>
      </c>
      <c r="O3431" s="86">
        <f t="shared" si="1046"/>
        <v>-182</v>
      </c>
      <c r="P3431" s="86">
        <f t="shared" si="1047"/>
        <v>0</v>
      </c>
      <c r="Q3431" s="86">
        <f t="shared" si="1048"/>
        <v>0</v>
      </c>
      <c r="R3431" s="86">
        <f t="shared" si="1049"/>
        <v>0</v>
      </c>
      <c r="S3431" s="86">
        <f t="shared" si="1050"/>
        <v>0</v>
      </c>
      <c r="T3431" s="86">
        <f t="shared" si="1051"/>
        <v>-182</v>
      </c>
      <c r="U3431" s="87">
        <v>-182</v>
      </c>
    </row>
    <row r="3432" spans="1:21" s="30" customFormat="1" ht="24.6" hidden="1" outlineLevel="1" x14ac:dyDescent="0.55000000000000004">
      <c r="A3432" s="27" t="s">
        <v>327</v>
      </c>
      <c r="B3432" s="28"/>
      <c r="C3432" s="27"/>
      <c r="D3432" s="27" t="str">
        <f>"""NAV Direct"",""CRONUS JetCorp USA"",""21"",""1"",""429926"""</f>
        <v>"NAV Direct","CRONUS JetCorp USA","21","1","429926"</v>
      </c>
      <c r="E3432" s="31" t="str">
        <f t="shared" si="1044"/>
        <v>C100099</v>
      </c>
      <c r="F3432" s="31"/>
      <c r="G3432" s="31"/>
      <c r="H3432" s="31"/>
      <c r="I3432" s="56"/>
      <c r="J3432" s="56"/>
      <c r="K3432" s="82" t="str">
        <f t="shared" si="1052"/>
        <v>Credit Memo</v>
      </c>
      <c r="L3432" s="83" t="str">
        <f>"SC_100237"</f>
        <v>SC_100237</v>
      </c>
      <c r="M3432" s="84">
        <v>43569</v>
      </c>
      <c r="N3432" s="85">
        <f t="shared" si="1045"/>
        <v>243</v>
      </c>
      <c r="O3432" s="86">
        <f t="shared" si="1046"/>
        <v>-170.16</v>
      </c>
      <c r="P3432" s="86">
        <f t="shared" si="1047"/>
        <v>0</v>
      </c>
      <c r="Q3432" s="86">
        <f t="shared" si="1048"/>
        <v>0</v>
      </c>
      <c r="R3432" s="86">
        <f t="shared" si="1049"/>
        <v>0</v>
      </c>
      <c r="S3432" s="86">
        <f t="shared" si="1050"/>
        <v>0</v>
      </c>
      <c r="T3432" s="86">
        <f t="shared" si="1051"/>
        <v>-170.16</v>
      </c>
      <c r="U3432" s="87">
        <v>-170.16</v>
      </c>
    </row>
    <row r="3433" spans="1:21" s="30" customFormat="1" ht="24.6" hidden="1" outlineLevel="1" x14ac:dyDescent="0.55000000000000004">
      <c r="A3433" s="27" t="s">
        <v>327</v>
      </c>
      <c r="B3433" s="28"/>
      <c r="C3433" s="27"/>
      <c r="D3433" s="27" t="str">
        <f>"""NAV Direct"",""CRONUS JetCorp USA"",""21"",""1"",""429988"""</f>
        <v>"NAV Direct","CRONUS JetCorp USA","21","1","429988"</v>
      </c>
      <c r="E3433" s="31">
        <f t="shared" si="1044"/>
        <v>0</v>
      </c>
      <c r="F3433" s="31"/>
      <c r="G3433" s="31"/>
      <c r="H3433" s="31"/>
      <c r="I3433" s="56"/>
      <c r="J3433" s="56"/>
      <c r="K3433" s="82" t="str">
        <f t="shared" si="1052"/>
        <v>Credit Memo</v>
      </c>
      <c r="L3433" s="83" t="str">
        <f>"SC_100241"</f>
        <v>SC_100241</v>
      </c>
      <c r="M3433" s="84">
        <v>43628</v>
      </c>
      <c r="N3433" s="85">
        <f t="shared" si="1045"/>
        <v>184</v>
      </c>
      <c r="O3433" s="86">
        <f t="shared" si="1046"/>
        <v>-218.54</v>
      </c>
      <c r="P3433" s="86">
        <f t="shared" si="1047"/>
        <v>0</v>
      </c>
      <c r="Q3433" s="86">
        <f t="shared" si="1048"/>
        <v>0</v>
      </c>
      <c r="R3433" s="86">
        <f t="shared" si="1049"/>
        <v>0</v>
      </c>
      <c r="S3433" s="86">
        <f t="shared" si="1050"/>
        <v>0</v>
      </c>
      <c r="T3433" s="86">
        <f t="shared" si="1051"/>
        <v>-218.54</v>
      </c>
      <c r="U3433" s="87">
        <v>-218.54</v>
      </c>
    </row>
    <row r="3434" spans="1:21" s="30" customFormat="1" ht="24.6" hidden="1" outlineLevel="1" x14ac:dyDescent="0.55000000000000004">
      <c r="A3434" s="27" t="s">
        <v>327</v>
      </c>
      <c r="B3434" s="28"/>
      <c r="C3434" s="27"/>
      <c r="D3434" s="27" t="str">
        <f>"""NAV Direct"",""CRONUS JetCorp USA"",""21"",""1"",""430022"""</f>
        <v>"NAV Direct","CRONUS JetCorp USA","21","1","430022"</v>
      </c>
      <c r="E3434" s="31" t="str">
        <f t="shared" si="1044"/>
        <v>C100099</v>
      </c>
      <c r="F3434" s="31"/>
      <c r="G3434" s="31"/>
      <c r="H3434" s="31"/>
      <c r="I3434" s="56"/>
      <c r="J3434" s="56"/>
      <c r="K3434" s="82" t="str">
        <f t="shared" si="1052"/>
        <v>Credit Memo</v>
      </c>
      <c r="L3434" s="83" t="str">
        <f>"SC_100243"</f>
        <v>SC_100243</v>
      </c>
      <c r="M3434" s="84">
        <v>43658</v>
      </c>
      <c r="N3434" s="85">
        <f t="shared" si="1045"/>
        <v>154</v>
      </c>
      <c r="O3434" s="86">
        <f t="shared" si="1046"/>
        <v>-145.03</v>
      </c>
      <c r="P3434" s="86">
        <f t="shared" si="1047"/>
        <v>0</v>
      </c>
      <c r="Q3434" s="86">
        <f t="shared" si="1048"/>
        <v>0</v>
      </c>
      <c r="R3434" s="86">
        <f t="shared" si="1049"/>
        <v>0</v>
      </c>
      <c r="S3434" s="86">
        <f t="shared" si="1050"/>
        <v>0</v>
      </c>
      <c r="T3434" s="86">
        <f t="shared" si="1051"/>
        <v>-145.03</v>
      </c>
      <c r="U3434" s="87">
        <v>-145.03</v>
      </c>
    </row>
    <row r="3435" spans="1:21" s="30" customFormat="1" ht="24.6" hidden="1" outlineLevel="1" x14ac:dyDescent="0.55000000000000004">
      <c r="A3435" s="27" t="s">
        <v>327</v>
      </c>
      <c r="B3435" s="28"/>
      <c r="C3435" s="27"/>
      <c r="D3435" s="27" t="str">
        <f>"""NAV Direct"",""CRONUS JetCorp USA"",""21"",""1"",""430048"""</f>
        <v>"NAV Direct","CRONUS JetCorp USA","21","1","430048"</v>
      </c>
      <c r="E3435" s="31">
        <f t="shared" si="1044"/>
        <v>0</v>
      </c>
      <c r="F3435" s="31"/>
      <c r="G3435" s="31"/>
      <c r="H3435" s="31"/>
      <c r="I3435" s="56"/>
      <c r="J3435" s="56"/>
      <c r="K3435" s="82" t="str">
        <f t="shared" si="1052"/>
        <v>Credit Memo</v>
      </c>
      <c r="L3435" s="83" t="str">
        <f>"SC_100245"</f>
        <v>SC_100245</v>
      </c>
      <c r="M3435" s="84">
        <v>43668</v>
      </c>
      <c r="N3435" s="85">
        <f t="shared" si="1045"/>
        <v>144</v>
      </c>
      <c r="O3435" s="86">
        <f t="shared" si="1046"/>
        <v>-160.77000000000001</v>
      </c>
      <c r="P3435" s="86">
        <f t="shared" si="1047"/>
        <v>0</v>
      </c>
      <c r="Q3435" s="86">
        <f t="shared" si="1048"/>
        <v>0</v>
      </c>
      <c r="R3435" s="86">
        <f t="shared" si="1049"/>
        <v>0</v>
      </c>
      <c r="S3435" s="86">
        <f t="shared" si="1050"/>
        <v>0</v>
      </c>
      <c r="T3435" s="86">
        <f t="shared" si="1051"/>
        <v>-160.77000000000001</v>
      </c>
      <c r="U3435" s="87">
        <v>-160.77000000000001</v>
      </c>
    </row>
    <row r="3436" spans="1:21" s="30" customFormat="1" ht="24.6" hidden="1" outlineLevel="1" x14ac:dyDescent="0.55000000000000004">
      <c r="A3436" s="27" t="s">
        <v>327</v>
      </c>
      <c r="B3436" s="28"/>
      <c r="C3436" s="27"/>
      <c r="D3436" s="27" t="str">
        <f>"""NAV Direct"",""CRONUS JetCorp USA"",""21"",""1"",""430061"""</f>
        <v>"NAV Direct","CRONUS JetCorp USA","21","1","430061"</v>
      </c>
      <c r="E3436" s="31" t="str">
        <f t="shared" si="1044"/>
        <v>C100099</v>
      </c>
      <c r="F3436" s="31"/>
      <c r="G3436" s="31"/>
      <c r="H3436" s="31"/>
      <c r="I3436" s="56"/>
      <c r="J3436" s="56"/>
      <c r="K3436" s="82" t="str">
        <f t="shared" si="1052"/>
        <v>Credit Memo</v>
      </c>
      <c r="L3436" s="83" t="str">
        <f>"SC_100246"</f>
        <v>SC_100246</v>
      </c>
      <c r="M3436" s="84">
        <v>43696</v>
      </c>
      <c r="N3436" s="85">
        <f t="shared" si="1045"/>
        <v>116</v>
      </c>
      <c r="O3436" s="86">
        <f t="shared" si="1046"/>
        <v>-148.93</v>
      </c>
      <c r="P3436" s="86">
        <f t="shared" si="1047"/>
        <v>0</v>
      </c>
      <c r="Q3436" s="86">
        <f t="shared" si="1048"/>
        <v>0</v>
      </c>
      <c r="R3436" s="86">
        <f t="shared" si="1049"/>
        <v>0</v>
      </c>
      <c r="S3436" s="86">
        <f t="shared" si="1050"/>
        <v>0</v>
      </c>
      <c r="T3436" s="86">
        <f t="shared" si="1051"/>
        <v>-148.93</v>
      </c>
      <c r="U3436" s="87">
        <v>-148.93</v>
      </c>
    </row>
    <row r="3437" spans="1:21" s="30" customFormat="1" ht="24.6" hidden="1" outlineLevel="1" x14ac:dyDescent="0.55000000000000004">
      <c r="A3437" s="27" t="s">
        <v>327</v>
      </c>
      <c r="B3437" s="28"/>
      <c r="C3437" s="27"/>
      <c r="D3437" s="27" t="str">
        <f>"""NAV Direct"",""CRONUS JetCorp USA"",""21"",""1"",""430076"""</f>
        <v>"NAV Direct","CRONUS JetCorp USA","21","1","430076"</v>
      </c>
      <c r="E3437" s="31">
        <f t="shared" si="1044"/>
        <v>0</v>
      </c>
      <c r="F3437" s="31"/>
      <c r="G3437" s="31"/>
      <c r="H3437" s="31"/>
      <c r="I3437" s="56"/>
      <c r="J3437" s="56"/>
      <c r="K3437" s="82" t="str">
        <f t="shared" si="1052"/>
        <v>Credit Memo</v>
      </c>
      <c r="L3437" s="83" t="str">
        <f>"SC_100247"</f>
        <v>SC_100247</v>
      </c>
      <c r="M3437" s="84">
        <v>43715</v>
      </c>
      <c r="N3437" s="85">
        <f t="shared" si="1045"/>
        <v>97</v>
      </c>
      <c r="O3437" s="86">
        <f t="shared" si="1046"/>
        <v>-157.87</v>
      </c>
      <c r="P3437" s="86">
        <f t="shared" si="1047"/>
        <v>0</v>
      </c>
      <c r="Q3437" s="86">
        <f t="shared" si="1048"/>
        <v>0</v>
      </c>
      <c r="R3437" s="86">
        <f t="shared" si="1049"/>
        <v>0</v>
      </c>
      <c r="S3437" s="86">
        <f t="shared" si="1050"/>
        <v>0</v>
      </c>
      <c r="T3437" s="86">
        <f t="shared" si="1051"/>
        <v>-157.87</v>
      </c>
      <c r="U3437" s="87">
        <v>-157.87</v>
      </c>
    </row>
    <row r="3438" spans="1:21" s="30" customFormat="1" ht="24.6" hidden="1" outlineLevel="1" x14ac:dyDescent="0.55000000000000004">
      <c r="A3438" s="27" t="s">
        <v>327</v>
      </c>
      <c r="B3438" s="28"/>
      <c r="C3438" s="27"/>
      <c r="D3438" s="27" t="str">
        <f>"""NAV Direct"",""CRONUS JetCorp USA"",""21"",""1"",""430103"""</f>
        <v>"NAV Direct","CRONUS JetCorp USA","21","1","430103"</v>
      </c>
      <c r="E3438" s="31" t="str">
        <f t="shared" si="1044"/>
        <v>C100099</v>
      </c>
      <c r="F3438" s="31"/>
      <c r="G3438" s="31"/>
      <c r="H3438" s="31"/>
      <c r="I3438" s="56"/>
      <c r="J3438" s="56"/>
      <c r="K3438" s="82" t="str">
        <f t="shared" si="1052"/>
        <v>Credit Memo</v>
      </c>
      <c r="L3438" s="83" t="str">
        <f>"SC_100248"</f>
        <v>SC_100248</v>
      </c>
      <c r="M3438" s="84">
        <v>43717</v>
      </c>
      <c r="N3438" s="85">
        <f t="shared" si="1045"/>
        <v>95</v>
      </c>
      <c r="O3438" s="86">
        <f t="shared" si="1046"/>
        <v>-158.31</v>
      </c>
      <c r="P3438" s="86">
        <f t="shared" si="1047"/>
        <v>0</v>
      </c>
      <c r="Q3438" s="86">
        <f t="shared" si="1048"/>
        <v>0</v>
      </c>
      <c r="R3438" s="86">
        <f t="shared" si="1049"/>
        <v>0</v>
      </c>
      <c r="S3438" s="86">
        <f t="shared" si="1050"/>
        <v>0</v>
      </c>
      <c r="T3438" s="86">
        <f t="shared" si="1051"/>
        <v>-158.31</v>
      </c>
      <c r="U3438" s="87">
        <v>-158.31</v>
      </c>
    </row>
    <row r="3439" spans="1:21" s="30" customFormat="1" ht="24.6" hidden="1" outlineLevel="1" x14ac:dyDescent="0.55000000000000004">
      <c r="A3439" s="27" t="s">
        <v>327</v>
      </c>
      <c r="B3439" s="28"/>
      <c r="C3439" s="27"/>
      <c r="D3439" s="27" t="str">
        <f>"""NAV Direct"",""CRONUS JetCorp USA"",""21"",""1"",""430139"""</f>
        <v>"NAV Direct","CRONUS JetCorp USA","21","1","430139"</v>
      </c>
      <c r="E3439" s="31">
        <f t="shared" si="1044"/>
        <v>0</v>
      </c>
      <c r="F3439" s="31"/>
      <c r="G3439" s="31"/>
      <c r="H3439" s="31"/>
      <c r="I3439" s="56"/>
      <c r="J3439" s="56"/>
      <c r="K3439" s="82" t="str">
        <f t="shared" si="1052"/>
        <v>Credit Memo</v>
      </c>
      <c r="L3439" s="83" t="str">
        <f>"SC_100250"</f>
        <v>SC_100250</v>
      </c>
      <c r="M3439" s="84">
        <v>42017</v>
      </c>
      <c r="N3439" s="85">
        <f t="shared" si="1045"/>
        <v>1795</v>
      </c>
      <c r="O3439" s="86">
        <f t="shared" si="1046"/>
        <v>-169.95999999999998</v>
      </c>
      <c r="P3439" s="86">
        <f t="shared" si="1047"/>
        <v>0</v>
      </c>
      <c r="Q3439" s="86">
        <f t="shared" si="1048"/>
        <v>0</v>
      </c>
      <c r="R3439" s="86">
        <f t="shared" si="1049"/>
        <v>0</v>
      </c>
      <c r="S3439" s="86">
        <f t="shared" si="1050"/>
        <v>0</v>
      </c>
      <c r="T3439" s="86">
        <f t="shared" si="1051"/>
        <v>-169.95999999999998</v>
      </c>
      <c r="U3439" s="87">
        <v>-169.95999999999998</v>
      </c>
    </row>
    <row r="3440" spans="1:21" s="30" customFormat="1" ht="24.6" hidden="1" outlineLevel="1" x14ac:dyDescent="0.55000000000000004">
      <c r="A3440" s="27" t="s">
        <v>327</v>
      </c>
      <c r="B3440" s="28"/>
      <c r="C3440" s="27"/>
      <c r="D3440" s="27" t="str">
        <f>"""NAV Direct"",""CRONUS JetCorp USA"",""21"",""1"",""430160"""</f>
        <v>"NAV Direct","CRONUS JetCorp USA","21","1","430160"</v>
      </c>
      <c r="E3440" s="31" t="str">
        <f t="shared" si="1044"/>
        <v>C100099</v>
      </c>
      <c r="F3440" s="31"/>
      <c r="G3440" s="31"/>
      <c r="H3440" s="31"/>
      <c r="I3440" s="56"/>
      <c r="J3440" s="56"/>
      <c r="K3440" s="82" t="str">
        <f t="shared" si="1052"/>
        <v>Credit Memo</v>
      </c>
      <c r="L3440" s="83" t="str">
        <f>"SC_100251"</f>
        <v>SC_100251</v>
      </c>
      <c r="M3440" s="84">
        <v>42019</v>
      </c>
      <c r="N3440" s="85">
        <f t="shared" si="1045"/>
        <v>1793</v>
      </c>
      <c r="O3440" s="86">
        <f t="shared" si="1046"/>
        <v>-164.47</v>
      </c>
      <c r="P3440" s="86">
        <f t="shared" si="1047"/>
        <v>0</v>
      </c>
      <c r="Q3440" s="86">
        <f t="shared" si="1048"/>
        <v>0</v>
      </c>
      <c r="R3440" s="86">
        <f t="shared" si="1049"/>
        <v>0</v>
      </c>
      <c r="S3440" s="86">
        <f t="shared" si="1050"/>
        <v>0</v>
      </c>
      <c r="T3440" s="86">
        <f t="shared" si="1051"/>
        <v>-164.47</v>
      </c>
      <c r="U3440" s="87">
        <v>-164.47</v>
      </c>
    </row>
    <row r="3441" spans="1:22" s="30" customFormat="1" ht="24.6" hidden="1" outlineLevel="1" x14ac:dyDescent="0.55000000000000004">
      <c r="A3441" s="27" t="s">
        <v>327</v>
      </c>
      <c r="B3441" s="28"/>
      <c r="C3441" s="27"/>
      <c r="D3441" s="27" t="str">
        <f>"""NAV Direct"",""CRONUS JetCorp USA"",""21"",""1"",""430175"""</f>
        <v>"NAV Direct","CRONUS JetCorp USA","21","1","430175"</v>
      </c>
      <c r="E3441" s="31">
        <f t="shared" si="1044"/>
        <v>0</v>
      </c>
      <c r="F3441" s="31"/>
      <c r="G3441" s="31"/>
      <c r="H3441" s="31"/>
      <c r="I3441" s="56"/>
      <c r="J3441" s="56"/>
      <c r="K3441" s="82" t="str">
        <f t="shared" si="1052"/>
        <v>Credit Memo</v>
      </c>
      <c r="L3441" s="83" t="str">
        <f>"SC_100252"</f>
        <v>SC_100252</v>
      </c>
      <c r="M3441" s="84">
        <v>42039</v>
      </c>
      <c r="N3441" s="85">
        <f t="shared" si="1045"/>
        <v>1773</v>
      </c>
      <c r="O3441" s="86">
        <f t="shared" si="1046"/>
        <v>-170.73999999999998</v>
      </c>
      <c r="P3441" s="86">
        <f t="shared" si="1047"/>
        <v>0</v>
      </c>
      <c r="Q3441" s="86">
        <f t="shared" si="1048"/>
        <v>0</v>
      </c>
      <c r="R3441" s="86">
        <f t="shared" si="1049"/>
        <v>0</v>
      </c>
      <c r="S3441" s="86">
        <f t="shared" si="1050"/>
        <v>0</v>
      </c>
      <c r="T3441" s="86">
        <f t="shared" si="1051"/>
        <v>-170.73999999999998</v>
      </c>
      <c r="U3441" s="87">
        <v>-170.73999999999998</v>
      </c>
    </row>
    <row r="3442" spans="1:22" s="30" customFormat="1" ht="24.6" hidden="1" outlineLevel="1" x14ac:dyDescent="0.55000000000000004">
      <c r="A3442" s="27" t="s">
        <v>327</v>
      </c>
      <c r="B3442" s="28"/>
      <c r="C3442" s="27"/>
      <c r="D3442" s="27" t="str">
        <f>"""NAV Direct"",""CRONUS JetCorp USA"",""21"",""1"",""430184"""</f>
        <v>"NAV Direct","CRONUS JetCorp USA","21","1","430184"</v>
      </c>
      <c r="E3442" s="31" t="str">
        <f t="shared" ref="E3442:E3449" si="1053">E3440</f>
        <v>C100099</v>
      </c>
      <c r="F3442" s="31"/>
      <c r="G3442" s="31"/>
      <c r="H3442" s="31"/>
      <c r="I3442" s="56"/>
      <c r="J3442" s="56"/>
      <c r="K3442" s="82" t="str">
        <f t="shared" si="1052"/>
        <v>Credit Memo</v>
      </c>
      <c r="L3442" s="83" t="str">
        <f>"SC_100253"</f>
        <v>SC_100253</v>
      </c>
      <c r="M3442" s="84">
        <v>42043</v>
      </c>
      <c r="N3442" s="85">
        <f t="shared" ref="N3442:N3449" si="1054">StartDate-$M3442+1</f>
        <v>1769</v>
      </c>
      <c r="O3442" s="86">
        <f t="shared" ref="O3442:O3449" si="1055">SUM(P3442:T3442)</f>
        <v>-172.26</v>
      </c>
      <c r="P3442" s="86">
        <f t="shared" ref="P3442:P3449" si="1056">IF($M3442&gt;=$P$18,U3442,0)</f>
        <v>0</v>
      </c>
      <c r="Q3442" s="86">
        <f t="shared" ref="Q3442:Q3449" si="1057">IF(AND($M3442&gt;=$Q$16,$M3442&lt;=$Q$18),U3442,0)</f>
        <v>0</v>
      </c>
      <c r="R3442" s="86">
        <f t="shared" ref="R3442:R3449" si="1058">IF(AND($M3442&gt;=$R$16,$M3442&lt;=$R$18),U3442,0)</f>
        <v>0</v>
      </c>
      <c r="S3442" s="86">
        <f t="shared" ref="S3442:S3449" si="1059">IF(AND($M3442&gt;=$S$16,$M3442&lt;=$S$18),U3442,0)</f>
        <v>0</v>
      </c>
      <c r="T3442" s="86">
        <f t="shared" ref="T3442:T3449" si="1060">IF($M3442&lt;=$T$18,U3442,0)</f>
        <v>-172.26</v>
      </c>
      <c r="U3442" s="87">
        <v>-172.26</v>
      </c>
    </row>
    <row r="3443" spans="1:22" s="30" customFormat="1" ht="24.6" hidden="1" outlineLevel="1" x14ac:dyDescent="0.55000000000000004">
      <c r="A3443" s="27" t="s">
        <v>327</v>
      </c>
      <c r="B3443" s="28"/>
      <c r="C3443" s="27"/>
      <c r="D3443" s="27" t="str">
        <f>"""NAV Direct"",""CRONUS JetCorp USA"",""21"",""1"",""430195"""</f>
        <v>"NAV Direct","CRONUS JetCorp USA","21","1","430195"</v>
      </c>
      <c r="E3443" s="31">
        <f t="shared" si="1053"/>
        <v>0</v>
      </c>
      <c r="F3443" s="31"/>
      <c r="G3443" s="31"/>
      <c r="H3443" s="31"/>
      <c r="I3443" s="56"/>
      <c r="J3443" s="56"/>
      <c r="K3443" s="82" t="str">
        <f t="shared" si="1052"/>
        <v>Credit Memo</v>
      </c>
      <c r="L3443" s="83" t="str">
        <f>"SC_100254"</f>
        <v>SC_100254</v>
      </c>
      <c r="M3443" s="84">
        <v>42045</v>
      </c>
      <c r="N3443" s="85">
        <f t="shared" si="1054"/>
        <v>1767</v>
      </c>
      <c r="O3443" s="86">
        <f t="shared" si="1055"/>
        <v>-165.16</v>
      </c>
      <c r="P3443" s="86">
        <f t="shared" si="1056"/>
        <v>0</v>
      </c>
      <c r="Q3443" s="86">
        <f t="shared" si="1057"/>
        <v>0</v>
      </c>
      <c r="R3443" s="86">
        <f t="shared" si="1058"/>
        <v>0</v>
      </c>
      <c r="S3443" s="86">
        <f t="shared" si="1059"/>
        <v>0</v>
      </c>
      <c r="T3443" s="86">
        <f t="shared" si="1060"/>
        <v>-165.16</v>
      </c>
      <c r="U3443" s="87">
        <v>-165.16</v>
      </c>
    </row>
    <row r="3444" spans="1:22" s="30" customFormat="1" ht="24.6" hidden="1" outlineLevel="1" x14ac:dyDescent="0.55000000000000004">
      <c r="A3444" s="27" t="s">
        <v>327</v>
      </c>
      <c r="B3444" s="28"/>
      <c r="C3444" s="27"/>
      <c r="D3444" s="27" t="str">
        <f>"""NAV Direct"",""CRONUS JetCorp USA"",""21"",""1"",""430218"""</f>
        <v>"NAV Direct","CRONUS JetCorp USA","21","1","430218"</v>
      </c>
      <c r="E3444" s="31" t="str">
        <f t="shared" si="1053"/>
        <v>C100099</v>
      </c>
      <c r="F3444" s="31"/>
      <c r="G3444" s="31"/>
      <c r="H3444" s="31"/>
      <c r="I3444" s="56"/>
      <c r="J3444" s="56"/>
      <c r="K3444" s="82" t="str">
        <f t="shared" si="1052"/>
        <v>Credit Memo</v>
      </c>
      <c r="L3444" s="83" t="str">
        <f>"SC_100255"</f>
        <v>SC_100255</v>
      </c>
      <c r="M3444" s="84">
        <v>42129</v>
      </c>
      <c r="N3444" s="85">
        <f t="shared" si="1054"/>
        <v>1683</v>
      </c>
      <c r="O3444" s="86">
        <f t="shared" si="1055"/>
        <v>-172.42</v>
      </c>
      <c r="P3444" s="86">
        <f t="shared" si="1056"/>
        <v>0</v>
      </c>
      <c r="Q3444" s="86">
        <f t="shared" si="1057"/>
        <v>0</v>
      </c>
      <c r="R3444" s="86">
        <f t="shared" si="1058"/>
        <v>0</v>
      </c>
      <c r="S3444" s="86">
        <f t="shared" si="1059"/>
        <v>0</v>
      </c>
      <c r="T3444" s="86">
        <f t="shared" si="1060"/>
        <v>-172.42</v>
      </c>
      <c r="U3444" s="87">
        <v>-172.42</v>
      </c>
    </row>
    <row r="3445" spans="1:22" s="30" customFormat="1" ht="24.6" hidden="1" outlineLevel="1" x14ac:dyDescent="0.55000000000000004">
      <c r="A3445" s="27" t="s">
        <v>327</v>
      </c>
      <c r="B3445" s="28"/>
      <c r="C3445" s="27"/>
      <c r="D3445" s="27" t="str">
        <f>"""NAV Direct"",""CRONUS JetCorp USA"",""21"",""1"",""430270"""</f>
        <v>"NAV Direct","CRONUS JetCorp USA","21","1","430270"</v>
      </c>
      <c r="E3445" s="31">
        <f t="shared" si="1053"/>
        <v>0</v>
      </c>
      <c r="F3445" s="31"/>
      <c r="G3445" s="31"/>
      <c r="H3445" s="31"/>
      <c r="I3445" s="56"/>
      <c r="J3445" s="56"/>
      <c r="K3445" s="82" t="str">
        <f t="shared" si="1052"/>
        <v>Credit Memo</v>
      </c>
      <c r="L3445" s="83" t="str">
        <f>"SC_100259"</f>
        <v>SC_100259</v>
      </c>
      <c r="M3445" s="84">
        <v>42234</v>
      </c>
      <c r="N3445" s="85">
        <f t="shared" si="1054"/>
        <v>1578</v>
      </c>
      <c r="O3445" s="86">
        <f t="shared" si="1055"/>
        <v>-165.27</v>
      </c>
      <c r="P3445" s="86">
        <f t="shared" si="1056"/>
        <v>0</v>
      </c>
      <c r="Q3445" s="86">
        <f t="shared" si="1057"/>
        <v>0</v>
      </c>
      <c r="R3445" s="86">
        <f t="shared" si="1058"/>
        <v>0</v>
      </c>
      <c r="S3445" s="86">
        <f t="shared" si="1059"/>
        <v>0</v>
      </c>
      <c r="T3445" s="86">
        <f t="shared" si="1060"/>
        <v>-165.27</v>
      </c>
      <c r="U3445" s="87">
        <v>-165.27</v>
      </c>
    </row>
    <row r="3446" spans="1:22" s="30" customFormat="1" ht="24.6" hidden="1" outlineLevel="1" x14ac:dyDescent="0.55000000000000004">
      <c r="A3446" s="27" t="s">
        <v>327</v>
      </c>
      <c r="B3446" s="28"/>
      <c r="C3446" s="27"/>
      <c r="D3446" s="27" t="str">
        <f>"""NAV Direct"",""CRONUS JetCorp USA"",""21"",""1"",""430300"""</f>
        <v>"NAV Direct","CRONUS JetCorp USA","21","1","430300"</v>
      </c>
      <c r="E3446" s="31" t="str">
        <f t="shared" si="1053"/>
        <v>C100099</v>
      </c>
      <c r="F3446" s="31"/>
      <c r="G3446" s="31"/>
      <c r="H3446" s="31"/>
      <c r="I3446" s="56"/>
      <c r="J3446" s="56"/>
      <c r="K3446" s="82" t="str">
        <f t="shared" si="1052"/>
        <v>Credit Memo</v>
      </c>
      <c r="L3446" s="83" t="str">
        <f>"SC_100261"</f>
        <v>SC_100261</v>
      </c>
      <c r="M3446" s="84">
        <v>42261</v>
      </c>
      <c r="N3446" s="85">
        <f t="shared" si="1054"/>
        <v>1551</v>
      </c>
      <c r="O3446" s="86">
        <f t="shared" si="1055"/>
        <v>-169.87</v>
      </c>
      <c r="P3446" s="86">
        <f t="shared" si="1056"/>
        <v>0</v>
      </c>
      <c r="Q3446" s="86">
        <f t="shared" si="1057"/>
        <v>0</v>
      </c>
      <c r="R3446" s="86">
        <f t="shared" si="1058"/>
        <v>0</v>
      </c>
      <c r="S3446" s="86">
        <f t="shared" si="1059"/>
        <v>0</v>
      </c>
      <c r="T3446" s="86">
        <f t="shared" si="1060"/>
        <v>-169.87</v>
      </c>
      <c r="U3446" s="87">
        <v>-169.87</v>
      </c>
    </row>
    <row r="3447" spans="1:22" s="30" customFormat="1" ht="24.6" hidden="1" outlineLevel="1" x14ac:dyDescent="0.55000000000000004">
      <c r="A3447" s="27" t="s">
        <v>327</v>
      </c>
      <c r="B3447" s="28"/>
      <c r="C3447" s="27"/>
      <c r="D3447" s="27" t="str">
        <f>"""NAV Direct"",""CRONUS JetCorp USA"",""21"",""1"",""430313"""</f>
        <v>"NAV Direct","CRONUS JetCorp USA","21","1","430313"</v>
      </c>
      <c r="E3447" s="31">
        <f t="shared" si="1053"/>
        <v>0</v>
      </c>
      <c r="F3447" s="31"/>
      <c r="G3447" s="31"/>
      <c r="H3447" s="31"/>
      <c r="I3447" s="56"/>
      <c r="J3447" s="56"/>
      <c r="K3447" s="82" t="str">
        <f t="shared" si="1052"/>
        <v>Credit Memo</v>
      </c>
      <c r="L3447" s="83" t="str">
        <f>"SC_100262"</f>
        <v>SC_100262</v>
      </c>
      <c r="M3447" s="84">
        <v>42266</v>
      </c>
      <c r="N3447" s="85">
        <f t="shared" si="1054"/>
        <v>1546</v>
      </c>
      <c r="O3447" s="86">
        <f t="shared" si="1055"/>
        <v>-164.15</v>
      </c>
      <c r="P3447" s="86">
        <f t="shared" si="1056"/>
        <v>0</v>
      </c>
      <c r="Q3447" s="86">
        <f t="shared" si="1057"/>
        <v>0</v>
      </c>
      <c r="R3447" s="86">
        <f t="shared" si="1058"/>
        <v>0</v>
      </c>
      <c r="S3447" s="86">
        <f t="shared" si="1059"/>
        <v>0</v>
      </c>
      <c r="T3447" s="86">
        <f t="shared" si="1060"/>
        <v>-164.15</v>
      </c>
      <c r="U3447" s="87">
        <v>-164.15</v>
      </c>
    </row>
    <row r="3448" spans="1:22" s="30" customFormat="1" ht="24.6" hidden="1" outlineLevel="1" x14ac:dyDescent="0.55000000000000004">
      <c r="A3448" s="27" t="s">
        <v>327</v>
      </c>
      <c r="B3448" s="28"/>
      <c r="C3448" s="27"/>
      <c r="D3448" s="27" t="str">
        <f>"""NAV Direct"",""CRONUS JetCorp USA"",""21"",""1"",""430330"""</f>
        <v>"NAV Direct","CRONUS JetCorp USA","21","1","430330"</v>
      </c>
      <c r="E3448" s="31" t="str">
        <f t="shared" si="1053"/>
        <v>C100099</v>
      </c>
      <c r="F3448" s="31"/>
      <c r="G3448" s="31"/>
      <c r="H3448" s="31"/>
      <c r="I3448" s="56"/>
      <c r="J3448" s="56"/>
      <c r="K3448" s="82" t="str">
        <f t="shared" si="1052"/>
        <v>Credit Memo</v>
      </c>
      <c r="L3448" s="83" t="str">
        <f>"SC_100263"</f>
        <v>SC_100263</v>
      </c>
      <c r="M3448" s="84">
        <v>42291</v>
      </c>
      <c r="N3448" s="85">
        <f t="shared" si="1054"/>
        <v>1521</v>
      </c>
      <c r="O3448" s="86">
        <f t="shared" si="1055"/>
        <v>-171.29999999999998</v>
      </c>
      <c r="P3448" s="86">
        <f t="shared" si="1056"/>
        <v>0</v>
      </c>
      <c r="Q3448" s="86">
        <f t="shared" si="1057"/>
        <v>0</v>
      </c>
      <c r="R3448" s="86">
        <f t="shared" si="1058"/>
        <v>0</v>
      </c>
      <c r="S3448" s="86">
        <f t="shared" si="1059"/>
        <v>0</v>
      </c>
      <c r="T3448" s="86">
        <f t="shared" si="1060"/>
        <v>-171.29999999999998</v>
      </c>
      <c r="U3448" s="87">
        <v>-171.29999999999998</v>
      </c>
    </row>
    <row r="3449" spans="1:22" s="30" customFormat="1" ht="24.6" hidden="1" outlineLevel="1" x14ac:dyDescent="0.55000000000000004">
      <c r="A3449" s="27" t="s">
        <v>327</v>
      </c>
      <c r="B3449" s="28"/>
      <c r="C3449" s="27"/>
      <c r="D3449" s="27" t="str">
        <f>"""NAV Direct"",""CRONUS JetCorp USA"",""21"",""1"",""430343"""</f>
        <v>"NAV Direct","CRONUS JetCorp USA","21","1","430343"</v>
      </c>
      <c r="E3449" s="31">
        <f t="shared" si="1053"/>
        <v>0</v>
      </c>
      <c r="F3449" s="31"/>
      <c r="G3449" s="31"/>
      <c r="H3449" s="31"/>
      <c r="I3449" s="56"/>
      <c r="J3449" s="56"/>
      <c r="K3449" s="82" t="str">
        <f t="shared" si="1052"/>
        <v>Credit Memo</v>
      </c>
      <c r="L3449" s="83" t="str">
        <f>"SC_100264"</f>
        <v>SC_100264</v>
      </c>
      <c r="M3449" s="84">
        <v>42347</v>
      </c>
      <c r="N3449" s="85">
        <f t="shared" si="1054"/>
        <v>1465</v>
      </c>
      <c r="O3449" s="86">
        <f t="shared" si="1055"/>
        <v>-170.01999999999998</v>
      </c>
      <c r="P3449" s="86">
        <f t="shared" si="1056"/>
        <v>0</v>
      </c>
      <c r="Q3449" s="86">
        <f t="shared" si="1057"/>
        <v>0</v>
      </c>
      <c r="R3449" s="86">
        <f t="shared" si="1058"/>
        <v>0</v>
      </c>
      <c r="S3449" s="86">
        <f t="shared" si="1059"/>
        <v>0</v>
      </c>
      <c r="T3449" s="86">
        <f t="shared" si="1060"/>
        <v>-170.01999999999998</v>
      </c>
      <c r="U3449" s="87">
        <v>-170.01999999999998</v>
      </c>
    </row>
    <row r="3450" spans="1:22" s="22" customFormat="1" ht="20.399999999999999" collapsed="1" x14ac:dyDescent="0.45">
      <c r="A3450" s="12" t="s">
        <v>327</v>
      </c>
      <c r="B3450" s="19"/>
      <c r="C3450" s="12"/>
      <c r="D3450" s="12"/>
      <c r="E3450" s="23"/>
      <c r="F3450" s="23"/>
      <c r="G3450" s="23"/>
      <c r="H3450" s="23"/>
      <c r="I3450" s="49"/>
      <c r="J3450" s="88"/>
      <c r="K3450" s="88"/>
      <c r="L3450" s="89"/>
      <c r="M3450" s="89"/>
      <c r="N3450" s="89"/>
      <c r="O3450" s="89"/>
      <c r="P3450" s="89"/>
      <c r="Q3450" s="90"/>
      <c r="R3450" s="90"/>
      <c r="S3450" s="91"/>
      <c r="T3450" s="92"/>
      <c r="U3450" s="92"/>
    </row>
    <row r="3451" spans="1:22" s="22" customFormat="1" ht="20.399999999999999" x14ac:dyDescent="0.45">
      <c r="A3451" s="12" t="s">
        <v>327</v>
      </c>
      <c r="B3451" s="19"/>
      <c r="C3451" s="12"/>
      <c r="D3451" s="12"/>
      <c r="E3451" s="23"/>
      <c r="F3451" s="23"/>
      <c r="G3451" s="23"/>
      <c r="H3451" s="23"/>
      <c r="I3451" s="49"/>
      <c r="J3451" s="88"/>
      <c r="K3451" s="88"/>
      <c r="L3451" s="89"/>
      <c r="M3451" s="89"/>
      <c r="N3451" s="89"/>
      <c r="O3451" s="89"/>
      <c r="P3451" s="89"/>
      <c r="Q3451" s="90"/>
      <c r="R3451" s="90"/>
      <c r="S3451" s="91"/>
      <c r="T3451" s="92"/>
      <c r="U3451" s="92"/>
    </row>
    <row r="3452" spans="1:22" s="26" customFormat="1" ht="24.6" x14ac:dyDescent="0.55000000000000004">
      <c r="A3452" s="27" t="s">
        <v>327</v>
      </c>
      <c r="B3452" s="28"/>
      <c r="C3452" s="27" t="str">
        <f>"""NAV Direct"",""CRONUS JetCorp USA"",""18"",""1"",""C100100"""</f>
        <v>"NAV Direct","CRONUS JetCorp USA","18","1","C100100"</v>
      </c>
      <c r="D3452" s="27"/>
      <c r="E3452" s="28" t="str">
        <f>H3452</f>
        <v>C100100</v>
      </c>
      <c r="F3452" s="28"/>
      <c r="G3452" s="28"/>
      <c r="H3452" s="28" t="str">
        <f>"C100100"</f>
        <v>C100100</v>
      </c>
      <c r="I3452" s="116" t="str">
        <f>"C100100  -  Keybase, Inc."</f>
        <v>C100100  -  Keybase, Inc.</v>
      </c>
      <c r="J3452" s="117" t="str">
        <f>""</f>
        <v/>
      </c>
      <c r="K3452" s="118"/>
      <c r="L3452" s="119">
        <f>SUBTOTAL(3,L3453:L3494)</f>
        <v>38</v>
      </c>
      <c r="M3452" s="118"/>
      <c r="N3452" s="118"/>
      <c r="O3452" s="120">
        <f t="shared" ref="O3452:T3452" si="1061">SUBTOTAL(9,O3453:O3494)</f>
        <v>311192.14999999991</v>
      </c>
      <c r="P3452" s="120">
        <f t="shared" si="1061"/>
        <v>9393.0299999999988</v>
      </c>
      <c r="Q3452" s="120">
        <f t="shared" si="1061"/>
        <v>11486.68</v>
      </c>
      <c r="R3452" s="120">
        <f t="shared" si="1061"/>
        <v>38700.68</v>
      </c>
      <c r="S3452" s="120">
        <f t="shared" si="1061"/>
        <v>0</v>
      </c>
      <c r="T3452" s="120">
        <f t="shared" si="1061"/>
        <v>251611.75999999998</v>
      </c>
      <c r="U3452" s="81"/>
    </row>
    <row r="3453" spans="1:22" s="26" customFormat="1" ht="24.6" x14ac:dyDescent="0.55000000000000004">
      <c r="A3453" s="27" t="s">
        <v>327</v>
      </c>
      <c r="B3453" s="28"/>
      <c r="C3453" s="27" t="str">
        <f>C3452</f>
        <v>"NAV Direct","CRONUS JetCorp USA","18","1","C100100"</v>
      </c>
      <c r="D3453" s="27"/>
      <c r="E3453" s="28" t="str">
        <f>E3452</f>
        <v>C100100</v>
      </c>
      <c r="F3453" s="28"/>
      <c r="G3453" s="28"/>
      <c r="H3453" s="28"/>
      <c r="I3453" s="121" t="str">
        <f>"Contact: Steve Austin"</f>
        <v>Contact: Steve Austin</v>
      </c>
      <c r="J3453" s="121"/>
      <c r="K3453" s="122"/>
      <c r="L3453" s="123"/>
      <c r="M3453" s="123"/>
      <c r="N3453" s="124"/>
      <c r="O3453" s="124"/>
      <c r="P3453" s="123"/>
      <c r="Q3453" s="125"/>
      <c r="R3453" s="126"/>
      <c r="S3453" s="126"/>
      <c r="T3453" s="125"/>
      <c r="U3453" s="81"/>
    </row>
    <row r="3454" spans="1:22" s="26" customFormat="1" ht="24.6" x14ac:dyDescent="0.55000000000000004">
      <c r="A3454" s="27" t="s">
        <v>327</v>
      </c>
      <c r="B3454" s="28"/>
      <c r="C3454" s="27" t="str">
        <f>C3453</f>
        <v>"NAV Direct","CRONUS JetCorp USA","18","1","C100100"</v>
      </c>
      <c r="D3454" s="27"/>
      <c r="E3454" s="28" t="str">
        <f>E3453</f>
        <v>C100100</v>
      </c>
      <c r="F3454" s="28"/>
      <c r="G3454" s="28"/>
      <c r="H3454" s="28"/>
      <c r="I3454" s="121" t="str">
        <f>"Keybase, Inc.@Cronus.com"</f>
        <v>Keybase, Inc.@Cronus.com</v>
      </c>
      <c r="J3454" s="121"/>
      <c r="K3454" s="122"/>
      <c r="L3454" s="124"/>
      <c r="M3454" s="124"/>
      <c r="N3454" s="124"/>
      <c r="O3454" s="124"/>
      <c r="P3454" s="123"/>
      <c r="Q3454" s="125"/>
      <c r="R3454" s="126"/>
      <c r="S3454" s="126"/>
      <c r="T3454" s="125"/>
      <c r="U3454" s="81"/>
    </row>
    <row r="3455" spans="1:22" ht="12.75" hidden="1" customHeight="1" outlineLevel="1" x14ac:dyDescent="0.45">
      <c r="A3455" s="12" t="s">
        <v>328</v>
      </c>
      <c r="B3455" s="19"/>
      <c r="E3455" s="19"/>
      <c r="F3455" s="19"/>
      <c r="G3455" s="19"/>
      <c r="H3455" s="19"/>
      <c r="I3455" s="61"/>
      <c r="J3455" s="61"/>
      <c r="K3455" s="61"/>
      <c r="L3455" s="61"/>
      <c r="M3455" s="61"/>
      <c r="N3455" s="61"/>
      <c r="O3455" s="61"/>
      <c r="P3455" s="61"/>
      <c r="Q3455" s="61"/>
      <c r="R3455" s="61"/>
      <c r="S3455" s="61"/>
      <c r="T3455" s="61"/>
      <c r="U3455" s="61"/>
      <c r="V3455" s="21"/>
    </row>
    <row r="3456" spans="1:22" s="30" customFormat="1" ht="24.6" hidden="1" outlineLevel="1" x14ac:dyDescent="0.55000000000000004">
      <c r="A3456" s="27" t="s">
        <v>327</v>
      </c>
      <c r="B3456" s="28"/>
      <c r="C3456" s="27"/>
      <c r="D3456" s="27" t="str">
        <f>"""NAV Direct"",""CRONUS JetCorp USA"",""21"",""1"",""131869"""</f>
        <v>"NAV Direct","CRONUS JetCorp USA","21","1","131869"</v>
      </c>
      <c r="E3456" s="31" t="str">
        <f t="shared" ref="E3456:E3493" si="1062">E3454</f>
        <v>C100100</v>
      </c>
      <c r="F3456" s="31"/>
      <c r="G3456" s="31"/>
      <c r="H3456" s="31"/>
      <c r="I3456" s="56"/>
      <c r="J3456" s="56"/>
      <c r="K3456" s="82" t="str">
        <f t="shared" ref="K3456:K3486" si="1063">"Invoice"</f>
        <v>Invoice</v>
      </c>
      <c r="L3456" s="83" t="str">
        <f>"SI_107046"</f>
        <v>SI_107046</v>
      </c>
      <c r="M3456" s="84">
        <v>42364</v>
      </c>
      <c r="N3456" s="85">
        <f t="shared" ref="N3456:N3493" si="1064">StartDate-$M3456+1</f>
        <v>1448</v>
      </c>
      <c r="O3456" s="86">
        <f t="shared" ref="O3456:O3493" si="1065">SUM(P3456:T3456)</f>
        <v>6653.8</v>
      </c>
      <c r="P3456" s="86">
        <f t="shared" ref="P3456:P3493" si="1066">IF($M3456&gt;=$P$18,U3456,0)</f>
        <v>0</v>
      </c>
      <c r="Q3456" s="86">
        <f t="shared" ref="Q3456:Q3493" si="1067">IF(AND($M3456&gt;=$Q$16,$M3456&lt;=$Q$18),U3456,0)</f>
        <v>0</v>
      </c>
      <c r="R3456" s="86">
        <f t="shared" ref="R3456:R3493" si="1068">IF(AND($M3456&gt;=$R$16,$M3456&lt;=$R$18),U3456,0)</f>
        <v>0</v>
      </c>
      <c r="S3456" s="86">
        <f t="shared" ref="S3456:S3493" si="1069">IF(AND($M3456&gt;=$S$16,$M3456&lt;=$S$18),U3456,0)</f>
        <v>0</v>
      </c>
      <c r="T3456" s="86">
        <f t="shared" ref="T3456:T3493" si="1070">IF($M3456&lt;=$T$18,U3456,0)</f>
        <v>6653.8</v>
      </c>
      <c r="U3456" s="87">
        <v>6653.8</v>
      </c>
    </row>
    <row r="3457" spans="1:21" s="30" customFormat="1" ht="24.6" hidden="1" outlineLevel="1" x14ac:dyDescent="0.55000000000000004">
      <c r="A3457" s="27" t="s">
        <v>327</v>
      </c>
      <c r="B3457" s="28"/>
      <c r="C3457" s="27"/>
      <c r="D3457" s="27" t="str">
        <f>"""NAV Direct"",""CRONUS JetCorp USA"",""21"",""1"",""384313"""</f>
        <v>"NAV Direct","CRONUS JetCorp USA","21","1","384313"</v>
      </c>
      <c r="E3457" s="31">
        <f t="shared" si="1062"/>
        <v>0</v>
      </c>
      <c r="F3457" s="31"/>
      <c r="G3457" s="31"/>
      <c r="H3457" s="31"/>
      <c r="I3457" s="56"/>
      <c r="J3457" s="56"/>
      <c r="K3457" s="82" t="str">
        <f t="shared" si="1063"/>
        <v>Invoice</v>
      </c>
      <c r="L3457" s="83" t="str">
        <f>"SI_111931"</f>
        <v>SI_111931</v>
      </c>
      <c r="M3457" s="84">
        <v>42417</v>
      </c>
      <c r="N3457" s="85">
        <f t="shared" si="1064"/>
        <v>1395</v>
      </c>
      <c r="O3457" s="86">
        <f t="shared" si="1065"/>
        <v>9770.5499999999993</v>
      </c>
      <c r="P3457" s="86">
        <f t="shared" si="1066"/>
        <v>0</v>
      </c>
      <c r="Q3457" s="86">
        <f t="shared" si="1067"/>
        <v>0</v>
      </c>
      <c r="R3457" s="86">
        <f t="shared" si="1068"/>
        <v>0</v>
      </c>
      <c r="S3457" s="86">
        <f t="shared" si="1069"/>
        <v>0</v>
      </c>
      <c r="T3457" s="86">
        <f t="shared" si="1070"/>
        <v>9770.5499999999993</v>
      </c>
      <c r="U3457" s="87">
        <v>9770.5499999999993</v>
      </c>
    </row>
    <row r="3458" spans="1:21" s="30" customFormat="1" ht="24.6" hidden="1" outlineLevel="1" x14ac:dyDescent="0.55000000000000004">
      <c r="A3458" s="27" t="s">
        <v>327</v>
      </c>
      <c r="B3458" s="28"/>
      <c r="C3458" s="27"/>
      <c r="D3458" s="27" t="str">
        <f>"""NAV Direct"",""CRONUS JetCorp USA"",""21"",""1"",""384590"""</f>
        <v>"NAV Direct","CRONUS JetCorp USA","21","1","384590"</v>
      </c>
      <c r="E3458" s="31" t="str">
        <f t="shared" si="1062"/>
        <v>C100100</v>
      </c>
      <c r="F3458" s="31"/>
      <c r="G3458" s="31"/>
      <c r="H3458" s="31"/>
      <c r="I3458" s="56"/>
      <c r="J3458" s="56"/>
      <c r="K3458" s="82" t="str">
        <f t="shared" si="1063"/>
        <v>Invoice</v>
      </c>
      <c r="L3458" s="83" t="str">
        <f>"SI_111936"</f>
        <v>SI_111936</v>
      </c>
      <c r="M3458" s="84">
        <v>42457</v>
      </c>
      <c r="N3458" s="85">
        <f t="shared" si="1064"/>
        <v>1355</v>
      </c>
      <c r="O3458" s="86">
        <f t="shared" si="1065"/>
        <v>12183.07</v>
      </c>
      <c r="P3458" s="86">
        <f t="shared" si="1066"/>
        <v>0</v>
      </c>
      <c r="Q3458" s="86">
        <f t="shared" si="1067"/>
        <v>0</v>
      </c>
      <c r="R3458" s="86">
        <f t="shared" si="1068"/>
        <v>0</v>
      </c>
      <c r="S3458" s="86">
        <f t="shared" si="1069"/>
        <v>0</v>
      </c>
      <c r="T3458" s="86">
        <f t="shared" si="1070"/>
        <v>12183.07</v>
      </c>
      <c r="U3458" s="87">
        <v>12183.07</v>
      </c>
    </row>
    <row r="3459" spans="1:21" s="30" customFormat="1" ht="24.6" hidden="1" outlineLevel="1" x14ac:dyDescent="0.55000000000000004">
      <c r="A3459" s="27" t="s">
        <v>327</v>
      </c>
      <c r="B3459" s="28"/>
      <c r="C3459" s="27"/>
      <c r="D3459" s="27" t="str">
        <f>"""NAV Direct"",""CRONUS JetCorp USA"",""21"",""1"",""385779"""</f>
        <v>"NAV Direct","CRONUS JetCorp USA","21","1","385779"</v>
      </c>
      <c r="E3459" s="31">
        <f t="shared" si="1062"/>
        <v>0</v>
      </c>
      <c r="F3459" s="31"/>
      <c r="G3459" s="31"/>
      <c r="H3459" s="31"/>
      <c r="I3459" s="56"/>
      <c r="J3459" s="56"/>
      <c r="K3459" s="82" t="str">
        <f t="shared" si="1063"/>
        <v>Invoice</v>
      </c>
      <c r="L3459" s="83" t="str">
        <f>"SI_111959"</f>
        <v>SI_111959</v>
      </c>
      <c r="M3459" s="84">
        <v>42570</v>
      </c>
      <c r="N3459" s="85">
        <f t="shared" si="1064"/>
        <v>1242</v>
      </c>
      <c r="O3459" s="86">
        <f t="shared" si="1065"/>
        <v>9597.58</v>
      </c>
      <c r="P3459" s="86">
        <f t="shared" si="1066"/>
        <v>0</v>
      </c>
      <c r="Q3459" s="86">
        <f t="shared" si="1067"/>
        <v>0</v>
      </c>
      <c r="R3459" s="86">
        <f t="shared" si="1068"/>
        <v>0</v>
      </c>
      <c r="S3459" s="86">
        <f t="shared" si="1069"/>
        <v>0</v>
      </c>
      <c r="T3459" s="86">
        <f t="shared" si="1070"/>
        <v>9597.58</v>
      </c>
      <c r="U3459" s="87">
        <v>9597.58</v>
      </c>
    </row>
    <row r="3460" spans="1:21" s="30" customFormat="1" ht="24.6" hidden="1" outlineLevel="1" x14ac:dyDescent="0.55000000000000004">
      <c r="A3460" s="27" t="s">
        <v>327</v>
      </c>
      <c r="B3460" s="28"/>
      <c r="C3460" s="27"/>
      <c r="D3460" s="27" t="str">
        <f>"""NAV Direct"",""CRONUS JetCorp USA"",""21"",""1"",""385828"""</f>
        <v>"NAV Direct","CRONUS JetCorp USA","21","1","385828"</v>
      </c>
      <c r="E3460" s="31" t="str">
        <f t="shared" si="1062"/>
        <v>C100100</v>
      </c>
      <c r="F3460" s="31"/>
      <c r="G3460" s="31"/>
      <c r="H3460" s="31"/>
      <c r="I3460" s="56"/>
      <c r="J3460" s="56"/>
      <c r="K3460" s="82" t="str">
        <f t="shared" si="1063"/>
        <v>Invoice</v>
      </c>
      <c r="L3460" s="83" t="str">
        <f>"SI_111960"</f>
        <v>SI_111960</v>
      </c>
      <c r="M3460" s="84">
        <v>42573</v>
      </c>
      <c r="N3460" s="85">
        <f t="shared" si="1064"/>
        <v>1239</v>
      </c>
      <c r="O3460" s="86">
        <f t="shared" si="1065"/>
        <v>9297.67</v>
      </c>
      <c r="P3460" s="86">
        <f t="shared" si="1066"/>
        <v>0</v>
      </c>
      <c r="Q3460" s="86">
        <f t="shared" si="1067"/>
        <v>0</v>
      </c>
      <c r="R3460" s="86">
        <f t="shared" si="1068"/>
        <v>0</v>
      </c>
      <c r="S3460" s="86">
        <f t="shared" si="1069"/>
        <v>0</v>
      </c>
      <c r="T3460" s="86">
        <f t="shared" si="1070"/>
        <v>9297.67</v>
      </c>
      <c r="U3460" s="87">
        <v>9297.67</v>
      </c>
    </row>
    <row r="3461" spans="1:21" s="30" customFormat="1" ht="24.6" hidden="1" outlineLevel="1" x14ac:dyDescent="0.55000000000000004">
      <c r="A3461" s="27" t="s">
        <v>327</v>
      </c>
      <c r="B3461" s="28"/>
      <c r="C3461" s="27"/>
      <c r="D3461" s="27" t="str">
        <f>"""NAV Direct"",""CRONUS JetCorp USA"",""21"",""1"",""386871"""</f>
        <v>"NAV Direct","CRONUS JetCorp USA","21","1","386871"</v>
      </c>
      <c r="E3461" s="31">
        <f t="shared" si="1062"/>
        <v>0</v>
      </c>
      <c r="F3461" s="31"/>
      <c r="G3461" s="31"/>
      <c r="H3461" s="31"/>
      <c r="I3461" s="56"/>
      <c r="J3461" s="56"/>
      <c r="K3461" s="82" t="str">
        <f t="shared" si="1063"/>
        <v>Invoice</v>
      </c>
      <c r="L3461" s="83" t="str">
        <f>"SI_111981"</f>
        <v>SI_111981</v>
      </c>
      <c r="M3461" s="84">
        <v>42694</v>
      </c>
      <c r="N3461" s="85">
        <f t="shared" si="1064"/>
        <v>1118</v>
      </c>
      <c r="O3461" s="86">
        <f t="shared" si="1065"/>
        <v>10102.58</v>
      </c>
      <c r="P3461" s="86">
        <f t="shared" si="1066"/>
        <v>0</v>
      </c>
      <c r="Q3461" s="86">
        <f t="shared" si="1067"/>
        <v>0</v>
      </c>
      <c r="R3461" s="86">
        <f t="shared" si="1068"/>
        <v>0</v>
      </c>
      <c r="S3461" s="86">
        <f t="shared" si="1069"/>
        <v>0</v>
      </c>
      <c r="T3461" s="86">
        <f t="shared" si="1070"/>
        <v>10102.58</v>
      </c>
      <c r="U3461" s="87">
        <v>10102.58</v>
      </c>
    </row>
    <row r="3462" spans="1:21" s="30" customFormat="1" ht="24.6" hidden="1" outlineLevel="1" x14ac:dyDescent="0.55000000000000004">
      <c r="A3462" s="27" t="s">
        <v>327</v>
      </c>
      <c r="B3462" s="28"/>
      <c r="C3462" s="27"/>
      <c r="D3462" s="27" t="str">
        <f>"""NAV Direct"",""CRONUS JetCorp USA"",""21"",""1"",""387022"""</f>
        <v>"NAV Direct","CRONUS JetCorp USA","21","1","387022"</v>
      </c>
      <c r="E3462" s="31" t="str">
        <f t="shared" si="1062"/>
        <v>C100100</v>
      </c>
      <c r="F3462" s="31"/>
      <c r="G3462" s="31"/>
      <c r="H3462" s="31"/>
      <c r="I3462" s="56"/>
      <c r="J3462" s="56"/>
      <c r="K3462" s="82" t="str">
        <f t="shared" si="1063"/>
        <v>Invoice</v>
      </c>
      <c r="L3462" s="83" t="str">
        <f>"SI_111984"</f>
        <v>SI_111984</v>
      </c>
      <c r="M3462" s="84">
        <v>42704</v>
      </c>
      <c r="N3462" s="85">
        <f t="shared" si="1064"/>
        <v>1108</v>
      </c>
      <c r="O3462" s="86">
        <f t="shared" si="1065"/>
        <v>10103.049999999999</v>
      </c>
      <c r="P3462" s="86">
        <f t="shared" si="1066"/>
        <v>0</v>
      </c>
      <c r="Q3462" s="86">
        <f t="shared" si="1067"/>
        <v>0</v>
      </c>
      <c r="R3462" s="86">
        <f t="shared" si="1068"/>
        <v>0</v>
      </c>
      <c r="S3462" s="86">
        <f t="shared" si="1069"/>
        <v>0</v>
      </c>
      <c r="T3462" s="86">
        <f t="shared" si="1070"/>
        <v>10103.049999999999</v>
      </c>
      <c r="U3462" s="87">
        <v>10103.049999999999</v>
      </c>
    </row>
    <row r="3463" spans="1:21" s="30" customFormat="1" ht="24.6" hidden="1" outlineLevel="1" x14ac:dyDescent="0.55000000000000004">
      <c r="A3463" s="27" t="s">
        <v>327</v>
      </c>
      <c r="B3463" s="28"/>
      <c r="C3463" s="27"/>
      <c r="D3463" s="27" t="str">
        <f>"""NAV Direct"",""CRONUS JetCorp USA"",""21"",""1"",""387171"""</f>
        <v>"NAV Direct","CRONUS JetCorp USA","21","1","387171"</v>
      </c>
      <c r="E3463" s="31">
        <f t="shared" si="1062"/>
        <v>0</v>
      </c>
      <c r="F3463" s="31"/>
      <c r="G3463" s="31"/>
      <c r="H3463" s="31"/>
      <c r="I3463" s="56"/>
      <c r="J3463" s="56"/>
      <c r="K3463" s="82" t="str">
        <f t="shared" si="1063"/>
        <v>Invoice</v>
      </c>
      <c r="L3463" s="83" t="str">
        <f>"SI_111987"</f>
        <v>SI_111987</v>
      </c>
      <c r="M3463" s="84">
        <v>42705</v>
      </c>
      <c r="N3463" s="85">
        <f t="shared" si="1064"/>
        <v>1107</v>
      </c>
      <c r="O3463" s="86">
        <f t="shared" si="1065"/>
        <v>9999.9500000000007</v>
      </c>
      <c r="P3463" s="86">
        <f t="shared" si="1066"/>
        <v>0</v>
      </c>
      <c r="Q3463" s="86">
        <f t="shared" si="1067"/>
        <v>0</v>
      </c>
      <c r="R3463" s="86">
        <f t="shared" si="1068"/>
        <v>0</v>
      </c>
      <c r="S3463" s="86">
        <f t="shared" si="1069"/>
        <v>0</v>
      </c>
      <c r="T3463" s="86">
        <f t="shared" si="1070"/>
        <v>9999.9500000000007</v>
      </c>
      <c r="U3463" s="87">
        <v>9999.9500000000007</v>
      </c>
    </row>
    <row r="3464" spans="1:21" s="30" customFormat="1" ht="24.6" hidden="1" outlineLevel="1" x14ac:dyDescent="0.55000000000000004">
      <c r="A3464" s="27" t="s">
        <v>327</v>
      </c>
      <c r="B3464" s="28"/>
      <c r="C3464" s="27"/>
      <c r="D3464" s="27" t="str">
        <f>"""NAV Direct"",""CRONUS JetCorp USA"",""21"",""1"",""388874"""</f>
        <v>"NAV Direct","CRONUS JetCorp USA","21","1","388874"</v>
      </c>
      <c r="E3464" s="31" t="str">
        <f t="shared" si="1062"/>
        <v>C100100</v>
      </c>
      <c r="F3464" s="31"/>
      <c r="G3464" s="31"/>
      <c r="H3464" s="31"/>
      <c r="I3464" s="56"/>
      <c r="J3464" s="56"/>
      <c r="K3464" s="82" t="str">
        <f t="shared" si="1063"/>
        <v>Invoice</v>
      </c>
      <c r="L3464" s="83" t="str">
        <f>"SI_112020"</f>
        <v>SI_112020</v>
      </c>
      <c r="M3464" s="84">
        <v>42877</v>
      </c>
      <c r="N3464" s="85">
        <f t="shared" si="1064"/>
        <v>935</v>
      </c>
      <c r="O3464" s="86">
        <f t="shared" si="1065"/>
        <v>11293.28</v>
      </c>
      <c r="P3464" s="86">
        <f t="shared" si="1066"/>
        <v>0</v>
      </c>
      <c r="Q3464" s="86">
        <f t="shared" si="1067"/>
        <v>0</v>
      </c>
      <c r="R3464" s="86">
        <f t="shared" si="1068"/>
        <v>0</v>
      </c>
      <c r="S3464" s="86">
        <f t="shared" si="1069"/>
        <v>0</v>
      </c>
      <c r="T3464" s="86">
        <f t="shared" si="1070"/>
        <v>11293.28</v>
      </c>
      <c r="U3464" s="87">
        <v>11293.28</v>
      </c>
    </row>
    <row r="3465" spans="1:21" s="30" customFormat="1" ht="24.6" hidden="1" outlineLevel="1" x14ac:dyDescent="0.55000000000000004">
      <c r="A3465" s="27" t="s">
        <v>327</v>
      </c>
      <c r="B3465" s="28"/>
      <c r="C3465" s="27"/>
      <c r="D3465" s="27" t="str">
        <f>"""NAV Direct"",""CRONUS JetCorp USA"",""21"",""1"",""389258"""</f>
        <v>"NAV Direct","CRONUS JetCorp USA","21","1","389258"</v>
      </c>
      <c r="E3465" s="31">
        <f t="shared" si="1062"/>
        <v>0</v>
      </c>
      <c r="F3465" s="31"/>
      <c r="G3465" s="31"/>
      <c r="H3465" s="31"/>
      <c r="I3465" s="56"/>
      <c r="J3465" s="56"/>
      <c r="K3465" s="82" t="str">
        <f t="shared" si="1063"/>
        <v>Invoice</v>
      </c>
      <c r="L3465" s="83" t="str">
        <f>"SI_112027"</f>
        <v>SI_112027</v>
      </c>
      <c r="M3465" s="84">
        <v>42908</v>
      </c>
      <c r="N3465" s="85">
        <f t="shared" si="1064"/>
        <v>904</v>
      </c>
      <c r="O3465" s="86">
        <f t="shared" si="1065"/>
        <v>11447.970000000001</v>
      </c>
      <c r="P3465" s="86">
        <f t="shared" si="1066"/>
        <v>0</v>
      </c>
      <c r="Q3465" s="86">
        <f t="shared" si="1067"/>
        <v>0</v>
      </c>
      <c r="R3465" s="86">
        <f t="shared" si="1068"/>
        <v>0</v>
      </c>
      <c r="S3465" s="86">
        <f t="shared" si="1069"/>
        <v>0</v>
      </c>
      <c r="T3465" s="86">
        <f t="shared" si="1070"/>
        <v>11447.970000000001</v>
      </c>
      <c r="U3465" s="87">
        <v>11447.970000000001</v>
      </c>
    </row>
    <row r="3466" spans="1:21" s="30" customFormat="1" ht="24.6" hidden="1" outlineLevel="1" x14ac:dyDescent="0.55000000000000004">
      <c r="A3466" s="27" t="s">
        <v>327</v>
      </c>
      <c r="B3466" s="28"/>
      <c r="C3466" s="27"/>
      <c r="D3466" s="27" t="str">
        <f>"""NAV Direct"",""CRONUS JetCorp USA"",""21"",""1"",""390269"""</f>
        <v>"NAV Direct","CRONUS JetCorp USA","21","1","390269"</v>
      </c>
      <c r="E3466" s="31" t="str">
        <f t="shared" si="1062"/>
        <v>C100100</v>
      </c>
      <c r="F3466" s="31"/>
      <c r="G3466" s="31"/>
      <c r="H3466" s="31"/>
      <c r="I3466" s="56"/>
      <c r="J3466" s="56"/>
      <c r="K3466" s="82" t="str">
        <f t="shared" si="1063"/>
        <v>Invoice</v>
      </c>
      <c r="L3466" s="83" t="str">
        <f>"SI_112048"</f>
        <v>SI_112048</v>
      </c>
      <c r="M3466" s="84">
        <v>43074</v>
      </c>
      <c r="N3466" s="85">
        <f t="shared" si="1064"/>
        <v>738</v>
      </c>
      <c r="O3466" s="86">
        <f t="shared" si="1065"/>
        <v>8252.8599999999988</v>
      </c>
      <c r="P3466" s="86">
        <f t="shared" si="1066"/>
        <v>0</v>
      </c>
      <c r="Q3466" s="86">
        <f t="shared" si="1067"/>
        <v>0</v>
      </c>
      <c r="R3466" s="86">
        <f t="shared" si="1068"/>
        <v>0</v>
      </c>
      <c r="S3466" s="86">
        <f t="shared" si="1069"/>
        <v>0</v>
      </c>
      <c r="T3466" s="86">
        <f t="shared" si="1070"/>
        <v>8252.8599999999988</v>
      </c>
      <c r="U3466" s="87">
        <v>8252.8599999999988</v>
      </c>
    </row>
    <row r="3467" spans="1:21" s="30" customFormat="1" ht="24.6" hidden="1" outlineLevel="1" x14ac:dyDescent="0.55000000000000004">
      <c r="A3467" s="27" t="s">
        <v>327</v>
      </c>
      <c r="B3467" s="28"/>
      <c r="C3467" s="27"/>
      <c r="D3467" s="27" t="str">
        <f>"""NAV Direct"",""CRONUS JetCorp USA"",""21"",""1"",""390572"""</f>
        <v>"NAV Direct","CRONUS JetCorp USA","21","1","390572"</v>
      </c>
      <c r="E3467" s="31">
        <f t="shared" si="1062"/>
        <v>0</v>
      </c>
      <c r="F3467" s="31"/>
      <c r="G3467" s="31"/>
      <c r="H3467" s="31"/>
      <c r="I3467" s="56"/>
      <c r="J3467" s="56"/>
      <c r="K3467" s="82" t="str">
        <f t="shared" si="1063"/>
        <v>Invoice</v>
      </c>
      <c r="L3467" s="83" t="str">
        <f>"SI_112055"</f>
        <v>SI_112055</v>
      </c>
      <c r="M3467" s="84">
        <v>43139</v>
      </c>
      <c r="N3467" s="85">
        <f t="shared" si="1064"/>
        <v>673</v>
      </c>
      <c r="O3467" s="86">
        <f t="shared" si="1065"/>
        <v>8221.49</v>
      </c>
      <c r="P3467" s="86">
        <f t="shared" si="1066"/>
        <v>0</v>
      </c>
      <c r="Q3467" s="86">
        <f t="shared" si="1067"/>
        <v>0</v>
      </c>
      <c r="R3467" s="86">
        <f t="shared" si="1068"/>
        <v>0</v>
      </c>
      <c r="S3467" s="86">
        <f t="shared" si="1069"/>
        <v>0</v>
      </c>
      <c r="T3467" s="86">
        <f t="shared" si="1070"/>
        <v>8221.49</v>
      </c>
      <c r="U3467" s="87">
        <v>8221.49</v>
      </c>
    </row>
    <row r="3468" spans="1:21" s="30" customFormat="1" ht="24.6" hidden="1" outlineLevel="1" x14ac:dyDescent="0.55000000000000004">
      <c r="A3468" s="27" t="s">
        <v>327</v>
      </c>
      <c r="B3468" s="28"/>
      <c r="C3468" s="27"/>
      <c r="D3468" s="27" t="str">
        <f>"""NAV Direct"",""CRONUS JetCorp USA"",""21"",""1"",""390933"""</f>
        <v>"NAV Direct","CRONUS JetCorp USA","21","1","390933"</v>
      </c>
      <c r="E3468" s="31" t="str">
        <f t="shared" si="1062"/>
        <v>C100100</v>
      </c>
      <c r="F3468" s="31"/>
      <c r="G3468" s="31"/>
      <c r="H3468" s="31"/>
      <c r="I3468" s="56"/>
      <c r="J3468" s="56"/>
      <c r="K3468" s="82" t="str">
        <f t="shared" si="1063"/>
        <v>Invoice</v>
      </c>
      <c r="L3468" s="83" t="str">
        <f>"SI_112064"</f>
        <v>SI_112064</v>
      </c>
      <c r="M3468" s="84">
        <v>43207</v>
      </c>
      <c r="N3468" s="85">
        <f t="shared" si="1064"/>
        <v>605</v>
      </c>
      <c r="O3468" s="86">
        <f t="shared" si="1065"/>
        <v>8224.85</v>
      </c>
      <c r="P3468" s="86">
        <f t="shared" si="1066"/>
        <v>0</v>
      </c>
      <c r="Q3468" s="86">
        <f t="shared" si="1067"/>
        <v>0</v>
      </c>
      <c r="R3468" s="86">
        <f t="shared" si="1068"/>
        <v>0</v>
      </c>
      <c r="S3468" s="86">
        <f t="shared" si="1069"/>
        <v>0</v>
      </c>
      <c r="T3468" s="86">
        <f t="shared" si="1070"/>
        <v>8224.85</v>
      </c>
      <c r="U3468" s="87">
        <v>8224.85</v>
      </c>
    </row>
    <row r="3469" spans="1:21" s="30" customFormat="1" ht="24.6" hidden="1" outlineLevel="1" x14ac:dyDescent="0.55000000000000004">
      <c r="A3469" s="27" t="s">
        <v>327</v>
      </c>
      <c r="B3469" s="28"/>
      <c r="C3469" s="27"/>
      <c r="D3469" s="27" t="str">
        <f>"""NAV Direct"",""CRONUS JetCorp USA"",""21"",""1"",""391476"""</f>
        <v>"NAV Direct","CRONUS JetCorp USA","21","1","391476"</v>
      </c>
      <c r="E3469" s="31">
        <f t="shared" si="1062"/>
        <v>0</v>
      </c>
      <c r="F3469" s="31"/>
      <c r="G3469" s="31"/>
      <c r="H3469" s="31"/>
      <c r="I3469" s="56"/>
      <c r="J3469" s="56"/>
      <c r="K3469" s="82" t="str">
        <f t="shared" si="1063"/>
        <v>Invoice</v>
      </c>
      <c r="L3469" s="83" t="str">
        <f>"SI_112075"</f>
        <v>SI_112075</v>
      </c>
      <c r="M3469" s="84">
        <v>43337</v>
      </c>
      <c r="N3469" s="85">
        <f t="shared" si="1064"/>
        <v>475</v>
      </c>
      <c r="O3469" s="86">
        <f t="shared" si="1065"/>
        <v>10695.779999999999</v>
      </c>
      <c r="P3469" s="86">
        <f t="shared" si="1066"/>
        <v>0</v>
      </c>
      <c r="Q3469" s="86">
        <f t="shared" si="1067"/>
        <v>0</v>
      </c>
      <c r="R3469" s="86">
        <f t="shared" si="1068"/>
        <v>0</v>
      </c>
      <c r="S3469" s="86">
        <f t="shared" si="1069"/>
        <v>0</v>
      </c>
      <c r="T3469" s="86">
        <f t="shared" si="1070"/>
        <v>10695.779999999999</v>
      </c>
      <c r="U3469" s="87">
        <v>10695.779999999999</v>
      </c>
    </row>
    <row r="3470" spans="1:21" s="30" customFormat="1" ht="24.6" hidden="1" outlineLevel="1" x14ac:dyDescent="0.55000000000000004">
      <c r="A3470" s="27" t="s">
        <v>327</v>
      </c>
      <c r="B3470" s="28"/>
      <c r="C3470" s="27"/>
      <c r="D3470" s="27" t="str">
        <f>"""NAV Direct"",""CRONUS JetCorp USA"",""21"",""1"",""392448"""</f>
        <v>"NAV Direct","CRONUS JetCorp USA","21","1","392448"</v>
      </c>
      <c r="E3470" s="31" t="str">
        <f t="shared" si="1062"/>
        <v>C100100</v>
      </c>
      <c r="F3470" s="31"/>
      <c r="G3470" s="31"/>
      <c r="H3470" s="31"/>
      <c r="I3470" s="56"/>
      <c r="J3470" s="56"/>
      <c r="K3470" s="82" t="str">
        <f t="shared" si="1063"/>
        <v>Invoice</v>
      </c>
      <c r="L3470" s="83" t="str">
        <f>"SI_112093"</f>
        <v>SI_112093</v>
      </c>
      <c r="M3470" s="84">
        <v>43434</v>
      </c>
      <c r="N3470" s="85">
        <f t="shared" si="1064"/>
        <v>378</v>
      </c>
      <c r="O3470" s="86">
        <f t="shared" si="1065"/>
        <v>12928.949999999999</v>
      </c>
      <c r="P3470" s="86">
        <f t="shared" si="1066"/>
        <v>0</v>
      </c>
      <c r="Q3470" s="86">
        <f t="shared" si="1067"/>
        <v>0</v>
      </c>
      <c r="R3470" s="86">
        <f t="shared" si="1068"/>
        <v>0</v>
      </c>
      <c r="S3470" s="86">
        <f t="shared" si="1069"/>
        <v>0</v>
      </c>
      <c r="T3470" s="86">
        <f t="shared" si="1070"/>
        <v>12928.949999999999</v>
      </c>
      <c r="U3470" s="87">
        <v>12928.949999999999</v>
      </c>
    </row>
    <row r="3471" spans="1:21" s="30" customFormat="1" ht="24.6" hidden="1" outlineLevel="1" x14ac:dyDescent="0.55000000000000004">
      <c r="A3471" s="27" t="s">
        <v>327</v>
      </c>
      <c r="B3471" s="28"/>
      <c r="C3471" s="27"/>
      <c r="D3471" s="27" t="str">
        <f>"""NAV Direct"",""CRONUS JetCorp USA"",""21"",""1"",""392758"""</f>
        <v>"NAV Direct","CRONUS JetCorp USA","21","1","392758"</v>
      </c>
      <c r="E3471" s="31">
        <f t="shared" si="1062"/>
        <v>0</v>
      </c>
      <c r="F3471" s="31"/>
      <c r="G3471" s="31"/>
      <c r="H3471" s="31"/>
      <c r="I3471" s="56"/>
      <c r="J3471" s="56"/>
      <c r="K3471" s="82" t="str">
        <f t="shared" si="1063"/>
        <v>Invoice</v>
      </c>
      <c r="L3471" s="83" t="str">
        <f>"SI_112099"</f>
        <v>SI_112099</v>
      </c>
      <c r="M3471" s="84">
        <v>43486</v>
      </c>
      <c r="N3471" s="85">
        <f t="shared" si="1064"/>
        <v>326</v>
      </c>
      <c r="O3471" s="86">
        <f t="shared" si="1065"/>
        <v>10749.37</v>
      </c>
      <c r="P3471" s="86">
        <f t="shared" si="1066"/>
        <v>0</v>
      </c>
      <c r="Q3471" s="86">
        <f t="shared" si="1067"/>
        <v>0</v>
      </c>
      <c r="R3471" s="86">
        <f t="shared" si="1068"/>
        <v>0</v>
      </c>
      <c r="S3471" s="86">
        <f t="shared" si="1069"/>
        <v>0</v>
      </c>
      <c r="T3471" s="86">
        <f t="shared" si="1070"/>
        <v>10749.37</v>
      </c>
      <c r="U3471" s="87">
        <v>10749.37</v>
      </c>
    </row>
    <row r="3472" spans="1:21" s="30" customFormat="1" ht="24.6" hidden="1" outlineLevel="1" x14ac:dyDescent="0.55000000000000004">
      <c r="A3472" s="27" t="s">
        <v>327</v>
      </c>
      <c r="B3472" s="28"/>
      <c r="C3472" s="27"/>
      <c r="D3472" s="27" t="str">
        <f>"""NAV Direct"",""CRONUS JetCorp USA"",""21"",""1"",""394324"""</f>
        <v>"NAV Direct","CRONUS JetCorp USA","21","1","394324"</v>
      </c>
      <c r="E3472" s="31" t="str">
        <f t="shared" si="1062"/>
        <v>C100100</v>
      </c>
      <c r="F3472" s="31"/>
      <c r="G3472" s="31"/>
      <c r="H3472" s="31"/>
      <c r="I3472" s="56"/>
      <c r="J3472" s="56"/>
      <c r="K3472" s="82" t="str">
        <f t="shared" si="1063"/>
        <v>Invoice</v>
      </c>
      <c r="L3472" s="83" t="str">
        <f>"SI_112127"</f>
        <v>SI_112127</v>
      </c>
      <c r="M3472" s="84">
        <v>43629</v>
      </c>
      <c r="N3472" s="85">
        <f t="shared" si="1064"/>
        <v>183</v>
      </c>
      <c r="O3472" s="86">
        <f t="shared" si="1065"/>
        <v>8579.4</v>
      </c>
      <c r="P3472" s="86">
        <f t="shared" si="1066"/>
        <v>0</v>
      </c>
      <c r="Q3472" s="86">
        <f t="shared" si="1067"/>
        <v>0</v>
      </c>
      <c r="R3472" s="86">
        <f t="shared" si="1068"/>
        <v>0</v>
      </c>
      <c r="S3472" s="86">
        <f t="shared" si="1069"/>
        <v>0</v>
      </c>
      <c r="T3472" s="86">
        <f t="shared" si="1070"/>
        <v>8579.4</v>
      </c>
      <c r="U3472" s="87">
        <v>8579.4</v>
      </c>
    </row>
    <row r="3473" spans="1:21" s="30" customFormat="1" ht="24.6" hidden="1" outlineLevel="1" x14ac:dyDescent="0.55000000000000004">
      <c r="A3473" s="27" t="s">
        <v>327</v>
      </c>
      <c r="B3473" s="28"/>
      <c r="C3473" s="27"/>
      <c r="D3473" s="27" t="str">
        <f>"""NAV Direct"",""CRONUS JetCorp USA"",""21"",""1"",""394654"""</f>
        <v>"NAV Direct","CRONUS JetCorp USA","21","1","394654"</v>
      </c>
      <c r="E3473" s="31">
        <f t="shared" si="1062"/>
        <v>0</v>
      </c>
      <c r="F3473" s="31"/>
      <c r="G3473" s="31"/>
      <c r="H3473" s="31"/>
      <c r="I3473" s="56"/>
      <c r="J3473" s="56"/>
      <c r="K3473" s="82" t="str">
        <f t="shared" si="1063"/>
        <v>Invoice</v>
      </c>
      <c r="L3473" s="83" t="str">
        <f>"SI_112133"</f>
        <v>SI_112133</v>
      </c>
      <c r="M3473" s="84">
        <v>43668</v>
      </c>
      <c r="N3473" s="85">
        <f t="shared" si="1064"/>
        <v>144</v>
      </c>
      <c r="O3473" s="86">
        <f t="shared" si="1065"/>
        <v>10386.120000000001</v>
      </c>
      <c r="P3473" s="86">
        <f t="shared" si="1066"/>
        <v>0</v>
      </c>
      <c r="Q3473" s="86">
        <f t="shared" si="1067"/>
        <v>0</v>
      </c>
      <c r="R3473" s="86">
        <f t="shared" si="1068"/>
        <v>0</v>
      </c>
      <c r="S3473" s="86">
        <f t="shared" si="1069"/>
        <v>0</v>
      </c>
      <c r="T3473" s="86">
        <f t="shared" si="1070"/>
        <v>10386.120000000001</v>
      </c>
      <c r="U3473" s="87">
        <v>10386.120000000001</v>
      </c>
    </row>
    <row r="3474" spans="1:21" s="30" customFormat="1" ht="24.6" hidden="1" outlineLevel="1" x14ac:dyDescent="0.55000000000000004">
      <c r="A3474" s="27" t="s">
        <v>327</v>
      </c>
      <c r="B3474" s="28"/>
      <c r="C3474" s="27"/>
      <c r="D3474" s="27" t="str">
        <f>"""NAV Direct"",""CRONUS JetCorp USA"",""21"",""1"",""394807"""</f>
        <v>"NAV Direct","CRONUS JetCorp USA","21","1","394807"</v>
      </c>
      <c r="E3474" s="31" t="str">
        <f t="shared" si="1062"/>
        <v>C100100</v>
      </c>
      <c r="F3474" s="31"/>
      <c r="G3474" s="31"/>
      <c r="H3474" s="31"/>
      <c r="I3474" s="56"/>
      <c r="J3474" s="56"/>
      <c r="K3474" s="82" t="str">
        <f t="shared" si="1063"/>
        <v>Invoice</v>
      </c>
      <c r="L3474" s="83" t="str">
        <f>"SI_112136"</f>
        <v>SI_112136</v>
      </c>
      <c r="M3474" s="84">
        <v>43675</v>
      </c>
      <c r="N3474" s="85">
        <f t="shared" si="1064"/>
        <v>137</v>
      </c>
      <c r="O3474" s="86">
        <f t="shared" si="1065"/>
        <v>10174.18</v>
      </c>
      <c r="P3474" s="86">
        <f t="shared" si="1066"/>
        <v>0</v>
      </c>
      <c r="Q3474" s="86">
        <f t="shared" si="1067"/>
        <v>0</v>
      </c>
      <c r="R3474" s="86">
        <f t="shared" si="1068"/>
        <v>0</v>
      </c>
      <c r="S3474" s="86">
        <f t="shared" si="1069"/>
        <v>0</v>
      </c>
      <c r="T3474" s="86">
        <f t="shared" si="1070"/>
        <v>10174.18</v>
      </c>
      <c r="U3474" s="87">
        <v>10174.18</v>
      </c>
    </row>
    <row r="3475" spans="1:21" s="30" customFormat="1" ht="24.6" hidden="1" outlineLevel="1" x14ac:dyDescent="0.55000000000000004">
      <c r="A3475" s="27" t="s">
        <v>327</v>
      </c>
      <c r="B3475" s="28"/>
      <c r="C3475" s="27"/>
      <c r="D3475" s="27" t="str">
        <f>"""NAV Direct"",""CRONUS JetCorp USA"",""21"",""1"",""394919"""</f>
        <v>"NAV Direct","CRONUS JetCorp USA","21","1","394919"</v>
      </c>
      <c r="E3475" s="31">
        <f t="shared" si="1062"/>
        <v>0</v>
      </c>
      <c r="F3475" s="31"/>
      <c r="G3475" s="31"/>
      <c r="H3475" s="31"/>
      <c r="I3475" s="56"/>
      <c r="J3475" s="56"/>
      <c r="K3475" s="82" t="str">
        <f t="shared" si="1063"/>
        <v>Invoice</v>
      </c>
      <c r="L3475" s="83" t="str">
        <f>"SI_112138"</f>
        <v>SI_112138</v>
      </c>
      <c r="M3475" s="84">
        <v>43697</v>
      </c>
      <c r="N3475" s="85">
        <f t="shared" si="1064"/>
        <v>115</v>
      </c>
      <c r="O3475" s="86">
        <f t="shared" si="1065"/>
        <v>10301.34</v>
      </c>
      <c r="P3475" s="86">
        <f t="shared" si="1066"/>
        <v>0</v>
      </c>
      <c r="Q3475" s="86">
        <f t="shared" si="1067"/>
        <v>0</v>
      </c>
      <c r="R3475" s="86">
        <f t="shared" si="1068"/>
        <v>0</v>
      </c>
      <c r="S3475" s="86">
        <f t="shared" si="1069"/>
        <v>0</v>
      </c>
      <c r="T3475" s="86">
        <f t="shared" si="1070"/>
        <v>10301.34</v>
      </c>
      <c r="U3475" s="87">
        <v>10301.34</v>
      </c>
    </row>
    <row r="3476" spans="1:21" s="30" customFormat="1" ht="24.6" hidden="1" outlineLevel="1" x14ac:dyDescent="0.55000000000000004">
      <c r="A3476" s="27" t="s">
        <v>327</v>
      </c>
      <c r="B3476" s="28"/>
      <c r="C3476" s="27"/>
      <c r="D3476" s="27" t="str">
        <f>"""NAV Direct"",""CRONUS JetCorp USA"",""21"",""1"",""394962"""</f>
        <v>"NAV Direct","CRONUS JetCorp USA","21","1","394962"</v>
      </c>
      <c r="E3476" s="31" t="str">
        <f t="shared" si="1062"/>
        <v>C100100</v>
      </c>
      <c r="F3476" s="31"/>
      <c r="G3476" s="31"/>
      <c r="H3476" s="31"/>
      <c r="I3476" s="56"/>
      <c r="J3476" s="56"/>
      <c r="K3476" s="82" t="str">
        <f t="shared" si="1063"/>
        <v>Invoice</v>
      </c>
      <c r="L3476" s="83" t="str">
        <f>"SI_112139"</f>
        <v>SI_112139</v>
      </c>
      <c r="M3476" s="84">
        <v>43698</v>
      </c>
      <c r="N3476" s="85">
        <f t="shared" si="1064"/>
        <v>114</v>
      </c>
      <c r="O3476" s="86">
        <f t="shared" si="1065"/>
        <v>10530.28</v>
      </c>
      <c r="P3476" s="86">
        <f t="shared" si="1066"/>
        <v>0</v>
      </c>
      <c r="Q3476" s="86">
        <f t="shared" si="1067"/>
        <v>0</v>
      </c>
      <c r="R3476" s="86">
        <f t="shared" si="1068"/>
        <v>0</v>
      </c>
      <c r="S3476" s="86">
        <f t="shared" si="1069"/>
        <v>0</v>
      </c>
      <c r="T3476" s="86">
        <f t="shared" si="1070"/>
        <v>10530.28</v>
      </c>
      <c r="U3476" s="87">
        <v>10530.28</v>
      </c>
    </row>
    <row r="3477" spans="1:21" s="30" customFormat="1" ht="24.6" hidden="1" outlineLevel="1" x14ac:dyDescent="0.55000000000000004">
      <c r="A3477" s="27" t="s">
        <v>327</v>
      </c>
      <c r="B3477" s="28"/>
      <c r="C3477" s="27"/>
      <c r="D3477" s="27" t="str">
        <f>"""NAV Direct"",""CRONUS JetCorp USA"",""21"",""1"",""395535"""</f>
        <v>"NAV Direct","CRONUS JetCorp USA","21","1","395535"</v>
      </c>
      <c r="E3477" s="31">
        <f t="shared" si="1062"/>
        <v>0</v>
      </c>
      <c r="F3477" s="31"/>
      <c r="G3477" s="31"/>
      <c r="H3477" s="31"/>
      <c r="I3477" s="56"/>
      <c r="J3477" s="56"/>
      <c r="K3477" s="82" t="str">
        <f t="shared" si="1063"/>
        <v>Invoice</v>
      </c>
      <c r="L3477" s="83" t="str">
        <f>"SI_112150"</f>
        <v>SI_112150</v>
      </c>
      <c r="M3477" s="84">
        <v>43754</v>
      </c>
      <c r="N3477" s="85">
        <f t="shared" si="1064"/>
        <v>58</v>
      </c>
      <c r="O3477" s="86">
        <f t="shared" si="1065"/>
        <v>13311.84</v>
      </c>
      <c r="P3477" s="86">
        <f t="shared" si="1066"/>
        <v>0</v>
      </c>
      <c r="Q3477" s="86">
        <f t="shared" si="1067"/>
        <v>0</v>
      </c>
      <c r="R3477" s="86">
        <f t="shared" si="1068"/>
        <v>13311.84</v>
      </c>
      <c r="S3477" s="86">
        <f t="shared" si="1069"/>
        <v>0</v>
      </c>
      <c r="T3477" s="86">
        <f t="shared" si="1070"/>
        <v>0</v>
      </c>
      <c r="U3477" s="87">
        <v>13311.84</v>
      </c>
    </row>
    <row r="3478" spans="1:21" s="30" customFormat="1" ht="24.6" hidden="1" outlineLevel="1" x14ac:dyDescent="0.55000000000000004">
      <c r="A3478" s="27" t="s">
        <v>327</v>
      </c>
      <c r="B3478" s="28"/>
      <c r="C3478" s="27"/>
      <c r="D3478" s="27" t="str">
        <f>"""NAV Direct"",""CRONUS JetCorp USA"",""21"",""1"",""395722"""</f>
        <v>"NAV Direct","CRONUS JetCorp USA","21","1","395722"</v>
      </c>
      <c r="E3478" s="31" t="str">
        <f t="shared" si="1062"/>
        <v>C100100</v>
      </c>
      <c r="F3478" s="31"/>
      <c r="G3478" s="31"/>
      <c r="H3478" s="31"/>
      <c r="I3478" s="56"/>
      <c r="J3478" s="56"/>
      <c r="K3478" s="82" t="str">
        <f t="shared" si="1063"/>
        <v>Invoice</v>
      </c>
      <c r="L3478" s="83" t="str">
        <f>"SI_112153"</f>
        <v>SI_112153</v>
      </c>
      <c r="M3478" s="84">
        <v>43763</v>
      </c>
      <c r="N3478" s="85">
        <f t="shared" si="1064"/>
        <v>49</v>
      </c>
      <c r="O3478" s="86">
        <f t="shared" si="1065"/>
        <v>12900.27</v>
      </c>
      <c r="P3478" s="86">
        <f t="shared" si="1066"/>
        <v>0</v>
      </c>
      <c r="Q3478" s="86">
        <f t="shared" si="1067"/>
        <v>0</v>
      </c>
      <c r="R3478" s="86">
        <f t="shared" si="1068"/>
        <v>12900.27</v>
      </c>
      <c r="S3478" s="86">
        <f t="shared" si="1069"/>
        <v>0</v>
      </c>
      <c r="T3478" s="86">
        <f t="shared" si="1070"/>
        <v>0</v>
      </c>
      <c r="U3478" s="87">
        <v>12900.27</v>
      </c>
    </row>
    <row r="3479" spans="1:21" s="30" customFormat="1" ht="24.6" hidden="1" outlineLevel="1" x14ac:dyDescent="0.55000000000000004">
      <c r="A3479" s="27" t="s">
        <v>327</v>
      </c>
      <c r="B3479" s="28"/>
      <c r="C3479" s="27"/>
      <c r="D3479" s="27" t="str">
        <f>"""NAV Direct"",""CRONUS JetCorp USA"",""21"",""1"",""395773"""</f>
        <v>"NAV Direct","CRONUS JetCorp USA","21","1","395773"</v>
      </c>
      <c r="E3479" s="31">
        <f t="shared" si="1062"/>
        <v>0</v>
      </c>
      <c r="F3479" s="31"/>
      <c r="G3479" s="31"/>
      <c r="H3479" s="31"/>
      <c r="I3479" s="56"/>
      <c r="J3479" s="56"/>
      <c r="K3479" s="82" t="str">
        <f t="shared" si="1063"/>
        <v>Invoice</v>
      </c>
      <c r="L3479" s="83" t="str">
        <f>"SI_112154"</f>
        <v>SI_112154</v>
      </c>
      <c r="M3479" s="84">
        <v>43768</v>
      </c>
      <c r="N3479" s="85">
        <f t="shared" si="1064"/>
        <v>44</v>
      </c>
      <c r="O3479" s="86">
        <f t="shared" si="1065"/>
        <v>12488.570000000002</v>
      </c>
      <c r="P3479" s="86">
        <f t="shared" si="1066"/>
        <v>0</v>
      </c>
      <c r="Q3479" s="86">
        <f t="shared" si="1067"/>
        <v>0</v>
      </c>
      <c r="R3479" s="86">
        <f t="shared" si="1068"/>
        <v>12488.570000000002</v>
      </c>
      <c r="S3479" s="86">
        <f t="shared" si="1069"/>
        <v>0</v>
      </c>
      <c r="T3479" s="86">
        <f t="shared" si="1070"/>
        <v>0</v>
      </c>
      <c r="U3479" s="87">
        <v>12488.570000000002</v>
      </c>
    </row>
    <row r="3480" spans="1:21" s="30" customFormat="1" ht="24.6" hidden="1" outlineLevel="1" x14ac:dyDescent="0.55000000000000004">
      <c r="A3480" s="27" t="s">
        <v>327</v>
      </c>
      <c r="B3480" s="28"/>
      <c r="C3480" s="27"/>
      <c r="D3480" s="27" t="str">
        <f>"""NAV Direct"",""CRONUS JetCorp USA"",""21"",""1"",""396213"""</f>
        <v>"NAV Direct","CRONUS JetCorp USA","21","1","396213"</v>
      </c>
      <c r="E3480" s="31" t="str">
        <f t="shared" si="1062"/>
        <v>C100100</v>
      </c>
      <c r="F3480" s="31"/>
      <c r="G3480" s="31"/>
      <c r="H3480" s="31"/>
      <c r="I3480" s="56"/>
      <c r="J3480" s="56"/>
      <c r="K3480" s="82" t="str">
        <f t="shared" si="1063"/>
        <v>Invoice</v>
      </c>
      <c r="L3480" s="83" t="str">
        <f>"SI_112162"</f>
        <v>SI_112162</v>
      </c>
      <c r="M3480" s="84">
        <v>43794</v>
      </c>
      <c r="N3480" s="85">
        <f t="shared" si="1064"/>
        <v>18</v>
      </c>
      <c r="O3480" s="86">
        <f t="shared" si="1065"/>
        <v>11486.68</v>
      </c>
      <c r="P3480" s="86">
        <f t="shared" si="1066"/>
        <v>0</v>
      </c>
      <c r="Q3480" s="86">
        <f t="shared" si="1067"/>
        <v>11486.68</v>
      </c>
      <c r="R3480" s="86">
        <f t="shared" si="1068"/>
        <v>0</v>
      </c>
      <c r="S3480" s="86">
        <f t="shared" si="1069"/>
        <v>0</v>
      </c>
      <c r="T3480" s="86">
        <f t="shared" si="1070"/>
        <v>0</v>
      </c>
      <c r="U3480" s="87">
        <v>11486.68</v>
      </c>
    </row>
    <row r="3481" spans="1:21" s="30" customFormat="1" ht="24.6" hidden="1" outlineLevel="1" x14ac:dyDescent="0.55000000000000004">
      <c r="A3481" s="27" t="s">
        <v>327</v>
      </c>
      <c r="B3481" s="28"/>
      <c r="C3481" s="27"/>
      <c r="D3481" s="27" t="str">
        <f>"""NAV Direct"",""CRONUS JetCorp USA"",""21"",""1"",""396588"""</f>
        <v>"NAV Direct","CRONUS JetCorp USA","21","1","396588"</v>
      </c>
      <c r="E3481" s="31">
        <f t="shared" si="1062"/>
        <v>0</v>
      </c>
      <c r="F3481" s="31"/>
      <c r="G3481" s="31"/>
      <c r="H3481" s="31"/>
      <c r="I3481" s="56"/>
      <c r="J3481" s="56"/>
      <c r="K3481" s="82" t="str">
        <f t="shared" si="1063"/>
        <v>Invoice</v>
      </c>
      <c r="L3481" s="83" t="str">
        <f>"SI_112169"</f>
        <v>SI_112169</v>
      </c>
      <c r="M3481" s="84">
        <v>43827</v>
      </c>
      <c r="N3481" s="85">
        <f t="shared" si="1064"/>
        <v>-15</v>
      </c>
      <c r="O3481" s="86">
        <f t="shared" si="1065"/>
        <v>9485.7999999999993</v>
      </c>
      <c r="P3481" s="86">
        <f t="shared" si="1066"/>
        <v>9485.7999999999993</v>
      </c>
      <c r="Q3481" s="86">
        <f t="shared" si="1067"/>
        <v>0</v>
      </c>
      <c r="R3481" s="86">
        <f t="shared" si="1068"/>
        <v>0</v>
      </c>
      <c r="S3481" s="86">
        <f t="shared" si="1069"/>
        <v>0</v>
      </c>
      <c r="T3481" s="86">
        <f t="shared" si="1070"/>
        <v>0</v>
      </c>
      <c r="U3481" s="87">
        <v>9485.7999999999993</v>
      </c>
    </row>
    <row r="3482" spans="1:21" s="30" customFormat="1" ht="24.6" hidden="1" outlineLevel="1" x14ac:dyDescent="0.55000000000000004">
      <c r="A3482" s="27" t="s">
        <v>327</v>
      </c>
      <c r="B3482" s="28"/>
      <c r="C3482" s="27"/>
      <c r="D3482" s="27" t="str">
        <f>"""NAV Direct"",""CRONUS JetCorp USA"",""21"",""1"",""398356"""</f>
        <v>"NAV Direct","CRONUS JetCorp USA","21","1","398356"</v>
      </c>
      <c r="E3482" s="31" t="str">
        <f t="shared" si="1062"/>
        <v>C100100</v>
      </c>
      <c r="F3482" s="31"/>
      <c r="G3482" s="31"/>
      <c r="H3482" s="31"/>
      <c r="I3482" s="56"/>
      <c r="J3482" s="56"/>
      <c r="K3482" s="82" t="str">
        <f t="shared" si="1063"/>
        <v>Invoice</v>
      </c>
      <c r="L3482" s="83" t="str">
        <f>"SI_112206"</f>
        <v>SI_112206</v>
      </c>
      <c r="M3482" s="84">
        <v>42159</v>
      </c>
      <c r="N3482" s="85">
        <f t="shared" si="1064"/>
        <v>1653</v>
      </c>
      <c r="O3482" s="86">
        <f t="shared" si="1065"/>
        <v>7223.7699999999995</v>
      </c>
      <c r="P3482" s="86">
        <f t="shared" si="1066"/>
        <v>0</v>
      </c>
      <c r="Q3482" s="86">
        <f t="shared" si="1067"/>
        <v>0</v>
      </c>
      <c r="R3482" s="86">
        <f t="shared" si="1068"/>
        <v>0</v>
      </c>
      <c r="S3482" s="86">
        <f t="shared" si="1069"/>
        <v>0</v>
      </c>
      <c r="T3482" s="86">
        <f t="shared" si="1070"/>
        <v>7223.7699999999995</v>
      </c>
      <c r="U3482" s="87">
        <v>7223.7699999999995</v>
      </c>
    </row>
    <row r="3483" spans="1:21" s="30" customFormat="1" ht="24.6" hidden="1" outlineLevel="1" x14ac:dyDescent="0.55000000000000004">
      <c r="A3483" s="27" t="s">
        <v>327</v>
      </c>
      <c r="B3483" s="28"/>
      <c r="C3483" s="27"/>
      <c r="D3483" s="27" t="str">
        <f>"""NAV Direct"",""CRONUS JetCorp USA"",""21"",""1"",""399484"""</f>
        <v>"NAV Direct","CRONUS JetCorp USA","21","1","399484"</v>
      </c>
      <c r="E3483" s="31">
        <f t="shared" si="1062"/>
        <v>0</v>
      </c>
      <c r="F3483" s="31"/>
      <c r="G3483" s="31"/>
      <c r="H3483" s="31"/>
      <c r="I3483" s="56"/>
      <c r="J3483" s="56"/>
      <c r="K3483" s="82" t="str">
        <f t="shared" si="1063"/>
        <v>Invoice</v>
      </c>
      <c r="L3483" s="83" t="str">
        <f>"SI_112232"</f>
        <v>SI_112232</v>
      </c>
      <c r="M3483" s="84">
        <v>42265</v>
      </c>
      <c r="N3483" s="85">
        <f t="shared" si="1064"/>
        <v>1547</v>
      </c>
      <c r="O3483" s="86">
        <f t="shared" si="1065"/>
        <v>8949.2900000000009</v>
      </c>
      <c r="P3483" s="86">
        <f t="shared" si="1066"/>
        <v>0</v>
      </c>
      <c r="Q3483" s="86">
        <f t="shared" si="1067"/>
        <v>0</v>
      </c>
      <c r="R3483" s="86">
        <f t="shared" si="1068"/>
        <v>0</v>
      </c>
      <c r="S3483" s="86">
        <f t="shared" si="1069"/>
        <v>0</v>
      </c>
      <c r="T3483" s="86">
        <f t="shared" si="1070"/>
        <v>8949.2900000000009</v>
      </c>
      <c r="U3483" s="87">
        <v>8949.2900000000009</v>
      </c>
    </row>
    <row r="3484" spans="1:21" s="30" customFormat="1" ht="24.6" hidden="1" outlineLevel="1" x14ac:dyDescent="0.55000000000000004">
      <c r="A3484" s="27" t="s">
        <v>327</v>
      </c>
      <c r="B3484" s="28"/>
      <c r="C3484" s="27"/>
      <c r="D3484" s="27" t="str">
        <f>"""NAV Direct"",""CRONUS JetCorp USA"",""21"",""1"",""399821"""</f>
        <v>"NAV Direct","CRONUS JetCorp USA","21","1","399821"</v>
      </c>
      <c r="E3484" s="31" t="str">
        <f t="shared" si="1062"/>
        <v>C100100</v>
      </c>
      <c r="F3484" s="31"/>
      <c r="G3484" s="31"/>
      <c r="H3484" s="31"/>
      <c r="I3484" s="56"/>
      <c r="J3484" s="56"/>
      <c r="K3484" s="82" t="str">
        <f t="shared" si="1063"/>
        <v>Invoice</v>
      </c>
      <c r="L3484" s="83" t="str">
        <f>"SI_112239"</f>
        <v>SI_112239</v>
      </c>
      <c r="M3484" s="84">
        <v>42277</v>
      </c>
      <c r="N3484" s="85">
        <f t="shared" si="1064"/>
        <v>1535</v>
      </c>
      <c r="O3484" s="86">
        <f t="shared" si="1065"/>
        <v>8492.5600000000013</v>
      </c>
      <c r="P3484" s="86">
        <f t="shared" si="1066"/>
        <v>0</v>
      </c>
      <c r="Q3484" s="86">
        <f t="shared" si="1067"/>
        <v>0</v>
      </c>
      <c r="R3484" s="86">
        <f t="shared" si="1068"/>
        <v>0</v>
      </c>
      <c r="S3484" s="86">
        <f t="shared" si="1069"/>
        <v>0</v>
      </c>
      <c r="T3484" s="86">
        <f t="shared" si="1070"/>
        <v>8492.5600000000013</v>
      </c>
      <c r="U3484" s="87">
        <v>8492.5600000000013</v>
      </c>
    </row>
    <row r="3485" spans="1:21" s="30" customFormat="1" ht="24.6" hidden="1" outlineLevel="1" x14ac:dyDescent="0.55000000000000004">
      <c r="A3485" s="27" t="s">
        <v>327</v>
      </c>
      <c r="B3485" s="28"/>
      <c r="C3485" s="27"/>
      <c r="D3485" s="27" t="str">
        <f>"""NAV Direct"",""CRONUS JetCorp USA"",""21"",""1"",""400264"""</f>
        <v>"NAV Direct","CRONUS JetCorp USA","21","1","400264"</v>
      </c>
      <c r="E3485" s="31">
        <f t="shared" si="1062"/>
        <v>0</v>
      </c>
      <c r="F3485" s="31"/>
      <c r="G3485" s="31"/>
      <c r="H3485" s="31"/>
      <c r="I3485" s="56"/>
      <c r="J3485" s="56"/>
      <c r="K3485" s="82" t="str">
        <f t="shared" si="1063"/>
        <v>Invoice</v>
      </c>
      <c r="L3485" s="83" t="str">
        <f>"SI_112248"</f>
        <v>SI_112248</v>
      </c>
      <c r="M3485" s="84">
        <v>42306</v>
      </c>
      <c r="N3485" s="85">
        <f t="shared" si="1064"/>
        <v>1506</v>
      </c>
      <c r="O3485" s="86">
        <f t="shared" si="1065"/>
        <v>9542.8100000000013</v>
      </c>
      <c r="P3485" s="86">
        <f t="shared" si="1066"/>
        <v>0</v>
      </c>
      <c r="Q3485" s="86">
        <f t="shared" si="1067"/>
        <v>0</v>
      </c>
      <c r="R3485" s="86">
        <f t="shared" si="1068"/>
        <v>0</v>
      </c>
      <c r="S3485" s="86">
        <f t="shared" si="1069"/>
        <v>0</v>
      </c>
      <c r="T3485" s="86">
        <f t="shared" si="1070"/>
        <v>9542.8100000000013</v>
      </c>
      <c r="U3485" s="87">
        <v>9542.8100000000013</v>
      </c>
    </row>
    <row r="3486" spans="1:21" s="30" customFormat="1" ht="24.6" hidden="1" outlineLevel="1" x14ac:dyDescent="0.55000000000000004">
      <c r="A3486" s="27" t="s">
        <v>327</v>
      </c>
      <c r="B3486" s="28"/>
      <c r="C3486" s="27"/>
      <c r="D3486" s="27" t="str">
        <f>"""NAV Direct"",""CRONUS JetCorp USA"",""21"",""1"",""400735"""</f>
        <v>"NAV Direct","CRONUS JetCorp USA","21","1","400735"</v>
      </c>
      <c r="E3486" s="31" t="str">
        <f t="shared" si="1062"/>
        <v>C100100</v>
      </c>
      <c r="F3486" s="31"/>
      <c r="G3486" s="31"/>
      <c r="H3486" s="31"/>
      <c r="I3486" s="56"/>
      <c r="J3486" s="56"/>
      <c r="K3486" s="82" t="str">
        <f t="shared" si="1063"/>
        <v>Invoice</v>
      </c>
      <c r="L3486" s="83" t="str">
        <f>"SI_112257"</f>
        <v>SI_112257</v>
      </c>
      <c r="M3486" s="84">
        <v>42326</v>
      </c>
      <c r="N3486" s="85">
        <f t="shared" si="1064"/>
        <v>1486</v>
      </c>
      <c r="O3486" s="86">
        <f t="shared" si="1065"/>
        <v>8498.2100000000009</v>
      </c>
      <c r="P3486" s="86">
        <f t="shared" si="1066"/>
        <v>0</v>
      </c>
      <c r="Q3486" s="86">
        <f t="shared" si="1067"/>
        <v>0</v>
      </c>
      <c r="R3486" s="86">
        <f t="shared" si="1068"/>
        <v>0</v>
      </c>
      <c r="S3486" s="86">
        <f t="shared" si="1069"/>
        <v>0</v>
      </c>
      <c r="T3486" s="86">
        <f t="shared" si="1070"/>
        <v>8498.2100000000009</v>
      </c>
      <c r="U3486" s="87">
        <v>8498.2100000000009</v>
      </c>
    </row>
    <row r="3487" spans="1:21" s="30" customFormat="1" ht="24.6" hidden="1" outlineLevel="1" x14ac:dyDescent="0.55000000000000004">
      <c r="A3487" s="27" t="s">
        <v>327</v>
      </c>
      <c r="B3487" s="28"/>
      <c r="C3487" s="27"/>
      <c r="D3487" s="27" t="str">
        <f>"""NAV Direct"",""CRONUS JetCorp USA"",""21"",""1"",""438770"""</f>
        <v>"NAV Direct","CRONUS JetCorp USA","21","1","438770"</v>
      </c>
      <c r="E3487" s="31">
        <f t="shared" si="1062"/>
        <v>0</v>
      </c>
      <c r="F3487" s="31"/>
      <c r="G3487" s="31"/>
      <c r="H3487" s="31"/>
      <c r="I3487" s="56"/>
      <c r="J3487" s="56"/>
      <c r="K3487" s="82" t="str">
        <f t="shared" ref="K3487:K3493" si="1071">"Credit Memo"</f>
        <v>Credit Memo</v>
      </c>
      <c r="L3487" s="83" t="str">
        <f>"SC_100834"</f>
        <v>SC_100834</v>
      </c>
      <c r="M3487" s="84">
        <v>42584</v>
      </c>
      <c r="N3487" s="85">
        <f t="shared" si="1064"/>
        <v>1228</v>
      </c>
      <c r="O3487" s="86">
        <f t="shared" si="1065"/>
        <v>-96.12</v>
      </c>
      <c r="P3487" s="86">
        <f t="shared" si="1066"/>
        <v>0</v>
      </c>
      <c r="Q3487" s="86">
        <f t="shared" si="1067"/>
        <v>0</v>
      </c>
      <c r="R3487" s="86">
        <f t="shared" si="1068"/>
        <v>0</v>
      </c>
      <c r="S3487" s="86">
        <f t="shared" si="1069"/>
        <v>0</v>
      </c>
      <c r="T3487" s="86">
        <f t="shared" si="1070"/>
        <v>-96.12</v>
      </c>
      <c r="U3487" s="87">
        <v>-96.12</v>
      </c>
    </row>
    <row r="3488" spans="1:21" s="30" customFormat="1" ht="24.6" hidden="1" outlineLevel="1" x14ac:dyDescent="0.55000000000000004">
      <c r="A3488" s="27" t="s">
        <v>327</v>
      </c>
      <c r="B3488" s="28"/>
      <c r="C3488" s="27"/>
      <c r="D3488" s="27" t="str">
        <f>"""NAV Direct"",""CRONUS JetCorp USA"",""21"",""1"",""439110"""</f>
        <v>"NAV Direct","CRONUS JetCorp USA","21","1","439110"</v>
      </c>
      <c r="E3488" s="31" t="str">
        <f t="shared" si="1062"/>
        <v>C100100</v>
      </c>
      <c r="F3488" s="31"/>
      <c r="G3488" s="31"/>
      <c r="H3488" s="31"/>
      <c r="I3488" s="56"/>
      <c r="J3488" s="56"/>
      <c r="K3488" s="82" t="str">
        <f t="shared" si="1071"/>
        <v>Credit Memo</v>
      </c>
      <c r="L3488" s="83" t="str">
        <f>"SC_100851"</f>
        <v>SC_100851</v>
      </c>
      <c r="M3488" s="84">
        <v>43210</v>
      </c>
      <c r="N3488" s="85">
        <f t="shared" si="1064"/>
        <v>602</v>
      </c>
      <c r="O3488" s="86">
        <f t="shared" si="1065"/>
        <v>-82.09</v>
      </c>
      <c r="P3488" s="86">
        <f t="shared" si="1066"/>
        <v>0</v>
      </c>
      <c r="Q3488" s="86">
        <f t="shared" si="1067"/>
        <v>0</v>
      </c>
      <c r="R3488" s="86">
        <f t="shared" si="1068"/>
        <v>0</v>
      </c>
      <c r="S3488" s="86">
        <f t="shared" si="1069"/>
        <v>0</v>
      </c>
      <c r="T3488" s="86">
        <f t="shared" si="1070"/>
        <v>-82.09</v>
      </c>
      <c r="U3488" s="87">
        <v>-82.09</v>
      </c>
    </row>
    <row r="3489" spans="1:22" s="30" customFormat="1" ht="24.6" hidden="1" outlineLevel="1" x14ac:dyDescent="0.55000000000000004">
      <c r="A3489" s="27" t="s">
        <v>327</v>
      </c>
      <c r="B3489" s="28"/>
      <c r="C3489" s="27"/>
      <c r="D3489" s="27" t="str">
        <f>"""NAV Direct"",""CRONUS JetCorp USA"",""21"",""1"",""439383"""</f>
        <v>"NAV Direct","CRONUS JetCorp USA","21","1","439383"</v>
      </c>
      <c r="E3489" s="31">
        <f t="shared" si="1062"/>
        <v>0</v>
      </c>
      <c r="F3489" s="31"/>
      <c r="G3489" s="31"/>
      <c r="H3489" s="31"/>
      <c r="I3489" s="56"/>
      <c r="J3489" s="56"/>
      <c r="K3489" s="82" t="str">
        <f t="shared" si="1071"/>
        <v>Credit Memo</v>
      </c>
      <c r="L3489" s="83" t="str">
        <f>"SC_100864"</f>
        <v>SC_100864</v>
      </c>
      <c r="M3489" s="84">
        <v>43573</v>
      </c>
      <c r="N3489" s="85">
        <f t="shared" si="1064"/>
        <v>239</v>
      </c>
      <c r="O3489" s="86">
        <f t="shared" si="1065"/>
        <v>-137.19999999999999</v>
      </c>
      <c r="P3489" s="86">
        <f t="shared" si="1066"/>
        <v>0</v>
      </c>
      <c r="Q3489" s="86">
        <f t="shared" si="1067"/>
        <v>0</v>
      </c>
      <c r="R3489" s="86">
        <f t="shared" si="1068"/>
        <v>0</v>
      </c>
      <c r="S3489" s="86">
        <f t="shared" si="1069"/>
        <v>0</v>
      </c>
      <c r="T3489" s="86">
        <f t="shared" si="1070"/>
        <v>-137.19999999999999</v>
      </c>
      <c r="U3489" s="87">
        <v>-137.19999999999999</v>
      </c>
    </row>
    <row r="3490" spans="1:22" s="30" customFormat="1" ht="24.6" hidden="1" outlineLevel="1" x14ac:dyDescent="0.55000000000000004">
      <c r="A3490" s="27" t="s">
        <v>327</v>
      </c>
      <c r="B3490" s="28"/>
      <c r="C3490" s="27"/>
      <c r="D3490" s="27" t="str">
        <f>"""NAV Direct"",""CRONUS JetCorp USA"",""21"",""1"",""439464"""</f>
        <v>"NAV Direct","CRONUS JetCorp USA","21","1","439464"</v>
      </c>
      <c r="E3490" s="31" t="str">
        <f t="shared" si="1062"/>
        <v>C100100</v>
      </c>
      <c r="F3490" s="31"/>
      <c r="G3490" s="31"/>
      <c r="H3490" s="31"/>
      <c r="I3490" s="56"/>
      <c r="J3490" s="56"/>
      <c r="K3490" s="82" t="str">
        <f t="shared" si="1071"/>
        <v>Credit Memo</v>
      </c>
      <c r="L3490" s="83" t="str">
        <f>"SC_100869"</f>
        <v>SC_100869</v>
      </c>
      <c r="M3490" s="84">
        <v>43631</v>
      </c>
      <c r="N3490" s="85">
        <f t="shared" si="1064"/>
        <v>181</v>
      </c>
      <c r="O3490" s="86">
        <f t="shared" si="1065"/>
        <v>-94.78</v>
      </c>
      <c r="P3490" s="86">
        <f t="shared" si="1066"/>
        <v>0</v>
      </c>
      <c r="Q3490" s="86">
        <f t="shared" si="1067"/>
        <v>0</v>
      </c>
      <c r="R3490" s="86">
        <f t="shared" si="1068"/>
        <v>0</v>
      </c>
      <c r="S3490" s="86">
        <f t="shared" si="1069"/>
        <v>0</v>
      </c>
      <c r="T3490" s="86">
        <f t="shared" si="1070"/>
        <v>-94.78</v>
      </c>
      <c r="U3490" s="87">
        <v>-94.78</v>
      </c>
    </row>
    <row r="3491" spans="1:22" s="30" customFormat="1" ht="24.6" hidden="1" outlineLevel="1" x14ac:dyDescent="0.55000000000000004">
      <c r="A3491" s="27" t="s">
        <v>327</v>
      </c>
      <c r="B3491" s="28"/>
      <c r="C3491" s="27"/>
      <c r="D3491" s="27" t="str">
        <f>"""NAV Direct"",""CRONUS JetCorp USA"",""21"",""1"",""439737"""</f>
        <v>"NAV Direct","CRONUS JetCorp USA","21","1","439737"</v>
      </c>
      <c r="E3491" s="31">
        <f t="shared" si="1062"/>
        <v>0</v>
      </c>
      <c r="F3491" s="31"/>
      <c r="G3491" s="31"/>
      <c r="H3491" s="31"/>
      <c r="I3491" s="56"/>
      <c r="J3491" s="56"/>
      <c r="K3491" s="82" t="str">
        <f t="shared" si="1071"/>
        <v>Credit Memo</v>
      </c>
      <c r="L3491" s="83" t="str">
        <f>"SC_100882"</f>
        <v>SC_100882</v>
      </c>
      <c r="M3491" s="84">
        <v>43812</v>
      </c>
      <c r="N3491" s="85">
        <f t="shared" si="1064"/>
        <v>0</v>
      </c>
      <c r="O3491" s="86">
        <f t="shared" si="1065"/>
        <v>-92.77</v>
      </c>
      <c r="P3491" s="86">
        <f t="shared" si="1066"/>
        <v>-92.77</v>
      </c>
      <c r="Q3491" s="86">
        <f t="shared" si="1067"/>
        <v>0</v>
      </c>
      <c r="R3491" s="86">
        <f t="shared" si="1068"/>
        <v>0</v>
      </c>
      <c r="S3491" s="86">
        <f t="shared" si="1069"/>
        <v>0</v>
      </c>
      <c r="T3491" s="86">
        <f t="shared" si="1070"/>
        <v>0</v>
      </c>
      <c r="U3491" s="87">
        <v>-92.77</v>
      </c>
    </row>
    <row r="3492" spans="1:22" s="30" customFormat="1" ht="24.6" hidden="1" outlineLevel="1" x14ac:dyDescent="0.55000000000000004">
      <c r="A3492" s="27" t="s">
        <v>327</v>
      </c>
      <c r="B3492" s="28"/>
      <c r="C3492" s="27"/>
      <c r="D3492" s="27" t="str">
        <f>"""NAV Direct"",""CRONUS JetCorp USA"",""21"",""1"",""439834"""</f>
        <v>"NAV Direct","CRONUS JetCorp USA","21","1","439834"</v>
      </c>
      <c r="E3492" s="31" t="str">
        <f t="shared" si="1062"/>
        <v>C100100</v>
      </c>
      <c r="F3492" s="31"/>
      <c r="G3492" s="31"/>
      <c r="H3492" s="31"/>
      <c r="I3492" s="56"/>
      <c r="J3492" s="56"/>
      <c r="K3492" s="82" t="str">
        <f t="shared" si="1071"/>
        <v>Credit Memo</v>
      </c>
      <c r="L3492" s="83" t="str">
        <f>"SC_100887"</f>
        <v>SC_100887</v>
      </c>
      <c r="M3492" s="84">
        <v>42047</v>
      </c>
      <c r="N3492" s="85">
        <f t="shared" si="1064"/>
        <v>1765</v>
      </c>
      <c r="O3492" s="86">
        <f t="shared" si="1065"/>
        <v>-95.76</v>
      </c>
      <c r="P3492" s="86">
        <f t="shared" si="1066"/>
        <v>0</v>
      </c>
      <c r="Q3492" s="86">
        <f t="shared" si="1067"/>
        <v>0</v>
      </c>
      <c r="R3492" s="86">
        <f t="shared" si="1068"/>
        <v>0</v>
      </c>
      <c r="S3492" s="86">
        <f t="shared" si="1069"/>
        <v>0</v>
      </c>
      <c r="T3492" s="86">
        <f t="shared" si="1070"/>
        <v>-95.76</v>
      </c>
      <c r="U3492" s="87">
        <v>-95.76</v>
      </c>
    </row>
    <row r="3493" spans="1:22" s="30" customFormat="1" ht="24.6" hidden="1" outlineLevel="1" x14ac:dyDescent="0.55000000000000004">
      <c r="A3493" s="27" t="s">
        <v>327</v>
      </c>
      <c r="B3493" s="28"/>
      <c r="C3493" s="27"/>
      <c r="D3493" s="27" t="str">
        <f>"""NAV Direct"",""CRONUS JetCorp USA"",""21"",""1"",""440132"""</f>
        <v>"NAV Direct","CRONUS JetCorp USA","21","1","440132"</v>
      </c>
      <c r="E3493" s="31">
        <f t="shared" si="1062"/>
        <v>0</v>
      </c>
      <c r="F3493" s="31"/>
      <c r="G3493" s="31"/>
      <c r="H3493" s="31"/>
      <c r="I3493" s="56"/>
      <c r="J3493" s="56"/>
      <c r="K3493" s="82" t="str">
        <f t="shared" si="1071"/>
        <v>Credit Memo</v>
      </c>
      <c r="L3493" s="83" t="str">
        <f>"SC_100903"</f>
        <v>SC_100903</v>
      </c>
      <c r="M3493" s="84">
        <v>42255</v>
      </c>
      <c r="N3493" s="85">
        <f t="shared" si="1064"/>
        <v>1557</v>
      </c>
      <c r="O3493" s="86">
        <f t="shared" si="1065"/>
        <v>-83.05</v>
      </c>
      <c r="P3493" s="86">
        <f t="shared" si="1066"/>
        <v>0</v>
      </c>
      <c r="Q3493" s="86">
        <f t="shared" si="1067"/>
        <v>0</v>
      </c>
      <c r="R3493" s="86">
        <f t="shared" si="1068"/>
        <v>0</v>
      </c>
      <c r="S3493" s="86">
        <f t="shared" si="1069"/>
        <v>0</v>
      </c>
      <c r="T3493" s="86">
        <f t="shared" si="1070"/>
        <v>-83.05</v>
      </c>
      <c r="U3493" s="87">
        <v>-83.05</v>
      </c>
    </row>
    <row r="3494" spans="1:22" s="22" customFormat="1" ht="20.399999999999999" collapsed="1" x14ac:dyDescent="0.45">
      <c r="A3494" s="12" t="s">
        <v>327</v>
      </c>
      <c r="B3494" s="19"/>
      <c r="C3494" s="12"/>
      <c r="D3494" s="12"/>
      <c r="E3494" s="23"/>
      <c r="F3494" s="23"/>
      <c r="G3494" s="23"/>
      <c r="H3494" s="23"/>
      <c r="I3494" s="49"/>
      <c r="J3494" s="88"/>
      <c r="K3494" s="88"/>
      <c r="L3494" s="89"/>
      <c r="M3494" s="89"/>
      <c r="N3494" s="89"/>
      <c r="O3494" s="89"/>
      <c r="P3494" s="89"/>
      <c r="Q3494" s="90"/>
      <c r="R3494" s="90"/>
      <c r="S3494" s="91"/>
      <c r="T3494" s="92"/>
      <c r="U3494" s="92"/>
    </row>
    <row r="3495" spans="1:22" s="22" customFormat="1" ht="20.399999999999999" x14ac:dyDescent="0.45">
      <c r="A3495" s="12" t="s">
        <v>327</v>
      </c>
      <c r="B3495" s="19"/>
      <c r="C3495" s="12"/>
      <c r="D3495" s="12"/>
      <c r="E3495" s="23"/>
      <c r="F3495" s="23"/>
      <c r="G3495" s="23"/>
      <c r="H3495" s="23"/>
      <c r="I3495" s="49"/>
      <c r="J3495" s="88"/>
      <c r="K3495" s="88"/>
      <c r="L3495" s="89"/>
      <c r="M3495" s="89"/>
      <c r="N3495" s="89"/>
      <c r="O3495" s="89"/>
      <c r="P3495" s="89"/>
      <c r="Q3495" s="90"/>
      <c r="R3495" s="90"/>
      <c r="S3495" s="91"/>
      <c r="T3495" s="92"/>
      <c r="U3495" s="92"/>
    </row>
    <row r="3496" spans="1:22" s="26" customFormat="1" ht="24.6" x14ac:dyDescent="0.55000000000000004">
      <c r="A3496" s="27" t="s">
        <v>327</v>
      </c>
      <c r="B3496" s="28"/>
      <c r="C3496" s="27" t="str">
        <f>"""NAV Direct"",""CRONUS JetCorp USA"",""18"",""1"",""C100101"""</f>
        <v>"NAV Direct","CRONUS JetCorp USA","18","1","C100101"</v>
      </c>
      <c r="D3496" s="27"/>
      <c r="E3496" s="28" t="str">
        <f>H3496</f>
        <v>C100101</v>
      </c>
      <c r="F3496" s="28"/>
      <c r="G3496" s="28"/>
      <c r="H3496" s="28" t="str">
        <f>"C100101"</f>
        <v>C100101</v>
      </c>
      <c r="I3496" s="116" t="str">
        <f>"C100101  -  ZoomTrax Systems"</f>
        <v>C100101  -  ZoomTrax Systems</v>
      </c>
      <c r="J3496" s="117" t="str">
        <f>""</f>
        <v/>
      </c>
      <c r="K3496" s="118"/>
      <c r="L3496" s="119">
        <f>SUBTOTAL(3,L3497:L3537)</f>
        <v>37</v>
      </c>
      <c r="M3496" s="118"/>
      <c r="N3496" s="118"/>
      <c r="O3496" s="120">
        <f t="shared" ref="O3496:T3496" si="1072">SUBTOTAL(9,O3497:O3537)</f>
        <v>317965.27999999997</v>
      </c>
      <c r="P3496" s="120">
        <f t="shared" si="1072"/>
        <v>12236.65</v>
      </c>
      <c r="Q3496" s="120">
        <f t="shared" si="1072"/>
        <v>0</v>
      </c>
      <c r="R3496" s="120">
        <f t="shared" si="1072"/>
        <v>11290.490000000002</v>
      </c>
      <c r="S3496" s="120">
        <f t="shared" si="1072"/>
        <v>0</v>
      </c>
      <c r="T3496" s="120">
        <f t="shared" si="1072"/>
        <v>294438.13999999996</v>
      </c>
      <c r="U3496" s="81"/>
    </row>
    <row r="3497" spans="1:22" s="26" customFormat="1" ht="24.6" x14ac:dyDescent="0.55000000000000004">
      <c r="A3497" s="27" t="s">
        <v>327</v>
      </c>
      <c r="B3497" s="28"/>
      <c r="C3497" s="27" t="str">
        <f>C3496</f>
        <v>"NAV Direct","CRONUS JetCorp USA","18","1","C100101"</v>
      </c>
      <c r="D3497" s="27"/>
      <c r="E3497" s="28" t="str">
        <f>E3496</f>
        <v>C100101</v>
      </c>
      <c r="F3497" s="28"/>
      <c r="G3497" s="28"/>
      <c r="H3497" s="28"/>
      <c r="I3497" s="121" t="str">
        <f>"Contact: Kevin Watson"</f>
        <v>Contact: Kevin Watson</v>
      </c>
      <c r="J3497" s="121"/>
      <c r="K3497" s="122"/>
      <c r="L3497" s="123"/>
      <c r="M3497" s="123"/>
      <c r="N3497" s="124"/>
      <c r="O3497" s="124"/>
      <c r="P3497" s="123"/>
      <c r="Q3497" s="125"/>
      <c r="R3497" s="126"/>
      <c r="S3497" s="126"/>
      <c r="T3497" s="125"/>
      <c r="U3497" s="81"/>
    </row>
    <row r="3498" spans="1:22" s="26" customFormat="1" ht="24.6" x14ac:dyDescent="0.55000000000000004">
      <c r="A3498" s="27" t="s">
        <v>327</v>
      </c>
      <c r="B3498" s="28"/>
      <c r="C3498" s="27" t="str">
        <f>C3497</f>
        <v>"NAV Direct","CRONUS JetCorp USA","18","1","C100101"</v>
      </c>
      <c r="D3498" s="27"/>
      <c r="E3498" s="28" t="str">
        <f>E3497</f>
        <v>C100101</v>
      </c>
      <c r="F3498" s="28"/>
      <c r="G3498" s="28"/>
      <c r="H3498" s="28"/>
      <c r="I3498" s="121" t="str">
        <f>"ZoomTrax Systems@Cronus.com"</f>
        <v>ZoomTrax Systems@Cronus.com</v>
      </c>
      <c r="J3498" s="121"/>
      <c r="K3498" s="122"/>
      <c r="L3498" s="124"/>
      <c r="M3498" s="124"/>
      <c r="N3498" s="124"/>
      <c r="O3498" s="124"/>
      <c r="P3498" s="123"/>
      <c r="Q3498" s="125"/>
      <c r="R3498" s="126"/>
      <c r="S3498" s="126"/>
      <c r="T3498" s="125"/>
      <c r="U3498" s="81"/>
    </row>
    <row r="3499" spans="1:22" ht="12.75" hidden="1" customHeight="1" outlineLevel="1" x14ac:dyDescent="0.45">
      <c r="A3499" s="12" t="s">
        <v>328</v>
      </c>
      <c r="B3499" s="19"/>
      <c r="E3499" s="19"/>
      <c r="F3499" s="19"/>
      <c r="G3499" s="19"/>
      <c r="H3499" s="19"/>
      <c r="I3499" s="61"/>
      <c r="J3499" s="61"/>
      <c r="K3499" s="61"/>
      <c r="L3499" s="61"/>
      <c r="M3499" s="61"/>
      <c r="N3499" s="61"/>
      <c r="O3499" s="61"/>
      <c r="P3499" s="61"/>
      <c r="Q3499" s="61"/>
      <c r="R3499" s="61"/>
      <c r="S3499" s="61"/>
      <c r="T3499" s="61"/>
      <c r="U3499" s="61"/>
      <c r="V3499" s="21"/>
    </row>
    <row r="3500" spans="1:22" s="30" customFormat="1" ht="24.6" hidden="1" outlineLevel="1" x14ac:dyDescent="0.55000000000000004">
      <c r="A3500" s="27" t="s">
        <v>327</v>
      </c>
      <c r="B3500" s="28"/>
      <c r="C3500" s="27"/>
      <c r="D3500" s="27" t="str">
        <f>"""NAV Direct"",""CRONUS JetCorp USA"",""21"",""1"",""153222"""</f>
        <v>"NAV Direct","CRONUS JetCorp USA","21","1","153222"</v>
      </c>
      <c r="E3500" s="31" t="str">
        <f t="shared" ref="E3500:E3536" si="1073">E3498</f>
        <v>C100101</v>
      </c>
      <c r="F3500" s="31"/>
      <c r="G3500" s="31"/>
      <c r="H3500" s="31"/>
      <c r="I3500" s="56"/>
      <c r="J3500" s="56"/>
      <c r="K3500" s="82" t="str">
        <f t="shared" ref="K3500:K3529" si="1074">"Invoice"</f>
        <v>Invoice</v>
      </c>
      <c r="L3500" s="83" t="str">
        <f>"SI_107359"</f>
        <v>SI_107359</v>
      </c>
      <c r="M3500" s="84">
        <v>42327</v>
      </c>
      <c r="N3500" s="85">
        <f t="shared" ref="N3500:N3536" si="1075">StartDate-$M3500+1</f>
        <v>1485</v>
      </c>
      <c r="O3500" s="86">
        <f t="shared" ref="O3500:O3536" si="1076">SUM(P3500:T3500)</f>
        <v>14628.869999999999</v>
      </c>
      <c r="P3500" s="86">
        <f t="shared" ref="P3500:P3536" si="1077">IF($M3500&gt;=$P$18,U3500,0)</f>
        <v>0</v>
      </c>
      <c r="Q3500" s="86">
        <f t="shared" ref="Q3500:Q3536" si="1078">IF(AND($M3500&gt;=$Q$16,$M3500&lt;=$Q$18),U3500,0)</f>
        <v>0</v>
      </c>
      <c r="R3500" s="86">
        <f t="shared" ref="R3500:R3536" si="1079">IF(AND($M3500&gt;=$R$16,$M3500&lt;=$R$18),U3500,0)</f>
        <v>0</v>
      </c>
      <c r="S3500" s="86">
        <f t="shared" ref="S3500:S3536" si="1080">IF(AND($M3500&gt;=$S$16,$M3500&lt;=$S$18),U3500,0)</f>
        <v>0</v>
      </c>
      <c r="T3500" s="86">
        <f t="shared" ref="T3500:T3536" si="1081">IF($M3500&lt;=$T$18,U3500,0)</f>
        <v>14628.869999999999</v>
      </c>
      <c r="U3500" s="87">
        <v>14628.869999999999</v>
      </c>
    </row>
    <row r="3501" spans="1:22" s="30" customFormat="1" ht="24.6" hidden="1" outlineLevel="1" x14ac:dyDescent="0.55000000000000004">
      <c r="A3501" s="27" t="s">
        <v>327</v>
      </c>
      <c r="B3501" s="28"/>
      <c r="C3501" s="27"/>
      <c r="D3501" s="27" t="str">
        <f>"""NAV Direct"",""CRONUS JetCorp USA"",""21"",""1"",""153451"""</f>
        <v>"NAV Direct","CRONUS JetCorp USA","21","1","153451"</v>
      </c>
      <c r="E3501" s="31">
        <f t="shared" si="1073"/>
        <v>0</v>
      </c>
      <c r="F3501" s="31"/>
      <c r="G3501" s="31"/>
      <c r="H3501" s="31"/>
      <c r="I3501" s="56"/>
      <c r="J3501" s="56"/>
      <c r="K3501" s="82" t="str">
        <f t="shared" si="1074"/>
        <v>Invoice</v>
      </c>
      <c r="L3501" s="83" t="str">
        <f>"SI_107362"</f>
        <v>SI_107362</v>
      </c>
      <c r="M3501" s="84">
        <v>42330</v>
      </c>
      <c r="N3501" s="85">
        <f t="shared" si="1075"/>
        <v>1482</v>
      </c>
      <c r="O3501" s="86">
        <f t="shared" si="1076"/>
        <v>14629.09</v>
      </c>
      <c r="P3501" s="86">
        <f t="shared" si="1077"/>
        <v>0</v>
      </c>
      <c r="Q3501" s="86">
        <f t="shared" si="1078"/>
        <v>0</v>
      </c>
      <c r="R3501" s="86">
        <f t="shared" si="1079"/>
        <v>0</v>
      </c>
      <c r="S3501" s="86">
        <f t="shared" si="1080"/>
        <v>0</v>
      </c>
      <c r="T3501" s="86">
        <f t="shared" si="1081"/>
        <v>14629.09</v>
      </c>
      <c r="U3501" s="87">
        <v>14629.09</v>
      </c>
    </row>
    <row r="3502" spans="1:22" s="30" customFormat="1" ht="24.6" hidden="1" outlineLevel="1" x14ac:dyDescent="0.55000000000000004">
      <c r="A3502" s="27" t="s">
        <v>327</v>
      </c>
      <c r="B3502" s="28"/>
      <c r="C3502" s="27"/>
      <c r="D3502" s="27" t="str">
        <f>"""NAV Direct"",""CRONUS JetCorp USA"",""21"",""1"",""153601"""</f>
        <v>"NAV Direct","CRONUS JetCorp USA","21","1","153601"</v>
      </c>
      <c r="E3502" s="31" t="str">
        <f t="shared" si="1073"/>
        <v>C100101</v>
      </c>
      <c r="F3502" s="31"/>
      <c r="G3502" s="31"/>
      <c r="H3502" s="31"/>
      <c r="I3502" s="56"/>
      <c r="J3502" s="56"/>
      <c r="K3502" s="82" t="str">
        <f t="shared" si="1074"/>
        <v>Invoice</v>
      </c>
      <c r="L3502" s="83" t="str">
        <f>"SI_107364"</f>
        <v>SI_107364</v>
      </c>
      <c r="M3502" s="84">
        <v>42332</v>
      </c>
      <c r="N3502" s="85">
        <f t="shared" si="1075"/>
        <v>1480</v>
      </c>
      <c r="O3502" s="86">
        <f t="shared" si="1076"/>
        <v>14629.230000000001</v>
      </c>
      <c r="P3502" s="86">
        <f t="shared" si="1077"/>
        <v>0</v>
      </c>
      <c r="Q3502" s="86">
        <f t="shared" si="1078"/>
        <v>0</v>
      </c>
      <c r="R3502" s="86">
        <f t="shared" si="1079"/>
        <v>0</v>
      </c>
      <c r="S3502" s="86">
        <f t="shared" si="1080"/>
        <v>0</v>
      </c>
      <c r="T3502" s="86">
        <f t="shared" si="1081"/>
        <v>14629.230000000001</v>
      </c>
      <c r="U3502" s="87">
        <v>14629.230000000001</v>
      </c>
    </row>
    <row r="3503" spans="1:22" s="30" customFormat="1" ht="24.6" hidden="1" outlineLevel="1" x14ac:dyDescent="0.55000000000000004">
      <c r="A3503" s="27" t="s">
        <v>327</v>
      </c>
      <c r="B3503" s="28"/>
      <c r="C3503" s="27"/>
      <c r="D3503" s="27" t="str">
        <f>"""NAV Direct"",""CRONUS JetCorp USA"",""21"",""1"",""153690"""</f>
        <v>"NAV Direct","CRONUS JetCorp USA","21","1","153690"</v>
      </c>
      <c r="E3503" s="31">
        <f t="shared" si="1073"/>
        <v>0</v>
      </c>
      <c r="F3503" s="31"/>
      <c r="G3503" s="31"/>
      <c r="H3503" s="31"/>
      <c r="I3503" s="56"/>
      <c r="J3503" s="56"/>
      <c r="K3503" s="82" t="str">
        <f t="shared" si="1074"/>
        <v>Invoice</v>
      </c>
      <c r="L3503" s="83" t="str">
        <f>"SI_107365"</f>
        <v>SI_107365</v>
      </c>
      <c r="M3503" s="84">
        <v>42333</v>
      </c>
      <c r="N3503" s="85">
        <f t="shared" si="1075"/>
        <v>1479</v>
      </c>
      <c r="O3503" s="86">
        <f t="shared" si="1076"/>
        <v>14032.130000000001</v>
      </c>
      <c r="P3503" s="86">
        <f t="shared" si="1077"/>
        <v>0</v>
      </c>
      <c r="Q3503" s="86">
        <f t="shared" si="1078"/>
        <v>0</v>
      </c>
      <c r="R3503" s="86">
        <f t="shared" si="1079"/>
        <v>0</v>
      </c>
      <c r="S3503" s="86">
        <f t="shared" si="1080"/>
        <v>0</v>
      </c>
      <c r="T3503" s="86">
        <f t="shared" si="1081"/>
        <v>14032.130000000001</v>
      </c>
      <c r="U3503" s="87">
        <v>14032.130000000001</v>
      </c>
    </row>
    <row r="3504" spans="1:22" s="30" customFormat="1" ht="24.6" hidden="1" outlineLevel="1" x14ac:dyDescent="0.55000000000000004">
      <c r="A3504" s="27" t="s">
        <v>327</v>
      </c>
      <c r="B3504" s="28"/>
      <c r="C3504" s="27"/>
      <c r="D3504" s="27" t="str">
        <f>"""NAV Direct"",""CRONUS JetCorp USA"",""21"",""1"",""154077"""</f>
        <v>"NAV Direct","CRONUS JetCorp USA","21","1","154077"</v>
      </c>
      <c r="E3504" s="31" t="str">
        <f t="shared" si="1073"/>
        <v>C100101</v>
      </c>
      <c r="F3504" s="31"/>
      <c r="G3504" s="31"/>
      <c r="H3504" s="31"/>
      <c r="I3504" s="56"/>
      <c r="J3504" s="56"/>
      <c r="K3504" s="82" t="str">
        <f t="shared" si="1074"/>
        <v>Invoice</v>
      </c>
      <c r="L3504" s="83" t="str">
        <f>"SI_107370"</f>
        <v>SI_107370</v>
      </c>
      <c r="M3504" s="84">
        <v>42359</v>
      </c>
      <c r="N3504" s="85">
        <f t="shared" si="1075"/>
        <v>1453</v>
      </c>
      <c r="O3504" s="86">
        <f t="shared" si="1076"/>
        <v>12494.570000000002</v>
      </c>
      <c r="P3504" s="86">
        <f t="shared" si="1077"/>
        <v>0</v>
      </c>
      <c r="Q3504" s="86">
        <f t="shared" si="1078"/>
        <v>0</v>
      </c>
      <c r="R3504" s="86">
        <f t="shared" si="1079"/>
        <v>0</v>
      </c>
      <c r="S3504" s="86">
        <f t="shared" si="1080"/>
        <v>0</v>
      </c>
      <c r="T3504" s="86">
        <f t="shared" si="1081"/>
        <v>12494.570000000002</v>
      </c>
      <c r="U3504" s="87">
        <v>12494.570000000002</v>
      </c>
    </row>
    <row r="3505" spans="1:21" s="30" customFormat="1" ht="24.6" hidden="1" outlineLevel="1" x14ac:dyDescent="0.55000000000000004">
      <c r="A3505" s="27" t="s">
        <v>327</v>
      </c>
      <c r="B3505" s="28"/>
      <c r="C3505" s="27"/>
      <c r="D3505" s="27" t="str">
        <f>"""NAV Direct"",""CRONUS JetCorp USA"",""21"",""1"",""154395"""</f>
        <v>"NAV Direct","CRONUS JetCorp USA","21","1","154395"</v>
      </c>
      <c r="E3505" s="31">
        <f t="shared" si="1073"/>
        <v>0</v>
      </c>
      <c r="F3505" s="31"/>
      <c r="G3505" s="31"/>
      <c r="H3505" s="31"/>
      <c r="I3505" s="56"/>
      <c r="J3505" s="56"/>
      <c r="K3505" s="82" t="str">
        <f t="shared" si="1074"/>
        <v>Invoice</v>
      </c>
      <c r="L3505" s="83" t="str">
        <f>"SI_107374"</f>
        <v>SI_107374</v>
      </c>
      <c r="M3505" s="84">
        <v>42738</v>
      </c>
      <c r="N3505" s="85">
        <f t="shared" si="1075"/>
        <v>1074</v>
      </c>
      <c r="O3505" s="86">
        <f t="shared" si="1076"/>
        <v>12763.199999999999</v>
      </c>
      <c r="P3505" s="86">
        <f t="shared" si="1077"/>
        <v>0</v>
      </c>
      <c r="Q3505" s="86">
        <f t="shared" si="1078"/>
        <v>0</v>
      </c>
      <c r="R3505" s="86">
        <f t="shared" si="1079"/>
        <v>0</v>
      </c>
      <c r="S3505" s="86">
        <f t="shared" si="1080"/>
        <v>0</v>
      </c>
      <c r="T3505" s="86">
        <f t="shared" si="1081"/>
        <v>12763.199999999999</v>
      </c>
      <c r="U3505" s="87">
        <v>12763.199999999999</v>
      </c>
    </row>
    <row r="3506" spans="1:21" s="30" customFormat="1" ht="24.6" hidden="1" outlineLevel="1" x14ac:dyDescent="0.55000000000000004">
      <c r="A3506" s="27" t="s">
        <v>327</v>
      </c>
      <c r="B3506" s="28"/>
      <c r="C3506" s="27"/>
      <c r="D3506" s="27" t="str">
        <f>"""NAV Direct"",""CRONUS JetCorp USA"",""21"",""1"",""402353"""</f>
        <v>"NAV Direct","CRONUS JetCorp USA","21","1","402353"</v>
      </c>
      <c r="E3506" s="31" t="str">
        <f t="shared" si="1073"/>
        <v>C100101</v>
      </c>
      <c r="F3506" s="31"/>
      <c r="G3506" s="31"/>
      <c r="H3506" s="31"/>
      <c r="I3506" s="56"/>
      <c r="J3506" s="56"/>
      <c r="K3506" s="82" t="str">
        <f t="shared" si="1074"/>
        <v>Invoice</v>
      </c>
      <c r="L3506" s="83" t="str">
        <f>"SI_112291"</f>
        <v>SI_112291</v>
      </c>
      <c r="M3506" s="84">
        <v>42502</v>
      </c>
      <c r="N3506" s="85">
        <f t="shared" si="1075"/>
        <v>1310</v>
      </c>
      <c r="O3506" s="86">
        <f t="shared" si="1076"/>
        <v>8346.6</v>
      </c>
      <c r="P3506" s="86">
        <f t="shared" si="1077"/>
        <v>0</v>
      </c>
      <c r="Q3506" s="86">
        <f t="shared" si="1078"/>
        <v>0</v>
      </c>
      <c r="R3506" s="86">
        <f t="shared" si="1079"/>
        <v>0</v>
      </c>
      <c r="S3506" s="86">
        <f t="shared" si="1080"/>
        <v>0</v>
      </c>
      <c r="T3506" s="86">
        <f t="shared" si="1081"/>
        <v>8346.6</v>
      </c>
      <c r="U3506" s="87">
        <v>8346.6</v>
      </c>
    </row>
    <row r="3507" spans="1:21" s="30" customFormat="1" ht="24.6" hidden="1" outlineLevel="1" x14ac:dyDescent="0.55000000000000004">
      <c r="A3507" s="27" t="s">
        <v>327</v>
      </c>
      <c r="B3507" s="28"/>
      <c r="C3507" s="27"/>
      <c r="D3507" s="27" t="str">
        <f>"""NAV Direct"",""CRONUS JetCorp USA"",""21"",""1"",""402445"""</f>
        <v>"NAV Direct","CRONUS JetCorp USA","21","1","402445"</v>
      </c>
      <c r="E3507" s="31">
        <f t="shared" si="1073"/>
        <v>0</v>
      </c>
      <c r="F3507" s="31"/>
      <c r="G3507" s="31"/>
      <c r="H3507" s="31"/>
      <c r="I3507" s="56"/>
      <c r="J3507" s="56"/>
      <c r="K3507" s="82" t="str">
        <f t="shared" si="1074"/>
        <v>Invoice</v>
      </c>
      <c r="L3507" s="83" t="str">
        <f>"SI_112293"</f>
        <v>SI_112293</v>
      </c>
      <c r="M3507" s="84">
        <v>42513</v>
      </c>
      <c r="N3507" s="85">
        <f t="shared" si="1075"/>
        <v>1299</v>
      </c>
      <c r="O3507" s="86">
        <f t="shared" si="1076"/>
        <v>8409.82</v>
      </c>
      <c r="P3507" s="86">
        <f t="shared" si="1077"/>
        <v>0</v>
      </c>
      <c r="Q3507" s="86">
        <f t="shared" si="1078"/>
        <v>0</v>
      </c>
      <c r="R3507" s="86">
        <f t="shared" si="1079"/>
        <v>0</v>
      </c>
      <c r="S3507" s="86">
        <f t="shared" si="1080"/>
        <v>0</v>
      </c>
      <c r="T3507" s="86">
        <f t="shared" si="1081"/>
        <v>8409.82</v>
      </c>
      <c r="U3507" s="87">
        <v>8409.82</v>
      </c>
    </row>
    <row r="3508" spans="1:21" s="30" customFormat="1" ht="24.6" hidden="1" outlineLevel="1" x14ac:dyDescent="0.55000000000000004">
      <c r="A3508" s="27" t="s">
        <v>327</v>
      </c>
      <c r="B3508" s="28"/>
      <c r="C3508" s="27"/>
      <c r="D3508" s="27" t="str">
        <f>"""NAV Direct"",""CRONUS JetCorp USA"",""21"",""1"",""402480"""</f>
        <v>"NAV Direct","CRONUS JetCorp USA","21","1","402480"</v>
      </c>
      <c r="E3508" s="31" t="str">
        <f t="shared" si="1073"/>
        <v>C100101</v>
      </c>
      <c r="F3508" s="31"/>
      <c r="G3508" s="31"/>
      <c r="H3508" s="31"/>
      <c r="I3508" s="56"/>
      <c r="J3508" s="56"/>
      <c r="K3508" s="82" t="str">
        <f t="shared" si="1074"/>
        <v>Invoice</v>
      </c>
      <c r="L3508" s="83" t="str">
        <f>"SI_112294"</f>
        <v>SI_112294</v>
      </c>
      <c r="M3508" s="84">
        <v>42516</v>
      </c>
      <c r="N3508" s="85">
        <f t="shared" si="1075"/>
        <v>1296</v>
      </c>
      <c r="O3508" s="86">
        <f t="shared" si="1076"/>
        <v>8410.01</v>
      </c>
      <c r="P3508" s="86">
        <f t="shared" si="1077"/>
        <v>0</v>
      </c>
      <c r="Q3508" s="86">
        <f t="shared" si="1078"/>
        <v>0</v>
      </c>
      <c r="R3508" s="86">
        <f t="shared" si="1079"/>
        <v>0</v>
      </c>
      <c r="S3508" s="86">
        <f t="shared" si="1080"/>
        <v>0</v>
      </c>
      <c r="T3508" s="86">
        <f t="shared" si="1081"/>
        <v>8410.01</v>
      </c>
      <c r="U3508" s="87">
        <v>8410.01</v>
      </c>
    </row>
    <row r="3509" spans="1:21" s="30" customFormat="1" ht="24.6" hidden="1" outlineLevel="1" x14ac:dyDescent="0.55000000000000004">
      <c r="A3509" s="27" t="s">
        <v>327</v>
      </c>
      <c r="B3509" s="28"/>
      <c r="C3509" s="27"/>
      <c r="D3509" s="27" t="str">
        <f>"""NAV Direct"",""CRONUS JetCorp USA"",""21"",""1"",""403916"""</f>
        <v>"NAV Direct","CRONUS JetCorp USA","21","1","403916"</v>
      </c>
      <c r="E3509" s="31">
        <f t="shared" si="1073"/>
        <v>0</v>
      </c>
      <c r="F3509" s="31"/>
      <c r="G3509" s="31"/>
      <c r="H3509" s="31"/>
      <c r="I3509" s="56"/>
      <c r="J3509" s="56"/>
      <c r="K3509" s="82" t="str">
        <f t="shared" si="1074"/>
        <v>Invoice</v>
      </c>
      <c r="L3509" s="83" t="str">
        <f>"SI_112326"</f>
        <v>SI_112326</v>
      </c>
      <c r="M3509" s="84">
        <v>42734</v>
      </c>
      <c r="N3509" s="85">
        <f t="shared" si="1075"/>
        <v>1078</v>
      </c>
      <c r="O3509" s="86">
        <f t="shared" si="1076"/>
        <v>8855.67</v>
      </c>
      <c r="P3509" s="86">
        <f t="shared" si="1077"/>
        <v>0</v>
      </c>
      <c r="Q3509" s="86">
        <f t="shared" si="1078"/>
        <v>0</v>
      </c>
      <c r="R3509" s="86">
        <f t="shared" si="1079"/>
        <v>0</v>
      </c>
      <c r="S3509" s="86">
        <f t="shared" si="1080"/>
        <v>0</v>
      </c>
      <c r="T3509" s="86">
        <f t="shared" si="1081"/>
        <v>8855.67</v>
      </c>
      <c r="U3509" s="87">
        <v>8855.67</v>
      </c>
    </row>
    <row r="3510" spans="1:21" s="30" customFormat="1" ht="24.6" hidden="1" outlineLevel="1" x14ac:dyDescent="0.55000000000000004">
      <c r="A3510" s="27" t="s">
        <v>327</v>
      </c>
      <c r="B3510" s="28"/>
      <c r="C3510" s="27"/>
      <c r="D3510" s="27" t="str">
        <f>"""NAV Direct"",""CRONUS JetCorp USA"",""21"",""1"",""404593"""</f>
        <v>"NAV Direct","CRONUS JetCorp USA","21","1","404593"</v>
      </c>
      <c r="E3510" s="31" t="str">
        <f t="shared" si="1073"/>
        <v>C100101</v>
      </c>
      <c r="F3510" s="31"/>
      <c r="G3510" s="31"/>
      <c r="H3510" s="31"/>
      <c r="I3510" s="56"/>
      <c r="J3510" s="56"/>
      <c r="K3510" s="82" t="str">
        <f t="shared" si="1074"/>
        <v>Invoice</v>
      </c>
      <c r="L3510" s="83" t="str">
        <f>"SI_112340"</f>
        <v>SI_112340</v>
      </c>
      <c r="M3510" s="84">
        <v>42840</v>
      </c>
      <c r="N3510" s="85">
        <f t="shared" si="1075"/>
        <v>972</v>
      </c>
      <c r="O3510" s="86">
        <f t="shared" si="1076"/>
        <v>9858.08</v>
      </c>
      <c r="P3510" s="86">
        <f t="shared" si="1077"/>
        <v>0</v>
      </c>
      <c r="Q3510" s="86">
        <f t="shared" si="1078"/>
        <v>0</v>
      </c>
      <c r="R3510" s="86">
        <f t="shared" si="1079"/>
        <v>0</v>
      </c>
      <c r="S3510" s="86">
        <f t="shared" si="1080"/>
        <v>0</v>
      </c>
      <c r="T3510" s="86">
        <f t="shared" si="1081"/>
        <v>9858.08</v>
      </c>
      <c r="U3510" s="87">
        <v>9858.08</v>
      </c>
    </row>
    <row r="3511" spans="1:21" s="30" customFormat="1" ht="24.6" hidden="1" outlineLevel="1" x14ac:dyDescent="0.55000000000000004">
      <c r="A3511" s="27" t="s">
        <v>327</v>
      </c>
      <c r="B3511" s="28"/>
      <c r="C3511" s="27"/>
      <c r="D3511" s="27" t="str">
        <f>"""NAV Direct"",""CRONUS JetCorp USA"",""21"",""1"",""405096"""</f>
        <v>"NAV Direct","CRONUS JetCorp USA","21","1","405096"</v>
      </c>
      <c r="E3511" s="31">
        <f t="shared" si="1073"/>
        <v>0</v>
      </c>
      <c r="F3511" s="31"/>
      <c r="G3511" s="31"/>
      <c r="H3511" s="31"/>
      <c r="I3511" s="56"/>
      <c r="J3511" s="56"/>
      <c r="K3511" s="82" t="str">
        <f t="shared" si="1074"/>
        <v>Invoice</v>
      </c>
      <c r="L3511" s="83" t="str">
        <f>"SI_112350"</f>
        <v>SI_112350</v>
      </c>
      <c r="M3511" s="84">
        <v>42904</v>
      </c>
      <c r="N3511" s="85">
        <f t="shared" si="1075"/>
        <v>908</v>
      </c>
      <c r="O3511" s="86">
        <f t="shared" si="1076"/>
        <v>10115.82</v>
      </c>
      <c r="P3511" s="86">
        <f t="shared" si="1077"/>
        <v>0</v>
      </c>
      <c r="Q3511" s="86">
        <f t="shared" si="1078"/>
        <v>0</v>
      </c>
      <c r="R3511" s="86">
        <f t="shared" si="1079"/>
        <v>0</v>
      </c>
      <c r="S3511" s="86">
        <f t="shared" si="1080"/>
        <v>0</v>
      </c>
      <c r="T3511" s="86">
        <f t="shared" si="1081"/>
        <v>10115.82</v>
      </c>
      <c r="U3511" s="87">
        <v>10115.82</v>
      </c>
    </row>
    <row r="3512" spans="1:21" s="30" customFormat="1" ht="24.6" hidden="1" outlineLevel="1" x14ac:dyDescent="0.55000000000000004">
      <c r="A3512" s="27" t="s">
        <v>327</v>
      </c>
      <c r="B3512" s="28"/>
      <c r="C3512" s="27"/>
      <c r="D3512" s="27" t="str">
        <f>"""NAV Direct"",""CRONUS JetCorp USA"",""21"",""1"",""405251"""</f>
        <v>"NAV Direct","CRONUS JetCorp USA","21","1","405251"</v>
      </c>
      <c r="E3512" s="31" t="str">
        <f t="shared" si="1073"/>
        <v>C100101</v>
      </c>
      <c r="F3512" s="31"/>
      <c r="G3512" s="31"/>
      <c r="H3512" s="31"/>
      <c r="I3512" s="56"/>
      <c r="J3512" s="56"/>
      <c r="K3512" s="82" t="str">
        <f t="shared" si="1074"/>
        <v>Invoice</v>
      </c>
      <c r="L3512" s="83" t="str">
        <f>"SI_112353"</f>
        <v>SI_112353</v>
      </c>
      <c r="M3512" s="84">
        <v>42926</v>
      </c>
      <c r="N3512" s="85">
        <f t="shared" si="1075"/>
        <v>886</v>
      </c>
      <c r="O3512" s="86">
        <f t="shared" si="1076"/>
        <v>8440.64</v>
      </c>
      <c r="P3512" s="86">
        <f t="shared" si="1077"/>
        <v>0</v>
      </c>
      <c r="Q3512" s="86">
        <f t="shared" si="1078"/>
        <v>0</v>
      </c>
      <c r="R3512" s="86">
        <f t="shared" si="1079"/>
        <v>0</v>
      </c>
      <c r="S3512" s="86">
        <f t="shared" si="1080"/>
        <v>0</v>
      </c>
      <c r="T3512" s="86">
        <f t="shared" si="1081"/>
        <v>8440.64</v>
      </c>
      <c r="U3512" s="87">
        <v>8440.64</v>
      </c>
    </row>
    <row r="3513" spans="1:21" s="30" customFormat="1" ht="24.6" hidden="1" outlineLevel="1" x14ac:dyDescent="0.55000000000000004">
      <c r="A3513" s="27" t="s">
        <v>327</v>
      </c>
      <c r="B3513" s="28"/>
      <c r="C3513" s="27"/>
      <c r="D3513" s="27" t="str">
        <f>"""NAV Direct"",""CRONUS JetCorp USA"",""21"",""1"",""405874"""</f>
        <v>"NAV Direct","CRONUS JetCorp USA","21","1","405874"</v>
      </c>
      <c r="E3513" s="31">
        <f t="shared" si="1073"/>
        <v>0</v>
      </c>
      <c r="F3513" s="31"/>
      <c r="G3513" s="31"/>
      <c r="H3513" s="31"/>
      <c r="I3513" s="56"/>
      <c r="J3513" s="56"/>
      <c r="K3513" s="82" t="str">
        <f t="shared" si="1074"/>
        <v>Invoice</v>
      </c>
      <c r="L3513" s="83" t="str">
        <f>"SI_112367"</f>
        <v>SI_112367</v>
      </c>
      <c r="M3513" s="84">
        <v>43092</v>
      </c>
      <c r="N3513" s="85">
        <f t="shared" si="1075"/>
        <v>720</v>
      </c>
      <c r="O3513" s="86">
        <f t="shared" si="1076"/>
        <v>7726.01</v>
      </c>
      <c r="P3513" s="86">
        <f t="shared" si="1077"/>
        <v>0</v>
      </c>
      <c r="Q3513" s="86">
        <f t="shared" si="1078"/>
        <v>0</v>
      </c>
      <c r="R3513" s="86">
        <f t="shared" si="1079"/>
        <v>0</v>
      </c>
      <c r="S3513" s="86">
        <f t="shared" si="1080"/>
        <v>0</v>
      </c>
      <c r="T3513" s="86">
        <f t="shared" si="1081"/>
        <v>7726.01</v>
      </c>
      <c r="U3513" s="87">
        <v>7726.01</v>
      </c>
    </row>
    <row r="3514" spans="1:21" s="30" customFormat="1" ht="24.6" hidden="1" outlineLevel="1" x14ac:dyDescent="0.55000000000000004">
      <c r="A3514" s="27" t="s">
        <v>327</v>
      </c>
      <c r="B3514" s="28"/>
      <c r="C3514" s="27"/>
      <c r="D3514" s="27" t="str">
        <f>"""NAV Direct"",""CRONUS JetCorp USA"",""21"",""1"",""406038"""</f>
        <v>"NAV Direct","CRONUS JetCorp USA","21","1","406038"</v>
      </c>
      <c r="E3514" s="31" t="str">
        <f t="shared" si="1073"/>
        <v>C100101</v>
      </c>
      <c r="F3514" s="31"/>
      <c r="G3514" s="31"/>
      <c r="H3514" s="31"/>
      <c r="I3514" s="56"/>
      <c r="J3514" s="56"/>
      <c r="K3514" s="82" t="str">
        <f t="shared" si="1074"/>
        <v>Invoice</v>
      </c>
      <c r="L3514" s="83" t="str">
        <f>"SI_112371"</f>
        <v>SI_112371</v>
      </c>
      <c r="M3514" s="84">
        <v>43126</v>
      </c>
      <c r="N3514" s="85">
        <f t="shared" si="1075"/>
        <v>686</v>
      </c>
      <c r="O3514" s="86">
        <f t="shared" si="1076"/>
        <v>7525.16</v>
      </c>
      <c r="P3514" s="86">
        <f t="shared" si="1077"/>
        <v>0</v>
      </c>
      <c r="Q3514" s="86">
        <f t="shared" si="1078"/>
        <v>0</v>
      </c>
      <c r="R3514" s="86">
        <f t="shared" si="1079"/>
        <v>0</v>
      </c>
      <c r="S3514" s="86">
        <f t="shared" si="1080"/>
        <v>0</v>
      </c>
      <c r="T3514" s="86">
        <f t="shared" si="1081"/>
        <v>7525.16</v>
      </c>
      <c r="U3514" s="87">
        <v>7525.16</v>
      </c>
    </row>
    <row r="3515" spans="1:21" s="30" customFormat="1" ht="24.6" hidden="1" outlineLevel="1" x14ac:dyDescent="0.55000000000000004">
      <c r="A3515" s="27" t="s">
        <v>327</v>
      </c>
      <c r="B3515" s="28"/>
      <c r="C3515" s="27"/>
      <c r="D3515" s="27" t="str">
        <f>"""NAV Direct"",""CRONUS JetCorp USA"",""21"",""1"",""406077"""</f>
        <v>"NAV Direct","CRONUS JetCorp USA","21","1","406077"</v>
      </c>
      <c r="E3515" s="31">
        <f t="shared" si="1073"/>
        <v>0</v>
      </c>
      <c r="F3515" s="31"/>
      <c r="G3515" s="31"/>
      <c r="H3515" s="31"/>
      <c r="I3515" s="56"/>
      <c r="J3515" s="56"/>
      <c r="K3515" s="82" t="str">
        <f t="shared" si="1074"/>
        <v>Invoice</v>
      </c>
      <c r="L3515" s="83" t="str">
        <f>"SI_112372"</f>
        <v>SI_112372</v>
      </c>
      <c r="M3515" s="84">
        <v>43145</v>
      </c>
      <c r="N3515" s="85">
        <f t="shared" si="1075"/>
        <v>667</v>
      </c>
      <c r="O3515" s="86">
        <f t="shared" si="1076"/>
        <v>7585.2899999999991</v>
      </c>
      <c r="P3515" s="86">
        <f t="shared" si="1077"/>
        <v>0</v>
      </c>
      <c r="Q3515" s="86">
        <f t="shared" si="1078"/>
        <v>0</v>
      </c>
      <c r="R3515" s="86">
        <f t="shared" si="1079"/>
        <v>0</v>
      </c>
      <c r="S3515" s="86">
        <f t="shared" si="1080"/>
        <v>0</v>
      </c>
      <c r="T3515" s="86">
        <f t="shared" si="1081"/>
        <v>7585.2899999999991</v>
      </c>
      <c r="U3515" s="87">
        <v>7585.2899999999991</v>
      </c>
    </row>
    <row r="3516" spans="1:21" s="30" customFormat="1" ht="24.6" hidden="1" outlineLevel="1" x14ac:dyDescent="0.55000000000000004">
      <c r="A3516" s="27" t="s">
        <v>327</v>
      </c>
      <c r="B3516" s="28"/>
      <c r="C3516" s="27"/>
      <c r="D3516" s="27" t="str">
        <f>"""NAV Direct"",""CRONUS JetCorp USA"",""21"",""1"",""406108"""</f>
        <v>"NAV Direct","CRONUS JetCorp USA","21","1","406108"</v>
      </c>
      <c r="E3516" s="31" t="str">
        <f t="shared" si="1073"/>
        <v>C100101</v>
      </c>
      <c r="F3516" s="31"/>
      <c r="G3516" s="31"/>
      <c r="H3516" s="31"/>
      <c r="I3516" s="56"/>
      <c r="J3516" s="56"/>
      <c r="K3516" s="82" t="str">
        <f t="shared" si="1074"/>
        <v>Invoice</v>
      </c>
      <c r="L3516" s="83" t="str">
        <f>"SI_112373"</f>
        <v>SI_112373</v>
      </c>
      <c r="M3516" s="84">
        <v>43150</v>
      </c>
      <c r="N3516" s="85">
        <f t="shared" si="1075"/>
        <v>662</v>
      </c>
      <c r="O3516" s="86">
        <f t="shared" si="1076"/>
        <v>7585.35</v>
      </c>
      <c r="P3516" s="86">
        <f t="shared" si="1077"/>
        <v>0</v>
      </c>
      <c r="Q3516" s="86">
        <f t="shared" si="1078"/>
        <v>0</v>
      </c>
      <c r="R3516" s="86">
        <f t="shared" si="1079"/>
        <v>0</v>
      </c>
      <c r="S3516" s="86">
        <f t="shared" si="1080"/>
        <v>0</v>
      </c>
      <c r="T3516" s="86">
        <f t="shared" si="1081"/>
        <v>7585.35</v>
      </c>
      <c r="U3516" s="87">
        <v>7585.35</v>
      </c>
    </row>
    <row r="3517" spans="1:21" s="30" customFormat="1" ht="24.6" hidden="1" outlineLevel="1" x14ac:dyDescent="0.55000000000000004">
      <c r="A3517" s="27" t="s">
        <v>327</v>
      </c>
      <c r="B3517" s="28"/>
      <c r="C3517" s="27"/>
      <c r="D3517" s="27" t="str">
        <f>"""NAV Direct"",""CRONUS JetCorp USA"",""21"",""1"",""406319"""</f>
        <v>"NAV Direct","CRONUS JetCorp USA","21","1","406319"</v>
      </c>
      <c r="E3517" s="31">
        <f t="shared" si="1073"/>
        <v>0</v>
      </c>
      <c r="F3517" s="31"/>
      <c r="G3517" s="31"/>
      <c r="H3517" s="31"/>
      <c r="I3517" s="56"/>
      <c r="J3517" s="56"/>
      <c r="K3517" s="82" t="str">
        <f t="shared" si="1074"/>
        <v>Invoice</v>
      </c>
      <c r="L3517" s="83" t="str">
        <f>"SI_112378"</f>
        <v>SI_112378</v>
      </c>
      <c r="M3517" s="84">
        <v>43234</v>
      </c>
      <c r="N3517" s="85">
        <f t="shared" si="1075"/>
        <v>578</v>
      </c>
      <c r="O3517" s="86">
        <f t="shared" si="1076"/>
        <v>7899.5</v>
      </c>
      <c r="P3517" s="86">
        <f t="shared" si="1077"/>
        <v>0</v>
      </c>
      <c r="Q3517" s="86">
        <f t="shared" si="1078"/>
        <v>0</v>
      </c>
      <c r="R3517" s="86">
        <f t="shared" si="1079"/>
        <v>0</v>
      </c>
      <c r="S3517" s="86">
        <f t="shared" si="1080"/>
        <v>0</v>
      </c>
      <c r="T3517" s="86">
        <f t="shared" si="1081"/>
        <v>7899.5</v>
      </c>
      <c r="U3517" s="87">
        <v>7899.5</v>
      </c>
    </row>
    <row r="3518" spans="1:21" s="30" customFormat="1" ht="24.6" hidden="1" outlineLevel="1" x14ac:dyDescent="0.55000000000000004">
      <c r="A3518" s="27" t="s">
        <v>327</v>
      </c>
      <c r="B3518" s="28"/>
      <c r="C3518" s="27"/>
      <c r="D3518" s="27" t="str">
        <f>"""NAV Direct"",""CRONUS JetCorp USA"",""21"",""1"",""406400"""</f>
        <v>"NAV Direct","CRONUS JetCorp USA","21","1","406400"</v>
      </c>
      <c r="E3518" s="31" t="str">
        <f t="shared" si="1073"/>
        <v>C100101</v>
      </c>
      <c r="F3518" s="31"/>
      <c r="G3518" s="31"/>
      <c r="H3518" s="31"/>
      <c r="I3518" s="56"/>
      <c r="J3518" s="56"/>
      <c r="K3518" s="82" t="str">
        <f t="shared" si="1074"/>
        <v>Invoice</v>
      </c>
      <c r="L3518" s="83" t="str">
        <f>"SI_112380"</f>
        <v>SI_112380</v>
      </c>
      <c r="M3518" s="84">
        <v>43252</v>
      </c>
      <c r="N3518" s="85">
        <f t="shared" si="1075"/>
        <v>560</v>
      </c>
      <c r="O3518" s="86">
        <f t="shared" si="1076"/>
        <v>7795.38</v>
      </c>
      <c r="P3518" s="86">
        <f t="shared" si="1077"/>
        <v>0</v>
      </c>
      <c r="Q3518" s="86">
        <f t="shared" si="1078"/>
        <v>0</v>
      </c>
      <c r="R3518" s="86">
        <f t="shared" si="1079"/>
        <v>0</v>
      </c>
      <c r="S3518" s="86">
        <f t="shared" si="1080"/>
        <v>0</v>
      </c>
      <c r="T3518" s="86">
        <f t="shared" si="1081"/>
        <v>7795.38</v>
      </c>
      <c r="U3518" s="87">
        <v>7795.38</v>
      </c>
    </row>
    <row r="3519" spans="1:21" s="30" customFormat="1" ht="24.6" hidden="1" outlineLevel="1" x14ac:dyDescent="0.55000000000000004">
      <c r="A3519" s="27" t="s">
        <v>327</v>
      </c>
      <c r="B3519" s="28"/>
      <c r="C3519" s="27"/>
      <c r="D3519" s="27" t="str">
        <f>"""NAV Direct"",""CRONUS JetCorp USA"",""21"",""1"",""407575"""</f>
        <v>"NAV Direct","CRONUS JetCorp USA","21","1","407575"</v>
      </c>
      <c r="E3519" s="31">
        <f t="shared" si="1073"/>
        <v>0</v>
      </c>
      <c r="F3519" s="31"/>
      <c r="G3519" s="31"/>
      <c r="H3519" s="31"/>
      <c r="I3519" s="56"/>
      <c r="J3519" s="56"/>
      <c r="K3519" s="82" t="str">
        <f t="shared" si="1074"/>
        <v>Invoice</v>
      </c>
      <c r="L3519" s="83" t="str">
        <f>"SI_112403"</f>
        <v>SI_112403</v>
      </c>
      <c r="M3519" s="84">
        <v>43448</v>
      </c>
      <c r="N3519" s="85">
        <f t="shared" si="1075"/>
        <v>364</v>
      </c>
      <c r="O3519" s="86">
        <f t="shared" si="1076"/>
        <v>12015.46</v>
      </c>
      <c r="P3519" s="86">
        <f t="shared" si="1077"/>
        <v>0</v>
      </c>
      <c r="Q3519" s="86">
        <f t="shared" si="1078"/>
        <v>0</v>
      </c>
      <c r="R3519" s="86">
        <f t="shared" si="1079"/>
        <v>0</v>
      </c>
      <c r="S3519" s="86">
        <f t="shared" si="1080"/>
        <v>0</v>
      </c>
      <c r="T3519" s="86">
        <f t="shared" si="1081"/>
        <v>12015.46</v>
      </c>
      <c r="U3519" s="87">
        <v>12015.46</v>
      </c>
    </row>
    <row r="3520" spans="1:21" s="30" customFormat="1" ht="24.6" hidden="1" outlineLevel="1" x14ac:dyDescent="0.55000000000000004">
      <c r="A3520" s="27" t="s">
        <v>327</v>
      </c>
      <c r="B3520" s="28"/>
      <c r="C3520" s="27"/>
      <c r="D3520" s="27" t="str">
        <f>"""NAV Direct"",""CRONUS JetCorp USA"",""21"",""1"",""408343"""</f>
        <v>"NAV Direct","CRONUS JetCorp USA","21","1","408343"</v>
      </c>
      <c r="E3520" s="31" t="str">
        <f t="shared" si="1073"/>
        <v>C100101</v>
      </c>
      <c r="F3520" s="31"/>
      <c r="G3520" s="31"/>
      <c r="H3520" s="31"/>
      <c r="I3520" s="56"/>
      <c r="J3520" s="56"/>
      <c r="K3520" s="82" t="str">
        <f t="shared" si="1074"/>
        <v>Invoice</v>
      </c>
      <c r="L3520" s="83" t="str">
        <f>"SI_112418"</f>
        <v>SI_112418</v>
      </c>
      <c r="M3520" s="84">
        <v>43581</v>
      </c>
      <c r="N3520" s="85">
        <f t="shared" si="1075"/>
        <v>231</v>
      </c>
      <c r="O3520" s="86">
        <f t="shared" si="1076"/>
        <v>13267.8</v>
      </c>
      <c r="P3520" s="86">
        <f t="shared" si="1077"/>
        <v>0</v>
      </c>
      <c r="Q3520" s="86">
        <f t="shared" si="1078"/>
        <v>0</v>
      </c>
      <c r="R3520" s="86">
        <f t="shared" si="1079"/>
        <v>0</v>
      </c>
      <c r="S3520" s="86">
        <f t="shared" si="1080"/>
        <v>0</v>
      </c>
      <c r="T3520" s="86">
        <f t="shared" si="1081"/>
        <v>13267.8</v>
      </c>
      <c r="U3520" s="87">
        <v>13267.8</v>
      </c>
    </row>
    <row r="3521" spans="1:21" s="30" customFormat="1" ht="24.6" hidden="1" outlineLevel="1" x14ac:dyDescent="0.55000000000000004">
      <c r="A3521" s="27" t="s">
        <v>327</v>
      </c>
      <c r="B3521" s="28"/>
      <c r="C3521" s="27"/>
      <c r="D3521" s="27" t="str">
        <f>"""NAV Direct"",""CRONUS JetCorp USA"",""21"",""1"",""408520"""</f>
        <v>"NAV Direct","CRONUS JetCorp USA","21","1","408520"</v>
      </c>
      <c r="E3521" s="31">
        <f t="shared" si="1073"/>
        <v>0</v>
      </c>
      <c r="F3521" s="31"/>
      <c r="G3521" s="31"/>
      <c r="H3521" s="31"/>
      <c r="I3521" s="56"/>
      <c r="J3521" s="56"/>
      <c r="K3521" s="82" t="str">
        <f t="shared" si="1074"/>
        <v>Invoice</v>
      </c>
      <c r="L3521" s="83" t="str">
        <f>"SI_112422"</f>
        <v>SI_112422</v>
      </c>
      <c r="M3521" s="84">
        <v>43611</v>
      </c>
      <c r="N3521" s="85">
        <f t="shared" si="1075"/>
        <v>201</v>
      </c>
      <c r="O3521" s="86">
        <f t="shared" si="1076"/>
        <v>7783.76</v>
      </c>
      <c r="P3521" s="86">
        <f t="shared" si="1077"/>
        <v>0</v>
      </c>
      <c r="Q3521" s="86">
        <f t="shared" si="1078"/>
        <v>0</v>
      </c>
      <c r="R3521" s="86">
        <f t="shared" si="1079"/>
        <v>0</v>
      </c>
      <c r="S3521" s="86">
        <f t="shared" si="1080"/>
        <v>0</v>
      </c>
      <c r="T3521" s="86">
        <f t="shared" si="1081"/>
        <v>7783.76</v>
      </c>
      <c r="U3521" s="87">
        <v>7783.76</v>
      </c>
    </row>
    <row r="3522" spans="1:21" s="30" customFormat="1" ht="24.6" hidden="1" outlineLevel="1" x14ac:dyDescent="0.55000000000000004">
      <c r="A3522" s="27" t="s">
        <v>327</v>
      </c>
      <c r="B3522" s="28"/>
      <c r="C3522" s="27"/>
      <c r="D3522" s="27" t="str">
        <f>"""NAV Direct"",""CRONUS JetCorp USA"",""21"",""1"",""409657"""</f>
        <v>"NAV Direct","CRONUS JetCorp USA","21","1","409657"</v>
      </c>
      <c r="E3522" s="31" t="str">
        <f t="shared" si="1073"/>
        <v>C100101</v>
      </c>
      <c r="F3522" s="31"/>
      <c r="G3522" s="31"/>
      <c r="H3522" s="31"/>
      <c r="I3522" s="56"/>
      <c r="J3522" s="56"/>
      <c r="K3522" s="82" t="str">
        <f t="shared" si="1074"/>
        <v>Invoice</v>
      </c>
      <c r="L3522" s="83" t="str">
        <f>"SI_112445"</f>
        <v>SI_112445</v>
      </c>
      <c r="M3522" s="84">
        <v>43765</v>
      </c>
      <c r="N3522" s="85">
        <f t="shared" si="1075"/>
        <v>47</v>
      </c>
      <c r="O3522" s="86">
        <f t="shared" si="1076"/>
        <v>11429.210000000001</v>
      </c>
      <c r="P3522" s="86">
        <f t="shared" si="1077"/>
        <v>0</v>
      </c>
      <c r="Q3522" s="86">
        <f t="shared" si="1078"/>
        <v>0</v>
      </c>
      <c r="R3522" s="86">
        <f t="shared" si="1079"/>
        <v>11429.210000000001</v>
      </c>
      <c r="S3522" s="86">
        <f t="shared" si="1080"/>
        <v>0</v>
      </c>
      <c r="T3522" s="86">
        <f t="shared" si="1081"/>
        <v>0</v>
      </c>
      <c r="U3522" s="87">
        <v>11429.210000000001</v>
      </c>
    </row>
    <row r="3523" spans="1:21" s="30" customFormat="1" ht="24.6" hidden="1" outlineLevel="1" x14ac:dyDescent="0.55000000000000004">
      <c r="A3523" s="27" t="s">
        <v>327</v>
      </c>
      <c r="B3523" s="28"/>
      <c r="C3523" s="27"/>
      <c r="D3523" s="27" t="str">
        <f>"""NAV Direct"",""CRONUS JetCorp USA"",""21"",""1"",""410166"""</f>
        <v>"NAV Direct","CRONUS JetCorp USA","21","1","410166"</v>
      </c>
      <c r="E3523" s="31">
        <f t="shared" si="1073"/>
        <v>0</v>
      </c>
      <c r="F3523" s="31"/>
      <c r="G3523" s="31"/>
      <c r="H3523" s="31"/>
      <c r="I3523" s="56"/>
      <c r="J3523" s="56"/>
      <c r="K3523" s="82" t="str">
        <f t="shared" si="1074"/>
        <v>Invoice</v>
      </c>
      <c r="L3523" s="83" t="str">
        <f>"SI_112454"</f>
        <v>SI_112454</v>
      </c>
      <c r="M3523" s="84">
        <v>43828</v>
      </c>
      <c r="N3523" s="85">
        <f t="shared" si="1075"/>
        <v>-16</v>
      </c>
      <c r="O3523" s="86">
        <f t="shared" si="1076"/>
        <v>12236.65</v>
      </c>
      <c r="P3523" s="86">
        <f t="shared" si="1077"/>
        <v>12236.65</v>
      </c>
      <c r="Q3523" s="86">
        <f t="shared" si="1078"/>
        <v>0</v>
      </c>
      <c r="R3523" s="86">
        <f t="shared" si="1079"/>
        <v>0</v>
      </c>
      <c r="S3523" s="86">
        <f t="shared" si="1080"/>
        <v>0</v>
      </c>
      <c r="T3523" s="86">
        <f t="shared" si="1081"/>
        <v>0</v>
      </c>
      <c r="U3523" s="87">
        <v>12236.65</v>
      </c>
    </row>
    <row r="3524" spans="1:21" s="30" customFormat="1" ht="24.6" hidden="1" outlineLevel="1" x14ac:dyDescent="0.55000000000000004">
      <c r="A3524" s="27" t="s">
        <v>327</v>
      </c>
      <c r="B3524" s="28"/>
      <c r="C3524" s="27"/>
      <c r="D3524" s="27" t="str">
        <f>"""NAV Direct"",""CRONUS JetCorp USA"",""21"",""1"",""410860"""</f>
        <v>"NAV Direct","CRONUS JetCorp USA","21","1","410860"</v>
      </c>
      <c r="E3524" s="31" t="str">
        <f t="shared" si="1073"/>
        <v>C100101</v>
      </c>
      <c r="F3524" s="31"/>
      <c r="G3524" s="31"/>
      <c r="H3524" s="31"/>
      <c r="I3524" s="56"/>
      <c r="J3524" s="56"/>
      <c r="K3524" s="82" t="str">
        <f t="shared" si="1074"/>
        <v>Invoice</v>
      </c>
      <c r="L3524" s="83" t="str">
        <f>"SI_112466"</f>
        <v>SI_112466</v>
      </c>
      <c r="M3524" s="84">
        <v>42082</v>
      </c>
      <c r="N3524" s="85">
        <f t="shared" si="1075"/>
        <v>1730</v>
      </c>
      <c r="O3524" s="86">
        <f t="shared" si="1076"/>
        <v>13457.5</v>
      </c>
      <c r="P3524" s="86">
        <f t="shared" si="1077"/>
        <v>0</v>
      </c>
      <c r="Q3524" s="86">
        <f t="shared" si="1078"/>
        <v>0</v>
      </c>
      <c r="R3524" s="86">
        <f t="shared" si="1079"/>
        <v>0</v>
      </c>
      <c r="S3524" s="86">
        <f t="shared" si="1080"/>
        <v>0</v>
      </c>
      <c r="T3524" s="86">
        <f t="shared" si="1081"/>
        <v>13457.5</v>
      </c>
      <c r="U3524" s="87">
        <v>13457.5</v>
      </c>
    </row>
    <row r="3525" spans="1:21" s="30" customFormat="1" ht="24.6" hidden="1" outlineLevel="1" x14ac:dyDescent="0.55000000000000004">
      <c r="A3525" s="27" t="s">
        <v>327</v>
      </c>
      <c r="B3525" s="28"/>
      <c r="C3525" s="27"/>
      <c r="D3525" s="27" t="str">
        <f>"""NAV Direct"",""CRONUS JetCorp USA"",""21"",""1"",""410919"""</f>
        <v>"NAV Direct","CRONUS JetCorp USA","21","1","410919"</v>
      </c>
      <c r="E3525" s="31">
        <f t="shared" si="1073"/>
        <v>0</v>
      </c>
      <c r="F3525" s="31"/>
      <c r="G3525" s="31"/>
      <c r="H3525" s="31"/>
      <c r="I3525" s="56"/>
      <c r="J3525" s="56"/>
      <c r="K3525" s="82" t="str">
        <f t="shared" si="1074"/>
        <v>Invoice</v>
      </c>
      <c r="L3525" s="83" t="str">
        <f>"SI_112467"</f>
        <v>SI_112467</v>
      </c>
      <c r="M3525" s="84">
        <v>42084</v>
      </c>
      <c r="N3525" s="85">
        <f t="shared" si="1075"/>
        <v>1728</v>
      </c>
      <c r="O3525" s="86">
        <f t="shared" si="1076"/>
        <v>12763.74</v>
      </c>
      <c r="P3525" s="86">
        <f t="shared" si="1077"/>
        <v>0</v>
      </c>
      <c r="Q3525" s="86">
        <f t="shared" si="1078"/>
        <v>0</v>
      </c>
      <c r="R3525" s="86">
        <f t="shared" si="1079"/>
        <v>0</v>
      </c>
      <c r="S3525" s="86">
        <f t="shared" si="1080"/>
        <v>0</v>
      </c>
      <c r="T3525" s="86">
        <f t="shared" si="1081"/>
        <v>12763.74</v>
      </c>
      <c r="U3525" s="87">
        <v>12763.74</v>
      </c>
    </row>
    <row r="3526" spans="1:21" s="30" customFormat="1" ht="24.6" hidden="1" outlineLevel="1" x14ac:dyDescent="0.55000000000000004">
      <c r="A3526" s="27" t="s">
        <v>327</v>
      </c>
      <c r="B3526" s="28"/>
      <c r="C3526" s="27"/>
      <c r="D3526" s="27" t="str">
        <f>"""NAV Direct"",""CRONUS JetCorp USA"",""21"",""1"",""411025"""</f>
        <v>"NAV Direct","CRONUS JetCorp USA","21","1","411025"</v>
      </c>
      <c r="E3526" s="31" t="str">
        <f t="shared" si="1073"/>
        <v>C100101</v>
      </c>
      <c r="F3526" s="31"/>
      <c r="G3526" s="31"/>
      <c r="H3526" s="31"/>
      <c r="I3526" s="56"/>
      <c r="J3526" s="56"/>
      <c r="K3526" s="82" t="str">
        <f t="shared" si="1074"/>
        <v>Invoice</v>
      </c>
      <c r="L3526" s="83" t="str">
        <f>"SI_112469"</f>
        <v>SI_112469</v>
      </c>
      <c r="M3526" s="84">
        <v>42085</v>
      </c>
      <c r="N3526" s="85">
        <f t="shared" si="1075"/>
        <v>1727</v>
      </c>
      <c r="O3526" s="86">
        <f t="shared" si="1076"/>
        <v>13041.24</v>
      </c>
      <c r="P3526" s="86">
        <f t="shared" si="1077"/>
        <v>0</v>
      </c>
      <c r="Q3526" s="86">
        <f t="shared" si="1078"/>
        <v>0</v>
      </c>
      <c r="R3526" s="86">
        <f t="shared" si="1079"/>
        <v>0</v>
      </c>
      <c r="S3526" s="86">
        <f t="shared" si="1080"/>
        <v>0</v>
      </c>
      <c r="T3526" s="86">
        <f t="shared" si="1081"/>
        <v>13041.24</v>
      </c>
      <c r="U3526" s="87">
        <v>13041.24</v>
      </c>
    </row>
    <row r="3527" spans="1:21" s="30" customFormat="1" ht="24.6" hidden="1" outlineLevel="1" x14ac:dyDescent="0.55000000000000004">
      <c r="A3527" s="27" t="s">
        <v>327</v>
      </c>
      <c r="B3527" s="28"/>
      <c r="C3527" s="27"/>
      <c r="D3527" s="27" t="str">
        <f>"""NAV Direct"",""CRONUS JetCorp USA"",""21"",""1"",""411204"""</f>
        <v>"NAV Direct","CRONUS JetCorp USA","21","1","411204"</v>
      </c>
      <c r="E3527" s="31">
        <f t="shared" si="1073"/>
        <v>0</v>
      </c>
      <c r="F3527" s="31"/>
      <c r="G3527" s="31"/>
      <c r="H3527" s="31"/>
      <c r="I3527" s="56"/>
      <c r="J3527" s="56"/>
      <c r="K3527" s="82" t="str">
        <f t="shared" si="1074"/>
        <v>Invoice</v>
      </c>
      <c r="L3527" s="83" t="str">
        <f>"SI_112472"</f>
        <v>SI_112472</v>
      </c>
      <c r="M3527" s="84">
        <v>42094</v>
      </c>
      <c r="N3527" s="85">
        <f t="shared" si="1075"/>
        <v>1718</v>
      </c>
      <c r="O3527" s="86">
        <f t="shared" si="1076"/>
        <v>12902.44</v>
      </c>
      <c r="P3527" s="86">
        <f t="shared" si="1077"/>
        <v>0</v>
      </c>
      <c r="Q3527" s="86">
        <f t="shared" si="1078"/>
        <v>0</v>
      </c>
      <c r="R3527" s="86">
        <f t="shared" si="1079"/>
        <v>0</v>
      </c>
      <c r="S3527" s="86">
        <f t="shared" si="1080"/>
        <v>0</v>
      </c>
      <c r="T3527" s="86">
        <f t="shared" si="1081"/>
        <v>12902.44</v>
      </c>
      <c r="U3527" s="87">
        <v>12902.44</v>
      </c>
    </row>
    <row r="3528" spans="1:21" s="30" customFormat="1" ht="24.6" hidden="1" outlineLevel="1" x14ac:dyDescent="0.55000000000000004">
      <c r="A3528" s="27" t="s">
        <v>327</v>
      </c>
      <c r="B3528" s="28"/>
      <c r="C3528" s="27"/>
      <c r="D3528" s="27" t="str">
        <f>"""NAV Direct"",""CRONUS JetCorp USA"",""21"",""1"",""412181"""</f>
        <v>"NAV Direct","CRONUS JetCorp USA","21","1","412181"</v>
      </c>
      <c r="E3528" s="31" t="str">
        <f t="shared" si="1073"/>
        <v>C100101</v>
      </c>
      <c r="F3528" s="31"/>
      <c r="G3528" s="31"/>
      <c r="H3528" s="31"/>
      <c r="I3528" s="56"/>
      <c r="J3528" s="56"/>
      <c r="K3528" s="82" t="str">
        <f t="shared" si="1074"/>
        <v>Invoice</v>
      </c>
      <c r="L3528" s="83" t="str">
        <f>"SI_112489"</f>
        <v>SI_112489</v>
      </c>
      <c r="M3528" s="84">
        <v>42176</v>
      </c>
      <c r="N3528" s="85">
        <f t="shared" si="1075"/>
        <v>1636</v>
      </c>
      <c r="O3528" s="86">
        <f t="shared" si="1076"/>
        <v>9437.76</v>
      </c>
      <c r="P3528" s="86">
        <f t="shared" si="1077"/>
        <v>0</v>
      </c>
      <c r="Q3528" s="86">
        <f t="shared" si="1078"/>
        <v>0</v>
      </c>
      <c r="R3528" s="86">
        <f t="shared" si="1079"/>
        <v>0</v>
      </c>
      <c r="S3528" s="86">
        <f t="shared" si="1080"/>
        <v>0</v>
      </c>
      <c r="T3528" s="86">
        <f t="shared" si="1081"/>
        <v>9437.76</v>
      </c>
      <c r="U3528" s="87">
        <v>9437.76</v>
      </c>
    </row>
    <row r="3529" spans="1:21" s="30" customFormat="1" ht="24.6" hidden="1" outlineLevel="1" x14ac:dyDescent="0.55000000000000004">
      <c r="A3529" s="27" t="s">
        <v>327</v>
      </c>
      <c r="B3529" s="28"/>
      <c r="C3529" s="27"/>
      <c r="D3529" s="27" t="str">
        <f>"""NAV Direct"",""CRONUS JetCorp USA"",""21"",""1"",""412348"""</f>
        <v>"NAV Direct","CRONUS JetCorp USA","21","1","412348"</v>
      </c>
      <c r="E3529" s="31">
        <f t="shared" si="1073"/>
        <v>0</v>
      </c>
      <c r="F3529" s="31"/>
      <c r="G3529" s="31"/>
      <c r="H3529" s="31"/>
      <c r="I3529" s="56"/>
      <c r="J3529" s="56"/>
      <c r="K3529" s="82" t="str">
        <f t="shared" si="1074"/>
        <v>Invoice</v>
      </c>
      <c r="L3529" s="83" t="str">
        <f>"SI_112492"</f>
        <v>SI_112492</v>
      </c>
      <c r="M3529" s="84">
        <v>42177</v>
      </c>
      <c r="N3529" s="85">
        <f t="shared" si="1075"/>
        <v>1635</v>
      </c>
      <c r="O3529" s="86">
        <f t="shared" si="1076"/>
        <v>8667.69</v>
      </c>
      <c r="P3529" s="86">
        <f t="shared" si="1077"/>
        <v>0</v>
      </c>
      <c r="Q3529" s="86">
        <f t="shared" si="1078"/>
        <v>0</v>
      </c>
      <c r="R3529" s="86">
        <f t="shared" si="1079"/>
        <v>0</v>
      </c>
      <c r="S3529" s="86">
        <f t="shared" si="1080"/>
        <v>0</v>
      </c>
      <c r="T3529" s="86">
        <f t="shared" si="1081"/>
        <v>8667.69</v>
      </c>
      <c r="U3529" s="87">
        <v>8667.69</v>
      </c>
    </row>
    <row r="3530" spans="1:21" s="30" customFormat="1" ht="24.6" hidden="1" outlineLevel="1" x14ac:dyDescent="0.55000000000000004">
      <c r="A3530" s="27" t="s">
        <v>327</v>
      </c>
      <c r="B3530" s="28"/>
      <c r="C3530" s="27"/>
      <c r="D3530" s="27" t="str">
        <f>"""NAV Direct"",""CRONUS JetCorp USA"",""21"",""1"",""440210"""</f>
        <v>"NAV Direct","CRONUS JetCorp USA","21","1","440210"</v>
      </c>
      <c r="E3530" s="31" t="str">
        <f t="shared" si="1073"/>
        <v>C100101</v>
      </c>
      <c r="F3530" s="31"/>
      <c r="G3530" s="31"/>
      <c r="H3530" s="31"/>
      <c r="I3530" s="56"/>
      <c r="J3530" s="56"/>
      <c r="K3530" s="82" t="str">
        <f t="shared" ref="K3530:K3536" si="1082">"Credit Memo"</f>
        <v>Credit Memo</v>
      </c>
      <c r="L3530" s="83" t="str">
        <f>"SC_100908"</f>
        <v>SC_100908</v>
      </c>
      <c r="M3530" s="84">
        <v>42385</v>
      </c>
      <c r="N3530" s="85">
        <f t="shared" si="1075"/>
        <v>1427</v>
      </c>
      <c r="O3530" s="86">
        <f t="shared" si="1076"/>
        <v>-80.63000000000001</v>
      </c>
      <c r="P3530" s="86">
        <f t="shared" si="1077"/>
        <v>0</v>
      </c>
      <c r="Q3530" s="86">
        <f t="shared" si="1078"/>
        <v>0</v>
      </c>
      <c r="R3530" s="86">
        <f t="shared" si="1079"/>
        <v>0</v>
      </c>
      <c r="S3530" s="86">
        <f t="shared" si="1080"/>
        <v>0</v>
      </c>
      <c r="T3530" s="86">
        <f t="shared" si="1081"/>
        <v>-80.63000000000001</v>
      </c>
      <c r="U3530" s="87">
        <v>-80.63000000000001</v>
      </c>
    </row>
    <row r="3531" spans="1:21" s="30" customFormat="1" ht="24.6" hidden="1" outlineLevel="1" x14ac:dyDescent="0.55000000000000004">
      <c r="A3531" s="27" t="s">
        <v>327</v>
      </c>
      <c r="B3531" s="28"/>
      <c r="C3531" s="27"/>
      <c r="D3531" s="27" t="str">
        <f>"""NAV Direct"",""CRONUS JetCorp USA"",""21"",""1"",""440471"""</f>
        <v>"NAV Direct","CRONUS JetCorp USA","21","1","440471"</v>
      </c>
      <c r="E3531" s="31">
        <f t="shared" si="1073"/>
        <v>0</v>
      </c>
      <c r="F3531" s="31"/>
      <c r="G3531" s="31"/>
      <c r="H3531" s="31"/>
      <c r="I3531" s="56"/>
      <c r="J3531" s="56"/>
      <c r="K3531" s="82" t="str">
        <f t="shared" si="1082"/>
        <v>Credit Memo</v>
      </c>
      <c r="L3531" s="83" t="str">
        <f>"SC_100920"</f>
        <v>SC_100920</v>
      </c>
      <c r="M3531" s="84">
        <v>42808</v>
      </c>
      <c r="N3531" s="85">
        <f t="shared" si="1075"/>
        <v>1004</v>
      </c>
      <c r="O3531" s="86">
        <f t="shared" si="1076"/>
        <v>-128.07</v>
      </c>
      <c r="P3531" s="86">
        <f t="shared" si="1077"/>
        <v>0</v>
      </c>
      <c r="Q3531" s="86">
        <f t="shared" si="1078"/>
        <v>0</v>
      </c>
      <c r="R3531" s="86">
        <f t="shared" si="1079"/>
        <v>0</v>
      </c>
      <c r="S3531" s="86">
        <f t="shared" si="1080"/>
        <v>0</v>
      </c>
      <c r="T3531" s="86">
        <f t="shared" si="1081"/>
        <v>-128.07</v>
      </c>
      <c r="U3531" s="87">
        <v>-128.07</v>
      </c>
    </row>
    <row r="3532" spans="1:21" s="30" customFormat="1" ht="24.6" hidden="1" outlineLevel="1" x14ac:dyDescent="0.55000000000000004">
      <c r="A3532" s="27" t="s">
        <v>327</v>
      </c>
      <c r="B3532" s="28"/>
      <c r="C3532" s="27"/>
      <c r="D3532" s="27" t="str">
        <f>"""NAV Direct"",""CRONUS JetCorp USA"",""21"",""1"",""440692"""</f>
        <v>"NAV Direct","CRONUS JetCorp USA","21","1","440692"</v>
      </c>
      <c r="E3532" s="31" t="str">
        <f t="shared" si="1073"/>
        <v>C100101</v>
      </c>
      <c r="F3532" s="31"/>
      <c r="G3532" s="31"/>
      <c r="H3532" s="31"/>
      <c r="I3532" s="56"/>
      <c r="J3532" s="56"/>
      <c r="K3532" s="82" t="str">
        <f t="shared" si="1082"/>
        <v>Credit Memo</v>
      </c>
      <c r="L3532" s="83" t="str">
        <f>"SC_100934"</f>
        <v>SC_100934</v>
      </c>
      <c r="M3532" s="84">
        <v>43294</v>
      </c>
      <c r="N3532" s="85">
        <f t="shared" si="1075"/>
        <v>518</v>
      </c>
      <c r="O3532" s="86">
        <f t="shared" si="1076"/>
        <v>-85.59</v>
      </c>
      <c r="P3532" s="86">
        <f t="shared" si="1077"/>
        <v>0</v>
      </c>
      <c r="Q3532" s="86">
        <f t="shared" si="1078"/>
        <v>0</v>
      </c>
      <c r="R3532" s="86">
        <f t="shared" si="1079"/>
        <v>0</v>
      </c>
      <c r="S3532" s="86">
        <f t="shared" si="1080"/>
        <v>0</v>
      </c>
      <c r="T3532" s="86">
        <f t="shared" si="1081"/>
        <v>-85.59</v>
      </c>
      <c r="U3532" s="87">
        <v>-85.59</v>
      </c>
    </row>
    <row r="3533" spans="1:21" s="30" customFormat="1" ht="24.6" hidden="1" outlineLevel="1" x14ac:dyDescent="0.55000000000000004">
      <c r="A3533" s="27" t="s">
        <v>327</v>
      </c>
      <c r="B3533" s="28"/>
      <c r="C3533" s="27"/>
      <c r="D3533" s="27" t="str">
        <f>"""NAV Direct"",""CRONUS JetCorp USA"",""21"",""1"",""441219"""</f>
        <v>"NAV Direct","CRONUS JetCorp USA","21","1","441219"</v>
      </c>
      <c r="E3533" s="31">
        <f t="shared" si="1073"/>
        <v>0</v>
      </c>
      <c r="F3533" s="31"/>
      <c r="G3533" s="31"/>
      <c r="H3533" s="31"/>
      <c r="I3533" s="56"/>
      <c r="J3533" s="56"/>
      <c r="K3533" s="82" t="str">
        <f t="shared" si="1082"/>
        <v>Credit Memo</v>
      </c>
      <c r="L3533" s="83" t="str">
        <f>"SC_100960"</f>
        <v>SC_100960</v>
      </c>
      <c r="M3533" s="84">
        <v>43780</v>
      </c>
      <c r="N3533" s="85">
        <f t="shared" si="1075"/>
        <v>32</v>
      </c>
      <c r="O3533" s="86">
        <f t="shared" si="1076"/>
        <v>-138.72</v>
      </c>
      <c r="P3533" s="86">
        <f t="shared" si="1077"/>
        <v>0</v>
      </c>
      <c r="Q3533" s="86">
        <f t="shared" si="1078"/>
        <v>0</v>
      </c>
      <c r="R3533" s="86">
        <f t="shared" si="1079"/>
        <v>-138.72</v>
      </c>
      <c r="S3533" s="86">
        <f t="shared" si="1080"/>
        <v>0</v>
      </c>
      <c r="T3533" s="86">
        <f t="shared" si="1081"/>
        <v>0</v>
      </c>
      <c r="U3533" s="87">
        <v>-138.72</v>
      </c>
    </row>
    <row r="3534" spans="1:21" s="30" customFormat="1" ht="24.6" hidden="1" outlineLevel="1" x14ac:dyDescent="0.55000000000000004">
      <c r="A3534" s="27" t="s">
        <v>327</v>
      </c>
      <c r="B3534" s="28"/>
      <c r="C3534" s="27"/>
      <c r="D3534" s="27" t="str">
        <f>"""NAV Direct"",""CRONUS JetCorp USA"",""21"",""1"",""441428"""</f>
        <v>"NAV Direct","CRONUS JetCorp USA","21","1","441428"</v>
      </c>
      <c r="E3534" s="31" t="str">
        <f t="shared" si="1073"/>
        <v>C100101</v>
      </c>
      <c r="F3534" s="31"/>
      <c r="G3534" s="31"/>
      <c r="H3534" s="31"/>
      <c r="I3534" s="56"/>
      <c r="J3534" s="56"/>
      <c r="K3534" s="82" t="str">
        <f t="shared" si="1082"/>
        <v>Credit Memo</v>
      </c>
      <c r="L3534" s="83" t="str">
        <f>"SC_100969"</f>
        <v>SC_100969</v>
      </c>
      <c r="M3534" s="84">
        <v>42194</v>
      </c>
      <c r="N3534" s="85">
        <f t="shared" si="1075"/>
        <v>1618</v>
      </c>
      <c r="O3534" s="86">
        <f t="shared" si="1076"/>
        <v>-93.03</v>
      </c>
      <c r="P3534" s="86">
        <f t="shared" si="1077"/>
        <v>0</v>
      </c>
      <c r="Q3534" s="86">
        <f t="shared" si="1078"/>
        <v>0</v>
      </c>
      <c r="R3534" s="86">
        <f t="shared" si="1079"/>
        <v>0</v>
      </c>
      <c r="S3534" s="86">
        <f t="shared" si="1080"/>
        <v>0</v>
      </c>
      <c r="T3534" s="86">
        <f t="shared" si="1081"/>
        <v>-93.03</v>
      </c>
      <c r="U3534" s="87">
        <v>-93.03</v>
      </c>
    </row>
    <row r="3535" spans="1:21" s="30" customFormat="1" ht="24.6" hidden="1" outlineLevel="1" x14ac:dyDescent="0.55000000000000004">
      <c r="A3535" s="27" t="s">
        <v>327</v>
      </c>
      <c r="B3535" s="28"/>
      <c r="C3535" s="27"/>
      <c r="D3535" s="27" t="str">
        <f>"""NAV Direct"",""CRONUS JetCorp USA"",""21"",""1"",""441474"""</f>
        <v>"NAV Direct","CRONUS JetCorp USA","21","1","441474"</v>
      </c>
      <c r="E3535" s="31">
        <f t="shared" si="1073"/>
        <v>0</v>
      </c>
      <c r="F3535" s="31"/>
      <c r="G3535" s="31"/>
      <c r="H3535" s="31"/>
      <c r="I3535" s="56"/>
      <c r="J3535" s="56"/>
      <c r="K3535" s="82" t="str">
        <f t="shared" si="1082"/>
        <v>Credit Memo</v>
      </c>
      <c r="L3535" s="83" t="str">
        <f>"SC_100971"</f>
        <v>SC_100971</v>
      </c>
      <c r="M3535" s="84">
        <v>42254</v>
      </c>
      <c r="N3535" s="85">
        <f t="shared" si="1075"/>
        <v>1558</v>
      </c>
      <c r="O3535" s="86">
        <f t="shared" si="1076"/>
        <v>-110.69000000000001</v>
      </c>
      <c r="P3535" s="86">
        <f t="shared" si="1077"/>
        <v>0</v>
      </c>
      <c r="Q3535" s="86">
        <f t="shared" si="1078"/>
        <v>0</v>
      </c>
      <c r="R3535" s="86">
        <f t="shared" si="1079"/>
        <v>0</v>
      </c>
      <c r="S3535" s="86">
        <f t="shared" si="1080"/>
        <v>0</v>
      </c>
      <c r="T3535" s="86">
        <f t="shared" si="1081"/>
        <v>-110.69000000000001</v>
      </c>
      <c r="U3535" s="87">
        <v>-110.69000000000001</v>
      </c>
    </row>
    <row r="3536" spans="1:21" s="30" customFormat="1" ht="24.6" hidden="1" outlineLevel="1" x14ac:dyDescent="0.55000000000000004">
      <c r="A3536" s="27" t="s">
        <v>327</v>
      </c>
      <c r="B3536" s="28"/>
      <c r="C3536" s="27"/>
      <c r="D3536" s="27" t="str">
        <f>"""NAV Direct"",""CRONUS JetCorp USA"",""21"",""1"",""441558"""</f>
        <v>"NAV Direct","CRONUS JetCorp USA","21","1","441558"</v>
      </c>
      <c r="E3536" s="31" t="str">
        <f t="shared" si="1073"/>
        <v>C100101</v>
      </c>
      <c r="F3536" s="31"/>
      <c r="G3536" s="31"/>
      <c r="H3536" s="31"/>
      <c r="I3536" s="56"/>
      <c r="J3536" s="56"/>
      <c r="K3536" s="82" t="str">
        <f t="shared" si="1082"/>
        <v>Credit Memo</v>
      </c>
      <c r="L3536" s="83" t="str">
        <f>"SC_100975"</f>
        <v>SC_100975</v>
      </c>
      <c r="M3536" s="84">
        <v>42343</v>
      </c>
      <c r="N3536" s="85">
        <f t="shared" si="1075"/>
        <v>1469</v>
      </c>
      <c r="O3536" s="86">
        <f t="shared" si="1076"/>
        <v>-131.66</v>
      </c>
      <c r="P3536" s="86">
        <f t="shared" si="1077"/>
        <v>0</v>
      </c>
      <c r="Q3536" s="86">
        <f t="shared" si="1078"/>
        <v>0</v>
      </c>
      <c r="R3536" s="86">
        <f t="shared" si="1079"/>
        <v>0</v>
      </c>
      <c r="S3536" s="86">
        <f t="shared" si="1080"/>
        <v>0</v>
      </c>
      <c r="T3536" s="86">
        <f t="shared" si="1081"/>
        <v>-131.66</v>
      </c>
      <c r="U3536" s="87">
        <v>-131.66</v>
      </c>
    </row>
    <row r="3537" spans="1:22" s="22" customFormat="1" ht="20.399999999999999" collapsed="1" x14ac:dyDescent="0.45">
      <c r="A3537" s="12" t="s">
        <v>327</v>
      </c>
      <c r="B3537" s="19"/>
      <c r="C3537" s="12"/>
      <c r="D3537" s="12"/>
      <c r="E3537" s="23"/>
      <c r="F3537" s="23"/>
      <c r="G3537" s="23"/>
      <c r="H3537" s="23"/>
      <c r="I3537" s="49"/>
      <c r="J3537" s="88"/>
      <c r="K3537" s="88"/>
      <c r="L3537" s="89"/>
      <c r="M3537" s="89"/>
      <c r="N3537" s="89"/>
      <c r="O3537" s="89"/>
      <c r="P3537" s="89"/>
      <c r="Q3537" s="90"/>
      <c r="R3537" s="90"/>
      <c r="S3537" s="91"/>
      <c r="T3537" s="92"/>
      <c r="U3537" s="92"/>
    </row>
    <row r="3538" spans="1:22" s="22" customFormat="1" ht="20.399999999999999" x14ac:dyDescent="0.45">
      <c r="A3538" s="12" t="s">
        <v>327</v>
      </c>
      <c r="B3538" s="19"/>
      <c r="C3538" s="12"/>
      <c r="D3538" s="12"/>
      <c r="E3538" s="23"/>
      <c r="F3538" s="23"/>
      <c r="G3538" s="23"/>
      <c r="H3538" s="23"/>
      <c r="I3538" s="49"/>
      <c r="J3538" s="88"/>
      <c r="K3538" s="88"/>
      <c r="L3538" s="89"/>
      <c r="M3538" s="89"/>
      <c r="N3538" s="89"/>
      <c r="O3538" s="89"/>
      <c r="P3538" s="89"/>
      <c r="Q3538" s="90"/>
      <c r="R3538" s="90"/>
      <c r="S3538" s="91"/>
      <c r="T3538" s="92"/>
      <c r="U3538" s="92"/>
    </row>
    <row r="3539" spans="1:22" s="26" customFormat="1" ht="24.6" x14ac:dyDescent="0.55000000000000004">
      <c r="A3539" s="27" t="s">
        <v>327</v>
      </c>
      <c r="B3539" s="28"/>
      <c r="C3539" s="27" t="str">
        <f>"""NAV Direct"",""CRONUS JetCorp USA"",""18"",""1"",""C100102"""</f>
        <v>"NAV Direct","CRONUS JetCorp USA","18","1","C100102"</v>
      </c>
      <c r="D3539" s="27"/>
      <c r="E3539" s="28" t="str">
        <f>H3539</f>
        <v>C100102</v>
      </c>
      <c r="F3539" s="28"/>
      <c r="G3539" s="28"/>
      <c r="H3539" s="28" t="str">
        <f>"C100102"</f>
        <v>C100102</v>
      </c>
      <c r="I3539" s="116" t="str">
        <f>"C100102  -  BEI Outfitters "</f>
        <v xml:space="preserve">C100102  -  BEI Outfitters </v>
      </c>
      <c r="J3539" s="117" t="str">
        <f>""</f>
        <v/>
      </c>
      <c r="K3539" s="118"/>
      <c r="L3539" s="119">
        <f>SUBTOTAL(3,L3540:L3593)</f>
        <v>50</v>
      </c>
      <c r="M3539" s="118"/>
      <c r="N3539" s="118"/>
      <c r="O3539" s="120">
        <f t="shared" ref="O3539:T3539" si="1083">SUBTOTAL(9,O3540:O3593)</f>
        <v>614566.12000000011</v>
      </c>
      <c r="P3539" s="120">
        <f t="shared" si="1083"/>
        <v>16638.71</v>
      </c>
      <c r="Q3539" s="120">
        <f t="shared" si="1083"/>
        <v>14242.67</v>
      </c>
      <c r="R3539" s="120">
        <f t="shared" si="1083"/>
        <v>0</v>
      </c>
      <c r="S3539" s="120">
        <f t="shared" si="1083"/>
        <v>12946.77</v>
      </c>
      <c r="T3539" s="120">
        <f t="shared" si="1083"/>
        <v>570737.97000000009</v>
      </c>
      <c r="U3539" s="81"/>
    </row>
    <row r="3540" spans="1:22" s="26" customFormat="1" ht="24.6" x14ac:dyDescent="0.55000000000000004">
      <c r="A3540" s="27" t="s">
        <v>327</v>
      </c>
      <c r="B3540" s="28"/>
      <c r="C3540" s="27" t="str">
        <f>C3539</f>
        <v>"NAV Direct","CRONUS JetCorp USA","18","1","C100102"</v>
      </c>
      <c r="D3540" s="27"/>
      <c r="E3540" s="28" t="str">
        <f>E3539</f>
        <v>C100102</v>
      </c>
      <c r="F3540" s="28"/>
      <c r="G3540" s="28"/>
      <c r="H3540" s="28"/>
      <c r="I3540" s="121" t="str">
        <f>"Contact: Sarah Furguson"</f>
        <v>Contact: Sarah Furguson</v>
      </c>
      <c r="J3540" s="121"/>
      <c r="K3540" s="122"/>
      <c r="L3540" s="123"/>
      <c r="M3540" s="123"/>
      <c r="N3540" s="124"/>
      <c r="O3540" s="124"/>
      <c r="P3540" s="123"/>
      <c r="Q3540" s="125"/>
      <c r="R3540" s="126"/>
      <c r="S3540" s="126"/>
      <c r="T3540" s="125"/>
      <c r="U3540" s="81"/>
    </row>
    <row r="3541" spans="1:22" s="26" customFormat="1" ht="24.6" x14ac:dyDescent="0.55000000000000004">
      <c r="A3541" s="27" t="s">
        <v>327</v>
      </c>
      <c r="B3541" s="28"/>
      <c r="C3541" s="27" t="str">
        <f>C3540</f>
        <v>"NAV Direct","CRONUS JetCorp USA","18","1","C100102"</v>
      </c>
      <c r="D3541" s="27"/>
      <c r="E3541" s="28" t="str">
        <f>E3540</f>
        <v>C100102</v>
      </c>
      <c r="F3541" s="28"/>
      <c r="G3541" s="28"/>
      <c r="H3541" s="28"/>
      <c r="I3541" s="121" t="str">
        <f>"BEI Outfitters @Cronus.com"</f>
        <v>BEI Outfitters @Cronus.com</v>
      </c>
      <c r="J3541" s="121"/>
      <c r="K3541" s="122"/>
      <c r="L3541" s="124"/>
      <c r="M3541" s="124"/>
      <c r="N3541" s="124"/>
      <c r="O3541" s="124"/>
      <c r="P3541" s="123"/>
      <c r="Q3541" s="125"/>
      <c r="R3541" s="126"/>
      <c r="S3541" s="126"/>
      <c r="T3541" s="125"/>
      <c r="U3541" s="81"/>
    </row>
    <row r="3542" spans="1:22" ht="12.75" hidden="1" customHeight="1" outlineLevel="1" x14ac:dyDescent="0.45">
      <c r="A3542" s="12" t="s">
        <v>328</v>
      </c>
      <c r="B3542" s="19"/>
      <c r="E3542" s="19"/>
      <c r="F3542" s="19"/>
      <c r="G3542" s="19"/>
      <c r="H3542" s="19"/>
      <c r="I3542" s="61"/>
      <c r="J3542" s="61"/>
      <c r="K3542" s="61"/>
      <c r="L3542" s="61"/>
      <c r="M3542" s="61"/>
      <c r="N3542" s="61"/>
      <c r="O3542" s="61"/>
      <c r="P3542" s="61"/>
      <c r="Q3542" s="61"/>
      <c r="R3542" s="61"/>
      <c r="S3542" s="61"/>
      <c r="T3542" s="61"/>
      <c r="U3542" s="61"/>
      <c r="V3542" s="21"/>
    </row>
    <row r="3543" spans="1:22" s="30" customFormat="1" ht="24.6" hidden="1" outlineLevel="1" x14ac:dyDescent="0.55000000000000004">
      <c r="A3543" s="27" t="s">
        <v>327</v>
      </c>
      <c r="B3543" s="28"/>
      <c r="C3543" s="27"/>
      <c r="D3543" s="27" t="str">
        <f>"""NAV Direct"",""CRONUS JetCorp USA"",""21"",""1"",""72575"""</f>
        <v>"NAV Direct","CRONUS JetCorp USA","21","1","72575"</v>
      </c>
      <c r="E3543" s="31" t="str">
        <f t="shared" ref="E3543:E3574" si="1084">E3541</f>
        <v>C100102</v>
      </c>
      <c r="F3543" s="31"/>
      <c r="G3543" s="31"/>
      <c r="H3543" s="31"/>
      <c r="I3543" s="56"/>
      <c r="J3543" s="56"/>
      <c r="K3543" s="82" t="str">
        <f t="shared" ref="K3543:K3583" si="1085">"Invoice"</f>
        <v>Invoice</v>
      </c>
      <c r="L3543" s="83" t="str">
        <f>"SI_105777"</f>
        <v>SI_105777</v>
      </c>
      <c r="M3543" s="84">
        <v>42361</v>
      </c>
      <c r="N3543" s="85">
        <f t="shared" ref="N3543:N3574" si="1086">StartDate-$M3543+1</f>
        <v>1451</v>
      </c>
      <c r="O3543" s="86">
        <f t="shared" ref="O3543:O3574" si="1087">SUM(P3543:T3543)</f>
        <v>11628.67</v>
      </c>
      <c r="P3543" s="86">
        <f t="shared" ref="P3543:P3574" si="1088">IF($M3543&gt;=$P$18,U3543,0)</f>
        <v>0</v>
      </c>
      <c r="Q3543" s="86">
        <f t="shared" ref="Q3543:Q3574" si="1089">IF(AND($M3543&gt;=$Q$16,$M3543&lt;=$Q$18),U3543,0)</f>
        <v>0</v>
      </c>
      <c r="R3543" s="86">
        <f t="shared" ref="R3543:R3574" si="1090">IF(AND($M3543&gt;=$R$16,$M3543&lt;=$R$18),U3543,0)</f>
        <v>0</v>
      </c>
      <c r="S3543" s="86">
        <f t="shared" ref="S3543:S3574" si="1091">IF(AND($M3543&gt;=$S$16,$M3543&lt;=$S$18),U3543,0)</f>
        <v>0</v>
      </c>
      <c r="T3543" s="86">
        <f t="shared" ref="T3543:T3574" si="1092">IF($M3543&lt;=$T$18,U3543,0)</f>
        <v>11628.67</v>
      </c>
      <c r="U3543" s="87">
        <v>11628.67</v>
      </c>
    </row>
    <row r="3544" spans="1:22" s="30" customFormat="1" ht="24.6" hidden="1" outlineLevel="1" x14ac:dyDescent="0.55000000000000004">
      <c r="A3544" s="27" t="s">
        <v>327</v>
      </c>
      <c r="B3544" s="28"/>
      <c r="C3544" s="27"/>
      <c r="D3544" s="27" t="str">
        <f>"""NAV Direct"",""CRONUS JetCorp USA"",""21"",""1"",""72686"""</f>
        <v>"NAV Direct","CRONUS JetCorp USA","21","1","72686"</v>
      </c>
      <c r="E3544" s="31">
        <f t="shared" si="1084"/>
        <v>0</v>
      </c>
      <c r="F3544" s="31"/>
      <c r="G3544" s="31"/>
      <c r="H3544" s="31"/>
      <c r="I3544" s="56"/>
      <c r="J3544" s="56"/>
      <c r="K3544" s="82" t="str">
        <f t="shared" si="1085"/>
        <v>Invoice</v>
      </c>
      <c r="L3544" s="83" t="str">
        <f>"SI_105780"</f>
        <v>SI_105780</v>
      </c>
      <c r="M3544" s="84">
        <v>42368</v>
      </c>
      <c r="N3544" s="85">
        <f t="shared" si="1086"/>
        <v>1444</v>
      </c>
      <c r="O3544" s="86">
        <f t="shared" si="1087"/>
        <v>11628.519999999999</v>
      </c>
      <c r="P3544" s="86">
        <f t="shared" si="1088"/>
        <v>0</v>
      </c>
      <c r="Q3544" s="86">
        <f t="shared" si="1089"/>
        <v>0</v>
      </c>
      <c r="R3544" s="86">
        <f t="shared" si="1090"/>
        <v>0</v>
      </c>
      <c r="S3544" s="86">
        <f t="shared" si="1091"/>
        <v>0</v>
      </c>
      <c r="T3544" s="86">
        <f t="shared" si="1092"/>
        <v>11628.519999999999</v>
      </c>
      <c r="U3544" s="87">
        <v>11628.519999999999</v>
      </c>
    </row>
    <row r="3545" spans="1:22" s="30" customFormat="1" ht="24.6" hidden="1" outlineLevel="1" x14ac:dyDescent="0.55000000000000004">
      <c r="A3545" s="27" t="s">
        <v>327</v>
      </c>
      <c r="B3545" s="28"/>
      <c r="C3545" s="27"/>
      <c r="D3545" s="27" t="str">
        <f>"""NAV Direct"",""CRONUS JetCorp USA"",""21"",""1"",""352245"""</f>
        <v>"NAV Direct","CRONUS JetCorp USA","21","1","352245"</v>
      </c>
      <c r="E3545" s="31" t="str">
        <f t="shared" si="1084"/>
        <v>C100102</v>
      </c>
      <c r="F3545" s="31"/>
      <c r="G3545" s="31"/>
      <c r="H3545" s="31"/>
      <c r="I3545" s="56"/>
      <c r="J3545" s="56"/>
      <c r="K3545" s="82" t="str">
        <f t="shared" si="1085"/>
        <v>Invoice</v>
      </c>
      <c r="L3545" s="83" t="str">
        <f>"SI_111031"</f>
        <v>SI_111031</v>
      </c>
      <c r="M3545" s="84">
        <v>42447</v>
      </c>
      <c r="N3545" s="85">
        <f t="shared" si="1086"/>
        <v>1365</v>
      </c>
      <c r="O3545" s="86">
        <f t="shared" si="1087"/>
        <v>8617.0399999999991</v>
      </c>
      <c r="P3545" s="86">
        <f t="shared" si="1088"/>
        <v>0</v>
      </c>
      <c r="Q3545" s="86">
        <f t="shared" si="1089"/>
        <v>0</v>
      </c>
      <c r="R3545" s="86">
        <f t="shared" si="1090"/>
        <v>0</v>
      </c>
      <c r="S3545" s="86">
        <f t="shared" si="1091"/>
        <v>0</v>
      </c>
      <c r="T3545" s="86">
        <f t="shared" si="1092"/>
        <v>8617.0399999999991</v>
      </c>
      <c r="U3545" s="87">
        <v>8617.0399999999991</v>
      </c>
    </row>
    <row r="3546" spans="1:22" s="30" customFormat="1" ht="24.6" hidden="1" outlineLevel="1" x14ac:dyDescent="0.55000000000000004">
      <c r="A3546" s="27" t="s">
        <v>327</v>
      </c>
      <c r="B3546" s="28"/>
      <c r="C3546" s="27"/>
      <c r="D3546" s="27" t="str">
        <f>"""NAV Direct"",""CRONUS JetCorp USA"",""21"",""1"",""352739"""</f>
        <v>"NAV Direct","CRONUS JetCorp USA","21","1","352739"</v>
      </c>
      <c r="E3546" s="31">
        <f t="shared" si="1084"/>
        <v>0</v>
      </c>
      <c r="F3546" s="31"/>
      <c r="G3546" s="31"/>
      <c r="H3546" s="31"/>
      <c r="I3546" s="56"/>
      <c r="J3546" s="56"/>
      <c r="K3546" s="82" t="str">
        <f t="shared" si="1085"/>
        <v>Invoice</v>
      </c>
      <c r="L3546" s="83" t="str">
        <f>"SI_111047"</f>
        <v>SI_111047</v>
      </c>
      <c r="M3546" s="84">
        <v>42573</v>
      </c>
      <c r="N3546" s="85">
        <f t="shared" si="1086"/>
        <v>1239</v>
      </c>
      <c r="O3546" s="86">
        <f t="shared" si="1087"/>
        <v>11501.3</v>
      </c>
      <c r="P3546" s="86">
        <f t="shared" si="1088"/>
        <v>0</v>
      </c>
      <c r="Q3546" s="86">
        <f t="shared" si="1089"/>
        <v>0</v>
      </c>
      <c r="R3546" s="86">
        <f t="shared" si="1090"/>
        <v>0</v>
      </c>
      <c r="S3546" s="86">
        <f t="shared" si="1091"/>
        <v>0</v>
      </c>
      <c r="T3546" s="86">
        <f t="shared" si="1092"/>
        <v>11501.3</v>
      </c>
      <c r="U3546" s="87">
        <v>11501.3</v>
      </c>
    </row>
    <row r="3547" spans="1:22" s="30" customFormat="1" ht="24.6" hidden="1" outlineLevel="1" x14ac:dyDescent="0.55000000000000004">
      <c r="A3547" s="27" t="s">
        <v>327</v>
      </c>
      <c r="B3547" s="28"/>
      <c r="C3547" s="27"/>
      <c r="D3547" s="27" t="str">
        <f>"""NAV Direct"",""CRONUS JetCorp USA"",""21"",""1"",""352880"""</f>
        <v>"NAV Direct","CRONUS JetCorp USA","21","1","352880"</v>
      </c>
      <c r="E3547" s="31" t="str">
        <f t="shared" si="1084"/>
        <v>C100102</v>
      </c>
      <c r="F3547" s="31"/>
      <c r="G3547" s="31"/>
      <c r="H3547" s="31"/>
      <c r="I3547" s="56"/>
      <c r="J3547" s="56"/>
      <c r="K3547" s="82" t="str">
        <f t="shared" si="1085"/>
        <v>Invoice</v>
      </c>
      <c r="L3547" s="83" t="str">
        <f>"SI_111052"</f>
        <v>SI_111052</v>
      </c>
      <c r="M3547" s="84">
        <v>42642</v>
      </c>
      <c r="N3547" s="85">
        <f t="shared" si="1086"/>
        <v>1170</v>
      </c>
      <c r="O3547" s="86">
        <f t="shared" si="1087"/>
        <v>9572.91</v>
      </c>
      <c r="P3547" s="86">
        <f t="shared" si="1088"/>
        <v>0</v>
      </c>
      <c r="Q3547" s="86">
        <f t="shared" si="1089"/>
        <v>0</v>
      </c>
      <c r="R3547" s="86">
        <f t="shared" si="1090"/>
        <v>0</v>
      </c>
      <c r="S3547" s="86">
        <f t="shared" si="1091"/>
        <v>0</v>
      </c>
      <c r="T3547" s="86">
        <f t="shared" si="1092"/>
        <v>9572.91</v>
      </c>
      <c r="U3547" s="87">
        <v>9572.91</v>
      </c>
    </row>
    <row r="3548" spans="1:22" s="30" customFormat="1" ht="24.6" hidden="1" outlineLevel="1" x14ac:dyDescent="0.55000000000000004">
      <c r="A3548" s="27" t="s">
        <v>327</v>
      </c>
      <c r="B3548" s="28"/>
      <c r="C3548" s="27"/>
      <c r="D3548" s="27" t="str">
        <f>"""NAV Direct"",""CRONUS JetCorp USA"",""21"",""1"",""353132"""</f>
        <v>"NAV Direct","CRONUS JetCorp USA","21","1","353132"</v>
      </c>
      <c r="E3548" s="31">
        <f t="shared" si="1084"/>
        <v>0</v>
      </c>
      <c r="F3548" s="31"/>
      <c r="G3548" s="31"/>
      <c r="H3548" s="31"/>
      <c r="I3548" s="56"/>
      <c r="J3548" s="56"/>
      <c r="K3548" s="82" t="str">
        <f t="shared" si="1085"/>
        <v>Invoice</v>
      </c>
      <c r="L3548" s="83" t="str">
        <f>"SI_111060"</f>
        <v>SI_111060</v>
      </c>
      <c r="M3548" s="84">
        <v>42714</v>
      </c>
      <c r="N3548" s="85">
        <f t="shared" si="1086"/>
        <v>1098</v>
      </c>
      <c r="O3548" s="86">
        <f t="shared" si="1087"/>
        <v>13909.830000000002</v>
      </c>
      <c r="P3548" s="86">
        <f t="shared" si="1088"/>
        <v>0</v>
      </c>
      <c r="Q3548" s="86">
        <f t="shared" si="1089"/>
        <v>0</v>
      </c>
      <c r="R3548" s="86">
        <f t="shared" si="1090"/>
        <v>0</v>
      </c>
      <c r="S3548" s="86">
        <f t="shared" si="1091"/>
        <v>0</v>
      </c>
      <c r="T3548" s="86">
        <f t="shared" si="1092"/>
        <v>13909.830000000002</v>
      </c>
      <c r="U3548" s="87">
        <v>13909.830000000002</v>
      </c>
    </row>
    <row r="3549" spans="1:22" s="30" customFormat="1" ht="24.6" hidden="1" outlineLevel="1" x14ac:dyDescent="0.55000000000000004">
      <c r="A3549" s="27" t="s">
        <v>327</v>
      </c>
      <c r="B3549" s="28"/>
      <c r="C3549" s="27"/>
      <c r="D3549" s="27" t="str">
        <f>"""NAV Direct"",""CRONUS JetCorp USA"",""21"",""1"",""353253"""</f>
        <v>"NAV Direct","CRONUS JetCorp USA","21","1","353253"</v>
      </c>
      <c r="E3549" s="31" t="str">
        <f t="shared" si="1084"/>
        <v>C100102</v>
      </c>
      <c r="F3549" s="31"/>
      <c r="G3549" s="31"/>
      <c r="H3549" s="31"/>
      <c r="I3549" s="56"/>
      <c r="J3549" s="56"/>
      <c r="K3549" s="82" t="str">
        <f t="shared" si="1085"/>
        <v>Invoice</v>
      </c>
      <c r="L3549" s="83" t="str">
        <f>"SI_111063"</f>
        <v>SI_111063</v>
      </c>
      <c r="M3549" s="84">
        <v>42733</v>
      </c>
      <c r="N3549" s="85">
        <f t="shared" si="1086"/>
        <v>1079</v>
      </c>
      <c r="O3549" s="86">
        <f t="shared" si="1087"/>
        <v>14054.36</v>
      </c>
      <c r="P3549" s="86">
        <f t="shared" si="1088"/>
        <v>0</v>
      </c>
      <c r="Q3549" s="86">
        <f t="shared" si="1089"/>
        <v>0</v>
      </c>
      <c r="R3549" s="86">
        <f t="shared" si="1090"/>
        <v>0</v>
      </c>
      <c r="S3549" s="86">
        <f t="shared" si="1091"/>
        <v>0</v>
      </c>
      <c r="T3549" s="86">
        <f t="shared" si="1092"/>
        <v>14054.36</v>
      </c>
      <c r="U3549" s="87">
        <v>14054.36</v>
      </c>
    </row>
    <row r="3550" spans="1:22" s="30" customFormat="1" ht="24.6" hidden="1" outlineLevel="1" x14ac:dyDescent="0.55000000000000004">
      <c r="A3550" s="27" t="s">
        <v>327</v>
      </c>
      <c r="B3550" s="28"/>
      <c r="C3550" s="27"/>
      <c r="D3550" s="27" t="str">
        <f>"""NAV Direct"",""CRONUS JetCorp USA"",""21"",""1"",""353469"""</f>
        <v>"NAV Direct","CRONUS JetCorp USA","21","1","353469"</v>
      </c>
      <c r="E3550" s="31">
        <f t="shared" si="1084"/>
        <v>0</v>
      </c>
      <c r="F3550" s="31"/>
      <c r="G3550" s="31"/>
      <c r="H3550" s="31"/>
      <c r="I3550" s="56"/>
      <c r="J3550" s="56"/>
      <c r="K3550" s="82" t="str">
        <f t="shared" si="1085"/>
        <v>Invoice</v>
      </c>
      <c r="L3550" s="83" t="str">
        <f>"SI_111069"</f>
        <v>SI_111069</v>
      </c>
      <c r="M3550" s="84">
        <v>42801</v>
      </c>
      <c r="N3550" s="85">
        <f t="shared" si="1086"/>
        <v>1011</v>
      </c>
      <c r="O3550" s="86">
        <f t="shared" si="1087"/>
        <v>10637.49</v>
      </c>
      <c r="P3550" s="86">
        <f t="shared" si="1088"/>
        <v>0</v>
      </c>
      <c r="Q3550" s="86">
        <f t="shared" si="1089"/>
        <v>0</v>
      </c>
      <c r="R3550" s="86">
        <f t="shared" si="1090"/>
        <v>0</v>
      </c>
      <c r="S3550" s="86">
        <f t="shared" si="1091"/>
        <v>0</v>
      </c>
      <c r="T3550" s="86">
        <f t="shared" si="1092"/>
        <v>10637.49</v>
      </c>
      <c r="U3550" s="87">
        <v>10637.49</v>
      </c>
    </row>
    <row r="3551" spans="1:22" s="30" customFormat="1" ht="24.6" hidden="1" outlineLevel="1" x14ac:dyDescent="0.55000000000000004">
      <c r="A3551" s="27" t="s">
        <v>327</v>
      </c>
      <c r="B3551" s="28"/>
      <c r="C3551" s="27"/>
      <c r="D3551" s="27" t="str">
        <f>"""NAV Direct"",""CRONUS JetCorp USA"",""21"",""1"",""353644"""</f>
        <v>"NAV Direct","CRONUS JetCorp USA","21","1","353644"</v>
      </c>
      <c r="E3551" s="31" t="str">
        <f t="shared" si="1084"/>
        <v>C100102</v>
      </c>
      <c r="F3551" s="31"/>
      <c r="G3551" s="31"/>
      <c r="H3551" s="31"/>
      <c r="I3551" s="56"/>
      <c r="J3551" s="56"/>
      <c r="K3551" s="82" t="str">
        <f t="shared" si="1085"/>
        <v>Invoice</v>
      </c>
      <c r="L3551" s="83" t="str">
        <f>"SI_111074"</f>
        <v>SI_111074</v>
      </c>
      <c r="M3551" s="84">
        <v>42857</v>
      </c>
      <c r="N3551" s="85">
        <f t="shared" si="1086"/>
        <v>955</v>
      </c>
      <c r="O3551" s="86">
        <f t="shared" si="1087"/>
        <v>10967.69</v>
      </c>
      <c r="P3551" s="86">
        <f t="shared" si="1088"/>
        <v>0</v>
      </c>
      <c r="Q3551" s="86">
        <f t="shared" si="1089"/>
        <v>0</v>
      </c>
      <c r="R3551" s="86">
        <f t="shared" si="1090"/>
        <v>0</v>
      </c>
      <c r="S3551" s="86">
        <f t="shared" si="1091"/>
        <v>0</v>
      </c>
      <c r="T3551" s="86">
        <f t="shared" si="1092"/>
        <v>10967.69</v>
      </c>
      <c r="U3551" s="87">
        <v>10967.69</v>
      </c>
    </row>
    <row r="3552" spans="1:22" s="30" customFormat="1" ht="24.6" hidden="1" outlineLevel="1" x14ac:dyDescent="0.55000000000000004">
      <c r="A3552" s="27" t="s">
        <v>327</v>
      </c>
      <c r="B3552" s="28"/>
      <c r="C3552" s="27"/>
      <c r="D3552" s="27" t="str">
        <f>"""NAV Direct"",""CRONUS JetCorp USA"",""21"",""1"",""353712"""</f>
        <v>"NAV Direct","CRONUS JetCorp USA","21","1","353712"</v>
      </c>
      <c r="E3552" s="31">
        <f t="shared" si="1084"/>
        <v>0</v>
      </c>
      <c r="F3552" s="31"/>
      <c r="G3552" s="31"/>
      <c r="H3552" s="31"/>
      <c r="I3552" s="56"/>
      <c r="J3552" s="56"/>
      <c r="K3552" s="82" t="str">
        <f t="shared" si="1085"/>
        <v>Invoice</v>
      </c>
      <c r="L3552" s="83" t="str">
        <f>"SI_111076"</f>
        <v>SI_111076</v>
      </c>
      <c r="M3552" s="84">
        <v>42873</v>
      </c>
      <c r="N3552" s="85">
        <f t="shared" si="1086"/>
        <v>939</v>
      </c>
      <c r="O3552" s="86">
        <f t="shared" si="1087"/>
        <v>12941.39</v>
      </c>
      <c r="P3552" s="86">
        <f t="shared" si="1088"/>
        <v>0</v>
      </c>
      <c r="Q3552" s="86">
        <f t="shared" si="1089"/>
        <v>0</v>
      </c>
      <c r="R3552" s="86">
        <f t="shared" si="1090"/>
        <v>0</v>
      </c>
      <c r="S3552" s="86">
        <f t="shared" si="1091"/>
        <v>0</v>
      </c>
      <c r="T3552" s="86">
        <f t="shared" si="1092"/>
        <v>12941.39</v>
      </c>
      <c r="U3552" s="87">
        <v>12941.39</v>
      </c>
    </row>
    <row r="3553" spans="1:21" s="30" customFormat="1" ht="24.6" hidden="1" outlineLevel="1" x14ac:dyDescent="0.55000000000000004">
      <c r="A3553" s="27" t="s">
        <v>327</v>
      </c>
      <c r="B3553" s="28"/>
      <c r="C3553" s="27"/>
      <c r="D3553" s="27" t="str">
        <f>"""NAV Direct"",""CRONUS JetCorp USA"",""21"",""1"",""353930"""</f>
        <v>"NAV Direct","CRONUS JetCorp USA","21","1","353930"</v>
      </c>
      <c r="E3553" s="31" t="str">
        <f t="shared" si="1084"/>
        <v>C100102</v>
      </c>
      <c r="F3553" s="31"/>
      <c r="G3553" s="31"/>
      <c r="H3553" s="31"/>
      <c r="I3553" s="56"/>
      <c r="J3553" s="56"/>
      <c r="K3553" s="82" t="str">
        <f t="shared" si="1085"/>
        <v>Invoice</v>
      </c>
      <c r="L3553" s="83" t="str">
        <f>"SI_111082"</f>
        <v>SI_111082</v>
      </c>
      <c r="M3553" s="84">
        <v>42906</v>
      </c>
      <c r="N3553" s="85">
        <f t="shared" si="1086"/>
        <v>906</v>
      </c>
      <c r="O3553" s="86">
        <f t="shared" si="1087"/>
        <v>14947.82</v>
      </c>
      <c r="P3553" s="86">
        <f t="shared" si="1088"/>
        <v>0</v>
      </c>
      <c r="Q3553" s="86">
        <f t="shared" si="1089"/>
        <v>0</v>
      </c>
      <c r="R3553" s="86">
        <f t="shared" si="1090"/>
        <v>0</v>
      </c>
      <c r="S3553" s="86">
        <f t="shared" si="1091"/>
        <v>0</v>
      </c>
      <c r="T3553" s="86">
        <f t="shared" si="1092"/>
        <v>14947.82</v>
      </c>
      <c r="U3553" s="87">
        <v>14947.82</v>
      </c>
    </row>
    <row r="3554" spans="1:21" s="30" customFormat="1" ht="24.6" hidden="1" outlineLevel="1" x14ac:dyDescent="0.55000000000000004">
      <c r="A3554" s="27" t="s">
        <v>327</v>
      </c>
      <c r="B3554" s="28"/>
      <c r="C3554" s="27"/>
      <c r="D3554" s="27" t="str">
        <f>"""NAV Direct"",""CRONUS JetCorp USA"",""21"",""1"",""353961"""</f>
        <v>"NAV Direct","CRONUS JetCorp USA","21","1","353961"</v>
      </c>
      <c r="E3554" s="31">
        <f t="shared" si="1084"/>
        <v>0</v>
      </c>
      <c r="F3554" s="31"/>
      <c r="G3554" s="31"/>
      <c r="H3554" s="31"/>
      <c r="I3554" s="56"/>
      <c r="J3554" s="56"/>
      <c r="K3554" s="82" t="str">
        <f t="shared" si="1085"/>
        <v>Invoice</v>
      </c>
      <c r="L3554" s="83" t="str">
        <f>"SI_111083"</f>
        <v>SI_111083</v>
      </c>
      <c r="M3554" s="84">
        <v>42926</v>
      </c>
      <c r="N3554" s="85">
        <f t="shared" si="1086"/>
        <v>886</v>
      </c>
      <c r="O3554" s="86">
        <f t="shared" si="1087"/>
        <v>14947.69</v>
      </c>
      <c r="P3554" s="86">
        <f t="shared" si="1088"/>
        <v>0</v>
      </c>
      <c r="Q3554" s="86">
        <f t="shared" si="1089"/>
        <v>0</v>
      </c>
      <c r="R3554" s="86">
        <f t="shared" si="1090"/>
        <v>0</v>
      </c>
      <c r="S3554" s="86">
        <f t="shared" si="1091"/>
        <v>0</v>
      </c>
      <c r="T3554" s="86">
        <f t="shared" si="1092"/>
        <v>14947.69</v>
      </c>
      <c r="U3554" s="87">
        <v>14947.69</v>
      </c>
    </row>
    <row r="3555" spans="1:21" s="30" customFormat="1" ht="24.6" hidden="1" outlineLevel="1" x14ac:dyDescent="0.55000000000000004">
      <c r="A3555" s="27" t="s">
        <v>327</v>
      </c>
      <c r="B3555" s="28"/>
      <c r="C3555" s="27"/>
      <c r="D3555" s="27" t="str">
        <f>"""NAV Direct"",""CRONUS JetCorp USA"",""21"",""1"",""354374"""</f>
        <v>"NAV Direct","CRONUS JetCorp USA","21","1","354374"</v>
      </c>
      <c r="E3555" s="31" t="str">
        <f t="shared" si="1084"/>
        <v>C100102</v>
      </c>
      <c r="F3555" s="31"/>
      <c r="G3555" s="31"/>
      <c r="H3555" s="31"/>
      <c r="I3555" s="56"/>
      <c r="J3555" s="56"/>
      <c r="K3555" s="82" t="str">
        <f t="shared" si="1085"/>
        <v>Invoice</v>
      </c>
      <c r="L3555" s="83" t="str">
        <f>"SI_111096"</f>
        <v>SI_111096</v>
      </c>
      <c r="M3555" s="84">
        <v>43068</v>
      </c>
      <c r="N3555" s="85">
        <f t="shared" si="1086"/>
        <v>744</v>
      </c>
      <c r="O3555" s="86">
        <f t="shared" si="1087"/>
        <v>13300.619999999999</v>
      </c>
      <c r="P3555" s="86">
        <f t="shared" si="1088"/>
        <v>0</v>
      </c>
      <c r="Q3555" s="86">
        <f t="shared" si="1089"/>
        <v>0</v>
      </c>
      <c r="R3555" s="86">
        <f t="shared" si="1090"/>
        <v>0</v>
      </c>
      <c r="S3555" s="86">
        <f t="shared" si="1091"/>
        <v>0</v>
      </c>
      <c r="T3555" s="86">
        <f t="shared" si="1092"/>
        <v>13300.619999999999</v>
      </c>
      <c r="U3555" s="87">
        <v>13300.619999999999</v>
      </c>
    </row>
    <row r="3556" spans="1:21" s="30" customFormat="1" ht="24.6" hidden="1" outlineLevel="1" x14ac:dyDescent="0.55000000000000004">
      <c r="A3556" s="27" t="s">
        <v>327</v>
      </c>
      <c r="B3556" s="28"/>
      <c r="C3556" s="27"/>
      <c r="D3556" s="27" t="str">
        <f>"""NAV Direct"",""CRONUS JetCorp USA"",""21"",""1"",""354407"""</f>
        <v>"NAV Direct","CRONUS JetCorp USA","21","1","354407"</v>
      </c>
      <c r="E3556" s="31">
        <f t="shared" si="1084"/>
        <v>0</v>
      </c>
      <c r="F3556" s="31"/>
      <c r="G3556" s="31"/>
      <c r="H3556" s="31"/>
      <c r="I3556" s="56"/>
      <c r="J3556" s="56"/>
      <c r="K3556" s="82" t="str">
        <f t="shared" si="1085"/>
        <v>Invoice</v>
      </c>
      <c r="L3556" s="83" t="str">
        <f>"SI_111097"</f>
        <v>SI_111097</v>
      </c>
      <c r="M3556" s="84">
        <v>43086</v>
      </c>
      <c r="N3556" s="85">
        <f t="shared" si="1086"/>
        <v>726</v>
      </c>
      <c r="O3556" s="86">
        <f t="shared" si="1087"/>
        <v>15894.07</v>
      </c>
      <c r="P3556" s="86">
        <f t="shared" si="1088"/>
        <v>0</v>
      </c>
      <c r="Q3556" s="86">
        <f t="shared" si="1089"/>
        <v>0</v>
      </c>
      <c r="R3556" s="86">
        <f t="shared" si="1090"/>
        <v>0</v>
      </c>
      <c r="S3556" s="86">
        <f t="shared" si="1091"/>
        <v>0</v>
      </c>
      <c r="T3556" s="86">
        <f t="shared" si="1092"/>
        <v>15894.07</v>
      </c>
      <c r="U3556" s="87">
        <v>15894.07</v>
      </c>
    </row>
    <row r="3557" spans="1:21" s="30" customFormat="1" ht="24.6" hidden="1" outlineLevel="1" x14ac:dyDescent="0.55000000000000004">
      <c r="A3557" s="27" t="s">
        <v>327</v>
      </c>
      <c r="B3557" s="28"/>
      <c r="C3557" s="27"/>
      <c r="D3557" s="27" t="str">
        <f>"""NAV Direct"",""CRONUS JetCorp USA"",""21"",""1"",""354475"""</f>
        <v>"NAV Direct","CRONUS JetCorp USA","21","1","354475"</v>
      </c>
      <c r="E3557" s="31" t="str">
        <f t="shared" si="1084"/>
        <v>C100102</v>
      </c>
      <c r="F3557" s="31"/>
      <c r="G3557" s="31"/>
      <c r="H3557" s="31"/>
      <c r="I3557" s="56"/>
      <c r="J3557" s="56"/>
      <c r="K3557" s="82" t="str">
        <f t="shared" si="1085"/>
        <v>Invoice</v>
      </c>
      <c r="L3557" s="83" t="str">
        <f>"SI_111099"</f>
        <v>SI_111099</v>
      </c>
      <c r="M3557" s="84">
        <v>43104</v>
      </c>
      <c r="N3557" s="85">
        <f t="shared" si="1086"/>
        <v>708</v>
      </c>
      <c r="O3557" s="86">
        <f t="shared" si="1087"/>
        <v>15893.660000000002</v>
      </c>
      <c r="P3557" s="86">
        <f t="shared" si="1088"/>
        <v>0</v>
      </c>
      <c r="Q3557" s="86">
        <f t="shared" si="1089"/>
        <v>0</v>
      </c>
      <c r="R3557" s="86">
        <f t="shared" si="1090"/>
        <v>0</v>
      </c>
      <c r="S3557" s="86">
        <f t="shared" si="1091"/>
        <v>0</v>
      </c>
      <c r="T3557" s="86">
        <f t="shared" si="1092"/>
        <v>15893.660000000002</v>
      </c>
      <c r="U3557" s="87">
        <v>15893.660000000002</v>
      </c>
    </row>
    <row r="3558" spans="1:21" s="30" customFormat="1" ht="24.6" hidden="1" outlineLevel="1" x14ac:dyDescent="0.55000000000000004">
      <c r="A3558" s="27" t="s">
        <v>327</v>
      </c>
      <c r="B3558" s="28"/>
      <c r="C3558" s="27"/>
      <c r="D3558" s="27" t="str">
        <f>"""NAV Direct"",""CRONUS JetCorp USA"",""21"",""1"",""355023"""</f>
        <v>"NAV Direct","CRONUS JetCorp USA","21","1","355023"</v>
      </c>
      <c r="E3558" s="31">
        <f t="shared" si="1084"/>
        <v>0</v>
      </c>
      <c r="F3558" s="31"/>
      <c r="G3558" s="31"/>
      <c r="H3558" s="31"/>
      <c r="I3558" s="56"/>
      <c r="J3558" s="56"/>
      <c r="K3558" s="82" t="str">
        <f t="shared" si="1085"/>
        <v>Invoice</v>
      </c>
      <c r="L3558" s="83" t="str">
        <f>"SI_111115"</f>
        <v>SI_111115</v>
      </c>
      <c r="M3558" s="84">
        <v>43247</v>
      </c>
      <c r="N3558" s="85">
        <f t="shared" si="1086"/>
        <v>565</v>
      </c>
      <c r="O3558" s="86">
        <f t="shared" si="1087"/>
        <v>16801.280000000002</v>
      </c>
      <c r="P3558" s="86">
        <f t="shared" si="1088"/>
        <v>0</v>
      </c>
      <c r="Q3558" s="86">
        <f t="shared" si="1089"/>
        <v>0</v>
      </c>
      <c r="R3558" s="86">
        <f t="shared" si="1090"/>
        <v>0</v>
      </c>
      <c r="S3558" s="86">
        <f t="shared" si="1091"/>
        <v>0</v>
      </c>
      <c r="T3558" s="86">
        <f t="shared" si="1092"/>
        <v>16801.280000000002</v>
      </c>
      <c r="U3558" s="87">
        <v>16801.280000000002</v>
      </c>
    </row>
    <row r="3559" spans="1:21" s="30" customFormat="1" ht="24.6" hidden="1" outlineLevel="1" x14ac:dyDescent="0.55000000000000004">
      <c r="A3559" s="27" t="s">
        <v>327</v>
      </c>
      <c r="B3559" s="28"/>
      <c r="C3559" s="27"/>
      <c r="D3559" s="27" t="str">
        <f>"""NAV Direct"",""CRONUS JetCorp USA"",""21"",""1"",""355145"""</f>
        <v>"NAV Direct","CRONUS JetCorp USA","21","1","355145"</v>
      </c>
      <c r="E3559" s="31" t="str">
        <f t="shared" si="1084"/>
        <v>C100102</v>
      </c>
      <c r="F3559" s="31"/>
      <c r="G3559" s="31"/>
      <c r="H3559" s="31"/>
      <c r="I3559" s="56"/>
      <c r="J3559" s="56"/>
      <c r="K3559" s="82" t="str">
        <f t="shared" si="1085"/>
        <v>Invoice</v>
      </c>
      <c r="L3559" s="83" t="str">
        <f>"SI_111119"</f>
        <v>SI_111119</v>
      </c>
      <c r="M3559" s="84">
        <v>43268</v>
      </c>
      <c r="N3559" s="85">
        <f t="shared" si="1086"/>
        <v>544</v>
      </c>
      <c r="O3559" s="86">
        <f t="shared" si="1087"/>
        <v>18397.169999999998</v>
      </c>
      <c r="P3559" s="86">
        <f t="shared" si="1088"/>
        <v>0</v>
      </c>
      <c r="Q3559" s="86">
        <f t="shared" si="1089"/>
        <v>0</v>
      </c>
      <c r="R3559" s="86">
        <f t="shared" si="1090"/>
        <v>0</v>
      </c>
      <c r="S3559" s="86">
        <f t="shared" si="1091"/>
        <v>0</v>
      </c>
      <c r="T3559" s="86">
        <f t="shared" si="1092"/>
        <v>18397.169999999998</v>
      </c>
      <c r="U3559" s="87">
        <v>18397.169999999998</v>
      </c>
    </row>
    <row r="3560" spans="1:21" s="30" customFormat="1" ht="24.6" hidden="1" outlineLevel="1" x14ac:dyDescent="0.55000000000000004">
      <c r="A3560" s="27" t="s">
        <v>327</v>
      </c>
      <c r="B3560" s="28"/>
      <c r="C3560" s="27"/>
      <c r="D3560" s="27" t="str">
        <f>"""NAV Direct"",""CRONUS JetCorp USA"",""21"",""1"",""355952"""</f>
        <v>"NAV Direct","CRONUS JetCorp USA","21","1","355952"</v>
      </c>
      <c r="E3560" s="31">
        <f t="shared" si="1084"/>
        <v>0</v>
      </c>
      <c r="F3560" s="31"/>
      <c r="G3560" s="31"/>
      <c r="H3560" s="31"/>
      <c r="I3560" s="56"/>
      <c r="J3560" s="56"/>
      <c r="K3560" s="82" t="str">
        <f t="shared" si="1085"/>
        <v>Invoice</v>
      </c>
      <c r="L3560" s="83" t="str">
        <f>"SI_111142"</f>
        <v>SI_111142</v>
      </c>
      <c r="M3560" s="84">
        <v>43427</v>
      </c>
      <c r="N3560" s="85">
        <f t="shared" si="1086"/>
        <v>385</v>
      </c>
      <c r="O3560" s="86">
        <f t="shared" si="1087"/>
        <v>16488.43</v>
      </c>
      <c r="P3560" s="86">
        <f t="shared" si="1088"/>
        <v>0</v>
      </c>
      <c r="Q3560" s="86">
        <f t="shared" si="1089"/>
        <v>0</v>
      </c>
      <c r="R3560" s="86">
        <f t="shared" si="1090"/>
        <v>0</v>
      </c>
      <c r="S3560" s="86">
        <f t="shared" si="1091"/>
        <v>0</v>
      </c>
      <c r="T3560" s="86">
        <f t="shared" si="1092"/>
        <v>16488.43</v>
      </c>
      <c r="U3560" s="87">
        <v>16488.43</v>
      </c>
    </row>
    <row r="3561" spans="1:21" s="30" customFormat="1" ht="24.6" hidden="1" outlineLevel="1" x14ac:dyDescent="0.55000000000000004">
      <c r="A3561" s="27" t="s">
        <v>327</v>
      </c>
      <c r="B3561" s="28"/>
      <c r="C3561" s="27"/>
      <c r="D3561" s="27" t="str">
        <f>"""NAV Direct"",""CRONUS JetCorp USA"",""21"",""1"",""355999"""</f>
        <v>"NAV Direct","CRONUS JetCorp USA","21","1","355999"</v>
      </c>
      <c r="E3561" s="31" t="str">
        <f t="shared" si="1084"/>
        <v>C100102</v>
      </c>
      <c r="F3561" s="31"/>
      <c r="G3561" s="31"/>
      <c r="H3561" s="31"/>
      <c r="I3561" s="56"/>
      <c r="J3561" s="56"/>
      <c r="K3561" s="82" t="str">
        <f t="shared" si="1085"/>
        <v>Invoice</v>
      </c>
      <c r="L3561" s="83" t="str">
        <f>"SI_111143"</f>
        <v>SI_111143</v>
      </c>
      <c r="M3561" s="84">
        <v>43427</v>
      </c>
      <c r="N3561" s="85">
        <f t="shared" si="1086"/>
        <v>385</v>
      </c>
      <c r="O3561" s="86">
        <f t="shared" si="1087"/>
        <v>16488.78</v>
      </c>
      <c r="P3561" s="86">
        <f t="shared" si="1088"/>
        <v>0</v>
      </c>
      <c r="Q3561" s="86">
        <f t="shared" si="1089"/>
        <v>0</v>
      </c>
      <c r="R3561" s="86">
        <f t="shared" si="1090"/>
        <v>0</v>
      </c>
      <c r="S3561" s="86">
        <f t="shared" si="1091"/>
        <v>0</v>
      </c>
      <c r="T3561" s="86">
        <f t="shared" si="1092"/>
        <v>16488.78</v>
      </c>
      <c r="U3561" s="87">
        <v>16488.78</v>
      </c>
    </row>
    <row r="3562" spans="1:21" s="30" customFormat="1" ht="24.6" hidden="1" outlineLevel="1" x14ac:dyDescent="0.55000000000000004">
      <c r="A3562" s="27" t="s">
        <v>327</v>
      </c>
      <c r="B3562" s="28"/>
      <c r="C3562" s="27"/>
      <c r="D3562" s="27" t="str">
        <f>"""NAV Direct"",""CRONUS JetCorp USA"",""21"",""1"",""356545"""</f>
        <v>"NAV Direct","CRONUS JetCorp USA","21","1","356545"</v>
      </c>
      <c r="E3562" s="31">
        <f t="shared" si="1084"/>
        <v>0</v>
      </c>
      <c r="F3562" s="31"/>
      <c r="G3562" s="31"/>
      <c r="H3562" s="31"/>
      <c r="I3562" s="56"/>
      <c r="J3562" s="56"/>
      <c r="K3562" s="82" t="str">
        <f t="shared" si="1085"/>
        <v>Invoice</v>
      </c>
      <c r="L3562" s="83" t="str">
        <f>"SI_111157"</f>
        <v>SI_111157</v>
      </c>
      <c r="M3562" s="84">
        <v>43520</v>
      </c>
      <c r="N3562" s="85">
        <f t="shared" si="1086"/>
        <v>292</v>
      </c>
      <c r="O3562" s="86">
        <f t="shared" si="1087"/>
        <v>19119.669999999998</v>
      </c>
      <c r="P3562" s="86">
        <f t="shared" si="1088"/>
        <v>0</v>
      </c>
      <c r="Q3562" s="86">
        <f t="shared" si="1089"/>
        <v>0</v>
      </c>
      <c r="R3562" s="86">
        <f t="shared" si="1090"/>
        <v>0</v>
      </c>
      <c r="S3562" s="86">
        <f t="shared" si="1091"/>
        <v>0</v>
      </c>
      <c r="T3562" s="86">
        <f t="shared" si="1092"/>
        <v>19119.669999999998</v>
      </c>
      <c r="U3562" s="87">
        <v>19119.669999999998</v>
      </c>
    </row>
    <row r="3563" spans="1:21" s="30" customFormat="1" ht="24.6" hidden="1" outlineLevel="1" x14ac:dyDescent="0.55000000000000004">
      <c r="A3563" s="27" t="s">
        <v>327</v>
      </c>
      <c r="B3563" s="28"/>
      <c r="C3563" s="27"/>
      <c r="D3563" s="27" t="str">
        <f>"""NAV Direct"",""CRONUS JetCorp USA"",""21"",""1"",""356636"""</f>
        <v>"NAV Direct","CRONUS JetCorp USA","21","1","356636"</v>
      </c>
      <c r="E3563" s="31" t="str">
        <f t="shared" si="1084"/>
        <v>C100102</v>
      </c>
      <c r="F3563" s="31"/>
      <c r="G3563" s="31"/>
      <c r="H3563" s="31"/>
      <c r="I3563" s="56"/>
      <c r="J3563" s="56"/>
      <c r="K3563" s="82" t="str">
        <f t="shared" si="1085"/>
        <v>Invoice</v>
      </c>
      <c r="L3563" s="83" t="str">
        <f>"SI_111160"</f>
        <v>SI_111160</v>
      </c>
      <c r="M3563" s="84">
        <v>43524</v>
      </c>
      <c r="N3563" s="85">
        <f t="shared" si="1086"/>
        <v>288</v>
      </c>
      <c r="O3563" s="86">
        <f t="shared" si="1087"/>
        <v>19119.370000000003</v>
      </c>
      <c r="P3563" s="86">
        <f t="shared" si="1088"/>
        <v>0</v>
      </c>
      <c r="Q3563" s="86">
        <f t="shared" si="1089"/>
        <v>0</v>
      </c>
      <c r="R3563" s="86">
        <f t="shared" si="1090"/>
        <v>0</v>
      </c>
      <c r="S3563" s="86">
        <f t="shared" si="1091"/>
        <v>0</v>
      </c>
      <c r="T3563" s="86">
        <f t="shared" si="1092"/>
        <v>19119.370000000003</v>
      </c>
      <c r="U3563" s="87">
        <v>19119.370000000003</v>
      </c>
    </row>
    <row r="3564" spans="1:21" s="30" customFormat="1" ht="24.6" hidden="1" outlineLevel="1" x14ac:dyDescent="0.55000000000000004">
      <c r="A3564" s="27" t="s">
        <v>327</v>
      </c>
      <c r="B3564" s="28"/>
      <c r="C3564" s="27"/>
      <c r="D3564" s="27" t="str">
        <f>"""NAV Direct"",""CRONUS JetCorp USA"",""21"",""1"",""356762"""</f>
        <v>"NAV Direct","CRONUS JetCorp USA","21","1","356762"</v>
      </c>
      <c r="E3564" s="31">
        <f t="shared" si="1084"/>
        <v>0</v>
      </c>
      <c r="F3564" s="31"/>
      <c r="G3564" s="31"/>
      <c r="H3564" s="31"/>
      <c r="I3564" s="56"/>
      <c r="J3564" s="56"/>
      <c r="K3564" s="82" t="str">
        <f t="shared" si="1085"/>
        <v>Invoice</v>
      </c>
      <c r="L3564" s="83" t="str">
        <f>"SI_111164"</f>
        <v>SI_111164</v>
      </c>
      <c r="M3564" s="84">
        <v>43548</v>
      </c>
      <c r="N3564" s="85">
        <f t="shared" si="1086"/>
        <v>264</v>
      </c>
      <c r="O3564" s="86">
        <f t="shared" si="1087"/>
        <v>17699.009999999998</v>
      </c>
      <c r="P3564" s="86">
        <f t="shared" si="1088"/>
        <v>0</v>
      </c>
      <c r="Q3564" s="86">
        <f t="shared" si="1089"/>
        <v>0</v>
      </c>
      <c r="R3564" s="86">
        <f t="shared" si="1090"/>
        <v>0</v>
      </c>
      <c r="S3564" s="86">
        <f t="shared" si="1091"/>
        <v>0</v>
      </c>
      <c r="T3564" s="86">
        <f t="shared" si="1092"/>
        <v>17699.009999999998</v>
      </c>
      <c r="U3564" s="87">
        <v>17699.009999999998</v>
      </c>
    </row>
    <row r="3565" spans="1:21" s="30" customFormat="1" ht="24.6" hidden="1" outlineLevel="1" x14ac:dyDescent="0.55000000000000004">
      <c r="A3565" s="27" t="s">
        <v>327</v>
      </c>
      <c r="B3565" s="28"/>
      <c r="C3565" s="27"/>
      <c r="D3565" s="27" t="str">
        <f>"""NAV Direct"",""CRONUS JetCorp USA"",""21"",""1"",""357320"""</f>
        <v>"NAV Direct","CRONUS JetCorp USA","21","1","357320"</v>
      </c>
      <c r="E3565" s="31" t="str">
        <f t="shared" si="1084"/>
        <v>C100102</v>
      </c>
      <c r="F3565" s="31"/>
      <c r="G3565" s="31"/>
      <c r="H3565" s="31"/>
      <c r="I3565" s="56"/>
      <c r="J3565" s="56"/>
      <c r="K3565" s="82" t="str">
        <f t="shared" si="1085"/>
        <v>Invoice</v>
      </c>
      <c r="L3565" s="83" t="str">
        <f>"SI_111178"</f>
        <v>SI_111178</v>
      </c>
      <c r="M3565" s="84">
        <v>43638</v>
      </c>
      <c r="N3565" s="85">
        <f t="shared" si="1086"/>
        <v>174</v>
      </c>
      <c r="O3565" s="86">
        <f t="shared" si="1087"/>
        <v>25896.760000000002</v>
      </c>
      <c r="P3565" s="86">
        <f t="shared" si="1088"/>
        <v>0</v>
      </c>
      <c r="Q3565" s="86">
        <f t="shared" si="1089"/>
        <v>0</v>
      </c>
      <c r="R3565" s="86">
        <f t="shared" si="1090"/>
        <v>0</v>
      </c>
      <c r="S3565" s="86">
        <f t="shared" si="1091"/>
        <v>0</v>
      </c>
      <c r="T3565" s="86">
        <f t="shared" si="1092"/>
        <v>25896.760000000002</v>
      </c>
      <c r="U3565" s="87">
        <v>25896.760000000002</v>
      </c>
    </row>
    <row r="3566" spans="1:21" s="30" customFormat="1" ht="24.6" hidden="1" outlineLevel="1" x14ac:dyDescent="0.55000000000000004">
      <c r="A3566" s="27" t="s">
        <v>327</v>
      </c>
      <c r="B3566" s="28"/>
      <c r="C3566" s="27"/>
      <c r="D3566" s="27" t="str">
        <f>"""NAV Direct"",""CRONUS JetCorp USA"",""21"",""1"",""357414"""</f>
        <v>"NAV Direct","CRONUS JetCorp USA","21","1","357414"</v>
      </c>
      <c r="E3566" s="31">
        <f t="shared" si="1084"/>
        <v>0</v>
      </c>
      <c r="F3566" s="31"/>
      <c r="G3566" s="31"/>
      <c r="H3566" s="31"/>
      <c r="I3566" s="56"/>
      <c r="J3566" s="56"/>
      <c r="K3566" s="82" t="str">
        <f t="shared" si="1085"/>
        <v>Invoice</v>
      </c>
      <c r="L3566" s="83" t="str">
        <f>"SI_111180"</f>
        <v>SI_111180</v>
      </c>
      <c r="M3566" s="84">
        <v>43641</v>
      </c>
      <c r="N3566" s="85">
        <f t="shared" si="1086"/>
        <v>171</v>
      </c>
      <c r="O3566" s="86">
        <f t="shared" si="1087"/>
        <v>25896.98</v>
      </c>
      <c r="P3566" s="86">
        <f t="shared" si="1088"/>
        <v>0</v>
      </c>
      <c r="Q3566" s="86">
        <f t="shared" si="1089"/>
        <v>0</v>
      </c>
      <c r="R3566" s="86">
        <f t="shared" si="1090"/>
        <v>0</v>
      </c>
      <c r="S3566" s="86">
        <f t="shared" si="1091"/>
        <v>0</v>
      </c>
      <c r="T3566" s="86">
        <f t="shared" si="1092"/>
        <v>25896.98</v>
      </c>
      <c r="U3566" s="87">
        <v>25896.98</v>
      </c>
    </row>
    <row r="3567" spans="1:21" s="30" customFormat="1" ht="24.6" hidden="1" outlineLevel="1" x14ac:dyDescent="0.55000000000000004">
      <c r="A3567" s="27" t="s">
        <v>327</v>
      </c>
      <c r="B3567" s="28"/>
      <c r="C3567" s="27"/>
      <c r="D3567" s="27" t="str">
        <f>"""NAV Direct"",""CRONUS JetCorp USA"",""21"",""1"",""357449"""</f>
        <v>"NAV Direct","CRONUS JetCorp USA","21","1","357449"</v>
      </c>
      <c r="E3567" s="31" t="str">
        <f t="shared" si="1084"/>
        <v>C100102</v>
      </c>
      <c r="F3567" s="31"/>
      <c r="G3567" s="31"/>
      <c r="H3567" s="31"/>
      <c r="I3567" s="56"/>
      <c r="J3567" s="56"/>
      <c r="K3567" s="82" t="str">
        <f t="shared" si="1085"/>
        <v>Invoice</v>
      </c>
      <c r="L3567" s="83" t="str">
        <f>"SI_111181"</f>
        <v>SI_111181</v>
      </c>
      <c r="M3567" s="84">
        <v>43645</v>
      </c>
      <c r="N3567" s="85">
        <f t="shared" si="1086"/>
        <v>167</v>
      </c>
      <c r="O3567" s="86">
        <f t="shared" si="1087"/>
        <v>26164.23</v>
      </c>
      <c r="P3567" s="86">
        <f t="shared" si="1088"/>
        <v>0</v>
      </c>
      <c r="Q3567" s="86">
        <f t="shared" si="1089"/>
        <v>0</v>
      </c>
      <c r="R3567" s="86">
        <f t="shared" si="1090"/>
        <v>0</v>
      </c>
      <c r="S3567" s="86">
        <f t="shared" si="1091"/>
        <v>0</v>
      </c>
      <c r="T3567" s="86">
        <f t="shared" si="1092"/>
        <v>26164.23</v>
      </c>
      <c r="U3567" s="87">
        <v>26164.23</v>
      </c>
    </row>
    <row r="3568" spans="1:21" s="30" customFormat="1" ht="24.6" hidden="1" outlineLevel="1" x14ac:dyDescent="0.55000000000000004">
      <c r="A3568" s="27" t="s">
        <v>327</v>
      </c>
      <c r="B3568" s="28"/>
      <c r="C3568" s="27"/>
      <c r="D3568" s="27" t="str">
        <f>"""NAV Direct"",""CRONUS JetCorp USA"",""21"",""1"",""357515"""</f>
        <v>"NAV Direct","CRONUS JetCorp USA","21","1","357515"</v>
      </c>
      <c r="E3568" s="31">
        <f t="shared" si="1084"/>
        <v>0</v>
      </c>
      <c r="F3568" s="31"/>
      <c r="G3568" s="31"/>
      <c r="H3568" s="31"/>
      <c r="I3568" s="56"/>
      <c r="J3568" s="56"/>
      <c r="K3568" s="82" t="str">
        <f t="shared" si="1085"/>
        <v>Invoice</v>
      </c>
      <c r="L3568" s="83" t="str">
        <f>"SI_111183"</f>
        <v>SI_111183</v>
      </c>
      <c r="M3568" s="84">
        <v>43665</v>
      </c>
      <c r="N3568" s="85">
        <f t="shared" si="1086"/>
        <v>147</v>
      </c>
      <c r="O3568" s="86">
        <f t="shared" si="1087"/>
        <v>16441.55</v>
      </c>
      <c r="P3568" s="86">
        <f t="shared" si="1088"/>
        <v>0</v>
      </c>
      <c r="Q3568" s="86">
        <f t="shared" si="1089"/>
        <v>0</v>
      </c>
      <c r="R3568" s="86">
        <f t="shared" si="1090"/>
        <v>0</v>
      </c>
      <c r="S3568" s="86">
        <f t="shared" si="1091"/>
        <v>0</v>
      </c>
      <c r="T3568" s="86">
        <f t="shared" si="1092"/>
        <v>16441.55</v>
      </c>
      <c r="U3568" s="87">
        <v>16441.55</v>
      </c>
    </row>
    <row r="3569" spans="1:21" s="30" customFormat="1" ht="24.6" hidden="1" outlineLevel="1" x14ac:dyDescent="0.55000000000000004">
      <c r="A3569" s="27" t="s">
        <v>327</v>
      </c>
      <c r="B3569" s="28"/>
      <c r="C3569" s="27"/>
      <c r="D3569" s="27" t="str">
        <f>"""NAV Direct"",""CRONUS JetCorp USA"",""21"",""1"",""357624"""</f>
        <v>"NAV Direct","CRONUS JetCorp USA","21","1","357624"</v>
      </c>
      <c r="E3569" s="31" t="str">
        <f t="shared" si="1084"/>
        <v>C100102</v>
      </c>
      <c r="F3569" s="31"/>
      <c r="G3569" s="31"/>
      <c r="H3569" s="31"/>
      <c r="I3569" s="56"/>
      <c r="J3569" s="56"/>
      <c r="K3569" s="82" t="str">
        <f t="shared" si="1085"/>
        <v>Invoice</v>
      </c>
      <c r="L3569" s="83" t="str">
        <f>"SI_111186"</f>
        <v>SI_111186</v>
      </c>
      <c r="M3569" s="84">
        <v>43671</v>
      </c>
      <c r="N3569" s="85">
        <f t="shared" si="1086"/>
        <v>141</v>
      </c>
      <c r="O3569" s="86">
        <f t="shared" si="1087"/>
        <v>16273.38</v>
      </c>
      <c r="P3569" s="86">
        <f t="shared" si="1088"/>
        <v>0</v>
      </c>
      <c r="Q3569" s="86">
        <f t="shared" si="1089"/>
        <v>0</v>
      </c>
      <c r="R3569" s="86">
        <f t="shared" si="1090"/>
        <v>0</v>
      </c>
      <c r="S3569" s="86">
        <f t="shared" si="1091"/>
        <v>0</v>
      </c>
      <c r="T3569" s="86">
        <f t="shared" si="1092"/>
        <v>16273.38</v>
      </c>
      <c r="U3569" s="87">
        <v>16273.38</v>
      </c>
    </row>
    <row r="3570" spans="1:21" s="30" customFormat="1" ht="24.6" hidden="1" outlineLevel="1" x14ac:dyDescent="0.55000000000000004">
      <c r="A3570" s="27" t="s">
        <v>327</v>
      </c>
      <c r="B3570" s="28"/>
      <c r="C3570" s="27"/>
      <c r="D3570" s="27" t="str">
        <f>"""NAV Direct"",""CRONUS JetCorp USA"",""21"",""1"",""357899"""</f>
        <v>"NAV Direct","CRONUS JetCorp USA","21","1","357899"</v>
      </c>
      <c r="E3570" s="31">
        <f t="shared" si="1084"/>
        <v>0</v>
      </c>
      <c r="F3570" s="31"/>
      <c r="G3570" s="31"/>
      <c r="H3570" s="31"/>
      <c r="I3570" s="56"/>
      <c r="J3570" s="56"/>
      <c r="K3570" s="82" t="str">
        <f t="shared" si="1085"/>
        <v>Invoice</v>
      </c>
      <c r="L3570" s="83" t="str">
        <f>"SI_111193"</f>
        <v>SI_111193</v>
      </c>
      <c r="M3570" s="84">
        <v>43733</v>
      </c>
      <c r="N3570" s="85">
        <f t="shared" si="1086"/>
        <v>79</v>
      </c>
      <c r="O3570" s="86">
        <f t="shared" si="1087"/>
        <v>12946.77</v>
      </c>
      <c r="P3570" s="86">
        <f t="shared" si="1088"/>
        <v>0</v>
      </c>
      <c r="Q3570" s="86">
        <f t="shared" si="1089"/>
        <v>0</v>
      </c>
      <c r="R3570" s="86">
        <f t="shared" si="1090"/>
        <v>0</v>
      </c>
      <c r="S3570" s="86">
        <f t="shared" si="1091"/>
        <v>12946.77</v>
      </c>
      <c r="T3570" s="86">
        <f t="shared" si="1092"/>
        <v>0</v>
      </c>
      <c r="U3570" s="87">
        <v>12946.77</v>
      </c>
    </row>
    <row r="3571" spans="1:21" s="30" customFormat="1" ht="24.6" hidden="1" outlineLevel="1" x14ac:dyDescent="0.55000000000000004">
      <c r="A3571" s="27" t="s">
        <v>327</v>
      </c>
      <c r="B3571" s="28"/>
      <c r="C3571" s="27"/>
      <c r="D3571" s="27" t="str">
        <f>"""NAV Direct"",""CRONUS JetCorp USA"",""21"",""1"",""358117"""</f>
        <v>"NAV Direct","CRONUS JetCorp USA","21","1","358117"</v>
      </c>
      <c r="E3571" s="31" t="str">
        <f t="shared" si="1084"/>
        <v>C100102</v>
      </c>
      <c r="F3571" s="31"/>
      <c r="G3571" s="31"/>
      <c r="H3571" s="31"/>
      <c r="I3571" s="56"/>
      <c r="J3571" s="56"/>
      <c r="K3571" s="82" t="str">
        <f t="shared" si="1085"/>
        <v>Invoice</v>
      </c>
      <c r="L3571" s="83" t="str">
        <f>"SI_111199"</f>
        <v>SI_111199</v>
      </c>
      <c r="M3571" s="84">
        <v>43790</v>
      </c>
      <c r="N3571" s="85">
        <f t="shared" si="1086"/>
        <v>22</v>
      </c>
      <c r="O3571" s="86">
        <f t="shared" si="1087"/>
        <v>14242.67</v>
      </c>
      <c r="P3571" s="86">
        <f t="shared" si="1088"/>
        <v>0</v>
      </c>
      <c r="Q3571" s="86">
        <f t="shared" si="1089"/>
        <v>14242.67</v>
      </c>
      <c r="R3571" s="86">
        <f t="shared" si="1090"/>
        <v>0</v>
      </c>
      <c r="S3571" s="86">
        <f t="shared" si="1091"/>
        <v>0</v>
      </c>
      <c r="T3571" s="86">
        <f t="shared" si="1092"/>
        <v>0</v>
      </c>
      <c r="U3571" s="87">
        <v>14242.67</v>
      </c>
    </row>
    <row r="3572" spans="1:21" s="30" customFormat="1" ht="24.6" hidden="1" outlineLevel="1" x14ac:dyDescent="0.55000000000000004">
      <c r="A3572" s="27" t="s">
        <v>327</v>
      </c>
      <c r="B3572" s="28"/>
      <c r="C3572" s="27"/>
      <c r="D3572" s="27" t="str">
        <f>"""NAV Direct"",""CRONUS JetCorp USA"",""21"",""1"",""358331"""</f>
        <v>"NAV Direct","CRONUS JetCorp USA","21","1","358331"</v>
      </c>
      <c r="E3572" s="31">
        <f t="shared" si="1084"/>
        <v>0</v>
      </c>
      <c r="F3572" s="31"/>
      <c r="G3572" s="31"/>
      <c r="H3572" s="31"/>
      <c r="I3572" s="56"/>
      <c r="J3572" s="56"/>
      <c r="K3572" s="82" t="str">
        <f t="shared" si="1085"/>
        <v>Invoice</v>
      </c>
      <c r="L3572" s="83" t="str">
        <f>"SI_111205"</f>
        <v>SI_111205</v>
      </c>
      <c r="M3572" s="84">
        <v>43825</v>
      </c>
      <c r="N3572" s="85">
        <f t="shared" si="1086"/>
        <v>-13</v>
      </c>
      <c r="O3572" s="86">
        <f t="shared" si="1087"/>
        <v>16806.46</v>
      </c>
      <c r="P3572" s="86">
        <f t="shared" si="1088"/>
        <v>16806.46</v>
      </c>
      <c r="Q3572" s="86">
        <f t="shared" si="1089"/>
        <v>0</v>
      </c>
      <c r="R3572" s="86">
        <f t="shared" si="1090"/>
        <v>0</v>
      </c>
      <c r="S3572" s="86">
        <f t="shared" si="1091"/>
        <v>0</v>
      </c>
      <c r="T3572" s="86">
        <f t="shared" si="1092"/>
        <v>0</v>
      </c>
      <c r="U3572" s="87">
        <v>16806.46</v>
      </c>
    </row>
    <row r="3573" spans="1:21" s="30" customFormat="1" ht="24.6" hidden="1" outlineLevel="1" x14ac:dyDescent="0.55000000000000004">
      <c r="A3573" s="27" t="s">
        <v>327</v>
      </c>
      <c r="B3573" s="28"/>
      <c r="C3573" s="27"/>
      <c r="D3573" s="27" t="str">
        <f>"""NAV Direct"",""CRONUS JetCorp USA"",""21"",""1"",""358656"""</f>
        <v>"NAV Direct","CRONUS JetCorp USA","21","1","358656"</v>
      </c>
      <c r="E3573" s="31" t="str">
        <f t="shared" si="1084"/>
        <v>C100102</v>
      </c>
      <c r="F3573" s="31"/>
      <c r="G3573" s="31"/>
      <c r="H3573" s="31"/>
      <c r="I3573" s="56"/>
      <c r="J3573" s="56"/>
      <c r="K3573" s="82" t="str">
        <f t="shared" si="1085"/>
        <v>Invoice</v>
      </c>
      <c r="L3573" s="83" t="str">
        <f>"SI_111214"</f>
        <v>SI_111214</v>
      </c>
      <c r="M3573" s="84">
        <v>42056</v>
      </c>
      <c r="N3573" s="85">
        <f t="shared" si="1086"/>
        <v>1756</v>
      </c>
      <c r="O3573" s="86">
        <f t="shared" si="1087"/>
        <v>14369.570000000002</v>
      </c>
      <c r="P3573" s="86">
        <f t="shared" si="1088"/>
        <v>0</v>
      </c>
      <c r="Q3573" s="86">
        <f t="shared" si="1089"/>
        <v>0</v>
      </c>
      <c r="R3573" s="86">
        <f t="shared" si="1090"/>
        <v>0</v>
      </c>
      <c r="S3573" s="86">
        <f t="shared" si="1091"/>
        <v>0</v>
      </c>
      <c r="T3573" s="86">
        <f t="shared" si="1092"/>
        <v>14369.570000000002</v>
      </c>
      <c r="U3573" s="87">
        <v>14369.570000000002</v>
      </c>
    </row>
    <row r="3574" spans="1:21" s="30" customFormat="1" ht="24.6" hidden="1" outlineLevel="1" x14ac:dyDescent="0.55000000000000004">
      <c r="A3574" s="27" t="s">
        <v>327</v>
      </c>
      <c r="B3574" s="28"/>
      <c r="C3574" s="27"/>
      <c r="D3574" s="27" t="str">
        <f>"""NAV Direct"",""CRONUS JetCorp USA"",""21"",""1"",""358792"""</f>
        <v>"NAV Direct","CRONUS JetCorp USA","21","1","358792"</v>
      </c>
      <c r="E3574" s="31">
        <f t="shared" si="1084"/>
        <v>0</v>
      </c>
      <c r="F3574" s="31"/>
      <c r="G3574" s="31"/>
      <c r="H3574" s="31"/>
      <c r="I3574" s="56"/>
      <c r="J3574" s="56"/>
      <c r="K3574" s="82" t="str">
        <f t="shared" si="1085"/>
        <v>Invoice</v>
      </c>
      <c r="L3574" s="83" t="str">
        <f>"SI_111218"</f>
        <v>SI_111218</v>
      </c>
      <c r="M3574" s="84">
        <v>42088</v>
      </c>
      <c r="N3574" s="85">
        <f t="shared" si="1086"/>
        <v>1724</v>
      </c>
      <c r="O3574" s="86">
        <f t="shared" si="1087"/>
        <v>12501.599999999999</v>
      </c>
      <c r="P3574" s="86">
        <f t="shared" si="1088"/>
        <v>0</v>
      </c>
      <c r="Q3574" s="86">
        <f t="shared" si="1089"/>
        <v>0</v>
      </c>
      <c r="R3574" s="86">
        <f t="shared" si="1090"/>
        <v>0</v>
      </c>
      <c r="S3574" s="86">
        <f t="shared" si="1091"/>
        <v>0</v>
      </c>
      <c r="T3574" s="86">
        <f t="shared" si="1092"/>
        <v>12501.599999999999</v>
      </c>
      <c r="U3574" s="87">
        <v>12501.599999999999</v>
      </c>
    </row>
    <row r="3575" spans="1:21" s="30" customFormat="1" ht="24.6" hidden="1" outlineLevel="1" x14ac:dyDescent="0.55000000000000004">
      <c r="A3575" s="27" t="s">
        <v>327</v>
      </c>
      <c r="B3575" s="28"/>
      <c r="C3575" s="27"/>
      <c r="D3575" s="27" t="str">
        <f>"""NAV Direct"",""CRONUS JetCorp USA"",""21"",""1"",""358862"""</f>
        <v>"NAV Direct","CRONUS JetCorp USA","21","1","358862"</v>
      </c>
      <c r="E3575" s="31" t="str">
        <f t="shared" ref="E3575:E3592" si="1093">E3573</f>
        <v>C100102</v>
      </c>
      <c r="F3575" s="31"/>
      <c r="G3575" s="31"/>
      <c r="H3575" s="31"/>
      <c r="I3575" s="56"/>
      <c r="J3575" s="56"/>
      <c r="K3575" s="82" t="str">
        <f t="shared" si="1085"/>
        <v>Invoice</v>
      </c>
      <c r="L3575" s="83" t="str">
        <f>"SI_111220"</f>
        <v>SI_111220</v>
      </c>
      <c r="M3575" s="84">
        <v>42091</v>
      </c>
      <c r="N3575" s="85">
        <f t="shared" ref="N3575:N3592" si="1094">StartDate-$M3575+1</f>
        <v>1721</v>
      </c>
      <c r="O3575" s="86">
        <f t="shared" ref="O3575:O3592" si="1095">SUM(P3575:T3575)</f>
        <v>12501.35</v>
      </c>
      <c r="P3575" s="86">
        <f t="shared" ref="P3575:P3592" si="1096">IF($M3575&gt;=$P$18,U3575,0)</f>
        <v>0</v>
      </c>
      <c r="Q3575" s="86">
        <f t="shared" ref="Q3575:Q3592" si="1097">IF(AND($M3575&gt;=$Q$16,$M3575&lt;=$Q$18),U3575,0)</f>
        <v>0</v>
      </c>
      <c r="R3575" s="86">
        <f t="shared" ref="R3575:R3592" si="1098">IF(AND($M3575&gt;=$R$16,$M3575&lt;=$R$18),U3575,0)</f>
        <v>0</v>
      </c>
      <c r="S3575" s="86">
        <f t="shared" ref="S3575:S3592" si="1099">IF(AND($M3575&gt;=$S$16,$M3575&lt;=$S$18),U3575,0)</f>
        <v>0</v>
      </c>
      <c r="T3575" s="86">
        <f t="shared" ref="T3575:T3592" si="1100">IF($M3575&lt;=$T$18,U3575,0)</f>
        <v>12501.35</v>
      </c>
      <c r="U3575" s="87">
        <v>12501.35</v>
      </c>
    </row>
    <row r="3576" spans="1:21" s="30" customFormat="1" ht="24.6" hidden="1" outlineLevel="1" x14ac:dyDescent="0.55000000000000004">
      <c r="A3576" s="27" t="s">
        <v>327</v>
      </c>
      <c r="B3576" s="28"/>
      <c r="C3576" s="27"/>
      <c r="D3576" s="27" t="str">
        <f>"""NAV Direct"",""CRONUS JetCorp USA"",""21"",""1"",""358916"""</f>
        <v>"NAV Direct","CRONUS JetCorp USA","21","1","358916"</v>
      </c>
      <c r="E3576" s="31">
        <f t="shared" si="1093"/>
        <v>0</v>
      </c>
      <c r="F3576" s="31"/>
      <c r="G3576" s="31"/>
      <c r="H3576" s="31"/>
      <c r="I3576" s="56"/>
      <c r="J3576" s="56"/>
      <c r="K3576" s="82" t="str">
        <f t="shared" si="1085"/>
        <v>Invoice</v>
      </c>
      <c r="L3576" s="83" t="str">
        <f>"SI_111222"</f>
        <v>SI_111222</v>
      </c>
      <c r="M3576" s="84">
        <v>42117</v>
      </c>
      <c r="N3576" s="85">
        <f t="shared" si="1094"/>
        <v>1695</v>
      </c>
      <c r="O3576" s="86">
        <f t="shared" si="1095"/>
        <v>13751.76</v>
      </c>
      <c r="P3576" s="86">
        <f t="shared" si="1096"/>
        <v>0</v>
      </c>
      <c r="Q3576" s="86">
        <f t="shared" si="1097"/>
        <v>0</v>
      </c>
      <c r="R3576" s="86">
        <f t="shared" si="1098"/>
        <v>0</v>
      </c>
      <c r="S3576" s="86">
        <f t="shared" si="1099"/>
        <v>0</v>
      </c>
      <c r="T3576" s="86">
        <f t="shared" si="1100"/>
        <v>13751.76</v>
      </c>
      <c r="U3576" s="87">
        <v>13751.76</v>
      </c>
    </row>
    <row r="3577" spans="1:21" s="30" customFormat="1" ht="24.6" hidden="1" outlineLevel="1" x14ac:dyDescent="0.55000000000000004">
      <c r="A3577" s="27" t="s">
        <v>327</v>
      </c>
      <c r="B3577" s="28"/>
      <c r="C3577" s="27"/>
      <c r="D3577" s="27" t="str">
        <f>"""NAV Direct"",""CRONUS JetCorp USA"",""21"",""1"",""359070"""</f>
        <v>"NAV Direct","CRONUS JetCorp USA","21","1","359070"</v>
      </c>
      <c r="E3577" s="31" t="str">
        <f t="shared" si="1093"/>
        <v>C100102</v>
      </c>
      <c r="F3577" s="31"/>
      <c r="G3577" s="31"/>
      <c r="H3577" s="31"/>
      <c r="I3577" s="56"/>
      <c r="J3577" s="56"/>
      <c r="K3577" s="82" t="str">
        <f t="shared" si="1085"/>
        <v>Invoice</v>
      </c>
      <c r="L3577" s="83" t="str">
        <f>"SI_111226"</f>
        <v>SI_111226</v>
      </c>
      <c r="M3577" s="84">
        <v>42146</v>
      </c>
      <c r="N3577" s="85">
        <f t="shared" si="1094"/>
        <v>1666</v>
      </c>
      <c r="O3577" s="86">
        <f t="shared" si="1095"/>
        <v>15538.5</v>
      </c>
      <c r="P3577" s="86">
        <f t="shared" si="1096"/>
        <v>0</v>
      </c>
      <c r="Q3577" s="86">
        <f t="shared" si="1097"/>
        <v>0</v>
      </c>
      <c r="R3577" s="86">
        <f t="shared" si="1098"/>
        <v>0</v>
      </c>
      <c r="S3577" s="86">
        <f t="shared" si="1099"/>
        <v>0</v>
      </c>
      <c r="T3577" s="86">
        <f t="shared" si="1100"/>
        <v>15538.5</v>
      </c>
      <c r="U3577" s="87">
        <v>15538.5</v>
      </c>
    </row>
    <row r="3578" spans="1:21" s="30" customFormat="1" ht="24.6" hidden="1" outlineLevel="1" x14ac:dyDescent="0.55000000000000004">
      <c r="A3578" s="27" t="s">
        <v>327</v>
      </c>
      <c r="B3578" s="28"/>
      <c r="C3578" s="27"/>
      <c r="D3578" s="27" t="str">
        <f>"""NAV Direct"",""CRONUS JetCorp USA"",""21"",""1"",""359107"""</f>
        <v>"NAV Direct","CRONUS JetCorp USA","21","1","359107"</v>
      </c>
      <c r="E3578" s="31">
        <f t="shared" si="1093"/>
        <v>0</v>
      </c>
      <c r="F3578" s="31"/>
      <c r="G3578" s="31"/>
      <c r="H3578" s="31"/>
      <c r="I3578" s="56"/>
      <c r="J3578" s="56"/>
      <c r="K3578" s="82" t="str">
        <f t="shared" si="1085"/>
        <v>Invoice</v>
      </c>
      <c r="L3578" s="83" t="str">
        <f>"SI_111227"</f>
        <v>SI_111227</v>
      </c>
      <c r="M3578" s="84">
        <v>42150</v>
      </c>
      <c r="N3578" s="85">
        <f t="shared" si="1094"/>
        <v>1662</v>
      </c>
      <c r="O3578" s="86">
        <f t="shared" si="1095"/>
        <v>15539.279999999999</v>
      </c>
      <c r="P3578" s="86">
        <f t="shared" si="1096"/>
        <v>0</v>
      </c>
      <c r="Q3578" s="86">
        <f t="shared" si="1097"/>
        <v>0</v>
      </c>
      <c r="R3578" s="86">
        <f t="shared" si="1098"/>
        <v>0</v>
      </c>
      <c r="S3578" s="86">
        <f t="shared" si="1099"/>
        <v>0</v>
      </c>
      <c r="T3578" s="86">
        <f t="shared" si="1100"/>
        <v>15539.279999999999</v>
      </c>
      <c r="U3578" s="87">
        <v>15539.279999999999</v>
      </c>
    </row>
    <row r="3579" spans="1:21" s="30" customFormat="1" ht="24.6" hidden="1" outlineLevel="1" x14ac:dyDescent="0.55000000000000004">
      <c r="A3579" s="27" t="s">
        <v>327</v>
      </c>
      <c r="B3579" s="28"/>
      <c r="C3579" s="27"/>
      <c r="D3579" s="27" t="str">
        <f>"""NAV Direct"",""CRONUS JetCorp USA"",""21"",""1"",""359224"""</f>
        <v>"NAV Direct","CRONUS JetCorp USA","21","1","359224"</v>
      </c>
      <c r="E3579" s="31" t="str">
        <f t="shared" si="1093"/>
        <v>C100102</v>
      </c>
      <c r="F3579" s="31"/>
      <c r="G3579" s="31"/>
      <c r="H3579" s="31"/>
      <c r="I3579" s="56"/>
      <c r="J3579" s="56"/>
      <c r="K3579" s="82" t="str">
        <f t="shared" si="1085"/>
        <v>Invoice</v>
      </c>
      <c r="L3579" s="83" t="str">
        <f>"SI_111230"</f>
        <v>SI_111230</v>
      </c>
      <c r="M3579" s="84">
        <v>42151</v>
      </c>
      <c r="N3579" s="85">
        <f t="shared" si="1094"/>
        <v>1661</v>
      </c>
      <c r="O3579" s="86">
        <f t="shared" si="1095"/>
        <v>15539.539999999999</v>
      </c>
      <c r="P3579" s="86">
        <f t="shared" si="1096"/>
        <v>0</v>
      </c>
      <c r="Q3579" s="86">
        <f t="shared" si="1097"/>
        <v>0</v>
      </c>
      <c r="R3579" s="86">
        <f t="shared" si="1098"/>
        <v>0</v>
      </c>
      <c r="S3579" s="86">
        <f t="shared" si="1099"/>
        <v>0</v>
      </c>
      <c r="T3579" s="86">
        <f t="shared" si="1100"/>
        <v>15539.539999999999</v>
      </c>
      <c r="U3579" s="87">
        <v>15539.539999999999</v>
      </c>
    </row>
    <row r="3580" spans="1:21" s="30" customFormat="1" ht="24.6" hidden="1" outlineLevel="1" x14ac:dyDescent="0.55000000000000004">
      <c r="A3580" s="27" t="s">
        <v>327</v>
      </c>
      <c r="B3580" s="28"/>
      <c r="C3580" s="27"/>
      <c r="D3580" s="27" t="str">
        <f>"""NAV Direct"",""CRONUS JetCorp USA"",""21"",""1"",""359403"""</f>
        <v>"NAV Direct","CRONUS JetCorp USA","21","1","359403"</v>
      </c>
      <c r="E3580" s="31">
        <f t="shared" si="1093"/>
        <v>0</v>
      </c>
      <c r="F3580" s="31"/>
      <c r="G3580" s="31"/>
      <c r="H3580" s="31"/>
      <c r="I3580" s="56"/>
      <c r="J3580" s="56"/>
      <c r="K3580" s="82" t="str">
        <f t="shared" si="1085"/>
        <v>Invoice</v>
      </c>
      <c r="L3580" s="83" t="str">
        <f>"SI_111235"</f>
        <v>SI_111235</v>
      </c>
      <c r="M3580" s="84">
        <v>42181</v>
      </c>
      <c r="N3580" s="85">
        <f t="shared" si="1094"/>
        <v>1631</v>
      </c>
      <c r="O3580" s="86">
        <f t="shared" si="1095"/>
        <v>18103.14</v>
      </c>
      <c r="P3580" s="86">
        <f t="shared" si="1096"/>
        <v>0</v>
      </c>
      <c r="Q3580" s="86">
        <f t="shared" si="1097"/>
        <v>0</v>
      </c>
      <c r="R3580" s="86">
        <f t="shared" si="1098"/>
        <v>0</v>
      </c>
      <c r="S3580" s="86">
        <f t="shared" si="1099"/>
        <v>0</v>
      </c>
      <c r="T3580" s="86">
        <f t="shared" si="1100"/>
        <v>18103.14</v>
      </c>
      <c r="U3580" s="87">
        <v>18103.14</v>
      </c>
    </row>
    <row r="3581" spans="1:21" s="30" customFormat="1" ht="24.6" hidden="1" outlineLevel="1" x14ac:dyDescent="0.55000000000000004">
      <c r="A3581" s="27" t="s">
        <v>327</v>
      </c>
      <c r="B3581" s="28"/>
      <c r="C3581" s="27"/>
      <c r="D3581" s="27" t="str">
        <f>"""NAV Direct"",""CRONUS JetCorp USA"",""21"",""1"",""359913"""</f>
        <v>"NAV Direct","CRONUS JetCorp USA","21","1","359913"</v>
      </c>
      <c r="E3581" s="31" t="str">
        <f t="shared" si="1093"/>
        <v>C100102</v>
      </c>
      <c r="F3581" s="31"/>
      <c r="G3581" s="31"/>
      <c r="H3581" s="31"/>
      <c r="I3581" s="56"/>
      <c r="J3581" s="56"/>
      <c r="K3581" s="82" t="str">
        <f t="shared" si="1085"/>
        <v>Invoice</v>
      </c>
      <c r="L3581" s="83" t="str">
        <f>"SI_111251"</f>
        <v>SI_111251</v>
      </c>
      <c r="M3581" s="84">
        <v>42274</v>
      </c>
      <c r="N3581" s="85">
        <f t="shared" si="1094"/>
        <v>1538</v>
      </c>
      <c r="O3581" s="86">
        <f t="shared" si="1095"/>
        <v>8958.52</v>
      </c>
      <c r="P3581" s="86">
        <f t="shared" si="1096"/>
        <v>0</v>
      </c>
      <c r="Q3581" s="86">
        <f t="shared" si="1097"/>
        <v>0</v>
      </c>
      <c r="R3581" s="86">
        <f t="shared" si="1098"/>
        <v>0</v>
      </c>
      <c r="S3581" s="86">
        <f t="shared" si="1099"/>
        <v>0</v>
      </c>
      <c r="T3581" s="86">
        <f t="shared" si="1100"/>
        <v>8958.52</v>
      </c>
      <c r="U3581" s="87">
        <v>8958.52</v>
      </c>
    </row>
    <row r="3582" spans="1:21" s="30" customFormat="1" ht="24.6" hidden="1" outlineLevel="1" x14ac:dyDescent="0.55000000000000004">
      <c r="A3582" s="27" t="s">
        <v>327</v>
      </c>
      <c r="B3582" s="28"/>
      <c r="C3582" s="27"/>
      <c r="D3582" s="27" t="str">
        <f>"""NAV Direct"",""CRONUS JetCorp USA"",""21"",""1"",""360113"""</f>
        <v>"NAV Direct","CRONUS JetCorp USA","21","1","360113"</v>
      </c>
      <c r="E3582" s="31">
        <f t="shared" si="1093"/>
        <v>0</v>
      </c>
      <c r="F3582" s="31"/>
      <c r="G3582" s="31"/>
      <c r="H3582" s="31"/>
      <c r="I3582" s="56"/>
      <c r="J3582" s="56"/>
      <c r="K3582" s="82" t="str">
        <f t="shared" si="1085"/>
        <v>Invoice</v>
      </c>
      <c r="L3582" s="83" t="str">
        <f>"SI_111257"</f>
        <v>SI_111257</v>
      </c>
      <c r="M3582" s="84">
        <v>42304</v>
      </c>
      <c r="N3582" s="85">
        <f t="shared" si="1094"/>
        <v>1508</v>
      </c>
      <c r="O3582" s="86">
        <f t="shared" si="1095"/>
        <v>9854.7699999999986</v>
      </c>
      <c r="P3582" s="86">
        <f t="shared" si="1096"/>
        <v>0</v>
      </c>
      <c r="Q3582" s="86">
        <f t="shared" si="1097"/>
        <v>0</v>
      </c>
      <c r="R3582" s="86">
        <f t="shared" si="1098"/>
        <v>0</v>
      </c>
      <c r="S3582" s="86">
        <f t="shared" si="1099"/>
        <v>0</v>
      </c>
      <c r="T3582" s="86">
        <f t="shared" si="1100"/>
        <v>9854.7699999999986</v>
      </c>
      <c r="U3582" s="87">
        <v>9854.7699999999986</v>
      </c>
    </row>
    <row r="3583" spans="1:21" s="30" customFormat="1" ht="24.6" hidden="1" outlineLevel="1" x14ac:dyDescent="0.55000000000000004">
      <c r="A3583" s="27" t="s">
        <v>327</v>
      </c>
      <c r="B3583" s="28"/>
      <c r="C3583" s="27"/>
      <c r="D3583" s="27" t="str">
        <f>"""NAV Direct"",""CRONUS JetCorp USA"",""21"",""1"",""360239"""</f>
        <v>"NAV Direct","CRONUS JetCorp USA","21","1","360239"</v>
      </c>
      <c r="E3583" s="31" t="str">
        <f t="shared" si="1093"/>
        <v>C100102</v>
      </c>
      <c r="F3583" s="31"/>
      <c r="G3583" s="31"/>
      <c r="H3583" s="31"/>
      <c r="I3583" s="56"/>
      <c r="J3583" s="56"/>
      <c r="K3583" s="82" t="str">
        <f t="shared" si="1085"/>
        <v>Invoice</v>
      </c>
      <c r="L3583" s="83" t="str">
        <f>"SI_111261"</f>
        <v>SI_111261</v>
      </c>
      <c r="M3583" s="84">
        <v>42330</v>
      </c>
      <c r="N3583" s="85">
        <f t="shared" si="1094"/>
        <v>1482</v>
      </c>
      <c r="O3583" s="86">
        <f t="shared" si="1095"/>
        <v>9854.58</v>
      </c>
      <c r="P3583" s="86">
        <f t="shared" si="1096"/>
        <v>0</v>
      </c>
      <c r="Q3583" s="86">
        <f t="shared" si="1097"/>
        <v>0</v>
      </c>
      <c r="R3583" s="86">
        <f t="shared" si="1098"/>
        <v>0</v>
      </c>
      <c r="S3583" s="86">
        <f t="shared" si="1099"/>
        <v>0</v>
      </c>
      <c r="T3583" s="86">
        <f t="shared" si="1100"/>
        <v>9854.58</v>
      </c>
      <c r="U3583" s="87">
        <v>9854.58</v>
      </c>
    </row>
    <row r="3584" spans="1:21" s="30" customFormat="1" ht="24.6" hidden="1" outlineLevel="1" x14ac:dyDescent="0.55000000000000004">
      <c r="A3584" s="27" t="s">
        <v>327</v>
      </c>
      <c r="B3584" s="28"/>
      <c r="C3584" s="27"/>
      <c r="D3584" s="27" t="str">
        <f>"""NAV Direct"",""CRONUS JetCorp USA"",""21"",""1"",""435026"""</f>
        <v>"NAV Direct","CRONUS JetCorp USA","21","1","435026"</v>
      </c>
      <c r="E3584" s="31">
        <f t="shared" si="1093"/>
        <v>0</v>
      </c>
      <c r="F3584" s="31"/>
      <c r="G3584" s="31"/>
      <c r="H3584" s="31"/>
      <c r="I3584" s="56"/>
      <c r="J3584" s="56"/>
      <c r="K3584" s="82" t="str">
        <f t="shared" ref="K3584:K3592" si="1101">"Credit Memo"</f>
        <v>Credit Memo</v>
      </c>
      <c r="L3584" s="83" t="str">
        <f>"SC_100592"</f>
        <v>SC_100592</v>
      </c>
      <c r="M3584" s="84">
        <v>43143</v>
      </c>
      <c r="N3584" s="85">
        <f t="shared" si="1094"/>
        <v>669</v>
      </c>
      <c r="O3584" s="86">
        <f t="shared" si="1095"/>
        <v>-133.47</v>
      </c>
      <c r="P3584" s="86">
        <f t="shared" si="1096"/>
        <v>0</v>
      </c>
      <c r="Q3584" s="86">
        <f t="shared" si="1097"/>
        <v>0</v>
      </c>
      <c r="R3584" s="86">
        <f t="shared" si="1098"/>
        <v>0</v>
      </c>
      <c r="S3584" s="86">
        <f t="shared" si="1099"/>
        <v>0</v>
      </c>
      <c r="T3584" s="86">
        <f t="shared" si="1100"/>
        <v>-133.47</v>
      </c>
      <c r="U3584" s="87">
        <v>-133.47</v>
      </c>
    </row>
    <row r="3585" spans="1:22" s="30" customFormat="1" ht="24.6" hidden="1" outlineLevel="1" x14ac:dyDescent="0.55000000000000004">
      <c r="A3585" s="27" t="s">
        <v>327</v>
      </c>
      <c r="B3585" s="28"/>
      <c r="C3585" s="27"/>
      <c r="D3585" s="27" t="str">
        <f>"""NAV Direct"",""CRONUS JetCorp USA"",""21"",""1"",""435041"""</f>
        <v>"NAV Direct","CRONUS JetCorp USA","21","1","435041"</v>
      </c>
      <c r="E3585" s="31" t="str">
        <f t="shared" si="1093"/>
        <v>C100102</v>
      </c>
      <c r="F3585" s="31"/>
      <c r="G3585" s="31"/>
      <c r="H3585" s="31"/>
      <c r="I3585" s="56"/>
      <c r="J3585" s="56"/>
      <c r="K3585" s="82" t="str">
        <f t="shared" si="1101"/>
        <v>Credit Memo</v>
      </c>
      <c r="L3585" s="83" t="str">
        <f>"SC_100593"</f>
        <v>SC_100593</v>
      </c>
      <c r="M3585" s="84">
        <v>43176</v>
      </c>
      <c r="N3585" s="85">
        <f t="shared" si="1094"/>
        <v>636</v>
      </c>
      <c r="O3585" s="86">
        <f t="shared" si="1095"/>
        <v>-125.79999999999998</v>
      </c>
      <c r="P3585" s="86">
        <f t="shared" si="1096"/>
        <v>0</v>
      </c>
      <c r="Q3585" s="86">
        <f t="shared" si="1097"/>
        <v>0</v>
      </c>
      <c r="R3585" s="86">
        <f t="shared" si="1098"/>
        <v>0</v>
      </c>
      <c r="S3585" s="86">
        <f t="shared" si="1099"/>
        <v>0</v>
      </c>
      <c r="T3585" s="86">
        <f t="shared" si="1100"/>
        <v>-125.79999999999998</v>
      </c>
      <c r="U3585" s="87">
        <v>-125.79999999999998</v>
      </c>
    </row>
    <row r="3586" spans="1:22" s="30" customFormat="1" ht="24.6" hidden="1" outlineLevel="1" x14ac:dyDescent="0.55000000000000004">
      <c r="A3586" s="27" t="s">
        <v>327</v>
      </c>
      <c r="B3586" s="28"/>
      <c r="C3586" s="27"/>
      <c r="D3586" s="27" t="str">
        <f>"""NAV Direct"",""CRONUS JetCorp USA"",""21"",""1"",""435113"""</f>
        <v>"NAV Direct","CRONUS JetCorp USA","21","1","435113"</v>
      </c>
      <c r="E3586" s="31">
        <f t="shared" si="1093"/>
        <v>0</v>
      </c>
      <c r="F3586" s="31"/>
      <c r="G3586" s="31"/>
      <c r="H3586" s="31"/>
      <c r="I3586" s="56"/>
      <c r="J3586" s="56"/>
      <c r="K3586" s="82" t="str">
        <f t="shared" si="1101"/>
        <v>Credit Memo</v>
      </c>
      <c r="L3586" s="83" t="str">
        <f>"SC_100597"</f>
        <v>SC_100597</v>
      </c>
      <c r="M3586" s="84">
        <v>43378</v>
      </c>
      <c r="N3586" s="85">
        <f t="shared" si="1094"/>
        <v>434</v>
      </c>
      <c r="O3586" s="86">
        <f t="shared" si="1095"/>
        <v>-147.77000000000001</v>
      </c>
      <c r="P3586" s="86">
        <f t="shared" si="1096"/>
        <v>0</v>
      </c>
      <c r="Q3586" s="86">
        <f t="shared" si="1097"/>
        <v>0</v>
      </c>
      <c r="R3586" s="86">
        <f t="shared" si="1098"/>
        <v>0</v>
      </c>
      <c r="S3586" s="86">
        <f t="shared" si="1099"/>
        <v>0</v>
      </c>
      <c r="T3586" s="86">
        <f t="shared" si="1100"/>
        <v>-147.77000000000001</v>
      </c>
      <c r="U3586" s="87">
        <v>-147.77000000000001</v>
      </c>
    </row>
    <row r="3587" spans="1:22" s="30" customFormat="1" ht="24.6" hidden="1" outlineLevel="1" x14ac:dyDescent="0.55000000000000004">
      <c r="A3587" s="27" t="s">
        <v>327</v>
      </c>
      <c r="B3587" s="28"/>
      <c r="C3587" s="27"/>
      <c r="D3587" s="27" t="str">
        <f>"""NAV Direct"",""CRONUS JetCorp USA"",""21"",""1"",""435139"""</f>
        <v>"NAV Direct","CRONUS JetCorp USA","21","1","435139"</v>
      </c>
      <c r="E3587" s="31" t="str">
        <f t="shared" si="1093"/>
        <v>C100102</v>
      </c>
      <c r="F3587" s="31"/>
      <c r="G3587" s="31"/>
      <c r="H3587" s="31"/>
      <c r="I3587" s="56"/>
      <c r="J3587" s="56"/>
      <c r="K3587" s="82" t="str">
        <f t="shared" si="1101"/>
        <v>Credit Memo</v>
      </c>
      <c r="L3587" s="83" t="str">
        <f>"SC_100599"</f>
        <v>SC_100599</v>
      </c>
      <c r="M3587" s="84">
        <v>43413</v>
      </c>
      <c r="N3587" s="85">
        <f t="shared" si="1094"/>
        <v>399</v>
      </c>
      <c r="O3587" s="86">
        <f t="shared" si="1095"/>
        <v>-168.09</v>
      </c>
      <c r="P3587" s="86">
        <f t="shared" si="1096"/>
        <v>0</v>
      </c>
      <c r="Q3587" s="86">
        <f t="shared" si="1097"/>
        <v>0</v>
      </c>
      <c r="R3587" s="86">
        <f t="shared" si="1098"/>
        <v>0</v>
      </c>
      <c r="S3587" s="86">
        <f t="shared" si="1099"/>
        <v>0</v>
      </c>
      <c r="T3587" s="86">
        <f t="shared" si="1100"/>
        <v>-168.09</v>
      </c>
      <c r="U3587" s="87">
        <v>-168.09</v>
      </c>
    </row>
    <row r="3588" spans="1:22" s="30" customFormat="1" ht="24.6" hidden="1" outlineLevel="1" x14ac:dyDescent="0.55000000000000004">
      <c r="A3588" s="27" t="s">
        <v>327</v>
      </c>
      <c r="B3588" s="28"/>
      <c r="C3588" s="27"/>
      <c r="D3588" s="27" t="str">
        <f>"""NAV Direct"",""CRONUS JetCorp USA"",""21"",""1"",""435489"""</f>
        <v>"NAV Direct","CRONUS JetCorp USA","21","1","435489"</v>
      </c>
      <c r="E3588" s="31">
        <f t="shared" si="1093"/>
        <v>0</v>
      </c>
      <c r="F3588" s="31"/>
      <c r="G3588" s="31"/>
      <c r="H3588" s="31"/>
      <c r="I3588" s="56"/>
      <c r="J3588" s="56"/>
      <c r="K3588" s="82" t="str">
        <f t="shared" si="1101"/>
        <v>Credit Memo</v>
      </c>
      <c r="L3588" s="83" t="str">
        <f>"SC_100621"</f>
        <v>SC_100621</v>
      </c>
      <c r="M3588" s="84">
        <v>43812</v>
      </c>
      <c r="N3588" s="85">
        <f t="shared" si="1094"/>
        <v>0</v>
      </c>
      <c r="O3588" s="86">
        <f t="shared" si="1095"/>
        <v>-167.75</v>
      </c>
      <c r="P3588" s="86">
        <f t="shared" si="1096"/>
        <v>-167.75</v>
      </c>
      <c r="Q3588" s="86">
        <f t="shared" si="1097"/>
        <v>0</v>
      </c>
      <c r="R3588" s="86">
        <f t="shared" si="1098"/>
        <v>0</v>
      </c>
      <c r="S3588" s="86">
        <f t="shared" si="1099"/>
        <v>0</v>
      </c>
      <c r="T3588" s="86">
        <f t="shared" si="1100"/>
        <v>0</v>
      </c>
      <c r="U3588" s="87">
        <v>-167.75</v>
      </c>
    </row>
    <row r="3589" spans="1:22" s="30" customFormat="1" ht="24.6" hidden="1" outlineLevel="1" x14ac:dyDescent="0.55000000000000004">
      <c r="A3589" s="27" t="s">
        <v>327</v>
      </c>
      <c r="B3589" s="28"/>
      <c r="C3589" s="27"/>
      <c r="D3589" s="27" t="str">
        <f>"""NAV Direct"",""CRONUS JetCorp USA"",""21"",""1"",""435581"""</f>
        <v>"NAV Direct","CRONUS JetCorp USA","21","1","435581"</v>
      </c>
      <c r="E3589" s="31" t="str">
        <f t="shared" si="1093"/>
        <v>C100102</v>
      </c>
      <c r="F3589" s="31"/>
      <c r="G3589" s="31"/>
      <c r="H3589" s="31"/>
      <c r="I3589" s="56"/>
      <c r="J3589" s="56"/>
      <c r="K3589" s="82" t="str">
        <f t="shared" si="1101"/>
        <v>Credit Memo</v>
      </c>
      <c r="L3589" s="83" t="str">
        <f>"SC_100627"</f>
        <v>SC_100627</v>
      </c>
      <c r="M3589" s="84">
        <v>42083</v>
      </c>
      <c r="N3589" s="85">
        <f t="shared" si="1094"/>
        <v>1729</v>
      </c>
      <c r="O3589" s="86">
        <f t="shared" si="1095"/>
        <v>-124.94000000000001</v>
      </c>
      <c r="P3589" s="86">
        <f t="shared" si="1096"/>
        <v>0</v>
      </c>
      <c r="Q3589" s="86">
        <f t="shared" si="1097"/>
        <v>0</v>
      </c>
      <c r="R3589" s="86">
        <f t="shared" si="1098"/>
        <v>0</v>
      </c>
      <c r="S3589" s="86">
        <f t="shared" si="1099"/>
        <v>0</v>
      </c>
      <c r="T3589" s="86">
        <f t="shared" si="1100"/>
        <v>-124.94000000000001</v>
      </c>
      <c r="U3589" s="87">
        <v>-124.94000000000001</v>
      </c>
    </row>
    <row r="3590" spans="1:22" s="30" customFormat="1" ht="24.6" hidden="1" outlineLevel="1" x14ac:dyDescent="0.55000000000000004">
      <c r="A3590" s="27" t="s">
        <v>327</v>
      </c>
      <c r="B3590" s="28"/>
      <c r="C3590" s="27"/>
      <c r="D3590" s="27" t="str">
        <f>"""NAV Direct"",""CRONUS JetCorp USA"",""21"",""1"",""435680"""</f>
        <v>"NAV Direct","CRONUS JetCorp USA","21","1","435680"</v>
      </c>
      <c r="E3590" s="31">
        <f t="shared" si="1093"/>
        <v>0</v>
      </c>
      <c r="F3590" s="31"/>
      <c r="G3590" s="31"/>
      <c r="H3590" s="31"/>
      <c r="I3590" s="56"/>
      <c r="J3590" s="56"/>
      <c r="K3590" s="82" t="str">
        <f t="shared" si="1101"/>
        <v>Credit Memo</v>
      </c>
      <c r="L3590" s="83" t="str">
        <f>"SC_100634"</f>
        <v>SC_100634</v>
      </c>
      <c r="M3590" s="84">
        <v>42216</v>
      </c>
      <c r="N3590" s="85">
        <f t="shared" si="1094"/>
        <v>1596</v>
      </c>
      <c r="O3590" s="86">
        <f t="shared" si="1095"/>
        <v>-98.78</v>
      </c>
      <c r="P3590" s="86">
        <f t="shared" si="1096"/>
        <v>0</v>
      </c>
      <c r="Q3590" s="86">
        <f t="shared" si="1097"/>
        <v>0</v>
      </c>
      <c r="R3590" s="86">
        <f t="shared" si="1098"/>
        <v>0</v>
      </c>
      <c r="S3590" s="86">
        <f t="shared" si="1099"/>
        <v>0</v>
      </c>
      <c r="T3590" s="86">
        <f t="shared" si="1100"/>
        <v>-98.78</v>
      </c>
      <c r="U3590" s="87">
        <v>-98.78</v>
      </c>
    </row>
    <row r="3591" spans="1:22" s="30" customFormat="1" ht="24.6" hidden="1" outlineLevel="1" x14ac:dyDescent="0.55000000000000004">
      <c r="A3591" s="27" t="s">
        <v>327</v>
      </c>
      <c r="B3591" s="28"/>
      <c r="C3591" s="27"/>
      <c r="D3591" s="27" t="str">
        <f>"""NAV Direct"",""CRONUS JetCorp USA"",""21"",""1"",""435729"""</f>
        <v>"NAV Direct","CRONUS JetCorp USA","21","1","435729"</v>
      </c>
      <c r="E3591" s="31" t="str">
        <f t="shared" si="1093"/>
        <v>C100102</v>
      </c>
      <c r="F3591" s="31"/>
      <c r="G3591" s="31"/>
      <c r="H3591" s="31"/>
      <c r="I3591" s="56"/>
      <c r="J3591" s="56"/>
      <c r="K3591" s="82" t="str">
        <f t="shared" si="1101"/>
        <v>Credit Memo</v>
      </c>
      <c r="L3591" s="83" t="str">
        <f>"SC_100637"</f>
        <v>SC_100637</v>
      </c>
      <c r="M3591" s="84">
        <v>42266</v>
      </c>
      <c r="N3591" s="85">
        <f t="shared" si="1094"/>
        <v>1546</v>
      </c>
      <c r="O3591" s="86">
        <f t="shared" si="1095"/>
        <v>-89.46</v>
      </c>
      <c r="P3591" s="86">
        <f t="shared" si="1096"/>
        <v>0</v>
      </c>
      <c r="Q3591" s="86">
        <f t="shared" si="1097"/>
        <v>0</v>
      </c>
      <c r="R3591" s="86">
        <f t="shared" si="1098"/>
        <v>0</v>
      </c>
      <c r="S3591" s="86">
        <f t="shared" si="1099"/>
        <v>0</v>
      </c>
      <c r="T3591" s="86">
        <f t="shared" si="1100"/>
        <v>-89.46</v>
      </c>
      <c r="U3591" s="87">
        <v>-89.46</v>
      </c>
    </row>
    <row r="3592" spans="1:22" s="30" customFormat="1" ht="24.6" hidden="1" outlineLevel="1" x14ac:dyDescent="0.55000000000000004">
      <c r="A3592" s="27" t="s">
        <v>327</v>
      </c>
      <c r="B3592" s="28"/>
      <c r="C3592" s="27"/>
      <c r="D3592" s="27" t="str">
        <f>"""NAV Direct"",""CRONUS JetCorp USA"",""21"",""1"",""435761"""</f>
        <v>"NAV Direct","CRONUS JetCorp USA","21","1","435761"</v>
      </c>
      <c r="E3592" s="31">
        <f t="shared" si="1093"/>
        <v>0</v>
      </c>
      <c r="F3592" s="31"/>
      <c r="G3592" s="31"/>
      <c r="H3592" s="31"/>
      <c r="I3592" s="56"/>
      <c r="J3592" s="56"/>
      <c r="K3592" s="82" t="str">
        <f t="shared" si="1101"/>
        <v>Credit Memo</v>
      </c>
      <c r="L3592" s="83" t="str">
        <f>"SC_100639"</f>
        <v>SC_100639</v>
      </c>
      <c r="M3592" s="84">
        <v>42343</v>
      </c>
      <c r="N3592" s="85">
        <f t="shared" si="1094"/>
        <v>1469</v>
      </c>
      <c r="O3592" s="86">
        <f t="shared" si="1095"/>
        <v>-116</v>
      </c>
      <c r="P3592" s="86">
        <f t="shared" si="1096"/>
        <v>0</v>
      </c>
      <c r="Q3592" s="86">
        <f t="shared" si="1097"/>
        <v>0</v>
      </c>
      <c r="R3592" s="86">
        <f t="shared" si="1098"/>
        <v>0</v>
      </c>
      <c r="S3592" s="86">
        <f t="shared" si="1099"/>
        <v>0</v>
      </c>
      <c r="T3592" s="86">
        <f t="shared" si="1100"/>
        <v>-116</v>
      </c>
      <c r="U3592" s="87">
        <v>-116</v>
      </c>
    </row>
    <row r="3593" spans="1:22" s="22" customFormat="1" ht="20.399999999999999" collapsed="1" x14ac:dyDescent="0.45">
      <c r="A3593" s="12" t="s">
        <v>327</v>
      </c>
      <c r="B3593" s="19"/>
      <c r="C3593" s="12"/>
      <c r="D3593" s="12"/>
      <c r="E3593" s="23"/>
      <c r="F3593" s="23"/>
      <c r="G3593" s="23"/>
      <c r="H3593" s="23"/>
      <c r="I3593" s="49"/>
      <c r="J3593" s="88"/>
      <c r="K3593" s="88"/>
      <c r="L3593" s="89"/>
      <c r="M3593" s="89"/>
      <c r="N3593" s="89"/>
      <c r="O3593" s="89"/>
      <c r="P3593" s="89"/>
      <c r="Q3593" s="90"/>
      <c r="R3593" s="90"/>
      <c r="S3593" s="91"/>
      <c r="T3593" s="92"/>
      <c r="U3593" s="92"/>
    </row>
    <row r="3594" spans="1:22" s="22" customFormat="1" ht="20.399999999999999" x14ac:dyDescent="0.45">
      <c r="A3594" s="12" t="s">
        <v>327</v>
      </c>
      <c r="B3594" s="19"/>
      <c r="C3594" s="12"/>
      <c r="D3594" s="12"/>
      <c r="E3594" s="23"/>
      <c r="F3594" s="23"/>
      <c r="G3594" s="23"/>
      <c r="H3594" s="23"/>
      <c r="I3594" s="49"/>
      <c r="J3594" s="88"/>
      <c r="K3594" s="88"/>
      <c r="L3594" s="89"/>
      <c r="M3594" s="89"/>
      <c r="N3594" s="89"/>
      <c r="O3594" s="89"/>
      <c r="P3594" s="89"/>
      <c r="Q3594" s="90"/>
      <c r="R3594" s="90"/>
      <c r="S3594" s="91"/>
      <c r="T3594" s="92"/>
      <c r="U3594" s="92"/>
    </row>
    <row r="3595" spans="1:22" s="26" customFormat="1" ht="24.6" x14ac:dyDescent="0.55000000000000004">
      <c r="A3595" s="27" t="s">
        <v>327</v>
      </c>
      <c r="B3595" s="28"/>
      <c r="C3595" s="27" t="str">
        <f>"""NAV Direct"",""CRONUS JetCorp USA"",""18"",""1"",""C100103"""</f>
        <v>"NAV Direct","CRONUS JetCorp USA","18","1","C100103"</v>
      </c>
      <c r="D3595" s="27"/>
      <c r="E3595" s="28" t="str">
        <f>H3595</f>
        <v>C100103</v>
      </c>
      <c r="F3595" s="28"/>
      <c r="G3595" s="28"/>
      <c r="H3595" s="28" t="str">
        <f>"C100103"</f>
        <v>C100103</v>
      </c>
      <c r="I3595" s="116" t="str">
        <f>"C100103  -  AlphaQuote"</f>
        <v>C100103  -  AlphaQuote</v>
      </c>
      <c r="J3595" s="117" t="str">
        <f>""</f>
        <v/>
      </c>
      <c r="K3595" s="118"/>
      <c r="L3595" s="119">
        <f>SUBTOTAL(3,L3596:L3641)</f>
        <v>42</v>
      </c>
      <c r="M3595" s="118"/>
      <c r="N3595" s="118"/>
      <c r="O3595" s="120">
        <f t="shared" ref="O3595:T3595" si="1102">SUBTOTAL(9,O3596:O3641)</f>
        <v>352132.4599999999</v>
      </c>
      <c r="P3595" s="120">
        <f t="shared" si="1102"/>
        <v>-91.83</v>
      </c>
      <c r="Q3595" s="120">
        <f t="shared" si="1102"/>
        <v>0</v>
      </c>
      <c r="R3595" s="120">
        <f t="shared" si="1102"/>
        <v>0</v>
      </c>
      <c r="S3595" s="120">
        <f t="shared" si="1102"/>
        <v>12109.34</v>
      </c>
      <c r="T3595" s="120">
        <f t="shared" si="1102"/>
        <v>340114.94999999995</v>
      </c>
      <c r="U3595" s="81"/>
    </row>
    <row r="3596" spans="1:22" s="26" customFormat="1" ht="24.6" x14ac:dyDescent="0.55000000000000004">
      <c r="A3596" s="27" t="s">
        <v>327</v>
      </c>
      <c r="B3596" s="28"/>
      <c r="C3596" s="27" t="str">
        <f>C3595</f>
        <v>"NAV Direct","CRONUS JetCorp USA","18","1","C100103"</v>
      </c>
      <c r="D3596" s="27"/>
      <c r="E3596" s="28" t="str">
        <f>E3595</f>
        <v>C100103</v>
      </c>
      <c r="F3596" s="28"/>
      <c r="G3596" s="28"/>
      <c r="H3596" s="28"/>
      <c r="I3596" s="121" t="str">
        <f>"Contact: Bob Berman"</f>
        <v>Contact: Bob Berman</v>
      </c>
      <c r="J3596" s="121"/>
      <c r="K3596" s="122"/>
      <c r="L3596" s="123"/>
      <c r="M3596" s="123"/>
      <c r="N3596" s="124"/>
      <c r="O3596" s="124"/>
      <c r="P3596" s="123"/>
      <c r="Q3596" s="125"/>
      <c r="R3596" s="126"/>
      <c r="S3596" s="126"/>
      <c r="T3596" s="125"/>
      <c r="U3596" s="81"/>
    </row>
    <row r="3597" spans="1:22" s="26" customFormat="1" ht="24.6" x14ac:dyDescent="0.55000000000000004">
      <c r="A3597" s="27" t="s">
        <v>327</v>
      </c>
      <c r="B3597" s="28"/>
      <c r="C3597" s="27" t="str">
        <f>C3596</f>
        <v>"NAV Direct","CRONUS JetCorp USA","18","1","C100103"</v>
      </c>
      <c r="D3597" s="27"/>
      <c r="E3597" s="28" t="str">
        <f>E3596</f>
        <v>C100103</v>
      </c>
      <c r="F3597" s="28"/>
      <c r="G3597" s="28"/>
      <c r="H3597" s="28"/>
      <c r="I3597" s="121" t="str">
        <f>"AlphaQuote@Cronus.com"</f>
        <v>AlphaQuote@Cronus.com</v>
      </c>
      <c r="J3597" s="121"/>
      <c r="K3597" s="122"/>
      <c r="L3597" s="124"/>
      <c r="M3597" s="124"/>
      <c r="N3597" s="124"/>
      <c r="O3597" s="124"/>
      <c r="P3597" s="123"/>
      <c r="Q3597" s="125"/>
      <c r="R3597" s="126"/>
      <c r="S3597" s="126"/>
      <c r="T3597" s="125"/>
      <c r="U3597" s="81"/>
    </row>
    <row r="3598" spans="1:22" ht="12.75" hidden="1" customHeight="1" outlineLevel="1" x14ac:dyDescent="0.45">
      <c r="A3598" s="12" t="s">
        <v>328</v>
      </c>
      <c r="B3598" s="19"/>
      <c r="E3598" s="19"/>
      <c r="F3598" s="19"/>
      <c r="G3598" s="19"/>
      <c r="H3598" s="19"/>
      <c r="I3598" s="61"/>
      <c r="J3598" s="61"/>
      <c r="K3598" s="61"/>
      <c r="L3598" s="61"/>
      <c r="M3598" s="61"/>
      <c r="N3598" s="61"/>
      <c r="O3598" s="61"/>
      <c r="P3598" s="61"/>
      <c r="Q3598" s="61"/>
      <c r="R3598" s="61"/>
      <c r="S3598" s="61"/>
      <c r="T3598" s="61"/>
      <c r="U3598" s="61"/>
      <c r="V3598" s="21"/>
    </row>
    <row r="3599" spans="1:22" s="30" customFormat="1" ht="24.6" hidden="1" outlineLevel="1" x14ac:dyDescent="0.55000000000000004">
      <c r="A3599" s="27" t="s">
        <v>327</v>
      </c>
      <c r="B3599" s="28"/>
      <c r="C3599" s="27"/>
      <c r="D3599" s="27" t="str">
        <f>"""NAV Direct"",""CRONUS JetCorp USA"",""21"",""1"",""131299"""</f>
        <v>"NAV Direct","CRONUS JetCorp USA","21","1","131299"</v>
      </c>
      <c r="E3599" s="31" t="str">
        <f t="shared" ref="E3599:E3640" si="1103">E3597</f>
        <v>C100103</v>
      </c>
      <c r="F3599" s="31"/>
      <c r="G3599" s="31"/>
      <c r="H3599" s="31"/>
      <c r="I3599" s="56"/>
      <c r="J3599" s="56"/>
      <c r="K3599" s="82" t="str">
        <f t="shared" ref="K3599:K3634" si="1104">"Invoice"</f>
        <v>Invoice</v>
      </c>
      <c r="L3599" s="83" t="str">
        <f>"SI_107036"</f>
        <v>SI_107036</v>
      </c>
      <c r="M3599" s="84">
        <v>42339</v>
      </c>
      <c r="N3599" s="85">
        <f t="shared" ref="N3599:N3640" si="1105">StartDate-$M3599+1</f>
        <v>1473</v>
      </c>
      <c r="O3599" s="86">
        <f t="shared" ref="O3599:O3640" si="1106">SUM(P3599:T3599)</f>
        <v>8588.58</v>
      </c>
      <c r="P3599" s="86">
        <f t="shared" ref="P3599:P3640" si="1107">IF($M3599&gt;=$P$18,U3599,0)</f>
        <v>0</v>
      </c>
      <c r="Q3599" s="86">
        <f t="shared" ref="Q3599:Q3640" si="1108">IF(AND($M3599&gt;=$Q$16,$M3599&lt;=$Q$18),U3599,0)</f>
        <v>0</v>
      </c>
      <c r="R3599" s="86">
        <f t="shared" ref="R3599:R3640" si="1109">IF(AND($M3599&gt;=$R$16,$M3599&lt;=$R$18),U3599,0)</f>
        <v>0</v>
      </c>
      <c r="S3599" s="86">
        <f t="shared" ref="S3599:S3640" si="1110">IF(AND($M3599&gt;=$S$16,$M3599&lt;=$S$18),U3599,0)</f>
        <v>0</v>
      </c>
      <c r="T3599" s="86">
        <f t="shared" ref="T3599:T3640" si="1111">IF($M3599&lt;=$T$18,U3599,0)</f>
        <v>8588.58</v>
      </c>
      <c r="U3599" s="87">
        <v>8588.58</v>
      </c>
    </row>
    <row r="3600" spans="1:22" s="30" customFormat="1" ht="24.6" hidden="1" outlineLevel="1" x14ac:dyDescent="0.55000000000000004">
      <c r="A3600" s="27" t="s">
        <v>327</v>
      </c>
      <c r="B3600" s="28"/>
      <c r="C3600" s="27"/>
      <c r="D3600" s="27" t="str">
        <f>"""NAV Direct"",""CRONUS JetCorp USA"",""21"",""1"",""131698"""</f>
        <v>"NAV Direct","CRONUS JetCorp USA","21","1","131698"</v>
      </c>
      <c r="E3600" s="31">
        <f t="shared" si="1103"/>
        <v>0</v>
      </c>
      <c r="F3600" s="31"/>
      <c r="G3600" s="31"/>
      <c r="H3600" s="31"/>
      <c r="I3600" s="56"/>
      <c r="J3600" s="56"/>
      <c r="K3600" s="82" t="str">
        <f t="shared" si="1104"/>
        <v>Invoice</v>
      </c>
      <c r="L3600" s="83" t="str">
        <f>"SI_107043"</f>
        <v>SI_107043</v>
      </c>
      <c r="M3600" s="84">
        <v>42361</v>
      </c>
      <c r="N3600" s="85">
        <f t="shared" si="1105"/>
        <v>1451</v>
      </c>
      <c r="O3600" s="86">
        <f t="shared" si="1106"/>
        <v>6798.5199999999995</v>
      </c>
      <c r="P3600" s="86">
        <f t="shared" si="1107"/>
        <v>0</v>
      </c>
      <c r="Q3600" s="86">
        <f t="shared" si="1108"/>
        <v>0</v>
      </c>
      <c r="R3600" s="86">
        <f t="shared" si="1109"/>
        <v>0</v>
      </c>
      <c r="S3600" s="86">
        <f t="shared" si="1110"/>
        <v>0</v>
      </c>
      <c r="T3600" s="86">
        <f t="shared" si="1111"/>
        <v>6798.5199999999995</v>
      </c>
      <c r="U3600" s="87">
        <v>6798.5199999999995</v>
      </c>
    </row>
    <row r="3601" spans="1:21" s="30" customFormat="1" ht="24.6" hidden="1" outlineLevel="1" x14ac:dyDescent="0.55000000000000004">
      <c r="A3601" s="27" t="s">
        <v>327</v>
      </c>
      <c r="B3601" s="28"/>
      <c r="C3601" s="27"/>
      <c r="D3601" s="27" t="str">
        <f>"""NAV Direct"",""CRONUS JetCorp USA"",""21"",""1"",""131810"""</f>
        <v>"NAV Direct","CRONUS JetCorp USA","21","1","131810"</v>
      </c>
      <c r="E3601" s="31" t="str">
        <f t="shared" si="1103"/>
        <v>C100103</v>
      </c>
      <c r="F3601" s="31"/>
      <c r="G3601" s="31"/>
      <c r="H3601" s="31"/>
      <c r="I3601" s="56"/>
      <c r="J3601" s="56"/>
      <c r="K3601" s="82" t="str">
        <f t="shared" si="1104"/>
        <v>Invoice</v>
      </c>
      <c r="L3601" s="83" t="str">
        <f>"SI_107045"</f>
        <v>SI_107045</v>
      </c>
      <c r="M3601" s="84">
        <v>42362</v>
      </c>
      <c r="N3601" s="85">
        <f t="shared" si="1105"/>
        <v>1450</v>
      </c>
      <c r="O3601" s="86">
        <f t="shared" si="1106"/>
        <v>6798.5000000000009</v>
      </c>
      <c r="P3601" s="86">
        <f t="shared" si="1107"/>
        <v>0</v>
      </c>
      <c r="Q3601" s="86">
        <f t="shared" si="1108"/>
        <v>0</v>
      </c>
      <c r="R3601" s="86">
        <f t="shared" si="1109"/>
        <v>0</v>
      </c>
      <c r="S3601" s="86">
        <f t="shared" si="1110"/>
        <v>0</v>
      </c>
      <c r="T3601" s="86">
        <f t="shared" si="1111"/>
        <v>6798.5000000000009</v>
      </c>
      <c r="U3601" s="87">
        <v>6798.5000000000009</v>
      </c>
    </row>
    <row r="3602" spans="1:21" s="30" customFormat="1" ht="24.6" hidden="1" outlineLevel="1" x14ac:dyDescent="0.55000000000000004">
      <c r="A3602" s="27" t="s">
        <v>327</v>
      </c>
      <c r="B3602" s="28"/>
      <c r="C3602" s="27"/>
      <c r="D3602" s="27" t="str">
        <f>"""NAV Direct"",""CRONUS JetCorp USA"",""21"",""1"",""383954"""</f>
        <v>"NAV Direct","CRONUS JetCorp USA","21","1","383954"</v>
      </c>
      <c r="E3602" s="31">
        <f t="shared" si="1103"/>
        <v>0</v>
      </c>
      <c r="F3602" s="31"/>
      <c r="G3602" s="31"/>
      <c r="H3602" s="31"/>
      <c r="I3602" s="56"/>
      <c r="J3602" s="56"/>
      <c r="K3602" s="82" t="str">
        <f t="shared" si="1104"/>
        <v>Invoice</v>
      </c>
      <c r="L3602" s="83" t="str">
        <f>"SI_111924"</f>
        <v>SI_111924</v>
      </c>
      <c r="M3602" s="84">
        <v>42401</v>
      </c>
      <c r="N3602" s="85">
        <f t="shared" si="1105"/>
        <v>1411</v>
      </c>
      <c r="O3602" s="86">
        <f t="shared" si="1106"/>
        <v>9699.89</v>
      </c>
      <c r="P3602" s="86">
        <f t="shared" si="1107"/>
        <v>0</v>
      </c>
      <c r="Q3602" s="86">
        <f t="shared" si="1108"/>
        <v>0</v>
      </c>
      <c r="R3602" s="86">
        <f t="shared" si="1109"/>
        <v>0</v>
      </c>
      <c r="S3602" s="86">
        <f t="shared" si="1110"/>
        <v>0</v>
      </c>
      <c r="T3602" s="86">
        <f t="shared" si="1111"/>
        <v>9699.89</v>
      </c>
      <c r="U3602" s="87">
        <v>9699.89</v>
      </c>
    </row>
    <row r="3603" spans="1:21" s="30" customFormat="1" ht="24.6" hidden="1" outlineLevel="1" x14ac:dyDescent="0.55000000000000004">
      <c r="A3603" s="27" t="s">
        <v>327</v>
      </c>
      <c r="B3603" s="28"/>
      <c r="C3603" s="27"/>
      <c r="D3603" s="27" t="str">
        <f>"""NAV Direct"",""CRONUS JetCorp USA"",""21"",""1"",""384521"""</f>
        <v>"NAV Direct","CRONUS JetCorp USA","21","1","384521"</v>
      </c>
      <c r="E3603" s="31" t="str">
        <f t="shared" si="1103"/>
        <v>C100103</v>
      </c>
      <c r="F3603" s="31"/>
      <c r="G3603" s="31"/>
      <c r="H3603" s="31"/>
      <c r="I3603" s="56"/>
      <c r="J3603" s="56"/>
      <c r="K3603" s="82" t="str">
        <f t="shared" si="1104"/>
        <v>Invoice</v>
      </c>
      <c r="L3603" s="83" t="str">
        <f>"SI_111935"</f>
        <v>SI_111935</v>
      </c>
      <c r="M3603" s="84">
        <v>42457</v>
      </c>
      <c r="N3603" s="85">
        <f t="shared" si="1105"/>
        <v>1355</v>
      </c>
      <c r="O3603" s="86">
        <f t="shared" si="1106"/>
        <v>12572.13</v>
      </c>
      <c r="P3603" s="86">
        <f t="shared" si="1107"/>
        <v>0</v>
      </c>
      <c r="Q3603" s="86">
        <f t="shared" si="1108"/>
        <v>0</v>
      </c>
      <c r="R3603" s="86">
        <f t="shared" si="1109"/>
        <v>0</v>
      </c>
      <c r="S3603" s="86">
        <f t="shared" si="1110"/>
        <v>0</v>
      </c>
      <c r="T3603" s="86">
        <f t="shared" si="1111"/>
        <v>12572.13</v>
      </c>
      <c r="U3603" s="87">
        <v>12572.13</v>
      </c>
    </row>
    <row r="3604" spans="1:21" s="30" customFormat="1" ht="24.6" hidden="1" outlineLevel="1" x14ac:dyDescent="0.55000000000000004">
      <c r="A3604" s="27" t="s">
        <v>327</v>
      </c>
      <c r="B3604" s="28"/>
      <c r="C3604" s="27"/>
      <c r="D3604" s="27" t="str">
        <f>"""NAV Direct"",""CRONUS JetCorp USA"",""21"",""1"",""384712"""</f>
        <v>"NAV Direct","CRONUS JetCorp USA","21","1","384712"</v>
      </c>
      <c r="E3604" s="31">
        <f t="shared" si="1103"/>
        <v>0</v>
      </c>
      <c r="F3604" s="31"/>
      <c r="G3604" s="31"/>
      <c r="H3604" s="31"/>
      <c r="I3604" s="56"/>
      <c r="J3604" s="56"/>
      <c r="K3604" s="82" t="str">
        <f t="shared" si="1104"/>
        <v>Invoice</v>
      </c>
      <c r="L3604" s="83" t="str">
        <f>"SI_111938"</f>
        <v>SI_111938</v>
      </c>
      <c r="M3604" s="84">
        <v>42466</v>
      </c>
      <c r="N3604" s="85">
        <f t="shared" si="1105"/>
        <v>1346</v>
      </c>
      <c r="O3604" s="86">
        <f t="shared" si="1106"/>
        <v>12701.710000000001</v>
      </c>
      <c r="P3604" s="86">
        <f t="shared" si="1107"/>
        <v>0</v>
      </c>
      <c r="Q3604" s="86">
        <f t="shared" si="1108"/>
        <v>0</v>
      </c>
      <c r="R3604" s="86">
        <f t="shared" si="1109"/>
        <v>0</v>
      </c>
      <c r="S3604" s="86">
        <f t="shared" si="1110"/>
        <v>0</v>
      </c>
      <c r="T3604" s="86">
        <f t="shared" si="1111"/>
        <v>12701.710000000001</v>
      </c>
      <c r="U3604" s="87">
        <v>12701.710000000001</v>
      </c>
    </row>
    <row r="3605" spans="1:21" s="30" customFormat="1" ht="24.6" hidden="1" outlineLevel="1" x14ac:dyDescent="0.55000000000000004">
      <c r="A3605" s="27" t="s">
        <v>327</v>
      </c>
      <c r="B3605" s="28"/>
      <c r="C3605" s="27"/>
      <c r="D3605" s="27" t="str">
        <f>"""NAV Direct"",""CRONUS JetCorp USA"",""21"",""1"",""385367"""</f>
        <v>"NAV Direct","CRONUS JetCorp USA","21","1","385367"</v>
      </c>
      <c r="E3605" s="31" t="str">
        <f t="shared" si="1103"/>
        <v>C100103</v>
      </c>
      <c r="F3605" s="31"/>
      <c r="G3605" s="31"/>
      <c r="H3605" s="31"/>
      <c r="I3605" s="56"/>
      <c r="J3605" s="56"/>
      <c r="K3605" s="82" t="str">
        <f t="shared" si="1104"/>
        <v>Invoice</v>
      </c>
      <c r="L3605" s="83" t="str">
        <f>"SI_111951"</f>
        <v>SI_111951</v>
      </c>
      <c r="M3605" s="84">
        <v>42543</v>
      </c>
      <c r="N3605" s="85">
        <f t="shared" si="1105"/>
        <v>1269</v>
      </c>
      <c r="O3605" s="86">
        <f t="shared" si="1106"/>
        <v>9492.48</v>
      </c>
      <c r="P3605" s="86">
        <f t="shared" si="1107"/>
        <v>0</v>
      </c>
      <c r="Q3605" s="86">
        <f t="shared" si="1108"/>
        <v>0</v>
      </c>
      <c r="R3605" s="86">
        <f t="shared" si="1109"/>
        <v>0</v>
      </c>
      <c r="S3605" s="86">
        <f t="shared" si="1110"/>
        <v>0</v>
      </c>
      <c r="T3605" s="86">
        <f t="shared" si="1111"/>
        <v>9492.48</v>
      </c>
      <c r="U3605" s="87">
        <v>9492.48</v>
      </c>
    </row>
    <row r="3606" spans="1:21" s="30" customFormat="1" ht="24.6" hidden="1" outlineLevel="1" x14ac:dyDescent="0.55000000000000004">
      <c r="A3606" s="27" t="s">
        <v>327</v>
      </c>
      <c r="B3606" s="28"/>
      <c r="C3606" s="27"/>
      <c r="D3606" s="27" t="str">
        <f>"""NAV Direct"",""CRONUS JetCorp USA"",""21"",""1"",""385475"""</f>
        <v>"NAV Direct","CRONUS JetCorp USA","21","1","385475"</v>
      </c>
      <c r="E3606" s="31">
        <f t="shared" si="1103"/>
        <v>0</v>
      </c>
      <c r="F3606" s="31"/>
      <c r="G3606" s="31"/>
      <c r="H3606" s="31"/>
      <c r="I3606" s="56"/>
      <c r="J3606" s="56"/>
      <c r="K3606" s="82" t="str">
        <f t="shared" si="1104"/>
        <v>Invoice</v>
      </c>
      <c r="L3606" s="83" t="str">
        <f>"SI_111953"</f>
        <v>SI_111953</v>
      </c>
      <c r="M3606" s="84">
        <v>42548</v>
      </c>
      <c r="N3606" s="85">
        <f t="shared" si="1105"/>
        <v>1264</v>
      </c>
      <c r="O3606" s="86">
        <f t="shared" si="1106"/>
        <v>9694.2099999999991</v>
      </c>
      <c r="P3606" s="86">
        <f t="shared" si="1107"/>
        <v>0</v>
      </c>
      <c r="Q3606" s="86">
        <f t="shared" si="1108"/>
        <v>0</v>
      </c>
      <c r="R3606" s="86">
        <f t="shared" si="1109"/>
        <v>0</v>
      </c>
      <c r="S3606" s="86">
        <f t="shared" si="1110"/>
        <v>0</v>
      </c>
      <c r="T3606" s="86">
        <f t="shared" si="1111"/>
        <v>9694.2099999999991</v>
      </c>
      <c r="U3606" s="87">
        <v>9694.2099999999991</v>
      </c>
    </row>
    <row r="3607" spans="1:21" s="30" customFormat="1" ht="24.6" hidden="1" outlineLevel="1" x14ac:dyDescent="0.55000000000000004">
      <c r="A3607" s="27" t="s">
        <v>327</v>
      </c>
      <c r="B3607" s="28"/>
      <c r="C3607" s="27"/>
      <c r="D3607" s="27" t="str">
        <f>"""NAV Direct"",""CRONUS JetCorp USA"",""21"",""1"",""385538"""</f>
        <v>"NAV Direct","CRONUS JetCorp USA","21","1","385538"</v>
      </c>
      <c r="E3607" s="31" t="str">
        <f t="shared" si="1103"/>
        <v>C100103</v>
      </c>
      <c r="F3607" s="31"/>
      <c r="G3607" s="31"/>
      <c r="H3607" s="31"/>
      <c r="I3607" s="56"/>
      <c r="J3607" s="56"/>
      <c r="K3607" s="82" t="str">
        <f t="shared" si="1104"/>
        <v>Invoice</v>
      </c>
      <c r="L3607" s="83" t="str">
        <f>"SI_111954"</f>
        <v>SI_111954</v>
      </c>
      <c r="M3607" s="84">
        <v>42546</v>
      </c>
      <c r="N3607" s="85">
        <f t="shared" si="1105"/>
        <v>1266</v>
      </c>
      <c r="O3607" s="86">
        <f t="shared" si="1106"/>
        <v>9593.39</v>
      </c>
      <c r="P3607" s="86">
        <f t="shared" si="1107"/>
        <v>0</v>
      </c>
      <c r="Q3607" s="86">
        <f t="shared" si="1108"/>
        <v>0</v>
      </c>
      <c r="R3607" s="86">
        <f t="shared" si="1109"/>
        <v>0</v>
      </c>
      <c r="S3607" s="86">
        <f t="shared" si="1110"/>
        <v>0</v>
      </c>
      <c r="T3607" s="86">
        <f t="shared" si="1111"/>
        <v>9593.39</v>
      </c>
      <c r="U3607" s="87">
        <v>9593.39</v>
      </c>
    </row>
    <row r="3608" spans="1:21" s="30" customFormat="1" ht="24.6" hidden="1" outlineLevel="1" x14ac:dyDescent="0.55000000000000004">
      <c r="A3608" s="27" t="s">
        <v>327</v>
      </c>
      <c r="B3608" s="28"/>
      <c r="C3608" s="27"/>
      <c r="D3608" s="27" t="str">
        <f>"""NAV Direct"",""CRONUS JetCorp USA"",""21"",""1"",""385877"""</f>
        <v>"NAV Direct","CRONUS JetCorp USA","21","1","385877"</v>
      </c>
      <c r="E3608" s="31">
        <f t="shared" si="1103"/>
        <v>0</v>
      </c>
      <c r="F3608" s="31"/>
      <c r="G3608" s="31"/>
      <c r="H3608" s="31"/>
      <c r="I3608" s="56"/>
      <c r="J3608" s="56"/>
      <c r="K3608" s="82" t="str">
        <f t="shared" si="1104"/>
        <v>Invoice</v>
      </c>
      <c r="L3608" s="83" t="str">
        <f>"SI_111961"</f>
        <v>SI_111961</v>
      </c>
      <c r="M3608" s="84">
        <v>42578</v>
      </c>
      <c r="N3608" s="85">
        <f t="shared" si="1105"/>
        <v>1234</v>
      </c>
      <c r="O3608" s="86">
        <f t="shared" si="1106"/>
        <v>9597.5700000000015</v>
      </c>
      <c r="P3608" s="86">
        <f t="shared" si="1107"/>
        <v>0</v>
      </c>
      <c r="Q3608" s="86">
        <f t="shared" si="1108"/>
        <v>0</v>
      </c>
      <c r="R3608" s="86">
        <f t="shared" si="1109"/>
        <v>0</v>
      </c>
      <c r="S3608" s="86">
        <f t="shared" si="1110"/>
        <v>0</v>
      </c>
      <c r="T3608" s="86">
        <f t="shared" si="1111"/>
        <v>9597.5700000000015</v>
      </c>
      <c r="U3608" s="87">
        <v>9597.5700000000015</v>
      </c>
    </row>
    <row r="3609" spans="1:21" s="30" customFormat="1" ht="24.6" hidden="1" outlineLevel="1" x14ac:dyDescent="0.55000000000000004">
      <c r="A3609" s="27" t="s">
        <v>327</v>
      </c>
      <c r="B3609" s="28"/>
      <c r="C3609" s="27"/>
      <c r="D3609" s="27" t="str">
        <f>"""NAV Direct"",""CRONUS JetCorp USA"",""21"",""1"",""386261"""</f>
        <v>"NAV Direct","CRONUS JetCorp USA","21","1","386261"</v>
      </c>
      <c r="E3609" s="31" t="str">
        <f t="shared" si="1103"/>
        <v>C100103</v>
      </c>
      <c r="F3609" s="31"/>
      <c r="G3609" s="31"/>
      <c r="H3609" s="31"/>
      <c r="I3609" s="56"/>
      <c r="J3609" s="56"/>
      <c r="K3609" s="82" t="str">
        <f t="shared" si="1104"/>
        <v>Invoice</v>
      </c>
      <c r="L3609" s="83" t="str">
        <f>"SI_111969"</f>
        <v>SI_111969</v>
      </c>
      <c r="M3609" s="84">
        <v>42632</v>
      </c>
      <c r="N3609" s="85">
        <f t="shared" si="1105"/>
        <v>1180</v>
      </c>
      <c r="O3609" s="86">
        <f t="shared" si="1106"/>
        <v>9754.7199999999993</v>
      </c>
      <c r="P3609" s="86">
        <f t="shared" si="1107"/>
        <v>0</v>
      </c>
      <c r="Q3609" s="86">
        <f t="shared" si="1108"/>
        <v>0</v>
      </c>
      <c r="R3609" s="86">
        <f t="shared" si="1109"/>
        <v>0</v>
      </c>
      <c r="S3609" s="86">
        <f t="shared" si="1110"/>
        <v>0</v>
      </c>
      <c r="T3609" s="86">
        <f t="shared" si="1111"/>
        <v>9754.7199999999993</v>
      </c>
      <c r="U3609" s="87">
        <v>9754.7199999999993</v>
      </c>
    </row>
    <row r="3610" spans="1:21" s="30" customFormat="1" ht="24.6" hidden="1" outlineLevel="1" x14ac:dyDescent="0.55000000000000004">
      <c r="A3610" s="27" t="s">
        <v>327</v>
      </c>
      <c r="B3610" s="28"/>
      <c r="C3610" s="27"/>
      <c r="D3610" s="27" t="str">
        <f>"""NAV Direct"",""CRONUS JetCorp USA"",""21"",""1"",""387273"""</f>
        <v>"NAV Direct","CRONUS JetCorp USA","21","1","387273"</v>
      </c>
      <c r="E3610" s="31">
        <f t="shared" si="1103"/>
        <v>0</v>
      </c>
      <c r="F3610" s="31"/>
      <c r="G3610" s="31"/>
      <c r="H3610" s="31"/>
      <c r="I3610" s="56"/>
      <c r="J3610" s="56"/>
      <c r="K3610" s="82" t="str">
        <f t="shared" si="1104"/>
        <v>Invoice</v>
      </c>
      <c r="L3610" s="83" t="str">
        <f>"SI_111989"</f>
        <v>SI_111989</v>
      </c>
      <c r="M3610" s="84">
        <v>42726</v>
      </c>
      <c r="N3610" s="85">
        <f t="shared" si="1105"/>
        <v>1086</v>
      </c>
      <c r="O3610" s="86">
        <f t="shared" si="1106"/>
        <v>10123.02</v>
      </c>
      <c r="P3610" s="86">
        <f t="shared" si="1107"/>
        <v>0</v>
      </c>
      <c r="Q3610" s="86">
        <f t="shared" si="1108"/>
        <v>0</v>
      </c>
      <c r="R3610" s="86">
        <f t="shared" si="1109"/>
        <v>0</v>
      </c>
      <c r="S3610" s="86">
        <f t="shared" si="1110"/>
        <v>0</v>
      </c>
      <c r="T3610" s="86">
        <f t="shared" si="1111"/>
        <v>10123.02</v>
      </c>
      <c r="U3610" s="87">
        <v>10123.02</v>
      </c>
    </row>
    <row r="3611" spans="1:21" s="30" customFormat="1" ht="24.6" hidden="1" outlineLevel="1" x14ac:dyDescent="0.55000000000000004">
      <c r="A3611" s="27" t="s">
        <v>327</v>
      </c>
      <c r="B3611" s="28"/>
      <c r="C3611" s="27"/>
      <c r="D3611" s="27" t="str">
        <f>"""NAV Direct"",""CRONUS JetCorp USA"",""21"",""1"",""388167"""</f>
        <v>"NAV Direct","CRONUS JetCorp USA","21","1","388167"</v>
      </c>
      <c r="E3611" s="31" t="str">
        <f t="shared" si="1103"/>
        <v>C100103</v>
      </c>
      <c r="F3611" s="31"/>
      <c r="G3611" s="31"/>
      <c r="H3611" s="31"/>
      <c r="I3611" s="56"/>
      <c r="J3611" s="56"/>
      <c r="K3611" s="82" t="str">
        <f t="shared" si="1104"/>
        <v>Invoice</v>
      </c>
      <c r="L3611" s="83" t="str">
        <f>"SI_112007"</f>
        <v>SI_112007</v>
      </c>
      <c r="M3611" s="84">
        <v>42827</v>
      </c>
      <c r="N3611" s="85">
        <f t="shared" si="1105"/>
        <v>985</v>
      </c>
      <c r="O3611" s="86">
        <f t="shared" si="1106"/>
        <v>14707.640000000001</v>
      </c>
      <c r="P3611" s="86">
        <f t="shared" si="1107"/>
        <v>0</v>
      </c>
      <c r="Q3611" s="86">
        <f t="shared" si="1108"/>
        <v>0</v>
      </c>
      <c r="R3611" s="86">
        <f t="shared" si="1109"/>
        <v>0</v>
      </c>
      <c r="S3611" s="86">
        <f t="shared" si="1110"/>
        <v>0</v>
      </c>
      <c r="T3611" s="86">
        <f t="shared" si="1111"/>
        <v>14707.640000000001</v>
      </c>
      <c r="U3611" s="87">
        <v>14707.640000000001</v>
      </c>
    </row>
    <row r="3612" spans="1:21" s="30" customFormat="1" ht="24.6" hidden="1" outlineLevel="1" x14ac:dyDescent="0.55000000000000004">
      <c r="A3612" s="27" t="s">
        <v>327</v>
      </c>
      <c r="B3612" s="28"/>
      <c r="C3612" s="27"/>
      <c r="D3612" s="27" t="str">
        <f>"""NAV Direct"",""CRONUS JetCorp USA"",""21"",""1"",""388301"""</f>
        <v>"NAV Direct","CRONUS JetCorp USA","21","1","388301"</v>
      </c>
      <c r="E3612" s="31">
        <f t="shared" si="1103"/>
        <v>0</v>
      </c>
      <c r="F3612" s="31"/>
      <c r="G3612" s="31"/>
      <c r="H3612" s="31"/>
      <c r="I3612" s="56"/>
      <c r="J3612" s="56"/>
      <c r="K3612" s="82" t="str">
        <f t="shared" si="1104"/>
        <v>Invoice</v>
      </c>
      <c r="L3612" s="83" t="str">
        <f>"SI_112009"</f>
        <v>SI_112009</v>
      </c>
      <c r="M3612" s="84">
        <v>42831</v>
      </c>
      <c r="N3612" s="85">
        <f t="shared" si="1105"/>
        <v>981</v>
      </c>
      <c r="O3612" s="86">
        <f t="shared" si="1106"/>
        <v>14257.490000000002</v>
      </c>
      <c r="P3612" s="86">
        <f t="shared" si="1107"/>
        <v>0</v>
      </c>
      <c r="Q3612" s="86">
        <f t="shared" si="1108"/>
        <v>0</v>
      </c>
      <c r="R3612" s="86">
        <f t="shared" si="1109"/>
        <v>0</v>
      </c>
      <c r="S3612" s="86">
        <f t="shared" si="1110"/>
        <v>0</v>
      </c>
      <c r="T3612" s="86">
        <f t="shared" si="1111"/>
        <v>14257.490000000002</v>
      </c>
      <c r="U3612" s="87">
        <v>14257.490000000002</v>
      </c>
    </row>
    <row r="3613" spans="1:21" s="30" customFormat="1" ht="24.6" hidden="1" outlineLevel="1" x14ac:dyDescent="0.55000000000000004">
      <c r="A3613" s="27" t="s">
        <v>327</v>
      </c>
      <c r="B3613" s="28"/>
      <c r="C3613" s="27"/>
      <c r="D3613" s="27" t="str">
        <f>"""NAV Direct"",""CRONUS JetCorp USA"",""21"",""1"",""388368"""</f>
        <v>"NAV Direct","CRONUS JetCorp USA","21","1","388368"</v>
      </c>
      <c r="E3613" s="31" t="str">
        <f t="shared" si="1103"/>
        <v>C100103</v>
      </c>
      <c r="F3613" s="31"/>
      <c r="G3613" s="31"/>
      <c r="H3613" s="31"/>
      <c r="I3613" s="56"/>
      <c r="J3613" s="56"/>
      <c r="K3613" s="82" t="str">
        <f t="shared" si="1104"/>
        <v>Invoice</v>
      </c>
      <c r="L3613" s="83" t="str">
        <f>"SI_112010"</f>
        <v>SI_112010</v>
      </c>
      <c r="M3613" s="84">
        <v>42833</v>
      </c>
      <c r="N3613" s="85">
        <f t="shared" si="1105"/>
        <v>979</v>
      </c>
      <c r="O3613" s="86">
        <f t="shared" si="1106"/>
        <v>14257.57</v>
      </c>
      <c r="P3613" s="86">
        <f t="shared" si="1107"/>
        <v>0</v>
      </c>
      <c r="Q3613" s="86">
        <f t="shared" si="1108"/>
        <v>0</v>
      </c>
      <c r="R3613" s="86">
        <f t="shared" si="1109"/>
        <v>0</v>
      </c>
      <c r="S3613" s="86">
        <f t="shared" si="1110"/>
        <v>0</v>
      </c>
      <c r="T3613" s="86">
        <f t="shared" si="1111"/>
        <v>14257.57</v>
      </c>
      <c r="U3613" s="87">
        <v>14257.57</v>
      </c>
    </row>
    <row r="3614" spans="1:21" s="30" customFormat="1" ht="24.6" hidden="1" outlineLevel="1" x14ac:dyDescent="0.55000000000000004">
      <c r="A3614" s="27" t="s">
        <v>327</v>
      </c>
      <c r="B3614" s="28"/>
      <c r="C3614" s="27"/>
      <c r="D3614" s="27" t="str">
        <f>"""NAV Direct"",""CRONUS JetCorp USA"",""21"",""1"",""389724"""</f>
        <v>"NAV Direct","CRONUS JetCorp USA","21","1","389724"</v>
      </c>
      <c r="E3614" s="31">
        <f t="shared" si="1103"/>
        <v>0</v>
      </c>
      <c r="F3614" s="31"/>
      <c r="G3614" s="31"/>
      <c r="H3614" s="31"/>
      <c r="I3614" s="56"/>
      <c r="J3614" s="56"/>
      <c r="K3614" s="82" t="str">
        <f t="shared" si="1104"/>
        <v>Invoice</v>
      </c>
      <c r="L3614" s="83" t="str">
        <f>"SI_112036"</f>
        <v>SI_112036</v>
      </c>
      <c r="M3614" s="84">
        <v>42983</v>
      </c>
      <c r="N3614" s="85">
        <f t="shared" si="1105"/>
        <v>829</v>
      </c>
      <c r="O3614" s="86">
        <f t="shared" si="1106"/>
        <v>8812.73</v>
      </c>
      <c r="P3614" s="86">
        <f t="shared" si="1107"/>
        <v>0</v>
      </c>
      <c r="Q3614" s="86">
        <f t="shared" si="1108"/>
        <v>0</v>
      </c>
      <c r="R3614" s="86">
        <f t="shared" si="1109"/>
        <v>0</v>
      </c>
      <c r="S3614" s="86">
        <f t="shared" si="1110"/>
        <v>0</v>
      </c>
      <c r="T3614" s="86">
        <f t="shared" si="1111"/>
        <v>8812.73</v>
      </c>
      <c r="U3614" s="87">
        <v>8812.73</v>
      </c>
    </row>
    <row r="3615" spans="1:21" s="30" customFormat="1" ht="24.6" hidden="1" outlineLevel="1" x14ac:dyDescent="0.55000000000000004">
      <c r="A3615" s="27" t="s">
        <v>327</v>
      </c>
      <c r="B3615" s="28"/>
      <c r="C3615" s="27"/>
      <c r="D3615" s="27" t="str">
        <f>"""NAV Direct"",""CRONUS JetCorp USA"",""21"",""1"",""389785"""</f>
        <v>"NAV Direct","CRONUS JetCorp USA","21","1","389785"</v>
      </c>
      <c r="E3615" s="31" t="str">
        <f t="shared" si="1103"/>
        <v>C100103</v>
      </c>
      <c r="F3615" s="31"/>
      <c r="G3615" s="31"/>
      <c r="H3615" s="31"/>
      <c r="I3615" s="56"/>
      <c r="J3615" s="56"/>
      <c r="K3615" s="82" t="str">
        <f t="shared" si="1104"/>
        <v>Invoice</v>
      </c>
      <c r="L3615" s="83" t="str">
        <f>"SI_112037"</f>
        <v>SI_112037</v>
      </c>
      <c r="M3615" s="84">
        <v>42981</v>
      </c>
      <c r="N3615" s="85">
        <f t="shared" si="1105"/>
        <v>831</v>
      </c>
      <c r="O3615" s="86">
        <f t="shared" si="1106"/>
        <v>8996.43</v>
      </c>
      <c r="P3615" s="86">
        <f t="shared" si="1107"/>
        <v>0</v>
      </c>
      <c r="Q3615" s="86">
        <f t="shared" si="1108"/>
        <v>0</v>
      </c>
      <c r="R3615" s="86">
        <f t="shared" si="1109"/>
        <v>0</v>
      </c>
      <c r="S3615" s="86">
        <f t="shared" si="1110"/>
        <v>0</v>
      </c>
      <c r="T3615" s="86">
        <f t="shared" si="1111"/>
        <v>8996.43</v>
      </c>
      <c r="U3615" s="87">
        <v>8996.43</v>
      </c>
    </row>
    <row r="3616" spans="1:21" s="30" customFormat="1" ht="24.6" hidden="1" outlineLevel="1" x14ac:dyDescent="0.55000000000000004">
      <c r="A3616" s="27" t="s">
        <v>327</v>
      </c>
      <c r="B3616" s="28"/>
      <c r="C3616" s="27"/>
      <c r="D3616" s="27" t="str">
        <f>"""NAV Direct"",""CRONUS JetCorp USA"",""21"",""1"",""390404"""</f>
        <v>"NAV Direct","CRONUS JetCorp USA","21","1","390404"</v>
      </c>
      <c r="E3616" s="31">
        <f t="shared" si="1103"/>
        <v>0</v>
      </c>
      <c r="F3616" s="31"/>
      <c r="G3616" s="31"/>
      <c r="H3616" s="31"/>
      <c r="I3616" s="56"/>
      <c r="J3616" s="56"/>
      <c r="K3616" s="82" t="str">
        <f t="shared" si="1104"/>
        <v>Invoice</v>
      </c>
      <c r="L3616" s="83" t="str">
        <f>"SI_112051"</f>
        <v>SI_112051</v>
      </c>
      <c r="M3616" s="84">
        <v>43104</v>
      </c>
      <c r="N3616" s="85">
        <f t="shared" si="1105"/>
        <v>708</v>
      </c>
      <c r="O3616" s="86">
        <f t="shared" si="1106"/>
        <v>8254.48</v>
      </c>
      <c r="P3616" s="86">
        <f t="shared" si="1107"/>
        <v>0</v>
      </c>
      <c r="Q3616" s="86">
        <f t="shared" si="1108"/>
        <v>0</v>
      </c>
      <c r="R3616" s="86">
        <f t="shared" si="1109"/>
        <v>0</v>
      </c>
      <c r="S3616" s="86">
        <f t="shared" si="1110"/>
        <v>0</v>
      </c>
      <c r="T3616" s="86">
        <f t="shared" si="1111"/>
        <v>8254.48</v>
      </c>
      <c r="U3616" s="87">
        <v>8254.48</v>
      </c>
    </row>
    <row r="3617" spans="1:21" s="30" customFormat="1" ht="24.6" hidden="1" outlineLevel="1" x14ac:dyDescent="0.55000000000000004">
      <c r="A3617" s="27" t="s">
        <v>327</v>
      </c>
      <c r="B3617" s="28"/>
      <c r="C3617" s="27"/>
      <c r="D3617" s="27" t="str">
        <f>"""NAV Direct"",""CRONUS JetCorp USA"",""21"",""1"",""390857"""</f>
        <v>"NAV Direct","CRONUS JetCorp USA","21","1","390857"</v>
      </c>
      <c r="E3617" s="31" t="str">
        <f t="shared" si="1103"/>
        <v>C100103</v>
      </c>
      <c r="F3617" s="31"/>
      <c r="G3617" s="31"/>
      <c r="H3617" s="31"/>
      <c r="I3617" s="56"/>
      <c r="J3617" s="56"/>
      <c r="K3617" s="82" t="str">
        <f t="shared" si="1104"/>
        <v>Invoice</v>
      </c>
      <c r="L3617" s="83" t="str">
        <f>"SI_112062"</f>
        <v>SI_112062</v>
      </c>
      <c r="M3617" s="84">
        <v>43198</v>
      </c>
      <c r="N3617" s="85">
        <f t="shared" si="1105"/>
        <v>614</v>
      </c>
      <c r="O3617" s="86">
        <f t="shared" si="1106"/>
        <v>8291.0400000000009</v>
      </c>
      <c r="P3617" s="86">
        <f t="shared" si="1107"/>
        <v>0</v>
      </c>
      <c r="Q3617" s="86">
        <f t="shared" si="1108"/>
        <v>0</v>
      </c>
      <c r="R3617" s="86">
        <f t="shared" si="1109"/>
        <v>0</v>
      </c>
      <c r="S3617" s="86">
        <f t="shared" si="1110"/>
        <v>0</v>
      </c>
      <c r="T3617" s="86">
        <f t="shared" si="1111"/>
        <v>8291.0400000000009</v>
      </c>
      <c r="U3617" s="87">
        <v>8291.0400000000009</v>
      </c>
    </row>
    <row r="3618" spans="1:21" s="30" customFormat="1" ht="24.6" hidden="1" outlineLevel="1" x14ac:dyDescent="0.55000000000000004">
      <c r="A3618" s="27" t="s">
        <v>327</v>
      </c>
      <c r="B3618" s="28"/>
      <c r="C3618" s="27"/>
      <c r="D3618" s="27" t="str">
        <f>"""NAV Direct"",""CRONUS JetCorp USA"",""21"",""1"",""391170"""</f>
        <v>"NAV Direct","CRONUS JetCorp USA","21","1","391170"</v>
      </c>
      <c r="E3618" s="31">
        <f t="shared" si="1103"/>
        <v>0</v>
      </c>
      <c r="F3618" s="31"/>
      <c r="G3618" s="31"/>
      <c r="H3618" s="31"/>
      <c r="I3618" s="56"/>
      <c r="J3618" s="56"/>
      <c r="K3618" s="82" t="str">
        <f t="shared" si="1104"/>
        <v>Invoice</v>
      </c>
      <c r="L3618" s="83" t="str">
        <f>"SI_112069"</f>
        <v>SI_112069</v>
      </c>
      <c r="M3618" s="84">
        <v>43289</v>
      </c>
      <c r="N3618" s="85">
        <f t="shared" si="1105"/>
        <v>523</v>
      </c>
      <c r="O3618" s="86">
        <f t="shared" si="1106"/>
        <v>8368.86</v>
      </c>
      <c r="P3618" s="86">
        <f t="shared" si="1107"/>
        <v>0</v>
      </c>
      <c r="Q3618" s="86">
        <f t="shared" si="1108"/>
        <v>0</v>
      </c>
      <c r="R3618" s="86">
        <f t="shared" si="1109"/>
        <v>0</v>
      </c>
      <c r="S3618" s="86">
        <f t="shared" si="1110"/>
        <v>0</v>
      </c>
      <c r="T3618" s="86">
        <f t="shared" si="1111"/>
        <v>8368.86</v>
      </c>
      <c r="U3618" s="87">
        <v>8368.86</v>
      </c>
    </row>
    <row r="3619" spans="1:21" s="30" customFormat="1" ht="24.6" hidden="1" outlineLevel="1" x14ac:dyDescent="0.55000000000000004">
      <c r="A3619" s="27" t="s">
        <v>327</v>
      </c>
      <c r="B3619" s="28"/>
      <c r="C3619" s="27"/>
      <c r="D3619" s="27" t="str">
        <f>"""NAV Direct"",""CRONUS JetCorp USA"",""21"",""1"",""391686"""</f>
        <v>"NAV Direct","CRONUS JetCorp USA","21","1","391686"</v>
      </c>
      <c r="E3619" s="31" t="str">
        <f t="shared" si="1103"/>
        <v>C100103</v>
      </c>
      <c r="F3619" s="31"/>
      <c r="G3619" s="31"/>
      <c r="H3619" s="31"/>
      <c r="I3619" s="56"/>
      <c r="J3619" s="56"/>
      <c r="K3619" s="82" t="str">
        <f t="shared" si="1104"/>
        <v>Invoice</v>
      </c>
      <c r="L3619" s="83" t="str">
        <f>"SI_112079"</f>
        <v>SI_112079</v>
      </c>
      <c r="M3619" s="84">
        <v>43359</v>
      </c>
      <c r="N3619" s="85">
        <f t="shared" si="1105"/>
        <v>453</v>
      </c>
      <c r="O3619" s="86">
        <f t="shared" si="1106"/>
        <v>11765.36</v>
      </c>
      <c r="P3619" s="86">
        <f t="shared" si="1107"/>
        <v>0</v>
      </c>
      <c r="Q3619" s="86">
        <f t="shared" si="1108"/>
        <v>0</v>
      </c>
      <c r="R3619" s="86">
        <f t="shared" si="1109"/>
        <v>0</v>
      </c>
      <c r="S3619" s="86">
        <f t="shared" si="1110"/>
        <v>0</v>
      </c>
      <c r="T3619" s="86">
        <f t="shared" si="1111"/>
        <v>11765.36</v>
      </c>
      <c r="U3619" s="87">
        <v>11765.36</v>
      </c>
    </row>
    <row r="3620" spans="1:21" s="30" customFormat="1" ht="24.6" hidden="1" outlineLevel="1" x14ac:dyDescent="0.55000000000000004">
      <c r="A3620" s="27" t="s">
        <v>327</v>
      </c>
      <c r="B3620" s="28"/>
      <c r="C3620" s="27"/>
      <c r="D3620" s="27" t="str">
        <f>"""NAV Direct"",""CRONUS JetCorp USA"",""21"",""1"",""391959"""</f>
        <v>"NAV Direct","CRONUS JetCorp USA","21","1","391959"</v>
      </c>
      <c r="E3620" s="31">
        <f t="shared" si="1103"/>
        <v>0</v>
      </c>
      <c r="F3620" s="31"/>
      <c r="G3620" s="31"/>
      <c r="H3620" s="31"/>
      <c r="I3620" s="56"/>
      <c r="J3620" s="56"/>
      <c r="K3620" s="82" t="str">
        <f t="shared" si="1104"/>
        <v>Invoice</v>
      </c>
      <c r="L3620" s="83" t="str">
        <f>"SI_112084"</f>
        <v>SI_112084</v>
      </c>
      <c r="M3620" s="84">
        <v>43370</v>
      </c>
      <c r="N3620" s="85">
        <f t="shared" si="1105"/>
        <v>442</v>
      </c>
      <c r="O3620" s="86">
        <f t="shared" si="1106"/>
        <v>11405.13</v>
      </c>
      <c r="P3620" s="86">
        <f t="shared" si="1107"/>
        <v>0</v>
      </c>
      <c r="Q3620" s="86">
        <f t="shared" si="1108"/>
        <v>0</v>
      </c>
      <c r="R3620" s="86">
        <f t="shared" si="1109"/>
        <v>0</v>
      </c>
      <c r="S3620" s="86">
        <f t="shared" si="1110"/>
        <v>0</v>
      </c>
      <c r="T3620" s="86">
        <f t="shared" si="1111"/>
        <v>11405.13</v>
      </c>
      <c r="U3620" s="87">
        <v>11405.13</v>
      </c>
    </row>
    <row r="3621" spans="1:21" s="30" customFormat="1" ht="24.6" hidden="1" outlineLevel="1" x14ac:dyDescent="0.55000000000000004">
      <c r="A3621" s="27" t="s">
        <v>327</v>
      </c>
      <c r="B3621" s="28"/>
      <c r="C3621" s="27"/>
      <c r="D3621" s="27" t="str">
        <f>"""NAV Direct"",""CRONUS JetCorp USA"",""21"",""1"",""393357"""</f>
        <v>"NAV Direct","CRONUS JetCorp USA","21","1","393357"</v>
      </c>
      <c r="E3621" s="31" t="str">
        <f t="shared" si="1103"/>
        <v>C100103</v>
      </c>
      <c r="F3621" s="31"/>
      <c r="G3621" s="31"/>
      <c r="H3621" s="31"/>
      <c r="I3621" s="56"/>
      <c r="J3621" s="56"/>
      <c r="K3621" s="82" t="str">
        <f t="shared" si="1104"/>
        <v>Invoice</v>
      </c>
      <c r="L3621" s="83" t="str">
        <f>"SI_112110"</f>
        <v>SI_112110</v>
      </c>
      <c r="M3621" s="84">
        <v>43552</v>
      </c>
      <c r="N3621" s="85">
        <f t="shared" si="1105"/>
        <v>260</v>
      </c>
      <c r="O3621" s="86">
        <f t="shared" si="1106"/>
        <v>13317.659999999998</v>
      </c>
      <c r="P3621" s="86">
        <f t="shared" si="1107"/>
        <v>0</v>
      </c>
      <c r="Q3621" s="86">
        <f t="shared" si="1108"/>
        <v>0</v>
      </c>
      <c r="R3621" s="86">
        <f t="shared" si="1109"/>
        <v>0</v>
      </c>
      <c r="S3621" s="86">
        <f t="shared" si="1110"/>
        <v>0</v>
      </c>
      <c r="T3621" s="86">
        <f t="shared" si="1111"/>
        <v>13317.659999999998</v>
      </c>
      <c r="U3621" s="87">
        <v>13317.659999999998</v>
      </c>
    </row>
    <row r="3622" spans="1:21" s="30" customFormat="1" ht="24.6" hidden="1" outlineLevel="1" x14ac:dyDescent="0.55000000000000004">
      <c r="A3622" s="27" t="s">
        <v>327</v>
      </c>
      <c r="B3622" s="28"/>
      <c r="C3622" s="27"/>
      <c r="D3622" s="27" t="str">
        <f>"""NAV Direct"",""CRONUS JetCorp USA"",""21"",""1"",""393420"""</f>
        <v>"NAV Direct","CRONUS JetCorp USA","21","1","393420"</v>
      </c>
      <c r="E3622" s="31">
        <f t="shared" si="1103"/>
        <v>0</v>
      </c>
      <c r="F3622" s="31"/>
      <c r="G3622" s="31"/>
      <c r="H3622" s="31"/>
      <c r="I3622" s="56"/>
      <c r="J3622" s="56"/>
      <c r="K3622" s="82" t="str">
        <f t="shared" si="1104"/>
        <v>Invoice</v>
      </c>
      <c r="L3622" s="83" t="str">
        <f>"SI_112111"</f>
        <v>SI_112111</v>
      </c>
      <c r="M3622" s="84">
        <v>43555</v>
      </c>
      <c r="N3622" s="85">
        <f t="shared" si="1105"/>
        <v>257</v>
      </c>
      <c r="O3622" s="86">
        <f t="shared" si="1106"/>
        <v>13177.470000000001</v>
      </c>
      <c r="P3622" s="86">
        <f t="shared" si="1107"/>
        <v>0</v>
      </c>
      <c r="Q3622" s="86">
        <f t="shared" si="1108"/>
        <v>0</v>
      </c>
      <c r="R3622" s="86">
        <f t="shared" si="1109"/>
        <v>0</v>
      </c>
      <c r="S3622" s="86">
        <f t="shared" si="1110"/>
        <v>0</v>
      </c>
      <c r="T3622" s="86">
        <f t="shared" si="1111"/>
        <v>13177.470000000001</v>
      </c>
      <c r="U3622" s="87">
        <v>13177.470000000001</v>
      </c>
    </row>
    <row r="3623" spans="1:21" s="30" customFormat="1" ht="24.6" hidden="1" outlineLevel="1" x14ac:dyDescent="0.55000000000000004">
      <c r="A3623" s="27" t="s">
        <v>327</v>
      </c>
      <c r="B3623" s="28"/>
      <c r="C3623" s="27"/>
      <c r="D3623" s="27" t="str">
        <f>"""NAV Direct"",""CRONUS JetCorp USA"",""21"",""1"",""395103"""</f>
        <v>"NAV Direct","CRONUS JetCorp USA","21","1","395103"</v>
      </c>
      <c r="E3623" s="31" t="str">
        <f t="shared" si="1103"/>
        <v>C100103</v>
      </c>
      <c r="F3623" s="31"/>
      <c r="G3623" s="31"/>
      <c r="H3623" s="31"/>
      <c r="I3623" s="56"/>
      <c r="J3623" s="56"/>
      <c r="K3623" s="82" t="str">
        <f t="shared" si="1104"/>
        <v>Invoice</v>
      </c>
      <c r="L3623" s="83" t="str">
        <f>"SI_112142"</f>
        <v>SI_112142</v>
      </c>
      <c r="M3623" s="84">
        <v>43709</v>
      </c>
      <c r="N3623" s="85">
        <f t="shared" si="1105"/>
        <v>103</v>
      </c>
      <c r="O3623" s="86">
        <f t="shared" si="1106"/>
        <v>10530.21</v>
      </c>
      <c r="P3623" s="86">
        <f t="shared" si="1107"/>
        <v>0</v>
      </c>
      <c r="Q3623" s="86">
        <f t="shared" si="1108"/>
        <v>0</v>
      </c>
      <c r="R3623" s="86">
        <f t="shared" si="1109"/>
        <v>0</v>
      </c>
      <c r="S3623" s="86">
        <f t="shared" si="1110"/>
        <v>0</v>
      </c>
      <c r="T3623" s="86">
        <f t="shared" si="1111"/>
        <v>10530.21</v>
      </c>
      <c r="U3623" s="87">
        <v>10530.21</v>
      </c>
    </row>
    <row r="3624" spans="1:21" s="30" customFormat="1" ht="24.6" hidden="1" outlineLevel="1" x14ac:dyDescent="0.55000000000000004">
      <c r="A3624" s="27" t="s">
        <v>327</v>
      </c>
      <c r="B3624" s="28"/>
      <c r="C3624" s="27"/>
      <c r="D3624" s="27" t="str">
        <f>"""NAV Direct"",""CRONUS JetCorp USA"",""21"",""1"",""395488"""</f>
        <v>"NAV Direct","CRONUS JetCorp USA","21","1","395488"</v>
      </c>
      <c r="E3624" s="31">
        <f t="shared" si="1103"/>
        <v>0</v>
      </c>
      <c r="F3624" s="31"/>
      <c r="G3624" s="31"/>
      <c r="H3624" s="31"/>
      <c r="I3624" s="56"/>
      <c r="J3624" s="56"/>
      <c r="K3624" s="82" t="str">
        <f t="shared" si="1104"/>
        <v>Invoice</v>
      </c>
      <c r="L3624" s="83" t="str">
        <f>"SI_112149"</f>
        <v>SI_112149</v>
      </c>
      <c r="M3624" s="84">
        <v>43744</v>
      </c>
      <c r="N3624" s="85">
        <f t="shared" si="1105"/>
        <v>68</v>
      </c>
      <c r="O3624" s="86">
        <f t="shared" si="1106"/>
        <v>12226.52</v>
      </c>
      <c r="P3624" s="86">
        <f t="shared" si="1107"/>
        <v>0</v>
      </c>
      <c r="Q3624" s="86">
        <f t="shared" si="1108"/>
        <v>0</v>
      </c>
      <c r="R3624" s="86">
        <f t="shared" si="1109"/>
        <v>0</v>
      </c>
      <c r="S3624" s="86">
        <f t="shared" si="1110"/>
        <v>12226.52</v>
      </c>
      <c r="T3624" s="86">
        <f t="shared" si="1111"/>
        <v>0</v>
      </c>
      <c r="U3624" s="87">
        <v>12226.52</v>
      </c>
    </row>
    <row r="3625" spans="1:21" s="30" customFormat="1" ht="24.6" hidden="1" outlineLevel="1" x14ac:dyDescent="0.55000000000000004">
      <c r="A3625" s="27" t="s">
        <v>327</v>
      </c>
      <c r="B3625" s="28"/>
      <c r="C3625" s="27"/>
      <c r="D3625" s="27" t="str">
        <f>"""NAV Direct"",""CRONUS JetCorp USA"",""21"",""1"",""396923"""</f>
        <v>"NAV Direct","CRONUS JetCorp USA","21","1","396923"</v>
      </c>
      <c r="E3625" s="31" t="str">
        <f t="shared" si="1103"/>
        <v>C100103</v>
      </c>
      <c r="F3625" s="31"/>
      <c r="G3625" s="31"/>
      <c r="H3625" s="31"/>
      <c r="I3625" s="56"/>
      <c r="J3625" s="56"/>
      <c r="K3625" s="82" t="str">
        <f t="shared" si="1104"/>
        <v>Invoice</v>
      </c>
      <c r="L3625" s="83" t="str">
        <f>"SI_112176"</f>
        <v>SI_112176</v>
      </c>
      <c r="M3625" s="84">
        <v>42035</v>
      </c>
      <c r="N3625" s="85">
        <f t="shared" si="1105"/>
        <v>1777</v>
      </c>
      <c r="O3625" s="86">
        <f t="shared" si="1106"/>
        <v>9217.68</v>
      </c>
      <c r="P3625" s="86">
        <f t="shared" si="1107"/>
        <v>0</v>
      </c>
      <c r="Q3625" s="86">
        <f t="shared" si="1108"/>
        <v>0</v>
      </c>
      <c r="R3625" s="86">
        <f t="shared" si="1109"/>
        <v>0</v>
      </c>
      <c r="S3625" s="86">
        <f t="shared" si="1110"/>
        <v>0</v>
      </c>
      <c r="T3625" s="86">
        <f t="shared" si="1111"/>
        <v>9217.68</v>
      </c>
      <c r="U3625" s="87">
        <v>9217.68</v>
      </c>
    </row>
    <row r="3626" spans="1:21" s="30" customFormat="1" ht="24.6" hidden="1" outlineLevel="1" x14ac:dyDescent="0.55000000000000004">
      <c r="A3626" s="27" t="s">
        <v>327</v>
      </c>
      <c r="B3626" s="28"/>
      <c r="C3626" s="27"/>
      <c r="D3626" s="27" t="str">
        <f>"""NAV Direct"",""CRONUS JetCorp USA"",""21"",""1"",""397684"""</f>
        <v>"NAV Direct","CRONUS JetCorp USA","21","1","397684"</v>
      </c>
      <c r="E3626" s="31">
        <f t="shared" si="1103"/>
        <v>0</v>
      </c>
      <c r="F3626" s="31"/>
      <c r="G3626" s="31"/>
      <c r="H3626" s="31"/>
      <c r="I3626" s="56"/>
      <c r="J3626" s="56"/>
      <c r="K3626" s="82" t="str">
        <f t="shared" si="1104"/>
        <v>Invoice</v>
      </c>
      <c r="L3626" s="83" t="str">
        <f>"SI_112192"</f>
        <v>SI_112192</v>
      </c>
      <c r="M3626" s="84">
        <v>42096</v>
      </c>
      <c r="N3626" s="85">
        <f t="shared" si="1105"/>
        <v>1716</v>
      </c>
      <c r="O3626" s="86">
        <f t="shared" si="1106"/>
        <v>9953.18</v>
      </c>
      <c r="P3626" s="86">
        <f t="shared" si="1107"/>
        <v>0</v>
      </c>
      <c r="Q3626" s="86">
        <f t="shared" si="1108"/>
        <v>0</v>
      </c>
      <c r="R3626" s="86">
        <f t="shared" si="1109"/>
        <v>0</v>
      </c>
      <c r="S3626" s="86">
        <f t="shared" si="1110"/>
        <v>0</v>
      </c>
      <c r="T3626" s="86">
        <f t="shared" si="1111"/>
        <v>9953.18</v>
      </c>
      <c r="U3626" s="87">
        <v>9953.18</v>
      </c>
    </row>
    <row r="3627" spans="1:21" s="30" customFormat="1" ht="24.6" hidden="1" outlineLevel="1" x14ac:dyDescent="0.55000000000000004">
      <c r="A3627" s="27" t="s">
        <v>327</v>
      </c>
      <c r="B3627" s="28"/>
      <c r="C3627" s="27"/>
      <c r="D3627" s="27" t="str">
        <f>"""NAV Direct"",""CRONUS JetCorp USA"",""21"",""1"",""398319"""</f>
        <v>"NAV Direct","CRONUS JetCorp USA","21","1","398319"</v>
      </c>
      <c r="E3627" s="31" t="str">
        <f t="shared" si="1103"/>
        <v>C100103</v>
      </c>
      <c r="F3627" s="31"/>
      <c r="G3627" s="31"/>
      <c r="H3627" s="31"/>
      <c r="I3627" s="56"/>
      <c r="J3627" s="56"/>
      <c r="K3627" s="82" t="str">
        <f t="shared" si="1104"/>
        <v>Invoice</v>
      </c>
      <c r="L3627" s="83" t="str">
        <f>"SI_112205"</f>
        <v>SI_112205</v>
      </c>
      <c r="M3627" s="84">
        <v>42156</v>
      </c>
      <c r="N3627" s="85">
        <f t="shared" si="1105"/>
        <v>1656</v>
      </c>
      <c r="O3627" s="86">
        <f t="shared" si="1106"/>
        <v>7552.02</v>
      </c>
      <c r="P3627" s="86">
        <f t="shared" si="1107"/>
        <v>0</v>
      </c>
      <c r="Q3627" s="86">
        <f t="shared" si="1108"/>
        <v>0</v>
      </c>
      <c r="R3627" s="86">
        <f t="shared" si="1109"/>
        <v>0</v>
      </c>
      <c r="S3627" s="86">
        <f t="shared" si="1110"/>
        <v>0</v>
      </c>
      <c r="T3627" s="86">
        <f t="shared" si="1111"/>
        <v>7552.02</v>
      </c>
      <c r="U3627" s="87">
        <v>7552.02</v>
      </c>
    </row>
    <row r="3628" spans="1:21" s="30" customFormat="1" ht="24.6" hidden="1" outlineLevel="1" x14ac:dyDescent="0.55000000000000004">
      <c r="A3628" s="27" t="s">
        <v>327</v>
      </c>
      <c r="B3628" s="28"/>
      <c r="C3628" s="27"/>
      <c r="D3628" s="27" t="str">
        <f>"""NAV Direct"",""CRONUS JetCorp USA"",""21"",""1"",""398673"""</f>
        <v>"NAV Direct","CRONUS JetCorp USA","21","1","398673"</v>
      </c>
      <c r="E3628" s="31">
        <f t="shared" si="1103"/>
        <v>0</v>
      </c>
      <c r="F3628" s="31"/>
      <c r="G3628" s="31"/>
      <c r="H3628" s="31"/>
      <c r="I3628" s="56"/>
      <c r="J3628" s="56"/>
      <c r="K3628" s="82" t="str">
        <f t="shared" si="1104"/>
        <v>Invoice</v>
      </c>
      <c r="L3628" s="83" t="str">
        <f>"SI_112213"</f>
        <v>SI_112213</v>
      </c>
      <c r="M3628" s="84">
        <v>42187</v>
      </c>
      <c r="N3628" s="85">
        <f t="shared" si="1105"/>
        <v>1625</v>
      </c>
      <c r="O3628" s="86">
        <f t="shared" si="1106"/>
        <v>7092.43</v>
      </c>
      <c r="P3628" s="86">
        <f t="shared" si="1107"/>
        <v>0</v>
      </c>
      <c r="Q3628" s="86">
        <f t="shared" si="1108"/>
        <v>0</v>
      </c>
      <c r="R3628" s="86">
        <f t="shared" si="1109"/>
        <v>0</v>
      </c>
      <c r="S3628" s="86">
        <f t="shared" si="1110"/>
        <v>0</v>
      </c>
      <c r="T3628" s="86">
        <f t="shared" si="1111"/>
        <v>7092.43</v>
      </c>
      <c r="U3628" s="87">
        <v>7092.43</v>
      </c>
    </row>
    <row r="3629" spans="1:21" s="30" customFormat="1" ht="24.6" hidden="1" outlineLevel="1" x14ac:dyDescent="0.55000000000000004">
      <c r="A3629" s="27" t="s">
        <v>327</v>
      </c>
      <c r="B3629" s="28"/>
      <c r="C3629" s="27"/>
      <c r="D3629" s="27" t="str">
        <f>"""NAV Direct"",""CRONUS JetCorp USA"",""21"",""1"",""398724"""</f>
        <v>"NAV Direct","CRONUS JetCorp USA","21","1","398724"</v>
      </c>
      <c r="E3629" s="31" t="str">
        <f t="shared" si="1103"/>
        <v>C100103</v>
      </c>
      <c r="F3629" s="31"/>
      <c r="G3629" s="31"/>
      <c r="H3629" s="31"/>
      <c r="I3629" s="56"/>
      <c r="J3629" s="56"/>
      <c r="K3629" s="82" t="str">
        <f t="shared" si="1104"/>
        <v>Invoice</v>
      </c>
      <c r="L3629" s="83" t="str">
        <f>"SI_112214"</f>
        <v>SI_112214</v>
      </c>
      <c r="M3629" s="84">
        <v>42191</v>
      </c>
      <c r="N3629" s="85">
        <f t="shared" si="1105"/>
        <v>1621</v>
      </c>
      <c r="O3629" s="86">
        <f t="shared" si="1106"/>
        <v>6279.74</v>
      </c>
      <c r="P3629" s="86">
        <f t="shared" si="1107"/>
        <v>0</v>
      </c>
      <c r="Q3629" s="86">
        <f t="shared" si="1108"/>
        <v>0</v>
      </c>
      <c r="R3629" s="86">
        <f t="shared" si="1109"/>
        <v>0</v>
      </c>
      <c r="S3629" s="86">
        <f t="shared" si="1110"/>
        <v>0</v>
      </c>
      <c r="T3629" s="86">
        <f t="shared" si="1111"/>
        <v>6279.74</v>
      </c>
      <c r="U3629" s="87">
        <v>6279.74</v>
      </c>
    </row>
    <row r="3630" spans="1:21" s="30" customFormat="1" ht="24.6" hidden="1" outlineLevel="1" x14ac:dyDescent="0.55000000000000004">
      <c r="A3630" s="27" t="s">
        <v>327</v>
      </c>
      <c r="B3630" s="28"/>
      <c r="C3630" s="27"/>
      <c r="D3630" s="27" t="str">
        <f>"""NAV Direct"",""CRONUS JetCorp USA"",""21"",""1"",""398835"""</f>
        <v>"NAV Direct","CRONUS JetCorp USA","21","1","398835"</v>
      </c>
      <c r="E3630" s="31">
        <f t="shared" si="1103"/>
        <v>0</v>
      </c>
      <c r="F3630" s="31"/>
      <c r="G3630" s="31"/>
      <c r="H3630" s="31"/>
      <c r="I3630" s="56"/>
      <c r="J3630" s="56"/>
      <c r="K3630" s="82" t="str">
        <f t="shared" si="1104"/>
        <v>Invoice</v>
      </c>
      <c r="L3630" s="83" t="str">
        <f>"SI_112217"</f>
        <v>SI_112217</v>
      </c>
      <c r="M3630" s="84">
        <v>42212</v>
      </c>
      <c r="N3630" s="85">
        <f t="shared" si="1105"/>
        <v>1600</v>
      </c>
      <c r="O3630" s="86">
        <f t="shared" si="1106"/>
        <v>7058.91</v>
      </c>
      <c r="P3630" s="86">
        <f t="shared" si="1107"/>
        <v>0</v>
      </c>
      <c r="Q3630" s="86">
        <f t="shared" si="1108"/>
        <v>0</v>
      </c>
      <c r="R3630" s="86">
        <f t="shared" si="1109"/>
        <v>0</v>
      </c>
      <c r="S3630" s="86">
        <f t="shared" si="1110"/>
        <v>0</v>
      </c>
      <c r="T3630" s="86">
        <f t="shared" si="1111"/>
        <v>7058.91</v>
      </c>
      <c r="U3630" s="87">
        <v>7058.91</v>
      </c>
    </row>
    <row r="3631" spans="1:21" s="30" customFormat="1" ht="24.6" hidden="1" outlineLevel="1" x14ac:dyDescent="0.55000000000000004">
      <c r="A3631" s="27" t="s">
        <v>327</v>
      </c>
      <c r="B3631" s="28"/>
      <c r="C3631" s="27"/>
      <c r="D3631" s="27" t="str">
        <f>"""NAV Direct"",""CRONUS JetCorp USA"",""21"",""1"",""398890"""</f>
        <v>"NAV Direct","CRONUS JetCorp USA","21","1","398890"</v>
      </c>
      <c r="E3631" s="31" t="str">
        <f t="shared" si="1103"/>
        <v>C100103</v>
      </c>
      <c r="F3631" s="31"/>
      <c r="G3631" s="31"/>
      <c r="H3631" s="31"/>
      <c r="I3631" s="56"/>
      <c r="J3631" s="56"/>
      <c r="K3631" s="82" t="str">
        <f t="shared" si="1104"/>
        <v>Invoice</v>
      </c>
      <c r="L3631" s="83" t="str">
        <f>"SI_112218"</f>
        <v>SI_112218</v>
      </c>
      <c r="M3631" s="84">
        <v>42214</v>
      </c>
      <c r="N3631" s="85">
        <f t="shared" si="1105"/>
        <v>1598</v>
      </c>
      <c r="O3631" s="86">
        <f t="shared" si="1106"/>
        <v>7447.0499999999993</v>
      </c>
      <c r="P3631" s="86">
        <f t="shared" si="1107"/>
        <v>0</v>
      </c>
      <c r="Q3631" s="86">
        <f t="shared" si="1108"/>
        <v>0</v>
      </c>
      <c r="R3631" s="86">
        <f t="shared" si="1109"/>
        <v>0</v>
      </c>
      <c r="S3631" s="86">
        <f t="shared" si="1110"/>
        <v>0</v>
      </c>
      <c r="T3631" s="86">
        <f t="shared" si="1111"/>
        <v>7447.0499999999993</v>
      </c>
      <c r="U3631" s="87">
        <v>7447.0499999999993</v>
      </c>
    </row>
    <row r="3632" spans="1:21" s="30" customFormat="1" ht="24.6" hidden="1" outlineLevel="1" x14ac:dyDescent="0.55000000000000004">
      <c r="A3632" s="27" t="s">
        <v>327</v>
      </c>
      <c r="B3632" s="28"/>
      <c r="C3632" s="27"/>
      <c r="D3632" s="27" t="str">
        <f>"""NAV Direct"",""CRONUS JetCorp USA"",""21"",""1"",""399005"""</f>
        <v>"NAV Direct","CRONUS JetCorp USA","21","1","399005"</v>
      </c>
      <c r="E3632" s="31">
        <f t="shared" si="1103"/>
        <v>0</v>
      </c>
      <c r="F3632" s="31"/>
      <c r="G3632" s="31"/>
      <c r="H3632" s="31"/>
      <c r="I3632" s="56"/>
      <c r="J3632" s="56"/>
      <c r="K3632" s="82" t="str">
        <f t="shared" si="1104"/>
        <v>Invoice</v>
      </c>
      <c r="L3632" s="83" t="str">
        <f>"SI_112221"</f>
        <v>SI_112221</v>
      </c>
      <c r="M3632" s="84">
        <v>42216</v>
      </c>
      <c r="N3632" s="85">
        <f t="shared" si="1105"/>
        <v>1596</v>
      </c>
      <c r="O3632" s="86">
        <f t="shared" si="1106"/>
        <v>7524.5099999999993</v>
      </c>
      <c r="P3632" s="86">
        <f t="shared" si="1107"/>
        <v>0</v>
      </c>
      <c r="Q3632" s="86">
        <f t="shared" si="1108"/>
        <v>0</v>
      </c>
      <c r="R3632" s="86">
        <f t="shared" si="1109"/>
        <v>0</v>
      </c>
      <c r="S3632" s="86">
        <f t="shared" si="1110"/>
        <v>0</v>
      </c>
      <c r="T3632" s="86">
        <f t="shared" si="1111"/>
        <v>7524.5099999999993</v>
      </c>
      <c r="U3632" s="87">
        <v>7524.5099999999993</v>
      </c>
    </row>
    <row r="3633" spans="1:22" s="30" customFormat="1" ht="24.6" hidden="1" outlineLevel="1" x14ac:dyDescent="0.55000000000000004">
      <c r="A3633" s="27" t="s">
        <v>327</v>
      </c>
      <c r="B3633" s="28"/>
      <c r="C3633" s="27"/>
      <c r="D3633" s="27" t="str">
        <f>"""NAV Direct"",""CRONUS JetCorp USA"",""21"",""1"",""400696"""</f>
        <v>"NAV Direct","CRONUS JetCorp USA","21","1","400696"</v>
      </c>
      <c r="E3633" s="31" t="str">
        <f t="shared" si="1103"/>
        <v>C100103</v>
      </c>
      <c r="F3633" s="31"/>
      <c r="G3633" s="31"/>
      <c r="H3633" s="31"/>
      <c r="I3633" s="56"/>
      <c r="J3633" s="56"/>
      <c r="K3633" s="82" t="str">
        <f t="shared" si="1104"/>
        <v>Invoice</v>
      </c>
      <c r="L3633" s="83" t="str">
        <f>"SI_112256"</f>
        <v>SI_112256</v>
      </c>
      <c r="M3633" s="84">
        <v>42325</v>
      </c>
      <c r="N3633" s="85">
        <f t="shared" si="1105"/>
        <v>1487</v>
      </c>
      <c r="O3633" s="86">
        <f t="shared" si="1106"/>
        <v>8498.17</v>
      </c>
      <c r="P3633" s="86">
        <f t="shared" si="1107"/>
        <v>0</v>
      </c>
      <c r="Q3633" s="86">
        <f t="shared" si="1108"/>
        <v>0</v>
      </c>
      <c r="R3633" s="86">
        <f t="shared" si="1109"/>
        <v>0</v>
      </c>
      <c r="S3633" s="86">
        <f t="shared" si="1110"/>
        <v>0</v>
      </c>
      <c r="T3633" s="86">
        <f t="shared" si="1111"/>
        <v>8498.17</v>
      </c>
      <c r="U3633" s="87">
        <v>8498.17</v>
      </c>
    </row>
    <row r="3634" spans="1:22" s="30" customFormat="1" ht="24.6" hidden="1" outlineLevel="1" x14ac:dyDescent="0.55000000000000004">
      <c r="A3634" s="27" t="s">
        <v>327</v>
      </c>
      <c r="B3634" s="28"/>
      <c r="C3634" s="27"/>
      <c r="D3634" s="27" t="str">
        <f>"""NAV Direct"",""CRONUS JetCorp USA"",""21"",""1"",""401056"""</f>
        <v>"NAV Direct","CRONUS JetCorp USA","21","1","401056"</v>
      </c>
      <c r="E3634" s="31">
        <f t="shared" si="1103"/>
        <v>0</v>
      </c>
      <c r="F3634" s="31"/>
      <c r="G3634" s="31"/>
      <c r="H3634" s="31"/>
      <c r="I3634" s="56"/>
      <c r="J3634" s="56"/>
      <c r="K3634" s="82" t="str">
        <f t="shared" si="1104"/>
        <v>Invoice</v>
      </c>
      <c r="L3634" s="83" t="str">
        <f>"SI_112264"</f>
        <v>SI_112264</v>
      </c>
      <c r="M3634" s="84">
        <v>42336</v>
      </c>
      <c r="N3634" s="85">
        <f t="shared" si="1105"/>
        <v>1476</v>
      </c>
      <c r="O3634" s="86">
        <f t="shared" si="1106"/>
        <v>8317.3799999999992</v>
      </c>
      <c r="P3634" s="86">
        <f t="shared" si="1107"/>
        <v>0</v>
      </c>
      <c r="Q3634" s="86">
        <f t="shared" si="1108"/>
        <v>0</v>
      </c>
      <c r="R3634" s="86">
        <f t="shared" si="1109"/>
        <v>0</v>
      </c>
      <c r="S3634" s="86">
        <f t="shared" si="1110"/>
        <v>0</v>
      </c>
      <c r="T3634" s="86">
        <f t="shared" si="1111"/>
        <v>8317.3799999999992</v>
      </c>
      <c r="U3634" s="87">
        <v>8317.3799999999992</v>
      </c>
    </row>
    <row r="3635" spans="1:22" s="30" customFormat="1" ht="24.6" hidden="1" outlineLevel="1" x14ac:dyDescent="0.55000000000000004">
      <c r="A3635" s="27" t="s">
        <v>327</v>
      </c>
      <c r="B3635" s="28"/>
      <c r="C3635" s="27"/>
      <c r="D3635" s="27" t="str">
        <f>"""NAV Direct"",""CRONUS JetCorp USA"",""21"",""1"",""438665"""</f>
        <v>"NAV Direct","CRONUS JetCorp USA","21","1","438665"</v>
      </c>
      <c r="E3635" s="31" t="str">
        <f t="shared" si="1103"/>
        <v>C100103</v>
      </c>
      <c r="F3635" s="31"/>
      <c r="G3635" s="31"/>
      <c r="H3635" s="31"/>
      <c r="I3635" s="56"/>
      <c r="J3635" s="56"/>
      <c r="K3635" s="82" t="str">
        <f t="shared" ref="K3635:K3640" si="1112">"Credit Memo"</f>
        <v>Credit Memo</v>
      </c>
      <c r="L3635" s="83" t="str">
        <f>"SC_100829"</f>
        <v>SC_100829</v>
      </c>
      <c r="M3635" s="84">
        <v>42475</v>
      </c>
      <c r="N3635" s="85">
        <f t="shared" si="1105"/>
        <v>1337</v>
      </c>
      <c r="O3635" s="86">
        <f t="shared" si="1106"/>
        <v>-94.5</v>
      </c>
      <c r="P3635" s="86">
        <f t="shared" si="1107"/>
        <v>0</v>
      </c>
      <c r="Q3635" s="86">
        <f t="shared" si="1108"/>
        <v>0</v>
      </c>
      <c r="R3635" s="86">
        <f t="shared" si="1109"/>
        <v>0</v>
      </c>
      <c r="S3635" s="86">
        <f t="shared" si="1110"/>
        <v>0</v>
      </c>
      <c r="T3635" s="86">
        <f t="shared" si="1111"/>
        <v>-94.5</v>
      </c>
      <c r="U3635" s="87">
        <v>-94.5</v>
      </c>
    </row>
    <row r="3636" spans="1:22" s="30" customFormat="1" ht="24.6" hidden="1" outlineLevel="1" x14ac:dyDescent="0.55000000000000004">
      <c r="A3636" s="27" t="s">
        <v>327</v>
      </c>
      <c r="B3636" s="28"/>
      <c r="C3636" s="27"/>
      <c r="D3636" s="27" t="str">
        <f>"""NAV Direct"",""CRONUS JetCorp USA"",""21"",""1"",""438822"""</f>
        <v>"NAV Direct","CRONUS JetCorp USA","21","1","438822"</v>
      </c>
      <c r="E3636" s="31">
        <f t="shared" si="1103"/>
        <v>0</v>
      </c>
      <c r="F3636" s="31"/>
      <c r="G3636" s="31"/>
      <c r="H3636" s="31"/>
      <c r="I3636" s="56"/>
      <c r="J3636" s="56"/>
      <c r="K3636" s="82" t="str">
        <f t="shared" si="1112"/>
        <v>Credit Memo</v>
      </c>
      <c r="L3636" s="83" t="str">
        <f>"SC_100836"</f>
        <v>SC_100836</v>
      </c>
      <c r="M3636" s="84">
        <v>42636</v>
      </c>
      <c r="N3636" s="85">
        <f t="shared" si="1105"/>
        <v>1176</v>
      </c>
      <c r="O3636" s="86">
        <f t="shared" si="1106"/>
        <v>-96.53</v>
      </c>
      <c r="P3636" s="86">
        <f t="shared" si="1107"/>
        <v>0</v>
      </c>
      <c r="Q3636" s="86">
        <f t="shared" si="1108"/>
        <v>0</v>
      </c>
      <c r="R3636" s="86">
        <f t="shared" si="1109"/>
        <v>0</v>
      </c>
      <c r="S3636" s="86">
        <f t="shared" si="1110"/>
        <v>0</v>
      </c>
      <c r="T3636" s="86">
        <f t="shared" si="1111"/>
        <v>-96.53</v>
      </c>
      <c r="U3636" s="87">
        <v>-96.53</v>
      </c>
    </row>
    <row r="3637" spans="1:22" s="30" customFormat="1" ht="24.6" hidden="1" outlineLevel="1" x14ac:dyDescent="0.55000000000000004">
      <c r="A3637" s="27" t="s">
        <v>327</v>
      </c>
      <c r="B3637" s="28"/>
      <c r="C3637" s="27"/>
      <c r="D3637" s="27" t="str">
        <f>"""NAV Direct"",""CRONUS JetCorp USA"",""21"",""1"",""439219"""</f>
        <v>"NAV Direct","CRONUS JetCorp USA","21","1","439219"</v>
      </c>
      <c r="E3637" s="31" t="str">
        <f t="shared" si="1103"/>
        <v>C100103</v>
      </c>
      <c r="F3637" s="31"/>
      <c r="G3637" s="31"/>
      <c r="H3637" s="31"/>
      <c r="I3637" s="56"/>
      <c r="J3637" s="56"/>
      <c r="K3637" s="82" t="str">
        <f t="shared" si="1112"/>
        <v>Credit Memo</v>
      </c>
      <c r="L3637" s="83" t="str">
        <f>"SC_100856"</f>
        <v>SC_100856</v>
      </c>
      <c r="M3637" s="84">
        <v>43443</v>
      </c>
      <c r="N3637" s="85">
        <f t="shared" si="1105"/>
        <v>369</v>
      </c>
      <c r="O3637" s="86">
        <f t="shared" si="1106"/>
        <v>-99.17</v>
      </c>
      <c r="P3637" s="86">
        <f t="shared" si="1107"/>
        <v>0</v>
      </c>
      <c r="Q3637" s="86">
        <f t="shared" si="1108"/>
        <v>0</v>
      </c>
      <c r="R3637" s="86">
        <f t="shared" si="1109"/>
        <v>0</v>
      </c>
      <c r="S3637" s="86">
        <f t="shared" si="1110"/>
        <v>0</v>
      </c>
      <c r="T3637" s="86">
        <f t="shared" si="1111"/>
        <v>-99.17</v>
      </c>
      <c r="U3637" s="87">
        <v>-99.17</v>
      </c>
    </row>
    <row r="3638" spans="1:22" s="30" customFormat="1" ht="24.6" hidden="1" outlineLevel="1" x14ac:dyDescent="0.55000000000000004">
      <c r="A3638" s="27" t="s">
        <v>327</v>
      </c>
      <c r="B3638" s="28"/>
      <c r="C3638" s="27"/>
      <c r="D3638" s="27" t="str">
        <f>"""NAV Direct"",""CRONUS JetCorp USA"",""21"",""1"",""439417"""</f>
        <v>"NAV Direct","CRONUS JetCorp USA","21","1","439417"</v>
      </c>
      <c r="E3638" s="31">
        <f t="shared" si="1103"/>
        <v>0</v>
      </c>
      <c r="F3638" s="31"/>
      <c r="G3638" s="31"/>
      <c r="H3638" s="31"/>
      <c r="I3638" s="56"/>
      <c r="J3638" s="56"/>
      <c r="K3638" s="82" t="str">
        <f t="shared" si="1112"/>
        <v>Credit Memo</v>
      </c>
      <c r="L3638" s="83" t="str">
        <f>"SC_100866"</f>
        <v>SC_100866</v>
      </c>
      <c r="M3638" s="84">
        <v>43618</v>
      </c>
      <c r="N3638" s="85">
        <f t="shared" si="1105"/>
        <v>194</v>
      </c>
      <c r="O3638" s="86">
        <f t="shared" si="1106"/>
        <v>-92.710000000000008</v>
      </c>
      <c r="P3638" s="86">
        <f t="shared" si="1107"/>
        <v>0</v>
      </c>
      <c r="Q3638" s="86">
        <f t="shared" si="1108"/>
        <v>0</v>
      </c>
      <c r="R3638" s="86">
        <f t="shared" si="1109"/>
        <v>0</v>
      </c>
      <c r="S3638" s="86">
        <f t="shared" si="1110"/>
        <v>0</v>
      </c>
      <c r="T3638" s="86">
        <f t="shared" si="1111"/>
        <v>-92.710000000000008</v>
      </c>
      <c r="U3638" s="87">
        <v>-92.710000000000008</v>
      </c>
    </row>
    <row r="3639" spans="1:22" s="30" customFormat="1" ht="24.6" hidden="1" outlineLevel="1" x14ac:dyDescent="0.55000000000000004">
      <c r="A3639" s="27" t="s">
        <v>327</v>
      </c>
      <c r="B3639" s="28"/>
      <c r="C3639" s="27"/>
      <c r="D3639" s="27" t="str">
        <f>"""NAV Direct"",""CRONUS JetCorp USA"",""21"",""1"",""439588"""</f>
        <v>"NAV Direct","CRONUS JetCorp USA","21","1","439588"</v>
      </c>
      <c r="E3639" s="31" t="str">
        <f t="shared" si="1103"/>
        <v>C100103</v>
      </c>
      <c r="F3639" s="31"/>
      <c r="G3639" s="31"/>
      <c r="H3639" s="31"/>
      <c r="I3639" s="56"/>
      <c r="J3639" s="56"/>
      <c r="K3639" s="82" t="str">
        <f t="shared" si="1112"/>
        <v>Credit Memo</v>
      </c>
      <c r="L3639" s="83" t="str">
        <f>"SC_100875"</f>
        <v>SC_100875</v>
      </c>
      <c r="M3639" s="84">
        <v>43728</v>
      </c>
      <c r="N3639" s="85">
        <f t="shared" si="1105"/>
        <v>84</v>
      </c>
      <c r="O3639" s="86">
        <f t="shared" si="1106"/>
        <v>-117.18</v>
      </c>
      <c r="P3639" s="86">
        <f t="shared" si="1107"/>
        <v>0</v>
      </c>
      <c r="Q3639" s="86">
        <f t="shared" si="1108"/>
        <v>0</v>
      </c>
      <c r="R3639" s="86">
        <f t="shared" si="1109"/>
        <v>0</v>
      </c>
      <c r="S3639" s="86">
        <f t="shared" si="1110"/>
        <v>-117.18</v>
      </c>
      <c r="T3639" s="86">
        <f t="shared" si="1111"/>
        <v>0</v>
      </c>
      <c r="U3639" s="87">
        <v>-117.18</v>
      </c>
    </row>
    <row r="3640" spans="1:22" s="30" customFormat="1" ht="24.6" hidden="1" outlineLevel="1" x14ac:dyDescent="0.55000000000000004">
      <c r="A3640" s="27" t="s">
        <v>327</v>
      </c>
      <c r="B3640" s="28"/>
      <c r="C3640" s="27"/>
      <c r="D3640" s="27" t="str">
        <f>"""NAV Direct"",""CRONUS JetCorp USA"",""21"",""1"",""439760"""</f>
        <v>"NAV Direct","CRONUS JetCorp USA","21","1","439760"</v>
      </c>
      <c r="E3640" s="31">
        <f t="shared" si="1103"/>
        <v>0</v>
      </c>
      <c r="F3640" s="31"/>
      <c r="G3640" s="31"/>
      <c r="H3640" s="31"/>
      <c r="I3640" s="56"/>
      <c r="J3640" s="56"/>
      <c r="K3640" s="82" t="str">
        <f t="shared" si="1112"/>
        <v>Credit Memo</v>
      </c>
      <c r="L3640" s="83" t="str">
        <f>"SC_100883"</f>
        <v>SC_100883</v>
      </c>
      <c r="M3640" s="84">
        <v>43819</v>
      </c>
      <c r="N3640" s="85">
        <f t="shared" si="1105"/>
        <v>-7</v>
      </c>
      <c r="O3640" s="86">
        <f t="shared" si="1106"/>
        <v>-91.83</v>
      </c>
      <c r="P3640" s="86">
        <f t="shared" si="1107"/>
        <v>-91.83</v>
      </c>
      <c r="Q3640" s="86">
        <f t="shared" si="1108"/>
        <v>0</v>
      </c>
      <c r="R3640" s="86">
        <f t="shared" si="1109"/>
        <v>0</v>
      </c>
      <c r="S3640" s="86">
        <f t="shared" si="1110"/>
        <v>0</v>
      </c>
      <c r="T3640" s="86">
        <f t="shared" si="1111"/>
        <v>0</v>
      </c>
      <c r="U3640" s="87">
        <v>-91.83</v>
      </c>
    </row>
    <row r="3641" spans="1:22" s="22" customFormat="1" ht="20.399999999999999" collapsed="1" x14ac:dyDescent="0.45">
      <c r="A3641" s="12" t="s">
        <v>327</v>
      </c>
      <c r="B3641" s="19"/>
      <c r="C3641" s="12"/>
      <c r="D3641" s="12"/>
      <c r="E3641" s="23"/>
      <c r="F3641" s="23"/>
      <c r="G3641" s="23"/>
      <c r="H3641" s="23"/>
      <c r="I3641" s="49"/>
      <c r="J3641" s="88"/>
      <c r="K3641" s="88"/>
      <c r="L3641" s="89"/>
      <c r="M3641" s="89"/>
      <c r="N3641" s="89"/>
      <c r="O3641" s="89"/>
      <c r="P3641" s="89"/>
      <c r="Q3641" s="90"/>
      <c r="R3641" s="90"/>
      <c r="S3641" s="91"/>
      <c r="T3641" s="92"/>
      <c r="U3641" s="92"/>
    </row>
    <row r="3642" spans="1:22" s="22" customFormat="1" ht="20.399999999999999" x14ac:dyDescent="0.45">
      <c r="A3642" s="12" t="s">
        <v>327</v>
      </c>
      <c r="B3642" s="19"/>
      <c r="C3642" s="12"/>
      <c r="D3642" s="12"/>
      <c r="E3642" s="23"/>
      <c r="F3642" s="23"/>
      <c r="G3642" s="23"/>
      <c r="H3642" s="23"/>
      <c r="I3642" s="49"/>
      <c r="J3642" s="88"/>
      <c r="K3642" s="88"/>
      <c r="L3642" s="89"/>
      <c r="M3642" s="89"/>
      <c r="N3642" s="89"/>
      <c r="O3642" s="89"/>
      <c r="P3642" s="89"/>
      <c r="Q3642" s="90"/>
      <c r="R3642" s="90"/>
      <c r="S3642" s="91"/>
      <c r="T3642" s="92"/>
      <c r="U3642" s="92"/>
    </row>
    <row r="3643" spans="1:22" s="26" customFormat="1" ht="24.6" x14ac:dyDescent="0.55000000000000004">
      <c r="A3643" s="27" t="s">
        <v>327</v>
      </c>
      <c r="B3643" s="28"/>
      <c r="C3643" s="27" t="str">
        <f>"""NAV Direct"",""CRONUS JetCorp USA"",""18"",""1"",""C100104"""</f>
        <v>"NAV Direct","CRONUS JetCorp USA","18","1","C100104"</v>
      </c>
      <c r="D3643" s="27"/>
      <c r="E3643" s="28" t="str">
        <f>H3643</f>
        <v>C100104</v>
      </c>
      <c r="F3643" s="28"/>
      <c r="G3643" s="28"/>
      <c r="H3643" s="28" t="str">
        <f>"C100104"</f>
        <v>C100104</v>
      </c>
      <c r="I3643" s="116" t="str">
        <f>"C100104  -  DenoTech"</f>
        <v>C100104  -  DenoTech</v>
      </c>
      <c r="J3643" s="117" t="str">
        <f>""</f>
        <v/>
      </c>
      <c r="K3643" s="118"/>
      <c r="L3643" s="119">
        <f>SUBTOTAL(3,L3644:L3700)</f>
        <v>53</v>
      </c>
      <c r="M3643" s="118"/>
      <c r="N3643" s="118"/>
      <c r="O3643" s="120">
        <f t="shared" ref="O3643:T3643" si="1113">SUBTOTAL(9,O3644:O3700)</f>
        <v>809124.72</v>
      </c>
      <c r="P3643" s="120">
        <f t="shared" si="1113"/>
        <v>19754.7</v>
      </c>
      <c r="Q3643" s="120">
        <f t="shared" si="1113"/>
        <v>19765.600000000002</v>
      </c>
      <c r="R3643" s="120">
        <f t="shared" si="1113"/>
        <v>0</v>
      </c>
      <c r="S3643" s="120">
        <f t="shared" si="1113"/>
        <v>0</v>
      </c>
      <c r="T3643" s="120">
        <f t="shared" si="1113"/>
        <v>769604.42</v>
      </c>
      <c r="U3643" s="81"/>
    </row>
    <row r="3644" spans="1:22" s="26" customFormat="1" ht="24.6" x14ac:dyDescent="0.55000000000000004">
      <c r="A3644" s="27" t="s">
        <v>327</v>
      </c>
      <c r="B3644" s="28"/>
      <c r="C3644" s="27" t="str">
        <f>C3643</f>
        <v>"NAV Direct","CRONUS JetCorp USA","18","1","C100104"</v>
      </c>
      <c r="D3644" s="27"/>
      <c r="E3644" s="28" t="str">
        <f>E3643</f>
        <v>C100104</v>
      </c>
      <c r="F3644" s="28"/>
      <c r="G3644" s="28"/>
      <c r="H3644" s="28"/>
      <c r="I3644" s="121" t="str">
        <f>"Contact: Bill Blass"</f>
        <v>Contact: Bill Blass</v>
      </c>
      <c r="J3644" s="121"/>
      <c r="K3644" s="122"/>
      <c r="L3644" s="123"/>
      <c r="M3644" s="123"/>
      <c r="N3644" s="124"/>
      <c r="O3644" s="124"/>
      <c r="P3644" s="123"/>
      <c r="Q3644" s="125"/>
      <c r="R3644" s="126"/>
      <c r="S3644" s="126"/>
      <c r="T3644" s="125"/>
      <c r="U3644" s="81"/>
    </row>
    <row r="3645" spans="1:22" s="26" customFormat="1" ht="24.6" x14ac:dyDescent="0.55000000000000004">
      <c r="A3645" s="27" t="s">
        <v>327</v>
      </c>
      <c r="B3645" s="28"/>
      <c r="C3645" s="27" t="str">
        <f>C3644</f>
        <v>"NAV Direct","CRONUS JetCorp USA","18","1","C100104"</v>
      </c>
      <c r="D3645" s="27"/>
      <c r="E3645" s="28" t="str">
        <f>E3644</f>
        <v>C100104</v>
      </c>
      <c r="F3645" s="28"/>
      <c r="G3645" s="28"/>
      <c r="H3645" s="28"/>
      <c r="I3645" s="121" t="str">
        <f>"DenoTech@Cronus.com"</f>
        <v>DenoTech@Cronus.com</v>
      </c>
      <c r="J3645" s="121"/>
      <c r="K3645" s="122"/>
      <c r="L3645" s="124"/>
      <c r="M3645" s="124"/>
      <c r="N3645" s="124"/>
      <c r="O3645" s="124"/>
      <c r="P3645" s="123"/>
      <c r="Q3645" s="125"/>
      <c r="R3645" s="126"/>
      <c r="S3645" s="126"/>
      <c r="T3645" s="125"/>
      <c r="U3645" s="81"/>
    </row>
    <row r="3646" spans="1:22" ht="12.75" hidden="1" customHeight="1" outlineLevel="1" x14ac:dyDescent="0.45">
      <c r="A3646" s="12" t="s">
        <v>328</v>
      </c>
      <c r="B3646" s="19"/>
      <c r="E3646" s="19"/>
      <c r="F3646" s="19"/>
      <c r="G3646" s="19"/>
      <c r="H3646" s="19"/>
      <c r="I3646" s="61"/>
      <c r="J3646" s="61"/>
      <c r="K3646" s="61"/>
      <c r="L3646" s="61"/>
      <c r="M3646" s="61"/>
      <c r="N3646" s="61"/>
      <c r="O3646" s="61"/>
      <c r="P3646" s="61"/>
      <c r="Q3646" s="61"/>
      <c r="R3646" s="61"/>
      <c r="S3646" s="61"/>
      <c r="T3646" s="61"/>
      <c r="U3646" s="61"/>
      <c r="V3646" s="21"/>
    </row>
    <row r="3647" spans="1:22" s="30" customFormat="1" ht="24.6" hidden="1" outlineLevel="1" x14ac:dyDescent="0.55000000000000004">
      <c r="A3647" s="27" t="s">
        <v>327</v>
      </c>
      <c r="B3647" s="28"/>
      <c r="C3647" s="27"/>
      <c r="D3647" s="27" t="str">
        <f>"""NAV Direct"",""CRONUS JetCorp USA"",""21"",""1"",""61587"""</f>
        <v>"NAV Direct","CRONUS JetCorp USA","21","1","61587"</v>
      </c>
      <c r="E3647" s="31" t="str">
        <f t="shared" ref="E3647:E3678" si="1114">E3645</f>
        <v>C100104</v>
      </c>
      <c r="F3647" s="31"/>
      <c r="G3647" s="31"/>
      <c r="H3647" s="31"/>
      <c r="I3647" s="56"/>
      <c r="J3647" s="56"/>
      <c r="K3647" s="82" t="str">
        <f t="shared" ref="K3647:K3688" si="1115">"Invoice"</f>
        <v>Invoice</v>
      </c>
      <c r="L3647" s="83" t="str">
        <f>"SI_105461"</f>
        <v>SI_105461</v>
      </c>
      <c r="M3647" s="84">
        <v>42328</v>
      </c>
      <c r="N3647" s="85">
        <f t="shared" ref="N3647:N3678" si="1116">StartDate-$M3647+1</f>
        <v>1484</v>
      </c>
      <c r="O3647" s="86">
        <f t="shared" ref="O3647:O3678" si="1117">SUM(P3647:T3647)</f>
        <v>19902.169999999998</v>
      </c>
      <c r="P3647" s="86">
        <f t="shared" ref="P3647:P3678" si="1118">IF($M3647&gt;=$P$18,U3647,0)</f>
        <v>0</v>
      </c>
      <c r="Q3647" s="86">
        <f t="shared" ref="Q3647:Q3678" si="1119">IF(AND($M3647&gt;=$Q$16,$M3647&lt;=$Q$18),U3647,0)</f>
        <v>0</v>
      </c>
      <c r="R3647" s="86">
        <f t="shared" ref="R3647:R3678" si="1120">IF(AND($M3647&gt;=$R$16,$M3647&lt;=$R$18),U3647,0)</f>
        <v>0</v>
      </c>
      <c r="S3647" s="86">
        <f t="shared" ref="S3647:S3678" si="1121">IF(AND($M3647&gt;=$S$16,$M3647&lt;=$S$18),U3647,0)</f>
        <v>0</v>
      </c>
      <c r="T3647" s="86">
        <f t="shared" ref="T3647:T3678" si="1122">IF($M3647&lt;=$T$18,U3647,0)</f>
        <v>19902.169999999998</v>
      </c>
      <c r="U3647" s="87">
        <v>19902.169999999998</v>
      </c>
    </row>
    <row r="3648" spans="1:22" s="30" customFormat="1" ht="24.6" hidden="1" outlineLevel="1" x14ac:dyDescent="0.55000000000000004">
      <c r="A3648" s="27" t="s">
        <v>327</v>
      </c>
      <c r="B3648" s="28"/>
      <c r="C3648" s="27"/>
      <c r="D3648" s="27" t="str">
        <f>"""NAV Direct"",""CRONUS JetCorp USA"",""21"",""1"",""335503"""</f>
        <v>"NAV Direct","CRONUS JetCorp USA","21","1","335503"</v>
      </c>
      <c r="E3648" s="31">
        <f t="shared" si="1114"/>
        <v>0</v>
      </c>
      <c r="F3648" s="31"/>
      <c r="G3648" s="31"/>
      <c r="H3648" s="31"/>
      <c r="I3648" s="56"/>
      <c r="J3648" s="56"/>
      <c r="K3648" s="82" t="str">
        <f t="shared" si="1115"/>
        <v>Invoice</v>
      </c>
      <c r="L3648" s="83" t="str">
        <f>"SI_110603"</f>
        <v>SI_110603</v>
      </c>
      <c r="M3648" s="84">
        <v>42443</v>
      </c>
      <c r="N3648" s="85">
        <f t="shared" si="1116"/>
        <v>1369</v>
      </c>
      <c r="O3648" s="86">
        <f t="shared" si="1117"/>
        <v>15255.080000000002</v>
      </c>
      <c r="P3648" s="86">
        <f t="shared" si="1118"/>
        <v>0</v>
      </c>
      <c r="Q3648" s="86">
        <f t="shared" si="1119"/>
        <v>0</v>
      </c>
      <c r="R3648" s="86">
        <f t="shared" si="1120"/>
        <v>0</v>
      </c>
      <c r="S3648" s="86">
        <f t="shared" si="1121"/>
        <v>0</v>
      </c>
      <c r="T3648" s="86">
        <f t="shared" si="1122"/>
        <v>15255.080000000002</v>
      </c>
      <c r="U3648" s="87">
        <v>15255.080000000002</v>
      </c>
    </row>
    <row r="3649" spans="1:21" s="30" customFormat="1" ht="24.6" hidden="1" outlineLevel="1" x14ac:dyDescent="0.55000000000000004">
      <c r="A3649" s="27" t="s">
        <v>327</v>
      </c>
      <c r="B3649" s="28"/>
      <c r="C3649" s="27"/>
      <c r="D3649" s="27" t="str">
        <f>"""NAV Direct"",""CRONUS JetCorp USA"",""21"",""1"",""335727"""</f>
        <v>"NAV Direct","CRONUS JetCorp USA","21","1","335727"</v>
      </c>
      <c r="E3649" s="31" t="str">
        <f t="shared" si="1114"/>
        <v>C100104</v>
      </c>
      <c r="F3649" s="31"/>
      <c r="G3649" s="31"/>
      <c r="H3649" s="31"/>
      <c r="I3649" s="56"/>
      <c r="J3649" s="56"/>
      <c r="K3649" s="82" t="str">
        <f t="shared" si="1115"/>
        <v>Invoice</v>
      </c>
      <c r="L3649" s="83" t="str">
        <f>"SI_110609"</f>
        <v>SI_110609</v>
      </c>
      <c r="M3649" s="84">
        <v>42465</v>
      </c>
      <c r="N3649" s="85">
        <f t="shared" si="1116"/>
        <v>1347</v>
      </c>
      <c r="O3649" s="86">
        <f t="shared" si="1117"/>
        <v>16482.77</v>
      </c>
      <c r="P3649" s="86">
        <f t="shared" si="1118"/>
        <v>0</v>
      </c>
      <c r="Q3649" s="86">
        <f t="shared" si="1119"/>
        <v>0</v>
      </c>
      <c r="R3649" s="86">
        <f t="shared" si="1120"/>
        <v>0</v>
      </c>
      <c r="S3649" s="86">
        <f t="shared" si="1121"/>
        <v>0</v>
      </c>
      <c r="T3649" s="86">
        <f t="shared" si="1122"/>
        <v>16482.77</v>
      </c>
      <c r="U3649" s="87">
        <v>16482.77</v>
      </c>
    </row>
    <row r="3650" spans="1:21" s="30" customFormat="1" ht="24.6" hidden="1" outlineLevel="1" x14ac:dyDescent="0.55000000000000004">
      <c r="A3650" s="27" t="s">
        <v>327</v>
      </c>
      <c r="B3650" s="28"/>
      <c r="C3650" s="27"/>
      <c r="D3650" s="27" t="str">
        <f>"""NAV Direct"",""CRONUS JetCorp USA"",""21"",""1"",""335869"""</f>
        <v>"NAV Direct","CRONUS JetCorp USA","21","1","335869"</v>
      </c>
      <c r="E3650" s="31">
        <f t="shared" si="1114"/>
        <v>0</v>
      </c>
      <c r="F3650" s="31"/>
      <c r="G3650" s="31"/>
      <c r="H3650" s="31"/>
      <c r="I3650" s="56"/>
      <c r="J3650" s="56"/>
      <c r="K3650" s="82" t="str">
        <f t="shared" si="1115"/>
        <v>Invoice</v>
      </c>
      <c r="L3650" s="83" t="str">
        <f>"SI_110613"</f>
        <v>SI_110613</v>
      </c>
      <c r="M3650" s="84">
        <v>42492</v>
      </c>
      <c r="N3650" s="85">
        <f t="shared" si="1116"/>
        <v>1320</v>
      </c>
      <c r="O3650" s="86">
        <f t="shared" si="1117"/>
        <v>15908.95</v>
      </c>
      <c r="P3650" s="86">
        <f t="shared" si="1118"/>
        <v>0</v>
      </c>
      <c r="Q3650" s="86">
        <f t="shared" si="1119"/>
        <v>0</v>
      </c>
      <c r="R3650" s="86">
        <f t="shared" si="1120"/>
        <v>0</v>
      </c>
      <c r="S3650" s="86">
        <f t="shared" si="1121"/>
        <v>0</v>
      </c>
      <c r="T3650" s="86">
        <f t="shared" si="1122"/>
        <v>15908.95</v>
      </c>
      <c r="U3650" s="87">
        <v>15908.95</v>
      </c>
    </row>
    <row r="3651" spans="1:21" s="30" customFormat="1" ht="24.6" hidden="1" outlineLevel="1" x14ac:dyDescent="0.55000000000000004">
      <c r="A3651" s="27" t="s">
        <v>327</v>
      </c>
      <c r="B3651" s="28"/>
      <c r="C3651" s="27"/>
      <c r="D3651" s="27" t="str">
        <f>"""NAV Direct"",""CRONUS JetCorp USA"",""21"",""1"",""336310"""</f>
        <v>"NAV Direct","CRONUS JetCorp USA","21","1","336310"</v>
      </c>
      <c r="E3651" s="31" t="str">
        <f t="shared" si="1114"/>
        <v>C100104</v>
      </c>
      <c r="F3651" s="31"/>
      <c r="G3651" s="31"/>
      <c r="H3651" s="31"/>
      <c r="I3651" s="56"/>
      <c r="J3651" s="56"/>
      <c r="K3651" s="82" t="str">
        <f t="shared" si="1115"/>
        <v>Invoice</v>
      </c>
      <c r="L3651" s="83" t="str">
        <f>"SI_110624"</f>
        <v>SI_110624</v>
      </c>
      <c r="M3651" s="84">
        <v>42541</v>
      </c>
      <c r="N3651" s="85">
        <f t="shared" si="1116"/>
        <v>1271</v>
      </c>
      <c r="O3651" s="86">
        <f t="shared" si="1117"/>
        <v>17470.04</v>
      </c>
      <c r="P3651" s="86">
        <f t="shared" si="1118"/>
        <v>0</v>
      </c>
      <c r="Q3651" s="86">
        <f t="shared" si="1119"/>
        <v>0</v>
      </c>
      <c r="R3651" s="86">
        <f t="shared" si="1120"/>
        <v>0</v>
      </c>
      <c r="S3651" s="86">
        <f t="shared" si="1121"/>
        <v>0</v>
      </c>
      <c r="T3651" s="86">
        <f t="shared" si="1122"/>
        <v>17470.04</v>
      </c>
      <c r="U3651" s="87">
        <v>17470.04</v>
      </c>
    </row>
    <row r="3652" spans="1:21" s="30" customFormat="1" ht="24.6" hidden="1" outlineLevel="1" x14ac:dyDescent="0.55000000000000004">
      <c r="A3652" s="27" t="s">
        <v>327</v>
      </c>
      <c r="B3652" s="28"/>
      <c r="C3652" s="27"/>
      <c r="D3652" s="27" t="str">
        <f>"""NAV Direct"",""CRONUS JetCorp USA"",""21"",""1"",""336481"""</f>
        <v>"NAV Direct","CRONUS JetCorp USA","21","1","336481"</v>
      </c>
      <c r="E3652" s="31">
        <f t="shared" si="1114"/>
        <v>0</v>
      </c>
      <c r="F3652" s="31"/>
      <c r="G3652" s="31"/>
      <c r="H3652" s="31"/>
      <c r="I3652" s="56"/>
      <c r="J3652" s="56"/>
      <c r="K3652" s="82" t="str">
        <f t="shared" si="1115"/>
        <v>Invoice</v>
      </c>
      <c r="L3652" s="83" t="str">
        <f>"SI_110629"</f>
        <v>SI_110629</v>
      </c>
      <c r="M3652" s="84">
        <v>42550</v>
      </c>
      <c r="N3652" s="85">
        <f t="shared" si="1116"/>
        <v>1262</v>
      </c>
      <c r="O3652" s="86">
        <f t="shared" si="1117"/>
        <v>16893.93</v>
      </c>
      <c r="P3652" s="86">
        <f t="shared" si="1118"/>
        <v>0</v>
      </c>
      <c r="Q3652" s="86">
        <f t="shared" si="1119"/>
        <v>0</v>
      </c>
      <c r="R3652" s="86">
        <f t="shared" si="1120"/>
        <v>0</v>
      </c>
      <c r="S3652" s="86">
        <f t="shared" si="1121"/>
        <v>0</v>
      </c>
      <c r="T3652" s="86">
        <f t="shared" si="1122"/>
        <v>16893.93</v>
      </c>
      <c r="U3652" s="87">
        <v>16893.93</v>
      </c>
    </row>
    <row r="3653" spans="1:21" s="30" customFormat="1" ht="24.6" hidden="1" outlineLevel="1" x14ac:dyDescent="0.55000000000000004">
      <c r="A3653" s="27" t="s">
        <v>327</v>
      </c>
      <c r="B3653" s="28"/>
      <c r="C3653" s="27"/>
      <c r="D3653" s="27" t="str">
        <f>"""NAV Direct"",""CRONUS JetCorp USA"",""21"",""1"",""336668"""</f>
        <v>"NAV Direct","CRONUS JetCorp USA","21","1","336668"</v>
      </c>
      <c r="E3653" s="31" t="str">
        <f t="shared" si="1114"/>
        <v>C100104</v>
      </c>
      <c r="F3653" s="31"/>
      <c r="G3653" s="31"/>
      <c r="H3653" s="31"/>
      <c r="I3653" s="56"/>
      <c r="J3653" s="56"/>
      <c r="K3653" s="82" t="str">
        <f t="shared" si="1115"/>
        <v>Invoice</v>
      </c>
      <c r="L3653" s="83" t="str">
        <f>"SI_110634"</f>
        <v>SI_110634</v>
      </c>
      <c r="M3653" s="84">
        <v>42583</v>
      </c>
      <c r="N3653" s="85">
        <f t="shared" si="1116"/>
        <v>1229</v>
      </c>
      <c r="O3653" s="86">
        <f t="shared" si="1117"/>
        <v>17068.210000000003</v>
      </c>
      <c r="P3653" s="86">
        <f t="shared" si="1118"/>
        <v>0</v>
      </c>
      <c r="Q3653" s="86">
        <f t="shared" si="1119"/>
        <v>0</v>
      </c>
      <c r="R3653" s="86">
        <f t="shared" si="1120"/>
        <v>0</v>
      </c>
      <c r="S3653" s="86">
        <f t="shared" si="1121"/>
        <v>0</v>
      </c>
      <c r="T3653" s="86">
        <f t="shared" si="1122"/>
        <v>17068.210000000003</v>
      </c>
      <c r="U3653" s="87">
        <v>17068.210000000003</v>
      </c>
    </row>
    <row r="3654" spans="1:21" s="30" customFormat="1" ht="24.6" hidden="1" outlineLevel="1" x14ac:dyDescent="0.55000000000000004">
      <c r="A3654" s="27" t="s">
        <v>327</v>
      </c>
      <c r="B3654" s="28"/>
      <c r="C3654" s="27"/>
      <c r="D3654" s="27" t="str">
        <f>"""NAV Direct"",""CRONUS JetCorp USA"",""21"",""1"",""336779"""</f>
        <v>"NAV Direct","CRONUS JetCorp USA","21","1","336779"</v>
      </c>
      <c r="E3654" s="31">
        <f t="shared" si="1114"/>
        <v>0</v>
      </c>
      <c r="F3654" s="31"/>
      <c r="G3654" s="31"/>
      <c r="H3654" s="31"/>
      <c r="I3654" s="56"/>
      <c r="J3654" s="56"/>
      <c r="K3654" s="82" t="str">
        <f t="shared" si="1115"/>
        <v>Invoice</v>
      </c>
      <c r="L3654" s="83" t="str">
        <f>"SI_110637"</f>
        <v>SI_110637</v>
      </c>
      <c r="M3654" s="84">
        <v>42604</v>
      </c>
      <c r="N3654" s="85">
        <f t="shared" si="1116"/>
        <v>1208</v>
      </c>
      <c r="O3654" s="86">
        <f t="shared" si="1117"/>
        <v>17436.64</v>
      </c>
      <c r="P3654" s="86">
        <f t="shared" si="1118"/>
        <v>0</v>
      </c>
      <c r="Q3654" s="86">
        <f t="shared" si="1119"/>
        <v>0</v>
      </c>
      <c r="R3654" s="86">
        <f t="shared" si="1120"/>
        <v>0</v>
      </c>
      <c r="S3654" s="86">
        <f t="shared" si="1121"/>
        <v>0</v>
      </c>
      <c r="T3654" s="86">
        <f t="shared" si="1122"/>
        <v>17436.64</v>
      </c>
      <c r="U3654" s="87">
        <v>17436.64</v>
      </c>
    </row>
    <row r="3655" spans="1:21" s="30" customFormat="1" ht="24.6" hidden="1" outlineLevel="1" x14ac:dyDescent="0.55000000000000004">
      <c r="A3655" s="27" t="s">
        <v>327</v>
      </c>
      <c r="B3655" s="28"/>
      <c r="C3655" s="27"/>
      <c r="D3655" s="27" t="str">
        <f>"""NAV Direct"",""CRONUS JetCorp USA"",""21"",""1"",""338209"""</f>
        <v>"NAV Direct","CRONUS JetCorp USA","21","1","338209"</v>
      </c>
      <c r="E3655" s="31" t="str">
        <f t="shared" si="1114"/>
        <v>C100104</v>
      </c>
      <c r="F3655" s="31"/>
      <c r="G3655" s="31"/>
      <c r="H3655" s="31"/>
      <c r="I3655" s="56"/>
      <c r="J3655" s="56"/>
      <c r="K3655" s="82" t="str">
        <f t="shared" si="1115"/>
        <v>Invoice</v>
      </c>
      <c r="L3655" s="83" t="str">
        <f>"SI_110677"</f>
        <v>SI_110677</v>
      </c>
      <c r="M3655" s="84">
        <v>42769</v>
      </c>
      <c r="N3655" s="85">
        <f t="shared" si="1116"/>
        <v>1043</v>
      </c>
      <c r="O3655" s="86">
        <f t="shared" si="1117"/>
        <v>19226.87</v>
      </c>
      <c r="P3655" s="86">
        <f t="shared" si="1118"/>
        <v>0</v>
      </c>
      <c r="Q3655" s="86">
        <f t="shared" si="1119"/>
        <v>0</v>
      </c>
      <c r="R3655" s="86">
        <f t="shared" si="1120"/>
        <v>0</v>
      </c>
      <c r="S3655" s="86">
        <f t="shared" si="1121"/>
        <v>0</v>
      </c>
      <c r="T3655" s="86">
        <f t="shared" si="1122"/>
        <v>19226.87</v>
      </c>
      <c r="U3655" s="87">
        <v>19226.87</v>
      </c>
    </row>
    <row r="3656" spans="1:21" s="30" customFormat="1" ht="24.6" hidden="1" outlineLevel="1" x14ac:dyDescent="0.55000000000000004">
      <c r="A3656" s="27" t="s">
        <v>327</v>
      </c>
      <c r="B3656" s="28"/>
      <c r="C3656" s="27"/>
      <c r="D3656" s="27" t="str">
        <f>"""NAV Direct"",""CRONUS JetCorp USA"",""21"",""1"",""338785"""</f>
        <v>"NAV Direct","CRONUS JetCorp USA","21","1","338785"</v>
      </c>
      <c r="E3656" s="31">
        <f t="shared" si="1114"/>
        <v>0</v>
      </c>
      <c r="F3656" s="31"/>
      <c r="G3656" s="31"/>
      <c r="H3656" s="31"/>
      <c r="I3656" s="56"/>
      <c r="J3656" s="56"/>
      <c r="K3656" s="82" t="str">
        <f t="shared" si="1115"/>
        <v>Invoice</v>
      </c>
      <c r="L3656" s="83" t="str">
        <f>"SI_110691"</f>
        <v>SI_110691</v>
      </c>
      <c r="M3656" s="84">
        <v>42854</v>
      </c>
      <c r="N3656" s="85">
        <f t="shared" si="1116"/>
        <v>958</v>
      </c>
      <c r="O3656" s="86">
        <f t="shared" si="1117"/>
        <v>18190.91</v>
      </c>
      <c r="P3656" s="86">
        <f t="shared" si="1118"/>
        <v>0</v>
      </c>
      <c r="Q3656" s="86">
        <f t="shared" si="1119"/>
        <v>0</v>
      </c>
      <c r="R3656" s="86">
        <f t="shared" si="1120"/>
        <v>0</v>
      </c>
      <c r="S3656" s="86">
        <f t="shared" si="1121"/>
        <v>0</v>
      </c>
      <c r="T3656" s="86">
        <f t="shared" si="1122"/>
        <v>18190.91</v>
      </c>
      <c r="U3656" s="87">
        <v>18190.91</v>
      </c>
    </row>
    <row r="3657" spans="1:21" s="30" customFormat="1" ht="24.6" hidden="1" outlineLevel="1" x14ac:dyDescent="0.55000000000000004">
      <c r="A3657" s="27" t="s">
        <v>327</v>
      </c>
      <c r="B3657" s="28"/>
      <c r="C3657" s="27"/>
      <c r="D3657" s="27" t="str">
        <f>"""NAV Direct"",""CRONUS JetCorp USA"",""21"",""1"",""339593"""</f>
        <v>"NAV Direct","CRONUS JetCorp USA","21","1","339593"</v>
      </c>
      <c r="E3657" s="31" t="str">
        <f t="shared" si="1114"/>
        <v>C100104</v>
      </c>
      <c r="F3657" s="31"/>
      <c r="G3657" s="31"/>
      <c r="H3657" s="31"/>
      <c r="I3657" s="56"/>
      <c r="J3657" s="56"/>
      <c r="K3657" s="82" t="str">
        <f t="shared" si="1115"/>
        <v>Invoice</v>
      </c>
      <c r="L3657" s="83" t="str">
        <f>"SI_110711"</f>
        <v>SI_110711</v>
      </c>
      <c r="M3657" s="84">
        <v>42927</v>
      </c>
      <c r="N3657" s="85">
        <f t="shared" si="1116"/>
        <v>885</v>
      </c>
      <c r="O3657" s="86">
        <f t="shared" si="1117"/>
        <v>19154.66</v>
      </c>
      <c r="P3657" s="86">
        <f t="shared" si="1118"/>
        <v>0</v>
      </c>
      <c r="Q3657" s="86">
        <f t="shared" si="1119"/>
        <v>0</v>
      </c>
      <c r="R3657" s="86">
        <f t="shared" si="1120"/>
        <v>0</v>
      </c>
      <c r="S3657" s="86">
        <f t="shared" si="1121"/>
        <v>0</v>
      </c>
      <c r="T3657" s="86">
        <f t="shared" si="1122"/>
        <v>19154.66</v>
      </c>
      <c r="U3657" s="87">
        <v>19154.66</v>
      </c>
    </row>
    <row r="3658" spans="1:21" s="30" customFormat="1" ht="24.6" hidden="1" outlineLevel="1" x14ac:dyDescent="0.55000000000000004">
      <c r="A3658" s="27" t="s">
        <v>327</v>
      </c>
      <c r="B3658" s="28"/>
      <c r="C3658" s="27"/>
      <c r="D3658" s="27" t="str">
        <f>"""NAV Direct"",""CRONUS JetCorp USA"",""21"",""1"",""341016"""</f>
        <v>"NAV Direct","CRONUS JetCorp USA","21","1","341016"</v>
      </c>
      <c r="E3658" s="31">
        <f t="shared" si="1114"/>
        <v>0</v>
      </c>
      <c r="F3658" s="31"/>
      <c r="G3658" s="31"/>
      <c r="H3658" s="31"/>
      <c r="I3658" s="56"/>
      <c r="J3658" s="56"/>
      <c r="K3658" s="82" t="str">
        <f t="shared" si="1115"/>
        <v>Invoice</v>
      </c>
      <c r="L3658" s="83" t="str">
        <f>"SI_110748"</f>
        <v>SI_110748</v>
      </c>
      <c r="M3658" s="84">
        <v>43067</v>
      </c>
      <c r="N3658" s="85">
        <f t="shared" si="1116"/>
        <v>745</v>
      </c>
      <c r="O3658" s="86">
        <f t="shared" si="1117"/>
        <v>19495.61</v>
      </c>
      <c r="P3658" s="86">
        <f t="shared" si="1118"/>
        <v>0</v>
      </c>
      <c r="Q3658" s="86">
        <f t="shared" si="1119"/>
        <v>0</v>
      </c>
      <c r="R3658" s="86">
        <f t="shared" si="1120"/>
        <v>0</v>
      </c>
      <c r="S3658" s="86">
        <f t="shared" si="1121"/>
        <v>0</v>
      </c>
      <c r="T3658" s="86">
        <f t="shared" si="1122"/>
        <v>19495.61</v>
      </c>
      <c r="U3658" s="87">
        <v>19495.61</v>
      </c>
    </row>
    <row r="3659" spans="1:21" s="30" customFormat="1" ht="24.6" hidden="1" outlineLevel="1" x14ac:dyDescent="0.55000000000000004">
      <c r="A3659" s="27" t="s">
        <v>327</v>
      </c>
      <c r="B3659" s="28"/>
      <c r="C3659" s="27"/>
      <c r="D3659" s="27" t="str">
        <f>"""NAV Direct"",""CRONUS JetCorp USA"",""21"",""1"",""341448"""</f>
        <v>"NAV Direct","CRONUS JetCorp USA","21","1","341448"</v>
      </c>
      <c r="E3659" s="31" t="str">
        <f t="shared" si="1114"/>
        <v>C100104</v>
      </c>
      <c r="F3659" s="31"/>
      <c r="G3659" s="31"/>
      <c r="H3659" s="31"/>
      <c r="I3659" s="56"/>
      <c r="J3659" s="56"/>
      <c r="K3659" s="82" t="str">
        <f t="shared" si="1115"/>
        <v>Invoice</v>
      </c>
      <c r="L3659" s="83" t="str">
        <f>"SI_110760"</f>
        <v>SI_110760</v>
      </c>
      <c r="M3659" s="84">
        <v>43116</v>
      </c>
      <c r="N3659" s="85">
        <f t="shared" si="1116"/>
        <v>696</v>
      </c>
      <c r="O3659" s="86">
        <f t="shared" si="1117"/>
        <v>18882.21</v>
      </c>
      <c r="P3659" s="86">
        <f t="shared" si="1118"/>
        <v>0</v>
      </c>
      <c r="Q3659" s="86">
        <f t="shared" si="1119"/>
        <v>0</v>
      </c>
      <c r="R3659" s="86">
        <f t="shared" si="1120"/>
        <v>0</v>
      </c>
      <c r="S3659" s="86">
        <f t="shared" si="1121"/>
        <v>0</v>
      </c>
      <c r="T3659" s="86">
        <f t="shared" si="1122"/>
        <v>18882.21</v>
      </c>
      <c r="U3659" s="87">
        <v>18882.21</v>
      </c>
    </row>
    <row r="3660" spans="1:21" s="30" customFormat="1" ht="24.6" hidden="1" outlineLevel="1" x14ac:dyDescent="0.55000000000000004">
      <c r="A3660" s="27" t="s">
        <v>327</v>
      </c>
      <c r="B3660" s="28"/>
      <c r="C3660" s="27"/>
      <c r="D3660" s="27" t="str">
        <f>"""NAV Direct"",""CRONUS JetCorp USA"",""21"",""1"",""342343"""</f>
        <v>"NAV Direct","CRONUS JetCorp USA","21","1","342343"</v>
      </c>
      <c r="E3660" s="31">
        <f t="shared" si="1114"/>
        <v>0</v>
      </c>
      <c r="F3660" s="31"/>
      <c r="G3660" s="31"/>
      <c r="H3660" s="31"/>
      <c r="I3660" s="56"/>
      <c r="J3660" s="56"/>
      <c r="K3660" s="82" t="str">
        <f t="shared" si="1115"/>
        <v>Invoice</v>
      </c>
      <c r="L3660" s="83" t="str">
        <f>"SI_110783"</f>
        <v>SI_110783</v>
      </c>
      <c r="M3660" s="84">
        <v>43217</v>
      </c>
      <c r="N3660" s="85">
        <f t="shared" si="1116"/>
        <v>595</v>
      </c>
      <c r="O3660" s="86">
        <f t="shared" si="1117"/>
        <v>18975.259999999998</v>
      </c>
      <c r="P3660" s="86">
        <f t="shared" si="1118"/>
        <v>0</v>
      </c>
      <c r="Q3660" s="86">
        <f t="shared" si="1119"/>
        <v>0</v>
      </c>
      <c r="R3660" s="86">
        <f t="shared" si="1120"/>
        <v>0</v>
      </c>
      <c r="S3660" s="86">
        <f t="shared" si="1121"/>
        <v>0</v>
      </c>
      <c r="T3660" s="86">
        <f t="shared" si="1122"/>
        <v>18975.259999999998</v>
      </c>
      <c r="U3660" s="87">
        <v>18975.259999999998</v>
      </c>
    </row>
    <row r="3661" spans="1:21" s="30" customFormat="1" ht="24.6" hidden="1" outlineLevel="1" x14ac:dyDescent="0.55000000000000004">
      <c r="A3661" s="27" t="s">
        <v>327</v>
      </c>
      <c r="B3661" s="28"/>
      <c r="C3661" s="27"/>
      <c r="D3661" s="27" t="str">
        <f>"""NAV Direct"",""CRONUS JetCorp USA"",""21"",""1"",""342532"""</f>
        <v>"NAV Direct","CRONUS JetCorp USA","21","1","342532"</v>
      </c>
      <c r="E3661" s="31" t="str">
        <f t="shared" si="1114"/>
        <v>C100104</v>
      </c>
      <c r="F3661" s="31"/>
      <c r="G3661" s="31"/>
      <c r="H3661" s="31"/>
      <c r="I3661" s="56"/>
      <c r="J3661" s="56"/>
      <c r="K3661" s="82" t="str">
        <f t="shared" si="1115"/>
        <v>Invoice</v>
      </c>
      <c r="L3661" s="83" t="str">
        <f>"SI_110788"</f>
        <v>SI_110788</v>
      </c>
      <c r="M3661" s="84">
        <v>43236</v>
      </c>
      <c r="N3661" s="85">
        <f t="shared" si="1116"/>
        <v>576</v>
      </c>
      <c r="O3661" s="86">
        <f t="shared" si="1117"/>
        <v>20276.63</v>
      </c>
      <c r="P3661" s="86">
        <f t="shared" si="1118"/>
        <v>0</v>
      </c>
      <c r="Q3661" s="86">
        <f t="shared" si="1119"/>
        <v>0</v>
      </c>
      <c r="R3661" s="86">
        <f t="shared" si="1120"/>
        <v>0</v>
      </c>
      <c r="S3661" s="86">
        <f t="shared" si="1121"/>
        <v>0</v>
      </c>
      <c r="T3661" s="86">
        <f t="shared" si="1122"/>
        <v>20276.63</v>
      </c>
      <c r="U3661" s="87">
        <v>20276.63</v>
      </c>
    </row>
    <row r="3662" spans="1:21" s="30" customFormat="1" ht="24.6" hidden="1" outlineLevel="1" x14ac:dyDescent="0.55000000000000004">
      <c r="A3662" s="27" t="s">
        <v>327</v>
      </c>
      <c r="B3662" s="28"/>
      <c r="C3662" s="27"/>
      <c r="D3662" s="27" t="str">
        <f>"""NAV Direct"",""CRONUS JetCorp USA"",""21"",""1"",""342920"""</f>
        <v>"NAV Direct","CRONUS JetCorp USA","21","1","342920"</v>
      </c>
      <c r="E3662" s="31">
        <f t="shared" si="1114"/>
        <v>0</v>
      </c>
      <c r="F3662" s="31"/>
      <c r="G3662" s="31"/>
      <c r="H3662" s="31"/>
      <c r="I3662" s="56"/>
      <c r="J3662" s="56"/>
      <c r="K3662" s="82" t="str">
        <f t="shared" si="1115"/>
        <v>Invoice</v>
      </c>
      <c r="L3662" s="83" t="str">
        <f>"SI_110798"</f>
        <v>SI_110798</v>
      </c>
      <c r="M3662" s="84">
        <v>43274</v>
      </c>
      <c r="N3662" s="85">
        <f t="shared" si="1116"/>
        <v>538</v>
      </c>
      <c r="O3662" s="86">
        <f t="shared" si="1117"/>
        <v>20419.599999999999</v>
      </c>
      <c r="P3662" s="86">
        <f t="shared" si="1118"/>
        <v>0</v>
      </c>
      <c r="Q3662" s="86">
        <f t="shared" si="1119"/>
        <v>0</v>
      </c>
      <c r="R3662" s="86">
        <f t="shared" si="1120"/>
        <v>0</v>
      </c>
      <c r="S3662" s="86">
        <f t="shared" si="1121"/>
        <v>0</v>
      </c>
      <c r="T3662" s="86">
        <f t="shared" si="1122"/>
        <v>20419.599999999999</v>
      </c>
      <c r="U3662" s="87">
        <v>20419.599999999999</v>
      </c>
    </row>
    <row r="3663" spans="1:21" s="30" customFormat="1" ht="24.6" hidden="1" outlineLevel="1" x14ac:dyDescent="0.55000000000000004">
      <c r="A3663" s="27" t="s">
        <v>327</v>
      </c>
      <c r="B3663" s="28"/>
      <c r="C3663" s="27"/>
      <c r="D3663" s="27" t="str">
        <f>"""NAV Direct"",""CRONUS JetCorp USA"",""21"",""1"",""342965"""</f>
        <v>"NAV Direct","CRONUS JetCorp USA","21","1","342965"</v>
      </c>
      <c r="E3663" s="31" t="str">
        <f t="shared" si="1114"/>
        <v>C100104</v>
      </c>
      <c r="F3663" s="31"/>
      <c r="G3663" s="31"/>
      <c r="H3663" s="31"/>
      <c r="I3663" s="56"/>
      <c r="J3663" s="56"/>
      <c r="K3663" s="82" t="str">
        <f t="shared" si="1115"/>
        <v>Invoice</v>
      </c>
      <c r="L3663" s="83" t="str">
        <f>"SI_110799"</f>
        <v>SI_110799</v>
      </c>
      <c r="M3663" s="84">
        <v>43282</v>
      </c>
      <c r="N3663" s="85">
        <f t="shared" si="1116"/>
        <v>530</v>
      </c>
      <c r="O3663" s="86">
        <f t="shared" si="1117"/>
        <v>20844.919999999998</v>
      </c>
      <c r="P3663" s="86">
        <f t="shared" si="1118"/>
        <v>0</v>
      </c>
      <c r="Q3663" s="86">
        <f t="shared" si="1119"/>
        <v>0</v>
      </c>
      <c r="R3663" s="86">
        <f t="shared" si="1120"/>
        <v>0</v>
      </c>
      <c r="S3663" s="86">
        <f t="shared" si="1121"/>
        <v>0</v>
      </c>
      <c r="T3663" s="86">
        <f t="shared" si="1122"/>
        <v>20844.919999999998</v>
      </c>
      <c r="U3663" s="87">
        <v>20844.919999999998</v>
      </c>
    </row>
    <row r="3664" spans="1:21" s="30" customFormat="1" ht="24.6" hidden="1" outlineLevel="1" x14ac:dyDescent="0.55000000000000004">
      <c r="A3664" s="27" t="s">
        <v>327</v>
      </c>
      <c r="B3664" s="28"/>
      <c r="C3664" s="27"/>
      <c r="D3664" s="27" t="str">
        <f>"""NAV Direct"",""CRONUS JetCorp USA"",""21"",""1"",""343355"""</f>
        <v>"NAV Direct","CRONUS JetCorp USA","21","1","343355"</v>
      </c>
      <c r="E3664" s="31">
        <f t="shared" si="1114"/>
        <v>0</v>
      </c>
      <c r="F3664" s="31"/>
      <c r="G3664" s="31"/>
      <c r="H3664" s="31"/>
      <c r="I3664" s="56"/>
      <c r="J3664" s="56"/>
      <c r="K3664" s="82" t="str">
        <f t="shared" si="1115"/>
        <v>Invoice</v>
      </c>
      <c r="L3664" s="83" t="str">
        <f>"SI_110809"</f>
        <v>SI_110809</v>
      </c>
      <c r="M3664" s="84">
        <v>43306</v>
      </c>
      <c r="N3664" s="85">
        <f t="shared" si="1116"/>
        <v>506</v>
      </c>
      <c r="O3664" s="86">
        <f t="shared" si="1117"/>
        <v>20302.55</v>
      </c>
      <c r="P3664" s="86">
        <f t="shared" si="1118"/>
        <v>0</v>
      </c>
      <c r="Q3664" s="86">
        <f t="shared" si="1119"/>
        <v>0</v>
      </c>
      <c r="R3664" s="86">
        <f t="shared" si="1120"/>
        <v>0</v>
      </c>
      <c r="S3664" s="86">
        <f t="shared" si="1121"/>
        <v>0</v>
      </c>
      <c r="T3664" s="86">
        <f t="shared" si="1122"/>
        <v>20302.55</v>
      </c>
      <c r="U3664" s="87">
        <v>20302.55</v>
      </c>
    </row>
    <row r="3665" spans="1:21" s="30" customFormat="1" ht="24.6" hidden="1" outlineLevel="1" x14ac:dyDescent="0.55000000000000004">
      <c r="A3665" s="27" t="s">
        <v>327</v>
      </c>
      <c r="B3665" s="28"/>
      <c r="C3665" s="27"/>
      <c r="D3665" s="27" t="str">
        <f>"""NAV Direct"",""CRONUS JetCorp USA"",""21"",""1"",""343392"""</f>
        <v>"NAV Direct","CRONUS JetCorp USA","21","1","343392"</v>
      </c>
      <c r="E3665" s="31" t="str">
        <f t="shared" si="1114"/>
        <v>C100104</v>
      </c>
      <c r="F3665" s="31"/>
      <c r="G3665" s="31"/>
      <c r="H3665" s="31"/>
      <c r="I3665" s="56"/>
      <c r="J3665" s="56"/>
      <c r="K3665" s="82" t="str">
        <f t="shared" si="1115"/>
        <v>Invoice</v>
      </c>
      <c r="L3665" s="83" t="str">
        <f>"SI_110810"</f>
        <v>SI_110810</v>
      </c>
      <c r="M3665" s="84">
        <v>43308</v>
      </c>
      <c r="N3665" s="85">
        <f t="shared" si="1116"/>
        <v>504</v>
      </c>
      <c r="O3665" s="86">
        <f t="shared" si="1117"/>
        <v>19474.07</v>
      </c>
      <c r="P3665" s="86">
        <f t="shared" si="1118"/>
        <v>0</v>
      </c>
      <c r="Q3665" s="86">
        <f t="shared" si="1119"/>
        <v>0</v>
      </c>
      <c r="R3665" s="86">
        <f t="shared" si="1120"/>
        <v>0</v>
      </c>
      <c r="S3665" s="86">
        <f t="shared" si="1121"/>
        <v>0</v>
      </c>
      <c r="T3665" s="86">
        <f t="shared" si="1122"/>
        <v>19474.07</v>
      </c>
      <c r="U3665" s="87">
        <v>19474.07</v>
      </c>
    </row>
    <row r="3666" spans="1:21" s="30" customFormat="1" ht="24.6" hidden="1" outlineLevel="1" x14ac:dyDescent="0.55000000000000004">
      <c r="A3666" s="27" t="s">
        <v>327</v>
      </c>
      <c r="B3666" s="28"/>
      <c r="C3666" s="27"/>
      <c r="D3666" s="27" t="str">
        <f>"""NAV Direct"",""CRONUS JetCorp USA"",""21"",""1"",""343458"""</f>
        <v>"NAV Direct","CRONUS JetCorp USA","21","1","343458"</v>
      </c>
      <c r="E3666" s="31">
        <f t="shared" si="1114"/>
        <v>0</v>
      </c>
      <c r="F3666" s="31"/>
      <c r="G3666" s="31"/>
      <c r="H3666" s="31"/>
      <c r="I3666" s="56"/>
      <c r="J3666" s="56"/>
      <c r="K3666" s="82" t="str">
        <f t="shared" si="1115"/>
        <v>Invoice</v>
      </c>
      <c r="L3666" s="83" t="str">
        <f>"SI_110812"</f>
        <v>SI_110812</v>
      </c>
      <c r="M3666" s="84">
        <v>43338</v>
      </c>
      <c r="N3666" s="85">
        <f t="shared" si="1116"/>
        <v>474</v>
      </c>
      <c r="O3666" s="86">
        <f t="shared" si="1117"/>
        <v>18271.88</v>
      </c>
      <c r="P3666" s="86">
        <f t="shared" si="1118"/>
        <v>0</v>
      </c>
      <c r="Q3666" s="86">
        <f t="shared" si="1119"/>
        <v>0</v>
      </c>
      <c r="R3666" s="86">
        <f t="shared" si="1120"/>
        <v>0</v>
      </c>
      <c r="S3666" s="86">
        <f t="shared" si="1121"/>
        <v>0</v>
      </c>
      <c r="T3666" s="86">
        <f t="shared" si="1122"/>
        <v>18271.88</v>
      </c>
      <c r="U3666" s="87">
        <v>18271.88</v>
      </c>
    </row>
    <row r="3667" spans="1:21" s="30" customFormat="1" ht="24.6" hidden="1" outlineLevel="1" x14ac:dyDescent="0.55000000000000004">
      <c r="A3667" s="27" t="s">
        <v>327</v>
      </c>
      <c r="B3667" s="28"/>
      <c r="C3667" s="27"/>
      <c r="D3667" s="27" t="str">
        <f>"""NAV Direct"",""CRONUS JetCorp USA"",""21"",""1"",""343536"""</f>
        <v>"NAV Direct","CRONUS JetCorp USA","21","1","343536"</v>
      </c>
      <c r="E3667" s="31" t="str">
        <f t="shared" si="1114"/>
        <v>C100104</v>
      </c>
      <c r="F3667" s="31"/>
      <c r="G3667" s="31"/>
      <c r="H3667" s="31"/>
      <c r="I3667" s="56"/>
      <c r="J3667" s="56"/>
      <c r="K3667" s="82" t="str">
        <f t="shared" si="1115"/>
        <v>Invoice</v>
      </c>
      <c r="L3667" s="83" t="str">
        <f>"SI_110814"</f>
        <v>SI_110814</v>
      </c>
      <c r="M3667" s="84">
        <v>43341</v>
      </c>
      <c r="N3667" s="85">
        <f t="shared" si="1116"/>
        <v>471</v>
      </c>
      <c r="O3667" s="86">
        <f t="shared" si="1117"/>
        <v>19287.16</v>
      </c>
      <c r="P3667" s="86">
        <f t="shared" si="1118"/>
        <v>0</v>
      </c>
      <c r="Q3667" s="86">
        <f t="shared" si="1119"/>
        <v>0</v>
      </c>
      <c r="R3667" s="86">
        <f t="shared" si="1120"/>
        <v>0</v>
      </c>
      <c r="S3667" s="86">
        <f t="shared" si="1121"/>
        <v>0</v>
      </c>
      <c r="T3667" s="86">
        <f t="shared" si="1122"/>
        <v>19287.16</v>
      </c>
      <c r="U3667" s="87">
        <v>19287.16</v>
      </c>
    </row>
    <row r="3668" spans="1:21" s="30" customFormat="1" ht="24.6" hidden="1" outlineLevel="1" x14ac:dyDescent="0.55000000000000004">
      <c r="A3668" s="27" t="s">
        <v>327</v>
      </c>
      <c r="B3668" s="28"/>
      <c r="C3668" s="27"/>
      <c r="D3668" s="27" t="str">
        <f>"""NAV Direct"",""CRONUS JetCorp USA"",""21"",""1"",""343608"""</f>
        <v>"NAV Direct","CRONUS JetCorp USA","21","1","343608"</v>
      </c>
      <c r="E3668" s="31">
        <f t="shared" si="1114"/>
        <v>0</v>
      </c>
      <c r="F3668" s="31"/>
      <c r="G3668" s="31"/>
      <c r="H3668" s="31"/>
      <c r="I3668" s="56"/>
      <c r="J3668" s="56"/>
      <c r="K3668" s="82" t="str">
        <f t="shared" si="1115"/>
        <v>Invoice</v>
      </c>
      <c r="L3668" s="83" t="str">
        <f>"SI_110816"</f>
        <v>SI_110816</v>
      </c>
      <c r="M3668" s="84">
        <v>43341</v>
      </c>
      <c r="N3668" s="85">
        <f t="shared" si="1116"/>
        <v>471</v>
      </c>
      <c r="O3668" s="86">
        <f t="shared" si="1117"/>
        <v>19287.7</v>
      </c>
      <c r="P3668" s="86">
        <f t="shared" si="1118"/>
        <v>0</v>
      </c>
      <c r="Q3668" s="86">
        <f t="shared" si="1119"/>
        <v>0</v>
      </c>
      <c r="R3668" s="86">
        <f t="shared" si="1120"/>
        <v>0</v>
      </c>
      <c r="S3668" s="86">
        <f t="shared" si="1121"/>
        <v>0</v>
      </c>
      <c r="T3668" s="86">
        <f t="shared" si="1122"/>
        <v>19287.7</v>
      </c>
      <c r="U3668" s="87">
        <v>19287.7</v>
      </c>
    </row>
    <row r="3669" spans="1:21" s="30" customFormat="1" ht="24.6" hidden="1" outlineLevel="1" x14ac:dyDescent="0.55000000000000004">
      <c r="A3669" s="27" t="s">
        <v>327</v>
      </c>
      <c r="B3669" s="28"/>
      <c r="C3669" s="27"/>
      <c r="D3669" s="27" t="str">
        <f>"""NAV Direct"",""CRONUS JetCorp USA"",""21"",""1"",""343920"""</f>
        <v>"NAV Direct","CRONUS JetCorp USA","21","1","343920"</v>
      </c>
      <c r="E3669" s="31" t="str">
        <f t="shared" si="1114"/>
        <v>C100104</v>
      </c>
      <c r="F3669" s="31"/>
      <c r="G3669" s="31"/>
      <c r="H3669" s="31"/>
      <c r="I3669" s="56"/>
      <c r="J3669" s="56"/>
      <c r="K3669" s="82" t="str">
        <f t="shared" si="1115"/>
        <v>Invoice</v>
      </c>
      <c r="L3669" s="83" t="str">
        <f>"SI_110824"</f>
        <v>SI_110824</v>
      </c>
      <c r="M3669" s="84">
        <v>43378</v>
      </c>
      <c r="N3669" s="85">
        <f t="shared" si="1116"/>
        <v>434</v>
      </c>
      <c r="O3669" s="86">
        <f t="shared" si="1117"/>
        <v>17994.8</v>
      </c>
      <c r="P3669" s="86">
        <f t="shared" si="1118"/>
        <v>0</v>
      </c>
      <c r="Q3669" s="86">
        <f t="shared" si="1119"/>
        <v>0</v>
      </c>
      <c r="R3669" s="86">
        <f t="shared" si="1120"/>
        <v>0</v>
      </c>
      <c r="S3669" s="86">
        <f t="shared" si="1121"/>
        <v>0</v>
      </c>
      <c r="T3669" s="86">
        <f t="shared" si="1122"/>
        <v>17994.8</v>
      </c>
      <c r="U3669" s="87">
        <v>17994.8</v>
      </c>
    </row>
    <row r="3670" spans="1:21" s="30" customFormat="1" ht="24.6" hidden="1" outlineLevel="1" x14ac:dyDescent="0.55000000000000004">
      <c r="A3670" s="27" t="s">
        <v>327</v>
      </c>
      <c r="B3670" s="28"/>
      <c r="C3670" s="27"/>
      <c r="D3670" s="27" t="str">
        <f>"""NAV Direct"",""CRONUS JetCorp USA"",""21"",""1"",""344970"""</f>
        <v>"NAV Direct","CRONUS JetCorp USA","21","1","344970"</v>
      </c>
      <c r="E3670" s="31">
        <f t="shared" si="1114"/>
        <v>0</v>
      </c>
      <c r="F3670" s="31"/>
      <c r="G3670" s="31"/>
      <c r="H3670" s="31"/>
      <c r="I3670" s="56"/>
      <c r="J3670" s="56"/>
      <c r="K3670" s="82" t="str">
        <f t="shared" si="1115"/>
        <v>Invoice</v>
      </c>
      <c r="L3670" s="83" t="str">
        <f>"SI_110850"</f>
        <v>SI_110850</v>
      </c>
      <c r="M3670" s="84">
        <v>43475</v>
      </c>
      <c r="N3670" s="85">
        <f t="shared" si="1116"/>
        <v>337</v>
      </c>
      <c r="O3670" s="86">
        <f t="shared" si="1117"/>
        <v>21073.489999999998</v>
      </c>
      <c r="P3670" s="86">
        <f t="shared" si="1118"/>
        <v>0</v>
      </c>
      <c r="Q3670" s="86">
        <f t="shared" si="1119"/>
        <v>0</v>
      </c>
      <c r="R3670" s="86">
        <f t="shared" si="1120"/>
        <v>0</v>
      </c>
      <c r="S3670" s="86">
        <f t="shared" si="1121"/>
        <v>0</v>
      </c>
      <c r="T3670" s="86">
        <f t="shared" si="1122"/>
        <v>21073.489999999998</v>
      </c>
      <c r="U3670" s="87">
        <v>21073.489999999998</v>
      </c>
    </row>
    <row r="3671" spans="1:21" s="30" customFormat="1" ht="24.6" hidden="1" outlineLevel="1" x14ac:dyDescent="0.55000000000000004">
      <c r="A3671" s="27" t="s">
        <v>327</v>
      </c>
      <c r="B3671" s="28"/>
      <c r="C3671" s="27"/>
      <c r="D3671" s="27" t="str">
        <f>"""NAV Direct"",""CRONUS JetCorp USA"",""21"",""1"",""345161"""</f>
        <v>"NAV Direct","CRONUS JetCorp USA","21","1","345161"</v>
      </c>
      <c r="E3671" s="31" t="str">
        <f t="shared" si="1114"/>
        <v>C100104</v>
      </c>
      <c r="F3671" s="31"/>
      <c r="G3671" s="31"/>
      <c r="H3671" s="31"/>
      <c r="I3671" s="56"/>
      <c r="J3671" s="56"/>
      <c r="K3671" s="82" t="str">
        <f t="shared" si="1115"/>
        <v>Invoice</v>
      </c>
      <c r="L3671" s="83" t="str">
        <f>"SI_110855"</f>
        <v>SI_110855</v>
      </c>
      <c r="M3671" s="84">
        <v>43492</v>
      </c>
      <c r="N3671" s="85">
        <f t="shared" si="1116"/>
        <v>320</v>
      </c>
      <c r="O3671" s="86">
        <f t="shared" si="1117"/>
        <v>19971.2</v>
      </c>
      <c r="P3671" s="86">
        <f t="shared" si="1118"/>
        <v>0</v>
      </c>
      <c r="Q3671" s="86">
        <f t="shared" si="1119"/>
        <v>0</v>
      </c>
      <c r="R3671" s="86">
        <f t="shared" si="1120"/>
        <v>0</v>
      </c>
      <c r="S3671" s="86">
        <f t="shared" si="1121"/>
        <v>0</v>
      </c>
      <c r="T3671" s="86">
        <f t="shared" si="1122"/>
        <v>19971.2</v>
      </c>
      <c r="U3671" s="87">
        <v>19971.2</v>
      </c>
    </row>
    <row r="3672" spans="1:21" s="30" customFormat="1" ht="24.6" hidden="1" outlineLevel="1" x14ac:dyDescent="0.55000000000000004">
      <c r="A3672" s="27" t="s">
        <v>327</v>
      </c>
      <c r="B3672" s="28"/>
      <c r="C3672" s="27"/>
      <c r="D3672" s="27" t="str">
        <f>"""NAV Direct"",""CRONUS JetCorp USA"",""21"",""1"",""345770"""</f>
        <v>"NAV Direct","CRONUS JetCorp USA","21","1","345770"</v>
      </c>
      <c r="E3672" s="31">
        <f t="shared" si="1114"/>
        <v>0</v>
      </c>
      <c r="F3672" s="31"/>
      <c r="G3672" s="31"/>
      <c r="H3672" s="31"/>
      <c r="I3672" s="56"/>
      <c r="J3672" s="56"/>
      <c r="K3672" s="82" t="str">
        <f t="shared" si="1115"/>
        <v>Invoice</v>
      </c>
      <c r="L3672" s="83" t="str">
        <f>"SI_110870"</f>
        <v>SI_110870</v>
      </c>
      <c r="M3672" s="84">
        <v>43547</v>
      </c>
      <c r="N3672" s="85">
        <f t="shared" si="1116"/>
        <v>265</v>
      </c>
      <c r="O3672" s="86">
        <f t="shared" si="1117"/>
        <v>19933.88</v>
      </c>
      <c r="P3672" s="86">
        <f t="shared" si="1118"/>
        <v>0</v>
      </c>
      <c r="Q3672" s="86">
        <f t="shared" si="1119"/>
        <v>0</v>
      </c>
      <c r="R3672" s="86">
        <f t="shared" si="1120"/>
        <v>0</v>
      </c>
      <c r="S3672" s="86">
        <f t="shared" si="1121"/>
        <v>0</v>
      </c>
      <c r="T3672" s="86">
        <f t="shared" si="1122"/>
        <v>19933.88</v>
      </c>
      <c r="U3672" s="87">
        <v>19933.88</v>
      </c>
    </row>
    <row r="3673" spans="1:21" s="30" customFormat="1" ht="24.6" hidden="1" outlineLevel="1" x14ac:dyDescent="0.55000000000000004">
      <c r="A3673" s="27" t="s">
        <v>327</v>
      </c>
      <c r="B3673" s="28"/>
      <c r="C3673" s="27"/>
      <c r="D3673" s="27" t="str">
        <f>"""NAV Direct"",""CRONUS JetCorp USA"",""21"",""1"",""346362"""</f>
        <v>"NAV Direct","CRONUS JetCorp USA","21","1","346362"</v>
      </c>
      <c r="E3673" s="31" t="str">
        <f t="shared" si="1114"/>
        <v>C100104</v>
      </c>
      <c r="F3673" s="31"/>
      <c r="G3673" s="31"/>
      <c r="H3673" s="31"/>
      <c r="I3673" s="56"/>
      <c r="J3673" s="56"/>
      <c r="K3673" s="82" t="str">
        <f t="shared" si="1115"/>
        <v>Invoice</v>
      </c>
      <c r="L3673" s="83" t="str">
        <f>"SI_110884"</f>
        <v>SI_110884</v>
      </c>
      <c r="M3673" s="84">
        <v>43607</v>
      </c>
      <c r="N3673" s="85">
        <f t="shared" si="1116"/>
        <v>205</v>
      </c>
      <c r="O3673" s="86">
        <f t="shared" si="1117"/>
        <v>20786.88</v>
      </c>
      <c r="P3673" s="86">
        <f t="shared" si="1118"/>
        <v>0</v>
      </c>
      <c r="Q3673" s="86">
        <f t="shared" si="1119"/>
        <v>0</v>
      </c>
      <c r="R3673" s="86">
        <f t="shared" si="1120"/>
        <v>0</v>
      </c>
      <c r="S3673" s="86">
        <f t="shared" si="1121"/>
        <v>0</v>
      </c>
      <c r="T3673" s="86">
        <f t="shared" si="1122"/>
        <v>20786.88</v>
      </c>
      <c r="U3673" s="87">
        <v>20786.88</v>
      </c>
    </row>
    <row r="3674" spans="1:21" s="30" customFormat="1" ht="24.6" hidden="1" outlineLevel="1" x14ac:dyDescent="0.55000000000000004">
      <c r="A3674" s="27" t="s">
        <v>327</v>
      </c>
      <c r="B3674" s="28"/>
      <c r="C3674" s="27"/>
      <c r="D3674" s="27" t="str">
        <f>"""NAV Direct"",""CRONUS JetCorp USA"",""21"",""1"",""346598"""</f>
        <v>"NAV Direct","CRONUS JetCorp USA","21","1","346598"</v>
      </c>
      <c r="E3674" s="31">
        <f t="shared" si="1114"/>
        <v>0</v>
      </c>
      <c r="F3674" s="31"/>
      <c r="G3674" s="31"/>
      <c r="H3674" s="31"/>
      <c r="I3674" s="56"/>
      <c r="J3674" s="56"/>
      <c r="K3674" s="82" t="str">
        <f t="shared" si="1115"/>
        <v>Invoice</v>
      </c>
      <c r="L3674" s="83" t="str">
        <f>"SI_110890"</f>
        <v>SI_110890</v>
      </c>
      <c r="M3674" s="84">
        <v>43620</v>
      </c>
      <c r="N3674" s="85">
        <f t="shared" si="1116"/>
        <v>192</v>
      </c>
      <c r="O3674" s="86">
        <f t="shared" si="1117"/>
        <v>20354.670000000002</v>
      </c>
      <c r="P3674" s="86">
        <f t="shared" si="1118"/>
        <v>0</v>
      </c>
      <c r="Q3674" s="86">
        <f t="shared" si="1119"/>
        <v>0</v>
      </c>
      <c r="R3674" s="86">
        <f t="shared" si="1120"/>
        <v>0</v>
      </c>
      <c r="S3674" s="86">
        <f t="shared" si="1121"/>
        <v>0</v>
      </c>
      <c r="T3674" s="86">
        <f t="shared" si="1122"/>
        <v>20354.670000000002</v>
      </c>
      <c r="U3674" s="87">
        <v>20354.670000000002</v>
      </c>
    </row>
    <row r="3675" spans="1:21" s="30" customFormat="1" ht="24.6" hidden="1" outlineLevel="1" x14ac:dyDescent="0.55000000000000004">
      <c r="A3675" s="27" t="s">
        <v>327</v>
      </c>
      <c r="B3675" s="28"/>
      <c r="C3675" s="27"/>
      <c r="D3675" s="27" t="str">
        <f>"""NAV Direct"",""CRONUS JetCorp USA"",""21"",""1"",""346696"""</f>
        <v>"NAV Direct","CRONUS JetCorp USA","21","1","346696"</v>
      </c>
      <c r="E3675" s="31" t="str">
        <f t="shared" si="1114"/>
        <v>C100104</v>
      </c>
      <c r="F3675" s="31"/>
      <c r="G3675" s="31"/>
      <c r="H3675" s="31"/>
      <c r="I3675" s="56"/>
      <c r="J3675" s="56"/>
      <c r="K3675" s="82" t="str">
        <f t="shared" si="1115"/>
        <v>Invoice</v>
      </c>
      <c r="L3675" s="83" t="str">
        <f>"SI_110892"</f>
        <v>SI_110892</v>
      </c>
      <c r="M3675" s="84">
        <v>43635</v>
      </c>
      <c r="N3675" s="85">
        <f t="shared" si="1116"/>
        <v>177</v>
      </c>
      <c r="O3675" s="86">
        <f t="shared" si="1117"/>
        <v>21306.15</v>
      </c>
      <c r="P3675" s="86">
        <f t="shared" si="1118"/>
        <v>0</v>
      </c>
      <c r="Q3675" s="86">
        <f t="shared" si="1119"/>
        <v>0</v>
      </c>
      <c r="R3675" s="86">
        <f t="shared" si="1120"/>
        <v>0</v>
      </c>
      <c r="S3675" s="86">
        <f t="shared" si="1121"/>
        <v>0</v>
      </c>
      <c r="T3675" s="86">
        <f t="shared" si="1122"/>
        <v>21306.15</v>
      </c>
      <c r="U3675" s="87">
        <v>21306.15</v>
      </c>
    </row>
    <row r="3676" spans="1:21" s="30" customFormat="1" ht="24.6" hidden="1" outlineLevel="1" x14ac:dyDescent="0.55000000000000004">
      <c r="A3676" s="27" t="s">
        <v>327</v>
      </c>
      <c r="B3676" s="28"/>
      <c r="C3676" s="27"/>
      <c r="D3676" s="27" t="str">
        <f>"""NAV Direct"",""CRONUS JetCorp USA"",""21"",""1"",""347125"""</f>
        <v>"NAV Direct","CRONUS JetCorp USA","21","1","347125"</v>
      </c>
      <c r="E3676" s="31">
        <f t="shared" si="1114"/>
        <v>0</v>
      </c>
      <c r="F3676" s="31"/>
      <c r="G3676" s="31"/>
      <c r="H3676" s="31"/>
      <c r="I3676" s="56"/>
      <c r="J3676" s="56"/>
      <c r="K3676" s="82" t="str">
        <f t="shared" si="1115"/>
        <v>Invoice</v>
      </c>
      <c r="L3676" s="83" t="str">
        <f>"SI_110903"</f>
        <v>SI_110903</v>
      </c>
      <c r="M3676" s="84">
        <v>43667</v>
      </c>
      <c r="N3676" s="85">
        <f t="shared" si="1116"/>
        <v>145</v>
      </c>
      <c r="O3676" s="86">
        <f t="shared" si="1117"/>
        <v>19574.059999999998</v>
      </c>
      <c r="P3676" s="86">
        <f t="shared" si="1118"/>
        <v>0</v>
      </c>
      <c r="Q3676" s="86">
        <f t="shared" si="1119"/>
        <v>0</v>
      </c>
      <c r="R3676" s="86">
        <f t="shared" si="1120"/>
        <v>0</v>
      </c>
      <c r="S3676" s="86">
        <f t="shared" si="1121"/>
        <v>0</v>
      </c>
      <c r="T3676" s="86">
        <f t="shared" si="1122"/>
        <v>19574.059999999998</v>
      </c>
      <c r="U3676" s="87">
        <v>19574.059999999998</v>
      </c>
    </row>
    <row r="3677" spans="1:21" s="30" customFormat="1" ht="24.6" hidden="1" outlineLevel="1" x14ac:dyDescent="0.55000000000000004">
      <c r="A3677" s="27" t="s">
        <v>327</v>
      </c>
      <c r="B3677" s="28"/>
      <c r="C3677" s="27"/>
      <c r="D3677" s="27" t="str">
        <f>"""NAV Direct"",""CRONUS JetCorp USA"",""21"",""1"",""347246"""</f>
        <v>"NAV Direct","CRONUS JetCorp USA","21","1","347246"</v>
      </c>
      <c r="E3677" s="31" t="str">
        <f t="shared" si="1114"/>
        <v>C100104</v>
      </c>
      <c r="F3677" s="31"/>
      <c r="G3677" s="31"/>
      <c r="H3677" s="31"/>
      <c r="I3677" s="56"/>
      <c r="J3677" s="56"/>
      <c r="K3677" s="82" t="str">
        <f t="shared" si="1115"/>
        <v>Invoice</v>
      </c>
      <c r="L3677" s="83" t="str">
        <f>"SI_110906"</f>
        <v>SI_110906</v>
      </c>
      <c r="M3677" s="84">
        <v>43679</v>
      </c>
      <c r="N3677" s="85">
        <f t="shared" si="1116"/>
        <v>133</v>
      </c>
      <c r="O3677" s="86">
        <f t="shared" si="1117"/>
        <v>19574.43</v>
      </c>
      <c r="P3677" s="86">
        <f t="shared" si="1118"/>
        <v>0</v>
      </c>
      <c r="Q3677" s="86">
        <f t="shared" si="1119"/>
        <v>0</v>
      </c>
      <c r="R3677" s="86">
        <f t="shared" si="1120"/>
        <v>0</v>
      </c>
      <c r="S3677" s="86">
        <f t="shared" si="1121"/>
        <v>0</v>
      </c>
      <c r="T3677" s="86">
        <f t="shared" si="1122"/>
        <v>19574.43</v>
      </c>
      <c r="U3677" s="87">
        <v>19574.43</v>
      </c>
    </row>
    <row r="3678" spans="1:21" s="30" customFormat="1" ht="24.6" hidden="1" outlineLevel="1" x14ac:dyDescent="0.55000000000000004">
      <c r="A3678" s="27" t="s">
        <v>327</v>
      </c>
      <c r="B3678" s="28"/>
      <c r="C3678" s="27"/>
      <c r="D3678" s="27" t="str">
        <f>"""NAV Direct"",""CRONUS JetCorp USA"",""21"",""1"",""347326"""</f>
        <v>"NAV Direct","CRONUS JetCorp USA","21","1","347326"</v>
      </c>
      <c r="E3678" s="31">
        <f t="shared" si="1114"/>
        <v>0</v>
      </c>
      <c r="F3678" s="31"/>
      <c r="G3678" s="31"/>
      <c r="H3678" s="31"/>
      <c r="I3678" s="56"/>
      <c r="J3678" s="56"/>
      <c r="K3678" s="82" t="str">
        <f t="shared" si="1115"/>
        <v>Invoice</v>
      </c>
      <c r="L3678" s="83" t="str">
        <f>"SI_110908"</f>
        <v>SI_110908</v>
      </c>
      <c r="M3678" s="84">
        <v>43694</v>
      </c>
      <c r="N3678" s="85">
        <f t="shared" si="1116"/>
        <v>118</v>
      </c>
      <c r="O3678" s="86">
        <f t="shared" si="1117"/>
        <v>18194.079999999998</v>
      </c>
      <c r="P3678" s="86">
        <f t="shared" si="1118"/>
        <v>0</v>
      </c>
      <c r="Q3678" s="86">
        <f t="shared" si="1119"/>
        <v>0</v>
      </c>
      <c r="R3678" s="86">
        <f t="shared" si="1120"/>
        <v>0</v>
      </c>
      <c r="S3678" s="86">
        <f t="shared" si="1121"/>
        <v>0</v>
      </c>
      <c r="T3678" s="86">
        <f t="shared" si="1122"/>
        <v>18194.079999999998</v>
      </c>
      <c r="U3678" s="87">
        <v>18194.079999999998</v>
      </c>
    </row>
    <row r="3679" spans="1:21" s="30" customFormat="1" ht="24.6" hidden="1" outlineLevel="1" x14ac:dyDescent="0.55000000000000004">
      <c r="A3679" s="27" t="s">
        <v>327</v>
      </c>
      <c r="B3679" s="28"/>
      <c r="C3679" s="27"/>
      <c r="D3679" s="27" t="str">
        <f>"""NAV Direct"",""CRONUS JetCorp USA"",""21"",""1"",""348454"""</f>
        <v>"NAV Direct","CRONUS JetCorp USA","21","1","348454"</v>
      </c>
      <c r="E3679" s="31" t="str">
        <f t="shared" ref="E3679:E3699" si="1123">E3677</f>
        <v>C100104</v>
      </c>
      <c r="F3679" s="31"/>
      <c r="G3679" s="31"/>
      <c r="H3679" s="31"/>
      <c r="I3679" s="56"/>
      <c r="J3679" s="56"/>
      <c r="K3679" s="82" t="str">
        <f t="shared" si="1115"/>
        <v>Invoice</v>
      </c>
      <c r="L3679" s="83" t="str">
        <f>"SI_110936"</f>
        <v>SI_110936</v>
      </c>
      <c r="M3679" s="84">
        <v>43797</v>
      </c>
      <c r="N3679" s="85">
        <f t="shared" ref="N3679:N3699" si="1124">StartDate-$M3679+1</f>
        <v>15</v>
      </c>
      <c r="O3679" s="86">
        <f t="shared" ref="O3679:O3699" si="1125">SUM(P3679:T3679)</f>
        <v>19765.600000000002</v>
      </c>
      <c r="P3679" s="86">
        <f t="shared" ref="P3679:P3699" si="1126">IF($M3679&gt;=$P$18,U3679,0)</f>
        <v>0</v>
      </c>
      <c r="Q3679" s="86">
        <f t="shared" ref="Q3679:Q3699" si="1127">IF(AND($M3679&gt;=$Q$16,$M3679&lt;=$Q$18),U3679,0)</f>
        <v>19765.600000000002</v>
      </c>
      <c r="R3679" s="86">
        <f t="shared" ref="R3679:R3699" si="1128">IF(AND($M3679&gt;=$R$16,$M3679&lt;=$R$18),U3679,0)</f>
        <v>0</v>
      </c>
      <c r="S3679" s="86">
        <f t="shared" ref="S3679:S3699" si="1129">IF(AND($M3679&gt;=$S$16,$M3679&lt;=$S$18),U3679,0)</f>
        <v>0</v>
      </c>
      <c r="T3679" s="86">
        <f t="shared" ref="T3679:T3699" si="1130">IF($M3679&lt;=$T$18,U3679,0)</f>
        <v>0</v>
      </c>
      <c r="U3679" s="87">
        <v>19765.600000000002</v>
      </c>
    </row>
    <row r="3680" spans="1:21" s="30" customFormat="1" ht="24.6" hidden="1" outlineLevel="1" x14ac:dyDescent="0.55000000000000004">
      <c r="A3680" s="27" t="s">
        <v>327</v>
      </c>
      <c r="B3680" s="28"/>
      <c r="C3680" s="27"/>
      <c r="D3680" s="27" t="str">
        <f>"""NAV Direct"",""CRONUS JetCorp USA"",""21"",""1"",""348653"""</f>
        <v>"NAV Direct","CRONUS JetCorp USA","21","1","348653"</v>
      </c>
      <c r="E3680" s="31">
        <f t="shared" si="1123"/>
        <v>0</v>
      </c>
      <c r="F3680" s="31"/>
      <c r="G3680" s="31"/>
      <c r="H3680" s="31"/>
      <c r="I3680" s="56"/>
      <c r="J3680" s="56"/>
      <c r="K3680" s="82" t="str">
        <f t="shared" si="1115"/>
        <v>Invoice</v>
      </c>
      <c r="L3680" s="83" t="str">
        <f>"SI_110941"</f>
        <v>SI_110941</v>
      </c>
      <c r="M3680" s="84">
        <v>43820</v>
      </c>
      <c r="N3680" s="85">
        <f t="shared" si="1124"/>
        <v>-8</v>
      </c>
      <c r="O3680" s="86">
        <f t="shared" si="1125"/>
        <v>19754.7</v>
      </c>
      <c r="P3680" s="86">
        <f t="shared" si="1126"/>
        <v>19754.7</v>
      </c>
      <c r="Q3680" s="86">
        <f t="shared" si="1127"/>
        <v>0</v>
      </c>
      <c r="R3680" s="86">
        <f t="shared" si="1128"/>
        <v>0</v>
      </c>
      <c r="S3680" s="86">
        <f t="shared" si="1129"/>
        <v>0</v>
      </c>
      <c r="T3680" s="86">
        <f t="shared" si="1130"/>
        <v>0</v>
      </c>
      <c r="U3680" s="87">
        <v>19754.7</v>
      </c>
    </row>
    <row r="3681" spans="1:21" s="30" customFormat="1" ht="24.6" hidden="1" outlineLevel="1" x14ac:dyDescent="0.55000000000000004">
      <c r="A3681" s="27" t="s">
        <v>327</v>
      </c>
      <c r="B3681" s="28"/>
      <c r="C3681" s="27"/>
      <c r="D3681" s="27" t="str">
        <f>"""NAV Direct"",""CRONUS JetCorp USA"",""21"",""1"",""348846"""</f>
        <v>"NAV Direct","CRONUS JetCorp USA","21","1","348846"</v>
      </c>
      <c r="E3681" s="31" t="str">
        <f t="shared" si="1123"/>
        <v>C100104</v>
      </c>
      <c r="F3681" s="31"/>
      <c r="G3681" s="31"/>
      <c r="H3681" s="31"/>
      <c r="I3681" s="56"/>
      <c r="J3681" s="56"/>
      <c r="K3681" s="82" t="str">
        <f t="shared" si="1115"/>
        <v>Invoice</v>
      </c>
      <c r="L3681" s="83" t="str">
        <f>"SI_110946"</f>
        <v>SI_110946</v>
      </c>
      <c r="M3681" s="84">
        <v>42009</v>
      </c>
      <c r="N3681" s="85">
        <f t="shared" si="1124"/>
        <v>1803</v>
      </c>
      <c r="O3681" s="86">
        <f t="shared" si="1125"/>
        <v>20170.350000000002</v>
      </c>
      <c r="P3681" s="86">
        <f t="shared" si="1126"/>
        <v>0</v>
      </c>
      <c r="Q3681" s="86">
        <f t="shared" si="1127"/>
        <v>0</v>
      </c>
      <c r="R3681" s="86">
        <f t="shared" si="1128"/>
        <v>0</v>
      </c>
      <c r="S3681" s="86">
        <f t="shared" si="1129"/>
        <v>0</v>
      </c>
      <c r="T3681" s="86">
        <f t="shared" si="1130"/>
        <v>20170.350000000002</v>
      </c>
      <c r="U3681" s="87">
        <v>20170.350000000002</v>
      </c>
    </row>
    <row r="3682" spans="1:21" s="30" customFormat="1" ht="24.6" hidden="1" outlineLevel="1" x14ac:dyDescent="0.55000000000000004">
      <c r="A3682" s="27" t="s">
        <v>327</v>
      </c>
      <c r="B3682" s="28"/>
      <c r="C3682" s="27"/>
      <c r="D3682" s="27" t="str">
        <f>"""NAV Direct"",""CRONUS JetCorp USA"",""21"",""1"",""349308"""</f>
        <v>"NAV Direct","CRONUS JetCorp USA","21","1","349308"</v>
      </c>
      <c r="E3682" s="31">
        <f t="shared" si="1123"/>
        <v>0</v>
      </c>
      <c r="F3682" s="31"/>
      <c r="G3682" s="31"/>
      <c r="H3682" s="31"/>
      <c r="I3682" s="56"/>
      <c r="J3682" s="56"/>
      <c r="K3682" s="82" t="str">
        <f t="shared" si="1115"/>
        <v>Invoice</v>
      </c>
      <c r="L3682" s="83" t="str">
        <f>"SI_110958"</f>
        <v>SI_110958</v>
      </c>
      <c r="M3682" s="84">
        <v>42060</v>
      </c>
      <c r="N3682" s="85">
        <f t="shared" si="1124"/>
        <v>1752</v>
      </c>
      <c r="O3682" s="86">
        <f t="shared" si="1125"/>
        <v>19649.52</v>
      </c>
      <c r="P3682" s="86">
        <f t="shared" si="1126"/>
        <v>0</v>
      </c>
      <c r="Q3682" s="86">
        <f t="shared" si="1127"/>
        <v>0</v>
      </c>
      <c r="R3682" s="86">
        <f t="shared" si="1128"/>
        <v>0</v>
      </c>
      <c r="S3682" s="86">
        <f t="shared" si="1129"/>
        <v>0</v>
      </c>
      <c r="T3682" s="86">
        <f t="shared" si="1130"/>
        <v>19649.52</v>
      </c>
      <c r="U3682" s="87">
        <v>19649.52</v>
      </c>
    </row>
    <row r="3683" spans="1:21" s="30" customFormat="1" ht="24.6" hidden="1" outlineLevel="1" x14ac:dyDescent="0.55000000000000004">
      <c r="A3683" s="27" t="s">
        <v>327</v>
      </c>
      <c r="B3683" s="28"/>
      <c r="C3683" s="27"/>
      <c r="D3683" s="27" t="str">
        <f>"""NAV Direct"",""CRONUS JetCorp USA"",""21"",""1"",""349589"""</f>
        <v>"NAV Direct","CRONUS JetCorp USA","21","1","349589"</v>
      </c>
      <c r="E3683" s="31" t="str">
        <f t="shared" si="1123"/>
        <v>C100104</v>
      </c>
      <c r="F3683" s="31"/>
      <c r="G3683" s="31"/>
      <c r="H3683" s="31"/>
      <c r="I3683" s="56"/>
      <c r="J3683" s="56"/>
      <c r="K3683" s="82" t="str">
        <f t="shared" si="1115"/>
        <v>Invoice</v>
      </c>
      <c r="L3683" s="83" t="str">
        <f>"SI_110965"</f>
        <v>SI_110965</v>
      </c>
      <c r="M3683" s="84">
        <v>42089</v>
      </c>
      <c r="N3683" s="85">
        <f t="shared" si="1124"/>
        <v>1723</v>
      </c>
      <c r="O3683" s="86">
        <f t="shared" si="1125"/>
        <v>18660.93</v>
      </c>
      <c r="P3683" s="86">
        <f t="shared" si="1126"/>
        <v>0</v>
      </c>
      <c r="Q3683" s="86">
        <f t="shared" si="1127"/>
        <v>0</v>
      </c>
      <c r="R3683" s="86">
        <f t="shared" si="1128"/>
        <v>0</v>
      </c>
      <c r="S3683" s="86">
        <f t="shared" si="1129"/>
        <v>0</v>
      </c>
      <c r="T3683" s="86">
        <f t="shared" si="1130"/>
        <v>18660.93</v>
      </c>
      <c r="U3683" s="87">
        <v>18660.93</v>
      </c>
    </row>
    <row r="3684" spans="1:21" s="30" customFormat="1" ht="24.6" hidden="1" outlineLevel="1" x14ac:dyDescent="0.55000000000000004">
      <c r="A3684" s="27" t="s">
        <v>327</v>
      </c>
      <c r="B3684" s="28"/>
      <c r="C3684" s="27"/>
      <c r="D3684" s="27" t="str">
        <f>"""NAV Direct"",""CRONUS JetCorp USA"",""21"",""1"",""350105"""</f>
        <v>"NAV Direct","CRONUS JetCorp USA","21","1","350105"</v>
      </c>
      <c r="E3684" s="31">
        <f t="shared" si="1123"/>
        <v>0</v>
      </c>
      <c r="F3684" s="31"/>
      <c r="G3684" s="31"/>
      <c r="H3684" s="31"/>
      <c r="I3684" s="56"/>
      <c r="J3684" s="56"/>
      <c r="K3684" s="82" t="str">
        <f t="shared" si="1115"/>
        <v>Invoice</v>
      </c>
      <c r="L3684" s="83" t="str">
        <f>"SI_110977"</f>
        <v>SI_110977</v>
      </c>
      <c r="M3684" s="84">
        <v>42126</v>
      </c>
      <c r="N3684" s="85">
        <f t="shared" si="1124"/>
        <v>1686</v>
      </c>
      <c r="O3684" s="86">
        <f t="shared" si="1125"/>
        <v>23345.38</v>
      </c>
      <c r="P3684" s="86">
        <f t="shared" si="1126"/>
        <v>0</v>
      </c>
      <c r="Q3684" s="86">
        <f t="shared" si="1127"/>
        <v>0</v>
      </c>
      <c r="R3684" s="86">
        <f t="shared" si="1128"/>
        <v>0</v>
      </c>
      <c r="S3684" s="86">
        <f t="shared" si="1129"/>
        <v>0</v>
      </c>
      <c r="T3684" s="86">
        <f t="shared" si="1130"/>
        <v>23345.38</v>
      </c>
      <c r="U3684" s="87">
        <v>23345.38</v>
      </c>
    </row>
    <row r="3685" spans="1:21" s="30" customFormat="1" ht="24.6" hidden="1" outlineLevel="1" x14ac:dyDescent="0.55000000000000004">
      <c r="A3685" s="27" t="s">
        <v>327</v>
      </c>
      <c r="B3685" s="28"/>
      <c r="C3685" s="27"/>
      <c r="D3685" s="27" t="str">
        <f>"""NAV Direct"",""CRONUS JetCorp USA"",""21"",""1"",""350470"""</f>
        <v>"NAV Direct","CRONUS JetCorp USA","21","1","350470"</v>
      </c>
      <c r="E3685" s="31" t="str">
        <f t="shared" si="1123"/>
        <v>C100104</v>
      </c>
      <c r="F3685" s="31"/>
      <c r="G3685" s="31"/>
      <c r="H3685" s="31"/>
      <c r="I3685" s="56"/>
      <c r="J3685" s="56"/>
      <c r="K3685" s="82" t="str">
        <f t="shared" si="1115"/>
        <v>Invoice</v>
      </c>
      <c r="L3685" s="83" t="str">
        <f>"SI_110986"</f>
        <v>SI_110986</v>
      </c>
      <c r="M3685" s="84">
        <v>42182</v>
      </c>
      <c r="N3685" s="85">
        <f t="shared" si="1124"/>
        <v>1630</v>
      </c>
      <c r="O3685" s="86">
        <f t="shared" si="1125"/>
        <v>24050.33</v>
      </c>
      <c r="P3685" s="86">
        <f t="shared" si="1126"/>
        <v>0</v>
      </c>
      <c r="Q3685" s="86">
        <f t="shared" si="1127"/>
        <v>0</v>
      </c>
      <c r="R3685" s="86">
        <f t="shared" si="1128"/>
        <v>0</v>
      </c>
      <c r="S3685" s="86">
        <f t="shared" si="1129"/>
        <v>0</v>
      </c>
      <c r="T3685" s="86">
        <f t="shared" si="1130"/>
        <v>24050.33</v>
      </c>
      <c r="U3685" s="87">
        <v>24050.33</v>
      </c>
    </row>
    <row r="3686" spans="1:21" s="30" customFormat="1" ht="24.6" hidden="1" outlineLevel="1" x14ac:dyDescent="0.55000000000000004">
      <c r="A3686" s="27" t="s">
        <v>327</v>
      </c>
      <c r="B3686" s="28"/>
      <c r="C3686" s="27"/>
      <c r="D3686" s="27" t="str">
        <f>"""NAV Direct"",""CRONUS JetCorp USA"",""21"",""1"",""351805"""</f>
        <v>"NAV Direct","CRONUS JetCorp USA","21","1","351805"</v>
      </c>
      <c r="E3686" s="31">
        <f t="shared" si="1123"/>
        <v>0</v>
      </c>
      <c r="F3686" s="31"/>
      <c r="G3686" s="31"/>
      <c r="H3686" s="31"/>
      <c r="I3686" s="56"/>
      <c r="J3686" s="56"/>
      <c r="K3686" s="82" t="str">
        <f t="shared" si="1115"/>
        <v>Invoice</v>
      </c>
      <c r="L3686" s="83" t="str">
        <f>"SI_111019"</f>
        <v>SI_111019</v>
      </c>
      <c r="M3686" s="84">
        <v>42310</v>
      </c>
      <c r="N3686" s="85">
        <f t="shared" si="1124"/>
        <v>1502</v>
      </c>
      <c r="O3686" s="86">
        <f t="shared" si="1125"/>
        <v>19001.55</v>
      </c>
      <c r="P3686" s="86">
        <f t="shared" si="1126"/>
        <v>0</v>
      </c>
      <c r="Q3686" s="86">
        <f t="shared" si="1127"/>
        <v>0</v>
      </c>
      <c r="R3686" s="86">
        <f t="shared" si="1128"/>
        <v>0</v>
      </c>
      <c r="S3686" s="86">
        <f t="shared" si="1129"/>
        <v>0</v>
      </c>
      <c r="T3686" s="86">
        <f t="shared" si="1130"/>
        <v>19001.55</v>
      </c>
      <c r="U3686" s="87">
        <v>19001.55</v>
      </c>
    </row>
    <row r="3687" spans="1:21" s="30" customFormat="1" ht="24.6" hidden="1" outlineLevel="1" x14ac:dyDescent="0.55000000000000004">
      <c r="A3687" s="27" t="s">
        <v>327</v>
      </c>
      <c r="B3687" s="28"/>
      <c r="C3687" s="27"/>
      <c r="D3687" s="27" t="str">
        <f>"""NAV Direct"",""CRONUS JetCorp USA"",""21"",""1"",""351881"""</f>
        <v>"NAV Direct","CRONUS JetCorp USA","21","1","351881"</v>
      </c>
      <c r="E3687" s="31" t="str">
        <f t="shared" si="1123"/>
        <v>C100104</v>
      </c>
      <c r="F3687" s="31"/>
      <c r="G3687" s="31"/>
      <c r="H3687" s="31"/>
      <c r="I3687" s="56"/>
      <c r="J3687" s="56"/>
      <c r="K3687" s="82" t="str">
        <f t="shared" si="1115"/>
        <v>Invoice</v>
      </c>
      <c r="L3687" s="83" t="str">
        <f>"SI_111021"</f>
        <v>SI_111021</v>
      </c>
      <c r="M3687" s="84">
        <v>42330</v>
      </c>
      <c r="N3687" s="85">
        <f t="shared" si="1124"/>
        <v>1482</v>
      </c>
      <c r="O3687" s="86">
        <f t="shared" si="1125"/>
        <v>19698.48</v>
      </c>
      <c r="P3687" s="86">
        <f t="shared" si="1126"/>
        <v>0</v>
      </c>
      <c r="Q3687" s="86">
        <f t="shared" si="1127"/>
        <v>0</v>
      </c>
      <c r="R3687" s="86">
        <f t="shared" si="1128"/>
        <v>0</v>
      </c>
      <c r="S3687" s="86">
        <f t="shared" si="1129"/>
        <v>0</v>
      </c>
      <c r="T3687" s="86">
        <f t="shared" si="1130"/>
        <v>19698.48</v>
      </c>
      <c r="U3687" s="87">
        <v>19698.48</v>
      </c>
    </row>
    <row r="3688" spans="1:21" s="30" customFormat="1" ht="24.6" hidden="1" outlineLevel="1" x14ac:dyDescent="0.55000000000000004">
      <c r="A3688" s="27" t="s">
        <v>327</v>
      </c>
      <c r="B3688" s="28"/>
      <c r="C3688" s="27"/>
      <c r="D3688" s="27" t="str">
        <f>"""NAV Direct"",""CRONUS JetCorp USA"",""21"",""1"",""352043"""</f>
        <v>"NAV Direct","CRONUS JetCorp USA","21","1","352043"</v>
      </c>
      <c r="E3688" s="31">
        <f t="shared" si="1123"/>
        <v>0</v>
      </c>
      <c r="F3688" s="31"/>
      <c r="G3688" s="31"/>
      <c r="H3688" s="31"/>
      <c r="I3688" s="56"/>
      <c r="J3688" s="56"/>
      <c r="K3688" s="82" t="str">
        <f t="shared" si="1115"/>
        <v>Invoice</v>
      </c>
      <c r="L3688" s="83" t="str">
        <f>"SI_111025"</f>
        <v>SI_111025</v>
      </c>
      <c r="M3688" s="84">
        <v>42341</v>
      </c>
      <c r="N3688" s="85">
        <f t="shared" si="1124"/>
        <v>1471</v>
      </c>
      <c r="O3688" s="86">
        <f t="shared" si="1125"/>
        <v>19901.73</v>
      </c>
      <c r="P3688" s="86">
        <f t="shared" si="1126"/>
        <v>0</v>
      </c>
      <c r="Q3688" s="86">
        <f t="shared" si="1127"/>
        <v>0</v>
      </c>
      <c r="R3688" s="86">
        <f t="shared" si="1128"/>
        <v>0</v>
      </c>
      <c r="S3688" s="86">
        <f t="shared" si="1129"/>
        <v>0</v>
      </c>
      <c r="T3688" s="86">
        <f t="shared" si="1130"/>
        <v>19901.73</v>
      </c>
      <c r="U3688" s="87">
        <v>19901.73</v>
      </c>
    </row>
    <row r="3689" spans="1:21" s="30" customFormat="1" ht="24.6" hidden="1" outlineLevel="1" x14ac:dyDescent="0.55000000000000004">
      <c r="A3689" s="27" t="s">
        <v>327</v>
      </c>
      <c r="B3689" s="28"/>
      <c r="C3689" s="27"/>
      <c r="D3689" s="27" t="str">
        <f>"""NAV Direct"",""CRONUS JetCorp USA"",""21"",""1"",""433711"""</f>
        <v>"NAV Direct","CRONUS JetCorp USA","21","1","433711"</v>
      </c>
      <c r="E3689" s="31" t="str">
        <f t="shared" si="1123"/>
        <v>C100104</v>
      </c>
      <c r="F3689" s="31"/>
      <c r="G3689" s="31"/>
      <c r="H3689" s="31"/>
      <c r="I3689" s="56"/>
      <c r="J3689" s="56"/>
      <c r="K3689" s="82" t="str">
        <f t="shared" ref="K3689:K3699" si="1131">"Credit Memo"</f>
        <v>Credit Memo</v>
      </c>
      <c r="L3689" s="83" t="str">
        <f>"SC_100507"</f>
        <v>SC_100507</v>
      </c>
      <c r="M3689" s="84">
        <v>42631</v>
      </c>
      <c r="N3689" s="85">
        <f t="shared" si="1124"/>
        <v>1181</v>
      </c>
      <c r="O3689" s="86">
        <f t="shared" si="1125"/>
        <v>-160.73999999999998</v>
      </c>
      <c r="P3689" s="86">
        <f t="shared" si="1126"/>
        <v>0</v>
      </c>
      <c r="Q3689" s="86">
        <f t="shared" si="1127"/>
        <v>0</v>
      </c>
      <c r="R3689" s="86">
        <f t="shared" si="1128"/>
        <v>0</v>
      </c>
      <c r="S3689" s="86">
        <f t="shared" si="1129"/>
        <v>0</v>
      </c>
      <c r="T3689" s="86">
        <f t="shared" si="1130"/>
        <v>-160.73999999999998</v>
      </c>
      <c r="U3689" s="87">
        <v>-160.73999999999998</v>
      </c>
    </row>
    <row r="3690" spans="1:21" s="30" customFormat="1" ht="24.6" hidden="1" outlineLevel="1" x14ac:dyDescent="0.55000000000000004">
      <c r="A3690" s="27" t="s">
        <v>327</v>
      </c>
      <c r="B3690" s="28"/>
      <c r="C3690" s="27"/>
      <c r="D3690" s="27" t="str">
        <f>"""NAV Direct"",""CRONUS JetCorp USA"",""21"",""1"",""433782"""</f>
        <v>"NAV Direct","CRONUS JetCorp USA","21","1","433782"</v>
      </c>
      <c r="E3690" s="31">
        <f t="shared" si="1123"/>
        <v>0</v>
      </c>
      <c r="F3690" s="31"/>
      <c r="G3690" s="31"/>
      <c r="H3690" s="31"/>
      <c r="I3690" s="56"/>
      <c r="J3690" s="56"/>
      <c r="K3690" s="82" t="str">
        <f t="shared" si="1131"/>
        <v>Credit Memo</v>
      </c>
      <c r="L3690" s="83" t="str">
        <f>"SC_100512"</f>
        <v>SC_100512</v>
      </c>
      <c r="M3690" s="84">
        <v>42680</v>
      </c>
      <c r="N3690" s="85">
        <f t="shared" si="1124"/>
        <v>1132</v>
      </c>
      <c r="O3690" s="86">
        <f t="shared" si="1125"/>
        <v>-171.35</v>
      </c>
      <c r="P3690" s="86">
        <f t="shared" si="1126"/>
        <v>0</v>
      </c>
      <c r="Q3690" s="86">
        <f t="shared" si="1127"/>
        <v>0</v>
      </c>
      <c r="R3690" s="86">
        <f t="shared" si="1128"/>
        <v>0</v>
      </c>
      <c r="S3690" s="86">
        <f t="shared" si="1129"/>
        <v>0</v>
      </c>
      <c r="T3690" s="86">
        <f t="shared" si="1130"/>
        <v>-171.35</v>
      </c>
      <c r="U3690" s="87">
        <v>-171.35</v>
      </c>
    </row>
    <row r="3691" spans="1:21" s="30" customFormat="1" ht="24.6" hidden="1" outlineLevel="1" x14ac:dyDescent="0.55000000000000004">
      <c r="A3691" s="27" t="s">
        <v>327</v>
      </c>
      <c r="B3691" s="28"/>
      <c r="C3691" s="27"/>
      <c r="D3691" s="27" t="str">
        <f>"""NAV Direct"",""CRONUS JetCorp USA"",""21"",""1"",""434066"""</f>
        <v>"NAV Direct","CRONUS JetCorp USA","21","1","434066"</v>
      </c>
      <c r="E3691" s="31" t="str">
        <f t="shared" si="1123"/>
        <v>C100104</v>
      </c>
      <c r="F3691" s="31"/>
      <c r="G3691" s="31"/>
      <c r="H3691" s="31"/>
      <c r="I3691" s="56"/>
      <c r="J3691" s="56"/>
      <c r="K3691" s="82" t="str">
        <f t="shared" si="1131"/>
        <v>Credit Memo</v>
      </c>
      <c r="L3691" s="83" t="str">
        <f>"SC_100530"</f>
        <v>SC_100530</v>
      </c>
      <c r="M3691" s="84">
        <v>43028</v>
      </c>
      <c r="N3691" s="85">
        <f t="shared" si="1124"/>
        <v>784</v>
      </c>
      <c r="O3691" s="86">
        <f t="shared" si="1125"/>
        <v>-177.22</v>
      </c>
      <c r="P3691" s="86">
        <f t="shared" si="1126"/>
        <v>0</v>
      </c>
      <c r="Q3691" s="86">
        <f t="shared" si="1127"/>
        <v>0</v>
      </c>
      <c r="R3691" s="86">
        <f t="shared" si="1128"/>
        <v>0</v>
      </c>
      <c r="S3691" s="86">
        <f t="shared" si="1129"/>
        <v>0</v>
      </c>
      <c r="T3691" s="86">
        <f t="shared" si="1130"/>
        <v>-177.22</v>
      </c>
      <c r="U3691" s="87">
        <v>-177.22</v>
      </c>
    </row>
    <row r="3692" spans="1:21" s="30" customFormat="1" ht="24.6" hidden="1" outlineLevel="1" x14ac:dyDescent="0.55000000000000004">
      <c r="A3692" s="27" t="s">
        <v>327</v>
      </c>
      <c r="B3692" s="28"/>
      <c r="C3692" s="27"/>
      <c r="D3692" s="27" t="str">
        <f>"""NAV Direct"",""CRONUS JetCorp USA"",""21"",""1"",""434077"""</f>
        <v>"NAV Direct","CRONUS JetCorp USA","21","1","434077"</v>
      </c>
      <c r="E3692" s="31">
        <f t="shared" si="1123"/>
        <v>0</v>
      </c>
      <c r="F3692" s="31"/>
      <c r="G3692" s="31"/>
      <c r="H3692" s="31"/>
      <c r="I3692" s="56"/>
      <c r="J3692" s="56"/>
      <c r="K3692" s="82" t="str">
        <f t="shared" si="1131"/>
        <v>Credit Memo</v>
      </c>
      <c r="L3692" s="83" t="str">
        <f>"SC_100531"</f>
        <v>SC_100531</v>
      </c>
      <c r="M3692" s="84">
        <v>43105</v>
      </c>
      <c r="N3692" s="85">
        <f t="shared" si="1124"/>
        <v>707</v>
      </c>
      <c r="O3692" s="86">
        <f t="shared" si="1125"/>
        <v>-190.22</v>
      </c>
      <c r="P3692" s="86">
        <f t="shared" si="1126"/>
        <v>0</v>
      </c>
      <c r="Q3692" s="86">
        <f t="shared" si="1127"/>
        <v>0</v>
      </c>
      <c r="R3692" s="86">
        <f t="shared" si="1128"/>
        <v>0</v>
      </c>
      <c r="S3692" s="86">
        <f t="shared" si="1129"/>
        <v>0</v>
      </c>
      <c r="T3692" s="86">
        <f t="shared" si="1130"/>
        <v>-190.22</v>
      </c>
      <c r="U3692" s="87">
        <v>-190.22</v>
      </c>
    </row>
    <row r="3693" spans="1:21" s="30" customFormat="1" ht="24.6" hidden="1" outlineLevel="1" x14ac:dyDescent="0.55000000000000004">
      <c r="A3693" s="27" t="s">
        <v>327</v>
      </c>
      <c r="B3693" s="28"/>
      <c r="C3693" s="27"/>
      <c r="D3693" s="27" t="str">
        <f>"""NAV Direct"",""CRONUS JetCorp USA"",""21"",""1"",""434111"""</f>
        <v>"NAV Direct","CRONUS JetCorp USA","21","1","434111"</v>
      </c>
      <c r="E3693" s="31" t="str">
        <f t="shared" si="1123"/>
        <v>C100104</v>
      </c>
      <c r="F3693" s="31"/>
      <c r="G3693" s="31"/>
      <c r="H3693" s="31"/>
      <c r="I3693" s="56"/>
      <c r="J3693" s="56"/>
      <c r="K3693" s="82" t="str">
        <f t="shared" si="1131"/>
        <v>Credit Memo</v>
      </c>
      <c r="L3693" s="83" t="str">
        <f>"SC_100533"</f>
        <v>SC_100533</v>
      </c>
      <c r="M3693" s="84">
        <v>43141</v>
      </c>
      <c r="N3693" s="85">
        <f t="shared" si="1124"/>
        <v>671</v>
      </c>
      <c r="O3693" s="86">
        <f t="shared" si="1125"/>
        <v>-193.93</v>
      </c>
      <c r="P3693" s="86">
        <f t="shared" si="1126"/>
        <v>0</v>
      </c>
      <c r="Q3693" s="86">
        <f t="shared" si="1127"/>
        <v>0</v>
      </c>
      <c r="R3693" s="86">
        <f t="shared" si="1128"/>
        <v>0</v>
      </c>
      <c r="S3693" s="86">
        <f t="shared" si="1129"/>
        <v>0</v>
      </c>
      <c r="T3693" s="86">
        <f t="shared" si="1130"/>
        <v>-193.93</v>
      </c>
      <c r="U3693" s="87">
        <v>-193.93</v>
      </c>
    </row>
    <row r="3694" spans="1:21" s="30" customFormat="1" ht="24.6" hidden="1" outlineLevel="1" x14ac:dyDescent="0.55000000000000004">
      <c r="A3694" s="27" t="s">
        <v>327</v>
      </c>
      <c r="B3694" s="28"/>
      <c r="C3694" s="27"/>
      <c r="D3694" s="27" t="str">
        <f>"""NAV Direct"",""CRONUS JetCorp USA"",""21"",""1"",""434290"""</f>
        <v>"NAV Direct","CRONUS JetCorp USA","21","1","434290"</v>
      </c>
      <c r="E3694" s="31">
        <f t="shared" si="1123"/>
        <v>0</v>
      </c>
      <c r="F3694" s="31"/>
      <c r="G3694" s="31"/>
      <c r="H3694" s="31"/>
      <c r="I3694" s="56"/>
      <c r="J3694" s="56"/>
      <c r="K3694" s="82" t="str">
        <f t="shared" si="1131"/>
        <v>Credit Memo</v>
      </c>
      <c r="L3694" s="83" t="str">
        <f>"SC_100544"</f>
        <v>SC_100544</v>
      </c>
      <c r="M3694" s="84">
        <v>43345</v>
      </c>
      <c r="N3694" s="85">
        <f t="shared" si="1124"/>
        <v>467</v>
      </c>
      <c r="O3694" s="86">
        <f t="shared" si="1125"/>
        <v>-193.72</v>
      </c>
      <c r="P3694" s="86">
        <f t="shared" si="1126"/>
        <v>0</v>
      </c>
      <c r="Q3694" s="86">
        <f t="shared" si="1127"/>
        <v>0</v>
      </c>
      <c r="R3694" s="86">
        <f t="shared" si="1128"/>
        <v>0</v>
      </c>
      <c r="S3694" s="86">
        <f t="shared" si="1129"/>
        <v>0</v>
      </c>
      <c r="T3694" s="86">
        <f t="shared" si="1130"/>
        <v>-193.72</v>
      </c>
      <c r="U3694" s="87">
        <v>-193.72</v>
      </c>
    </row>
    <row r="3695" spans="1:21" s="30" customFormat="1" ht="24.6" hidden="1" outlineLevel="1" x14ac:dyDescent="0.55000000000000004">
      <c r="A3695" s="27" t="s">
        <v>327</v>
      </c>
      <c r="B3695" s="28"/>
      <c r="C3695" s="27"/>
      <c r="D3695" s="27" t="str">
        <f>"""NAV Direct"",""CRONUS JetCorp USA"",""21"",""1"",""434359"""</f>
        <v>"NAV Direct","CRONUS JetCorp USA","21","1","434359"</v>
      </c>
      <c r="E3695" s="31" t="str">
        <f t="shared" si="1123"/>
        <v>C100104</v>
      </c>
      <c r="F3695" s="31"/>
      <c r="G3695" s="31"/>
      <c r="H3695" s="31"/>
      <c r="I3695" s="56"/>
      <c r="J3695" s="56"/>
      <c r="K3695" s="82" t="str">
        <f t="shared" si="1131"/>
        <v>Credit Memo</v>
      </c>
      <c r="L3695" s="83" t="str">
        <f>"SC_100549"</f>
        <v>SC_100549</v>
      </c>
      <c r="M3695" s="84">
        <v>43513</v>
      </c>
      <c r="N3695" s="85">
        <f t="shared" si="1124"/>
        <v>299</v>
      </c>
      <c r="O3695" s="86">
        <f t="shared" si="1125"/>
        <v>-203.89000000000001</v>
      </c>
      <c r="P3695" s="86">
        <f t="shared" si="1126"/>
        <v>0</v>
      </c>
      <c r="Q3695" s="86">
        <f t="shared" si="1127"/>
        <v>0</v>
      </c>
      <c r="R3695" s="86">
        <f t="shared" si="1128"/>
        <v>0</v>
      </c>
      <c r="S3695" s="86">
        <f t="shared" si="1129"/>
        <v>0</v>
      </c>
      <c r="T3695" s="86">
        <f t="shared" si="1130"/>
        <v>-203.89000000000001</v>
      </c>
      <c r="U3695" s="87">
        <v>-203.89000000000001</v>
      </c>
    </row>
    <row r="3696" spans="1:21" s="30" customFormat="1" ht="24.6" hidden="1" outlineLevel="1" x14ac:dyDescent="0.55000000000000004">
      <c r="A3696" s="27" t="s">
        <v>327</v>
      </c>
      <c r="B3696" s="28"/>
      <c r="C3696" s="27"/>
      <c r="D3696" s="27" t="str">
        <f>"""NAV Direct"",""CRONUS JetCorp USA"",""21"",""1"",""434380"""</f>
        <v>"NAV Direct","CRONUS JetCorp USA","21","1","434380"</v>
      </c>
      <c r="E3696" s="31">
        <f t="shared" si="1123"/>
        <v>0</v>
      </c>
      <c r="F3696" s="31"/>
      <c r="G3696" s="31"/>
      <c r="H3696" s="31"/>
      <c r="I3696" s="56"/>
      <c r="J3696" s="56"/>
      <c r="K3696" s="82" t="str">
        <f t="shared" si="1131"/>
        <v>Credit Memo</v>
      </c>
      <c r="L3696" s="83" t="str">
        <f>"SC_100550"</f>
        <v>SC_100550</v>
      </c>
      <c r="M3696" s="84">
        <v>43528</v>
      </c>
      <c r="N3696" s="85">
        <f t="shared" si="1124"/>
        <v>284</v>
      </c>
      <c r="O3696" s="86">
        <f t="shared" si="1125"/>
        <v>-188.69</v>
      </c>
      <c r="P3696" s="86">
        <f t="shared" si="1126"/>
        <v>0</v>
      </c>
      <c r="Q3696" s="86">
        <f t="shared" si="1127"/>
        <v>0</v>
      </c>
      <c r="R3696" s="86">
        <f t="shared" si="1128"/>
        <v>0</v>
      </c>
      <c r="S3696" s="86">
        <f t="shared" si="1129"/>
        <v>0</v>
      </c>
      <c r="T3696" s="86">
        <f t="shared" si="1130"/>
        <v>-188.69</v>
      </c>
      <c r="U3696" s="87">
        <v>-188.69</v>
      </c>
    </row>
    <row r="3697" spans="1:22" s="30" customFormat="1" ht="24.6" hidden="1" outlineLevel="1" x14ac:dyDescent="0.55000000000000004">
      <c r="A3697" s="27" t="s">
        <v>327</v>
      </c>
      <c r="B3697" s="28"/>
      <c r="C3697" s="27"/>
      <c r="D3697" s="27" t="str">
        <f>"""NAV Direct"",""CRONUS JetCorp USA"",""21"",""1"",""434597"""</f>
        <v>"NAV Direct","CRONUS JetCorp USA","21","1","434597"</v>
      </c>
      <c r="E3697" s="31" t="str">
        <f t="shared" si="1123"/>
        <v>C100104</v>
      </c>
      <c r="F3697" s="31"/>
      <c r="G3697" s="31"/>
      <c r="H3697" s="31"/>
      <c r="I3697" s="56"/>
      <c r="J3697" s="56"/>
      <c r="K3697" s="82" t="str">
        <f t="shared" si="1131"/>
        <v>Credit Memo</v>
      </c>
      <c r="L3697" s="83" t="str">
        <f>"SC_100563"</f>
        <v>SC_100563</v>
      </c>
      <c r="M3697" s="84">
        <v>42130</v>
      </c>
      <c r="N3697" s="85">
        <f t="shared" si="1124"/>
        <v>1682</v>
      </c>
      <c r="O3697" s="86">
        <f t="shared" si="1125"/>
        <v>-231.72</v>
      </c>
      <c r="P3697" s="86">
        <f t="shared" si="1126"/>
        <v>0</v>
      </c>
      <c r="Q3697" s="86">
        <f t="shared" si="1127"/>
        <v>0</v>
      </c>
      <c r="R3697" s="86">
        <f t="shared" si="1128"/>
        <v>0</v>
      </c>
      <c r="S3697" s="86">
        <f t="shared" si="1129"/>
        <v>0</v>
      </c>
      <c r="T3697" s="86">
        <f t="shared" si="1130"/>
        <v>-231.72</v>
      </c>
      <c r="U3697" s="87">
        <v>-231.72</v>
      </c>
    </row>
    <row r="3698" spans="1:22" s="30" customFormat="1" ht="24.6" hidden="1" outlineLevel="1" x14ac:dyDescent="0.55000000000000004">
      <c r="A3698" s="27" t="s">
        <v>327</v>
      </c>
      <c r="B3698" s="28"/>
      <c r="C3698" s="27"/>
      <c r="D3698" s="27" t="str">
        <f>"""NAV Direct"",""CRONUS JetCorp USA"",""21"",""1"",""434661"""</f>
        <v>"NAV Direct","CRONUS JetCorp USA","21","1","434661"</v>
      </c>
      <c r="E3698" s="31">
        <f t="shared" si="1123"/>
        <v>0</v>
      </c>
      <c r="F3698" s="31"/>
      <c r="G3698" s="31"/>
      <c r="H3698" s="31"/>
      <c r="I3698" s="56"/>
      <c r="J3698" s="56"/>
      <c r="K3698" s="82" t="str">
        <f t="shared" si="1131"/>
        <v>Credit Memo</v>
      </c>
      <c r="L3698" s="83" t="str">
        <f>"SC_100567"</f>
        <v>SC_100567</v>
      </c>
      <c r="M3698" s="84">
        <v>42172</v>
      </c>
      <c r="N3698" s="85">
        <f t="shared" si="1124"/>
        <v>1640</v>
      </c>
      <c r="O3698" s="86">
        <f t="shared" si="1125"/>
        <v>-244.78</v>
      </c>
      <c r="P3698" s="86">
        <f t="shared" si="1126"/>
        <v>0</v>
      </c>
      <c r="Q3698" s="86">
        <f t="shared" si="1127"/>
        <v>0</v>
      </c>
      <c r="R3698" s="86">
        <f t="shared" si="1128"/>
        <v>0</v>
      </c>
      <c r="S3698" s="86">
        <f t="shared" si="1129"/>
        <v>0</v>
      </c>
      <c r="T3698" s="86">
        <f t="shared" si="1130"/>
        <v>-244.78</v>
      </c>
      <c r="U3698" s="87">
        <v>-244.78</v>
      </c>
    </row>
    <row r="3699" spans="1:22" s="30" customFormat="1" ht="24.6" hidden="1" outlineLevel="1" x14ac:dyDescent="0.55000000000000004">
      <c r="A3699" s="27" t="s">
        <v>327</v>
      </c>
      <c r="B3699" s="28"/>
      <c r="C3699" s="27"/>
      <c r="D3699" s="27" t="str">
        <f>"""NAV Direct"",""CRONUS JetCorp USA"",""21"",""1"",""434682"""</f>
        <v>"NAV Direct","CRONUS JetCorp USA","21","1","434682"</v>
      </c>
      <c r="E3699" s="31" t="str">
        <f t="shared" si="1123"/>
        <v>C100104</v>
      </c>
      <c r="F3699" s="31"/>
      <c r="G3699" s="31"/>
      <c r="H3699" s="31"/>
      <c r="I3699" s="56"/>
      <c r="J3699" s="56"/>
      <c r="K3699" s="82" t="str">
        <f t="shared" si="1131"/>
        <v>Credit Memo</v>
      </c>
      <c r="L3699" s="83" t="str">
        <f>"SC_100568"</f>
        <v>SC_100568</v>
      </c>
      <c r="M3699" s="84">
        <v>42200</v>
      </c>
      <c r="N3699" s="85">
        <f t="shared" si="1124"/>
        <v>1612</v>
      </c>
      <c r="O3699" s="86">
        <f t="shared" si="1125"/>
        <v>-189.05</v>
      </c>
      <c r="P3699" s="86">
        <f t="shared" si="1126"/>
        <v>0</v>
      </c>
      <c r="Q3699" s="86">
        <f t="shared" si="1127"/>
        <v>0</v>
      </c>
      <c r="R3699" s="86">
        <f t="shared" si="1128"/>
        <v>0</v>
      </c>
      <c r="S3699" s="86">
        <f t="shared" si="1129"/>
        <v>0</v>
      </c>
      <c r="T3699" s="86">
        <f t="shared" si="1130"/>
        <v>-189.05</v>
      </c>
      <c r="U3699" s="87">
        <v>-189.05</v>
      </c>
    </row>
    <row r="3700" spans="1:22" s="22" customFormat="1" ht="20.399999999999999" collapsed="1" x14ac:dyDescent="0.45">
      <c r="A3700" s="12" t="s">
        <v>327</v>
      </c>
      <c r="B3700" s="19"/>
      <c r="C3700" s="12"/>
      <c r="D3700" s="12"/>
      <c r="E3700" s="23"/>
      <c r="F3700" s="23"/>
      <c r="G3700" s="23"/>
      <c r="H3700" s="23"/>
      <c r="I3700" s="49"/>
      <c r="J3700" s="88"/>
      <c r="K3700" s="88"/>
      <c r="L3700" s="89"/>
      <c r="M3700" s="89"/>
      <c r="N3700" s="89"/>
      <c r="O3700" s="89"/>
      <c r="P3700" s="89"/>
      <c r="Q3700" s="90"/>
      <c r="R3700" s="90"/>
      <c r="S3700" s="91"/>
      <c r="T3700" s="92"/>
      <c r="U3700" s="92"/>
    </row>
    <row r="3701" spans="1:22" s="22" customFormat="1" ht="20.399999999999999" x14ac:dyDescent="0.45">
      <c r="A3701" s="12" t="s">
        <v>327</v>
      </c>
      <c r="B3701" s="19"/>
      <c r="C3701" s="12"/>
      <c r="D3701" s="12"/>
      <c r="E3701" s="23"/>
      <c r="F3701" s="23"/>
      <c r="G3701" s="23"/>
      <c r="H3701" s="23"/>
      <c r="I3701" s="49"/>
      <c r="J3701" s="88"/>
      <c r="K3701" s="88"/>
      <c r="L3701" s="89"/>
      <c r="M3701" s="89"/>
      <c r="N3701" s="89"/>
      <c r="O3701" s="89"/>
      <c r="P3701" s="89"/>
      <c r="Q3701" s="90"/>
      <c r="R3701" s="90"/>
      <c r="S3701" s="91"/>
      <c r="T3701" s="92"/>
      <c r="U3701" s="92"/>
    </row>
    <row r="3702" spans="1:22" s="26" customFormat="1" ht="24.6" x14ac:dyDescent="0.55000000000000004">
      <c r="A3702" s="27" t="s">
        <v>327</v>
      </c>
      <c r="B3702" s="28"/>
      <c r="C3702" s="27" t="str">
        <f>"""NAV Direct"",""CRONUS JetCorp USA"",""18"",""1"",""C100105"""</f>
        <v>"NAV Direct","CRONUS JetCorp USA","18","1","C100105"</v>
      </c>
      <c r="D3702" s="27"/>
      <c r="E3702" s="28" t="str">
        <f>H3702</f>
        <v>C100105</v>
      </c>
      <c r="F3702" s="28"/>
      <c r="G3702" s="28"/>
      <c r="H3702" s="28" t="str">
        <f>"C100105"</f>
        <v>C100105</v>
      </c>
      <c r="I3702" s="116" t="str">
        <f>"C100105  -  Esystems"</f>
        <v>C100105  -  Esystems</v>
      </c>
      <c r="J3702" s="117" t="str">
        <f>""</f>
        <v/>
      </c>
      <c r="K3702" s="118"/>
      <c r="L3702" s="119">
        <f>SUBTOTAL(3,L3703:L3751)</f>
        <v>45</v>
      </c>
      <c r="M3702" s="118"/>
      <c r="N3702" s="118"/>
      <c r="O3702" s="120">
        <f t="shared" ref="O3702:T3702" si="1132">SUBTOTAL(9,O3703:O3751)</f>
        <v>504547.39</v>
      </c>
      <c r="P3702" s="120">
        <f t="shared" si="1132"/>
        <v>0</v>
      </c>
      <c r="Q3702" s="120">
        <f t="shared" si="1132"/>
        <v>28317.51</v>
      </c>
      <c r="R3702" s="120">
        <f t="shared" si="1132"/>
        <v>28342.210000000003</v>
      </c>
      <c r="S3702" s="120">
        <f t="shared" si="1132"/>
        <v>-142.30000000000001</v>
      </c>
      <c r="T3702" s="120">
        <f t="shared" si="1132"/>
        <v>448029.97</v>
      </c>
      <c r="U3702" s="81"/>
    </row>
    <row r="3703" spans="1:22" s="26" customFormat="1" ht="24.6" x14ac:dyDescent="0.55000000000000004">
      <c r="A3703" s="27" t="s">
        <v>327</v>
      </c>
      <c r="B3703" s="28"/>
      <c r="C3703" s="27" t="str">
        <f>C3702</f>
        <v>"NAV Direct","CRONUS JetCorp USA","18","1","C100105"</v>
      </c>
      <c r="D3703" s="27"/>
      <c r="E3703" s="28" t="str">
        <f>E3702</f>
        <v>C100105</v>
      </c>
      <c r="F3703" s="28"/>
      <c r="G3703" s="28"/>
      <c r="H3703" s="28"/>
      <c r="I3703" s="121" t="str">
        <f>"Contact: Mildred Botiner"</f>
        <v>Contact: Mildred Botiner</v>
      </c>
      <c r="J3703" s="121"/>
      <c r="K3703" s="122"/>
      <c r="L3703" s="123"/>
      <c r="M3703" s="123"/>
      <c r="N3703" s="124"/>
      <c r="O3703" s="124"/>
      <c r="P3703" s="123"/>
      <c r="Q3703" s="125"/>
      <c r="R3703" s="126"/>
      <c r="S3703" s="126"/>
      <c r="T3703" s="125"/>
      <c r="U3703" s="81"/>
    </row>
    <row r="3704" spans="1:22" s="26" customFormat="1" ht="24.6" x14ac:dyDescent="0.55000000000000004">
      <c r="A3704" s="27" t="s">
        <v>327</v>
      </c>
      <c r="B3704" s="28"/>
      <c r="C3704" s="27" t="str">
        <f>C3703</f>
        <v>"NAV Direct","CRONUS JetCorp USA","18","1","C100105"</v>
      </c>
      <c r="D3704" s="27"/>
      <c r="E3704" s="28" t="str">
        <f>E3703</f>
        <v>C100105</v>
      </c>
      <c r="F3704" s="28"/>
      <c r="G3704" s="28"/>
      <c r="H3704" s="28"/>
      <c r="I3704" s="121" t="str">
        <f>"Esystems@Cronus.com"</f>
        <v>Esystems@Cronus.com</v>
      </c>
      <c r="J3704" s="121"/>
      <c r="K3704" s="122"/>
      <c r="L3704" s="124"/>
      <c r="M3704" s="124"/>
      <c r="N3704" s="124"/>
      <c r="O3704" s="124"/>
      <c r="P3704" s="123"/>
      <c r="Q3704" s="125"/>
      <c r="R3704" s="126"/>
      <c r="S3704" s="126"/>
      <c r="T3704" s="125"/>
      <c r="U3704" s="81"/>
    </row>
    <row r="3705" spans="1:22" ht="12.75" hidden="1" customHeight="1" outlineLevel="1" x14ac:dyDescent="0.45">
      <c r="A3705" s="12" t="s">
        <v>328</v>
      </c>
      <c r="B3705" s="19"/>
      <c r="E3705" s="19"/>
      <c r="F3705" s="19"/>
      <c r="G3705" s="19"/>
      <c r="H3705" s="19"/>
      <c r="I3705" s="61"/>
      <c r="J3705" s="61"/>
      <c r="K3705" s="61"/>
      <c r="L3705" s="61"/>
      <c r="M3705" s="61"/>
      <c r="N3705" s="61"/>
      <c r="O3705" s="61"/>
      <c r="P3705" s="61"/>
      <c r="Q3705" s="61"/>
      <c r="R3705" s="61"/>
      <c r="S3705" s="61"/>
      <c r="T3705" s="61"/>
      <c r="U3705" s="61"/>
      <c r="V3705" s="21"/>
    </row>
    <row r="3706" spans="1:22" s="30" customFormat="1" ht="24.6" hidden="1" outlineLevel="1" x14ac:dyDescent="0.55000000000000004">
      <c r="A3706" s="27" t="s">
        <v>327</v>
      </c>
      <c r="B3706" s="28"/>
      <c r="C3706" s="27"/>
      <c r="D3706" s="27" t="str">
        <f>"""NAV Direct"",""CRONUS JetCorp USA"",""21"",""1"",""72212"""</f>
        <v>"NAV Direct","CRONUS JetCorp USA","21","1","72212"</v>
      </c>
      <c r="E3706" s="31" t="str">
        <f t="shared" ref="E3706:E3750" si="1133">E3704</f>
        <v>C100105</v>
      </c>
      <c r="F3706" s="31"/>
      <c r="G3706" s="31"/>
      <c r="H3706" s="31"/>
      <c r="I3706" s="56"/>
      <c r="J3706" s="56"/>
      <c r="K3706" s="82" t="str">
        <f t="shared" ref="K3706:K3740" si="1134">"Invoice"</f>
        <v>Invoice</v>
      </c>
      <c r="L3706" s="83" t="str">
        <f>"SI_105766"</f>
        <v>SI_105766</v>
      </c>
      <c r="M3706" s="84">
        <v>42326</v>
      </c>
      <c r="N3706" s="85">
        <f t="shared" ref="N3706:N3750" si="1135">StartDate-$M3706+1</f>
        <v>1486</v>
      </c>
      <c r="O3706" s="86">
        <f t="shared" ref="O3706:O3750" si="1136">SUM(P3706:T3706)</f>
        <v>9854.7899999999991</v>
      </c>
      <c r="P3706" s="86">
        <f t="shared" ref="P3706:P3750" si="1137">IF($M3706&gt;=$P$18,U3706,0)</f>
        <v>0</v>
      </c>
      <c r="Q3706" s="86">
        <f t="shared" ref="Q3706:Q3750" si="1138">IF(AND($M3706&gt;=$Q$16,$M3706&lt;=$Q$18),U3706,0)</f>
        <v>0</v>
      </c>
      <c r="R3706" s="86">
        <f t="shared" ref="R3706:R3750" si="1139">IF(AND($M3706&gt;=$R$16,$M3706&lt;=$R$18),U3706,0)</f>
        <v>0</v>
      </c>
      <c r="S3706" s="86">
        <f t="shared" ref="S3706:S3750" si="1140">IF(AND($M3706&gt;=$S$16,$M3706&lt;=$S$18),U3706,0)</f>
        <v>0</v>
      </c>
      <c r="T3706" s="86">
        <f t="shared" ref="T3706:T3750" si="1141">IF($M3706&lt;=$T$18,U3706,0)</f>
        <v>9854.7899999999991</v>
      </c>
      <c r="U3706" s="87">
        <v>9854.7899999999991</v>
      </c>
    </row>
    <row r="3707" spans="1:22" s="30" customFormat="1" ht="24.6" hidden="1" outlineLevel="1" x14ac:dyDescent="0.55000000000000004">
      <c r="A3707" s="27" t="s">
        <v>327</v>
      </c>
      <c r="B3707" s="28"/>
      <c r="C3707" s="27"/>
      <c r="D3707" s="27" t="str">
        <f>"""NAV Direct"",""CRONUS JetCorp USA"",""21"",""1"",""72297"""</f>
        <v>"NAV Direct","CRONUS JetCorp USA","21","1","72297"</v>
      </c>
      <c r="E3707" s="31">
        <f t="shared" si="1133"/>
        <v>0</v>
      </c>
      <c r="F3707" s="31"/>
      <c r="G3707" s="31"/>
      <c r="H3707" s="31"/>
      <c r="I3707" s="56"/>
      <c r="J3707" s="56"/>
      <c r="K3707" s="82" t="str">
        <f t="shared" si="1134"/>
        <v>Invoice</v>
      </c>
      <c r="L3707" s="83" t="str">
        <f>"SI_105769"</f>
        <v>SI_105769</v>
      </c>
      <c r="M3707" s="84">
        <v>42332</v>
      </c>
      <c r="N3707" s="85">
        <f t="shared" si="1135"/>
        <v>1480</v>
      </c>
      <c r="O3707" s="86">
        <f t="shared" si="1136"/>
        <v>9854.5</v>
      </c>
      <c r="P3707" s="86">
        <f t="shared" si="1137"/>
        <v>0</v>
      </c>
      <c r="Q3707" s="86">
        <f t="shared" si="1138"/>
        <v>0</v>
      </c>
      <c r="R3707" s="86">
        <f t="shared" si="1139"/>
        <v>0</v>
      </c>
      <c r="S3707" s="86">
        <f t="shared" si="1140"/>
        <v>0</v>
      </c>
      <c r="T3707" s="86">
        <f t="shared" si="1141"/>
        <v>9854.5</v>
      </c>
      <c r="U3707" s="87">
        <v>9854.5</v>
      </c>
    </row>
    <row r="3708" spans="1:22" s="30" customFormat="1" ht="24.6" hidden="1" outlineLevel="1" x14ac:dyDescent="0.55000000000000004">
      <c r="A3708" s="27" t="s">
        <v>327</v>
      </c>
      <c r="B3708" s="28"/>
      <c r="C3708" s="27"/>
      <c r="D3708" s="27" t="str">
        <f>"""NAV Direct"",""CRONUS JetCorp USA"",""21"",""1"",""72357"""</f>
        <v>"NAV Direct","CRONUS JetCorp USA","21","1","72357"</v>
      </c>
      <c r="E3708" s="31" t="str">
        <f t="shared" si="1133"/>
        <v>C100105</v>
      </c>
      <c r="F3708" s="31"/>
      <c r="G3708" s="31"/>
      <c r="H3708" s="31"/>
      <c r="I3708" s="56"/>
      <c r="J3708" s="56"/>
      <c r="K3708" s="82" t="str">
        <f t="shared" si="1134"/>
        <v>Invoice</v>
      </c>
      <c r="L3708" s="83" t="str">
        <f>"SI_105771"</f>
        <v>SI_105771</v>
      </c>
      <c r="M3708" s="84">
        <v>42335</v>
      </c>
      <c r="N3708" s="85">
        <f t="shared" si="1135"/>
        <v>1477</v>
      </c>
      <c r="O3708" s="86">
        <f t="shared" si="1136"/>
        <v>9854.26</v>
      </c>
      <c r="P3708" s="86">
        <f t="shared" si="1137"/>
        <v>0</v>
      </c>
      <c r="Q3708" s="86">
        <f t="shared" si="1138"/>
        <v>0</v>
      </c>
      <c r="R3708" s="86">
        <f t="shared" si="1139"/>
        <v>0</v>
      </c>
      <c r="S3708" s="86">
        <f t="shared" si="1140"/>
        <v>0</v>
      </c>
      <c r="T3708" s="86">
        <f t="shared" si="1141"/>
        <v>9854.26</v>
      </c>
      <c r="U3708" s="87">
        <v>9854.26</v>
      </c>
    </row>
    <row r="3709" spans="1:22" s="30" customFormat="1" ht="24.6" hidden="1" outlineLevel="1" x14ac:dyDescent="0.55000000000000004">
      <c r="A3709" s="27" t="s">
        <v>327</v>
      </c>
      <c r="B3709" s="28"/>
      <c r="C3709" s="27"/>
      <c r="D3709" s="27" t="str">
        <f>"""NAV Direct"",""CRONUS JetCorp USA"",""21"",""1"",""72655"""</f>
        <v>"NAV Direct","CRONUS JetCorp USA","21","1","72655"</v>
      </c>
      <c r="E3709" s="31">
        <f t="shared" si="1133"/>
        <v>0</v>
      </c>
      <c r="F3709" s="31"/>
      <c r="G3709" s="31"/>
      <c r="H3709" s="31"/>
      <c r="I3709" s="56"/>
      <c r="J3709" s="56"/>
      <c r="K3709" s="82" t="str">
        <f t="shared" si="1134"/>
        <v>Invoice</v>
      </c>
      <c r="L3709" s="83" t="str">
        <f>"SI_105779"</f>
        <v>SI_105779</v>
      </c>
      <c r="M3709" s="84">
        <v>42368</v>
      </c>
      <c r="N3709" s="85">
        <f t="shared" si="1135"/>
        <v>1444</v>
      </c>
      <c r="O3709" s="86">
        <f t="shared" si="1136"/>
        <v>11628.39</v>
      </c>
      <c r="P3709" s="86">
        <f t="shared" si="1137"/>
        <v>0</v>
      </c>
      <c r="Q3709" s="86">
        <f t="shared" si="1138"/>
        <v>0</v>
      </c>
      <c r="R3709" s="86">
        <f t="shared" si="1139"/>
        <v>0</v>
      </c>
      <c r="S3709" s="86">
        <f t="shared" si="1140"/>
        <v>0</v>
      </c>
      <c r="T3709" s="86">
        <f t="shared" si="1141"/>
        <v>11628.39</v>
      </c>
      <c r="U3709" s="87">
        <v>11628.39</v>
      </c>
    </row>
    <row r="3710" spans="1:22" s="30" customFormat="1" ht="24.6" hidden="1" outlineLevel="1" x14ac:dyDescent="0.55000000000000004">
      <c r="A3710" s="27" t="s">
        <v>327</v>
      </c>
      <c r="B3710" s="28"/>
      <c r="C3710" s="27"/>
      <c r="D3710" s="27" t="str">
        <f>"""NAV Direct"",""CRONUS JetCorp USA"",""21"",""1"",""352344"""</f>
        <v>"NAV Direct","CRONUS JetCorp USA","21","1","352344"</v>
      </c>
      <c r="E3710" s="31" t="str">
        <f t="shared" si="1133"/>
        <v>C100105</v>
      </c>
      <c r="F3710" s="31"/>
      <c r="G3710" s="31"/>
      <c r="H3710" s="31"/>
      <c r="I3710" s="56"/>
      <c r="J3710" s="56"/>
      <c r="K3710" s="82" t="str">
        <f t="shared" si="1134"/>
        <v>Invoice</v>
      </c>
      <c r="L3710" s="83" t="str">
        <f>"SI_111034"</f>
        <v>SI_111034</v>
      </c>
      <c r="M3710" s="84">
        <v>42495</v>
      </c>
      <c r="N3710" s="85">
        <f t="shared" si="1135"/>
        <v>1317</v>
      </c>
      <c r="O3710" s="86">
        <f t="shared" si="1136"/>
        <v>9381.8799999999992</v>
      </c>
      <c r="P3710" s="86">
        <f t="shared" si="1137"/>
        <v>0</v>
      </c>
      <c r="Q3710" s="86">
        <f t="shared" si="1138"/>
        <v>0</v>
      </c>
      <c r="R3710" s="86">
        <f t="shared" si="1139"/>
        <v>0</v>
      </c>
      <c r="S3710" s="86">
        <f t="shared" si="1140"/>
        <v>0</v>
      </c>
      <c r="T3710" s="86">
        <f t="shared" si="1141"/>
        <v>9381.8799999999992</v>
      </c>
      <c r="U3710" s="87">
        <v>9381.8799999999992</v>
      </c>
    </row>
    <row r="3711" spans="1:22" s="30" customFormat="1" ht="24.6" hidden="1" outlineLevel="1" x14ac:dyDescent="0.55000000000000004">
      <c r="A3711" s="27" t="s">
        <v>327</v>
      </c>
      <c r="B3711" s="28"/>
      <c r="C3711" s="27"/>
      <c r="D3711" s="27" t="str">
        <f>"""NAV Direct"",""CRONUS JetCorp USA"",""21"",""1"",""352812"""</f>
        <v>"NAV Direct","CRONUS JetCorp USA","21","1","352812"</v>
      </c>
      <c r="E3711" s="31">
        <f t="shared" si="1133"/>
        <v>0</v>
      </c>
      <c r="F3711" s="31"/>
      <c r="G3711" s="31"/>
      <c r="H3711" s="31"/>
      <c r="I3711" s="56"/>
      <c r="J3711" s="56"/>
      <c r="K3711" s="82" t="str">
        <f t="shared" si="1134"/>
        <v>Invoice</v>
      </c>
      <c r="L3711" s="83" t="str">
        <f>"SI_111050"</f>
        <v>SI_111050</v>
      </c>
      <c r="M3711" s="84">
        <v>42631</v>
      </c>
      <c r="N3711" s="85">
        <f t="shared" si="1135"/>
        <v>1181</v>
      </c>
      <c r="O3711" s="86">
        <f t="shared" si="1136"/>
        <v>9474.4499999999989</v>
      </c>
      <c r="P3711" s="86">
        <f t="shared" si="1137"/>
        <v>0</v>
      </c>
      <c r="Q3711" s="86">
        <f t="shared" si="1138"/>
        <v>0</v>
      </c>
      <c r="R3711" s="86">
        <f t="shared" si="1139"/>
        <v>0</v>
      </c>
      <c r="S3711" s="86">
        <f t="shared" si="1140"/>
        <v>0</v>
      </c>
      <c r="T3711" s="86">
        <f t="shared" si="1141"/>
        <v>9474.4499999999989</v>
      </c>
      <c r="U3711" s="87">
        <v>9474.4499999999989</v>
      </c>
    </row>
    <row r="3712" spans="1:22" s="30" customFormat="1" ht="24.6" hidden="1" outlineLevel="1" x14ac:dyDescent="0.55000000000000004">
      <c r="A3712" s="27" t="s">
        <v>327</v>
      </c>
      <c r="B3712" s="28"/>
      <c r="C3712" s="27"/>
      <c r="D3712" s="27" t="str">
        <f>"""NAV Direct"",""CRONUS JetCorp USA"",""21"",""1"",""353101"""</f>
        <v>"NAV Direct","CRONUS JetCorp USA","21","1","353101"</v>
      </c>
      <c r="E3712" s="31" t="str">
        <f t="shared" si="1133"/>
        <v>C100105</v>
      </c>
      <c r="F3712" s="31"/>
      <c r="G3712" s="31"/>
      <c r="H3712" s="31"/>
      <c r="I3712" s="56"/>
      <c r="J3712" s="56"/>
      <c r="K3712" s="82" t="str">
        <f t="shared" si="1134"/>
        <v>Invoice</v>
      </c>
      <c r="L3712" s="83" t="str">
        <f>"SI_111059"</f>
        <v>SI_111059</v>
      </c>
      <c r="M3712" s="84">
        <v>42722</v>
      </c>
      <c r="N3712" s="85">
        <f t="shared" si="1135"/>
        <v>1090</v>
      </c>
      <c r="O3712" s="86">
        <f t="shared" si="1136"/>
        <v>14054.11</v>
      </c>
      <c r="P3712" s="86">
        <f t="shared" si="1137"/>
        <v>0</v>
      </c>
      <c r="Q3712" s="86">
        <f t="shared" si="1138"/>
        <v>0</v>
      </c>
      <c r="R3712" s="86">
        <f t="shared" si="1139"/>
        <v>0</v>
      </c>
      <c r="S3712" s="86">
        <f t="shared" si="1140"/>
        <v>0</v>
      </c>
      <c r="T3712" s="86">
        <f t="shared" si="1141"/>
        <v>14054.11</v>
      </c>
      <c r="U3712" s="87">
        <v>14054.11</v>
      </c>
    </row>
    <row r="3713" spans="1:21" s="30" customFormat="1" ht="24.6" hidden="1" outlineLevel="1" x14ac:dyDescent="0.55000000000000004">
      <c r="A3713" s="27" t="s">
        <v>327</v>
      </c>
      <c r="B3713" s="28"/>
      <c r="C3713" s="27"/>
      <c r="D3713" s="27" t="str">
        <f>"""NAV Direct"",""CRONUS JetCorp USA"",""21"",""1"",""353784"""</f>
        <v>"NAV Direct","CRONUS JetCorp USA","21","1","353784"</v>
      </c>
      <c r="E3713" s="31">
        <f t="shared" si="1133"/>
        <v>0</v>
      </c>
      <c r="F3713" s="31"/>
      <c r="G3713" s="31"/>
      <c r="H3713" s="31"/>
      <c r="I3713" s="56"/>
      <c r="J3713" s="56"/>
      <c r="K3713" s="82" t="str">
        <f t="shared" si="1134"/>
        <v>Invoice</v>
      </c>
      <c r="L3713" s="83" t="str">
        <f>"SI_111078"</f>
        <v>SI_111078</v>
      </c>
      <c r="M3713" s="84">
        <v>42881</v>
      </c>
      <c r="N3713" s="85">
        <f t="shared" si="1135"/>
        <v>931</v>
      </c>
      <c r="O3713" s="86">
        <f t="shared" si="1136"/>
        <v>12941.6</v>
      </c>
      <c r="P3713" s="86">
        <f t="shared" si="1137"/>
        <v>0</v>
      </c>
      <c r="Q3713" s="86">
        <f t="shared" si="1138"/>
        <v>0</v>
      </c>
      <c r="R3713" s="86">
        <f t="shared" si="1139"/>
        <v>0</v>
      </c>
      <c r="S3713" s="86">
        <f t="shared" si="1140"/>
        <v>0</v>
      </c>
      <c r="T3713" s="86">
        <f t="shared" si="1141"/>
        <v>12941.6</v>
      </c>
      <c r="U3713" s="87">
        <v>12941.6</v>
      </c>
    </row>
    <row r="3714" spans="1:21" s="30" customFormat="1" ht="24.6" hidden="1" outlineLevel="1" x14ac:dyDescent="0.55000000000000004">
      <c r="A3714" s="27" t="s">
        <v>327</v>
      </c>
      <c r="B3714" s="28"/>
      <c r="C3714" s="27"/>
      <c r="D3714" s="27" t="str">
        <f>"""NAV Direct"",""CRONUS JetCorp USA"",""21"",""1"",""354013"""</f>
        <v>"NAV Direct","CRONUS JetCorp USA","21","1","354013"</v>
      </c>
      <c r="E3714" s="31" t="str">
        <f t="shared" si="1133"/>
        <v>C100105</v>
      </c>
      <c r="F3714" s="31"/>
      <c r="G3714" s="31"/>
      <c r="H3714" s="31"/>
      <c r="I3714" s="56"/>
      <c r="J3714" s="56"/>
      <c r="K3714" s="82" t="str">
        <f t="shared" si="1134"/>
        <v>Invoice</v>
      </c>
      <c r="L3714" s="83" t="str">
        <f>"SI_111085"</f>
        <v>SI_111085</v>
      </c>
      <c r="M3714" s="84">
        <v>42933</v>
      </c>
      <c r="N3714" s="85">
        <f t="shared" si="1135"/>
        <v>879</v>
      </c>
      <c r="O3714" s="86">
        <f t="shared" si="1136"/>
        <v>13378.189999999999</v>
      </c>
      <c r="P3714" s="86">
        <f t="shared" si="1137"/>
        <v>0</v>
      </c>
      <c r="Q3714" s="86">
        <f t="shared" si="1138"/>
        <v>0</v>
      </c>
      <c r="R3714" s="86">
        <f t="shared" si="1139"/>
        <v>0</v>
      </c>
      <c r="S3714" s="86">
        <f t="shared" si="1140"/>
        <v>0</v>
      </c>
      <c r="T3714" s="86">
        <f t="shared" si="1141"/>
        <v>13378.189999999999</v>
      </c>
      <c r="U3714" s="87">
        <v>13378.189999999999</v>
      </c>
    </row>
    <row r="3715" spans="1:21" s="30" customFormat="1" ht="24.6" hidden="1" outlineLevel="1" x14ac:dyDescent="0.55000000000000004">
      <c r="A3715" s="27" t="s">
        <v>327</v>
      </c>
      <c r="B3715" s="28"/>
      <c r="C3715" s="27"/>
      <c r="D3715" s="27" t="str">
        <f>"""NAV Direct"",""CRONUS JetCorp USA"",""21"",""1"",""354156"""</f>
        <v>"NAV Direct","CRONUS JetCorp USA","21","1","354156"</v>
      </c>
      <c r="E3715" s="31">
        <f t="shared" si="1133"/>
        <v>0</v>
      </c>
      <c r="F3715" s="31"/>
      <c r="G3715" s="31"/>
      <c r="H3715" s="31"/>
      <c r="I3715" s="56"/>
      <c r="J3715" s="56"/>
      <c r="K3715" s="82" t="str">
        <f t="shared" si="1134"/>
        <v>Invoice</v>
      </c>
      <c r="L3715" s="83" t="str">
        <f>"SI_111090"</f>
        <v>SI_111090</v>
      </c>
      <c r="M3715" s="84">
        <v>43032</v>
      </c>
      <c r="N3715" s="85">
        <f t="shared" si="1135"/>
        <v>780</v>
      </c>
      <c r="O3715" s="86">
        <f t="shared" si="1136"/>
        <v>11616</v>
      </c>
      <c r="P3715" s="86">
        <f t="shared" si="1137"/>
        <v>0</v>
      </c>
      <c r="Q3715" s="86">
        <f t="shared" si="1138"/>
        <v>0</v>
      </c>
      <c r="R3715" s="86">
        <f t="shared" si="1139"/>
        <v>0</v>
      </c>
      <c r="S3715" s="86">
        <f t="shared" si="1140"/>
        <v>0</v>
      </c>
      <c r="T3715" s="86">
        <f t="shared" si="1141"/>
        <v>11616</v>
      </c>
      <c r="U3715" s="87">
        <v>11616</v>
      </c>
    </row>
    <row r="3716" spans="1:21" s="30" customFormat="1" ht="24.6" hidden="1" outlineLevel="1" x14ac:dyDescent="0.55000000000000004">
      <c r="A3716" s="27" t="s">
        <v>327</v>
      </c>
      <c r="B3716" s="28"/>
      <c r="C3716" s="27"/>
      <c r="D3716" s="27" t="str">
        <f>"""NAV Direct"",""CRONUS JetCorp USA"",""21"",""1"",""354834"""</f>
        <v>"NAV Direct","CRONUS JetCorp USA","21","1","354834"</v>
      </c>
      <c r="E3716" s="31" t="str">
        <f t="shared" si="1133"/>
        <v>C100105</v>
      </c>
      <c r="F3716" s="31"/>
      <c r="G3716" s="31"/>
      <c r="H3716" s="31"/>
      <c r="I3716" s="56"/>
      <c r="J3716" s="56"/>
      <c r="K3716" s="82" t="str">
        <f t="shared" si="1134"/>
        <v>Invoice</v>
      </c>
      <c r="L3716" s="83" t="str">
        <f>"SI_111110"</f>
        <v>SI_111110</v>
      </c>
      <c r="M3716" s="84">
        <v>43219</v>
      </c>
      <c r="N3716" s="85">
        <f t="shared" si="1135"/>
        <v>593</v>
      </c>
      <c r="O3716" s="86">
        <f t="shared" si="1136"/>
        <v>14868.46</v>
      </c>
      <c r="P3716" s="86">
        <f t="shared" si="1137"/>
        <v>0</v>
      </c>
      <c r="Q3716" s="86">
        <f t="shared" si="1138"/>
        <v>0</v>
      </c>
      <c r="R3716" s="86">
        <f t="shared" si="1139"/>
        <v>0</v>
      </c>
      <c r="S3716" s="86">
        <f t="shared" si="1140"/>
        <v>0</v>
      </c>
      <c r="T3716" s="86">
        <f t="shared" si="1141"/>
        <v>14868.46</v>
      </c>
      <c r="U3716" s="87">
        <v>14868.46</v>
      </c>
    </row>
    <row r="3717" spans="1:21" s="30" customFormat="1" ht="24.6" hidden="1" outlineLevel="1" x14ac:dyDescent="0.55000000000000004">
      <c r="A3717" s="27" t="s">
        <v>327</v>
      </c>
      <c r="B3717" s="28"/>
      <c r="C3717" s="27"/>
      <c r="D3717" s="27" t="str">
        <f>"""NAV Direct"",""CRONUS JetCorp USA"",""21"",""1"",""354996"""</f>
        <v>"NAV Direct","CRONUS JetCorp USA","21","1","354996"</v>
      </c>
      <c r="E3717" s="31">
        <f t="shared" si="1133"/>
        <v>0</v>
      </c>
      <c r="F3717" s="31"/>
      <c r="G3717" s="31"/>
      <c r="H3717" s="31"/>
      <c r="I3717" s="56"/>
      <c r="J3717" s="56"/>
      <c r="K3717" s="82" t="str">
        <f t="shared" si="1134"/>
        <v>Invoice</v>
      </c>
      <c r="L3717" s="83" t="str">
        <f>"SI_111114"</f>
        <v>SI_111114</v>
      </c>
      <c r="M3717" s="84">
        <v>43235</v>
      </c>
      <c r="N3717" s="85">
        <f t="shared" si="1135"/>
        <v>577</v>
      </c>
      <c r="O3717" s="86">
        <f t="shared" si="1136"/>
        <v>16629.740000000002</v>
      </c>
      <c r="P3717" s="86">
        <f t="shared" si="1137"/>
        <v>0</v>
      </c>
      <c r="Q3717" s="86">
        <f t="shared" si="1138"/>
        <v>0</v>
      </c>
      <c r="R3717" s="86">
        <f t="shared" si="1139"/>
        <v>0</v>
      </c>
      <c r="S3717" s="86">
        <f t="shared" si="1140"/>
        <v>0</v>
      </c>
      <c r="T3717" s="86">
        <f t="shared" si="1141"/>
        <v>16629.740000000002</v>
      </c>
      <c r="U3717" s="87">
        <v>16629.740000000002</v>
      </c>
    </row>
    <row r="3718" spans="1:21" s="30" customFormat="1" ht="24.6" hidden="1" outlineLevel="1" x14ac:dyDescent="0.55000000000000004">
      <c r="A3718" s="27" t="s">
        <v>327</v>
      </c>
      <c r="B3718" s="28"/>
      <c r="C3718" s="27"/>
      <c r="D3718" s="27" t="str">
        <f>"""NAV Direct"",""CRONUS JetCorp USA"",""21"",""1"",""355093"""</f>
        <v>"NAV Direct","CRONUS JetCorp USA","21","1","355093"</v>
      </c>
      <c r="E3718" s="31" t="str">
        <f t="shared" si="1133"/>
        <v>C100105</v>
      </c>
      <c r="F3718" s="31"/>
      <c r="G3718" s="31"/>
      <c r="H3718" s="31"/>
      <c r="I3718" s="56"/>
      <c r="J3718" s="56"/>
      <c r="K3718" s="82" t="str">
        <f t="shared" si="1134"/>
        <v>Invoice</v>
      </c>
      <c r="L3718" s="83" t="str">
        <f>"SI_111117"</f>
        <v>SI_111117</v>
      </c>
      <c r="M3718" s="84">
        <v>43269</v>
      </c>
      <c r="N3718" s="85">
        <f t="shared" si="1135"/>
        <v>543</v>
      </c>
      <c r="O3718" s="86">
        <f t="shared" si="1136"/>
        <v>18397.39</v>
      </c>
      <c r="P3718" s="86">
        <f t="shared" si="1137"/>
        <v>0</v>
      </c>
      <c r="Q3718" s="86">
        <f t="shared" si="1138"/>
        <v>0</v>
      </c>
      <c r="R3718" s="86">
        <f t="shared" si="1139"/>
        <v>0</v>
      </c>
      <c r="S3718" s="86">
        <f t="shared" si="1140"/>
        <v>0</v>
      </c>
      <c r="T3718" s="86">
        <f t="shared" si="1141"/>
        <v>18397.39</v>
      </c>
      <c r="U3718" s="87">
        <v>18397.39</v>
      </c>
    </row>
    <row r="3719" spans="1:21" s="30" customFormat="1" ht="24.6" hidden="1" outlineLevel="1" x14ac:dyDescent="0.55000000000000004">
      <c r="A3719" s="27" t="s">
        <v>327</v>
      </c>
      <c r="B3719" s="28"/>
      <c r="C3719" s="27"/>
      <c r="D3719" s="27" t="str">
        <f>"""NAV Direct"",""CRONUS JetCorp USA"",""21"",""1"",""355254"""</f>
        <v>"NAV Direct","CRONUS JetCorp USA","21","1","355254"</v>
      </c>
      <c r="E3719" s="31">
        <f t="shared" si="1133"/>
        <v>0</v>
      </c>
      <c r="F3719" s="31"/>
      <c r="G3719" s="31"/>
      <c r="H3719" s="31"/>
      <c r="I3719" s="56"/>
      <c r="J3719" s="56"/>
      <c r="K3719" s="82" t="str">
        <f t="shared" si="1134"/>
        <v>Invoice</v>
      </c>
      <c r="L3719" s="83" t="str">
        <f>"SI_111122"</f>
        <v>SI_111122</v>
      </c>
      <c r="M3719" s="84">
        <v>43280</v>
      </c>
      <c r="N3719" s="85">
        <f t="shared" si="1135"/>
        <v>532</v>
      </c>
      <c r="O3719" s="86">
        <f t="shared" si="1136"/>
        <v>18397.66</v>
      </c>
      <c r="P3719" s="86">
        <f t="shared" si="1137"/>
        <v>0</v>
      </c>
      <c r="Q3719" s="86">
        <f t="shared" si="1138"/>
        <v>0</v>
      </c>
      <c r="R3719" s="86">
        <f t="shared" si="1139"/>
        <v>0</v>
      </c>
      <c r="S3719" s="86">
        <f t="shared" si="1140"/>
        <v>0</v>
      </c>
      <c r="T3719" s="86">
        <f t="shared" si="1141"/>
        <v>18397.66</v>
      </c>
      <c r="U3719" s="87">
        <v>18397.66</v>
      </c>
    </row>
    <row r="3720" spans="1:21" s="30" customFormat="1" ht="24.6" hidden="1" outlineLevel="1" x14ac:dyDescent="0.55000000000000004">
      <c r="A3720" s="27" t="s">
        <v>327</v>
      </c>
      <c r="B3720" s="28"/>
      <c r="C3720" s="27"/>
      <c r="D3720" s="27" t="str">
        <f>"""NAV Direct"",""CRONUS JetCorp USA"",""21"",""1"",""355402"""</f>
        <v>"NAV Direct","CRONUS JetCorp USA","21","1","355402"</v>
      </c>
      <c r="E3720" s="31" t="str">
        <f t="shared" si="1133"/>
        <v>C100105</v>
      </c>
      <c r="F3720" s="31"/>
      <c r="G3720" s="31"/>
      <c r="H3720" s="31"/>
      <c r="I3720" s="56"/>
      <c r="J3720" s="56"/>
      <c r="K3720" s="82" t="str">
        <f t="shared" si="1134"/>
        <v>Invoice</v>
      </c>
      <c r="L3720" s="83" t="str">
        <f>"SI_111126"</f>
        <v>SI_111126</v>
      </c>
      <c r="M3720" s="84">
        <v>43312</v>
      </c>
      <c r="N3720" s="85">
        <f t="shared" si="1135"/>
        <v>500</v>
      </c>
      <c r="O3720" s="86">
        <f t="shared" si="1136"/>
        <v>16649.41</v>
      </c>
      <c r="P3720" s="86">
        <f t="shared" si="1137"/>
        <v>0</v>
      </c>
      <c r="Q3720" s="86">
        <f t="shared" si="1138"/>
        <v>0</v>
      </c>
      <c r="R3720" s="86">
        <f t="shared" si="1139"/>
        <v>0</v>
      </c>
      <c r="S3720" s="86">
        <f t="shared" si="1140"/>
        <v>0</v>
      </c>
      <c r="T3720" s="86">
        <f t="shared" si="1141"/>
        <v>16649.41</v>
      </c>
      <c r="U3720" s="87">
        <v>16649.41</v>
      </c>
    </row>
    <row r="3721" spans="1:21" s="30" customFormat="1" ht="24.6" hidden="1" outlineLevel="1" x14ac:dyDescent="0.55000000000000004">
      <c r="A3721" s="27" t="s">
        <v>327</v>
      </c>
      <c r="B3721" s="28"/>
      <c r="C3721" s="27"/>
      <c r="D3721" s="27" t="str">
        <f>"""NAV Direct"",""CRONUS JetCorp USA"",""21"",""1"",""355591"""</f>
        <v>"NAV Direct","CRONUS JetCorp USA","21","1","355591"</v>
      </c>
      <c r="E3721" s="31">
        <f t="shared" si="1133"/>
        <v>0</v>
      </c>
      <c r="F3721" s="31"/>
      <c r="G3721" s="31"/>
      <c r="H3721" s="31"/>
      <c r="I3721" s="56"/>
      <c r="J3721" s="56"/>
      <c r="K3721" s="82" t="str">
        <f t="shared" si="1134"/>
        <v>Invoice</v>
      </c>
      <c r="L3721" s="83" t="str">
        <f>"SI_111131"</f>
        <v>SI_111131</v>
      </c>
      <c r="M3721" s="84">
        <v>43343</v>
      </c>
      <c r="N3721" s="85">
        <f t="shared" si="1135"/>
        <v>469</v>
      </c>
      <c r="O3721" s="86">
        <f t="shared" si="1136"/>
        <v>14337.539999999999</v>
      </c>
      <c r="P3721" s="86">
        <f t="shared" si="1137"/>
        <v>0</v>
      </c>
      <c r="Q3721" s="86">
        <f t="shared" si="1138"/>
        <v>0</v>
      </c>
      <c r="R3721" s="86">
        <f t="shared" si="1139"/>
        <v>0</v>
      </c>
      <c r="S3721" s="86">
        <f t="shared" si="1140"/>
        <v>0</v>
      </c>
      <c r="T3721" s="86">
        <f t="shared" si="1141"/>
        <v>14337.539999999999</v>
      </c>
      <c r="U3721" s="87">
        <v>14337.539999999999</v>
      </c>
    </row>
    <row r="3722" spans="1:21" s="30" customFormat="1" ht="24.6" hidden="1" outlineLevel="1" x14ac:dyDescent="0.55000000000000004">
      <c r="A3722" s="27" t="s">
        <v>327</v>
      </c>
      <c r="B3722" s="28"/>
      <c r="C3722" s="27"/>
      <c r="D3722" s="27" t="str">
        <f>"""NAV Direct"",""CRONUS JetCorp USA"",""21"",""1"",""356348"""</f>
        <v>"NAV Direct","CRONUS JetCorp USA","21","1","356348"</v>
      </c>
      <c r="E3722" s="31" t="str">
        <f t="shared" si="1133"/>
        <v>C100105</v>
      </c>
      <c r="F3722" s="31"/>
      <c r="G3722" s="31"/>
      <c r="H3722" s="31"/>
      <c r="I3722" s="56"/>
      <c r="J3722" s="56"/>
      <c r="K3722" s="82" t="str">
        <f t="shared" si="1134"/>
        <v>Invoice</v>
      </c>
      <c r="L3722" s="83" t="str">
        <f>"SI_111152"</f>
        <v>SI_111152</v>
      </c>
      <c r="M3722" s="84">
        <v>43486</v>
      </c>
      <c r="N3722" s="85">
        <f t="shared" si="1135"/>
        <v>326</v>
      </c>
      <c r="O3722" s="86">
        <f t="shared" si="1136"/>
        <v>19609.93</v>
      </c>
      <c r="P3722" s="86">
        <f t="shared" si="1137"/>
        <v>0</v>
      </c>
      <c r="Q3722" s="86">
        <f t="shared" si="1138"/>
        <v>0</v>
      </c>
      <c r="R3722" s="86">
        <f t="shared" si="1139"/>
        <v>0</v>
      </c>
      <c r="S3722" s="86">
        <f t="shared" si="1140"/>
        <v>0</v>
      </c>
      <c r="T3722" s="86">
        <f t="shared" si="1141"/>
        <v>19609.93</v>
      </c>
      <c r="U3722" s="87">
        <v>19609.93</v>
      </c>
    </row>
    <row r="3723" spans="1:21" s="30" customFormat="1" ht="24.6" hidden="1" outlineLevel="1" x14ac:dyDescent="0.55000000000000004">
      <c r="A3723" s="27" t="s">
        <v>327</v>
      </c>
      <c r="B3723" s="28"/>
      <c r="C3723" s="27"/>
      <c r="D3723" s="27" t="str">
        <f>"""NAV Direct"",""CRONUS JetCorp USA"",""21"",""1"",""356603"""</f>
        <v>"NAV Direct","CRONUS JetCorp USA","21","1","356603"</v>
      </c>
      <c r="E3723" s="31">
        <f t="shared" si="1133"/>
        <v>0</v>
      </c>
      <c r="F3723" s="31"/>
      <c r="G3723" s="31"/>
      <c r="H3723" s="31"/>
      <c r="I3723" s="56"/>
      <c r="J3723" s="56"/>
      <c r="K3723" s="82" t="str">
        <f t="shared" si="1134"/>
        <v>Invoice</v>
      </c>
      <c r="L3723" s="83" t="str">
        <f>"SI_111159"</f>
        <v>SI_111159</v>
      </c>
      <c r="M3723" s="84">
        <v>43521</v>
      </c>
      <c r="N3723" s="85">
        <f t="shared" si="1135"/>
        <v>291</v>
      </c>
      <c r="O3723" s="86">
        <f t="shared" si="1136"/>
        <v>19119.5</v>
      </c>
      <c r="P3723" s="86">
        <f t="shared" si="1137"/>
        <v>0</v>
      </c>
      <c r="Q3723" s="86">
        <f t="shared" si="1138"/>
        <v>0</v>
      </c>
      <c r="R3723" s="86">
        <f t="shared" si="1139"/>
        <v>0</v>
      </c>
      <c r="S3723" s="86">
        <f t="shared" si="1140"/>
        <v>0</v>
      </c>
      <c r="T3723" s="86">
        <f t="shared" si="1141"/>
        <v>19119.5</v>
      </c>
      <c r="U3723" s="87">
        <v>19119.5</v>
      </c>
    </row>
    <row r="3724" spans="1:21" s="30" customFormat="1" ht="24.6" hidden="1" outlineLevel="1" x14ac:dyDescent="0.55000000000000004">
      <c r="A3724" s="27" t="s">
        <v>327</v>
      </c>
      <c r="B3724" s="28"/>
      <c r="C3724" s="27"/>
      <c r="D3724" s="27" t="str">
        <f>"""NAV Direct"",""CRONUS JetCorp USA"",""21"",""1"",""356694"""</f>
        <v>"NAV Direct","CRONUS JetCorp USA","21","1","356694"</v>
      </c>
      <c r="E3724" s="31" t="str">
        <f t="shared" si="1133"/>
        <v>C100105</v>
      </c>
      <c r="F3724" s="31"/>
      <c r="G3724" s="31"/>
      <c r="H3724" s="31"/>
      <c r="I3724" s="56"/>
      <c r="J3724" s="56"/>
      <c r="K3724" s="82" t="str">
        <f t="shared" si="1134"/>
        <v>Invoice</v>
      </c>
      <c r="L3724" s="83" t="str">
        <f>"SI_111162"</f>
        <v>SI_111162</v>
      </c>
      <c r="M3724" s="84">
        <v>43548</v>
      </c>
      <c r="N3724" s="85">
        <f t="shared" si="1135"/>
        <v>264</v>
      </c>
      <c r="O3724" s="86">
        <f t="shared" si="1136"/>
        <v>18067.060000000001</v>
      </c>
      <c r="P3724" s="86">
        <f t="shared" si="1137"/>
        <v>0</v>
      </c>
      <c r="Q3724" s="86">
        <f t="shared" si="1138"/>
        <v>0</v>
      </c>
      <c r="R3724" s="86">
        <f t="shared" si="1139"/>
        <v>0</v>
      </c>
      <c r="S3724" s="86">
        <f t="shared" si="1140"/>
        <v>0</v>
      </c>
      <c r="T3724" s="86">
        <f t="shared" si="1141"/>
        <v>18067.060000000001</v>
      </c>
      <c r="U3724" s="87">
        <v>18067.060000000001</v>
      </c>
    </row>
    <row r="3725" spans="1:21" s="30" customFormat="1" ht="24.6" hidden="1" outlineLevel="1" x14ac:dyDescent="0.55000000000000004">
      <c r="A3725" s="27" t="s">
        <v>327</v>
      </c>
      <c r="B3725" s="28"/>
      <c r="C3725" s="27"/>
      <c r="D3725" s="27" t="str">
        <f>"""NAV Direct"",""CRONUS JetCorp USA"",""21"",""1"",""356912"""</f>
        <v>"NAV Direct","CRONUS JetCorp USA","21","1","356912"</v>
      </c>
      <c r="E3725" s="31">
        <f t="shared" si="1133"/>
        <v>0</v>
      </c>
      <c r="F3725" s="31"/>
      <c r="G3725" s="31"/>
      <c r="H3725" s="31"/>
      <c r="I3725" s="56"/>
      <c r="J3725" s="56"/>
      <c r="K3725" s="82" t="str">
        <f t="shared" si="1134"/>
        <v>Invoice</v>
      </c>
      <c r="L3725" s="83" t="str">
        <f>"SI_111168"</f>
        <v>SI_111168</v>
      </c>
      <c r="M3725" s="84">
        <v>43583</v>
      </c>
      <c r="N3725" s="85">
        <f t="shared" si="1135"/>
        <v>229</v>
      </c>
      <c r="O3725" s="86">
        <f t="shared" si="1136"/>
        <v>19671.309999999998</v>
      </c>
      <c r="P3725" s="86">
        <f t="shared" si="1137"/>
        <v>0</v>
      </c>
      <c r="Q3725" s="86">
        <f t="shared" si="1138"/>
        <v>0</v>
      </c>
      <c r="R3725" s="86">
        <f t="shared" si="1139"/>
        <v>0</v>
      </c>
      <c r="S3725" s="86">
        <f t="shared" si="1140"/>
        <v>0</v>
      </c>
      <c r="T3725" s="86">
        <f t="shared" si="1141"/>
        <v>19671.309999999998</v>
      </c>
      <c r="U3725" s="87">
        <v>19671.309999999998</v>
      </c>
    </row>
    <row r="3726" spans="1:21" s="30" customFormat="1" ht="24.6" hidden="1" outlineLevel="1" x14ac:dyDescent="0.55000000000000004">
      <c r="A3726" s="27" t="s">
        <v>327</v>
      </c>
      <c r="B3726" s="28"/>
      <c r="C3726" s="27"/>
      <c r="D3726" s="27" t="str">
        <f>"""NAV Direct"",""CRONUS JetCorp USA"",""21"",""1"",""357088"""</f>
        <v>"NAV Direct","CRONUS JetCorp USA","21","1","357088"</v>
      </c>
      <c r="E3726" s="31" t="str">
        <f t="shared" si="1133"/>
        <v>C100105</v>
      </c>
      <c r="F3726" s="31"/>
      <c r="G3726" s="31"/>
      <c r="H3726" s="31"/>
      <c r="I3726" s="56"/>
      <c r="J3726" s="56"/>
      <c r="K3726" s="82" t="str">
        <f t="shared" si="1134"/>
        <v>Invoice</v>
      </c>
      <c r="L3726" s="83" t="str">
        <f>"SI_111172"</f>
        <v>SI_111172</v>
      </c>
      <c r="M3726" s="84">
        <v>43607</v>
      </c>
      <c r="N3726" s="85">
        <f t="shared" si="1135"/>
        <v>205</v>
      </c>
      <c r="O3726" s="86">
        <f t="shared" si="1136"/>
        <v>22229.35</v>
      </c>
      <c r="P3726" s="86">
        <f t="shared" si="1137"/>
        <v>0</v>
      </c>
      <c r="Q3726" s="86">
        <f t="shared" si="1138"/>
        <v>0</v>
      </c>
      <c r="R3726" s="86">
        <f t="shared" si="1139"/>
        <v>0</v>
      </c>
      <c r="S3726" s="86">
        <f t="shared" si="1140"/>
        <v>0</v>
      </c>
      <c r="T3726" s="86">
        <f t="shared" si="1141"/>
        <v>22229.35</v>
      </c>
      <c r="U3726" s="87">
        <v>22229.35</v>
      </c>
    </row>
    <row r="3727" spans="1:21" s="30" customFormat="1" ht="24.6" hidden="1" outlineLevel="1" x14ac:dyDescent="0.55000000000000004">
      <c r="A3727" s="27" t="s">
        <v>327</v>
      </c>
      <c r="B3727" s="28"/>
      <c r="C3727" s="27"/>
      <c r="D3727" s="27" t="str">
        <f>"""NAV Direct"",""CRONUS JetCorp USA"",""21"",""1"",""357168"""</f>
        <v>"NAV Direct","CRONUS JetCorp USA","21","1","357168"</v>
      </c>
      <c r="E3727" s="31">
        <f t="shared" si="1133"/>
        <v>0</v>
      </c>
      <c r="F3727" s="31"/>
      <c r="G3727" s="31"/>
      <c r="H3727" s="31"/>
      <c r="I3727" s="56"/>
      <c r="J3727" s="56"/>
      <c r="K3727" s="82" t="str">
        <f t="shared" si="1134"/>
        <v>Invoice</v>
      </c>
      <c r="L3727" s="83" t="str">
        <f>"SI_111174"</f>
        <v>SI_111174</v>
      </c>
      <c r="M3727" s="84">
        <v>43612</v>
      </c>
      <c r="N3727" s="85">
        <f t="shared" si="1135"/>
        <v>200</v>
      </c>
      <c r="O3727" s="86">
        <f t="shared" si="1136"/>
        <v>22458.800000000003</v>
      </c>
      <c r="P3727" s="86">
        <f t="shared" si="1137"/>
        <v>0</v>
      </c>
      <c r="Q3727" s="86">
        <f t="shared" si="1138"/>
        <v>0</v>
      </c>
      <c r="R3727" s="86">
        <f t="shared" si="1139"/>
        <v>0</v>
      </c>
      <c r="S3727" s="86">
        <f t="shared" si="1140"/>
        <v>0</v>
      </c>
      <c r="T3727" s="86">
        <f t="shared" si="1141"/>
        <v>22458.800000000003</v>
      </c>
      <c r="U3727" s="87">
        <v>22458.800000000003</v>
      </c>
    </row>
    <row r="3728" spans="1:21" s="30" customFormat="1" ht="24.6" hidden="1" outlineLevel="1" x14ac:dyDescent="0.55000000000000004">
      <c r="A3728" s="27" t="s">
        <v>327</v>
      </c>
      <c r="B3728" s="28"/>
      <c r="C3728" s="27"/>
      <c r="D3728" s="27" t="str">
        <f>"""NAV Direct"",""CRONUS JetCorp USA"",""21"",""1"",""357967"""</f>
        <v>"NAV Direct","CRONUS JetCorp USA","21","1","357967"</v>
      </c>
      <c r="E3728" s="31" t="str">
        <f t="shared" si="1133"/>
        <v>C100105</v>
      </c>
      <c r="F3728" s="31"/>
      <c r="G3728" s="31"/>
      <c r="H3728" s="31"/>
      <c r="I3728" s="56"/>
      <c r="J3728" s="56"/>
      <c r="K3728" s="82" t="str">
        <f t="shared" si="1134"/>
        <v>Invoice</v>
      </c>
      <c r="L3728" s="83" t="str">
        <f>"SI_111195"</f>
        <v>SI_111195</v>
      </c>
      <c r="M3728" s="84">
        <v>43762</v>
      </c>
      <c r="N3728" s="85">
        <f t="shared" si="1135"/>
        <v>50</v>
      </c>
      <c r="O3728" s="86">
        <f t="shared" si="1136"/>
        <v>14241.970000000001</v>
      </c>
      <c r="P3728" s="86">
        <f t="shared" si="1137"/>
        <v>0</v>
      </c>
      <c r="Q3728" s="86">
        <f t="shared" si="1138"/>
        <v>0</v>
      </c>
      <c r="R3728" s="86">
        <f t="shared" si="1139"/>
        <v>14241.970000000001</v>
      </c>
      <c r="S3728" s="86">
        <f t="shared" si="1140"/>
        <v>0</v>
      </c>
      <c r="T3728" s="86">
        <f t="shared" si="1141"/>
        <v>0</v>
      </c>
      <c r="U3728" s="87">
        <v>14241.970000000001</v>
      </c>
    </row>
    <row r="3729" spans="1:21" s="30" customFormat="1" ht="24.6" hidden="1" outlineLevel="1" x14ac:dyDescent="0.55000000000000004">
      <c r="A3729" s="27" t="s">
        <v>327</v>
      </c>
      <c r="B3729" s="28"/>
      <c r="C3729" s="27"/>
      <c r="D3729" s="27" t="str">
        <f>"""NAV Direct"",""CRONUS JetCorp USA"",""21"",""1"",""357998"""</f>
        <v>"NAV Direct","CRONUS JetCorp USA","21","1","357998"</v>
      </c>
      <c r="E3729" s="31">
        <f t="shared" si="1133"/>
        <v>0</v>
      </c>
      <c r="F3729" s="31"/>
      <c r="G3729" s="31"/>
      <c r="H3729" s="31"/>
      <c r="I3729" s="56"/>
      <c r="J3729" s="56"/>
      <c r="K3729" s="82" t="str">
        <f t="shared" si="1134"/>
        <v>Invoice</v>
      </c>
      <c r="L3729" s="83" t="str">
        <f>"SI_111196"</f>
        <v>SI_111196</v>
      </c>
      <c r="M3729" s="84">
        <v>43766</v>
      </c>
      <c r="N3729" s="85">
        <f t="shared" si="1135"/>
        <v>46</v>
      </c>
      <c r="O3729" s="86">
        <f t="shared" si="1136"/>
        <v>14242.43</v>
      </c>
      <c r="P3729" s="86">
        <f t="shared" si="1137"/>
        <v>0</v>
      </c>
      <c r="Q3729" s="86">
        <f t="shared" si="1138"/>
        <v>0</v>
      </c>
      <c r="R3729" s="86">
        <f t="shared" si="1139"/>
        <v>14242.43</v>
      </c>
      <c r="S3729" s="86">
        <f t="shared" si="1140"/>
        <v>0</v>
      </c>
      <c r="T3729" s="86">
        <f t="shared" si="1141"/>
        <v>0</v>
      </c>
      <c r="U3729" s="87">
        <v>14242.43</v>
      </c>
    </row>
    <row r="3730" spans="1:21" s="30" customFormat="1" ht="24.6" hidden="1" outlineLevel="1" x14ac:dyDescent="0.55000000000000004">
      <c r="A3730" s="27" t="s">
        <v>327</v>
      </c>
      <c r="B3730" s="28"/>
      <c r="C3730" s="27"/>
      <c r="D3730" s="27" t="str">
        <f>"""NAV Direct"",""CRONUS JetCorp USA"",""21"",""1"",""358189"""</f>
        <v>"NAV Direct","CRONUS JetCorp USA","21","1","358189"</v>
      </c>
      <c r="E3730" s="31" t="str">
        <f t="shared" si="1133"/>
        <v>C100105</v>
      </c>
      <c r="F3730" s="31"/>
      <c r="G3730" s="31"/>
      <c r="H3730" s="31"/>
      <c r="I3730" s="56"/>
      <c r="J3730" s="56"/>
      <c r="K3730" s="82" t="str">
        <f t="shared" si="1134"/>
        <v>Invoice</v>
      </c>
      <c r="L3730" s="83" t="str">
        <f>"SI_111201"</f>
        <v>SI_111201</v>
      </c>
      <c r="M3730" s="84">
        <v>43800</v>
      </c>
      <c r="N3730" s="85">
        <f t="shared" si="1135"/>
        <v>12</v>
      </c>
      <c r="O3730" s="86">
        <f t="shared" si="1136"/>
        <v>14242.26</v>
      </c>
      <c r="P3730" s="86">
        <f t="shared" si="1137"/>
        <v>0</v>
      </c>
      <c r="Q3730" s="86">
        <f t="shared" si="1138"/>
        <v>14242.26</v>
      </c>
      <c r="R3730" s="86">
        <f t="shared" si="1139"/>
        <v>0</v>
      </c>
      <c r="S3730" s="86">
        <f t="shared" si="1140"/>
        <v>0</v>
      </c>
      <c r="T3730" s="86">
        <f t="shared" si="1141"/>
        <v>0</v>
      </c>
      <c r="U3730" s="87">
        <v>14242.26</v>
      </c>
    </row>
    <row r="3731" spans="1:21" s="30" customFormat="1" ht="24.6" hidden="1" outlineLevel="1" x14ac:dyDescent="0.55000000000000004">
      <c r="A3731" s="27" t="s">
        <v>327</v>
      </c>
      <c r="B3731" s="28"/>
      <c r="C3731" s="27"/>
      <c r="D3731" s="27" t="str">
        <f>"""NAV Direct"",""CRONUS JetCorp USA"",""21"",""1"",""358214"""</f>
        <v>"NAV Direct","CRONUS JetCorp USA","21","1","358214"</v>
      </c>
      <c r="E3731" s="31">
        <f t="shared" si="1133"/>
        <v>0</v>
      </c>
      <c r="F3731" s="31"/>
      <c r="G3731" s="31"/>
      <c r="H3731" s="31"/>
      <c r="I3731" s="56"/>
      <c r="J3731" s="56"/>
      <c r="K3731" s="82" t="str">
        <f t="shared" si="1134"/>
        <v>Invoice</v>
      </c>
      <c r="L3731" s="83" t="str">
        <f>"SI_111202"</f>
        <v>SI_111202</v>
      </c>
      <c r="M3731" s="84">
        <v>43798</v>
      </c>
      <c r="N3731" s="85">
        <f t="shared" si="1135"/>
        <v>14</v>
      </c>
      <c r="O3731" s="86">
        <f t="shared" si="1136"/>
        <v>14242.659999999998</v>
      </c>
      <c r="P3731" s="86">
        <f t="shared" si="1137"/>
        <v>0</v>
      </c>
      <c r="Q3731" s="86">
        <f t="shared" si="1138"/>
        <v>14242.659999999998</v>
      </c>
      <c r="R3731" s="86">
        <f t="shared" si="1139"/>
        <v>0</v>
      </c>
      <c r="S3731" s="86">
        <f t="shared" si="1140"/>
        <v>0</v>
      </c>
      <c r="T3731" s="86">
        <f t="shared" si="1141"/>
        <v>0</v>
      </c>
      <c r="U3731" s="87">
        <v>14242.659999999998</v>
      </c>
    </row>
    <row r="3732" spans="1:21" s="30" customFormat="1" ht="24.6" hidden="1" outlineLevel="1" x14ac:dyDescent="0.55000000000000004">
      <c r="A3732" s="27" t="s">
        <v>327</v>
      </c>
      <c r="B3732" s="28"/>
      <c r="C3732" s="27"/>
      <c r="D3732" s="27" t="str">
        <f>"""NAV Direct"",""CRONUS JetCorp USA"",""21"",""1"",""358438"""</f>
        <v>"NAV Direct","CRONUS JetCorp USA","21","1","358438"</v>
      </c>
      <c r="E3732" s="31" t="str">
        <f t="shared" si="1133"/>
        <v>C100105</v>
      </c>
      <c r="F3732" s="31"/>
      <c r="G3732" s="31"/>
      <c r="H3732" s="31"/>
      <c r="I3732" s="56"/>
      <c r="J3732" s="56"/>
      <c r="K3732" s="82" t="str">
        <f t="shared" si="1134"/>
        <v>Invoice</v>
      </c>
      <c r="L3732" s="83" t="str">
        <f>"SI_111208"</f>
        <v>SI_111208</v>
      </c>
      <c r="M3732" s="84">
        <v>42028</v>
      </c>
      <c r="N3732" s="85">
        <f t="shared" si="1135"/>
        <v>1784</v>
      </c>
      <c r="O3732" s="86">
        <f t="shared" si="1136"/>
        <v>14369.36</v>
      </c>
      <c r="P3732" s="86">
        <f t="shared" si="1137"/>
        <v>0</v>
      </c>
      <c r="Q3732" s="86">
        <f t="shared" si="1138"/>
        <v>0</v>
      </c>
      <c r="R3732" s="86">
        <f t="shared" si="1139"/>
        <v>0</v>
      </c>
      <c r="S3732" s="86">
        <f t="shared" si="1140"/>
        <v>0</v>
      </c>
      <c r="T3732" s="86">
        <f t="shared" si="1141"/>
        <v>14369.36</v>
      </c>
      <c r="U3732" s="87">
        <v>14369.36</v>
      </c>
    </row>
    <row r="3733" spans="1:21" s="30" customFormat="1" ht="24.6" hidden="1" outlineLevel="1" x14ac:dyDescent="0.55000000000000004">
      <c r="A3733" s="27" t="s">
        <v>327</v>
      </c>
      <c r="B3733" s="28"/>
      <c r="C3733" s="27"/>
      <c r="D3733" s="27" t="str">
        <f>"""NAV Direct"",""CRONUS JetCorp USA"",""21"",""1"",""358627"""</f>
        <v>"NAV Direct","CRONUS JetCorp USA","21","1","358627"</v>
      </c>
      <c r="E3733" s="31">
        <f t="shared" si="1133"/>
        <v>0</v>
      </c>
      <c r="F3733" s="31"/>
      <c r="G3733" s="31"/>
      <c r="H3733" s="31"/>
      <c r="I3733" s="56"/>
      <c r="J3733" s="56"/>
      <c r="K3733" s="82" t="str">
        <f t="shared" si="1134"/>
        <v>Invoice</v>
      </c>
      <c r="L3733" s="83" t="str">
        <f>"SI_111213"</f>
        <v>SI_111213</v>
      </c>
      <c r="M3733" s="84">
        <v>42059</v>
      </c>
      <c r="N3733" s="85">
        <f t="shared" si="1135"/>
        <v>1753</v>
      </c>
      <c r="O3733" s="86">
        <f t="shared" si="1136"/>
        <v>14369.36</v>
      </c>
      <c r="P3733" s="86">
        <f t="shared" si="1137"/>
        <v>0</v>
      </c>
      <c r="Q3733" s="86">
        <f t="shared" si="1138"/>
        <v>0</v>
      </c>
      <c r="R3733" s="86">
        <f t="shared" si="1139"/>
        <v>0</v>
      </c>
      <c r="S3733" s="86">
        <f t="shared" si="1140"/>
        <v>0</v>
      </c>
      <c r="T3733" s="86">
        <f t="shared" si="1141"/>
        <v>14369.36</v>
      </c>
      <c r="U3733" s="87">
        <v>14369.36</v>
      </c>
    </row>
    <row r="3734" spans="1:21" s="30" customFormat="1" ht="24.6" hidden="1" outlineLevel="1" x14ac:dyDescent="0.55000000000000004">
      <c r="A3734" s="27" t="s">
        <v>327</v>
      </c>
      <c r="B3734" s="28"/>
      <c r="C3734" s="27"/>
      <c r="D3734" s="27" t="str">
        <f>"""NAV Direct"",""CRONUS JetCorp USA"",""21"",""1"",""358825"""</f>
        <v>"NAV Direct","CRONUS JetCorp USA","21","1","358825"</v>
      </c>
      <c r="E3734" s="31" t="str">
        <f t="shared" si="1133"/>
        <v>C100105</v>
      </c>
      <c r="F3734" s="31"/>
      <c r="G3734" s="31"/>
      <c r="H3734" s="31"/>
      <c r="I3734" s="56"/>
      <c r="J3734" s="56"/>
      <c r="K3734" s="82" t="str">
        <f t="shared" si="1134"/>
        <v>Invoice</v>
      </c>
      <c r="L3734" s="83" t="str">
        <f>"SI_111219"</f>
        <v>SI_111219</v>
      </c>
      <c r="M3734" s="84">
        <v>42093</v>
      </c>
      <c r="N3734" s="85">
        <f t="shared" si="1135"/>
        <v>1719</v>
      </c>
      <c r="O3734" s="86">
        <f t="shared" si="1136"/>
        <v>12500.359999999999</v>
      </c>
      <c r="P3734" s="86">
        <f t="shared" si="1137"/>
        <v>0</v>
      </c>
      <c r="Q3734" s="86">
        <f t="shared" si="1138"/>
        <v>0</v>
      </c>
      <c r="R3734" s="86">
        <f t="shared" si="1139"/>
        <v>0</v>
      </c>
      <c r="S3734" s="86">
        <f t="shared" si="1140"/>
        <v>0</v>
      </c>
      <c r="T3734" s="86">
        <f t="shared" si="1141"/>
        <v>12500.359999999999</v>
      </c>
      <c r="U3734" s="87">
        <v>12500.359999999999</v>
      </c>
    </row>
    <row r="3735" spans="1:21" s="30" customFormat="1" ht="24.6" hidden="1" outlineLevel="1" x14ac:dyDescent="0.55000000000000004">
      <c r="A3735" s="27" t="s">
        <v>327</v>
      </c>
      <c r="B3735" s="28"/>
      <c r="C3735" s="27"/>
      <c r="D3735" s="27" t="str">
        <f>"""NAV Direct"",""CRONUS JetCorp USA"",""21"",""1"",""358889"""</f>
        <v>"NAV Direct","CRONUS JetCorp USA","21","1","358889"</v>
      </c>
      <c r="E3735" s="31">
        <f t="shared" si="1133"/>
        <v>0</v>
      </c>
      <c r="F3735" s="31"/>
      <c r="G3735" s="31"/>
      <c r="H3735" s="31"/>
      <c r="I3735" s="56"/>
      <c r="J3735" s="56"/>
      <c r="K3735" s="82" t="str">
        <f t="shared" si="1134"/>
        <v>Invoice</v>
      </c>
      <c r="L3735" s="83" t="str">
        <f>"SI_111221"</f>
        <v>SI_111221</v>
      </c>
      <c r="M3735" s="84">
        <v>42115</v>
      </c>
      <c r="N3735" s="85">
        <f t="shared" si="1135"/>
        <v>1697</v>
      </c>
      <c r="O3735" s="86">
        <f t="shared" si="1136"/>
        <v>13751.439999999999</v>
      </c>
      <c r="P3735" s="86">
        <f t="shared" si="1137"/>
        <v>0</v>
      </c>
      <c r="Q3735" s="86">
        <f t="shared" si="1138"/>
        <v>0</v>
      </c>
      <c r="R3735" s="86">
        <f t="shared" si="1139"/>
        <v>0</v>
      </c>
      <c r="S3735" s="86">
        <f t="shared" si="1140"/>
        <v>0</v>
      </c>
      <c r="T3735" s="86">
        <f t="shared" si="1141"/>
        <v>13751.439999999999</v>
      </c>
      <c r="U3735" s="87">
        <v>13751.439999999999</v>
      </c>
    </row>
    <row r="3736" spans="1:21" s="30" customFormat="1" ht="24.6" hidden="1" outlineLevel="1" x14ac:dyDescent="0.55000000000000004">
      <c r="A3736" s="27" t="s">
        <v>327</v>
      </c>
      <c r="B3736" s="28"/>
      <c r="C3736" s="27"/>
      <c r="D3736" s="27" t="str">
        <f>"""NAV Direct"",""CRONUS JetCorp USA"",""21"",""1"",""359181"""</f>
        <v>"NAV Direct","CRONUS JetCorp USA","21","1","359181"</v>
      </c>
      <c r="E3736" s="31" t="str">
        <f t="shared" si="1133"/>
        <v>C100105</v>
      </c>
      <c r="F3736" s="31"/>
      <c r="G3736" s="31"/>
      <c r="H3736" s="31"/>
      <c r="I3736" s="56"/>
      <c r="J3736" s="56"/>
      <c r="K3736" s="82" t="str">
        <f t="shared" si="1134"/>
        <v>Invoice</v>
      </c>
      <c r="L3736" s="83" t="str">
        <f>"SI_111229"</f>
        <v>SI_111229</v>
      </c>
      <c r="M3736" s="84">
        <v>42151</v>
      </c>
      <c r="N3736" s="85">
        <f t="shared" si="1135"/>
        <v>1661</v>
      </c>
      <c r="O3736" s="86">
        <f t="shared" si="1136"/>
        <v>15539.41</v>
      </c>
      <c r="P3736" s="86">
        <f t="shared" si="1137"/>
        <v>0</v>
      </c>
      <c r="Q3736" s="86">
        <f t="shared" si="1138"/>
        <v>0</v>
      </c>
      <c r="R3736" s="86">
        <f t="shared" si="1139"/>
        <v>0</v>
      </c>
      <c r="S3736" s="86">
        <f t="shared" si="1140"/>
        <v>0</v>
      </c>
      <c r="T3736" s="86">
        <f t="shared" si="1141"/>
        <v>15539.41</v>
      </c>
      <c r="U3736" s="87">
        <v>15539.41</v>
      </c>
    </row>
    <row r="3737" spans="1:21" s="30" customFormat="1" ht="24.6" hidden="1" outlineLevel="1" x14ac:dyDescent="0.55000000000000004">
      <c r="A3737" s="27" t="s">
        <v>327</v>
      </c>
      <c r="B3737" s="28"/>
      <c r="C3737" s="27"/>
      <c r="D3737" s="27" t="str">
        <f>"""NAV Direct"",""CRONUS JetCorp USA"",""21"",""1"",""359259"""</f>
        <v>"NAV Direct","CRONUS JetCorp USA","21","1","359259"</v>
      </c>
      <c r="E3737" s="31">
        <f t="shared" si="1133"/>
        <v>0</v>
      </c>
      <c r="F3737" s="31"/>
      <c r="G3737" s="31"/>
      <c r="H3737" s="31"/>
      <c r="I3737" s="56"/>
      <c r="J3737" s="56"/>
      <c r="K3737" s="82" t="str">
        <f t="shared" si="1134"/>
        <v>Invoice</v>
      </c>
      <c r="L3737" s="83" t="str">
        <f>"SI_111231"</f>
        <v>SI_111231</v>
      </c>
      <c r="M3737" s="84">
        <v>42159</v>
      </c>
      <c r="N3737" s="85">
        <f t="shared" si="1135"/>
        <v>1653</v>
      </c>
      <c r="O3737" s="86">
        <f t="shared" si="1136"/>
        <v>15539.42</v>
      </c>
      <c r="P3737" s="86">
        <f t="shared" si="1137"/>
        <v>0</v>
      </c>
      <c r="Q3737" s="86">
        <f t="shared" si="1138"/>
        <v>0</v>
      </c>
      <c r="R3737" s="86">
        <f t="shared" si="1139"/>
        <v>0</v>
      </c>
      <c r="S3737" s="86">
        <f t="shared" si="1140"/>
        <v>0</v>
      </c>
      <c r="T3737" s="86">
        <f t="shared" si="1141"/>
        <v>15539.42</v>
      </c>
      <c r="U3737" s="87">
        <v>15539.42</v>
      </c>
    </row>
    <row r="3738" spans="1:21" s="30" customFormat="1" ht="24.6" hidden="1" outlineLevel="1" x14ac:dyDescent="0.55000000000000004">
      <c r="A3738" s="27" t="s">
        <v>327</v>
      </c>
      <c r="B3738" s="28"/>
      <c r="C3738" s="27"/>
      <c r="D3738" s="27" t="str">
        <f>"""NAV Direct"",""CRONUS JetCorp USA"",""21"",""1"",""359872"""</f>
        <v>"NAV Direct","CRONUS JetCorp USA","21","1","359872"</v>
      </c>
      <c r="E3738" s="31" t="str">
        <f t="shared" si="1133"/>
        <v>C100105</v>
      </c>
      <c r="F3738" s="31"/>
      <c r="G3738" s="31"/>
      <c r="H3738" s="31"/>
      <c r="I3738" s="56"/>
      <c r="J3738" s="56"/>
      <c r="K3738" s="82" t="str">
        <f t="shared" si="1134"/>
        <v>Invoice</v>
      </c>
      <c r="L3738" s="83" t="str">
        <f>"SI_111250"</f>
        <v>SI_111250</v>
      </c>
      <c r="M3738" s="84">
        <v>42268</v>
      </c>
      <c r="N3738" s="85">
        <f t="shared" si="1135"/>
        <v>1544</v>
      </c>
      <c r="O3738" s="86">
        <f t="shared" si="1136"/>
        <v>8958.51</v>
      </c>
      <c r="P3738" s="86">
        <f t="shared" si="1137"/>
        <v>0</v>
      </c>
      <c r="Q3738" s="86">
        <f t="shared" si="1138"/>
        <v>0</v>
      </c>
      <c r="R3738" s="86">
        <f t="shared" si="1139"/>
        <v>0</v>
      </c>
      <c r="S3738" s="86">
        <f t="shared" si="1140"/>
        <v>0</v>
      </c>
      <c r="T3738" s="86">
        <f t="shared" si="1141"/>
        <v>8958.51</v>
      </c>
      <c r="U3738" s="87">
        <v>8958.51</v>
      </c>
    </row>
    <row r="3739" spans="1:21" s="30" customFormat="1" ht="24.6" hidden="1" outlineLevel="1" x14ac:dyDescent="0.55000000000000004">
      <c r="A3739" s="27" t="s">
        <v>327</v>
      </c>
      <c r="B3739" s="28"/>
      <c r="C3739" s="27"/>
      <c r="D3739" s="27" t="str">
        <f>"""NAV Direct"",""CRONUS JetCorp USA"",""21"",""1"",""360018"""</f>
        <v>"NAV Direct","CRONUS JetCorp USA","21","1","360018"</v>
      </c>
      <c r="E3739" s="31">
        <f t="shared" si="1133"/>
        <v>0</v>
      </c>
      <c r="F3739" s="31"/>
      <c r="G3739" s="31"/>
      <c r="H3739" s="31"/>
      <c r="I3739" s="56"/>
      <c r="J3739" s="56"/>
      <c r="K3739" s="82" t="str">
        <f t="shared" si="1134"/>
        <v>Invoice</v>
      </c>
      <c r="L3739" s="83" t="str">
        <f>"SI_111254"</f>
        <v>SI_111254</v>
      </c>
      <c r="M3739" s="84">
        <v>42299</v>
      </c>
      <c r="N3739" s="85">
        <f t="shared" si="1135"/>
        <v>1513</v>
      </c>
      <c r="O3739" s="86">
        <f t="shared" si="1136"/>
        <v>9853.8799999999992</v>
      </c>
      <c r="P3739" s="86">
        <f t="shared" si="1137"/>
        <v>0</v>
      </c>
      <c r="Q3739" s="86">
        <f t="shared" si="1138"/>
        <v>0</v>
      </c>
      <c r="R3739" s="86">
        <f t="shared" si="1139"/>
        <v>0</v>
      </c>
      <c r="S3739" s="86">
        <f t="shared" si="1140"/>
        <v>0</v>
      </c>
      <c r="T3739" s="86">
        <f t="shared" si="1141"/>
        <v>9853.8799999999992</v>
      </c>
      <c r="U3739" s="87">
        <v>9853.8799999999992</v>
      </c>
    </row>
    <row r="3740" spans="1:21" s="30" customFormat="1" ht="24.6" hidden="1" outlineLevel="1" x14ac:dyDescent="0.55000000000000004">
      <c r="A3740" s="27" t="s">
        <v>327</v>
      </c>
      <c r="B3740" s="28"/>
      <c r="C3740" s="27"/>
      <c r="D3740" s="27" t="str">
        <f>"""NAV Direct"",""CRONUS JetCorp USA"",""21"",""1"",""360676"""</f>
        <v>"NAV Direct","CRONUS JetCorp USA","21","1","360676"</v>
      </c>
      <c r="E3740" s="31" t="str">
        <f t="shared" si="1133"/>
        <v>C100105</v>
      </c>
      <c r="F3740" s="31"/>
      <c r="G3740" s="31"/>
      <c r="H3740" s="31"/>
      <c r="I3740" s="56"/>
      <c r="J3740" s="56"/>
      <c r="K3740" s="82" t="str">
        <f t="shared" si="1134"/>
        <v>Invoice</v>
      </c>
      <c r="L3740" s="83" t="str">
        <f>"SI_111274"</f>
        <v>SI_111274</v>
      </c>
      <c r="M3740" s="84">
        <v>42738</v>
      </c>
      <c r="N3740" s="85">
        <f t="shared" si="1135"/>
        <v>1074</v>
      </c>
      <c r="O3740" s="86">
        <f t="shared" si="1136"/>
        <v>11628.7</v>
      </c>
      <c r="P3740" s="86">
        <f t="shared" si="1137"/>
        <v>0</v>
      </c>
      <c r="Q3740" s="86">
        <f t="shared" si="1138"/>
        <v>0</v>
      </c>
      <c r="R3740" s="86">
        <f t="shared" si="1139"/>
        <v>0</v>
      </c>
      <c r="S3740" s="86">
        <f t="shared" si="1140"/>
        <v>0</v>
      </c>
      <c r="T3740" s="86">
        <f t="shared" si="1141"/>
        <v>11628.7</v>
      </c>
      <c r="U3740" s="87">
        <v>11628.7</v>
      </c>
    </row>
    <row r="3741" spans="1:21" s="30" customFormat="1" ht="24.6" hidden="1" outlineLevel="1" x14ac:dyDescent="0.55000000000000004">
      <c r="A3741" s="27" t="s">
        <v>327</v>
      </c>
      <c r="B3741" s="28"/>
      <c r="C3741" s="27"/>
      <c r="D3741" s="27" t="str">
        <f>"""NAV Direct"",""CRONUS JetCorp USA"",""21"",""1"",""434803"""</f>
        <v>"NAV Direct","CRONUS JetCorp USA","21","1","434803"</v>
      </c>
      <c r="E3741" s="31">
        <f t="shared" si="1133"/>
        <v>0</v>
      </c>
      <c r="F3741" s="31"/>
      <c r="G3741" s="31"/>
      <c r="H3741" s="31"/>
      <c r="I3741" s="56"/>
      <c r="J3741" s="56"/>
      <c r="K3741" s="82" t="str">
        <f t="shared" ref="K3741:K3750" si="1142">"Credit Memo"</f>
        <v>Credit Memo</v>
      </c>
      <c r="L3741" s="83" t="str">
        <f>"SC_100577"</f>
        <v>SC_100577</v>
      </c>
      <c r="M3741" s="84">
        <v>42540</v>
      </c>
      <c r="N3741" s="85">
        <f t="shared" si="1135"/>
        <v>1272</v>
      </c>
      <c r="O3741" s="86">
        <f t="shared" si="1136"/>
        <v>-121.10000000000001</v>
      </c>
      <c r="P3741" s="86">
        <f t="shared" si="1137"/>
        <v>0</v>
      </c>
      <c r="Q3741" s="86">
        <f t="shared" si="1138"/>
        <v>0</v>
      </c>
      <c r="R3741" s="86">
        <f t="shared" si="1139"/>
        <v>0</v>
      </c>
      <c r="S3741" s="86">
        <f t="shared" si="1140"/>
        <v>0</v>
      </c>
      <c r="T3741" s="86">
        <f t="shared" si="1141"/>
        <v>-121.10000000000001</v>
      </c>
      <c r="U3741" s="87">
        <v>-121.10000000000001</v>
      </c>
    </row>
    <row r="3742" spans="1:21" s="30" customFormat="1" ht="24.6" hidden="1" outlineLevel="1" x14ac:dyDescent="0.55000000000000004">
      <c r="A3742" s="27" t="s">
        <v>327</v>
      </c>
      <c r="B3742" s="28"/>
      <c r="C3742" s="27"/>
      <c r="D3742" s="27" t="str">
        <f>"""NAV Direct"",""CRONUS JetCorp USA"",""21"",""1"",""434943"""</f>
        <v>"NAV Direct","CRONUS JetCorp USA","21","1","434943"</v>
      </c>
      <c r="E3742" s="31" t="str">
        <f t="shared" si="1133"/>
        <v>C100105</v>
      </c>
      <c r="F3742" s="31"/>
      <c r="G3742" s="31"/>
      <c r="H3742" s="31"/>
      <c r="I3742" s="56"/>
      <c r="J3742" s="56"/>
      <c r="K3742" s="82" t="str">
        <f t="shared" si="1142"/>
        <v>Credit Memo</v>
      </c>
      <c r="L3742" s="83" t="str">
        <f>"SC_100587"</f>
        <v>SC_100587</v>
      </c>
      <c r="M3742" s="84">
        <v>42998</v>
      </c>
      <c r="N3742" s="85">
        <f t="shared" si="1135"/>
        <v>814</v>
      </c>
      <c r="O3742" s="86">
        <f t="shared" si="1136"/>
        <v>-101.92999999999999</v>
      </c>
      <c r="P3742" s="86">
        <f t="shared" si="1137"/>
        <v>0</v>
      </c>
      <c r="Q3742" s="86">
        <f t="shared" si="1138"/>
        <v>0</v>
      </c>
      <c r="R3742" s="86">
        <f t="shared" si="1139"/>
        <v>0</v>
      </c>
      <c r="S3742" s="86">
        <f t="shared" si="1140"/>
        <v>0</v>
      </c>
      <c r="T3742" s="86">
        <f t="shared" si="1141"/>
        <v>-101.92999999999999</v>
      </c>
      <c r="U3742" s="87">
        <v>-101.92999999999999</v>
      </c>
    </row>
    <row r="3743" spans="1:21" s="30" customFormat="1" ht="24.6" hidden="1" outlineLevel="1" x14ac:dyDescent="0.55000000000000004">
      <c r="A3743" s="27" t="s">
        <v>327</v>
      </c>
      <c r="B3743" s="28"/>
      <c r="C3743" s="27"/>
      <c r="D3743" s="27" t="str">
        <f>"""NAV Direct"",""CRONUS JetCorp USA"",""21"",""1"",""435058"""</f>
        <v>"NAV Direct","CRONUS JetCorp USA","21","1","435058"</v>
      </c>
      <c r="E3743" s="31">
        <f t="shared" si="1133"/>
        <v>0</v>
      </c>
      <c r="F3743" s="31"/>
      <c r="G3743" s="31"/>
      <c r="H3743" s="31"/>
      <c r="I3743" s="56"/>
      <c r="J3743" s="56"/>
      <c r="K3743" s="82" t="str">
        <f t="shared" si="1142"/>
        <v>Credit Memo</v>
      </c>
      <c r="L3743" s="83" t="str">
        <f>"SC_100594"</f>
        <v>SC_100594</v>
      </c>
      <c r="M3743" s="84">
        <v>43175</v>
      </c>
      <c r="N3743" s="85">
        <f t="shared" si="1135"/>
        <v>637</v>
      </c>
      <c r="O3743" s="86">
        <f t="shared" si="1136"/>
        <v>-125.17</v>
      </c>
      <c r="P3743" s="86">
        <f t="shared" si="1137"/>
        <v>0</v>
      </c>
      <c r="Q3743" s="86">
        <f t="shared" si="1138"/>
        <v>0</v>
      </c>
      <c r="R3743" s="86">
        <f t="shared" si="1139"/>
        <v>0</v>
      </c>
      <c r="S3743" s="86">
        <f t="shared" si="1140"/>
        <v>0</v>
      </c>
      <c r="T3743" s="86">
        <f t="shared" si="1141"/>
        <v>-125.17</v>
      </c>
      <c r="U3743" s="87">
        <v>-125.17</v>
      </c>
    </row>
    <row r="3744" spans="1:21" s="30" customFormat="1" ht="24.6" hidden="1" outlineLevel="1" x14ac:dyDescent="0.55000000000000004">
      <c r="A3744" s="27" t="s">
        <v>327</v>
      </c>
      <c r="B3744" s="28"/>
      <c r="C3744" s="27"/>
      <c r="D3744" s="27" t="str">
        <f>"""NAV Direct"",""CRONUS JetCorp USA"",""21"",""1"",""435090"""</f>
        <v>"NAV Direct","CRONUS JetCorp USA","21","1","435090"</v>
      </c>
      <c r="E3744" s="31" t="str">
        <f t="shared" si="1133"/>
        <v>C100105</v>
      </c>
      <c r="F3744" s="31"/>
      <c r="G3744" s="31"/>
      <c r="H3744" s="31"/>
      <c r="I3744" s="56"/>
      <c r="J3744" s="56"/>
      <c r="K3744" s="82" t="str">
        <f t="shared" si="1142"/>
        <v>Credit Memo</v>
      </c>
      <c r="L3744" s="83" t="str">
        <f>"SC_100596"</f>
        <v>SC_100596</v>
      </c>
      <c r="M3744" s="84">
        <v>43316</v>
      </c>
      <c r="N3744" s="85">
        <f t="shared" si="1135"/>
        <v>496</v>
      </c>
      <c r="O3744" s="86">
        <f t="shared" si="1136"/>
        <v>-144.19</v>
      </c>
      <c r="P3744" s="86">
        <f t="shared" si="1137"/>
        <v>0</v>
      </c>
      <c r="Q3744" s="86">
        <f t="shared" si="1138"/>
        <v>0</v>
      </c>
      <c r="R3744" s="86">
        <f t="shared" si="1139"/>
        <v>0</v>
      </c>
      <c r="S3744" s="86">
        <f t="shared" si="1140"/>
        <v>0</v>
      </c>
      <c r="T3744" s="86">
        <f t="shared" si="1141"/>
        <v>-144.19</v>
      </c>
      <c r="U3744" s="87">
        <v>-144.19</v>
      </c>
    </row>
    <row r="3745" spans="1:22" s="30" customFormat="1" ht="24.6" hidden="1" outlineLevel="1" x14ac:dyDescent="0.55000000000000004">
      <c r="A3745" s="27" t="s">
        <v>327</v>
      </c>
      <c r="B3745" s="28"/>
      <c r="C3745" s="27"/>
      <c r="D3745" s="27" t="str">
        <f>"""NAV Direct"",""CRONUS JetCorp USA"",""21"",""1"",""435224"""</f>
        <v>"NAV Direct","CRONUS JetCorp USA","21","1","435224"</v>
      </c>
      <c r="E3745" s="31">
        <f t="shared" si="1133"/>
        <v>0</v>
      </c>
      <c r="F3745" s="31"/>
      <c r="G3745" s="31"/>
      <c r="H3745" s="31"/>
      <c r="I3745" s="56"/>
      <c r="J3745" s="56"/>
      <c r="K3745" s="82" t="str">
        <f t="shared" si="1142"/>
        <v>Credit Memo</v>
      </c>
      <c r="L3745" s="83" t="str">
        <f>"SC_100604"</f>
        <v>SC_100604</v>
      </c>
      <c r="M3745" s="84">
        <v>43480</v>
      </c>
      <c r="N3745" s="85">
        <f t="shared" si="1135"/>
        <v>332</v>
      </c>
      <c r="O3745" s="86">
        <f t="shared" si="1136"/>
        <v>-196.08</v>
      </c>
      <c r="P3745" s="86">
        <f t="shared" si="1137"/>
        <v>0</v>
      </c>
      <c r="Q3745" s="86">
        <f t="shared" si="1138"/>
        <v>0</v>
      </c>
      <c r="R3745" s="86">
        <f t="shared" si="1139"/>
        <v>0</v>
      </c>
      <c r="S3745" s="86">
        <f t="shared" si="1140"/>
        <v>0</v>
      </c>
      <c r="T3745" s="86">
        <f t="shared" si="1141"/>
        <v>-196.08</v>
      </c>
      <c r="U3745" s="87">
        <v>-196.08</v>
      </c>
    </row>
    <row r="3746" spans="1:22" s="30" customFormat="1" ht="24.6" hidden="1" outlineLevel="1" x14ac:dyDescent="0.55000000000000004">
      <c r="A3746" s="27" t="s">
        <v>327</v>
      </c>
      <c r="B3746" s="28"/>
      <c r="C3746" s="27"/>
      <c r="D3746" s="27" t="str">
        <f>"""NAV Direct"",""CRONUS JetCorp USA"",""21"",""1"",""435357"""</f>
        <v>"NAV Direct","CRONUS JetCorp USA","21","1","435357"</v>
      </c>
      <c r="E3746" s="31" t="str">
        <f t="shared" si="1133"/>
        <v>C100105</v>
      </c>
      <c r="F3746" s="31"/>
      <c r="G3746" s="31"/>
      <c r="H3746" s="31"/>
      <c r="I3746" s="56"/>
      <c r="J3746" s="56"/>
      <c r="K3746" s="82" t="str">
        <f t="shared" si="1142"/>
        <v>Credit Memo</v>
      </c>
      <c r="L3746" s="83" t="str">
        <f>"SC_100613"</f>
        <v>SC_100613</v>
      </c>
      <c r="M3746" s="84">
        <v>43717</v>
      </c>
      <c r="N3746" s="85">
        <f t="shared" si="1135"/>
        <v>95</v>
      </c>
      <c r="O3746" s="86">
        <f t="shared" si="1136"/>
        <v>-129.31</v>
      </c>
      <c r="P3746" s="86">
        <f t="shared" si="1137"/>
        <v>0</v>
      </c>
      <c r="Q3746" s="86">
        <f t="shared" si="1138"/>
        <v>0</v>
      </c>
      <c r="R3746" s="86">
        <f t="shared" si="1139"/>
        <v>0</v>
      </c>
      <c r="S3746" s="86">
        <f t="shared" si="1140"/>
        <v>0</v>
      </c>
      <c r="T3746" s="86">
        <f t="shared" si="1141"/>
        <v>-129.31</v>
      </c>
      <c r="U3746" s="87">
        <v>-129.31</v>
      </c>
    </row>
    <row r="3747" spans="1:22" s="30" customFormat="1" ht="24.6" hidden="1" outlineLevel="1" x14ac:dyDescent="0.55000000000000004">
      <c r="A3747" s="27" t="s">
        <v>327</v>
      </c>
      <c r="B3747" s="28"/>
      <c r="C3747" s="27"/>
      <c r="D3747" s="27" t="str">
        <f>"""NAV Direct"",""CRONUS JetCorp USA"",""21"",""1"",""435387"""</f>
        <v>"NAV Direct","CRONUS JetCorp USA","21","1","435387"</v>
      </c>
      <c r="E3747" s="31">
        <f t="shared" si="1133"/>
        <v>0</v>
      </c>
      <c r="F3747" s="31"/>
      <c r="G3747" s="31"/>
      <c r="H3747" s="31"/>
      <c r="I3747" s="56"/>
      <c r="J3747" s="56"/>
      <c r="K3747" s="82" t="str">
        <f t="shared" si="1142"/>
        <v>Credit Memo</v>
      </c>
      <c r="L3747" s="83" t="str">
        <f>"SC_100615"</f>
        <v>SC_100615</v>
      </c>
      <c r="M3747" s="84">
        <v>43745</v>
      </c>
      <c r="N3747" s="85">
        <f t="shared" si="1135"/>
        <v>67</v>
      </c>
      <c r="O3747" s="86">
        <f t="shared" si="1136"/>
        <v>-142.30000000000001</v>
      </c>
      <c r="P3747" s="86">
        <f t="shared" si="1137"/>
        <v>0</v>
      </c>
      <c r="Q3747" s="86">
        <f t="shared" si="1138"/>
        <v>0</v>
      </c>
      <c r="R3747" s="86">
        <f t="shared" si="1139"/>
        <v>0</v>
      </c>
      <c r="S3747" s="86">
        <f t="shared" si="1140"/>
        <v>-142.30000000000001</v>
      </c>
      <c r="T3747" s="86">
        <f t="shared" si="1141"/>
        <v>0</v>
      </c>
      <c r="U3747" s="87">
        <v>-142.30000000000001</v>
      </c>
    </row>
    <row r="3748" spans="1:22" s="30" customFormat="1" ht="24.6" hidden="1" outlineLevel="1" x14ac:dyDescent="0.55000000000000004">
      <c r="A3748" s="27" t="s">
        <v>327</v>
      </c>
      <c r="B3748" s="28"/>
      <c r="C3748" s="27"/>
      <c r="D3748" s="27" t="str">
        <f>"""NAV Direct"",""CRONUS JetCorp USA"",""21"",""1"",""435406"""</f>
        <v>"NAV Direct","CRONUS JetCorp USA","21","1","435406"</v>
      </c>
      <c r="E3748" s="31" t="str">
        <f t="shared" si="1133"/>
        <v>C100105</v>
      </c>
      <c r="F3748" s="31"/>
      <c r="G3748" s="31"/>
      <c r="H3748" s="31"/>
      <c r="I3748" s="56"/>
      <c r="J3748" s="56"/>
      <c r="K3748" s="82" t="str">
        <f t="shared" si="1142"/>
        <v>Credit Memo</v>
      </c>
      <c r="L3748" s="83" t="str">
        <f>"SC_100616"</f>
        <v>SC_100616</v>
      </c>
      <c r="M3748" s="84">
        <v>43777</v>
      </c>
      <c r="N3748" s="85">
        <f t="shared" si="1135"/>
        <v>35</v>
      </c>
      <c r="O3748" s="86">
        <f t="shared" si="1136"/>
        <v>-142.19</v>
      </c>
      <c r="P3748" s="86">
        <f t="shared" si="1137"/>
        <v>0</v>
      </c>
      <c r="Q3748" s="86">
        <f t="shared" si="1138"/>
        <v>0</v>
      </c>
      <c r="R3748" s="86">
        <f t="shared" si="1139"/>
        <v>-142.19</v>
      </c>
      <c r="S3748" s="86">
        <f t="shared" si="1140"/>
        <v>0</v>
      </c>
      <c r="T3748" s="86">
        <f t="shared" si="1141"/>
        <v>0</v>
      </c>
      <c r="U3748" s="87">
        <v>-142.19</v>
      </c>
    </row>
    <row r="3749" spans="1:22" s="30" customFormat="1" ht="24.6" hidden="1" outlineLevel="1" x14ac:dyDescent="0.55000000000000004">
      <c r="A3749" s="27" t="s">
        <v>327</v>
      </c>
      <c r="B3749" s="28"/>
      <c r="C3749" s="27"/>
      <c r="D3749" s="27" t="str">
        <f>"""NAV Direct"",""CRONUS JetCorp USA"",""21"",""1"",""435472"""</f>
        <v>"NAV Direct","CRONUS JetCorp USA","21","1","435472"</v>
      </c>
      <c r="E3749" s="31">
        <f t="shared" si="1133"/>
        <v>0</v>
      </c>
      <c r="F3749" s="31"/>
      <c r="G3749" s="31"/>
      <c r="H3749" s="31"/>
      <c r="I3749" s="56"/>
      <c r="J3749" s="56"/>
      <c r="K3749" s="82" t="str">
        <f t="shared" si="1142"/>
        <v>Credit Memo</v>
      </c>
      <c r="L3749" s="83" t="str">
        <f>"SC_100620"</f>
        <v>SC_100620</v>
      </c>
      <c r="M3749" s="84">
        <v>43810</v>
      </c>
      <c r="N3749" s="85">
        <f t="shared" si="1135"/>
        <v>2</v>
      </c>
      <c r="O3749" s="86">
        <f t="shared" si="1136"/>
        <v>-167.41</v>
      </c>
      <c r="P3749" s="86">
        <f t="shared" si="1137"/>
        <v>0</v>
      </c>
      <c r="Q3749" s="86">
        <f t="shared" si="1138"/>
        <v>-167.41</v>
      </c>
      <c r="R3749" s="86">
        <f t="shared" si="1139"/>
        <v>0</v>
      </c>
      <c r="S3749" s="86">
        <f t="shared" si="1140"/>
        <v>0</v>
      </c>
      <c r="T3749" s="86">
        <f t="shared" si="1141"/>
        <v>0</v>
      </c>
      <c r="U3749" s="87">
        <v>-167.41</v>
      </c>
    </row>
    <row r="3750" spans="1:22" s="30" customFormat="1" ht="24.6" hidden="1" outlineLevel="1" x14ac:dyDescent="0.55000000000000004">
      <c r="A3750" s="27" t="s">
        <v>327</v>
      </c>
      <c r="B3750" s="28"/>
      <c r="C3750" s="27"/>
      <c r="D3750" s="27" t="str">
        <f>"""NAV Direct"",""CRONUS JetCorp USA"",""21"",""1"",""435622"""</f>
        <v>"NAV Direct","CRONUS JetCorp USA","21","1","435622"</v>
      </c>
      <c r="E3750" s="31" t="str">
        <f t="shared" si="1133"/>
        <v>C100105</v>
      </c>
      <c r="F3750" s="31"/>
      <c r="G3750" s="31"/>
      <c r="H3750" s="31"/>
      <c r="I3750" s="56"/>
      <c r="J3750" s="56"/>
      <c r="K3750" s="82" t="str">
        <f t="shared" si="1142"/>
        <v>Credit Memo</v>
      </c>
      <c r="L3750" s="83" t="str">
        <f>"SC_100630"</f>
        <v>SC_100630</v>
      </c>
      <c r="M3750" s="84">
        <v>42111</v>
      </c>
      <c r="N3750" s="85">
        <f t="shared" si="1135"/>
        <v>1701</v>
      </c>
      <c r="O3750" s="86">
        <f t="shared" si="1136"/>
        <v>-137.01000000000002</v>
      </c>
      <c r="P3750" s="86">
        <f t="shared" si="1137"/>
        <v>0</v>
      </c>
      <c r="Q3750" s="86">
        <f t="shared" si="1138"/>
        <v>0</v>
      </c>
      <c r="R3750" s="86">
        <f t="shared" si="1139"/>
        <v>0</v>
      </c>
      <c r="S3750" s="86">
        <f t="shared" si="1140"/>
        <v>0</v>
      </c>
      <c r="T3750" s="86">
        <f t="shared" si="1141"/>
        <v>-137.01000000000002</v>
      </c>
      <c r="U3750" s="87">
        <v>-137.01000000000002</v>
      </c>
    </row>
    <row r="3751" spans="1:22" s="22" customFormat="1" ht="20.399999999999999" collapsed="1" x14ac:dyDescent="0.45">
      <c r="A3751" s="12" t="s">
        <v>327</v>
      </c>
      <c r="B3751" s="19"/>
      <c r="C3751" s="12"/>
      <c r="D3751" s="12"/>
      <c r="E3751" s="23"/>
      <c r="F3751" s="23"/>
      <c r="G3751" s="23"/>
      <c r="H3751" s="23"/>
      <c r="I3751" s="49"/>
      <c r="J3751" s="88"/>
      <c r="K3751" s="88"/>
      <c r="L3751" s="89"/>
      <c r="M3751" s="89"/>
      <c r="N3751" s="89"/>
      <c r="O3751" s="89"/>
      <c r="P3751" s="89"/>
      <c r="Q3751" s="90"/>
      <c r="R3751" s="90"/>
      <c r="S3751" s="91"/>
      <c r="T3751" s="92"/>
      <c r="U3751" s="92"/>
    </row>
    <row r="3752" spans="1:22" s="22" customFormat="1" ht="20.399999999999999" x14ac:dyDescent="0.45">
      <c r="A3752" s="12" t="s">
        <v>327</v>
      </c>
      <c r="B3752" s="19"/>
      <c r="C3752" s="12"/>
      <c r="D3752" s="12"/>
      <c r="E3752" s="23"/>
      <c r="F3752" s="23"/>
      <c r="G3752" s="23"/>
      <c r="H3752" s="23"/>
      <c r="I3752" s="49"/>
      <c r="J3752" s="88"/>
      <c r="K3752" s="88"/>
      <c r="L3752" s="89"/>
      <c r="M3752" s="89"/>
      <c r="N3752" s="89"/>
      <c r="O3752" s="89"/>
      <c r="P3752" s="89"/>
      <c r="Q3752" s="90"/>
      <c r="R3752" s="90"/>
      <c r="S3752" s="91"/>
      <c r="T3752" s="92"/>
      <c r="U3752" s="92"/>
    </row>
    <row r="3753" spans="1:22" s="26" customFormat="1" ht="24.6" x14ac:dyDescent="0.55000000000000004">
      <c r="A3753" s="27" t="s">
        <v>327</v>
      </c>
      <c r="B3753" s="28"/>
      <c r="C3753" s="27" t="str">
        <f>"""NAV Direct"",""CRONUS JetCorp USA"",""18"",""1"",""C100106"""</f>
        <v>"NAV Direct","CRONUS JetCorp USA","18","1","C100106"</v>
      </c>
      <c r="D3753" s="27"/>
      <c r="E3753" s="28" t="str">
        <f>H3753</f>
        <v>C100106</v>
      </c>
      <c r="F3753" s="28"/>
      <c r="G3753" s="28"/>
      <c r="H3753" s="28" t="str">
        <f>"C100106"</f>
        <v>C100106</v>
      </c>
      <c r="I3753" s="116" t="str">
        <f>"C100106  -  Equinox Sporting Goods"</f>
        <v>C100106  -  Equinox Sporting Goods</v>
      </c>
      <c r="J3753" s="117" t="str">
        <f>""</f>
        <v/>
      </c>
      <c r="K3753" s="118"/>
      <c r="L3753" s="119">
        <f>SUBTOTAL(3,L3754:L3803)</f>
        <v>46</v>
      </c>
      <c r="M3753" s="118"/>
      <c r="N3753" s="118"/>
      <c r="O3753" s="120">
        <f t="shared" ref="O3753:T3753" si="1143">SUBTOTAL(9,O3754:O3803)</f>
        <v>537945.36</v>
      </c>
      <c r="P3753" s="120">
        <f t="shared" si="1143"/>
        <v>16806.46</v>
      </c>
      <c r="Q3753" s="120">
        <f t="shared" si="1143"/>
        <v>0</v>
      </c>
      <c r="R3753" s="120">
        <f t="shared" si="1143"/>
        <v>0</v>
      </c>
      <c r="S3753" s="120">
        <f t="shared" si="1143"/>
        <v>25895.16</v>
      </c>
      <c r="T3753" s="120">
        <f t="shared" si="1143"/>
        <v>495243.74</v>
      </c>
      <c r="U3753" s="81"/>
    </row>
    <row r="3754" spans="1:22" s="26" customFormat="1" ht="24.6" x14ac:dyDescent="0.55000000000000004">
      <c r="A3754" s="27" t="s">
        <v>327</v>
      </c>
      <c r="B3754" s="28"/>
      <c r="C3754" s="27" t="str">
        <f>C3753</f>
        <v>"NAV Direct","CRONUS JetCorp USA","18","1","C100106"</v>
      </c>
      <c r="D3754" s="27"/>
      <c r="E3754" s="28" t="str">
        <f>E3753</f>
        <v>C100106</v>
      </c>
      <c r="F3754" s="28"/>
      <c r="G3754" s="28"/>
      <c r="H3754" s="28"/>
      <c r="I3754" s="121" t="str">
        <f>"Contact: Steve Watson"</f>
        <v>Contact: Steve Watson</v>
      </c>
      <c r="J3754" s="121"/>
      <c r="K3754" s="122"/>
      <c r="L3754" s="123"/>
      <c r="M3754" s="123"/>
      <c r="N3754" s="124"/>
      <c r="O3754" s="124"/>
      <c r="P3754" s="123"/>
      <c r="Q3754" s="125"/>
      <c r="R3754" s="126"/>
      <c r="S3754" s="126"/>
      <c r="T3754" s="125"/>
      <c r="U3754" s="81"/>
    </row>
    <row r="3755" spans="1:22" s="26" customFormat="1" ht="24.6" x14ac:dyDescent="0.55000000000000004">
      <c r="A3755" s="27" t="s">
        <v>327</v>
      </c>
      <c r="B3755" s="28"/>
      <c r="C3755" s="27" t="str">
        <f>C3754</f>
        <v>"NAV Direct","CRONUS JetCorp USA","18","1","C100106"</v>
      </c>
      <c r="D3755" s="27"/>
      <c r="E3755" s="28" t="str">
        <f>E3754</f>
        <v>C100106</v>
      </c>
      <c r="F3755" s="28"/>
      <c r="G3755" s="28"/>
      <c r="H3755" s="28"/>
      <c r="I3755" s="121" t="str">
        <f>"Equinox Sporting Goods@Cronus.com"</f>
        <v>Equinox Sporting Goods@Cronus.com</v>
      </c>
      <c r="J3755" s="121"/>
      <c r="K3755" s="122"/>
      <c r="L3755" s="124"/>
      <c r="M3755" s="124"/>
      <c r="N3755" s="124"/>
      <c r="O3755" s="124"/>
      <c r="P3755" s="123"/>
      <c r="Q3755" s="125"/>
      <c r="R3755" s="126"/>
      <c r="S3755" s="126"/>
      <c r="T3755" s="125"/>
      <c r="U3755" s="81"/>
    </row>
    <row r="3756" spans="1:22" ht="12.75" hidden="1" customHeight="1" outlineLevel="1" x14ac:dyDescent="0.45">
      <c r="A3756" s="12" t="s">
        <v>328</v>
      </c>
      <c r="B3756" s="19"/>
      <c r="E3756" s="19"/>
      <c r="F3756" s="19"/>
      <c r="G3756" s="19"/>
      <c r="H3756" s="19"/>
      <c r="I3756" s="61"/>
      <c r="J3756" s="61"/>
      <c r="K3756" s="61"/>
      <c r="L3756" s="61"/>
      <c r="M3756" s="61"/>
      <c r="N3756" s="61"/>
      <c r="O3756" s="61"/>
      <c r="P3756" s="61"/>
      <c r="Q3756" s="61"/>
      <c r="R3756" s="61"/>
      <c r="S3756" s="61"/>
      <c r="T3756" s="61"/>
      <c r="U3756" s="61"/>
      <c r="V3756" s="21"/>
    </row>
    <row r="3757" spans="1:22" s="30" customFormat="1" ht="24.6" hidden="1" outlineLevel="1" x14ac:dyDescent="0.55000000000000004">
      <c r="A3757" s="27" t="s">
        <v>327</v>
      </c>
      <c r="B3757" s="28"/>
      <c r="C3757" s="27"/>
      <c r="D3757" s="27" t="str">
        <f>"""NAV Direct"",""CRONUS JetCorp USA"",""21"",""1"",""72179"""</f>
        <v>"NAV Direct","CRONUS JetCorp USA","21","1","72179"</v>
      </c>
      <c r="E3757" s="31" t="str">
        <f t="shared" ref="E3757:E3802" si="1144">E3755</f>
        <v>C100106</v>
      </c>
      <c r="F3757" s="31"/>
      <c r="G3757" s="31"/>
      <c r="H3757" s="31"/>
      <c r="I3757" s="56"/>
      <c r="J3757" s="56"/>
      <c r="K3757" s="82" t="str">
        <f t="shared" ref="K3757:K3796" si="1145">"Invoice"</f>
        <v>Invoice</v>
      </c>
      <c r="L3757" s="83" t="str">
        <f>"SI_105765"</f>
        <v>SI_105765</v>
      </c>
      <c r="M3757" s="84">
        <v>42323</v>
      </c>
      <c r="N3757" s="85">
        <f t="shared" ref="N3757:N3802" si="1146">StartDate-$M3757+1</f>
        <v>1489</v>
      </c>
      <c r="O3757" s="86">
        <f t="shared" ref="O3757:O3802" si="1147">SUM(P3757:T3757)</f>
        <v>9854.06</v>
      </c>
      <c r="P3757" s="86">
        <f t="shared" ref="P3757:P3802" si="1148">IF($M3757&gt;=$P$18,U3757,0)</f>
        <v>0</v>
      </c>
      <c r="Q3757" s="86">
        <f t="shared" ref="Q3757:Q3802" si="1149">IF(AND($M3757&gt;=$Q$16,$M3757&lt;=$Q$18),U3757,0)</f>
        <v>0</v>
      </c>
      <c r="R3757" s="86">
        <f t="shared" ref="R3757:R3802" si="1150">IF(AND($M3757&gt;=$R$16,$M3757&lt;=$R$18),U3757,0)</f>
        <v>0</v>
      </c>
      <c r="S3757" s="86">
        <f t="shared" ref="S3757:S3802" si="1151">IF(AND($M3757&gt;=$S$16,$M3757&lt;=$S$18),U3757,0)</f>
        <v>0</v>
      </c>
      <c r="T3757" s="86">
        <f t="shared" ref="T3757:T3802" si="1152">IF($M3757&lt;=$T$18,U3757,0)</f>
        <v>9854.06</v>
      </c>
      <c r="U3757" s="87">
        <v>9854.06</v>
      </c>
    </row>
    <row r="3758" spans="1:22" s="30" customFormat="1" ht="24.6" hidden="1" outlineLevel="1" x14ac:dyDescent="0.55000000000000004">
      <c r="A3758" s="27" t="s">
        <v>327</v>
      </c>
      <c r="B3758" s="28"/>
      <c r="C3758" s="27"/>
      <c r="D3758" s="27" t="str">
        <f>"""NAV Direct"",""CRONUS JetCorp USA"",""21"",""1"",""72237"""</f>
        <v>"NAV Direct","CRONUS JetCorp USA","21","1","72237"</v>
      </c>
      <c r="E3758" s="31">
        <f t="shared" si="1144"/>
        <v>0</v>
      </c>
      <c r="F3758" s="31"/>
      <c r="G3758" s="31"/>
      <c r="H3758" s="31"/>
      <c r="I3758" s="56"/>
      <c r="J3758" s="56"/>
      <c r="K3758" s="82" t="str">
        <f t="shared" si="1145"/>
        <v>Invoice</v>
      </c>
      <c r="L3758" s="83" t="str">
        <f>"SI_105767"</f>
        <v>SI_105767</v>
      </c>
      <c r="M3758" s="84">
        <v>42326</v>
      </c>
      <c r="N3758" s="85">
        <f t="shared" si="1146"/>
        <v>1486</v>
      </c>
      <c r="O3758" s="86">
        <f t="shared" si="1147"/>
        <v>9854.64</v>
      </c>
      <c r="P3758" s="86">
        <f t="shared" si="1148"/>
        <v>0</v>
      </c>
      <c r="Q3758" s="86">
        <f t="shared" si="1149"/>
        <v>0</v>
      </c>
      <c r="R3758" s="86">
        <f t="shared" si="1150"/>
        <v>0</v>
      </c>
      <c r="S3758" s="86">
        <f t="shared" si="1151"/>
        <v>0</v>
      </c>
      <c r="T3758" s="86">
        <f t="shared" si="1152"/>
        <v>9854.64</v>
      </c>
      <c r="U3758" s="87">
        <v>9854.64</v>
      </c>
    </row>
    <row r="3759" spans="1:22" s="30" customFormat="1" ht="24.6" hidden="1" outlineLevel="1" x14ac:dyDescent="0.55000000000000004">
      <c r="A3759" s="27" t="s">
        <v>327</v>
      </c>
      <c r="B3759" s="28"/>
      <c r="C3759" s="27"/>
      <c r="D3759" s="27" t="str">
        <f>"""NAV Direct"",""CRONUS JetCorp USA"",""21"",""1"",""72268"""</f>
        <v>"NAV Direct","CRONUS JetCorp USA","21","1","72268"</v>
      </c>
      <c r="E3759" s="31" t="str">
        <f t="shared" si="1144"/>
        <v>C100106</v>
      </c>
      <c r="F3759" s="31"/>
      <c r="G3759" s="31"/>
      <c r="H3759" s="31"/>
      <c r="I3759" s="56"/>
      <c r="J3759" s="56"/>
      <c r="K3759" s="82" t="str">
        <f t="shared" si="1145"/>
        <v>Invoice</v>
      </c>
      <c r="L3759" s="83" t="str">
        <f>"SI_105768"</f>
        <v>SI_105768</v>
      </c>
      <c r="M3759" s="84">
        <v>42332</v>
      </c>
      <c r="N3759" s="85">
        <f t="shared" si="1146"/>
        <v>1480</v>
      </c>
      <c r="O3759" s="86">
        <f t="shared" si="1147"/>
        <v>9854.4</v>
      </c>
      <c r="P3759" s="86">
        <f t="shared" si="1148"/>
        <v>0</v>
      </c>
      <c r="Q3759" s="86">
        <f t="shared" si="1149"/>
        <v>0</v>
      </c>
      <c r="R3759" s="86">
        <f t="shared" si="1150"/>
        <v>0</v>
      </c>
      <c r="S3759" s="86">
        <f t="shared" si="1151"/>
        <v>0</v>
      </c>
      <c r="T3759" s="86">
        <f t="shared" si="1152"/>
        <v>9854.4</v>
      </c>
      <c r="U3759" s="87">
        <v>9854.4</v>
      </c>
    </row>
    <row r="3760" spans="1:22" s="30" customFormat="1" ht="24.6" hidden="1" outlineLevel="1" x14ac:dyDescent="0.55000000000000004">
      <c r="A3760" s="27" t="s">
        <v>327</v>
      </c>
      <c r="B3760" s="28"/>
      <c r="C3760" s="27"/>
      <c r="D3760" s="27" t="str">
        <f>"""NAV Direct"",""CRONUS JetCorp USA"",""21"",""1"",""72328"""</f>
        <v>"NAV Direct","CRONUS JetCorp USA","21","1","72328"</v>
      </c>
      <c r="E3760" s="31">
        <f t="shared" si="1144"/>
        <v>0</v>
      </c>
      <c r="F3760" s="31"/>
      <c r="G3760" s="31"/>
      <c r="H3760" s="31"/>
      <c r="I3760" s="56"/>
      <c r="J3760" s="56"/>
      <c r="K3760" s="82" t="str">
        <f t="shared" si="1145"/>
        <v>Invoice</v>
      </c>
      <c r="L3760" s="83" t="str">
        <f>"SI_105770"</f>
        <v>SI_105770</v>
      </c>
      <c r="M3760" s="84">
        <v>42334</v>
      </c>
      <c r="N3760" s="85">
        <f t="shared" si="1146"/>
        <v>1478</v>
      </c>
      <c r="O3760" s="86">
        <f t="shared" si="1147"/>
        <v>9854.42</v>
      </c>
      <c r="P3760" s="86">
        <f t="shared" si="1148"/>
        <v>0</v>
      </c>
      <c r="Q3760" s="86">
        <f t="shared" si="1149"/>
        <v>0</v>
      </c>
      <c r="R3760" s="86">
        <f t="shared" si="1150"/>
        <v>0</v>
      </c>
      <c r="S3760" s="86">
        <f t="shared" si="1151"/>
        <v>0</v>
      </c>
      <c r="T3760" s="86">
        <f t="shared" si="1152"/>
        <v>9854.42</v>
      </c>
      <c r="U3760" s="87">
        <v>9854.42</v>
      </c>
    </row>
    <row r="3761" spans="1:21" s="30" customFormat="1" ht="24.6" hidden="1" outlineLevel="1" x14ac:dyDescent="0.55000000000000004">
      <c r="A3761" s="27" t="s">
        <v>327</v>
      </c>
      <c r="B3761" s="28"/>
      <c r="C3761" s="27"/>
      <c r="D3761" s="27" t="str">
        <f>"""NAV Direct"",""CRONUS JetCorp USA"",""21"",""1"",""352117"""</f>
        <v>"NAV Direct","CRONUS JetCorp USA","21","1","352117"</v>
      </c>
      <c r="E3761" s="31" t="str">
        <f t="shared" si="1144"/>
        <v>C100106</v>
      </c>
      <c r="F3761" s="31"/>
      <c r="G3761" s="31"/>
      <c r="H3761" s="31"/>
      <c r="I3761" s="56"/>
      <c r="J3761" s="56"/>
      <c r="K3761" s="82" t="str">
        <f t="shared" si="1145"/>
        <v>Invoice</v>
      </c>
      <c r="L3761" s="83" t="str">
        <f>"SI_111027"</f>
        <v>SI_111027</v>
      </c>
      <c r="M3761" s="84">
        <v>42382</v>
      </c>
      <c r="N3761" s="85">
        <f t="shared" si="1146"/>
        <v>1430</v>
      </c>
      <c r="O3761" s="86">
        <f t="shared" si="1147"/>
        <v>10558.77</v>
      </c>
      <c r="P3761" s="86">
        <f t="shared" si="1148"/>
        <v>0</v>
      </c>
      <c r="Q3761" s="86">
        <f t="shared" si="1149"/>
        <v>0</v>
      </c>
      <c r="R3761" s="86">
        <f t="shared" si="1150"/>
        <v>0</v>
      </c>
      <c r="S3761" s="86">
        <f t="shared" si="1151"/>
        <v>0</v>
      </c>
      <c r="T3761" s="86">
        <f t="shared" si="1152"/>
        <v>10558.77</v>
      </c>
      <c r="U3761" s="87">
        <v>10558.77</v>
      </c>
    </row>
    <row r="3762" spans="1:21" s="30" customFormat="1" ht="24.6" hidden="1" outlineLevel="1" x14ac:dyDescent="0.55000000000000004">
      <c r="A3762" s="27" t="s">
        <v>327</v>
      </c>
      <c r="B3762" s="28"/>
      <c r="C3762" s="27"/>
      <c r="D3762" s="27" t="str">
        <f>"""NAV Direct"",""CRONUS JetCorp USA"",""21"",""1"",""352214"""</f>
        <v>"NAV Direct","CRONUS JetCorp USA","21","1","352214"</v>
      </c>
      <c r="E3762" s="31">
        <f t="shared" si="1144"/>
        <v>0</v>
      </c>
      <c r="F3762" s="31"/>
      <c r="G3762" s="31"/>
      <c r="H3762" s="31"/>
      <c r="I3762" s="56"/>
      <c r="J3762" s="56"/>
      <c r="K3762" s="82" t="str">
        <f t="shared" si="1145"/>
        <v>Invoice</v>
      </c>
      <c r="L3762" s="83" t="str">
        <f>"SI_111030"</f>
        <v>SI_111030</v>
      </c>
      <c r="M3762" s="84">
        <v>42421</v>
      </c>
      <c r="N3762" s="85">
        <f t="shared" si="1146"/>
        <v>1391</v>
      </c>
      <c r="O3762" s="86">
        <f t="shared" si="1147"/>
        <v>10079.279999999999</v>
      </c>
      <c r="P3762" s="86">
        <f t="shared" si="1148"/>
        <v>0</v>
      </c>
      <c r="Q3762" s="86">
        <f t="shared" si="1149"/>
        <v>0</v>
      </c>
      <c r="R3762" s="86">
        <f t="shared" si="1150"/>
        <v>0</v>
      </c>
      <c r="S3762" s="86">
        <f t="shared" si="1151"/>
        <v>0</v>
      </c>
      <c r="T3762" s="86">
        <f t="shared" si="1152"/>
        <v>10079.279999999999</v>
      </c>
      <c r="U3762" s="87">
        <v>10079.279999999999</v>
      </c>
    </row>
    <row r="3763" spans="1:21" s="30" customFormat="1" ht="24.6" hidden="1" outlineLevel="1" x14ac:dyDescent="0.55000000000000004">
      <c r="A3763" s="27" t="s">
        <v>327</v>
      </c>
      <c r="B3763" s="28"/>
      <c r="C3763" s="27"/>
      <c r="D3763" s="27" t="str">
        <f>"""NAV Direct"",""CRONUS JetCorp USA"",""21"",""1"",""352309"""</f>
        <v>"NAV Direct","CRONUS JetCorp USA","21","1","352309"</v>
      </c>
      <c r="E3763" s="31" t="str">
        <f t="shared" si="1144"/>
        <v>C100106</v>
      </c>
      <c r="F3763" s="31"/>
      <c r="G3763" s="31"/>
      <c r="H3763" s="31"/>
      <c r="I3763" s="56"/>
      <c r="J3763" s="56"/>
      <c r="K3763" s="82" t="str">
        <f t="shared" si="1145"/>
        <v>Invoice</v>
      </c>
      <c r="L3763" s="83" t="str">
        <f>"SI_111033"</f>
        <v>SI_111033</v>
      </c>
      <c r="M3763" s="84">
        <v>42473</v>
      </c>
      <c r="N3763" s="85">
        <f t="shared" si="1146"/>
        <v>1339</v>
      </c>
      <c r="O3763" s="86">
        <f t="shared" si="1147"/>
        <v>9478.73</v>
      </c>
      <c r="P3763" s="86">
        <f t="shared" si="1148"/>
        <v>0</v>
      </c>
      <c r="Q3763" s="86">
        <f t="shared" si="1149"/>
        <v>0</v>
      </c>
      <c r="R3763" s="86">
        <f t="shared" si="1150"/>
        <v>0</v>
      </c>
      <c r="S3763" s="86">
        <f t="shared" si="1151"/>
        <v>0</v>
      </c>
      <c r="T3763" s="86">
        <f t="shared" si="1152"/>
        <v>9478.73</v>
      </c>
      <c r="U3763" s="87">
        <v>9478.73</v>
      </c>
    </row>
    <row r="3764" spans="1:21" s="30" customFormat="1" ht="24.6" hidden="1" outlineLevel="1" x14ac:dyDescent="0.55000000000000004">
      <c r="A3764" s="27" t="s">
        <v>327</v>
      </c>
      <c r="B3764" s="28"/>
      <c r="C3764" s="27"/>
      <c r="D3764" s="27" t="str">
        <f>"""NAV Direct"",""CRONUS JetCorp USA"",""21"",""1"",""352613"""</f>
        <v>"NAV Direct","CRONUS JetCorp USA","21","1","352613"</v>
      </c>
      <c r="E3764" s="31">
        <f t="shared" si="1144"/>
        <v>0</v>
      </c>
      <c r="F3764" s="31"/>
      <c r="G3764" s="31"/>
      <c r="H3764" s="31"/>
      <c r="I3764" s="56"/>
      <c r="J3764" s="56"/>
      <c r="K3764" s="82" t="str">
        <f t="shared" si="1145"/>
        <v>Invoice</v>
      </c>
      <c r="L3764" s="83" t="str">
        <f>"SI_111043"</f>
        <v>SI_111043</v>
      </c>
      <c r="M3764" s="84">
        <v>42560</v>
      </c>
      <c r="N3764" s="85">
        <f t="shared" si="1146"/>
        <v>1252</v>
      </c>
      <c r="O3764" s="86">
        <f t="shared" si="1147"/>
        <v>12427.689999999999</v>
      </c>
      <c r="P3764" s="86">
        <f t="shared" si="1148"/>
        <v>0</v>
      </c>
      <c r="Q3764" s="86">
        <f t="shared" si="1149"/>
        <v>0</v>
      </c>
      <c r="R3764" s="86">
        <f t="shared" si="1150"/>
        <v>0</v>
      </c>
      <c r="S3764" s="86">
        <f t="shared" si="1151"/>
        <v>0</v>
      </c>
      <c r="T3764" s="86">
        <f t="shared" si="1152"/>
        <v>12427.689999999999</v>
      </c>
      <c r="U3764" s="87">
        <v>12427.689999999999</v>
      </c>
    </row>
    <row r="3765" spans="1:21" s="30" customFormat="1" ht="24.6" hidden="1" outlineLevel="1" x14ac:dyDescent="0.55000000000000004">
      <c r="A3765" s="27" t="s">
        <v>327</v>
      </c>
      <c r="B3765" s="28"/>
      <c r="C3765" s="27"/>
      <c r="D3765" s="27" t="str">
        <f>"""NAV Direct"",""CRONUS JetCorp USA"",""21"",""1"",""353496"""</f>
        <v>"NAV Direct","CRONUS JetCorp USA","21","1","353496"</v>
      </c>
      <c r="E3765" s="31" t="str">
        <f t="shared" si="1144"/>
        <v>C100106</v>
      </c>
      <c r="F3765" s="31"/>
      <c r="G3765" s="31"/>
      <c r="H3765" s="31"/>
      <c r="I3765" s="56"/>
      <c r="J3765" s="56"/>
      <c r="K3765" s="82" t="str">
        <f t="shared" si="1145"/>
        <v>Invoice</v>
      </c>
      <c r="L3765" s="83" t="str">
        <f>"SI_111070"</f>
        <v>SI_111070</v>
      </c>
      <c r="M3765" s="84">
        <v>42813</v>
      </c>
      <c r="N3765" s="85">
        <f t="shared" si="1146"/>
        <v>999</v>
      </c>
      <c r="O3765" s="86">
        <f t="shared" si="1147"/>
        <v>9413.85</v>
      </c>
      <c r="P3765" s="86">
        <f t="shared" si="1148"/>
        <v>0</v>
      </c>
      <c r="Q3765" s="86">
        <f t="shared" si="1149"/>
        <v>0</v>
      </c>
      <c r="R3765" s="86">
        <f t="shared" si="1150"/>
        <v>0</v>
      </c>
      <c r="S3765" s="86">
        <f t="shared" si="1151"/>
        <v>0</v>
      </c>
      <c r="T3765" s="86">
        <f t="shared" si="1152"/>
        <v>9413.85</v>
      </c>
      <c r="U3765" s="87">
        <v>9413.85</v>
      </c>
    </row>
    <row r="3766" spans="1:21" s="30" customFormat="1" ht="24.6" hidden="1" outlineLevel="1" x14ac:dyDescent="0.55000000000000004">
      <c r="A3766" s="27" t="s">
        <v>327</v>
      </c>
      <c r="B3766" s="28"/>
      <c r="C3766" s="27"/>
      <c r="D3766" s="27" t="str">
        <f>"""NAV Direct"",""CRONUS JetCorp USA"",""21"",""1"",""353611"""</f>
        <v>"NAV Direct","CRONUS JetCorp USA","21","1","353611"</v>
      </c>
      <c r="E3766" s="31">
        <f t="shared" si="1144"/>
        <v>0</v>
      </c>
      <c r="F3766" s="31"/>
      <c r="G3766" s="31"/>
      <c r="H3766" s="31"/>
      <c r="I3766" s="56"/>
      <c r="J3766" s="56"/>
      <c r="K3766" s="82" t="str">
        <f t="shared" si="1145"/>
        <v>Invoice</v>
      </c>
      <c r="L3766" s="83" t="str">
        <f>"SI_111073"</f>
        <v>SI_111073</v>
      </c>
      <c r="M3766" s="84">
        <v>42847</v>
      </c>
      <c r="N3766" s="85">
        <f t="shared" si="1146"/>
        <v>965</v>
      </c>
      <c r="O3766" s="86">
        <f t="shared" si="1147"/>
        <v>10967.05</v>
      </c>
      <c r="P3766" s="86">
        <f t="shared" si="1148"/>
        <v>0</v>
      </c>
      <c r="Q3766" s="86">
        <f t="shared" si="1149"/>
        <v>0</v>
      </c>
      <c r="R3766" s="86">
        <f t="shared" si="1150"/>
        <v>0</v>
      </c>
      <c r="S3766" s="86">
        <f t="shared" si="1151"/>
        <v>0</v>
      </c>
      <c r="T3766" s="86">
        <f t="shared" si="1152"/>
        <v>10967.05</v>
      </c>
      <c r="U3766" s="87">
        <v>10967.05</v>
      </c>
    </row>
    <row r="3767" spans="1:21" s="30" customFormat="1" ht="24.6" hidden="1" outlineLevel="1" x14ac:dyDescent="0.55000000000000004">
      <c r="A3767" s="27" t="s">
        <v>327</v>
      </c>
      <c r="B3767" s="28"/>
      <c r="C3767" s="27"/>
      <c r="D3767" s="27" t="str">
        <f>"""NAV Direct"",""CRONUS JetCorp USA"",""21"",""1"",""354304"""</f>
        <v>"NAV Direct","CRONUS JetCorp USA","21","1","354304"</v>
      </c>
      <c r="E3767" s="31" t="str">
        <f t="shared" si="1144"/>
        <v>C100106</v>
      </c>
      <c r="F3767" s="31"/>
      <c r="G3767" s="31"/>
      <c r="H3767" s="31"/>
      <c r="I3767" s="56"/>
      <c r="J3767" s="56"/>
      <c r="K3767" s="82" t="str">
        <f t="shared" si="1145"/>
        <v>Invoice</v>
      </c>
      <c r="L3767" s="83" t="str">
        <f>"SI_111094"</f>
        <v>SI_111094</v>
      </c>
      <c r="M3767" s="84">
        <v>43054</v>
      </c>
      <c r="N3767" s="85">
        <f t="shared" si="1146"/>
        <v>758</v>
      </c>
      <c r="O3767" s="86">
        <f t="shared" si="1147"/>
        <v>13300.43</v>
      </c>
      <c r="P3767" s="86">
        <f t="shared" si="1148"/>
        <v>0</v>
      </c>
      <c r="Q3767" s="86">
        <f t="shared" si="1149"/>
        <v>0</v>
      </c>
      <c r="R3767" s="86">
        <f t="shared" si="1150"/>
        <v>0</v>
      </c>
      <c r="S3767" s="86">
        <f t="shared" si="1151"/>
        <v>0</v>
      </c>
      <c r="T3767" s="86">
        <f t="shared" si="1152"/>
        <v>13300.43</v>
      </c>
      <c r="U3767" s="87">
        <v>13300.43</v>
      </c>
    </row>
    <row r="3768" spans="1:21" s="30" customFormat="1" ht="24.6" hidden="1" outlineLevel="1" x14ac:dyDescent="0.55000000000000004">
      <c r="A3768" s="27" t="s">
        <v>327</v>
      </c>
      <c r="B3768" s="28"/>
      <c r="C3768" s="27"/>
      <c r="D3768" s="27" t="str">
        <f>"""NAV Direct"",""CRONUS JetCorp USA"",""21"",""1"",""354339"""</f>
        <v>"NAV Direct","CRONUS JetCorp USA","21","1","354339"</v>
      </c>
      <c r="E3768" s="31">
        <f t="shared" si="1144"/>
        <v>0</v>
      </c>
      <c r="F3768" s="31"/>
      <c r="G3768" s="31"/>
      <c r="H3768" s="31"/>
      <c r="I3768" s="56"/>
      <c r="J3768" s="56"/>
      <c r="K3768" s="82" t="str">
        <f t="shared" si="1145"/>
        <v>Invoice</v>
      </c>
      <c r="L3768" s="83" t="str">
        <f>"SI_111095"</f>
        <v>SI_111095</v>
      </c>
      <c r="M3768" s="84">
        <v>43054</v>
      </c>
      <c r="N3768" s="85">
        <f t="shared" si="1146"/>
        <v>758</v>
      </c>
      <c r="O3768" s="86">
        <f t="shared" si="1147"/>
        <v>13164.24</v>
      </c>
      <c r="P3768" s="86">
        <f t="shared" si="1148"/>
        <v>0</v>
      </c>
      <c r="Q3768" s="86">
        <f t="shared" si="1149"/>
        <v>0</v>
      </c>
      <c r="R3768" s="86">
        <f t="shared" si="1150"/>
        <v>0</v>
      </c>
      <c r="S3768" s="86">
        <f t="shared" si="1151"/>
        <v>0</v>
      </c>
      <c r="T3768" s="86">
        <f t="shared" si="1152"/>
        <v>13164.24</v>
      </c>
      <c r="U3768" s="87">
        <v>13164.24</v>
      </c>
    </row>
    <row r="3769" spans="1:21" s="30" customFormat="1" ht="24.6" hidden="1" outlineLevel="1" x14ac:dyDescent="0.55000000000000004">
      <c r="A3769" s="27" t="s">
        <v>327</v>
      </c>
      <c r="B3769" s="28"/>
      <c r="C3769" s="27"/>
      <c r="D3769" s="27" t="str">
        <f>"""NAV Direct"",""CRONUS JetCorp USA"",""21"",""1"",""354506"""</f>
        <v>"NAV Direct","CRONUS JetCorp USA","21","1","354506"</v>
      </c>
      <c r="E3769" s="31" t="str">
        <f t="shared" si="1144"/>
        <v>C100106</v>
      </c>
      <c r="F3769" s="31"/>
      <c r="G3769" s="31"/>
      <c r="H3769" s="31"/>
      <c r="I3769" s="56"/>
      <c r="J3769" s="56"/>
      <c r="K3769" s="82" t="str">
        <f t="shared" si="1145"/>
        <v>Invoice</v>
      </c>
      <c r="L3769" s="83" t="str">
        <f>"SI_111100"</f>
        <v>SI_111100</v>
      </c>
      <c r="M3769" s="84">
        <v>43129</v>
      </c>
      <c r="N3769" s="85">
        <f t="shared" si="1146"/>
        <v>683</v>
      </c>
      <c r="O3769" s="86">
        <f t="shared" si="1147"/>
        <v>15496.46</v>
      </c>
      <c r="P3769" s="86">
        <f t="shared" si="1148"/>
        <v>0</v>
      </c>
      <c r="Q3769" s="86">
        <f t="shared" si="1149"/>
        <v>0</v>
      </c>
      <c r="R3769" s="86">
        <f t="shared" si="1150"/>
        <v>0</v>
      </c>
      <c r="S3769" s="86">
        <f t="shared" si="1151"/>
        <v>0</v>
      </c>
      <c r="T3769" s="86">
        <f t="shared" si="1152"/>
        <v>15496.46</v>
      </c>
      <c r="U3769" s="87">
        <v>15496.46</v>
      </c>
    </row>
    <row r="3770" spans="1:21" s="30" customFormat="1" ht="24.6" hidden="1" outlineLevel="1" x14ac:dyDescent="0.55000000000000004">
      <c r="A3770" s="27" t="s">
        <v>327</v>
      </c>
      <c r="B3770" s="28"/>
      <c r="C3770" s="27"/>
      <c r="D3770" s="27" t="str">
        <f>"""NAV Direct"",""CRONUS JetCorp USA"",""21"",""1"",""354795"""</f>
        <v>"NAV Direct","CRONUS JetCorp USA","21","1","354795"</v>
      </c>
      <c r="E3770" s="31">
        <f t="shared" si="1144"/>
        <v>0</v>
      </c>
      <c r="F3770" s="31"/>
      <c r="G3770" s="31"/>
      <c r="H3770" s="31"/>
      <c r="I3770" s="56"/>
      <c r="J3770" s="56"/>
      <c r="K3770" s="82" t="str">
        <f t="shared" si="1145"/>
        <v>Invoice</v>
      </c>
      <c r="L3770" s="83" t="str">
        <f>"SI_111109"</f>
        <v>SI_111109</v>
      </c>
      <c r="M3770" s="84">
        <v>43216</v>
      </c>
      <c r="N3770" s="85">
        <f t="shared" si="1146"/>
        <v>596</v>
      </c>
      <c r="O3770" s="86">
        <f t="shared" si="1147"/>
        <v>14868.630000000001</v>
      </c>
      <c r="P3770" s="86">
        <f t="shared" si="1148"/>
        <v>0</v>
      </c>
      <c r="Q3770" s="86">
        <f t="shared" si="1149"/>
        <v>0</v>
      </c>
      <c r="R3770" s="86">
        <f t="shared" si="1150"/>
        <v>0</v>
      </c>
      <c r="S3770" s="86">
        <f t="shared" si="1151"/>
        <v>0</v>
      </c>
      <c r="T3770" s="86">
        <f t="shared" si="1152"/>
        <v>14868.630000000001</v>
      </c>
      <c r="U3770" s="87">
        <v>14868.630000000001</v>
      </c>
    </row>
    <row r="3771" spans="1:21" s="30" customFormat="1" ht="24.6" hidden="1" outlineLevel="1" x14ac:dyDescent="0.55000000000000004">
      <c r="A3771" s="27" t="s">
        <v>327</v>
      </c>
      <c r="B3771" s="28"/>
      <c r="C3771" s="27"/>
      <c r="D3771" s="27" t="str">
        <f>"""NAV Direct"",""CRONUS JetCorp USA"",""21"",""1"",""354961"""</f>
        <v>"NAV Direct","CRONUS JetCorp USA","21","1","354961"</v>
      </c>
      <c r="E3771" s="31" t="str">
        <f t="shared" si="1144"/>
        <v>C100106</v>
      </c>
      <c r="F3771" s="31"/>
      <c r="G3771" s="31"/>
      <c r="H3771" s="31"/>
      <c r="I3771" s="56"/>
      <c r="J3771" s="56"/>
      <c r="K3771" s="82" t="str">
        <f t="shared" si="1145"/>
        <v>Invoice</v>
      </c>
      <c r="L3771" s="83" t="str">
        <f>"SI_111113"</f>
        <v>SI_111113</v>
      </c>
      <c r="M3771" s="84">
        <v>43237</v>
      </c>
      <c r="N3771" s="85">
        <f t="shared" si="1146"/>
        <v>575</v>
      </c>
      <c r="O3771" s="86">
        <f t="shared" si="1147"/>
        <v>16630.010000000002</v>
      </c>
      <c r="P3771" s="86">
        <f t="shared" si="1148"/>
        <v>0</v>
      </c>
      <c r="Q3771" s="86">
        <f t="shared" si="1149"/>
        <v>0</v>
      </c>
      <c r="R3771" s="86">
        <f t="shared" si="1150"/>
        <v>0</v>
      </c>
      <c r="S3771" s="86">
        <f t="shared" si="1151"/>
        <v>0</v>
      </c>
      <c r="T3771" s="86">
        <f t="shared" si="1152"/>
        <v>16630.010000000002</v>
      </c>
      <c r="U3771" s="87">
        <v>16630.010000000002</v>
      </c>
    </row>
    <row r="3772" spans="1:21" s="30" customFormat="1" ht="24.6" hidden="1" outlineLevel="1" x14ac:dyDescent="0.55000000000000004">
      <c r="A3772" s="27" t="s">
        <v>327</v>
      </c>
      <c r="B3772" s="28"/>
      <c r="C3772" s="27"/>
      <c r="D3772" s="27" t="str">
        <f>"""NAV Direct"",""CRONUS JetCorp USA"",""21"",""1"",""355433"""</f>
        <v>"NAV Direct","CRONUS JetCorp USA","21","1","355433"</v>
      </c>
      <c r="E3772" s="31">
        <f t="shared" si="1144"/>
        <v>0</v>
      </c>
      <c r="F3772" s="31"/>
      <c r="G3772" s="31"/>
      <c r="H3772" s="31"/>
      <c r="I3772" s="56"/>
      <c r="J3772" s="56"/>
      <c r="K3772" s="82" t="str">
        <f t="shared" si="1145"/>
        <v>Invoice</v>
      </c>
      <c r="L3772" s="83" t="str">
        <f>"SI_111127"</f>
        <v>SI_111127</v>
      </c>
      <c r="M3772" s="84">
        <v>43311</v>
      </c>
      <c r="N3772" s="85">
        <f t="shared" si="1146"/>
        <v>501</v>
      </c>
      <c r="O3772" s="86">
        <f t="shared" si="1147"/>
        <v>16479.900000000001</v>
      </c>
      <c r="P3772" s="86">
        <f t="shared" si="1148"/>
        <v>0</v>
      </c>
      <c r="Q3772" s="86">
        <f t="shared" si="1149"/>
        <v>0</v>
      </c>
      <c r="R3772" s="86">
        <f t="shared" si="1150"/>
        <v>0</v>
      </c>
      <c r="S3772" s="86">
        <f t="shared" si="1151"/>
        <v>0</v>
      </c>
      <c r="T3772" s="86">
        <f t="shared" si="1152"/>
        <v>16479.900000000001</v>
      </c>
      <c r="U3772" s="87">
        <v>16479.900000000001</v>
      </c>
    </row>
    <row r="3773" spans="1:21" s="30" customFormat="1" ht="24.6" hidden="1" outlineLevel="1" x14ac:dyDescent="0.55000000000000004">
      <c r="A3773" s="27" t="s">
        <v>327</v>
      </c>
      <c r="B3773" s="28"/>
      <c r="C3773" s="27"/>
      <c r="D3773" s="27" t="str">
        <f>"""NAV Direct"",""CRONUS JetCorp USA"",""21"",""1"",""355721"""</f>
        <v>"NAV Direct","CRONUS JetCorp USA","21","1","355721"</v>
      </c>
      <c r="E3773" s="31" t="str">
        <f t="shared" si="1144"/>
        <v>C100106</v>
      </c>
      <c r="F3773" s="31"/>
      <c r="G3773" s="31"/>
      <c r="H3773" s="31"/>
      <c r="I3773" s="56"/>
      <c r="J3773" s="56"/>
      <c r="K3773" s="82" t="str">
        <f t="shared" si="1145"/>
        <v>Invoice</v>
      </c>
      <c r="L3773" s="83" t="str">
        <f>"SI_111135"</f>
        <v>SI_111135</v>
      </c>
      <c r="M3773" s="84">
        <v>43376</v>
      </c>
      <c r="N3773" s="85">
        <f t="shared" si="1146"/>
        <v>436</v>
      </c>
      <c r="O3773" s="86">
        <f t="shared" si="1147"/>
        <v>13543.67</v>
      </c>
      <c r="P3773" s="86">
        <f t="shared" si="1148"/>
        <v>0</v>
      </c>
      <c r="Q3773" s="86">
        <f t="shared" si="1149"/>
        <v>0</v>
      </c>
      <c r="R3773" s="86">
        <f t="shared" si="1150"/>
        <v>0</v>
      </c>
      <c r="S3773" s="86">
        <f t="shared" si="1151"/>
        <v>0</v>
      </c>
      <c r="T3773" s="86">
        <f t="shared" si="1152"/>
        <v>13543.67</v>
      </c>
      <c r="U3773" s="87">
        <v>13543.67</v>
      </c>
    </row>
    <row r="3774" spans="1:21" s="30" customFormat="1" ht="24.6" hidden="1" outlineLevel="1" x14ac:dyDescent="0.55000000000000004">
      <c r="A3774" s="27" t="s">
        <v>327</v>
      </c>
      <c r="B3774" s="28"/>
      <c r="C3774" s="27"/>
      <c r="D3774" s="27" t="str">
        <f>"""NAV Direct"",""CRONUS JetCorp USA"",""21"",""1"",""355822"""</f>
        <v>"NAV Direct","CRONUS JetCorp USA","21","1","355822"</v>
      </c>
      <c r="E3774" s="31">
        <f t="shared" si="1144"/>
        <v>0</v>
      </c>
      <c r="F3774" s="31"/>
      <c r="G3774" s="31"/>
      <c r="H3774" s="31"/>
      <c r="I3774" s="56"/>
      <c r="J3774" s="56"/>
      <c r="K3774" s="82" t="str">
        <f t="shared" si="1145"/>
        <v>Invoice</v>
      </c>
      <c r="L3774" s="83" t="str">
        <f>"SI_111138"</f>
        <v>SI_111138</v>
      </c>
      <c r="M3774" s="84">
        <v>43402</v>
      </c>
      <c r="N3774" s="85">
        <f t="shared" si="1146"/>
        <v>410</v>
      </c>
      <c r="O3774" s="86">
        <f t="shared" si="1147"/>
        <v>14830.06</v>
      </c>
      <c r="P3774" s="86">
        <f t="shared" si="1148"/>
        <v>0</v>
      </c>
      <c r="Q3774" s="86">
        <f t="shared" si="1149"/>
        <v>0</v>
      </c>
      <c r="R3774" s="86">
        <f t="shared" si="1150"/>
        <v>0</v>
      </c>
      <c r="S3774" s="86">
        <f t="shared" si="1151"/>
        <v>0</v>
      </c>
      <c r="T3774" s="86">
        <f t="shared" si="1152"/>
        <v>14830.06</v>
      </c>
      <c r="U3774" s="87">
        <v>14830.06</v>
      </c>
    </row>
    <row r="3775" spans="1:21" s="30" customFormat="1" ht="24.6" hidden="1" outlineLevel="1" x14ac:dyDescent="0.55000000000000004">
      <c r="A3775" s="27" t="s">
        <v>327</v>
      </c>
      <c r="B3775" s="28"/>
      <c r="C3775" s="27"/>
      <c r="D3775" s="27" t="str">
        <f>"""NAV Direct"",""CRONUS JetCorp USA"",""21"",""1"",""356069"""</f>
        <v>"NAV Direct","CRONUS JetCorp USA","21","1","356069"</v>
      </c>
      <c r="E3775" s="31" t="str">
        <f t="shared" si="1144"/>
        <v>C100106</v>
      </c>
      <c r="F3775" s="31"/>
      <c r="G3775" s="31"/>
      <c r="H3775" s="31"/>
      <c r="I3775" s="56"/>
      <c r="J3775" s="56"/>
      <c r="K3775" s="82" t="str">
        <f t="shared" si="1145"/>
        <v>Invoice</v>
      </c>
      <c r="L3775" s="83" t="str">
        <f>"SI_111145"</f>
        <v>SI_111145</v>
      </c>
      <c r="M3775" s="84">
        <v>43434</v>
      </c>
      <c r="N3775" s="85">
        <f t="shared" si="1146"/>
        <v>378</v>
      </c>
      <c r="O3775" s="86">
        <f t="shared" si="1147"/>
        <v>16660.63</v>
      </c>
      <c r="P3775" s="86">
        <f t="shared" si="1148"/>
        <v>0</v>
      </c>
      <c r="Q3775" s="86">
        <f t="shared" si="1149"/>
        <v>0</v>
      </c>
      <c r="R3775" s="86">
        <f t="shared" si="1150"/>
        <v>0</v>
      </c>
      <c r="S3775" s="86">
        <f t="shared" si="1151"/>
        <v>0</v>
      </c>
      <c r="T3775" s="86">
        <f t="shared" si="1152"/>
        <v>16660.63</v>
      </c>
      <c r="U3775" s="87">
        <v>16660.63</v>
      </c>
    </row>
    <row r="3776" spans="1:21" s="30" customFormat="1" ht="24.6" hidden="1" outlineLevel="1" x14ac:dyDescent="0.55000000000000004">
      <c r="A3776" s="27" t="s">
        <v>327</v>
      </c>
      <c r="B3776" s="28"/>
      <c r="C3776" s="27"/>
      <c r="D3776" s="27" t="str">
        <f>"""NAV Direct"",""CRONUS JetCorp USA"",""21"",""1"",""356184"""</f>
        <v>"NAV Direct","CRONUS JetCorp USA","21","1","356184"</v>
      </c>
      <c r="E3776" s="31">
        <f t="shared" si="1144"/>
        <v>0</v>
      </c>
      <c r="F3776" s="31"/>
      <c r="G3776" s="31"/>
      <c r="H3776" s="31"/>
      <c r="I3776" s="56"/>
      <c r="J3776" s="56"/>
      <c r="K3776" s="82" t="str">
        <f t="shared" si="1145"/>
        <v>Invoice</v>
      </c>
      <c r="L3776" s="83" t="str">
        <f>"SI_111148"</f>
        <v>SI_111148</v>
      </c>
      <c r="M3776" s="84">
        <v>43462</v>
      </c>
      <c r="N3776" s="85">
        <f t="shared" si="1146"/>
        <v>350</v>
      </c>
      <c r="O3776" s="86">
        <f t="shared" si="1147"/>
        <v>19409.36</v>
      </c>
      <c r="P3776" s="86">
        <f t="shared" si="1148"/>
        <v>0</v>
      </c>
      <c r="Q3776" s="86">
        <f t="shared" si="1149"/>
        <v>0</v>
      </c>
      <c r="R3776" s="86">
        <f t="shared" si="1150"/>
        <v>0</v>
      </c>
      <c r="S3776" s="86">
        <f t="shared" si="1151"/>
        <v>0</v>
      </c>
      <c r="T3776" s="86">
        <f t="shared" si="1152"/>
        <v>19409.36</v>
      </c>
      <c r="U3776" s="87">
        <v>19409.36</v>
      </c>
    </row>
    <row r="3777" spans="1:21" s="30" customFormat="1" ht="24.6" hidden="1" outlineLevel="1" x14ac:dyDescent="0.55000000000000004">
      <c r="A3777" s="27" t="s">
        <v>327</v>
      </c>
      <c r="B3777" s="28"/>
      <c r="C3777" s="27"/>
      <c r="D3777" s="27" t="str">
        <f>"""NAV Direct"",""CRONUS JetCorp USA"",""21"",""1"",""356262"""</f>
        <v>"NAV Direct","CRONUS JetCorp USA","21","1","356262"</v>
      </c>
      <c r="E3777" s="31" t="str">
        <f t="shared" si="1144"/>
        <v>C100106</v>
      </c>
      <c r="F3777" s="31"/>
      <c r="G3777" s="31"/>
      <c r="H3777" s="31"/>
      <c r="I3777" s="56"/>
      <c r="J3777" s="56"/>
      <c r="K3777" s="82" t="str">
        <f t="shared" si="1145"/>
        <v>Invoice</v>
      </c>
      <c r="L3777" s="83" t="str">
        <f>"SI_111150"</f>
        <v>SI_111150</v>
      </c>
      <c r="M3777" s="84">
        <v>43469</v>
      </c>
      <c r="N3777" s="85">
        <f t="shared" si="1146"/>
        <v>343</v>
      </c>
      <c r="O3777" s="86">
        <f t="shared" si="1147"/>
        <v>19609.960000000003</v>
      </c>
      <c r="P3777" s="86">
        <f t="shared" si="1148"/>
        <v>0</v>
      </c>
      <c r="Q3777" s="86">
        <f t="shared" si="1149"/>
        <v>0</v>
      </c>
      <c r="R3777" s="86">
        <f t="shared" si="1150"/>
        <v>0</v>
      </c>
      <c r="S3777" s="86">
        <f t="shared" si="1151"/>
        <v>0</v>
      </c>
      <c r="T3777" s="86">
        <f t="shared" si="1152"/>
        <v>19609.960000000003</v>
      </c>
      <c r="U3777" s="87">
        <v>19609.960000000003</v>
      </c>
    </row>
    <row r="3778" spans="1:21" s="30" customFormat="1" ht="24.6" hidden="1" outlineLevel="1" x14ac:dyDescent="0.55000000000000004">
      <c r="A3778" s="27" t="s">
        <v>327</v>
      </c>
      <c r="B3778" s="28"/>
      <c r="C3778" s="27"/>
      <c r="D3778" s="27" t="str">
        <f>"""NAV Direct"",""CRONUS JetCorp USA"",""21"",""1"",""356867"""</f>
        <v>"NAV Direct","CRONUS JetCorp USA","21","1","356867"</v>
      </c>
      <c r="E3778" s="31">
        <f t="shared" si="1144"/>
        <v>0</v>
      </c>
      <c r="F3778" s="31"/>
      <c r="G3778" s="31"/>
      <c r="H3778" s="31"/>
      <c r="I3778" s="56"/>
      <c r="J3778" s="56"/>
      <c r="K3778" s="82" t="str">
        <f t="shared" si="1145"/>
        <v>Invoice</v>
      </c>
      <c r="L3778" s="83" t="str">
        <f>"SI_111167"</f>
        <v>SI_111167</v>
      </c>
      <c r="M3778" s="84">
        <v>43584</v>
      </c>
      <c r="N3778" s="85">
        <f t="shared" si="1146"/>
        <v>228</v>
      </c>
      <c r="O3778" s="86">
        <f t="shared" si="1147"/>
        <v>19874.620000000003</v>
      </c>
      <c r="P3778" s="86">
        <f t="shared" si="1148"/>
        <v>0</v>
      </c>
      <c r="Q3778" s="86">
        <f t="shared" si="1149"/>
        <v>0</v>
      </c>
      <c r="R3778" s="86">
        <f t="shared" si="1150"/>
        <v>0</v>
      </c>
      <c r="S3778" s="86">
        <f t="shared" si="1151"/>
        <v>0</v>
      </c>
      <c r="T3778" s="86">
        <f t="shared" si="1152"/>
        <v>19874.620000000003</v>
      </c>
      <c r="U3778" s="87">
        <v>19874.620000000003</v>
      </c>
    </row>
    <row r="3779" spans="1:21" s="30" customFormat="1" ht="24.6" hidden="1" outlineLevel="1" x14ac:dyDescent="0.55000000000000004">
      <c r="A3779" s="27" t="s">
        <v>327</v>
      </c>
      <c r="B3779" s="28"/>
      <c r="C3779" s="27"/>
      <c r="D3779" s="27" t="str">
        <f>"""NAV Direct"",""CRONUS JetCorp USA"",""21"",""1"",""357554"""</f>
        <v>"NAV Direct","CRONUS JetCorp USA","21","1","357554"</v>
      </c>
      <c r="E3779" s="31" t="str">
        <f t="shared" si="1144"/>
        <v>C100106</v>
      </c>
      <c r="F3779" s="31"/>
      <c r="G3779" s="31"/>
      <c r="H3779" s="31"/>
      <c r="I3779" s="56"/>
      <c r="J3779" s="56"/>
      <c r="K3779" s="82" t="str">
        <f t="shared" si="1145"/>
        <v>Invoice</v>
      </c>
      <c r="L3779" s="83" t="str">
        <f>"SI_111184"</f>
        <v>SI_111184</v>
      </c>
      <c r="M3779" s="84">
        <v>43668</v>
      </c>
      <c r="N3779" s="85">
        <f t="shared" si="1146"/>
        <v>144</v>
      </c>
      <c r="O3779" s="86">
        <f t="shared" si="1147"/>
        <v>16441.95</v>
      </c>
      <c r="P3779" s="86">
        <f t="shared" si="1148"/>
        <v>0</v>
      </c>
      <c r="Q3779" s="86">
        <f t="shared" si="1149"/>
        <v>0</v>
      </c>
      <c r="R3779" s="86">
        <f t="shared" si="1150"/>
        <v>0</v>
      </c>
      <c r="S3779" s="86">
        <f t="shared" si="1151"/>
        <v>0</v>
      </c>
      <c r="T3779" s="86">
        <f t="shared" si="1152"/>
        <v>16441.95</v>
      </c>
      <c r="U3779" s="87">
        <v>16441.95</v>
      </c>
    </row>
    <row r="3780" spans="1:21" s="30" customFormat="1" ht="24.6" hidden="1" outlineLevel="1" x14ac:dyDescent="0.55000000000000004">
      <c r="A3780" s="27" t="s">
        <v>327</v>
      </c>
      <c r="B3780" s="28"/>
      <c r="C3780" s="27"/>
      <c r="D3780" s="27" t="str">
        <f>"""NAV Direct"",""CRONUS JetCorp USA"",""21"",""1"",""357583"""</f>
        <v>"NAV Direct","CRONUS JetCorp USA","21","1","357583"</v>
      </c>
      <c r="E3780" s="31">
        <f t="shared" si="1144"/>
        <v>0</v>
      </c>
      <c r="F3780" s="31"/>
      <c r="G3780" s="31"/>
      <c r="H3780" s="31"/>
      <c r="I3780" s="56"/>
      <c r="J3780" s="56"/>
      <c r="K3780" s="82" t="str">
        <f t="shared" si="1145"/>
        <v>Invoice</v>
      </c>
      <c r="L3780" s="83" t="str">
        <f>"SI_111185"</f>
        <v>SI_111185</v>
      </c>
      <c r="M3780" s="84">
        <v>43674</v>
      </c>
      <c r="N3780" s="85">
        <f t="shared" si="1146"/>
        <v>138</v>
      </c>
      <c r="O3780" s="86">
        <f t="shared" si="1147"/>
        <v>16273.92</v>
      </c>
      <c r="P3780" s="86">
        <f t="shared" si="1148"/>
        <v>0</v>
      </c>
      <c r="Q3780" s="86">
        <f t="shared" si="1149"/>
        <v>0</v>
      </c>
      <c r="R3780" s="86">
        <f t="shared" si="1150"/>
        <v>0</v>
      </c>
      <c r="S3780" s="86">
        <f t="shared" si="1151"/>
        <v>0</v>
      </c>
      <c r="T3780" s="86">
        <f t="shared" si="1152"/>
        <v>16273.92</v>
      </c>
      <c r="U3780" s="87">
        <v>16273.92</v>
      </c>
    </row>
    <row r="3781" spans="1:21" s="30" customFormat="1" ht="24.6" hidden="1" outlineLevel="1" x14ac:dyDescent="0.55000000000000004">
      <c r="A3781" s="27" t="s">
        <v>327</v>
      </c>
      <c r="B3781" s="28"/>
      <c r="C3781" s="27"/>
      <c r="D3781" s="27" t="str">
        <f>"""NAV Direct"",""CRONUS JetCorp USA"",""21"",""1"",""357665"""</f>
        <v>"NAV Direct","CRONUS JetCorp USA","21","1","357665"</v>
      </c>
      <c r="E3781" s="31" t="str">
        <f t="shared" si="1144"/>
        <v>C100106</v>
      </c>
      <c r="F3781" s="31"/>
      <c r="G3781" s="31"/>
      <c r="H3781" s="31"/>
      <c r="I3781" s="56"/>
      <c r="J3781" s="56"/>
      <c r="K3781" s="82" t="str">
        <f t="shared" si="1145"/>
        <v>Invoice</v>
      </c>
      <c r="L3781" s="83" t="str">
        <f>"SI_111187"</f>
        <v>SI_111187</v>
      </c>
      <c r="M3781" s="84">
        <v>43680</v>
      </c>
      <c r="N3781" s="85">
        <f t="shared" si="1146"/>
        <v>132</v>
      </c>
      <c r="O3781" s="86">
        <f t="shared" si="1147"/>
        <v>16441.36</v>
      </c>
      <c r="P3781" s="86">
        <f t="shared" si="1148"/>
        <v>0</v>
      </c>
      <c r="Q3781" s="86">
        <f t="shared" si="1149"/>
        <v>0</v>
      </c>
      <c r="R3781" s="86">
        <f t="shared" si="1150"/>
        <v>0</v>
      </c>
      <c r="S3781" s="86">
        <f t="shared" si="1151"/>
        <v>0</v>
      </c>
      <c r="T3781" s="86">
        <f t="shared" si="1152"/>
        <v>16441.36</v>
      </c>
      <c r="U3781" s="87">
        <v>16441.36</v>
      </c>
    </row>
    <row r="3782" spans="1:21" s="30" customFormat="1" ht="24.6" hidden="1" outlineLevel="1" x14ac:dyDescent="0.55000000000000004">
      <c r="A3782" s="27" t="s">
        <v>327</v>
      </c>
      <c r="B3782" s="28"/>
      <c r="C3782" s="27"/>
      <c r="D3782" s="27" t="str">
        <f>"""NAV Direct"",""CRONUS JetCorp USA"",""21"",""1"",""357751"""</f>
        <v>"NAV Direct","CRONUS JetCorp USA","21","1","357751"</v>
      </c>
      <c r="E3782" s="31">
        <f t="shared" si="1144"/>
        <v>0</v>
      </c>
      <c r="F3782" s="31"/>
      <c r="G3782" s="31"/>
      <c r="H3782" s="31"/>
      <c r="I3782" s="56"/>
      <c r="J3782" s="56"/>
      <c r="K3782" s="82" t="str">
        <f t="shared" si="1145"/>
        <v>Invoice</v>
      </c>
      <c r="L3782" s="83" t="str">
        <f>"SI_111189"</f>
        <v>SI_111189</v>
      </c>
      <c r="M3782" s="84">
        <v>43705</v>
      </c>
      <c r="N3782" s="85">
        <f t="shared" si="1146"/>
        <v>107</v>
      </c>
      <c r="O3782" s="86">
        <f t="shared" si="1147"/>
        <v>14385.929999999998</v>
      </c>
      <c r="P3782" s="86">
        <f t="shared" si="1148"/>
        <v>0</v>
      </c>
      <c r="Q3782" s="86">
        <f t="shared" si="1149"/>
        <v>0</v>
      </c>
      <c r="R3782" s="86">
        <f t="shared" si="1150"/>
        <v>0</v>
      </c>
      <c r="S3782" s="86">
        <f t="shared" si="1151"/>
        <v>0</v>
      </c>
      <c r="T3782" s="86">
        <f t="shared" si="1152"/>
        <v>14385.929999999998</v>
      </c>
      <c r="U3782" s="87">
        <v>14385.929999999998</v>
      </c>
    </row>
    <row r="3783" spans="1:21" s="30" customFormat="1" ht="24.6" hidden="1" outlineLevel="1" x14ac:dyDescent="0.55000000000000004">
      <c r="A3783" s="27" t="s">
        <v>327</v>
      </c>
      <c r="B3783" s="28"/>
      <c r="C3783" s="27"/>
      <c r="D3783" s="27" t="str">
        <f>"""NAV Direct"",""CRONUS JetCorp USA"",""21"",""1"",""357837"""</f>
        <v>"NAV Direct","CRONUS JetCorp USA","21","1","357837"</v>
      </c>
      <c r="E3783" s="31" t="str">
        <f t="shared" si="1144"/>
        <v>C100106</v>
      </c>
      <c r="F3783" s="31"/>
      <c r="G3783" s="31"/>
      <c r="H3783" s="31"/>
      <c r="I3783" s="56"/>
      <c r="J3783" s="56"/>
      <c r="K3783" s="82" t="str">
        <f t="shared" si="1145"/>
        <v>Invoice</v>
      </c>
      <c r="L3783" s="83" t="str">
        <f>"SI_111191"</f>
        <v>SI_111191</v>
      </c>
      <c r="M3783" s="84">
        <v>43724</v>
      </c>
      <c r="N3783" s="85">
        <f t="shared" si="1146"/>
        <v>88</v>
      </c>
      <c r="O3783" s="86">
        <f t="shared" si="1147"/>
        <v>12947.56</v>
      </c>
      <c r="P3783" s="86">
        <f t="shared" si="1148"/>
        <v>0</v>
      </c>
      <c r="Q3783" s="86">
        <f t="shared" si="1149"/>
        <v>0</v>
      </c>
      <c r="R3783" s="86">
        <f t="shared" si="1150"/>
        <v>0</v>
      </c>
      <c r="S3783" s="86">
        <f t="shared" si="1151"/>
        <v>12947.56</v>
      </c>
      <c r="T3783" s="86">
        <f t="shared" si="1152"/>
        <v>0</v>
      </c>
      <c r="U3783" s="87">
        <v>12947.56</v>
      </c>
    </row>
    <row r="3784" spans="1:21" s="30" customFormat="1" ht="24.6" hidden="1" outlineLevel="1" x14ac:dyDescent="0.55000000000000004">
      <c r="A3784" s="27" t="s">
        <v>327</v>
      </c>
      <c r="B3784" s="28"/>
      <c r="C3784" s="27"/>
      <c r="D3784" s="27" t="str">
        <f>"""NAV Direct"",""CRONUS JetCorp USA"",""21"",""1"",""357864"""</f>
        <v>"NAV Direct","CRONUS JetCorp USA","21","1","357864"</v>
      </c>
      <c r="E3784" s="31">
        <f t="shared" si="1144"/>
        <v>0</v>
      </c>
      <c r="F3784" s="31"/>
      <c r="G3784" s="31"/>
      <c r="H3784" s="31"/>
      <c r="I3784" s="56"/>
      <c r="J3784" s="56"/>
      <c r="K3784" s="82" t="str">
        <f t="shared" si="1145"/>
        <v>Invoice</v>
      </c>
      <c r="L3784" s="83" t="str">
        <f>"SI_111192"</f>
        <v>SI_111192</v>
      </c>
      <c r="M3784" s="84">
        <v>43727</v>
      </c>
      <c r="N3784" s="85">
        <f t="shared" si="1146"/>
        <v>85</v>
      </c>
      <c r="O3784" s="86">
        <f t="shared" si="1147"/>
        <v>12947.6</v>
      </c>
      <c r="P3784" s="86">
        <f t="shared" si="1148"/>
        <v>0</v>
      </c>
      <c r="Q3784" s="86">
        <f t="shared" si="1149"/>
        <v>0</v>
      </c>
      <c r="R3784" s="86">
        <f t="shared" si="1150"/>
        <v>0</v>
      </c>
      <c r="S3784" s="86">
        <f t="shared" si="1151"/>
        <v>12947.6</v>
      </c>
      <c r="T3784" s="86">
        <f t="shared" si="1152"/>
        <v>0</v>
      </c>
      <c r="U3784" s="87">
        <v>12947.6</v>
      </c>
    </row>
    <row r="3785" spans="1:21" s="30" customFormat="1" ht="24.6" hidden="1" outlineLevel="1" x14ac:dyDescent="0.55000000000000004">
      <c r="A3785" s="27" t="s">
        <v>327</v>
      </c>
      <c r="B3785" s="28"/>
      <c r="C3785" s="27"/>
      <c r="D3785" s="27" t="str">
        <f>"""NAV Direct"",""CRONUS JetCorp USA"",""21"",""1"",""358302"""</f>
        <v>"NAV Direct","CRONUS JetCorp USA","21","1","358302"</v>
      </c>
      <c r="E3785" s="31" t="str">
        <f t="shared" si="1144"/>
        <v>C100106</v>
      </c>
      <c r="F3785" s="31"/>
      <c r="G3785" s="31"/>
      <c r="H3785" s="31"/>
      <c r="I3785" s="56"/>
      <c r="J3785" s="56"/>
      <c r="K3785" s="82" t="str">
        <f t="shared" si="1145"/>
        <v>Invoice</v>
      </c>
      <c r="L3785" s="83" t="str">
        <f>"SI_111204"</f>
        <v>SI_111204</v>
      </c>
      <c r="M3785" s="84">
        <v>43815</v>
      </c>
      <c r="N3785" s="85">
        <f t="shared" si="1146"/>
        <v>-3</v>
      </c>
      <c r="O3785" s="86">
        <f t="shared" si="1147"/>
        <v>16806.46</v>
      </c>
      <c r="P3785" s="86">
        <f t="shared" si="1148"/>
        <v>16806.46</v>
      </c>
      <c r="Q3785" s="86">
        <f t="shared" si="1149"/>
        <v>0</v>
      </c>
      <c r="R3785" s="86">
        <f t="shared" si="1150"/>
        <v>0</v>
      </c>
      <c r="S3785" s="86">
        <f t="shared" si="1151"/>
        <v>0</v>
      </c>
      <c r="T3785" s="86">
        <f t="shared" si="1152"/>
        <v>0</v>
      </c>
      <c r="U3785" s="87">
        <v>16806.46</v>
      </c>
    </row>
    <row r="3786" spans="1:21" s="30" customFormat="1" ht="24.6" hidden="1" outlineLevel="1" x14ac:dyDescent="0.55000000000000004">
      <c r="A3786" s="27" t="s">
        <v>327</v>
      </c>
      <c r="B3786" s="28"/>
      <c r="C3786" s="27"/>
      <c r="D3786" s="27" t="str">
        <f>"""NAV Direct"",""CRONUS JetCorp USA"",""21"",""1"",""358545"""</f>
        <v>"NAV Direct","CRONUS JetCorp USA","21","1","358545"</v>
      </c>
      <c r="E3786" s="31">
        <f t="shared" si="1144"/>
        <v>0</v>
      </c>
      <c r="F3786" s="31"/>
      <c r="G3786" s="31"/>
      <c r="H3786" s="31"/>
      <c r="I3786" s="56"/>
      <c r="J3786" s="56"/>
      <c r="K3786" s="82" t="str">
        <f t="shared" si="1145"/>
        <v>Invoice</v>
      </c>
      <c r="L3786" s="83" t="str">
        <f>"SI_111211"</f>
        <v>SI_111211</v>
      </c>
      <c r="M3786" s="84">
        <v>42036</v>
      </c>
      <c r="N3786" s="85">
        <f t="shared" si="1146"/>
        <v>1776</v>
      </c>
      <c r="O3786" s="86">
        <f t="shared" si="1147"/>
        <v>14369.019999999999</v>
      </c>
      <c r="P3786" s="86">
        <f t="shared" si="1148"/>
        <v>0</v>
      </c>
      <c r="Q3786" s="86">
        <f t="shared" si="1149"/>
        <v>0</v>
      </c>
      <c r="R3786" s="86">
        <f t="shared" si="1150"/>
        <v>0</v>
      </c>
      <c r="S3786" s="86">
        <f t="shared" si="1151"/>
        <v>0</v>
      </c>
      <c r="T3786" s="86">
        <f t="shared" si="1152"/>
        <v>14369.019999999999</v>
      </c>
      <c r="U3786" s="87">
        <v>14369.019999999999</v>
      </c>
    </row>
    <row r="3787" spans="1:21" s="30" customFormat="1" ht="24.6" hidden="1" outlineLevel="1" x14ac:dyDescent="0.55000000000000004">
      <c r="A3787" s="27" t="s">
        <v>327</v>
      </c>
      <c r="B3787" s="28"/>
      <c r="C3787" s="27"/>
      <c r="D3787" s="27" t="str">
        <f>"""NAV Direct"",""CRONUS JetCorp USA"",""21"",""1"",""358701"""</f>
        <v>"NAV Direct","CRONUS JetCorp USA","21","1","358701"</v>
      </c>
      <c r="E3787" s="31" t="str">
        <f t="shared" si="1144"/>
        <v>C100106</v>
      </c>
      <c r="F3787" s="31"/>
      <c r="G3787" s="31"/>
      <c r="H3787" s="31"/>
      <c r="I3787" s="56"/>
      <c r="J3787" s="56"/>
      <c r="K3787" s="82" t="str">
        <f t="shared" si="1145"/>
        <v>Invoice</v>
      </c>
      <c r="L3787" s="83" t="str">
        <f>"SI_111215"</f>
        <v>SI_111215</v>
      </c>
      <c r="M3787" s="84">
        <v>42062</v>
      </c>
      <c r="N3787" s="85">
        <f t="shared" si="1146"/>
        <v>1750</v>
      </c>
      <c r="O3787" s="86">
        <f t="shared" si="1147"/>
        <v>14369.44</v>
      </c>
      <c r="P3787" s="86">
        <f t="shared" si="1148"/>
        <v>0</v>
      </c>
      <c r="Q3787" s="86">
        <f t="shared" si="1149"/>
        <v>0</v>
      </c>
      <c r="R3787" s="86">
        <f t="shared" si="1150"/>
        <v>0</v>
      </c>
      <c r="S3787" s="86">
        <f t="shared" si="1151"/>
        <v>0</v>
      </c>
      <c r="T3787" s="86">
        <f t="shared" si="1152"/>
        <v>14369.44</v>
      </c>
      <c r="U3787" s="87">
        <v>14369.44</v>
      </c>
    </row>
    <row r="3788" spans="1:21" s="30" customFormat="1" ht="24.6" hidden="1" outlineLevel="1" x14ac:dyDescent="0.55000000000000004">
      <c r="A3788" s="27" t="s">
        <v>327</v>
      </c>
      <c r="B3788" s="28"/>
      <c r="C3788" s="27"/>
      <c r="D3788" s="27" t="str">
        <f>"""NAV Direct"",""CRONUS JetCorp USA"",""21"",""1"",""358728"""</f>
        <v>"NAV Direct","CRONUS JetCorp USA","21","1","358728"</v>
      </c>
      <c r="E3788" s="31">
        <f t="shared" si="1144"/>
        <v>0</v>
      </c>
      <c r="F3788" s="31"/>
      <c r="G3788" s="31"/>
      <c r="H3788" s="31"/>
      <c r="I3788" s="56"/>
      <c r="J3788" s="56"/>
      <c r="K3788" s="82" t="str">
        <f t="shared" si="1145"/>
        <v>Invoice</v>
      </c>
      <c r="L3788" s="83" t="str">
        <f>"SI_111216"</f>
        <v>SI_111216</v>
      </c>
      <c r="M3788" s="84">
        <v>42067</v>
      </c>
      <c r="N3788" s="85">
        <f t="shared" si="1146"/>
        <v>1745</v>
      </c>
      <c r="O3788" s="86">
        <f t="shared" si="1147"/>
        <v>14369.089999999998</v>
      </c>
      <c r="P3788" s="86">
        <f t="shared" si="1148"/>
        <v>0</v>
      </c>
      <c r="Q3788" s="86">
        <f t="shared" si="1149"/>
        <v>0</v>
      </c>
      <c r="R3788" s="86">
        <f t="shared" si="1150"/>
        <v>0</v>
      </c>
      <c r="S3788" s="86">
        <f t="shared" si="1151"/>
        <v>0</v>
      </c>
      <c r="T3788" s="86">
        <f t="shared" si="1152"/>
        <v>14369.089999999998</v>
      </c>
      <c r="U3788" s="87">
        <v>14369.089999999998</v>
      </c>
    </row>
    <row r="3789" spans="1:21" s="30" customFormat="1" ht="24.6" hidden="1" outlineLevel="1" x14ac:dyDescent="0.55000000000000004">
      <c r="A3789" s="27" t="s">
        <v>327</v>
      </c>
      <c r="B3789" s="28"/>
      <c r="C3789" s="27"/>
      <c r="D3789" s="27" t="str">
        <f>"""NAV Direct"",""CRONUS JetCorp USA"",""21"",""1"",""358757"""</f>
        <v>"NAV Direct","CRONUS JetCorp USA","21","1","358757"</v>
      </c>
      <c r="E3789" s="31" t="str">
        <f t="shared" si="1144"/>
        <v>C100106</v>
      </c>
      <c r="F3789" s="31"/>
      <c r="G3789" s="31"/>
      <c r="H3789" s="31"/>
      <c r="I3789" s="56"/>
      <c r="J3789" s="56"/>
      <c r="K3789" s="82" t="str">
        <f t="shared" si="1145"/>
        <v>Invoice</v>
      </c>
      <c r="L3789" s="83" t="str">
        <f>"SI_111217"</f>
        <v>SI_111217</v>
      </c>
      <c r="M3789" s="84">
        <v>42083</v>
      </c>
      <c r="N3789" s="85">
        <f t="shared" si="1146"/>
        <v>1729</v>
      </c>
      <c r="O3789" s="86">
        <f t="shared" si="1147"/>
        <v>12500.97</v>
      </c>
      <c r="P3789" s="86">
        <f t="shared" si="1148"/>
        <v>0</v>
      </c>
      <c r="Q3789" s="86">
        <f t="shared" si="1149"/>
        <v>0</v>
      </c>
      <c r="R3789" s="86">
        <f t="shared" si="1150"/>
        <v>0</v>
      </c>
      <c r="S3789" s="86">
        <f t="shared" si="1151"/>
        <v>0</v>
      </c>
      <c r="T3789" s="86">
        <f t="shared" si="1152"/>
        <v>12500.97</v>
      </c>
      <c r="U3789" s="87">
        <v>12500.97</v>
      </c>
    </row>
    <row r="3790" spans="1:21" s="30" customFormat="1" ht="24.6" hidden="1" outlineLevel="1" x14ac:dyDescent="0.55000000000000004">
      <c r="A3790" s="27" t="s">
        <v>327</v>
      </c>
      <c r="B3790" s="28"/>
      <c r="C3790" s="27"/>
      <c r="D3790" s="27" t="str">
        <f>"""NAV Direct"",""CRONUS JetCorp USA"",""21"",""1"",""359368"""</f>
        <v>"NAV Direct","CRONUS JetCorp USA","21","1","359368"</v>
      </c>
      <c r="E3790" s="31">
        <f t="shared" si="1144"/>
        <v>0</v>
      </c>
      <c r="F3790" s="31"/>
      <c r="G3790" s="31"/>
      <c r="H3790" s="31"/>
      <c r="I3790" s="56"/>
      <c r="J3790" s="56"/>
      <c r="K3790" s="82" t="str">
        <f t="shared" si="1145"/>
        <v>Invoice</v>
      </c>
      <c r="L3790" s="83" t="str">
        <f>"SI_111234"</f>
        <v>SI_111234</v>
      </c>
      <c r="M3790" s="84">
        <v>42181</v>
      </c>
      <c r="N3790" s="85">
        <f t="shared" si="1146"/>
        <v>1631</v>
      </c>
      <c r="O3790" s="86">
        <f t="shared" si="1147"/>
        <v>18102.740000000002</v>
      </c>
      <c r="P3790" s="86">
        <f t="shared" si="1148"/>
        <v>0</v>
      </c>
      <c r="Q3790" s="86">
        <f t="shared" si="1149"/>
        <v>0</v>
      </c>
      <c r="R3790" s="86">
        <f t="shared" si="1150"/>
        <v>0</v>
      </c>
      <c r="S3790" s="86">
        <f t="shared" si="1151"/>
        <v>0</v>
      </c>
      <c r="T3790" s="86">
        <f t="shared" si="1152"/>
        <v>18102.740000000002</v>
      </c>
      <c r="U3790" s="87">
        <v>18102.740000000002</v>
      </c>
    </row>
    <row r="3791" spans="1:21" s="30" customFormat="1" ht="24.6" hidden="1" outlineLevel="1" x14ac:dyDescent="0.55000000000000004">
      <c r="A3791" s="27" t="s">
        <v>327</v>
      </c>
      <c r="B3791" s="28"/>
      <c r="C3791" s="27"/>
      <c r="D3791" s="27" t="str">
        <f>"""NAV Direct"",""CRONUS JetCorp USA"",""21"",""1"",""359605"""</f>
        <v>"NAV Direct","CRONUS JetCorp USA","21","1","359605"</v>
      </c>
      <c r="E3791" s="31" t="str">
        <f t="shared" si="1144"/>
        <v>C100106</v>
      </c>
      <c r="F3791" s="31"/>
      <c r="G3791" s="31"/>
      <c r="H3791" s="31"/>
      <c r="I3791" s="56"/>
      <c r="J3791" s="56"/>
      <c r="K3791" s="82" t="str">
        <f t="shared" si="1145"/>
        <v>Invoice</v>
      </c>
      <c r="L3791" s="83" t="str">
        <f>"SI_111241"</f>
        <v>SI_111241</v>
      </c>
      <c r="M3791" s="84">
        <v>42202</v>
      </c>
      <c r="N3791" s="85">
        <f t="shared" si="1146"/>
        <v>1610</v>
      </c>
      <c r="O3791" s="86">
        <f t="shared" si="1147"/>
        <v>11376.18</v>
      </c>
      <c r="P3791" s="86">
        <f t="shared" si="1148"/>
        <v>0</v>
      </c>
      <c r="Q3791" s="86">
        <f t="shared" si="1149"/>
        <v>0</v>
      </c>
      <c r="R3791" s="86">
        <f t="shared" si="1150"/>
        <v>0</v>
      </c>
      <c r="S3791" s="86">
        <f t="shared" si="1151"/>
        <v>0</v>
      </c>
      <c r="T3791" s="86">
        <f t="shared" si="1152"/>
        <v>11376.18</v>
      </c>
      <c r="U3791" s="87">
        <v>11376.18</v>
      </c>
    </row>
    <row r="3792" spans="1:21" s="30" customFormat="1" ht="24.6" hidden="1" outlineLevel="1" x14ac:dyDescent="0.55000000000000004">
      <c r="A3792" s="27" t="s">
        <v>327</v>
      </c>
      <c r="B3792" s="28"/>
      <c r="C3792" s="27"/>
      <c r="D3792" s="27" t="str">
        <f>"""NAV Direct"",""CRONUS JetCorp USA"",""21"",""1"",""359785"""</f>
        <v>"NAV Direct","CRONUS JetCorp USA","21","1","359785"</v>
      </c>
      <c r="E3792" s="31">
        <f t="shared" si="1144"/>
        <v>0</v>
      </c>
      <c r="F3792" s="31"/>
      <c r="G3792" s="31"/>
      <c r="H3792" s="31"/>
      <c r="I3792" s="56"/>
      <c r="J3792" s="56"/>
      <c r="K3792" s="82" t="str">
        <f t="shared" si="1145"/>
        <v>Invoice</v>
      </c>
      <c r="L3792" s="83" t="str">
        <f>"SI_111247"</f>
        <v>SI_111247</v>
      </c>
      <c r="M3792" s="84">
        <v>42237</v>
      </c>
      <c r="N3792" s="85">
        <f t="shared" si="1146"/>
        <v>1575</v>
      </c>
      <c r="O3792" s="86">
        <f t="shared" si="1147"/>
        <v>9954.43</v>
      </c>
      <c r="P3792" s="86">
        <f t="shared" si="1148"/>
        <v>0</v>
      </c>
      <c r="Q3792" s="86">
        <f t="shared" si="1149"/>
        <v>0</v>
      </c>
      <c r="R3792" s="86">
        <f t="shared" si="1150"/>
        <v>0</v>
      </c>
      <c r="S3792" s="86">
        <f t="shared" si="1151"/>
        <v>0</v>
      </c>
      <c r="T3792" s="86">
        <f t="shared" si="1152"/>
        <v>9954.43</v>
      </c>
      <c r="U3792" s="87">
        <v>9954.43</v>
      </c>
    </row>
    <row r="3793" spans="1:22" s="30" customFormat="1" ht="24.6" hidden="1" outlineLevel="1" x14ac:dyDescent="0.55000000000000004">
      <c r="A3793" s="27" t="s">
        <v>327</v>
      </c>
      <c r="B3793" s="28"/>
      <c r="C3793" s="27"/>
      <c r="D3793" s="27" t="str">
        <f>"""NAV Direct"",""CRONUS JetCorp USA"",""21"",""1"",""360171"""</f>
        <v>"NAV Direct","CRONUS JetCorp USA","21","1","360171"</v>
      </c>
      <c r="E3793" s="31" t="str">
        <f t="shared" si="1144"/>
        <v>C100106</v>
      </c>
      <c r="F3793" s="31"/>
      <c r="G3793" s="31"/>
      <c r="H3793" s="31"/>
      <c r="I3793" s="56"/>
      <c r="J3793" s="56"/>
      <c r="K3793" s="82" t="str">
        <f t="shared" si="1145"/>
        <v>Invoice</v>
      </c>
      <c r="L3793" s="83" t="str">
        <f>"SI_111259"</f>
        <v>SI_111259</v>
      </c>
      <c r="M3793" s="84">
        <v>42316</v>
      </c>
      <c r="N3793" s="85">
        <f t="shared" si="1146"/>
        <v>1496</v>
      </c>
      <c r="O3793" s="86">
        <f t="shared" si="1147"/>
        <v>9854.2200000000012</v>
      </c>
      <c r="P3793" s="86">
        <f t="shared" si="1148"/>
        <v>0</v>
      </c>
      <c r="Q3793" s="86">
        <f t="shared" si="1149"/>
        <v>0</v>
      </c>
      <c r="R3793" s="86">
        <f t="shared" si="1150"/>
        <v>0</v>
      </c>
      <c r="S3793" s="86">
        <f t="shared" si="1151"/>
        <v>0</v>
      </c>
      <c r="T3793" s="86">
        <f t="shared" si="1152"/>
        <v>9854.2200000000012</v>
      </c>
      <c r="U3793" s="87">
        <v>9854.2200000000012</v>
      </c>
    </row>
    <row r="3794" spans="1:22" s="30" customFormat="1" ht="24.6" hidden="1" outlineLevel="1" x14ac:dyDescent="0.55000000000000004">
      <c r="A3794" s="27" t="s">
        <v>327</v>
      </c>
      <c r="B3794" s="28"/>
      <c r="C3794" s="27"/>
      <c r="D3794" s="27" t="str">
        <f>"""NAV Direct"",""CRONUS JetCorp USA"",""21"",""1"",""360303"""</f>
        <v>"NAV Direct","CRONUS JetCorp USA","21","1","360303"</v>
      </c>
      <c r="E3794" s="31">
        <f t="shared" si="1144"/>
        <v>0</v>
      </c>
      <c r="F3794" s="31"/>
      <c r="G3794" s="31"/>
      <c r="H3794" s="31"/>
      <c r="I3794" s="56"/>
      <c r="J3794" s="56"/>
      <c r="K3794" s="82" t="str">
        <f t="shared" si="1145"/>
        <v>Invoice</v>
      </c>
      <c r="L3794" s="83" t="str">
        <f>"SI_111263"</f>
        <v>SI_111263</v>
      </c>
      <c r="M3794" s="84">
        <v>42332</v>
      </c>
      <c r="N3794" s="85">
        <f t="shared" si="1146"/>
        <v>1480</v>
      </c>
      <c r="O3794" s="86">
        <f t="shared" si="1147"/>
        <v>9854.4700000000012</v>
      </c>
      <c r="P3794" s="86">
        <f t="shared" si="1148"/>
        <v>0</v>
      </c>
      <c r="Q3794" s="86">
        <f t="shared" si="1149"/>
        <v>0</v>
      </c>
      <c r="R3794" s="86">
        <f t="shared" si="1150"/>
        <v>0</v>
      </c>
      <c r="S3794" s="86">
        <f t="shared" si="1151"/>
        <v>0</v>
      </c>
      <c r="T3794" s="86">
        <f t="shared" si="1152"/>
        <v>9854.4700000000012</v>
      </c>
      <c r="U3794" s="87">
        <v>9854.4700000000012</v>
      </c>
    </row>
    <row r="3795" spans="1:22" s="30" customFormat="1" ht="24.6" hidden="1" outlineLevel="1" x14ac:dyDescent="0.55000000000000004">
      <c r="A3795" s="27" t="s">
        <v>327</v>
      </c>
      <c r="B3795" s="28"/>
      <c r="C3795" s="27"/>
      <c r="D3795" s="27" t="str">
        <f>"""NAV Direct"",""CRONUS JetCorp USA"",""21"",""1"",""360359"""</f>
        <v>"NAV Direct","CRONUS JetCorp USA","21","1","360359"</v>
      </c>
      <c r="E3795" s="31" t="str">
        <f t="shared" si="1144"/>
        <v>C100106</v>
      </c>
      <c r="F3795" s="31"/>
      <c r="G3795" s="31"/>
      <c r="H3795" s="31"/>
      <c r="I3795" s="56"/>
      <c r="J3795" s="56"/>
      <c r="K3795" s="82" t="str">
        <f t="shared" si="1145"/>
        <v>Invoice</v>
      </c>
      <c r="L3795" s="83" t="str">
        <f>"SI_111265"</f>
        <v>SI_111265</v>
      </c>
      <c r="M3795" s="84">
        <v>42335</v>
      </c>
      <c r="N3795" s="85">
        <f t="shared" si="1146"/>
        <v>1477</v>
      </c>
      <c r="O3795" s="86">
        <f t="shared" si="1147"/>
        <v>9854.7799999999988</v>
      </c>
      <c r="P3795" s="86">
        <f t="shared" si="1148"/>
        <v>0</v>
      </c>
      <c r="Q3795" s="86">
        <f t="shared" si="1149"/>
        <v>0</v>
      </c>
      <c r="R3795" s="86">
        <f t="shared" si="1150"/>
        <v>0</v>
      </c>
      <c r="S3795" s="86">
        <f t="shared" si="1151"/>
        <v>0</v>
      </c>
      <c r="T3795" s="86">
        <f t="shared" si="1152"/>
        <v>9854.7799999999988</v>
      </c>
      <c r="U3795" s="87">
        <v>9854.7799999999988</v>
      </c>
    </row>
    <row r="3796" spans="1:22" s="30" customFormat="1" ht="24.6" hidden="1" outlineLevel="1" x14ac:dyDescent="0.55000000000000004">
      <c r="A3796" s="27" t="s">
        <v>327</v>
      </c>
      <c r="B3796" s="28"/>
      <c r="C3796" s="27"/>
      <c r="D3796" s="27" t="str">
        <f>"""NAV Direct"",""CRONUS JetCorp USA"",""21"",""1"",""360464"""</f>
        <v>"NAV Direct","CRONUS JetCorp USA","21","1","360464"</v>
      </c>
      <c r="E3796" s="31">
        <f t="shared" si="1144"/>
        <v>0</v>
      </c>
      <c r="F3796" s="31"/>
      <c r="G3796" s="31"/>
      <c r="H3796" s="31"/>
      <c r="I3796" s="56"/>
      <c r="J3796" s="56"/>
      <c r="K3796" s="82" t="str">
        <f t="shared" si="1145"/>
        <v>Invoice</v>
      </c>
      <c r="L3796" s="83" t="str">
        <f>"SI_111268"</f>
        <v>SI_111268</v>
      </c>
      <c r="M3796" s="84">
        <v>42358</v>
      </c>
      <c r="N3796" s="85">
        <f t="shared" si="1146"/>
        <v>1454</v>
      </c>
      <c r="O3796" s="86">
        <f t="shared" si="1147"/>
        <v>11628.460000000001</v>
      </c>
      <c r="P3796" s="86">
        <f t="shared" si="1148"/>
        <v>0</v>
      </c>
      <c r="Q3796" s="86">
        <f t="shared" si="1149"/>
        <v>0</v>
      </c>
      <c r="R3796" s="86">
        <f t="shared" si="1150"/>
        <v>0</v>
      </c>
      <c r="S3796" s="86">
        <f t="shared" si="1151"/>
        <v>0</v>
      </c>
      <c r="T3796" s="86">
        <f t="shared" si="1152"/>
        <v>11628.460000000001</v>
      </c>
      <c r="U3796" s="87">
        <v>11628.460000000001</v>
      </c>
    </row>
    <row r="3797" spans="1:22" s="30" customFormat="1" ht="24.6" hidden="1" outlineLevel="1" x14ac:dyDescent="0.55000000000000004">
      <c r="A3797" s="27" t="s">
        <v>327</v>
      </c>
      <c r="B3797" s="28"/>
      <c r="C3797" s="27"/>
      <c r="D3797" s="27" t="str">
        <f>"""NAV Direct"",""CRONUS JetCorp USA"",""21"",""1"",""434745"""</f>
        <v>"NAV Direct","CRONUS JetCorp USA","21","1","434745"</v>
      </c>
      <c r="E3797" s="31" t="str">
        <f t="shared" si="1144"/>
        <v>C100106</v>
      </c>
      <c r="F3797" s="31"/>
      <c r="G3797" s="31"/>
      <c r="H3797" s="31"/>
      <c r="I3797" s="56"/>
      <c r="J3797" s="56"/>
      <c r="K3797" s="82" t="str">
        <f t="shared" ref="K3797:K3802" si="1153">"Credit Memo"</f>
        <v>Credit Memo</v>
      </c>
      <c r="L3797" s="83" t="str">
        <f>"SC_100573"</f>
        <v>SC_100573</v>
      </c>
      <c r="M3797" s="84">
        <v>42411</v>
      </c>
      <c r="N3797" s="85">
        <f t="shared" si="1146"/>
        <v>1401</v>
      </c>
      <c r="O3797" s="86">
        <f t="shared" si="1147"/>
        <v>-99.46</v>
      </c>
      <c r="P3797" s="86">
        <f t="shared" si="1148"/>
        <v>0</v>
      </c>
      <c r="Q3797" s="86">
        <f t="shared" si="1149"/>
        <v>0</v>
      </c>
      <c r="R3797" s="86">
        <f t="shared" si="1150"/>
        <v>0</v>
      </c>
      <c r="S3797" s="86">
        <f t="shared" si="1151"/>
        <v>0</v>
      </c>
      <c r="T3797" s="86">
        <f t="shared" si="1152"/>
        <v>-99.46</v>
      </c>
      <c r="U3797" s="87">
        <v>-99.46</v>
      </c>
    </row>
    <row r="3798" spans="1:22" s="30" customFormat="1" ht="24.6" hidden="1" outlineLevel="1" x14ac:dyDescent="0.55000000000000004">
      <c r="A3798" s="27" t="s">
        <v>327</v>
      </c>
      <c r="B3798" s="28"/>
      <c r="C3798" s="27"/>
      <c r="D3798" s="27" t="str">
        <f>"""NAV Direct"",""CRONUS JetCorp USA"",""21"",""1"",""434855"""</f>
        <v>"NAV Direct","CRONUS JetCorp USA","21","1","434855"</v>
      </c>
      <c r="E3798" s="31">
        <f t="shared" si="1144"/>
        <v>0</v>
      </c>
      <c r="F3798" s="31"/>
      <c r="G3798" s="31"/>
      <c r="H3798" s="31"/>
      <c r="I3798" s="56"/>
      <c r="J3798" s="56"/>
      <c r="K3798" s="82" t="str">
        <f t="shared" si="1153"/>
        <v>Credit Memo</v>
      </c>
      <c r="L3798" s="83" t="str">
        <f>"SC_100581"</f>
        <v>SC_100581</v>
      </c>
      <c r="M3798" s="84">
        <v>42691</v>
      </c>
      <c r="N3798" s="85">
        <f t="shared" si="1146"/>
        <v>1121</v>
      </c>
      <c r="O3798" s="86">
        <f t="shared" si="1147"/>
        <v>-124.87</v>
      </c>
      <c r="P3798" s="86">
        <f t="shared" si="1148"/>
        <v>0</v>
      </c>
      <c r="Q3798" s="86">
        <f t="shared" si="1149"/>
        <v>0</v>
      </c>
      <c r="R3798" s="86">
        <f t="shared" si="1150"/>
        <v>0</v>
      </c>
      <c r="S3798" s="86">
        <f t="shared" si="1151"/>
        <v>0</v>
      </c>
      <c r="T3798" s="86">
        <f t="shared" si="1152"/>
        <v>-124.87</v>
      </c>
      <c r="U3798" s="87">
        <v>-124.87</v>
      </c>
    </row>
    <row r="3799" spans="1:22" s="30" customFormat="1" ht="24.6" hidden="1" outlineLevel="1" x14ac:dyDescent="0.55000000000000004">
      <c r="A3799" s="27" t="s">
        <v>327</v>
      </c>
      <c r="B3799" s="28"/>
      <c r="C3799" s="27"/>
      <c r="D3799" s="27" t="str">
        <f>"""NAV Direct"",""CRONUS JetCorp USA"",""21"",""1"",""434889"""</f>
        <v>"NAV Direct","CRONUS JetCorp USA","21","1","434889"</v>
      </c>
      <c r="E3799" s="31" t="str">
        <f t="shared" si="1144"/>
        <v>C100106</v>
      </c>
      <c r="F3799" s="31"/>
      <c r="G3799" s="31"/>
      <c r="H3799" s="31"/>
      <c r="I3799" s="56"/>
      <c r="J3799" s="56"/>
      <c r="K3799" s="82" t="str">
        <f t="shared" si="1153"/>
        <v>Credit Memo</v>
      </c>
      <c r="L3799" s="83" t="str">
        <f>"SC_100583"</f>
        <v>SC_100583</v>
      </c>
      <c r="M3799" s="84">
        <v>42852</v>
      </c>
      <c r="N3799" s="85">
        <f t="shared" si="1146"/>
        <v>960</v>
      </c>
      <c r="O3799" s="86">
        <f t="shared" si="1147"/>
        <v>-108.02</v>
      </c>
      <c r="P3799" s="86">
        <f t="shared" si="1148"/>
        <v>0</v>
      </c>
      <c r="Q3799" s="86">
        <f t="shared" si="1149"/>
        <v>0</v>
      </c>
      <c r="R3799" s="86">
        <f t="shared" si="1150"/>
        <v>0</v>
      </c>
      <c r="S3799" s="86">
        <f t="shared" si="1151"/>
        <v>0</v>
      </c>
      <c r="T3799" s="86">
        <f t="shared" si="1152"/>
        <v>-108.02</v>
      </c>
      <c r="U3799" s="87">
        <v>-108.02</v>
      </c>
    </row>
    <row r="3800" spans="1:22" s="30" customFormat="1" ht="24.6" hidden="1" outlineLevel="1" x14ac:dyDescent="0.55000000000000004">
      <c r="A3800" s="27" t="s">
        <v>327</v>
      </c>
      <c r="B3800" s="28"/>
      <c r="C3800" s="27"/>
      <c r="D3800" s="27" t="str">
        <f>"""NAV Direct"",""CRONUS JetCorp USA"",""21"",""1"",""435325"""</f>
        <v>"NAV Direct","CRONUS JetCorp USA","21","1","435325"</v>
      </c>
      <c r="E3800" s="31">
        <f t="shared" si="1144"/>
        <v>0</v>
      </c>
      <c r="F3800" s="31"/>
      <c r="G3800" s="31"/>
      <c r="H3800" s="31"/>
      <c r="I3800" s="56"/>
      <c r="J3800" s="56"/>
      <c r="K3800" s="82" t="str">
        <f t="shared" si="1153"/>
        <v>Credit Memo</v>
      </c>
      <c r="L3800" s="83" t="str">
        <f>"SC_100611"</f>
        <v>SC_100611</v>
      </c>
      <c r="M3800" s="84">
        <v>43692</v>
      </c>
      <c r="N3800" s="85">
        <f t="shared" si="1146"/>
        <v>120</v>
      </c>
      <c r="O3800" s="86">
        <f t="shared" si="1147"/>
        <v>-143.69</v>
      </c>
      <c r="P3800" s="86">
        <f t="shared" si="1148"/>
        <v>0</v>
      </c>
      <c r="Q3800" s="86">
        <f t="shared" si="1149"/>
        <v>0</v>
      </c>
      <c r="R3800" s="86">
        <f t="shared" si="1150"/>
        <v>0</v>
      </c>
      <c r="S3800" s="86">
        <f t="shared" si="1151"/>
        <v>0</v>
      </c>
      <c r="T3800" s="86">
        <f t="shared" si="1152"/>
        <v>-143.69</v>
      </c>
      <c r="U3800" s="87">
        <v>-143.69</v>
      </c>
    </row>
    <row r="3801" spans="1:22" s="30" customFormat="1" ht="24.6" hidden="1" outlineLevel="1" x14ac:dyDescent="0.55000000000000004">
      <c r="A3801" s="27" t="s">
        <v>327</v>
      </c>
      <c r="B3801" s="28"/>
      <c r="C3801" s="27"/>
      <c r="D3801" s="27" t="str">
        <f>"""NAV Direct"",""CRONUS JetCorp USA"",""21"",""1"",""435643"""</f>
        <v>"NAV Direct","CRONUS JetCorp USA","21","1","435643"</v>
      </c>
      <c r="E3801" s="31" t="str">
        <f t="shared" si="1144"/>
        <v>C100106</v>
      </c>
      <c r="F3801" s="31"/>
      <c r="G3801" s="31"/>
      <c r="H3801" s="31"/>
      <c r="I3801" s="56"/>
      <c r="J3801" s="56"/>
      <c r="K3801" s="82" t="str">
        <f t="shared" si="1153"/>
        <v>Credit Memo</v>
      </c>
      <c r="L3801" s="83" t="str">
        <f>"SC_100631"</f>
        <v>SC_100631</v>
      </c>
      <c r="M3801" s="84">
        <v>42142</v>
      </c>
      <c r="N3801" s="85">
        <f t="shared" si="1146"/>
        <v>1670</v>
      </c>
      <c r="O3801" s="86">
        <f t="shared" si="1147"/>
        <v>-154.79</v>
      </c>
      <c r="P3801" s="86">
        <f t="shared" si="1148"/>
        <v>0</v>
      </c>
      <c r="Q3801" s="86">
        <f t="shared" si="1149"/>
        <v>0</v>
      </c>
      <c r="R3801" s="86">
        <f t="shared" si="1150"/>
        <v>0</v>
      </c>
      <c r="S3801" s="86">
        <f t="shared" si="1151"/>
        <v>0</v>
      </c>
      <c r="T3801" s="86">
        <f t="shared" si="1152"/>
        <v>-154.79</v>
      </c>
      <c r="U3801" s="87">
        <v>-154.79</v>
      </c>
    </row>
    <row r="3802" spans="1:22" s="30" customFormat="1" ht="24.6" hidden="1" outlineLevel="1" x14ac:dyDescent="0.55000000000000004">
      <c r="A3802" s="27" t="s">
        <v>327</v>
      </c>
      <c r="B3802" s="28"/>
      <c r="C3802" s="27"/>
      <c r="D3802" s="27" t="str">
        <f>"""NAV Direct"",""CRONUS JetCorp USA"",""21"",""1"",""435669"""</f>
        <v>"NAV Direct","CRONUS JetCorp USA","21","1","435669"</v>
      </c>
      <c r="E3802" s="31">
        <f t="shared" si="1144"/>
        <v>0</v>
      </c>
      <c r="F3802" s="31"/>
      <c r="G3802" s="31"/>
      <c r="H3802" s="31"/>
      <c r="I3802" s="56"/>
      <c r="J3802" s="56"/>
      <c r="K3802" s="82" t="str">
        <f t="shared" si="1153"/>
        <v>Credit Memo</v>
      </c>
      <c r="L3802" s="83" t="str">
        <f>"SC_100633"</f>
        <v>SC_100633</v>
      </c>
      <c r="M3802" s="84">
        <v>42203</v>
      </c>
      <c r="N3802" s="85">
        <f t="shared" si="1146"/>
        <v>1609</v>
      </c>
      <c r="O3802" s="86">
        <f t="shared" si="1147"/>
        <v>-113.25000000000001</v>
      </c>
      <c r="P3802" s="86">
        <f t="shared" si="1148"/>
        <v>0</v>
      </c>
      <c r="Q3802" s="86">
        <f t="shared" si="1149"/>
        <v>0</v>
      </c>
      <c r="R3802" s="86">
        <f t="shared" si="1150"/>
        <v>0</v>
      </c>
      <c r="S3802" s="86">
        <f t="shared" si="1151"/>
        <v>0</v>
      </c>
      <c r="T3802" s="86">
        <f t="shared" si="1152"/>
        <v>-113.25000000000001</v>
      </c>
      <c r="U3802" s="87">
        <v>-113.25000000000001</v>
      </c>
    </row>
    <row r="3803" spans="1:22" s="22" customFormat="1" ht="20.399999999999999" collapsed="1" x14ac:dyDescent="0.45">
      <c r="A3803" s="12" t="s">
        <v>327</v>
      </c>
      <c r="B3803" s="19"/>
      <c r="C3803" s="12"/>
      <c r="D3803" s="12"/>
      <c r="E3803" s="23"/>
      <c r="F3803" s="23"/>
      <c r="G3803" s="23"/>
      <c r="H3803" s="23"/>
      <c r="I3803" s="49"/>
      <c r="J3803" s="88"/>
      <c r="K3803" s="88"/>
      <c r="L3803" s="89"/>
      <c r="M3803" s="89"/>
      <c r="N3803" s="89"/>
      <c r="O3803" s="89"/>
      <c r="P3803" s="89"/>
      <c r="Q3803" s="90"/>
      <c r="R3803" s="90"/>
      <c r="S3803" s="91"/>
      <c r="T3803" s="92"/>
      <c r="U3803" s="92"/>
    </row>
    <row r="3804" spans="1:22" s="22" customFormat="1" ht="20.399999999999999" x14ac:dyDescent="0.45">
      <c r="A3804" s="12" t="s">
        <v>327</v>
      </c>
      <c r="B3804" s="19"/>
      <c r="C3804" s="12"/>
      <c r="D3804" s="12"/>
      <c r="E3804" s="23"/>
      <c r="F3804" s="23"/>
      <c r="G3804" s="23"/>
      <c r="H3804" s="23"/>
      <c r="I3804" s="49"/>
      <c r="J3804" s="88"/>
      <c r="K3804" s="88"/>
      <c r="L3804" s="89"/>
      <c r="M3804" s="89"/>
      <c r="N3804" s="89"/>
      <c r="O3804" s="89"/>
      <c r="P3804" s="89"/>
      <c r="Q3804" s="90"/>
      <c r="R3804" s="90"/>
      <c r="S3804" s="91"/>
      <c r="T3804" s="92"/>
      <c r="U3804" s="92"/>
    </row>
    <row r="3805" spans="1:22" s="26" customFormat="1" ht="24.6" x14ac:dyDescent="0.55000000000000004">
      <c r="A3805" s="27" t="s">
        <v>327</v>
      </c>
      <c r="B3805" s="28"/>
      <c r="C3805" s="27" t="str">
        <f>"""NAV Direct"",""CRONUS JetCorp USA"",""18"",""1"",""C100107"""</f>
        <v>"NAV Direct","CRONUS JetCorp USA","18","1","C100107"</v>
      </c>
      <c r="D3805" s="27"/>
      <c r="E3805" s="28" t="str">
        <f>H3805</f>
        <v>C100107</v>
      </c>
      <c r="F3805" s="28"/>
      <c r="G3805" s="28"/>
      <c r="H3805" s="28" t="str">
        <f>"C100107"</f>
        <v>C100107</v>
      </c>
      <c r="I3805" s="116" t="str">
        <f>"C100107  -  Lexitechnology"</f>
        <v>C100107  -  Lexitechnology</v>
      </c>
      <c r="J3805" s="117" t="str">
        <f>""</f>
        <v/>
      </c>
      <c r="K3805" s="118"/>
      <c r="L3805" s="119">
        <f>SUBTOTAL(3,L3806:L3835)</f>
        <v>26</v>
      </c>
      <c r="M3805" s="118"/>
      <c r="N3805" s="118"/>
      <c r="O3805" s="120">
        <f t="shared" ref="O3805:T3805" si="1154">SUBTOTAL(9,O3806:O3835)</f>
        <v>130570.90999999999</v>
      </c>
      <c r="P3805" s="120">
        <f t="shared" si="1154"/>
        <v>0</v>
      </c>
      <c r="Q3805" s="120">
        <f t="shared" si="1154"/>
        <v>0</v>
      </c>
      <c r="R3805" s="120">
        <f t="shared" si="1154"/>
        <v>0</v>
      </c>
      <c r="S3805" s="120">
        <f t="shared" si="1154"/>
        <v>0</v>
      </c>
      <c r="T3805" s="120">
        <f t="shared" si="1154"/>
        <v>130570.90999999999</v>
      </c>
      <c r="U3805" s="81"/>
    </row>
    <row r="3806" spans="1:22" s="26" customFormat="1" ht="24.6" x14ac:dyDescent="0.55000000000000004">
      <c r="A3806" s="27" t="s">
        <v>327</v>
      </c>
      <c r="B3806" s="28"/>
      <c r="C3806" s="27" t="str">
        <f>C3805</f>
        <v>"NAV Direct","CRONUS JetCorp USA","18","1","C100107"</v>
      </c>
      <c r="D3806" s="27"/>
      <c r="E3806" s="28" t="str">
        <f>E3805</f>
        <v>C100107</v>
      </c>
      <c r="F3806" s="28"/>
      <c r="G3806" s="28"/>
      <c r="H3806" s="28"/>
      <c r="I3806" s="121" t="str">
        <f>"Contact: Narisa De la Ezma"</f>
        <v>Contact: Narisa De la Ezma</v>
      </c>
      <c r="J3806" s="121"/>
      <c r="K3806" s="122"/>
      <c r="L3806" s="123"/>
      <c r="M3806" s="123"/>
      <c r="N3806" s="124"/>
      <c r="O3806" s="124"/>
      <c r="P3806" s="123"/>
      <c r="Q3806" s="125"/>
      <c r="R3806" s="126"/>
      <c r="S3806" s="126"/>
      <c r="T3806" s="125"/>
      <c r="U3806" s="81"/>
    </row>
    <row r="3807" spans="1:22" s="26" customFormat="1" ht="24.6" x14ac:dyDescent="0.55000000000000004">
      <c r="A3807" s="27" t="s">
        <v>327</v>
      </c>
      <c r="B3807" s="28"/>
      <c r="C3807" s="27" t="str">
        <f>C3806</f>
        <v>"NAV Direct","CRONUS JetCorp USA","18","1","C100107"</v>
      </c>
      <c r="D3807" s="27"/>
      <c r="E3807" s="28" t="str">
        <f>E3806</f>
        <v>C100107</v>
      </c>
      <c r="F3807" s="28"/>
      <c r="G3807" s="28"/>
      <c r="H3807" s="28"/>
      <c r="I3807" s="121" t="str">
        <f>"Lexitechnology@Cronus.com"</f>
        <v>Lexitechnology@Cronus.com</v>
      </c>
      <c r="J3807" s="121"/>
      <c r="K3807" s="122"/>
      <c r="L3807" s="124"/>
      <c r="M3807" s="124"/>
      <c r="N3807" s="124"/>
      <c r="O3807" s="124"/>
      <c r="P3807" s="123"/>
      <c r="Q3807" s="125"/>
      <c r="R3807" s="126"/>
      <c r="S3807" s="126"/>
      <c r="T3807" s="125"/>
      <c r="U3807" s="81"/>
    </row>
    <row r="3808" spans="1:22" ht="12.75" hidden="1" customHeight="1" outlineLevel="1" x14ac:dyDescent="0.45">
      <c r="A3808" s="12" t="s">
        <v>328</v>
      </c>
      <c r="B3808" s="19"/>
      <c r="E3808" s="19"/>
      <c r="F3808" s="19"/>
      <c r="G3808" s="19"/>
      <c r="H3808" s="19"/>
      <c r="I3808" s="61"/>
      <c r="J3808" s="61"/>
      <c r="K3808" s="61"/>
      <c r="L3808" s="61"/>
      <c r="M3808" s="61"/>
      <c r="N3808" s="61"/>
      <c r="O3808" s="61"/>
      <c r="P3808" s="61"/>
      <c r="Q3808" s="61"/>
      <c r="R3808" s="61"/>
      <c r="S3808" s="61"/>
      <c r="T3808" s="61"/>
      <c r="U3808" s="61"/>
      <c r="V3808" s="21"/>
    </row>
    <row r="3809" spans="1:21" s="30" customFormat="1" ht="24.6" hidden="1" outlineLevel="1" x14ac:dyDescent="0.55000000000000004">
      <c r="A3809" s="27" t="s">
        <v>327</v>
      </c>
      <c r="B3809" s="28"/>
      <c r="C3809" s="27"/>
      <c r="D3809" s="27" t="str">
        <f>"""NAV Direct"",""CRONUS JetCorp USA"",""21"",""1"",""190436"""</f>
        <v>"NAV Direct","CRONUS JetCorp USA","21","1","190436"</v>
      </c>
      <c r="E3809" s="31" t="str">
        <f t="shared" ref="E3809:E3834" si="1155">E3807</f>
        <v>C100107</v>
      </c>
      <c r="F3809" s="31"/>
      <c r="G3809" s="31"/>
      <c r="H3809" s="31"/>
      <c r="I3809" s="56"/>
      <c r="J3809" s="56"/>
      <c r="K3809" s="82" t="str">
        <f t="shared" ref="K3809:K3825" si="1156">"Invoice"</f>
        <v>Invoice</v>
      </c>
      <c r="L3809" s="83" t="str">
        <f>"SI_108019"</f>
        <v>SI_108019</v>
      </c>
      <c r="M3809" s="84">
        <v>42008</v>
      </c>
      <c r="N3809" s="85">
        <f t="shared" ref="N3809:N3834" si="1157">StartDate-$M3809+1</f>
        <v>1804</v>
      </c>
      <c r="O3809" s="86">
        <f t="shared" ref="O3809:O3834" si="1158">SUM(P3809:T3809)</f>
        <v>7542.81</v>
      </c>
      <c r="P3809" s="86">
        <f t="shared" ref="P3809:P3834" si="1159">IF($M3809&gt;=$P$18,U3809,0)</f>
        <v>0</v>
      </c>
      <c r="Q3809" s="86">
        <f t="shared" ref="Q3809:Q3834" si="1160">IF(AND($M3809&gt;=$Q$16,$M3809&lt;=$Q$18),U3809,0)</f>
        <v>0</v>
      </c>
      <c r="R3809" s="86">
        <f t="shared" ref="R3809:R3834" si="1161">IF(AND($M3809&gt;=$R$16,$M3809&lt;=$R$18),U3809,0)</f>
        <v>0</v>
      </c>
      <c r="S3809" s="86">
        <f t="shared" ref="S3809:S3834" si="1162">IF(AND($M3809&gt;=$S$16,$M3809&lt;=$S$18),U3809,0)</f>
        <v>0</v>
      </c>
      <c r="T3809" s="86">
        <f t="shared" ref="T3809:T3834" si="1163">IF($M3809&lt;=$T$18,U3809,0)</f>
        <v>7542.81</v>
      </c>
      <c r="U3809" s="87">
        <v>7542.81</v>
      </c>
    </row>
    <row r="3810" spans="1:21" s="30" customFormat="1" ht="24.6" hidden="1" outlineLevel="1" x14ac:dyDescent="0.55000000000000004">
      <c r="A3810" s="27" t="s">
        <v>327</v>
      </c>
      <c r="B3810" s="28"/>
      <c r="C3810" s="27"/>
      <c r="D3810" s="27" t="str">
        <f>"""NAV Direct"",""CRONUS JetCorp USA"",""21"",""1"",""190487"""</f>
        <v>"NAV Direct","CRONUS JetCorp USA","21","1","190487"</v>
      </c>
      <c r="E3810" s="31">
        <f t="shared" si="1155"/>
        <v>0</v>
      </c>
      <c r="F3810" s="31"/>
      <c r="G3810" s="31"/>
      <c r="H3810" s="31"/>
      <c r="I3810" s="56"/>
      <c r="J3810" s="56"/>
      <c r="K3810" s="82" t="str">
        <f t="shared" si="1156"/>
        <v>Invoice</v>
      </c>
      <c r="L3810" s="83" t="str">
        <f>"SI_108020"</f>
        <v>SI_108020</v>
      </c>
      <c r="M3810" s="84">
        <v>42009</v>
      </c>
      <c r="N3810" s="85">
        <f t="shared" si="1157"/>
        <v>1803</v>
      </c>
      <c r="O3810" s="86">
        <f t="shared" si="1158"/>
        <v>7464.88</v>
      </c>
      <c r="P3810" s="86">
        <f t="shared" si="1159"/>
        <v>0</v>
      </c>
      <c r="Q3810" s="86">
        <f t="shared" si="1160"/>
        <v>0</v>
      </c>
      <c r="R3810" s="86">
        <f t="shared" si="1161"/>
        <v>0</v>
      </c>
      <c r="S3810" s="86">
        <f t="shared" si="1162"/>
        <v>0</v>
      </c>
      <c r="T3810" s="86">
        <f t="shared" si="1163"/>
        <v>7464.88</v>
      </c>
      <c r="U3810" s="87">
        <v>7464.88</v>
      </c>
    </row>
    <row r="3811" spans="1:21" s="30" customFormat="1" ht="24.6" hidden="1" outlineLevel="1" x14ac:dyDescent="0.55000000000000004">
      <c r="A3811" s="27" t="s">
        <v>327</v>
      </c>
      <c r="B3811" s="28"/>
      <c r="C3811" s="27"/>
      <c r="D3811" s="27" t="str">
        <f>"""NAV Direct"",""CRONUS JetCorp USA"",""21"",""1"",""190546"""</f>
        <v>"NAV Direct","CRONUS JetCorp USA","21","1","190546"</v>
      </c>
      <c r="E3811" s="31" t="str">
        <f t="shared" si="1155"/>
        <v>C100107</v>
      </c>
      <c r="F3811" s="31"/>
      <c r="G3811" s="31"/>
      <c r="H3811" s="31"/>
      <c r="I3811" s="56"/>
      <c r="J3811" s="56"/>
      <c r="K3811" s="82" t="str">
        <f t="shared" si="1156"/>
        <v>Invoice</v>
      </c>
      <c r="L3811" s="83" t="str">
        <f>"SI_108021"</f>
        <v>SI_108021</v>
      </c>
      <c r="M3811" s="84">
        <v>42013</v>
      </c>
      <c r="N3811" s="85">
        <f t="shared" si="1157"/>
        <v>1799</v>
      </c>
      <c r="O3811" s="86">
        <f t="shared" si="1158"/>
        <v>7620.8799999999992</v>
      </c>
      <c r="P3811" s="86">
        <f t="shared" si="1159"/>
        <v>0</v>
      </c>
      <c r="Q3811" s="86">
        <f t="shared" si="1160"/>
        <v>0</v>
      </c>
      <c r="R3811" s="86">
        <f t="shared" si="1161"/>
        <v>0</v>
      </c>
      <c r="S3811" s="86">
        <f t="shared" si="1162"/>
        <v>0</v>
      </c>
      <c r="T3811" s="86">
        <f t="shared" si="1163"/>
        <v>7620.8799999999992</v>
      </c>
      <c r="U3811" s="87">
        <v>7620.8799999999992</v>
      </c>
    </row>
    <row r="3812" spans="1:21" s="30" customFormat="1" ht="24.6" hidden="1" outlineLevel="1" x14ac:dyDescent="0.55000000000000004">
      <c r="A3812" s="27" t="s">
        <v>327</v>
      </c>
      <c r="B3812" s="28"/>
      <c r="C3812" s="27"/>
      <c r="D3812" s="27" t="str">
        <f>"""NAV Direct"",""CRONUS JetCorp USA"",""21"",""1"",""190650"""</f>
        <v>"NAV Direct","CRONUS JetCorp USA","21","1","190650"</v>
      </c>
      <c r="E3812" s="31">
        <f t="shared" si="1155"/>
        <v>0</v>
      </c>
      <c r="F3812" s="31"/>
      <c r="G3812" s="31"/>
      <c r="H3812" s="31"/>
      <c r="I3812" s="56"/>
      <c r="J3812" s="56"/>
      <c r="K3812" s="82" t="str">
        <f t="shared" si="1156"/>
        <v>Invoice</v>
      </c>
      <c r="L3812" s="83" t="str">
        <f>"SI_108023"</f>
        <v>SI_108023</v>
      </c>
      <c r="M3812" s="84">
        <v>42045</v>
      </c>
      <c r="N3812" s="85">
        <f t="shared" si="1157"/>
        <v>1767</v>
      </c>
      <c r="O3812" s="86">
        <f t="shared" si="1158"/>
        <v>7558.05</v>
      </c>
      <c r="P3812" s="86">
        <f t="shared" si="1159"/>
        <v>0</v>
      </c>
      <c r="Q3812" s="86">
        <f t="shared" si="1160"/>
        <v>0</v>
      </c>
      <c r="R3812" s="86">
        <f t="shared" si="1161"/>
        <v>0</v>
      </c>
      <c r="S3812" s="86">
        <f t="shared" si="1162"/>
        <v>0</v>
      </c>
      <c r="T3812" s="86">
        <f t="shared" si="1163"/>
        <v>7558.05</v>
      </c>
      <c r="U3812" s="87">
        <v>7558.05</v>
      </c>
    </row>
    <row r="3813" spans="1:21" s="30" customFormat="1" ht="24.6" hidden="1" outlineLevel="1" x14ac:dyDescent="0.55000000000000004">
      <c r="A3813" s="27" t="s">
        <v>327</v>
      </c>
      <c r="B3813" s="28"/>
      <c r="C3813" s="27"/>
      <c r="D3813" s="27" t="str">
        <f>"""NAV Direct"",""CRONUS JetCorp USA"",""21"",""1"",""190815"""</f>
        <v>"NAV Direct","CRONUS JetCorp USA","21","1","190815"</v>
      </c>
      <c r="E3813" s="31" t="str">
        <f t="shared" si="1155"/>
        <v>C100107</v>
      </c>
      <c r="F3813" s="31"/>
      <c r="G3813" s="31"/>
      <c r="H3813" s="31"/>
      <c r="I3813" s="56"/>
      <c r="J3813" s="56"/>
      <c r="K3813" s="82" t="str">
        <f t="shared" si="1156"/>
        <v>Invoice</v>
      </c>
      <c r="L3813" s="83" t="str">
        <f>"SI_108026"</f>
        <v>SI_108026</v>
      </c>
      <c r="M3813" s="84">
        <v>42054</v>
      </c>
      <c r="N3813" s="85">
        <f t="shared" si="1157"/>
        <v>1758</v>
      </c>
      <c r="O3813" s="86">
        <f t="shared" si="1158"/>
        <v>7635.8200000000006</v>
      </c>
      <c r="P3813" s="86">
        <f t="shared" si="1159"/>
        <v>0</v>
      </c>
      <c r="Q3813" s="86">
        <f t="shared" si="1160"/>
        <v>0</v>
      </c>
      <c r="R3813" s="86">
        <f t="shared" si="1161"/>
        <v>0</v>
      </c>
      <c r="S3813" s="86">
        <f t="shared" si="1162"/>
        <v>0</v>
      </c>
      <c r="T3813" s="86">
        <f t="shared" si="1163"/>
        <v>7635.8200000000006</v>
      </c>
      <c r="U3813" s="87">
        <v>7635.8200000000006</v>
      </c>
    </row>
    <row r="3814" spans="1:21" s="30" customFormat="1" ht="24.6" hidden="1" outlineLevel="1" x14ac:dyDescent="0.55000000000000004">
      <c r="A3814" s="27" t="s">
        <v>327</v>
      </c>
      <c r="B3814" s="28"/>
      <c r="C3814" s="27"/>
      <c r="D3814" s="27" t="str">
        <f>"""NAV Direct"",""CRONUS JetCorp USA"",""21"",""1"",""190858"""</f>
        <v>"NAV Direct","CRONUS JetCorp USA","21","1","190858"</v>
      </c>
      <c r="E3814" s="31">
        <f t="shared" si="1155"/>
        <v>0</v>
      </c>
      <c r="F3814" s="31"/>
      <c r="G3814" s="31"/>
      <c r="H3814" s="31"/>
      <c r="I3814" s="56"/>
      <c r="J3814" s="56"/>
      <c r="K3814" s="82" t="str">
        <f t="shared" si="1156"/>
        <v>Invoice</v>
      </c>
      <c r="L3814" s="83" t="str">
        <f>"SI_108027"</f>
        <v>SI_108027</v>
      </c>
      <c r="M3814" s="84">
        <v>42071</v>
      </c>
      <c r="N3814" s="85">
        <f t="shared" si="1157"/>
        <v>1741</v>
      </c>
      <c r="O3814" s="86">
        <f t="shared" si="1158"/>
        <v>7651.170000000001</v>
      </c>
      <c r="P3814" s="86">
        <f t="shared" si="1159"/>
        <v>0</v>
      </c>
      <c r="Q3814" s="86">
        <f t="shared" si="1160"/>
        <v>0</v>
      </c>
      <c r="R3814" s="86">
        <f t="shared" si="1161"/>
        <v>0</v>
      </c>
      <c r="S3814" s="86">
        <f t="shared" si="1162"/>
        <v>0</v>
      </c>
      <c r="T3814" s="86">
        <f t="shared" si="1163"/>
        <v>7651.170000000001</v>
      </c>
      <c r="U3814" s="87">
        <v>7651.170000000001</v>
      </c>
    </row>
    <row r="3815" spans="1:21" s="30" customFormat="1" ht="24.6" hidden="1" outlineLevel="1" x14ac:dyDescent="0.55000000000000004">
      <c r="A3815" s="27" t="s">
        <v>327</v>
      </c>
      <c r="B3815" s="28"/>
      <c r="C3815" s="27"/>
      <c r="D3815" s="27" t="str">
        <f>"""NAV Direct"",""CRONUS JetCorp USA"",""21"",""1"",""191023"""</f>
        <v>"NAV Direct","CRONUS JetCorp USA","21","1","191023"</v>
      </c>
      <c r="E3815" s="31" t="str">
        <f t="shared" si="1155"/>
        <v>C100107</v>
      </c>
      <c r="F3815" s="31"/>
      <c r="G3815" s="31"/>
      <c r="H3815" s="31"/>
      <c r="I3815" s="56"/>
      <c r="J3815" s="56"/>
      <c r="K3815" s="82" t="str">
        <f t="shared" si="1156"/>
        <v>Invoice</v>
      </c>
      <c r="L3815" s="83" t="str">
        <f>"SI_108030"</f>
        <v>SI_108030</v>
      </c>
      <c r="M3815" s="84">
        <v>42081</v>
      </c>
      <c r="N3815" s="85">
        <f t="shared" si="1157"/>
        <v>1731</v>
      </c>
      <c r="O3815" s="86">
        <f t="shared" si="1158"/>
        <v>7494.93</v>
      </c>
      <c r="P3815" s="86">
        <f t="shared" si="1159"/>
        <v>0</v>
      </c>
      <c r="Q3815" s="86">
        <f t="shared" si="1160"/>
        <v>0</v>
      </c>
      <c r="R3815" s="86">
        <f t="shared" si="1161"/>
        <v>0</v>
      </c>
      <c r="S3815" s="86">
        <f t="shared" si="1162"/>
        <v>0</v>
      </c>
      <c r="T3815" s="86">
        <f t="shared" si="1163"/>
        <v>7494.93</v>
      </c>
      <c r="U3815" s="87">
        <v>7494.93</v>
      </c>
    </row>
    <row r="3816" spans="1:21" s="30" customFormat="1" ht="24.6" hidden="1" outlineLevel="1" x14ac:dyDescent="0.55000000000000004">
      <c r="A3816" s="27" t="s">
        <v>327</v>
      </c>
      <c r="B3816" s="28"/>
      <c r="C3816" s="27"/>
      <c r="D3816" s="27" t="str">
        <f>"""NAV Direct"",""CRONUS JetCorp USA"",""21"",""1"",""191534"""</f>
        <v>"NAV Direct","CRONUS JetCorp USA","21","1","191534"</v>
      </c>
      <c r="E3816" s="31">
        <f t="shared" si="1155"/>
        <v>0</v>
      </c>
      <c r="F3816" s="31"/>
      <c r="G3816" s="31"/>
      <c r="H3816" s="31"/>
      <c r="I3816" s="56"/>
      <c r="J3816" s="56"/>
      <c r="K3816" s="82" t="str">
        <f t="shared" si="1156"/>
        <v>Invoice</v>
      </c>
      <c r="L3816" s="83" t="str">
        <f>"SI_108039"</f>
        <v>SI_108039</v>
      </c>
      <c r="M3816" s="84">
        <v>42162</v>
      </c>
      <c r="N3816" s="85">
        <f t="shared" si="1157"/>
        <v>1650</v>
      </c>
      <c r="O3816" s="86">
        <f t="shared" si="1158"/>
        <v>8057.7500000000009</v>
      </c>
      <c r="P3816" s="86">
        <f t="shared" si="1159"/>
        <v>0</v>
      </c>
      <c r="Q3816" s="86">
        <f t="shared" si="1160"/>
        <v>0</v>
      </c>
      <c r="R3816" s="86">
        <f t="shared" si="1161"/>
        <v>0</v>
      </c>
      <c r="S3816" s="86">
        <f t="shared" si="1162"/>
        <v>0</v>
      </c>
      <c r="T3816" s="86">
        <f t="shared" si="1163"/>
        <v>8057.7500000000009</v>
      </c>
      <c r="U3816" s="87">
        <v>8057.7500000000009</v>
      </c>
    </row>
    <row r="3817" spans="1:21" s="30" customFormat="1" ht="24.6" hidden="1" outlineLevel="1" x14ac:dyDescent="0.55000000000000004">
      <c r="A3817" s="27" t="s">
        <v>327</v>
      </c>
      <c r="B3817" s="28"/>
      <c r="C3817" s="27"/>
      <c r="D3817" s="27" t="str">
        <f>"""NAV Direct"",""CRONUS JetCorp USA"",""21"",""1"",""191705"""</f>
        <v>"NAV Direct","CRONUS JetCorp USA","21","1","191705"</v>
      </c>
      <c r="E3817" s="31" t="str">
        <f t="shared" si="1155"/>
        <v>C100107</v>
      </c>
      <c r="F3817" s="31"/>
      <c r="G3817" s="31"/>
      <c r="H3817" s="31"/>
      <c r="I3817" s="56"/>
      <c r="J3817" s="56"/>
      <c r="K3817" s="82" t="str">
        <f t="shared" si="1156"/>
        <v>Invoice</v>
      </c>
      <c r="L3817" s="83" t="str">
        <f>"SI_108042"</f>
        <v>SI_108042</v>
      </c>
      <c r="M3817" s="84">
        <v>42169</v>
      </c>
      <c r="N3817" s="85">
        <f t="shared" si="1157"/>
        <v>1643</v>
      </c>
      <c r="O3817" s="86">
        <f t="shared" si="1158"/>
        <v>7975.5899999999992</v>
      </c>
      <c r="P3817" s="86">
        <f t="shared" si="1159"/>
        <v>0</v>
      </c>
      <c r="Q3817" s="86">
        <f t="shared" si="1160"/>
        <v>0</v>
      </c>
      <c r="R3817" s="86">
        <f t="shared" si="1161"/>
        <v>0</v>
      </c>
      <c r="S3817" s="86">
        <f t="shared" si="1162"/>
        <v>0</v>
      </c>
      <c r="T3817" s="86">
        <f t="shared" si="1163"/>
        <v>7975.5899999999992</v>
      </c>
      <c r="U3817" s="87">
        <v>7975.5899999999992</v>
      </c>
    </row>
    <row r="3818" spans="1:21" s="30" customFormat="1" ht="24.6" hidden="1" outlineLevel="1" x14ac:dyDescent="0.55000000000000004">
      <c r="A3818" s="27" t="s">
        <v>327</v>
      </c>
      <c r="B3818" s="28"/>
      <c r="C3818" s="27"/>
      <c r="D3818" s="27" t="str">
        <f>"""NAV Direct"",""CRONUS JetCorp USA"",""21"",""1"",""191766"""</f>
        <v>"NAV Direct","CRONUS JetCorp USA","21","1","191766"</v>
      </c>
      <c r="E3818" s="31">
        <f t="shared" si="1155"/>
        <v>0</v>
      </c>
      <c r="F3818" s="31"/>
      <c r="G3818" s="31"/>
      <c r="H3818" s="31"/>
      <c r="I3818" s="56"/>
      <c r="J3818" s="56"/>
      <c r="K3818" s="82" t="str">
        <f t="shared" si="1156"/>
        <v>Invoice</v>
      </c>
      <c r="L3818" s="83" t="str">
        <f>"SI_108043"</f>
        <v>SI_108043</v>
      </c>
      <c r="M3818" s="84">
        <v>42178</v>
      </c>
      <c r="N3818" s="85">
        <f t="shared" si="1157"/>
        <v>1634</v>
      </c>
      <c r="O3818" s="86">
        <f t="shared" si="1158"/>
        <v>8141.46</v>
      </c>
      <c r="P3818" s="86">
        <f t="shared" si="1159"/>
        <v>0</v>
      </c>
      <c r="Q3818" s="86">
        <f t="shared" si="1160"/>
        <v>0</v>
      </c>
      <c r="R3818" s="86">
        <f t="shared" si="1161"/>
        <v>0</v>
      </c>
      <c r="S3818" s="86">
        <f t="shared" si="1162"/>
        <v>0</v>
      </c>
      <c r="T3818" s="86">
        <f t="shared" si="1163"/>
        <v>8141.46</v>
      </c>
      <c r="U3818" s="87">
        <v>8141.46</v>
      </c>
    </row>
    <row r="3819" spans="1:21" s="30" customFormat="1" ht="24.6" hidden="1" outlineLevel="1" x14ac:dyDescent="0.55000000000000004">
      <c r="A3819" s="27" t="s">
        <v>327</v>
      </c>
      <c r="B3819" s="28"/>
      <c r="C3819" s="27"/>
      <c r="D3819" s="27" t="str">
        <f>"""NAV Direct"",""CRONUS JetCorp USA"",""21"",""1"",""192404"""</f>
        <v>"NAV Direct","CRONUS JetCorp USA","21","1","192404"</v>
      </c>
      <c r="E3819" s="31" t="str">
        <f t="shared" si="1155"/>
        <v>C100107</v>
      </c>
      <c r="F3819" s="31"/>
      <c r="G3819" s="31"/>
      <c r="H3819" s="31"/>
      <c r="I3819" s="56"/>
      <c r="J3819" s="56"/>
      <c r="K3819" s="82" t="str">
        <f t="shared" si="1156"/>
        <v>Invoice</v>
      </c>
      <c r="L3819" s="83" t="str">
        <f>"SI_108053"</f>
        <v>SI_108053</v>
      </c>
      <c r="M3819" s="84">
        <v>42255</v>
      </c>
      <c r="N3819" s="85">
        <f t="shared" si="1157"/>
        <v>1557</v>
      </c>
      <c r="O3819" s="86">
        <f t="shared" si="1158"/>
        <v>7661.64</v>
      </c>
      <c r="P3819" s="86">
        <f t="shared" si="1159"/>
        <v>0</v>
      </c>
      <c r="Q3819" s="86">
        <f t="shared" si="1160"/>
        <v>0</v>
      </c>
      <c r="R3819" s="86">
        <f t="shared" si="1161"/>
        <v>0</v>
      </c>
      <c r="S3819" s="86">
        <f t="shared" si="1162"/>
        <v>0</v>
      </c>
      <c r="T3819" s="86">
        <f t="shared" si="1163"/>
        <v>7661.64</v>
      </c>
      <c r="U3819" s="87">
        <v>7661.64</v>
      </c>
    </row>
    <row r="3820" spans="1:21" s="30" customFormat="1" ht="24.6" hidden="1" outlineLevel="1" x14ac:dyDescent="0.55000000000000004">
      <c r="A3820" s="27" t="s">
        <v>327</v>
      </c>
      <c r="B3820" s="28"/>
      <c r="C3820" s="27"/>
      <c r="D3820" s="27" t="str">
        <f>"""NAV Direct"",""CRONUS JetCorp USA"",""21"",""1"",""192522"""</f>
        <v>"NAV Direct","CRONUS JetCorp USA","21","1","192522"</v>
      </c>
      <c r="E3820" s="31">
        <f t="shared" si="1155"/>
        <v>0</v>
      </c>
      <c r="F3820" s="31"/>
      <c r="G3820" s="31"/>
      <c r="H3820" s="31"/>
      <c r="I3820" s="56"/>
      <c r="J3820" s="56"/>
      <c r="K3820" s="82" t="str">
        <f t="shared" si="1156"/>
        <v>Invoice</v>
      </c>
      <c r="L3820" s="83" t="str">
        <f>"SI_108055"</f>
        <v>SI_108055</v>
      </c>
      <c r="M3820" s="84">
        <v>42264</v>
      </c>
      <c r="N3820" s="85">
        <f t="shared" si="1157"/>
        <v>1548</v>
      </c>
      <c r="O3820" s="86">
        <f t="shared" si="1158"/>
        <v>7662.61</v>
      </c>
      <c r="P3820" s="86">
        <f t="shared" si="1159"/>
        <v>0</v>
      </c>
      <c r="Q3820" s="86">
        <f t="shared" si="1160"/>
        <v>0</v>
      </c>
      <c r="R3820" s="86">
        <f t="shared" si="1161"/>
        <v>0</v>
      </c>
      <c r="S3820" s="86">
        <f t="shared" si="1162"/>
        <v>0</v>
      </c>
      <c r="T3820" s="86">
        <f t="shared" si="1163"/>
        <v>7662.61</v>
      </c>
      <c r="U3820" s="87">
        <v>7662.61</v>
      </c>
    </row>
    <row r="3821" spans="1:21" s="30" customFormat="1" ht="24.6" hidden="1" outlineLevel="1" x14ac:dyDescent="0.55000000000000004">
      <c r="A3821" s="27" t="s">
        <v>327</v>
      </c>
      <c r="B3821" s="28"/>
      <c r="C3821" s="27"/>
      <c r="D3821" s="27" t="str">
        <f>"""NAV Direct"",""CRONUS JetCorp USA"",""21"",""1"",""192587"""</f>
        <v>"NAV Direct","CRONUS JetCorp USA","21","1","192587"</v>
      </c>
      <c r="E3821" s="31" t="str">
        <f t="shared" si="1155"/>
        <v>C100107</v>
      </c>
      <c r="F3821" s="31"/>
      <c r="G3821" s="31"/>
      <c r="H3821" s="31"/>
      <c r="I3821" s="56"/>
      <c r="J3821" s="56"/>
      <c r="K3821" s="82" t="str">
        <f t="shared" si="1156"/>
        <v>Invoice</v>
      </c>
      <c r="L3821" s="83" t="str">
        <f>"SI_108056"</f>
        <v>SI_108056</v>
      </c>
      <c r="M3821" s="84">
        <v>42281</v>
      </c>
      <c r="N3821" s="85">
        <f t="shared" si="1157"/>
        <v>1531</v>
      </c>
      <c r="O3821" s="86">
        <f t="shared" si="1158"/>
        <v>7748.9500000000007</v>
      </c>
      <c r="P3821" s="86">
        <f t="shared" si="1159"/>
        <v>0</v>
      </c>
      <c r="Q3821" s="86">
        <f t="shared" si="1160"/>
        <v>0</v>
      </c>
      <c r="R3821" s="86">
        <f t="shared" si="1161"/>
        <v>0</v>
      </c>
      <c r="S3821" s="86">
        <f t="shared" si="1162"/>
        <v>0</v>
      </c>
      <c r="T3821" s="86">
        <f t="shared" si="1163"/>
        <v>7748.9500000000007</v>
      </c>
      <c r="U3821" s="87">
        <v>7748.9500000000007</v>
      </c>
    </row>
    <row r="3822" spans="1:21" s="30" customFormat="1" ht="24.6" hidden="1" outlineLevel="1" x14ac:dyDescent="0.55000000000000004">
      <c r="A3822" s="27" t="s">
        <v>327</v>
      </c>
      <c r="B3822" s="28"/>
      <c r="C3822" s="27"/>
      <c r="D3822" s="27" t="str">
        <f>"""NAV Direct"",""CRONUS JetCorp USA"",""21"",""1"",""192880"""</f>
        <v>"NAV Direct","CRONUS JetCorp USA","21","1","192880"</v>
      </c>
      <c r="E3822" s="31">
        <f t="shared" si="1155"/>
        <v>0</v>
      </c>
      <c r="F3822" s="31"/>
      <c r="G3822" s="31"/>
      <c r="H3822" s="31"/>
      <c r="I3822" s="56"/>
      <c r="J3822" s="56"/>
      <c r="K3822" s="82" t="str">
        <f t="shared" si="1156"/>
        <v>Invoice</v>
      </c>
      <c r="L3822" s="83" t="str">
        <f>"SI_108061"</f>
        <v>SI_108061</v>
      </c>
      <c r="M3822" s="84">
        <v>42317</v>
      </c>
      <c r="N3822" s="85">
        <f t="shared" si="1157"/>
        <v>1495</v>
      </c>
      <c r="O3822" s="86">
        <f t="shared" si="1158"/>
        <v>7748.74</v>
      </c>
      <c r="P3822" s="86">
        <f t="shared" si="1159"/>
        <v>0</v>
      </c>
      <c r="Q3822" s="86">
        <f t="shared" si="1160"/>
        <v>0</v>
      </c>
      <c r="R3822" s="86">
        <f t="shared" si="1161"/>
        <v>0</v>
      </c>
      <c r="S3822" s="86">
        <f t="shared" si="1162"/>
        <v>0</v>
      </c>
      <c r="T3822" s="86">
        <f t="shared" si="1163"/>
        <v>7748.74</v>
      </c>
      <c r="U3822" s="87">
        <v>7748.74</v>
      </c>
    </row>
    <row r="3823" spans="1:21" s="30" customFormat="1" ht="24.6" hidden="1" outlineLevel="1" x14ac:dyDescent="0.55000000000000004">
      <c r="A3823" s="27" t="s">
        <v>327</v>
      </c>
      <c r="B3823" s="28"/>
      <c r="C3823" s="27"/>
      <c r="D3823" s="27" t="str">
        <f>"""NAV Direct"",""CRONUS JetCorp USA"",""21"",""1"",""192994"""</f>
        <v>"NAV Direct","CRONUS JetCorp USA","21","1","192994"</v>
      </c>
      <c r="E3823" s="31" t="str">
        <f t="shared" si="1155"/>
        <v>C100107</v>
      </c>
      <c r="F3823" s="31"/>
      <c r="G3823" s="31"/>
      <c r="H3823" s="31"/>
      <c r="I3823" s="56"/>
      <c r="J3823" s="56"/>
      <c r="K3823" s="82" t="str">
        <f t="shared" si="1156"/>
        <v>Invoice</v>
      </c>
      <c r="L3823" s="83" t="str">
        <f>"SI_108063"</f>
        <v>SI_108063</v>
      </c>
      <c r="M3823" s="84">
        <v>42329</v>
      </c>
      <c r="N3823" s="85">
        <f t="shared" si="1157"/>
        <v>1483</v>
      </c>
      <c r="O3823" s="86">
        <f t="shared" si="1158"/>
        <v>7748.42</v>
      </c>
      <c r="P3823" s="86">
        <f t="shared" si="1159"/>
        <v>0</v>
      </c>
      <c r="Q3823" s="86">
        <f t="shared" si="1160"/>
        <v>0</v>
      </c>
      <c r="R3823" s="86">
        <f t="shared" si="1161"/>
        <v>0</v>
      </c>
      <c r="S3823" s="86">
        <f t="shared" si="1162"/>
        <v>0</v>
      </c>
      <c r="T3823" s="86">
        <f t="shared" si="1163"/>
        <v>7748.42</v>
      </c>
      <c r="U3823" s="87">
        <v>7748.42</v>
      </c>
    </row>
    <row r="3824" spans="1:21" s="30" customFormat="1" ht="24.6" hidden="1" outlineLevel="1" x14ac:dyDescent="0.55000000000000004">
      <c r="A3824" s="27" t="s">
        <v>327</v>
      </c>
      <c r="B3824" s="28"/>
      <c r="C3824" s="27"/>
      <c r="D3824" s="27" t="str">
        <f>"""NAV Direct"",""CRONUS JetCorp USA"",""21"",""1"",""193226"""</f>
        <v>"NAV Direct","CRONUS JetCorp USA","21","1","193226"</v>
      </c>
      <c r="E3824" s="31">
        <f t="shared" si="1155"/>
        <v>0</v>
      </c>
      <c r="F3824" s="31"/>
      <c r="G3824" s="31"/>
      <c r="H3824" s="31"/>
      <c r="I3824" s="56"/>
      <c r="J3824" s="56"/>
      <c r="K3824" s="82" t="str">
        <f t="shared" si="1156"/>
        <v>Invoice</v>
      </c>
      <c r="L3824" s="83" t="str">
        <f>"SI_108067"</f>
        <v>SI_108067</v>
      </c>
      <c r="M3824" s="84">
        <v>42356</v>
      </c>
      <c r="N3824" s="85">
        <f t="shared" si="1157"/>
        <v>1456</v>
      </c>
      <c r="O3824" s="86">
        <f t="shared" si="1158"/>
        <v>7772.16</v>
      </c>
      <c r="P3824" s="86">
        <f t="shared" si="1159"/>
        <v>0</v>
      </c>
      <c r="Q3824" s="86">
        <f t="shared" si="1160"/>
        <v>0</v>
      </c>
      <c r="R3824" s="86">
        <f t="shared" si="1161"/>
        <v>0</v>
      </c>
      <c r="S3824" s="86">
        <f t="shared" si="1162"/>
        <v>0</v>
      </c>
      <c r="T3824" s="86">
        <f t="shared" si="1163"/>
        <v>7772.16</v>
      </c>
      <c r="U3824" s="87">
        <v>7772.16</v>
      </c>
    </row>
    <row r="3825" spans="1:22" s="30" customFormat="1" ht="24.6" hidden="1" outlineLevel="1" x14ac:dyDescent="0.55000000000000004">
      <c r="A3825" s="27" t="s">
        <v>327</v>
      </c>
      <c r="B3825" s="28"/>
      <c r="C3825" s="27"/>
      <c r="D3825" s="27" t="str">
        <f>"""NAV Direct"",""CRONUS JetCorp USA"",""21"",""1"",""193285"""</f>
        <v>"NAV Direct","CRONUS JetCorp USA","21","1","193285"</v>
      </c>
      <c r="E3825" s="31" t="str">
        <f t="shared" si="1155"/>
        <v>C100107</v>
      </c>
      <c r="F3825" s="31"/>
      <c r="G3825" s="31"/>
      <c r="H3825" s="31"/>
      <c r="I3825" s="56"/>
      <c r="J3825" s="56"/>
      <c r="K3825" s="82" t="str">
        <f t="shared" si="1156"/>
        <v>Invoice</v>
      </c>
      <c r="L3825" s="83" t="str">
        <f>"SI_108068"</f>
        <v>SI_108068</v>
      </c>
      <c r="M3825" s="84">
        <v>42740</v>
      </c>
      <c r="N3825" s="85">
        <f t="shared" si="1157"/>
        <v>1072</v>
      </c>
      <c r="O3825" s="86">
        <f t="shared" si="1158"/>
        <v>7772.3899999999994</v>
      </c>
      <c r="P3825" s="86">
        <f t="shared" si="1159"/>
        <v>0</v>
      </c>
      <c r="Q3825" s="86">
        <f t="shared" si="1160"/>
        <v>0</v>
      </c>
      <c r="R3825" s="86">
        <f t="shared" si="1161"/>
        <v>0</v>
      </c>
      <c r="S3825" s="86">
        <f t="shared" si="1162"/>
        <v>0</v>
      </c>
      <c r="T3825" s="86">
        <f t="shared" si="1163"/>
        <v>7772.3899999999994</v>
      </c>
      <c r="U3825" s="87">
        <v>7772.3899999999994</v>
      </c>
    </row>
    <row r="3826" spans="1:22" s="30" customFormat="1" ht="24.6" hidden="1" outlineLevel="1" x14ac:dyDescent="0.55000000000000004">
      <c r="A3826" s="27" t="s">
        <v>327</v>
      </c>
      <c r="B3826" s="28"/>
      <c r="C3826" s="27"/>
      <c r="D3826" s="27" t="str">
        <f>"""NAV Direct"",""CRONUS JetCorp USA"",""21"",""1"",""443658"""</f>
        <v>"NAV Direct","CRONUS JetCorp USA","21","1","443658"</v>
      </c>
      <c r="E3826" s="31">
        <f t="shared" si="1155"/>
        <v>0</v>
      </c>
      <c r="F3826" s="31"/>
      <c r="G3826" s="31"/>
      <c r="H3826" s="31"/>
      <c r="I3826" s="56"/>
      <c r="J3826" s="56"/>
      <c r="K3826" s="82" t="str">
        <f t="shared" ref="K3826:K3834" si="1164">"Credit Memo"</f>
        <v>Credit Memo</v>
      </c>
      <c r="L3826" s="83" t="str">
        <f>"SC_101087"</f>
        <v>SC_101087</v>
      </c>
      <c r="M3826" s="84">
        <v>42575</v>
      </c>
      <c r="N3826" s="85">
        <f t="shared" si="1157"/>
        <v>1237</v>
      </c>
      <c r="O3826" s="86">
        <f t="shared" si="1158"/>
        <v>-79.990000000000009</v>
      </c>
      <c r="P3826" s="86">
        <f t="shared" si="1159"/>
        <v>0</v>
      </c>
      <c r="Q3826" s="86">
        <f t="shared" si="1160"/>
        <v>0</v>
      </c>
      <c r="R3826" s="86">
        <f t="shared" si="1161"/>
        <v>0</v>
      </c>
      <c r="S3826" s="86">
        <f t="shared" si="1162"/>
        <v>0</v>
      </c>
      <c r="T3826" s="86">
        <f t="shared" si="1163"/>
        <v>-79.990000000000009</v>
      </c>
      <c r="U3826" s="87">
        <v>-79.990000000000009</v>
      </c>
    </row>
    <row r="3827" spans="1:22" s="30" customFormat="1" ht="24.6" hidden="1" outlineLevel="1" x14ac:dyDescent="0.55000000000000004">
      <c r="A3827" s="27" t="s">
        <v>327</v>
      </c>
      <c r="B3827" s="28"/>
      <c r="C3827" s="27"/>
      <c r="D3827" s="27" t="str">
        <f>"""NAV Direct"",""CRONUS JetCorp USA"",""21"",""1"",""443688"""</f>
        <v>"NAV Direct","CRONUS JetCorp USA","21","1","443688"</v>
      </c>
      <c r="E3827" s="31" t="str">
        <f t="shared" si="1155"/>
        <v>C100107</v>
      </c>
      <c r="F3827" s="31"/>
      <c r="G3827" s="31"/>
      <c r="H3827" s="31"/>
      <c r="I3827" s="56"/>
      <c r="J3827" s="56"/>
      <c r="K3827" s="82" t="str">
        <f t="shared" si="1164"/>
        <v>Credit Memo</v>
      </c>
      <c r="L3827" s="83" t="str">
        <f>"SC_101091"</f>
        <v>SC_101091</v>
      </c>
      <c r="M3827" s="84">
        <v>42904</v>
      </c>
      <c r="N3827" s="85">
        <f t="shared" si="1157"/>
        <v>908</v>
      </c>
      <c r="O3827" s="86">
        <f t="shared" si="1158"/>
        <v>-79.660000000000011</v>
      </c>
      <c r="P3827" s="86">
        <f t="shared" si="1159"/>
        <v>0</v>
      </c>
      <c r="Q3827" s="86">
        <f t="shared" si="1160"/>
        <v>0</v>
      </c>
      <c r="R3827" s="86">
        <f t="shared" si="1161"/>
        <v>0</v>
      </c>
      <c r="S3827" s="86">
        <f t="shared" si="1162"/>
        <v>0</v>
      </c>
      <c r="T3827" s="86">
        <f t="shared" si="1163"/>
        <v>-79.660000000000011</v>
      </c>
      <c r="U3827" s="87">
        <v>-79.660000000000011</v>
      </c>
    </row>
    <row r="3828" spans="1:22" s="30" customFormat="1" ht="24.6" hidden="1" outlineLevel="1" x14ac:dyDescent="0.55000000000000004">
      <c r="A3828" s="27" t="s">
        <v>327</v>
      </c>
      <c r="B3828" s="28"/>
      <c r="C3828" s="27"/>
      <c r="D3828" s="27" t="str">
        <f>"""NAV Direct"",""CRONUS JetCorp USA"",""21"",""1"",""443705"""</f>
        <v>"NAV Direct","CRONUS JetCorp USA","21","1","443705"</v>
      </c>
      <c r="E3828" s="31">
        <f t="shared" si="1155"/>
        <v>0</v>
      </c>
      <c r="F3828" s="31"/>
      <c r="G3828" s="31"/>
      <c r="H3828" s="31"/>
      <c r="I3828" s="56"/>
      <c r="J3828" s="56"/>
      <c r="K3828" s="82" t="str">
        <f t="shared" si="1164"/>
        <v>Credit Memo</v>
      </c>
      <c r="L3828" s="83" t="str">
        <f>"SC_101093"</f>
        <v>SC_101093</v>
      </c>
      <c r="M3828" s="84">
        <v>42936</v>
      </c>
      <c r="N3828" s="85">
        <f t="shared" si="1157"/>
        <v>876</v>
      </c>
      <c r="O3828" s="86">
        <f t="shared" si="1158"/>
        <v>-74.09</v>
      </c>
      <c r="P3828" s="86">
        <f t="shared" si="1159"/>
        <v>0</v>
      </c>
      <c r="Q3828" s="86">
        <f t="shared" si="1160"/>
        <v>0</v>
      </c>
      <c r="R3828" s="86">
        <f t="shared" si="1161"/>
        <v>0</v>
      </c>
      <c r="S3828" s="86">
        <f t="shared" si="1162"/>
        <v>0</v>
      </c>
      <c r="T3828" s="86">
        <f t="shared" si="1163"/>
        <v>-74.09</v>
      </c>
      <c r="U3828" s="87">
        <v>-74.09</v>
      </c>
    </row>
    <row r="3829" spans="1:22" s="30" customFormat="1" ht="24.6" hidden="1" outlineLevel="1" x14ac:dyDescent="0.55000000000000004">
      <c r="A3829" s="27" t="s">
        <v>327</v>
      </c>
      <c r="B3829" s="28"/>
      <c r="C3829" s="27"/>
      <c r="D3829" s="27" t="str">
        <f>"""NAV Direct"",""CRONUS JetCorp USA"",""21"",""1"",""443724"""</f>
        <v>"NAV Direct","CRONUS JetCorp USA","21","1","443724"</v>
      </c>
      <c r="E3829" s="31" t="str">
        <f t="shared" si="1155"/>
        <v>C100107</v>
      </c>
      <c r="F3829" s="31"/>
      <c r="G3829" s="31"/>
      <c r="H3829" s="31"/>
      <c r="I3829" s="56"/>
      <c r="J3829" s="56"/>
      <c r="K3829" s="82" t="str">
        <f t="shared" si="1164"/>
        <v>Credit Memo</v>
      </c>
      <c r="L3829" s="83" t="str">
        <f>"SC_101098"</f>
        <v>SC_101098</v>
      </c>
      <c r="M3829" s="84">
        <v>43046</v>
      </c>
      <c r="N3829" s="85">
        <f t="shared" si="1157"/>
        <v>766</v>
      </c>
      <c r="O3829" s="86">
        <f t="shared" si="1158"/>
        <v>-78.77</v>
      </c>
      <c r="P3829" s="86">
        <f t="shared" si="1159"/>
        <v>0</v>
      </c>
      <c r="Q3829" s="86">
        <f t="shared" si="1160"/>
        <v>0</v>
      </c>
      <c r="R3829" s="86">
        <f t="shared" si="1161"/>
        <v>0</v>
      </c>
      <c r="S3829" s="86">
        <f t="shared" si="1162"/>
        <v>0</v>
      </c>
      <c r="T3829" s="86">
        <f t="shared" si="1163"/>
        <v>-78.77</v>
      </c>
      <c r="U3829" s="87">
        <v>-78.77</v>
      </c>
    </row>
    <row r="3830" spans="1:22" s="30" customFormat="1" ht="24.6" hidden="1" outlineLevel="1" x14ac:dyDescent="0.55000000000000004">
      <c r="A3830" s="27" t="s">
        <v>327</v>
      </c>
      <c r="B3830" s="28"/>
      <c r="C3830" s="27"/>
      <c r="D3830" s="27" t="str">
        <f>"""NAV Direct"",""CRONUS JetCorp USA"",""21"",""1"",""443777"""</f>
        <v>"NAV Direct","CRONUS JetCorp USA","21","1","443777"</v>
      </c>
      <c r="E3830" s="31">
        <f t="shared" si="1155"/>
        <v>0</v>
      </c>
      <c r="F3830" s="31"/>
      <c r="G3830" s="31"/>
      <c r="H3830" s="31"/>
      <c r="I3830" s="56"/>
      <c r="J3830" s="56"/>
      <c r="K3830" s="82" t="str">
        <f t="shared" si="1164"/>
        <v>Credit Memo</v>
      </c>
      <c r="L3830" s="83" t="str">
        <f>"SC_101103"</f>
        <v>SC_101103</v>
      </c>
      <c r="M3830" s="84">
        <v>43370</v>
      </c>
      <c r="N3830" s="85">
        <f t="shared" si="1157"/>
        <v>442</v>
      </c>
      <c r="O3830" s="86">
        <f t="shared" si="1158"/>
        <v>-72.56</v>
      </c>
      <c r="P3830" s="86">
        <f t="shared" si="1159"/>
        <v>0</v>
      </c>
      <c r="Q3830" s="86">
        <f t="shared" si="1160"/>
        <v>0</v>
      </c>
      <c r="R3830" s="86">
        <f t="shared" si="1161"/>
        <v>0</v>
      </c>
      <c r="S3830" s="86">
        <f t="shared" si="1162"/>
        <v>0</v>
      </c>
      <c r="T3830" s="86">
        <f t="shared" si="1163"/>
        <v>-72.56</v>
      </c>
      <c r="U3830" s="87">
        <v>-72.56</v>
      </c>
    </row>
    <row r="3831" spans="1:22" s="30" customFormat="1" ht="24.6" hidden="1" outlineLevel="1" x14ac:dyDescent="0.55000000000000004">
      <c r="A3831" s="27" t="s">
        <v>327</v>
      </c>
      <c r="B3831" s="28"/>
      <c r="C3831" s="27"/>
      <c r="D3831" s="27" t="str">
        <f>"""NAV Direct"",""CRONUS JetCorp USA"",""21"",""1"",""443802"""</f>
        <v>"NAV Direct","CRONUS JetCorp USA","21","1","443802"</v>
      </c>
      <c r="E3831" s="31" t="str">
        <f t="shared" si="1155"/>
        <v>C100107</v>
      </c>
      <c r="F3831" s="31"/>
      <c r="G3831" s="31"/>
      <c r="H3831" s="31"/>
      <c r="I3831" s="56"/>
      <c r="J3831" s="56"/>
      <c r="K3831" s="82" t="str">
        <f t="shared" si="1164"/>
        <v>Credit Memo</v>
      </c>
      <c r="L3831" s="83" t="str">
        <f>"SC_101105"</f>
        <v>SC_101105</v>
      </c>
      <c r="M3831" s="84">
        <v>43424</v>
      </c>
      <c r="N3831" s="85">
        <f t="shared" si="1157"/>
        <v>388</v>
      </c>
      <c r="O3831" s="86">
        <f t="shared" si="1158"/>
        <v>-73.100000000000009</v>
      </c>
      <c r="P3831" s="86">
        <f t="shared" si="1159"/>
        <v>0</v>
      </c>
      <c r="Q3831" s="86">
        <f t="shared" si="1160"/>
        <v>0</v>
      </c>
      <c r="R3831" s="86">
        <f t="shared" si="1161"/>
        <v>0</v>
      </c>
      <c r="S3831" s="86">
        <f t="shared" si="1162"/>
        <v>0</v>
      </c>
      <c r="T3831" s="86">
        <f t="shared" si="1163"/>
        <v>-73.100000000000009</v>
      </c>
      <c r="U3831" s="87">
        <v>-73.100000000000009</v>
      </c>
    </row>
    <row r="3832" spans="1:22" s="30" customFormat="1" ht="24.6" hidden="1" outlineLevel="1" x14ac:dyDescent="0.55000000000000004">
      <c r="A3832" s="27" t="s">
        <v>327</v>
      </c>
      <c r="B3832" s="28"/>
      <c r="C3832" s="27"/>
      <c r="D3832" s="27" t="str">
        <f>"""NAV Direct"",""CRONUS JetCorp USA"",""21"",""1"",""443819"""</f>
        <v>"NAV Direct","CRONUS JetCorp USA","21","1","443819"</v>
      </c>
      <c r="E3832" s="31">
        <f t="shared" si="1155"/>
        <v>0</v>
      </c>
      <c r="F3832" s="31"/>
      <c r="G3832" s="31"/>
      <c r="H3832" s="31"/>
      <c r="I3832" s="56"/>
      <c r="J3832" s="56"/>
      <c r="K3832" s="82" t="str">
        <f t="shared" si="1164"/>
        <v>Credit Memo</v>
      </c>
      <c r="L3832" s="83" t="str">
        <f>"SC_101107"</f>
        <v>SC_101107</v>
      </c>
      <c r="M3832" s="84">
        <v>43474</v>
      </c>
      <c r="N3832" s="85">
        <f t="shared" si="1157"/>
        <v>338</v>
      </c>
      <c r="O3832" s="86">
        <f t="shared" si="1158"/>
        <v>-72.460000000000008</v>
      </c>
      <c r="P3832" s="86">
        <f t="shared" si="1159"/>
        <v>0</v>
      </c>
      <c r="Q3832" s="86">
        <f t="shared" si="1160"/>
        <v>0</v>
      </c>
      <c r="R3832" s="86">
        <f t="shared" si="1161"/>
        <v>0</v>
      </c>
      <c r="S3832" s="86">
        <f t="shared" si="1162"/>
        <v>0</v>
      </c>
      <c r="T3832" s="86">
        <f t="shared" si="1163"/>
        <v>-72.460000000000008</v>
      </c>
      <c r="U3832" s="87">
        <v>-72.460000000000008</v>
      </c>
    </row>
    <row r="3833" spans="1:22" s="30" customFormat="1" ht="24.6" hidden="1" outlineLevel="1" x14ac:dyDescent="0.55000000000000004">
      <c r="A3833" s="27" t="s">
        <v>327</v>
      </c>
      <c r="B3833" s="28"/>
      <c r="C3833" s="27"/>
      <c r="D3833" s="27" t="str">
        <f>"""NAV Direct"",""CRONUS JetCorp USA"",""21"",""1"",""443949"""</f>
        <v>"NAV Direct","CRONUS JetCorp USA","21","1","443949"</v>
      </c>
      <c r="E3833" s="31" t="str">
        <f t="shared" si="1155"/>
        <v>C100107</v>
      </c>
      <c r="F3833" s="31"/>
      <c r="G3833" s="31"/>
      <c r="H3833" s="31"/>
      <c r="I3833" s="56"/>
      <c r="J3833" s="56"/>
      <c r="K3833" s="82" t="str">
        <f t="shared" si="1164"/>
        <v>Credit Memo</v>
      </c>
      <c r="L3833" s="83" t="str">
        <f>"SC_101120"</f>
        <v>SC_101120</v>
      </c>
      <c r="M3833" s="84">
        <v>42102</v>
      </c>
      <c r="N3833" s="85">
        <f t="shared" si="1157"/>
        <v>1710</v>
      </c>
      <c r="O3833" s="86">
        <f t="shared" si="1158"/>
        <v>-79</v>
      </c>
      <c r="P3833" s="86">
        <f t="shared" si="1159"/>
        <v>0</v>
      </c>
      <c r="Q3833" s="86">
        <f t="shared" si="1160"/>
        <v>0</v>
      </c>
      <c r="R3833" s="86">
        <f t="shared" si="1161"/>
        <v>0</v>
      </c>
      <c r="S3833" s="86">
        <f t="shared" si="1162"/>
        <v>0</v>
      </c>
      <c r="T3833" s="86">
        <f t="shared" si="1163"/>
        <v>-79</v>
      </c>
      <c r="U3833" s="87">
        <v>-79</v>
      </c>
    </row>
    <row r="3834" spans="1:22" s="30" customFormat="1" ht="24.6" hidden="1" outlineLevel="1" x14ac:dyDescent="0.55000000000000004">
      <c r="A3834" s="27" t="s">
        <v>327</v>
      </c>
      <c r="B3834" s="28"/>
      <c r="C3834" s="27"/>
      <c r="D3834" s="27" t="str">
        <f>"""NAV Direct"",""CRONUS JetCorp USA"",""21"",""1"",""443990"""</f>
        <v>"NAV Direct","CRONUS JetCorp USA","21","1","443990"</v>
      </c>
      <c r="E3834" s="31">
        <f t="shared" si="1155"/>
        <v>0</v>
      </c>
      <c r="F3834" s="31"/>
      <c r="G3834" s="31"/>
      <c r="H3834" s="31"/>
      <c r="I3834" s="56"/>
      <c r="J3834" s="56"/>
      <c r="K3834" s="82" t="str">
        <f t="shared" si="1164"/>
        <v>Credit Memo</v>
      </c>
      <c r="L3834" s="83" t="str">
        <f>"SC_101125"</f>
        <v>SC_101125</v>
      </c>
      <c r="M3834" s="84">
        <v>42321</v>
      </c>
      <c r="N3834" s="85">
        <f t="shared" si="1157"/>
        <v>1491</v>
      </c>
      <c r="O3834" s="86">
        <f t="shared" si="1158"/>
        <v>-77.710000000000008</v>
      </c>
      <c r="P3834" s="86">
        <f t="shared" si="1159"/>
        <v>0</v>
      </c>
      <c r="Q3834" s="86">
        <f t="shared" si="1160"/>
        <v>0</v>
      </c>
      <c r="R3834" s="86">
        <f t="shared" si="1161"/>
        <v>0</v>
      </c>
      <c r="S3834" s="86">
        <f t="shared" si="1162"/>
        <v>0</v>
      </c>
      <c r="T3834" s="86">
        <f t="shared" si="1163"/>
        <v>-77.710000000000008</v>
      </c>
      <c r="U3834" s="87">
        <v>-77.710000000000008</v>
      </c>
    </row>
    <row r="3835" spans="1:22" s="22" customFormat="1" ht="20.399999999999999" collapsed="1" x14ac:dyDescent="0.45">
      <c r="A3835" s="12" t="s">
        <v>327</v>
      </c>
      <c r="B3835" s="19"/>
      <c r="C3835" s="12"/>
      <c r="D3835" s="12"/>
      <c r="E3835" s="23"/>
      <c r="F3835" s="23"/>
      <c r="G3835" s="23"/>
      <c r="H3835" s="23"/>
      <c r="I3835" s="49"/>
      <c r="J3835" s="88"/>
      <c r="K3835" s="88"/>
      <c r="L3835" s="89"/>
      <c r="M3835" s="89"/>
      <c r="N3835" s="89"/>
      <c r="O3835" s="89"/>
      <c r="P3835" s="89"/>
      <c r="Q3835" s="90"/>
      <c r="R3835" s="90"/>
      <c r="S3835" s="91"/>
      <c r="T3835" s="92"/>
      <c r="U3835" s="92"/>
    </row>
    <row r="3836" spans="1:22" s="22" customFormat="1" ht="20.399999999999999" x14ac:dyDescent="0.45">
      <c r="A3836" s="12" t="s">
        <v>327</v>
      </c>
      <c r="B3836" s="19"/>
      <c r="C3836" s="12"/>
      <c r="D3836" s="12"/>
      <c r="E3836" s="23"/>
      <c r="F3836" s="23"/>
      <c r="G3836" s="23"/>
      <c r="H3836" s="23"/>
      <c r="I3836" s="49"/>
      <c r="J3836" s="88"/>
      <c r="K3836" s="88"/>
      <c r="L3836" s="89"/>
      <c r="M3836" s="89"/>
      <c r="N3836" s="89"/>
      <c r="O3836" s="89"/>
      <c r="P3836" s="89"/>
      <c r="Q3836" s="90"/>
      <c r="R3836" s="90"/>
      <c r="S3836" s="91"/>
      <c r="T3836" s="92"/>
      <c r="U3836" s="92"/>
    </row>
    <row r="3837" spans="1:22" s="26" customFormat="1" ht="24.6" x14ac:dyDescent="0.55000000000000004">
      <c r="A3837" s="27" t="s">
        <v>327</v>
      </c>
      <c r="B3837" s="28"/>
      <c r="C3837" s="27" t="str">
        <f>"""NAV Direct"",""CRONUS JetCorp USA"",""18"",""1"",""C100108"""</f>
        <v>"NAV Direct","CRONUS JetCorp USA","18","1","C100108"</v>
      </c>
      <c r="D3837" s="27"/>
      <c r="E3837" s="28" t="str">
        <f>H3837</f>
        <v>C100108</v>
      </c>
      <c r="F3837" s="28"/>
      <c r="G3837" s="28"/>
      <c r="H3837" s="28" t="str">
        <f>"C100108"</f>
        <v>C100108</v>
      </c>
      <c r="I3837" s="116" t="str">
        <f>"C100108  -  Kinfix Industries"</f>
        <v>C100108  -  Kinfix Industries</v>
      </c>
      <c r="J3837" s="117" t="str">
        <f>""</f>
        <v/>
      </c>
      <c r="K3837" s="118"/>
      <c r="L3837" s="119">
        <f>SUBTOTAL(3,L3838:L3900)</f>
        <v>59</v>
      </c>
      <c r="M3837" s="118"/>
      <c r="N3837" s="118"/>
      <c r="O3837" s="120">
        <f t="shared" ref="O3837:T3837" si="1165">SUBTOTAL(9,O3838:O3900)</f>
        <v>248019.72000000009</v>
      </c>
      <c r="P3837" s="120">
        <f t="shared" si="1165"/>
        <v>0</v>
      </c>
      <c r="Q3837" s="120">
        <f t="shared" si="1165"/>
        <v>16482.53</v>
      </c>
      <c r="R3837" s="120">
        <f t="shared" si="1165"/>
        <v>7073.08</v>
      </c>
      <c r="S3837" s="120">
        <f t="shared" si="1165"/>
        <v>0</v>
      </c>
      <c r="T3837" s="120">
        <f t="shared" si="1165"/>
        <v>224464.1100000001</v>
      </c>
      <c r="U3837" s="81"/>
    </row>
    <row r="3838" spans="1:22" s="26" customFormat="1" ht="24.6" x14ac:dyDescent="0.55000000000000004">
      <c r="A3838" s="27" t="s">
        <v>327</v>
      </c>
      <c r="B3838" s="28"/>
      <c r="C3838" s="27" t="str">
        <f>C3837</f>
        <v>"NAV Direct","CRONUS JetCorp USA","18","1","C100108"</v>
      </c>
      <c r="D3838" s="27"/>
      <c r="E3838" s="28" t="str">
        <f>E3837</f>
        <v>C100108</v>
      </c>
      <c r="F3838" s="28"/>
      <c r="G3838" s="28"/>
      <c r="H3838" s="28"/>
      <c r="I3838" s="121" t="str">
        <f>"Contact: Aurora White"</f>
        <v>Contact: Aurora White</v>
      </c>
      <c r="J3838" s="121"/>
      <c r="K3838" s="122"/>
      <c r="L3838" s="123"/>
      <c r="M3838" s="123"/>
      <c r="N3838" s="124"/>
      <c r="O3838" s="124"/>
      <c r="P3838" s="123"/>
      <c r="Q3838" s="125"/>
      <c r="R3838" s="126"/>
      <c r="S3838" s="126"/>
      <c r="T3838" s="125"/>
      <c r="U3838" s="81"/>
    </row>
    <row r="3839" spans="1:22" s="26" customFormat="1" ht="24.6" x14ac:dyDescent="0.55000000000000004">
      <c r="A3839" s="27" t="s">
        <v>327</v>
      </c>
      <c r="B3839" s="28"/>
      <c r="C3839" s="27" t="str">
        <f>C3838</f>
        <v>"NAV Direct","CRONUS JetCorp USA","18","1","C100108"</v>
      </c>
      <c r="D3839" s="27"/>
      <c r="E3839" s="28" t="str">
        <f>E3838</f>
        <v>C100108</v>
      </c>
      <c r="F3839" s="28"/>
      <c r="G3839" s="28"/>
      <c r="H3839" s="28"/>
      <c r="I3839" s="121" t="str">
        <f>"Kinfix Industries@Cronus.com"</f>
        <v>Kinfix Industries@Cronus.com</v>
      </c>
      <c r="J3839" s="121"/>
      <c r="K3839" s="122"/>
      <c r="L3839" s="124"/>
      <c r="M3839" s="124"/>
      <c r="N3839" s="124"/>
      <c r="O3839" s="124"/>
      <c r="P3839" s="123"/>
      <c r="Q3839" s="125"/>
      <c r="R3839" s="126"/>
      <c r="S3839" s="126"/>
      <c r="T3839" s="125"/>
      <c r="U3839" s="81"/>
    </row>
    <row r="3840" spans="1:22" ht="12.75" hidden="1" customHeight="1" outlineLevel="1" x14ac:dyDescent="0.45">
      <c r="A3840" s="12" t="s">
        <v>328</v>
      </c>
      <c r="B3840" s="19"/>
      <c r="E3840" s="19"/>
      <c r="F3840" s="19"/>
      <c r="G3840" s="19"/>
      <c r="H3840" s="19"/>
      <c r="I3840" s="61"/>
      <c r="J3840" s="61"/>
      <c r="K3840" s="61"/>
      <c r="L3840" s="61"/>
      <c r="M3840" s="61"/>
      <c r="N3840" s="61"/>
      <c r="O3840" s="61"/>
      <c r="P3840" s="61"/>
      <c r="Q3840" s="61"/>
      <c r="R3840" s="61"/>
      <c r="S3840" s="61"/>
      <c r="T3840" s="61"/>
      <c r="U3840" s="61"/>
      <c r="V3840" s="21"/>
    </row>
    <row r="3841" spans="1:21" s="30" customFormat="1" ht="24.6" hidden="1" outlineLevel="1" x14ac:dyDescent="0.55000000000000004">
      <c r="A3841" s="27" t="s">
        <v>327</v>
      </c>
      <c r="B3841" s="28"/>
      <c r="C3841" s="27"/>
      <c r="D3841" s="27" t="str">
        <f>"""NAV Direct"",""CRONUS JetCorp USA"",""21"",""1"",""178829"""</f>
        <v>"NAV Direct","CRONUS JetCorp USA","21","1","178829"</v>
      </c>
      <c r="E3841" s="31" t="str">
        <f t="shared" ref="E3841:E3872" si="1166">E3839</f>
        <v>C100108</v>
      </c>
      <c r="F3841" s="31"/>
      <c r="G3841" s="31"/>
      <c r="H3841" s="31"/>
      <c r="I3841" s="56"/>
      <c r="J3841" s="56"/>
      <c r="K3841" s="82" t="str">
        <f t="shared" ref="K3841:K3877" si="1167">"Invoice"</f>
        <v>Invoice</v>
      </c>
      <c r="L3841" s="83" t="str">
        <f>"SI_107822"</f>
        <v>SI_107822</v>
      </c>
      <c r="M3841" s="84">
        <v>42333</v>
      </c>
      <c r="N3841" s="85">
        <f t="shared" ref="N3841:N3872" si="1168">StartDate-$M3841+1</f>
        <v>1479</v>
      </c>
      <c r="O3841" s="86">
        <f t="shared" ref="O3841:O3872" si="1169">SUM(P3841:T3841)</f>
        <v>8337.81</v>
      </c>
      <c r="P3841" s="86">
        <f t="shared" ref="P3841:P3872" si="1170">IF($M3841&gt;=$P$18,U3841,0)</f>
        <v>0</v>
      </c>
      <c r="Q3841" s="86">
        <f t="shared" ref="Q3841:Q3872" si="1171">IF(AND($M3841&gt;=$Q$16,$M3841&lt;=$Q$18),U3841,0)</f>
        <v>0</v>
      </c>
      <c r="R3841" s="86">
        <f t="shared" ref="R3841:R3872" si="1172">IF(AND($M3841&gt;=$R$16,$M3841&lt;=$R$18),U3841,0)</f>
        <v>0</v>
      </c>
      <c r="S3841" s="86">
        <f t="shared" ref="S3841:S3872" si="1173">IF(AND($M3841&gt;=$S$16,$M3841&lt;=$S$18),U3841,0)</f>
        <v>0</v>
      </c>
      <c r="T3841" s="86">
        <f t="shared" ref="T3841:T3872" si="1174">IF($M3841&lt;=$T$18,U3841,0)</f>
        <v>8337.81</v>
      </c>
      <c r="U3841" s="87">
        <v>8337.81</v>
      </c>
    </row>
    <row r="3842" spans="1:21" s="30" customFormat="1" ht="24.6" hidden="1" outlineLevel="1" x14ac:dyDescent="0.55000000000000004">
      <c r="A3842" s="27" t="s">
        <v>327</v>
      </c>
      <c r="B3842" s="28"/>
      <c r="C3842" s="27"/>
      <c r="D3842" s="27" t="str">
        <f>"""NAV Direct"",""CRONUS JetCorp USA"",""21"",""1"",""415059"""</f>
        <v>"NAV Direct","CRONUS JetCorp USA","21","1","415059"</v>
      </c>
      <c r="E3842" s="31">
        <f t="shared" si="1166"/>
        <v>0</v>
      </c>
      <c r="F3842" s="31"/>
      <c r="G3842" s="31"/>
      <c r="H3842" s="31"/>
      <c r="I3842" s="56"/>
      <c r="J3842" s="56"/>
      <c r="K3842" s="82" t="str">
        <f t="shared" si="1167"/>
        <v>Invoice</v>
      </c>
      <c r="L3842" s="83" t="str">
        <f>"SI_112547"</f>
        <v>SI_112547</v>
      </c>
      <c r="M3842" s="84">
        <v>42488</v>
      </c>
      <c r="N3842" s="85">
        <f t="shared" si="1168"/>
        <v>1324</v>
      </c>
      <c r="O3842" s="86">
        <f t="shared" si="1169"/>
        <v>6491.09</v>
      </c>
      <c r="P3842" s="86">
        <f t="shared" si="1170"/>
        <v>0</v>
      </c>
      <c r="Q3842" s="86">
        <f t="shared" si="1171"/>
        <v>0</v>
      </c>
      <c r="R3842" s="86">
        <f t="shared" si="1172"/>
        <v>0</v>
      </c>
      <c r="S3842" s="86">
        <f t="shared" si="1173"/>
        <v>0</v>
      </c>
      <c r="T3842" s="86">
        <f t="shared" si="1174"/>
        <v>6491.09</v>
      </c>
      <c r="U3842" s="87">
        <v>6491.09</v>
      </c>
    </row>
    <row r="3843" spans="1:21" s="30" customFormat="1" ht="24.6" hidden="1" outlineLevel="1" x14ac:dyDescent="0.55000000000000004">
      <c r="A3843" s="27" t="s">
        <v>327</v>
      </c>
      <c r="B3843" s="28"/>
      <c r="C3843" s="27"/>
      <c r="D3843" s="27" t="str">
        <f>"""NAV Direct"",""CRONUS JetCorp USA"",""21"",""1"",""415215"""</f>
        <v>"NAV Direct","CRONUS JetCorp USA","21","1","415215"</v>
      </c>
      <c r="E3843" s="31" t="str">
        <f t="shared" si="1166"/>
        <v>C100108</v>
      </c>
      <c r="F3843" s="31"/>
      <c r="G3843" s="31"/>
      <c r="H3843" s="31"/>
      <c r="I3843" s="56"/>
      <c r="J3843" s="56"/>
      <c r="K3843" s="82" t="str">
        <f t="shared" si="1167"/>
        <v>Invoice</v>
      </c>
      <c r="L3843" s="83" t="str">
        <f>"SI_112551"</f>
        <v>SI_112551</v>
      </c>
      <c r="M3843" s="84">
        <v>42507</v>
      </c>
      <c r="N3843" s="85">
        <f t="shared" si="1168"/>
        <v>1305</v>
      </c>
      <c r="O3843" s="86">
        <f t="shared" si="1169"/>
        <v>6491.0499999999993</v>
      </c>
      <c r="P3843" s="86">
        <f t="shared" si="1170"/>
        <v>0</v>
      </c>
      <c r="Q3843" s="86">
        <f t="shared" si="1171"/>
        <v>0</v>
      </c>
      <c r="R3843" s="86">
        <f t="shared" si="1172"/>
        <v>0</v>
      </c>
      <c r="S3843" s="86">
        <f t="shared" si="1173"/>
        <v>0</v>
      </c>
      <c r="T3843" s="86">
        <f t="shared" si="1174"/>
        <v>6491.0499999999993</v>
      </c>
      <c r="U3843" s="87">
        <v>6491.0499999999993</v>
      </c>
    </row>
    <row r="3844" spans="1:21" s="30" customFormat="1" ht="24.6" hidden="1" outlineLevel="1" x14ac:dyDescent="0.55000000000000004">
      <c r="A3844" s="27" t="s">
        <v>327</v>
      </c>
      <c r="B3844" s="28"/>
      <c r="C3844" s="27"/>
      <c r="D3844" s="27" t="str">
        <f>"""NAV Direct"",""CRONUS JetCorp USA"",""21"",""1"",""415293"""</f>
        <v>"NAV Direct","CRONUS JetCorp USA","21","1","415293"</v>
      </c>
      <c r="E3844" s="31">
        <f t="shared" si="1166"/>
        <v>0</v>
      </c>
      <c r="F3844" s="31"/>
      <c r="G3844" s="31"/>
      <c r="H3844" s="31"/>
      <c r="I3844" s="56"/>
      <c r="J3844" s="56"/>
      <c r="K3844" s="82" t="str">
        <f t="shared" si="1167"/>
        <v>Invoice</v>
      </c>
      <c r="L3844" s="83" t="str">
        <f>"SI_112553"</f>
        <v>SI_112553</v>
      </c>
      <c r="M3844" s="84">
        <v>42518</v>
      </c>
      <c r="N3844" s="85">
        <f t="shared" si="1168"/>
        <v>1294</v>
      </c>
      <c r="O3844" s="86">
        <f t="shared" si="1169"/>
        <v>6491.13</v>
      </c>
      <c r="P3844" s="86">
        <f t="shared" si="1170"/>
        <v>0</v>
      </c>
      <c r="Q3844" s="86">
        <f t="shared" si="1171"/>
        <v>0</v>
      </c>
      <c r="R3844" s="86">
        <f t="shared" si="1172"/>
        <v>0</v>
      </c>
      <c r="S3844" s="86">
        <f t="shared" si="1173"/>
        <v>0</v>
      </c>
      <c r="T3844" s="86">
        <f t="shared" si="1174"/>
        <v>6491.13</v>
      </c>
      <c r="U3844" s="87">
        <v>6491.13</v>
      </c>
    </row>
    <row r="3845" spans="1:21" s="30" customFormat="1" ht="24.6" hidden="1" outlineLevel="1" x14ac:dyDescent="0.55000000000000004">
      <c r="A3845" s="27" t="s">
        <v>327</v>
      </c>
      <c r="B3845" s="28"/>
      <c r="C3845" s="27"/>
      <c r="D3845" s="27" t="str">
        <f>"""NAV Direct"",""CRONUS JetCorp USA"",""21"",""1"",""415945"""</f>
        <v>"NAV Direct","CRONUS JetCorp USA","21","1","415945"</v>
      </c>
      <c r="E3845" s="31" t="str">
        <f t="shared" si="1166"/>
        <v>C100108</v>
      </c>
      <c r="F3845" s="31"/>
      <c r="G3845" s="31"/>
      <c r="H3845" s="31"/>
      <c r="I3845" s="56"/>
      <c r="J3845" s="56"/>
      <c r="K3845" s="82" t="str">
        <f t="shared" si="1167"/>
        <v>Invoice</v>
      </c>
      <c r="L3845" s="83" t="str">
        <f>"SI_112567"</f>
        <v>SI_112567</v>
      </c>
      <c r="M3845" s="84">
        <v>42604</v>
      </c>
      <c r="N3845" s="85">
        <f t="shared" si="1168"/>
        <v>1208</v>
      </c>
      <c r="O3845" s="86">
        <f t="shared" si="1169"/>
        <v>6541.9</v>
      </c>
      <c r="P3845" s="86">
        <f t="shared" si="1170"/>
        <v>0</v>
      </c>
      <c r="Q3845" s="86">
        <f t="shared" si="1171"/>
        <v>0</v>
      </c>
      <c r="R3845" s="86">
        <f t="shared" si="1172"/>
        <v>0</v>
      </c>
      <c r="S3845" s="86">
        <f t="shared" si="1173"/>
        <v>0</v>
      </c>
      <c r="T3845" s="86">
        <f t="shared" si="1174"/>
        <v>6541.9</v>
      </c>
      <c r="U3845" s="87">
        <v>6541.9</v>
      </c>
    </row>
    <row r="3846" spans="1:21" s="30" customFormat="1" ht="24.6" hidden="1" outlineLevel="1" x14ac:dyDescent="0.55000000000000004">
      <c r="A3846" s="27" t="s">
        <v>327</v>
      </c>
      <c r="B3846" s="28"/>
      <c r="C3846" s="27"/>
      <c r="D3846" s="27" t="str">
        <f>"""NAV Direct"",""CRONUS JetCorp USA"",""21"",""1"",""416031"""</f>
        <v>"NAV Direct","CRONUS JetCorp USA","21","1","416031"</v>
      </c>
      <c r="E3846" s="31">
        <f t="shared" si="1166"/>
        <v>0</v>
      </c>
      <c r="F3846" s="31"/>
      <c r="G3846" s="31"/>
      <c r="H3846" s="31"/>
      <c r="I3846" s="56"/>
      <c r="J3846" s="56"/>
      <c r="K3846" s="82" t="str">
        <f t="shared" si="1167"/>
        <v>Invoice</v>
      </c>
      <c r="L3846" s="83" t="str">
        <f>"SI_112569"</f>
        <v>SI_112569</v>
      </c>
      <c r="M3846" s="84">
        <v>42605</v>
      </c>
      <c r="N3846" s="85">
        <f t="shared" si="1168"/>
        <v>1207</v>
      </c>
      <c r="O3846" s="86">
        <f t="shared" si="1169"/>
        <v>6541.85</v>
      </c>
      <c r="P3846" s="86">
        <f t="shared" si="1170"/>
        <v>0</v>
      </c>
      <c r="Q3846" s="86">
        <f t="shared" si="1171"/>
        <v>0</v>
      </c>
      <c r="R3846" s="86">
        <f t="shared" si="1172"/>
        <v>0</v>
      </c>
      <c r="S3846" s="86">
        <f t="shared" si="1173"/>
        <v>0</v>
      </c>
      <c r="T3846" s="86">
        <f t="shared" si="1174"/>
        <v>6541.85</v>
      </c>
      <c r="U3846" s="87">
        <v>6541.85</v>
      </c>
    </row>
    <row r="3847" spans="1:21" s="30" customFormat="1" ht="24.6" hidden="1" outlineLevel="1" x14ac:dyDescent="0.55000000000000004">
      <c r="A3847" s="27" t="s">
        <v>327</v>
      </c>
      <c r="B3847" s="28"/>
      <c r="C3847" s="27"/>
      <c r="D3847" s="27" t="str">
        <f>"""NAV Direct"",""CRONUS JetCorp USA"",""21"",""1"",""416201"""</f>
        <v>"NAV Direct","CRONUS JetCorp USA","21","1","416201"</v>
      </c>
      <c r="E3847" s="31" t="str">
        <f t="shared" si="1166"/>
        <v>C100108</v>
      </c>
      <c r="F3847" s="31"/>
      <c r="G3847" s="31"/>
      <c r="H3847" s="31"/>
      <c r="I3847" s="56"/>
      <c r="J3847" s="56"/>
      <c r="K3847" s="82" t="str">
        <f t="shared" si="1167"/>
        <v>Invoice</v>
      </c>
      <c r="L3847" s="83" t="str">
        <f>"SI_112573"</f>
        <v>SI_112573</v>
      </c>
      <c r="M3847" s="84">
        <v>42632</v>
      </c>
      <c r="N3847" s="85">
        <f t="shared" si="1168"/>
        <v>1180</v>
      </c>
      <c r="O3847" s="86">
        <f t="shared" si="1169"/>
        <v>6666.170000000001</v>
      </c>
      <c r="P3847" s="86">
        <f t="shared" si="1170"/>
        <v>0</v>
      </c>
      <c r="Q3847" s="86">
        <f t="shared" si="1171"/>
        <v>0</v>
      </c>
      <c r="R3847" s="86">
        <f t="shared" si="1172"/>
        <v>0</v>
      </c>
      <c r="S3847" s="86">
        <f t="shared" si="1173"/>
        <v>0</v>
      </c>
      <c r="T3847" s="86">
        <f t="shared" si="1174"/>
        <v>6666.170000000001</v>
      </c>
      <c r="U3847" s="87">
        <v>6666.170000000001</v>
      </c>
    </row>
    <row r="3848" spans="1:21" s="30" customFormat="1" ht="24.6" hidden="1" outlineLevel="1" x14ac:dyDescent="0.55000000000000004">
      <c r="A3848" s="27" t="s">
        <v>327</v>
      </c>
      <c r="B3848" s="28"/>
      <c r="C3848" s="27"/>
      <c r="D3848" s="27" t="str">
        <f>"""NAV Direct"",""CRONUS JetCorp USA"",""21"",""1"",""416236"""</f>
        <v>"NAV Direct","CRONUS JetCorp USA","21","1","416236"</v>
      </c>
      <c r="E3848" s="31">
        <f t="shared" si="1166"/>
        <v>0</v>
      </c>
      <c r="F3848" s="31"/>
      <c r="G3848" s="31"/>
      <c r="H3848" s="31"/>
      <c r="I3848" s="56"/>
      <c r="J3848" s="56"/>
      <c r="K3848" s="82" t="str">
        <f t="shared" si="1167"/>
        <v>Invoice</v>
      </c>
      <c r="L3848" s="83" t="str">
        <f>"SI_112574"</f>
        <v>SI_112574</v>
      </c>
      <c r="M3848" s="84">
        <v>42639</v>
      </c>
      <c r="N3848" s="85">
        <f t="shared" si="1168"/>
        <v>1173</v>
      </c>
      <c r="O3848" s="86">
        <f t="shared" si="1169"/>
        <v>6666.24</v>
      </c>
      <c r="P3848" s="86">
        <f t="shared" si="1170"/>
        <v>0</v>
      </c>
      <c r="Q3848" s="86">
        <f t="shared" si="1171"/>
        <v>0</v>
      </c>
      <c r="R3848" s="86">
        <f t="shared" si="1172"/>
        <v>0</v>
      </c>
      <c r="S3848" s="86">
        <f t="shared" si="1173"/>
        <v>0</v>
      </c>
      <c r="T3848" s="86">
        <f t="shared" si="1174"/>
        <v>6666.24</v>
      </c>
      <c r="U3848" s="87">
        <v>6666.24</v>
      </c>
    </row>
    <row r="3849" spans="1:21" s="30" customFormat="1" ht="24.6" hidden="1" outlineLevel="1" x14ac:dyDescent="0.55000000000000004">
      <c r="A3849" s="27" t="s">
        <v>327</v>
      </c>
      <c r="B3849" s="28"/>
      <c r="C3849" s="27"/>
      <c r="D3849" s="27" t="str">
        <f>"""NAV Direct"",""CRONUS JetCorp USA"",""21"",""1"",""416465"""</f>
        <v>"NAV Direct","CRONUS JetCorp USA","21","1","416465"</v>
      </c>
      <c r="E3849" s="31" t="str">
        <f t="shared" si="1166"/>
        <v>C100108</v>
      </c>
      <c r="F3849" s="31"/>
      <c r="G3849" s="31"/>
      <c r="H3849" s="31"/>
      <c r="I3849" s="56"/>
      <c r="J3849" s="56"/>
      <c r="K3849" s="82" t="str">
        <f t="shared" si="1167"/>
        <v>Invoice</v>
      </c>
      <c r="L3849" s="83" t="str">
        <f>"SI_112579"</f>
        <v>SI_112579</v>
      </c>
      <c r="M3849" s="84">
        <v>42665</v>
      </c>
      <c r="N3849" s="85">
        <f t="shared" si="1168"/>
        <v>1147</v>
      </c>
      <c r="O3849" s="86">
        <f t="shared" si="1169"/>
        <v>6839.55</v>
      </c>
      <c r="P3849" s="86">
        <f t="shared" si="1170"/>
        <v>0</v>
      </c>
      <c r="Q3849" s="86">
        <f t="shared" si="1171"/>
        <v>0</v>
      </c>
      <c r="R3849" s="86">
        <f t="shared" si="1172"/>
        <v>0</v>
      </c>
      <c r="S3849" s="86">
        <f t="shared" si="1173"/>
        <v>0</v>
      </c>
      <c r="T3849" s="86">
        <f t="shared" si="1174"/>
        <v>6839.55</v>
      </c>
      <c r="U3849" s="87">
        <v>6839.55</v>
      </c>
    </row>
    <row r="3850" spans="1:21" s="30" customFormat="1" ht="24.6" hidden="1" outlineLevel="1" x14ac:dyDescent="0.55000000000000004">
      <c r="A3850" s="27" t="s">
        <v>327</v>
      </c>
      <c r="B3850" s="28"/>
      <c r="C3850" s="27"/>
      <c r="D3850" s="27" t="str">
        <f>"""NAV Direct"",""CRONUS JetCorp USA"",""21"",""1"",""416716"""</f>
        <v>"NAV Direct","CRONUS JetCorp USA","21","1","416716"</v>
      </c>
      <c r="E3850" s="31">
        <f t="shared" si="1166"/>
        <v>0</v>
      </c>
      <c r="F3850" s="31"/>
      <c r="G3850" s="31"/>
      <c r="H3850" s="31"/>
      <c r="I3850" s="56"/>
      <c r="J3850" s="56"/>
      <c r="K3850" s="82" t="str">
        <f t="shared" si="1167"/>
        <v>Invoice</v>
      </c>
      <c r="L3850" s="83" t="str">
        <f>"SI_112585"</f>
        <v>SI_112585</v>
      </c>
      <c r="M3850" s="84">
        <v>42708</v>
      </c>
      <c r="N3850" s="85">
        <f t="shared" si="1168"/>
        <v>1104</v>
      </c>
      <c r="O3850" s="86">
        <f t="shared" si="1169"/>
        <v>6798.46</v>
      </c>
      <c r="P3850" s="86">
        <f t="shared" si="1170"/>
        <v>0</v>
      </c>
      <c r="Q3850" s="86">
        <f t="shared" si="1171"/>
        <v>0</v>
      </c>
      <c r="R3850" s="86">
        <f t="shared" si="1172"/>
        <v>0</v>
      </c>
      <c r="S3850" s="86">
        <f t="shared" si="1173"/>
        <v>0</v>
      </c>
      <c r="T3850" s="86">
        <f t="shared" si="1174"/>
        <v>6798.46</v>
      </c>
      <c r="U3850" s="87">
        <v>6798.46</v>
      </c>
    </row>
    <row r="3851" spans="1:21" s="30" customFormat="1" ht="24.6" hidden="1" outlineLevel="1" x14ac:dyDescent="0.55000000000000004">
      <c r="A3851" s="27" t="s">
        <v>327</v>
      </c>
      <c r="B3851" s="28"/>
      <c r="C3851" s="27"/>
      <c r="D3851" s="27" t="str">
        <f>"""NAV Direct"",""CRONUS JetCorp USA"",""21"",""1"",""417029"""</f>
        <v>"NAV Direct","CRONUS JetCorp USA","21","1","417029"</v>
      </c>
      <c r="E3851" s="31" t="str">
        <f t="shared" si="1166"/>
        <v>C100108</v>
      </c>
      <c r="F3851" s="31"/>
      <c r="G3851" s="31"/>
      <c r="H3851" s="31"/>
      <c r="I3851" s="56"/>
      <c r="J3851" s="56"/>
      <c r="K3851" s="82" t="str">
        <f t="shared" si="1167"/>
        <v>Invoice</v>
      </c>
      <c r="L3851" s="83" t="str">
        <f>"SI_112593"</f>
        <v>SI_112593</v>
      </c>
      <c r="M3851" s="84">
        <v>42734</v>
      </c>
      <c r="N3851" s="85">
        <f t="shared" si="1168"/>
        <v>1078</v>
      </c>
      <c r="O3851" s="86">
        <f t="shared" si="1169"/>
        <v>6805.31</v>
      </c>
      <c r="P3851" s="86">
        <f t="shared" si="1170"/>
        <v>0</v>
      </c>
      <c r="Q3851" s="86">
        <f t="shared" si="1171"/>
        <v>0</v>
      </c>
      <c r="R3851" s="86">
        <f t="shared" si="1172"/>
        <v>0</v>
      </c>
      <c r="S3851" s="86">
        <f t="shared" si="1173"/>
        <v>0</v>
      </c>
      <c r="T3851" s="86">
        <f t="shared" si="1174"/>
        <v>6805.31</v>
      </c>
      <c r="U3851" s="87">
        <v>6805.31</v>
      </c>
    </row>
    <row r="3852" spans="1:21" s="30" customFormat="1" ht="24.6" hidden="1" outlineLevel="1" x14ac:dyDescent="0.55000000000000004">
      <c r="A3852" s="27" t="s">
        <v>327</v>
      </c>
      <c r="B3852" s="28"/>
      <c r="C3852" s="27"/>
      <c r="D3852" s="27" t="str">
        <f>"""NAV Direct"",""CRONUS JetCorp USA"",""21"",""1"",""417308"""</f>
        <v>"NAV Direct","CRONUS JetCorp USA","21","1","417308"</v>
      </c>
      <c r="E3852" s="31">
        <f t="shared" si="1166"/>
        <v>0</v>
      </c>
      <c r="F3852" s="31"/>
      <c r="G3852" s="31"/>
      <c r="H3852" s="31"/>
      <c r="I3852" s="56"/>
      <c r="J3852" s="56"/>
      <c r="K3852" s="82" t="str">
        <f t="shared" si="1167"/>
        <v>Invoice</v>
      </c>
      <c r="L3852" s="83" t="str">
        <f>"SI_112600"</f>
        <v>SI_112600</v>
      </c>
      <c r="M3852" s="84">
        <v>42795</v>
      </c>
      <c r="N3852" s="85">
        <f t="shared" si="1168"/>
        <v>1017</v>
      </c>
      <c r="O3852" s="86">
        <f t="shared" si="1169"/>
        <v>7575.7099999999991</v>
      </c>
      <c r="P3852" s="86">
        <f t="shared" si="1170"/>
        <v>0</v>
      </c>
      <c r="Q3852" s="86">
        <f t="shared" si="1171"/>
        <v>0</v>
      </c>
      <c r="R3852" s="86">
        <f t="shared" si="1172"/>
        <v>0</v>
      </c>
      <c r="S3852" s="86">
        <f t="shared" si="1173"/>
        <v>0</v>
      </c>
      <c r="T3852" s="86">
        <f t="shared" si="1174"/>
        <v>7575.7099999999991</v>
      </c>
      <c r="U3852" s="87">
        <v>7575.7099999999991</v>
      </c>
    </row>
    <row r="3853" spans="1:21" s="30" customFormat="1" ht="24.6" hidden="1" outlineLevel="1" x14ac:dyDescent="0.55000000000000004">
      <c r="A3853" s="27" t="s">
        <v>327</v>
      </c>
      <c r="B3853" s="28"/>
      <c r="C3853" s="27"/>
      <c r="D3853" s="27" t="str">
        <f>"""NAV Direct"",""CRONUS JetCorp USA"",""21"",""1"",""417406"""</f>
        <v>"NAV Direct","CRONUS JetCorp USA","21","1","417406"</v>
      </c>
      <c r="E3853" s="31" t="str">
        <f t="shared" si="1166"/>
        <v>C100108</v>
      </c>
      <c r="F3853" s="31"/>
      <c r="G3853" s="31"/>
      <c r="H3853" s="31"/>
      <c r="I3853" s="56"/>
      <c r="J3853" s="56"/>
      <c r="K3853" s="82" t="str">
        <f t="shared" si="1167"/>
        <v>Invoice</v>
      </c>
      <c r="L3853" s="83" t="str">
        <f>"SI_112602"</f>
        <v>SI_112602</v>
      </c>
      <c r="M3853" s="84">
        <v>42794</v>
      </c>
      <c r="N3853" s="85">
        <f t="shared" si="1168"/>
        <v>1018</v>
      </c>
      <c r="O3853" s="86">
        <f t="shared" si="1169"/>
        <v>7575.67</v>
      </c>
      <c r="P3853" s="86">
        <f t="shared" si="1170"/>
        <v>0</v>
      </c>
      <c r="Q3853" s="86">
        <f t="shared" si="1171"/>
        <v>0</v>
      </c>
      <c r="R3853" s="86">
        <f t="shared" si="1172"/>
        <v>0</v>
      </c>
      <c r="S3853" s="86">
        <f t="shared" si="1173"/>
        <v>0</v>
      </c>
      <c r="T3853" s="86">
        <f t="shared" si="1174"/>
        <v>7575.67</v>
      </c>
      <c r="U3853" s="87">
        <v>7575.67</v>
      </c>
    </row>
    <row r="3854" spans="1:21" s="30" customFormat="1" ht="24.6" hidden="1" outlineLevel="1" x14ac:dyDescent="0.55000000000000004">
      <c r="A3854" s="27" t="s">
        <v>327</v>
      </c>
      <c r="B3854" s="28"/>
      <c r="C3854" s="27"/>
      <c r="D3854" s="27" t="str">
        <f>"""NAV Direct"",""CRONUS JetCorp USA"",""21"",""1"",""417795"""</f>
        <v>"NAV Direct","CRONUS JetCorp USA","21","1","417795"</v>
      </c>
      <c r="E3854" s="31">
        <f t="shared" si="1166"/>
        <v>0</v>
      </c>
      <c r="F3854" s="31"/>
      <c r="G3854" s="31"/>
      <c r="H3854" s="31"/>
      <c r="I3854" s="56"/>
      <c r="J3854" s="56"/>
      <c r="K3854" s="82" t="str">
        <f t="shared" si="1167"/>
        <v>Invoice</v>
      </c>
      <c r="L3854" s="83" t="str">
        <f>"SI_112610"</f>
        <v>SI_112610</v>
      </c>
      <c r="M3854" s="84">
        <v>42829</v>
      </c>
      <c r="N3854" s="85">
        <f t="shared" si="1168"/>
        <v>983</v>
      </c>
      <c r="O3854" s="86">
        <f t="shared" si="1169"/>
        <v>9848.33</v>
      </c>
      <c r="P3854" s="86">
        <f t="shared" si="1170"/>
        <v>0</v>
      </c>
      <c r="Q3854" s="86">
        <f t="shared" si="1171"/>
        <v>0</v>
      </c>
      <c r="R3854" s="86">
        <f t="shared" si="1172"/>
        <v>0</v>
      </c>
      <c r="S3854" s="86">
        <f t="shared" si="1173"/>
        <v>0</v>
      </c>
      <c r="T3854" s="86">
        <f t="shared" si="1174"/>
        <v>9848.33</v>
      </c>
      <c r="U3854" s="87">
        <v>9848.33</v>
      </c>
    </row>
    <row r="3855" spans="1:21" s="30" customFormat="1" ht="24.6" hidden="1" outlineLevel="1" x14ac:dyDescent="0.55000000000000004">
      <c r="A3855" s="27" t="s">
        <v>327</v>
      </c>
      <c r="B3855" s="28"/>
      <c r="C3855" s="27"/>
      <c r="D3855" s="27" t="str">
        <f>"""NAV Direct"",""CRONUS JetCorp USA"",""21"",""1"",""417881"""</f>
        <v>"NAV Direct","CRONUS JetCorp USA","21","1","417881"</v>
      </c>
      <c r="E3855" s="31" t="str">
        <f t="shared" si="1166"/>
        <v>C100108</v>
      </c>
      <c r="F3855" s="31"/>
      <c r="G3855" s="31"/>
      <c r="H3855" s="31"/>
      <c r="I3855" s="56"/>
      <c r="J3855" s="56"/>
      <c r="K3855" s="82" t="str">
        <f t="shared" si="1167"/>
        <v>Invoice</v>
      </c>
      <c r="L3855" s="83" t="str">
        <f>"SI_112612"</f>
        <v>SI_112612</v>
      </c>
      <c r="M3855" s="84">
        <v>42847</v>
      </c>
      <c r="N3855" s="85">
        <f t="shared" si="1168"/>
        <v>965</v>
      </c>
      <c r="O3855" s="86">
        <f t="shared" si="1169"/>
        <v>7575.52</v>
      </c>
      <c r="P3855" s="86">
        <f t="shared" si="1170"/>
        <v>0</v>
      </c>
      <c r="Q3855" s="86">
        <f t="shared" si="1171"/>
        <v>0</v>
      </c>
      <c r="R3855" s="86">
        <f t="shared" si="1172"/>
        <v>0</v>
      </c>
      <c r="S3855" s="86">
        <f t="shared" si="1173"/>
        <v>0</v>
      </c>
      <c r="T3855" s="86">
        <f t="shared" si="1174"/>
        <v>7575.52</v>
      </c>
      <c r="U3855" s="87">
        <v>7575.52</v>
      </c>
    </row>
    <row r="3856" spans="1:21" s="30" customFormat="1" ht="24.6" hidden="1" outlineLevel="1" x14ac:dyDescent="0.55000000000000004">
      <c r="A3856" s="27" t="s">
        <v>327</v>
      </c>
      <c r="B3856" s="28"/>
      <c r="C3856" s="27"/>
      <c r="D3856" s="27" t="str">
        <f>"""NAV Direct"",""CRONUS JetCorp USA"",""21"",""1"",""418440"""</f>
        <v>"NAV Direct","CRONUS JetCorp USA","21","1","418440"</v>
      </c>
      <c r="E3856" s="31">
        <f t="shared" si="1166"/>
        <v>0</v>
      </c>
      <c r="F3856" s="31"/>
      <c r="G3856" s="31"/>
      <c r="H3856" s="31"/>
      <c r="I3856" s="56"/>
      <c r="J3856" s="56"/>
      <c r="K3856" s="82" t="str">
        <f t="shared" si="1167"/>
        <v>Invoice</v>
      </c>
      <c r="L3856" s="83" t="str">
        <f>"SI_112625"</f>
        <v>SI_112625</v>
      </c>
      <c r="M3856" s="84">
        <v>42931</v>
      </c>
      <c r="N3856" s="85">
        <f t="shared" si="1168"/>
        <v>881</v>
      </c>
      <c r="O3856" s="86">
        <f t="shared" si="1169"/>
        <v>6461.55</v>
      </c>
      <c r="P3856" s="86">
        <f t="shared" si="1170"/>
        <v>0</v>
      </c>
      <c r="Q3856" s="86">
        <f t="shared" si="1171"/>
        <v>0</v>
      </c>
      <c r="R3856" s="86">
        <f t="shared" si="1172"/>
        <v>0</v>
      </c>
      <c r="S3856" s="86">
        <f t="shared" si="1173"/>
        <v>0</v>
      </c>
      <c r="T3856" s="86">
        <f t="shared" si="1174"/>
        <v>6461.55</v>
      </c>
      <c r="U3856" s="87">
        <v>6461.55</v>
      </c>
    </row>
    <row r="3857" spans="1:21" s="30" customFormat="1" ht="24.6" hidden="1" outlineLevel="1" x14ac:dyDescent="0.55000000000000004">
      <c r="A3857" s="27" t="s">
        <v>327</v>
      </c>
      <c r="B3857" s="28"/>
      <c r="C3857" s="27"/>
      <c r="D3857" s="27" t="str">
        <f>"""NAV Direct"",""CRONUS JetCorp USA"",""21"",""1"",""418675"""</f>
        <v>"NAV Direct","CRONUS JetCorp USA","21","1","418675"</v>
      </c>
      <c r="E3857" s="31" t="str">
        <f t="shared" si="1166"/>
        <v>C100108</v>
      </c>
      <c r="F3857" s="31"/>
      <c r="G3857" s="31"/>
      <c r="H3857" s="31"/>
      <c r="I3857" s="56"/>
      <c r="J3857" s="56"/>
      <c r="K3857" s="82" t="str">
        <f t="shared" si="1167"/>
        <v>Invoice</v>
      </c>
      <c r="L3857" s="83" t="str">
        <f>"SI_112630"</f>
        <v>SI_112630</v>
      </c>
      <c r="M3857" s="84">
        <v>42948</v>
      </c>
      <c r="N3857" s="85">
        <f t="shared" si="1168"/>
        <v>864</v>
      </c>
      <c r="O3857" s="86">
        <f t="shared" si="1169"/>
        <v>6461.65</v>
      </c>
      <c r="P3857" s="86">
        <f t="shared" si="1170"/>
        <v>0</v>
      </c>
      <c r="Q3857" s="86">
        <f t="shared" si="1171"/>
        <v>0</v>
      </c>
      <c r="R3857" s="86">
        <f t="shared" si="1172"/>
        <v>0</v>
      </c>
      <c r="S3857" s="86">
        <f t="shared" si="1173"/>
        <v>0</v>
      </c>
      <c r="T3857" s="86">
        <f t="shared" si="1174"/>
        <v>6461.65</v>
      </c>
      <c r="U3857" s="87">
        <v>6461.65</v>
      </c>
    </row>
    <row r="3858" spans="1:21" s="30" customFormat="1" ht="24.6" hidden="1" outlineLevel="1" x14ac:dyDescent="0.55000000000000004">
      <c r="A3858" s="27" t="s">
        <v>327</v>
      </c>
      <c r="B3858" s="28"/>
      <c r="C3858" s="27"/>
      <c r="D3858" s="27" t="str">
        <f>"""NAV Direct"",""CRONUS JetCorp USA"",""21"",""1"",""419014"""</f>
        <v>"NAV Direct","CRONUS JetCorp USA","21","1","419014"</v>
      </c>
      <c r="E3858" s="31">
        <f t="shared" si="1166"/>
        <v>0</v>
      </c>
      <c r="F3858" s="31"/>
      <c r="G3858" s="31"/>
      <c r="H3858" s="31"/>
      <c r="I3858" s="56"/>
      <c r="J3858" s="56"/>
      <c r="K3858" s="82" t="str">
        <f t="shared" si="1167"/>
        <v>Invoice</v>
      </c>
      <c r="L3858" s="83" t="str">
        <f>"SI_112639"</f>
        <v>SI_112639</v>
      </c>
      <c r="M3858" s="84">
        <v>43000</v>
      </c>
      <c r="N3858" s="85">
        <f t="shared" si="1168"/>
        <v>812</v>
      </c>
      <c r="O3858" s="86">
        <f t="shared" si="1169"/>
        <v>5485.53</v>
      </c>
      <c r="P3858" s="86">
        <f t="shared" si="1170"/>
        <v>0</v>
      </c>
      <c r="Q3858" s="86">
        <f t="shared" si="1171"/>
        <v>0</v>
      </c>
      <c r="R3858" s="86">
        <f t="shared" si="1172"/>
        <v>0</v>
      </c>
      <c r="S3858" s="86">
        <f t="shared" si="1173"/>
        <v>0</v>
      </c>
      <c r="T3858" s="86">
        <f t="shared" si="1174"/>
        <v>5485.53</v>
      </c>
      <c r="U3858" s="87">
        <v>5485.53</v>
      </c>
    </row>
    <row r="3859" spans="1:21" s="30" customFormat="1" ht="24.6" hidden="1" outlineLevel="1" x14ac:dyDescent="0.55000000000000004">
      <c r="A3859" s="27" t="s">
        <v>327</v>
      </c>
      <c r="B3859" s="28"/>
      <c r="C3859" s="27"/>
      <c r="D3859" s="27" t="str">
        <f>"""NAV Direct"",""CRONUS JetCorp USA"",""21"",""1"",""419207"""</f>
        <v>"NAV Direct","CRONUS JetCorp USA","21","1","419207"</v>
      </c>
      <c r="E3859" s="31" t="str">
        <f t="shared" si="1166"/>
        <v>C100108</v>
      </c>
      <c r="F3859" s="31"/>
      <c r="G3859" s="31"/>
      <c r="H3859" s="31"/>
      <c r="I3859" s="56"/>
      <c r="J3859" s="56"/>
      <c r="K3859" s="82" t="str">
        <f t="shared" si="1167"/>
        <v>Invoice</v>
      </c>
      <c r="L3859" s="83" t="str">
        <f>"SI_112644"</f>
        <v>SI_112644</v>
      </c>
      <c r="M3859" s="84">
        <v>43031</v>
      </c>
      <c r="N3859" s="85">
        <f t="shared" si="1168"/>
        <v>781</v>
      </c>
      <c r="O3859" s="86">
        <f t="shared" si="1169"/>
        <v>5271.69</v>
      </c>
      <c r="P3859" s="86">
        <f t="shared" si="1170"/>
        <v>0</v>
      </c>
      <c r="Q3859" s="86">
        <f t="shared" si="1171"/>
        <v>0</v>
      </c>
      <c r="R3859" s="86">
        <f t="shared" si="1172"/>
        <v>0</v>
      </c>
      <c r="S3859" s="86">
        <f t="shared" si="1173"/>
        <v>0</v>
      </c>
      <c r="T3859" s="86">
        <f t="shared" si="1174"/>
        <v>5271.69</v>
      </c>
      <c r="U3859" s="87">
        <v>5271.69</v>
      </c>
    </row>
    <row r="3860" spans="1:21" s="30" customFormat="1" ht="24.6" hidden="1" outlineLevel="1" x14ac:dyDescent="0.55000000000000004">
      <c r="A3860" s="27" t="s">
        <v>327</v>
      </c>
      <c r="B3860" s="28"/>
      <c r="C3860" s="27"/>
      <c r="D3860" s="27" t="str">
        <f>"""NAV Direct"",""CRONUS JetCorp USA"",""21"",""1"",""419907"""</f>
        <v>"NAV Direct","CRONUS JetCorp USA","21","1","419907"</v>
      </c>
      <c r="E3860" s="31">
        <f t="shared" si="1166"/>
        <v>0</v>
      </c>
      <c r="F3860" s="31"/>
      <c r="G3860" s="31"/>
      <c r="H3860" s="31"/>
      <c r="I3860" s="56"/>
      <c r="J3860" s="56"/>
      <c r="K3860" s="82" t="str">
        <f t="shared" si="1167"/>
        <v>Invoice</v>
      </c>
      <c r="L3860" s="83" t="str">
        <f>"SI_112664"</f>
        <v>SI_112664</v>
      </c>
      <c r="M3860" s="84">
        <v>43155</v>
      </c>
      <c r="N3860" s="85">
        <f t="shared" si="1168"/>
        <v>657</v>
      </c>
      <c r="O3860" s="86">
        <f t="shared" si="1169"/>
        <v>5225.34</v>
      </c>
      <c r="P3860" s="86">
        <f t="shared" si="1170"/>
        <v>0</v>
      </c>
      <c r="Q3860" s="86">
        <f t="shared" si="1171"/>
        <v>0</v>
      </c>
      <c r="R3860" s="86">
        <f t="shared" si="1172"/>
        <v>0</v>
      </c>
      <c r="S3860" s="86">
        <f t="shared" si="1173"/>
        <v>0</v>
      </c>
      <c r="T3860" s="86">
        <f t="shared" si="1174"/>
        <v>5225.34</v>
      </c>
      <c r="U3860" s="87">
        <v>5225.34</v>
      </c>
    </row>
    <row r="3861" spans="1:21" s="30" customFormat="1" ht="24.6" hidden="1" outlineLevel="1" x14ac:dyDescent="0.55000000000000004">
      <c r="A3861" s="27" t="s">
        <v>327</v>
      </c>
      <c r="B3861" s="28"/>
      <c r="C3861" s="27"/>
      <c r="D3861" s="27" t="str">
        <f>"""NAV Direct"",""CRONUS JetCorp USA"",""21"",""1"",""420373"""</f>
        <v>"NAV Direct","CRONUS JetCorp USA","21","1","420373"</v>
      </c>
      <c r="E3861" s="31" t="str">
        <f t="shared" si="1166"/>
        <v>C100108</v>
      </c>
      <c r="F3861" s="31"/>
      <c r="G3861" s="31"/>
      <c r="H3861" s="31"/>
      <c r="I3861" s="56"/>
      <c r="J3861" s="56"/>
      <c r="K3861" s="82" t="str">
        <f t="shared" si="1167"/>
        <v>Invoice</v>
      </c>
      <c r="L3861" s="83" t="str">
        <f>"SI_112676"</f>
        <v>SI_112676</v>
      </c>
      <c r="M3861" s="84">
        <v>43218</v>
      </c>
      <c r="N3861" s="85">
        <f t="shared" si="1168"/>
        <v>594</v>
      </c>
      <c r="O3861" s="86">
        <f t="shared" si="1169"/>
        <v>5478.99</v>
      </c>
      <c r="P3861" s="86">
        <f t="shared" si="1170"/>
        <v>0</v>
      </c>
      <c r="Q3861" s="86">
        <f t="shared" si="1171"/>
        <v>0</v>
      </c>
      <c r="R3861" s="86">
        <f t="shared" si="1172"/>
        <v>0</v>
      </c>
      <c r="S3861" s="86">
        <f t="shared" si="1173"/>
        <v>0</v>
      </c>
      <c r="T3861" s="86">
        <f t="shared" si="1174"/>
        <v>5478.99</v>
      </c>
      <c r="U3861" s="87">
        <v>5478.99</v>
      </c>
    </row>
    <row r="3862" spans="1:21" s="30" customFormat="1" ht="24.6" hidden="1" outlineLevel="1" x14ac:dyDescent="0.55000000000000004">
      <c r="A3862" s="27" t="s">
        <v>327</v>
      </c>
      <c r="B3862" s="28"/>
      <c r="C3862" s="27"/>
      <c r="D3862" s="27" t="str">
        <f>"""NAV Direct"",""CRONUS JetCorp USA"",""21"",""1"",""420535"""</f>
        <v>"NAV Direct","CRONUS JetCorp USA","21","1","420535"</v>
      </c>
      <c r="E3862" s="31">
        <f t="shared" si="1166"/>
        <v>0</v>
      </c>
      <c r="F3862" s="31"/>
      <c r="G3862" s="31"/>
      <c r="H3862" s="31"/>
      <c r="I3862" s="56"/>
      <c r="J3862" s="56"/>
      <c r="K3862" s="82" t="str">
        <f t="shared" si="1167"/>
        <v>Invoice</v>
      </c>
      <c r="L3862" s="83" t="str">
        <f>"SI_112680"</f>
        <v>SI_112680</v>
      </c>
      <c r="M3862" s="84">
        <v>43248</v>
      </c>
      <c r="N3862" s="85">
        <f t="shared" si="1168"/>
        <v>564</v>
      </c>
      <c r="O3862" s="86">
        <f t="shared" si="1169"/>
        <v>5561.1900000000005</v>
      </c>
      <c r="P3862" s="86">
        <f t="shared" si="1170"/>
        <v>0</v>
      </c>
      <c r="Q3862" s="86">
        <f t="shared" si="1171"/>
        <v>0</v>
      </c>
      <c r="R3862" s="86">
        <f t="shared" si="1172"/>
        <v>0</v>
      </c>
      <c r="S3862" s="86">
        <f t="shared" si="1173"/>
        <v>0</v>
      </c>
      <c r="T3862" s="86">
        <f t="shared" si="1174"/>
        <v>5561.1900000000005</v>
      </c>
      <c r="U3862" s="87">
        <v>5561.1900000000005</v>
      </c>
    </row>
    <row r="3863" spans="1:21" s="30" customFormat="1" ht="24.6" hidden="1" outlineLevel="1" x14ac:dyDescent="0.55000000000000004">
      <c r="A3863" s="27" t="s">
        <v>327</v>
      </c>
      <c r="B3863" s="28"/>
      <c r="C3863" s="27"/>
      <c r="D3863" s="27" t="str">
        <f>"""NAV Direct"",""CRONUS JetCorp USA"",""21"",""1"",""422163"""</f>
        <v>"NAV Direct","CRONUS JetCorp USA","21","1","422163"</v>
      </c>
      <c r="E3863" s="31" t="str">
        <f t="shared" si="1166"/>
        <v>C100108</v>
      </c>
      <c r="F3863" s="31"/>
      <c r="G3863" s="31"/>
      <c r="H3863" s="31"/>
      <c r="I3863" s="56"/>
      <c r="J3863" s="56"/>
      <c r="K3863" s="82" t="str">
        <f t="shared" si="1167"/>
        <v>Invoice</v>
      </c>
      <c r="L3863" s="83" t="str">
        <f>"SI_112719"</f>
        <v>SI_112719</v>
      </c>
      <c r="M3863" s="84">
        <v>43489</v>
      </c>
      <c r="N3863" s="85">
        <f t="shared" si="1168"/>
        <v>323</v>
      </c>
      <c r="O3863" s="86">
        <f t="shared" si="1169"/>
        <v>6307.82</v>
      </c>
      <c r="P3863" s="86">
        <f t="shared" si="1170"/>
        <v>0</v>
      </c>
      <c r="Q3863" s="86">
        <f t="shared" si="1171"/>
        <v>0</v>
      </c>
      <c r="R3863" s="86">
        <f t="shared" si="1172"/>
        <v>0</v>
      </c>
      <c r="S3863" s="86">
        <f t="shared" si="1173"/>
        <v>0</v>
      </c>
      <c r="T3863" s="86">
        <f t="shared" si="1174"/>
        <v>6307.82</v>
      </c>
      <c r="U3863" s="87">
        <v>6307.82</v>
      </c>
    </row>
    <row r="3864" spans="1:21" s="30" customFormat="1" ht="24.6" hidden="1" outlineLevel="1" x14ac:dyDescent="0.55000000000000004">
      <c r="A3864" s="27" t="s">
        <v>327</v>
      </c>
      <c r="B3864" s="28"/>
      <c r="C3864" s="27"/>
      <c r="D3864" s="27" t="str">
        <f>"""NAV Direct"",""CRONUS JetCorp USA"",""21"",""1"",""422769"""</f>
        <v>"NAV Direct","CRONUS JetCorp USA","21","1","422769"</v>
      </c>
      <c r="E3864" s="31">
        <f t="shared" si="1166"/>
        <v>0</v>
      </c>
      <c r="F3864" s="31"/>
      <c r="G3864" s="31"/>
      <c r="H3864" s="31"/>
      <c r="I3864" s="56"/>
      <c r="J3864" s="56"/>
      <c r="K3864" s="82" t="str">
        <f t="shared" si="1167"/>
        <v>Invoice</v>
      </c>
      <c r="L3864" s="83" t="str">
        <f>"SI_112733"</f>
        <v>SI_112733</v>
      </c>
      <c r="M3864" s="84">
        <v>43548</v>
      </c>
      <c r="N3864" s="85">
        <f t="shared" si="1168"/>
        <v>264</v>
      </c>
      <c r="O3864" s="86">
        <f t="shared" si="1169"/>
        <v>7979.4</v>
      </c>
      <c r="P3864" s="86">
        <f t="shared" si="1170"/>
        <v>0</v>
      </c>
      <c r="Q3864" s="86">
        <f t="shared" si="1171"/>
        <v>0</v>
      </c>
      <c r="R3864" s="86">
        <f t="shared" si="1172"/>
        <v>0</v>
      </c>
      <c r="S3864" s="86">
        <f t="shared" si="1173"/>
        <v>0</v>
      </c>
      <c r="T3864" s="86">
        <f t="shared" si="1174"/>
        <v>7979.4</v>
      </c>
      <c r="U3864" s="87">
        <v>7979.4</v>
      </c>
    </row>
    <row r="3865" spans="1:21" s="30" customFormat="1" ht="24.6" hidden="1" outlineLevel="1" x14ac:dyDescent="0.55000000000000004">
      <c r="A3865" s="27" t="s">
        <v>327</v>
      </c>
      <c r="B3865" s="28"/>
      <c r="C3865" s="27"/>
      <c r="D3865" s="27" t="str">
        <f>"""NAV Direct"",""CRONUS JetCorp USA"",""21"",""1"",""423490"""</f>
        <v>"NAV Direct","CRONUS JetCorp USA","21","1","423490"</v>
      </c>
      <c r="E3865" s="31" t="str">
        <f t="shared" si="1166"/>
        <v>C100108</v>
      </c>
      <c r="F3865" s="31"/>
      <c r="G3865" s="31"/>
      <c r="H3865" s="31"/>
      <c r="I3865" s="56"/>
      <c r="J3865" s="56"/>
      <c r="K3865" s="82" t="str">
        <f t="shared" si="1167"/>
        <v>Invoice</v>
      </c>
      <c r="L3865" s="83" t="str">
        <f>"SI_112748"</f>
        <v>SI_112748</v>
      </c>
      <c r="M3865" s="84">
        <v>43584</v>
      </c>
      <c r="N3865" s="85">
        <f t="shared" si="1168"/>
        <v>228</v>
      </c>
      <c r="O3865" s="86">
        <f t="shared" si="1169"/>
        <v>8207.57</v>
      </c>
      <c r="P3865" s="86">
        <f t="shared" si="1170"/>
        <v>0</v>
      </c>
      <c r="Q3865" s="86">
        <f t="shared" si="1171"/>
        <v>0</v>
      </c>
      <c r="R3865" s="86">
        <f t="shared" si="1172"/>
        <v>0</v>
      </c>
      <c r="S3865" s="86">
        <f t="shared" si="1173"/>
        <v>0</v>
      </c>
      <c r="T3865" s="86">
        <f t="shared" si="1174"/>
        <v>8207.57</v>
      </c>
      <c r="U3865" s="87">
        <v>8207.57</v>
      </c>
    </row>
    <row r="3866" spans="1:21" s="30" customFormat="1" ht="24.6" hidden="1" outlineLevel="1" x14ac:dyDescent="0.55000000000000004">
      <c r="A3866" s="27" t="s">
        <v>327</v>
      </c>
      <c r="B3866" s="28"/>
      <c r="C3866" s="27"/>
      <c r="D3866" s="27" t="str">
        <f>"""NAV Direct"",""CRONUS JetCorp USA"",""21"",""1"",""424093"""</f>
        <v>"NAV Direct","CRONUS JetCorp USA","21","1","424093"</v>
      </c>
      <c r="E3866" s="31">
        <f t="shared" si="1166"/>
        <v>0</v>
      </c>
      <c r="F3866" s="31"/>
      <c r="G3866" s="31"/>
      <c r="H3866" s="31"/>
      <c r="I3866" s="56"/>
      <c r="J3866" s="56"/>
      <c r="K3866" s="82" t="str">
        <f t="shared" si="1167"/>
        <v>Invoice</v>
      </c>
      <c r="L3866" s="83" t="str">
        <f>"SI_112764"</f>
        <v>SI_112764</v>
      </c>
      <c r="M3866" s="84">
        <v>43647</v>
      </c>
      <c r="N3866" s="85">
        <f t="shared" si="1168"/>
        <v>165</v>
      </c>
      <c r="O3866" s="86">
        <f t="shared" si="1169"/>
        <v>5268.32</v>
      </c>
      <c r="P3866" s="86">
        <f t="shared" si="1170"/>
        <v>0</v>
      </c>
      <c r="Q3866" s="86">
        <f t="shared" si="1171"/>
        <v>0</v>
      </c>
      <c r="R3866" s="86">
        <f t="shared" si="1172"/>
        <v>0</v>
      </c>
      <c r="S3866" s="86">
        <f t="shared" si="1173"/>
        <v>0</v>
      </c>
      <c r="T3866" s="86">
        <f t="shared" si="1174"/>
        <v>5268.32</v>
      </c>
      <c r="U3866" s="87">
        <v>5268.32</v>
      </c>
    </row>
    <row r="3867" spans="1:21" s="30" customFormat="1" ht="24.6" hidden="1" outlineLevel="1" x14ac:dyDescent="0.55000000000000004">
      <c r="A3867" s="27" t="s">
        <v>327</v>
      </c>
      <c r="B3867" s="28"/>
      <c r="C3867" s="27"/>
      <c r="D3867" s="27" t="str">
        <f>"""NAV Direct"",""CRONUS JetCorp USA"",""21"",""1"",""424254"""</f>
        <v>"NAV Direct","CRONUS JetCorp USA","21","1","424254"</v>
      </c>
      <c r="E3867" s="31" t="str">
        <f t="shared" si="1166"/>
        <v>C100108</v>
      </c>
      <c r="F3867" s="31"/>
      <c r="G3867" s="31"/>
      <c r="H3867" s="31"/>
      <c r="I3867" s="56"/>
      <c r="J3867" s="56"/>
      <c r="K3867" s="82" t="str">
        <f t="shared" si="1167"/>
        <v>Invoice</v>
      </c>
      <c r="L3867" s="83" t="str">
        <f>"SI_112767"</f>
        <v>SI_112767</v>
      </c>
      <c r="M3867" s="84">
        <v>43663</v>
      </c>
      <c r="N3867" s="85">
        <f t="shared" si="1168"/>
        <v>149</v>
      </c>
      <c r="O3867" s="86">
        <f t="shared" si="1169"/>
        <v>5582.7300000000005</v>
      </c>
      <c r="P3867" s="86">
        <f t="shared" si="1170"/>
        <v>0</v>
      </c>
      <c r="Q3867" s="86">
        <f t="shared" si="1171"/>
        <v>0</v>
      </c>
      <c r="R3867" s="86">
        <f t="shared" si="1172"/>
        <v>0</v>
      </c>
      <c r="S3867" s="86">
        <f t="shared" si="1173"/>
        <v>0</v>
      </c>
      <c r="T3867" s="86">
        <f t="shared" si="1174"/>
        <v>5582.7300000000005</v>
      </c>
      <c r="U3867" s="87">
        <v>5582.7300000000005</v>
      </c>
    </row>
    <row r="3868" spans="1:21" s="30" customFormat="1" ht="24.6" hidden="1" outlineLevel="1" x14ac:dyDescent="0.55000000000000004">
      <c r="A3868" s="27" t="s">
        <v>327</v>
      </c>
      <c r="B3868" s="28"/>
      <c r="C3868" s="27"/>
      <c r="D3868" s="27" t="str">
        <f>"""NAV Direct"",""CRONUS JetCorp USA"",""21"",""1"",""424373"""</f>
        <v>"NAV Direct","CRONUS JetCorp USA","21","1","424373"</v>
      </c>
      <c r="E3868" s="31">
        <f t="shared" si="1166"/>
        <v>0</v>
      </c>
      <c r="F3868" s="31"/>
      <c r="G3868" s="31"/>
      <c r="H3868" s="31"/>
      <c r="I3868" s="56"/>
      <c r="J3868" s="56"/>
      <c r="K3868" s="82" t="str">
        <f t="shared" si="1167"/>
        <v>Invoice</v>
      </c>
      <c r="L3868" s="83" t="str">
        <f>"SI_112770"</f>
        <v>SI_112770</v>
      </c>
      <c r="M3868" s="84">
        <v>43668</v>
      </c>
      <c r="N3868" s="85">
        <f t="shared" si="1168"/>
        <v>144</v>
      </c>
      <c r="O3868" s="86">
        <f t="shared" si="1169"/>
        <v>5070.01</v>
      </c>
      <c r="P3868" s="86">
        <f t="shared" si="1170"/>
        <v>0</v>
      </c>
      <c r="Q3868" s="86">
        <f t="shared" si="1171"/>
        <v>0</v>
      </c>
      <c r="R3868" s="86">
        <f t="shared" si="1172"/>
        <v>0</v>
      </c>
      <c r="S3868" s="86">
        <f t="shared" si="1173"/>
        <v>0</v>
      </c>
      <c r="T3868" s="86">
        <f t="shared" si="1174"/>
        <v>5070.01</v>
      </c>
      <c r="U3868" s="87">
        <v>5070.01</v>
      </c>
    </row>
    <row r="3869" spans="1:21" s="30" customFormat="1" ht="24.6" hidden="1" outlineLevel="1" x14ac:dyDescent="0.55000000000000004">
      <c r="A3869" s="27" t="s">
        <v>327</v>
      </c>
      <c r="B3869" s="28"/>
      <c r="C3869" s="27"/>
      <c r="D3869" s="27" t="str">
        <f>"""NAV Direct"",""CRONUS JetCorp USA"",""21"",""1"",""424797"""</f>
        <v>"NAV Direct","CRONUS JetCorp USA","21","1","424797"</v>
      </c>
      <c r="E3869" s="31" t="str">
        <f t="shared" si="1166"/>
        <v>C100108</v>
      </c>
      <c r="F3869" s="31"/>
      <c r="G3869" s="31"/>
      <c r="H3869" s="31"/>
      <c r="I3869" s="56"/>
      <c r="J3869" s="56"/>
      <c r="K3869" s="82" t="str">
        <f t="shared" si="1167"/>
        <v>Invoice</v>
      </c>
      <c r="L3869" s="83" t="str">
        <f>"SI_112781"</f>
        <v>SI_112781</v>
      </c>
      <c r="M3869" s="84">
        <v>43706</v>
      </c>
      <c r="N3869" s="85">
        <f t="shared" si="1168"/>
        <v>106</v>
      </c>
      <c r="O3869" s="86">
        <f t="shared" si="1169"/>
        <v>5660.22</v>
      </c>
      <c r="P3869" s="86">
        <f t="shared" si="1170"/>
        <v>0</v>
      </c>
      <c r="Q3869" s="86">
        <f t="shared" si="1171"/>
        <v>0</v>
      </c>
      <c r="R3869" s="86">
        <f t="shared" si="1172"/>
        <v>0</v>
      </c>
      <c r="S3869" s="86">
        <f t="shared" si="1173"/>
        <v>0</v>
      </c>
      <c r="T3869" s="86">
        <f t="shared" si="1174"/>
        <v>5660.22</v>
      </c>
      <c r="U3869" s="87">
        <v>5660.22</v>
      </c>
    </row>
    <row r="3870" spans="1:21" s="30" customFormat="1" ht="24.6" hidden="1" outlineLevel="1" x14ac:dyDescent="0.55000000000000004">
      <c r="A3870" s="27" t="s">
        <v>327</v>
      </c>
      <c r="B3870" s="28"/>
      <c r="C3870" s="27"/>
      <c r="D3870" s="27" t="str">
        <f>"""NAV Direct"",""CRONUS JetCorp USA"",""21"",""1"",""425390"""</f>
        <v>"NAV Direct","CRONUS JetCorp USA","21","1","425390"</v>
      </c>
      <c r="E3870" s="31">
        <f t="shared" si="1166"/>
        <v>0</v>
      </c>
      <c r="F3870" s="31"/>
      <c r="G3870" s="31"/>
      <c r="H3870" s="31"/>
      <c r="I3870" s="56"/>
      <c r="J3870" s="56"/>
      <c r="K3870" s="82" t="str">
        <f t="shared" si="1167"/>
        <v>Invoice</v>
      </c>
      <c r="L3870" s="83" t="str">
        <f>"SI_112796"</f>
        <v>SI_112796</v>
      </c>
      <c r="M3870" s="84">
        <v>43758</v>
      </c>
      <c r="N3870" s="85">
        <f t="shared" si="1168"/>
        <v>54</v>
      </c>
      <c r="O3870" s="86">
        <f t="shared" si="1169"/>
        <v>7155.24</v>
      </c>
      <c r="P3870" s="86">
        <f t="shared" si="1170"/>
        <v>0</v>
      </c>
      <c r="Q3870" s="86">
        <f t="shared" si="1171"/>
        <v>0</v>
      </c>
      <c r="R3870" s="86">
        <f t="shared" si="1172"/>
        <v>7155.24</v>
      </c>
      <c r="S3870" s="86">
        <f t="shared" si="1173"/>
        <v>0</v>
      </c>
      <c r="T3870" s="86">
        <f t="shared" si="1174"/>
        <v>0</v>
      </c>
      <c r="U3870" s="87">
        <v>7155.24</v>
      </c>
    </row>
    <row r="3871" spans="1:21" s="30" customFormat="1" ht="24.6" hidden="1" outlineLevel="1" x14ac:dyDescent="0.55000000000000004">
      <c r="A3871" s="27" t="s">
        <v>327</v>
      </c>
      <c r="B3871" s="28"/>
      <c r="C3871" s="27"/>
      <c r="D3871" s="27" t="str">
        <f>"""NAV Direct"",""CRONUS JetCorp USA"",""21"",""1"",""425785"""</f>
        <v>"NAV Direct","CRONUS JetCorp USA","21","1","425785"</v>
      </c>
      <c r="E3871" s="31" t="str">
        <f t="shared" si="1166"/>
        <v>C100108</v>
      </c>
      <c r="F3871" s="31"/>
      <c r="G3871" s="31"/>
      <c r="H3871" s="31"/>
      <c r="I3871" s="56"/>
      <c r="J3871" s="56"/>
      <c r="K3871" s="82" t="str">
        <f t="shared" si="1167"/>
        <v>Invoice</v>
      </c>
      <c r="L3871" s="83" t="str">
        <f>"SI_112805"</f>
        <v>SI_112805</v>
      </c>
      <c r="M3871" s="84">
        <v>43788</v>
      </c>
      <c r="N3871" s="85">
        <f t="shared" si="1168"/>
        <v>24</v>
      </c>
      <c r="O3871" s="86">
        <f t="shared" si="1169"/>
        <v>8241.26</v>
      </c>
      <c r="P3871" s="86">
        <f t="shared" si="1170"/>
        <v>0</v>
      </c>
      <c r="Q3871" s="86">
        <f t="shared" si="1171"/>
        <v>8241.26</v>
      </c>
      <c r="R3871" s="86">
        <f t="shared" si="1172"/>
        <v>0</v>
      </c>
      <c r="S3871" s="86">
        <f t="shared" si="1173"/>
        <v>0</v>
      </c>
      <c r="T3871" s="86">
        <f t="shared" si="1174"/>
        <v>0</v>
      </c>
      <c r="U3871" s="87">
        <v>8241.26</v>
      </c>
    </row>
    <row r="3872" spans="1:21" s="30" customFormat="1" ht="24.6" hidden="1" outlineLevel="1" x14ac:dyDescent="0.55000000000000004">
      <c r="A3872" s="27" t="s">
        <v>327</v>
      </c>
      <c r="B3872" s="28"/>
      <c r="C3872" s="27"/>
      <c r="D3872" s="27" t="str">
        <f>"""NAV Direct"",""CRONUS JetCorp USA"",""21"",""1"",""425855"""</f>
        <v>"NAV Direct","CRONUS JetCorp USA","21","1","425855"</v>
      </c>
      <c r="E3872" s="31">
        <f t="shared" si="1166"/>
        <v>0</v>
      </c>
      <c r="F3872" s="31"/>
      <c r="G3872" s="31"/>
      <c r="H3872" s="31"/>
      <c r="I3872" s="56"/>
      <c r="J3872" s="56"/>
      <c r="K3872" s="82" t="str">
        <f t="shared" si="1167"/>
        <v>Invoice</v>
      </c>
      <c r="L3872" s="83" t="str">
        <f>"SI_112807"</f>
        <v>SI_112807</v>
      </c>
      <c r="M3872" s="84">
        <v>43794</v>
      </c>
      <c r="N3872" s="85">
        <f t="shared" si="1168"/>
        <v>18</v>
      </c>
      <c r="O3872" s="86">
        <f t="shared" si="1169"/>
        <v>8241.27</v>
      </c>
      <c r="P3872" s="86">
        <f t="shared" si="1170"/>
        <v>0</v>
      </c>
      <c r="Q3872" s="86">
        <f t="shared" si="1171"/>
        <v>8241.27</v>
      </c>
      <c r="R3872" s="86">
        <f t="shared" si="1172"/>
        <v>0</v>
      </c>
      <c r="S3872" s="86">
        <f t="shared" si="1173"/>
        <v>0</v>
      </c>
      <c r="T3872" s="86">
        <f t="shared" si="1174"/>
        <v>0</v>
      </c>
      <c r="U3872" s="87">
        <v>8241.27</v>
      </c>
    </row>
    <row r="3873" spans="1:21" s="30" customFormat="1" ht="24.6" hidden="1" outlineLevel="1" x14ac:dyDescent="0.55000000000000004">
      <c r="A3873" s="27" t="s">
        <v>327</v>
      </c>
      <c r="B3873" s="28"/>
      <c r="C3873" s="27"/>
      <c r="D3873" s="27" t="str">
        <f>"""NAV Direct"",""CRONUS JetCorp USA"",""21"",""1"",""427409"""</f>
        <v>"NAV Direct","CRONUS JetCorp USA","21","1","427409"</v>
      </c>
      <c r="E3873" s="31" t="str">
        <f t="shared" ref="E3873:E3899" si="1175">E3871</f>
        <v>C100108</v>
      </c>
      <c r="F3873" s="31"/>
      <c r="G3873" s="31"/>
      <c r="H3873" s="31"/>
      <c r="I3873" s="56"/>
      <c r="J3873" s="56"/>
      <c r="K3873" s="82" t="str">
        <f t="shared" si="1167"/>
        <v>Invoice</v>
      </c>
      <c r="L3873" s="83" t="str">
        <f>"SI_112840"</f>
        <v>SI_112840</v>
      </c>
      <c r="M3873" s="84">
        <v>42117</v>
      </c>
      <c r="N3873" s="85">
        <f t="shared" ref="N3873:N3899" si="1176">StartDate-$M3873+1</f>
        <v>1695</v>
      </c>
      <c r="O3873" s="86">
        <f t="shared" ref="O3873:O3899" si="1177">SUM(P3873:T3873)</f>
        <v>8580.4699999999993</v>
      </c>
      <c r="P3873" s="86">
        <f t="shared" ref="P3873:P3899" si="1178">IF($M3873&gt;=$P$18,U3873,0)</f>
        <v>0</v>
      </c>
      <c r="Q3873" s="86">
        <f t="shared" ref="Q3873:Q3899" si="1179">IF(AND($M3873&gt;=$Q$16,$M3873&lt;=$Q$18),U3873,0)</f>
        <v>0</v>
      </c>
      <c r="R3873" s="86">
        <f t="shared" ref="R3873:R3899" si="1180">IF(AND($M3873&gt;=$R$16,$M3873&lt;=$R$18),U3873,0)</f>
        <v>0</v>
      </c>
      <c r="S3873" s="86">
        <f t="shared" ref="S3873:S3899" si="1181">IF(AND($M3873&gt;=$S$16,$M3873&lt;=$S$18),U3873,0)</f>
        <v>0</v>
      </c>
      <c r="T3873" s="86">
        <f t="shared" ref="T3873:T3899" si="1182">IF($M3873&lt;=$T$18,U3873,0)</f>
        <v>8580.4699999999993</v>
      </c>
      <c r="U3873" s="87">
        <v>8580.4699999999993</v>
      </c>
    </row>
    <row r="3874" spans="1:21" s="30" customFormat="1" ht="24.6" hidden="1" outlineLevel="1" x14ac:dyDescent="0.55000000000000004">
      <c r="A3874" s="27" t="s">
        <v>327</v>
      </c>
      <c r="B3874" s="28"/>
      <c r="C3874" s="27"/>
      <c r="D3874" s="27" t="str">
        <f>"""NAV Direct"",""CRONUS JetCorp USA"",""21"",""1"",""427744"""</f>
        <v>"NAV Direct","CRONUS JetCorp USA","21","1","427744"</v>
      </c>
      <c r="E3874" s="31">
        <f t="shared" si="1175"/>
        <v>0</v>
      </c>
      <c r="F3874" s="31"/>
      <c r="G3874" s="31"/>
      <c r="H3874" s="31"/>
      <c r="I3874" s="56"/>
      <c r="J3874" s="56"/>
      <c r="K3874" s="82" t="str">
        <f t="shared" si="1167"/>
        <v>Invoice</v>
      </c>
      <c r="L3874" s="83" t="str">
        <f>"SI_112849"</f>
        <v>SI_112849</v>
      </c>
      <c r="M3874" s="84">
        <v>42180</v>
      </c>
      <c r="N3874" s="85">
        <f t="shared" si="1176"/>
        <v>1632</v>
      </c>
      <c r="O3874" s="86">
        <f t="shared" si="1177"/>
        <v>5441.29</v>
      </c>
      <c r="P3874" s="86">
        <f t="shared" si="1178"/>
        <v>0</v>
      </c>
      <c r="Q3874" s="86">
        <f t="shared" si="1179"/>
        <v>0</v>
      </c>
      <c r="R3874" s="86">
        <f t="shared" si="1180"/>
        <v>0</v>
      </c>
      <c r="S3874" s="86">
        <f t="shared" si="1181"/>
        <v>0</v>
      </c>
      <c r="T3874" s="86">
        <f t="shared" si="1182"/>
        <v>5441.29</v>
      </c>
      <c r="U3874" s="87">
        <v>5441.29</v>
      </c>
    </row>
    <row r="3875" spans="1:21" s="30" customFormat="1" ht="24.6" hidden="1" outlineLevel="1" x14ac:dyDescent="0.55000000000000004">
      <c r="A3875" s="27" t="s">
        <v>327</v>
      </c>
      <c r="B3875" s="28"/>
      <c r="C3875" s="27"/>
      <c r="D3875" s="27" t="str">
        <f>"""NAV Direct"",""CRONUS JetCorp USA"",""21"",""1"",""427775"""</f>
        <v>"NAV Direct","CRONUS JetCorp USA","21","1","427775"</v>
      </c>
      <c r="E3875" s="31" t="str">
        <f t="shared" si="1175"/>
        <v>C100108</v>
      </c>
      <c r="F3875" s="31"/>
      <c r="G3875" s="31"/>
      <c r="H3875" s="31"/>
      <c r="I3875" s="56"/>
      <c r="J3875" s="56"/>
      <c r="K3875" s="82" t="str">
        <f t="shared" si="1167"/>
        <v>Invoice</v>
      </c>
      <c r="L3875" s="83" t="str">
        <f>"SI_112850"</f>
        <v>SI_112850</v>
      </c>
      <c r="M3875" s="84">
        <v>42180</v>
      </c>
      <c r="N3875" s="85">
        <f t="shared" si="1176"/>
        <v>1632</v>
      </c>
      <c r="O3875" s="86">
        <f t="shared" si="1177"/>
        <v>5441.2</v>
      </c>
      <c r="P3875" s="86">
        <f t="shared" si="1178"/>
        <v>0</v>
      </c>
      <c r="Q3875" s="86">
        <f t="shared" si="1179"/>
        <v>0</v>
      </c>
      <c r="R3875" s="86">
        <f t="shared" si="1180"/>
        <v>0</v>
      </c>
      <c r="S3875" s="86">
        <f t="shared" si="1181"/>
        <v>0</v>
      </c>
      <c r="T3875" s="86">
        <f t="shared" si="1182"/>
        <v>5441.2</v>
      </c>
      <c r="U3875" s="87">
        <v>5441.2</v>
      </c>
    </row>
    <row r="3876" spans="1:21" s="30" customFormat="1" ht="24.6" hidden="1" outlineLevel="1" x14ac:dyDescent="0.55000000000000004">
      <c r="A3876" s="27" t="s">
        <v>327</v>
      </c>
      <c r="B3876" s="28"/>
      <c r="C3876" s="27"/>
      <c r="D3876" s="27" t="str">
        <f>"""NAV Direct"",""CRONUS JetCorp USA"",""21"",""1"",""428801"""</f>
        <v>"NAV Direct","CRONUS JetCorp USA","21","1","428801"</v>
      </c>
      <c r="E3876" s="31">
        <f t="shared" si="1175"/>
        <v>0</v>
      </c>
      <c r="F3876" s="31"/>
      <c r="G3876" s="31"/>
      <c r="H3876" s="31"/>
      <c r="I3876" s="56"/>
      <c r="J3876" s="56"/>
      <c r="K3876" s="82" t="str">
        <f t="shared" si="1167"/>
        <v>Invoice</v>
      </c>
      <c r="L3876" s="83" t="str">
        <f>"SI_112874"</f>
        <v>SI_112874</v>
      </c>
      <c r="M3876" s="84">
        <v>42309</v>
      </c>
      <c r="N3876" s="85">
        <f t="shared" si="1176"/>
        <v>1503</v>
      </c>
      <c r="O3876" s="86">
        <f t="shared" si="1177"/>
        <v>7313.85</v>
      </c>
      <c r="P3876" s="86">
        <f t="shared" si="1178"/>
        <v>0</v>
      </c>
      <c r="Q3876" s="86">
        <f t="shared" si="1179"/>
        <v>0</v>
      </c>
      <c r="R3876" s="86">
        <f t="shared" si="1180"/>
        <v>0</v>
      </c>
      <c r="S3876" s="86">
        <f t="shared" si="1181"/>
        <v>0</v>
      </c>
      <c r="T3876" s="86">
        <f t="shared" si="1182"/>
        <v>7313.85</v>
      </c>
      <c r="U3876" s="87">
        <v>7313.85</v>
      </c>
    </row>
    <row r="3877" spans="1:21" s="30" customFormat="1" ht="24.6" hidden="1" outlineLevel="1" x14ac:dyDescent="0.55000000000000004">
      <c r="A3877" s="27" t="s">
        <v>327</v>
      </c>
      <c r="B3877" s="28"/>
      <c r="C3877" s="27"/>
      <c r="D3877" s="27" t="str">
        <f>"""NAV Direct"",""CRONUS JetCorp USA"",""21"",""1"",""428979"""</f>
        <v>"NAV Direct","CRONUS JetCorp USA","21","1","428979"</v>
      </c>
      <c r="E3877" s="31" t="str">
        <f t="shared" si="1175"/>
        <v>C100108</v>
      </c>
      <c r="F3877" s="31"/>
      <c r="G3877" s="31"/>
      <c r="H3877" s="31"/>
      <c r="I3877" s="56"/>
      <c r="J3877" s="56"/>
      <c r="K3877" s="82" t="str">
        <f t="shared" si="1167"/>
        <v>Invoice</v>
      </c>
      <c r="L3877" s="83" t="str">
        <f>"SI_112878"</f>
        <v>SI_112878</v>
      </c>
      <c r="M3877" s="84">
        <v>42333</v>
      </c>
      <c r="N3877" s="85">
        <f t="shared" si="1176"/>
        <v>1479</v>
      </c>
      <c r="O3877" s="86">
        <f t="shared" si="1177"/>
        <v>7827.3</v>
      </c>
      <c r="P3877" s="86">
        <f t="shared" si="1178"/>
        <v>0</v>
      </c>
      <c r="Q3877" s="86">
        <f t="shared" si="1179"/>
        <v>0</v>
      </c>
      <c r="R3877" s="86">
        <f t="shared" si="1180"/>
        <v>0</v>
      </c>
      <c r="S3877" s="86">
        <f t="shared" si="1181"/>
        <v>0</v>
      </c>
      <c r="T3877" s="86">
        <f t="shared" si="1182"/>
        <v>7827.3</v>
      </c>
      <c r="U3877" s="87">
        <v>7827.3</v>
      </c>
    </row>
    <row r="3878" spans="1:21" s="30" customFormat="1" ht="24.6" hidden="1" outlineLevel="1" x14ac:dyDescent="0.55000000000000004">
      <c r="A3878" s="27" t="s">
        <v>327</v>
      </c>
      <c r="B3878" s="28"/>
      <c r="C3878" s="27"/>
      <c r="D3878" s="27" t="str">
        <f>"""NAV Direct"",""CRONUS JetCorp USA"",""21"",""1"",""441643"""</f>
        <v>"NAV Direct","CRONUS JetCorp USA","21","1","441643"</v>
      </c>
      <c r="E3878" s="31">
        <f t="shared" si="1175"/>
        <v>0</v>
      </c>
      <c r="F3878" s="31"/>
      <c r="G3878" s="31"/>
      <c r="H3878" s="31"/>
      <c r="I3878" s="56"/>
      <c r="J3878" s="56"/>
      <c r="K3878" s="82" t="str">
        <f t="shared" ref="K3878:K3899" si="1183">"Credit Memo"</f>
        <v>Credit Memo</v>
      </c>
      <c r="L3878" s="83" t="str">
        <f>"SC_100980"</f>
        <v>SC_100980</v>
      </c>
      <c r="M3878" s="84">
        <v>42485</v>
      </c>
      <c r="N3878" s="85">
        <f t="shared" si="1176"/>
        <v>1327</v>
      </c>
      <c r="O3878" s="86">
        <f t="shared" si="1177"/>
        <v>-64.84</v>
      </c>
      <c r="P3878" s="86">
        <f t="shared" si="1178"/>
        <v>0</v>
      </c>
      <c r="Q3878" s="86">
        <f t="shared" si="1179"/>
        <v>0</v>
      </c>
      <c r="R3878" s="86">
        <f t="shared" si="1180"/>
        <v>0</v>
      </c>
      <c r="S3878" s="86">
        <f t="shared" si="1181"/>
        <v>0</v>
      </c>
      <c r="T3878" s="86">
        <f t="shared" si="1182"/>
        <v>-64.84</v>
      </c>
      <c r="U3878" s="87">
        <v>-64.84</v>
      </c>
    </row>
    <row r="3879" spans="1:21" s="30" customFormat="1" ht="24.6" hidden="1" outlineLevel="1" x14ac:dyDescent="0.55000000000000004">
      <c r="A3879" s="27" t="s">
        <v>327</v>
      </c>
      <c r="B3879" s="28"/>
      <c r="C3879" s="27"/>
      <c r="D3879" s="27" t="str">
        <f>"""NAV Direct"",""CRONUS JetCorp USA"",""21"",""1"",""441679"""</f>
        <v>"NAV Direct","CRONUS JetCorp USA","21","1","441679"</v>
      </c>
      <c r="E3879" s="31" t="str">
        <f t="shared" si="1175"/>
        <v>C100108</v>
      </c>
      <c r="F3879" s="31"/>
      <c r="G3879" s="31"/>
      <c r="H3879" s="31"/>
      <c r="I3879" s="56"/>
      <c r="J3879" s="56"/>
      <c r="K3879" s="82" t="str">
        <f t="shared" si="1183"/>
        <v>Credit Memo</v>
      </c>
      <c r="L3879" s="83" t="str">
        <f>"SC_100982"</f>
        <v>SC_100982</v>
      </c>
      <c r="M3879" s="84">
        <v>42537</v>
      </c>
      <c r="N3879" s="85">
        <f t="shared" si="1176"/>
        <v>1275</v>
      </c>
      <c r="O3879" s="86">
        <f t="shared" si="1177"/>
        <v>-64.33</v>
      </c>
      <c r="P3879" s="86">
        <f t="shared" si="1178"/>
        <v>0</v>
      </c>
      <c r="Q3879" s="86">
        <f t="shared" si="1179"/>
        <v>0</v>
      </c>
      <c r="R3879" s="86">
        <f t="shared" si="1180"/>
        <v>0</v>
      </c>
      <c r="S3879" s="86">
        <f t="shared" si="1181"/>
        <v>0</v>
      </c>
      <c r="T3879" s="86">
        <f t="shared" si="1182"/>
        <v>-64.33</v>
      </c>
      <c r="U3879" s="87">
        <v>-64.33</v>
      </c>
    </row>
    <row r="3880" spans="1:21" s="30" customFormat="1" ht="24.6" hidden="1" outlineLevel="1" x14ac:dyDescent="0.55000000000000004">
      <c r="A3880" s="27" t="s">
        <v>327</v>
      </c>
      <c r="B3880" s="28"/>
      <c r="C3880" s="27"/>
      <c r="D3880" s="27" t="str">
        <f>"""NAV Direct"",""CRONUS JetCorp USA"",""21"",""1"",""441696"""</f>
        <v>"NAV Direct","CRONUS JetCorp USA","21","1","441696"</v>
      </c>
      <c r="E3880" s="31">
        <f t="shared" si="1175"/>
        <v>0</v>
      </c>
      <c r="F3880" s="31"/>
      <c r="G3880" s="31"/>
      <c r="H3880" s="31"/>
      <c r="I3880" s="56"/>
      <c r="J3880" s="56"/>
      <c r="K3880" s="82" t="str">
        <f t="shared" si="1183"/>
        <v>Credit Memo</v>
      </c>
      <c r="L3880" s="83" t="str">
        <f>"SC_100983"</f>
        <v>SC_100983</v>
      </c>
      <c r="M3880" s="84">
        <v>42561</v>
      </c>
      <c r="N3880" s="85">
        <f t="shared" si="1176"/>
        <v>1251</v>
      </c>
      <c r="O3880" s="86">
        <f t="shared" si="1177"/>
        <v>-64.22</v>
      </c>
      <c r="P3880" s="86">
        <f t="shared" si="1178"/>
        <v>0</v>
      </c>
      <c r="Q3880" s="86">
        <f t="shared" si="1179"/>
        <v>0</v>
      </c>
      <c r="R3880" s="86">
        <f t="shared" si="1180"/>
        <v>0</v>
      </c>
      <c r="S3880" s="86">
        <f t="shared" si="1181"/>
        <v>0</v>
      </c>
      <c r="T3880" s="86">
        <f t="shared" si="1182"/>
        <v>-64.22</v>
      </c>
      <c r="U3880" s="87">
        <v>-64.22</v>
      </c>
    </row>
    <row r="3881" spans="1:21" s="30" customFormat="1" ht="24.6" hidden="1" outlineLevel="1" x14ac:dyDescent="0.55000000000000004">
      <c r="A3881" s="27" t="s">
        <v>327</v>
      </c>
      <c r="B3881" s="28"/>
      <c r="C3881" s="27"/>
      <c r="D3881" s="27" t="str">
        <f>"""NAV Direct"",""CRONUS JetCorp USA"",""21"",""1"",""441750"""</f>
        <v>"NAV Direct","CRONUS JetCorp USA","21","1","441750"</v>
      </c>
      <c r="E3881" s="31" t="str">
        <f t="shared" si="1175"/>
        <v>C100108</v>
      </c>
      <c r="F3881" s="31"/>
      <c r="G3881" s="31"/>
      <c r="H3881" s="31"/>
      <c r="I3881" s="56"/>
      <c r="J3881" s="56"/>
      <c r="K3881" s="82" t="str">
        <f t="shared" si="1183"/>
        <v>Credit Memo</v>
      </c>
      <c r="L3881" s="83" t="str">
        <f>"SC_100986"</f>
        <v>SC_100986</v>
      </c>
      <c r="M3881" s="84">
        <v>42660</v>
      </c>
      <c r="N3881" s="85">
        <f t="shared" si="1176"/>
        <v>1152</v>
      </c>
      <c r="O3881" s="86">
        <f t="shared" si="1177"/>
        <v>-68.25</v>
      </c>
      <c r="P3881" s="86">
        <f t="shared" si="1178"/>
        <v>0</v>
      </c>
      <c r="Q3881" s="86">
        <f t="shared" si="1179"/>
        <v>0</v>
      </c>
      <c r="R3881" s="86">
        <f t="shared" si="1180"/>
        <v>0</v>
      </c>
      <c r="S3881" s="86">
        <f t="shared" si="1181"/>
        <v>0</v>
      </c>
      <c r="T3881" s="86">
        <f t="shared" si="1182"/>
        <v>-68.25</v>
      </c>
      <c r="U3881" s="87">
        <v>-68.25</v>
      </c>
    </row>
    <row r="3882" spans="1:21" s="30" customFormat="1" ht="24.6" hidden="1" outlineLevel="1" x14ac:dyDescent="0.55000000000000004">
      <c r="A3882" s="27" t="s">
        <v>327</v>
      </c>
      <c r="B3882" s="28"/>
      <c r="C3882" s="27"/>
      <c r="D3882" s="27" t="str">
        <f>"""NAV Direct"",""CRONUS JetCorp USA"",""21"",""1"",""441772"""</f>
        <v>"NAV Direct","CRONUS JetCorp USA","21","1","441772"</v>
      </c>
      <c r="E3882" s="31">
        <f t="shared" si="1175"/>
        <v>0</v>
      </c>
      <c r="F3882" s="31"/>
      <c r="G3882" s="31"/>
      <c r="H3882" s="31"/>
      <c r="I3882" s="56"/>
      <c r="J3882" s="56"/>
      <c r="K3882" s="82" t="str">
        <f t="shared" si="1183"/>
        <v>Credit Memo</v>
      </c>
      <c r="L3882" s="83" t="str">
        <f>"SC_100987"</f>
        <v>SC_100987</v>
      </c>
      <c r="M3882" s="84">
        <v>42686</v>
      </c>
      <c r="N3882" s="85">
        <f t="shared" si="1176"/>
        <v>1126</v>
      </c>
      <c r="O3882" s="86">
        <f t="shared" si="1177"/>
        <v>-67.849999999999994</v>
      </c>
      <c r="P3882" s="86">
        <f t="shared" si="1178"/>
        <v>0</v>
      </c>
      <c r="Q3882" s="86">
        <f t="shared" si="1179"/>
        <v>0</v>
      </c>
      <c r="R3882" s="86">
        <f t="shared" si="1180"/>
        <v>0</v>
      </c>
      <c r="S3882" s="86">
        <f t="shared" si="1181"/>
        <v>0</v>
      </c>
      <c r="T3882" s="86">
        <f t="shared" si="1182"/>
        <v>-67.849999999999994</v>
      </c>
      <c r="U3882" s="87">
        <v>-67.849999999999994</v>
      </c>
    </row>
    <row r="3883" spans="1:21" s="30" customFormat="1" ht="24.6" hidden="1" outlineLevel="1" x14ac:dyDescent="0.55000000000000004">
      <c r="A3883" s="27" t="s">
        <v>327</v>
      </c>
      <c r="B3883" s="28"/>
      <c r="C3883" s="27"/>
      <c r="D3883" s="27" t="str">
        <f>"""NAV Direct"",""CRONUS JetCorp USA"",""21"",""1"",""441896"""</f>
        <v>"NAV Direct","CRONUS JetCorp USA","21","1","441896"</v>
      </c>
      <c r="E3883" s="31" t="str">
        <f t="shared" si="1175"/>
        <v>C100108</v>
      </c>
      <c r="F3883" s="31"/>
      <c r="G3883" s="31"/>
      <c r="H3883" s="31"/>
      <c r="I3883" s="56"/>
      <c r="J3883" s="56"/>
      <c r="K3883" s="82" t="str">
        <f t="shared" si="1183"/>
        <v>Credit Memo</v>
      </c>
      <c r="L3883" s="83" t="str">
        <f>"SC_100994"</f>
        <v>SC_100994</v>
      </c>
      <c r="M3883" s="84">
        <v>42814</v>
      </c>
      <c r="N3883" s="85">
        <f t="shared" si="1176"/>
        <v>998</v>
      </c>
      <c r="O3883" s="86">
        <f t="shared" si="1177"/>
        <v>-98.48</v>
      </c>
      <c r="P3883" s="86">
        <f t="shared" si="1178"/>
        <v>0</v>
      </c>
      <c r="Q3883" s="86">
        <f t="shared" si="1179"/>
        <v>0</v>
      </c>
      <c r="R3883" s="86">
        <f t="shared" si="1180"/>
        <v>0</v>
      </c>
      <c r="S3883" s="86">
        <f t="shared" si="1181"/>
        <v>0</v>
      </c>
      <c r="T3883" s="86">
        <f t="shared" si="1182"/>
        <v>-98.48</v>
      </c>
      <c r="U3883" s="87">
        <v>-98.48</v>
      </c>
    </row>
    <row r="3884" spans="1:21" s="30" customFormat="1" ht="24.6" hidden="1" outlineLevel="1" x14ac:dyDescent="0.55000000000000004">
      <c r="A3884" s="27" t="s">
        <v>327</v>
      </c>
      <c r="B3884" s="28"/>
      <c r="C3884" s="27"/>
      <c r="D3884" s="27" t="str">
        <f>"""NAV Direct"",""CRONUS JetCorp USA"",""21"",""1"",""441918"""</f>
        <v>"NAV Direct","CRONUS JetCorp USA","21","1","441918"</v>
      </c>
      <c r="E3884" s="31">
        <f t="shared" si="1175"/>
        <v>0</v>
      </c>
      <c r="F3884" s="31"/>
      <c r="G3884" s="31"/>
      <c r="H3884" s="31"/>
      <c r="I3884" s="56"/>
      <c r="J3884" s="56"/>
      <c r="K3884" s="82" t="str">
        <f t="shared" si="1183"/>
        <v>Credit Memo</v>
      </c>
      <c r="L3884" s="83" t="str">
        <f>"SC_100995"</f>
        <v>SC_100995</v>
      </c>
      <c r="M3884" s="84">
        <v>42843</v>
      </c>
      <c r="N3884" s="85">
        <f t="shared" si="1176"/>
        <v>969</v>
      </c>
      <c r="O3884" s="86">
        <f t="shared" si="1177"/>
        <v>-75.69</v>
      </c>
      <c r="P3884" s="86">
        <f t="shared" si="1178"/>
        <v>0</v>
      </c>
      <c r="Q3884" s="86">
        <f t="shared" si="1179"/>
        <v>0</v>
      </c>
      <c r="R3884" s="86">
        <f t="shared" si="1180"/>
        <v>0</v>
      </c>
      <c r="S3884" s="86">
        <f t="shared" si="1181"/>
        <v>0</v>
      </c>
      <c r="T3884" s="86">
        <f t="shared" si="1182"/>
        <v>-75.69</v>
      </c>
      <c r="U3884" s="87">
        <v>-75.69</v>
      </c>
    </row>
    <row r="3885" spans="1:21" s="30" customFormat="1" ht="24.6" hidden="1" outlineLevel="1" x14ac:dyDescent="0.55000000000000004">
      <c r="A3885" s="27" t="s">
        <v>327</v>
      </c>
      <c r="B3885" s="28"/>
      <c r="C3885" s="27"/>
      <c r="D3885" s="27" t="str">
        <f>"""NAV Direct"",""CRONUS JetCorp USA"",""21"",""1"",""441978"""</f>
        <v>"NAV Direct","CRONUS JetCorp USA","21","1","441978"</v>
      </c>
      <c r="E3885" s="31" t="str">
        <f t="shared" si="1175"/>
        <v>C100108</v>
      </c>
      <c r="F3885" s="31"/>
      <c r="G3885" s="31"/>
      <c r="H3885" s="31"/>
      <c r="I3885" s="56"/>
      <c r="J3885" s="56"/>
      <c r="K3885" s="82" t="str">
        <f t="shared" si="1183"/>
        <v>Credit Memo</v>
      </c>
      <c r="L3885" s="83" t="str">
        <f>"SC_100998"</f>
        <v>SC_100998</v>
      </c>
      <c r="M3885" s="84">
        <v>42890</v>
      </c>
      <c r="N3885" s="85">
        <f t="shared" si="1176"/>
        <v>922</v>
      </c>
      <c r="O3885" s="86">
        <f t="shared" si="1177"/>
        <v>-75.660000000000011</v>
      </c>
      <c r="P3885" s="86">
        <f t="shared" si="1178"/>
        <v>0</v>
      </c>
      <c r="Q3885" s="86">
        <f t="shared" si="1179"/>
        <v>0</v>
      </c>
      <c r="R3885" s="86">
        <f t="shared" si="1180"/>
        <v>0</v>
      </c>
      <c r="S3885" s="86">
        <f t="shared" si="1181"/>
        <v>0</v>
      </c>
      <c r="T3885" s="86">
        <f t="shared" si="1182"/>
        <v>-75.660000000000011</v>
      </c>
      <c r="U3885" s="87">
        <v>-75.660000000000011</v>
      </c>
    </row>
    <row r="3886" spans="1:21" s="30" customFormat="1" ht="24.6" hidden="1" outlineLevel="1" x14ac:dyDescent="0.55000000000000004">
      <c r="A3886" s="27" t="s">
        <v>327</v>
      </c>
      <c r="B3886" s="28"/>
      <c r="C3886" s="27"/>
      <c r="D3886" s="27" t="str">
        <f>"""NAV Direct"",""CRONUS JetCorp USA"",""21"",""1"",""441999"""</f>
        <v>"NAV Direct","CRONUS JetCorp USA","21","1","441999"</v>
      </c>
      <c r="E3886" s="31">
        <f t="shared" si="1175"/>
        <v>0</v>
      </c>
      <c r="F3886" s="31"/>
      <c r="G3886" s="31"/>
      <c r="H3886" s="31"/>
      <c r="I3886" s="56"/>
      <c r="J3886" s="56"/>
      <c r="K3886" s="82" t="str">
        <f t="shared" si="1183"/>
        <v>Credit Memo</v>
      </c>
      <c r="L3886" s="83" t="str">
        <f>"SC_100999"</f>
        <v>SC_100999</v>
      </c>
      <c r="M3886" s="84">
        <v>42896</v>
      </c>
      <c r="N3886" s="85">
        <f t="shared" si="1176"/>
        <v>916</v>
      </c>
      <c r="O3886" s="86">
        <f t="shared" si="1177"/>
        <v>-75.61</v>
      </c>
      <c r="P3886" s="86">
        <f t="shared" si="1178"/>
        <v>0</v>
      </c>
      <c r="Q3886" s="86">
        <f t="shared" si="1179"/>
        <v>0</v>
      </c>
      <c r="R3886" s="86">
        <f t="shared" si="1180"/>
        <v>0</v>
      </c>
      <c r="S3886" s="86">
        <f t="shared" si="1181"/>
        <v>0</v>
      </c>
      <c r="T3886" s="86">
        <f t="shared" si="1182"/>
        <v>-75.61</v>
      </c>
      <c r="U3886" s="87">
        <v>-75.61</v>
      </c>
    </row>
    <row r="3887" spans="1:21" s="30" customFormat="1" ht="24.6" hidden="1" outlineLevel="1" x14ac:dyDescent="0.55000000000000004">
      <c r="A3887" s="27" t="s">
        <v>327</v>
      </c>
      <c r="B3887" s="28"/>
      <c r="C3887" s="27"/>
      <c r="D3887" s="27" t="str">
        <f>"""NAV Direct"",""CRONUS JetCorp USA"",""21"",""1"",""442097"""</f>
        <v>"NAV Direct","CRONUS JetCorp USA","21","1","442097"</v>
      </c>
      <c r="E3887" s="31" t="str">
        <f t="shared" si="1175"/>
        <v>C100108</v>
      </c>
      <c r="F3887" s="31"/>
      <c r="G3887" s="31"/>
      <c r="H3887" s="31"/>
      <c r="I3887" s="56"/>
      <c r="J3887" s="56"/>
      <c r="K3887" s="82" t="str">
        <f t="shared" si="1183"/>
        <v>Credit Memo</v>
      </c>
      <c r="L3887" s="83" t="str">
        <f>"SC_101004"</f>
        <v>SC_101004</v>
      </c>
      <c r="M3887" s="84">
        <v>42986</v>
      </c>
      <c r="N3887" s="85">
        <f t="shared" si="1176"/>
        <v>826</v>
      </c>
      <c r="O3887" s="86">
        <f t="shared" si="1177"/>
        <v>-54.860000000000007</v>
      </c>
      <c r="P3887" s="86">
        <f t="shared" si="1178"/>
        <v>0</v>
      </c>
      <c r="Q3887" s="86">
        <f t="shared" si="1179"/>
        <v>0</v>
      </c>
      <c r="R3887" s="86">
        <f t="shared" si="1180"/>
        <v>0</v>
      </c>
      <c r="S3887" s="86">
        <f t="shared" si="1181"/>
        <v>0</v>
      </c>
      <c r="T3887" s="86">
        <f t="shared" si="1182"/>
        <v>-54.860000000000007</v>
      </c>
      <c r="U3887" s="87">
        <v>-54.860000000000007</v>
      </c>
    </row>
    <row r="3888" spans="1:21" s="30" customFormat="1" ht="24.6" hidden="1" outlineLevel="1" x14ac:dyDescent="0.55000000000000004">
      <c r="A3888" s="27" t="s">
        <v>327</v>
      </c>
      <c r="B3888" s="28"/>
      <c r="C3888" s="27"/>
      <c r="D3888" s="27" t="str">
        <f>"""NAV Direct"",""CRONUS JetCorp USA"",""21"",""1"",""442213"""</f>
        <v>"NAV Direct","CRONUS JetCorp USA","21","1","442213"</v>
      </c>
      <c r="E3888" s="31">
        <f t="shared" si="1175"/>
        <v>0</v>
      </c>
      <c r="F3888" s="31"/>
      <c r="G3888" s="31"/>
      <c r="H3888" s="31"/>
      <c r="I3888" s="56"/>
      <c r="J3888" s="56"/>
      <c r="K3888" s="82" t="str">
        <f t="shared" si="1183"/>
        <v>Credit Memo</v>
      </c>
      <c r="L3888" s="83" t="str">
        <f>"SC_101010"</f>
        <v>SC_101010</v>
      </c>
      <c r="M3888" s="84">
        <v>43108</v>
      </c>
      <c r="N3888" s="85">
        <f t="shared" si="1176"/>
        <v>704</v>
      </c>
      <c r="O3888" s="86">
        <f t="shared" si="1177"/>
        <v>-51.36</v>
      </c>
      <c r="P3888" s="86">
        <f t="shared" si="1178"/>
        <v>0</v>
      </c>
      <c r="Q3888" s="86">
        <f t="shared" si="1179"/>
        <v>0</v>
      </c>
      <c r="R3888" s="86">
        <f t="shared" si="1180"/>
        <v>0</v>
      </c>
      <c r="S3888" s="86">
        <f t="shared" si="1181"/>
        <v>0</v>
      </c>
      <c r="T3888" s="86">
        <f t="shared" si="1182"/>
        <v>-51.36</v>
      </c>
      <c r="U3888" s="87">
        <v>-51.36</v>
      </c>
    </row>
    <row r="3889" spans="1:21" s="30" customFormat="1" ht="24.6" hidden="1" outlineLevel="1" x14ac:dyDescent="0.55000000000000004">
      <c r="A3889" s="27" t="s">
        <v>327</v>
      </c>
      <c r="B3889" s="28"/>
      <c r="C3889" s="27"/>
      <c r="D3889" s="27" t="str">
        <f>"""NAV Direct"",""CRONUS JetCorp USA"",""21"",""1"",""442357"""</f>
        <v>"NAV Direct","CRONUS JetCorp USA","21","1","442357"</v>
      </c>
      <c r="E3889" s="31" t="str">
        <f t="shared" si="1175"/>
        <v>C100108</v>
      </c>
      <c r="F3889" s="31"/>
      <c r="G3889" s="31"/>
      <c r="H3889" s="31"/>
      <c r="I3889" s="56"/>
      <c r="J3889" s="56"/>
      <c r="K3889" s="82" t="str">
        <f t="shared" si="1183"/>
        <v>Credit Memo</v>
      </c>
      <c r="L3889" s="83" t="str">
        <f>"SC_101018"</f>
        <v>SC_101018</v>
      </c>
      <c r="M3889" s="84">
        <v>43271</v>
      </c>
      <c r="N3889" s="85">
        <f t="shared" si="1176"/>
        <v>541</v>
      </c>
      <c r="O3889" s="86">
        <f t="shared" si="1177"/>
        <v>-55.129999999999995</v>
      </c>
      <c r="P3889" s="86">
        <f t="shared" si="1178"/>
        <v>0</v>
      </c>
      <c r="Q3889" s="86">
        <f t="shared" si="1179"/>
        <v>0</v>
      </c>
      <c r="R3889" s="86">
        <f t="shared" si="1180"/>
        <v>0</v>
      </c>
      <c r="S3889" s="86">
        <f t="shared" si="1181"/>
        <v>0</v>
      </c>
      <c r="T3889" s="86">
        <f t="shared" si="1182"/>
        <v>-55.129999999999995</v>
      </c>
      <c r="U3889" s="87">
        <v>-55.129999999999995</v>
      </c>
    </row>
    <row r="3890" spans="1:21" s="30" customFormat="1" ht="24.6" hidden="1" outlineLevel="1" x14ac:dyDescent="0.55000000000000004">
      <c r="A3890" s="27" t="s">
        <v>327</v>
      </c>
      <c r="B3890" s="28"/>
      <c r="C3890" s="27"/>
      <c r="D3890" s="27" t="str">
        <f>"""NAV Direct"",""CRONUS JetCorp USA"",""21"",""1"",""442388"""</f>
        <v>"NAV Direct","CRONUS JetCorp USA","21","1","442388"</v>
      </c>
      <c r="E3890" s="31">
        <f t="shared" si="1175"/>
        <v>0</v>
      </c>
      <c r="F3890" s="31"/>
      <c r="G3890" s="31"/>
      <c r="H3890" s="31"/>
      <c r="I3890" s="56"/>
      <c r="J3890" s="56"/>
      <c r="K3890" s="82" t="str">
        <f t="shared" si="1183"/>
        <v>Credit Memo</v>
      </c>
      <c r="L3890" s="83" t="str">
        <f>"SC_101020"</f>
        <v>SC_101020</v>
      </c>
      <c r="M3890" s="84">
        <v>43314</v>
      </c>
      <c r="N3890" s="85">
        <f t="shared" si="1176"/>
        <v>498</v>
      </c>
      <c r="O3890" s="86">
        <f t="shared" si="1177"/>
        <v>-63.219999999999992</v>
      </c>
      <c r="P3890" s="86">
        <f t="shared" si="1178"/>
        <v>0</v>
      </c>
      <c r="Q3890" s="86">
        <f t="shared" si="1179"/>
        <v>0</v>
      </c>
      <c r="R3890" s="86">
        <f t="shared" si="1180"/>
        <v>0</v>
      </c>
      <c r="S3890" s="86">
        <f t="shared" si="1181"/>
        <v>0</v>
      </c>
      <c r="T3890" s="86">
        <f t="shared" si="1182"/>
        <v>-63.219999999999992</v>
      </c>
      <c r="U3890" s="87">
        <v>-63.219999999999992</v>
      </c>
    </row>
    <row r="3891" spans="1:21" s="30" customFormat="1" ht="24.6" hidden="1" outlineLevel="1" x14ac:dyDescent="0.55000000000000004">
      <c r="A3891" s="27" t="s">
        <v>327</v>
      </c>
      <c r="B3891" s="28"/>
      <c r="C3891" s="27"/>
      <c r="D3891" s="27" t="str">
        <f>"""NAV Direct"",""CRONUS JetCorp USA"",""21"",""1"",""442403"""</f>
        <v>"NAV Direct","CRONUS JetCorp USA","21","1","442403"</v>
      </c>
      <c r="E3891" s="31" t="str">
        <f t="shared" si="1175"/>
        <v>C100108</v>
      </c>
      <c r="F3891" s="31"/>
      <c r="G3891" s="31"/>
      <c r="H3891" s="31"/>
      <c r="I3891" s="56"/>
      <c r="J3891" s="56"/>
      <c r="K3891" s="82" t="str">
        <f t="shared" si="1183"/>
        <v>Credit Memo</v>
      </c>
      <c r="L3891" s="83" t="str">
        <f>"SC_101021"</f>
        <v>SC_101021</v>
      </c>
      <c r="M3891" s="84">
        <v>43318</v>
      </c>
      <c r="N3891" s="85">
        <f t="shared" si="1176"/>
        <v>494</v>
      </c>
      <c r="O3891" s="86">
        <f t="shared" si="1177"/>
        <v>-63.28</v>
      </c>
      <c r="P3891" s="86">
        <f t="shared" si="1178"/>
        <v>0</v>
      </c>
      <c r="Q3891" s="86">
        <f t="shared" si="1179"/>
        <v>0</v>
      </c>
      <c r="R3891" s="86">
        <f t="shared" si="1180"/>
        <v>0</v>
      </c>
      <c r="S3891" s="86">
        <f t="shared" si="1181"/>
        <v>0</v>
      </c>
      <c r="T3891" s="86">
        <f t="shared" si="1182"/>
        <v>-63.28</v>
      </c>
      <c r="U3891" s="87">
        <v>-63.28</v>
      </c>
    </row>
    <row r="3892" spans="1:21" s="30" customFormat="1" ht="24.6" hidden="1" outlineLevel="1" x14ac:dyDescent="0.55000000000000004">
      <c r="A3892" s="27" t="s">
        <v>327</v>
      </c>
      <c r="B3892" s="28"/>
      <c r="C3892" s="27"/>
      <c r="D3892" s="27" t="str">
        <f>"""NAV Direct"",""CRONUS JetCorp USA"",""21"",""1"",""442593"""</f>
        <v>"NAV Direct","CRONUS JetCorp USA","21","1","442593"</v>
      </c>
      <c r="E3892" s="31">
        <f t="shared" si="1175"/>
        <v>0</v>
      </c>
      <c r="F3892" s="31"/>
      <c r="G3892" s="31"/>
      <c r="H3892" s="31"/>
      <c r="I3892" s="56"/>
      <c r="J3892" s="56"/>
      <c r="K3892" s="82" t="str">
        <f t="shared" si="1183"/>
        <v>Credit Memo</v>
      </c>
      <c r="L3892" s="83" t="str">
        <f>"SC_101031"</f>
        <v>SC_101031</v>
      </c>
      <c r="M3892" s="84">
        <v>43418</v>
      </c>
      <c r="N3892" s="85">
        <f t="shared" si="1176"/>
        <v>394</v>
      </c>
      <c r="O3892" s="86">
        <f t="shared" si="1177"/>
        <v>-77.31</v>
      </c>
      <c r="P3892" s="86">
        <f t="shared" si="1178"/>
        <v>0</v>
      </c>
      <c r="Q3892" s="86">
        <f t="shared" si="1179"/>
        <v>0</v>
      </c>
      <c r="R3892" s="86">
        <f t="shared" si="1180"/>
        <v>0</v>
      </c>
      <c r="S3892" s="86">
        <f t="shared" si="1181"/>
        <v>0</v>
      </c>
      <c r="T3892" s="86">
        <f t="shared" si="1182"/>
        <v>-77.31</v>
      </c>
      <c r="U3892" s="87">
        <v>-77.31</v>
      </c>
    </row>
    <row r="3893" spans="1:21" s="30" customFormat="1" ht="24.6" hidden="1" outlineLevel="1" x14ac:dyDescent="0.55000000000000004">
      <c r="A3893" s="27" t="s">
        <v>327</v>
      </c>
      <c r="B3893" s="28"/>
      <c r="C3893" s="27"/>
      <c r="D3893" s="27" t="str">
        <f>"""NAV Direct"",""CRONUS JetCorp USA"",""21"",""1"",""442644"""</f>
        <v>"NAV Direct","CRONUS JetCorp USA","21","1","442644"</v>
      </c>
      <c r="E3893" s="31" t="str">
        <f t="shared" si="1175"/>
        <v>C100108</v>
      </c>
      <c r="F3893" s="31"/>
      <c r="G3893" s="31"/>
      <c r="H3893" s="31"/>
      <c r="I3893" s="56"/>
      <c r="J3893" s="56"/>
      <c r="K3893" s="82" t="str">
        <f t="shared" si="1183"/>
        <v>Credit Memo</v>
      </c>
      <c r="L3893" s="83" t="str">
        <f>"SC_101034"</f>
        <v>SC_101034</v>
      </c>
      <c r="M3893" s="84">
        <v>43482</v>
      </c>
      <c r="N3893" s="85">
        <f t="shared" si="1176"/>
        <v>330</v>
      </c>
      <c r="O3893" s="86">
        <f t="shared" si="1177"/>
        <v>-62.830000000000005</v>
      </c>
      <c r="P3893" s="86">
        <f t="shared" si="1178"/>
        <v>0</v>
      </c>
      <c r="Q3893" s="86">
        <f t="shared" si="1179"/>
        <v>0</v>
      </c>
      <c r="R3893" s="86">
        <f t="shared" si="1180"/>
        <v>0</v>
      </c>
      <c r="S3893" s="86">
        <f t="shared" si="1181"/>
        <v>0</v>
      </c>
      <c r="T3893" s="86">
        <f t="shared" si="1182"/>
        <v>-62.830000000000005</v>
      </c>
      <c r="U3893" s="87">
        <v>-62.830000000000005</v>
      </c>
    </row>
    <row r="3894" spans="1:21" s="30" customFormat="1" ht="24.6" hidden="1" outlineLevel="1" x14ac:dyDescent="0.55000000000000004">
      <c r="A3894" s="27" t="s">
        <v>327</v>
      </c>
      <c r="B3894" s="28"/>
      <c r="C3894" s="27"/>
      <c r="D3894" s="27" t="str">
        <f>"""NAV Direct"",""CRONUS JetCorp USA"",""21"",""1"",""442944"""</f>
        <v>"NAV Direct","CRONUS JetCorp USA","21","1","442944"</v>
      </c>
      <c r="E3894" s="31">
        <f t="shared" si="1175"/>
        <v>0</v>
      </c>
      <c r="F3894" s="31"/>
      <c r="G3894" s="31"/>
      <c r="H3894" s="31"/>
      <c r="I3894" s="56"/>
      <c r="J3894" s="56"/>
      <c r="K3894" s="82" t="str">
        <f t="shared" si="1183"/>
        <v>Credit Memo</v>
      </c>
      <c r="L3894" s="83" t="str">
        <f>"SC_101048"</f>
        <v>SC_101048</v>
      </c>
      <c r="M3894" s="84">
        <v>43777</v>
      </c>
      <c r="N3894" s="85">
        <f t="shared" si="1176"/>
        <v>35</v>
      </c>
      <c r="O3894" s="86">
        <f t="shared" si="1177"/>
        <v>-82.16</v>
      </c>
      <c r="P3894" s="86">
        <f t="shared" si="1178"/>
        <v>0</v>
      </c>
      <c r="Q3894" s="86">
        <f t="shared" si="1179"/>
        <v>0</v>
      </c>
      <c r="R3894" s="86">
        <f t="shared" si="1180"/>
        <v>-82.16</v>
      </c>
      <c r="S3894" s="86">
        <f t="shared" si="1181"/>
        <v>0</v>
      </c>
      <c r="T3894" s="86">
        <f t="shared" si="1182"/>
        <v>0</v>
      </c>
      <c r="U3894" s="87">
        <v>-82.16</v>
      </c>
    </row>
    <row r="3895" spans="1:21" s="30" customFormat="1" ht="24.6" hidden="1" outlineLevel="1" x14ac:dyDescent="0.55000000000000004">
      <c r="A3895" s="27" t="s">
        <v>327</v>
      </c>
      <c r="B3895" s="28"/>
      <c r="C3895" s="27"/>
      <c r="D3895" s="27" t="str">
        <f>"""NAV Direct"",""CRONUS JetCorp USA"",""21"",""1"",""443164"""</f>
        <v>"NAV Direct","CRONUS JetCorp USA","21","1","443164"</v>
      </c>
      <c r="E3895" s="31" t="str">
        <f t="shared" si="1175"/>
        <v>C100108</v>
      </c>
      <c r="F3895" s="31"/>
      <c r="G3895" s="31"/>
      <c r="H3895" s="31"/>
      <c r="I3895" s="56"/>
      <c r="J3895" s="56"/>
      <c r="K3895" s="82" t="str">
        <f t="shared" si="1183"/>
        <v>Credit Memo</v>
      </c>
      <c r="L3895" s="83" t="str">
        <f>"SC_101060"</f>
        <v>SC_101060</v>
      </c>
      <c r="M3895" s="84">
        <v>42110</v>
      </c>
      <c r="N3895" s="85">
        <f t="shared" si="1176"/>
        <v>1702</v>
      </c>
      <c r="O3895" s="86">
        <f t="shared" si="1177"/>
        <v>-81.96</v>
      </c>
      <c r="P3895" s="86">
        <f t="shared" si="1178"/>
        <v>0</v>
      </c>
      <c r="Q3895" s="86">
        <f t="shared" si="1179"/>
        <v>0</v>
      </c>
      <c r="R3895" s="86">
        <f t="shared" si="1180"/>
        <v>0</v>
      </c>
      <c r="S3895" s="86">
        <f t="shared" si="1181"/>
        <v>0</v>
      </c>
      <c r="T3895" s="86">
        <f t="shared" si="1182"/>
        <v>-81.96</v>
      </c>
      <c r="U3895" s="87">
        <v>-81.96</v>
      </c>
    </row>
    <row r="3896" spans="1:21" s="30" customFormat="1" ht="24.6" hidden="1" outlineLevel="1" x14ac:dyDescent="0.55000000000000004">
      <c r="A3896" s="27" t="s">
        <v>327</v>
      </c>
      <c r="B3896" s="28"/>
      <c r="C3896" s="27"/>
      <c r="D3896" s="27" t="str">
        <f>"""NAV Direct"",""CRONUS JetCorp USA"",""21"",""1"",""443293"""</f>
        <v>"NAV Direct","CRONUS JetCorp USA","21","1","443293"</v>
      </c>
      <c r="E3896" s="31">
        <f t="shared" si="1175"/>
        <v>0</v>
      </c>
      <c r="F3896" s="31"/>
      <c r="G3896" s="31"/>
      <c r="H3896" s="31"/>
      <c r="I3896" s="56"/>
      <c r="J3896" s="56"/>
      <c r="K3896" s="82" t="str">
        <f t="shared" si="1183"/>
        <v>Credit Memo</v>
      </c>
      <c r="L3896" s="83" t="str">
        <f>"SC_101067"</f>
        <v>SC_101067</v>
      </c>
      <c r="M3896" s="84">
        <v>42193</v>
      </c>
      <c r="N3896" s="85">
        <f t="shared" si="1176"/>
        <v>1619</v>
      </c>
      <c r="O3896" s="86">
        <f t="shared" si="1177"/>
        <v>-51.660000000000004</v>
      </c>
      <c r="P3896" s="86">
        <f t="shared" si="1178"/>
        <v>0</v>
      </c>
      <c r="Q3896" s="86">
        <f t="shared" si="1179"/>
        <v>0</v>
      </c>
      <c r="R3896" s="86">
        <f t="shared" si="1180"/>
        <v>0</v>
      </c>
      <c r="S3896" s="86">
        <f t="shared" si="1181"/>
        <v>0</v>
      </c>
      <c r="T3896" s="86">
        <f t="shared" si="1182"/>
        <v>-51.660000000000004</v>
      </c>
      <c r="U3896" s="87">
        <v>-51.660000000000004</v>
      </c>
    </row>
    <row r="3897" spans="1:21" s="30" customFormat="1" ht="24.6" hidden="1" outlineLevel="1" x14ac:dyDescent="0.55000000000000004">
      <c r="A3897" s="27" t="s">
        <v>327</v>
      </c>
      <c r="B3897" s="28"/>
      <c r="C3897" s="27"/>
      <c r="D3897" s="27" t="str">
        <f>"""NAV Direct"",""CRONUS JetCorp USA"",""21"",""1"",""443379"""</f>
        <v>"NAV Direct","CRONUS JetCorp USA","21","1","443379"</v>
      </c>
      <c r="E3897" s="31" t="str">
        <f t="shared" si="1175"/>
        <v>C100108</v>
      </c>
      <c r="F3897" s="31"/>
      <c r="G3897" s="31"/>
      <c r="H3897" s="31"/>
      <c r="I3897" s="56"/>
      <c r="J3897" s="56"/>
      <c r="K3897" s="82" t="str">
        <f t="shared" si="1183"/>
        <v>Credit Memo</v>
      </c>
      <c r="L3897" s="83" t="str">
        <f>"SC_101071"</f>
        <v>SC_101071</v>
      </c>
      <c r="M3897" s="84">
        <v>42228</v>
      </c>
      <c r="N3897" s="85">
        <f t="shared" si="1176"/>
        <v>1584</v>
      </c>
      <c r="O3897" s="86">
        <f t="shared" si="1177"/>
        <v>-60.339999999999996</v>
      </c>
      <c r="P3897" s="86">
        <f t="shared" si="1178"/>
        <v>0</v>
      </c>
      <c r="Q3897" s="86">
        <f t="shared" si="1179"/>
        <v>0</v>
      </c>
      <c r="R3897" s="86">
        <f t="shared" si="1180"/>
        <v>0</v>
      </c>
      <c r="S3897" s="86">
        <f t="shared" si="1181"/>
        <v>0</v>
      </c>
      <c r="T3897" s="86">
        <f t="shared" si="1182"/>
        <v>-60.339999999999996</v>
      </c>
      <c r="U3897" s="87">
        <v>-60.339999999999996</v>
      </c>
    </row>
    <row r="3898" spans="1:21" s="30" customFormat="1" ht="24.6" hidden="1" outlineLevel="1" x14ac:dyDescent="0.55000000000000004">
      <c r="A3898" s="27" t="s">
        <v>327</v>
      </c>
      <c r="B3898" s="28"/>
      <c r="C3898" s="27"/>
      <c r="D3898" s="27" t="str">
        <f>"""NAV Direct"",""CRONUS JetCorp USA"",""21"",""1"",""443454"""</f>
        <v>"NAV Direct","CRONUS JetCorp USA","21","1","443454"</v>
      </c>
      <c r="E3898" s="31">
        <f t="shared" si="1175"/>
        <v>0</v>
      </c>
      <c r="F3898" s="31"/>
      <c r="G3898" s="31"/>
      <c r="H3898" s="31"/>
      <c r="I3898" s="56"/>
      <c r="J3898" s="56"/>
      <c r="K3898" s="82" t="str">
        <f t="shared" si="1183"/>
        <v>Credit Memo</v>
      </c>
      <c r="L3898" s="83" t="str">
        <f>"SC_101074"</f>
        <v>SC_101074</v>
      </c>
      <c r="M3898" s="84">
        <v>42257</v>
      </c>
      <c r="N3898" s="85">
        <f t="shared" si="1176"/>
        <v>1555</v>
      </c>
      <c r="O3898" s="86">
        <f t="shared" si="1177"/>
        <v>-63.08</v>
      </c>
      <c r="P3898" s="86">
        <f t="shared" si="1178"/>
        <v>0</v>
      </c>
      <c r="Q3898" s="86">
        <f t="shared" si="1179"/>
        <v>0</v>
      </c>
      <c r="R3898" s="86">
        <f t="shared" si="1180"/>
        <v>0</v>
      </c>
      <c r="S3898" s="86">
        <f t="shared" si="1181"/>
        <v>0</v>
      </c>
      <c r="T3898" s="86">
        <f t="shared" si="1182"/>
        <v>-63.08</v>
      </c>
      <c r="U3898" s="87">
        <v>-63.08</v>
      </c>
    </row>
    <row r="3899" spans="1:21" s="30" customFormat="1" ht="24.6" hidden="1" outlineLevel="1" x14ac:dyDescent="0.55000000000000004">
      <c r="A3899" s="27" t="s">
        <v>327</v>
      </c>
      <c r="B3899" s="28"/>
      <c r="C3899" s="27"/>
      <c r="D3899" s="27" t="str">
        <f>"""NAV Direct"",""CRONUS JetCorp USA"",""21"",""1"",""443479"""</f>
        <v>"NAV Direct","CRONUS JetCorp USA","21","1","443479"</v>
      </c>
      <c r="E3899" s="31" t="str">
        <f t="shared" si="1175"/>
        <v>C100108</v>
      </c>
      <c r="F3899" s="31"/>
      <c r="G3899" s="31"/>
      <c r="H3899" s="31"/>
      <c r="I3899" s="56"/>
      <c r="J3899" s="56"/>
      <c r="K3899" s="82" t="str">
        <f t="shared" si="1183"/>
        <v>Credit Memo</v>
      </c>
      <c r="L3899" s="83" t="str">
        <f>"SC_101075"</f>
        <v>SC_101075</v>
      </c>
      <c r="M3899" s="84">
        <v>42285</v>
      </c>
      <c r="N3899" s="85">
        <f t="shared" si="1176"/>
        <v>1527</v>
      </c>
      <c r="O3899" s="86">
        <f t="shared" si="1177"/>
        <v>-67.84</v>
      </c>
      <c r="P3899" s="86">
        <f t="shared" si="1178"/>
        <v>0</v>
      </c>
      <c r="Q3899" s="86">
        <f t="shared" si="1179"/>
        <v>0</v>
      </c>
      <c r="R3899" s="86">
        <f t="shared" si="1180"/>
        <v>0</v>
      </c>
      <c r="S3899" s="86">
        <f t="shared" si="1181"/>
        <v>0</v>
      </c>
      <c r="T3899" s="86">
        <f t="shared" si="1182"/>
        <v>-67.84</v>
      </c>
      <c r="U3899" s="87">
        <v>-67.84</v>
      </c>
    </row>
    <row r="3900" spans="1:21" s="22" customFormat="1" ht="20.399999999999999" collapsed="1" x14ac:dyDescent="0.45">
      <c r="A3900" s="12" t="s">
        <v>327</v>
      </c>
      <c r="B3900" s="19"/>
      <c r="C3900" s="12"/>
      <c r="D3900" s="12"/>
      <c r="E3900" s="23"/>
      <c r="F3900" s="23"/>
      <c r="G3900" s="23"/>
      <c r="H3900" s="23"/>
      <c r="I3900" s="49"/>
      <c r="J3900" s="88"/>
      <c r="K3900" s="88"/>
      <c r="L3900" s="89"/>
      <c r="M3900" s="89"/>
      <c r="N3900" s="89"/>
      <c r="O3900" s="89"/>
      <c r="P3900" s="89"/>
      <c r="Q3900" s="90"/>
      <c r="R3900" s="90"/>
      <c r="S3900" s="91"/>
      <c r="T3900" s="92"/>
      <c r="U3900" s="92"/>
    </row>
    <row r="3901" spans="1:21" s="22" customFormat="1" ht="20.399999999999999" x14ac:dyDescent="0.45">
      <c r="A3901" s="12" t="s">
        <v>327</v>
      </c>
      <c r="B3901" s="19"/>
      <c r="C3901" s="12"/>
      <c r="D3901" s="12"/>
      <c r="E3901" s="23"/>
      <c r="F3901" s="23"/>
      <c r="G3901" s="23"/>
      <c r="H3901" s="23"/>
      <c r="I3901" s="49"/>
      <c r="J3901" s="88"/>
      <c r="K3901" s="88"/>
      <c r="L3901" s="89"/>
      <c r="M3901" s="89"/>
      <c r="N3901" s="89"/>
      <c r="O3901" s="89"/>
      <c r="P3901" s="89"/>
      <c r="Q3901" s="90"/>
      <c r="R3901" s="90"/>
      <c r="S3901" s="91"/>
      <c r="T3901" s="92"/>
      <c r="U3901" s="92"/>
    </row>
    <row r="3902" spans="1:21" s="26" customFormat="1" ht="24.6" x14ac:dyDescent="0.55000000000000004">
      <c r="A3902" s="27" t="s">
        <v>327</v>
      </c>
      <c r="B3902" s="28"/>
      <c r="C3902" s="27" t="str">
        <f>"""NAV Direct"",""CRONUS JetCorp USA"",""18"",""1"",""C100110"""</f>
        <v>"NAV Direct","CRONUS JetCorp USA","18","1","C100110"</v>
      </c>
      <c r="D3902" s="27"/>
      <c r="E3902" s="28" t="str">
        <f>H3902</f>
        <v>C100110</v>
      </c>
      <c r="F3902" s="28"/>
      <c r="G3902" s="28"/>
      <c r="H3902" s="28" t="str">
        <f>"C100110"</f>
        <v>C100110</v>
      </c>
      <c r="I3902" s="116" t="str">
        <f>"C100110  -  Ganzlex NV"</f>
        <v>C100110  -  Ganzlex NV</v>
      </c>
      <c r="J3902" s="117" t="str">
        <f>""</f>
        <v/>
      </c>
      <c r="K3902" s="118"/>
      <c r="L3902" s="119">
        <f>SUBTOTAL(3,L3903:L3920)</f>
        <v>14</v>
      </c>
      <c r="M3902" s="118"/>
      <c r="N3902" s="118"/>
      <c r="O3902" s="120">
        <f t="shared" ref="O3902:T3902" si="1184">SUBTOTAL(9,O3903:O3920)</f>
        <v>35241.950000000004</v>
      </c>
      <c r="P3902" s="120">
        <f t="shared" si="1184"/>
        <v>0</v>
      </c>
      <c r="Q3902" s="120">
        <f t="shared" si="1184"/>
        <v>0</v>
      </c>
      <c r="R3902" s="120">
        <f t="shared" si="1184"/>
        <v>0</v>
      </c>
      <c r="S3902" s="120">
        <f t="shared" si="1184"/>
        <v>0</v>
      </c>
      <c r="T3902" s="120">
        <f t="shared" si="1184"/>
        <v>35241.950000000004</v>
      </c>
      <c r="U3902" s="81"/>
    </row>
    <row r="3903" spans="1:21" s="26" customFormat="1" ht="24.6" x14ac:dyDescent="0.55000000000000004">
      <c r="A3903" s="27" t="s">
        <v>327</v>
      </c>
      <c r="B3903" s="28"/>
      <c r="C3903" s="27" t="str">
        <f>C3902</f>
        <v>"NAV Direct","CRONUS JetCorp USA","18","1","C100110"</v>
      </c>
      <c r="D3903" s="27"/>
      <c r="E3903" s="28" t="str">
        <f>E3902</f>
        <v>C100110</v>
      </c>
      <c r="F3903" s="28"/>
      <c r="G3903" s="28"/>
      <c r="H3903" s="28"/>
      <c r="I3903" s="121" t="str">
        <f>"Contact: Israfel Darkmoon"</f>
        <v>Contact: Israfel Darkmoon</v>
      </c>
      <c r="J3903" s="121"/>
      <c r="K3903" s="122"/>
      <c r="L3903" s="123"/>
      <c r="M3903" s="123"/>
      <c r="N3903" s="124"/>
      <c r="O3903" s="124"/>
      <c r="P3903" s="123"/>
      <c r="Q3903" s="125"/>
      <c r="R3903" s="126"/>
      <c r="S3903" s="126"/>
      <c r="T3903" s="125"/>
      <c r="U3903" s="81"/>
    </row>
    <row r="3904" spans="1:21" s="26" customFormat="1" ht="24.6" x14ac:dyDescent="0.55000000000000004">
      <c r="A3904" s="27" t="s">
        <v>327</v>
      </c>
      <c r="B3904" s="28"/>
      <c r="C3904" s="27" t="str">
        <f>C3903</f>
        <v>"NAV Direct","CRONUS JetCorp USA","18","1","C100110"</v>
      </c>
      <c r="D3904" s="27"/>
      <c r="E3904" s="28" t="str">
        <f>E3903</f>
        <v>C100110</v>
      </c>
      <c r="F3904" s="28"/>
      <c r="G3904" s="28"/>
      <c r="H3904" s="28"/>
      <c r="I3904" s="121" t="str">
        <f>"Ganzlex NV@Cronus.com"</f>
        <v>Ganzlex NV@Cronus.com</v>
      </c>
      <c r="J3904" s="121"/>
      <c r="K3904" s="122"/>
      <c r="L3904" s="124"/>
      <c r="M3904" s="124"/>
      <c r="N3904" s="124"/>
      <c r="O3904" s="124"/>
      <c r="P3904" s="123"/>
      <c r="Q3904" s="125"/>
      <c r="R3904" s="126"/>
      <c r="S3904" s="126"/>
      <c r="T3904" s="125"/>
      <c r="U3904" s="81"/>
    </row>
    <row r="3905" spans="1:22" ht="12.75" hidden="1" customHeight="1" outlineLevel="1" x14ac:dyDescent="0.45">
      <c r="A3905" s="12" t="s">
        <v>328</v>
      </c>
      <c r="B3905" s="19"/>
      <c r="E3905" s="19"/>
      <c r="F3905" s="19"/>
      <c r="G3905" s="19"/>
      <c r="H3905" s="19"/>
      <c r="I3905" s="61"/>
      <c r="J3905" s="61"/>
      <c r="K3905" s="61"/>
      <c r="L3905" s="61"/>
      <c r="M3905" s="61"/>
      <c r="N3905" s="61"/>
      <c r="O3905" s="61"/>
      <c r="P3905" s="61"/>
      <c r="Q3905" s="61"/>
      <c r="R3905" s="61"/>
      <c r="S3905" s="61"/>
      <c r="T3905" s="61"/>
      <c r="U3905" s="61"/>
      <c r="V3905" s="21"/>
    </row>
    <row r="3906" spans="1:22" s="30" customFormat="1" ht="24.6" hidden="1" outlineLevel="1" x14ac:dyDescent="0.55000000000000004">
      <c r="A3906" s="27" t="s">
        <v>327</v>
      </c>
      <c r="B3906" s="28"/>
      <c r="C3906" s="27"/>
      <c r="D3906" s="27" t="str">
        <f>"""NAV Direct"",""CRONUS JetCorp USA"",""21"",""1"",""209245"""</f>
        <v>"NAV Direct","CRONUS JetCorp USA","21","1","209245"</v>
      </c>
      <c r="E3906" s="31" t="str">
        <f t="shared" ref="E3906:E3919" si="1185">E3904</f>
        <v>C100110</v>
      </c>
      <c r="F3906" s="31"/>
      <c r="G3906" s="31"/>
      <c r="H3906" s="31"/>
      <c r="I3906" s="56"/>
      <c r="J3906" s="56"/>
      <c r="K3906" s="82" t="str">
        <f t="shared" ref="K3906:K3914" si="1186">"Invoice"</f>
        <v>Invoice</v>
      </c>
      <c r="L3906" s="83" t="str">
        <f>"SI_108468"</f>
        <v>SI_108468</v>
      </c>
      <c r="M3906" s="84">
        <v>42026</v>
      </c>
      <c r="N3906" s="85">
        <f t="shared" ref="N3906:N3919" si="1187">StartDate-$M3906+1</f>
        <v>1786</v>
      </c>
      <c r="O3906" s="86">
        <f t="shared" ref="O3906:O3919" si="1188">SUM(P3906:T3906)</f>
        <v>3537.54</v>
      </c>
      <c r="P3906" s="86">
        <f t="shared" ref="P3906:P3919" si="1189">IF($M3906&gt;=$P$18,U3906,0)</f>
        <v>0</v>
      </c>
      <c r="Q3906" s="86">
        <f t="shared" ref="Q3906:Q3919" si="1190">IF(AND($M3906&gt;=$Q$16,$M3906&lt;=$Q$18),U3906,0)</f>
        <v>0</v>
      </c>
      <c r="R3906" s="86">
        <f t="shared" ref="R3906:R3919" si="1191">IF(AND($M3906&gt;=$R$16,$M3906&lt;=$R$18),U3906,0)</f>
        <v>0</v>
      </c>
      <c r="S3906" s="86">
        <f t="shared" ref="S3906:S3919" si="1192">IF(AND($M3906&gt;=$S$16,$M3906&lt;=$S$18),U3906,0)</f>
        <v>0</v>
      </c>
      <c r="T3906" s="86">
        <f t="shared" ref="T3906:T3919" si="1193">IF($M3906&lt;=$T$18,U3906,0)</f>
        <v>3537.54</v>
      </c>
      <c r="U3906" s="87">
        <v>3537.54</v>
      </c>
    </row>
    <row r="3907" spans="1:22" s="30" customFormat="1" ht="24.6" hidden="1" outlineLevel="1" x14ac:dyDescent="0.55000000000000004">
      <c r="A3907" s="27" t="s">
        <v>327</v>
      </c>
      <c r="B3907" s="28"/>
      <c r="C3907" s="27"/>
      <c r="D3907" s="27" t="str">
        <f>"""NAV Direct"",""CRONUS JetCorp USA"",""21"",""1"",""209947"""</f>
        <v>"NAV Direct","CRONUS JetCorp USA","21","1","209947"</v>
      </c>
      <c r="E3907" s="31">
        <f t="shared" si="1185"/>
        <v>0</v>
      </c>
      <c r="F3907" s="31"/>
      <c r="G3907" s="31"/>
      <c r="H3907" s="31"/>
      <c r="I3907" s="56"/>
      <c r="J3907" s="56"/>
      <c r="K3907" s="82" t="str">
        <f t="shared" si="1186"/>
        <v>Invoice</v>
      </c>
      <c r="L3907" s="83" t="str">
        <f>"SI_108486"</f>
        <v>SI_108486</v>
      </c>
      <c r="M3907" s="84">
        <v>42084</v>
      </c>
      <c r="N3907" s="85">
        <f t="shared" si="1187"/>
        <v>1728</v>
      </c>
      <c r="O3907" s="86">
        <f t="shared" si="1188"/>
        <v>3713.18</v>
      </c>
      <c r="P3907" s="86">
        <f t="shared" si="1189"/>
        <v>0</v>
      </c>
      <c r="Q3907" s="86">
        <f t="shared" si="1190"/>
        <v>0</v>
      </c>
      <c r="R3907" s="86">
        <f t="shared" si="1191"/>
        <v>0</v>
      </c>
      <c r="S3907" s="86">
        <f t="shared" si="1192"/>
        <v>0</v>
      </c>
      <c r="T3907" s="86">
        <f t="shared" si="1193"/>
        <v>3713.18</v>
      </c>
      <c r="U3907" s="87">
        <v>3713.18</v>
      </c>
    </row>
    <row r="3908" spans="1:22" s="30" customFormat="1" ht="24.6" hidden="1" outlineLevel="1" x14ac:dyDescent="0.55000000000000004">
      <c r="A3908" s="27" t="s">
        <v>327</v>
      </c>
      <c r="B3908" s="28"/>
      <c r="C3908" s="27"/>
      <c r="D3908" s="27" t="str">
        <f>"""NAV Direct"",""CRONUS JetCorp USA"",""21"",""1"",""211394"""</f>
        <v>"NAV Direct","CRONUS JetCorp USA","21","1","211394"</v>
      </c>
      <c r="E3908" s="31" t="str">
        <f t="shared" si="1185"/>
        <v>C100110</v>
      </c>
      <c r="F3908" s="31"/>
      <c r="G3908" s="31"/>
      <c r="H3908" s="31"/>
      <c r="I3908" s="56"/>
      <c r="J3908" s="56"/>
      <c r="K3908" s="82" t="str">
        <f t="shared" si="1186"/>
        <v>Invoice</v>
      </c>
      <c r="L3908" s="83" t="str">
        <f>"SI_108520"</f>
        <v>SI_108520</v>
      </c>
      <c r="M3908" s="84">
        <v>42188</v>
      </c>
      <c r="N3908" s="85">
        <f t="shared" si="1187"/>
        <v>1624</v>
      </c>
      <c r="O3908" s="86">
        <f t="shared" si="1188"/>
        <v>3912.28</v>
      </c>
      <c r="P3908" s="86">
        <f t="shared" si="1189"/>
        <v>0</v>
      </c>
      <c r="Q3908" s="86">
        <f t="shared" si="1190"/>
        <v>0</v>
      </c>
      <c r="R3908" s="86">
        <f t="shared" si="1191"/>
        <v>0</v>
      </c>
      <c r="S3908" s="86">
        <f t="shared" si="1192"/>
        <v>0</v>
      </c>
      <c r="T3908" s="86">
        <f t="shared" si="1193"/>
        <v>3912.28</v>
      </c>
      <c r="U3908" s="87">
        <v>3912.28</v>
      </c>
    </row>
    <row r="3909" spans="1:22" s="30" customFormat="1" ht="24.6" hidden="1" outlineLevel="1" x14ac:dyDescent="0.55000000000000004">
      <c r="A3909" s="27" t="s">
        <v>327</v>
      </c>
      <c r="B3909" s="28"/>
      <c r="C3909" s="27"/>
      <c r="D3909" s="27" t="str">
        <f>"""NAV Direct"",""CRONUS JetCorp USA"",""21"",""1"",""211631"""</f>
        <v>"NAV Direct","CRONUS JetCorp USA","21","1","211631"</v>
      </c>
      <c r="E3909" s="31">
        <f t="shared" si="1185"/>
        <v>0</v>
      </c>
      <c r="F3909" s="31"/>
      <c r="G3909" s="31"/>
      <c r="H3909" s="31"/>
      <c r="I3909" s="56"/>
      <c r="J3909" s="56"/>
      <c r="K3909" s="82" t="str">
        <f t="shared" si="1186"/>
        <v>Invoice</v>
      </c>
      <c r="L3909" s="83" t="str">
        <f>"SI_108525"</f>
        <v>SI_108525</v>
      </c>
      <c r="M3909" s="84">
        <v>42205</v>
      </c>
      <c r="N3909" s="85">
        <f t="shared" si="1187"/>
        <v>1607</v>
      </c>
      <c r="O3909" s="86">
        <f t="shared" si="1188"/>
        <v>3910.78</v>
      </c>
      <c r="P3909" s="86">
        <f t="shared" si="1189"/>
        <v>0</v>
      </c>
      <c r="Q3909" s="86">
        <f t="shared" si="1190"/>
        <v>0</v>
      </c>
      <c r="R3909" s="86">
        <f t="shared" si="1191"/>
        <v>0</v>
      </c>
      <c r="S3909" s="86">
        <f t="shared" si="1192"/>
        <v>0</v>
      </c>
      <c r="T3909" s="86">
        <f t="shared" si="1193"/>
        <v>3910.78</v>
      </c>
      <c r="U3909" s="87">
        <v>3910.78</v>
      </c>
    </row>
    <row r="3910" spans="1:22" s="30" customFormat="1" ht="24.6" hidden="1" outlineLevel="1" x14ac:dyDescent="0.55000000000000004">
      <c r="A3910" s="27" t="s">
        <v>327</v>
      </c>
      <c r="B3910" s="28"/>
      <c r="C3910" s="27"/>
      <c r="D3910" s="27" t="str">
        <f>"""NAV Direct"",""CRONUS JetCorp USA"",""21"",""1"",""212020"""</f>
        <v>"NAV Direct","CRONUS JetCorp USA","21","1","212020"</v>
      </c>
      <c r="E3910" s="31" t="str">
        <f t="shared" si="1185"/>
        <v>C100110</v>
      </c>
      <c r="F3910" s="31"/>
      <c r="G3910" s="31"/>
      <c r="H3910" s="31"/>
      <c r="I3910" s="56"/>
      <c r="J3910" s="56"/>
      <c r="K3910" s="82" t="str">
        <f t="shared" si="1186"/>
        <v>Invoice</v>
      </c>
      <c r="L3910" s="83" t="str">
        <f>"SI_108534"</f>
        <v>SI_108534</v>
      </c>
      <c r="M3910" s="84">
        <v>42235</v>
      </c>
      <c r="N3910" s="85">
        <f t="shared" si="1187"/>
        <v>1577</v>
      </c>
      <c r="O3910" s="86">
        <f t="shared" si="1188"/>
        <v>4030.03</v>
      </c>
      <c r="P3910" s="86">
        <f t="shared" si="1189"/>
        <v>0</v>
      </c>
      <c r="Q3910" s="86">
        <f t="shared" si="1190"/>
        <v>0</v>
      </c>
      <c r="R3910" s="86">
        <f t="shared" si="1191"/>
        <v>0</v>
      </c>
      <c r="S3910" s="86">
        <f t="shared" si="1192"/>
        <v>0</v>
      </c>
      <c r="T3910" s="86">
        <f t="shared" si="1193"/>
        <v>4030.03</v>
      </c>
      <c r="U3910" s="87">
        <v>4030.03</v>
      </c>
    </row>
    <row r="3911" spans="1:22" s="30" customFormat="1" ht="24.6" hidden="1" outlineLevel="1" x14ac:dyDescent="0.55000000000000004">
      <c r="A3911" s="27" t="s">
        <v>327</v>
      </c>
      <c r="B3911" s="28"/>
      <c r="C3911" s="27"/>
      <c r="D3911" s="27" t="str">
        <f>"""NAV Direct"",""CRONUS JetCorp USA"",""21"",""1"",""212415"""</f>
        <v>"NAV Direct","CRONUS JetCorp USA","21","1","212415"</v>
      </c>
      <c r="E3911" s="31">
        <f t="shared" si="1185"/>
        <v>0</v>
      </c>
      <c r="F3911" s="31"/>
      <c r="G3911" s="31"/>
      <c r="H3911" s="31"/>
      <c r="I3911" s="56"/>
      <c r="J3911" s="56"/>
      <c r="K3911" s="82" t="str">
        <f t="shared" si="1186"/>
        <v>Invoice</v>
      </c>
      <c r="L3911" s="83" t="str">
        <f>"SI_108543"</f>
        <v>SI_108543</v>
      </c>
      <c r="M3911" s="84">
        <v>42254</v>
      </c>
      <c r="N3911" s="85">
        <f t="shared" si="1187"/>
        <v>1558</v>
      </c>
      <c r="O3911" s="86">
        <f t="shared" si="1188"/>
        <v>3989.28</v>
      </c>
      <c r="P3911" s="86">
        <f t="shared" si="1189"/>
        <v>0</v>
      </c>
      <c r="Q3911" s="86">
        <f t="shared" si="1190"/>
        <v>0</v>
      </c>
      <c r="R3911" s="86">
        <f t="shared" si="1191"/>
        <v>0</v>
      </c>
      <c r="S3911" s="86">
        <f t="shared" si="1192"/>
        <v>0</v>
      </c>
      <c r="T3911" s="86">
        <f t="shared" si="1193"/>
        <v>3989.28</v>
      </c>
      <c r="U3911" s="87">
        <v>3989.28</v>
      </c>
    </row>
    <row r="3912" spans="1:22" s="30" customFormat="1" ht="24.6" hidden="1" outlineLevel="1" x14ac:dyDescent="0.55000000000000004">
      <c r="A3912" s="27" t="s">
        <v>327</v>
      </c>
      <c r="B3912" s="28"/>
      <c r="C3912" s="27"/>
      <c r="D3912" s="27" t="str">
        <f>"""NAV Direct"",""CRONUS JetCorp USA"",""21"",""1"",""213001"""</f>
        <v>"NAV Direct","CRONUS JetCorp USA","21","1","213001"</v>
      </c>
      <c r="E3912" s="31" t="str">
        <f t="shared" si="1185"/>
        <v>C100110</v>
      </c>
      <c r="F3912" s="31"/>
      <c r="G3912" s="31"/>
      <c r="H3912" s="31"/>
      <c r="I3912" s="56"/>
      <c r="J3912" s="56"/>
      <c r="K3912" s="82" t="str">
        <f t="shared" si="1186"/>
        <v>Invoice</v>
      </c>
      <c r="L3912" s="83" t="str">
        <f>"SI_108557"</f>
        <v>SI_108557</v>
      </c>
      <c r="M3912" s="84">
        <v>42300</v>
      </c>
      <c r="N3912" s="85">
        <f t="shared" si="1187"/>
        <v>1512</v>
      </c>
      <c r="O3912" s="86">
        <f t="shared" si="1188"/>
        <v>4317.1799999999994</v>
      </c>
      <c r="P3912" s="86">
        <f t="shared" si="1189"/>
        <v>0</v>
      </c>
      <c r="Q3912" s="86">
        <f t="shared" si="1190"/>
        <v>0</v>
      </c>
      <c r="R3912" s="86">
        <f t="shared" si="1191"/>
        <v>0</v>
      </c>
      <c r="S3912" s="86">
        <f t="shared" si="1192"/>
        <v>0</v>
      </c>
      <c r="T3912" s="86">
        <f t="shared" si="1193"/>
        <v>4317.1799999999994</v>
      </c>
      <c r="U3912" s="87">
        <v>4317.1799999999994</v>
      </c>
    </row>
    <row r="3913" spans="1:22" s="30" customFormat="1" ht="24.6" hidden="1" outlineLevel="1" x14ac:dyDescent="0.55000000000000004">
      <c r="A3913" s="27" t="s">
        <v>327</v>
      </c>
      <c r="B3913" s="28"/>
      <c r="C3913" s="27"/>
      <c r="D3913" s="27" t="str">
        <f>"""NAV Direct"",""CRONUS JetCorp USA"",""21"",""1"",""213338"""</f>
        <v>"NAV Direct","CRONUS JetCorp USA","21","1","213338"</v>
      </c>
      <c r="E3913" s="31">
        <f t="shared" si="1185"/>
        <v>0</v>
      </c>
      <c r="F3913" s="31"/>
      <c r="G3913" s="31"/>
      <c r="H3913" s="31"/>
      <c r="I3913" s="56"/>
      <c r="J3913" s="56"/>
      <c r="K3913" s="82" t="str">
        <f t="shared" si="1186"/>
        <v>Invoice</v>
      </c>
      <c r="L3913" s="83" t="str">
        <f>"SI_108565"</f>
        <v>SI_108565</v>
      </c>
      <c r="M3913" s="84">
        <v>42325</v>
      </c>
      <c r="N3913" s="85">
        <f t="shared" si="1187"/>
        <v>1487</v>
      </c>
      <c r="O3913" s="86">
        <f t="shared" si="1188"/>
        <v>4360.0300000000007</v>
      </c>
      <c r="P3913" s="86">
        <f t="shared" si="1189"/>
        <v>0</v>
      </c>
      <c r="Q3913" s="86">
        <f t="shared" si="1190"/>
        <v>0</v>
      </c>
      <c r="R3913" s="86">
        <f t="shared" si="1191"/>
        <v>0</v>
      </c>
      <c r="S3913" s="86">
        <f t="shared" si="1192"/>
        <v>0</v>
      </c>
      <c r="T3913" s="86">
        <f t="shared" si="1193"/>
        <v>4360.0300000000007</v>
      </c>
      <c r="U3913" s="87">
        <v>4360.0300000000007</v>
      </c>
    </row>
    <row r="3914" spans="1:22" s="30" customFormat="1" ht="24.6" hidden="1" outlineLevel="1" x14ac:dyDescent="0.55000000000000004">
      <c r="A3914" s="27" t="s">
        <v>327</v>
      </c>
      <c r="B3914" s="28"/>
      <c r="C3914" s="27"/>
      <c r="D3914" s="27" t="str">
        <f>"""NAV Direct"",""CRONUS JetCorp USA"",""21"",""1"",""213983"""</f>
        <v>"NAV Direct","CRONUS JetCorp USA","21","1","213983"</v>
      </c>
      <c r="E3914" s="31" t="str">
        <f t="shared" si="1185"/>
        <v>C100110</v>
      </c>
      <c r="F3914" s="31"/>
      <c r="G3914" s="31"/>
      <c r="H3914" s="31"/>
      <c r="I3914" s="56"/>
      <c r="J3914" s="56"/>
      <c r="K3914" s="82" t="str">
        <f t="shared" si="1186"/>
        <v>Invoice</v>
      </c>
      <c r="L3914" s="83" t="str">
        <f>"SI_108580"</f>
        <v>SI_108580</v>
      </c>
      <c r="M3914" s="84">
        <v>42367</v>
      </c>
      <c r="N3914" s="85">
        <f t="shared" si="1187"/>
        <v>1445</v>
      </c>
      <c r="O3914" s="86">
        <f t="shared" si="1188"/>
        <v>3662.52</v>
      </c>
      <c r="P3914" s="86">
        <f t="shared" si="1189"/>
        <v>0</v>
      </c>
      <c r="Q3914" s="86">
        <f t="shared" si="1190"/>
        <v>0</v>
      </c>
      <c r="R3914" s="86">
        <f t="shared" si="1191"/>
        <v>0</v>
      </c>
      <c r="S3914" s="86">
        <f t="shared" si="1192"/>
        <v>0</v>
      </c>
      <c r="T3914" s="86">
        <f t="shared" si="1193"/>
        <v>3662.52</v>
      </c>
      <c r="U3914" s="87">
        <v>3662.52</v>
      </c>
    </row>
    <row r="3915" spans="1:22" s="30" customFormat="1" ht="24.6" hidden="1" outlineLevel="1" x14ac:dyDescent="0.55000000000000004">
      <c r="A3915" s="27" t="s">
        <v>327</v>
      </c>
      <c r="B3915" s="28"/>
      <c r="C3915" s="27"/>
      <c r="D3915" s="27" t="str">
        <f>"""NAV Direct"",""CRONUS JetCorp USA"",""21"",""1"",""444122"""</f>
        <v>"NAV Direct","CRONUS JetCorp USA","21","1","444122"</v>
      </c>
      <c r="E3915" s="31">
        <f t="shared" si="1185"/>
        <v>0</v>
      </c>
      <c r="F3915" s="31"/>
      <c r="G3915" s="31"/>
      <c r="H3915" s="31"/>
      <c r="I3915" s="56"/>
      <c r="J3915" s="56"/>
      <c r="K3915" s="82" t="str">
        <f>"Credit Memo"</f>
        <v>Credit Memo</v>
      </c>
      <c r="L3915" s="83" t="str">
        <f>"SC_101139"</f>
        <v>SC_101139</v>
      </c>
      <c r="M3915" s="84">
        <v>42630</v>
      </c>
      <c r="N3915" s="85">
        <f t="shared" si="1187"/>
        <v>1182</v>
      </c>
      <c r="O3915" s="86">
        <f t="shared" si="1188"/>
        <v>-39.78</v>
      </c>
      <c r="P3915" s="86">
        <f t="shared" si="1189"/>
        <v>0</v>
      </c>
      <c r="Q3915" s="86">
        <f t="shared" si="1190"/>
        <v>0</v>
      </c>
      <c r="R3915" s="86">
        <f t="shared" si="1191"/>
        <v>0</v>
      </c>
      <c r="S3915" s="86">
        <f t="shared" si="1192"/>
        <v>0</v>
      </c>
      <c r="T3915" s="86">
        <f t="shared" si="1193"/>
        <v>-39.78</v>
      </c>
      <c r="U3915" s="87">
        <v>-39.78</v>
      </c>
    </row>
    <row r="3916" spans="1:22" s="30" customFormat="1" ht="24.6" hidden="1" outlineLevel="1" x14ac:dyDescent="0.55000000000000004">
      <c r="A3916" s="27" t="s">
        <v>327</v>
      </c>
      <c r="B3916" s="28"/>
      <c r="C3916" s="27"/>
      <c r="D3916" s="27" t="str">
        <f>"""NAV Direct"",""CRONUS JetCorp USA"",""21"",""1"",""444235"""</f>
        <v>"NAV Direct","CRONUS JetCorp USA","21","1","444235"</v>
      </c>
      <c r="E3916" s="31" t="str">
        <f t="shared" si="1185"/>
        <v>C100110</v>
      </c>
      <c r="F3916" s="31"/>
      <c r="G3916" s="31"/>
      <c r="H3916" s="31"/>
      <c r="I3916" s="56"/>
      <c r="J3916" s="56"/>
      <c r="K3916" s="82" t="str">
        <f>"Credit Memo"</f>
        <v>Credit Memo</v>
      </c>
      <c r="L3916" s="83" t="str">
        <f>"SC_101150"</f>
        <v>SC_101150</v>
      </c>
      <c r="M3916" s="84">
        <v>42812</v>
      </c>
      <c r="N3916" s="85">
        <f t="shared" si="1187"/>
        <v>1000</v>
      </c>
      <c r="O3916" s="86">
        <f t="shared" si="1188"/>
        <v>-39.99</v>
      </c>
      <c r="P3916" s="86">
        <f t="shared" si="1189"/>
        <v>0</v>
      </c>
      <c r="Q3916" s="86">
        <f t="shared" si="1190"/>
        <v>0</v>
      </c>
      <c r="R3916" s="86">
        <f t="shared" si="1191"/>
        <v>0</v>
      </c>
      <c r="S3916" s="86">
        <f t="shared" si="1192"/>
        <v>0</v>
      </c>
      <c r="T3916" s="86">
        <f t="shared" si="1193"/>
        <v>-39.99</v>
      </c>
      <c r="U3916" s="87">
        <v>-39.99</v>
      </c>
    </row>
    <row r="3917" spans="1:22" s="30" customFormat="1" ht="24.6" hidden="1" outlineLevel="1" x14ac:dyDescent="0.55000000000000004">
      <c r="A3917" s="27" t="s">
        <v>327</v>
      </c>
      <c r="B3917" s="28"/>
      <c r="C3917" s="27"/>
      <c r="D3917" s="27" t="str">
        <f>"""NAV Direct"",""CRONUS JetCorp USA"",""21"",""1"",""444286"""</f>
        <v>"NAV Direct","CRONUS JetCorp USA","21","1","444286"</v>
      </c>
      <c r="E3917" s="31">
        <f t="shared" si="1185"/>
        <v>0</v>
      </c>
      <c r="F3917" s="31"/>
      <c r="G3917" s="31"/>
      <c r="H3917" s="31"/>
      <c r="I3917" s="56"/>
      <c r="J3917" s="56"/>
      <c r="K3917" s="82" t="str">
        <f>"Credit Memo"</f>
        <v>Credit Memo</v>
      </c>
      <c r="L3917" s="83" t="str">
        <f>"SC_101157"</f>
        <v>SC_101157</v>
      </c>
      <c r="M3917" s="84">
        <v>42917</v>
      </c>
      <c r="N3917" s="85">
        <f t="shared" si="1187"/>
        <v>895</v>
      </c>
      <c r="O3917" s="86">
        <f t="shared" si="1188"/>
        <v>-36.93</v>
      </c>
      <c r="P3917" s="86">
        <f t="shared" si="1189"/>
        <v>0</v>
      </c>
      <c r="Q3917" s="86">
        <f t="shared" si="1190"/>
        <v>0</v>
      </c>
      <c r="R3917" s="86">
        <f t="shared" si="1191"/>
        <v>0</v>
      </c>
      <c r="S3917" s="86">
        <f t="shared" si="1192"/>
        <v>0</v>
      </c>
      <c r="T3917" s="86">
        <f t="shared" si="1193"/>
        <v>-36.93</v>
      </c>
      <c r="U3917" s="87">
        <v>-36.93</v>
      </c>
    </row>
    <row r="3918" spans="1:22" s="30" customFormat="1" ht="24.6" hidden="1" outlineLevel="1" x14ac:dyDescent="0.55000000000000004">
      <c r="A3918" s="27" t="s">
        <v>327</v>
      </c>
      <c r="B3918" s="28"/>
      <c r="C3918" s="27"/>
      <c r="D3918" s="27" t="str">
        <f>"""NAV Direct"",""CRONUS JetCorp USA"",""21"",""1"",""444576"""</f>
        <v>"NAV Direct","CRONUS JetCorp USA","21","1","444576"</v>
      </c>
      <c r="E3918" s="31" t="str">
        <f t="shared" si="1185"/>
        <v>C100110</v>
      </c>
      <c r="F3918" s="31"/>
      <c r="G3918" s="31"/>
      <c r="H3918" s="31"/>
      <c r="I3918" s="56"/>
      <c r="J3918" s="56"/>
      <c r="K3918" s="82" t="str">
        <f>"Credit Memo"</f>
        <v>Credit Memo</v>
      </c>
      <c r="L3918" s="83" t="str">
        <f>"SC_101191"</f>
        <v>SC_101191</v>
      </c>
      <c r="M3918" s="84">
        <v>43566</v>
      </c>
      <c r="N3918" s="85">
        <f t="shared" si="1187"/>
        <v>246</v>
      </c>
      <c r="O3918" s="86">
        <f t="shared" si="1188"/>
        <v>-30.56</v>
      </c>
      <c r="P3918" s="86">
        <f t="shared" si="1189"/>
        <v>0</v>
      </c>
      <c r="Q3918" s="86">
        <f t="shared" si="1190"/>
        <v>0</v>
      </c>
      <c r="R3918" s="86">
        <f t="shared" si="1191"/>
        <v>0</v>
      </c>
      <c r="S3918" s="86">
        <f t="shared" si="1192"/>
        <v>0</v>
      </c>
      <c r="T3918" s="86">
        <f t="shared" si="1193"/>
        <v>-30.56</v>
      </c>
      <c r="U3918" s="87">
        <v>-30.56</v>
      </c>
    </row>
    <row r="3919" spans="1:22" s="30" customFormat="1" ht="24.6" hidden="1" outlineLevel="1" x14ac:dyDescent="0.55000000000000004">
      <c r="A3919" s="27" t="s">
        <v>327</v>
      </c>
      <c r="B3919" s="28"/>
      <c r="C3919" s="27"/>
      <c r="D3919" s="27" t="str">
        <f>"""NAV Direct"",""CRONUS JetCorp USA"",""21"",""1"",""444829"""</f>
        <v>"NAV Direct","CRONUS JetCorp USA","21","1","444829"</v>
      </c>
      <c r="E3919" s="31">
        <f t="shared" si="1185"/>
        <v>0</v>
      </c>
      <c r="F3919" s="31"/>
      <c r="G3919" s="31"/>
      <c r="H3919" s="31"/>
      <c r="I3919" s="56"/>
      <c r="J3919" s="56"/>
      <c r="K3919" s="82" t="str">
        <f>"Credit Memo"</f>
        <v>Credit Memo</v>
      </c>
      <c r="L3919" s="83" t="str">
        <f>"SC_101219"</f>
        <v>SC_101219</v>
      </c>
      <c r="M3919" s="84">
        <v>42314</v>
      </c>
      <c r="N3919" s="85">
        <f t="shared" si="1187"/>
        <v>1498</v>
      </c>
      <c r="O3919" s="86">
        <f t="shared" si="1188"/>
        <v>-43.61</v>
      </c>
      <c r="P3919" s="86">
        <f t="shared" si="1189"/>
        <v>0</v>
      </c>
      <c r="Q3919" s="86">
        <f t="shared" si="1190"/>
        <v>0</v>
      </c>
      <c r="R3919" s="86">
        <f t="shared" si="1191"/>
        <v>0</v>
      </c>
      <c r="S3919" s="86">
        <f t="shared" si="1192"/>
        <v>0</v>
      </c>
      <c r="T3919" s="86">
        <f t="shared" si="1193"/>
        <v>-43.61</v>
      </c>
      <c r="U3919" s="87">
        <v>-43.61</v>
      </c>
    </row>
    <row r="3920" spans="1:22" s="22" customFormat="1" ht="20.399999999999999" collapsed="1" x14ac:dyDescent="0.45">
      <c r="A3920" s="12" t="s">
        <v>327</v>
      </c>
      <c r="B3920" s="19"/>
      <c r="C3920" s="12"/>
      <c r="D3920" s="12"/>
      <c r="E3920" s="23"/>
      <c r="F3920" s="23"/>
      <c r="G3920" s="23"/>
      <c r="H3920" s="23"/>
      <c r="I3920" s="49"/>
      <c r="J3920" s="88"/>
      <c r="K3920" s="88"/>
      <c r="L3920" s="89"/>
      <c r="M3920" s="89"/>
      <c r="N3920" s="89"/>
      <c r="O3920" s="89"/>
      <c r="P3920" s="89"/>
      <c r="Q3920" s="90"/>
      <c r="R3920" s="90"/>
      <c r="S3920" s="91"/>
      <c r="T3920" s="92"/>
      <c r="U3920" s="92"/>
    </row>
    <row r="3921" spans="1:22" s="22" customFormat="1" ht="20.399999999999999" x14ac:dyDescent="0.45">
      <c r="A3921" s="12" t="s">
        <v>327</v>
      </c>
      <c r="B3921" s="19"/>
      <c r="C3921" s="12"/>
      <c r="D3921" s="12"/>
      <c r="E3921" s="23"/>
      <c r="F3921" s="23"/>
      <c r="G3921" s="23"/>
      <c r="H3921" s="23"/>
      <c r="I3921" s="49"/>
      <c r="J3921" s="88"/>
      <c r="K3921" s="88"/>
      <c r="L3921" s="89"/>
      <c r="M3921" s="89"/>
      <c r="N3921" s="89"/>
      <c r="O3921" s="89"/>
      <c r="P3921" s="89"/>
      <c r="Q3921" s="90"/>
      <c r="R3921" s="90"/>
      <c r="S3921" s="91"/>
      <c r="T3921" s="92"/>
      <c r="U3921" s="92"/>
    </row>
    <row r="3922" spans="1:22" s="26" customFormat="1" ht="24.6" x14ac:dyDescent="0.55000000000000004">
      <c r="A3922" s="27" t="s">
        <v>327</v>
      </c>
      <c r="B3922" s="28"/>
      <c r="C3922" s="27" t="str">
        <f>"""NAV Direct"",""CRONUS JetCorp USA"",""18"",""1"",""C100112"""</f>
        <v>"NAV Direct","CRONUS JetCorp USA","18","1","C100112"</v>
      </c>
      <c r="D3922" s="27"/>
      <c r="E3922" s="28" t="str">
        <f>H3922</f>
        <v>C100112</v>
      </c>
      <c r="F3922" s="28"/>
      <c r="G3922" s="28"/>
      <c r="H3922" s="28" t="str">
        <f>"C100112"</f>
        <v>C100112</v>
      </c>
      <c r="I3922" s="116" t="str">
        <f>"C100112  -  Basingers"</f>
        <v>C100112  -  Basingers</v>
      </c>
      <c r="J3922" s="117" t="str">
        <f>""</f>
        <v/>
      </c>
      <c r="K3922" s="118"/>
      <c r="L3922" s="119">
        <f>SUBTOTAL(3,L3923:L3994)</f>
        <v>68</v>
      </c>
      <c r="M3922" s="118"/>
      <c r="N3922" s="118"/>
      <c r="O3922" s="120">
        <f t="shared" ref="O3922:T3922" si="1194">SUBTOTAL(9,O3923:O3994)</f>
        <v>298277.46999999997</v>
      </c>
      <c r="P3922" s="120">
        <f t="shared" si="1194"/>
        <v>7265.72</v>
      </c>
      <c r="Q3922" s="120">
        <f t="shared" si="1194"/>
        <v>-313.86</v>
      </c>
      <c r="R3922" s="120">
        <f t="shared" si="1194"/>
        <v>0</v>
      </c>
      <c r="S3922" s="120">
        <f t="shared" si="1194"/>
        <v>6571.85</v>
      </c>
      <c r="T3922" s="120">
        <f t="shared" si="1194"/>
        <v>284753.76</v>
      </c>
      <c r="U3922" s="81"/>
    </row>
    <row r="3923" spans="1:22" s="26" customFormat="1" ht="24.6" x14ac:dyDescent="0.55000000000000004">
      <c r="A3923" s="27" t="s">
        <v>327</v>
      </c>
      <c r="B3923" s="28"/>
      <c r="C3923" s="27" t="str">
        <f>C3922</f>
        <v>"NAV Direct","CRONUS JetCorp USA","18","1","C100112"</v>
      </c>
      <c r="D3923" s="27"/>
      <c r="E3923" s="28" t="str">
        <f>E3922</f>
        <v>C100112</v>
      </c>
      <c r="F3923" s="28"/>
      <c r="G3923" s="28"/>
      <c r="H3923" s="28"/>
      <c r="I3923" s="121" t="str">
        <f>"Contact: Leluna Morrisey"</f>
        <v>Contact: Leluna Morrisey</v>
      </c>
      <c r="J3923" s="121"/>
      <c r="K3923" s="122"/>
      <c r="L3923" s="123"/>
      <c r="M3923" s="123"/>
      <c r="N3923" s="124"/>
      <c r="O3923" s="124"/>
      <c r="P3923" s="123"/>
      <c r="Q3923" s="125"/>
      <c r="R3923" s="126"/>
      <c r="S3923" s="126"/>
      <c r="T3923" s="125"/>
      <c r="U3923" s="81"/>
    </row>
    <row r="3924" spans="1:22" s="26" customFormat="1" ht="24.6" x14ac:dyDescent="0.55000000000000004">
      <c r="A3924" s="27" t="s">
        <v>327</v>
      </c>
      <c r="B3924" s="28"/>
      <c r="C3924" s="27" t="str">
        <f>C3923</f>
        <v>"NAV Direct","CRONUS JetCorp USA","18","1","C100112"</v>
      </c>
      <c r="D3924" s="27"/>
      <c r="E3924" s="28" t="str">
        <f>E3923</f>
        <v>C100112</v>
      </c>
      <c r="F3924" s="28"/>
      <c r="G3924" s="28"/>
      <c r="H3924" s="28"/>
      <c r="I3924" s="121" t="str">
        <f>"Basingers@Cronus.com"</f>
        <v>Basingers@Cronus.com</v>
      </c>
      <c r="J3924" s="121"/>
      <c r="K3924" s="122"/>
      <c r="L3924" s="124"/>
      <c r="M3924" s="124"/>
      <c r="N3924" s="124"/>
      <c r="O3924" s="124"/>
      <c r="P3924" s="123"/>
      <c r="Q3924" s="125"/>
      <c r="R3924" s="126"/>
      <c r="S3924" s="126"/>
      <c r="T3924" s="125"/>
      <c r="U3924" s="81"/>
    </row>
    <row r="3925" spans="1:22" ht="12.75" hidden="1" customHeight="1" outlineLevel="1" x14ac:dyDescent="0.45">
      <c r="A3925" s="12" t="s">
        <v>328</v>
      </c>
      <c r="B3925" s="19"/>
      <c r="E3925" s="19"/>
      <c r="F3925" s="19"/>
      <c r="G3925" s="19"/>
      <c r="H3925" s="19"/>
      <c r="I3925" s="61"/>
      <c r="J3925" s="61"/>
      <c r="K3925" s="61"/>
      <c r="L3925" s="61"/>
      <c r="M3925" s="61"/>
      <c r="N3925" s="61"/>
      <c r="O3925" s="61"/>
      <c r="P3925" s="61"/>
      <c r="Q3925" s="61"/>
      <c r="R3925" s="61"/>
      <c r="S3925" s="61"/>
      <c r="T3925" s="61"/>
      <c r="U3925" s="61"/>
      <c r="V3925" s="21"/>
    </row>
    <row r="3926" spans="1:22" s="30" customFormat="1" ht="24.6" hidden="1" outlineLevel="1" x14ac:dyDescent="0.55000000000000004">
      <c r="A3926" s="27" t="s">
        <v>327</v>
      </c>
      <c r="B3926" s="28"/>
      <c r="C3926" s="27"/>
      <c r="D3926" s="27" t="str">
        <f>"""NAV Direct"",""CRONUS JetCorp USA"",""21"",""1"",""178585"""</f>
        <v>"NAV Direct","CRONUS JetCorp USA","21","1","178585"</v>
      </c>
      <c r="E3926" s="31" t="str">
        <f t="shared" ref="E3926:E3957" si="1195">E3924</f>
        <v>C100112</v>
      </c>
      <c r="F3926" s="31"/>
      <c r="G3926" s="31"/>
      <c r="H3926" s="31"/>
      <c r="I3926" s="56"/>
      <c r="J3926" s="56"/>
      <c r="K3926" s="82" t="str">
        <f t="shared" ref="K3926:K3971" si="1196">"Invoice"</f>
        <v>Invoice</v>
      </c>
      <c r="L3926" s="83" t="str">
        <f>"SI_107818"</f>
        <v>SI_107818</v>
      </c>
      <c r="M3926" s="84">
        <v>42326</v>
      </c>
      <c r="N3926" s="85">
        <f t="shared" ref="N3926:N3957" si="1197">StartDate-$M3926+1</f>
        <v>1486</v>
      </c>
      <c r="O3926" s="86">
        <f t="shared" ref="O3926:O3957" si="1198">SUM(P3926:T3926)</f>
        <v>8082.39</v>
      </c>
      <c r="P3926" s="86">
        <f t="shared" ref="P3926:P3957" si="1199">IF($M3926&gt;=$P$18,U3926,0)</f>
        <v>0</v>
      </c>
      <c r="Q3926" s="86">
        <f t="shared" ref="Q3926:Q3957" si="1200">IF(AND($M3926&gt;=$Q$16,$M3926&lt;=$Q$18),U3926,0)</f>
        <v>0</v>
      </c>
      <c r="R3926" s="86">
        <f t="shared" ref="R3926:R3957" si="1201">IF(AND($M3926&gt;=$R$16,$M3926&lt;=$R$18),U3926,0)</f>
        <v>0</v>
      </c>
      <c r="S3926" s="86">
        <f t="shared" ref="S3926:S3957" si="1202">IF(AND($M3926&gt;=$S$16,$M3926&lt;=$S$18),U3926,0)</f>
        <v>0</v>
      </c>
      <c r="T3926" s="86">
        <f t="shared" ref="T3926:T3957" si="1203">IF($M3926&lt;=$T$18,U3926,0)</f>
        <v>8082.39</v>
      </c>
      <c r="U3926" s="87">
        <v>8082.39</v>
      </c>
    </row>
    <row r="3927" spans="1:22" s="30" customFormat="1" ht="24.6" hidden="1" outlineLevel="1" x14ac:dyDescent="0.55000000000000004">
      <c r="A3927" s="27" t="s">
        <v>327</v>
      </c>
      <c r="B3927" s="28"/>
      <c r="C3927" s="27"/>
      <c r="D3927" s="27" t="str">
        <f>"""NAV Direct"",""CRONUS JetCorp USA"",""21"",""1"",""178957"""</f>
        <v>"NAV Direct","CRONUS JetCorp USA","21","1","178957"</v>
      </c>
      <c r="E3927" s="31">
        <f t="shared" si="1195"/>
        <v>0</v>
      </c>
      <c r="F3927" s="31"/>
      <c r="G3927" s="31"/>
      <c r="H3927" s="31"/>
      <c r="I3927" s="56"/>
      <c r="J3927" s="56"/>
      <c r="K3927" s="82" t="str">
        <f t="shared" si="1196"/>
        <v>Invoice</v>
      </c>
      <c r="L3927" s="83" t="str">
        <f>"SI_107824"</f>
        <v>SI_107824</v>
      </c>
      <c r="M3927" s="84">
        <v>42336</v>
      </c>
      <c r="N3927" s="85">
        <f t="shared" si="1197"/>
        <v>1476</v>
      </c>
      <c r="O3927" s="86">
        <f t="shared" si="1198"/>
        <v>8337.67</v>
      </c>
      <c r="P3927" s="86">
        <f t="shared" si="1199"/>
        <v>0</v>
      </c>
      <c r="Q3927" s="86">
        <f t="shared" si="1200"/>
        <v>0</v>
      </c>
      <c r="R3927" s="86">
        <f t="shared" si="1201"/>
        <v>0</v>
      </c>
      <c r="S3927" s="86">
        <f t="shared" si="1202"/>
        <v>0</v>
      </c>
      <c r="T3927" s="86">
        <f t="shared" si="1203"/>
        <v>8337.67</v>
      </c>
      <c r="U3927" s="87">
        <v>8337.67</v>
      </c>
    </row>
    <row r="3928" spans="1:22" s="30" customFormat="1" ht="24.6" hidden="1" outlineLevel="1" x14ac:dyDescent="0.55000000000000004">
      <c r="A3928" s="27" t="s">
        <v>327</v>
      </c>
      <c r="B3928" s="28"/>
      <c r="C3928" s="27"/>
      <c r="D3928" s="27" t="str">
        <f>"""NAV Direct"",""CRONUS JetCorp USA"",""21"",""1"",""414503"""</f>
        <v>"NAV Direct","CRONUS JetCorp USA","21","1","414503"</v>
      </c>
      <c r="E3928" s="31" t="str">
        <f t="shared" si="1195"/>
        <v>C100112</v>
      </c>
      <c r="F3928" s="31"/>
      <c r="G3928" s="31"/>
      <c r="H3928" s="31"/>
      <c r="I3928" s="56"/>
      <c r="J3928" s="56"/>
      <c r="K3928" s="82" t="str">
        <f t="shared" si="1196"/>
        <v>Invoice</v>
      </c>
      <c r="L3928" s="83" t="str">
        <f>"SI_112532"</f>
        <v>SI_112532</v>
      </c>
      <c r="M3928" s="84">
        <v>42399</v>
      </c>
      <c r="N3928" s="85">
        <f t="shared" si="1197"/>
        <v>1413</v>
      </c>
      <c r="O3928" s="86">
        <f t="shared" si="1198"/>
        <v>4899.93</v>
      </c>
      <c r="P3928" s="86">
        <f t="shared" si="1199"/>
        <v>0</v>
      </c>
      <c r="Q3928" s="86">
        <f t="shared" si="1200"/>
        <v>0</v>
      </c>
      <c r="R3928" s="86">
        <f t="shared" si="1201"/>
        <v>0</v>
      </c>
      <c r="S3928" s="86">
        <f t="shared" si="1202"/>
        <v>0</v>
      </c>
      <c r="T3928" s="86">
        <f t="shared" si="1203"/>
        <v>4899.93</v>
      </c>
      <c r="U3928" s="87">
        <v>4899.93</v>
      </c>
    </row>
    <row r="3929" spans="1:22" s="30" customFormat="1" ht="24.6" hidden="1" outlineLevel="1" x14ac:dyDescent="0.55000000000000004">
      <c r="A3929" s="27" t="s">
        <v>327</v>
      </c>
      <c r="B3929" s="28"/>
      <c r="C3929" s="27"/>
      <c r="D3929" s="27" t="str">
        <f>"""NAV Direct"",""CRONUS JetCorp USA"",""21"",""1"",""415024"""</f>
        <v>"NAV Direct","CRONUS JetCorp USA","21","1","415024"</v>
      </c>
      <c r="E3929" s="31">
        <f t="shared" si="1195"/>
        <v>0</v>
      </c>
      <c r="F3929" s="31"/>
      <c r="G3929" s="31"/>
      <c r="H3929" s="31"/>
      <c r="I3929" s="56"/>
      <c r="J3929" s="56"/>
      <c r="K3929" s="82" t="str">
        <f t="shared" si="1196"/>
        <v>Invoice</v>
      </c>
      <c r="L3929" s="83" t="str">
        <f>"SI_112546"</f>
        <v>SI_112546</v>
      </c>
      <c r="M3929" s="84">
        <v>42484</v>
      </c>
      <c r="N3929" s="85">
        <f t="shared" si="1197"/>
        <v>1328</v>
      </c>
      <c r="O3929" s="86">
        <f t="shared" si="1198"/>
        <v>6491.09</v>
      </c>
      <c r="P3929" s="86">
        <f t="shared" si="1199"/>
        <v>0</v>
      </c>
      <c r="Q3929" s="86">
        <f t="shared" si="1200"/>
        <v>0</v>
      </c>
      <c r="R3929" s="86">
        <f t="shared" si="1201"/>
        <v>0</v>
      </c>
      <c r="S3929" s="86">
        <f t="shared" si="1202"/>
        <v>0</v>
      </c>
      <c r="T3929" s="86">
        <f t="shared" si="1203"/>
        <v>6491.09</v>
      </c>
      <c r="U3929" s="87">
        <v>6491.09</v>
      </c>
    </row>
    <row r="3930" spans="1:22" s="30" customFormat="1" ht="24.6" hidden="1" outlineLevel="1" x14ac:dyDescent="0.55000000000000004">
      <c r="A3930" s="27" t="s">
        <v>327</v>
      </c>
      <c r="B3930" s="28"/>
      <c r="C3930" s="27"/>
      <c r="D3930" s="27" t="str">
        <f>"""NAV Direct"",""CRONUS JetCorp USA"",""21"",""1"",""415250"""</f>
        <v>"NAV Direct","CRONUS JetCorp USA","21","1","415250"</v>
      </c>
      <c r="E3930" s="31" t="str">
        <f t="shared" si="1195"/>
        <v>C100112</v>
      </c>
      <c r="F3930" s="31"/>
      <c r="G3930" s="31"/>
      <c r="H3930" s="31"/>
      <c r="I3930" s="56"/>
      <c r="J3930" s="56"/>
      <c r="K3930" s="82" t="str">
        <f t="shared" si="1196"/>
        <v>Invoice</v>
      </c>
      <c r="L3930" s="83" t="str">
        <f>"SI_112552"</f>
        <v>SI_112552</v>
      </c>
      <c r="M3930" s="84">
        <v>42511</v>
      </c>
      <c r="N3930" s="85">
        <f t="shared" si="1197"/>
        <v>1301</v>
      </c>
      <c r="O3930" s="86">
        <f t="shared" si="1198"/>
        <v>6490.99</v>
      </c>
      <c r="P3930" s="86">
        <f t="shared" si="1199"/>
        <v>0</v>
      </c>
      <c r="Q3930" s="86">
        <f t="shared" si="1200"/>
        <v>0</v>
      </c>
      <c r="R3930" s="86">
        <f t="shared" si="1201"/>
        <v>0</v>
      </c>
      <c r="S3930" s="86">
        <f t="shared" si="1202"/>
        <v>0</v>
      </c>
      <c r="T3930" s="86">
        <f t="shared" si="1203"/>
        <v>6490.99</v>
      </c>
      <c r="U3930" s="87">
        <v>6490.99</v>
      </c>
    </row>
    <row r="3931" spans="1:22" s="30" customFormat="1" ht="24.6" hidden="1" outlineLevel="1" x14ac:dyDescent="0.55000000000000004">
      <c r="A3931" s="27" t="s">
        <v>327</v>
      </c>
      <c r="B3931" s="28"/>
      <c r="C3931" s="27"/>
      <c r="D3931" s="27" t="str">
        <f>"""NAV Direct"",""CRONUS JetCorp USA"",""21"",""1"",""416156"""</f>
        <v>"NAV Direct","CRONUS JetCorp USA","21","1","416156"</v>
      </c>
      <c r="E3931" s="31">
        <f t="shared" si="1195"/>
        <v>0</v>
      </c>
      <c r="F3931" s="31"/>
      <c r="G3931" s="31"/>
      <c r="H3931" s="31"/>
      <c r="I3931" s="56"/>
      <c r="J3931" s="56"/>
      <c r="K3931" s="82" t="str">
        <f t="shared" si="1196"/>
        <v>Invoice</v>
      </c>
      <c r="L3931" s="83" t="str">
        <f>"SI_112572"</f>
        <v>SI_112572</v>
      </c>
      <c r="M3931" s="84">
        <v>42634</v>
      </c>
      <c r="N3931" s="85">
        <f t="shared" si="1197"/>
        <v>1178</v>
      </c>
      <c r="O3931" s="86">
        <f t="shared" si="1198"/>
        <v>6666.1600000000008</v>
      </c>
      <c r="P3931" s="86">
        <f t="shared" si="1199"/>
        <v>0</v>
      </c>
      <c r="Q3931" s="86">
        <f t="shared" si="1200"/>
        <v>0</v>
      </c>
      <c r="R3931" s="86">
        <f t="shared" si="1201"/>
        <v>0</v>
      </c>
      <c r="S3931" s="86">
        <f t="shared" si="1202"/>
        <v>0</v>
      </c>
      <c r="T3931" s="86">
        <f t="shared" si="1203"/>
        <v>6666.1600000000008</v>
      </c>
      <c r="U3931" s="87">
        <v>6666.1600000000008</v>
      </c>
    </row>
    <row r="3932" spans="1:22" s="30" customFormat="1" ht="24.6" hidden="1" outlineLevel="1" x14ac:dyDescent="0.55000000000000004">
      <c r="A3932" s="27" t="s">
        <v>327</v>
      </c>
      <c r="B3932" s="28"/>
      <c r="C3932" s="27"/>
      <c r="D3932" s="27" t="str">
        <f>"""NAV Direct"",""CRONUS JetCorp USA"",""21"",""1"",""416422"""</f>
        <v>"NAV Direct","CRONUS JetCorp USA","21","1","416422"</v>
      </c>
      <c r="E3932" s="31" t="str">
        <f t="shared" si="1195"/>
        <v>C100112</v>
      </c>
      <c r="F3932" s="31"/>
      <c r="G3932" s="31"/>
      <c r="H3932" s="31"/>
      <c r="I3932" s="56"/>
      <c r="J3932" s="56"/>
      <c r="K3932" s="82" t="str">
        <f t="shared" si="1196"/>
        <v>Invoice</v>
      </c>
      <c r="L3932" s="83" t="str">
        <f>"SI_112578"</f>
        <v>SI_112578</v>
      </c>
      <c r="M3932" s="84">
        <v>42666</v>
      </c>
      <c r="N3932" s="85">
        <f t="shared" si="1197"/>
        <v>1146</v>
      </c>
      <c r="O3932" s="86">
        <f t="shared" si="1198"/>
        <v>6839.59</v>
      </c>
      <c r="P3932" s="86">
        <f t="shared" si="1199"/>
        <v>0</v>
      </c>
      <c r="Q3932" s="86">
        <f t="shared" si="1200"/>
        <v>0</v>
      </c>
      <c r="R3932" s="86">
        <f t="shared" si="1201"/>
        <v>0</v>
      </c>
      <c r="S3932" s="86">
        <f t="shared" si="1202"/>
        <v>0</v>
      </c>
      <c r="T3932" s="86">
        <f t="shared" si="1203"/>
        <v>6839.59</v>
      </c>
      <c r="U3932" s="87">
        <v>6839.59</v>
      </c>
    </row>
    <row r="3933" spans="1:22" s="30" customFormat="1" ht="24.6" hidden="1" outlineLevel="1" x14ac:dyDescent="0.55000000000000004">
      <c r="A3933" s="27" t="s">
        <v>327</v>
      </c>
      <c r="B3933" s="28"/>
      <c r="C3933" s="27"/>
      <c r="D3933" s="27" t="str">
        <f>"""NAV Direct"",""CRONUS JetCorp USA"",""21"",""1"",""416804"""</f>
        <v>"NAV Direct","CRONUS JetCorp USA","21","1","416804"</v>
      </c>
      <c r="E3933" s="31">
        <f t="shared" si="1195"/>
        <v>0</v>
      </c>
      <c r="F3933" s="31"/>
      <c r="G3933" s="31"/>
      <c r="H3933" s="31"/>
      <c r="I3933" s="56"/>
      <c r="J3933" s="56"/>
      <c r="K3933" s="82" t="str">
        <f t="shared" si="1196"/>
        <v>Invoice</v>
      </c>
      <c r="L3933" s="83" t="str">
        <f>"SI_112587"</f>
        <v>SI_112587</v>
      </c>
      <c r="M3933" s="84">
        <v>42730</v>
      </c>
      <c r="N3933" s="85">
        <f t="shared" si="1197"/>
        <v>1082</v>
      </c>
      <c r="O3933" s="86">
        <f t="shared" si="1198"/>
        <v>6805.16</v>
      </c>
      <c r="P3933" s="86">
        <f t="shared" si="1199"/>
        <v>0</v>
      </c>
      <c r="Q3933" s="86">
        <f t="shared" si="1200"/>
        <v>0</v>
      </c>
      <c r="R3933" s="86">
        <f t="shared" si="1201"/>
        <v>0</v>
      </c>
      <c r="S3933" s="86">
        <f t="shared" si="1202"/>
        <v>0</v>
      </c>
      <c r="T3933" s="86">
        <f t="shared" si="1203"/>
        <v>6805.16</v>
      </c>
      <c r="U3933" s="87">
        <v>6805.16</v>
      </c>
    </row>
    <row r="3934" spans="1:22" s="30" customFormat="1" ht="24.6" hidden="1" outlineLevel="1" x14ac:dyDescent="0.55000000000000004">
      <c r="A3934" s="27" t="s">
        <v>327</v>
      </c>
      <c r="B3934" s="28"/>
      <c r="C3934" s="27"/>
      <c r="D3934" s="27" t="str">
        <f>"""NAV Direct"",""CRONUS JetCorp USA"",""21"",""1"",""418014"""</f>
        <v>"NAV Direct","CRONUS JetCorp USA","21","1","418014"</v>
      </c>
      <c r="E3934" s="31" t="str">
        <f t="shared" si="1195"/>
        <v>C100112</v>
      </c>
      <c r="F3934" s="31"/>
      <c r="G3934" s="31"/>
      <c r="H3934" s="31"/>
      <c r="I3934" s="56"/>
      <c r="J3934" s="56"/>
      <c r="K3934" s="82" t="str">
        <f t="shared" si="1196"/>
        <v>Invoice</v>
      </c>
      <c r="L3934" s="83" t="str">
        <f>"SI_112615"</f>
        <v>SI_112615</v>
      </c>
      <c r="M3934" s="84">
        <v>42867</v>
      </c>
      <c r="N3934" s="85">
        <f t="shared" si="1197"/>
        <v>945</v>
      </c>
      <c r="O3934" s="86">
        <f t="shared" si="1198"/>
        <v>7575.64</v>
      </c>
      <c r="P3934" s="86">
        <f t="shared" si="1199"/>
        <v>0</v>
      </c>
      <c r="Q3934" s="86">
        <f t="shared" si="1200"/>
        <v>0</v>
      </c>
      <c r="R3934" s="86">
        <f t="shared" si="1201"/>
        <v>0</v>
      </c>
      <c r="S3934" s="86">
        <f t="shared" si="1202"/>
        <v>0</v>
      </c>
      <c r="T3934" s="86">
        <f t="shared" si="1203"/>
        <v>7575.64</v>
      </c>
      <c r="U3934" s="87">
        <v>7575.64</v>
      </c>
    </row>
    <row r="3935" spans="1:22" s="30" customFormat="1" ht="24.6" hidden="1" outlineLevel="1" x14ac:dyDescent="0.55000000000000004">
      <c r="A3935" s="27" t="s">
        <v>327</v>
      </c>
      <c r="B3935" s="28"/>
      <c r="C3935" s="27"/>
      <c r="D3935" s="27" t="str">
        <f>"""NAV Direct"",""CRONUS JetCorp USA"",""21"",""1"",""418172"""</f>
        <v>"NAV Direct","CRONUS JetCorp USA","21","1","418172"</v>
      </c>
      <c r="E3935" s="31">
        <f t="shared" si="1195"/>
        <v>0</v>
      </c>
      <c r="F3935" s="31"/>
      <c r="G3935" s="31"/>
      <c r="H3935" s="31"/>
      <c r="I3935" s="56"/>
      <c r="J3935" s="56"/>
      <c r="K3935" s="82" t="str">
        <f t="shared" si="1196"/>
        <v>Invoice</v>
      </c>
      <c r="L3935" s="83" t="str">
        <f>"SI_112619"</f>
        <v>SI_112619</v>
      </c>
      <c r="M3935" s="84">
        <v>42879</v>
      </c>
      <c r="N3935" s="85">
        <f t="shared" si="1197"/>
        <v>933</v>
      </c>
      <c r="O3935" s="86">
        <f t="shared" si="1198"/>
        <v>7636.0999999999995</v>
      </c>
      <c r="P3935" s="86">
        <f t="shared" si="1199"/>
        <v>0</v>
      </c>
      <c r="Q3935" s="86">
        <f t="shared" si="1200"/>
        <v>0</v>
      </c>
      <c r="R3935" s="86">
        <f t="shared" si="1201"/>
        <v>0</v>
      </c>
      <c r="S3935" s="86">
        <f t="shared" si="1202"/>
        <v>0</v>
      </c>
      <c r="T3935" s="86">
        <f t="shared" si="1203"/>
        <v>7636.0999999999995</v>
      </c>
      <c r="U3935" s="87">
        <v>7636.0999999999995</v>
      </c>
    </row>
    <row r="3936" spans="1:22" s="30" customFormat="1" ht="24.6" hidden="1" outlineLevel="1" x14ac:dyDescent="0.55000000000000004">
      <c r="A3936" s="27" t="s">
        <v>327</v>
      </c>
      <c r="B3936" s="28"/>
      <c r="C3936" s="27"/>
      <c r="D3936" s="27" t="str">
        <f>"""NAV Direct"",""CRONUS JetCorp USA"",""21"",""1"",""418778"""</f>
        <v>"NAV Direct","CRONUS JetCorp USA","21","1","418778"</v>
      </c>
      <c r="E3936" s="31" t="str">
        <f t="shared" si="1195"/>
        <v>C100112</v>
      </c>
      <c r="F3936" s="31"/>
      <c r="G3936" s="31"/>
      <c r="H3936" s="31"/>
      <c r="I3936" s="56"/>
      <c r="J3936" s="56"/>
      <c r="K3936" s="82" t="str">
        <f t="shared" si="1196"/>
        <v>Invoice</v>
      </c>
      <c r="L3936" s="83" t="str">
        <f>"SI_112633"</f>
        <v>SI_112633</v>
      </c>
      <c r="M3936" s="84">
        <v>42981</v>
      </c>
      <c r="N3936" s="85">
        <f t="shared" si="1197"/>
        <v>831</v>
      </c>
      <c r="O3936" s="86">
        <f t="shared" si="1198"/>
        <v>5860.12</v>
      </c>
      <c r="P3936" s="86">
        <f t="shared" si="1199"/>
        <v>0</v>
      </c>
      <c r="Q3936" s="86">
        <f t="shared" si="1200"/>
        <v>0</v>
      </c>
      <c r="R3936" s="86">
        <f t="shared" si="1201"/>
        <v>0</v>
      </c>
      <c r="S3936" s="86">
        <f t="shared" si="1202"/>
        <v>0</v>
      </c>
      <c r="T3936" s="86">
        <f t="shared" si="1203"/>
        <v>5860.12</v>
      </c>
      <c r="U3936" s="87">
        <v>5860.12</v>
      </c>
    </row>
    <row r="3937" spans="1:21" s="30" customFormat="1" ht="24.6" hidden="1" outlineLevel="1" x14ac:dyDescent="0.55000000000000004">
      <c r="A3937" s="27" t="s">
        <v>327</v>
      </c>
      <c r="B3937" s="28"/>
      <c r="C3937" s="27"/>
      <c r="D3937" s="27" t="str">
        <f>"""NAV Direct"",""CRONUS JetCorp USA"",""21"",""1"",""418864"""</f>
        <v>"NAV Direct","CRONUS JetCorp USA","21","1","418864"</v>
      </c>
      <c r="E3937" s="31">
        <f t="shared" si="1195"/>
        <v>0</v>
      </c>
      <c r="F3937" s="31"/>
      <c r="G3937" s="31"/>
      <c r="H3937" s="31"/>
      <c r="I3937" s="56"/>
      <c r="J3937" s="56"/>
      <c r="K3937" s="82" t="str">
        <f t="shared" si="1196"/>
        <v>Invoice</v>
      </c>
      <c r="L3937" s="83" t="str">
        <f>"SI_112635"</f>
        <v>SI_112635</v>
      </c>
      <c r="M3937" s="84">
        <v>42979</v>
      </c>
      <c r="N3937" s="85">
        <f t="shared" si="1197"/>
        <v>833</v>
      </c>
      <c r="O3937" s="86">
        <f t="shared" si="1198"/>
        <v>5860.53</v>
      </c>
      <c r="P3937" s="86">
        <f t="shared" si="1199"/>
        <v>0</v>
      </c>
      <c r="Q3937" s="86">
        <f t="shared" si="1200"/>
        <v>0</v>
      </c>
      <c r="R3937" s="86">
        <f t="shared" si="1201"/>
        <v>0</v>
      </c>
      <c r="S3937" s="86">
        <f t="shared" si="1202"/>
        <v>0</v>
      </c>
      <c r="T3937" s="86">
        <f t="shared" si="1203"/>
        <v>5860.53</v>
      </c>
      <c r="U3937" s="87">
        <v>5860.53</v>
      </c>
    </row>
    <row r="3938" spans="1:21" s="30" customFormat="1" ht="24.6" hidden="1" outlineLevel="1" x14ac:dyDescent="0.55000000000000004">
      <c r="A3938" s="27" t="s">
        <v>327</v>
      </c>
      <c r="B3938" s="28"/>
      <c r="C3938" s="27"/>
      <c r="D3938" s="27" t="str">
        <f>"""NAV Direct"",""CRONUS JetCorp USA"",""21"",""1"",""418934"""</f>
        <v>"NAV Direct","CRONUS JetCorp USA","21","1","418934"</v>
      </c>
      <c r="E3938" s="31" t="str">
        <f t="shared" si="1195"/>
        <v>C100112</v>
      </c>
      <c r="F3938" s="31"/>
      <c r="G3938" s="31"/>
      <c r="H3938" s="31"/>
      <c r="I3938" s="56"/>
      <c r="J3938" s="56"/>
      <c r="K3938" s="82" t="str">
        <f t="shared" si="1196"/>
        <v>Invoice</v>
      </c>
      <c r="L3938" s="83" t="str">
        <f>"SI_112637"</f>
        <v>SI_112637</v>
      </c>
      <c r="M3938" s="84">
        <v>42988</v>
      </c>
      <c r="N3938" s="85">
        <f t="shared" si="1197"/>
        <v>824</v>
      </c>
      <c r="O3938" s="86">
        <f t="shared" si="1198"/>
        <v>5860.6500000000005</v>
      </c>
      <c r="P3938" s="86">
        <f t="shared" si="1199"/>
        <v>0</v>
      </c>
      <c r="Q3938" s="86">
        <f t="shared" si="1200"/>
        <v>0</v>
      </c>
      <c r="R3938" s="86">
        <f t="shared" si="1201"/>
        <v>0</v>
      </c>
      <c r="S3938" s="86">
        <f t="shared" si="1202"/>
        <v>0</v>
      </c>
      <c r="T3938" s="86">
        <f t="shared" si="1203"/>
        <v>5860.6500000000005</v>
      </c>
      <c r="U3938" s="87">
        <v>5860.6500000000005</v>
      </c>
    </row>
    <row r="3939" spans="1:21" s="30" customFormat="1" ht="24.6" hidden="1" outlineLevel="1" x14ac:dyDescent="0.55000000000000004">
      <c r="A3939" s="27" t="s">
        <v>327</v>
      </c>
      <c r="B3939" s="28"/>
      <c r="C3939" s="27"/>
      <c r="D3939" s="27" t="str">
        <f>"""NAV Direct"",""CRONUS JetCorp USA"",""21"",""1"",""418979"""</f>
        <v>"NAV Direct","CRONUS JetCorp USA","21","1","418979"</v>
      </c>
      <c r="E3939" s="31">
        <f t="shared" si="1195"/>
        <v>0</v>
      </c>
      <c r="F3939" s="31"/>
      <c r="G3939" s="31"/>
      <c r="H3939" s="31"/>
      <c r="I3939" s="56"/>
      <c r="J3939" s="56"/>
      <c r="K3939" s="82" t="str">
        <f t="shared" si="1196"/>
        <v>Invoice</v>
      </c>
      <c r="L3939" s="83" t="str">
        <f>"SI_112638"</f>
        <v>SI_112638</v>
      </c>
      <c r="M3939" s="84">
        <v>42994</v>
      </c>
      <c r="N3939" s="85">
        <f t="shared" si="1197"/>
        <v>818</v>
      </c>
      <c r="O3939" s="86">
        <f t="shared" si="1198"/>
        <v>5485.5</v>
      </c>
      <c r="P3939" s="86">
        <f t="shared" si="1199"/>
        <v>0</v>
      </c>
      <c r="Q3939" s="86">
        <f t="shared" si="1200"/>
        <v>0</v>
      </c>
      <c r="R3939" s="86">
        <f t="shared" si="1201"/>
        <v>0</v>
      </c>
      <c r="S3939" s="86">
        <f t="shared" si="1202"/>
        <v>0</v>
      </c>
      <c r="T3939" s="86">
        <f t="shared" si="1203"/>
        <v>5485.5</v>
      </c>
      <c r="U3939" s="87">
        <v>5485.5</v>
      </c>
    </row>
    <row r="3940" spans="1:21" s="30" customFormat="1" ht="24.6" hidden="1" outlineLevel="1" x14ac:dyDescent="0.55000000000000004">
      <c r="A3940" s="27" t="s">
        <v>327</v>
      </c>
      <c r="B3940" s="28"/>
      <c r="C3940" s="27"/>
      <c r="D3940" s="27" t="str">
        <f>"""NAV Direct"",""CRONUS JetCorp USA"",""21"",""1"",""419558"""</f>
        <v>"NAV Direct","CRONUS JetCorp USA","21","1","419558"</v>
      </c>
      <c r="E3940" s="31" t="str">
        <f t="shared" si="1195"/>
        <v>C100112</v>
      </c>
      <c r="F3940" s="31"/>
      <c r="G3940" s="31"/>
      <c r="H3940" s="31"/>
      <c r="I3940" s="56"/>
      <c r="J3940" s="56"/>
      <c r="K3940" s="82" t="str">
        <f t="shared" si="1196"/>
        <v>Invoice</v>
      </c>
      <c r="L3940" s="83" t="str">
        <f>"SI_112654"</f>
        <v>SI_112654</v>
      </c>
      <c r="M3940" s="84">
        <v>43086</v>
      </c>
      <c r="N3940" s="85">
        <f t="shared" si="1197"/>
        <v>726</v>
      </c>
      <c r="O3940" s="86">
        <f t="shared" si="1198"/>
        <v>5216.28</v>
      </c>
      <c r="P3940" s="86">
        <f t="shared" si="1199"/>
        <v>0</v>
      </c>
      <c r="Q3940" s="86">
        <f t="shared" si="1200"/>
        <v>0</v>
      </c>
      <c r="R3940" s="86">
        <f t="shared" si="1201"/>
        <v>0</v>
      </c>
      <c r="S3940" s="86">
        <f t="shared" si="1202"/>
        <v>0</v>
      </c>
      <c r="T3940" s="86">
        <f t="shared" si="1203"/>
        <v>5216.28</v>
      </c>
      <c r="U3940" s="87">
        <v>5216.28</v>
      </c>
    </row>
    <row r="3941" spans="1:21" s="30" customFormat="1" ht="24.6" hidden="1" outlineLevel="1" x14ac:dyDescent="0.55000000000000004">
      <c r="A3941" s="27" t="s">
        <v>327</v>
      </c>
      <c r="B3941" s="28"/>
      <c r="C3941" s="27"/>
      <c r="D3941" s="27" t="str">
        <f>"""NAV Direct"",""CRONUS JetCorp USA"",""21"",""1"",""419593"""</f>
        <v>"NAV Direct","CRONUS JetCorp USA","21","1","419593"</v>
      </c>
      <c r="E3941" s="31">
        <f t="shared" si="1195"/>
        <v>0</v>
      </c>
      <c r="F3941" s="31"/>
      <c r="G3941" s="31"/>
      <c r="H3941" s="31"/>
      <c r="I3941" s="56"/>
      <c r="J3941" s="56"/>
      <c r="K3941" s="82" t="str">
        <f t="shared" si="1196"/>
        <v>Invoice</v>
      </c>
      <c r="L3941" s="83" t="str">
        <f>"SI_112655"</f>
        <v>SI_112655</v>
      </c>
      <c r="M3941" s="84">
        <v>43089</v>
      </c>
      <c r="N3941" s="85">
        <f t="shared" si="1197"/>
        <v>723</v>
      </c>
      <c r="O3941" s="86">
        <f t="shared" si="1198"/>
        <v>5216.1900000000005</v>
      </c>
      <c r="P3941" s="86">
        <f t="shared" si="1199"/>
        <v>0</v>
      </c>
      <c r="Q3941" s="86">
        <f t="shared" si="1200"/>
        <v>0</v>
      </c>
      <c r="R3941" s="86">
        <f t="shared" si="1201"/>
        <v>0</v>
      </c>
      <c r="S3941" s="86">
        <f t="shared" si="1202"/>
        <v>0</v>
      </c>
      <c r="T3941" s="86">
        <f t="shared" si="1203"/>
        <v>5216.1900000000005</v>
      </c>
      <c r="U3941" s="87">
        <v>5216.1900000000005</v>
      </c>
    </row>
    <row r="3942" spans="1:21" s="30" customFormat="1" ht="24.6" hidden="1" outlineLevel="1" x14ac:dyDescent="0.55000000000000004">
      <c r="A3942" s="27" t="s">
        <v>327</v>
      </c>
      <c r="B3942" s="28"/>
      <c r="C3942" s="27"/>
      <c r="D3942" s="27" t="str">
        <f>"""NAV Direct"",""CRONUS JetCorp USA"",""21"",""1"",""419768"""</f>
        <v>"NAV Direct","CRONUS JetCorp USA","21","1","419768"</v>
      </c>
      <c r="E3942" s="31" t="str">
        <f t="shared" si="1195"/>
        <v>C100112</v>
      </c>
      <c r="F3942" s="31"/>
      <c r="G3942" s="31"/>
      <c r="H3942" s="31"/>
      <c r="I3942" s="56"/>
      <c r="J3942" s="56"/>
      <c r="K3942" s="82" t="str">
        <f t="shared" si="1196"/>
        <v>Invoice</v>
      </c>
      <c r="L3942" s="83" t="str">
        <f>"SI_112660"</f>
        <v>SI_112660</v>
      </c>
      <c r="M3942" s="84">
        <v>43120</v>
      </c>
      <c r="N3942" s="85">
        <f t="shared" si="1197"/>
        <v>692</v>
      </c>
      <c r="O3942" s="86">
        <f t="shared" si="1198"/>
        <v>5138.05</v>
      </c>
      <c r="P3942" s="86">
        <f t="shared" si="1199"/>
        <v>0</v>
      </c>
      <c r="Q3942" s="86">
        <f t="shared" si="1200"/>
        <v>0</v>
      </c>
      <c r="R3942" s="86">
        <f t="shared" si="1201"/>
        <v>0</v>
      </c>
      <c r="S3942" s="86">
        <f t="shared" si="1202"/>
        <v>0</v>
      </c>
      <c r="T3942" s="86">
        <f t="shared" si="1203"/>
        <v>5138.05</v>
      </c>
      <c r="U3942" s="87">
        <v>5138.05</v>
      </c>
    </row>
    <row r="3943" spans="1:21" s="30" customFormat="1" ht="24.6" hidden="1" outlineLevel="1" x14ac:dyDescent="0.55000000000000004">
      <c r="A3943" s="27" t="s">
        <v>327</v>
      </c>
      <c r="B3943" s="28"/>
      <c r="C3943" s="27"/>
      <c r="D3943" s="27" t="str">
        <f>"""NAV Direct"",""CRONUS JetCorp USA"",""21"",""1"",""420461"""</f>
        <v>"NAV Direct","CRONUS JetCorp USA","21","1","420461"</v>
      </c>
      <c r="E3943" s="31">
        <f t="shared" si="1195"/>
        <v>0</v>
      </c>
      <c r="F3943" s="31"/>
      <c r="G3943" s="31"/>
      <c r="H3943" s="31"/>
      <c r="I3943" s="56"/>
      <c r="J3943" s="56"/>
      <c r="K3943" s="82" t="str">
        <f t="shared" si="1196"/>
        <v>Invoice</v>
      </c>
      <c r="L3943" s="83" t="str">
        <f>"SI_112678"</f>
        <v>SI_112678</v>
      </c>
      <c r="M3943" s="84">
        <v>43226</v>
      </c>
      <c r="N3943" s="85">
        <f t="shared" si="1197"/>
        <v>586</v>
      </c>
      <c r="O3943" s="86">
        <f t="shared" si="1198"/>
        <v>5479.04</v>
      </c>
      <c r="P3943" s="86">
        <f t="shared" si="1199"/>
        <v>0</v>
      </c>
      <c r="Q3943" s="86">
        <f t="shared" si="1200"/>
        <v>0</v>
      </c>
      <c r="R3943" s="86">
        <f t="shared" si="1201"/>
        <v>0</v>
      </c>
      <c r="S3943" s="86">
        <f t="shared" si="1202"/>
        <v>0</v>
      </c>
      <c r="T3943" s="86">
        <f t="shared" si="1203"/>
        <v>5479.04</v>
      </c>
      <c r="U3943" s="87">
        <v>5479.04</v>
      </c>
    </row>
    <row r="3944" spans="1:21" s="30" customFormat="1" ht="24.6" hidden="1" outlineLevel="1" x14ac:dyDescent="0.55000000000000004">
      <c r="A3944" s="27" t="s">
        <v>327</v>
      </c>
      <c r="B3944" s="28"/>
      <c r="C3944" s="27"/>
      <c r="D3944" s="27" t="str">
        <f>"""NAV Direct"",""CRONUS JetCorp USA"",""21"",""1"",""420644"""</f>
        <v>"NAV Direct","CRONUS JetCorp USA","21","1","420644"</v>
      </c>
      <c r="E3944" s="31" t="str">
        <f t="shared" si="1195"/>
        <v>C100112</v>
      </c>
      <c r="F3944" s="31"/>
      <c r="G3944" s="31"/>
      <c r="H3944" s="31"/>
      <c r="I3944" s="56"/>
      <c r="J3944" s="56"/>
      <c r="K3944" s="82" t="str">
        <f t="shared" si="1196"/>
        <v>Invoice</v>
      </c>
      <c r="L3944" s="83" t="str">
        <f>"SI_112683"</f>
        <v>SI_112683</v>
      </c>
      <c r="M3944" s="84">
        <v>43283</v>
      </c>
      <c r="N3944" s="85">
        <f t="shared" si="1197"/>
        <v>529</v>
      </c>
      <c r="O3944" s="86">
        <f t="shared" si="1198"/>
        <v>5533.4400000000005</v>
      </c>
      <c r="P3944" s="86">
        <f t="shared" si="1199"/>
        <v>0</v>
      </c>
      <c r="Q3944" s="86">
        <f t="shared" si="1200"/>
        <v>0</v>
      </c>
      <c r="R3944" s="86">
        <f t="shared" si="1201"/>
        <v>0</v>
      </c>
      <c r="S3944" s="86">
        <f t="shared" si="1202"/>
        <v>0</v>
      </c>
      <c r="T3944" s="86">
        <f t="shared" si="1203"/>
        <v>5533.4400000000005</v>
      </c>
      <c r="U3944" s="87">
        <v>5533.4400000000005</v>
      </c>
    </row>
    <row r="3945" spans="1:21" s="30" customFormat="1" ht="24.6" hidden="1" outlineLevel="1" x14ac:dyDescent="0.55000000000000004">
      <c r="A3945" s="27" t="s">
        <v>327</v>
      </c>
      <c r="B3945" s="28"/>
      <c r="C3945" s="27"/>
      <c r="D3945" s="27" t="str">
        <f>"""NAV Direct"",""CRONUS JetCorp USA"",""21"",""1"",""420893"""</f>
        <v>"NAV Direct","CRONUS JetCorp USA","21","1","420893"</v>
      </c>
      <c r="E3945" s="31">
        <f t="shared" si="1195"/>
        <v>0</v>
      </c>
      <c r="F3945" s="31"/>
      <c r="G3945" s="31"/>
      <c r="H3945" s="31"/>
      <c r="I3945" s="56"/>
      <c r="J3945" s="56"/>
      <c r="K3945" s="82" t="str">
        <f t="shared" si="1196"/>
        <v>Invoice</v>
      </c>
      <c r="L3945" s="83" t="str">
        <f>"SI_112690"</f>
        <v>SI_112690</v>
      </c>
      <c r="M3945" s="84">
        <v>43321</v>
      </c>
      <c r="N3945" s="85">
        <f t="shared" si="1197"/>
        <v>491</v>
      </c>
      <c r="O3945" s="86">
        <f t="shared" si="1198"/>
        <v>5510.83</v>
      </c>
      <c r="P3945" s="86">
        <f t="shared" si="1199"/>
        <v>0</v>
      </c>
      <c r="Q3945" s="86">
        <f t="shared" si="1200"/>
        <v>0</v>
      </c>
      <c r="R3945" s="86">
        <f t="shared" si="1201"/>
        <v>0</v>
      </c>
      <c r="S3945" s="86">
        <f t="shared" si="1202"/>
        <v>0</v>
      </c>
      <c r="T3945" s="86">
        <f t="shared" si="1203"/>
        <v>5510.83</v>
      </c>
      <c r="U3945" s="87">
        <v>5510.83</v>
      </c>
    </row>
    <row r="3946" spans="1:21" s="30" customFormat="1" ht="24.6" hidden="1" outlineLevel="1" x14ac:dyDescent="0.55000000000000004">
      <c r="A3946" s="27" t="s">
        <v>327</v>
      </c>
      <c r="B3946" s="28"/>
      <c r="C3946" s="27"/>
      <c r="D3946" s="27" t="str">
        <f>"""NAV Direct"",""CRONUS JetCorp USA"",""21"",""1"",""420948"""</f>
        <v>"NAV Direct","CRONUS JetCorp USA","21","1","420948"</v>
      </c>
      <c r="E3946" s="31" t="str">
        <f t="shared" si="1195"/>
        <v>C100112</v>
      </c>
      <c r="F3946" s="31"/>
      <c r="G3946" s="31"/>
      <c r="H3946" s="31"/>
      <c r="I3946" s="56"/>
      <c r="J3946" s="56"/>
      <c r="K3946" s="82" t="str">
        <f t="shared" si="1196"/>
        <v>Invoice</v>
      </c>
      <c r="L3946" s="83" t="str">
        <f>"SI_112691"</f>
        <v>SI_112691</v>
      </c>
      <c r="M3946" s="84">
        <v>43324</v>
      </c>
      <c r="N3946" s="85">
        <f t="shared" si="1197"/>
        <v>488</v>
      </c>
      <c r="O3946" s="86">
        <f t="shared" si="1198"/>
        <v>6337.99</v>
      </c>
      <c r="P3946" s="86">
        <f t="shared" si="1199"/>
        <v>0</v>
      </c>
      <c r="Q3946" s="86">
        <f t="shared" si="1200"/>
        <v>0</v>
      </c>
      <c r="R3946" s="86">
        <f t="shared" si="1201"/>
        <v>0</v>
      </c>
      <c r="S3946" s="86">
        <f t="shared" si="1202"/>
        <v>0</v>
      </c>
      <c r="T3946" s="86">
        <f t="shared" si="1203"/>
        <v>6337.99</v>
      </c>
      <c r="U3946" s="87">
        <v>6337.99</v>
      </c>
    </row>
    <row r="3947" spans="1:21" s="30" customFormat="1" ht="24.6" hidden="1" outlineLevel="1" x14ac:dyDescent="0.55000000000000004">
      <c r="A3947" s="27" t="s">
        <v>327</v>
      </c>
      <c r="B3947" s="28"/>
      <c r="C3947" s="27"/>
      <c r="D3947" s="27" t="str">
        <f>"""NAV Direct"",""CRONUS JetCorp USA"",""21"",""1"",""421059"""</f>
        <v>"NAV Direct","CRONUS JetCorp USA","21","1","421059"</v>
      </c>
      <c r="E3947" s="31">
        <f t="shared" si="1195"/>
        <v>0</v>
      </c>
      <c r="F3947" s="31"/>
      <c r="G3947" s="31"/>
      <c r="H3947" s="31"/>
      <c r="I3947" s="56"/>
      <c r="J3947" s="56"/>
      <c r="K3947" s="82" t="str">
        <f t="shared" si="1196"/>
        <v>Invoice</v>
      </c>
      <c r="L3947" s="83" t="str">
        <f>"SI_112694"</f>
        <v>SI_112694</v>
      </c>
      <c r="M3947" s="84">
        <v>43335</v>
      </c>
      <c r="N3947" s="85">
        <f t="shared" si="1197"/>
        <v>477</v>
      </c>
      <c r="O3947" s="86">
        <f t="shared" si="1198"/>
        <v>6337.9500000000007</v>
      </c>
      <c r="P3947" s="86">
        <f t="shared" si="1199"/>
        <v>0</v>
      </c>
      <c r="Q3947" s="86">
        <f t="shared" si="1200"/>
        <v>0</v>
      </c>
      <c r="R3947" s="86">
        <f t="shared" si="1201"/>
        <v>0</v>
      </c>
      <c r="S3947" s="86">
        <f t="shared" si="1202"/>
        <v>0</v>
      </c>
      <c r="T3947" s="86">
        <f t="shared" si="1203"/>
        <v>6337.9500000000007</v>
      </c>
      <c r="U3947" s="87">
        <v>6337.9500000000007</v>
      </c>
    </row>
    <row r="3948" spans="1:21" s="30" customFormat="1" ht="24.6" hidden="1" outlineLevel="1" x14ac:dyDescent="0.55000000000000004">
      <c r="A3948" s="27" t="s">
        <v>327</v>
      </c>
      <c r="B3948" s="28"/>
      <c r="C3948" s="27"/>
      <c r="D3948" s="27" t="str">
        <f>"""NAV Direct"",""CRONUS JetCorp USA"",""21"",""1"",""421459"""</f>
        <v>"NAV Direct","CRONUS JetCorp USA","21","1","421459"</v>
      </c>
      <c r="E3948" s="31" t="str">
        <f t="shared" si="1195"/>
        <v>C100112</v>
      </c>
      <c r="F3948" s="31"/>
      <c r="G3948" s="31"/>
      <c r="H3948" s="31"/>
      <c r="I3948" s="56"/>
      <c r="J3948" s="56"/>
      <c r="K3948" s="82" t="str">
        <f t="shared" si="1196"/>
        <v>Invoice</v>
      </c>
      <c r="L3948" s="83" t="str">
        <f>"SI_112702"</f>
        <v>SI_112702</v>
      </c>
      <c r="M3948" s="84">
        <v>43393</v>
      </c>
      <c r="N3948" s="85">
        <f t="shared" si="1197"/>
        <v>419</v>
      </c>
      <c r="O3948" s="86">
        <f t="shared" si="1198"/>
        <v>7668.94</v>
      </c>
      <c r="P3948" s="86">
        <f t="shared" si="1199"/>
        <v>0</v>
      </c>
      <c r="Q3948" s="86">
        <f t="shared" si="1200"/>
        <v>0</v>
      </c>
      <c r="R3948" s="86">
        <f t="shared" si="1201"/>
        <v>0</v>
      </c>
      <c r="S3948" s="86">
        <f t="shared" si="1202"/>
        <v>0</v>
      </c>
      <c r="T3948" s="86">
        <f t="shared" si="1203"/>
        <v>7668.94</v>
      </c>
      <c r="U3948" s="87">
        <v>7668.94</v>
      </c>
    </row>
    <row r="3949" spans="1:21" s="30" customFormat="1" ht="24.6" hidden="1" outlineLevel="1" x14ac:dyDescent="0.55000000000000004">
      <c r="A3949" s="27" t="s">
        <v>327</v>
      </c>
      <c r="B3949" s="28"/>
      <c r="C3949" s="27"/>
      <c r="D3949" s="27" t="str">
        <f>"""NAV Direct"",""CRONUS JetCorp USA"",""21"",""1"",""421494"""</f>
        <v>"NAV Direct","CRONUS JetCorp USA","21","1","421494"</v>
      </c>
      <c r="E3949" s="31">
        <f t="shared" si="1195"/>
        <v>0</v>
      </c>
      <c r="F3949" s="31"/>
      <c r="G3949" s="31"/>
      <c r="H3949" s="31"/>
      <c r="I3949" s="56"/>
      <c r="J3949" s="56"/>
      <c r="K3949" s="82" t="str">
        <f t="shared" si="1196"/>
        <v>Invoice</v>
      </c>
      <c r="L3949" s="83" t="str">
        <f>"SI_112703"</f>
        <v>SI_112703</v>
      </c>
      <c r="M3949" s="84">
        <v>43401</v>
      </c>
      <c r="N3949" s="85">
        <f t="shared" si="1197"/>
        <v>411</v>
      </c>
      <c r="O3949" s="86">
        <f t="shared" si="1198"/>
        <v>7668.78</v>
      </c>
      <c r="P3949" s="86">
        <f t="shared" si="1199"/>
        <v>0</v>
      </c>
      <c r="Q3949" s="86">
        <f t="shared" si="1200"/>
        <v>0</v>
      </c>
      <c r="R3949" s="86">
        <f t="shared" si="1201"/>
        <v>0</v>
      </c>
      <c r="S3949" s="86">
        <f t="shared" si="1202"/>
        <v>0</v>
      </c>
      <c r="T3949" s="86">
        <f t="shared" si="1203"/>
        <v>7668.78</v>
      </c>
      <c r="U3949" s="87">
        <v>7668.78</v>
      </c>
    </row>
    <row r="3950" spans="1:21" s="30" customFormat="1" ht="24.6" hidden="1" outlineLevel="1" x14ac:dyDescent="0.55000000000000004">
      <c r="A3950" s="27" t="s">
        <v>327</v>
      </c>
      <c r="B3950" s="28"/>
      <c r="C3950" s="27"/>
      <c r="D3950" s="27" t="str">
        <f>"""NAV Direct"",""CRONUS JetCorp USA"",""21"",""1"",""421690"""</f>
        <v>"NAV Direct","CRONUS JetCorp USA","21","1","421690"</v>
      </c>
      <c r="E3950" s="31" t="str">
        <f t="shared" si="1195"/>
        <v>C100112</v>
      </c>
      <c r="F3950" s="31"/>
      <c r="G3950" s="31"/>
      <c r="H3950" s="31"/>
      <c r="I3950" s="56"/>
      <c r="J3950" s="56"/>
      <c r="K3950" s="82" t="str">
        <f t="shared" si="1196"/>
        <v>Invoice</v>
      </c>
      <c r="L3950" s="83" t="str">
        <f>"SI_112707"</f>
        <v>SI_112707</v>
      </c>
      <c r="M3950" s="84">
        <v>43406</v>
      </c>
      <c r="N3950" s="85">
        <f t="shared" si="1197"/>
        <v>406</v>
      </c>
      <c r="O3950" s="86">
        <f t="shared" si="1198"/>
        <v>7668.84</v>
      </c>
      <c r="P3950" s="86">
        <f t="shared" si="1199"/>
        <v>0</v>
      </c>
      <c r="Q3950" s="86">
        <f t="shared" si="1200"/>
        <v>0</v>
      </c>
      <c r="R3950" s="86">
        <f t="shared" si="1201"/>
        <v>0</v>
      </c>
      <c r="S3950" s="86">
        <f t="shared" si="1202"/>
        <v>0</v>
      </c>
      <c r="T3950" s="86">
        <f t="shared" si="1203"/>
        <v>7668.84</v>
      </c>
      <c r="U3950" s="87">
        <v>7668.84</v>
      </c>
    </row>
    <row r="3951" spans="1:21" s="30" customFormat="1" ht="24.6" hidden="1" outlineLevel="1" x14ac:dyDescent="0.55000000000000004">
      <c r="A3951" s="27" t="s">
        <v>327</v>
      </c>
      <c r="B3951" s="28"/>
      <c r="C3951" s="27"/>
      <c r="D3951" s="27" t="str">
        <f>"""NAV Direct"",""CRONUS JetCorp USA"",""21"",""1"",""421754"""</f>
        <v>"NAV Direct","CRONUS JetCorp USA","21","1","421754"</v>
      </c>
      <c r="E3951" s="31">
        <f t="shared" si="1195"/>
        <v>0</v>
      </c>
      <c r="F3951" s="31"/>
      <c r="G3951" s="31"/>
      <c r="H3951" s="31"/>
      <c r="I3951" s="56"/>
      <c r="J3951" s="56"/>
      <c r="K3951" s="82" t="str">
        <f t="shared" si="1196"/>
        <v>Invoice</v>
      </c>
      <c r="L3951" s="83" t="str">
        <f>"SI_112709"</f>
        <v>SI_112709</v>
      </c>
      <c r="M3951" s="84">
        <v>43424</v>
      </c>
      <c r="N3951" s="85">
        <f t="shared" si="1197"/>
        <v>388</v>
      </c>
      <c r="O3951" s="86">
        <f t="shared" si="1198"/>
        <v>7730.3400000000011</v>
      </c>
      <c r="P3951" s="86">
        <f t="shared" si="1199"/>
        <v>0</v>
      </c>
      <c r="Q3951" s="86">
        <f t="shared" si="1200"/>
        <v>0</v>
      </c>
      <c r="R3951" s="86">
        <f t="shared" si="1201"/>
        <v>0</v>
      </c>
      <c r="S3951" s="86">
        <f t="shared" si="1202"/>
        <v>0</v>
      </c>
      <c r="T3951" s="86">
        <f t="shared" si="1203"/>
        <v>7730.3400000000011</v>
      </c>
      <c r="U3951" s="87">
        <v>7730.3400000000011</v>
      </c>
    </row>
    <row r="3952" spans="1:21" s="30" customFormat="1" ht="24.6" hidden="1" outlineLevel="1" x14ac:dyDescent="0.55000000000000004">
      <c r="A3952" s="27" t="s">
        <v>327</v>
      </c>
      <c r="B3952" s="28"/>
      <c r="C3952" s="27"/>
      <c r="D3952" s="27" t="str">
        <f>"""NAV Direct"",""CRONUS JetCorp USA"",""21"",""1"",""421836"""</f>
        <v>"NAV Direct","CRONUS JetCorp USA","21","1","421836"</v>
      </c>
      <c r="E3952" s="31" t="str">
        <f t="shared" si="1195"/>
        <v>C100112</v>
      </c>
      <c r="F3952" s="31"/>
      <c r="G3952" s="31"/>
      <c r="H3952" s="31"/>
      <c r="I3952" s="56"/>
      <c r="J3952" s="56"/>
      <c r="K3952" s="82" t="str">
        <f t="shared" si="1196"/>
        <v>Invoice</v>
      </c>
      <c r="L3952" s="83" t="str">
        <f>"SI_112711"</f>
        <v>SI_112711</v>
      </c>
      <c r="M3952" s="84">
        <v>43429</v>
      </c>
      <c r="N3952" s="85">
        <f t="shared" si="1197"/>
        <v>383</v>
      </c>
      <c r="O3952" s="86">
        <f t="shared" si="1198"/>
        <v>7730.2199999999993</v>
      </c>
      <c r="P3952" s="86">
        <f t="shared" si="1199"/>
        <v>0</v>
      </c>
      <c r="Q3952" s="86">
        <f t="shared" si="1200"/>
        <v>0</v>
      </c>
      <c r="R3952" s="86">
        <f t="shared" si="1201"/>
        <v>0</v>
      </c>
      <c r="S3952" s="86">
        <f t="shared" si="1202"/>
        <v>0</v>
      </c>
      <c r="T3952" s="86">
        <f t="shared" si="1203"/>
        <v>7730.2199999999993</v>
      </c>
      <c r="U3952" s="87">
        <v>7730.2199999999993</v>
      </c>
    </row>
    <row r="3953" spans="1:21" s="30" customFormat="1" ht="24.6" hidden="1" outlineLevel="1" x14ac:dyDescent="0.55000000000000004">
      <c r="A3953" s="27" t="s">
        <v>327</v>
      </c>
      <c r="B3953" s="28"/>
      <c r="C3953" s="27"/>
      <c r="D3953" s="27" t="str">
        <f>"""NAV Direct"",""CRONUS JetCorp USA"",""21"",""1"",""422360"""</f>
        <v>"NAV Direct","CRONUS JetCorp USA","21","1","422360"</v>
      </c>
      <c r="E3953" s="31">
        <f t="shared" si="1195"/>
        <v>0</v>
      </c>
      <c r="F3953" s="31"/>
      <c r="G3953" s="31"/>
      <c r="H3953" s="31"/>
      <c r="I3953" s="56"/>
      <c r="J3953" s="56"/>
      <c r="K3953" s="82" t="str">
        <f t="shared" si="1196"/>
        <v>Invoice</v>
      </c>
      <c r="L3953" s="83" t="str">
        <f>"SI_112724"</f>
        <v>SI_112724</v>
      </c>
      <c r="M3953" s="84">
        <v>43515</v>
      </c>
      <c r="N3953" s="85">
        <f t="shared" si="1197"/>
        <v>297</v>
      </c>
      <c r="O3953" s="86">
        <f t="shared" si="1198"/>
        <v>6938.62</v>
      </c>
      <c r="P3953" s="86">
        <f t="shared" si="1199"/>
        <v>0</v>
      </c>
      <c r="Q3953" s="86">
        <f t="shared" si="1200"/>
        <v>0</v>
      </c>
      <c r="R3953" s="86">
        <f t="shared" si="1201"/>
        <v>0</v>
      </c>
      <c r="S3953" s="86">
        <f t="shared" si="1202"/>
        <v>0</v>
      </c>
      <c r="T3953" s="86">
        <f t="shared" si="1203"/>
        <v>6938.62</v>
      </c>
      <c r="U3953" s="87">
        <v>6938.62</v>
      </c>
    </row>
    <row r="3954" spans="1:21" s="30" customFormat="1" ht="24.6" hidden="1" outlineLevel="1" x14ac:dyDescent="0.55000000000000004">
      <c r="A3954" s="27" t="s">
        <v>327</v>
      </c>
      <c r="B3954" s="28"/>
      <c r="C3954" s="27"/>
      <c r="D3954" s="27" t="str">
        <f>"""NAV Direct"",""CRONUS JetCorp USA"",""21"",""1"",""422599"""</f>
        <v>"NAV Direct","CRONUS JetCorp USA","21","1","422599"</v>
      </c>
      <c r="E3954" s="31" t="str">
        <f t="shared" si="1195"/>
        <v>C100112</v>
      </c>
      <c r="F3954" s="31"/>
      <c r="G3954" s="31"/>
      <c r="H3954" s="31"/>
      <c r="I3954" s="56"/>
      <c r="J3954" s="56"/>
      <c r="K3954" s="82" t="str">
        <f t="shared" si="1196"/>
        <v>Invoice</v>
      </c>
      <c r="L3954" s="83" t="str">
        <f>"SI_112729"</f>
        <v>SI_112729</v>
      </c>
      <c r="M3954" s="84">
        <v>43524</v>
      </c>
      <c r="N3954" s="85">
        <f t="shared" si="1197"/>
        <v>288</v>
      </c>
      <c r="O3954" s="86">
        <f t="shared" si="1198"/>
        <v>6938.55</v>
      </c>
      <c r="P3954" s="86">
        <f t="shared" si="1199"/>
        <v>0</v>
      </c>
      <c r="Q3954" s="86">
        <f t="shared" si="1200"/>
        <v>0</v>
      </c>
      <c r="R3954" s="86">
        <f t="shared" si="1201"/>
        <v>0</v>
      </c>
      <c r="S3954" s="86">
        <f t="shared" si="1202"/>
        <v>0</v>
      </c>
      <c r="T3954" s="86">
        <f t="shared" si="1203"/>
        <v>6938.55</v>
      </c>
      <c r="U3954" s="87">
        <v>6938.55</v>
      </c>
    </row>
    <row r="3955" spans="1:21" s="30" customFormat="1" ht="24.6" hidden="1" outlineLevel="1" x14ac:dyDescent="0.55000000000000004">
      <c r="A3955" s="27" t="s">
        <v>327</v>
      </c>
      <c r="B3955" s="28"/>
      <c r="C3955" s="27"/>
      <c r="D3955" s="27" t="str">
        <f>"""NAV Direct"",""CRONUS JetCorp USA"",""21"",""1"",""422855"""</f>
        <v>"NAV Direct","CRONUS JetCorp USA","21","1","422855"</v>
      </c>
      <c r="E3955" s="31">
        <f t="shared" si="1195"/>
        <v>0</v>
      </c>
      <c r="F3955" s="31"/>
      <c r="G3955" s="31"/>
      <c r="H3955" s="31"/>
      <c r="I3955" s="56"/>
      <c r="J3955" s="56"/>
      <c r="K3955" s="82" t="str">
        <f t="shared" si="1196"/>
        <v>Invoice</v>
      </c>
      <c r="L3955" s="83" t="str">
        <f>"SI_112735"</f>
        <v>SI_112735</v>
      </c>
      <c r="M3955" s="84">
        <v>43553</v>
      </c>
      <c r="N3955" s="85">
        <f t="shared" si="1197"/>
        <v>259</v>
      </c>
      <c r="O3955" s="86">
        <f t="shared" si="1198"/>
        <v>7979.44</v>
      </c>
      <c r="P3955" s="86">
        <f t="shared" si="1199"/>
        <v>0</v>
      </c>
      <c r="Q3955" s="86">
        <f t="shared" si="1200"/>
        <v>0</v>
      </c>
      <c r="R3955" s="86">
        <f t="shared" si="1201"/>
        <v>0</v>
      </c>
      <c r="S3955" s="86">
        <f t="shared" si="1202"/>
        <v>0</v>
      </c>
      <c r="T3955" s="86">
        <f t="shared" si="1203"/>
        <v>7979.44</v>
      </c>
      <c r="U3955" s="87">
        <v>7979.44</v>
      </c>
    </row>
    <row r="3956" spans="1:21" s="30" customFormat="1" ht="24.6" hidden="1" outlineLevel="1" x14ac:dyDescent="0.55000000000000004">
      <c r="A3956" s="27" t="s">
        <v>327</v>
      </c>
      <c r="B3956" s="28"/>
      <c r="C3956" s="27"/>
      <c r="D3956" s="27" t="str">
        <f>"""NAV Direct"",""CRONUS JetCorp USA"",""21"",""1"",""423090"""</f>
        <v>"NAV Direct","CRONUS JetCorp USA","21","1","423090"</v>
      </c>
      <c r="E3956" s="31" t="str">
        <f t="shared" si="1195"/>
        <v>C100112</v>
      </c>
      <c r="F3956" s="31"/>
      <c r="G3956" s="31"/>
      <c r="H3956" s="31"/>
      <c r="I3956" s="56"/>
      <c r="J3956" s="56"/>
      <c r="K3956" s="82" t="str">
        <f t="shared" si="1196"/>
        <v>Invoice</v>
      </c>
      <c r="L3956" s="83" t="str">
        <f>"SI_112740"</f>
        <v>SI_112740</v>
      </c>
      <c r="M3956" s="84">
        <v>43572</v>
      </c>
      <c r="N3956" s="85">
        <f t="shared" si="1197"/>
        <v>240</v>
      </c>
      <c r="O3956" s="86">
        <f t="shared" si="1198"/>
        <v>8937.06</v>
      </c>
      <c r="P3956" s="86">
        <f t="shared" si="1199"/>
        <v>0</v>
      </c>
      <c r="Q3956" s="86">
        <f t="shared" si="1200"/>
        <v>0</v>
      </c>
      <c r="R3956" s="86">
        <f t="shared" si="1201"/>
        <v>0</v>
      </c>
      <c r="S3956" s="86">
        <f t="shared" si="1202"/>
        <v>0</v>
      </c>
      <c r="T3956" s="86">
        <f t="shared" si="1203"/>
        <v>8937.06</v>
      </c>
      <c r="U3956" s="87">
        <v>8937.06</v>
      </c>
    </row>
    <row r="3957" spans="1:21" s="30" customFormat="1" ht="24.6" hidden="1" outlineLevel="1" x14ac:dyDescent="0.55000000000000004">
      <c r="A3957" s="27" t="s">
        <v>327</v>
      </c>
      <c r="B3957" s="28"/>
      <c r="C3957" s="27"/>
      <c r="D3957" s="27" t="str">
        <f>"""NAV Direct"",""CRONUS JetCorp USA"",""21"",""1"",""423298"""</f>
        <v>"NAV Direct","CRONUS JetCorp USA","21","1","423298"</v>
      </c>
      <c r="E3957" s="31">
        <f t="shared" si="1195"/>
        <v>0</v>
      </c>
      <c r="F3957" s="31"/>
      <c r="G3957" s="31"/>
      <c r="H3957" s="31"/>
      <c r="I3957" s="56"/>
      <c r="J3957" s="56"/>
      <c r="K3957" s="82" t="str">
        <f t="shared" si="1196"/>
        <v>Invoice</v>
      </c>
      <c r="L3957" s="83" t="str">
        <f>"SI_112744"</f>
        <v>SI_112744</v>
      </c>
      <c r="M3957" s="84">
        <v>43577</v>
      </c>
      <c r="N3957" s="85">
        <f t="shared" si="1197"/>
        <v>235</v>
      </c>
      <c r="O3957" s="86">
        <f t="shared" si="1198"/>
        <v>8663.5399999999991</v>
      </c>
      <c r="P3957" s="86">
        <f t="shared" si="1199"/>
        <v>0</v>
      </c>
      <c r="Q3957" s="86">
        <f t="shared" si="1200"/>
        <v>0</v>
      </c>
      <c r="R3957" s="86">
        <f t="shared" si="1201"/>
        <v>0</v>
      </c>
      <c r="S3957" s="86">
        <f t="shared" si="1202"/>
        <v>0</v>
      </c>
      <c r="T3957" s="86">
        <f t="shared" si="1203"/>
        <v>8663.5399999999991</v>
      </c>
      <c r="U3957" s="87">
        <v>8663.5399999999991</v>
      </c>
    </row>
    <row r="3958" spans="1:21" s="30" customFormat="1" ht="24.6" hidden="1" outlineLevel="1" x14ac:dyDescent="0.55000000000000004">
      <c r="A3958" s="27" t="s">
        <v>327</v>
      </c>
      <c r="B3958" s="28"/>
      <c r="C3958" s="27"/>
      <c r="D3958" s="27" t="str">
        <f>"""NAV Direct"",""CRONUS JetCorp USA"",""21"",""1"",""423646"""</f>
        <v>"NAV Direct","CRONUS JetCorp USA","21","1","423646"</v>
      </c>
      <c r="E3958" s="31" t="str">
        <f t="shared" ref="E3958:E3989" si="1204">E3956</f>
        <v>C100112</v>
      </c>
      <c r="F3958" s="31"/>
      <c r="G3958" s="31"/>
      <c r="H3958" s="31"/>
      <c r="I3958" s="56"/>
      <c r="J3958" s="56"/>
      <c r="K3958" s="82" t="str">
        <f t="shared" si="1196"/>
        <v>Invoice</v>
      </c>
      <c r="L3958" s="83" t="str">
        <f>"SI_112752"</f>
        <v>SI_112752</v>
      </c>
      <c r="M3958" s="84">
        <v>43609</v>
      </c>
      <c r="N3958" s="85">
        <f t="shared" ref="N3958:N3993" si="1205">StartDate-$M3958+1</f>
        <v>203</v>
      </c>
      <c r="O3958" s="86">
        <f t="shared" ref="O3958:O3989" si="1206">SUM(P3958:T3958)</f>
        <v>4650.9400000000005</v>
      </c>
      <c r="P3958" s="86">
        <f t="shared" ref="P3958:P3993" si="1207">IF($M3958&gt;=$P$18,U3958,0)</f>
        <v>0</v>
      </c>
      <c r="Q3958" s="86">
        <f t="shared" ref="Q3958:Q3993" si="1208">IF(AND($M3958&gt;=$Q$16,$M3958&lt;=$Q$18),U3958,0)</f>
        <v>0</v>
      </c>
      <c r="R3958" s="86">
        <f t="shared" ref="R3958:R3993" si="1209">IF(AND($M3958&gt;=$R$16,$M3958&lt;=$R$18),U3958,0)</f>
        <v>0</v>
      </c>
      <c r="S3958" s="86">
        <f t="shared" ref="S3958:S3993" si="1210">IF(AND($M3958&gt;=$S$16,$M3958&lt;=$S$18),U3958,0)</f>
        <v>0</v>
      </c>
      <c r="T3958" s="86">
        <f t="shared" ref="T3958:T3989" si="1211">IF($M3958&lt;=$T$18,U3958,0)</f>
        <v>4650.9400000000005</v>
      </c>
      <c r="U3958" s="87">
        <v>4650.9400000000005</v>
      </c>
    </row>
    <row r="3959" spans="1:21" s="30" customFormat="1" ht="24.6" hidden="1" outlineLevel="1" x14ac:dyDescent="0.55000000000000004">
      <c r="A3959" s="27" t="s">
        <v>327</v>
      </c>
      <c r="B3959" s="28"/>
      <c r="C3959" s="27"/>
      <c r="D3959" s="27" t="str">
        <f>"""NAV Direct"",""CRONUS JetCorp USA"",""21"",""1"",""423963"""</f>
        <v>"NAV Direct","CRONUS JetCorp USA","21","1","423963"</v>
      </c>
      <c r="E3959" s="31">
        <f t="shared" si="1204"/>
        <v>0</v>
      </c>
      <c r="F3959" s="31"/>
      <c r="G3959" s="31"/>
      <c r="H3959" s="31"/>
      <c r="I3959" s="56"/>
      <c r="J3959" s="56"/>
      <c r="K3959" s="82" t="str">
        <f t="shared" si="1196"/>
        <v>Invoice</v>
      </c>
      <c r="L3959" s="83" t="str">
        <f>"SI_112760"</f>
        <v>SI_112760</v>
      </c>
      <c r="M3959" s="84">
        <v>43641</v>
      </c>
      <c r="N3959" s="85">
        <f t="shared" si="1205"/>
        <v>171</v>
      </c>
      <c r="O3959" s="86">
        <f t="shared" si="1206"/>
        <v>5323.38</v>
      </c>
      <c r="P3959" s="86">
        <f t="shared" si="1207"/>
        <v>0</v>
      </c>
      <c r="Q3959" s="86">
        <f t="shared" si="1208"/>
        <v>0</v>
      </c>
      <c r="R3959" s="86">
        <f t="shared" si="1209"/>
        <v>0</v>
      </c>
      <c r="S3959" s="86">
        <f t="shared" si="1210"/>
        <v>0</v>
      </c>
      <c r="T3959" s="86">
        <f t="shared" si="1211"/>
        <v>5323.38</v>
      </c>
      <c r="U3959" s="87">
        <v>5323.38</v>
      </c>
    </row>
    <row r="3960" spans="1:21" s="30" customFormat="1" ht="24.6" hidden="1" outlineLevel="1" x14ac:dyDescent="0.55000000000000004">
      <c r="A3960" s="27" t="s">
        <v>327</v>
      </c>
      <c r="B3960" s="28"/>
      <c r="C3960" s="27"/>
      <c r="D3960" s="27" t="str">
        <f>"""NAV Direct"",""CRONUS JetCorp USA"",""21"",""1"",""424199"""</f>
        <v>"NAV Direct","CRONUS JetCorp USA","21","1","424199"</v>
      </c>
      <c r="E3960" s="31" t="str">
        <f t="shared" si="1204"/>
        <v>C100112</v>
      </c>
      <c r="F3960" s="31"/>
      <c r="G3960" s="31"/>
      <c r="H3960" s="31"/>
      <c r="I3960" s="56"/>
      <c r="J3960" s="56"/>
      <c r="K3960" s="82" t="str">
        <f t="shared" si="1196"/>
        <v>Invoice</v>
      </c>
      <c r="L3960" s="83" t="str">
        <f>"SI_112766"</f>
        <v>SI_112766</v>
      </c>
      <c r="M3960" s="84">
        <v>43663</v>
      </c>
      <c r="N3960" s="85">
        <f t="shared" si="1205"/>
        <v>149</v>
      </c>
      <c r="O3960" s="86">
        <f t="shared" si="1206"/>
        <v>5126.8900000000003</v>
      </c>
      <c r="P3960" s="86">
        <f t="shared" si="1207"/>
        <v>0</v>
      </c>
      <c r="Q3960" s="86">
        <f t="shared" si="1208"/>
        <v>0</v>
      </c>
      <c r="R3960" s="86">
        <f t="shared" si="1209"/>
        <v>0</v>
      </c>
      <c r="S3960" s="86">
        <f t="shared" si="1210"/>
        <v>0</v>
      </c>
      <c r="T3960" s="86">
        <f t="shared" si="1211"/>
        <v>5126.8900000000003</v>
      </c>
      <c r="U3960" s="87">
        <v>5126.8900000000003</v>
      </c>
    </row>
    <row r="3961" spans="1:21" s="30" customFormat="1" ht="24.6" hidden="1" outlineLevel="1" x14ac:dyDescent="0.55000000000000004">
      <c r="A3961" s="27" t="s">
        <v>327</v>
      </c>
      <c r="B3961" s="28"/>
      <c r="C3961" s="27"/>
      <c r="D3961" s="27" t="str">
        <f>"""NAV Direct"",""CRONUS JetCorp USA"",""21"",""1"",""424297"""</f>
        <v>"NAV Direct","CRONUS JetCorp USA","21","1","424297"</v>
      </c>
      <c r="E3961" s="31">
        <f t="shared" si="1204"/>
        <v>0</v>
      </c>
      <c r="F3961" s="31"/>
      <c r="G3961" s="31"/>
      <c r="H3961" s="31"/>
      <c r="I3961" s="56"/>
      <c r="J3961" s="56"/>
      <c r="K3961" s="82" t="str">
        <f t="shared" si="1196"/>
        <v>Invoice</v>
      </c>
      <c r="L3961" s="83" t="str">
        <f>"SI_112768"</f>
        <v>SI_112768</v>
      </c>
      <c r="M3961" s="84">
        <v>43666</v>
      </c>
      <c r="N3961" s="85">
        <f t="shared" si="1205"/>
        <v>146</v>
      </c>
      <c r="O3961" s="86">
        <f t="shared" si="1206"/>
        <v>5582.6799999999994</v>
      </c>
      <c r="P3961" s="86">
        <f t="shared" si="1207"/>
        <v>0</v>
      </c>
      <c r="Q3961" s="86">
        <f t="shared" si="1208"/>
        <v>0</v>
      </c>
      <c r="R3961" s="86">
        <f t="shared" si="1209"/>
        <v>0</v>
      </c>
      <c r="S3961" s="86">
        <f t="shared" si="1210"/>
        <v>0</v>
      </c>
      <c r="T3961" s="86">
        <f t="shared" si="1211"/>
        <v>5582.6799999999994</v>
      </c>
      <c r="U3961" s="87">
        <v>5582.6799999999994</v>
      </c>
    </row>
    <row r="3962" spans="1:21" s="30" customFormat="1" ht="24.6" hidden="1" outlineLevel="1" x14ac:dyDescent="0.55000000000000004">
      <c r="A3962" s="27" t="s">
        <v>327</v>
      </c>
      <c r="B3962" s="28"/>
      <c r="C3962" s="27"/>
      <c r="D3962" s="27" t="str">
        <f>"""NAV Direct"",""CRONUS JetCorp USA"",""21"",""1"",""424565"""</f>
        <v>"NAV Direct","CRONUS JetCorp USA","21","1","424565"</v>
      </c>
      <c r="E3962" s="31" t="str">
        <f t="shared" si="1204"/>
        <v>C100112</v>
      </c>
      <c r="F3962" s="31"/>
      <c r="G3962" s="31"/>
      <c r="H3962" s="31"/>
      <c r="I3962" s="56"/>
      <c r="J3962" s="56"/>
      <c r="K3962" s="82" t="str">
        <f t="shared" si="1196"/>
        <v>Invoice</v>
      </c>
      <c r="L3962" s="83" t="str">
        <f>"SI_112775"</f>
        <v>SI_112775</v>
      </c>
      <c r="M3962" s="84">
        <v>43681</v>
      </c>
      <c r="N3962" s="85">
        <f t="shared" si="1205"/>
        <v>131</v>
      </c>
      <c r="O3962" s="86">
        <f t="shared" si="1206"/>
        <v>5183.95</v>
      </c>
      <c r="P3962" s="86">
        <f t="shared" si="1207"/>
        <v>0</v>
      </c>
      <c r="Q3962" s="86">
        <f t="shared" si="1208"/>
        <v>0</v>
      </c>
      <c r="R3962" s="86">
        <f t="shared" si="1209"/>
        <v>0</v>
      </c>
      <c r="S3962" s="86">
        <f t="shared" si="1210"/>
        <v>0</v>
      </c>
      <c r="T3962" s="86">
        <f t="shared" si="1211"/>
        <v>5183.95</v>
      </c>
      <c r="U3962" s="87">
        <v>5183.95</v>
      </c>
    </row>
    <row r="3963" spans="1:21" s="30" customFormat="1" ht="24.6" hidden="1" outlineLevel="1" x14ac:dyDescent="0.55000000000000004">
      <c r="A3963" s="27" t="s">
        <v>327</v>
      </c>
      <c r="B3963" s="28"/>
      <c r="C3963" s="27"/>
      <c r="D3963" s="27" t="str">
        <f>"""NAV Direct"",""CRONUS JetCorp USA"",""21"",""1"",""424988"""</f>
        <v>"NAV Direct","CRONUS JetCorp USA","21","1","424988"</v>
      </c>
      <c r="E3963" s="31">
        <f t="shared" si="1204"/>
        <v>0</v>
      </c>
      <c r="F3963" s="31"/>
      <c r="G3963" s="31"/>
      <c r="H3963" s="31"/>
      <c r="I3963" s="56"/>
      <c r="J3963" s="56"/>
      <c r="K3963" s="82" t="str">
        <f t="shared" si="1196"/>
        <v>Invoice</v>
      </c>
      <c r="L3963" s="83" t="str">
        <f>"SI_112786"</f>
        <v>SI_112786</v>
      </c>
      <c r="M3963" s="84">
        <v>43727</v>
      </c>
      <c r="N3963" s="85">
        <f t="shared" si="1205"/>
        <v>85</v>
      </c>
      <c r="O3963" s="86">
        <f t="shared" si="1206"/>
        <v>6571.85</v>
      </c>
      <c r="P3963" s="86">
        <f t="shared" si="1207"/>
        <v>0</v>
      </c>
      <c r="Q3963" s="86">
        <f t="shared" si="1208"/>
        <v>0</v>
      </c>
      <c r="R3963" s="86">
        <f t="shared" si="1209"/>
        <v>0</v>
      </c>
      <c r="S3963" s="86">
        <f t="shared" si="1210"/>
        <v>6571.85</v>
      </c>
      <c r="T3963" s="86">
        <f t="shared" si="1211"/>
        <v>0</v>
      </c>
      <c r="U3963" s="87">
        <v>6571.85</v>
      </c>
    </row>
    <row r="3964" spans="1:21" s="30" customFormat="1" ht="24.6" hidden="1" outlineLevel="1" x14ac:dyDescent="0.55000000000000004">
      <c r="A3964" s="27" t="s">
        <v>327</v>
      </c>
      <c r="B3964" s="28"/>
      <c r="C3964" s="27"/>
      <c r="D3964" s="27" t="str">
        <f>"""NAV Direct"",""CRONUS JetCorp USA"",""21"",""1"",""426074"""</f>
        <v>"NAV Direct","CRONUS JetCorp USA","21","1","426074"</v>
      </c>
      <c r="E3964" s="31" t="str">
        <f t="shared" si="1204"/>
        <v>C100112</v>
      </c>
      <c r="F3964" s="31"/>
      <c r="G3964" s="31"/>
      <c r="H3964" s="31"/>
      <c r="I3964" s="56"/>
      <c r="J3964" s="56"/>
      <c r="K3964" s="82" t="str">
        <f t="shared" si="1196"/>
        <v>Invoice</v>
      </c>
      <c r="L3964" s="83" t="str">
        <f>"SI_112812"</f>
        <v>SI_112812</v>
      </c>
      <c r="M3964" s="84">
        <v>43822</v>
      </c>
      <c r="N3964" s="85">
        <f t="shared" si="1205"/>
        <v>-10</v>
      </c>
      <c r="O3964" s="86">
        <f t="shared" si="1206"/>
        <v>7265.72</v>
      </c>
      <c r="P3964" s="86">
        <f t="shared" si="1207"/>
        <v>7265.72</v>
      </c>
      <c r="Q3964" s="86">
        <f t="shared" si="1208"/>
        <v>0</v>
      </c>
      <c r="R3964" s="86">
        <f t="shared" si="1209"/>
        <v>0</v>
      </c>
      <c r="S3964" s="86">
        <f t="shared" si="1210"/>
        <v>0</v>
      </c>
      <c r="T3964" s="86">
        <f t="shared" si="1211"/>
        <v>0</v>
      </c>
      <c r="U3964" s="87">
        <v>7265.72</v>
      </c>
    </row>
    <row r="3965" spans="1:21" s="30" customFormat="1" ht="24.6" hidden="1" outlineLevel="1" x14ac:dyDescent="0.55000000000000004">
      <c r="A3965" s="27" t="s">
        <v>327</v>
      </c>
      <c r="B3965" s="28"/>
      <c r="C3965" s="27"/>
      <c r="D3965" s="27" t="str">
        <f>"""NAV Direct"",""CRONUS JetCorp USA"",""21"",""1"",""426366"""</f>
        <v>"NAV Direct","CRONUS JetCorp USA","21","1","426366"</v>
      </c>
      <c r="E3965" s="31">
        <f t="shared" si="1204"/>
        <v>0</v>
      </c>
      <c r="F3965" s="31"/>
      <c r="G3965" s="31"/>
      <c r="H3965" s="31"/>
      <c r="I3965" s="56"/>
      <c r="J3965" s="56"/>
      <c r="K3965" s="82" t="str">
        <f t="shared" si="1196"/>
        <v>Invoice</v>
      </c>
      <c r="L3965" s="83" t="str">
        <f>"SI_112818"</f>
        <v>SI_112818</v>
      </c>
      <c r="M3965" s="84">
        <v>42010</v>
      </c>
      <c r="N3965" s="85">
        <f t="shared" si="1205"/>
        <v>1802</v>
      </c>
      <c r="O3965" s="86">
        <f t="shared" si="1206"/>
        <v>6963.0199999999995</v>
      </c>
      <c r="P3965" s="86">
        <f t="shared" si="1207"/>
        <v>0</v>
      </c>
      <c r="Q3965" s="86">
        <f t="shared" si="1208"/>
        <v>0</v>
      </c>
      <c r="R3965" s="86">
        <f t="shared" si="1209"/>
        <v>0</v>
      </c>
      <c r="S3965" s="86">
        <f t="shared" si="1210"/>
        <v>0</v>
      </c>
      <c r="T3965" s="86">
        <f t="shared" si="1211"/>
        <v>6963.0199999999995</v>
      </c>
      <c r="U3965" s="87">
        <v>6963.0199999999995</v>
      </c>
    </row>
    <row r="3966" spans="1:21" s="30" customFormat="1" ht="24.6" hidden="1" outlineLevel="1" x14ac:dyDescent="0.55000000000000004">
      <c r="A3966" s="27" t="s">
        <v>327</v>
      </c>
      <c r="B3966" s="28"/>
      <c r="C3966" s="27"/>
      <c r="D3966" s="27" t="str">
        <f>"""NAV Direct"",""CRONUS JetCorp USA"",""21"",""1"",""426458"""</f>
        <v>"NAV Direct","CRONUS JetCorp USA","21","1","426458"</v>
      </c>
      <c r="E3966" s="31" t="str">
        <f t="shared" si="1204"/>
        <v>C100112</v>
      </c>
      <c r="F3966" s="31"/>
      <c r="G3966" s="31"/>
      <c r="H3966" s="31"/>
      <c r="I3966" s="56"/>
      <c r="J3966" s="56"/>
      <c r="K3966" s="82" t="str">
        <f t="shared" si="1196"/>
        <v>Invoice</v>
      </c>
      <c r="L3966" s="83" t="str">
        <f>"SI_112820"</f>
        <v>SI_112820</v>
      </c>
      <c r="M3966" s="84">
        <v>42028</v>
      </c>
      <c r="N3966" s="85">
        <f t="shared" si="1205"/>
        <v>1784</v>
      </c>
      <c r="O3966" s="86">
        <f t="shared" si="1206"/>
        <v>7420.1100000000006</v>
      </c>
      <c r="P3966" s="86">
        <f t="shared" si="1207"/>
        <v>0</v>
      </c>
      <c r="Q3966" s="86">
        <f t="shared" si="1208"/>
        <v>0</v>
      </c>
      <c r="R3966" s="86">
        <f t="shared" si="1209"/>
        <v>0</v>
      </c>
      <c r="S3966" s="86">
        <f t="shared" si="1210"/>
        <v>0</v>
      </c>
      <c r="T3966" s="86">
        <f t="shared" si="1211"/>
        <v>7420.1100000000006</v>
      </c>
      <c r="U3966" s="87">
        <v>7420.1100000000006</v>
      </c>
    </row>
    <row r="3967" spans="1:21" s="30" customFormat="1" ht="24.6" hidden="1" outlineLevel="1" x14ac:dyDescent="0.55000000000000004">
      <c r="A3967" s="27" t="s">
        <v>327</v>
      </c>
      <c r="B3967" s="28"/>
      <c r="C3967" s="27"/>
      <c r="D3967" s="27" t="str">
        <f>"""NAV Direct"",""CRONUS JetCorp USA"",""21"",""1"",""427225"""</f>
        <v>"NAV Direct","CRONUS JetCorp USA","21","1","427225"</v>
      </c>
      <c r="E3967" s="31">
        <f t="shared" si="1204"/>
        <v>0</v>
      </c>
      <c r="F3967" s="31"/>
      <c r="G3967" s="31"/>
      <c r="H3967" s="31"/>
      <c r="I3967" s="56"/>
      <c r="J3967" s="56"/>
      <c r="K3967" s="82" t="str">
        <f t="shared" si="1196"/>
        <v>Invoice</v>
      </c>
      <c r="L3967" s="83" t="str">
        <f>"SI_112836"</f>
        <v>SI_112836</v>
      </c>
      <c r="M3967" s="84">
        <v>42094</v>
      </c>
      <c r="N3967" s="85">
        <f t="shared" si="1205"/>
        <v>1718</v>
      </c>
      <c r="O3967" s="86">
        <f t="shared" si="1206"/>
        <v>8072.8899999999994</v>
      </c>
      <c r="P3967" s="86">
        <f t="shared" si="1207"/>
        <v>0</v>
      </c>
      <c r="Q3967" s="86">
        <f t="shared" si="1208"/>
        <v>0</v>
      </c>
      <c r="R3967" s="86">
        <f t="shared" si="1209"/>
        <v>0</v>
      </c>
      <c r="S3967" s="86">
        <f t="shared" si="1210"/>
        <v>0</v>
      </c>
      <c r="T3967" s="86">
        <f t="shared" si="1211"/>
        <v>8072.8899999999994</v>
      </c>
      <c r="U3967" s="87">
        <v>8072.8899999999994</v>
      </c>
    </row>
    <row r="3968" spans="1:21" s="30" customFormat="1" ht="24.6" hidden="1" outlineLevel="1" x14ac:dyDescent="0.55000000000000004">
      <c r="A3968" s="27" t="s">
        <v>327</v>
      </c>
      <c r="B3968" s="28"/>
      <c r="C3968" s="27"/>
      <c r="D3968" s="27" t="str">
        <f>"""NAV Direct"",""CRONUS JetCorp USA"",""21"",""1"",""427534"""</f>
        <v>"NAV Direct","CRONUS JetCorp USA","21","1","427534"</v>
      </c>
      <c r="E3968" s="31" t="str">
        <f t="shared" si="1204"/>
        <v>C100112</v>
      </c>
      <c r="F3968" s="31"/>
      <c r="G3968" s="31"/>
      <c r="H3968" s="31"/>
      <c r="I3968" s="56"/>
      <c r="J3968" s="56"/>
      <c r="K3968" s="82" t="str">
        <f t="shared" si="1196"/>
        <v>Invoice</v>
      </c>
      <c r="L3968" s="83" t="str">
        <f>"SI_112843"</f>
        <v>SI_112843</v>
      </c>
      <c r="M3968" s="84">
        <v>42144</v>
      </c>
      <c r="N3968" s="85">
        <f t="shared" si="1205"/>
        <v>1668</v>
      </c>
      <c r="O3968" s="86">
        <f t="shared" si="1206"/>
        <v>5037.57</v>
      </c>
      <c r="P3968" s="86">
        <f t="shared" si="1207"/>
        <v>0</v>
      </c>
      <c r="Q3968" s="86">
        <f t="shared" si="1208"/>
        <v>0</v>
      </c>
      <c r="R3968" s="86">
        <f t="shared" si="1209"/>
        <v>0</v>
      </c>
      <c r="S3968" s="86">
        <f t="shared" si="1210"/>
        <v>0</v>
      </c>
      <c r="T3968" s="86">
        <f t="shared" si="1211"/>
        <v>5037.57</v>
      </c>
      <c r="U3968" s="87">
        <v>5037.57</v>
      </c>
    </row>
    <row r="3969" spans="1:21" s="30" customFormat="1" ht="24.6" hidden="1" outlineLevel="1" x14ac:dyDescent="0.55000000000000004">
      <c r="A3969" s="27" t="s">
        <v>327</v>
      </c>
      <c r="B3969" s="28"/>
      <c r="C3969" s="27"/>
      <c r="D3969" s="27" t="str">
        <f>"""NAV Direct"",""CRONUS JetCorp USA"",""21"",""1"",""427610"""</f>
        <v>"NAV Direct","CRONUS JetCorp USA","21","1","427610"</v>
      </c>
      <c r="E3969" s="31">
        <f t="shared" si="1204"/>
        <v>0</v>
      </c>
      <c r="F3969" s="31"/>
      <c r="G3969" s="31"/>
      <c r="H3969" s="31"/>
      <c r="I3969" s="56"/>
      <c r="J3969" s="56"/>
      <c r="K3969" s="82" t="str">
        <f t="shared" si="1196"/>
        <v>Invoice</v>
      </c>
      <c r="L3969" s="83" t="str">
        <f>"SI_112845"</f>
        <v>SI_112845</v>
      </c>
      <c r="M3969" s="84">
        <v>42151</v>
      </c>
      <c r="N3969" s="85">
        <f t="shared" si="1205"/>
        <v>1661</v>
      </c>
      <c r="O3969" s="86">
        <f t="shared" si="1206"/>
        <v>4926.74</v>
      </c>
      <c r="P3969" s="86">
        <f t="shared" si="1207"/>
        <v>0</v>
      </c>
      <c r="Q3969" s="86">
        <f t="shared" si="1208"/>
        <v>0</v>
      </c>
      <c r="R3969" s="86">
        <f t="shared" si="1209"/>
        <v>0</v>
      </c>
      <c r="S3969" s="86">
        <f t="shared" si="1210"/>
        <v>0</v>
      </c>
      <c r="T3969" s="86">
        <f t="shared" si="1211"/>
        <v>4926.74</v>
      </c>
      <c r="U3969" s="87">
        <v>4926.74</v>
      </c>
    </row>
    <row r="3970" spans="1:21" s="30" customFormat="1" ht="24.6" hidden="1" outlineLevel="1" x14ac:dyDescent="0.55000000000000004">
      <c r="A3970" s="27" t="s">
        <v>327</v>
      </c>
      <c r="B3970" s="28"/>
      <c r="C3970" s="27"/>
      <c r="D3970" s="27" t="str">
        <f>"""NAV Direct"",""CRONUS JetCorp USA"",""21"",""1"",""428183"""</f>
        <v>"NAV Direct","CRONUS JetCorp USA","21","1","428183"</v>
      </c>
      <c r="E3970" s="31" t="str">
        <f t="shared" si="1204"/>
        <v>C100112</v>
      </c>
      <c r="F3970" s="31"/>
      <c r="G3970" s="31"/>
      <c r="H3970" s="31"/>
      <c r="I3970" s="56"/>
      <c r="J3970" s="56"/>
      <c r="K3970" s="82" t="str">
        <f t="shared" si="1196"/>
        <v>Invoice</v>
      </c>
      <c r="L3970" s="83" t="str">
        <f>"SI_112860"</f>
        <v>SI_112860</v>
      </c>
      <c r="M3970" s="84">
        <v>42244</v>
      </c>
      <c r="N3970" s="85">
        <f t="shared" si="1205"/>
        <v>1568</v>
      </c>
      <c r="O3970" s="86">
        <f t="shared" si="1206"/>
        <v>5851</v>
      </c>
      <c r="P3970" s="86">
        <f t="shared" si="1207"/>
        <v>0</v>
      </c>
      <c r="Q3970" s="86">
        <f t="shared" si="1208"/>
        <v>0</v>
      </c>
      <c r="R3970" s="86">
        <f t="shared" si="1209"/>
        <v>0</v>
      </c>
      <c r="S3970" s="86">
        <f t="shared" si="1210"/>
        <v>0</v>
      </c>
      <c r="T3970" s="86">
        <f t="shared" si="1211"/>
        <v>5851</v>
      </c>
      <c r="U3970" s="87">
        <v>5851</v>
      </c>
    </row>
    <row r="3971" spans="1:21" s="30" customFormat="1" ht="24.6" hidden="1" outlineLevel="1" x14ac:dyDescent="0.55000000000000004">
      <c r="A3971" s="27" t="s">
        <v>327</v>
      </c>
      <c r="B3971" s="28"/>
      <c r="C3971" s="27"/>
      <c r="D3971" s="27" t="str">
        <f>"""NAV Direct"",""CRONUS JetCorp USA"",""21"",""1"",""428508"""</f>
        <v>"NAV Direct","CRONUS JetCorp USA","21","1","428508"</v>
      </c>
      <c r="E3971" s="31">
        <f t="shared" si="1204"/>
        <v>0</v>
      </c>
      <c r="F3971" s="31"/>
      <c r="G3971" s="31"/>
      <c r="H3971" s="31"/>
      <c r="I3971" s="56"/>
      <c r="J3971" s="56"/>
      <c r="K3971" s="82" t="str">
        <f t="shared" si="1196"/>
        <v>Invoice</v>
      </c>
      <c r="L3971" s="83" t="str">
        <f>"SI_112867"</f>
        <v>SI_112867</v>
      </c>
      <c r="M3971" s="84">
        <v>42282</v>
      </c>
      <c r="N3971" s="85">
        <f t="shared" si="1205"/>
        <v>1530</v>
      </c>
      <c r="O3971" s="86">
        <f t="shared" si="1206"/>
        <v>6241.8799999999992</v>
      </c>
      <c r="P3971" s="86">
        <f t="shared" si="1207"/>
        <v>0</v>
      </c>
      <c r="Q3971" s="86">
        <f t="shared" si="1208"/>
        <v>0</v>
      </c>
      <c r="R3971" s="86">
        <f t="shared" si="1209"/>
        <v>0</v>
      </c>
      <c r="S3971" s="86">
        <f t="shared" si="1210"/>
        <v>0</v>
      </c>
      <c r="T3971" s="86">
        <f t="shared" si="1211"/>
        <v>6241.8799999999992</v>
      </c>
      <c r="U3971" s="87">
        <v>6241.8799999999992</v>
      </c>
    </row>
    <row r="3972" spans="1:21" s="30" customFormat="1" ht="24.6" hidden="1" outlineLevel="1" x14ac:dyDescent="0.55000000000000004">
      <c r="A3972" s="27" t="s">
        <v>327</v>
      </c>
      <c r="B3972" s="28"/>
      <c r="C3972" s="27"/>
      <c r="D3972" s="27" t="str">
        <f>"""NAV Direct"",""CRONUS JetCorp USA"",""21"",""1"",""441582"""</f>
        <v>"NAV Direct","CRONUS JetCorp USA","21","1","441582"</v>
      </c>
      <c r="E3972" s="31" t="str">
        <f t="shared" si="1204"/>
        <v>C100112</v>
      </c>
      <c r="F3972" s="31"/>
      <c r="G3972" s="31"/>
      <c r="H3972" s="31"/>
      <c r="I3972" s="56"/>
      <c r="J3972" s="56"/>
      <c r="K3972" s="82" t="str">
        <f t="shared" ref="K3972:K3993" si="1212">"Credit Memo"</f>
        <v>Credit Memo</v>
      </c>
      <c r="L3972" s="83" t="str">
        <f>"SC_100977"</f>
        <v>SC_100977</v>
      </c>
      <c r="M3972" s="84">
        <v>42390</v>
      </c>
      <c r="N3972" s="85">
        <f t="shared" si="1205"/>
        <v>1422</v>
      </c>
      <c r="O3972" s="86">
        <f t="shared" si="1206"/>
        <v>-48.819999999999993</v>
      </c>
      <c r="P3972" s="86">
        <f t="shared" si="1207"/>
        <v>0</v>
      </c>
      <c r="Q3972" s="86">
        <f t="shared" si="1208"/>
        <v>0</v>
      </c>
      <c r="R3972" s="86">
        <f t="shared" si="1209"/>
        <v>0</v>
      </c>
      <c r="S3972" s="86">
        <f t="shared" si="1210"/>
        <v>0</v>
      </c>
      <c r="T3972" s="86">
        <f t="shared" si="1211"/>
        <v>-48.819999999999993</v>
      </c>
      <c r="U3972" s="87">
        <v>-48.819999999999993</v>
      </c>
    </row>
    <row r="3973" spans="1:21" s="30" customFormat="1" ht="24.6" hidden="1" outlineLevel="1" x14ac:dyDescent="0.55000000000000004">
      <c r="A3973" s="27" t="s">
        <v>327</v>
      </c>
      <c r="B3973" s="28"/>
      <c r="C3973" s="27"/>
      <c r="D3973" s="27" t="str">
        <f>"""NAV Direct"",""CRONUS JetCorp USA"",""21"",""1"",""442035"""</f>
        <v>"NAV Direct","CRONUS JetCorp USA","21","1","442035"</v>
      </c>
      <c r="E3973" s="31">
        <f t="shared" si="1204"/>
        <v>0</v>
      </c>
      <c r="F3973" s="31"/>
      <c r="G3973" s="31"/>
      <c r="H3973" s="31"/>
      <c r="I3973" s="56"/>
      <c r="J3973" s="56"/>
      <c r="K3973" s="82" t="str">
        <f t="shared" si="1212"/>
        <v>Credit Memo</v>
      </c>
      <c r="L3973" s="83" t="str">
        <f>"SC_101001"</f>
        <v>SC_101001</v>
      </c>
      <c r="M3973" s="84">
        <v>42900</v>
      </c>
      <c r="N3973" s="85">
        <f t="shared" si="1205"/>
        <v>912</v>
      </c>
      <c r="O3973" s="86">
        <f t="shared" si="1206"/>
        <v>-75.72</v>
      </c>
      <c r="P3973" s="86">
        <f t="shared" si="1207"/>
        <v>0</v>
      </c>
      <c r="Q3973" s="86">
        <f t="shared" si="1208"/>
        <v>0</v>
      </c>
      <c r="R3973" s="86">
        <f t="shared" si="1209"/>
        <v>0</v>
      </c>
      <c r="S3973" s="86">
        <f t="shared" si="1210"/>
        <v>0</v>
      </c>
      <c r="T3973" s="86">
        <f t="shared" si="1211"/>
        <v>-75.72</v>
      </c>
      <c r="U3973" s="87">
        <v>-75.72</v>
      </c>
    </row>
    <row r="3974" spans="1:21" s="30" customFormat="1" ht="24.6" hidden="1" outlineLevel="1" x14ac:dyDescent="0.55000000000000004">
      <c r="A3974" s="27" t="s">
        <v>327</v>
      </c>
      <c r="B3974" s="28"/>
      <c r="C3974" s="27"/>
      <c r="D3974" s="27" t="str">
        <f>"""NAV Direct"",""CRONUS JetCorp USA"",""21"",""1"",""442052"""</f>
        <v>"NAV Direct","CRONUS JetCorp USA","21","1","442052"</v>
      </c>
      <c r="E3974" s="31" t="str">
        <f t="shared" si="1204"/>
        <v>C100112</v>
      </c>
      <c r="F3974" s="31"/>
      <c r="G3974" s="31"/>
      <c r="H3974" s="31"/>
      <c r="I3974" s="56"/>
      <c r="J3974" s="56"/>
      <c r="K3974" s="82" t="str">
        <f t="shared" si="1212"/>
        <v>Credit Memo</v>
      </c>
      <c r="L3974" s="83" t="str">
        <f>"SC_101002"</f>
        <v>SC_101002</v>
      </c>
      <c r="M3974" s="84">
        <v>42916</v>
      </c>
      <c r="N3974" s="85">
        <f t="shared" si="1205"/>
        <v>896</v>
      </c>
      <c r="O3974" s="86">
        <f t="shared" si="1206"/>
        <v>-64.58</v>
      </c>
      <c r="P3974" s="86">
        <f t="shared" si="1207"/>
        <v>0</v>
      </c>
      <c r="Q3974" s="86">
        <f t="shared" si="1208"/>
        <v>0</v>
      </c>
      <c r="R3974" s="86">
        <f t="shared" si="1209"/>
        <v>0</v>
      </c>
      <c r="S3974" s="86">
        <f t="shared" si="1210"/>
        <v>0</v>
      </c>
      <c r="T3974" s="86">
        <f t="shared" si="1211"/>
        <v>-64.58</v>
      </c>
      <c r="U3974" s="87">
        <v>-64.58</v>
      </c>
    </row>
    <row r="3975" spans="1:21" s="30" customFormat="1" ht="24.6" hidden="1" outlineLevel="1" x14ac:dyDescent="0.55000000000000004">
      <c r="A3975" s="27" t="s">
        <v>327</v>
      </c>
      <c r="B3975" s="28"/>
      <c r="C3975" s="27"/>
      <c r="D3975" s="27" t="str">
        <f>"""NAV Direct"",""CRONUS JetCorp USA"",""21"",""1"",""442327"""</f>
        <v>"NAV Direct","CRONUS JetCorp USA","21","1","442327"</v>
      </c>
      <c r="E3975" s="31">
        <f t="shared" si="1204"/>
        <v>0</v>
      </c>
      <c r="F3975" s="31"/>
      <c r="G3975" s="31"/>
      <c r="H3975" s="31"/>
      <c r="I3975" s="56"/>
      <c r="J3975" s="56"/>
      <c r="K3975" s="82" t="str">
        <f t="shared" si="1212"/>
        <v>Credit Memo</v>
      </c>
      <c r="L3975" s="83" t="str">
        <f>"SC_101016"</f>
        <v>SC_101016</v>
      </c>
      <c r="M3975" s="84">
        <v>43264</v>
      </c>
      <c r="N3975" s="85">
        <f t="shared" si="1205"/>
        <v>548</v>
      </c>
      <c r="O3975" s="86">
        <f t="shared" si="1206"/>
        <v>-55.31</v>
      </c>
      <c r="P3975" s="86">
        <f t="shared" si="1207"/>
        <v>0</v>
      </c>
      <c r="Q3975" s="86">
        <f t="shared" si="1208"/>
        <v>0</v>
      </c>
      <c r="R3975" s="86">
        <f t="shared" si="1209"/>
        <v>0</v>
      </c>
      <c r="S3975" s="86">
        <f t="shared" si="1210"/>
        <v>0</v>
      </c>
      <c r="T3975" s="86">
        <f t="shared" si="1211"/>
        <v>-55.31</v>
      </c>
      <c r="U3975" s="87">
        <v>-55.31</v>
      </c>
    </row>
    <row r="3976" spans="1:21" s="30" customFormat="1" ht="24.6" hidden="1" outlineLevel="1" x14ac:dyDescent="0.55000000000000004">
      <c r="A3976" s="27" t="s">
        <v>327</v>
      </c>
      <c r="B3976" s="28"/>
      <c r="C3976" s="27"/>
      <c r="D3976" s="27" t="str">
        <f>"""NAV Direct"",""CRONUS JetCorp USA"",""21"",""1"",""442375"""</f>
        <v>"NAV Direct","CRONUS JetCorp USA","21","1","442375"</v>
      </c>
      <c r="E3976" s="31" t="str">
        <f t="shared" si="1204"/>
        <v>C100112</v>
      </c>
      <c r="F3976" s="31"/>
      <c r="G3976" s="31"/>
      <c r="H3976" s="31"/>
      <c r="I3976" s="56"/>
      <c r="J3976" s="56"/>
      <c r="K3976" s="82" t="str">
        <f t="shared" si="1212"/>
        <v>Credit Memo</v>
      </c>
      <c r="L3976" s="83" t="str">
        <f>"SC_101019"</f>
        <v>SC_101019</v>
      </c>
      <c r="M3976" s="84">
        <v>43289</v>
      </c>
      <c r="N3976" s="85">
        <f t="shared" si="1205"/>
        <v>523</v>
      </c>
      <c r="O3976" s="86">
        <f t="shared" si="1206"/>
        <v>-55.11</v>
      </c>
      <c r="P3976" s="86">
        <f t="shared" si="1207"/>
        <v>0</v>
      </c>
      <c r="Q3976" s="86">
        <f t="shared" si="1208"/>
        <v>0</v>
      </c>
      <c r="R3976" s="86">
        <f t="shared" si="1209"/>
        <v>0</v>
      </c>
      <c r="S3976" s="86">
        <f t="shared" si="1210"/>
        <v>0</v>
      </c>
      <c r="T3976" s="86">
        <f t="shared" si="1211"/>
        <v>-55.11</v>
      </c>
      <c r="U3976" s="87">
        <v>-55.11</v>
      </c>
    </row>
    <row r="3977" spans="1:21" s="30" customFormat="1" ht="24.6" hidden="1" outlineLevel="1" x14ac:dyDescent="0.55000000000000004">
      <c r="A3977" s="27" t="s">
        <v>327</v>
      </c>
      <c r="B3977" s="28"/>
      <c r="C3977" s="27"/>
      <c r="D3977" s="27" t="str">
        <f>"""NAV Direct"",""CRONUS JetCorp USA"",""21"",""1"",""442453"""</f>
        <v>"NAV Direct","CRONUS JetCorp USA","21","1","442453"</v>
      </c>
      <c r="E3977" s="31">
        <f t="shared" si="1204"/>
        <v>0</v>
      </c>
      <c r="F3977" s="31"/>
      <c r="G3977" s="31"/>
      <c r="H3977" s="31"/>
      <c r="I3977" s="56"/>
      <c r="J3977" s="56"/>
      <c r="K3977" s="82" t="str">
        <f t="shared" si="1212"/>
        <v>Credit Memo</v>
      </c>
      <c r="L3977" s="83" t="str">
        <f>"SC_101023"</f>
        <v>SC_101023</v>
      </c>
      <c r="M3977" s="84">
        <v>43357</v>
      </c>
      <c r="N3977" s="85">
        <f t="shared" si="1205"/>
        <v>455</v>
      </c>
      <c r="O3977" s="86">
        <f t="shared" si="1206"/>
        <v>-69.69</v>
      </c>
      <c r="P3977" s="86">
        <f t="shared" si="1207"/>
        <v>0</v>
      </c>
      <c r="Q3977" s="86">
        <f t="shared" si="1208"/>
        <v>0</v>
      </c>
      <c r="R3977" s="86">
        <f t="shared" si="1209"/>
        <v>0</v>
      </c>
      <c r="S3977" s="86">
        <f t="shared" si="1210"/>
        <v>0</v>
      </c>
      <c r="T3977" s="86">
        <f t="shared" si="1211"/>
        <v>-69.69</v>
      </c>
      <c r="U3977" s="87">
        <v>-69.69</v>
      </c>
    </row>
    <row r="3978" spans="1:21" s="30" customFormat="1" ht="24.6" hidden="1" outlineLevel="1" x14ac:dyDescent="0.55000000000000004">
      <c r="A3978" s="27" t="s">
        <v>327</v>
      </c>
      <c r="B3978" s="28"/>
      <c r="C3978" s="27"/>
      <c r="D3978" s="27" t="str">
        <f>"""NAV Direct"",""CRONUS JetCorp USA"",""21"",""1"",""442531"""</f>
        <v>"NAV Direct","CRONUS JetCorp USA","21","1","442531"</v>
      </c>
      <c r="E3978" s="31" t="str">
        <f t="shared" si="1204"/>
        <v>C100112</v>
      </c>
      <c r="F3978" s="31"/>
      <c r="G3978" s="31"/>
      <c r="H3978" s="31"/>
      <c r="I3978" s="56"/>
      <c r="J3978" s="56"/>
      <c r="K3978" s="82" t="str">
        <f t="shared" si="1212"/>
        <v>Credit Memo</v>
      </c>
      <c r="L3978" s="83" t="str">
        <f>"SC_101027"</f>
        <v>SC_101027</v>
      </c>
      <c r="M3978" s="84">
        <v>43413</v>
      </c>
      <c r="N3978" s="85">
        <f t="shared" si="1205"/>
        <v>399</v>
      </c>
      <c r="O3978" s="86">
        <f t="shared" si="1206"/>
        <v>-77.31</v>
      </c>
      <c r="P3978" s="86">
        <f t="shared" si="1207"/>
        <v>0</v>
      </c>
      <c r="Q3978" s="86">
        <f t="shared" si="1208"/>
        <v>0</v>
      </c>
      <c r="R3978" s="86">
        <f t="shared" si="1209"/>
        <v>0</v>
      </c>
      <c r="S3978" s="86">
        <f t="shared" si="1210"/>
        <v>0</v>
      </c>
      <c r="T3978" s="86">
        <f t="shared" si="1211"/>
        <v>-77.31</v>
      </c>
      <c r="U3978" s="87">
        <v>-77.31</v>
      </c>
    </row>
    <row r="3979" spans="1:21" s="30" customFormat="1" ht="24.6" hidden="1" outlineLevel="1" x14ac:dyDescent="0.55000000000000004">
      <c r="A3979" s="27" t="s">
        <v>327</v>
      </c>
      <c r="B3979" s="28"/>
      <c r="C3979" s="27"/>
      <c r="D3979" s="27" t="str">
        <f>"""NAV Direct"",""CRONUS JetCorp USA"",""21"",""1"",""442554"""</f>
        <v>"NAV Direct","CRONUS JetCorp USA","21","1","442554"</v>
      </c>
      <c r="E3979" s="31">
        <f t="shared" si="1204"/>
        <v>0</v>
      </c>
      <c r="F3979" s="31"/>
      <c r="G3979" s="31"/>
      <c r="H3979" s="31"/>
      <c r="I3979" s="56"/>
      <c r="J3979" s="56"/>
      <c r="K3979" s="82" t="str">
        <f t="shared" si="1212"/>
        <v>Credit Memo</v>
      </c>
      <c r="L3979" s="83" t="str">
        <f>"SC_101028"</f>
        <v>SC_101028</v>
      </c>
      <c r="M3979" s="84">
        <v>43416</v>
      </c>
      <c r="N3979" s="85">
        <f t="shared" si="1205"/>
        <v>396</v>
      </c>
      <c r="O3979" s="86">
        <f t="shared" si="1206"/>
        <v>-77.150000000000006</v>
      </c>
      <c r="P3979" s="86">
        <f t="shared" si="1207"/>
        <v>0</v>
      </c>
      <c r="Q3979" s="86">
        <f t="shared" si="1208"/>
        <v>0</v>
      </c>
      <c r="R3979" s="86">
        <f t="shared" si="1209"/>
        <v>0</v>
      </c>
      <c r="S3979" s="86">
        <f t="shared" si="1210"/>
        <v>0</v>
      </c>
      <c r="T3979" s="86">
        <f t="shared" si="1211"/>
        <v>-77.150000000000006</v>
      </c>
      <c r="U3979" s="87">
        <v>-77.150000000000006</v>
      </c>
    </row>
    <row r="3980" spans="1:21" s="30" customFormat="1" ht="24.6" hidden="1" outlineLevel="1" x14ac:dyDescent="0.55000000000000004">
      <c r="A3980" s="27" t="s">
        <v>327</v>
      </c>
      <c r="B3980" s="28"/>
      <c r="C3980" s="27"/>
      <c r="D3980" s="27" t="str">
        <f>"""NAV Direct"",""CRONUS JetCorp USA"",""21"",""1"",""442610"""</f>
        <v>"NAV Direct","CRONUS JetCorp USA","21","1","442610"</v>
      </c>
      <c r="E3980" s="31" t="str">
        <f t="shared" si="1204"/>
        <v>C100112</v>
      </c>
      <c r="F3980" s="31"/>
      <c r="G3980" s="31"/>
      <c r="H3980" s="31"/>
      <c r="I3980" s="56"/>
      <c r="J3980" s="56"/>
      <c r="K3980" s="82" t="str">
        <f t="shared" si="1212"/>
        <v>Credit Memo</v>
      </c>
      <c r="L3980" s="83" t="str">
        <f>"SC_101032"</f>
        <v>SC_101032</v>
      </c>
      <c r="M3980" s="84">
        <v>43445</v>
      </c>
      <c r="N3980" s="85">
        <f t="shared" si="1205"/>
        <v>367</v>
      </c>
      <c r="O3980" s="86">
        <f t="shared" si="1206"/>
        <v>-61.74</v>
      </c>
      <c r="P3980" s="86">
        <f t="shared" si="1207"/>
        <v>0</v>
      </c>
      <c r="Q3980" s="86">
        <f t="shared" si="1208"/>
        <v>0</v>
      </c>
      <c r="R3980" s="86">
        <f t="shared" si="1209"/>
        <v>0</v>
      </c>
      <c r="S3980" s="86">
        <f t="shared" si="1210"/>
        <v>0</v>
      </c>
      <c r="T3980" s="86">
        <f t="shared" si="1211"/>
        <v>-61.74</v>
      </c>
      <c r="U3980" s="87">
        <v>-61.74</v>
      </c>
    </row>
    <row r="3981" spans="1:21" s="30" customFormat="1" ht="24.6" hidden="1" outlineLevel="1" x14ac:dyDescent="0.55000000000000004">
      <c r="A3981" s="27" t="s">
        <v>327</v>
      </c>
      <c r="B3981" s="28"/>
      <c r="C3981" s="27"/>
      <c r="D3981" s="27" t="str">
        <f>"""NAV Direct"",""CRONUS JetCorp USA"",""21"",""1"",""442629"""</f>
        <v>"NAV Direct","CRONUS JetCorp USA","21","1","442629"</v>
      </c>
      <c r="E3981" s="31">
        <f t="shared" si="1204"/>
        <v>0</v>
      </c>
      <c r="F3981" s="31"/>
      <c r="G3981" s="31"/>
      <c r="H3981" s="31"/>
      <c r="I3981" s="56"/>
      <c r="J3981" s="56"/>
      <c r="K3981" s="82" t="str">
        <f t="shared" si="1212"/>
        <v>Credit Memo</v>
      </c>
      <c r="L3981" s="83" t="str">
        <f>"SC_101033"</f>
        <v>SC_101033</v>
      </c>
      <c r="M3981" s="84">
        <v>43443</v>
      </c>
      <c r="N3981" s="85">
        <f t="shared" si="1205"/>
        <v>369</v>
      </c>
      <c r="O3981" s="86">
        <f t="shared" si="1206"/>
        <v>-61.62</v>
      </c>
      <c r="P3981" s="86">
        <f t="shared" si="1207"/>
        <v>0</v>
      </c>
      <c r="Q3981" s="86">
        <f t="shared" si="1208"/>
        <v>0</v>
      </c>
      <c r="R3981" s="86">
        <f t="shared" si="1209"/>
        <v>0</v>
      </c>
      <c r="S3981" s="86">
        <f t="shared" si="1210"/>
        <v>0</v>
      </c>
      <c r="T3981" s="86">
        <f t="shared" si="1211"/>
        <v>-61.62</v>
      </c>
      <c r="U3981" s="87">
        <v>-61.62</v>
      </c>
    </row>
    <row r="3982" spans="1:21" s="30" customFormat="1" ht="24.6" hidden="1" outlineLevel="1" x14ac:dyDescent="0.55000000000000004">
      <c r="A3982" s="27" t="s">
        <v>327</v>
      </c>
      <c r="B3982" s="28"/>
      <c r="C3982" s="27"/>
      <c r="D3982" s="27" t="str">
        <f>"""NAV Direct"",""CRONUS JetCorp USA"",""21"",""1"",""442683"""</f>
        <v>"NAV Direct","CRONUS JetCorp USA","21","1","442683"</v>
      </c>
      <c r="E3982" s="31" t="str">
        <f t="shared" si="1204"/>
        <v>C100112</v>
      </c>
      <c r="F3982" s="31"/>
      <c r="G3982" s="31"/>
      <c r="H3982" s="31"/>
      <c r="I3982" s="56"/>
      <c r="J3982" s="56"/>
      <c r="K3982" s="82" t="str">
        <f t="shared" si="1212"/>
        <v>Credit Memo</v>
      </c>
      <c r="L3982" s="83" t="str">
        <f>"SC_101036"</f>
        <v>SC_101036</v>
      </c>
      <c r="M3982" s="84">
        <v>43538</v>
      </c>
      <c r="N3982" s="85">
        <f t="shared" si="1205"/>
        <v>274</v>
      </c>
      <c r="O3982" s="86">
        <f t="shared" si="1206"/>
        <v>-79.760000000000005</v>
      </c>
      <c r="P3982" s="86">
        <f t="shared" si="1207"/>
        <v>0</v>
      </c>
      <c r="Q3982" s="86">
        <f t="shared" si="1208"/>
        <v>0</v>
      </c>
      <c r="R3982" s="86">
        <f t="shared" si="1209"/>
        <v>0</v>
      </c>
      <c r="S3982" s="86">
        <f t="shared" si="1210"/>
        <v>0</v>
      </c>
      <c r="T3982" s="86">
        <f t="shared" si="1211"/>
        <v>-79.760000000000005</v>
      </c>
      <c r="U3982" s="87">
        <v>-79.760000000000005</v>
      </c>
    </row>
    <row r="3983" spans="1:21" s="30" customFormat="1" ht="24.6" hidden="1" outlineLevel="1" x14ac:dyDescent="0.55000000000000004">
      <c r="A3983" s="27" t="s">
        <v>327</v>
      </c>
      <c r="B3983" s="28"/>
      <c r="C3983" s="27"/>
      <c r="D3983" s="27" t="str">
        <f>"""NAV Direct"",""CRONUS JetCorp USA"",""21"",""1"",""442723"""</f>
        <v>"NAV Direct","CRONUS JetCorp USA","21","1","442723"</v>
      </c>
      <c r="E3983" s="31">
        <f t="shared" si="1204"/>
        <v>0</v>
      </c>
      <c r="F3983" s="31"/>
      <c r="G3983" s="31"/>
      <c r="H3983" s="31"/>
      <c r="I3983" s="56"/>
      <c r="J3983" s="56"/>
      <c r="K3983" s="82" t="str">
        <f t="shared" si="1212"/>
        <v>Credit Memo</v>
      </c>
      <c r="L3983" s="83" t="str">
        <f>"SC_101038"</f>
        <v>SC_101038</v>
      </c>
      <c r="M3983" s="84">
        <v>43569</v>
      </c>
      <c r="N3983" s="85">
        <f t="shared" si="1205"/>
        <v>243</v>
      </c>
      <c r="O3983" s="86">
        <f t="shared" si="1206"/>
        <v>-81.11</v>
      </c>
      <c r="P3983" s="86">
        <f t="shared" si="1207"/>
        <v>0</v>
      </c>
      <c r="Q3983" s="86">
        <f t="shared" si="1208"/>
        <v>0</v>
      </c>
      <c r="R3983" s="86">
        <f t="shared" si="1209"/>
        <v>0</v>
      </c>
      <c r="S3983" s="86">
        <f t="shared" si="1210"/>
        <v>0</v>
      </c>
      <c r="T3983" s="86">
        <f t="shared" si="1211"/>
        <v>-81.11</v>
      </c>
      <c r="U3983" s="87">
        <v>-81.11</v>
      </c>
    </row>
    <row r="3984" spans="1:21" s="30" customFormat="1" ht="24.6" hidden="1" outlineLevel="1" x14ac:dyDescent="0.55000000000000004">
      <c r="A3984" s="27" t="s">
        <v>327</v>
      </c>
      <c r="B3984" s="28"/>
      <c r="C3984" s="27"/>
      <c r="D3984" s="27" t="str">
        <f>"""NAV Direct"",""CRONUS JetCorp USA"",""21"",""1"",""442744"""</f>
        <v>"NAV Direct","CRONUS JetCorp USA","21","1","442744"</v>
      </c>
      <c r="E3984" s="31" t="str">
        <f t="shared" si="1204"/>
        <v>C100112</v>
      </c>
      <c r="F3984" s="31"/>
      <c r="G3984" s="31"/>
      <c r="H3984" s="31"/>
      <c r="I3984" s="56"/>
      <c r="J3984" s="56"/>
      <c r="K3984" s="82" t="str">
        <f t="shared" si="1212"/>
        <v>Credit Memo</v>
      </c>
      <c r="L3984" s="83" t="str">
        <f>"SC_101039"</f>
        <v>SC_101039</v>
      </c>
      <c r="M3984" s="84">
        <v>43593</v>
      </c>
      <c r="N3984" s="85">
        <f t="shared" si="1205"/>
        <v>219</v>
      </c>
      <c r="O3984" s="86">
        <f t="shared" si="1206"/>
        <v>-49.65</v>
      </c>
      <c r="P3984" s="86">
        <f t="shared" si="1207"/>
        <v>0</v>
      </c>
      <c r="Q3984" s="86">
        <f t="shared" si="1208"/>
        <v>0</v>
      </c>
      <c r="R3984" s="86">
        <f t="shared" si="1209"/>
        <v>0</v>
      </c>
      <c r="S3984" s="86">
        <f t="shared" si="1210"/>
        <v>0</v>
      </c>
      <c r="T3984" s="86">
        <f t="shared" si="1211"/>
        <v>-49.65</v>
      </c>
      <c r="U3984" s="87">
        <v>-49.65</v>
      </c>
    </row>
    <row r="3985" spans="1:22" s="30" customFormat="1" ht="24.6" hidden="1" outlineLevel="1" x14ac:dyDescent="0.55000000000000004">
      <c r="A3985" s="27" t="s">
        <v>327</v>
      </c>
      <c r="B3985" s="28"/>
      <c r="C3985" s="27"/>
      <c r="D3985" s="27" t="str">
        <f>"""NAV Direct"",""CRONUS JetCorp USA"",""21"",""1"",""442967"""</f>
        <v>"NAV Direct","CRONUS JetCorp USA","21","1","442967"</v>
      </c>
      <c r="E3985" s="31">
        <f t="shared" si="1204"/>
        <v>0</v>
      </c>
      <c r="F3985" s="31"/>
      <c r="G3985" s="31"/>
      <c r="H3985" s="31"/>
      <c r="I3985" s="56"/>
      <c r="J3985" s="56"/>
      <c r="K3985" s="82" t="str">
        <f t="shared" si="1212"/>
        <v>Credit Memo</v>
      </c>
      <c r="L3985" s="83" t="str">
        <f>"SC_101049"</f>
        <v>SC_101049</v>
      </c>
      <c r="M3985" s="84">
        <v>43784</v>
      </c>
      <c r="N3985" s="85">
        <f t="shared" si="1205"/>
        <v>28</v>
      </c>
      <c r="O3985" s="86">
        <f t="shared" si="1206"/>
        <v>-81.53</v>
      </c>
      <c r="P3985" s="86">
        <f t="shared" si="1207"/>
        <v>0</v>
      </c>
      <c r="Q3985" s="86">
        <f t="shared" si="1208"/>
        <v>-81.53</v>
      </c>
      <c r="R3985" s="86">
        <f t="shared" si="1209"/>
        <v>0</v>
      </c>
      <c r="S3985" s="86">
        <f t="shared" si="1210"/>
        <v>0</v>
      </c>
      <c r="T3985" s="86">
        <f t="shared" si="1211"/>
        <v>0</v>
      </c>
      <c r="U3985" s="87">
        <v>-81.53</v>
      </c>
    </row>
    <row r="3986" spans="1:22" s="30" customFormat="1" ht="24.6" hidden="1" outlineLevel="1" x14ac:dyDescent="0.55000000000000004">
      <c r="A3986" s="27" t="s">
        <v>327</v>
      </c>
      <c r="B3986" s="28"/>
      <c r="C3986" s="27"/>
      <c r="D3986" s="27" t="str">
        <f>"""NAV Direct"",""CRONUS JetCorp USA"",""21"",""1"",""442984"""</f>
        <v>"NAV Direct","CRONUS JetCorp USA","21","1","442984"</v>
      </c>
      <c r="E3986" s="31" t="str">
        <f t="shared" si="1204"/>
        <v>C100112</v>
      </c>
      <c r="F3986" s="31"/>
      <c r="G3986" s="31"/>
      <c r="H3986" s="31"/>
      <c r="I3986" s="56"/>
      <c r="J3986" s="56"/>
      <c r="K3986" s="82" t="str">
        <f t="shared" si="1212"/>
        <v>Credit Memo</v>
      </c>
      <c r="L3986" s="83" t="str">
        <f>"SC_101050"</f>
        <v>SC_101050</v>
      </c>
      <c r="M3986" s="84">
        <v>43782</v>
      </c>
      <c r="N3986" s="85">
        <f t="shared" si="1205"/>
        <v>30</v>
      </c>
      <c r="O3986" s="86">
        <f t="shared" si="1206"/>
        <v>-77.36</v>
      </c>
      <c r="P3986" s="86">
        <f t="shared" si="1207"/>
        <v>0</v>
      </c>
      <c r="Q3986" s="86">
        <f t="shared" si="1208"/>
        <v>-77.36</v>
      </c>
      <c r="R3986" s="86">
        <f t="shared" si="1209"/>
        <v>0</v>
      </c>
      <c r="S3986" s="86">
        <f t="shared" si="1210"/>
        <v>0</v>
      </c>
      <c r="T3986" s="86">
        <f t="shared" si="1211"/>
        <v>0</v>
      </c>
      <c r="U3986" s="87">
        <v>-77.36</v>
      </c>
    </row>
    <row r="3987" spans="1:22" s="30" customFormat="1" ht="24.6" hidden="1" outlineLevel="1" x14ac:dyDescent="0.55000000000000004">
      <c r="A3987" s="27" t="s">
        <v>327</v>
      </c>
      <c r="B3987" s="28"/>
      <c r="C3987" s="27"/>
      <c r="D3987" s="27" t="str">
        <f>"""NAV Direct"",""CRONUS JetCorp USA"",""21"",""1"",""442995"""</f>
        <v>"NAV Direct","CRONUS JetCorp USA","21","1","442995"</v>
      </c>
      <c r="E3987" s="31">
        <f t="shared" si="1204"/>
        <v>0</v>
      </c>
      <c r="F3987" s="31"/>
      <c r="G3987" s="31"/>
      <c r="H3987" s="31"/>
      <c r="I3987" s="56"/>
      <c r="J3987" s="56"/>
      <c r="K3987" s="82" t="str">
        <f t="shared" si="1212"/>
        <v>Credit Memo</v>
      </c>
      <c r="L3987" s="83" t="str">
        <f>"SC_101051"</f>
        <v>SC_101051</v>
      </c>
      <c r="M3987" s="84">
        <v>43785</v>
      </c>
      <c r="N3987" s="85">
        <f t="shared" si="1205"/>
        <v>27</v>
      </c>
      <c r="O3987" s="86">
        <f t="shared" si="1206"/>
        <v>-82.38000000000001</v>
      </c>
      <c r="P3987" s="86">
        <f t="shared" si="1207"/>
        <v>0</v>
      </c>
      <c r="Q3987" s="86">
        <f t="shared" si="1208"/>
        <v>-82.38000000000001</v>
      </c>
      <c r="R3987" s="86">
        <f t="shared" si="1209"/>
        <v>0</v>
      </c>
      <c r="S3987" s="86">
        <f t="shared" si="1210"/>
        <v>0</v>
      </c>
      <c r="T3987" s="86">
        <f t="shared" si="1211"/>
        <v>0</v>
      </c>
      <c r="U3987" s="87">
        <v>-82.38000000000001</v>
      </c>
    </row>
    <row r="3988" spans="1:22" s="30" customFormat="1" ht="24.6" hidden="1" outlineLevel="1" x14ac:dyDescent="0.55000000000000004">
      <c r="A3988" s="27" t="s">
        <v>327</v>
      </c>
      <c r="B3988" s="28"/>
      <c r="C3988" s="27"/>
      <c r="D3988" s="27" t="str">
        <f>"""NAV Direct"",""CRONUS JetCorp USA"",""21"",""1"",""443010"""</f>
        <v>"NAV Direct","CRONUS JetCorp USA","21","1","443010"</v>
      </c>
      <c r="E3988" s="31" t="str">
        <f t="shared" si="1204"/>
        <v>C100112</v>
      </c>
      <c r="F3988" s="31"/>
      <c r="G3988" s="31"/>
      <c r="H3988" s="31"/>
      <c r="I3988" s="56"/>
      <c r="J3988" s="56"/>
      <c r="K3988" s="82" t="str">
        <f t="shared" si="1212"/>
        <v>Credit Memo</v>
      </c>
      <c r="L3988" s="83" t="str">
        <f>"SC_101052"</f>
        <v>SC_101052</v>
      </c>
      <c r="M3988" s="84">
        <v>43804</v>
      </c>
      <c r="N3988" s="85">
        <f t="shared" si="1205"/>
        <v>8</v>
      </c>
      <c r="O3988" s="86">
        <f t="shared" si="1206"/>
        <v>-72.59</v>
      </c>
      <c r="P3988" s="86">
        <f t="shared" si="1207"/>
        <v>0</v>
      </c>
      <c r="Q3988" s="86">
        <f t="shared" si="1208"/>
        <v>-72.59</v>
      </c>
      <c r="R3988" s="86">
        <f t="shared" si="1209"/>
        <v>0</v>
      </c>
      <c r="S3988" s="86">
        <f t="shared" si="1210"/>
        <v>0</v>
      </c>
      <c r="T3988" s="86">
        <f t="shared" si="1211"/>
        <v>0</v>
      </c>
      <c r="U3988" s="87">
        <v>-72.59</v>
      </c>
    </row>
    <row r="3989" spans="1:22" s="30" customFormat="1" ht="24.6" hidden="1" outlineLevel="1" x14ac:dyDescent="0.55000000000000004">
      <c r="A3989" s="27" t="s">
        <v>327</v>
      </c>
      <c r="B3989" s="28"/>
      <c r="C3989" s="27"/>
      <c r="D3989" s="27" t="str">
        <f>"""NAV Direct"",""CRONUS JetCorp USA"",""21"",""1"",""443065"""</f>
        <v>"NAV Direct","CRONUS JetCorp USA","21","1","443065"</v>
      </c>
      <c r="E3989" s="31">
        <f t="shared" si="1204"/>
        <v>0</v>
      </c>
      <c r="F3989" s="31"/>
      <c r="G3989" s="31"/>
      <c r="H3989" s="31"/>
      <c r="I3989" s="56"/>
      <c r="J3989" s="56"/>
      <c r="K3989" s="82" t="str">
        <f t="shared" si="1212"/>
        <v>Credit Memo</v>
      </c>
      <c r="L3989" s="83" t="str">
        <f>"SC_101055"</f>
        <v>SC_101055</v>
      </c>
      <c r="M3989" s="84">
        <v>42040</v>
      </c>
      <c r="N3989" s="85">
        <f t="shared" si="1205"/>
        <v>1772</v>
      </c>
      <c r="O3989" s="86">
        <f t="shared" si="1206"/>
        <v>-77.510000000000005</v>
      </c>
      <c r="P3989" s="86">
        <f t="shared" si="1207"/>
        <v>0</v>
      </c>
      <c r="Q3989" s="86">
        <f t="shared" si="1208"/>
        <v>0</v>
      </c>
      <c r="R3989" s="86">
        <f t="shared" si="1209"/>
        <v>0</v>
      </c>
      <c r="S3989" s="86">
        <f t="shared" si="1210"/>
        <v>0</v>
      </c>
      <c r="T3989" s="86">
        <f t="shared" si="1211"/>
        <v>-77.510000000000005</v>
      </c>
      <c r="U3989" s="87">
        <v>-77.510000000000005</v>
      </c>
    </row>
    <row r="3990" spans="1:22" s="30" customFormat="1" ht="24.6" hidden="1" outlineLevel="1" x14ac:dyDescent="0.55000000000000004">
      <c r="A3990" s="27" t="s">
        <v>327</v>
      </c>
      <c r="B3990" s="28"/>
      <c r="C3990" s="27"/>
      <c r="D3990" s="27" t="str">
        <f>"""NAV Direct"",""CRONUS JetCorp USA"",""21"",""1"",""443103"""</f>
        <v>"NAV Direct","CRONUS JetCorp USA","21","1","443103"</v>
      </c>
      <c r="E3990" s="31" t="str">
        <f t="shared" ref="E3990:E3993" si="1213">E3988</f>
        <v>C100112</v>
      </c>
      <c r="F3990" s="31"/>
      <c r="G3990" s="31"/>
      <c r="H3990" s="31"/>
      <c r="I3990" s="56"/>
      <c r="J3990" s="56"/>
      <c r="K3990" s="82" t="str">
        <f t="shared" si="1212"/>
        <v>Credit Memo</v>
      </c>
      <c r="L3990" s="83" t="str">
        <f>"SC_101057"</f>
        <v>SC_101057</v>
      </c>
      <c r="M3990" s="84">
        <v>42072</v>
      </c>
      <c r="N3990" s="85">
        <f t="shared" si="1205"/>
        <v>1740</v>
      </c>
      <c r="O3990" s="86">
        <f t="shared" ref="O3990:O3993" si="1214">SUM(P3990:T3990)</f>
        <v>-77.38</v>
      </c>
      <c r="P3990" s="86">
        <f t="shared" si="1207"/>
        <v>0</v>
      </c>
      <c r="Q3990" s="86">
        <f t="shared" si="1208"/>
        <v>0</v>
      </c>
      <c r="R3990" s="86">
        <f t="shared" si="1209"/>
        <v>0</v>
      </c>
      <c r="S3990" s="86">
        <f t="shared" si="1210"/>
        <v>0</v>
      </c>
      <c r="T3990" s="86">
        <f t="shared" ref="T3990:T3993" si="1215">IF($M3990&lt;=$T$18,U3990,0)</f>
        <v>-77.38</v>
      </c>
      <c r="U3990" s="87">
        <v>-77.38</v>
      </c>
    </row>
    <row r="3991" spans="1:22" s="30" customFormat="1" ht="24.6" hidden="1" outlineLevel="1" x14ac:dyDescent="0.55000000000000004">
      <c r="A3991" s="27" t="s">
        <v>327</v>
      </c>
      <c r="B3991" s="28"/>
      <c r="C3991" s="27"/>
      <c r="D3991" s="27" t="str">
        <f>"""NAV Direct"",""CRONUS JetCorp USA"",""21"",""1"",""443200"""</f>
        <v>"NAV Direct","CRONUS JetCorp USA","21","1","443200"</v>
      </c>
      <c r="E3991" s="31">
        <f t="shared" si="1213"/>
        <v>0</v>
      </c>
      <c r="F3991" s="31"/>
      <c r="G3991" s="31"/>
      <c r="H3991" s="31"/>
      <c r="I3991" s="56"/>
      <c r="J3991" s="56"/>
      <c r="K3991" s="82" t="str">
        <f t="shared" si="1212"/>
        <v>Credit Memo</v>
      </c>
      <c r="L3991" s="83" t="str">
        <f>"SC_101062"</f>
        <v>SC_101062</v>
      </c>
      <c r="M3991" s="84">
        <v>42115</v>
      </c>
      <c r="N3991" s="85">
        <f t="shared" si="1205"/>
        <v>1697</v>
      </c>
      <c r="O3991" s="86">
        <f t="shared" si="1214"/>
        <v>-88.54</v>
      </c>
      <c r="P3991" s="86">
        <f t="shared" si="1207"/>
        <v>0</v>
      </c>
      <c r="Q3991" s="86">
        <f t="shared" si="1208"/>
        <v>0</v>
      </c>
      <c r="R3991" s="86">
        <f t="shared" si="1209"/>
        <v>0</v>
      </c>
      <c r="S3991" s="86">
        <f t="shared" si="1210"/>
        <v>0</v>
      </c>
      <c r="T3991" s="86">
        <f t="shared" si="1215"/>
        <v>-88.54</v>
      </c>
      <c r="U3991" s="87">
        <v>-88.54</v>
      </c>
    </row>
    <row r="3992" spans="1:22" s="30" customFormat="1" ht="24.6" hidden="1" outlineLevel="1" x14ac:dyDescent="0.55000000000000004">
      <c r="A3992" s="27" t="s">
        <v>327</v>
      </c>
      <c r="B3992" s="28"/>
      <c r="C3992" s="27"/>
      <c r="D3992" s="27" t="str">
        <f>"""NAV Direct"",""CRONUS JetCorp USA"",""21"",""1"",""443322"""</f>
        <v>"NAV Direct","CRONUS JetCorp USA","21","1","443322"</v>
      </c>
      <c r="E3992" s="31" t="str">
        <f t="shared" si="1213"/>
        <v>C100112</v>
      </c>
      <c r="F3992" s="31"/>
      <c r="G3992" s="31"/>
      <c r="H3992" s="31"/>
      <c r="I3992" s="56"/>
      <c r="J3992" s="56"/>
      <c r="K3992" s="82" t="str">
        <f t="shared" si="1212"/>
        <v>Credit Memo</v>
      </c>
      <c r="L3992" s="83" t="str">
        <f>"SC_101068"</f>
        <v>SC_101068</v>
      </c>
      <c r="M3992" s="84">
        <v>42201</v>
      </c>
      <c r="N3992" s="85">
        <f t="shared" si="1205"/>
        <v>1611</v>
      </c>
      <c r="O3992" s="86">
        <f t="shared" si="1214"/>
        <v>-55.900000000000006</v>
      </c>
      <c r="P3992" s="86">
        <f t="shared" si="1207"/>
        <v>0</v>
      </c>
      <c r="Q3992" s="86">
        <f t="shared" si="1208"/>
        <v>0</v>
      </c>
      <c r="R3992" s="86">
        <f t="shared" si="1209"/>
        <v>0</v>
      </c>
      <c r="S3992" s="86">
        <f t="shared" si="1210"/>
        <v>0</v>
      </c>
      <c r="T3992" s="86">
        <f t="shared" si="1215"/>
        <v>-55.900000000000006</v>
      </c>
      <c r="U3992" s="87">
        <v>-55.900000000000006</v>
      </c>
    </row>
    <row r="3993" spans="1:22" s="30" customFormat="1" ht="24.6" hidden="1" outlineLevel="1" x14ac:dyDescent="0.55000000000000004">
      <c r="A3993" s="27" t="s">
        <v>327</v>
      </c>
      <c r="B3993" s="28"/>
      <c r="C3993" s="27"/>
      <c r="D3993" s="27" t="str">
        <f>"""NAV Direct"",""CRONUS JetCorp USA"",""21"",""1"",""443429"""</f>
        <v>"NAV Direct","CRONUS JetCorp USA","21","1","443429"</v>
      </c>
      <c r="E3993" s="31">
        <f t="shared" si="1213"/>
        <v>0</v>
      </c>
      <c r="F3993" s="31"/>
      <c r="G3993" s="31"/>
      <c r="H3993" s="31"/>
      <c r="I3993" s="56"/>
      <c r="J3993" s="56"/>
      <c r="K3993" s="82" t="str">
        <f t="shared" si="1212"/>
        <v>Credit Memo</v>
      </c>
      <c r="L3993" s="83" t="str">
        <f>"SC_101073"</f>
        <v>SC_101073</v>
      </c>
      <c r="M3993" s="84">
        <v>42236</v>
      </c>
      <c r="N3993" s="85">
        <f t="shared" si="1205"/>
        <v>1576</v>
      </c>
      <c r="O3993" s="86">
        <f t="shared" si="1214"/>
        <v>-56.01</v>
      </c>
      <c r="P3993" s="86">
        <f t="shared" si="1207"/>
        <v>0</v>
      </c>
      <c r="Q3993" s="86">
        <f t="shared" si="1208"/>
        <v>0</v>
      </c>
      <c r="R3993" s="86">
        <f t="shared" si="1209"/>
        <v>0</v>
      </c>
      <c r="S3993" s="86">
        <f t="shared" si="1210"/>
        <v>0</v>
      </c>
      <c r="T3993" s="86">
        <f t="shared" si="1215"/>
        <v>-56.01</v>
      </c>
      <c r="U3993" s="87">
        <v>-56.01</v>
      </c>
    </row>
    <row r="3994" spans="1:22" s="22" customFormat="1" ht="20.399999999999999" collapsed="1" x14ac:dyDescent="0.45">
      <c r="A3994" s="12" t="s">
        <v>327</v>
      </c>
      <c r="B3994" s="19"/>
      <c r="C3994" s="12"/>
      <c r="D3994" s="12"/>
      <c r="E3994" s="23"/>
      <c r="F3994" s="23"/>
      <c r="G3994" s="23"/>
      <c r="H3994" s="23"/>
      <c r="I3994" s="49"/>
      <c r="J3994" s="88"/>
      <c r="K3994" s="88"/>
      <c r="L3994" s="89"/>
      <c r="M3994" s="89"/>
      <c r="N3994" s="89"/>
      <c r="O3994" s="89"/>
      <c r="P3994" s="89"/>
      <c r="Q3994" s="90"/>
      <c r="R3994" s="90"/>
      <c r="S3994" s="91"/>
      <c r="T3994" s="92"/>
      <c r="U3994" s="92"/>
    </row>
    <row r="3995" spans="1:22" s="22" customFormat="1" ht="20.399999999999999" x14ac:dyDescent="0.45">
      <c r="A3995" s="12" t="s">
        <v>327</v>
      </c>
      <c r="B3995" s="19"/>
      <c r="C3995" s="12"/>
      <c r="D3995" s="12"/>
      <c r="E3995" s="23"/>
      <c r="F3995" s="23"/>
      <c r="G3995" s="23"/>
      <c r="H3995" s="23"/>
      <c r="I3995" s="49"/>
      <c r="J3995" s="88"/>
      <c r="K3995" s="88"/>
      <c r="L3995" s="89"/>
      <c r="M3995" s="89"/>
      <c r="N3995" s="89"/>
      <c r="O3995" s="89"/>
      <c r="P3995" s="89"/>
      <c r="Q3995" s="90"/>
      <c r="R3995" s="90"/>
      <c r="S3995" s="91"/>
      <c r="T3995" s="92"/>
      <c r="U3995" s="92"/>
    </row>
    <row r="3996" spans="1:22" s="26" customFormat="1" ht="24.6" x14ac:dyDescent="0.55000000000000004">
      <c r="A3996" s="27" t="s">
        <v>327</v>
      </c>
      <c r="B3996" s="28"/>
      <c r="C3996" s="27" t="str">
        <f>"""NAV Direct"",""CRONUS JetCorp USA"",""18"",""1"",""C100113"""</f>
        <v>"NAV Direct","CRONUS JetCorp USA","18","1","C100113"</v>
      </c>
      <c r="D3996" s="27"/>
      <c r="E3996" s="28" t="str">
        <f>H3996</f>
        <v>C100113</v>
      </c>
      <c r="F3996" s="28"/>
      <c r="G3996" s="28"/>
      <c r="H3996" s="28" t="str">
        <f>"C100113"</f>
        <v>C100113</v>
      </c>
      <c r="I3996" s="116" t="str">
        <f>"C100113  -  Latexon, Inc."</f>
        <v>C100113  -  Latexon, Inc.</v>
      </c>
      <c r="J3996" s="117" t="str">
        <f>""</f>
        <v/>
      </c>
      <c r="K3996" s="118"/>
      <c r="L3996" s="119">
        <f>SUBTOTAL(3,L3997:L4030)</f>
        <v>30</v>
      </c>
      <c r="M3996" s="118"/>
      <c r="N3996" s="118"/>
      <c r="O3996" s="120">
        <f t="shared" ref="O3996:T3996" si="1216">SUBTOTAL(9,O3997:O4030)</f>
        <v>309299.72999999992</v>
      </c>
      <c r="P3996" s="120">
        <f t="shared" si="1216"/>
        <v>0</v>
      </c>
      <c r="Q3996" s="120">
        <f t="shared" si="1216"/>
        <v>27617.340000000004</v>
      </c>
      <c r="R3996" s="120">
        <f t="shared" si="1216"/>
        <v>12174.880000000001</v>
      </c>
      <c r="S3996" s="120">
        <f t="shared" si="1216"/>
        <v>10842.18</v>
      </c>
      <c r="T3996" s="120">
        <f t="shared" si="1216"/>
        <v>258665.32999999996</v>
      </c>
      <c r="U3996" s="81"/>
    </row>
    <row r="3997" spans="1:22" s="26" customFormat="1" ht="24.6" x14ac:dyDescent="0.55000000000000004">
      <c r="A3997" s="27" t="s">
        <v>327</v>
      </c>
      <c r="B3997" s="28"/>
      <c r="C3997" s="27" t="str">
        <f>C3996</f>
        <v>"NAV Direct","CRONUS JetCorp USA","18","1","C100113"</v>
      </c>
      <c r="D3997" s="27"/>
      <c r="E3997" s="28" t="str">
        <f>E3996</f>
        <v>C100113</v>
      </c>
      <c r="F3997" s="28"/>
      <c r="G3997" s="28"/>
      <c r="H3997" s="28"/>
      <c r="I3997" s="121" t="str">
        <f>"Contact: Kaldar Asiman"</f>
        <v>Contact: Kaldar Asiman</v>
      </c>
      <c r="J3997" s="121"/>
      <c r="K3997" s="122"/>
      <c r="L3997" s="123"/>
      <c r="M3997" s="123"/>
      <c r="N3997" s="124"/>
      <c r="O3997" s="124"/>
      <c r="P3997" s="123"/>
      <c r="Q3997" s="125"/>
      <c r="R3997" s="126"/>
      <c r="S3997" s="126"/>
      <c r="T3997" s="125"/>
      <c r="U3997" s="81"/>
    </row>
    <row r="3998" spans="1:22" s="26" customFormat="1" ht="24.6" x14ac:dyDescent="0.55000000000000004">
      <c r="A3998" s="27" t="s">
        <v>327</v>
      </c>
      <c r="B3998" s="28"/>
      <c r="C3998" s="27" t="str">
        <f>C3997</f>
        <v>"NAV Direct","CRONUS JetCorp USA","18","1","C100113"</v>
      </c>
      <c r="D3998" s="27"/>
      <c r="E3998" s="28" t="str">
        <f>E3997</f>
        <v>C100113</v>
      </c>
      <c r="F3998" s="28"/>
      <c r="G3998" s="28"/>
      <c r="H3998" s="28"/>
      <c r="I3998" s="121" t="str">
        <f>"Latexon, Inc.@Cronus.com"</f>
        <v>Latexon, Inc.@Cronus.com</v>
      </c>
      <c r="J3998" s="121"/>
      <c r="K3998" s="122"/>
      <c r="L3998" s="124"/>
      <c r="M3998" s="124"/>
      <c r="N3998" s="124"/>
      <c r="O3998" s="124"/>
      <c r="P3998" s="123"/>
      <c r="Q3998" s="125"/>
      <c r="R3998" s="126"/>
      <c r="S3998" s="126"/>
      <c r="T3998" s="125"/>
      <c r="U3998" s="81"/>
    </row>
    <row r="3999" spans="1:22" ht="12.75" hidden="1" customHeight="1" outlineLevel="1" x14ac:dyDescent="0.45">
      <c r="A3999" s="12" t="s">
        <v>328</v>
      </c>
      <c r="B3999" s="19"/>
      <c r="E3999" s="19"/>
      <c r="F3999" s="19"/>
      <c r="G3999" s="19"/>
      <c r="H3999" s="19"/>
      <c r="I3999" s="61"/>
      <c r="J3999" s="61"/>
      <c r="K3999" s="61"/>
      <c r="L3999" s="61"/>
      <c r="M3999" s="61"/>
      <c r="N3999" s="61"/>
      <c r="O3999" s="61"/>
      <c r="P3999" s="61"/>
      <c r="Q3999" s="61"/>
      <c r="R3999" s="61"/>
      <c r="S3999" s="61"/>
      <c r="T3999" s="61"/>
      <c r="U3999" s="61"/>
      <c r="V3999" s="21"/>
    </row>
    <row r="4000" spans="1:22" s="30" customFormat="1" ht="24.6" hidden="1" outlineLevel="1" x14ac:dyDescent="0.55000000000000004">
      <c r="A4000" s="27" t="s">
        <v>327</v>
      </c>
      <c r="B4000" s="28"/>
      <c r="C4000" s="27"/>
      <c r="D4000" s="27" t="str">
        <f>"""NAV Direct"",""CRONUS JetCorp USA"",""21"",""1"",""402396"""</f>
        <v>"NAV Direct","CRONUS JetCorp USA","21","1","402396"</v>
      </c>
      <c r="E4000" s="31" t="str">
        <f t="shared" ref="E4000:E4029" si="1217">E3998</f>
        <v>C100113</v>
      </c>
      <c r="F4000" s="31"/>
      <c r="G4000" s="31"/>
      <c r="H4000" s="31"/>
      <c r="I4000" s="56"/>
      <c r="J4000" s="56"/>
      <c r="K4000" s="82" t="str">
        <f t="shared" ref="K4000:K4029" si="1218">"Invoice"</f>
        <v>Invoice</v>
      </c>
      <c r="L4000" s="83" t="str">
        <f>"SI_112292"</f>
        <v>SI_112292</v>
      </c>
      <c r="M4000" s="84">
        <v>42512</v>
      </c>
      <c r="N4000" s="85">
        <f t="shared" ref="N4000:N4029" si="1219">StartDate-$M4000+1</f>
        <v>1300</v>
      </c>
      <c r="O4000" s="86">
        <f t="shared" ref="O4000:O4029" si="1220">SUM(P4000:T4000)</f>
        <v>8496.9000000000015</v>
      </c>
      <c r="P4000" s="86">
        <f t="shared" ref="P4000:P4029" si="1221">IF($M4000&gt;=$P$18,U4000,0)</f>
        <v>0</v>
      </c>
      <c r="Q4000" s="86">
        <f t="shared" ref="Q4000:Q4029" si="1222">IF(AND($M4000&gt;=$Q$16,$M4000&lt;=$Q$18),U4000,0)</f>
        <v>0</v>
      </c>
      <c r="R4000" s="86">
        <f t="shared" ref="R4000:R4029" si="1223">IF(AND($M4000&gt;=$R$16,$M4000&lt;=$R$18),U4000,0)</f>
        <v>0</v>
      </c>
      <c r="S4000" s="86">
        <f t="shared" ref="S4000:S4029" si="1224">IF(AND($M4000&gt;=$S$16,$M4000&lt;=$S$18),U4000,0)</f>
        <v>0</v>
      </c>
      <c r="T4000" s="86">
        <f t="shared" ref="T4000:T4029" si="1225">IF($M4000&lt;=$T$18,U4000,0)</f>
        <v>8496.9000000000015</v>
      </c>
      <c r="U4000" s="87">
        <v>8496.9000000000015</v>
      </c>
    </row>
    <row r="4001" spans="1:21" s="30" customFormat="1" ht="24.6" hidden="1" outlineLevel="1" x14ac:dyDescent="0.55000000000000004">
      <c r="A4001" s="27" t="s">
        <v>327</v>
      </c>
      <c r="B4001" s="28"/>
      <c r="C4001" s="27"/>
      <c r="D4001" s="27" t="str">
        <f>"""NAV Direct"",""CRONUS JetCorp USA"",""21"",""1"",""402571"""</f>
        <v>"NAV Direct","CRONUS JetCorp USA","21","1","402571"</v>
      </c>
      <c r="E4001" s="31">
        <f t="shared" si="1217"/>
        <v>0</v>
      </c>
      <c r="F4001" s="31"/>
      <c r="G4001" s="31"/>
      <c r="H4001" s="31"/>
      <c r="I4001" s="56"/>
      <c r="J4001" s="56"/>
      <c r="K4001" s="82" t="str">
        <f t="shared" si="1218"/>
        <v>Invoice</v>
      </c>
      <c r="L4001" s="83" t="str">
        <f>"SI_112296"</f>
        <v>SI_112296</v>
      </c>
      <c r="M4001" s="84">
        <v>42545</v>
      </c>
      <c r="N4001" s="85">
        <f t="shared" si="1219"/>
        <v>1267</v>
      </c>
      <c r="O4001" s="86">
        <f t="shared" si="1220"/>
        <v>8431.69</v>
      </c>
      <c r="P4001" s="86">
        <f t="shared" si="1221"/>
        <v>0</v>
      </c>
      <c r="Q4001" s="86">
        <f t="shared" si="1222"/>
        <v>0</v>
      </c>
      <c r="R4001" s="86">
        <f t="shared" si="1223"/>
        <v>0</v>
      </c>
      <c r="S4001" s="86">
        <f t="shared" si="1224"/>
        <v>0</v>
      </c>
      <c r="T4001" s="86">
        <f t="shared" si="1225"/>
        <v>8431.69</v>
      </c>
      <c r="U4001" s="87">
        <v>8431.69</v>
      </c>
    </row>
    <row r="4002" spans="1:21" s="30" customFormat="1" ht="24.6" hidden="1" outlineLevel="1" x14ac:dyDescent="0.55000000000000004">
      <c r="A4002" s="27" t="s">
        <v>327</v>
      </c>
      <c r="B4002" s="28"/>
      <c r="C4002" s="27"/>
      <c r="D4002" s="27" t="str">
        <f>"""NAV Direct"",""CRONUS JetCorp USA"",""21"",""1"",""403113"""</f>
        <v>"NAV Direct","CRONUS JetCorp USA","21","1","403113"</v>
      </c>
      <c r="E4002" s="31" t="str">
        <f t="shared" si="1217"/>
        <v>C100113</v>
      </c>
      <c r="F4002" s="31"/>
      <c r="G4002" s="31"/>
      <c r="H4002" s="31"/>
      <c r="I4002" s="56"/>
      <c r="J4002" s="56"/>
      <c r="K4002" s="82" t="str">
        <f t="shared" si="1218"/>
        <v>Invoice</v>
      </c>
      <c r="L4002" s="83" t="str">
        <f>"SI_112309"</f>
        <v>SI_112309</v>
      </c>
      <c r="M4002" s="84">
        <v>42623</v>
      </c>
      <c r="N4002" s="85">
        <f t="shared" si="1219"/>
        <v>1189</v>
      </c>
      <c r="O4002" s="86">
        <f t="shared" si="1220"/>
        <v>8616.67</v>
      </c>
      <c r="P4002" s="86">
        <f t="shared" si="1221"/>
        <v>0</v>
      </c>
      <c r="Q4002" s="86">
        <f t="shared" si="1222"/>
        <v>0</v>
      </c>
      <c r="R4002" s="86">
        <f t="shared" si="1223"/>
        <v>0</v>
      </c>
      <c r="S4002" s="86">
        <f t="shared" si="1224"/>
        <v>0</v>
      </c>
      <c r="T4002" s="86">
        <f t="shared" si="1225"/>
        <v>8616.67</v>
      </c>
      <c r="U4002" s="87">
        <v>8616.67</v>
      </c>
    </row>
    <row r="4003" spans="1:21" s="30" customFormat="1" ht="24.6" hidden="1" outlineLevel="1" x14ac:dyDescent="0.55000000000000004">
      <c r="A4003" s="27" t="s">
        <v>327</v>
      </c>
      <c r="B4003" s="28"/>
      <c r="C4003" s="27"/>
      <c r="D4003" s="27" t="str">
        <f>"""NAV Direct"",""CRONUS JetCorp USA"",""21"",""1"",""403787"""</f>
        <v>"NAV Direct","CRONUS JetCorp USA","21","1","403787"</v>
      </c>
      <c r="E4003" s="31">
        <f t="shared" si="1217"/>
        <v>0</v>
      </c>
      <c r="F4003" s="31"/>
      <c r="G4003" s="31"/>
      <c r="H4003" s="31"/>
      <c r="I4003" s="56"/>
      <c r="J4003" s="56"/>
      <c r="K4003" s="82" t="str">
        <f t="shared" si="1218"/>
        <v>Invoice</v>
      </c>
      <c r="L4003" s="83" t="str">
        <f>"SI_112323"</f>
        <v>SI_112323</v>
      </c>
      <c r="M4003" s="84">
        <v>42707</v>
      </c>
      <c r="N4003" s="85">
        <f t="shared" si="1219"/>
        <v>1105</v>
      </c>
      <c r="O4003" s="86">
        <f t="shared" si="1220"/>
        <v>8927.0499999999993</v>
      </c>
      <c r="P4003" s="86">
        <f t="shared" si="1221"/>
        <v>0</v>
      </c>
      <c r="Q4003" s="86">
        <f t="shared" si="1222"/>
        <v>0</v>
      </c>
      <c r="R4003" s="86">
        <f t="shared" si="1223"/>
        <v>0</v>
      </c>
      <c r="S4003" s="86">
        <f t="shared" si="1224"/>
        <v>0</v>
      </c>
      <c r="T4003" s="86">
        <f t="shared" si="1225"/>
        <v>8927.0499999999993</v>
      </c>
      <c r="U4003" s="87">
        <v>8927.0499999999993</v>
      </c>
    </row>
    <row r="4004" spans="1:21" s="30" customFormat="1" ht="24.6" hidden="1" outlineLevel="1" x14ac:dyDescent="0.55000000000000004">
      <c r="A4004" s="27" t="s">
        <v>327</v>
      </c>
      <c r="B4004" s="28"/>
      <c r="C4004" s="27"/>
      <c r="D4004" s="27" t="str">
        <f>"""NAV Direct"",""CRONUS JetCorp USA"",""21"",""1"",""404640"""</f>
        <v>"NAV Direct","CRONUS JetCorp USA","21","1","404640"</v>
      </c>
      <c r="E4004" s="31" t="str">
        <f t="shared" si="1217"/>
        <v>C100113</v>
      </c>
      <c r="F4004" s="31"/>
      <c r="G4004" s="31"/>
      <c r="H4004" s="31"/>
      <c r="I4004" s="56"/>
      <c r="J4004" s="56"/>
      <c r="K4004" s="82" t="str">
        <f t="shared" si="1218"/>
        <v>Invoice</v>
      </c>
      <c r="L4004" s="83" t="str">
        <f>"SI_112341"</f>
        <v>SI_112341</v>
      </c>
      <c r="M4004" s="84">
        <v>42846</v>
      </c>
      <c r="N4004" s="85">
        <f t="shared" si="1219"/>
        <v>966</v>
      </c>
      <c r="O4004" s="86">
        <f t="shared" si="1220"/>
        <v>9757.5300000000007</v>
      </c>
      <c r="P4004" s="86">
        <f t="shared" si="1221"/>
        <v>0</v>
      </c>
      <c r="Q4004" s="86">
        <f t="shared" si="1222"/>
        <v>0</v>
      </c>
      <c r="R4004" s="86">
        <f t="shared" si="1223"/>
        <v>0</v>
      </c>
      <c r="S4004" s="86">
        <f t="shared" si="1224"/>
        <v>0</v>
      </c>
      <c r="T4004" s="86">
        <f t="shared" si="1225"/>
        <v>9757.5300000000007</v>
      </c>
      <c r="U4004" s="87">
        <v>9757.5300000000007</v>
      </c>
    </row>
    <row r="4005" spans="1:21" s="30" customFormat="1" ht="24.6" hidden="1" outlineLevel="1" x14ac:dyDescent="0.55000000000000004">
      <c r="A4005" s="27" t="s">
        <v>327</v>
      </c>
      <c r="B4005" s="28"/>
      <c r="C4005" s="27"/>
      <c r="D4005" s="27" t="str">
        <f>"""NAV Direct"",""CRONUS JetCorp USA"",""21"",""1"",""405296"""</f>
        <v>"NAV Direct","CRONUS JetCorp USA","21","1","405296"</v>
      </c>
      <c r="E4005" s="31">
        <f t="shared" si="1217"/>
        <v>0</v>
      </c>
      <c r="F4005" s="31"/>
      <c r="G4005" s="31"/>
      <c r="H4005" s="31"/>
      <c r="I4005" s="56"/>
      <c r="J4005" s="56"/>
      <c r="K4005" s="82" t="str">
        <f t="shared" si="1218"/>
        <v>Invoice</v>
      </c>
      <c r="L4005" s="83" t="str">
        <f>"SI_112354"</f>
        <v>SI_112354</v>
      </c>
      <c r="M4005" s="84">
        <v>42935</v>
      </c>
      <c r="N4005" s="85">
        <f t="shared" si="1219"/>
        <v>877</v>
      </c>
      <c r="O4005" s="86">
        <f t="shared" si="1220"/>
        <v>8440.5400000000009</v>
      </c>
      <c r="P4005" s="86">
        <f t="shared" si="1221"/>
        <v>0</v>
      </c>
      <c r="Q4005" s="86">
        <f t="shared" si="1222"/>
        <v>0</v>
      </c>
      <c r="R4005" s="86">
        <f t="shared" si="1223"/>
        <v>0</v>
      </c>
      <c r="S4005" s="86">
        <f t="shared" si="1224"/>
        <v>0</v>
      </c>
      <c r="T4005" s="86">
        <f t="shared" si="1225"/>
        <v>8440.5400000000009</v>
      </c>
      <c r="U4005" s="87">
        <v>8440.5400000000009</v>
      </c>
    </row>
    <row r="4006" spans="1:21" s="30" customFormat="1" ht="24.6" hidden="1" outlineLevel="1" x14ac:dyDescent="0.55000000000000004">
      <c r="A4006" s="27" t="s">
        <v>327</v>
      </c>
      <c r="B4006" s="28"/>
      <c r="C4006" s="27"/>
      <c r="D4006" s="27" t="str">
        <f>"""NAV Direct"",""CRONUS JetCorp USA"",""21"",""1"",""405645"""</f>
        <v>"NAV Direct","CRONUS JetCorp USA","21","1","405645"</v>
      </c>
      <c r="E4006" s="31" t="str">
        <f t="shared" si="1217"/>
        <v>C100113</v>
      </c>
      <c r="F4006" s="31"/>
      <c r="G4006" s="31"/>
      <c r="H4006" s="31"/>
      <c r="I4006" s="56"/>
      <c r="J4006" s="56"/>
      <c r="K4006" s="82" t="str">
        <f t="shared" si="1218"/>
        <v>Invoice</v>
      </c>
      <c r="L4006" s="83" t="str">
        <f>"SI_112362"</f>
        <v>SI_112362</v>
      </c>
      <c r="M4006" s="84">
        <v>43063</v>
      </c>
      <c r="N4006" s="85">
        <f t="shared" si="1219"/>
        <v>749</v>
      </c>
      <c r="O4006" s="86">
        <f t="shared" si="1220"/>
        <v>7656.99</v>
      </c>
      <c r="P4006" s="86">
        <f t="shared" si="1221"/>
        <v>0</v>
      </c>
      <c r="Q4006" s="86">
        <f t="shared" si="1222"/>
        <v>0</v>
      </c>
      <c r="R4006" s="86">
        <f t="shared" si="1223"/>
        <v>0</v>
      </c>
      <c r="S4006" s="86">
        <f t="shared" si="1224"/>
        <v>0</v>
      </c>
      <c r="T4006" s="86">
        <f t="shared" si="1225"/>
        <v>7656.99</v>
      </c>
      <c r="U4006" s="87">
        <v>7656.99</v>
      </c>
    </row>
    <row r="4007" spans="1:21" s="30" customFormat="1" ht="24.6" hidden="1" outlineLevel="1" x14ac:dyDescent="0.55000000000000004">
      <c r="A4007" s="27" t="s">
        <v>327</v>
      </c>
      <c r="B4007" s="28"/>
      <c r="C4007" s="27"/>
      <c r="D4007" s="27" t="str">
        <f>"""NAV Direct"",""CRONUS JetCorp USA"",""21"",""1"",""405829"""</f>
        <v>"NAV Direct","CRONUS JetCorp USA","21","1","405829"</v>
      </c>
      <c r="E4007" s="31">
        <f t="shared" si="1217"/>
        <v>0</v>
      </c>
      <c r="F4007" s="31"/>
      <c r="G4007" s="31"/>
      <c r="H4007" s="31"/>
      <c r="I4007" s="56"/>
      <c r="J4007" s="56"/>
      <c r="K4007" s="82" t="str">
        <f t="shared" si="1218"/>
        <v>Invoice</v>
      </c>
      <c r="L4007" s="83" t="str">
        <f>"SI_112366"</f>
        <v>SI_112366</v>
      </c>
      <c r="M4007" s="84">
        <v>43089</v>
      </c>
      <c r="N4007" s="85">
        <f t="shared" si="1219"/>
        <v>723</v>
      </c>
      <c r="O4007" s="86">
        <f t="shared" si="1220"/>
        <v>7725.83</v>
      </c>
      <c r="P4007" s="86">
        <f t="shared" si="1221"/>
        <v>0</v>
      </c>
      <c r="Q4007" s="86">
        <f t="shared" si="1222"/>
        <v>0</v>
      </c>
      <c r="R4007" s="86">
        <f t="shared" si="1223"/>
        <v>0</v>
      </c>
      <c r="S4007" s="86">
        <f t="shared" si="1224"/>
        <v>0</v>
      </c>
      <c r="T4007" s="86">
        <f t="shared" si="1225"/>
        <v>7725.83</v>
      </c>
      <c r="U4007" s="87">
        <v>7725.83</v>
      </c>
    </row>
    <row r="4008" spans="1:21" s="30" customFormat="1" ht="24.6" hidden="1" outlineLevel="1" x14ac:dyDescent="0.55000000000000004">
      <c r="A4008" s="27" t="s">
        <v>327</v>
      </c>
      <c r="B4008" s="28"/>
      <c r="C4008" s="27"/>
      <c r="D4008" s="27" t="str">
        <f>"""NAV Direct"",""CRONUS JetCorp USA"",""21"",""1"",""405985"""</f>
        <v>"NAV Direct","CRONUS JetCorp USA","21","1","405985"</v>
      </c>
      <c r="E4008" s="31" t="str">
        <f t="shared" si="1217"/>
        <v>C100113</v>
      </c>
      <c r="F4008" s="31"/>
      <c r="G4008" s="31"/>
      <c r="H4008" s="31"/>
      <c r="I4008" s="56"/>
      <c r="J4008" s="56"/>
      <c r="K4008" s="82" t="str">
        <f t="shared" si="1218"/>
        <v>Invoice</v>
      </c>
      <c r="L4008" s="83" t="str">
        <f>"SI_112370"</f>
        <v>SI_112370</v>
      </c>
      <c r="M4008" s="84">
        <v>43119</v>
      </c>
      <c r="N4008" s="85">
        <f t="shared" si="1219"/>
        <v>693</v>
      </c>
      <c r="O4008" s="86">
        <f t="shared" si="1220"/>
        <v>7524.9299999999994</v>
      </c>
      <c r="P4008" s="86">
        <f t="shared" si="1221"/>
        <v>0</v>
      </c>
      <c r="Q4008" s="86">
        <f t="shared" si="1222"/>
        <v>0</v>
      </c>
      <c r="R4008" s="86">
        <f t="shared" si="1223"/>
        <v>0</v>
      </c>
      <c r="S4008" s="86">
        <f t="shared" si="1224"/>
        <v>0</v>
      </c>
      <c r="T4008" s="86">
        <f t="shared" si="1225"/>
        <v>7524.9299999999994</v>
      </c>
      <c r="U4008" s="87">
        <v>7524.9299999999994</v>
      </c>
    </row>
    <row r="4009" spans="1:21" s="30" customFormat="1" ht="24.6" hidden="1" outlineLevel="1" x14ac:dyDescent="0.55000000000000004">
      <c r="A4009" s="27" t="s">
        <v>327</v>
      </c>
      <c r="B4009" s="28"/>
      <c r="C4009" s="27"/>
      <c r="D4009" s="27" t="str">
        <f>"""NAV Direct"",""CRONUS JetCorp USA"",""21"",""1"",""406229"""</f>
        <v>"NAV Direct","CRONUS JetCorp USA","21","1","406229"</v>
      </c>
      <c r="E4009" s="31">
        <f t="shared" si="1217"/>
        <v>0</v>
      </c>
      <c r="F4009" s="31"/>
      <c r="G4009" s="31"/>
      <c r="H4009" s="31"/>
      <c r="I4009" s="56"/>
      <c r="J4009" s="56"/>
      <c r="K4009" s="82" t="str">
        <f t="shared" si="1218"/>
        <v>Invoice</v>
      </c>
      <c r="L4009" s="83" t="str">
        <f>"SI_112376"</f>
        <v>SI_112376</v>
      </c>
      <c r="M4009" s="84">
        <v>43198</v>
      </c>
      <c r="N4009" s="85">
        <f t="shared" si="1219"/>
        <v>614</v>
      </c>
      <c r="O4009" s="86">
        <f t="shared" si="1220"/>
        <v>7744.47</v>
      </c>
      <c r="P4009" s="86">
        <f t="shared" si="1221"/>
        <v>0</v>
      </c>
      <c r="Q4009" s="86">
        <f t="shared" si="1222"/>
        <v>0</v>
      </c>
      <c r="R4009" s="86">
        <f t="shared" si="1223"/>
        <v>0</v>
      </c>
      <c r="S4009" s="86">
        <f t="shared" si="1224"/>
        <v>0</v>
      </c>
      <c r="T4009" s="86">
        <f t="shared" si="1225"/>
        <v>7744.47</v>
      </c>
      <c r="U4009" s="87">
        <v>7744.47</v>
      </c>
    </row>
    <row r="4010" spans="1:21" s="30" customFormat="1" ht="24.6" hidden="1" outlineLevel="1" x14ac:dyDescent="0.55000000000000004">
      <c r="A4010" s="27" t="s">
        <v>327</v>
      </c>
      <c r="B4010" s="28"/>
      <c r="C4010" s="27"/>
      <c r="D4010" s="27" t="str">
        <f>"""NAV Direct"",""CRONUS JetCorp USA"",""21"",""1"",""406566"""</f>
        <v>"NAV Direct","CRONUS JetCorp USA","21","1","406566"</v>
      </c>
      <c r="E4010" s="31" t="str">
        <f t="shared" si="1217"/>
        <v>C100113</v>
      </c>
      <c r="F4010" s="31"/>
      <c r="G4010" s="31"/>
      <c r="H4010" s="31"/>
      <c r="I4010" s="56"/>
      <c r="J4010" s="56"/>
      <c r="K4010" s="82" t="str">
        <f t="shared" si="1218"/>
        <v>Invoice</v>
      </c>
      <c r="L4010" s="83" t="str">
        <f>"SI_112384"</f>
        <v>SI_112384</v>
      </c>
      <c r="M4010" s="84">
        <v>43280</v>
      </c>
      <c r="N4010" s="85">
        <f t="shared" si="1219"/>
        <v>532</v>
      </c>
      <c r="O4010" s="86">
        <f t="shared" si="1220"/>
        <v>7867.95</v>
      </c>
      <c r="P4010" s="86">
        <f t="shared" si="1221"/>
        <v>0</v>
      </c>
      <c r="Q4010" s="86">
        <f t="shared" si="1222"/>
        <v>0</v>
      </c>
      <c r="R4010" s="86">
        <f t="shared" si="1223"/>
        <v>0</v>
      </c>
      <c r="S4010" s="86">
        <f t="shared" si="1224"/>
        <v>0</v>
      </c>
      <c r="T4010" s="86">
        <f t="shared" si="1225"/>
        <v>7867.95</v>
      </c>
      <c r="U4010" s="87">
        <v>7867.95</v>
      </c>
    </row>
    <row r="4011" spans="1:21" s="30" customFormat="1" ht="24.6" hidden="1" outlineLevel="1" x14ac:dyDescent="0.55000000000000004">
      <c r="A4011" s="27" t="s">
        <v>327</v>
      </c>
      <c r="B4011" s="28"/>
      <c r="C4011" s="27"/>
      <c r="D4011" s="27" t="str">
        <f>"""NAV Direct"",""CRONUS JetCorp USA"",""21"",""1"",""406764"""</f>
        <v>"NAV Direct","CRONUS JetCorp USA","21","1","406764"</v>
      </c>
      <c r="E4011" s="31">
        <f t="shared" si="1217"/>
        <v>0</v>
      </c>
      <c r="F4011" s="31"/>
      <c r="G4011" s="31"/>
      <c r="H4011" s="31"/>
      <c r="I4011" s="56"/>
      <c r="J4011" s="56"/>
      <c r="K4011" s="82" t="str">
        <f t="shared" si="1218"/>
        <v>Invoice</v>
      </c>
      <c r="L4011" s="83" t="str">
        <f>"SI_112388"</f>
        <v>SI_112388</v>
      </c>
      <c r="M4011" s="84">
        <v>43312</v>
      </c>
      <c r="N4011" s="85">
        <f t="shared" si="1219"/>
        <v>500</v>
      </c>
      <c r="O4011" s="86">
        <f t="shared" si="1220"/>
        <v>8654.619999999999</v>
      </c>
      <c r="P4011" s="86">
        <f t="shared" si="1221"/>
        <v>0</v>
      </c>
      <c r="Q4011" s="86">
        <f t="shared" si="1222"/>
        <v>0</v>
      </c>
      <c r="R4011" s="86">
        <f t="shared" si="1223"/>
        <v>0</v>
      </c>
      <c r="S4011" s="86">
        <f t="shared" si="1224"/>
        <v>0</v>
      </c>
      <c r="T4011" s="86">
        <f t="shared" si="1225"/>
        <v>8654.619999999999</v>
      </c>
      <c r="U4011" s="87">
        <v>8654.619999999999</v>
      </c>
    </row>
    <row r="4012" spans="1:21" s="30" customFormat="1" ht="24.6" hidden="1" outlineLevel="1" x14ac:dyDescent="0.55000000000000004">
      <c r="A4012" s="27" t="s">
        <v>327</v>
      </c>
      <c r="B4012" s="28"/>
      <c r="C4012" s="27"/>
      <c r="D4012" s="27" t="str">
        <f>"""NAV Direct"",""CRONUS JetCorp USA"",""21"",""1"",""407027"""</f>
        <v>"NAV Direct","CRONUS JetCorp USA","21","1","407027"</v>
      </c>
      <c r="E4012" s="31" t="str">
        <f t="shared" si="1217"/>
        <v>C100113</v>
      </c>
      <c r="F4012" s="31"/>
      <c r="G4012" s="31"/>
      <c r="H4012" s="31"/>
      <c r="I4012" s="56"/>
      <c r="J4012" s="56"/>
      <c r="K4012" s="82" t="str">
        <f t="shared" si="1218"/>
        <v>Invoice</v>
      </c>
      <c r="L4012" s="83" t="str">
        <f>"SI_112393"</f>
        <v>SI_112393</v>
      </c>
      <c r="M4012" s="84">
        <v>43378</v>
      </c>
      <c r="N4012" s="85">
        <f t="shared" si="1219"/>
        <v>434</v>
      </c>
      <c r="O4012" s="86">
        <f t="shared" si="1220"/>
        <v>10948.17</v>
      </c>
      <c r="P4012" s="86">
        <f t="shared" si="1221"/>
        <v>0</v>
      </c>
      <c r="Q4012" s="86">
        <f t="shared" si="1222"/>
        <v>0</v>
      </c>
      <c r="R4012" s="86">
        <f t="shared" si="1223"/>
        <v>0</v>
      </c>
      <c r="S4012" s="86">
        <f t="shared" si="1224"/>
        <v>0</v>
      </c>
      <c r="T4012" s="86">
        <f t="shared" si="1225"/>
        <v>10948.17</v>
      </c>
      <c r="U4012" s="87">
        <v>10948.17</v>
      </c>
    </row>
    <row r="4013" spans="1:21" s="30" customFormat="1" ht="24.6" hidden="1" outlineLevel="1" x14ac:dyDescent="0.55000000000000004">
      <c r="A4013" s="27" t="s">
        <v>327</v>
      </c>
      <c r="B4013" s="28"/>
      <c r="C4013" s="27"/>
      <c r="D4013" s="27" t="str">
        <f>"""NAV Direct"",""CRONUS JetCorp USA"",""21"",""1"",""407141"""</f>
        <v>"NAV Direct","CRONUS JetCorp USA","21","1","407141"</v>
      </c>
      <c r="E4013" s="31">
        <f t="shared" si="1217"/>
        <v>0</v>
      </c>
      <c r="F4013" s="31"/>
      <c r="G4013" s="31"/>
      <c r="H4013" s="31"/>
      <c r="I4013" s="56"/>
      <c r="J4013" s="56"/>
      <c r="K4013" s="82" t="str">
        <f t="shared" si="1218"/>
        <v>Invoice</v>
      </c>
      <c r="L4013" s="83" t="str">
        <f>"SI_112395"</f>
        <v>SI_112395</v>
      </c>
      <c r="M4013" s="84">
        <v>43402</v>
      </c>
      <c r="N4013" s="85">
        <f t="shared" si="1219"/>
        <v>410</v>
      </c>
      <c r="O4013" s="86">
        <f t="shared" si="1220"/>
        <v>12043.099999999999</v>
      </c>
      <c r="P4013" s="86">
        <f t="shared" si="1221"/>
        <v>0</v>
      </c>
      <c r="Q4013" s="86">
        <f t="shared" si="1222"/>
        <v>0</v>
      </c>
      <c r="R4013" s="86">
        <f t="shared" si="1223"/>
        <v>0</v>
      </c>
      <c r="S4013" s="86">
        <f t="shared" si="1224"/>
        <v>0</v>
      </c>
      <c r="T4013" s="86">
        <f t="shared" si="1225"/>
        <v>12043.099999999999</v>
      </c>
      <c r="U4013" s="87">
        <v>12043.099999999999</v>
      </c>
    </row>
    <row r="4014" spans="1:21" s="30" customFormat="1" ht="24.6" hidden="1" outlineLevel="1" x14ac:dyDescent="0.55000000000000004">
      <c r="A4014" s="27" t="s">
        <v>327</v>
      </c>
      <c r="B4014" s="28"/>
      <c r="C4014" s="27"/>
      <c r="D4014" s="27" t="str">
        <f>"""NAV Direct"",""CRONUS JetCorp USA"",""21"",""1"",""408426"""</f>
        <v>"NAV Direct","CRONUS JetCorp USA","21","1","408426"</v>
      </c>
      <c r="E4014" s="31" t="str">
        <f t="shared" si="1217"/>
        <v>C100113</v>
      </c>
      <c r="F4014" s="31"/>
      <c r="G4014" s="31"/>
      <c r="H4014" s="31"/>
      <c r="I4014" s="56"/>
      <c r="J4014" s="56"/>
      <c r="K4014" s="82" t="str">
        <f t="shared" si="1218"/>
        <v>Invoice</v>
      </c>
      <c r="L4014" s="83" t="str">
        <f>"SI_112420"</f>
        <v>SI_112420</v>
      </c>
      <c r="M4014" s="84">
        <v>43603</v>
      </c>
      <c r="N4014" s="85">
        <f t="shared" si="1219"/>
        <v>209</v>
      </c>
      <c r="O4014" s="86">
        <f t="shared" si="1220"/>
        <v>8668.2999999999993</v>
      </c>
      <c r="P4014" s="86">
        <f t="shared" si="1221"/>
        <v>0</v>
      </c>
      <c r="Q4014" s="86">
        <f t="shared" si="1222"/>
        <v>0</v>
      </c>
      <c r="R4014" s="86">
        <f t="shared" si="1223"/>
        <v>0</v>
      </c>
      <c r="S4014" s="86">
        <f t="shared" si="1224"/>
        <v>0</v>
      </c>
      <c r="T4014" s="86">
        <f t="shared" si="1225"/>
        <v>8668.2999999999993</v>
      </c>
      <c r="U4014" s="87">
        <v>8668.2999999999993</v>
      </c>
    </row>
    <row r="4015" spans="1:21" s="30" customFormat="1" ht="24.6" hidden="1" outlineLevel="1" x14ac:dyDescent="0.55000000000000004">
      <c r="A4015" s="27" t="s">
        <v>327</v>
      </c>
      <c r="B4015" s="28"/>
      <c r="C4015" s="27"/>
      <c r="D4015" s="27" t="str">
        <f>"""NAV Direct"",""CRONUS JetCorp USA"",""21"",""1"",""408618"""</f>
        <v>"NAV Direct","CRONUS JetCorp USA","21","1","408618"</v>
      </c>
      <c r="E4015" s="31">
        <f t="shared" si="1217"/>
        <v>0</v>
      </c>
      <c r="F4015" s="31"/>
      <c r="G4015" s="31"/>
      <c r="H4015" s="31"/>
      <c r="I4015" s="56"/>
      <c r="J4015" s="56"/>
      <c r="K4015" s="82" t="str">
        <f t="shared" si="1218"/>
        <v>Invoice</v>
      </c>
      <c r="L4015" s="83" t="str">
        <f>"SI_112424"</f>
        <v>SI_112424</v>
      </c>
      <c r="M4015" s="84">
        <v>43633</v>
      </c>
      <c r="N4015" s="85">
        <f t="shared" si="1219"/>
        <v>179</v>
      </c>
      <c r="O4015" s="86">
        <f t="shared" si="1220"/>
        <v>8497.52</v>
      </c>
      <c r="P4015" s="86">
        <f t="shared" si="1221"/>
        <v>0</v>
      </c>
      <c r="Q4015" s="86">
        <f t="shared" si="1222"/>
        <v>0</v>
      </c>
      <c r="R4015" s="86">
        <f t="shared" si="1223"/>
        <v>0</v>
      </c>
      <c r="S4015" s="86">
        <f t="shared" si="1224"/>
        <v>0</v>
      </c>
      <c r="T4015" s="86">
        <f t="shared" si="1225"/>
        <v>8497.52</v>
      </c>
      <c r="U4015" s="87">
        <v>8497.52</v>
      </c>
    </row>
    <row r="4016" spans="1:21" s="30" customFormat="1" ht="24.6" hidden="1" outlineLevel="1" x14ac:dyDescent="0.55000000000000004">
      <c r="A4016" s="27" t="s">
        <v>327</v>
      </c>
      <c r="B4016" s="28"/>
      <c r="C4016" s="27"/>
      <c r="D4016" s="27" t="str">
        <f>"""NAV Direct"",""CRONUS JetCorp USA"",""21"",""1"",""409102"""</f>
        <v>"NAV Direct","CRONUS JetCorp USA","21","1","409102"</v>
      </c>
      <c r="E4016" s="31" t="str">
        <f t="shared" si="1217"/>
        <v>C100113</v>
      </c>
      <c r="F4016" s="31"/>
      <c r="G4016" s="31"/>
      <c r="H4016" s="31"/>
      <c r="I4016" s="56"/>
      <c r="J4016" s="56"/>
      <c r="K4016" s="82" t="str">
        <f t="shared" si="1218"/>
        <v>Invoice</v>
      </c>
      <c r="L4016" s="83" t="str">
        <f>"SI_112434"</f>
        <v>SI_112434</v>
      </c>
      <c r="M4016" s="84">
        <v>43701</v>
      </c>
      <c r="N4016" s="85">
        <f t="shared" si="1219"/>
        <v>111</v>
      </c>
      <c r="O4016" s="86">
        <f t="shared" si="1220"/>
        <v>9843.41</v>
      </c>
      <c r="P4016" s="86">
        <f t="shared" si="1221"/>
        <v>0</v>
      </c>
      <c r="Q4016" s="86">
        <f t="shared" si="1222"/>
        <v>0</v>
      </c>
      <c r="R4016" s="86">
        <f t="shared" si="1223"/>
        <v>0</v>
      </c>
      <c r="S4016" s="86">
        <f t="shared" si="1224"/>
        <v>0</v>
      </c>
      <c r="T4016" s="86">
        <f t="shared" si="1225"/>
        <v>9843.41</v>
      </c>
      <c r="U4016" s="87">
        <v>9843.41</v>
      </c>
    </row>
    <row r="4017" spans="1:21" s="30" customFormat="1" ht="24.6" hidden="1" outlineLevel="1" x14ac:dyDescent="0.55000000000000004">
      <c r="A4017" s="27" t="s">
        <v>327</v>
      </c>
      <c r="B4017" s="28"/>
      <c r="C4017" s="27"/>
      <c r="D4017" s="27" t="str">
        <f>"""NAV Direct"",""CRONUS JetCorp USA"",""21"",""1"",""409455"""</f>
        <v>"NAV Direct","CRONUS JetCorp USA","21","1","409455"</v>
      </c>
      <c r="E4017" s="31">
        <f t="shared" si="1217"/>
        <v>0</v>
      </c>
      <c r="F4017" s="31"/>
      <c r="G4017" s="31"/>
      <c r="H4017" s="31"/>
      <c r="I4017" s="56"/>
      <c r="J4017" s="56"/>
      <c r="K4017" s="82" t="str">
        <f t="shared" si="1218"/>
        <v>Invoice</v>
      </c>
      <c r="L4017" s="83" t="str">
        <f>"SI_112441"</f>
        <v>SI_112441</v>
      </c>
      <c r="M4017" s="84">
        <v>43736</v>
      </c>
      <c r="N4017" s="85">
        <f t="shared" si="1219"/>
        <v>76</v>
      </c>
      <c r="O4017" s="86">
        <f t="shared" si="1220"/>
        <v>10842.18</v>
      </c>
      <c r="P4017" s="86">
        <f t="shared" si="1221"/>
        <v>0</v>
      </c>
      <c r="Q4017" s="86">
        <f t="shared" si="1222"/>
        <v>0</v>
      </c>
      <c r="R4017" s="86">
        <f t="shared" si="1223"/>
        <v>0</v>
      </c>
      <c r="S4017" s="86">
        <f t="shared" si="1224"/>
        <v>10842.18</v>
      </c>
      <c r="T4017" s="86">
        <f t="shared" si="1225"/>
        <v>0</v>
      </c>
      <c r="U4017" s="87">
        <v>10842.18</v>
      </c>
    </row>
    <row r="4018" spans="1:21" s="30" customFormat="1" ht="24.6" hidden="1" outlineLevel="1" x14ac:dyDescent="0.55000000000000004">
      <c r="A4018" s="27" t="s">
        <v>327</v>
      </c>
      <c r="B4018" s="28"/>
      <c r="C4018" s="27"/>
      <c r="D4018" s="27" t="str">
        <f>"""NAV Direct"",""CRONUS JetCorp USA"",""21"",""1"",""409600"""</f>
        <v>"NAV Direct","CRONUS JetCorp USA","21","1","409600"</v>
      </c>
      <c r="E4018" s="31" t="str">
        <f t="shared" si="1217"/>
        <v>C100113</v>
      </c>
      <c r="F4018" s="31"/>
      <c r="G4018" s="31"/>
      <c r="H4018" s="31"/>
      <c r="I4018" s="56"/>
      <c r="J4018" s="56"/>
      <c r="K4018" s="82" t="str">
        <f t="shared" si="1218"/>
        <v>Invoice</v>
      </c>
      <c r="L4018" s="83" t="str">
        <f>"SI_112444"</f>
        <v>SI_112444</v>
      </c>
      <c r="M4018" s="84">
        <v>43759</v>
      </c>
      <c r="N4018" s="85">
        <f t="shared" si="1219"/>
        <v>53</v>
      </c>
      <c r="O4018" s="86">
        <f t="shared" si="1220"/>
        <v>12174.880000000001</v>
      </c>
      <c r="P4018" s="86">
        <f t="shared" si="1221"/>
        <v>0</v>
      </c>
      <c r="Q4018" s="86">
        <f t="shared" si="1222"/>
        <v>0</v>
      </c>
      <c r="R4018" s="86">
        <f t="shared" si="1223"/>
        <v>12174.880000000001</v>
      </c>
      <c r="S4018" s="86">
        <f t="shared" si="1224"/>
        <v>0</v>
      </c>
      <c r="T4018" s="86">
        <f t="shared" si="1225"/>
        <v>0</v>
      </c>
      <c r="U4018" s="87">
        <v>12174.880000000001</v>
      </c>
    </row>
    <row r="4019" spans="1:21" s="30" customFormat="1" ht="24.6" hidden="1" outlineLevel="1" x14ac:dyDescent="0.55000000000000004">
      <c r="A4019" s="27" t="s">
        <v>327</v>
      </c>
      <c r="B4019" s="28"/>
      <c r="C4019" s="27"/>
      <c r="D4019" s="27" t="str">
        <f>"""NAV Direct"",""CRONUS JetCorp USA"",""21"",""1"",""409883"""</f>
        <v>"NAV Direct","CRONUS JetCorp USA","21","1","409883"</v>
      </c>
      <c r="E4019" s="31">
        <f t="shared" si="1217"/>
        <v>0</v>
      </c>
      <c r="F4019" s="31"/>
      <c r="G4019" s="31"/>
      <c r="H4019" s="31"/>
      <c r="I4019" s="56"/>
      <c r="J4019" s="56"/>
      <c r="K4019" s="82" t="str">
        <f t="shared" si="1218"/>
        <v>Invoice</v>
      </c>
      <c r="L4019" s="83" t="str">
        <f>"SI_112449"</f>
        <v>SI_112449</v>
      </c>
      <c r="M4019" s="84">
        <v>43794</v>
      </c>
      <c r="N4019" s="85">
        <f t="shared" si="1219"/>
        <v>18</v>
      </c>
      <c r="O4019" s="86">
        <f t="shared" si="1220"/>
        <v>13879.480000000001</v>
      </c>
      <c r="P4019" s="86">
        <f t="shared" si="1221"/>
        <v>0</v>
      </c>
      <c r="Q4019" s="86">
        <f t="shared" si="1222"/>
        <v>13879.480000000001</v>
      </c>
      <c r="R4019" s="86">
        <f t="shared" si="1223"/>
        <v>0</v>
      </c>
      <c r="S4019" s="86">
        <f t="shared" si="1224"/>
        <v>0</v>
      </c>
      <c r="T4019" s="86">
        <f t="shared" si="1225"/>
        <v>0</v>
      </c>
      <c r="U4019" s="87">
        <v>13879.480000000001</v>
      </c>
    </row>
    <row r="4020" spans="1:21" s="30" customFormat="1" ht="24.6" hidden="1" outlineLevel="1" x14ac:dyDescent="0.55000000000000004">
      <c r="A4020" s="27" t="s">
        <v>327</v>
      </c>
      <c r="B4020" s="28"/>
      <c r="C4020" s="27"/>
      <c r="D4020" s="27" t="str">
        <f>"""NAV Direct"",""CRONUS JetCorp USA"",""21"",""1"",""409948"""</f>
        <v>"NAV Direct","CRONUS JetCorp USA","21","1","409948"</v>
      </c>
      <c r="E4020" s="31" t="str">
        <f t="shared" si="1217"/>
        <v>C100113</v>
      </c>
      <c r="F4020" s="31"/>
      <c r="G4020" s="31"/>
      <c r="H4020" s="31"/>
      <c r="I4020" s="56"/>
      <c r="J4020" s="56"/>
      <c r="K4020" s="82" t="str">
        <f t="shared" si="1218"/>
        <v>Invoice</v>
      </c>
      <c r="L4020" s="83" t="str">
        <f>"SI_112450"</f>
        <v>SI_112450</v>
      </c>
      <c r="M4020" s="84">
        <v>43793</v>
      </c>
      <c r="N4020" s="85">
        <f t="shared" si="1219"/>
        <v>19</v>
      </c>
      <c r="O4020" s="86">
        <f t="shared" si="1220"/>
        <v>13737.86</v>
      </c>
      <c r="P4020" s="86">
        <f t="shared" si="1221"/>
        <v>0</v>
      </c>
      <c r="Q4020" s="86">
        <f t="shared" si="1222"/>
        <v>13737.86</v>
      </c>
      <c r="R4020" s="86">
        <f t="shared" si="1223"/>
        <v>0</v>
      </c>
      <c r="S4020" s="86">
        <f t="shared" si="1224"/>
        <v>0</v>
      </c>
      <c r="T4020" s="86">
        <f t="shared" si="1225"/>
        <v>0</v>
      </c>
      <c r="U4020" s="87">
        <v>13737.86</v>
      </c>
    </row>
    <row r="4021" spans="1:21" s="30" customFormat="1" ht="24.6" hidden="1" outlineLevel="1" x14ac:dyDescent="0.55000000000000004">
      <c r="A4021" s="27" t="s">
        <v>327</v>
      </c>
      <c r="B4021" s="28"/>
      <c r="C4021" s="27"/>
      <c r="D4021" s="27" t="str">
        <f>"""NAV Direct"",""CRONUS JetCorp USA"",""21"",""1"",""410406"""</f>
        <v>"NAV Direct","CRONUS JetCorp USA","21","1","410406"</v>
      </c>
      <c r="E4021" s="31">
        <f t="shared" si="1217"/>
        <v>0</v>
      </c>
      <c r="F4021" s="31"/>
      <c r="G4021" s="31"/>
      <c r="H4021" s="31"/>
      <c r="I4021" s="56"/>
      <c r="J4021" s="56"/>
      <c r="K4021" s="82" t="str">
        <f t="shared" si="1218"/>
        <v>Invoice</v>
      </c>
      <c r="L4021" s="83" t="str">
        <f>"SI_112458"</f>
        <v>SI_112458</v>
      </c>
      <c r="M4021" s="84">
        <v>42034</v>
      </c>
      <c r="N4021" s="85">
        <f t="shared" si="1219"/>
        <v>1778</v>
      </c>
      <c r="O4021" s="86">
        <f t="shared" si="1220"/>
        <v>12627.96</v>
      </c>
      <c r="P4021" s="86">
        <f t="shared" si="1221"/>
        <v>0</v>
      </c>
      <c r="Q4021" s="86">
        <f t="shared" si="1222"/>
        <v>0</v>
      </c>
      <c r="R4021" s="86">
        <f t="shared" si="1223"/>
        <v>0</v>
      </c>
      <c r="S4021" s="86">
        <f t="shared" si="1224"/>
        <v>0</v>
      </c>
      <c r="T4021" s="86">
        <f t="shared" si="1225"/>
        <v>12627.96</v>
      </c>
      <c r="U4021" s="87">
        <v>12627.96</v>
      </c>
    </row>
    <row r="4022" spans="1:21" s="30" customFormat="1" ht="24.6" hidden="1" outlineLevel="1" x14ac:dyDescent="0.55000000000000004">
      <c r="A4022" s="27" t="s">
        <v>327</v>
      </c>
      <c r="B4022" s="28"/>
      <c r="C4022" s="27"/>
      <c r="D4022" s="27" t="str">
        <f>"""NAV Direct"",""CRONUS JetCorp USA"",""21"",""1"",""410691"""</f>
        <v>"NAV Direct","CRONUS JetCorp USA","21","1","410691"</v>
      </c>
      <c r="E4022" s="31" t="str">
        <f t="shared" si="1217"/>
        <v>C100113</v>
      </c>
      <c r="F4022" s="31"/>
      <c r="G4022" s="31"/>
      <c r="H4022" s="31"/>
      <c r="I4022" s="56"/>
      <c r="J4022" s="56"/>
      <c r="K4022" s="82" t="str">
        <f t="shared" si="1218"/>
        <v>Invoice</v>
      </c>
      <c r="L4022" s="83" t="str">
        <f>"SI_112463"</f>
        <v>SI_112463</v>
      </c>
      <c r="M4022" s="84">
        <v>42062</v>
      </c>
      <c r="N4022" s="85">
        <f t="shared" si="1219"/>
        <v>1750</v>
      </c>
      <c r="O4022" s="86">
        <f t="shared" si="1220"/>
        <v>13329.48</v>
      </c>
      <c r="P4022" s="86">
        <f t="shared" si="1221"/>
        <v>0</v>
      </c>
      <c r="Q4022" s="86">
        <f t="shared" si="1222"/>
        <v>0</v>
      </c>
      <c r="R4022" s="86">
        <f t="shared" si="1223"/>
        <v>0</v>
      </c>
      <c r="S4022" s="86">
        <f t="shared" si="1224"/>
        <v>0</v>
      </c>
      <c r="T4022" s="86">
        <f t="shared" si="1225"/>
        <v>13329.48</v>
      </c>
      <c r="U4022" s="87">
        <v>13329.48</v>
      </c>
    </row>
    <row r="4023" spans="1:21" s="30" customFormat="1" ht="24.6" hidden="1" outlineLevel="1" x14ac:dyDescent="0.55000000000000004">
      <c r="A4023" s="27" t="s">
        <v>327</v>
      </c>
      <c r="B4023" s="28"/>
      <c r="C4023" s="27"/>
      <c r="D4023" s="27" t="str">
        <f>"""NAV Direct"",""CRONUS JetCorp USA"",""21"",""1"",""411145"""</f>
        <v>"NAV Direct","CRONUS JetCorp USA","21","1","411145"</v>
      </c>
      <c r="E4023" s="31">
        <f t="shared" si="1217"/>
        <v>0</v>
      </c>
      <c r="F4023" s="31"/>
      <c r="G4023" s="31"/>
      <c r="H4023" s="31"/>
      <c r="I4023" s="56"/>
      <c r="J4023" s="56"/>
      <c r="K4023" s="82" t="str">
        <f t="shared" si="1218"/>
        <v>Invoice</v>
      </c>
      <c r="L4023" s="83" t="str">
        <f>"SI_112471"</f>
        <v>SI_112471</v>
      </c>
      <c r="M4023" s="84">
        <v>42093</v>
      </c>
      <c r="N4023" s="85">
        <f t="shared" si="1219"/>
        <v>1719</v>
      </c>
      <c r="O4023" s="86">
        <f t="shared" si="1220"/>
        <v>13596.17</v>
      </c>
      <c r="P4023" s="86">
        <f t="shared" si="1221"/>
        <v>0</v>
      </c>
      <c r="Q4023" s="86">
        <f t="shared" si="1222"/>
        <v>0</v>
      </c>
      <c r="R4023" s="86">
        <f t="shared" si="1223"/>
        <v>0</v>
      </c>
      <c r="S4023" s="86">
        <f t="shared" si="1224"/>
        <v>0</v>
      </c>
      <c r="T4023" s="86">
        <f t="shared" si="1225"/>
        <v>13596.17</v>
      </c>
      <c r="U4023" s="87">
        <v>13596.17</v>
      </c>
    </row>
    <row r="4024" spans="1:21" s="30" customFormat="1" ht="24.6" hidden="1" outlineLevel="1" x14ac:dyDescent="0.55000000000000004">
      <c r="A4024" s="27" t="s">
        <v>327</v>
      </c>
      <c r="B4024" s="28"/>
      <c r="C4024" s="27"/>
      <c r="D4024" s="27" t="str">
        <f>"""NAV Direct"",""CRONUS JetCorp USA"",""21"",""1"",""411342"""</f>
        <v>"NAV Direct","CRONUS JetCorp USA","21","1","411342"</v>
      </c>
      <c r="E4024" s="31" t="str">
        <f t="shared" si="1217"/>
        <v>C100113</v>
      </c>
      <c r="F4024" s="31"/>
      <c r="G4024" s="31"/>
      <c r="H4024" s="31"/>
      <c r="I4024" s="56"/>
      <c r="J4024" s="56"/>
      <c r="K4024" s="82" t="str">
        <f t="shared" si="1218"/>
        <v>Invoice</v>
      </c>
      <c r="L4024" s="83" t="str">
        <f>"SI_112474"</f>
        <v>SI_112474</v>
      </c>
      <c r="M4024" s="84">
        <v>42112</v>
      </c>
      <c r="N4024" s="85">
        <f t="shared" si="1219"/>
        <v>1700</v>
      </c>
      <c r="O4024" s="86">
        <f t="shared" si="1220"/>
        <v>13518.49</v>
      </c>
      <c r="P4024" s="86">
        <f t="shared" si="1221"/>
        <v>0</v>
      </c>
      <c r="Q4024" s="86">
        <f t="shared" si="1222"/>
        <v>0</v>
      </c>
      <c r="R4024" s="86">
        <f t="shared" si="1223"/>
        <v>0</v>
      </c>
      <c r="S4024" s="86">
        <f t="shared" si="1224"/>
        <v>0</v>
      </c>
      <c r="T4024" s="86">
        <f t="shared" si="1225"/>
        <v>13518.49</v>
      </c>
      <c r="U4024" s="87">
        <v>13518.49</v>
      </c>
    </row>
    <row r="4025" spans="1:21" s="30" customFormat="1" ht="24.6" hidden="1" outlineLevel="1" x14ac:dyDescent="0.55000000000000004">
      <c r="A4025" s="27" t="s">
        <v>327</v>
      </c>
      <c r="B4025" s="28"/>
      <c r="C4025" s="27"/>
      <c r="D4025" s="27" t="str">
        <f>"""NAV Direct"",""CRONUS JetCorp USA"",""21"",""1"",""411474"""</f>
        <v>"NAV Direct","CRONUS JetCorp USA","21","1","411474"</v>
      </c>
      <c r="E4025" s="31">
        <f t="shared" si="1217"/>
        <v>0</v>
      </c>
      <c r="F4025" s="31"/>
      <c r="G4025" s="31"/>
      <c r="H4025" s="31"/>
      <c r="I4025" s="56"/>
      <c r="J4025" s="56"/>
      <c r="K4025" s="82" t="str">
        <f t="shared" si="1218"/>
        <v>Invoice</v>
      </c>
      <c r="L4025" s="83" t="str">
        <f>"SI_112476"</f>
        <v>SI_112476</v>
      </c>
      <c r="M4025" s="84">
        <v>42115</v>
      </c>
      <c r="N4025" s="85">
        <f t="shared" si="1219"/>
        <v>1697</v>
      </c>
      <c r="O4025" s="86">
        <f t="shared" si="1220"/>
        <v>13673.82</v>
      </c>
      <c r="P4025" s="86">
        <f t="shared" si="1221"/>
        <v>0</v>
      </c>
      <c r="Q4025" s="86">
        <f t="shared" si="1222"/>
        <v>0</v>
      </c>
      <c r="R4025" s="86">
        <f t="shared" si="1223"/>
        <v>0</v>
      </c>
      <c r="S4025" s="86">
        <f t="shared" si="1224"/>
        <v>0</v>
      </c>
      <c r="T4025" s="86">
        <f t="shared" si="1225"/>
        <v>13673.82</v>
      </c>
      <c r="U4025" s="87">
        <v>13673.82</v>
      </c>
    </row>
    <row r="4026" spans="1:21" s="30" customFormat="1" ht="24.6" hidden="1" outlineLevel="1" x14ac:dyDescent="0.55000000000000004">
      <c r="A4026" s="27" t="s">
        <v>327</v>
      </c>
      <c r="B4026" s="28"/>
      <c r="C4026" s="27"/>
      <c r="D4026" s="27" t="str">
        <f>"""NAV Direct"",""CRONUS JetCorp USA"",""21"",""1"",""412689"""</f>
        <v>"NAV Direct","CRONUS JetCorp USA","21","1","412689"</v>
      </c>
      <c r="E4026" s="31" t="str">
        <f t="shared" si="1217"/>
        <v>C100113</v>
      </c>
      <c r="F4026" s="31"/>
      <c r="G4026" s="31"/>
      <c r="H4026" s="31"/>
      <c r="I4026" s="56"/>
      <c r="J4026" s="56"/>
      <c r="K4026" s="82" t="str">
        <f t="shared" si="1218"/>
        <v>Invoice</v>
      </c>
      <c r="L4026" s="83" t="str">
        <f>"SI_112499"</f>
        <v>SI_112499</v>
      </c>
      <c r="M4026" s="84">
        <v>42219</v>
      </c>
      <c r="N4026" s="85">
        <f t="shared" si="1219"/>
        <v>1593</v>
      </c>
      <c r="O4026" s="86">
        <f t="shared" si="1220"/>
        <v>9909.8700000000008</v>
      </c>
      <c r="P4026" s="86">
        <f t="shared" si="1221"/>
        <v>0</v>
      </c>
      <c r="Q4026" s="86">
        <f t="shared" si="1222"/>
        <v>0</v>
      </c>
      <c r="R4026" s="86">
        <f t="shared" si="1223"/>
        <v>0</v>
      </c>
      <c r="S4026" s="86">
        <f t="shared" si="1224"/>
        <v>0</v>
      </c>
      <c r="T4026" s="86">
        <f t="shared" si="1225"/>
        <v>9909.8700000000008</v>
      </c>
      <c r="U4026" s="87">
        <v>9909.8700000000008</v>
      </c>
    </row>
    <row r="4027" spans="1:21" s="30" customFormat="1" ht="24.6" hidden="1" outlineLevel="1" x14ac:dyDescent="0.55000000000000004">
      <c r="A4027" s="27" t="s">
        <v>327</v>
      </c>
      <c r="B4027" s="28"/>
      <c r="C4027" s="27"/>
      <c r="D4027" s="27" t="str">
        <f>"""NAV Direct"",""CRONUS JetCorp USA"",""21"",""1"",""412909"""</f>
        <v>"NAV Direct","CRONUS JetCorp USA","21","1","412909"</v>
      </c>
      <c r="E4027" s="31">
        <f t="shared" si="1217"/>
        <v>0</v>
      </c>
      <c r="F4027" s="31"/>
      <c r="G4027" s="31"/>
      <c r="H4027" s="31"/>
      <c r="I4027" s="56"/>
      <c r="J4027" s="56"/>
      <c r="K4027" s="82" t="str">
        <f t="shared" si="1218"/>
        <v>Invoice</v>
      </c>
      <c r="L4027" s="83" t="str">
        <f>"SI_112503"</f>
        <v>SI_112503</v>
      </c>
      <c r="M4027" s="84">
        <v>42240</v>
      </c>
      <c r="N4027" s="85">
        <f t="shared" si="1219"/>
        <v>1572</v>
      </c>
      <c r="O4027" s="86">
        <f t="shared" si="1220"/>
        <v>10156.74</v>
      </c>
      <c r="P4027" s="86">
        <f t="shared" si="1221"/>
        <v>0</v>
      </c>
      <c r="Q4027" s="86">
        <f t="shared" si="1222"/>
        <v>0</v>
      </c>
      <c r="R4027" s="86">
        <f t="shared" si="1223"/>
        <v>0</v>
      </c>
      <c r="S4027" s="86">
        <f t="shared" si="1224"/>
        <v>0</v>
      </c>
      <c r="T4027" s="86">
        <f t="shared" si="1225"/>
        <v>10156.74</v>
      </c>
      <c r="U4027" s="87">
        <v>10156.74</v>
      </c>
    </row>
    <row r="4028" spans="1:21" s="30" customFormat="1" ht="24.6" hidden="1" outlineLevel="1" x14ac:dyDescent="0.55000000000000004">
      <c r="A4028" s="27" t="s">
        <v>327</v>
      </c>
      <c r="B4028" s="28"/>
      <c r="C4028" s="27"/>
      <c r="D4028" s="27" t="str">
        <f>"""NAV Direct"",""CRONUS JetCorp USA"",""21"",""1"",""413011"""</f>
        <v>"NAV Direct","CRONUS JetCorp USA","21","1","413011"</v>
      </c>
      <c r="E4028" s="31" t="str">
        <f t="shared" si="1217"/>
        <v>C100113</v>
      </c>
      <c r="F4028" s="31"/>
      <c r="G4028" s="31"/>
      <c r="H4028" s="31"/>
      <c r="I4028" s="56"/>
      <c r="J4028" s="56"/>
      <c r="K4028" s="82" t="str">
        <f t="shared" si="1218"/>
        <v>Invoice</v>
      </c>
      <c r="L4028" s="83" t="str">
        <f>"SI_112505"</f>
        <v>SI_112505</v>
      </c>
      <c r="M4028" s="84">
        <v>42245</v>
      </c>
      <c r="N4028" s="85">
        <f t="shared" si="1219"/>
        <v>1567</v>
      </c>
      <c r="O4028" s="86">
        <f t="shared" si="1220"/>
        <v>9829.1200000000008</v>
      </c>
      <c r="P4028" s="86">
        <f t="shared" si="1221"/>
        <v>0</v>
      </c>
      <c r="Q4028" s="86">
        <f t="shared" si="1222"/>
        <v>0</v>
      </c>
      <c r="R4028" s="86">
        <f t="shared" si="1223"/>
        <v>0</v>
      </c>
      <c r="S4028" s="86">
        <f t="shared" si="1224"/>
        <v>0</v>
      </c>
      <c r="T4028" s="86">
        <f t="shared" si="1225"/>
        <v>9829.1200000000008</v>
      </c>
      <c r="U4028" s="87">
        <v>9829.1200000000008</v>
      </c>
    </row>
    <row r="4029" spans="1:21" s="30" customFormat="1" ht="24.6" hidden="1" outlineLevel="1" x14ac:dyDescent="0.55000000000000004">
      <c r="A4029" s="27" t="s">
        <v>327</v>
      </c>
      <c r="B4029" s="28"/>
      <c r="C4029" s="27"/>
      <c r="D4029" s="27" t="str">
        <f>"""NAV Direct"",""CRONUS JetCorp USA"",""21"",""1"",""413495"""</f>
        <v>"NAV Direct","CRONUS JetCorp USA","21","1","413495"</v>
      </c>
      <c r="E4029" s="31">
        <f t="shared" si="1217"/>
        <v>0</v>
      </c>
      <c r="F4029" s="31"/>
      <c r="G4029" s="31"/>
      <c r="H4029" s="31"/>
      <c r="I4029" s="56"/>
      <c r="J4029" s="56"/>
      <c r="K4029" s="82" t="str">
        <f t="shared" si="1218"/>
        <v>Invoice</v>
      </c>
      <c r="L4029" s="83" t="str">
        <f>"SI_112514"</f>
        <v>SI_112514</v>
      </c>
      <c r="M4029" s="84">
        <v>42301</v>
      </c>
      <c r="N4029" s="85">
        <f t="shared" si="1219"/>
        <v>1511</v>
      </c>
      <c r="O4029" s="86">
        <f t="shared" si="1220"/>
        <v>12178.009999999998</v>
      </c>
      <c r="P4029" s="86">
        <f t="shared" si="1221"/>
        <v>0</v>
      </c>
      <c r="Q4029" s="86">
        <f t="shared" si="1222"/>
        <v>0</v>
      </c>
      <c r="R4029" s="86">
        <f t="shared" si="1223"/>
        <v>0</v>
      </c>
      <c r="S4029" s="86">
        <f t="shared" si="1224"/>
        <v>0</v>
      </c>
      <c r="T4029" s="86">
        <f t="shared" si="1225"/>
        <v>12178.009999999998</v>
      </c>
      <c r="U4029" s="87">
        <v>12178.009999999998</v>
      </c>
    </row>
    <row r="4030" spans="1:21" s="22" customFormat="1" ht="20.399999999999999" collapsed="1" x14ac:dyDescent="0.45">
      <c r="A4030" s="12" t="s">
        <v>327</v>
      </c>
      <c r="B4030" s="19"/>
      <c r="C4030" s="12"/>
      <c r="D4030" s="12"/>
      <c r="E4030" s="23"/>
      <c r="F4030" s="23"/>
      <c r="G4030" s="23"/>
      <c r="H4030" s="23"/>
      <c r="I4030" s="49"/>
      <c r="J4030" s="88"/>
      <c r="K4030" s="88"/>
      <c r="L4030" s="89"/>
      <c r="M4030" s="89"/>
      <c r="N4030" s="89"/>
      <c r="O4030" s="89"/>
      <c r="P4030" s="89"/>
      <c r="Q4030" s="90"/>
      <c r="R4030" s="90"/>
      <c r="S4030" s="91"/>
      <c r="T4030" s="92"/>
      <c r="U4030" s="92"/>
    </row>
    <row r="4031" spans="1:21" s="22" customFormat="1" ht="20.399999999999999" x14ac:dyDescent="0.45">
      <c r="A4031" s="12" t="s">
        <v>327</v>
      </c>
      <c r="B4031" s="19"/>
      <c r="C4031" s="12"/>
      <c r="D4031" s="12"/>
      <c r="E4031" s="23"/>
      <c r="F4031" s="23"/>
      <c r="G4031" s="23"/>
      <c r="H4031" s="23"/>
      <c r="I4031" s="49"/>
      <c r="J4031" s="88"/>
      <c r="K4031" s="88"/>
      <c r="L4031" s="89"/>
      <c r="M4031" s="89"/>
      <c r="N4031" s="89"/>
      <c r="O4031" s="89"/>
      <c r="P4031" s="89"/>
      <c r="Q4031" s="90"/>
      <c r="R4031" s="90"/>
      <c r="S4031" s="91"/>
      <c r="T4031" s="92"/>
      <c r="U4031" s="92"/>
    </row>
    <row r="4032" spans="1:21" s="26" customFormat="1" ht="24.6" x14ac:dyDescent="0.55000000000000004">
      <c r="A4032" s="27" t="s">
        <v>327</v>
      </c>
      <c r="B4032" s="28"/>
      <c r="C4032" s="27" t="str">
        <f>"""NAV Direct"",""CRONUS JetCorp USA"",""18"",""1"",""C100114"""</f>
        <v>"NAV Direct","CRONUS JetCorp USA","18","1","C100114"</v>
      </c>
      <c r="D4032" s="27"/>
      <c r="E4032" s="28" t="str">
        <f>H4032</f>
        <v>C100114</v>
      </c>
      <c r="F4032" s="28"/>
      <c r="G4032" s="28"/>
      <c r="H4032" s="28" t="str">
        <f>"C100114"</f>
        <v>C100114</v>
      </c>
      <c r="I4032" s="116" t="str">
        <f>"C100114  -  Villadomis AG"</f>
        <v>C100114  -  Villadomis AG</v>
      </c>
      <c r="J4032" s="117" t="str">
        <f>""</f>
        <v/>
      </c>
      <c r="K4032" s="118"/>
      <c r="L4032" s="119">
        <f>SUBTOTAL(3,L4033:L4055)</f>
        <v>19</v>
      </c>
      <c r="M4032" s="118"/>
      <c r="N4032" s="118"/>
      <c r="O4032" s="120">
        <f t="shared" ref="O4032:T4032" si="1226">SUBTOTAL(9,O4033:O4055)</f>
        <v>62979.960000000014</v>
      </c>
      <c r="P4032" s="120">
        <f t="shared" si="1226"/>
        <v>0</v>
      </c>
      <c r="Q4032" s="120">
        <f t="shared" si="1226"/>
        <v>0</v>
      </c>
      <c r="R4032" s="120">
        <f t="shared" si="1226"/>
        <v>0</v>
      </c>
      <c r="S4032" s="120">
        <f t="shared" si="1226"/>
        <v>0</v>
      </c>
      <c r="T4032" s="120">
        <f t="shared" si="1226"/>
        <v>62979.960000000014</v>
      </c>
      <c r="U4032" s="81"/>
    </row>
    <row r="4033" spans="1:22" s="26" customFormat="1" ht="24.6" x14ac:dyDescent="0.55000000000000004">
      <c r="A4033" s="27" t="s">
        <v>327</v>
      </c>
      <c r="B4033" s="28"/>
      <c r="C4033" s="27" t="str">
        <f>C4032</f>
        <v>"NAV Direct","CRONUS JetCorp USA","18","1","C100114"</v>
      </c>
      <c r="D4033" s="27"/>
      <c r="E4033" s="28" t="str">
        <f>E4032</f>
        <v>C100114</v>
      </c>
      <c r="F4033" s="28"/>
      <c r="G4033" s="28"/>
      <c r="H4033" s="28"/>
      <c r="I4033" s="121" t="str">
        <f>"Contact: Dimitri Van Dirge"</f>
        <v>Contact: Dimitri Van Dirge</v>
      </c>
      <c r="J4033" s="121"/>
      <c r="K4033" s="122"/>
      <c r="L4033" s="123"/>
      <c r="M4033" s="123"/>
      <c r="N4033" s="124"/>
      <c r="O4033" s="124"/>
      <c r="P4033" s="123"/>
      <c r="Q4033" s="125"/>
      <c r="R4033" s="126"/>
      <c r="S4033" s="126"/>
      <c r="T4033" s="125"/>
      <c r="U4033" s="81"/>
    </row>
    <row r="4034" spans="1:22" s="26" customFormat="1" ht="24.6" x14ac:dyDescent="0.55000000000000004">
      <c r="A4034" s="27" t="s">
        <v>327</v>
      </c>
      <c r="B4034" s="28"/>
      <c r="C4034" s="27" t="str">
        <f>C4033</f>
        <v>"NAV Direct","CRONUS JetCorp USA","18","1","C100114"</v>
      </c>
      <c r="D4034" s="27"/>
      <c r="E4034" s="28" t="str">
        <f>E4033</f>
        <v>C100114</v>
      </c>
      <c r="F4034" s="28"/>
      <c r="G4034" s="28"/>
      <c r="H4034" s="28"/>
      <c r="I4034" s="121" t="str">
        <f>"Villadomis AG@Cronus.com"</f>
        <v>Villadomis AG@Cronus.com</v>
      </c>
      <c r="J4034" s="121"/>
      <c r="K4034" s="122"/>
      <c r="L4034" s="124"/>
      <c r="M4034" s="124"/>
      <c r="N4034" s="124"/>
      <c r="O4034" s="124"/>
      <c r="P4034" s="123"/>
      <c r="Q4034" s="125"/>
      <c r="R4034" s="126"/>
      <c r="S4034" s="126"/>
      <c r="T4034" s="125"/>
      <c r="U4034" s="81"/>
    </row>
    <row r="4035" spans="1:22" ht="12.75" hidden="1" customHeight="1" outlineLevel="1" x14ac:dyDescent="0.45">
      <c r="A4035" s="12" t="s">
        <v>328</v>
      </c>
      <c r="B4035" s="19"/>
      <c r="E4035" s="19"/>
      <c r="F4035" s="19"/>
      <c r="G4035" s="19"/>
      <c r="H4035" s="19"/>
      <c r="I4035" s="61"/>
      <c r="J4035" s="61"/>
      <c r="K4035" s="61"/>
      <c r="L4035" s="61"/>
      <c r="M4035" s="61"/>
      <c r="N4035" s="61"/>
      <c r="O4035" s="61"/>
      <c r="P4035" s="61"/>
      <c r="Q4035" s="61"/>
      <c r="R4035" s="61"/>
      <c r="S4035" s="61"/>
      <c r="T4035" s="61"/>
      <c r="U4035" s="61"/>
      <c r="V4035" s="21"/>
    </row>
    <row r="4036" spans="1:22" s="30" customFormat="1" ht="24.6" hidden="1" outlineLevel="1" x14ac:dyDescent="0.55000000000000004">
      <c r="A4036" s="27" t="s">
        <v>327</v>
      </c>
      <c r="B4036" s="28"/>
      <c r="C4036" s="27"/>
      <c r="D4036" s="27" t="str">
        <f>"""NAV Direct"",""CRONUS JetCorp USA"",""21"",""1"",""209333"""</f>
        <v>"NAV Direct","CRONUS JetCorp USA","21","1","209333"</v>
      </c>
      <c r="E4036" s="31" t="str">
        <f t="shared" ref="E4036:E4054" si="1227">E4034</f>
        <v>C100114</v>
      </c>
      <c r="F4036" s="31"/>
      <c r="G4036" s="31"/>
      <c r="H4036" s="31"/>
      <c r="I4036" s="56"/>
      <c r="J4036" s="56"/>
      <c r="K4036" s="82" t="str">
        <f t="shared" ref="K4036:K4051" si="1228">"Invoice"</f>
        <v>Invoice</v>
      </c>
      <c r="L4036" s="83" t="str">
        <f>"SI_108470"</f>
        <v>SI_108470</v>
      </c>
      <c r="M4036" s="84">
        <v>42031</v>
      </c>
      <c r="N4036" s="85">
        <f t="shared" ref="N4036:N4054" si="1229">StartDate-$M4036+1</f>
        <v>1781</v>
      </c>
      <c r="O4036" s="86">
        <f t="shared" ref="O4036:O4054" si="1230">SUM(P4036:T4036)</f>
        <v>3501.5499999999997</v>
      </c>
      <c r="P4036" s="86">
        <f t="shared" ref="P4036:P4054" si="1231">IF($M4036&gt;=$P$18,U4036,0)</f>
        <v>0</v>
      </c>
      <c r="Q4036" s="86">
        <f t="shared" ref="Q4036:Q4054" si="1232">IF(AND($M4036&gt;=$Q$16,$M4036&lt;=$Q$18),U4036,0)</f>
        <v>0</v>
      </c>
      <c r="R4036" s="86">
        <f t="shared" ref="R4036:R4054" si="1233">IF(AND($M4036&gt;=$R$16,$M4036&lt;=$R$18),U4036,0)</f>
        <v>0</v>
      </c>
      <c r="S4036" s="86">
        <f t="shared" ref="S4036:S4054" si="1234">IF(AND($M4036&gt;=$S$16,$M4036&lt;=$S$18),U4036,0)</f>
        <v>0</v>
      </c>
      <c r="T4036" s="86">
        <f t="shared" ref="T4036:T4054" si="1235">IF($M4036&lt;=$T$18,U4036,0)</f>
        <v>3501.5499999999997</v>
      </c>
      <c r="U4036" s="87">
        <v>3501.5499999999997</v>
      </c>
    </row>
    <row r="4037" spans="1:22" s="30" customFormat="1" ht="24.6" hidden="1" outlineLevel="1" x14ac:dyDescent="0.55000000000000004">
      <c r="A4037" s="27" t="s">
        <v>327</v>
      </c>
      <c r="B4037" s="28"/>
      <c r="C4037" s="27"/>
      <c r="D4037" s="27" t="str">
        <f>"""NAV Direct"",""CRONUS JetCorp USA"",""21"",""1"",""209557"""</f>
        <v>"NAV Direct","CRONUS JetCorp USA","21","1","209557"</v>
      </c>
      <c r="E4037" s="31">
        <f t="shared" si="1227"/>
        <v>0</v>
      </c>
      <c r="F4037" s="31"/>
      <c r="G4037" s="31"/>
      <c r="H4037" s="31"/>
      <c r="I4037" s="56"/>
      <c r="J4037" s="56"/>
      <c r="K4037" s="82" t="str">
        <f t="shared" si="1228"/>
        <v>Invoice</v>
      </c>
      <c r="L4037" s="83" t="str">
        <f>"SI_108476"</f>
        <v>SI_108476</v>
      </c>
      <c r="M4037" s="84">
        <v>42057</v>
      </c>
      <c r="N4037" s="85">
        <f t="shared" si="1229"/>
        <v>1755</v>
      </c>
      <c r="O4037" s="86">
        <f t="shared" si="1230"/>
        <v>3622.4999999999995</v>
      </c>
      <c r="P4037" s="86">
        <f t="shared" si="1231"/>
        <v>0</v>
      </c>
      <c r="Q4037" s="86">
        <f t="shared" si="1232"/>
        <v>0</v>
      </c>
      <c r="R4037" s="86">
        <f t="shared" si="1233"/>
        <v>0</v>
      </c>
      <c r="S4037" s="86">
        <f t="shared" si="1234"/>
        <v>0</v>
      </c>
      <c r="T4037" s="86">
        <f t="shared" si="1235"/>
        <v>3622.4999999999995</v>
      </c>
      <c r="U4037" s="87">
        <v>3622.4999999999995</v>
      </c>
    </row>
    <row r="4038" spans="1:22" s="30" customFormat="1" ht="24.6" hidden="1" outlineLevel="1" x14ac:dyDescent="0.55000000000000004">
      <c r="A4038" s="27" t="s">
        <v>327</v>
      </c>
      <c r="B4038" s="28"/>
      <c r="C4038" s="27"/>
      <c r="D4038" s="27" t="str">
        <f>"""NAV Direct"",""CRONUS JetCorp USA"",""21"",""1"",""209678"""</f>
        <v>"NAV Direct","CRONUS JetCorp USA","21","1","209678"</v>
      </c>
      <c r="E4038" s="31" t="str">
        <f t="shared" si="1227"/>
        <v>C100114</v>
      </c>
      <c r="F4038" s="31"/>
      <c r="G4038" s="31"/>
      <c r="H4038" s="31"/>
      <c r="I4038" s="56"/>
      <c r="J4038" s="56"/>
      <c r="K4038" s="82" t="str">
        <f t="shared" si="1228"/>
        <v>Invoice</v>
      </c>
      <c r="L4038" s="83" t="str">
        <f>"SI_108479"</f>
        <v>SI_108479</v>
      </c>
      <c r="M4038" s="84">
        <v>42063</v>
      </c>
      <c r="N4038" s="85">
        <f t="shared" si="1229"/>
        <v>1749</v>
      </c>
      <c r="O4038" s="86">
        <f t="shared" si="1230"/>
        <v>3622.5699999999997</v>
      </c>
      <c r="P4038" s="86">
        <f t="shared" si="1231"/>
        <v>0</v>
      </c>
      <c r="Q4038" s="86">
        <f t="shared" si="1232"/>
        <v>0</v>
      </c>
      <c r="R4038" s="86">
        <f t="shared" si="1233"/>
        <v>0</v>
      </c>
      <c r="S4038" s="86">
        <f t="shared" si="1234"/>
        <v>0</v>
      </c>
      <c r="T4038" s="86">
        <f t="shared" si="1235"/>
        <v>3622.5699999999997</v>
      </c>
      <c r="U4038" s="87">
        <v>3622.5699999999997</v>
      </c>
    </row>
    <row r="4039" spans="1:22" s="30" customFormat="1" ht="24.6" hidden="1" outlineLevel="1" x14ac:dyDescent="0.55000000000000004">
      <c r="A4039" s="27" t="s">
        <v>327</v>
      </c>
      <c r="B4039" s="28"/>
      <c r="C4039" s="27"/>
      <c r="D4039" s="27" t="str">
        <f>"""NAV Direct"",""CRONUS JetCorp USA"",""21"",""1"",""209875"""</f>
        <v>"NAV Direct","CRONUS JetCorp USA","21","1","209875"</v>
      </c>
      <c r="E4039" s="31">
        <f t="shared" si="1227"/>
        <v>0</v>
      </c>
      <c r="F4039" s="31"/>
      <c r="G4039" s="31"/>
      <c r="H4039" s="31"/>
      <c r="I4039" s="56"/>
      <c r="J4039" s="56"/>
      <c r="K4039" s="82" t="str">
        <f t="shared" si="1228"/>
        <v>Invoice</v>
      </c>
      <c r="L4039" s="83" t="str">
        <f>"SI_108484"</f>
        <v>SI_108484</v>
      </c>
      <c r="M4039" s="84">
        <v>42081</v>
      </c>
      <c r="N4039" s="85">
        <f t="shared" si="1229"/>
        <v>1731</v>
      </c>
      <c r="O4039" s="86">
        <f t="shared" si="1230"/>
        <v>3675.58</v>
      </c>
      <c r="P4039" s="86">
        <f t="shared" si="1231"/>
        <v>0</v>
      </c>
      <c r="Q4039" s="86">
        <f t="shared" si="1232"/>
        <v>0</v>
      </c>
      <c r="R4039" s="86">
        <f t="shared" si="1233"/>
        <v>0</v>
      </c>
      <c r="S4039" s="86">
        <f t="shared" si="1234"/>
        <v>0</v>
      </c>
      <c r="T4039" s="86">
        <f t="shared" si="1235"/>
        <v>3675.58</v>
      </c>
      <c r="U4039" s="87">
        <v>3675.58</v>
      </c>
    </row>
    <row r="4040" spans="1:22" s="30" customFormat="1" ht="24.6" hidden="1" outlineLevel="1" x14ac:dyDescent="0.55000000000000004">
      <c r="A4040" s="27" t="s">
        <v>327</v>
      </c>
      <c r="B4040" s="28"/>
      <c r="C4040" s="27"/>
      <c r="D4040" s="27" t="str">
        <f>"""NAV Direct"",""CRONUS JetCorp USA"",""21"",""1"",""210311"""</f>
        <v>"NAV Direct","CRONUS JetCorp USA","21","1","210311"</v>
      </c>
      <c r="E4040" s="31" t="str">
        <f t="shared" si="1227"/>
        <v>C100114</v>
      </c>
      <c r="F4040" s="31"/>
      <c r="G4040" s="31"/>
      <c r="H4040" s="31"/>
      <c r="I4040" s="56"/>
      <c r="J4040" s="56"/>
      <c r="K4040" s="82" t="str">
        <f t="shared" si="1228"/>
        <v>Invoice</v>
      </c>
      <c r="L4040" s="83" t="str">
        <f>"SI_108495"</f>
        <v>SI_108495</v>
      </c>
      <c r="M4040" s="84">
        <v>42113</v>
      </c>
      <c r="N4040" s="85">
        <f t="shared" si="1229"/>
        <v>1699</v>
      </c>
      <c r="O4040" s="86">
        <f t="shared" si="1230"/>
        <v>3839.45</v>
      </c>
      <c r="P4040" s="86">
        <f t="shared" si="1231"/>
        <v>0</v>
      </c>
      <c r="Q4040" s="86">
        <f t="shared" si="1232"/>
        <v>0</v>
      </c>
      <c r="R4040" s="86">
        <f t="shared" si="1233"/>
        <v>0</v>
      </c>
      <c r="S4040" s="86">
        <f t="shared" si="1234"/>
        <v>0</v>
      </c>
      <c r="T4040" s="86">
        <f t="shared" si="1235"/>
        <v>3839.45</v>
      </c>
      <c r="U4040" s="87">
        <v>3839.45</v>
      </c>
    </row>
    <row r="4041" spans="1:22" s="30" customFormat="1" ht="24.6" hidden="1" outlineLevel="1" x14ac:dyDescent="0.55000000000000004">
      <c r="A4041" s="27" t="s">
        <v>327</v>
      </c>
      <c r="B4041" s="28"/>
      <c r="C4041" s="27"/>
      <c r="D4041" s="27" t="str">
        <f>"""NAV Direct"",""CRONUS JetCorp USA"",""21"",""1"",""210950"""</f>
        <v>"NAV Direct","CRONUS JetCorp USA","21","1","210950"</v>
      </c>
      <c r="E4041" s="31">
        <f t="shared" si="1227"/>
        <v>0</v>
      </c>
      <c r="F4041" s="31"/>
      <c r="G4041" s="31"/>
      <c r="H4041" s="31"/>
      <c r="I4041" s="56"/>
      <c r="J4041" s="56"/>
      <c r="K4041" s="82" t="str">
        <f t="shared" si="1228"/>
        <v>Invoice</v>
      </c>
      <c r="L4041" s="83" t="str">
        <f>"SI_108510"</f>
        <v>SI_108510</v>
      </c>
      <c r="M4041" s="84">
        <v>42159</v>
      </c>
      <c r="N4041" s="85">
        <f t="shared" si="1229"/>
        <v>1653</v>
      </c>
      <c r="O4041" s="86">
        <f t="shared" si="1230"/>
        <v>4011.9900000000002</v>
      </c>
      <c r="P4041" s="86">
        <f t="shared" si="1231"/>
        <v>0</v>
      </c>
      <c r="Q4041" s="86">
        <f t="shared" si="1232"/>
        <v>0</v>
      </c>
      <c r="R4041" s="86">
        <f t="shared" si="1233"/>
        <v>0</v>
      </c>
      <c r="S4041" s="86">
        <f t="shared" si="1234"/>
        <v>0</v>
      </c>
      <c r="T4041" s="86">
        <f t="shared" si="1235"/>
        <v>4011.9900000000002</v>
      </c>
      <c r="U4041" s="87">
        <v>4011.9900000000002</v>
      </c>
    </row>
    <row r="4042" spans="1:22" s="30" customFormat="1" ht="24.6" hidden="1" outlineLevel="1" x14ac:dyDescent="0.55000000000000004">
      <c r="A4042" s="27" t="s">
        <v>327</v>
      </c>
      <c r="B4042" s="28"/>
      <c r="C4042" s="27"/>
      <c r="D4042" s="27" t="str">
        <f>"""NAV Direct"",""CRONUS JetCorp USA"",""21"",""1"",""211024"""</f>
        <v>"NAV Direct","CRONUS JetCorp USA","21","1","211024"</v>
      </c>
      <c r="E4042" s="31" t="str">
        <f t="shared" si="1227"/>
        <v>C100114</v>
      </c>
      <c r="F4042" s="31"/>
      <c r="G4042" s="31"/>
      <c r="H4042" s="31"/>
      <c r="I4042" s="56"/>
      <c r="J4042" s="56"/>
      <c r="K4042" s="82" t="str">
        <f t="shared" si="1228"/>
        <v>Invoice</v>
      </c>
      <c r="L4042" s="83" t="str">
        <f>"SI_108512"</f>
        <v>SI_108512</v>
      </c>
      <c r="M4042" s="84">
        <v>42166</v>
      </c>
      <c r="N4042" s="85">
        <f t="shared" si="1229"/>
        <v>1646</v>
      </c>
      <c r="O4042" s="86">
        <f t="shared" si="1230"/>
        <v>3930.4800000000005</v>
      </c>
      <c r="P4042" s="86">
        <f t="shared" si="1231"/>
        <v>0</v>
      </c>
      <c r="Q4042" s="86">
        <f t="shared" si="1232"/>
        <v>0</v>
      </c>
      <c r="R4042" s="86">
        <f t="shared" si="1233"/>
        <v>0</v>
      </c>
      <c r="S4042" s="86">
        <f t="shared" si="1234"/>
        <v>0</v>
      </c>
      <c r="T4042" s="86">
        <f t="shared" si="1235"/>
        <v>3930.4800000000005</v>
      </c>
      <c r="U4042" s="87">
        <v>3930.4800000000005</v>
      </c>
    </row>
    <row r="4043" spans="1:22" s="30" customFormat="1" ht="24.6" hidden="1" outlineLevel="1" x14ac:dyDescent="0.55000000000000004">
      <c r="A4043" s="27" t="s">
        <v>327</v>
      </c>
      <c r="B4043" s="28"/>
      <c r="C4043" s="27"/>
      <c r="D4043" s="27" t="str">
        <f>"""NAV Direct"",""CRONUS JetCorp USA"",""21"",""1"",""211063"""</f>
        <v>"NAV Direct","CRONUS JetCorp USA","21","1","211063"</v>
      </c>
      <c r="E4043" s="31">
        <f t="shared" si="1227"/>
        <v>0</v>
      </c>
      <c r="F4043" s="31"/>
      <c r="G4043" s="31"/>
      <c r="H4043" s="31"/>
      <c r="I4043" s="56"/>
      <c r="J4043" s="56"/>
      <c r="K4043" s="82" t="str">
        <f t="shared" si="1228"/>
        <v>Invoice</v>
      </c>
      <c r="L4043" s="83" t="str">
        <f>"SI_108513"</f>
        <v>SI_108513</v>
      </c>
      <c r="M4043" s="84">
        <v>42168</v>
      </c>
      <c r="N4043" s="85">
        <f t="shared" si="1229"/>
        <v>1644</v>
      </c>
      <c r="O4043" s="86">
        <f t="shared" si="1230"/>
        <v>4012.24</v>
      </c>
      <c r="P4043" s="86">
        <f t="shared" si="1231"/>
        <v>0</v>
      </c>
      <c r="Q4043" s="86">
        <f t="shared" si="1232"/>
        <v>0</v>
      </c>
      <c r="R4043" s="86">
        <f t="shared" si="1233"/>
        <v>0</v>
      </c>
      <c r="S4043" s="86">
        <f t="shared" si="1234"/>
        <v>0</v>
      </c>
      <c r="T4043" s="86">
        <f t="shared" si="1235"/>
        <v>4012.24</v>
      </c>
      <c r="U4043" s="87">
        <v>4012.24</v>
      </c>
    </row>
    <row r="4044" spans="1:22" s="30" customFormat="1" ht="24.6" hidden="1" outlineLevel="1" x14ac:dyDescent="0.55000000000000004">
      <c r="A4044" s="27" t="s">
        <v>327</v>
      </c>
      <c r="B4044" s="28"/>
      <c r="C4044" s="27"/>
      <c r="D4044" s="27" t="str">
        <f>"""NAV Direct"",""CRONUS JetCorp USA"",""21"",""1"",""211533"""</f>
        <v>"NAV Direct","CRONUS JetCorp USA","21","1","211533"</v>
      </c>
      <c r="E4044" s="31" t="str">
        <f t="shared" si="1227"/>
        <v>C100114</v>
      </c>
      <c r="F4044" s="31"/>
      <c r="G4044" s="31"/>
      <c r="H4044" s="31"/>
      <c r="I4044" s="56"/>
      <c r="J4044" s="56"/>
      <c r="K4044" s="82" t="str">
        <f t="shared" si="1228"/>
        <v>Invoice</v>
      </c>
      <c r="L4044" s="83" t="str">
        <f>"SI_108523"</f>
        <v>SI_108523</v>
      </c>
      <c r="M4044" s="84">
        <v>42193</v>
      </c>
      <c r="N4044" s="85">
        <f t="shared" si="1229"/>
        <v>1619</v>
      </c>
      <c r="O4044" s="86">
        <f t="shared" si="1230"/>
        <v>3871.8</v>
      </c>
      <c r="P4044" s="86">
        <f t="shared" si="1231"/>
        <v>0</v>
      </c>
      <c r="Q4044" s="86">
        <f t="shared" si="1232"/>
        <v>0</v>
      </c>
      <c r="R4044" s="86">
        <f t="shared" si="1233"/>
        <v>0</v>
      </c>
      <c r="S4044" s="86">
        <f t="shared" si="1234"/>
        <v>0</v>
      </c>
      <c r="T4044" s="86">
        <f t="shared" si="1235"/>
        <v>3871.8</v>
      </c>
      <c r="U4044" s="87">
        <v>3871.8</v>
      </c>
    </row>
    <row r="4045" spans="1:22" s="30" customFormat="1" ht="24.6" hidden="1" outlineLevel="1" x14ac:dyDescent="0.55000000000000004">
      <c r="A4045" s="27" t="s">
        <v>327</v>
      </c>
      <c r="B4045" s="28"/>
      <c r="C4045" s="27"/>
      <c r="D4045" s="27" t="str">
        <f>"""NAV Direct"",""CRONUS JetCorp USA"",""21"",""1"",""211713"""</f>
        <v>"NAV Direct","CRONUS JetCorp USA","21","1","211713"</v>
      </c>
      <c r="E4045" s="31">
        <f t="shared" si="1227"/>
        <v>0</v>
      </c>
      <c r="F4045" s="31"/>
      <c r="G4045" s="31"/>
      <c r="H4045" s="31"/>
      <c r="I4045" s="56"/>
      <c r="J4045" s="56"/>
      <c r="K4045" s="82" t="str">
        <f t="shared" si="1228"/>
        <v>Invoice</v>
      </c>
      <c r="L4045" s="83" t="str">
        <f>"SI_108527"</f>
        <v>SI_108527</v>
      </c>
      <c r="M4045" s="84">
        <v>42207</v>
      </c>
      <c r="N4045" s="85">
        <f t="shared" si="1229"/>
        <v>1605</v>
      </c>
      <c r="O4045" s="86">
        <f t="shared" si="1230"/>
        <v>3951.01</v>
      </c>
      <c r="P4045" s="86">
        <f t="shared" si="1231"/>
        <v>0</v>
      </c>
      <c r="Q4045" s="86">
        <f t="shared" si="1232"/>
        <v>0</v>
      </c>
      <c r="R4045" s="86">
        <f t="shared" si="1233"/>
        <v>0</v>
      </c>
      <c r="S4045" s="86">
        <f t="shared" si="1234"/>
        <v>0</v>
      </c>
      <c r="T4045" s="86">
        <f t="shared" si="1235"/>
        <v>3951.01</v>
      </c>
      <c r="U4045" s="87">
        <v>3951.01</v>
      </c>
    </row>
    <row r="4046" spans="1:22" s="30" customFormat="1" ht="24.6" hidden="1" outlineLevel="1" x14ac:dyDescent="0.55000000000000004">
      <c r="A4046" s="27" t="s">
        <v>327</v>
      </c>
      <c r="B4046" s="28"/>
      <c r="C4046" s="27"/>
      <c r="D4046" s="27" t="str">
        <f>"""NAV Direct"",""CRONUS JetCorp USA"",""21"",""1"",""212372"""</f>
        <v>"NAV Direct","CRONUS JetCorp USA","21","1","212372"</v>
      </c>
      <c r="E4046" s="31" t="str">
        <f t="shared" si="1227"/>
        <v>C100114</v>
      </c>
      <c r="F4046" s="31"/>
      <c r="G4046" s="31"/>
      <c r="H4046" s="31"/>
      <c r="I4046" s="56"/>
      <c r="J4046" s="56"/>
      <c r="K4046" s="82" t="str">
        <f t="shared" si="1228"/>
        <v>Invoice</v>
      </c>
      <c r="L4046" s="83" t="str">
        <f>"SI_108542"</f>
        <v>SI_108542</v>
      </c>
      <c r="M4046" s="84">
        <v>42249</v>
      </c>
      <c r="N4046" s="85">
        <f t="shared" si="1229"/>
        <v>1563</v>
      </c>
      <c r="O4046" s="86">
        <f t="shared" si="1230"/>
        <v>4030.1</v>
      </c>
      <c r="P4046" s="86">
        <f t="shared" si="1231"/>
        <v>0</v>
      </c>
      <c r="Q4046" s="86">
        <f t="shared" si="1232"/>
        <v>0</v>
      </c>
      <c r="R4046" s="86">
        <f t="shared" si="1233"/>
        <v>0</v>
      </c>
      <c r="S4046" s="86">
        <f t="shared" si="1234"/>
        <v>0</v>
      </c>
      <c r="T4046" s="86">
        <f t="shared" si="1235"/>
        <v>4030.1</v>
      </c>
      <c r="U4046" s="87">
        <v>4030.1</v>
      </c>
    </row>
    <row r="4047" spans="1:22" s="30" customFormat="1" ht="24.6" hidden="1" outlineLevel="1" x14ac:dyDescent="0.55000000000000004">
      <c r="A4047" s="27" t="s">
        <v>327</v>
      </c>
      <c r="B4047" s="28"/>
      <c r="C4047" s="27"/>
      <c r="D4047" s="27" t="str">
        <f>"""NAV Direct"",""CRONUS JetCorp USA"",""21"",""1"",""213114"""</f>
        <v>"NAV Direct","CRONUS JetCorp USA","21","1","213114"</v>
      </c>
      <c r="E4047" s="31">
        <f t="shared" si="1227"/>
        <v>0</v>
      </c>
      <c r="F4047" s="31"/>
      <c r="G4047" s="31"/>
      <c r="H4047" s="31"/>
      <c r="I4047" s="56"/>
      <c r="J4047" s="56"/>
      <c r="K4047" s="82" t="str">
        <f t="shared" si="1228"/>
        <v>Invoice</v>
      </c>
      <c r="L4047" s="83" t="str">
        <f>"SI_108560"</f>
        <v>SI_108560</v>
      </c>
      <c r="M4047" s="84">
        <v>42306</v>
      </c>
      <c r="N4047" s="85">
        <f t="shared" si="1229"/>
        <v>1506</v>
      </c>
      <c r="O4047" s="86">
        <f t="shared" si="1230"/>
        <v>4317.1100000000006</v>
      </c>
      <c r="P4047" s="86">
        <f t="shared" si="1231"/>
        <v>0</v>
      </c>
      <c r="Q4047" s="86">
        <f t="shared" si="1232"/>
        <v>0</v>
      </c>
      <c r="R4047" s="86">
        <f t="shared" si="1233"/>
        <v>0</v>
      </c>
      <c r="S4047" s="86">
        <f t="shared" si="1234"/>
        <v>0</v>
      </c>
      <c r="T4047" s="86">
        <f t="shared" si="1235"/>
        <v>4317.1100000000006</v>
      </c>
      <c r="U4047" s="87">
        <v>4317.1100000000006</v>
      </c>
    </row>
    <row r="4048" spans="1:22" s="30" customFormat="1" ht="24.6" hidden="1" outlineLevel="1" x14ac:dyDescent="0.55000000000000004">
      <c r="A4048" s="27" t="s">
        <v>327</v>
      </c>
      <c r="B4048" s="28"/>
      <c r="C4048" s="27"/>
      <c r="D4048" s="27" t="str">
        <f>"""NAV Direct"",""CRONUS JetCorp USA"",""21"",""1"",""213246"""</f>
        <v>"NAV Direct","CRONUS JetCorp USA","21","1","213246"</v>
      </c>
      <c r="E4048" s="31" t="str">
        <f t="shared" si="1227"/>
        <v>C100114</v>
      </c>
      <c r="F4048" s="31"/>
      <c r="G4048" s="31"/>
      <c r="H4048" s="31"/>
      <c r="I4048" s="56"/>
      <c r="J4048" s="56"/>
      <c r="K4048" s="82" t="str">
        <f t="shared" si="1228"/>
        <v>Invoice</v>
      </c>
      <c r="L4048" s="83" t="str">
        <f>"SI_108563"</f>
        <v>SI_108563</v>
      </c>
      <c r="M4048" s="84">
        <v>42314</v>
      </c>
      <c r="N4048" s="85">
        <f t="shared" si="1229"/>
        <v>1498</v>
      </c>
      <c r="O4048" s="86">
        <f t="shared" si="1230"/>
        <v>4316.9000000000005</v>
      </c>
      <c r="P4048" s="86">
        <f t="shared" si="1231"/>
        <v>0</v>
      </c>
      <c r="Q4048" s="86">
        <f t="shared" si="1232"/>
        <v>0</v>
      </c>
      <c r="R4048" s="86">
        <f t="shared" si="1233"/>
        <v>0</v>
      </c>
      <c r="S4048" s="86">
        <f t="shared" si="1234"/>
        <v>0</v>
      </c>
      <c r="T4048" s="86">
        <f t="shared" si="1235"/>
        <v>4316.9000000000005</v>
      </c>
      <c r="U4048" s="87">
        <v>4316.9000000000005</v>
      </c>
    </row>
    <row r="4049" spans="1:22" s="30" customFormat="1" ht="24.6" hidden="1" outlineLevel="1" x14ac:dyDescent="0.55000000000000004">
      <c r="A4049" s="27" t="s">
        <v>327</v>
      </c>
      <c r="B4049" s="28"/>
      <c r="C4049" s="27"/>
      <c r="D4049" s="27" t="str">
        <f>"""NAV Direct"",""CRONUS JetCorp USA"",""21"",""1"",""213417"""</f>
        <v>"NAV Direct","CRONUS JetCorp USA","21","1","213417"</v>
      </c>
      <c r="E4049" s="31">
        <f t="shared" si="1227"/>
        <v>0</v>
      </c>
      <c r="F4049" s="31"/>
      <c r="G4049" s="31"/>
      <c r="H4049" s="31"/>
      <c r="I4049" s="56"/>
      <c r="J4049" s="56"/>
      <c r="K4049" s="82" t="str">
        <f t="shared" si="1228"/>
        <v>Invoice</v>
      </c>
      <c r="L4049" s="83" t="str">
        <f>"SI_108567"</f>
        <v>SI_108567</v>
      </c>
      <c r="M4049" s="84">
        <v>42331</v>
      </c>
      <c r="N4049" s="85">
        <f t="shared" si="1229"/>
        <v>1481</v>
      </c>
      <c r="O4049" s="86">
        <f t="shared" si="1230"/>
        <v>4360.1899999999996</v>
      </c>
      <c r="P4049" s="86">
        <f t="shared" si="1231"/>
        <v>0</v>
      </c>
      <c r="Q4049" s="86">
        <f t="shared" si="1232"/>
        <v>0</v>
      </c>
      <c r="R4049" s="86">
        <f t="shared" si="1233"/>
        <v>0</v>
      </c>
      <c r="S4049" s="86">
        <f t="shared" si="1234"/>
        <v>0</v>
      </c>
      <c r="T4049" s="86">
        <f t="shared" si="1235"/>
        <v>4360.1899999999996</v>
      </c>
      <c r="U4049" s="87">
        <v>4360.1899999999996</v>
      </c>
    </row>
    <row r="4050" spans="1:22" s="30" customFormat="1" ht="24.6" hidden="1" outlineLevel="1" x14ac:dyDescent="0.55000000000000004">
      <c r="A4050" s="27" t="s">
        <v>327</v>
      </c>
      <c r="B4050" s="28"/>
      <c r="C4050" s="27"/>
      <c r="D4050" s="27" t="str">
        <f>"""NAV Direct"",""CRONUS JetCorp USA"",""21"",""1"",""213556"""</f>
        <v>"NAV Direct","CRONUS JetCorp USA","21","1","213556"</v>
      </c>
      <c r="E4050" s="31" t="str">
        <f t="shared" si="1227"/>
        <v>C100114</v>
      </c>
      <c r="F4050" s="31"/>
      <c r="G4050" s="31"/>
      <c r="H4050" s="31"/>
      <c r="I4050" s="56"/>
      <c r="J4050" s="56"/>
      <c r="K4050" s="82" t="str">
        <f t="shared" si="1228"/>
        <v>Invoice</v>
      </c>
      <c r="L4050" s="83" t="str">
        <f>"SI_108570"</f>
        <v>SI_108570</v>
      </c>
      <c r="M4050" s="84">
        <v>42341</v>
      </c>
      <c r="N4050" s="85">
        <f t="shared" si="1229"/>
        <v>1471</v>
      </c>
      <c r="O4050" s="86">
        <f t="shared" si="1230"/>
        <v>4360.1099999999997</v>
      </c>
      <c r="P4050" s="86">
        <f t="shared" si="1231"/>
        <v>0</v>
      </c>
      <c r="Q4050" s="86">
        <f t="shared" si="1232"/>
        <v>0</v>
      </c>
      <c r="R4050" s="86">
        <f t="shared" si="1233"/>
        <v>0</v>
      </c>
      <c r="S4050" s="86">
        <f t="shared" si="1234"/>
        <v>0</v>
      </c>
      <c r="T4050" s="86">
        <f t="shared" si="1235"/>
        <v>4360.1099999999997</v>
      </c>
      <c r="U4050" s="87">
        <v>4360.1099999999997</v>
      </c>
    </row>
    <row r="4051" spans="1:22" s="30" customFormat="1" ht="24.6" hidden="1" outlineLevel="1" x14ac:dyDescent="0.55000000000000004">
      <c r="A4051" s="27" t="s">
        <v>327</v>
      </c>
      <c r="B4051" s="28"/>
      <c r="C4051" s="27"/>
      <c r="D4051" s="27" t="str">
        <f>"""NAV Direct"",""CRONUS JetCorp USA"",""21"",""1"",""213913"""</f>
        <v>"NAV Direct","CRONUS JetCorp USA","21","1","213913"</v>
      </c>
      <c r="E4051" s="31">
        <f t="shared" si="1227"/>
        <v>0</v>
      </c>
      <c r="F4051" s="31"/>
      <c r="G4051" s="31"/>
      <c r="H4051" s="31"/>
      <c r="I4051" s="56"/>
      <c r="J4051" s="56"/>
      <c r="K4051" s="82" t="str">
        <f t="shared" si="1228"/>
        <v>Invoice</v>
      </c>
      <c r="L4051" s="83" t="str">
        <f>"SI_108578"</f>
        <v>SI_108578</v>
      </c>
      <c r="M4051" s="84">
        <v>42363</v>
      </c>
      <c r="N4051" s="85">
        <f t="shared" si="1229"/>
        <v>1449</v>
      </c>
      <c r="O4051" s="86">
        <f t="shared" si="1230"/>
        <v>3662.44</v>
      </c>
      <c r="P4051" s="86">
        <f t="shared" si="1231"/>
        <v>0</v>
      </c>
      <c r="Q4051" s="86">
        <f t="shared" si="1232"/>
        <v>0</v>
      </c>
      <c r="R4051" s="86">
        <f t="shared" si="1233"/>
        <v>0</v>
      </c>
      <c r="S4051" s="86">
        <f t="shared" si="1234"/>
        <v>0</v>
      </c>
      <c r="T4051" s="86">
        <f t="shared" si="1235"/>
        <v>3662.44</v>
      </c>
      <c r="U4051" s="87">
        <v>3662.44</v>
      </c>
    </row>
    <row r="4052" spans="1:22" s="30" customFormat="1" ht="24.6" hidden="1" outlineLevel="1" x14ac:dyDescent="0.55000000000000004">
      <c r="A4052" s="27" t="s">
        <v>327</v>
      </c>
      <c r="B4052" s="28"/>
      <c r="C4052" s="27"/>
      <c r="D4052" s="27" t="str">
        <f>"""NAV Direct"",""CRONUS JetCorp USA"",""21"",""1"",""444095"""</f>
        <v>"NAV Direct","CRONUS JetCorp USA","21","1","444095"</v>
      </c>
      <c r="E4052" s="31" t="str">
        <f t="shared" si="1227"/>
        <v>C100114</v>
      </c>
      <c r="F4052" s="31"/>
      <c r="G4052" s="31"/>
      <c r="H4052" s="31"/>
      <c r="I4052" s="56"/>
      <c r="J4052" s="56"/>
      <c r="K4052" s="82" t="str">
        <f>"Credit Memo"</f>
        <v>Credit Memo</v>
      </c>
      <c r="L4052" s="83" t="str">
        <f>"SC_101134"</f>
        <v>SC_101134</v>
      </c>
      <c r="M4052" s="84">
        <v>42464</v>
      </c>
      <c r="N4052" s="85">
        <f t="shared" si="1229"/>
        <v>1348</v>
      </c>
      <c r="O4052" s="86">
        <f t="shared" si="1230"/>
        <v>-33.4</v>
      </c>
      <c r="P4052" s="86">
        <f t="shared" si="1231"/>
        <v>0</v>
      </c>
      <c r="Q4052" s="86">
        <f t="shared" si="1232"/>
        <v>0</v>
      </c>
      <c r="R4052" s="86">
        <f t="shared" si="1233"/>
        <v>0</v>
      </c>
      <c r="S4052" s="86">
        <f t="shared" si="1234"/>
        <v>0</v>
      </c>
      <c r="T4052" s="86">
        <f t="shared" si="1235"/>
        <v>-33.4</v>
      </c>
      <c r="U4052" s="87">
        <v>-33.4</v>
      </c>
    </row>
    <row r="4053" spans="1:22" s="30" customFormat="1" ht="24.6" hidden="1" outlineLevel="1" x14ac:dyDescent="0.55000000000000004">
      <c r="A4053" s="27" t="s">
        <v>327</v>
      </c>
      <c r="B4053" s="28"/>
      <c r="C4053" s="27"/>
      <c r="D4053" s="27" t="str">
        <f>"""NAV Direct"",""CRONUS JetCorp USA"",""21"",""1"",""444199"""</f>
        <v>"NAV Direct","CRONUS JetCorp USA","21","1","444199"</v>
      </c>
      <c r="E4053" s="31">
        <f t="shared" si="1227"/>
        <v>0</v>
      </c>
      <c r="F4053" s="31"/>
      <c r="G4053" s="31"/>
      <c r="H4053" s="31"/>
      <c r="I4053" s="56"/>
      <c r="J4053" s="56"/>
      <c r="K4053" s="82" t="str">
        <f>"Credit Memo"</f>
        <v>Credit Memo</v>
      </c>
      <c r="L4053" s="83" t="str">
        <f>"SC_101147"</f>
        <v>SC_101147</v>
      </c>
      <c r="M4053" s="84">
        <v>42773</v>
      </c>
      <c r="N4053" s="85">
        <f t="shared" si="1229"/>
        <v>1039</v>
      </c>
      <c r="O4053" s="86">
        <f t="shared" si="1230"/>
        <v>-39.07</v>
      </c>
      <c r="P4053" s="86">
        <f t="shared" si="1231"/>
        <v>0</v>
      </c>
      <c r="Q4053" s="86">
        <f t="shared" si="1232"/>
        <v>0</v>
      </c>
      <c r="R4053" s="86">
        <f t="shared" si="1233"/>
        <v>0</v>
      </c>
      <c r="S4053" s="86">
        <f t="shared" si="1234"/>
        <v>0</v>
      </c>
      <c r="T4053" s="86">
        <f t="shared" si="1235"/>
        <v>-39.07</v>
      </c>
      <c r="U4053" s="87">
        <v>-39.07</v>
      </c>
    </row>
    <row r="4054" spans="1:22" s="30" customFormat="1" ht="24.6" hidden="1" outlineLevel="1" x14ac:dyDescent="0.55000000000000004">
      <c r="A4054" s="27" t="s">
        <v>327</v>
      </c>
      <c r="B4054" s="28"/>
      <c r="C4054" s="27"/>
      <c r="D4054" s="27" t="str">
        <f>"""NAV Direct"",""CRONUS JetCorp USA"",""21"",""1"",""444341"""</f>
        <v>"NAV Direct","CRONUS JetCorp USA","21","1","444341"</v>
      </c>
      <c r="E4054" s="31" t="str">
        <f t="shared" si="1227"/>
        <v>C100114</v>
      </c>
      <c r="F4054" s="31"/>
      <c r="G4054" s="31"/>
      <c r="H4054" s="31"/>
      <c r="I4054" s="56"/>
      <c r="J4054" s="56"/>
      <c r="K4054" s="82" t="str">
        <f>"Credit Memo"</f>
        <v>Credit Memo</v>
      </c>
      <c r="L4054" s="83" t="str">
        <f>"SC_101162"</f>
        <v>SC_101162</v>
      </c>
      <c r="M4054" s="84">
        <v>43043</v>
      </c>
      <c r="N4054" s="85">
        <f t="shared" si="1229"/>
        <v>769</v>
      </c>
      <c r="O4054" s="86">
        <f t="shared" si="1230"/>
        <v>-33.590000000000003</v>
      </c>
      <c r="P4054" s="86">
        <f t="shared" si="1231"/>
        <v>0</v>
      </c>
      <c r="Q4054" s="86">
        <f t="shared" si="1232"/>
        <v>0</v>
      </c>
      <c r="R4054" s="86">
        <f t="shared" si="1233"/>
        <v>0</v>
      </c>
      <c r="S4054" s="86">
        <f t="shared" si="1234"/>
        <v>0</v>
      </c>
      <c r="T4054" s="86">
        <f t="shared" si="1235"/>
        <v>-33.590000000000003</v>
      </c>
      <c r="U4054" s="87">
        <v>-33.590000000000003</v>
      </c>
    </row>
    <row r="4055" spans="1:22" s="22" customFormat="1" ht="20.399999999999999" collapsed="1" x14ac:dyDescent="0.45">
      <c r="A4055" s="12" t="s">
        <v>327</v>
      </c>
      <c r="B4055" s="19"/>
      <c r="C4055" s="12"/>
      <c r="D4055" s="12"/>
      <c r="E4055" s="23"/>
      <c r="F4055" s="23"/>
      <c r="G4055" s="23"/>
      <c r="H4055" s="23"/>
      <c r="I4055" s="49"/>
      <c r="J4055" s="88"/>
      <c r="K4055" s="88"/>
      <c r="L4055" s="89"/>
      <c r="M4055" s="89"/>
      <c r="N4055" s="89"/>
      <c r="O4055" s="89"/>
      <c r="P4055" s="89"/>
      <c r="Q4055" s="90"/>
      <c r="R4055" s="90"/>
      <c r="S4055" s="91"/>
      <c r="T4055" s="92"/>
      <c r="U4055" s="92"/>
    </row>
    <row r="4056" spans="1:22" s="22" customFormat="1" ht="20.399999999999999" x14ac:dyDescent="0.45">
      <c r="A4056" s="12" t="s">
        <v>327</v>
      </c>
      <c r="B4056" s="19"/>
      <c r="C4056" s="12"/>
      <c r="D4056" s="12"/>
      <c r="E4056" s="23"/>
      <c r="F4056" s="23"/>
      <c r="G4056" s="23"/>
      <c r="H4056" s="23"/>
      <c r="I4056" s="49"/>
      <c r="J4056" s="88"/>
      <c r="K4056" s="88"/>
      <c r="L4056" s="89"/>
      <c r="M4056" s="89"/>
      <c r="N4056" s="89"/>
      <c r="O4056" s="89"/>
      <c r="P4056" s="89"/>
      <c r="Q4056" s="90"/>
      <c r="R4056" s="90"/>
      <c r="S4056" s="91"/>
      <c r="T4056" s="92"/>
      <c r="U4056" s="92"/>
    </row>
    <row r="4057" spans="1:22" s="26" customFormat="1" ht="24.6" x14ac:dyDescent="0.55000000000000004">
      <c r="A4057" s="27" t="s">
        <v>327</v>
      </c>
      <c r="B4057" s="28"/>
      <c r="C4057" s="27" t="str">
        <f>"""NAV Direct"",""CRONUS JetCorp USA"",""18"",""1"",""C100115"""</f>
        <v>"NAV Direct","CRONUS JetCorp USA","18","1","C100115"</v>
      </c>
      <c r="D4057" s="27"/>
      <c r="E4057" s="28" t="str">
        <f>H4057</f>
        <v>C100115</v>
      </c>
      <c r="F4057" s="28"/>
      <c r="G4057" s="28"/>
      <c r="H4057" s="28" t="str">
        <f>"C100115"</f>
        <v>C100115</v>
      </c>
      <c r="I4057" s="116" t="str">
        <f>"C100115  -  ISA Tech"</f>
        <v>C100115  -  ISA Tech</v>
      </c>
      <c r="J4057" s="117" t="str">
        <f>""</f>
        <v/>
      </c>
      <c r="K4057" s="118"/>
      <c r="L4057" s="119">
        <f>SUBTOTAL(3,L4058:L4106)</f>
        <v>45</v>
      </c>
      <c r="M4057" s="118"/>
      <c r="N4057" s="118"/>
      <c r="O4057" s="120">
        <f t="shared" ref="O4057:T4057" si="1236">SUBTOTAL(9,O4058:O4106)</f>
        <v>350217.67999999988</v>
      </c>
      <c r="P4057" s="120">
        <f t="shared" si="1236"/>
        <v>9683.4</v>
      </c>
      <c r="Q4057" s="120">
        <f t="shared" si="1236"/>
        <v>11980.74</v>
      </c>
      <c r="R4057" s="120">
        <f t="shared" si="1236"/>
        <v>0</v>
      </c>
      <c r="S4057" s="120">
        <f t="shared" si="1236"/>
        <v>0</v>
      </c>
      <c r="T4057" s="120">
        <f t="shared" si="1236"/>
        <v>328553.53999999986</v>
      </c>
      <c r="U4057" s="81"/>
    </row>
    <row r="4058" spans="1:22" s="26" customFormat="1" ht="24.6" x14ac:dyDescent="0.55000000000000004">
      <c r="A4058" s="27" t="s">
        <v>327</v>
      </c>
      <c r="B4058" s="28"/>
      <c r="C4058" s="27" t="str">
        <f>C4057</f>
        <v>"NAV Direct","CRONUS JetCorp USA","18","1","C100115"</v>
      </c>
      <c r="D4058" s="27"/>
      <c r="E4058" s="28" t="str">
        <f>E4057</f>
        <v>C100115</v>
      </c>
      <c r="F4058" s="28"/>
      <c r="G4058" s="28"/>
      <c r="H4058" s="28"/>
      <c r="I4058" s="121" t="str">
        <f>"Contact: Israfel Ravenblack"</f>
        <v>Contact: Israfel Ravenblack</v>
      </c>
      <c r="J4058" s="121"/>
      <c r="K4058" s="122"/>
      <c r="L4058" s="123"/>
      <c r="M4058" s="123"/>
      <c r="N4058" s="124"/>
      <c r="O4058" s="124"/>
      <c r="P4058" s="123"/>
      <c r="Q4058" s="125"/>
      <c r="R4058" s="126"/>
      <c r="S4058" s="126"/>
      <c r="T4058" s="125"/>
      <c r="U4058" s="81"/>
    </row>
    <row r="4059" spans="1:22" s="26" customFormat="1" ht="24.6" x14ac:dyDescent="0.55000000000000004">
      <c r="A4059" s="27" t="s">
        <v>327</v>
      </c>
      <c r="B4059" s="28"/>
      <c r="C4059" s="27" t="str">
        <f>C4058</f>
        <v>"NAV Direct","CRONUS JetCorp USA","18","1","C100115"</v>
      </c>
      <c r="D4059" s="27"/>
      <c r="E4059" s="28" t="str">
        <f>E4058</f>
        <v>C100115</v>
      </c>
      <c r="F4059" s="28"/>
      <c r="G4059" s="28"/>
      <c r="H4059" s="28"/>
      <c r="I4059" s="121" t="str">
        <f>"ISA Tech@Cronus.com"</f>
        <v>ISA Tech@Cronus.com</v>
      </c>
      <c r="J4059" s="121"/>
      <c r="K4059" s="122"/>
      <c r="L4059" s="124"/>
      <c r="M4059" s="124"/>
      <c r="N4059" s="124"/>
      <c r="O4059" s="124"/>
      <c r="P4059" s="123"/>
      <c r="Q4059" s="125"/>
      <c r="R4059" s="126"/>
      <c r="S4059" s="126"/>
      <c r="T4059" s="125"/>
      <c r="U4059" s="81"/>
    </row>
    <row r="4060" spans="1:22" ht="12.75" hidden="1" customHeight="1" outlineLevel="1" x14ac:dyDescent="0.45">
      <c r="A4060" s="12" t="s">
        <v>328</v>
      </c>
      <c r="B4060" s="19"/>
      <c r="E4060" s="19"/>
      <c r="F4060" s="19"/>
      <c r="G4060" s="19"/>
      <c r="H4060" s="19"/>
      <c r="I4060" s="61"/>
      <c r="J4060" s="61"/>
      <c r="K4060" s="61"/>
      <c r="L4060" s="61"/>
      <c r="M4060" s="61"/>
      <c r="N4060" s="61"/>
      <c r="O4060" s="61"/>
      <c r="P4060" s="61"/>
      <c r="Q4060" s="61"/>
      <c r="R4060" s="61"/>
      <c r="S4060" s="61"/>
      <c r="T4060" s="61"/>
      <c r="U4060" s="61"/>
      <c r="V4060" s="21"/>
    </row>
    <row r="4061" spans="1:22" s="30" customFormat="1" ht="24.6" hidden="1" outlineLevel="1" x14ac:dyDescent="0.55000000000000004">
      <c r="A4061" s="27" t="s">
        <v>327</v>
      </c>
      <c r="B4061" s="28"/>
      <c r="C4061" s="27"/>
      <c r="D4061" s="27" t="str">
        <f>"""NAV Direct"",""CRONUS JetCorp USA"",""21"",""1"",""131364"""</f>
        <v>"NAV Direct","CRONUS JetCorp USA","21","1","131364"</v>
      </c>
      <c r="E4061" s="31" t="str">
        <f t="shared" ref="E4061:E4105" si="1237">E4059</f>
        <v>C100115</v>
      </c>
      <c r="F4061" s="31"/>
      <c r="G4061" s="31"/>
      <c r="H4061" s="31"/>
      <c r="I4061" s="56"/>
      <c r="J4061" s="56"/>
      <c r="K4061" s="82" t="str">
        <f t="shared" ref="K4061:K4096" si="1238">"Invoice"</f>
        <v>Invoice</v>
      </c>
      <c r="L4061" s="83" t="str">
        <f>"SI_107037"</f>
        <v>SI_107037</v>
      </c>
      <c r="M4061" s="84">
        <v>42339</v>
      </c>
      <c r="N4061" s="85">
        <f t="shared" ref="N4061:N4105" si="1239">StartDate-$M4061+1</f>
        <v>1473</v>
      </c>
      <c r="O4061" s="86">
        <f t="shared" ref="O4061:O4105" si="1240">SUM(P4061:T4061)</f>
        <v>8678.9600000000009</v>
      </c>
      <c r="P4061" s="86">
        <f t="shared" ref="P4061:P4105" si="1241">IF($M4061&gt;=$P$18,U4061,0)</f>
        <v>0</v>
      </c>
      <c r="Q4061" s="86">
        <f t="shared" ref="Q4061:Q4105" si="1242">IF(AND($M4061&gt;=$Q$16,$M4061&lt;=$Q$18),U4061,0)</f>
        <v>0</v>
      </c>
      <c r="R4061" s="86">
        <f t="shared" ref="R4061:R4105" si="1243">IF(AND($M4061&gt;=$R$16,$M4061&lt;=$R$18),U4061,0)</f>
        <v>0</v>
      </c>
      <c r="S4061" s="86">
        <f t="shared" ref="S4061:S4105" si="1244">IF(AND($M4061&gt;=$S$16,$M4061&lt;=$S$18),U4061,0)</f>
        <v>0</v>
      </c>
      <c r="T4061" s="86">
        <f t="shared" ref="T4061:T4105" si="1245">IF($M4061&lt;=$T$18,U4061,0)</f>
        <v>8678.9600000000009</v>
      </c>
      <c r="U4061" s="87">
        <v>8678.9600000000009</v>
      </c>
    </row>
    <row r="4062" spans="1:22" s="30" customFormat="1" ht="24.6" hidden="1" outlineLevel="1" x14ac:dyDescent="0.55000000000000004">
      <c r="A4062" s="27" t="s">
        <v>327</v>
      </c>
      <c r="B4062" s="28"/>
      <c r="C4062" s="27"/>
      <c r="D4062" s="27" t="str">
        <f>"""NAV Direct"",""CRONUS JetCorp USA"",""21"",""1"",""131938"""</f>
        <v>"NAV Direct","CRONUS JetCorp USA","21","1","131938"</v>
      </c>
      <c r="E4062" s="31">
        <f t="shared" si="1237"/>
        <v>0</v>
      </c>
      <c r="F4062" s="31"/>
      <c r="G4062" s="31"/>
      <c r="H4062" s="31"/>
      <c r="I4062" s="56"/>
      <c r="J4062" s="56"/>
      <c r="K4062" s="82" t="str">
        <f t="shared" si="1238"/>
        <v>Invoice</v>
      </c>
      <c r="L4062" s="83" t="str">
        <f>"SI_107047"</f>
        <v>SI_107047</v>
      </c>
      <c r="M4062" s="84">
        <v>42366</v>
      </c>
      <c r="N4062" s="85">
        <f t="shared" si="1239"/>
        <v>1446</v>
      </c>
      <c r="O4062" s="86">
        <f t="shared" si="1240"/>
        <v>7087.84</v>
      </c>
      <c r="P4062" s="86">
        <f t="shared" si="1241"/>
        <v>0</v>
      </c>
      <c r="Q4062" s="86">
        <f t="shared" si="1242"/>
        <v>0</v>
      </c>
      <c r="R4062" s="86">
        <f t="shared" si="1243"/>
        <v>0</v>
      </c>
      <c r="S4062" s="86">
        <f t="shared" si="1244"/>
        <v>0</v>
      </c>
      <c r="T4062" s="86">
        <f t="shared" si="1245"/>
        <v>7087.84</v>
      </c>
      <c r="U4062" s="87">
        <v>7087.84</v>
      </c>
    </row>
    <row r="4063" spans="1:22" s="30" customFormat="1" ht="24.6" hidden="1" outlineLevel="1" x14ac:dyDescent="0.55000000000000004">
      <c r="A4063" s="27" t="s">
        <v>327</v>
      </c>
      <c r="B4063" s="28"/>
      <c r="C4063" s="27"/>
      <c r="D4063" s="27" t="str">
        <f>"""NAV Direct"",""CRONUS JetCorp USA"",""21"",""1"",""384409"""</f>
        <v>"NAV Direct","CRONUS JetCorp USA","21","1","384409"</v>
      </c>
      <c r="E4063" s="31" t="str">
        <f t="shared" si="1237"/>
        <v>C100115</v>
      </c>
      <c r="F4063" s="31"/>
      <c r="G4063" s="31"/>
      <c r="H4063" s="31"/>
      <c r="I4063" s="56"/>
      <c r="J4063" s="56"/>
      <c r="K4063" s="82" t="str">
        <f t="shared" si="1238"/>
        <v>Invoice</v>
      </c>
      <c r="L4063" s="83" t="str">
        <f>"SI_111933"</f>
        <v>SI_111933</v>
      </c>
      <c r="M4063" s="84">
        <v>42441</v>
      </c>
      <c r="N4063" s="85">
        <f t="shared" si="1239"/>
        <v>1371</v>
      </c>
      <c r="O4063" s="86">
        <f t="shared" si="1240"/>
        <v>12442.550000000001</v>
      </c>
      <c r="P4063" s="86">
        <f t="shared" si="1241"/>
        <v>0</v>
      </c>
      <c r="Q4063" s="86">
        <f t="shared" si="1242"/>
        <v>0</v>
      </c>
      <c r="R4063" s="86">
        <f t="shared" si="1243"/>
        <v>0</v>
      </c>
      <c r="S4063" s="86">
        <f t="shared" si="1244"/>
        <v>0</v>
      </c>
      <c r="T4063" s="86">
        <f t="shared" si="1245"/>
        <v>12442.550000000001</v>
      </c>
      <c r="U4063" s="87">
        <v>12442.550000000001</v>
      </c>
    </row>
    <row r="4064" spans="1:22" s="30" customFormat="1" ht="24.6" hidden="1" outlineLevel="1" x14ac:dyDescent="0.55000000000000004">
      <c r="A4064" s="27" t="s">
        <v>327</v>
      </c>
      <c r="B4064" s="28"/>
      <c r="C4064" s="27"/>
      <c r="D4064" s="27" t="str">
        <f>"""NAV Direct"",""CRONUS JetCorp USA"",""21"",""1"",""384472"""</f>
        <v>"NAV Direct","CRONUS JetCorp USA","21","1","384472"</v>
      </c>
      <c r="E4064" s="31">
        <f t="shared" si="1237"/>
        <v>0</v>
      </c>
      <c r="F4064" s="31"/>
      <c r="G4064" s="31"/>
      <c r="H4064" s="31"/>
      <c r="I4064" s="56"/>
      <c r="J4064" s="56"/>
      <c r="K4064" s="82" t="str">
        <f t="shared" si="1238"/>
        <v>Invoice</v>
      </c>
      <c r="L4064" s="83" t="str">
        <f>"SI_111934"</f>
        <v>SI_111934</v>
      </c>
      <c r="M4064" s="84">
        <v>42459</v>
      </c>
      <c r="N4064" s="85">
        <f t="shared" si="1239"/>
        <v>1353</v>
      </c>
      <c r="O4064" s="86">
        <f t="shared" si="1240"/>
        <v>12183.02</v>
      </c>
      <c r="P4064" s="86">
        <f t="shared" si="1241"/>
        <v>0</v>
      </c>
      <c r="Q4064" s="86">
        <f t="shared" si="1242"/>
        <v>0</v>
      </c>
      <c r="R4064" s="86">
        <f t="shared" si="1243"/>
        <v>0</v>
      </c>
      <c r="S4064" s="86">
        <f t="shared" si="1244"/>
        <v>0</v>
      </c>
      <c r="T4064" s="86">
        <f t="shared" si="1245"/>
        <v>12183.02</v>
      </c>
      <c r="U4064" s="87">
        <v>12183.02</v>
      </c>
    </row>
    <row r="4065" spans="1:21" s="30" customFormat="1" ht="24.6" hidden="1" outlineLevel="1" x14ac:dyDescent="0.55000000000000004">
      <c r="A4065" s="27" t="s">
        <v>327</v>
      </c>
      <c r="B4065" s="28"/>
      <c r="C4065" s="27"/>
      <c r="D4065" s="27" t="str">
        <f>"""NAV Direct"",""CRONUS JetCorp USA"",""21"",""1"",""385281"""</f>
        <v>"NAV Direct","CRONUS JetCorp USA","21","1","385281"</v>
      </c>
      <c r="E4065" s="31" t="str">
        <f t="shared" si="1237"/>
        <v>C100115</v>
      </c>
      <c r="F4065" s="31"/>
      <c r="G4065" s="31"/>
      <c r="H4065" s="31"/>
      <c r="I4065" s="56"/>
      <c r="J4065" s="56"/>
      <c r="K4065" s="82" t="str">
        <f t="shared" si="1238"/>
        <v>Invoice</v>
      </c>
      <c r="L4065" s="83" t="str">
        <f>"SI_111949"</f>
        <v>SI_111949</v>
      </c>
      <c r="M4065" s="84">
        <v>42531</v>
      </c>
      <c r="N4065" s="85">
        <f t="shared" si="1239"/>
        <v>1281</v>
      </c>
      <c r="O4065" s="86">
        <f t="shared" si="1240"/>
        <v>9651.34</v>
      </c>
      <c r="P4065" s="86">
        <f t="shared" si="1241"/>
        <v>0</v>
      </c>
      <c r="Q4065" s="86">
        <f t="shared" si="1242"/>
        <v>0</v>
      </c>
      <c r="R4065" s="86">
        <f t="shared" si="1243"/>
        <v>0</v>
      </c>
      <c r="S4065" s="86">
        <f t="shared" si="1244"/>
        <v>0</v>
      </c>
      <c r="T4065" s="86">
        <f t="shared" si="1245"/>
        <v>9651.34</v>
      </c>
      <c r="U4065" s="87">
        <v>9651.34</v>
      </c>
    </row>
    <row r="4066" spans="1:21" s="30" customFormat="1" ht="24.6" hidden="1" outlineLevel="1" x14ac:dyDescent="0.55000000000000004">
      <c r="A4066" s="27" t="s">
        <v>327</v>
      </c>
      <c r="B4066" s="28"/>
      <c r="C4066" s="27"/>
      <c r="D4066" s="27" t="str">
        <f>"""NAV Direct"",""CRONUS JetCorp USA"",""21"",""1"",""385740"""</f>
        <v>"NAV Direct","CRONUS JetCorp USA","21","1","385740"</v>
      </c>
      <c r="E4066" s="31">
        <f t="shared" si="1237"/>
        <v>0</v>
      </c>
      <c r="F4066" s="31"/>
      <c r="G4066" s="31"/>
      <c r="H4066" s="31"/>
      <c r="I4066" s="56"/>
      <c r="J4066" s="56"/>
      <c r="K4066" s="82" t="str">
        <f t="shared" si="1238"/>
        <v>Invoice</v>
      </c>
      <c r="L4066" s="83" t="str">
        <f>"SI_111958"</f>
        <v>SI_111958</v>
      </c>
      <c r="M4066" s="84">
        <v>42572</v>
      </c>
      <c r="N4066" s="85">
        <f t="shared" si="1239"/>
        <v>1240</v>
      </c>
      <c r="O4066" s="86">
        <f t="shared" si="1240"/>
        <v>9797.48</v>
      </c>
      <c r="P4066" s="86">
        <f t="shared" si="1241"/>
        <v>0</v>
      </c>
      <c r="Q4066" s="86">
        <f t="shared" si="1242"/>
        <v>0</v>
      </c>
      <c r="R4066" s="86">
        <f t="shared" si="1243"/>
        <v>0</v>
      </c>
      <c r="S4066" s="86">
        <f t="shared" si="1244"/>
        <v>0</v>
      </c>
      <c r="T4066" s="86">
        <f t="shared" si="1245"/>
        <v>9797.48</v>
      </c>
      <c r="U4066" s="87">
        <v>9797.48</v>
      </c>
    </row>
    <row r="4067" spans="1:21" s="30" customFormat="1" ht="24.6" hidden="1" outlineLevel="1" x14ac:dyDescent="0.55000000000000004">
      <c r="A4067" s="27" t="s">
        <v>327</v>
      </c>
      <c r="B4067" s="28"/>
      <c r="C4067" s="27"/>
      <c r="D4067" s="27" t="str">
        <f>"""NAV Direct"",""CRONUS JetCorp USA"",""21"",""1"",""386453"""</f>
        <v>"NAV Direct","CRONUS JetCorp USA","21","1","386453"</v>
      </c>
      <c r="E4067" s="31" t="str">
        <f t="shared" si="1237"/>
        <v>C100115</v>
      </c>
      <c r="F4067" s="31"/>
      <c r="G4067" s="31"/>
      <c r="H4067" s="31"/>
      <c r="I4067" s="56"/>
      <c r="J4067" s="56"/>
      <c r="K4067" s="82" t="str">
        <f t="shared" si="1238"/>
        <v>Invoice</v>
      </c>
      <c r="L4067" s="83" t="str">
        <f>"SI_111973"</f>
        <v>SI_111973</v>
      </c>
      <c r="M4067" s="84">
        <v>42634</v>
      </c>
      <c r="N4067" s="85">
        <f t="shared" si="1239"/>
        <v>1178</v>
      </c>
      <c r="O4067" s="86">
        <f t="shared" si="1240"/>
        <v>9654.1999999999989</v>
      </c>
      <c r="P4067" s="86">
        <f t="shared" si="1241"/>
        <v>0</v>
      </c>
      <c r="Q4067" s="86">
        <f t="shared" si="1242"/>
        <v>0</v>
      </c>
      <c r="R4067" s="86">
        <f t="shared" si="1243"/>
        <v>0</v>
      </c>
      <c r="S4067" s="86">
        <f t="shared" si="1244"/>
        <v>0</v>
      </c>
      <c r="T4067" s="86">
        <f t="shared" si="1245"/>
        <v>9654.1999999999989</v>
      </c>
      <c r="U4067" s="87">
        <v>9654.1999999999989</v>
      </c>
    </row>
    <row r="4068" spans="1:21" s="30" customFormat="1" ht="24.6" hidden="1" outlineLevel="1" x14ac:dyDescent="0.55000000000000004">
      <c r="A4068" s="27" t="s">
        <v>327</v>
      </c>
      <c r="B4068" s="28"/>
      <c r="C4068" s="27"/>
      <c r="D4068" s="27" t="str">
        <f>"""NAV Direct"",""CRONUS JetCorp USA"",""21"",""1"",""386506"""</f>
        <v>"NAV Direct","CRONUS JetCorp USA","21","1","386506"</v>
      </c>
      <c r="E4068" s="31">
        <f t="shared" si="1237"/>
        <v>0</v>
      </c>
      <c r="F4068" s="31"/>
      <c r="G4068" s="31"/>
      <c r="H4068" s="31"/>
      <c r="I4068" s="56"/>
      <c r="J4068" s="56"/>
      <c r="K4068" s="82" t="str">
        <f t="shared" si="1238"/>
        <v>Invoice</v>
      </c>
      <c r="L4068" s="83" t="str">
        <f>"SI_111974"</f>
        <v>SI_111974</v>
      </c>
      <c r="M4068" s="84">
        <v>42667</v>
      </c>
      <c r="N4068" s="85">
        <f t="shared" si="1239"/>
        <v>1145</v>
      </c>
      <c r="O4068" s="86">
        <f t="shared" si="1240"/>
        <v>10032.81</v>
      </c>
      <c r="P4068" s="86">
        <f t="shared" si="1241"/>
        <v>0</v>
      </c>
      <c r="Q4068" s="86">
        <f t="shared" si="1242"/>
        <v>0</v>
      </c>
      <c r="R4068" s="86">
        <f t="shared" si="1243"/>
        <v>0</v>
      </c>
      <c r="S4068" s="86">
        <f t="shared" si="1244"/>
        <v>0</v>
      </c>
      <c r="T4068" s="86">
        <f t="shared" si="1245"/>
        <v>10032.81</v>
      </c>
      <c r="U4068" s="87">
        <v>10032.81</v>
      </c>
    </row>
    <row r="4069" spans="1:21" s="30" customFormat="1" ht="24.6" hidden="1" outlineLevel="1" x14ac:dyDescent="0.55000000000000004">
      <c r="A4069" s="27" t="s">
        <v>327</v>
      </c>
      <c r="B4069" s="28"/>
      <c r="C4069" s="27"/>
      <c r="D4069" s="27" t="str">
        <f>"""NAV Direct"",""CRONUS JetCorp USA"",""21"",""1"",""386808"""</f>
        <v>"NAV Direct","CRONUS JetCorp USA","21","1","386808"</v>
      </c>
      <c r="E4069" s="31" t="str">
        <f t="shared" si="1237"/>
        <v>C100115</v>
      </c>
      <c r="F4069" s="31"/>
      <c r="G4069" s="31"/>
      <c r="H4069" s="31"/>
      <c r="I4069" s="56"/>
      <c r="J4069" s="56"/>
      <c r="K4069" s="82" t="str">
        <f t="shared" si="1238"/>
        <v>Invoice</v>
      </c>
      <c r="L4069" s="83" t="str">
        <f>"SI_111980"</f>
        <v>SI_111980</v>
      </c>
      <c r="M4069" s="84">
        <v>42689</v>
      </c>
      <c r="N4069" s="85">
        <f t="shared" si="1239"/>
        <v>1123</v>
      </c>
      <c r="O4069" s="86">
        <f t="shared" si="1240"/>
        <v>10102.91</v>
      </c>
      <c r="P4069" s="86">
        <f t="shared" si="1241"/>
        <v>0</v>
      </c>
      <c r="Q4069" s="86">
        <f t="shared" si="1242"/>
        <v>0</v>
      </c>
      <c r="R4069" s="86">
        <f t="shared" si="1243"/>
        <v>0</v>
      </c>
      <c r="S4069" s="86">
        <f t="shared" si="1244"/>
        <v>0</v>
      </c>
      <c r="T4069" s="86">
        <f t="shared" si="1245"/>
        <v>10102.91</v>
      </c>
      <c r="U4069" s="87">
        <v>10102.91</v>
      </c>
    </row>
    <row r="4070" spans="1:21" s="30" customFormat="1" ht="24.6" hidden="1" outlineLevel="1" x14ac:dyDescent="0.55000000000000004">
      <c r="A4070" s="27" t="s">
        <v>327</v>
      </c>
      <c r="B4070" s="28"/>
      <c r="C4070" s="27"/>
      <c r="D4070" s="27" t="str">
        <f>"""NAV Direct"",""CRONUS JetCorp USA"",""21"",""1"",""387942"""</f>
        <v>"NAV Direct","CRONUS JetCorp USA","21","1","387942"</v>
      </c>
      <c r="E4070" s="31">
        <f t="shared" si="1237"/>
        <v>0</v>
      </c>
      <c r="F4070" s="31"/>
      <c r="G4070" s="31"/>
      <c r="H4070" s="31"/>
      <c r="I4070" s="56"/>
      <c r="J4070" s="56"/>
      <c r="K4070" s="82" t="str">
        <f t="shared" si="1238"/>
        <v>Invoice</v>
      </c>
      <c r="L4070" s="83" t="str">
        <f>"SI_112003"</f>
        <v>SI_112003</v>
      </c>
      <c r="M4070" s="84">
        <v>42791</v>
      </c>
      <c r="N4070" s="85">
        <f t="shared" si="1239"/>
        <v>1021</v>
      </c>
      <c r="O4070" s="86">
        <f t="shared" si="1240"/>
        <v>11313.74</v>
      </c>
      <c r="P4070" s="86">
        <f t="shared" si="1241"/>
        <v>0</v>
      </c>
      <c r="Q4070" s="86">
        <f t="shared" si="1242"/>
        <v>0</v>
      </c>
      <c r="R4070" s="86">
        <f t="shared" si="1243"/>
        <v>0</v>
      </c>
      <c r="S4070" s="86">
        <f t="shared" si="1244"/>
        <v>0</v>
      </c>
      <c r="T4070" s="86">
        <f t="shared" si="1245"/>
        <v>11313.74</v>
      </c>
      <c r="U4070" s="87">
        <v>11313.74</v>
      </c>
    </row>
    <row r="4071" spans="1:21" s="30" customFormat="1" ht="24.6" hidden="1" outlineLevel="1" x14ac:dyDescent="0.55000000000000004">
      <c r="A4071" s="27" t="s">
        <v>327</v>
      </c>
      <c r="B4071" s="28"/>
      <c r="C4071" s="27"/>
      <c r="D4071" s="27" t="str">
        <f>"""NAV Direct"",""CRONUS JetCorp USA"",""21"",""1"",""388477"""</f>
        <v>"NAV Direct","CRONUS JetCorp USA","21","1","388477"</v>
      </c>
      <c r="E4071" s="31" t="str">
        <f t="shared" si="1237"/>
        <v>C100115</v>
      </c>
      <c r="F4071" s="31"/>
      <c r="G4071" s="31"/>
      <c r="H4071" s="31"/>
      <c r="I4071" s="56"/>
      <c r="J4071" s="56"/>
      <c r="K4071" s="82" t="str">
        <f t="shared" si="1238"/>
        <v>Invoice</v>
      </c>
      <c r="L4071" s="83" t="str">
        <f>"SI_112012"</f>
        <v>SI_112012</v>
      </c>
      <c r="M4071" s="84">
        <v>42852</v>
      </c>
      <c r="N4071" s="85">
        <f t="shared" si="1239"/>
        <v>960</v>
      </c>
      <c r="O4071" s="86">
        <f t="shared" si="1240"/>
        <v>11313.69</v>
      </c>
      <c r="P4071" s="86">
        <f t="shared" si="1241"/>
        <v>0</v>
      </c>
      <c r="Q4071" s="86">
        <f t="shared" si="1242"/>
        <v>0</v>
      </c>
      <c r="R4071" s="86">
        <f t="shared" si="1243"/>
        <v>0</v>
      </c>
      <c r="S4071" s="86">
        <f t="shared" si="1244"/>
        <v>0</v>
      </c>
      <c r="T4071" s="86">
        <f t="shared" si="1245"/>
        <v>11313.69</v>
      </c>
      <c r="U4071" s="87">
        <v>11313.69</v>
      </c>
    </row>
    <row r="4072" spans="1:21" s="30" customFormat="1" ht="24.6" hidden="1" outlineLevel="1" x14ac:dyDescent="0.55000000000000004">
      <c r="A4072" s="27" t="s">
        <v>327</v>
      </c>
      <c r="B4072" s="28"/>
      <c r="C4072" s="27"/>
      <c r="D4072" s="27" t="str">
        <f>"""NAV Direct"",""CRONUS JetCorp USA"",""21"",""1"",""389050"""</f>
        <v>"NAV Direct","CRONUS JetCorp USA","21","1","389050"</v>
      </c>
      <c r="E4072" s="31">
        <f t="shared" si="1237"/>
        <v>0</v>
      </c>
      <c r="F4072" s="31"/>
      <c r="G4072" s="31"/>
      <c r="H4072" s="31"/>
      <c r="I4072" s="56"/>
      <c r="J4072" s="56"/>
      <c r="K4072" s="82" t="str">
        <f t="shared" si="1238"/>
        <v>Invoice</v>
      </c>
      <c r="L4072" s="83" t="str">
        <f>"SI_112023"</f>
        <v>SI_112023</v>
      </c>
      <c r="M4072" s="84">
        <v>42887</v>
      </c>
      <c r="N4072" s="85">
        <f t="shared" si="1239"/>
        <v>925</v>
      </c>
      <c r="O4072" s="86">
        <f t="shared" si="1240"/>
        <v>11411.06</v>
      </c>
      <c r="P4072" s="86">
        <f t="shared" si="1241"/>
        <v>0</v>
      </c>
      <c r="Q4072" s="86">
        <f t="shared" si="1242"/>
        <v>0</v>
      </c>
      <c r="R4072" s="86">
        <f t="shared" si="1243"/>
        <v>0</v>
      </c>
      <c r="S4072" s="86">
        <f t="shared" si="1244"/>
        <v>0</v>
      </c>
      <c r="T4072" s="86">
        <f t="shared" si="1245"/>
        <v>11411.06</v>
      </c>
      <c r="U4072" s="87">
        <v>11411.06</v>
      </c>
    </row>
    <row r="4073" spans="1:21" s="30" customFormat="1" ht="24.6" hidden="1" outlineLevel="1" x14ac:dyDescent="0.55000000000000004">
      <c r="A4073" s="27" t="s">
        <v>327</v>
      </c>
      <c r="B4073" s="28"/>
      <c r="C4073" s="27"/>
      <c r="D4073" s="27" t="str">
        <f>"""NAV Direct"",""CRONUS JetCorp USA"",""21"",""1"",""389097"""</f>
        <v>"NAV Direct","CRONUS JetCorp USA","21","1","389097"</v>
      </c>
      <c r="E4073" s="31" t="str">
        <f t="shared" si="1237"/>
        <v>C100115</v>
      </c>
      <c r="F4073" s="31"/>
      <c r="G4073" s="31"/>
      <c r="H4073" s="31"/>
      <c r="I4073" s="56"/>
      <c r="J4073" s="56"/>
      <c r="K4073" s="82" t="str">
        <f t="shared" si="1238"/>
        <v>Invoice</v>
      </c>
      <c r="L4073" s="83" t="str">
        <f>"SI_112024"</f>
        <v>SI_112024</v>
      </c>
      <c r="M4073" s="84">
        <v>42904</v>
      </c>
      <c r="N4073" s="85">
        <f t="shared" si="1239"/>
        <v>908</v>
      </c>
      <c r="O4073" s="86">
        <f t="shared" si="1240"/>
        <v>11331.19</v>
      </c>
      <c r="P4073" s="86">
        <f t="shared" si="1241"/>
        <v>0</v>
      </c>
      <c r="Q4073" s="86">
        <f t="shared" si="1242"/>
        <v>0</v>
      </c>
      <c r="R4073" s="86">
        <f t="shared" si="1243"/>
        <v>0</v>
      </c>
      <c r="S4073" s="86">
        <f t="shared" si="1244"/>
        <v>0</v>
      </c>
      <c r="T4073" s="86">
        <f t="shared" si="1245"/>
        <v>11331.19</v>
      </c>
      <c r="U4073" s="87">
        <v>11331.19</v>
      </c>
    </row>
    <row r="4074" spans="1:21" s="30" customFormat="1" ht="24.6" hidden="1" outlineLevel="1" x14ac:dyDescent="0.55000000000000004">
      <c r="A4074" s="27" t="s">
        <v>327</v>
      </c>
      <c r="B4074" s="28"/>
      <c r="C4074" s="27"/>
      <c r="D4074" s="27" t="str">
        <f>"""NAV Direct"",""CRONUS JetCorp USA"",""21"",""1"",""389480"""</f>
        <v>"NAV Direct","CRONUS JetCorp USA","21","1","389480"</v>
      </c>
      <c r="E4074" s="31">
        <f t="shared" si="1237"/>
        <v>0</v>
      </c>
      <c r="F4074" s="31"/>
      <c r="G4074" s="31"/>
      <c r="H4074" s="31"/>
      <c r="I4074" s="56"/>
      <c r="J4074" s="56"/>
      <c r="K4074" s="82" t="str">
        <f t="shared" si="1238"/>
        <v>Invoice</v>
      </c>
      <c r="L4074" s="83" t="str">
        <f>"SI_112031"</f>
        <v>SI_112031</v>
      </c>
      <c r="M4074" s="84">
        <v>42946</v>
      </c>
      <c r="N4074" s="85">
        <f t="shared" si="1239"/>
        <v>866</v>
      </c>
      <c r="O4074" s="86">
        <f t="shared" si="1240"/>
        <v>9284.32</v>
      </c>
      <c r="P4074" s="86">
        <f t="shared" si="1241"/>
        <v>0</v>
      </c>
      <c r="Q4074" s="86">
        <f t="shared" si="1242"/>
        <v>0</v>
      </c>
      <c r="R4074" s="86">
        <f t="shared" si="1243"/>
        <v>0</v>
      </c>
      <c r="S4074" s="86">
        <f t="shared" si="1244"/>
        <v>0</v>
      </c>
      <c r="T4074" s="86">
        <f t="shared" si="1245"/>
        <v>9284.32</v>
      </c>
      <c r="U4074" s="87">
        <v>9284.32</v>
      </c>
    </row>
    <row r="4075" spans="1:21" s="30" customFormat="1" ht="24.6" hidden="1" outlineLevel="1" x14ac:dyDescent="0.55000000000000004">
      <c r="A4075" s="27" t="s">
        <v>327</v>
      </c>
      <c r="B4075" s="28"/>
      <c r="C4075" s="27"/>
      <c r="D4075" s="27" t="str">
        <f>"""NAV Direct"",""CRONUS JetCorp USA"",""21"",""1"",""389883"""</f>
        <v>"NAV Direct","CRONUS JetCorp USA","21","1","389883"</v>
      </c>
      <c r="E4075" s="31" t="str">
        <f t="shared" si="1237"/>
        <v>C100115</v>
      </c>
      <c r="F4075" s="31"/>
      <c r="G4075" s="31"/>
      <c r="H4075" s="31"/>
      <c r="I4075" s="56"/>
      <c r="J4075" s="56"/>
      <c r="K4075" s="82" t="str">
        <f t="shared" si="1238"/>
        <v>Invoice</v>
      </c>
      <c r="L4075" s="83" t="str">
        <f>"SI_112039"</f>
        <v>SI_112039</v>
      </c>
      <c r="M4075" s="84">
        <v>43011</v>
      </c>
      <c r="N4075" s="85">
        <f t="shared" si="1239"/>
        <v>801</v>
      </c>
      <c r="O4075" s="86">
        <f t="shared" si="1240"/>
        <v>8566.119999999999</v>
      </c>
      <c r="P4075" s="86">
        <f t="shared" si="1241"/>
        <v>0</v>
      </c>
      <c r="Q4075" s="86">
        <f t="shared" si="1242"/>
        <v>0</v>
      </c>
      <c r="R4075" s="86">
        <f t="shared" si="1243"/>
        <v>0</v>
      </c>
      <c r="S4075" s="86">
        <f t="shared" si="1244"/>
        <v>0</v>
      </c>
      <c r="T4075" s="86">
        <f t="shared" si="1245"/>
        <v>8566.119999999999</v>
      </c>
      <c r="U4075" s="87">
        <v>8566.119999999999</v>
      </c>
    </row>
    <row r="4076" spans="1:21" s="30" customFormat="1" ht="24.6" hidden="1" outlineLevel="1" x14ac:dyDescent="0.55000000000000004">
      <c r="A4076" s="27" t="s">
        <v>327</v>
      </c>
      <c r="B4076" s="28"/>
      <c r="C4076" s="27"/>
      <c r="D4076" s="27" t="str">
        <f>"""NAV Direct"",""CRONUS JetCorp USA"",""21"",""1"",""390032"""</f>
        <v>"NAV Direct","CRONUS JetCorp USA","21","1","390032"</v>
      </c>
      <c r="E4076" s="31">
        <f t="shared" si="1237"/>
        <v>0</v>
      </c>
      <c r="F4076" s="31"/>
      <c r="G4076" s="31"/>
      <c r="H4076" s="31"/>
      <c r="I4076" s="56"/>
      <c r="J4076" s="56"/>
      <c r="K4076" s="82" t="str">
        <f t="shared" si="1238"/>
        <v>Invoice</v>
      </c>
      <c r="L4076" s="83" t="str">
        <f>"SI_112042"</f>
        <v>SI_112042</v>
      </c>
      <c r="M4076" s="84">
        <v>43029</v>
      </c>
      <c r="N4076" s="85">
        <f t="shared" si="1239"/>
        <v>783</v>
      </c>
      <c r="O4076" s="86">
        <f t="shared" si="1240"/>
        <v>8473.51</v>
      </c>
      <c r="P4076" s="86">
        <f t="shared" si="1241"/>
        <v>0</v>
      </c>
      <c r="Q4076" s="86">
        <f t="shared" si="1242"/>
        <v>0</v>
      </c>
      <c r="R4076" s="86">
        <f t="shared" si="1243"/>
        <v>0</v>
      </c>
      <c r="S4076" s="86">
        <f t="shared" si="1244"/>
        <v>0</v>
      </c>
      <c r="T4076" s="86">
        <f t="shared" si="1245"/>
        <v>8473.51</v>
      </c>
      <c r="U4076" s="87">
        <v>8473.51</v>
      </c>
    </row>
    <row r="4077" spans="1:21" s="30" customFormat="1" ht="24.6" hidden="1" outlineLevel="1" x14ac:dyDescent="0.55000000000000004">
      <c r="A4077" s="27" t="s">
        <v>327</v>
      </c>
      <c r="B4077" s="28"/>
      <c r="C4077" s="27"/>
      <c r="D4077" s="27" t="str">
        <f>"""NAV Direct"",""CRONUS JetCorp USA"",""21"",""1"",""390457"""</f>
        <v>"NAV Direct","CRONUS JetCorp USA","21","1","390457"</v>
      </c>
      <c r="E4077" s="31" t="str">
        <f t="shared" si="1237"/>
        <v>C100115</v>
      </c>
      <c r="F4077" s="31"/>
      <c r="G4077" s="31"/>
      <c r="H4077" s="31"/>
      <c r="I4077" s="56"/>
      <c r="J4077" s="56"/>
      <c r="K4077" s="82" t="str">
        <f t="shared" si="1238"/>
        <v>Invoice</v>
      </c>
      <c r="L4077" s="83" t="str">
        <f>"SI_112052"</f>
        <v>SI_112052</v>
      </c>
      <c r="M4077" s="84">
        <v>43124</v>
      </c>
      <c r="N4077" s="85">
        <f t="shared" si="1239"/>
        <v>688</v>
      </c>
      <c r="O4077" s="86">
        <f t="shared" si="1240"/>
        <v>8221.3499999999985</v>
      </c>
      <c r="P4077" s="86">
        <f t="shared" si="1241"/>
        <v>0</v>
      </c>
      <c r="Q4077" s="86">
        <f t="shared" si="1242"/>
        <v>0</v>
      </c>
      <c r="R4077" s="86">
        <f t="shared" si="1243"/>
        <v>0</v>
      </c>
      <c r="S4077" s="86">
        <f t="shared" si="1244"/>
        <v>0</v>
      </c>
      <c r="T4077" s="86">
        <f t="shared" si="1245"/>
        <v>8221.3499999999985</v>
      </c>
      <c r="U4077" s="87">
        <v>8221.3499999999985</v>
      </c>
    </row>
    <row r="4078" spans="1:21" s="30" customFormat="1" ht="24.6" hidden="1" outlineLevel="1" x14ac:dyDescent="0.55000000000000004">
      <c r="A4078" s="27" t="s">
        <v>327</v>
      </c>
      <c r="B4078" s="28"/>
      <c r="C4078" s="27"/>
      <c r="D4078" s="27" t="str">
        <f>"""NAV Direct"",""CRONUS JetCorp USA"",""21"",""1"",""390884"""</f>
        <v>"NAV Direct","CRONUS JetCorp USA","21","1","390884"</v>
      </c>
      <c r="E4078" s="31">
        <f t="shared" si="1237"/>
        <v>0</v>
      </c>
      <c r="F4078" s="31"/>
      <c r="G4078" s="31"/>
      <c r="H4078" s="31"/>
      <c r="I4078" s="56"/>
      <c r="J4078" s="56"/>
      <c r="K4078" s="82" t="str">
        <f t="shared" si="1238"/>
        <v>Invoice</v>
      </c>
      <c r="L4078" s="83" t="str">
        <f>"SI_112063"</f>
        <v>SI_112063</v>
      </c>
      <c r="M4078" s="84">
        <v>43209</v>
      </c>
      <c r="N4078" s="85">
        <f t="shared" si="1239"/>
        <v>603</v>
      </c>
      <c r="O4078" s="86">
        <f t="shared" si="1240"/>
        <v>8056.9600000000009</v>
      </c>
      <c r="P4078" s="86">
        <f t="shared" si="1241"/>
        <v>0</v>
      </c>
      <c r="Q4078" s="86">
        <f t="shared" si="1242"/>
        <v>0</v>
      </c>
      <c r="R4078" s="86">
        <f t="shared" si="1243"/>
        <v>0</v>
      </c>
      <c r="S4078" s="86">
        <f t="shared" si="1244"/>
        <v>0</v>
      </c>
      <c r="T4078" s="86">
        <f t="shared" si="1245"/>
        <v>8056.9600000000009</v>
      </c>
      <c r="U4078" s="87">
        <v>8056.9600000000009</v>
      </c>
    </row>
    <row r="4079" spans="1:21" s="30" customFormat="1" ht="24.6" hidden="1" outlineLevel="1" x14ac:dyDescent="0.55000000000000004">
      <c r="A4079" s="27" t="s">
        <v>327</v>
      </c>
      <c r="B4079" s="28"/>
      <c r="C4079" s="27"/>
      <c r="D4079" s="27" t="str">
        <f>"""NAV Direct"",""CRONUS JetCorp USA"",""21"",""1"",""391031"""</f>
        <v>"NAV Direct","CRONUS JetCorp USA","21","1","391031"</v>
      </c>
      <c r="E4079" s="31" t="str">
        <f t="shared" si="1237"/>
        <v>C100115</v>
      </c>
      <c r="F4079" s="31"/>
      <c r="G4079" s="31"/>
      <c r="H4079" s="31"/>
      <c r="I4079" s="56"/>
      <c r="J4079" s="56"/>
      <c r="K4079" s="82" t="str">
        <f t="shared" si="1238"/>
        <v>Invoice</v>
      </c>
      <c r="L4079" s="83" t="str">
        <f>"SI_112066"</f>
        <v>SI_112066</v>
      </c>
      <c r="M4079" s="84">
        <v>43242</v>
      </c>
      <c r="N4079" s="85">
        <f t="shared" si="1239"/>
        <v>570</v>
      </c>
      <c r="O4079" s="86">
        <f t="shared" si="1240"/>
        <v>8282.5</v>
      </c>
      <c r="P4079" s="86">
        <f t="shared" si="1241"/>
        <v>0</v>
      </c>
      <c r="Q4079" s="86">
        <f t="shared" si="1242"/>
        <v>0</v>
      </c>
      <c r="R4079" s="86">
        <f t="shared" si="1243"/>
        <v>0</v>
      </c>
      <c r="S4079" s="86">
        <f t="shared" si="1244"/>
        <v>0</v>
      </c>
      <c r="T4079" s="86">
        <f t="shared" si="1245"/>
        <v>8282.5</v>
      </c>
      <c r="U4079" s="87">
        <v>8282.5</v>
      </c>
    </row>
    <row r="4080" spans="1:21" s="30" customFormat="1" ht="24.6" hidden="1" outlineLevel="1" x14ac:dyDescent="0.55000000000000004">
      <c r="A4080" s="27" t="s">
        <v>327</v>
      </c>
      <c r="B4080" s="28"/>
      <c r="C4080" s="27"/>
      <c r="D4080" s="27" t="str">
        <f>"""NAV Direct"",""CRONUS JetCorp USA"",""21"",""1"",""391523"""</f>
        <v>"NAV Direct","CRONUS JetCorp USA","21","1","391523"</v>
      </c>
      <c r="E4080" s="31">
        <f t="shared" si="1237"/>
        <v>0</v>
      </c>
      <c r="F4080" s="31"/>
      <c r="G4080" s="31"/>
      <c r="H4080" s="31"/>
      <c r="I4080" s="56"/>
      <c r="J4080" s="56"/>
      <c r="K4080" s="82" t="str">
        <f t="shared" si="1238"/>
        <v>Invoice</v>
      </c>
      <c r="L4080" s="83" t="str">
        <f>"SI_112076"</f>
        <v>SI_112076</v>
      </c>
      <c r="M4080" s="84">
        <v>43339</v>
      </c>
      <c r="N4080" s="85">
        <f t="shared" si="1239"/>
        <v>473</v>
      </c>
      <c r="O4080" s="86">
        <f t="shared" si="1240"/>
        <v>10477.49</v>
      </c>
      <c r="P4080" s="86">
        <f t="shared" si="1241"/>
        <v>0</v>
      </c>
      <c r="Q4080" s="86">
        <f t="shared" si="1242"/>
        <v>0</v>
      </c>
      <c r="R4080" s="86">
        <f t="shared" si="1243"/>
        <v>0</v>
      </c>
      <c r="S4080" s="86">
        <f t="shared" si="1244"/>
        <v>0</v>
      </c>
      <c r="T4080" s="86">
        <f t="shared" si="1245"/>
        <v>10477.49</v>
      </c>
      <c r="U4080" s="87">
        <v>10477.49</v>
      </c>
    </row>
    <row r="4081" spans="1:21" s="30" customFormat="1" ht="24.6" hidden="1" outlineLevel="1" x14ac:dyDescent="0.55000000000000004">
      <c r="A4081" s="27" t="s">
        <v>327</v>
      </c>
      <c r="B4081" s="28"/>
      <c r="C4081" s="27"/>
      <c r="D4081" s="27" t="str">
        <f>"""NAV Direct"",""CRONUS JetCorp USA"",""21"",""1"",""392617"""</f>
        <v>"NAV Direct","CRONUS JetCorp USA","21","1","392617"</v>
      </c>
      <c r="E4081" s="31" t="str">
        <f t="shared" si="1237"/>
        <v>C100115</v>
      </c>
      <c r="F4081" s="31"/>
      <c r="G4081" s="31"/>
      <c r="H4081" s="31"/>
      <c r="I4081" s="56"/>
      <c r="J4081" s="56"/>
      <c r="K4081" s="82" t="str">
        <f t="shared" si="1238"/>
        <v>Invoice</v>
      </c>
      <c r="L4081" s="83" t="str">
        <f>"SI_112096"</f>
        <v>SI_112096</v>
      </c>
      <c r="M4081" s="84">
        <v>43436</v>
      </c>
      <c r="N4081" s="85">
        <f t="shared" si="1239"/>
        <v>376</v>
      </c>
      <c r="O4081" s="86">
        <f t="shared" si="1240"/>
        <v>12928.87</v>
      </c>
      <c r="P4081" s="86">
        <f t="shared" si="1241"/>
        <v>0</v>
      </c>
      <c r="Q4081" s="86">
        <f t="shared" si="1242"/>
        <v>0</v>
      </c>
      <c r="R4081" s="86">
        <f t="shared" si="1243"/>
        <v>0</v>
      </c>
      <c r="S4081" s="86">
        <f t="shared" si="1244"/>
        <v>0</v>
      </c>
      <c r="T4081" s="86">
        <f t="shared" si="1245"/>
        <v>12928.87</v>
      </c>
      <c r="U4081" s="87">
        <v>12928.87</v>
      </c>
    </row>
    <row r="4082" spans="1:21" s="30" customFormat="1" ht="24.6" hidden="1" outlineLevel="1" x14ac:dyDescent="0.55000000000000004">
      <c r="A4082" s="27" t="s">
        <v>327</v>
      </c>
      <c r="B4082" s="28"/>
      <c r="C4082" s="27"/>
      <c r="D4082" s="27" t="str">
        <f>"""NAV Direct"",""CRONUS JetCorp USA"",""21"",""1"",""392921"""</f>
        <v>"NAV Direct","CRONUS JetCorp USA","21","1","392921"</v>
      </c>
      <c r="E4082" s="31">
        <f t="shared" si="1237"/>
        <v>0</v>
      </c>
      <c r="F4082" s="31"/>
      <c r="G4082" s="31"/>
      <c r="H4082" s="31"/>
      <c r="I4082" s="56"/>
      <c r="J4082" s="56"/>
      <c r="K4082" s="82" t="str">
        <f t="shared" si="1238"/>
        <v>Invoice</v>
      </c>
      <c r="L4082" s="83" t="str">
        <f>"SI_112102"</f>
        <v>SI_112102</v>
      </c>
      <c r="M4082" s="84">
        <v>43505</v>
      </c>
      <c r="N4082" s="85">
        <f t="shared" si="1239"/>
        <v>307</v>
      </c>
      <c r="O4082" s="86">
        <f t="shared" si="1240"/>
        <v>10527.74</v>
      </c>
      <c r="P4082" s="86">
        <f t="shared" si="1241"/>
        <v>0</v>
      </c>
      <c r="Q4082" s="86">
        <f t="shared" si="1242"/>
        <v>0</v>
      </c>
      <c r="R4082" s="86">
        <f t="shared" si="1243"/>
        <v>0</v>
      </c>
      <c r="S4082" s="86">
        <f t="shared" si="1244"/>
        <v>0</v>
      </c>
      <c r="T4082" s="86">
        <f t="shared" si="1245"/>
        <v>10527.74</v>
      </c>
      <c r="U4082" s="87">
        <v>10527.74</v>
      </c>
    </row>
    <row r="4083" spans="1:21" s="30" customFormat="1" ht="24.6" hidden="1" outlineLevel="1" x14ac:dyDescent="0.55000000000000004">
      <c r="A4083" s="27" t="s">
        <v>327</v>
      </c>
      <c r="B4083" s="28"/>
      <c r="C4083" s="27"/>
      <c r="D4083" s="27" t="str">
        <f>"""NAV Direct"",""CRONUS JetCorp USA"",""21"",""1"",""393241"""</f>
        <v>"NAV Direct","CRONUS JetCorp USA","21","1","393241"</v>
      </c>
      <c r="E4083" s="31" t="str">
        <f t="shared" si="1237"/>
        <v>C100115</v>
      </c>
      <c r="F4083" s="31"/>
      <c r="G4083" s="31"/>
      <c r="H4083" s="31"/>
      <c r="I4083" s="56"/>
      <c r="J4083" s="56"/>
      <c r="K4083" s="82" t="str">
        <f t="shared" si="1238"/>
        <v>Invoice</v>
      </c>
      <c r="L4083" s="83" t="str">
        <f>"SI_112108"</f>
        <v>SI_112108</v>
      </c>
      <c r="M4083" s="84">
        <v>43547</v>
      </c>
      <c r="N4083" s="85">
        <f t="shared" si="1239"/>
        <v>265</v>
      </c>
      <c r="O4083" s="86">
        <f t="shared" si="1240"/>
        <v>13457.93</v>
      </c>
      <c r="P4083" s="86">
        <f t="shared" si="1241"/>
        <v>0</v>
      </c>
      <c r="Q4083" s="86">
        <f t="shared" si="1242"/>
        <v>0</v>
      </c>
      <c r="R4083" s="86">
        <f t="shared" si="1243"/>
        <v>0</v>
      </c>
      <c r="S4083" s="86">
        <f t="shared" si="1244"/>
        <v>0</v>
      </c>
      <c r="T4083" s="86">
        <f t="shared" si="1245"/>
        <v>13457.93</v>
      </c>
      <c r="U4083" s="87">
        <v>13457.93</v>
      </c>
    </row>
    <row r="4084" spans="1:21" s="30" customFormat="1" ht="24.6" hidden="1" outlineLevel="1" x14ac:dyDescent="0.55000000000000004">
      <c r="A4084" s="27" t="s">
        <v>327</v>
      </c>
      <c r="B4084" s="28"/>
      <c r="C4084" s="27"/>
      <c r="D4084" s="27" t="str">
        <f>"""NAV Direct"",""CRONUS JetCorp USA"",""21"",""1"",""395209"""</f>
        <v>"NAV Direct","CRONUS JetCorp USA","21","1","395209"</v>
      </c>
      <c r="E4084" s="31">
        <f t="shared" si="1237"/>
        <v>0</v>
      </c>
      <c r="F4084" s="31"/>
      <c r="G4084" s="31"/>
      <c r="H4084" s="31"/>
      <c r="I4084" s="56"/>
      <c r="J4084" s="56"/>
      <c r="K4084" s="82" t="str">
        <f t="shared" si="1238"/>
        <v>Invoice</v>
      </c>
      <c r="L4084" s="83" t="str">
        <f>"SI_112144"</f>
        <v>SI_112144</v>
      </c>
      <c r="M4084" s="84">
        <v>43712</v>
      </c>
      <c r="N4084" s="85">
        <f t="shared" si="1239"/>
        <v>100</v>
      </c>
      <c r="O4084" s="86">
        <f t="shared" si="1240"/>
        <v>11217.060000000001</v>
      </c>
      <c r="P4084" s="86">
        <f t="shared" si="1241"/>
        <v>0</v>
      </c>
      <c r="Q4084" s="86">
        <f t="shared" si="1242"/>
        <v>0</v>
      </c>
      <c r="R4084" s="86">
        <f t="shared" si="1243"/>
        <v>0</v>
      </c>
      <c r="S4084" s="86">
        <f t="shared" si="1244"/>
        <v>0</v>
      </c>
      <c r="T4084" s="86">
        <f t="shared" si="1245"/>
        <v>11217.060000000001</v>
      </c>
      <c r="U4084" s="87">
        <v>11217.060000000001</v>
      </c>
    </row>
    <row r="4085" spans="1:21" s="30" customFormat="1" ht="24.6" hidden="1" outlineLevel="1" x14ac:dyDescent="0.55000000000000004">
      <c r="A4085" s="27" t="s">
        <v>327</v>
      </c>
      <c r="B4085" s="28"/>
      <c r="C4085" s="27"/>
      <c r="D4085" s="27" t="str">
        <f>"""NAV Direct"",""CRONUS JetCorp USA"",""21"",""1"",""396166"""</f>
        <v>"NAV Direct","CRONUS JetCorp USA","21","1","396166"</v>
      </c>
      <c r="E4085" s="31" t="str">
        <f t="shared" si="1237"/>
        <v>C100115</v>
      </c>
      <c r="F4085" s="31"/>
      <c r="G4085" s="31"/>
      <c r="H4085" s="31"/>
      <c r="I4085" s="56"/>
      <c r="J4085" s="56"/>
      <c r="K4085" s="82" t="str">
        <f t="shared" si="1238"/>
        <v>Invoice</v>
      </c>
      <c r="L4085" s="83" t="str">
        <f>"SI_112161"</f>
        <v>SI_112161</v>
      </c>
      <c r="M4085" s="84">
        <v>43794</v>
      </c>
      <c r="N4085" s="85">
        <f t="shared" si="1239"/>
        <v>18</v>
      </c>
      <c r="O4085" s="86">
        <f t="shared" si="1240"/>
        <v>11980.74</v>
      </c>
      <c r="P4085" s="86">
        <f t="shared" si="1241"/>
        <v>0</v>
      </c>
      <c r="Q4085" s="86">
        <f t="shared" si="1242"/>
        <v>11980.74</v>
      </c>
      <c r="R4085" s="86">
        <f t="shared" si="1243"/>
        <v>0</v>
      </c>
      <c r="S4085" s="86">
        <f t="shared" si="1244"/>
        <v>0</v>
      </c>
      <c r="T4085" s="86">
        <f t="shared" si="1245"/>
        <v>0</v>
      </c>
      <c r="U4085" s="87">
        <v>11980.74</v>
      </c>
    </row>
    <row r="4086" spans="1:21" s="30" customFormat="1" ht="24.6" hidden="1" outlineLevel="1" x14ac:dyDescent="0.55000000000000004">
      <c r="A4086" s="27" t="s">
        <v>327</v>
      </c>
      <c r="B4086" s="28"/>
      <c r="C4086" s="27"/>
      <c r="D4086" s="27" t="str">
        <f>"""NAV Direct"",""CRONUS JetCorp USA"",""21"",""1"",""396494"""</f>
        <v>"NAV Direct","CRONUS JetCorp USA","21","1","396494"</v>
      </c>
      <c r="E4086" s="31">
        <f t="shared" si="1237"/>
        <v>0</v>
      </c>
      <c r="F4086" s="31"/>
      <c r="G4086" s="31"/>
      <c r="H4086" s="31"/>
      <c r="I4086" s="56"/>
      <c r="J4086" s="56"/>
      <c r="K4086" s="82" t="str">
        <f t="shared" si="1238"/>
        <v>Invoice</v>
      </c>
      <c r="L4086" s="83" t="str">
        <f>"SI_112167"</f>
        <v>SI_112167</v>
      </c>
      <c r="M4086" s="84">
        <v>43817</v>
      </c>
      <c r="N4086" s="85">
        <f t="shared" si="1239"/>
        <v>-5</v>
      </c>
      <c r="O4086" s="86">
        <f t="shared" si="1240"/>
        <v>9683.4</v>
      </c>
      <c r="P4086" s="86">
        <f t="shared" si="1241"/>
        <v>9683.4</v>
      </c>
      <c r="Q4086" s="86">
        <f t="shared" si="1242"/>
        <v>0</v>
      </c>
      <c r="R4086" s="86">
        <f t="shared" si="1243"/>
        <v>0</v>
      </c>
      <c r="S4086" s="86">
        <f t="shared" si="1244"/>
        <v>0</v>
      </c>
      <c r="T4086" s="86">
        <f t="shared" si="1245"/>
        <v>0</v>
      </c>
      <c r="U4086" s="87">
        <v>9683.4</v>
      </c>
    </row>
    <row r="4087" spans="1:21" s="30" customFormat="1" ht="24.6" hidden="1" outlineLevel="1" x14ac:dyDescent="0.55000000000000004">
      <c r="A4087" s="27" t="s">
        <v>327</v>
      </c>
      <c r="B4087" s="28"/>
      <c r="C4087" s="27"/>
      <c r="D4087" s="27" t="str">
        <f>"""NAV Direct"",""CRONUS JetCorp USA"",""21"",""1"",""396711"""</f>
        <v>"NAV Direct","CRONUS JetCorp USA","21","1","396711"</v>
      </c>
      <c r="E4087" s="31" t="str">
        <f t="shared" si="1237"/>
        <v>C100115</v>
      </c>
      <c r="F4087" s="31"/>
      <c r="G4087" s="31"/>
      <c r="H4087" s="31"/>
      <c r="I4087" s="56"/>
      <c r="J4087" s="56"/>
      <c r="K4087" s="82" t="str">
        <f t="shared" si="1238"/>
        <v>Invoice</v>
      </c>
      <c r="L4087" s="83" t="str">
        <f>"SI_112172"</f>
        <v>SI_112172</v>
      </c>
      <c r="M4087" s="84">
        <v>42019</v>
      </c>
      <c r="N4087" s="85">
        <f t="shared" si="1239"/>
        <v>1793</v>
      </c>
      <c r="O4087" s="86">
        <f t="shared" si="1240"/>
        <v>9418.14</v>
      </c>
      <c r="P4087" s="86">
        <f t="shared" si="1241"/>
        <v>0</v>
      </c>
      <c r="Q4087" s="86">
        <f t="shared" si="1242"/>
        <v>0</v>
      </c>
      <c r="R4087" s="86">
        <f t="shared" si="1243"/>
        <v>0</v>
      </c>
      <c r="S4087" s="86">
        <f t="shared" si="1244"/>
        <v>0</v>
      </c>
      <c r="T4087" s="86">
        <f t="shared" si="1245"/>
        <v>9418.14</v>
      </c>
      <c r="U4087" s="87">
        <v>9418.14</v>
      </c>
    </row>
    <row r="4088" spans="1:21" s="30" customFormat="1" ht="24.6" hidden="1" outlineLevel="1" x14ac:dyDescent="0.55000000000000004">
      <c r="A4088" s="27" t="s">
        <v>327</v>
      </c>
      <c r="B4088" s="28"/>
      <c r="C4088" s="27"/>
      <c r="D4088" s="27" t="str">
        <f>"""NAV Direct"",""CRONUS JetCorp USA"",""21"",""1"",""397286"""</f>
        <v>"NAV Direct","CRONUS JetCorp USA","21","1","397286"</v>
      </c>
      <c r="E4088" s="31">
        <f t="shared" si="1237"/>
        <v>0</v>
      </c>
      <c r="F4088" s="31"/>
      <c r="G4088" s="31"/>
      <c r="H4088" s="31"/>
      <c r="I4088" s="56"/>
      <c r="J4088" s="56"/>
      <c r="K4088" s="82" t="str">
        <f t="shared" si="1238"/>
        <v>Invoice</v>
      </c>
      <c r="L4088" s="83" t="str">
        <f>"SI_112183"</f>
        <v>SI_112183</v>
      </c>
      <c r="M4088" s="84">
        <v>42059</v>
      </c>
      <c r="N4088" s="85">
        <f t="shared" si="1239"/>
        <v>1753</v>
      </c>
      <c r="O4088" s="86">
        <f t="shared" si="1240"/>
        <v>9887.68</v>
      </c>
      <c r="P4088" s="86">
        <f t="shared" si="1241"/>
        <v>0</v>
      </c>
      <c r="Q4088" s="86">
        <f t="shared" si="1242"/>
        <v>0</v>
      </c>
      <c r="R4088" s="86">
        <f t="shared" si="1243"/>
        <v>0</v>
      </c>
      <c r="S4088" s="86">
        <f t="shared" si="1244"/>
        <v>0</v>
      </c>
      <c r="T4088" s="86">
        <f t="shared" si="1245"/>
        <v>9887.68</v>
      </c>
      <c r="U4088" s="87">
        <v>9887.68</v>
      </c>
    </row>
    <row r="4089" spans="1:21" s="30" customFormat="1" ht="24.6" hidden="1" outlineLevel="1" x14ac:dyDescent="0.55000000000000004">
      <c r="A4089" s="27" t="s">
        <v>327</v>
      </c>
      <c r="B4089" s="28"/>
      <c r="C4089" s="27"/>
      <c r="D4089" s="27" t="str">
        <f>"""NAV Direct"",""CRONUS JetCorp USA"",""21"",""1"",""397470"""</f>
        <v>"NAV Direct","CRONUS JetCorp USA","21","1","397470"</v>
      </c>
      <c r="E4089" s="31" t="str">
        <f t="shared" si="1237"/>
        <v>C100115</v>
      </c>
      <c r="F4089" s="31"/>
      <c r="G4089" s="31"/>
      <c r="H4089" s="31"/>
      <c r="I4089" s="56"/>
      <c r="J4089" s="56"/>
      <c r="K4089" s="82" t="str">
        <f t="shared" si="1238"/>
        <v>Invoice</v>
      </c>
      <c r="L4089" s="83" t="str">
        <f>"SI_112187"</f>
        <v>SI_112187</v>
      </c>
      <c r="M4089" s="84">
        <v>42083</v>
      </c>
      <c r="N4089" s="85">
        <f t="shared" si="1239"/>
        <v>1729</v>
      </c>
      <c r="O4089" s="86">
        <f t="shared" si="1240"/>
        <v>10055.67</v>
      </c>
      <c r="P4089" s="86">
        <f t="shared" si="1241"/>
        <v>0</v>
      </c>
      <c r="Q4089" s="86">
        <f t="shared" si="1242"/>
        <v>0</v>
      </c>
      <c r="R4089" s="86">
        <f t="shared" si="1243"/>
        <v>0</v>
      </c>
      <c r="S4089" s="86">
        <f t="shared" si="1244"/>
        <v>0</v>
      </c>
      <c r="T4089" s="86">
        <f t="shared" si="1245"/>
        <v>10055.67</v>
      </c>
      <c r="U4089" s="87">
        <v>10055.67</v>
      </c>
    </row>
    <row r="4090" spans="1:21" s="30" customFormat="1" ht="24.6" hidden="1" outlineLevel="1" x14ac:dyDescent="0.55000000000000004">
      <c r="A4090" s="27" t="s">
        <v>327</v>
      </c>
      <c r="B4090" s="28"/>
      <c r="C4090" s="27"/>
      <c r="D4090" s="27" t="str">
        <f>"""NAV Direct"",""CRONUS JetCorp USA"",""21"",""1"",""397509"""</f>
        <v>"NAV Direct","CRONUS JetCorp USA","21","1","397509"</v>
      </c>
      <c r="E4090" s="31">
        <f t="shared" si="1237"/>
        <v>0</v>
      </c>
      <c r="F4090" s="31"/>
      <c r="G4090" s="31"/>
      <c r="H4090" s="31"/>
      <c r="I4090" s="56"/>
      <c r="J4090" s="56"/>
      <c r="K4090" s="82" t="str">
        <f t="shared" si="1238"/>
        <v>Invoice</v>
      </c>
      <c r="L4090" s="83" t="str">
        <f>"SI_112188"</f>
        <v>SI_112188</v>
      </c>
      <c r="M4090" s="84">
        <v>42086</v>
      </c>
      <c r="N4090" s="85">
        <f t="shared" si="1239"/>
        <v>1726</v>
      </c>
      <c r="O4090" s="86">
        <f t="shared" si="1240"/>
        <v>9747.9</v>
      </c>
      <c r="P4090" s="86">
        <f t="shared" si="1241"/>
        <v>0</v>
      </c>
      <c r="Q4090" s="86">
        <f t="shared" si="1242"/>
        <v>0</v>
      </c>
      <c r="R4090" s="86">
        <f t="shared" si="1243"/>
        <v>0</v>
      </c>
      <c r="S4090" s="86">
        <f t="shared" si="1244"/>
        <v>0</v>
      </c>
      <c r="T4090" s="86">
        <f t="shared" si="1245"/>
        <v>9747.9</v>
      </c>
      <c r="U4090" s="87">
        <v>9747.9</v>
      </c>
    </row>
    <row r="4091" spans="1:21" s="30" customFormat="1" ht="24.6" hidden="1" outlineLevel="1" x14ac:dyDescent="0.55000000000000004">
      <c r="A4091" s="27" t="s">
        <v>327</v>
      </c>
      <c r="B4091" s="28"/>
      <c r="C4091" s="27"/>
      <c r="D4091" s="27" t="str">
        <f>"""NAV Direct"",""CRONUS JetCorp USA"",""21"",""1"",""398479"""</f>
        <v>"NAV Direct","CRONUS JetCorp USA","21","1","398479"</v>
      </c>
      <c r="E4091" s="31" t="str">
        <f t="shared" si="1237"/>
        <v>C100115</v>
      </c>
      <c r="F4091" s="31"/>
      <c r="G4091" s="31"/>
      <c r="H4091" s="31"/>
      <c r="I4091" s="56"/>
      <c r="J4091" s="56"/>
      <c r="K4091" s="82" t="str">
        <f t="shared" si="1238"/>
        <v>Invoice</v>
      </c>
      <c r="L4091" s="83" t="str">
        <f>"SI_112209"</f>
        <v>SI_112209</v>
      </c>
      <c r="M4091" s="84">
        <v>42180</v>
      </c>
      <c r="N4091" s="85">
        <f t="shared" si="1239"/>
        <v>1632</v>
      </c>
      <c r="O4091" s="86">
        <f t="shared" si="1240"/>
        <v>6427.2699999999995</v>
      </c>
      <c r="P4091" s="86">
        <f t="shared" si="1241"/>
        <v>0</v>
      </c>
      <c r="Q4091" s="86">
        <f t="shared" si="1242"/>
        <v>0</v>
      </c>
      <c r="R4091" s="86">
        <f t="shared" si="1243"/>
        <v>0</v>
      </c>
      <c r="S4091" s="86">
        <f t="shared" si="1244"/>
        <v>0</v>
      </c>
      <c r="T4091" s="86">
        <f t="shared" si="1245"/>
        <v>6427.2699999999995</v>
      </c>
      <c r="U4091" s="87">
        <v>6427.2699999999995</v>
      </c>
    </row>
    <row r="4092" spans="1:21" s="30" customFormat="1" ht="24.6" hidden="1" outlineLevel="1" x14ac:dyDescent="0.55000000000000004">
      <c r="A4092" s="27" t="s">
        <v>327</v>
      </c>
      <c r="B4092" s="28"/>
      <c r="C4092" s="27"/>
      <c r="D4092" s="27" t="str">
        <f>"""NAV Direct"",""CRONUS JetCorp USA"",""21"",""1"",""398577"""</f>
        <v>"NAV Direct","CRONUS JetCorp USA","21","1","398577"</v>
      </c>
      <c r="E4092" s="31">
        <f t="shared" si="1237"/>
        <v>0</v>
      </c>
      <c r="F4092" s="31"/>
      <c r="G4092" s="31"/>
      <c r="H4092" s="31"/>
      <c r="I4092" s="56"/>
      <c r="J4092" s="56"/>
      <c r="K4092" s="82" t="str">
        <f t="shared" si="1238"/>
        <v>Invoice</v>
      </c>
      <c r="L4092" s="83" t="str">
        <f>"SI_112211"</f>
        <v>SI_112211</v>
      </c>
      <c r="M4092" s="84">
        <v>42185</v>
      </c>
      <c r="N4092" s="85">
        <f t="shared" si="1239"/>
        <v>1627</v>
      </c>
      <c r="O4092" s="86">
        <f t="shared" si="1240"/>
        <v>6279.58</v>
      </c>
      <c r="P4092" s="86">
        <f t="shared" si="1241"/>
        <v>0</v>
      </c>
      <c r="Q4092" s="86">
        <f t="shared" si="1242"/>
        <v>0</v>
      </c>
      <c r="R4092" s="86">
        <f t="shared" si="1243"/>
        <v>0</v>
      </c>
      <c r="S4092" s="86">
        <f t="shared" si="1244"/>
        <v>0</v>
      </c>
      <c r="T4092" s="86">
        <f t="shared" si="1245"/>
        <v>6279.58</v>
      </c>
      <c r="U4092" s="87">
        <v>6279.58</v>
      </c>
    </row>
    <row r="4093" spans="1:21" s="30" customFormat="1" ht="24.6" hidden="1" outlineLevel="1" x14ac:dyDescent="0.55000000000000004">
      <c r="A4093" s="27" t="s">
        <v>327</v>
      </c>
      <c r="B4093" s="28"/>
      <c r="C4093" s="27"/>
      <c r="D4093" s="27" t="str">
        <f>"""NAV Direct"",""CRONUS JetCorp USA"",""21"",""1"",""399134"""</f>
        <v>"NAV Direct","CRONUS JetCorp USA","21","1","399134"</v>
      </c>
      <c r="E4093" s="31" t="str">
        <f t="shared" si="1237"/>
        <v>C100115</v>
      </c>
      <c r="F4093" s="31"/>
      <c r="G4093" s="31"/>
      <c r="H4093" s="31"/>
      <c r="I4093" s="56"/>
      <c r="J4093" s="56"/>
      <c r="K4093" s="82" t="str">
        <f t="shared" si="1238"/>
        <v>Invoice</v>
      </c>
      <c r="L4093" s="83" t="str">
        <f>"SI_112224"</f>
        <v>SI_112224</v>
      </c>
      <c r="M4093" s="84">
        <v>42238</v>
      </c>
      <c r="N4093" s="85">
        <f t="shared" si="1239"/>
        <v>1574</v>
      </c>
      <c r="O4093" s="86">
        <f t="shared" si="1240"/>
        <v>7875.04</v>
      </c>
      <c r="P4093" s="86">
        <f t="shared" si="1241"/>
        <v>0</v>
      </c>
      <c r="Q4093" s="86">
        <f t="shared" si="1242"/>
        <v>0</v>
      </c>
      <c r="R4093" s="86">
        <f t="shared" si="1243"/>
        <v>0</v>
      </c>
      <c r="S4093" s="86">
        <f t="shared" si="1244"/>
        <v>0</v>
      </c>
      <c r="T4093" s="86">
        <f t="shared" si="1245"/>
        <v>7875.04</v>
      </c>
      <c r="U4093" s="87">
        <v>7875.04</v>
      </c>
    </row>
    <row r="4094" spans="1:21" s="30" customFormat="1" ht="24.6" hidden="1" outlineLevel="1" x14ac:dyDescent="0.55000000000000004">
      <c r="A4094" s="27" t="s">
        <v>327</v>
      </c>
      <c r="B4094" s="28"/>
      <c r="C4094" s="27"/>
      <c r="D4094" s="27" t="str">
        <f>"""NAV Direct"",""CRONUS JetCorp USA"",""21"",""1"",""400109"""</f>
        <v>"NAV Direct","CRONUS JetCorp USA","21","1","400109"</v>
      </c>
      <c r="E4094" s="31">
        <f t="shared" si="1237"/>
        <v>0</v>
      </c>
      <c r="F4094" s="31"/>
      <c r="G4094" s="31"/>
      <c r="H4094" s="31"/>
      <c r="I4094" s="56"/>
      <c r="J4094" s="56"/>
      <c r="K4094" s="82" t="str">
        <f t="shared" si="1238"/>
        <v>Invoice</v>
      </c>
      <c r="L4094" s="83" t="str">
        <f>"SI_112245"</f>
        <v>SI_112245</v>
      </c>
      <c r="M4094" s="84">
        <v>42298</v>
      </c>
      <c r="N4094" s="85">
        <f t="shared" si="1239"/>
        <v>1514</v>
      </c>
      <c r="O4094" s="86">
        <f t="shared" si="1240"/>
        <v>9643.2799999999988</v>
      </c>
      <c r="P4094" s="86">
        <f t="shared" si="1241"/>
        <v>0</v>
      </c>
      <c r="Q4094" s="86">
        <f t="shared" si="1242"/>
        <v>0</v>
      </c>
      <c r="R4094" s="86">
        <f t="shared" si="1243"/>
        <v>0</v>
      </c>
      <c r="S4094" s="86">
        <f t="shared" si="1244"/>
        <v>0</v>
      </c>
      <c r="T4094" s="86">
        <f t="shared" si="1245"/>
        <v>9643.2799999999988</v>
      </c>
      <c r="U4094" s="87">
        <v>9643.2799999999988</v>
      </c>
    </row>
    <row r="4095" spans="1:21" s="30" customFormat="1" ht="24.6" hidden="1" outlineLevel="1" x14ac:dyDescent="0.55000000000000004">
      <c r="A4095" s="27" t="s">
        <v>327</v>
      </c>
      <c r="B4095" s="28"/>
      <c r="C4095" s="27"/>
      <c r="D4095" s="27" t="str">
        <f>"""NAV Direct"",""CRONUS JetCorp USA"",""21"",""1"",""400823"""</f>
        <v>"NAV Direct","CRONUS JetCorp USA","21","1","400823"</v>
      </c>
      <c r="E4095" s="31" t="str">
        <f t="shared" si="1237"/>
        <v>C100115</v>
      </c>
      <c r="F4095" s="31"/>
      <c r="G4095" s="31"/>
      <c r="H4095" s="31"/>
      <c r="I4095" s="56"/>
      <c r="J4095" s="56"/>
      <c r="K4095" s="82" t="str">
        <f t="shared" si="1238"/>
        <v>Invoice</v>
      </c>
      <c r="L4095" s="83" t="str">
        <f>"SI_112259"</f>
        <v>SI_112259</v>
      </c>
      <c r="M4095" s="84">
        <v>42331</v>
      </c>
      <c r="N4095" s="85">
        <f t="shared" si="1239"/>
        <v>1481</v>
      </c>
      <c r="O4095" s="86">
        <f t="shared" si="1240"/>
        <v>8498.17</v>
      </c>
      <c r="P4095" s="86">
        <f t="shared" si="1241"/>
        <v>0</v>
      </c>
      <c r="Q4095" s="86">
        <f t="shared" si="1242"/>
        <v>0</v>
      </c>
      <c r="R4095" s="86">
        <f t="shared" si="1243"/>
        <v>0</v>
      </c>
      <c r="S4095" s="86">
        <f t="shared" si="1244"/>
        <v>0</v>
      </c>
      <c r="T4095" s="86">
        <f t="shared" si="1245"/>
        <v>8498.17</v>
      </c>
      <c r="U4095" s="87">
        <v>8498.17</v>
      </c>
    </row>
    <row r="4096" spans="1:21" s="30" customFormat="1" ht="24.6" hidden="1" outlineLevel="1" x14ac:dyDescent="0.55000000000000004">
      <c r="A4096" s="27" t="s">
        <v>327</v>
      </c>
      <c r="B4096" s="28"/>
      <c r="C4096" s="27"/>
      <c r="D4096" s="27" t="str">
        <f>"""NAV Direct"",""CRONUS JetCorp USA"",""21"",""1"",""401246"""</f>
        <v>"NAV Direct","CRONUS JetCorp USA","21","1","401246"</v>
      </c>
      <c r="E4096" s="31">
        <f t="shared" si="1237"/>
        <v>0</v>
      </c>
      <c r="F4096" s="31"/>
      <c r="G4096" s="31"/>
      <c r="H4096" s="31"/>
      <c r="I4096" s="56"/>
      <c r="J4096" s="56"/>
      <c r="K4096" s="82" t="str">
        <f t="shared" si="1238"/>
        <v>Invoice</v>
      </c>
      <c r="L4096" s="83" t="str">
        <f>"SI_112268"</f>
        <v>SI_112268</v>
      </c>
      <c r="M4096" s="84">
        <v>42356</v>
      </c>
      <c r="N4096" s="85">
        <f t="shared" si="1239"/>
        <v>1456</v>
      </c>
      <c r="O4096" s="86">
        <f t="shared" si="1240"/>
        <v>7087.8200000000006</v>
      </c>
      <c r="P4096" s="86">
        <f t="shared" si="1241"/>
        <v>0</v>
      </c>
      <c r="Q4096" s="86">
        <f t="shared" si="1242"/>
        <v>0</v>
      </c>
      <c r="R4096" s="86">
        <f t="shared" si="1243"/>
        <v>0</v>
      </c>
      <c r="S4096" s="86">
        <f t="shared" si="1244"/>
        <v>0</v>
      </c>
      <c r="T4096" s="86">
        <f t="shared" si="1245"/>
        <v>7087.8200000000006</v>
      </c>
      <c r="U4096" s="87">
        <v>7087.8200000000006</v>
      </c>
    </row>
    <row r="4097" spans="1:22" s="30" customFormat="1" ht="24.6" hidden="1" outlineLevel="1" x14ac:dyDescent="0.55000000000000004">
      <c r="A4097" s="27" t="s">
        <v>327</v>
      </c>
      <c r="B4097" s="28"/>
      <c r="C4097" s="27"/>
      <c r="D4097" s="27" t="str">
        <f>"""NAV Direct"",""CRONUS JetCorp USA"",""21"",""1"",""438629"""</f>
        <v>"NAV Direct","CRONUS JetCorp USA","21","1","438629"</v>
      </c>
      <c r="E4097" s="31" t="str">
        <f t="shared" si="1237"/>
        <v>C100115</v>
      </c>
      <c r="F4097" s="31"/>
      <c r="G4097" s="31"/>
      <c r="H4097" s="31"/>
      <c r="I4097" s="56"/>
      <c r="J4097" s="56"/>
      <c r="K4097" s="82" t="str">
        <f t="shared" ref="K4097:K4105" si="1246">"Credit Memo"</f>
        <v>Credit Memo</v>
      </c>
      <c r="L4097" s="83" t="str">
        <f>"SC_100827"</f>
        <v>SC_100827</v>
      </c>
      <c r="M4097" s="84">
        <v>42437</v>
      </c>
      <c r="N4097" s="85">
        <f t="shared" si="1239"/>
        <v>1375</v>
      </c>
      <c r="O4097" s="86">
        <f t="shared" si="1240"/>
        <v>-125.69</v>
      </c>
      <c r="P4097" s="86">
        <f t="shared" si="1241"/>
        <v>0</v>
      </c>
      <c r="Q4097" s="86">
        <f t="shared" si="1242"/>
        <v>0</v>
      </c>
      <c r="R4097" s="86">
        <f t="shared" si="1243"/>
        <v>0</v>
      </c>
      <c r="S4097" s="86">
        <f t="shared" si="1244"/>
        <v>0</v>
      </c>
      <c r="T4097" s="86">
        <f t="shared" si="1245"/>
        <v>-125.69</v>
      </c>
      <c r="U4097" s="87">
        <v>-125.69</v>
      </c>
    </row>
    <row r="4098" spans="1:22" s="30" customFormat="1" ht="24.6" hidden="1" outlineLevel="1" x14ac:dyDescent="0.55000000000000004">
      <c r="A4098" s="27" t="s">
        <v>327</v>
      </c>
      <c r="B4098" s="28"/>
      <c r="C4098" s="27"/>
      <c r="D4098" s="27" t="str">
        <f>"""NAV Direct"",""CRONUS JetCorp USA"",""21"",""1"",""438857"""</f>
        <v>"NAV Direct","CRONUS JetCorp USA","21","1","438857"</v>
      </c>
      <c r="E4098" s="31">
        <f t="shared" si="1237"/>
        <v>0</v>
      </c>
      <c r="F4098" s="31"/>
      <c r="G4098" s="31"/>
      <c r="H4098" s="31"/>
      <c r="I4098" s="56"/>
      <c r="J4098" s="56"/>
      <c r="K4098" s="82" t="str">
        <f t="shared" si="1246"/>
        <v>Credit Memo</v>
      </c>
      <c r="L4098" s="83" t="str">
        <f>"SC_100838"</f>
        <v>SC_100838</v>
      </c>
      <c r="M4098" s="84">
        <v>42705</v>
      </c>
      <c r="N4098" s="85">
        <f t="shared" si="1239"/>
        <v>1107</v>
      </c>
      <c r="O4098" s="86">
        <f t="shared" si="1240"/>
        <v>-97.92</v>
      </c>
      <c r="P4098" s="86">
        <f t="shared" si="1241"/>
        <v>0</v>
      </c>
      <c r="Q4098" s="86">
        <f t="shared" si="1242"/>
        <v>0</v>
      </c>
      <c r="R4098" s="86">
        <f t="shared" si="1243"/>
        <v>0</v>
      </c>
      <c r="S4098" s="86">
        <f t="shared" si="1244"/>
        <v>0</v>
      </c>
      <c r="T4098" s="86">
        <f t="shared" si="1245"/>
        <v>-97.92</v>
      </c>
      <c r="U4098" s="87">
        <v>-97.92</v>
      </c>
    </row>
    <row r="4099" spans="1:22" s="30" customFormat="1" ht="24.6" hidden="1" outlineLevel="1" x14ac:dyDescent="0.55000000000000004">
      <c r="A4099" s="27" t="s">
        <v>327</v>
      </c>
      <c r="B4099" s="28"/>
      <c r="C4099" s="27"/>
      <c r="D4099" s="27" t="str">
        <f>"""NAV Direct"",""CRONUS JetCorp USA"",""21"",""1"",""438977"""</f>
        <v>"NAV Direct","CRONUS JetCorp USA","21","1","438977"</v>
      </c>
      <c r="E4099" s="31" t="str">
        <f t="shared" si="1237"/>
        <v>C100115</v>
      </c>
      <c r="F4099" s="31"/>
      <c r="G4099" s="31"/>
      <c r="H4099" s="31"/>
      <c r="I4099" s="56"/>
      <c r="J4099" s="56"/>
      <c r="K4099" s="82" t="str">
        <f t="shared" si="1246"/>
        <v>Credit Memo</v>
      </c>
      <c r="L4099" s="83" t="str">
        <f>"SC_100844"</f>
        <v>SC_100844</v>
      </c>
      <c r="M4099" s="84">
        <v>42861</v>
      </c>
      <c r="N4099" s="85">
        <f t="shared" si="1239"/>
        <v>951</v>
      </c>
      <c r="O4099" s="86">
        <f t="shared" si="1240"/>
        <v>-115.28</v>
      </c>
      <c r="P4099" s="86">
        <f t="shared" si="1241"/>
        <v>0</v>
      </c>
      <c r="Q4099" s="86">
        <f t="shared" si="1242"/>
        <v>0</v>
      </c>
      <c r="R4099" s="86">
        <f t="shared" si="1243"/>
        <v>0</v>
      </c>
      <c r="S4099" s="86">
        <f t="shared" si="1244"/>
        <v>0</v>
      </c>
      <c r="T4099" s="86">
        <f t="shared" si="1245"/>
        <v>-115.28</v>
      </c>
      <c r="U4099" s="87">
        <v>-115.28</v>
      </c>
    </row>
    <row r="4100" spans="1:22" s="30" customFormat="1" ht="24.6" hidden="1" outlineLevel="1" x14ac:dyDescent="0.55000000000000004">
      <c r="A4100" s="27" t="s">
        <v>327</v>
      </c>
      <c r="B4100" s="28"/>
      <c r="C4100" s="27"/>
      <c r="D4100" s="27" t="str">
        <f>"""NAV Direct"",""CRONUS JetCorp USA"",""21"",""1"",""439043"""</f>
        <v>"NAV Direct","CRONUS JetCorp USA","21","1","439043"</v>
      </c>
      <c r="E4100" s="31">
        <f t="shared" si="1237"/>
        <v>0</v>
      </c>
      <c r="F4100" s="31"/>
      <c r="G4100" s="31"/>
      <c r="H4100" s="31"/>
      <c r="I4100" s="56"/>
      <c r="J4100" s="56"/>
      <c r="K4100" s="82" t="str">
        <f t="shared" si="1246"/>
        <v>Credit Memo</v>
      </c>
      <c r="L4100" s="83" t="str">
        <f>"SC_100848"</f>
        <v>SC_100848</v>
      </c>
      <c r="M4100" s="84">
        <v>43016</v>
      </c>
      <c r="N4100" s="85">
        <f t="shared" si="1239"/>
        <v>796</v>
      </c>
      <c r="O4100" s="86">
        <f t="shared" si="1240"/>
        <v>-84.69</v>
      </c>
      <c r="P4100" s="86">
        <f t="shared" si="1241"/>
        <v>0</v>
      </c>
      <c r="Q4100" s="86">
        <f t="shared" si="1242"/>
        <v>0</v>
      </c>
      <c r="R4100" s="86">
        <f t="shared" si="1243"/>
        <v>0</v>
      </c>
      <c r="S4100" s="86">
        <f t="shared" si="1244"/>
        <v>0</v>
      </c>
      <c r="T4100" s="86">
        <f t="shared" si="1245"/>
        <v>-84.69</v>
      </c>
      <c r="U4100" s="87">
        <v>-84.69</v>
      </c>
    </row>
    <row r="4101" spans="1:22" s="30" customFormat="1" ht="24.6" hidden="1" outlineLevel="1" x14ac:dyDescent="0.55000000000000004">
      <c r="A4101" s="27" t="s">
        <v>327</v>
      </c>
      <c r="B4101" s="28"/>
      <c r="C4101" s="27"/>
      <c r="D4101" s="27" t="str">
        <f>"""NAV Direct"",""CRONUS JetCorp USA"",""21"",""1"",""439451"""</f>
        <v>"NAV Direct","CRONUS JetCorp USA","21","1","439451"</v>
      </c>
      <c r="E4101" s="31" t="str">
        <f t="shared" si="1237"/>
        <v>C100115</v>
      </c>
      <c r="F4101" s="31"/>
      <c r="G4101" s="31"/>
      <c r="H4101" s="31"/>
      <c r="I4101" s="56"/>
      <c r="J4101" s="56"/>
      <c r="K4101" s="82" t="str">
        <f t="shared" si="1246"/>
        <v>Credit Memo</v>
      </c>
      <c r="L4101" s="83" t="str">
        <f>"SC_100868"</f>
        <v>SC_100868</v>
      </c>
      <c r="M4101" s="84">
        <v>43626</v>
      </c>
      <c r="N4101" s="85">
        <f t="shared" si="1239"/>
        <v>186</v>
      </c>
      <c r="O4101" s="86">
        <f t="shared" si="1240"/>
        <v>-85.649999999999991</v>
      </c>
      <c r="P4101" s="86">
        <f t="shared" si="1241"/>
        <v>0</v>
      </c>
      <c r="Q4101" s="86">
        <f t="shared" si="1242"/>
        <v>0</v>
      </c>
      <c r="R4101" s="86">
        <f t="shared" si="1243"/>
        <v>0</v>
      </c>
      <c r="S4101" s="86">
        <f t="shared" si="1244"/>
        <v>0</v>
      </c>
      <c r="T4101" s="86">
        <f t="shared" si="1245"/>
        <v>-85.649999999999991</v>
      </c>
      <c r="U4101" s="87">
        <v>-85.649999999999991</v>
      </c>
    </row>
    <row r="4102" spans="1:22" s="30" customFormat="1" ht="24.6" hidden="1" outlineLevel="1" x14ac:dyDescent="0.55000000000000004">
      <c r="A4102" s="27" t="s">
        <v>327</v>
      </c>
      <c r="B4102" s="28"/>
      <c r="C4102" s="27"/>
      <c r="D4102" s="27" t="str">
        <f>"""NAV Direct"",""CRONUS JetCorp USA"",""21"",""1"",""439849"""</f>
        <v>"NAV Direct","CRONUS JetCorp USA","21","1","439849"</v>
      </c>
      <c r="E4102" s="31">
        <f t="shared" si="1237"/>
        <v>0</v>
      </c>
      <c r="F4102" s="31"/>
      <c r="G4102" s="31"/>
      <c r="H4102" s="31"/>
      <c r="I4102" s="56"/>
      <c r="J4102" s="56"/>
      <c r="K4102" s="82" t="str">
        <f t="shared" si="1246"/>
        <v>Credit Memo</v>
      </c>
      <c r="L4102" s="83" t="str">
        <f>"SC_100888"</f>
        <v>SC_100888</v>
      </c>
      <c r="M4102" s="84">
        <v>42051</v>
      </c>
      <c r="N4102" s="85">
        <f t="shared" si="1239"/>
        <v>1761</v>
      </c>
      <c r="O4102" s="86">
        <f t="shared" si="1240"/>
        <v>-98.83</v>
      </c>
      <c r="P4102" s="86">
        <f t="shared" si="1241"/>
        <v>0</v>
      </c>
      <c r="Q4102" s="86">
        <f t="shared" si="1242"/>
        <v>0</v>
      </c>
      <c r="R4102" s="86">
        <f t="shared" si="1243"/>
        <v>0</v>
      </c>
      <c r="S4102" s="86">
        <f t="shared" si="1244"/>
        <v>0</v>
      </c>
      <c r="T4102" s="86">
        <f t="shared" si="1245"/>
        <v>-98.83</v>
      </c>
      <c r="U4102" s="87">
        <v>-98.83</v>
      </c>
    </row>
    <row r="4103" spans="1:22" s="30" customFormat="1" ht="24.6" hidden="1" outlineLevel="1" x14ac:dyDescent="0.55000000000000004">
      <c r="A4103" s="27" t="s">
        <v>327</v>
      </c>
      <c r="B4103" s="28"/>
      <c r="C4103" s="27"/>
      <c r="D4103" s="27" t="str">
        <f>"""NAV Direct"",""CRONUS JetCorp USA"",""21"",""1"",""439910"""</f>
        <v>"NAV Direct","CRONUS JetCorp USA","21","1","439910"</v>
      </c>
      <c r="E4103" s="31" t="str">
        <f t="shared" si="1237"/>
        <v>C100115</v>
      </c>
      <c r="F4103" s="31"/>
      <c r="G4103" s="31"/>
      <c r="H4103" s="31"/>
      <c r="I4103" s="56"/>
      <c r="J4103" s="56"/>
      <c r="K4103" s="82" t="str">
        <f t="shared" si="1246"/>
        <v>Credit Memo</v>
      </c>
      <c r="L4103" s="83" t="str">
        <f>"SC_100891"</f>
        <v>SC_100891</v>
      </c>
      <c r="M4103" s="84">
        <v>42105</v>
      </c>
      <c r="N4103" s="85">
        <f t="shared" si="1239"/>
        <v>1707</v>
      </c>
      <c r="O4103" s="86">
        <f t="shared" si="1240"/>
        <v>-100.53</v>
      </c>
      <c r="P4103" s="86">
        <f t="shared" si="1241"/>
        <v>0</v>
      </c>
      <c r="Q4103" s="86">
        <f t="shared" si="1242"/>
        <v>0</v>
      </c>
      <c r="R4103" s="86">
        <f t="shared" si="1243"/>
        <v>0</v>
      </c>
      <c r="S4103" s="86">
        <f t="shared" si="1244"/>
        <v>0</v>
      </c>
      <c r="T4103" s="86">
        <f t="shared" si="1245"/>
        <v>-100.53</v>
      </c>
      <c r="U4103" s="87">
        <v>-100.53</v>
      </c>
    </row>
    <row r="4104" spans="1:22" s="30" customFormat="1" ht="24.6" hidden="1" outlineLevel="1" x14ac:dyDescent="0.55000000000000004">
      <c r="A4104" s="27" t="s">
        <v>327</v>
      </c>
      <c r="B4104" s="28"/>
      <c r="C4104" s="27"/>
      <c r="D4104" s="27" t="str">
        <f>"""NAV Direct"",""CRONUS JetCorp USA"",""21"",""1"",""440029"""</f>
        <v>"NAV Direct","CRONUS JetCorp USA","21","1","440029"</v>
      </c>
      <c r="E4104" s="31">
        <f t="shared" si="1237"/>
        <v>0</v>
      </c>
      <c r="F4104" s="31"/>
      <c r="G4104" s="31"/>
      <c r="H4104" s="31"/>
      <c r="I4104" s="56"/>
      <c r="J4104" s="56"/>
      <c r="K4104" s="82" t="str">
        <f t="shared" si="1246"/>
        <v>Credit Memo</v>
      </c>
      <c r="L4104" s="83" t="str">
        <f>"SC_100898"</f>
        <v>SC_100898</v>
      </c>
      <c r="M4104" s="84">
        <v>42179</v>
      </c>
      <c r="N4104" s="85">
        <f t="shared" si="1239"/>
        <v>1633</v>
      </c>
      <c r="O4104" s="86">
        <f t="shared" si="1240"/>
        <v>-67.209999999999994</v>
      </c>
      <c r="P4104" s="86">
        <f t="shared" si="1241"/>
        <v>0</v>
      </c>
      <c r="Q4104" s="86">
        <f t="shared" si="1242"/>
        <v>0</v>
      </c>
      <c r="R4104" s="86">
        <f t="shared" si="1243"/>
        <v>0</v>
      </c>
      <c r="S4104" s="86">
        <f t="shared" si="1244"/>
        <v>0</v>
      </c>
      <c r="T4104" s="86">
        <f t="shared" si="1245"/>
        <v>-67.209999999999994</v>
      </c>
      <c r="U4104" s="87">
        <v>-67.209999999999994</v>
      </c>
    </row>
    <row r="4105" spans="1:22" s="30" customFormat="1" ht="24.6" hidden="1" outlineLevel="1" x14ac:dyDescent="0.55000000000000004">
      <c r="A4105" s="27" t="s">
        <v>327</v>
      </c>
      <c r="B4105" s="28"/>
      <c r="C4105" s="27"/>
      <c r="D4105" s="27" t="str">
        <f>"""NAV Direct"",""CRONUS JetCorp USA"",""21"",""1"",""440153"""</f>
        <v>"NAV Direct","CRONUS JetCorp USA","21","1","440153"</v>
      </c>
      <c r="E4105" s="31" t="str">
        <f t="shared" si="1237"/>
        <v>C100115</v>
      </c>
      <c r="F4105" s="31"/>
      <c r="G4105" s="31"/>
      <c r="H4105" s="31"/>
      <c r="I4105" s="56"/>
      <c r="J4105" s="56"/>
      <c r="K4105" s="82" t="str">
        <f t="shared" si="1246"/>
        <v>Credit Memo</v>
      </c>
      <c r="L4105" s="83" t="str">
        <f>"SC_100904"</f>
        <v>SC_100904</v>
      </c>
      <c r="M4105" s="84">
        <v>42313</v>
      </c>
      <c r="N4105" s="85">
        <f t="shared" si="1239"/>
        <v>1499</v>
      </c>
      <c r="O4105" s="86">
        <f t="shared" si="1240"/>
        <v>-85.85</v>
      </c>
      <c r="P4105" s="86">
        <f t="shared" si="1241"/>
        <v>0</v>
      </c>
      <c r="Q4105" s="86">
        <f t="shared" si="1242"/>
        <v>0</v>
      </c>
      <c r="R4105" s="86">
        <f t="shared" si="1243"/>
        <v>0</v>
      </c>
      <c r="S4105" s="86">
        <f t="shared" si="1244"/>
        <v>0</v>
      </c>
      <c r="T4105" s="86">
        <f t="shared" si="1245"/>
        <v>-85.85</v>
      </c>
      <c r="U4105" s="87">
        <v>-85.85</v>
      </c>
    </row>
    <row r="4106" spans="1:22" s="22" customFormat="1" ht="20.399999999999999" collapsed="1" x14ac:dyDescent="0.45">
      <c r="A4106" s="12" t="s">
        <v>327</v>
      </c>
      <c r="B4106" s="19"/>
      <c r="C4106" s="12"/>
      <c r="D4106" s="12"/>
      <c r="E4106" s="23"/>
      <c r="F4106" s="23"/>
      <c r="G4106" s="23"/>
      <c r="H4106" s="23"/>
      <c r="I4106" s="49"/>
      <c r="J4106" s="88"/>
      <c r="K4106" s="88"/>
      <c r="L4106" s="89"/>
      <c r="M4106" s="89"/>
      <c r="N4106" s="89"/>
      <c r="O4106" s="89"/>
      <c r="P4106" s="89"/>
      <c r="Q4106" s="90"/>
      <c r="R4106" s="90"/>
      <c r="S4106" s="91"/>
      <c r="T4106" s="92"/>
      <c r="U4106" s="92"/>
    </row>
    <row r="4107" spans="1:22" s="22" customFormat="1" ht="20.399999999999999" x14ac:dyDescent="0.45">
      <c r="A4107" s="12" t="s">
        <v>327</v>
      </c>
      <c r="B4107" s="19"/>
      <c r="C4107" s="12"/>
      <c r="D4107" s="12"/>
      <c r="E4107" s="23"/>
      <c r="F4107" s="23"/>
      <c r="G4107" s="23"/>
      <c r="H4107" s="23"/>
      <c r="I4107" s="49"/>
      <c r="J4107" s="88"/>
      <c r="K4107" s="88"/>
      <c r="L4107" s="89"/>
      <c r="M4107" s="89"/>
      <c r="N4107" s="89"/>
      <c r="O4107" s="89"/>
      <c r="P4107" s="89"/>
      <c r="Q4107" s="90"/>
      <c r="R4107" s="90"/>
      <c r="S4107" s="91"/>
      <c r="T4107" s="92"/>
      <c r="U4107" s="92"/>
    </row>
    <row r="4108" spans="1:22" s="26" customFormat="1" ht="24.6" x14ac:dyDescent="0.55000000000000004">
      <c r="A4108" s="27" t="s">
        <v>327</v>
      </c>
      <c r="B4108" s="28"/>
      <c r="C4108" s="27" t="str">
        <f>"""NAV Direct"",""CRONUS JetCorp USA"",""18"",""1"",""C100116"""</f>
        <v>"NAV Direct","CRONUS JetCorp USA","18","1","C100116"</v>
      </c>
      <c r="D4108" s="27"/>
      <c r="E4108" s="28" t="str">
        <f>H4108</f>
        <v>C100116</v>
      </c>
      <c r="F4108" s="28"/>
      <c r="G4108" s="28"/>
      <c r="H4108" s="28" t="str">
        <f>"C100116"</f>
        <v>C100116</v>
      </c>
      <c r="I4108" s="116" t="str">
        <f>"C100116  -  Sumtones, AG"</f>
        <v>C100116  -  Sumtones, AG</v>
      </c>
      <c r="J4108" s="117" t="str">
        <f>""</f>
        <v/>
      </c>
      <c r="K4108" s="118"/>
      <c r="L4108" s="119">
        <f>SUBTOTAL(3,L4109:L4143)</f>
        <v>31</v>
      </c>
      <c r="M4108" s="118"/>
      <c r="N4108" s="118"/>
      <c r="O4108" s="120">
        <f t="shared" ref="O4108:T4108" si="1247">SUBTOTAL(9,O4109:O4143)</f>
        <v>448479.23000000004</v>
      </c>
      <c r="P4108" s="120">
        <f t="shared" si="1247"/>
        <v>0</v>
      </c>
      <c r="Q4108" s="120">
        <f t="shared" si="1247"/>
        <v>0</v>
      </c>
      <c r="R4108" s="120">
        <f t="shared" si="1247"/>
        <v>0</v>
      </c>
      <c r="S4108" s="120">
        <f t="shared" si="1247"/>
        <v>18222.260000000002</v>
      </c>
      <c r="T4108" s="120">
        <f t="shared" si="1247"/>
        <v>430256.97000000003</v>
      </c>
      <c r="U4108" s="81"/>
    </row>
    <row r="4109" spans="1:22" s="26" customFormat="1" ht="24.6" x14ac:dyDescent="0.55000000000000004">
      <c r="A4109" s="27" t="s">
        <v>327</v>
      </c>
      <c r="B4109" s="28"/>
      <c r="C4109" s="27" t="str">
        <f>C4108</f>
        <v>"NAV Direct","CRONUS JetCorp USA","18","1","C100116"</v>
      </c>
      <c r="D4109" s="27"/>
      <c r="E4109" s="28" t="str">
        <f>E4108</f>
        <v>C100116</v>
      </c>
      <c r="F4109" s="28"/>
      <c r="G4109" s="28"/>
      <c r="H4109" s="28"/>
      <c r="I4109" s="121" t="str">
        <f>"Contact: Grim Striking"</f>
        <v>Contact: Grim Striking</v>
      </c>
      <c r="J4109" s="121"/>
      <c r="K4109" s="122"/>
      <c r="L4109" s="123"/>
      <c r="M4109" s="123"/>
      <c r="N4109" s="124"/>
      <c r="O4109" s="124"/>
      <c r="P4109" s="123"/>
      <c r="Q4109" s="125"/>
      <c r="R4109" s="126"/>
      <c r="S4109" s="126"/>
      <c r="T4109" s="125"/>
      <c r="U4109" s="81"/>
    </row>
    <row r="4110" spans="1:22" s="26" customFormat="1" ht="24.6" x14ac:dyDescent="0.55000000000000004">
      <c r="A4110" s="27" t="s">
        <v>327</v>
      </c>
      <c r="B4110" s="28"/>
      <c r="C4110" s="27" t="str">
        <f>C4109</f>
        <v>"NAV Direct","CRONUS JetCorp USA","18","1","C100116"</v>
      </c>
      <c r="D4110" s="27"/>
      <c r="E4110" s="28" t="str">
        <f>E4109</f>
        <v>C100116</v>
      </c>
      <c r="F4110" s="28"/>
      <c r="G4110" s="28"/>
      <c r="H4110" s="28"/>
      <c r="I4110" s="121" t="str">
        <f>"Sumtones, AG@Cronus.com"</f>
        <v>Sumtones, AG@Cronus.com</v>
      </c>
      <c r="J4110" s="121"/>
      <c r="K4110" s="122"/>
      <c r="L4110" s="124"/>
      <c r="M4110" s="124"/>
      <c r="N4110" s="124"/>
      <c r="O4110" s="124"/>
      <c r="P4110" s="123"/>
      <c r="Q4110" s="125"/>
      <c r="R4110" s="126"/>
      <c r="S4110" s="126"/>
      <c r="T4110" s="125"/>
      <c r="U4110" s="81"/>
    </row>
    <row r="4111" spans="1:22" ht="12.75" hidden="1" customHeight="1" outlineLevel="1" x14ac:dyDescent="0.45">
      <c r="A4111" s="12" t="s">
        <v>328</v>
      </c>
      <c r="B4111" s="19"/>
      <c r="E4111" s="19"/>
      <c r="F4111" s="19"/>
      <c r="G4111" s="19"/>
      <c r="H4111" s="19"/>
      <c r="I4111" s="61"/>
      <c r="J4111" s="61"/>
      <c r="K4111" s="61"/>
      <c r="L4111" s="61"/>
      <c r="M4111" s="61"/>
      <c r="N4111" s="61"/>
      <c r="O4111" s="61"/>
      <c r="P4111" s="61"/>
      <c r="Q4111" s="61"/>
      <c r="R4111" s="61"/>
      <c r="S4111" s="61"/>
      <c r="T4111" s="61"/>
      <c r="U4111" s="61"/>
      <c r="V4111" s="21"/>
    </row>
    <row r="4112" spans="1:22" s="30" customFormat="1" ht="24.6" hidden="1" outlineLevel="1" x14ac:dyDescent="0.55000000000000004">
      <c r="A4112" s="27" t="s">
        <v>327</v>
      </c>
      <c r="B4112" s="28"/>
      <c r="C4112" s="27"/>
      <c r="D4112" s="27" t="str">
        <f>"""NAV Direct"",""CRONUS JetCorp USA"",""21"",""1"",""97760"""</f>
        <v>"NAV Direct","CRONUS JetCorp USA","21","1","97760"</v>
      </c>
      <c r="E4112" s="31" t="str">
        <f t="shared" ref="E4112:E4142" si="1248">E4110</f>
        <v>C100116</v>
      </c>
      <c r="F4112" s="31"/>
      <c r="G4112" s="31"/>
      <c r="H4112" s="31"/>
      <c r="I4112" s="56"/>
      <c r="J4112" s="56"/>
      <c r="K4112" s="82" t="str">
        <f t="shared" ref="K4112:K4137" si="1249">"Invoice"</f>
        <v>Invoice</v>
      </c>
      <c r="L4112" s="83" t="str">
        <f>"SI_106474"</f>
        <v>SI_106474</v>
      </c>
      <c r="M4112" s="84">
        <v>42130</v>
      </c>
      <c r="N4112" s="85">
        <f t="shared" ref="N4112:N4142" si="1250">StartDate-$M4112+1</f>
        <v>1682</v>
      </c>
      <c r="O4112" s="86">
        <f t="shared" ref="O4112:O4142" si="1251">SUM(P4112:T4112)</f>
        <v>20464.240000000002</v>
      </c>
      <c r="P4112" s="86">
        <f t="shared" ref="P4112:P4142" si="1252">IF($M4112&gt;=$P$18,U4112,0)</f>
        <v>0</v>
      </c>
      <c r="Q4112" s="86">
        <f t="shared" ref="Q4112:Q4142" si="1253">IF(AND($M4112&gt;=$Q$16,$M4112&lt;=$Q$18),U4112,0)</f>
        <v>0</v>
      </c>
      <c r="R4112" s="86">
        <f t="shared" ref="R4112:R4142" si="1254">IF(AND($M4112&gt;=$R$16,$M4112&lt;=$R$18),U4112,0)</f>
        <v>0</v>
      </c>
      <c r="S4112" s="86">
        <f t="shared" ref="S4112:S4142" si="1255">IF(AND($M4112&gt;=$S$16,$M4112&lt;=$S$18),U4112,0)</f>
        <v>0</v>
      </c>
      <c r="T4112" s="86">
        <f t="shared" ref="T4112:T4142" si="1256">IF($M4112&lt;=$T$18,U4112,0)</f>
        <v>20464.240000000002</v>
      </c>
      <c r="U4112" s="87">
        <v>20464.240000000002</v>
      </c>
    </row>
    <row r="4113" spans="1:21" s="30" customFormat="1" ht="24.6" hidden="1" outlineLevel="1" x14ac:dyDescent="0.55000000000000004">
      <c r="A4113" s="27" t="s">
        <v>327</v>
      </c>
      <c r="B4113" s="28"/>
      <c r="C4113" s="27"/>
      <c r="D4113" s="27" t="str">
        <f>"""NAV Direct"",""CRONUS JetCorp USA"",""21"",""1"",""97938"""</f>
        <v>"NAV Direct","CRONUS JetCorp USA","21","1","97938"</v>
      </c>
      <c r="E4113" s="31">
        <f t="shared" si="1248"/>
        <v>0</v>
      </c>
      <c r="F4113" s="31"/>
      <c r="G4113" s="31"/>
      <c r="H4113" s="31"/>
      <c r="I4113" s="56"/>
      <c r="J4113" s="56"/>
      <c r="K4113" s="82" t="str">
        <f t="shared" si="1249"/>
        <v>Invoice</v>
      </c>
      <c r="L4113" s="83" t="str">
        <f>"SI_106478"</f>
        <v>SI_106478</v>
      </c>
      <c r="M4113" s="84">
        <v>42203</v>
      </c>
      <c r="N4113" s="85">
        <f t="shared" si="1250"/>
        <v>1609</v>
      </c>
      <c r="O4113" s="86">
        <f t="shared" si="1251"/>
        <v>24386.28</v>
      </c>
      <c r="P4113" s="86">
        <f t="shared" si="1252"/>
        <v>0</v>
      </c>
      <c r="Q4113" s="86">
        <f t="shared" si="1253"/>
        <v>0</v>
      </c>
      <c r="R4113" s="86">
        <f t="shared" si="1254"/>
        <v>0</v>
      </c>
      <c r="S4113" s="86">
        <f t="shared" si="1255"/>
        <v>0</v>
      </c>
      <c r="T4113" s="86">
        <f t="shared" si="1256"/>
        <v>24386.28</v>
      </c>
      <c r="U4113" s="87">
        <v>24386.28</v>
      </c>
    </row>
    <row r="4114" spans="1:21" s="30" customFormat="1" ht="24.6" hidden="1" outlineLevel="1" x14ac:dyDescent="0.55000000000000004">
      <c r="A4114" s="27" t="s">
        <v>327</v>
      </c>
      <c r="B4114" s="28"/>
      <c r="C4114" s="27"/>
      <c r="D4114" s="27" t="str">
        <f>"""NAV Direct"",""CRONUS JetCorp USA"",""21"",""1"",""97973"""</f>
        <v>"NAV Direct","CRONUS JetCorp USA","21","1","97973"</v>
      </c>
      <c r="E4114" s="31" t="str">
        <f t="shared" si="1248"/>
        <v>C100116</v>
      </c>
      <c r="F4114" s="31"/>
      <c r="G4114" s="31"/>
      <c r="H4114" s="31"/>
      <c r="I4114" s="56"/>
      <c r="J4114" s="56"/>
      <c r="K4114" s="82" t="str">
        <f t="shared" si="1249"/>
        <v>Invoice</v>
      </c>
      <c r="L4114" s="83" t="str">
        <f>"SI_106479"</f>
        <v>SI_106479</v>
      </c>
      <c r="M4114" s="84">
        <v>42203</v>
      </c>
      <c r="N4114" s="85">
        <f t="shared" si="1250"/>
        <v>1609</v>
      </c>
      <c r="O4114" s="86">
        <f t="shared" si="1251"/>
        <v>24386.170000000002</v>
      </c>
      <c r="P4114" s="86">
        <f t="shared" si="1252"/>
        <v>0</v>
      </c>
      <c r="Q4114" s="86">
        <f t="shared" si="1253"/>
        <v>0</v>
      </c>
      <c r="R4114" s="86">
        <f t="shared" si="1254"/>
        <v>0</v>
      </c>
      <c r="S4114" s="86">
        <f t="shared" si="1255"/>
        <v>0</v>
      </c>
      <c r="T4114" s="86">
        <f t="shared" si="1256"/>
        <v>24386.170000000002</v>
      </c>
      <c r="U4114" s="87">
        <v>24386.170000000002</v>
      </c>
    </row>
    <row r="4115" spans="1:21" s="30" customFormat="1" ht="24.6" hidden="1" outlineLevel="1" x14ac:dyDescent="0.55000000000000004">
      <c r="A4115" s="27" t="s">
        <v>327</v>
      </c>
      <c r="B4115" s="28"/>
      <c r="C4115" s="27"/>
      <c r="D4115" s="27" t="str">
        <f>"""NAV Direct"",""CRONUS JetCorp USA"",""21"",""1"",""98022"""</f>
        <v>"NAV Direct","CRONUS JetCorp USA","21","1","98022"</v>
      </c>
      <c r="E4115" s="31">
        <f t="shared" si="1248"/>
        <v>0</v>
      </c>
      <c r="F4115" s="31"/>
      <c r="G4115" s="31"/>
      <c r="H4115" s="31"/>
      <c r="I4115" s="56"/>
      <c r="J4115" s="56"/>
      <c r="K4115" s="82" t="str">
        <f t="shared" si="1249"/>
        <v>Invoice</v>
      </c>
      <c r="L4115" s="83" t="str">
        <f>"SI_106480"</f>
        <v>SI_106480</v>
      </c>
      <c r="M4115" s="84">
        <v>42215</v>
      </c>
      <c r="N4115" s="85">
        <f t="shared" si="1250"/>
        <v>1597</v>
      </c>
      <c r="O4115" s="86">
        <f t="shared" si="1251"/>
        <v>16896.239999999998</v>
      </c>
      <c r="P4115" s="86">
        <f t="shared" si="1252"/>
        <v>0</v>
      </c>
      <c r="Q4115" s="86">
        <f t="shared" si="1253"/>
        <v>0</v>
      </c>
      <c r="R4115" s="86">
        <f t="shared" si="1254"/>
        <v>0</v>
      </c>
      <c r="S4115" s="86">
        <f t="shared" si="1255"/>
        <v>0</v>
      </c>
      <c r="T4115" s="86">
        <f t="shared" si="1256"/>
        <v>16896.239999999998</v>
      </c>
      <c r="U4115" s="87">
        <v>16896.239999999998</v>
      </c>
    </row>
    <row r="4116" spans="1:21" s="30" customFormat="1" ht="24.6" hidden="1" outlineLevel="1" x14ac:dyDescent="0.55000000000000004">
      <c r="A4116" s="27" t="s">
        <v>327</v>
      </c>
      <c r="B4116" s="28"/>
      <c r="C4116" s="27"/>
      <c r="D4116" s="27" t="str">
        <f>"""NAV Direct"",""CRONUS JetCorp USA"",""21"",""1"",""98074"""</f>
        <v>"NAV Direct","CRONUS JetCorp USA","21","1","98074"</v>
      </c>
      <c r="E4116" s="31" t="str">
        <f t="shared" si="1248"/>
        <v>C100116</v>
      </c>
      <c r="F4116" s="31"/>
      <c r="G4116" s="31"/>
      <c r="H4116" s="31"/>
      <c r="I4116" s="56"/>
      <c r="J4116" s="56"/>
      <c r="K4116" s="82" t="str">
        <f t="shared" si="1249"/>
        <v>Invoice</v>
      </c>
      <c r="L4116" s="83" t="str">
        <f>"SI_106482"</f>
        <v>SI_106482</v>
      </c>
      <c r="M4116" s="84">
        <v>42255</v>
      </c>
      <c r="N4116" s="85">
        <f t="shared" si="1250"/>
        <v>1557</v>
      </c>
      <c r="O4116" s="86">
        <f t="shared" si="1251"/>
        <v>15207.130000000001</v>
      </c>
      <c r="P4116" s="86">
        <f t="shared" si="1252"/>
        <v>0</v>
      </c>
      <c r="Q4116" s="86">
        <f t="shared" si="1253"/>
        <v>0</v>
      </c>
      <c r="R4116" s="86">
        <f t="shared" si="1254"/>
        <v>0</v>
      </c>
      <c r="S4116" s="86">
        <f t="shared" si="1255"/>
        <v>0</v>
      </c>
      <c r="T4116" s="86">
        <f t="shared" si="1256"/>
        <v>15207.130000000001</v>
      </c>
      <c r="U4116" s="87">
        <v>15207.130000000001</v>
      </c>
    </row>
    <row r="4117" spans="1:21" s="30" customFormat="1" ht="24.6" hidden="1" outlineLevel="1" x14ac:dyDescent="0.55000000000000004">
      <c r="A4117" s="27" t="s">
        <v>327</v>
      </c>
      <c r="B4117" s="28"/>
      <c r="C4117" s="27"/>
      <c r="D4117" s="27" t="str">
        <f>"""NAV Direct"",""CRONUS JetCorp USA"",""21"",""1"",""377524"""</f>
        <v>"NAV Direct","CRONUS JetCorp USA","21","1","377524"</v>
      </c>
      <c r="E4117" s="31">
        <f t="shared" si="1248"/>
        <v>0</v>
      </c>
      <c r="F4117" s="31"/>
      <c r="G4117" s="31"/>
      <c r="H4117" s="31"/>
      <c r="I4117" s="56"/>
      <c r="J4117" s="56"/>
      <c r="K4117" s="82" t="str">
        <f t="shared" si="1249"/>
        <v>Invoice</v>
      </c>
      <c r="L4117" s="83" t="str">
        <f>"SI_111738"</f>
        <v>SI_111738</v>
      </c>
      <c r="M4117" s="84">
        <v>42633</v>
      </c>
      <c r="N4117" s="85">
        <f t="shared" si="1250"/>
        <v>1179</v>
      </c>
      <c r="O4117" s="86">
        <f t="shared" si="1251"/>
        <v>11287.28</v>
      </c>
      <c r="P4117" s="86">
        <f t="shared" si="1252"/>
        <v>0</v>
      </c>
      <c r="Q4117" s="86">
        <f t="shared" si="1253"/>
        <v>0</v>
      </c>
      <c r="R4117" s="86">
        <f t="shared" si="1254"/>
        <v>0</v>
      </c>
      <c r="S4117" s="86">
        <f t="shared" si="1255"/>
        <v>0</v>
      </c>
      <c r="T4117" s="86">
        <f t="shared" si="1256"/>
        <v>11287.28</v>
      </c>
      <c r="U4117" s="87">
        <v>11287.28</v>
      </c>
    </row>
    <row r="4118" spans="1:21" s="30" customFormat="1" ht="24.6" hidden="1" outlineLevel="1" x14ac:dyDescent="0.55000000000000004">
      <c r="A4118" s="27" t="s">
        <v>327</v>
      </c>
      <c r="B4118" s="28"/>
      <c r="C4118" s="27"/>
      <c r="D4118" s="27" t="str">
        <f>"""NAV Direct"",""CRONUS JetCorp USA"",""21"",""1"",""377640"""</f>
        <v>"NAV Direct","CRONUS JetCorp USA","21","1","377640"</v>
      </c>
      <c r="E4118" s="31" t="str">
        <f t="shared" si="1248"/>
        <v>C100116</v>
      </c>
      <c r="F4118" s="31"/>
      <c r="G4118" s="31"/>
      <c r="H4118" s="31"/>
      <c r="I4118" s="56"/>
      <c r="J4118" s="56"/>
      <c r="K4118" s="82" t="str">
        <f t="shared" si="1249"/>
        <v>Invoice</v>
      </c>
      <c r="L4118" s="83" t="str">
        <f>"SI_111742"</f>
        <v>SI_111742</v>
      </c>
      <c r="M4118" s="84">
        <v>42683</v>
      </c>
      <c r="N4118" s="85">
        <f t="shared" si="1250"/>
        <v>1129</v>
      </c>
      <c r="O4118" s="86">
        <f t="shared" si="1251"/>
        <v>11419.56</v>
      </c>
      <c r="P4118" s="86">
        <f t="shared" si="1252"/>
        <v>0</v>
      </c>
      <c r="Q4118" s="86">
        <f t="shared" si="1253"/>
        <v>0</v>
      </c>
      <c r="R4118" s="86">
        <f t="shared" si="1254"/>
        <v>0</v>
      </c>
      <c r="S4118" s="86">
        <f t="shared" si="1255"/>
        <v>0</v>
      </c>
      <c r="T4118" s="86">
        <f t="shared" si="1256"/>
        <v>11419.56</v>
      </c>
      <c r="U4118" s="87">
        <v>11419.56</v>
      </c>
    </row>
    <row r="4119" spans="1:21" s="30" customFormat="1" ht="24.6" hidden="1" outlineLevel="1" x14ac:dyDescent="0.55000000000000004">
      <c r="A4119" s="27" t="s">
        <v>327</v>
      </c>
      <c r="B4119" s="28"/>
      <c r="C4119" s="27"/>
      <c r="D4119" s="27" t="str">
        <f>"""NAV Direct"",""CRONUS JetCorp USA"",""21"",""1"",""377748"""</f>
        <v>"NAV Direct","CRONUS JetCorp USA","21","1","377748"</v>
      </c>
      <c r="E4119" s="31">
        <f t="shared" si="1248"/>
        <v>0</v>
      </c>
      <c r="F4119" s="31"/>
      <c r="G4119" s="31"/>
      <c r="H4119" s="31"/>
      <c r="I4119" s="56"/>
      <c r="J4119" s="56"/>
      <c r="K4119" s="82" t="str">
        <f t="shared" si="1249"/>
        <v>Invoice</v>
      </c>
      <c r="L4119" s="83" t="str">
        <f>"SI_111746"</f>
        <v>SI_111746</v>
      </c>
      <c r="M4119" s="84">
        <v>42813</v>
      </c>
      <c r="N4119" s="85">
        <f t="shared" si="1250"/>
        <v>999</v>
      </c>
      <c r="O4119" s="86">
        <f t="shared" si="1251"/>
        <v>12499.89</v>
      </c>
      <c r="P4119" s="86">
        <f t="shared" si="1252"/>
        <v>0</v>
      </c>
      <c r="Q4119" s="86">
        <f t="shared" si="1253"/>
        <v>0</v>
      </c>
      <c r="R4119" s="86">
        <f t="shared" si="1254"/>
        <v>0</v>
      </c>
      <c r="S4119" s="86">
        <f t="shared" si="1255"/>
        <v>0</v>
      </c>
      <c r="T4119" s="86">
        <f t="shared" si="1256"/>
        <v>12499.89</v>
      </c>
      <c r="U4119" s="87">
        <v>12499.89</v>
      </c>
    </row>
    <row r="4120" spans="1:21" s="30" customFormat="1" ht="24.6" hidden="1" outlineLevel="1" x14ac:dyDescent="0.55000000000000004">
      <c r="A4120" s="27" t="s">
        <v>327</v>
      </c>
      <c r="B4120" s="28"/>
      <c r="C4120" s="27"/>
      <c r="D4120" s="27" t="str">
        <f>"""NAV Direct"",""CRONUS JetCorp USA"",""21"",""1"",""377777"""</f>
        <v>"NAV Direct","CRONUS JetCorp USA","21","1","377777"</v>
      </c>
      <c r="E4120" s="31" t="str">
        <f t="shared" si="1248"/>
        <v>C100116</v>
      </c>
      <c r="F4120" s="31"/>
      <c r="G4120" s="31"/>
      <c r="H4120" s="31"/>
      <c r="I4120" s="56"/>
      <c r="J4120" s="56"/>
      <c r="K4120" s="82" t="str">
        <f t="shared" si="1249"/>
        <v>Invoice</v>
      </c>
      <c r="L4120" s="83" t="str">
        <f>"SI_111747"</f>
        <v>SI_111747</v>
      </c>
      <c r="M4120" s="84">
        <v>42807</v>
      </c>
      <c r="N4120" s="85">
        <f t="shared" si="1250"/>
        <v>1005</v>
      </c>
      <c r="O4120" s="86">
        <f t="shared" si="1251"/>
        <v>12371.98</v>
      </c>
      <c r="P4120" s="86">
        <f t="shared" si="1252"/>
        <v>0</v>
      </c>
      <c r="Q4120" s="86">
        <f t="shared" si="1253"/>
        <v>0</v>
      </c>
      <c r="R4120" s="86">
        <f t="shared" si="1254"/>
        <v>0</v>
      </c>
      <c r="S4120" s="86">
        <f t="shared" si="1255"/>
        <v>0</v>
      </c>
      <c r="T4120" s="86">
        <f t="shared" si="1256"/>
        <v>12371.98</v>
      </c>
      <c r="U4120" s="87">
        <v>12371.98</v>
      </c>
    </row>
    <row r="4121" spans="1:21" s="30" customFormat="1" ht="24.6" hidden="1" outlineLevel="1" x14ac:dyDescent="0.55000000000000004">
      <c r="A4121" s="27" t="s">
        <v>327</v>
      </c>
      <c r="B4121" s="28"/>
      <c r="C4121" s="27"/>
      <c r="D4121" s="27" t="str">
        <f>"""NAV Direct"",""CRONUS JetCorp USA"",""21"",""1"",""377836"""</f>
        <v>"NAV Direct","CRONUS JetCorp USA","21","1","377836"</v>
      </c>
      <c r="E4121" s="31">
        <f t="shared" si="1248"/>
        <v>0</v>
      </c>
      <c r="F4121" s="31"/>
      <c r="G4121" s="31"/>
      <c r="H4121" s="31"/>
      <c r="I4121" s="56"/>
      <c r="J4121" s="56"/>
      <c r="K4121" s="82" t="str">
        <f t="shared" si="1249"/>
        <v>Invoice</v>
      </c>
      <c r="L4121" s="83" t="str">
        <f>"SI_111750"</f>
        <v>SI_111750</v>
      </c>
      <c r="M4121" s="84">
        <v>42879</v>
      </c>
      <c r="N4121" s="85">
        <f t="shared" si="1250"/>
        <v>933</v>
      </c>
      <c r="O4121" s="86">
        <f t="shared" si="1251"/>
        <v>12373.75</v>
      </c>
      <c r="P4121" s="86">
        <f t="shared" si="1252"/>
        <v>0</v>
      </c>
      <c r="Q4121" s="86">
        <f t="shared" si="1253"/>
        <v>0</v>
      </c>
      <c r="R4121" s="86">
        <f t="shared" si="1254"/>
        <v>0</v>
      </c>
      <c r="S4121" s="86">
        <f t="shared" si="1255"/>
        <v>0</v>
      </c>
      <c r="T4121" s="86">
        <f t="shared" si="1256"/>
        <v>12373.75</v>
      </c>
      <c r="U4121" s="87">
        <v>12373.75</v>
      </c>
    </row>
    <row r="4122" spans="1:21" s="30" customFormat="1" ht="24.6" hidden="1" outlineLevel="1" x14ac:dyDescent="0.55000000000000004">
      <c r="A4122" s="27" t="s">
        <v>327</v>
      </c>
      <c r="B4122" s="28"/>
      <c r="C4122" s="27"/>
      <c r="D4122" s="27" t="str">
        <f>"""NAV Direct"",""CRONUS JetCorp USA"",""21"",""1"",""377906"""</f>
        <v>"NAV Direct","CRONUS JetCorp USA","21","1","377906"</v>
      </c>
      <c r="E4122" s="31" t="str">
        <f t="shared" si="1248"/>
        <v>C100116</v>
      </c>
      <c r="F4122" s="31"/>
      <c r="G4122" s="31"/>
      <c r="H4122" s="31"/>
      <c r="I4122" s="56"/>
      <c r="J4122" s="56"/>
      <c r="K4122" s="82" t="str">
        <f t="shared" si="1249"/>
        <v>Invoice</v>
      </c>
      <c r="L4122" s="83" t="str">
        <f>"SI_111752"</f>
        <v>SI_111752</v>
      </c>
      <c r="M4122" s="84">
        <v>42894</v>
      </c>
      <c r="N4122" s="85">
        <f t="shared" si="1250"/>
        <v>918</v>
      </c>
      <c r="O4122" s="86">
        <f t="shared" si="1251"/>
        <v>13405.26</v>
      </c>
      <c r="P4122" s="86">
        <f t="shared" si="1252"/>
        <v>0</v>
      </c>
      <c r="Q4122" s="86">
        <f t="shared" si="1253"/>
        <v>0</v>
      </c>
      <c r="R4122" s="86">
        <f t="shared" si="1254"/>
        <v>0</v>
      </c>
      <c r="S4122" s="86">
        <f t="shared" si="1255"/>
        <v>0</v>
      </c>
      <c r="T4122" s="86">
        <f t="shared" si="1256"/>
        <v>13405.26</v>
      </c>
      <c r="U4122" s="87">
        <v>13405.26</v>
      </c>
    </row>
    <row r="4123" spans="1:21" s="30" customFormat="1" ht="24.6" hidden="1" outlineLevel="1" x14ac:dyDescent="0.55000000000000004">
      <c r="A4123" s="27" t="s">
        <v>327</v>
      </c>
      <c r="B4123" s="28"/>
      <c r="C4123" s="27"/>
      <c r="D4123" s="27" t="str">
        <f>"""NAV Direct"",""CRONUS JetCorp USA"",""21"",""1"",""377984"""</f>
        <v>"NAV Direct","CRONUS JetCorp USA","21","1","377984"</v>
      </c>
      <c r="E4123" s="31">
        <f t="shared" si="1248"/>
        <v>0</v>
      </c>
      <c r="F4123" s="31"/>
      <c r="G4123" s="31"/>
      <c r="H4123" s="31"/>
      <c r="I4123" s="56"/>
      <c r="J4123" s="56"/>
      <c r="K4123" s="82" t="str">
        <f t="shared" si="1249"/>
        <v>Invoice</v>
      </c>
      <c r="L4123" s="83" t="str">
        <f>"SI_111754"</f>
        <v>SI_111754</v>
      </c>
      <c r="M4123" s="84">
        <v>42938</v>
      </c>
      <c r="N4123" s="85">
        <f t="shared" si="1250"/>
        <v>874</v>
      </c>
      <c r="O4123" s="86">
        <f t="shared" si="1251"/>
        <v>14880.210000000001</v>
      </c>
      <c r="P4123" s="86">
        <f t="shared" si="1252"/>
        <v>0</v>
      </c>
      <c r="Q4123" s="86">
        <f t="shared" si="1253"/>
        <v>0</v>
      </c>
      <c r="R4123" s="86">
        <f t="shared" si="1254"/>
        <v>0</v>
      </c>
      <c r="S4123" s="86">
        <f t="shared" si="1255"/>
        <v>0</v>
      </c>
      <c r="T4123" s="86">
        <f t="shared" si="1256"/>
        <v>14880.210000000001</v>
      </c>
      <c r="U4123" s="87">
        <v>14880.210000000001</v>
      </c>
    </row>
    <row r="4124" spans="1:21" s="30" customFormat="1" ht="24.6" hidden="1" outlineLevel="1" x14ac:dyDescent="0.55000000000000004">
      <c r="A4124" s="27" t="s">
        <v>327</v>
      </c>
      <c r="B4124" s="28"/>
      <c r="C4124" s="27"/>
      <c r="D4124" s="27" t="str">
        <f>"""NAV Direct"",""CRONUS JetCorp USA"",""21"",""1"",""378318"""</f>
        <v>"NAV Direct","CRONUS JetCorp USA","21","1","378318"</v>
      </c>
      <c r="E4124" s="31" t="str">
        <f t="shared" si="1248"/>
        <v>C100116</v>
      </c>
      <c r="F4124" s="31"/>
      <c r="G4124" s="31"/>
      <c r="H4124" s="31"/>
      <c r="I4124" s="56"/>
      <c r="J4124" s="56"/>
      <c r="K4124" s="82" t="str">
        <f t="shared" si="1249"/>
        <v>Invoice</v>
      </c>
      <c r="L4124" s="83" t="str">
        <f>"SI_111764"</f>
        <v>SI_111764</v>
      </c>
      <c r="M4124" s="84">
        <v>43146</v>
      </c>
      <c r="N4124" s="85">
        <f t="shared" si="1250"/>
        <v>666</v>
      </c>
      <c r="O4124" s="86">
        <f t="shared" si="1251"/>
        <v>14166.61</v>
      </c>
      <c r="P4124" s="86">
        <f t="shared" si="1252"/>
        <v>0</v>
      </c>
      <c r="Q4124" s="86">
        <f t="shared" si="1253"/>
        <v>0</v>
      </c>
      <c r="R4124" s="86">
        <f t="shared" si="1254"/>
        <v>0</v>
      </c>
      <c r="S4124" s="86">
        <f t="shared" si="1255"/>
        <v>0</v>
      </c>
      <c r="T4124" s="86">
        <f t="shared" si="1256"/>
        <v>14166.61</v>
      </c>
      <c r="U4124" s="87">
        <v>14166.61</v>
      </c>
    </row>
    <row r="4125" spans="1:21" s="30" customFormat="1" ht="24.6" hidden="1" outlineLevel="1" x14ac:dyDescent="0.55000000000000004">
      <c r="A4125" s="27" t="s">
        <v>327</v>
      </c>
      <c r="B4125" s="28"/>
      <c r="C4125" s="27"/>
      <c r="D4125" s="27" t="str">
        <f>"""NAV Direct"",""CRONUS JetCorp USA"",""21"",""1"",""378374"""</f>
        <v>"NAV Direct","CRONUS JetCorp USA","21","1","378374"</v>
      </c>
      <c r="E4125" s="31">
        <f t="shared" si="1248"/>
        <v>0</v>
      </c>
      <c r="F4125" s="31"/>
      <c r="G4125" s="31"/>
      <c r="H4125" s="31"/>
      <c r="I4125" s="56"/>
      <c r="J4125" s="56"/>
      <c r="K4125" s="82" t="str">
        <f t="shared" si="1249"/>
        <v>Invoice</v>
      </c>
      <c r="L4125" s="83" t="str">
        <f>"SI_111766"</f>
        <v>SI_111766</v>
      </c>
      <c r="M4125" s="84">
        <v>43184</v>
      </c>
      <c r="N4125" s="85">
        <f t="shared" si="1250"/>
        <v>628</v>
      </c>
      <c r="O4125" s="86">
        <f t="shared" si="1251"/>
        <v>12739.089999999998</v>
      </c>
      <c r="P4125" s="86">
        <f t="shared" si="1252"/>
        <v>0</v>
      </c>
      <c r="Q4125" s="86">
        <f t="shared" si="1253"/>
        <v>0</v>
      </c>
      <c r="R4125" s="86">
        <f t="shared" si="1254"/>
        <v>0</v>
      </c>
      <c r="S4125" s="86">
        <f t="shared" si="1255"/>
        <v>0</v>
      </c>
      <c r="T4125" s="86">
        <f t="shared" si="1256"/>
        <v>12739.089999999998</v>
      </c>
      <c r="U4125" s="87">
        <v>12739.089999999998</v>
      </c>
    </row>
    <row r="4126" spans="1:21" s="30" customFormat="1" ht="24.6" hidden="1" outlineLevel="1" x14ac:dyDescent="0.55000000000000004">
      <c r="A4126" s="27" t="s">
        <v>327</v>
      </c>
      <c r="B4126" s="28"/>
      <c r="C4126" s="27"/>
      <c r="D4126" s="27" t="str">
        <f>"""NAV Direct"",""CRONUS JetCorp USA"",""21"",""1"",""378413"""</f>
        <v>"NAV Direct","CRONUS JetCorp USA","21","1","378413"</v>
      </c>
      <c r="E4126" s="31" t="str">
        <f t="shared" si="1248"/>
        <v>C100116</v>
      </c>
      <c r="F4126" s="31"/>
      <c r="G4126" s="31"/>
      <c r="H4126" s="31"/>
      <c r="I4126" s="56"/>
      <c r="J4126" s="56"/>
      <c r="K4126" s="82" t="str">
        <f t="shared" si="1249"/>
        <v>Invoice</v>
      </c>
      <c r="L4126" s="83" t="str">
        <f>"SI_111767"</f>
        <v>SI_111767</v>
      </c>
      <c r="M4126" s="84">
        <v>43205</v>
      </c>
      <c r="N4126" s="85">
        <f t="shared" si="1250"/>
        <v>607</v>
      </c>
      <c r="O4126" s="86">
        <f t="shared" si="1251"/>
        <v>12739.12</v>
      </c>
      <c r="P4126" s="86">
        <f t="shared" si="1252"/>
        <v>0</v>
      </c>
      <c r="Q4126" s="86">
        <f t="shared" si="1253"/>
        <v>0</v>
      </c>
      <c r="R4126" s="86">
        <f t="shared" si="1254"/>
        <v>0</v>
      </c>
      <c r="S4126" s="86">
        <f t="shared" si="1255"/>
        <v>0</v>
      </c>
      <c r="T4126" s="86">
        <f t="shared" si="1256"/>
        <v>12739.12</v>
      </c>
      <c r="U4126" s="87">
        <v>12739.12</v>
      </c>
    </row>
    <row r="4127" spans="1:21" s="30" customFormat="1" ht="24.6" hidden="1" outlineLevel="1" x14ac:dyDescent="0.55000000000000004">
      <c r="A4127" s="27" t="s">
        <v>327</v>
      </c>
      <c r="B4127" s="28"/>
      <c r="C4127" s="27"/>
      <c r="D4127" s="27" t="str">
        <f>"""NAV Direct"",""CRONUS JetCorp USA"",""21"",""1"",""378619"""</f>
        <v>"NAV Direct","CRONUS JetCorp USA","21","1","378619"</v>
      </c>
      <c r="E4127" s="31">
        <f t="shared" si="1248"/>
        <v>0</v>
      </c>
      <c r="F4127" s="31"/>
      <c r="G4127" s="31"/>
      <c r="H4127" s="31"/>
      <c r="I4127" s="56"/>
      <c r="J4127" s="56"/>
      <c r="K4127" s="82" t="str">
        <f t="shared" si="1249"/>
        <v>Invoice</v>
      </c>
      <c r="L4127" s="83" t="str">
        <f>"SI_111773"</f>
        <v>SI_111773</v>
      </c>
      <c r="M4127" s="84">
        <v>43367</v>
      </c>
      <c r="N4127" s="85">
        <f t="shared" si="1250"/>
        <v>445</v>
      </c>
      <c r="O4127" s="86">
        <f t="shared" si="1251"/>
        <v>14407.01</v>
      </c>
      <c r="P4127" s="86">
        <f t="shared" si="1252"/>
        <v>0</v>
      </c>
      <c r="Q4127" s="86">
        <f t="shared" si="1253"/>
        <v>0</v>
      </c>
      <c r="R4127" s="86">
        <f t="shared" si="1254"/>
        <v>0</v>
      </c>
      <c r="S4127" s="86">
        <f t="shared" si="1255"/>
        <v>0</v>
      </c>
      <c r="T4127" s="86">
        <f t="shared" si="1256"/>
        <v>14407.01</v>
      </c>
      <c r="U4127" s="87">
        <v>14407.01</v>
      </c>
    </row>
    <row r="4128" spans="1:21" s="30" customFormat="1" ht="24.6" hidden="1" outlineLevel="1" x14ac:dyDescent="0.55000000000000004">
      <c r="A4128" s="27" t="s">
        <v>327</v>
      </c>
      <c r="B4128" s="28"/>
      <c r="C4128" s="27"/>
      <c r="D4128" s="27" t="str">
        <f>"""NAV Direct"",""CRONUS JetCorp USA"",""21"",""1"",""378671"""</f>
        <v>"NAV Direct","CRONUS JetCorp USA","21","1","378671"</v>
      </c>
      <c r="E4128" s="31" t="str">
        <f t="shared" si="1248"/>
        <v>C100116</v>
      </c>
      <c r="F4128" s="31"/>
      <c r="G4128" s="31"/>
      <c r="H4128" s="31"/>
      <c r="I4128" s="56"/>
      <c r="J4128" s="56"/>
      <c r="K4128" s="82" t="str">
        <f t="shared" si="1249"/>
        <v>Invoice</v>
      </c>
      <c r="L4128" s="83" t="str">
        <f>"SI_111775"</f>
        <v>SI_111775</v>
      </c>
      <c r="M4128" s="84">
        <v>43410</v>
      </c>
      <c r="N4128" s="85">
        <f t="shared" si="1250"/>
        <v>402</v>
      </c>
      <c r="O4128" s="86">
        <f t="shared" si="1251"/>
        <v>12822.210000000001</v>
      </c>
      <c r="P4128" s="86">
        <f t="shared" si="1252"/>
        <v>0</v>
      </c>
      <c r="Q4128" s="86">
        <f t="shared" si="1253"/>
        <v>0</v>
      </c>
      <c r="R4128" s="86">
        <f t="shared" si="1254"/>
        <v>0</v>
      </c>
      <c r="S4128" s="86">
        <f t="shared" si="1255"/>
        <v>0</v>
      </c>
      <c r="T4128" s="86">
        <f t="shared" si="1256"/>
        <v>12822.210000000001</v>
      </c>
      <c r="U4128" s="87">
        <v>12822.210000000001</v>
      </c>
    </row>
    <row r="4129" spans="1:21" s="30" customFormat="1" ht="24.6" hidden="1" outlineLevel="1" x14ac:dyDescent="0.55000000000000004">
      <c r="A4129" s="27" t="s">
        <v>327</v>
      </c>
      <c r="B4129" s="28"/>
      <c r="C4129" s="27"/>
      <c r="D4129" s="27" t="str">
        <f>"""NAV Direct"",""CRONUS JetCorp USA"",""21"",""1"",""378936"""</f>
        <v>"NAV Direct","CRONUS JetCorp USA","21","1","378936"</v>
      </c>
      <c r="E4129" s="31">
        <f t="shared" si="1248"/>
        <v>0</v>
      </c>
      <c r="F4129" s="31"/>
      <c r="G4129" s="31"/>
      <c r="H4129" s="31"/>
      <c r="I4129" s="56"/>
      <c r="J4129" s="56"/>
      <c r="K4129" s="82" t="str">
        <f t="shared" si="1249"/>
        <v>Invoice</v>
      </c>
      <c r="L4129" s="83" t="str">
        <f>"SI_111782"</f>
        <v>SI_111782</v>
      </c>
      <c r="M4129" s="84">
        <v>43514</v>
      </c>
      <c r="N4129" s="85">
        <f t="shared" si="1250"/>
        <v>298</v>
      </c>
      <c r="O4129" s="86">
        <f t="shared" si="1251"/>
        <v>18749.690000000002</v>
      </c>
      <c r="P4129" s="86">
        <f t="shared" si="1252"/>
        <v>0</v>
      </c>
      <c r="Q4129" s="86">
        <f t="shared" si="1253"/>
        <v>0</v>
      </c>
      <c r="R4129" s="86">
        <f t="shared" si="1254"/>
        <v>0</v>
      </c>
      <c r="S4129" s="86">
        <f t="shared" si="1255"/>
        <v>0</v>
      </c>
      <c r="T4129" s="86">
        <f t="shared" si="1256"/>
        <v>18749.690000000002</v>
      </c>
      <c r="U4129" s="87">
        <v>18749.690000000002</v>
      </c>
    </row>
    <row r="4130" spans="1:21" s="30" customFormat="1" ht="24.6" hidden="1" outlineLevel="1" x14ac:dyDescent="0.55000000000000004">
      <c r="A4130" s="27" t="s">
        <v>327</v>
      </c>
      <c r="B4130" s="28"/>
      <c r="C4130" s="27"/>
      <c r="D4130" s="27" t="str">
        <f>"""NAV Direct"",""CRONUS JetCorp USA"",""21"",""1"",""379035"""</f>
        <v>"NAV Direct","CRONUS JetCorp USA","21","1","379035"</v>
      </c>
      <c r="E4130" s="31" t="str">
        <f t="shared" si="1248"/>
        <v>C100116</v>
      </c>
      <c r="F4130" s="31"/>
      <c r="G4130" s="31"/>
      <c r="H4130" s="31"/>
      <c r="I4130" s="56"/>
      <c r="J4130" s="56"/>
      <c r="K4130" s="82" t="str">
        <f t="shared" si="1249"/>
        <v>Invoice</v>
      </c>
      <c r="L4130" s="83" t="str">
        <f>"SI_111785"</f>
        <v>SI_111785</v>
      </c>
      <c r="M4130" s="84">
        <v>43533</v>
      </c>
      <c r="N4130" s="85">
        <f t="shared" si="1250"/>
        <v>279</v>
      </c>
      <c r="O4130" s="86">
        <f t="shared" si="1251"/>
        <v>20836.71</v>
      </c>
      <c r="P4130" s="86">
        <f t="shared" si="1252"/>
        <v>0</v>
      </c>
      <c r="Q4130" s="86">
        <f t="shared" si="1253"/>
        <v>0</v>
      </c>
      <c r="R4130" s="86">
        <f t="shared" si="1254"/>
        <v>0</v>
      </c>
      <c r="S4130" s="86">
        <f t="shared" si="1255"/>
        <v>0</v>
      </c>
      <c r="T4130" s="86">
        <f t="shared" si="1256"/>
        <v>20836.71</v>
      </c>
      <c r="U4130" s="87">
        <v>20836.71</v>
      </c>
    </row>
    <row r="4131" spans="1:21" s="30" customFormat="1" ht="24.6" hidden="1" outlineLevel="1" x14ac:dyDescent="0.55000000000000004">
      <c r="A4131" s="27" t="s">
        <v>327</v>
      </c>
      <c r="B4131" s="28"/>
      <c r="C4131" s="27"/>
      <c r="D4131" s="27" t="str">
        <f>"""NAV Direct"",""CRONUS JetCorp USA"",""21"",""1"",""379082"""</f>
        <v>"NAV Direct","CRONUS JetCorp USA","21","1","379082"</v>
      </c>
      <c r="E4131" s="31">
        <f t="shared" si="1248"/>
        <v>0</v>
      </c>
      <c r="F4131" s="31"/>
      <c r="G4131" s="31"/>
      <c r="H4131" s="31"/>
      <c r="I4131" s="56"/>
      <c r="J4131" s="56"/>
      <c r="K4131" s="82" t="str">
        <f t="shared" si="1249"/>
        <v>Invoice</v>
      </c>
      <c r="L4131" s="83" t="str">
        <f>"SI_111786"</f>
        <v>SI_111786</v>
      </c>
      <c r="M4131" s="84">
        <v>43563</v>
      </c>
      <c r="N4131" s="85">
        <f t="shared" si="1250"/>
        <v>249</v>
      </c>
      <c r="O4131" s="86">
        <f t="shared" si="1251"/>
        <v>22687.26</v>
      </c>
      <c r="P4131" s="86">
        <f t="shared" si="1252"/>
        <v>0</v>
      </c>
      <c r="Q4131" s="86">
        <f t="shared" si="1253"/>
        <v>0</v>
      </c>
      <c r="R4131" s="86">
        <f t="shared" si="1254"/>
        <v>0</v>
      </c>
      <c r="S4131" s="86">
        <f t="shared" si="1255"/>
        <v>0</v>
      </c>
      <c r="T4131" s="86">
        <f t="shared" si="1256"/>
        <v>22687.26</v>
      </c>
      <c r="U4131" s="87">
        <v>22687.26</v>
      </c>
    </row>
    <row r="4132" spans="1:21" s="30" customFormat="1" ht="24.6" hidden="1" outlineLevel="1" x14ac:dyDescent="0.55000000000000004">
      <c r="A4132" s="27" t="s">
        <v>327</v>
      </c>
      <c r="B4132" s="28"/>
      <c r="C4132" s="27"/>
      <c r="D4132" s="27" t="str">
        <f>"""NAV Direct"",""CRONUS JetCorp USA"",""21"",""1"",""379189"""</f>
        <v>"NAV Direct","CRONUS JetCorp USA","21","1","379189"</v>
      </c>
      <c r="E4132" s="31" t="str">
        <f t="shared" si="1248"/>
        <v>C100116</v>
      </c>
      <c r="F4132" s="31"/>
      <c r="G4132" s="31"/>
      <c r="H4132" s="31"/>
      <c r="I4132" s="56"/>
      <c r="J4132" s="56"/>
      <c r="K4132" s="82" t="str">
        <f t="shared" si="1249"/>
        <v>Invoice</v>
      </c>
      <c r="L4132" s="83" t="str">
        <f>"SI_111789"</f>
        <v>SI_111789</v>
      </c>
      <c r="M4132" s="84">
        <v>43602</v>
      </c>
      <c r="N4132" s="85">
        <f t="shared" si="1250"/>
        <v>210</v>
      </c>
      <c r="O4132" s="86">
        <f t="shared" si="1251"/>
        <v>24473.68</v>
      </c>
      <c r="P4132" s="86">
        <f t="shared" si="1252"/>
        <v>0</v>
      </c>
      <c r="Q4132" s="86">
        <f t="shared" si="1253"/>
        <v>0</v>
      </c>
      <c r="R4132" s="86">
        <f t="shared" si="1254"/>
        <v>0</v>
      </c>
      <c r="S4132" s="86">
        <f t="shared" si="1255"/>
        <v>0</v>
      </c>
      <c r="T4132" s="86">
        <f t="shared" si="1256"/>
        <v>24473.68</v>
      </c>
      <c r="U4132" s="87">
        <v>24473.68</v>
      </c>
    </row>
    <row r="4133" spans="1:21" s="30" customFormat="1" ht="24.6" hidden="1" outlineLevel="1" x14ac:dyDescent="0.55000000000000004">
      <c r="A4133" s="27" t="s">
        <v>327</v>
      </c>
      <c r="B4133" s="28"/>
      <c r="C4133" s="27"/>
      <c r="D4133" s="27" t="str">
        <f>"""NAV Direct"",""CRONUS JetCorp USA"",""21"",""1"",""379439"""</f>
        <v>"NAV Direct","CRONUS JetCorp USA","21","1","379439"</v>
      </c>
      <c r="E4133" s="31">
        <f t="shared" si="1248"/>
        <v>0</v>
      </c>
      <c r="F4133" s="31"/>
      <c r="G4133" s="31"/>
      <c r="H4133" s="31"/>
      <c r="I4133" s="56"/>
      <c r="J4133" s="56"/>
      <c r="K4133" s="82" t="str">
        <f t="shared" si="1249"/>
        <v>Invoice</v>
      </c>
      <c r="L4133" s="83" t="str">
        <f>"SI_111795"</f>
        <v>SI_111795</v>
      </c>
      <c r="M4133" s="84">
        <v>43725</v>
      </c>
      <c r="N4133" s="85">
        <f t="shared" si="1250"/>
        <v>87</v>
      </c>
      <c r="O4133" s="86">
        <f t="shared" si="1251"/>
        <v>18222.260000000002</v>
      </c>
      <c r="P4133" s="86">
        <f t="shared" si="1252"/>
        <v>0</v>
      </c>
      <c r="Q4133" s="86">
        <f t="shared" si="1253"/>
        <v>0</v>
      </c>
      <c r="R4133" s="86">
        <f t="shared" si="1254"/>
        <v>0</v>
      </c>
      <c r="S4133" s="86">
        <f t="shared" si="1255"/>
        <v>18222.260000000002</v>
      </c>
      <c r="T4133" s="86">
        <f t="shared" si="1256"/>
        <v>0</v>
      </c>
      <c r="U4133" s="87">
        <v>18222.260000000002</v>
      </c>
    </row>
    <row r="4134" spans="1:21" s="30" customFormat="1" ht="24.6" hidden="1" outlineLevel="1" x14ac:dyDescent="0.55000000000000004">
      <c r="A4134" s="27" t="s">
        <v>327</v>
      </c>
      <c r="B4134" s="28"/>
      <c r="C4134" s="27"/>
      <c r="D4134" s="27" t="str">
        <f>"""NAV Direct"",""CRONUS JetCorp USA"",""21"",""1"",""380312"""</f>
        <v>"NAV Direct","CRONUS JetCorp USA","21","1","380312"</v>
      </c>
      <c r="E4134" s="31" t="str">
        <f t="shared" si="1248"/>
        <v>C100116</v>
      </c>
      <c r="F4134" s="31"/>
      <c r="G4134" s="31"/>
      <c r="H4134" s="31"/>
      <c r="I4134" s="56"/>
      <c r="J4134" s="56"/>
      <c r="K4134" s="82" t="str">
        <f t="shared" si="1249"/>
        <v>Invoice</v>
      </c>
      <c r="L4134" s="83" t="str">
        <f>"SI_111818"</f>
        <v>SI_111818</v>
      </c>
      <c r="M4134" s="84">
        <v>42299</v>
      </c>
      <c r="N4134" s="85">
        <f t="shared" si="1250"/>
        <v>1513</v>
      </c>
      <c r="O4134" s="86">
        <f t="shared" si="1251"/>
        <v>18248.84</v>
      </c>
      <c r="P4134" s="86">
        <f t="shared" si="1252"/>
        <v>0</v>
      </c>
      <c r="Q4134" s="86">
        <f t="shared" si="1253"/>
        <v>0</v>
      </c>
      <c r="R4134" s="86">
        <f t="shared" si="1254"/>
        <v>0</v>
      </c>
      <c r="S4134" s="86">
        <f t="shared" si="1255"/>
        <v>0</v>
      </c>
      <c r="T4134" s="86">
        <f t="shared" si="1256"/>
        <v>18248.84</v>
      </c>
      <c r="U4134" s="87">
        <v>18248.84</v>
      </c>
    </row>
    <row r="4135" spans="1:21" s="30" customFormat="1" ht="24.6" hidden="1" outlineLevel="1" x14ac:dyDescent="0.55000000000000004">
      <c r="A4135" s="27" t="s">
        <v>327</v>
      </c>
      <c r="B4135" s="28"/>
      <c r="C4135" s="27"/>
      <c r="D4135" s="27" t="str">
        <f>"""NAV Direct"",""CRONUS JetCorp USA"",""21"",""1"",""380394"""</f>
        <v>"NAV Direct","CRONUS JetCorp USA","21","1","380394"</v>
      </c>
      <c r="E4135" s="31">
        <f t="shared" si="1248"/>
        <v>0</v>
      </c>
      <c r="F4135" s="31"/>
      <c r="G4135" s="31"/>
      <c r="H4135" s="31"/>
      <c r="I4135" s="56"/>
      <c r="J4135" s="56"/>
      <c r="K4135" s="82" t="str">
        <f t="shared" si="1249"/>
        <v>Invoice</v>
      </c>
      <c r="L4135" s="83" t="str">
        <f>"SI_111820"</f>
        <v>SI_111820</v>
      </c>
      <c r="M4135" s="84">
        <v>42319</v>
      </c>
      <c r="N4135" s="85">
        <f t="shared" si="1250"/>
        <v>1493</v>
      </c>
      <c r="O4135" s="86">
        <f t="shared" si="1251"/>
        <v>20134.690000000002</v>
      </c>
      <c r="P4135" s="86">
        <f t="shared" si="1252"/>
        <v>0</v>
      </c>
      <c r="Q4135" s="86">
        <f t="shared" si="1253"/>
        <v>0</v>
      </c>
      <c r="R4135" s="86">
        <f t="shared" si="1254"/>
        <v>0</v>
      </c>
      <c r="S4135" s="86">
        <f t="shared" si="1255"/>
        <v>0</v>
      </c>
      <c r="T4135" s="86">
        <f t="shared" si="1256"/>
        <v>20134.690000000002</v>
      </c>
      <c r="U4135" s="87">
        <v>20134.690000000002</v>
      </c>
    </row>
    <row r="4136" spans="1:21" s="30" customFormat="1" ht="24.6" hidden="1" outlineLevel="1" x14ac:dyDescent="0.55000000000000004">
      <c r="A4136" s="27" t="s">
        <v>327</v>
      </c>
      <c r="B4136" s="28"/>
      <c r="C4136" s="27"/>
      <c r="D4136" s="27" t="str">
        <f>"""NAV Direct"",""CRONUS JetCorp USA"",""21"",""1"",""380478"""</f>
        <v>"NAV Direct","CRONUS JetCorp USA","21","1","380478"</v>
      </c>
      <c r="E4136" s="31" t="str">
        <f t="shared" si="1248"/>
        <v>C100116</v>
      </c>
      <c r="F4136" s="31"/>
      <c r="G4136" s="31"/>
      <c r="H4136" s="31"/>
      <c r="I4136" s="56"/>
      <c r="J4136" s="56"/>
      <c r="K4136" s="82" t="str">
        <f t="shared" si="1249"/>
        <v>Invoice</v>
      </c>
      <c r="L4136" s="83" t="str">
        <f>"SI_111822"</f>
        <v>SI_111822</v>
      </c>
      <c r="M4136" s="84">
        <v>42750</v>
      </c>
      <c r="N4136" s="85">
        <f t="shared" si="1250"/>
        <v>1062</v>
      </c>
      <c r="O4136" s="86">
        <f t="shared" si="1251"/>
        <v>24731.48</v>
      </c>
      <c r="P4136" s="86">
        <f t="shared" si="1252"/>
        <v>0</v>
      </c>
      <c r="Q4136" s="86">
        <f t="shared" si="1253"/>
        <v>0</v>
      </c>
      <c r="R4136" s="86">
        <f t="shared" si="1254"/>
        <v>0</v>
      </c>
      <c r="S4136" s="86">
        <f t="shared" si="1255"/>
        <v>0</v>
      </c>
      <c r="T4136" s="86">
        <f t="shared" si="1256"/>
        <v>24731.48</v>
      </c>
      <c r="U4136" s="87">
        <v>24731.48</v>
      </c>
    </row>
    <row r="4137" spans="1:21" s="30" customFormat="1" ht="24.6" hidden="1" outlineLevel="1" x14ac:dyDescent="0.55000000000000004">
      <c r="A4137" s="27" t="s">
        <v>327</v>
      </c>
      <c r="B4137" s="28"/>
      <c r="C4137" s="27"/>
      <c r="D4137" s="27" t="str">
        <f>"""NAV Direct"",""CRONUS JetCorp USA"",""21"",""1"",""380529"""</f>
        <v>"NAV Direct","CRONUS JetCorp USA","21","1","380529"</v>
      </c>
      <c r="E4137" s="31">
        <f t="shared" si="1248"/>
        <v>0</v>
      </c>
      <c r="F4137" s="31"/>
      <c r="G4137" s="31"/>
      <c r="H4137" s="31"/>
      <c r="I4137" s="56"/>
      <c r="J4137" s="56"/>
      <c r="K4137" s="82" t="str">
        <f t="shared" si="1249"/>
        <v>Invoice</v>
      </c>
      <c r="L4137" s="83" t="str">
        <f>"SI_111823"</f>
        <v>SI_111823</v>
      </c>
      <c r="M4137" s="84">
        <v>42757</v>
      </c>
      <c r="N4137" s="85">
        <f t="shared" si="1250"/>
        <v>1055</v>
      </c>
      <c r="O4137" s="86">
        <f t="shared" si="1251"/>
        <v>24730.770000000004</v>
      </c>
      <c r="P4137" s="86">
        <f t="shared" si="1252"/>
        <v>0</v>
      </c>
      <c r="Q4137" s="86">
        <f t="shared" si="1253"/>
        <v>0</v>
      </c>
      <c r="R4137" s="86">
        <f t="shared" si="1254"/>
        <v>0</v>
      </c>
      <c r="S4137" s="86">
        <f t="shared" si="1255"/>
        <v>0</v>
      </c>
      <c r="T4137" s="86">
        <f t="shared" si="1256"/>
        <v>24730.770000000004</v>
      </c>
      <c r="U4137" s="87">
        <v>24730.770000000004</v>
      </c>
    </row>
    <row r="4138" spans="1:21" s="30" customFormat="1" ht="24.6" hidden="1" outlineLevel="1" x14ac:dyDescent="0.55000000000000004">
      <c r="A4138" s="27" t="s">
        <v>327</v>
      </c>
      <c r="B4138" s="28"/>
      <c r="C4138" s="27"/>
      <c r="D4138" s="27" t="str">
        <f>"""NAV Direct"",""CRONUS JetCorp USA"",""21"",""1"",""437988"""</f>
        <v>"NAV Direct","CRONUS JetCorp USA","21","1","437988"</v>
      </c>
      <c r="E4138" s="31" t="str">
        <f t="shared" si="1248"/>
        <v>C100116</v>
      </c>
      <c r="F4138" s="31"/>
      <c r="G4138" s="31"/>
      <c r="H4138" s="31"/>
      <c r="I4138" s="56"/>
      <c r="J4138" s="56"/>
      <c r="K4138" s="82" t="str">
        <f>"Credit Memo"</f>
        <v>Credit Memo</v>
      </c>
      <c r="L4138" s="83" t="str">
        <f>"SC_100784"</f>
        <v>SC_100784</v>
      </c>
      <c r="M4138" s="84">
        <v>42725</v>
      </c>
      <c r="N4138" s="85">
        <f t="shared" si="1250"/>
        <v>1087</v>
      </c>
      <c r="O4138" s="86">
        <f t="shared" si="1251"/>
        <v>-137.68</v>
      </c>
      <c r="P4138" s="86">
        <f t="shared" si="1252"/>
        <v>0</v>
      </c>
      <c r="Q4138" s="86">
        <f t="shared" si="1253"/>
        <v>0</v>
      </c>
      <c r="R4138" s="86">
        <f t="shared" si="1254"/>
        <v>0</v>
      </c>
      <c r="S4138" s="86">
        <f t="shared" si="1255"/>
        <v>0</v>
      </c>
      <c r="T4138" s="86">
        <f t="shared" si="1256"/>
        <v>-137.68</v>
      </c>
      <c r="U4138" s="87">
        <v>-137.68</v>
      </c>
    </row>
    <row r="4139" spans="1:21" s="30" customFormat="1" ht="24.6" hidden="1" outlineLevel="1" x14ac:dyDescent="0.55000000000000004">
      <c r="A4139" s="27" t="s">
        <v>327</v>
      </c>
      <c r="B4139" s="28"/>
      <c r="C4139" s="27"/>
      <c r="D4139" s="27" t="str">
        <f>"""NAV Direct"",""CRONUS JetCorp USA"",""21"",""1"",""438012"""</f>
        <v>"NAV Direct","CRONUS JetCorp USA","21","1","438012"</v>
      </c>
      <c r="E4139" s="31">
        <f t="shared" si="1248"/>
        <v>0</v>
      </c>
      <c r="F4139" s="31"/>
      <c r="G4139" s="31"/>
      <c r="H4139" s="31"/>
      <c r="I4139" s="56"/>
      <c r="J4139" s="56"/>
      <c r="K4139" s="82" t="str">
        <f>"Credit Memo"</f>
        <v>Credit Memo</v>
      </c>
      <c r="L4139" s="83" t="str">
        <f>"SC_100786"</f>
        <v>SC_100786</v>
      </c>
      <c r="M4139" s="84">
        <v>42808</v>
      </c>
      <c r="N4139" s="85">
        <f t="shared" si="1250"/>
        <v>1004</v>
      </c>
      <c r="O4139" s="86">
        <f t="shared" si="1251"/>
        <v>-111.27</v>
      </c>
      <c r="P4139" s="86">
        <f t="shared" si="1252"/>
        <v>0</v>
      </c>
      <c r="Q4139" s="86">
        <f t="shared" si="1253"/>
        <v>0</v>
      </c>
      <c r="R4139" s="86">
        <f t="shared" si="1254"/>
        <v>0</v>
      </c>
      <c r="S4139" s="86">
        <f t="shared" si="1255"/>
        <v>0</v>
      </c>
      <c r="T4139" s="86">
        <f t="shared" si="1256"/>
        <v>-111.27</v>
      </c>
      <c r="U4139" s="87">
        <v>-111.27</v>
      </c>
    </row>
    <row r="4140" spans="1:21" s="30" customFormat="1" ht="24.6" hidden="1" outlineLevel="1" x14ac:dyDescent="0.55000000000000004">
      <c r="A4140" s="27" t="s">
        <v>327</v>
      </c>
      <c r="B4140" s="28"/>
      <c r="C4140" s="27"/>
      <c r="D4140" s="27" t="str">
        <f>"""NAV Direct"",""CRONUS JetCorp USA"",""21"",""1"",""438078"""</f>
        <v>"NAV Direct","CRONUS JetCorp USA","21","1","438078"</v>
      </c>
      <c r="E4140" s="31" t="str">
        <f t="shared" si="1248"/>
        <v>C100116</v>
      </c>
      <c r="F4140" s="31"/>
      <c r="G4140" s="31"/>
      <c r="H4140" s="31"/>
      <c r="I4140" s="56"/>
      <c r="J4140" s="56"/>
      <c r="K4140" s="82" t="str">
        <f>"Credit Memo"</f>
        <v>Credit Memo</v>
      </c>
      <c r="L4140" s="83" t="str">
        <f>"SC_100790"</f>
        <v>SC_100790</v>
      </c>
      <c r="M4140" s="84">
        <v>43103</v>
      </c>
      <c r="N4140" s="85">
        <f t="shared" si="1250"/>
        <v>709</v>
      </c>
      <c r="O4140" s="86">
        <f t="shared" si="1251"/>
        <v>-141.01000000000002</v>
      </c>
      <c r="P4140" s="86">
        <f t="shared" si="1252"/>
        <v>0</v>
      </c>
      <c r="Q4140" s="86">
        <f t="shared" si="1253"/>
        <v>0</v>
      </c>
      <c r="R4140" s="86">
        <f t="shared" si="1254"/>
        <v>0</v>
      </c>
      <c r="S4140" s="86">
        <f t="shared" si="1255"/>
        <v>0</v>
      </c>
      <c r="T4140" s="86">
        <f t="shared" si="1256"/>
        <v>-141.01000000000002</v>
      </c>
      <c r="U4140" s="87">
        <v>-141.01000000000002</v>
      </c>
    </row>
    <row r="4141" spans="1:21" s="30" customFormat="1" ht="24.6" hidden="1" outlineLevel="1" x14ac:dyDescent="0.55000000000000004">
      <c r="A4141" s="27" t="s">
        <v>327</v>
      </c>
      <c r="B4141" s="28"/>
      <c r="C4141" s="27"/>
      <c r="D4141" s="27" t="str">
        <f>"""NAV Direct"",""CRONUS JetCorp USA"",""21"",""1"",""438117"""</f>
        <v>"NAV Direct","CRONUS JetCorp USA","21","1","438117"</v>
      </c>
      <c r="E4141" s="31">
        <f t="shared" si="1248"/>
        <v>0</v>
      </c>
      <c r="F4141" s="31"/>
      <c r="G4141" s="31"/>
      <c r="H4141" s="31"/>
      <c r="I4141" s="56"/>
      <c r="J4141" s="56"/>
      <c r="K4141" s="82" t="str">
        <f>"Credit Memo"</f>
        <v>Credit Memo</v>
      </c>
      <c r="L4141" s="83" t="str">
        <f>"SC_100793"</f>
        <v>SC_100793</v>
      </c>
      <c r="M4141" s="84">
        <v>43236</v>
      </c>
      <c r="N4141" s="85">
        <f t="shared" si="1250"/>
        <v>576</v>
      </c>
      <c r="O4141" s="86">
        <f t="shared" si="1251"/>
        <v>-154.97999999999999</v>
      </c>
      <c r="P4141" s="86">
        <f t="shared" si="1252"/>
        <v>0</v>
      </c>
      <c r="Q4141" s="86">
        <f t="shared" si="1253"/>
        <v>0</v>
      </c>
      <c r="R4141" s="86">
        <f t="shared" si="1254"/>
        <v>0</v>
      </c>
      <c r="S4141" s="86">
        <f t="shared" si="1255"/>
        <v>0</v>
      </c>
      <c r="T4141" s="86">
        <f t="shared" si="1256"/>
        <v>-154.97999999999999</v>
      </c>
      <c r="U4141" s="87">
        <v>-154.97999999999999</v>
      </c>
    </row>
    <row r="4142" spans="1:21" s="30" customFormat="1" ht="24.6" hidden="1" outlineLevel="1" x14ac:dyDescent="0.55000000000000004">
      <c r="A4142" s="27" t="s">
        <v>327</v>
      </c>
      <c r="B4142" s="28"/>
      <c r="C4142" s="27"/>
      <c r="D4142" s="27" t="str">
        <f>"""NAV Direct"",""CRONUS JetCorp USA"",""21"",""1"",""438209"""</f>
        <v>"NAV Direct","CRONUS JetCorp USA","21","1","438209"</v>
      </c>
      <c r="E4142" s="31" t="str">
        <f t="shared" si="1248"/>
        <v>C100116</v>
      </c>
      <c r="F4142" s="31"/>
      <c r="G4142" s="31"/>
      <c r="H4142" s="31"/>
      <c r="I4142" s="56"/>
      <c r="J4142" s="56"/>
      <c r="K4142" s="82" t="str">
        <f>"Credit Memo"</f>
        <v>Credit Memo</v>
      </c>
      <c r="L4142" s="83" t="str">
        <f>"SC_100799"</f>
        <v>SC_100799</v>
      </c>
      <c r="M4142" s="84">
        <v>42178</v>
      </c>
      <c r="N4142" s="85">
        <f t="shared" si="1250"/>
        <v>1634</v>
      </c>
      <c r="O4142" s="86">
        <f t="shared" si="1251"/>
        <v>-243.23999999999998</v>
      </c>
      <c r="P4142" s="86">
        <f t="shared" si="1252"/>
        <v>0</v>
      </c>
      <c r="Q4142" s="86">
        <f t="shared" si="1253"/>
        <v>0</v>
      </c>
      <c r="R4142" s="86">
        <f t="shared" si="1254"/>
        <v>0</v>
      </c>
      <c r="S4142" s="86">
        <f t="shared" si="1255"/>
        <v>0</v>
      </c>
      <c r="T4142" s="86">
        <f t="shared" si="1256"/>
        <v>-243.23999999999998</v>
      </c>
      <c r="U4142" s="87">
        <v>-243.23999999999998</v>
      </c>
    </row>
    <row r="4143" spans="1:21" s="22" customFormat="1" ht="20.399999999999999" collapsed="1" x14ac:dyDescent="0.45">
      <c r="A4143" s="12" t="s">
        <v>327</v>
      </c>
      <c r="B4143" s="19"/>
      <c r="C4143" s="12"/>
      <c r="D4143" s="12"/>
      <c r="E4143" s="23"/>
      <c r="F4143" s="23"/>
      <c r="G4143" s="23"/>
      <c r="H4143" s="23"/>
      <c r="I4143" s="49"/>
      <c r="J4143" s="88"/>
      <c r="K4143" s="88"/>
      <c r="L4143" s="89"/>
      <c r="M4143" s="89"/>
      <c r="N4143" s="89"/>
      <c r="O4143" s="89"/>
      <c r="P4143" s="89"/>
      <c r="Q4143" s="90"/>
      <c r="R4143" s="90"/>
      <c r="S4143" s="91"/>
      <c r="T4143" s="92"/>
      <c r="U4143" s="92"/>
    </row>
    <row r="4144" spans="1:21" s="22" customFormat="1" ht="20.399999999999999" x14ac:dyDescent="0.45">
      <c r="A4144" s="12" t="s">
        <v>327</v>
      </c>
      <c r="B4144" s="19"/>
      <c r="C4144" s="12"/>
      <c r="D4144" s="12"/>
      <c r="E4144" s="23"/>
      <c r="F4144" s="23"/>
      <c r="G4144" s="23"/>
      <c r="H4144" s="23"/>
      <c r="I4144" s="49"/>
      <c r="J4144" s="88"/>
      <c r="K4144" s="88"/>
      <c r="L4144" s="89"/>
      <c r="M4144" s="89"/>
      <c r="N4144" s="89"/>
      <c r="O4144" s="89"/>
      <c r="P4144" s="89"/>
      <c r="Q4144" s="90"/>
      <c r="R4144" s="90"/>
      <c r="S4144" s="91"/>
      <c r="T4144" s="92"/>
      <c r="U4144" s="92"/>
    </row>
    <row r="4145" spans="1:22" s="26" customFormat="1" ht="24.6" x14ac:dyDescent="0.55000000000000004">
      <c r="A4145" s="27" t="s">
        <v>327</v>
      </c>
      <c r="B4145" s="28"/>
      <c r="C4145" s="27" t="str">
        <f>"""NAV Direct"",""CRONUS JetCorp USA"",""18"",""1"",""C100117"""</f>
        <v>"NAV Direct","CRONUS JetCorp USA","18","1","C100117"</v>
      </c>
      <c r="D4145" s="27"/>
      <c r="E4145" s="28" t="str">
        <f>H4145</f>
        <v>C100117</v>
      </c>
      <c r="F4145" s="28"/>
      <c r="G4145" s="28"/>
      <c r="H4145" s="28" t="str">
        <f>"C100117"</f>
        <v>C100117</v>
      </c>
      <c r="I4145" s="116" t="str">
        <f>"C100117  -  Tintax "</f>
        <v xml:space="preserve">C100117  -  Tintax </v>
      </c>
      <c r="J4145" s="117" t="str">
        <f>""</f>
        <v/>
      </c>
      <c r="K4145" s="118"/>
      <c r="L4145" s="119">
        <f>SUBTOTAL(3,L4146:L4166)</f>
        <v>17</v>
      </c>
      <c r="M4145" s="118"/>
      <c r="N4145" s="118"/>
      <c r="O4145" s="120">
        <f t="shared" ref="O4145:T4145" si="1257">SUBTOTAL(9,O4146:O4166)</f>
        <v>42814.559999999998</v>
      </c>
      <c r="P4145" s="120">
        <f t="shared" si="1257"/>
        <v>0</v>
      </c>
      <c r="Q4145" s="120">
        <f t="shared" si="1257"/>
        <v>0</v>
      </c>
      <c r="R4145" s="120">
        <f t="shared" si="1257"/>
        <v>0</v>
      </c>
      <c r="S4145" s="120">
        <f t="shared" si="1257"/>
        <v>-34.57</v>
      </c>
      <c r="T4145" s="120">
        <f t="shared" si="1257"/>
        <v>42849.13</v>
      </c>
      <c r="U4145" s="81"/>
    </row>
    <row r="4146" spans="1:22" s="26" customFormat="1" ht="24.6" x14ac:dyDescent="0.55000000000000004">
      <c r="A4146" s="27" t="s">
        <v>327</v>
      </c>
      <c r="B4146" s="28"/>
      <c r="C4146" s="27" t="str">
        <f>C4145</f>
        <v>"NAV Direct","CRONUS JetCorp USA","18","1","C100117"</v>
      </c>
      <c r="D4146" s="27"/>
      <c r="E4146" s="28" t="str">
        <f>E4145</f>
        <v>C100117</v>
      </c>
      <c r="F4146" s="28"/>
      <c r="G4146" s="28"/>
      <c r="H4146" s="28"/>
      <c r="I4146" s="121" t="str">
        <f>"Contact: Bolrock Van Locker"</f>
        <v>Contact: Bolrock Van Locker</v>
      </c>
      <c r="J4146" s="121"/>
      <c r="K4146" s="122"/>
      <c r="L4146" s="123"/>
      <c r="M4146" s="123"/>
      <c r="N4146" s="124"/>
      <c r="O4146" s="124"/>
      <c r="P4146" s="123"/>
      <c r="Q4146" s="125"/>
      <c r="R4146" s="126"/>
      <c r="S4146" s="126"/>
      <c r="T4146" s="125"/>
      <c r="U4146" s="81"/>
    </row>
    <row r="4147" spans="1:22" s="26" customFormat="1" ht="24.6" x14ac:dyDescent="0.55000000000000004">
      <c r="A4147" s="27" t="s">
        <v>327</v>
      </c>
      <c r="B4147" s="28"/>
      <c r="C4147" s="27" t="str">
        <f>C4146</f>
        <v>"NAV Direct","CRONUS JetCorp USA","18","1","C100117"</v>
      </c>
      <c r="D4147" s="27"/>
      <c r="E4147" s="28" t="str">
        <f>E4146</f>
        <v>C100117</v>
      </c>
      <c r="F4147" s="28"/>
      <c r="G4147" s="28"/>
      <c r="H4147" s="28"/>
      <c r="I4147" s="121" t="str">
        <f>"Tintax @Cronus.com"</f>
        <v>Tintax @Cronus.com</v>
      </c>
      <c r="J4147" s="121"/>
      <c r="K4147" s="122"/>
      <c r="L4147" s="124"/>
      <c r="M4147" s="124"/>
      <c r="N4147" s="124"/>
      <c r="O4147" s="124"/>
      <c r="P4147" s="123"/>
      <c r="Q4147" s="125"/>
      <c r="R4147" s="126"/>
      <c r="S4147" s="126"/>
      <c r="T4147" s="125"/>
      <c r="U4147" s="81"/>
    </row>
    <row r="4148" spans="1:22" ht="12.75" hidden="1" customHeight="1" outlineLevel="1" x14ac:dyDescent="0.45">
      <c r="A4148" s="12" t="s">
        <v>328</v>
      </c>
      <c r="B4148" s="19"/>
      <c r="E4148" s="19"/>
      <c r="F4148" s="19"/>
      <c r="G4148" s="19"/>
      <c r="H4148" s="19"/>
      <c r="I4148" s="61"/>
      <c r="J4148" s="61"/>
      <c r="K4148" s="61"/>
      <c r="L4148" s="61"/>
      <c r="M4148" s="61"/>
      <c r="N4148" s="61"/>
      <c r="O4148" s="61"/>
      <c r="P4148" s="61"/>
      <c r="Q4148" s="61"/>
      <c r="R4148" s="61"/>
      <c r="S4148" s="61"/>
      <c r="T4148" s="61"/>
      <c r="U4148" s="61"/>
      <c r="V4148" s="21"/>
    </row>
    <row r="4149" spans="1:22" s="30" customFormat="1" ht="24.6" hidden="1" outlineLevel="1" x14ac:dyDescent="0.55000000000000004">
      <c r="A4149" s="27" t="s">
        <v>327</v>
      </c>
      <c r="B4149" s="28"/>
      <c r="C4149" s="27"/>
      <c r="D4149" s="27" t="str">
        <f>"""NAV Direct"",""CRONUS JetCorp USA"",""21"",""1"",""209481"""</f>
        <v>"NAV Direct","CRONUS JetCorp USA","21","1","209481"</v>
      </c>
      <c r="E4149" s="31" t="str">
        <f t="shared" ref="E4149:E4165" si="1258">E4147</f>
        <v>C100117</v>
      </c>
      <c r="F4149" s="31"/>
      <c r="G4149" s="31"/>
      <c r="H4149" s="31"/>
      <c r="I4149" s="56"/>
      <c r="J4149" s="56"/>
      <c r="K4149" s="82" t="str">
        <f t="shared" ref="K4149:K4159" si="1259">"Invoice"</f>
        <v>Invoice</v>
      </c>
      <c r="L4149" s="83" t="str">
        <f>"SI_108474"</f>
        <v>SI_108474</v>
      </c>
      <c r="M4149" s="84">
        <v>42037</v>
      </c>
      <c r="N4149" s="85">
        <f t="shared" ref="N4149:N4165" si="1260">StartDate-$M4149+1</f>
        <v>1775</v>
      </c>
      <c r="O4149" s="86">
        <f t="shared" ref="O4149:O4165" si="1261">SUM(P4149:T4149)</f>
        <v>3537.7799999999997</v>
      </c>
      <c r="P4149" s="86">
        <f t="shared" ref="P4149:P4165" si="1262">IF($M4149&gt;=$P$18,U4149,0)</f>
        <v>0</v>
      </c>
      <c r="Q4149" s="86">
        <f t="shared" ref="Q4149:Q4165" si="1263">IF(AND($M4149&gt;=$Q$16,$M4149&lt;=$Q$18),U4149,0)</f>
        <v>0</v>
      </c>
      <c r="R4149" s="86">
        <f t="shared" ref="R4149:R4165" si="1264">IF(AND($M4149&gt;=$R$16,$M4149&lt;=$R$18),U4149,0)</f>
        <v>0</v>
      </c>
      <c r="S4149" s="86">
        <f t="shared" ref="S4149:S4165" si="1265">IF(AND($M4149&gt;=$S$16,$M4149&lt;=$S$18),U4149,0)</f>
        <v>0</v>
      </c>
      <c r="T4149" s="86">
        <f t="shared" ref="T4149:T4165" si="1266">IF($M4149&lt;=$T$18,U4149,0)</f>
        <v>3537.7799999999997</v>
      </c>
      <c r="U4149" s="87">
        <v>3537.7799999999997</v>
      </c>
    </row>
    <row r="4150" spans="1:22" s="30" customFormat="1" ht="24.6" hidden="1" outlineLevel="1" x14ac:dyDescent="0.55000000000000004">
      <c r="A4150" s="27" t="s">
        <v>327</v>
      </c>
      <c r="B4150" s="28"/>
      <c r="C4150" s="27"/>
      <c r="D4150" s="27" t="str">
        <f>"""NAV Direct"",""CRONUS JetCorp USA"",""21"",""1"",""209590"""</f>
        <v>"NAV Direct","CRONUS JetCorp USA","21","1","209590"</v>
      </c>
      <c r="E4150" s="31">
        <f t="shared" si="1258"/>
        <v>0</v>
      </c>
      <c r="F4150" s="31"/>
      <c r="G4150" s="31"/>
      <c r="H4150" s="31"/>
      <c r="I4150" s="56"/>
      <c r="J4150" s="56"/>
      <c r="K4150" s="82" t="str">
        <f t="shared" si="1259"/>
        <v>Invoice</v>
      </c>
      <c r="L4150" s="83" t="str">
        <f>"SI_108477"</f>
        <v>SI_108477</v>
      </c>
      <c r="M4150" s="84">
        <v>42061</v>
      </c>
      <c r="N4150" s="85">
        <f t="shared" si="1260"/>
        <v>1751</v>
      </c>
      <c r="O4150" s="86">
        <f t="shared" si="1261"/>
        <v>3622.08</v>
      </c>
      <c r="P4150" s="86">
        <f t="shared" si="1262"/>
        <v>0</v>
      </c>
      <c r="Q4150" s="86">
        <f t="shared" si="1263"/>
        <v>0</v>
      </c>
      <c r="R4150" s="86">
        <f t="shared" si="1264"/>
        <v>0</v>
      </c>
      <c r="S4150" s="86">
        <f t="shared" si="1265"/>
        <v>0</v>
      </c>
      <c r="T4150" s="86">
        <f t="shared" si="1266"/>
        <v>3622.08</v>
      </c>
      <c r="U4150" s="87">
        <v>3622.08</v>
      </c>
    </row>
    <row r="4151" spans="1:22" s="30" customFormat="1" ht="24.6" hidden="1" outlineLevel="1" x14ac:dyDescent="0.55000000000000004">
      <c r="A4151" s="27" t="s">
        <v>327</v>
      </c>
      <c r="B4151" s="28"/>
      <c r="C4151" s="27"/>
      <c r="D4151" s="27" t="str">
        <f>"""NAV Direct"",""CRONUS JetCorp USA"",""21"",""1"",""209836"""</f>
        <v>"NAV Direct","CRONUS JetCorp USA","21","1","209836"</v>
      </c>
      <c r="E4151" s="31" t="str">
        <f t="shared" si="1258"/>
        <v>C100117</v>
      </c>
      <c r="F4151" s="31"/>
      <c r="G4151" s="31"/>
      <c r="H4151" s="31"/>
      <c r="I4151" s="56"/>
      <c r="J4151" s="56"/>
      <c r="K4151" s="82" t="str">
        <f t="shared" si="1259"/>
        <v>Invoice</v>
      </c>
      <c r="L4151" s="83" t="str">
        <f>"SI_108483"</f>
        <v>SI_108483</v>
      </c>
      <c r="M4151" s="84">
        <v>42073</v>
      </c>
      <c r="N4151" s="85">
        <f t="shared" si="1260"/>
        <v>1739</v>
      </c>
      <c r="O4151" s="86">
        <f t="shared" si="1261"/>
        <v>3622.52</v>
      </c>
      <c r="P4151" s="86">
        <f t="shared" si="1262"/>
        <v>0</v>
      </c>
      <c r="Q4151" s="86">
        <f t="shared" si="1263"/>
        <v>0</v>
      </c>
      <c r="R4151" s="86">
        <f t="shared" si="1264"/>
        <v>0</v>
      </c>
      <c r="S4151" s="86">
        <f t="shared" si="1265"/>
        <v>0</v>
      </c>
      <c r="T4151" s="86">
        <f t="shared" si="1266"/>
        <v>3622.52</v>
      </c>
      <c r="U4151" s="87">
        <v>3622.52</v>
      </c>
    </row>
    <row r="4152" spans="1:22" s="30" customFormat="1" ht="24.6" hidden="1" outlineLevel="1" x14ac:dyDescent="0.55000000000000004">
      <c r="A4152" s="27" t="s">
        <v>327</v>
      </c>
      <c r="B4152" s="28"/>
      <c r="C4152" s="27"/>
      <c r="D4152" s="27" t="str">
        <f>"""NAV Direct"",""CRONUS JetCorp USA"",""21"",""1"",""210989"""</f>
        <v>"NAV Direct","CRONUS JetCorp USA","21","1","210989"</v>
      </c>
      <c r="E4152" s="31">
        <f t="shared" si="1258"/>
        <v>0</v>
      </c>
      <c r="F4152" s="31"/>
      <c r="G4152" s="31"/>
      <c r="H4152" s="31"/>
      <c r="I4152" s="56"/>
      <c r="J4152" s="56"/>
      <c r="K4152" s="82" t="str">
        <f t="shared" si="1259"/>
        <v>Invoice</v>
      </c>
      <c r="L4152" s="83" t="str">
        <f>"SI_108511"</f>
        <v>SI_108511</v>
      </c>
      <c r="M4152" s="84">
        <v>42161</v>
      </c>
      <c r="N4152" s="85">
        <f t="shared" si="1260"/>
        <v>1651</v>
      </c>
      <c r="O4152" s="86">
        <f t="shared" si="1261"/>
        <v>3971.2</v>
      </c>
      <c r="P4152" s="86">
        <f t="shared" si="1262"/>
        <v>0</v>
      </c>
      <c r="Q4152" s="86">
        <f t="shared" si="1263"/>
        <v>0</v>
      </c>
      <c r="R4152" s="86">
        <f t="shared" si="1264"/>
        <v>0</v>
      </c>
      <c r="S4152" s="86">
        <f t="shared" si="1265"/>
        <v>0</v>
      </c>
      <c r="T4152" s="86">
        <f t="shared" si="1266"/>
        <v>3971.2</v>
      </c>
      <c r="U4152" s="87">
        <v>3971.2</v>
      </c>
    </row>
    <row r="4153" spans="1:22" s="30" customFormat="1" ht="24.6" hidden="1" outlineLevel="1" x14ac:dyDescent="0.55000000000000004">
      <c r="A4153" s="27" t="s">
        <v>327</v>
      </c>
      <c r="B4153" s="28"/>
      <c r="C4153" s="27"/>
      <c r="D4153" s="27" t="str">
        <f>"""NAV Direct"",""CRONUS JetCorp USA"",""21"",""1"",""211347"""</f>
        <v>"NAV Direct","CRONUS JetCorp USA","21","1","211347"</v>
      </c>
      <c r="E4153" s="31" t="str">
        <f t="shared" si="1258"/>
        <v>C100117</v>
      </c>
      <c r="F4153" s="31"/>
      <c r="G4153" s="31"/>
      <c r="H4153" s="31"/>
      <c r="I4153" s="56"/>
      <c r="J4153" s="56"/>
      <c r="K4153" s="82" t="str">
        <f t="shared" si="1259"/>
        <v>Invoice</v>
      </c>
      <c r="L4153" s="83" t="str">
        <f>"SI_108519"</f>
        <v>SI_108519</v>
      </c>
      <c r="M4153" s="84">
        <v>42188</v>
      </c>
      <c r="N4153" s="85">
        <f t="shared" si="1260"/>
        <v>1624</v>
      </c>
      <c r="O4153" s="86">
        <f t="shared" si="1261"/>
        <v>3872.3900000000003</v>
      </c>
      <c r="P4153" s="86">
        <f t="shared" si="1262"/>
        <v>0</v>
      </c>
      <c r="Q4153" s="86">
        <f t="shared" si="1263"/>
        <v>0</v>
      </c>
      <c r="R4153" s="86">
        <f t="shared" si="1264"/>
        <v>0</v>
      </c>
      <c r="S4153" s="86">
        <f t="shared" si="1265"/>
        <v>0</v>
      </c>
      <c r="T4153" s="86">
        <f t="shared" si="1266"/>
        <v>3872.3900000000003</v>
      </c>
      <c r="U4153" s="87">
        <v>3872.3900000000003</v>
      </c>
    </row>
    <row r="4154" spans="1:22" s="30" customFormat="1" ht="24.6" hidden="1" outlineLevel="1" x14ac:dyDescent="0.55000000000000004">
      <c r="A4154" s="27" t="s">
        <v>327</v>
      </c>
      <c r="B4154" s="28"/>
      <c r="C4154" s="27"/>
      <c r="D4154" s="27" t="str">
        <f>"""NAV Direct"",""CRONUS JetCorp USA"",""21"",""1"",""212327"""</f>
        <v>"NAV Direct","CRONUS JetCorp USA","21","1","212327"</v>
      </c>
      <c r="E4154" s="31">
        <f t="shared" si="1258"/>
        <v>0</v>
      </c>
      <c r="F4154" s="31"/>
      <c r="G4154" s="31"/>
      <c r="H4154" s="31"/>
      <c r="I4154" s="56"/>
      <c r="J4154" s="56"/>
      <c r="K4154" s="82" t="str">
        <f t="shared" si="1259"/>
        <v>Invoice</v>
      </c>
      <c r="L4154" s="83" t="str">
        <f>"SI_108541"</f>
        <v>SI_108541</v>
      </c>
      <c r="M4154" s="84">
        <v>42247</v>
      </c>
      <c r="N4154" s="85">
        <f t="shared" si="1260"/>
        <v>1565</v>
      </c>
      <c r="O4154" s="86">
        <f t="shared" si="1261"/>
        <v>3988.74</v>
      </c>
      <c r="P4154" s="86">
        <f t="shared" si="1262"/>
        <v>0</v>
      </c>
      <c r="Q4154" s="86">
        <f t="shared" si="1263"/>
        <v>0</v>
      </c>
      <c r="R4154" s="86">
        <f t="shared" si="1264"/>
        <v>0</v>
      </c>
      <c r="S4154" s="86">
        <f t="shared" si="1265"/>
        <v>0</v>
      </c>
      <c r="T4154" s="86">
        <f t="shared" si="1266"/>
        <v>3988.74</v>
      </c>
      <c r="U4154" s="87">
        <v>3988.74</v>
      </c>
    </row>
    <row r="4155" spans="1:22" s="30" customFormat="1" ht="24.6" hidden="1" outlineLevel="1" x14ac:dyDescent="0.55000000000000004">
      <c r="A4155" s="27" t="s">
        <v>327</v>
      </c>
      <c r="B4155" s="28"/>
      <c r="C4155" s="27"/>
      <c r="D4155" s="27" t="str">
        <f>"""NAV Direct"",""CRONUS JetCorp USA"",""21"",""1"",""212491"""</f>
        <v>"NAV Direct","CRONUS JetCorp USA","21","1","212491"</v>
      </c>
      <c r="E4155" s="31" t="str">
        <f t="shared" si="1258"/>
        <v>C100117</v>
      </c>
      <c r="F4155" s="31"/>
      <c r="G4155" s="31"/>
      <c r="H4155" s="31"/>
      <c r="I4155" s="56"/>
      <c r="J4155" s="56"/>
      <c r="K4155" s="82" t="str">
        <f t="shared" si="1259"/>
        <v>Invoice</v>
      </c>
      <c r="L4155" s="83" t="str">
        <f>"SI_108545"</f>
        <v>SI_108545</v>
      </c>
      <c r="M4155" s="84">
        <v>42268</v>
      </c>
      <c r="N4155" s="85">
        <f t="shared" si="1260"/>
        <v>1544</v>
      </c>
      <c r="O4155" s="86">
        <f t="shared" si="1261"/>
        <v>4108.84</v>
      </c>
      <c r="P4155" s="86">
        <f t="shared" si="1262"/>
        <v>0</v>
      </c>
      <c r="Q4155" s="86">
        <f t="shared" si="1263"/>
        <v>0</v>
      </c>
      <c r="R4155" s="86">
        <f t="shared" si="1264"/>
        <v>0</v>
      </c>
      <c r="S4155" s="86">
        <f t="shared" si="1265"/>
        <v>0</v>
      </c>
      <c r="T4155" s="86">
        <f t="shared" si="1266"/>
        <v>4108.84</v>
      </c>
      <c r="U4155" s="87">
        <v>4108.84</v>
      </c>
    </row>
    <row r="4156" spans="1:22" s="30" customFormat="1" ht="24.6" hidden="1" outlineLevel="1" x14ac:dyDescent="0.55000000000000004">
      <c r="A4156" s="27" t="s">
        <v>327</v>
      </c>
      <c r="B4156" s="28"/>
      <c r="C4156" s="27"/>
      <c r="D4156" s="27" t="str">
        <f>"""NAV Direct"",""CRONUS JetCorp USA"",""21"",""1"",""212768"""</f>
        <v>"NAV Direct","CRONUS JetCorp USA","21","1","212768"</v>
      </c>
      <c r="E4156" s="31">
        <f t="shared" si="1258"/>
        <v>0</v>
      </c>
      <c r="F4156" s="31"/>
      <c r="G4156" s="31"/>
      <c r="H4156" s="31"/>
      <c r="I4156" s="56"/>
      <c r="J4156" s="56"/>
      <c r="K4156" s="82" t="str">
        <f t="shared" si="1259"/>
        <v>Invoice</v>
      </c>
      <c r="L4156" s="83" t="str">
        <f>"SI_108552"</f>
        <v>SI_108552</v>
      </c>
      <c r="M4156" s="84">
        <v>42285</v>
      </c>
      <c r="N4156" s="85">
        <f t="shared" si="1260"/>
        <v>1527</v>
      </c>
      <c r="O4156" s="86">
        <f t="shared" si="1261"/>
        <v>4150.79</v>
      </c>
      <c r="P4156" s="86">
        <f t="shared" si="1262"/>
        <v>0</v>
      </c>
      <c r="Q4156" s="86">
        <f t="shared" si="1263"/>
        <v>0</v>
      </c>
      <c r="R4156" s="86">
        <f t="shared" si="1264"/>
        <v>0</v>
      </c>
      <c r="S4156" s="86">
        <f t="shared" si="1265"/>
        <v>0</v>
      </c>
      <c r="T4156" s="86">
        <f t="shared" si="1266"/>
        <v>4150.79</v>
      </c>
      <c r="U4156" s="87">
        <v>4150.79</v>
      </c>
    </row>
    <row r="4157" spans="1:22" s="30" customFormat="1" ht="24.6" hidden="1" outlineLevel="1" x14ac:dyDescent="0.55000000000000004">
      <c r="A4157" s="27" t="s">
        <v>327</v>
      </c>
      <c r="B4157" s="28"/>
      <c r="C4157" s="27"/>
      <c r="D4157" s="27" t="str">
        <f>"""NAV Direct"",""CRONUS JetCorp USA"",""21"",""1"",""213156"""</f>
        <v>"NAV Direct","CRONUS JetCorp USA","21","1","213156"</v>
      </c>
      <c r="E4157" s="31" t="str">
        <f t="shared" si="1258"/>
        <v>C100117</v>
      </c>
      <c r="F4157" s="31"/>
      <c r="G4157" s="31"/>
      <c r="H4157" s="31"/>
      <c r="I4157" s="56"/>
      <c r="J4157" s="56"/>
      <c r="K4157" s="82" t="str">
        <f t="shared" si="1259"/>
        <v>Invoice</v>
      </c>
      <c r="L4157" s="83" t="str">
        <f>"SI_108561"</f>
        <v>SI_108561</v>
      </c>
      <c r="M4157" s="84">
        <v>42306</v>
      </c>
      <c r="N4157" s="85">
        <f t="shared" si="1260"/>
        <v>1506</v>
      </c>
      <c r="O4157" s="86">
        <f t="shared" si="1261"/>
        <v>4317.07</v>
      </c>
      <c r="P4157" s="86">
        <f t="shared" si="1262"/>
        <v>0</v>
      </c>
      <c r="Q4157" s="86">
        <f t="shared" si="1263"/>
        <v>0</v>
      </c>
      <c r="R4157" s="86">
        <f t="shared" si="1264"/>
        <v>0</v>
      </c>
      <c r="S4157" s="86">
        <f t="shared" si="1265"/>
        <v>0</v>
      </c>
      <c r="T4157" s="86">
        <f t="shared" si="1266"/>
        <v>4317.07</v>
      </c>
      <c r="U4157" s="87">
        <v>4317.07</v>
      </c>
    </row>
    <row r="4158" spans="1:22" s="30" customFormat="1" ht="24.6" hidden="1" outlineLevel="1" x14ac:dyDescent="0.55000000000000004">
      <c r="A4158" s="27" t="s">
        <v>327</v>
      </c>
      <c r="B4158" s="28"/>
      <c r="C4158" s="27"/>
      <c r="D4158" s="27" t="str">
        <f>"""NAV Direct"",""CRONUS JetCorp USA"",""21"",""1"",""213462"""</f>
        <v>"NAV Direct","CRONUS JetCorp USA","21","1","213462"</v>
      </c>
      <c r="E4158" s="31">
        <f t="shared" si="1258"/>
        <v>0</v>
      </c>
      <c r="F4158" s="31"/>
      <c r="G4158" s="31"/>
      <c r="H4158" s="31"/>
      <c r="I4158" s="56"/>
      <c r="J4158" s="56"/>
      <c r="K4158" s="82" t="str">
        <f t="shared" si="1259"/>
        <v>Invoice</v>
      </c>
      <c r="L4158" s="83" t="str">
        <f>"SI_108568"</f>
        <v>SI_108568</v>
      </c>
      <c r="M4158" s="84">
        <v>42336</v>
      </c>
      <c r="N4158" s="85">
        <f t="shared" si="1260"/>
        <v>1476</v>
      </c>
      <c r="O4158" s="86">
        <f t="shared" si="1261"/>
        <v>4360.22</v>
      </c>
      <c r="P4158" s="86">
        <f t="shared" si="1262"/>
        <v>0</v>
      </c>
      <c r="Q4158" s="86">
        <f t="shared" si="1263"/>
        <v>0</v>
      </c>
      <c r="R4158" s="86">
        <f t="shared" si="1264"/>
        <v>0</v>
      </c>
      <c r="S4158" s="86">
        <f t="shared" si="1265"/>
        <v>0</v>
      </c>
      <c r="T4158" s="86">
        <f t="shared" si="1266"/>
        <v>4360.22</v>
      </c>
      <c r="U4158" s="87">
        <v>4360.22</v>
      </c>
    </row>
    <row r="4159" spans="1:22" s="30" customFormat="1" ht="24.6" hidden="1" outlineLevel="1" x14ac:dyDescent="0.55000000000000004">
      <c r="A4159" s="27" t="s">
        <v>327</v>
      </c>
      <c r="B4159" s="28"/>
      <c r="C4159" s="27"/>
      <c r="D4159" s="27" t="str">
        <f>"""NAV Direct"",""CRONUS JetCorp USA"",""21"",""1"",""429155"""</f>
        <v>"NAV Direct","CRONUS JetCorp USA","21","1","429155"</v>
      </c>
      <c r="E4159" s="31" t="str">
        <f t="shared" si="1258"/>
        <v>C100117</v>
      </c>
      <c r="F4159" s="31"/>
      <c r="G4159" s="31"/>
      <c r="H4159" s="31"/>
      <c r="I4159" s="56"/>
      <c r="J4159" s="56"/>
      <c r="K4159" s="82" t="str">
        <f t="shared" si="1259"/>
        <v>Invoice</v>
      </c>
      <c r="L4159" s="83" t="str">
        <f>"SI_113213"</f>
        <v>SI_113213</v>
      </c>
      <c r="M4159" s="84">
        <v>43012</v>
      </c>
      <c r="N4159" s="85">
        <f t="shared" si="1260"/>
        <v>800</v>
      </c>
      <c r="O4159" s="86">
        <f t="shared" si="1261"/>
        <v>3463.4500000000003</v>
      </c>
      <c r="P4159" s="86">
        <f t="shared" si="1262"/>
        <v>0</v>
      </c>
      <c r="Q4159" s="86">
        <f t="shared" si="1263"/>
        <v>0</v>
      </c>
      <c r="R4159" s="86">
        <f t="shared" si="1264"/>
        <v>0</v>
      </c>
      <c r="S4159" s="86">
        <f t="shared" si="1265"/>
        <v>0</v>
      </c>
      <c r="T4159" s="86">
        <f t="shared" si="1266"/>
        <v>3463.4500000000003</v>
      </c>
      <c r="U4159" s="87">
        <v>3463.4500000000003</v>
      </c>
    </row>
    <row r="4160" spans="1:22" s="30" customFormat="1" ht="24.6" hidden="1" outlineLevel="1" x14ac:dyDescent="0.55000000000000004">
      <c r="A4160" s="27" t="s">
        <v>327</v>
      </c>
      <c r="B4160" s="28"/>
      <c r="C4160" s="27"/>
      <c r="D4160" s="27" t="str">
        <f>"""NAV Direct"",""CRONUS JetCorp USA"",""21"",""1"",""444299"""</f>
        <v>"NAV Direct","CRONUS JetCorp USA","21","1","444299"</v>
      </c>
      <c r="E4160" s="31">
        <f t="shared" si="1258"/>
        <v>0</v>
      </c>
      <c r="F4160" s="31"/>
      <c r="G4160" s="31"/>
      <c r="H4160" s="31"/>
      <c r="I4160" s="56"/>
      <c r="J4160" s="56"/>
      <c r="K4160" s="82" t="str">
        <f t="shared" ref="K4160:K4165" si="1267">"Credit Memo"</f>
        <v>Credit Memo</v>
      </c>
      <c r="L4160" s="83" t="str">
        <f>"SC_101159"</f>
        <v>SC_101159</v>
      </c>
      <c r="M4160" s="84">
        <v>42959</v>
      </c>
      <c r="N4160" s="85">
        <f t="shared" si="1260"/>
        <v>853</v>
      </c>
      <c r="O4160" s="86">
        <f t="shared" si="1261"/>
        <v>-35.29</v>
      </c>
      <c r="P4160" s="86">
        <f t="shared" si="1262"/>
        <v>0</v>
      </c>
      <c r="Q4160" s="86">
        <f t="shared" si="1263"/>
        <v>0</v>
      </c>
      <c r="R4160" s="86">
        <f t="shared" si="1264"/>
        <v>0</v>
      </c>
      <c r="S4160" s="86">
        <f t="shared" si="1265"/>
        <v>0</v>
      </c>
      <c r="T4160" s="86">
        <f t="shared" si="1266"/>
        <v>-35.29</v>
      </c>
      <c r="U4160" s="87">
        <v>-35.29</v>
      </c>
    </row>
    <row r="4161" spans="1:22" s="30" customFormat="1" ht="24.6" hidden="1" outlineLevel="1" x14ac:dyDescent="0.55000000000000004">
      <c r="A4161" s="27" t="s">
        <v>327</v>
      </c>
      <c r="B4161" s="28"/>
      <c r="C4161" s="27"/>
      <c r="D4161" s="27" t="str">
        <f>"""NAV Direct"",""CRONUS JetCorp USA"",""21"",""1"",""444497"""</f>
        <v>"NAV Direct","CRONUS JetCorp USA","21","1","444497"</v>
      </c>
      <c r="E4161" s="31" t="str">
        <f t="shared" si="1258"/>
        <v>C100117</v>
      </c>
      <c r="F4161" s="31"/>
      <c r="G4161" s="31"/>
      <c r="H4161" s="31"/>
      <c r="I4161" s="56"/>
      <c r="J4161" s="56"/>
      <c r="K4161" s="82" t="str">
        <f t="shared" si="1267"/>
        <v>Credit Memo</v>
      </c>
      <c r="L4161" s="83" t="str">
        <f>"SC_101180"</f>
        <v>SC_101180</v>
      </c>
      <c r="M4161" s="84">
        <v>43329</v>
      </c>
      <c r="N4161" s="85">
        <f t="shared" si="1260"/>
        <v>483</v>
      </c>
      <c r="O4161" s="86">
        <f t="shared" si="1261"/>
        <v>-27.49</v>
      </c>
      <c r="P4161" s="86">
        <f t="shared" si="1262"/>
        <v>0</v>
      </c>
      <c r="Q4161" s="86">
        <f t="shared" si="1263"/>
        <v>0</v>
      </c>
      <c r="R4161" s="86">
        <f t="shared" si="1264"/>
        <v>0</v>
      </c>
      <c r="S4161" s="86">
        <f t="shared" si="1265"/>
        <v>0</v>
      </c>
      <c r="T4161" s="86">
        <f t="shared" si="1266"/>
        <v>-27.49</v>
      </c>
      <c r="U4161" s="87">
        <v>-27.49</v>
      </c>
    </row>
    <row r="4162" spans="1:22" s="30" customFormat="1" ht="24.6" hidden="1" outlineLevel="1" x14ac:dyDescent="0.55000000000000004">
      <c r="A4162" s="27" t="s">
        <v>327</v>
      </c>
      <c r="B4162" s="28"/>
      <c r="C4162" s="27"/>
      <c r="D4162" s="27" t="str">
        <f>"""NAV Direct"",""CRONUS JetCorp USA"",""21"",""1"",""444510"""</f>
        <v>"NAV Direct","CRONUS JetCorp USA","21","1","444510"</v>
      </c>
      <c r="E4162" s="31">
        <f t="shared" si="1258"/>
        <v>0</v>
      </c>
      <c r="F4162" s="31"/>
      <c r="G4162" s="31"/>
      <c r="H4162" s="31"/>
      <c r="I4162" s="56"/>
      <c r="J4162" s="56"/>
      <c r="K4162" s="82" t="str">
        <f t="shared" si="1267"/>
        <v>Credit Memo</v>
      </c>
      <c r="L4162" s="83" t="str">
        <f>"SC_101185"</f>
        <v>SC_101185</v>
      </c>
      <c r="M4162" s="84">
        <v>43413</v>
      </c>
      <c r="N4162" s="85">
        <f t="shared" si="1260"/>
        <v>399</v>
      </c>
      <c r="O4162" s="86">
        <f t="shared" si="1261"/>
        <v>-30.36</v>
      </c>
      <c r="P4162" s="86">
        <f t="shared" si="1262"/>
        <v>0</v>
      </c>
      <c r="Q4162" s="86">
        <f t="shared" si="1263"/>
        <v>0</v>
      </c>
      <c r="R4162" s="86">
        <f t="shared" si="1264"/>
        <v>0</v>
      </c>
      <c r="S4162" s="86">
        <f t="shared" si="1265"/>
        <v>0</v>
      </c>
      <c r="T4162" s="86">
        <f t="shared" si="1266"/>
        <v>-30.36</v>
      </c>
      <c r="U4162" s="87">
        <v>-30.36</v>
      </c>
    </row>
    <row r="4163" spans="1:22" s="30" customFormat="1" ht="24.6" hidden="1" outlineLevel="1" x14ac:dyDescent="0.55000000000000004">
      <c r="A4163" s="27" t="s">
        <v>327</v>
      </c>
      <c r="B4163" s="28"/>
      <c r="C4163" s="27"/>
      <c r="D4163" s="27" t="str">
        <f>"""NAV Direct"",""CRONUS JetCorp USA"",""21"",""1"",""444536"""</f>
        <v>"NAV Direct","CRONUS JetCorp USA","21","1","444536"</v>
      </c>
      <c r="E4163" s="31" t="str">
        <f t="shared" si="1258"/>
        <v>C100117</v>
      </c>
      <c r="F4163" s="31"/>
      <c r="G4163" s="31"/>
      <c r="H4163" s="31"/>
      <c r="I4163" s="56"/>
      <c r="J4163" s="56"/>
      <c r="K4163" s="82" t="str">
        <f t="shared" si="1267"/>
        <v>Credit Memo</v>
      </c>
      <c r="L4163" s="83" t="str">
        <f>"SC_101187"</f>
        <v>SC_101187</v>
      </c>
      <c r="M4163" s="84">
        <v>43435</v>
      </c>
      <c r="N4163" s="85">
        <f t="shared" si="1260"/>
        <v>377</v>
      </c>
      <c r="O4163" s="86">
        <f t="shared" si="1261"/>
        <v>-29.4</v>
      </c>
      <c r="P4163" s="86">
        <f t="shared" si="1262"/>
        <v>0</v>
      </c>
      <c r="Q4163" s="86">
        <f t="shared" si="1263"/>
        <v>0</v>
      </c>
      <c r="R4163" s="86">
        <f t="shared" si="1264"/>
        <v>0</v>
      </c>
      <c r="S4163" s="86">
        <f t="shared" si="1265"/>
        <v>0</v>
      </c>
      <c r="T4163" s="86">
        <f t="shared" si="1266"/>
        <v>-29.4</v>
      </c>
      <c r="U4163" s="87">
        <v>-29.4</v>
      </c>
    </row>
    <row r="4164" spans="1:22" s="30" customFormat="1" ht="24.6" hidden="1" outlineLevel="1" x14ac:dyDescent="0.55000000000000004">
      <c r="A4164" s="27" t="s">
        <v>327</v>
      </c>
      <c r="B4164" s="28"/>
      <c r="C4164" s="27"/>
      <c r="D4164" s="27" t="str">
        <f>"""NAV Direct"",""CRONUS JetCorp USA"",""21"",""1"",""444655"""</f>
        <v>"NAV Direct","CRONUS JetCorp USA","21","1","444655"</v>
      </c>
      <c r="E4164" s="31">
        <f t="shared" si="1258"/>
        <v>0</v>
      </c>
      <c r="F4164" s="31"/>
      <c r="G4164" s="31"/>
      <c r="H4164" s="31"/>
      <c r="I4164" s="56"/>
      <c r="J4164" s="56"/>
      <c r="K4164" s="82" t="str">
        <f t="shared" si="1267"/>
        <v>Credit Memo</v>
      </c>
      <c r="L4164" s="83" t="str">
        <f>"SC_101199"</f>
        <v>SC_101199</v>
      </c>
      <c r="M4164" s="84">
        <v>43748</v>
      </c>
      <c r="N4164" s="85">
        <f t="shared" si="1260"/>
        <v>64</v>
      </c>
      <c r="O4164" s="86">
        <f t="shared" si="1261"/>
        <v>-34.57</v>
      </c>
      <c r="P4164" s="86">
        <f t="shared" si="1262"/>
        <v>0</v>
      </c>
      <c r="Q4164" s="86">
        <f t="shared" si="1263"/>
        <v>0</v>
      </c>
      <c r="R4164" s="86">
        <f t="shared" si="1264"/>
        <v>0</v>
      </c>
      <c r="S4164" s="86">
        <f t="shared" si="1265"/>
        <v>-34.57</v>
      </c>
      <c r="T4164" s="86">
        <f t="shared" si="1266"/>
        <v>0</v>
      </c>
      <c r="U4164" s="87">
        <v>-34.57</v>
      </c>
    </row>
    <row r="4165" spans="1:22" s="30" customFormat="1" ht="24.6" hidden="1" outlineLevel="1" x14ac:dyDescent="0.55000000000000004">
      <c r="A4165" s="27" t="s">
        <v>327</v>
      </c>
      <c r="B4165" s="28"/>
      <c r="C4165" s="27"/>
      <c r="D4165" s="27" t="str">
        <f>"""NAV Direct"",""CRONUS JetCorp USA"",""21"",""1"",""444865"""</f>
        <v>"NAV Direct","CRONUS JetCorp USA","21","1","444865"</v>
      </c>
      <c r="E4165" s="31" t="str">
        <f t="shared" si="1258"/>
        <v>C100117</v>
      </c>
      <c r="F4165" s="31"/>
      <c r="G4165" s="31"/>
      <c r="H4165" s="31"/>
      <c r="I4165" s="56"/>
      <c r="J4165" s="56"/>
      <c r="K4165" s="82" t="str">
        <f t="shared" si="1267"/>
        <v>Credit Memo</v>
      </c>
      <c r="L4165" s="83" t="str">
        <f>"SC_101222"</f>
        <v>SC_101222</v>
      </c>
      <c r="M4165" s="84">
        <v>42326</v>
      </c>
      <c r="N4165" s="85">
        <f t="shared" si="1260"/>
        <v>1486</v>
      </c>
      <c r="O4165" s="86">
        <f t="shared" si="1261"/>
        <v>-43.41</v>
      </c>
      <c r="P4165" s="86">
        <f t="shared" si="1262"/>
        <v>0</v>
      </c>
      <c r="Q4165" s="86">
        <f t="shared" si="1263"/>
        <v>0</v>
      </c>
      <c r="R4165" s="86">
        <f t="shared" si="1264"/>
        <v>0</v>
      </c>
      <c r="S4165" s="86">
        <f t="shared" si="1265"/>
        <v>0</v>
      </c>
      <c r="T4165" s="86">
        <f t="shared" si="1266"/>
        <v>-43.41</v>
      </c>
      <c r="U4165" s="87">
        <v>-43.41</v>
      </c>
    </row>
    <row r="4166" spans="1:22" s="22" customFormat="1" ht="20.399999999999999" collapsed="1" x14ac:dyDescent="0.45">
      <c r="A4166" s="12" t="s">
        <v>327</v>
      </c>
      <c r="B4166" s="19"/>
      <c r="C4166" s="12"/>
      <c r="D4166" s="12"/>
      <c r="E4166" s="23"/>
      <c r="F4166" s="23"/>
      <c r="G4166" s="23"/>
      <c r="H4166" s="23"/>
      <c r="I4166" s="49"/>
      <c r="J4166" s="88"/>
      <c r="K4166" s="88"/>
      <c r="L4166" s="89"/>
      <c r="M4166" s="89"/>
      <c r="N4166" s="89"/>
      <c r="O4166" s="89"/>
      <c r="P4166" s="89"/>
      <c r="Q4166" s="90"/>
      <c r="R4166" s="90"/>
      <c r="S4166" s="91"/>
      <c r="T4166" s="92"/>
      <c r="U4166" s="92"/>
    </row>
    <row r="4167" spans="1:22" s="22" customFormat="1" ht="20.399999999999999" x14ac:dyDescent="0.45">
      <c r="A4167" s="12" t="s">
        <v>327</v>
      </c>
      <c r="B4167" s="19"/>
      <c r="C4167" s="12"/>
      <c r="D4167" s="12"/>
      <c r="E4167" s="23"/>
      <c r="F4167" s="23"/>
      <c r="G4167" s="23"/>
      <c r="H4167" s="23"/>
      <c r="I4167" s="49"/>
      <c r="J4167" s="88"/>
      <c r="K4167" s="88"/>
      <c r="L4167" s="89"/>
      <c r="M4167" s="89"/>
      <c r="N4167" s="89"/>
      <c r="O4167" s="89"/>
      <c r="P4167" s="89"/>
      <c r="Q4167" s="90"/>
      <c r="R4167" s="90"/>
      <c r="S4167" s="91"/>
      <c r="T4167" s="92"/>
      <c r="U4167" s="92"/>
    </row>
    <row r="4168" spans="1:22" s="26" customFormat="1" ht="24.6" x14ac:dyDescent="0.55000000000000004">
      <c r="A4168" s="27" t="s">
        <v>327</v>
      </c>
      <c r="B4168" s="28"/>
      <c r="C4168" s="27" t="str">
        <f>"""NAV Direct"",""CRONUS JetCorp USA"",""18"",""1"",""C100118"""</f>
        <v>"NAV Direct","CRONUS JetCorp USA","18","1","C100118"</v>
      </c>
      <c r="D4168" s="27"/>
      <c r="E4168" s="28" t="str">
        <f>H4168</f>
        <v>C100118</v>
      </c>
      <c r="F4168" s="28"/>
      <c r="G4168" s="28"/>
      <c r="H4168" s="28" t="str">
        <f>"C100118"</f>
        <v>C100118</v>
      </c>
      <c r="I4168" s="116" t="str">
        <f>"C100118  -  TechZone"</f>
        <v>C100118  -  TechZone</v>
      </c>
      <c r="J4168" s="117" t="str">
        <f>""</f>
        <v/>
      </c>
      <c r="K4168" s="118"/>
      <c r="L4168" s="119">
        <f>SUBTOTAL(3,L4169:L4210)</f>
        <v>38</v>
      </c>
      <c r="M4168" s="118"/>
      <c r="N4168" s="118"/>
      <c r="O4168" s="120">
        <f t="shared" ref="O4168:T4168" si="1268">SUBTOTAL(9,O4169:O4210)</f>
        <v>391354.82000000007</v>
      </c>
      <c r="P4168" s="120">
        <f t="shared" si="1268"/>
        <v>16830.28</v>
      </c>
      <c r="Q4168" s="120">
        <f t="shared" si="1268"/>
        <v>14509.19</v>
      </c>
      <c r="R4168" s="120">
        <f t="shared" si="1268"/>
        <v>0</v>
      </c>
      <c r="S4168" s="120">
        <f t="shared" si="1268"/>
        <v>-124.4</v>
      </c>
      <c r="T4168" s="120">
        <f t="shared" si="1268"/>
        <v>360139.75000000012</v>
      </c>
      <c r="U4168" s="81"/>
    </row>
    <row r="4169" spans="1:22" s="26" customFormat="1" ht="24.6" x14ac:dyDescent="0.55000000000000004">
      <c r="A4169" s="27" t="s">
        <v>327</v>
      </c>
      <c r="B4169" s="28"/>
      <c r="C4169" s="27" t="str">
        <f>C4168</f>
        <v>"NAV Direct","CRONUS JetCorp USA","18","1","C100118"</v>
      </c>
      <c r="D4169" s="27"/>
      <c r="E4169" s="28" t="str">
        <f>E4168</f>
        <v>C100118</v>
      </c>
      <c r="F4169" s="28"/>
      <c r="G4169" s="28"/>
      <c r="H4169" s="28"/>
      <c r="I4169" s="121" t="str">
        <f>"Contact: Scarlet Lydia"</f>
        <v>Contact: Scarlet Lydia</v>
      </c>
      <c r="J4169" s="121"/>
      <c r="K4169" s="122"/>
      <c r="L4169" s="123"/>
      <c r="M4169" s="123"/>
      <c r="N4169" s="124"/>
      <c r="O4169" s="124"/>
      <c r="P4169" s="123"/>
      <c r="Q4169" s="125"/>
      <c r="R4169" s="126"/>
      <c r="S4169" s="126"/>
      <c r="T4169" s="125"/>
      <c r="U4169" s="81"/>
    </row>
    <row r="4170" spans="1:22" s="26" customFormat="1" ht="24.6" x14ac:dyDescent="0.55000000000000004">
      <c r="A4170" s="27" t="s">
        <v>327</v>
      </c>
      <c r="B4170" s="28"/>
      <c r="C4170" s="27" t="str">
        <f>C4169</f>
        <v>"NAV Direct","CRONUS JetCorp USA","18","1","C100118"</v>
      </c>
      <c r="D4170" s="27"/>
      <c r="E4170" s="28" t="str">
        <f>E4169</f>
        <v>C100118</v>
      </c>
      <c r="F4170" s="28"/>
      <c r="G4170" s="28"/>
      <c r="H4170" s="28"/>
      <c r="I4170" s="121" t="str">
        <f>"TechZone@Cronus.com"</f>
        <v>TechZone@Cronus.com</v>
      </c>
      <c r="J4170" s="121"/>
      <c r="K4170" s="122"/>
      <c r="L4170" s="124"/>
      <c r="M4170" s="124"/>
      <c r="N4170" s="124"/>
      <c r="O4170" s="124"/>
      <c r="P4170" s="123"/>
      <c r="Q4170" s="125"/>
      <c r="R4170" s="126"/>
      <c r="S4170" s="126"/>
      <c r="T4170" s="125"/>
      <c r="U4170" s="81"/>
    </row>
    <row r="4171" spans="1:22" ht="12.75" hidden="1" customHeight="1" outlineLevel="1" x14ac:dyDescent="0.45">
      <c r="A4171" s="12" t="s">
        <v>328</v>
      </c>
      <c r="B4171" s="19"/>
      <c r="E4171" s="19"/>
      <c r="F4171" s="19"/>
      <c r="G4171" s="19"/>
      <c r="H4171" s="19"/>
      <c r="I4171" s="61"/>
      <c r="J4171" s="61"/>
      <c r="K4171" s="61"/>
      <c r="L4171" s="61"/>
      <c r="M4171" s="61"/>
      <c r="N4171" s="61"/>
      <c r="O4171" s="61"/>
      <c r="P4171" s="61"/>
      <c r="Q4171" s="61"/>
      <c r="R4171" s="61"/>
      <c r="S4171" s="61"/>
      <c r="T4171" s="61"/>
      <c r="U4171" s="61"/>
      <c r="V4171" s="21"/>
    </row>
    <row r="4172" spans="1:22" s="30" customFormat="1" ht="24.6" hidden="1" outlineLevel="1" x14ac:dyDescent="0.55000000000000004">
      <c r="A4172" s="27" t="s">
        <v>327</v>
      </c>
      <c r="B4172" s="28"/>
      <c r="C4172" s="27"/>
      <c r="D4172" s="27" t="str">
        <f>"""NAV Direct"",""CRONUS JetCorp USA"",""21"",""1"",""101653"""</f>
        <v>"NAV Direct","CRONUS JetCorp USA","21","1","101653"</v>
      </c>
      <c r="E4172" s="31" t="str">
        <f t="shared" ref="E4172:E4209" si="1269">E4170</f>
        <v>C100118</v>
      </c>
      <c r="F4172" s="31"/>
      <c r="G4172" s="31"/>
      <c r="H4172" s="31"/>
      <c r="I4172" s="56"/>
      <c r="J4172" s="56"/>
      <c r="K4172" s="82" t="str">
        <f t="shared" ref="K4172:K4204" si="1270">"Invoice"</f>
        <v>Invoice</v>
      </c>
      <c r="L4172" s="83" t="str">
        <f>"SI_106589"</f>
        <v>SI_106589</v>
      </c>
      <c r="M4172" s="84">
        <v>42048</v>
      </c>
      <c r="N4172" s="85">
        <f t="shared" ref="N4172:N4209" si="1271">StartDate-$M4172+1</f>
        <v>1764</v>
      </c>
      <c r="O4172" s="86">
        <f t="shared" ref="O4172:O4209" si="1272">SUM(P4172:T4172)</f>
        <v>15483.890000000001</v>
      </c>
      <c r="P4172" s="86">
        <f t="shared" ref="P4172:P4209" si="1273">IF($M4172&gt;=$P$18,U4172,0)</f>
        <v>0</v>
      </c>
      <c r="Q4172" s="86">
        <f t="shared" ref="Q4172:Q4209" si="1274">IF(AND($M4172&gt;=$Q$16,$M4172&lt;=$Q$18),U4172,0)</f>
        <v>0</v>
      </c>
      <c r="R4172" s="86">
        <f t="shared" ref="R4172:R4209" si="1275">IF(AND($M4172&gt;=$R$16,$M4172&lt;=$R$18),U4172,0)</f>
        <v>0</v>
      </c>
      <c r="S4172" s="86">
        <f t="shared" ref="S4172:S4209" si="1276">IF(AND($M4172&gt;=$S$16,$M4172&lt;=$S$18),U4172,0)</f>
        <v>0</v>
      </c>
      <c r="T4172" s="86">
        <f t="shared" ref="T4172:T4209" si="1277">IF($M4172&lt;=$T$18,U4172,0)</f>
        <v>15483.890000000001</v>
      </c>
      <c r="U4172" s="87">
        <v>15483.890000000001</v>
      </c>
    </row>
    <row r="4173" spans="1:22" s="30" customFormat="1" ht="24.6" hidden="1" outlineLevel="1" x14ac:dyDescent="0.55000000000000004">
      <c r="A4173" s="27" t="s">
        <v>327</v>
      </c>
      <c r="B4173" s="28"/>
      <c r="C4173" s="27"/>
      <c r="D4173" s="27" t="str">
        <f>"""NAV Direct"",""CRONUS JetCorp USA"",""21"",""1"",""101768"""</f>
        <v>"NAV Direct","CRONUS JetCorp USA","21","1","101768"</v>
      </c>
      <c r="E4173" s="31">
        <f t="shared" si="1269"/>
        <v>0</v>
      </c>
      <c r="F4173" s="31"/>
      <c r="G4173" s="31"/>
      <c r="H4173" s="31"/>
      <c r="I4173" s="56"/>
      <c r="J4173" s="56"/>
      <c r="K4173" s="82" t="str">
        <f t="shared" si="1270"/>
        <v>Invoice</v>
      </c>
      <c r="L4173" s="83" t="str">
        <f>"SI_106592"</f>
        <v>SI_106592</v>
      </c>
      <c r="M4173" s="84">
        <v>42079</v>
      </c>
      <c r="N4173" s="85">
        <f t="shared" si="1271"/>
        <v>1733</v>
      </c>
      <c r="O4173" s="86">
        <f t="shared" si="1272"/>
        <v>12471.51</v>
      </c>
      <c r="P4173" s="86">
        <f t="shared" si="1273"/>
        <v>0</v>
      </c>
      <c r="Q4173" s="86">
        <f t="shared" si="1274"/>
        <v>0</v>
      </c>
      <c r="R4173" s="86">
        <f t="shared" si="1275"/>
        <v>0</v>
      </c>
      <c r="S4173" s="86">
        <f t="shared" si="1276"/>
        <v>0</v>
      </c>
      <c r="T4173" s="86">
        <f t="shared" si="1277"/>
        <v>12471.51</v>
      </c>
      <c r="U4173" s="87">
        <v>12471.51</v>
      </c>
    </row>
    <row r="4174" spans="1:22" s="30" customFormat="1" ht="24.6" hidden="1" outlineLevel="1" x14ac:dyDescent="0.55000000000000004">
      <c r="A4174" s="27" t="s">
        <v>327</v>
      </c>
      <c r="B4174" s="28"/>
      <c r="C4174" s="27"/>
      <c r="D4174" s="27" t="str">
        <f>"""NAV Direct"",""CRONUS JetCorp USA"",""21"",""1"",""101803"""</f>
        <v>"NAV Direct","CRONUS JetCorp USA","21","1","101803"</v>
      </c>
      <c r="E4174" s="31" t="str">
        <f t="shared" si="1269"/>
        <v>C100118</v>
      </c>
      <c r="F4174" s="31"/>
      <c r="G4174" s="31"/>
      <c r="H4174" s="31"/>
      <c r="I4174" s="56"/>
      <c r="J4174" s="56"/>
      <c r="K4174" s="82" t="str">
        <f t="shared" si="1270"/>
        <v>Invoice</v>
      </c>
      <c r="L4174" s="83" t="str">
        <f>"SI_106593"</f>
        <v>SI_106593</v>
      </c>
      <c r="M4174" s="84">
        <v>42088</v>
      </c>
      <c r="N4174" s="85">
        <f t="shared" si="1271"/>
        <v>1724</v>
      </c>
      <c r="O4174" s="86">
        <f t="shared" si="1272"/>
        <v>12471.829999999998</v>
      </c>
      <c r="P4174" s="86">
        <f t="shared" si="1273"/>
        <v>0</v>
      </c>
      <c r="Q4174" s="86">
        <f t="shared" si="1274"/>
        <v>0</v>
      </c>
      <c r="R4174" s="86">
        <f t="shared" si="1275"/>
        <v>0</v>
      </c>
      <c r="S4174" s="86">
        <f t="shared" si="1276"/>
        <v>0</v>
      </c>
      <c r="T4174" s="86">
        <f t="shared" si="1277"/>
        <v>12471.829999999998</v>
      </c>
      <c r="U4174" s="87">
        <v>12471.829999999998</v>
      </c>
    </row>
    <row r="4175" spans="1:22" s="30" customFormat="1" ht="24.6" hidden="1" outlineLevel="1" x14ac:dyDescent="0.55000000000000004">
      <c r="A4175" s="27" t="s">
        <v>327</v>
      </c>
      <c r="B4175" s="28"/>
      <c r="C4175" s="27"/>
      <c r="D4175" s="27" t="str">
        <f>"""NAV Direct"",""CRONUS JetCorp USA"",""21"",""1"",""102235"""</f>
        <v>"NAV Direct","CRONUS JetCorp USA","21","1","102235"</v>
      </c>
      <c r="E4175" s="31">
        <f t="shared" si="1269"/>
        <v>0</v>
      </c>
      <c r="F4175" s="31"/>
      <c r="G4175" s="31"/>
      <c r="H4175" s="31"/>
      <c r="I4175" s="56"/>
      <c r="J4175" s="56"/>
      <c r="K4175" s="82" t="str">
        <f t="shared" si="1270"/>
        <v>Invoice</v>
      </c>
      <c r="L4175" s="83" t="str">
        <f>"SI_106607"</f>
        <v>SI_106607</v>
      </c>
      <c r="M4175" s="84">
        <v>42301</v>
      </c>
      <c r="N4175" s="85">
        <f t="shared" si="1271"/>
        <v>1511</v>
      </c>
      <c r="O4175" s="86">
        <f t="shared" si="1272"/>
        <v>11330.39</v>
      </c>
      <c r="P4175" s="86">
        <f t="shared" si="1273"/>
        <v>0</v>
      </c>
      <c r="Q4175" s="86">
        <f t="shared" si="1274"/>
        <v>0</v>
      </c>
      <c r="R4175" s="86">
        <f t="shared" si="1275"/>
        <v>0</v>
      </c>
      <c r="S4175" s="86">
        <f t="shared" si="1276"/>
        <v>0</v>
      </c>
      <c r="T4175" s="86">
        <f t="shared" si="1277"/>
        <v>11330.39</v>
      </c>
      <c r="U4175" s="87">
        <v>11330.39</v>
      </c>
    </row>
    <row r="4176" spans="1:22" s="30" customFormat="1" ht="24.6" hidden="1" outlineLevel="1" x14ac:dyDescent="0.55000000000000004">
      <c r="A4176" s="27" t="s">
        <v>327</v>
      </c>
      <c r="B4176" s="28"/>
      <c r="C4176" s="27"/>
      <c r="D4176" s="27" t="str">
        <f>"""NAV Direct"",""CRONUS JetCorp USA"",""21"",""1"",""380595"""</f>
        <v>"NAV Direct","CRONUS JetCorp USA","21","1","380595"</v>
      </c>
      <c r="E4176" s="31" t="str">
        <f t="shared" si="1269"/>
        <v>C100118</v>
      </c>
      <c r="F4176" s="31"/>
      <c r="G4176" s="31"/>
      <c r="H4176" s="31"/>
      <c r="I4176" s="56"/>
      <c r="J4176" s="56"/>
      <c r="K4176" s="82" t="str">
        <f t="shared" si="1270"/>
        <v>Invoice</v>
      </c>
      <c r="L4176" s="83" t="str">
        <f>"SI_111825"</f>
        <v>SI_111825</v>
      </c>
      <c r="M4176" s="84">
        <v>42420</v>
      </c>
      <c r="N4176" s="85">
        <f t="shared" si="1271"/>
        <v>1392</v>
      </c>
      <c r="O4176" s="86">
        <f t="shared" si="1272"/>
        <v>8378.19</v>
      </c>
      <c r="P4176" s="86">
        <f t="shared" si="1273"/>
        <v>0</v>
      </c>
      <c r="Q4176" s="86">
        <f t="shared" si="1274"/>
        <v>0</v>
      </c>
      <c r="R4176" s="86">
        <f t="shared" si="1275"/>
        <v>0</v>
      </c>
      <c r="S4176" s="86">
        <f t="shared" si="1276"/>
        <v>0</v>
      </c>
      <c r="T4176" s="86">
        <f t="shared" si="1277"/>
        <v>8378.19</v>
      </c>
      <c r="U4176" s="87">
        <v>8378.19</v>
      </c>
    </row>
    <row r="4177" spans="1:21" s="30" customFormat="1" ht="24.6" hidden="1" outlineLevel="1" x14ac:dyDescent="0.55000000000000004">
      <c r="A4177" s="27" t="s">
        <v>327</v>
      </c>
      <c r="B4177" s="28"/>
      <c r="C4177" s="27"/>
      <c r="D4177" s="27" t="str">
        <f>"""NAV Direct"",""CRONUS JetCorp USA"",""21"",""1"",""380632"""</f>
        <v>"NAV Direct","CRONUS JetCorp USA","21","1","380632"</v>
      </c>
      <c r="E4177" s="31">
        <f t="shared" si="1269"/>
        <v>0</v>
      </c>
      <c r="F4177" s="31"/>
      <c r="G4177" s="31"/>
      <c r="H4177" s="31"/>
      <c r="I4177" s="56"/>
      <c r="J4177" s="56"/>
      <c r="K4177" s="82" t="str">
        <f t="shared" si="1270"/>
        <v>Invoice</v>
      </c>
      <c r="L4177" s="83" t="str">
        <f>"SI_111826"</f>
        <v>SI_111826</v>
      </c>
      <c r="M4177" s="84">
        <v>42427</v>
      </c>
      <c r="N4177" s="85">
        <f t="shared" si="1271"/>
        <v>1385</v>
      </c>
      <c r="O4177" s="86">
        <f t="shared" si="1272"/>
        <v>8378.619999999999</v>
      </c>
      <c r="P4177" s="86">
        <f t="shared" si="1273"/>
        <v>0</v>
      </c>
      <c r="Q4177" s="86">
        <f t="shared" si="1274"/>
        <v>0</v>
      </c>
      <c r="R4177" s="86">
        <f t="shared" si="1275"/>
        <v>0</v>
      </c>
      <c r="S4177" s="86">
        <f t="shared" si="1276"/>
        <v>0</v>
      </c>
      <c r="T4177" s="86">
        <f t="shared" si="1277"/>
        <v>8378.619999999999</v>
      </c>
      <c r="U4177" s="87">
        <v>8378.619999999999</v>
      </c>
    </row>
    <row r="4178" spans="1:21" s="30" customFormat="1" ht="24.6" hidden="1" outlineLevel="1" x14ac:dyDescent="0.55000000000000004">
      <c r="A4178" s="27" t="s">
        <v>327</v>
      </c>
      <c r="B4178" s="28"/>
      <c r="C4178" s="27"/>
      <c r="D4178" s="27" t="str">
        <f>"""NAV Direct"",""CRONUS JetCorp USA"",""21"",""1"",""380663"""</f>
        <v>"NAV Direct","CRONUS JetCorp USA","21","1","380663"</v>
      </c>
      <c r="E4178" s="31" t="str">
        <f t="shared" si="1269"/>
        <v>C100118</v>
      </c>
      <c r="F4178" s="31"/>
      <c r="G4178" s="31"/>
      <c r="H4178" s="31"/>
      <c r="I4178" s="56"/>
      <c r="J4178" s="56"/>
      <c r="K4178" s="82" t="str">
        <f t="shared" si="1270"/>
        <v>Invoice</v>
      </c>
      <c r="L4178" s="83" t="str">
        <f>"SI_111827"</f>
        <v>SI_111827</v>
      </c>
      <c r="M4178" s="84">
        <v>42465</v>
      </c>
      <c r="N4178" s="85">
        <f t="shared" si="1271"/>
        <v>1347</v>
      </c>
      <c r="O4178" s="86">
        <f t="shared" si="1272"/>
        <v>6853.6799999999994</v>
      </c>
      <c r="P4178" s="86">
        <f t="shared" si="1273"/>
        <v>0</v>
      </c>
      <c r="Q4178" s="86">
        <f t="shared" si="1274"/>
        <v>0</v>
      </c>
      <c r="R4178" s="86">
        <f t="shared" si="1275"/>
        <v>0</v>
      </c>
      <c r="S4178" s="86">
        <f t="shared" si="1276"/>
        <v>0</v>
      </c>
      <c r="T4178" s="86">
        <f t="shared" si="1277"/>
        <v>6853.6799999999994</v>
      </c>
      <c r="U4178" s="87">
        <v>6853.6799999999994</v>
      </c>
    </row>
    <row r="4179" spans="1:21" s="30" customFormat="1" ht="24.6" hidden="1" outlineLevel="1" x14ac:dyDescent="0.55000000000000004">
      <c r="A4179" s="27" t="s">
        <v>327</v>
      </c>
      <c r="B4179" s="28"/>
      <c r="C4179" s="27"/>
      <c r="D4179" s="27" t="str">
        <f>"""NAV Direct"",""CRONUS JetCorp USA"",""21"",""1"",""380684"""</f>
        <v>"NAV Direct","CRONUS JetCorp USA","21","1","380684"</v>
      </c>
      <c r="E4179" s="31">
        <f t="shared" si="1269"/>
        <v>0</v>
      </c>
      <c r="F4179" s="31"/>
      <c r="G4179" s="31"/>
      <c r="H4179" s="31"/>
      <c r="I4179" s="56"/>
      <c r="J4179" s="56"/>
      <c r="K4179" s="82" t="str">
        <f t="shared" si="1270"/>
        <v>Invoice</v>
      </c>
      <c r="L4179" s="83" t="str">
        <f>"SI_111828"</f>
        <v>SI_111828</v>
      </c>
      <c r="M4179" s="84">
        <v>42478</v>
      </c>
      <c r="N4179" s="85">
        <f t="shared" si="1271"/>
        <v>1334</v>
      </c>
      <c r="O4179" s="86">
        <f t="shared" si="1272"/>
        <v>6781.14</v>
      </c>
      <c r="P4179" s="86">
        <f t="shared" si="1273"/>
        <v>0</v>
      </c>
      <c r="Q4179" s="86">
        <f t="shared" si="1274"/>
        <v>0</v>
      </c>
      <c r="R4179" s="86">
        <f t="shared" si="1275"/>
        <v>0</v>
      </c>
      <c r="S4179" s="86">
        <f t="shared" si="1276"/>
        <v>0</v>
      </c>
      <c r="T4179" s="86">
        <f t="shared" si="1277"/>
        <v>6781.14</v>
      </c>
      <c r="U4179" s="87">
        <v>6781.14</v>
      </c>
    </row>
    <row r="4180" spans="1:21" s="30" customFormat="1" ht="24.6" hidden="1" outlineLevel="1" x14ac:dyDescent="0.55000000000000004">
      <c r="A4180" s="27" t="s">
        <v>327</v>
      </c>
      <c r="B4180" s="28"/>
      <c r="C4180" s="27"/>
      <c r="D4180" s="27" t="str">
        <f>"""NAV Direct"",""CRONUS JetCorp USA"",""21"",""1"",""380812"""</f>
        <v>"NAV Direct","CRONUS JetCorp USA","21","1","380812"</v>
      </c>
      <c r="E4180" s="31" t="str">
        <f t="shared" si="1269"/>
        <v>C100118</v>
      </c>
      <c r="F4180" s="31"/>
      <c r="G4180" s="31"/>
      <c r="H4180" s="31"/>
      <c r="I4180" s="56"/>
      <c r="J4180" s="56"/>
      <c r="K4180" s="82" t="str">
        <f t="shared" si="1270"/>
        <v>Invoice</v>
      </c>
      <c r="L4180" s="83" t="str">
        <f>"SI_111832"</f>
        <v>SI_111832</v>
      </c>
      <c r="M4180" s="84">
        <v>42516</v>
      </c>
      <c r="N4180" s="85">
        <f t="shared" si="1271"/>
        <v>1296</v>
      </c>
      <c r="O4180" s="86">
        <f t="shared" si="1272"/>
        <v>9052.27</v>
      </c>
      <c r="P4180" s="86">
        <f t="shared" si="1273"/>
        <v>0</v>
      </c>
      <c r="Q4180" s="86">
        <f t="shared" si="1274"/>
        <v>0</v>
      </c>
      <c r="R4180" s="86">
        <f t="shared" si="1275"/>
        <v>0</v>
      </c>
      <c r="S4180" s="86">
        <f t="shared" si="1276"/>
        <v>0</v>
      </c>
      <c r="T4180" s="86">
        <f t="shared" si="1277"/>
        <v>9052.27</v>
      </c>
      <c r="U4180" s="87">
        <v>9052.27</v>
      </c>
    </row>
    <row r="4181" spans="1:21" s="30" customFormat="1" ht="24.6" hidden="1" outlineLevel="1" x14ac:dyDescent="0.55000000000000004">
      <c r="A4181" s="27" t="s">
        <v>327</v>
      </c>
      <c r="B4181" s="28"/>
      <c r="C4181" s="27"/>
      <c r="D4181" s="27" t="str">
        <f>"""NAV Direct"",""CRONUS JetCorp USA"",""21"",""1"",""380965"""</f>
        <v>"NAV Direct","CRONUS JetCorp USA","21","1","380965"</v>
      </c>
      <c r="E4181" s="31">
        <f t="shared" si="1269"/>
        <v>0</v>
      </c>
      <c r="F4181" s="31"/>
      <c r="G4181" s="31"/>
      <c r="H4181" s="31"/>
      <c r="I4181" s="56"/>
      <c r="J4181" s="56"/>
      <c r="K4181" s="82" t="str">
        <f t="shared" si="1270"/>
        <v>Invoice</v>
      </c>
      <c r="L4181" s="83" t="str">
        <f>"SI_111837"</f>
        <v>SI_111837</v>
      </c>
      <c r="M4181" s="84">
        <v>42613</v>
      </c>
      <c r="N4181" s="85">
        <f t="shared" si="1271"/>
        <v>1199</v>
      </c>
      <c r="O4181" s="86">
        <f t="shared" si="1272"/>
        <v>8629.7200000000012</v>
      </c>
      <c r="P4181" s="86">
        <f t="shared" si="1273"/>
        <v>0</v>
      </c>
      <c r="Q4181" s="86">
        <f t="shared" si="1274"/>
        <v>0</v>
      </c>
      <c r="R4181" s="86">
        <f t="shared" si="1275"/>
        <v>0</v>
      </c>
      <c r="S4181" s="86">
        <f t="shared" si="1276"/>
        <v>0</v>
      </c>
      <c r="T4181" s="86">
        <f t="shared" si="1277"/>
        <v>8629.7200000000012</v>
      </c>
      <c r="U4181" s="87">
        <v>8629.7200000000012</v>
      </c>
    </row>
    <row r="4182" spans="1:21" s="30" customFormat="1" ht="24.6" hidden="1" outlineLevel="1" x14ac:dyDescent="0.55000000000000004">
      <c r="A4182" s="27" t="s">
        <v>327</v>
      </c>
      <c r="B4182" s="28"/>
      <c r="C4182" s="27"/>
      <c r="D4182" s="27" t="str">
        <f>"""NAV Direct"",""CRONUS JetCorp USA"",""21"",""1"",""381068"""</f>
        <v>"NAV Direct","CRONUS JetCorp USA","21","1","381068"</v>
      </c>
      <c r="E4182" s="31" t="str">
        <f t="shared" si="1269"/>
        <v>C100118</v>
      </c>
      <c r="F4182" s="31"/>
      <c r="G4182" s="31"/>
      <c r="H4182" s="31"/>
      <c r="I4182" s="56"/>
      <c r="J4182" s="56"/>
      <c r="K4182" s="82" t="str">
        <f t="shared" si="1270"/>
        <v>Invoice</v>
      </c>
      <c r="L4182" s="83" t="str">
        <f>"SI_111840"</f>
        <v>SI_111840</v>
      </c>
      <c r="M4182" s="84">
        <v>42675</v>
      </c>
      <c r="N4182" s="85">
        <f t="shared" si="1271"/>
        <v>1137</v>
      </c>
      <c r="O4182" s="86">
        <f t="shared" si="1272"/>
        <v>8840.74</v>
      </c>
      <c r="P4182" s="86">
        <f t="shared" si="1273"/>
        <v>0</v>
      </c>
      <c r="Q4182" s="86">
        <f t="shared" si="1274"/>
        <v>0</v>
      </c>
      <c r="R4182" s="86">
        <f t="shared" si="1275"/>
        <v>0</v>
      </c>
      <c r="S4182" s="86">
        <f t="shared" si="1276"/>
        <v>0</v>
      </c>
      <c r="T4182" s="86">
        <f t="shared" si="1277"/>
        <v>8840.74</v>
      </c>
      <c r="U4182" s="87">
        <v>8840.74</v>
      </c>
    </row>
    <row r="4183" spans="1:21" s="30" customFormat="1" ht="24.6" hidden="1" outlineLevel="1" x14ac:dyDescent="0.55000000000000004">
      <c r="A4183" s="27" t="s">
        <v>327</v>
      </c>
      <c r="B4183" s="28"/>
      <c r="C4183" s="27"/>
      <c r="D4183" s="27" t="str">
        <f>"""NAV Direct"",""CRONUS JetCorp USA"",""21"",""1"",""381099"""</f>
        <v>"NAV Direct","CRONUS JetCorp USA","21","1","381099"</v>
      </c>
      <c r="E4183" s="31">
        <f t="shared" si="1269"/>
        <v>0</v>
      </c>
      <c r="F4183" s="31"/>
      <c r="G4183" s="31"/>
      <c r="H4183" s="31"/>
      <c r="I4183" s="56"/>
      <c r="J4183" s="56"/>
      <c r="K4183" s="82" t="str">
        <f t="shared" si="1270"/>
        <v>Invoice</v>
      </c>
      <c r="L4183" s="83" t="str">
        <f>"SI_111841"</f>
        <v>SI_111841</v>
      </c>
      <c r="M4183" s="84">
        <v>42706</v>
      </c>
      <c r="N4183" s="85">
        <f t="shared" si="1271"/>
        <v>1106</v>
      </c>
      <c r="O4183" s="86">
        <f t="shared" si="1272"/>
        <v>10272.040000000001</v>
      </c>
      <c r="P4183" s="86">
        <f t="shared" si="1273"/>
        <v>0</v>
      </c>
      <c r="Q4183" s="86">
        <f t="shared" si="1274"/>
        <v>0</v>
      </c>
      <c r="R4183" s="86">
        <f t="shared" si="1275"/>
        <v>0</v>
      </c>
      <c r="S4183" s="86">
        <f t="shared" si="1276"/>
        <v>0</v>
      </c>
      <c r="T4183" s="86">
        <f t="shared" si="1277"/>
        <v>10272.040000000001</v>
      </c>
      <c r="U4183" s="87">
        <v>10272.040000000001</v>
      </c>
    </row>
    <row r="4184" spans="1:21" s="30" customFormat="1" ht="24.6" hidden="1" outlineLevel="1" x14ac:dyDescent="0.55000000000000004">
      <c r="A4184" s="27" t="s">
        <v>327</v>
      </c>
      <c r="B4184" s="28"/>
      <c r="C4184" s="27"/>
      <c r="D4184" s="27" t="str">
        <f>"""NAV Direct"",""CRONUS JetCorp USA"",""21"",""1"",""381213"""</f>
        <v>"NAV Direct","CRONUS JetCorp USA","21","1","381213"</v>
      </c>
      <c r="E4184" s="31" t="str">
        <f t="shared" si="1269"/>
        <v>C100118</v>
      </c>
      <c r="F4184" s="31"/>
      <c r="G4184" s="31"/>
      <c r="H4184" s="31"/>
      <c r="I4184" s="56"/>
      <c r="J4184" s="56"/>
      <c r="K4184" s="82" t="str">
        <f t="shared" si="1270"/>
        <v>Invoice</v>
      </c>
      <c r="L4184" s="83" t="str">
        <f>"SI_111845"</f>
        <v>SI_111845</v>
      </c>
      <c r="M4184" s="84">
        <v>42796</v>
      </c>
      <c r="N4184" s="85">
        <f t="shared" si="1271"/>
        <v>1016</v>
      </c>
      <c r="O4184" s="86">
        <f t="shared" si="1272"/>
        <v>10044.99</v>
      </c>
      <c r="P4184" s="86">
        <f t="shared" si="1273"/>
        <v>0</v>
      </c>
      <c r="Q4184" s="86">
        <f t="shared" si="1274"/>
        <v>0</v>
      </c>
      <c r="R4184" s="86">
        <f t="shared" si="1275"/>
        <v>0</v>
      </c>
      <c r="S4184" s="86">
        <f t="shared" si="1276"/>
        <v>0</v>
      </c>
      <c r="T4184" s="86">
        <f t="shared" si="1277"/>
        <v>10044.99</v>
      </c>
      <c r="U4184" s="87">
        <v>10044.99</v>
      </c>
    </row>
    <row r="4185" spans="1:21" s="30" customFormat="1" ht="24.6" hidden="1" outlineLevel="1" x14ac:dyDescent="0.55000000000000004">
      <c r="A4185" s="27" t="s">
        <v>327</v>
      </c>
      <c r="B4185" s="28"/>
      <c r="C4185" s="27"/>
      <c r="D4185" s="27" t="str">
        <f>"""NAV Direct"",""CRONUS JetCorp USA"",""21"",""1"",""381368"""</f>
        <v>"NAV Direct","CRONUS JetCorp USA","21","1","381368"</v>
      </c>
      <c r="E4185" s="31">
        <f t="shared" si="1269"/>
        <v>0</v>
      </c>
      <c r="F4185" s="31"/>
      <c r="G4185" s="31"/>
      <c r="H4185" s="31"/>
      <c r="I4185" s="56"/>
      <c r="J4185" s="56"/>
      <c r="K4185" s="82" t="str">
        <f t="shared" si="1270"/>
        <v>Invoice</v>
      </c>
      <c r="L4185" s="83" t="str">
        <f>"SI_111850"</f>
        <v>SI_111850</v>
      </c>
      <c r="M4185" s="84">
        <v>42891</v>
      </c>
      <c r="N4185" s="85">
        <f t="shared" si="1271"/>
        <v>921</v>
      </c>
      <c r="O4185" s="86">
        <f t="shared" si="1272"/>
        <v>11788.37</v>
      </c>
      <c r="P4185" s="86">
        <f t="shared" si="1273"/>
        <v>0</v>
      </c>
      <c r="Q4185" s="86">
        <f t="shared" si="1274"/>
        <v>0</v>
      </c>
      <c r="R4185" s="86">
        <f t="shared" si="1275"/>
        <v>0</v>
      </c>
      <c r="S4185" s="86">
        <f t="shared" si="1276"/>
        <v>0</v>
      </c>
      <c r="T4185" s="86">
        <f t="shared" si="1277"/>
        <v>11788.37</v>
      </c>
      <c r="U4185" s="87">
        <v>11788.37</v>
      </c>
    </row>
    <row r="4186" spans="1:21" s="30" customFormat="1" ht="24.6" hidden="1" outlineLevel="1" x14ac:dyDescent="0.55000000000000004">
      <c r="A4186" s="27" t="s">
        <v>327</v>
      </c>
      <c r="B4186" s="28"/>
      <c r="C4186" s="27"/>
      <c r="D4186" s="27" t="str">
        <f>"""NAV Direct"",""CRONUS JetCorp USA"",""21"",""1"",""381465"""</f>
        <v>"NAV Direct","CRONUS JetCorp USA","21","1","381465"</v>
      </c>
      <c r="E4186" s="31" t="str">
        <f t="shared" si="1269"/>
        <v>C100118</v>
      </c>
      <c r="F4186" s="31"/>
      <c r="G4186" s="31"/>
      <c r="H4186" s="31"/>
      <c r="I4186" s="56"/>
      <c r="J4186" s="56"/>
      <c r="K4186" s="82" t="str">
        <f t="shared" si="1270"/>
        <v>Invoice</v>
      </c>
      <c r="L4186" s="83" t="str">
        <f>"SI_111853"</f>
        <v>SI_111853</v>
      </c>
      <c r="M4186" s="84">
        <v>42940</v>
      </c>
      <c r="N4186" s="85">
        <f t="shared" si="1271"/>
        <v>872</v>
      </c>
      <c r="O4186" s="86">
        <f t="shared" si="1272"/>
        <v>11623.51</v>
      </c>
      <c r="P4186" s="86">
        <f t="shared" si="1273"/>
        <v>0</v>
      </c>
      <c r="Q4186" s="86">
        <f t="shared" si="1274"/>
        <v>0</v>
      </c>
      <c r="R4186" s="86">
        <f t="shared" si="1275"/>
        <v>0</v>
      </c>
      <c r="S4186" s="86">
        <f t="shared" si="1276"/>
        <v>0</v>
      </c>
      <c r="T4186" s="86">
        <f t="shared" si="1277"/>
        <v>11623.51</v>
      </c>
      <c r="U4186" s="87">
        <v>11623.51</v>
      </c>
    </row>
    <row r="4187" spans="1:21" s="30" customFormat="1" ht="24.6" hidden="1" outlineLevel="1" x14ac:dyDescent="0.55000000000000004">
      <c r="A4187" s="27" t="s">
        <v>327</v>
      </c>
      <c r="B4187" s="28"/>
      <c r="C4187" s="27"/>
      <c r="D4187" s="27" t="str">
        <f>"""NAV Direct"",""CRONUS JetCorp USA"",""21"",""1"",""381519"""</f>
        <v>"NAV Direct","CRONUS JetCorp USA","21","1","381519"</v>
      </c>
      <c r="E4187" s="31">
        <f t="shared" si="1269"/>
        <v>0</v>
      </c>
      <c r="F4187" s="31"/>
      <c r="G4187" s="31"/>
      <c r="H4187" s="31"/>
      <c r="I4187" s="56"/>
      <c r="J4187" s="56"/>
      <c r="K4187" s="82" t="str">
        <f t="shared" si="1270"/>
        <v>Invoice</v>
      </c>
      <c r="L4187" s="83" t="str">
        <f>"SI_111855"</f>
        <v>SI_111855</v>
      </c>
      <c r="M4187" s="84">
        <v>42985</v>
      </c>
      <c r="N4187" s="85">
        <f t="shared" si="1271"/>
        <v>827</v>
      </c>
      <c r="O4187" s="86">
        <f t="shared" si="1272"/>
        <v>10053.949999999999</v>
      </c>
      <c r="P4187" s="86">
        <f t="shared" si="1273"/>
        <v>0</v>
      </c>
      <c r="Q4187" s="86">
        <f t="shared" si="1274"/>
        <v>0</v>
      </c>
      <c r="R4187" s="86">
        <f t="shared" si="1275"/>
        <v>0</v>
      </c>
      <c r="S4187" s="86">
        <f t="shared" si="1276"/>
        <v>0</v>
      </c>
      <c r="T4187" s="86">
        <f t="shared" si="1277"/>
        <v>10053.949999999999</v>
      </c>
      <c r="U4187" s="87">
        <v>10053.949999999999</v>
      </c>
    </row>
    <row r="4188" spans="1:21" s="30" customFormat="1" ht="24.6" hidden="1" outlineLevel="1" x14ac:dyDescent="0.55000000000000004">
      <c r="A4188" s="27" t="s">
        <v>327</v>
      </c>
      <c r="B4188" s="28"/>
      <c r="C4188" s="27"/>
      <c r="D4188" s="27" t="str">
        <f>"""NAV Direct"",""CRONUS JetCorp USA"",""21"",""1"",""381581"""</f>
        <v>"NAV Direct","CRONUS JetCorp USA","21","1","381581"</v>
      </c>
      <c r="E4188" s="31" t="str">
        <f t="shared" si="1269"/>
        <v>C100118</v>
      </c>
      <c r="F4188" s="31"/>
      <c r="G4188" s="31"/>
      <c r="H4188" s="31"/>
      <c r="I4188" s="56"/>
      <c r="J4188" s="56"/>
      <c r="K4188" s="82" t="str">
        <f t="shared" si="1270"/>
        <v>Invoice</v>
      </c>
      <c r="L4188" s="83" t="str">
        <f>"SI_111857"</f>
        <v>SI_111857</v>
      </c>
      <c r="M4188" s="84">
        <v>43020</v>
      </c>
      <c r="N4188" s="85">
        <f t="shared" si="1271"/>
        <v>792</v>
      </c>
      <c r="O4188" s="86">
        <f t="shared" si="1272"/>
        <v>9354.0400000000009</v>
      </c>
      <c r="P4188" s="86">
        <f t="shared" si="1273"/>
        <v>0</v>
      </c>
      <c r="Q4188" s="86">
        <f t="shared" si="1274"/>
        <v>0</v>
      </c>
      <c r="R4188" s="86">
        <f t="shared" si="1275"/>
        <v>0</v>
      </c>
      <c r="S4188" s="86">
        <f t="shared" si="1276"/>
        <v>0</v>
      </c>
      <c r="T4188" s="86">
        <f t="shared" si="1277"/>
        <v>9354.0400000000009</v>
      </c>
      <c r="U4188" s="87">
        <v>9354.0400000000009</v>
      </c>
    </row>
    <row r="4189" spans="1:21" s="30" customFormat="1" ht="24.6" hidden="1" outlineLevel="1" x14ac:dyDescent="0.55000000000000004">
      <c r="A4189" s="27" t="s">
        <v>327</v>
      </c>
      <c r="B4189" s="28"/>
      <c r="C4189" s="27"/>
      <c r="D4189" s="27" t="str">
        <f>"""NAV Direct"",""CRONUS JetCorp USA"",""21"",""1"",""382173"""</f>
        <v>"NAV Direct","CRONUS JetCorp USA","21","1","382173"</v>
      </c>
      <c r="E4189" s="31">
        <f t="shared" si="1269"/>
        <v>0</v>
      </c>
      <c r="F4189" s="31"/>
      <c r="G4189" s="31"/>
      <c r="H4189" s="31"/>
      <c r="I4189" s="56"/>
      <c r="J4189" s="56"/>
      <c r="K4189" s="82" t="str">
        <f t="shared" si="1270"/>
        <v>Invoice</v>
      </c>
      <c r="L4189" s="83" t="str">
        <f>"SI_111875"</f>
        <v>SI_111875</v>
      </c>
      <c r="M4189" s="84">
        <v>43399</v>
      </c>
      <c r="N4189" s="85">
        <f t="shared" si="1271"/>
        <v>413</v>
      </c>
      <c r="O4189" s="86">
        <f t="shared" si="1272"/>
        <v>10128.5</v>
      </c>
      <c r="P4189" s="86">
        <f t="shared" si="1273"/>
        <v>0</v>
      </c>
      <c r="Q4189" s="86">
        <f t="shared" si="1274"/>
        <v>0</v>
      </c>
      <c r="R4189" s="86">
        <f t="shared" si="1275"/>
        <v>0</v>
      </c>
      <c r="S4189" s="86">
        <f t="shared" si="1276"/>
        <v>0</v>
      </c>
      <c r="T4189" s="86">
        <f t="shared" si="1277"/>
        <v>10128.5</v>
      </c>
      <c r="U4189" s="87">
        <v>10128.5</v>
      </c>
    </row>
    <row r="4190" spans="1:21" s="30" customFormat="1" ht="24.6" hidden="1" outlineLevel="1" x14ac:dyDescent="0.55000000000000004">
      <c r="A4190" s="27" t="s">
        <v>327</v>
      </c>
      <c r="B4190" s="28"/>
      <c r="C4190" s="27"/>
      <c r="D4190" s="27" t="str">
        <f>"""NAV Direct"",""CRONUS JetCorp USA"",""21"",""1"",""382317"""</f>
        <v>"NAV Direct","CRONUS JetCorp USA","21","1","382317"</v>
      </c>
      <c r="E4190" s="31" t="str">
        <f t="shared" si="1269"/>
        <v>C100118</v>
      </c>
      <c r="F4190" s="31"/>
      <c r="G4190" s="31"/>
      <c r="H4190" s="31"/>
      <c r="I4190" s="56"/>
      <c r="J4190" s="56"/>
      <c r="K4190" s="82" t="str">
        <f t="shared" si="1270"/>
        <v>Invoice</v>
      </c>
      <c r="L4190" s="83" t="str">
        <f>"SI_111879"</f>
        <v>SI_111879</v>
      </c>
      <c r="M4190" s="84">
        <v>43462</v>
      </c>
      <c r="N4190" s="85">
        <f t="shared" si="1271"/>
        <v>350</v>
      </c>
      <c r="O4190" s="86">
        <f t="shared" si="1272"/>
        <v>13707.25</v>
      </c>
      <c r="P4190" s="86">
        <f t="shared" si="1273"/>
        <v>0</v>
      </c>
      <c r="Q4190" s="86">
        <f t="shared" si="1274"/>
        <v>0</v>
      </c>
      <c r="R4190" s="86">
        <f t="shared" si="1275"/>
        <v>0</v>
      </c>
      <c r="S4190" s="86">
        <f t="shared" si="1276"/>
        <v>0</v>
      </c>
      <c r="T4190" s="86">
        <f t="shared" si="1277"/>
        <v>13707.25</v>
      </c>
      <c r="U4190" s="87">
        <v>13707.25</v>
      </c>
    </row>
    <row r="4191" spans="1:21" s="30" customFormat="1" ht="24.6" hidden="1" outlineLevel="1" x14ac:dyDescent="0.55000000000000004">
      <c r="A4191" s="27" t="s">
        <v>327</v>
      </c>
      <c r="B4191" s="28"/>
      <c r="C4191" s="27"/>
      <c r="D4191" s="27" t="str">
        <f>"""NAV Direct"",""CRONUS JetCorp USA"",""21"",""1"",""382431"""</f>
        <v>"NAV Direct","CRONUS JetCorp USA","21","1","382431"</v>
      </c>
      <c r="E4191" s="31">
        <f t="shared" si="1269"/>
        <v>0</v>
      </c>
      <c r="F4191" s="31"/>
      <c r="G4191" s="31"/>
      <c r="H4191" s="31"/>
      <c r="I4191" s="56"/>
      <c r="J4191" s="56"/>
      <c r="K4191" s="82" t="str">
        <f t="shared" si="1270"/>
        <v>Invoice</v>
      </c>
      <c r="L4191" s="83" t="str">
        <f>"SI_111883"</f>
        <v>SI_111883</v>
      </c>
      <c r="M4191" s="84">
        <v>43546</v>
      </c>
      <c r="N4191" s="85">
        <f t="shared" si="1271"/>
        <v>266</v>
      </c>
      <c r="O4191" s="86">
        <f t="shared" si="1272"/>
        <v>13428.49</v>
      </c>
      <c r="P4191" s="86">
        <f t="shared" si="1273"/>
        <v>0</v>
      </c>
      <c r="Q4191" s="86">
        <f t="shared" si="1274"/>
        <v>0</v>
      </c>
      <c r="R4191" s="86">
        <f t="shared" si="1275"/>
        <v>0</v>
      </c>
      <c r="S4191" s="86">
        <f t="shared" si="1276"/>
        <v>0</v>
      </c>
      <c r="T4191" s="86">
        <f t="shared" si="1277"/>
        <v>13428.49</v>
      </c>
      <c r="U4191" s="87">
        <v>13428.49</v>
      </c>
    </row>
    <row r="4192" spans="1:21" s="30" customFormat="1" ht="24.6" hidden="1" outlineLevel="1" x14ac:dyDescent="0.55000000000000004">
      <c r="A4192" s="27" t="s">
        <v>327</v>
      </c>
      <c r="B4192" s="28"/>
      <c r="C4192" s="27"/>
      <c r="D4192" s="27" t="str">
        <f>"""NAV Direct"",""CRONUS JetCorp USA"",""21"",""1"",""382464"""</f>
        <v>"NAV Direct","CRONUS JetCorp USA","21","1","382464"</v>
      </c>
      <c r="E4192" s="31" t="str">
        <f t="shared" si="1269"/>
        <v>C100118</v>
      </c>
      <c r="F4192" s="31"/>
      <c r="G4192" s="31"/>
      <c r="H4192" s="31"/>
      <c r="I4192" s="56"/>
      <c r="J4192" s="56"/>
      <c r="K4192" s="82" t="str">
        <f t="shared" si="1270"/>
        <v>Invoice</v>
      </c>
      <c r="L4192" s="83" t="str">
        <f>"SI_111884"</f>
        <v>SI_111884</v>
      </c>
      <c r="M4192" s="84">
        <v>43568</v>
      </c>
      <c r="N4192" s="85">
        <f t="shared" si="1271"/>
        <v>244</v>
      </c>
      <c r="O4192" s="86">
        <f t="shared" si="1272"/>
        <v>13568.300000000001</v>
      </c>
      <c r="P4192" s="86">
        <f t="shared" si="1273"/>
        <v>0</v>
      </c>
      <c r="Q4192" s="86">
        <f t="shared" si="1274"/>
        <v>0</v>
      </c>
      <c r="R4192" s="86">
        <f t="shared" si="1275"/>
        <v>0</v>
      </c>
      <c r="S4192" s="86">
        <f t="shared" si="1276"/>
        <v>0</v>
      </c>
      <c r="T4192" s="86">
        <f t="shared" si="1277"/>
        <v>13568.300000000001</v>
      </c>
      <c r="U4192" s="87">
        <v>13568.300000000001</v>
      </c>
    </row>
    <row r="4193" spans="1:21" s="30" customFormat="1" ht="24.6" hidden="1" outlineLevel="1" x14ac:dyDescent="0.55000000000000004">
      <c r="A4193" s="27" t="s">
        <v>327</v>
      </c>
      <c r="B4193" s="28"/>
      <c r="C4193" s="27"/>
      <c r="D4193" s="27" t="str">
        <f>"""NAV Direct"",""CRONUS JetCorp USA"",""21"",""1"",""382604"""</f>
        <v>"NAV Direct","CRONUS JetCorp USA","21","1","382604"</v>
      </c>
      <c r="E4193" s="31">
        <f t="shared" si="1269"/>
        <v>0</v>
      </c>
      <c r="F4193" s="31"/>
      <c r="G4193" s="31"/>
      <c r="H4193" s="31"/>
      <c r="I4193" s="56"/>
      <c r="J4193" s="56"/>
      <c r="K4193" s="82" t="str">
        <f t="shared" si="1270"/>
        <v>Invoice</v>
      </c>
      <c r="L4193" s="83" t="str">
        <f>"SI_111888"</f>
        <v>SI_111888</v>
      </c>
      <c r="M4193" s="84">
        <v>43635</v>
      </c>
      <c r="N4193" s="85">
        <f t="shared" si="1271"/>
        <v>177</v>
      </c>
      <c r="O4193" s="86">
        <f t="shared" si="1272"/>
        <v>20510.240000000002</v>
      </c>
      <c r="P4193" s="86">
        <f t="shared" si="1273"/>
        <v>0</v>
      </c>
      <c r="Q4193" s="86">
        <f t="shared" si="1274"/>
        <v>0</v>
      </c>
      <c r="R4193" s="86">
        <f t="shared" si="1275"/>
        <v>0</v>
      </c>
      <c r="S4193" s="86">
        <f t="shared" si="1276"/>
        <v>0</v>
      </c>
      <c r="T4193" s="86">
        <f t="shared" si="1277"/>
        <v>20510.240000000002</v>
      </c>
      <c r="U4193" s="87">
        <v>20510.240000000002</v>
      </c>
    </row>
    <row r="4194" spans="1:21" s="30" customFormat="1" ht="24.6" hidden="1" outlineLevel="1" x14ac:dyDescent="0.55000000000000004">
      <c r="A4194" s="27" t="s">
        <v>327</v>
      </c>
      <c r="B4194" s="28"/>
      <c r="C4194" s="27"/>
      <c r="D4194" s="27" t="str">
        <f>"""NAV Direct"",""CRONUS JetCorp USA"",""21"",""1"",""382734"""</f>
        <v>"NAV Direct","CRONUS JetCorp USA","21","1","382734"</v>
      </c>
      <c r="E4194" s="31" t="str">
        <f t="shared" si="1269"/>
        <v>C100118</v>
      </c>
      <c r="F4194" s="31"/>
      <c r="G4194" s="31"/>
      <c r="H4194" s="31"/>
      <c r="I4194" s="56"/>
      <c r="J4194" s="56"/>
      <c r="K4194" s="82" t="str">
        <f t="shared" si="1270"/>
        <v>Invoice</v>
      </c>
      <c r="L4194" s="83" t="str">
        <f>"SI_111892"</f>
        <v>SI_111892</v>
      </c>
      <c r="M4194" s="84">
        <v>43706</v>
      </c>
      <c r="N4194" s="85">
        <f t="shared" si="1271"/>
        <v>106</v>
      </c>
      <c r="O4194" s="86">
        <f t="shared" si="1272"/>
        <v>11342.88</v>
      </c>
      <c r="P4194" s="86">
        <f t="shared" si="1273"/>
        <v>0</v>
      </c>
      <c r="Q4194" s="86">
        <f t="shared" si="1274"/>
        <v>0</v>
      </c>
      <c r="R4194" s="86">
        <f t="shared" si="1275"/>
        <v>0</v>
      </c>
      <c r="S4194" s="86">
        <f t="shared" si="1276"/>
        <v>0</v>
      </c>
      <c r="T4194" s="86">
        <f t="shared" si="1277"/>
        <v>11342.88</v>
      </c>
      <c r="U4194" s="87">
        <v>11342.88</v>
      </c>
    </row>
    <row r="4195" spans="1:21" s="30" customFormat="1" ht="24.6" hidden="1" outlineLevel="1" x14ac:dyDescent="0.55000000000000004">
      <c r="A4195" s="27" t="s">
        <v>327</v>
      </c>
      <c r="B4195" s="28"/>
      <c r="C4195" s="27"/>
      <c r="D4195" s="27" t="str">
        <f>"""NAV Direct"",""CRONUS JetCorp USA"",""21"",""1"",""382936"""</f>
        <v>"NAV Direct","CRONUS JetCorp USA","21","1","382936"</v>
      </c>
      <c r="E4195" s="31">
        <f t="shared" si="1269"/>
        <v>0</v>
      </c>
      <c r="F4195" s="31"/>
      <c r="G4195" s="31"/>
      <c r="H4195" s="31"/>
      <c r="I4195" s="56"/>
      <c r="J4195" s="56"/>
      <c r="K4195" s="82" t="str">
        <f t="shared" si="1270"/>
        <v>Invoice</v>
      </c>
      <c r="L4195" s="83" t="str">
        <f>"SI_111898"</f>
        <v>SI_111898</v>
      </c>
      <c r="M4195" s="84">
        <v>43798</v>
      </c>
      <c r="N4195" s="85">
        <f t="shared" si="1271"/>
        <v>14</v>
      </c>
      <c r="O4195" s="86">
        <f t="shared" si="1272"/>
        <v>14509.19</v>
      </c>
      <c r="P4195" s="86">
        <f t="shared" si="1273"/>
        <v>0</v>
      </c>
      <c r="Q4195" s="86">
        <f t="shared" si="1274"/>
        <v>14509.19</v>
      </c>
      <c r="R4195" s="86">
        <f t="shared" si="1275"/>
        <v>0</v>
      </c>
      <c r="S4195" s="86">
        <f t="shared" si="1276"/>
        <v>0</v>
      </c>
      <c r="T4195" s="86">
        <f t="shared" si="1277"/>
        <v>0</v>
      </c>
      <c r="U4195" s="87">
        <v>14509.19</v>
      </c>
    </row>
    <row r="4196" spans="1:21" s="30" customFormat="1" ht="24.6" hidden="1" outlineLevel="1" x14ac:dyDescent="0.55000000000000004">
      <c r="A4196" s="27" t="s">
        <v>327</v>
      </c>
      <c r="B4196" s="28"/>
      <c r="C4196" s="27"/>
      <c r="D4196" s="27" t="str">
        <f>"""NAV Direct"",""CRONUS JetCorp USA"",""21"",""1"",""383020"""</f>
        <v>"NAV Direct","CRONUS JetCorp USA","21","1","383020"</v>
      </c>
      <c r="E4196" s="31" t="str">
        <f t="shared" si="1269"/>
        <v>C100118</v>
      </c>
      <c r="F4196" s="31"/>
      <c r="G4196" s="31"/>
      <c r="H4196" s="31"/>
      <c r="I4196" s="56"/>
      <c r="J4196" s="56"/>
      <c r="K4196" s="82" t="str">
        <f t="shared" si="1270"/>
        <v>Invoice</v>
      </c>
      <c r="L4196" s="83" t="str">
        <f>"SI_111900"</f>
        <v>SI_111900</v>
      </c>
      <c r="M4196" s="84">
        <v>43830</v>
      </c>
      <c r="N4196" s="85">
        <f t="shared" si="1271"/>
        <v>-18</v>
      </c>
      <c r="O4196" s="86">
        <f t="shared" si="1272"/>
        <v>16830.28</v>
      </c>
      <c r="P4196" s="86">
        <f t="shared" si="1273"/>
        <v>16830.28</v>
      </c>
      <c r="Q4196" s="86">
        <f t="shared" si="1274"/>
        <v>0</v>
      </c>
      <c r="R4196" s="86">
        <f t="shared" si="1275"/>
        <v>0</v>
      </c>
      <c r="S4196" s="86">
        <f t="shared" si="1276"/>
        <v>0</v>
      </c>
      <c r="T4196" s="86">
        <f t="shared" si="1277"/>
        <v>0</v>
      </c>
      <c r="U4196" s="87">
        <v>16830.28</v>
      </c>
    </row>
    <row r="4197" spans="1:21" s="30" customFormat="1" ht="24.6" hidden="1" outlineLevel="1" x14ac:dyDescent="0.55000000000000004">
      <c r="A4197" s="27" t="s">
        <v>327</v>
      </c>
      <c r="B4197" s="28"/>
      <c r="C4197" s="27"/>
      <c r="D4197" s="27" t="str">
        <f>"""NAV Direct"",""CRONUS JetCorp USA"",""21"",""1"",""383078"""</f>
        <v>"NAV Direct","CRONUS JetCorp USA","21","1","383078"</v>
      </c>
      <c r="E4197" s="31">
        <f t="shared" si="1269"/>
        <v>0</v>
      </c>
      <c r="F4197" s="31"/>
      <c r="G4197" s="31"/>
      <c r="H4197" s="31"/>
      <c r="I4197" s="56"/>
      <c r="J4197" s="56"/>
      <c r="K4197" s="82" t="str">
        <f t="shared" si="1270"/>
        <v>Invoice</v>
      </c>
      <c r="L4197" s="83" t="str">
        <f>"SI_111902"</f>
        <v>SI_111902</v>
      </c>
      <c r="M4197" s="84">
        <v>42051</v>
      </c>
      <c r="N4197" s="85">
        <f t="shared" si="1271"/>
        <v>1761</v>
      </c>
      <c r="O4197" s="86">
        <f t="shared" si="1272"/>
        <v>13780.930000000002</v>
      </c>
      <c r="P4197" s="86">
        <f t="shared" si="1273"/>
        <v>0</v>
      </c>
      <c r="Q4197" s="86">
        <f t="shared" si="1274"/>
        <v>0</v>
      </c>
      <c r="R4197" s="86">
        <f t="shared" si="1275"/>
        <v>0</v>
      </c>
      <c r="S4197" s="86">
        <f t="shared" si="1276"/>
        <v>0</v>
      </c>
      <c r="T4197" s="86">
        <f t="shared" si="1277"/>
        <v>13780.930000000002</v>
      </c>
      <c r="U4197" s="87">
        <v>13780.930000000002</v>
      </c>
    </row>
    <row r="4198" spans="1:21" s="30" customFormat="1" ht="24.6" hidden="1" outlineLevel="1" x14ac:dyDescent="0.55000000000000004">
      <c r="A4198" s="27" t="s">
        <v>327</v>
      </c>
      <c r="B4198" s="28"/>
      <c r="C4198" s="27"/>
      <c r="D4198" s="27" t="str">
        <f>"""NAV Direct"",""CRONUS JetCorp USA"",""21"",""1"",""383243"""</f>
        <v>"NAV Direct","CRONUS JetCorp USA","21","1","383243"</v>
      </c>
      <c r="E4198" s="31" t="str">
        <f t="shared" si="1269"/>
        <v>C100118</v>
      </c>
      <c r="F4198" s="31"/>
      <c r="G4198" s="31"/>
      <c r="H4198" s="31"/>
      <c r="I4198" s="56"/>
      <c r="J4198" s="56"/>
      <c r="K4198" s="82" t="str">
        <f t="shared" si="1270"/>
        <v>Invoice</v>
      </c>
      <c r="L4198" s="83" t="str">
        <f>"SI_111907"</f>
        <v>SI_111907</v>
      </c>
      <c r="M4198" s="84">
        <v>42165</v>
      </c>
      <c r="N4198" s="85">
        <f t="shared" si="1271"/>
        <v>1647</v>
      </c>
      <c r="O4198" s="86">
        <f t="shared" si="1272"/>
        <v>16421.59</v>
      </c>
      <c r="P4198" s="86">
        <f t="shared" si="1273"/>
        <v>0</v>
      </c>
      <c r="Q4198" s="86">
        <f t="shared" si="1274"/>
        <v>0</v>
      </c>
      <c r="R4198" s="86">
        <f t="shared" si="1275"/>
        <v>0</v>
      </c>
      <c r="S4198" s="86">
        <f t="shared" si="1276"/>
        <v>0</v>
      </c>
      <c r="T4198" s="86">
        <f t="shared" si="1277"/>
        <v>16421.59</v>
      </c>
      <c r="U4198" s="87">
        <v>16421.59</v>
      </c>
    </row>
    <row r="4199" spans="1:21" s="30" customFormat="1" ht="24.6" hidden="1" outlineLevel="1" x14ac:dyDescent="0.55000000000000004">
      <c r="A4199" s="27" t="s">
        <v>327</v>
      </c>
      <c r="B4199" s="28"/>
      <c r="C4199" s="27"/>
      <c r="D4199" s="27" t="str">
        <f>"""NAV Direct"",""CRONUS JetCorp USA"",""21"",""1"",""383282"""</f>
        <v>"NAV Direct","CRONUS JetCorp USA","21","1","383282"</v>
      </c>
      <c r="E4199" s="31">
        <f t="shared" si="1269"/>
        <v>0</v>
      </c>
      <c r="F4199" s="31"/>
      <c r="G4199" s="31"/>
      <c r="H4199" s="31"/>
      <c r="I4199" s="56"/>
      <c r="J4199" s="56"/>
      <c r="K4199" s="82" t="str">
        <f t="shared" si="1270"/>
        <v>Invoice</v>
      </c>
      <c r="L4199" s="83" t="str">
        <f>"SI_111908"</f>
        <v>SI_111908</v>
      </c>
      <c r="M4199" s="84">
        <v>42181</v>
      </c>
      <c r="N4199" s="85">
        <f t="shared" si="1271"/>
        <v>1631</v>
      </c>
      <c r="O4199" s="86">
        <f t="shared" si="1272"/>
        <v>19048.78</v>
      </c>
      <c r="P4199" s="86">
        <f t="shared" si="1273"/>
        <v>0</v>
      </c>
      <c r="Q4199" s="86">
        <f t="shared" si="1274"/>
        <v>0</v>
      </c>
      <c r="R4199" s="86">
        <f t="shared" si="1275"/>
        <v>0</v>
      </c>
      <c r="S4199" s="86">
        <f t="shared" si="1276"/>
        <v>0</v>
      </c>
      <c r="T4199" s="86">
        <f t="shared" si="1277"/>
        <v>19048.78</v>
      </c>
      <c r="U4199" s="87">
        <v>19048.78</v>
      </c>
    </row>
    <row r="4200" spans="1:21" s="30" customFormat="1" ht="24.6" hidden="1" outlineLevel="1" x14ac:dyDescent="0.55000000000000004">
      <c r="A4200" s="27" t="s">
        <v>327</v>
      </c>
      <c r="B4200" s="28"/>
      <c r="C4200" s="27"/>
      <c r="D4200" s="27" t="str">
        <f>"""NAV Direct"",""CRONUS JetCorp USA"",""21"",""1"",""383438"""</f>
        <v>"NAV Direct","CRONUS JetCorp USA","21","1","383438"</v>
      </c>
      <c r="E4200" s="31" t="str">
        <f t="shared" si="1269"/>
        <v>C100118</v>
      </c>
      <c r="F4200" s="31"/>
      <c r="G4200" s="31"/>
      <c r="H4200" s="31"/>
      <c r="I4200" s="56"/>
      <c r="J4200" s="56"/>
      <c r="K4200" s="82" t="str">
        <f t="shared" si="1270"/>
        <v>Invoice</v>
      </c>
      <c r="L4200" s="83" t="str">
        <f>"SI_111912"</f>
        <v>SI_111912</v>
      </c>
      <c r="M4200" s="84">
        <v>42245</v>
      </c>
      <c r="N4200" s="85">
        <f t="shared" si="1271"/>
        <v>1567</v>
      </c>
      <c r="O4200" s="86">
        <f t="shared" si="1272"/>
        <v>10425.780000000001</v>
      </c>
      <c r="P4200" s="86">
        <f t="shared" si="1273"/>
        <v>0</v>
      </c>
      <c r="Q4200" s="86">
        <f t="shared" si="1274"/>
        <v>0</v>
      </c>
      <c r="R4200" s="86">
        <f t="shared" si="1275"/>
        <v>0</v>
      </c>
      <c r="S4200" s="86">
        <f t="shared" si="1276"/>
        <v>0</v>
      </c>
      <c r="T4200" s="86">
        <f t="shared" si="1277"/>
        <v>10425.780000000001</v>
      </c>
      <c r="U4200" s="87">
        <v>10425.780000000001</v>
      </c>
    </row>
    <row r="4201" spans="1:21" s="30" customFormat="1" ht="24.6" hidden="1" outlineLevel="1" x14ac:dyDescent="0.55000000000000004">
      <c r="A4201" s="27" t="s">
        <v>327</v>
      </c>
      <c r="B4201" s="28"/>
      <c r="C4201" s="27"/>
      <c r="D4201" s="27" t="str">
        <f>"""NAV Direct"",""CRONUS JetCorp USA"",""21"",""1"",""383475"""</f>
        <v>"NAV Direct","CRONUS JetCorp USA","21","1","383475"</v>
      </c>
      <c r="E4201" s="31">
        <f t="shared" si="1269"/>
        <v>0</v>
      </c>
      <c r="F4201" s="31"/>
      <c r="G4201" s="31"/>
      <c r="H4201" s="31"/>
      <c r="I4201" s="56"/>
      <c r="J4201" s="56"/>
      <c r="K4201" s="82" t="str">
        <f t="shared" si="1270"/>
        <v>Invoice</v>
      </c>
      <c r="L4201" s="83" t="str">
        <f>"SI_111913"</f>
        <v>SI_111913</v>
      </c>
      <c r="M4201" s="84">
        <v>42266</v>
      </c>
      <c r="N4201" s="85">
        <f t="shared" si="1271"/>
        <v>1546</v>
      </c>
      <c r="O4201" s="86">
        <f t="shared" si="1272"/>
        <v>9851.7200000000012</v>
      </c>
      <c r="P4201" s="86">
        <f t="shared" si="1273"/>
        <v>0</v>
      </c>
      <c r="Q4201" s="86">
        <f t="shared" si="1274"/>
        <v>0</v>
      </c>
      <c r="R4201" s="86">
        <f t="shared" si="1275"/>
        <v>0</v>
      </c>
      <c r="S4201" s="86">
        <f t="shared" si="1276"/>
        <v>0</v>
      </c>
      <c r="T4201" s="86">
        <f t="shared" si="1277"/>
        <v>9851.7200000000012</v>
      </c>
      <c r="U4201" s="87">
        <v>9851.7200000000012</v>
      </c>
    </row>
    <row r="4202" spans="1:21" s="30" customFormat="1" ht="24.6" hidden="1" outlineLevel="1" x14ac:dyDescent="0.55000000000000004">
      <c r="A4202" s="27" t="s">
        <v>327</v>
      </c>
      <c r="B4202" s="28"/>
      <c r="C4202" s="27"/>
      <c r="D4202" s="27" t="str">
        <f>"""NAV Direct"",""CRONUS JetCorp USA"",""21"",""1"",""383508"""</f>
        <v>"NAV Direct","CRONUS JetCorp USA","21","1","383508"</v>
      </c>
      <c r="E4202" s="31" t="str">
        <f t="shared" si="1269"/>
        <v>C100118</v>
      </c>
      <c r="F4202" s="31"/>
      <c r="G4202" s="31"/>
      <c r="H4202" s="31"/>
      <c r="I4202" s="56"/>
      <c r="J4202" s="56"/>
      <c r="K4202" s="82" t="str">
        <f t="shared" si="1270"/>
        <v>Invoice</v>
      </c>
      <c r="L4202" s="83" t="str">
        <f>"SI_111914"</f>
        <v>SI_111914</v>
      </c>
      <c r="M4202" s="84">
        <v>42266</v>
      </c>
      <c r="N4202" s="85">
        <f t="shared" si="1271"/>
        <v>1546</v>
      </c>
      <c r="O4202" s="86">
        <f t="shared" si="1272"/>
        <v>9852.81</v>
      </c>
      <c r="P4202" s="86">
        <f t="shared" si="1273"/>
        <v>0</v>
      </c>
      <c r="Q4202" s="86">
        <f t="shared" si="1274"/>
        <v>0</v>
      </c>
      <c r="R4202" s="86">
        <f t="shared" si="1275"/>
        <v>0</v>
      </c>
      <c r="S4202" s="86">
        <f t="shared" si="1276"/>
        <v>0</v>
      </c>
      <c r="T4202" s="86">
        <f t="shared" si="1277"/>
        <v>9852.81</v>
      </c>
      <c r="U4202" s="87">
        <v>9852.81</v>
      </c>
    </row>
    <row r="4203" spans="1:21" s="30" customFormat="1" ht="24.6" hidden="1" outlineLevel="1" x14ac:dyDescent="0.55000000000000004">
      <c r="A4203" s="27" t="s">
        <v>327</v>
      </c>
      <c r="B4203" s="28"/>
      <c r="C4203" s="27"/>
      <c r="D4203" s="27" t="str">
        <f>"""NAV Direct"",""CRONUS JetCorp USA"",""21"",""1"",""383545"""</f>
        <v>"NAV Direct","CRONUS JetCorp USA","21","1","383545"</v>
      </c>
      <c r="E4203" s="31">
        <f t="shared" si="1269"/>
        <v>0</v>
      </c>
      <c r="F4203" s="31"/>
      <c r="G4203" s="31"/>
      <c r="H4203" s="31"/>
      <c r="I4203" s="56"/>
      <c r="J4203" s="56"/>
      <c r="K4203" s="82" t="str">
        <f t="shared" si="1270"/>
        <v>Invoice</v>
      </c>
      <c r="L4203" s="83" t="str">
        <f>"SI_111915"</f>
        <v>SI_111915</v>
      </c>
      <c r="M4203" s="84">
        <v>42307</v>
      </c>
      <c r="N4203" s="85">
        <f t="shared" si="1271"/>
        <v>1505</v>
      </c>
      <c r="O4203" s="86">
        <f t="shared" si="1272"/>
        <v>11330.69</v>
      </c>
      <c r="P4203" s="86">
        <f t="shared" si="1273"/>
        <v>0</v>
      </c>
      <c r="Q4203" s="86">
        <f t="shared" si="1274"/>
        <v>0</v>
      </c>
      <c r="R4203" s="86">
        <f t="shared" si="1275"/>
        <v>0</v>
      </c>
      <c r="S4203" s="86">
        <f t="shared" si="1276"/>
        <v>0</v>
      </c>
      <c r="T4203" s="86">
        <f t="shared" si="1277"/>
        <v>11330.69</v>
      </c>
      <c r="U4203" s="87">
        <v>11330.69</v>
      </c>
    </row>
    <row r="4204" spans="1:21" s="30" customFormat="1" ht="24.6" hidden="1" outlineLevel="1" x14ac:dyDescent="0.55000000000000004">
      <c r="A4204" s="27" t="s">
        <v>327</v>
      </c>
      <c r="B4204" s="28"/>
      <c r="C4204" s="27"/>
      <c r="D4204" s="27" t="str">
        <f>"""NAV Direct"",""CRONUS JetCorp USA"",""21"",""1"",""383679"""</f>
        <v>"NAV Direct","CRONUS JetCorp USA","21","1","383679"</v>
      </c>
      <c r="E4204" s="31" t="str">
        <f t="shared" si="1269"/>
        <v>C100118</v>
      </c>
      <c r="F4204" s="31"/>
      <c r="G4204" s="31"/>
      <c r="H4204" s="31"/>
      <c r="I4204" s="56"/>
      <c r="J4204" s="56"/>
      <c r="K4204" s="82" t="str">
        <f t="shared" si="1270"/>
        <v>Invoice</v>
      </c>
      <c r="L4204" s="83" t="str">
        <f>"SI_111919"</f>
        <v>SI_111919</v>
      </c>
      <c r="M4204" s="84">
        <v>42744</v>
      </c>
      <c r="N4204" s="85">
        <f t="shared" si="1271"/>
        <v>1068</v>
      </c>
      <c r="O4204" s="86">
        <f t="shared" si="1272"/>
        <v>15312.52</v>
      </c>
      <c r="P4204" s="86">
        <f t="shared" si="1273"/>
        <v>0</v>
      </c>
      <c r="Q4204" s="86">
        <f t="shared" si="1274"/>
        <v>0</v>
      </c>
      <c r="R4204" s="86">
        <f t="shared" si="1275"/>
        <v>0</v>
      </c>
      <c r="S4204" s="86">
        <f t="shared" si="1276"/>
        <v>0</v>
      </c>
      <c r="T4204" s="86">
        <f t="shared" si="1277"/>
        <v>15312.52</v>
      </c>
      <c r="U4204" s="87">
        <v>15312.52</v>
      </c>
    </row>
    <row r="4205" spans="1:21" s="30" customFormat="1" ht="24.6" hidden="1" outlineLevel="1" x14ac:dyDescent="0.55000000000000004">
      <c r="A4205" s="27" t="s">
        <v>327</v>
      </c>
      <c r="B4205" s="28"/>
      <c r="C4205" s="27"/>
      <c r="D4205" s="27" t="str">
        <f>"""NAV Direct"",""CRONUS JetCorp USA"",""21"",""1"",""438286"""</f>
        <v>"NAV Direct","CRONUS JetCorp USA","21","1","438286"</v>
      </c>
      <c r="E4205" s="31">
        <f t="shared" si="1269"/>
        <v>0</v>
      </c>
      <c r="F4205" s="31"/>
      <c r="G4205" s="31"/>
      <c r="H4205" s="31"/>
      <c r="I4205" s="56"/>
      <c r="J4205" s="56"/>
      <c r="K4205" s="82" t="str">
        <f>"Credit Memo"</f>
        <v>Credit Memo</v>
      </c>
      <c r="L4205" s="83" t="str">
        <f>"SC_100804"</f>
        <v>SC_100804</v>
      </c>
      <c r="M4205" s="84">
        <v>42632</v>
      </c>
      <c r="N4205" s="85">
        <f t="shared" si="1271"/>
        <v>1180</v>
      </c>
      <c r="O4205" s="86">
        <f t="shared" si="1272"/>
        <v>-76.099999999999994</v>
      </c>
      <c r="P4205" s="86">
        <f t="shared" si="1273"/>
        <v>0</v>
      </c>
      <c r="Q4205" s="86">
        <f t="shared" si="1274"/>
        <v>0</v>
      </c>
      <c r="R4205" s="86">
        <f t="shared" si="1275"/>
        <v>0</v>
      </c>
      <c r="S4205" s="86">
        <f t="shared" si="1276"/>
        <v>0</v>
      </c>
      <c r="T4205" s="86">
        <f t="shared" si="1277"/>
        <v>-76.099999999999994</v>
      </c>
      <c r="U4205" s="87">
        <v>-76.099999999999994</v>
      </c>
    </row>
    <row r="4206" spans="1:21" s="30" customFormat="1" ht="24.6" hidden="1" outlineLevel="1" x14ac:dyDescent="0.55000000000000004">
      <c r="A4206" s="27" t="s">
        <v>327</v>
      </c>
      <c r="B4206" s="28"/>
      <c r="C4206" s="27"/>
      <c r="D4206" s="27" t="str">
        <f>"""NAV Direct"",""CRONUS JetCorp USA"",""21"",""1"",""438345"""</f>
        <v>"NAV Direct","CRONUS JetCorp USA","21","1","438345"</v>
      </c>
      <c r="E4206" s="31" t="str">
        <f t="shared" si="1269"/>
        <v>C100118</v>
      </c>
      <c r="F4206" s="31"/>
      <c r="G4206" s="31"/>
      <c r="H4206" s="31"/>
      <c r="I4206" s="56"/>
      <c r="J4206" s="56"/>
      <c r="K4206" s="82" t="str">
        <f>"Credit Memo"</f>
        <v>Credit Memo</v>
      </c>
      <c r="L4206" s="83" t="str">
        <f>"SC_100809"</f>
        <v>SC_100809</v>
      </c>
      <c r="M4206" s="84">
        <v>42950</v>
      </c>
      <c r="N4206" s="85">
        <f t="shared" si="1271"/>
        <v>862</v>
      </c>
      <c r="O4206" s="86">
        <f t="shared" si="1272"/>
        <v>-100.49</v>
      </c>
      <c r="P4206" s="86">
        <f t="shared" si="1273"/>
        <v>0</v>
      </c>
      <c r="Q4206" s="86">
        <f t="shared" si="1274"/>
        <v>0</v>
      </c>
      <c r="R4206" s="86">
        <f t="shared" si="1275"/>
        <v>0</v>
      </c>
      <c r="S4206" s="86">
        <f t="shared" si="1276"/>
        <v>0</v>
      </c>
      <c r="T4206" s="86">
        <f t="shared" si="1277"/>
        <v>-100.49</v>
      </c>
      <c r="U4206" s="87">
        <v>-100.49</v>
      </c>
    </row>
    <row r="4207" spans="1:21" s="30" customFormat="1" ht="24.6" hidden="1" outlineLevel="1" x14ac:dyDescent="0.55000000000000004">
      <c r="A4207" s="27" t="s">
        <v>327</v>
      </c>
      <c r="B4207" s="28"/>
      <c r="C4207" s="27"/>
      <c r="D4207" s="27" t="str">
        <f>"""NAV Direct"",""CRONUS JetCorp USA"",""21"",""1"",""438373"""</f>
        <v>"NAV Direct","CRONUS JetCorp USA","21","1","438373"</v>
      </c>
      <c r="E4207" s="31">
        <f t="shared" si="1269"/>
        <v>0</v>
      </c>
      <c r="F4207" s="31"/>
      <c r="G4207" s="31"/>
      <c r="H4207" s="31"/>
      <c r="I4207" s="56"/>
      <c r="J4207" s="56"/>
      <c r="K4207" s="82" t="str">
        <f>"Credit Memo"</f>
        <v>Credit Memo</v>
      </c>
      <c r="L4207" s="83" t="str">
        <f>"SC_100811"</f>
        <v>SC_100811</v>
      </c>
      <c r="M4207" s="84">
        <v>43024</v>
      </c>
      <c r="N4207" s="85">
        <f t="shared" si="1271"/>
        <v>788</v>
      </c>
      <c r="O4207" s="86">
        <f t="shared" si="1272"/>
        <v>-109.21</v>
      </c>
      <c r="P4207" s="86">
        <f t="shared" si="1273"/>
        <v>0</v>
      </c>
      <c r="Q4207" s="86">
        <f t="shared" si="1274"/>
        <v>0</v>
      </c>
      <c r="R4207" s="86">
        <f t="shared" si="1275"/>
        <v>0</v>
      </c>
      <c r="S4207" s="86">
        <f t="shared" si="1276"/>
        <v>0</v>
      </c>
      <c r="T4207" s="86">
        <f t="shared" si="1277"/>
        <v>-109.21</v>
      </c>
      <c r="U4207" s="87">
        <v>-109.21</v>
      </c>
    </row>
    <row r="4208" spans="1:21" s="30" customFormat="1" ht="24.6" hidden="1" outlineLevel="1" x14ac:dyDescent="0.55000000000000004">
      <c r="A4208" s="27" t="s">
        <v>327</v>
      </c>
      <c r="B4208" s="28"/>
      <c r="C4208" s="27"/>
      <c r="D4208" s="27" t="str">
        <f>"""NAV Direct"",""CRONUS JetCorp USA"",""21"",""1"",""438403"""</f>
        <v>"NAV Direct","CRONUS JetCorp USA","21","1","438403"</v>
      </c>
      <c r="E4208" s="31" t="str">
        <f t="shared" si="1269"/>
        <v>C100118</v>
      </c>
      <c r="F4208" s="31"/>
      <c r="G4208" s="31"/>
      <c r="H4208" s="31"/>
      <c r="I4208" s="56"/>
      <c r="J4208" s="56"/>
      <c r="K4208" s="82" t="str">
        <f>"Credit Memo"</f>
        <v>Credit Memo</v>
      </c>
      <c r="L4208" s="83" t="str">
        <f>"SC_100813"</f>
        <v>SC_100813</v>
      </c>
      <c r="M4208" s="84">
        <v>43176</v>
      </c>
      <c r="N4208" s="85">
        <f t="shared" si="1271"/>
        <v>636</v>
      </c>
      <c r="O4208" s="86">
        <f t="shared" si="1272"/>
        <v>-93.81</v>
      </c>
      <c r="P4208" s="86">
        <f t="shared" si="1273"/>
        <v>0</v>
      </c>
      <c r="Q4208" s="86">
        <f t="shared" si="1274"/>
        <v>0</v>
      </c>
      <c r="R4208" s="86">
        <f t="shared" si="1275"/>
        <v>0</v>
      </c>
      <c r="S4208" s="86">
        <f t="shared" si="1276"/>
        <v>0</v>
      </c>
      <c r="T4208" s="86">
        <f t="shared" si="1277"/>
        <v>-93.81</v>
      </c>
      <c r="U4208" s="87">
        <v>-93.81</v>
      </c>
    </row>
    <row r="4209" spans="1:22" s="30" customFormat="1" ht="24.6" hidden="1" outlineLevel="1" x14ac:dyDescent="0.55000000000000004">
      <c r="A4209" s="27" t="s">
        <v>327</v>
      </c>
      <c r="B4209" s="28"/>
      <c r="C4209" s="27"/>
      <c r="D4209" s="27" t="str">
        <f>"""NAV Direct"",""CRONUS JetCorp USA"",""21"",""1"",""438508"""</f>
        <v>"NAV Direct","CRONUS JetCorp USA","21","1","438508"</v>
      </c>
      <c r="E4209" s="31">
        <f t="shared" si="1269"/>
        <v>0</v>
      </c>
      <c r="F4209" s="31"/>
      <c r="G4209" s="31"/>
      <c r="H4209" s="31"/>
      <c r="I4209" s="56"/>
      <c r="J4209" s="56"/>
      <c r="K4209" s="82" t="str">
        <f>"Credit Memo"</f>
        <v>Credit Memo</v>
      </c>
      <c r="L4209" s="83" t="str">
        <f>"SC_100820"</f>
        <v>SC_100820</v>
      </c>
      <c r="M4209" s="84">
        <v>43750</v>
      </c>
      <c r="N4209" s="85">
        <f t="shared" si="1271"/>
        <v>62</v>
      </c>
      <c r="O4209" s="86">
        <f t="shared" si="1272"/>
        <v>-124.4</v>
      </c>
      <c r="P4209" s="86">
        <f t="shared" si="1273"/>
        <v>0</v>
      </c>
      <c r="Q4209" s="86">
        <f t="shared" si="1274"/>
        <v>0</v>
      </c>
      <c r="R4209" s="86">
        <f t="shared" si="1275"/>
        <v>0</v>
      </c>
      <c r="S4209" s="86">
        <f t="shared" si="1276"/>
        <v>-124.4</v>
      </c>
      <c r="T4209" s="86">
        <f t="shared" si="1277"/>
        <v>0</v>
      </c>
      <c r="U4209" s="87">
        <v>-124.4</v>
      </c>
    </row>
    <row r="4210" spans="1:22" s="22" customFormat="1" ht="20.399999999999999" collapsed="1" x14ac:dyDescent="0.45">
      <c r="A4210" s="12" t="s">
        <v>327</v>
      </c>
      <c r="B4210" s="19"/>
      <c r="C4210" s="12"/>
      <c r="D4210" s="12"/>
      <c r="E4210" s="23"/>
      <c r="F4210" s="23"/>
      <c r="G4210" s="23"/>
      <c r="H4210" s="23"/>
      <c r="I4210" s="49"/>
      <c r="J4210" s="88"/>
      <c r="K4210" s="88"/>
      <c r="L4210" s="89"/>
      <c r="M4210" s="89"/>
      <c r="N4210" s="89"/>
      <c r="O4210" s="89"/>
      <c r="P4210" s="89"/>
      <c r="Q4210" s="90"/>
      <c r="R4210" s="90"/>
      <c r="S4210" s="91"/>
      <c r="T4210" s="92"/>
      <c r="U4210" s="92"/>
    </row>
    <row r="4211" spans="1:22" s="22" customFormat="1" ht="20.399999999999999" x14ac:dyDescent="0.45">
      <c r="A4211" s="12" t="s">
        <v>327</v>
      </c>
      <c r="B4211" s="19"/>
      <c r="C4211" s="12"/>
      <c r="D4211" s="12"/>
      <c r="E4211" s="23"/>
      <c r="F4211" s="23"/>
      <c r="G4211" s="23"/>
      <c r="H4211" s="23"/>
      <c r="I4211" s="49"/>
      <c r="J4211" s="88"/>
      <c r="K4211" s="88"/>
      <c r="L4211" s="89"/>
      <c r="M4211" s="89"/>
      <c r="N4211" s="89"/>
      <c r="O4211" s="89"/>
      <c r="P4211" s="89"/>
      <c r="Q4211" s="90"/>
      <c r="R4211" s="90"/>
      <c r="S4211" s="91"/>
      <c r="T4211" s="92"/>
      <c r="U4211" s="92"/>
    </row>
    <row r="4212" spans="1:22" s="26" customFormat="1" ht="24.6" x14ac:dyDescent="0.55000000000000004">
      <c r="A4212" s="27" t="s">
        <v>327</v>
      </c>
      <c r="B4212" s="28"/>
      <c r="C4212" s="27" t="str">
        <f>"""NAV Direct"",""CRONUS JetCorp USA"",""18"",""1"",""C100119"""</f>
        <v>"NAV Direct","CRONUS JetCorp USA","18","1","C100119"</v>
      </c>
      <c r="D4212" s="27"/>
      <c r="E4212" s="28" t="str">
        <f>H4212</f>
        <v>C100119</v>
      </c>
      <c r="F4212" s="28"/>
      <c r="G4212" s="28"/>
      <c r="H4212" s="28" t="str">
        <f>"C100119"</f>
        <v>C100119</v>
      </c>
      <c r="I4212" s="116" t="str">
        <f>"C100119  -  Inchit, Inc."</f>
        <v>C100119  -  Inchit, Inc.</v>
      </c>
      <c r="J4212" s="117" t="str">
        <f>""</f>
        <v/>
      </c>
      <c r="K4212" s="118"/>
      <c r="L4212" s="119">
        <f>SUBTOTAL(3,L4213:L4264)</f>
        <v>48</v>
      </c>
      <c r="M4212" s="118"/>
      <c r="N4212" s="118"/>
      <c r="O4212" s="120">
        <f t="shared" ref="O4212:T4212" si="1278">SUBTOTAL(9,O4213:O4264)</f>
        <v>343753.09</v>
      </c>
      <c r="P4212" s="120">
        <f t="shared" si="1278"/>
        <v>9288.16</v>
      </c>
      <c r="Q4212" s="120">
        <f t="shared" si="1278"/>
        <v>-112.37</v>
      </c>
      <c r="R4212" s="120">
        <f t="shared" si="1278"/>
        <v>13337</v>
      </c>
      <c r="S4212" s="120">
        <f t="shared" si="1278"/>
        <v>11977.050000000001</v>
      </c>
      <c r="T4212" s="120">
        <f t="shared" si="1278"/>
        <v>309263.25</v>
      </c>
      <c r="U4212" s="81"/>
    </row>
    <row r="4213" spans="1:22" s="26" customFormat="1" ht="24.6" x14ac:dyDescent="0.55000000000000004">
      <c r="A4213" s="27" t="s">
        <v>327</v>
      </c>
      <c r="B4213" s="28"/>
      <c r="C4213" s="27" t="str">
        <f>C4212</f>
        <v>"NAV Direct","CRONUS JetCorp USA","18","1","C100119"</v>
      </c>
      <c r="D4213" s="27"/>
      <c r="E4213" s="28" t="str">
        <f>E4212</f>
        <v>C100119</v>
      </c>
      <c r="F4213" s="28"/>
      <c r="G4213" s="28"/>
      <c r="H4213" s="28"/>
      <c r="I4213" s="121" t="str">
        <f>"Contact: Julius Deadwood"</f>
        <v>Contact: Julius Deadwood</v>
      </c>
      <c r="J4213" s="121"/>
      <c r="K4213" s="122"/>
      <c r="L4213" s="123"/>
      <c r="M4213" s="123"/>
      <c r="N4213" s="124"/>
      <c r="O4213" s="124"/>
      <c r="P4213" s="123"/>
      <c r="Q4213" s="125"/>
      <c r="R4213" s="126"/>
      <c r="S4213" s="126"/>
      <c r="T4213" s="125"/>
      <c r="U4213" s="81"/>
    </row>
    <row r="4214" spans="1:22" s="26" customFormat="1" ht="24.6" x14ac:dyDescent="0.55000000000000004">
      <c r="A4214" s="27" t="s">
        <v>327</v>
      </c>
      <c r="B4214" s="28"/>
      <c r="C4214" s="27" t="str">
        <f>C4213</f>
        <v>"NAV Direct","CRONUS JetCorp USA","18","1","C100119"</v>
      </c>
      <c r="D4214" s="27"/>
      <c r="E4214" s="28" t="str">
        <f>E4213</f>
        <v>C100119</v>
      </c>
      <c r="F4214" s="28"/>
      <c r="G4214" s="28"/>
      <c r="H4214" s="28"/>
      <c r="I4214" s="121" t="str">
        <f>"Inchit, Inc.@Cronus.com"</f>
        <v>Inchit, Inc.@Cronus.com</v>
      </c>
      <c r="J4214" s="121"/>
      <c r="K4214" s="122"/>
      <c r="L4214" s="124"/>
      <c r="M4214" s="124"/>
      <c r="N4214" s="124"/>
      <c r="O4214" s="124"/>
      <c r="P4214" s="123"/>
      <c r="Q4214" s="125"/>
      <c r="R4214" s="126"/>
      <c r="S4214" s="126"/>
      <c r="T4214" s="125"/>
      <c r="U4214" s="81"/>
    </row>
    <row r="4215" spans="1:22" ht="12.75" hidden="1" customHeight="1" outlineLevel="1" x14ac:dyDescent="0.45">
      <c r="A4215" s="12" t="s">
        <v>328</v>
      </c>
      <c r="B4215" s="19"/>
      <c r="E4215" s="19"/>
      <c r="F4215" s="19"/>
      <c r="G4215" s="19"/>
      <c r="H4215" s="19"/>
      <c r="I4215" s="61"/>
      <c r="J4215" s="61"/>
      <c r="K4215" s="61"/>
      <c r="L4215" s="61"/>
      <c r="M4215" s="61"/>
      <c r="N4215" s="61"/>
      <c r="O4215" s="61"/>
      <c r="P4215" s="61"/>
      <c r="Q4215" s="61"/>
      <c r="R4215" s="61"/>
      <c r="S4215" s="61"/>
      <c r="T4215" s="61"/>
      <c r="U4215" s="61"/>
      <c r="V4215" s="21"/>
    </row>
    <row r="4216" spans="1:22" s="30" customFormat="1" ht="24.6" hidden="1" outlineLevel="1" x14ac:dyDescent="0.55000000000000004">
      <c r="A4216" s="27" t="s">
        <v>327</v>
      </c>
      <c r="B4216" s="28"/>
      <c r="C4216" s="27"/>
      <c r="D4216" s="27" t="str">
        <f>"""NAV Direct"",""CRONUS JetCorp USA"",""21"",""1"",""131175"""</f>
        <v>"NAV Direct","CRONUS JetCorp USA","21","1","131175"</v>
      </c>
      <c r="E4216" s="31" t="str">
        <f t="shared" ref="E4216:E4263" si="1279">E4214</f>
        <v>C100119</v>
      </c>
      <c r="F4216" s="31"/>
      <c r="G4216" s="31"/>
      <c r="H4216" s="31"/>
      <c r="I4216" s="56"/>
      <c r="J4216" s="56"/>
      <c r="K4216" s="82" t="str">
        <f t="shared" ref="K4216:K4252" si="1280">"Invoice"</f>
        <v>Invoice</v>
      </c>
      <c r="L4216" s="83" t="str">
        <f>"SI_107034"</f>
        <v>SI_107034</v>
      </c>
      <c r="M4216" s="84">
        <v>42334</v>
      </c>
      <c r="N4216" s="85">
        <f t="shared" ref="N4216:N4263" si="1281">StartDate-$M4216+1</f>
        <v>1478</v>
      </c>
      <c r="O4216" s="86">
        <f t="shared" ref="O4216:O4263" si="1282">SUM(P4216:T4216)</f>
        <v>8588.59</v>
      </c>
      <c r="P4216" s="86">
        <f t="shared" ref="P4216:P4263" si="1283">IF($M4216&gt;=$P$18,U4216,0)</f>
        <v>0</v>
      </c>
      <c r="Q4216" s="86">
        <f t="shared" ref="Q4216:Q4263" si="1284">IF(AND($M4216&gt;=$Q$16,$M4216&lt;=$Q$18),U4216,0)</f>
        <v>0</v>
      </c>
      <c r="R4216" s="86">
        <f t="shared" ref="R4216:R4263" si="1285">IF(AND($M4216&gt;=$R$16,$M4216&lt;=$R$18),U4216,0)</f>
        <v>0</v>
      </c>
      <c r="S4216" s="86">
        <f t="shared" ref="S4216:S4263" si="1286">IF(AND($M4216&gt;=$S$16,$M4216&lt;=$S$18),U4216,0)</f>
        <v>0</v>
      </c>
      <c r="T4216" s="86">
        <f t="shared" ref="T4216:T4263" si="1287">IF($M4216&lt;=$T$18,U4216,0)</f>
        <v>8588.59</v>
      </c>
      <c r="U4216" s="87">
        <v>8588.59</v>
      </c>
    </row>
    <row r="4217" spans="1:22" s="30" customFormat="1" ht="24.6" hidden="1" outlineLevel="1" x14ac:dyDescent="0.55000000000000004">
      <c r="A4217" s="27" t="s">
        <v>327</v>
      </c>
      <c r="B4217" s="28"/>
      <c r="C4217" s="27"/>
      <c r="D4217" s="27" t="str">
        <f>"""NAV Direct"",""CRONUS JetCorp USA"",""21"",""1"",""131757"""</f>
        <v>"NAV Direct","CRONUS JetCorp USA","21","1","131757"</v>
      </c>
      <c r="E4217" s="31">
        <f t="shared" si="1279"/>
        <v>0</v>
      </c>
      <c r="F4217" s="31"/>
      <c r="G4217" s="31"/>
      <c r="H4217" s="31"/>
      <c r="I4217" s="56"/>
      <c r="J4217" s="56"/>
      <c r="K4217" s="82" t="str">
        <f t="shared" si="1280"/>
        <v>Invoice</v>
      </c>
      <c r="L4217" s="83" t="str">
        <f>"SI_107044"</f>
        <v>SI_107044</v>
      </c>
      <c r="M4217" s="84">
        <v>42362</v>
      </c>
      <c r="N4217" s="85">
        <f t="shared" si="1281"/>
        <v>1450</v>
      </c>
      <c r="O4217" s="86">
        <f t="shared" si="1282"/>
        <v>6798.4800000000005</v>
      </c>
      <c r="P4217" s="86">
        <f t="shared" si="1283"/>
        <v>0</v>
      </c>
      <c r="Q4217" s="86">
        <f t="shared" si="1284"/>
        <v>0</v>
      </c>
      <c r="R4217" s="86">
        <f t="shared" si="1285"/>
        <v>0</v>
      </c>
      <c r="S4217" s="86">
        <f t="shared" si="1286"/>
        <v>0</v>
      </c>
      <c r="T4217" s="86">
        <f t="shared" si="1287"/>
        <v>6798.4800000000005</v>
      </c>
      <c r="U4217" s="87">
        <v>6798.4800000000005</v>
      </c>
    </row>
    <row r="4218" spans="1:22" s="30" customFormat="1" ht="24.6" hidden="1" outlineLevel="1" x14ac:dyDescent="0.55000000000000004">
      <c r="A4218" s="27" t="s">
        <v>327</v>
      </c>
      <c r="B4218" s="28"/>
      <c r="C4218" s="27"/>
      <c r="D4218" s="27" t="str">
        <f>"""NAV Direct"",""CRONUS JetCorp USA"",""21"",""1"",""383732"""</f>
        <v>"NAV Direct","CRONUS JetCorp USA","21","1","383732"</v>
      </c>
      <c r="E4218" s="31" t="str">
        <f t="shared" si="1279"/>
        <v>C100119</v>
      </c>
      <c r="F4218" s="31"/>
      <c r="G4218" s="31"/>
      <c r="H4218" s="31"/>
      <c r="I4218" s="56"/>
      <c r="J4218" s="56"/>
      <c r="K4218" s="82" t="str">
        <f t="shared" si="1280"/>
        <v>Invoice</v>
      </c>
      <c r="L4218" s="83" t="str">
        <f>"SI_111920"</f>
        <v>SI_111920</v>
      </c>
      <c r="M4218" s="84">
        <v>42388</v>
      </c>
      <c r="N4218" s="85">
        <f t="shared" si="1281"/>
        <v>1424</v>
      </c>
      <c r="O4218" s="86">
        <f t="shared" si="1282"/>
        <v>9199.93</v>
      </c>
      <c r="P4218" s="86">
        <f t="shared" si="1283"/>
        <v>0</v>
      </c>
      <c r="Q4218" s="86">
        <f t="shared" si="1284"/>
        <v>0</v>
      </c>
      <c r="R4218" s="86">
        <f t="shared" si="1285"/>
        <v>0</v>
      </c>
      <c r="S4218" s="86">
        <f t="shared" si="1286"/>
        <v>0</v>
      </c>
      <c r="T4218" s="86">
        <f t="shared" si="1287"/>
        <v>9199.93</v>
      </c>
      <c r="U4218" s="87">
        <v>9199.93</v>
      </c>
    </row>
    <row r="4219" spans="1:22" s="30" customFormat="1" ht="24.6" hidden="1" outlineLevel="1" x14ac:dyDescent="0.55000000000000004">
      <c r="A4219" s="27" t="s">
        <v>327</v>
      </c>
      <c r="B4219" s="28"/>
      <c r="C4219" s="27"/>
      <c r="D4219" s="27" t="str">
        <f>"""NAV Direct"",""CRONUS JetCorp USA"",""21"",""1"",""386359"""</f>
        <v>"NAV Direct","CRONUS JetCorp USA","21","1","386359"</v>
      </c>
      <c r="E4219" s="31">
        <f t="shared" si="1279"/>
        <v>0</v>
      </c>
      <c r="F4219" s="31"/>
      <c r="G4219" s="31"/>
      <c r="H4219" s="31"/>
      <c r="I4219" s="56"/>
      <c r="J4219" s="56"/>
      <c r="K4219" s="82" t="str">
        <f t="shared" si="1280"/>
        <v>Invoice</v>
      </c>
      <c r="L4219" s="83" t="str">
        <f>"SI_111971"</f>
        <v>SI_111971</v>
      </c>
      <c r="M4219" s="84">
        <v>42633</v>
      </c>
      <c r="N4219" s="85">
        <f t="shared" si="1281"/>
        <v>1179</v>
      </c>
      <c r="O4219" s="86">
        <f t="shared" si="1282"/>
        <v>9855.2199999999993</v>
      </c>
      <c r="P4219" s="86">
        <f t="shared" si="1283"/>
        <v>0</v>
      </c>
      <c r="Q4219" s="86">
        <f t="shared" si="1284"/>
        <v>0</v>
      </c>
      <c r="R4219" s="86">
        <f t="shared" si="1285"/>
        <v>0</v>
      </c>
      <c r="S4219" s="86">
        <f t="shared" si="1286"/>
        <v>0</v>
      </c>
      <c r="T4219" s="86">
        <f t="shared" si="1287"/>
        <v>9855.2199999999993</v>
      </c>
      <c r="U4219" s="87">
        <v>9855.2199999999993</v>
      </c>
    </row>
    <row r="4220" spans="1:22" s="30" customFormat="1" ht="24.6" hidden="1" outlineLevel="1" x14ac:dyDescent="0.55000000000000004">
      <c r="A4220" s="27" t="s">
        <v>327</v>
      </c>
      <c r="B4220" s="28"/>
      <c r="C4220" s="27"/>
      <c r="D4220" s="27" t="str">
        <f>"""NAV Direct"",""CRONUS JetCorp USA"",""21"",""1"",""386553"""</f>
        <v>"NAV Direct","CRONUS JetCorp USA","21","1","386553"</v>
      </c>
      <c r="E4220" s="31" t="str">
        <f t="shared" si="1279"/>
        <v>C100119</v>
      </c>
      <c r="F4220" s="31"/>
      <c r="G4220" s="31"/>
      <c r="H4220" s="31"/>
      <c r="I4220" s="56"/>
      <c r="J4220" s="56"/>
      <c r="K4220" s="82" t="str">
        <f t="shared" si="1280"/>
        <v>Invoice</v>
      </c>
      <c r="L4220" s="83" t="str">
        <f>"SI_111975"</f>
        <v>SI_111975</v>
      </c>
      <c r="M4220" s="84">
        <v>42670</v>
      </c>
      <c r="N4220" s="85">
        <f t="shared" si="1281"/>
        <v>1142</v>
      </c>
      <c r="O4220" s="86">
        <f t="shared" si="1282"/>
        <v>10032.789999999999</v>
      </c>
      <c r="P4220" s="86">
        <f t="shared" si="1283"/>
        <v>0</v>
      </c>
      <c r="Q4220" s="86">
        <f t="shared" si="1284"/>
        <v>0</v>
      </c>
      <c r="R4220" s="86">
        <f t="shared" si="1285"/>
        <v>0</v>
      </c>
      <c r="S4220" s="86">
        <f t="shared" si="1286"/>
        <v>0</v>
      </c>
      <c r="T4220" s="86">
        <f t="shared" si="1287"/>
        <v>10032.789999999999</v>
      </c>
      <c r="U4220" s="87">
        <v>10032.789999999999</v>
      </c>
    </row>
    <row r="4221" spans="1:22" s="30" customFormat="1" ht="24.6" hidden="1" outlineLevel="1" x14ac:dyDescent="0.55000000000000004">
      <c r="A4221" s="27" t="s">
        <v>327</v>
      </c>
      <c r="B4221" s="28"/>
      <c r="C4221" s="27"/>
      <c r="D4221" s="27" t="str">
        <f>"""NAV Direct"",""CRONUS JetCorp USA"",""21"",""1"",""387314"""</f>
        <v>"NAV Direct","CRONUS JetCorp USA","21","1","387314"</v>
      </c>
      <c r="E4221" s="31">
        <f t="shared" si="1279"/>
        <v>0</v>
      </c>
      <c r="F4221" s="31"/>
      <c r="G4221" s="31"/>
      <c r="H4221" s="31"/>
      <c r="I4221" s="56"/>
      <c r="J4221" s="56"/>
      <c r="K4221" s="82" t="str">
        <f t="shared" si="1280"/>
        <v>Invoice</v>
      </c>
      <c r="L4221" s="83" t="str">
        <f>"SI_111990"</f>
        <v>SI_111990</v>
      </c>
      <c r="M4221" s="84">
        <v>42730</v>
      </c>
      <c r="N4221" s="85">
        <f t="shared" si="1281"/>
        <v>1082</v>
      </c>
      <c r="O4221" s="86">
        <f t="shared" si="1282"/>
        <v>9709.869999999999</v>
      </c>
      <c r="P4221" s="86">
        <f t="shared" si="1283"/>
        <v>0</v>
      </c>
      <c r="Q4221" s="86">
        <f t="shared" si="1284"/>
        <v>0</v>
      </c>
      <c r="R4221" s="86">
        <f t="shared" si="1285"/>
        <v>0</v>
      </c>
      <c r="S4221" s="86">
        <f t="shared" si="1286"/>
        <v>0</v>
      </c>
      <c r="T4221" s="86">
        <f t="shared" si="1287"/>
        <v>9709.869999999999</v>
      </c>
      <c r="U4221" s="87">
        <v>9709.869999999999</v>
      </c>
    </row>
    <row r="4222" spans="1:22" s="30" customFormat="1" ht="24.6" hidden="1" outlineLevel="1" x14ac:dyDescent="0.55000000000000004">
      <c r="A4222" s="27" t="s">
        <v>327</v>
      </c>
      <c r="B4222" s="28"/>
      <c r="C4222" s="27"/>
      <c r="D4222" s="27" t="str">
        <f>"""NAV Direct"",""CRONUS JetCorp USA"",""21"",""1"",""387418"""</f>
        <v>"NAV Direct","CRONUS JetCorp USA","21","1","387418"</v>
      </c>
      <c r="E4222" s="31" t="str">
        <f t="shared" si="1279"/>
        <v>C100119</v>
      </c>
      <c r="F4222" s="31"/>
      <c r="G4222" s="31"/>
      <c r="H4222" s="31"/>
      <c r="I4222" s="56"/>
      <c r="J4222" s="56"/>
      <c r="K4222" s="82" t="str">
        <f t="shared" si="1280"/>
        <v>Invoice</v>
      </c>
      <c r="L4222" s="83" t="str">
        <f>"SI_111992"</f>
        <v>SI_111992</v>
      </c>
      <c r="M4222" s="84">
        <v>42733</v>
      </c>
      <c r="N4222" s="85">
        <f t="shared" si="1281"/>
        <v>1079</v>
      </c>
      <c r="O4222" s="86">
        <f t="shared" si="1282"/>
        <v>9916.5300000000007</v>
      </c>
      <c r="P4222" s="86">
        <f t="shared" si="1283"/>
        <v>0</v>
      </c>
      <c r="Q4222" s="86">
        <f t="shared" si="1284"/>
        <v>0</v>
      </c>
      <c r="R4222" s="86">
        <f t="shared" si="1285"/>
        <v>0</v>
      </c>
      <c r="S4222" s="86">
        <f t="shared" si="1286"/>
        <v>0</v>
      </c>
      <c r="T4222" s="86">
        <f t="shared" si="1287"/>
        <v>9916.5300000000007</v>
      </c>
      <c r="U4222" s="87">
        <v>9916.5300000000007</v>
      </c>
    </row>
    <row r="4223" spans="1:22" s="30" customFormat="1" ht="24.6" hidden="1" outlineLevel="1" x14ac:dyDescent="0.55000000000000004">
      <c r="A4223" s="27" t="s">
        <v>327</v>
      </c>
      <c r="B4223" s="28"/>
      <c r="C4223" s="27"/>
      <c r="D4223" s="27" t="str">
        <f>"""NAV Direct"",""CRONUS JetCorp USA"",""21"",""1"",""388238"""</f>
        <v>"NAV Direct","CRONUS JetCorp USA","21","1","388238"</v>
      </c>
      <c r="E4223" s="31">
        <f t="shared" si="1279"/>
        <v>0</v>
      </c>
      <c r="F4223" s="31"/>
      <c r="G4223" s="31"/>
      <c r="H4223" s="31"/>
      <c r="I4223" s="56"/>
      <c r="J4223" s="56"/>
      <c r="K4223" s="82" t="str">
        <f t="shared" si="1280"/>
        <v>Invoice</v>
      </c>
      <c r="L4223" s="83" t="str">
        <f>"SI_112008"</f>
        <v>SI_112008</v>
      </c>
      <c r="M4223" s="84">
        <v>42822</v>
      </c>
      <c r="N4223" s="85">
        <f t="shared" si="1281"/>
        <v>990</v>
      </c>
      <c r="O4223" s="86">
        <f t="shared" si="1282"/>
        <v>14407.64</v>
      </c>
      <c r="P4223" s="86">
        <f t="shared" si="1283"/>
        <v>0</v>
      </c>
      <c r="Q4223" s="86">
        <f t="shared" si="1284"/>
        <v>0</v>
      </c>
      <c r="R4223" s="86">
        <f t="shared" si="1285"/>
        <v>0</v>
      </c>
      <c r="S4223" s="86">
        <f t="shared" si="1286"/>
        <v>0</v>
      </c>
      <c r="T4223" s="86">
        <f t="shared" si="1287"/>
        <v>14407.64</v>
      </c>
      <c r="U4223" s="87">
        <v>14407.64</v>
      </c>
    </row>
    <row r="4224" spans="1:22" s="30" customFormat="1" ht="24.6" hidden="1" outlineLevel="1" x14ac:dyDescent="0.55000000000000004">
      <c r="A4224" s="27" t="s">
        <v>327</v>
      </c>
      <c r="B4224" s="28"/>
      <c r="C4224" s="27"/>
      <c r="D4224" s="27" t="str">
        <f>"""NAV Direct"",""CRONUS JetCorp USA"",""21"",""1"",""388788"""</f>
        <v>"NAV Direct","CRONUS JetCorp USA","21","1","388788"</v>
      </c>
      <c r="E4224" s="31" t="str">
        <f t="shared" si="1279"/>
        <v>C100119</v>
      </c>
      <c r="F4224" s="31"/>
      <c r="G4224" s="31"/>
      <c r="H4224" s="31"/>
      <c r="I4224" s="56"/>
      <c r="J4224" s="56"/>
      <c r="K4224" s="82" t="str">
        <f t="shared" si="1280"/>
        <v>Invoice</v>
      </c>
      <c r="L4224" s="83" t="str">
        <f>"SI_112018"</f>
        <v>SI_112018</v>
      </c>
      <c r="M4224" s="84">
        <v>42867</v>
      </c>
      <c r="N4224" s="85">
        <f t="shared" si="1281"/>
        <v>945</v>
      </c>
      <c r="O4224" s="86">
        <f t="shared" si="1282"/>
        <v>11175.72</v>
      </c>
      <c r="P4224" s="86">
        <f t="shared" si="1283"/>
        <v>0</v>
      </c>
      <c r="Q4224" s="86">
        <f t="shared" si="1284"/>
        <v>0</v>
      </c>
      <c r="R4224" s="86">
        <f t="shared" si="1285"/>
        <v>0</v>
      </c>
      <c r="S4224" s="86">
        <f t="shared" si="1286"/>
        <v>0</v>
      </c>
      <c r="T4224" s="86">
        <f t="shared" si="1287"/>
        <v>11175.72</v>
      </c>
      <c r="U4224" s="87">
        <v>11175.72</v>
      </c>
    </row>
    <row r="4225" spans="1:21" s="30" customFormat="1" ht="24.6" hidden="1" outlineLevel="1" x14ac:dyDescent="0.55000000000000004">
      <c r="A4225" s="27" t="s">
        <v>327</v>
      </c>
      <c r="B4225" s="28"/>
      <c r="C4225" s="27"/>
      <c r="D4225" s="27" t="str">
        <f>"""NAV Direct"",""CRONUS JetCorp USA"",""21"",""1"",""388833"""</f>
        <v>"NAV Direct","CRONUS JetCorp USA","21","1","388833"</v>
      </c>
      <c r="E4225" s="31">
        <f t="shared" si="1279"/>
        <v>0</v>
      </c>
      <c r="F4225" s="31"/>
      <c r="G4225" s="31"/>
      <c r="H4225" s="31"/>
      <c r="I4225" s="56"/>
      <c r="J4225" s="56"/>
      <c r="K4225" s="82" t="str">
        <f t="shared" si="1280"/>
        <v>Invoice</v>
      </c>
      <c r="L4225" s="83" t="str">
        <f>"SI_112019"</f>
        <v>SI_112019</v>
      </c>
      <c r="M4225" s="84">
        <v>42877</v>
      </c>
      <c r="N4225" s="85">
        <f t="shared" si="1281"/>
        <v>935</v>
      </c>
      <c r="O4225" s="86">
        <f t="shared" si="1282"/>
        <v>11293.43</v>
      </c>
      <c r="P4225" s="86">
        <f t="shared" si="1283"/>
        <v>0</v>
      </c>
      <c r="Q4225" s="86">
        <f t="shared" si="1284"/>
        <v>0</v>
      </c>
      <c r="R4225" s="86">
        <f t="shared" si="1285"/>
        <v>0</v>
      </c>
      <c r="S4225" s="86">
        <f t="shared" si="1286"/>
        <v>0</v>
      </c>
      <c r="T4225" s="86">
        <f t="shared" si="1287"/>
        <v>11293.43</v>
      </c>
      <c r="U4225" s="87">
        <v>11293.43</v>
      </c>
    </row>
    <row r="4226" spans="1:21" s="30" customFormat="1" ht="24.6" hidden="1" outlineLevel="1" x14ac:dyDescent="0.55000000000000004">
      <c r="A4226" s="27" t="s">
        <v>327</v>
      </c>
      <c r="B4226" s="28"/>
      <c r="C4226" s="27"/>
      <c r="D4226" s="27" t="str">
        <f>"""NAV Direct"",""CRONUS JetCorp USA"",""21"",""1"",""389317"""</f>
        <v>"NAV Direct","CRONUS JetCorp USA","21","1","389317"</v>
      </c>
      <c r="E4226" s="31" t="str">
        <f t="shared" si="1279"/>
        <v>C100119</v>
      </c>
      <c r="F4226" s="31"/>
      <c r="G4226" s="31"/>
      <c r="H4226" s="31"/>
      <c r="I4226" s="56"/>
      <c r="J4226" s="56"/>
      <c r="K4226" s="82" t="str">
        <f t="shared" si="1280"/>
        <v>Invoice</v>
      </c>
      <c r="L4226" s="83" t="str">
        <f>"SI_112028"</f>
        <v>SI_112028</v>
      </c>
      <c r="M4226" s="84">
        <v>42910</v>
      </c>
      <c r="N4226" s="85">
        <f t="shared" si="1281"/>
        <v>902</v>
      </c>
      <c r="O4226" s="86">
        <f t="shared" si="1282"/>
        <v>11448.01</v>
      </c>
      <c r="P4226" s="86">
        <f t="shared" si="1283"/>
        <v>0</v>
      </c>
      <c r="Q4226" s="86">
        <f t="shared" si="1284"/>
        <v>0</v>
      </c>
      <c r="R4226" s="86">
        <f t="shared" si="1285"/>
        <v>0</v>
      </c>
      <c r="S4226" s="86">
        <f t="shared" si="1286"/>
        <v>0</v>
      </c>
      <c r="T4226" s="86">
        <f t="shared" si="1287"/>
        <v>11448.01</v>
      </c>
      <c r="U4226" s="87">
        <v>11448.01</v>
      </c>
    </row>
    <row r="4227" spans="1:21" s="30" customFormat="1" ht="24.6" hidden="1" outlineLevel="1" x14ac:dyDescent="0.55000000000000004">
      <c r="A4227" s="27" t="s">
        <v>327</v>
      </c>
      <c r="B4227" s="28"/>
      <c r="C4227" s="27"/>
      <c r="D4227" s="27" t="str">
        <f>"""NAV Direct"",""CRONUS JetCorp USA"",""21"",""1"",""389661"""</f>
        <v>"NAV Direct","CRONUS JetCorp USA","21","1","389661"</v>
      </c>
      <c r="E4227" s="31">
        <f t="shared" si="1279"/>
        <v>0</v>
      </c>
      <c r="F4227" s="31"/>
      <c r="G4227" s="31"/>
      <c r="H4227" s="31"/>
      <c r="I4227" s="56"/>
      <c r="J4227" s="56"/>
      <c r="K4227" s="82" t="str">
        <f t="shared" si="1280"/>
        <v>Invoice</v>
      </c>
      <c r="L4227" s="83" t="str">
        <f>"SI_112035"</f>
        <v>SI_112035</v>
      </c>
      <c r="M4227" s="84">
        <v>42979</v>
      </c>
      <c r="N4227" s="85">
        <f t="shared" si="1281"/>
        <v>833</v>
      </c>
      <c r="O4227" s="86">
        <f t="shared" si="1282"/>
        <v>8996.32</v>
      </c>
      <c r="P4227" s="86">
        <f t="shared" si="1283"/>
        <v>0</v>
      </c>
      <c r="Q4227" s="86">
        <f t="shared" si="1284"/>
        <v>0</v>
      </c>
      <c r="R4227" s="86">
        <f t="shared" si="1285"/>
        <v>0</v>
      </c>
      <c r="S4227" s="86">
        <f t="shared" si="1286"/>
        <v>0</v>
      </c>
      <c r="T4227" s="86">
        <f t="shared" si="1287"/>
        <v>8996.32</v>
      </c>
      <c r="U4227" s="87">
        <v>8996.32</v>
      </c>
    </row>
    <row r="4228" spans="1:21" s="30" customFormat="1" ht="24.6" hidden="1" outlineLevel="1" x14ac:dyDescent="0.55000000000000004">
      <c r="A4228" s="27" t="s">
        <v>327</v>
      </c>
      <c r="B4228" s="28"/>
      <c r="C4228" s="27"/>
      <c r="D4228" s="27" t="str">
        <f>"""NAV Direct"",""CRONUS JetCorp USA"",""21"",""1"",""390318"""</f>
        <v>"NAV Direct","CRONUS JetCorp USA","21","1","390318"</v>
      </c>
      <c r="E4228" s="31" t="str">
        <f t="shared" si="1279"/>
        <v>C100119</v>
      </c>
      <c r="F4228" s="31"/>
      <c r="G4228" s="31"/>
      <c r="H4228" s="31"/>
      <c r="I4228" s="56"/>
      <c r="J4228" s="56"/>
      <c r="K4228" s="82" t="str">
        <f t="shared" si="1280"/>
        <v>Invoice</v>
      </c>
      <c r="L4228" s="83" t="str">
        <f>"SI_112049"</f>
        <v>SI_112049</v>
      </c>
      <c r="M4228" s="84">
        <v>43089</v>
      </c>
      <c r="N4228" s="85">
        <f t="shared" si="1281"/>
        <v>723</v>
      </c>
      <c r="O4228" s="86">
        <f t="shared" si="1282"/>
        <v>8170.2899999999991</v>
      </c>
      <c r="P4228" s="86">
        <f t="shared" si="1283"/>
        <v>0</v>
      </c>
      <c r="Q4228" s="86">
        <f t="shared" si="1284"/>
        <v>0</v>
      </c>
      <c r="R4228" s="86">
        <f t="shared" si="1285"/>
        <v>0</v>
      </c>
      <c r="S4228" s="86">
        <f t="shared" si="1286"/>
        <v>0</v>
      </c>
      <c r="T4228" s="86">
        <f t="shared" si="1287"/>
        <v>8170.2899999999991</v>
      </c>
      <c r="U4228" s="87">
        <v>8170.2899999999991</v>
      </c>
    </row>
    <row r="4229" spans="1:21" s="30" customFormat="1" ht="24.6" hidden="1" outlineLevel="1" x14ac:dyDescent="0.55000000000000004">
      <c r="A4229" s="27" t="s">
        <v>327</v>
      </c>
      <c r="B4229" s="28"/>
      <c r="C4229" s="27"/>
      <c r="D4229" s="27" t="str">
        <f>"""NAV Direct"",""CRONUS JetCorp USA"",""21"",""1"",""390740"""</f>
        <v>"NAV Direct","CRONUS JetCorp USA","21","1","390740"</v>
      </c>
      <c r="E4229" s="31">
        <f t="shared" si="1279"/>
        <v>0</v>
      </c>
      <c r="F4229" s="31"/>
      <c r="G4229" s="31"/>
      <c r="H4229" s="31"/>
      <c r="I4229" s="56"/>
      <c r="J4229" s="56"/>
      <c r="K4229" s="82" t="str">
        <f t="shared" si="1280"/>
        <v>Invoice</v>
      </c>
      <c r="L4229" s="83" t="str">
        <f>"SI_112059"</f>
        <v>SI_112059</v>
      </c>
      <c r="M4229" s="84">
        <v>43183</v>
      </c>
      <c r="N4229" s="85">
        <f t="shared" si="1281"/>
        <v>629</v>
      </c>
      <c r="O4229" s="86">
        <f t="shared" si="1282"/>
        <v>8291.17</v>
      </c>
      <c r="P4229" s="86">
        <f t="shared" si="1283"/>
        <v>0</v>
      </c>
      <c r="Q4229" s="86">
        <f t="shared" si="1284"/>
        <v>0</v>
      </c>
      <c r="R4229" s="86">
        <f t="shared" si="1285"/>
        <v>0</v>
      </c>
      <c r="S4229" s="86">
        <f t="shared" si="1286"/>
        <v>0</v>
      </c>
      <c r="T4229" s="86">
        <f t="shared" si="1287"/>
        <v>8291.17</v>
      </c>
      <c r="U4229" s="87">
        <v>8291.17</v>
      </c>
    </row>
    <row r="4230" spans="1:21" s="30" customFormat="1" ht="24.6" hidden="1" outlineLevel="1" x14ac:dyDescent="0.55000000000000004">
      <c r="A4230" s="27" t="s">
        <v>327</v>
      </c>
      <c r="B4230" s="28"/>
      <c r="C4230" s="27"/>
      <c r="D4230" s="27" t="str">
        <f>"""NAV Direct"",""CRONUS JetCorp USA"",""21"",""1"",""390806"""</f>
        <v>"NAV Direct","CRONUS JetCorp USA","21","1","390806"</v>
      </c>
      <c r="E4230" s="31" t="str">
        <f t="shared" si="1279"/>
        <v>C100119</v>
      </c>
      <c r="F4230" s="31"/>
      <c r="G4230" s="31"/>
      <c r="H4230" s="31"/>
      <c r="I4230" s="56"/>
      <c r="J4230" s="56"/>
      <c r="K4230" s="82" t="str">
        <f t="shared" si="1280"/>
        <v>Invoice</v>
      </c>
      <c r="L4230" s="83" t="str">
        <f>"SI_112061"</f>
        <v>SI_112061</v>
      </c>
      <c r="M4230" s="84">
        <v>43202</v>
      </c>
      <c r="N4230" s="85">
        <f t="shared" si="1281"/>
        <v>610</v>
      </c>
      <c r="O4230" s="86">
        <f t="shared" si="1282"/>
        <v>8121.98</v>
      </c>
      <c r="P4230" s="86">
        <f t="shared" si="1283"/>
        <v>0</v>
      </c>
      <c r="Q4230" s="86">
        <f t="shared" si="1284"/>
        <v>0</v>
      </c>
      <c r="R4230" s="86">
        <f t="shared" si="1285"/>
        <v>0</v>
      </c>
      <c r="S4230" s="86">
        <f t="shared" si="1286"/>
        <v>0</v>
      </c>
      <c r="T4230" s="86">
        <f t="shared" si="1287"/>
        <v>8121.98</v>
      </c>
      <c r="U4230" s="87">
        <v>8121.98</v>
      </c>
    </row>
    <row r="4231" spans="1:21" s="30" customFormat="1" ht="24.6" hidden="1" outlineLevel="1" x14ac:dyDescent="0.55000000000000004">
      <c r="A4231" s="27" t="s">
        <v>327</v>
      </c>
      <c r="B4231" s="28"/>
      <c r="C4231" s="27"/>
      <c r="D4231" s="27" t="str">
        <f>"""NAV Direct"",""CRONUS JetCorp USA"",""21"",""1"",""391356"""</f>
        <v>"NAV Direct","CRONUS JetCorp USA","21","1","391356"</v>
      </c>
      <c r="E4231" s="31">
        <f t="shared" si="1279"/>
        <v>0</v>
      </c>
      <c r="F4231" s="31"/>
      <c r="G4231" s="31"/>
      <c r="H4231" s="31"/>
      <c r="I4231" s="56"/>
      <c r="J4231" s="56"/>
      <c r="K4231" s="82" t="str">
        <f t="shared" si="1280"/>
        <v>Invoice</v>
      </c>
      <c r="L4231" s="83" t="str">
        <f>"SI_112073"</f>
        <v>SI_112073</v>
      </c>
      <c r="M4231" s="84">
        <v>43321</v>
      </c>
      <c r="N4231" s="85">
        <f t="shared" si="1281"/>
        <v>491</v>
      </c>
      <c r="O4231" s="86">
        <f t="shared" si="1282"/>
        <v>9110.68</v>
      </c>
      <c r="P4231" s="86">
        <f t="shared" si="1283"/>
        <v>0</v>
      </c>
      <c r="Q4231" s="86">
        <f t="shared" si="1284"/>
        <v>0</v>
      </c>
      <c r="R4231" s="86">
        <f t="shared" si="1285"/>
        <v>0</v>
      </c>
      <c r="S4231" s="86">
        <f t="shared" si="1286"/>
        <v>0</v>
      </c>
      <c r="T4231" s="86">
        <f t="shared" si="1287"/>
        <v>9110.68</v>
      </c>
      <c r="U4231" s="87">
        <v>9110.68</v>
      </c>
    </row>
    <row r="4232" spans="1:21" s="30" customFormat="1" ht="24.6" hidden="1" outlineLevel="1" x14ac:dyDescent="0.55000000000000004">
      <c r="A4232" s="27" t="s">
        <v>327</v>
      </c>
      <c r="B4232" s="28"/>
      <c r="C4232" s="27"/>
      <c r="D4232" s="27" t="str">
        <f>"""NAV Direct"",""CRONUS JetCorp USA"",""21"",""1"",""393487"""</f>
        <v>"NAV Direct","CRONUS JetCorp USA","21","1","393487"</v>
      </c>
      <c r="E4232" s="31" t="str">
        <f t="shared" si="1279"/>
        <v>C100119</v>
      </c>
      <c r="F4232" s="31"/>
      <c r="G4232" s="31"/>
      <c r="H4232" s="31"/>
      <c r="I4232" s="56"/>
      <c r="J4232" s="56"/>
      <c r="K4232" s="82" t="str">
        <f t="shared" si="1280"/>
        <v>Invoice</v>
      </c>
      <c r="L4232" s="83" t="str">
        <f>"SI_112112"</f>
        <v>SI_112112</v>
      </c>
      <c r="M4232" s="84">
        <v>43552</v>
      </c>
      <c r="N4232" s="85">
        <f t="shared" si="1281"/>
        <v>260</v>
      </c>
      <c r="O4232" s="86">
        <f t="shared" si="1282"/>
        <v>13598.119999999999</v>
      </c>
      <c r="P4232" s="86">
        <f t="shared" si="1283"/>
        <v>0</v>
      </c>
      <c r="Q4232" s="86">
        <f t="shared" si="1284"/>
        <v>0</v>
      </c>
      <c r="R4232" s="86">
        <f t="shared" si="1285"/>
        <v>0</v>
      </c>
      <c r="S4232" s="86">
        <f t="shared" si="1286"/>
        <v>0</v>
      </c>
      <c r="T4232" s="86">
        <f t="shared" si="1287"/>
        <v>13598.119999999999</v>
      </c>
      <c r="U4232" s="87">
        <v>13598.119999999999</v>
      </c>
    </row>
    <row r="4233" spans="1:21" s="30" customFormat="1" ht="24.6" hidden="1" outlineLevel="1" x14ac:dyDescent="0.55000000000000004">
      <c r="A4233" s="27" t="s">
        <v>327</v>
      </c>
      <c r="B4233" s="28"/>
      <c r="C4233" s="27"/>
      <c r="D4233" s="27" t="str">
        <f>"""NAV Direct"",""CRONUS JetCorp USA"",""21"",""1"",""394475"""</f>
        <v>"NAV Direct","CRONUS JetCorp USA","21","1","394475"</v>
      </c>
      <c r="E4233" s="31">
        <f t="shared" si="1279"/>
        <v>0</v>
      </c>
      <c r="F4233" s="31"/>
      <c r="G4233" s="31"/>
      <c r="H4233" s="31"/>
      <c r="I4233" s="56"/>
      <c r="J4233" s="56"/>
      <c r="K4233" s="82" t="str">
        <f t="shared" si="1280"/>
        <v>Invoice</v>
      </c>
      <c r="L4233" s="83" t="str">
        <f>"SI_112130"</f>
        <v>SI_112130</v>
      </c>
      <c r="M4233" s="84">
        <v>43650</v>
      </c>
      <c r="N4233" s="85">
        <f t="shared" si="1281"/>
        <v>162</v>
      </c>
      <c r="O4233" s="86">
        <f t="shared" si="1282"/>
        <v>9184.98</v>
      </c>
      <c r="P4233" s="86">
        <f t="shared" si="1283"/>
        <v>0</v>
      </c>
      <c r="Q4233" s="86">
        <f t="shared" si="1284"/>
        <v>0</v>
      </c>
      <c r="R4233" s="86">
        <f t="shared" si="1285"/>
        <v>0</v>
      </c>
      <c r="S4233" s="86">
        <f t="shared" si="1286"/>
        <v>0</v>
      </c>
      <c r="T4233" s="86">
        <f t="shared" si="1287"/>
        <v>9184.98</v>
      </c>
      <c r="U4233" s="87">
        <v>9184.98</v>
      </c>
    </row>
    <row r="4234" spans="1:21" s="30" customFormat="1" ht="24.6" hidden="1" outlineLevel="1" x14ac:dyDescent="0.55000000000000004">
      <c r="A4234" s="27" t="s">
        <v>327</v>
      </c>
      <c r="B4234" s="28"/>
      <c r="C4234" s="27"/>
      <c r="D4234" s="27" t="str">
        <f>"""NAV Direct"",""CRONUS JetCorp USA"",""21"",""1"",""394748"""</f>
        <v>"NAV Direct","CRONUS JetCorp USA","21","1","394748"</v>
      </c>
      <c r="E4234" s="31" t="str">
        <f t="shared" si="1279"/>
        <v>C100119</v>
      </c>
      <c r="F4234" s="31"/>
      <c r="G4234" s="31"/>
      <c r="H4234" s="31"/>
      <c r="I4234" s="56"/>
      <c r="J4234" s="56"/>
      <c r="K4234" s="82" t="str">
        <f t="shared" si="1280"/>
        <v>Invoice</v>
      </c>
      <c r="L4234" s="83" t="str">
        <f>"SI_112135"</f>
        <v>SI_112135</v>
      </c>
      <c r="M4234" s="84">
        <v>43670</v>
      </c>
      <c r="N4234" s="85">
        <f t="shared" si="1281"/>
        <v>142</v>
      </c>
      <c r="O4234" s="86">
        <f t="shared" si="1282"/>
        <v>9432.2800000000007</v>
      </c>
      <c r="P4234" s="86">
        <f t="shared" si="1283"/>
        <v>0</v>
      </c>
      <c r="Q4234" s="86">
        <f t="shared" si="1284"/>
        <v>0</v>
      </c>
      <c r="R4234" s="86">
        <f t="shared" si="1285"/>
        <v>0</v>
      </c>
      <c r="S4234" s="86">
        <f t="shared" si="1286"/>
        <v>0</v>
      </c>
      <c r="T4234" s="86">
        <f t="shared" si="1287"/>
        <v>9432.2800000000007</v>
      </c>
      <c r="U4234" s="87">
        <v>9432.2800000000007</v>
      </c>
    </row>
    <row r="4235" spans="1:21" s="30" customFormat="1" ht="24.6" hidden="1" outlineLevel="1" x14ac:dyDescent="0.55000000000000004">
      <c r="A4235" s="27" t="s">
        <v>327</v>
      </c>
      <c r="B4235" s="28"/>
      <c r="C4235" s="27"/>
      <c r="D4235" s="27" t="str">
        <f>"""NAV Direct"",""CRONUS JetCorp USA"",""21"",""1"",""395429"""</f>
        <v>"NAV Direct","CRONUS JetCorp USA","21","1","395429"</v>
      </c>
      <c r="E4235" s="31">
        <f t="shared" si="1279"/>
        <v>0</v>
      </c>
      <c r="F4235" s="31"/>
      <c r="G4235" s="31"/>
      <c r="H4235" s="31"/>
      <c r="I4235" s="56"/>
      <c r="J4235" s="56"/>
      <c r="K4235" s="82" t="str">
        <f t="shared" si="1280"/>
        <v>Invoice</v>
      </c>
      <c r="L4235" s="83" t="str">
        <f>"SI_112148"</f>
        <v>SI_112148</v>
      </c>
      <c r="M4235" s="84">
        <v>43739</v>
      </c>
      <c r="N4235" s="85">
        <f t="shared" si="1281"/>
        <v>73</v>
      </c>
      <c r="O4235" s="86">
        <f t="shared" si="1282"/>
        <v>11977.050000000001</v>
      </c>
      <c r="P4235" s="86">
        <f t="shared" si="1283"/>
        <v>0</v>
      </c>
      <c r="Q4235" s="86">
        <f t="shared" si="1284"/>
        <v>0</v>
      </c>
      <c r="R4235" s="86">
        <f t="shared" si="1285"/>
        <v>0</v>
      </c>
      <c r="S4235" s="86">
        <f t="shared" si="1286"/>
        <v>11977.050000000001</v>
      </c>
      <c r="T4235" s="86">
        <f t="shared" si="1287"/>
        <v>0</v>
      </c>
      <c r="U4235" s="87">
        <v>11977.050000000001</v>
      </c>
    </row>
    <row r="4236" spans="1:21" s="30" customFormat="1" ht="24.6" hidden="1" outlineLevel="1" x14ac:dyDescent="0.55000000000000004">
      <c r="A4236" s="27" t="s">
        <v>327</v>
      </c>
      <c r="B4236" s="28"/>
      <c r="C4236" s="27"/>
      <c r="D4236" s="27" t="str">
        <f>"""NAV Direct"",""CRONUS JetCorp USA"",""21"",""1"",""395822"""</f>
        <v>"NAV Direct","CRONUS JetCorp USA","21","1","395822"</v>
      </c>
      <c r="E4236" s="31" t="str">
        <f t="shared" si="1279"/>
        <v>C100119</v>
      </c>
      <c r="F4236" s="31"/>
      <c r="G4236" s="31"/>
      <c r="H4236" s="31"/>
      <c r="I4236" s="56"/>
      <c r="J4236" s="56"/>
      <c r="K4236" s="82" t="str">
        <f t="shared" si="1280"/>
        <v>Invoice</v>
      </c>
      <c r="L4236" s="83" t="str">
        <f>"SI_112155"</f>
        <v>SI_112155</v>
      </c>
      <c r="M4236" s="84">
        <v>43773</v>
      </c>
      <c r="N4236" s="85">
        <f t="shared" si="1281"/>
        <v>39</v>
      </c>
      <c r="O4236" s="86">
        <f t="shared" si="1282"/>
        <v>13449.22</v>
      </c>
      <c r="P4236" s="86">
        <f t="shared" si="1283"/>
        <v>0</v>
      </c>
      <c r="Q4236" s="86">
        <f t="shared" si="1284"/>
        <v>0</v>
      </c>
      <c r="R4236" s="86">
        <f t="shared" si="1285"/>
        <v>13449.22</v>
      </c>
      <c r="S4236" s="86">
        <f t="shared" si="1286"/>
        <v>0</v>
      </c>
      <c r="T4236" s="86">
        <f t="shared" si="1287"/>
        <v>0</v>
      </c>
      <c r="U4236" s="87">
        <v>13449.22</v>
      </c>
    </row>
    <row r="4237" spans="1:21" s="30" customFormat="1" ht="24.6" hidden="1" outlineLevel="1" x14ac:dyDescent="0.55000000000000004">
      <c r="A4237" s="27" t="s">
        <v>327</v>
      </c>
      <c r="B4237" s="28"/>
      <c r="C4237" s="27"/>
      <c r="D4237" s="27" t="str">
        <f>"""NAV Direct"",""CRONUS JetCorp USA"",""21"",""1"",""396543"""</f>
        <v>"NAV Direct","CRONUS JetCorp USA","21","1","396543"</v>
      </c>
      <c r="E4237" s="31">
        <f t="shared" si="1279"/>
        <v>0</v>
      </c>
      <c r="F4237" s="31"/>
      <c r="G4237" s="31"/>
      <c r="H4237" s="31"/>
      <c r="I4237" s="56"/>
      <c r="J4237" s="56"/>
      <c r="K4237" s="82" t="str">
        <f t="shared" si="1280"/>
        <v>Invoice</v>
      </c>
      <c r="L4237" s="83" t="str">
        <f>"SI_112168"</f>
        <v>SI_112168</v>
      </c>
      <c r="M4237" s="84">
        <v>43824</v>
      </c>
      <c r="N4237" s="85">
        <f t="shared" si="1281"/>
        <v>-12</v>
      </c>
      <c r="O4237" s="86">
        <f t="shared" si="1282"/>
        <v>9288.16</v>
      </c>
      <c r="P4237" s="86">
        <f t="shared" si="1283"/>
        <v>9288.16</v>
      </c>
      <c r="Q4237" s="86">
        <f t="shared" si="1284"/>
        <v>0</v>
      </c>
      <c r="R4237" s="86">
        <f t="shared" si="1285"/>
        <v>0</v>
      </c>
      <c r="S4237" s="86">
        <f t="shared" si="1286"/>
        <v>0</v>
      </c>
      <c r="T4237" s="86">
        <f t="shared" si="1287"/>
        <v>0</v>
      </c>
      <c r="U4237" s="87">
        <v>9288.16</v>
      </c>
    </row>
    <row r="4238" spans="1:21" s="30" customFormat="1" ht="24.6" hidden="1" outlineLevel="1" x14ac:dyDescent="0.55000000000000004">
      <c r="A4238" s="27" t="s">
        <v>327</v>
      </c>
      <c r="B4238" s="28"/>
      <c r="C4238" s="27"/>
      <c r="D4238" s="27" t="str">
        <f>"""NAV Direct"",""CRONUS JetCorp USA"",""21"",""1"",""397115"""</f>
        <v>"NAV Direct","CRONUS JetCorp USA","21","1","397115"</v>
      </c>
      <c r="E4238" s="31" t="str">
        <f t="shared" si="1279"/>
        <v>C100119</v>
      </c>
      <c r="F4238" s="31"/>
      <c r="G4238" s="31"/>
      <c r="H4238" s="31"/>
      <c r="I4238" s="56"/>
      <c r="J4238" s="56"/>
      <c r="K4238" s="82" t="str">
        <f t="shared" si="1280"/>
        <v>Invoice</v>
      </c>
      <c r="L4238" s="83" t="str">
        <f>"SI_112180"</f>
        <v>SI_112180</v>
      </c>
      <c r="M4238" s="84">
        <v>42053</v>
      </c>
      <c r="N4238" s="85">
        <f t="shared" si="1281"/>
        <v>1759</v>
      </c>
      <c r="O4238" s="86">
        <f t="shared" si="1282"/>
        <v>9484.1400000000012</v>
      </c>
      <c r="P4238" s="86">
        <f t="shared" si="1283"/>
        <v>0</v>
      </c>
      <c r="Q4238" s="86">
        <f t="shared" si="1284"/>
        <v>0</v>
      </c>
      <c r="R4238" s="86">
        <f t="shared" si="1285"/>
        <v>0</v>
      </c>
      <c r="S4238" s="86">
        <f t="shared" si="1286"/>
        <v>0</v>
      </c>
      <c r="T4238" s="86">
        <f t="shared" si="1287"/>
        <v>9484.1400000000012</v>
      </c>
      <c r="U4238" s="87">
        <v>9484.1400000000012</v>
      </c>
    </row>
    <row r="4239" spans="1:21" s="30" customFormat="1" ht="24.6" hidden="1" outlineLevel="1" x14ac:dyDescent="0.55000000000000004">
      <c r="A4239" s="27" t="s">
        <v>327</v>
      </c>
      <c r="B4239" s="28"/>
      <c r="C4239" s="27"/>
      <c r="D4239" s="27" t="str">
        <f>"""NAV Direct"",""CRONUS JetCorp USA"",""21"",""1"",""397172"""</f>
        <v>"NAV Direct","CRONUS JetCorp USA","21","1","397172"</v>
      </c>
      <c r="E4239" s="31">
        <f t="shared" si="1279"/>
        <v>0</v>
      </c>
      <c r="F4239" s="31"/>
      <c r="G4239" s="31"/>
      <c r="H4239" s="31"/>
      <c r="I4239" s="56"/>
      <c r="J4239" s="56"/>
      <c r="K4239" s="82" t="str">
        <f t="shared" si="1280"/>
        <v>Invoice</v>
      </c>
      <c r="L4239" s="83" t="str">
        <f>"SI_112181"</f>
        <v>SI_112181</v>
      </c>
      <c r="M4239" s="84">
        <v>42054</v>
      </c>
      <c r="N4239" s="85">
        <f t="shared" si="1281"/>
        <v>1758</v>
      </c>
      <c r="O4239" s="86">
        <f t="shared" si="1282"/>
        <v>9383.11</v>
      </c>
      <c r="P4239" s="86">
        <f t="shared" si="1283"/>
        <v>0</v>
      </c>
      <c r="Q4239" s="86">
        <f t="shared" si="1284"/>
        <v>0</v>
      </c>
      <c r="R4239" s="86">
        <f t="shared" si="1285"/>
        <v>0</v>
      </c>
      <c r="S4239" s="86">
        <f t="shared" si="1286"/>
        <v>0</v>
      </c>
      <c r="T4239" s="86">
        <f t="shared" si="1287"/>
        <v>9383.11</v>
      </c>
      <c r="U4239" s="87">
        <v>9383.11</v>
      </c>
    </row>
    <row r="4240" spans="1:21" s="30" customFormat="1" ht="24.6" hidden="1" outlineLevel="1" x14ac:dyDescent="0.55000000000000004">
      <c r="A4240" s="27" t="s">
        <v>327</v>
      </c>
      <c r="B4240" s="28"/>
      <c r="C4240" s="27"/>
      <c r="D4240" s="27" t="str">
        <f>"""NAV Direct"",""CRONUS JetCorp USA"",""21"",""1"",""397221"""</f>
        <v>"NAV Direct","CRONUS JetCorp USA","21","1","397221"</v>
      </c>
      <c r="E4240" s="31" t="str">
        <f t="shared" si="1279"/>
        <v>C100119</v>
      </c>
      <c r="F4240" s="31"/>
      <c r="G4240" s="31"/>
      <c r="H4240" s="31"/>
      <c r="I4240" s="56"/>
      <c r="J4240" s="56"/>
      <c r="K4240" s="82" t="str">
        <f t="shared" si="1280"/>
        <v>Invoice</v>
      </c>
      <c r="L4240" s="83" t="str">
        <f>"SI_112182"</f>
        <v>SI_112182</v>
      </c>
      <c r="M4240" s="84">
        <v>42060</v>
      </c>
      <c r="N4240" s="85">
        <f t="shared" si="1281"/>
        <v>1752</v>
      </c>
      <c r="O4240" s="86">
        <f t="shared" si="1282"/>
        <v>9887.619999999999</v>
      </c>
      <c r="P4240" s="86">
        <f t="shared" si="1283"/>
        <v>0</v>
      </c>
      <c r="Q4240" s="86">
        <f t="shared" si="1284"/>
        <v>0</v>
      </c>
      <c r="R4240" s="86">
        <f t="shared" si="1285"/>
        <v>0</v>
      </c>
      <c r="S4240" s="86">
        <f t="shared" si="1286"/>
        <v>0</v>
      </c>
      <c r="T4240" s="86">
        <f t="shared" si="1287"/>
        <v>9887.619999999999</v>
      </c>
      <c r="U4240" s="87">
        <v>9887.619999999999</v>
      </c>
    </row>
    <row r="4241" spans="1:21" s="30" customFormat="1" ht="24.6" hidden="1" outlineLevel="1" x14ac:dyDescent="0.55000000000000004">
      <c r="A4241" s="27" t="s">
        <v>327</v>
      </c>
      <c r="B4241" s="28"/>
      <c r="C4241" s="27"/>
      <c r="D4241" s="27" t="str">
        <f>"""NAV Direct"",""CRONUS JetCorp USA"",""21"",""1"",""397552"""</f>
        <v>"NAV Direct","CRONUS JetCorp USA","21","1","397552"</v>
      </c>
      <c r="E4241" s="31">
        <f t="shared" si="1279"/>
        <v>0</v>
      </c>
      <c r="F4241" s="31"/>
      <c r="G4241" s="31"/>
      <c r="H4241" s="31"/>
      <c r="I4241" s="56"/>
      <c r="J4241" s="56"/>
      <c r="K4241" s="82" t="str">
        <f t="shared" si="1280"/>
        <v>Invoice</v>
      </c>
      <c r="L4241" s="83" t="str">
        <f>"SI_112189"</f>
        <v>SI_112189</v>
      </c>
      <c r="M4241" s="84">
        <v>42089</v>
      </c>
      <c r="N4241" s="85">
        <f t="shared" si="1281"/>
        <v>1723</v>
      </c>
      <c r="O4241" s="86">
        <f t="shared" si="1282"/>
        <v>9542.77</v>
      </c>
      <c r="P4241" s="86">
        <f t="shared" si="1283"/>
        <v>0</v>
      </c>
      <c r="Q4241" s="86">
        <f t="shared" si="1284"/>
        <v>0</v>
      </c>
      <c r="R4241" s="86">
        <f t="shared" si="1285"/>
        <v>0</v>
      </c>
      <c r="S4241" s="86">
        <f t="shared" si="1286"/>
        <v>0</v>
      </c>
      <c r="T4241" s="86">
        <f t="shared" si="1287"/>
        <v>9542.77</v>
      </c>
      <c r="U4241" s="87">
        <v>9542.77</v>
      </c>
    </row>
    <row r="4242" spans="1:21" s="30" customFormat="1" ht="24.6" hidden="1" outlineLevel="1" x14ac:dyDescent="0.55000000000000004">
      <c r="A4242" s="27" t="s">
        <v>327</v>
      </c>
      <c r="B4242" s="28"/>
      <c r="C4242" s="27"/>
      <c r="D4242" s="27" t="str">
        <f>"""NAV Direct"",""CRONUS JetCorp USA"",""21"",""1"",""397788"""</f>
        <v>"NAV Direct","CRONUS JetCorp USA","21","1","397788"</v>
      </c>
      <c r="E4242" s="31" t="str">
        <f t="shared" si="1279"/>
        <v>C100119</v>
      </c>
      <c r="F4242" s="31"/>
      <c r="G4242" s="31"/>
      <c r="H4242" s="31"/>
      <c r="I4242" s="56"/>
      <c r="J4242" s="56"/>
      <c r="K4242" s="82" t="str">
        <f t="shared" si="1280"/>
        <v>Invoice</v>
      </c>
      <c r="L4242" s="83" t="str">
        <f>"SI_112194"</f>
        <v>SI_112194</v>
      </c>
      <c r="M4242" s="84">
        <v>42118</v>
      </c>
      <c r="N4242" s="85">
        <f t="shared" si="1281"/>
        <v>1694</v>
      </c>
      <c r="O4242" s="86">
        <f t="shared" si="1282"/>
        <v>9337.5399999999991</v>
      </c>
      <c r="P4242" s="86">
        <f t="shared" si="1283"/>
        <v>0</v>
      </c>
      <c r="Q4242" s="86">
        <f t="shared" si="1284"/>
        <v>0</v>
      </c>
      <c r="R4242" s="86">
        <f t="shared" si="1285"/>
        <v>0</v>
      </c>
      <c r="S4242" s="86">
        <f t="shared" si="1286"/>
        <v>0</v>
      </c>
      <c r="T4242" s="86">
        <f t="shared" si="1287"/>
        <v>9337.5399999999991</v>
      </c>
      <c r="U4242" s="87">
        <v>9337.5399999999991</v>
      </c>
    </row>
    <row r="4243" spans="1:21" s="30" customFormat="1" ht="24.6" hidden="1" outlineLevel="1" x14ac:dyDescent="0.55000000000000004">
      <c r="A4243" s="27" t="s">
        <v>327</v>
      </c>
      <c r="B4243" s="28"/>
      <c r="C4243" s="27"/>
      <c r="D4243" s="27" t="str">
        <f>"""NAV Direct"",""CRONUS JetCorp USA"",""21"",""1"",""398166"""</f>
        <v>"NAV Direct","CRONUS JetCorp USA","21","1","398166"</v>
      </c>
      <c r="E4243" s="31">
        <f t="shared" si="1279"/>
        <v>0</v>
      </c>
      <c r="F4243" s="31"/>
      <c r="G4243" s="31"/>
      <c r="H4243" s="31"/>
      <c r="I4243" s="56"/>
      <c r="J4243" s="56"/>
      <c r="K4243" s="82" t="str">
        <f t="shared" si="1280"/>
        <v>Invoice</v>
      </c>
      <c r="L4243" s="83" t="str">
        <f>"SI_112202"</f>
        <v>SI_112202</v>
      </c>
      <c r="M4243" s="84">
        <v>42142</v>
      </c>
      <c r="N4243" s="85">
        <f t="shared" si="1281"/>
        <v>1670</v>
      </c>
      <c r="O4243" s="86">
        <f t="shared" si="1282"/>
        <v>7716.24</v>
      </c>
      <c r="P4243" s="86">
        <f t="shared" si="1283"/>
        <v>0</v>
      </c>
      <c r="Q4243" s="86">
        <f t="shared" si="1284"/>
        <v>0</v>
      </c>
      <c r="R4243" s="86">
        <f t="shared" si="1285"/>
        <v>0</v>
      </c>
      <c r="S4243" s="86">
        <f t="shared" si="1286"/>
        <v>0</v>
      </c>
      <c r="T4243" s="86">
        <f t="shared" si="1287"/>
        <v>7716.24</v>
      </c>
      <c r="U4243" s="87">
        <v>7716.24</v>
      </c>
    </row>
    <row r="4244" spans="1:21" s="30" customFormat="1" ht="24.6" hidden="1" outlineLevel="1" x14ac:dyDescent="0.55000000000000004">
      <c r="A4244" s="27" t="s">
        <v>327</v>
      </c>
      <c r="B4244" s="28"/>
      <c r="C4244" s="27"/>
      <c r="D4244" s="27" t="str">
        <f>"""NAV Direct"",""CRONUS JetCorp USA"",""21"",""1"",""398266"""</f>
        <v>"NAV Direct","CRONUS JetCorp USA","21","1","398266"</v>
      </c>
      <c r="E4244" s="31" t="str">
        <f t="shared" si="1279"/>
        <v>C100119</v>
      </c>
      <c r="F4244" s="31"/>
      <c r="G4244" s="31"/>
      <c r="H4244" s="31"/>
      <c r="I4244" s="56"/>
      <c r="J4244" s="56"/>
      <c r="K4244" s="82" t="str">
        <f t="shared" si="1280"/>
        <v>Invoice</v>
      </c>
      <c r="L4244" s="83" t="str">
        <f>"SI_112204"</f>
        <v>SI_112204</v>
      </c>
      <c r="M4244" s="84">
        <v>42155</v>
      </c>
      <c r="N4244" s="85">
        <f t="shared" si="1281"/>
        <v>1657</v>
      </c>
      <c r="O4244" s="86">
        <f t="shared" si="1282"/>
        <v>7470.0199999999995</v>
      </c>
      <c r="P4244" s="86">
        <f t="shared" si="1283"/>
        <v>0</v>
      </c>
      <c r="Q4244" s="86">
        <f t="shared" si="1284"/>
        <v>0</v>
      </c>
      <c r="R4244" s="86">
        <f t="shared" si="1285"/>
        <v>0</v>
      </c>
      <c r="S4244" s="86">
        <f t="shared" si="1286"/>
        <v>0</v>
      </c>
      <c r="T4244" s="86">
        <f t="shared" si="1287"/>
        <v>7470.0199999999995</v>
      </c>
      <c r="U4244" s="87">
        <v>7470.0199999999995</v>
      </c>
    </row>
    <row r="4245" spans="1:21" s="30" customFormat="1" ht="24.6" hidden="1" outlineLevel="1" x14ac:dyDescent="0.55000000000000004">
      <c r="A4245" s="27" t="s">
        <v>327</v>
      </c>
      <c r="B4245" s="28"/>
      <c r="C4245" s="27"/>
      <c r="D4245" s="27" t="str">
        <f>"""NAV Direct"",""CRONUS JetCorp USA"",""21"",""1"",""398397"""</f>
        <v>"NAV Direct","CRONUS JetCorp USA","21","1","398397"</v>
      </c>
      <c r="E4245" s="31">
        <f t="shared" si="1279"/>
        <v>0</v>
      </c>
      <c r="F4245" s="31"/>
      <c r="G4245" s="31"/>
      <c r="H4245" s="31"/>
      <c r="I4245" s="56"/>
      <c r="J4245" s="56"/>
      <c r="K4245" s="82" t="str">
        <f t="shared" si="1280"/>
        <v>Invoice</v>
      </c>
      <c r="L4245" s="83" t="str">
        <f>"SI_112207"</f>
        <v>SI_112207</v>
      </c>
      <c r="M4245" s="84">
        <v>42162</v>
      </c>
      <c r="N4245" s="85">
        <f t="shared" si="1281"/>
        <v>1650</v>
      </c>
      <c r="O4245" s="86">
        <f t="shared" si="1282"/>
        <v>7305.7999999999993</v>
      </c>
      <c r="P4245" s="86">
        <f t="shared" si="1283"/>
        <v>0</v>
      </c>
      <c r="Q4245" s="86">
        <f t="shared" si="1284"/>
        <v>0</v>
      </c>
      <c r="R4245" s="86">
        <f t="shared" si="1285"/>
        <v>0</v>
      </c>
      <c r="S4245" s="86">
        <f t="shared" si="1286"/>
        <v>0</v>
      </c>
      <c r="T4245" s="86">
        <f t="shared" si="1287"/>
        <v>7305.7999999999993</v>
      </c>
      <c r="U4245" s="87">
        <v>7305.7999999999993</v>
      </c>
    </row>
    <row r="4246" spans="1:21" s="30" customFormat="1" ht="24.6" hidden="1" outlineLevel="1" x14ac:dyDescent="0.55000000000000004">
      <c r="A4246" s="27" t="s">
        <v>327</v>
      </c>
      <c r="B4246" s="28"/>
      <c r="C4246" s="27"/>
      <c r="D4246" s="27" t="str">
        <f>"""NAV Direct"",""CRONUS JetCorp USA"",""21"",""1"",""398747"""</f>
        <v>"NAV Direct","CRONUS JetCorp USA","21","1","398747"</v>
      </c>
      <c r="E4246" s="31" t="str">
        <f t="shared" si="1279"/>
        <v>C100119</v>
      </c>
      <c r="F4246" s="31"/>
      <c r="G4246" s="31"/>
      <c r="H4246" s="31"/>
      <c r="I4246" s="56"/>
      <c r="J4246" s="56"/>
      <c r="K4246" s="82" t="str">
        <f t="shared" si="1280"/>
        <v>Invoice</v>
      </c>
      <c r="L4246" s="83" t="str">
        <f>"SI_112215"</f>
        <v>SI_112215</v>
      </c>
      <c r="M4246" s="84">
        <v>42204</v>
      </c>
      <c r="N4246" s="85">
        <f t="shared" si="1281"/>
        <v>1608</v>
      </c>
      <c r="O4246" s="86">
        <f t="shared" si="1282"/>
        <v>6981.5499999999993</v>
      </c>
      <c r="P4246" s="86">
        <f t="shared" si="1283"/>
        <v>0</v>
      </c>
      <c r="Q4246" s="86">
        <f t="shared" si="1284"/>
        <v>0</v>
      </c>
      <c r="R4246" s="86">
        <f t="shared" si="1285"/>
        <v>0</v>
      </c>
      <c r="S4246" s="86">
        <f t="shared" si="1286"/>
        <v>0</v>
      </c>
      <c r="T4246" s="86">
        <f t="shared" si="1287"/>
        <v>6981.5499999999993</v>
      </c>
      <c r="U4246" s="87">
        <v>6981.5499999999993</v>
      </c>
    </row>
    <row r="4247" spans="1:21" s="30" customFormat="1" ht="24.6" hidden="1" outlineLevel="1" x14ac:dyDescent="0.55000000000000004">
      <c r="A4247" s="27" t="s">
        <v>327</v>
      </c>
      <c r="B4247" s="28"/>
      <c r="C4247" s="27"/>
      <c r="D4247" s="27" t="str">
        <f>"""NAV Direct"",""CRONUS JetCorp USA"",""21"",""1"",""398968"""</f>
        <v>"NAV Direct","CRONUS JetCorp USA","21","1","398968"</v>
      </c>
      <c r="E4247" s="31">
        <f t="shared" si="1279"/>
        <v>0</v>
      </c>
      <c r="F4247" s="31"/>
      <c r="G4247" s="31"/>
      <c r="H4247" s="31"/>
      <c r="I4247" s="56"/>
      <c r="J4247" s="56"/>
      <c r="K4247" s="82" t="str">
        <f t="shared" si="1280"/>
        <v>Invoice</v>
      </c>
      <c r="L4247" s="83" t="str">
        <f>"SI_112220"</f>
        <v>SI_112220</v>
      </c>
      <c r="M4247" s="84">
        <v>42216</v>
      </c>
      <c r="N4247" s="85">
        <f t="shared" si="1281"/>
        <v>1596</v>
      </c>
      <c r="O4247" s="86">
        <f t="shared" si="1282"/>
        <v>7602.14</v>
      </c>
      <c r="P4247" s="86">
        <f t="shared" si="1283"/>
        <v>0</v>
      </c>
      <c r="Q4247" s="86">
        <f t="shared" si="1284"/>
        <v>0</v>
      </c>
      <c r="R4247" s="86">
        <f t="shared" si="1285"/>
        <v>0</v>
      </c>
      <c r="S4247" s="86">
        <f t="shared" si="1286"/>
        <v>0</v>
      </c>
      <c r="T4247" s="86">
        <f t="shared" si="1287"/>
        <v>7602.14</v>
      </c>
      <c r="U4247" s="87">
        <v>7602.14</v>
      </c>
    </row>
    <row r="4248" spans="1:21" s="30" customFormat="1" ht="24.6" hidden="1" outlineLevel="1" x14ac:dyDescent="0.55000000000000004">
      <c r="A4248" s="27" t="s">
        <v>327</v>
      </c>
      <c r="B4248" s="28"/>
      <c r="C4248" s="27"/>
      <c r="D4248" s="27" t="str">
        <f>"""NAV Direct"",""CRONUS JetCorp USA"",""21"",""1"",""399220"""</f>
        <v>"NAV Direct","CRONUS JetCorp USA","21","1","399220"</v>
      </c>
      <c r="E4248" s="31" t="str">
        <f t="shared" si="1279"/>
        <v>C100119</v>
      </c>
      <c r="F4248" s="31"/>
      <c r="G4248" s="31"/>
      <c r="H4248" s="31"/>
      <c r="I4248" s="56"/>
      <c r="J4248" s="56"/>
      <c r="K4248" s="82" t="str">
        <f t="shared" si="1280"/>
        <v>Invoice</v>
      </c>
      <c r="L4248" s="83" t="str">
        <f>"SI_112226"</f>
        <v>SI_112226</v>
      </c>
      <c r="M4248" s="84">
        <v>42239</v>
      </c>
      <c r="N4248" s="85">
        <f t="shared" si="1281"/>
        <v>1573</v>
      </c>
      <c r="O4248" s="86">
        <f t="shared" si="1282"/>
        <v>7623.91</v>
      </c>
      <c r="P4248" s="86">
        <f t="shared" si="1283"/>
        <v>0</v>
      </c>
      <c r="Q4248" s="86">
        <f t="shared" si="1284"/>
        <v>0</v>
      </c>
      <c r="R4248" s="86">
        <f t="shared" si="1285"/>
        <v>0</v>
      </c>
      <c r="S4248" s="86">
        <f t="shared" si="1286"/>
        <v>0</v>
      </c>
      <c r="T4248" s="86">
        <f t="shared" si="1287"/>
        <v>7623.91</v>
      </c>
      <c r="U4248" s="87">
        <v>7623.91</v>
      </c>
    </row>
    <row r="4249" spans="1:21" s="30" customFormat="1" ht="24.6" hidden="1" outlineLevel="1" x14ac:dyDescent="0.55000000000000004">
      <c r="A4249" s="27" t="s">
        <v>327</v>
      </c>
      <c r="B4249" s="28"/>
      <c r="C4249" s="27"/>
      <c r="D4249" s="27" t="str">
        <f>"""NAV Direct"",""CRONUS JetCorp USA"",""21"",""1"",""399719"""</f>
        <v>"NAV Direct","CRONUS JetCorp USA","21","1","399719"</v>
      </c>
      <c r="E4249" s="31">
        <f t="shared" si="1279"/>
        <v>0</v>
      </c>
      <c r="F4249" s="31"/>
      <c r="G4249" s="31"/>
      <c r="H4249" s="31"/>
      <c r="I4249" s="56"/>
      <c r="J4249" s="56"/>
      <c r="K4249" s="82" t="str">
        <f t="shared" si="1280"/>
        <v>Invoice</v>
      </c>
      <c r="L4249" s="83" t="str">
        <f>"SI_112237"</f>
        <v>SI_112237</v>
      </c>
      <c r="M4249" s="84">
        <v>42276</v>
      </c>
      <c r="N4249" s="85">
        <f t="shared" si="1281"/>
        <v>1536</v>
      </c>
      <c r="O4249" s="86">
        <f t="shared" si="1282"/>
        <v>8401.2800000000007</v>
      </c>
      <c r="P4249" s="86">
        <f t="shared" si="1283"/>
        <v>0</v>
      </c>
      <c r="Q4249" s="86">
        <f t="shared" si="1284"/>
        <v>0</v>
      </c>
      <c r="R4249" s="86">
        <f t="shared" si="1285"/>
        <v>0</v>
      </c>
      <c r="S4249" s="86">
        <f t="shared" si="1286"/>
        <v>0</v>
      </c>
      <c r="T4249" s="86">
        <f t="shared" si="1287"/>
        <v>8401.2800000000007</v>
      </c>
      <c r="U4249" s="87">
        <v>8401.2800000000007</v>
      </c>
    </row>
    <row r="4250" spans="1:21" s="30" customFormat="1" ht="24.6" hidden="1" outlineLevel="1" x14ac:dyDescent="0.55000000000000004">
      <c r="A4250" s="27" t="s">
        <v>327</v>
      </c>
      <c r="B4250" s="28"/>
      <c r="C4250" s="27"/>
      <c r="D4250" s="27" t="str">
        <f>"""NAV Direct"",""CRONUS JetCorp USA"",""21"",""1"",""400782"""</f>
        <v>"NAV Direct","CRONUS JetCorp USA","21","1","400782"</v>
      </c>
      <c r="E4250" s="31" t="str">
        <f t="shared" si="1279"/>
        <v>C100119</v>
      </c>
      <c r="F4250" s="31"/>
      <c r="G4250" s="31"/>
      <c r="H4250" s="31"/>
      <c r="I4250" s="56"/>
      <c r="J4250" s="56"/>
      <c r="K4250" s="82" t="str">
        <f t="shared" si="1280"/>
        <v>Invoice</v>
      </c>
      <c r="L4250" s="83" t="str">
        <f>"SI_112258"</f>
        <v>SI_112258</v>
      </c>
      <c r="M4250" s="84">
        <v>42327</v>
      </c>
      <c r="N4250" s="85">
        <f t="shared" si="1281"/>
        <v>1485</v>
      </c>
      <c r="O4250" s="86">
        <f t="shared" si="1282"/>
        <v>8227</v>
      </c>
      <c r="P4250" s="86">
        <f t="shared" si="1283"/>
        <v>0</v>
      </c>
      <c r="Q4250" s="86">
        <f t="shared" si="1284"/>
        <v>0</v>
      </c>
      <c r="R4250" s="86">
        <f t="shared" si="1285"/>
        <v>0</v>
      </c>
      <c r="S4250" s="86">
        <f t="shared" si="1286"/>
        <v>0</v>
      </c>
      <c r="T4250" s="86">
        <f t="shared" si="1287"/>
        <v>8227</v>
      </c>
      <c r="U4250" s="87">
        <v>8227</v>
      </c>
    </row>
    <row r="4251" spans="1:21" s="30" customFormat="1" ht="24.6" hidden="1" outlineLevel="1" x14ac:dyDescent="0.55000000000000004">
      <c r="A4251" s="27" t="s">
        <v>327</v>
      </c>
      <c r="B4251" s="28"/>
      <c r="C4251" s="27"/>
      <c r="D4251" s="27" t="str">
        <f>"""NAV Direct"",""CRONUS JetCorp USA"",""21"",""1"",""401318"""</f>
        <v>"NAV Direct","CRONUS JetCorp USA","21","1","401318"</v>
      </c>
      <c r="E4251" s="31">
        <f t="shared" si="1279"/>
        <v>0</v>
      </c>
      <c r="F4251" s="31"/>
      <c r="G4251" s="31"/>
      <c r="H4251" s="31"/>
      <c r="I4251" s="56"/>
      <c r="J4251" s="56"/>
      <c r="K4251" s="82" t="str">
        <f t="shared" si="1280"/>
        <v>Invoice</v>
      </c>
      <c r="L4251" s="83" t="str">
        <f>"SI_112270"</f>
        <v>SI_112270</v>
      </c>
      <c r="M4251" s="84">
        <v>42356</v>
      </c>
      <c r="N4251" s="85">
        <f t="shared" si="1281"/>
        <v>1456</v>
      </c>
      <c r="O4251" s="86">
        <f t="shared" si="1282"/>
        <v>7015.4800000000005</v>
      </c>
      <c r="P4251" s="86">
        <f t="shared" si="1283"/>
        <v>0</v>
      </c>
      <c r="Q4251" s="86">
        <f t="shared" si="1284"/>
        <v>0</v>
      </c>
      <c r="R4251" s="86">
        <f t="shared" si="1285"/>
        <v>0</v>
      </c>
      <c r="S4251" s="86">
        <f t="shared" si="1286"/>
        <v>0</v>
      </c>
      <c r="T4251" s="86">
        <f t="shared" si="1287"/>
        <v>7015.4800000000005</v>
      </c>
      <c r="U4251" s="87">
        <v>7015.4800000000005</v>
      </c>
    </row>
    <row r="4252" spans="1:21" s="30" customFormat="1" ht="24.6" hidden="1" outlineLevel="1" x14ac:dyDescent="0.55000000000000004">
      <c r="A4252" s="27" t="s">
        <v>327</v>
      </c>
      <c r="B4252" s="28"/>
      <c r="C4252" s="27"/>
      <c r="D4252" s="27" t="str">
        <f>"""NAV Direct"",""CRONUS JetCorp USA"",""21"",""1"",""401572"""</f>
        <v>"NAV Direct","CRONUS JetCorp USA","21","1","401572"</v>
      </c>
      <c r="E4252" s="31" t="str">
        <f t="shared" si="1279"/>
        <v>C100119</v>
      </c>
      <c r="F4252" s="31"/>
      <c r="G4252" s="31"/>
      <c r="H4252" s="31"/>
      <c r="I4252" s="56"/>
      <c r="J4252" s="56"/>
      <c r="K4252" s="82" t="str">
        <f t="shared" si="1280"/>
        <v>Invoice</v>
      </c>
      <c r="L4252" s="83" t="str">
        <f>"SI_112276"</f>
        <v>SI_112276</v>
      </c>
      <c r="M4252" s="84">
        <v>42736</v>
      </c>
      <c r="N4252" s="85">
        <f t="shared" si="1281"/>
        <v>1076</v>
      </c>
      <c r="O4252" s="86">
        <f t="shared" si="1282"/>
        <v>6870.86</v>
      </c>
      <c r="P4252" s="86">
        <f t="shared" si="1283"/>
        <v>0</v>
      </c>
      <c r="Q4252" s="86">
        <f t="shared" si="1284"/>
        <v>0</v>
      </c>
      <c r="R4252" s="86">
        <f t="shared" si="1285"/>
        <v>0</v>
      </c>
      <c r="S4252" s="86">
        <f t="shared" si="1286"/>
        <v>0</v>
      </c>
      <c r="T4252" s="86">
        <f t="shared" si="1287"/>
        <v>6870.86</v>
      </c>
      <c r="U4252" s="87">
        <v>6870.86</v>
      </c>
    </row>
    <row r="4253" spans="1:21" s="30" customFormat="1" ht="24.6" hidden="1" outlineLevel="1" x14ac:dyDescent="0.55000000000000004">
      <c r="A4253" s="27" t="s">
        <v>327</v>
      </c>
      <c r="B4253" s="28"/>
      <c r="C4253" s="27"/>
      <c r="D4253" s="27" t="str">
        <f>"""NAV Direct"",""CRONUS JetCorp USA"",""21"",""1"",""438692"""</f>
        <v>"NAV Direct","CRONUS JetCorp USA","21","1","438692"</v>
      </c>
      <c r="E4253" s="31">
        <f t="shared" si="1279"/>
        <v>0</v>
      </c>
      <c r="F4253" s="31"/>
      <c r="G4253" s="31"/>
      <c r="H4253" s="31"/>
      <c r="I4253" s="56"/>
      <c r="J4253" s="56"/>
      <c r="K4253" s="82" t="str">
        <f t="shared" ref="K4253:K4263" si="1288">"Credit Memo"</f>
        <v>Credit Memo</v>
      </c>
      <c r="L4253" s="83" t="str">
        <f>"SC_100830"</f>
        <v>SC_100830</v>
      </c>
      <c r="M4253" s="84">
        <v>42478</v>
      </c>
      <c r="N4253" s="85">
        <f t="shared" si="1281"/>
        <v>1334</v>
      </c>
      <c r="O4253" s="86">
        <f t="shared" si="1282"/>
        <v>-92.69</v>
      </c>
      <c r="P4253" s="86">
        <f t="shared" si="1283"/>
        <v>0</v>
      </c>
      <c r="Q4253" s="86">
        <f t="shared" si="1284"/>
        <v>0</v>
      </c>
      <c r="R4253" s="86">
        <f t="shared" si="1285"/>
        <v>0</v>
      </c>
      <c r="S4253" s="86">
        <f t="shared" si="1286"/>
        <v>0</v>
      </c>
      <c r="T4253" s="86">
        <f t="shared" si="1287"/>
        <v>-92.69</v>
      </c>
      <c r="U4253" s="87">
        <v>-92.69</v>
      </c>
    </row>
    <row r="4254" spans="1:21" s="30" customFormat="1" ht="24.6" hidden="1" outlineLevel="1" x14ac:dyDescent="0.55000000000000004">
      <c r="A4254" s="27" t="s">
        <v>327</v>
      </c>
      <c r="B4254" s="28"/>
      <c r="C4254" s="27"/>
      <c r="D4254" s="27" t="str">
        <f>"""NAV Direct"",""CRONUS JetCorp USA"",""21"",""1"",""438844"""</f>
        <v>"NAV Direct","CRONUS JetCorp USA","21","1","438844"</v>
      </c>
      <c r="E4254" s="31" t="str">
        <f t="shared" si="1279"/>
        <v>C100119</v>
      </c>
      <c r="F4254" s="31"/>
      <c r="G4254" s="31"/>
      <c r="H4254" s="31"/>
      <c r="I4254" s="56"/>
      <c r="J4254" s="56"/>
      <c r="K4254" s="82" t="str">
        <f t="shared" si="1288"/>
        <v>Credit Memo</v>
      </c>
      <c r="L4254" s="83" t="str">
        <f>"SC_100837"</f>
        <v>SC_100837</v>
      </c>
      <c r="M4254" s="84">
        <v>42646</v>
      </c>
      <c r="N4254" s="85">
        <f t="shared" si="1281"/>
        <v>1166</v>
      </c>
      <c r="O4254" s="86">
        <f t="shared" si="1282"/>
        <v>-100.25999999999999</v>
      </c>
      <c r="P4254" s="86">
        <f t="shared" si="1283"/>
        <v>0</v>
      </c>
      <c r="Q4254" s="86">
        <f t="shared" si="1284"/>
        <v>0</v>
      </c>
      <c r="R4254" s="86">
        <f t="shared" si="1285"/>
        <v>0</v>
      </c>
      <c r="S4254" s="86">
        <f t="shared" si="1286"/>
        <v>0</v>
      </c>
      <c r="T4254" s="86">
        <f t="shared" si="1287"/>
        <v>-100.25999999999999</v>
      </c>
      <c r="U4254" s="87">
        <v>-100.25999999999999</v>
      </c>
    </row>
    <row r="4255" spans="1:21" s="30" customFormat="1" ht="24.6" hidden="1" outlineLevel="1" x14ac:dyDescent="0.55000000000000004">
      <c r="A4255" s="27" t="s">
        <v>327</v>
      </c>
      <c r="B4255" s="28"/>
      <c r="C4255" s="27"/>
      <c r="D4255" s="27" t="str">
        <f>"""NAV Direct"",""CRONUS JetCorp USA"",""21"",""1"",""438873"""</f>
        <v>"NAV Direct","CRONUS JetCorp USA","21","1","438873"</v>
      </c>
      <c r="E4255" s="31">
        <f t="shared" si="1279"/>
        <v>0</v>
      </c>
      <c r="F4255" s="31"/>
      <c r="G4255" s="31"/>
      <c r="H4255" s="31"/>
      <c r="I4255" s="56"/>
      <c r="J4255" s="56"/>
      <c r="K4255" s="82" t="str">
        <f t="shared" si="1288"/>
        <v>Credit Memo</v>
      </c>
      <c r="L4255" s="83" t="str">
        <f>"SC_100839"</f>
        <v>SC_100839</v>
      </c>
      <c r="M4255" s="84">
        <v>42719</v>
      </c>
      <c r="N4255" s="85">
        <f t="shared" si="1281"/>
        <v>1093</v>
      </c>
      <c r="O4255" s="86">
        <f t="shared" si="1282"/>
        <v>-99.149999999999991</v>
      </c>
      <c r="P4255" s="86">
        <f t="shared" si="1283"/>
        <v>0</v>
      </c>
      <c r="Q4255" s="86">
        <f t="shared" si="1284"/>
        <v>0</v>
      </c>
      <c r="R4255" s="86">
        <f t="shared" si="1285"/>
        <v>0</v>
      </c>
      <c r="S4255" s="86">
        <f t="shared" si="1286"/>
        <v>0</v>
      </c>
      <c r="T4255" s="86">
        <f t="shared" si="1287"/>
        <v>-99.149999999999991</v>
      </c>
      <c r="U4255" s="87">
        <v>-99.149999999999991</v>
      </c>
    </row>
    <row r="4256" spans="1:21" s="30" customFormat="1" ht="24.6" hidden="1" outlineLevel="1" x14ac:dyDescent="0.55000000000000004">
      <c r="A4256" s="27" t="s">
        <v>327</v>
      </c>
      <c r="B4256" s="28"/>
      <c r="C4256" s="27"/>
      <c r="D4256" s="27" t="str">
        <f>"""NAV Direct"",""CRONUS JetCorp USA"",""21"",""1"",""438902"""</f>
        <v>"NAV Direct","CRONUS JetCorp USA","21","1","438902"</v>
      </c>
      <c r="E4256" s="31" t="str">
        <f t="shared" si="1279"/>
        <v>C100119</v>
      </c>
      <c r="F4256" s="31"/>
      <c r="G4256" s="31"/>
      <c r="H4256" s="31"/>
      <c r="I4256" s="56"/>
      <c r="J4256" s="56"/>
      <c r="K4256" s="82" t="str">
        <f t="shared" si="1288"/>
        <v>Credit Memo</v>
      </c>
      <c r="L4256" s="83" t="str">
        <f>"SC_100840"</f>
        <v>SC_100840</v>
      </c>
      <c r="M4256" s="84">
        <v>42779</v>
      </c>
      <c r="N4256" s="85">
        <f t="shared" si="1281"/>
        <v>1033</v>
      </c>
      <c r="O4256" s="86">
        <f t="shared" si="1282"/>
        <v>-109.4</v>
      </c>
      <c r="P4256" s="86">
        <f t="shared" si="1283"/>
        <v>0</v>
      </c>
      <c r="Q4256" s="86">
        <f t="shared" si="1284"/>
        <v>0</v>
      </c>
      <c r="R4256" s="86">
        <f t="shared" si="1285"/>
        <v>0</v>
      </c>
      <c r="S4256" s="86">
        <f t="shared" si="1286"/>
        <v>0</v>
      </c>
      <c r="T4256" s="86">
        <f t="shared" si="1287"/>
        <v>-109.4</v>
      </c>
      <c r="U4256" s="87">
        <v>-109.4</v>
      </c>
    </row>
    <row r="4257" spans="1:22" s="30" customFormat="1" ht="24.6" hidden="1" outlineLevel="1" x14ac:dyDescent="0.55000000000000004">
      <c r="A4257" s="27" t="s">
        <v>327</v>
      </c>
      <c r="B4257" s="28"/>
      <c r="C4257" s="27"/>
      <c r="D4257" s="27" t="str">
        <f>"""NAV Direct"",""CRONUS JetCorp USA"",""21"",""1"",""439322"""</f>
        <v>"NAV Direct","CRONUS JetCorp USA","21","1","439322"</v>
      </c>
      <c r="E4257" s="31">
        <f t="shared" si="1279"/>
        <v>0</v>
      </c>
      <c r="F4257" s="31"/>
      <c r="G4257" s="31"/>
      <c r="H4257" s="31"/>
      <c r="I4257" s="56"/>
      <c r="J4257" s="56"/>
      <c r="K4257" s="82" t="str">
        <f t="shared" si="1288"/>
        <v>Credit Memo</v>
      </c>
      <c r="L4257" s="83" t="str">
        <f>"SC_100861"</f>
        <v>SC_100861</v>
      </c>
      <c r="M4257" s="84">
        <v>43528</v>
      </c>
      <c r="N4257" s="85">
        <f t="shared" si="1281"/>
        <v>284</v>
      </c>
      <c r="O4257" s="86">
        <f t="shared" si="1282"/>
        <v>-135.87</v>
      </c>
      <c r="P4257" s="86">
        <f t="shared" si="1283"/>
        <v>0</v>
      </c>
      <c r="Q4257" s="86">
        <f t="shared" si="1284"/>
        <v>0</v>
      </c>
      <c r="R4257" s="86">
        <f t="shared" si="1285"/>
        <v>0</v>
      </c>
      <c r="S4257" s="86">
        <f t="shared" si="1286"/>
        <v>0</v>
      </c>
      <c r="T4257" s="86">
        <f t="shared" si="1287"/>
        <v>-135.87</v>
      </c>
      <c r="U4257" s="87">
        <v>-135.87</v>
      </c>
    </row>
    <row r="4258" spans="1:22" s="30" customFormat="1" ht="24.6" hidden="1" outlineLevel="1" x14ac:dyDescent="0.55000000000000004">
      <c r="A4258" s="27" t="s">
        <v>327</v>
      </c>
      <c r="B4258" s="28"/>
      <c r="C4258" s="27"/>
      <c r="D4258" s="27" t="str">
        <f>"""NAV Direct"",""CRONUS JetCorp USA"",""21"",""1"",""439337"""</f>
        <v>"NAV Direct","CRONUS JetCorp USA","21","1","439337"</v>
      </c>
      <c r="E4258" s="31" t="str">
        <f t="shared" si="1279"/>
        <v>C100119</v>
      </c>
      <c r="F4258" s="31"/>
      <c r="G4258" s="31"/>
      <c r="H4258" s="31"/>
      <c r="I4258" s="56"/>
      <c r="J4258" s="56"/>
      <c r="K4258" s="82" t="str">
        <f t="shared" si="1288"/>
        <v>Credit Memo</v>
      </c>
      <c r="L4258" s="83" t="str">
        <f>"SC_100862"</f>
        <v>SC_100862</v>
      </c>
      <c r="M4258" s="84">
        <v>43537</v>
      </c>
      <c r="N4258" s="85">
        <f t="shared" si="1281"/>
        <v>275</v>
      </c>
      <c r="O4258" s="86">
        <f t="shared" si="1282"/>
        <v>-134.54</v>
      </c>
      <c r="P4258" s="86">
        <f t="shared" si="1283"/>
        <v>0</v>
      </c>
      <c r="Q4258" s="86">
        <f t="shared" si="1284"/>
        <v>0</v>
      </c>
      <c r="R4258" s="86">
        <f t="shared" si="1285"/>
        <v>0</v>
      </c>
      <c r="S4258" s="86">
        <f t="shared" si="1286"/>
        <v>0</v>
      </c>
      <c r="T4258" s="86">
        <f t="shared" si="1287"/>
        <v>-134.54</v>
      </c>
      <c r="U4258" s="87">
        <v>-134.54</v>
      </c>
    </row>
    <row r="4259" spans="1:22" s="30" customFormat="1" ht="24.6" hidden="1" outlineLevel="1" x14ac:dyDescent="0.55000000000000004">
      <c r="A4259" s="27" t="s">
        <v>327</v>
      </c>
      <c r="B4259" s="28"/>
      <c r="C4259" s="27"/>
      <c r="D4259" s="27" t="str">
        <f>"""NAV Direct"",""CRONUS JetCorp USA"",""21"",""1"",""439651"""</f>
        <v>"NAV Direct","CRONUS JetCorp USA","21","1","439651"</v>
      </c>
      <c r="E4259" s="31">
        <f t="shared" si="1279"/>
        <v>0</v>
      </c>
      <c r="F4259" s="31"/>
      <c r="G4259" s="31"/>
      <c r="H4259" s="31"/>
      <c r="I4259" s="56"/>
      <c r="J4259" s="56"/>
      <c r="K4259" s="82" t="str">
        <f t="shared" si="1288"/>
        <v>Credit Memo</v>
      </c>
      <c r="L4259" s="83" t="str">
        <f>"SC_100878"</f>
        <v>SC_100878</v>
      </c>
      <c r="M4259" s="84">
        <v>43773</v>
      </c>
      <c r="N4259" s="85">
        <f t="shared" si="1281"/>
        <v>39</v>
      </c>
      <c r="O4259" s="86">
        <f t="shared" si="1282"/>
        <v>-112.22</v>
      </c>
      <c r="P4259" s="86">
        <f t="shared" si="1283"/>
        <v>0</v>
      </c>
      <c r="Q4259" s="86">
        <f t="shared" si="1284"/>
        <v>0</v>
      </c>
      <c r="R4259" s="86">
        <f t="shared" si="1285"/>
        <v>-112.22</v>
      </c>
      <c r="S4259" s="86">
        <f t="shared" si="1286"/>
        <v>0</v>
      </c>
      <c r="T4259" s="86">
        <f t="shared" si="1287"/>
        <v>0</v>
      </c>
      <c r="U4259" s="87">
        <v>-112.22</v>
      </c>
    </row>
    <row r="4260" spans="1:22" s="30" customFormat="1" ht="24.6" hidden="1" outlineLevel="1" x14ac:dyDescent="0.55000000000000004">
      <c r="A4260" s="27" t="s">
        <v>327</v>
      </c>
      <c r="B4260" s="28"/>
      <c r="C4260" s="27"/>
      <c r="D4260" s="27" t="str">
        <f>"""NAV Direct"",""CRONUS JetCorp USA"",""21"",""1"",""439668"""</f>
        <v>"NAV Direct","CRONUS JetCorp USA","21","1","439668"</v>
      </c>
      <c r="E4260" s="31" t="str">
        <f t="shared" si="1279"/>
        <v>C100119</v>
      </c>
      <c r="F4260" s="31"/>
      <c r="G4260" s="31"/>
      <c r="H4260" s="31"/>
      <c r="I4260" s="56"/>
      <c r="J4260" s="56"/>
      <c r="K4260" s="82" t="str">
        <f t="shared" si="1288"/>
        <v>Credit Memo</v>
      </c>
      <c r="L4260" s="83" t="str">
        <f>"SC_100879"</f>
        <v>SC_100879</v>
      </c>
      <c r="M4260" s="84">
        <v>43790</v>
      </c>
      <c r="N4260" s="85">
        <f t="shared" si="1281"/>
        <v>22</v>
      </c>
      <c r="O4260" s="86">
        <f t="shared" si="1282"/>
        <v>-112.37</v>
      </c>
      <c r="P4260" s="86">
        <f t="shared" si="1283"/>
        <v>0</v>
      </c>
      <c r="Q4260" s="86">
        <f t="shared" si="1284"/>
        <v>-112.37</v>
      </c>
      <c r="R4260" s="86">
        <f t="shared" si="1285"/>
        <v>0</v>
      </c>
      <c r="S4260" s="86">
        <f t="shared" si="1286"/>
        <v>0</v>
      </c>
      <c r="T4260" s="86">
        <f t="shared" si="1287"/>
        <v>0</v>
      </c>
      <c r="U4260" s="87">
        <v>-112.37</v>
      </c>
    </row>
    <row r="4261" spans="1:22" s="30" customFormat="1" ht="24.6" hidden="1" outlineLevel="1" x14ac:dyDescent="0.55000000000000004">
      <c r="A4261" s="27" t="s">
        <v>327</v>
      </c>
      <c r="B4261" s="28"/>
      <c r="C4261" s="27"/>
      <c r="D4261" s="27" t="str">
        <f>"""NAV Direct"",""CRONUS JetCorp USA"",""21"",""1"",""439792"""</f>
        <v>"NAV Direct","CRONUS JetCorp USA","21","1","439792"</v>
      </c>
      <c r="E4261" s="31">
        <f t="shared" si="1279"/>
        <v>0</v>
      </c>
      <c r="F4261" s="31"/>
      <c r="G4261" s="31"/>
      <c r="H4261" s="31"/>
      <c r="I4261" s="56"/>
      <c r="J4261" s="56"/>
      <c r="K4261" s="82" t="str">
        <f t="shared" si="1288"/>
        <v>Credit Memo</v>
      </c>
      <c r="L4261" s="83" t="str">
        <f>"SC_100885"</f>
        <v>SC_100885</v>
      </c>
      <c r="M4261" s="84">
        <v>42016</v>
      </c>
      <c r="N4261" s="85">
        <f t="shared" si="1281"/>
        <v>1796</v>
      </c>
      <c r="O4261" s="86">
        <f t="shared" si="1282"/>
        <v>-94.1</v>
      </c>
      <c r="P4261" s="86">
        <f t="shared" si="1283"/>
        <v>0</v>
      </c>
      <c r="Q4261" s="86">
        <f t="shared" si="1284"/>
        <v>0</v>
      </c>
      <c r="R4261" s="86">
        <f t="shared" si="1285"/>
        <v>0</v>
      </c>
      <c r="S4261" s="86">
        <f t="shared" si="1286"/>
        <v>0</v>
      </c>
      <c r="T4261" s="86">
        <f t="shared" si="1287"/>
        <v>-94.1</v>
      </c>
      <c r="U4261" s="87">
        <v>-94.1</v>
      </c>
    </row>
    <row r="4262" spans="1:22" s="30" customFormat="1" ht="24.6" hidden="1" outlineLevel="1" x14ac:dyDescent="0.55000000000000004">
      <c r="A4262" s="27" t="s">
        <v>327</v>
      </c>
      <c r="B4262" s="28"/>
      <c r="C4262" s="27"/>
      <c r="D4262" s="27" t="str">
        <f>"""NAV Direct"",""CRONUS JetCorp USA"",""21"",""1"",""440096"""</f>
        <v>"NAV Direct","CRONUS JetCorp USA","21","1","440096"</v>
      </c>
      <c r="E4262" s="31" t="str">
        <f t="shared" si="1279"/>
        <v>C100119</v>
      </c>
      <c r="F4262" s="31"/>
      <c r="G4262" s="31"/>
      <c r="H4262" s="31"/>
      <c r="I4262" s="56"/>
      <c r="J4262" s="56"/>
      <c r="K4262" s="82" t="str">
        <f t="shared" si="1288"/>
        <v>Credit Memo</v>
      </c>
      <c r="L4262" s="83" t="str">
        <f>"SC_100901"</f>
        <v>SC_100901</v>
      </c>
      <c r="M4262" s="84">
        <v>42204</v>
      </c>
      <c r="N4262" s="85">
        <f t="shared" si="1281"/>
        <v>1608</v>
      </c>
      <c r="O4262" s="86">
        <f t="shared" si="1282"/>
        <v>-71.23</v>
      </c>
      <c r="P4262" s="86">
        <f t="shared" si="1283"/>
        <v>0</v>
      </c>
      <c r="Q4262" s="86">
        <f t="shared" si="1284"/>
        <v>0</v>
      </c>
      <c r="R4262" s="86">
        <f t="shared" si="1285"/>
        <v>0</v>
      </c>
      <c r="S4262" s="86">
        <f t="shared" si="1286"/>
        <v>0</v>
      </c>
      <c r="T4262" s="86">
        <f t="shared" si="1287"/>
        <v>-71.23</v>
      </c>
      <c r="U4262" s="87">
        <v>-71.23</v>
      </c>
    </row>
    <row r="4263" spans="1:22" s="30" customFormat="1" ht="24.6" hidden="1" outlineLevel="1" x14ac:dyDescent="0.55000000000000004">
      <c r="A4263" s="27" t="s">
        <v>327</v>
      </c>
      <c r="B4263" s="28"/>
      <c r="C4263" s="27"/>
      <c r="D4263" s="27" t="str">
        <f>"""NAV Direct"",""CRONUS JetCorp USA"",""21"",""1"",""440115"""</f>
        <v>"NAV Direct","CRONUS JetCorp USA","21","1","440115"</v>
      </c>
      <c r="E4263" s="31">
        <f t="shared" si="1279"/>
        <v>0</v>
      </c>
      <c r="F4263" s="31"/>
      <c r="G4263" s="31"/>
      <c r="H4263" s="31"/>
      <c r="I4263" s="56"/>
      <c r="J4263" s="56"/>
      <c r="K4263" s="82" t="str">
        <f t="shared" si="1288"/>
        <v>Credit Memo</v>
      </c>
      <c r="L4263" s="83" t="str">
        <f>"SC_100902"</f>
        <v>SC_100902</v>
      </c>
      <c r="M4263" s="84">
        <v>42221</v>
      </c>
      <c r="N4263" s="85">
        <f t="shared" si="1281"/>
        <v>1591</v>
      </c>
      <c r="O4263" s="86">
        <f t="shared" si="1282"/>
        <v>-81</v>
      </c>
      <c r="P4263" s="86">
        <f t="shared" si="1283"/>
        <v>0</v>
      </c>
      <c r="Q4263" s="86">
        <f t="shared" si="1284"/>
        <v>0</v>
      </c>
      <c r="R4263" s="86">
        <f t="shared" si="1285"/>
        <v>0</v>
      </c>
      <c r="S4263" s="86">
        <f t="shared" si="1286"/>
        <v>0</v>
      </c>
      <c r="T4263" s="86">
        <f t="shared" si="1287"/>
        <v>-81</v>
      </c>
      <c r="U4263" s="87">
        <v>-81</v>
      </c>
    </row>
    <row r="4264" spans="1:22" s="22" customFormat="1" ht="20.399999999999999" collapsed="1" x14ac:dyDescent="0.45">
      <c r="A4264" s="12" t="s">
        <v>327</v>
      </c>
      <c r="B4264" s="19"/>
      <c r="C4264" s="12"/>
      <c r="D4264" s="12"/>
      <c r="E4264" s="23"/>
      <c r="F4264" s="23"/>
      <c r="G4264" s="23"/>
      <c r="H4264" s="23"/>
      <c r="I4264" s="49"/>
      <c r="J4264" s="88"/>
      <c r="K4264" s="88"/>
      <c r="L4264" s="89"/>
      <c r="M4264" s="89"/>
      <c r="N4264" s="89"/>
      <c r="O4264" s="89"/>
      <c r="P4264" s="89"/>
      <c r="Q4264" s="90"/>
      <c r="R4264" s="90"/>
      <c r="S4264" s="91"/>
      <c r="T4264" s="92"/>
      <c r="U4264" s="92"/>
    </row>
    <row r="4265" spans="1:22" s="22" customFormat="1" ht="20.399999999999999" x14ac:dyDescent="0.45">
      <c r="A4265" s="12" t="s">
        <v>327</v>
      </c>
      <c r="B4265" s="19"/>
      <c r="C4265" s="12"/>
      <c r="D4265" s="12"/>
      <c r="E4265" s="23"/>
      <c r="F4265" s="23"/>
      <c r="G4265" s="23"/>
      <c r="H4265" s="23"/>
      <c r="I4265" s="49"/>
      <c r="J4265" s="88"/>
      <c r="K4265" s="88"/>
      <c r="L4265" s="89"/>
      <c r="M4265" s="89"/>
      <c r="N4265" s="89"/>
      <c r="O4265" s="89"/>
      <c r="P4265" s="89"/>
      <c r="Q4265" s="90"/>
      <c r="R4265" s="90"/>
      <c r="S4265" s="91"/>
      <c r="T4265" s="92"/>
      <c r="U4265" s="92"/>
    </row>
    <row r="4266" spans="1:22" s="26" customFormat="1" ht="24.6" x14ac:dyDescent="0.55000000000000004">
      <c r="A4266" s="27" t="s">
        <v>327</v>
      </c>
      <c r="B4266" s="28"/>
      <c r="C4266" s="27" t="str">
        <f>"""NAV Direct"",""CRONUS JetCorp USA"",""18"",""1"",""C100120"""</f>
        <v>"NAV Direct","CRONUS JetCorp USA","18","1","C100120"</v>
      </c>
      <c r="D4266" s="27"/>
      <c r="E4266" s="28" t="str">
        <f>H4266</f>
        <v>C100120</v>
      </c>
      <c r="F4266" s="28"/>
      <c r="G4266" s="28"/>
      <c r="H4266" s="28" t="str">
        <f>"C100120"</f>
        <v>C100120</v>
      </c>
      <c r="I4266" s="116" t="str">
        <f>"C100120  -  Tinfan"</f>
        <v>C100120  -  Tinfan</v>
      </c>
      <c r="J4266" s="117" t="str">
        <f>""</f>
        <v/>
      </c>
      <c r="K4266" s="118"/>
      <c r="L4266" s="119">
        <f>SUBTOTAL(3,L4267:L4330)</f>
        <v>60</v>
      </c>
      <c r="M4266" s="118"/>
      <c r="N4266" s="118"/>
      <c r="O4266" s="120">
        <f t="shared" ref="O4266:T4266" si="1289">SUBTOTAL(9,O4267:O4330)</f>
        <v>298423.37</v>
      </c>
      <c r="P4266" s="120">
        <f t="shared" si="1289"/>
        <v>0</v>
      </c>
      <c r="Q4266" s="120">
        <f t="shared" si="1289"/>
        <v>8240.9699999999993</v>
      </c>
      <c r="R4266" s="120">
        <f t="shared" si="1289"/>
        <v>0</v>
      </c>
      <c r="S4266" s="120">
        <f t="shared" si="1289"/>
        <v>24879.570000000003</v>
      </c>
      <c r="T4266" s="120">
        <f t="shared" si="1289"/>
        <v>265302.82999999996</v>
      </c>
      <c r="U4266" s="81"/>
    </row>
    <row r="4267" spans="1:22" s="26" customFormat="1" ht="24.6" x14ac:dyDescent="0.55000000000000004">
      <c r="A4267" s="27" t="s">
        <v>327</v>
      </c>
      <c r="B4267" s="28"/>
      <c r="C4267" s="27" t="str">
        <f>C4266</f>
        <v>"NAV Direct","CRONUS JetCorp USA","18","1","C100120"</v>
      </c>
      <c r="D4267" s="27"/>
      <c r="E4267" s="28" t="str">
        <f>E4266</f>
        <v>C100120</v>
      </c>
      <c r="F4267" s="28"/>
      <c r="G4267" s="28"/>
      <c r="H4267" s="28"/>
      <c r="I4267" s="121" t="str">
        <f>"Contact: Sonia Bitter"</f>
        <v>Contact: Sonia Bitter</v>
      </c>
      <c r="J4267" s="121"/>
      <c r="K4267" s="122"/>
      <c r="L4267" s="123"/>
      <c r="M4267" s="123"/>
      <c r="N4267" s="124"/>
      <c r="O4267" s="124"/>
      <c r="P4267" s="123"/>
      <c r="Q4267" s="125"/>
      <c r="R4267" s="126"/>
      <c r="S4267" s="126"/>
      <c r="T4267" s="125"/>
      <c r="U4267" s="81"/>
    </row>
    <row r="4268" spans="1:22" s="26" customFormat="1" ht="24.6" x14ac:dyDescent="0.55000000000000004">
      <c r="A4268" s="27" t="s">
        <v>327</v>
      </c>
      <c r="B4268" s="28"/>
      <c r="C4268" s="27" t="str">
        <f>C4267</f>
        <v>"NAV Direct","CRONUS JetCorp USA","18","1","C100120"</v>
      </c>
      <c r="D4268" s="27"/>
      <c r="E4268" s="28" t="str">
        <f>E4267</f>
        <v>C100120</v>
      </c>
      <c r="F4268" s="28"/>
      <c r="G4268" s="28"/>
      <c r="H4268" s="28"/>
      <c r="I4268" s="121" t="str">
        <f>"Tinfan@Cronus.com"</f>
        <v>Tinfan@Cronus.com</v>
      </c>
      <c r="J4268" s="121"/>
      <c r="K4268" s="122"/>
      <c r="L4268" s="124"/>
      <c r="M4268" s="124"/>
      <c r="N4268" s="124"/>
      <c r="O4268" s="124"/>
      <c r="P4268" s="123"/>
      <c r="Q4268" s="125"/>
      <c r="R4268" s="126"/>
      <c r="S4268" s="126"/>
      <c r="T4268" s="125"/>
      <c r="U4268" s="81"/>
    </row>
    <row r="4269" spans="1:22" ht="12.75" hidden="1" customHeight="1" outlineLevel="1" x14ac:dyDescent="0.45">
      <c r="A4269" s="12" t="s">
        <v>328</v>
      </c>
      <c r="B4269" s="19"/>
      <c r="E4269" s="19"/>
      <c r="F4269" s="19"/>
      <c r="G4269" s="19"/>
      <c r="H4269" s="19"/>
      <c r="I4269" s="61"/>
      <c r="J4269" s="61"/>
      <c r="K4269" s="61"/>
      <c r="L4269" s="61"/>
      <c r="M4269" s="61"/>
      <c r="N4269" s="61"/>
      <c r="O4269" s="61"/>
      <c r="P4269" s="61"/>
      <c r="Q4269" s="61"/>
      <c r="R4269" s="61"/>
      <c r="S4269" s="61"/>
      <c r="T4269" s="61"/>
      <c r="U4269" s="61"/>
      <c r="V4269" s="21"/>
    </row>
    <row r="4270" spans="1:22" s="30" customFormat="1" ht="24.6" hidden="1" outlineLevel="1" x14ac:dyDescent="0.55000000000000004">
      <c r="A4270" s="27" t="s">
        <v>327</v>
      </c>
      <c r="B4270" s="28"/>
      <c r="C4270" s="27"/>
      <c r="D4270" s="27" t="str">
        <f>"""NAV Direct"",""CRONUS JetCorp USA"",""21"",""1"",""178050"""</f>
        <v>"NAV Direct","CRONUS JetCorp USA","21","1","178050"</v>
      </c>
      <c r="E4270" s="31" t="str">
        <f t="shared" ref="E4270:E4301" si="1290">E4268</f>
        <v>C100120</v>
      </c>
      <c r="F4270" s="31"/>
      <c r="G4270" s="31"/>
      <c r="H4270" s="31"/>
      <c r="I4270" s="56"/>
      <c r="J4270" s="56"/>
      <c r="K4270" s="82" t="str">
        <f t="shared" ref="K4270:K4315" si="1291">"Invoice"</f>
        <v>Invoice</v>
      </c>
      <c r="L4270" s="83" t="str">
        <f>"SI_107809"</f>
        <v>SI_107809</v>
      </c>
      <c r="M4270" s="84">
        <v>42295</v>
      </c>
      <c r="N4270" s="85">
        <f t="shared" ref="N4270:N4301" si="1292">StartDate-$M4270+1</f>
        <v>1517</v>
      </c>
      <c r="O4270" s="86">
        <f t="shared" ref="O4270:O4301" si="1293">SUM(P4270:T4270)</f>
        <v>7089.77</v>
      </c>
      <c r="P4270" s="86">
        <f t="shared" ref="P4270:P4301" si="1294">IF($M4270&gt;=$P$18,U4270,0)</f>
        <v>0</v>
      </c>
      <c r="Q4270" s="86">
        <f t="shared" ref="Q4270:Q4301" si="1295">IF(AND($M4270&gt;=$Q$16,$M4270&lt;=$Q$18),U4270,0)</f>
        <v>0</v>
      </c>
      <c r="R4270" s="86">
        <f t="shared" ref="R4270:R4301" si="1296">IF(AND($M4270&gt;=$R$16,$M4270&lt;=$R$18),U4270,0)</f>
        <v>0</v>
      </c>
      <c r="S4270" s="86">
        <f t="shared" ref="S4270:S4301" si="1297">IF(AND($M4270&gt;=$S$16,$M4270&lt;=$S$18),U4270,0)</f>
        <v>0</v>
      </c>
      <c r="T4270" s="86">
        <f t="shared" ref="T4270:T4301" si="1298">IF($M4270&lt;=$T$18,U4270,0)</f>
        <v>7089.77</v>
      </c>
      <c r="U4270" s="87">
        <v>7089.77</v>
      </c>
    </row>
    <row r="4271" spans="1:22" s="30" customFormat="1" ht="24.6" hidden="1" outlineLevel="1" x14ac:dyDescent="0.55000000000000004">
      <c r="A4271" s="27" t="s">
        <v>327</v>
      </c>
      <c r="B4271" s="28"/>
      <c r="C4271" s="27"/>
      <c r="D4271" s="27" t="str">
        <f>"""NAV Direct"",""CRONUS JetCorp USA"",""21"",""1"",""178172"""</f>
        <v>"NAV Direct","CRONUS JetCorp USA","21","1","178172"</v>
      </c>
      <c r="E4271" s="31">
        <f t="shared" si="1290"/>
        <v>0</v>
      </c>
      <c r="F4271" s="31"/>
      <c r="G4271" s="31"/>
      <c r="H4271" s="31"/>
      <c r="I4271" s="56"/>
      <c r="J4271" s="56"/>
      <c r="K4271" s="82" t="str">
        <f t="shared" si="1291"/>
        <v>Invoice</v>
      </c>
      <c r="L4271" s="83" t="str">
        <f>"SI_107811"</f>
        <v>SI_107811</v>
      </c>
      <c r="M4271" s="84">
        <v>42297</v>
      </c>
      <c r="N4271" s="85">
        <f t="shared" si="1292"/>
        <v>1515</v>
      </c>
      <c r="O4271" s="86">
        <f t="shared" si="1293"/>
        <v>7089.9599999999991</v>
      </c>
      <c r="P4271" s="86">
        <f t="shared" si="1294"/>
        <v>0</v>
      </c>
      <c r="Q4271" s="86">
        <f t="shared" si="1295"/>
        <v>0</v>
      </c>
      <c r="R4271" s="86">
        <f t="shared" si="1296"/>
        <v>0</v>
      </c>
      <c r="S4271" s="86">
        <f t="shared" si="1297"/>
        <v>0</v>
      </c>
      <c r="T4271" s="86">
        <f t="shared" si="1298"/>
        <v>7089.9599999999991</v>
      </c>
      <c r="U4271" s="87">
        <v>7089.9599999999991</v>
      </c>
    </row>
    <row r="4272" spans="1:22" s="30" customFormat="1" ht="24.6" hidden="1" outlineLevel="1" x14ac:dyDescent="0.55000000000000004">
      <c r="A4272" s="27" t="s">
        <v>327</v>
      </c>
      <c r="B4272" s="28"/>
      <c r="C4272" s="27"/>
      <c r="D4272" s="27" t="str">
        <f>"""NAV Direct"",""CRONUS JetCorp USA"",""21"",""1"",""178294"""</f>
        <v>"NAV Direct","CRONUS JetCorp USA","21","1","178294"</v>
      </c>
      <c r="E4272" s="31" t="str">
        <f t="shared" si="1290"/>
        <v>C100120</v>
      </c>
      <c r="F4272" s="31"/>
      <c r="G4272" s="31"/>
      <c r="H4272" s="31"/>
      <c r="I4272" s="56"/>
      <c r="J4272" s="56"/>
      <c r="K4272" s="82" t="str">
        <f t="shared" si="1291"/>
        <v>Invoice</v>
      </c>
      <c r="L4272" s="83" t="str">
        <f>"SI_107813"</f>
        <v>SI_107813</v>
      </c>
      <c r="M4272" s="84">
        <v>42301</v>
      </c>
      <c r="N4272" s="85">
        <f t="shared" si="1292"/>
        <v>1511</v>
      </c>
      <c r="O4272" s="86">
        <f t="shared" si="1293"/>
        <v>7015.19</v>
      </c>
      <c r="P4272" s="86">
        <f t="shared" si="1294"/>
        <v>0</v>
      </c>
      <c r="Q4272" s="86">
        <f t="shared" si="1295"/>
        <v>0</v>
      </c>
      <c r="R4272" s="86">
        <f t="shared" si="1296"/>
        <v>0</v>
      </c>
      <c r="S4272" s="86">
        <f t="shared" si="1297"/>
        <v>0</v>
      </c>
      <c r="T4272" s="86">
        <f t="shared" si="1298"/>
        <v>7015.19</v>
      </c>
      <c r="U4272" s="87">
        <v>7015.19</v>
      </c>
    </row>
    <row r="4273" spans="1:21" s="30" customFormat="1" ht="24.6" hidden="1" outlineLevel="1" x14ac:dyDescent="0.55000000000000004">
      <c r="A4273" s="27" t="s">
        <v>327</v>
      </c>
      <c r="B4273" s="28"/>
      <c r="C4273" s="27"/>
      <c r="D4273" s="27" t="str">
        <f>"""NAV Direct"",""CRONUS JetCorp USA"",""21"",""1"",""178471"""</f>
        <v>"NAV Direct","CRONUS JetCorp USA","21","1","178471"</v>
      </c>
      <c r="E4273" s="31">
        <f t="shared" si="1290"/>
        <v>0</v>
      </c>
      <c r="F4273" s="31"/>
      <c r="G4273" s="31"/>
      <c r="H4273" s="31"/>
      <c r="I4273" s="56"/>
      <c r="J4273" s="56"/>
      <c r="K4273" s="82" t="str">
        <f t="shared" si="1291"/>
        <v>Invoice</v>
      </c>
      <c r="L4273" s="83" t="str">
        <f>"SI_107816"</f>
        <v>SI_107816</v>
      </c>
      <c r="M4273" s="84">
        <v>42306</v>
      </c>
      <c r="N4273" s="85">
        <f t="shared" si="1292"/>
        <v>1506</v>
      </c>
      <c r="O4273" s="86">
        <f t="shared" si="1293"/>
        <v>7313.6599999999989</v>
      </c>
      <c r="P4273" s="86">
        <f t="shared" si="1294"/>
        <v>0</v>
      </c>
      <c r="Q4273" s="86">
        <f t="shared" si="1295"/>
        <v>0</v>
      </c>
      <c r="R4273" s="86">
        <f t="shared" si="1296"/>
        <v>0</v>
      </c>
      <c r="S4273" s="86">
        <f t="shared" si="1297"/>
        <v>0</v>
      </c>
      <c r="T4273" s="86">
        <f t="shared" si="1298"/>
        <v>7313.6599999999989</v>
      </c>
      <c r="U4273" s="87">
        <v>7313.6599999999989</v>
      </c>
    </row>
    <row r="4274" spans="1:21" s="30" customFormat="1" ht="24.6" hidden="1" outlineLevel="1" x14ac:dyDescent="0.55000000000000004">
      <c r="A4274" s="27" t="s">
        <v>327</v>
      </c>
      <c r="B4274" s="28"/>
      <c r="C4274" s="27"/>
      <c r="D4274" s="27" t="str">
        <f>"""NAV Direct"",""CRONUS JetCorp USA"",""21"",""1"",""178896"""</f>
        <v>"NAV Direct","CRONUS JetCorp USA","21","1","178896"</v>
      </c>
      <c r="E4274" s="31" t="str">
        <f t="shared" si="1290"/>
        <v>C100120</v>
      </c>
      <c r="F4274" s="31"/>
      <c r="G4274" s="31"/>
      <c r="H4274" s="31"/>
      <c r="I4274" s="56"/>
      <c r="J4274" s="56"/>
      <c r="K4274" s="82" t="str">
        <f t="shared" si="1291"/>
        <v>Invoice</v>
      </c>
      <c r="L4274" s="83" t="str">
        <f>"SI_107823"</f>
        <v>SI_107823</v>
      </c>
      <c r="M4274" s="84">
        <v>42334</v>
      </c>
      <c r="N4274" s="85">
        <f t="shared" si="1292"/>
        <v>1478</v>
      </c>
      <c r="O4274" s="86">
        <f t="shared" si="1293"/>
        <v>8082.48</v>
      </c>
      <c r="P4274" s="86">
        <f t="shared" si="1294"/>
        <v>0</v>
      </c>
      <c r="Q4274" s="86">
        <f t="shared" si="1295"/>
        <v>0</v>
      </c>
      <c r="R4274" s="86">
        <f t="shared" si="1296"/>
        <v>0</v>
      </c>
      <c r="S4274" s="86">
        <f t="shared" si="1297"/>
        <v>0</v>
      </c>
      <c r="T4274" s="86">
        <f t="shared" si="1298"/>
        <v>8082.48</v>
      </c>
      <c r="U4274" s="87">
        <v>8082.48</v>
      </c>
    </row>
    <row r="4275" spans="1:21" s="30" customFormat="1" ht="24.6" hidden="1" outlineLevel="1" x14ac:dyDescent="0.55000000000000004">
      <c r="A4275" s="27" t="s">
        <v>327</v>
      </c>
      <c r="B4275" s="28"/>
      <c r="C4275" s="27"/>
      <c r="D4275" s="27" t="str">
        <f>"""NAV Direct"",""CRONUS JetCorp USA"",""21"",""1"",""179014"""</f>
        <v>"NAV Direct","CRONUS JetCorp USA","21","1","179014"</v>
      </c>
      <c r="E4275" s="31">
        <f t="shared" si="1290"/>
        <v>0</v>
      </c>
      <c r="F4275" s="31"/>
      <c r="G4275" s="31"/>
      <c r="H4275" s="31"/>
      <c r="I4275" s="56"/>
      <c r="J4275" s="56"/>
      <c r="K4275" s="82" t="str">
        <f t="shared" si="1291"/>
        <v>Invoice</v>
      </c>
      <c r="L4275" s="83" t="str">
        <f>"SI_107825"</f>
        <v>SI_107825</v>
      </c>
      <c r="M4275" s="84">
        <v>42337</v>
      </c>
      <c r="N4275" s="85">
        <f t="shared" si="1292"/>
        <v>1475</v>
      </c>
      <c r="O4275" s="86">
        <f t="shared" si="1293"/>
        <v>8337.76</v>
      </c>
      <c r="P4275" s="86">
        <f t="shared" si="1294"/>
        <v>0</v>
      </c>
      <c r="Q4275" s="86">
        <f t="shared" si="1295"/>
        <v>0</v>
      </c>
      <c r="R4275" s="86">
        <f t="shared" si="1296"/>
        <v>0</v>
      </c>
      <c r="S4275" s="86">
        <f t="shared" si="1297"/>
        <v>0</v>
      </c>
      <c r="T4275" s="86">
        <f t="shared" si="1298"/>
        <v>8337.76</v>
      </c>
      <c r="U4275" s="87">
        <v>8337.76</v>
      </c>
    </row>
    <row r="4276" spans="1:21" s="30" customFormat="1" ht="24.6" hidden="1" outlineLevel="1" x14ac:dyDescent="0.55000000000000004">
      <c r="A4276" s="27" t="s">
        <v>327</v>
      </c>
      <c r="B4276" s="28"/>
      <c r="C4276" s="27"/>
      <c r="D4276" s="27" t="str">
        <f>"""NAV Direct"",""CRONUS JetCorp USA"",""21"",""1"",""179077"""</f>
        <v>"NAV Direct","CRONUS JetCorp USA","21","1","179077"</v>
      </c>
      <c r="E4276" s="31" t="str">
        <f t="shared" si="1290"/>
        <v>C100120</v>
      </c>
      <c r="F4276" s="31"/>
      <c r="G4276" s="31"/>
      <c r="H4276" s="31"/>
      <c r="I4276" s="56"/>
      <c r="J4276" s="56"/>
      <c r="K4276" s="82" t="str">
        <f t="shared" si="1291"/>
        <v>Invoice</v>
      </c>
      <c r="L4276" s="83" t="str">
        <f>"SI_107826"</f>
        <v>SI_107826</v>
      </c>
      <c r="M4276" s="84">
        <v>42337</v>
      </c>
      <c r="N4276" s="85">
        <f t="shared" si="1292"/>
        <v>1475</v>
      </c>
      <c r="O4276" s="86">
        <f t="shared" si="1293"/>
        <v>7827.2599999999993</v>
      </c>
      <c r="P4276" s="86">
        <f t="shared" si="1294"/>
        <v>0</v>
      </c>
      <c r="Q4276" s="86">
        <f t="shared" si="1295"/>
        <v>0</v>
      </c>
      <c r="R4276" s="86">
        <f t="shared" si="1296"/>
        <v>0</v>
      </c>
      <c r="S4276" s="86">
        <f t="shared" si="1297"/>
        <v>0</v>
      </c>
      <c r="T4276" s="86">
        <f t="shared" si="1298"/>
        <v>7827.2599999999993</v>
      </c>
      <c r="U4276" s="87">
        <v>7827.2599999999993</v>
      </c>
    </row>
    <row r="4277" spans="1:21" s="30" customFormat="1" ht="24.6" hidden="1" outlineLevel="1" x14ac:dyDescent="0.55000000000000004">
      <c r="A4277" s="27" t="s">
        <v>327</v>
      </c>
      <c r="B4277" s="28"/>
      <c r="C4277" s="27"/>
      <c r="D4277" s="27" t="str">
        <f>"""NAV Direct"",""CRONUS JetCorp USA"",""21"",""1"",""414616"""</f>
        <v>"NAV Direct","CRONUS JetCorp USA","21","1","414616"</v>
      </c>
      <c r="E4277" s="31">
        <f t="shared" si="1290"/>
        <v>0</v>
      </c>
      <c r="F4277" s="31"/>
      <c r="G4277" s="31"/>
      <c r="H4277" s="31"/>
      <c r="I4277" s="56"/>
      <c r="J4277" s="56"/>
      <c r="K4277" s="82" t="str">
        <f t="shared" si="1291"/>
        <v>Invoice</v>
      </c>
      <c r="L4277" s="83" t="str">
        <f>"SI_112535"</f>
        <v>SI_112535</v>
      </c>
      <c r="M4277" s="84">
        <v>42397</v>
      </c>
      <c r="N4277" s="85">
        <f t="shared" si="1292"/>
        <v>1415</v>
      </c>
      <c r="O4277" s="86">
        <f t="shared" si="1293"/>
        <v>4899.95</v>
      </c>
      <c r="P4277" s="86">
        <f t="shared" si="1294"/>
        <v>0</v>
      </c>
      <c r="Q4277" s="86">
        <f t="shared" si="1295"/>
        <v>0</v>
      </c>
      <c r="R4277" s="86">
        <f t="shared" si="1296"/>
        <v>0</v>
      </c>
      <c r="S4277" s="86">
        <f t="shared" si="1297"/>
        <v>0</v>
      </c>
      <c r="T4277" s="86">
        <f t="shared" si="1298"/>
        <v>4899.95</v>
      </c>
      <c r="U4277" s="87">
        <v>4899.95</v>
      </c>
    </row>
    <row r="4278" spans="1:21" s="30" customFormat="1" ht="24.6" hidden="1" outlineLevel="1" x14ac:dyDescent="0.55000000000000004">
      <c r="A4278" s="27" t="s">
        <v>327</v>
      </c>
      <c r="B4278" s="28"/>
      <c r="C4278" s="27"/>
      <c r="D4278" s="27" t="str">
        <f>"""NAV Direct"",""CRONUS JetCorp USA"",""21"",""1"",""414688"""</f>
        <v>"NAV Direct","CRONUS JetCorp USA","21","1","414688"</v>
      </c>
      <c r="E4278" s="31" t="str">
        <f t="shared" si="1290"/>
        <v>C100120</v>
      </c>
      <c r="F4278" s="31"/>
      <c r="G4278" s="31"/>
      <c r="H4278" s="31"/>
      <c r="I4278" s="56"/>
      <c r="J4278" s="56"/>
      <c r="K4278" s="82" t="str">
        <f t="shared" si="1291"/>
        <v>Invoice</v>
      </c>
      <c r="L4278" s="83" t="str">
        <f>"SI_112537"</f>
        <v>SI_112537</v>
      </c>
      <c r="M4278" s="84">
        <v>42432</v>
      </c>
      <c r="N4278" s="85">
        <f t="shared" si="1292"/>
        <v>1380</v>
      </c>
      <c r="O4278" s="86">
        <f t="shared" si="1293"/>
        <v>4987.95</v>
      </c>
      <c r="P4278" s="86">
        <f t="shared" si="1294"/>
        <v>0</v>
      </c>
      <c r="Q4278" s="86">
        <f t="shared" si="1295"/>
        <v>0</v>
      </c>
      <c r="R4278" s="86">
        <f t="shared" si="1296"/>
        <v>0</v>
      </c>
      <c r="S4278" s="86">
        <f t="shared" si="1297"/>
        <v>0</v>
      </c>
      <c r="T4278" s="86">
        <f t="shared" si="1298"/>
        <v>4987.95</v>
      </c>
      <c r="U4278" s="87">
        <v>4987.95</v>
      </c>
    </row>
    <row r="4279" spans="1:21" s="30" customFormat="1" ht="24.6" hidden="1" outlineLevel="1" x14ac:dyDescent="0.55000000000000004">
      <c r="A4279" s="27" t="s">
        <v>327</v>
      </c>
      <c r="B4279" s="28"/>
      <c r="C4279" s="27"/>
      <c r="D4279" s="27" t="str">
        <f>"""NAV Direct"",""CRONUS JetCorp USA"",""21"",""1"",""414732"""</f>
        <v>"NAV Direct","CRONUS JetCorp USA","21","1","414732"</v>
      </c>
      <c r="E4279" s="31">
        <f t="shared" si="1290"/>
        <v>0</v>
      </c>
      <c r="F4279" s="31"/>
      <c r="G4279" s="31"/>
      <c r="H4279" s="31"/>
      <c r="I4279" s="56"/>
      <c r="J4279" s="56"/>
      <c r="K4279" s="82" t="str">
        <f t="shared" si="1291"/>
        <v>Invoice</v>
      </c>
      <c r="L4279" s="83" t="str">
        <f>"SI_112538"</f>
        <v>SI_112538</v>
      </c>
      <c r="M4279" s="84">
        <v>42435</v>
      </c>
      <c r="N4279" s="85">
        <f t="shared" si="1292"/>
        <v>1377</v>
      </c>
      <c r="O4279" s="86">
        <f t="shared" si="1293"/>
        <v>4987.9699999999993</v>
      </c>
      <c r="P4279" s="86">
        <f t="shared" si="1294"/>
        <v>0</v>
      </c>
      <c r="Q4279" s="86">
        <f t="shared" si="1295"/>
        <v>0</v>
      </c>
      <c r="R4279" s="86">
        <f t="shared" si="1296"/>
        <v>0</v>
      </c>
      <c r="S4279" s="86">
        <f t="shared" si="1297"/>
        <v>0</v>
      </c>
      <c r="T4279" s="86">
        <f t="shared" si="1298"/>
        <v>4987.9699999999993</v>
      </c>
      <c r="U4279" s="87">
        <v>4987.9699999999993</v>
      </c>
    </row>
    <row r="4280" spans="1:21" s="30" customFormat="1" ht="24.6" hidden="1" outlineLevel="1" x14ac:dyDescent="0.55000000000000004">
      <c r="A4280" s="27" t="s">
        <v>327</v>
      </c>
      <c r="B4280" s="28"/>
      <c r="C4280" s="27"/>
      <c r="D4280" s="27" t="str">
        <f>"""NAV Direct"",""CRONUS JetCorp USA"",""21"",""1"",""415428"""</f>
        <v>"NAV Direct","CRONUS JetCorp USA","21","1","415428"</v>
      </c>
      <c r="E4280" s="31" t="str">
        <f t="shared" si="1290"/>
        <v>C100120</v>
      </c>
      <c r="F4280" s="31"/>
      <c r="G4280" s="31"/>
      <c r="H4280" s="31"/>
      <c r="I4280" s="56"/>
      <c r="J4280" s="56"/>
      <c r="K4280" s="82" t="str">
        <f t="shared" si="1291"/>
        <v>Invoice</v>
      </c>
      <c r="L4280" s="83" t="str">
        <f>"SI_112556"</f>
        <v>SI_112556</v>
      </c>
      <c r="M4280" s="84">
        <v>42537</v>
      </c>
      <c r="N4280" s="85">
        <f t="shared" si="1292"/>
        <v>1275</v>
      </c>
      <c r="O4280" s="86">
        <f t="shared" si="1293"/>
        <v>6432.67</v>
      </c>
      <c r="P4280" s="86">
        <f t="shared" si="1294"/>
        <v>0</v>
      </c>
      <c r="Q4280" s="86">
        <f t="shared" si="1295"/>
        <v>0</v>
      </c>
      <c r="R4280" s="86">
        <f t="shared" si="1296"/>
        <v>0</v>
      </c>
      <c r="S4280" s="86">
        <f t="shared" si="1297"/>
        <v>0</v>
      </c>
      <c r="T4280" s="86">
        <f t="shared" si="1298"/>
        <v>6432.67</v>
      </c>
      <c r="U4280" s="87">
        <v>6432.67</v>
      </c>
    </row>
    <row r="4281" spans="1:21" s="30" customFormat="1" ht="24.6" hidden="1" outlineLevel="1" x14ac:dyDescent="0.55000000000000004">
      <c r="A4281" s="27" t="s">
        <v>327</v>
      </c>
      <c r="B4281" s="28"/>
      <c r="C4281" s="27"/>
      <c r="D4281" s="27" t="str">
        <f>"""NAV Direct"",""CRONUS JetCorp USA"",""21"",""1"",""415565"""</f>
        <v>"NAV Direct","CRONUS JetCorp USA","21","1","415565"</v>
      </c>
      <c r="E4281" s="31">
        <f t="shared" si="1290"/>
        <v>0</v>
      </c>
      <c r="F4281" s="31"/>
      <c r="G4281" s="31"/>
      <c r="H4281" s="31"/>
      <c r="I4281" s="56"/>
      <c r="J4281" s="56"/>
      <c r="K4281" s="82" t="str">
        <f t="shared" si="1291"/>
        <v>Invoice</v>
      </c>
      <c r="L4281" s="83" t="str">
        <f>"SI_112559"</f>
        <v>SI_112559</v>
      </c>
      <c r="M4281" s="84">
        <v>42570</v>
      </c>
      <c r="N4281" s="85">
        <f t="shared" si="1292"/>
        <v>1242</v>
      </c>
      <c r="O4281" s="86">
        <f t="shared" si="1293"/>
        <v>6432.6399999999994</v>
      </c>
      <c r="P4281" s="86">
        <f t="shared" si="1294"/>
        <v>0</v>
      </c>
      <c r="Q4281" s="86">
        <f t="shared" si="1295"/>
        <v>0</v>
      </c>
      <c r="R4281" s="86">
        <f t="shared" si="1296"/>
        <v>0</v>
      </c>
      <c r="S4281" s="86">
        <f t="shared" si="1297"/>
        <v>0</v>
      </c>
      <c r="T4281" s="86">
        <f t="shared" si="1298"/>
        <v>6432.6399999999994</v>
      </c>
      <c r="U4281" s="87">
        <v>6432.6399999999994</v>
      </c>
    </row>
    <row r="4282" spans="1:21" s="30" customFormat="1" ht="24.6" hidden="1" outlineLevel="1" x14ac:dyDescent="0.55000000000000004">
      <c r="A4282" s="27" t="s">
        <v>327</v>
      </c>
      <c r="B4282" s="28"/>
      <c r="C4282" s="27"/>
      <c r="D4282" s="27" t="str">
        <f>"""NAV Direct"",""CRONUS JetCorp USA"",""21"",""1"",""415657"""</f>
        <v>"NAV Direct","CRONUS JetCorp USA","21","1","415657"</v>
      </c>
      <c r="E4282" s="31" t="str">
        <f t="shared" si="1290"/>
        <v>C100120</v>
      </c>
      <c r="F4282" s="31"/>
      <c r="G4282" s="31"/>
      <c r="H4282" s="31"/>
      <c r="I4282" s="56"/>
      <c r="J4282" s="56"/>
      <c r="K4282" s="82" t="str">
        <f t="shared" si="1291"/>
        <v>Invoice</v>
      </c>
      <c r="L4282" s="83" t="str">
        <f>"SI_112561"</f>
        <v>SI_112561</v>
      </c>
      <c r="M4282" s="84">
        <v>42577</v>
      </c>
      <c r="N4282" s="85">
        <f t="shared" si="1292"/>
        <v>1235</v>
      </c>
      <c r="O4282" s="86">
        <f t="shared" si="1293"/>
        <v>6426.25</v>
      </c>
      <c r="P4282" s="86">
        <f t="shared" si="1294"/>
        <v>0</v>
      </c>
      <c r="Q4282" s="86">
        <f t="shared" si="1295"/>
        <v>0</v>
      </c>
      <c r="R4282" s="86">
        <f t="shared" si="1296"/>
        <v>0</v>
      </c>
      <c r="S4282" s="86">
        <f t="shared" si="1297"/>
        <v>0</v>
      </c>
      <c r="T4282" s="86">
        <f t="shared" si="1298"/>
        <v>6426.25</v>
      </c>
      <c r="U4282" s="87">
        <v>6426.25</v>
      </c>
    </row>
    <row r="4283" spans="1:21" s="30" customFormat="1" ht="24.6" hidden="1" outlineLevel="1" x14ac:dyDescent="0.55000000000000004">
      <c r="A4283" s="27" t="s">
        <v>327</v>
      </c>
      <c r="B4283" s="28"/>
      <c r="C4283" s="27"/>
      <c r="D4283" s="27" t="str">
        <f>"""NAV Direct"",""CRONUS JetCorp USA"",""21"",""1"",""415900"""</f>
        <v>"NAV Direct","CRONUS JetCorp USA","21","1","415900"</v>
      </c>
      <c r="E4283" s="31">
        <f t="shared" si="1290"/>
        <v>0</v>
      </c>
      <c r="F4283" s="31"/>
      <c r="G4283" s="31"/>
      <c r="H4283" s="31"/>
      <c r="I4283" s="56"/>
      <c r="J4283" s="56"/>
      <c r="K4283" s="82" t="str">
        <f t="shared" si="1291"/>
        <v>Invoice</v>
      </c>
      <c r="L4283" s="83" t="str">
        <f>"SI_112566"</f>
        <v>SI_112566</v>
      </c>
      <c r="M4283" s="84">
        <v>42604</v>
      </c>
      <c r="N4283" s="85">
        <f t="shared" si="1292"/>
        <v>1208</v>
      </c>
      <c r="O4283" s="86">
        <f t="shared" si="1293"/>
        <v>6541.84</v>
      </c>
      <c r="P4283" s="86">
        <f t="shared" si="1294"/>
        <v>0</v>
      </c>
      <c r="Q4283" s="86">
        <f t="shared" si="1295"/>
        <v>0</v>
      </c>
      <c r="R4283" s="86">
        <f t="shared" si="1296"/>
        <v>0</v>
      </c>
      <c r="S4283" s="86">
        <f t="shared" si="1297"/>
        <v>0</v>
      </c>
      <c r="T4283" s="86">
        <f t="shared" si="1298"/>
        <v>6541.84</v>
      </c>
      <c r="U4283" s="87">
        <v>6541.84</v>
      </c>
    </row>
    <row r="4284" spans="1:21" s="30" customFormat="1" ht="24.6" hidden="1" outlineLevel="1" x14ac:dyDescent="0.55000000000000004">
      <c r="A4284" s="27" t="s">
        <v>327</v>
      </c>
      <c r="B4284" s="28"/>
      <c r="C4284" s="27"/>
      <c r="D4284" s="27" t="str">
        <f>"""NAV Direct"",""CRONUS JetCorp USA"",""21"",""1"",""416769"""</f>
        <v>"NAV Direct","CRONUS JetCorp USA","21","1","416769"</v>
      </c>
      <c r="E4284" s="31" t="str">
        <f t="shared" si="1290"/>
        <v>C100120</v>
      </c>
      <c r="F4284" s="31"/>
      <c r="G4284" s="31"/>
      <c r="H4284" s="31"/>
      <c r="I4284" s="56"/>
      <c r="J4284" s="56"/>
      <c r="K4284" s="82" t="str">
        <f t="shared" si="1291"/>
        <v>Invoice</v>
      </c>
      <c r="L4284" s="83" t="str">
        <f>"SI_112586"</f>
        <v>SI_112586</v>
      </c>
      <c r="M4284" s="84">
        <v>42713</v>
      </c>
      <c r="N4284" s="85">
        <f t="shared" si="1292"/>
        <v>1099</v>
      </c>
      <c r="O4284" s="86">
        <f t="shared" si="1293"/>
        <v>6798.55</v>
      </c>
      <c r="P4284" s="86">
        <f t="shared" si="1294"/>
        <v>0</v>
      </c>
      <c r="Q4284" s="86">
        <f t="shared" si="1295"/>
        <v>0</v>
      </c>
      <c r="R4284" s="86">
        <f t="shared" si="1296"/>
        <v>0</v>
      </c>
      <c r="S4284" s="86">
        <f t="shared" si="1297"/>
        <v>0</v>
      </c>
      <c r="T4284" s="86">
        <f t="shared" si="1298"/>
        <v>6798.55</v>
      </c>
      <c r="U4284" s="87">
        <v>6798.55</v>
      </c>
    </row>
    <row r="4285" spans="1:21" s="30" customFormat="1" ht="24.6" hidden="1" outlineLevel="1" x14ac:dyDescent="0.55000000000000004">
      <c r="A4285" s="27" t="s">
        <v>327</v>
      </c>
      <c r="B4285" s="28"/>
      <c r="C4285" s="27"/>
      <c r="D4285" s="27" t="str">
        <f>"""NAV Direct"",""CRONUS JetCorp USA"",""21"",""1"",""416843"""</f>
        <v>"NAV Direct","CRONUS JetCorp USA","21","1","416843"</v>
      </c>
      <c r="E4285" s="31">
        <f t="shared" si="1290"/>
        <v>0</v>
      </c>
      <c r="F4285" s="31"/>
      <c r="G4285" s="31"/>
      <c r="H4285" s="31"/>
      <c r="I4285" s="56"/>
      <c r="J4285" s="56"/>
      <c r="K4285" s="82" t="str">
        <f t="shared" si="1291"/>
        <v>Invoice</v>
      </c>
      <c r="L4285" s="83" t="str">
        <f>"SI_112588"</f>
        <v>SI_112588</v>
      </c>
      <c r="M4285" s="84">
        <v>42730</v>
      </c>
      <c r="N4285" s="85">
        <f t="shared" si="1292"/>
        <v>1082</v>
      </c>
      <c r="O4285" s="86">
        <f t="shared" si="1293"/>
        <v>6805.3399999999992</v>
      </c>
      <c r="P4285" s="86">
        <f t="shared" si="1294"/>
        <v>0</v>
      </c>
      <c r="Q4285" s="86">
        <f t="shared" si="1295"/>
        <v>0</v>
      </c>
      <c r="R4285" s="86">
        <f t="shared" si="1296"/>
        <v>0</v>
      </c>
      <c r="S4285" s="86">
        <f t="shared" si="1297"/>
        <v>0</v>
      </c>
      <c r="T4285" s="86">
        <f t="shared" si="1298"/>
        <v>6805.3399999999992</v>
      </c>
      <c r="U4285" s="87">
        <v>6805.3399999999992</v>
      </c>
    </row>
    <row r="4286" spans="1:21" s="30" customFormat="1" ht="24.6" hidden="1" outlineLevel="1" x14ac:dyDescent="0.55000000000000004">
      <c r="A4286" s="27" t="s">
        <v>327</v>
      </c>
      <c r="B4286" s="28"/>
      <c r="C4286" s="27"/>
      <c r="D4286" s="27" t="str">
        <f>"""NAV Direct"",""CRONUS JetCorp USA"",""21"",""1"",""417357"""</f>
        <v>"NAV Direct","CRONUS JetCorp USA","21","1","417357"</v>
      </c>
      <c r="E4286" s="31" t="str">
        <f t="shared" si="1290"/>
        <v>C100120</v>
      </c>
      <c r="F4286" s="31"/>
      <c r="G4286" s="31"/>
      <c r="H4286" s="31"/>
      <c r="I4286" s="56"/>
      <c r="J4286" s="56"/>
      <c r="K4286" s="82" t="str">
        <f t="shared" si="1291"/>
        <v>Invoice</v>
      </c>
      <c r="L4286" s="83" t="str">
        <f>"SI_112601"</f>
        <v>SI_112601</v>
      </c>
      <c r="M4286" s="84">
        <v>42792</v>
      </c>
      <c r="N4286" s="85">
        <f t="shared" si="1292"/>
        <v>1020</v>
      </c>
      <c r="O4286" s="86">
        <f t="shared" si="1293"/>
        <v>7575.67</v>
      </c>
      <c r="P4286" s="86">
        <f t="shared" si="1294"/>
        <v>0</v>
      </c>
      <c r="Q4286" s="86">
        <f t="shared" si="1295"/>
        <v>0</v>
      </c>
      <c r="R4286" s="86">
        <f t="shared" si="1296"/>
        <v>0</v>
      </c>
      <c r="S4286" s="86">
        <f t="shared" si="1297"/>
        <v>0</v>
      </c>
      <c r="T4286" s="86">
        <f t="shared" si="1298"/>
        <v>7575.67</v>
      </c>
      <c r="U4286" s="87">
        <v>7575.67</v>
      </c>
    </row>
    <row r="4287" spans="1:21" s="30" customFormat="1" ht="24.6" hidden="1" outlineLevel="1" x14ac:dyDescent="0.55000000000000004">
      <c r="A4287" s="27" t="s">
        <v>327</v>
      </c>
      <c r="B4287" s="28"/>
      <c r="C4287" s="27"/>
      <c r="D4287" s="27" t="str">
        <f>"""NAV Direct"",""CRONUS JetCorp USA"",""21"",""1"",""418528"""</f>
        <v>"NAV Direct","CRONUS JetCorp USA","21","1","418528"</v>
      </c>
      <c r="E4287" s="31">
        <f t="shared" si="1290"/>
        <v>0</v>
      </c>
      <c r="F4287" s="31"/>
      <c r="G4287" s="31"/>
      <c r="H4287" s="31"/>
      <c r="I4287" s="56"/>
      <c r="J4287" s="56"/>
      <c r="K4287" s="82" t="str">
        <f t="shared" si="1291"/>
        <v>Invoice</v>
      </c>
      <c r="L4287" s="83" t="str">
        <f>"SI_112627"</f>
        <v>SI_112627</v>
      </c>
      <c r="M4287" s="84">
        <v>42948</v>
      </c>
      <c r="N4287" s="85">
        <f t="shared" si="1292"/>
        <v>864</v>
      </c>
      <c r="O4287" s="86">
        <f t="shared" si="1293"/>
        <v>6461.4900000000007</v>
      </c>
      <c r="P4287" s="86">
        <f t="shared" si="1294"/>
        <v>0</v>
      </c>
      <c r="Q4287" s="86">
        <f t="shared" si="1295"/>
        <v>0</v>
      </c>
      <c r="R4287" s="86">
        <f t="shared" si="1296"/>
        <v>0</v>
      </c>
      <c r="S4287" s="86">
        <f t="shared" si="1297"/>
        <v>0</v>
      </c>
      <c r="T4287" s="86">
        <f t="shared" si="1298"/>
        <v>6461.4900000000007</v>
      </c>
      <c r="U4287" s="87">
        <v>6461.4900000000007</v>
      </c>
    </row>
    <row r="4288" spans="1:21" s="30" customFormat="1" ht="24.6" hidden="1" outlineLevel="1" x14ac:dyDescent="0.55000000000000004">
      <c r="A4288" s="27" t="s">
        <v>327</v>
      </c>
      <c r="B4288" s="28"/>
      <c r="C4288" s="27"/>
      <c r="D4288" s="27" t="str">
        <f>"""NAV Direct"",""CRONUS JetCorp USA"",""21"",""1"",""418708"""</f>
        <v>"NAV Direct","CRONUS JetCorp USA","21","1","418708"</v>
      </c>
      <c r="E4288" s="31" t="str">
        <f t="shared" si="1290"/>
        <v>C100120</v>
      </c>
      <c r="F4288" s="31"/>
      <c r="G4288" s="31"/>
      <c r="H4288" s="31"/>
      <c r="I4288" s="56"/>
      <c r="J4288" s="56"/>
      <c r="K4288" s="82" t="str">
        <f t="shared" si="1291"/>
        <v>Invoice</v>
      </c>
      <c r="L4288" s="83" t="str">
        <f>"SI_112631"</f>
        <v>SI_112631</v>
      </c>
      <c r="M4288" s="84">
        <v>42961</v>
      </c>
      <c r="N4288" s="85">
        <f t="shared" si="1292"/>
        <v>851</v>
      </c>
      <c r="O4288" s="86">
        <f t="shared" si="1293"/>
        <v>5860.63</v>
      </c>
      <c r="P4288" s="86">
        <f t="shared" si="1294"/>
        <v>0</v>
      </c>
      <c r="Q4288" s="86">
        <f t="shared" si="1295"/>
        <v>0</v>
      </c>
      <c r="R4288" s="86">
        <f t="shared" si="1296"/>
        <v>0</v>
      </c>
      <c r="S4288" s="86">
        <f t="shared" si="1297"/>
        <v>0</v>
      </c>
      <c r="T4288" s="86">
        <f t="shared" si="1298"/>
        <v>5860.63</v>
      </c>
      <c r="U4288" s="87">
        <v>5860.63</v>
      </c>
    </row>
    <row r="4289" spans="1:21" s="30" customFormat="1" ht="24.6" hidden="1" outlineLevel="1" x14ac:dyDescent="0.55000000000000004">
      <c r="A4289" s="27" t="s">
        <v>327</v>
      </c>
      <c r="B4289" s="28"/>
      <c r="C4289" s="27"/>
      <c r="D4289" s="27" t="str">
        <f>"""NAV Direct"",""CRONUS JetCorp USA"",""21"",""1"",""418821"""</f>
        <v>"NAV Direct","CRONUS JetCorp USA","21","1","418821"</v>
      </c>
      <c r="E4289" s="31">
        <f t="shared" si="1290"/>
        <v>0</v>
      </c>
      <c r="F4289" s="31"/>
      <c r="G4289" s="31"/>
      <c r="H4289" s="31"/>
      <c r="I4289" s="56"/>
      <c r="J4289" s="56"/>
      <c r="K4289" s="82" t="str">
        <f t="shared" si="1291"/>
        <v>Invoice</v>
      </c>
      <c r="L4289" s="83" t="str">
        <f>"SI_112634"</f>
        <v>SI_112634</v>
      </c>
      <c r="M4289" s="84">
        <v>42981</v>
      </c>
      <c r="N4289" s="85">
        <f t="shared" si="1292"/>
        <v>831</v>
      </c>
      <c r="O4289" s="86">
        <f t="shared" si="1293"/>
        <v>5860.6500000000005</v>
      </c>
      <c r="P4289" s="86">
        <f t="shared" si="1294"/>
        <v>0</v>
      </c>
      <c r="Q4289" s="86">
        <f t="shared" si="1295"/>
        <v>0</v>
      </c>
      <c r="R4289" s="86">
        <f t="shared" si="1296"/>
        <v>0</v>
      </c>
      <c r="S4289" s="86">
        <f t="shared" si="1297"/>
        <v>0</v>
      </c>
      <c r="T4289" s="86">
        <f t="shared" si="1298"/>
        <v>5860.6500000000005</v>
      </c>
      <c r="U4289" s="87">
        <v>5860.6500000000005</v>
      </c>
    </row>
    <row r="4290" spans="1:21" s="30" customFormat="1" ht="24.6" hidden="1" outlineLevel="1" x14ac:dyDescent="0.55000000000000004">
      <c r="A4290" s="27" t="s">
        <v>327</v>
      </c>
      <c r="B4290" s="28"/>
      <c r="C4290" s="27"/>
      <c r="D4290" s="27" t="str">
        <f>"""NAV Direct"",""CRONUS JetCorp USA"",""21"",""1"",""419057"""</f>
        <v>"NAV Direct","CRONUS JetCorp USA","21","1","419057"</v>
      </c>
      <c r="E4290" s="31" t="str">
        <f t="shared" si="1290"/>
        <v>C100120</v>
      </c>
      <c r="F4290" s="31"/>
      <c r="G4290" s="31"/>
      <c r="H4290" s="31"/>
      <c r="I4290" s="56"/>
      <c r="J4290" s="56"/>
      <c r="K4290" s="82" t="str">
        <f t="shared" si="1291"/>
        <v>Invoice</v>
      </c>
      <c r="L4290" s="83" t="str">
        <f>"SI_112640"</f>
        <v>SI_112640</v>
      </c>
      <c r="M4290" s="84">
        <v>43006</v>
      </c>
      <c r="N4290" s="85">
        <f t="shared" si="1292"/>
        <v>806</v>
      </c>
      <c r="O4290" s="86">
        <f t="shared" si="1293"/>
        <v>5485.58</v>
      </c>
      <c r="P4290" s="86">
        <f t="shared" si="1294"/>
        <v>0</v>
      </c>
      <c r="Q4290" s="86">
        <f t="shared" si="1295"/>
        <v>0</v>
      </c>
      <c r="R4290" s="86">
        <f t="shared" si="1296"/>
        <v>0</v>
      </c>
      <c r="S4290" s="86">
        <f t="shared" si="1297"/>
        <v>0</v>
      </c>
      <c r="T4290" s="86">
        <f t="shared" si="1298"/>
        <v>5485.58</v>
      </c>
      <c r="U4290" s="87">
        <v>5485.58</v>
      </c>
    </row>
    <row r="4291" spans="1:21" s="30" customFormat="1" ht="24.6" hidden="1" outlineLevel="1" x14ac:dyDescent="0.55000000000000004">
      <c r="A4291" s="27" t="s">
        <v>327</v>
      </c>
      <c r="B4291" s="28"/>
      <c r="C4291" s="27"/>
      <c r="D4291" s="27" t="str">
        <f>"""NAV Direct"",""CRONUS JetCorp USA"",""21"",""1"",""419529"""</f>
        <v>"NAV Direct","CRONUS JetCorp USA","21","1","419529"</v>
      </c>
      <c r="E4291" s="31">
        <f t="shared" si="1290"/>
        <v>0</v>
      </c>
      <c r="F4291" s="31"/>
      <c r="G4291" s="31"/>
      <c r="H4291" s="31"/>
      <c r="I4291" s="56"/>
      <c r="J4291" s="56"/>
      <c r="K4291" s="82" t="str">
        <f t="shared" si="1291"/>
        <v>Invoice</v>
      </c>
      <c r="L4291" s="83" t="str">
        <f>"SI_112653"</f>
        <v>SI_112653</v>
      </c>
      <c r="M4291" s="84">
        <v>43071</v>
      </c>
      <c r="N4291" s="85">
        <f t="shared" si="1292"/>
        <v>741</v>
      </c>
      <c r="O4291" s="86">
        <f t="shared" si="1293"/>
        <v>5366.56</v>
      </c>
      <c r="P4291" s="86">
        <f t="shared" si="1294"/>
        <v>0</v>
      </c>
      <c r="Q4291" s="86">
        <f t="shared" si="1295"/>
        <v>0</v>
      </c>
      <c r="R4291" s="86">
        <f t="shared" si="1296"/>
        <v>0</v>
      </c>
      <c r="S4291" s="86">
        <f t="shared" si="1297"/>
        <v>0</v>
      </c>
      <c r="T4291" s="86">
        <f t="shared" si="1298"/>
        <v>5366.56</v>
      </c>
      <c r="U4291" s="87">
        <v>5366.56</v>
      </c>
    </row>
    <row r="4292" spans="1:21" s="30" customFormat="1" ht="24.6" hidden="1" outlineLevel="1" x14ac:dyDescent="0.55000000000000004">
      <c r="A4292" s="27" t="s">
        <v>327</v>
      </c>
      <c r="B4292" s="28"/>
      <c r="C4292" s="27"/>
      <c r="D4292" s="27" t="str">
        <f>"""NAV Direct"",""CRONUS JetCorp USA"",""21"",""1"",""419634"""</f>
        <v>"NAV Direct","CRONUS JetCorp USA","21","1","419634"</v>
      </c>
      <c r="E4292" s="31" t="str">
        <f t="shared" si="1290"/>
        <v>C100120</v>
      </c>
      <c r="F4292" s="31"/>
      <c r="G4292" s="31"/>
      <c r="H4292" s="31"/>
      <c r="I4292" s="56"/>
      <c r="J4292" s="56"/>
      <c r="K4292" s="82" t="str">
        <f t="shared" si="1291"/>
        <v>Invoice</v>
      </c>
      <c r="L4292" s="83" t="str">
        <f>"SI_112656"</f>
        <v>SI_112656</v>
      </c>
      <c r="M4292" s="84">
        <v>43093</v>
      </c>
      <c r="N4292" s="85">
        <f t="shared" si="1292"/>
        <v>719</v>
      </c>
      <c r="O4292" s="86">
        <f t="shared" si="1293"/>
        <v>5216.1900000000005</v>
      </c>
      <c r="P4292" s="86">
        <f t="shared" si="1294"/>
        <v>0</v>
      </c>
      <c r="Q4292" s="86">
        <f t="shared" si="1295"/>
        <v>0</v>
      </c>
      <c r="R4292" s="86">
        <f t="shared" si="1296"/>
        <v>0</v>
      </c>
      <c r="S4292" s="86">
        <f t="shared" si="1297"/>
        <v>0</v>
      </c>
      <c r="T4292" s="86">
        <f t="shared" si="1298"/>
        <v>5216.1900000000005</v>
      </c>
      <c r="U4292" s="87">
        <v>5216.1900000000005</v>
      </c>
    </row>
    <row r="4293" spans="1:21" s="30" customFormat="1" ht="24.6" hidden="1" outlineLevel="1" x14ac:dyDescent="0.55000000000000004">
      <c r="A4293" s="27" t="s">
        <v>327</v>
      </c>
      <c r="B4293" s="28"/>
      <c r="C4293" s="27"/>
      <c r="D4293" s="27" t="str">
        <f>"""NAV Direct"",""CRONUS JetCorp USA"",""21"",""1"",""419941"""</f>
        <v>"NAV Direct","CRONUS JetCorp USA","21","1","419941"</v>
      </c>
      <c r="E4293" s="31">
        <f t="shared" si="1290"/>
        <v>0</v>
      </c>
      <c r="F4293" s="31"/>
      <c r="G4293" s="31"/>
      <c r="H4293" s="31"/>
      <c r="I4293" s="56"/>
      <c r="J4293" s="56"/>
      <c r="K4293" s="82" t="str">
        <f t="shared" si="1291"/>
        <v>Invoice</v>
      </c>
      <c r="L4293" s="83" t="str">
        <f>"SI_112665"</f>
        <v>SI_112665</v>
      </c>
      <c r="M4293" s="84">
        <v>43157</v>
      </c>
      <c r="N4293" s="85">
        <f t="shared" si="1292"/>
        <v>655</v>
      </c>
      <c r="O4293" s="86">
        <f t="shared" si="1293"/>
        <v>5225.38</v>
      </c>
      <c r="P4293" s="86">
        <f t="shared" si="1294"/>
        <v>0</v>
      </c>
      <c r="Q4293" s="86">
        <f t="shared" si="1295"/>
        <v>0</v>
      </c>
      <c r="R4293" s="86">
        <f t="shared" si="1296"/>
        <v>0</v>
      </c>
      <c r="S4293" s="86">
        <f t="shared" si="1297"/>
        <v>0</v>
      </c>
      <c r="T4293" s="86">
        <f t="shared" si="1298"/>
        <v>5225.38</v>
      </c>
      <c r="U4293" s="87">
        <v>5225.38</v>
      </c>
    </row>
    <row r="4294" spans="1:21" s="30" customFormat="1" ht="24.6" hidden="1" outlineLevel="1" x14ac:dyDescent="0.55000000000000004">
      <c r="A4294" s="27" t="s">
        <v>327</v>
      </c>
      <c r="B4294" s="28"/>
      <c r="C4294" s="27"/>
      <c r="D4294" s="27" t="str">
        <f>"""NAV Direct"",""CRONUS JetCorp USA"",""21"",""1"",""420113"""</f>
        <v>"NAV Direct","CRONUS JetCorp USA","21","1","420113"</v>
      </c>
      <c r="E4294" s="31" t="str">
        <f t="shared" si="1290"/>
        <v>C100120</v>
      </c>
      <c r="F4294" s="31"/>
      <c r="G4294" s="31"/>
      <c r="H4294" s="31"/>
      <c r="I4294" s="56"/>
      <c r="J4294" s="56"/>
      <c r="K4294" s="82" t="str">
        <f t="shared" si="1291"/>
        <v>Invoice</v>
      </c>
      <c r="L4294" s="83" t="str">
        <f>"SI_112670"</f>
        <v>SI_112670</v>
      </c>
      <c r="M4294" s="84">
        <v>43187</v>
      </c>
      <c r="N4294" s="85">
        <f t="shared" si="1292"/>
        <v>625</v>
      </c>
      <c r="O4294" s="86">
        <f t="shared" si="1293"/>
        <v>5319.46</v>
      </c>
      <c r="P4294" s="86">
        <f t="shared" si="1294"/>
        <v>0</v>
      </c>
      <c r="Q4294" s="86">
        <f t="shared" si="1295"/>
        <v>0</v>
      </c>
      <c r="R4294" s="86">
        <f t="shared" si="1296"/>
        <v>0</v>
      </c>
      <c r="S4294" s="86">
        <f t="shared" si="1297"/>
        <v>0</v>
      </c>
      <c r="T4294" s="86">
        <f t="shared" si="1298"/>
        <v>5319.46</v>
      </c>
      <c r="U4294" s="87">
        <v>5319.46</v>
      </c>
    </row>
    <row r="4295" spans="1:21" s="30" customFormat="1" ht="24.6" hidden="1" outlineLevel="1" x14ac:dyDescent="0.55000000000000004">
      <c r="A4295" s="27" t="s">
        <v>327</v>
      </c>
      <c r="B4295" s="28"/>
      <c r="C4295" s="27"/>
      <c r="D4295" s="27" t="str">
        <f>"""NAV Direct"",""CRONUS JetCorp USA"",""21"",""1"",""421304"""</f>
        <v>"NAV Direct","CRONUS JetCorp USA","21","1","421304"</v>
      </c>
      <c r="E4295" s="31">
        <f t="shared" si="1290"/>
        <v>0</v>
      </c>
      <c r="F4295" s="31"/>
      <c r="G4295" s="31"/>
      <c r="H4295" s="31"/>
      <c r="I4295" s="56"/>
      <c r="J4295" s="56"/>
      <c r="K4295" s="82" t="str">
        <f t="shared" si="1291"/>
        <v>Invoice</v>
      </c>
      <c r="L4295" s="83" t="str">
        <f>"SI_112699"</f>
        <v>SI_112699</v>
      </c>
      <c r="M4295" s="84">
        <v>43377</v>
      </c>
      <c r="N4295" s="85">
        <f t="shared" si="1292"/>
        <v>435</v>
      </c>
      <c r="O4295" s="86">
        <f t="shared" si="1293"/>
        <v>6971.7999999999993</v>
      </c>
      <c r="P4295" s="86">
        <f t="shared" si="1294"/>
        <v>0</v>
      </c>
      <c r="Q4295" s="86">
        <f t="shared" si="1295"/>
        <v>0</v>
      </c>
      <c r="R4295" s="86">
        <f t="shared" si="1296"/>
        <v>0</v>
      </c>
      <c r="S4295" s="86">
        <f t="shared" si="1297"/>
        <v>0</v>
      </c>
      <c r="T4295" s="86">
        <f t="shared" si="1298"/>
        <v>6971.7999999999993</v>
      </c>
      <c r="U4295" s="87">
        <v>6971.7999999999993</v>
      </c>
    </row>
    <row r="4296" spans="1:21" s="30" customFormat="1" ht="24.6" hidden="1" outlineLevel="1" x14ac:dyDescent="0.55000000000000004">
      <c r="A4296" s="27" t="s">
        <v>327</v>
      </c>
      <c r="B4296" s="28"/>
      <c r="C4296" s="27"/>
      <c r="D4296" s="27" t="str">
        <f>"""NAV Direct"",""CRONUS JetCorp USA"",""21"",""1"",""421361"""</f>
        <v>"NAV Direct","CRONUS JetCorp USA","21","1","421361"</v>
      </c>
      <c r="E4296" s="31" t="str">
        <f t="shared" si="1290"/>
        <v>C100120</v>
      </c>
      <c r="F4296" s="31"/>
      <c r="G4296" s="31"/>
      <c r="H4296" s="31"/>
      <c r="I4296" s="56"/>
      <c r="J4296" s="56"/>
      <c r="K4296" s="82" t="str">
        <f t="shared" si="1291"/>
        <v>Invoice</v>
      </c>
      <c r="L4296" s="83" t="str">
        <f>"SI_112700"</f>
        <v>SI_112700</v>
      </c>
      <c r="M4296" s="84">
        <v>43376</v>
      </c>
      <c r="N4296" s="85">
        <f t="shared" si="1292"/>
        <v>436</v>
      </c>
      <c r="O4296" s="86">
        <f t="shared" si="1293"/>
        <v>6971.7</v>
      </c>
      <c r="P4296" s="86">
        <f t="shared" si="1294"/>
        <v>0</v>
      </c>
      <c r="Q4296" s="86">
        <f t="shared" si="1295"/>
        <v>0</v>
      </c>
      <c r="R4296" s="86">
        <f t="shared" si="1296"/>
        <v>0</v>
      </c>
      <c r="S4296" s="86">
        <f t="shared" si="1297"/>
        <v>0</v>
      </c>
      <c r="T4296" s="86">
        <f t="shared" si="1298"/>
        <v>6971.7</v>
      </c>
      <c r="U4296" s="87">
        <v>6971.7</v>
      </c>
    </row>
    <row r="4297" spans="1:21" s="30" customFormat="1" ht="24.6" hidden="1" outlineLevel="1" x14ac:dyDescent="0.55000000000000004">
      <c r="A4297" s="27" t="s">
        <v>327</v>
      </c>
      <c r="B4297" s="28"/>
      <c r="C4297" s="27"/>
      <c r="D4297" s="27" t="str">
        <f>"""NAV Direct"",""CRONUS JetCorp USA"",""21"",""1"",""421414"""</f>
        <v>"NAV Direct","CRONUS JetCorp USA","21","1","421414"</v>
      </c>
      <c r="E4297" s="31">
        <f t="shared" si="1290"/>
        <v>0</v>
      </c>
      <c r="F4297" s="31"/>
      <c r="G4297" s="31"/>
      <c r="H4297" s="31"/>
      <c r="I4297" s="56"/>
      <c r="J4297" s="56"/>
      <c r="K4297" s="82" t="str">
        <f t="shared" si="1291"/>
        <v>Invoice</v>
      </c>
      <c r="L4297" s="83" t="str">
        <f>"SI_112701"</f>
        <v>SI_112701</v>
      </c>
      <c r="M4297" s="84">
        <v>43392</v>
      </c>
      <c r="N4297" s="85">
        <f t="shared" si="1292"/>
        <v>420</v>
      </c>
      <c r="O4297" s="86">
        <f t="shared" si="1293"/>
        <v>7668.84</v>
      </c>
      <c r="P4297" s="86">
        <f t="shared" si="1294"/>
        <v>0</v>
      </c>
      <c r="Q4297" s="86">
        <f t="shared" si="1295"/>
        <v>0</v>
      </c>
      <c r="R4297" s="86">
        <f t="shared" si="1296"/>
        <v>0</v>
      </c>
      <c r="S4297" s="86">
        <f t="shared" si="1297"/>
        <v>0</v>
      </c>
      <c r="T4297" s="86">
        <f t="shared" si="1298"/>
        <v>7668.84</v>
      </c>
      <c r="U4297" s="87">
        <v>7668.84</v>
      </c>
    </row>
    <row r="4298" spans="1:21" s="30" customFormat="1" ht="24.6" hidden="1" outlineLevel="1" x14ac:dyDescent="0.55000000000000004">
      <c r="A4298" s="27" t="s">
        <v>327</v>
      </c>
      <c r="B4298" s="28"/>
      <c r="C4298" s="27"/>
      <c r="D4298" s="27" t="str">
        <f>"""NAV Direct"",""CRONUS JetCorp USA"",""21"",""1"",""422083"""</f>
        <v>"NAV Direct","CRONUS JetCorp USA","21","1","422083"</v>
      </c>
      <c r="E4298" s="31" t="str">
        <f t="shared" si="1290"/>
        <v>C100120</v>
      </c>
      <c r="F4298" s="31"/>
      <c r="G4298" s="31"/>
      <c r="H4298" s="31"/>
      <c r="I4298" s="56"/>
      <c r="J4298" s="56"/>
      <c r="K4298" s="82" t="str">
        <f t="shared" si="1291"/>
        <v>Invoice</v>
      </c>
      <c r="L4298" s="83" t="str">
        <f>"SI_112717"</f>
        <v>SI_112717</v>
      </c>
      <c r="M4298" s="84">
        <v>43475</v>
      </c>
      <c r="N4298" s="85">
        <f t="shared" si="1292"/>
        <v>337</v>
      </c>
      <c r="O4298" s="86">
        <f t="shared" si="1293"/>
        <v>6184.22</v>
      </c>
      <c r="P4298" s="86">
        <f t="shared" si="1294"/>
        <v>0</v>
      </c>
      <c r="Q4298" s="86">
        <f t="shared" si="1295"/>
        <v>0</v>
      </c>
      <c r="R4298" s="86">
        <f t="shared" si="1296"/>
        <v>0</v>
      </c>
      <c r="S4298" s="86">
        <f t="shared" si="1297"/>
        <v>0</v>
      </c>
      <c r="T4298" s="86">
        <f t="shared" si="1298"/>
        <v>6184.22</v>
      </c>
      <c r="U4298" s="87">
        <v>6184.22</v>
      </c>
    </row>
    <row r="4299" spans="1:21" s="30" customFormat="1" ht="24.6" hidden="1" outlineLevel="1" x14ac:dyDescent="0.55000000000000004">
      <c r="A4299" s="27" t="s">
        <v>327</v>
      </c>
      <c r="B4299" s="28"/>
      <c r="C4299" s="27"/>
      <c r="D4299" s="27" t="str">
        <f>"""NAV Direct"",""CRONUS JetCorp USA"",""21"",""1"",""422497"""</f>
        <v>"NAV Direct","CRONUS JetCorp USA","21","1","422497"</v>
      </c>
      <c r="E4299" s="31">
        <f t="shared" si="1290"/>
        <v>0</v>
      </c>
      <c r="F4299" s="31"/>
      <c r="G4299" s="31"/>
      <c r="H4299" s="31"/>
      <c r="I4299" s="56"/>
      <c r="J4299" s="56"/>
      <c r="K4299" s="82" t="str">
        <f t="shared" si="1291"/>
        <v>Invoice</v>
      </c>
      <c r="L4299" s="83" t="str">
        <f>"SI_112727"</f>
        <v>SI_112727</v>
      </c>
      <c r="M4299" s="84">
        <v>43516</v>
      </c>
      <c r="N4299" s="85">
        <f t="shared" si="1292"/>
        <v>296</v>
      </c>
      <c r="O4299" s="86">
        <f t="shared" si="1293"/>
        <v>6938.68</v>
      </c>
      <c r="P4299" s="86">
        <f t="shared" si="1294"/>
        <v>0</v>
      </c>
      <c r="Q4299" s="86">
        <f t="shared" si="1295"/>
        <v>0</v>
      </c>
      <c r="R4299" s="86">
        <f t="shared" si="1296"/>
        <v>0</v>
      </c>
      <c r="S4299" s="86">
        <f t="shared" si="1297"/>
        <v>0</v>
      </c>
      <c r="T4299" s="86">
        <f t="shared" si="1298"/>
        <v>6938.68</v>
      </c>
      <c r="U4299" s="87">
        <v>6938.68</v>
      </c>
    </row>
    <row r="4300" spans="1:21" s="30" customFormat="1" ht="24.6" hidden="1" outlineLevel="1" x14ac:dyDescent="0.55000000000000004">
      <c r="A4300" s="27" t="s">
        <v>327</v>
      </c>
      <c r="B4300" s="28"/>
      <c r="C4300" s="27"/>
      <c r="D4300" s="27" t="str">
        <f>"""NAV Direct"",""CRONUS JetCorp USA"",""21"",""1"",""422900"""</f>
        <v>"NAV Direct","CRONUS JetCorp USA","21","1","422900"</v>
      </c>
      <c r="E4300" s="31" t="str">
        <f t="shared" si="1290"/>
        <v>C100120</v>
      </c>
      <c r="F4300" s="31"/>
      <c r="G4300" s="31"/>
      <c r="H4300" s="31"/>
      <c r="I4300" s="56"/>
      <c r="J4300" s="56"/>
      <c r="K4300" s="82" t="str">
        <f t="shared" si="1291"/>
        <v>Invoice</v>
      </c>
      <c r="L4300" s="83" t="str">
        <f>"SI_112736"</f>
        <v>SI_112736</v>
      </c>
      <c r="M4300" s="84">
        <v>43556</v>
      </c>
      <c r="N4300" s="85">
        <f t="shared" si="1292"/>
        <v>256</v>
      </c>
      <c r="O4300" s="86">
        <f t="shared" si="1293"/>
        <v>7979.46</v>
      </c>
      <c r="P4300" s="86">
        <f t="shared" si="1294"/>
        <v>0</v>
      </c>
      <c r="Q4300" s="86">
        <f t="shared" si="1295"/>
        <v>0</v>
      </c>
      <c r="R4300" s="86">
        <f t="shared" si="1296"/>
        <v>0</v>
      </c>
      <c r="S4300" s="86">
        <f t="shared" si="1297"/>
        <v>0</v>
      </c>
      <c r="T4300" s="86">
        <f t="shared" si="1298"/>
        <v>7979.46</v>
      </c>
      <c r="U4300" s="87">
        <v>7979.46</v>
      </c>
    </row>
    <row r="4301" spans="1:21" s="30" customFormat="1" ht="24.6" hidden="1" outlineLevel="1" x14ac:dyDescent="0.55000000000000004">
      <c r="A4301" s="27" t="s">
        <v>327</v>
      </c>
      <c r="B4301" s="28"/>
      <c r="C4301" s="27"/>
      <c r="D4301" s="27" t="str">
        <f>"""NAV Direct"",""CRONUS JetCorp USA"",""21"",""1"",""424140"""</f>
        <v>"NAV Direct","CRONUS JetCorp USA","21","1","424140"</v>
      </c>
      <c r="E4301" s="31">
        <f t="shared" si="1290"/>
        <v>0</v>
      </c>
      <c r="F4301" s="31"/>
      <c r="G4301" s="31"/>
      <c r="H4301" s="31"/>
      <c r="I4301" s="56"/>
      <c r="J4301" s="56"/>
      <c r="K4301" s="82" t="str">
        <f t="shared" si="1291"/>
        <v>Invoice</v>
      </c>
      <c r="L4301" s="83" t="str">
        <f>"SI_112765"</f>
        <v>SI_112765</v>
      </c>
      <c r="M4301" s="84">
        <v>43649</v>
      </c>
      <c r="N4301" s="85">
        <f t="shared" si="1292"/>
        <v>163</v>
      </c>
      <c r="O4301" s="86">
        <f t="shared" si="1293"/>
        <v>4884.24</v>
      </c>
      <c r="P4301" s="86">
        <f t="shared" si="1294"/>
        <v>0</v>
      </c>
      <c r="Q4301" s="86">
        <f t="shared" si="1295"/>
        <v>0</v>
      </c>
      <c r="R4301" s="86">
        <f t="shared" si="1296"/>
        <v>0</v>
      </c>
      <c r="S4301" s="86">
        <f t="shared" si="1297"/>
        <v>0</v>
      </c>
      <c r="T4301" s="86">
        <f t="shared" si="1298"/>
        <v>4884.24</v>
      </c>
      <c r="U4301" s="87">
        <v>4884.24</v>
      </c>
    </row>
    <row r="4302" spans="1:21" s="30" customFormat="1" ht="24.6" hidden="1" outlineLevel="1" x14ac:dyDescent="0.55000000000000004">
      <c r="A4302" s="27" t="s">
        <v>327</v>
      </c>
      <c r="B4302" s="28"/>
      <c r="C4302" s="27"/>
      <c r="D4302" s="27" t="str">
        <f>"""NAV Direct"",""CRONUS JetCorp USA"",""21"",""1"",""424418"""</f>
        <v>"NAV Direct","CRONUS JetCorp USA","21","1","424418"</v>
      </c>
      <c r="E4302" s="31" t="str">
        <f t="shared" ref="E4302:E4329" si="1299">E4300</f>
        <v>C100120</v>
      </c>
      <c r="F4302" s="31"/>
      <c r="G4302" s="31"/>
      <c r="H4302" s="31"/>
      <c r="I4302" s="56"/>
      <c r="J4302" s="56"/>
      <c r="K4302" s="82" t="str">
        <f t="shared" si="1291"/>
        <v>Invoice</v>
      </c>
      <c r="L4302" s="83" t="str">
        <f>"SI_112771"</f>
        <v>SI_112771</v>
      </c>
      <c r="M4302" s="84">
        <v>43675</v>
      </c>
      <c r="N4302" s="85">
        <f t="shared" ref="N4302:N4329" si="1300">StartDate-$M4302+1</f>
        <v>137</v>
      </c>
      <c r="O4302" s="86">
        <f t="shared" ref="O4302:O4329" si="1301">SUM(P4302:T4302)</f>
        <v>5525.74</v>
      </c>
      <c r="P4302" s="86">
        <f t="shared" ref="P4302:P4329" si="1302">IF($M4302&gt;=$P$18,U4302,0)</f>
        <v>0</v>
      </c>
      <c r="Q4302" s="86">
        <f t="shared" ref="Q4302:Q4329" si="1303">IF(AND($M4302&gt;=$Q$16,$M4302&lt;=$Q$18),U4302,0)</f>
        <v>0</v>
      </c>
      <c r="R4302" s="86">
        <f t="shared" ref="R4302:R4329" si="1304">IF(AND($M4302&gt;=$R$16,$M4302&lt;=$R$18),U4302,0)</f>
        <v>0</v>
      </c>
      <c r="S4302" s="86">
        <f t="shared" ref="S4302:S4329" si="1305">IF(AND($M4302&gt;=$S$16,$M4302&lt;=$S$18),U4302,0)</f>
        <v>0</v>
      </c>
      <c r="T4302" s="86">
        <f t="shared" ref="T4302:T4329" si="1306">IF($M4302&lt;=$T$18,U4302,0)</f>
        <v>5525.74</v>
      </c>
      <c r="U4302" s="87">
        <v>5525.74</v>
      </c>
    </row>
    <row r="4303" spans="1:21" s="30" customFormat="1" ht="24.6" hidden="1" outlineLevel="1" x14ac:dyDescent="0.55000000000000004">
      <c r="A4303" s="27" t="s">
        <v>327</v>
      </c>
      <c r="B4303" s="28"/>
      <c r="C4303" s="27"/>
      <c r="D4303" s="27" t="str">
        <f>"""NAV Direct"",""CRONUS JetCorp USA"",""21"",""1"",""424832"""</f>
        <v>"NAV Direct","CRONUS JetCorp USA","21","1","424832"</v>
      </c>
      <c r="E4303" s="31">
        <f t="shared" si="1299"/>
        <v>0</v>
      </c>
      <c r="F4303" s="31"/>
      <c r="G4303" s="31"/>
      <c r="H4303" s="31"/>
      <c r="I4303" s="56"/>
      <c r="J4303" s="56"/>
      <c r="K4303" s="82" t="str">
        <f t="shared" si="1291"/>
        <v>Invoice</v>
      </c>
      <c r="L4303" s="83" t="str">
        <f>"SI_112782"</f>
        <v>SI_112782</v>
      </c>
      <c r="M4303" s="84">
        <v>43713</v>
      </c>
      <c r="N4303" s="85">
        <f t="shared" si="1300"/>
        <v>99</v>
      </c>
      <c r="O4303" s="86">
        <f t="shared" si="1301"/>
        <v>5537.1100000000006</v>
      </c>
      <c r="P4303" s="86">
        <f t="shared" si="1302"/>
        <v>0</v>
      </c>
      <c r="Q4303" s="86">
        <f t="shared" si="1303"/>
        <v>0</v>
      </c>
      <c r="R4303" s="86">
        <f t="shared" si="1304"/>
        <v>0</v>
      </c>
      <c r="S4303" s="86">
        <f t="shared" si="1305"/>
        <v>0</v>
      </c>
      <c r="T4303" s="86">
        <f t="shared" si="1306"/>
        <v>5537.1100000000006</v>
      </c>
      <c r="U4303" s="87">
        <v>5537.1100000000006</v>
      </c>
    </row>
    <row r="4304" spans="1:21" s="30" customFormat="1" ht="24.6" hidden="1" outlineLevel="1" x14ac:dyDescent="0.55000000000000004">
      <c r="A4304" s="27" t="s">
        <v>327</v>
      </c>
      <c r="B4304" s="28"/>
      <c r="C4304" s="27"/>
      <c r="D4304" s="27" t="str">
        <f>"""NAV Direct"",""CRONUS JetCorp USA"",""21"",""1"",""424875"""</f>
        <v>"NAV Direct","CRONUS JetCorp USA","21","1","424875"</v>
      </c>
      <c r="E4304" s="31" t="str">
        <f t="shared" si="1299"/>
        <v>C100120</v>
      </c>
      <c r="F4304" s="31"/>
      <c r="G4304" s="31"/>
      <c r="H4304" s="31"/>
      <c r="I4304" s="56"/>
      <c r="J4304" s="56"/>
      <c r="K4304" s="82" t="str">
        <f t="shared" si="1291"/>
        <v>Invoice</v>
      </c>
      <c r="L4304" s="83" t="str">
        <f>"SI_112783"</f>
        <v>SI_112783</v>
      </c>
      <c r="M4304" s="84">
        <v>43715</v>
      </c>
      <c r="N4304" s="85">
        <f t="shared" si="1300"/>
        <v>97</v>
      </c>
      <c r="O4304" s="86">
        <f t="shared" si="1301"/>
        <v>5967.77</v>
      </c>
      <c r="P4304" s="86">
        <f t="shared" si="1302"/>
        <v>0</v>
      </c>
      <c r="Q4304" s="86">
        <f t="shared" si="1303"/>
        <v>0</v>
      </c>
      <c r="R4304" s="86">
        <f t="shared" si="1304"/>
        <v>0</v>
      </c>
      <c r="S4304" s="86">
        <f t="shared" si="1305"/>
        <v>0</v>
      </c>
      <c r="T4304" s="86">
        <f t="shared" si="1306"/>
        <v>5967.77</v>
      </c>
      <c r="U4304" s="87">
        <v>5967.77</v>
      </c>
    </row>
    <row r="4305" spans="1:21" s="30" customFormat="1" ht="24.6" hidden="1" outlineLevel="1" x14ac:dyDescent="0.55000000000000004">
      <c r="A4305" s="27" t="s">
        <v>327</v>
      </c>
      <c r="B4305" s="28"/>
      <c r="C4305" s="27"/>
      <c r="D4305" s="27" t="str">
        <f>"""NAV Direct"",""CRONUS JetCorp USA"",""21"",""1"",""425027"""</f>
        <v>"NAV Direct","CRONUS JetCorp USA","21","1","425027"</v>
      </c>
      <c r="E4305" s="31">
        <f t="shared" si="1299"/>
        <v>0</v>
      </c>
      <c r="F4305" s="31"/>
      <c r="G4305" s="31"/>
      <c r="H4305" s="31"/>
      <c r="I4305" s="56"/>
      <c r="J4305" s="56"/>
      <c r="K4305" s="82" t="str">
        <f t="shared" si="1291"/>
        <v>Invoice</v>
      </c>
      <c r="L4305" s="83" t="str">
        <f>"SI_112787"</f>
        <v>SI_112787</v>
      </c>
      <c r="M4305" s="84">
        <v>43727</v>
      </c>
      <c r="N4305" s="85">
        <f t="shared" si="1300"/>
        <v>85</v>
      </c>
      <c r="O4305" s="86">
        <f t="shared" si="1301"/>
        <v>6437.8600000000006</v>
      </c>
      <c r="P4305" s="86">
        <f t="shared" si="1302"/>
        <v>0</v>
      </c>
      <c r="Q4305" s="86">
        <f t="shared" si="1303"/>
        <v>0</v>
      </c>
      <c r="R4305" s="86">
        <f t="shared" si="1304"/>
        <v>0</v>
      </c>
      <c r="S4305" s="86">
        <f t="shared" si="1305"/>
        <v>6437.8600000000006</v>
      </c>
      <c r="T4305" s="86">
        <f t="shared" si="1306"/>
        <v>0</v>
      </c>
      <c r="U4305" s="87">
        <v>6437.8600000000006</v>
      </c>
    </row>
    <row r="4306" spans="1:21" s="30" customFormat="1" ht="24.6" hidden="1" outlineLevel="1" x14ac:dyDescent="0.55000000000000004">
      <c r="A4306" s="27" t="s">
        <v>327</v>
      </c>
      <c r="B4306" s="28"/>
      <c r="C4306" s="27"/>
      <c r="D4306" s="27" t="str">
        <f>"""NAV Direct"",""CRONUS JetCorp USA"",""21"",""1"",""425238"""</f>
        <v>"NAV Direct","CRONUS JetCorp USA","21","1","425238"</v>
      </c>
      <c r="E4306" s="31" t="str">
        <f t="shared" si="1299"/>
        <v>C100120</v>
      </c>
      <c r="F4306" s="31"/>
      <c r="G4306" s="31"/>
      <c r="H4306" s="31"/>
      <c r="I4306" s="56"/>
      <c r="J4306" s="56"/>
      <c r="K4306" s="82" t="str">
        <f t="shared" si="1291"/>
        <v>Invoice</v>
      </c>
      <c r="L4306" s="83" t="str">
        <f>"SI_112792"</f>
        <v>SI_112792</v>
      </c>
      <c r="M4306" s="84">
        <v>43736</v>
      </c>
      <c r="N4306" s="85">
        <f t="shared" si="1300"/>
        <v>76</v>
      </c>
      <c r="O4306" s="86">
        <f t="shared" si="1301"/>
        <v>6102.51</v>
      </c>
      <c r="P4306" s="86">
        <f t="shared" si="1302"/>
        <v>0</v>
      </c>
      <c r="Q4306" s="86">
        <f t="shared" si="1303"/>
        <v>0</v>
      </c>
      <c r="R4306" s="86">
        <f t="shared" si="1304"/>
        <v>0</v>
      </c>
      <c r="S4306" s="86">
        <f t="shared" si="1305"/>
        <v>6102.51</v>
      </c>
      <c r="T4306" s="86">
        <f t="shared" si="1306"/>
        <v>0</v>
      </c>
      <c r="U4306" s="87">
        <v>6102.51</v>
      </c>
    </row>
    <row r="4307" spans="1:21" s="30" customFormat="1" ht="24.6" hidden="1" outlineLevel="1" x14ac:dyDescent="0.55000000000000004">
      <c r="A4307" s="27" t="s">
        <v>327</v>
      </c>
      <c r="B4307" s="28"/>
      <c r="C4307" s="27"/>
      <c r="D4307" s="27" t="str">
        <f>"""NAV Direct"",""CRONUS JetCorp USA"",""21"",""1"",""425289"""</f>
        <v>"NAV Direct","CRONUS JetCorp USA","21","1","425289"</v>
      </c>
      <c r="E4307" s="31">
        <f t="shared" si="1299"/>
        <v>0</v>
      </c>
      <c r="F4307" s="31"/>
      <c r="G4307" s="31"/>
      <c r="H4307" s="31"/>
      <c r="I4307" s="56"/>
      <c r="J4307" s="56"/>
      <c r="K4307" s="82" t="str">
        <f t="shared" si="1291"/>
        <v>Invoice</v>
      </c>
      <c r="L4307" s="83" t="str">
        <f>"SI_112793"</f>
        <v>SI_112793</v>
      </c>
      <c r="M4307" s="84">
        <v>43737</v>
      </c>
      <c r="N4307" s="85">
        <f t="shared" si="1300"/>
        <v>75</v>
      </c>
      <c r="O4307" s="86">
        <f t="shared" si="1301"/>
        <v>6236.6399999999994</v>
      </c>
      <c r="P4307" s="86">
        <f t="shared" si="1302"/>
        <v>0</v>
      </c>
      <c r="Q4307" s="86">
        <f t="shared" si="1303"/>
        <v>0</v>
      </c>
      <c r="R4307" s="86">
        <f t="shared" si="1304"/>
        <v>0</v>
      </c>
      <c r="S4307" s="86">
        <f t="shared" si="1305"/>
        <v>6236.6399999999994</v>
      </c>
      <c r="T4307" s="86">
        <f t="shared" si="1306"/>
        <v>0</v>
      </c>
      <c r="U4307" s="87">
        <v>6236.6399999999994</v>
      </c>
    </row>
    <row r="4308" spans="1:21" s="30" customFormat="1" ht="24.6" hidden="1" outlineLevel="1" x14ac:dyDescent="0.55000000000000004">
      <c r="A4308" s="27" t="s">
        <v>327</v>
      </c>
      <c r="B4308" s="28"/>
      <c r="C4308" s="27"/>
      <c r="D4308" s="27" t="str">
        <f>"""NAV Direct"",""CRONUS JetCorp USA"",""21"",""1"",""425326"""</f>
        <v>"NAV Direct","CRONUS JetCorp USA","21","1","425326"</v>
      </c>
      <c r="E4308" s="31" t="str">
        <f t="shared" si="1299"/>
        <v>C100120</v>
      </c>
      <c r="F4308" s="31"/>
      <c r="G4308" s="31"/>
      <c r="H4308" s="31"/>
      <c r="I4308" s="56"/>
      <c r="J4308" s="56"/>
      <c r="K4308" s="82" t="str">
        <f t="shared" si="1291"/>
        <v>Invoice</v>
      </c>
      <c r="L4308" s="83" t="str">
        <f>"SI_112794"</f>
        <v>SI_112794</v>
      </c>
      <c r="M4308" s="84">
        <v>43739</v>
      </c>
      <c r="N4308" s="85">
        <f t="shared" si="1300"/>
        <v>73</v>
      </c>
      <c r="O4308" s="86">
        <f t="shared" si="1301"/>
        <v>6102.56</v>
      </c>
      <c r="P4308" s="86">
        <f t="shared" si="1302"/>
        <v>0</v>
      </c>
      <c r="Q4308" s="86">
        <f t="shared" si="1303"/>
        <v>0</v>
      </c>
      <c r="R4308" s="86">
        <f t="shared" si="1304"/>
        <v>0</v>
      </c>
      <c r="S4308" s="86">
        <f t="shared" si="1305"/>
        <v>6102.56</v>
      </c>
      <c r="T4308" s="86">
        <f t="shared" si="1306"/>
        <v>0</v>
      </c>
      <c r="U4308" s="87">
        <v>6102.56</v>
      </c>
    </row>
    <row r="4309" spans="1:21" s="30" customFormat="1" ht="24.6" hidden="1" outlineLevel="1" x14ac:dyDescent="0.55000000000000004">
      <c r="A4309" s="27" t="s">
        <v>327</v>
      </c>
      <c r="B4309" s="28"/>
      <c r="C4309" s="27"/>
      <c r="D4309" s="27" t="str">
        <f>"""NAV Direct"",""CRONUS JetCorp USA"",""21"",""1"",""425982"""</f>
        <v>"NAV Direct","CRONUS JetCorp USA","21","1","425982"</v>
      </c>
      <c r="E4309" s="31">
        <f t="shared" si="1299"/>
        <v>0</v>
      </c>
      <c r="F4309" s="31"/>
      <c r="G4309" s="31"/>
      <c r="H4309" s="31"/>
      <c r="I4309" s="56"/>
      <c r="J4309" s="56"/>
      <c r="K4309" s="82" t="str">
        <f t="shared" si="1291"/>
        <v>Invoice</v>
      </c>
      <c r="L4309" s="83" t="str">
        <f>"SI_112810"</f>
        <v>SI_112810</v>
      </c>
      <c r="M4309" s="84">
        <v>43803</v>
      </c>
      <c r="N4309" s="85">
        <f t="shared" si="1300"/>
        <v>9</v>
      </c>
      <c r="O4309" s="86">
        <f t="shared" si="1301"/>
        <v>8240.9699999999993</v>
      </c>
      <c r="P4309" s="86">
        <f t="shared" si="1302"/>
        <v>0</v>
      </c>
      <c r="Q4309" s="86">
        <f t="shared" si="1303"/>
        <v>8240.9699999999993</v>
      </c>
      <c r="R4309" s="86">
        <f t="shared" si="1304"/>
        <v>0</v>
      </c>
      <c r="S4309" s="86">
        <f t="shared" si="1305"/>
        <v>0</v>
      </c>
      <c r="T4309" s="86">
        <f t="shared" si="1306"/>
        <v>0</v>
      </c>
      <c r="U4309" s="87">
        <v>8240.9699999999993</v>
      </c>
    </row>
    <row r="4310" spans="1:21" s="30" customFormat="1" ht="24.6" hidden="1" outlineLevel="1" x14ac:dyDescent="0.55000000000000004">
      <c r="A4310" s="27" t="s">
        <v>327</v>
      </c>
      <c r="B4310" s="28"/>
      <c r="C4310" s="27"/>
      <c r="D4310" s="27" t="str">
        <f>"""NAV Direct"",""CRONUS JetCorp USA"",""21"",""1"",""427021"""</f>
        <v>"NAV Direct","CRONUS JetCorp USA","21","1","427021"</v>
      </c>
      <c r="E4310" s="31" t="str">
        <f t="shared" si="1299"/>
        <v>C100120</v>
      </c>
      <c r="F4310" s="31"/>
      <c r="G4310" s="31"/>
      <c r="H4310" s="31"/>
      <c r="I4310" s="56"/>
      <c r="J4310" s="56"/>
      <c r="K4310" s="82" t="str">
        <f t="shared" si="1291"/>
        <v>Invoice</v>
      </c>
      <c r="L4310" s="83" t="str">
        <f>"SI_112832"</f>
        <v>SI_112832</v>
      </c>
      <c r="M4310" s="84">
        <v>42084</v>
      </c>
      <c r="N4310" s="85">
        <f t="shared" si="1300"/>
        <v>1728</v>
      </c>
      <c r="O4310" s="86">
        <f t="shared" si="1301"/>
        <v>8073.0099999999993</v>
      </c>
      <c r="P4310" s="86">
        <f t="shared" si="1302"/>
        <v>0</v>
      </c>
      <c r="Q4310" s="86">
        <f t="shared" si="1303"/>
        <v>0</v>
      </c>
      <c r="R4310" s="86">
        <f t="shared" si="1304"/>
        <v>0</v>
      </c>
      <c r="S4310" s="86">
        <f t="shared" si="1305"/>
        <v>0</v>
      </c>
      <c r="T4310" s="86">
        <f t="shared" si="1306"/>
        <v>8073.0099999999993</v>
      </c>
      <c r="U4310" s="87">
        <v>8073.0099999999993</v>
      </c>
    </row>
    <row r="4311" spans="1:21" s="30" customFormat="1" ht="24.6" hidden="1" outlineLevel="1" x14ac:dyDescent="0.55000000000000004">
      <c r="A4311" s="27" t="s">
        <v>327</v>
      </c>
      <c r="B4311" s="28"/>
      <c r="C4311" s="27"/>
      <c r="D4311" s="27" t="str">
        <f>"""NAV Direct"",""CRONUS JetCorp USA"",""21"",""1"",""427859"""</f>
        <v>"NAV Direct","CRONUS JetCorp USA","21","1","427859"</v>
      </c>
      <c r="E4311" s="31">
        <f t="shared" si="1299"/>
        <v>0</v>
      </c>
      <c r="F4311" s="31"/>
      <c r="G4311" s="31"/>
      <c r="H4311" s="31"/>
      <c r="I4311" s="56"/>
      <c r="J4311" s="56"/>
      <c r="K4311" s="82" t="str">
        <f t="shared" si="1291"/>
        <v>Invoice</v>
      </c>
      <c r="L4311" s="83" t="str">
        <f>"SI_112852"</f>
        <v>SI_112852</v>
      </c>
      <c r="M4311" s="84">
        <v>42196</v>
      </c>
      <c r="N4311" s="85">
        <f t="shared" si="1300"/>
        <v>1616</v>
      </c>
      <c r="O4311" s="86">
        <f t="shared" si="1301"/>
        <v>5330.2800000000007</v>
      </c>
      <c r="P4311" s="86">
        <f t="shared" si="1302"/>
        <v>0</v>
      </c>
      <c r="Q4311" s="86">
        <f t="shared" si="1303"/>
        <v>0</v>
      </c>
      <c r="R4311" s="86">
        <f t="shared" si="1304"/>
        <v>0</v>
      </c>
      <c r="S4311" s="86">
        <f t="shared" si="1305"/>
        <v>0</v>
      </c>
      <c r="T4311" s="86">
        <f t="shared" si="1306"/>
        <v>5330.2800000000007</v>
      </c>
      <c r="U4311" s="87">
        <v>5330.2800000000007</v>
      </c>
    </row>
    <row r="4312" spans="1:21" s="30" customFormat="1" ht="24.6" hidden="1" outlineLevel="1" x14ac:dyDescent="0.55000000000000004">
      <c r="A4312" s="27" t="s">
        <v>327</v>
      </c>
      <c r="B4312" s="28"/>
      <c r="C4312" s="27"/>
      <c r="D4312" s="27" t="str">
        <f>"""NAV Direct"",""CRONUS JetCorp USA"",""21"",""1"",""428300"""</f>
        <v>"NAV Direct","CRONUS JetCorp USA","21","1","428300"</v>
      </c>
      <c r="E4312" s="31" t="str">
        <f t="shared" si="1299"/>
        <v>C100120</v>
      </c>
      <c r="F4312" s="31"/>
      <c r="G4312" s="31"/>
      <c r="H4312" s="31"/>
      <c r="I4312" s="56"/>
      <c r="J4312" s="56"/>
      <c r="K4312" s="82" t="str">
        <f t="shared" si="1291"/>
        <v>Invoice</v>
      </c>
      <c r="L4312" s="83" t="str">
        <f>"SI_112863"</f>
        <v>SI_112863</v>
      </c>
      <c r="M4312" s="84">
        <v>42276</v>
      </c>
      <c r="N4312" s="85">
        <f t="shared" si="1300"/>
        <v>1536</v>
      </c>
      <c r="O4312" s="86">
        <f t="shared" si="1301"/>
        <v>6377.5700000000006</v>
      </c>
      <c r="P4312" s="86">
        <f t="shared" si="1302"/>
        <v>0</v>
      </c>
      <c r="Q4312" s="86">
        <f t="shared" si="1303"/>
        <v>0</v>
      </c>
      <c r="R4312" s="86">
        <f t="shared" si="1304"/>
        <v>0</v>
      </c>
      <c r="S4312" s="86">
        <f t="shared" si="1305"/>
        <v>0</v>
      </c>
      <c r="T4312" s="86">
        <f t="shared" si="1306"/>
        <v>6377.5700000000006</v>
      </c>
      <c r="U4312" s="87">
        <v>6377.5700000000006</v>
      </c>
    </row>
    <row r="4313" spans="1:21" s="30" customFormat="1" ht="24.6" hidden="1" outlineLevel="1" x14ac:dyDescent="0.55000000000000004">
      <c r="A4313" s="27" t="s">
        <v>327</v>
      </c>
      <c r="B4313" s="28"/>
      <c r="C4313" s="27"/>
      <c r="D4313" s="27" t="str">
        <f>"""NAV Direct"",""CRONUS JetCorp USA"",""21"",""1"",""428537"""</f>
        <v>"NAV Direct","CRONUS JetCorp USA","21","1","428537"</v>
      </c>
      <c r="E4313" s="31">
        <f t="shared" si="1299"/>
        <v>0</v>
      </c>
      <c r="F4313" s="31"/>
      <c r="G4313" s="31"/>
      <c r="H4313" s="31"/>
      <c r="I4313" s="56"/>
      <c r="J4313" s="56"/>
      <c r="K4313" s="82" t="str">
        <f t="shared" si="1291"/>
        <v>Invoice</v>
      </c>
      <c r="L4313" s="83" t="str">
        <f>"SI_112868"</f>
        <v>SI_112868</v>
      </c>
      <c r="M4313" s="84">
        <v>42291</v>
      </c>
      <c r="N4313" s="85">
        <f t="shared" si="1300"/>
        <v>1521</v>
      </c>
      <c r="O4313" s="86">
        <f t="shared" si="1301"/>
        <v>7164.52</v>
      </c>
      <c r="P4313" s="86">
        <f t="shared" si="1302"/>
        <v>0</v>
      </c>
      <c r="Q4313" s="86">
        <f t="shared" si="1303"/>
        <v>0</v>
      </c>
      <c r="R4313" s="86">
        <f t="shared" si="1304"/>
        <v>0</v>
      </c>
      <c r="S4313" s="86">
        <f t="shared" si="1305"/>
        <v>0</v>
      </c>
      <c r="T4313" s="86">
        <f t="shared" si="1306"/>
        <v>7164.52</v>
      </c>
      <c r="U4313" s="87">
        <v>7164.52</v>
      </c>
    </row>
    <row r="4314" spans="1:21" s="30" customFormat="1" ht="24.6" hidden="1" outlineLevel="1" x14ac:dyDescent="0.55000000000000004">
      <c r="A4314" s="27" t="s">
        <v>327</v>
      </c>
      <c r="B4314" s="28"/>
      <c r="C4314" s="27"/>
      <c r="D4314" s="27" t="str">
        <f>"""NAV Direct"",""CRONUS JetCorp USA"",""21"",""1"",""428635"""</f>
        <v>"NAV Direct","CRONUS JetCorp USA","21","1","428635"</v>
      </c>
      <c r="E4314" s="31" t="str">
        <f t="shared" si="1299"/>
        <v>C100120</v>
      </c>
      <c r="F4314" s="31"/>
      <c r="G4314" s="31"/>
      <c r="H4314" s="31"/>
      <c r="I4314" s="56"/>
      <c r="J4314" s="56"/>
      <c r="K4314" s="82" t="str">
        <f t="shared" si="1291"/>
        <v>Invoice</v>
      </c>
      <c r="L4314" s="83" t="str">
        <f>"SI_112870"</f>
        <v>SI_112870</v>
      </c>
      <c r="M4314" s="84">
        <v>42299</v>
      </c>
      <c r="N4314" s="85">
        <f t="shared" si="1300"/>
        <v>1513</v>
      </c>
      <c r="O4314" s="86">
        <f t="shared" si="1301"/>
        <v>7239.2599999999993</v>
      </c>
      <c r="P4314" s="86">
        <f t="shared" si="1302"/>
        <v>0</v>
      </c>
      <c r="Q4314" s="86">
        <f t="shared" si="1303"/>
        <v>0</v>
      </c>
      <c r="R4314" s="86">
        <f t="shared" si="1304"/>
        <v>0</v>
      </c>
      <c r="S4314" s="86">
        <f t="shared" si="1305"/>
        <v>0</v>
      </c>
      <c r="T4314" s="86">
        <f t="shared" si="1306"/>
        <v>7239.2599999999993</v>
      </c>
      <c r="U4314" s="87">
        <v>7239.2599999999993</v>
      </c>
    </row>
    <row r="4315" spans="1:21" s="30" customFormat="1" ht="24.6" hidden="1" outlineLevel="1" x14ac:dyDescent="0.55000000000000004">
      <c r="A4315" s="27" t="s">
        <v>327</v>
      </c>
      <c r="B4315" s="28"/>
      <c r="C4315" s="27"/>
      <c r="D4315" s="27" t="str">
        <f>"""NAV Direct"",""CRONUS JetCorp USA"",""21"",""1"",""429075"""</f>
        <v>"NAV Direct","CRONUS JetCorp USA","21","1","429075"</v>
      </c>
      <c r="E4315" s="31">
        <f t="shared" si="1299"/>
        <v>0</v>
      </c>
      <c r="F4315" s="31"/>
      <c r="G4315" s="31"/>
      <c r="H4315" s="31"/>
      <c r="I4315" s="56"/>
      <c r="J4315" s="56"/>
      <c r="K4315" s="82" t="str">
        <f t="shared" si="1291"/>
        <v>Invoice</v>
      </c>
      <c r="L4315" s="83" t="str">
        <f>"SI_112880"</f>
        <v>SI_112880</v>
      </c>
      <c r="M4315" s="84">
        <v>42339</v>
      </c>
      <c r="N4315" s="85">
        <f t="shared" si="1300"/>
        <v>1473</v>
      </c>
      <c r="O4315" s="86">
        <f t="shared" si="1301"/>
        <v>7997.47</v>
      </c>
      <c r="P4315" s="86">
        <f t="shared" si="1302"/>
        <v>0</v>
      </c>
      <c r="Q4315" s="86">
        <f t="shared" si="1303"/>
        <v>0</v>
      </c>
      <c r="R4315" s="86">
        <f t="shared" si="1304"/>
        <v>0</v>
      </c>
      <c r="S4315" s="86">
        <f t="shared" si="1305"/>
        <v>0</v>
      </c>
      <c r="T4315" s="86">
        <f t="shared" si="1306"/>
        <v>7997.47</v>
      </c>
      <c r="U4315" s="87">
        <v>7997.47</v>
      </c>
    </row>
    <row r="4316" spans="1:21" s="30" customFormat="1" ht="24.6" hidden="1" outlineLevel="1" x14ac:dyDescent="0.55000000000000004">
      <c r="A4316" s="27" t="s">
        <v>327</v>
      </c>
      <c r="B4316" s="28"/>
      <c r="C4316" s="27"/>
      <c r="D4316" s="27" t="str">
        <f>"""NAV Direct"",""CRONUS JetCorp USA"",""21"",""1"",""441603"""</f>
        <v>"NAV Direct","CRONUS JetCorp USA","21","1","441603"</v>
      </c>
      <c r="E4316" s="31" t="str">
        <f t="shared" si="1299"/>
        <v>C100120</v>
      </c>
      <c r="F4316" s="31"/>
      <c r="G4316" s="31"/>
      <c r="H4316" s="31"/>
      <c r="I4316" s="56"/>
      <c r="J4316" s="56"/>
      <c r="K4316" s="82" t="str">
        <f t="shared" ref="K4316:K4329" si="1307">"Credit Memo"</f>
        <v>Credit Memo</v>
      </c>
      <c r="L4316" s="83" t="str">
        <f>"SC_100978"</f>
        <v>SC_100978</v>
      </c>
      <c r="M4316" s="84">
        <v>42417</v>
      </c>
      <c r="N4316" s="85">
        <f t="shared" si="1300"/>
        <v>1395</v>
      </c>
      <c r="O4316" s="86">
        <f t="shared" si="1301"/>
        <v>-49.8</v>
      </c>
      <c r="P4316" s="86">
        <f t="shared" si="1302"/>
        <v>0</v>
      </c>
      <c r="Q4316" s="86">
        <f t="shared" si="1303"/>
        <v>0</v>
      </c>
      <c r="R4316" s="86">
        <f t="shared" si="1304"/>
        <v>0</v>
      </c>
      <c r="S4316" s="86">
        <f t="shared" si="1305"/>
        <v>0</v>
      </c>
      <c r="T4316" s="86">
        <f t="shared" si="1306"/>
        <v>-49.8</v>
      </c>
      <c r="U4316" s="87">
        <v>-49.8</v>
      </c>
    </row>
    <row r="4317" spans="1:21" s="30" customFormat="1" ht="24.6" hidden="1" outlineLevel="1" x14ac:dyDescent="0.55000000000000004">
      <c r="A4317" s="27" t="s">
        <v>327</v>
      </c>
      <c r="B4317" s="28"/>
      <c r="C4317" s="27"/>
      <c r="D4317" s="27" t="str">
        <f>"""NAV Direct"",""CRONUS JetCorp USA"",""21"",""1"",""441733"""</f>
        <v>"NAV Direct","CRONUS JetCorp USA","21","1","441733"</v>
      </c>
      <c r="E4317" s="31">
        <f t="shared" si="1299"/>
        <v>0</v>
      </c>
      <c r="F4317" s="31"/>
      <c r="G4317" s="31"/>
      <c r="H4317" s="31"/>
      <c r="I4317" s="56"/>
      <c r="J4317" s="56"/>
      <c r="K4317" s="82" t="str">
        <f t="shared" si="1307"/>
        <v>Credit Memo</v>
      </c>
      <c r="L4317" s="83" t="str">
        <f>"SC_100985"</f>
        <v>SC_100985</v>
      </c>
      <c r="M4317" s="84">
        <v>42657</v>
      </c>
      <c r="N4317" s="85">
        <f t="shared" si="1300"/>
        <v>1155</v>
      </c>
      <c r="O4317" s="86">
        <f t="shared" si="1301"/>
        <v>-68.17</v>
      </c>
      <c r="P4317" s="86">
        <f t="shared" si="1302"/>
        <v>0</v>
      </c>
      <c r="Q4317" s="86">
        <f t="shared" si="1303"/>
        <v>0</v>
      </c>
      <c r="R4317" s="86">
        <f t="shared" si="1304"/>
        <v>0</v>
      </c>
      <c r="S4317" s="86">
        <f t="shared" si="1305"/>
        <v>0</v>
      </c>
      <c r="T4317" s="86">
        <f t="shared" si="1306"/>
        <v>-68.17</v>
      </c>
      <c r="U4317" s="87">
        <v>-68.17</v>
      </c>
    </row>
    <row r="4318" spans="1:21" s="30" customFormat="1" ht="24.6" hidden="1" outlineLevel="1" x14ac:dyDescent="0.55000000000000004">
      <c r="A4318" s="27" t="s">
        <v>327</v>
      </c>
      <c r="B4318" s="28"/>
      <c r="C4318" s="27"/>
      <c r="D4318" s="27" t="str">
        <f>"""NAV Direct"",""CRONUS JetCorp USA"",""21"",""1"",""441785"""</f>
        <v>"NAV Direct","CRONUS JetCorp USA","21","1","441785"</v>
      </c>
      <c r="E4318" s="31" t="str">
        <f t="shared" si="1299"/>
        <v>C100120</v>
      </c>
      <c r="F4318" s="31"/>
      <c r="G4318" s="31"/>
      <c r="H4318" s="31"/>
      <c r="I4318" s="56"/>
      <c r="J4318" s="56"/>
      <c r="K4318" s="82" t="str">
        <f t="shared" si="1307"/>
        <v>Credit Memo</v>
      </c>
      <c r="L4318" s="83" t="str">
        <f>"SC_100988"</f>
        <v>SC_100988</v>
      </c>
      <c r="M4318" s="84">
        <v>42693</v>
      </c>
      <c r="N4318" s="85">
        <f t="shared" si="1300"/>
        <v>1119</v>
      </c>
      <c r="O4318" s="86">
        <f t="shared" si="1301"/>
        <v>-67.94</v>
      </c>
      <c r="P4318" s="86">
        <f t="shared" si="1302"/>
        <v>0</v>
      </c>
      <c r="Q4318" s="86">
        <f t="shared" si="1303"/>
        <v>0</v>
      </c>
      <c r="R4318" s="86">
        <f t="shared" si="1304"/>
        <v>0</v>
      </c>
      <c r="S4318" s="86">
        <f t="shared" si="1305"/>
        <v>0</v>
      </c>
      <c r="T4318" s="86">
        <f t="shared" si="1306"/>
        <v>-67.94</v>
      </c>
      <c r="U4318" s="87">
        <v>-67.94</v>
      </c>
    </row>
    <row r="4319" spans="1:21" s="30" customFormat="1" ht="24.6" hidden="1" outlineLevel="1" x14ac:dyDescent="0.55000000000000004">
      <c r="A4319" s="27" t="s">
        <v>327</v>
      </c>
      <c r="B4319" s="28"/>
      <c r="C4319" s="27"/>
      <c r="D4319" s="27" t="str">
        <f>"""NAV Direct"",""CRONUS JetCorp USA"",""21"",""1"",""441808"""</f>
        <v>"NAV Direct","CRONUS JetCorp USA","21","1","441808"</v>
      </c>
      <c r="E4319" s="31">
        <f t="shared" si="1299"/>
        <v>0</v>
      </c>
      <c r="F4319" s="31"/>
      <c r="G4319" s="31"/>
      <c r="H4319" s="31"/>
      <c r="I4319" s="56"/>
      <c r="J4319" s="56"/>
      <c r="K4319" s="82" t="str">
        <f t="shared" si="1307"/>
        <v>Credit Memo</v>
      </c>
      <c r="L4319" s="83" t="str">
        <f>"SC_100989"</f>
        <v>SC_100989</v>
      </c>
      <c r="M4319" s="84">
        <v>42734</v>
      </c>
      <c r="N4319" s="85">
        <f t="shared" si="1300"/>
        <v>1078</v>
      </c>
      <c r="O4319" s="86">
        <f t="shared" si="1301"/>
        <v>-68.77</v>
      </c>
      <c r="P4319" s="86">
        <f t="shared" si="1302"/>
        <v>0</v>
      </c>
      <c r="Q4319" s="86">
        <f t="shared" si="1303"/>
        <v>0</v>
      </c>
      <c r="R4319" s="86">
        <f t="shared" si="1304"/>
        <v>0</v>
      </c>
      <c r="S4319" s="86">
        <f t="shared" si="1305"/>
        <v>0</v>
      </c>
      <c r="T4319" s="86">
        <f t="shared" si="1306"/>
        <v>-68.77</v>
      </c>
      <c r="U4319" s="87">
        <v>-68.77</v>
      </c>
    </row>
    <row r="4320" spans="1:21" s="30" customFormat="1" ht="24.6" hidden="1" outlineLevel="1" x14ac:dyDescent="0.55000000000000004">
      <c r="A4320" s="27" t="s">
        <v>327</v>
      </c>
      <c r="B4320" s="28"/>
      <c r="C4320" s="27"/>
      <c r="D4320" s="27" t="str">
        <f>"""NAV Direct"",""CRONUS JetCorp USA"",""21"",""1"",""441859"""</f>
        <v>"NAV Direct","CRONUS JetCorp USA","21","1","441859"</v>
      </c>
      <c r="E4320" s="31" t="str">
        <f t="shared" si="1299"/>
        <v>C100120</v>
      </c>
      <c r="F4320" s="31"/>
      <c r="G4320" s="31"/>
      <c r="H4320" s="31"/>
      <c r="I4320" s="56"/>
      <c r="J4320" s="56"/>
      <c r="K4320" s="82" t="str">
        <f t="shared" si="1307"/>
        <v>Credit Memo</v>
      </c>
      <c r="L4320" s="83" t="str">
        <f>"SC_100992"</f>
        <v>SC_100992</v>
      </c>
      <c r="M4320" s="84">
        <v>42793</v>
      </c>
      <c r="N4320" s="85">
        <f t="shared" si="1300"/>
        <v>1019</v>
      </c>
      <c r="O4320" s="86">
        <f t="shared" si="1301"/>
        <v>-98.49</v>
      </c>
      <c r="P4320" s="86">
        <f t="shared" si="1302"/>
        <v>0</v>
      </c>
      <c r="Q4320" s="86">
        <f t="shared" si="1303"/>
        <v>0</v>
      </c>
      <c r="R4320" s="86">
        <f t="shared" si="1304"/>
        <v>0</v>
      </c>
      <c r="S4320" s="86">
        <f t="shared" si="1305"/>
        <v>0</v>
      </c>
      <c r="T4320" s="86">
        <f t="shared" si="1306"/>
        <v>-98.49</v>
      </c>
      <c r="U4320" s="87">
        <v>-98.49</v>
      </c>
    </row>
    <row r="4321" spans="1:22" s="30" customFormat="1" ht="24.6" hidden="1" outlineLevel="1" x14ac:dyDescent="0.55000000000000004">
      <c r="A4321" s="27" t="s">
        <v>327</v>
      </c>
      <c r="B4321" s="28"/>
      <c r="C4321" s="27"/>
      <c r="D4321" s="27" t="str">
        <f>"""NAV Direct"",""CRONUS JetCorp USA"",""21"",""1"",""441878"""</f>
        <v>"NAV Direct","CRONUS JetCorp USA","21","1","441878"</v>
      </c>
      <c r="E4321" s="31">
        <f t="shared" si="1299"/>
        <v>0</v>
      </c>
      <c r="F4321" s="31"/>
      <c r="G4321" s="31"/>
      <c r="H4321" s="31"/>
      <c r="I4321" s="56"/>
      <c r="J4321" s="56"/>
      <c r="K4321" s="82" t="str">
        <f t="shared" si="1307"/>
        <v>Credit Memo</v>
      </c>
      <c r="L4321" s="83" t="str">
        <f>"SC_100993"</f>
        <v>SC_100993</v>
      </c>
      <c r="M4321" s="84">
        <v>42812</v>
      </c>
      <c r="N4321" s="85">
        <f t="shared" si="1300"/>
        <v>1000</v>
      </c>
      <c r="O4321" s="86">
        <f t="shared" si="1301"/>
        <v>-98.360000000000014</v>
      </c>
      <c r="P4321" s="86">
        <f t="shared" si="1302"/>
        <v>0</v>
      </c>
      <c r="Q4321" s="86">
        <f t="shared" si="1303"/>
        <v>0</v>
      </c>
      <c r="R4321" s="86">
        <f t="shared" si="1304"/>
        <v>0</v>
      </c>
      <c r="S4321" s="86">
        <f t="shared" si="1305"/>
        <v>0</v>
      </c>
      <c r="T4321" s="86">
        <f t="shared" si="1306"/>
        <v>-98.360000000000014</v>
      </c>
      <c r="U4321" s="87">
        <v>-98.360000000000014</v>
      </c>
    </row>
    <row r="4322" spans="1:22" s="30" customFormat="1" ht="24.6" hidden="1" outlineLevel="1" x14ac:dyDescent="0.55000000000000004">
      <c r="A4322" s="27" t="s">
        <v>327</v>
      </c>
      <c r="B4322" s="28"/>
      <c r="C4322" s="27"/>
      <c r="D4322" s="27" t="str">
        <f>"""NAV Direct"",""CRONUS JetCorp USA"",""21"",""1"",""442131"""</f>
        <v>"NAV Direct","CRONUS JetCorp USA","21","1","442131"</v>
      </c>
      <c r="E4322" s="31" t="str">
        <f t="shared" si="1299"/>
        <v>C100120</v>
      </c>
      <c r="F4322" s="31"/>
      <c r="G4322" s="31"/>
      <c r="H4322" s="31"/>
      <c r="I4322" s="56"/>
      <c r="J4322" s="56"/>
      <c r="K4322" s="82" t="str">
        <f t="shared" si="1307"/>
        <v>Credit Memo</v>
      </c>
      <c r="L4322" s="83" t="str">
        <f>"SC_101006"</f>
        <v>SC_101006</v>
      </c>
      <c r="M4322" s="84">
        <v>43049</v>
      </c>
      <c r="N4322" s="85">
        <f t="shared" si="1300"/>
        <v>763</v>
      </c>
      <c r="O4322" s="86">
        <f t="shared" si="1301"/>
        <v>-53.660000000000004</v>
      </c>
      <c r="P4322" s="86">
        <f t="shared" si="1302"/>
        <v>0</v>
      </c>
      <c r="Q4322" s="86">
        <f t="shared" si="1303"/>
        <v>0</v>
      </c>
      <c r="R4322" s="86">
        <f t="shared" si="1304"/>
        <v>0</v>
      </c>
      <c r="S4322" s="86">
        <f t="shared" si="1305"/>
        <v>0</v>
      </c>
      <c r="T4322" s="86">
        <f t="shared" si="1306"/>
        <v>-53.660000000000004</v>
      </c>
      <c r="U4322" s="87">
        <v>-53.660000000000004</v>
      </c>
    </row>
    <row r="4323" spans="1:22" s="30" customFormat="1" ht="24.6" hidden="1" outlineLevel="1" x14ac:dyDescent="0.55000000000000004">
      <c r="A4323" s="27" t="s">
        <v>327</v>
      </c>
      <c r="B4323" s="28"/>
      <c r="C4323" s="27"/>
      <c r="D4323" s="27" t="str">
        <f>"""NAV Direct"",""CRONUS JetCorp USA"",""21"",""1"",""442196"""</f>
        <v>"NAV Direct","CRONUS JetCorp USA","21","1","442196"</v>
      </c>
      <c r="E4323" s="31">
        <f t="shared" si="1299"/>
        <v>0</v>
      </c>
      <c r="F4323" s="31"/>
      <c r="G4323" s="31"/>
      <c r="H4323" s="31"/>
      <c r="I4323" s="56"/>
      <c r="J4323" s="56"/>
      <c r="K4323" s="82" t="str">
        <f t="shared" si="1307"/>
        <v>Credit Memo</v>
      </c>
      <c r="L4323" s="83" t="str">
        <f>"SC_101009"</f>
        <v>SC_101009</v>
      </c>
      <c r="M4323" s="84">
        <v>43080</v>
      </c>
      <c r="N4323" s="85">
        <f t="shared" si="1300"/>
        <v>732</v>
      </c>
      <c r="O4323" s="86">
        <f t="shared" si="1301"/>
        <v>-52.019999999999996</v>
      </c>
      <c r="P4323" s="86">
        <f t="shared" si="1302"/>
        <v>0</v>
      </c>
      <c r="Q4323" s="86">
        <f t="shared" si="1303"/>
        <v>0</v>
      </c>
      <c r="R4323" s="86">
        <f t="shared" si="1304"/>
        <v>0</v>
      </c>
      <c r="S4323" s="86">
        <f t="shared" si="1305"/>
        <v>0</v>
      </c>
      <c r="T4323" s="86">
        <f t="shared" si="1306"/>
        <v>-52.019999999999996</v>
      </c>
      <c r="U4323" s="87">
        <v>-52.019999999999996</v>
      </c>
    </row>
    <row r="4324" spans="1:22" s="30" customFormat="1" ht="24.6" hidden="1" outlineLevel="1" x14ac:dyDescent="0.55000000000000004">
      <c r="A4324" s="27" t="s">
        <v>327</v>
      </c>
      <c r="B4324" s="28"/>
      <c r="C4324" s="27"/>
      <c r="D4324" s="27" t="str">
        <f>"""NAV Direct"",""CRONUS JetCorp USA"",""21"",""1"",""442234"""</f>
        <v>"NAV Direct","CRONUS JetCorp USA","21","1","442234"</v>
      </c>
      <c r="E4324" s="31" t="str">
        <f t="shared" si="1299"/>
        <v>C100120</v>
      </c>
      <c r="F4324" s="31"/>
      <c r="G4324" s="31"/>
      <c r="H4324" s="31"/>
      <c r="I4324" s="56"/>
      <c r="J4324" s="56"/>
      <c r="K4324" s="82" t="str">
        <f t="shared" si="1307"/>
        <v>Credit Memo</v>
      </c>
      <c r="L4324" s="83" t="str">
        <f>"SC_101011"</f>
        <v>SC_101011</v>
      </c>
      <c r="M4324" s="84">
        <v>43147</v>
      </c>
      <c r="N4324" s="85">
        <f t="shared" si="1300"/>
        <v>665</v>
      </c>
      <c r="O4324" s="86">
        <f t="shared" si="1301"/>
        <v>-52.25</v>
      </c>
      <c r="P4324" s="86">
        <f t="shared" si="1302"/>
        <v>0</v>
      </c>
      <c r="Q4324" s="86">
        <f t="shared" si="1303"/>
        <v>0</v>
      </c>
      <c r="R4324" s="86">
        <f t="shared" si="1304"/>
        <v>0</v>
      </c>
      <c r="S4324" s="86">
        <f t="shared" si="1305"/>
        <v>0</v>
      </c>
      <c r="T4324" s="86">
        <f t="shared" si="1306"/>
        <v>-52.25</v>
      </c>
      <c r="U4324" s="87">
        <v>-52.25</v>
      </c>
    </row>
    <row r="4325" spans="1:22" s="30" customFormat="1" ht="24.6" hidden="1" outlineLevel="1" x14ac:dyDescent="0.55000000000000004">
      <c r="A4325" s="27" t="s">
        <v>327</v>
      </c>
      <c r="B4325" s="28"/>
      <c r="C4325" s="27"/>
      <c r="D4325" s="27" t="str">
        <f>"""NAV Direct"",""CRONUS JetCorp USA"",""21"",""1"",""442516"""</f>
        <v>"NAV Direct","CRONUS JetCorp USA","21","1","442516"</v>
      </c>
      <c r="E4325" s="31">
        <f t="shared" si="1299"/>
        <v>0</v>
      </c>
      <c r="F4325" s="31"/>
      <c r="G4325" s="31"/>
      <c r="H4325" s="31"/>
      <c r="I4325" s="56"/>
      <c r="J4325" s="56"/>
      <c r="K4325" s="82" t="str">
        <f t="shared" si="1307"/>
        <v>Credit Memo</v>
      </c>
      <c r="L4325" s="83" t="str">
        <f>"SC_101026"</f>
        <v>SC_101026</v>
      </c>
      <c r="M4325" s="84">
        <v>43387</v>
      </c>
      <c r="N4325" s="85">
        <f t="shared" si="1300"/>
        <v>425</v>
      </c>
      <c r="O4325" s="86">
        <f t="shared" si="1301"/>
        <v>-76.64</v>
      </c>
      <c r="P4325" s="86">
        <f t="shared" si="1302"/>
        <v>0</v>
      </c>
      <c r="Q4325" s="86">
        <f t="shared" si="1303"/>
        <v>0</v>
      </c>
      <c r="R4325" s="86">
        <f t="shared" si="1304"/>
        <v>0</v>
      </c>
      <c r="S4325" s="86">
        <f t="shared" si="1305"/>
        <v>0</v>
      </c>
      <c r="T4325" s="86">
        <f t="shared" si="1306"/>
        <v>-76.64</v>
      </c>
      <c r="U4325" s="87">
        <v>-76.64</v>
      </c>
    </row>
    <row r="4326" spans="1:22" s="30" customFormat="1" ht="24.6" hidden="1" outlineLevel="1" x14ac:dyDescent="0.55000000000000004">
      <c r="A4326" s="27" t="s">
        <v>327</v>
      </c>
      <c r="B4326" s="28"/>
      <c r="C4326" s="27"/>
      <c r="D4326" s="27" t="str">
        <f>"""NAV Direct"",""CRONUS JetCorp USA"",""21"",""1"",""442559"""</f>
        <v>"NAV Direct","CRONUS JetCorp USA","21","1","442559"</v>
      </c>
      <c r="E4326" s="31" t="str">
        <f t="shared" si="1299"/>
        <v>C100120</v>
      </c>
      <c r="F4326" s="31"/>
      <c r="G4326" s="31"/>
      <c r="H4326" s="31"/>
      <c r="I4326" s="56"/>
      <c r="J4326" s="56"/>
      <c r="K4326" s="82" t="str">
        <f t="shared" si="1307"/>
        <v>Credit Memo</v>
      </c>
      <c r="L4326" s="83" t="str">
        <f>"SC_101029"</f>
        <v>SC_101029</v>
      </c>
      <c r="M4326" s="84">
        <v>43418</v>
      </c>
      <c r="N4326" s="85">
        <f t="shared" si="1300"/>
        <v>394</v>
      </c>
      <c r="O4326" s="86">
        <f t="shared" si="1301"/>
        <v>-77.150000000000006</v>
      </c>
      <c r="P4326" s="86">
        <f t="shared" si="1302"/>
        <v>0</v>
      </c>
      <c r="Q4326" s="86">
        <f t="shared" si="1303"/>
        <v>0</v>
      </c>
      <c r="R4326" s="86">
        <f t="shared" si="1304"/>
        <v>0</v>
      </c>
      <c r="S4326" s="86">
        <f t="shared" si="1305"/>
        <v>0</v>
      </c>
      <c r="T4326" s="86">
        <f t="shared" si="1306"/>
        <v>-77.150000000000006</v>
      </c>
      <c r="U4326" s="87">
        <v>-77.150000000000006</v>
      </c>
    </row>
    <row r="4327" spans="1:22" s="30" customFormat="1" ht="24.6" hidden="1" outlineLevel="1" x14ac:dyDescent="0.55000000000000004">
      <c r="A4327" s="27" t="s">
        <v>327</v>
      </c>
      <c r="B4327" s="28"/>
      <c r="C4327" s="27"/>
      <c r="D4327" s="27" t="str">
        <f>"""NAV Direct"",""CRONUS JetCorp USA"",""21"",""1"",""443221"""</f>
        <v>"NAV Direct","CRONUS JetCorp USA","21","1","443221"</v>
      </c>
      <c r="E4327" s="31">
        <f t="shared" si="1299"/>
        <v>0</v>
      </c>
      <c r="F4327" s="31"/>
      <c r="G4327" s="31"/>
      <c r="H4327" s="31"/>
      <c r="I4327" s="56"/>
      <c r="J4327" s="56"/>
      <c r="K4327" s="82" t="str">
        <f t="shared" si="1307"/>
        <v>Credit Memo</v>
      </c>
      <c r="L4327" s="83" t="str">
        <f>"SC_101063"</f>
        <v>SC_101063</v>
      </c>
      <c r="M4327" s="84">
        <v>42142</v>
      </c>
      <c r="N4327" s="85">
        <f t="shared" si="1300"/>
        <v>1670</v>
      </c>
      <c r="O4327" s="86">
        <f t="shared" si="1301"/>
        <v>-47.57</v>
      </c>
      <c r="P4327" s="86">
        <f t="shared" si="1302"/>
        <v>0</v>
      </c>
      <c r="Q4327" s="86">
        <f t="shared" si="1303"/>
        <v>0</v>
      </c>
      <c r="R4327" s="86">
        <f t="shared" si="1304"/>
        <v>0</v>
      </c>
      <c r="S4327" s="86">
        <f t="shared" si="1305"/>
        <v>0</v>
      </c>
      <c r="T4327" s="86">
        <f t="shared" si="1306"/>
        <v>-47.57</v>
      </c>
      <c r="U4327" s="87">
        <v>-47.57</v>
      </c>
    </row>
    <row r="4328" spans="1:22" s="30" customFormat="1" ht="24.6" hidden="1" outlineLevel="1" x14ac:dyDescent="0.55000000000000004">
      <c r="A4328" s="27" t="s">
        <v>327</v>
      </c>
      <c r="B4328" s="28"/>
      <c r="C4328" s="27"/>
      <c r="D4328" s="27" t="str">
        <f>"""NAV Direct"",""CRONUS JetCorp USA"",""21"",""1"",""443274"""</f>
        <v>"NAV Direct","CRONUS JetCorp USA","21","1","443274"</v>
      </c>
      <c r="E4328" s="31" t="str">
        <f t="shared" si="1299"/>
        <v>C100120</v>
      </c>
      <c r="F4328" s="31"/>
      <c r="G4328" s="31"/>
      <c r="H4328" s="31"/>
      <c r="I4328" s="56"/>
      <c r="J4328" s="56"/>
      <c r="K4328" s="82" t="str">
        <f t="shared" si="1307"/>
        <v>Credit Memo</v>
      </c>
      <c r="L4328" s="83" t="str">
        <f>"SC_101066"</f>
        <v>SC_101066</v>
      </c>
      <c r="M4328" s="84">
        <v>42190</v>
      </c>
      <c r="N4328" s="85">
        <f t="shared" si="1300"/>
        <v>1622</v>
      </c>
      <c r="O4328" s="86">
        <f t="shared" si="1301"/>
        <v>-56.44</v>
      </c>
      <c r="P4328" s="86">
        <f t="shared" si="1302"/>
        <v>0</v>
      </c>
      <c r="Q4328" s="86">
        <f t="shared" si="1303"/>
        <v>0</v>
      </c>
      <c r="R4328" s="86">
        <f t="shared" si="1304"/>
        <v>0</v>
      </c>
      <c r="S4328" s="86">
        <f t="shared" si="1305"/>
        <v>0</v>
      </c>
      <c r="T4328" s="86">
        <f t="shared" si="1306"/>
        <v>-56.44</v>
      </c>
      <c r="U4328" s="87">
        <v>-56.44</v>
      </c>
    </row>
    <row r="4329" spans="1:22" s="30" customFormat="1" ht="24.6" hidden="1" outlineLevel="1" x14ac:dyDescent="0.55000000000000004">
      <c r="A4329" s="27" t="s">
        <v>327</v>
      </c>
      <c r="B4329" s="28"/>
      <c r="C4329" s="27"/>
      <c r="D4329" s="27" t="str">
        <f>"""NAV Direct"",""CRONUS JetCorp USA"",""21"",""1"",""443548"""</f>
        <v>"NAV Direct","CRONUS JetCorp USA","21","1","443548"</v>
      </c>
      <c r="E4329" s="31">
        <f t="shared" si="1299"/>
        <v>0</v>
      </c>
      <c r="F4329" s="31"/>
      <c r="G4329" s="31"/>
      <c r="H4329" s="31"/>
      <c r="I4329" s="56"/>
      <c r="J4329" s="56"/>
      <c r="K4329" s="82" t="str">
        <f t="shared" si="1307"/>
        <v>Credit Memo</v>
      </c>
      <c r="L4329" s="83" t="str">
        <f>"SC_101078"</f>
        <v>SC_101078</v>
      </c>
      <c r="M4329" s="84">
        <v>42311</v>
      </c>
      <c r="N4329" s="85">
        <f t="shared" si="1300"/>
        <v>1501</v>
      </c>
      <c r="O4329" s="86">
        <f t="shared" si="1301"/>
        <v>-82.43</v>
      </c>
      <c r="P4329" s="86">
        <f t="shared" si="1302"/>
        <v>0</v>
      </c>
      <c r="Q4329" s="86">
        <f t="shared" si="1303"/>
        <v>0</v>
      </c>
      <c r="R4329" s="86">
        <f t="shared" si="1304"/>
        <v>0</v>
      </c>
      <c r="S4329" s="86">
        <f t="shared" si="1305"/>
        <v>0</v>
      </c>
      <c r="T4329" s="86">
        <f t="shared" si="1306"/>
        <v>-82.43</v>
      </c>
      <c r="U4329" s="87">
        <v>-82.43</v>
      </c>
    </row>
    <row r="4330" spans="1:22" s="22" customFormat="1" ht="20.399999999999999" collapsed="1" x14ac:dyDescent="0.45">
      <c r="A4330" s="12" t="s">
        <v>327</v>
      </c>
      <c r="B4330" s="19"/>
      <c r="C4330" s="12"/>
      <c r="D4330" s="12"/>
      <c r="E4330" s="23"/>
      <c r="F4330" s="23"/>
      <c r="G4330" s="23"/>
      <c r="H4330" s="23"/>
      <c r="I4330" s="49"/>
      <c r="J4330" s="88"/>
      <c r="K4330" s="88"/>
      <c r="L4330" s="89"/>
      <c r="M4330" s="89"/>
      <c r="N4330" s="89"/>
      <c r="O4330" s="89"/>
      <c r="P4330" s="89"/>
      <c r="Q4330" s="90"/>
      <c r="R4330" s="90"/>
      <c r="S4330" s="91"/>
      <c r="T4330" s="92"/>
      <c r="U4330" s="92"/>
    </row>
    <row r="4331" spans="1:22" s="22" customFormat="1" ht="20.399999999999999" x14ac:dyDescent="0.45">
      <c r="A4331" s="12" t="s">
        <v>327</v>
      </c>
      <c r="B4331" s="19"/>
      <c r="C4331" s="12"/>
      <c r="D4331" s="12"/>
      <c r="E4331" s="23"/>
      <c r="F4331" s="23"/>
      <c r="G4331" s="23"/>
      <c r="H4331" s="23"/>
      <c r="I4331" s="49"/>
      <c r="J4331" s="88"/>
      <c r="K4331" s="88"/>
      <c r="L4331" s="89"/>
      <c r="M4331" s="89"/>
      <c r="N4331" s="89"/>
      <c r="O4331" s="89"/>
      <c r="P4331" s="89"/>
      <c r="Q4331" s="90"/>
      <c r="R4331" s="90"/>
      <c r="S4331" s="91"/>
      <c r="T4331" s="92"/>
      <c r="U4331" s="92"/>
    </row>
    <row r="4332" spans="1:22" s="26" customFormat="1" ht="24.6" x14ac:dyDescent="0.55000000000000004">
      <c r="A4332" s="27" t="s">
        <v>327</v>
      </c>
      <c r="B4332" s="28"/>
      <c r="C4332" s="27" t="str">
        <f>"""NAV Direct"",""CRONUS JetCorp USA"",""18"",""1"",""C100121"""</f>
        <v>"NAV Direct","CRONUS JetCorp USA","18","1","C100121"</v>
      </c>
      <c r="D4332" s="27"/>
      <c r="E4332" s="28" t="str">
        <f>H4332</f>
        <v>C100121</v>
      </c>
      <c r="F4332" s="28"/>
      <c r="G4332" s="28"/>
      <c r="H4332" s="28" t="str">
        <f>"C100121"</f>
        <v>C100121</v>
      </c>
      <c r="I4332" s="116" t="str">
        <f>"C100121  -  Techibase"</f>
        <v>C100121  -  Techibase</v>
      </c>
      <c r="J4332" s="117" t="str">
        <f>""</f>
        <v/>
      </c>
      <c r="K4332" s="118"/>
      <c r="L4332" s="119">
        <f>SUBTOTAL(3,L4333:L4351)</f>
        <v>15</v>
      </c>
      <c r="M4332" s="118"/>
      <c r="N4332" s="118"/>
      <c r="O4332" s="120">
        <f t="shared" ref="O4332:T4332" si="1308">SUBTOTAL(9,O4333:O4351)</f>
        <v>30918.699999999997</v>
      </c>
      <c r="P4332" s="120">
        <f t="shared" si="1308"/>
        <v>0</v>
      </c>
      <c r="Q4332" s="120">
        <f t="shared" si="1308"/>
        <v>0</v>
      </c>
      <c r="R4332" s="120">
        <f t="shared" si="1308"/>
        <v>0</v>
      </c>
      <c r="S4332" s="120">
        <f t="shared" si="1308"/>
        <v>0</v>
      </c>
      <c r="T4332" s="120">
        <f t="shared" si="1308"/>
        <v>30918.699999999997</v>
      </c>
      <c r="U4332" s="81"/>
    </row>
    <row r="4333" spans="1:22" s="26" customFormat="1" ht="24.6" x14ac:dyDescent="0.55000000000000004">
      <c r="A4333" s="27" t="s">
        <v>327</v>
      </c>
      <c r="B4333" s="28"/>
      <c r="C4333" s="27" t="str">
        <f>C4332</f>
        <v>"NAV Direct","CRONUS JetCorp USA","18","1","C100121"</v>
      </c>
      <c r="D4333" s="27"/>
      <c r="E4333" s="28" t="str">
        <f>E4332</f>
        <v>C100121</v>
      </c>
      <c r="F4333" s="28"/>
      <c r="G4333" s="28"/>
      <c r="H4333" s="28"/>
      <c r="I4333" s="121" t="str">
        <f>"Contact: Arturo Morissa"</f>
        <v>Contact: Arturo Morissa</v>
      </c>
      <c r="J4333" s="121"/>
      <c r="K4333" s="122"/>
      <c r="L4333" s="123"/>
      <c r="M4333" s="123"/>
      <c r="N4333" s="124"/>
      <c r="O4333" s="124"/>
      <c r="P4333" s="123"/>
      <c r="Q4333" s="125"/>
      <c r="R4333" s="126"/>
      <c r="S4333" s="126"/>
      <c r="T4333" s="125"/>
      <c r="U4333" s="81"/>
    </row>
    <row r="4334" spans="1:22" s="26" customFormat="1" ht="24.6" x14ac:dyDescent="0.55000000000000004">
      <c r="A4334" s="27" t="s">
        <v>327</v>
      </c>
      <c r="B4334" s="28"/>
      <c r="C4334" s="27" t="str">
        <f>C4333</f>
        <v>"NAV Direct","CRONUS JetCorp USA","18","1","C100121"</v>
      </c>
      <c r="D4334" s="27"/>
      <c r="E4334" s="28" t="str">
        <f>E4333</f>
        <v>C100121</v>
      </c>
      <c r="F4334" s="28"/>
      <c r="G4334" s="28"/>
      <c r="H4334" s="28"/>
      <c r="I4334" s="121" t="str">
        <f>"Techibase@Cronus.com"</f>
        <v>Techibase@Cronus.com</v>
      </c>
      <c r="J4334" s="121"/>
      <c r="K4334" s="122"/>
      <c r="L4334" s="124"/>
      <c r="M4334" s="124"/>
      <c r="N4334" s="124"/>
      <c r="O4334" s="124"/>
      <c r="P4334" s="123"/>
      <c r="Q4334" s="125"/>
      <c r="R4334" s="126"/>
      <c r="S4334" s="126"/>
      <c r="T4334" s="125"/>
      <c r="U4334" s="81"/>
    </row>
    <row r="4335" spans="1:22" ht="12.75" hidden="1" customHeight="1" outlineLevel="1" x14ac:dyDescent="0.45">
      <c r="A4335" s="12" t="s">
        <v>328</v>
      </c>
      <c r="B4335" s="19"/>
      <c r="E4335" s="19"/>
      <c r="F4335" s="19"/>
      <c r="G4335" s="19"/>
      <c r="H4335" s="19"/>
      <c r="I4335" s="61"/>
      <c r="J4335" s="61"/>
      <c r="K4335" s="61"/>
      <c r="L4335" s="61"/>
      <c r="M4335" s="61"/>
      <c r="N4335" s="61"/>
      <c r="O4335" s="61"/>
      <c r="P4335" s="61"/>
      <c r="Q4335" s="61"/>
      <c r="R4335" s="61"/>
      <c r="S4335" s="61"/>
      <c r="T4335" s="61"/>
      <c r="U4335" s="61"/>
      <c r="V4335" s="21"/>
    </row>
    <row r="4336" spans="1:22" s="30" customFormat="1" ht="24.6" hidden="1" outlineLevel="1" x14ac:dyDescent="0.55000000000000004">
      <c r="A4336" s="27" t="s">
        <v>327</v>
      </c>
      <c r="B4336" s="28"/>
      <c r="C4336" s="27"/>
      <c r="D4336" s="27" t="str">
        <f>"""NAV Direct"",""CRONUS JetCorp USA"",""21"",""1"",""209910"""</f>
        <v>"NAV Direct","CRONUS JetCorp USA","21","1","209910"</v>
      </c>
      <c r="E4336" s="31" t="str">
        <f t="shared" ref="E4336:E4350" si="1309">E4334</f>
        <v>C100121</v>
      </c>
      <c r="F4336" s="31"/>
      <c r="G4336" s="31"/>
      <c r="H4336" s="31"/>
      <c r="I4336" s="56"/>
      <c r="J4336" s="56"/>
      <c r="K4336" s="82" t="str">
        <f t="shared" ref="K4336:K4343" si="1310">"Invoice"</f>
        <v>Invoice</v>
      </c>
      <c r="L4336" s="83" t="str">
        <f>"SI_108485"</f>
        <v>SI_108485</v>
      </c>
      <c r="M4336" s="84">
        <v>42098</v>
      </c>
      <c r="N4336" s="85">
        <f t="shared" ref="N4336:N4350" si="1311">StartDate-$M4336+1</f>
        <v>1714</v>
      </c>
      <c r="O4336" s="86">
        <f t="shared" ref="O4336:O4350" si="1312">SUM(P4336:T4336)</f>
        <v>3713.13</v>
      </c>
      <c r="P4336" s="86">
        <f t="shared" ref="P4336:P4350" si="1313">IF($M4336&gt;=$P$18,U4336,0)</f>
        <v>0</v>
      </c>
      <c r="Q4336" s="86">
        <f t="shared" ref="Q4336:Q4350" si="1314">IF(AND($M4336&gt;=$Q$16,$M4336&lt;=$Q$18),U4336,0)</f>
        <v>0</v>
      </c>
      <c r="R4336" s="86">
        <f t="shared" ref="R4336:R4350" si="1315">IF(AND($M4336&gt;=$R$16,$M4336&lt;=$R$18),U4336,0)</f>
        <v>0</v>
      </c>
      <c r="S4336" s="86">
        <f t="shared" ref="S4336:S4350" si="1316">IF(AND($M4336&gt;=$S$16,$M4336&lt;=$S$18),U4336,0)</f>
        <v>0</v>
      </c>
      <c r="T4336" s="86">
        <f t="shared" ref="T4336:T4350" si="1317">IF($M4336&lt;=$T$18,U4336,0)</f>
        <v>3713.13</v>
      </c>
      <c r="U4336" s="87">
        <v>3713.13</v>
      </c>
    </row>
    <row r="4337" spans="1:21" s="30" customFormat="1" ht="24.6" hidden="1" outlineLevel="1" x14ac:dyDescent="0.55000000000000004">
      <c r="A4337" s="27" t="s">
        <v>327</v>
      </c>
      <c r="B4337" s="28"/>
      <c r="C4337" s="27"/>
      <c r="D4337" s="27" t="str">
        <f>"""NAV Direct"",""CRONUS JetCorp USA"",""21"",""1"",""210436"""</f>
        <v>"NAV Direct","CRONUS JetCorp USA","21","1","210436"</v>
      </c>
      <c r="E4337" s="31">
        <f t="shared" si="1309"/>
        <v>0</v>
      </c>
      <c r="F4337" s="31"/>
      <c r="G4337" s="31"/>
      <c r="H4337" s="31"/>
      <c r="I4337" s="56"/>
      <c r="J4337" s="56"/>
      <c r="K4337" s="82" t="str">
        <f t="shared" si="1310"/>
        <v>Invoice</v>
      </c>
      <c r="L4337" s="83" t="str">
        <f>"SI_108498"</f>
        <v>SI_108498</v>
      </c>
      <c r="M4337" s="84">
        <v>42140</v>
      </c>
      <c r="N4337" s="85">
        <f t="shared" si="1311"/>
        <v>1672</v>
      </c>
      <c r="O4337" s="86">
        <f t="shared" si="1312"/>
        <v>3760.96</v>
      </c>
      <c r="P4337" s="86">
        <f t="shared" si="1313"/>
        <v>0</v>
      </c>
      <c r="Q4337" s="86">
        <f t="shared" si="1314"/>
        <v>0</v>
      </c>
      <c r="R4337" s="86">
        <f t="shared" si="1315"/>
        <v>0</v>
      </c>
      <c r="S4337" s="86">
        <f t="shared" si="1316"/>
        <v>0</v>
      </c>
      <c r="T4337" s="86">
        <f t="shared" si="1317"/>
        <v>3760.96</v>
      </c>
      <c r="U4337" s="87">
        <v>3760.96</v>
      </c>
    </row>
    <row r="4338" spans="1:21" s="30" customFormat="1" ht="24.6" hidden="1" outlineLevel="1" x14ac:dyDescent="0.55000000000000004">
      <c r="A4338" s="27" t="s">
        <v>327</v>
      </c>
      <c r="B4338" s="28"/>
      <c r="C4338" s="27"/>
      <c r="D4338" s="27" t="str">
        <f>"""NAV Direct"",""CRONUS JetCorp USA"",""21"",""1"",""210743"""</f>
        <v>"NAV Direct","CRONUS JetCorp USA","21","1","210743"</v>
      </c>
      <c r="E4338" s="31" t="str">
        <f t="shared" si="1309"/>
        <v>C100121</v>
      </c>
      <c r="F4338" s="31"/>
      <c r="G4338" s="31"/>
      <c r="H4338" s="31"/>
      <c r="I4338" s="56"/>
      <c r="J4338" s="56"/>
      <c r="K4338" s="82" t="str">
        <f t="shared" si="1310"/>
        <v>Invoice</v>
      </c>
      <c r="L4338" s="83" t="str">
        <f>"SI_108505"</f>
        <v>SI_108505</v>
      </c>
      <c r="M4338" s="84">
        <v>42163</v>
      </c>
      <c r="N4338" s="85">
        <f t="shared" si="1311"/>
        <v>1649</v>
      </c>
      <c r="O4338" s="86">
        <f t="shared" si="1312"/>
        <v>3930.4</v>
      </c>
      <c r="P4338" s="86">
        <f t="shared" si="1313"/>
        <v>0</v>
      </c>
      <c r="Q4338" s="86">
        <f t="shared" si="1314"/>
        <v>0</v>
      </c>
      <c r="R4338" s="86">
        <f t="shared" si="1315"/>
        <v>0</v>
      </c>
      <c r="S4338" s="86">
        <f t="shared" si="1316"/>
        <v>0</v>
      </c>
      <c r="T4338" s="86">
        <f t="shared" si="1317"/>
        <v>3930.4</v>
      </c>
      <c r="U4338" s="87">
        <v>3930.4</v>
      </c>
    </row>
    <row r="4339" spans="1:21" s="30" customFormat="1" ht="24.6" hidden="1" outlineLevel="1" x14ac:dyDescent="0.55000000000000004">
      <c r="A4339" s="27" t="s">
        <v>327</v>
      </c>
      <c r="B4339" s="28"/>
      <c r="C4339" s="27"/>
      <c r="D4339" s="27" t="str">
        <f>"""NAV Direct"",""CRONUS JetCorp USA"",""21"",""1"",""211979"""</f>
        <v>"NAV Direct","CRONUS JetCorp USA","21","1","211979"</v>
      </c>
      <c r="E4339" s="31">
        <f t="shared" si="1309"/>
        <v>0</v>
      </c>
      <c r="F4339" s="31"/>
      <c r="G4339" s="31"/>
      <c r="H4339" s="31"/>
      <c r="I4339" s="56"/>
      <c r="J4339" s="56"/>
      <c r="K4339" s="82" t="str">
        <f t="shared" si="1310"/>
        <v>Invoice</v>
      </c>
      <c r="L4339" s="83" t="str">
        <f>"SI_108533"</f>
        <v>SI_108533</v>
      </c>
      <c r="M4339" s="84">
        <v>42240</v>
      </c>
      <c r="N4339" s="85">
        <f t="shared" si="1311"/>
        <v>1572</v>
      </c>
      <c r="O4339" s="86">
        <f t="shared" si="1312"/>
        <v>3910.83</v>
      </c>
      <c r="P4339" s="86">
        <f t="shared" si="1313"/>
        <v>0</v>
      </c>
      <c r="Q4339" s="86">
        <f t="shared" si="1314"/>
        <v>0</v>
      </c>
      <c r="R4339" s="86">
        <f t="shared" si="1315"/>
        <v>0</v>
      </c>
      <c r="S4339" s="86">
        <f t="shared" si="1316"/>
        <v>0</v>
      </c>
      <c r="T4339" s="86">
        <f t="shared" si="1317"/>
        <v>3910.83</v>
      </c>
      <c r="U4339" s="87">
        <v>3910.83</v>
      </c>
    </row>
    <row r="4340" spans="1:21" s="30" customFormat="1" ht="24.6" hidden="1" outlineLevel="1" x14ac:dyDescent="0.55000000000000004">
      <c r="A4340" s="27" t="s">
        <v>327</v>
      </c>
      <c r="B4340" s="28"/>
      <c r="C4340" s="27"/>
      <c r="D4340" s="27" t="str">
        <f>"""NAV Direct"",""CRONUS JetCorp USA"",""21"",""1"",""212577"""</f>
        <v>"NAV Direct","CRONUS JetCorp USA","21","1","212577"</v>
      </c>
      <c r="E4340" s="31" t="str">
        <f t="shared" si="1309"/>
        <v>C100121</v>
      </c>
      <c r="F4340" s="31"/>
      <c r="G4340" s="31"/>
      <c r="H4340" s="31"/>
      <c r="I4340" s="56"/>
      <c r="J4340" s="56"/>
      <c r="K4340" s="82" t="str">
        <f t="shared" si="1310"/>
        <v>Invoice</v>
      </c>
      <c r="L4340" s="83" t="str">
        <f>"SI_108547"</f>
        <v>SI_108547</v>
      </c>
      <c r="M4340" s="84">
        <v>42290</v>
      </c>
      <c r="N4340" s="85">
        <f t="shared" si="1311"/>
        <v>1522</v>
      </c>
      <c r="O4340" s="86">
        <f t="shared" si="1312"/>
        <v>4150.95</v>
      </c>
      <c r="P4340" s="86">
        <f t="shared" si="1313"/>
        <v>0</v>
      </c>
      <c r="Q4340" s="86">
        <f t="shared" si="1314"/>
        <v>0</v>
      </c>
      <c r="R4340" s="86">
        <f t="shared" si="1315"/>
        <v>0</v>
      </c>
      <c r="S4340" s="86">
        <f t="shared" si="1316"/>
        <v>0</v>
      </c>
      <c r="T4340" s="86">
        <f t="shared" si="1317"/>
        <v>4150.95</v>
      </c>
      <c r="U4340" s="87">
        <v>4150.95</v>
      </c>
    </row>
    <row r="4341" spans="1:21" s="30" customFormat="1" ht="24.6" hidden="1" outlineLevel="1" x14ac:dyDescent="0.55000000000000004">
      <c r="A4341" s="27" t="s">
        <v>327</v>
      </c>
      <c r="B4341" s="28"/>
      <c r="C4341" s="27"/>
      <c r="D4341" s="27" t="str">
        <f>"""NAV Direct"",""CRONUS JetCorp USA"",""21"",""1"",""213604"""</f>
        <v>"NAV Direct","CRONUS JetCorp USA","21","1","213604"</v>
      </c>
      <c r="E4341" s="31">
        <f t="shared" si="1309"/>
        <v>0</v>
      </c>
      <c r="F4341" s="31"/>
      <c r="G4341" s="31"/>
      <c r="H4341" s="31"/>
      <c r="I4341" s="56"/>
      <c r="J4341" s="56"/>
      <c r="K4341" s="82" t="str">
        <f t="shared" si="1310"/>
        <v>Invoice</v>
      </c>
      <c r="L4341" s="83" t="str">
        <f>"SI_108571"</f>
        <v>SI_108571</v>
      </c>
      <c r="M4341" s="84">
        <v>42357</v>
      </c>
      <c r="N4341" s="85">
        <f t="shared" si="1311"/>
        <v>1455</v>
      </c>
      <c r="O4341" s="86">
        <f t="shared" si="1312"/>
        <v>4360.1400000000003</v>
      </c>
      <c r="P4341" s="86">
        <f t="shared" si="1313"/>
        <v>0</v>
      </c>
      <c r="Q4341" s="86">
        <f t="shared" si="1314"/>
        <v>0</v>
      </c>
      <c r="R4341" s="86">
        <f t="shared" si="1315"/>
        <v>0</v>
      </c>
      <c r="S4341" s="86">
        <f t="shared" si="1316"/>
        <v>0</v>
      </c>
      <c r="T4341" s="86">
        <f t="shared" si="1317"/>
        <v>4360.1400000000003</v>
      </c>
      <c r="U4341" s="87">
        <v>4360.1400000000003</v>
      </c>
    </row>
    <row r="4342" spans="1:21" s="30" customFormat="1" ht="24.6" hidden="1" outlineLevel="1" x14ac:dyDescent="0.55000000000000004">
      <c r="A4342" s="27" t="s">
        <v>327</v>
      </c>
      <c r="B4342" s="28"/>
      <c r="C4342" s="27"/>
      <c r="D4342" s="27" t="str">
        <f>"""NAV Direct"",""CRONUS JetCorp USA"",""21"",""1"",""213739"""</f>
        <v>"NAV Direct","CRONUS JetCorp USA","21","1","213739"</v>
      </c>
      <c r="E4342" s="31" t="str">
        <f t="shared" si="1309"/>
        <v>C100121</v>
      </c>
      <c r="F4342" s="31"/>
      <c r="G4342" s="31"/>
      <c r="H4342" s="31"/>
      <c r="I4342" s="56"/>
      <c r="J4342" s="56"/>
      <c r="K4342" s="82" t="str">
        <f t="shared" si="1310"/>
        <v>Invoice</v>
      </c>
      <c r="L4342" s="83" t="str">
        <f>"SI_108574"</f>
        <v>SI_108574</v>
      </c>
      <c r="M4342" s="84">
        <v>42741</v>
      </c>
      <c r="N4342" s="85">
        <f t="shared" si="1311"/>
        <v>1071</v>
      </c>
      <c r="O4342" s="86">
        <f t="shared" si="1312"/>
        <v>3662.69</v>
      </c>
      <c r="P4342" s="86">
        <f t="shared" si="1313"/>
        <v>0</v>
      </c>
      <c r="Q4342" s="86">
        <f t="shared" si="1314"/>
        <v>0</v>
      </c>
      <c r="R4342" s="86">
        <f t="shared" si="1315"/>
        <v>0</v>
      </c>
      <c r="S4342" s="86">
        <f t="shared" si="1316"/>
        <v>0</v>
      </c>
      <c r="T4342" s="86">
        <f t="shared" si="1317"/>
        <v>3662.69</v>
      </c>
      <c r="U4342" s="87">
        <v>3662.69</v>
      </c>
    </row>
    <row r="4343" spans="1:21" s="30" customFormat="1" ht="24.6" hidden="1" outlineLevel="1" x14ac:dyDescent="0.55000000000000004">
      <c r="A4343" s="27" t="s">
        <v>327</v>
      </c>
      <c r="B4343" s="28"/>
      <c r="C4343" s="27"/>
      <c r="D4343" s="27" t="str">
        <f>"""NAV Direct"",""CRONUS JetCorp USA"",""21"",""1"",""214020"""</f>
        <v>"NAV Direct","CRONUS JetCorp USA","21","1","214020"</v>
      </c>
      <c r="E4343" s="31">
        <f t="shared" si="1309"/>
        <v>0</v>
      </c>
      <c r="F4343" s="31"/>
      <c r="G4343" s="31"/>
      <c r="H4343" s="31"/>
      <c r="I4343" s="56"/>
      <c r="J4343" s="56"/>
      <c r="K4343" s="82" t="str">
        <f t="shared" si="1310"/>
        <v>Invoice</v>
      </c>
      <c r="L4343" s="83" t="str">
        <f>"SI_108581"</f>
        <v>SI_108581</v>
      </c>
      <c r="M4343" s="84">
        <v>42753</v>
      </c>
      <c r="N4343" s="85">
        <f t="shared" si="1311"/>
        <v>1059</v>
      </c>
      <c r="O4343" s="86">
        <f t="shared" si="1312"/>
        <v>3662.37</v>
      </c>
      <c r="P4343" s="86">
        <f t="shared" si="1313"/>
        <v>0</v>
      </c>
      <c r="Q4343" s="86">
        <f t="shared" si="1314"/>
        <v>0</v>
      </c>
      <c r="R4343" s="86">
        <f t="shared" si="1315"/>
        <v>0</v>
      </c>
      <c r="S4343" s="86">
        <f t="shared" si="1316"/>
        <v>0</v>
      </c>
      <c r="T4343" s="86">
        <f t="shared" si="1317"/>
        <v>3662.37</v>
      </c>
      <c r="U4343" s="87">
        <v>3662.37</v>
      </c>
    </row>
    <row r="4344" spans="1:21" s="30" customFormat="1" ht="24.6" hidden="1" outlineLevel="1" x14ac:dyDescent="0.55000000000000004">
      <c r="A4344" s="27" t="s">
        <v>327</v>
      </c>
      <c r="B4344" s="28"/>
      <c r="C4344" s="27"/>
      <c r="D4344" s="27" t="str">
        <f>"""NAV Direct"",""CRONUS JetCorp USA"",""21"",""1"",""444028"""</f>
        <v>"NAV Direct","CRONUS JetCorp USA","21","1","444028"</v>
      </c>
      <c r="E4344" s="31" t="str">
        <f t="shared" si="1309"/>
        <v>C100121</v>
      </c>
      <c r="F4344" s="31"/>
      <c r="G4344" s="31"/>
      <c r="H4344" s="31"/>
      <c r="I4344" s="56"/>
      <c r="J4344" s="56"/>
      <c r="K4344" s="82" t="str">
        <f t="shared" ref="K4344:K4350" si="1318">"Credit Memo"</f>
        <v>Credit Memo</v>
      </c>
      <c r="L4344" s="83" t="str">
        <f>"SC_101128"</f>
        <v>SC_101128</v>
      </c>
      <c r="M4344" s="84">
        <v>42384</v>
      </c>
      <c r="N4344" s="85">
        <f t="shared" si="1311"/>
        <v>1428</v>
      </c>
      <c r="O4344" s="86">
        <f t="shared" si="1312"/>
        <v>-32.18</v>
      </c>
      <c r="P4344" s="86">
        <f t="shared" si="1313"/>
        <v>0</v>
      </c>
      <c r="Q4344" s="86">
        <f t="shared" si="1314"/>
        <v>0</v>
      </c>
      <c r="R4344" s="86">
        <f t="shared" si="1315"/>
        <v>0</v>
      </c>
      <c r="S4344" s="86">
        <f t="shared" si="1316"/>
        <v>0</v>
      </c>
      <c r="T4344" s="86">
        <f t="shared" si="1317"/>
        <v>-32.18</v>
      </c>
      <c r="U4344" s="87">
        <v>-32.18</v>
      </c>
    </row>
    <row r="4345" spans="1:21" s="30" customFormat="1" ht="24.6" hidden="1" outlineLevel="1" x14ac:dyDescent="0.55000000000000004">
      <c r="A4345" s="27" t="s">
        <v>327</v>
      </c>
      <c r="B4345" s="28"/>
      <c r="C4345" s="27"/>
      <c r="D4345" s="27" t="str">
        <f>"""NAV Direct"",""CRONUS JetCorp USA"",""21"",""1"",""444318"""</f>
        <v>"NAV Direct","CRONUS JetCorp USA","21","1","444318"</v>
      </c>
      <c r="E4345" s="31">
        <f t="shared" si="1309"/>
        <v>0</v>
      </c>
      <c r="F4345" s="31"/>
      <c r="G4345" s="31"/>
      <c r="H4345" s="31"/>
      <c r="I4345" s="56"/>
      <c r="J4345" s="56"/>
      <c r="K4345" s="82" t="str">
        <f t="shared" si="1318"/>
        <v>Credit Memo</v>
      </c>
      <c r="L4345" s="83" t="str">
        <f>"SC_101160"</f>
        <v>SC_101160</v>
      </c>
      <c r="M4345" s="84">
        <v>42989</v>
      </c>
      <c r="N4345" s="85">
        <f t="shared" si="1311"/>
        <v>823</v>
      </c>
      <c r="O4345" s="86">
        <f t="shared" si="1312"/>
        <v>-35.56</v>
      </c>
      <c r="P4345" s="86">
        <f t="shared" si="1313"/>
        <v>0</v>
      </c>
      <c r="Q4345" s="86">
        <f t="shared" si="1314"/>
        <v>0</v>
      </c>
      <c r="R4345" s="86">
        <f t="shared" si="1315"/>
        <v>0</v>
      </c>
      <c r="S4345" s="86">
        <f t="shared" si="1316"/>
        <v>0</v>
      </c>
      <c r="T4345" s="86">
        <f t="shared" si="1317"/>
        <v>-35.56</v>
      </c>
      <c r="U4345" s="87">
        <v>-35.56</v>
      </c>
    </row>
    <row r="4346" spans="1:21" s="30" customFormat="1" ht="24.6" hidden="1" outlineLevel="1" x14ac:dyDescent="0.55000000000000004">
      <c r="A4346" s="27" t="s">
        <v>327</v>
      </c>
      <c r="B4346" s="28"/>
      <c r="C4346" s="27"/>
      <c r="D4346" s="27" t="str">
        <f>"""NAV Direct"",""CRONUS JetCorp USA"",""21"",""1"",""444394"""</f>
        <v>"NAV Direct","CRONUS JetCorp USA","21","1","444394"</v>
      </c>
      <c r="E4346" s="31" t="str">
        <f t="shared" si="1309"/>
        <v>C100121</v>
      </c>
      <c r="F4346" s="31"/>
      <c r="G4346" s="31"/>
      <c r="H4346" s="31"/>
      <c r="I4346" s="56"/>
      <c r="J4346" s="56"/>
      <c r="K4346" s="82" t="str">
        <f t="shared" si="1318"/>
        <v>Credit Memo</v>
      </c>
      <c r="L4346" s="83" t="str">
        <f>"SC_101167"</f>
        <v>SC_101167</v>
      </c>
      <c r="M4346" s="84">
        <v>43176</v>
      </c>
      <c r="N4346" s="85">
        <f t="shared" si="1311"/>
        <v>636</v>
      </c>
      <c r="O4346" s="86">
        <f t="shared" si="1312"/>
        <v>-27.849999999999998</v>
      </c>
      <c r="P4346" s="86">
        <f t="shared" si="1313"/>
        <v>0</v>
      </c>
      <c r="Q4346" s="86">
        <f t="shared" si="1314"/>
        <v>0</v>
      </c>
      <c r="R4346" s="86">
        <f t="shared" si="1315"/>
        <v>0</v>
      </c>
      <c r="S4346" s="86">
        <f t="shared" si="1316"/>
        <v>0</v>
      </c>
      <c r="T4346" s="86">
        <f t="shared" si="1317"/>
        <v>-27.849999999999998</v>
      </c>
      <c r="U4346" s="87">
        <v>-27.849999999999998</v>
      </c>
    </row>
    <row r="4347" spans="1:21" s="30" customFormat="1" ht="24.6" hidden="1" outlineLevel="1" x14ac:dyDescent="0.55000000000000004">
      <c r="A4347" s="27" t="s">
        <v>327</v>
      </c>
      <c r="B4347" s="28"/>
      <c r="C4347" s="27"/>
      <c r="D4347" s="27" t="str">
        <f>"""NAV Direct"",""CRONUS JetCorp USA"",""21"",""1"",""444480"""</f>
        <v>"NAV Direct","CRONUS JetCorp USA","21","1","444480"</v>
      </c>
      <c r="E4347" s="31">
        <f t="shared" si="1309"/>
        <v>0</v>
      </c>
      <c r="F4347" s="31"/>
      <c r="G4347" s="31"/>
      <c r="H4347" s="31"/>
      <c r="I4347" s="56"/>
      <c r="J4347" s="56"/>
      <c r="K4347" s="82" t="str">
        <f t="shared" si="1318"/>
        <v>Credit Memo</v>
      </c>
      <c r="L4347" s="83" t="str">
        <f>"SC_101179"</f>
        <v>SC_101179</v>
      </c>
      <c r="M4347" s="84">
        <v>43325</v>
      </c>
      <c r="N4347" s="85">
        <f t="shared" si="1311"/>
        <v>487</v>
      </c>
      <c r="O4347" s="86">
        <f t="shared" si="1312"/>
        <v>-28.070000000000004</v>
      </c>
      <c r="P4347" s="86">
        <f t="shared" si="1313"/>
        <v>0</v>
      </c>
      <c r="Q4347" s="86">
        <f t="shared" si="1314"/>
        <v>0</v>
      </c>
      <c r="R4347" s="86">
        <f t="shared" si="1315"/>
        <v>0</v>
      </c>
      <c r="S4347" s="86">
        <f t="shared" si="1316"/>
        <v>0</v>
      </c>
      <c r="T4347" s="86">
        <f t="shared" si="1317"/>
        <v>-28.070000000000004</v>
      </c>
      <c r="U4347" s="87">
        <v>-28.070000000000004</v>
      </c>
    </row>
    <row r="4348" spans="1:21" s="30" customFormat="1" ht="24.6" hidden="1" outlineLevel="1" x14ac:dyDescent="0.55000000000000004">
      <c r="A4348" s="27" t="s">
        <v>327</v>
      </c>
      <c r="B4348" s="28"/>
      <c r="C4348" s="27"/>
      <c r="D4348" s="27" t="str">
        <f>"""NAV Direct"",""CRONUS JetCorp USA"",""21"",""1"",""444593"""</f>
        <v>"NAV Direct","CRONUS JetCorp USA","21","1","444593"</v>
      </c>
      <c r="E4348" s="31" t="str">
        <f t="shared" si="1309"/>
        <v>C100121</v>
      </c>
      <c r="F4348" s="31"/>
      <c r="G4348" s="31"/>
      <c r="H4348" s="31"/>
      <c r="I4348" s="56"/>
      <c r="J4348" s="56"/>
      <c r="K4348" s="82" t="str">
        <f t="shared" si="1318"/>
        <v>Credit Memo</v>
      </c>
      <c r="L4348" s="83" t="str">
        <f>"SC_101193"</f>
        <v>SC_101193</v>
      </c>
      <c r="M4348" s="84">
        <v>43597</v>
      </c>
      <c r="N4348" s="85">
        <f t="shared" si="1311"/>
        <v>215</v>
      </c>
      <c r="O4348" s="86">
        <f t="shared" si="1312"/>
        <v>-31.86</v>
      </c>
      <c r="P4348" s="86">
        <f t="shared" si="1313"/>
        <v>0</v>
      </c>
      <c r="Q4348" s="86">
        <f t="shared" si="1314"/>
        <v>0</v>
      </c>
      <c r="R4348" s="86">
        <f t="shared" si="1315"/>
        <v>0</v>
      </c>
      <c r="S4348" s="86">
        <f t="shared" si="1316"/>
        <v>0</v>
      </c>
      <c r="T4348" s="86">
        <f t="shared" si="1317"/>
        <v>-31.86</v>
      </c>
      <c r="U4348" s="87">
        <v>-31.86</v>
      </c>
    </row>
    <row r="4349" spans="1:21" s="30" customFormat="1" ht="24.6" hidden="1" outlineLevel="1" x14ac:dyDescent="0.55000000000000004">
      <c r="A4349" s="27" t="s">
        <v>327</v>
      </c>
      <c r="B4349" s="28"/>
      <c r="C4349" s="27"/>
      <c r="D4349" s="27" t="str">
        <f>"""NAV Direct"",""CRONUS JetCorp USA"",""21"",""1"",""444748"""</f>
        <v>"NAV Direct","CRONUS JetCorp USA","21","1","444748"</v>
      </c>
      <c r="E4349" s="31">
        <f t="shared" si="1309"/>
        <v>0</v>
      </c>
      <c r="F4349" s="31"/>
      <c r="G4349" s="31"/>
      <c r="H4349" s="31"/>
      <c r="I4349" s="56"/>
      <c r="J4349" s="56"/>
      <c r="K4349" s="82" t="str">
        <f t="shared" si="1318"/>
        <v>Credit Memo</v>
      </c>
      <c r="L4349" s="83" t="str">
        <f>"SC_101211"</f>
        <v>SC_101211</v>
      </c>
      <c r="M4349" s="84">
        <v>42176</v>
      </c>
      <c r="N4349" s="85">
        <f t="shared" si="1311"/>
        <v>1636</v>
      </c>
      <c r="O4349" s="86">
        <f t="shared" si="1312"/>
        <v>-38.190000000000005</v>
      </c>
      <c r="P4349" s="86">
        <f t="shared" si="1313"/>
        <v>0</v>
      </c>
      <c r="Q4349" s="86">
        <f t="shared" si="1314"/>
        <v>0</v>
      </c>
      <c r="R4349" s="86">
        <f t="shared" si="1315"/>
        <v>0</v>
      </c>
      <c r="S4349" s="86">
        <f t="shared" si="1316"/>
        <v>0</v>
      </c>
      <c r="T4349" s="86">
        <f t="shared" si="1317"/>
        <v>-38.190000000000005</v>
      </c>
      <c r="U4349" s="87">
        <v>-38.190000000000005</v>
      </c>
    </row>
    <row r="4350" spans="1:21" s="30" customFormat="1" ht="24.6" hidden="1" outlineLevel="1" x14ac:dyDescent="0.55000000000000004">
      <c r="A4350" s="27" t="s">
        <v>327</v>
      </c>
      <c r="B4350" s="28"/>
      <c r="C4350" s="27"/>
      <c r="D4350" s="27" t="str">
        <f>"""NAV Direct"",""CRONUS JetCorp USA"",""21"",""1"",""444765"""</f>
        <v>"NAV Direct","CRONUS JetCorp USA","21","1","444765"</v>
      </c>
      <c r="E4350" s="31" t="str">
        <f t="shared" si="1309"/>
        <v>C100121</v>
      </c>
      <c r="F4350" s="31"/>
      <c r="G4350" s="31"/>
      <c r="H4350" s="31"/>
      <c r="I4350" s="56"/>
      <c r="J4350" s="56"/>
      <c r="K4350" s="82" t="str">
        <f t="shared" si="1318"/>
        <v>Credit Memo</v>
      </c>
      <c r="L4350" s="83" t="str">
        <f>"SC_101214"</f>
        <v>SC_101214</v>
      </c>
      <c r="M4350" s="84">
        <v>42197</v>
      </c>
      <c r="N4350" s="85">
        <f t="shared" si="1311"/>
        <v>1615</v>
      </c>
      <c r="O4350" s="86">
        <f t="shared" si="1312"/>
        <v>-39.06</v>
      </c>
      <c r="P4350" s="86">
        <f t="shared" si="1313"/>
        <v>0</v>
      </c>
      <c r="Q4350" s="86">
        <f t="shared" si="1314"/>
        <v>0</v>
      </c>
      <c r="R4350" s="86">
        <f t="shared" si="1315"/>
        <v>0</v>
      </c>
      <c r="S4350" s="86">
        <f t="shared" si="1316"/>
        <v>0</v>
      </c>
      <c r="T4350" s="86">
        <f t="shared" si="1317"/>
        <v>-39.06</v>
      </c>
      <c r="U4350" s="87">
        <v>-39.06</v>
      </c>
    </row>
    <row r="4351" spans="1:21" s="22" customFormat="1" ht="20.399999999999999" collapsed="1" x14ac:dyDescent="0.45">
      <c r="A4351" s="12" t="s">
        <v>327</v>
      </c>
      <c r="B4351" s="19"/>
      <c r="C4351" s="12"/>
      <c r="D4351" s="12"/>
      <c r="E4351" s="23"/>
      <c r="F4351" s="23"/>
      <c r="G4351" s="23"/>
      <c r="H4351" s="23"/>
      <c r="I4351" s="49"/>
      <c r="J4351" s="88"/>
      <c r="K4351" s="88"/>
      <c r="L4351" s="89"/>
      <c r="M4351" s="89"/>
      <c r="N4351" s="89"/>
      <c r="O4351" s="89"/>
      <c r="P4351" s="89"/>
      <c r="Q4351" s="90"/>
      <c r="R4351" s="90"/>
      <c r="S4351" s="91"/>
      <c r="T4351" s="92"/>
      <c r="U4351" s="92"/>
    </row>
    <row r="4352" spans="1:21" s="22" customFormat="1" ht="20.399999999999999" x14ac:dyDescent="0.45">
      <c r="A4352" s="12" t="s">
        <v>327</v>
      </c>
      <c r="B4352" s="19"/>
      <c r="C4352" s="12"/>
      <c r="D4352" s="12"/>
      <c r="E4352" s="23"/>
      <c r="F4352" s="23"/>
      <c r="G4352" s="23"/>
      <c r="H4352" s="23"/>
      <c r="I4352" s="49"/>
      <c r="J4352" s="88"/>
      <c r="K4352" s="88"/>
      <c r="L4352" s="89"/>
      <c r="M4352" s="89"/>
      <c r="N4352" s="89"/>
      <c r="O4352" s="89"/>
      <c r="P4352" s="89"/>
      <c r="Q4352" s="90"/>
      <c r="R4352" s="90"/>
      <c r="S4352" s="91"/>
      <c r="T4352" s="92"/>
      <c r="U4352" s="92"/>
    </row>
    <row r="4353" spans="1:22" s="26" customFormat="1" ht="24.6" x14ac:dyDescent="0.55000000000000004">
      <c r="A4353" s="27" t="s">
        <v>327</v>
      </c>
      <c r="B4353" s="28"/>
      <c r="C4353" s="27" t="str">
        <f>"""NAV Direct"",""CRONUS JetCorp USA"",""18"",""1"",""C100122"""</f>
        <v>"NAV Direct","CRONUS JetCorp USA","18","1","C100122"</v>
      </c>
      <c r="D4353" s="27"/>
      <c r="E4353" s="28" t="str">
        <f>H4353</f>
        <v>C100122</v>
      </c>
      <c r="F4353" s="28"/>
      <c r="G4353" s="28"/>
      <c r="H4353" s="28" t="str">
        <f>"C100122"</f>
        <v>C100122</v>
      </c>
      <c r="I4353" s="116" t="str">
        <f>"C100122  -  Physicare Ltd."</f>
        <v>C100122  -  Physicare Ltd.</v>
      </c>
      <c r="J4353" s="117" t="str">
        <f>""</f>
        <v/>
      </c>
      <c r="K4353" s="118"/>
      <c r="L4353" s="119">
        <f>SUBTOTAL(3,L4354:L4382)</f>
        <v>25</v>
      </c>
      <c r="M4353" s="118"/>
      <c r="N4353" s="118"/>
      <c r="O4353" s="120">
        <f t="shared" ref="O4353:T4353" si="1319">SUBTOTAL(9,O4354:O4382)</f>
        <v>69832.090000000026</v>
      </c>
      <c r="P4353" s="120">
        <f t="shared" si="1319"/>
        <v>0</v>
      </c>
      <c r="Q4353" s="120">
        <f t="shared" si="1319"/>
        <v>0</v>
      </c>
      <c r="R4353" s="120">
        <f t="shared" si="1319"/>
        <v>0</v>
      </c>
      <c r="S4353" s="120">
        <f t="shared" si="1319"/>
        <v>0</v>
      </c>
      <c r="T4353" s="120">
        <f t="shared" si="1319"/>
        <v>69832.090000000026</v>
      </c>
      <c r="U4353" s="81"/>
    </row>
    <row r="4354" spans="1:22" s="26" customFormat="1" ht="24.6" x14ac:dyDescent="0.55000000000000004">
      <c r="A4354" s="27" t="s">
        <v>327</v>
      </c>
      <c r="B4354" s="28"/>
      <c r="C4354" s="27" t="str">
        <f>C4353</f>
        <v>"NAV Direct","CRONUS JetCorp USA","18","1","C100122"</v>
      </c>
      <c r="D4354" s="27"/>
      <c r="E4354" s="28" t="str">
        <f>E4353</f>
        <v>C100122</v>
      </c>
      <c r="F4354" s="28"/>
      <c r="G4354" s="28"/>
      <c r="H4354" s="28"/>
      <c r="I4354" s="121" t="str">
        <f>"Contact: Luk Von Wolf"</f>
        <v>Contact: Luk Von Wolf</v>
      </c>
      <c r="J4354" s="121"/>
      <c r="K4354" s="122"/>
      <c r="L4354" s="123"/>
      <c r="M4354" s="123"/>
      <c r="N4354" s="124"/>
      <c r="O4354" s="124"/>
      <c r="P4354" s="123"/>
      <c r="Q4354" s="125"/>
      <c r="R4354" s="126"/>
      <c r="S4354" s="126"/>
      <c r="T4354" s="125"/>
      <c r="U4354" s="81"/>
    </row>
    <row r="4355" spans="1:22" s="26" customFormat="1" ht="24.6" x14ac:dyDescent="0.55000000000000004">
      <c r="A4355" s="27" t="s">
        <v>327</v>
      </c>
      <c r="B4355" s="28"/>
      <c r="C4355" s="27" t="str">
        <f>C4354</f>
        <v>"NAV Direct","CRONUS JetCorp USA","18","1","C100122"</v>
      </c>
      <c r="D4355" s="27"/>
      <c r="E4355" s="28" t="str">
        <f>E4354</f>
        <v>C100122</v>
      </c>
      <c r="F4355" s="28"/>
      <c r="G4355" s="28"/>
      <c r="H4355" s="28"/>
      <c r="I4355" s="121" t="str">
        <f>"Physicare Ltd.@Cronus.com"</f>
        <v>Physicare Ltd.@Cronus.com</v>
      </c>
      <c r="J4355" s="121"/>
      <c r="K4355" s="122"/>
      <c r="L4355" s="124"/>
      <c r="M4355" s="124"/>
      <c r="N4355" s="124"/>
      <c r="O4355" s="124"/>
      <c r="P4355" s="123"/>
      <c r="Q4355" s="125"/>
      <c r="R4355" s="126"/>
      <c r="S4355" s="126"/>
      <c r="T4355" s="125"/>
      <c r="U4355" s="81"/>
    </row>
    <row r="4356" spans="1:22" ht="12.75" hidden="1" customHeight="1" outlineLevel="1" x14ac:dyDescent="0.45">
      <c r="A4356" s="12" t="s">
        <v>328</v>
      </c>
      <c r="B4356" s="19"/>
      <c r="E4356" s="19"/>
      <c r="F4356" s="19"/>
      <c r="G4356" s="19"/>
      <c r="H4356" s="19"/>
      <c r="I4356" s="61"/>
      <c r="J4356" s="61"/>
      <c r="K4356" s="61"/>
      <c r="L4356" s="61"/>
      <c r="M4356" s="61"/>
      <c r="N4356" s="61"/>
      <c r="O4356" s="61"/>
      <c r="P4356" s="61"/>
      <c r="Q4356" s="61"/>
      <c r="R4356" s="61"/>
      <c r="S4356" s="61"/>
      <c r="T4356" s="61"/>
      <c r="U4356" s="61"/>
      <c r="V4356" s="21"/>
    </row>
    <row r="4357" spans="1:22" s="30" customFormat="1" ht="24.6" hidden="1" outlineLevel="1" x14ac:dyDescent="0.55000000000000004">
      <c r="A4357" s="27" t="s">
        <v>327</v>
      </c>
      <c r="B4357" s="28"/>
      <c r="C4357" s="27"/>
      <c r="D4357" s="27" t="str">
        <f>"""NAV Direct"",""CRONUS JetCorp USA"",""21"",""1"",""209015"""</f>
        <v>"NAV Direct","CRONUS JetCorp USA","21","1","209015"</v>
      </c>
      <c r="E4357" s="31" t="str">
        <f t="shared" ref="E4357:E4381" si="1320">E4355</f>
        <v>C100122</v>
      </c>
      <c r="F4357" s="31"/>
      <c r="G4357" s="31"/>
      <c r="H4357" s="31"/>
      <c r="I4357" s="56"/>
      <c r="J4357" s="56"/>
      <c r="K4357" s="82" t="str">
        <f t="shared" ref="K4357:K4375" si="1321">"Invoice"</f>
        <v>Invoice</v>
      </c>
      <c r="L4357" s="83" t="str">
        <f>"SI_108462"</f>
        <v>SI_108462</v>
      </c>
      <c r="M4357" s="84">
        <v>42015</v>
      </c>
      <c r="N4357" s="85">
        <f t="shared" ref="N4357:N4381" si="1322">StartDate-$M4357+1</f>
        <v>1797</v>
      </c>
      <c r="O4357" s="86">
        <f t="shared" ref="O4357:O4381" si="1323">SUM(P4357:T4357)</f>
        <v>2917.94</v>
      </c>
      <c r="P4357" s="86">
        <f t="shared" ref="P4357:P4381" si="1324">IF($M4357&gt;=$P$18,U4357,0)</f>
        <v>0</v>
      </c>
      <c r="Q4357" s="86">
        <f t="shared" ref="Q4357:Q4381" si="1325">IF(AND($M4357&gt;=$Q$16,$M4357&lt;=$Q$18),U4357,0)</f>
        <v>0</v>
      </c>
      <c r="R4357" s="86">
        <f t="shared" ref="R4357:R4381" si="1326">IF(AND($M4357&gt;=$R$16,$M4357&lt;=$R$18),U4357,0)</f>
        <v>0</v>
      </c>
      <c r="S4357" s="86">
        <f t="shared" ref="S4357:S4381" si="1327">IF(AND($M4357&gt;=$S$16,$M4357&lt;=$S$18),U4357,0)</f>
        <v>0</v>
      </c>
      <c r="T4357" s="86">
        <f t="shared" ref="T4357:T4381" si="1328">IF($M4357&lt;=$T$18,U4357,0)</f>
        <v>2917.94</v>
      </c>
      <c r="U4357" s="87">
        <v>2917.94</v>
      </c>
    </row>
    <row r="4358" spans="1:22" s="30" customFormat="1" ht="24.6" hidden="1" outlineLevel="1" x14ac:dyDescent="0.55000000000000004">
      <c r="A4358" s="27" t="s">
        <v>327</v>
      </c>
      <c r="B4358" s="28"/>
      <c r="C4358" s="27"/>
      <c r="D4358" s="27" t="str">
        <f>"""NAV Direct"",""CRONUS JetCorp USA"",""21"",""1"",""209052"""</f>
        <v>"NAV Direct","CRONUS JetCorp USA","21","1","209052"</v>
      </c>
      <c r="E4358" s="31">
        <f t="shared" si="1320"/>
        <v>0</v>
      </c>
      <c r="F4358" s="31"/>
      <c r="G4358" s="31"/>
      <c r="H4358" s="31"/>
      <c r="I4358" s="56"/>
      <c r="J4358" s="56"/>
      <c r="K4358" s="82" t="str">
        <f t="shared" si="1321"/>
        <v>Invoice</v>
      </c>
      <c r="L4358" s="83" t="str">
        <f>"SI_108463"</f>
        <v>SI_108463</v>
      </c>
      <c r="M4358" s="84">
        <v>42016</v>
      </c>
      <c r="N4358" s="85">
        <f t="shared" si="1322"/>
        <v>1796</v>
      </c>
      <c r="O4358" s="86">
        <f t="shared" si="1323"/>
        <v>2887.97</v>
      </c>
      <c r="P4358" s="86">
        <f t="shared" si="1324"/>
        <v>0</v>
      </c>
      <c r="Q4358" s="86">
        <f t="shared" si="1325"/>
        <v>0</v>
      </c>
      <c r="R4358" s="86">
        <f t="shared" si="1326"/>
        <v>0</v>
      </c>
      <c r="S4358" s="86">
        <f t="shared" si="1327"/>
        <v>0</v>
      </c>
      <c r="T4358" s="86">
        <f t="shared" si="1328"/>
        <v>2887.97</v>
      </c>
      <c r="U4358" s="87">
        <v>2887.97</v>
      </c>
    </row>
    <row r="4359" spans="1:22" s="30" customFormat="1" ht="24.6" hidden="1" outlineLevel="1" x14ac:dyDescent="0.55000000000000004">
      <c r="A4359" s="27" t="s">
        <v>327</v>
      </c>
      <c r="B4359" s="28"/>
      <c r="C4359" s="27"/>
      <c r="D4359" s="27" t="str">
        <f>"""NAV Direct"",""CRONUS JetCorp USA"",""21"",""1"",""209288"""</f>
        <v>"NAV Direct","CRONUS JetCorp USA","21","1","209288"</v>
      </c>
      <c r="E4359" s="31" t="str">
        <f t="shared" si="1320"/>
        <v>C100122</v>
      </c>
      <c r="F4359" s="31"/>
      <c r="G4359" s="31"/>
      <c r="H4359" s="31"/>
      <c r="I4359" s="56"/>
      <c r="J4359" s="56"/>
      <c r="K4359" s="82" t="str">
        <f t="shared" si="1321"/>
        <v>Invoice</v>
      </c>
      <c r="L4359" s="83" t="str">
        <f>"SI_108469"</f>
        <v>SI_108469</v>
      </c>
      <c r="M4359" s="84">
        <v>42047</v>
      </c>
      <c r="N4359" s="85">
        <f t="shared" si="1322"/>
        <v>1765</v>
      </c>
      <c r="O4359" s="86">
        <f t="shared" si="1323"/>
        <v>3501.68</v>
      </c>
      <c r="P4359" s="86">
        <f t="shared" si="1324"/>
        <v>0</v>
      </c>
      <c r="Q4359" s="86">
        <f t="shared" si="1325"/>
        <v>0</v>
      </c>
      <c r="R4359" s="86">
        <f t="shared" si="1326"/>
        <v>0</v>
      </c>
      <c r="S4359" s="86">
        <f t="shared" si="1327"/>
        <v>0</v>
      </c>
      <c r="T4359" s="86">
        <f t="shared" si="1328"/>
        <v>3501.68</v>
      </c>
      <c r="U4359" s="87">
        <v>3501.68</v>
      </c>
    </row>
    <row r="4360" spans="1:22" s="30" customFormat="1" ht="24.6" hidden="1" outlineLevel="1" x14ac:dyDescent="0.55000000000000004">
      <c r="A4360" s="27" t="s">
        <v>327</v>
      </c>
      <c r="B4360" s="28"/>
      <c r="C4360" s="27"/>
      <c r="D4360" s="27" t="str">
        <f>"""NAV Direct"",""CRONUS JetCorp USA"",""21"",""1"",""209436"""</f>
        <v>"NAV Direct","CRONUS JetCorp USA","21","1","209436"</v>
      </c>
      <c r="E4360" s="31">
        <f t="shared" si="1320"/>
        <v>0</v>
      </c>
      <c r="F4360" s="31"/>
      <c r="G4360" s="31"/>
      <c r="H4360" s="31"/>
      <c r="I4360" s="56"/>
      <c r="J4360" s="56"/>
      <c r="K4360" s="82" t="str">
        <f t="shared" si="1321"/>
        <v>Invoice</v>
      </c>
      <c r="L4360" s="83" t="str">
        <f>"SI_108473"</f>
        <v>SI_108473</v>
      </c>
      <c r="M4360" s="84">
        <v>42055</v>
      </c>
      <c r="N4360" s="85">
        <f t="shared" si="1322"/>
        <v>1757</v>
      </c>
      <c r="O4360" s="86">
        <f t="shared" si="1323"/>
        <v>3465.44</v>
      </c>
      <c r="P4360" s="86">
        <f t="shared" si="1324"/>
        <v>0</v>
      </c>
      <c r="Q4360" s="86">
        <f t="shared" si="1325"/>
        <v>0</v>
      </c>
      <c r="R4360" s="86">
        <f t="shared" si="1326"/>
        <v>0</v>
      </c>
      <c r="S4360" s="86">
        <f t="shared" si="1327"/>
        <v>0</v>
      </c>
      <c r="T4360" s="86">
        <f t="shared" si="1328"/>
        <v>3465.44</v>
      </c>
      <c r="U4360" s="87">
        <v>3465.44</v>
      </c>
    </row>
    <row r="4361" spans="1:22" s="30" customFormat="1" ht="24.6" hidden="1" outlineLevel="1" x14ac:dyDescent="0.55000000000000004">
      <c r="A4361" s="27" t="s">
        <v>327</v>
      </c>
      <c r="B4361" s="28"/>
      <c r="C4361" s="27"/>
      <c r="D4361" s="27" t="str">
        <f>"""NAV Direct"",""CRONUS JetCorp USA"",""21"",""1"",""210033"""</f>
        <v>"NAV Direct","CRONUS JetCorp USA","21","1","210033"</v>
      </c>
      <c r="E4361" s="31" t="str">
        <f t="shared" si="1320"/>
        <v>C100122</v>
      </c>
      <c r="F4361" s="31"/>
      <c r="G4361" s="31"/>
      <c r="H4361" s="31"/>
      <c r="I4361" s="56"/>
      <c r="J4361" s="56"/>
      <c r="K4361" s="82" t="str">
        <f t="shared" si="1321"/>
        <v>Invoice</v>
      </c>
      <c r="L4361" s="83" t="str">
        <f>"SI_108488"</f>
        <v>SI_108488</v>
      </c>
      <c r="M4361" s="84">
        <v>42105</v>
      </c>
      <c r="N4361" s="85">
        <f t="shared" si="1322"/>
        <v>1707</v>
      </c>
      <c r="O4361" s="86">
        <f t="shared" si="1323"/>
        <v>3712.9599999999996</v>
      </c>
      <c r="P4361" s="86">
        <f t="shared" si="1324"/>
        <v>0</v>
      </c>
      <c r="Q4361" s="86">
        <f t="shared" si="1325"/>
        <v>0</v>
      </c>
      <c r="R4361" s="86">
        <f t="shared" si="1326"/>
        <v>0</v>
      </c>
      <c r="S4361" s="86">
        <f t="shared" si="1327"/>
        <v>0</v>
      </c>
      <c r="T4361" s="86">
        <f t="shared" si="1328"/>
        <v>3712.9599999999996</v>
      </c>
      <c r="U4361" s="87">
        <v>3712.9599999999996</v>
      </c>
    </row>
    <row r="4362" spans="1:22" s="30" customFormat="1" ht="24.6" hidden="1" outlineLevel="1" x14ac:dyDescent="0.55000000000000004">
      <c r="A4362" s="27" t="s">
        <v>327</v>
      </c>
      <c r="B4362" s="28"/>
      <c r="C4362" s="27"/>
      <c r="D4362" s="27" t="str">
        <f>"""NAV Direct"",""CRONUS JetCorp USA"",""21"",""1"",""210100"""</f>
        <v>"NAV Direct","CRONUS JetCorp USA","21","1","210100"</v>
      </c>
      <c r="E4362" s="31">
        <f t="shared" si="1320"/>
        <v>0</v>
      </c>
      <c r="F4362" s="31"/>
      <c r="G4362" s="31"/>
      <c r="H4362" s="31"/>
      <c r="I4362" s="56"/>
      <c r="J4362" s="56"/>
      <c r="K4362" s="82" t="str">
        <f t="shared" si="1321"/>
        <v>Invoice</v>
      </c>
      <c r="L4362" s="83" t="str">
        <f>"SI_108490"</f>
        <v>SI_108490</v>
      </c>
      <c r="M4362" s="84">
        <v>42110</v>
      </c>
      <c r="N4362" s="85">
        <f t="shared" si="1322"/>
        <v>1702</v>
      </c>
      <c r="O4362" s="86">
        <f t="shared" si="1323"/>
        <v>3675.06</v>
      </c>
      <c r="P4362" s="86">
        <f t="shared" si="1324"/>
        <v>0</v>
      </c>
      <c r="Q4362" s="86">
        <f t="shared" si="1325"/>
        <v>0</v>
      </c>
      <c r="R4362" s="86">
        <f t="shared" si="1326"/>
        <v>0</v>
      </c>
      <c r="S4362" s="86">
        <f t="shared" si="1327"/>
        <v>0</v>
      </c>
      <c r="T4362" s="86">
        <f t="shared" si="1328"/>
        <v>3675.06</v>
      </c>
      <c r="U4362" s="87">
        <v>3675.06</v>
      </c>
    </row>
    <row r="4363" spans="1:22" s="30" customFormat="1" ht="24.6" hidden="1" outlineLevel="1" x14ac:dyDescent="0.55000000000000004">
      <c r="A4363" s="27" t="s">
        <v>327</v>
      </c>
      <c r="B4363" s="28"/>
      <c r="C4363" s="27"/>
      <c r="D4363" s="27" t="str">
        <f>"""NAV Direct"",""CRONUS JetCorp USA"",""21"",""1"",""210233"""</f>
        <v>"NAV Direct","CRONUS JetCorp USA","21","1","210233"</v>
      </c>
      <c r="E4363" s="31" t="str">
        <f t="shared" si="1320"/>
        <v>C100122</v>
      </c>
      <c r="F4363" s="31"/>
      <c r="G4363" s="31"/>
      <c r="H4363" s="31"/>
      <c r="I4363" s="56"/>
      <c r="J4363" s="56"/>
      <c r="K4363" s="82" t="str">
        <f t="shared" si="1321"/>
        <v>Invoice</v>
      </c>
      <c r="L4363" s="83" t="str">
        <f>"SI_108493"</f>
        <v>SI_108493</v>
      </c>
      <c r="M4363" s="84">
        <v>42118</v>
      </c>
      <c r="N4363" s="85">
        <f t="shared" si="1322"/>
        <v>1694</v>
      </c>
      <c r="O4363" s="86">
        <f t="shared" si="1323"/>
        <v>3637.43</v>
      </c>
      <c r="P4363" s="86">
        <f t="shared" si="1324"/>
        <v>0</v>
      </c>
      <c r="Q4363" s="86">
        <f t="shared" si="1325"/>
        <v>0</v>
      </c>
      <c r="R4363" s="86">
        <f t="shared" si="1326"/>
        <v>0</v>
      </c>
      <c r="S4363" s="86">
        <f t="shared" si="1327"/>
        <v>0</v>
      </c>
      <c r="T4363" s="86">
        <f t="shared" si="1328"/>
        <v>3637.43</v>
      </c>
      <c r="U4363" s="87">
        <v>3637.43</v>
      </c>
    </row>
    <row r="4364" spans="1:22" s="30" customFormat="1" ht="24.6" hidden="1" outlineLevel="1" x14ac:dyDescent="0.55000000000000004">
      <c r="A4364" s="27" t="s">
        <v>327</v>
      </c>
      <c r="B4364" s="28"/>
      <c r="C4364" s="27"/>
      <c r="D4364" s="27" t="str">
        <f>"""NAV Direct"",""CRONUS JetCorp USA"",""21"",""1"",""210280"""</f>
        <v>"NAV Direct","CRONUS JetCorp USA","21","1","210280"</v>
      </c>
      <c r="E4364" s="31">
        <f t="shared" si="1320"/>
        <v>0</v>
      </c>
      <c r="F4364" s="31"/>
      <c r="G4364" s="31"/>
      <c r="H4364" s="31"/>
      <c r="I4364" s="56"/>
      <c r="J4364" s="56"/>
      <c r="K4364" s="82" t="str">
        <f t="shared" si="1321"/>
        <v>Invoice</v>
      </c>
      <c r="L4364" s="83" t="str">
        <f>"SI_108494"</f>
        <v>SI_108494</v>
      </c>
      <c r="M4364" s="84">
        <v>42129</v>
      </c>
      <c r="N4364" s="85">
        <f t="shared" si="1322"/>
        <v>1683</v>
      </c>
      <c r="O4364" s="86">
        <f t="shared" si="1323"/>
        <v>3761.08</v>
      </c>
      <c r="P4364" s="86">
        <f t="shared" si="1324"/>
        <v>0</v>
      </c>
      <c r="Q4364" s="86">
        <f t="shared" si="1325"/>
        <v>0</v>
      </c>
      <c r="R4364" s="86">
        <f t="shared" si="1326"/>
        <v>0</v>
      </c>
      <c r="S4364" s="86">
        <f t="shared" si="1327"/>
        <v>0</v>
      </c>
      <c r="T4364" s="86">
        <f t="shared" si="1328"/>
        <v>3761.08</v>
      </c>
      <c r="U4364" s="87">
        <v>3761.08</v>
      </c>
    </row>
    <row r="4365" spans="1:22" s="30" customFormat="1" ht="24.6" hidden="1" outlineLevel="1" x14ac:dyDescent="0.55000000000000004">
      <c r="A4365" s="27" t="s">
        <v>327</v>
      </c>
      <c r="B4365" s="28"/>
      <c r="C4365" s="27"/>
      <c r="D4365" s="27" t="str">
        <f>"""NAV Direct"",""CRONUS JetCorp USA"",""21"",""1"",""210610"""</f>
        <v>"NAV Direct","CRONUS JetCorp USA","21","1","210610"</v>
      </c>
      <c r="E4365" s="31" t="str">
        <f t="shared" si="1320"/>
        <v>C100122</v>
      </c>
      <c r="F4365" s="31"/>
      <c r="G4365" s="31"/>
      <c r="H4365" s="31"/>
      <c r="I4365" s="56"/>
      <c r="J4365" s="56"/>
      <c r="K4365" s="82" t="str">
        <f t="shared" si="1321"/>
        <v>Invoice</v>
      </c>
      <c r="L4365" s="83" t="str">
        <f>"SI_108502"</f>
        <v>SI_108502</v>
      </c>
      <c r="M4365" s="84">
        <v>42147</v>
      </c>
      <c r="N4365" s="85">
        <f t="shared" si="1322"/>
        <v>1665</v>
      </c>
      <c r="O4365" s="86">
        <f t="shared" si="1323"/>
        <v>3839.46</v>
      </c>
      <c r="P4365" s="86">
        <f t="shared" si="1324"/>
        <v>0</v>
      </c>
      <c r="Q4365" s="86">
        <f t="shared" si="1325"/>
        <v>0</v>
      </c>
      <c r="R4365" s="86">
        <f t="shared" si="1326"/>
        <v>0</v>
      </c>
      <c r="S4365" s="86">
        <f t="shared" si="1327"/>
        <v>0</v>
      </c>
      <c r="T4365" s="86">
        <f t="shared" si="1328"/>
        <v>3839.46</v>
      </c>
      <c r="U4365" s="87">
        <v>3839.46</v>
      </c>
    </row>
    <row r="4366" spans="1:22" s="30" customFormat="1" ht="24.6" hidden="1" outlineLevel="1" x14ac:dyDescent="0.55000000000000004">
      <c r="A4366" s="27" t="s">
        <v>327</v>
      </c>
      <c r="B4366" s="28"/>
      <c r="C4366" s="27"/>
      <c r="D4366" s="27" t="str">
        <f>"""NAV Direct"",""CRONUS JetCorp USA"",""21"",""1"",""211300"""</f>
        <v>"NAV Direct","CRONUS JetCorp USA","21","1","211300"</v>
      </c>
      <c r="E4366" s="31">
        <f t="shared" si="1320"/>
        <v>0</v>
      </c>
      <c r="F4366" s="31"/>
      <c r="G4366" s="31"/>
      <c r="H4366" s="31"/>
      <c r="I4366" s="56"/>
      <c r="J4366" s="56"/>
      <c r="K4366" s="82" t="str">
        <f t="shared" si="1321"/>
        <v>Invoice</v>
      </c>
      <c r="L4366" s="83" t="str">
        <f>"SI_108518"</f>
        <v>SI_108518</v>
      </c>
      <c r="M4366" s="84">
        <v>42197</v>
      </c>
      <c r="N4366" s="85">
        <f t="shared" si="1322"/>
        <v>1615</v>
      </c>
      <c r="O4366" s="86">
        <f t="shared" si="1323"/>
        <v>3832.0499999999997</v>
      </c>
      <c r="P4366" s="86">
        <f t="shared" si="1324"/>
        <v>0</v>
      </c>
      <c r="Q4366" s="86">
        <f t="shared" si="1325"/>
        <v>0</v>
      </c>
      <c r="R4366" s="86">
        <f t="shared" si="1326"/>
        <v>0</v>
      </c>
      <c r="S4366" s="86">
        <f t="shared" si="1327"/>
        <v>0</v>
      </c>
      <c r="T4366" s="86">
        <f t="shared" si="1328"/>
        <v>3832.0499999999997</v>
      </c>
      <c r="U4366" s="87">
        <v>3832.0499999999997</v>
      </c>
    </row>
    <row r="4367" spans="1:22" s="30" customFormat="1" ht="24.6" hidden="1" outlineLevel="1" x14ac:dyDescent="0.55000000000000004">
      <c r="A4367" s="27" t="s">
        <v>327</v>
      </c>
      <c r="B4367" s="28"/>
      <c r="C4367" s="27"/>
      <c r="D4367" s="27" t="str">
        <f>"""NAV Direct"",""CRONUS JetCorp USA"",""21"",""1"",""211435"""</f>
        <v>"NAV Direct","CRONUS JetCorp USA","21","1","211435"</v>
      </c>
      <c r="E4367" s="31" t="str">
        <f t="shared" si="1320"/>
        <v>C100122</v>
      </c>
      <c r="F4367" s="31"/>
      <c r="G4367" s="31"/>
      <c r="H4367" s="31"/>
      <c r="I4367" s="56"/>
      <c r="J4367" s="56"/>
      <c r="K4367" s="82" t="str">
        <f t="shared" si="1321"/>
        <v>Invoice</v>
      </c>
      <c r="L4367" s="83" t="str">
        <f>"SI_108521"</f>
        <v>SI_108521</v>
      </c>
      <c r="M4367" s="84">
        <v>42204</v>
      </c>
      <c r="N4367" s="85">
        <f t="shared" si="1322"/>
        <v>1608</v>
      </c>
      <c r="O4367" s="86">
        <f t="shared" si="1323"/>
        <v>3872.0099999999998</v>
      </c>
      <c r="P4367" s="86">
        <f t="shared" si="1324"/>
        <v>0</v>
      </c>
      <c r="Q4367" s="86">
        <f t="shared" si="1325"/>
        <v>0</v>
      </c>
      <c r="R4367" s="86">
        <f t="shared" si="1326"/>
        <v>0</v>
      </c>
      <c r="S4367" s="86">
        <f t="shared" si="1327"/>
        <v>0</v>
      </c>
      <c r="T4367" s="86">
        <f t="shared" si="1328"/>
        <v>3872.0099999999998</v>
      </c>
      <c r="U4367" s="87">
        <v>3872.0099999999998</v>
      </c>
    </row>
    <row r="4368" spans="1:22" s="30" customFormat="1" ht="24.6" hidden="1" outlineLevel="1" x14ac:dyDescent="0.55000000000000004">
      <c r="A4368" s="27" t="s">
        <v>327</v>
      </c>
      <c r="B4368" s="28"/>
      <c r="C4368" s="27"/>
      <c r="D4368" s="27" t="str">
        <f>"""NAV Direct"",""CRONUS JetCorp USA"",""21"",""1"",""211490"""</f>
        <v>"NAV Direct","CRONUS JetCorp USA","21","1","211490"</v>
      </c>
      <c r="E4368" s="31">
        <f t="shared" si="1320"/>
        <v>0</v>
      </c>
      <c r="F4368" s="31"/>
      <c r="G4368" s="31"/>
      <c r="H4368" s="31"/>
      <c r="I4368" s="56"/>
      <c r="J4368" s="56"/>
      <c r="K4368" s="82" t="str">
        <f t="shared" si="1321"/>
        <v>Invoice</v>
      </c>
      <c r="L4368" s="83" t="str">
        <f>"SI_108522"</f>
        <v>SI_108522</v>
      </c>
      <c r="M4368" s="84">
        <v>42206</v>
      </c>
      <c r="N4368" s="85">
        <f t="shared" si="1322"/>
        <v>1606</v>
      </c>
      <c r="O4368" s="86">
        <f t="shared" si="1323"/>
        <v>3911.99</v>
      </c>
      <c r="P4368" s="86">
        <f t="shared" si="1324"/>
        <v>0</v>
      </c>
      <c r="Q4368" s="86">
        <f t="shared" si="1325"/>
        <v>0</v>
      </c>
      <c r="R4368" s="86">
        <f t="shared" si="1326"/>
        <v>0</v>
      </c>
      <c r="S4368" s="86">
        <f t="shared" si="1327"/>
        <v>0</v>
      </c>
      <c r="T4368" s="86">
        <f t="shared" si="1328"/>
        <v>3911.99</v>
      </c>
      <c r="U4368" s="87">
        <v>3911.99</v>
      </c>
    </row>
    <row r="4369" spans="1:21" s="30" customFormat="1" ht="24.6" hidden="1" outlineLevel="1" x14ac:dyDescent="0.55000000000000004">
      <c r="A4369" s="27" t="s">
        <v>327</v>
      </c>
      <c r="B4369" s="28"/>
      <c r="C4369" s="27"/>
      <c r="D4369" s="27" t="str">
        <f>"""NAV Direct"",""CRONUS JetCorp USA"",""21"",""1"",""211754"""</f>
        <v>"NAV Direct","CRONUS JetCorp USA","21","1","211754"</v>
      </c>
      <c r="E4369" s="31" t="str">
        <f t="shared" si="1320"/>
        <v>C100122</v>
      </c>
      <c r="F4369" s="31"/>
      <c r="G4369" s="31"/>
      <c r="H4369" s="31"/>
      <c r="I4369" s="56"/>
      <c r="J4369" s="56"/>
      <c r="K4369" s="82" t="str">
        <f t="shared" si="1321"/>
        <v>Invoice</v>
      </c>
      <c r="L4369" s="83" t="str">
        <f>"SI_108528"</f>
        <v>SI_108528</v>
      </c>
      <c r="M4369" s="84">
        <v>42228</v>
      </c>
      <c r="N4369" s="85">
        <f t="shared" si="1322"/>
        <v>1584</v>
      </c>
      <c r="O4369" s="86">
        <f t="shared" si="1323"/>
        <v>3951.12</v>
      </c>
      <c r="P4369" s="86">
        <f t="shared" si="1324"/>
        <v>0</v>
      </c>
      <c r="Q4369" s="86">
        <f t="shared" si="1325"/>
        <v>0</v>
      </c>
      <c r="R4369" s="86">
        <f t="shared" si="1326"/>
        <v>0</v>
      </c>
      <c r="S4369" s="86">
        <f t="shared" si="1327"/>
        <v>0</v>
      </c>
      <c r="T4369" s="86">
        <f t="shared" si="1328"/>
        <v>3951.12</v>
      </c>
      <c r="U4369" s="87">
        <v>3951.12</v>
      </c>
    </row>
    <row r="4370" spans="1:21" s="30" customFormat="1" ht="24.6" hidden="1" outlineLevel="1" x14ac:dyDescent="0.55000000000000004">
      <c r="A4370" s="27" t="s">
        <v>327</v>
      </c>
      <c r="B4370" s="28"/>
      <c r="C4370" s="27"/>
      <c r="D4370" s="27" t="str">
        <f>"""NAV Direct"",""CRONUS JetCorp USA"",""21"",""1"",""211846"""</f>
        <v>"NAV Direct","CRONUS JetCorp USA","21","1","211846"</v>
      </c>
      <c r="E4370" s="31">
        <f t="shared" si="1320"/>
        <v>0</v>
      </c>
      <c r="F4370" s="31"/>
      <c r="G4370" s="31"/>
      <c r="H4370" s="31"/>
      <c r="I4370" s="56"/>
      <c r="J4370" s="56"/>
      <c r="K4370" s="82" t="str">
        <f t="shared" si="1321"/>
        <v>Invoice</v>
      </c>
      <c r="L4370" s="83" t="str">
        <f>"SI_108530"</f>
        <v>SI_108530</v>
      </c>
      <c r="M4370" s="84">
        <v>42231</v>
      </c>
      <c r="N4370" s="85">
        <f t="shared" si="1322"/>
        <v>1581</v>
      </c>
      <c r="O4370" s="86">
        <f t="shared" si="1323"/>
        <v>3951.12</v>
      </c>
      <c r="P4370" s="86">
        <f t="shared" si="1324"/>
        <v>0</v>
      </c>
      <c r="Q4370" s="86">
        <f t="shared" si="1325"/>
        <v>0</v>
      </c>
      <c r="R4370" s="86">
        <f t="shared" si="1326"/>
        <v>0</v>
      </c>
      <c r="S4370" s="86">
        <f t="shared" si="1327"/>
        <v>0</v>
      </c>
      <c r="T4370" s="86">
        <f t="shared" si="1328"/>
        <v>3951.12</v>
      </c>
      <c r="U4370" s="87">
        <v>3951.12</v>
      </c>
    </row>
    <row r="4371" spans="1:21" s="30" customFormat="1" ht="24.6" hidden="1" outlineLevel="1" x14ac:dyDescent="0.55000000000000004">
      <c r="A4371" s="27" t="s">
        <v>327</v>
      </c>
      <c r="B4371" s="28"/>
      <c r="C4371" s="27"/>
      <c r="D4371" s="27" t="str">
        <f>"""NAV Direct"",""CRONUS JetCorp USA"",""21"",""1"",""212065"""</f>
        <v>"NAV Direct","CRONUS JetCorp USA","21","1","212065"</v>
      </c>
      <c r="E4371" s="31" t="str">
        <f t="shared" si="1320"/>
        <v>C100122</v>
      </c>
      <c r="F4371" s="31"/>
      <c r="G4371" s="31"/>
      <c r="H4371" s="31"/>
      <c r="I4371" s="56"/>
      <c r="J4371" s="56"/>
      <c r="K4371" s="82" t="str">
        <f t="shared" si="1321"/>
        <v>Invoice</v>
      </c>
      <c r="L4371" s="83" t="str">
        <f>"SI_108535"</f>
        <v>SI_108535</v>
      </c>
      <c r="M4371" s="84">
        <v>42252</v>
      </c>
      <c r="N4371" s="85">
        <f t="shared" si="1322"/>
        <v>1560</v>
      </c>
      <c r="O4371" s="86">
        <f t="shared" si="1323"/>
        <v>4029.9399999999996</v>
      </c>
      <c r="P4371" s="86">
        <f t="shared" si="1324"/>
        <v>0</v>
      </c>
      <c r="Q4371" s="86">
        <f t="shared" si="1325"/>
        <v>0</v>
      </c>
      <c r="R4371" s="86">
        <f t="shared" si="1326"/>
        <v>0</v>
      </c>
      <c r="S4371" s="86">
        <f t="shared" si="1327"/>
        <v>0</v>
      </c>
      <c r="T4371" s="86">
        <f t="shared" si="1328"/>
        <v>4029.9399999999996</v>
      </c>
      <c r="U4371" s="87">
        <v>4029.9399999999996</v>
      </c>
    </row>
    <row r="4372" spans="1:21" s="30" customFormat="1" ht="24.6" hidden="1" outlineLevel="1" x14ac:dyDescent="0.55000000000000004">
      <c r="A4372" s="27" t="s">
        <v>327</v>
      </c>
      <c r="B4372" s="28"/>
      <c r="C4372" s="27"/>
      <c r="D4372" s="27" t="str">
        <f>"""NAV Direct"",""CRONUS JetCorp USA"",""21"",""1"",""212651"""</f>
        <v>"NAV Direct","CRONUS JetCorp USA","21","1","212651"</v>
      </c>
      <c r="E4372" s="31">
        <f t="shared" si="1320"/>
        <v>0</v>
      </c>
      <c r="F4372" s="31"/>
      <c r="G4372" s="31"/>
      <c r="H4372" s="31"/>
      <c r="I4372" s="56"/>
      <c r="J4372" s="56"/>
      <c r="K4372" s="82" t="str">
        <f t="shared" si="1321"/>
        <v>Invoice</v>
      </c>
      <c r="L4372" s="83" t="str">
        <f>"SI_108549"</f>
        <v>SI_108549</v>
      </c>
      <c r="M4372" s="84">
        <v>42295</v>
      </c>
      <c r="N4372" s="85">
        <f t="shared" si="1322"/>
        <v>1517</v>
      </c>
      <c r="O4372" s="86">
        <f t="shared" si="1323"/>
        <v>4150.92</v>
      </c>
      <c r="P4372" s="86">
        <f t="shared" si="1324"/>
        <v>0</v>
      </c>
      <c r="Q4372" s="86">
        <f t="shared" si="1325"/>
        <v>0</v>
      </c>
      <c r="R4372" s="86">
        <f t="shared" si="1326"/>
        <v>0</v>
      </c>
      <c r="S4372" s="86">
        <f t="shared" si="1327"/>
        <v>0</v>
      </c>
      <c r="T4372" s="86">
        <f t="shared" si="1328"/>
        <v>4150.92</v>
      </c>
      <c r="U4372" s="87">
        <v>4150.92</v>
      </c>
    </row>
    <row r="4373" spans="1:21" s="30" customFormat="1" ht="24.6" hidden="1" outlineLevel="1" x14ac:dyDescent="0.55000000000000004">
      <c r="A4373" s="27" t="s">
        <v>327</v>
      </c>
      <c r="B4373" s="28"/>
      <c r="C4373" s="27"/>
      <c r="D4373" s="27" t="str">
        <f>"""NAV Direct"",""CRONUS JetCorp USA"",""21"",""1"",""212686"""</f>
        <v>"NAV Direct","CRONUS JetCorp USA","21","1","212686"</v>
      </c>
      <c r="E4373" s="31" t="str">
        <f t="shared" si="1320"/>
        <v>C100122</v>
      </c>
      <c r="F4373" s="31"/>
      <c r="G4373" s="31"/>
      <c r="H4373" s="31"/>
      <c r="I4373" s="56"/>
      <c r="J4373" s="56"/>
      <c r="K4373" s="82" t="str">
        <f t="shared" si="1321"/>
        <v>Invoice</v>
      </c>
      <c r="L4373" s="83" t="str">
        <f>"SI_108550"</f>
        <v>SI_108550</v>
      </c>
      <c r="M4373" s="84">
        <v>42296</v>
      </c>
      <c r="N4373" s="85">
        <f t="shared" si="1322"/>
        <v>1516</v>
      </c>
      <c r="O4373" s="86">
        <f t="shared" si="1323"/>
        <v>4150.9399999999996</v>
      </c>
      <c r="P4373" s="86">
        <f t="shared" si="1324"/>
        <v>0</v>
      </c>
      <c r="Q4373" s="86">
        <f t="shared" si="1325"/>
        <v>0</v>
      </c>
      <c r="R4373" s="86">
        <f t="shared" si="1326"/>
        <v>0</v>
      </c>
      <c r="S4373" s="86">
        <f t="shared" si="1327"/>
        <v>0</v>
      </c>
      <c r="T4373" s="86">
        <f t="shared" si="1328"/>
        <v>4150.9399999999996</v>
      </c>
      <c r="U4373" s="87">
        <v>4150.9399999999996</v>
      </c>
    </row>
    <row r="4374" spans="1:21" s="30" customFormat="1" ht="24.6" hidden="1" outlineLevel="1" x14ac:dyDescent="0.55000000000000004">
      <c r="A4374" s="27" t="s">
        <v>327</v>
      </c>
      <c r="B4374" s="28"/>
      <c r="C4374" s="27"/>
      <c r="D4374" s="27" t="str">
        <f>"""NAV Direct"",""CRONUS JetCorp USA"",""21"",""1"",""214090"""</f>
        <v>"NAV Direct","CRONUS JetCorp USA","21","1","214090"</v>
      </c>
      <c r="E4374" s="31">
        <f t="shared" si="1320"/>
        <v>0</v>
      </c>
      <c r="F4374" s="31"/>
      <c r="G4374" s="31"/>
      <c r="H4374" s="31"/>
      <c r="I4374" s="56"/>
      <c r="J4374" s="56"/>
      <c r="K4374" s="82" t="str">
        <f t="shared" si="1321"/>
        <v>Invoice</v>
      </c>
      <c r="L4374" s="83" t="str">
        <f>"SI_108583"</f>
        <v>SI_108583</v>
      </c>
      <c r="M4374" s="84">
        <v>42755</v>
      </c>
      <c r="N4374" s="85">
        <f t="shared" si="1322"/>
        <v>1057</v>
      </c>
      <c r="O4374" s="86">
        <f t="shared" si="1323"/>
        <v>3662.4500000000003</v>
      </c>
      <c r="P4374" s="86">
        <f t="shared" si="1324"/>
        <v>0</v>
      </c>
      <c r="Q4374" s="86">
        <f t="shared" si="1325"/>
        <v>0</v>
      </c>
      <c r="R4374" s="86">
        <f t="shared" si="1326"/>
        <v>0</v>
      </c>
      <c r="S4374" s="86">
        <f t="shared" si="1327"/>
        <v>0</v>
      </c>
      <c r="T4374" s="86">
        <f t="shared" si="1328"/>
        <v>3662.4500000000003</v>
      </c>
      <c r="U4374" s="87">
        <v>3662.4500000000003</v>
      </c>
    </row>
    <row r="4375" spans="1:21" s="30" customFormat="1" ht="24.6" hidden="1" outlineLevel="1" x14ac:dyDescent="0.55000000000000004">
      <c r="A4375" s="27" t="s">
        <v>327</v>
      </c>
      <c r="B4375" s="28"/>
      <c r="C4375" s="27"/>
      <c r="D4375" s="27" t="str">
        <f>"""NAV Direct"",""CRONUS JetCorp USA"",""21"",""1"",""429231"""</f>
        <v>"NAV Direct","CRONUS JetCorp USA","21","1","429231"</v>
      </c>
      <c r="E4375" s="31" t="str">
        <f t="shared" si="1320"/>
        <v>C100122</v>
      </c>
      <c r="F4375" s="31"/>
      <c r="G4375" s="31"/>
      <c r="H4375" s="31"/>
      <c r="I4375" s="56"/>
      <c r="J4375" s="56"/>
      <c r="K4375" s="82" t="str">
        <f t="shared" si="1321"/>
        <v>Invoice</v>
      </c>
      <c r="L4375" s="83" t="str">
        <f>"SI_113360"</f>
        <v>SI_113360</v>
      </c>
      <c r="M4375" s="84">
        <v>43696</v>
      </c>
      <c r="N4375" s="85">
        <f t="shared" si="1322"/>
        <v>116</v>
      </c>
      <c r="O4375" s="86">
        <f t="shared" si="1323"/>
        <v>3147.85</v>
      </c>
      <c r="P4375" s="86">
        <f t="shared" si="1324"/>
        <v>0</v>
      </c>
      <c r="Q4375" s="86">
        <f t="shared" si="1325"/>
        <v>0</v>
      </c>
      <c r="R4375" s="86">
        <f t="shared" si="1326"/>
        <v>0</v>
      </c>
      <c r="S4375" s="86">
        <f t="shared" si="1327"/>
        <v>0</v>
      </c>
      <c r="T4375" s="86">
        <f t="shared" si="1328"/>
        <v>3147.85</v>
      </c>
      <c r="U4375" s="87">
        <v>3147.85</v>
      </c>
    </row>
    <row r="4376" spans="1:21" s="30" customFormat="1" ht="24.6" hidden="1" outlineLevel="1" x14ac:dyDescent="0.55000000000000004">
      <c r="A4376" s="27" t="s">
        <v>327</v>
      </c>
      <c r="B4376" s="28"/>
      <c r="C4376" s="27"/>
      <c r="D4376" s="27" t="str">
        <f>"""NAV Direct"",""CRONUS JetCorp USA"",""21"",""1"",""444180"""</f>
        <v>"NAV Direct","CRONUS JetCorp USA","21","1","444180"</v>
      </c>
      <c r="E4376" s="31">
        <f t="shared" si="1320"/>
        <v>0</v>
      </c>
      <c r="F4376" s="31"/>
      <c r="G4376" s="31"/>
      <c r="H4376" s="31"/>
      <c r="I4376" s="56"/>
      <c r="J4376" s="56"/>
      <c r="K4376" s="82" t="str">
        <f t="shared" ref="K4376:K4381" si="1329">"Credit Memo"</f>
        <v>Credit Memo</v>
      </c>
      <c r="L4376" s="83" t="str">
        <f>"SC_101146"</f>
        <v>SC_101146</v>
      </c>
      <c r="M4376" s="84">
        <v>42768</v>
      </c>
      <c r="N4376" s="85">
        <f t="shared" si="1322"/>
        <v>1044</v>
      </c>
      <c r="O4376" s="86">
        <f t="shared" si="1323"/>
        <v>-38.29</v>
      </c>
      <c r="P4376" s="86">
        <f t="shared" si="1324"/>
        <v>0</v>
      </c>
      <c r="Q4376" s="86">
        <f t="shared" si="1325"/>
        <v>0</v>
      </c>
      <c r="R4376" s="86">
        <f t="shared" si="1326"/>
        <v>0</v>
      </c>
      <c r="S4376" s="86">
        <f t="shared" si="1327"/>
        <v>0</v>
      </c>
      <c r="T4376" s="86">
        <f t="shared" si="1328"/>
        <v>-38.29</v>
      </c>
      <c r="U4376" s="87">
        <v>-38.29</v>
      </c>
    </row>
    <row r="4377" spans="1:21" s="30" customFormat="1" ht="24.6" hidden="1" outlineLevel="1" x14ac:dyDescent="0.55000000000000004">
      <c r="A4377" s="27" t="s">
        <v>327</v>
      </c>
      <c r="B4377" s="28"/>
      <c r="C4377" s="27"/>
      <c r="D4377" s="27" t="str">
        <f>"""NAV Direct"",""CRONUS JetCorp USA"",""21"",""1"",""444216"""</f>
        <v>"NAV Direct","CRONUS JetCorp USA","21","1","444216"</v>
      </c>
      <c r="E4377" s="31" t="str">
        <f t="shared" si="1320"/>
        <v>C100122</v>
      </c>
      <c r="F4377" s="31"/>
      <c r="G4377" s="31"/>
      <c r="H4377" s="31"/>
      <c r="I4377" s="56"/>
      <c r="J4377" s="56"/>
      <c r="K4377" s="82" t="str">
        <f t="shared" si="1329"/>
        <v>Credit Memo</v>
      </c>
      <c r="L4377" s="83" t="str">
        <f>"SC_101149"</f>
        <v>SC_101149</v>
      </c>
      <c r="M4377" s="84">
        <v>42806</v>
      </c>
      <c r="N4377" s="85">
        <f t="shared" si="1322"/>
        <v>1006</v>
      </c>
      <c r="O4377" s="86">
        <f t="shared" si="1323"/>
        <v>-39.58</v>
      </c>
      <c r="P4377" s="86">
        <f t="shared" si="1324"/>
        <v>0</v>
      </c>
      <c r="Q4377" s="86">
        <f t="shared" si="1325"/>
        <v>0</v>
      </c>
      <c r="R4377" s="86">
        <f t="shared" si="1326"/>
        <v>0</v>
      </c>
      <c r="S4377" s="86">
        <f t="shared" si="1327"/>
        <v>0</v>
      </c>
      <c r="T4377" s="86">
        <f t="shared" si="1328"/>
        <v>-39.58</v>
      </c>
      <c r="U4377" s="87">
        <v>-39.58</v>
      </c>
    </row>
    <row r="4378" spans="1:21" s="30" customFormat="1" ht="24.6" hidden="1" outlineLevel="1" x14ac:dyDescent="0.55000000000000004">
      <c r="A4378" s="27" t="s">
        <v>327</v>
      </c>
      <c r="B4378" s="28"/>
      <c r="C4378" s="27"/>
      <c r="D4378" s="27" t="str">
        <f>"""NAV Direct"",""CRONUS JetCorp USA"",""21"",""1"",""444445"""</f>
        <v>"NAV Direct","CRONUS JetCorp USA","21","1","444445"</v>
      </c>
      <c r="E4378" s="31">
        <f t="shared" si="1320"/>
        <v>0</v>
      </c>
      <c r="F4378" s="31"/>
      <c r="G4378" s="31"/>
      <c r="H4378" s="31"/>
      <c r="I4378" s="56"/>
      <c r="J4378" s="56"/>
      <c r="K4378" s="82" t="str">
        <f t="shared" si="1329"/>
        <v>Credit Memo</v>
      </c>
      <c r="L4378" s="83" t="str">
        <f>"SC_101174"</f>
        <v>SC_101174</v>
      </c>
      <c r="M4378" s="84">
        <v>43266</v>
      </c>
      <c r="N4378" s="85">
        <f t="shared" si="1322"/>
        <v>546</v>
      </c>
      <c r="O4378" s="86">
        <f t="shared" si="1323"/>
        <v>-26.74</v>
      </c>
      <c r="P4378" s="86">
        <f t="shared" si="1324"/>
        <v>0</v>
      </c>
      <c r="Q4378" s="86">
        <f t="shared" si="1325"/>
        <v>0</v>
      </c>
      <c r="R4378" s="86">
        <f t="shared" si="1326"/>
        <v>0</v>
      </c>
      <c r="S4378" s="86">
        <f t="shared" si="1327"/>
        <v>0</v>
      </c>
      <c r="T4378" s="86">
        <f t="shared" si="1328"/>
        <v>-26.74</v>
      </c>
      <c r="U4378" s="87">
        <v>-26.74</v>
      </c>
    </row>
    <row r="4379" spans="1:21" s="30" customFormat="1" ht="24.6" hidden="1" outlineLevel="1" x14ac:dyDescent="0.55000000000000004">
      <c r="A4379" s="27" t="s">
        <v>327</v>
      </c>
      <c r="B4379" s="28"/>
      <c r="C4379" s="27"/>
      <c r="D4379" s="27" t="str">
        <f>"""NAV Direct"",""CRONUS JetCorp USA"",""21"",""1"",""444780"""</f>
        <v>"NAV Direct","CRONUS JetCorp USA","21","1","444780"</v>
      </c>
      <c r="E4379" s="31" t="str">
        <f t="shared" si="1320"/>
        <v>C100122</v>
      </c>
      <c r="F4379" s="31"/>
      <c r="G4379" s="31"/>
      <c r="H4379" s="31"/>
      <c r="I4379" s="56"/>
      <c r="J4379" s="56"/>
      <c r="K4379" s="82" t="str">
        <f t="shared" si="1329"/>
        <v>Credit Memo</v>
      </c>
      <c r="L4379" s="83" t="str">
        <f>"SC_101215"</f>
        <v>SC_101215</v>
      </c>
      <c r="M4379" s="84">
        <v>42217</v>
      </c>
      <c r="N4379" s="85">
        <f t="shared" si="1322"/>
        <v>1595</v>
      </c>
      <c r="O4379" s="86">
        <f t="shared" si="1323"/>
        <v>-39.9</v>
      </c>
      <c r="P4379" s="86">
        <f t="shared" si="1324"/>
        <v>0</v>
      </c>
      <c r="Q4379" s="86">
        <f t="shared" si="1325"/>
        <v>0</v>
      </c>
      <c r="R4379" s="86">
        <f t="shared" si="1326"/>
        <v>0</v>
      </c>
      <c r="S4379" s="86">
        <f t="shared" si="1327"/>
        <v>0</v>
      </c>
      <c r="T4379" s="86">
        <f t="shared" si="1328"/>
        <v>-39.9</v>
      </c>
      <c r="U4379" s="87">
        <v>-39.9</v>
      </c>
    </row>
    <row r="4380" spans="1:21" s="30" customFormat="1" ht="24.6" hidden="1" outlineLevel="1" x14ac:dyDescent="0.55000000000000004">
      <c r="A4380" s="27" t="s">
        <v>327</v>
      </c>
      <c r="B4380" s="28"/>
      <c r="C4380" s="27"/>
      <c r="D4380" s="27" t="str">
        <f>"""NAV Direct"",""CRONUS JetCorp USA"",""21"",""1"",""444795"""</f>
        <v>"NAV Direct","CRONUS JetCorp USA","21","1","444795"</v>
      </c>
      <c r="E4380" s="31">
        <f t="shared" si="1320"/>
        <v>0</v>
      </c>
      <c r="F4380" s="31"/>
      <c r="G4380" s="31"/>
      <c r="H4380" s="31"/>
      <c r="I4380" s="56"/>
      <c r="J4380" s="56"/>
      <c r="K4380" s="82" t="str">
        <f t="shared" si="1329"/>
        <v>Credit Memo</v>
      </c>
      <c r="L4380" s="83" t="str">
        <f>"SC_101216"</f>
        <v>SC_101216</v>
      </c>
      <c r="M4380" s="84">
        <v>42224</v>
      </c>
      <c r="N4380" s="85">
        <f t="shared" si="1322"/>
        <v>1588</v>
      </c>
      <c r="O4380" s="86">
        <f t="shared" si="1323"/>
        <v>-39.840000000000003</v>
      </c>
      <c r="P4380" s="86">
        <f t="shared" si="1324"/>
        <v>0</v>
      </c>
      <c r="Q4380" s="86">
        <f t="shared" si="1325"/>
        <v>0</v>
      </c>
      <c r="R4380" s="86">
        <f t="shared" si="1326"/>
        <v>0</v>
      </c>
      <c r="S4380" s="86">
        <f t="shared" si="1327"/>
        <v>0</v>
      </c>
      <c r="T4380" s="86">
        <f t="shared" si="1328"/>
        <v>-39.840000000000003</v>
      </c>
      <c r="U4380" s="87">
        <v>-39.840000000000003</v>
      </c>
    </row>
    <row r="4381" spans="1:21" s="30" customFormat="1" ht="24.6" hidden="1" outlineLevel="1" x14ac:dyDescent="0.55000000000000004">
      <c r="A4381" s="27" t="s">
        <v>327</v>
      </c>
      <c r="B4381" s="28"/>
      <c r="C4381" s="27"/>
      <c r="D4381" s="27" t="str">
        <f>"""NAV Direct"",""CRONUS JetCorp USA"",""21"",""1"",""444816"""</f>
        <v>"NAV Direct","CRONUS JetCorp USA","21","1","444816"</v>
      </c>
      <c r="E4381" s="31" t="str">
        <f t="shared" si="1320"/>
        <v>C100122</v>
      </c>
      <c r="F4381" s="31"/>
      <c r="G4381" s="31"/>
      <c r="H4381" s="31"/>
      <c r="I4381" s="56"/>
      <c r="J4381" s="56"/>
      <c r="K4381" s="82" t="str">
        <f t="shared" si="1329"/>
        <v>Credit Memo</v>
      </c>
      <c r="L4381" s="83" t="str">
        <f>"SC_101218"</f>
        <v>SC_101218</v>
      </c>
      <c r="M4381" s="84">
        <v>42285</v>
      </c>
      <c r="N4381" s="85">
        <f t="shared" si="1322"/>
        <v>1527</v>
      </c>
      <c r="O4381" s="86">
        <f t="shared" si="1323"/>
        <v>-42.97</v>
      </c>
      <c r="P4381" s="86">
        <f t="shared" si="1324"/>
        <v>0</v>
      </c>
      <c r="Q4381" s="86">
        <f t="shared" si="1325"/>
        <v>0</v>
      </c>
      <c r="R4381" s="86">
        <f t="shared" si="1326"/>
        <v>0</v>
      </c>
      <c r="S4381" s="86">
        <f t="shared" si="1327"/>
        <v>0</v>
      </c>
      <c r="T4381" s="86">
        <f t="shared" si="1328"/>
        <v>-42.97</v>
      </c>
      <c r="U4381" s="87">
        <v>-42.97</v>
      </c>
    </row>
    <row r="4382" spans="1:21" s="22" customFormat="1" ht="20.399999999999999" collapsed="1" x14ac:dyDescent="0.45">
      <c r="A4382" s="12" t="s">
        <v>327</v>
      </c>
      <c r="B4382" s="19"/>
      <c r="C4382" s="12"/>
      <c r="D4382" s="12"/>
      <c r="E4382" s="23"/>
      <c r="F4382" s="23"/>
      <c r="G4382" s="23"/>
      <c r="H4382" s="23"/>
      <c r="I4382" s="49"/>
      <c r="J4382" s="88"/>
      <c r="K4382" s="88"/>
      <c r="L4382" s="89"/>
      <c r="M4382" s="89"/>
      <c r="N4382" s="89"/>
      <c r="O4382" s="89"/>
      <c r="P4382" s="89"/>
      <c r="Q4382" s="90"/>
      <c r="R4382" s="90"/>
      <c r="S4382" s="91"/>
      <c r="T4382" s="92"/>
      <c r="U4382" s="92"/>
    </row>
    <row r="4383" spans="1:21" s="22" customFormat="1" ht="20.399999999999999" x14ac:dyDescent="0.45">
      <c r="A4383" s="12" t="s">
        <v>327</v>
      </c>
      <c r="B4383" s="19"/>
      <c r="C4383" s="12"/>
      <c r="D4383" s="12"/>
      <c r="E4383" s="23"/>
      <c r="F4383" s="23"/>
      <c r="G4383" s="23"/>
      <c r="H4383" s="23"/>
      <c r="I4383" s="49"/>
      <c r="J4383" s="88"/>
      <c r="K4383" s="88"/>
      <c r="L4383" s="89"/>
      <c r="M4383" s="89"/>
      <c r="N4383" s="89"/>
      <c r="O4383" s="89"/>
      <c r="P4383" s="89"/>
      <c r="Q4383" s="90"/>
      <c r="R4383" s="90"/>
      <c r="S4383" s="91"/>
      <c r="T4383" s="92"/>
      <c r="U4383" s="92"/>
    </row>
    <row r="4384" spans="1:21" s="26" customFormat="1" ht="24.6" x14ac:dyDescent="0.55000000000000004">
      <c r="A4384" s="27" t="s">
        <v>327</v>
      </c>
      <c r="B4384" s="28"/>
      <c r="C4384" s="27" t="str">
        <f>"""NAV Direct"",""CRONUS JetCorp USA"",""18"",""1"",""C100124"""</f>
        <v>"NAV Direct","CRONUS JetCorp USA","18","1","C100124"</v>
      </c>
      <c r="D4384" s="27"/>
      <c r="E4384" s="28" t="str">
        <f>H4384</f>
        <v>C100124</v>
      </c>
      <c r="F4384" s="28"/>
      <c r="G4384" s="28"/>
      <c r="H4384" s="28" t="str">
        <f>"C100124"</f>
        <v>C100124</v>
      </c>
      <c r="I4384" s="116" t="str">
        <f>"C100124  -  Ontocane Outdoors"</f>
        <v>C100124  -  Ontocane Outdoors</v>
      </c>
      <c r="J4384" s="117" t="str">
        <f>""</f>
        <v/>
      </c>
      <c r="K4384" s="118"/>
      <c r="L4384" s="119">
        <f>SUBTOTAL(3,L4385:L4402)</f>
        <v>14</v>
      </c>
      <c r="M4384" s="118"/>
      <c r="N4384" s="118"/>
      <c r="O4384" s="120">
        <f t="shared" ref="O4384:T4384" si="1330">SUBTOTAL(9,O4385:O4402)</f>
        <v>46922.64</v>
      </c>
      <c r="P4384" s="120">
        <f t="shared" si="1330"/>
        <v>0</v>
      </c>
      <c r="Q4384" s="120">
        <f t="shared" si="1330"/>
        <v>0</v>
      </c>
      <c r="R4384" s="120">
        <f t="shared" si="1330"/>
        <v>0</v>
      </c>
      <c r="S4384" s="120">
        <f t="shared" si="1330"/>
        <v>0</v>
      </c>
      <c r="T4384" s="120">
        <f t="shared" si="1330"/>
        <v>46922.64</v>
      </c>
      <c r="U4384" s="81"/>
    </row>
    <row r="4385" spans="1:22" s="26" customFormat="1" ht="24.6" x14ac:dyDescent="0.55000000000000004">
      <c r="A4385" s="27" t="s">
        <v>327</v>
      </c>
      <c r="B4385" s="28"/>
      <c r="C4385" s="27" t="str">
        <f>C4384</f>
        <v>"NAV Direct","CRONUS JetCorp USA","18","1","C100124"</v>
      </c>
      <c r="D4385" s="27"/>
      <c r="E4385" s="28" t="str">
        <f>E4384</f>
        <v>C100124</v>
      </c>
      <c r="F4385" s="28"/>
      <c r="G4385" s="28"/>
      <c r="H4385" s="28"/>
      <c r="I4385" s="121" t="str">
        <f>"Contact: Katja Diceherd"</f>
        <v>Contact: Katja Diceherd</v>
      </c>
      <c r="J4385" s="121"/>
      <c r="K4385" s="122"/>
      <c r="L4385" s="123"/>
      <c r="M4385" s="123"/>
      <c r="N4385" s="124"/>
      <c r="O4385" s="124"/>
      <c r="P4385" s="123"/>
      <c r="Q4385" s="125"/>
      <c r="R4385" s="126"/>
      <c r="S4385" s="126"/>
      <c r="T4385" s="125"/>
      <c r="U4385" s="81"/>
    </row>
    <row r="4386" spans="1:22" s="26" customFormat="1" ht="24.6" x14ac:dyDescent="0.55000000000000004">
      <c r="A4386" s="27" t="s">
        <v>327</v>
      </c>
      <c r="B4386" s="28"/>
      <c r="C4386" s="27" t="str">
        <f>C4385</f>
        <v>"NAV Direct","CRONUS JetCorp USA","18","1","C100124"</v>
      </c>
      <c r="D4386" s="27"/>
      <c r="E4386" s="28" t="str">
        <f>E4385</f>
        <v>C100124</v>
      </c>
      <c r="F4386" s="28"/>
      <c r="G4386" s="28"/>
      <c r="H4386" s="28"/>
      <c r="I4386" s="121" t="str">
        <f>"Ontocane Outdoors@Cronus.com"</f>
        <v>Ontocane Outdoors@Cronus.com</v>
      </c>
      <c r="J4386" s="121"/>
      <c r="K4386" s="122"/>
      <c r="L4386" s="124"/>
      <c r="M4386" s="124"/>
      <c r="N4386" s="124"/>
      <c r="O4386" s="124"/>
      <c r="P4386" s="123"/>
      <c r="Q4386" s="125"/>
      <c r="R4386" s="126"/>
      <c r="S4386" s="126"/>
      <c r="T4386" s="125"/>
      <c r="U4386" s="81"/>
    </row>
    <row r="4387" spans="1:22" ht="12.75" hidden="1" customHeight="1" outlineLevel="1" x14ac:dyDescent="0.45">
      <c r="A4387" s="12" t="s">
        <v>328</v>
      </c>
      <c r="B4387" s="19"/>
      <c r="E4387" s="19"/>
      <c r="F4387" s="19"/>
      <c r="G4387" s="19"/>
      <c r="H4387" s="19"/>
      <c r="I4387" s="61"/>
      <c r="J4387" s="61"/>
      <c r="K4387" s="61"/>
      <c r="L4387" s="61"/>
      <c r="M4387" s="61"/>
      <c r="N4387" s="61"/>
      <c r="O4387" s="61"/>
      <c r="P4387" s="61"/>
      <c r="Q4387" s="61"/>
      <c r="R4387" s="61"/>
      <c r="S4387" s="61"/>
      <c r="T4387" s="61"/>
      <c r="U4387" s="61"/>
      <c r="V4387" s="21"/>
    </row>
    <row r="4388" spans="1:22" s="30" customFormat="1" ht="24.6" hidden="1" outlineLevel="1" x14ac:dyDescent="0.55000000000000004">
      <c r="A4388" s="27" t="s">
        <v>327</v>
      </c>
      <c r="B4388" s="28"/>
      <c r="C4388" s="27"/>
      <c r="D4388" s="27" t="str">
        <f>"""NAV Direct"",""CRONUS JetCorp USA"",""21"",""1"",""210479"""</f>
        <v>"NAV Direct","CRONUS JetCorp USA","21","1","210479"</v>
      </c>
      <c r="E4388" s="31" t="str">
        <f t="shared" ref="E4388:E4401" si="1331">E4386</f>
        <v>C100124</v>
      </c>
      <c r="F4388" s="31"/>
      <c r="G4388" s="31"/>
      <c r="H4388" s="31"/>
      <c r="I4388" s="56"/>
      <c r="J4388" s="56"/>
      <c r="K4388" s="82" t="str">
        <f t="shared" ref="K4388:K4399" si="1332">"Invoice"</f>
        <v>Invoice</v>
      </c>
      <c r="L4388" s="83" t="str">
        <f>"SI_108499"</f>
        <v>SI_108499</v>
      </c>
      <c r="M4388" s="84">
        <v>42125</v>
      </c>
      <c r="N4388" s="85">
        <f t="shared" ref="N4388:N4401" si="1333">StartDate-$M4388+1</f>
        <v>1687</v>
      </c>
      <c r="O4388" s="86">
        <f t="shared" ref="O4388:O4401" si="1334">SUM(P4388:T4388)</f>
        <v>3761.32</v>
      </c>
      <c r="P4388" s="86">
        <f t="shared" ref="P4388:P4401" si="1335">IF($M4388&gt;=$P$18,U4388,0)</f>
        <v>0</v>
      </c>
      <c r="Q4388" s="86">
        <f t="shared" ref="Q4388:Q4401" si="1336">IF(AND($M4388&gt;=$Q$16,$M4388&lt;=$Q$18),U4388,0)</f>
        <v>0</v>
      </c>
      <c r="R4388" s="86">
        <f t="shared" ref="R4388:R4401" si="1337">IF(AND($M4388&gt;=$R$16,$M4388&lt;=$R$18),U4388,0)</f>
        <v>0</v>
      </c>
      <c r="S4388" s="86">
        <f t="shared" ref="S4388:S4401" si="1338">IF(AND($M4388&gt;=$S$16,$M4388&lt;=$S$18),U4388,0)</f>
        <v>0</v>
      </c>
      <c r="T4388" s="86">
        <f t="shared" ref="T4388:T4401" si="1339">IF($M4388&lt;=$T$18,U4388,0)</f>
        <v>3761.32</v>
      </c>
      <c r="U4388" s="87">
        <v>3761.32</v>
      </c>
    </row>
    <row r="4389" spans="1:22" s="30" customFormat="1" ht="24.6" hidden="1" outlineLevel="1" x14ac:dyDescent="0.55000000000000004">
      <c r="A4389" s="27" t="s">
        <v>327</v>
      </c>
      <c r="B4389" s="28"/>
      <c r="C4389" s="27"/>
      <c r="D4389" s="27" t="str">
        <f>"""NAV Direct"",""CRONUS JetCorp USA"",""21"",""1"",""211155"""</f>
        <v>"NAV Direct","CRONUS JetCorp USA","21","1","211155"</v>
      </c>
      <c r="E4389" s="31">
        <f t="shared" si="1331"/>
        <v>0</v>
      </c>
      <c r="F4389" s="31"/>
      <c r="G4389" s="31"/>
      <c r="H4389" s="31"/>
      <c r="I4389" s="56"/>
      <c r="J4389" s="56"/>
      <c r="K4389" s="82" t="str">
        <f t="shared" si="1332"/>
        <v>Invoice</v>
      </c>
      <c r="L4389" s="83" t="str">
        <f>"SI_108515"</f>
        <v>SI_108515</v>
      </c>
      <c r="M4389" s="84">
        <v>42173</v>
      </c>
      <c r="N4389" s="85">
        <f t="shared" si="1333"/>
        <v>1639</v>
      </c>
      <c r="O4389" s="86">
        <f t="shared" si="1334"/>
        <v>3831.94</v>
      </c>
      <c r="P4389" s="86">
        <f t="shared" si="1335"/>
        <v>0</v>
      </c>
      <c r="Q4389" s="86">
        <f t="shared" si="1336"/>
        <v>0</v>
      </c>
      <c r="R4389" s="86">
        <f t="shared" si="1337"/>
        <v>0</v>
      </c>
      <c r="S4389" s="86">
        <f t="shared" si="1338"/>
        <v>0</v>
      </c>
      <c r="T4389" s="86">
        <f t="shared" si="1339"/>
        <v>3831.94</v>
      </c>
      <c r="U4389" s="87">
        <v>3831.94</v>
      </c>
    </row>
    <row r="4390" spans="1:22" s="30" customFormat="1" ht="24.6" hidden="1" outlineLevel="1" x14ac:dyDescent="0.55000000000000004">
      <c r="A4390" s="27" t="s">
        <v>327</v>
      </c>
      <c r="B4390" s="28"/>
      <c r="C4390" s="27"/>
      <c r="D4390" s="27" t="str">
        <f>"""NAV Direct"",""CRONUS JetCorp USA"",""21"",""1"",""211208"""</f>
        <v>"NAV Direct","CRONUS JetCorp USA","21","1","211208"</v>
      </c>
      <c r="E4390" s="31" t="str">
        <f t="shared" si="1331"/>
        <v>C100124</v>
      </c>
      <c r="F4390" s="31"/>
      <c r="G4390" s="31"/>
      <c r="H4390" s="31"/>
      <c r="I4390" s="56"/>
      <c r="J4390" s="56"/>
      <c r="K4390" s="82" t="str">
        <f t="shared" si="1332"/>
        <v>Invoice</v>
      </c>
      <c r="L4390" s="83" t="str">
        <f>"SI_108516"</f>
        <v>SI_108516</v>
      </c>
      <c r="M4390" s="84">
        <v>42177</v>
      </c>
      <c r="N4390" s="85">
        <f t="shared" si="1333"/>
        <v>1635</v>
      </c>
      <c r="O4390" s="86">
        <f t="shared" si="1334"/>
        <v>3831.76</v>
      </c>
      <c r="P4390" s="86">
        <f t="shared" si="1335"/>
        <v>0</v>
      </c>
      <c r="Q4390" s="86">
        <f t="shared" si="1336"/>
        <v>0</v>
      </c>
      <c r="R4390" s="86">
        <f t="shared" si="1337"/>
        <v>0</v>
      </c>
      <c r="S4390" s="86">
        <f t="shared" si="1338"/>
        <v>0</v>
      </c>
      <c r="T4390" s="86">
        <f t="shared" si="1339"/>
        <v>3831.76</v>
      </c>
      <c r="U4390" s="87">
        <v>3831.76</v>
      </c>
    </row>
    <row r="4391" spans="1:22" s="30" customFormat="1" ht="24.6" hidden="1" outlineLevel="1" x14ac:dyDescent="0.55000000000000004">
      <c r="A4391" s="27" t="s">
        <v>327</v>
      </c>
      <c r="B4391" s="28"/>
      <c r="C4391" s="27"/>
      <c r="D4391" s="27" t="str">
        <f>"""NAV Direct"",""CRONUS JetCorp USA"",""21"",""1"",""211678"""</f>
        <v>"NAV Direct","CRONUS JetCorp USA","21","1","211678"</v>
      </c>
      <c r="E4391" s="31">
        <f t="shared" si="1331"/>
        <v>0</v>
      </c>
      <c r="F4391" s="31"/>
      <c r="G4391" s="31"/>
      <c r="H4391" s="31"/>
      <c r="I4391" s="56"/>
      <c r="J4391" s="56"/>
      <c r="K4391" s="82" t="str">
        <f t="shared" si="1332"/>
        <v>Invoice</v>
      </c>
      <c r="L4391" s="83" t="str">
        <f>"SI_108526"</f>
        <v>SI_108526</v>
      </c>
      <c r="M4391" s="84">
        <v>42207</v>
      </c>
      <c r="N4391" s="85">
        <f t="shared" si="1333"/>
        <v>1605</v>
      </c>
      <c r="O4391" s="86">
        <f t="shared" si="1334"/>
        <v>3950.98</v>
      </c>
      <c r="P4391" s="86">
        <f t="shared" si="1335"/>
        <v>0</v>
      </c>
      <c r="Q4391" s="86">
        <f t="shared" si="1336"/>
        <v>0</v>
      </c>
      <c r="R4391" s="86">
        <f t="shared" si="1337"/>
        <v>0</v>
      </c>
      <c r="S4391" s="86">
        <f t="shared" si="1338"/>
        <v>0</v>
      </c>
      <c r="T4391" s="86">
        <f t="shared" si="1339"/>
        <v>3950.98</v>
      </c>
      <c r="U4391" s="87">
        <v>3950.98</v>
      </c>
    </row>
    <row r="4392" spans="1:22" s="30" customFormat="1" ht="24.6" hidden="1" outlineLevel="1" x14ac:dyDescent="0.55000000000000004">
      <c r="A4392" s="27" t="s">
        <v>327</v>
      </c>
      <c r="B4392" s="28"/>
      <c r="C4392" s="27"/>
      <c r="D4392" s="27" t="str">
        <f>"""NAV Direct"",""CRONUS JetCorp USA"",""21"",""1"",""212106"""</f>
        <v>"NAV Direct","CRONUS JetCorp USA","21","1","212106"</v>
      </c>
      <c r="E4392" s="31" t="str">
        <f t="shared" si="1331"/>
        <v>C100124</v>
      </c>
      <c r="F4392" s="31"/>
      <c r="G4392" s="31"/>
      <c r="H4392" s="31"/>
      <c r="I4392" s="56"/>
      <c r="J4392" s="56"/>
      <c r="K4392" s="82" t="str">
        <f t="shared" si="1332"/>
        <v>Invoice</v>
      </c>
      <c r="L4392" s="83" t="str">
        <f>"SI_108536"</f>
        <v>SI_108536</v>
      </c>
      <c r="M4392" s="84">
        <v>42238</v>
      </c>
      <c r="N4392" s="85">
        <f t="shared" si="1333"/>
        <v>1574</v>
      </c>
      <c r="O4392" s="86">
        <f t="shared" si="1334"/>
        <v>3988.7799999999997</v>
      </c>
      <c r="P4392" s="86">
        <f t="shared" si="1335"/>
        <v>0</v>
      </c>
      <c r="Q4392" s="86">
        <f t="shared" si="1336"/>
        <v>0</v>
      </c>
      <c r="R4392" s="86">
        <f t="shared" si="1337"/>
        <v>0</v>
      </c>
      <c r="S4392" s="86">
        <f t="shared" si="1338"/>
        <v>0</v>
      </c>
      <c r="T4392" s="86">
        <f t="shared" si="1339"/>
        <v>3988.7799999999997</v>
      </c>
      <c r="U4392" s="87">
        <v>3988.7799999999997</v>
      </c>
    </row>
    <row r="4393" spans="1:22" s="30" customFormat="1" ht="24.6" hidden="1" outlineLevel="1" x14ac:dyDescent="0.55000000000000004">
      <c r="A4393" s="27" t="s">
        <v>327</v>
      </c>
      <c r="B4393" s="28"/>
      <c r="C4393" s="27"/>
      <c r="D4393" s="27" t="str">
        <f>"""NAV Direct"",""CRONUS JetCorp USA"",""21"",""1"",""212149"""</f>
        <v>"NAV Direct","CRONUS JetCorp USA","21","1","212149"</v>
      </c>
      <c r="E4393" s="31">
        <f t="shared" si="1331"/>
        <v>0</v>
      </c>
      <c r="F4393" s="31"/>
      <c r="G4393" s="31"/>
      <c r="H4393" s="31"/>
      <c r="I4393" s="56"/>
      <c r="J4393" s="56"/>
      <c r="K4393" s="82" t="str">
        <f t="shared" si="1332"/>
        <v>Invoice</v>
      </c>
      <c r="L4393" s="83" t="str">
        <f>"SI_108537"</f>
        <v>SI_108537</v>
      </c>
      <c r="M4393" s="84">
        <v>42238</v>
      </c>
      <c r="N4393" s="85">
        <f t="shared" si="1333"/>
        <v>1574</v>
      </c>
      <c r="O4393" s="86">
        <f t="shared" si="1334"/>
        <v>4030.35</v>
      </c>
      <c r="P4393" s="86">
        <f t="shared" si="1335"/>
        <v>0</v>
      </c>
      <c r="Q4393" s="86">
        <f t="shared" si="1336"/>
        <v>0</v>
      </c>
      <c r="R4393" s="86">
        <f t="shared" si="1337"/>
        <v>0</v>
      </c>
      <c r="S4393" s="86">
        <f t="shared" si="1338"/>
        <v>0</v>
      </c>
      <c r="T4393" s="86">
        <f t="shared" si="1339"/>
        <v>4030.35</v>
      </c>
      <c r="U4393" s="87">
        <v>4030.35</v>
      </c>
    </row>
    <row r="4394" spans="1:22" s="30" customFormat="1" ht="24.6" hidden="1" outlineLevel="1" x14ac:dyDescent="0.55000000000000004">
      <c r="A4394" s="27" t="s">
        <v>327</v>
      </c>
      <c r="B4394" s="28"/>
      <c r="C4394" s="27"/>
      <c r="D4394" s="27" t="str">
        <f>"""NAV Direct"",""CRONUS JetCorp USA"",""21"",""1"",""212278"""</f>
        <v>"NAV Direct","CRONUS JetCorp USA","21","1","212278"</v>
      </c>
      <c r="E4394" s="31" t="str">
        <f t="shared" si="1331"/>
        <v>C100124</v>
      </c>
      <c r="F4394" s="31"/>
      <c r="G4394" s="31"/>
      <c r="H4394" s="31"/>
      <c r="I4394" s="56"/>
      <c r="J4394" s="56"/>
      <c r="K4394" s="82" t="str">
        <f t="shared" si="1332"/>
        <v>Invoice</v>
      </c>
      <c r="L4394" s="83" t="str">
        <f>"SI_108540"</f>
        <v>SI_108540</v>
      </c>
      <c r="M4394" s="84">
        <v>42243</v>
      </c>
      <c r="N4394" s="85">
        <f t="shared" si="1333"/>
        <v>1569</v>
      </c>
      <c r="O4394" s="86">
        <f t="shared" si="1334"/>
        <v>4030.15</v>
      </c>
      <c r="P4394" s="86">
        <f t="shared" si="1335"/>
        <v>0</v>
      </c>
      <c r="Q4394" s="86">
        <f t="shared" si="1336"/>
        <v>0</v>
      </c>
      <c r="R4394" s="86">
        <f t="shared" si="1337"/>
        <v>0</v>
      </c>
      <c r="S4394" s="86">
        <f t="shared" si="1338"/>
        <v>0</v>
      </c>
      <c r="T4394" s="86">
        <f t="shared" si="1339"/>
        <v>4030.15</v>
      </c>
      <c r="U4394" s="87">
        <v>4030.15</v>
      </c>
    </row>
    <row r="4395" spans="1:22" s="30" customFormat="1" ht="24.6" hidden="1" outlineLevel="1" x14ac:dyDescent="0.55000000000000004">
      <c r="A4395" s="27" t="s">
        <v>327</v>
      </c>
      <c r="B4395" s="28"/>
      <c r="C4395" s="27"/>
      <c r="D4395" s="27" t="str">
        <f>"""NAV Direct"",""CRONUS JetCorp USA"",""21"",""1"",""212903"""</f>
        <v>"NAV Direct","CRONUS JetCorp USA","21","1","212903"</v>
      </c>
      <c r="E4395" s="31">
        <f t="shared" si="1331"/>
        <v>0</v>
      </c>
      <c r="F4395" s="31"/>
      <c r="G4395" s="31"/>
      <c r="H4395" s="31"/>
      <c r="I4395" s="56"/>
      <c r="J4395" s="56"/>
      <c r="K4395" s="82" t="str">
        <f t="shared" si="1332"/>
        <v>Invoice</v>
      </c>
      <c r="L4395" s="83" t="str">
        <f>"SI_108555"</f>
        <v>SI_108555</v>
      </c>
      <c r="M4395" s="84">
        <v>42293</v>
      </c>
      <c r="N4395" s="85">
        <f t="shared" si="1333"/>
        <v>1519</v>
      </c>
      <c r="O4395" s="86">
        <f t="shared" si="1334"/>
        <v>4317.13</v>
      </c>
      <c r="P4395" s="86">
        <f t="shared" si="1335"/>
        <v>0</v>
      </c>
      <c r="Q4395" s="86">
        <f t="shared" si="1336"/>
        <v>0</v>
      </c>
      <c r="R4395" s="86">
        <f t="shared" si="1337"/>
        <v>0</v>
      </c>
      <c r="S4395" s="86">
        <f t="shared" si="1338"/>
        <v>0</v>
      </c>
      <c r="T4395" s="86">
        <f t="shared" si="1339"/>
        <v>4317.13</v>
      </c>
      <c r="U4395" s="87">
        <v>4317.13</v>
      </c>
    </row>
    <row r="4396" spans="1:22" s="30" customFormat="1" ht="24.6" hidden="1" outlineLevel="1" x14ac:dyDescent="0.55000000000000004">
      <c r="A4396" s="27" t="s">
        <v>327</v>
      </c>
      <c r="B4396" s="28"/>
      <c r="C4396" s="27"/>
      <c r="D4396" s="27" t="str">
        <f>"""NAV Direct"",""CRONUS JetCorp USA"",""21"",""1"",""213044"""</f>
        <v>"NAV Direct","CRONUS JetCorp USA","21","1","213044"</v>
      </c>
      <c r="E4396" s="31" t="str">
        <f t="shared" si="1331"/>
        <v>C100124</v>
      </c>
      <c r="F4396" s="31"/>
      <c r="G4396" s="31"/>
      <c r="H4396" s="31"/>
      <c r="I4396" s="56"/>
      <c r="J4396" s="56"/>
      <c r="K4396" s="82" t="str">
        <f t="shared" si="1332"/>
        <v>Invoice</v>
      </c>
      <c r="L4396" s="83" t="str">
        <f>"SI_108558"</f>
        <v>SI_108558</v>
      </c>
      <c r="M4396" s="84">
        <v>42298</v>
      </c>
      <c r="N4396" s="85">
        <f t="shared" si="1333"/>
        <v>1514</v>
      </c>
      <c r="O4396" s="86">
        <f t="shared" si="1334"/>
        <v>4317.13</v>
      </c>
      <c r="P4396" s="86">
        <f t="shared" si="1335"/>
        <v>0</v>
      </c>
      <c r="Q4396" s="86">
        <f t="shared" si="1336"/>
        <v>0</v>
      </c>
      <c r="R4396" s="86">
        <f t="shared" si="1337"/>
        <v>0</v>
      </c>
      <c r="S4396" s="86">
        <f t="shared" si="1338"/>
        <v>0</v>
      </c>
      <c r="T4396" s="86">
        <f t="shared" si="1339"/>
        <v>4317.13</v>
      </c>
      <c r="U4396" s="87">
        <v>4317.13</v>
      </c>
    </row>
    <row r="4397" spans="1:22" s="30" customFormat="1" ht="24.6" hidden="1" outlineLevel="1" x14ac:dyDescent="0.55000000000000004">
      <c r="A4397" s="27" t="s">
        <v>327</v>
      </c>
      <c r="B4397" s="28"/>
      <c r="C4397" s="27"/>
      <c r="D4397" s="27" t="str">
        <f>"""NAV Direct"",""CRONUS JetCorp USA"",""21"",""1"",""213511"""</f>
        <v>"NAV Direct","CRONUS JetCorp USA","21","1","213511"</v>
      </c>
      <c r="E4397" s="31">
        <f t="shared" si="1331"/>
        <v>0</v>
      </c>
      <c r="F4397" s="31"/>
      <c r="G4397" s="31"/>
      <c r="H4397" s="31"/>
      <c r="I4397" s="56"/>
      <c r="J4397" s="56"/>
      <c r="K4397" s="82" t="str">
        <f t="shared" si="1332"/>
        <v>Invoice</v>
      </c>
      <c r="L4397" s="83" t="str">
        <f>"SI_108569"</f>
        <v>SI_108569</v>
      </c>
      <c r="M4397" s="84">
        <v>42337</v>
      </c>
      <c r="N4397" s="85">
        <f t="shared" si="1333"/>
        <v>1475</v>
      </c>
      <c r="O4397" s="86">
        <f t="shared" si="1334"/>
        <v>4359.8900000000003</v>
      </c>
      <c r="P4397" s="86">
        <f t="shared" si="1335"/>
        <v>0</v>
      </c>
      <c r="Q4397" s="86">
        <f t="shared" si="1336"/>
        <v>0</v>
      </c>
      <c r="R4397" s="86">
        <f t="shared" si="1337"/>
        <v>0</v>
      </c>
      <c r="S4397" s="86">
        <f t="shared" si="1338"/>
        <v>0</v>
      </c>
      <c r="T4397" s="86">
        <f t="shared" si="1339"/>
        <v>4359.8900000000003</v>
      </c>
      <c r="U4397" s="87">
        <v>4359.8900000000003</v>
      </c>
    </row>
    <row r="4398" spans="1:22" s="30" customFormat="1" ht="24.6" hidden="1" outlineLevel="1" x14ac:dyDescent="0.55000000000000004">
      <c r="A4398" s="27" t="s">
        <v>327</v>
      </c>
      <c r="B4398" s="28"/>
      <c r="C4398" s="27"/>
      <c r="D4398" s="27" t="str">
        <f>"""NAV Direct"",""CRONUS JetCorp USA"",""21"",""1"",""213825"""</f>
        <v>"NAV Direct","CRONUS JetCorp USA","21","1","213825"</v>
      </c>
      <c r="E4398" s="31" t="str">
        <f t="shared" si="1331"/>
        <v>C100124</v>
      </c>
      <c r="F4398" s="31"/>
      <c r="G4398" s="31"/>
      <c r="H4398" s="31"/>
      <c r="I4398" s="56"/>
      <c r="J4398" s="56"/>
      <c r="K4398" s="82" t="str">
        <f t="shared" si="1332"/>
        <v>Invoice</v>
      </c>
      <c r="L4398" s="83" t="str">
        <f>"SI_108576"</f>
        <v>SI_108576</v>
      </c>
      <c r="M4398" s="84">
        <v>42360</v>
      </c>
      <c r="N4398" s="85">
        <f t="shared" si="1333"/>
        <v>1452</v>
      </c>
      <c r="O4398" s="86">
        <f t="shared" si="1334"/>
        <v>3662.56</v>
      </c>
      <c r="P4398" s="86">
        <f t="shared" si="1335"/>
        <v>0</v>
      </c>
      <c r="Q4398" s="86">
        <f t="shared" si="1336"/>
        <v>0</v>
      </c>
      <c r="R4398" s="86">
        <f t="shared" si="1337"/>
        <v>0</v>
      </c>
      <c r="S4398" s="86">
        <f t="shared" si="1338"/>
        <v>0</v>
      </c>
      <c r="T4398" s="86">
        <f t="shared" si="1339"/>
        <v>3662.56</v>
      </c>
      <c r="U4398" s="87">
        <v>3662.56</v>
      </c>
    </row>
    <row r="4399" spans="1:22" s="30" customFormat="1" ht="24.6" hidden="1" outlineLevel="1" x14ac:dyDescent="0.55000000000000004">
      <c r="A4399" s="27" t="s">
        <v>327</v>
      </c>
      <c r="B4399" s="28"/>
      <c r="C4399" s="27"/>
      <c r="D4399" s="27" t="str">
        <f>"""NAV Direct"",""CRONUS JetCorp USA"",""21"",""1"",""429190"""</f>
        <v>"NAV Direct","CRONUS JetCorp USA","21","1","429190"</v>
      </c>
      <c r="E4399" s="31">
        <f t="shared" si="1331"/>
        <v>0</v>
      </c>
      <c r="F4399" s="31"/>
      <c r="G4399" s="31"/>
      <c r="H4399" s="31"/>
      <c r="I4399" s="56"/>
      <c r="J4399" s="56"/>
      <c r="K4399" s="82" t="str">
        <f t="shared" si="1332"/>
        <v>Invoice</v>
      </c>
      <c r="L4399" s="83" t="str">
        <f>"SI_113334"</f>
        <v>SI_113334</v>
      </c>
      <c r="M4399" s="84">
        <v>43586</v>
      </c>
      <c r="N4399" s="85">
        <f t="shared" si="1333"/>
        <v>226</v>
      </c>
      <c r="O4399" s="86">
        <f t="shared" si="1334"/>
        <v>2901.57</v>
      </c>
      <c r="P4399" s="86">
        <f t="shared" si="1335"/>
        <v>0</v>
      </c>
      <c r="Q4399" s="86">
        <f t="shared" si="1336"/>
        <v>0</v>
      </c>
      <c r="R4399" s="86">
        <f t="shared" si="1337"/>
        <v>0</v>
      </c>
      <c r="S4399" s="86">
        <f t="shared" si="1338"/>
        <v>0</v>
      </c>
      <c r="T4399" s="86">
        <f t="shared" si="1339"/>
        <v>2901.57</v>
      </c>
      <c r="U4399" s="87">
        <v>2901.57</v>
      </c>
    </row>
    <row r="4400" spans="1:22" s="30" customFormat="1" ht="24.6" hidden="1" outlineLevel="1" x14ac:dyDescent="0.55000000000000004">
      <c r="A4400" s="27" t="s">
        <v>327</v>
      </c>
      <c r="B4400" s="28"/>
      <c r="C4400" s="27"/>
      <c r="D4400" s="27" t="str">
        <f>"""NAV Direct"",""CRONUS JetCorp USA"",""21"",""1"",""444360"""</f>
        <v>"NAV Direct","CRONUS JetCorp USA","21","1","444360"</v>
      </c>
      <c r="E4400" s="31" t="str">
        <f t="shared" si="1331"/>
        <v>C100124</v>
      </c>
      <c r="F4400" s="31"/>
      <c r="G4400" s="31"/>
      <c r="H4400" s="31"/>
      <c r="I4400" s="56"/>
      <c r="J4400" s="56"/>
      <c r="K4400" s="82" t="str">
        <f>"Credit Memo"</f>
        <v>Credit Memo</v>
      </c>
      <c r="L4400" s="83" t="str">
        <f>"SC_101164"</f>
        <v>SC_101164</v>
      </c>
      <c r="M4400" s="84">
        <v>43081</v>
      </c>
      <c r="N4400" s="85">
        <f t="shared" si="1333"/>
        <v>731</v>
      </c>
      <c r="O4400" s="86">
        <f t="shared" si="1334"/>
        <v>-31.86</v>
      </c>
      <c r="P4400" s="86">
        <f t="shared" si="1335"/>
        <v>0</v>
      </c>
      <c r="Q4400" s="86">
        <f t="shared" si="1336"/>
        <v>0</v>
      </c>
      <c r="R4400" s="86">
        <f t="shared" si="1337"/>
        <v>0</v>
      </c>
      <c r="S4400" s="86">
        <f t="shared" si="1338"/>
        <v>0</v>
      </c>
      <c r="T4400" s="86">
        <f t="shared" si="1339"/>
        <v>-31.86</v>
      </c>
      <c r="U4400" s="87">
        <v>-31.86</v>
      </c>
    </row>
    <row r="4401" spans="1:22" s="30" customFormat="1" ht="24.6" hidden="1" outlineLevel="1" x14ac:dyDescent="0.55000000000000004">
      <c r="A4401" s="27" t="s">
        <v>327</v>
      </c>
      <c r="B4401" s="28"/>
      <c r="C4401" s="27"/>
      <c r="D4401" s="27" t="str">
        <f>"""NAV Direct"",""CRONUS JetCorp USA"",""21"",""1"",""444563"""</f>
        <v>"NAV Direct","CRONUS JetCorp USA","21","1","444563"</v>
      </c>
      <c r="E4401" s="31">
        <f t="shared" si="1331"/>
        <v>0</v>
      </c>
      <c r="F4401" s="31"/>
      <c r="G4401" s="31"/>
      <c r="H4401" s="31"/>
      <c r="I4401" s="56"/>
      <c r="J4401" s="56"/>
      <c r="K4401" s="82" t="str">
        <f>"Credit Memo"</f>
        <v>Credit Memo</v>
      </c>
      <c r="L4401" s="83" t="str">
        <f>"SC_101190"</f>
        <v>SC_101190</v>
      </c>
      <c r="M4401" s="84">
        <v>43539</v>
      </c>
      <c r="N4401" s="85">
        <f t="shared" si="1333"/>
        <v>273</v>
      </c>
      <c r="O4401" s="86">
        <f t="shared" si="1334"/>
        <v>-29.06</v>
      </c>
      <c r="P4401" s="86">
        <f t="shared" si="1335"/>
        <v>0</v>
      </c>
      <c r="Q4401" s="86">
        <f t="shared" si="1336"/>
        <v>0</v>
      </c>
      <c r="R4401" s="86">
        <f t="shared" si="1337"/>
        <v>0</v>
      </c>
      <c r="S4401" s="86">
        <f t="shared" si="1338"/>
        <v>0</v>
      </c>
      <c r="T4401" s="86">
        <f t="shared" si="1339"/>
        <v>-29.06</v>
      </c>
      <c r="U4401" s="87">
        <v>-29.06</v>
      </c>
    </row>
    <row r="4402" spans="1:22" s="22" customFormat="1" ht="20.399999999999999" collapsed="1" x14ac:dyDescent="0.45">
      <c r="A4402" s="12" t="s">
        <v>327</v>
      </c>
      <c r="B4402" s="19"/>
      <c r="C4402" s="12"/>
      <c r="D4402" s="12"/>
      <c r="E4402" s="23"/>
      <c r="F4402" s="23"/>
      <c r="G4402" s="23"/>
      <c r="H4402" s="23"/>
      <c r="I4402" s="49"/>
      <c r="J4402" s="88"/>
      <c r="K4402" s="88"/>
      <c r="L4402" s="89"/>
      <c r="M4402" s="89"/>
      <c r="N4402" s="89"/>
      <c r="O4402" s="89"/>
      <c r="P4402" s="89"/>
      <c r="Q4402" s="90"/>
      <c r="R4402" s="90"/>
      <c r="S4402" s="91"/>
      <c r="T4402" s="92"/>
      <c r="U4402" s="92"/>
    </row>
    <row r="4403" spans="1:22" s="22" customFormat="1" ht="20.399999999999999" x14ac:dyDescent="0.45">
      <c r="A4403" s="12" t="s">
        <v>327</v>
      </c>
      <c r="B4403" s="19"/>
      <c r="C4403" s="12"/>
      <c r="D4403" s="12"/>
      <c r="E4403" s="23"/>
      <c r="F4403" s="23"/>
      <c r="G4403" s="23"/>
      <c r="H4403" s="23"/>
      <c r="I4403" s="49"/>
      <c r="J4403" s="88"/>
      <c r="K4403" s="88"/>
      <c r="L4403" s="89"/>
      <c r="M4403" s="89"/>
      <c r="N4403" s="89"/>
      <c r="O4403" s="89"/>
      <c r="P4403" s="89"/>
      <c r="Q4403" s="90"/>
      <c r="R4403" s="90"/>
      <c r="S4403" s="91"/>
      <c r="T4403" s="92"/>
      <c r="U4403" s="92"/>
    </row>
    <row r="4404" spans="1:22" s="26" customFormat="1" ht="24.6" x14ac:dyDescent="0.55000000000000004">
      <c r="A4404" s="27" t="s">
        <v>327</v>
      </c>
      <c r="B4404" s="28"/>
      <c r="C4404" s="27" t="str">
        <f>"""NAV Direct"",""CRONUS JetCorp USA"",""18"",""1"",""C100125"""</f>
        <v>"NAV Direct","CRONUS JetCorp USA","18","1","C100125"</v>
      </c>
      <c r="D4404" s="27"/>
      <c r="E4404" s="28" t="str">
        <f>H4404</f>
        <v>C100125</v>
      </c>
      <c r="F4404" s="28"/>
      <c r="G4404" s="28"/>
      <c r="H4404" s="28" t="str">
        <f>"C100125"</f>
        <v>C100125</v>
      </c>
      <c r="I4404" s="116" t="str">
        <f>"C100125  -  Solcity"</f>
        <v>C100125  -  Solcity</v>
      </c>
      <c r="J4404" s="117" t="str">
        <f>""</f>
        <v/>
      </c>
      <c r="K4404" s="118"/>
      <c r="L4404" s="119">
        <f>SUBTOTAL(3,L4405:L4426)</f>
        <v>18</v>
      </c>
      <c r="M4404" s="118"/>
      <c r="N4404" s="118"/>
      <c r="O4404" s="120">
        <f t="shared" ref="O4404:T4404" si="1340">SUBTOTAL(9,O4405:O4426)</f>
        <v>49799.44999999999</v>
      </c>
      <c r="P4404" s="120">
        <f t="shared" si="1340"/>
        <v>0</v>
      </c>
      <c r="Q4404" s="120">
        <f t="shared" si="1340"/>
        <v>0</v>
      </c>
      <c r="R4404" s="120">
        <f t="shared" si="1340"/>
        <v>0</v>
      </c>
      <c r="S4404" s="120">
        <f t="shared" si="1340"/>
        <v>0</v>
      </c>
      <c r="T4404" s="120">
        <f t="shared" si="1340"/>
        <v>49799.44999999999</v>
      </c>
      <c r="U4404" s="81"/>
    </row>
    <row r="4405" spans="1:22" s="26" customFormat="1" ht="24.6" x14ac:dyDescent="0.55000000000000004">
      <c r="A4405" s="27" t="s">
        <v>327</v>
      </c>
      <c r="B4405" s="28"/>
      <c r="C4405" s="27" t="str">
        <f>C4404</f>
        <v>"NAV Direct","CRONUS JetCorp USA","18","1","C100125"</v>
      </c>
      <c r="D4405" s="27"/>
      <c r="E4405" s="28" t="str">
        <f>E4404</f>
        <v>C100125</v>
      </c>
      <c r="F4405" s="28"/>
      <c r="G4405" s="28"/>
      <c r="H4405" s="28"/>
      <c r="I4405" s="121" t="str">
        <f>"Contact: Abardon Tapetes"</f>
        <v>Contact: Abardon Tapetes</v>
      </c>
      <c r="J4405" s="121"/>
      <c r="K4405" s="122"/>
      <c r="L4405" s="123"/>
      <c r="M4405" s="123"/>
      <c r="N4405" s="124"/>
      <c r="O4405" s="124"/>
      <c r="P4405" s="123"/>
      <c r="Q4405" s="125"/>
      <c r="R4405" s="126"/>
      <c r="S4405" s="126"/>
      <c r="T4405" s="125"/>
      <c r="U4405" s="81"/>
    </row>
    <row r="4406" spans="1:22" s="26" customFormat="1" ht="24.6" x14ac:dyDescent="0.55000000000000004">
      <c r="A4406" s="27" t="s">
        <v>327</v>
      </c>
      <c r="B4406" s="28"/>
      <c r="C4406" s="27" t="str">
        <f>C4405</f>
        <v>"NAV Direct","CRONUS JetCorp USA","18","1","C100125"</v>
      </c>
      <c r="D4406" s="27"/>
      <c r="E4406" s="28" t="str">
        <f>E4405</f>
        <v>C100125</v>
      </c>
      <c r="F4406" s="28"/>
      <c r="G4406" s="28"/>
      <c r="H4406" s="28"/>
      <c r="I4406" s="121" t="str">
        <f>"Solcity@Cronus.com"</f>
        <v>Solcity@Cronus.com</v>
      </c>
      <c r="J4406" s="121"/>
      <c r="K4406" s="122"/>
      <c r="L4406" s="124"/>
      <c r="M4406" s="124"/>
      <c r="N4406" s="124"/>
      <c r="O4406" s="124"/>
      <c r="P4406" s="123"/>
      <c r="Q4406" s="125"/>
      <c r="R4406" s="126"/>
      <c r="S4406" s="126"/>
      <c r="T4406" s="125"/>
      <c r="U4406" s="81"/>
    </row>
    <row r="4407" spans="1:22" ht="12.75" hidden="1" customHeight="1" outlineLevel="1" x14ac:dyDescent="0.45">
      <c r="A4407" s="12" t="s">
        <v>328</v>
      </c>
      <c r="B4407" s="19"/>
      <c r="E4407" s="19"/>
      <c r="F4407" s="19"/>
      <c r="G4407" s="19"/>
      <c r="H4407" s="19"/>
      <c r="I4407" s="61"/>
      <c r="J4407" s="61"/>
      <c r="K4407" s="61"/>
      <c r="L4407" s="61"/>
      <c r="M4407" s="61"/>
      <c r="N4407" s="61"/>
      <c r="O4407" s="61"/>
      <c r="P4407" s="61"/>
      <c r="Q4407" s="61"/>
      <c r="R4407" s="61"/>
      <c r="S4407" s="61"/>
      <c r="T4407" s="61"/>
      <c r="U4407" s="61"/>
      <c r="V4407" s="21"/>
    </row>
    <row r="4408" spans="1:22" s="30" customFormat="1" ht="24.6" hidden="1" outlineLevel="1" x14ac:dyDescent="0.55000000000000004">
      <c r="A4408" s="27" t="s">
        <v>327</v>
      </c>
      <c r="B4408" s="28"/>
      <c r="C4408" s="27"/>
      <c r="D4408" s="27" t="str">
        <f>"""NAV Direct"",""CRONUS JetCorp USA"",""21"",""1"",""209165"""</f>
        <v>"NAV Direct","CRONUS JetCorp USA","21","1","209165"</v>
      </c>
      <c r="E4408" s="31" t="str">
        <f t="shared" ref="E4408:E4425" si="1341">E4406</f>
        <v>C100125</v>
      </c>
      <c r="F4408" s="31"/>
      <c r="G4408" s="31"/>
      <c r="H4408" s="31"/>
      <c r="I4408" s="56"/>
      <c r="J4408" s="56"/>
      <c r="K4408" s="82" t="str">
        <f t="shared" ref="K4408:K4420" si="1342">"Invoice"</f>
        <v>Invoice</v>
      </c>
      <c r="L4408" s="83" t="str">
        <f>"SI_108466"</f>
        <v>SI_108466</v>
      </c>
      <c r="M4408" s="84">
        <v>42022</v>
      </c>
      <c r="N4408" s="85">
        <f t="shared" ref="N4408:N4425" si="1343">StartDate-$M4408+1</f>
        <v>1790</v>
      </c>
      <c r="O4408" s="86">
        <f t="shared" ref="O4408:O4425" si="1344">SUM(P4408:T4408)</f>
        <v>3537.7400000000002</v>
      </c>
      <c r="P4408" s="86">
        <f t="shared" ref="P4408:P4425" si="1345">IF($M4408&gt;=$P$18,U4408,0)</f>
        <v>0</v>
      </c>
      <c r="Q4408" s="86">
        <f t="shared" ref="Q4408:Q4425" si="1346">IF(AND($M4408&gt;=$Q$16,$M4408&lt;=$Q$18),U4408,0)</f>
        <v>0</v>
      </c>
      <c r="R4408" s="86">
        <f t="shared" ref="R4408:R4425" si="1347">IF(AND($M4408&gt;=$R$16,$M4408&lt;=$R$18),U4408,0)</f>
        <v>0</v>
      </c>
      <c r="S4408" s="86">
        <f t="shared" ref="S4408:S4425" si="1348">IF(AND($M4408&gt;=$S$16,$M4408&lt;=$S$18),U4408,0)</f>
        <v>0</v>
      </c>
      <c r="T4408" s="86">
        <f t="shared" ref="T4408:T4425" si="1349">IF($M4408&lt;=$T$18,U4408,0)</f>
        <v>3537.7400000000002</v>
      </c>
      <c r="U4408" s="87">
        <v>3537.7400000000002</v>
      </c>
    </row>
    <row r="4409" spans="1:22" s="30" customFormat="1" ht="24.6" hidden="1" outlineLevel="1" x14ac:dyDescent="0.55000000000000004">
      <c r="A4409" s="27" t="s">
        <v>327</v>
      </c>
      <c r="B4409" s="28"/>
      <c r="C4409" s="27"/>
      <c r="D4409" s="27" t="str">
        <f>"""NAV Direct"",""CRONUS JetCorp USA"",""21"",""1"",""209366"""</f>
        <v>"NAV Direct","CRONUS JetCorp USA","21","1","209366"</v>
      </c>
      <c r="E4409" s="31">
        <f t="shared" si="1341"/>
        <v>0</v>
      </c>
      <c r="F4409" s="31"/>
      <c r="G4409" s="31"/>
      <c r="H4409" s="31"/>
      <c r="I4409" s="56"/>
      <c r="J4409" s="56"/>
      <c r="K4409" s="82" t="str">
        <f t="shared" si="1342"/>
        <v>Invoice</v>
      </c>
      <c r="L4409" s="83" t="str">
        <f>"SI_108471"</f>
        <v>SI_108471</v>
      </c>
      <c r="M4409" s="84">
        <v>42033</v>
      </c>
      <c r="N4409" s="85">
        <f t="shared" si="1343"/>
        <v>1779</v>
      </c>
      <c r="O4409" s="86">
        <f t="shared" si="1344"/>
        <v>3501.76</v>
      </c>
      <c r="P4409" s="86">
        <f t="shared" si="1345"/>
        <v>0</v>
      </c>
      <c r="Q4409" s="86">
        <f t="shared" si="1346"/>
        <v>0</v>
      </c>
      <c r="R4409" s="86">
        <f t="shared" si="1347"/>
        <v>0</v>
      </c>
      <c r="S4409" s="86">
        <f t="shared" si="1348"/>
        <v>0</v>
      </c>
      <c r="T4409" s="86">
        <f t="shared" si="1349"/>
        <v>3501.76</v>
      </c>
      <c r="U4409" s="87">
        <v>3501.76</v>
      </c>
    </row>
    <row r="4410" spans="1:22" s="30" customFormat="1" ht="24.6" hidden="1" outlineLevel="1" x14ac:dyDescent="0.55000000000000004">
      <c r="A4410" s="27" t="s">
        <v>327</v>
      </c>
      <c r="B4410" s="28"/>
      <c r="C4410" s="27"/>
      <c r="D4410" s="27" t="str">
        <f>"""NAV Direct"",""CRONUS JetCorp USA"",""21"",""1"",""209399"""</f>
        <v>"NAV Direct","CRONUS JetCorp USA","21","1","209399"</v>
      </c>
      <c r="E4410" s="31" t="str">
        <f t="shared" si="1341"/>
        <v>C100125</v>
      </c>
      <c r="F4410" s="31"/>
      <c r="G4410" s="31"/>
      <c r="H4410" s="31"/>
      <c r="I4410" s="56"/>
      <c r="J4410" s="56"/>
      <c r="K4410" s="82" t="str">
        <f t="shared" si="1342"/>
        <v>Invoice</v>
      </c>
      <c r="L4410" s="83" t="str">
        <f>"SI_108472"</f>
        <v>SI_108472</v>
      </c>
      <c r="M4410" s="84">
        <v>42033</v>
      </c>
      <c r="N4410" s="85">
        <f t="shared" si="1343"/>
        <v>1779</v>
      </c>
      <c r="O4410" s="86">
        <f t="shared" si="1344"/>
        <v>3465.6299999999997</v>
      </c>
      <c r="P4410" s="86">
        <f t="shared" si="1345"/>
        <v>0</v>
      </c>
      <c r="Q4410" s="86">
        <f t="shared" si="1346"/>
        <v>0</v>
      </c>
      <c r="R4410" s="86">
        <f t="shared" si="1347"/>
        <v>0</v>
      </c>
      <c r="S4410" s="86">
        <f t="shared" si="1348"/>
        <v>0</v>
      </c>
      <c r="T4410" s="86">
        <f t="shared" si="1349"/>
        <v>3465.6299999999997</v>
      </c>
      <c r="U4410" s="87">
        <v>3465.6299999999997</v>
      </c>
    </row>
    <row r="4411" spans="1:22" s="30" customFormat="1" ht="24.6" hidden="1" outlineLevel="1" x14ac:dyDescent="0.55000000000000004">
      <c r="A4411" s="27" t="s">
        <v>327</v>
      </c>
      <c r="B4411" s="28"/>
      <c r="C4411" s="27"/>
      <c r="D4411" s="27" t="str">
        <f>"""NAV Direct"",""CRONUS JetCorp USA"",""21"",""1"",""209729"""</f>
        <v>"NAV Direct","CRONUS JetCorp USA","21","1","209729"</v>
      </c>
      <c r="E4411" s="31">
        <f t="shared" si="1341"/>
        <v>0</v>
      </c>
      <c r="F4411" s="31"/>
      <c r="G4411" s="31"/>
      <c r="H4411" s="31"/>
      <c r="I4411" s="56"/>
      <c r="J4411" s="56"/>
      <c r="K4411" s="82" t="str">
        <f t="shared" si="1342"/>
        <v>Invoice</v>
      </c>
      <c r="L4411" s="83" t="str">
        <f>"SI_108480"</f>
        <v>SI_108480</v>
      </c>
      <c r="M4411" s="84">
        <v>42063</v>
      </c>
      <c r="N4411" s="85">
        <f t="shared" si="1343"/>
        <v>1749</v>
      </c>
      <c r="O4411" s="86">
        <f t="shared" si="1344"/>
        <v>3622.58</v>
      </c>
      <c r="P4411" s="86">
        <f t="shared" si="1345"/>
        <v>0</v>
      </c>
      <c r="Q4411" s="86">
        <f t="shared" si="1346"/>
        <v>0</v>
      </c>
      <c r="R4411" s="86">
        <f t="shared" si="1347"/>
        <v>0</v>
      </c>
      <c r="S4411" s="86">
        <f t="shared" si="1348"/>
        <v>0</v>
      </c>
      <c r="T4411" s="86">
        <f t="shared" si="1349"/>
        <v>3622.58</v>
      </c>
      <c r="U4411" s="87">
        <v>3622.58</v>
      </c>
    </row>
    <row r="4412" spans="1:22" s="30" customFormat="1" ht="24.6" hidden="1" outlineLevel="1" x14ac:dyDescent="0.55000000000000004">
      <c r="A4412" s="27" t="s">
        <v>327</v>
      </c>
      <c r="B4412" s="28"/>
      <c r="C4412" s="27"/>
      <c r="D4412" s="27" t="str">
        <f>"""NAV Direct"",""CRONUS JetCorp USA"",""21"",""1"",""209988"""</f>
        <v>"NAV Direct","CRONUS JetCorp USA","21","1","209988"</v>
      </c>
      <c r="E4412" s="31" t="str">
        <f t="shared" si="1341"/>
        <v>C100125</v>
      </c>
      <c r="F4412" s="31"/>
      <c r="G4412" s="31"/>
      <c r="H4412" s="31"/>
      <c r="I4412" s="56"/>
      <c r="J4412" s="56"/>
      <c r="K4412" s="82" t="str">
        <f t="shared" si="1342"/>
        <v>Invoice</v>
      </c>
      <c r="L4412" s="83" t="str">
        <f>"SI_108487"</f>
        <v>SI_108487</v>
      </c>
      <c r="M4412" s="84">
        <v>42087</v>
      </c>
      <c r="N4412" s="85">
        <f t="shared" si="1343"/>
        <v>1725</v>
      </c>
      <c r="O4412" s="86">
        <f t="shared" si="1344"/>
        <v>3675.32</v>
      </c>
      <c r="P4412" s="86">
        <f t="shared" si="1345"/>
        <v>0</v>
      </c>
      <c r="Q4412" s="86">
        <f t="shared" si="1346"/>
        <v>0</v>
      </c>
      <c r="R4412" s="86">
        <f t="shared" si="1347"/>
        <v>0</v>
      </c>
      <c r="S4412" s="86">
        <f t="shared" si="1348"/>
        <v>0</v>
      </c>
      <c r="T4412" s="86">
        <f t="shared" si="1349"/>
        <v>3675.32</v>
      </c>
      <c r="U4412" s="87">
        <v>3675.32</v>
      </c>
    </row>
    <row r="4413" spans="1:22" s="30" customFormat="1" ht="24.6" hidden="1" outlineLevel="1" x14ac:dyDescent="0.55000000000000004">
      <c r="A4413" s="27" t="s">
        <v>327</v>
      </c>
      <c r="B4413" s="28"/>
      <c r="C4413" s="27"/>
      <c r="D4413" s="27" t="str">
        <f>"""NAV Direct"",""CRONUS JetCorp USA"",""21"",""1"",""210350"""</f>
        <v>"NAV Direct","CRONUS JetCorp USA","21","1","210350"</v>
      </c>
      <c r="E4413" s="31">
        <f t="shared" si="1341"/>
        <v>0</v>
      </c>
      <c r="F4413" s="31"/>
      <c r="G4413" s="31"/>
      <c r="H4413" s="31"/>
      <c r="I4413" s="56"/>
      <c r="J4413" s="56"/>
      <c r="K4413" s="82" t="str">
        <f t="shared" si="1342"/>
        <v>Invoice</v>
      </c>
      <c r="L4413" s="83" t="str">
        <f>"SI_108496"</f>
        <v>SI_108496</v>
      </c>
      <c r="M4413" s="84">
        <v>42119</v>
      </c>
      <c r="N4413" s="85">
        <f t="shared" si="1343"/>
        <v>1693</v>
      </c>
      <c r="O4413" s="86">
        <f t="shared" si="1344"/>
        <v>3839.42</v>
      </c>
      <c r="P4413" s="86">
        <f t="shared" si="1345"/>
        <v>0</v>
      </c>
      <c r="Q4413" s="86">
        <f t="shared" si="1346"/>
        <v>0</v>
      </c>
      <c r="R4413" s="86">
        <f t="shared" si="1347"/>
        <v>0</v>
      </c>
      <c r="S4413" s="86">
        <f t="shared" si="1348"/>
        <v>0</v>
      </c>
      <c r="T4413" s="86">
        <f t="shared" si="1349"/>
        <v>3839.42</v>
      </c>
      <c r="U4413" s="87">
        <v>3839.42</v>
      </c>
    </row>
    <row r="4414" spans="1:22" s="30" customFormat="1" ht="24.6" hidden="1" outlineLevel="1" x14ac:dyDescent="0.55000000000000004">
      <c r="A4414" s="27" t="s">
        <v>327</v>
      </c>
      <c r="B4414" s="28"/>
      <c r="C4414" s="27"/>
      <c r="D4414" s="27" t="str">
        <f>"""NAV Direct"",""CRONUS JetCorp USA"",""21"",""1"",""210567"""</f>
        <v>"NAV Direct","CRONUS JetCorp USA","21","1","210567"</v>
      </c>
      <c r="E4414" s="31" t="str">
        <f t="shared" si="1341"/>
        <v>C100125</v>
      </c>
      <c r="F4414" s="31"/>
      <c r="G4414" s="31"/>
      <c r="H4414" s="31"/>
      <c r="I4414" s="56"/>
      <c r="J4414" s="56"/>
      <c r="K4414" s="82" t="str">
        <f t="shared" si="1342"/>
        <v>Invoice</v>
      </c>
      <c r="L4414" s="83" t="str">
        <f>"SI_108501"</f>
        <v>SI_108501</v>
      </c>
      <c r="M4414" s="84">
        <v>42130</v>
      </c>
      <c r="N4414" s="85">
        <f t="shared" si="1343"/>
        <v>1682</v>
      </c>
      <c r="O4414" s="86">
        <f t="shared" si="1344"/>
        <v>3839.5000000000005</v>
      </c>
      <c r="P4414" s="86">
        <f t="shared" si="1345"/>
        <v>0</v>
      </c>
      <c r="Q4414" s="86">
        <f t="shared" si="1346"/>
        <v>0</v>
      </c>
      <c r="R4414" s="86">
        <f t="shared" si="1347"/>
        <v>0</v>
      </c>
      <c r="S4414" s="86">
        <f t="shared" si="1348"/>
        <v>0</v>
      </c>
      <c r="T4414" s="86">
        <f t="shared" si="1349"/>
        <v>3839.5000000000005</v>
      </c>
      <c r="U4414" s="87">
        <v>3839.5000000000005</v>
      </c>
    </row>
    <row r="4415" spans="1:22" s="30" customFormat="1" ht="24.6" hidden="1" outlineLevel="1" x14ac:dyDescent="0.55000000000000004">
      <c r="A4415" s="27" t="s">
        <v>327</v>
      </c>
      <c r="B4415" s="28"/>
      <c r="C4415" s="27"/>
      <c r="D4415" s="27" t="str">
        <f>"""NAV Direct"",""CRONUS JetCorp USA"",""21"",""1"",""210909"""</f>
        <v>"NAV Direct","CRONUS JetCorp USA","21","1","210909"</v>
      </c>
      <c r="E4415" s="31">
        <f t="shared" si="1341"/>
        <v>0</v>
      </c>
      <c r="F4415" s="31"/>
      <c r="G4415" s="31"/>
      <c r="H4415" s="31"/>
      <c r="I4415" s="56"/>
      <c r="J4415" s="56"/>
      <c r="K4415" s="82" t="str">
        <f t="shared" si="1342"/>
        <v>Invoice</v>
      </c>
      <c r="L4415" s="83" t="str">
        <f>"SI_108509"</f>
        <v>SI_108509</v>
      </c>
      <c r="M4415" s="84">
        <v>42157</v>
      </c>
      <c r="N4415" s="85">
        <f t="shared" si="1343"/>
        <v>1655</v>
      </c>
      <c r="O4415" s="86">
        <f t="shared" si="1344"/>
        <v>3930.16</v>
      </c>
      <c r="P4415" s="86">
        <f t="shared" si="1345"/>
        <v>0</v>
      </c>
      <c r="Q4415" s="86">
        <f t="shared" si="1346"/>
        <v>0</v>
      </c>
      <c r="R4415" s="86">
        <f t="shared" si="1347"/>
        <v>0</v>
      </c>
      <c r="S4415" s="86">
        <f t="shared" si="1348"/>
        <v>0</v>
      </c>
      <c r="T4415" s="86">
        <f t="shared" si="1349"/>
        <v>3930.16</v>
      </c>
      <c r="U4415" s="87">
        <v>3930.16</v>
      </c>
    </row>
    <row r="4416" spans="1:22" s="30" customFormat="1" ht="24.6" hidden="1" outlineLevel="1" x14ac:dyDescent="0.55000000000000004">
      <c r="A4416" s="27" t="s">
        <v>327</v>
      </c>
      <c r="B4416" s="28"/>
      <c r="C4416" s="27"/>
      <c r="D4416" s="27" t="str">
        <f>"""NAV Direct"",""CRONUS JetCorp USA"",""21"",""1"",""211255"""</f>
        <v>"NAV Direct","CRONUS JetCorp USA","21","1","211255"</v>
      </c>
      <c r="E4416" s="31" t="str">
        <f t="shared" si="1341"/>
        <v>C100125</v>
      </c>
      <c r="F4416" s="31"/>
      <c r="G4416" s="31"/>
      <c r="H4416" s="31"/>
      <c r="I4416" s="56"/>
      <c r="J4416" s="56"/>
      <c r="K4416" s="82" t="str">
        <f t="shared" si="1342"/>
        <v>Invoice</v>
      </c>
      <c r="L4416" s="83" t="str">
        <f>"SI_108517"</f>
        <v>SI_108517</v>
      </c>
      <c r="M4416" s="84">
        <v>42181</v>
      </c>
      <c r="N4416" s="85">
        <f t="shared" si="1343"/>
        <v>1631</v>
      </c>
      <c r="O4416" s="86">
        <f t="shared" si="1344"/>
        <v>3872.2099999999996</v>
      </c>
      <c r="P4416" s="86">
        <f t="shared" si="1345"/>
        <v>0</v>
      </c>
      <c r="Q4416" s="86">
        <f t="shared" si="1346"/>
        <v>0</v>
      </c>
      <c r="R4416" s="86">
        <f t="shared" si="1347"/>
        <v>0</v>
      </c>
      <c r="S4416" s="86">
        <f t="shared" si="1348"/>
        <v>0</v>
      </c>
      <c r="T4416" s="86">
        <f t="shared" si="1349"/>
        <v>3872.2099999999996</v>
      </c>
      <c r="U4416" s="87">
        <v>3872.2099999999996</v>
      </c>
    </row>
    <row r="4417" spans="1:22" s="30" customFormat="1" ht="24.6" hidden="1" outlineLevel="1" x14ac:dyDescent="0.55000000000000004">
      <c r="A4417" s="27" t="s">
        <v>327</v>
      </c>
      <c r="B4417" s="28"/>
      <c r="C4417" s="27"/>
      <c r="D4417" s="27" t="str">
        <f>"""NAV Direct"",""CRONUS JetCorp USA"",""21"",""1"",""213201"""</f>
        <v>"NAV Direct","CRONUS JetCorp USA","21","1","213201"</v>
      </c>
      <c r="E4417" s="31">
        <f t="shared" si="1341"/>
        <v>0</v>
      </c>
      <c r="F4417" s="31"/>
      <c r="G4417" s="31"/>
      <c r="H4417" s="31"/>
      <c r="I4417" s="56"/>
      <c r="J4417" s="56"/>
      <c r="K4417" s="82" t="str">
        <f t="shared" si="1342"/>
        <v>Invoice</v>
      </c>
      <c r="L4417" s="83" t="str">
        <f>"SI_108562"</f>
        <v>SI_108562</v>
      </c>
      <c r="M4417" s="84">
        <v>42311</v>
      </c>
      <c r="N4417" s="85">
        <f t="shared" si="1343"/>
        <v>1501</v>
      </c>
      <c r="O4417" s="86">
        <f t="shared" si="1344"/>
        <v>4316.99</v>
      </c>
      <c r="P4417" s="86">
        <f t="shared" si="1345"/>
        <v>0</v>
      </c>
      <c r="Q4417" s="86">
        <f t="shared" si="1346"/>
        <v>0</v>
      </c>
      <c r="R4417" s="86">
        <f t="shared" si="1347"/>
        <v>0</v>
      </c>
      <c r="S4417" s="86">
        <f t="shared" si="1348"/>
        <v>0</v>
      </c>
      <c r="T4417" s="86">
        <f t="shared" si="1349"/>
        <v>4316.99</v>
      </c>
      <c r="U4417" s="87">
        <v>4316.99</v>
      </c>
    </row>
    <row r="4418" spans="1:22" s="30" customFormat="1" ht="24.6" hidden="1" outlineLevel="1" x14ac:dyDescent="0.55000000000000004">
      <c r="A4418" s="27" t="s">
        <v>327</v>
      </c>
      <c r="B4418" s="28"/>
      <c r="C4418" s="27"/>
      <c r="D4418" s="27" t="str">
        <f>"""NAV Direct"",""CRONUS JetCorp USA"",""21"",""1"",""213370"""</f>
        <v>"NAV Direct","CRONUS JetCorp USA","21","1","213370"</v>
      </c>
      <c r="E4418" s="31" t="str">
        <f t="shared" si="1341"/>
        <v>C100125</v>
      </c>
      <c r="F4418" s="31"/>
      <c r="G4418" s="31"/>
      <c r="H4418" s="31"/>
      <c r="I4418" s="56"/>
      <c r="J4418" s="56"/>
      <c r="K4418" s="82" t="str">
        <f t="shared" si="1342"/>
        <v>Invoice</v>
      </c>
      <c r="L4418" s="83" t="str">
        <f>"SI_108566"</f>
        <v>SI_108566</v>
      </c>
      <c r="M4418" s="84">
        <v>42327</v>
      </c>
      <c r="N4418" s="85">
        <f t="shared" si="1343"/>
        <v>1485</v>
      </c>
      <c r="O4418" s="86">
        <f t="shared" si="1344"/>
        <v>4360.43</v>
      </c>
      <c r="P4418" s="86">
        <f t="shared" si="1345"/>
        <v>0</v>
      </c>
      <c r="Q4418" s="86">
        <f t="shared" si="1346"/>
        <v>0</v>
      </c>
      <c r="R4418" s="86">
        <f t="shared" si="1347"/>
        <v>0</v>
      </c>
      <c r="S4418" s="86">
        <f t="shared" si="1348"/>
        <v>0</v>
      </c>
      <c r="T4418" s="86">
        <f t="shared" si="1349"/>
        <v>4360.43</v>
      </c>
      <c r="U4418" s="87">
        <v>4360.43</v>
      </c>
    </row>
    <row r="4419" spans="1:22" s="30" customFormat="1" ht="24.6" hidden="1" outlineLevel="1" x14ac:dyDescent="0.55000000000000004">
      <c r="A4419" s="27" t="s">
        <v>327</v>
      </c>
      <c r="B4419" s="28"/>
      <c r="C4419" s="27"/>
      <c r="D4419" s="27" t="str">
        <f>"""NAV Direct"",""CRONUS JetCorp USA"",""21"",""1"",""213643"""</f>
        <v>"NAV Direct","CRONUS JetCorp USA","21","1","213643"</v>
      </c>
      <c r="E4419" s="31">
        <f t="shared" si="1341"/>
        <v>0</v>
      </c>
      <c r="F4419" s="31"/>
      <c r="G4419" s="31"/>
      <c r="H4419" s="31"/>
      <c r="I4419" s="56"/>
      <c r="J4419" s="56"/>
      <c r="K4419" s="82" t="str">
        <f t="shared" si="1342"/>
        <v>Invoice</v>
      </c>
      <c r="L4419" s="83" t="str">
        <f>"SI_108572"</f>
        <v>SI_108572</v>
      </c>
      <c r="M4419" s="84">
        <v>42345</v>
      </c>
      <c r="N4419" s="85">
        <f t="shared" si="1343"/>
        <v>1467</v>
      </c>
      <c r="O4419" s="86">
        <f t="shared" si="1344"/>
        <v>4360.28</v>
      </c>
      <c r="P4419" s="86">
        <f t="shared" si="1345"/>
        <v>0</v>
      </c>
      <c r="Q4419" s="86">
        <f t="shared" si="1346"/>
        <v>0</v>
      </c>
      <c r="R4419" s="86">
        <f t="shared" si="1347"/>
        <v>0</v>
      </c>
      <c r="S4419" s="86">
        <f t="shared" si="1348"/>
        <v>0</v>
      </c>
      <c r="T4419" s="86">
        <f t="shared" si="1349"/>
        <v>4360.28</v>
      </c>
      <c r="U4419" s="87">
        <v>4360.28</v>
      </c>
    </row>
    <row r="4420" spans="1:22" s="30" customFormat="1" ht="24.6" hidden="1" outlineLevel="1" x14ac:dyDescent="0.55000000000000004">
      <c r="A4420" s="27" t="s">
        <v>327</v>
      </c>
      <c r="B4420" s="28"/>
      <c r="C4420" s="27"/>
      <c r="D4420" s="27" t="str">
        <f>"""NAV Direct"",""CRONUS JetCorp USA"",""21"",""1"",""214055"""</f>
        <v>"NAV Direct","CRONUS JetCorp USA","21","1","214055"</v>
      </c>
      <c r="E4420" s="31" t="str">
        <f t="shared" si="1341"/>
        <v>C100125</v>
      </c>
      <c r="F4420" s="31"/>
      <c r="G4420" s="31"/>
      <c r="H4420" s="31"/>
      <c r="I4420" s="56"/>
      <c r="J4420" s="56"/>
      <c r="K4420" s="82" t="str">
        <f t="shared" si="1342"/>
        <v>Invoice</v>
      </c>
      <c r="L4420" s="83" t="str">
        <f>"SI_108582"</f>
        <v>SI_108582</v>
      </c>
      <c r="M4420" s="84">
        <v>42737</v>
      </c>
      <c r="N4420" s="85">
        <f t="shared" si="1343"/>
        <v>1075</v>
      </c>
      <c r="O4420" s="86">
        <f t="shared" si="1344"/>
        <v>3662.5499999999997</v>
      </c>
      <c r="P4420" s="86">
        <f t="shared" si="1345"/>
        <v>0</v>
      </c>
      <c r="Q4420" s="86">
        <f t="shared" si="1346"/>
        <v>0</v>
      </c>
      <c r="R4420" s="86">
        <f t="shared" si="1347"/>
        <v>0</v>
      </c>
      <c r="S4420" s="86">
        <f t="shared" si="1348"/>
        <v>0</v>
      </c>
      <c r="T4420" s="86">
        <f t="shared" si="1349"/>
        <v>3662.5499999999997</v>
      </c>
      <c r="U4420" s="87">
        <v>3662.5499999999997</v>
      </c>
    </row>
    <row r="4421" spans="1:22" s="30" customFormat="1" ht="24.6" hidden="1" outlineLevel="1" x14ac:dyDescent="0.55000000000000004">
      <c r="A4421" s="27" t="s">
        <v>327</v>
      </c>
      <c r="B4421" s="28"/>
      <c r="C4421" s="27"/>
      <c r="D4421" s="27" t="str">
        <f>"""NAV Direct"",""CRONUS JetCorp USA"",""21"",""1"",""444108"""</f>
        <v>"NAV Direct","CRONUS JetCorp USA","21","1","444108"</v>
      </c>
      <c r="E4421" s="31">
        <f t="shared" si="1341"/>
        <v>0</v>
      </c>
      <c r="F4421" s="31"/>
      <c r="G4421" s="31"/>
      <c r="H4421" s="31"/>
      <c r="I4421" s="56"/>
      <c r="J4421" s="56"/>
      <c r="K4421" s="82" t="str">
        <f>"Credit Memo"</f>
        <v>Credit Memo</v>
      </c>
      <c r="L4421" s="83" t="str">
        <f>"SC_101138"</f>
        <v>SC_101138</v>
      </c>
      <c r="M4421" s="84">
        <v>42570</v>
      </c>
      <c r="N4421" s="85">
        <f t="shared" si="1343"/>
        <v>1242</v>
      </c>
      <c r="O4421" s="86">
        <f t="shared" si="1344"/>
        <v>-36.479999999999997</v>
      </c>
      <c r="P4421" s="86">
        <f t="shared" si="1345"/>
        <v>0</v>
      </c>
      <c r="Q4421" s="86">
        <f t="shared" si="1346"/>
        <v>0</v>
      </c>
      <c r="R4421" s="86">
        <f t="shared" si="1347"/>
        <v>0</v>
      </c>
      <c r="S4421" s="86">
        <f t="shared" si="1348"/>
        <v>0</v>
      </c>
      <c r="T4421" s="86">
        <f t="shared" si="1349"/>
        <v>-36.479999999999997</v>
      </c>
      <c r="U4421" s="87">
        <v>-36.479999999999997</v>
      </c>
    </row>
    <row r="4422" spans="1:22" s="30" customFormat="1" ht="24.6" hidden="1" outlineLevel="1" x14ac:dyDescent="0.55000000000000004">
      <c r="A4422" s="27" t="s">
        <v>327</v>
      </c>
      <c r="B4422" s="28"/>
      <c r="C4422" s="27"/>
      <c r="D4422" s="27" t="str">
        <f>"""NAV Direct"",""CRONUS JetCorp USA"",""21"",""1"",""444141"""</f>
        <v>"NAV Direct","CRONUS JetCorp USA","21","1","444141"</v>
      </c>
      <c r="E4422" s="31" t="str">
        <f t="shared" si="1341"/>
        <v>C100125</v>
      </c>
      <c r="F4422" s="31"/>
      <c r="G4422" s="31"/>
      <c r="H4422" s="31"/>
      <c r="I4422" s="56"/>
      <c r="J4422" s="56"/>
      <c r="K4422" s="82" t="str">
        <f>"Credit Memo"</f>
        <v>Credit Memo</v>
      </c>
      <c r="L4422" s="83" t="str">
        <f>"SC_101142"</f>
        <v>SC_101142</v>
      </c>
      <c r="M4422" s="84">
        <v>42645</v>
      </c>
      <c r="N4422" s="85">
        <f t="shared" si="1343"/>
        <v>1167</v>
      </c>
      <c r="O4422" s="86">
        <f t="shared" si="1344"/>
        <v>-40.870000000000005</v>
      </c>
      <c r="P4422" s="86">
        <f t="shared" si="1345"/>
        <v>0</v>
      </c>
      <c r="Q4422" s="86">
        <f t="shared" si="1346"/>
        <v>0</v>
      </c>
      <c r="R4422" s="86">
        <f t="shared" si="1347"/>
        <v>0</v>
      </c>
      <c r="S4422" s="86">
        <f t="shared" si="1348"/>
        <v>0</v>
      </c>
      <c r="T4422" s="86">
        <f t="shared" si="1349"/>
        <v>-40.870000000000005</v>
      </c>
      <c r="U4422" s="87">
        <v>-40.870000000000005</v>
      </c>
    </row>
    <row r="4423" spans="1:22" s="30" customFormat="1" ht="24.6" hidden="1" outlineLevel="1" x14ac:dyDescent="0.55000000000000004">
      <c r="A4423" s="27" t="s">
        <v>327</v>
      </c>
      <c r="B4423" s="28"/>
      <c r="C4423" s="27"/>
      <c r="D4423" s="27" t="str">
        <f>"""NAV Direct"",""CRONUS JetCorp USA"",""21"",""1"",""444625"""</f>
        <v>"NAV Direct","CRONUS JetCorp USA","21","1","444625"</v>
      </c>
      <c r="E4423" s="31">
        <f t="shared" si="1341"/>
        <v>0</v>
      </c>
      <c r="F4423" s="31"/>
      <c r="G4423" s="31"/>
      <c r="H4423" s="31"/>
      <c r="I4423" s="56"/>
      <c r="J4423" s="56"/>
      <c r="K4423" s="82" t="str">
        <f>"Credit Memo"</f>
        <v>Credit Memo</v>
      </c>
      <c r="L4423" s="83" t="str">
        <f>"SC_101196"</f>
        <v>SC_101196</v>
      </c>
      <c r="M4423" s="84">
        <v>43690</v>
      </c>
      <c r="N4423" s="85">
        <f t="shared" si="1343"/>
        <v>122</v>
      </c>
      <c r="O4423" s="86">
        <f t="shared" si="1344"/>
        <v>-32.01</v>
      </c>
      <c r="P4423" s="86">
        <f t="shared" si="1345"/>
        <v>0</v>
      </c>
      <c r="Q4423" s="86">
        <f t="shared" si="1346"/>
        <v>0</v>
      </c>
      <c r="R4423" s="86">
        <f t="shared" si="1347"/>
        <v>0</v>
      </c>
      <c r="S4423" s="86">
        <f t="shared" si="1348"/>
        <v>0</v>
      </c>
      <c r="T4423" s="86">
        <f t="shared" si="1349"/>
        <v>-32.01</v>
      </c>
      <c r="U4423" s="87">
        <v>-32.01</v>
      </c>
    </row>
    <row r="4424" spans="1:22" s="30" customFormat="1" ht="24.6" hidden="1" outlineLevel="1" x14ac:dyDescent="0.55000000000000004">
      <c r="A4424" s="27" t="s">
        <v>327</v>
      </c>
      <c r="B4424" s="28"/>
      <c r="C4424" s="27"/>
      <c r="D4424" s="27" t="str">
        <f>"""NAV Direct"",""CRONUS JetCorp USA"",""21"",""1"",""444731"""</f>
        <v>"NAV Direct","CRONUS JetCorp USA","21","1","444731"</v>
      </c>
      <c r="E4424" s="31" t="str">
        <f t="shared" si="1341"/>
        <v>C100125</v>
      </c>
      <c r="F4424" s="31"/>
      <c r="G4424" s="31"/>
      <c r="H4424" s="31"/>
      <c r="I4424" s="56"/>
      <c r="J4424" s="56"/>
      <c r="K4424" s="82" t="str">
        <f>"Credit Memo"</f>
        <v>Credit Memo</v>
      </c>
      <c r="L4424" s="83" t="str">
        <f>"SC_101210"</f>
        <v>SC_101210</v>
      </c>
      <c r="M4424" s="84">
        <v>42140</v>
      </c>
      <c r="N4424" s="85">
        <f t="shared" si="1343"/>
        <v>1672</v>
      </c>
      <c r="O4424" s="86">
        <f t="shared" si="1344"/>
        <v>-39.18</v>
      </c>
      <c r="P4424" s="86">
        <f t="shared" si="1345"/>
        <v>0</v>
      </c>
      <c r="Q4424" s="86">
        <f t="shared" si="1346"/>
        <v>0</v>
      </c>
      <c r="R4424" s="86">
        <f t="shared" si="1347"/>
        <v>0</v>
      </c>
      <c r="S4424" s="86">
        <f t="shared" si="1348"/>
        <v>0</v>
      </c>
      <c r="T4424" s="86">
        <f t="shared" si="1349"/>
        <v>-39.18</v>
      </c>
      <c r="U4424" s="87">
        <v>-39.18</v>
      </c>
    </row>
    <row r="4425" spans="1:22" s="30" customFormat="1" ht="24.6" hidden="1" outlineLevel="1" x14ac:dyDescent="0.55000000000000004">
      <c r="A4425" s="27" t="s">
        <v>327</v>
      </c>
      <c r="B4425" s="28"/>
      <c r="C4425" s="27"/>
      <c r="D4425" s="27" t="str">
        <f>"""NAV Direct"",""CRONUS JetCorp USA"",""21"",""1"",""444897"""</f>
        <v>"NAV Direct","CRONUS JetCorp USA","21","1","444897"</v>
      </c>
      <c r="E4425" s="31">
        <f t="shared" si="1341"/>
        <v>0</v>
      </c>
      <c r="F4425" s="31"/>
      <c r="G4425" s="31"/>
      <c r="H4425" s="31"/>
      <c r="I4425" s="56"/>
      <c r="J4425" s="56"/>
      <c r="K4425" s="82" t="str">
        <f>"Credit Memo"</f>
        <v>Credit Memo</v>
      </c>
      <c r="L4425" s="83" t="str">
        <f>"SC_101224"</f>
        <v>SC_101224</v>
      </c>
      <c r="M4425" s="84">
        <v>42352</v>
      </c>
      <c r="N4425" s="85">
        <f t="shared" si="1343"/>
        <v>1460</v>
      </c>
      <c r="O4425" s="86">
        <f t="shared" si="1344"/>
        <v>-36.58</v>
      </c>
      <c r="P4425" s="86">
        <f t="shared" si="1345"/>
        <v>0</v>
      </c>
      <c r="Q4425" s="86">
        <f t="shared" si="1346"/>
        <v>0</v>
      </c>
      <c r="R4425" s="86">
        <f t="shared" si="1347"/>
        <v>0</v>
      </c>
      <c r="S4425" s="86">
        <f t="shared" si="1348"/>
        <v>0</v>
      </c>
      <c r="T4425" s="86">
        <f t="shared" si="1349"/>
        <v>-36.58</v>
      </c>
      <c r="U4425" s="87">
        <v>-36.58</v>
      </c>
    </row>
    <row r="4426" spans="1:22" s="22" customFormat="1" ht="20.399999999999999" collapsed="1" x14ac:dyDescent="0.45">
      <c r="A4426" s="12" t="s">
        <v>327</v>
      </c>
      <c r="B4426" s="19"/>
      <c r="C4426" s="12"/>
      <c r="D4426" s="12"/>
      <c r="E4426" s="23"/>
      <c r="F4426" s="23"/>
      <c r="G4426" s="23"/>
      <c r="H4426" s="23"/>
      <c r="I4426" s="49"/>
      <c r="J4426" s="88"/>
      <c r="K4426" s="88"/>
      <c r="L4426" s="89"/>
      <c r="M4426" s="89"/>
      <c r="N4426" s="89"/>
      <c r="O4426" s="89"/>
      <c r="P4426" s="89"/>
      <c r="Q4426" s="90"/>
      <c r="R4426" s="90"/>
      <c r="S4426" s="91"/>
      <c r="T4426" s="92"/>
      <c r="U4426" s="92"/>
    </row>
    <row r="4427" spans="1:22" s="22" customFormat="1" ht="20.399999999999999" x14ac:dyDescent="0.45">
      <c r="A4427" s="12" t="s">
        <v>327</v>
      </c>
      <c r="B4427" s="19"/>
      <c r="C4427" s="12"/>
      <c r="D4427" s="12"/>
      <c r="E4427" s="23"/>
      <c r="F4427" s="23"/>
      <c r="G4427" s="23"/>
      <c r="H4427" s="23"/>
      <c r="I4427" s="49"/>
      <c r="J4427" s="88"/>
      <c r="K4427" s="88"/>
      <c r="L4427" s="89"/>
      <c r="M4427" s="89"/>
      <c r="N4427" s="89"/>
      <c r="O4427" s="89"/>
      <c r="P4427" s="89"/>
      <c r="Q4427" s="90"/>
      <c r="R4427" s="90"/>
      <c r="S4427" s="91"/>
      <c r="T4427" s="92"/>
      <c r="U4427" s="92"/>
    </row>
    <row r="4428" spans="1:22" s="26" customFormat="1" ht="24.6" x14ac:dyDescent="0.55000000000000004">
      <c r="A4428" s="27" t="s">
        <v>327</v>
      </c>
      <c r="B4428" s="28"/>
      <c r="C4428" s="27" t="str">
        <f>"""NAV Direct"",""CRONUS JetCorp USA"",""18"",""1"",""C100126"""</f>
        <v>"NAV Direct","CRONUS JetCorp USA","18","1","C100126"</v>
      </c>
      <c r="D4428" s="27"/>
      <c r="E4428" s="28" t="str">
        <f>H4428</f>
        <v>C100126</v>
      </c>
      <c r="F4428" s="28"/>
      <c r="G4428" s="28"/>
      <c r="H4428" s="28" t="str">
        <f>"C100126"</f>
        <v>C100126</v>
      </c>
      <c r="I4428" s="116" t="str">
        <f>"C100126  -  Moveex"</f>
        <v>C100126  -  Moveex</v>
      </c>
      <c r="J4428" s="117" t="str">
        <f>""</f>
        <v/>
      </c>
      <c r="K4428" s="118"/>
      <c r="L4428" s="119">
        <f>SUBTOTAL(3,L4429:L4471)</f>
        <v>39</v>
      </c>
      <c r="M4428" s="118"/>
      <c r="N4428" s="118"/>
      <c r="O4428" s="120">
        <f t="shared" ref="O4428:T4428" si="1350">SUBTOTAL(9,O4429:O4471)</f>
        <v>330621.62</v>
      </c>
      <c r="P4428" s="120">
        <f t="shared" si="1350"/>
        <v>0</v>
      </c>
      <c r="Q4428" s="120">
        <f t="shared" si="1350"/>
        <v>0</v>
      </c>
      <c r="R4428" s="120">
        <f t="shared" si="1350"/>
        <v>12763.029999999999</v>
      </c>
      <c r="S4428" s="120">
        <f t="shared" si="1350"/>
        <v>11477.97</v>
      </c>
      <c r="T4428" s="120">
        <f t="shared" si="1350"/>
        <v>306380.62</v>
      </c>
      <c r="U4428" s="81"/>
    </row>
    <row r="4429" spans="1:22" s="26" customFormat="1" ht="24.6" x14ac:dyDescent="0.55000000000000004">
      <c r="A4429" s="27" t="s">
        <v>327</v>
      </c>
      <c r="B4429" s="28"/>
      <c r="C4429" s="27" t="str">
        <f>C4428</f>
        <v>"NAV Direct","CRONUS JetCorp USA","18","1","C100126"</v>
      </c>
      <c r="D4429" s="27"/>
      <c r="E4429" s="28" t="str">
        <f>E4428</f>
        <v>C100126</v>
      </c>
      <c r="F4429" s="28"/>
      <c r="G4429" s="28"/>
      <c r="H4429" s="28"/>
      <c r="I4429" s="121" t="str">
        <f>"Contact: Agon Silver"</f>
        <v>Contact: Agon Silver</v>
      </c>
      <c r="J4429" s="121"/>
      <c r="K4429" s="122"/>
      <c r="L4429" s="123"/>
      <c r="M4429" s="123"/>
      <c r="N4429" s="124"/>
      <c r="O4429" s="124"/>
      <c r="P4429" s="123"/>
      <c r="Q4429" s="125"/>
      <c r="R4429" s="126"/>
      <c r="S4429" s="126"/>
      <c r="T4429" s="125"/>
      <c r="U4429" s="81"/>
    </row>
    <row r="4430" spans="1:22" s="26" customFormat="1" ht="24.6" x14ac:dyDescent="0.55000000000000004">
      <c r="A4430" s="27" t="s">
        <v>327</v>
      </c>
      <c r="B4430" s="28"/>
      <c r="C4430" s="27" t="str">
        <f>C4429</f>
        <v>"NAV Direct","CRONUS JetCorp USA","18","1","C100126"</v>
      </c>
      <c r="D4430" s="27"/>
      <c r="E4430" s="28" t="str">
        <f>E4429</f>
        <v>C100126</v>
      </c>
      <c r="F4430" s="28"/>
      <c r="G4430" s="28"/>
      <c r="H4430" s="28"/>
      <c r="I4430" s="121" t="str">
        <f>"Moveex@Cronus.com"</f>
        <v>Moveex@Cronus.com</v>
      </c>
      <c r="J4430" s="121"/>
      <c r="K4430" s="122"/>
      <c r="L4430" s="124"/>
      <c r="M4430" s="124"/>
      <c r="N4430" s="124"/>
      <c r="O4430" s="124"/>
      <c r="P4430" s="123"/>
      <c r="Q4430" s="125"/>
      <c r="R4430" s="126"/>
      <c r="S4430" s="126"/>
      <c r="T4430" s="125"/>
      <c r="U4430" s="81"/>
    </row>
    <row r="4431" spans="1:22" ht="12.75" hidden="1" customHeight="1" outlineLevel="1" x14ac:dyDescent="0.45">
      <c r="A4431" s="12" t="s">
        <v>328</v>
      </c>
      <c r="B4431" s="19"/>
      <c r="E4431" s="19"/>
      <c r="F4431" s="19"/>
      <c r="G4431" s="19"/>
      <c r="H4431" s="19"/>
      <c r="I4431" s="61"/>
      <c r="J4431" s="61"/>
      <c r="K4431" s="61"/>
      <c r="L4431" s="61"/>
      <c r="M4431" s="61"/>
      <c r="N4431" s="61"/>
      <c r="O4431" s="61"/>
      <c r="P4431" s="61"/>
      <c r="Q4431" s="61"/>
      <c r="R4431" s="61"/>
      <c r="S4431" s="61"/>
      <c r="T4431" s="61"/>
      <c r="U4431" s="61"/>
      <c r="V4431" s="21"/>
    </row>
    <row r="4432" spans="1:22" s="30" customFormat="1" ht="24.6" hidden="1" outlineLevel="1" x14ac:dyDescent="0.55000000000000004">
      <c r="A4432" s="27" t="s">
        <v>327</v>
      </c>
      <c r="B4432" s="28"/>
      <c r="C4432" s="27"/>
      <c r="D4432" s="27" t="str">
        <f>"""NAV Direct"",""CRONUS JetCorp USA"",""21"",""1"",""132097"""</f>
        <v>"NAV Direct","CRONUS JetCorp USA","21","1","132097"</v>
      </c>
      <c r="E4432" s="31" t="str">
        <f t="shared" ref="E4432:E4470" si="1351">E4430</f>
        <v>C100126</v>
      </c>
      <c r="F4432" s="31"/>
      <c r="G4432" s="31"/>
      <c r="H4432" s="31"/>
      <c r="I4432" s="56"/>
      <c r="J4432" s="56"/>
      <c r="K4432" s="82" t="str">
        <f t="shared" ref="K4432:K4465" si="1352">"Invoice"</f>
        <v>Invoice</v>
      </c>
      <c r="L4432" s="83" t="str">
        <f>"SI_107050"</f>
        <v>SI_107050</v>
      </c>
      <c r="M4432" s="84">
        <v>42369</v>
      </c>
      <c r="N4432" s="85">
        <f t="shared" ref="N4432:N4470" si="1353">StartDate-$M4432+1</f>
        <v>1443</v>
      </c>
      <c r="O4432" s="86">
        <f t="shared" ref="O4432:O4470" si="1354">SUM(P4432:T4432)</f>
        <v>6798.53</v>
      </c>
      <c r="P4432" s="86">
        <f t="shared" ref="P4432:P4470" si="1355">IF($M4432&gt;=$P$18,U4432,0)</f>
        <v>0</v>
      </c>
      <c r="Q4432" s="86">
        <f t="shared" ref="Q4432:Q4470" si="1356">IF(AND($M4432&gt;=$Q$16,$M4432&lt;=$Q$18),U4432,0)</f>
        <v>0</v>
      </c>
      <c r="R4432" s="86">
        <f t="shared" ref="R4432:R4470" si="1357">IF(AND($M4432&gt;=$R$16,$M4432&lt;=$R$18),U4432,0)</f>
        <v>0</v>
      </c>
      <c r="S4432" s="86">
        <f t="shared" ref="S4432:S4470" si="1358">IF(AND($M4432&gt;=$S$16,$M4432&lt;=$S$18),U4432,0)</f>
        <v>0</v>
      </c>
      <c r="T4432" s="86">
        <f t="shared" ref="T4432:T4470" si="1359">IF($M4432&lt;=$T$18,U4432,0)</f>
        <v>6798.53</v>
      </c>
      <c r="U4432" s="87">
        <v>6798.53</v>
      </c>
    </row>
    <row r="4433" spans="1:21" s="30" customFormat="1" ht="24.6" hidden="1" outlineLevel="1" x14ac:dyDescent="0.55000000000000004">
      <c r="A4433" s="27" t="s">
        <v>327</v>
      </c>
      <c r="B4433" s="28"/>
      <c r="C4433" s="27"/>
      <c r="D4433" s="27" t="str">
        <f>"""NAV Direct"",""CRONUS JetCorp USA"",""21"",""1"",""384352"""</f>
        <v>"NAV Direct","CRONUS JetCorp USA","21","1","384352"</v>
      </c>
      <c r="E4433" s="31">
        <f t="shared" si="1351"/>
        <v>0</v>
      </c>
      <c r="F4433" s="31"/>
      <c r="G4433" s="31"/>
      <c r="H4433" s="31"/>
      <c r="I4433" s="56"/>
      <c r="J4433" s="56"/>
      <c r="K4433" s="82" t="str">
        <f t="shared" si="1352"/>
        <v>Invoice</v>
      </c>
      <c r="L4433" s="83" t="str">
        <f>"SI_111932"</f>
        <v>SI_111932</v>
      </c>
      <c r="M4433" s="84">
        <v>42425</v>
      </c>
      <c r="N4433" s="85">
        <f t="shared" si="1353"/>
        <v>1387</v>
      </c>
      <c r="O4433" s="86">
        <f t="shared" si="1354"/>
        <v>9571.16</v>
      </c>
      <c r="P4433" s="86">
        <f t="shared" si="1355"/>
        <v>0</v>
      </c>
      <c r="Q4433" s="86">
        <f t="shared" si="1356"/>
        <v>0</v>
      </c>
      <c r="R4433" s="86">
        <f t="shared" si="1357"/>
        <v>0</v>
      </c>
      <c r="S4433" s="86">
        <f t="shared" si="1358"/>
        <v>0</v>
      </c>
      <c r="T4433" s="86">
        <f t="shared" si="1359"/>
        <v>9571.16</v>
      </c>
      <c r="U4433" s="87">
        <v>9571.16</v>
      </c>
    </row>
    <row r="4434" spans="1:21" s="30" customFormat="1" ht="24.6" hidden="1" outlineLevel="1" x14ac:dyDescent="0.55000000000000004">
      <c r="A4434" s="27" t="s">
        <v>327</v>
      </c>
      <c r="B4434" s="28"/>
      <c r="C4434" s="27"/>
      <c r="D4434" s="27" t="str">
        <f>"""NAV Direct"",""CRONUS JetCorp USA"",""21"",""1"",""384639"""</f>
        <v>"NAV Direct","CRONUS JetCorp USA","21","1","384639"</v>
      </c>
      <c r="E4434" s="31" t="str">
        <f t="shared" si="1351"/>
        <v>C100126</v>
      </c>
      <c r="F4434" s="31"/>
      <c r="G4434" s="31"/>
      <c r="H4434" s="31"/>
      <c r="I4434" s="56"/>
      <c r="J4434" s="56"/>
      <c r="K4434" s="82" t="str">
        <f t="shared" si="1352"/>
        <v>Invoice</v>
      </c>
      <c r="L4434" s="83" t="str">
        <f>"SI_111937"</f>
        <v>SI_111937</v>
      </c>
      <c r="M4434" s="84">
        <v>42468</v>
      </c>
      <c r="N4434" s="85">
        <f t="shared" si="1353"/>
        <v>1344</v>
      </c>
      <c r="O4434" s="86">
        <f t="shared" si="1354"/>
        <v>12442.409999999998</v>
      </c>
      <c r="P4434" s="86">
        <f t="shared" si="1355"/>
        <v>0</v>
      </c>
      <c r="Q4434" s="86">
        <f t="shared" si="1356"/>
        <v>0</v>
      </c>
      <c r="R4434" s="86">
        <f t="shared" si="1357"/>
        <v>0</v>
      </c>
      <c r="S4434" s="86">
        <f t="shared" si="1358"/>
        <v>0</v>
      </c>
      <c r="T4434" s="86">
        <f t="shared" si="1359"/>
        <v>12442.409999999998</v>
      </c>
      <c r="U4434" s="87">
        <v>12442.409999999998</v>
      </c>
    </row>
    <row r="4435" spans="1:21" s="30" customFormat="1" ht="24.6" hidden="1" outlineLevel="1" x14ac:dyDescent="0.55000000000000004">
      <c r="A4435" s="27" t="s">
        <v>327</v>
      </c>
      <c r="B4435" s="28"/>
      <c r="C4435" s="27"/>
      <c r="D4435" s="27" t="str">
        <f>"""NAV Direct"",""CRONUS JetCorp USA"",""21"",""1"",""384967"""</f>
        <v>"NAV Direct","CRONUS JetCorp USA","21","1","384967"</v>
      </c>
      <c r="E4435" s="31">
        <f t="shared" si="1351"/>
        <v>0</v>
      </c>
      <c r="F4435" s="31"/>
      <c r="G4435" s="31"/>
      <c r="H4435" s="31"/>
      <c r="I4435" s="56"/>
      <c r="J4435" s="56"/>
      <c r="K4435" s="82" t="str">
        <f t="shared" si="1352"/>
        <v>Invoice</v>
      </c>
      <c r="L4435" s="83" t="str">
        <f>"SI_111943"</f>
        <v>SI_111943</v>
      </c>
      <c r="M4435" s="84">
        <v>42498</v>
      </c>
      <c r="N4435" s="85">
        <f t="shared" si="1353"/>
        <v>1314</v>
      </c>
      <c r="O4435" s="86">
        <f t="shared" si="1354"/>
        <v>9571.15</v>
      </c>
      <c r="P4435" s="86">
        <f t="shared" si="1355"/>
        <v>0</v>
      </c>
      <c r="Q4435" s="86">
        <f t="shared" si="1356"/>
        <v>0</v>
      </c>
      <c r="R4435" s="86">
        <f t="shared" si="1357"/>
        <v>0</v>
      </c>
      <c r="S4435" s="86">
        <f t="shared" si="1358"/>
        <v>0</v>
      </c>
      <c r="T4435" s="86">
        <f t="shared" si="1359"/>
        <v>9571.15</v>
      </c>
      <c r="U4435" s="87">
        <v>9571.15</v>
      </c>
    </row>
    <row r="4436" spans="1:21" s="30" customFormat="1" ht="24.6" hidden="1" outlineLevel="1" x14ac:dyDescent="0.55000000000000004">
      <c r="A4436" s="27" t="s">
        <v>327</v>
      </c>
      <c r="B4436" s="28"/>
      <c r="C4436" s="27"/>
      <c r="D4436" s="27" t="str">
        <f>"""NAV Direct"",""CRONUS JetCorp USA"",""21"",""1"",""385426"""</f>
        <v>"NAV Direct","CRONUS JetCorp USA","21","1","385426"</v>
      </c>
      <c r="E4436" s="31" t="str">
        <f t="shared" si="1351"/>
        <v>C100126</v>
      </c>
      <c r="F4436" s="31"/>
      <c r="G4436" s="31"/>
      <c r="H4436" s="31"/>
      <c r="I4436" s="56"/>
      <c r="J4436" s="56"/>
      <c r="K4436" s="82" t="str">
        <f t="shared" si="1352"/>
        <v>Invoice</v>
      </c>
      <c r="L4436" s="83" t="str">
        <f>"SI_111952"</f>
        <v>SI_111952</v>
      </c>
      <c r="M4436" s="84">
        <v>42540</v>
      </c>
      <c r="N4436" s="85">
        <f t="shared" si="1353"/>
        <v>1272</v>
      </c>
      <c r="O4436" s="86">
        <f t="shared" si="1354"/>
        <v>9492.4699999999993</v>
      </c>
      <c r="P4436" s="86">
        <f t="shared" si="1355"/>
        <v>0</v>
      </c>
      <c r="Q4436" s="86">
        <f t="shared" si="1356"/>
        <v>0</v>
      </c>
      <c r="R4436" s="86">
        <f t="shared" si="1357"/>
        <v>0</v>
      </c>
      <c r="S4436" s="86">
        <f t="shared" si="1358"/>
        <v>0</v>
      </c>
      <c r="T4436" s="86">
        <f t="shared" si="1359"/>
        <v>9492.4699999999993</v>
      </c>
      <c r="U4436" s="87">
        <v>9492.4699999999993</v>
      </c>
    </row>
    <row r="4437" spans="1:21" s="30" customFormat="1" ht="24.6" hidden="1" outlineLevel="1" x14ac:dyDescent="0.55000000000000004">
      <c r="A4437" s="27" t="s">
        <v>327</v>
      </c>
      <c r="B4437" s="28"/>
      <c r="C4437" s="27"/>
      <c r="D4437" s="27" t="str">
        <f>"""NAV Direct"",""CRONUS JetCorp USA"",""21"",""1"",""386040"""</f>
        <v>"NAV Direct","CRONUS JetCorp USA","21","1","386040"</v>
      </c>
      <c r="E4437" s="31">
        <f t="shared" si="1351"/>
        <v>0</v>
      </c>
      <c r="F4437" s="31"/>
      <c r="G4437" s="31"/>
      <c r="H4437" s="31"/>
      <c r="I4437" s="56"/>
      <c r="J4437" s="56"/>
      <c r="K4437" s="82" t="str">
        <f t="shared" si="1352"/>
        <v>Invoice</v>
      </c>
      <c r="L4437" s="83" t="str">
        <f>"SI_111964"</f>
        <v>SI_111964</v>
      </c>
      <c r="M4437" s="84">
        <v>42604</v>
      </c>
      <c r="N4437" s="85">
        <f t="shared" si="1353"/>
        <v>1208</v>
      </c>
      <c r="O4437" s="86">
        <f t="shared" si="1354"/>
        <v>9530.2900000000009</v>
      </c>
      <c r="P4437" s="86">
        <f t="shared" si="1355"/>
        <v>0</v>
      </c>
      <c r="Q4437" s="86">
        <f t="shared" si="1356"/>
        <v>0</v>
      </c>
      <c r="R4437" s="86">
        <f t="shared" si="1357"/>
        <v>0</v>
      </c>
      <c r="S4437" s="86">
        <f t="shared" si="1358"/>
        <v>0</v>
      </c>
      <c r="T4437" s="86">
        <f t="shared" si="1359"/>
        <v>9530.2900000000009</v>
      </c>
      <c r="U4437" s="87">
        <v>9530.2900000000009</v>
      </c>
    </row>
    <row r="4438" spans="1:21" s="30" customFormat="1" ht="24.6" hidden="1" outlineLevel="1" x14ac:dyDescent="0.55000000000000004">
      <c r="A4438" s="27" t="s">
        <v>327</v>
      </c>
      <c r="B4438" s="28"/>
      <c r="C4438" s="27"/>
      <c r="D4438" s="27" t="str">
        <f>"""NAV Direct"",""CRONUS JetCorp USA"",""21"",""1"",""387554"""</f>
        <v>"NAV Direct","CRONUS JetCorp USA","21","1","387554"</v>
      </c>
      <c r="E4438" s="31" t="str">
        <f t="shared" si="1351"/>
        <v>C100126</v>
      </c>
      <c r="F4438" s="31"/>
      <c r="G4438" s="31"/>
      <c r="H4438" s="31"/>
      <c r="I4438" s="56"/>
      <c r="J4438" s="56"/>
      <c r="K4438" s="82" t="str">
        <f t="shared" si="1352"/>
        <v>Invoice</v>
      </c>
      <c r="L4438" s="83" t="str">
        <f>"SI_111995"</f>
        <v>SI_111995</v>
      </c>
      <c r="M4438" s="84">
        <v>42766</v>
      </c>
      <c r="N4438" s="85">
        <f t="shared" si="1353"/>
        <v>1046</v>
      </c>
      <c r="O4438" s="86">
        <f t="shared" si="1354"/>
        <v>10180.27</v>
      </c>
      <c r="P4438" s="86">
        <f t="shared" si="1355"/>
        <v>0</v>
      </c>
      <c r="Q4438" s="86">
        <f t="shared" si="1356"/>
        <v>0</v>
      </c>
      <c r="R4438" s="86">
        <f t="shared" si="1357"/>
        <v>0</v>
      </c>
      <c r="S4438" s="86">
        <f t="shared" si="1358"/>
        <v>0</v>
      </c>
      <c r="T4438" s="86">
        <f t="shared" si="1359"/>
        <v>10180.27</v>
      </c>
      <c r="U4438" s="87">
        <v>10180.27</v>
      </c>
    </row>
    <row r="4439" spans="1:21" s="30" customFormat="1" ht="24.6" hidden="1" outlineLevel="1" x14ac:dyDescent="0.55000000000000004">
      <c r="A4439" s="27" t="s">
        <v>327</v>
      </c>
      <c r="B4439" s="28"/>
      <c r="C4439" s="27"/>
      <c r="D4439" s="27" t="str">
        <f>"""NAV Direct"",""CRONUS JetCorp USA"",""21"",""1"",""387603"""</f>
        <v>"NAV Direct","CRONUS JetCorp USA","21","1","387603"</v>
      </c>
      <c r="E4439" s="31">
        <f t="shared" si="1351"/>
        <v>0</v>
      </c>
      <c r="F4439" s="31"/>
      <c r="G4439" s="31"/>
      <c r="H4439" s="31"/>
      <c r="I4439" s="56"/>
      <c r="J4439" s="56"/>
      <c r="K4439" s="82" t="str">
        <f t="shared" si="1352"/>
        <v>Invoice</v>
      </c>
      <c r="L4439" s="83" t="str">
        <f>"SI_111996"</f>
        <v>SI_111996</v>
      </c>
      <c r="M4439" s="84">
        <v>42761</v>
      </c>
      <c r="N4439" s="85">
        <f t="shared" si="1353"/>
        <v>1051</v>
      </c>
      <c r="O4439" s="86">
        <f t="shared" si="1354"/>
        <v>9970.33</v>
      </c>
      <c r="P4439" s="86">
        <f t="shared" si="1355"/>
        <v>0</v>
      </c>
      <c r="Q4439" s="86">
        <f t="shared" si="1356"/>
        <v>0</v>
      </c>
      <c r="R4439" s="86">
        <f t="shared" si="1357"/>
        <v>0</v>
      </c>
      <c r="S4439" s="86">
        <f t="shared" si="1358"/>
        <v>0</v>
      </c>
      <c r="T4439" s="86">
        <f t="shared" si="1359"/>
        <v>9970.33</v>
      </c>
      <c r="U4439" s="87">
        <v>9970.33</v>
      </c>
    </row>
    <row r="4440" spans="1:21" s="30" customFormat="1" ht="24.6" hidden="1" outlineLevel="1" x14ac:dyDescent="0.55000000000000004">
      <c r="A4440" s="27" t="s">
        <v>327</v>
      </c>
      <c r="B4440" s="28"/>
      <c r="C4440" s="27"/>
      <c r="D4440" s="27" t="str">
        <f>"""NAV Direct"",""CRONUS JetCorp USA"",""21"",""1"",""388408"""</f>
        <v>"NAV Direct","CRONUS JetCorp USA","21","1","388408"</v>
      </c>
      <c r="E4440" s="31" t="str">
        <f t="shared" si="1351"/>
        <v>C100126</v>
      </c>
      <c r="F4440" s="31"/>
      <c r="G4440" s="31"/>
      <c r="H4440" s="31"/>
      <c r="I4440" s="56"/>
      <c r="J4440" s="56"/>
      <c r="K4440" s="82" t="str">
        <f t="shared" si="1352"/>
        <v>Invoice</v>
      </c>
      <c r="L4440" s="83" t="str">
        <f>"SI_112011"</f>
        <v>SI_112011</v>
      </c>
      <c r="M4440" s="84">
        <v>42846</v>
      </c>
      <c r="N4440" s="85">
        <f t="shared" si="1353"/>
        <v>966</v>
      </c>
      <c r="O4440" s="86">
        <f t="shared" si="1354"/>
        <v>11082.75</v>
      </c>
      <c r="P4440" s="86">
        <f t="shared" si="1355"/>
        <v>0</v>
      </c>
      <c r="Q4440" s="86">
        <f t="shared" si="1356"/>
        <v>0</v>
      </c>
      <c r="R4440" s="86">
        <f t="shared" si="1357"/>
        <v>0</v>
      </c>
      <c r="S4440" s="86">
        <f t="shared" si="1358"/>
        <v>0</v>
      </c>
      <c r="T4440" s="86">
        <f t="shared" si="1359"/>
        <v>11082.75</v>
      </c>
      <c r="U4440" s="87">
        <v>11082.75</v>
      </c>
    </row>
    <row r="4441" spans="1:21" s="30" customFormat="1" ht="24.6" hidden="1" outlineLevel="1" x14ac:dyDescent="0.55000000000000004">
      <c r="A4441" s="27" t="s">
        <v>327</v>
      </c>
      <c r="B4441" s="28"/>
      <c r="C4441" s="27"/>
      <c r="D4441" s="27" t="str">
        <f>"""NAV Direct"",""CRONUS JetCorp USA"",""21"",""1"",""388747"""</f>
        <v>"NAV Direct","CRONUS JetCorp USA","21","1","388747"</v>
      </c>
      <c r="E4441" s="31">
        <f t="shared" si="1351"/>
        <v>0</v>
      </c>
      <c r="F4441" s="31"/>
      <c r="G4441" s="31"/>
      <c r="H4441" s="31"/>
      <c r="I4441" s="56"/>
      <c r="J4441" s="56"/>
      <c r="K4441" s="82" t="str">
        <f t="shared" si="1352"/>
        <v>Invoice</v>
      </c>
      <c r="L4441" s="83" t="str">
        <f>"SI_112017"</f>
        <v>SI_112017</v>
      </c>
      <c r="M4441" s="84">
        <v>42867</v>
      </c>
      <c r="N4441" s="85">
        <f t="shared" si="1353"/>
        <v>945</v>
      </c>
      <c r="O4441" s="86">
        <f t="shared" si="1354"/>
        <v>10967.4</v>
      </c>
      <c r="P4441" s="86">
        <f t="shared" si="1355"/>
        <v>0</v>
      </c>
      <c r="Q4441" s="86">
        <f t="shared" si="1356"/>
        <v>0</v>
      </c>
      <c r="R4441" s="86">
        <f t="shared" si="1357"/>
        <v>0</v>
      </c>
      <c r="S4441" s="86">
        <f t="shared" si="1358"/>
        <v>0</v>
      </c>
      <c r="T4441" s="86">
        <f t="shared" si="1359"/>
        <v>10967.4</v>
      </c>
      <c r="U4441" s="87">
        <v>10967.4</v>
      </c>
    </row>
    <row r="4442" spans="1:21" s="30" customFormat="1" ht="24.6" hidden="1" outlineLevel="1" x14ac:dyDescent="0.55000000000000004">
      <c r="A4442" s="27" t="s">
        <v>327</v>
      </c>
      <c r="B4442" s="28"/>
      <c r="C4442" s="27"/>
      <c r="D4442" s="27" t="str">
        <f>"""NAV Direct"",""CRONUS JetCorp USA"",""21"",""1"",""389616"""</f>
        <v>"NAV Direct","CRONUS JetCorp USA","21","1","389616"</v>
      </c>
      <c r="E4442" s="31" t="str">
        <f t="shared" si="1351"/>
        <v>C100126</v>
      </c>
      <c r="F4442" s="31"/>
      <c r="G4442" s="31"/>
      <c r="H4442" s="31"/>
      <c r="I4442" s="56"/>
      <c r="J4442" s="56"/>
      <c r="K4442" s="82" t="str">
        <f t="shared" si="1352"/>
        <v>Invoice</v>
      </c>
      <c r="L4442" s="83" t="str">
        <f>"SI_112034"</f>
        <v>SI_112034</v>
      </c>
      <c r="M4442" s="84">
        <v>42980</v>
      </c>
      <c r="N4442" s="85">
        <f t="shared" si="1353"/>
        <v>832</v>
      </c>
      <c r="O4442" s="86">
        <f t="shared" si="1354"/>
        <v>8904.5399999999991</v>
      </c>
      <c r="P4442" s="86">
        <f t="shared" si="1355"/>
        <v>0</v>
      </c>
      <c r="Q4442" s="86">
        <f t="shared" si="1356"/>
        <v>0</v>
      </c>
      <c r="R4442" s="86">
        <f t="shared" si="1357"/>
        <v>0</v>
      </c>
      <c r="S4442" s="86">
        <f t="shared" si="1358"/>
        <v>0</v>
      </c>
      <c r="T4442" s="86">
        <f t="shared" si="1359"/>
        <v>8904.5399999999991</v>
      </c>
      <c r="U4442" s="87">
        <v>8904.5399999999991</v>
      </c>
    </row>
    <row r="4443" spans="1:21" s="30" customFormat="1" ht="24.6" hidden="1" outlineLevel="1" x14ac:dyDescent="0.55000000000000004">
      <c r="A4443" s="27" t="s">
        <v>327</v>
      </c>
      <c r="B4443" s="28"/>
      <c r="C4443" s="27"/>
      <c r="D4443" s="27" t="str">
        <f>"""NAV Direct"",""CRONUS JetCorp USA"",""21"",""1"",""390652"""</f>
        <v>"NAV Direct","CRONUS JetCorp USA","21","1","390652"</v>
      </c>
      <c r="E4443" s="31">
        <f t="shared" si="1351"/>
        <v>0</v>
      </c>
      <c r="F4443" s="31"/>
      <c r="G4443" s="31"/>
      <c r="H4443" s="31"/>
      <c r="I4443" s="56"/>
      <c r="J4443" s="56"/>
      <c r="K4443" s="82" t="str">
        <f t="shared" si="1352"/>
        <v>Invoice</v>
      </c>
      <c r="L4443" s="83" t="str">
        <f>"SI_112057"</f>
        <v>SI_112057</v>
      </c>
      <c r="M4443" s="84">
        <v>43159</v>
      </c>
      <c r="N4443" s="85">
        <f t="shared" si="1353"/>
        <v>653</v>
      </c>
      <c r="O4443" s="86">
        <f t="shared" si="1354"/>
        <v>7900.66</v>
      </c>
      <c r="P4443" s="86">
        <f t="shared" si="1355"/>
        <v>0</v>
      </c>
      <c r="Q4443" s="86">
        <f t="shared" si="1356"/>
        <v>0</v>
      </c>
      <c r="R4443" s="86">
        <f t="shared" si="1357"/>
        <v>0</v>
      </c>
      <c r="S4443" s="86">
        <f t="shared" si="1358"/>
        <v>0</v>
      </c>
      <c r="T4443" s="86">
        <f t="shared" si="1359"/>
        <v>7900.66</v>
      </c>
      <c r="U4443" s="87">
        <v>7900.66</v>
      </c>
    </row>
    <row r="4444" spans="1:21" s="30" customFormat="1" ht="24.6" hidden="1" outlineLevel="1" x14ac:dyDescent="0.55000000000000004">
      <c r="A4444" s="27" t="s">
        <v>327</v>
      </c>
      <c r="B4444" s="28"/>
      <c r="C4444" s="27"/>
      <c r="D4444" s="27" t="str">
        <f>"""NAV Direct"",""CRONUS JetCorp USA"",""21"",""1"",""391276"""</f>
        <v>"NAV Direct","CRONUS JetCorp USA","21","1","391276"</v>
      </c>
      <c r="E4444" s="31" t="str">
        <f t="shared" si="1351"/>
        <v>C100126</v>
      </c>
      <c r="F4444" s="31"/>
      <c r="G4444" s="31"/>
      <c r="H4444" s="31"/>
      <c r="I4444" s="56"/>
      <c r="J4444" s="56"/>
      <c r="K4444" s="82" t="str">
        <f t="shared" si="1352"/>
        <v>Invoice</v>
      </c>
      <c r="L4444" s="83" t="str">
        <f>"SI_112071"</f>
        <v>SI_112071</v>
      </c>
      <c r="M4444" s="84">
        <v>43304</v>
      </c>
      <c r="N4444" s="85">
        <f t="shared" si="1353"/>
        <v>508</v>
      </c>
      <c r="O4444" s="86">
        <f t="shared" si="1354"/>
        <v>9205.74</v>
      </c>
      <c r="P4444" s="86">
        <f t="shared" si="1355"/>
        <v>0</v>
      </c>
      <c r="Q4444" s="86">
        <f t="shared" si="1356"/>
        <v>0</v>
      </c>
      <c r="R4444" s="86">
        <f t="shared" si="1357"/>
        <v>0</v>
      </c>
      <c r="S4444" s="86">
        <f t="shared" si="1358"/>
        <v>0</v>
      </c>
      <c r="T4444" s="86">
        <f t="shared" si="1359"/>
        <v>9205.74</v>
      </c>
      <c r="U4444" s="87">
        <v>9205.74</v>
      </c>
    </row>
    <row r="4445" spans="1:21" s="30" customFormat="1" ht="24.6" hidden="1" outlineLevel="1" x14ac:dyDescent="0.55000000000000004">
      <c r="A4445" s="27" t="s">
        <v>327</v>
      </c>
      <c r="B4445" s="28"/>
      <c r="C4445" s="27"/>
      <c r="D4445" s="27" t="str">
        <f>"""NAV Direct"",""CRONUS JetCorp USA"",""21"",""1"",""391417"""</f>
        <v>"NAV Direct","CRONUS JetCorp USA","21","1","391417"</v>
      </c>
      <c r="E4445" s="31">
        <f t="shared" si="1351"/>
        <v>0</v>
      </c>
      <c r="F4445" s="31"/>
      <c r="G4445" s="31"/>
      <c r="H4445" s="31"/>
      <c r="I4445" s="56"/>
      <c r="J4445" s="56"/>
      <c r="K4445" s="82" t="str">
        <f t="shared" si="1352"/>
        <v>Invoice</v>
      </c>
      <c r="L4445" s="83" t="str">
        <f>"SI_112074"</f>
        <v>SI_112074</v>
      </c>
      <c r="M4445" s="84">
        <v>43329</v>
      </c>
      <c r="N4445" s="85">
        <f t="shared" si="1353"/>
        <v>483</v>
      </c>
      <c r="O4445" s="86">
        <f t="shared" si="1354"/>
        <v>10586.57</v>
      </c>
      <c r="P4445" s="86">
        <f t="shared" si="1355"/>
        <v>0</v>
      </c>
      <c r="Q4445" s="86">
        <f t="shared" si="1356"/>
        <v>0</v>
      </c>
      <c r="R4445" s="86">
        <f t="shared" si="1357"/>
        <v>0</v>
      </c>
      <c r="S4445" s="86">
        <f t="shared" si="1358"/>
        <v>0</v>
      </c>
      <c r="T4445" s="86">
        <f t="shared" si="1359"/>
        <v>10586.57</v>
      </c>
      <c r="U4445" s="87">
        <v>10586.57</v>
      </c>
    </row>
    <row r="4446" spans="1:21" s="30" customFormat="1" ht="24.6" hidden="1" outlineLevel="1" x14ac:dyDescent="0.55000000000000004">
      <c r="A4446" s="27" t="s">
        <v>327</v>
      </c>
      <c r="B4446" s="28"/>
      <c r="C4446" s="27"/>
      <c r="D4446" s="27" t="str">
        <f>"""NAV Direct"",""CRONUS JetCorp USA"",""21"",""1"",""392499"""</f>
        <v>"NAV Direct","CRONUS JetCorp USA","21","1","392499"</v>
      </c>
      <c r="E4446" s="31" t="str">
        <f t="shared" si="1351"/>
        <v>C100126</v>
      </c>
      <c r="F4446" s="31"/>
      <c r="G4446" s="31"/>
      <c r="H4446" s="31"/>
      <c r="I4446" s="56"/>
      <c r="J4446" s="56"/>
      <c r="K4446" s="82" t="str">
        <f t="shared" si="1352"/>
        <v>Invoice</v>
      </c>
      <c r="L4446" s="83" t="str">
        <f>"SI_112094"</f>
        <v>SI_112094</v>
      </c>
      <c r="M4446" s="84">
        <v>43437</v>
      </c>
      <c r="N4446" s="85">
        <f t="shared" si="1353"/>
        <v>375</v>
      </c>
      <c r="O4446" s="86">
        <f t="shared" si="1354"/>
        <v>12928.88</v>
      </c>
      <c r="P4446" s="86">
        <f t="shared" si="1355"/>
        <v>0</v>
      </c>
      <c r="Q4446" s="86">
        <f t="shared" si="1356"/>
        <v>0</v>
      </c>
      <c r="R4446" s="86">
        <f t="shared" si="1357"/>
        <v>0</v>
      </c>
      <c r="S4446" s="86">
        <f t="shared" si="1358"/>
        <v>0</v>
      </c>
      <c r="T4446" s="86">
        <f t="shared" si="1359"/>
        <v>12928.88</v>
      </c>
      <c r="U4446" s="87">
        <v>12928.88</v>
      </c>
    </row>
    <row r="4447" spans="1:21" s="30" customFormat="1" ht="24.6" hidden="1" outlineLevel="1" x14ac:dyDescent="0.55000000000000004">
      <c r="A4447" s="27" t="s">
        <v>327</v>
      </c>
      <c r="B4447" s="28"/>
      <c r="C4447" s="27"/>
      <c r="D4447" s="27" t="str">
        <f>"""NAV Direct"",""CRONUS JetCorp USA"",""21"",""1"",""393039"""</f>
        <v>"NAV Direct","CRONUS JetCorp USA","21","1","393039"</v>
      </c>
      <c r="E4447" s="31">
        <f t="shared" si="1351"/>
        <v>0</v>
      </c>
      <c r="F4447" s="31"/>
      <c r="G4447" s="31"/>
      <c r="H4447" s="31"/>
      <c r="I4447" s="56"/>
      <c r="J4447" s="56"/>
      <c r="K4447" s="82" t="str">
        <f t="shared" si="1352"/>
        <v>Invoice</v>
      </c>
      <c r="L4447" s="83" t="str">
        <f>"SI_112104"</f>
        <v>SI_112104</v>
      </c>
      <c r="M4447" s="84">
        <v>43526</v>
      </c>
      <c r="N4447" s="85">
        <f t="shared" si="1353"/>
        <v>286</v>
      </c>
      <c r="O4447" s="86">
        <f t="shared" si="1354"/>
        <v>11824.44</v>
      </c>
      <c r="P4447" s="86">
        <f t="shared" si="1355"/>
        <v>0</v>
      </c>
      <c r="Q4447" s="86">
        <f t="shared" si="1356"/>
        <v>0</v>
      </c>
      <c r="R4447" s="86">
        <f t="shared" si="1357"/>
        <v>0</v>
      </c>
      <c r="S4447" s="86">
        <f t="shared" si="1358"/>
        <v>0</v>
      </c>
      <c r="T4447" s="86">
        <f t="shared" si="1359"/>
        <v>11824.44</v>
      </c>
      <c r="U4447" s="87">
        <v>11824.44</v>
      </c>
    </row>
    <row r="4448" spans="1:21" s="30" customFormat="1" ht="24.6" hidden="1" outlineLevel="1" x14ac:dyDescent="0.55000000000000004">
      <c r="A4448" s="27" t="s">
        <v>327</v>
      </c>
      <c r="B4448" s="28"/>
      <c r="C4448" s="27"/>
      <c r="D4448" s="27" t="str">
        <f>"""NAV Direct"",""CRONUS JetCorp USA"",""21"",""1"",""394055"""</f>
        <v>"NAV Direct","CRONUS JetCorp USA","21","1","394055"</v>
      </c>
      <c r="E4448" s="31" t="str">
        <f t="shared" si="1351"/>
        <v>C100126</v>
      </c>
      <c r="F4448" s="31"/>
      <c r="G4448" s="31"/>
      <c r="H4448" s="31"/>
      <c r="I4448" s="56"/>
      <c r="J4448" s="56"/>
      <c r="K4448" s="82" t="str">
        <f t="shared" si="1352"/>
        <v>Invoice</v>
      </c>
      <c r="L4448" s="83" t="str">
        <f>"SI_112122"</f>
        <v>SI_112122</v>
      </c>
      <c r="M4448" s="84">
        <v>43611</v>
      </c>
      <c r="N4448" s="85">
        <f t="shared" si="1353"/>
        <v>201</v>
      </c>
      <c r="O4448" s="86">
        <f t="shared" si="1354"/>
        <v>10317.719999999999</v>
      </c>
      <c r="P4448" s="86">
        <f t="shared" si="1355"/>
        <v>0</v>
      </c>
      <c r="Q4448" s="86">
        <f t="shared" si="1356"/>
        <v>0</v>
      </c>
      <c r="R4448" s="86">
        <f t="shared" si="1357"/>
        <v>0</v>
      </c>
      <c r="S4448" s="86">
        <f t="shared" si="1358"/>
        <v>0</v>
      </c>
      <c r="T4448" s="86">
        <f t="shared" si="1359"/>
        <v>10317.719999999999</v>
      </c>
      <c r="U4448" s="87">
        <v>10317.719999999999</v>
      </c>
    </row>
    <row r="4449" spans="1:21" s="30" customFormat="1" ht="24.6" hidden="1" outlineLevel="1" x14ac:dyDescent="0.55000000000000004">
      <c r="A4449" s="27" t="s">
        <v>327</v>
      </c>
      <c r="B4449" s="28"/>
      <c r="C4449" s="27"/>
      <c r="D4449" s="27" t="str">
        <f>"""NAV Direct"",""CRONUS JetCorp USA"",""21"",""1"",""394269"""</f>
        <v>"NAV Direct","CRONUS JetCorp USA","21","1","394269"</v>
      </c>
      <c r="E4449" s="31">
        <f t="shared" si="1351"/>
        <v>0</v>
      </c>
      <c r="F4449" s="31"/>
      <c r="G4449" s="31"/>
      <c r="H4449" s="31"/>
      <c r="I4449" s="56"/>
      <c r="J4449" s="56"/>
      <c r="K4449" s="82" t="str">
        <f t="shared" si="1352"/>
        <v>Invoice</v>
      </c>
      <c r="L4449" s="83" t="str">
        <f>"SI_112126"</f>
        <v>SI_112126</v>
      </c>
      <c r="M4449" s="84">
        <v>43621</v>
      </c>
      <c r="N4449" s="85">
        <f t="shared" si="1353"/>
        <v>191</v>
      </c>
      <c r="O4449" s="86">
        <f t="shared" si="1354"/>
        <v>10990.41</v>
      </c>
      <c r="P4449" s="86">
        <f t="shared" si="1355"/>
        <v>0</v>
      </c>
      <c r="Q4449" s="86">
        <f t="shared" si="1356"/>
        <v>0</v>
      </c>
      <c r="R4449" s="86">
        <f t="shared" si="1357"/>
        <v>0</v>
      </c>
      <c r="S4449" s="86">
        <f t="shared" si="1358"/>
        <v>0</v>
      </c>
      <c r="T4449" s="86">
        <f t="shared" si="1359"/>
        <v>10990.41</v>
      </c>
      <c r="U4449" s="87">
        <v>10990.41</v>
      </c>
    </row>
    <row r="4450" spans="1:21" s="30" customFormat="1" ht="24.6" hidden="1" outlineLevel="1" x14ac:dyDescent="0.55000000000000004">
      <c r="A4450" s="27" t="s">
        <v>327</v>
      </c>
      <c r="B4450" s="28"/>
      <c r="C4450" s="27"/>
      <c r="D4450" s="27" t="str">
        <f>"""NAV Direct"",""CRONUS JetCorp USA"",""21"",""1"",""395009"""</f>
        <v>"NAV Direct","CRONUS JetCorp USA","21","1","395009"</v>
      </c>
      <c r="E4450" s="31" t="str">
        <f t="shared" si="1351"/>
        <v>C100126</v>
      </c>
      <c r="F4450" s="31"/>
      <c r="G4450" s="31"/>
      <c r="H4450" s="31"/>
      <c r="I4450" s="56"/>
      <c r="J4450" s="56"/>
      <c r="K4450" s="82" t="str">
        <f t="shared" si="1352"/>
        <v>Invoice</v>
      </c>
      <c r="L4450" s="83" t="str">
        <f>"SI_112140"</f>
        <v>SI_112140</v>
      </c>
      <c r="M4450" s="84">
        <v>43704</v>
      </c>
      <c r="N4450" s="85">
        <f t="shared" si="1353"/>
        <v>108</v>
      </c>
      <c r="O4450" s="86">
        <f t="shared" si="1354"/>
        <v>10415.75</v>
      </c>
      <c r="P4450" s="86">
        <f t="shared" si="1355"/>
        <v>0</v>
      </c>
      <c r="Q4450" s="86">
        <f t="shared" si="1356"/>
        <v>0</v>
      </c>
      <c r="R4450" s="86">
        <f t="shared" si="1357"/>
        <v>0</v>
      </c>
      <c r="S4450" s="86">
        <f t="shared" si="1358"/>
        <v>0</v>
      </c>
      <c r="T4450" s="86">
        <f t="shared" si="1359"/>
        <v>10415.75</v>
      </c>
      <c r="U4450" s="87">
        <v>10415.75</v>
      </c>
    </row>
    <row r="4451" spans="1:21" s="30" customFormat="1" ht="24.6" hidden="1" outlineLevel="1" x14ac:dyDescent="0.55000000000000004">
      <c r="A4451" s="27" t="s">
        <v>327</v>
      </c>
      <c r="B4451" s="28"/>
      <c r="C4451" s="27"/>
      <c r="D4451" s="27" t="str">
        <f>"""NAV Direct"",""CRONUS JetCorp USA"",""21"",""1"",""395258"""</f>
        <v>"NAV Direct","CRONUS JetCorp USA","21","1","395258"</v>
      </c>
      <c r="E4451" s="31">
        <f t="shared" si="1351"/>
        <v>0</v>
      </c>
      <c r="F4451" s="31"/>
      <c r="G4451" s="31"/>
      <c r="H4451" s="31"/>
      <c r="I4451" s="56"/>
      <c r="J4451" s="56"/>
      <c r="K4451" s="82" t="str">
        <f t="shared" si="1352"/>
        <v>Invoice</v>
      </c>
      <c r="L4451" s="83" t="str">
        <f>"SI_112145"</f>
        <v>SI_112145</v>
      </c>
      <c r="M4451" s="84">
        <v>43730</v>
      </c>
      <c r="N4451" s="85">
        <f t="shared" si="1353"/>
        <v>82</v>
      </c>
      <c r="O4451" s="86">
        <f t="shared" si="1354"/>
        <v>11477.97</v>
      </c>
      <c r="P4451" s="86">
        <f t="shared" si="1355"/>
        <v>0</v>
      </c>
      <c r="Q4451" s="86">
        <f t="shared" si="1356"/>
        <v>0</v>
      </c>
      <c r="R4451" s="86">
        <f t="shared" si="1357"/>
        <v>0</v>
      </c>
      <c r="S4451" s="86">
        <f t="shared" si="1358"/>
        <v>11477.97</v>
      </c>
      <c r="T4451" s="86">
        <f t="shared" si="1359"/>
        <v>0</v>
      </c>
      <c r="U4451" s="87">
        <v>11477.97</v>
      </c>
    </row>
    <row r="4452" spans="1:21" s="30" customFormat="1" ht="24.6" hidden="1" outlineLevel="1" x14ac:dyDescent="0.55000000000000004">
      <c r="A4452" s="27" t="s">
        <v>327</v>
      </c>
      <c r="B4452" s="28"/>
      <c r="C4452" s="27"/>
      <c r="D4452" s="27" t="str">
        <f>"""NAV Direct"",""CRONUS JetCorp USA"",""21"",""1"",""395659"""</f>
        <v>"NAV Direct","CRONUS JetCorp USA","21","1","395659"</v>
      </c>
      <c r="E4452" s="31" t="str">
        <f t="shared" si="1351"/>
        <v>C100126</v>
      </c>
      <c r="F4452" s="31"/>
      <c r="G4452" s="31"/>
      <c r="H4452" s="31"/>
      <c r="I4452" s="56"/>
      <c r="J4452" s="56"/>
      <c r="K4452" s="82" t="str">
        <f t="shared" si="1352"/>
        <v>Invoice</v>
      </c>
      <c r="L4452" s="83" t="str">
        <f>"SI_112152"</f>
        <v>SI_112152</v>
      </c>
      <c r="M4452" s="84">
        <v>43763</v>
      </c>
      <c r="N4452" s="85">
        <f t="shared" si="1353"/>
        <v>49</v>
      </c>
      <c r="O4452" s="86">
        <f t="shared" si="1354"/>
        <v>12763.029999999999</v>
      </c>
      <c r="P4452" s="86">
        <f t="shared" si="1355"/>
        <v>0</v>
      </c>
      <c r="Q4452" s="86">
        <f t="shared" si="1356"/>
        <v>0</v>
      </c>
      <c r="R4452" s="86">
        <f t="shared" si="1357"/>
        <v>12763.029999999999</v>
      </c>
      <c r="S4452" s="86">
        <f t="shared" si="1358"/>
        <v>0</v>
      </c>
      <c r="T4452" s="86">
        <f t="shared" si="1359"/>
        <v>0</v>
      </c>
      <c r="U4452" s="87">
        <v>12763.029999999999</v>
      </c>
    </row>
    <row r="4453" spans="1:21" s="30" customFormat="1" ht="24.6" hidden="1" outlineLevel="1" x14ac:dyDescent="0.55000000000000004">
      <c r="A4453" s="27" t="s">
        <v>327</v>
      </c>
      <c r="B4453" s="28"/>
      <c r="C4453" s="27"/>
      <c r="D4453" s="27" t="str">
        <f>"""NAV Direct"",""CRONUS JetCorp USA"",""21"",""1"",""397068"""</f>
        <v>"NAV Direct","CRONUS JetCorp USA","21","1","397068"</v>
      </c>
      <c r="E4453" s="31">
        <f t="shared" si="1351"/>
        <v>0</v>
      </c>
      <c r="F4453" s="31"/>
      <c r="G4453" s="31"/>
      <c r="H4453" s="31"/>
      <c r="I4453" s="56"/>
      <c r="J4453" s="56"/>
      <c r="K4453" s="82" t="str">
        <f t="shared" si="1352"/>
        <v>Invoice</v>
      </c>
      <c r="L4453" s="83" t="str">
        <f>"SI_112179"</f>
        <v>SI_112179</v>
      </c>
      <c r="M4453" s="84">
        <v>42055</v>
      </c>
      <c r="N4453" s="85">
        <f t="shared" si="1353"/>
        <v>1757</v>
      </c>
      <c r="O4453" s="86">
        <f t="shared" si="1354"/>
        <v>9887.6</v>
      </c>
      <c r="P4453" s="86">
        <f t="shared" si="1355"/>
        <v>0</v>
      </c>
      <c r="Q4453" s="86">
        <f t="shared" si="1356"/>
        <v>0</v>
      </c>
      <c r="R4453" s="86">
        <f t="shared" si="1357"/>
        <v>0</v>
      </c>
      <c r="S4453" s="86">
        <f t="shared" si="1358"/>
        <v>0</v>
      </c>
      <c r="T4453" s="86">
        <f t="shared" si="1359"/>
        <v>9887.6</v>
      </c>
      <c r="U4453" s="87">
        <v>9887.6</v>
      </c>
    </row>
    <row r="4454" spans="1:21" s="30" customFormat="1" ht="24.6" hidden="1" outlineLevel="1" x14ac:dyDescent="0.55000000000000004">
      <c r="A4454" s="27" t="s">
        <v>327</v>
      </c>
      <c r="B4454" s="28"/>
      <c r="C4454" s="27"/>
      <c r="D4454" s="27" t="str">
        <f>"""NAV Direct"",""CRONUS JetCorp USA"",""21"",""1"",""397643"""</f>
        <v>"NAV Direct","CRONUS JetCorp USA","21","1","397643"</v>
      </c>
      <c r="E4454" s="31" t="str">
        <f t="shared" si="1351"/>
        <v>C100126</v>
      </c>
      <c r="F4454" s="31"/>
      <c r="G4454" s="31"/>
      <c r="H4454" s="31"/>
      <c r="I4454" s="56"/>
      <c r="J4454" s="56"/>
      <c r="K4454" s="82" t="str">
        <f t="shared" si="1352"/>
        <v>Invoice</v>
      </c>
      <c r="L4454" s="83" t="str">
        <f>"SI_112191"</f>
        <v>SI_112191</v>
      </c>
      <c r="M4454" s="84">
        <v>42094</v>
      </c>
      <c r="N4454" s="85">
        <f t="shared" si="1353"/>
        <v>1718</v>
      </c>
      <c r="O4454" s="86">
        <f t="shared" si="1354"/>
        <v>10055.530000000001</v>
      </c>
      <c r="P4454" s="86">
        <f t="shared" si="1355"/>
        <v>0</v>
      </c>
      <c r="Q4454" s="86">
        <f t="shared" si="1356"/>
        <v>0</v>
      </c>
      <c r="R4454" s="86">
        <f t="shared" si="1357"/>
        <v>0</v>
      </c>
      <c r="S4454" s="86">
        <f t="shared" si="1358"/>
        <v>0</v>
      </c>
      <c r="T4454" s="86">
        <f t="shared" si="1359"/>
        <v>10055.530000000001</v>
      </c>
      <c r="U4454" s="87">
        <v>10055.530000000001</v>
      </c>
    </row>
    <row r="4455" spans="1:21" s="30" customFormat="1" ht="24.6" hidden="1" outlineLevel="1" x14ac:dyDescent="0.55000000000000004">
      <c r="A4455" s="27" t="s">
        <v>327</v>
      </c>
      <c r="B4455" s="28"/>
      <c r="C4455" s="27"/>
      <c r="D4455" s="27" t="str">
        <f>"""NAV Direct"",""CRONUS JetCorp USA"",""21"",""1"",""397894"""</f>
        <v>"NAV Direct","CRONUS JetCorp USA","21","1","397894"</v>
      </c>
      <c r="E4455" s="31">
        <f t="shared" si="1351"/>
        <v>0</v>
      </c>
      <c r="F4455" s="31"/>
      <c r="G4455" s="31"/>
      <c r="H4455" s="31"/>
      <c r="I4455" s="56"/>
      <c r="J4455" s="56"/>
      <c r="K4455" s="82" t="str">
        <f t="shared" si="1352"/>
        <v>Invoice</v>
      </c>
      <c r="L4455" s="83" t="str">
        <f>"SI_112196"</f>
        <v>SI_112196</v>
      </c>
      <c r="M4455" s="84">
        <v>42117</v>
      </c>
      <c r="N4455" s="85">
        <f t="shared" si="1353"/>
        <v>1695</v>
      </c>
      <c r="O4455" s="86">
        <f t="shared" si="1354"/>
        <v>9953.2199999999993</v>
      </c>
      <c r="P4455" s="86">
        <f t="shared" si="1355"/>
        <v>0</v>
      </c>
      <c r="Q4455" s="86">
        <f t="shared" si="1356"/>
        <v>0</v>
      </c>
      <c r="R4455" s="86">
        <f t="shared" si="1357"/>
        <v>0</v>
      </c>
      <c r="S4455" s="86">
        <f t="shared" si="1358"/>
        <v>0</v>
      </c>
      <c r="T4455" s="86">
        <f t="shared" si="1359"/>
        <v>9953.2199999999993</v>
      </c>
      <c r="U4455" s="87">
        <v>9953.2199999999993</v>
      </c>
    </row>
    <row r="4456" spans="1:21" s="30" customFormat="1" ht="24.6" hidden="1" outlineLevel="1" x14ac:dyDescent="0.55000000000000004">
      <c r="A4456" s="27" t="s">
        <v>327</v>
      </c>
      <c r="B4456" s="28"/>
      <c r="C4456" s="27"/>
      <c r="D4456" s="27" t="str">
        <f>"""NAV Direct"",""CRONUS JetCorp USA"",""21"",""1"",""398092"""</f>
        <v>"NAV Direct","CRONUS JetCorp USA","21","1","398092"</v>
      </c>
      <c r="E4456" s="31" t="str">
        <f t="shared" si="1351"/>
        <v>C100126</v>
      </c>
      <c r="F4456" s="31"/>
      <c r="G4456" s="31"/>
      <c r="H4456" s="31"/>
      <c r="I4456" s="56"/>
      <c r="J4456" s="56"/>
      <c r="K4456" s="82" t="str">
        <f t="shared" si="1352"/>
        <v>Invoice</v>
      </c>
      <c r="L4456" s="83" t="str">
        <f>"SI_112200"</f>
        <v>SI_112200</v>
      </c>
      <c r="M4456" s="84">
        <v>42126</v>
      </c>
      <c r="N4456" s="85">
        <f t="shared" si="1353"/>
        <v>1686</v>
      </c>
      <c r="O4456" s="86">
        <f t="shared" si="1354"/>
        <v>9747.86</v>
      </c>
      <c r="P4456" s="86">
        <f t="shared" si="1355"/>
        <v>0</v>
      </c>
      <c r="Q4456" s="86">
        <f t="shared" si="1356"/>
        <v>0</v>
      </c>
      <c r="R4456" s="86">
        <f t="shared" si="1357"/>
        <v>0</v>
      </c>
      <c r="S4456" s="86">
        <f t="shared" si="1358"/>
        <v>0</v>
      </c>
      <c r="T4456" s="86">
        <f t="shared" si="1359"/>
        <v>9747.86</v>
      </c>
      <c r="U4456" s="87">
        <v>9747.86</v>
      </c>
    </row>
    <row r="4457" spans="1:21" s="30" customFormat="1" ht="24.6" hidden="1" outlineLevel="1" x14ac:dyDescent="0.55000000000000004">
      <c r="A4457" s="27" t="s">
        <v>327</v>
      </c>
      <c r="B4457" s="28"/>
      <c r="C4457" s="27"/>
      <c r="D4457" s="27" t="str">
        <f>"""NAV Direct"",""CRONUS JetCorp USA"",""21"",""1"",""399050"""</f>
        <v>"NAV Direct","CRONUS JetCorp USA","21","1","399050"</v>
      </c>
      <c r="E4457" s="31">
        <f t="shared" si="1351"/>
        <v>0</v>
      </c>
      <c r="F4457" s="31"/>
      <c r="G4457" s="31"/>
      <c r="H4457" s="31"/>
      <c r="I4457" s="56"/>
      <c r="J4457" s="56"/>
      <c r="K4457" s="82" t="str">
        <f t="shared" si="1352"/>
        <v>Invoice</v>
      </c>
      <c r="L4457" s="83" t="str">
        <f>"SI_112222"</f>
        <v>SI_112222</v>
      </c>
      <c r="M4457" s="84">
        <v>42234</v>
      </c>
      <c r="N4457" s="85">
        <f t="shared" si="1353"/>
        <v>1578</v>
      </c>
      <c r="O4457" s="86">
        <f t="shared" si="1354"/>
        <v>7623.94</v>
      </c>
      <c r="P4457" s="86">
        <f t="shared" si="1355"/>
        <v>0</v>
      </c>
      <c r="Q4457" s="86">
        <f t="shared" si="1356"/>
        <v>0</v>
      </c>
      <c r="R4457" s="86">
        <f t="shared" si="1357"/>
        <v>0</v>
      </c>
      <c r="S4457" s="86">
        <f t="shared" si="1358"/>
        <v>0</v>
      </c>
      <c r="T4457" s="86">
        <f t="shared" si="1359"/>
        <v>7623.94</v>
      </c>
      <c r="U4457" s="87">
        <v>7623.94</v>
      </c>
    </row>
    <row r="4458" spans="1:21" s="30" customFormat="1" ht="24.6" hidden="1" outlineLevel="1" x14ac:dyDescent="0.55000000000000004">
      <c r="A4458" s="27" t="s">
        <v>327</v>
      </c>
      <c r="B4458" s="28"/>
      <c r="C4458" s="27"/>
      <c r="D4458" s="27" t="str">
        <f>"""NAV Direct"",""CRONUS JetCorp USA"",""21"",""1"",""399101"""</f>
        <v>"NAV Direct","CRONUS JetCorp USA","21","1","399101"</v>
      </c>
      <c r="E4458" s="31" t="str">
        <f t="shared" si="1351"/>
        <v>C100126</v>
      </c>
      <c r="F4458" s="31"/>
      <c r="G4458" s="31"/>
      <c r="H4458" s="31"/>
      <c r="I4458" s="56"/>
      <c r="J4458" s="56"/>
      <c r="K4458" s="82" t="str">
        <f t="shared" si="1352"/>
        <v>Invoice</v>
      </c>
      <c r="L4458" s="83" t="str">
        <f>"SI_112223"</f>
        <v>SI_112223</v>
      </c>
      <c r="M4458" s="84">
        <v>42234</v>
      </c>
      <c r="N4458" s="85">
        <f t="shared" si="1353"/>
        <v>1578</v>
      </c>
      <c r="O4458" s="86">
        <f t="shared" si="1354"/>
        <v>7540.1100000000006</v>
      </c>
      <c r="P4458" s="86">
        <f t="shared" si="1355"/>
        <v>0</v>
      </c>
      <c r="Q4458" s="86">
        <f t="shared" si="1356"/>
        <v>0</v>
      </c>
      <c r="R4458" s="86">
        <f t="shared" si="1357"/>
        <v>0</v>
      </c>
      <c r="S4458" s="86">
        <f t="shared" si="1358"/>
        <v>0</v>
      </c>
      <c r="T4458" s="86">
        <f t="shared" si="1359"/>
        <v>7540.1100000000006</v>
      </c>
      <c r="U4458" s="87">
        <v>7540.1100000000006</v>
      </c>
    </row>
    <row r="4459" spans="1:21" s="30" customFormat="1" ht="24.6" hidden="1" outlineLevel="1" x14ac:dyDescent="0.55000000000000004">
      <c r="A4459" s="27" t="s">
        <v>327</v>
      </c>
      <c r="B4459" s="28"/>
      <c r="C4459" s="27"/>
      <c r="D4459" s="27" t="str">
        <f>"""NAV Direct"",""CRONUS JetCorp USA"",""21"",""1"",""399343"""</f>
        <v>"NAV Direct","CRONUS JetCorp USA","21","1","399343"</v>
      </c>
      <c r="E4459" s="31">
        <f t="shared" si="1351"/>
        <v>0</v>
      </c>
      <c r="F4459" s="31"/>
      <c r="G4459" s="31"/>
      <c r="H4459" s="31"/>
      <c r="I4459" s="56"/>
      <c r="J4459" s="56"/>
      <c r="K4459" s="82" t="str">
        <f t="shared" si="1352"/>
        <v>Invoice</v>
      </c>
      <c r="L4459" s="83" t="str">
        <f>"SI_112229"</f>
        <v>SI_112229</v>
      </c>
      <c r="M4459" s="84">
        <v>42248</v>
      </c>
      <c r="N4459" s="85">
        <f t="shared" si="1353"/>
        <v>1564</v>
      </c>
      <c r="O4459" s="86">
        <f t="shared" si="1354"/>
        <v>8210.26</v>
      </c>
      <c r="P4459" s="86">
        <f t="shared" si="1355"/>
        <v>0</v>
      </c>
      <c r="Q4459" s="86">
        <f t="shared" si="1356"/>
        <v>0</v>
      </c>
      <c r="R4459" s="86">
        <f t="shared" si="1357"/>
        <v>0</v>
      </c>
      <c r="S4459" s="86">
        <f t="shared" si="1358"/>
        <v>0</v>
      </c>
      <c r="T4459" s="86">
        <f t="shared" si="1359"/>
        <v>8210.26</v>
      </c>
      <c r="U4459" s="87">
        <v>8210.26</v>
      </c>
    </row>
    <row r="4460" spans="1:21" s="30" customFormat="1" ht="24.6" hidden="1" outlineLevel="1" x14ac:dyDescent="0.55000000000000004">
      <c r="A4460" s="27" t="s">
        <v>327</v>
      </c>
      <c r="B4460" s="28"/>
      <c r="C4460" s="27"/>
      <c r="D4460" s="27" t="str">
        <f>"""NAV Direct"",""CRONUS JetCorp USA"",""21"",""1"",""399762"""</f>
        <v>"NAV Direct","CRONUS JetCorp USA","21","1","399762"</v>
      </c>
      <c r="E4460" s="31" t="str">
        <f t="shared" si="1351"/>
        <v>C100126</v>
      </c>
      <c r="F4460" s="31"/>
      <c r="G4460" s="31"/>
      <c r="H4460" s="31"/>
      <c r="I4460" s="56"/>
      <c r="J4460" s="56"/>
      <c r="K4460" s="82" t="str">
        <f t="shared" si="1352"/>
        <v>Invoice</v>
      </c>
      <c r="L4460" s="83" t="str">
        <f>"SI_112238"</f>
        <v>SI_112238</v>
      </c>
      <c r="M4460" s="84">
        <v>42278</v>
      </c>
      <c r="N4460" s="85">
        <f t="shared" si="1353"/>
        <v>1534</v>
      </c>
      <c r="O4460" s="86">
        <f t="shared" si="1354"/>
        <v>8584.0500000000011</v>
      </c>
      <c r="P4460" s="86">
        <f t="shared" si="1355"/>
        <v>0</v>
      </c>
      <c r="Q4460" s="86">
        <f t="shared" si="1356"/>
        <v>0</v>
      </c>
      <c r="R4460" s="86">
        <f t="shared" si="1357"/>
        <v>0</v>
      </c>
      <c r="S4460" s="86">
        <f t="shared" si="1358"/>
        <v>0</v>
      </c>
      <c r="T4460" s="86">
        <f t="shared" si="1359"/>
        <v>8584.0500000000011</v>
      </c>
      <c r="U4460" s="87">
        <v>8584.0500000000011</v>
      </c>
    </row>
    <row r="4461" spans="1:21" s="30" customFormat="1" ht="24.6" hidden="1" outlineLevel="1" x14ac:dyDescent="0.55000000000000004">
      <c r="A4461" s="27" t="s">
        <v>327</v>
      </c>
      <c r="B4461" s="28"/>
      <c r="C4461" s="27"/>
      <c r="D4461" s="27" t="str">
        <f>"""NAV Direct"",""CRONUS JetCorp USA"",""21"",""1"",""399864"""</f>
        <v>"NAV Direct","CRONUS JetCorp USA","21","1","399864"</v>
      </c>
      <c r="E4461" s="31">
        <f t="shared" si="1351"/>
        <v>0</v>
      </c>
      <c r="F4461" s="31"/>
      <c r="G4461" s="31"/>
      <c r="H4461" s="31"/>
      <c r="I4461" s="56"/>
      <c r="J4461" s="56"/>
      <c r="K4461" s="82" t="str">
        <f t="shared" si="1352"/>
        <v>Invoice</v>
      </c>
      <c r="L4461" s="83" t="str">
        <f>"SI_112240"</f>
        <v>SI_112240</v>
      </c>
      <c r="M4461" s="84">
        <v>42278</v>
      </c>
      <c r="N4461" s="85">
        <f t="shared" si="1353"/>
        <v>1534</v>
      </c>
      <c r="O4461" s="86">
        <f t="shared" si="1354"/>
        <v>8583.94</v>
      </c>
      <c r="P4461" s="86">
        <f t="shared" si="1355"/>
        <v>0</v>
      </c>
      <c r="Q4461" s="86">
        <f t="shared" si="1356"/>
        <v>0</v>
      </c>
      <c r="R4461" s="86">
        <f t="shared" si="1357"/>
        <v>0</v>
      </c>
      <c r="S4461" s="86">
        <f t="shared" si="1358"/>
        <v>0</v>
      </c>
      <c r="T4461" s="86">
        <f t="shared" si="1359"/>
        <v>8583.94</v>
      </c>
      <c r="U4461" s="87">
        <v>8583.94</v>
      </c>
    </row>
    <row r="4462" spans="1:21" s="30" customFormat="1" ht="24.6" hidden="1" outlineLevel="1" x14ac:dyDescent="0.55000000000000004">
      <c r="A4462" s="27" t="s">
        <v>327</v>
      </c>
      <c r="B4462" s="28"/>
      <c r="C4462" s="27"/>
      <c r="D4462" s="27" t="str">
        <f>"""NAV Direct"",""CRONUS JetCorp USA"",""21"",""1"",""400496"""</f>
        <v>"NAV Direct","CRONUS JetCorp USA","21","1","400496"</v>
      </c>
      <c r="E4462" s="31" t="str">
        <f t="shared" si="1351"/>
        <v>C100126</v>
      </c>
      <c r="F4462" s="31"/>
      <c r="G4462" s="31"/>
      <c r="H4462" s="31"/>
      <c r="I4462" s="56"/>
      <c r="J4462" s="56"/>
      <c r="K4462" s="82" t="str">
        <f t="shared" si="1352"/>
        <v>Invoice</v>
      </c>
      <c r="L4462" s="83" t="str">
        <f>"SI_112252"</f>
        <v>SI_112252</v>
      </c>
      <c r="M4462" s="84">
        <v>42307</v>
      </c>
      <c r="N4462" s="85">
        <f t="shared" si="1353"/>
        <v>1505</v>
      </c>
      <c r="O4462" s="86">
        <f t="shared" si="1354"/>
        <v>9844.0499999999993</v>
      </c>
      <c r="P4462" s="86">
        <f t="shared" si="1355"/>
        <v>0</v>
      </c>
      <c r="Q4462" s="86">
        <f t="shared" si="1356"/>
        <v>0</v>
      </c>
      <c r="R4462" s="86">
        <f t="shared" si="1357"/>
        <v>0</v>
      </c>
      <c r="S4462" s="86">
        <f t="shared" si="1358"/>
        <v>0</v>
      </c>
      <c r="T4462" s="86">
        <f t="shared" si="1359"/>
        <v>9844.0499999999993</v>
      </c>
      <c r="U4462" s="87">
        <v>9844.0499999999993</v>
      </c>
    </row>
    <row r="4463" spans="1:21" s="30" customFormat="1" ht="24.6" hidden="1" outlineLevel="1" x14ac:dyDescent="0.55000000000000004">
      <c r="A4463" s="27" t="s">
        <v>327</v>
      </c>
      <c r="B4463" s="28"/>
      <c r="C4463" s="27"/>
      <c r="D4463" s="27" t="str">
        <f>"""NAV Direct"",""CRONUS JetCorp USA"",""21"",""1"",""400923"""</f>
        <v>"NAV Direct","CRONUS JetCorp USA","21","1","400923"</v>
      </c>
      <c r="E4463" s="31">
        <f t="shared" si="1351"/>
        <v>0</v>
      </c>
      <c r="F4463" s="31"/>
      <c r="G4463" s="31"/>
      <c r="H4463" s="31"/>
      <c r="I4463" s="56"/>
      <c r="J4463" s="56"/>
      <c r="K4463" s="82" t="str">
        <f t="shared" si="1352"/>
        <v>Invoice</v>
      </c>
      <c r="L4463" s="83" t="str">
        <f>"SI_112261"</f>
        <v>SI_112261</v>
      </c>
      <c r="M4463" s="84">
        <v>42334</v>
      </c>
      <c r="N4463" s="85">
        <f t="shared" si="1353"/>
        <v>1478</v>
      </c>
      <c r="O4463" s="86">
        <f t="shared" si="1354"/>
        <v>8678.9700000000012</v>
      </c>
      <c r="P4463" s="86">
        <f t="shared" si="1355"/>
        <v>0</v>
      </c>
      <c r="Q4463" s="86">
        <f t="shared" si="1356"/>
        <v>0</v>
      </c>
      <c r="R4463" s="86">
        <f t="shared" si="1357"/>
        <v>0</v>
      </c>
      <c r="S4463" s="86">
        <f t="shared" si="1358"/>
        <v>0</v>
      </c>
      <c r="T4463" s="86">
        <f t="shared" si="1359"/>
        <v>8678.9700000000012</v>
      </c>
      <c r="U4463" s="87">
        <v>8678.9700000000012</v>
      </c>
    </row>
    <row r="4464" spans="1:21" s="30" customFormat="1" ht="24.6" hidden="1" outlineLevel="1" x14ac:dyDescent="0.55000000000000004">
      <c r="A4464" s="27" t="s">
        <v>327</v>
      </c>
      <c r="B4464" s="28"/>
      <c r="C4464" s="27"/>
      <c r="D4464" s="27" t="str">
        <f>"""NAV Direct"",""CRONUS JetCorp USA"",""21"",""1"",""401013"""</f>
        <v>"NAV Direct","CRONUS JetCorp USA","21","1","401013"</v>
      </c>
      <c r="E4464" s="31" t="str">
        <f t="shared" si="1351"/>
        <v>C100126</v>
      </c>
      <c r="F4464" s="31"/>
      <c r="G4464" s="31"/>
      <c r="H4464" s="31"/>
      <c r="I4464" s="56"/>
      <c r="J4464" s="56"/>
      <c r="K4464" s="82" t="str">
        <f t="shared" si="1352"/>
        <v>Invoice</v>
      </c>
      <c r="L4464" s="83" t="str">
        <f>"SI_112263"</f>
        <v>SI_112263</v>
      </c>
      <c r="M4464" s="84">
        <v>42337</v>
      </c>
      <c r="N4464" s="85">
        <f t="shared" si="1353"/>
        <v>1475</v>
      </c>
      <c r="O4464" s="86">
        <f t="shared" si="1354"/>
        <v>8859.82</v>
      </c>
      <c r="P4464" s="86">
        <f t="shared" si="1355"/>
        <v>0</v>
      </c>
      <c r="Q4464" s="86">
        <f t="shared" si="1356"/>
        <v>0</v>
      </c>
      <c r="R4464" s="86">
        <f t="shared" si="1357"/>
        <v>0</v>
      </c>
      <c r="S4464" s="86">
        <f t="shared" si="1358"/>
        <v>0</v>
      </c>
      <c r="T4464" s="86">
        <f t="shared" si="1359"/>
        <v>8859.82</v>
      </c>
      <c r="U4464" s="87">
        <v>8859.82</v>
      </c>
    </row>
    <row r="4465" spans="1:22" s="30" customFormat="1" ht="24.6" hidden="1" outlineLevel="1" x14ac:dyDescent="0.55000000000000004">
      <c r="A4465" s="27" t="s">
        <v>327</v>
      </c>
      <c r="B4465" s="28"/>
      <c r="C4465" s="27"/>
      <c r="D4465" s="27" t="str">
        <f>"""NAV Direct"",""CRONUS JetCorp USA"",""21"",""1"",""401363"""</f>
        <v>"NAV Direct","CRONUS JetCorp USA","21","1","401363"</v>
      </c>
      <c r="E4465" s="31">
        <f t="shared" si="1351"/>
        <v>0</v>
      </c>
      <c r="F4465" s="31"/>
      <c r="G4465" s="31"/>
      <c r="H4465" s="31"/>
      <c r="I4465" s="56"/>
      <c r="J4465" s="56"/>
      <c r="K4465" s="82" t="str">
        <f t="shared" si="1352"/>
        <v>Invoice</v>
      </c>
      <c r="L4465" s="83" t="str">
        <f>"SI_112271"</f>
        <v>SI_112271</v>
      </c>
      <c r="M4465" s="84">
        <v>42358</v>
      </c>
      <c r="N4465" s="85">
        <f t="shared" si="1353"/>
        <v>1454</v>
      </c>
      <c r="O4465" s="86">
        <f t="shared" si="1354"/>
        <v>6653.89</v>
      </c>
      <c r="P4465" s="86">
        <f t="shared" si="1355"/>
        <v>0</v>
      </c>
      <c r="Q4465" s="86">
        <f t="shared" si="1356"/>
        <v>0</v>
      </c>
      <c r="R4465" s="86">
        <f t="shared" si="1357"/>
        <v>0</v>
      </c>
      <c r="S4465" s="86">
        <f t="shared" si="1358"/>
        <v>0</v>
      </c>
      <c r="T4465" s="86">
        <f t="shared" si="1359"/>
        <v>6653.89</v>
      </c>
      <c r="U4465" s="87">
        <v>6653.89</v>
      </c>
    </row>
    <row r="4466" spans="1:22" s="30" customFormat="1" ht="24.6" hidden="1" outlineLevel="1" x14ac:dyDescent="0.55000000000000004">
      <c r="A4466" s="27" t="s">
        <v>327</v>
      </c>
      <c r="B4466" s="28"/>
      <c r="C4466" s="27"/>
      <c r="D4466" s="27" t="str">
        <f>"""NAV Direct"",""CRONUS JetCorp USA"",""21"",""1"",""438741"""</f>
        <v>"NAV Direct","CRONUS JetCorp USA","21","1","438741"</v>
      </c>
      <c r="E4466" s="31" t="str">
        <f t="shared" si="1351"/>
        <v>C100126</v>
      </c>
      <c r="F4466" s="31"/>
      <c r="G4466" s="31"/>
      <c r="H4466" s="31"/>
      <c r="I4466" s="56"/>
      <c r="J4466" s="56"/>
      <c r="K4466" s="82" t="str">
        <f>"Credit Memo"</f>
        <v>Credit Memo</v>
      </c>
      <c r="L4466" s="83" t="str">
        <f>"SC_100833"</f>
        <v>SC_100833</v>
      </c>
      <c r="M4466" s="84">
        <v>42571</v>
      </c>
      <c r="N4466" s="85">
        <f t="shared" si="1353"/>
        <v>1241</v>
      </c>
      <c r="O4466" s="86">
        <f t="shared" si="1354"/>
        <v>-92.84</v>
      </c>
      <c r="P4466" s="86">
        <f t="shared" si="1355"/>
        <v>0</v>
      </c>
      <c r="Q4466" s="86">
        <f t="shared" si="1356"/>
        <v>0</v>
      </c>
      <c r="R4466" s="86">
        <f t="shared" si="1357"/>
        <v>0</v>
      </c>
      <c r="S4466" s="86">
        <f t="shared" si="1358"/>
        <v>0</v>
      </c>
      <c r="T4466" s="86">
        <f t="shared" si="1359"/>
        <v>-92.84</v>
      </c>
      <c r="U4466" s="87">
        <v>-92.84</v>
      </c>
    </row>
    <row r="4467" spans="1:22" s="30" customFormat="1" ht="24.6" hidden="1" outlineLevel="1" x14ac:dyDescent="0.55000000000000004">
      <c r="A4467" s="27" t="s">
        <v>327</v>
      </c>
      <c r="B4467" s="28"/>
      <c r="C4467" s="27"/>
      <c r="D4467" s="27" t="str">
        <f>"""NAV Direct"",""CRONUS JetCorp USA"",""21"",""1"",""439278"""</f>
        <v>"NAV Direct","CRONUS JetCorp USA","21","1","439278"</v>
      </c>
      <c r="E4467" s="31">
        <f t="shared" si="1351"/>
        <v>0</v>
      </c>
      <c r="F4467" s="31"/>
      <c r="G4467" s="31"/>
      <c r="H4467" s="31"/>
      <c r="I4467" s="56"/>
      <c r="J4467" s="56"/>
      <c r="K4467" s="82" t="str">
        <f>"Credit Memo"</f>
        <v>Credit Memo</v>
      </c>
      <c r="L4467" s="83" t="str">
        <f>"SC_100859"</f>
        <v>SC_100859</v>
      </c>
      <c r="M4467" s="84">
        <v>43471</v>
      </c>
      <c r="N4467" s="85">
        <f t="shared" si="1353"/>
        <v>341</v>
      </c>
      <c r="O4467" s="86">
        <f t="shared" si="1354"/>
        <v>-108.56</v>
      </c>
      <c r="P4467" s="86">
        <f t="shared" si="1355"/>
        <v>0</v>
      </c>
      <c r="Q4467" s="86">
        <f t="shared" si="1356"/>
        <v>0</v>
      </c>
      <c r="R4467" s="86">
        <f t="shared" si="1357"/>
        <v>0</v>
      </c>
      <c r="S4467" s="86">
        <f t="shared" si="1358"/>
        <v>0</v>
      </c>
      <c r="T4467" s="86">
        <f t="shared" si="1359"/>
        <v>-108.56</v>
      </c>
      <c r="U4467" s="87">
        <v>-108.56</v>
      </c>
    </row>
    <row r="4468" spans="1:22" s="30" customFormat="1" ht="24.6" hidden="1" outlineLevel="1" x14ac:dyDescent="0.55000000000000004">
      <c r="A4468" s="27" t="s">
        <v>327</v>
      </c>
      <c r="B4468" s="28"/>
      <c r="C4468" s="27"/>
      <c r="D4468" s="27" t="str">
        <f>"""NAV Direct"",""CRONUS JetCorp USA"",""21"",""1"",""439297"""</f>
        <v>"NAV Direct","CRONUS JetCorp USA","21","1","439297"</v>
      </c>
      <c r="E4468" s="31" t="str">
        <f t="shared" si="1351"/>
        <v>C100126</v>
      </c>
      <c r="F4468" s="31"/>
      <c r="G4468" s="31"/>
      <c r="H4468" s="31"/>
      <c r="I4468" s="56"/>
      <c r="J4468" s="56"/>
      <c r="K4468" s="82" t="str">
        <f>"Credit Memo"</f>
        <v>Credit Memo</v>
      </c>
      <c r="L4468" s="83" t="str">
        <f>"SC_100860"</f>
        <v>SC_100860</v>
      </c>
      <c r="M4468" s="84">
        <v>43500</v>
      </c>
      <c r="N4468" s="85">
        <f t="shared" si="1353"/>
        <v>312</v>
      </c>
      <c r="O4468" s="86">
        <f t="shared" si="1354"/>
        <v>-115.77</v>
      </c>
      <c r="P4468" s="86">
        <f t="shared" si="1355"/>
        <v>0</v>
      </c>
      <c r="Q4468" s="86">
        <f t="shared" si="1356"/>
        <v>0</v>
      </c>
      <c r="R4468" s="86">
        <f t="shared" si="1357"/>
        <v>0</v>
      </c>
      <c r="S4468" s="86">
        <f t="shared" si="1358"/>
        <v>0</v>
      </c>
      <c r="T4468" s="86">
        <f t="shared" si="1359"/>
        <v>-115.77</v>
      </c>
      <c r="U4468" s="87">
        <v>-115.77</v>
      </c>
    </row>
    <row r="4469" spans="1:22" s="30" customFormat="1" ht="24.6" hidden="1" outlineLevel="1" x14ac:dyDescent="0.55000000000000004">
      <c r="A4469" s="27" t="s">
        <v>327</v>
      </c>
      <c r="B4469" s="28"/>
      <c r="C4469" s="27"/>
      <c r="D4469" s="27" t="str">
        <f>"""NAV Direct"",""CRONUS JetCorp USA"",""21"",""1"",""439538"""</f>
        <v>"NAV Direct","CRONUS JetCorp USA","21","1","439538"</v>
      </c>
      <c r="E4469" s="31">
        <f t="shared" si="1351"/>
        <v>0</v>
      </c>
      <c r="F4469" s="31"/>
      <c r="G4469" s="31"/>
      <c r="H4469" s="31"/>
      <c r="I4469" s="56"/>
      <c r="J4469" s="56"/>
      <c r="K4469" s="82" t="str">
        <f>"Credit Memo"</f>
        <v>Credit Memo</v>
      </c>
      <c r="L4469" s="83" t="str">
        <f>"SC_100873"</f>
        <v>SC_100873</v>
      </c>
      <c r="M4469" s="84">
        <v>43721</v>
      </c>
      <c r="N4469" s="85">
        <f t="shared" si="1353"/>
        <v>91</v>
      </c>
      <c r="O4469" s="86">
        <f t="shared" si="1354"/>
        <v>-119.74000000000001</v>
      </c>
      <c r="P4469" s="86">
        <f t="shared" si="1355"/>
        <v>0</v>
      </c>
      <c r="Q4469" s="86">
        <f t="shared" si="1356"/>
        <v>0</v>
      </c>
      <c r="R4469" s="86">
        <f t="shared" si="1357"/>
        <v>0</v>
      </c>
      <c r="S4469" s="86">
        <f t="shared" si="1358"/>
        <v>0</v>
      </c>
      <c r="T4469" s="86">
        <f t="shared" si="1359"/>
        <v>-119.74000000000001</v>
      </c>
      <c r="U4469" s="87">
        <v>-119.74000000000001</v>
      </c>
    </row>
    <row r="4470" spans="1:22" s="30" customFormat="1" ht="24.6" hidden="1" outlineLevel="1" x14ac:dyDescent="0.55000000000000004">
      <c r="A4470" s="27" t="s">
        <v>327</v>
      </c>
      <c r="B4470" s="28"/>
      <c r="C4470" s="27"/>
      <c r="D4470" s="27" t="str">
        <f>"""NAV Direct"",""CRONUS JetCorp USA"",""21"",""1"",""439881"""</f>
        <v>"NAV Direct","CRONUS JetCorp USA","21","1","439881"</v>
      </c>
      <c r="E4470" s="31" t="str">
        <f t="shared" si="1351"/>
        <v>C100126</v>
      </c>
      <c r="F4470" s="31"/>
      <c r="G4470" s="31"/>
      <c r="H4470" s="31"/>
      <c r="I4470" s="56"/>
      <c r="J4470" s="56"/>
      <c r="K4470" s="82" t="str">
        <f>"Credit Memo"</f>
        <v>Credit Memo</v>
      </c>
      <c r="L4470" s="83" t="str">
        <f>"SC_100890"</f>
        <v>SC_100890</v>
      </c>
      <c r="M4470" s="84">
        <v>42099</v>
      </c>
      <c r="N4470" s="85">
        <f t="shared" si="1353"/>
        <v>1713</v>
      </c>
      <c r="O4470" s="86">
        <f t="shared" si="1354"/>
        <v>-87.18</v>
      </c>
      <c r="P4470" s="86">
        <f t="shared" si="1355"/>
        <v>0</v>
      </c>
      <c r="Q4470" s="86">
        <f t="shared" si="1356"/>
        <v>0</v>
      </c>
      <c r="R4470" s="86">
        <f t="shared" si="1357"/>
        <v>0</v>
      </c>
      <c r="S4470" s="86">
        <f t="shared" si="1358"/>
        <v>0</v>
      </c>
      <c r="T4470" s="86">
        <f t="shared" si="1359"/>
        <v>-87.18</v>
      </c>
      <c r="U4470" s="87">
        <v>-87.18</v>
      </c>
    </row>
    <row r="4471" spans="1:22" s="22" customFormat="1" ht="20.399999999999999" collapsed="1" x14ac:dyDescent="0.45">
      <c r="A4471" s="12" t="s">
        <v>327</v>
      </c>
      <c r="B4471" s="19"/>
      <c r="C4471" s="12"/>
      <c r="D4471" s="12"/>
      <c r="E4471" s="23"/>
      <c r="F4471" s="23"/>
      <c r="G4471" s="23"/>
      <c r="H4471" s="23"/>
      <c r="I4471" s="49"/>
      <c r="J4471" s="88"/>
      <c r="K4471" s="88"/>
      <c r="L4471" s="89"/>
      <c r="M4471" s="89"/>
      <c r="N4471" s="89"/>
      <c r="O4471" s="89"/>
      <c r="P4471" s="89"/>
      <c r="Q4471" s="90"/>
      <c r="R4471" s="90"/>
      <c r="S4471" s="91"/>
      <c r="T4471" s="92"/>
      <c r="U4471" s="92"/>
    </row>
    <row r="4472" spans="1:22" s="22" customFormat="1" ht="20.399999999999999" x14ac:dyDescent="0.45">
      <c r="A4472" s="12" t="s">
        <v>327</v>
      </c>
      <c r="B4472" s="19"/>
      <c r="C4472" s="12"/>
      <c r="D4472" s="12"/>
      <c r="E4472" s="23"/>
      <c r="F4472" s="23"/>
      <c r="G4472" s="23"/>
      <c r="H4472" s="23"/>
      <c r="I4472" s="49"/>
      <c r="J4472" s="88"/>
      <c r="K4472" s="88"/>
      <c r="L4472" s="89"/>
      <c r="M4472" s="89"/>
      <c r="N4472" s="89"/>
      <c r="O4472" s="89"/>
      <c r="P4472" s="89"/>
      <c r="Q4472" s="90"/>
      <c r="R4472" s="90"/>
      <c r="S4472" s="91"/>
      <c r="T4472" s="92"/>
      <c r="U4472" s="92"/>
    </row>
    <row r="4473" spans="1:22" s="26" customFormat="1" ht="24.6" x14ac:dyDescent="0.55000000000000004">
      <c r="A4473" s="27" t="s">
        <v>327</v>
      </c>
      <c r="B4473" s="28"/>
      <c r="C4473" s="27" t="str">
        <f>"""NAV Direct"",""CRONUS JetCorp USA"",""18"",""1"",""C100127"""</f>
        <v>"NAV Direct","CRONUS JetCorp USA","18","1","C100127"</v>
      </c>
      <c r="D4473" s="27"/>
      <c r="E4473" s="28" t="str">
        <f>H4473</f>
        <v>C100127</v>
      </c>
      <c r="F4473" s="28"/>
      <c r="G4473" s="28"/>
      <c r="H4473" s="28" t="str">
        <f>"C100127"</f>
        <v>C100127</v>
      </c>
      <c r="I4473" s="116" t="str">
        <f>"C100127  -  Roundron"</f>
        <v>C100127  -  Roundron</v>
      </c>
      <c r="J4473" s="117" t="str">
        <f>""</f>
        <v/>
      </c>
      <c r="K4473" s="118"/>
      <c r="L4473" s="119">
        <f>SUBTOTAL(3,L4474:L4520)</f>
        <v>43</v>
      </c>
      <c r="M4473" s="118"/>
      <c r="N4473" s="118"/>
      <c r="O4473" s="120">
        <f t="shared" ref="O4473:T4473" si="1360">SUBTOTAL(9,O4474:O4520)</f>
        <v>344402.84</v>
      </c>
      <c r="P4473" s="120">
        <f t="shared" si="1360"/>
        <v>0</v>
      </c>
      <c r="Q4473" s="120">
        <f t="shared" si="1360"/>
        <v>23343.91</v>
      </c>
      <c r="R4473" s="120">
        <f t="shared" si="1360"/>
        <v>-126.1</v>
      </c>
      <c r="S4473" s="120">
        <f t="shared" si="1360"/>
        <v>11477.97</v>
      </c>
      <c r="T4473" s="120">
        <f t="shared" si="1360"/>
        <v>309707.06</v>
      </c>
      <c r="U4473" s="81"/>
    </row>
    <row r="4474" spans="1:22" s="26" customFormat="1" ht="24.6" x14ac:dyDescent="0.55000000000000004">
      <c r="A4474" s="27" t="s">
        <v>327</v>
      </c>
      <c r="B4474" s="28"/>
      <c r="C4474" s="27" t="str">
        <f>C4473</f>
        <v>"NAV Direct","CRONUS JetCorp USA","18","1","C100127"</v>
      </c>
      <c r="D4474" s="27"/>
      <c r="E4474" s="28" t="str">
        <f>E4473</f>
        <v>C100127</v>
      </c>
      <c r="F4474" s="28"/>
      <c r="G4474" s="28"/>
      <c r="H4474" s="28"/>
      <c r="I4474" s="121" t="str">
        <f>"Contact: Narisa Kensington"</f>
        <v>Contact: Narisa Kensington</v>
      </c>
      <c r="J4474" s="121"/>
      <c r="K4474" s="122"/>
      <c r="L4474" s="123"/>
      <c r="M4474" s="123"/>
      <c r="N4474" s="124"/>
      <c r="O4474" s="124"/>
      <c r="P4474" s="123"/>
      <c r="Q4474" s="125"/>
      <c r="R4474" s="126"/>
      <c r="S4474" s="126"/>
      <c r="T4474" s="125"/>
      <c r="U4474" s="81"/>
    </row>
    <row r="4475" spans="1:22" s="26" customFormat="1" ht="24.6" x14ac:dyDescent="0.55000000000000004">
      <c r="A4475" s="27" t="s">
        <v>327</v>
      </c>
      <c r="B4475" s="28"/>
      <c r="C4475" s="27" t="str">
        <f>C4474</f>
        <v>"NAV Direct","CRONUS JetCorp USA","18","1","C100127"</v>
      </c>
      <c r="D4475" s="27"/>
      <c r="E4475" s="28" t="str">
        <f>E4474</f>
        <v>C100127</v>
      </c>
      <c r="F4475" s="28"/>
      <c r="G4475" s="28"/>
      <c r="H4475" s="28"/>
      <c r="I4475" s="121" t="str">
        <f>"Roundron@Cronus.com"</f>
        <v>Roundron@Cronus.com</v>
      </c>
      <c r="J4475" s="121"/>
      <c r="K4475" s="122"/>
      <c r="L4475" s="124"/>
      <c r="M4475" s="124"/>
      <c r="N4475" s="124"/>
      <c r="O4475" s="124"/>
      <c r="P4475" s="123"/>
      <c r="Q4475" s="125"/>
      <c r="R4475" s="126"/>
      <c r="S4475" s="126"/>
      <c r="T4475" s="125"/>
      <c r="U4475" s="81"/>
    </row>
    <row r="4476" spans="1:22" ht="12.75" hidden="1" customHeight="1" outlineLevel="1" x14ac:dyDescent="0.45">
      <c r="A4476" s="12" t="s">
        <v>328</v>
      </c>
      <c r="B4476" s="19"/>
      <c r="E4476" s="19"/>
      <c r="F4476" s="19"/>
      <c r="G4476" s="19"/>
      <c r="H4476" s="19"/>
      <c r="I4476" s="61"/>
      <c r="J4476" s="61"/>
      <c r="K4476" s="61"/>
      <c r="L4476" s="61"/>
      <c r="M4476" s="61"/>
      <c r="N4476" s="61"/>
      <c r="O4476" s="61"/>
      <c r="P4476" s="61"/>
      <c r="Q4476" s="61"/>
      <c r="R4476" s="61"/>
      <c r="S4476" s="61"/>
      <c r="T4476" s="61"/>
      <c r="U4476" s="61"/>
      <c r="V4476" s="21"/>
    </row>
    <row r="4477" spans="1:22" s="30" customFormat="1" ht="24.6" hidden="1" outlineLevel="1" x14ac:dyDescent="0.55000000000000004">
      <c r="A4477" s="27" t="s">
        <v>327</v>
      </c>
      <c r="B4477" s="28"/>
      <c r="C4477" s="27"/>
      <c r="D4477" s="27" t="str">
        <f>"""NAV Direct"",""CRONUS JetCorp USA"",""21"",""1"",""131421"""</f>
        <v>"NAV Direct","CRONUS JetCorp USA","21","1","131421"</v>
      </c>
      <c r="E4477" s="31" t="str">
        <f t="shared" ref="E4477:E4519" si="1361">E4475</f>
        <v>C100127</v>
      </c>
      <c r="F4477" s="31"/>
      <c r="G4477" s="31"/>
      <c r="H4477" s="31"/>
      <c r="I4477" s="56"/>
      <c r="J4477" s="56"/>
      <c r="K4477" s="82" t="str">
        <f t="shared" ref="K4477:K4512" si="1362">"Invoice"</f>
        <v>Invoice</v>
      </c>
      <c r="L4477" s="83" t="str">
        <f>"SI_107038"</f>
        <v>SI_107038</v>
      </c>
      <c r="M4477" s="84">
        <v>42339</v>
      </c>
      <c r="N4477" s="85">
        <f t="shared" ref="N4477:N4519" si="1363">StartDate-$M4477+1</f>
        <v>1473</v>
      </c>
      <c r="O4477" s="86">
        <f t="shared" ref="O4477:O4519" si="1364">SUM(P4477:T4477)</f>
        <v>8859.74</v>
      </c>
      <c r="P4477" s="86">
        <f t="shared" ref="P4477:P4519" si="1365">IF($M4477&gt;=$P$18,U4477,0)</f>
        <v>0</v>
      </c>
      <c r="Q4477" s="86">
        <f t="shared" ref="Q4477:Q4519" si="1366">IF(AND($M4477&gt;=$Q$16,$M4477&lt;=$Q$18),U4477,0)</f>
        <v>0</v>
      </c>
      <c r="R4477" s="86">
        <f t="shared" ref="R4477:R4519" si="1367">IF(AND($M4477&gt;=$R$16,$M4477&lt;=$R$18),U4477,0)</f>
        <v>0</v>
      </c>
      <c r="S4477" s="86">
        <f t="shared" ref="S4477:S4519" si="1368">IF(AND($M4477&gt;=$S$16,$M4477&lt;=$S$18),U4477,0)</f>
        <v>0</v>
      </c>
      <c r="T4477" s="86">
        <f t="shared" ref="T4477:T4519" si="1369">IF($M4477&lt;=$T$18,U4477,0)</f>
        <v>8859.74</v>
      </c>
      <c r="U4477" s="87">
        <v>8859.74</v>
      </c>
    </row>
    <row r="4478" spans="1:22" s="30" customFormat="1" ht="24.6" hidden="1" outlineLevel="1" x14ac:dyDescent="0.55000000000000004">
      <c r="A4478" s="27" t="s">
        <v>327</v>
      </c>
      <c r="B4478" s="28"/>
      <c r="C4478" s="27"/>
      <c r="D4478" s="27" t="str">
        <f>"""NAV Direct"",""CRONUS JetCorp USA"",""21"",""1"",""131482"""</f>
        <v>"NAV Direct","CRONUS JetCorp USA","21","1","131482"</v>
      </c>
      <c r="E4478" s="31">
        <f t="shared" si="1361"/>
        <v>0</v>
      </c>
      <c r="F4478" s="31"/>
      <c r="G4478" s="31"/>
      <c r="H4478" s="31"/>
      <c r="I4478" s="56"/>
      <c r="J4478" s="56"/>
      <c r="K4478" s="82" t="str">
        <f t="shared" si="1362"/>
        <v>Invoice</v>
      </c>
      <c r="L4478" s="83" t="str">
        <f>"SI_107039"</f>
        <v>SI_107039</v>
      </c>
      <c r="M4478" s="84">
        <v>42342</v>
      </c>
      <c r="N4478" s="85">
        <f t="shared" si="1363"/>
        <v>1470</v>
      </c>
      <c r="O4478" s="86">
        <f t="shared" si="1364"/>
        <v>8769.3799999999992</v>
      </c>
      <c r="P4478" s="86">
        <f t="shared" si="1365"/>
        <v>0</v>
      </c>
      <c r="Q4478" s="86">
        <f t="shared" si="1366"/>
        <v>0</v>
      </c>
      <c r="R4478" s="86">
        <f t="shared" si="1367"/>
        <v>0</v>
      </c>
      <c r="S4478" s="86">
        <f t="shared" si="1368"/>
        <v>0</v>
      </c>
      <c r="T4478" s="86">
        <f t="shared" si="1369"/>
        <v>8769.3799999999992</v>
      </c>
      <c r="U4478" s="87">
        <v>8769.3799999999992</v>
      </c>
    </row>
    <row r="4479" spans="1:22" s="30" customFormat="1" ht="24.6" hidden="1" outlineLevel="1" x14ac:dyDescent="0.55000000000000004">
      <c r="A4479" s="27" t="s">
        <v>327</v>
      </c>
      <c r="B4479" s="28"/>
      <c r="C4479" s="27"/>
      <c r="D4479" s="27" t="str">
        <f>"""NAV Direct"",""CRONUS JetCorp USA"",""21"",""1"",""131987"""</f>
        <v>"NAV Direct","CRONUS JetCorp USA","21","1","131987"</v>
      </c>
      <c r="E4479" s="31" t="str">
        <f t="shared" si="1361"/>
        <v>C100127</v>
      </c>
      <c r="F4479" s="31"/>
      <c r="G4479" s="31"/>
      <c r="H4479" s="31"/>
      <c r="I4479" s="56"/>
      <c r="J4479" s="56"/>
      <c r="K4479" s="82" t="str">
        <f t="shared" si="1362"/>
        <v>Invoice</v>
      </c>
      <c r="L4479" s="83" t="str">
        <f>"SI_107048"</f>
        <v>SI_107048</v>
      </c>
      <c r="M4479" s="84">
        <v>42367</v>
      </c>
      <c r="N4479" s="85">
        <f t="shared" si="1363"/>
        <v>1445</v>
      </c>
      <c r="O4479" s="86">
        <f t="shared" si="1364"/>
        <v>6870.79</v>
      </c>
      <c r="P4479" s="86">
        <f t="shared" si="1365"/>
        <v>0</v>
      </c>
      <c r="Q4479" s="86">
        <f t="shared" si="1366"/>
        <v>0</v>
      </c>
      <c r="R4479" s="86">
        <f t="shared" si="1367"/>
        <v>0</v>
      </c>
      <c r="S4479" s="86">
        <f t="shared" si="1368"/>
        <v>0</v>
      </c>
      <c r="T4479" s="86">
        <f t="shared" si="1369"/>
        <v>6870.79</v>
      </c>
      <c r="U4479" s="87">
        <v>6870.79</v>
      </c>
    </row>
    <row r="4480" spans="1:22" s="30" customFormat="1" ht="24.6" hidden="1" outlineLevel="1" x14ac:dyDescent="0.55000000000000004">
      <c r="A4480" s="27" t="s">
        <v>327</v>
      </c>
      <c r="B4480" s="28"/>
      <c r="C4480" s="27"/>
      <c r="D4480" s="27" t="str">
        <f>"""NAV Direct"",""CRONUS JetCorp USA"",""21"",""1"",""384176"""</f>
        <v>"NAV Direct","CRONUS JetCorp USA","21","1","384176"</v>
      </c>
      <c r="E4480" s="31">
        <f t="shared" si="1361"/>
        <v>0</v>
      </c>
      <c r="F4480" s="31"/>
      <c r="G4480" s="31"/>
      <c r="H4480" s="31"/>
      <c r="I4480" s="56"/>
      <c r="J4480" s="56"/>
      <c r="K4480" s="82" t="str">
        <f t="shared" si="1362"/>
        <v>Invoice</v>
      </c>
      <c r="L4480" s="83" t="str">
        <f>"SI_111928"</f>
        <v>SI_111928</v>
      </c>
      <c r="M4480" s="84">
        <v>42429</v>
      </c>
      <c r="N4480" s="85">
        <f t="shared" si="1363"/>
        <v>1383</v>
      </c>
      <c r="O4480" s="86">
        <f t="shared" si="1364"/>
        <v>9371.74</v>
      </c>
      <c r="P4480" s="86">
        <f t="shared" si="1365"/>
        <v>0</v>
      </c>
      <c r="Q4480" s="86">
        <f t="shared" si="1366"/>
        <v>0</v>
      </c>
      <c r="R4480" s="86">
        <f t="shared" si="1367"/>
        <v>0</v>
      </c>
      <c r="S4480" s="86">
        <f t="shared" si="1368"/>
        <v>0</v>
      </c>
      <c r="T4480" s="86">
        <f t="shared" si="1369"/>
        <v>9371.74</v>
      </c>
      <c r="U4480" s="87">
        <v>9371.74</v>
      </c>
    </row>
    <row r="4481" spans="1:21" s="30" customFormat="1" ht="24.6" hidden="1" outlineLevel="1" x14ac:dyDescent="0.55000000000000004">
      <c r="A4481" s="27" t="s">
        <v>327</v>
      </c>
      <c r="B4481" s="28"/>
      <c r="C4481" s="27"/>
      <c r="D4481" s="27" t="str">
        <f>"""NAV Direct"",""CRONUS JetCorp USA"",""21"",""1"",""384867"""</f>
        <v>"NAV Direct","CRONUS JetCorp USA","21","1","384867"</v>
      </c>
      <c r="E4481" s="31" t="str">
        <f t="shared" si="1361"/>
        <v>C100127</v>
      </c>
      <c r="F4481" s="31"/>
      <c r="G4481" s="31"/>
      <c r="H4481" s="31"/>
      <c r="I4481" s="56"/>
      <c r="J4481" s="56"/>
      <c r="K4481" s="82" t="str">
        <f t="shared" si="1362"/>
        <v>Invoice</v>
      </c>
      <c r="L4481" s="83" t="str">
        <f>"SI_111941"</f>
        <v>SI_111941</v>
      </c>
      <c r="M4481" s="84">
        <v>42492</v>
      </c>
      <c r="N4481" s="85">
        <f t="shared" si="1363"/>
        <v>1320</v>
      </c>
      <c r="O4481" s="86">
        <f t="shared" si="1364"/>
        <v>9471.4699999999993</v>
      </c>
      <c r="P4481" s="86">
        <f t="shared" si="1365"/>
        <v>0</v>
      </c>
      <c r="Q4481" s="86">
        <f t="shared" si="1366"/>
        <v>0</v>
      </c>
      <c r="R4481" s="86">
        <f t="shared" si="1367"/>
        <v>0</v>
      </c>
      <c r="S4481" s="86">
        <f t="shared" si="1368"/>
        <v>0</v>
      </c>
      <c r="T4481" s="86">
        <f t="shared" si="1369"/>
        <v>9471.4699999999993</v>
      </c>
      <c r="U4481" s="87">
        <v>9471.4699999999993</v>
      </c>
    </row>
    <row r="4482" spans="1:21" s="30" customFormat="1" ht="24.6" hidden="1" outlineLevel="1" x14ac:dyDescent="0.55000000000000004">
      <c r="A4482" s="27" t="s">
        <v>327</v>
      </c>
      <c r="B4482" s="28"/>
      <c r="C4482" s="27"/>
      <c r="D4482" s="27" t="str">
        <f>"""NAV Direct"",""CRONUS JetCorp USA"",""21"",""1"",""386614"""</f>
        <v>"NAV Direct","CRONUS JetCorp USA","21","1","386614"</v>
      </c>
      <c r="E4482" s="31">
        <f t="shared" si="1361"/>
        <v>0</v>
      </c>
      <c r="F4482" s="31"/>
      <c r="G4482" s="31"/>
      <c r="H4482" s="31"/>
      <c r="I4482" s="56"/>
      <c r="J4482" s="56"/>
      <c r="K4482" s="82" t="str">
        <f t="shared" si="1362"/>
        <v>Invoice</v>
      </c>
      <c r="L4482" s="83" t="str">
        <f>"SI_111976"</f>
        <v>SI_111976</v>
      </c>
      <c r="M4482" s="84">
        <v>42663</v>
      </c>
      <c r="N4482" s="85">
        <f t="shared" si="1363"/>
        <v>1149</v>
      </c>
      <c r="O4482" s="86">
        <f t="shared" si="1364"/>
        <v>10032.719999999999</v>
      </c>
      <c r="P4482" s="86">
        <f t="shared" si="1365"/>
        <v>0</v>
      </c>
      <c r="Q4482" s="86">
        <f t="shared" si="1366"/>
        <v>0</v>
      </c>
      <c r="R4482" s="86">
        <f t="shared" si="1367"/>
        <v>0</v>
      </c>
      <c r="S4482" s="86">
        <f t="shared" si="1368"/>
        <v>0</v>
      </c>
      <c r="T4482" s="86">
        <f t="shared" si="1369"/>
        <v>10032.719999999999</v>
      </c>
      <c r="U4482" s="87">
        <v>10032.719999999999</v>
      </c>
    </row>
    <row r="4483" spans="1:21" s="30" customFormat="1" ht="24.6" hidden="1" outlineLevel="1" x14ac:dyDescent="0.55000000000000004">
      <c r="A4483" s="27" t="s">
        <v>327</v>
      </c>
      <c r="B4483" s="28"/>
      <c r="C4483" s="27"/>
      <c r="D4483" s="27" t="str">
        <f>"""NAV Direct"",""CRONUS JetCorp USA"",""21"",""1"",""386759"""</f>
        <v>"NAV Direct","CRONUS JetCorp USA","21","1","386759"</v>
      </c>
      <c r="E4483" s="31" t="str">
        <f t="shared" si="1361"/>
        <v>C100127</v>
      </c>
      <c r="F4483" s="31"/>
      <c r="G4483" s="31"/>
      <c r="H4483" s="31"/>
      <c r="I4483" s="56"/>
      <c r="J4483" s="56"/>
      <c r="K4483" s="82" t="str">
        <f t="shared" si="1362"/>
        <v>Invoice</v>
      </c>
      <c r="L4483" s="83" t="str">
        <f>"SI_111979"</f>
        <v>SI_111979</v>
      </c>
      <c r="M4483" s="84">
        <v>42677</v>
      </c>
      <c r="N4483" s="85">
        <f t="shared" si="1363"/>
        <v>1135</v>
      </c>
      <c r="O4483" s="86">
        <f t="shared" si="1364"/>
        <v>9930.32</v>
      </c>
      <c r="P4483" s="86">
        <f t="shared" si="1365"/>
        <v>0</v>
      </c>
      <c r="Q4483" s="86">
        <f t="shared" si="1366"/>
        <v>0</v>
      </c>
      <c r="R4483" s="86">
        <f t="shared" si="1367"/>
        <v>0</v>
      </c>
      <c r="S4483" s="86">
        <f t="shared" si="1368"/>
        <v>0</v>
      </c>
      <c r="T4483" s="86">
        <f t="shared" si="1369"/>
        <v>9930.32</v>
      </c>
      <c r="U4483" s="87">
        <v>9930.32</v>
      </c>
    </row>
    <row r="4484" spans="1:21" s="30" customFormat="1" ht="24.6" hidden="1" outlineLevel="1" x14ac:dyDescent="0.55000000000000004">
      <c r="A4484" s="27" t="s">
        <v>327</v>
      </c>
      <c r="B4484" s="28"/>
      <c r="C4484" s="27"/>
      <c r="D4484" s="27" t="str">
        <f>"""NAV Direct"",""CRONUS JetCorp USA"",""21"",""1"",""387844"""</f>
        <v>"NAV Direct","CRONUS JetCorp USA","21","1","387844"</v>
      </c>
      <c r="E4484" s="31">
        <f t="shared" si="1361"/>
        <v>0</v>
      </c>
      <c r="F4484" s="31"/>
      <c r="G4484" s="31"/>
      <c r="H4484" s="31"/>
      <c r="I4484" s="56"/>
      <c r="J4484" s="56"/>
      <c r="K4484" s="82" t="str">
        <f t="shared" si="1362"/>
        <v>Invoice</v>
      </c>
      <c r="L4484" s="83" t="str">
        <f>"SI_112001"</f>
        <v>SI_112001</v>
      </c>
      <c r="M4484" s="84">
        <v>42787</v>
      </c>
      <c r="N4484" s="85">
        <f t="shared" si="1363"/>
        <v>1025</v>
      </c>
      <c r="O4484" s="86">
        <f t="shared" si="1364"/>
        <v>11082.86</v>
      </c>
      <c r="P4484" s="86">
        <f t="shared" si="1365"/>
        <v>0</v>
      </c>
      <c r="Q4484" s="86">
        <f t="shared" si="1366"/>
        <v>0</v>
      </c>
      <c r="R4484" s="86">
        <f t="shared" si="1367"/>
        <v>0</v>
      </c>
      <c r="S4484" s="86">
        <f t="shared" si="1368"/>
        <v>0</v>
      </c>
      <c r="T4484" s="86">
        <f t="shared" si="1369"/>
        <v>11082.86</v>
      </c>
      <c r="U4484" s="87">
        <v>11082.86</v>
      </c>
    </row>
    <row r="4485" spans="1:21" s="30" customFormat="1" ht="24.6" hidden="1" outlineLevel="1" x14ac:dyDescent="0.55000000000000004">
      <c r="A4485" s="27" t="s">
        <v>327</v>
      </c>
      <c r="B4485" s="28"/>
      <c r="C4485" s="27"/>
      <c r="D4485" s="27" t="str">
        <f>"""NAV Direct"",""CRONUS JetCorp USA"",""21"",""1"",""388644"""</f>
        <v>"NAV Direct","CRONUS JetCorp USA","21","1","388644"</v>
      </c>
      <c r="E4485" s="31" t="str">
        <f t="shared" si="1361"/>
        <v>C100127</v>
      </c>
      <c r="F4485" s="31"/>
      <c r="G4485" s="31"/>
      <c r="H4485" s="31"/>
      <c r="I4485" s="56"/>
      <c r="J4485" s="56"/>
      <c r="K4485" s="82" t="str">
        <f t="shared" si="1362"/>
        <v>Invoice</v>
      </c>
      <c r="L4485" s="83" t="str">
        <f>"SI_112015"</f>
        <v>SI_112015</v>
      </c>
      <c r="M4485" s="84">
        <v>42859</v>
      </c>
      <c r="N4485" s="85">
        <f t="shared" si="1363"/>
        <v>953</v>
      </c>
      <c r="O4485" s="86">
        <f t="shared" si="1364"/>
        <v>11082.83</v>
      </c>
      <c r="P4485" s="86">
        <f t="shared" si="1365"/>
        <v>0</v>
      </c>
      <c r="Q4485" s="86">
        <f t="shared" si="1366"/>
        <v>0</v>
      </c>
      <c r="R4485" s="86">
        <f t="shared" si="1367"/>
        <v>0</v>
      </c>
      <c r="S4485" s="86">
        <f t="shared" si="1368"/>
        <v>0</v>
      </c>
      <c r="T4485" s="86">
        <f t="shared" si="1369"/>
        <v>11082.83</v>
      </c>
      <c r="U4485" s="87">
        <v>11082.83</v>
      </c>
    </row>
    <row r="4486" spans="1:21" s="30" customFormat="1" ht="24.6" hidden="1" outlineLevel="1" x14ac:dyDescent="0.55000000000000004">
      <c r="A4486" s="27" t="s">
        <v>327</v>
      </c>
      <c r="B4486" s="28"/>
      <c r="C4486" s="27"/>
      <c r="D4486" s="27" t="str">
        <f>"""NAV Direct"",""CRONUS JetCorp USA"",""21"",""1"",""389559"""</f>
        <v>"NAV Direct","CRONUS JetCorp USA","21","1","389559"</v>
      </c>
      <c r="E4486" s="31">
        <f t="shared" si="1361"/>
        <v>0</v>
      </c>
      <c r="F4486" s="31"/>
      <c r="G4486" s="31"/>
      <c r="H4486" s="31"/>
      <c r="I4486" s="56"/>
      <c r="J4486" s="56"/>
      <c r="K4486" s="82" t="str">
        <f t="shared" si="1362"/>
        <v>Invoice</v>
      </c>
      <c r="L4486" s="83" t="str">
        <f>"SI_112033"</f>
        <v>SI_112033</v>
      </c>
      <c r="M4486" s="84">
        <v>42972</v>
      </c>
      <c r="N4486" s="85">
        <f t="shared" si="1363"/>
        <v>840</v>
      </c>
      <c r="O4486" s="86">
        <f t="shared" si="1364"/>
        <v>8996.5</v>
      </c>
      <c r="P4486" s="86">
        <f t="shared" si="1365"/>
        <v>0</v>
      </c>
      <c r="Q4486" s="86">
        <f t="shared" si="1366"/>
        <v>0</v>
      </c>
      <c r="R4486" s="86">
        <f t="shared" si="1367"/>
        <v>0</v>
      </c>
      <c r="S4486" s="86">
        <f t="shared" si="1368"/>
        <v>0</v>
      </c>
      <c r="T4486" s="86">
        <f t="shared" si="1369"/>
        <v>8996.5</v>
      </c>
      <c r="U4486" s="87">
        <v>8996.5</v>
      </c>
    </row>
    <row r="4487" spans="1:21" s="30" customFormat="1" ht="24.6" hidden="1" outlineLevel="1" x14ac:dyDescent="0.55000000000000004">
      <c r="A4487" s="27" t="s">
        <v>327</v>
      </c>
      <c r="B4487" s="28"/>
      <c r="C4487" s="27"/>
      <c r="D4487" s="27" t="str">
        <f>"""NAV Direct"",""CRONUS JetCorp USA"",""21"",""1"",""389987"""</f>
        <v>"NAV Direct","CRONUS JetCorp USA","21","1","389987"</v>
      </c>
      <c r="E4487" s="31" t="str">
        <f t="shared" si="1361"/>
        <v>C100127</v>
      </c>
      <c r="F4487" s="31"/>
      <c r="G4487" s="31"/>
      <c r="H4487" s="31"/>
      <c r="I4487" s="56"/>
      <c r="J4487" s="56"/>
      <c r="K4487" s="82" t="str">
        <f t="shared" si="1362"/>
        <v>Invoice</v>
      </c>
      <c r="L4487" s="83" t="str">
        <f>"SI_112041"</f>
        <v>SI_112041</v>
      </c>
      <c r="M4487" s="84">
        <v>43016</v>
      </c>
      <c r="N4487" s="85">
        <f t="shared" si="1363"/>
        <v>796</v>
      </c>
      <c r="O4487" s="86">
        <f t="shared" si="1364"/>
        <v>8655.3599999999988</v>
      </c>
      <c r="P4487" s="86">
        <f t="shared" si="1365"/>
        <v>0</v>
      </c>
      <c r="Q4487" s="86">
        <f t="shared" si="1366"/>
        <v>0</v>
      </c>
      <c r="R4487" s="86">
        <f t="shared" si="1367"/>
        <v>0</v>
      </c>
      <c r="S4487" s="86">
        <f t="shared" si="1368"/>
        <v>0</v>
      </c>
      <c r="T4487" s="86">
        <f t="shared" si="1369"/>
        <v>8655.3599999999988</v>
      </c>
      <c r="U4487" s="87">
        <v>8655.3599999999988</v>
      </c>
    </row>
    <row r="4488" spans="1:21" s="30" customFormat="1" ht="24.6" hidden="1" outlineLevel="1" x14ac:dyDescent="0.55000000000000004">
      <c r="A4488" s="27" t="s">
        <v>327</v>
      </c>
      <c r="B4488" s="28"/>
      <c r="C4488" s="27"/>
      <c r="D4488" s="27" t="str">
        <f>"""NAV Direct"",""CRONUS JetCorp USA"",""21"",""1"",""390705"""</f>
        <v>"NAV Direct","CRONUS JetCorp USA","21","1","390705"</v>
      </c>
      <c r="E4488" s="31">
        <f t="shared" si="1361"/>
        <v>0</v>
      </c>
      <c r="F4488" s="31"/>
      <c r="G4488" s="31"/>
      <c r="H4488" s="31"/>
      <c r="I4488" s="56"/>
      <c r="J4488" s="56"/>
      <c r="K4488" s="82" t="str">
        <f t="shared" si="1362"/>
        <v>Invoice</v>
      </c>
      <c r="L4488" s="83" t="str">
        <f>"SI_112058"</f>
        <v>SI_112058</v>
      </c>
      <c r="M4488" s="84">
        <v>43168</v>
      </c>
      <c r="N4488" s="85">
        <f t="shared" si="1363"/>
        <v>644</v>
      </c>
      <c r="O4488" s="86">
        <f t="shared" si="1364"/>
        <v>7983.01</v>
      </c>
      <c r="P4488" s="86">
        <f t="shared" si="1365"/>
        <v>0</v>
      </c>
      <c r="Q4488" s="86">
        <f t="shared" si="1366"/>
        <v>0</v>
      </c>
      <c r="R4488" s="86">
        <f t="shared" si="1367"/>
        <v>0</v>
      </c>
      <c r="S4488" s="86">
        <f t="shared" si="1368"/>
        <v>0</v>
      </c>
      <c r="T4488" s="86">
        <f t="shared" si="1369"/>
        <v>7983.01</v>
      </c>
      <c r="U4488" s="87">
        <v>7983.01</v>
      </c>
    </row>
    <row r="4489" spans="1:21" s="30" customFormat="1" ht="24.6" hidden="1" outlineLevel="1" x14ac:dyDescent="0.55000000000000004">
      <c r="A4489" s="27" t="s">
        <v>327</v>
      </c>
      <c r="B4489" s="28"/>
      <c r="C4489" s="27"/>
      <c r="D4489" s="27" t="str">
        <f>"""NAV Direct"",""CRONUS JetCorp USA"",""21"",""1"",""391076"""</f>
        <v>"NAV Direct","CRONUS JetCorp USA","21","1","391076"</v>
      </c>
      <c r="E4489" s="31" t="str">
        <f t="shared" si="1361"/>
        <v>C100127</v>
      </c>
      <c r="F4489" s="31"/>
      <c r="G4489" s="31"/>
      <c r="H4489" s="31"/>
      <c r="I4489" s="56"/>
      <c r="J4489" s="56"/>
      <c r="K4489" s="82" t="str">
        <f t="shared" si="1362"/>
        <v>Invoice</v>
      </c>
      <c r="L4489" s="83" t="str">
        <f>"SI_112067"</f>
        <v>SI_112067</v>
      </c>
      <c r="M4489" s="84">
        <v>43251</v>
      </c>
      <c r="N4489" s="85">
        <f t="shared" si="1363"/>
        <v>561</v>
      </c>
      <c r="O4489" s="86">
        <f t="shared" si="1364"/>
        <v>8455.11</v>
      </c>
      <c r="P4489" s="86">
        <f t="shared" si="1365"/>
        <v>0</v>
      </c>
      <c r="Q4489" s="86">
        <f t="shared" si="1366"/>
        <v>0</v>
      </c>
      <c r="R4489" s="86">
        <f t="shared" si="1367"/>
        <v>0</v>
      </c>
      <c r="S4489" s="86">
        <f t="shared" si="1368"/>
        <v>0</v>
      </c>
      <c r="T4489" s="86">
        <f t="shared" si="1369"/>
        <v>8455.11</v>
      </c>
      <c r="U4489" s="87">
        <v>8455.11</v>
      </c>
    </row>
    <row r="4490" spans="1:21" s="30" customFormat="1" ht="24.6" hidden="1" outlineLevel="1" x14ac:dyDescent="0.55000000000000004">
      <c r="A4490" s="27" t="s">
        <v>327</v>
      </c>
      <c r="B4490" s="28"/>
      <c r="C4490" s="27"/>
      <c r="D4490" s="27" t="str">
        <f>"""NAV Direct"",""CRONUS JetCorp USA"",""21"",""1"",""391615"""</f>
        <v>"NAV Direct","CRONUS JetCorp USA","21","1","391615"</v>
      </c>
      <c r="E4490" s="31">
        <f t="shared" si="1361"/>
        <v>0</v>
      </c>
      <c r="F4490" s="31"/>
      <c r="G4490" s="31"/>
      <c r="H4490" s="31"/>
      <c r="I4490" s="56"/>
      <c r="J4490" s="56"/>
      <c r="K4490" s="82" t="str">
        <f t="shared" si="1362"/>
        <v>Invoice</v>
      </c>
      <c r="L4490" s="83" t="str">
        <f>"SI_112078"</f>
        <v>SI_112078</v>
      </c>
      <c r="M4490" s="84">
        <v>43342</v>
      </c>
      <c r="N4490" s="85">
        <f t="shared" si="1363"/>
        <v>470</v>
      </c>
      <c r="O4490" s="86">
        <f t="shared" si="1364"/>
        <v>10586.47</v>
      </c>
      <c r="P4490" s="86">
        <f t="shared" si="1365"/>
        <v>0</v>
      </c>
      <c r="Q4490" s="86">
        <f t="shared" si="1366"/>
        <v>0</v>
      </c>
      <c r="R4490" s="86">
        <f t="shared" si="1367"/>
        <v>0</v>
      </c>
      <c r="S4490" s="86">
        <f t="shared" si="1368"/>
        <v>0</v>
      </c>
      <c r="T4490" s="86">
        <f t="shared" si="1369"/>
        <v>10586.47</v>
      </c>
      <c r="U4490" s="87">
        <v>10586.47</v>
      </c>
    </row>
    <row r="4491" spans="1:21" s="30" customFormat="1" ht="24.6" hidden="1" outlineLevel="1" x14ac:dyDescent="0.55000000000000004">
      <c r="A4491" s="27" t="s">
        <v>327</v>
      </c>
      <c r="B4491" s="28"/>
      <c r="C4491" s="27"/>
      <c r="D4491" s="27" t="str">
        <f>"""NAV Direct"",""CRONUS JetCorp USA"",""21"",""1"",""391796"""</f>
        <v>"NAV Direct","CRONUS JetCorp USA","21","1","391796"</v>
      </c>
      <c r="E4491" s="31" t="str">
        <f t="shared" si="1361"/>
        <v>C100127</v>
      </c>
      <c r="F4491" s="31"/>
      <c r="G4491" s="31"/>
      <c r="H4491" s="31"/>
      <c r="I4491" s="56"/>
      <c r="J4491" s="56"/>
      <c r="K4491" s="82" t="str">
        <f t="shared" si="1362"/>
        <v>Invoice</v>
      </c>
      <c r="L4491" s="83" t="str">
        <f>"SI_112081"</f>
        <v>SI_112081</v>
      </c>
      <c r="M4491" s="84">
        <v>43363</v>
      </c>
      <c r="N4491" s="85">
        <f t="shared" si="1363"/>
        <v>449</v>
      </c>
      <c r="O4491" s="86">
        <f t="shared" si="1364"/>
        <v>11645.28</v>
      </c>
      <c r="P4491" s="86">
        <f t="shared" si="1365"/>
        <v>0</v>
      </c>
      <c r="Q4491" s="86">
        <f t="shared" si="1366"/>
        <v>0</v>
      </c>
      <c r="R4491" s="86">
        <f t="shared" si="1367"/>
        <v>0</v>
      </c>
      <c r="S4491" s="86">
        <f t="shared" si="1368"/>
        <v>0</v>
      </c>
      <c r="T4491" s="86">
        <f t="shared" si="1369"/>
        <v>11645.28</v>
      </c>
      <c r="U4491" s="87">
        <v>11645.28</v>
      </c>
    </row>
    <row r="4492" spans="1:21" s="30" customFormat="1" ht="24.6" hidden="1" outlineLevel="1" x14ac:dyDescent="0.55000000000000004">
      <c r="A4492" s="27" t="s">
        <v>327</v>
      </c>
      <c r="B4492" s="28"/>
      <c r="C4492" s="27"/>
      <c r="D4492" s="27" t="str">
        <f>"""NAV Direct"",""CRONUS JetCorp USA"",""21"",""1"",""392316"""</f>
        <v>"NAV Direct","CRONUS JetCorp USA","21","1","392316"</v>
      </c>
      <c r="E4492" s="31">
        <f t="shared" si="1361"/>
        <v>0</v>
      </c>
      <c r="F4492" s="31"/>
      <c r="G4492" s="31"/>
      <c r="H4492" s="31"/>
      <c r="I4492" s="56"/>
      <c r="J4492" s="56"/>
      <c r="K4492" s="82" t="str">
        <f t="shared" si="1362"/>
        <v>Invoice</v>
      </c>
      <c r="L4492" s="83" t="str">
        <f>"SI_112091"</f>
        <v>SI_112091</v>
      </c>
      <c r="M4492" s="84">
        <v>43419</v>
      </c>
      <c r="N4492" s="85">
        <f t="shared" si="1363"/>
        <v>393</v>
      </c>
      <c r="O4492" s="86">
        <f t="shared" si="1364"/>
        <v>12401.150000000001</v>
      </c>
      <c r="P4492" s="86">
        <f t="shared" si="1365"/>
        <v>0</v>
      </c>
      <c r="Q4492" s="86">
        <f t="shared" si="1366"/>
        <v>0</v>
      </c>
      <c r="R4492" s="86">
        <f t="shared" si="1367"/>
        <v>0</v>
      </c>
      <c r="S4492" s="86">
        <f t="shared" si="1368"/>
        <v>0</v>
      </c>
      <c r="T4492" s="86">
        <f t="shared" si="1369"/>
        <v>12401.150000000001</v>
      </c>
      <c r="U4492" s="87">
        <v>12401.150000000001</v>
      </c>
    </row>
    <row r="4493" spans="1:21" s="30" customFormat="1" ht="24.6" hidden="1" outlineLevel="1" x14ac:dyDescent="0.55000000000000004">
      <c r="A4493" s="27" t="s">
        <v>327</v>
      </c>
      <c r="B4493" s="28"/>
      <c r="C4493" s="27"/>
      <c r="D4493" s="27" t="str">
        <f>"""NAV Direct"",""CRONUS JetCorp USA"",""21"",""1"",""392719"""</f>
        <v>"NAV Direct","CRONUS JetCorp USA","21","1","392719"</v>
      </c>
      <c r="E4493" s="31" t="str">
        <f t="shared" si="1361"/>
        <v>C100127</v>
      </c>
      <c r="F4493" s="31"/>
      <c r="G4493" s="31"/>
      <c r="H4493" s="31"/>
      <c r="I4493" s="56"/>
      <c r="J4493" s="56"/>
      <c r="K4493" s="82" t="str">
        <f t="shared" si="1362"/>
        <v>Invoice</v>
      </c>
      <c r="L4493" s="83" t="str">
        <f>"SI_112098"</f>
        <v>SI_112098</v>
      </c>
      <c r="M4493" s="84">
        <v>43459</v>
      </c>
      <c r="N4493" s="85">
        <f t="shared" si="1363"/>
        <v>353</v>
      </c>
      <c r="O4493" s="86">
        <f t="shared" si="1364"/>
        <v>9920.9699999999993</v>
      </c>
      <c r="P4493" s="86">
        <f t="shared" si="1365"/>
        <v>0</v>
      </c>
      <c r="Q4493" s="86">
        <f t="shared" si="1366"/>
        <v>0</v>
      </c>
      <c r="R4493" s="86">
        <f t="shared" si="1367"/>
        <v>0</v>
      </c>
      <c r="S4493" s="86">
        <f t="shared" si="1368"/>
        <v>0</v>
      </c>
      <c r="T4493" s="86">
        <f t="shared" si="1369"/>
        <v>9920.9699999999993</v>
      </c>
      <c r="U4493" s="87">
        <v>9920.9699999999993</v>
      </c>
    </row>
    <row r="4494" spans="1:21" s="30" customFormat="1" ht="24.6" hidden="1" outlineLevel="1" x14ac:dyDescent="0.55000000000000004">
      <c r="A4494" s="27" t="s">
        <v>327</v>
      </c>
      <c r="B4494" s="28"/>
      <c r="C4494" s="27"/>
      <c r="D4494" s="27" t="str">
        <f>"""NAV Direct"",""CRONUS JetCorp USA"",""21"",""1"",""393135"""</f>
        <v>"NAV Direct","CRONUS JetCorp USA","21","1","393135"</v>
      </c>
      <c r="E4494" s="31">
        <f t="shared" si="1361"/>
        <v>0</v>
      </c>
      <c r="F4494" s="31"/>
      <c r="G4494" s="31"/>
      <c r="H4494" s="31"/>
      <c r="I4494" s="56"/>
      <c r="J4494" s="56"/>
      <c r="K4494" s="82" t="str">
        <f t="shared" si="1362"/>
        <v>Invoice</v>
      </c>
      <c r="L4494" s="83" t="str">
        <f>"SI_112106"</f>
        <v>SI_112106</v>
      </c>
      <c r="M4494" s="84">
        <v>43528</v>
      </c>
      <c r="N4494" s="85">
        <f t="shared" si="1363"/>
        <v>284</v>
      </c>
      <c r="O4494" s="86">
        <f t="shared" si="1364"/>
        <v>11946.31</v>
      </c>
      <c r="P4494" s="86">
        <f t="shared" si="1365"/>
        <v>0</v>
      </c>
      <c r="Q4494" s="86">
        <f t="shared" si="1366"/>
        <v>0</v>
      </c>
      <c r="R4494" s="86">
        <f t="shared" si="1367"/>
        <v>0</v>
      </c>
      <c r="S4494" s="86">
        <f t="shared" si="1368"/>
        <v>0</v>
      </c>
      <c r="T4494" s="86">
        <f t="shared" si="1369"/>
        <v>11946.31</v>
      </c>
      <c r="U4494" s="87">
        <v>11946.31</v>
      </c>
    </row>
    <row r="4495" spans="1:21" s="30" customFormat="1" ht="24.6" hidden="1" outlineLevel="1" x14ac:dyDescent="0.55000000000000004">
      <c r="A4495" s="27" t="s">
        <v>327</v>
      </c>
      <c r="B4495" s="28"/>
      <c r="C4495" s="27"/>
      <c r="D4495" s="27" t="str">
        <f>"""NAV Direct"",""CRONUS JetCorp USA"",""21"",""1"",""394369"""</f>
        <v>"NAV Direct","CRONUS JetCorp USA","21","1","394369"</v>
      </c>
      <c r="E4495" s="31" t="str">
        <f t="shared" si="1361"/>
        <v>C100127</v>
      </c>
      <c r="F4495" s="31"/>
      <c r="G4495" s="31"/>
      <c r="H4495" s="31"/>
      <c r="I4495" s="56"/>
      <c r="J4495" s="56"/>
      <c r="K4495" s="82" t="str">
        <f t="shared" si="1362"/>
        <v>Invoice</v>
      </c>
      <c r="L4495" s="83" t="str">
        <f>"SI_112128"</f>
        <v>SI_112128</v>
      </c>
      <c r="M4495" s="84">
        <v>43637</v>
      </c>
      <c r="N4495" s="85">
        <f t="shared" si="1363"/>
        <v>175</v>
      </c>
      <c r="O4495" s="86">
        <f t="shared" si="1364"/>
        <v>9588.77</v>
      </c>
      <c r="P4495" s="86">
        <f t="shared" si="1365"/>
        <v>0</v>
      </c>
      <c r="Q4495" s="86">
        <f t="shared" si="1366"/>
        <v>0</v>
      </c>
      <c r="R4495" s="86">
        <f t="shared" si="1367"/>
        <v>0</v>
      </c>
      <c r="S4495" s="86">
        <f t="shared" si="1368"/>
        <v>0</v>
      </c>
      <c r="T4495" s="86">
        <f t="shared" si="1369"/>
        <v>9588.77</v>
      </c>
      <c r="U4495" s="87">
        <v>9588.77</v>
      </c>
    </row>
    <row r="4496" spans="1:21" s="30" customFormat="1" ht="24.6" hidden="1" outlineLevel="1" x14ac:dyDescent="0.55000000000000004">
      <c r="A4496" s="27" t="s">
        <v>327</v>
      </c>
      <c r="B4496" s="28"/>
      <c r="C4496" s="27"/>
      <c r="D4496" s="27" t="str">
        <f>"""NAV Direct"",""CRONUS JetCorp USA"",""21"",""1"",""395160"""</f>
        <v>"NAV Direct","CRONUS JetCorp USA","21","1","395160"</v>
      </c>
      <c r="E4496" s="31">
        <f t="shared" si="1361"/>
        <v>0</v>
      </c>
      <c r="F4496" s="31"/>
      <c r="G4496" s="31"/>
      <c r="H4496" s="31"/>
      <c r="I4496" s="56"/>
      <c r="J4496" s="56"/>
      <c r="K4496" s="82" t="str">
        <f t="shared" si="1362"/>
        <v>Invoice</v>
      </c>
      <c r="L4496" s="83" t="str">
        <f>"SI_112143"</f>
        <v>SI_112143</v>
      </c>
      <c r="M4496" s="84">
        <v>43708</v>
      </c>
      <c r="N4496" s="85">
        <f t="shared" si="1363"/>
        <v>104</v>
      </c>
      <c r="O4496" s="86">
        <f t="shared" si="1364"/>
        <v>11217.02</v>
      </c>
      <c r="P4496" s="86">
        <f t="shared" si="1365"/>
        <v>0</v>
      </c>
      <c r="Q4496" s="86">
        <f t="shared" si="1366"/>
        <v>0</v>
      </c>
      <c r="R4496" s="86">
        <f t="shared" si="1367"/>
        <v>0</v>
      </c>
      <c r="S4496" s="86">
        <f t="shared" si="1368"/>
        <v>0</v>
      </c>
      <c r="T4496" s="86">
        <f t="shared" si="1369"/>
        <v>11217.02</v>
      </c>
      <c r="U4496" s="87">
        <v>11217.02</v>
      </c>
    </row>
    <row r="4497" spans="1:21" s="30" customFormat="1" ht="24.6" hidden="1" outlineLevel="1" x14ac:dyDescent="0.55000000000000004">
      <c r="A4497" s="27" t="s">
        <v>327</v>
      </c>
      <c r="B4497" s="28"/>
      <c r="C4497" s="27"/>
      <c r="D4497" s="27" t="str">
        <f>"""NAV Direct"",""CRONUS JetCorp USA"",""21"",""1"",""395315"""</f>
        <v>"NAV Direct","CRONUS JetCorp USA","21","1","395315"</v>
      </c>
      <c r="E4497" s="31" t="str">
        <f t="shared" si="1361"/>
        <v>C100127</v>
      </c>
      <c r="F4497" s="31"/>
      <c r="G4497" s="31"/>
      <c r="H4497" s="31"/>
      <c r="I4497" s="56"/>
      <c r="J4497" s="56"/>
      <c r="K4497" s="82" t="str">
        <f t="shared" si="1362"/>
        <v>Invoice</v>
      </c>
      <c r="L4497" s="83" t="str">
        <f>"SI_112146"</f>
        <v>SI_112146</v>
      </c>
      <c r="M4497" s="84">
        <v>43729</v>
      </c>
      <c r="N4497" s="85">
        <f t="shared" si="1363"/>
        <v>83</v>
      </c>
      <c r="O4497" s="86">
        <f t="shared" si="1364"/>
        <v>11477.97</v>
      </c>
      <c r="P4497" s="86">
        <f t="shared" si="1365"/>
        <v>0</v>
      </c>
      <c r="Q4497" s="86">
        <f t="shared" si="1366"/>
        <v>0</v>
      </c>
      <c r="R4497" s="86">
        <f t="shared" si="1367"/>
        <v>0</v>
      </c>
      <c r="S4497" s="86">
        <f t="shared" si="1368"/>
        <v>11477.97</v>
      </c>
      <c r="T4497" s="86">
        <f t="shared" si="1369"/>
        <v>0</v>
      </c>
      <c r="U4497" s="87">
        <v>11477.97</v>
      </c>
    </row>
    <row r="4498" spans="1:21" s="30" customFormat="1" ht="24.6" hidden="1" outlineLevel="1" x14ac:dyDescent="0.55000000000000004">
      <c r="A4498" s="27" t="s">
        <v>327</v>
      </c>
      <c r="B4498" s="28"/>
      <c r="C4498" s="27"/>
      <c r="D4498" s="27" t="str">
        <f>"""NAV Direct"",""CRONUS JetCorp USA"",""21"",""1"",""396101"""</f>
        <v>"NAV Direct","CRONUS JetCorp USA","21","1","396101"</v>
      </c>
      <c r="E4498" s="31">
        <f t="shared" si="1361"/>
        <v>0</v>
      </c>
      <c r="F4498" s="31"/>
      <c r="G4498" s="31"/>
      <c r="H4498" s="31"/>
      <c r="I4498" s="56"/>
      <c r="J4498" s="56"/>
      <c r="K4498" s="82" t="str">
        <f t="shared" si="1362"/>
        <v>Invoice</v>
      </c>
      <c r="L4498" s="83" t="str">
        <f>"SI_112160"</f>
        <v>SI_112160</v>
      </c>
      <c r="M4498" s="84">
        <v>43791</v>
      </c>
      <c r="N4498" s="85">
        <f t="shared" si="1363"/>
        <v>21</v>
      </c>
      <c r="O4498" s="86">
        <f t="shared" si="1364"/>
        <v>11239.6</v>
      </c>
      <c r="P4498" s="86">
        <f t="shared" si="1365"/>
        <v>0</v>
      </c>
      <c r="Q4498" s="86">
        <f t="shared" si="1366"/>
        <v>11239.6</v>
      </c>
      <c r="R4498" s="86">
        <f t="shared" si="1367"/>
        <v>0</v>
      </c>
      <c r="S4498" s="86">
        <f t="shared" si="1368"/>
        <v>0</v>
      </c>
      <c r="T4498" s="86">
        <f t="shared" si="1369"/>
        <v>0</v>
      </c>
      <c r="U4498" s="87">
        <v>11239.6</v>
      </c>
    </row>
    <row r="4499" spans="1:21" s="30" customFormat="1" ht="24.6" hidden="1" outlineLevel="1" x14ac:dyDescent="0.55000000000000004">
      <c r="A4499" s="27" t="s">
        <v>327</v>
      </c>
      <c r="B4499" s="28"/>
      <c r="C4499" s="27"/>
      <c r="D4499" s="27" t="str">
        <f>"""NAV Direct"",""CRONUS JetCorp USA"",""21"",""1"",""396435"""</f>
        <v>"NAV Direct","CRONUS JetCorp USA","21","1","396435"</v>
      </c>
      <c r="E4499" s="31" t="str">
        <f t="shared" si="1361"/>
        <v>C100127</v>
      </c>
      <c r="F4499" s="31"/>
      <c r="G4499" s="31"/>
      <c r="H4499" s="31"/>
      <c r="I4499" s="56"/>
      <c r="J4499" s="56"/>
      <c r="K4499" s="82" t="str">
        <f t="shared" si="1362"/>
        <v>Invoice</v>
      </c>
      <c r="L4499" s="83" t="str">
        <f>"SI_112166"</f>
        <v>SI_112166</v>
      </c>
      <c r="M4499" s="84">
        <v>43800</v>
      </c>
      <c r="N4499" s="85">
        <f t="shared" si="1363"/>
        <v>12</v>
      </c>
      <c r="O4499" s="86">
        <f t="shared" si="1364"/>
        <v>12104.31</v>
      </c>
      <c r="P4499" s="86">
        <f t="shared" si="1365"/>
        <v>0</v>
      </c>
      <c r="Q4499" s="86">
        <f t="shared" si="1366"/>
        <v>12104.31</v>
      </c>
      <c r="R4499" s="86">
        <f t="shared" si="1367"/>
        <v>0</v>
      </c>
      <c r="S4499" s="86">
        <f t="shared" si="1368"/>
        <v>0</v>
      </c>
      <c r="T4499" s="86">
        <f t="shared" si="1369"/>
        <v>0</v>
      </c>
      <c r="U4499" s="87">
        <v>12104.31</v>
      </c>
    </row>
    <row r="4500" spans="1:21" s="30" customFormat="1" ht="24.6" hidden="1" outlineLevel="1" x14ac:dyDescent="0.55000000000000004">
      <c r="A4500" s="27" t="s">
        <v>327</v>
      </c>
      <c r="B4500" s="28"/>
      <c r="C4500" s="27"/>
      <c r="D4500" s="27" t="str">
        <f>"""NAV Direct"",""CRONUS JetCorp USA"",""21"",""1"",""396811"""</f>
        <v>"NAV Direct","CRONUS JetCorp USA","21","1","396811"</v>
      </c>
      <c r="E4500" s="31">
        <f t="shared" si="1361"/>
        <v>0</v>
      </c>
      <c r="F4500" s="31"/>
      <c r="G4500" s="31"/>
      <c r="H4500" s="31"/>
      <c r="I4500" s="56"/>
      <c r="J4500" s="56"/>
      <c r="K4500" s="82" t="str">
        <f t="shared" si="1362"/>
        <v>Invoice</v>
      </c>
      <c r="L4500" s="83" t="str">
        <f>"SI_112174"</f>
        <v>SI_112174</v>
      </c>
      <c r="M4500" s="84">
        <v>42022</v>
      </c>
      <c r="N4500" s="85">
        <f t="shared" si="1363"/>
        <v>1790</v>
      </c>
      <c r="O4500" s="86">
        <f t="shared" si="1364"/>
        <v>9418.2100000000009</v>
      </c>
      <c r="P4500" s="86">
        <f t="shared" si="1365"/>
        <v>0</v>
      </c>
      <c r="Q4500" s="86">
        <f t="shared" si="1366"/>
        <v>0</v>
      </c>
      <c r="R4500" s="86">
        <f t="shared" si="1367"/>
        <v>0</v>
      </c>
      <c r="S4500" s="86">
        <f t="shared" si="1368"/>
        <v>0</v>
      </c>
      <c r="T4500" s="86">
        <f t="shared" si="1369"/>
        <v>9418.2100000000009</v>
      </c>
      <c r="U4500" s="87">
        <v>9418.2100000000009</v>
      </c>
    </row>
    <row r="4501" spans="1:21" s="30" customFormat="1" ht="24.6" hidden="1" outlineLevel="1" x14ac:dyDescent="0.55000000000000004">
      <c r="A4501" s="27" t="s">
        <v>327</v>
      </c>
      <c r="B4501" s="28"/>
      <c r="C4501" s="27"/>
      <c r="D4501" s="27" t="str">
        <f>"""NAV Direct"",""CRONUS JetCorp USA"",""21"",""1"",""397421"""</f>
        <v>"NAV Direct","CRONUS JetCorp USA","21","1","397421"</v>
      </c>
      <c r="E4501" s="31" t="str">
        <f t="shared" si="1361"/>
        <v>C100127</v>
      </c>
      <c r="F4501" s="31"/>
      <c r="G4501" s="31"/>
      <c r="H4501" s="31"/>
      <c r="I4501" s="56"/>
      <c r="J4501" s="56"/>
      <c r="K4501" s="82" t="str">
        <f t="shared" si="1362"/>
        <v>Invoice</v>
      </c>
      <c r="L4501" s="83" t="str">
        <f>"SI_112186"</f>
        <v>SI_112186</v>
      </c>
      <c r="M4501" s="84">
        <v>42080</v>
      </c>
      <c r="N4501" s="85">
        <f t="shared" si="1363"/>
        <v>1732</v>
      </c>
      <c r="O4501" s="86">
        <f t="shared" si="1364"/>
        <v>9645.2000000000007</v>
      </c>
      <c r="P4501" s="86">
        <f t="shared" si="1365"/>
        <v>0</v>
      </c>
      <c r="Q4501" s="86">
        <f t="shared" si="1366"/>
        <v>0</v>
      </c>
      <c r="R4501" s="86">
        <f t="shared" si="1367"/>
        <v>0</v>
      </c>
      <c r="S4501" s="86">
        <f t="shared" si="1368"/>
        <v>0</v>
      </c>
      <c r="T4501" s="86">
        <f t="shared" si="1369"/>
        <v>9645.2000000000007</v>
      </c>
      <c r="U4501" s="87">
        <v>9645.2000000000007</v>
      </c>
    </row>
    <row r="4502" spans="1:21" s="30" customFormat="1" ht="24.6" hidden="1" outlineLevel="1" x14ac:dyDescent="0.55000000000000004">
      <c r="A4502" s="27" t="s">
        <v>327</v>
      </c>
      <c r="B4502" s="28"/>
      <c r="C4502" s="27"/>
      <c r="D4502" s="27" t="str">
        <f>"""NAV Direct"",""CRONUS JetCorp USA"",""21"",""1"",""397598"""</f>
        <v>"NAV Direct","CRONUS JetCorp USA","21","1","397598"</v>
      </c>
      <c r="E4502" s="31">
        <f t="shared" si="1361"/>
        <v>0</v>
      </c>
      <c r="F4502" s="31"/>
      <c r="G4502" s="31"/>
      <c r="H4502" s="31"/>
      <c r="I4502" s="56"/>
      <c r="J4502" s="56"/>
      <c r="K4502" s="82" t="str">
        <f t="shared" si="1362"/>
        <v>Invoice</v>
      </c>
      <c r="L4502" s="83" t="str">
        <f>"SI_112190"</f>
        <v>SI_112190</v>
      </c>
      <c r="M4502" s="84">
        <v>42091</v>
      </c>
      <c r="N4502" s="85">
        <f t="shared" si="1363"/>
        <v>1721</v>
      </c>
      <c r="O4502" s="86">
        <f t="shared" si="1364"/>
        <v>10055.65</v>
      </c>
      <c r="P4502" s="86">
        <f t="shared" si="1365"/>
        <v>0</v>
      </c>
      <c r="Q4502" s="86">
        <f t="shared" si="1366"/>
        <v>0</v>
      </c>
      <c r="R4502" s="86">
        <f t="shared" si="1367"/>
        <v>0</v>
      </c>
      <c r="S4502" s="86">
        <f t="shared" si="1368"/>
        <v>0</v>
      </c>
      <c r="T4502" s="86">
        <f t="shared" si="1369"/>
        <v>10055.65</v>
      </c>
      <c r="U4502" s="87">
        <v>10055.65</v>
      </c>
    </row>
    <row r="4503" spans="1:21" s="30" customFormat="1" ht="24.6" hidden="1" outlineLevel="1" x14ac:dyDescent="0.55000000000000004">
      <c r="A4503" s="27" t="s">
        <v>327</v>
      </c>
      <c r="B4503" s="28"/>
      <c r="C4503" s="27"/>
      <c r="D4503" s="27" t="str">
        <f>"""NAV Direct"",""CRONUS JetCorp USA"",""21"",""1"",""397727"""</f>
        <v>"NAV Direct","CRONUS JetCorp USA","21","1","397727"</v>
      </c>
      <c r="E4503" s="31" t="str">
        <f t="shared" si="1361"/>
        <v>C100127</v>
      </c>
      <c r="F4503" s="31"/>
      <c r="G4503" s="31"/>
      <c r="H4503" s="31"/>
      <c r="I4503" s="56"/>
      <c r="J4503" s="56"/>
      <c r="K4503" s="82" t="str">
        <f t="shared" si="1362"/>
        <v>Invoice</v>
      </c>
      <c r="L4503" s="83" t="str">
        <f>"SI_112193"</f>
        <v>SI_112193</v>
      </c>
      <c r="M4503" s="84">
        <v>42112</v>
      </c>
      <c r="N4503" s="85">
        <f t="shared" si="1363"/>
        <v>1700</v>
      </c>
      <c r="O4503" s="86">
        <f t="shared" si="1364"/>
        <v>10055.81</v>
      </c>
      <c r="P4503" s="86">
        <f t="shared" si="1365"/>
        <v>0</v>
      </c>
      <c r="Q4503" s="86">
        <f t="shared" si="1366"/>
        <v>0</v>
      </c>
      <c r="R4503" s="86">
        <f t="shared" si="1367"/>
        <v>0</v>
      </c>
      <c r="S4503" s="86">
        <f t="shared" si="1368"/>
        <v>0</v>
      </c>
      <c r="T4503" s="86">
        <f t="shared" si="1369"/>
        <v>10055.81</v>
      </c>
      <c r="U4503" s="87">
        <v>10055.81</v>
      </c>
    </row>
    <row r="4504" spans="1:21" s="30" customFormat="1" ht="24.6" hidden="1" outlineLevel="1" x14ac:dyDescent="0.55000000000000004">
      <c r="A4504" s="27" t="s">
        <v>327</v>
      </c>
      <c r="B4504" s="28"/>
      <c r="C4504" s="27"/>
      <c r="D4504" s="27" t="str">
        <f>"""NAV Direct"",""CRONUS JetCorp USA"",""21"",""1"",""398000"""</f>
        <v>"NAV Direct","CRONUS JetCorp USA","21","1","398000"</v>
      </c>
      <c r="E4504" s="31">
        <f t="shared" si="1361"/>
        <v>0</v>
      </c>
      <c r="F4504" s="31"/>
      <c r="G4504" s="31"/>
      <c r="H4504" s="31"/>
      <c r="I4504" s="56"/>
      <c r="J4504" s="56"/>
      <c r="K4504" s="82" t="str">
        <f t="shared" si="1362"/>
        <v>Invoice</v>
      </c>
      <c r="L4504" s="83" t="str">
        <f>"SI_112198"</f>
        <v>SI_112198</v>
      </c>
      <c r="M4504" s="84">
        <v>42120</v>
      </c>
      <c r="N4504" s="85">
        <f t="shared" si="1363"/>
        <v>1692</v>
      </c>
      <c r="O4504" s="86">
        <f t="shared" si="1364"/>
        <v>9645.39</v>
      </c>
      <c r="P4504" s="86">
        <f t="shared" si="1365"/>
        <v>0</v>
      </c>
      <c r="Q4504" s="86">
        <f t="shared" si="1366"/>
        <v>0</v>
      </c>
      <c r="R4504" s="86">
        <f t="shared" si="1367"/>
        <v>0</v>
      </c>
      <c r="S4504" s="86">
        <f t="shared" si="1368"/>
        <v>0</v>
      </c>
      <c r="T4504" s="86">
        <f t="shared" si="1369"/>
        <v>9645.39</v>
      </c>
      <c r="U4504" s="87">
        <v>9645.39</v>
      </c>
    </row>
    <row r="4505" spans="1:21" s="30" customFormat="1" ht="24.6" hidden="1" outlineLevel="1" x14ac:dyDescent="0.55000000000000004">
      <c r="A4505" s="27" t="s">
        <v>327</v>
      </c>
      <c r="B4505" s="28"/>
      <c r="C4505" s="27"/>
      <c r="D4505" s="27" t="str">
        <f>"""NAV Direct"",""CRONUS JetCorp USA"",""21"",""1"",""398792"""</f>
        <v>"NAV Direct","CRONUS JetCorp USA","21","1","398792"</v>
      </c>
      <c r="E4505" s="31" t="str">
        <f t="shared" si="1361"/>
        <v>C100127</v>
      </c>
      <c r="F4505" s="31"/>
      <c r="G4505" s="31"/>
      <c r="H4505" s="31"/>
      <c r="I4505" s="56"/>
      <c r="J4505" s="56"/>
      <c r="K4505" s="82" t="str">
        <f t="shared" si="1362"/>
        <v>Invoice</v>
      </c>
      <c r="L4505" s="83" t="str">
        <f>"SI_112216"</f>
        <v>SI_112216</v>
      </c>
      <c r="M4505" s="84">
        <v>42208</v>
      </c>
      <c r="N4505" s="85">
        <f t="shared" si="1363"/>
        <v>1604</v>
      </c>
      <c r="O4505" s="86">
        <f t="shared" si="1364"/>
        <v>7601.99</v>
      </c>
      <c r="P4505" s="86">
        <f t="shared" si="1365"/>
        <v>0</v>
      </c>
      <c r="Q4505" s="86">
        <f t="shared" si="1366"/>
        <v>0</v>
      </c>
      <c r="R4505" s="86">
        <f t="shared" si="1367"/>
        <v>0</v>
      </c>
      <c r="S4505" s="86">
        <f t="shared" si="1368"/>
        <v>0</v>
      </c>
      <c r="T4505" s="86">
        <f t="shared" si="1369"/>
        <v>7601.99</v>
      </c>
      <c r="U4505" s="87">
        <v>7601.99</v>
      </c>
    </row>
    <row r="4506" spans="1:21" s="30" customFormat="1" ht="24.6" hidden="1" outlineLevel="1" x14ac:dyDescent="0.55000000000000004">
      <c r="A4506" s="27" t="s">
        <v>327</v>
      </c>
      <c r="B4506" s="28"/>
      <c r="C4506" s="27"/>
      <c r="D4506" s="27" t="str">
        <f>"""NAV Direct"",""CRONUS JetCorp USA"",""21"",""1"",""399392"""</f>
        <v>"NAV Direct","CRONUS JetCorp USA","21","1","399392"</v>
      </c>
      <c r="E4506" s="31">
        <f t="shared" si="1361"/>
        <v>0</v>
      </c>
      <c r="F4506" s="31"/>
      <c r="G4506" s="31"/>
      <c r="H4506" s="31"/>
      <c r="I4506" s="56"/>
      <c r="J4506" s="56"/>
      <c r="K4506" s="82" t="str">
        <f t="shared" si="1362"/>
        <v>Invoice</v>
      </c>
      <c r="L4506" s="83" t="str">
        <f>"SI_112230"</f>
        <v>SI_112230</v>
      </c>
      <c r="M4506" s="84">
        <v>42248</v>
      </c>
      <c r="N4506" s="85">
        <f t="shared" si="1363"/>
        <v>1564</v>
      </c>
      <c r="O4506" s="86">
        <f t="shared" si="1364"/>
        <v>7959</v>
      </c>
      <c r="P4506" s="86">
        <f t="shared" si="1365"/>
        <v>0</v>
      </c>
      <c r="Q4506" s="86">
        <f t="shared" si="1366"/>
        <v>0</v>
      </c>
      <c r="R4506" s="86">
        <f t="shared" si="1367"/>
        <v>0</v>
      </c>
      <c r="S4506" s="86">
        <f t="shared" si="1368"/>
        <v>0</v>
      </c>
      <c r="T4506" s="86">
        <f t="shared" si="1369"/>
        <v>7959</v>
      </c>
      <c r="U4506" s="87">
        <v>7959</v>
      </c>
    </row>
    <row r="4507" spans="1:21" s="30" customFormat="1" ht="24.6" hidden="1" outlineLevel="1" x14ac:dyDescent="0.55000000000000004">
      <c r="A4507" s="27" t="s">
        <v>327</v>
      </c>
      <c r="B4507" s="28"/>
      <c r="C4507" s="27"/>
      <c r="D4507" s="27" t="str">
        <f>"""NAV Direct"",""CRONUS JetCorp USA"",""21"",""1"",""399627"""</f>
        <v>"NAV Direct","CRONUS JetCorp USA","21","1","399627"</v>
      </c>
      <c r="E4507" s="31" t="str">
        <f t="shared" si="1361"/>
        <v>C100127</v>
      </c>
      <c r="F4507" s="31"/>
      <c r="G4507" s="31"/>
      <c r="H4507" s="31"/>
      <c r="I4507" s="56"/>
      <c r="J4507" s="56"/>
      <c r="K4507" s="82" t="str">
        <f t="shared" si="1362"/>
        <v>Invoice</v>
      </c>
      <c r="L4507" s="83" t="str">
        <f>"SI_112235"</f>
        <v>SI_112235</v>
      </c>
      <c r="M4507" s="84">
        <v>42273</v>
      </c>
      <c r="N4507" s="85">
        <f t="shared" si="1363"/>
        <v>1539</v>
      </c>
      <c r="O4507" s="86">
        <f t="shared" si="1364"/>
        <v>8310.0400000000009</v>
      </c>
      <c r="P4507" s="86">
        <f t="shared" si="1365"/>
        <v>0</v>
      </c>
      <c r="Q4507" s="86">
        <f t="shared" si="1366"/>
        <v>0</v>
      </c>
      <c r="R4507" s="86">
        <f t="shared" si="1367"/>
        <v>0</v>
      </c>
      <c r="S4507" s="86">
        <f t="shared" si="1368"/>
        <v>0</v>
      </c>
      <c r="T4507" s="86">
        <f t="shared" si="1369"/>
        <v>8310.0400000000009</v>
      </c>
      <c r="U4507" s="87">
        <v>8310.0400000000009</v>
      </c>
    </row>
    <row r="4508" spans="1:21" s="30" customFormat="1" ht="24.6" hidden="1" outlineLevel="1" x14ac:dyDescent="0.55000000000000004">
      <c r="A4508" s="27" t="s">
        <v>327</v>
      </c>
      <c r="B4508" s="28"/>
      <c r="C4508" s="27"/>
      <c r="D4508" s="27" t="str">
        <f>"""NAV Direct"",""CRONUS JetCorp USA"",""21"",""1"",""400064"""</f>
        <v>"NAV Direct","CRONUS JetCorp USA","21","1","400064"</v>
      </c>
      <c r="E4508" s="31">
        <f t="shared" si="1361"/>
        <v>0</v>
      </c>
      <c r="F4508" s="31"/>
      <c r="G4508" s="31"/>
      <c r="H4508" s="31"/>
      <c r="I4508" s="56"/>
      <c r="J4508" s="56"/>
      <c r="K4508" s="82" t="str">
        <f t="shared" si="1362"/>
        <v>Invoice</v>
      </c>
      <c r="L4508" s="83" t="str">
        <f>"SI_112244"</f>
        <v>SI_112244</v>
      </c>
      <c r="M4508" s="84">
        <v>42298</v>
      </c>
      <c r="N4508" s="85">
        <f t="shared" si="1363"/>
        <v>1514</v>
      </c>
      <c r="O4508" s="86">
        <f t="shared" si="1364"/>
        <v>9542.8799999999992</v>
      </c>
      <c r="P4508" s="86">
        <f t="shared" si="1365"/>
        <v>0</v>
      </c>
      <c r="Q4508" s="86">
        <f t="shared" si="1366"/>
        <v>0</v>
      </c>
      <c r="R4508" s="86">
        <f t="shared" si="1367"/>
        <v>0</v>
      </c>
      <c r="S4508" s="86">
        <f t="shared" si="1368"/>
        <v>0</v>
      </c>
      <c r="T4508" s="86">
        <f t="shared" si="1369"/>
        <v>9542.8799999999992</v>
      </c>
      <c r="U4508" s="87">
        <v>9542.8799999999992</v>
      </c>
    </row>
    <row r="4509" spans="1:21" s="30" customFormat="1" ht="24.6" hidden="1" outlineLevel="1" x14ac:dyDescent="0.55000000000000004">
      <c r="A4509" s="27" t="s">
        <v>327</v>
      </c>
      <c r="B4509" s="28"/>
      <c r="C4509" s="27"/>
      <c r="D4509" s="27" t="str">
        <f>"""NAV Direct"",""CRONUS JetCorp USA"",""21"",""1"",""400162"""</f>
        <v>"NAV Direct","CRONUS JetCorp USA","21","1","400162"</v>
      </c>
      <c r="E4509" s="31" t="str">
        <f t="shared" si="1361"/>
        <v>C100127</v>
      </c>
      <c r="F4509" s="31"/>
      <c r="G4509" s="31"/>
      <c r="H4509" s="31"/>
      <c r="I4509" s="56"/>
      <c r="J4509" s="56"/>
      <c r="K4509" s="82" t="str">
        <f t="shared" si="1362"/>
        <v>Invoice</v>
      </c>
      <c r="L4509" s="83" t="str">
        <f>"SI_112246"</f>
        <v>SI_112246</v>
      </c>
      <c r="M4509" s="84">
        <v>42301</v>
      </c>
      <c r="N4509" s="85">
        <f t="shared" si="1363"/>
        <v>1511</v>
      </c>
      <c r="O4509" s="86">
        <f t="shared" si="1364"/>
        <v>9241.3900000000012</v>
      </c>
      <c r="P4509" s="86">
        <f t="shared" si="1365"/>
        <v>0</v>
      </c>
      <c r="Q4509" s="86">
        <f t="shared" si="1366"/>
        <v>0</v>
      </c>
      <c r="R4509" s="86">
        <f t="shared" si="1367"/>
        <v>0</v>
      </c>
      <c r="S4509" s="86">
        <f t="shared" si="1368"/>
        <v>0</v>
      </c>
      <c r="T4509" s="86">
        <f t="shared" si="1369"/>
        <v>9241.3900000000012</v>
      </c>
      <c r="U4509" s="87">
        <v>9241.3900000000012</v>
      </c>
    </row>
    <row r="4510" spans="1:21" s="30" customFormat="1" ht="24.6" hidden="1" outlineLevel="1" x14ac:dyDescent="0.55000000000000004">
      <c r="A4510" s="27" t="s">
        <v>327</v>
      </c>
      <c r="B4510" s="28"/>
      <c r="C4510" s="27"/>
      <c r="D4510" s="27" t="str">
        <f>"""NAV Direct"",""CRONUS JetCorp USA"",""21"",""1"",""400970"""</f>
        <v>"NAV Direct","CRONUS JetCorp USA","21","1","400970"</v>
      </c>
      <c r="E4510" s="31">
        <f t="shared" si="1361"/>
        <v>0</v>
      </c>
      <c r="F4510" s="31"/>
      <c r="G4510" s="31"/>
      <c r="H4510" s="31"/>
      <c r="I4510" s="56"/>
      <c r="J4510" s="56"/>
      <c r="K4510" s="82" t="str">
        <f t="shared" si="1362"/>
        <v>Invoice</v>
      </c>
      <c r="L4510" s="83" t="str">
        <f>"SI_112262"</f>
        <v>SI_112262</v>
      </c>
      <c r="M4510" s="84">
        <v>42335</v>
      </c>
      <c r="N4510" s="85">
        <f t="shared" si="1363"/>
        <v>1477</v>
      </c>
      <c r="O4510" s="86">
        <f t="shared" si="1364"/>
        <v>8588.5499999999993</v>
      </c>
      <c r="P4510" s="86">
        <f t="shared" si="1365"/>
        <v>0</v>
      </c>
      <c r="Q4510" s="86">
        <f t="shared" si="1366"/>
        <v>0</v>
      </c>
      <c r="R4510" s="86">
        <f t="shared" si="1367"/>
        <v>0</v>
      </c>
      <c r="S4510" s="86">
        <f t="shared" si="1368"/>
        <v>0</v>
      </c>
      <c r="T4510" s="86">
        <f t="shared" si="1369"/>
        <v>8588.5499999999993</v>
      </c>
      <c r="U4510" s="87">
        <v>8588.5499999999993</v>
      </c>
    </row>
    <row r="4511" spans="1:21" s="30" customFormat="1" ht="24.6" hidden="1" outlineLevel="1" x14ac:dyDescent="0.55000000000000004">
      <c r="A4511" s="27" t="s">
        <v>327</v>
      </c>
      <c r="B4511" s="28"/>
      <c r="C4511" s="27"/>
      <c r="D4511" s="27" t="str">
        <f>"""NAV Direct"",""CRONUS JetCorp USA"",""21"",""1"",""401439"""</f>
        <v>"NAV Direct","CRONUS JetCorp USA","21","1","401439"</v>
      </c>
      <c r="E4511" s="31" t="str">
        <f t="shared" si="1361"/>
        <v>C100127</v>
      </c>
      <c r="F4511" s="31"/>
      <c r="G4511" s="31"/>
      <c r="H4511" s="31"/>
      <c r="I4511" s="56"/>
      <c r="J4511" s="56"/>
      <c r="K4511" s="82" t="str">
        <f t="shared" si="1362"/>
        <v>Invoice</v>
      </c>
      <c r="L4511" s="83" t="str">
        <f>"SI_112273"</f>
        <v>SI_112273</v>
      </c>
      <c r="M4511" s="84">
        <v>42363</v>
      </c>
      <c r="N4511" s="85">
        <f t="shared" si="1363"/>
        <v>1449</v>
      </c>
      <c r="O4511" s="86">
        <f t="shared" si="1364"/>
        <v>6653.81</v>
      </c>
      <c r="P4511" s="86">
        <f t="shared" si="1365"/>
        <v>0</v>
      </c>
      <c r="Q4511" s="86">
        <f t="shared" si="1366"/>
        <v>0</v>
      </c>
      <c r="R4511" s="86">
        <f t="shared" si="1367"/>
        <v>0</v>
      </c>
      <c r="S4511" s="86">
        <f t="shared" si="1368"/>
        <v>0</v>
      </c>
      <c r="T4511" s="86">
        <f t="shared" si="1369"/>
        <v>6653.81</v>
      </c>
      <c r="U4511" s="87">
        <v>6653.81</v>
      </c>
    </row>
    <row r="4512" spans="1:21" s="30" customFormat="1" ht="24.6" hidden="1" outlineLevel="1" x14ac:dyDescent="0.55000000000000004">
      <c r="A4512" s="27" t="s">
        <v>327</v>
      </c>
      <c r="B4512" s="28"/>
      <c r="C4512" s="27"/>
      <c r="D4512" s="27" t="str">
        <f>"""NAV Direct"",""CRONUS JetCorp USA"",""21"",""1"",""401484"""</f>
        <v>"NAV Direct","CRONUS JetCorp USA","21","1","401484"</v>
      </c>
      <c r="E4512" s="31">
        <f t="shared" si="1361"/>
        <v>0</v>
      </c>
      <c r="F4512" s="31"/>
      <c r="G4512" s="31"/>
      <c r="H4512" s="31"/>
      <c r="I4512" s="56"/>
      <c r="J4512" s="56"/>
      <c r="K4512" s="82" t="str">
        <f t="shared" si="1362"/>
        <v>Invoice</v>
      </c>
      <c r="L4512" s="83" t="str">
        <f>"SI_112274"</f>
        <v>SI_112274</v>
      </c>
      <c r="M4512" s="84">
        <v>42366</v>
      </c>
      <c r="N4512" s="85">
        <f t="shared" si="1363"/>
        <v>1446</v>
      </c>
      <c r="O4512" s="86">
        <f t="shared" si="1364"/>
        <v>6653.8300000000008</v>
      </c>
      <c r="P4512" s="86">
        <f t="shared" si="1365"/>
        <v>0</v>
      </c>
      <c r="Q4512" s="86">
        <f t="shared" si="1366"/>
        <v>0</v>
      </c>
      <c r="R4512" s="86">
        <f t="shared" si="1367"/>
        <v>0</v>
      </c>
      <c r="S4512" s="86">
        <f t="shared" si="1368"/>
        <v>0</v>
      </c>
      <c r="T4512" s="86">
        <f t="shared" si="1369"/>
        <v>6653.8300000000008</v>
      </c>
      <c r="U4512" s="87">
        <v>6653.8300000000008</v>
      </c>
    </row>
    <row r="4513" spans="1:22" s="30" customFormat="1" ht="24.6" hidden="1" outlineLevel="1" x14ac:dyDescent="0.55000000000000004">
      <c r="A4513" s="27" t="s">
        <v>327</v>
      </c>
      <c r="B4513" s="28"/>
      <c r="C4513" s="27"/>
      <c r="D4513" s="27" t="str">
        <f>"""NAV Direct"",""CRONUS JetCorp USA"",""21"",""1"",""438797"""</f>
        <v>"NAV Direct","CRONUS JetCorp USA","21","1","438797"</v>
      </c>
      <c r="E4513" s="31" t="str">
        <f t="shared" si="1361"/>
        <v>C100127</v>
      </c>
      <c r="F4513" s="31"/>
      <c r="G4513" s="31"/>
      <c r="H4513" s="31"/>
      <c r="I4513" s="56"/>
      <c r="J4513" s="56"/>
      <c r="K4513" s="82" t="str">
        <f t="shared" ref="K4513:K4519" si="1370">"Credit Memo"</f>
        <v>Credit Memo</v>
      </c>
      <c r="L4513" s="83" t="str">
        <f>"SC_100835"</f>
        <v>SC_100835</v>
      </c>
      <c r="M4513" s="84">
        <v>42594</v>
      </c>
      <c r="N4513" s="85">
        <f t="shared" si="1363"/>
        <v>1218</v>
      </c>
      <c r="O4513" s="86">
        <f t="shared" si="1364"/>
        <v>-96.280000000000015</v>
      </c>
      <c r="P4513" s="86">
        <f t="shared" si="1365"/>
        <v>0</v>
      </c>
      <c r="Q4513" s="86">
        <f t="shared" si="1366"/>
        <v>0</v>
      </c>
      <c r="R4513" s="86">
        <f t="shared" si="1367"/>
        <v>0</v>
      </c>
      <c r="S4513" s="86">
        <f t="shared" si="1368"/>
        <v>0</v>
      </c>
      <c r="T4513" s="86">
        <f t="shared" si="1369"/>
        <v>-96.280000000000015</v>
      </c>
      <c r="U4513" s="87">
        <v>-96.280000000000015</v>
      </c>
    </row>
    <row r="4514" spans="1:22" s="30" customFormat="1" ht="24.6" hidden="1" outlineLevel="1" x14ac:dyDescent="0.55000000000000004">
      <c r="A4514" s="27" t="s">
        <v>327</v>
      </c>
      <c r="B4514" s="28"/>
      <c r="C4514" s="27"/>
      <c r="D4514" s="27" t="str">
        <f>"""NAV Direct"",""CRONUS JetCorp USA"",""21"",""1"",""439066"""</f>
        <v>"NAV Direct","CRONUS JetCorp USA","21","1","439066"</v>
      </c>
      <c r="E4514" s="31">
        <f t="shared" si="1361"/>
        <v>0</v>
      </c>
      <c r="F4514" s="31"/>
      <c r="G4514" s="31"/>
      <c r="H4514" s="31"/>
      <c r="I4514" s="56"/>
      <c r="J4514" s="56"/>
      <c r="K4514" s="82" t="str">
        <f t="shared" si="1370"/>
        <v>Credit Memo</v>
      </c>
      <c r="L4514" s="83" t="str">
        <f>"SC_100849"</f>
        <v>SC_100849</v>
      </c>
      <c r="M4514" s="84">
        <v>43085</v>
      </c>
      <c r="N4514" s="85">
        <f t="shared" si="1363"/>
        <v>727</v>
      </c>
      <c r="O4514" s="86">
        <f t="shared" si="1364"/>
        <v>-82.55</v>
      </c>
      <c r="P4514" s="86">
        <f t="shared" si="1365"/>
        <v>0</v>
      </c>
      <c r="Q4514" s="86">
        <f t="shared" si="1366"/>
        <v>0</v>
      </c>
      <c r="R4514" s="86">
        <f t="shared" si="1367"/>
        <v>0</v>
      </c>
      <c r="S4514" s="86">
        <f t="shared" si="1368"/>
        <v>0</v>
      </c>
      <c r="T4514" s="86">
        <f t="shared" si="1369"/>
        <v>-82.55</v>
      </c>
      <c r="U4514" s="87">
        <v>-82.55</v>
      </c>
    </row>
    <row r="4515" spans="1:22" s="30" customFormat="1" ht="24.6" hidden="1" outlineLevel="1" x14ac:dyDescent="0.55000000000000004">
      <c r="A4515" s="27" t="s">
        <v>327</v>
      </c>
      <c r="B4515" s="28"/>
      <c r="C4515" s="27"/>
      <c r="D4515" s="27" t="str">
        <f>"""NAV Direct"",""CRONUS JetCorp USA"",""21"",""1"",""439165"""</f>
        <v>"NAV Direct","CRONUS JetCorp USA","21","1","439165"</v>
      </c>
      <c r="E4515" s="31" t="str">
        <f t="shared" si="1361"/>
        <v>C100127</v>
      </c>
      <c r="F4515" s="31"/>
      <c r="G4515" s="31"/>
      <c r="H4515" s="31"/>
      <c r="I4515" s="56"/>
      <c r="J4515" s="56"/>
      <c r="K4515" s="82" t="str">
        <f t="shared" si="1370"/>
        <v>Credit Memo</v>
      </c>
      <c r="L4515" s="83" t="str">
        <f>"SC_100854"</f>
        <v>SC_100854</v>
      </c>
      <c r="M4515" s="84">
        <v>43260</v>
      </c>
      <c r="N4515" s="85">
        <f t="shared" si="1363"/>
        <v>552</v>
      </c>
      <c r="O4515" s="86">
        <f t="shared" si="1364"/>
        <v>-84.53</v>
      </c>
      <c r="P4515" s="86">
        <f t="shared" si="1365"/>
        <v>0</v>
      </c>
      <c r="Q4515" s="86">
        <f t="shared" si="1366"/>
        <v>0</v>
      </c>
      <c r="R4515" s="86">
        <f t="shared" si="1367"/>
        <v>0</v>
      </c>
      <c r="S4515" s="86">
        <f t="shared" si="1368"/>
        <v>0</v>
      </c>
      <c r="T4515" s="86">
        <f t="shared" si="1369"/>
        <v>-84.53</v>
      </c>
      <c r="U4515" s="87">
        <v>-84.53</v>
      </c>
    </row>
    <row r="4516" spans="1:22" s="30" customFormat="1" ht="24.6" hidden="1" outlineLevel="1" x14ac:dyDescent="0.55000000000000004">
      <c r="A4516" s="27" t="s">
        <v>327</v>
      </c>
      <c r="B4516" s="28"/>
      <c r="C4516" s="27"/>
      <c r="D4516" s="27" t="str">
        <f>"""NAV Direct"",""CRONUS JetCorp USA"",""21"",""1"",""439236"""</f>
        <v>"NAV Direct","CRONUS JetCorp USA","21","1","439236"</v>
      </c>
      <c r="E4516" s="31">
        <f t="shared" si="1361"/>
        <v>0</v>
      </c>
      <c r="F4516" s="31"/>
      <c r="G4516" s="31"/>
      <c r="H4516" s="31"/>
      <c r="I4516" s="56"/>
      <c r="J4516" s="56"/>
      <c r="K4516" s="82" t="str">
        <f t="shared" si="1370"/>
        <v>Credit Memo</v>
      </c>
      <c r="L4516" s="83" t="str">
        <f>"SC_100857"</f>
        <v>SC_100857</v>
      </c>
      <c r="M4516" s="84">
        <v>43445</v>
      </c>
      <c r="N4516" s="85">
        <f t="shared" si="1363"/>
        <v>367</v>
      </c>
      <c r="O4516" s="86">
        <f t="shared" si="1364"/>
        <v>-103.42</v>
      </c>
      <c r="P4516" s="86">
        <f t="shared" si="1365"/>
        <v>0</v>
      </c>
      <c r="Q4516" s="86">
        <f t="shared" si="1366"/>
        <v>0</v>
      </c>
      <c r="R4516" s="86">
        <f t="shared" si="1367"/>
        <v>0</v>
      </c>
      <c r="S4516" s="86">
        <f t="shared" si="1368"/>
        <v>0</v>
      </c>
      <c r="T4516" s="86">
        <f t="shared" si="1369"/>
        <v>-103.42</v>
      </c>
      <c r="U4516" s="87">
        <v>-103.42</v>
      </c>
    </row>
    <row r="4517" spans="1:22" s="30" customFormat="1" ht="24.6" hidden="1" outlineLevel="1" x14ac:dyDescent="0.55000000000000004">
      <c r="A4517" s="27" t="s">
        <v>327</v>
      </c>
      <c r="B4517" s="28"/>
      <c r="C4517" s="27"/>
      <c r="D4517" s="27" t="str">
        <f>"""NAV Direct"",""CRONUS JetCorp USA"",""21"",""1"",""439630"""</f>
        <v>"NAV Direct","CRONUS JetCorp USA","21","1","439630"</v>
      </c>
      <c r="E4517" s="31" t="str">
        <f t="shared" si="1361"/>
        <v>C100127</v>
      </c>
      <c r="F4517" s="31"/>
      <c r="G4517" s="31"/>
      <c r="H4517" s="31"/>
      <c r="I4517" s="56"/>
      <c r="J4517" s="56"/>
      <c r="K4517" s="82" t="str">
        <f t="shared" si="1370"/>
        <v>Credit Memo</v>
      </c>
      <c r="L4517" s="83" t="str">
        <f>"SC_100877"</f>
        <v>SC_100877</v>
      </c>
      <c r="M4517" s="84">
        <v>43755</v>
      </c>
      <c r="N4517" s="85">
        <f t="shared" si="1363"/>
        <v>57</v>
      </c>
      <c r="O4517" s="86">
        <f t="shared" si="1364"/>
        <v>-126.1</v>
      </c>
      <c r="P4517" s="86">
        <f t="shared" si="1365"/>
        <v>0</v>
      </c>
      <c r="Q4517" s="86">
        <f t="shared" si="1366"/>
        <v>0</v>
      </c>
      <c r="R4517" s="86">
        <f t="shared" si="1367"/>
        <v>-126.1</v>
      </c>
      <c r="S4517" s="86">
        <f t="shared" si="1368"/>
        <v>0</v>
      </c>
      <c r="T4517" s="86">
        <f t="shared" si="1369"/>
        <v>0</v>
      </c>
      <c r="U4517" s="87">
        <v>-126.1</v>
      </c>
    </row>
    <row r="4518" spans="1:22" s="30" customFormat="1" ht="24.6" hidden="1" outlineLevel="1" x14ac:dyDescent="0.55000000000000004">
      <c r="A4518" s="27" t="s">
        <v>327</v>
      </c>
      <c r="B4518" s="28"/>
      <c r="C4518" s="27"/>
      <c r="D4518" s="27" t="str">
        <f>"""NAV Direct"",""CRONUS JetCorp USA"",""21"",""1"",""439919"""</f>
        <v>"NAV Direct","CRONUS JetCorp USA","21","1","439919"</v>
      </c>
      <c r="E4518" s="31">
        <f t="shared" si="1361"/>
        <v>0</v>
      </c>
      <c r="F4518" s="31"/>
      <c r="G4518" s="31"/>
      <c r="H4518" s="31"/>
      <c r="I4518" s="56"/>
      <c r="J4518" s="56"/>
      <c r="K4518" s="82" t="str">
        <f t="shared" si="1370"/>
        <v>Credit Memo</v>
      </c>
      <c r="L4518" s="83" t="str">
        <f>"SC_100892"</f>
        <v>SC_100892</v>
      </c>
      <c r="M4518" s="84">
        <v>42114</v>
      </c>
      <c r="N4518" s="85">
        <f t="shared" si="1363"/>
        <v>1698</v>
      </c>
      <c r="O4518" s="86">
        <f t="shared" si="1364"/>
        <v>-98.49</v>
      </c>
      <c r="P4518" s="86">
        <f t="shared" si="1365"/>
        <v>0</v>
      </c>
      <c r="Q4518" s="86">
        <f t="shared" si="1366"/>
        <v>0</v>
      </c>
      <c r="R4518" s="86">
        <f t="shared" si="1367"/>
        <v>0</v>
      </c>
      <c r="S4518" s="86">
        <f t="shared" si="1368"/>
        <v>0</v>
      </c>
      <c r="T4518" s="86">
        <f t="shared" si="1369"/>
        <v>-98.49</v>
      </c>
      <c r="U4518" s="87">
        <v>-98.49</v>
      </c>
    </row>
    <row r="4519" spans="1:22" s="30" customFormat="1" ht="24.6" hidden="1" outlineLevel="1" x14ac:dyDescent="0.55000000000000004">
      <c r="A4519" s="27" t="s">
        <v>327</v>
      </c>
      <c r="B4519" s="28"/>
      <c r="C4519" s="27"/>
      <c r="D4519" s="27" t="str">
        <f>"""NAV Direct"",""CRONUS JetCorp USA"",""21"",""1"",""440008"""</f>
        <v>"NAV Direct","CRONUS JetCorp USA","21","1","440008"</v>
      </c>
      <c r="E4519" s="31" t="str">
        <f t="shared" si="1361"/>
        <v>C100127</v>
      </c>
      <c r="F4519" s="31"/>
      <c r="G4519" s="31"/>
      <c r="H4519" s="31"/>
      <c r="I4519" s="56"/>
      <c r="J4519" s="56"/>
      <c r="K4519" s="82" t="str">
        <f t="shared" si="1370"/>
        <v>Credit Memo</v>
      </c>
      <c r="L4519" s="83" t="str">
        <f>"SC_100897"</f>
        <v>SC_100897</v>
      </c>
      <c r="M4519" s="84">
        <v>42180</v>
      </c>
      <c r="N4519" s="85">
        <f t="shared" si="1363"/>
        <v>1632</v>
      </c>
      <c r="O4519" s="86">
        <f t="shared" si="1364"/>
        <v>-67.22</v>
      </c>
      <c r="P4519" s="86">
        <f t="shared" si="1365"/>
        <v>0</v>
      </c>
      <c r="Q4519" s="86">
        <f t="shared" si="1366"/>
        <v>0</v>
      </c>
      <c r="R4519" s="86">
        <f t="shared" si="1367"/>
        <v>0</v>
      </c>
      <c r="S4519" s="86">
        <f t="shared" si="1368"/>
        <v>0</v>
      </c>
      <c r="T4519" s="86">
        <f t="shared" si="1369"/>
        <v>-67.22</v>
      </c>
      <c r="U4519" s="87">
        <v>-67.22</v>
      </c>
    </row>
    <row r="4520" spans="1:22" s="22" customFormat="1" ht="20.399999999999999" collapsed="1" x14ac:dyDescent="0.45">
      <c r="A4520" s="12" t="s">
        <v>327</v>
      </c>
      <c r="B4520" s="19"/>
      <c r="C4520" s="12"/>
      <c r="D4520" s="12"/>
      <c r="E4520" s="23"/>
      <c r="F4520" s="23"/>
      <c r="G4520" s="23"/>
      <c r="H4520" s="23"/>
      <c r="I4520" s="49"/>
      <c r="J4520" s="88"/>
      <c r="K4520" s="88"/>
      <c r="L4520" s="89"/>
      <c r="M4520" s="89"/>
      <c r="N4520" s="89"/>
      <c r="O4520" s="89"/>
      <c r="P4520" s="89"/>
      <c r="Q4520" s="90"/>
      <c r="R4520" s="90"/>
      <c r="S4520" s="91"/>
      <c r="T4520" s="92"/>
      <c r="U4520" s="92"/>
    </row>
    <row r="4521" spans="1:22" s="22" customFormat="1" ht="20.399999999999999" x14ac:dyDescent="0.45">
      <c r="A4521" s="12" t="s">
        <v>327</v>
      </c>
      <c r="B4521" s="19"/>
      <c r="C4521" s="12"/>
      <c r="D4521" s="12"/>
      <c r="E4521" s="23"/>
      <c r="F4521" s="23"/>
      <c r="G4521" s="23"/>
      <c r="H4521" s="23"/>
      <c r="I4521" s="49"/>
      <c r="J4521" s="88"/>
      <c r="K4521" s="88"/>
      <c r="L4521" s="89"/>
      <c r="M4521" s="89"/>
      <c r="N4521" s="89"/>
      <c r="O4521" s="89"/>
      <c r="P4521" s="89"/>
      <c r="Q4521" s="90"/>
      <c r="R4521" s="90"/>
      <c r="S4521" s="91"/>
      <c r="T4521" s="92"/>
      <c r="U4521" s="92"/>
    </row>
    <row r="4522" spans="1:22" s="26" customFormat="1" ht="24.6" x14ac:dyDescent="0.55000000000000004">
      <c r="A4522" s="27" t="s">
        <v>327</v>
      </c>
      <c r="B4522" s="28"/>
      <c r="C4522" s="27" t="str">
        <f>"""NAV Direct"",""CRONUS JetCorp USA"",""18"",""1"",""C100128"""</f>
        <v>"NAV Direct","CRONUS JetCorp USA","18","1","C100128"</v>
      </c>
      <c r="D4522" s="27"/>
      <c r="E4522" s="28" t="str">
        <f>H4522</f>
        <v>C100128</v>
      </c>
      <c r="F4522" s="28"/>
      <c r="G4522" s="28"/>
      <c r="H4522" s="28" t="str">
        <f>"C100128"</f>
        <v>C100128</v>
      </c>
      <c r="I4522" s="116" t="str">
        <f>"C100128  -  Solar Tech"</f>
        <v>C100128  -  Solar Tech</v>
      </c>
      <c r="J4522" s="117" t="str">
        <f>""</f>
        <v/>
      </c>
      <c r="K4522" s="118"/>
      <c r="L4522" s="119">
        <f>SUBTOTAL(3,L4523:L4544)</f>
        <v>18</v>
      </c>
      <c r="M4522" s="118"/>
      <c r="N4522" s="118"/>
      <c r="O4522" s="120">
        <f t="shared" ref="O4522:T4522" si="1371">SUBTOTAL(9,O4523:O4544)</f>
        <v>42116.95</v>
      </c>
      <c r="P4522" s="120">
        <f t="shared" si="1371"/>
        <v>0</v>
      </c>
      <c r="Q4522" s="120">
        <f t="shared" si="1371"/>
        <v>0</v>
      </c>
      <c r="R4522" s="120">
        <f t="shared" si="1371"/>
        <v>0</v>
      </c>
      <c r="S4522" s="120">
        <f t="shared" si="1371"/>
        <v>0</v>
      </c>
      <c r="T4522" s="120">
        <f t="shared" si="1371"/>
        <v>42116.95</v>
      </c>
      <c r="U4522" s="81"/>
    </row>
    <row r="4523" spans="1:22" s="26" customFormat="1" ht="24.6" x14ac:dyDescent="0.55000000000000004">
      <c r="A4523" s="27" t="s">
        <v>327</v>
      </c>
      <c r="B4523" s="28"/>
      <c r="C4523" s="27" t="str">
        <f>C4522</f>
        <v>"NAV Direct","CRONUS JetCorp USA","18","1","C100128"</v>
      </c>
      <c r="D4523" s="27"/>
      <c r="E4523" s="28" t="str">
        <f>E4522</f>
        <v>C100128</v>
      </c>
      <c r="F4523" s="28"/>
      <c r="G4523" s="28"/>
      <c r="H4523" s="28"/>
      <c r="I4523" s="121" t="str">
        <f>"Contact: Comtesse Medea Barbaric"</f>
        <v>Contact: Comtesse Medea Barbaric</v>
      </c>
      <c r="J4523" s="121"/>
      <c r="K4523" s="122"/>
      <c r="L4523" s="123"/>
      <c r="M4523" s="123"/>
      <c r="N4523" s="124"/>
      <c r="O4523" s="124"/>
      <c r="P4523" s="123"/>
      <c r="Q4523" s="125"/>
      <c r="R4523" s="126"/>
      <c r="S4523" s="126"/>
      <c r="T4523" s="125"/>
      <c r="U4523" s="81"/>
    </row>
    <row r="4524" spans="1:22" s="26" customFormat="1" ht="24.6" x14ac:dyDescent="0.55000000000000004">
      <c r="A4524" s="27" t="s">
        <v>327</v>
      </c>
      <c r="B4524" s="28"/>
      <c r="C4524" s="27" t="str">
        <f>C4523</f>
        <v>"NAV Direct","CRONUS JetCorp USA","18","1","C100128"</v>
      </c>
      <c r="D4524" s="27"/>
      <c r="E4524" s="28" t="str">
        <f>E4523</f>
        <v>C100128</v>
      </c>
      <c r="F4524" s="28"/>
      <c r="G4524" s="28"/>
      <c r="H4524" s="28"/>
      <c r="I4524" s="121" t="str">
        <f>"Solar Tech@Cronus.com"</f>
        <v>Solar Tech@Cronus.com</v>
      </c>
      <c r="J4524" s="121"/>
      <c r="K4524" s="122"/>
      <c r="L4524" s="124"/>
      <c r="M4524" s="124"/>
      <c r="N4524" s="124"/>
      <c r="O4524" s="124"/>
      <c r="P4524" s="123"/>
      <c r="Q4524" s="125"/>
      <c r="R4524" s="126"/>
      <c r="S4524" s="126"/>
      <c r="T4524" s="125"/>
      <c r="U4524" s="81"/>
    </row>
    <row r="4525" spans="1:22" ht="12.75" hidden="1" customHeight="1" outlineLevel="1" x14ac:dyDescent="0.45">
      <c r="A4525" s="12" t="s">
        <v>328</v>
      </c>
      <c r="B4525" s="19"/>
      <c r="E4525" s="19"/>
      <c r="F4525" s="19"/>
      <c r="G4525" s="19"/>
      <c r="H4525" s="19"/>
      <c r="I4525" s="61"/>
      <c r="J4525" s="61"/>
      <c r="K4525" s="61"/>
      <c r="L4525" s="61"/>
      <c r="M4525" s="61"/>
      <c r="N4525" s="61"/>
      <c r="O4525" s="61"/>
      <c r="P4525" s="61"/>
      <c r="Q4525" s="61"/>
      <c r="R4525" s="61"/>
      <c r="S4525" s="61"/>
      <c r="T4525" s="61"/>
      <c r="U4525" s="61"/>
      <c r="V4525" s="21"/>
    </row>
    <row r="4526" spans="1:22" s="30" customFormat="1" ht="24.6" hidden="1" outlineLevel="1" x14ac:dyDescent="0.55000000000000004">
      <c r="A4526" s="27" t="s">
        <v>327</v>
      </c>
      <c r="B4526" s="28"/>
      <c r="C4526" s="27"/>
      <c r="D4526" s="27" t="str">
        <f>"""NAV Direct"",""CRONUS JetCorp USA"",""21"",""1"",""209522"""</f>
        <v>"NAV Direct","CRONUS JetCorp USA","21","1","209522"</v>
      </c>
      <c r="E4526" s="31" t="str">
        <f t="shared" ref="E4526:E4543" si="1372">E4524</f>
        <v>C100128</v>
      </c>
      <c r="F4526" s="31"/>
      <c r="G4526" s="31"/>
      <c r="H4526" s="31"/>
      <c r="I4526" s="56"/>
      <c r="J4526" s="56"/>
      <c r="K4526" s="82" t="str">
        <f t="shared" ref="K4526:K4536" si="1373">"Invoice"</f>
        <v>Invoice</v>
      </c>
      <c r="L4526" s="83" t="str">
        <f>"SI_108475"</f>
        <v>SI_108475</v>
      </c>
      <c r="M4526" s="84">
        <v>42069</v>
      </c>
      <c r="N4526" s="85">
        <f t="shared" ref="N4526:N4543" si="1374">StartDate-$M4526+1</f>
        <v>1743</v>
      </c>
      <c r="O4526" s="86">
        <f t="shared" ref="O4526:O4543" si="1375">SUM(P4526:T4526)</f>
        <v>3622.69</v>
      </c>
      <c r="P4526" s="86">
        <f t="shared" ref="P4526:P4543" si="1376">IF($M4526&gt;=$P$18,U4526,0)</f>
        <v>0</v>
      </c>
      <c r="Q4526" s="86">
        <f t="shared" ref="Q4526:Q4543" si="1377">IF(AND($M4526&gt;=$Q$16,$M4526&lt;=$Q$18),U4526,0)</f>
        <v>0</v>
      </c>
      <c r="R4526" s="86">
        <f t="shared" ref="R4526:R4543" si="1378">IF(AND($M4526&gt;=$R$16,$M4526&lt;=$R$18),U4526,0)</f>
        <v>0</v>
      </c>
      <c r="S4526" s="86">
        <f t="shared" ref="S4526:S4543" si="1379">IF(AND($M4526&gt;=$S$16,$M4526&lt;=$S$18),U4526,0)</f>
        <v>0</v>
      </c>
      <c r="T4526" s="86">
        <f t="shared" ref="T4526:T4543" si="1380">IF($M4526&lt;=$T$18,U4526,0)</f>
        <v>3622.69</v>
      </c>
      <c r="U4526" s="87">
        <v>3622.69</v>
      </c>
    </row>
    <row r="4527" spans="1:22" s="30" customFormat="1" ht="24.6" hidden="1" outlineLevel="1" x14ac:dyDescent="0.55000000000000004">
      <c r="A4527" s="27" t="s">
        <v>327</v>
      </c>
      <c r="B4527" s="28"/>
      <c r="C4527" s="27"/>
      <c r="D4527" s="27" t="str">
        <f>"""NAV Direct"",""CRONUS JetCorp USA"",""21"",""1"",""209760"""</f>
        <v>"NAV Direct","CRONUS JetCorp USA","21","1","209760"</v>
      </c>
      <c r="E4527" s="31">
        <f t="shared" si="1372"/>
        <v>0</v>
      </c>
      <c r="F4527" s="31"/>
      <c r="G4527" s="31"/>
      <c r="H4527" s="31"/>
      <c r="I4527" s="56"/>
      <c r="J4527" s="56"/>
      <c r="K4527" s="82" t="str">
        <f t="shared" si="1373"/>
        <v>Invoice</v>
      </c>
      <c r="L4527" s="83" t="str">
        <f>"SI_108481"</f>
        <v>SI_108481</v>
      </c>
      <c r="M4527" s="84">
        <v>42082</v>
      </c>
      <c r="N4527" s="85">
        <f t="shared" si="1374"/>
        <v>1730</v>
      </c>
      <c r="O4527" s="86">
        <f t="shared" si="1375"/>
        <v>3622.4999999999995</v>
      </c>
      <c r="P4527" s="86">
        <f t="shared" si="1376"/>
        <v>0</v>
      </c>
      <c r="Q4527" s="86">
        <f t="shared" si="1377"/>
        <v>0</v>
      </c>
      <c r="R4527" s="86">
        <f t="shared" si="1378"/>
        <v>0</v>
      </c>
      <c r="S4527" s="86">
        <f t="shared" si="1379"/>
        <v>0</v>
      </c>
      <c r="T4527" s="86">
        <f t="shared" si="1380"/>
        <v>3622.4999999999995</v>
      </c>
      <c r="U4527" s="87">
        <v>3622.4999999999995</v>
      </c>
    </row>
    <row r="4528" spans="1:22" s="30" customFormat="1" ht="24.6" hidden="1" outlineLevel="1" x14ac:dyDescent="0.55000000000000004">
      <c r="A4528" s="27" t="s">
        <v>327</v>
      </c>
      <c r="B4528" s="28"/>
      <c r="C4528" s="27"/>
      <c r="D4528" s="27" t="str">
        <f>"""NAV Direct"",""CRONUS JetCorp USA"",""21"",""1"",""209793"""</f>
        <v>"NAV Direct","CRONUS JetCorp USA","21","1","209793"</v>
      </c>
      <c r="E4528" s="31" t="str">
        <f t="shared" si="1372"/>
        <v>C100128</v>
      </c>
      <c r="F4528" s="31"/>
      <c r="G4528" s="31"/>
      <c r="H4528" s="31"/>
      <c r="I4528" s="56"/>
      <c r="J4528" s="56"/>
      <c r="K4528" s="82" t="str">
        <f t="shared" si="1373"/>
        <v>Invoice</v>
      </c>
      <c r="L4528" s="83" t="str">
        <f>"SI_108482"</f>
        <v>SI_108482</v>
      </c>
      <c r="M4528" s="84">
        <v>42085</v>
      </c>
      <c r="N4528" s="85">
        <f t="shared" si="1374"/>
        <v>1727</v>
      </c>
      <c r="O4528" s="86">
        <f t="shared" si="1375"/>
        <v>3622.77</v>
      </c>
      <c r="P4528" s="86">
        <f t="shared" si="1376"/>
        <v>0</v>
      </c>
      <c r="Q4528" s="86">
        <f t="shared" si="1377"/>
        <v>0</v>
      </c>
      <c r="R4528" s="86">
        <f t="shared" si="1378"/>
        <v>0</v>
      </c>
      <c r="S4528" s="86">
        <f t="shared" si="1379"/>
        <v>0</v>
      </c>
      <c r="T4528" s="86">
        <f t="shared" si="1380"/>
        <v>3622.77</v>
      </c>
      <c r="U4528" s="87">
        <v>3622.77</v>
      </c>
    </row>
    <row r="4529" spans="1:21" s="30" customFormat="1" ht="24.6" hidden="1" outlineLevel="1" x14ac:dyDescent="0.55000000000000004">
      <c r="A4529" s="27" t="s">
        <v>327</v>
      </c>
      <c r="B4529" s="28"/>
      <c r="C4529" s="27"/>
      <c r="D4529" s="27" t="str">
        <f>"""NAV Direct"",""CRONUS JetCorp USA"",""21"",""1"",""210151"""</f>
        <v>"NAV Direct","CRONUS JetCorp USA","21","1","210151"</v>
      </c>
      <c r="E4529" s="31">
        <f t="shared" si="1372"/>
        <v>0</v>
      </c>
      <c r="F4529" s="31"/>
      <c r="G4529" s="31"/>
      <c r="H4529" s="31"/>
      <c r="I4529" s="56"/>
      <c r="J4529" s="56"/>
      <c r="K4529" s="82" t="str">
        <f t="shared" si="1373"/>
        <v>Invoice</v>
      </c>
      <c r="L4529" s="83" t="str">
        <f>"SI_108491"</f>
        <v>SI_108491</v>
      </c>
      <c r="M4529" s="84">
        <v>42113</v>
      </c>
      <c r="N4529" s="85">
        <f t="shared" si="1374"/>
        <v>1699</v>
      </c>
      <c r="O4529" s="86">
        <f t="shared" si="1375"/>
        <v>3675.38</v>
      </c>
      <c r="P4529" s="86">
        <f t="shared" si="1376"/>
        <v>0</v>
      </c>
      <c r="Q4529" s="86">
        <f t="shared" si="1377"/>
        <v>0</v>
      </c>
      <c r="R4529" s="86">
        <f t="shared" si="1378"/>
        <v>0</v>
      </c>
      <c r="S4529" s="86">
        <f t="shared" si="1379"/>
        <v>0</v>
      </c>
      <c r="T4529" s="86">
        <f t="shared" si="1380"/>
        <v>3675.38</v>
      </c>
      <c r="U4529" s="87">
        <v>3675.38</v>
      </c>
    </row>
    <row r="4530" spans="1:21" s="30" customFormat="1" ht="24.6" hidden="1" outlineLevel="1" x14ac:dyDescent="0.55000000000000004">
      <c r="A4530" s="27" t="s">
        <v>327</v>
      </c>
      <c r="B4530" s="28"/>
      <c r="C4530" s="27"/>
      <c r="D4530" s="27" t="str">
        <f>"""NAV Direct"",""CRONUS JetCorp USA"",""21"",""1"",""210200"""</f>
        <v>"NAV Direct","CRONUS JetCorp USA","21","1","210200"</v>
      </c>
      <c r="E4530" s="31" t="str">
        <f t="shared" si="1372"/>
        <v>C100128</v>
      </c>
      <c r="F4530" s="31"/>
      <c r="G4530" s="31"/>
      <c r="H4530" s="31"/>
      <c r="I4530" s="56"/>
      <c r="J4530" s="56"/>
      <c r="K4530" s="82" t="str">
        <f t="shared" si="1373"/>
        <v>Invoice</v>
      </c>
      <c r="L4530" s="83" t="str">
        <f>"SI_108492"</f>
        <v>SI_108492</v>
      </c>
      <c r="M4530" s="84">
        <v>42116</v>
      </c>
      <c r="N4530" s="85">
        <f t="shared" si="1374"/>
        <v>1696</v>
      </c>
      <c r="O4530" s="86">
        <f t="shared" si="1375"/>
        <v>3713.04</v>
      </c>
      <c r="P4530" s="86">
        <f t="shared" si="1376"/>
        <v>0</v>
      </c>
      <c r="Q4530" s="86">
        <f t="shared" si="1377"/>
        <v>0</v>
      </c>
      <c r="R4530" s="86">
        <f t="shared" si="1378"/>
        <v>0</v>
      </c>
      <c r="S4530" s="86">
        <f t="shared" si="1379"/>
        <v>0</v>
      </c>
      <c r="T4530" s="86">
        <f t="shared" si="1380"/>
        <v>3713.04</v>
      </c>
      <c r="U4530" s="87">
        <v>3713.04</v>
      </c>
    </row>
    <row r="4531" spans="1:21" s="30" customFormat="1" ht="24.6" hidden="1" outlineLevel="1" x14ac:dyDescent="0.55000000000000004">
      <c r="A4531" s="27" t="s">
        <v>327</v>
      </c>
      <c r="B4531" s="28"/>
      <c r="C4531" s="27"/>
      <c r="D4531" s="27" t="str">
        <f>"""NAV Direct"",""CRONUS JetCorp USA"",""21"",""1"",""210696"""</f>
        <v>"NAV Direct","CRONUS JetCorp USA","21","1","210696"</v>
      </c>
      <c r="E4531" s="31">
        <f t="shared" si="1372"/>
        <v>0</v>
      </c>
      <c r="F4531" s="31"/>
      <c r="G4531" s="31"/>
      <c r="H4531" s="31"/>
      <c r="I4531" s="56"/>
      <c r="J4531" s="56"/>
      <c r="K4531" s="82" t="str">
        <f t="shared" si="1373"/>
        <v>Invoice</v>
      </c>
      <c r="L4531" s="83" t="str">
        <f>"SI_108504"</f>
        <v>SI_108504</v>
      </c>
      <c r="M4531" s="84">
        <v>42161</v>
      </c>
      <c r="N4531" s="85">
        <f t="shared" si="1374"/>
        <v>1651</v>
      </c>
      <c r="O4531" s="86">
        <f t="shared" si="1375"/>
        <v>3971.23</v>
      </c>
      <c r="P4531" s="86">
        <f t="shared" si="1376"/>
        <v>0</v>
      </c>
      <c r="Q4531" s="86">
        <f t="shared" si="1377"/>
        <v>0</v>
      </c>
      <c r="R4531" s="86">
        <f t="shared" si="1378"/>
        <v>0</v>
      </c>
      <c r="S4531" s="86">
        <f t="shared" si="1379"/>
        <v>0</v>
      </c>
      <c r="T4531" s="86">
        <f t="shared" si="1380"/>
        <v>3971.23</v>
      </c>
      <c r="U4531" s="87">
        <v>3971.23</v>
      </c>
    </row>
    <row r="4532" spans="1:21" s="30" customFormat="1" ht="24.6" hidden="1" outlineLevel="1" x14ac:dyDescent="0.55000000000000004">
      <c r="A4532" s="27" t="s">
        <v>327</v>
      </c>
      <c r="B4532" s="28"/>
      <c r="C4532" s="27"/>
      <c r="D4532" s="27" t="str">
        <f>"""NAV Direct"",""CRONUS JetCorp USA"",""21"",""1"",""211116"""</f>
        <v>"NAV Direct","CRONUS JetCorp USA","21","1","211116"</v>
      </c>
      <c r="E4532" s="31" t="str">
        <f t="shared" si="1372"/>
        <v>C100128</v>
      </c>
      <c r="F4532" s="31"/>
      <c r="G4532" s="31"/>
      <c r="H4532" s="31"/>
      <c r="I4532" s="56"/>
      <c r="J4532" s="56"/>
      <c r="K4532" s="82" t="str">
        <f t="shared" si="1373"/>
        <v>Invoice</v>
      </c>
      <c r="L4532" s="83" t="str">
        <f>"SI_108514"</f>
        <v>SI_108514</v>
      </c>
      <c r="M4532" s="84">
        <v>42189</v>
      </c>
      <c r="N4532" s="85">
        <f t="shared" si="1374"/>
        <v>1623</v>
      </c>
      <c r="O4532" s="86">
        <f t="shared" si="1375"/>
        <v>3831.98</v>
      </c>
      <c r="P4532" s="86">
        <f t="shared" si="1376"/>
        <v>0</v>
      </c>
      <c r="Q4532" s="86">
        <f t="shared" si="1377"/>
        <v>0</v>
      </c>
      <c r="R4532" s="86">
        <f t="shared" si="1378"/>
        <v>0</v>
      </c>
      <c r="S4532" s="86">
        <f t="shared" si="1379"/>
        <v>0</v>
      </c>
      <c r="T4532" s="86">
        <f t="shared" si="1380"/>
        <v>3831.98</v>
      </c>
      <c r="U4532" s="87">
        <v>3831.98</v>
      </c>
    </row>
    <row r="4533" spans="1:21" s="30" customFormat="1" ht="24.6" hidden="1" outlineLevel="1" x14ac:dyDescent="0.55000000000000004">
      <c r="A4533" s="27" t="s">
        <v>327</v>
      </c>
      <c r="B4533" s="28"/>
      <c r="C4533" s="27"/>
      <c r="D4533" s="27" t="str">
        <f>"""NAV Direct"",""CRONUS JetCorp USA"",""21"",""1"",""211586"""</f>
        <v>"NAV Direct","CRONUS JetCorp USA","21","1","211586"</v>
      </c>
      <c r="E4533" s="31">
        <f t="shared" si="1372"/>
        <v>0</v>
      </c>
      <c r="F4533" s="31"/>
      <c r="G4533" s="31"/>
      <c r="H4533" s="31"/>
      <c r="I4533" s="56"/>
      <c r="J4533" s="56"/>
      <c r="K4533" s="82" t="str">
        <f t="shared" si="1373"/>
        <v>Invoice</v>
      </c>
      <c r="L4533" s="83" t="str">
        <f>"SI_108524"</f>
        <v>SI_108524</v>
      </c>
      <c r="M4533" s="84">
        <v>42222</v>
      </c>
      <c r="N4533" s="85">
        <f t="shared" si="1374"/>
        <v>1590</v>
      </c>
      <c r="O4533" s="86">
        <f t="shared" si="1375"/>
        <v>3950.6800000000003</v>
      </c>
      <c r="P4533" s="86">
        <f t="shared" si="1376"/>
        <v>0</v>
      </c>
      <c r="Q4533" s="86">
        <f t="shared" si="1377"/>
        <v>0</v>
      </c>
      <c r="R4533" s="86">
        <f t="shared" si="1378"/>
        <v>0</v>
      </c>
      <c r="S4533" s="86">
        <f t="shared" si="1379"/>
        <v>0</v>
      </c>
      <c r="T4533" s="86">
        <f t="shared" si="1380"/>
        <v>3950.6800000000003</v>
      </c>
      <c r="U4533" s="87">
        <v>3950.6800000000003</v>
      </c>
    </row>
    <row r="4534" spans="1:21" s="30" customFormat="1" ht="24.6" hidden="1" outlineLevel="1" x14ac:dyDescent="0.55000000000000004">
      <c r="A4534" s="27" t="s">
        <v>327</v>
      </c>
      <c r="B4534" s="28"/>
      <c r="C4534" s="27"/>
      <c r="D4534" s="27" t="str">
        <f>"""NAV Direct"",""CRONUS JetCorp USA"",""21"",""1"",""211887"""</f>
        <v>"NAV Direct","CRONUS JetCorp USA","21","1","211887"</v>
      </c>
      <c r="E4534" s="31" t="str">
        <f t="shared" si="1372"/>
        <v>C100128</v>
      </c>
      <c r="F4534" s="31"/>
      <c r="G4534" s="31"/>
      <c r="H4534" s="31"/>
      <c r="I4534" s="56"/>
      <c r="J4534" s="56"/>
      <c r="K4534" s="82" t="str">
        <f t="shared" si="1373"/>
        <v>Invoice</v>
      </c>
      <c r="L4534" s="83" t="str">
        <f>"SI_108531"</f>
        <v>SI_108531</v>
      </c>
      <c r="M4534" s="84">
        <v>42232</v>
      </c>
      <c r="N4534" s="85">
        <f t="shared" si="1374"/>
        <v>1580</v>
      </c>
      <c r="O4534" s="86">
        <f t="shared" si="1375"/>
        <v>3951.13</v>
      </c>
      <c r="P4534" s="86">
        <f t="shared" si="1376"/>
        <v>0</v>
      </c>
      <c r="Q4534" s="86">
        <f t="shared" si="1377"/>
        <v>0</v>
      </c>
      <c r="R4534" s="86">
        <f t="shared" si="1378"/>
        <v>0</v>
      </c>
      <c r="S4534" s="86">
        <f t="shared" si="1379"/>
        <v>0</v>
      </c>
      <c r="T4534" s="86">
        <f t="shared" si="1380"/>
        <v>3951.13</v>
      </c>
      <c r="U4534" s="87">
        <v>3951.13</v>
      </c>
    </row>
    <row r="4535" spans="1:21" s="30" customFormat="1" ht="24.6" hidden="1" outlineLevel="1" x14ac:dyDescent="0.55000000000000004">
      <c r="A4535" s="27" t="s">
        <v>327</v>
      </c>
      <c r="B4535" s="28"/>
      <c r="C4535" s="27"/>
      <c r="D4535" s="27" t="str">
        <f>"""NAV Direct"",""CRONUS JetCorp USA"",""21"",""1"",""212227"""</f>
        <v>"NAV Direct","CRONUS JetCorp USA","21","1","212227"</v>
      </c>
      <c r="E4535" s="31">
        <f t="shared" si="1372"/>
        <v>0</v>
      </c>
      <c r="F4535" s="31"/>
      <c r="G4535" s="31"/>
      <c r="H4535" s="31"/>
      <c r="I4535" s="56"/>
      <c r="J4535" s="56"/>
      <c r="K4535" s="82" t="str">
        <f t="shared" si="1373"/>
        <v>Invoice</v>
      </c>
      <c r="L4535" s="83" t="str">
        <f>"SI_108539"</f>
        <v>SI_108539</v>
      </c>
      <c r="M4535" s="84">
        <v>42261</v>
      </c>
      <c r="N4535" s="85">
        <f t="shared" si="1374"/>
        <v>1551</v>
      </c>
      <c r="O4535" s="86">
        <f t="shared" si="1375"/>
        <v>4029.6699999999996</v>
      </c>
      <c r="P4535" s="86">
        <f t="shared" si="1376"/>
        <v>0</v>
      </c>
      <c r="Q4535" s="86">
        <f t="shared" si="1377"/>
        <v>0</v>
      </c>
      <c r="R4535" s="86">
        <f t="shared" si="1378"/>
        <v>0</v>
      </c>
      <c r="S4535" s="86">
        <f t="shared" si="1379"/>
        <v>0</v>
      </c>
      <c r="T4535" s="86">
        <f t="shared" si="1380"/>
        <v>4029.6699999999996</v>
      </c>
      <c r="U4535" s="87">
        <v>4029.6699999999996</v>
      </c>
    </row>
    <row r="4536" spans="1:21" s="30" customFormat="1" ht="24.6" hidden="1" outlineLevel="1" x14ac:dyDescent="0.55000000000000004">
      <c r="A4536" s="27" t="s">
        <v>327</v>
      </c>
      <c r="B4536" s="28"/>
      <c r="C4536" s="27"/>
      <c r="D4536" s="27" t="str">
        <f>"""NAV Direct"",""CRONUS JetCorp USA"",""21"",""1"",""213696"""</f>
        <v>"NAV Direct","CRONUS JetCorp USA","21","1","213696"</v>
      </c>
      <c r="E4536" s="31" t="str">
        <f t="shared" si="1372"/>
        <v>C100128</v>
      </c>
      <c r="F4536" s="31"/>
      <c r="G4536" s="31"/>
      <c r="H4536" s="31"/>
      <c r="I4536" s="56"/>
      <c r="J4536" s="56"/>
      <c r="K4536" s="82" t="str">
        <f t="shared" si="1373"/>
        <v>Invoice</v>
      </c>
      <c r="L4536" s="83" t="str">
        <f>"SI_108573"</f>
        <v>SI_108573</v>
      </c>
      <c r="M4536" s="84">
        <v>42361</v>
      </c>
      <c r="N4536" s="85">
        <f t="shared" si="1374"/>
        <v>1451</v>
      </c>
      <c r="O4536" s="86">
        <f t="shared" si="1375"/>
        <v>4360.3999999999996</v>
      </c>
      <c r="P4536" s="86">
        <f t="shared" si="1376"/>
        <v>0</v>
      </c>
      <c r="Q4536" s="86">
        <f t="shared" si="1377"/>
        <v>0</v>
      </c>
      <c r="R4536" s="86">
        <f t="shared" si="1378"/>
        <v>0</v>
      </c>
      <c r="S4536" s="86">
        <f t="shared" si="1379"/>
        <v>0</v>
      </c>
      <c r="T4536" s="86">
        <f t="shared" si="1380"/>
        <v>4360.3999999999996</v>
      </c>
      <c r="U4536" s="87">
        <v>4360.3999999999996</v>
      </c>
    </row>
    <row r="4537" spans="1:21" s="30" customFormat="1" ht="24.6" hidden="1" outlineLevel="1" x14ac:dyDescent="0.55000000000000004">
      <c r="A4537" s="27" t="s">
        <v>327</v>
      </c>
      <c r="B4537" s="28"/>
      <c r="C4537" s="27"/>
      <c r="D4537" s="27" t="str">
        <f>"""NAV Direct"",""CRONUS JetCorp USA"",""21"",""1"",""444051"""</f>
        <v>"NAV Direct","CRONUS JetCorp USA","21","1","444051"</v>
      </c>
      <c r="E4537" s="31">
        <f t="shared" si="1372"/>
        <v>0</v>
      </c>
      <c r="F4537" s="31"/>
      <c r="G4537" s="31"/>
      <c r="H4537" s="31"/>
      <c r="I4537" s="56"/>
      <c r="J4537" s="56"/>
      <c r="K4537" s="82" t="str">
        <f t="shared" ref="K4537:K4543" si="1381">"Credit Memo"</f>
        <v>Credit Memo</v>
      </c>
      <c r="L4537" s="83" t="str">
        <f>"SC_101129"</f>
        <v>SC_101129</v>
      </c>
      <c r="M4537" s="84">
        <v>42382</v>
      </c>
      <c r="N4537" s="85">
        <f t="shared" si="1374"/>
        <v>1430</v>
      </c>
      <c r="O4537" s="86">
        <f t="shared" si="1375"/>
        <v>-33.07</v>
      </c>
      <c r="P4537" s="86">
        <f t="shared" si="1376"/>
        <v>0</v>
      </c>
      <c r="Q4537" s="86">
        <f t="shared" si="1377"/>
        <v>0</v>
      </c>
      <c r="R4537" s="86">
        <f t="shared" si="1378"/>
        <v>0</v>
      </c>
      <c r="S4537" s="86">
        <f t="shared" si="1379"/>
        <v>0</v>
      </c>
      <c r="T4537" s="86">
        <f t="shared" si="1380"/>
        <v>-33.07</v>
      </c>
      <c r="U4537" s="87">
        <v>-33.07</v>
      </c>
    </row>
    <row r="4538" spans="1:21" s="30" customFormat="1" ht="24.6" hidden="1" outlineLevel="1" x14ac:dyDescent="0.55000000000000004">
      <c r="A4538" s="27" t="s">
        <v>327</v>
      </c>
      <c r="B4538" s="28"/>
      <c r="C4538" s="27"/>
      <c r="D4538" s="27" t="str">
        <f>"""NAV Direct"",""CRONUS JetCorp USA"",""21"",""1"",""444432"""</f>
        <v>"NAV Direct","CRONUS JetCorp USA","21","1","444432"</v>
      </c>
      <c r="E4538" s="31" t="str">
        <f t="shared" si="1372"/>
        <v>C100128</v>
      </c>
      <c r="F4538" s="31"/>
      <c r="G4538" s="31"/>
      <c r="H4538" s="31"/>
      <c r="I4538" s="56"/>
      <c r="J4538" s="56"/>
      <c r="K4538" s="82" t="str">
        <f t="shared" si="1381"/>
        <v>Credit Memo</v>
      </c>
      <c r="L4538" s="83" t="str">
        <f>"SC_101173"</f>
        <v>SC_101173</v>
      </c>
      <c r="M4538" s="84">
        <v>43239</v>
      </c>
      <c r="N4538" s="85">
        <f t="shared" si="1374"/>
        <v>573</v>
      </c>
      <c r="O4538" s="86">
        <f t="shared" si="1375"/>
        <v>-28.16</v>
      </c>
      <c r="P4538" s="86">
        <f t="shared" si="1376"/>
        <v>0</v>
      </c>
      <c r="Q4538" s="86">
        <f t="shared" si="1377"/>
        <v>0</v>
      </c>
      <c r="R4538" s="86">
        <f t="shared" si="1378"/>
        <v>0</v>
      </c>
      <c r="S4538" s="86">
        <f t="shared" si="1379"/>
        <v>0</v>
      </c>
      <c r="T4538" s="86">
        <f t="shared" si="1380"/>
        <v>-28.16</v>
      </c>
      <c r="U4538" s="87">
        <v>-28.16</v>
      </c>
    </row>
    <row r="4539" spans="1:21" s="30" customFormat="1" ht="24.6" hidden="1" outlineLevel="1" x14ac:dyDescent="0.55000000000000004">
      <c r="A4539" s="27" t="s">
        <v>327</v>
      </c>
      <c r="B4539" s="28"/>
      <c r="C4539" s="27"/>
      <c r="D4539" s="27" t="str">
        <f>"""NAV Direct"",""CRONUS JetCorp USA"",""21"",""1"",""444523"""</f>
        <v>"NAV Direct","CRONUS JetCorp USA","21","1","444523"</v>
      </c>
      <c r="E4539" s="31">
        <f t="shared" si="1372"/>
        <v>0</v>
      </c>
      <c r="F4539" s="31"/>
      <c r="G4539" s="31"/>
      <c r="H4539" s="31"/>
      <c r="I4539" s="56"/>
      <c r="J4539" s="56"/>
      <c r="K4539" s="82" t="str">
        <f t="shared" si="1381"/>
        <v>Credit Memo</v>
      </c>
      <c r="L4539" s="83" t="str">
        <f>"SC_101186"</f>
        <v>SC_101186</v>
      </c>
      <c r="M4539" s="84">
        <v>43421</v>
      </c>
      <c r="N4539" s="85">
        <f t="shared" si="1374"/>
        <v>391</v>
      </c>
      <c r="O4539" s="86">
        <f t="shared" si="1375"/>
        <v>-30.32</v>
      </c>
      <c r="P4539" s="86">
        <f t="shared" si="1376"/>
        <v>0</v>
      </c>
      <c r="Q4539" s="86">
        <f t="shared" si="1377"/>
        <v>0</v>
      </c>
      <c r="R4539" s="86">
        <f t="shared" si="1378"/>
        <v>0</v>
      </c>
      <c r="S4539" s="86">
        <f t="shared" si="1379"/>
        <v>0</v>
      </c>
      <c r="T4539" s="86">
        <f t="shared" si="1380"/>
        <v>-30.32</v>
      </c>
      <c r="U4539" s="87">
        <v>-30.32</v>
      </c>
    </row>
    <row r="4540" spans="1:21" s="30" customFormat="1" ht="24.6" hidden="1" outlineLevel="1" x14ac:dyDescent="0.55000000000000004">
      <c r="A4540" s="27" t="s">
        <v>327</v>
      </c>
      <c r="B4540" s="28"/>
      <c r="C4540" s="27"/>
      <c r="D4540" s="27" t="str">
        <f>"""NAV Direct"",""CRONUS JetCorp USA"",""21"",""1"",""444610"""</f>
        <v>"NAV Direct","CRONUS JetCorp USA","21","1","444610"</v>
      </c>
      <c r="E4540" s="31" t="str">
        <f t="shared" si="1372"/>
        <v>C100128</v>
      </c>
      <c r="F4540" s="31"/>
      <c r="G4540" s="31"/>
      <c r="H4540" s="31"/>
      <c r="I4540" s="56"/>
      <c r="J4540" s="56"/>
      <c r="K4540" s="82" t="str">
        <f t="shared" si="1381"/>
        <v>Credit Memo</v>
      </c>
      <c r="L4540" s="83" t="str">
        <f>"SC_101195"</f>
        <v>SC_101195</v>
      </c>
      <c r="M4540" s="84">
        <v>43627</v>
      </c>
      <c r="N4540" s="85">
        <f t="shared" si="1374"/>
        <v>185</v>
      </c>
      <c r="O4540" s="86">
        <f t="shared" si="1375"/>
        <v>-31.18</v>
      </c>
      <c r="P4540" s="86">
        <f t="shared" si="1376"/>
        <v>0</v>
      </c>
      <c r="Q4540" s="86">
        <f t="shared" si="1377"/>
        <v>0</v>
      </c>
      <c r="R4540" s="86">
        <f t="shared" si="1378"/>
        <v>0</v>
      </c>
      <c r="S4540" s="86">
        <f t="shared" si="1379"/>
        <v>0</v>
      </c>
      <c r="T4540" s="86">
        <f t="shared" si="1380"/>
        <v>-31.18</v>
      </c>
      <c r="U4540" s="87">
        <v>-31.18</v>
      </c>
    </row>
    <row r="4541" spans="1:21" s="30" customFormat="1" ht="24.6" hidden="1" outlineLevel="1" x14ac:dyDescent="0.55000000000000004">
      <c r="A4541" s="27" t="s">
        <v>327</v>
      </c>
      <c r="B4541" s="28"/>
      <c r="C4541" s="27"/>
      <c r="D4541" s="27" t="str">
        <f>"""NAV Direct"",""CRONUS JetCorp USA"",""21"",""1"",""444640"""</f>
        <v>"NAV Direct","CRONUS JetCorp USA","21","1","444640"</v>
      </c>
      <c r="E4541" s="31">
        <f t="shared" si="1372"/>
        <v>0</v>
      </c>
      <c r="F4541" s="31"/>
      <c r="G4541" s="31"/>
      <c r="H4541" s="31"/>
      <c r="I4541" s="56"/>
      <c r="J4541" s="56"/>
      <c r="K4541" s="82" t="str">
        <f t="shared" si="1381"/>
        <v>Credit Memo</v>
      </c>
      <c r="L4541" s="83" t="str">
        <f>"SC_101197"</f>
        <v>SC_101197</v>
      </c>
      <c r="M4541" s="84">
        <v>43716</v>
      </c>
      <c r="N4541" s="85">
        <f t="shared" si="1374"/>
        <v>96</v>
      </c>
      <c r="O4541" s="86">
        <f t="shared" si="1375"/>
        <v>-32.72</v>
      </c>
      <c r="P4541" s="86">
        <f t="shared" si="1376"/>
        <v>0</v>
      </c>
      <c r="Q4541" s="86">
        <f t="shared" si="1377"/>
        <v>0</v>
      </c>
      <c r="R4541" s="86">
        <f t="shared" si="1378"/>
        <v>0</v>
      </c>
      <c r="S4541" s="86">
        <f t="shared" si="1379"/>
        <v>0</v>
      </c>
      <c r="T4541" s="86">
        <f t="shared" si="1380"/>
        <v>-32.72</v>
      </c>
      <c r="U4541" s="87">
        <v>-32.72</v>
      </c>
    </row>
    <row r="4542" spans="1:21" s="30" customFormat="1" ht="24.6" hidden="1" outlineLevel="1" x14ac:dyDescent="0.55000000000000004">
      <c r="A4542" s="27" t="s">
        <v>327</v>
      </c>
      <c r="B4542" s="28"/>
      <c r="C4542" s="27"/>
      <c r="D4542" s="27" t="str">
        <f>"""NAV Direct"",""CRONUS JetCorp USA"",""21"",""1"",""444696"""</f>
        <v>"NAV Direct","CRONUS JetCorp USA","21","1","444696"</v>
      </c>
      <c r="E4542" s="31" t="str">
        <f t="shared" si="1372"/>
        <v>C100128</v>
      </c>
      <c r="F4542" s="31"/>
      <c r="G4542" s="31"/>
      <c r="H4542" s="31"/>
      <c r="I4542" s="56"/>
      <c r="J4542" s="56"/>
      <c r="K4542" s="82" t="str">
        <f t="shared" si="1381"/>
        <v>Credit Memo</v>
      </c>
      <c r="L4542" s="83" t="str">
        <f>"SC_101205"</f>
        <v>SC_101205</v>
      </c>
      <c r="M4542" s="84">
        <v>42050</v>
      </c>
      <c r="N4542" s="85">
        <f t="shared" si="1374"/>
        <v>1762</v>
      </c>
      <c r="O4542" s="86">
        <f t="shared" si="1375"/>
        <v>-35.470000000000006</v>
      </c>
      <c r="P4542" s="86">
        <f t="shared" si="1376"/>
        <v>0</v>
      </c>
      <c r="Q4542" s="86">
        <f t="shared" si="1377"/>
        <v>0</v>
      </c>
      <c r="R4542" s="86">
        <f t="shared" si="1378"/>
        <v>0</v>
      </c>
      <c r="S4542" s="86">
        <f t="shared" si="1379"/>
        <v>0</v>
      </c>
      <c r="T4542" s="86">
        <f t="shared" si="1380"/>
        <v>-35.470000000000006</v>
      </c>
      <c r="U4542" s="87">
        <v>-35.470000000000006</v>
      </c>
    </row>
    <row r="4543" spans="1:21" s="30" customFormat="1" ht="24.6" hidden="1" outlineLevel="1" x14ac:dyDescent="0.55000000000000004">
      <c r="A4543" s="27" t="s">
        <v>327</v>
      </c>
      <c r="B4543" s="28"/>
      <c r="C4543" s="27"/>
      <c r="D4543" s="27" t="str">
        <f>"""NAV Direct"",""CRONUS JetCorp USA"",""21"",""1"",""444854"""</f>
        <v>"NAV Direct","CRONUS JetCorp USA","21","1","444854"</v>
      </c>
      <c r="E4543" s="31">
        <f t="shared" si="1372"/>
        <v>0</v>
      </c>
      <c r="F4543" s="31"/>
      <c r="G4543" s="31"/>
      <c r="H4543" s="31"/>
      <c r="I4543" s="56"/>
      <c r="J4543" s="56"/>
      <c r="K4543" s="82" t="str">
        <f t="shared" si="1381"/>
        <v>Credit Memo</v>
      </c>
      <c r="L4543" s="83" t="str">
        <f>"SC_101221"</f>
        <v>SC_101221</v>
      </c>
      <c r="M4543" s="84">
        <v>42319</v>
      </c>
      <c r="N4543" s="85">
        <f t="shared" si="1374"/>
        <v>1493</v>
      </c>
      <c r="O4543" s="86">
        <f t="shared" si="1375"/>
        <v>-43.6</v>
      </c>
      <c r="P4543" s="86">
        <f t="shared" si="1376"/>
        <v>0</v>
      </c>
      <c r="Q4543" s="86">
        <f t="shared" si="1377"/>
        <v>0</v>
      </c>
      <c r="R4543" s="86">
        <f t="shared" si="1378"/>
        <v>0</v>
      </c>
      <c r="S4543" s="86">
        <f t="shared" si="1379"/>
        <v>0</v>
      </c>
      <c r="T4543" s="86">
        <f t="shared" si="1380"/>
        <v>-43.6</v>
      </c>
      <c r="U4543" s="87">
        <v>-43.6</v>
      </c>
    </row>
    <row r="4544" spans="1:21" s="22" customFormat="1" ht="20.399999999999999" collapsed="1" x14ac:dyDescent="0.45">
      <c r="A4544" s="12" t="s">
        <v>327</v>
      </c>
      <c r="B4544" s="19"/>
      <c r="C4544" s="12"/>
      <c r="D4544" s="12"/>
      <c r="E4544" s="23"/>
      <c r="F4544" s="23"/>
      <c r="G4544" s="23"/>
      <c r="H4544" s="23"/>
      <c r="I4544" s="49"/>
      <c r="J4544" s="88"/>
      <c r="K4544" s="88"/>
      <c r="L4544" s="89"/>
      <c r="M4544" s="89"/>
      <c r="N4544" s="89"/>
      <c r="O4544" s="89"/>
      <c r="P4544" s="89"/>
      <c r="Q4544" s="90"/>
      <c r="R4544" s="90"/>
      <c r="S4544" s="91"/>
      <c r="T4544" s="92"/>
      <c r="U4544" s="92"/>
    </row>
    <row r="4545" spans="1:22" s="22" customFormat="1" ht="20.399999999999999" x14ac:dyDescent="0.45">
      <c r="A4545" s="12" t="s">
        <v>327</v>
      </c>
      <c r="B4545" s="19"/>
      <c r="C4545" s="12"/>
      <c r="D4545" s="12"/>
      <c r="E4545" s="23"/>
      <c r="F4545" s="23"/>
      <c r="G4545" s="23"/>
      <c r="H4545" s="23"/>
      <c r="I4545" s="49"/>
      <c r="J4545" s="88"/>
      <c r="K4545" s="88"/>
      <c r="L4545" s="89"/>
      <c r="M4545" s="89"/>
      <c r="N4545" s="89"/>
      <c r="O4545" s="89"/>
      <c r="P4545" s="89"/>
      <c r="Q4545" s="90"/>
      <c r="R4545" s="90"/>
      <c r="S4545" s="91"/>
      <c r="T4545" s="92"/>
      <c r="U4545" s="92"/>
    </row>
    <row r="4546" spans="1:22" s="26" customFormat="1" ht="24.6" x14ac:dyDescent="0.55000000000000004">
      <c r="A4546" s="27" t="s">
        <v>327</v>
      </c>
      <c r="B4546" s="28"/>
      <c r="C4546" s="27" t="str">
        <f>"""NAV Direct"",""CRONUS JetCorp USA"",""18"",""1"",""C100129"""</f>
        <v>"NAV Direct","CRONUS JetCorp USA","18","1","C100129"</v>
      </c>
      <c r="D4546" s="27"/>
      <c r="E4546" s="28" t="str">
        <f>H4546</f>
        <v>C100129</v>
      </c>
      <c r="F4546" s="28"/>
      <c r="G4546" s="28"/>
      <c r="H4546" s="28" t="str">
        <f>"C100129"</f>
        <v>C100129</v>
      </c>
      <c r="I4546" s="116" t="str">
        <f>"C100129  -  Saxon Technology"</f>
        <v>C100129  -  Saxon Technology</v>
      </c>
      <c r="J4546" s="117" t="str">
        <f>""</f>
        <v/>
      </c>
      <c r="K4546" s="118"/>
      <c r="L4546" s="119">
        <f>SUBTOTAL(3,L4547:L4591)</f>
        <v>41</v>
      </c>
      <c r="M4546" s="118"/>
      <c r="N4546" s="118"/>
      <c r="O4546" s="120">
        <f t="shared" ref="O4546:T4546" si="1382">SUBTOTAL(9,O4547:O4591)</f>
        <v>333975.77</v>
      </c>
      <c r="P4546" s="120">
        <f t="shared" si="1382"/>
        <v>0</v>
      </c>
      <c r="Q4546" s="120">
        <f t="shared" si="1382"/>
        <v>11887.82</v>
      </c>
      <c r="R4546" s="120">
        <f t="shared" si="1382"/>
        <v>13311.96</v>
      </c>
      <c r="S4546" s="120">
        <f t="shared" si="1382"/>
        <v>0</v>
      </c>
      <c r="T4546" s="120">
        <f t="shared" si="1382"/>
        <v>308775.99</v>
      </c>
      <c r="U4546" s="81"/>
    </row>
    <row r="4547" spans="1:22" s="26" customFormat="1" ht="24.6" x14ac:dyDescent="0.55000000000000004">
      <c r="A4547" s="27" t="s">
        <v>327</v>
      </c>
      <c r="B4547" s="28"/>
      <c r="C4547" s="27" t="str">
        <f>C4546</f>
        <v>"NAV Direct","CRONUS JetCorp USA","18","1","C100129"</v>
      </c>
      <c r="D4547" s="27"/>
      <c r="E4547" s="28" t="str">
        <f>E4546</f>
        <v>C100129</v>
      </c>
      <c r="F4547" s="28"/>
      <c r="G4547" s="28"/>
      <c r="H4547" s="28"/>
      <c r="I4547" s="121" t="str">
        <f>"Contact: Edwina Stein"</f>
        <v>Contact: Edwina Stein</v>
      </c>
      <c r="J4547" s="121"/>
      <c r="K4547" s="122"/>
      <c r="L4547" s="123"/>
      <c r="M4547" s="123"/>
      <c r="N4547" s="124"/>
      <c r="O4547" s="124"/>
      <c r="P4547" s="123"/>
      <c r="Q4547" s="125"/>
      <c r="R4547" s="126"/>
      <c r="S4547" s="126"/>
      <c r="T4547" s="125"/>
      <c r="U4547" s="81"/>
    </row>
    <row r="4548" spans="1:22" s="26" customFormat="1" ht="24.6" x14ac:dyDescent="0.55000000000000004">
      <c r="A4548" s="27" t="s">
        <v>327</v>
      </c>
      <c r="B4548" s="28"/>
      <c r="C4548" s="27" t="str">
        <f>C4547</f>
        <v>"NAV Direct","CRONUS JetCorp USA","18","1","C100129"</v>
      </c>
      <c r="D4548" s="27"/>
      <c r="E4548" s="28" t="str">
        <f>E4547</f>
        <v>C100129</v>
      </c>
      <c r="F4548" s="28"/>
      <c r="G4548" s="28"/>
      <c r="H4548" s="28"/>
      <c r="I4548" s="121" t="str">
        <f>"Saxon Technology@Cronus.com"</f>
        <v>Saxon Technology@Cronus.com</v>
      </c>
      <c r="J4548" s="121"/>
      <c r="K4548" s="122"/>
      <c r="L4548" s="124"/>
      <c r="M4548" s="124"/>
      <c r="N4548" s="124"/>
      <c r="O4548" s="124"/>
      <c r="P4548" s="123"/>
      <c r="Q4548" s="125"/>
      <c r="R4548" s="126"/>
      <c r="S4548" s="126"/>
      <c r="T4548" s="125"/>
      <c r="U4548" s="81"/>
    </row>
    <row r="4549" spans="1:22" ht="12.75" hidden="1" customHeight="1" outlineLevel="1" x14ac:dyDescent="0.45">
      <c r="A4549" s="12" t="s">
        <v>328</v>
      </c>
      <c r="B4549" s="19"/>
      <c r="E4549" s="19"/>
      <c r="F4549" s="19"/>
      <c r="G4549" s="19"/>
      <c r="H4549" s="19"/>
      <c r="I4549" s="61"/>
      <c r="J4549" s="61"/>
      <c r="K4549" s="61"/>
      <c r="L4549" s="61"/>
      <c r="M4549" s="61"/>
      <c r="N4549" s="61"/>
      <c r="O4549" s="61"/>
      <c r="P4549" s="61"/>
      <c r="Q4549" s="61"/>
      <c r="R4549" s="61"/>
      <c r="S4549" s="61"/>
      <c r="T4549" s="61"/>
      <c r="U4549" s="61"/>
      <c r="V4549" s="21"/>
    </row>
    <row r="4550" spans="1:22" s="30" customFormat="1" ht="24.6" hidden="1" outlineLevel="1" x14ac:dyDescent="0.55000000000000004">
      <c r="A4550" s="27" t="s">
        <v>327</v>
      </c>
      <c r="B4550" s="28"/>
      <c r="C4550" s="27"/>
      <c r="D4550" s="27" t="str">
        <f>"""NAV Direct"",""CRONUS JetCorp USA"",""21"",""1"",""131641"""</f>
        <v>"NAV Direct","CRONUS JetCorp USA","21","1","131641"</v>
      </c>
      <c r="E4550" s="31" t="str">
        <f t="shared" ref="E4550:E4590" si="1383">E4548</f>
        <v>C100129</v>
      </c>
      <c r="F4550" s="31"/>
      <c r="G4550" s="31"/>
      <c r="H4550" s="31"/>
      <c r="I4550" s="56"/>
      <c r="J4550" s="56"/>
      <c r="K4550" s="82" t="str">
        <f t="shared" ref="K4550:K4583" si="1384">"Invoice"</f>
        <v>Invoice</v>
      </c>
      <c r="L4550" s="83" t="str">
        <f>"SI_107042"</f>
        <v>SI_107042</v>
      </c>
      <c r="M4550" s="84">
        <v>42359</v>
      </c>
      <c r="N4550" s="85">
        <f t="shared" ref="N4550:N4590" si="1385">StartDate-$M4550+1</f>
        <v>1453</v>
      </c>
      <c r="O4550" s="86">
        <f t="shared" ref="O4550:O4590" si="1386">SUM(P4550:T4550)</f>
        <v>6798.5599999999995</v>
      </c>
      <c r="P4550" s="86">
        <f t="shared" ref="P4550:P4590" si="1387">IF($M4550&gt;=$P$18,U4550,0)</f>
        <v>0</v>
      </c>
      <c r="Q4550" s="86">
        <f t="shared" ref="Q4550:Q4590" si="1388">IF(AND($M4550&gt;=$Q$16,$M4550&lt;=$Q$18),U4550,0)</f>
        <v>0</v>
      </c>
      <c r="R4550" s="86">
        <f t="shared" ref="R4550:R4590" si="1389">IF(AND($M4550&gt;=$R$16,$M4550&lt;=$R$18),U4550,0)</f>
        <v>0</v>
      </c>
      <c r="S4550" s="86">
        <f t="shared" ref="S4550:S4590" si="1390">IF(AND($M4550&gt;=$S$16,$M4550&lt;=$S$18),U4550,0)</f>
        <v>0</v>
      </c>
      <c r="T4550" s="86">
        <f t="shared" ref="T4550:T4590" si="1391">IF($M4550&lt;=$T$18,U4550,0)</f>
        <v>6798.5599999999995</v>
      </c>
      <c r="U4550" s="87">
        <v>6798.5599999999995</v>
      </c>
    </row>
    <row r="4551" spans="1:22" s="30" customFormat="1" ht="24.6" hidden="1" outlineLevel="1" x14ac:dyDescent="0.55000000000000004">
      <c r="A4551" s="27" t="s">
        <v>327</v>
      </c>
      <c r="B4551" s="28"/>
      <c r="C4551" s="27"/>
      <c r="D4551" s="27" t="str">
        <f>"""NAV Direct"",""CRONUS JetCorp USA"",""21"",""1"",""384058"""</f>
        <v>"NAV Direct","CRONUS JetCorp USA","21","1","384058"</v>
      </c>
      <c r="E4551" s="31">
        <f t="shared" si="1383"/>
        <v>0</v>
      </c>
      <c r="F4551" s="31"/>
      <c r="G4551" s="31"/>
      <c r="H4551" s="31"/>
      <c r="I4551" s="56"/>
      <c r="J4551" s="56"/>
      <c r="K4551" s="82" t="str">
        <f t="shared" si="1384"/>
        <v>Invoice</v>
      </c>
      <c r="L4551" s="83" t="str">
        <f>"SI_111926"</f>
        <v>SI_111926</v>
      </c>
      <c r="M4551" s="84">
        <v>42425</v>
      </c>
      <c r="N4551" s="85">
        <f t="shared" si="1385"/>
        <v>1387</v>
      </c>
      <c r="O4551" s="86">
        <f t="shared" si="1386"/>
        <v>9770.4</v>
      </c>
      <c r="P4551" s="86">
        <f t="shared" si="1387"/>
        <v>0</v>
      </c>
      <c r="Q4551" s="86">
        <f t="shared" si="1388"/>
        <v>0</v>
      </c>
      <c r="R4551" s="86">
        <f t="shared" si="1389"/>
        <v>0</v>
      </c>
      <c r="S4551" s="86">
        <f t="shared" si="1390"/>
        <v>0</v>
      </c>
      <c r="T4551" s="86">
        <f t="shared" si="1391"/>
        <v>9770.4</v>
      </c>
      <c r="U4551" s="87">
        <v>9770.4</v>
      </c>
    </row>
    <row r="4552" spans="1:22" s="30" customFormat="1" ht="24.6" hidden="1" outlineLevel="1" x14ac:dyDescent="0.55000000000000004">
      <c r="A4552" s="27" t="s">
        <v>327</v>
      </c>
      <c r="B4552" s="28"/>
      <c r="C4552" s="27"/>
      <c r="D4552" s="27" t="str">
        <f>"""NAV Direct"",""CRONUS JetCorp USA"",""21"",""1"",""384272"""</f>
        <v>"NAV Direct","CRONUS JetCorp USA","21","1","384272"</v>
      </c>
      <c r="E4552" s="31" t="str">
        <f t="shared" si="1383"/>
        <v>C100129</v>
      </c>
      <c r="F4552" s="31"/>
      <c r="G4552" s="31"/>
      <c r="H4552" s="31"/>
      <c r="I4552" s="56"/>
      <c r="J4552" s="56"/>
      <c r="K4552" s="82" t="str">
        <f t="shared" si="1384"/>
        <v>Invoice</v>
      </c>
      <c r="L4552" s="83" t="str">
        <f>"SI_111930"</f>
        <v>SI_111930</v>
      </c>
      <c r="M4552" s="84">
        <v>42424</v>
      </c>
      <c r="N4552" s="85">
        <f t="shared" si="1385"/>
        <v>1388</v>
      </c>
      <c r="O4552" s="86">
        <f t="shared" si="1386"/>
        <v>9172.33</v>
      </c>
      <c r="P4552" s="86">
        <f t="shared" si="1387"/>
        <v>0</v>
      </c>
      <c r="Q4552" s="86">
        <f t="shared" si="1388"/>
        <v>0</v>
      </c>
      <c r="R4552" s="86">
        <f t="shared" si="1389"/>
        <v>0</v>
      </c>
      <c r="S4552" s="86">
        <f t="shared" si="1390"/>
        <v>0</v>
      </c>
      <c r="T4552" s="86">
        <f t="shared" si="1391"/>
        <v>9172.33</v>
      </c>
      <c r="U4552" s="87">
        <v>9172.33</v>
      </c>
    </row>
    <row r="4553" spans="1:22" s="30" customFormat="1" ht="24.6" hidden="1" outlineLevel="1" x14ac:dyDescent="0.55000000000000004">
      <c r="A4553" s="27" t="s">
        <v>327</v>
      </c>
      <c r="B4553" s="28"/>
      <c r="C4553" s="27"/>
      <c r="D4553" s="27" t="str">
        <f>"""NAV Direct"",""CRONUS JetCorp USA"",""21"",""1"",""384763"""</f>
        <v>"NAV Direct","CRONUS JetCorp USA","21","1","384763"</v>
      </c>
      <c r="E4553" s="31">
        <f t="shared" si="1383"/>
        <v>0</v>
      </c>
      <c r="F4553" s="31"/>
      <c r="G4553" s="31"/>
      <c r="H4553" s="31"/>
      <c r="I4553" s="56"/>
      <c r="J4553" s="56"/>
      <c r="K4553" s="82" t="str">
        <f t="shared" si="1384"/>
        <v>Invoice</v>
      </c>
      <c r="L4553" s="83" t="str">
        <f>"SI_111939"</f>
        <v>SI_111939</v>
      </c>
      <c r="M4553" s="84">
        <v>42470</v>
      </c>
      <c r="N4553" s="85">
        <f t="shared" si="1385"/>
        <v>1342</v>
      </c>
      <c r="O4553" s="86">
        <f t="shared" si="1386"/>
        <v>11924.11</v>
      </c>
      <c r="P4553" s="86">
        <f t="shared" si="1387"/>
        <v>0</v>
      </c>
      <c r="Q4553" s="86">
        <f t="shared" si="1388"/>
        <v>0</v>
      </c>
      <c r="R4553" s="86">
        <f t="shared" si="1389"/>
        <v>0</v>
      </c>
      <c r="S4553" s="86">
        <f t="shared" si="1390"/>
        <v>0</v>
      </c>
      <c r="T4553" s="86">
        <f t="shared" si="1391"/>
        <v>11924.11</v>
      </c>
      <c r="U4553" s="87">
        <v>11924.11</v>
      </c>
    </row>
    <row r="4554" spans="1:22" s="30" customFormat="1" ht="24.6" hidden="1" outlineLevel="1" x14ac:dyDescent="0.55000000000000004">
      <c r="A4554" s="27" t="s">
        <v>327</v>
      </c>
      <c r="B4554" s="28"/>
      <c r="C4554" s="27"/>
      <c r="D4554" s="27" t="str">
        <f>"""NAV Direct"",""CRONUS JetCorp USA"",""21"",""1"",""386095"""</f>
        <v>"NAV Direct","CRONUS JetCorp USA","21","1","386095"</v>
      </c>
      <c r="E4554" s="31" t="str">
        <f t="shared" si="1383"/>
        <v>C100129</v>
      </c>
      <c r="F4554" s="31"/>
      <c r="G4554" s="31"/>
      <c r="H4554" s="31"/>
      <c r="I4554" s="56"/>
      <c r="J4554" s="56"/>
      <c r="K4554" s="82" t="str">
        <f t="shared" si="1384"/>
        <v>Invoice</v>
      </c>
      <c r="L4554" s="83" t="str">
        <f>"SI_111965"</f>
        <v>SI_111965</v>
      </c>
      <c r="M4554" s="84">
        <v>42606</v>
      </c>
      <c r="N4554" s="85">
        <f t="shared" si="1385"/>
        <v>1206</v>
      </c>
      <c r="O4554" s="86">
        <f t="shared" si="1386"/>
        <v>9431.09</v>
      </c>
      <c r="P4554" s="86">
        <f t="shared" si="1387"/>
        <v>0</v>
      </c>
      <c r="Q4554" s="86">
        <f t="shared" si="1388"/>
        <v>0</v>
      </c>
      <c r="R4554" s="86">
        <f t="shared" si="1389"/>
        <v>0</v>
      </c>
      <c r="S4554" s="86">
        <f t="shared" si="1390"/>
        <v>0</v>
      </c>
      <c r="T4554" s="86">
        <f t="shared" si="1391"/>
        <v>9431.09</v>
      </c>
      <c r="U4554" s="87">
        <v>9431.09</v>
      </c>
    </row>
    <row r="4555" spans="1:22" s="30" customFormat="1" ht="24.6" hidden="1" outlineLevel="1" x14ac:dyDescent="0.55000000000000004">
      <c r="A4555" s="27" t="s">
        <v>327</v>
      </c>
      <c r="B4555" s="28"/>
      <c r="C4555" s="27"/>
      <c r="D4555" s="27" t="str">
        <f>"""NAV Direct"",""CRONUS JetCorp USA"",""21"",""1"",""386181"""</f>
        <v>"NAV Direct","CRONUS JetCorp USA","21","1","386181"</v>
      </c>
      <c r="E4555" s="31">
        <f t="shared" si="1383"/>
        <v>0</v>
      </c>
      <c r="F4555" s="31"/>
      <c r="G4555" s="31"/>
      <c r="H4555" s="31"/>
      <c r="I4555" s="56"/>
      <c r="J4555" s="56"/>
      <c r="K4555" s="82" t="str">
        <f t="shared" si="1384"/>
        <v>Invoice</v>
      </c>
      <c r="L4555" s="83" t="str">
        <f>"SI_111967"</f>
        <v>SI_111967</v>
      </c>
      <c r="M4555" s="84">
        <v>42609</v>
      </c>
      <c r="N4555" s="85">
        <f t="shared" si="1385"/>
        <v>1203</v>
      </c>
      <c r="O4555" s="86">
        <f t="shared" si="1386"/>
        <v>9629.67</v>
      </c>
      <c r="P4555" s="86">
        <f t="shared" si="1387"/>
        <v>0</v>
      </c>
      <c r="Q4555" s="86">
        <f t="shared" si="1388"/>
        <v>0</v>
      </c>
      <c r="R4555" s="86">
        <f t="shared" si="1389"/>
        <v>0</v>
      </c>
      <c r="S4555" s="86">
        <f t="shared" si="1390"/>
        <v>0</v>
      </c>
      <c r="T4555" s="86">
        <f t="shared" si="1391"/>
        <v>9629.67</v>
      </c>
      <c r="U4555" s="87">
        <v>9629.67</v>
      </c>
    </row>
    <row r="4556" spans="1:22" s="30" customFormat="1" ht="24.6" hidden="1" outlineLevel="1" x14ac:dyDescent="0.55000000000000004">
      <c r="A4556" s="27" t="s">
        <v>327</v>
      </c>
      <c r="B4556" s="28"/>
      <c r="C4556" s="27"/>
      <c r="D4556" s="27" t="str">
        <f>"""NAV Direct"",""CRONUS JetCorp USA"",""21"",""1"",""387218"""</f>
        <v>"NAV Direct","CRONUS JetCorp USA","21","1","387218"</v>
      </c>
      <c r="E4556" s="31" t="str">
        <f t="shared" si="1383"/>
        <v>C100129</v>
      </c>
      <c r="F4556" s="31"/>
      <c r="G4556" s="31"/>
      <c r="H4556" s="31"/>
      <c r="I4556" s="56"/>
      <c r="J4556" s="56"/>
      <c r="K4556" s="82" t="str">
        <f t="shared" si="1384"/>
        <v>Invoice</v>
      </c>
      <c r="L4556" s="83" t="str">
        <f>"SI_111988"</f>
        <v>SI_111988</v>
      </c>
      <c r="M4556" s="84">
        <v>42717</v>
      </c>
      <c r="N4556" s="85">
        <f t="shared" si="1385"/>
        <v>1095</v>
      </c>
      <c r="O4556" s="86">
        <f t="shared" si="1386"/>
        <v>9916.65</v>
      </c>
      <c r="P4556" s="86">
        <f t="shared" si="1387"/>
        <v>0</v>
      </c>
      <c r="Q4556" s="86">
        <f t="shared" si="1388"/>
        <v>0</v>
      </c>
      <c r="R4556" s="86">
        <f t="shared" si="1389"/>
        <v>0</v>
      </c>
      <c r="S4556" s="86">
        <f t="shared" si="1390"/>
        <v>0</v>
      </c>
      <c r="T4556" s="86">
        <f t="shared" si="1391"/>
        <v>9916.65</v>
      </c>
      <c r="U4556" s="87">
        <v>9916.65</v>
      </c>
    </row>
    <row r="4557" spans="1:22" s="30" customFormat="1" ht="24.6" hidden="1" outlineLevel="1" x14ac:dyDescent="0.55000000000000004">
      <c r="A4557" s="27" t="s">
        <v>327</v>
      </c>
      <c r="B4557" s="28"/>
      <c r="C4557" s="27"/>
      <c r="D4557" s="27" t="str">
        <f>"""NAV Direct"",""CRONUS JetCorp USA"",""21"",""1"",""387650"""</f>
        <v>"NAV Direct","CRONUS JetCorp USA","21","1","387650"</v>
      </c>
      <c r="E4557" s="31">
        <f t="shared" si="1383"/>
        <v>0</v>
      </c>
      <c r="F4557" s="31"/>
      <c r="G4557" s="31"/>
      <c r="H4557" s="31"/>
      <c r="I4557" s="56"/>
      <c r="J4557" s="56"/>
      <c r="K4557" s="82" t="str">
        <f t="shared" si="1384"/>
        <v>Invoice</v>
      </c>
      <c r="L4557" s="83" t="str">
        <f>"SI_111997"</f>
        <v>SI_111997</v>
      </c>
      <c r="M4557" s="84">
        <v>42760</v>
      </c>
      <c r="N4557" s="85">
        <f t="shared" si="1385"/>
        <v>1052</v>
      </c>
      <c r="O4557" s="86">
        <f t="shared" si="1386"/>
        <v>10075.27</v>
      </c>
      <c r="P4557" s="86">
        <f t="shared" si="1387"/>
        <v>0</v>
      </c>
      <c r="Q4557" s="86">
        <f t="shared" si="1388"/>
        <v>0</v>
      </c>
      <c r="R4557" s="86">
        <f t="shared" si="1389"/>
        <v>0</v>
      </c>
      <c r="S4557" s="86">
        <f t="shared" si="1390"/>
        <v>0</v>
      </c>
      <c r="T4557" s="86">
        <f t="shared" si="1391"/>
        <v>10075.27</v>
      </c>
      <c r="U4557" s="87">
        <v>10075.27</v>
      </c>
    </row>
    <row r="4558" spans="1:22" s="30" customFormat="1" ht="24.6" hidden="1" outlineLevel="1" x14ac:dyDescent="0.55000000000000004">
      <c r="A4558" s="27" t="s">
        <v>327</v>
      </c>
      <c r="B4558" s="28"/>
      <c r="C4558" s="27"/>
      <c r="D4558" s="27" t="str">
        <f>"""NAV Direct"",""CRONUS JetCorp USA"",""21"",""1"",""388595"""</f>
        <v>"NAV Direct","CRONUS JetCorp USA","21","1","388595"</v>
      </c>
      <c r="E4558" s="31" t="str">
        <f t="shared" si="1383"/>
        <v>C100129</v>
      </c>
      <c r="F4558" s="31"/>
      <c r="G4558" s="31"/>
      <c r="H4558" s="31"/>
      <c r="I4558" s="56"/>
      <c r="J4558" s="56"/>
      <c r="K4558" s="82" t="str">
        <f t="shared" si="1384"/>
        <v>Invoice</v>
      </c>
      <c r="L4558" s="83" t="str">
        <f>"SI_112014"</f>
        <v>SI_112014</v>
      </c>
      <c r="M4558" s="84">
        <v>42849</v>
      </c>
      <c r="N4558" s="85">
        <f t="shared" si="1385"/>
        <v>963</v>
      </c>
      <c r="O4558" s="86">
        <f t="shared" si="1386"/>
        <v>11313.67</v>
      </c>
      <c r="P4558" s="86">
        <f t="shared" si="1387"/>
        <v>0</v>
      </c>
      <c r="Q4558" s="86">
        <f t="shared" si="1388"/>
        <v>0</v>
      </c>
      <c r="R4558" s="86">
        <f t="shared" si="1389"/>
        <v>0</v>
      </c>
      <c r="S4558" s="86">
        <f t="shared" si="1390"/>
        <v>0</v>
      </c>
      <c r="T4558" s="86">
        <f t="shared" si="1391"/>
        <v>11313.67</v>
      </c>
      <c r="U4558" s="87">
        <v>11313.67</v>
      </c>
    </row>
    <row r="4559" spans="1:22" s="30" customFormat="1" ht="24.6" hidden="1" outlineLevel="1" x14ac:dyDescent="0.55000000000000004">
      <c r="A4559" s="27" t="s">
        <v>327</v>
      </c>
      <c r="B4559" s="28"/>
      <c r="C4559" s="27"/>
      <c r="D4559" s="27" t="str">
        <f>"""NAV Direct"",""CRONUS JetCorp USA"",""21"",""1"",""388989"""</f>
        <v>"NAV Direct","CRONUS JetCorp USA","21","1","388989"</v>
      </c>
      <c r="E4559" s="31">
        <f t="shared" si="1383"/>
        <v>0</v>
      </c>
      <c r="F4559" s="31"/>
      <c r="G4559" s="31"/>
      <c r="H4559" s="31"/>
      <c r="I4559" s="56"/>
      <c r="J4559" s="56"/>
      <c r="K4559" s="82" t="str">
        <f t="shared" si="1384"/>
        <v>Invoice</v>
      </c>
      <c r="L4559" s="83" t="str">
        <f>"SI_112022"</f>
        <v>SI_112022</v>
      </c>
      <c r="M4559" s="84">
        <v>42892</v>
      </c>
      <c r="N4559" s="85">
        <f t="shared" si="1385"/>
        <v>920</v>
      </c>
      <c r="O4559" s="86">
        <f t="shared" si="1386"/>
        <v>11528.67</v>
      </c>
      <c r="P4559" s="86">
        <f t="shared" si="1387"/>
        <v>0</v>
      </c>
      <c r="Q4559" s="86">
        <f t="shared" si="1388"/>
        <v>0</v>
      </c>
      <c r="R4559" s="86">
        <f t="shared" si="1389"/>
        <v>0</v>
      </c>
      <c r="S4559" s="86">
        <f t="shared" si="1390"/>
        <v>0</v>
      </c>
      <c r="T4559" s="86">
        <f t="shared" si="1391"/>
        <v>11528.67</v>
      </c>
      <c r="U4559" s="87">
        <v>11528.67</v>
      </c>
    </row>
    <row r="4560" spans="1:22" s="30" customFormat="1" ht="24.6" hidden="1" outlineLevel="1" x14ac:dyDescent="0.55000000000000004">
      <c r="A4560" s="27" t="s">
        <v>327</v>
      </c>
      <c r="B4560" s="28"/>
      <c r="C4560" s="27"/>
      <c r="D4560" s="27" t="str">
        <f>"""NAV Direct"",""CRONUS JetCorp USA"",""21"",""1"",""389205"""</f>
        <v>"NAV Direct","CRONUS JetCorp USA","21","1","389205"</v>
      </c>
      <c r="E4560" s="31" t="str">
        <f t="shared" si="1383"/>
        <v>C100129</v>
      </c>
      <c r="F4560" s="31"/>
      <c r="G4560" s="31"/>
      <c r="H4560" s="31"/>
      <c r="I4560" s="56"/>
      <c r="J4560" s="56"/>
      <c r="K4560" s="82" t="str">
        <f t="shared" si="1384"/>
        <v>Invoice</v>
      </c>
      <c r="L4560" s="83" t="str">
        <f>"SI_112026"</f>
        <v>SI_112026</v>
      </c>
      <c r="M4560" s="84">
        <v>42909</v>
      </c>
      <c r="N4560" s="85">
        <f t="shared" si="1385"/>
        <v>903</v>
      </c>
      <c r="O4560" s="86">
        <f t="shared" si="1386"/>
        <v>11331.16</v>
      </c>
      <c r="P4560" s="86">
        <f t="shared" si="1387"/>
        <v>0</v>
      </c>
      <c r="Q4560" s="86">
        <f t="shared" si="1388"/>
        <v>0</v>
      </c>
      <c r="R4560" s="86">
        <f t="shared" si="1389"/>
        <v>0</v>
      </c>
      <c r="S4560" s="86">
        <f t="shared" si="1390"/>
        <v>0</v>
      </c>
      <c r="T4560" s="86">
        <f t="shared" si="1391"/>
        <v>11331.16</v>
      </c>
      <c r="U4560" s="87">
        <v>11331.16</v>
      </c>
    </row>
    <row r="4561" spans="1:21" s="30" customFormat="1" ht="24.6" hidden="1" outlineLevel="1" x14ac:dyDescent="0.55000000000000004">
      <c r="A4561" s="27" t="s">
        <v>327</v>
      </c>
      <c r="B4561" s="28"/>
      <c r="C4561" s="27"/>
      <c r="D4561" s="27" t="str">
        <f>"""NAV Direct"",""CRONUS JetCorp USA"",""21"",""1"",""389934"""</f>
        <v>"NAV Direct","CRONUS JetCorp USA","21","1","389934"</v>
      </c>
      <c r="E4561" s="31">
        <f t="shared" si="1383"/>
        <v>0</v>
      </c>
      <c r="F4561" s="31"/>
      <c r="G4561" s="31"/>
      <c r="H4561" s="31"/>
      <c r="I4561" s="56"/>
      <c r="J4561" s="56"/>
      <c r="K4561" s="82" t="str">
        <f t="shared" si="1384"/>
        <v>Invoice</v>
      </c>
      <c r="L4561" s="83" t="str">
        <f>"SI_112040"</f>
        <v>SI_112040</v>
      </c>
      <c r="M4561" s="84">
        <v>43005</v>
      </c>
      <c r="N4561" s="85">
        <f t="shared" si="1385"/>
        <v>807</v>
      </c>
      <c r="O4561" s="86">
        <f t="shared" si="1386"/>
        <v>8566.17</v>
      </c>
      <c r="P4561" s="86">
        <f t="shared" si="1387"/>
        <v>0</v>
      </c>
      <c r="Q4561" s="86">
        <f t="shared" si="1388"/>
        <v>0</v>
      </c>
      <c r="R4561" s="86">
        <f t="shared" si="1389"/>
        <v>0</v>
      </c>
      <c r="S4561" s="86">
        <f t="shared" si="1390"/>
        <v>0</v>
      </c>
      <c r="T4561" s="86">
        <f t="shared" si="1391"/>
        <v>8566.17</v>
      </c>
      <c r="U4561" s="87">
        <v>8566.17</v>
      </c>
    </row>
    <row r="4562" spans="1:21" s="30" customFormat="1" ht="24.6" hidden="1" outlineLevel="1" x14ac:dyDescent="0.55000000000000004">
      <c r="A4562" s="27" t="s">
        <v>327</v>
      </c>
      <c r="B4562" s="28"/>
      <c r="C4562" s="27"/>
      <c r="D4562" s="27" t="str">
        <f>"""NAV Direct"",""CRONUS JetCorp USA"",""21"",""1"",""390092"""</f>
        <v>"NAV Direct","CRONUS JetCorp USA","21","1","390092"</v>
      </c>
      <c r="E4562" s="31" t="str">
        <f t="shared" si="1383"/>
        <v>C100129</v>
      </c>
      <c r="F4562" s="31"/>
      <c r="G4562" s="31"/>
      <c r="H4562" s="31"/>
      <c r="I4562" s="56"/>
      <c r="J4562" s="56"/>
      <c r="K4562" s="82" t="str">
        <f t="shared" si="1384"/>
        <v>Invoice</v>
      </c>
      <c r="L4562" s="83" t="str">
        <f>"SI_112044"</f>
        <v>SI_112044</v>
      </c>
      <c r="M4562" s="84">
        <v>43039</v>
      </c>
      <c r="N4562" s="85">
        <f t="shared" si="1385"/>
        <v>773</v>
      </c>
      <c r="O4562" s="86">
        <f t="shared" si="1386"/>
        <v>8300.59</v>
      </c>
      <c r="P4562" s="86">
        <f t="shared" si="1387"/>
        <v>0</v>
      </c>
      <c r="Q4562" s="86">
        <f t="shared" si="1388"/>
        <v>0</v>
      </c>
      <c r="R4562" s="86">
        <f t="shared" si="1389"/>
        <v>0</v>
      </c>
      <c r="S4562" s="86">
        <f t="shared" si="1390"/>
        <v>0</v>
      </c>
      <c r="T4562" s="86">
        <f t="shared" si="1391"/>
        <v>8300.59</v>
      </c>
      <c r="U4562" s="87">
        <v>8300.59</v>
      </c>
    </row>
    <row r="4563" spans="1:21" s="30" customFormat="1" ht="24.6" hidden="1" outlineLevel="1" x14ac:dyDescent="0.55000000000000004">
      <c r="A4563" s="27" t="s">
        <v>327</v>
      </c>
      <c r="B4563" s="28"/>
      <c r="C4563" s="27"/>
      <c r="D4563" s="27" t="str">
        <f>"""NAV Direct"",""CRONUS JetCorp USA"",""21"",""1"",""390363"""</f>
        <v>"NAV Direct","CRONUS JetCorp USA","21","1","390363"</v>
      </c>
      <c r="E4563" s="31">
        <f t="shared" si="1383"/>
        <v>0</v>
      </c>
      <c r="F4563" s="31"/>
      <c r="G4563" s="31"/>
      <c r="H4563" s="31"/>
      <c r="I4563" s="56"/>
      <c r="J4563" s="56"/>
      <c r="K4563" s="82" t="str">
        <f t="shared" si="1384"/>
        <v>Invoice</v>
      </c>
      <c r="L4563" s="83" t="str">
        <f>"SI_112050"</f>
        <v>SI_112050</v>
      </c>
      <c r="M4563" s="84">
        <v>43096</v>
      </c>
      <c r="N4563" s="85">
        <f t="shared" si="1385"/>
        <v>716</v>
      </c>
      <c r="O4563" s="86">
        <f t="shared" si="1386"/>
        <v>8254.52</v>
      </c>
      <c r="P4563" s="86">
        <f t="shared" si="1387"/>
        <v>0</v>
      </c>
      <c r="Q4563" s="86">
        <f t="shared" si="1388"/>
        <v>0</v>
      </c>
      <c r="R4563" s="86">
        <f t="shared" si="1389"/>
        <v>0</v>
      </c>
      <c r="S4563" s="86">
        <f t="shared" si="1390"/>
        <v>0</v>
      </c>
      <c r="T4563" s="86">
        <f t="shared" si="1391"/>
        <v>8254.52</v>
      </c>
      <c r="U4563" s="87">
        <v>8254.52</v>
      </c>
    </row>
    <row r="4564" spans="1:21" s="30" customFormat="1" ht="24.6" hidden="1" outlineLevel="1" x14ac:dyDescent="0.55000000000000004">
      <c r="A4564" s="27" t="s">
        <v>327</v>
      </c>
      <c r="B4564" s="28"/>
      <c r="C4564" s="27"/>
      <c r="D4564" s="27" t="str">
        <f>"""NAV Direct"",""CRONUS JetCorp USA"",""21"",""1"",""391115"""</f>
        <v>"NAV Direct","CRONUS JetCorp USA","21","1","391115"</v>
      </c>
      <c r="E4564" s="31" t="str">
        <f t="shared" si="1383"/>
        <v>C100129</v>
      </c>
      <c r="F4564" s="31"/>
      <c r="G4564" s="31"/>
      <c r="H4564" s="31"/>
      <c r="I4564" s="56"/>
      <c r="J4564" s="56"/>
      <c r="K4564" s="82" t="str">
        <f t="shared" si="1384"/>
        <v>Invoice</v>
      </c>
      <c r="L4564" s="83" t="str">
        <f>"SI_112068"</f>
        <v>SI_112068</v>
      </c>
      <c r="M4564" s="84">
        <v>43266</v>
      </c>
      <c r="N4564" s="85">
        <f t="shared" si="1385"/>
        <v>546</v>
      </c>
      <c r="O4564" s="86">
        <f t="shared" si="1386"/>
        <v>8368.84</v>
      </c>
      <c r="P4564" s="86">
        <f t="shared" si="1387"/>
        <v>0</v>
      </c>
      <c r="Q4564" s="86">
        <f t="shared" si="1388"/>
        <v>0</v>
      </c>
      <c r="R4564" s="86">
        <f t="shared" si="1389"/>
        <v>0</v>
      </c>
      <c r="S4564" s="86">
        <f t="shared" si="1390"/>
        <v>0</v>
      </c>
      <c r="T4564" s="86">
        <f t="shared" si="1391"/>
        <v>8368.84</v>
      </c>
      <c r="U4564" s="87">
        <v>8368.84</v>
      </c>
    </row>
    <row r="4565" spans="1:21" s="30" customFormat="1" ht="24.6" hidden="1" outlineLevel="1" x14ac:dyDescent="0.55000000000000004">
      <c r="A4565" s="27" t="s">
        <v>327</v>
      </c>
      <c r="B4565" s="28"/>
      <c r="C4565" s="27"/>
      <c r="D4565" s="27" t="str">
        <f>"""NAV Direct"",""CRONUS JetCorp USA"",""21"",""1"",""391572"""</f>
        <v>"NAV Direct","CRONUS JetCorp USA","21","1","391572"</v>
      </c>
      <c r="E4565" s="31">
        <f t="shared" si="1383"/>
        <v>0</v>
      </c>
      <c r="F4565" s="31"/>
      <c r="G4565" s="31"/>
      <c r="H4565" s="31"/>
      <c r="I4565" s="56"/>
      <c r="J4565" s="56"/>
      <c r="K4565" s="82" t="str">
        <f t="shared" si="1384"/>
        <v>Invoice</v>
      </c>
      <c r="L4565" s="83" t="str">
        <f>"SI_112077"</f>
        <v>SI_112077</v>
      </c>
      <c r="M4565" s="84">
        <v>43343</v>
      </c>
      <c r="N4565" s="85">
        <f t="shared" si="1385"/>
        <v>469</v>
      </c>
      <c r="O4565" s="86">
        <f t="shared" si="1386"/>
        <v>10368.280000000001</v>
      </c>
      <c r="P4565" s="86">
        <f t="shared" si="1387"/>
        <v>0</v>
      </c>
      <c r="Q4565" s="86">
        <f t="shared" si="1388"/>
        <v>0</v>
      </c>
      <c r="R4565" s="86">
        <f t="shared" si="1389"/>
        <v>0</v>
      </c>
      <c r="S4565" s="86">
        <f t="shared" si="1390"/>
        <v>0</v>
      </c>
      <c r="T4565" s="86">
        <f t="shared" si="1391"/>
        <v>10368.280000000001</v>
      </c>
      <c r="U4565" s="87">
        <v>10368.280000000001</v>
      </c>
    </row>
    <row r="4566" spans="1:21" s="30" customFormat="1" ht="24.6" hidden="1" outlineLevel="1" x14ac:dyDescent="0.55000000000000004">
      <c r="A4566" s="27" t="s">
        <v>327</v>
      </c>
      <c r="B4566" s="28"/>
      <c r="C4566" s="27"/>
      <c r="D4566" s="27" t="str">
        <f>"""NAV Direct"",""CRONUS JetCorp USA"",""21"",""1"",""391845"""</f>
        <v>"NAV Direct","CRONUS JetCorp USA","21","1","391845"</v>
      </c>
      <c r="E4566" s="31" t="str">
        <f t="shared" si="1383"/>
        <v>C100129</v>
      </c>
      <c r="F4566" s="31"/>
      <c r="G4566" s="31"/>
      <c r="H4566" s="31"/>
      <c r="I4566" s="56"/>
      <c r="J4566" s="56"/>
      <c r="K4566" s="82" t="str">
        <f t="shared" si="1384"/>
        <v>Invoice</v>
      </c>
      <c r="L4566" s="83" t="str">
        <f>"SI_112082"</f>
        <v>SI_112082</v>
      </c>
      <c r="M4566" s="84">
        <v>43368</v>
      </c>
      <c r="N4566" s="85">
        <f t="shared" si="1385"/>
        <v>444</v>
      </c>
      <c r="O4566" s="86">
        <f t="shared" si="1386"/>
        <v>11765.09</v>
      </c>
      <c r="P4566" s="86">
        <f t="shared" si="1387"/>
        <v>0</v>
      </c>
      <c r="Q4566" s="86">
        <f t="shared" si="1388"/>
        <v>0</v>
      </c>
      <c r="R4566" s="86">
        <f t="shared" si="1389"/>
        <v>0</v>
      </c>
      <c r="S4566" s="86">
        <f t="shared" si="1390"/>
        <v>0</v>
      </c>
      <c r="T4566" s="86">
        <f t="shared" si="1391"/>
        <v>11765.09</v>
      </c>
      <c r="U4566" s="87">
        <v>11765.09</v>
      </c>
    </row>
    <row r="4567" spans="1:21" s="30" customFormat="1" ht="24.6" hidden="1" outlineLevel="1" x14ac:dyDescent="0.55000000000000004">
      <c r="A4567" s="27" t="s">
        <v>327</v>
      </c>
      <c r="B4567" s="28"/>
      <c r="C4567" s="27"/>
      <c r="D4567" s="27" t="str">
        <f>"""NAV Direct"",""CRONUS JetCorp USA"",""21"",""1"",""392061"""</f>
        <v>"NAV Direct","CRONUS JetCorp USA","21","1","392061"</v>
      </c>
      <c r="E4567" s="31">
        <f t="shared" si="1383"/>
        <v>0</v>
      </c>
      <c r="F4567" s="31"/>
      <c r="G4567" s="31"/>
      <c r="H4567" s="31"/>
      <c r="I4567" s="56"/>
      <c r="J4567" s="56"/>
      <c r="K4567" s="82" t="str">
        <f t="shared" si="1384"/>
        <v>Invoice</v>
      </c>
      <c r="L4567" s="83" t="str">
        <f>"SI_112086"</f>
        <v>SI_112086</v>
      </c>
      <c r="M4567" s="84">
        <v>43395</v>
      </c>
      <c r="N4567" s="85">
        <f t="shared" si="1385"/>
        <v>417</v>
      </c>
      <c r="O4567" s="86">
        <f t="shared" si="1386"/>
        <v>12413.59</v>
      </c>
      <c r="P4567" s="86">
        <f t="shared" si="1387"/>
        <v>0</v>
      </c>
      <c r="Q4567" s="86">
        <f t="shared" si="1388"/>
        <v>0</v>
      </c>
      <c r="R4567" s="86">
        <f t="shared" si="1389"/>
        <v>0</v>
      </c>
      <c r="S4567" s="86">
        <f t="shared" si="1390"/>
        <v>0</v>
      </c>
      <c r="T4567" s="86">
        <f t="shared" si="1391"/>
        <v>12413.59</v>
      </c>
      <c r="U4567" s="87">
        <v>12413.59</v>
      </c>
    </row>
    <row r="4568" spans="1:21" s="30" customFormat="1" ht="24.6" hidden="1" outlineLevel="1" x14ac:dyDescent="0.55000000000000004">
      <c r="A4568" s="27" t="s">
        <v>327</v>
      </c>
      <c r="B4568" s="28"/>
      <c r="C4568" s="27"/>
      <c r="D4568" s="27" t="str">
        <f>"""NAV Direct"",""CRONUS JetCorp USA"",""21"",""1"",""392864"""</f>
        <v>"NAV Direct","CRONUS JetCorp USA","21","1","392864"</v>
      </c>
      <c r="E4568" s="31" t="str">
        <f t="shared" si="1383"/>
        <v>C100129</v>
      </c>
      <c r="F4568" s="31"/>
      <c r="G4568" s="31"/>
      <c r="H4568" s="31"/>
      <c r="I4568" s="56"/>
      <c r="J4568" s="56"/>
      <c r="K4568" s="82" t="str">
        <f t="shared" si="1384"/>
        <v>Invoice</v>
      </c>
      <c r="L4568" s="83" t="str">
        <f>"SI_112101"</f>
        <v>SI_112101</v>
      </c>
      <c r="M4568" s="84">
        <v>43495</v>
      </c>
      <c r="N4568" s="85">
        <f t="shared" si="1385"/>
        <v>317</v>
      </c>
      <c r="O4568" s="86">
        <f t="shared" si="1386"/>
        <v>10860.2</v>
      </c>
      <c r="P4568" s="86">
        <f t="shared" si="1387"/>
        <v>0</v>
      </c>
      <c r="Q4568" s="86">
        <f t="shared" si="1388"/>
        <v>0</v>
      </c>
      <c r="R4568" s="86">
        <f t="shared" si="1389"/>
        <v>0</v>
      </c>
      <c r="S4568" s="86">
        <f t="shared" si="1390"/>
        <v>0</v>
      </c>
      <c r="T4568" s="86">
        <f t="shared" si="1391"/>
        <v>10860.2</v>
      </c>
      <c r="U4568" s="87">
        <v>10860.2</v>
      </c>
    </row>
    <row r="4569" spans="1:21" s="30" customFormat="1" ht="24.6" hidden="1" outlineLevel="1" x14ac:dyDescent="0.55000000000000004">
      <c r="A4569" s="27" t="s">
        <v>327</v>
      </c>
      <c r="B4569" s="28"/>
      <c r="C4569" s="27"/>
      <c r="D4569" s="27" t="str">
        <f>"""NAV Direct"",""CRONUS JetCorp USA"",""21"",""1"",""393292"""</f>
        <v>"NAV Direct","CRONUS JetCorp USA","21","1","393292"</v>
      </c>
      <c r="E4569" s="31">
        <f t="shared" si="1383"/>
        <v>0</v>
      </c>
      <c r="F4569" s="31"/>
      <c r="G4569" s="31"/>
      <c r="H4569" s="31"/>
      <c r="I4569" s="56"/>
      <c r="J4569" s="56"/>
      <c r="K4569" s="82" t="str">
        <f t="shared" si="1384"/>
        <v>Invoice</v>
      </c>
      <c r="L4569" s="83" t="str">
        <f>"SI_112109"</f>
        <v>SI_112109</v>
      </c>
      <c r="M4569" s="84">
        <v>43551</v>
      </c>
      <c r="N4569" s="85">
        <f t="shared" si="1385"/>
        <v>261</v>
      </c>
      <c r="O4569" s="86">
        <f t="shared" si="1386"/>
        <v>13738.27</v>
      </c>
      <c r="P4569" s="86">
        <f t="shared" si="1387"/>
        <v>0</v>
      </c>
      <c r="Q4569" s="86">
        <f t="shared" si="1388"/>
        <v>0</v>
      </c>
      <c r="R4569" s="86">
        <f t="shared" si="1389"/>
        <v>0</v>
      </c>
      <c r="S4569" s="86">
        <f t="shared" si="1390"/>
        <v>0</v>
      </c>
      <c r="T4569" s="86">
        <f t="shared" si="1391"/>
        <v>13738.27</v>
      </c>
      <c r="U4569" s="87">
        <v>13738.27</v>
      </c>
    </row>
    <row r="4570" spans="1:21" s="30" customFormat="1" ht="24.6" hidden="1" outlineLevel="1" x14ac:dyDescent="0.55000000000000004">
      <c r="A4570" s="27" t="s">
        <v>327</v>
      </c>
      <c r="B4570" s="28"/>
      <c r="C4570" s="27"/>
      <c r="D4570" s="27" t="str">
        <f>"""NAV Direct"",""CRONUS JetCorp USA"",""21"",""1"",""393754"""</f>
        <v>"NAV Direct","CRONUS JetCorp USA","21","1","393754"</v>
      </c>
      <c r="E4570" s="31" t="str">
        <f t="shared" si="1383"/>
        <v>C100129</v>
      </c>
      <c r="F4570" s="31"/>
      <c r="G4570" s="31"/>
      <c r="H4570" s="31"/>
      <c r="I4570" s="56"/>
      <c r="J4570" s="56"/>
      <c r="K4570" s="82" t="str">
        <f t="shared" si="1384"/>
        <v>Invoice</v>
      </c>
      <c r="L4570" s="83" t="str">
        <f>"SI_112117"</f>
        <v>SI_112117</v>
      </c>
      <c r="M4570" s="84">
        <v>43589</v>
      </c>
      <c r="N4570" s="85">
        <f t="shared" si="1385"/>
        <v>223</v>
      </c>
      <c r="O4570" s="86">
        <f t="shared" si="1386"/>
        <v>13177.51</v>
      </c>
      <c r="P4570" s="86">
        <f t="shared" si="1387"/>
        <v>0</v>
      </c>
      <c r="Q4570" s="86">
        <f t="shared" si="1388"/>
        <v>0</v>
      </c>
      <c r="R4570" s="86">
        <f t="shared" si="1389"/>
        <v>0</v>
      </c>
      <c r="S4570" s="86">
        <f t="shared" si="1390"/>
        <v>0</v>
      </c>
      <c r="T4570" s="86">
        <f t="shared" si="1391"/>
        <v>13177.51</v>
      </c>
      <c r="U4570" s="87">
        <v>13177.51</v>
      </c>
    </row>
    <row r="4571" spans="1:21" s="30" customFormat="1" ht="24.6" hidden="1" outlineLevel="1" x14ac:dyDescent="0.55000000000000004">
      <c r="A4571" s="27" t="s">
        <v>327</v>
      </c>
      <c r="B4571" s="28"/>
      <c r="C4571" s="27"/>
      <c r="D4571" s="27" t="str">
        <f>"""NAV Direct"",""CRONUS JetCorp USA"",""21"",""1"",""393951"""</f>
        <v>"NAV Direct","CRONUS JetCorp USA","21","1","393951"</v>
      </c>
      <c r="E4571" s="31">
        <f t="shared" si="1383"/>
        <v>0</v>
      </c>
      <c r="F4571" s="31"/>
      <c r="G4571" s="31"/>
      <c r="H4571" s="31"/>
      <c r="I4571" s="56"/>
      <c r="J4571" s="56"/>
      <c r="K4571" s="82" t="str">
        <f t="shared" si="1384"/>
        <v>Invoice</v>
      </c>
      <c r="L4571" s="83" t="str">
        <f>"SI_112120"</f>
        <v>SI_112120</v>
      </c>
      <c r="M4571" s="84">
        <v>43603</v>
      </c>
      <c r="N4571" s="85">
        <f t="shared" si="1385"/>
        <v>209</v>
      </c>
      <c r="O4571" s="86">
        <f t="shared" si="1386"/>
        <v>9532.68</v>
      </c>
      <c r="P4571" s="86">
        <f t="shared" si="1387"/>
        <v>0</v>
      </c>
      <c r="Q4571" s="86">
        <f t="shared" si="1388"/>
        <v>0</v>
      </c>
      <c r="R4571" s="86">
        <f t="shared" si="1389"/>
        <v>0</v>
      </c>
      <c r="S4571" s="86">
        <f t="shared" si="1390"/>
        <v>0</v>
      </c>
      <c r="T4571" s="86">
        <f t="shared" si="1391"/>
        <v>9532.68</v>
      </c>
      <c r="U4571" s="87">
        <v>9532.68</v>
      </c>
    </row>
    <row r="4572" spans="1:21" s="30" customFormat="1" ht="24.6" hidden="1" outlineLevel="1" x14ac:dyDescent="0.55000000000000004">
      <c r="A4572" s="27" t="s">
        <v>327</v>
      </c>
      <c r="B4572" s="28"/>
      <c r="C4572" s="27"/>
      <c r="D4572" s="27" t="str">
        <f>"""NAV Direct"",""CRONUS JetCorp USA"",""21"",""1"",""394122"""</f>
        <v>"NAV Direct","CRONUS JetCorp USA","21","1","394122"</v>
      </c>
      <c r="E4572" s="31" t="str">
        <f t="shared" si="1383"/>
        <v>C100129</v>
      </c>
      <c r="F4572" s="31"/>
      <c r="G4572" s="31"/>
      <c r="H4572" s="31"/>
      <c r="I4572" s="56"/>
      <c r="J4572" s="56"/>
      <c r="K4572" s="82" t="str">
        <f t="shared" si="1384"/>
        <v>Invoice</v>
      </c>
      <c r="L4572" s="83" t="str">
        <f>"SI_112123"</f>
        <v>SI_112123</v>
      </c>
      <c r="M4572" s="84">
        <v>43612</v>
      </c>
      <c r="N4572" s="85">
        <f t="shared" si="1385"/>
        <v>200</v>
      </c>
      <c r="O4572" s="86">
        <f t="shared" si="1386"/>
        <v>10766.279999999999</v>
      </c>
      <c r="P4572" s="86">
        <f t="shared" si="1387"/>
        <v>0</v>
      </c>
      <c r="Q4572" s="86">
        <f t="shared" si="1388"/>
        <v>0</v>
      </c>
      <c r="R4572" s="86">
        <f t="shared" si="1389"/>
        <v>0</v>
      </c>
      <c r="S4572" s="86">
        <f t="shared" si="1390"/>
        <v>0</v>
      </c>
      <c r="T4572" s="86">
        <f t="shared" si="1391"/>
        <v>10766.279999999999</v>
      </c>
      <c r="U4572" s="87">
        <v>10766.279999999999</v>
      </c>
    </row>
    <row r="4573" spans="1:21" s="30" customFormat="1" ht="24.6" hidden="1" outlineLevel="1" x14ac:dyDescent="0.55000000000000004">
      <c r="A4573" s="27" t="s">
        <v>327</v>
      </c>
      <c r="B4573" s="28"/>
      <c r="C4573" s="27"/>
      <c r="D4573" s="27" t="str">
        <f>"""NAV Direct"",""CRONUS JetCorp USA"",""21"",""1"",""395887"""</f>
        <v>"NAV Direct","CRONUS JetCorp USA","21","1","395887"</v>
      </c>
      <c r="E4573" s="31">
        <f t="shared" si="1383"/>
        <v>0</v>
      </c>
      <c r="F4573" s="31"/>
      <c r="G4573" s="31"/>
      <c r="H4573" s="31"/>
      <c r="I4573" s="56"/>
      <c r="J4573" s="56"/>
      <c r="K4573" s="82" t="str">
        <f t="shared" si="1384"/>
        <v>Invoice</v>
      </c>
      <c r="L4573" s="83" t="str">
        <f>"SI_112156"</f>
        <v>SI_112156</v>
      </c>
      <c r="M4573" s="84">
        <v>43776</v>
      </c>
      <c r="N4573" s="85">
        <f t="shared" si="1385"/>
        <v>36</v>
      </c>
      <c r="O4573" s="86">
        <f t="shared" si="1386"/>
        <v>13311.96</v>
      </c>
      <c r="P4573" s="86">
        <f t="shared" si="1387"/>
        <v>0</v>
      </c>
      <c r="Q4573" s="86">
        <f t="shared" si="1388"/>
        <v>0</v>
      </c>
      <c r="R4573" s="86">
        <f t="shared" si="1389"/>
        <v>13311.96</v>
      </c>
      <c r="S4573" s="86">
        <f t="shared" si="1390"/>
        <v>0</v>
      </c>
      <c r="T4573" s="86">
        <f t="shared" si="1391"/>
        <v>0</v>
      </c>
      <c r="U4573" s="87">
        <v>13311.96</v>
      </c>
    </row>
    <row r="4574" spans="1:21" s="30" customFormat="1" ht="24.6" hidden="1" outlineLevel="1" x14ac:dyDescent="0.55000000000000004">
      <c r="A4574" s="27" t="s">
        <v>327</v>
      </c>
      <c r="B4574" s="28"/>
      <c r="C4574" s="27"/>
      <c r="D4574" s="27" t="str">
        <f>"""NAV Direct"",""CRONUS JetCorp USA"",""21"",""1"",""396323"""</f>
        <v>"NAV Direct","CRONUS JetCorp USA","21","1","396323"</v>
      </c>
      <c r="E4574" s="31" t="str">
        <f t="shared" si="1383"/>
        <v>C100129</v>
      </c>
      <c r="F4574" s="31"/>
      <c r="G4574" s="31"/>
      <c r="H4574" s="31"/>
      <c r="I4574" s="56"/>
      <c r="J4574" s="56"/>
      <c r="K4574" s="82" t="str">
        <f t="shared" si="1384"/>
        <v>Invoice</v>
      </c>
      <c r="L4574" s="83" t="str">
        <f>"SI_112164"</f>
        <v>SI_112164</v>
      </c>
      <c r="M4574" s="84">
        <v>43797</v>
      </c>
      <c r="N4574" s="85">
        <f t="shared" si="1385"/>
        <v>15</v>
      </c>
      <c r="O4574" s="86">
        <f t="shared" si="1386"/>
        <v>11980.67</v>
      </c>
      <c r="P4574" s="86">
        <f t="shared" si="1387"/>
        <v>0</v>
      </c>
      <c r="Q4574" s="86">
        <f t="shared" si="1388"/>
        <v>11980.67</v>
      </c>
      <c r="R4574" s="86">
        <f t="shared" si="1389"/>
        <v>0</v>
      </c>
      <c r="S4574" s="86">
        <f t="shared" si="1390"/>
        <v>0</v>
      </c>
      <c r="T4574" s="86">
        <f t="shared" si="1391"/>
        <v>0</v>
      </c>
      <c r="U4574" s="87">
        <v>11980.67</v>
      </c>
    </row>
    <row r="4575" spans="1:21" s="30" customFormat="1" ht="24.6" hidden="1" outlineLevel="1" x14ac:dyDescent="0.55000000000000004">
      <c r="A4575" s="27" t="s">
        <v>327</v>
      </c>
      <c r="B4575" s="28"/>
      <c r="C4575" s="27"/>
      <c r="D4575" s="27" t="str">
        <f>"""NAV Direct"",""CRONUS JetCorp USA"",""21"",""1"",""398117"""</f>
        <v>"NAV Direct","CRONUS JetCorp USA","21","1","398117"</v>
      </c>
      <c r="E4575" s="31">
        <f t="shared" si="1383"/>
        <v>0</v>
      </c>
      <c r="F4575" s="31"/>
      <c r="G4575" s="31"/>
      <c r="H4575" s="31"/>
      <c r="I4575" s="56"/>
      <c r="J4575" s="56"/>
      <c r="K4575" s="82" t="str">
        <f t="shared" si="1384"/>
        <v>Invoice</v>
      </c>
      <c r="L4575" s="83" t="str">
        <f>"SI_112201"</f>
        <v>SI_112201</v>
      </c>
      <c r="M4575" s="84">
        <v>42142</v>
      </c>
      <c r="N4575" s="85">
        <f t="shared" si="1385"/>
        <v>1670</v>
      </c>
      <c r="O4575" s="86">
        <f t="shared" si="1386"/>
        <v>7141.64</v>
      </c>
      <c r="P4575" s="86">
        <f t="shared" si="1387"/>
        <v>0</v>
      </c>
      <c r="Q4575" s="86">
        <f t="shared" si="1388"/>
        <v>0</v>
      </c>
      <c r="R4575" s="86">
        <f t="shared" si="1389"/>
        <v>0</v>
      </c>
      <c r="S4575" s="86">
        <f t="shared" si="1390"/>
        <v>0</v>
      </c>
      <c r="T4575" s="86">
        <f t="shared" si="1391"/>
        <v>7141.64</v>
      </c>
      <c r="U4575" s="87">
        <v>7141.64</v>
      </c>
    </row>
    <row r="4576" spans="1:21" s="30" customFormat="1" ht="24.6" hidden="1" outlineLevel="1" x14ac:dyDescent="0.55000000000000004">
      <c r="A4576" s="27" t="s">
        <v>327</v>
      </c>
      <c r="B4576" s="28"/>
      <c r="C4576" s="27"/>
      <c r="D4576" s="27" t="str">
        <f>"""NAV Direct"",""CRONUS JetCorp USA"",""21"",""1"",""398624"""</f>
        <v>"NAV Direct","CRONUS JetCorp USA","21","1","398624"</v>
      </c>
      <c r="E4576" s="31" t="str">
        <f t="shared" si="1383"/>
        <v>C100129</v>
      </c>
      <c r="F4576" s="31"/>
      <c r="G4576" s="31"/>
      <c r="H4576" s="31"/>
      <c r="I4576" s="56"/>
      <c r="J4576" s="56"/>
      <c r="K4576" s="82" t="str">
        <f t="shared" si="1384"/>
        <v>Invoice</v>
      </c>
      <c r="L4576" s="83" t="str">
        <f>"SI_112212"</f>
        <v>SI_112212</v>
      </c>
      <c r="M4576" s="84">
        <v>42188</v>
      </c>
      <c r="N4576" s="85">
        <f t="shared" si="1385"/>
        <v>1624</v>
      </c>
      <c r="O4576" s="86">
        <f t="shared" si="1386"/>
        <v>6944.4999999999991</v>
      </c>
      <c r="P4576" s="86">
        <f t="shared" si="1387"/>
        <v>0</v>
      </c>
      <c r="Q4576" s="86">
        <f t="shared" si="1388"/>
        <v>0</v>
      </c>
      <c r="R4576" s="86">
        <f t="shared" si="1389"/>
        <v>0</v>
      </c>
      <c r="S4576" s="86">
        <f t="shared" si="1390"/>
        <v>0</v>
      </c>
      <c r="T4576" s="86">
        <f t="shared" si="1391"/>
        <v>6944.4999999999991</v>
      </c>
      <c r="U4576" s="87">
        <v>6944.4999999999991</v>
      </c>
    </row>
    <row r="4577" spans="1:21" s="30" customFormat="1" ht="24.6" hidden="1" outlineLevel="1" x14ac:dyDescent="0.55000000000000004">
      <c r="A4577" s="27" t="s">
        <v>327</v>
      </c>
      <c r="B4577" s="28"/>
      <c r="C4577" s="27"/>
      <c r="D4577" s="27" t="str">
        <f>"""NAV Direct"",""CRONUS JetCorp USA"",""21"",""1"",""398927"""</f>
        <v>"NAV Direct","CRONUS JetCorp USA","21","1","398927"</v>
      </c>
      <c r="E4577" s="31">
        <f t="shared" si="1383"/>
        <v>0</v>
      </c>
      <c r="F4577" s="31"/>
      <c r="G4577" s="31"/>
      <c r="H4577" s="31"/>
      <c r="I4577" s="56"/>
      <c r="J4577" s="56"/>
      <c r="K4577" s="82" t="str">
        <f t="shared" si="1384"/>
        <v>Invoice</v>
      </c>
      <c r="L4577" s="83" t="str">
        <f>"SI_112219"</f>
        <v>SI_112219</v>
      </c>
      <c r="M4577" s="84">
        <v>42214</v>
      </c>
      <c r="N4577" s="85">
        <f t="shared" si="1385"/>
        <v>1598</v>
      </c>
      <c r="O4577" s="86">
        <f t="shared" si="1386"/>
        <v>7602.0899999999992</v>
      </c>
      <c r="P4577" s="86">
        <f t="shared" si="1387"/>
        <v>0</v>
      </c>
      <c r="Q4577" s="86">
        <f t="shared" si="1388"/>
        <v>0</v>
      </c>
      <c r="R4577" s="86">
        <f t="shared" si="1389"/>
        <v>0</v>
      </c>
      <c r="S4577" s="86">
        <f t="shared" si="1390"/>
        <v>0</v>
      </c>
      <c r="T4577" s="86">
        <f t="shared" si="1391"/>
        <v>7602.0899999999992</v>
      </c>
      <c r="U4577" s="87">
        <v>7602.0899999999992</v>
      </c>
    </row>
    <row r="4578" spans="1:21" s="30" customFormat="1" ht="24.6" hidden="1" outlineLevel="1" x14ac:dyDescent="0.55000000000000004">
      <c r="A4578" s="27" t="s">
        <v>327</v>
      </c>
      <c r="B4578" s="28"/>
      <c r="C4578" s="27"/>
      <c r="D4578" s="27" t="str">
        <f>"""NAV Direct"",""CRONUS JetCorp USA"",""21"",""1"",""399545"""</f>
        <v>"NAV Direct","CRONUS JetCorp USA","21","1","399545"</v>
      </c>
      <c r="E4578" s="31" t="str">
        <f t="shared" si="1383"/>
        <v>C100129</v>
      </c>
      <c r="F4578" s="31"/>
      <c r="G4578" s="31"/>
      <c r="H4578" s="31"/>
      <c r="I4578" s="56"/>
      <c r="J4578" s="56"/>
      <c r="K4578" s="82" t="str">
        <f t="shared" si="1384"/>
        <v>Invoice</v>
      </c>
      <c r="L4578" s="83" t="str">
        <f>"SI_112233"</f>
        <v>SI_112233</v>
      </c>
      <c r="M4578" s="84">
        <v>42268</v>
      </c>
      <c r="N4578" s="85">
        <f t="shared" si="1385"/>
        <v>1544</v>
      </c>
      <c r="O4578" s="86">
        <f t="shared" si="1386"/>
        <v>8401.3599999999988</v>
      </c>
      <c r="P4578" s="86">
        <f t="shared" si="1387"/>
        <v>0</v>
      </c>
      <c r="Q4578" s="86">
        <f t="shared" si="1388"/>
        <v>0</v>
      </c>
      <c r="R4578" s="86">
        <f t="shared" si="1389"/>
        <v>0</v>
      </c>
      <c r="S4578" s="86">
        <f t="shared" si="1390"/>
        <v>0</v>
      </c>
      <c r="T4578" s="86">
        <f t="shared" si="1391"/>
        <v>8401.3599999999988</v>
      </c>
      <c r="U4578" s="87">
        <v>8401.3599999999988</v>
      </c>
    </row>
    <row r="4579" spans="1:21" s="30" customFormat="1" ht="24.6" hidden="1" outlineLevel="1" x14ac:dyDescent="0.55000000000000004">
      <c r="A4579" s="27" t="s">
        <v>327</v>
      </c>
      <c r="B4579" s="28"/>
      <c r="C4579" s="27"/>
      <c r="D4579" s="27" t="str">
        <f>"""NAV Direct"",""CRONUS JetCorp USA"",""21"",""1"",""399966"""</f>
        <v>"NAV Direct","CRONUS JetCorp USA","21","1","399966"</v>
      </c>
      <c r="E4579" s="31">
        <f t="shared" si="1383"/>
        <v>0</v>
      </c>
      <c r="F4579" s="31"/>
      <c r="G4579" s="31"/>
      <c r="H4579" s="31"/>
      <c r="I4579" s="56"/>
      <c r="J4579" s="56"/>
      <c r="K4579" s="82" t="str">
        <f t="shared" si="1384"/>
        <v>Invoice</v>
      </c>
      <c r="L4579" s="83" t="str">
        <f>"SI_112242"</f>
        <v>SI_112242</v>
      </c>
      <c r="M4579" s="84">
        <v>42285</v>
      </c>
      <c r="N4579" s="85">
        <f t="shared" si="1385"/>
        <v>1527</v>
      </c>
      <c r="O4579" s="86">
        <f t="shared" si="1386"/>
        <v>8766.6299999999992</v>
      </c>
      <c r="P4579" s="86">
        <f t="shared" si="1387"/>
        <v>0</v>
      </c>
      <c r="Q4579" s="86">
        <f t="shared" si="1388"/>
        <v>0</v>
      </c>
      <c r="R4579" s="86">
        <f t="shared" si="1389"/>
        <v>0</v>
      </c>
      <c r="S4579" s="86">
        <f t="shared" si="1390"/>
        <v>0</v>
      </c>
      <c r="T4579" s="86">
        <f t="shared" si="1391"/>
        <v>8766.6299999999992</v>
      </c>
      <c r="U4579" s="87">
        <v>8766.6299999999992</v>
      </c>
    </row>
    <row r="4580" spans="1:21" s="30" customFormat="1" ht="24.6" hidden="1" outlineLevel="1" x14ac:dyDescent="0.55000000000000004">
      <c r="A4580" s="27" t="s">
        <v>327</v>
      </c>
      <c r="B4580" s="28"/>
      <c r="C4580" s="27"/>
      <c r="D4580" s="27" t="str">
        <f>"""NAV Direct"",""CRONUS JetCorp USA"",""21"",""1"",""400551"""</f>
        <v>"NAV Direct","CRONUS JetCorp USA","21","1","400551"</v>
      </c>
      <c r="E4580" s="31" t="str">
        <f t="shared" si="1383"/>
        <v>C100129</v>
      </c>
      <c r="F4580" s="31"/>
      <c r="G4580" s="31"/>
      <c r="H4580" s="31"/>
      <c r="I4580" s="56"/>
      <c r="J4580" s="56"/>
      <c r="K4580" s="82" t="str">
        <f t="shared" si="1384"/>
        <v>Invoice</v>
      </c>
      <c r="L4580" s="83" t="str">
        <f>"SI_112253"</f>
        <v>SI_112253</v>
      </c>
      <c r="M4580" s="84">
        <v>42309</v>
      </c>
      <c r="N4580" s="85">
        <f t="shared" si="1385"/>
        <v>1503</v>
      </c>
      <c r="O4580" s="86">
        <f t="shared" si="1386"/>
        <v>9241.5499999999993</v>
      </c>
      <c r="P4580" s="86">
        <f t="shared" si="1387"/>
        <v>0</v>
      </c>
      <c r="Q4580" s="86">
        <f t="shared" si="1388"/>
        <v>0</v>
      </c>
      <c r="R4580" s="86">
        <f t="shared" si="1389"/>
        <v>0</v>
      </c>
      <c r="S4580" s="86">
        <f t="shared" si="1390"/>
        <v>0</v>
      </c>
      <c r="T4580" s="86">
        <f t="shared" si="1391"/>
        <v>9241.5499999999993</v>
      </c>
      <c r="U4580" s="87">
        <v>9241.5499999999993</v>
      </c>
    </row>
    <row r="4581" spans="1:21" s="30" customFormat="1" ht="24.6" hidden="1" outlineLevel="1" x14ac:dyDescent="0.55000000000000004">
      <c r="A4581" s="27" t="s">
        <v>327</v>
      </c>
      <c r="B4581" s="28"/>
      <c r="C4581" s="27"/>
      <c r="D4581" s="27" t="str">
        <f>"""NAV Direct"",""CRONUS JetCorp USA"",""21"",""1"",""400864"""</f>
        <v>"NAV Direct","CRONUS JetCorp USA","21","1","400864"</v>
      </c>
      <c r="E4581" s="31">
        <f t="shared" si="1383"/>
        <v>0</v>
      </c>
      <c r="F4581" s="31"/>
      <c r="G4581" s="31"/>
      <c r="H4581" s="31"/>
      <c r="I4581" s="56"/>
      <c r="J4581" s="56"/>
      <c r="K4581" s="82" t="str">
        <f t="shared" si="1384"/>
        <v>Invoice</v>
      </c>
      <c r="L4581" s="83" t="str">
        <f>"SI_112260"</f>
        <v>SI_112260</v>
      </c>
      <c r="M4581" s="84">
        <v>42333</v>
      </c>
      <c r="N4581" s="85">
        <f t="shared" si="1385"/>
        <v>1479</v>
      </c>
      <c r="O4581" s="86">
        <f t="shared" si="1386"/>
        <v>8859.75</v>
      </c>
      <c r="P4581" s="86">
        <f t="shared" si="1387"/>
        <v>0</v>
      </c>
      <c r="Q4581" s="86">
        <f t="shared" si="1388"/>
        <v>0</v>
      </c>
      <c r="R4581" s="86">
        <f t="shared" si="1389"/>
        <v>0</v>
      </c>
      <c r="S4581" s="86">
        <f t="shared" si="1390"/>
        <v>0</v>
      </c>
      <c r="T4581" s="86">
        <f t="shared" si="1391"/>
        <v>8859.75</v>
      </c>
      <c r="U4581" s="87">
        <v>8859.75</v>
      </c>
    </row>
    <row r="4582" spans="1:21" s="30" customFormat="1" ht="24.6" hidden="1" outlineLevel="1" x14ac:dyDescent="0.55000000000000004">
      <c r="A4582" s="27" t="s">
        <v>327</v>
      </c>
      <c r="B4582" s="28"/>
      <c r="C4582" s="27"/>
      <c r="D4582" s="27" t="str">
        <f>"""NAV Direct"",""CRONUS JetCorp USA"",""21"",""1"",""401154"""</f>
        <v>"NAV Direct","CRONUS JetCorp USA","21","1","401154"</v>
      </c>
      <c r="E4582" s="31" t="str">
        <f t="shared" si="1383"/>
        <v>C100129</v>
      </c>
      <c r="F4582" s="31"/>
      <c r="G4582" s="31"/>
      <c r="H4582" s="31"/>
      <c r="I4582" s="56"/>
      <c r="J4582" s="56"/>
      <c r="K4582" s="82" t="str">
        <f t="shared" si="1384"/>
        <v>Invoice</v>
      </c>
      <c r="L4582" s="83" t="str">
        <f>"SI_112266"</f>
        <v>SI_112266</v>
      </c>
      <c r="M4582" s="84">
        <v>42342</v>
      </c>
      <c r="N4582" s="85">
        <f t="shared" si="1385"/>
        <v>1470</v>
      </c>
      <c r="O4582" s="86">
        <f t="shared" si="1386"/>
        <v>8407.74</v>
      </c>
      <c r="P4582" s="86">
        <f t="shared" si="1387"/>
        <v>0</v>
      </c>
      <c r="Q4582" s="86">
        <f t="shared" si="1388"/>
        <v>0</v>
      </c>
      <c r="R4582" s="86">
        <f t="shared" si="1389"/>
        <v>0</v>
      </c>
      <c r="S4582" s="86">
        <f t="shared" si="1390"/>
        <v>0</v>
      </c>
      <c r="T4582" s="86">
        <f t="shared" si="1391"/>
        <v>8407.74</v>
      </c>
      <c r="U4582" s="87">
        <v>8407.74</v>
      </c>
    </row>
    <row r="4583" spans="1:21" s="30" customFormat="1" ht="24.6" hidden="1" outlineLevel="1" x14ac:dyDescent="0.55000000000000004">
      <c r="A4583" s="27" t="s">
        <v>327</v>
      </c>
      <c r="B4583" s="28"/>
      <c r="C4583" s="27"/>
      <c r="D4583" s="27" t="str">
        <f>"""NAV Direct"",""CRONUS JetCorp USA"",""21"",""1"",""401402"""</f>
        <v>"NAV Direct","CRONUS JetCorp USA","21","1","401402"</v>
      </c>
      <c r="E4583" s="31">
        <f t="shared" si="1383"/>
        <v>0</v>
      </c>
      <c r="F4583" s="31"/>
      <c r="G4583" s="31"/>
      <c r="H4583" s="31"/>
      <c r="I4583" s="56"/>
      <c r="J4583" s="56"/>
      <c r="K4583" s="82" t="str">
        <f t="shared" si="1384"/>
        <v>Invoice</v>
      </c>
      <c r="L4583" s="83" t="str">
        <f>"SI_112272"</f>
        <v>SI_112272</v>
      </c>
      <c r="M4583" s="84">
        <v>42360</v>
      </c>
      <c r="N4583" s="85">
        <f t="shared" si="1385"/>
        <v>1452</v>
      </c>
      <c r="O4583" s="86">
        <f t="shared" si="1386"/>
        <v>6943.08</v>
      </c>
      <c r="P4583" s="86">
        <f t="shared" si="1387"/>
        <v>0</v>
      </c>
      <c r="Q4583" s="86">
        <f t="shared" si="1388"/>
        <v>0</v>
      </c>
      <c r="R4583" s="86">
        <f t="shared" si="1389"/>
        <v>0</v>
      </c>
      <c r="S4583" s="86">
        <f t="shared" si="1390"/>
        <v>0</v>
      </c>
      <c r="T4583" s="86">
        <f t="shared" si="1391"/>
        <v>6943.08</v>
      </c>
      <c r="U4583" s="87">
        <v>6943.08</v>
      </c>
    </row>
    <row r="4584" spans="1:21" s="30" customFormat="1" ht="24.6" hidden="1" outlineLevel="1" x14ac:dyDescent="0.55000000000000004">
      <c r="A4584" s="27" t="s">
        <v>327</v>
      </c>
      <c r="B4584" s="28"/>
      <c r="C4584" s="27"/>
      <c r="D4584" s="27" t="str">
        <f>"""NAV Direct"",""CRONUS JetCorp USA"",""21"",""1"",""438648"""</f>
        <v>"NAV Direct","CRONUS JetCorp USA","21","1","438648"</v>
      </c>
      <c r="E4584" s="31" t="str">
        <f t="shared" si="1383"/>
        <v>C100129</v>
      </c>
      <c r="F4584" s="31"/>
      <c r="G4584" s="31"/>
      <c r="H4584" s="31"/>
      <c r="I4584" s="56"/>
      <c r="J4584" s="56"/>
      <c r="K4584" s="82" t="str">
        <f t="shared" ref="K4584:K4590" si="1392">"Credit Memo"</f>
        <v>Credit Memo</v>
      </c>
      <c r="L4584" s="83" t="str">
        <f>"SC_100828"</f>
        <v>SC_100828</v>
      </c>
      <c r="M4584" s="84">
        <v>42445</v>
      </c>
      <c r="N4584" s="85">
        <f t="shared" si="1385"/>
        <v>1367</v>
      </c>
      <c r="O4584" s="86">
        <f t="shared" si="1386"/>
        <v>-125.66000000000001</v>
      </c>
      <c r="P4584" s="86">
        <f t="shared" si="1387"/>
        <v>0</v>
      </c>
      <c r="Q4584" s="86">
        <f t="shared" si="1388"/>
        <v>0</v>
      </c>
      <c r="R4584" s="86">
        <f t="shared" si="1389"/>
        <v>0</v>
      </c>
      <c r="S4584" s="86">
        <f t="shared" si="1390"/>
        <v>0</v>
      </c>
      <c r="T4584" s="86">
        <f t="shared" si="1391"/>
        <v>-125.66000000000001</v>
      </c>
      <c r="U4584" s="87">
        <v>-125.66000000000001</v>
      </c>
    </row>
    <row r="4585" spans="1:21" s="30" customFormat="1" ht="24.6" hidden="1" outlineLevel="1" x14ac:dyDescent="0.55000000000000004">
      <c r="A4585" s="27" t="s">
        <v>327</v>
      </c>
      <c r="B4585" s="28"/>
      <c r="C4585" s="27"/>
      <c r="D4585" s="27" t="str">
        <f>"""NAV Direct"",""CRONUS JetCorp USA"",""21"",""1"",""439007"""</f>
        <v>"NAV Direct","CRONUS JetCorp USA","21","1","439007"</v>
      </c>
      <c r="E4585" s="31">
        <f t="shared" si="1383"/>
        <v>0</v>
      </c>
      <c r="F4585" s="31"/>
      <c r="G4585" s="31"/>
      <c r="H4585" s="31"/>
      <c r="I4585" s="56"/>
      <c r="J4585" s="56"/>
      <c r="K4585" s="82" t="str">
        <f t="shared" si="1392"/>
        <v>Credit Memo</v>
      </c>
      <c r="L4585" s="83" t="str">
        <f>"SC_100846"</f>
        <v>SC_100846</v>
      </c>
      <c r="M4585" s="84">
        <v>42933</v>
      </c>
      <c r="N4585" s="85">
        <f t="shared" si="1385"/>
        <v>879</v>
      </c>
      <c r="O4585" s="86">
        <f t="shared" si="1386"/>
        <v>-92.77</v>
      </c>
      <c r="P4585" s="86">
        <f t="shared" si="1387"/>
        <v>0</v>
      </c>
      <c r="Q4585" s="86">
        <f t="shared" si="1388"/>
        <v>0</v>
      </c>
      <c r="R4585" s="86">
        <f t="shared" si="1389"/>
        <v>0</v>
      </c>
      <c r="S4585" s="86">
        <f t="shared" si="1390"/>
        <v>0</v>
      </c>
      <c r="T4585" s="86">
        <f t="shared" si="1391"/>
        <v>-92.77</v>
      </c>
      <c r="U4585" s="87">
        <v>-92.77</v>
      </c>
    </row>
    <row r="4586" spans="1:21" s="30" customFormat="1" ht="24.6" hidden="1" outlineLevel="1" x14ac:dyDescent="0.55000000000000004">
      <c r="A4586" s="27" t="s">
        <v>327</v>
      </c>
      <c r="B4586" s="28"/>
      <c r="C4586" s="27"/>
      <c r="D4586" s="27" t="str">
        <f>"""NAV Direct"",""CRONUS JetCorp USA"",""21"",""1"",""439022"""</f>
        <v>"NAV Direct","CRONUS JetCorp USA","21","1","439022"</v>
      </c>
      <c r="E4586" s="31" t="str">
        <f t="shared" si="1383"/>
        <v>C100129</v>
      </c>
      <c r="F4586" s="31"/>
      <c r="G4586" s="31"/>
      <c r="H4586" s="31"/>
      <c r="I4586" s="56"/>
      <c r="J4586" s="56"/>
      <c r="K4586" s="82" t="str">
        <f t="shared" si="1392"/>
        <v>Credit Memo</v>
      </c>
      <c r="L4586" s="83" t="str">
        <f>"SC_100847"</f>
        <v>SC_100847</v>
      </c>
      <c r="M4586" s="84">
        <v>42942</v>
      </c>
      <c r="N4586" s="85">
        <f t="shared" si="1385"/>
        <v>870</v>
      </c>
      <c r="O4586" s="86">
        <f t="shared" si="1386"/>
        <v>-89.88</v>
      </c>
      <c r="P4586" s="86">
        <f t="shared" si="1387"/>
        <v>0</v>
      </c>
      <c r="Q4586" s="86">
        <f t="shared" si="1388"/>
        <v>0</v>
      </c>
      <c r="R4586" s="86">
        <f t="shared" si="1389"/>
        <v>0</v>
      </c>
      <c r="S4586" s="86">
        <f t="shared" si="1390"/>
        <v>0</v>
      </c>
      <c r="T4586" s="86">
        <f t="shared" si="1391"/>
        <v>-89.88</v>
      </c>
      <c r="U4586" s="87">
        <v>-89.88</v>
      </c>
    </row>
    <row r="4587" spans="1:21" s="30" customFormat="1" ht="24.6" hidden="1" outlineLevel="1" x14ac:dyDescent="0.55000000000000004">
      <c r="A4587" s="27" t="s">
        <v>327</v>
      </c>
      <c r="B4587" s="28"/>
      <c r="C4587" s="27"/>
      <c r="D4587" s="27" t="str">
        <f>"""NAV Direct"",""CRONUS JetCorp USA"",""21"",""1"",""439708"""</f>
        <v>"NAV Direct","CRONUS JetCorp USA","21","1","439708"</v>
      </c>
      <c r="E4587" s="31">
        <f t="shared" si="1383"/>
        <v>0</v>
      </c>
      <c r="F4587" s="31"/>
      <c r="G4587" s="31"/>
      <c r="H4587" s="31"/>
      <c r="I4587" s="56"/>
      <c r="J4587" s="56"/>
      <c r="K4587" s="82" t="str">
        <f t="shared" si="1392"/>
        <v>Credit Memo</v>
      </c>
      <c r="L4587" s="83" t="str">
        <f>"SC_100881"</f>
        <v>SC_100881</v>
      </c>
      <c r="M4587" s="84">
        <v>43806</v>
      </c>
      <c r="N4587" s="85">
        <f t="shared" si="1385"/>
        <v>6</v>
      </c>
      <c r="O4587" s="86">
        <f t="shared" si="1386"/>
        <v>-92.85</v>
      </c>
      <c r="P4587" s="86">
        <f t="shared" si="1387"/>
        <v>0</v>
      </c>
      <c r="Q4587" s="86">
        <f t="shared" si="1388"/>
        <v>-92.85</v>
      </c>
      <c r="R4587" s="86">
        <f t="shared" si="1389"/>
        <v>0</v>
      </c>
      <c r="S4587" s="86">
        <f t="shared" si="1390"/>
        <v>0</v>
      </c>
      <c r="T4587" s="86">
        <f t="shared" si="1391"/>
        <v>0</v>
      </c>
      <c r="U4587" s="87">
        <v>-92.85</v>
      </c>
    </row>
    <row r="4588" spans="1:21" s="30" customFormat="1" ht="24.6" hidden="1" outlineLevel="1" x14ac:dyDescent="0.55000000000000004">
      <c r="A4588" s="27" t="s">
        <v>327</v>
      </c>
      <c r="B4588" s="28"/>
      <c r="C4588" s="27"/>
      <c r="D4588" s="27" t="str">
        <f>"""NAV Direct"",""CRONUS JetCorp USA"",""21"",""1"",""439934"""</f>
        <v>"NAV Direct","CRONUS JetCorp USA","21","1","439934"</v>
      </c>
      <c r="E4588" s="31" t="str">
        <f t="shared" si="1383"/>
        <v>C100129</v>
      </c>
      <c r="F4588" s="31"/>
      <c r="G4588" s="31"/>
      <c r="H4588" s="31"/>
      <c r="I4588" s="56"/>
      <c r="J4588" s="56"/>
      <c r="K4588" s="82" t="str">
        <f t="shared" si="1392"/>
        <v>Credit Memo</v>
      </c>
      <c r="L4588" s="83" t="str">
        <f>"SC_100893"</f>
        <v>SC_100893</v>
      </c>
      <c r="M4588" s="84">
        <v>42128</v>
      </c>
      <c r="N4588" s="85">
        <f t="shared" si="1385"/>
        <v>1684</v>
      </c>
      <c r="O4588" s="86">
        <f t="shared" si="1386"/>
        <v>-78.67</v>
      </c>
      <c r="P4588" s="86">
        <f t="shared" si="1387"/>
        <v>0</v>
      </c>
      <c r="Q4588" s="86">
        <f t="shared" si="1388"/>
        <v>0</v>
      </c>
      <c r="R4588" s="86">
        <f t="shared" si="1389"/>
        <v>0</v>
      </c>
      <c r="S4588" s="86">
        <f t="shared" si="1390"/>
        <v>0</v>
      </c>
      <c r="T4588" s="86">
        <f t="shared" si="1391"/>
        <v>-78.67</v>
      </c>
      <c r="U4588" s="87">
        <v>-78.67</v>
      </c>
    </row>
    <row r="4589" spans="1:21" s="30" customFormat="1" ht="24.6" hidden="1" outlineLevel="1" x14ac:dyDescent="0.55000000000000004">
      <c r="A4589" s="27" t="s">
        <v>327</v>
      </c>
      <c r="B4589" s="28"/>
      <c r="C4589" s="27"/>
      <c r="D4589" s="27" t="str">
        <f>"""NAV Direct"",""CRONUS JetCorp USA"",""21"",""1"",""439970"""</f>
        <v>"NAV Direct","CRONUS JetCorp USA","21","1","439970"</v>
      </c>
      <c r="E4589" s="31">
        <f t="shared" si="1383"/>
        <v>0</v>
      </c>
      <c r="F4589" s="31"/>
      <c r="G4589" s="31"/>
      <c r="H4589" s="31"/>
      <c r="I4589" s="56"/>
      <c r="J4589" s="56"/>
      <c r="K4589" s="82" t="str">
        <f t="shared" si="1392"/>
        <v>Credit Memo</v>
      </c>
      <c r="L4589" s="83" t="str">
        <f>"SC_100895"</f>
        <v>SC_100895</v>
      </c>
      <c r="M4589" s="84">
        <v>42138</v>
      </c>
      <c r="N4589" s="85">
        <f t="shared" si="1385"/>
        <v>1674</v>
      </c>
      <c r="O4589" s="86">
        <f t="shared" si="1386"/>
        <v>-73.03</v>
      </c>
      <c r="P4589" s="86">
        <f t="shared" si="1387"/>
        <v>0</v>
      </c>
      <c r="Q4589" s="86">
        <f t="shared" si="1388"/>
        <v>0</v>
      </c>
      <c r="R4589" s="86">
        <f t="shared" si="1389"/>
        <v>0</v>
      </c>
      <c r="S4589" s="86">
        <f t="shared" si="1390"/>
        <v>0</v>
      </c>
      <c r="T4589" s="86">
        <f t="shared" si="1391"/>
        <v>-73.03</v>
      </c>
      <c r="U4589" s="87">
        <v>-73.03</v>
      </c>
    </row>
    <row r="4590" spans="1:21" s="30" customFormat="1" ht="24.6" hidden="1" outlineLevel="1" x14ac:dyDescent="0.55000000000000004">
      <c r="A4590" s="27" t="s">
        <v>327</v>
      </c>
      <c r="B4590" s="28"/>
      <c r="C4590" s="27"/>
      <c r="D4590" s="27" t="str">
        <f>"""NAV Direct"",""CRONUS JetCorp USA"",""21"",""1"",""440056"""</f>
        <v>"NAV Direct","CRONUS JetCorp USA","21","1","440056"</v>
      </c>
      <c r="E4590" s="31" t="str">
        <f t="shared" si="1383"/>
        <v>C100129</v>
      </c>
      <c r="F4590" s="31"/>
      <c r="G4590" s="31"/>
      <c r="H4590" s="31"/>
      <c r="I4590" s="56"/>
      <c r="J4590" s="56"/>
      <c r="K4590" s="82" t="str">
        <f t="shared" si="1392"/>
        <v>Credit Memo</v>
      </c>
      <c r="L4590" s="83" t="str">
        <f>"SC_100899"</f>
        <v>SC_100899</v>
      </c>
      <c r="M4590" s="84">
        <v>42191</v>
      </c>
      <c r="N4590" s="85">
        <f t="shared" si="1385"/>
        <v>1621</v>
      </c>
      <c r="O4590" s="86">
        <f t="shared" si="1386"/>
        <v>-75.94</v>
      </c>
      <c r="P4590" s="86">
        <f t="shared" si="1387"/>
        <v>0</v>
      </c>
      <c r="Q4590" s="86">
        <f t="shared" si="1388"/>
        <v>0</v>
      </c>
      <c r="R4590" s="86">
        <f t="shared" si="1389"/>
        <v>0</v>
      </c>
      <c r="S4590" s="86">
        <f t="shared" si="1390"/>
        <v>0</v>
      </c>
      <c r="T4590" s="86">
        <f t="shared" si="1391"/>
        <v>-75.94</v>
      </c>
      <c r="U4590" s="87">
        <v>-75.94</v>
      </c>
    </row>
    <row r="4591" spans="1:21" s="22" customFormat="1" ht="20.399999999999999" collapsed="1" x14ac:dyDescent="0.45">
      <c r="A4591" s="12" t="s">
        <v>327</v>
      </c>
      <c r="B4591" s="19"/>
      <c r="C4591" s="12"/>
      <c r="D4591" s="12"/>
      <c r="E4591" s="23"/>
      <c r="F4591" s="23"/>
      <c r="G4591" s="23"/>
      <c r="H4591" s="23"/>
      <c r="I4591" s="49"/>
      <c r="J4591" s="88"/>
      <c r="K4591" s="88"/>
      <c r="L4591" s="89"/>
      <c r="M4591" s="89"/>
      <c r="N4591" s="89"/>
      <c r="O4591" s="89"/>
      <c r="P4591" s="89"/>
      <c r="Q4591" s="90"/>
      <c r="R4591" s="90"/>
      <c r="S4591" s="91"/>
      <c r="T4591" s="92"/>
      <c r="U4591" s="92"/>
    </row>
    <row r="4592" spans="1:21" s="22" customFormat="1" ht="20.399999999999999" x14ac:dyDescent="0.45">
      <c r="A4592" s="12" t="s">
        <v>327</v>
      </c>
      <c r="B4592" s="19"/>
      <c r="C4592" s="12"/>
      <c r="D4592" s="12"/>
      <c r="E4592" s="23"/>
      <c r="F4592" s="23"/>
      <c r="G4592" s="23"/>
      <c r="H4592" s="23"/>
      <c r="I4592" s="49"/>
      <c r="J4592" s="88"/>
      <c r="K4592" s="88"/>
      <c r="L4592" s="89"/>
      <c r="M4592" s="89"/>
      <c r="N4592" s="89"/>
      <c r="O4592" s="89"/>
      <c r="P4592" s="89"/>
      <c r="Q4592" s="90"/>
      <c r="R4592" s="90"/>
      <c r="S4592" s="91"/>
      <c r="T4592" s="92"/>
      <c r="U4592" s="92"/>
    </row>
    <row r="4593" spans="1:22" s="26" customFormat="1" ht="24.6" x14ac:dyDescent="0.55000000000000004">
      <c r="A4593" s="27" t="s">
        <v>327</v>
      </c>
      <c r="B4593" s="28"/>
      <c r="C4593" s="27" t="str">
        <f>"""NAV Direct"",""CRONUS JetCorp USA"",""18"",""1"",""C100130"""</f>
        <v>"NAV Direct","CRONUS JetCorp USA","18","1","C100130"</v>
      </c>
      <c r="D4593" s="27"/>
      <c r="E4593" s="28" t="str">
        <f>H4593</f>
        <v>C100130</v>
      </c>
      <c r="F4593" s="28"/>
      <c r="G4593" s="28"/>
      <c r="H4593" s="28" t="str">
        <f>"C100130"</f>
        <v>C100130</v>
      </c>
      <c r="I4593" s="116" t="str">
        <f>"C100130  -  Hotspot Systems"</f>
        <v>C100130  -  Hotspot Systems</v>
      </c>
      <c r="J4593" s="117" t="str">
        <f>""</f>
        <v/>
      </c>
      <c r="K4593" s="118"/>
      <c r="L4593" s="119">
        <f>SUBTOTAL(3,L4594:L4663)</f>
        <v>66</v>
      </c>
      <c r="M4593" s="118"/>
      <c r="N4593" s="118"/>
      <c r="O4593" s="120">
        <f t="shared" ref="O4593:T4593" si="1393">SUBTOTAL(9,O4594:O4663)</f>
        <v>951968.32000000018</v>
      </c>
      <c r="P4593" s="120">
        <f t="shared" si="1393"/>
        <v>19754.48</v>
      </c>
      <c r="Q4593" s="120">
        <f t="shared" si="1393"/>
        <v>38926.33</v>
      </c>
      <c r="R4593" s="120">
        <f t="shared" si="1393"/>
        <v>36568.439999999995</v>
      </c>
      <c r="S4593" s="120">
        <f t="shared" si="1393"/>
        <v>0</v>
      </c>
      <c r="T4593" s="120">
        <f t="shared" si="1393"/>
        <v>856719.07000000007</v>
      </c>
      <c r="U4593" s="81"/>
    </row>
    <row r="4594" spans="1:22" s="26" customFormat="1" ht="24.6" x14ac:dyDescent="0.55000000000000004">
      <c r="A4594" s="27" t="s">
        <v>327</v>
      </c>
      <c r="B4594" s="28"/>
      <c r="C4594" s="27" t="str">
        <f>C4593</f>
        <v>"NAV Direct","CRONUS JetCorp USA","18","1","C100130"</v>
      </c>
      <c r="D4594" s="27"/>
      <c r="E4594" s="28" t="str">
        <f>E4593</f>
        <v>C100130</v>
      </c>
      <c r="F4594" s="28"/>
      <c r="G4594" s="28"/>
      <c r="H4594" s="28"/>
      <c r="I4594" s="121" t="str">
        <f>"Contact: Dennis Eloy Cantu"</f>
        <v>Contact: Dennis Eloy Cantu</v>
      </c>
      <c r="J4594" s="121"/>
      <c r="K4594" s="122"/>
      <c r="L4594" s="123"/>
      <c r="M4594" s="123"/>
      <c r="N4594" s="124"/>
      <c r="O4594" s="124"/>
      <c r="P4594" s="123"/>
      <c r="Q4594" s="125"/>
      <c r="R4594" s="126"/>
      <c r="S4594" s="126"/>
      <c r="T4594" s="125"/>
      <c r="U4594" s="81"/>
    </row>
    <row r="4595" spans="1:22" s="26" customFormat="1" ht="24.6" x14ac:dyDescent="0.55000000000000004">
      <c r="A4595" s="27" t="s">
        <v>327</v>
      </c>
      <c r="B4595" s="28"/>
      <c r="C4595" s="27" t="str">
        <f>C4594</f>
        <v>"NAV Direct","CRONUS JetCorp USA","18","1","C100130"</v>
      </c>
      <c r="D4595" s="27"/>
      <c r="E4595" s="28" t="str">
        <f>E4594</f>
        <v>C100130</v>
      </c>
      <c r="F4595" s="28"/>
      <c r="G4595" s="28"/>
      <c r="H4595" s="28"/>
      <c r="I4595" s="121" t="str">
        <f>"Hotspot Systems@Cronus.com"</f>
        <v>Hotspot Systems@Cronus.com</v>
      </c>
      <c r="J4595" s="121"/>
      <c r="K4595" s="122"/>
      <c r="L4595" s="124"/>
      <c r="M4595" s="124"/>
      <c r="N4595" s="124"/>
      <c r="O4595" s="124"/>
      <c r="P4595" s="123"/>
      <c r="Q4595" s="125"/>
      <c r="R4595" s="126"/>
      <c r="S4595" s="126"/>
      <c r="T4595" s="125"/>
      <c r="U4595" s="81"/>
    </row>
    <row r="4596" spans="1:22" ht="12.75" hidden="1" customHeight="1" outlineLevel="1" x14ac:dyDescent="0.45">
      <c r="A4596" s="12" t="s">
        <v>328</v>
      </c>
      <c r="B4596" s="19"/>
      <c r="E4596" s="19"/>
      <c r="F4596" s="19"/>
      <c r="G4596" s="19"/>
      <c r="H4596" s="19"/>
      <c r="I4596" s="61"/>
      <c r="J4596" s="61"/>
      <c r="K4596" s="61"/>
      <c r="L4596" s="61"/>
      <c r="M4596" s="61"/>
      <c r="N4596" s="61"/>
      <c r="O4596" s="61"/>
      <c r="P4596" s="61"/>
      <c r="Q4596" s="61"/>
      <c r="R4596" s="61"/>
      <c r="S4596" s="61"/>
      <c r="T4596" s="61"/>
      <c r="U4596" s="61"/>
      <c r="V4596" s="21"/>
    </row>
    <row r="4597" spans="1:22" s="30" customFormat="1" ht="24.6" hidden="1" outlineLevel="1" x14ac:dyDescent="0.55000000000000004">
      <c r="A4597" s="27" t="s">
        <v>327</v>
      </c>
      <c r="B4597" s="28"/>
      <c r="C4597" s="27"/>
      <c r="D4597" s="27" t="str">
        <f>"""NAV Direct"",""CRONUS JetCorp USA"",""21"",""1"",""61628"""</f>
        <v>"NAV Direct","CRONUS JetCorp USA","21","1","61628"</v>
      </c>
      <c r="E4597" s="31" t="str">
        <f t="shared" ref="E4597:E4628" si="1394">E4595</f>
        <v>C100130</v>
      </c>
      <c r="F4597" s="31"/>
      <c r="G4597" s="31"/>
      <c r="H4597" s="31"/>
      <c r="I4597" s="56"/>
      <c r="J4597" s="56"/>
      <c r="K4597" s="82" t="str">
        <f t="shared" ref="K4597:K4628" si="1395">"Invoice"</f>
        <v>Invoice</v>
      </c>
      <c r="L4597" s="83" t="str">
        <f>"SI_105462"</f>
        <v>SI_105462</v>
      </c>
      <c r="M4597" s="84">
        <v>42329</v>
      </c>
      <c r="N4597" s="85">
        <f t="shared" ref="N4597:N4628" si="1396">StartDate-$M4597+1</f>
        <v>1483</v>
      </c>
      <c r="O4597" s="86">
        <f t="shared" ref="O4597:O4628" si="1397">SUM(P4597:T4597)</f>
        <v>19699.059999999998</v>
      </c>
      <c r="P4597" s="86">
        <f t="shared" ref="P4597:P4628" si="1398">IF($M4597&gt;=$P$18,U4597,0)</f>
        <v>0</v>
      </c>
      <c r="Q4597" s="86">
        <f t="shared" ref="Q4597:Q4628" si="1399">IF(AND($M4597&gt;=$Q$16,$M4597&lt;=$Q$18),U4597,0)</f>
        <v>0</v>
      </c>
      <c r="R4597" s="86">
        <f t="shared" ref="R4597:R4628" si="1400">IF(AND($M4597&gt;=$R$16,$M4597&lt;=$R$18),U4597,0)</f>
        <v>0</v>
      </c>
      <c r="S4597" s="86">
        <f t="shared" ref="S4597:S4628" si="1401">IF(AND($M4597&gt;=$S$16,$M4597&lt;=$S$18),U4597,0)</f>
        <v>0</v>
      </c>
      <c r="T4597" s="86">
        <f t="shared" ref="T4597:T4628" si="1402">IF($M4597&lt;=$T$18,U4597,0)</f>
        <v>19699.059999999998</v>
      </c>
      <c r="U4597" s="87">
        <v>19699.059999999998</v>
      </c>
    </row>
    <row r="4598" spans="1:22" s="30" customFormat="1" ht="24.6" hidden="1" outlineLevel="1" x14ac:dyDescent="0.55000000000000004">
      <c r="A4598" s="27" t="s">
        <v>327</v>
      </c>
      <c r="B4598" s="28"/>
      <c r="C4598" s="27"/>
      <c r="D4598" s="27" t="str">
        <f>"""NAV Direct"",""CRONUS JetCorp USA"",""21"",""1"",""335121"""</f>
        <v>"NAV Direct","CRONUS JetCorp USA","21","1","335121"</v>
      </c>
      <c r="E4598" s="31">
        <f t="shared" si="1394"/>
        <v>0</v>
      </c>
      <c r="F4598" s="31"/>
      <c r="G4598" s="31"/>
      <c r="H4598" s="31"/>
      <c r="I4598" s="56"/>
      <c r="J4598" s="56"/>
      <c r="K4598" s="82" t="str">
        <f t="shared" si="1395"/>
        <v>Invoice</v>
      </c>
      <c r="L4598" s="83" t="str">
        <f>"SI_110593"</f>
        <v>SI_110593</v>
      </c>
      <c r="M4598" s="84">
        <v>42396</v>
      </c>
      <c r="N4598" s="85">
        <f t="shared" si="1396"/>
        <v>1416</v>
      </c>
      <c r="O4598" s="86">
        <f t="shared" si="1397"/>
        <v>15479.96</v>
      </c>
      <c r="P4598" s="86">
        <f t="shared" si="1398"/>
        <v>0</v>
      </c>
      <c r="Q4598" s="86">
        <f t="shared" si="1399"/>
        <v>0</v>
      </c>
      <c r="R4598" s="86">
        <f t="shared" si="1400"/>
        <v>0</v>
      </c>
      <c r="S4598" s="86">
        <f t="shared" si="1401"/>
        <v>0</v>
      </c>
      <c r="T4598" s="86">
        <f t="shared" si="1402"/>
        <v>15479.96</v>
      </c>
      <c r="U4598" s="87">
        <v>15479.96</v>
      </c>
    </row>
    <row r="4599" spans="1:22" s="30" customFormat="1" ht="24.6" hidden="1" outlineLevel="1" x14ac:dyDescent="0.55000000000000004">
      <c r="A4599" s="27" t="s">
        <v>327</v>
      </c>
      <c r="B4599" s="28"/>
      <c r="C4599" s="27"/>
      <c r="D4599" s="27" t="str">
        <f>"""NAV Direct"",""CRONUS JetCorp USA"",""21"",""1"",""335573"""</f>
        <v>"NAV Direct","CRONUS JetCorp USA","21","1","335573"</v>
      </c>
      <c r="E4599" s="31" t="str">
        <f t="shared" si="1394"/>
        <v>C100130</v>
      </c>
      <c r="F4599" s="31"/>
      <c r="G4599" s="31"/>
      <c r="H4599" s="31"/>
      <c r="I4599" s="56"/>
      <c r="J4599" s="56"/>
      <c r="K4599" s="82" t="str">
        <f t="shared" si="1395"/>
        <v>Invoice</v>
      </c>
      <c r="L4599" s="83" t="str">
        <f>"SI_110605"</f>
        <v>SI_110605</v>
      </c>
      <c r="M4599" s="84">
        <v>42450</v>
      </c>
      <c r="N4599" s="85">
        <f t="shared" si="1396"/>
        <v>1362</v>
      </c>
      <c r="O4599" s="86">
        <f t="shared" si="1397"/>
        <v>15781.390000000001</v>
      </c>
      <c r="P4599" s="86">
        <f t="shared" si="1398"/>
        <v>0</v>
      </c>
      <c r="Q4599" s="86">
        <f t="shared" si="1399"/>
        <v>0</v>
      </c>
      <c r="R4599" s="86">
        <f t="shared" si="1400"/>
        <v>0</v>
      </c>
      <c r="S4599" s="86">
        <f t="shared" si="1401"/>
        <v>0</v>
      </c>
      <c r="T4599" s="86">
        <f t="shared" si="1402"/>
        <v>15781.390000000001</v>
      </c>
      <c r="U4599" s="87">
        <v>15781.390000000001</v>
      </c>
    </row>
    <row r="4600" spans="1:22" s="30" customFormat="1" ht="24.6" hidden="1" outlineLevel="1" x14ac:dyDescent="0.55000000000000004">
      <c r="A4600" s="27" t="s">
        <v>327</v>
      </c>
      <c r="B4600" s="28"/>
      <c r="C4600" s="27"/>
      <c r="D4600" s="27" t="str">
        <f>"""NAV Direct"",""CRONUS JetCorp USA"",""21"",""1"",""336283"""</f>
        <v>"NAV Direct","CRONUS JetCorp USA","21","1","336283"</v>
      </c>
      <c r="E4600" s="31">
        <f t="shared" si="1394"/>
        <v>0</v>
      </c>
      <c r="F4600" s="31"/>
      <c r="G4600" s="31"/>
      <c r="H4600" s="31"/>
      <c r="I4600" s="56"/>
      <c r="J4600" s="56"/>
      <c r="K4600" s="82" t="str">
        <f t="shared" si="1395"/>
        <v>Invoice</v>
      </c>
      <c r="L4600" s="83" t="str">
        <f>"SI_110623"</f>
        <v>SI_110623</v>
      </c>
      <c r="M4600" s="84">
        <v>42550</v>
      </c>
      <c r="N4600" s="85">
        <f t="shared" si="1396"/>
        <v>1262</v>
      </c>
      <c r="O4600" s="86">
        <f t="shared" si="1397"/>
        <v>17085.37</v>
      </c>
      <c r="P4600" s="86">
        <f t="shared" si="1398"/>
        <v>0</v>
      </c>
      <c r="Q4600" s="86">
        <f t="shared" si="1399"/>
        <v>0</v>
      </c>
      <c r="R4600" s="86">
        <f t="shared" si="1400"/>
        <v>0</v>
      </c>
      <c r="S4600" s="86">
        <f t="shared" si="1401"/>
        <v>0</v>
      </c>
      <c r="T4600" s="86">
        <f t="shared" si="1402"/>
        <v>17085.37</v>
      </c>
      <c r="U4600" s="87">
        <v>17085.37</v>
      </c>
    </row>
    <row r="4601" spans="1:22" s="30" customFormat="1" ht="24.6" hidden="1" outlineLevel="1" x14ac:dyDescent="0.55000000000000004">
      <c r="A4601" s="27" t="s">
        <v>327</v>
      </c>
      <c r="B4601" s="28"/>
      <c r="C4601" s="27"/>
      <c r="D4601" s="27" t="str">
        <f>"""NAV Direct"",""CRONUS JetCorp USA"",""21"",""1"",""336849"""</f>
        <v>"NAV Direct","CRONUS JetCorp USA","21","1","336849"</v>
      </c>
      <c r="E4601" s="31" t="str">
        <f t="shared" si="1394"/>
        <v>C100130</v>
      </c>
      <c r="F4601" s="31"/>
      <c r="G4601" s="31"/>
      <c r="H4601" s="31"/>
      <c r="I4601" s="56"/>
      <c r="J4601" s="56"/>
      <c r="K4601" s="82" t="str">
        <f t="shared" si="1395"/>
        <v>Invoice</v>
      </c>
      <c r="L4601" s="83" t="str">
        <f>"SI_110639"</f>
        <v>SI_110639</v>
      </c>
      <c r="M4601" s="84">
        <v>42616</v>
      </c>
      <c r="N4601" s="85">
        <f t="shared" si="1396"/>
        <v>1196</v>
      </c>
      <c r="O4601" s="86">
        <f t="shared" si="1397"/>
        <v>18178.579999999998</v>
      </c>
      <c r="P4601" s="86">
        <f t="shared" si="1398"/>
        <v>0</v>
      </c>
      <c r="Q4601" s="86">
        <f t="shared" si="1399"/>
        <v>0</v>
      </c>
      <c r="R4601" s="86">
        <f t="shared" si="1400"/>
        <v>0</v>
      </c>
      <c r="S4601" s="86">
        <f t="shared" si="1401"/>
        <v>0</v>
      </c>
      <c r="T4601" s="86">
        <f t="shared" si="1402"/>
        <v>18178.579999999998</v>
      </c>
      <c r="U4601" s="87">
        <v>18178.579999999998</v>
      </c>
    </row>
    <row r="4602" spans="1:22" s="30" customFormat="1" ht="24.6" hidden="1" outlineLevel="1" x14ac:dyDescent="0.55000000000000004">
      <c r="A4602" s="27" t="s">
        <v>327</v>
      </c>
      <c r="B4602" s="28"/>
      <c r="C4602" s="27"/>
      <c r="D4602" s="27" t="str">
        <f>"""NAV Direct"",""CRONUS JetCorp USA"",""21"",""1"",""337324"""</f>
        <v>"NAV Direct","CRONUS JetCorp USA","21","1","337324"</v>
      </c>
      <c r="E4602" s="31">
        <f t="shared" si="1394"/>
        <v>0</v>
      </c>
      <c r="F4602" s="31"/>
      <c r="G4602" s="31"/>
      <c r="H4602" s="31"/>
      <c r="I4602" s="56"/>
      <c r="J4602" s="56"/>
      <c r="K4602" s="82" t="str">
        <f t="shared" si="1395"/>
        <v>Invoice</v>
      </c>
      <c r="L4602" s="83" t="str">
        <f>"SI_110652"</f>
        <v>SI_110652</v>
      </c>
      <c r="M4602" s="84">
        <v>42658</v>
      </c>
      <c r="N4602" s="85">
        <f t="shared" si="1396"/>
        <v>1154</v>
      </c>
      <c r="O4602" s="86">
        <f t="shared" si="1397"/>
        <v>17205.02</v>
      </c>
      <c r="P4602" s="86">
        <f t="shared" si="1398"/>
        <v>0</v>
      </c>
      <c r="Q4602" s="86">
        <f t="shared" si="1399"/>
        <v>0</v>
      </c>
      <c r="R4602" s="86">
        <f t="shared" si="1400"/>
        <v>0</v>
      </c>
      <c r="S4602" s="86">
        <f t="shared" si="1401"/>
        <v>0</v>
      </c>
      <c r="T4602" s="86">
        <f t="shared" si="1402"/>
        <v>17205.02</v>
      </c>
      <c r="U4602" s="87">
        <v>17205.02</v>
      </c>
    </row>
    <row r="4603" spans="1:22" s="30" customFormat="1" ht="24.6" hidden="1" outlineLevel="1" x14ac:dyDescent="0.55000000000000004">
      <c r="A4603" s="27" t="s">
        <v>327</v>
      </c>
      <c r="B4603" s="28"/>
      <c r="C4603" s="27"/>
      <c r="D4603" s="27" t="str">
        <f>"""NAV Direct"",""CRONUS JetCorp USA"",""21"",""1"",""337773"""</f>
        <v>"NAV Direct","CRONUS JetCorp USA","21","1","337773"</v>
      </c>
      <c r="E4603" s="31" t="str">
        <f t="shared" si="1394"/>
        <v>C100130</v>
      </c>
      <c r="F4603" s="31"/>
      <c r="G4603" s="31"/>
      <c r="H4603" s="31"/>
      <c r="I4603" s="56"/>
      <c r="J4603" s="56"/>
      <c r="K4603" s="82" t="str">
        <f t="shared" si="1395"/>
        <v>Invoice</v>
      </c>
      <c r="L4603" s="83" t="str">
        <f>"SI_110665"</f>
        <v>SI_110665</v>
      </c>
      <c r="M4603" s="84">
        <v>42736</v>
      </c>
      <c r="N4603" s="85">
        <f t="shared" si="1396"/>
        <v>1076</v>
      </c>
      <c r="O4603" s="86">
        <f t="shared" si="1397"/>
        <v>18523.920000000002</v>
      </c>
      <c r="P4603" s="86">
        <f t="shared" si="1398"/>
        <v>0</v>
      </c>
      <c r="Q4603" s="86">
        <f t="shared" si="1399"/>
        <v>0</v>
      </c>
      <c r="R4603" s="86">
        <f t="shared" si="1400"/>
        <v>0</v>
      </c>
      <c r="S4603" s="86">
        <f t="shared" si="1401"/>
        <v>0</v>
      </c>
      <c r="T4603" s="86">
        <f t="shared" si="1402"/>
        <v>18523.920000000002</v>
      </c>
      <c r="U4603" s="87">
        <v>18523.920000000002</v>
      </c>
    </row>
    <row r="4604" spans="1:22" s="30" customFormat="1" ht="24.6" hidden="1" outlineLevel="1" x14ac:dyDescent="0.55000000000000004">
      <c r="A4604" s="27" t="s">
        <v>327</v>
      </c>
      <c r="B4604" s="28"/>
      <c r="C4604" s="27"/>
      <c r="D4604" s="27" t="str">
        <f>"""NAV Direct"",""CRONUS JetCorp USA"",""21"",""1"",""337806"""</f>
        <v>"NAV Direct","CRONUS JetCorp USA","21","1","337806"</v>
      </c>
      <c r="E4604" s="31">
        <f t="shared" si="1394"/>
        <v>0</v>
      </c>
      <c r="F4604" s="31"/>
      <c r="G4604" s="31"/>
      <c r="H4604" s="31"/>
      <c r="I4604" s="56"/>
      <c r="J4604" s="56"/>
      <c r="K4604" s="82" t="str">
        <f t="shared" si="1395"/>
        <v>Invoice</v>
      </c>
      <c r="L4604" s="83" t="str">
        <f>"SI_110666"</f>
        <v>SI_110666</v>
      </c>
      <c r="M4604" s="84">
        <v>42732</v>
      </c>
      <c r="N4604" s="85">
        <f t="shared" si="1396"/>
        <v>1080</v>
      </c>
      <c r="O4604" s="86">
        <f t="shared" si="1397"/>
        <v>19320.620000000003</v>
      </c>
      <c r="P4604" s="86">
        <f t="shared" si="1398"/>
        <v>0</v>
      </c>
      <c r="Q4604" s="86">
        <f t="shared" si="1399"/>
        <v>0</v>
      </c>
      <c r="R4604" s="86">
        <f t="shared" si="1400"/>
        <v>0</v>
      </c>
      <c r="S4604" s="86">
        <f t="shared" si="1401"/>
        <v>0</v>
      </c>
      <c r="T4604" s="86">
        <f t="shared" si="1402"/>
        <v>19320.620000000003</v>
      </c>
      <c r="U4604" s="87">
        <v>19320.620000000003</v>
      </c>
    </row>
    <row r="4605" spans="1:22" s="30" customFormat="1" ht="24.6" hidden="1" outlineLevel="1" x14ac:dyDescent="0.55000000000000004">
      <c r="A4605" s="27" t="s">
        <v>327</v>
      </c>
      <c r="B4605" s="28"/>
      <c r="C4605" s="27"/>
      <c r="D4605" s="27" t="str">
        <f>"""NAV Direct"",""CRONUS JetCorp USA"",""21"",""1"",""337847"""</f>
        <v>"NAV Direct","CRONUS JetCorp USA","21","1","337847"</v>
      </c>
      <c r="E4605" s="31" t="str">
        <f t="shared" si="1394"/>
        <v>C100130</v>
      </c>
      <c r="F4605" s="31"/>
      <c r="G4605" s="31"/>
      <c r="H4605" s="31"/>
      <c r="I4605" s="56"/>
      <c r="J4605" s="56"/>
      <c r="K4605" s="82" t="str">
        <f t="shared" si="1395"/>
        <v>Invoice</v>
      </c>
      <c r="L4605" s="83" t="str">
        <f>"SI_110667"</f>
        <v>SI_110667</v>
      </c>
      <c r="M4605" s="84">
        <v>42733</v>
      </c>
      <c r="N4605" s="85">
        <f t="shared" si="1396"/>
        <v>1079</v>
      </c>
      <c r="O4605" s="86">
        <f t="shared" si="1397"/>
        <v>18324.239999999998</v>
      </c>
      <c r="P4605" s="86">
        <f t="shared" si="1398"/>
        <v>0</v>
      </c>
      <c r="Q4605" s="86">
        <f t="shared" si="1399"/>
        <v>0</v>
      </c>
      <c r="R4605" s="86">
        <f t="shared" si="1400"/>
        <v>0</v>
      </c>
      <c r="S4605" s="86">
        <f t="shared" si="1401"/>
        <v>0</v>
      </c>
      <c r="T4605" s="86">
        <f t="shared" si="1402"/>
        <v>18324.239999999998</v>
      </c>
      <c r="U4605" s="87">
        <v>18324.239999999998</v>
      </c>
    </row>
    <row r="4606" spans="1:22" s="30" customFormat="1" ht="24.6" hidden="1" outlineLevel="1" x14ac:dyDescent="0.55000000000000004">
      <c r="A4606" s="27" t="s">
        <v>327</v>
      </c>
      <c r="B4606" s="28"/>
      <c r="C4606" s="27"/>
      <c r="D4606" s="27" t="str">
        <f>"""NAV Direct"",""CRONUS JetCorp USA"",""21"",""1"",""337894"""</f>
        <v>"NAV Direct","CRONUS JetCorp USA","21","1","337894"</v>
      </c>
      <c r="E4606" s="31">
        <f t="shared" si="1394"/>
        <v>0</v>
      </c>
      <c r="F4606" s="31"/>
      <c r="G4606" s="31"/>
      <c r="H4606" s="31"/>
      <c r="I4606" s="56"/>
      <c r="J4606" s="56"/>
      <c r="K4606" s="82" t="str">
        <f t="shared" si="1395"/>
        <v>Invoice</v>
      </c>
      <c r="L4606" s="83" t="str">
        <f>"SI_110668"</f>
        <v>SI_110668</v>
      </c>
      <c r="M4606" s="84">
        <v>42740</v>
      </c>
      <c r="N4606" s="85">
        <f t="shared" si="1396"/>
        <v>1072</v>
      </c>
      <c r="O4606" s="86">
        <f t="shared" si="1397"/>
        <v>17727.21</v>
      </c>
      <c r="P4606" s="86">
        <f t="shared" si="1398"/>
        <v>0</v>
      </c>
      <c r="Q4606" s="86">
        <f t="shared" si="1399"/>
        <v>0</v>
      </c>
      <c r="R4606" s="86">
        <f t="shared" si="1400"/>
        <v>0</v>
      </c>
      <c r="S4606" s="86">
        <f t="shared" si="1401"/>
        <v>0</v>
      </c>
      <c r="T4606" s="86">
        <f t="shared" si="1402"/>
        <v>17727.21</v>
      </c>
      <c r="U4606" s="87">
        <v>17727.21</v>
      </c>
    </row>
    <row r="4607" spans="1:22" s="30" customFormat="1" ht="24.6" hidden="1" outlineLevel="1" x14ac:dyDescent="0.55000000000000004">
      <c r="A4607" s="27" t="s">
        <v>327</v>
      </c>
      <c r="B4607" s="28"/>
      <c r="C4607" s="27"/>
      <c r="D4607" s="27" t="str">
        <f>"""NAV Direct"",""CRONUS JetCorp USA"",""21"",""1"",""338461"""</f>
        <v>"NAV Direct","CRONUS JetCorp USA","21","1","338461"</v>
      </c>
      <c r="E4607" s="31" t="str">
        <f t="shared" si="1394"/>
        <v>C100130</v>
      </c>
      <c r="F4607" s="31"/>
      <c r="G4607" s="31"/>
      <c r="H4607" s="31"/>
      <c r="I4607" s="56"/>
      <c r="J4607" s="56"/>
      <c r="K4607" s="82" t="str">
        <f t="shared" si="1395"/>
        <v>Invoice</v>
      </c>
      <c r="L4607" s="83" t="str">
        <f>"SI_110683"</f>
        <v>SI_110683</v>
      </c>
      <c r="M4607" s="84">
        <v>42810</v>
      </c>
      <c r="N4607" s="85">
        <f t="shared" si="1396"/>
        <v>1002</v>
      </c>
      <c r="O4607" s="86">
        <f t="shared" si="1397"/>
        <v>17441.400000000001</v>
      </c>
      <c r="P4607" s="86">
        <f t="shared" si="1398"/>
        <v>0</v>
      </c>
      <c r="Q4607" s="86">
        <f t="shared" si="1399"/>
        <v>0</v>
      </c>
      <c r="R4607" s="86">
        <f t="shared" si="1400"/>
        <v>0</v>
      </c>
      <c r="S4607" s="86">
        <f t="shared" si="1401"/>
        <v>0</v>
      </c>
      <c r="T4607" s="86">
        <f t="shared" si="1402"/>
        <v>17441.400000000001</v>
      </c>
      <c r="U4607" s="87">
        <v>17441.400000000001</v>
      </c>
    </row>
    <row r="4608" spans="1:22" s="30" customFormat="1" ht="24.6" hidden="1" outlineLevel="1" x14ac:dyDescent="0.55000000000000004">
      <c r="A4608" s="27" t="s">
        <v>327</v>
      </c>
      <c r="B4608" s="28"/>
      <c r="C4608" s="27"/>
      <c r="D4608" s="27" t="str">
        <f>"""NAV Direct"",""CRONUS JetCorp USA"",""21"",""1"",""339236"""</f>
        <v>"NAV Direct","CRONUS JetCorp USA","21","1","339236"</v>
      </c>
      <c r="E4608" s="31">
        <f t="shared" si="1394"/>
        <v>0</v>
      </c>
      <c r="F4608" s="31"/>
      <c r="G4608" s="31"/>
      <c r="H4608" s="31"/>
      <c r="I4608" s="56"/>
      <c r="J4608" s="56"/>
      <c r="K4608" s="82" t="str">
        <f t="shared" si="1395"/>
        <v>Invoice</v>
      </c>
      <c r="L4608" s="83" t="str">
        <f>"SI_110702"</f>
        <v>SI_110702</v>
      </c>
      <c r="M4608" s="84">
        <v>42892</v>
      </c>
      <c r="N4608" s="85">
        <f t="shared" si="1396"/>
        <v>920</v>
      </c>
      <c r="O4608" s="86">
        <f t="shared" si="1397"/>
        <v>18682.560000000001</v>
      </c>
      <c r="P4608" s="86">
        <f t="shared" si="1398"/>
        <v>0</v>
      </c>
      <c r="Q4608" s="86">
        <f t="shared" si="1399"/>
        <v>0</v>
      </c>
      <c r="R4608" s="86">
        <f t="shared" si="1400"/>
        <v>0</v>
      </c>
      <c r="S4608" s="86">
        <f t="shared" si="1401"/>
        <v>0</v>
      </c>
      <c r="T4608" s="86">
        <f t="shared" si="1402"/>
        <v>18682.560000000001</v>
      </c>
      <c r="U4608" s="87">
        <v>18682.560000000001</v>
      </c>
    </row>
    <row r="4609" spans="1:21" s="30" customFormat="1" ht="24.6" hidden="1" outlineLevel="1" x14ac:dyDescent="0.55000000000000004">
      <c r="A4609" s="27" t="s">
        <v>327</v>
      </c>
      <c r="B4609" s="28"/>
      <c r="C4609" s="27"/>
      <c r="D4609" s="27" t="str">
        <f>"""NAV Direct"",""CRONUS JetCorp USA"",""21"",""1"",""339519"""</f>
        <v>"NAV Direct","CRONUS JetCorp USA","21","1","339519"</v>
      </c>
      <c r="E4609" s="31" t="str">
        <f t="shared" si="1394"/>
        <v>C100130</v>
      </c>
      <c r="F4609" s="31"/>
      <c r="G4609" s="31"/>
      <c r="H4609" s="31"/>
      <c r="I4609" s="56"/>
      <c r="J4609" s="56"/>
      <c r="K4609" s="82" t="str">
        <f t="shared" si="1395"/>
        <v>Invoice</v>
      </c>
      <c r="L4609" s="83" t="str">
        <f>"SI_110709"</f>
        <v>SI_110709</v>
      </c>
      <c r="M4609" s="84">
        <v>42918</v>
      </c>
      <c r="N4609" s="85">
        <f t="shared" si="1396"/>
        <v>894</v>
      </c>
      <c r="O4609" s="86">
        <f t="shared" si="1397"/>
        <v>19077.59</v>
      </c>
      <c r="P4609" s="86">
        <f t="shared" si="1398"/>
        <v>0</v>
      </c>
      <c r="Q4609" s="86">
        <f t="shared" si="1399"/>
        <v>0</v>
      </c>
      <c r="R4609" s="86">
        <f t="shared" si="1400"/>
        <v>0</v>
      </c>
      <c r="S4609" s="86">
        <f t="shared" si="1401"/>
        <v>0</v>
      </c>
      <c r="T4609" s="86">
        <f t="shared" si="1402"/>
        <v>19077.59</v>
      </c>
      <c r="U4609" s="87">
        <v>19077.59</v>
      </c>
    </row>
    <row r="4610" spans="1:21" s="30" customFormat="1" ht="24.6" hidden="1" outlineLevel="1" x14ac:dyDescent="0.55000000000000004">
      <c r="A4610" s="27" t="s">
        <v>327</v>
      </c>
      <c r="B4610" s="28"/>
      <c r="C4610" s="27"/>
      <c r="D4610" s="27" t="str">
        <f>"""NAV Direct"",""CRONUS JetCorp USA"",""21"",""1"",""339622"""</f>
        <v>"NAV Direct","CRONUS JetCorp USA","21","1","339622"</v>
      </c>
      <c r="E4610" s="31">
        <f t="shared" si="1394"/>
        <v>0</v>
      </c>
      <c r="F4610" s="31"/>
      <c r="G4610" s="31"/>
      <c r="H4610" s="31"/>
      <c r="I4610" s="56"/>
      <c r="J4610" s="56"/>
      <c r="K4610" s="82" t="str">
        <f t="shared" si="1395"/>
        <v>Invoice</v>
      </c>
      <c r="L4610" s="83" t="str">
        <f>"SI_110712"</f>
        <v>SI_110712</v>
      </c>
      <c r="M4610" s="84">
        <v>42938</v>
      </c>
      <c r="N4610" s="85">
        <f t="shared" si="1396"/>
        <v>874</v>
      </c>
      <c r="O4610" s="86">
        <f t="shared" si="1397"/>
        <v>18364.55</v>
      </c>
      <c r="P4610" s="86">
        <f t="shared" si="1398"/>
        <v>0</v>
      </c>
      <c r="Q4610" s="86">
        <f t="shared" si="1399"/>
        <v>0</v>
      </c>
      <c r="R4610" s="86">
        <f t="shared" si="1400"/>
        <v>0</v>
      </c>
      <c r="S4610" s="86">
        <f t="shared" si="1401"/>
        <v>0</v>
      </c>
      <c r="T4610" s="86">
        <f t="shared" si="1402"/>
        <v>18364.55</v>
      </c>
      <c r="U4610" s="87">
        <v>18364.55</v>
      </c>
    </row>
    <row r="4611" spans="1:21" s="30" customFormat="1" ht="24.6" hidden="1" outlineLevel="1" x14ac:dyDescent="0.55000000000000004">
      <c r="A4611" s="27" t="s">
        <v>327</v>
      </c>
      <c r="B4611" s="28"/>
      <c r="C4611" s="27"/>
      <c r="D4611" s="27" t="str">
        <f>"""NAV Direct"",""CRONUS JetCorp USA"",""21"",""1"",""339971"""</f>
        <v>"NAV Direct","CRONUS JetCorp USA","21","1","339971"</v>
      </c>
      <c r="E4611" s="31" t="str">
        <f t="shared" si="1394"/>
        <v>C100130</v>
      </c>
      <c r="F4611" s="31"/>
      <c r="G4611" s="31"/>
      <c r="H4611" s="31"/>
      <c r="I4611" s="56"/>
      <c r="J4611" s="56"/>
      <c r="K4611" s="82" t="str">
        <f t="shared" si="1395"/>
        <v>Invoice</v>
      </c>
      <c r="L4611" s="83" t="str">
        <f>"SI_110721"</f>
        <v>SI_110721</v>
      </c>
      <c r="M4611" s="84">
        <v>42972</v>
      </c>
      <c r="N4611" s="85">
        <f t="shared" si="1396"/>
        <v>840</v>
      </c>
      <c r="O4611" s="86">
        <f t="shared" si="1397"/>
        <v>18331.75</v>
      </c>
      <c r="P4611" s="86">
        <f t="shared" si="1398"/>
        <v>0</v>
      </c>
      <c r="Q4611" s="86">
        <f t="shared" si="1399"/>
        <v>0</v>
      </c>
      <c r="R4611" s="86">
        <f t="shared" si="1400"/>
        <v>0</v>
      </c>
      <c r="S4611" s="86">
        <f t="shared" si="1401"/>
        <v>0</v>
      </c>
      <c r="T4611" s="86">
        <f t="shared" si="1402"/>
        <v>18331.75</v>
      </c>
      <c r="U4611" s="87">
        <v>18331.75</v>
      </c>
    </row>
    <row r="4612" spans="1:21" s="30" customFormat="1" ht="24.6" hidden="1" outlineLevel="1" x14ac:dyDescent="0.55000000000000004">
      <c r="A4612" s="27" t="s">
        <v>327</v>
      </c>
      <c r="B4612" s="28"/>
      <c r="C4612" s="27"/>
      <c r="D4612" s="27" t="str">
        <f>"""NAV Direct"",""CRONUS JetCorp USA"",""21"",""1"",""340503"""</f>
        <v>"NAV Direct","CRONUS JetCorp USA","21","1","340503"</v>
      </c>
      <c r="E4612" s="31">
        <f t="shared" si="1394"/>
        <v>0</v>
      </c>
      <c r="F4612" s="31"/>
      <c r="G4612" s="31"/>
      <c r="H4612" s="31"/>
      <c r="I4612" s="56"/>
      <c r="J4612" s="56"/>
      <c r="K4612" s="82" t="str">
        <f t="shared" si="1395"/>
        <v>Invoice</v>
      </c>
      <c r="L4612" s="83" t="str">
        <f>"SI_110735"</f>
        <v>SI_110735</v>
      </c>
      <c r="M4612" s="84">
        <v>43026</v>
      </c>
      <c r="N4612" s="85">
        <f t="shared" si="1396"/>
        <v>786</v>
      </c>
      <c r="O4612" s="86">
        <f t="shared" si="1397"/>
        <v>18927.489999999998</v>
      </c>
      <c r="P4612" s="86">
        <f t="shared" si="1398"/>
        <v>0</v>
      </c>
      <c r="Q4612" s="86">
        <f t="shared" si="1399"/>
        <v>0</v>
      </c>
      <c r="R4612" s="86">
        <f t="shared" si="1400"/>
        <v>0</v>
      </c>
      <c r="S4612" s="86">
        <f t="shared" si="1401"/>
        <v>0</v>
      </c>
      <c r="T4612" s="86">
        <f t="shared" si="1402"/>
        <v>18927.489999999998</v>
      </c>
      <c r="U4612" s="87">
        <v>18927.489999999998</v>
      </c>
    </row>
    <row r="4613" spans="1:21" s="30" customFormat="1" ht="24.6" hidden="1" outlineLevel="1" x14ac:dyDescent="0.55000000000000004">
      <c r="A4613" s="27" t="s">
        <v>327</v>
      </c>
      <c r="B4613" s="28"/>
      <c r="C4613" s="27"/>
      <c r="D4613" s="27" t="str">
        <f>"""NAV Direct"",""CRONUS JetCorp USA"",""21"",""1"",""340692"""</f>
        <v>"NAV Direct","CRONUS JetCorp USA","21","1","340692"</v>
      </c>
      <c r="E4613" s="31" t="str">
        <f t="shared" si="1394"/>
        <v>C100130</v>
      </c>
      <c r="F4613" s="31"/>
      <c r="G4613" s="31"/>
      <c r="H4613" s="31"/>
      <c r="I4613" s="56"/>
      <c r="J4613" s="56"/>
      <c r="K4613" s="82" t="str">
        <f t="shared" si="1395"/>
        <v>Invoice</v>
      </c>
      <c r="L4613" s="83" t="str">
        <f>"SI_110740"</f>
        <v>SI_110740</v>
      </c>
      <c r="M4613" s="84">
        <v>43044</v>
      </c>
      <c r="N4613" s="85">
        <f t="shared" si="1396"/>
        <v>768</v>
      </c>
      <c r="O4613" s="86">
        <f t="shared" si="1397"/>
        <v>18928.32</v>
      </c>
      <c r="P4613" s="86">
        <f t="shared" si="1398"/>
        <v>0</v>
      </c>
      <c r="Q4613" s="86">
        <f t="shared" si="1399"/>
        <v>0</v>
      </c>
      <c r="R4613" s="86">
        <f t="shared" si="1400"/>
        <v>0</v>
      </c>
      <c r="S4613" s="86">
        <f t="shared" si="1401"/>
        <v>0</v>
      </c>
      <c r="T4613" s="86">
        <f t="shared" si="1402"/>
        <v>18928.32</v>
      </c>
      <c r="U4613" s="87">
        <v>18928.32</v>
      </c>
    </row>
    <row r="4614" spans="1:21" s="30" customFormat="1" ht="24.6" hidden="1" outlineLevel="1" x14ac:dyDescent="0.55000000000000004">
      <c r="A4614" s="27" t="s">
        <v>327</v>
      </c>
      <c r="B4614" s="28"/>
      <c r="C4614" s="27"/>
      <c r="D4614" s="27" t="str">
        <f>"""NAV Direct"",""CRONUS JetCorp USA"",""21"",""1"",""341063"""</f>
        <v>"NAV Direct","CRONUS JetCorp USA","21","1","341063"</v>
      </c>
      <c r="E4614" s="31">
        <f t="shared" si="1394"/>
        <v>0</v>
      </c>
      <c r="F4614" s="31"/>
      <c r="G4614" s="31"/>
      <c r="H4614" s="31"/>
      <c r="I4614" s="56"/>
      <c r="J4614" s="56"/>
      <c r="K4614" s="82" t="str">
        <f t="shared" si="1395"/>
        <v>Invoice</v>
      </c>
      <c r="L4614" s="83" t="str">
        <f>"SI_110749"</f>
        <v>SI_110749</v>
      </c>
      <c r="M4614" s="84">
        <v>43069</v>
      </c>
      <c r="N4614" s="85">
        <f t="shared" si="1396"/>
        <v>743</v>
      </c>
      <c r="O4614" s="86">
        <f t="shared" si="1397"/>
        <v>19495.939999999999</v>
      </c>
      <c r="P4614" s="86">
        <f t="shared" si="1398"/>
        <v>0</v>
      </c>
      <c r="Q4614" s="86">
        <f t="shared" si="1399"/>
        <v>0</v>
      </c>
      <c r="R4614" s="86">
        <f t="shared" si="1400"/>
        <v>0</v>
      </c>
      <c r="S4614" s="86">
        <f t="shared" si="1401"/>
        <v>0</v>
      </c>
      <c r="T4614" s="86">
        <f t="shared" si="1402"/>
        <v>19495.939999999999</v>
      </c>
      <c r="U4614" s="87">
        <v>19495.939999999999</v>
      </c>
    </row>
    <row r="4615" spans="1:21" s="30" customFormat="1" ht="24.6" hidden="1" outlineLevel="1" x14ac:dyDescent="0.55000000000000004">
      <c r="A4615" s="27" t="s">
        <v>327</v>
      </c>
      <c r="B4615" s="28"/>
      <c r="C4615" s="27"/>
      <c r="D4615" s="27" t="str">
        <f>"""NAV Direct"",""CRONUS JetCorp USA"",""21"",""1"",""341273"""</f>
        <v>"NAV Direct","CRONUS JetCorp USA","21","1","341273"</v>
      </c>
      <c r="E4615" s="31" t="str">
        <f t="shared" si="1394"/>
        <v>C100130</v>
      </c>
      <c r="F4615" s="31"/>
      <c r="G4615" s="31"/>
      <c r="H4615" s="31"/>
      <c r="I4615" s="56"/>
      <c r="J4615" s="56"/>
      <c r="K4615" s="82" t="str">
        <f t="shared" si="1395"/>
        <v>Invoice</v>
      </c>
      <c r="L4615" s="83" t="str">
        <f>"SI_110755"</f>
        <v>SI_110755</v>
      </c>
      <c r="M4615" s="84">
        <v>43093</v>
      </c>
      <c r="N4615" s="85">
        <f t="shared" si="1396"/>
        <v>719</v>
      </c>
      <c r="O4615" s="86">
        <f t="shared" si="1397"/>
        <v>19727.77</v>
      </c>
      <c r="P4615" s="86">
        <f t="shared" si="1398"/>
        <v>0</v>
      </c>
      <c r="Q4615" s="86">
        <f t="shared" si="1399"/>
        <v>0</v>
      </c>
      <c r="R4615" s="86">
        <f t="shared" si="1400"/>
        <v>0</v>
      </c>
      <c r="S4615" s="86">
        <f t="shared" si="1401"/>
        <v>0</v>
      </c>
      <c r="T4615" s="86">
        <f t="shared" si="1402"/>
        <v>19727.77</v>
      </c>
      <c r="U4615" s="87">
        <v>19727.77</v>
      </c>
    </row>
    <row r="4616" spans="1:21" s="30" customFormat="1" ht="24.6" hidden="1" outlineLevel="1" x14ac:dyDescent="0.55000000000000004">
      <c r="A4616" s="27" t="s">
        <v>327</v>
      </c>
      <c r="B4616" s="28"/>
      <c r="C4616" s="27"/>
      <c r="D4616" s="27" t="str">
        <f>"""NAV Direct"",""CRONUS JetCorp USA"",""21"",""1"",""341318"""</f>
        <v>"NAV Direct","CRONUS JetCorp USA","21","1","341318"</v>
      </c>
      <c r="E4616" s="31">
        <f t="shared" si="1394"/>
        <v>0</v>
      </c>
      <c r="F4616" s="31"/>
      <c r="G4616" s="31"/>
      <c r="H4616" s="31"/>
      <c r="I4616" s="56"/>
      <c r="J4616" s="56"/>
      <c r="K4616" s="82" t="str">
        <f t="shared" si="1395"/>
        <v>Invoice</v>
      </c>
      <c r="L4616" s="83" t="str">
        <f>"SI_110756"</f>
        <v>SI_110756</v>
      </c>
      <c r="M4616" s="84">
        <v>43103</v>
      </c>
      <c r="N4616" s="85">
        <f t="shared" si="1396"/>
        <v>709</v>
      </c>
      <c r="O4616" s="86">
        <f t="shared" si="1397"/>
        <v>19110.73</v>
      </c>
      <c r="P4616" s="86">
        <f t="shared" si="1398"/>
        <v>0</v>
      </c>
      <c r="Q4616" s="86">
        <f t="shared" si="1399"/>
        <v>0</v>
      </c>
      <c r="R4616" s="86">
        <f t="shared" si="1400"/>
        <v>0</v>
      </c>
      <c r="S4616" s="86">
        <f t="shared" si="1401"/>
        <v>0</v>
      </c>
      <c r="T4616" s="86">
        <f t="shared" si="1402"/>
        <v>19110.73</v>
      </c>
      <c r="U4616" s="87">
        <v>19110.73</v>
      </c>
    </row>
    <row r="4617" spans="1:21" s="30" customFormat="1" ht="24.6" hidden="1" outlineLevel="1" x14ac:dyDescent="0.55000000000000004">
      <c r="A4617" s="27" t="s">
        <v>327</v>
      </c>
      <c r="B4617" s="28"/>
      <c r="C4617" s="27"/>
      <c r="D4617" s="27" t="str">
        <f>"""NAV Direct"",""CRONUS JetCorp USA"",""21"",""1"",""341721"""</f>
        <v>"NAV Direct","CRONUS JetCorp USA","21","1","341721"</v>
      </c>
      <c r="E4617" s="31" t="str">
        <f t="shared" si="1394"/>
        <v>C100130</v>
      </c>
      <c r="F4617" s="31"/>
      <c r="G4617" s="31"/>
      <c r="H4617" s="31"/>
      <c r="I4617" s="56"/>
      <c r="J4617" s="56"/>
      <c r="K4617" s="82" t="str">
        <f t="shared" si="1395"/>
        <v>Invoice</v>
      </c>
      <c r="L4617" s="83" t="str">
        <f>"SI_110767"</f>
        <v>SI_110767</v>
      </c>
      <c r="M4617" s="84">
        <v>43142</v>
      </c>
      <c r="N4617" s="85">
        <f t="shared" si="1396"/>
        <v>670</v>
      </c>
      <c r="O4617" s="86">
        <f t="shared" si="1397"/>
        <v>19419.78</v>
      </c>
      <c r="P4617" s="86">
        <f t="shared" si="1398"/>
        <v>0</v>
      </c>
      <c r="Q4617" s="86">
        <f t="shared" si="1399"/>
        <v>0</v>
      </c>
      <c r="R4617" s="86">
        <f t="shared" si="1400"/>
        <v>0</v>
      </c>
      <c r="S4617" s="86">
        <f t="shared" si="1401"/>
        <v>0</v>
      </c>
      <c r="T4617" s="86">
        <f t="shared" si="1402"/>
        <v>19419.78</v>
      </c>
      <c r="U4617" s="87">
        <v>19419.78</v>
      </c>
    </row>
    <row r="4618" spans="1:21" s="30" customFormat="1" ht="24.6" hidden="1" outlineLevel="1" x14ac:dyDescent="0.55000000000000004">
      <c r="A4618" s="27" t="s">
        <v>327</v>
      </c>
      <c r="B4618" s="28"/>
      <c r="C4618" s="27"/>
      <c r="D4618" s="27" t="str">
        <f>"""NAV Direct"",""CRONUS JetCorp USA"",""21"",""1"",""341793"""</f>
        <v>"NAV Direct","CRONUS JetCorp USA","21","1","341793"</v>
      </c>
      <c r="E4618" s="31">
        <f t="shared" si="1394"/>
        <v>0</v>
      </c>
      <c r="F4618" s="31"/>
      <c r="G4618" s="31"/>
      <c r="H4618" s="31"/>
      <c r="I4618" s="56"/>
      <c r="J4618" s="56"/>
      <c r="K4618" s="82" t="str">
        <f t="shared" si="1395"/>
        <v>Invoice</v>
      </c>
      <c r="L4618" s="83" t="str">
        <f>"SI_110769"</f>
        <v>SI_110769</v>
      </c>
      <c r="M4618" s="84">
        <v>43164</v>
      </c>
      <c r="N4618" s="85">
        <f t="shared" si="1396"/>
        <v>648</v>
      </c>
      <c r="O4618" s="86">
        <f t="shared" si="1397"/>
        <v>18825.57</v>
      </c>
      <c r="P4618" s="86">
        <f t="shared" si="1398"/>
        <v>0</v>
      </c>
      <c r="Q4618" s="86">
        <f t="shared" si="1399"/>
        <v>0</v>
      </c>
      <c r="R4618" s="86">
        <f t="shared" si="1400"/>
        <v>0</v>
      </c>
      <c r="S4618" s="86">
        <f t="shared" si="1401"/>
        <v>0</v>
      </c>
      <c r="T4618" s="86">
        <f t="shared" si="1402"/>
        <v>18825.57</v>
      </c>
      <c r="U4618" s="87">
        <v>18825.57</v>
      </c>
    </row>
    <row r="4619" spans="1:21" s="30" customFormat="1" ht="24.6" hidden="1" outlineLevel="1" x14ac:dyDescent="0.55000000000000004">
      <c r="A4619" s="27" t="s">
        <v>327</v>
      </c>
      <c r="B4619" s="28"/>
      <c r="C4619" s="27"/>
      <c r="D4619" s="27" t="str">
        <f>"""NAV Direct"",""CRONUS JetCorp USA"",""21"",""1"",""342255"""</f>
        <v>"NAV Direct","CRONUS JetCorp USA","21","1","342255"</v>
      </c>
      <c r="E4619" s="31" t="str">
        <f t="shared" si="1394"/>
        <v>C100130</v>
      </c>
      <c r="F4619" s="31"/>
      <c r="G4619" s="31"/>
      <c r="H4619" s="31"/>
      <c r="I4619" s="56"/>
      <c r="J4619" s="56"/>
      <c r="K4619" s="82" t="str">
        <f t="shared" si="1395"/>
        <v>Invoice</v>
      </c>
      <c r="L4619" s="83" t="str">
        <f>"SI_110781"</f>
        <v>SI_110781</v>
      </c>
      <c r="M4619" s="84">
        <v>43214</v>
      </c>
      <c r="N4619" s="85">
        <f t="shared" si="1396"/>
        <v>598</v>
      </c>
      <c r="O4619" s="86">
        <f t="shared" si="1397"/>
        <v>18571.05</v>
      </c>
      <c r="P4619" s="86">
        <f t="shared" si="1398"/>
        <v>0</v>
      </c>
      <c r="Q4619" s="86">
        <f t="shared" si="1399"/>
        <v>0</v>
      </c>
      <c r="R4619" s="86">
        <f t="shared" si="1400"/>
        <v>0</v>
      </c>
      <c r="S4619" s="86">
        <f t="shared" si="1401"/>
        <v>0</v>
      </c>
      <c r="T4619" s="86">
        <f t="shared" si="1402"/>
        <v>18571.05</v>
      </c>
      <c r="U4619" s="87">
        <v>18571.05</v>
      </c>
    </row>
    <row r="4620" spans="1:21" s="30" customFormat="1" ht="24.6" hidden="1" outlineLevel="1" x14ac:dyDescent="0.55000000000000004">
      <c r="A4620" s="27" t="s">
        <v>327</v>
      </c>
      <c r="B4620" s="28"/>
      <c r="C4620" s="27"/>
      <c r="D4620" s="27" t="str">
        <f>"""NAV Direct"",""CRONUS JetCorp USA"",""21"",""1"",""342390"""</f>
        <v>"NAV Direct","CRONUS JetCorp USA","21","1","342390"</v>
      </c>
      <c r="E4620" s="31">
        <f t="shared" si="1394"/>
        <v>0</v>
      </c>
      <c r="F4620" s="31"/>
      <c r="G4620" s="31"/>
      <c r="H4620" s="31"/>
      <c r="I4620" s="56"/>
      <c r="J4620" s="56"/>
      <c r="K4620" s="82" t="str">
        <f t="shared" si="1395"/>
        <v>Invoice</v>
      </c>
      <c r="L4620" s="83" t="str">
        <f>"SI_110784"</f>
        <v>SI_110784</v>
      </c>
      <c r="M4620" s="84">
        <v>43216</v>
      </c>
      <c r="N4620" s="85">
        <f t="shared" si="1396"/>
        <v>596</v>
      </c>
      <c r="O4620" s="86">
        <f t="shared" si="1397"/>
        <v>19580.599999999999</v>
      </c>
      <c r="P4620" s="86">
        <f t="shared" si="1398"/>
        <v>0</v>
      </c>
      <c r="Q4620" s="86">
        <f t="shared" si="1399"/>
        <v>0</v>
      </c>
      <c r="R4620" s="86">
        <f t="shared" si="1400"/>
        <v>0</v>
      </c>
      <c r="S4620" s="86">
        <f t="shared" si="1401"/>
        <v>0</v>
      </c>
      <c r="T4620" s="86">
        <f t="shared" si="1402"/>
        <v>19580.599999999999</v>
      </c>
      <c r="U4620" s="87">
        <v>19580.599999999999</v>
      </c>
    </row>
    <row r="4621" spans="1:21" s="30" customFormat="1" ht="24.6" hidden="1" outlineLevel="1" x14ac:dyDescent="0.55000000000000004">
      <c r="A4621" s="27" t="s">
        <v>327</v>
      </c>
      <c r="B4621" s="28"/>
      <c r="C4621" s="27"/>
      <c r="D4621" s="27" t="str">
        <f>"""NAV Direct"",""CRONUS JetCorp USA"",""21"",""1"",""343000"""</f>
        <v>"NAV Direct","CRONUS JetCorp USA","21","1","343000"</v>
      </c>
      <c r="E4621" s="31" t="str">
        <f t="shared" si="1394"/>
        <v>C100130</v>
      </c>
      <c r="F4621" s="31"/>
      <c r="G4621" s="31"/>
      <c r="H4621" s="31"/>
      <c r="I4621" s="56"/>
      <c r="J4621" s="56"/>
      <c r="K4621" s="82" t="str">
        <f t="shared" si="1395"/>
        <v>Invoice</v>
      </c>
      <c r="L4621" s="83" t="str">
        <f>"SI_110800"</f>
        <v>SI_110800</v>
      </c>
      <c r="M4621" s="84">
        <v>43284</v>
      </c>
      <c r="N4621" s="85">
        <f t="shared" si="1396"/>
        <v>528</v>
      </c>
      <c r="O4621" s="86">
        <f t="shared" si="1397"/>
        <v>20206.66</v>
      </c>
      <c r="P4621" s="86">
        <f t="shared" si="1398"/>
        <v>0</v>
      </c>
      <c r="Q4621" s="86">
        <f t="shared" si="1399"/>
        <v>0</v>
      </c>
      <c r="R4621" s="86">
        <f t="shared" si="1400"/>
        <v>0</v>
      </c>
      <c r="S4621" s="86">
        <f t="shared" si="1401"/>
        <v>0</v>
      </c>
      <c r="T4621" s="86">
        <f t="shared" si="1402"/>
        <v>20206.66</v>
      </c>
      <c r="U4621" s="87">
        <v>20206.66</v>
      </c>
    </row>
    <row r="4622" spans="1:21" s="30" customFormat="1" ht="24.6" hidden="1" outlineLevel="1" x14ac:dyDescent="0.55000000000000004">
      <c r="A4622" s="27" t="s">
        <v>327</v>
      </c>
      <c r="B4622" s="28"/>
      <c r="C4622" s="27"/>
      <c r="D4622" s="27" t="str">
        <f>"""NAV Direct"",""CRONUS JetCorp USA"",""21"",""1"",""343651"""</f>
        <v>"NAV Direct","CRONUS JetCorp USA","21","1","343651"</v>
      </c>
      <c r="E4622" s="31">
        <f t="shared" si="1394"/>
        <v>0</v>
      </c>
      <c r="F4622" s="31"/>
      <c r="G4622" s="31"/>
      <c r="H4622" s="31"/>
      <c r="I4622" s="56"/>
      <c r="J4622" s="56"/>
      <c r="K4622" s="82" t="str">
        <f t="shared" si="1395"/>
        <v>Invoice</v>
      </c>
      <c r="L4622" s="83" t="str">
        <f>"SI_110817"</f>
        <v>SI_110817</v>
      </c>
      <c r="M4622" s="84">
        <v>43350</v>
      </c>
      <c r="N4622" s="85">
        <f t="shared" si="1396"/>
        <v>462</v>
      </c>
      <c r="O4622" s="86">
        <f t="shared" si="1397"/>
        <v>19896.849999999999</v>
      </c>
      <c r="P4622" s="86">
        <f t="shared" si="1398"/>
        <v>0</v>
      </c>
      <c r="Q4622" s="86">
        <f t="shared" si="1399"/>
        <v>0</v>
      </c>
      <c r="R4622" s="86">
        <f t="shared" si="1400"/>
        <v>0</v>
      </c>
      <c r="S4622" s="86">
        <f t="shared" si="1401"/>
        <v>0</v>
      </c>
      <c r="T4622" s="86">
        <f t="shared" si="1402"/>
        <v>19896.849999999999</v>
      </c>
      <c r="U4622" s="87">
        <v>19896.849999999999</v>
      </c>
    </row>
    <row r="4623" spans="1:21" s="30" customFormat="1" ht="24.6" hidden="1" outlineLevel="1" x14ac:dyDescent="0.55000000000000004">
      <c r="A4623" s="27" t="s">
        <v>327</v>
      </c>
      <c r="B4623" s="28"/>
      <c r="C4623" s="27"/>
      <c r="D4623" s="27" t="str">
        <f>"""NAV Direct"",""CRONUS JetCorp USA"",""21"",""1"",""343682"""</f>
        <v>"NAV Direct","CRONUS JetCorp USA","21","1","343682"</v>
      </c>
      <c r="E4623" s="31" t="str">
        <f t="shared" si="1394"/>
        <v>C100130</v>
      </c>
      <c r="F4623" s="31"/>
      <c r="G4623" s="31"/>
      <c r="H4623" s="31"/>
      <c r="I4623" s="56"/>
      <c r="J4623" s="56"/>
      <c r="K4623" s="82" t="str">
        <f t="shared" si="1395"/>
        <v>Invoice</v>
      </c>
      <c r="L4623" s="83" t="str">
        <f>"SI_110818"</f>
        <v>SI_110818</v>
      </c>
      <c r="M4623" s="84">
        <v>43342</v>
      </c>
      <c r="N4623" s="85">
        <f t="shared" si="1396"/>
        <v>470</v>
      </c>
      <c r="O4623" s="86">
        <f t="shared" si="1397"/>
        <v>18475.940000000002</v>
      </c>
      <c r="P4623" s="86">
        <f t="shared" si="1398"/>
        <v>0</v>
      </c>
      <c r="Q4623" s="86">
        <f t="shared" si="1399"/>
        <v>0</v>
      </c>
      <c r="R4623" s="86">
        <f t="shared" si="1400"/>
        <v>0</v>
      </c>
      <c r="S4623" s="86">
        <f t="shared" si="1401"/>
        <v>0</v>
      </c>
      <c r="T4623" s="86">
        <f t="shared" si="1402"/>
        <v>18475.940000000002</v>
      </c>
      <c r="U4623" s="87">
        <v>18475.940000000002</v>
      </c>
    </row>
    <row r="4624" spans="1:21" s="30" customFormat="1" ht="24.6" hidden="1" outlineLevel="1" x14ac:dyDescent="0.55000000000000004">
      <c r="A4624" s="27" t="s">
        <v>327</v>
      </c>
      <c r="B4624" s="28"/>
      <c r="C4624" s="27"/>
      <c r="D4624" s="27" t="str">
        <f>"""NAV Direct"",""CRONUS JetCorp USA"",""21"",""1"",""344275"""</f>
        <v>"NAV Direct","CRONUS JetCorp USA","21","1","344275"</v>
      </c>
      <c r="E4624" s="31">
        <f t="shared" si="1394"/>
        <v>0</v>
      </c>
      <c r="F4624" s="31"/>
      <c r="G4624" s="31"/>
      <c r="H4624" s="31"/>
      <c r="I4624" s="56"/>
      <c r="J4624" s="56"/>
      <c r="K4624" s="82" t="str">
        <f t="shared" si="1395"/>
        <v>Invoice</v>
      </c>
      <c r="L4624" s="83" t="str">
        <f>"SI_110833"</f>
        <v>SI_110833</v>
      </c>
      <c r="M4624" s="84">
        <v>43402</v>
      </c>
      <c r="N4624" s="85">
        <f t="shared" si="1396"/>
        <v>410</v>
      </c>
      <c r="O4624" s="86">
        <f t="shared" si="1397"/>
        <v>19610.72</v>
      </c>
      <c r="P4624" s="86">
        <f t="shared" si="1398"/>
        <v>0</v>
      </c>
      <c r="Q4624" s="86">
        <f t="shared" si="1399"/>
        <v>0</v>
      </c>
      <c r="R4624" s="86">
        <f t="shared" si="1400"/>
        <v>0</v>
      </c>
      <c r="S4624" s="86">
        <f t="shared" si="1401"/>
        <v>0</v>
      </c>
      <c r="T4624" s="86">
        <f t="shared" si="1402"/>
        <v>19610.72</v>
      </c>
      <c r="U4624" s="87">
        <v>19610.72</v>
      </c>
    </row>
    <row r="4625" spans="1:21" s="30" customFormat="1" ht="24.6" hidden="1" outlineLevel="1" x14ac:dyDescent="0.55000000000000004">
      <c r="A4625" s="27" t="s">
        <v>327</v>
      </c>
      <c r="B4625" s="28"/>
      <c r="C4625" s="27"/>
      <c r="D4625" s="27" t="str">
        <f>"""NAV Direct"",""CRONUS JetCorp USA"",""21"",""1"",""344480"""</f>
        <v>"NAV Direct","CRONUS JetCorp USA","21","1","344480"</v>
      </c>
      <c r="E4625" s="31" t="str">
        <f t="shared" si="1394"/>
        <v>C100130</v>
      </c>
      <c r="F4625" s="31"/>
      <c r="G4625" s="31"/>
      <c r="H4625" s="31"/>
      <c r="I4625" s="56"/>
      <c r="J4625" s="56"/>
      <c r="K4625" s="82" t="str">
        <f t="shared" si="1395"/>
        <v>Invoice</v>
      </c>
      <c r="L4625" s="83" t="str">
        <f>"SI_110838"</f>
        <v>SI_110838</v>
      </c>
      <c r="M4625" s="84">
        <v>43431</v>
      </c>
      <c r="N4625" s="85">
        <f t="shared" si="1396"/>
        <v>381</v>
      </c>
      <c r="O4625" s="86">
        <f t="shared" si="1397"/>
        <v>19072.760000000002</v>
      </c>
      <c r="P4625" s="86">
        <f t="shared" si="1398"/>
        <v>0</v>
      </c>
      <c r="Q4625" s="86">
        <f t="shared" si="1399"/>
        <v>0</v>
      </c>
      <c r="R4625" s="86">
        <f t="shared" si="1400"/>
        <v>0</v>
      </c>
      <c r="S4625" s="86">
        <f t="shared" si="1401"/>
        <v>0</v>
      </c>
      <c r="T4625" s="86">
        <f t="shared" si="1402"/>
        <v>19072.760000000002</v>
      </c>
      <c r="U4625" s="87">
        <v>19072.760000000002</v>
      </c>
    </row>
    <row r="4626" spans="1:21" s="30" customFormat="1" ht="24.6" hidden="1" outlineLevel="1" x14ac:dyDescent="0.55000000000000004">
      <c r="A4626" s="27" t="s">
        <v>327</v>
      </c>
      <c r="B4626" s="28"/>
      <c r="C4626" s="27"/>
      <c r="D4626" s="27" t="str">
        <f>"""NAV Direct"",""CRONUS JetCorp USA"",""21"",""1"",""344589"""</f>
        <v>"NAV Direct","CRONUS JetCorp USA","21","1","344589"</v>
      </c>
      <c r="E4626" s="31">
        <f t="shared" si="1394"/>
        <v>0</v>
      </c>
      <c r="F4626" s="31"/>
      <c r="G4626" s="31"/>
      <c r="H4626" s="31"/>
      <c r="I4626" s="56"/>
      <c r="J4626" s="56"/>
      <c r="K4626" s="82" t="str">
        <f t="shared" si="1395"/>
        <v>Invoice</v>
      </c>
      <c r="L4626" s="83" t="str">
        <f>"SI_110841"</f>
        <v>SI_110841</v>
      </c>
      <c r="M4626" s="84">
        <v>43453</v>
      </c>
      <c r="N4626" s="85">
        <f t="shared" si="1396"/>
        <v>359</v>
      </c>
      <c r="O4626" s="86">
        <f t="shared" si="1397"/>
        <v>21073.47</v>
      </c>
      <c r="P4626" s="86">
        <f t="shared" si="1398"/>
        <v>0</v>
      </c>
      <c r="Q4626" s="86">
        <f t="shared" si="1399"/>
        <v>0</v>
      </c>
      <c r="R4626" s="86">
        <f t="shared" si="1400"/>
        <v>0</v>
      </c>
      <c r="S4626" s="86">
        <f t="shared" si="1401"/>
        <v>0</v>
      </c>
      <c r="T4626" s="86">
        <f t="shared" si="1402"/>
        <v>21073.47</v>
      </c>
      <c r="U4626" s="87">
        <v>21073.47</v>
      </c>
    </row>
    <row r="4627" spans="1:21" s="30" customFormat="1" ht="24.6" hidden="1" outlineLevel="1" x14ac:dyDescent="0.55000000000000004">
      <c r="A4627" s="27" t="s">
        <v>327</v>
      </c>
      <c r="B4627" s="28"/>
      <c r="C4627" s="27"/>
      <c r="D4627" s="27" t="str">
        <f>"""NAV Direct"",""CRONUS JetCorp USA"",""21"",""1"",""344685"""</f>
        <v>"NAV Direct","CRONUS JetCorp USA","21","1","344685"</v>
      </c>
      <c r="E4627" s="31" t="str">
        <f t="shared" si="1394"/>
        <v>C100130</v>
      </c>
      <c r="F4627" s="31"/>
      <c r="G4627" s="31"/>
      <c r="H4627" s="31"/>
      <c r="I4627" s="56"/>
      <c r="J4627" s="56"/>
      <c r="K4627" s="82" t="str">
        <f t="shared" si="1395"/>
        <v>Invoice</v>
      </c>
      <c r="L4627" s="83" t="str">
        <f>"SI_110843"</f>
        <v>SI_110843</v>
      </c>
      <c r="M4627" s="84">
        <v>43453</v>
      </c>
      <c r="N4627" s="85">
        <f t="shared" si="1396"/>
        <v>359</v>
      </c>
      <c r="O4627" s="86">
        <f t="shared" si="1397"/>
        <v>19352.91</v>
      </c>
      <c r="P4627" s="86">
        <f t="shared" si="1398"/>
        <v>0</v>
      </c>
      <c r="Q4627" s="86">
        <f t="shared" si="1399"/>
        <v>0</v>
      </c>
      <c r="R4627" s="86">
        <f t="shared" si="1400"/>
        <v>0</v>
      </c>
      <c r="S4627" s="86">
        <f t="shared" si="1401"/>
        <v>0</v>
      </c>
      <c r="T4627" s="86">
        <f t="shared" si="1402"/>
        <v>19352.91</v>
      </c>
      <c r="U4627" s="87">
        <v>19352.91</v>
      </c>
    </row>
    <row r="4628" spans="1:21" s="30" customFormat="1" ht="24.6" hidden="1" outlineLevel="1" x14ac:dyDescent="0.55000000000000004">
      <c r="A4628" s="27" t="s">
        <v>327</v>
      </c>
      <c r="B4628" s="28"/>
      <c r="C4628" s="27"/>
      <c r="D4628" s="27" t="str">
        <f>"""NAV Direct"",""CRONUS JetCorp USA"",""21"",""1"",""344888"""</f>
        <v>"NAV Direct","CRONUS JetCorp USA","21","1","344888"</v>
      </c>
      <c r="E4628" s="31">
        <f t="shared" si="1394"/>
        <v>0</v>
      </c>
      <c r="F4628" s="31"/>
      <c r="G4628" s="31"/>
      <c r="H4628" s="31"/>
      <c r="I4628" s="56"/>
      <c r="J4628" s="56"/>
      <c r="K4628" s="82" t="str">
        <f t="shared" si="1395"/>
        <v>Invoice</v>
      </c>
      <c r="L4628" s="83" t="str">
        <f>"SI_110848"</f>
        <v>SI_110848</v>
      </c>
      <c r="M4628" s="84">
        <v>43466</v>
      </c>
      <c r="N4628" s="85">
        <f t="shared" si="1396"/>
        <v>346</v>
      </c>
      <c r="O4628" s="86">
        <f t="shared" si="1397"/>
        <v>20858.169999999998</v>
      </c>
      <c r="P4628" s="86">
        <f t="shared" si="1398"/>
        <v>0</v>
      </c>
      <c r="Q4628" s="86">
        <f t="shared" si="1399"/>
        <v>0</v>
      </c>
      <c r="R4628" s="86">
        <f t="shared" si="1400"/>
        <v>0</v>
      </c>
      <c r="S4628" s="86">
        <f t="shared" si="1401"/>
        <v>0</v>
      </c>
      <c r="T4628" s="86">
        <f t="shared" si="1402"/>
        <v>20858.169999999998</v>
      </c>
      <c r="U4628" s="87">
        <v>20858.169999999998</v>
      </c>
    </row>
    <row r="4629" spans="1:21" s="30" customFormat="1" ht="24.6" hidden="1" outlineLevel="1" x14ac:dyDescent="0.55000000000000004">
      <c r="A4629" s="27" t="s">
        <v>327</v>
      </c>
      <c r="B4629" s="28"/>
      <c r="C4629" s="27"/>
      <c r="D4629" s="27" t="str">
        <f>"""NAV Direct"",""CRONUS JetCorp USA"",""21"",""1"",""346014"""</f>
        <v>"NAV Direct","CRONUS JetCorp USA","21","1","346014"</v>
      </c>
      <c r="E4629" s="31" t="str">
        <f t="shared" ref="E4629:E4660" si="1403">E4627</f>
        <v>C100130</v>
      </c>
      <c r="F4629" s="31"/>
      <c r="G4629" s="31"/>
      <c r="H4629" s="31"/>
      <c r="I4629" s="56"/>
      <c r="J4629" s="56"/>
      <c r="K4629" s="82" t="str">
        <f t="shared" ref="K4629:K4646" si="1404">"Invoice"</f>
        <v>Invoice</v>
      </c>
      <c r="L4629" s="83" t="str">
        <f>"SI_110876"</f>
        <v>SI_110876</v>
      </c>
      <c r="M4629" s="84">
        <v>43576</v>
      </c>
      <c r="N4629" s="85">
        <f t="shared" ref="N4629:N4662" si="1405">StartDate-$M4629+1</f>
        <v>236</v>
      </c>
      <c r="O4629" s="86">
        <f t="shared" ref="O4629:O4660" si="1406">SUM(P4629:T4629)</f>
        <v>19627.66</v>
      </c>
      <c r="P4629" s="86">
        <f t="shared" ref="P4629:P4662" si="1407">IF($M4629&gt;=$P$18,U4629,0)</f>
        <v>0</v>
      </c>
      <c r="Q4629" s="86">
        <f t="shared" ref="Q4629:Q4662" si="1408">IF(AND($M4629&gt;=$Q$16,$M4629&lt;=$Q$18),U4629,0)</f>
        <v>0</v>
      </c>
      <c r="R4629" s="86">
        <f t="shared" ref="R4629:R4662" si="1409">IF(AND($M4629&gt;=$R$16,$M4629&lt;=$R$18),U4629,0)</f>
        <v>0</v>
      </c>
      <c r="S4629" s="86">
        <f t="shared" ref="S4629:S4662" si="1410">IF(AND($M4629&gt;=$S$16,$M4629&lt;=$S$18),U4629,0)</f>
        <v>0</v>
      </c>
      <c r="T4629" s="86">
        <f t="shared" ref="T4629:T4660" si="1411">IF($M4629&lt;=$T$18,U4629,0)</f>
        <v>19627.66</v>
      </c>
      <c r="U4629" s="87">
        <v>19627.66</v>
      </c>
    </row>
    <row r="4630" spans="1:21" s="30" customFormat="1" ht="24.6" hidden="1" outlineLevel="1" x14ac:dyDescent="0.55000000000000004">
      <c r="A4630" s="27" t="s">
        <v>327</v>
      </c>
      <c r="B4630" s="28"/>
      <c r="C4630" s="27"/>
      <c r="D4630" s="27" t="str">
        <f>"""NAV Direct"",""CRONUS JetCorp USA"",""21"",""1"",""346131"""</f>
        <v>"NAV Direct","CRONUS JetCorp USA","21","1","346131"</v>
      </c>
      <c r="E4630" s="31">
        <f t="shared" si="1403"/>
        <v>0</v>
      </c>
      <c r="F4630" s="31"/>
      <c r="G4630" s="31"/>
      <c r="H4630" s="31"/>
      <c r="I4630" s="56"/>
      <c r="J4630" s="56"/>
      <c r="K4630" s="82" t="str">
        <f t="shared" si="1404"/>
        <v>Invoice</v>
      </c>
      <c r="L4630" s="83" t="str">
        <f>"SI_110879"</f>
        <v>SI_110879</v>
      </c>
      <c r="M4630" s="84">
        <v>43575</v>
      </c>
      <c r="N4630" s="85">
        <f t="shared" si="1405"/>
        <v>237</v>
      </c>
      <c r="O4630" s="86">
        <f t="shared" si="1406"/>
        <v>20260.329999999998</v>
      </c>
      <c r="P4630" s="86">
        <f t="shared" si="1407"/>
        <v>0</v>
      </c>
      <c r="Q4630" s="86">
        <f t="shared" si="1408"/>
        <v>0</v>
      </c>
      <c r="R4630" s="86">
        <f t="shared" si="1409"/>
        <v>0</v>
      </c>
      <c r="S4630" s="86">
        <f t="shared" si="1410"/>
        <v>0</v>
      </c>
      <c r="T4630" s="86">
        <f t="shared" si="1411"/>
        <v>20260.329999999998</v>
      </c>
      <c r="U4630" s="87">
        <v>20260.329999999998</v>
      </c>
    </row>
    <row r="4631" spans="1:21" s="30" customFormat="1" ht="24.6" hidden="1" outlineLevel="1" x14ac:dyDescent="0.55000000000000004">
      <c r="A4631" s="27" t="s">
        <v>327</v>
      </c>
      <c r="B4631" s="28"/>
      <c r="C4631" s="27"/>
      <c r="D4631" s="27" t="str">
        <f>"""NAV Direct"",""CRONUS JetCorp USA"",""21"",""1"",""346164"""</f>
        <v>"NAV Direct","CRONUS JetCorp USA","21","1","346164"</v>
      </c>
      <c r="E4631" s="31" t="str">
        <f t="shared" si="1403"/>
        <v>C100130</v>
      </c>
      <c r="F4631" s="31"/>
      <c r="G4631" s="31"/>
      <c r="H4631" s="31"/>
      <c r="I4631" s="56"/>
      <c r="J4631" s="56"/>
      <c r="K4631" s="82" t="str">
        <f t="shared" si="1404"/>
        <v>Invoice</v>
      </c>
      <c r="L4631" s="83" t="str">
        <f>"SI_110880"</f>
        <v>SI_110880</v>
      </c>
      <c r="M4631" s="84">
        <v>43585</v>
      </c>
      <c r="N4631" s="85">
        <f t="shared" si="1405"/>
        <v>227</v>
      </c>
      <c r="O4631" s="86">
        <f t="shared" si="1406"/>
        <v>19416.8</v>
      </c>
      <c r="P4631" s="86">
        <f t="shared" si="1407"/>
        <v>0</v>
      </c>
      <c r="Q4631" s="86">
        <f t="shared" si="1408"/>
        <v>0</v>
      </c>
      <c r="R4631" s="86">
        <f t="shared" si="1409"/>
        <v>0</v>
      </c>
      <c r="S4631" s="86">
        <f t="shared" si="1410"/>
        <v>0</v>
      </c>
      <c r="T4631" s="86">
        <f t="shared" si="1411"/>
        <v>19416.8</v>
      </c>
      <c r="U4631" s="87">
        <v>19416.8</v>
      </c>
    </row>
    <row r="4632" spans="1:21" s="30" customFormat="1" ht="24.6" hidden="1" outlineLevel="1" x14ac:dyDescent="0.55000000000000004">
      <c r="A4632" s="27" t="s">
        <v>327</v>
      </c>
      <c r="B4632" s="28"/>
      <c r="C4632" s="27"/>
      <c r="D4632" s="27" t="str">
        <f>"""NAV Direct"",""CRONUS JetCorp USA"",""21"",""1"",""346442"""</f>
        <v>"NAV Direct","CRONUS JetCorp USA","21","1","346442"</v>
      </c>
      <c r="E4632" s="31">
        <f t="shared" si="1403"/>
        <v>0</v>
      </c>
      <c r="F4632" s="31"/>
      <c r="G4632" s="31"/>
      <c r="H4632" s="31"/>
      <c r="I4632" s="56"/>
      <c r="J4632" s="56"/>
      <c r="K4632" s="82" t="str">
        <f t="shared" si="1404"/>
        <v>Invoice</v>
      </c>
      <c r="L4632" s="83" t="str">
        <f>"SI_110886"</f>
        <v>SI_110886</v>
      </c>
      <c r="M4632" s="84">
        <v>43611</v>
      </c>
      <c r="N4632" s="85">
        <f t="shared" si="1405"/>
        <v>201</v>
      </c>
      <c r="O4632" s="86">
        <f t="shared" si="1406"/>
        <v>21004.19</v>
      </c>
      <c r="P4632" s="86">
        <f t="shared" si="1407"/>
        <v>0</v>
      </c>
      <c r="Q4632" s="86">
        <f t="shared" si="1408"/>
        <v>0</v>
      </c>
      <c r="R4632" s="86">
        <f t="shared" si="1409"/>
        <v>0</v>
      </c>
      <c r="S4632" s="86">
        <f t="shared" si="1410"/>
        <v>0</v>
      </c>
      <c r="T4632" s="86">
        <f t="shared" si="1411"/>
        <v>21004.19</v>
      </c>
      <c r="U4632" s="87">
        <v>21004.19</v>
      </c>
    </row>
    <row r="4633" spans="1:21" s="30" customFormat="1" ht="24.6" hidden="1" outlineLevel="1" x14ac:dyDescent="0.55000000000000004">
      <c r="A4633" s="27" t="s">
        <v>327</v>
      </c>
      <c r="B4633" s="28"/>
      <c r="C4633" s="27"/>
      <c r="D4633" s="27" t="str">
        <f>"""NAV Direct"",""CRONUS JetCorp USA"",""21"",""1"",""346959"""</f>
        <v>"NAV Direct","CRONUS JetCorp USA","21","1","346959"</v>
      </c>
      <c r="E4633" s="31" t="str">
        <f t="shared" si="1403"/>
        <v>C100130</v>
      </c>
      <c r="F4633" s="31"/>
      <c r="G4633" s="31"/>
      <c r="H4633" s="31"/>
      <c r="I4633" s="56"/>
      <c r="J4633" s="56"/>
      <c r="K4633" s="82" t="str">
        <f t="shared" si="1404"/>
        <v>Invoice</v>
      </c>
      <c r="L4633" s="83" t="str">
        <f>"SI_110899"</f>
        <v>SI_110899</v>
      </c>
      <c r="M4633" s="84">
        <v>43651</v>
      </c>
      <c r="N4633" s="85">
        <f t="shared" si="1405"/>
        <v>161</v>
      </c>
      <c r="O4633" s="86">
        <f t="shared" si="1406"/>
        <v>20419.23</v>
      </c>
      <c r="P4633" s="86">
        <f t="shared" si="1407"/>
        <v>0</v>
      </c>
      <c r="Q4633" s="86">
        <f t="shared" si="1408"/>
        <v>0</v>
      </c>
      <c r="R4633" s="86">
        <f t="shared" si="1409"/>
        <v>0</v>
      </c>
      <c r="S4633" s="86">
        <f t="shared" si="1410"/>
        <v>0</v>
      </c>
      <c r="T4633" s="86">
        <f t="shared" si="1411"/>
        <v>20419.23</v>
      </c>
      <c r="U4633" s="87">
        <v>20419.23</v>
      </c>
    </row>
    <row r="4634" spans="1:21" s="30" customFormat="1" ht="24.6" hidden="1" outlineLevel="1" x14ac:dyDescent="0.55000000000000004">
      <c r="A4634" s="27" t="s">
        <v>327</v>
      </c>
      <c r="B4634" s="28"/>
      <c r="C4634" s="27"/>
      <c r="D4634" s="27" t="str">
        <f>"""NAV Direct"",""CRONUS JetCorp USA"",""21"",""1"",""347092"""</f>
        <v>"NAV Direct","CRONUS JetCorp USA","21","1","347092"</v>
      </c>
      <c r="E4634" s="31">
        <f t="shared" si="1403"/>
        <v>0</v>
      </c>
      <c r="F4634" s="31"/>
      <c r="G4634" s="31"/>
      <c r="H4634" s="31"/>
      <c r="I4634" s="56"/>
      <c r="J4634" s="56"/>
      <c r="K4634" s="82" t="str">
        <f t="shared" si="1404"/>
        <v>Invoice</v>
      </c>
      <c r="L4634" s="83" t="str">
        <f>"SI_110902"</f>
        <v>SI_110902</v>
      </c>
      <c r="M4634" s="84">
        <v>43671</v>
      </c>
      <c r="N4634" s="85">
        <f t="shared" si="1405"/>
        <v>141</v>
      </c>
      <c r="O4634" s="86">
        <f t="shared" si="1406"/>
        <v>19175.440000000002</v>
      </c>
      <c r="P4634" s="86">
        <f t="shared" si="1407"/>
        <v>0</v>
      </c>
      <c r="Q4634" s="86">
        <f t="shared" si="1408"/>
        <v>0</v>
      </c>
      <c r="R4634" s="86">
        <f t="shared" si="1409"/>
        <v>0</v>
      </c>
      <c r="S4634" s="86">
        <f t="shared" si="1410"/>
        <v>0</v>
      </c>
      <c r="T4634" s="86">
        <f t="shared" si="1411"/>
        <v>19175.440000000002</v>
      </c>
      <c r="U4634" s="87">
        <v>19175.440000000002</v>
      </c>
    </row>
    <row r="4635" spans="1:21" s="30" customFormat="1" ht="24.6" hidden="1" outlineLevel="1" x14ac:dyDescent="0.55000000000000004">
      <c r="A4635" s="27" t="s">
        <v>327</v>
      </c>
      <c r="B4635" s="28"/>
      <c r="C4635" s="27"/>
      <c r="D4635" s="27" t="str">
        <f>"""NAV Direct"",""CRONUS JetCorp USA"",""21"",""1"",""347987"""</f>
        <v>"NAV Direct","CRONUS JetCorp USA","21","1","347987"</v>
      </c>
      <c r="E4635" s="31" t="str">
        <f t="shared" si="1403"/>
        <v>C100130</v>
      </c>
      <c r="F4635" s="31"/>
      <c r="G4635" s="31"/>
      <c r="H4635" s="31"/>
      <c r="I4635" s="56"/>
      <c r="J4635" s="56"/>
      <c r="K4635" s="82" t="str">
        <f t="shared" si="1404"/>
        <v>Invoice</v>
      </c>
      <c r="L4635" s="83" t="str">
        <f>"SI_110925"</f>
        <v>SI_110925</v>
      </c>
      <c r="M4635" s="84">
        <v>43760</v>
      </c>
      <c r="N4635" s="85">
        <f t="shared" si="1405"/>
        <v>52</v>
      </c>
      <c r="O4635" s="86">
        <f t="shared" si="1406"/>
        <v>18281.8</v>
      </c>
      <c r="P4635" s="86">
        <f t="shared" si="1407"/>
        <v>0</v>
      </c>
      <c r="Q4635" s="86">
        <f t="shared" si="1408"/>
        <v>0</v>
      </c>
      <c r="R4635" s="86">
        <f t="shared" si="1409"/>
        <v>18281.8</v>
      </c>
      <c r="S4635" s="86">
        <f t="shared" si="1410"/>
        <v>0</v>
      </c>
      <c r="T4635" s="86">
        <f t="shared" si="1411"/>
        <v>0</v>
      </c>
      <c r="U4635" s="87">
        <v>18281.8</v>
      </c>
    </row>
    <row r="4636" spans="1:21" s="30" customFormat="1" ht="24.6" hidden="1" outlineLevel="1" x14ac:dyDescent="0.55000000000000004">
      <c r="A4636" s="27" t="s">
        <v>327</v>
      </c>
      <c r="B4636" s="28"/>
      <c r="C4636" s="27"/>
      <c r="D4636" s="27" t="str">
        <f>"""NAV Direct"",""CRONUS JetCorp USA"",""21"",""1"",""348032"""</f>
        <v>"NAV Direct","CRONUS JetCorp USA","21","1","348032"</v>
      </c>
      <c r="E4636" s="31">
        <f t="shared" si="1403"/>
        <v>0</v>
      </c>
      <c r="F4636" s="31"/>
      <c r="G4636" s="31"/>
      <c r="H4636" s="31"/>
      <c r="I4636" s="56"/>
      <c r="J4636" s="56"/>
      <c r="K4636" s="82" t="str">
        <f t="shared" si="1404"/>
        <v>Invoice</v>
      </c>
      <c r="L4636" s="83" t="str">
        <f>"SI_110926"</f>
        <v>SI_110926</v>
      </c>
      <c r="M4636" s="84">
        <v>43758</v>
      </c>
      <c r="N4636" s="85">
        <f t="shared" si="1405"/>
        <v>54</v>
      </c>
      <c r="O4636" s="86">
        <f t="shared" si="1406"/>
        <v>18478.05</v>
      </c>
      <c r="P4636" s="86">
        <f t="shared" si="1407"/>
        <v>0</v>
      </c>
      <c r="Q4636" s="86">
        <f t="shared" si="1408"/>
        <v>0</v>
      </c>
      <c r="R4636" s="86">
        <f t="shared" si="1409"/>
        <v>18478.05</v>
      </c>
      <c r="S4636" s="86">
        <f t="shared" si="1410"/>
        <v>0</v>
      </c>
      <c r="T4636" s="86">
        <f t="shared" si="1411"/>
        <v>0</v>
      </c>
      <c r="U4636" s="87">
        <v>18478.05</v>
      </c>
    </row>
    <row r="4637" spans="1:21" s="30" customFormat="1" ht="24.6" hidden="1" outlineLevel="1" x14ac:dyDescent="0.55000000000000004">
      <c r="A4637" s="27" t="s">
        <v>327</v>
      </c>
      <c r="B4637" s="28"/>
      <c r="C4637" s="27"/>
      <c r="D4637" s="27" t="str">
        <f>"""NAV Direct"",""CRONUS JetCorp USA"",""21"",""1"",""348311"""</f>
        <v>"NAV Direct","CRONUS JetCorp USA","21","1","348311"</v>
      </c>
      <c r="E4637" s="31" t="str">
        <f t="shared" si="1403"/>
        <v>C100130</v>
      </c>
      <c r="F4637" s="31"/>
      <c r="G4637" s="31"/>
      <c r="H4637" s="31"/>
      <c r="I4637" s="56"/>
      <c r="J4637" s="56"/>
      <c r="K4637" s="82" t="str">
        <f t="shared" si="1404"/>
        <v>Invoice</v>
      </c>
      <c r="L4637" s="83" t="str">
        <f>"SI_110933"</f>
        <v>SI_110933</v>
      </c>
      <c r="M4637" s="84">
        <v>43796</v>
      </c>
      <c r="N4637" s="85">
        <f t="shared" si="1405"/>
        <v>16</v>
      </c>
      <c r="O4637" s="86">
        <f t="shared" si="1406"/>
        <v>19765.649999999998</v>
      </c>
      <c r="P4637" s="86">
        <f t="shared" si="1407"/>
        <v>0</v>
      </c>
      <c r="Q4637" s="86">
        <f t="shared" si="1408"/>
        <v>19765.649999999998</v>
      </c>
      <c r="R4637" s="86">
        <f t="shared" si="1409"/>
        <v>0</v>
      </c>
      <c r="S4637" s="86">
        <f t="shared" si="1410"/>
        <v>0</v>
      </c>
      <c r="T4637" s="86">
        <f t="shared" si="1411"/>
        <v>0</v>
      </c>
      <c r="U4637" s="87">
        <v>19765.649999999998</v>
      </c>
    </row>
    <row r="4638" spans="1:21" s="30" customFormat="1" ht="24.6" hidden="1" outlineLevel="1" x14ac:dyDescent="0.55000000000000004">
      <c r="A4638" s="27" t="s">
        <v>327</v>
      </c>
      <c r="B4638" s="28"/>
      <c r="C4638" s="27"/>
      <c r="D4638" s="27" t="str">
        <f>"""NAV Direct"",""CRONUS JetCorp USA"",""21"",""1"",""348407"""</f>
        <v>"NAV Direct","CRONUS JetCorp USA","21","1","348407"</v>
      </c>
      <c r="E4638" s="31">
        <f t="shared" si="1403"/>
        <v>0</v>
      </c>
      <c r="F4638" s="31"/>
      <c r="G4638" s="31"/>
      <c r="H4638" s="31"/>
      <c r="I4638" s="56"/>
      <c r="J4638" s="56"/>
      <c r="K4638" s="82" t="str">
        <f t="shared" si="1404"/>
        <v>Invoice</v>
      </c>
      <c r="L4638" s="83" t="str">
        <f>"SI_110935"</f>
        <v>SI_110935</v>
      </c>
      <c r="M4638" s="84">
        <v>43799</v>
      </c>
      <c r="N4638" s="85">
        <f t="shared" si="1405"/>
        <v>13</v>
      </c>
      <c r="O4638" s="86">
        <f t="shared" si="1406"/>
        <v>19160.68</v>
      </c>
      <c r="P4638" s="86">
        <f t="shared" si="1407"/>
        <v>0</v>
      </c>
      <c r="Q4638" s="86">
        <f t="shared" si="1408"/>
        <v>19160.68</v>
      </c>
      <c r="R4638" s="86">
        <f t="shared" si="1409"/>
        <v>0</v>
      </c>
      <c r="S4638" s="86">
        <f t="shared" si="1410"/>
        <v>0</v>
      </c>
      <c r="T4638" s="86">
        <f t="shared" si="1411"/>
        <v>0</v>
      </c>
      <c r="U4638" s="87">
        <v>19160.68</v>
      </c>
    </row>
    <row r="4639" spans="1:21" s="30" customFormat="1" ht="24.6" hidden="1" outlineLevel="1" x14ac:dyDescent="0.55000000000000004">
      <c r="A4639" s="27" t="s">
        <v>327</v>
      </c>
      <c r="B4639" s="28"/>
      <c r="C4639" s="27"/>
      <c r="D4639" s="27" t="str">
        <f>"""NAV Direct"",""CRONUS JetCorp USA"",""21"",""1"",""348694"""</f>
        <v>"NAV Direct","CRONUS JetCorp USA","21","1","348694"</v>
      </c>
      <c r="E4639" s="31" t="str">
        <f t="shared" si="1403"/>
        <v>C100130</v>
      </c>
      <c r="F4639" s="31"/>
      <c r="G4639" s="31"/>
      <c r="H4639" s="31"/>
      <c r="I4639" s="56"/>
      <c r="J4639" s="56"/>
      <c r="K4639" s="82" t="str">
        <f t="shared" si="1404"/>
        <v>Invoice</v>
      </c>
      <c r="L4639" s="83" t="str">
        <f>"SI_110942"</f>
        <v>SI_110942</v>
      </c>
      <c r="M4639" s="84">
        <v>43821</v>
      </c>
      <c r="N4639" s="85">
        <f t="shared" si="1405"/>
        <v>-9</v>
      </c>
      <c r="O4639" s="86">
        <f t="shared" si="1406"/>
        <v>19754.48</v>
      </c>
      <c r="P4639" s="86">
        <f t="shared" si="1407"/>
        <v>19754.48</v>
      </c>
      <c r="Q4639" s="86">
        <f t="shared" si="1408"/>
        <v>0</v>
      </c>
      <c r="R4639" s="86">
        <f t="shared" si="1409"/>
        <v>0</v>
      </c>
      <c r="S4639" s="86">
        <f t="shared" si="1410"/>
        <v>0</v>
      </c>
      <c r="T4639" s="86">
        <f t="shared" si="1411"/>
        <v>0</v>
      </c>
      <c r="U4639" s="87">
        <v>19754.48</v>
      </c>
    </row>
    <row r="4640" spans="1:21" s="30" customFormat="1" ht="24.6" hidden="1" outlineLevel="1" x14ac:dyDescent="0.55000000000000004">
      <c r="A4640" s="27" t="s">
        <v>327</v>
      </c>
      <c r="B4640" s="28"/>
      <c r="C4640" s="27"/>
      <c r="D4640" s="27" t="str">
        <f>"""NAV Direct"",""CRONUS JetCorp USA"",""21"",""1"",""348928"""</f>
        <v>"NAV Direct","CRONUS JetCorp USA","21","1","348928"</v>
      </c>
      <c r="E4640" s="31">
        <f t="shared" si="1403"/>
        <v>0</v>
      </c>
      <c r="F4640" s="31"/>
      <c r="G4640" s="31"/>
      <c r="H4640" s="31"/>
      <c r="I4640" s="56"/>
      <c r="J4640" s="56"/>
      <c r="K4640" s="82" t="str">
        <f t="shared" si="1404"/>
        <v>Invoice</v>
      </c>
      <c r="L4640" s="83" t="str">
        <f>"SI_110948"</f>
        <v>SI_110948</v>
      </c>
      <c r="M4640" s="84">
        <v>42024</v>
      </c>
      <c r="N4640" s="85">
        <f t="shared" si="1405"/>
        <v>1788</v>
      </c>
      <c r="O4640" s="86">
        <f t="shared" si="1406"/>
        <v>20092.849999999999</v>
      </c>
      <c r="P4640" s="86">
        <f t="shared" si="1407"/>
        <v>0</v>
      </c>
      <c r="Q4640" s="86">
        <f t="shared" si="1408"/>
        <v>0</v>
      </c>
      <c r="R4640" s="86">
        <f t="shared" si="1409"/>
        <v>0</v>
      </c>
      <c r="S4640" s="86">
        <f t="shared" si="1410"/>
        <v>0</v>
      </c>
      <c r="T4640" s="86">
        <f t="shared" si="1411"/>
        <v>20092.849999999999</v>
      </c>
      <c r="U4640" s="87">
        <v>20092.849999999999</v>
      </c>
    </row>
    <row r="4641" spans="1:21" s="30" customFormat="1" ht="24.6" hidden="1" outlineLevel="1" x14ac:dyDescent="0.55000000000000004">
      <c r="A4641" s="27" t="s">
        <v>327</v>
      </c>
      <c r="B4641" s="28"/>
      <c r="C4641" s="27"/>
      <c r="D4641" s="27" t="str">
        <f>"""NAV Direct"",""CRONUS JetCorp USA"",""21"",""1"",""349107"""</f>
        <v>"NAV Direct","CRONUS JetCorp USA","21","1","349107"</v>
      </c>
      <c r="E4641" s="31" t="str">
        <f t="shared" si="1403"/>
        <v>C100130</v>
      </c>
      <c r="F4641" s="31"/>
      <c r="G4641" s="31"/>
      <c r="H4641" s="31"/>
      <c r="I4641" s="56"/>
      <c r="J4641" s="56"/>
      <c r="K4641" s="82" t="str">
        <f t="shared" si="1404"/>
        <v>Invoice</v>
      </c>
      <c r="L4641" s="83" t="str">
        <f>"SI_110953"</f>
        <v>SI_110953</v>
      </c>
      <c r="M4641" s="84">
        <v>42035</v>
      </c>
      <c r="N4641" s="85">
        <f t="shared" si="1405"/>
        <v>1777</v>
      </c>
      <c r="O4641" s="86">
        <f t="shared" si="1406"/>
        <v>19272.899999999998</v>
      </c>
      <c r="P4641" s="86">
        <f t="shared" si="1407"/>
        <v>0</v>
      </c>
      <c r="Q4641" s="86">
        <f t="shared" si="1408"/>
        <v>0</v>
      </c>
      <c r="R4641" s="86">
        <f t="shared" si="1409"/>
        <v>0</v>
      </c>
      <c r="S4641" s="86">
        <f t="shared" si="1410"/>
        <v>0</v>
      </c>
      <c r="T4641" s="86">
        <f t="shared" si="1411"/>
        <v>19272.899999999998</v>
      </c>
      <c r="U4641" s="87">
        <v>19272.899999999998</v>
      </c>
    </row>
    <row r="4642" spans="1:21" s="30" customFormat="1" ht="24.6" hidden="1" outlineLevel="1" x14ac:dyDescent="0.55000000000000004">
      <c r="A4642" s="27" t="s">
        <v>327</v>
      </c>
      <c r="B4642" s="28"/>
      <c r="C4642" s="27"/>
      <c r="D4642" s="27" t="str">
        <f>"""NAV Direct"",""CRONUS JetCorp USA"",""21"",""1"",""350300"""</f>
        <v>"NAV Direct","CRONUS JetCorp USA","21","1","350300"</v>
      </c>
      <c r="E4642" s="31">
        <f t="shared" si="1403"/>
        <v>0</v>
      </c>
      <c r="F4642" s="31"/>
      <c r="G4642" s="31"/>
      <c r="H4642" s="31"/>
      <c r="I4642" s="56"/>
      <c r="J4642" s="56"/>
      <c r="K4642" s="82" t="str">
        <f t="shared" si="1404"/>
        <v>Invoice</v>
      </c>
      <c r="L4642" s="83" t="str">
        <f>"SI_110982"</f>
        <v>SI_110982</v>
      </c>
      <c r="M4642" s="84">
        <v>42161</v>
      </c>
      <c r="N4642" s="85">
        <f t="shared" si="1405"/>
        <v>1651</v>
      </c>
      <c r="O4642" s="86">
        <f t="shared" si="1406"/>
        <v>22975.039999999997</v>
      </c>
      <c r="P4642" s="86">
        <f t="shared" si="1407"/>
        <v>0</v>
      </c>
      <c r="Q4642" s="86">
        <f t="shared" si="1408"/>
        <v>0</v>
      </c>
      <c r="R4642" s="86">
        <f t="shared" si="1409"/>
        <v>0</v>
      </c>
      <c r="S4642" s="86">
        <f t="shared" si="1410"/>
        <v>0</v>
      </c>
      <c r="T4642" s="86">
        <f t="shared" si="1411"/>
        <v>22975.039999999997</v>
      </c>
      <c r="U4642" s="87">
        <v>22975.039999999997</v>
      </c>
    </row>
    <row r="4643" spans="1:21" s="30" customFormat="1" ht="24.6" hidden="1" outlineLevel="1" x14ac:dyDescent="0.55000000000000004">
      <c r="A4643" s="27" t="s">
        <v>327</v>
      </c>
      <c r="B4643" s="28"/>
      <c r="C4643" s="27"/>
      <c r="D4643" s="27" t="str">
        <f>"""NAV Direct"",""CRONUS JetCorp USA"",""21"",""1"",""351039"""</f>
        <v>"NAV Direct","CRONUS JetCorp USA","21","1","351039"</v>
      </c>
      <c r="E4643" s="31" t="str">
        <f t="shared" si="1403"/>
        <v>C100130</v>
      </c>
      <c r="F4643" s="31"/>
      <c r="G4643" s="31"/>
      <c r="H4643" s="31"/>
      <c r="I4643" s="56"/>
      <c r="J4643" s="56"/>
      <c r="K4643" s="82" t="str">
        <f t="shared" si="1404"/>
        <v>Invoice</v>
      </c>
      <c r="L4643" s="83" t="str">
        <f>"SI_111001"</f>
        <v>SI_111001</v>
      </c>
      <c r="M4643" s="84">
        <v>42238</v>
      </c>
      <c r="N4643" s="85">
        <f t="shared" si="1405"/>
        <v>1574</v>
      </c>
      <c r="O4643" s="86">
        <f t="shared" si="1406"/>
        <v>19099.310000000001</v>
      </c>
      <c r="P4643" s="86">
        <f t="shared" si="1407"/>
        <v>0</v>
      </c>
      <c r="Q4643" s="86">
        <f t="shared" si="1408"/>
        <v>0</v>
      </c>
      <c r="R4643" s="86">
        <f t="shared" si="1409"/>
        <v>0</v>
      </c>
      <c r="S4643" s="86">
        <f t="shared" si="1410"/>
        <v>0</v>
      </c>
      <c r="T4643" s="86">
        <f t="shared" si="1411"/>
        <v>19099.310000000001</v>
      </c>
      <c r="U4643" s="87">
        <v>19099.310000000001</v>
      </c>
    </row>
    <row r="4644" spans="1:21" s="30" customFormat="1" ht="24.6" hidden="1" outlineLevel="1" x14ac:dyDescent="0.55000000000000004">
      <c r="A4644" s="27" t="s">
        <v>327</v>
      </c>
      <c r="B4644" s="28"/>
      <c r="C4644" s="27"/>
      <c r="D4644" s="27" t="str">
        <f>"""NAV Direct"",""CRONUS JetCorp USA"",""21"",""1"",""351324"""</f>
        <v>"NAV Direct","CRONUS JetCorp USA","21","1","351324"</v>
      </c>
      <c r="E4644" s="31">
        <f t="shared" si="1403"/>
        <v>0</v>
      </c>
      <c r="F4644" s="31"/>
      <c r="G4644" s="31"/>
      <c r="H4644" s="31"/>
      <c r="I4644" s="56"/>
      <c r="J4644" s="56"/>
      <c r="K4644" s="82" t="str">
        <f t="shared" si="1404"/>
        <v>Invoice</v>
      </c>
      <c r="L4644" s="83" t="str">
        <f>"SI_111008"</f>
        <v>SI_111008</v>
      </c>
      <c r="M4644" s="84">
        <v>42264</v>
      </c>
      <c r="N4644" s="85">
        <f t="shared" si="1405"/>
        <v>1548</v>
      </c>
      <c r="O4644" s="86">
        <f t="shared" si="1406"/>
        <v>18657.62</v>
      </c>
      <c r="P4644" s="86">
        <f t="shared" si="1407"/>
        <v>0</v>
      </c>
      <c r="Q4644" s="86">
        <f t="shared" si="1408"/>
        <v>0</v>
      </c>
      <c r="R4644" s="86">
        <f t="shared" si="1409"/>
        <v>0</v>
      </c>
      <c r="S4644" s="86">
        <f t="shared" si="1410"/>
        <v>0</v>
      </c>
      <c r="T4644" s="86">
        <f t="shared" si="1411"/>
        <v>18657.62</v>
      </c>
      <c r="U4644" s="87">
        <v>18657.62</v>
      </c>
    </row>
    <row r="4645" spans="1:21" s="30" customFormat="1" ht="24.6" hidden="1" outlineLevel="1" x14ac:dyDescent="0.55000000000000004">
      <c r="A4645" s="27" t="s">
        <v>327</v>
      </c>
      <c r="B4645" s="28"/>
      <c r="C4645" s="27"/>
      <c r="D4645" s="27" t="str">
        <f>"""NAV Direct"",""CRONUS JetCorp USA"",""21"",""1"",""351621"""</f>
        <v>"NAV Direct","CRONUS JetCorp USA","21","1","351621"</v>
      </c>
      <c r="E4645" s="31" t="str">
        <f t="shared" si="1403"/>
        <v>C100130</v>
      </c>
      <c r="F4645" s="31"/>
      <c r="G4645" s="31"/>
      <c r="H4645" s="31"/>
      <c r="I4645" s="56"/>
      <c r="J4645" s="56"/>
      <c r="K4645" s="82" t="str">
        <f t="shared" si="1404"/>
        <v>Invoice</v>
      </c>
      <c r="L4645" s="83" t="str">
        <f>"SI_111015"</f>
        <v>SI_111015</v>
      </c>
      <c r="M4645" s="84">
        <v>42296</v>
      </c>
      <c r="N4645" s="85">
        <f t="shared" si="1405"/>
        <v>1516</v>
      </c>
      <c r="O4645" s="86">
        <f t="shared" si="1406"/>
        <v>19397.36</v>
      </c>
      <c r="P4645" s="86">
        <f t="shared" si="1407"/>
        <v>0</v>
      </c>
      <c r="Q4645" s="86">
        <f t="shared" si="1408"/>
        <v>0</v>
      </c>
      <c r="R4645" s="86">
        <f t="shared" si="1409"/>
        <v>0</v>
      </c>
      <c r="S4645" s="86">
        <f t="shared" si="1410"/>
        <v>0</v>
      </c>
      <c r="T4645" s="86">
        <f t="shared" si="1411"/>
        <v>19397.36</v>
      </c>
      <c r="U4645" s="87">
        <v>19397.36</v>
      </c>
    </row>
    <row r="4646" spans="1:21" s="30" customFormat="1" ht="24.6" hidden="1" outlineLevel="1" x14ac:dyDescent="0.55000000000000004">
      <c r="A4646" s="27" t="s">
        <v>327</v>
      </c>
      <c r="B4646" s="28"/>
      <c r="C4646" s="27"/>
      <c r="D4646" s="27" t="str">
        <f>"""NAV Direct"",""CRONUS JetCorp USA"",""21"",""1"",""351922"""</f>
        <v>"NAV Direct","CRONUS JetCorp USA","21","1","351922"</v>
      </c>
      <c r="E4646" s="31">
        <f t="shared" si="1403"/>
        <v>0</v>
      </c>
      <c r="F4646" s="31"/>
      <c r="G4646" s="31"/>
      <c r="H4646" s="31"/>
      <c r="I4646" s="56"/>
      <c r="J4646" s="56"/>
      <c r="K4646" s="82" t="str">
        <f t="shared" si="1404"/>
        <v>Invoice</v>
      </c>
      <c r="L4646" s="83" t="str">
        <f>"SI_111022"</f>
        <v>SI_111022</v>
      </c>
      <c r="M4646" s="84">
        <v>42336</v>
      </c>
      <c r="N4646" s="85">
        <f t="shared" si="1405"/>
        <v>1476</v>
      </c>
      <c r="O4646" s="86">
        <f t="shared" si="1406"/>
        <v>19900.900000000001</v>
      </c>
      <c r="P4646" s="86">
        <f t="shared" si="1407"/>
        <v>0</v>
      </c>
      <c r="Q4646" s="86">
        <f t="shared" si="1408"/>
        <v>0</v>
      </c>
      <c r="R4646" s="86">
        <f t="shared" si="1409"/>
        <v>0</v>
      </c>
      <c r="S4646" s="86">
        <f t="shared" si="1410"/>
        <v>0</v>
      </c>
      <c r="T4646" s="86">
        <f t="shared" si="1411"/>
        <v>19900.900000000001</v>
      </c>
      <c r="U4646" s="87">
        <v>19900.900000000001</v>
      </c>
    </row>
    <row r="4647" spans="1:21" s="30" customFormat="1" ht="24.6" hidden="1" outlineLevel="1" x14ac:dyDescent="0.55000000000000004">
      <c r="A4647" s="27" t="s">
        <v>327</v>
      </c>
      <c r="B4647" s="28"/>
      <c r="C4647" s="27"/>
      <c r="D4647" s="27" t="str">
        <f>"""NAV Direct"",""CRONUS JetCorp USA"",""21"",""1"",""433585"""</f>
        <v>"NAV Direct","CRONUS JetCorp USA","21","1","433585"</v>
      </c>
      <c r="E4647" s="31" t="str">
        <f t="shared" si="1403"/>
        <v>C100130</v>
      </c>
      <c r="F4647" s="31"/>
      <c r="G4647" s="31"/>
      <c r="H4647" s="31"/>
      <c r="I4647" s="56"/>
      <c r="J4647" s="56"/>
      <c r="K4647" s="82" t="str">
        <f t="shared" ref="K4647:K4662" si="1412">"Credit Memo"</f>
        <v>Credit Memo</v>
      </c>
      <c r="L4647" s="83" t="str">
        <f>"SC_100499"</f>
        <v>SC_100499</v>
      </c>
      <c r="M4647" s="84">
        <v>42443</v>
      </c>
      <c r="N4647" s="85">
        <f t="shared" si="1405"/>
        <v>1369</v>
      </c>
      <c r="O4647" s="86">
        <f t="shared" si="1406"/>
        <v>-166.10999999999999</v>
      </c>
      <c r="P4647" s="86">
        <f t="shared" si="1407"/>
        <v>0</v>
      </c>
      <c r="Q4647" s="86">
        <f t="shared" si="1408"/>
        <v>0</v>
      </c>
      <c r="R4647" s="86">
        <f t="shared" si="1409"/>
        <v>0</v>
      </c>
      <c r="S4647" s="86">
        <f t="shared" si="1410"/>
        <v>0</v>
      </c>
      <c r="T4647" s="86">
        <f t="shared" si="1411"/>
        <v>-166.10999999999999</v>
      </c>
      <c r="U4647" s="87">
        <v>-166.10999999999999</v>
      </c>
    </row>
    <row r="4648" spans="1:21" s="30" customFormat="1" ht="24.6" hidden="1" outlineLevel="1" x14ac:dyDescent="0.55000000000000004">
      <c r="A4648" s="27" t="s">
        <v>327</v>
      </c>
      <c r="B4648" s="28"/>
      <c r="C4648" s="27"/>
      <c r="D4648" s="27" t="str">
        <f>"""NAV Direct"",""CRONUS JetCorp USA"",""21"",""1"",""433816"""</f>
        <v>"NAV Direct","CRONUS JetCorp USA","21","1","433816"</v>
      </c>
      <c r="E4648" s="31">
        <f t="shared" si="1403"/>
        <v>0</v>
      </c>
      <c r="F4648" s="31"/>
      <c r="G4648" s="31"/>
      <c r="H4648" s="31"/>
      <c r="I4648" s="56"/>
      <c r="J4648" s="56"/>
      <c r="K4648" s="82" t="str">
        <f t="shared" si="1412"/>
        <v>Credit Memo</v>
      </c>
      <c r="L4648" s="83" t="str">
        <f>"SC_100514"</f>
        <v>SC_100514</v>
      </c>
      <c r="M4648" s="84">
        <v>42748</v>
      </c>
      <c r="N4648" s="85">
        <f t="shared" si="1405"/>
        <v>1064</v>
      </c>
      <c r="O4648" s="86">
        <f t="shared" si="1406"/>
        <v>-184.26</v>
      </c>
      <c r="P4648" s="86">
        <f t="shared" si="1407"/>
        <v>0</v>
      </c>
      <c r="Q4648" s="86">
        <f t="shared" si="1408"/>
        <v>0</v>
      </c>
      <c r="R4648" s="86">
        <f t="shared" si="1409"/>
        <v>0</v>
      </c>
      <c r="S4648" s="86">
        <f t="shared" si="1410"/>
        <v>0</v>
      </c>
      <c r="T4648" s="86">
        <f t="shared" si="1411"/>
        <v>-184.26</v>
      </c>
      <c r="U4648" s="87">
        <v>-184.26</v>
      </c>
    </row>
    <row r="4649" spans="1:21" s="30" customFormat="1" ht="24.6" hidden="1" outlineLevel="1" x14ac:dyDescent="0.55000000000000004">
      <c r="A4649" s="27" t="s">
        <v>327</v>
      </c>
      <c r="B4649" s="28"/>
      <c r="C4649" s="27"/>
      <c r="D4649" s="27" t="str">
        <f>"""NAV Direct"",""CRONUS JetCorp USA"",""21"",""1"",""433857"""</f>
        <v>"NAV Direct","CRONUS JetCorp USA","21","1","433857"</v>
      </c>
      <c r="E4649" s="31" t="str">
        <f t="shared" si="1403"/>
        <v>C100130</v>
      </c>
      <c r="F4649" s="31"/>
      <c r="G4649" s="31"/>
      <c r="H4649" s="31"/>
      <c r="I4649" s="56"/>
      <c r="J4649" s="56"/>
      <c r="K4649" s="82" t="str">
        <f t="shared" si="1412"/>
        <v>Credit Memo</v>
      </c>
      <c r="L4649" s="83" t="str">
        <f>"SC_100517"</f>
        <v>SC_100517</v>
      </c>
      <c r="M4649" s="84">
        <v>42785</v>
      </c>
      <c r="N4649" s="85">
        <f t="shared" si="1405"/>
        <v>1027</v>
      </c>
      <c r="O4649" s="86">
        <f t="shared" si="1406"/>
        <v>-186.26</v>
      </c>
      <c r="P4649" s="86">
        <f t="shared" si="1407"/>
        <v>0</v>
      </c>
      <c r="Q4649" s="86">
        <f t="shared" si="1408"/>
        <v>0</v>
      </c>
      <c r="R4649" s="86">
        <f t="shared" si="1409"/>
        <v>0</v>
      </c>
      <c r="S4649" s="86">
        <f t="shared" si="1410"/>
        <v>0</v>
      </c>
      <c r="T4649" s="86">
        <f t="shared" si="1411"/>
        <v>-186.26</v>
      </c>
      <c r="U4649" s="87">
        <v>-186.26</v>
      </c>
    </row>
    <row r="4650" spans="1:21" s="30" customFormat="1" ht="24.6" hidden="1" outlineLevel="1" x14ac:dyDescent="0.55000000000000004">
      <c r="A4650" s="27" t="s">
        <v>327</v>
      </c>
      <c r="B4650" s="28"/>
      <c r="C4650" s="27"/>
      <c r="D4650" s="27" t="str">
        <f>"""NAV Direct"",""CRONUS JetCorp USA"",""21"",""1"",""433873"""</f>
        <v>"NAV Direct","CRONUS JetCorp USA","21","1","433873"</v>
      </c>
      <c r="E4650" s="31">
        <f t="shared" si="1403"/>
        <v>0</v>
      </c>
      <c r="F4650" s="31"/>
      <c r="G4650" s="31"/>
      <c r="H4650" s="31"/>
      <c r="I4650" s="56"/>
      <c r="J4650" s="56"/>
      <c r="K4650" s="82" t="str">
        <f t="shared" si="1412"/>
        <v>Credit Memo</v>
      </c>
      <c r="L4650" s="83" t="str">
        <f>"SC_100519"</f>
        <v>SC_100519</v>
      </c>
      <c r="M4650" s="84">
        <v>42788</v>
      </c>
      <c r="N4650" s="85">
        <f t="shared" si="1405"/>
        <v>1024</v>
      </c>
      <c r="O4650" s="86">
        <f t="shared" si="1406"/>
        <v>-171.75</v>
      </c>
      <c r="P4650" s="86">
        <f t="shared" si="1407"/>
        <v>0</v>
      </c>
      <c r="Q4650" s="86">
        <f t="shared" si="1408"/>
        <v>0</v>
      </c>
      <c r="R4650" s="86">
        <f t="shared" si="1409"/>
        <v>0</v>
      </c>
      <c r="S4650" s="86">
        <f t="shared" si="1410"/>
        <v>0</v>
      </c>
      <c r="T4650" s="86">
        <f t="shared" si="1411"/>
        <v>-171.75</v>
      </c>
      <c r="U4650" s="87">
        <v>-171.75</v>
      </c>
    </row>
    <row r="4651" spans="1:21" s="30" customFormat="1" ht="24.6" hidden="1" outlineLevel="1" x14ac:dyDescent="0.55000000000000004">
      <c r="A4651" s="27" t="s">
        <v>327</v>
      </c>
      <c r="B4651" s="28"/>
      <c r="C4651" s="27"/>
      <c r="D4651" s="27" t="str">
        <f>"""NAV Direct"",""CRONUS JetCorp USA"",""21"",""1"",""433917"""</f>
        <v>"NAV Direct","CRONUS JetCorp USA","21","1","433917"</v>
      </c>
      <c r="E4651" s="31" t="str">
        <f t="shared" si="1403"/>
        <v>C100130</v>
      </c>
      <c r="F4651" s="31"/>
      <c r="G4651" s="31"/>
      <c r="H4651" s="31"/>
      <c r="I4651" s="56"/>
      <c r="J4651" s="56"/>
      <c r="K4651" s="82" t="str">
        <f t="shared" si="1412"/>
        <v>Credit Memo</v>
      </c>
      <c r="L4651" s="83" t="str">
        <f>"SC_100521"</f>
        <v>SC_100521</v>
      </c>
      <c r="M4651" s="84">
        <v>42809</v>
      </c>
      <c r="N4651" s="85">
        <f t="shared" si="1405"/>
        <v>1003</v>
      </c>
      <c r="O4651" s="86">
        <f t="shared" si="1406"/>
        <v>-179.87</v>
      </c>
      <c r="P4651" s="86">
        <f t="shared" si="1407"/>
        <v>0</v>
      </c>
      <c r="Q4651" s="86">
        <f t="shared" si="1408"/>
        <v>0</v>
      </c>
      <c r="R4651" s="86">
        <f t="shared" si="1409"/>
        <v>0</v>
      </c>
      <c r="S4651" s="86">
        <f t="shared" si="1410"/>
        <v>0</v>
      </c>
      <c r="T4651" s="86">
        <f t="shared" si="1411"/>
        <v>-179.87</v>
      </c>
      <c r="U4651" s="87">
        <v>-179.87</v>
      </c>
    </row>
    <row r="4652" spans="1:21" s="30" customFormat="1" ht="24.6" hidden="1" outlineLevel="1" x14ac:dyDescent="0.55000000000000004">
      <c r="A4652" s="27" t="s">
        <v>327</v>
      </c>
      <c r="B4652" s="28"/>
      <c r="C4652" s="27"/>
      <c r="D4652" s="27" t="str">
        <f>"""NAV Direct"",""CRONUS JetCorp USA"",""21"",""1"",""433980"""</f>
        <v>"NAV Direct","CRONUS JetCorp USA","21","1","433980"</v>
      </c>
      <c r="E4652" s="31">
        <f t="shared" si="1403"/>
        <v>0</v>
      </c>
      <c r="F4652" s="31"/>
      <c r="G4652" s="31"/>
      <c r="H4652" s="31"/>
      <c r="I4652" s="56"/>
      <c r="J4652" s="56"/>
      <c r="K4652" s="82" t="str">
        <f t="shared" si="1412"/>
        <v>Credit Memo</v>
      </c>
      <c r="L4652" s="83" t="str">
        <f>"SC_100524"</f>
        <v>SC_100524</v>
      </c>
      <c r="M4652" s="84">
        <v>42896</v>
      </c>
      <c r="N4652" s="85">
        <f t="shared" si="1405"/>
        <v>916</v>
      </c>
      <c r="O4652" s="86">
        <f t="shared" si="1406"/>
        <v>-192.66</v>
      </c>
      <c r="P4652" s="86">
        <f t="shared" si="1407"/>
        <v>0</v>
      </c>
      <c r="Q4652" s="86">
        <f t="shared" si="1408"/>
        <v>0</v>
      </c>
      <c r="R4652" s="86">
        <f t="shared" si="1409"/>
        <v>0</v>
      </c>
      <c r="S4652" s="86">
        <f t="shared" si="1410"/>
        <v>0</v>
      </c>
      <c r="T4652" s="86">
        <f t="shared" si="1411"/>
        <v>-192.66</v>
      </c>
      <c r="U4652" s="87">
        <v>-192.66</v>
      </c>
    </row>
    <row r="4653" spans="1:21" s="30" customFormat="1" ht="24.6" hidden="1" outlineLevel="1" x14ac:dyDescent="0.55000000000000004">
      <c r="A4653" s="27" t="s">
        <v>327</v>
      </c>
      <c r="B4653" s="28"/>
      <c r="C4653" s="27"/>
      <c r="D4653" s="27" t="str">
        <f>"""NAV Direct"",""CRONUS JetCorp USA"",""21"",""1"",""434008"""</f>
        <v>"NAV Direct","CRONUS JetCorp USA","21","1","434008"</v>
      </c>
      <c r="E4653" s="31" t="str">
        <f t="shared" si="1403"/>
        <v>C100130</v>
      </c>
      <c r="F4653" s="31"/>
      <c r="G4653" s="31"/>
      <c r="H4653" s="31"/>
      <c r="I4653" s="56"/>
      <c r="J4653" s="56"/>
      <c r="K4653" s="82" t="str">
        <f t="shared" si="1412"/>
        <v>Credit Memo</v>
      </c>
      <c r="L4653" s="83" t="str">
        <f>"SC_100526"</f>
        <v>SC_100526</v>
      </c>
      <c r="M4653" s="84">
        <v>42907</v>
      </c>
      <c r="N4653" s="85">
        <f t="shared" si="1405"/>
        <v>905</v>
      </c>
      <c r="O4653" s="86">
        <f t="shared" si="1406"/>
        <v>-198.73000000000002</v>
      </c>
      <c r="P4653" s="86">
        <f t="shared" si="1407"/>
        <v>0</v>
      </c>
      <c r="Q4653" s="86">
        <f t="shared" si="1408"/>
        <v>0</v>
      </c>
      <c r="R4653" s="86">
        <f t="shared" si="1409"/>
        <v>0</v>
      </c>
      <c r="S4653" s="86">
        <f t="shared" si="1410"/>
        <v>0</v>
      </c>
      <c r="T4653" s="86">
        <f t="shared" si="1411"/>
        <v>-198.73000000000002</v>
      </c>
      <c r="U4653" s="87">
        <v>-198.73000000000002</v>
      </c>
    </row>
    <row r="4654" spans="1:21" s="30" customFormat="1" ht="24.6" hidden="1" outlineLevel="1" x14ac:dyDescent="0.55000000000000004">
      <c r="A4654" s="27" t="s">
        <v>327</v>
      </c>
      <c r="B4654" s="28"/>
      <c r="C4654" s="27"/>
      <c r="D4654" s="27" t="str">
        <f>"""NAV Direct"",""CRONUS JetCorp USA"",""21"",""1"",""434198"""</f>
        <v>"NAV Direct","CRONUS JetCorp USA","21","1","434198"</v>
      </c>
      <c r="E4654" s="31">
        <f t="shared" si="1403"/>
        <v>0</v>
      </c>
      <c r="F4654" s="31"/>
      <c r="G4654" s="31"/>
      <c r="H4654" s="31"/>
      <c r="I4654" s="56"/>
      <c r="J4654" s="56"/>
      <c r="K4654" s="82" t="str">
        <f t="shared" si="1412"/>
        <v>Credit Memo</v>
      </c>
      <c r="L4654" s="83" t="str">
        <f>"SC_100538"</f>
        <v>SC_100538</v>
      </c>
      <c r="M4654" s="84">
        <v>43215</v>
      </c>
      <c r="N4654" s="85">
        <f t="shared" si="1405"/>
        <v>597</v>
      </c>
      <c r="O4654" s="86">
        <f t="shared" si="1406"/>
        <v>-194.94</v>
      </c>
      <c r="P4654" s="86">
        <f t="shared" si="1407"/>
        <v>0</v>
      </c>
      <c r="Q4654" s="86">
        <f t="shared" si="1408"/>
        <v>0</v>
      </c>
      <c r="R4654" s="86">
        <f t="shared" si="1409"/>
        <v>0</v>
      </c>
      <c r="S4654" s="86">
        <f t="shared" si="1410"/>
        <v>0</v>
      </c>
      <c r="T4654" s="86">
        <f t="shared" si="1411"/>
        <v>-194.94</v>
      </c>
      <c r="U4654" s="87">
        <v>-194.94</v>
      </c>
    </row>
    <row r="4655" spans="1:21" s="30" customFormat="1" ht="24.6" hidden="1" outlineLevel="1" x14ac:dyDescent="0.55000000000000004">
      <c r="A4655" s="27" t="s">
        <v>327</v>
      </c>
      <c r="B4655" s="28"/>
      <c r="C4655" s="27"/>
      <c r="D4655" s="27" t="str">
        <f>"""NAV Direct"",""CRONUS JetCorp USA"",""21"",""1"",""434423"""</f>
        <v>"NAV Direct","CRONUS JetCorp USA","21","1","434423"</v>
      </c>
      <c r="E4655" s="31" t="str">
        <f t="shared" si="1403"/>
        <v>C100130</v>
      </c>
      <c r="F4655" s="31"/>
      <c r="G4655" s="31"/>
      <c r="H4655" s="31"/>
      <c r="I4655" s="56"/>
      <c r="J4655" s="56"/>
      <c r="K4655" s="82" t="str">
        <f t="shared" si="1412"/>
        <v>Credit Memo</v>
      </c>
      <c r="L4655" s="83" t="str">
        <f>"SC_100553"</f>
        <v>SC_100553</v>
      </c>
      <c r="M4655" s="84">
        <v>43597</v>
      </c>
      <c r="N4655" s="85">
        <f t="shared" si="1405"/>
        <v>215</v>
      </c>
      <c r="O4655" s="86">
        <f t="shared" si="1406"/>
        <v>-211.54</v>
      </c>
      <c r="P4655" s="86">
        <f t="shared" si="1407"/>
        <v>0</v>
      </c>
      <c r="Q4655" s="86">
        <f t="shared" si="1408"/>
        <v>0</v>
      </c>
      <c r="R4655" s="86">
        <f t="shared" si="1409"/>
        <v>0</v>
      </c>
      <c r="S4655" s="86">
        <f t="shared" si="1410"/>
        <v>0</v>
      </c>
      <c r="T4655" s="86">
        <f t="shared" si="1411"/>
        <v>-211.54</v>
      </c>
      <c r="U4655" s="87">
        <v>-211.54</v>
      </c>
    </row>
    <row r="4656" spans="1:21" s="30" customFormat="1" ht="24.6" hidden="1" outlineLevel="1" x14ac:dyDescent="0.55000000000000004">
      <c r="A4656" s="27" t="s">
        <v>327</v>
      </c>
      <c r="B4656" s="28"/>
      <c r="C4656" s="27"/>
      <c r="D4656" s="27" t="str">
        <f>"""NAV Direct"",""CRONUS JetCorp USA"",""21"",""1"",""434432"""</f>
        <v>"NAV Direct","CRONUS JetCorp USA","21","1","434432"</v>
      </c>
      <c r="E4656" s="31">
        <f t="shared" si="1403"/>
        <v>0</v>
      </c>
      <c r="F4656" s="31"/>
      <c r="G4656" s="31"/>
      <c r="H4656" s="31"/>
      <c r="I4656" s="56"/>
      <c r="J4656" s="56"/>
      <c r="K4656" s="82" t="str">
        <f t="shared" si="1412"/>
        <v>Credit Memo</v>
      </c>
      <c r="L4656" s="83" t="str">
        <f>"SC_100554"</f>
        <v>SC_100554</v>
      </c>
      <c r="M4656" s="84">
        <v>43655</v>
      </c>
      <c r="N4656" s="85">
        <f t="shared" si="1405"/>
        <v>157</v>
      </c>
      <c r="O4656" s="86">
        <f t="shared" si="1406"/>
        <v>-185.45</v>
      </c>
      <c r="P4656" s="86">
        <f t="shared" si="1407"/>
        <v>0</v>
      </c>
      <c r="Q4656" s="86">
        <f t="shared" si="1408"/>
        <v>0</v>
      </c>
      <c r="R4656" s="86">
        <f t="shared" si="1409"/>
        <v>0</v>
      </c>
      <c r="S4656" s="86">
        <f t="shared" si="1410"/>
        <v>0</v>
      </c>
      <c r="T4656" s="86">
        <f t="shared" si="1411"/>
        <v>-185.45</v>
      </c>
      <c r="U4656" s="87">
        <v>-185.45</v>
      </c>
    </row>
    <row r="4657" spans="1:22" s="30" customFormat="1" ht="24.6" hidden="1" outlineLevel="1" x14ac:dyDescent="0.55000000000000004">
      <c r="A4657" s="27" t="s">
        <v>327</v>
      </c>
      <c r="B4657" s="28"/>
      <c r="C4657" s="27"/>
      <c r="D4657" s="27" t="str">
        <f>"""NAV Direct"",""CRONUS JetCorp USA"",""21"",""1"",""434485"""</f>
        <v>"NAV Direct","CRONUS JetCorp USA","21","1","434485"</v>
      </c>
      <c r="E4657" s="31" t="str">
        <f t="shared" si="1403"/>
        <v>C100130</v>
      </c>
      <c r="F4657" s="31"/>
      <c r="G4657" s="31"/>
      <c r="H4657" s="31"/>
      <c r="I4657" s="56"/>
      <c r="J4657" s="56"/>
      <c r="K4657" s="82" t="str">
        <f t="shared" si="1412"/>
        <v>Credit Memo</v>
      </c>
      <c r="L4657" s="83" t="str">
        <f>"SC_100557"</f>
        <v>SC_100557</v>
      </c>
      <c r="M4657" s="84">
        <v>43753</v>
      </c>
      <c r="N4657" s="85">
        <f t="shared" si="1405"/>
        <v>59</v>
      </c>
      <c r="O4657" s="86">
        <f t="shared" si="1406"/>
        <v>-191.41</v>
      </c>
      <c r="P4657" s="86">
        <f t="shared" si="1407"/>
        <v>0</v>
      </c>
      <c r="Q4657" s="86">
        <f t="shared" si="1408"/>
        <v>0</v>
      </c>
      <c r="R4657" s="86">
        <f t="shared" si="1409"/>
        <v>-191.41</v>
      </c>
      <c r="S4657" s="86">
        <f t="shared" si="1410"/>
        <v>0</v>
      </c>
      <c r="T4657" s="86">
        <f t="shared" si="1411"/>
        <v>0</v>
      </c>
      <c r="U4657" s="87">
        <v>-191.41</v>
      </c>
    </row>
    <row r="4658" spans="1:22" s="30" customFormat="1" ht="24.6" hidden="1" outlineLevel="1" x14ac:dyDescent="0.55000000000000004">
      <c r="A4658" s="27" t="s">
        <v>327</v>
      </c>
      <c r="B4658" s="28"/>
      <c r="C4658" s="27"/>
      <c r="D4658" s="27" t="str">
        <f>"""NAV Direct"",""CRONUS JetCorp USA"",""21"",""1"",""434540"""</f>
        <v>"NAV Direct","CRONUS JetCorp USA","21","1","434540"</v>
      </c>
      <c r="E4658" s="31">
        <f t="shared" si="1403"/>
        <v>0</v>
      </c>
      <c r="F4658" s="31"/>
      <c r="G4658" s="31"/>
      <c r="H4658" s="31"/>
      <c r="I4658" s="56"/>
      <c r="J4658" s="56"/>
      <c r="K4658" s="82" t="str">
        <f t="shared" si="1412"/>
        <v>Credit Memo</v>
      </c>
      <c r="L4658" s="83" t="str">
        <f>"SC_100560"</f>
        <v>SC_100560</v>
      </c>
      <c r="M4658" s="84">
        <v>42022</v>
      </c>
      <c r="N4658" s="85">
        <f t="shared" si="1405"/>
        <v>1790</v>
      </c>
      <c r="O4658" s="86">
        <f t="shared" si="1406"/>
        <v>-198.63</v>
      </c>
      <c r="P4658" s="86">
        <f t="shared" si="1407"/>
        <v>0</v>
      </c>
      <c r="Q4658" s="86">
        <f t="shared" si="1408"/>
        <v>0</v>
      </c>
      <c r="R4658" s="86">
        <f t="shared" si="1409"/>
        <v>0</v>
      </c>
      <c r="S4658" s="86">
        <f t="shared" si="1410"/>
        <v>0</v>
      </c>
      <c r="T4658" s="86">
        <f t="shared" si="1411"/>
        <v>-198.63</v>
      </c>
      <c r="U4658" s="87">
        <v>-198.63</v>
      </c>
    </row>
    <row r="4659" spans="1:22" s="30" customFormat="1" ht="24.6" hidden="1" outlineLevel="1" x14ac:dyDescent="0.55000000000000004">
      <c r="A4659" s="27" t="s">
        <v>327</v>
      </c>
      <c r="B4659" s="28"/>
      <c r="C4659" s="27"/>
      <c r="D4659" s="27" t="str">
        <f>"""NAV Direct"",""CRONUS JetCorp USA"",""21"",""1"",""434555"""</f>
        <v>"NAV Direct","CRONUS JetCorp USA","21","1","434555"</v>
      </c>
      <c r="E4659" s="31" t="str">
        <f t="shared" si="1403"/>
        <v>C100130</v>
      </c>
      <c r="F4659" s="31"/>
      <c r="G4659" s="31"/>
      <c r="H4659" s="31"/>
      <c r="I4659" s="56"/>
      <c r="J4659" s="56"/>
      <c r="K4659" s="82" t="str">
        <f t="shared" si="1412"/>
        <v>Credit Memo</v>
      </c>
      <c r="L4659" s="83" t="str">
        <f>"SC_100561"</f>
        <v>SC_100561</v>
      </c>
      <c r="M4659" s="84">
        <v>42044</v>
      </c>
      <c r="N4659" s="85">
        <f t="shared" si="1405"/>
        <v>1768</v>
      </c>
      <c r="O4659" s="86">
        <f t="shared" si="1406"/>
        <v>-198.23</v>
      </c>
      <c r="P4659" s="86">
        <f t="shared" si="1407"/>
        <v>0</v>
      </c>
      <c r="Q4659" s="86">
        <f t="shared" si="1408"/>
        <v>0</v>
      </c>
      <c r="R4659" s="86">
        <f t="shared" si="1409"/>
        <v>0</v>
      </c>
      <c r="S4659" s="86">
        <f t="shared" si="1410"/>
        <v>0</v>
      </c>
      <c r="T4659" s="86">
        <f t="shared" si="1411"/>
        <v>-198.23</v>
      </c>
      <c r="U4659" s="87">
        <v>-198.23</v>
      </c>
    </row>
    <row r="4660" spans="1:22" s="30" customFormat="1" ht="24.6" hidden="1" outlineLevel="1" x14ac:dyDescent="0.55000000000000004">
      <c r="A4660" s="27" t="s">
        <v>327</v>
      </c>
      <c r="B4660" s="28"/>
      <c r="C4660" s="27"/>
      <c r="D4660" s="27" t="str">
        <f>"""NAV Direct"",""CRONUS JetCorp USA"",""21"",""1"",""434627"""</f>
        <v>"NAV Direct","CRONUS JetCorp USA","21","1","434627"</v>
      </c>
      <c r="E4660" s="31">
        <f t="shared" si="1403"/>
        <v>0</v>
      </c>
      <c r="F4660" s="31"/>
      <c r="G4660" s="31"/>
      <c r="H4660" s="31"/>
      <c r="I4660" s="56"/>
      <c r="J4660" s="56"/>
      <c r="K4660" s="82" t="str">
        <f t="shared" si="1412"/>
        <v>Credit Memo</v>
      </c>
      <c r="L4660" s="83" t="str">
        <f>"SC_100565"</f>
        <v>SC_100565</v>
      </c>
      <c r="M4660" s="84">
        <v>42144</v>
      </c>
      <c r="N4660" s="85">
        <f t="shared" si="1405"/>
        <v>1668</v>
      </c>
      <c r="O4660" s="86">
        <f t="shared" si="1406"/>
        <v>-232.07999999999998</v>
      </c>
      <c r="P4660" s="86">
        <f t="shared" si="1407"/>
        <v>0</v>
      </c>
      <c r="Q4660" s="86">
        <f t="shared" si="1408"/>
        <v>0</v>
      </c>
      <c r="R4660" s="86">
        <f t="shared" si="1409"/>
        <v>0</v>
      </c>
      <c r="S4660" s="86">
        <f t="shared" si="1410"/>
        <v>0</v>
      </c>
      <c r="T4660" s="86">
        <f t="shared" si="1411"/>
        <v>-232.07999999999998</v>
      </c>
      <c r="U4660" s="87">
        <v>-232.07999999999998</v>
      </c>
    </row>
    <row r="4661" spans="1:22" s="30" customFormat="1" ht="24.6" hidden="1" outlineLevel="1" x14ac:dyDescent="0.55000000000000004">
      <c r="A4661" s="27" t="s">
        <v>327</v>
      </c>
      <c r="B4661" s="28"/>
      <c r="C4661" s="27"/>
      <c r="D4661" s="27" t="str">
        <f>"""NAV Direct"",""CRONUS JetCorp USA"",""21"",""1"",""434650"""</f>
        <v>"NAV Direct","CRONUS JetCorp USA","21","1","434650"</v>
      </c>
      <c r="E4661" s="31" t="str">
        <f t="shared" ref="E4661:E4662" si="1413">E4659</f>
        <v>C100130</v>
      </c>
      <c r="F4661" s="31"/>
      <c r="G4661" s="31"/>
      <c r="H4661" s="31"/>
      <c r="I4661" s="56"/>
      <c r="J4661" s="56"/>
      <c r="K4661" s="82" t="str">
        <f t="shared" si="1412"/>
        <v>Credit Memo</v>
      </c>
      <c r="L4661" s="83" t="str">
        <f>"SC_100566"</f>
        <v>SC_100566</v>
      </c>
      <c r="M4661" s="84">
        <v>42141</v>
      </c>
      <c r="N4661" s="85">
        <f t="shared" si="1405"/>
        <v>1671</v>
      </c>
      <c r="O4661" s="86">
        <f t="shared" ref="O4661:O4662" si="1414">SUM(P4661:T4661)</f>
        <v>-239.3</v>
      </c>
      <c r="P4661" s="86">
        <f t="shared" si="1407"/>
        <v>0</v>
      </c>
      <c r="Q4661" s="86">
        <f t="shared" si="1408"/>
        <v>0</v>
      </c>
      <c r="R4661" s="86">
        <f t="shared" si="1409"/>
        <v>0</v>
      </c>
      <c r="S4661" s="86">
        <f t="shared" si="1410"/>
        <v>0</v>
      </c>
      <c r="T4661" s="86">
        <f t="shared" ref="T4661:T4662" si="1415">IF($M4661&lt;=$T$18,U4661,0)</f>
        <v>-239.3</v>
      </c>
      <c r="U4661" s="87">
        <v>-239.3</v>
      </c>
    </row>
    <row r="4662" spans="1:22" s="30" customFormat="1" ht="24.6" hidden="1" outlineLevel="1" x14ac:dyDescent="0.55000000000000004">
      <c r="A4662" s="27" t="s">
        <v>327</v>
      </c>
      <c r="B4662" s="28"/>
      <c r="C4662" s="27"/>
      <c r="D4662" s="27" t="str">
        <f>"""NAV Direct"",""CRONUS JetCorp USA"",""21"",""1"",""434719"""</f>
        <v>"NAV Direct","CRONUS JetCorp USA","21","1","434719"</v>
      </c>
      <c r="E4662" s="31">
        <f t="shared" si="1413"/>
        <v>0</v>
      </c>
      <c r="F4662" s="31"/>
      <c r="G4662" s="31"/>
      <c r="H4662" s="31"/>
      <c r="I4662" s="56"/>
      <c r="J4662" s="56"/>
      <c r="K4662" s="82" t="str">
        <f t="shared" si="1412"/>
        <v>Credit Memo</v>
      </c>
      <c r="L4662" s="83" t="str">
        <f>"SC_100571"</f>
        <v>SC_100571</v>
      </c>
      <c r="M4662" s="84">
        <v>42317</v>
      </c>
      <c r="N4662" s="85">
        <f t="shared" si="1405"/>
        <v>1495</v>
      </c>
      <c r="O4662" s="86">
        <f t="shared" si="1414"/>
        <v>-198.70000000000002</v>
      </c>
      <c r="P4662" s="86">
        <f t="shared" si="1407"/>
        <v>0</v>
      </c>
      <c r="Q4662" s="86">
        <f t="shared" si="1408"/>
        <v>0</v>
      </c>
      <c r="R4662" s="86">
        <f t="shared" si="1409"/>
        <v>0</v>
      </c>
      <c r="S4662" s="86">
        <f t="shared" si="1410"/>
        <v>0</v>
      </c>
      <c r="T4662" s="86">
        <f t="shared" si="1415"/>
        <v>-198.70000000000002</v>
      </c>
      <c r="U4662" s="87">
        <v>-198.70000000000002</v>
      </c>
    </row>
    <row r="4663" spans="1:22" s="22" customFormat="1" ht="20.399999999999999" collapsed="1" x14ac:dyDescent="0.45">
      <c r="A4663" s="12" t="s">
        <v>327</v>
      </c>
      <c r="B4663" s="19"/>
      <c r="C4663" s="12"/>
      <c r="D4663" s="12"/>
      <c r="E4663" s="23"/>
      <c r="F4663" s="23"/>
      <c r="G4663" s="23"/>
      <c r="H4663" s="23"/>
      <c r="I4663" s="49"/>
      <c r="J4663" s="88"/>
      <c r="K4663" s="88"/>
      <c r="L4663" s="89"/>
      <c r="M4663" s="89"/>
      <c r="N4663" s="89"/>
      <c r="O4663" s="89"/>
      <c r="P4663" s="89"/>
      <c r="Q4663" s="90"/>
      <c r="R4663" s="90"/>
      <c r="S4663" s="91"/>
      <c r="T4663" s="92"/>
      <c r="U4663" s="92"/>
    </row>
    <row r="4664" spans="1:22" s="22" customFormat="1" ht="20.399999999999999" x14ac:dyDescent="0.45">
      <c r="A4664" s="12" t="s">
        <v>327</v>
      </c>
      <c r="B4664" s="19"/>
      <c r="C4664" s="12"/>
      <c r="D4664" s="12"/>
      <c r="E4664" s="23"/>
      <c r="F4664" s="23"/>
      <c r="G4664" s="23"/>
      <c r="H4664" s="23"/>
      <c r="I4664" s="49"/>
      <c r="J4664" s="88"/>
      <c r="K4664" s="88"/>
      <c r="L4664" s="89"/>
      <c r="M4664" s="89"/>
      <c r="N4664" s="89"/>
      <c r="O4664" s="89"/>
      <c r="P4664" s="89"/>
      <c r="Q4664" s="90"/>
      <c r="R4664" s="90"/>
      <c r="S4664" s="91"/>
      <c r="T4664" s="92"/>
      <c r="U4664" s="92"/>
    </row>
    <row r="4665" spans="1:22" s="26" customFormat="1" ht="24.6" x14ac:dyDescent="0.55000000000000004">
      <c r="A4665" s="27" t="s">
        <v>327</v>
      </c>
      <c r="B4665" s="28"/>
      <c r="C4665" s="27" t="str">
        <f>"""NAV Direct"",""CRONUS JetCorp USA"",""18"",""1"",""C100133"""</f>
        <v>"NAV Direct","CRONUS JetCorp USA","18","1","C100133"</v>
      </c>
      <c r="D4665" s="27"/>
      <c r="E4665" s="28" t="str">
        <f>H4665</f>
        <v>C100133</v>
      </c>
      <c r="F4665" s="28"/>
      <c r="G4665" s="28"/>
      <c r="H4665" s="28" t="str">
        <f>"C100133"</f>
        <v>C100133</v>
      </c>
      <c r="I4665" s="116" t="str">
        <f>"C100133  -  Volcome Ltd."</f>
        <v>C100133  -  Volcome Ltd.</v>
      </c>
      <c r="J4665" s="117" t="str">
        <f>""</f>
        <v/>
      </c>
      <c r="K4665" s="118"/>
      <c r="L4665" s="119">
        <f>SUBTOTAL(3,L4666:L4708)</f>
        <v>39</v>
      </c>
      <c r="M4665" s="118"/>
      <c r="N4665" s="118"/>
      <c r="O4665" s="120">
        <f t="shared" ref="O4665:T4665" si="1416">SUBTOTAL(9,O4666:O4708)</f>
        <v>94537.66</v>
      </c>
      <c r="P4665" s="120">
        <f t="shared" si="1416"/>
        <v>0</v>
      </c>
      <c r="Q4665" s="120">
        <f t="shared" si="1416"/>
        <v>-29.12</v>
      </c>
      <c r="R4665" s="120">
        <f t="shared" si="1416"/>
        <v>0</v>
      </c>
      <c r="S4665" s="120">
        <f t="shared" si="1416"/>
        <v>0</v>
      </c>
      <c r="T4665" s="120">
        <f t="shared" si="1416"/>
        <v>94566.78</v>
      </c>
      <c r="U4665" s="81"/>
    </row>
    <row r="4666" spans="1:22" s="26" customFormat="1" ht="24.6" x14ac:dyDescent="0.55000000000000004">
      <c r="A4666" s="27" t="s">
        <v>327</v>
      </c>
      <c r="B4666" s="28"/>
      <c r="C4666" s="27" t="str">
        <f>C4665</f>
        <v>"NAV Direct","CRONUS JetCorp USA","18","1","C100133"</v>
      </c>
      <c r="D4666" s="27"/>
      <c r="E4666" s="28" t="str">
        <f>E4665</f>
        <v>C100133</v>
      </c>
      <c r="F4666" s="28"/>
      <c r="G4666" s="28"/>
      <c r="H4666" s="28"/>
      <c r="I4666" s="121" t="str">
        <f>"Contact: Cora Glenn"</f>
        <v>Contact: Cora Glenn</v>
      </c>
      <c r="J4666" s="121"/>
      <c r="K4666" s="122"/>
      <c r="L4666" s="123"/>
      <c r="M4666" s="123"/>
      <c r="N4666" s="124"/>
      <c r="O4666" s="124"/>
      <c r="P4666" s="123"/>
      <c r="Q4666" s="125"/>
      <c r="R4666" s="126"/>
      <c r="S4666" s="126"/>
      <c r="T4666" s="125"/>
      <c r="U4666" s="81"/>
    </row>
    <row r="4667" spans="1:22" s="26" customFormat="1" ht="24.6" x14ac:dyDescent="0.55000000000000004">
      <c r="A4667" s="27" t="s">
        <v>327</v>
      </c>
      <c r="B4667" s="28"/>
      <c r="C4667" s="27" t="str">
        <f>C4666</f>
        <v>"NAV Direct","CRONUS JetCorp USA","18","1","C100133"</v>
      </c>
      <c r="D4667" s="27"/>
      <c r="E4667" s="28" t="str">
        <f>E4666</f>
        <v>C100133</v>
      </c>
      <c r="F4667" s="28"/>
      <c r="G4667" s="28"/>
      <c r="H4667" s="28"/>
      <c r="I4667" s="121" t="str">
        <f>"Volcome Ltd.@Cronus.com"</f>
        <v>Volcome Ltd.@Cronus.com</v>
      </c>
      <c r="J4667" s="121"/>
      <c r="K4667" s="122"/>
      <c r="L4667" s="124"/>
      <c r="M4667" s="124"/>
      <c r="N4667" s="124"/>
      <c r="O4667" s="124"/>
      <c r="P4667" s="123"/>
      <c r="Q4667" s="125"/>
      <c r="R4667" s="126"/>
      <c r="S4667" s="126"/>
      <c r="T4667" s="125"/>
      <c r="U4667" s="81"/>
    </row>
    <row r="4668" spans="1:22" ht="12.75" hidden="1" customHeight="1" outlineLevel="1" x14ac:dyDescent="0.45">
      <c r="A4668" s="12" t="s">
        <v>328</v>
      </c>
      <c r="B4668" s="19"/>
      <c r="E4668" s="19"/>
      <c r="F4668" s="19"/>
      <c r="G4668" s="19"/>
      <c r="H4668" s="19"/>
      <c r="I4668" s="61"/>
      <c r="J4668" s="61"/>
      <c r="K4668" s="61"/>
      <c r="L4668" s="61"/>
      <c r="M4668" s="61"/>
      <c r="N4668" s="61"/>
      <c r="O4668" s="61"/>
      <c r="P4668" s="61"/>
      <c r="Q4668" s="61"/>
      <c r="R4668" s="61"/>
      <c r="S4668" s="61"/>
      <c r="T4668" s="61"/>
      <c r="U4668" s="61"/>
      <c r="V4668" s="21"/>
    </row>
    <row r="4669" spans="1:22" s="30" customFormat="1" ht="24.6" hidden="1" outlineLevel="1" x14ac:dyDescent="0.55000000000000004">
      <c r="A4669" s="27" t="s">
        <v>327</v>
      </c>
      <c r="B4669" s="28"/>
      <c r="C4669" s="27"/>
      <c r="D4669" s="27" t="str">
        <f>"""NAV Direct"",""CRONUS JetCorp USA"",""21"",""1"",""209200"""</f>
        <v>"NAV Direct","CRONUS JetCorp USA","21","1","209200"</v>
      </c>
      <c r="E4669" s="31" t="str">
        <f t="shared" ref="E4669:E4707" si="1417">E4667</f>
        <v>C100133</v>
      </c>
      <c r="F4669" s="31"/>
      <c r="G4669" s="31"/>
      <c r="H4669" s="31"/>
      <c r="I4669" s="56"/>
      <c r="J4669" s="56"/>
      <c r="K4669" s="82" t="str">
        <f t="shared" ref="K4669:K4692" si="1418">"Invoice"</f>
        <v>Invoice</v>
      </c>
      <c r="L4669" s="83" t="str">
        <f>"SI_108467"</f>
        <v>SI_108467</v>
      </c>
      <c r="M4669" s="84">
        <v>42043</v>
      </c>
      <c r="N4669" s="85">
        <f t="shared" ref="N4669:N4707" si="1419">StartDate-$M4669+1</f>
        <v>1769</v>
      </c>
      <c r="O4669" s="86">
        <f t="shared" ref="O4669:O4707" si="1420">SUM(P4669:T4669)</f>
        <v>3537.7</v>
      </c>
      <c r="P4669" s="86">
        <f t="shared" ref="P4669:P4707" si="1421">IF($M4669&gt;=$P$18,U4669,0)</f>
        <v>0</v>
      </c>
      <c r="Q4669" s="86">
        <f t="shared" ref="Q4669:Q4707" si="1422">IF(AND($M4669&gt;=$Q$16,$M4669&lt;=$Q$18),U4669,0)</f>
        <v>0</v>
      </c>
      <c r="R4669" s="86">
        <f t="shared" ref="R4669:R4707" si="1423">IF(AND($M4669&gt;=$R$16,$M4669&lt;=$R$18),U4669,0)</f>
        <v>0</v>
      </c>
      <c r="S4669" s="86">
        <f t="shared" ref="S4669:S4707" si="1424">IF(AND($M4669&gt;=$S$16,$M4669&lt;=$S$18),U4669,0)</f>
        <v>0</v>
      </c>
      <c r="T4669" s="86">
        <f t="shared" ref="T4669:T4707" si="1425">IF($M4669&lt;=$T$18,U4669,0)</f>
        <v>3537.7</v>
      </c>
      <c r="U4669" s="87">
        <v>3537.7</v>
      </c>
    </row>
    <row r="4670" spans="1:22" s="30" customFormat="1" ht="24.6" hidden="1" outlineLevel="1" x14ac:dyDescent="0.55000000000000004">
      <c r="A4670" s="27" t="s">
        <v>327</v>
      </c>
      <c r="B4670" s="28"/>
      <c r="C4670" s="27"/>
      <c r="D4670" s="27" t="str">
        <f>"""NAV Direct"",""CRONUS JetCorp USA"",""21"",""1"",""209633"""</f>
        <v>"NAV Direct","CRONUS JetCorp USA","21","1","209633"</v>
      </c>
      <c r="E4670" s="31">
        <f t="shared" si="1417"/>
        <v>0</v>
      </c>
      <c r="F4670" s="31"/>
      <c r="G4670" s="31"/>
      <c r="H4670" s="31"/>
      <c r="I4670" s="56"/>
      <c r="J4670" s="56"/>
      <c r="K4670" s="82" t="str">
        <f t="shared" si="1418"/>
        <v>Invoice</v>
      </c>
      <c r="L4670" s="83" t="str">
        <f>"SI_108478"</f>
        <v>SI_108478</v>
      </c>
      <c r="M4670" s="84">
        <v>42080</v>
      </c>
      <c r="N4670" s="85">
        <f t="shared" si="1419"/>
        <v>1732</v>
      </c>
      <c r="O4670" s="86">
        <f t="shared" si="1420"/>
        <v>3548.38</v>
      </c>
      <c r="P4670" s="86">
        <f t="shared" si="1421"/>
        <v>0</v>
      </c>
      <c r="Q4670" s="86">
        <f t="shared" si="1422"/>
        <v>0</v>
      </c>
      <c r="R4670" s="86">
        <f t="shared" si="1423"/>
        <v>0</v>
      </c>
      <c r="S4670" s="86">
        <f t="shared" si="1424"/>
        <v>0</v>
      </c>
      <c r="T4670" s="86">
        <f t="shared" si="1425"/>
        <v>3548.38</v>
      </c>
      <c r="U4670" s="87">
        <v>3548.38</v>
      </c>
    </row>
    <row r="4671" spans="1:22" s="30" customFormat="1" ht="24.6" hidden="1" outlineLevel="1" x14ac:dyDescent="0.55000000000000004">
      <c r="A4671" s="27" t="s">
        <v>327</v>
      </c>
      <c r="B4671" s="28"/>
      <c r="C4671" s="27"/>
      <c r="D4671" s="27" t="str">
        <f>"""NAV Direct"",""CRONUS JetCorp USA"",""21"",""1"",""210075"""</f>
        <v>"NAV Direct","CRONUS JetCorp USA","21","1","210075"</v>
      </c>
      <c r="E4671" s="31" t="str">
        <f t="shared" si="1417"/>
        <v>C100133</v>
      </c>
      <c r="F4671" s="31"/>
      <c r="G4671" s="31"/>
      <c r="H4671" s="31"/>
      <c r="I4671" s="56"/>
      <c r="J4671" s="56"/>
      <c r="K4671" s="82" t="str">
        <f t="shared" si="1418"/>
        <v>Invoice</v>
      </c>
      <c r="L4671" s="83" t="str">
        <f>"SI_108489"</f>
        <v>SI_108489</v>
      </c>
      <c r="M4671" s="84">
        <v>42108</v>
      </c>
      <c r="N4671" s="85">
        <f t="shared" si="1419"/>
        <v>1704</v>
      </c>
      <c r="O4671" s="86">
        <f t="shared" si="1420"/>
        <v>3713.37</v>
      </c>
      <c r="P4671" s="86">
        <f t="shared" si="1421"/>
        <v>0</v>
      </c>
      <c r="Q4671" s="86">
        <f t="shared" si="1422"/>
        <v>0</v>
      </c>
      <c r="R4671" s="86">
        <f t="shared" si="1423"/>
        <v>0</v>
      </c>
      <c r="S4671" s="86">
        <f t="shared" si="1424"/>
        <v>0</v>
      </c>
      <c r="T4671" s="86">
        <f t="shared" si="1425"/>
        <v>3713.37</v>
      </c>
      <c r="U4671" s="87">
        <v>3713.37</v>
      </c>
    </row>
    <row r="4672" spans="1:22" s="30" customFormat="1" ht="24.6" hidden="1" outlineLevel="1" x14ac:dyDescent="0.55000000000000004">
      <c r="A4672" s="27" t="s">
        <v>327</v>
      </c>
      <c r="B4672" s="28"/>
      <c r="C4672" s="27"/>
      <c r="D4672" s="27" t="str">
        <f>"""NAV Direct"",""CRONUS JetCorp USA"",""21"",""1"",""210395"""</f>
        <v>"NAV Direct","CRONUS JetCorp USA","21","1","210395"</v>
      </c>
      <c r="E4672" s="31">
        <f t="shared" si="1417"/>
        <v>0</v>
      </c>
      <c r="F4672" s="31"/>
      <c r="G4672" s="31"/>
      <c r="H4672" s="31"/>
      <c r="I4672" s="56"/>
      <c r="J4672" s="56"/>
      <c r="K4672" s="82" t="str">
        <f t="shared" si="1418"/>
        <v>Invoice</v>
      </c>
      <c r="L4672" s="83" t="str">
        <f>"SI_108497"</f>
        <v>SI_108497</v>
      </c>
      <c r="M4672" s="84">
        <v>42139</v>
      </c>
      <c r="N4672" s="85">
        <f t="shared" si="1419"/>
        <v>1673</v>
      </c>
      <c r="O4672" s="86">
        <f t="shared" si="1420"/>
        <v>3839.14</v>
      </c>
      <c r="P4672" s="86">
        <f t="shared" si="1421"/>
        <v>0</v>
      </c>
      <c r="Q4672" s="86">
        <f t="shared" si="1422"/>
        <v>0</v>
      </c>
      <c r="R4672" s="86">
        <f t="shared" si="1423"/>
        <v>0</v>
      </c>
      <c r="S4672" s="86">
        <f t="shared" si="1424"/>
        <v>0</v>
      </c>
      <c r="T4672" s="86">
        <f t="shared" si="1425"/>
        <v>3839.14</v>
      </c>
      <c r="U4672" s="87">
        <v>3839.14</v>
      </c>
    </row>
    <row r="4673" spans="1:21" s="30" customFormat="1" ht="24.6" hidden="1" outlineLevel="1" x14ac:dyDescent="0.55000000000000004">
      <c r="A4673" s="27" t="s">
        <v>327</v>
      </c>
      <c r="B4673" s="28"/>
      <c r="C4673" s="27"/>
      <c r="D4673" s="27" t="str">
        <f>"""NAV Direct"",""CRONUS JetCorp USA"",""21"",""1"",""210520"""</f>
        <v>"NAV Direct","CRONUS JetCorp USA","21","1","210520"</v>
      </c>
      <c r="E4673" s="31" t="str">
        <f t="shared" si="1417"/>
        <v>C100133</v>
      </c>
      <c r="F4673" s="31"/>
      <c r="G4673" s="31"/>
      <c r="H4673" s="31"/>
      <c r="I4673" s="56"/>
      <c r="J4673" s="56"/>
      <c r="K4673" s="82" t="str">
        <f t="shared" si="1418"/>
        <v>Invoice</v>
      </c>
      <c r="L4673" s="83" t="str">
        <f>"SI_108500"</f>
        <v>SI_108500</v>
      </c>
      <c r="M4673" s="84">
        <v>42143</v>
      </c>
      <c r="N4673" s="85">
        <f t="shared" si="1419"/>
        <v>1669</v>
      </c>
      <c r="O4673" s="86">
        <f t="shared" si="1420"/>
        <v>3839.17</v>
      </c>
      <c r="P4673" s="86">
        <f t="shared" si="1421"/>
        <v>0</v>
      </c>
      <c r="Q4673" s="86">
        <f t="shared" si="1422"/>
        <v>0</v>
      </c>
      <c r="R4673" s="86">
        <f t="shared" si="1423"/>
        <v>0</v>
      </c>
      <c r="S4673" s="86">
        <f t="shared" si="1424"/>
        <v>0</v>
      </c>
      <c r="T4673" s="86">
        <f t="shared" si="1425"/>
        <v>3839.17</v>
      </c>
      <c r="U4673" s="87">
        <v>3839.17</v>
      </c>
    </row>
    <row r="4674" spans="1:21" s="30" customFormat="1" ht="24.6" hidden="1" outlineLevel="1" x14ac:dyDescent="0.55000000000000004">
      <c r="A4674" s="27" t="s">
        <v>327</v>
      </c>
      <c r="B4674" s="28"/>
      <c r="C4674" s="27"/>
      <c r="D4674" s="27" t="str">
        <f>"""NAV Direct"",""CRONUS JetCorp USA"",""21"",""1"",""210661"""</f>
        <v>"NAV Direct","CRONUS JetCorp USA","21","1","210661"</v>
      </c>
      <c r="E4674" s="31">
        <f t="shared" si="1417"/>
        <v>0</v>
      </c>
      <c r="F4674" s="31"/>
      <c r="G4674" s="31"/>
      <c r="H4674" s="31"/>
      <c r="I4674" s="56"/>
      <c r="J4674" s="56"/>
      <c r="K4674" s="82" t="str">
        <f t="shared" si="1418"/>
        <v>Invoice</v>
      </c>
      <c r="L4674" s="83" t="str">
        <f>"SI_108503"</f>
        <v>SI_108503</v>
      </c>
      <c r="M4674" s="84">
        <v>42151</v>
      </c>
      <c r="N4674" s="85">
        <f t="shared" si="1419"/>
        <v>1661</v>
      </c>
      <c r="O4674" s="86">
        <f t="shared" si="1420"/>
        <v>3839.17</v>
      </c>
      <c r="P4674" s="86">
        <f t="shared" si="1421"/>
        <v>0</v>
      </c>
      <c r="Q4674" s="86">
        <f t="shared" si="1422"/>
        <v>0</v>
      </c>
      <c r="R4674" s="86">
        <f t="shared" si="1423"/>
        <v>0</v>
      </c>
      <c r="S4674" s="86">
        <f t="shared" si="1424"/>
        <v>0</v>
      </c>
      <c r="T4674" s="86">
        <f t="shared" si="1425"/>
        <v>3839.17</v>
      </c>
      <c r="U4674" s="87">
        <v>3839.17</v>
      </c>
    </row>
    <row r="4675" spans="1:21" s="30" customFormat="1" ht="24.6" hidden="1" outlineLevel="1" x14ac:dyDescent="0.55000000000000004">
      <c r="A4675" s="27" t="s">
        <v>327</v>
      </c>
      <c r="B4675" s="28"/>
      <c r="C4675" s="27"/>
      <c r="D4675" s="27" t="str">
        <f>"""NAV Direct"",""CRONUS JetCorp USA"",""21"",""1"",""210784"""</f>
        <v>"NAV Direct","CRONUS JetCorp USA","21","1","210784"</v>
      </c>
      <c r="E4675" s="31" t="str">
        <f t="shared" si="1417"/>
        <v>C100133</v>
      </c>
      <c r="F4675" s="31"/>
      <c r="G4675" s="31"/>
      <c r="H4675" s="31"/>
      <c r="I4675" s="56"/>
      <c r="J4675" s="56"/>
      <c r="K4675" s="82" t="str">
        <f t="shared" si="1418"/>
        <v>Invoice</v>
      </c>
      <c r="L4675" s="83" t="str">
        <f>"SI_108506"</f>
        <v>SI_108506</v>
      </c>
      <c r="M4675" s="84">
        <v>42165</v>
      </c>
      <c r="N4675" s="85">
        <f t="shared" si="1419"/>
        <v>1647</v>
      </c>
      <c r="O4675" s="86">
        <f t="shared" si="1420"/>
        <v>3971.74</v>
      </c>
      <c r="P4675" s="86">
        <f t="shared" si="1421"/>
        <v>0</v>
      </c>
      <c r="Q4675" s="86">
        <f t="shared" si="1422"/>
        <v>0</v>
      </c>
      <c r="R4675" s="86">
        <f t="shared" si="1423"/>
        <v>0</v>
      </c>
      <c r="S4675" s="86">
        <f t="shared" si="1424"/>
        <v>0</v>
      </c>
      <c r="T4675" s="86">
        <f t="shared" si="1425"/>
        <v>3971.74</v>
      </c>
      <c r="U4675" s="87">
        <v>3971.74</v>
      </c>
    </row>
    <row r="4676" spans="1:21" s="30" customFormat="1" ht="24.6" hidden="1" outlineLevel="1" x14ac:dyDescent="0.55000000000000004">
      <c r="A4676" s="27" t="s">
        <v>327</v>
      </c>
      <c r="B4676" s="28"/>
      <c r="C4676" s="27"/>
      <c r="D4676" s="27" t="str">
        <f>"""NAV Direct"",""CRONUS JetCorp USA"",""21"",""1"",""210833"""</f>
        <v>"NAV Direct","CRONUS JetCorp USA","21","1","210833"</v>
      </c>
      <c r="E4676" s="31">
        <f t="shared" si="1417"/>
        <v>0</v>
      </c>
      <c r="F4676" s="31"/>
      <c r="G4676" s="31"/>
      <c r="H4676" s="31"/>
      <c r="I4676" s="56"/>
      <c r="J4676" s="56"/>
      <c r="K4676" s="82" t="str">
        <f t="shared" si="1418"/>
        <v>Invoice</v>
      </c>
      <c r="L4676" s="83" t="str">
        <f>"SI_108507"</f>
        <v>SI_108507</v>
      </c>
      <c r="M4676" s="84">
        <v>42171</v>
      </c>
      <c r="N4676" s="85">
        <f t="shared" si="1419"/>
        <v>1641</v>
      </c>
      <c r="O4676" s="86">
        <f t="shared" si="1420"/>
        <v>4012.01</v>
      </c>
      <c r="P4676" s="86">
        <f t="shared" si="1421"/>
        <v>0</v>
      </c>
      <c r="Q4676" s="86">
        <f t="shared" si="1422"/>
        <v>0</v>
      </c>
      <c r="R4676" s="86">
        <f t="shared" si="1423"/>
        <v>0</v>
      </c>
      <c r="S4676" s="86">
        <f t="shared" si="1424"/>
        <v>0</v>
      </c>
      <c r="T4676" s="86">
        <f t="shared" si="1425"/>
        <v>4012.01</v>
      </c>
      <c r="U4676" s="87">
        <v>4012.01</v>
      </c>
    </row>
    <row r="4677" spans="1:21" s="30" customFormat="1" ht="24.6" hidden="1" outlineLevel="1" x14ac:dyDescent="0.55000000000000004">
      <c r="A4677" s="27" t="s">
        <v>327</v>
      </c>
      <c r="B4677" s="28"/>
      <c r="C4677" s="27"/>
      <c r="D4677" s="27" t="str">
        <f>"""NAV Direct"",""CRONUS JetCorp USA"",""21"",""1"",""210872"""</f>
        <v>"NAV Direct","CRONUS JetCorp USA","21","1","210872"</v>
      </c>
      <c r="E4677" s="31" t="str">
        <f t="shared" si="1417"/>
        <v>C100133</v>
      </c>
      <c r="F4677" s="31"/>
      <c r="G4677" s="31"/>
      <c r="H4677" s="31"/>
      <c r="I4677" s="56"/>
      <c r="J4677" s="56"/>
      <c r="K4677" s="82" t="str">
        <f t="shared" si="1418"/>
        <v>Invoice</v>
      </c>
      <c r="L4677" s="83" t="str">
        <f>"SI_108508"</f>
        <v>SI_108508</v>
      </c>
      <c r="M4677" s="84">
        <v>42169</v>
      </c>
      <c r="N4677" s="85">
        <f t="shared" si="1419"/>
        <v>1643</v>
      </c>
      <c r="O4677" s="86">
        <f t="shared" si="1420"/>
        <v>3930.34</v>
      </c>
      <c r="P4677" s="86">
        <f t="shared" si="1421"/>
        <v>0</v>
      </c>
      <c r="Q4677" s="86">
        <f t="shared" si="1422"/>
        <v>0</v>
      </c>
      <c r="R4677" s="86">
        <f t="shared" si="1423"/>
        <v>0</v>
      </c>
      <c r="S4677" s="86">
        <f t="shared" si="1424"/>
        <v>0</v>
      </c>
      <c r="T4677" s="86">
        <f t="shared" si="1425"/>
        <v>3930.34</v>
      </c>
      <c r="U4677" s="87">
        <v>3930.34</v>
      </c>
    </row>
    <row r="4678" spans="1:21" s="30" customFormat="1" ht="24.6" hidden="1" outlineLevel="1" x14ac:dyDescent="0.55000000000000004">
      <c r="A4678" s="27" t="s">
        <v>327</v>
      </c>
      <c r="B4678" s="28"/>
      <c r="C4678" s="27"/>
      <c r="D4678" s="27" t="str">
        <f>"""NAV Direct"",""CRONUS JetCorp USA"",""21"",""1"",""211801"""</f>
        <v>"NAV Direct","CRONUS JetCorp USA","21","1","211801"</v>
      </c>
      <c r="E4678" s="31">
        <f t="shared" si="1417"/>
        <v>0</v>
      </c>
      <c r="F4678" s="31"/>
      <c r="G4678" s="31"/>
      <c r="H4678" s="31"/>
      <c r="I4678" s="56"/>
      <c r="J4678" s="56"/>
      <c r="K4678" s="82" t="str">
        <f t="shared" si="1418"/>
        <v>Invoice</v>
      </c>
      <c r="L4678" s="83" t="str">
        <f>"SI_108529"</f>
        <v>SI_108529</v>
      </c>
      <c r="M4678" s="84">
        <v>42228</v>
      </c>
      <c r="N4678" s="85">
        <f t="shared" si="1419"/>
        <v>1584</v>
      </c>
      <c r="O4678" s="86">
        <f t="shared" si="1420"/>
        <v>3950.98</v>
      </c>
      <c r="P4678" s="86">
        <f t="shared" si="1421"/>
        <v>0</v>
      </c>
      <c r="Q4678" s="86">
        <f t="shared" si="1422"/>
        <v>0</v>
      </c>
      <c r="R4678" s="86">
        <f t="shared" si="1423"/>
        <v>0</v>
      </c>
      <c r="S4678" s="86">
        <f t="shared" si="1424"/>
        <v>0</v>
      </c>
      <c r="T4678" s="86">
        <f t="shared" si="1425"/>
        <v>3950.98</v>
      </c>
      <c r="U4678" s="87">
        <v>3950.98</v>
      </c>
    </row>
    <row r="4679" spans="1:21" s="30" customFormat="1" ht="24.6" hidden="1" outlineLevel="1" x14ac:dyDescent="0.55000000000000004">
      <c r="A4679" s="27" t="s">
        <v>327</v>
      </c>
      <c r="B4679" s="28"/>
      <c r="C4679" s="27"/>
      <c r="D4679" s="27" t="str">
        <f>"""NAV Direct"",""CRONUS JetCorp USA"",""21"",""1"",""211930"""</f>
        <v>"NAV Direct","CRONUS JetCorp USA","21","1","211930"</v>
      </c>
      <c r="E4679" s="31" t="str">
        <f t="shared" si="1417"/>
        <v>C100133</v>
      </c>
      <c r="F4679" s="31"/>
      <c r="G4679" s="31"/>
      <c r="H4679" s="31"/>
      <c r="I4679" s="56"/>
      <c r="J4679" s="56"/>
      <c r="K4679" s="82" t="str">
        <f t="shared" si="1418"/>
        <v>Invoice</v>
      </c>
      <c r="L4679" s="83" t="str">
        <f>"SI_108532"</f>
        <v>SI_108532</v>
      </c>
      <c r="M4679" s="84">
        <v>42237</v>
      </c>
      <c r="N4679" s="85">
        <f t="shared" si="1419"/>
        <v>1575</v>
      </c>
      <c r="O4679" s="86">
        <f t="shared" si="1420"/>
        <v>3950.8900000000003</v>
      </c>
      <c r="P4679" s="86">
        <f t="shared" si="1421"/>
        <v>0</v>
      </c>
      <c r="Q4679" s="86">
        <f t="shared" si="1422"/>
        <v>0</v>
      </c>
      <c r="R4679" s="86">
        <f t="shared" si="1423"/>
        <v>0</v>
      </c>
      <c r="S4679" s="86">
        <f t="shared" si="1424"/>
        <v>0</v>
      </c>
      <c r="T4679" s="86">
        <f t="shared" si="1425"/>
        <v>3950.8900000000003</v>
      </c>
      <c r="U4679" s="87">
        <v>3950.8900000000003</v>
      </c>
    </row>
    <row r="4680" spans="1:21" s="30" customFormat="1" ht="24.6" hidden="1" outlineLevel="1" x14ac:dyDescent="0.55000000000000004">
      <c r="A4680" s="27" t="s">
        <v>327</v>
      </c>
      <c r="B4680" s="28"/>
      <c r="C4680" s="27"/>
      <c r="D4680" s="27" t="str">
        <f>"""NAV Direct"",""CRONUS JetCorp USA"",""21"",""1"",""212182"""</f>
        <v>"NAV Direct","CRONUS JetCorp USA","21","1","212182"</v>
      </c>
      <c r="E4680" s="31">
        <f t="shared" si="1417"/>
        <v>0</v>
      </c>
      <c r="F4680" s="31"/>
      <c r="G4680" s="31"/>
      <c r="H4680" s="31"/>
      <c r="I4680" s="56"/>
      <c r="J4680" s="56"/>
      <c r="K4680" s="82" t="str">
        <f t="shared" si="1418"/>
        <v>Invoice</v>
      </c>
      <c r="L4680" s="83" t="str">
        <f>"SI_108538"</f>
        <v>SI_108538</v>
      </c>
      <c r="M4680" s="84">
        <v>42255</v>
      </c>
      <c r="N4680" s="85">
        <f t="shared" si="1419"/>
        <v>1557</v>
      </c>
      <c r="O4680" s="86">
        <f t="shared" si="1420"/>
        <v>4029.83</v>
      </c>
      <c r="P4680" s="86">
        <f t="shared" si="1421"/>
        <v>0</v>
      </c>
      <c r="Q4680" s="86">
        <f t="shared" si="1422"/>
        <v>0</v>
      </c>
      <c r="R4680" s="86">
        <f t="shared" si="1423"/>
        <v>0</v>
      </c>
      <c r="S4680" s="86">
        <f t="shared" si="1424"/>
        <v>0</v>
      </c>
      <c r="T4680" s="86">
        <f t="shared" si="1425"/>
        <v>4029.83</v>
      </c>
      <c r="U4680" s="87">
        <v>4029.83</v>
      </c>
    </row>
    <row r="4681" spans="1:21" s="30" customFormat="1" ht="24.6" hidden="1" outlineLevel="1" x14ac:dyDescent="0.55000000000000004">
      <c r="A4681" s="27" t="s">
        <v>327</v>
      </c>
      <c r="B4681" s="28"/>
      <c r="C4681" s="27"/>
      <c r="D4681" s="27" t="str">
        <f>"""NAV Direct"",""CRONUS JetCorp USA"",""21"",""1"",""212454"""</f>
        <v>"NAV Direct","CRONUS JetCorp USA","21","1","212454"</v>
      </c>
      <c r="E4681" s="31" t="str">
        <f t="shared" si="1417"/>
        <v>C100133</v>
      </c>
      <c r="F4681" s="31"/>
      <c r="G4681" s="31"/>
      <c r="H4681" s="31"/>
      <c r="I4681" s="56"/>
      <c r="J4681" s="56"/>
      <c r="K4681" s="82" t="str">
        <f t="shared" si="1418"/>
        <v>Invoice</v>
      </c>
      <c r="L4681" s="83" t="str">
        <f>"SI_108544"</f>
        <v>SI_108544</v>
      </c>
      <c r="M4681" s="84">
        <v>42282</v>
      </c>
      <c r="N4681" s="85">
        <f t="shared" si="1419"/>
        <v>1530</v>
      </c>
      <c r="O4681" s="86">
        <f t="shared" si="1420"/>
        <v>4150.9000000000005</v>
      </c>
      <c r="P4681" s="86">
        <f t="shared" si="1421"/>
        <v>0</v>
      </c>
      <c r="Q4681" s="86">
        <f t="shared" si="1422"/>
        <v>0</v>
      </c>
      <c r="R4681" s="86">
        <f t="shared" si="1423"/>
        <v>0</v>
      </c>
      <c r="S4681" s="86">
        <f t="shared" si="1424"/>
        <v>0</v>
      </c>
      <c r="T4681" s="86">
        <f t="shared" si="1425"/>
        <v>4150.9000000000005</v>
      </c>
      <c r="U4681" s="87">
        <v>4150.9000000000005</v>
      </c>
    </row>
    <row r="4682" spans="1:21" s="30" customFormat="1" ht="24.6" hidden="1" outlineLevel="1" x14ac:dyDescent="0.55000000000000004">
      <c r="A4682" s="27" t="s">
        <v>327</v>
      </c>
      <c r="B4682" s="28"/>
      <c r="C4682" s="27"/>
      <c r="D4682" s="27" t="str">
        <f>"""NAV Direct"",""CRONUS JetCorp USA"",""21"",""1"",""212532"""</f>
        <v>"NAV Direct","CRONUS JetCorp USA","21","1","212532"</v>
      </c>
      <c r="E4682" s="31">
        <f t="shared" si="1417"/>
        <v>0</v>
      </c>
      <c r="F4682" s="31"/>
      <c r="G4682" s="31"/>
      <c r="H4682" s="31"/>
      <c r="I4682" s="56"/>
      <c r="J4682" s="56"/>
      <c r="K4682" s="82" t="str">
        <f t="shared" si="1418"/>
        <v>Invoice</v>
      </c>
      <c r="L4682" s="83" t="str">
        <f>"SI_108546"</f>
        <v>SI_108546</v>
      </c>
      <c r="M4682" s="84">
        <v>42287</v>
      </c>
      <c r="N4682" s="85">
        <f t="shared" si="1419"/>
        <v>1525</v>
      </c>
      <c r="O4682" s="86">
        <f t="shared" si="1420"/>
        <v>4108.54</v>
      </c>
      <c r="P4682" s="86">
        <f t="shared" si="1421"/>
        <v>0</v>
      </c>
      <c r="Q4682" s="86">
        <f t="shared" si="1422"/>
        <v>0</v>
      </c>
      <c r="R4682" s="86">
        <f t="shared" si="1423"/>
        <v>0</v>
      </c>
      <c r="S4682" s="86">
        <f t="shared" si="1424"/>
        <v>0</v>
      </c>
      <c r="T4682" s="86">
        <f t="shared" si="1425"/>
        <v>4108.54</v>
      </c>
      <c r="U4682" s="87">
        <v>4108.54</v>
      </c>
    </row>
    <row r="4683" spans="1:21" s="30" customFormat="1" ht="24.6" hidden="1" outlineLevel="1" x14ac:dyDescent="0.55000000000000004">
      <c r="A4683" s="27" t="s">
        <v>327</v>
      </c>
      <c r="B4683" s="28"/>
      <c r="C4683" s="27"/>
      <c r="D4683" s="27" t="str">
        <f>"""NAV Direct"",""CRONUS JetCorp USA"",""21"",""1"",""212610"""</f>
        <v>"NAV Direct","CRONUS JetCorp USA","21","1","212610"</v>
      </c>
      <c r="E4683" s="31" t="str">
        <f t="shared" si="1417"/>
        <v>C100133</v>
      </c>
      <c r="F4683" s="31"/>
      <c r="G4683" s="31"/>
      <c r="H4683" s="31"/>
      <c r="I4683" s="56"/>
      <c r="J4683" s="56"/>
      <c r="K4683" s="82" t="str">
        <f t="shared" si="1418"/>
        <v>Invoice</v>
      </c>
      <c r="L4683" s="83" t="str">
        <f>"SI_108548"</f>
        <v>SI_108548</v>
      </c>
      <c r="M4683" s="84">
        <v>42289</v>
      </c>
      <c r="N4683" s="85">
        <f t="shared" si="1419"/>
        <v>1523</v>
      </c>
      <c r="O4683" s="86">
        <f t="shared" si="1420"/>
        <v>4108.5099999999993</v>
      </c>
      <c r="P4683" s="86">
        <f t="shared" si="1421"/>
        <v>0</v>
      </c>
      <c r="Q4683" s="86">
        <f t="shared" si="1422"/>
        <v>0</v>
      </c>
      <c r="R4683" s="86">
        <f t="shared" si="1423"/>
        <v>0</v>
      </c>
      <c r="S4683" s="86">
        <f t="shared" si="1424"/>
        <v>0</v>
      </c>
      <c r="T4683" s="86">
        <f t="shared" si="1425"/>
        <v>4108.5099999999993</v>
      </c>
      <c r="U4683" s="87">
        <v>4108.5099999999993</v>
      </c>
    </row>
    <row r="4684" spans="1:21" s="30" customFormat="1" ht="24.6" hidden="1" outlineLevel="1" x14ac:dyDescent="0.55000000000000004">
      <c r="A4684" s="27" t="s">
        <v>327</v>
      </c>
      <c r="B4684" s="28"/>
      <c r="C4684" s="27"/>
      <c r="D4684" s="27" t="str">
        <f>"""NAV Direct"",""CRONUS JetCorp USA"",""21"",""1"",""212731"""</f>
        <v>"NAV Direct","CRONUS JetCorp USA","21","1","212731"</v>
      </c>
      <c r="E4684" s="31">
        <f t="shared" si="1417"/>
        <v>0</v>
      </c>
      <c r="F4684" s="31"/>
      <c r="G4684" s="31"/>
      <c r="H4684" s="31"/>
      <c r="I4684" s="56"/>
      <c r="J4684" s="56"/>
      <c r="K4684" s="82" t="str">
        <f t="shared" si="1418"/>
        <v>Invoice</v>
      </c>
      <c r="L4684" s="83" t="str">
        <f>"SI_108551"</f>
        <v>SI_108551</v>
      </c>
      <c r="M4684" s="84">
        <v>42294</v>
      </c>
      <c r="N4684" s="85">
        <f t="shared" si="1419"/>
        <v>1518</v>
      </c>
      <c r="O4684" s="86">
        <f t="shared" si="1420"/>
        <v>4108.46</v>
      </c>
      <c r="P4684" s="86">
        <f t="shared" si="1421"/>
        <v>0</v>
      </c>
      <c r="Q4684" s="86">
        <f t="shared" si="1422"/>
        <v>0</v>
      </c>
      <c r="R4684" s="86">
        <f t="shared" si="1423"/>
        <v>0</v>
      </c>
      <c r="S4684" s="86">
        <f t="shared" si="1424"/>
        <v>0</v>
      </c>
      <c r="T4684" s="86">
        <f t="shared" si="1425"/>
        <v>4108.46</v>
      </c>
      <c r="U4684" s="87">
        <v>4108.46</v>
      </c>
    </row>
    <row r="4685" spans="1:21" s="30" customFormat="1" ht="24.6" hidden="1" outlineLevel="1" x14ac:dyDescent="0.55000000000000004">
      <c r="A4685" s="27" t="s">
        <v>327</v>
      </c>
      <c r="B4685" s="28"/>
      <c r="C4685" s="27"/>
      <c r="D4685" s="27" t="str">
        <f>"""NAV Direct"",""CRONUS JetCorp USA"",""21"",""1"",""212813"""</f>
        <v>"NAV Direct","CRONUS JetCorp USA","21","1","212813"</v>
      </c>
      <c r="E4685" s="31" t="str">
        <f t="shared" si="1417"/>
        <v>C100133</v>
      </c>
      <c r="F4685" s="31"/>
      <c r="G4685" s="31"/>
      <c r="H4685" s="31"/>
      <c r="I4685" s="56"/>
      <c r="J4685" s="56"/>
      <c r="K4685" s="82" t="str">
        <f t="shared" si="1418"/>
        <v>Invoice</v>
      </c>
      <c r="L4685" s="83" t="str">
        <f>"SI_108553"</f>
        <v>SI_108553</v>
      </c>
      <c r="M4685" s="84">
        <v>42299</v>
      </c>
      <c r="N4685" s="85">
        <f t="shared" si="1419"/>
        <v>1513</v>
      </c>
      <c r="O4685" s="86">
        <f t="shared" si="1420"/>
        <v>4109.0600000000004</v>
      </c>
      <c r="P4685" s="86">
        <f t="shared" si="1421"/>
        <v>0</v>
      </c>
      <c r="Q4685" s="86">
        <f t="shared" si="1422"/>
        <v>0</v>
      </c>
      <c r="R4685" s="86">
        <f t="shared" si="1423"/>
        <v>0</v>
      </c>
      <c r="S4685" s="86">
        <f t="shared" si="1424"/>
        <v>0</v>
      </c>
      <c r="T4685" s="86">
        <f t="shared" si="1425"/>
        <v>4109.0600000000004</v>
      </c>
      <c r="U4685" s="87">
        <v>4109.0600000000004</v>
      </c>
    </row>
    <row r="4686" spans="1:21" s="30" customFormat="1" ht="24.6" hidden="1" outlineLevel="1" x14ac:dyDescent="0.55000000000000004">
      <c r="A4686" s="27" t="s">
        <v>327</v>
      </c>
      <c r="B4686" s="28"/>
      <c r="C4686" s="27"/>
      <c r="D4686" s="27" t="str">
        <f>"""NAV Direct"",""CRONUS JetCorp USA"",""21"",""1"",""212856"""</f>
        <v>"NAV Direct","CRONUS JetCorp USA","21","1","212856"</v>
      </c>
      <c r="E4686" s="31">
        <f t="shared" si="1417"/>
        <v>0</v>
      </c>
      <c r="F4686" s="31"/>
      <c r="G4686" s="31"/>
      <c r="H4686" s="31"/>
      <c r="I4686" s="56"/>
      <c r="J4686" s="56"/>
      <c r="K4686" s="82" t="str">
        <f t="shared" si="1418"/>
        <v>Invoice</v>
      </c>
      <c r="L4686" s="83" t="str">
        <f>"SI_108554"</f>
        <v>SI_108554</v>
      </c>
      <c r="M4686" s="84">
        <v>42312</v>
      </c>
      <c r="N4686" s="85">
        <f t="shared" si="1419"/>
        <v>1500</v>
      </c>
      <c r="O4686" s="86">
        <f t="shared" si="1420"/>
        <v>4316.83</v>
      </c>
      <c r="P4686" s="86">
        <f t="shared" si="1421"/>
        <v>0</v>
      </c>
      <c r="Q4686" s="86">
        <f t="shared" si="1422"/>
        <v>0</v>
      </c>
      <c r="R4686" s="86">
        <f t="shared" si="1423"/>
        <v>0</v>
      </c>
      <c r="S4686" s="86">
        <f t="shared" si="1424"/>
        <v>0</v>
      </c>
      <c r="T4686" s="86">
        <f t="shared" si="1425"/>
        <v>4316.83</v>
      </c>
      <c r="U4686" s="87">
        <v>4316.83</v>
      </c>
    </row>
    <row r="4687" spans="1:21" s="30" customFormat="1" ht="24.6" hidden="1" outlineLevel="1" x14ac:dyDescent="0.55000000000000004">
      <c r="A4687" s="27" t="s">
        <v>327</v>
      </c>
      <c r="B4687" s="28"/>
      <c r="C4687" s="27"/>
      <c r="D4687" s="27" t="str">
        <f>"""NAV Direct"",""CRONUS JetCorp USA"",""21"",""1"",""212950"""</f>
        <v>"NAV Direct","CRONUS JetCorp USA","21","1","212950"</v>
      </c>
      <c r="E4687" s="31" t="str">
        <f t="shared" si="1417"/>
        <v>C100133</v>
      </c>
      <c r="F4687" s="31"/>
      <c r="G4687" s="31"/>
      <c r="H4687" s="31"/>
      <c r="I4687" s="56"/>
      <c r="J4687" s="56"/>
      <c r="K4687" s="82" t="str">
        <f t="shared" si="1418"/>
        <v>Invoice</v>
      </c>
      <c r="L4687" s="83" t="str">
        <f>"SI_108556"</f>
        <v>SI_108556</v>
      </c>
      <c r="M4687" s="84">
        <v>42315</v>
      </c>
      <c r="N4687" s="85">
        <f t="shared" si="1419"/>
        <v>1497</v>
      </c>
      <c r="O4687" s="86">
        <f t="shared" si="1420"/>
        <v>4317.34</v>
      </c>
      <c r="P4687" s="86">
        <f t="shared" si="1421"/>
        <v>0</v>
      </c>
      <c r="Q4687" s="86">
        <f t="shared" si="1422"/>
        <v>0</v>
      </c>
      <c r="R4687" s="86">
        <f t="shared" si="1423"/>
        <v>0</v>
      </c>
      <c r="S4687" s="86">
        <f t="shared" si="1424"/>
        <v>0</v>
      </c>
      <c r="T4687" s="86">
        <f t="shared" si="1425"/>
        <v>4317.34</v>
      </c>
      <c r="U4687" s="87">
        <v>4317.34</v>
      </c>
    </row>
    <row r="4688" spans="1:21" s="30" customFormat="1" ht="24.6" hidden="1" outlineLevel="1" x14ac:dyDescent="0.55000000000000004">
      <c r="A4688" s="27" t="s">
        <v>327</v>
      </c>
      <c r="B4688" s="28"/>
      <c r="C4688" s="27"/>
      <c r="D4688" s="27" t="str">
        <f>"""NAV Direct"",""CRONUS JetCorp USA"",""21"",""1"",""213083"""</f>
        <v>"NAV Direct","CRONUS JetCorp USA","21","1","213083"</v>
      </c>
      <c r="E4688" s="31">
        <f t="shared" si="1417"/>
        <v>0</v>
      </c>
      <c r="F4688" s="31"/>
      <c r="G4688" s="31"/>
      <c r="H4688" s="31"/>
      <c r="I4688" s="56"/>
      <c r="J4688" s="56"/>
      <c r="K4688" s="82" t="str">
        <f t="shared" si="1418"/>
        <v>Invoice</v>
      </c>
      <c r="L4688" s="83" t="str">
        <f>"SI_108559"</f>
        <v>SI_108559</v>
      </c>
      <c r="M4688" s="84">
        <v>42320</v>
      </c>
      <c r="N4688" s="85">
        <f t="shared" si="1419"/>
        <v>1492</v>
      </c>
      <c r="O4688" s="86">
        <f t="shared" si="1420"/>
        <v>4316.99</v>
      </c>
      <c r="P4688" s="86">
        <f t="shared" si="1421"/>
        <v>0</v>
      </c>
      <c r="Q4688" s="86">
        <f t="shared" si="1422"/>
        <v>0</v>
      </c>
      <c r="R4688" s="86">
        <f t="shared" si="1423"/>
        <v>0</v>
      </c>
      <c r="S4688" s="86">
        <f t="shared" si="1424"/>
        <v>0</v>
      </c>
      <c r="T4688" s="86">
        <f t="shared" si="1425"/>
        <v>4316.99</v>
      </c>
      <c r="U4688" s="87">
        <v>4316.99</v>
      </c>
    </row>
    <row r="4689" spans="1:21" s="30" customFormat="1" ht="24.6" hidden="1" outlineLevel="1" x14ac:dyDescent="0.55000000000000004">
      <c r="A4689" s="27" t="s">
        <v>327</v>
      </c>
      <c r="B4689" s="28"/>
      <c r="C4689" s="27"/>
      <c r="D4689" s="27" t="str">
        <f>"""NAV Direct"",""CRONUS JetCorp USA"",""21"",""1"",""213293"""</f>
        <v>"NAV Direct","CRONUS JetCorp USA","21","1","213293"</v>
      </c>
      <c r="E4689" s="31" t="str">
        <f t="shared" si="1417"/>
        <v>C100133</v>
      </c>
      <c r="F4689" s="31"/>
      <c r="G4689" s="31"/>
      <c r="H4689" s="31"/>
      <c r="I4689" s="56"/>
      <c r="J4689" s="56"/>
      <c r="K4689" s="82" t="str">
        <f t="shared" si="1418"/>
        <v>Invoice</v>
      </c>
      <c r="L4689" s="83" t="str">
        <f>"SI_108564"</f>
        <v>SI_108564</v>
      </c>
      <c r="M4689" s="84">
        <v>42342</v>
      </c>
      <c r="N4689" s="85">
        <f t="shared" si="1419"/>
        <v>1470</v>
      </c>
      <c r="O4689" s="86">
        <f t="shared" si="1420"/>
        <v>4360.01</v>
      </c>
      <c r="P4689" s="86">
        <f t="shared" si="1421"/>
        <v>0</v>
      </c>
      <c r="Q4689" s="86">
        <f t="shared" si="1422"/>
        <v>0</v>
      </c>
      <c r="R4689" s="86">
        <f t="shared" si="1423"/>
        <v>0</v>
      </c>
      <c r="S4689" s="86">
        <f t="shared" si="1424"/>
        <v>0</v>
      </c>
      <c r="T4689" s="86">
        <f t="shared" si="1425"/>
        <v>4360.01</v>
      </c>
      <c r="U4689" s="87">
        <v>4360.01</v>
      </c>
    </row>
    <row r="4690" spans="1:21" s="30" customFormat="1" ht="24.6" hidden="1" outlineLevel="1" x14ac:dyDescent="0.55000000000000004">
      <c r="A4690" s="27" t="s">
        <v>327</v>
      </c>
      <c r="B4690" s="28"/>
      <c r="C4690" s="27"/>
      <c r="D4690" s="27" t="str">
        <f>"""NAV Direct"",""CRONUS JetCorp USA"",""21"",""1"",""213776"""</f>
        <v>"NAV Direct","CRONUS JetCorp USA","21","1","213776"</v>
      </c>
      <c r="E4690" s="31">
        <f t="shared" si="1417"/>
        <v>0</v>
      </c>
      <c r="F4690" s="31"/>
      <c r="G4690" s="31"/>
      <c r="H4690" s="31"/>
      <c r="I4690" s="56"/>
      <c r="J4690" s="56"/>
      <c r="K4690" s="82" t="str">
        <f t="shared" si="1418"/>
        <v>Invoice</v>
      </c>
      <c r="L4690" s="83" t="str">
        <f>"SI_108575"</f>
        <v>SI_108575</v>
      </c>
      <c r="M4690" s="84">
        <v>42738</v>
      </c>
      <c r="N4690" s="85">
        <f t="shared" si="1419"/>
        <v>1074</v>
      </c>
      <c r="O4690" s="86">
        <f t="shared" si="1420"/>
        <v>3662.52</v>
      </c>
      <c r="P4690" s="86">
        <f t="shared" si="1421"/>
        <v>0</v>
      </c>
      <c r="Q4690" s="86">
        <f t="shared" si="1422"/>
        <v>0</v>
      </c>
      <c r="R4690" s="86">
        <f t="shared" si="1423"/>
        <v>0</v>
      </c>
      <c r="S4690" s="86">
        <f t="shared" si="1424"/>
        <v>0</v>
      </c>
      <c r="T4690" s="86">
        <f t="shared" si="1425"/>
        <v>3662.52</v>
      </c>
      <c r="U4690" s="87">
        <v>3662.52</v>
      </c>
    </row>
    <row r="4691" spans="1:21" s="30" customFormat="1" ht="24.6" hidden="1" outlineLevel="1" x14ac:dyDescent="0.55000000000000004">
      <c r="A4691" s="27" t="s">
        <v>327</v>
      </c>
      <c r="B4691" s="28"/>
      <c r="C4691" s="27"/>
      <c r="D4691" s="27" t="str">
        <f>"""NAV Direct"",""CRONUS JetCorp USA"",""21"",""1"",""213874"""</f>
        <v>"NAV Direct","CRONUS JetCorp USA","21","1","213874"</v>
      </c>
      <c r="E4691" s="31" t="str">
        <f t="shared" si="1417"/>
        <v>C100133</v>
      </c>
      <c r="F4691" s="31"/>
      <c r="G4691" s="31"/>
      <c r="H4691" s="31"/>
      <c r="I4691" s="56"/>
      <c r="J4691" s="56"/>
      <c r="K4691" s="82" t="str">
        <f t="shared" si="1418"/>
        <v>Invoice</v>
      </c>
      <c r="L4691" s="83" t="str">
        <f>"SI_108577"</f>
        <v>SI_108577</v>
      </c>
      <c r="M4691" s="84">
        <v>42745</v>
      </c>
      <c r="N4691" s="85">
        <f t="shared" si="1419"/>
        <v>1067</v>
      </c>
      <c r="O4691" s="86">
        <f t="shared" si="1420"/>
        <v>3661.44</v>
      </c>
      <c r="P4691" s="86">
        <f t="shared" si="1421"/>
        <v>0</v>
      </c>
      <c r="Q4691" s="86">
        <f t="shared" si="1422"/>
        <v>0</v>
      </c>
      <c r="R4691" s="86">
        <f t="shared" si="1423"/>
        <v>0</v>
      </c>
      <c r="S4691" s="86">
        <f t="shared" si="1424"/>
        <v>0</v>
      </c>
      <c r="T4691" s="86">
        <f t="shared" si="1425"/>
        <v>3661.44</v>
      </c>
      <c r="U4691" s="87">
        <v>3661.44</v>
      </c>
    </row>
    <row r="4692" spans="1:21" s="30" customFormat="1" ht="24.6" hidden="1" outlineLevel="1" x14ac:dyDescent="0.55000000000000004">
      <c r="A4692" s="27" t="s">
        <v>327</v>
      </c>
      <c r="B4692" s="28"/>
      <c r="C4692" s="27"/>
      <c r="D4692" s="27" t="str">
        <f>"""NAV Direct"",""CRONUS JetCorp USA"",""21"",""1"",""213946"""</f>
        <v>"NAV Direct","CRONUS JetCorp USA","21","1","213946"</v>
      </c>
      <c r="E4692" s="31">
        <f t="shared" si="1417"/>
        <v>0</v>
      </c>
      <c r="F4692" s="31"/>
      <c r="G4692" s="31"/>
      <c r="H4692" s="31"/>
      <c r="I4692" s="56"/>
      <c r="J4692" s="56"/>
      <c r="K4692" s="82" t="str">
        <f t="shared" si="1418"/>
        <v>Invoice</v>
      </c>
      <c r="L4692" s="83" t="str">
        <f>"SI_108579"</f>
        <v>SI_108579</v>
      </c>
      <c r="M4692" s="84">
        <v>42748</v>
      </c>
      <c r="N4692" s="85">
        <f t="shared" si="1419"/>
        <v>1064</v>
      </c>
      <c r="O4692" s="86">
        <f t="shared" si="1420"/>
        <v>3662.65</v>
      </c>
      <c r="P4692" s="86">
        <f t="shared" si="1421"/>
        <v>0</v>
      </c>
      <c r="Q4692" s="86">
        <f t="shared" si="1422"/>
        <v>0</v>
      </c>
      <c r="R4692" s="86">
        <f t="shared" si="1423"/>
        <v>0</v>
      </c>
      <c r="S4692" s="86">
        <f t="shared" si="1424"/>
        <v>0</v>
      </c>
      <c r="T4692" s="86">
        <f t="shared" si="1425"/>
        <v>3662.65</v>
      </c>
      <c r="U4692" s="87">
        <v>3662.65</v>
      </c>
    </row>
    <row r="4693" spans="1:21" s="30" customFormat="1" ht="24.6" hidden="1" outlineLevel="1" x14ac:dyDescent="0.55000000000000004">
      <c r="A4693" s="27" t="s">
        <v>327</v>
      </c>
      <c r="B4693" s="28"/>
      <c r="C4693" s="27"/>
      <c r="D4693" s="27" t="str">
        <f>"""NAV Direct"",""CRONUS JetCorp USA"",""21"",""1"",""444072"""</f>
        <v>"NAV Direct","CRONUS JetCorp USA","21","1","444072"</v>
      </c>
      <c r="E4693" s="31" t="str">
        <f t="shared" si="1417"/>
        <v>C100133</v>
      </c>
      <c r="F4693" s="31"/>
      <c r="G4693" s="31"/>
      <c r="H4693" s="31"/>
      <c r="I4693" s="56"/>
      <c r="J4693" s="56"/>
      <c r="K4693" s="82" t="str">
        <f t="shared" ref="K4693:K4707" si="1426">"Credit Memo"</f>
        <v>Credit Memo</v>
      </c>
      <c r="L4693" s="83" t="str">
        <f>"SC_101132"</f>
        <v>SC_101132</v>
      </c>
      <c r="M4693" s="84">
        <v>42431</v>
      </c>
      <c r="N4693" s="85">
        <f t="shared" si="1419"/>
        <v>1381</v>
      </c>
      <c r="O4693" s="86">
        <f t="shared" si="1420"/>
        <v>-33.830000000000005</v>
      </c>
      <c r="P4693" s="86">
        <f t="shared" si="1421"/>
        <v>0</v>
      </c>
      <c r="Q4693" s="86">
        <f t="shared" si="1422"/>
        <v>0</v>
      </c>
      <c r="R4693" s="86">
        <f t="shared" si="1423"/>
        <v>0</v>
      </c>
      <c r="S4693" s="86">
        <f t="shared" si="1424"/>
        <v>0</v>
      </c>
      <c r="T4693" s="86">
        <f t="shared" si="1425"/>
        <v>-33.830000000000005</v>
      </c>
      <c r="U4693" s="87">
        <v>-33.830000000000005</v>
      </c>
    </row>
    <row r="4694" spans="1:21" s="30" customFormat="1" ht="24.6" hidden="1" outlineLevel="1" x14ac:dyDescent="0.55000000000000004">
      <c r="A4694" s="27" t="s">
        <v>327</v>
      </c>
      <c r="B4694" s="28"/>
      <c r="C4694" s="27"/>
      <c r="D4694" s="27" t="str">
        <f>"""NAV Direct"",""CRONUS JetCorp USA"",""21"",""1"",""444156"""</f>
        <v>"NAV Direct","CRONUS JetCorp USA","21","1","444156"</v>
      </c>
      <c r="E4694" s="31">
        <f t="shared" si="1417"/>
        <v>0</v>
      </c>
      <c r="F4694" s="31"/>
      <c r="G4694" s="31"/>
      <c r="H4694" s="31"/>
      <c r="I4694" s="56"/>
      <c r="J4694" s="56"/>
      <c r="K4694" s="82" t="str">
        <f t="shared" si="1426"/>
        <v>Credit Memo</v>
      </c>
      <c r="L4694" s="83" t="str">
        <f>"SC_101143"</f>
        <v>SC_101143</v>
      </c>
      <c r="M4694" s="84">
        <v>42652</v>
      </c>
      <c r="N4694" s="85">
        <f t="shared" si="1419"/>
        <v>1160</v>
      </c>
      <c r="O4694" s="86">
        <f t="shared" si="1420"/>
        <v>-40.950000000000003</v>
      </c>
      <c r="P4694" s="86">
        <f t="shared" si="1421"/>
        <v>0</v>
      </c>
      <c r="Q4694" s="86">
        <f t="shared" si="1422"/>
        <v>0</v>
      </c>
      <c r="R4694" s="86">
        <f t="shared" si="1423"/>
        <v>0</v>
      </c>
      <c r="S4694" s="86">
        <f t="shared" si="1424"/>
        <v>0</v>
      </c>
      <c r="T4694" s="86">
        <f t="shared" si="1425"/>
        <v>-40.950000000000003</v>
      </c>
      <c r="U4694" s="87">
        <v>-40.950000000000003</v>
      </c>
    </row>
    <row r="4695" spans="1:21" s="30" customFormat="1" ht="24.6" hidden="1" outlineLevel="1" x14ac:dyDescent="0.55000000000000004">
      <c r="A4695" s="27" t="s">
        <v>327</v>
      </c>
      <c r="B4695" s="28"/>
      <c r="C4695" s="27"/>
      <c r="D4695" s="27" t="str">
        <f>"""NAV Direct"",""CRONUS JetCorp USA"",""21"",""1"",""444165"""</f>
        <v>"NAV Direct","CRONUS JetCorp USA","21","1","444165"</v>
      </c>
      <c r="E4695" s="31" t="str">
        <f t="shared" si="1417"/>
        <v>C100133</v>
      </c>
      <c r="F4695" s="31"/>
      <c r="G4695" s="31"/>
      <c r="H4695" s="31"/>
      <c r="I4695" s="56"/>
      <c r="J4695" s="56"/>
      <c r="K4695" s="82" t="str">
        <f t="shared" si="1426"/>
        <v>Credit Memo</v>
      </c>
      <c r="L4695" s="83" t="str">
        <f>"SC_101144"</f>
        <v>SC_101144</v>
      </c>
      <c r="M4695" s="84">
        <v>42680</v>
      </c>
      <c r="N4695" s="85">
        <f t="shared" si="1419"/>
        <v>1132</v>
      </c>
      <c r="O4695" s="86">
        <f t="shared" si="1420"/>
        <v>-38.049999999999997</v>
      </c>
      <c r="P4695" s="86">
        <f t="shared" si="1421"/>
        <v>0</v>
      </c>
      <c r="Q4695" s="86">
        <f t="shared" si="1422"/>
        <v>0</v>
      </c>
      <c r="R4695" s="86">
        <f t="shared" si="1423"/>
        <v>0</v>
      </c>
      <c r="S4695" s="86">
        <f t="shared" si="1424"/>
        <v>0</v>
      </c>
      <c r="T4695" s="86">
        <f t="shared" si="1425"/>
        <v>-38.049999999999997</v>
      </c>
      <c r="U4695" s="87">
        <v>-38.049999999999997</v>
      </c>
    </row>
    <row r="4696" spans="1:21" s="30" customFormat="1" ht="24.6" hidden="1" outlineLevel="1" x14ac:dyDescent="0.55000000000000004">
      <c r="A4696" s="27" t="s">
        <v>327</v>
      </c>
      <c r="B4696" s="28"/>
      <c r="C4696" s="27"/>
      <c r="D4696" s="27" t="str">
        <f>"""NAV Direct"",""CRONUS JetCorp USA"",""21"",""1"",""444252"""</f>
        <v>"NAV Direct","CRONUS JetCorp USA","21","1","444252"</v>
      </c>
      <c r="E4696" s="31">
        <f t="shared" si="1417"/>
        <v>0</v>
      </c>
      <c r="F4696" s="31"/>
      <c r="G4696" s="31"/>
      <c r="H4696" s="31"/>
      <c r="I4696" s="56"/>
      <c r="J4696" s="56"/>
      <c r="K4696" s="82" t="str">
        <f t="shared" si="1426"/>
        <v>Credit Memo</v>
      </c>
      <c r="L4696" s="83" t="str">
        <f>"SC_101153"</f>
        <v>SC_101153</v>
      </c>
      <c r="M4696" s="84">
        <v>42853</v>
      </c>
      <c r="N4696" s="85">
        <f t="shared" si="1419"/>
        <v>959</v>
      </c>
      <c r="O4696" s="86">
        <f t="shared" si="1420"/>
        <v>-40.910000000000004</v>
      </c>
      <c r="P4696" s="86">
        <f t="shared" si="1421"/>
        <v>0</v>
      </c>
      <c r="Q4696" s="86">
        <f t="shared" si="1422"/>
        <v>0</v>
      </c>
      <c r="R4696" s="86">
        <f t="shared" si="1423"/>
        <v>0</v>
      </c>
      <c r="S4696" s="86">
        <f t="shared" si="1424"/>
        <v>0</v>
      </c>
      <c r="T4696" s="86">
        <f t="shared" si="1425"/>
        <v>-40.910000000000004</v>
      </c>
      <c r="U4696" s="87">
        <v>-40.910000000000004</v>
      </c>
    </row>
    <row r="4697" spans="1:21" s="30" customFormat="1" ht="24.6" hidden="1" outlineLevel="1" x14ac:dyDescent="0.55000000000000004">
      <c r="A4697" s="27" t="s">
        <v>327</v>
      </c>
      <c r="B4697" s="28"/>
      <c r="C4697" s="27"/>
      <c r="D4697" s="27" t="str">
        <f>"""NAV Direct"",""CRONUS JetCorp USA"",""21"",""1"",""444263"""</f>
        <v>"NAV Direct","CRONUS JetCorp USA","21","1","444263"</v>
      </c>
      <c r="E4697" s="31" t="str">
        <f t="shared" si="1417"/>
        <v>C100133</v>
      </c>
      <c r="F4697" s="31"/>
      <c r="G4697" s="31"/>
      <c r="H4697" s="31"/>
      <c r="I4697" s="56"/>
      <c r="J4697" s="56"/>
      <c r="K4697" s="82" t="str">
        <f t="shared" si="1426"/>
        <v>Credit Memo</v>
      </c>
      <c r="L4697" s="83" t="str">
        <f>"SC_101155"</f>
        <v>SC_101155</v>
      </c>
      <c r="M4697" s="84">
        <v>42892</v>
      </c>
      <c r="N4697" s="85">
        <f t="shared" si="1419"/>
        <v>920</v>
      </c>
      <c r="O4697" s="86">
        <f t="shared" si="1420"/>
        <v>-38.89</v>
      </c>
      <c r="P4697" s="86">
        <f t="shared" si="1421"/>
        <v>0</v>
      </c>
      <c r="Q4697" s="86">
        <f t="shared" si="1422"/>
        <v>0</v>
      </c>
      <c r="R4697" s="86">
        <f t="shared" si="1423"/>
        <v>0</v>
      </c>
      <c r="S4697" s="86">
        <f t="shared" si="1424"/>
        <v>0</v>
      </c>
      <c r="T4697" s="86">
        <f t="shared" si="1425"/>
        <v>-38.89</v>
      </c>
      <c r="U4697" s="87">
        <v>-38.89</v>
      </c>
    </row>
    <row r="4698" spans="1:21" s="30" customFormat="1" ht="24.6" hidden="1" outlineLevel="1" x14ac:dyDescent="0.55000000000000004">
      <c r="A4698" s="27" t="s">
        <v>327</v>
      </c>
      <c r="B4698" s="28"/>
      <c r="C4698" s="27"/>
      <c r="D4698" s="27" t="str">
        <f>"""NAV Direct"",""CRONUS JetCorp USA"",""21"",""1"",""444375"""</f>
        <v>"NAV Direct","CRONUS JetCorp USA","21","1","444375"</v>
      </c>
      <c r="E4698" s="31">
        <f t="shared" si="1417"/>
        <v>0</v>
      </c>
      <c r="F4698" s="31"/>
      <c r="G4698" s="31"/>
      <c r="H4698" s="31"/>
      <c r="I4698" s="56"/>
      <c r="J4698" s="56"/>
      <c r="K4698" s="82" t="str">
        <f t="shared" si="1426"/>
        <v>Credit Memo</v>
      </c>
      <c r="L4698" s="83" t="str">
        <f>"SC_101166"</f>
        <v>SC_101166</v>
      </c>
      <c r="M4698" s="84">
        <v>43163</v>
      </c>
      <c r="N4698" s="85">
        <f t="shared" si="1419"/>
        <v>649</v>
      </c>
      <c r="O4698" s="86">
        <f t="shared" si="1420"/>
        <v>-28.150000000000002</v>
      </c>
      <c r="P4698" s="86">
        <f t="shared" si="1421"/>
        <v>0</v>
      </c>
      <c r="Q4698" s="86">
        <f t="shared" si="1422"/>
        <v>0</v>
      </c>
      <c r="R4698" s="86">
        <f t="shared" si="1423"/>
        <v>0</v>
      </c>
      <c r="S4698" s="86">
        <f t="shared" si="1424"/>
        <v>0</v>
      </c>
      <c r="T4698" s="86">
        <f t="shared" si="1425"/>
        <v>-28.150000000000002</v>
      </c>
      <c r="U4698" s="87">
        <v>-28.150000000000002</v>
      </c>
    </row>
    <row r="4699" spans="1:21" s="30" customFormat="1" ht="24.6" hidden="1" outlineLevel="1" x14ac:dyDescent="0.55000000000000004">
      <c r="A4699" s="27" t="s">
        <v>327</v>
      </c>
      <c r="B4699" s="28"/>
      <c r="C4699" s="27"/>
      <c r="D4699" s="27" t="str">
        <f>"""NAV Direct"",""CRONUS JetCorp USA"",""21"",""1"",""444408"""</f>
        <v>"NAV Direct","CRONUS JetCorp USA","21","1","444408"</v>
      </c>
      <c r="E4699" s="31" t="str">
        <f t="shared" si="1417"/>
        <v>C100133</v>
      </c>
      <c r="F4699" s="31"/>
      <c r="G4699" s="31"/>
      <c r="H4699" s="31"/>
      <c r="I4699" s="56"/>
      <c r="J4699" s="56"/>
      <c r="K4699" s="82" t="str">
        <f t="shared" si="1426"/>
        <v>Credit Memo</v>
      </c>
      <c r="L4699" s="83" t="str">
        <f>"SC_101168"</f>
        <v>SC_101168</v>
      </c>
      <c r="M4699" s="84">
        <v>43198</v>
      </c>
      <c r="N4699" s="85">
        <f t="shared" si="1419"/>
        <v>614</v>
      </c>
      <c r="O4699" s="86">
        <f t="shared" si="1420"/>
        <v>-28.630000000000003</v>
      </c>
      <c r="P4699" s="86">
        <f t="shared" si="1421"/>
        <v>0</v>
      </c>
      <c r="Q4699" s="86">
        <f t="shared" si="1422"/>
        <v>0</v>
      </c>
      <c r="R4699" s="86">
        <f t="shared" si="1423"/>
        <v>0</v>
      </c>
      <c r="S4699" s="86">
        <f t="shared" si="1424"/>
        <v>0</v>
      </c>
      <c r="T4699" s="86">
        <f t="shared" si="1425"/>
        <v>-28.630000000000003</v>
      </c>
      <c r="U4699" s="87">
        <v>-28.630000000000003</v>
      </c>
    </row>
    <row r="4700" spans="1:21" s="30" customFormat="1" ht="24.6" hidden="1" outlineLevel="1" x14ac:dyDescent="0.55000000000000004">
      <c r="A4700" s="27" t="s">
        <v>327</v>
      </c>
      <c r="B4700" s="28"/>
      <c r="C4700" s="27"/>
      <c r="D4700" s="27" t="str">
        <f>"""NAV Direct"",""CRONUS JetCorp USA"",""21"",""1"",""444417"""</f>
        <v>"NAV Direct","CRONUS JetCorp USA","21","1","444417"</v>
      </c>
      <c r="E4700" s="31">
        <f t="shared" si="1417"/>
        <v>0</v>
      </c>
      <c r="F4700" s="31"/>
      <c r="G4700" s="31"/>
      <c r="H4700" s="31"/>
      <c r="I4700" s="56"/>
      <c r="J4700" s="56"/>
      <c r="K4700" s="82" t="str">
        <f t="shared" si="1426"/>
        <v>Credit Memo</v>
      </c>
      <c r="L4700" s="83" t="str">
        <f>"SC_101170"</f>
        <v>SC_101170</v>
      </c>
      <c r="M4700" s="84">
        <v>43201</v>
      </c>
      <c r="N4700" s="85">
        <f t="shared" si="1419"/>
        <v>611</v>
      </c>
      <c r="O4700" s="86">
        <f t="shared" si="1420"/>
        <v>-28.070000000000004</v>
      </c>
      <c r="P4700" s="86">
        <f t="shared" si="1421"/>
        <v>0</v>
      </c>
      <c r="Q4700" s="86">
        <f t="shared" si="1422"/>
        <v>0</v>
      </c>
      <c r="R4700" s="86">
        <f t="shared" si="1423"/>
        <v>0</v>
      </c>
      <c r="S4700" s="86">
        <f t="shared" si="1424"/>
        <v>0</v>
      </c>
      <c r="T4700" s="86">
        <f t="shared" si="1425"/>
        <v>-28.070000000000004</v>
      </c>
      <c r="U4700" s="87">
        <v>-28.070000000000004</v>
      </c>
    </row>
    <row r="4701" spans="1:21" s="30" customFormat="1" ht="24.6" hidden="1" outlineLevel="1" x14ac:dyDescent="0.55000000000000004">
      <c r="A4701" s="27" t="s">
        <v>327</v>
      </c>
      <c r="B4701" s="28"/>
      <c r="C4701" s="27"/>
      <c r="D4701" s="27" t="str">
        <f>"""NAV Direct"",""CRONUS JetCorp USA"",""21"",""1"",""444461"""</f>
        <v>"NAV Direct","CRONUS JetCorp USA","21","1","444461"</v>
      </c>
      <c r="E4701" s="31" t="str">
        <f t="shared" si="1417"/>
        <v>C100133</v>
      </c>
      <c r="F4701" s="31"/>
      <c r="G4701" s="31"/>
      <c r="H4701" s="31"/>
      <c r="I4701" s="56"/>
      <c r="J4701" s="56"/>
      <c r="K4701" s="82" t="str">
        <f t="shared" si="1426"/>
        <v>Credit Memo</v>
      </c>
      <c r="L4701" s="83" t="str">
        <f>"SC_101175"</f>
        <v>SC_101175</v>
      </c>
      <c r="M4701" s="84">
        <v>43283</v>
      </c>
      <c r="N4701" s="85">
        <f t="shared" si="1419"/>
        <v>529</v>
      </c>
      <c r="O4701" s="86">
        <f t="shared" si="1420"/>
        <v>-26.74</v>
      </c>
      <c r="P4701" s="86">
        <f t="shared" si="1421"/>
        <v>0</v>
      </c>
      <c r="Q4701" s="86">
        <f t="shared" si="1422"/>
        <v>0</v>
      </c>
      <c r="R4701" s="86">
        <f t="shared" si="1423"/>
        <v>0</v>
      </c>
      <c r="S4701" s="86">
        <f t="shared" si="1424"/>
        <v>0</v>
      </c>
      <c r="T4701" s="86">
        <f t="shared" si="1425"/>
        <v>-26.74</v>
      </c>
      <c r="U4701" s="87">
        <v>-26.74</v>
      </c>
    </row>
    <row r="4702" spans="1:21" s="30" customFormat="1" ht="24.6" hidden="1" outlineLevel="1" x14ac:dyDescent="0.55000000000000004">
      <c r="A4702" s="27" t="s">
        <v>327</v>
      </c>
      <c r="B4702" s="28"/>
      <c r="C4702" s="27"/>
      <c r="D4702" s="27" t="str">
        <f>"""NAV Direct"",""CRONUS JetCorp USA"",""21"",""1"",""444546"""</f>
        <v>"NAV Direct","CRONUS JetCorp USA","21","1","444546"</v>
      </c>
      <c r="E4702" s="31">
        <f t="shared" si="1417"/>
        <v>0</v>
      </c>
      <c r="F4702" s="31"/>
      <c r="G4702" s="31"/>
      <c r="H4702" s="31"/>
      <c r="I4702" s="56"/>
      <c r="J4702" s="56"/>
      <c r="K4702" s="82" t="str">
        <f t="shared" si="1426"/>
        <v>Credit Memo</v>
      </c>
      <c r="L4702" s="83" t="str">
        <f>"SC_101188"</f>
        <v>SC_101188</v>
      </c>
      <c r="M4702" s="84">
        <v>43447</v>
      </c>
      <c r="N4702" s="85">
        <f t="shared" si="1419"/>
        <v>365</v>
      </c>
      <c r="O4702" s="86">
        <f t="shared" si="1420"/>
        <v>-30</v>
      </c>
      <c r="P4702" s="86">
        <f t="shared" si="1421"/>
        <v>0</v>
      </c>
      <c r="Q4702" s="86">
        <f t="shared" si="1422"/>
        <v>0</v>
      </c>
      <c r="R4702" s="86">
        <f t="shared" si="1423"/>
        <v>0</v>
      </c>
      <c r="S4702" s="86">
        <f t="shared" si="1424"/>
        <v>0</v>
      </c>
      <c r="T4702" s="86">
        <f t="shared" si="1425"/>
        <v>-30</v>
      </c>
      <c r="U4702" s="87">
        <v>-30</v>
      </c>
    </row>
    <row r="4703" spans="1:21" s="30" customFormat="1" ht="24.6" hidden="1" outlineLevel="1" x14ac:dyDescent="0.55000000000000004">
      <c r="A4703" s="27" t="s">
        <v>327</v>
      </c>
      <c r="B4703" s="28"/>
      <c r="C4703" s="27"/>
      <c r="D4703" s="27" t="str">
        <f>"""NAV Direct"",""CRONUS JetCorp USA"",""21"",""1"",""444664"""</f>
        <v>"NAV Direct","CRONUS JetCorp USA","21","1","444664"</v>
      </c>
      <c r="E4703" s="31" t="str">
        <f t="shared" si="1417"/>
        <v>C100133</v>
      </c>
      <c r="F4703" s="31"/>
      <c r="G4703" s="31"/>
      <c r="H4703" s="31"/>
      <c r="I4703" s="56"/>
      <c r="J4703" s="56"/>
      <c r="K4703" s="82" t="str">
        <f t="shared" si="1426"/>
        <v>Credit Memo</v>
      </c>
      <c r="L4703" s="83" t="str">
        <f>"SC_101201"</f>
        <v>SC_101201</v>
      </c>
      <c r="M4703" s="84">
        <v>43810</v>
      </c>
      <c r="N4703" s="85">
        <f t="shared" si="1419"/>
        <v>2</v>
      </c>
      <c r="O4703" s="86">
        <f t="shared" si="1420"/>
        <v>-29.12</v>
      </c>
      <c r="P4703" s="86">
        <f t="shared" si="1421"/>
        <v>0</v>
      </c>
      <c r="Q4703" s="86">
        <f t="shared" si="1422"/>
        <v>-29.12</v>
      </c>
      <c r="R4703" s="86">
        <f t="shared" si="1423"/>
        <v>0</v>
      </c>
      <c r="S4703" s="86">
        <f t="shared" si="1424"/>
        <v>0</v>
      </c>
      <c r="T4703" s="86">
        <f t="shared" si="1425"/>
        <v>0</v>
      </c>
      <c r="U4703" s="87">
        <v>-29.12</v>
      </c>
    </row>
    <row r="4704" spans="1:21" s="30" customFormat="1" ht="24.6" hidden="1" outlineLevel="1" x14ac:dyDescent="0.55000000000000004">
      <c r="A4704" s="27" t="s">
        <v>327</v>
      </c>
      <c r="B4704" s="28"/>
      <c r="C4704" s="27"/>
      <c r="D4704" s="27" t="str">
        <f>"""NAV Direct"",""CRONUS JetCorp USA"",""21"",""1"",""444677"""</f>
        <v>"NAV Direct","CRONUS JetCorp USA","21","1","444677"</v>
      </c>
      <c r="E4704" s="31">
        <f t="shared" si="1417"/>
        <v>0</v>
      </c>
      <c r="F4704" s="31"/>
      <c r="G4704" s="31"/>
      <c r="H4704" s="31"/>
      <c r="I4704" s="56"/>
      <c r="J4704" s="56"/>
      <c r="K4704" s="82" t="str">
        <f t="shared" si="1426"/>
        <v>Credit Memo</v>
      </c>
      <c r="L4704" s="83" t="str">
        <f>"SC_101203"</f>
        <v>SC_101203</v>
      </c>
      <c r="M4704" s="84">
        <v>42016</v>
      </c>
      <c r="N4704" s="85">
        <f t="shared" si="1419"/>
        <v>1796</v>
      </c>
      <c r="O4704" s="86">
        <f t="shared" si="1420"/>
        <v>-34.630000000000003</v>
      </c>
      <c r="P4704" s="86">
        <f t="shared" si="1421"/>
        <v>0</v>
      </c>
      <c r="Q4704" s="86">
        <f t="shared" si="1422"/>
        <v>0</v>
      </c>
      <c r="R4704" s="86">
        <f t="shared" si="1423"/>
        <v>0</v>
      </c>
      <c r="S4704" s="86">
        <f t="shared" si="1424"/>
        <v>0</v>
      </c>
      <c r="T4704" s="86">
        <f t="shared" si="1425"/>
        <v>-34.630000000000003</v>
      </c>
      <c r="U4704" s="87">
        <v>-34.630000000000003</v>
      </c>
    </row>
    <row r="4705" spans="1:22" s="30" customFormat="1" ht="24.6" hidden="1" outlineLevel="1" x14ac:dyDescent="0.55000000000000004">
      <c r="A4705" s="27" t="s">
        <v>327</v>
      </c>
      <c r="B4705" s="28"/>
      <c r="C4705" s="27"/>
      <c r="D4705" s="27" t="str">
        <f>"""NAV Direct"",""CRONUS JetCorp USA"",""21"",""1"",""444711"""</f>
        <v>"NAV Direct","CRONUS JetCorp USA","21","1","444711"</v>
      </c>
      <c r="E4705" s="31" t="str">
        <f t="shared" si="1417"/>
        <v>C100133</v>
      </c>
      <c r="F4705" s="31"/>
      <c r="G4705" s="31"/>
      <c r="H4705" s="31"/>
      <c r="I4705" s="56"/>
      <c r="J4705" s="56"/>
      <c r="K4705" s="82" t="str">
        <f t="shared" si="1426"/>
        <v>Credit Memo</v>
      </c>
      <c r="L4705" s="83" t="str">
        <f>"SC_101206"</f>
        <v>SC_101206</v>
      </c>
      <c r="M4705" s="84">
        <v>42069</v>
      </c>
      <c r="N4705" s="85">
        <f t="shared" si="1419"/>
        <v>1743</v>
      </c>
      <c r="O4705" s="86">
        <f t="shared" si="1420"/>
        <v>-37.14</v>
      </c>
      <c r="P4705" s="86">
        <f t="shared" si="1421"/>
        <v>0</v>
      </c>
      <c r="Q4705" s="86">
        <f t="shared" si="1422"/>
        <v>0</v>
      </c>
      <c r="R4705" s="86">
        <f t="shared" si="1423"/>
        <v>0</v>
      </c>
      <c r="S4705" s="86">
        <f t="shared" si="1424"/>
        <v>0</v>
      </c>
      <c r="T4705" s="86">
        <f t="shared" si="1425"/>
        <v>-37.14</v>
      </c>
      <c r="U4705" s="87">
        <v>-37.14</v>
      </c>
    </row>
    <row r="4706" spans="1:22" s="30" customFormat="1" ht="24.6" hidden="1" outlineLevel="1" x14ac:dyDescent="0.55000000000000004">
      <c r="A4706" s="27" t="s">
        <v>327</v>
      </c>
      <c r="B4706" s="28"/>
      <c r="C4706" s="27"/>
      <c r="D4706" s="27" t="str">
        <f>"""NAV Direct"",""CRONUS JetCorp USA"",""21"",""1"",""444884"""</f>
        <v>"NAV Direct","CRONUS JetCorp USA","21","1","444884"</v>
      </c>
      <c r="E4706" s="31">
        <f t="shared" si="1417"/>
        <v>0</v>
      </c>
      <c r="F4706" s="31"/>
      <c r="G4706" s="31"/>
      <c r="H4706" s="31"/>
      <c r="I4706" s="56"/>
      <c r="J4706" s="56"/>
      <c r="K4706" s="82" t="str">
        <f t="shared" si="1426"/>
        <v>Credit Memo</v>
      </c>
      <c r="L4706" s="83" t="str">
        <f>"SC_101223"</f>
        <v>SC_101223</v>
      </c>
      <c r="M4706" s="84">
        <v>42345</v>
      </c>
      <c r="N4706" s="85">
        <f t="shared" si="1419"/>
        <v>1467</v>
      </c>
      <c r="O4706" s="86">
        <f t="shared" si="1420"/>
        <v>-36.58</v>
      </c>
      <c r="P4706" s="86">
        <f t="shared" si="1421"/>
        <v>0</v>
      </c>
      <c r="Q4706" s="86">
        <f t="shared" si="1422"/>
        <v>0</v>
      </c>
      <c r="R4706" s="86">
        <f t="shared" si="1423"/>
        <v>0</v>
      </c>
      <c r="S4706" s="86">
        <f t="shared" si="1424"/>
        <v>0</v>
      </c>
      <c r="T4706" s="86">
        <f t="shared" si="1425"/>
        <v>-36.58</v>
      </c>
      <c r="U4706" s="87">
        <v>-36.58</v>
      </c>
    </row>
    <row r="4707" spans="1:22" s="30" customFormat="1" ht="24.6" hidden="1" outlineLevel="1" x14ac:dyDescent="0.55000000000000004">
      <c r="A4707" s="27" t="s">
        <v>327</v>
      </c>
      <c r="B4707" s="28"/>
      <c r="C4707" s="27"/>
      <c r="D4707" s="27" t="str">
        <f>"""NAV Direct"",""CRONUS JetCorp USA"",""21"",""1"",""444911"""</f>
        <v>"NAV Direct","CRONUS JetCorp USA","21","1","444911"</v>
      </c>
      <c r="E4707" s="31" t="str">
        <f t="shared" si="1417"/>
        <v>C100133</v>
      </c>
      <c r="F4707" s="31"/>
      <c r="G4707" s="31"/>
      <c r="H4707" s="31"/>
      <c r="I4707" s="56"/>
      <c r="J4707" s="56"/>
      <c r="K4707" s="82" t="str">
        <f t="shared" si="1426"/>
        <v>Credit Memo</v>
      </c>
      <c r="L4707" s="83" t="str">
        <f>"SC_101225"</f>
        <v>SC_101225</v>
      </c>
      <c r="M4707" s="84">
        <v>42357</v>
      </c>
      <c r="N4707" s="85">
        <f t="shared" si="1419"/>
        <v>1455</v>
      </c>
      <c r="O4707" s="86">
        <f t="shared" si="1420"/>
        <v>-36.619999999999997</v>
      </c>
      <c r="P4707" s="86">
        <f t="shared" si="1421"/>
        <v>0</v>
      </c>
      <c r="Q4707" s="86">
        <f t="shared" si="1422"/>
        <v>0</v>
      </c>
      <c r="R4707" s="86">
        <f t="shared" si="1423"/>
        <v>0</v>
      </c>
      <c r="S4707" s="86">
        <f t="shared" si="1424"/>
        <v>0</v>
      </c>
      <c r="T4707" s="86">
        <f t="shared" si="1425"/>
        <v>-36.619999999999997</v>
      </c>
      <c r="U4707" s="87">
        <v>-36.619999999999997</v>
      </c>
    </row>
    <row r="4708" spans="1:22" s="22" customFormat="1" ht="20.399999999999999" collapsed="1" x14ac:dyDescent="0.45">
      <c r="A4708" s="12" t="s">
        <v>327</v>
      </c>
      <c r="B4708" s="19"/>
      <c r="C4708" s="12"/>
      <c r="D4708" s="12"/>
      <c r="E4708" s="23"/>
      <c r="F4708" s="23"/>
      <c r="G4708" s="23"/>
      <c r="H4708" s="23"/>
      <c r="I4708" s="49"/>
      <c r="J4708" s="88"/>
      <c r="K4708" s="88"/>
      <c r="L4708" s="89"/>
      <c r="M4708" s="89"/>
      <c r="N4708" s="89"/>
      <c r="O4708" s="89"/>
      <c r="P4708" s="89"/>
      <c r="Q4708" s="90"/>
      <c r="R4708" s="90"/>
      <c r="S4708" s="91"/>
      <c r="T4708" s="92"/>
      <c r="U4708" s="92"/>
    </row>
    <row r="4709" spans="1:22" s="22" customFormat="1" ht="20.399999999999999" x14ac:dyDescent="0.45">
      <c r="A4709" s="12" t="s">
        <v>327</v>
      </c>
      <c r="B4709" s="19"/>
      <c r="C4709" s="12"/>
      <c r="D4709" s="12"/>
      <c r="E4709" s="23"/>
      <c r="F4709" s="23"/>
      <c r="G4709" s="23"/>
      <c r="H4709" s="23"/>
      <c r="I4709" s="49"/>
      <c r="J4709" s="88"/>
      <c r="K4709" s="88"/>
      <c r="L4709" s="89"/>
      <c r="M4709" s="89"/>
      <c r="N4709" s="89"/>
      <c r="O4709" s="89"/>
      <c r="P4709" s="89"/>
      <c r="Q4709" s="90"/>
      <c r="R4709" s="90"/>
      <c r="S4709" s="91"/>
      <c r="T4709" s="92"/>
      <c r="U4709" s="92"/>
    </row>
    <row r="4710" spans="1:22" s="26" customFormat="1" ht="24.6" x14ac:dyDescent="0.55000000000000004">
      <c r="A4710" s="27" t="s">
        <v>327</v>
      </c>
      <c r="B4710" s="28"/>
      <c r="C4710" s="27" t="str">
        <f>"""NAV Direct"",""CRONUS JetCorp USA"",""18"",""1"",""C100134"""</f>
        <v>"NAV Direct","CRONUS JetCorp USA","18","1","C100134"</v>
      </c>
      <c r="D4710" s="27"/>
      <c r="E4710" s="28" t="str">
        <f>H4710</f>
        <v>C100134</v>
      </c>
      <c r="F4710" s="28"/>
      <c r="G4710" s="28"/>
      <c r="H4710" s="28" t="str">
        <f>"C100134"</f>
        <v>C100134</v>
      </c>
      <c r="I4710" s="116" t="str">
        <f>"C100134  -  Iber Tech"</f>
        <v>C100134  -  Iber Tech</v>
      </c>
      <c r="J4710" s="117" t="str">
        <f>""</f>
        <v/>
      </c>
      <c r="K4710" s="118"/>
      <c r="L4710" s="119">
        <f>SUBTOTAL(3,L4711:L4735)</f>
        <v>21</v>
      </c>
      <c r="M4710" s="118"/>
      <c r="N4710" s="118"/>
      <c r="O4710" s="120">
        <f t="shared" ref="O4710:T4710" si="1427">SUBTOTAL(9,O4711:O4735)</f>
        <v>115212.59999999998</v>
      </c>
      <c r="P4710" s="120">
        <f t="shared" si="1427"/>
        <v>0</v>
      </c>
      <c r="Q4710" s="120">
        <f t="shared" si="1427"/>
        <v>6591.4400000000005</v>
      </c>
      <c r="R4710" s="120">
        <f t="shared" si="1427"/>
        <v>12840.59</v>
      </c>
      <c r="S4710" s="120">
        <f t="shared" si="1427"/>
        <v>6477.51</v>
      </c>
      <c r="T4710" s="120">
        <f t="shared" si="1427"/>
        <v>89303.06</v>
      </c>
      <c r="U4710" s="81"/>
    </row>
    <row r="4711" spans="1:22" s="26" customFormat="1" ht="24.6" x14ac:dyDescent="0.55000000000000004">
      <c r="A4711" s="27" t="s">
        <v>327</v>
      </c>
      <c r="B4711" s="28"/>
      <c r="C4711" s="27" t="str">
        <f>C4710</f>
        <v>"NAV Direct","CRONUS JetCorp USA","18","1","C100134"</v>
      </c>
      <c r="D4711" s="27"/>
      <c r="E4711" s="28" t="str">
        <f>E4710</f>
        <v>C100134</v>
      </c>
      <c r="F4711" s="28"/>
      <c r="G4711" s="28"/>
      <c r="H4711" s="28"/>
      <c r="I4711" s="121" t="str">
        <f>"Contact: Irvin Neal"</f>
        <v>Contact: Irvin Neal</v>
      </c>
      <c r="J4711" s="121"/>
      <c r="K4711" s="122"/>
      <c r="L4711" s="123"/>
      <c r="M4711" s="123"/>
      <c r="N4711" s="124"/>
      <c r="O4711" s="124"/>
      <c r="P4711" s="123"/>
      <c r="Q4711" s="125"/>
      <c r="R4711" s="126"/>
      <c r="S4711" s="126"/>
      <c r="T4711" s="125"/>
      <c r="U4711" s="81"/>
    </row>
    <row r="4712" spans="1:22" s="26" customFormat="1" ht="24.6" x14ac:dyDescent="0.55000000000000004">
      <c r="A4712" s="27" t="s">
        <v>327</v>
      </c>
      <c r="B4712" s="28"/>
      <c r="C4712" s="27" t="str">
        <f>C4711</f>
        <v>"NAV Direct","CRONUS JetCorp USA","18","1","C100134"</v>
      </c>
      <c r="D4712" s="27"/>
      <c r="E4712" s="28" t="str">
        <f>E4711</f>
        <v>C100134</v>
      </c>
      <c r="F4712" s="28"/>
      <c r="G4712" s="28"/>
      <c r="H4712" s="28"/>
      <c r="I4712" s="121" t="str">
        <f>"Iber Tech@Cronus.com"</f>
        <v>Iber Tech@Cronus.com</v>
      </c>
      <c r="J4712" s="121"/>
      <c r="K4712" s="122"/>
      <c r="L4712" s="124"/>
      <c r="M4712" s="124"/>
      <c r="N4712" s="124"/>
      <c r="O4712" s="124"/>
      <c r="P4712" s="123"/>
      <c r="Q4712" s="125"/>
      <c r="R4712" s="126"/>
      <c r="S4712" s="126"/>
      <c r="T4712" s="125"/>
      <c r="U4712" s="81"/>
    </row>
    <row r="4713" spans="1:22" ht="12.75" hidden="1" customHeight="1" outlineLevel="1" x14ac:dyDescent="0.45">
      <c r="A4713" s="12" t="s">
        <v>328</v>
      </c>
      <c r="B4713" s="19"/>
      <c r="E4713" s="19"/>
      <c r="F4713" s="19"/>
      <c r="G4713" s="19"/>
      <c r="H4713" s="19"/>
      <c r="I4713" s="61"/>
      <c r="J4713" s="61"/>
      <c r="K4713" s="61"/>
      <c r="L4713" s="61"/>
      <c r="M4713" s="61"/>
      <c r="N4713" s="61"/>
      <c r="O4713" s="61"/>
      <c r="P4713" s="61"/>
      <c r="Q4713" s="61"/>
      <c r="R4713" s="61"/>
      <c r="S4713" s="61"/>
      <c r="T4713" s="61"/>
      <c r="U4713" s="61"/>
      <c r="V4713" s="21"/>
    </row>
    <row r="4714" spans="1:22" s="30" customFormat="1" ht="24.6" hidden="1" outlineLevel="1" x14ac:dyDescent="0.55000000000000004">
      <c r="A4714" s="27" t="s">
        <v>327</v>
      </c>
      <c r="B4714" s="28"/>
      <c r="C4714" s="27"/>
      <c r="D4714" s="27" t="str">
        <f>"""NAV Direct"",""CRONUS JetCorp USA"",""21"",""1"",""41495"""</f>
        <v>"NAV Direct","CRONUS JetCorp USA","21","1","41495"</v>
      </c>
      <c r="E4714" s="31" t="str">
        <f t="shared" ref="E4714:E4734" si="1428">E4712</f>
        <v>C100134</v>
      </c>
      <c r="F4714" s="31"/>
      <c r="G4714" s="31"/>
      <c r="H4714" s="31"/>
      <c r="I4714" s="56"/>
      <c r="J4714" s="56"/>
      <c r="K4714" s="82" t="str">
        <f t="shared" ref="K4714:K4731" si="1429">"Invoice"</f>
        <v>Invoice</v>
      </c>
      <c r="L4714" s="83" t="str">
        <f>"SI_104927"</f>
        <v>SI_104927</v>
      </c>
      <c r="M4714" s="84">
        <v>42118</v>
      </c>
      <c r="N4714" s="85">
        <f t="shared" ref="N4714:N4734" si="1430">StartDate-$M4714+1</f>
        <v>1694</v>
      </c>
      <c r="O4714" s="86">
        <f t="shared" ref="O4714:O4734" si="1431">SUM(P4714:T4714)</f>
        <v>7053.74</v>
      </c>
      <c r="P4714" s="86">
        <f t="shared" ref="P4714:P4734" si="1432">IF($M4714&gt;=$P$18,U4714,0)</f>
        <v>0</v>
      </c>
      <c r="Q4714" s="86">
        <f t="shared" ref="Q4714:Q4734" si="1433">IF(AND($M4714&gt;=$Q$16,$M4714&lt;=$Q$18),U4714,0)</f>
        <v>0</v>
      </c>
      <c r="R4714" s="86">
        <f t="shared" ref="R4714:R4734" si="1434">IF(AND($M4714&gt;=$R$16,$M4714&lt;=$R$18),U4714,0)</f>
        <v>0</v>
      </c>
      <c r="S4714" s="86">
        <f t="shared" ref="S4714:S4734" si="1435">IF(AND($M4714&gt;=$S$16,$M4714&lt;=$S$18),U4714,0)</f>
        <v>0</v>
      </c>
      <c r="T4714" s="86">
        <f t="shared" ref="T4714:T4734" si="1436">IF($M4714&lt;=$T$18,U4714,0)</f>
        <v>7053.74</v>
      </c>
      <c r="U4714" s="87">
        <v>7053.74</v>
      </c>
    </row>
    <row r="4715" spans="1:22" s="30" customFormat="1" ht="24.6" hidden="1" outlineLevel="1" x14ac:dyDescent="0.55000000000000004">
      <c r="A4715" s="27" t="s">
        <v>327</v>
      </c>
      <c r="B4715" s="28"/>
      <c r="C4715" s="27"/>
      <c r="D4715" s="27" t="str">
        <f>"""NAV Direct"",""CRONUS JetCorp USA"",""21"",""1"",""41516"""</f>
        <v>"NAV Direct","CRONUS JetCorp USA","21","1","41516"</v>
      </c>
      <c r="E4715" s="31">
        <f t="shared" si="1428"/>
        <v>0</v>
      </c>
      <c r="F4715" s="31"/>
      <c r="G4715" s="31"/>
      <c r="H4715" s="31"/>
      <c r="I4715" s="56"/>
      <c r="J4715" s="56"/>
      <c r="K4715" s="82" t="str">
        <f t="shared" si="1429"/>
        <v>Invoice</v>
      </c>
      <c r="L4715" s="83" t="str">
        <f>"SI_104928"</f>
        <v>SI_104928</v>
      </c>
      <c r="M4715" s="84">
        <v>42144</v>
      </c>
      <c r="N4715" s="85">
        <f t="shared" si="1430"/>
        <v>1668</v>
      </c>
      <c r="O4715" s="86">
        <f t="shared" si="1431"/>
        <v>7260.91</v>
      </c>
      <c r="P4715" s="86">
        <f t="shared" si="1432"/>
        <v>0</v>
      </c>
      <c r="Q4715" s="86">
        <f t="shared" si="1433"/>
        <v>0</v>
      </c>
      <c r="R4715" s="86">
        <f t="shared" si="1434"/>
        <v>0</v>
      </c>
      <c r="S4715" s="86">
        <f t="shared" si="1435"/>
        <v>0</v>
      </c>
      <c r="T4715" s="86">
        <f t="shared" si="1436"/>
        <v>7260.91</v>
      </c>
      <c r="U4715" s="87">
        <v>7260.91</v>
      </c>
    </row>
    <row r="4716" spans="1:22" s="30" customFormat="1" ht="24.6" hidden="1" outlineLevel="1" x14ac:dyDescent="0.55000000000000004">
      <c r="A4716" s="27" t="s">
        <v>327</v>
      </c>
      <c r="B4716" s="28"/>
      <c r="C4716" s="27"/>
      <c r="D4716" s="27" t="str">
        <f>"""NAV Direct"",""CRONUS JetCorp USA"",""21"",""1"",""41612"""</f>
        <v>"NAV Direct","CRONUS JetCorp USA","21","1","41612"</v>
      </c>
      <c r="E4716" s="31" t="str">
        <f t="shared" si="1428"/>
        <v>C100134</v>
      </c>
      <c r="F4716" s="31"/>
      <c r="G4716" s="31"/>
      <c r="H4716" s="31"/>
      <c r="I4716" s="56"/>
      <c r="J4716" s="56"/>
      <c r="K4716" s="82" t="str">
        <f t="shared" si="1429"/>
        <v>Invoice</v>
      </c>
      <c r="L4716" s="83" t="str">
        <f>"SI_104932"</f>
        <v>SI_104932</v>
      </c>
      <c r="M4716" s="84">
        <v>42184</v>
      </c>
      <c r="N4716" s="85">
        <f t="shared" si="1430"/>
        <v>1628</v>
      </c>
      <c r="O4716" s="86">
        <f t="shared" si="1431"/>
        <v>7577.9100000000008</v>
      </c>
      <c r="P4716" s="86">
        <f t="shared" si="1432"/>
        <v>0</v>
      </c>
      <c r="Q4716" s="86">
        <f t="shared" si="1433"/>
        <v>0</v>
      </c>
      <c r="R4716" s="86">
        <f t="shared" si="1434"/>
        <v>0</v>
      </c>
      <c r="S4716" s="86">
        <f t="shared" si="1435"/>
        <v>0</v>
      </c>
      <c r="T4716" s="86">
        <f t="shared" si="1436"/>
        <v>7577.9100000000008</v>
      </c>
      <c r="U4716" s="87">
        <v>7577.9100000000008</v>
      </c>
    </row>
    <row r="4717" spans="1:22" s="30" customFormat="1" ht="24.6" hidden="1" outlineLevel="1" x14ac:dyDescent="0.55000000000000004">
      <c r="A4717" s="27" t="s">
        <v>327</v>
      </c>
      <c r="B4717" s="28"/>
      <c r="C4717" s="27"/>
      <c r="D4717" s="27" t="str">
        <f>"""NAV Direct"",""CRONUS JetCorp USA"",""21"",""1"",""41688"""</f>
        <v>"NAV Direct","CRONUS JetCorp USA","21","1","41688"</v>
      </c>
      <c r="E4717" s="31">
        <f t="shared" si="1428"/>
        <v>0</v>
      </c>
      <c r="F4717" s="31"/>
      <c r="G4717" s="31"/>
      <c r="H4717" s="31"/>
      <c r="I4717" s="56"/>
      <c r="J4717" s="56"/>
      <c r="K4717" s="82" t="str">
        <f t="shared" si="1429"/>
        <v>Invoice</v>
      </c>
      <c r="L4717" s="83" t="str">
        <f>"SI_104936"</f>
        <v>SI_104936</v>
      </c>
      <c r="M4717" s="84">
        <v>42224</v>
      </c>
      <c r="N4717" s="85">
        <f t="shared" si="1430"/>
        <v>1588</v>
      </c>
      <c r="O4717" s="86">
        <f t="shared" si="1431"/>
        <v>7699.5099999999993</v>
      </c>
      <c r="P4717" s="86">
        <f t="shared" si="1432"/>
        <v>0</v>
      </c>
      <c r="Q4717" s="86">
        <f t="shared" si="1433"/>
        <v>0</v>
      </c>
      <c r="R4717" s="86">
        <f t="shared" si="1434"/>
        <v>0</v>
      </c>
      <c r="S4717" s="86">
        <f t="shared" si="1435"/>
        <v>0</v>
      </c>
      <c r="T4717" s="86">
        <f t="shared" si="1436"/>
        <v>7699.5099999999993</v>
      </c>
      <c r="U4717" s="87">
        <v>7699.5099999999993</v>
      </c>
    </row>
    <row r="4718" spans="1:22" s="30" customFormat="1" ht="24.6" hidden="1" outlineLevel="1" x14ac:dyDescent="0.55000000000000004">
      <c r="A4718" s="27" t="s">
        <v>327</v>
      </c>
      <c r="B4718" s="28"/>
      <c r="C4718" s="27"/>
      <c r="D4718" s="27" t="str">
        <f>"""NAV Direct"",""CRONUS JetCorp USA"",""21"",""1"",""332456"""</f>
        <v>"NAV Direct","CRONUS JetCorp USA","21","1","332456"</v>
      </c>
      <c r="E4718" s="31" t="str">
        <f t="shared" si="1428"/>
        <v>C100134</v>
      </c>
      <c r="F4718" s="31"/>
      <c r="G4718" s="31"/>
      <c r="H4718" s="31"/>
      <c r="I4718" s="56"/>
      <c r="J4718" s="56"/>
      <c r="K4718" s="82" t="str">
        <f t="shared" si="1429"/>
        <v>Invoice</v>
      </c>
      <c r="L4718" s="83" t="str">
        <f>"SI_110478"</f>
        <v>SI_110478</v>
      </c>
      <c r="M4718" s="84">
        <v>42432</v>
      </c>
      <c r="N4718" s="85">
        <f t="shared" si="1430"/>
        <v>1380</v>
      </c>
      <c r="O4718" s="86">
        <f t="shared" si="1431"/>
        <v>5751.86</v>
      </c>
      <c r="P4718" s="86">
        <f t="shared" si="1432"/>
        <v>0</v>
      </c>
      <c r="Q4718" s="86">
        <f t="shared" si="1433"/>
        <v>0</v>
      </c>
      <c r="R4718" s="86">
        <f t="shared" si="1434"/>
        <v>0</v>
      </c>
      <c r="S4718" s="86">
        <f t="shared" si="1435"/>
        <v>0</v>
      </c>
      <c r="T4718" s="86">
        <f t="shared" si="1436"/>
        <v>5751.86</v>
      </c>
      <c r="U4718" s="87">
        <v>5751.86</v>
      </c>
    </row>
    <row r="4719" spans="1:22" s="30" customFormat="1" ht="24.6" hidden="1" outlineLevel="1" x14ac:dyDescent="0.55000000000000004">
      <c r="A4719" s="27" t="s">
        <v>327</v>
      </c>
      <c r="B4719" s="28"/>
      <c r="C4719" s="27"/>
      <c r="D4719" s="27" t="str">
        <f>"""NAV Direct"",""CRONUS JetCorp USA"",""21"",""1"",""332613"""</f>
        <v>"NAV Direct","CRONUS JetCorp USA","21","1","332613"</v>
      </c>
      <c r="E4719" s="31">
        <f t="shared" si="1428"/>
        <v>0</v>
      </c>
      <c r="F4719" s="31"/>
      <c r="G4719" s="31"/>
      <c r="H4719" s="31"/>
      <c r="I4719" s="56"/>
      <c r="J4719" s="56"/>
      <c r="K4719" s="82" t="str">
        <f t="shared" si="1429"/>
        <v>Invoice</v>
      </c>
      <c r="L4719" s="83" t="str">
        <f>"SI_110485"</f>
        <v>SI_110485</v>
      </c>
      <c r="M4719" s="84">
        <v>42572</v>
      </c>
      <c r="N4719" s="85">
        <f t="shared" si="1430"/>
        <v>1240</v>
      </c>
      <c r="O4719" s="86">
        <f t="shared" si="1431"/>
        <v>6032.8499999999995</v>
      </c>
      <c r="P4719" s="86">
        <f t="shared" si="1432"/>
        <v>0</v>
      </c>
      <c r="Q4719" s="86">
        <f t="shared" si="1433"/>
        <v>0</v>
      </c>
      <c r="R4719" s="86">
        <f t="shared" si="1434"/>
        <v>0</v>
      </c>
      <c r="S4719" s="86">
        <f t="shared" si="1435"/>
        <v>0</v>
      </c>
      <c r="T4719" s="86">
        <f t="shared" si="1436"/>
        <v>6032.8499999999995</v>
      </c>
      <c r="U4719" s="87">
        <v>6032.8499999999995</v>
      </c>
    </row>
    <row r="4720" spans="1:22" s="30" customFormat="1" ht="24.6" hidden="1" outlineLevel="1" x14ac:dyDescent="0.55000000000000004">
      <c r="A4720" s="27" t="s">
        <v>327</v>
      </c>
      <c r="B4720" s="28"/>
      <c r="C4720" s="27"/>
      <c r="D4720" s="27" t="str">
        <f>"""NAV Direct"",""CRONUS JetCorp USA"",""21"",""1"",""332632"""</f>
        <v>"NAV Direct","CRONUS JetCorp USA","21","1","332632"</v>
      </c>
      <c r="E4720" s="31" t="str">
        <f t="shared" si="1428"/>
        <v>C100134</v>
      </c>
      <c r="F4720" s="31"/>
      <c r="G4720" s="31"/>
      <c r="H4720" s="31"/>
      <c r="I4720" s="56"/>
      <c r="J4720" s="56"/>
      <c r="K4720" s="82" t="str">
        <f t="shared" si="1429"/>
        <v>Invoice</v>
      </c>
      <c r="L4720" s="83" t="str">
        <f>"SI_110486"</f>
        <v>SI_110486</v>
      </c>
      <c r="M4720" s="84">
        <v>42593</v>
      </c>
      <c r="N4720" s="85">
        <f t="shared" si="1430"/>
        <v>1219</v>
      </c>
      <c r="O4720" s="86">
        <f t="shared" si="1431"/>
        <v>5943.86</v>
      </c>
      <c r="P4720" s="86">
        <f t="shared" si="1432"/>
        <v>0</v>
      </c>
      <c r="Q4720" s="86">
        <f t="shared" si="1433"/>
        <v>0</v>
      </c>
      <c r="R4720" s="86">
        <f t="shared" si="1434"/>
        <v>0</v>
      </c>
      <c r="S4720" s="86">
        <f t="shared" si="1435"/>
        <v>0</v>
      </c>
      <c r="T4720" s="86">
        <f t="shared" si="1436"/>
        <v>5943.86</v>
      </c>
      <c r="U4720" s="87">
        <v>5943.86</v>
      </c>
    </row>
    <row r="4721" spans="1:21" s="30" customFormat="1" ht="24.6" hidden="1" outlineLevel="1" x14ac:dyDescent="0.55000000000000004">
      <c r="A4721" s="27" t="s">
        <v>327</v>
      </c>
      <c r="B4721" s="28"/>
      <c r="C4721" s="27"/>
      <c r="D4721" s="27" t="str">
        <f>"""NAV Direct"",""CRONUS JetCorp USA"",""21"",""1"",""332933"""</f>
        <v>"NAV Direct","CRONUS JetCorp USA","21","1","332933"</v>
      </c>
      <c r="E4721" s="31">
        <f t="shared" si="1428"/>
        <v>0</v>
      </c>
      <c r="F4721" s="31"/>
      <c r="G4721" s="31"/>
      <c r="H4721" s="31"/>
      <c r="I4721" s="56"/>
      <c r="J4721" s="56"/>
      <c r="K4721" s="82" t="str">
        <f t="shared" si="1429"/>
        <v>Invoice</v>
      </c>
      <c r="L4721" s="83" t="str">
        <f>"SI_110499"</f>
        <v>SI_110499</v>
      </c>
      <c r="M4721" s="84">
        <v>42816</v>
      </c>
      <c r="N4721" s="85">
        <f t="shared" si="1430"/>
        <v>996</v>
      </c>
      <c r="O4721" s="86">
        <f t="shared" si="1431"/>
        <v>6219.49</v>
      </c>
      <c r="P4721" s="86">
        <f t="shared" si="1432"/>
        <v>0</v>
      </c>
      <c r="Q4721" s="86">
        <f t="shared" si="1433"/>
        <v>0</v>
      </c>
      <c r="R4721" s="86">
        <f t="shared" si="1434"/>
        <v>0</v>
      </c>
      <c r="S4721" s="86">
        <f t="shared" si="1435"/>
        <v>0</v>
      </c>
      <c r="T4721" s="86">
        <f t="shared" si="1436"/>
        <v>6219.49</v>
      </c>
      <c r="U4721" s="87">
        <v>6219.49</v>
      </c>
    </row>
    <row r="4722" spans="1:21" s="30" customFormat="1" ht="24.6" hidden="1" outlineLevel="1" x14ac:dyDescent="0.55000000000000004">
      <c r="A4722" s="27" t="s">
        <v>327</v>
      </c>
      <c r="B4722" s="28"/>
      <c r="C4722" s="27"/>
      <c r="D4722" s="27" t="str">
        <f>"""NAV Direct"",""CRONUS JetCorp USA"",""21"",""1"",""333268"""</f>
        <v>"NAV Direct","CRONUS JetCorp USA","21","1","333268"</v>
      </c>
      <c r="E4722" s="31" t="str">
        <f t="shared" si="1428"/>
        <v>C100134</v>
      </c>
      <c r="F4722" s="31"/>
      <c r="G4722" s="31"/>
      <c r="H4722" s="31"/>
      <c r="I4722" s="56"/>
      <c r="J4722" s="56"/>
      <c r="K4722" s="82" t="str">
        <f t="shared" si="1429"/>
        <v>Invoice</v>
      </c>
      <c r="L4722" s="83" t="str">
        <f>"SI_110514"</f>
        <v>SI_110514</v>
      </c>
      <c r="M4722" s="84">
        <v>43052</v>
      </c>
      <c r="N4722" s="85">
        <f t="shared" si="1430"/>
        <v>760</v>
      </c>
      <c r="O4722" s="86">
        <f t="shared" si="1431"/>
        <v>4819.6400000000003</v>
      </c>
      <c r="P4722" s="86">
        <f t="shared" si="1432"/>
        <v>0</v>
      </c>
      <c r="Q4722" s="86">
        <f t="shared" si="1433"/>
        <v>0</v>
      </c>
      <c r="R4722" s="86">
        <f t="shared" si="1434"/>
        <v>0</v>
      </c>
      <c r="S4722" s="86">
        <f t="shared" si="1435"/>
        <v>0</v>
      </c>
      <c r="T4722" s="86">
        <f t="shared" si="1436"/>
        <v>4819.6400000000003</v>
      </c>
      <c r="U4722" s="87">
        <v>4819.6400000000003</v>
      </c>
    </row>
    <row r="4723" spans="1:21" s="30" customFormat="1" ht="24.6" hidden="1" outlineLevel="1" x14ac:dyDescent="0.55000000000000004">
      <c r="A4723" s="27" t="s">
        <v>327</v>
      </c>
      <c r="B4723" s="28"/>
      <c r="C4723" s="27"/>
      <c r="D4723" s="27" t="str">
        <f>"""NAV Direct"",""CRONUS JetCorp USA"",""21"",""1"",""333459"""</f>
        <v>"NAV Direct","CRONUS JetCorp USA","21","1","333459"</v>
      </c>
      <c r="E4723" s="31">
        <f t="shared" si="1428"/>
        <v>0</v>
      </c>
      <c r="F4723" s="31"/>
      <c r="G4723" s="31"/>
      <c r="H4723" s="31"/>
      <c r="I4723" s="56"/>
      <c r="J4723" s="56"/>
      <c r="K4723" s="82" t="str">
        <f t="shared" si="1429"/>
        <v>Invoice</v>
      </c>
      <c r="L4723" s="83" t="str">
        <f>"SI_110523"</f>
        <v>SI_110523</v>
      </c>
      <c r="M4723" s="84">
        <v>43275</v>
      </c>
      <c r="N4723" s="85">
        <f t="shared" si="1430"/>
        <v>537</v>
      </c>
      <c r="O4723" s="86">
        <f t="shared" si="1431"/>
        <v>4895.13</v>
      </c>
      <c r="P4723" s="86">
        <f t="shared" si="1432"/>
        <v>0</v>
      </c>
      <c r="Q4723" s="86">
        <f t="shared" si="1433"/>
        <v>0</v>
      </c>
      <c r="R4723" s="86">
        <f t="shared" si="1434"/>
        <v>0</v>
      </c>
      <c r="S4723" s="86">
        <f t="shared" si="1435"/>
        <v>0</v>
      </c>
      <c r="T4723" s="86">
        <f t="shared" si="1436"/>
        <v>4895.13</v>
      </c>
      <c r="U4723" s="87">
        <v>4895.13</v>
      </c>
    </row>
    <row r="4724" spans="1:21" s="30" customFormat="1" ht="24.6" hidden="1" outlineLevel="1" x14ac:dyDescent="0.55000000000000004">
      <c r="A4724" s="27" t="s">
        <v>327</v>
      </c>
      <c r="B4724" s="28"/>
      <c r="C4724" s="27"/>
      <c r="D4724" s="27" t="str">
        <f>"""NAV Direct"",""CRONUS JetCorp USA"",""21"",""1"",""333503"""</f>
        <v>"NAV Direct","CRONUS JetCorp USA","21","1","333503"</v>
      </c>
      <c r="E4724" s="31" t="str">
        <f t="shared" si="1428"/>
        <v>C100134</v>
      </c>
      <c r="F4724" s="31"/>
      <c r="G4724" s="31"/>
      <c r="H4724" s="31"/>
      <c r="I4724" s="56"/>
      <c r="J4724" s="56"/>
      <c r="K4724" s="82" t="str">
        <f t="shared" si="1429"/>
        <v>Invoice</v>
      </c>
      <c r="L4724" s="83" t="str">
        <f>"SI_110525"</f>
        <v>SI_110525</v>
      </c>
      <c r="M4724" s="84">
        <v>43317</v>
      </c>
      <c r="N4724" s="85">
        <f t="shared" si="1430"/>
        <v>495</v>
      </c>
      <c r="O4724" s="86">
        <f t="shared" si="1431"/>
        <v>4871.55</v>
      </c>
      <c r="P4724" s="86">
        <f t="shared" si="1432"/>
        <v>0</v>
      </c>
      <c r="Q4724" s="86">
        <f t="shared" si="1433"/>
        <v>0</v>
      </c>
      <c r="R4724" s="86">
        <f t="shared" si="1434"/>
        <v>0</v>
      </c>
      <c r="S4724" s="86">
        <f t="shared" si="1435"/>
        <v>0</v>
      </c>
      <c r="T4724" s="86">
        <f t="shared" si="1436"/>
        <v>4871.55</v>
      </c>
      <c r="U4724" s="87">
        <v>4871.55</v>
      </c>
    </row>
    <row r="4725" spans="1:21" s="30" customFormat="1" ht="24.6" hidden="1" outlineLevel="1" x14ac:dyDescent="0.55000000000000004">
      <c r="A4725" s="27" t="s">
        <v>327</v>
      </c>
      <c r="B4725" s="28"/>
      <c r="C4725" s="27"/>
      <c r="D4725" s="27" t="str">
        <f>"""NAV Direct"",""CRONUS JetCorp USA"",""21"",""1"",""333654"""</f>
        <v>"NAV Direct","CRONUS JetCorp USA","21","1","333654"</v>
      </c>
      <c r="E4725" s="31">
        <f t="shared" si="1428"/>
        <v>0</v>
      </c>
      <c r="F4725" s="31"/>
      <c r="G4725" s="31"/>
      <c r="H4725" s="31"/>
      <c r="I4725" s="56"/>
      <c r="J4725" s="56"/>
      <c r="K4725" s="82" t="str">
        <f t="shared" si="1429"/>
        <v>Invoice</v>
      </c>
      <c r="L4725" s="83" t="str">
        <f>"SI_110532"</f>
        <v>SI_110532</v>
      </c>
      <c r="M4725" s="84">
        <v>43483</v>
      </c>
      <c r="N4725" s="85">
        <f t="shared" si="1430"/>
        <v>329</v>
      </c>
      <c r="O4725" s="86">
        <f t="shared" si="1431"/>
        <v>5477.45</v>
      </c>
      <c r="P4725" s="86">
        <f t="shared" si="1432"/>
        <v>0</v>
      </c>
      <c r="Q4725" s="86">
        <f t="shared" si="1433"/>
        <v>0</v>
      </c>
      <c r="R4725" s="86">
        <f t="shared" si="1434"/>
        <v>0</v>
      </c>
      <c r="S4725" s="86">
        <f t="shared" si="1435"/>
        <v>0</v>
      </c>
      <c r="T4725" s="86">
        <f t="shared" si="1436"/>
        <v>5477.45</v>
      </c>
      <c r="U4725" s="87">
        <v>5477.45</v>
      </c>
    </row>
    <row r="4726" spans="1:21" s="30" customFormat="1" ht="24.6" hidden="1" outlineLevel="1" x14ac:dyDescent="0.55000000000000004">
      <c r="A4726" s="27" t="s">
        <v>327</v>
      </c>
      <c r="B4726" s="28"/>
      <c r="C4726" s="27"/>
      <c r="D4726" s="27" t="str">
        <f>"""NAV Direct"",""CRONUS JetCorp USA"",""21"",""1"",""334024"""</f>
        <v>"NAV Direct","CRONUS JetCorp USA","21","1","334024"</v>
      </c>
      <c r="E4726" s="31" t="str">
        <f t="shared" si="1428"/>
        <v>C100134</v>
      </c>
      <c r="F4726" s="31"/>
      <c r="G4726" s="31"/>
      <c r="H4726" s="31"/>
      <c r="I4726" s="56"/>
      <c r="J4726" s="56"/>
      <c r="K4726" s="82" t="str">
        <f t="shared" si="1429"/>
        <v>Invoice</v>
      </c>
      <c r="L4726" s="83" t="str">
        <f>"SI_110550"</f>
        <v>SI_110550</v>
      </c>
      <c r="M4726" s="84">
        <v>43728</v>
      </c>
      <c r="N4726" s="85">
        <f t="shared" si="1430"/>
        <v>84</v>
      </c>
      <c r="O4726" s="86">
        <f t="shared" si="1431"/>
        <v>6477.51</v>
      </c>
      <c r="P4726" s="86">
        <f t="shared" si="1432"/>
        <v>0</v>
      </c>
      <c r="Q4726" s="86">
        <f t="shared" si="1433"/>
        <v>0</v>
      </c>
      <c r="R4726" s="86">
        <f t="shared" si="1434"/>
        <v>0</v>
      </c>
      <c r="S4726" s="86">
        <f t="shared" si="1435"/>
        <v>6477.51</v>
      </c>
      <c r="T4726" s="86">
        <f t="shared" si="1436"/>
        <v>0</v>
      </c>
      <c r="U4726" s="87">
        <v>6477.51</v>
      </c>
    </row>
    <row r="4727" spans="1:21" s="30" customFormat="1" ht="24.6" hidden="1" outlineLevel="1" x14ac:dyDescent="0.55000000000000004">
      <c r="A4727" s="27" t="s">
        <v>327</v>
      </c>
      <c r="B4727" s="28"/>
      <c r="C4727" s="27"/>
      <c r="D4727" s="27" t="str">
        <f>"""NAV Direct"",""CRONUS JetCorp USA"",""21"",""1"",""334093"""</f>
        <v>"NAV Direct","CRONUS JetCorp USA","21","1","334093"</v>
      </c>
      <c r="E4727" s="31">
        <f t="shared" si="1428"/>
        <v>0</v>
      </c>
      <c r="F4727" s="31"/>
      <c r="G4727" s="31"/>
      <c r="H4727" s="31"/>
      <c r="I4727" s="56"/>
      <c r="J4727" s="56"/>
      <c r="K4727" s="82" t="str">
        <f t="shared" si="1429"/>
        <v>Invoice</v>
      </c>
      <c r="L4727" s="83" t="str">
        <f>"SI_110553"</f>
        <v>SI_110553</v>
      </c>
      <c r="M4727" s="84">
        <v>43764</v>
      </c>
      <c r="N4727" s="85">
        <f t="shared" si="1430"/>
        <v>48</v>
      </c>
      <c r="O4727" s="86">
        <f t="shared" si="1431"/>
        <v>6420.07</v>
      </c>
      <c r="P4727" s="86">
        <f t="shared" si="1432"/>
        <v>0</v>
      </c>
      <c r="Q4727" s="86">
        <f t="shared" si="1433"/>
        <v>0</v>
      </c>
      <c r="R4727" s="86">
        <f t="shared" si="1434"/>
        <v>6420.07</v>
      </c>
      <c r="S4727" s="86">
        <f t="shared" si="1435"/>
        <v>0</v>
      </c>
      <c r="T4727" s="86">
        <f t="shared" si="1436"/>
        <v>0</v>
      </c>
      <c r="U4727" s="87">
        <v>6420.07</v>
      </c>
    </row>
    <row r="4728" spans="1:21" s="30" customFormat="1" ht="24.6" hidden="1" outlineLevel="1" x14ac:dyDescent="0.55000000000000004">
      <c r="A4728" s="27" t="s">
        <v>327</v>
      </c>
      <c r="B4728" s="28"/>
      <c r="C4728" s="27"/>
      <c r="D4728" s="27" t="str">
        <f>"""NAV Direct"",""CRONUS JetCorp USA"",""21"",""1"",""334116"""</f>
        <v>"NAV Direct","CRONUS JetCorp USA","21","1","334116"</v>
      </c>
      <c r="E4728" s="31" t="str">
        <f t="shared" si="1428"/>
        <v>C100134</v>
      </c>
      <c r="F4728" s="31"/>
      <c r="G4728" s="31"/>
      <c r="H4728" s="31"/>
      <c r="I4728" s="56"/>
      <c r="J4728" s="56"/>
      <c r="K4728" s="82" t="str">
        <f t="shared" si="1429"/>
        <v>Invoice</v>
      </c>
      <c r="L4728" s="83" t="str">
        <f>"SI_110554"</f>
        <v>SI_110554</v>
      </c>
      <c r="M4728" s="84">
        <v>43766</v>
      </c>
      <c r="N4728" s="85">
        <f t="shared" si="1430"/>
        <v>46</v>
      </c>
      <c r="O4728" s="86">
        <f t="shared" si="1431"/>
        <v>6420.52</v>
      </c>
      <c r="P4728" s="86">
        <f t="shared" si="1432"/>
        <v>0</v>
      </c>
      <c r="Q4728" s="86">
        <f t="shared" si="1433"/>
        <v>0</v>
      </c>
      <c r="R4728" s="86">
        <f t="shared" si="1434"/>
        <v>6420.52</v>
      </c>
      <c r="S4728" s="86">
        <f t="shared" si="1435"/>
        <v>0</v>
      </c>
      <c r="T4728" s="86">
        <f t="shared" si="1436"/>
        <v>0</v>
      </c>
      <c r="U4728" s="87">
        <v>6420.52</v>
      </c>
    </row>
    <row r="4729" spans="1:21" s="30" customFormat="1" ht="24.6" hidden="1" outlineLevel="1" x14ac:dyDescent="0.55000000000000004">
      <c r="A4729" s="27" t="s">
        <v>327</v>
      </c>
      <c r="B4729" s="28"/>
      <c r="C4729" s="27"/>
      <c r="D4729" s="27" t="str">
        <f>"""NAV Direct"",""CRONUS JetCorp USA"",""21"",""1"",""334139"""</f>
        <v>"NAV Direct","CRONUS JetCorp USA","21","1","334139"</v>
      </c>
      <c r="E4729" s="31">
        <f t="shared" si="1428"/>
        <v>0</v>
      </c>
      <c r="F4729" s="31"/>
      <c r="G4729" s="31"/>
      <c r="H4729" s="31"/>
      <c r="I4729" s="56"/>
      <c r="J4729" s="56"/>
      <c r="K4729" s="82" t="str">
        <f t="shared" si="1429"/>
        <v>Invoice</v>
      </c>
      <c r="L4729" s="83" t="str">
        <f>"SI_110555"</f>
        <v>SI_110555</v>
      </c>
      <c r="M4729" s="84">
        <v>43793</v>
      </c>
      <c r="N4729" s="85">
        <f t="shared" si="1430"/>
        <v>19</v>
      </c>
      <c r="O4729" s="86">
        <f t="shared" si="1431"/>
        <v>6591.4400000000005</v>
      </c>
      <c r="P4729" s="86">
        <f t="shared" si="1432"/>
        <v>0</v>
      </c>
      <c r="Q4729" s="86">
        <f t="shared" si="1433"/>
        <v>6591.4400000000005</v>
      </c>
      <c r="R4729" s="86">
        <f t="shared" si="1434"/>
        <v>0</v>
      </c>
      <c r="S4729" s="86">
        <f t="shared" si="1435"/>
        <v>0</v>
      </c>
      <c r="T4729" s="86">
        <f t="shared" si="1436"/>
        <v>0</v>
      </c>
      <c r="U4729" s="87">
        <v>6591.4400000000005</v>
      </c>
    </row>
    <row r="4730" spans="1:21" s="30" customFormat="1" ht="24.6" hidden="1" outlineLevel="1" x14ac:dyDescent="0.55000000000000004">
      <c r="A4730" s="27" t="s">
        <v>327</v>
      </c>
      <c r="B4730" s="28"/>
      <c r="C4730" s="27"/>
      <c r="D4730" s="27" t="str">
        <f>"""NAV Direct"",""CRONUS JetCorp USA"",""21"",""1"",""334487"""</f>
        <v>"NAV Direct","CRONUS JetCorp USA","21","1","334487"</v>
      </c>
      <c r="E4730" s="31" t="str">
        <f t="shared" si="1428"/>
        <v>C100134</v>
      </c>
      <c r="F4730" s="31"/>
      <c r="G4730" s="31"/>
      <c r="H4730" s="31"/>
      <c r="I4730" s="56"/>
      <c r="J4730" s="56"/>
      <c r="K4730" s="82" t="str">
        <f t="shared" si="1429"/>
        <v>Invoice</v>
      </c>
      <c r="L4730" s="83" t="str">
        <f>"SI_110571"</f>
        <v>SI_110571</v>
      </c>
      <c r="M4730" s="84">
        <v>42168</v>
      </c>
      <c r="N4730" s="85">
        <f t="shared" si="1430"/>
        <v>1644</v>
      </c>
      <c r="O4730" s="86">
        <f t="shared" si="1431"/>
        <v>7261.57</v>
      </c>
      <c r="P4730" s="86">
        <f t="shared" si="1432"/>
        <v>0</v>
      </c>
      <c r="Q4730" s="86">
        <f t="shared" si="1433"/>
        <v>0</v>
      </c>
      <c r="R4730" s="86">
        <f t="shared" si="1434"/>
        <v>0</v>
      </c>
      <c r="S4730" s="86">
        <f t="shared" si="1435"/>
        <v>0</v>
      </c>
      <c r="T4730" s="86">
        <f t="shared" si="1436"/>
        <v>7261.57</v>
      </c>
      <c r="U4730" s="87">
        <v>7261.57</v>
      </c>
    </row>
    <row r="4731" spans="1:21" s="30" customFormat="1" ht="24.6" hidden="1" outlineLevel="1" x14ac:dyDescent="0.55000000000000004">
      <c r="A4731" s="27" t="s">
        <v>327</v>
      </c>
      <c r="B4731" s="28"/>
      <c r="C4731" s="27"/>
      <c r="D4731" s="27" t="str">
        <f>"""NAV Direct"",""CRONUS JetCorp USA"",""21"",""1"",""334819"""</f>
        <v>"NAV Direct","CRONUS JetCorp USA","21","1","334819"</v>
      </c>
      <c r="E4731" s="31">
        <f t="shared" si="1428"/>
        <v>0</v>
      </c>
      <c r="F4731" s="31"/>
      <c r="G4731" s="31"/>
      <c r="H4731" s="31"/>
      <c r="I4731" s="56"/>
      <c r="J4731" s="56"/>
      <c r="K4731" s="82" t="str">
        <f t="shared" si="1429"/>
        <v>Invoice</v>
      </c>
      <c r="L4731" s="83" t="str">
        <f>"SI_110585"</f>
        <v>SI_110585</v>
      </c>
      <c r="M4731" s="84">
        <v>42337</v>
      </c>
      <c r="N4731" s="85">
        <f t="shared" si="1430"/>
        <v>1475</v>
      </c>
      <c r="O4731" s="86">
        <f t="shared" si="1431"/>
        <v>8640.15</v>
      </c>
      <c r="P4731" s="86">
        <f t="shared" si="1432"/>
        <v>0</v>
      </c>
      <c r="Q4731" s="86">
        <f t="shared" si="1433"/>
        <v>0</v>
      </c>
      <c r="R4731" s="86">
        <f t="shared" si="1434"/>
        <v>0</v>
      </c>
      <c r="S4731" s="86">
        <f t="shared" si="1435"/>
        <v>0</v>
      </c>
      <c r="T4731" s="86">
        <f t="shared" si="1436"/>
        <v>8640.15</v>
      </c>
      <c r="U4731" s="87">
        <v>8640.15</v>
      </c>
    </row>
    <row r="4732" spans="1:21" s="30" customFormat="1" ht="24.6" hidden="1" outlineLevel="1" x14ac:dyDescent="0.55000000000000004">
      <c r="A4732" s="27" t="s">
        <v>327</v>
      </c>
      <c r="B4732" s="28"/>
      <c r="C4732" s="27"/>
      <c r="D4732" s="27" t="str">
        <f>"""NAV Direct"",""CRONUS JetCorp USA"",""21"",""1"",""433198"""</f>
        <v>"NAV Direct","CRONUS JetCorp USA","21","1","433198"</v>
      </c>
      <c r="E4732" s="31" t="str">
        <f t="shared" si="1428"/>
        <v>C100134</v>
      </c>
      <c r="F4732" s="31"/>
      <c r="G4732" s="31"/>
      <c r="H4732" s="31"/>
      <c r="I4732" s="56"/>
      <c r="J4732" s="56"/>
      <c r="K4732" s="82" t="str">
        <f>"Credit Memo"</f>
        <v>Credit Memo</v>
      </c>
      <c r="L4732" s="83" t="str">
        <f>"SC_100470"</f>
        <v>SC_100470</v>
      </c>
      <c r="M4732" s="84">
        <v>42788</v>
      </c>
      <c r="N4732" s="85">
        <f t="shared" si="1430"/>
        <v>1024</v>
      </c>
      <c r="O4732" s="86">
        <f t="shared" si="1431"/>
        <v>-61.699999999999996</v>
      </c>
      <c r="P4732" s="86">
        <f t="shared" si="1432"/>
        <v>0</v>
      </c>
      <c r="Q4732" s="86">
        <f t="shared" si="1433"/>
        <v>0</v>
      </c>
      <c r="R4732" s="86">
        <f t="shared" si="1434"/>
        <v>0</v>
      </c>
      <c r="S4732" s="86">
        <f t="shared" si="1435"/>
        <v>0</v>
      </c>
      <c r="T4732" s="86">
        <f t="shared" si="1436"/>
        <v>-61.699999999999996</v>
      </c>
      <c r="U4732" s="87">
        <v>-61.699999999999996</v>
      </c>
    </row>
    <row r="4733" spans="1:21" s="30" customFormat="1" ht="24.6" hidden="1" outlineLevel="1" x14ac:dyDescent="0.55000000000000004">
      <c r="A4733" s="27" t="s">
        <v>327</v>
      </c>
      <c r="B4733" s="28"/>
      <c r="C4733" s="27"/>
      <c r="D4733" s="27" t="str">
        <f>"""NAV Direct"",""CRONUS JetCorp USA"",""21"",""1"",""433211"""</f>
        <v>"NAV Direct","CRONUS JetCorp USA","21","1","433211"</v>
      </c>
      <c r="E4733" s="31">
        <f t="shared" si="1428"/>
        <v>0</v>
      </c>
      <c r="F4733" s="31"/>
      <c r="G4733" s="31"/>
      <c r="H4733" s="31"/>
      <c r="I4733" s="56"/>
      <c r="J4733" s="56"/>
      <c r="K4733" s="82" t="str">
        <f>"Credit Memo"</f>
        <v>Credit Memo</v>
      </c>
      <c r="L4733" s="83" t="str">
        <f>"SC_100471"</f>
        <v>SC_100471</v>
      </c>
      <c r="M4733" s="84">
        <v>42978</v>
      </c>
      <c r="N4733" s="85">
        <f t="shared" si="1430"/>
        <v>834</v>
      </c>
      <c r="O4733" s="86">
        <f t="shared" si="1431"/>
        <v>-54.620000000000005</v>
      </c>
      <c r="P4733" s="86">
        <f t="shared" si="1432"/>
        <v>0</v>
      </c>
      <c r="Q4733" s="86">
        <f t="shared" si="1433"/>
        <v>0</v>
      </c>
      <c r="R4733" s="86">
        <f t="shared" si="1434"/>
        <v>0</v>
      </c>
      <c r="S4733" s="86">
        <f t="shared" si="1435"/>
        <v>0</v>
      </c>
      <c r="T4733" s="86">
        <f t="shared" si="1436"/>
        <v>-54.620000000000005</v>
      </c>
      <c r="U4733" s="87">
        <v>-54.620000000000005</v>
      </c>
    </row>
    <row r="4734" spans="1:21" s="30" customFormat="1" ht="24.6" hidden="1" outlineLevel="1" x14ac:dyDescent="0.55000000000000004">
      <c r="A4734" s="27" t="s">
        <v>327</v>
      </c>
      <c r="B4734" s="28"/>
      <c r="C4734" s="27"/>
      <c r="D4734" s="27" t="str">
        <f>"""NAV Direct"",""CRONUS JetCorp USA"",""21"",""1"",""433544"""</f>
        <v>"NAV Direct","CRONUS JetCorp USA","21","1","433544"</v>
      </c>
      <c r="E4734" s="31" t="str">
        <f t="shared" si="1428"/>
        <v>C100134</v>
      </c>
      <c r="F4734" s="31"/>
      <c r="G4734" s="31"/>
      <c r="H4734" s="31"/>
      <c r="I4734" s="56"/>
      <c r="J4734" s="56"/>
      <c r="K4734" s="82" t="str">
        <f>"Credit Memo"</f>
        <v>Credit Memo</v>
      </c>
      <c r="L4734" s="83" t="str">
        <f>"SC_100496"</f>
        <v>SC_100496</v>
      </c>
      <c r="M4734" s="84">
        <v>42335</v>
      </c>
      <c r="N4734" s="85">
        <f t="shared" si="1430"/>
        <v>1477</v>
      </c>
      <c r="O4734" s="86">
        <f t="shared" si="1431"/>
        <v>-86.24</v>
      </c>
      <c r="P4734" s="86">
        <f t="shared" si="1432"/>
        <v>0</v>
      </c>
      <c r="Q4734" s="86">
        <f t="shared" si="1433"/>
        <v>0</v>
      </c>
      <c r="R4734" s="86">
        <f t="shared" si="1434"/>
        <v>0</v>
      </c>
      <c r="S4734" s="86">
        <f t="shared" si="1435"/>
        <v>0</v>
      </c>
      <c r="T4734" s="86">
        <f t="shared" si="1436"/>
        <v>-86.24</v>
      </c>
      <c r="U4734" s="87">
        <v>-86.24</v>
      </c>
    </row>
    <row r="4735" spans="1:21" s="22" customFormat="1" ht="20.399999999999999" collapsed="1" x14ac:dyDescent="0.45">
      <c r="A4735" s="12" t="s">
        <v>327</v>
      </c>
      <c r="B4735" s="19"/>
      <c r="C4735" s="12"/>
      <c r="D4735" s="12"/>
      <c r="E4735" s="23"/>
      <c r="F4735" s="23"/>
      <c r="G4735" s="23"/>
      <c r="H4735" s="23"/>
      <c r="I4735" s="49"/>
      <c r="J4735" s="88"/>
      <c r="K4735" s="88"/>
      <c r="L4735" s="89"/>
      <c r="M4735" s="89"/>
      <c r="N4735" s="89"/>
      <c r="O4735" s="89"/>
      <c r="P4735" s="89"/>
      <c r="Q4735" s="90"/>
      <c r="R4735" s="90"/>
      <c r="S4735" s="91"/>
      <c r="T4735" s="92"/>
      <c r="U4735" s="92"/>
    </row>
    <row r="4736" spans="1:21" s="22" customFormat="1" ht="20.399999999999999" x14ac:dyDescent="0.45">
      <c r="A4736" s="12" t="s">
        <v>327</v>
      </c>
      <c r="B4736" s="19"/>
      <c r="C4736" s="12"/>
      <c r="D4736" s="12"/>
      <c r="E4736" s="23"/>
      <c r="F4736" s="23"/>
      <c r="G4736" s="23"/>
      <c r="H4736" s="23"/>
      <c r="I4736" s="49"/>
      <c r="J4736" s="88"/>
      <c r="K4736" s="88"/>
      <c r="L4736" s="89"/>
      <c r="M4736" s="89"/>
      <c r="N4736" s="89"/>
      <c r="O4736" s="89"/>
      <c r="P4736" s="89"/>
      <c r="Q4736" s="90"/>
      <c r="R4736" s="90"/>
      <c r="S4736" s="91"/>
      <c r="T4736" s="92"/>
      <c r="U4736" s="92"/>
    </row>
    <row r="4737" spans="1:22" s="26" customFormat="1" ht="24.6" x14ac:dyDescent="0.55000000000000004">
      <c r="A4737" s="27" t="s">
        <v>327</v>
      </c>
      <c r="B4737" s="28"/>
      <c r="C4737" s="27" t="str">
        <f>"""NAV Direct"",""CRONUS JetCorp USA"",""18"",""1"",""C100135"""</f>
        <v>"NAV Direct","CRONUS JetCorp USA","18","1","C100135"</v>
      </c>
      <c r="D4737" s="27"/>
      <c r="E4737" s="28" t="str">
        <f>H4737</f>
        <v>C100135</v>
      </c>
      <c r="F4737" s="28"/>
      <c r="G4737" s="28"/>
      <c r="H4737" s="28" t="str">
        <f>"C100135"</f>
        <v>C100135</v>
      </c>
      <c r="I4737" s="116" t="str">
        <f>"C100135  -  Zumi's"</f>
        <v>C100135  -  Zumi's</v>
      </c>
      <c r="J4737" s="117" t="str">
        <f>""</f>
        <v/>
      </c>
      <c r="K4737" s="118"/>
      <c r="L4737" s="119">
        <f>SUBTOTAL(3,L4738:L4808)</f>
        <v>67</v>
      </c>
      <c r="M4737" s="118"/>
      <c r="N4737" s="118"/>
      <c r="O4737" s="120">
        <f t="shared" ref="O4737:T4737" si="1437">SUBTOTAL(9,O4738:O4808)</f>
        <v>435313.70999999996</v>
      </c>
      <c r="P4737" s="120">
        <f t="shared" si="1437"/>
        <v>6962.91</v>
      </c>
      <c r="Q4737" s="120">
        <f t="shared" si="1437"/>
        <v>8241.23</v>
      </c>
      <c r="R4737" s="120">
        <f t="shared" si="1437"/>
        <v>6786.55</v>
      </c>
      <c r="S4737" s="120">
        <f t="shared" si="1437"/>
        <v>12473.279999999999</v>
      </c>
      <c r="T4737" s="120">
        <f t="shared" si="1437"/>
        <v>400849.74</v>
      </c>
      <c r="U4737" s="81"/>
    </row>
    <row r="4738" spans="1:22" s="26" customFormat="1" ht="24.6" x14ac:dyDescent="0.55000000000000004">
      <c r="A4738" s="27" t="s">
        <v>327</v>
      </c>
      <c r="B4738" s="28"/>
      <c r="C4738" s="27" t="str">
        <f>C4737</f>
        <v>"NAV Direct","CRONUS JetCorp USA","18","1","C100135"</v>
      </c>
      <c r="D4738" s="27"/>
      <c r="E4738" s="28" t="str">
        <f>E4737</f>
        <v>C100135</v>
      </c>
      <c r="F4738" s="28"/>
      <c r="G4738" s="28"/>
      <c r="H4738" s="28"/>
      <c r="I4738" s="121" t="str">
        <f>"Contact: Freda Clifford Craft"</f>
        <v>Contact: Freda Clifford Craft</v>
      </c>
      <c r="J4738" s="121"/>
      <c r="K4738" s="122"/>
      <c r="L4738" s="123"/>
      <c r="M4738" s="123"/>
      <c r="N4738" s="124"/>
      <c r="O4738" s="124"/>
      <c r="P4738" s="123"/>
      <c r="Q4738" s="125"/>
      <c r="R4738" s="126"/>
      <c r="S4738" s="126"/>
      <c r="T4738" s="125"/>
      <c r="U4738" s="81"/>
    </row>
    <row r="4739" spans="1:22" s="26" customFormat="1" ht="24.6" x14ac:dyDescent="0.55000000000000004">
      <c r="A4739" s="27" t="s">
        <v>327</v>
      </c>
      <c r="B4739" s="28"/>
      <c r="C4739" s="27" t="str">
        <f>C4738</f>
        <v>"NAV Direct","CRONUS JetCorp USA","18","1","C100135"</v>
      </c>
      <c r="D4739" s="27"/>
      <c r="E4739" s="28" t="str">
        <f>E4738</f>
        <v>C100135</v>
      </c>
      <c r="F4739" s="28"/>
      <c r="G4739" s="28"/>
      <c r="H4739" s="28"/>
      <c r="I4739" s="121" t="str">
        <f>"Zumi's@Cronus.com"</f>
        <v>Zumi's@Cronus.com</v>
      </c>
      <c r="J4739" s="121"/>
      <c r="K4739" s="122"/>
      <c r="L4739" s="124"/>
      <c r="M4739" s="124"/>
      <c r="N4739" s="124"/>
      <c r="O4739" s="124"/>
      <c r="P4739" s="123"/>
      <c r="Q4739" s="125"/>
      <c r="R4739" s="126"/>
      <c r="S4739" s="126"/>
      <c r="T4739" s="125"/>
      <c r="U4739" s="81"/>
    </row>
    <row r="4740" spans="1:22" ht="12.75" hidden="1" customHeight="1" outlineLevel="1" x14ac:dyDescent="0.45">
      <c r="A4740" s="12" t="s">
        <v>328</v>
      </c>
      <c r="B4740" s="19"/>
      <c r="E4740" s="19"/>
      <c r="F4740" s="19"/>
      <c r="G4740" s="19"/>
      <c r="H4740" s="19"/>
      <c r="I4740" s="61"/>
      <c r="J4740" s="61"/>
      <c r="K4740" s="61"/>
      <c r="L4740" s="61"/>
      <c r="M4740" s="61"/>
      <c r="N4740" s="61"/>
      <c r="O4740" s="61"/>
      <c r="P4740" s="61"/>
      <c r="Q4740" s="61"/>
      <c r="R4740" s="61"/>
      <c r="S4740" s="61"/>
      <c r="T4740" s="61"/>
      <c r="U4740" s="61"/>
      <c r="V4740" s="21"/>
    </row>
    <row r="4741" spans="1:22" s="30" customFormat="1" ht="24.6" hidden="1" outlineLevel="1" x14ac:dyDescent="0.55000000000000004">
      <c r="A4741" s="27" t="s">
        <v>327</v>
      </c>
      <c r="B4741" s="28"/>
      <c r="C4741" s="27"/>
      <c r="D4741" s="27" t="str">
        <f>"""NAV Direct"",""CRONUS JetCorp USA"",""21"",""1"",""414653"""</f>
        <v>"NAV Direct","CRONUS JetCorp USA","21","1","414653"</v>
      </c>
      <c r="E4741" s="31" t="str">
        <f t="shared" ref="E4741:E4772" si="1438">E4739</f>
        <v>C100135</v>
      </c>
      <c r="F4741" s="31"/>
      <c r="G4741" s="31"/>
      <c r="H4741" s="31"/>
      <c r="I4741" s="56"/>
      <c r="J4741" s="56"/>
      <c r="K4741" s="82" t="str">
        <f t="shared" ref="K4741:K4772" si="1439">"Invoice"</f>
        <v>Invoice</v>
      </c>
      <c r="L4741" s="83" t="str">
        <f>"SI_112536"</f>
        <v>SI_112536</v>
      </c>
      <c r="M4741" s="84">
        <v>42424</v>
      </c>
      <c r="N4741" s="85">
        <f t="shared" ref="N4741:N4772" si="1440">StartDate-$M4741+1</f>
        <v>1388</v>
      </c>
      <c r="O4741" s="86">
        <f t="shared" ref="O4741:O4772" si="1441">SUM(P4741:T4741)</f>
        <v>4988.1500000000005</v>
      </c>
      <c r="P4741" s="86">
        <f t="shared" ref="P4741:P4772" si="1442">IF($M4741&gt;=$P$18,U4741,0)</f>
        <v>0</v>
      </c>
      <c r="Q4741" s="86">
        <f t="shared" ref="Q4741:Q4772" si="1443">IF(AND($M4741&gt;=$Q$16,$M4741&lt;=$Q$18),U4741,0)</f>
        <v>0</v>
      </c>
      <c r="R4741" s="86">
        <f t="shared" ref="R4741:R4772" si="1444">IF(AND($M4741&gt;=$R$16,$M4741&lt;=$R$18),U4741,0)</f>
        <v>0</v>
      </c>
      <c r="S4741" s="86">
        <f t="shared" ref="S4741:S4772" si="1445">IF(AND($M4741&gt;=$S$16,$M4741&lt;=$S$18),U4741,0)</f>
        <v>0</v>
      </c>
      <c r="T4741" s="86">
        <f t="shared" ref="T4741:T4772" si="1446">IF($M4741&lt;=$T$18,U4741,0)</f>
        <v>4988.1500000000005</v>
      </c>
      <c r="U4741" s="87">
        <v>4988.1500000000005</v>
      </c>
    </row>
    <row r="4742" spans="1:22" s="30" customFormat="1" ht="24.6" hidden="1" outlineLevel="1" x14ac:dyDescent="0.55000000000000004">
      <c r="A4742" s="27" t="s">
        <v>327</v>
      </c>
      <c r="B4742" s="28"/>
      <c r="C4742" s="27"/>
      <c r="D4742" s="27" t="str">
        <f>"""NAV Direct"",""CRONUS JetCorp USA"",""21"",""1"",""414761"""</f>
        <v>"NAV Direct","CRONUS JetCorp USA","21","1","414761"</v>
      </c>
      <c r="E4742" s="31">
        <f t="shared" si="1438"/>
        <v>0</v>
      </c>
      <c r="F4742" s="31"/>
      <c r="G4742" s="31"/>
      <c r="H4742" s="31"/>
      <c r="I4742" s="56"/>
      <c r="J4742" s="56"/>
      <c r="K4742" s="82" t="str">
        <f t="shared" si="1439"/>
        <v>Invoice</v>
      </c>
      <c r="L4742" s="83" t="str">
        <f>"SI_112539"</f>
        <v>SI_112539</v>
      </c>
      <c r="M4742" s="84">
        <v>42429</v>
      </c>
      <c r="N4742" s="85">
        <f t="shared" si="1440"/>
        <v>1383</v>
      </c>
      <c r="O4742" s="86">
        <f t="shared" si="1441"/>
        <v>4988.16</v>
      </c>
      <c r="P4742" s="86">
        <f t="shared" si="1442"/>
        <v>0</v>
      </c>
      <c r="Q4742" s="86">
        <f t="shared" si="1443"/>
        <v>0</v>
      </c>
      <c r="R4742" s="86">
        <f t="shared" si="1444"/>
        <v>0</v>
      </c>
      <c r="S4742" s="86">
        <f t="shared" si="1445"/>
        <v>0</v>
      </c>
      <c r="T4742" s="86">
        <f t="shared" si="1446"/>
        <v>4988.16</v>
      </c>
      <c r="U4742" s="87">
        <v>4988.16</v>
      </c>
    </row>
    <row r="4743" spans="1:22" s="30" customFormat="1" ht="24.6" hidden="1" outlineLevel="1" x14ac:dyDescent="0.55000000000000004">
      <c r="A4743" s="27" t="s">
        <v>327</v>
      </c>
      <c r="B4743" s="28"/>
      <c r="C4743" s="27"/>
      <c r="D4743" s="27" t="str">
        <f>"""NAV Direct"",""CRONUS JetCorp USA"",""21"",""1"",""414800"""</f>
        <v>"NAV Direct","CRONUS JetCorp USA","21","1","414800"</v>
      </c>
      <c r="E4743" s="31" t="str">
        <f t="shared" si="1438"/>
        <v>C100135</v>
      </c>
      <c r="F4743" s="31"/>
      <c r="G4743" s="31"/>
      <c r="H4743" s="31"/>
      <c r="I4743" s="56"/>
      <c r="J4743" s="56"/>
      <c r="K4743" s="82" t="str">
        <f t="shared" si="1439"/>
        <v>Invoice</v>
      </c>
      <c r="L4743" s="83" t="str">
        <f>"SI_112540"</f>
        <v>SI_112540</v>
      </c>
      <c r="M4743" s="84">
        <v>42451</v>
      </c>
      <c r="N4743" s="85">
        <f t="shared" si="1440"/>
        <v>1361</v>
      </c>
      <c r="O4743" s="86">
        <f t="shared" si="1441"/>
        <v>6484.56</v>
      </c>
      <c r="P4743" s="86">
        <f t="shared" si="1442"/>
        <v>0</v>
      </c>
      <c r="Q4743" s="86">
        <f t="shared" si="1443"/>
        <v>0</v>
      </c>
      <c r="R4743" s="86">
        <f t="shared" si="1444"/>
        <v>0</v>
      </c>
      <c r="S4743" s="86">
        <f t="shared" si="1445"/>
        <v>0</v>
      </c>
      <c r="T4743" s="86">
        <f t="shared" si="1446"/>
        <v>6484.56</v>
      </c>
      <c r="U4743" s="87">
        <v>6484.56</v>
      </c>
    </row>
    <row r="4744" spans="1:22" s="30" customFormat="1" ht="24.6" hidden="1" outlineLevel="1" x14ac:dyDescent="0.55000000000000004">
      <c r="A4744" s="27" t="s">
        <v>327</v>
      </c>
      <c r="B4744" s="28"/>
      <c r="C4744" s="27"/>
      <c r="D4744" s="27" t="str">
        <f>"""NAV Direct"",""CRONUS JetCorp USA"",""21"",""1"",""414835"""</f>
        <v>"NAV Direct","CRONUS JetCorp USA","21","1","414835"</v>
      </c>
      <c r="E4744" s="31">
        <f t="shared" si="1438"/>
        <v>0</v>
      </c>
      <c r="F4744" s="31"/>
      <c r="G4744" s="31"/>
      <c r="H4744" s="31"/>
      <c r="I4744" s="56"/>
      <c r="J4744" s="56"/>
      <c r="K4744" s="82" t="str">
        <f t="shared" si="1439"/>
        <v>Invoice</v>
      </c>
      <c r="L4744" s="83" t="str">
        <f>"SI_112541"</f>
        <v>SI_112541</v>
      </c>
      <c r="M4744" s="84">
        <v>42451</v>
      </c>
      <c r="N4744" s="85">
        <f t="shared" si="1440"/>
        <v>1361</v>
      </c>
      <c r="O4744" s="86">
        <f t="shared" si="1441"/>
        <v>6484.6</v>
      </c>
      <c r="P4744" s="86">
        <f t="shared" si="1442"/>
        <v>0</v>
      </c>
      <c r="Q4744" s="86">
        <f t="shared" si="1443"/>
        <v>0</v>
      </c>
      <c r="R4744" s="86">
        <f t="shared" si="1444"/>
        <v>0</v>
      </c>
      <c r="S4744" s="86">
        <f t="shared" si="1445"/>
        <v>0</v>
      </c>
      <c r="T4744" s="86">
        <f t="shared" si="1446"/>
        <v>6484.6</v>
      </c>
      <c r="U4744" s="87">
        <v>6484.6</v>
      </c>
    </row>
    <row r="4745" spans="1:22" s="30" customFormat="1" ht="24.6" hidden="1" outlineLevel="1" x14ac:dyDescent="0.55000000000000004">
      <c r="A4745" s="27" t="s">
        <v>327</v>
      </c>
      <c r="B4745" s="28"/>
      <c r="C4745" s="27"/>
      <c r="D4745" s="27" t="str">
        <f>"""NAV Direct"",""CRONUS JetCorp USA"",""21"",""1"",""414942"""</f>
        <v>"NAV Direct","CRONUS JetCorp USA","21","1","414942"</v>
      </c>
      <c r="E4745" s="31" t="str">
        <f t="shared" si="1438"/>
        <v>C100135</v>
      </c>
      <c r="F4745" s="31"/>
      <c r="G4745" s="31"/>
      <c r="H4745" s="31"/>
      <c r="I4745" s="56"/>
      <c r="J4745" s="56"/>
      <c r="K4745" s="82" t="str">
        <f t="shared" si="1439"/>
        <v>Invoice</v>
      </c>
      <c r="L4745" s="83" t="str">
        <f>"SI_112544"</f>
        <v>SI_112544</v>
      </c>
      <c r="M4745" s="84">
        <v>42469</v>
      </c>
      <c r="N4745" s="85">
        <f t="shared" si="1440"/>
        <v>1343</v>
      </c>
      <c r="O4745" s="86">
        <f t="shared" si="1441"/>
        <v>6484.6</v>
      </c>
      <c r="P4745" s="86">
        <f t="shared" si="1442"/>
        <v>0</v>
      </c>
      <c r="Q4745" s="86">
        <f t="shared" si="1443"/>
        <v>0</v>
      </c>
      <c r="R4745" s="86">
        <f t="shared" si="1444"/>
        <v>0</v>
      </c>
      <c r="S4745" s="86">
        <f t="shared" si="1445"/>
        <v>0</v>
      </c>
      <c r="T4745" s="86">
        <f t="shared" si="1446"/>
        <v>6484.6</v>
      </c>
      <c r="U4745" s="87">
        <v>6484.6</v>
      </c>
    </row>
    <row r="4746" spans="1:22" s="30" customFormat="1" ht="24.6" hidden="1" outlineLevel="1" x14ac:dyDescent="0.55000000000000004">
      <c r="A4746" s="27" t="s">
        <v>327</v>
      </c>
      <c r="B4746" s="28"/>
      <c r="C4746" s="27"/>
      <c r="D4746" s="27" t="str">
        <f>"""NAV Direct"",""CRONUS JetCorp USA"",""21"",""1"",""415338"""</f>
        <v>"NAV Direct","CRONUS JetCorp USA","21","1","415338"</v>
      </c>
      <c r="E4746" s="31">
        <f t="shared" si="1438"/>
        <v>0</v>
      </c>
      <c r="F4746" s="31"/>
      <c r="G4746" s="31"/>
      <c r="H4746" s="31"/>
      <c r="I4746" s="56"/>
      <c r="J4746" s="56"/>
      <c r="K4746" s="82" t="str">
        <f t="shared" si="1439"/>
        <v>Invoice</v>
      </c>
      <c r="L4746" s="83" t="str">
        <f>"SI_112554"</f>
        <v>SI_112554</v>
      </c>
      <c r="M4746" s="84">
        <v>42523</v>
      </c>
      <c r="N4746" s="85">
        <f t="shared" si="1440"/>
        <v>1289</v>
      </c>
      <c r="O4746" s="86">
        <f t="shared" si="1441"/>
        <v>6491.0599999999995</v>
      </c>
      <c r="P4746" s="86">
        <f t="shared" si="1442"/>
        <v>0</v>
      </c>
      <c r="Q4746" s="86">
        <f t="shared" si="1443"/>
        <v>0</v>
      </c>
      <c r="R4746" s="86">
        <f t="shared" si="1444"/>
        <v>0</v>
      </c>
      <c r="S4746" s="86">
        <f t="shared" si="1445"/>
        <v>0</v>
      </c>
      <c r="T4746" s="86">
        <f t="shared" si="1446"/>
        <v>6491.0599999999995</v>
      </c>
      <c r="U4746" s="87">
        <v>6491.0599999999995</v>
      </c>
    </row>
    <row r="4747" spans="1:22" s="30" customFormat="1" ht="24.6" hidden="1" outlineLevel="1" x14ac:dyDescent="0.55000000000000004">
      <c r="A4747" s="27" t="s">
        <v>327</v>
      </c>
      <c r="B4747" s="28"/>
      <c r="C4747" s="27"/>
      <c r="D4747" s="27" t="str">
        <f>"""NAV Direct"",""CRONUS JetCorp USA"",""21"",""1"",""415477"""</f>
        <v>"NAV Direct","CRONUS JetCorp USA","21","1","415477"</v>
      </c>
      <c r="E4747" s="31" t="str">
        <f t="shared" si="1438"/>
        <v>C100135</v>
      </c>
      <c r="F4747" s="31"/>
      <c r="G4747" s="31"/>
      <c r="H4747" s="31"/>
      <c r="I4747" s="56"/>
      <c r="J4747" s="56"/>
      <c r="K4747" s="82" t="str">
        <f t="shared" si="1439"/>
        <v>Invoice</v>
      </c>
      <c r="L4747" s="83" t="str">
        <f>"SI_112557"</f>
        <v>SI_112557</v>
      </c>
      <c r="M4747" s="84">
        <v>42549</v>
      </c>
      <c r="N4747" s="85">
        <f t="shared" si="1440"/>
        <v>1263</v>
      </c>
      <c r="O4747" s="86">
        <f t="shared" si="1441"/>
        <v>6432.7</v>
      </c>
      <c r="P4747" s="86">
        <f t="shared" si="1442"/>
        <v>0</v>
      </c>
      <c r="Q4747" s="86">
        <f t="shared" si="1443"/>
        <v>0</v>
      </c>
      <c r="R4747" s="86">
        <f t="shared" si="1444"/>
        <v>0</v>
      </c>
      <c r="S4747" s="86">
        <f t="shared" si="1445"/>
        <v>0</v>
      </c>
      <c r="T4747" s="86">
        <f t="shared" si="1446"/>
        <v>6432.7</v>
      </c>
      <c r="U4747" s="87">
        <v>6432.7</v>
      </c>
    </row>
    <row r="4748" spans="1:22" s="30" customFormat="1" ht="24.6" hidden="1" outlineLevel="1" x14ac:dyDescent="0.55000000000000004">
      <c r="A4748" s="27" t="s">
        <v>327</v>
      </c>
      <c r="B4748" s="28"/>
      <c r="C4748" s="27"/>
      <c r="D4748" s="27" t="str">
        <f>"""NAV Direct"",""CRONUS JetCorp USA"",""21"",""1"",""415761"""</f>
        <v>"NAV Direct","CRONUS JetCorp USA","21","1","415761"</v>
      </c>
      <c r="E4748" s="31">
        <f t="shared" si="1438"/>
        <v>0</v>
      </c>
      <c r="F4748" s="31"/>
      <c r="G4748" s="31"/>
      <c r="H4748" s="31"/>
      <c r="I4748" s="56"/>
      <c r="J4748" s="56"/>
      <c r="K4748" s="82" t="str">
        <f t="shared" si="1439"/>
        <v>Invoice</v>
      </c>
      <c r="L4748" s="83" t="str">
        <f>"SI_112563"</f>
        <v>SI_112563</v>
      </c>
      <c r="M4748" s="84">
        <v>42577</v>
      </c>
      <c r="N4748" s="85">
        <f t="shared" si="1440"/>
        <v>1235</v>
      </c>
      <c r="O4748" s="86">
        <f t="shared" si="1441"/>
        <v>6426.2</v>
      </c>
      <c r="P4748" s="86">
        <f t="shared" si="1442"/>
        <v>0</v>
      </c>
      <c r="Q4748" s="86">
        <f t="shared" si="1443"/>
        <v>0</v>
      </c>
      <c r="R4748" s="86">
        <f t="shared" si="1444"/>
        <v>0</v>
      </c>
      <c r="S4748" s="86">
        <f t="shared" si="1445"/>
        <v>0</v>
      </c>
      <c r="T4748" s="86">
        <f t="shared" si="1446"/>
        <v>6426.2</v>
      </c>
      <c r="U4748" s="87">
        <v>6426.2</v>
      </c>
    </row>
    <row r="4749" spans="1:22" s="30" customFormat="1" ht="24.6" hidden="1" outlineLevel="1" x14ac:dyDescent="0.55000000000000004">
      <c r="A4749" s="27" t="s">
        <v>327</v>
      </c>
      <c r="B4749" s="28"/>
      <c r="C4749" s="27"/>
      <c r="D4749" s="27" t="str">
        <f>"""NAV Direct"",""CRONUS JetCorp USA"",""21"",""1"",""416078"""</f>
        <v>"NAV Direct","CRONUS JetCorp USA","21","1","416078"</v>
      </c>
      <c r="E4749" s="31" t="str">
        <f t="shared" si="1438"/>
        <v>C100135</v>
      </c>
      <c r="F4749" s="31"/>
      <c r="G4749" s="31"/>
      <c r="H4749" s="31"/>
      <c r="I4749" s="56"/>
      <c r="J4749" s="56"/>
      <c r="K4749" s="82" t="str">
        <f t="shared" si="1439"/>
        <v>Invoice</v>
      </c>
      <c r="L4749" s="83" t="str">
        <f>"SI_112570"</f>
        <v>SI_112570</v>
      </c>
      <c r="M4749" s="84">
        <v>42615</v>
      </c>
      <c r="N4749" s="85">
        <f t="shared" si="1440"/>
        <v>1197</v>
      </c>
      <c r="O4749" s="86">
        <f t="shared" si="1441"/>
        <v>6541.79</v>
      </c>
      <c r="P4749" s="86">
        <f t="shared" si="1442"/>
        <v>0</v>
      </c>
      <c r="Q4749" s="86">
        <f t="shared" si="1443"/>
        <v>0</v>
      </c>
      <c r="R4749" s="86">
        <f t="shared" si="1444"/>
        <v>0</v>
      </c>
      <c r="S4749" s="86">
        <f t="shared" si="1445"/>
        <v>0</v>
      </c>
      <c r="T4749" s="86">
        <f t="shared" si="1446"/>
        <v>6541.79</v>
      </c>
      <c r="U4749" s="87">
        <v>6541.79</v>
      </c>
    </row>
    <row r="4750" spans="1:22" s="30" customFormat="1" ht="24.6" hidden="1" outlineLevel="1" x14ac:dyDescent="0.55000000000000004">
      <c r="A4750" s="27" t="s">
        <v>327</v>
      </c>
      <c r="B4750" s="28"/>
      <c r="C4750" s="27"/>
      <c r="D4750" s="27" t="str">
        <f>"""NAV Direct"",""CRONUS JetCorp USA"",""21"",""1"",""416509"""</f>
        <v>"NAV Direct","CRONUS JetCorp USA","21","1","416509"</v>
      </c>
      <c r="E4750" s="31">
        <f t="shared" si="1438"/>
        <v>0</v>
      </c>
      <c r="F4750" s="31"/>
      <c r="G4750" s="31"/>
      <c r="H4750" s="31"/>
      <c r="I4750" s="56"/>
      <c r="J4750" s="56"/>
      <c r="K4750" s="82" t="str">
        <f t="shared" si="1439"/>
        <v>Invoice</v>
      </c>
      <c r="L4750" s="83" t="str">
        <f>"SI_112580"</f>
        <v>SI_112580</v>
      </c>
      <c r="M4750" s="84">
        <v>42681</v>
      </c>
      <c r="N4750" s="85">
        <f t="shared" si="1440"/>
        <v>1131</v>
      </c>
      <c r="O4750" s="86">
        <f t="shared" si="1441"/>
        <v>6839.4</v>
      </c>
      <c r="P4750" s="86">
        <f t="shared" si="1442"/>
        <v>0</v>
      </c>
      <c r="Q4750" s="86">
        <f t="shared" si="1443"/>
        <v>0</v>
      </c>
      <c r="R4750" s="86">
        <f t="shared" si="1444"/>
        <v>0</v>
      </c>
      <c r="S4750" s="86">
        <f t="shared" si="1445"/>
        <v>0</v>
      </c>
      <c r="T4750" s="86">
        <f t="shared" si="1446"/>
        <v>6839.4</v>
      </c>
      <c r="U4750" s="87">
        <v>6839.4</v>
      </c>
    </row>
    <row r="4751" spans="1:22" s="30" customFormat="1" ht="24.6" hidden="1" outlineLevel="1" x14ac:dyDescent="0.55000000000000004">
      <c r="A4751" s="27" t="s">
        <v>327</v>
      </c>
      <c r="B4751" s="28"/>
      <c r="C4751" s="27"/>
      <c r="D4751" s="27" t="str">
        <f>"""NAV Direct"",""CRONUS JetCorp USA"",""21"",""1"",""416544"""</f>
        <v>"NAV Direct","CRONUS JetCorp USA","21","1","416544"</v>
      </c>
      <c r="E4751" s="31" t="str">
        <f t="shared" si="1438"/>
        <v>C100135</v>
      </c>
      <c r="F4751" s="31"/>
      <c r="G4751" s="31"/>
      <c r="H4751" s="31"/>
      <c r="I4751" s="56"/>
      <c r="J4751" s="56"/>
      <c r="K4751" s="82" t="str">
        <f t="shared" si="1439"/>
        <v>Invoice</v>
      </c>
      <c r="L4751" s="83" t="str">
        <f>"SI_112581"</f>
        <v>SI_112581</v>
      </c>
      <c r="M4751" s="84">
        <v>42676</v>
      </c>
      <c r="N4751" s="85">
        <f t="shared" si="1440"/>
        <v>1136</v>
      </c>
      <c r="O4751" s="86">
        <f t="shared" si="1441"/>
        <v>6839.4400000000005</v>
      </c>
      <c r="P4751" s="86">
        <f t="shared" si="1442"/>
        <v>0</v>
      </c>
      <c r="Q4751" s="86">
        <f t="shared" si="1443"/>
        <v>0</v>
      </c>
      <c r="R4751" s="86">
        <f t="shared" si="1444"/>
        <v>0</v>
      </c>
      <c r="S4751" s="86">
        <f t="shared" si="1445"/>
        <v>0</v>
      </c>
      <c r="T4751" s="86">
        <f t="shared" si="1446"/>
        <v>6839.4400000000005</v>
      </c>
      <c r="U4751" s="87">
        <v>6839.4400000000005</v>
      </c>
    </row>
    <row r="4752" spans="1:22" s="30" customFormat="1" ht="24.6" hidden="1" outlineLevel="1" x14ac:dyDescent="0.55000000000000004">
      <c r="A4752" s="27" t="s">
        <v>327</v>
      </c>
      <c r="B4752" s="28"/>
      <c r="C4752" s="27"/>
      <c r="D4752" s="27" t="str">
        <f>"""NAV Direct"",""CRONUS JetCorp USA"",""21"",""1"",""416587"""</f>
        <v>"NAV Direct","CRONUS JetCorp USA","21","1","416587"</v>
      </c>
      <c r="E4752" s="31">
        <f t="shared" si="1438"/>
        <v>0</v>
      </c>
      <c r="F4752" s="31"/>
      <c r="G4752" s="31"/>
      <c r="H4752" s="31"/>
      <c r="I4752" s="56"/>
      <c r="J4752" s="56"/>
      <c r="K4752" s="82" t="str">
        <f t="shared" si="1439"/>
        <v>Invoice</v>
      </c>
      <c r="L4752" s="83" t="str">
        <f>"SI_112582"</f>
        <v>SI_112582</v>
      </c>
      <c r="M4752" s="84">
        <v>42692</v>
      </c>
      <c r="N4752" s="85">
        <f t="shared" si="1440"/>
        <v>1120</v>
      </c>
      <c r="O4752" s="86">
        <f t="shared" si="1441"/>
        <v>6798.5199999999995</v>
      </c>
      <c r="P4752" s="86">
        <f t="shared" si="1442"/>
        <v>0</v>
      </c>
      <c r="Q4752" s="86">
        <f t="shared" si="1443"/>
        <v>0</v>
      </c>
      <c r="R4752" s="86">
        <f t="shared" si="1444"/>
        <v>0</v>
      </c>
      <c r="S4752" s="86">
        <f t="shared" si="1445"/>
        <v>0</v>
      </c>
      <c r="T4752" s="86">
        <f t="shared" si="1446"/>
        <v>6798.5199999999995</v>
      </c>
      <c r="U4752" s="87">
        <v>6798.5199999999995</v>
      </c>
    </row>
    <row r="4753" spans="1:21" s="30" customFormat="1" ht="24.6" hidden="1" outlineLevel="1" x14ac:dyDescent="0.55000000000000004">
      <c r="A4753" s="27" t="s">
        <v>327</v>
      </c>
      <c r="B4753" s="28"/>
      <c r="C4753" s="27"/>
      <c r="D4753" s="27" t="str">
        <f>"""NAV Direct"",""CRONUS JetCorp USA"",""21"",""1"",""417084"""</f>
        <v>"NAV Direct","CRONUS JetCorp USA","21","1","417084"</v>
      </c>
      <c r="E4753" s="31" t="str">
        <f t="shared" si="1438"/>
        <v>C100135</v>
      </c>
      <c r="F4753" s="31"/>
      <c r="G4753" s="31"/>
      <c r="H4753" s="31"/>
      <c r="I4753" s="56"/>
      <c r="J4753" s="56"/>
      <c r="K4753" s="82" t="str">
        <f t="shared" si="1439"/>
        <v>Invoice</v>
      </c>
      <c r="L4753" s="83" t="str">
        <f>"SI_112594"</f>
        <v>SI_112594</v>
      </c>
      <c r="M4753" s="84">
        <v>42757</v>
      </c>
      <c r="N4753" s="85">
        <f t="shared" si="1440"/>
        <v>1055</v>
      </c>
      <c r="O4753" s="86">
        <f t="shared" si="1441"/>
        <v>6886.81</v>
      </c>
      <c r="P4753" s="86">
        <f t="shared" si="1442"/>
        <v>0</v>
      </c>
      <c r="Q4753" s="86">
        <f t="shared" si="1443"/>
        <v>0</v>
      </c>
      <c r="R4753" s="86">
        <f t="shared" si="1444"/>
        <v>0</v>
      </c>
      <c r="S4753" s="86">
        <f t="shared" si="1445"/>
        <v>0</v>
      </c>
      <c r="T4753" s="86">
        <f t="shared" si="1446"/>
        <v>6886.81</v>
      </c>
      <c r="U4753" s="87">
        <v>6886.81</v>
      </c>
    </row>
    <row r="4754" spans="1:21" s="30" customFormat="1" ht="24.6" hidden="1" outlineLevel="1" x14ac:dyDescent="0.55000000000000004">
      <c r="A4754" s="27" t="s">
        <v>327</v>
      </c>
      <c r="B4754" s="28"/>
      <c r="C4754" s="27"/>
      <c r="D4754" s="27" t="str">
        <f>"""NAV Direct"",""CRONUS JetCorp USA"",""21"",""1"",""417213"""</f>
        <v>"NAV Direct","CRONUS JetCorp USA","21","1","417213"</v>
      </c>
      <c r="E4754" s="31">
        <f t="shared" si="1438"/>
        <v>0</v>
      </c>
      <c r="F4754" s="31"/>
      <c r="G4754" s="31"/>
      <c r="H4754" s="31"/>
      <c r="I4754" s="56"/>
      <c r="J4754" s="56"/>
      <c r="K4754" s="82" t="str">
        <f t="shared" si="1439"/>
        <v>Invoice</v>
      </c>
      <c r="L4754" s="83" t="str">
        <f>"SI_112598"</f>
        <v>SI_112598</v>
      </c>
      <c r="M4754" s="84">
        <v>42767</v>
      </c>
      <c r="N4754" s="85">
        <f t="shared" si="1440"/>
        <v>1045</v>
      </c>
      <c r="O4754" s="86">
        <f t="shared" si="1441"/>
        <v>6886.8899999999994</v>
      </c>
      <c r="P4754" s="86">
        <f t="shared" si="1442"/>
        <v>0</v>
      </c>
      <c r="Q4754" s="86">
        <f t="shared" si="1443"/>
        <v>0</v>
      </c>
      <c r="R4754" s="86">
        <f t="shared" si="1444"/>
        <v>0</v>
      </c>
      <c r="S4754" s="86">
        <f t="shared" si="1445"/>
        <v>0</v>
      </c>
      <c r="T4754" s="86">
        <f t="shared" si="1446"/>
        <v>6886.8899999999994</v>
      </c>
      <c r="U4754" s="87">
        <v>6886.8899999999994</v>
      </c>
    </row>
    <row r="4755" spans="1:21" s="30" customFormat="1" ht="24.6" hidden="1" outlineLevel="1" x14ac:dyDescent="0.55000000000000004">
      <c r="A4755" s="27" t="s">
        <v>327</v>
      </c>
      <c r="B4755" s="28"/>
      <c r="C4755" s="27"/>
      <c r="D4755" s="27" t="str">
        <f>"""NAV Direct"",""CRONUS JetCorp USA"",""21"",""1"",""417270"""</f>
        <v>"NAV Direct","CRONUS JetCorp USA","21","1","417270"</v>
      </c>
      <c r="E4755" s="31" t="str">
        <f t="shared" si="1438"/>
        <v>C100135</v>
      </c>
      <c r="F4755" s="31"/>
      <c r="G4755" s="31"/>
      <c r="H4755" s="31"/>
      <c r="I4755" s="56"/>
      <c r="J4755" s="56"/>
      <c r="K4755" s="82" t="str">
        <f t="shared" si="1439"/>
        <v>Invoice</v>
      </c>
      <c r="L4755" s="83" t="str">
        <f>"SI_112599"</f>
        <v>SI_112599</v>
      </c>
      <c r="M4755" s="84">
        <v>42769</v>
      </c>
      <c r="N4755" s="85">
        <f t="shared" si="1440"/>
        <v>1043</v>
      </c>
      <c r="O4755" s="86">
        <f t="shared" si="1441"/>
        <v>6886.78</v>
      </c>
      <c r="P4755" s="86">
        <f t="shared" si="1442"/>
        <v>0</v>
      </c>
      <c r="Q4755" s="86">
        <f t="shared" si="1443"/>
        <v>0</v>
      </c>
      <c r="R4755" s="86">
        <f t="shared" si="1444"/>
        <v>0</v>
      </c>
      <c r="S4755" s="86">
        <f t="shared" si="1445"/>
        <v>0</v>
      </c>
      <c r="T4755" s="86">
        <f t="shared" si="1446"/>
        <v>6886.78</v>
      </c>
      <c r="U4755" s="87">
        <v>6886.78</v>
      </c>
    </row>
    <row r="4756" spans="1:21" s="30" customFormat="1" ht="24.6" hidden="1" outlineLevel="1" x14ac:dyDescent="0.55000000000000004">
      <c r="A4756" s="27" t="s">
        <v>327</v>
      </c>
      <c r="B4756" s="28"/>
      <c r="C4756" s="27"/>
      <c r="D4756" s="27" t="str">
        <f>"""NAV Direct"",""CRONUS JetCorp USA"",""21"",""1"",""417971"""</f>
        <v>"NAV Direct","CRONUS JetCorp USA","21","1","417971"</v>
      </c>
      <c r="E4756" s="31">
        <f t="shared" si="1438"/>
        <v>0</v>
      </c>
      <c r="F4756" s="31"/>
      <c r="G4756" s="31"/>
      <c r="H4756" s="31"/>
      <c r="I4756" s="56"/>
      <c r="J4756" s="56"/>
      <c r="K4756" s="82" t="str">
        <f t="shared" si="1439"/>
        <v>Invoice</v>
      </c>
      <c r="L4756" s="83" t="str">
        <f>"SI_112614"</f>
        <v>SI_112614</v>
      </c>
      <c r="M4756" s="84">
        <v>42850</v>
      </c>
      <c r="N4756" s="85">
        <f t="shared" si="1440"/>
        <v>962</v>
      </c>
      <c r="O4756" s="86">
        <f t="shared" si="1441"/>
        <v>7575.6900000000005</v>
      </c>
      <c r="P4756" s="86">
        <f t="shared" si="1442"/>
        <v>0</v>
      </c>
      <c r="Q4756" s="86">
        <f t="shared" si="1443"/>
        <v>0</v>
      </c>
      <c r="R4756" s="86">
        <f t="shared" si="1444"/>
        <v>0</v>
      </c>
      <c r="S4756" s="86">
        <f t="shared" si="1445"/>
        <v>0</v>
      </c>
      <c r="T4756" s="86">
        <f t="shared" si="1446"/>
        <v>7575.6900000000005</v>
      </c>
      <c r="U4756" s="87">
        <v>7575.6900000000005</v>
      </c>
    </row>
    <row r="4757" spans="1:21" s="30" customFormat="1" ht="24.6" hidden="1" outlineLevel="1" x14ac:dyDescent="0.55000000000000004">
      <c r="A4757" s="27" t="s">
        <v>327</v>
      </c>
      <c r="B4757" s="28"/>
      <c r="C4757" s="27"/>
      <c r="D4757" s="27" t="str">
        <f>"""NAV Direct"",""CRONUS JetCorp USA"",""21"",""1"",""418053"""</f>
        <v>"NAV Direct","CRONUS JetCorp USA","21","1","418053"</v>
      </c>
      <c r="E4757" s="31" t="str">
        <f t="shared" si="1438"/>
        <v>C100135</v>
      </c>
      <c r="F4757" s="31"/>
      <c r="G4757" s="31"/>
      <c r="H4757" s="31"/>
      <c r="I4757" s="56"/>
      <c r="J4757" s="56"/>
      <c r="K4757" s="82" t="str">
        <f t="shared" si="1439"/>
        <v>Invoice</v>
      </c>
      <c r="L4757" s="83" t="str">
        <f>"SI_112616"</f>
        <v>SI_112616</v>
      </c>
      <c r="M4757" s="84">
        <v>42880</v>
      </c>
      <c r="N4757" s="85">
        <f t="shared" si="1440"/>
        <v>932</v>
      </c>
      <c r="O4757" s="86">
        <f t="shared" si="1441"/>
        <v>7635.99</v>
      </c>
      <c r="P4757" s="86">
        <f t="shared" si="1442"/>
        <v>0</v>
      </c>
      <c r="Q4757" s="86">
        <f t="shared" si="1443"/>
        <v>0</v>
      </c>
      <c r="R4757" s="86">
        <f t="shared" si="1444"/>
        <v>0</v>
      </c>
      <c r="S4757" s="86">
        <f t="shared" si="1445"/>
        <v>0</v>
      </c>
      <c r="T4757" s="86">
        <f t="shared" si="1446"/>
        <v>7635.99</v>
      </c>
      <c r="U4757" s="87">
        <v>7635.99</v>
      </c>
    </row>
    <row r="4758" spans="1:21" s="30" customFormat="1" ht="24.6" hidden="1" outlineLevel="1" x14ac:dyDescent="0.55000000000000004">
      <c r="A4758" s="27" t="s">
        <v>327</v>
      </c>
      <c r="B4758" s="28"/>
      <c r="C4758" s="27"/>
      <c r="D4758" s="27" t="str">
        <f>"""NAV Direct"",""CRONUS JetCorp USA"",""21"",""1"",""418213"""</f>
        <v>"NAV Direct","CRONUS JetCorp USA","21","1","418213"</v>
      </c>
      <c r="E4758" s="31">
        <f t="shared" si="1438"/>
        <v>0</v>
      </c>
      <c r="F4758" s="31"/>
      <c r="G4758" s="31"/>
      <c r="H4758" s="31"/>
      <c r="I4758" s="56"/>
      <c r="J4758" s="56"/>
      <c r="K4758" s="82" t="str">
        <f t="shared" si="1439"/>
        <v>Invoice</v>
      </c>
      <c r="L4758" s="83" t="str">
        <f>"SI_112620"</f>
        <v>SI_112620</v>
      </c>
      <c r="M4758" s="84">
        <v>42885</v>
      </c>
      <c r="N4758" s="85">
        <f t="shared" si="1440"/>
        <v>927</v>
      </c>
      <c r="O4758" s="86">
        <f t="shared" si="1441"/>
        <v>7636.2000000000007</v>
      </c>
      <c r="P4758" s="86">
        <f t="shared" si="1442"/>
        <v>0</v>
      </c>
      <c r="Q4758" s="86">
        <f t="shared" si="1443"/>
        <v>0</v>
      </c>
      <c r="R4758" s="86">
        <f t="shared" si="1444"/>
        <v>0</v>
      </c>
      <c r="S4758" s="86">
        <f t="shared" si="1445"/>
        <v>0</v>
      </c>
      <c r="T4758" s="86">
        <f t="shared" si="1446"/>
        <v>7636.2000000000007</v>
      </c>
      <c r="U4758" s="87">
        <v>7636.2000000000007</v>
      </c>
    </row>
    <row r="4759" spans="1:21" s="30" customFormat="1" ht="24.6" hidden="1" outlineLevel="1" x14ac:dyDescent="0.55000000000000004">
      <c r="A4759" s="27" t="s">
        <v>327</v>
      </c>
      <c r="B4759" s="28"/>
      <c r="C4759" s="27"/>
      <c r="D4759" s="27" t="str">
        <f>"""NAV Direct"",""CRONUS JetCorp USA"",""21"",""1"",""418260"""</f>
        <v>"NAV Direct","CRONUS JetCorp USA","21","1","418260"</v>
      </c>
      <c r="E4759" s="31" t="str">
        <f t="shared" si="1438"/>
        <v>C100135</v>
      </c>
      <c r="F4759" s="31"/>
      <c r="G4759" s="31"/>
      <c r="H4759" s="31"/>
      <c r="I4759" s="56"/>
      <c r="J4759" s="56"/>
      <c r="K4759" s="82" t="str">
        <f t="shared" si="1439"/>
        <v>Invoice</v>
      </c>
      <c r="L4759" s="83" t="str">
        <f>"SI_112621"</f>
        <v>SI_112621</v>
      </c>
      <c r="M4759" s="84">
        <v>42886</v>
      </c>
      <c r="N4759" s="85">
        <f t="shared" si="1440"/>
        <v>926</v>
      </c>
      <c r="O4759" s="86">
        <f t="shared" si="1441"/>
        <v>7636.28</v>
      </c>
      <c r="P4759" s="86">
        <f t="shared" si="1442"/>
        <v>0</v>
      </c>
      <c r="Q4759" s="86">
        <f t="shared" si="1443"/>
        <v>0</v>
      </c>
      <c r="R4759" s="86">
        <f t="shared" si="1444"/>
        <v>0</v>
      </c>
      <c r="S4759" s="86">
        <f t="shared" si="1445"/>
        <v>0</v>
      </c>
      <c r="T4759" s="86">
        <f t="shared" si="1446"/>
        <v>7636.28</v>
      </c>
      <c r="U4759" s="87">
        <v>7636.28</v>
      </c>
    </row>
    <row r="4760" spans="1:21" s="30" customFormat="1" ht="24.6" hidden="1" outlineLevel="1" x14ac:dyDescent="0.55000000000000004">
      <c r="A4760" s="27" t="s">
        <v>327</v>
      </c>
      <c r="B4760" s="28"/>
      <c r="C4760" s="27"/>
      <c r="D4760" s="27" t="str">
        <f>"""NAV Direct"",""CRONUS JetCorp USA"",""21"",""1"",""419327"""</f>
        <v>"NAV Direct","CRONUS JetCorp USA","21","1","419327"</v>
      </c>
      <c r="E4760" s="31">
        <f t="shared" si="1438"/>
        <v>0</v>
      </c>
      <c r="F4760" s="31"/>
      <c r="G4760" s="31"/>
      <c r="H4760" s="31"/>
      <c r="I4760" s="56"/>
      <c r="J4760" s="56"/>
      <c r="K4760" s="82" t="str">
        <f t="shared" si="1439"/>
        <v>Invoice</v>
      </c>
      <c r="L4760" s="83" t="str">
        <f>"SI_112647"</f>
        <v>SI_112647</v>
      </c>
      <c r="M4760" s="84">
        <v>43040</v>
      </c>
      <c r="N4760" s="85">
        <f t="shared" si="1440"/>
        <v>772</v>
      </c>
      <c r="O4760" s="86">
        <f t="shared" si="1441"/>
        <v>5271.56</v>
      </c>
      <c r="P4760" s="86">
        <f t="shared" si="1442"/>
        <v>0</v>
      </c>
      <c r="Q4760" s="86">
        <f t="shared" si="1443"/>
        <v>0</v>
      </c>
      <c r="R4760" s="86">
        <f t="shared" si="1444"/>
        <v>0</v>
      </c>
      <c r="S4760" s="86">
        <f t="shared" si="1445"/>
        <v>0</v>
      </c>
      <c r="T4760" s="86">
        <f t="shared" si="1446"/>
        <v>5271.56</v>
      </c>
      <c r="U4760" s="87">
        <v>5271.56</v>
      </c>
    </row>
    <row r="4761" spans="1:21" s="30" customFormat="1" ht="24.6" hidden="1" outlineLevel="1" x14ac:dyDescent="0.55000000000000004">
      <c r="A4761" s="27" t="s">
        <v>327</v>
      </c>
      <c r="B4761" s="28"/>
      <c r="C4761" s="27"/>
      <c r="D4761" s="27" t="str">
        <f>"""NAV Direct"",""CRONUS JetCorp USA"",""21"",""1"",""419661"""</f>
        <v>"NAV Direct","CRONUS JetCorp USA","21","1","419661"</v>
      </c>
      <c r="E4761" s="31" t="str">
        <f t="shared" si="1438"/>
        <v>C100135</v>
      </c>
      <c r="F4761" s="31"/>
      <c r="G4761" s="31"/>
      <c r="H4761" s="31"/>
      <c r="I4761" s="56"/>
      <c r="J4761" s="56"/>
      <c r="K4761" s="82" t="str">
        <f t="shared" si="1439"/>
        <v>Invoice</v>
      </c>
      <c r="L4761" s="83" t="str">
        <f>"SI_112657"</f>
        <v>SI_112657</v>
      </c>
      <c r="M4761" s="84">
        <v>43092</v>
      </c>
      <c r="N4761" s="85">
        <f t="shared" si="1440"/>
        <v>720</v>
      </c>
      <c r="O4761" s="86">
        <f t="shared" si="1441"/>
        <v>5216.2699999999995</v>
      </c>
      <c r="P4761" s="86">
        <f t="shared" si="1442"/>
        <v>0</v>
      </c>
      <c r="Q4761" s="86">
        <f t="shared" si="1443"/>
        <v>0</v>
      </c>
      <c r="R4761" s="86">
        <f t="shared" si="1444"/>
        <v>0</v>
      </c>
      <c r="S4761" s="86">
        <f t="shared" si="1445"/>
        <v>0</v>
      </c>
      <c r="T4761" s="86">
        <f t="shared" si="1446"/>
        <v>5216.2699999999995</v>
      </c>
      <c r="U4761" s="87">
        <v>5216.2699999999995</v>
      </c>
    </row>
    <row r="4762" spans="1:21" s="30" customFormat="1" ht="24.6" hidden="1" outlineLevel="1" x14ac:dyDescent="0.55000000000000004">
      <c r="A4762" s="27" t="s">
        <v>327</v>
      </c>
      <c r="B4762" s="28"/>
      <c r="C4762" s="27"/>
      <c r="D4762" s="27" t="str">
        <f>"""NAV Direct"",""CRONUS JetCorp USA"",""21"",""1"",""419698"""</f>
        <v>"NAV Direct","CRONUS JetCorp USA","21","1","419698"</v>
      </c>
      <c r="E4762" s="31">
        <f t="shared" si="1438"/>
        <v>0</v>
      </c>
      <c r="F4762" s="31"/>
      <c r="G4762" s="31"/>
      <c r="H4762" s="31"/>
      <c r="I4762" s="56"/>
      <c r="J4762" s="56"/>
      <c r="K4762" s="82" t="str">
        <f t="shared" si="1439"/>
        <v>Invoice</v>
      </c>
      <c r="L4762" s="83" t="str">
        <f>"SI_112658"</f>
        <v>SI_112658</v>
      </c>
      <c r="M4762" s="84">
        <v>43115</v>
      </c>
      <c r="N4762" s="85">
        <f t="shared" si="1440"/>
        <v>697</v>
      </c>
      <c r="O4762" s="86">
        <f t="shared" si="1441"/>
        <v>5137.96</v>
      </c>
      <c r="P4762" s="86">
        <f t="shared" si="1442"/>
        <v>0</v>
      </c>
      <c r="Q4762" s="86">
        <f t="shared" si="1443"/>
        <v>0</v>
      </c>
      <c r="R4762" s="86">
        <f t="shared" si="1444"/>
        <v>0</v>
      </c>
      <c r="S4762" s="86">
        <f t="shared" si="1445"/>
        <v>0</v>
      </c>
      <c r="T4762" s="86">
        <f t="shared" si="1446"/>
        <v>5137.96</v>
      </c>
      <c r="U4762" s="87">
        <v>5137.96</v>
      </c>
    </row>
    <row r="4763" spans="1:21" s="30" customFormat="1" ht="24.6" hidden="1" outlineLevel="1" x14ac:dyDescent="0.55000000000000004">
      <c r="A4763" s="27" t="s">
        <v>327</v>
      </c>
      <c r="B4763" s="28"/>
      <c r="C4763" s="27"/>
      <c r="D4763" s="27" t="str">
        <f>"""NAV Direct"",""CRONUS JetCorp USA"",""21"",""1"",""419787"""</f>
        <v>"NAV Direct","CRONUS JetCorp USA","21","1","419787"</v>
      </c>
      <c r="E4763" s="31" t="str">
        <f t="shared" si="1438"/>
        <v>C100135</v>
      </c>
      <c r="F4763" s="31"/>
      <c r="G4763" s="31"/>
      <c r="H4763" s="31"/>
      <c r="I4763" s="56"/>
      <c r="J4763" s="56"/>
      <c r="K4763" s="82" t="str">
        <f t="shared" si="1439"/>
        <v>Invoice</v>
      </c>
      <c r="L4763" s="83" t="str">
        <f>"SI_112661"</f>
        <v>SI_112661</v>
      </c>
      <c r="M4763" s="84">
        <v>43133</v>
      </c>
      <c r="N4763" s="85">
        <f t="shared" si="1440"/>
        <v>679</v>
      </c>
      <c r="O4763" s="86">
        <f t="shared" si="1441"/>
        <v>5138.03</v>
      </c>
      <c r="P4763" s="86">
        <f t="shared" si="1442"/>
        <v>0</v>
      </c>
      <c r="Q4763" s="86">
        <f t="shared" si="1443"/>
        <v>0</v>
      </c>
      <c r="R4763" s="86">
        <f t="shared" si="1444"/>
        <v>0</v>
      </c>
      <c r="S4763" s="86">
        <f t="shared" si="1445"/>
        <v>0</v>
      </c>
      <c r="T4763" s="86">
        <f t="shared" si="1446"/>
        <v>5138.03</v>
      </c>
      <c r="U4763" s="87">
        <v>5138.03</v>
      </c>
    </row>
    <row r="4764" spans="1:21" s="30" customFormat="1" ht="24.6" hidden="1" outlineLevel="1" x14ac:dyDescent="0.55000000000000004">
      <c r="A4764" s="27" t="s">
        <v>327</v>
      </c>
      <c r="B4764" s="28"/>
      <c r="C4764" s="27"/>
      <c r="D4764" s="27" t="str">
        <f>"""NAV Direct"",""CRONUS JetCorp USA"",""21"",""1"",""419827"""</f>
        <v>"NAV Direct","CRONUS JetCorp USA","21","1","419827"</v>
      </c>
      <c r="E4764" s="31">
        <f t="shared" si="1438"/>
        <v>0</v>
      </c>
      <c r="F4764" s="31"/>
      <c r="G4764" s="31"/>
      <c r="H4764" s="31"/>
      <c r="I4764" s="56"/>
      <c r="J4764" s="56"/>
      <c r="K4764" s="82" t="str">
        <f t="shared" si="1439"/>
        <v>Invoice</v>
      </c>
      <c r="L4764" s="83" t="str">
        <f>"SI_112662"</f>
        <v>SI_112662</v>
      </c>
      <c r="M4764" s="84">
        <v>43134</v>
      </c>
      <c r="N4764" s="85">
        <f t="shared" si="1440"/>
        <v>678</v>
      </c>
      <c r="O4764" s="86">
        <f t="shared" si="1441"/>
        <v>5137.9400000000005</v>
      </c>
      <c r="P4764" s="86">
        <f t="shared" si="1442"/>
        <v>0</v>
      </c>
      <c r="Q4764" s="86">
        <f t="shared" si="1443"/>
        <v>0</v>
      </c>
      <c r="R4764" s="86">
        <f t="shared" si="1444"/>
        <v>0</v>
      </c>
      <c r="S4764" s="86">
        <f t="shared" si="1445"/>
        <v>0</v>
      </c>
      <c r="T4764" s="86">
        <f t="shared" si="1446"/>
        <v>5137.9400000000005</v>
      </c>
      <c r="U4764" s="87">
        <v>5137.9400000000005</v>
      </c>
    </row>
    <row r="4765" spans="1:21" s="30" customFormat="1" ht="24.6" hidden="1" outlineLevel="1" x14ac:dyDescent="0.55000000000000004">
      <c r="A4765" s="27" t="s">
        <v>327</v>
      </c>
      <c r="B4765" s="28"/>
      <c r="C4765" s="27"/>
      <c r="D4765" s="27" t="str">
        <f>"""NAV Direct"",""CRONUS JetCorp USA"",""21"",""1"",""420158"""</f>
        <v>"NAV Direct","CRONUS JetCorp USA","21","1","420158"</v>
      </c>
      <c r="E4765" s="31" t="str">
        <f t="shared" si="1438"/>
        <v>C100135</v>
      </c>
      <c r="F4765" s="31"/>
      <c r="G4765" s="31"/>
      <c r="H4765" s="31"/>
      <c r="I4765" s="56"/>
      <c r="J4765" s="56"/>
      <c r="K4765" s="82" t="str">
        <f t="shared" si="1439"/>
        <v>Invoice</v>
      </c>
      <c r="L4765" s="83" t="str">
        <f>"SI_112671"</f>
        <v>SI_112671</v>
      </c>
      <c r="M4765" s="84">
        <v>43191</v>
      </c>
      <c r="N4765" s="85">
        <f t="shared" si="1440"/>
        <v>621</v>
      </c>
      <c r="O4765" s="86">
        <f t="shared" si="1441"/>
        <v>5319.47</v>
      </c>
      <c r="P4765" s="86">
        <f t="shared" si="1442"/>
        <v>0</v>
      </c>
      <c r="Q4765" s="86">
        <f t="shared" si="1443"/>
        <v>0</v>
      </c>
      <c r="R4765" s="86">
        <f t="shared" si="1444"/>
        <v>0</v>
      </c>
      <c r="S4765" s="86">
        <f t="shared" si="1445"/>
        <v>0</v>
      </c>
      <c r="T4765" s="86">
        <f t="shared" si="1446"/>
        <v>5319.47</v>
      </c>
      <c r="U4765" s="87">
        <v>5319.47</v>
      </c>
    </row>
    <row r="4766" spans="1:21" s="30" customFormat="1" ht="24.6" hidden="1" outlineLevel="1" x14ac:dyDescent="0.55000000000000004">
      <c r="A4766" s="27" t="s">
        <v>327</v>
      </c>
      <c r="B4766" s="28"/>
      <c r="C4766" s="27"/>
      <c r="D4766" s="27" t="str">
        <f>"""NAV Direct"",""CRONUS JetCorp USA"",""21"",""1"",""420420"""</f>
        <v>"NAV Direct","CRONUS JetCorp USA","21","1","420420"</v>
      </c>
      <c r="E4766" s="31">
        <f t="shared" si="1438"/>
        <v>0</v>
      </c>
      <c r="F4766" s="31"/>
      <c r="G4766" s="31"/>
      <c r="H4766" s="31"/>
      <c r="I4766" s="56"/>
      <c r="J4766" s="56"/>
      <c r="K4766" s="82" t="str">
        <f t="shared" si="1439"/>
        <v>Invoice</v>
      </c>
      <c r="L4766" s="83" t="str">
        <f>"SI_112677"</f>
        <v>SI_112677</v>
      </c>
      <c r="M4766" s="84">
        <v>43228</v>
      </c>
      <c r="N4766" s="85">
        <f t="shared" si="1440"/>
        <v>584</v>
      </c>
      <c r="O4766" s="86">
        <f t="shared" si="1441"/>
        <v>5479</v>
      </c>
      <c r="P4766" s="86">
        <f t="shared" si="1442"/>
        <v>0</v>
      </c>
      <c r="Q4766" s="86">
        <f t="shared" si="1443"/>
        <v>0</v>
      </c>
      <c r="R4766" s="86">
        <f t="shared" si="1444"/>
        <v>0</v>
      </c>
      <c r="S4766" s="86">
        <f t="shared" si="1445"/>
        <v>0</v>
      </c>
      <c r="T4766" s="86">
        <f t="shared" si="1446"/>
        <v>5479</v>
      </c>
      <c r="U4766" s="87">
        <v>5479</v>
      </c>
    </row>
    <row r="4767" spans="1:21" s="30" customFormat="1" ht="24.6" hidden="1" outlineLevel="1" x14ac:dyDescent="0.55000000000000004">
      <c r="A4767" s="27" t="s">
        <v>327</v>
      </c>
      <c r="B4767" s="28"/>
      <c r="C4767" s="27"/>
      <c r="D4767" s="27" t="str">
        <f>"""NAV Direct"",""CRONUS JetCorp USA"",""21"",""1"",""420496"""</f>
        <v>"NAV Direct","CRONUS JetCorp USA","21","1","420496"</v>
      </c>
      <c r="E4767" s="31" t="str">
        <f t="shared" si="1438"/>
        <v>C100135</v>
      </c>
      <c r="F4767" s="31"/>
      <c r="G4767" s="31"/>
      <c r="H4767" s="31"/>
      <c r="I4767" s="56"/>
      <c r="J4767" s="56"/>
      <c r="K4767" s="82" t="str">
        <f t="shared" si="1439"/>
        <v>Invoice</v>
      </c>
      <c r="L4767" s="83" t="str">
        <f>"SI_112679"</f>
        <v>SI_112679</v>
      </c>
      <c r="M4767" s="84">
        <v>43243</v>
      </c>
      <c r="N4767" s="85">
        <f t="shared" si="1440"/>
        <v>569</v>
      </c>
      <c r="O4767" s="86">
        <f t="shared" si="1441"/>
        <v>5561.17</v>
      </c>
      <c r="P4767" s="86">
        <f t="shared" si="1442"/>
        <v>0</v>
      </c>
      <c r="Q4767" s="86">
        <f t="shared" si="1443"/>
        <v>0</v>
      </c>
      <c r="R4767" s="86">
        <f t="shared" si="1444"/>
        <v>0</v>
      </c>
      <c r="S4767" s="86">
        <f t="shared" si="1445"/>
        <v>0</v>
      </c>
      <c r="T4767" s="86">
        <f t="shared" si="1446"/>
        <v>5561.17</v>
      </c>
      <c r="U4767" s="87">
        <v>5561.17</v>
      </c>
    </row>
    <row r="4768" spans="1:21" s="30" customFormat="1" ht="24.6" hidden="1" outlineLevel="1" x14ac:dyDescent="0.55000000000000004">
      <c r="A4768" s="27" t="s">
        <v>327</v>
      </c>
      <c r="B4768" s="28"/>
      <c r="C4768" s="27"/>
      <c r="D4768" s="27" t="str">
        <f>"""NAV Direct"",""CRONUS JetCorp USA"",""21"",""1"",""420568"""</f>
        <v>"NAV Direct","CRONUS JetCorp USA","21","1","420568"</v>
      </c>
      <c r="E4768" s="31">
        <f t="shared" si="1438"/>
        <v>0</v>
      </c>
      <c r="F4768" s="31"/>
      <c r="G4768" s="31"/>
      <c r="H4768" s="31"/>
      <c r="I4768" s="56"/>
      <c r="J4768" s="56"/>
      <c r="K4768" s="82" t="str">
        <f t="shared" si="1439"/>
        <v>Invoice</v>
      </c>
      <c r="L4768" s="83" t="str">
        <f>"SI_112681"</f>
        <v>SI_112681</v>
      </c>
      <c r="M4768" s="84">
        <v>43246</v>
      </c>
      <c r="N4768" s="85">
        <f t="shared" si="1440"/>
        <v>566</v>
      </c>
      <c r="O4768" s="86">
        <f t="shared" si="1441"/>
        <v>5561.1</v>
      </c>
      <c r="P4768" s="86">
        <f t="shared" si="1442"/>
        <v>0</v>
      </c>
      <c r="Q4768" s="86">
        <f t="shared" si="1443"/>
        <v>0</v>
      </c>
      <c r="R4768" s="86">
        <f t="shared" si="1444"/>
        <v>0</v>
      </c>
      <c r="S4768" s="86">
        <f t="shared" si="1445"/>
        <v>0</v>
      </c>
      <c r="T4768" s="86">
        <f t="shared" si="1446"/>
        <v>5561.1</v>
      </c>
      <c r="U4768" s="87">
        <v>5561.1</v>
      </c>
    </row>
    <row r="4769" spans="1:21" s="30" customFormat="1" ht="24.6" hidden="1" outlineLevel="1" x14ac:dyDescent="0.55000000000000004">
      <c r="A4769" s="27" t="s">
        <v>327</v>
      </c>
      <c r="B4769" s="28"/>
      <c r="C4769" s="27"/>
      <c r="D4769" s="27" t="str">
        <f>"""NAV Direct"",""CRONUS JetCorp USA"",""21"",""1"",""420607"""</f>
        <v>"NAV Direct","CRONUS JetCorp USA","21","1","420607"</v>
      </c>
      <c r="E4769" s="31" t="str">
        <f t="shared" si="1438"/>
        <v>C100135</v>
      </c>
      <c r="F4769" s="31"/>
      <c r="G4769" s="31"/>
      <c r="H4769" s="31"/>
      <c r="I4769" s="56"/>
      <c r="J4769" s="56"/>
      <c r="K4769" s="82" t="str">
        <f t="shared" si="1439"/>
        <v>Invoice</v>
      </c>
      <c r="L4769" s="83" t="str">
        <f>"SI_112682"</f>
        <v>SI_112682</v>
      </c>
      <c r="M4769" s="84">
        <v>43277</v>
      </c>
      <c r="N4769" s="85">
        <f t="shared" si="1440"/>
        <v>535</v>
      </c>
      <c r="O4769" s="86">
        <f t="shared" si="1441"/>
        <v>5533.41</v>
      </c>
      <c r="P4769" s="86">
        <f t="shared" si="1442"/>
        <v>0</v>
      </c>
      <c r="Q4769" s="86">
        <f t="shared" si="1443"/>
        <v>0</v>
      </c>
      <c r="R4769" s="86">
        <f t="shared" si="1444"/>
        <v>0</v>
      </c>
      <c r="S4769" s="86">
        <f t="shared" si="1445"/>
        <v>0</v>
      </c>
      <c r="T4769" s="86">
        <f t="shared" si="1446"/>
        <v>5533.41</v>
      </c>
      <c r="U4769" s="87">
        <v>5533.41</v>
      </c>
    </row>
    <row r="4770" spans="1:21" s="30" customFormat="1" ht="24.6" hidden="1" outlineLevel="1" x14ac:dyDescent="0.55000000000000004">
      <c r="A4770" s="27" t="s">
        <v>327</v>
      </c>
      <c r="B4770" s="28"/>
      <c r="C4770" s="27"/>
      <c r="D4770" s="27" t="str">
        <f>"""NAV Direct"",""CRONUS JetCorp USA"",""21"",""1"",""420675"""</f>
        <v>"NAV Direct","CRONUS JetCorp USA","21","1","420675"</v>
      </c>
      <c r="E4770" s="31">
        <f t="shared" si="1438"/>
        <v>0</v>
      </c>
      <c r="F4770" s="31"/>
      <c r="G4770" s="31"/>
      <c r="H4770" s="31"/>
      <c r="I4770" s="56"/>
      <c r="J4770" s="56"/>
      <c r="K4770" s="82" t="str">
        <f t="shared" si="1439"/>
        <v>Invoice</v>
      </c>
      <c r="L4770" s="83" t="str">
        <f>"SI_112684"</f>
        <v>SI_112684</v>
      </c>
      <c r="M4770" s="84">
        <v>43285</v>
      </c>
      <c r="N4770" s="85">
        <f t="shared" si="1440"/>
        <v>527</v>
      </c>
      <c r="O4770" s="86">
        <f t="shared" si="1441"/>
        <v>5533.34</v>
      </c>
      <c r="P4770" s="86">
        <f t="shared" si="1442"/>
        <v>0</v>
      </c>
      <c r="Q4770" s="86">
        <f t="shared" si="1443"/>
        <v>0</v>
      </c>
      <c r="R4770" s="86">
        <f t="shared" si="1444"/>
        <v>0</v>
      </c>
      <c r="S4770" s="86">
        <f t="shared" si="1445"/>
        <v>0</v>
      </c>
      <c r="T4770" s="86">
        <f t="shared" si="1446"/>
        <v>5533.34</v>
      </c>
      <c r="U4770" s="87">
        <v>5533.34</v>
      </c>
    </row>
    <row r="4771" spans="1:21" s="30" customFormat="1" ht="24.6" hidden="1" outlineLevel="1" x14ac:dyDescent="0.55000000000000004">
      <c r="A4771" s="27" t="s">
        <v>327</v>
      </c>
      <c r="B4771" s="28"/>
      <c r="C4771" s="27"/>
      <c r="D4771" s="27" t="str">
        <f>"""NAV Direct"",""CRONUS JetCorp USA"",""21"",""1"",""420737"""</f>
        <v>"NAV Direct","CRONUS JetCorp USA","21","1","420737"</v>
      </c>
      <c r="E4771" s="31" t="str">
        <f t="shared" si="1438"/>
        <v>C100135</v>
      </c>
      <c r="F4771" s="31"/>
      <c r="G4771" s="31"/>
      <c r="H4771" s="31"/>
      <c r="I4771" s="56"/>
      <c r="J4771" s="56"/>
      <c r="K4771" s="82" t="str">
        <f t="shared" si="1439"/>
        <v>Invoice</v>
      </c>
      <c r="L4771" s="83" t="str">
        <f>"SI_112686"</f>
        <v>SI_112686</v>
      </c>
      <c r="M4771" s="84">
        <v>43308</v>
      </c>
      <c r="N4771" s="85">
        <f t="shared" si="1440"/>
        <v>504</v>
      </c>
      <c r="O4771" s="86">
        <f t="shared" si="1441"/>
        <v>5511.31</v>
      </c>
      <c r="P4771" s="86">
        <f t="shared" si="1442"/>
        <v>0</v>
      </c>
      <c r="Q4771" s="86">
        <f t="shared" si="1443"/>
        <v>0</v>
      </c>
      <c r="R4771" s="86">
        <f t="shared" si="1444"/>
        <v>0</v>
      </c>
      <c r="S4771" s="86">
        <f t="shared" si="1445"/>
        <v>0</v>
      </c>
      <c r="T4771" s="86">
        <f t="shared" si="1446"/>
        <v>5511.31</v>
      </c>
      <c r="U4771" s="87">
        <v>5511.31</v>
      </c>
    </row>
    <row r="4772" spans="1:21" s="30" customFormat="1" ht="24.6" hidden="1" outlineLevel="1" x14ac:dyDescent="0.55000000000000004">
      <c r="A4772" s="27" t="s">
        <v>327</v>
      </c>
      <c r="B4772" s="28"/>
      <c r="C4772" s="27"/>
      <c r="D4772" s="27" t="str">
        <f>"""NAV Direct"",""CRONUS JetCorp USA"",""21"",""1"",""421173"""</f>
        <v>"NAV Direct","CRONUS JetCorp USA","21","1","421173"</v>
      </c>
      <c r="E4772" s="31">
        <f t="shared" si="1438"/>
        <v>0</v>
      </c>
      <c r="F4772" s="31"/>
      <c r="G4772" s="31"/>
      <c r="H4772" s="31"/>
      <c r="I4772" s="56"/>
      <c r="J4772" s="56"/>
      <c r="K4772" s="82" t="str">
        <f t="shared" si="1439"/>
        <v>Invoice</v>
      </c>
      <c r="L4772" s="83" t="str">
        <f>"SI_112696"</f>
        <v>SI_112696</v>
      </c>
      <c r="M4772" s="84">
        <v>43339</v>
      </c>
      <c r="N4772" s="85">
        <f t="shared" si="1440"/>
        <v>473</v>
      </c>
      <c r="O4772" s="86">
        <f t="shared" si="1441"/>
        <v>6337.91</v>
      </c>
      <c r="P4772" s="86">
        <f t="shared" si="1442"/>
        <v>0</v>
      </c>
      <c r="Q4772" s="86">
        <f t="shared" si="1443"/>
        <v>0</v>
      </c>
      <c r="R4772" s="86">
        <f t="shared" si="1444"/>
        <v>0</v>
      </c>
      <c r="S4772" s="86">
        <f t="shared" si="1445"/>
        <v>0</v>
      </c>
      <c r="T4772" s="86">
        <f t="shared" si="1446"/>
        <v>6337.91</v>
      </c>
      <c r="U4772" s="87">
        <v>6337.91</v>
      </c>
    </row>
    <row r="4773" spans="1:21" s="30" customFormat="1" ht="24.6" hidden="1" outlineLevel="1" x14ac:dyDescent="0.55000000000000004">
      <c r="A4773" s="27" t="s">
        <v>327</v>
      </c>
      <c r="B4773" s="28"/>
      <c r="C4773" s="27"/>
      <c r="D4773" s="27" t="str">
        <f>"""NAV Direct"",""CRONUS JetCorp USA"",""21"",""1"",""421220"""</f>
        <v>"NAV Direct","CRONUS JetCorp USA","21","1","421220"</v>
      </c>
      <c r="E4773" s="31" t="str">
        <f t="shared" ref="E4773:E4804" si="1447">E4771</f>
        <v>C100135</v>
      </c>
      <c r="F4773" s="31"/>
      <c r="G4773" s="31"/>
      <c r="H4773" s="31"/>
      <c r="I4773" s="56"/>
      <c r="J4773" s="56"/>
      <c r="K4773" s="82" t="str">
        <f t="shared" ref="K4773:K4807" si="1448">"Invoice"</f>
        <v>Invoice</v>
      </c>
      <c r="L4773" s="83" t="str">
        <f>"SI_112697"</f>
        <v>SI_112697</v>
      </c>
      <c r="M4773" s="84">
        <v>43363</v>
      </c>
      <c r="N4773" s="85">
        <f t="shared" ref="N4773:N4807" si="1449">StartDate-$M4773+1</f>
        <v>449</v>
      </c>
      <c r="O4773" s="86">
        <f t="shared" ref="O4773:O4804" si="1450">SUM(P4773:T4773)</f>
        <v>6971.7900000000009</v>
      </c>
      <c r="P4773" s="86">
        <f t="shared" ref="P4773:P4807" si="1451">IF($M4773&gt;=$P$18,U4773,0)</f>
        <v>0</v>
      </c>
      <c r="Q4773" s="86">
        <f t="shared" ref="Q4773:Q4807" si="1452">IF(AND($M4773&gt;=$Q$16,$M4773&lt;=$Q$18),U4773,0)</f>
        <v>0</v>
      </c>
      <c r="R4773" s="86">
        <f t="shared" ref="R4773:R4807" si="1453">IF(AND($M4773&gt;=$R$16,$M4773&lt;=$R$18),U4773,0)</f>
        <v>0</v>
      </c>
      <c r="S4773" s="86">
        <f t="shared" ref="S4773:S4807" si="1454">IF(AND($M4773&gt;=$S$16,$M4773&lt;=$S$18),U4773,0)</f>
        <v>0</v>
      </c>
      <c r="T4773" s="86">
        <f t="shared" ref="T4773:T4804" si="1455">IF($M4773&lt;=$T$18,U4773,0)</f>
        <v>6971.7900000000009</v>
      </c>
      <c r="U4773" s="87">
        <v>6971.7900000000009</v>
      </c>
    </row>
    <row r="4774" spans="1:21" s="30" customFormat="1" ht="24.6" hidden="1" outlineLevel="1" x14ac:dyDescent="0.55000000000000004">
      <c r="A4774" s="27" t="s">
        <v>327</v>
      </c>
      <c r="B4774" s="28"/>
      <c r="C4774" s="27"/>
      <c r="D4774" s="27" t="str">
        <f>"""NAV Direct"",""CRONUS JetCorp USA"",""21"",""1"",""421543"""</f>
        <v>"NAV Direct","CRONUS JetCorp USA","21","1","421543"</v>
      </c>
      <c r="E4774" s="31">
        <f t="shared" si="1447"/>
        <v>0</v>
      </c>
      <c r="F4774" s="31"/>
      <c r="G4774" s="31"/>
      <c r="H4774" s="31"/>
      <c r="I4774" s="56"/>
      <c r="J4774" s="56"/>
      <c r="K4774" s="82" t="str">
        <f t="shared" si="1448"/>
        <v>Invoice</v>
      </c>
      <c r="L4774" s="83" t="str">
        <f>"SI_112704"</f>
        <v>SI_112704</v>
      </c>
      <c r="M4774" s="84">
        <v>43402</v>
      </c>
      <c r="N4774" s="85">
        <f t="shared" si="1449"/>
        <v>410</v>
      </c>
      <c r="O4774" s="86">
        <f t="shared" si="1450"/>
        <v>7668.96</v>
      </c>
      <c r="P4774" s="86">
        <f t="shared" si="1451"/>
        <v>0</v>
      </c>
      <c r="Q4774" s="86">
        <f t="shared" si="1452"/>
        <v>0</v>
      </c>
      <c r="R4774" s="86">
        <f t="shared" si="1453"/>
        <v>0</v>
      </c>
      <c r="S4774" s="86">
        <f t="shared" si="1454"/>
        <v>0</v>
      </c>
      <c r="T4774" s="86">
        <f t="shared" si="1455"/>
        <v>7668.96</v>
      </c>
      <c r="U4774" s="87">
        <v>7668.96</v>
      </c>
    </row>
    <row r="4775" spans="1:21" s="30" customFormat="1" ht="24.6" hidden="1" outlineLevel="1" x14ac:dyDescent="0.55000000000000004">
      <c r="A4775" s="27" t="s">
        <v>327</v>
      </c>
      <c r="B4775" s="28"/>
      <c r="C4775" s="27"/>
      <c r="D4775" s="27" t="str">
        <f>"""NAV Direct"",""CRONUS JetCorp USA"",""21"",""1"",""421981"""</f>
        <v>"NAV Direct","CRONUS JetCorp USA","21","1","421981"</v>
      </c>
      <c r="E4775" s="31" t="str">
        <f t="shared" si="1447"/>
        <v>C100135</v>
      </c>
      <c r="F4775" s="31"/>
      <c r="G4775" s="31"/>
      <c r="H4775" s="31"/>
      <c r="I4775" s="56"/>
      <c r="J4775" s="56"/>
      <c r="K4775" s="82" t="str">
        <f t="shared" si="1448"/>
        <v>Invoice</v>
      </c>
      <c r="L4775" s="83" t="str">
        <f>"SI_112715"</f>
        <v>SI_112715</v>
      </c>
      <c r="M4775" s="84">
        <v>43465</v>
      </c>
      <c r="N4775" s="85">
        <f t="shared" si="1449"/>
        <v>347</v>
      </c>
      <c r="O4775" s="86">
        <f t="shared" si="1450"/>
        <v>6184.12</v>
      </c>
      <c r="P4775" s="86">
        <f t="shared" si="1451"/>
        <v>0</v>
      </c>
      <c r="Q4775" s="86">
        <f t="shared" si="1452"/>
        <v>0</v>
      </c>
      <c r="R4775" s="86">
        <f t="shared" si="1453"/>
        <v>0</v>
      </c>
      <c r="S4775" s="86">
        <f t="shared" si="1454"/>
        <v>0</v>
      </c>
      <c r="T4775" s="86">
        <f t="shared" si="1455"/>
        <v>6184.12</v>
      </c>
      <c r="U4775" s="87">
        <v>6184.12</v>
      </c>
    </row>
    <row r="4776" spans="1:21" s="30" customFormat="1" ht="24.6" hidden="1" outlineLevel="1" x14ac:dyDescent="0.55000000000000004">
      <c r="A4776" s="27" t="s">
        <v>327</v>
      </c>
      <c r="B4776" s="28"/>
      <c r="C4776" s="27"/>
      <c r="D4776" s="27" t="str">
        <f>"""NAV Direct"",""CRONUS JetCorp USA"",""21"",""1"",""422030"""</f>
        <v>"NAV Direct","CRONUS JetCorp USA","21","1","422030"</v>
      </c>
      <c r="E4776" s="31">
        <f t="shared" si="1447"/>
        <v>0</v>
      </c>
      <c r="F4776" s="31"/>
      <c r="G4776" s="31"/>
      <c r="H4776" s="31"/>
      <c r="I4776" s="56"/>
      <c r="J4776" s="56"/>
      <c r="K4776" s="82" t="str">
        <f t="shared" si="1448"/>
        <v>Invoice</v>
      </c>
      <c r="L4776" s="83" t="str">
        <f>"SI_112716"</f>
        <v>SI_112716</v>
      </c>
      <c r="M4776" s="84">
        <v>43467</v>
      </c>
      <c r="N4776" s="85">
        <f t="shared" si="1449"/>
        <v>345</v>
      </c>
      <c r="O4776" s="86">
        <f t="shared" si="1450"/>
        <v>6184.29</v>
      </c>
      <c r="P4776" s="86">
        <f t="shared" si="1451"/>
        <v>0</v>
      </c>
      <c r="Q4776" s="86">
        <f t="shared" si="1452"/>
        <v>0</v>
      </c>
      <c r="R4776" s="86">
        <f t="shared" si="1453"/>
        <v>0</v>
      </c>
      <c r="S4776" s="86">
        <f t="shared" si="1454"/>
        <v>0</v>
      </c>
      <c r="T4776" s="86">
        <f t="shared" si="1455"/>
        <v>6184.29</v>
      </c>
      <c r="U4776" s="87">
        <v>6184.29</v>
      </c>
    </row>
    <row r="4777" spans="1:21" s="30" customFormat="1" ht="24.6" hidden="1" outlineLevel="1" x14ac:dyDescent="0.55000000000000004">
      <c r="A4777" s="27" t="s">
        <v>327</v>
      </c>
      <c r="B4777" s="28"/>
      <c r="C4777" s="27"/>
      <c r="D4777" s="27" t="str">
        <f>"""NAV Direct"",""CRONUS JetCorp USA"",""21"",""1"",""422413"""</f>
        <v>"NAV Direct","CRONUS JetCorp USA","21","1","422413"</v>
      </c>
      <c r="E4777" s="31" t="str">
        <f t="shared" si="1447"/>
        <v>C100135</v>
      </c>
      <c r="F4777" s="31"/>
      <c r="G4777" s="31"/>
      <c r="H4777" s="31"/>
      <c r="I4777" s="56"/>
      <c r="J4777" s="56"/>
      <c r="K4777" s="82" t="str">
        <f t="shared" si="1448"/>
        <v>Invoice</v>
      </c>
      <c r="L4777" s="83" t="str">
        <f>"SI_112725"</f>
        <v>SI_112725</v>
      </c>
      <c r="M4777" s="84">
        <v>43521</v>
      </c>
      <c r="N4777" s="85">
        <f t="shared" si="1449"/>
        <v>291</v>
      </c>
      <c r="O4777" s="86">
        <f t="shared" si="1450"/>
        <v>6938.74</v>
      </c>
      <c r="P4777" s="86">
        <f t="shared" si="1451"/>
        <v>0</v>
      </c>
      <c r="Q4777" s="86">
        <f t="shared" si="1452"/>
        <v>0</v>
      </c>
      <c r="R4777" s="86">
        <f t="shared" si="1453"/>
        <v>0</v>
      </c>
      <c r="S4777" s="86">
        <f t="shared" si="1454"/>
        <v>0</v>
      </c>
      <c r="T4777" s="86">
        <f t="shared" si="1455"/>
        <v>6938.74</v>
      </c>
      <c r="U4777" s="87">
        <v>6938.74</v>
      </c>
    </row>
    <row r="4778" spans="1:21" s="30" customFormat="1" ht="24.6" hidden="1" outlineLevel="1" x14ac:dyDescent="0.55000000000000004">
      <c r="A4778" s="27" t="s">
        <v>327</v>
      </c>
      <c r="B4778" s="28"/>
      <c r="C4778" s="27"/>
      <c r="D4778" s="27" t="str">
        <f>"""NAV Direct"",""CRONUS JetCorp USA"",""21"",""1"",""422454"""</f>
        <v>"NAV Direct","CRONUS JetCorp USA","21","1","422454"</v>
      </c>
      <c r="E4778" s="31">
        <f t="shared" si="1447"/>
        <v>0</v>
      </c>
      <c r="F4778" s="31"/>
      <c r="G4778" s="31"/>
      <c r="H4778" s="31"/>
      <c r="I4778" s="56"/>
      <c r="J4778" s="56"/>
      <c r="K4778" s="82" t="str">
        <f t="shared" si="1448"/>
        <v>Invoice</v>
      </c>
      <c r="L4778" s="83" t="str">
        <f>"SI_112726"</f>
        <v>SI_112726</v>
      </c>
      <c r="M4778" s="84">
        <v>43519</v>
      </c>
      <c r="N4778" s="85">
        <f t="shared" si="1449"/>
        <v>293</v>
      </c>
      <c r="O4778" s="86">
        <f t="shared" si="1450"/>
        <v>6938.48</v>
      </c>
      <c r="P4778" s="86">
        <f t="shared" si="1451"/>
        <v>0</v>
      </c>
      <c r="Q4778" s="86">
        <f t="shared" si="1452"/>
        <v>0</v>
      </c>
      <c r="R4778" s="86">
        <f t="shared" si="1453"/>
        <v>0</v>
      </c>
      <c r="S4778" s="86">
        <f t="shared" si="1454"/>
        <v>0</v>
      </c>
      <c r="T4778" s="86">
        <f t="shared" si="1455"/>
        <v>6938.48</v>
      </c>
      <c r="U4778" s="87">
        <v>6938.48</v>
      </c>
    </row>
    <row r="4779" spans="1:21" s="30" customFormat="1" ht="24.6" hidden="1" outlineLevel="1" x14ac:dyDescent="0.55000000000000004">
      <c r="A4779" s="27" t="s">
        <v>327</v>
      </c>
      <c r="B4779" s="28"/>
      <c r="C4779" s="27"/>
      <c r="D4779" s="27" t="str">
        <f>"""NAV Direct"",""CRONUS JetCorp USA"",""21"",""1"",""422810"""</f>
        <v>"NAV Direct","CRONUS JetCorp USA","21","1","422810"</v>
      </c>
      <c r="E4779" s="31" t="str">
        <f t="shared" si="1447"/>
        <v>C100135</v>
      </c>
      <c r="F4779" s="31"/>
      <c r="G4779" s="31"/>
      <c r="H4779" s="31"/>
      <c r="I4779" s="56"/>
      <c r="J4779" s="56"/>
      <c r="K4779" s="82" t="str">
        <f t="shared" si="1448"/>
        <v>Invoice</v>
      </c>
      <c r="L4779" s="83" t="str">
        <f>"SI_112734"</f>
        <v>SI_112734</v>
      </c>
      <c r="M4779" s="84">
        <v>43548</v>
      </c>
      <c r="N4779" s="85">
        <f t="shared" si="1449"/>
        <v>264</v>
      </c>
      <c r="O4779" s="86">
        <f t="shared" si="1450"/>
        <v>7979.29</v>
      </c>
      <c r="P4779" s="86">
        <f t="shared" si="1451"/>
        <v>0</v>
      </c>
      <c r="Q4779" s="86">
        <f t="shared" si="1452"/>
        <v>0</v>
      </c>
      <c r="R4779" s="86">
        <f t="shared" si="1453"/>
        <v>0</v>
      </c>
      <c r="S4779" s="86">
        <f t="shared" si="1454"/>
        <v>0</v>
      </c>
      <c r="T4779" s="86">
        <f t="shared" si="1455"/>
        <v>7979.29</v>
      </c>
      <c r="U4779" s="87">
        <v>7979.29</v>
      </c>
    </row>
    <row r="4780" spans="1:21" s="30" customFormat="1" ht="24.6" hidden="1" outlineLevel="1" x14ac:dyDescent="0.55000000000000004">
      <c r="A4780" s="27" t="s">
        <v>327</v>
      </c>
      <c r="B4780" s="28"/>
      <c r="C4780" s="27"/>
      <c r="D4780" s="27" t="str">
        <f>"""NAV Direct"",""CRONUS JetCorp USA"",""21"",""1"",""422943"""</f>
        <v>"NAV Direct","CRONUS JetCorp USA","21","1","422943"</v>
      </c>
      <c r="E4780" s="31">
        <f t="shared" si="1447"/>
        <v>0</v>
      </c>
      <c r="F4780" s="31"/>
      <c r="G4780" s="31"/>
      <c r="H4780" s="31"/>
      <c r="I4780" s="56"/>
      <c r="J4780" s="56"/>
      <c r="K4780" s="82" t="str">
        <f t="shared" si="1448"/>
        <v>Invoice</v>
      </c>
      <c r="L4780" s="83" t="str">
        <f>"SI_112737"</f>
        <v>SI_112737</v>
      </c>
      <c r="M4780" s="84">
        <v>43557</v>
      </c>
      <c r="N4780" s="85">
        <f t="shared" si="1449"/>
        <v>255</v>
      </c>
      <c r="O4780" s="86">
        <f t="shared" si="1450"/>
        <v>7979.53</v>
      </c>
      <c r="P4780" s="86">
        <f t="shared" si="1451"/>
        <v>0</v>
      </c>
      <c r="Q4780" s="86">
        <f t="shared" si="1452"/>
        <v>0</v>
      </c>
      <c r="R4780" s="86">
        <f t="shared" si="1453"/>
        <v>0</v>
      </c>
      <c r="S4780" s="86">
        <f t="shared" si="1454"/>
        <v>0</v>
      </c>
      <c r="T4780" s="86">
        <f t="shared" si="1455"/>
        <v>7979.53</v>
      </c>
      <c r="U4780" s="87">
        <v>7979.53</v>
      </c>
    </row>
    <row r="4781" spans="1:21" s="30" customFormat="1" ht="24.6" hidden="1" outlineLevel="1" x14ac:dyDescent="0.55000000000000004">
      <c r="A4781" s="27" t="s">
        <v>327</v>
      </c>
      <c r="B4781" s="28"/>
      <c r="C4781" s="27"/>
      <c r="D4781" s="27" t="str">
        <f>"""NAV Direct"",""CRONUS JetCorp USA"",""21"",""1"",""423141"""</f>
        <v>"NAV Direct","CRONUS JetCorp USA","21","1","423141"</v>
      </c>
      <c r="E4781" s="31" t="str">
        <f t="shared" si="1447"/>
        <v>C100135</v>
      </c>
      <c r="F4781" s="31"/>
      <c r="G4781" s="31"/>
      <c r="H4781" s="31"/>
      <c r="I4781" s="56"/>
      <c r="J4781" s="56"/>
      <c r="K4781" s="82" t="str">
        <f t="shared" si="1448"/>
        <v>Invoice</v>
      </c>
      <c r="L4781" s="83" t="str">
        <f>"SI_112741"</f>
        <v>SI_112741</v>
      </c>
      <c r="M4781" s="84">
        <v>43576</v>
      </c>
      <c r="N4781" s="85">
        <f t="shared" si="1449"/>
        <v>236</v>
      </c>
      <c r="O4781" s="86">
        <f t="shared" si="1450"/>
        <v>8845.84</v>
      </c>
      <c r="P4781" s="86">
        <f t="shared" si="1451"/>
        <v>0</v>
      </c>
      <c r="Q4781" s="86">
        <f t="shared" si="1452"/>
        <v>0</v>
      </c>
      <c r="R4781" s="86">
        <f t="shared" si="1453"/>
        <v>0</v>
      </c>
      <c r="S4781" s="86">
        <f t="shared" si="1454"/>
        <v>0</v>
      </c>
      <c r="T4781" s="86">
        <f t="shared" si="1455"/>
        <v>8845.84</v>
      </c>
      <c r="U4781" s="87">
        <v>8845.84</v>
      </c>
    </row>
    <row r="4782" spans="1:21" s="30" customFormat="1" ht="24.6" hidden="1" outlineLevel="1" x14ac:dyDescent="0.55000000000000004">
      <c r="A4782" s="27" t="s">
        <v>327</v>
      </c>
      <c r="B4782" s="28"/>
      <c r="C4782" s="27"/>
      <c r="D4782" s="27" t="str">
        <f>"""NAV Direct"",""CRONUS JetCorp USA"",""21"",""1"",""423243"""</f>
        <v>"NAV Direct","CRONUS JetCorp USA","21","1","423243"</v>
      </c>
      <c r="E4782" s="31">
        <f t="shared" si="1447"/>
        <v>0</v>
      </c>
      <c r="F4782" s="31"/>
      <c r="G4782" s="31"/>
      <c r="H4782" s="31"/>
      <c r="I4782" s="56"/>
      <c r="J4782" s="56"/>
      <c r="K4782" s="82" t="str">
        <f t="shared" si="1448"/>
        <v>Invoice</v>
      </c>
      <c r="L4782" s="83" t="str">
        <f>"SI_112743"</f>
        <v>SI_112743</v>
      </c>
      <c r="M4782" s="84">
        <v>43575</v>
      </c>
      <c r="N4782" s="85">
        <f t="shared" si="1449"/>
        <v>237</v>
      </c>
      <c r="O4782" s="86">
        <f t="shared" si="1450"/>
        <v>7933.92</v>
      </c>
      <c r="P4782" s="86">
        <f t="shared" si="1451"/>
        <v>0</v>
      </c>
      <c r="Q4782" s="86">
        <f t="shared" si="1452"/>
        <v>0</v>
      </c>
      <c r="R4782" s="86">
        <f t="shared" si="1453"/>
        <v>0</v>
      </c>
      <c r="S4782" s="86">
        <f t="shared" si="1454"/>
        <v>0</v>
      </c>
      <c r="T4782" s="86">
        <f t="shared" si="1455"/>
        <v>7933.92</v>
      </c>
      <c r="U4782" s="87">
        <v>7933.92</v>
      </c>
    </row>
    <row r="4783" spans="1:21" s="30" customFormat="1" ht="24.6" hidden="1" outlineLevel="1" x14ac:dyDescent="0.55000000000000004">
      <c r="A4783" s="27" t="s">
        <v>327</v>
      </c>
      <c r="B4783" s="28"/>
      <c r="C4783" s="27"/>
      <c r="D4783" s="27" t="str">
        <f>"""NAV Direct"",""CRONUS JetCorp USA"",""21"",""1"",""423351"""</f>
        <v>"NAV Direct","CRONUS JetCorp USA","21","1","423351"</v>
      </c>
      <c r="E4783" s="31" t="str">
        <f t="shared" si="1447"/>
        <v>C100135</v>
      </c>
      <c r="F4783" s="31"/>
      <c r="G4783" s="31"/>
      <c r="H4783" s="31"/>
      <c r="I4783" s="56"/>
      <c r="J4783" s="56"/>
      <c r="K4783" s="82" t="str">
        <f t="shared" si="1448"/>
        <v>Invoice</v>
      </c>
      <c r="L4783" s="83" t="str">
        <f>"SI_112745"</f>
        <v>SI_112745</v>
      </c>
      <c r="M4783" s="84">
        <v>43579</v>
      </c>
      <c r="N4783" s="85">
        <f t="shared" si="1449"/>
        <v>233</v>
      </c>
      <c r="O4783" s="86">
        <f t="shared" si="1450"/>
        <v>8663.4500000000007</v>
      </c>
      <c r="P4783" s="86">
        <f t="shared" si="1451"/>
        <v>0</v>
      </c>
      <c r="Q4783" s="86">
        <f t="shared" si="1452"/>
        <v>0</v>
      </c>
      <c r="R4783" s="86">
        <f t="shared" si="1453"/>
        <v>0</v>
      </c>
      <c r="S4783" s="86">
        <f t="shared" si="1454"/>
        <v>0</v>
      </c>
      <c r="T4783" s="86">
        <f t="shared" si="1455"/>
        <v>8663.4500000000007</v>
      </c>
      <c r="U4783" s="87">
        <v>8663.4500000000007</v>
      </c>
    </row>
    <row r="4784" spans="1:21" s="30" customFormat="1" ht="24.6" hidden="1" outlineLevel="1" x14ac:dyDescent="0.55000000000000004">
      <c r="A4784" s="27" t="s">
        <v>327</v>
      </c>
      <c r="B4784" s="28"/>
      <c r="C4784" s="27"/>
      <c r="D4784" s="27" t="str">
        <f>"""NAV Direct"",""CRONUS JetCorp USA"",""21"",""1"",""423533"""</f>
        <v>"NAV Direct","CRONUS JetCorp USA","21","1","423533"</v>
      </c>
      <c r="E4784" s="31">
        <f t="shared" si="1447"/>
        <v>0</v>
      </c>
      <c r="F4784" s="31"/>
      <c r="G4784" s="31"/>
      <c r="H4784" s="31"/>
      <c r="I4784" s="56"/>
      <c r="J4784" s="56"/>
      <c r="K4784" s="82" t="str">
        <f t="shared" si="1448"/>
        <v>Invoice</v>
      </c>
      <c r="L4784" s="83" t="str">
        <f>"SI_112749"</f>
        <v>SI_112749</v>
      </c>
      <c r="M4784" s="84">
        <v>43590</v>
      </c>
      <c r="N4784" s="85">
        <f t="shared" si="1449"/>
        <v>222</v>
      </c>
      <c r="O4784" s="86">
        <f t="shared" si="1450"/>
        <v>8845.869999999999</v>
      </c>
      <c r="P4784" s="86">
        <f t="shared" si="1451"/>
        <v>0</v>
      </c>
      <c r="Q4784" s="86">
        <f t="shared" si="1452"/>
        <v>0</v>
      </c>
      <c r="R4784" s="86">
        <f t="shared" si="1453"/>
        <v>0</v>
      </c>
      <c r="S4784" s="86">
        <f t="shared" si="1454"/>
        <v>0</v>
      </c>
      <c r="T4784" s="86">
        <f t="shared" si="1455"/>
        <v>8845.869999999999</v>
      </c>
      <c r="U4784" s="87">
        <v>8845.869999999999</v>
      </c>
    </row>
    <row r="4785" spans="1:21" s="30" customFormat="1" ht="24.6" hidden="1" outlineLevel="1" x14ac:dyDescent="0.55000000000000004">
      <c r="A4785" s="27" t="s">
        <v>327</v>
      </c>
      <c r="B4785" s="28"/>
      <c r="C4785" s="27"/>
      <c r="D4785" s="27" t="str">
        <f>"""NAV Direct"",""CRONUS JetCorp USA"",""21"",""1"",""423718"""</f>
        <v>"NAV Direct","CRONUS JetCorp USA","21","1","423718"</v>
      </c>
      <c r="E4785" s="31" t="str">
        <f t="shared" si="1447"/>
        <v>C100135</v>
      </c>
      <c r="F4785" s="31"/>
      <c r="G4785" s="31"/>
      <c r="H4785" s="31"/>
      <c r="I4785" s="56"/>
      <c r="J4785" s="56"/>
      <c r="K4785" s="82" t="str">
        <f t="shared" si="1448"/>
        <v>Invoice</v>
      </c>
      <c r="L4785" s="83" t="str">
        <f>"SI_112754"</f>
        <v>SI_112754</v>
      </c>
      <c r="M4785" s="84">
        <v>43615</v>
      </c>
      <c r="N4785" s="85">
        <f t="shared" si="1449"/>
        <v>197</v>
      </c>
      <c r="O4785" s="86">
        <f t="shared" si="1450"/>
        <v>4869.7300000000005</v>
      </c>
      <c r="P4785" s="86">
        <f t="shared" si="1451"/>
        <v>0</v>
      </c>
      <c r="Q4785" s="86">
        <f t="shared" si="1452"/>
        <v>0</v>
      </c>
      <c r="R4785" s="86">
        <f t="shared" si="1453"/>
        <v>0</v>
      </c>
      <c r="S4785" s="86">
        <f t="shared" si="1454"/>
        <v>0</v>
      </c>
      <c r="T4785" s="86">
        <f t="shared" si="1455"/>
        <v>4869.7300000000005</v>
      </c>
      <c r="U4785" s="87">
        <v>4869.7300000000005</v>
      </c>
    </row>
    <row r="4786" spans="1:21" s="30" customFormat="1" ht="24.6" hidden="1" outlineLevel="1" x14ac:dyDescent="0.55000000000000004">
      <c r="A4786" s="27" t="s">
        <v>327</v>
      </c>
      <c r="B4786" s="28"/>
      <c r="C4786" s="27"/>
      <c r="D4786" s="27" t="str">
        <f>"""NAV Direct"",""CRONUS JetCorp USA"",""21"",""1"",""423847"""</f>
        <v>"NAV Direct","CRONUS JetCorp USA","21","1","423847"</v>
      </c>
      <c r="E4786" s="31">
        <f t="shared" si="1447"/>
        <v>0</v>
      </c>
      <c r="F4786" s="31"/>
      <c r="G4786" s="31"/>
      <c r="H4786" s="31"/>
      <c r="I4786" s="56"/>
      <c r="J4786" s="56"/>
      <c r="K4786" s="82" t="str">
        <f t="shared" si="1448"/>
        <v>Invoice</v>
      </c>
      <c r="L4786" s="83" t="str">
        <f>"SI_112757"</f>
        <v>SI_112757</v>
      </c>
      <c r="M4786" s="84">
        <v>43619</v>
      </c>
      <c r="N4786" s="85">
        <f t="shared" si="1449"/>
        <v>193</v>
      </c>
      <c r="O4786" s="86">
        <f t="shared" si="1450"/>
        <v>4705.58</v>
      </c>
      <c r="P4786" s="86">
        <f t="shared" si="1451"/>
        <v>0</v>
      </c>
      <c r="Q4786" s="86">
        <f t="shared" si="1452"/>
        <v>0</v>
      </c>
      <c r="R4786" s="86">
        <f t="shared" si="1453"/>
        <v>0</v>
      </c>
      <c r="S4786" s="86">
        <f t="shared" si="1454"/>
        <v>0</v>
      </c>
      <c r="T4786" s="86">
        <f t="shared" si="1455"/>
        <v>4705.58</v>
      </c>
      <c r="U4786" s="87">
        <v>4705.58</v>
      </c>
    </row>
    <row r="4787" spans="1:21" s="30" customFormat="1" ht="24.6" hidden="1" outlineLevel="1" x14ac:dyDescent="0.55000000000000004">
      <c r="A4787" s="27" t="s">
        <v>327</v>
      </c>
      <c r="B4787" s="28"/>
      <c r="C4787" s="27"/>
      <c r="D4787" s="27" t="str">
        <f>"""NAV Direct"",""CRONUS JetCorp USA"",""21"",""1"",""423923"""</f>
        <v>"NAV Direct","CRONUS JetCorp USA","21","1","423923"</v>
      </c>
      <c r="E4787" s="31" t="str">
        <f t="shared" si="1447"/>
        <v>C100135</v>
      </c>
      <c r="F4787" s="31"/>
      <c r="G4787" s="31"/>
      <c r="H4787" s="31"/>
      <c r="I4787" s="56"/>
      <c r="J4787" s="56"/>
      <c r="K4787" s="82" t="str">
        <f t="shared" si="1448"/>
        <v>Invoice</v>
      </c>
      <c r="L4787" s="83" t="str">
        <f>"SI_112759"</f>
        <v>SI_112759</v>
      </c>
      <c r="M4787" s="84">
        <v>43636</v>
      </c>
      <c r="N4787" s="85">
        <f t="shared" si="1449"/>
        <v>176</v>
      </c>
      <c r="O4787" s="86">
        <f t="shared" si="1450"/>
        <v>4719.8100000000004</v>
      </c>
      <c r="P4787" s="86">
        <f t="shared" si="1451"/>
        <v>0</v>
      </c>
      <c r="Q4787" s="86">
        <f t="shared" si="1452"/>
        <v>0</v>
      </c>
      <c r="R4787" s="86">
        <f t="shared" si="1453"/>
        <v>0</v>
      </c>
      <c r="S4787" s="86">
        <f t="shared" si="1454"/>
        <v>0</v>
      </c>
      <c r="T4787" s="86">
        <f t="shared" si="1455"/>
        <v>4719.8100000000004</v>
      </c>
      <c r="U4787" s="87">
        <v>4719.8100000000004</v>
      </c>
    </row>
    <row r="4788" spans="1:21" s="30" customFormat="1" ht="24.6" hidden="1" outlineLevel="1" x14ac:dyDescent="0.55000000000000004">
      <c r="A4788" s="27" t="s">
        <v>327</v>
      </c>
      <c r="B4788" s="28"/>
      <c r="C4788" s="27"/>
      <c r="D4788" s="27" t="str">
        <f>"""NAV Direct"",""CRONUS JetCorp USA"",""21"",""1"",""424025"""</f>
        <v>"NAV Direct","CRONUS JetCorp USA","21","1","424025"</v>
      </c>
      <c r="E4788" s="31">
        <f t="shared" si="1447"/>
        <v>0</v>
      </c>
      <c r="F4788" s="31"/>
      <c r="G4788" s="31"/>
      <c r="H4788" s="31"/>
      <c r="I4788" s="56"/>
      <c r="J4788" s="56"/>
      <c r="K4788" s="82" t="str">
        <f t="shared" si="1448"/>
        <v>Invoice</v>
      </c>
      <c r="L4788" s="83" t="str">
        <f>"SI_112762"</f>
        <v>SI_112762</v>
      </c>
      <c r="M4788" s="84">
        <v>43643</v>
      </c>
      <c r="N4788" s="85">
        <f t="shared" si="1449"/>
        <v>169</v>
      </c>
      <c r="O4788" s="86">
        <f t="shared" si="1450"/>
        <v>5048.8899999999994</v>
      </c>
      <c r="P4788" s="86">
        <f t="shared" si="1451"/>
        <v>0</v>
      </c>
      <c r="Q4788" s="86">
        <f t="shared" si="1452"/>
        <v>0</v>
      </c>
      <c r="R4788" s="86">
        <f t="shared" si="1453"/>
        <v>0</v>
      </c>
      <c r="S4788" s="86">
        <f t="shared" si="1454"/>
        <v>0</v>
      </c>
      <c r="T4788" s="86">
        <f t="shared" si="1455"/>
        <v>5048.8899999999994</v>
      </c>
      <c r="U4788" s="87">
        <v>5048.8899999999994</v>
      </c>
    </row>
    <row r="4789" spans="1:21" s="30" customFormat="1" ht="24.6" hidden="1" outlineLevel="1" x14ac:dyDescent="0.55000000000000004">
      <c r="A4789" s="27" t="s">
        <v>327</v>
      </c>
      <c r="B4789" s="28"/>
      <c r="C4789" s="27"/>
      <c r="D4789" s="27" t="str">
        <f>"""NAV Direct"",""CRONUS JetCorp USA"",""21"",""1"",""424490"""</f>
        <v>"NAV Direct","CRONUS JetCorp USA","21","1","424490"</v>
      </c>
      <c r="E4789" s="31" t="str">
        <f t="shared" si="1447"/>
        <v>C100135</v>
      </c>
      <c r="F4789" s="31"/>
      <c r="G4789" s="31"/>
      <c r="H4789" s="31"/>
      <c r="I4789" s="56"/>
      <c r="J4789" s="56"/>
      <c r="K4789" s="82" t="str">
        <f t="shared" si="1448"/>
        <v>Invoice</v>
      </c>
      <c r="L4789" s="83" t="str">
        <f>"SI_112773"</f>
        <v>SI_112773</v>
      </c>
      <c r="M4789" s="84">
        <v>43676</v>
      </c>
      <c r="N4789" s="85">
        <f t="shared" si="1449"/>
        <v>136</v>
      </c>
      <c r="O4789" s="86">
        <f t="shared" si="1450"/>
        <v>5582.69</v>
      </c>
      <c r="P4789" s="86">
        <f t="shared" si="1451"/>
        <v>0</v>
      </c>
      <c r="Q4789" s="86">
        <f t="shared" si="1452"/>
        <v>0</v>
      </c>
      <c r="R4789" s="86">
        <f t="shared" si="1453"/>
        <v>0</v>
      </c>
      <c r="S4789" s="86">
        <f t="shared" si="1454"/>
        <v>0</v>
      </c>
      <c r="T4789" s="86">
        <f t="shared" si="1455"/>
        <v>5582.69</v>
      </c>
      <c r="U4789" s="87">
        <v>5582.69</v>
      </c>
    </row>
    <row r="4790" spans="1:21" s="30" customFormat="1" ht="24.6" hidden="1" outlineLevel="1" x14ac:dyDescent="0.55000000000000004">
      <c r="A4790" s="27" t="s">
        <v>327</v>
      </c>
      <c r="B4790" s="28"/>
      <c r="C4790" s="27"/>
      <c r="D4790" s="27" t="str">
        <f>"""NAV Direct"",""CRONUS JetCorp USA"",""21"",""1"",""424637"""</f>
        <v>"NAV Direct","CRONUS JetCorp USA","21","1","424637"</v>
      </c>
      <c r="E4790" s="31">
        <f t="shared" si="1447"/>
        <v>0</v>
      </c>
      <c r="F4790" s="31"/>
      <c r="G4790" s="31"/>
      <c r="H4790" s="31"/>
      <c r="I4790" s="56"/>
      <c r="J4790" s="56"/>
      <c r="K4790" s="82" t="str">
        <f t="shared" si="1448"/>
        <v>Invoice</v>
      </c>
      <c r="L4790" s="83" t="str">
        <f>"SI_112777"</f>
        <v>SI_112777</v>
      </c>
      <c r="M4790" s="84">
        <v>43693</v>
      </c>
      <c r="N4790" s="85">
        <f t="shared" si="1449"/>
        <v>119</v>
      </c>
      <c r="O4790" s="86">
        <f t="shared" si="1450"/>
        <v>5721.63</v>
      </c>
      <c r="P4790" s="86">
        <f t="shared" si="1451"/>
        <v>0</v>
      </c>
      <c r="Q4790" s="86">
        <f t="shared" si="1452"/>
        <v>0</v>
      </c>
      <c r="R4790" s="86">
        <f t="shared" si="1453"/>
        <v>0</v>
      </c>
      <c r="S4790" s="86">
        <f t="shared" si="1454"/>
        <v>0</v>
      </c>
      <c r="T4790" s="86">
        <f t="shared" si="1455"/>
        <v>5721.63</v>
      </c>
      <c r="U4790" s="87">
        <v>5721.63</v>
      </c>
    </row>
    <row r="4791" spans="1:21" s="30" customFormat="1" ht="24.6" hidden="1" outlineLevel="1" x14ac:dyDescent="0.55000000000000004">
      <c r="A4791" s="27" t="s">
        <v>327</v>
      </c>
      <c r="B4791" s="28"/>
      <c r="C4791" s="27"/>
      <c r="D4791" s="27" t="str">
        <f>"""NAV Direct"",""CRONUS JetCorp USA"",""21"",""1"",""424674"""</f>
        <v>"NAV Direct","CRONUS JetCorp USA","21","1","424674"</v>
      </c>
      <c r="E4791" s="31" t="str">
        <f t="shared" si="1447"/>
        <v>C100135</v>
      </c>
      <c r="F4791" s="31"/>
      <c r="G4791" s="31"/>
      <c r="H4791" s="31"/>
      <c r="I4791" s="56"/>
      <c r="J4791" s="56"/>
      <c r="K4791" s="82" t="str">
        <f t="shared" si="1448"/>
        <v>Invoice</v>
      </c>
      <c r="L4791" s="83" t="str">
        <f>"SI_112778"</f>
        <v>SI_112778</v>
      </c>
      <c r="M4791" s="84">
        <v>43702</v>
      </c>
      <c r="N4791" s="85">
        <f t="shared" si="1449"/>
        <v>110</v>
      </c>
      <c r="O4791" s="86">
        <f t="shared" si="1450"/>
        <v>5906.3</v>
      </c>
      <c r="P4791" s="86">
        <f t="shared" si="1451"/>
        <v>0</v>
      </c>
      <c r="Q4791" s="86">
        <f t="shared" si="1452"/>
        <v>0</v>
      </c>
      <c r="R4791" s="86">
        <f t="shared" si="1453"/>
        <v>0</v>
      </c>
      <c r="S4791" s="86">
        <f t="shared" si="1454"/>
        <v>0</v>
      </c>
      <c r="T4791" s="86">
        <f t="shared" si="1455"/>
        <v>5906.3</v>
      </c>
      <c r="U4791" s="87">
        <v>5906.3</v>
      </c>
    </row>
    <row r="4792" spans="1:21" s="30" customFormat="1" ht="24.6" hidden="1" outlineLevel="1" x14ac:dyDescent="0.55000000000000004">
      <c r="A4792" s="27" t="s">
        <v>327</v>
      </c>
      <c r="B4792" s="28"/>
      <c r="C4792" s="27"/>
      <c r="D4792" s="27" t="str">
        <f>"""NAV Direct"",""CRONUS JetCorp USA"",""21"",""1"",""424725"""</f>
        <v>"NAV Direct","CRONUS JetCorp USA","21","1","424725"</v>
      </c>
      <c r="E4792" s="31">
        <f t="shared" si="1447"/>
        <v>0</v>
      </c>
      <c r="F4792" s="31"/>
      <c r="G4792" s="31"/>
      <c r="H4792" s="31"/>
      <c r="I4792" s="56"/>
      <c r="J4792" s="56"/>
      <c r="K4792" s="82" t="str">
        <f t="shared" si="1448"/>
        <v>Invoice</v>
      </c>
      <c r="L4792" s="83" t="str">
        <f>"SI_112779"</f>
        <v>SI_112779</v>
      </c>
      <c r="M4792" s="84">
        <v>43701</v>
      </c>
      <c r="N4792" s="85">
        <f t="shared" si="1449"/>
        <v>111</v>
      </c>
      <c r="O4792" s="86">
        <f t="shared" si="1450"/>
        <v>5844.63</v>
      </c>
      <c r="P4792" s="86">
        <f t="shared" si="1451"/>
        <v>0</v>
      </c>
      <c r="Q4792" s="86">
        <f t="shared" si="1452"/>
        <v>0</v>
      </c>
      <c r="R4792" s="86">
        <f t="shared" si="1453"/>
        <v>0</v>
      </c>
      <c r="S4792" s="86">
        <f t="shared" si="1454"/>
        <v>0</v>
      </c>
      <c r="T4792" s="86">
        <f t="shared" si="1455"/>
        <v>5844.63</v>
      </c>
      <c r="U4792" s="87">
        <v>5844.63</v>
      </c>
    </row>
    <row r="4793" spans="1:21" s="30" customFormat="1" ht="24.6" hidden="1" outlineLevel="1" x14ac:dyDescent="0.55000000000000004">
      <c r="A4793" s="27" t="s">
        <v>327</v>
      </c>
      <c r="B4793" s="28"/>
      <c r="C4793" s="27"/>
      <c r="D4793" s="27" t="str">
        <f>"""NAV Direct"",""CRONUS JetCorp USA"",""21"",""1"",""425162"""</f>
        <v>"NAV Direct","CRONUS JetCorp USA","21","1","425162"</v>
      </c>
      <c r="E4793" s="31" t="str">
        <f t="shared" si="1447"/>
        <v>C100135</v>
      </c>
      <c r="F4793" s="31"/>
      <c r="G4793" s="31"/>
      <c r="H4793" s="31"/>
      <c r="I4793" s="56"/>
      <c r="J4793" s="56"/>
      <c r="K4793" s="82" t="str">
        <f t="shared" si="1448"/>
        <v>Invoice</v>
      </c>
      <c r="L4793" s="83" t="str">
        <f>"SI_112790"</f>
        <v>SI_112790</v>
      </c>
      <c r="M4793" s="84">
        <v>43733</v>
      </c>
      <c r="N4793" s="85">
        <f t="shared" si="1449"/>
        <v>79</v>
      </c>
      <c r="O4793" s="86">
        <f t="shared" si="1450"/>
        <v>6035.45</v>
      </c>
      <c r="P4793" s="86">
        <f t="shared" si="1451"/>
        <v>0</v>
      </c>
      <c r="Q4793" s="86">
        <f t="shared" si="1452"/>
        <v>0</v>
      </c>
      <c r="R4793" s="86">
        <f t="shared" si="1453"/>
        <v>0</v>
      </c>
      <c r="S4793" s="86">
        <f t="shared" si="1454"/>
        <v>6035.45</v>
      </c>
      <c r="T4793" s="86">
        <f t="shared" si="1455"/>
        <v>0</v>
      </c>
      <c r="U4793" s="87">
        <v>6035.45</v>
      </c>
    </row>
    <row r="4794" spans="1:21" s="30" customFormat="1" ht="24.6" hidden="1" outlineLevel="1" x14ac:dyDescent="0.55000000000000004">
      <c r="A4794" s="27" t="s">
        <v>327</v>
      </c>
      <c r="B4794" s="28"/>
      <c r="C4794" s="27"/>
      <c r="D4794" s="27" t="str">
        <f>"""NAV Direct"",""CRONUS JetCorp USA"",""21"",""1"",""425349"""</f>
        <v>"NAV Direct","CRONUS JetCorp USA","21","1","425349"</v>
      </c>
      <c r="E4794" s="31">
        <f t="shared" si="1447"/>
        <v>0</v>
      </c>
      <c r="F4794" s="31"/>
      <c r="G4794" s="31"/>
      <c r="H4794" s="31"/>
      <c r="I4794" s="56"/>
      <c r="J4794" s="56"/>
      <c r="K4794" s="82" t="str">
        <f t="shared" si="1448"/>
        <v>Invoice</v>
      </c>
      <c r="L4794" s="83" t="str">
        <f>"SI_112795"</f>
        <v>SI_112795</v>
      </c>
      <c r="M4794" s="84">
        <v>43741</v>
      </c>
      <c r="N4794" s="85">
        <f t="shared" si="1449"/>
        <v>71</v>
      </c>
      <c r="O4794" s="86">
        <f t="shared" si="1450"/>
        <v>6437.83</v>
      </c>
      <c r="P4794" s="86">
        <f t="shared" si="1451"/>
        <v>0</v>
      </c>
      <c r="Q4794" s="86">
        <f t="shared" si="1452"/>
        <v>0</v>
      </c>
      <c r="R4794" s="86">
        <f t="shared" si="1453"/>
        <v>0</v>
      </c>
      <c r="S4794" s="86">
        <f t="shared" si="1454"/>
        <v>6437.83</v>
      </c>
      <c r="T4794" s="86">
        <f t="shared" si="1455"/>
        <v>0</v>
      </c>
      <c r="U4794" s="87">
        <v>6437.83</v>
      </c>
    </row>
    <row r="4795" spans="1:21" s="30" customFormat="1" ht="24.6" hidden="1" outlineLevel="1" x14ac:dyDescent="0.55000000000000004">
      <c r="A4795" s="27" t="s">
        <v>327</v>
      </c>
      <c r="B4795" s="28"/>
      <c r="C4795" s="27"/>
      <c r="D4795" s="27" t="str">
        <f>"""NAV Direct"",""CRONUS JetCorp USA"",""21"",""1"",""425505"""</f>
        <v>"NAV Direct","CRONUS JetCorp USA","21","1","425505"</v>
      </c>
      <c r="E4795" s="31" t="str">
        <f t="shared" si="1447"/>
        <v>C100135</v>
      </c>
      <c r="F4795" s="31"/>
      <c r="G4795" s="31"/>
      <c r="H4795" s="31"/>
      <c r="I4795" s="56"/>
      <c r="J4795" s="56"/>
      <c r="K4795" s="82" t="str">
        <f t="shared" si="1448"/>
        <v>Invoice</v>
      </c>
      <c r="L4795" s="83" t="str">
        <f>"SI_112799"</f>
        <v>SI_112799</v>
      </c>
      <c r="M4795" s="84">
        <v>43765</v>
      </c>
      <c r="N4795" s="85">
        <f t="shared" si="1449"/>
        <v>47</v>
      </c>
      <c r="O4795" s="86">
        <f t="shared" si="1450"/>
        <v>6786.55</v>
      </c>
      <c r="P4795" s="86">
        <f t="shared" si="1451"/>
        <v>0</v>
      </c>
      <c r="Q4795" s="86">
        <f t="shared" si="1452"/>
        <v>0</v>
      </c>
      <c r="R4795" s="86">
        <f t="shared" si="1453"/>
        <v>6786.55</v>
      </c>
      <c r="S4795" s="86">
        <f t="shared" si="1454"/>
        <v>0</v>
      </c>
      <c r="T4795" s="86">
        <f t="shared" si="1455"/>
        <v>0</v>
      </c>
      <c r="U4795" s="87">
        <v>6786.55</v>
      </c>
    </row>
    <row r="4796" spans="1:21" s="30" customFormat="1" ht="24.6" hidden="1" outlineLevel="1" x14ac:dyDescent="0.55000000000000004">
      <c r="A4796" s="27" t="s">
        <v>327</v>
      </c>
      <c r="B4796" s="28"/>
      <c r="C4796" s="27"/>
      <c r="D4796" s="27" t="str">
        <f>"""NAV Direct"",""CRONUS JetCorp USA"",""21"",""1"",""425941"""</f>
        <v>"NAV Direct","CRONUS JetCorp USA","21","1","425941"</v>
      </c>
      <c r="E4796" s="31">
        <f t="shared" si="1447"/>
        <v>0</v>
      </c>
      <c r="F4796" s="31"/>
      <c r="G4796" s="31"/>
      <c r="H4796" s="31"/>
      <c r="I4796" s="56"/>
      <c r="J4796" s="56"/>
      <c r="K4796" s="82" t="str">
        <f t="shared" si="1448"/>
        <v>Invoice</v>
      </c>
      <c r="L4796" s="83" t="str">
        <f>"SI_112809"</f>
        <v>SI_112809</v>
      </c>
      <c r="M4796" s="84">
        <v>43804</v>
      </c>
      <c r="N4796" s="85">
        <f t="shared" si="1449"/>
        <v>8</v>
      </c>
      <c r="O4796" s="86">
        <f t="shared" si="1450"/>
        <v>8241.23</v>
      </c>
      <c r="P4796" s="86">
        <f t="shared" si="1451"/>
        <v>0</v>
      </c>
      <c r="Q4796" s="86">
        <f t="shared" si="1452"/>
        <v>8241.23</v>
      </c>
      <c r="R4796" s="86">
        <f t="shared" si="1453"/>
        <v>0</v>
      </c>
      <c r="S4796" s="86">
        <f t="shared" si="1454"/>
        <v>0</v>
      </c>
      <c r="T4796" s="86">
        <f t="shared" si="1455"/>
        <v>0</v>
      </c>
      <c r="U4796" s="87">
        <v>8241.23</v>
      </c>
    </row>
    <row r="4797" spans="1:21" s="30" customFormat="1" ht="24.6" hidden="1" outlineLevel="1" x14ac:dyDescent="0.55000000000000004">
      <c r="A4797" s="27" t="s">
        <v>327</v>
      </c>
      <c r="B4797" s="28"/>
      <c r="C4797" s="27"/>
      <c r="D4797" s="27" t="str">
        <f>"""NAV Direct"",""CRONUS JetCorp USA"",""21"",""1"",""426117"""</f>
        <v>"NAV Direct","CRONUS JetCorp USA","21","1","426117"</v>
      </c>
      <c r="E4797" s="31" t="str">
        <f t="shared" si="1447"/>
        <v>C100135</v>
      </c>
      <c r="F4797" s="31"/>
      <c r="G4797" s="31"/>
      <c r="H4797" s="31"/>
      <c r="I4797" s="56"/>
      <c r="J4797" s="56"/>
      <c r="K4797" s="82" t="str">
        <f t="shared" si="1448"/>
        <v>Invoice</v>
      </c>
      <c r="L4797" s="83" t="str">
        <f>"SI_112813"</f>
        <v>SI_112813</v>
      </c>
      <c r="M4797" s="84">
        <v>43818</v>
      </c>
      <c r="N4797" s="85">
        <f t="shared" si="1449"/>
        <v>-6</v>
      </c>
      <c r="O4797" s="86">
        <f t="shared" si="1450"/>
        <v>6962.91</v>
      </c>
      <c r="P4797" s="86">
        <f t="shared" si="1451"/>
        <v>6962.91</v>
      </c>
      <c r="Q4797" s="86">
        <f t="shared" si="1452"/>
        <v>0</v>
      </c>
      <c r="R4797" s="86">
        <f t="shared" si="1453"/>
        <v>0</v>
      </c>
      <c r="S4797" s="86">
        <f t="shared" si="1454"/>
        <v>0</v>
      </c>
      <c r="T4797" s="86">
        <f t="shared" si="1455"/>
        <v>0</v>
      </c>
      <c r="U4797" s="87">
        <v>6962.91</v>
      </c>
    </row>
    <row r="4798" spans="1:21" s="30" customFormat="1" ht="24.6" hidden="1" outlineLevel="1" x14ac:dyDescent="0.55000000000000004">
      <c r="A4798" s="27" t="s">
        <v>327</v>
      </c>
      <c r="B4798" s="28"/>
      <c r="C4798" s="27"/>
      <c r="D4798" s="27" t="str">
        <f>"""NAV Direct"",""CRONUS JetCorp USA"",""21"",""1"",""426592"""</f>
        <v>"NAV Direct","CRONUS JetCorp USA","21","1","426592"</v>
      </c>
      <c r="E4798" s="31">
        <f t="shared" si="1447"/>
        <v>0</v>
      </c>
      <c r="F4798" s="31"/>
      <c r="G4798" s="31"/>
      <c r="H4798" s="31"/>
      <c r="I4798" s="56"/>
      <c r="J4798" s="56"/>
      <c r="K4798" s="82" t="str">
        <f t="shared" si="1448"/>
        <v>Invoice</v>
      </c>
      <c r="L4798" s="83" t="str">
        <f>"SI_112823"</f>
        <v>SI_112823</v>
      </c>
      <c r="M4798" s="84">
        <v>42033</v>
      </c>
      <c r="N4798" s="85">
        <f t="shared" si="1449"/>
        <v>1779</v>
      </c>
      <c r="O4798" s="86">
        <f t="shared" si="1450"/>
        <v>7654.51</v>
      </c>
      <c r="P4798" s="86">
        <f t="shared" si="1451"/>
        <v>0</v>
      </c>
      <c r="Q4798" s="86">
        <f t="shared" si="1452"/>
        <v>0</v>
      </c>
      <c r="R4798" s="86">
        <f t="shared" si="1453"/>
        <v>0</v>
      </c>
      <c r="S4798" s="86">
        <f t="shared" si="1454"/>
        <v>0</v>
      </c>
      <c r="T4798" s="86">
        <f t="shared" si="1455"/>
        <v>7654.51</v>
      </c>
      <c r="U4798" s="87">
        <v>7654.51</v>
      </c>
    </row>
    <row r="4799" spans="1:21" s="30" customFormat="1" ht="24.6" hidden="1" outlineLevel="1" x14ac:dyDescent="0.55000000000000004">
      <c r="A4799" s="27" t="s">
        <v>327</v>
      </c>
      <c r="B4799" s="28"/>
      <c r="C4799" s="27"/>
      <c r="D4799" s="27" t="str">
        <f>"""NAV Direct"",""CRONUS JetCorp USA"",""21"",""1"",""426643"""</f>
        <v>"NAV Direct","CRONUS JetCorp USA","21","1","426643"</v>
      </c>
      <c r="E4799" s="31" t="str">
        <f t="shared" si="1447"/>
        <v>C100135</v>
      </c>
      <c r="F4799" s="31"/>
      <c r="G4799" s="31"/>
      <c r="H4799" s="31"/>
      <c r="I4799" s="56"/>
      <c r="J4799" s="56"/>
      <c r="K4799" s="82" t="str">
        <f t="shared" si="1448"/>
        <v>Invoice</v>
      </c>
      <c r="L4799" s="83" t="str">
        <f>"SI_112824"</f>
        <v>SI_112824</v>
      </c>
      <c r="M4799" s="84">
        <v>42035</v>
      </c>
      <c r="N4799" s="85">
        <f t="shared" si="1449"/>
        <v>1777</v>
      </c>
      <c r="O4799" s="86">
        <f t="shared" si="1450"/>
        <v>7654.38</v>
      </c>
      <c r="P4799" s="86">
        <f t="shared" si="1451"/>
        <v>0</v>
      </c>
      <c r="Q4799" s="86">
        <f t="shared" si="1452"/>
        <v>0</v>
      </c>
      <c r="R4799" s="86">
        <f t="shared" si="1453"/>
        <v>0</v>
      </c>
      <c r="S4799" s="86">
        <f t="shared" si="1454"/>
        <v>0</v>
      </c>
      <c r="T4799" s="86">
        <f t="shared" si="1455"/>
        <v>7654.38</v>
      </c>
      <c r="U4799" s="87">
        <v>7654.38</v>
      </c>
    </row>
    <row r="4800" spans="1:21" s="30" customFormat="1" ht="24.6" hidden="1" outlineLevel="1" x14ac:dyDescent="0.55000000000000004">
      <c r="A4800" s="27" t="s">
        <v>327</v>
      </c>
      <c r="B4800" s="28"/>
      <c r="C4800" s="27"/>
      <c r="D4800" s="27" t="str">
        <f>"""NAV Direct"",""CRONUS JetCorp USA"",""21"",""1"",""426735"""</f>
        <v>"NAV Direct","CRONUS JetCorp USA","21","1","426735"</v>
      </c>
      <c r="E4800" s="31">
        <f t="shared" si="1447"/>
        <v>0</v>
      </c>
      <c r="F4800" s="31"/>
      <c r="G4800" s="31"/>
      <c r="H4800" s="31"/>
      <c r="I4800" s="56"/>
      <c r="J4800" s="56"/>
      <c r="K4800" s="82" t="str">
        <f t="shared" si="1448"/>
        <v>Invoice</v>
      </c>
      <c r="L4800" s="83" t="str">
        <f>"SI_112826"</f>
        <v>SI_112826</v>
      </c>
      <c r="M4800" s="84">
        <v>42053</v>
      </c>
      <c r="N4800" s="85">
        <f t="shared" si="1449"/>
        <v>1759</v>
      </c>
      <c r="O4800" s="86">
        <f t="shared" si="1450"/>
        <v>7753.19</v>
      </c>
      <c r="P4800" s="86">
        <f t="shared" si="1451"/>
        <v>0</v>
      </c>
      <c r="Q4800" s="86">
        <f t="shared" si="1452"/>
        <v>0</v>
      </c>
      <c r="R4800" s="86">
        <f t="shared" si="1453"/>
        <v>0</v>
      </c>
      <c r="S4800" s="86">
        <f t="shared" si="1454"/>
        <v>0</v>
      </c>
      <c r="T4800" s="86">
        <f t="shared" si="1455"/>
        <v>7753.19</v>
      </c>
      <c r="U4800" s="87">
        <v>7753.19</v>
      </c>
    </row>
    <row r="4801" spans="1:22" s="30" customFormat="1" ht="24.6" hidden="1" outlineLevel="1" x14ac:dyDescent="0.55000000000000004">
      <c r="A4801" s="27" t="s">
        <v>327</v>
      </c>
      <c r="B4801" s="28"/>
      <c r="C4801" s="27"/>
      <c r="D4801" s="27" t="str">
        <f>"""NAV Direct"",""CRONUS JetCorp USA"",""21"",""1"",""426972"""</f>
        <v>"NAV Direct","CRONUS JetCorp USA","21","1","426972"</v>
      </c>
      <c r="E4801" s="31" t="str">
        <f t="shared" si="1447"/>
        <v>C100135</v>
      </c>
      <c r="F4801" s="31"/>
      <c r="G4801" s="31"/>
      <c r="H4801" s="31"/>
      <c r="I4801" s="56"/>
      <c r="J4801" s="56"/>
      <c r="K4801" s="82" t="str">
        <f t="shared" si="1448"/>
        <v>Invoice</v>
      </c>
      <c r="L4801" s="83" t="str">
        <f>"SI_112831"</f>
        <v>SI_112831</v>
      </c>
      <c r="M4801" s="84">
        <v>42084</v>
      </c>
      <c r="N4801" s="85">
        <f t="shared" si="1449"/>
        <v>1728</v>
      </c>
      <c r="O4801" s="86">
        <f t="shared" si="1450"/>
        <v>7743.43</v>
      </c>
      <c r="P4801" s="86">
        <f t="shared" si="1451"/>
        <v>0</v>
      </c>
      <c r="Q4801" s="86">
        <f t="shared" si="1452"/>
        <v>0</v>
      </c>
      <c r="R4801" s="86">
        <f t="shared" si="1453"/>
        <v>0</v>
      </c>
      <c r="S4801" s="86">
        <f t="shared" si="1454"/>
        <v>0</v>
      </c>
      <c r="T4801" s="86">
        <f t="shared" si="1455"/>
        <v>7743.43</v>
      </c>
      <c r="U4801" s="87">
        <v>7743.43</v>
      </c>
    </row>
    <row r="4802" spans="1:22" s="30" customFormat="1" ht="24.6" hidden="1" outlineLevel="1" x14ac:dyDescent="0.55000000000000004">
      <c r="A4802" s="27" t="s">
        <v>327</v>
      </c>
      <c r="B4802" s="28"/>
      <c r="C4802" s="27"/>
      <c r="D4802" s="27" t="str">
        <f>"""NAV Direct"",""CRONUS JetCorp USA"",""21"",""1"",""427374"""</f>
        <v>"NAV Direct","CRONUS JetCorp USA","21","1","427374"</v>
      </c>
      <c r="E4802" s="31">
        <f t="shared" si="1447"/>
        <v>0</v>
      </c>
      <c r="F4802" s="31"/>
      <c r="G4802" s="31"/>
      <c r="H4802" s="31"/>
      <c r="I4802" s="56"/>
      <c r="J4802" s="56"/>
      <c r="K4802" s="82" t="str">
        <f t="shared" si="1448"/>
        <v>Invoice</v>
      </c>
      <c r="L4802" s="83" t="str">
        <f>"SI_112839"</f>
        <v>SI_112839</v>
      </c>
      <c r="M4802" s="84">
        <v>42119</v>
      </c>
      <c r="N4802" s="85">
        <f t="shared" si="1449"/>
        <v>1693</v>
      </c>
      <c r="O4802" s="86">
        <f t="shared" si="1450"/>
        <v>8119.12</v>
      </c>
      <c r="P4802" s="86">
        <f t="shared" si="1451"/>
        <v>0</v>
      </c>
      <c r="Q4802" s="86">
        <f t="shared" si="1452"/>
        <v>0</v>
      </c>
      <c r="R4802" s="86">
        <f t="shared" si="1453"/>
        <v>0</v>
      </c>
      <c r="S4802" s="86">
        <f t="shared" si="1454"/>
        <v>0</v>
      </c>
      <c r="T4802" s="86">
        <f t="shared" si="1455"/>
        <v>8119.12</v>
      </c>
      <c r="U4802" s="87">
        <v>8119.12</v>
      </c>
    </row>
    <row r="4803" spans="1:22" s="30" customFormat="1" ht="24.6" hidden="1" outlineLevel="1" x14ac:dyDescent="0.55000000000000004">
      <c r="A4803" s="27" t="s">
        <v>327</v>
      </c>
      <c r="B4803" s="28"/>
      <c r="C4803" s="27"/>
      <c r="D4803" s="27" t="str">
        <f>"""NAV Direct"",""CRONUS JetCorp USA"",""21"",""1"",""427495"""</f>
        <v>"NAV Direct","CRONUS JetCorp USA","21","1","427495"</v>
      </c>
      <c r="E4803" s="31" t="str">
        <f t="shared" si="1447"/>
        <v>C100135</v>
      </c>
      <c r="F4803" s="31"/>
      <c r="G4803" s="31"/>
      <c r="H4803" s="31"/>
      <c r="I4803" s="56"/>
      <c r="J4803" s="56"/>
      <c r="K4803" s="82" t="str">
        <f t="shared" si="1448"/>
        <v>Invoice</v>
      </c>
      <c r="L4803" s="83" t="str">
        <f>"SI_112842"</f>
        <v>SI_112842</v>
      </c>
      <c r="M4803" s="84">
        <v>42144</v>
      </c>
      <c r="N4803" s="85">
        <f t="shared" si="1449"/>
        <v>1668</v>
      </c>
      <c r="O4803" s="86">
        <f t="shared" si="1450"/>
        <v>4705.43</v>
      </c>
      <c r="P4803" s="86">
        <f t="shared" si="1451"/>
        <v>0</v>
      </c>
      <c r="Q4803" s="86">
        <f t="shared" si="1452"/>
        <v>0</v>
      </c>
      <c r="R4803" s="86">
        <f t="shared" si="1453"/>
        <v>0</v>
      </c>
      <c r="S4803" s="86">
        <f t="shared" si="1454"/>
        <v>0</v>
      </c>
      <c r="T4803" s="86">
        <f t="shared" si="1455"/>
        <v>4705.43</v>
      </c>
      <c r="U4803" s="87">
        <v>4705.43</v>
      </c>
    </row>
    <row r="4804" spans="1:22" s="30" customFormat="1" ht="24.6" hidden="1" outlineLevel="1" x14ac:dyDescent="0.55000000000000004">
      <c r="A4804" s="27" t="s">
        <v>327</v>
      </c>
      <c r="B4804" s="28"/>
      <c r="C4804" s="27"/>
      <c r="D4804" s="27" t="str">
        <f>"""NAV Direct"",""CRONUS JetCorp USA"",""21"",""1"",""427894"""</f>
        <v>"NAV Direct","CRONUS JetCorp USA","21","1","427894"</v>
      </c>
      <c r="E4804" s="31">
        <f t="shared" si="1447"/>
        <v>0</v>
      </c>
      <c r="F4804" s="31"/>
      <c r="G4804" s="31"/>
      <c r="H4804" s="31"/>
      <c r="I4804" s="56"/>
      <c r="J4804" s="56"/>
      <c r="K4804" s="82" t="str">
        <f t="shared" si="1448"/>
        <v>Invoice</v>
      </c>
      <c r="L4804" s="83" t="str">
        <f>"SI_112853"</f>
        <v>SI_112853</v>
      </c>
      <c r="M4804" s="84">
        <v>42207</v>
      </c>
      <c r="N4804" s="85">
        <f t="shared" si="1449"/>
        <v>1605</v>
      </c>
      <c r="O4804" s="86">
        <f t="shared" si="1450"/>
        <v>5590.49</v>
      </c>
      <c r="P4804" s="86">
        <f t="shared" si="1451"/>
        <v>0</v>
      </c>
      <c r="Q4804" s="86">
        <f t="shared" si="1452"/>
        <v>0</v>
      </c>
      <c r="R4804" s="86">
        <f t="shared" si="1453"/>
        <v>0</v>
      </c>
      <c r="S4804" s="86">
        <f t="shared" si="1454"/>
        <v>0</v>
      </c>
      <c r="T4804" s="86">
        <f t="shared" si="1455"/>
        <v>5590.49</v>
      </c>
      <c r="U4804" s="87">
        <v>5590.49</v>
      </c>
    </row>
    <row r="4805" spans="1:22" s="30" customFormat="1" ht="24.6" hidden="1" outlineLevel="1" x14ac:dyDescent="0.55000000000000004">
      <c r="A4805" s="27" t="s">
        <v>327</v>
      </c>
      <c r="B4805" s="28"/>
      <c r="C4805" s="27"/>
      <c r="D4805" s="27" t="str">
        <f>"""NAV Direct"",""CRONUS JetCorp USA"",""21"",""1"",""428265"""</f>
        <v>"NAV Direct","CRONUS JetCorp USA","21","1","428265"</v>
      </c>
      <c r="E4805" s="31" t="str">
        <f t="shared" ref="E4805:E4807" si="1456">E4803</f>
        <v>C100135</v>
      </c>
      <c r="F4805" s="31"/>
      <c r="G4805" s="31"/>
      <c r="H4805" s="31"/>
      <c r="I4805" s="56"/>
      <c r="J4805" s="56"/>
      <c r="K4805" s="82" t="str">
        <f t="shared" si="1448"/>
        <v>Invoice</v>
      </c>
      <c r="L4805" s="83" t="str">
        <f>"SI_112862"</f>
        <v>SI_112862</v>
      </c>
      <c r="M4805" s="84">
        <v>42269</v>
      </c>
      <c r="N4805" s="85">
        <f t="shared" si="1449"/>
        <v>1543</v>
      </c>
      <c r="O4805" s="86">
        <f t="shared" ref="O4805:O4807" si="1457">SUM(P4805:T4805)</f>
        <v>6309.66</v>
      </c>
      <c r="P4805" s="86">
        <f t="shared" si="1451"/>
        <v>0</v>
      </c>
      <c r="Q4805" s="86">
        <f t="shared" si="1452"/>
        <v>0</v>
      </c>
      <c r="R4805" s="86">
        <f t="shared" si="1453"/>
        <v>0</v>
      </c>
      <c r="S4805" s="86">
        <f t="shared" si="1454"/>
        <v>0</v>
      </c>
      <c r="T4805" s="86">
        <f t="shared" ref="T4805:T4807" si="1458">IF($M4805&lt;=$T$18,U4805,0)</f>
        <v>6309.66</v>
      </c>
      <c r="U4805" s="87">
        <v>6309.66</v>
      </c>
    </row>
    <row r="4806" spans="1:22" s="30" customFormat="1" ht="24.6" hidden="1" outlineLevel="1" x14ac:dyDescent="0.55000000000000004">
      <c r="A4806" s="27" t="s">
        <v>327</v>
      </c>
      <c r="B4806" s="28"/>
      <c r="C4806" s="27"/>
      <c r="D4806" s="27" t="str">
        <f>"""NAV Direct"",""CRONUS JetCorp USA"",""21"",""1"",""428353"""</f>
        <v>"NAV Direct","CRONUS JetCorp USA","21","1","428353"</v>
      </c>
      <c r="E4806" s="31">
        <f t="shared" si="1456"/>
        <v>0</v>
      </c>
      <c r="F4806" s="31"/>
      <c r="G4806" s="31"/>
      <c r="H4806" s="31"/>
      <c r="I4806" s="56"/>
      <c r="J4806" s="56"/>
      <c r="K4806" s="82" t="str">
        <f t="shared" si="1448"/>
        <v>Invoice</v>
      </c>
      <c r="L4806" s="83" t="str">
        <f>"SI_112864"</f>
        <v>SI_112864</v>
      </c>
      <c r="M4806" s="84">
        <v>42275</v>
      </c>
      <c r="N4806" s="85">
        <f t="shared" si="1449"/>
        <v>1537</v>
      </c>
      <c r="O4806" s="86">
        <f t="shared" si="1457"/>
        <v>6106.2</v>
      </c>
      <c r="P4806" s="86">
        <f t="shared" si="1451"/>
        <v>0</v>
      </c>
      <c r="Q4806" s="86">
        <f t="shared" si="1452"/>
        <v>0</v>
      </c>
      <c r="R4806" s="86">
        <f t="shared" si="1453"/>
        <v>0</v>
      </c>
      <c r="S4806" s="86">
        <f t="shared" si="1454"/>
        <v>0</v>
      </c>
      <c r="T4806" s="86">
        <f t="shared" si="1458"/>
        <v>6106.2</v>
      </c>
      <c r="U4806" s="87">
        <v>6106.2</v>
      </c>
    </row>
    <row r="4807" spans="1:22" s="30" customFormat="1" ht="24.6" hidden="1" outlineLevel="1" x14ac:dyDescent="0.55000000000000004">
      <c r="A4807" s="27" t="s">
        <v>327</v>
      </c>
      <c r="B4807" s="28"/>
      <c r="C4807" s="27"/>
      <c r="D4807" s="27" t="str">
        <f>"""NAV Direct"",""CRONUS JetCorp USA"",""21"",""1"",""428887"""</f>
        <v>"NAV Direct","CRONUS JetCorp USA","21","1","428887"</v>
      </c>
      <c r="E4807" s="31" t="str">
        <f t="shared" si="1456"/>
        <v>C100135</v>
      </c>
      <c r="F4807" s="31"/>
      <c r="G4807" s="31"/>
      <c r="H4807" s="31"/>
      <c r="I4807" s="56"/>
      <c r="J4807" s="56"/>
      <c r="K4807" s="82" t="str">
        <f t="shared" si="1448"/>
        <v>Invoice</v>
      </c>
      <c r="L4807" s="83" t="str">
        <f>"SI_112876"</f>
        <v>SI_112876</v>
      </c>
      <c r="M4807" s="84">
        <v>42328</v>
      </c>
      <c r="N4807" s="85">
        <f t="shared" si="1449"/>
        <v>1484</v>
      </c>
      <c r="O4807" s="86">
        <f t="shared" si="1457"/>
        <v>7997.5000000000009</v>
      </c>
      <c r="P4807" s="86">
        <f t="shared" si="1451"/>
        <v>0</v>
      </c>
      <c r="Q4807" s="86">
        <f t="shared" si="1452"/>
        <v>0</v>
      </c>
      <c r="R4807" s="86">
        <f t="shared" si="1453"/>
        <v>0</v>
      </c>
      <c r="S4807" s="86">
        <f t="shared" si="1454"/>
        <v>0</v>
      </c>
      <c r="T4807" s="86">
        <f t="shared" si="1458"/>
        <v>7997.5000000000009</v>
      </c>
      <c r="U4807" s="87">
        <v>7997.5000000000009</v>
      </c>
    </row>
    <row r="4808" spans="1:22" s="22" customFormat="1" ht="20.399999999999999" collapsed="1" x14ac:dyDescent="0.45">
      <c r="A4808" s="12" t="s">
        <v>327</v>
      </c>
      <c r="B4808" s="19"/>
      <c r="C4808" s="12"/>
      <c r="D4808" s="12"/>
      <c r="E4808" s="23"/>
      <c r="F4808" s="23"/>
      <c r="G4808" s="23"/>
      <c r="H4808" s="23"/>
      <c r="I4808" s="49"/>
      <c r="J4808" s="88"/>
      <c r="K4808" s="88"/>
      <c r="L4808" s="89"/>
      <c r="M4808" s="89"/>
      <c r="N4808" s="89"/>
      <c r="O4808" s="89"/>
      <c r="P4808" s="89"/>
      <c r="Q4808" s="90"/>
      <c r="R4808" s="90"/>
      <c r="S4808" s="91"/>
      <c r="T4808" s="92"/>
      <c r="U4808" s="92"/>
    </row>
    <row r="4809" spans="1:22" s="22" customFormat="1" ht="20.399999999999999" x14ac:dyDescent="0.45">
      <c r="A4809" s="12" t="s">
        <v>327</v>
      </c>
      <c r="B4809" s="19"/>
      <c r="C4809" s="12"/>
      <c r="D4809" s="12"/>
      <c r="E4809" s="23"/>
      <c r="F4809" s="23"/>
      <c r="G4809" s="23"/>
      <c r="H4809" s="23"/>
      <c r="I4809" s="49"/>
      <c r="J4809" s="88"/>
      <c r="K4809" s="88"/>
      <c r="L4809" s="89"/>
      <c r="M4809" s="89"/>
      <c r="N4809" s="89"/>
      <c r="O4809" s="89"/>
      <c r="P4809" s="89"/>
      <c r="Q4809" s="90"/>
      <c r="R4809" s="90"/>
      <c r="S4809" s="91"/>
      <c r="T4809" s="92"/>
      <c r="U4809" s="92"/>
    </row>
    <row r="4810" spans="1:22" s="26" customFormat="1" ht="24.6" x14ac:dyDescent="0.55000000000000004">
      <c r="A4810" s="27" t="s">
        <v>327</v>
      </c>
      <c r="B4810" s="28"/>
      <c r="C4810" s="27" t="str">
        <f>"""NAV Direct"",""CRONUS JetCorp USA"",""18"",""1"",""C100136"""</f>
        <v>"NAV Direct","CRONUS JetCorp USA","18","1","C100136"</v>
      </c>
      <c r="D4810" s="27"/>
      <c r="E4810" s="28" t="str">
        <f>H4810</f>
        <v>C100136</v>
      </c>
      <c r="F4810" s="28"/>
      <c r="G4810" s="28"/>
      <c r="H4810" s="28" t="str">
        <f>"C100136"</f>
        <v>C100136</v>
      </c>
      <c r="I4810" s="116" t="str">
        <f>"C100136  -  First Bank"</f>
        <v>C100136  -  First Bank</v>
      </c>
      <c r="J4810" s="117" t="str">
        <f>""</f>
        <v/>
      </c>
      <c r="K4810" s="118"/>
      <c r="L4810" s="119">
        <f>SUBTOTAL(3,L4811:L4887)</f>
        <v>73</v>
      </c>
      <c r="M4810" s="118"/>
      <c r="N4810" s="118"/>
      <c r="O4810" s="120">
        <f t="shared" ref="O4810:T4810" si="1459">SUBTOTAL(9,O4811:O4887)</f>
        <v>351215.81</v>
      </c>
      <c r="P4810" s="120">
        <f t="shared" si="1459"/>
        <v>7265.7300000000005</v>
      </c>
      <c r="Q4810" s="120">
        <f t="shared" si="1459"/>
        <v>8072.72</v>
      </c>
      <c r="R4810" s="120">
        <f t="shared" si="1459"/>
        <v>6792.48</v>
      </c>
      <c r="S4810" s="120">
        <f t="shared" si="1459"/>
        <v>-204.76000000000002</v>
      </c>
      <c r="T4810" s="120">
        <f t="shared" si="1459"/>
        <v>329289.63999999996</v>
      </c>
      <c r="U4810" s="81"/>
    </row>
    <row r="4811" spans="1:22" s="26" customFormat="1" ht="24.6" x14ac:dyDescent="0.55000000000000004">
      <c r="A4811" s="27" t="s">
        <v>327</v>
      </c>
      <c r="B4811" s="28"/>
      <c r="C4811" s="27" t="str">
        <f>C4810</f>
        <v>"NAV Direct","CRONUS JetCorp USA","18","1","C100136"</v>
      </c>
      <c r="D4811" s="27"/>
      <c r="E4811" s="28" t="str">
        <f>E4810</f>
        <v>C100136</v>
      </c>
      <c r="F4811" s="28"/>
      <c r="G4811" s="28"/>
      <c r="H4811" s="28"/>
      <c r="I4811" s="121" t="str">
        <f>"Contact: Dee Pratt"</f>
        <v>Contact: Dee Pratt</v>
      </c>
      <c r="J4811" s="121"/>
      <c r="K4811" s="122"/>
      <c r="L4811" s="123"/>
      <c r="M4811" s="123"/>
      <c r="N4811" s="124"/>
      <c r="O4811" s="124"/>
      <c r="P4811" s="123"/>
      <c r="Q4811" s="125"/>
      <c r="R4811" s="126"/>
      <c r="S4811" s="126"/>
      <c r="T4811" s="125"/>
      <c r="U4811" s="81"/>
    </row>
    <row r="4812" spans="1:22" s="26" customFormat="1" ht="24.6" x14ac:dyDescent="0.55000000000000004">
      <c r="A4812" s="27" t="s">
        <v>327</v>
      </c>
      <c r="B4812" s="28"/>
      <c r="C4812" s="27" t="str">
        <f>C4811</f>
        <v>"NAV Direct","CRONUS JetCorp USA","18","1","C100136"</v>
      </c>
      <c r="D4812" s="27"/>
      <c r="E4812" s="28" t="str">
        <f>E4811</f>
        <v>C100136</v>
      </c>
      <c r="F4812" s="28"/>
      <c r="G4812" s="28"/>
      <c r="H4812" s="28"/>
      <c r="I4812" s="121" t="str">
        <f>"First Bank@Cronus.com"</f>
        <v>First Bank@Cronus.com</v>
      </c>
      <c r="J4812" s="121"/>
      <c r="K4812" s="122"/>
      <c r="L4812" s="124"/>
      <c r="M4812" s="124"/>
      <c r="N4812" s="124"/>
      <c r="O4812" s="124"/>
      <c r="P4812" s="123"/>
      <c r="Q4812" s="125"/>
      <c r="R4812" s="126"/>
      <c r="S4812" s="126"/>
      <c r="T4812" s="125"/>
      <c r="U4812" s="81"/>
    </row>
    <row r="4813" spans="1:22" ht="12.75" hidden="1" customHeight="1" outlineLevel="1" x14ac:dyDescent="0.45">
      <c r="A4813" s="12" t="s">
        <v>328</v>
      </c>
      <c r="B4813" s="19"/>
      <c r="E4813" s="19"/>
      <c r="F4813" s="19"/>
      <c r="G4813" s="19"/>
      <c r="H4813" s="19"/>
      <c r="I4813" s="61"/>
      <c r="J4813" s="61"/>
      <c r="K4813" s="61"/>
      <c r="L4813" s="61"/>
      <c r="M4813" s="61"/>
      <c r="N4813" s="61"/>
      <c r="O4813" s="61"/>
      <c r="P4813" s="61"/>
      <c r="Q4813" s="61"/>
      <c r="R4813" s="61"/>
      <c r="S4813" s="61"/>
      <c r="T4813" s="61"/>
      <c r="U4813" s="61"/>
      <c r="V4813" s="21"/>
    </row>
    <row r="4814" spans="1:22" s="30" customFormat="1" ht="24.6" hidden="1" outlineLevel="1" x14ac:dyDescent="0.55000000000000004">
      <c r="A4814" s="27" t="s">
        <v>327</v>
      </c>
      <c r="B4814" s="28"/>
      <c r="C4814" s="27"/>
      <c r="D4814" s="27" t="str">
        <f>"""NAV Direct"",""CRONUS JetCorp USA"",""21"",""1"",""178711"""</f>
        <v>"NAV Direct","CRONUS JetCorp USA","21","1","178711"</v>
      </c>
      <c r="E4814" s="31" t="str">
        <f t="shared" ref="E4814:E4845" si="1460">E4812</f>
        <v>C100136</v>
      </c>
      <c r="F4814" s="31"/>
      <c r="G4814" s="31"/>
      <c r="H4814" s="31"/>
      <c r="I4814" s="56"/>
      <c r="J4814" s="56"/>
      <c r="K4814" s="82" t="str">
        <f t="shared" ref="K4814:K4845" si="1461">"Invoice"</f>
        <v>Invoice</v>
      </c>
      <c r="L4814" s="83" t="str">
        <f>"SI_107820"</f>
        <v>SI_107820</v>
      </c>
      <c r="M4814" s="84">
        <v>42331</v>
      </c>
      <c r="N4814" s="85">
        <f t="shared" ref="N4814:N4845" si="1462">StartDate-$M4814+1</f>
        <v>1481</v>
      </c>
      <c r="O4814" s="86">
        <f t="shared" ref="O4814:O4845" si="1463">SUM(P4814:T4814)</f>
        <v>8337.76</v>
      </c>
      <c r="P4814" s="86">
        <f t="shared" ref="P4814:P4845" si="1464">IF($M4814&gt;=$P$18,U4814,0)</f>
        <v>0</v>
      </c>
      <c r="Q4814" s="86">
        <f t="shared" ref="Q4814:Q4845" si="1465">IF(AND($M4814&gt;=$Q$16,$M4814&lt;=$Q$18),U4814,0)</f>
        <v>0</v>
      </c>
      <c r="R4814" s="86">
        <f t="shared" ref="R4814:R4845" si="1466">IF(AND($M4814&gt;=$R$16,$M4814&lt;=$R$18),U4814,0)</f>
        <v>0</v>
      </c>
      <c r="S4814" s="86">
        <f t="shared" ref="S4814:S4845" si="1467">IF(AND($M4814&gt;=$S$16,$M4814&lt;=$S$18),U4814,0)</f>
        <v>0</v>
      </c>
      <c r="T4814" s="86">
        <f t="shared" ref="T4814:T4845" si="1468">IF($M4814&lt;=$T$18,U4814,0)</f>
        <v>8337.76</v>
      </c>
      <c r="U4814" s="87">
        <v>8337.76</v>
      </c>
    </row>
    <row r="4815" spans="1:22" s="30" customFormat="1" ht="24.6" hidden="1" outlineLevel="1" x14ac:dyDescent="0.55000000000000004">
      <c r="A4815" s="27" t="s">
        <v>327</v>
      </c>
      <c r="B4815" s="28"/>
      <c r="C4815" s="27"/>
      <c r="D4815" s="27" t="str">
        <f>"""NAV Direct"",""CRONUS JetCorp USA"",""21"",""1"",""178770"""</f>
        <v>"NAV Direct","CRONUS JetCorp USA","21","1","178770"</v>
      </c>
      <c r="E4815" s="31">
        <f t="shared" si="1460"/>
        <v>0</v>
      </c>
      <c r="F4815" s="31"/>
      <c r="G4815" s="31"/>
      <c r="H4815" s="31"/>
      <c r="I4815" s="56"/>
      <c r="J4815" s="56"/>
      <c r="K4815" s="82" t="str">
        <f t="shared" si="1461"/>
        <v>Invoice</v>
      </c>
      <c r="L4815" s="83" t="str">
        <f>"SI_107821"</f>
        <v>SI_107821</v>
      </c>
      <c r="M4815" s="84">
        <v>42330</v>
      </c>
      <c r="N4815" s="85">
        <f t="shared" si="1462"/>
        <v>1482</v>
      </c>
      <c r="O4815" s="86">
        <f t="shared" si="1463"/>
        <v>7742.1</v>
      </c>
      <c r="P4815" s="86">
        <f t="shared" si="1464"/>
        <v>0</v>
      </c>
      <c r="Q4815" s="86">
        <f t="shared" si="1465"/>
        <v>0</v>
      </c>
      <c r="R4815" s="86">
        <f t="shared" si="1466"/>
        <v>0</v>
      </c>
      <c r="S4815" s="86">
        <f t="shared" si="1467"/>
        <v>0</v>
      </c>
      <c r="T4815" s="86">
        <f t="shared" si="1468"/>
        <v>7742.1</v>
      </c>
      <c r="U4815" s="87">
        <v>7742.1</v>
      </c>
    </row>
    <row r="4816" spans="1:22" s="30" customFormat="1" ht="24.6" hidden="1" outlineLevel="1" x14ac:dyDescent="0.55000000000000004">
      <c r="A4816" s="27" t="s">
        <v>327</v>
      </c>
      <c r="B4816" s="28"/>
      <c r="C4816" s="27"/>
      <c r="D4816" s="27" t="str">
        <f>"""NAV Direct"",""CRONUS JetCorp USA"",""21"",""1"",""414870"""</f>
        <v>"NAV Direct","CRONUS JetCorp USA","21","1","414870"</v>
      </c>
      <c r="E4816" s="31" t="str">
        <f t="shared" si="1460"/>
        <v>C100136</v>
      </c>
      <c r="F4816" s="31"/>
      <c r="G4816" s="31"/>
      <c r="H4816" s="31"/>
      <c r="I4816" s="56"/>
      <c r="J4816" s="56"/>
      <c r="K4816" s="82" t="str">
        <f t="shared" si="1461"/>
        <v>Invoice</v>
      </c>
      <c r="L4816" s="83" t="str">
        <f>"SI_112542"</f>
        <v>SI_112542</v>
      </c>
      <c r="M4816" s="84">
        <v>42455</v>
      </c>
      <c r="N4816" s="85">
        <f t="shared" si="1462"/>
        <v>1357</v>
      </c>
      <c r="O4816" s="86">
        <f t="shared" si="1463"/>
        <v>6484.53</v>
      </c>
      <c r="P4816" s="86">
        <f t="shared" si="1464"/>
        <v>0</v>
      </c>
      <c r="Q4816" s="86">
        <f t="shared" si="1465"/>
        <v>0</v>
      </c>
      <c r="R4816" s="86">
        <f t="shared" si="1466"/>
        <v>0</v>
      </c>
      <c r="S4816" s="86">
        <f t="shared" si="1467"/>
        <v>0</v>
      </c>
      <c r="T4816" s="86">
        <f t="shared" si="1468"/>
        <v>6484.53</v>
      </c>
      <c r="U4816" s="87">
        <v>6484.53</v>
      </c>
    </row>
    <row r="4817" spans="1:21" s="30" customFormat="1" ht="24.6" hidden="1" outlineLevel="1" x14ac:dyDescent="0.55000000000000004">
      <c r="A4817" s="27" t="s">
        <v>327</v>
      </c>
      <c r="B4817" s="28"/>
      <c r="C4817" s="27"/>
      <c r="D4817" s="27" t="str">
        <f>"""NAV Direct"",""CRONUS JetCorp USA"",""21"",""1"",""414983"""</f>
        <v>"NAV Direct","CRONUS JetCorp USA","21","1","414983"</v>
      </c>
      <c r="E4817" s="31">
        <f t="shared" si="1460"/>
        <v>0</v>
      </c>
      <c r="F4817" s="31"/>
      <c r="G4817" s="31"/>
      <c r="H4817" s="31"/>
      <c r="I4817" s="56"/>
      <c r="J4817" s="56"/>
      <c r="K4817" s="82" t="str">
        <f t="shared" si="1461"/>
        <v>Invoice</v>
      </c>
      <c r="L4817" s="83" t="str">
        <f>"SI_112545"</f>
        <v>SI_112545</v>
      </c>
      <c r="M4817" s="84">
        <v>42486</v>
      </c>
      <c r="N4817" s="85">
        <f t="shared" si="1462"/>
        <v>1326</v>
      </c>
      <c r="O4817" s="86">
        <f t="shared" si="1463"/>
        <v>6491.0999999999995</v>
      </c>
      <c r="P4817" s="86">
        <f t="shared" si="1464"/>
        <v>0</v>
      </c>
      <c r="Q4817" s="86">
        <f t="shared" si="1465"/>
        <v>0</v>
      </c>
      <c r="R4817" s="86">
        <f t="shared" si="1466"/>
        <v>0</v>
      </c>
      <c r="S4817" s="86">
        <f t="shared" si="1467"/>
        <v>0</v>
      </c>
      <c r="T4817" s="86">
        <f t="shared" si="1468"/>
        <v>6491.0999999999995</v>
      </c>
      <c r="U4817" s="87">
        <v>6491.0999999999995</v>
      </c>
    </row>
    <row r="4818" spans="1:21" s="30" customFormat="1" ht="24.6" hidden="1" outlineLevel="1" x14ac:dyDescent="0.55000000000000004">
      <c r="A4818" s="27" t="s">
        <v>327</v>
      </c>
      <c r="B4818" s="28"/>
      <c r="C4818" s="27"/>
      <c r="D4818" s="27" t="str">
        <f>"""NAV Direct"",""CRONUS JetCorp USA"",""21"",""1"",""415381"""</f>
        <v>"NAV Direct","CRONUS JetCorp USA","21","1","415381"</v>
      </c>
      <c r="E4818" s="31" t="str">
        <f t="shared" si="1460"/>
        <v>C100136</v>
      </c>
      <c r="F4818" s="31"/>
      <c r="G4818" s="31"/>
      <c r="H4818" s="31"/>
      <c r="I4818" s="56"/>
      <c r="J4818" s="56"/>
      <c r="K4818" s="82" t="str">
        <f t="shared" si="1461"/>
        <v>Invoice</v>
      </c>
      <c r="L4818" s="83" t="str">
        <f>"SI_112555"</f>
        <v>SI_112555</v>
      </c>
      <c r="M4818" s="84">
        <v>42545</v>
      </c>
      <c r="N4818" s="85">
        <f t="shared" si="1462"/>
        <v>1267</v>
      </c>
      <c r="O4818" s="86">
        <f t="shared" si="1463"/>
        <v>6432.6399999999994</v>
      </c>
      <c r="P4818" s="86">
        <f t="shared" si="1464"/>
        <v>0</v>
      </c>
      <c r="Q4818" s="86">
        <f t="shared" si="1465"/>
        <v>0</v>
      </c>
      <c r="R4818" s="86">
        <f t="shared" si="1466"/>
        <v>0</v>
      </c>
      <c r="S4818" s="86">
        <f t="shared" si="1467"/>
        <v>0</v>
      </c>
      <c r="T4818" s="86">
        <f t="shared" si="1468"/>
        <v>6432.6399999999994</v>
      </c>
      <c r="U4818" s="87">
        <v>6432.6399999999994</v>
      </c>
    </row>
    <row r="4819" spans="1:21" s="30" customFormat="1" ht="24.6" hidden="1" outlineLevel="1" x14ac:dyDescent="0.55000000000000004">
      <c r="A4819" s="27" t="s">
        <v>327</v>
      </c>
      <c r="B4819" s="28"/>
      <c r="C4819" s="27"/>
      <c r="D4819" s="27" t="str">
        <f>"""NAV Direct"",""CRONUS JetCorp USA"",""21"",""1"",""415524"""</f>
        <v>"NAV Direct","CRONUS JetCorp USA","21","1","415524"</v>
      </c>
      <c r="E4819" s="31">
        <f t="shared" si="1460"/>
        <v>0</v>
      </c>
      <c r="F4819" s="31"/>
      <c r="G4819" s="31"/>
      <c r="H4819" s="31"/>
      <c r="I4819" s="56"/>
      <c r="J4819" s="56"/>
      <c r="K4819" s="82" t="str">
        <f t="shared" si="1461"/>
        <v>Invoice</v>
      </c>
      <c r="L4819" s="83" t="str">
        <f>"SI_112558"</f>
        <v>SI_112558</v>
      </c>
      <c r="M4819" s="84">
        <v>42557</v>
      </c>
      <c r="N4819" s="85">
        <f t="shared" si="1462"/>
        <v>1255</v>
      </c>
      <c r="O4819" s="86">
        <f t="shared" si="1463"/>
        <v>6432.7300000000005</v>
      </c>
      <c r="P4819" s="86">
        <f t="shared" si="1464"/>
        <v>0</v>
      </c>
      <c r="Q4819" s="86">
        <f t="shared" si="1465"/>
        <v>0</v>
      </c>
      <c r="R4819" s="86">
        <f t="shared" si="1466"/>
        <v>0</v>
      </c>
      <c r="S4819" s="86">
        <f t="shared" si="1467"/>
        <v>0</v>
      </c>
      <c r="T4819" s="86">
        <f t="shared" si="1468"/>
        <v>6432.7300000000005</v>
      </c>
      <c r="U4819" s="87">
        <v>6432.7300000000005</v>
      </c>
    </row>
    <row r="4820" spans="1:21" s="30" customFormat="1" ht="24.6" hidden="1" outlineLevel="1" x14ac:dyDescent="0.55000000000000004">
      <c r="A4820" s="27" t="s">
        <v>327</v>
      </c>
      <c r="B4820" s="28"/>
      <c r="C4820" s="27"/>
      <c r="D4820" s="27" t="str">
        <f>"""NAV Direct"",""CRONUS JetCorp USA"",""21"",""1"",""415855"""</f>
        <v>"NAV Direct","CRONUS JetCorp USA","21","1","415855"</v>
      </c>
      <c r="E4820" s="31" t="str">
        <f t="shared" si="1460"/>
        <v>C100136</v>
      </c>
      <c r="F4820" s="31"/>
      <c r="G4820" s="31"/>
      <c r="H4820" s="31"/>
      <c r="I4820" s="56"/>
      <c r="J4820" s="56"/>
      <c r="K4820" s="82" t="str">
        <f t="shared" si="1461"/>
        <v>Invoice</v>
      </c>
      <c r="L4820" s="83" t="str">
        <f>"SI_112565"</f>
        <v>SI_112565</v>
      </c>
      <c r="M4820" s="84">
        <v>42602</v>
      </c>
      <c r="N4820" s="85">
        <f t="shared" si="1462"/>
        <v>1210</v>
      </c>
      <c r="O4820" s="86">
        <f t="shared" si="1463"/>
        <v>6541.8300000000008</v>
      </c>
      <c r="P4820" s="86">
        <f t="shared" si="1464"/>
        <v>0</v>
      </c>
      <c r="Q4820" s="86">
        <f t="shared" si="1465"/>
        <v>0</v>
      </c>
      <c r="R4820" s="86">
        <f t="shared" si="1466"/>
        <v>0</v>
      </c>
      <c r="S4820" s="86">
        <f t="shared" si="1467"/>
        <v>0</v>
      </c>
      <c r="T4820" s="86">
        <f t="shared" si="1468"/>
        <v>6541.8300000000008</v>
      </c>
      <c r="U4820" s="87">
        <v>6541.8300000000008</v>
      </c>
    </row>
    <row r="4821" spans="1:21" s="30" customFormat="1" ht="24.6" hidden="1" outlineLevel="1" x14ac:dyDescent="0.55000000000000004">
      <c r="A4821" s="27" t="s">
        <v>327</v>
      </c>
      <c r="B4821" s="28"/>
      <c r="C4821" s="27"/>
      <c r="D4821" s="27" t="str">
        <f>"""NAV Direct"",""CRONUS JetCorp USA"",""21"",""1"",""416367"""</f>
        <v>"NAV Direct","CRONUS JetCorp USA","21","1","416367"</v>
      </c>
      <c r="E4821" s="31">
        <f t="shared" si="1460"/>
        <v>0</v>
      </c>
      <c r="F4821" s="31"/>
      <c r="G4821" s="31"/>
      <c r="H4821" s="31"/>
      <c r="I4821" s="56"/>
      <c r="J4821" s="56"/>
      <c r="K4821" s="82" t="str">
        <f t="shared" si="1461"/>
        <v>Invoice</v>
      </c>
      <c r="L4821" s="83" t="str">
        <f>"SI_112577"</f>
        <v>SI_112577</v>
      </c>
      <c r="M4821" s="84">
        <v>42666</v>
      </c>
      <c r="N4821" s="85">
        <f t="shared" si="1462"/>
        <v>1146</v>
      </c>
      <c r="O4821" s="86">
        <f t="shared" si="1463"/>
        <v>6839.54</v>
      </c>
      <c r="P4821" s="86">
        <f t="shared" si="1464"/>
        <v>0</v>
      </c>
      <c r="Q4821" s="86">
        <f t="shared" si="1465"/>
        <v>0</v>
      </c>
      <c r="R4821" s="86">
        <f t="shared" si="1466"/>
        <v>0</v>
      </c>
      <c r="S4821" s="86">
        <f t="shared" si="1467"/>
        <v>0</v>
      </c>
      <c r="T4821" s="86">
        <f t="shared" si="1468"/>
        <v>6839.54</v>
      </c>
      <c r="U4821" s="87">
        <v>6839.54</v>
      </c>
    </row>
    <row r="4822" spans="1:21" s="30" customFormat="1" ht="24.6" hidden="1" outlineLevel="1" x14ac:dyDescent="0.55000000000000004">
      <c r="A4822" s="27" t="s">
        <v>327</v>
      </c>
      <c r="B4822" s="28"/>
      <c r="C4822" s="27"/>
      <c r="D4822" s="27" t="str">
        <f>"""NAV Direct"",""CRONUS JetCorp USA"",""21"",""1"",""416953"""</f>
        <v>"NAV Direct","CRONUS JetCorp USA","21","1","416953"</v>
      </c>
      <c r="E4822" s="31" t="str">
        <f t="shared" si="1460"/>
        <v>C100136</v>
      </c>
      <c r="F4822" s="31"/>
      <c r="G4822" s="31"/>
      <c r="H4822" s="31"/>
      <c r="I4822" s="56"/>
      <c r="J4822" s="56"/>
      <c r="K4822" s="82" t="str">
        <f t="shared" si="1461"/>
        <v>Invoice</v>
      </c>
      <c r="L4822" s="83" t="str">
        <f>"SI_112591"</f>
        <v>SI_112591</v>
      </c>
      <c r="M4822" s="84">
        <v>42730</v>
      </c>
      <c r="N4822" s="85">
        <f t="shared" si="1462"/>
        <v>1082</v>
      </c>
      <c r="O4822" s="86">
        <f t="shared" si="1463"/>
        <v>6805.3399999999992</v>
      </c>
      <c r="P4822" s="86">
        <f t="shared" si="1464"/>
        <v>0</v>
      </c>
      <c r="Q4822" s="86">
        <f t="shared" si="1465"/>
        <v>0</v>
      </c>
      <c r="R4822" s="86">
        <f t="shared" si="1466"/>
        <v>0</v>
      </c>
      <c r="S4822" s="86">
        <f t="shared" si="1467"/>
        <v>0</v>
      </c>
      <c r="T4822" s="86">
        <f t="shared" si="1468"/>
        <v>6805.3399999999992</v>
      </c>
      <c r="U4822" s="87">
        <v>6805.3399999999992</v>
      </c>
    </row>
    <row r="4823" spans="1:21" s="30" customFormat="1" ht="24.6" hidden="1" outlineLevel="1" x14ac:dyDescent="0.55000000000000004">
      <c r="A4823" s="27" t="s">
        <v>327</v>
      </c>
      <c r="B4823" s="28"/>
      <c r="C4823" s="27"/>
      <c r="D4823" s="27" t="str">
        <f>"""NAV Direct"",""CRONUS JetCorp USA"",""21"",""1"",""416992"""</f>
        <v>"NAV Direct","CRONUS JetCorp USA","21","1","416992"</v>
      </c>
      <c r="E4823" s="31">
        <f t="shared" si="1460"/>
        <v>0</v>
      </c>
      <c r="F4823" s="31"/>
      <c r="G4823" s="31"/>
      <c r="H4823" s="31"/>
      <c r="I4823" s="56"/>
      <c r="J4823" s="56"/>
      <c r="K4823" s="82" t="str">
        <f t="shared" si="1461"/>
        <v>Invoice</v>
      </c>
      <c r="L4823" s="83" t="str">
        <f>"SI_112592"</f>
        <v>SI_112592</v>
      </c>
      <c r="M4823" s="84">
        <v>42736</v>
      </c>
      <c r="N4823" s="85">
        <f t="shared" si="1462"/>
        <v>1076</v>
      </c>
      <c r="O4823" s="86">
        <f t="shared" si="1463"/>
        <v>6805.05</v>
      </c>
      <c r="P4823" s="86">
        <f t="shared" si="1464"/>
        <v>0</v>
      </c>
      <c r="Q4823" s="86">
        <f t="shared" si="1465"/>
        <v>0</v>
      </c>
      <c r="R4823" s="86">
        <f t="shared" si="1466"/>
        <v>0</v>
      </c>
      <c r="S4823" s="86">
        <f t="shared" si="1467"/>
        <v>0</v>
      </c>
      <c r="T4823" s="86">
        <f t="shared" si="1468"/>
        <v>6805.05</v>
      </c>
      <c r="U4823" s="87">
        <v>6805.05</v>
      </c>
    </row>
    <row r="4824" spans="1:21" s="30" customFormat="1" ht="24.6" hidden="1" outlineLevel="1" x14ac:dyDescent="0.55000000000000004">
      <c r="A4824" s="27" t="s">
        <v>327</v>
      </c>
      <c r="B4824" s="28"/>
      <c r="C4824" s="27"/>
      <c r="D4824" s="27" t="str">
        <f>"""NAV Direct"",""CRONUS JetCorp USA"",""21"",""1"",""418311"""</f>
        <v>"NAV Direct","CRONUS JetCorp USA","21","1","418311"</v>
      </c>
      <c r="E4824" s="31" t="str">
        <f t="shared" si="1460"/>
        <v>C100136</v>
      </c>
      <c r="F4824" s="31"/>
      <c r="G4824" s="31"/>
      <c r="H4824" s="31"/>
      <c r="I4824" s="56"/>
      <c r="J4824" s="56"/>
      <c r="K4824" s="82" t="str">
        <f t="shared" si="1461"/>
        <v>Invoice</v>
      </c>
      <c r="L4824" s="83" t="str">
        <f>"SI_112622"</f>
        <v>SI_112622</v>
      </c>
      <c r="M4824" s="84">
        <v>42913</v>
      </c>
      <c r="N4824" s="85">
        <f t="shared" si="1462"/>
        <v>899</v>
      </c>
      <c r="O4824" s="86">
        <f t="shared" si="1463"/>
        <v>7575.1799999999994</v>
      </c>
      <c r="P4824" s="86">
        <f t="shared" si="1464"/>
        <v>0</v>
      </c>
      <c r="Q4824" s="86">
        <f t="shared" si="1465"/>
        <v>0</v>
      </c>
      <c r="R4824" s="86">
        <f t="shared" si="1466"/>
        <v>0</v>
      </c>
      <c r="S4824" s="86">
        <f t="shared" si="1467"/>
        <v>0</v>
      </c>
      <c r="T4824" s="86">
        <f t="shared" si="1468"/>
        <v>7575.1799999999994</v>
      </c>
      <c r="U4824" s="87">
        <v>7575.1799999999994</v>
      </c>
    </row>
    <row r="4825" spans="1:21" s="30" customFormat="1" ht="24.6" hidden="1" outlineLevel="1" x14ac:dyDescent="0.55000000000000004">
      <c r="A4825" s="27" t="s">
        <v>327</v>
      </c>
      <c r="B4825" s="28"/>
      <c r="C4825" s="27"/>
      <c r="D4825" s="27" t="str">
        <f>"""NAV Direct"",""CRONUS JetCorp USA"",""21"",""1"",""418747"""</f>
        <v>"NAV Direct","CRONUS JetCorp USA","21","1","418747"</v>
      </c>
      <c r="E4825" s="31">
        <f t="shared" si="1460"/>
        <v>0</v>
      </c>
      <c r="F4825" s="31"/>
      <c r="G4825" s="31"/>
      <c r="H4825" s="31"/>
      <c r="I4825" s="56"/>
      <c r="J4825" s="56"/>
      <c r="K4825" s="82" t="str">
        <f t="shared" si="1461"/>
        <v>Invoice</v>
      </c>
      <c r="L4825" s="83" t="str">
        <f>"SI_112632"</f>
        <v>SI_112632</v>
      </c>
      <c r="M4825" s="84">
        <v>42971</v>
      </c>
      <c r="N4825" s="85">
        <f t="shared" si="1462"/>
        <v>841</v>
      </c>
      <c r="O4825" s="86">
        <f t="shared" si="1463"/>
        <v>5860.5999999999995</v>
      </c>
      <c r="P4825" s="86">
        <f t="shared" si="1464"/>
        <v>0</v>
      </c>
      <c r="Q4825" s="86">
        <f t="shared" si="1465"/>
        <v>0</v>
      </c>
      <c r="R4825" s="86">
        <f t="shared" si="1466"/>
        <v>0</v>
      </c>
      <c r="S4825" s="86">
        <f t="shared" si="1467"/>
        <v>0</v>
      </c>
      <c r="T4825" s="86">
        <f t="shared" si="1468"/>
        <v>5860.5999999999995</v>
      </c>
      <c r="U4825" s="87">
        <v>5860.5999999999995</v>
      </c>
    </row>
    <row r="4826" spans="1:21" s="30" customFormat="1" ht="24.6" hidden="1" outlineLevel="1" x14ac:dyDescent="0.55000000000000004">
      <c r="A4826" s="27" t="s">
        <v>327</v>
      </c>
      <c r="B4826" s="28"/>
      <c r="C4826" s="27"/>
      <c r="D4826" s="27" t="str">
        <f>"""NAV Direct"",""CRONUS JetCorp USA"",""21"",""1"",""419094"""</f>
        <v>"NAV Direct","CRONUS JetCorp USA","21","1","419094"</v>
      </c>
      <c r="E4826" s="31" t="str">
        <f t="shared" si="1460"/>
        <v>C100136</v>
      </c>
      <c r="F4826" s="31"/>
      <c r="G4826" s="31"/>
      <c r="H4826" s="31"/>
      <c r="I4826" s="56"/>
      <c r="J4826" s="56"/>
      <c r="K4826" s="82" t="str">
        <f t="shared" si="1461"/>
        <v>Invoice</v>
      </c>
      <c r="L4826" s="83" t="str">
        <f>"SI_112641"</f>
        <v>SI_112641</v>
      </c>
      <c r="M4826" s="84">
        <v>43017</v>
      </c>
      <c r="N4826" s="85">
        <f t="shared" si="1462"/>
        <v>795</v>
      </c>
      <c r="O4826" s="86">
        <f t="shared" si="1463"/>
        <v>5485.62</v>
      </c>
      <c r="P4826" s="86">
        <f t="shared" si="1464"/>
        <v>0</v>
      </c>
      <c r="Q4826" s="86">
        <f t="shared" si="1465"/>
        <v>0</v>
      </c>
      <c r="R4826" s="86">
        <f t="shared" si="1466"/>
        <v>0</v>
      </c>
      <c r="S4826" s="86">
        <f t="shared" si="1467"/>
        <v>0</v>
      </c>
      <c r="T4826" s="86">
        <f t="shared" si="1468"/>
        <v>5485.62</v>
      </c>
      <c r="U4826" s="87">
        <v>5485.62</v>
      </c>
    </row>
    <row r="4827" spans="1:21" s="30" customFormat="1" ht="24.6" hidden="1" outlineLevel="1" x14ac:dyDescent="0.55000000000000004">
      <c r="A4827" s="27" t="s">
        <v>327</v>
      </c>
      <c r="B4827" s="28"/>
      <c r="C4827" s="27"/>
      <c r="D4827" s="27" t="str">
        <f>"""NAV Direct"",""CRONUS JetCorp USA"",""21"",""1"",""419139"""</f>
        <v>"NAV Direct","CRONUS JetCorp USA","21","1","419139"</v>
      </c>
      <c r="E4827" s="31">
        <f t="shared" si="1460"/>
        <v>0</v>
      </c>
      <c r="F4827" s="31"/>
      <c r="G4827" s="31"/>
      <c r="H4827" s="31"/>
      <c r="I4827" s="56"/>
      <c r="J4827" s="56"/>
      <c r="K4827" s="82" t="str">
        <f t="shared" si="1461"/>
        <v>Invoice</v>
      </c>
      <c r="L4827" s="83" t="str">
        <f>"SI_112642"</f>
        <v>SI_112642</v>
      </c>
      <c r="M4827" s="84">
        <v>43010</v>
      </c>
      <c r="N4827" s="85">
        <f t="shared" si="1462"/>
        <v>802</v>
      </c>
      <c r="O4827" s="86">
        <f t="shared" si="1463"/>
        <v>5485.51</v>
      </c>
      <c r="P4827" s="86">
        <f t="shared" si="1464"/>
        <v>0</v>
      </c>
      <c r="Q4827" s="86">
        <f t="shared" si="1465"/>
        <v>0</v>
      </c>
      <c r="R4827" s="86">
        <f t="shared" si="1466"/>
        <v>0</v>
      </c>
      <c r="S4827" s="86">
        <f t="shared" si="1467"/>
        <v>0</v>
      </c>
      <c r="T4827" s="86">
        <f t="shared" si="1468"/>
        <v>5485.51</v>
      </c>
      <c r="U4827" s="87">
        <v>5485.51</v>
      </c>
    </row>
    <row r="4828" spans="1:21" s="30" customFormat="1" ht="24.6" hidden="1" outlineLevel="1" x14ac:dyDescent="0.55000000000000004">
      <c r="A4828" s="27" t="s">
        <v>327</v>
      </c>
      <c r="B4828" s="28"/>
      <c r="C4828" s="27"/>
      <c r="D4828" s="27" t="str">
        <f>"""NAV Direct"",""CRONUS JetCorp USA"",""21"",""1"",""419235"""</f>
        <v>"NAV Direct","CRONUS JetCorp USA","21","1","419235"</v>
      </c>
      <c r="E4828" s="31" t="str">
        <f t="shared" si="1460"/>
        <v>C100136</v>
      </c>
      <c r="F4828" s="31"/>
      <c r="G4828" s="31"/>
      <c r="H4828" s="31"/>
      <c r="I4828" s="56"/>
      <c r="J4828" s="56"/>
      <c r="K4828" s="82" t="str">
        <f t="shared" si="1461"/>
        <v>Invoice</v>
      </c>
      <c r="L4828" s="83" t="str">
        <f>"SI_112645"</f>
        <v>SI_112645</v>
      </c>
      <c r="M4828" s="84">
        <v>43026</v>
      </c>
      <c r="N4828" s="85">
        <f t="shared" si="1462"/>
        <v>786</v>
      </c>
      <c r="O4828" s="86">
        <f t="shared" si="1463"/>
        <v>5271.64</v>
      </c>
      <c r="P4828" s="86">
        <f t="shared" si="1464"/>
        <v>0</v>
      </c>
      <c r="Q4828" s="86">
        <f t="shared" si="1465"/>
        <v>0</v>
      </c>
      <c r="R4828" s="86">
        <f t="shared" si="1466"/>
        <v>0</v>
      </c>
      <c r="S4828" s="86">
        <f t="shared" si="1467"/>
        <v>0</v>
      </c>
      <c r="T4828" s="86">
        <f t="shared" si="1468"/>
        <v>5271.64</v>
      </c>
      <c r="U4828" s="87">
        <v>5271.64</v>
      </c>
    </row>
    <row r="4829" spans="1:21" s="30" customFormat="1" ht="24.6" hidden="1" outlineLevel="1" x14ac:dyDescent="0.55000000000000004">
      <c r="A4829" s="27" t="s">
        <v>327</v>
      </c>
      <c r="B4829" s="28"/>
      <c r="C4829" s="27"/>
      <c r="D4829" s="27" t="str">
        <f>"""NAV Direct"",""CRONUS JetCorp USA"",""21"",""1"",""419369"""</f>
        <v>"NAV Direct","CRONUS JetCorp USA","21","1","419369"</v>
      </c>
      <c r="E4829" s="31">
        <f t="shared" si="1460"/>
        <v>0</v>
      </c>
      <c r="F4829" s="31"/>
      <c r="G4829" s="31"/>
      <c r="H4829" s="31"/>
      <c r="I4829" s="56"/>
      <c r="J4829" s="56"/>
      <c r="K4829" s="82" t="str">
        <f t="shared" si="1461"/>
        <v>Invoice</v>
      </c>
      <c r="L4829" s="83" t="str">
        <f>"SI_112648"</f>
        <v>SI_112648</v>
      </c>
      <c r="M4829" s="84">
        <v>43048</v>
      </c>
      <c r="N4829" s="85">
        <f t="shared" si="1462"/>
        <v>764</v>
      </c>
      <c r="O4829" s="86">
        <f t="shared" si="1463"/>
        <v>5271.55</v>
      </c>
      <c r="P4829" s="86">
        <f t="shared" si="1464"/>
        <v>0</v>
      </c>
      <c r="Q4829" s="86">
        <f t="shared" si="1465"/>
        <v>0</v>
      </c>
      <c r="R4829" s="86">
        <f t="shared" si="1466"/>
        <v>0</v>
      </c>
      <c r="S4829" s="86">
        <f t="shared" si="1467"/>
        <v>0</v>
      </c>
      <c r="T4829" s="86">
        <f t="shared" si="1468"/>
        <v>5271.55</v>
      </c>
      <c r="U4829" s="87">
        <v>5271.55</v>
      </c>
    </row>
    <row r="4830" spans="1:21" s="30" customFormat="1" ht="24.6" hidden="1" outlineLevel="1" x14ac:dyDescent="0.55000000000000004">
      <c r="A4830" s="27" t="s">
        <v>327</v>
      </c>
      <c r="B4830" s="28"/>
      <c r="C4830" s="27"/>
      <c r="D4830" s="27" t="str">
        <f>"""NAV Direct"",""CRONUS JetCorp USA"",""21"",""1"",""419482"""</f>
        <v>"NAV Direct","CRONUS JetCorp USA","21","1","419482"</v>
      </c>
      <c r="E4830" s="31" t="str">
        <f t="shared" si="1460"/>
        <v>C100136</v>
      </c>
      <c r="F4830" s="31"/>
      <c r="G4830" s="31"/>
      <c r="H4830" s="31"/>
      <c r="I4830" s="56"/>
      <c r="J4830" s="56"/>
      <c r="K4830" s="82" t="str">
        <f t="shared" si="1461"/>
        <v>Invoice</v>
      </c>
      <c r="L4830" s="83" t="str">
        <f>"SI_112652"</f>
        <v>SI_112652</v>
      </c>
      <c r="M4830" s="84">
        <v>43067</v>
      </c>
      <c r="N4830" s="85">
        <f t="shared" si="1462"/>
        <v>745</v>
      </c>
      <c r="O4830" s="86">
        <f t="shared" si="1463"/>
        <v>5366.43</v>
      </c>
      <c r="P4830" s="86">
        <f t="shared" si="1464"/>
        <v>0</v>
      </c>
      <c r="Q4830" s="86">
        <f t="shared" si="1465"/>
        <v>0</v>
      </c>
      <c r="R4830" s="86">
        <f t="shared" si="1466"/>
        <v>0</v>
      </c>
      <c r="S4830" s="86">
        <f t="shared" si="1467"/>
        <v>0</v>
      </c>
      <c r="T4830" s="86">
        <f t="shared" si="1468"/>
        <v>5366.43</v>
      </c>
      <c r="U4830" s="87">
        <v>5366.43</v>
      </c>
    </row>
    <row r="4831" spans="1:21" s="30" customFormat="1" ht="24.6" hidden="1" outlineLevel="1" x14ac:dyDescent="0.55000000000000004">
      <c r="A4831" s="27" t="s">
        <v>327</v>
      </c>
      <c r="B4831" s="28"/>
      <c r="C4831" s="27"/>
      <c r="D4831" s="27" t="str">
        <f>"""NAV Direct"",""CRONUS JetCorp USA"",""21"",""1"",""419862"""</f>
        <v>"NAV Direct","CRONUS JetCorp USA","21","1","419862"</v>
      </c>
      <c r="E4831" s="31">
        <f t="shared" si="1460"/>
        <v>0</v>
      </c>
      <c r="F4831" s="31"/>
      <c r="G4831" s="31"/>
      <c r="H4831" s="31"/>
      <c r="I4831" s="56"/>
      <c r="J4831" s="56"/>
      <c r="K4831" s="82" t="str">
        <f t="shared" si="1461"/>
        <v>Invoice</v>
      </c>
      <c r="L4831" s="83" t="str">
        <f>"SI_112663"</f>
        <v>SI_112663</v>
      </c>
      <c r="M4831" s="84">
        <v>43154</v>
      </c>
      <c r="N4831" s="85">
        <f t="shared" si="1462"/>
        <v>658</v>
      </c>
      <c r="O4831" s="86">
        <f t="shared" si="1463"/>
        <v>5225.29</v>
      </c>
      <c r="P4831" s="86">
        <f t="shared" si="1464"/>
        <v>0</v>
      </c>
      <c r="Q4831" s="86">
        <f t="shared" si="1465"/>
        <v>0</v>
      </c>
      <c r="R4831" s="86">
        <f t="shared" si="1466"/>
        <v>0</v>
      </c>
      <c r="S4831" s="86">
        <f t="shared" si="1467"/>
        <v>0</v>
      </c>
      <c r="T4831" s="86">
        <f t="shared" si="1468"/>
        <v>5225.29</v>
      </c>
      <c r="U4831" s="87">
        <v>5225.29</v>
      </c>
    </row>
    <row r="4832" spans="1:21" s="30" customFormat="1" ht="24.6" hidden="1" outlineLevel="1" x14ac:dyDescent="0.55000000000000004">
      <c r="A4832" s="27" t="s">
        <v>327</v>
      </c>
      <c r="B4832" s="28"/>
      <c r="C4832" s="27"/>
      <c r="D4832" s="27" t="str">
        <f>"""NAV Direct"",""CRONUS JetCorp USA"",""21"",""1"",""419972"""</f>
        <v>"NAV Direct","CRONUS JetCorp USA","21","1","419972"</v>
      </c>
      <c r="E4832" s="31" t="str">
        <f t="shared" si="1460"/>
        <v>C100136</v>
      </c>
      <c r="F4832" s="31"/>
      <c r="G4832" s="31"/>
      <c r="H4832" s="31"/>
      <c r="I4832" s="56"/>
      <c r="J4832" s="56"/>
      <c r="K4832" s="82" t="str">
        <f t="shared" si="1461"/>
        <v>Invoice</v>
      </c>
      <c r="L4832" s="83" t="str">
        <f>"SI_112666"</f>
        <v>SI_112666</v>
      </c>
      <c r="M4832" s="84">
        <v>43156</v>
      </c>
      <c r="N4832" s="85">
        <f t="shared" si="1462"/>
        <v>656</v>
      </c>
      <c r="O4832" s="86">
        <f t="shared" si="1463"/>
        <v>5225.3</v>
      </c>
      <c r="P4832" s="86">
        <f t="shared" si="1464"/>
        <v>0</v>
      </c>
      <c r="Q4832" s="86">
        <f t="shared" si="1465"/>
        <v>0</v>
      </c>
      <c r="R4832" s="86">
        <f t="shared" si="1466"/>
        <v>0</v>
      </c>
      <c r="S4832" s="86">
        <f t="shared" si="1467"/>
        <v>0</v>
      </c>
      <c r="T4832" s="86">
        <f t="shared" si="1468"/>
        <v>5225.3</v>
      </c>
      <c r="U4832" s="87">
        <v>5225.3</v>
      </c>
    </row>
    <row r="4833" spans="1:21" s="30" customFormat="1" ht="24.6" hidden="1" outlineLevel="1" x14ac:dyDescent="0.55000000000000004">
      <c r="A4833" s="27" t="s">
        <v>327</v>
      </c>
      <c r="B4833" s="28"/>
      <c r="C4833" s="27"/>
      <c r="D4833" s="27" t="str">
        <f>"""NAV Direct"",""CRONUS JetCorp USA"",""21"",""1"",""420007"""</f>
        <v>"NAV Direct","CRONUS JetCorp USA","21","1","420007"</v>
      </c>
      <c r="E4833" s="31">
        <f t="shared" si="1460"/>
        <v>0</v>
      </c>
      <c r="F4833" s="31"/>
      <c r="G4833" s="31"/>
      <c r="H4833" s="31"/>
      <c r="I4833" s="56"/>
      <c r="J4833" s="56"/>
      <c r="K4833" s="82" t="str">
        <f t="shared" si="1461"/>
        <v>Invoice</v>
      </c>
      <c r="L4833" s="83" t="str">
        <f>"SI_112667"</f>
        <v>SI_112667</v>
      </c>
      <c r="M4833" s="84">
        <v>43161</v>
      </c>
      <c r="N4833" s="85">
        <f t="shared" si="1462"/>
        <v>651</v>
      </c>
      <c r="O4833" s="86">
        <f t="shared" si="1463"/>
        <v>5225.37</v>
      </c>
      <c r="P4833" s="86">
        <f t="shared" si="1464"/>
        <v>0</v>
      </c>
      <c r="Q4833" s="86">
        <f t="shared" si="1465"/>
        <v>0</v>
      </c>
      <c r="R4833" s="86">
        <f t="shared" si="1466"/>
        <v>0</v>
      </c>
      <c r="S4833" s="86">
        <f t="shared" si="1467"/>
        <v>0</v>
      </c>
      <c r="T4833" s="86">
        <f t="shared" si="1468"/>
        <v>5225.37</v>
      </c>
      <c r="U4833" s="87">
        <v>5225.37</v>
      </c>
    </row>
    <row r="4834" spans="1:21" s="30" customFormat="1" ht="24.6" hidden="1" outlineLevel="1" x14ac:dyDescent="0.55000000000000004">
      <c r="A4834" s="27" t="s">
        <v>327</v>
      </c>
      <c r="B4834" s="28"/>
      <c r="C4834" s="27"/>
      <c r="D4834" s="27" t="str">
        <f>"""NAV Direct"",""CRONUS JetCorp USA"",""21"",""1"",""420039"""</f>
        <v>"NAV Direct","CRONUS JetCorp USA","21","1","420039"</v>
      </c>
      <c r="E4834" s="31" t="str">
        <f t="shared" si="1460"/>
        <v>C100136</v>
      </c>
      <c r="F4834" s="31"/>
      <c r="G4834" s="31"/>
      <c r="H4834" s="31"/>
      <c r="I4834" s="56"/>
      <c r="J4834" s="56"/>
      <c r="K4834" s="82" t="str">
        <f t="shared" si="1461"/>
        <v>Invoice</v>
      </c>
      <c r="L4834" s="83" t="str">
        <f>"SI_112668"</f>
        <v>SI_112668</v>
      </c>
      <c r="M4834" s="84">
        <v>43179</v>
      </c>
      <c r="N4834" s="85">
        <f t="shared" si="1462"/>
        <v>633</v>
      </c>
      <c r="O4834" s="86">
        <f t="shared" si="1463"/>
        <v>5319.42</v>
      </c>
      <c r="P4834" s="86">
        <f t="shared" si="1464"/>
        <v>0</v>
      </c>
      <c r="Q4834" s="86">
        <f t="shared" si="1465"/>
        <v>0</v>
      </c>
      <c r="R4834" s="86">
        <f t="shared" si="1466"/>
        <v>0</v>
      </c>
      <c r="S4834" s="86">
        <f t="shared" si="1467"/>
        <v>0</v>
      </c>
      <c r="T4834" s="86">
        <f t="shared" si="1468"/>
        <v>5319.42</v>
      </c>
      <c r="U4834" s="87">
        <v>5319.42</v>
      </c>
    </row>
    <row r="4835" spans="1:21" s="30" customFormat="1" ht="24.6" hidden="1" outlineLevel="1" x14ac:dyDescent="0.55000000000000004">
      <c r="A4835" s="27" t="s">
        <v>327</v>
      </c>
      <c r="B4835" s="28"/>
      <c r="C4835" s="27"/>
      <c r="D4835" s="27" t="str">
        <f>"""NAV Direct"",""CRONUS JetCorp USA"",""21"",""1"",""420244"""</f>
        <v>"NAV Direct","CRONUS JetCorp USA","21","1","420244"</v>
      </c>
      <c r="E4835" s="31">
        <f t="shared" si="1460"/>
        <v>0</v>
      </c>
      <c r="F4835" s="31"/>
      <c r="G4835" s="31"/>
      <c r="H4835" s="31"/>
      <c r="I4835" s="56"/>
      <c r="J4835" s="56"/>
      <c r="K4835" s="82" t="str">
        <f t="shared" si="1461"/>
        <v>Invoice</v>
      </c>
      <c r="L4835" s="83" t="str">
        <f>"SI_112673"</f>
        <v>SI_112673</v>
      </c>
      <c r="M4835" s="84">
        <v>43193</v>
      </c>
      <c r="N4835" s="85">
        <f t="shared" si="1462"/>
        <v>619</v>
      </c>
      <c r="O4835" s="86">
        <f t="shared" si="1463"/>
        <v>5319.38</v>
      </c>
      <c r="P4835" s="86">
        <f t="shared" si="1464"/>
        <v>0</v>
      </c>
      <c r="Q4835" s="86">
        <f t="shared" si="1465"/>
        <v>0</v>
      </c>
      <c r="R4835" s="86">
        <f t="shared" si="1466"/>
        <v>0</v>
      </c>
      <c r="S4835" s="86">
        <f t="shared" si="1467"/>
        <v>0</v>
      </c>
      <c r="T4835" s="86">
        <f t="shared" si="1468"/>
        <v>5319.38</v>
      </c>
      <c r="U4835" s="87">
        <v>5319.38</v>
      </c>
    </row>
    <row r="4836" spans="1:21" s="30" customFormat="1" ht="24.6" hidden="1" outlineLevel="1" x14ac:dyDescent="0.55000000000000004">
      <c r="A4836" s="27" t="s">
        <v>327</v>
      </c>
      <c r="B4836" s="28"/>
      <c r="C4836" s="27"/>
      <c r="D4836" s="27" t="str">
        <f>"""NAV Direct"",""CRONUS JetCorp USA"",""21"",""1"",""420289"""</f>
        <v>"NAV Direct","CRONUS JetCorp USA","21","1","420289"</v>
      </c>
      <c r="E4836" s="31" t="str">
        <f t="shared" si="1460"/>
        <v>C100136</v>
      </c>
      <c r="F4836" s="31"/>
      <c r="G4836" s="31"/>
      <c r="H4836" s="31"/>
      <c r="I4836" s="56"/>
      <c r="J4836" s="56"/>
      <c r="K4836" s="82" t="str">
        <f t="shared" si="1461"/>
        <v>Invoice</v>
      </c>
      <c r="L4836" s="83" t="str">
        <f>"SI_112674"</f>
        <v>SI_112674</v>
      </c>
      <c r="M4836" s="84">
        <v>43209</v>
      </c>
      <c r="N4836" s="85">
        <f t="shared" si="1462"/>
        <v>603</v>
      </c>
      <c r="O4836" s="86">
        <f t="shared" si="1463"/>
        <v>5478.54</v>
      </c>
      <c r="P4836" s="86">
        <f t="shared" si="1464"/>
        <v>0</v>
      </c>
      <c r="Q4836" s="86">
        <f t="shared" si="1465"/>
        <v>0</v>
      </c>
      <c r="R4836" s="86">
        <f t="shared" si="1466"/>
        <v>0</v>
      </c>
      <c r="S4836" s="86">
        <f t="shared" si="1467"/>
        <v>0</v>
      </c>
      <c r="T4836" s="86">
        <f t="shared" si="1468"/>
        <v>5478.54</v>
      </c>
      <c r="U4836" s="87">
        <v>5478.54</v>
      </c>
    </row>
    <row r="4837" spans="1:21" s="30" customFormat="1" ht="24.6" hidden="1" outlineLevel="1" x14ac:dyDescent="0.55000000000000004">
      <c r="A4837" s="27" t="s">
        <v>327</v>
      </c>
      <c r="B4837" s="28"/>
      <c r="C4837" s="27"/>
      <c r="D4837" s="27" t="str">
        <f>"""NAV Direct"",""CRONUS JetCorp USA"",""21"",""1"",""420338"""</f>
        <v>"NAV Direct","CRONUS JetCorp USA","21","1","420338"</v>
      </c>
      <c r="E4837" s="31">
        <f t="shared" si="1460"/>
        <v>0</v>
      </c>
      <c r="F4837" s="31"/>
      <c r="G4837" s="31"/>
      <c r="H4837" s="31"/>
      <c r="I4837" s="56"/>
      <c r="J4837" s="56"/>
      <c r="K4837" s="82" t="str">
        <f t="shared" si="1461"/>
        <v>Invoice</v>
      </c>
      <c r="L4837" s="83" t="str">
        <f>"SI_112675"</f>
        <v>SI_112675</v>
      </c>
      <c r="M4837" s="84">
        <v>43214</v>
      </c>
      <c r="N4837" s="85">
        <f t="shared" si="1462"/>
        <v>598</v>
      </c>
      <c r="O4837" s="86">
        <f t="shared" si="1463"/>
        <v>5479.06</v>
      </c>
      <c r="P4837" s="86">
        <f t="shared" si="1464"/>
        <v>0</v>
      </c>
      <c r="Q4837" s="86">
        <f t="shared" si="1465"/>
        <v>0</v>
      </c>
      <c r="R4837" s="86">
        <f t="shared" si="1466"/>
        <v>0</v>
      </c>
      <c r="S4837" s="86">
        <f t="shared" si="1467"/>
        <v>0</v>
      </c>
      <c r="T4837" s="86">
        <f t="shared" si="1468"/>
        <v>5479.06</v>
      </c>
      <c r="U4837" s="87">
        <v>5479.06</v>
      </c>
    </row>
    <row r="4838" spans="1:21" s="30" customFormat="1" ht="24.6" hidden="1" outlineLevel="1" x14ac:dyDescent="0.55000000000000004">
      <c r="A4838" s="27" t="s">
        <v>327</v>
      </c>
      <c r="B4838" s="28"/>
      <c r="C4838" s="27"/>
      <c r="D4838" s="27" t="str">
        <f>"""NAV Direct"",""CRONUS JetCorp USA"",""21"",""1"",""420708"""</f>
        <v>"NAV Direct","CRONUS JetCorp USA","21","1","420708"</v>
      </c>
      <c r="E4838" s="31" t="str">
        <f t="shared" si="1460"/>
        <v>C100136</v>
      </c>
      <c r="F4838" s="31"/>
      <c r="G4838" s="31"/>
      <c r="H4838" s="31"/>
      <c r="I4838" s="56"/>
      <c r="J4838" s="56"/>
      <c r="K4838" s="82" t="str">
        <f t="shared" si="1461"/>
        <v>Invoice</v>
      </c>
      <c r="L4838" s="83" t="str">
        <f>"SI_112685"</f>
        <v>SI_112685</v>
      </c>
      <c r="M4838" s="84">
        <v>43297</v>
      </c>
      <c r="N4838" s="85">
        <f t="shared" si="1462"/>
        <v>515</v>
      </c>
      <c r="O4838" s="86">
        <f t="shared" si="1463"/>
        <v>5511.19</v>
      </c>
      <c r="P4838" s="86">
        <f t="shared" si="1464"/>
        <v>0</v>
      </c>
      <c r="Q4838" s="86">
        <f t="shared" si="1465"/>
        <v>0</v>
      </c>
      <c r="R4838" s="86">
        <f t="shared" si="1466"/>
        <v>0</v>
      </c>
      <c r="S4838" s="86">
        <f t="shared" si="1467"/>
        <v>0</v>
      </c>
      <c r="T4838" s="86">
        <f t="shared" si="1468"/>
        <v>5511.19</v>
      </c>
      <c r="U4838" s="87">
        <v>5511.19</v>
      </c>
    </row>
    <row r="4839" spans="1:21" s="30" customFormat="1" ht="24.6" hidden="1" outlineLevel="1" x14ac:dyDescent="0.55000000000000004">
      <c r="A4839" s="27" t="s">
        <v>327</v>
      </c>
      <c r="B4839" s="28"/>
      <c r="C4839" s="27"/>
      <c r="D4839" s="27" t="str">
        <f>"""NAV Direct"",""CRONUS JetCorp USA"",""21"",""1"",""420862"""</f>
        <v>"NAV Direct","CRONUS JetCorp USA","21","1","420862"</v>
      </c>
      <c r="E4839" s="31">
        <f t="shared" si="1460"/>
        <v>0</v>
      </c>
      <c r="F4839" s="31"/>
      <c r="G4839" s="31"/>
      <c r="H4839" s="31"/>
      <c r="I4839" s="56"/>
      <c r="J4839" s="56"/>
      <c r="K4839" s="82" t="str">
        <f t="shared" si="1461"/>
        <v>Invoice</v>
      </c>
      <c r="L4839" s="83" t="str">
        <f>"SI_112689"</f>
        <v>SI_112689</v>
      </c>
      <c r="M4839" s="84">
        <v>43317</v>
      </c>
      <c r="N4839" s="85">
        <f t="shared" si="1462"/>
        <v>495</v>
      </c>
      <c r="O4839" s="86">
        <f t="shared" si="1463"/>
        <v>5511.3</v>
      </c>
      <c r="P4839" s="86">
        <f t="shared" si="1464"/>
        <v>0</v>
      </c>
      <c r="Q4839" s="86">
        <f t="shared" si="1465"/>
        <v>0</v>
      </c>
      <c r="R4839" s="86">
        <f t="shared" si="1466"/>
        <v>0</v>
      </c>
      <c r="S4839" s="86">
        <f t="shared" si="1467"/>
        <v>0</v>
      </c>
      <c r="T4839" s="86">
        <f t="shared" si="1468"/>
        <v>5511.3</v>
      </c>
      <c r="U4839" s="87">
        <v>5511.3</v>
      </c>
    </row>
    <row r="4840" spans="1:21" s="30" customFormat="1" ht="24.6" hidden="1" outlineLevel="1" x14ac:dyDescent="0.55000000000000004">
      <c r="A4840" s="27" t="s">
        <v>327</v>
      </c>
      <c r="B4840" s="28"/>
      <c r="C4840" s="27"/>
      <c r="D4840" s="27" t="str">
        <f>"""NAV Direct"",""CRONUS JetCorp USA"",""21"",""1"",""421594"""</f>
        <v>"NAV Direct","CRONUS JetCorp USA","21","1","421594"</v>
      </c>
      <c r="E4840" s="31" t="str">
        <f t="shared" si="1460"/>
        <v>C100136</v>
      </c>
      <c r="F4840" s="31"/>
      <c r="G4840" s="31"/>
      <c r="H4840" s="31"/>
      <c r="I4840" s="56"/>
      <c r="J4840" s="56"/>
      <c r="K4840" s="82" t="str">
        <f t="shared" si="1461"/>
        <v>Invoice</v>
      </c>
      <c r="L4840" s="83" t="str">
        <f>"SI_112705"</f>
        <v>SI_112705</v>
      </c>
      <c r="M4840" s="84">
        <v>43401</v>
      </c>
      <c r="N4840" s="85">
        <f t="shared" si="1462"/>
        <v>411</v>
      </c>
      <c r="O4840" s="86">
        <f t="shared" si="1463"/>
        <v>7668.9000000000005</v>
      </c>
      <c r="P4840" s="86">
        <f t="shared" si="1464"/>
        <v>0</v>
      </c>
      <c r="Q4840" s="86">
        <f t="shared" si="1465"/>
        <v>0</v>
      </c>
      <c r="R4840" s="86">
        <f t="shared" si="1466"/>
        <v>0</v>
      </c>
      <c r="S4840" s="86">
        <f t="shared" si="1467"/>
        <v>0</v>
      </c>
      <c r="T4840" s="86">
        <f t="shared" si="1468"/>
        <v>7668.9000000000005</v>
      </c>
      <c r="U4840" s="87">
        <v>7668.9000000000005</v>
      </c>
    </row>
    <row r="4841" spans="1:21" s="30" customFormat="1" ht="24.6" hidden="1" outlineLevel="1" x14ac:dyDescent="0.55000000000000004">
      <c r="A4841" s="27" t="s">
        <v>327</v>
      </c>
      <c r="B4841" s="28"/>
      <c r="C4841" s="27"/>
      <c r="D4841" s="27" t="str">
        <f>"""NAV Direct"",""CRONUS JetCorp USA"",""21"",""1"",""421643"""</f>
        <v>"NAV Direct","CRONUS JetCorp USA","21","1","421643"</v>
      </c>
      <c r="E4841" s="31">
        <f t="shared" si="1460"/>
        <v>0</v>
      </c>
      <c r="F4841" s="31"/>
      <c r="G4841" s="31"/>
      <c r="H4841" s="31"/>
      <c r="I4841" s="56"/>
      <c r="J4841" s="56"/>
      <c r="K4841" s="82" t="str">
        <f t="shared" si="1461"/>
        <v>Invoice</v>
      </c>
      <c r="L4841" s="83" t="str">
        <f>"SI_112706"</f>
        <v>SI_112706</v>
      </c>
      <c r="M4841" s="84">
        <v>43395</v>
      </c>
      <c r="N4841" s="85">
        <f t="shared" si="1462"/>
        <v>417</v>
      </c>
      <c r="O4841" s="86">
        <f t="shared" si="1463"/>
        <v>7668.99</v>
      </c>
      <c r="P4841" s="86">
        <f t="shared" si="1464"/>
        <v>0</v>
      </c>
      <c r="Q4841" s="86">
        <f t="shared" si="1465"/>
        <v>0</v>
      </c>
      <c r="R4841" s="86">
        <f t="shared" si="1466"/>
        <v>0</v>
      </c>
      <c r="S4841" s="86">
        <f t="shared" si="1467"/>
        <v>0</v>
      </c>
      <c r="T4841" s="86">
        <f t="shared" si="1468"/>
        <v>7668.99</v>
      </c>
      <c r="U4841" s="87">
        <v>7668.99</v>
      </c>
    </row>
    <row r="4842" spans="1:21" s="30" customFormat="1" ht="24.6" hidden="1" outlineLevel="1" x14ac:dyDescent="0.55000000000000004">
      <c r="A4842" s="27" t="s">
        <v>327</v>
      </c>
      <c r="B4842" s="28"/>
      <c r="C4842" s="27"/>
      <c r="D4842" s="27" t="str">
        <f>"""NAV Direct"",""CRONUS JetCorp USA"",""21"",""1"",""421719"""</f>
        <v>"NAV Direct","CRONUS JetCorp USA","21","1","421719"</v>
      </c>
      <c r="E4842" s="31" t="str">
        <f t="shared" si="1460"/>
        <v>C100136</v>
      </c>
      <c r="F4842" s="31"/>
      <c r="G4842" s="31"/>
      <c r="H4842" s="31"/>
      <c r="I4842" s="56"/>
      <c r="J4842" s="56"/>
      <c r="K4842" s="82" t="str">
        <f t="shared" si="1461"/>
        <v>Invoice</v>
      </c>
      <c r="L4842" s="83" t="str">
        <f>"SI_112708"</f>
        <v>SI_112708</v>
      </c>
      <c r="M4842" s="84">
        <v>43408</v>
      </c>
      <c r="N4842" s="85">
        <f t="shared" si="1462"/>
        <v>404</v>
      </c>
      <c r="O4842" s="86">
        <f t="shared" si="1463"/>
        <v>7668.7999999999993</v>
      </c>
      <c r="P4842" s="86">
        <f t="shared" si="1464"/>
        <v>0</v>
      </c>
      <c r="Q4842" s="86">
        <f t="shared" si="1465"/>
        <v>0</v>
      </c>
      <c r="R4842" s="86">
        <f t="shared" si="1466"/>
        <v>0</v>
      </c>
      <c r="S4842" s="86">
        <f t="shared" si="1467"/>
        <v>0</v>
      </c>
      <c r="T4842" s="86">
        <f t="shared" si="1468"/>
        <v>7668.7999999999993</v>
      </c>
      <c r="U4842" s="87">
        <v>7668.7999999999993</v>
      </c>
    </row>
    <row r="4843" spans="1:21" s="30" customFormat="1" ht="24.6" hidden="1" outlineLevel="1" x14ac:dyDescent="0.55000000000000004">
      <c r="A4843" s="27" t="s">
        <v>327</v>
      </c>
      <c r="B4843" s="28"/>
      <c r="C4843" s="27"/>
      <c r="D4843" s="27" t="str">
        <f>"""NAV Direct"",""CRONUS JetCorp USA"",""21"",""1"",""421789"""</f>
        <v>"NAV Direct","CRONUS JetCorp USA","21","1","421789"</v>
      </c>
      <c r="E4843" s="31">
        <f t="shared" si="1460"/>
        <v>0</v>
      </c>
      <c r="F4843" s="31"/>
      <c r="G4843" s="31"/>
      <c r="H4843" s="31"/>
      <c r="I4843" s="56"/>
      <c r="J4843" s="56"/>
      <c r="K4843" s="82" t="str">
        <f t="shared" si="1461"/>
        <v>Invoice</v>
      </c>
      <c r="L4843" s="83" t="str">
        <f>"SI_112710"</f>
        <v>SI_112710</v>
      </c>
      <c r="M4843" s="84">
        <v>43423</v>
      </c>
      <c r="N4843" s="85">
        <f t="shared" si="1462"/>
        <v>389</v>
      </c>
      <c r="O4843" s="86">
        <f t="shared" si="1463"/>
        <v>7730.2699999999995</v>
      </c>
      <c r="P4843" s="86">
        <f t="shared" si="1464"/>
        <v>0</v>
      </c>
      <c r="Q4843" s="86">
        <f t="shared" si="1465"/>
        <v>0</v>
      </c>
      <c r="R4843" s="86">
        <f t="shared" si="1466"/>
        <v>0</v>
      </c>
      <c r="S4843" s="86">
        <f t="shared" si="1467"/>
        <v>0</v>
      </c>
      <c r="T4843" s="86">
        <f t="shared" si="1468"/>
        <v>7730.2699999999995</v>
      </c>
      <c r="U4843" s="87">
        <v>7730.2699999999995</v>
      </c>
    </row>
    <row r="4844" spans="1:21" s="30" customFormat="1" ht="24.6" hidden="1" outlineLevel="1" x14ac:dyDescent="0.55000000000000004">
      <c r="A4844" s="27" t="s">
        <v>327</v>
      </c>
      <c r="B4844" s="28"/>
      <c r="C4844" s="27"/>
      <c r="D4844" s="27" t="str">
        <f>"""NAV Direct"",""CRONUS JetCorp USA"",""21"",""1"",""421903"""</f>
        <v>"NAV Direct","CRONUS JetCorp USA","21","1","421903"</v>
      </c>
      <c r="E4844" s="31" t="str">
        <f t="shared" si="1460"/>
        <v>C100136</v>
      </c>
      <c r="F4844" s="31"/>
      <c r="G4844" s="31"/>
      <c r="H4844" s="31"/>
      <c r="I4844" s="56"/>
      <c r="J4844" s="56"/>
      <c r="K4844" s="82" t="str">
        <f t="shared" si="1461"/>
        <v>Invoice</v>
      </c>
      <c r="L4844" s="83" t="str">
        <f>"SI_112713"</f>
        <v>SI_112713</v>
      </c>
      <c r="M4844" s="84">
        <v>43455</v>
      </c>
      <c r="N4844" s="85">
        <f t="shared" si="1462"/>
        <v>357</v>
      </c>
      <c r="O4844" s="86">
        <f t="shared" si="1463"/>
        <v>6184.2499999999991</v>
      </c>
      <c r="P4844" s="86">
        <f t="shared" si="1464"/>
        <v>0</v>
      </c>
      <c r="Q4844" s="86">
        <f t="shared" si="1465"/>
        <v>0</v>
      </c>
      <c r="R4844" s="86">
        <f t="shared" si="1466"/>
        <v>0</v>
      </c>
      <c r="S4844" s="86">
        <f t="shared" si="1467"/>
        <v>0</v>
      </c>
      <c r="T4844" s="86">
        <f t="shared" si="1468"/>
        <v>6184.2499999999991</v>
      </c>
      <c r="U4844" s="87">
        <v>6184.2499999999991</v>
      </c>
    </row>
    <row r="4845" spans="1:21" s="30" customFormat="1" ht="24.6" hidden="1" outlineLevel="1" x14ac:dyDescent="0.55000000000000004">
      <c r="A4845" s="27" t="s">
        <v>327</v>
      </c>
      <c r="B4845" s="28"/>
      <c r="C4845" s="27"/>
      <c r="D4845" s="27" t="str">
        <f>"""NAV Direct"",""CRONUS JetCorp USA"",""21"",""1"",""421946"""</f>
        <v>"NAV Direct","CRONUS JetCorp USA","21","1","421946"</v>
      </c>
      <c r="E4845" s="31">
        <f t="shared" si="1460"/>
        <v>0</v>
      </c>
      <c r="F4845" s="31"/>
      <c r="G4845" s="31"/>
      <c r="H4845" s="31"/>
      <c r="I4845" s="56"/>
      <c r="J4845" s="56"/>
      <c r="K4845" s="82" t="str">
        <f t="shared" si="1461"/>
        <v>Invoice</v>
      </c>
      <c r="L4845" s="83" t="str">
        <f>"SI_112714"</f>
        <v>SI_112714</v>
      </c>
      <c r="M4845" s="84">
        <v>43463</v>
      </c>
      <c r="N4845" s="85">
        <f t="shared" si="1462"/>
        <v>349</v>
      </c>
      <c r="O4845" s="86">
        <f t="shared" si="1463"/>
        <v>6184.2699999999995</v>
      </c>
      <c r="P4845" s="86">
        <f t="shared" si="1464"/>
        <v>0</v>
      </c>
      <c r="Q4845" s="86">
        <f t="shared" si="1465"/>
        <v>0</v>
      </c>
      <c r="R4845" s="86">
        <f t="shared" si="1466"/>
        <v>0</v>
      </c>
      <c r="S4845" s="86">
        <f t="shared" si="1467"/>
        <v>0</v>
      </c>
      <c r="T4845" s="86">
        <f t="shared" si="1468"/>
        <v>6184.2699999999995</v>
      </c>
      <c r="U4845" s="87">
        <v>6184.2699999999995</v>
      </c>
    </row>
    <row r="4846" spans="1:21" s="30" customFormat="1" ht="24.6" hidden="1" outlineLevel="1" x14ac:dyDescent="0.55000000000000004">
      <c r="A4846" s="27" t="s">
        <v>327</v>
      </c>
      <c r="B4846" s="28"/>
      <c r="C4846" s="27"/>
      <c r="D4846" s="27" t="str">
        <f>"""NAV Direct"",""CRONUS JetCorp USA"",""21"",""1"",""422128"""</f>
        <v>"NAV Direct","CRONUS JetCorp USA","21","1","422128"</v>
      </c>
      <c r="E4846" s="31" t="str">
        <f t="shared" ref="E4846:E4877" si="1469">E4844</f>
        <v>C100136</v>
      </c>
      <c r="F4846" s="31"/>
      <c r="G4846" s="31"/>
      <c r="H4846" s="31"/>
      <c r="I4846" s="56"/>
      <c r="J4846" s="56"/>
      <c r="K4846" s="82" t="str">
        <f t="shared" ref="K4846:K4868" si="1470">"Invoice"</f>
        <v>Invoice</v>
      </c>
      <c r="L4846" s="83" t="str">
        <f>"SI_112718"</f>
        <v>SI_112718</v>
      </c>
      <c r="M4846" s="84">
        <v>43484</v>
      </c>
      <c r="N4846" s="85">
        <f t="shared" ref="N4846:N4877" si="1471">StartDate-$M4846+1</f>
        <v>328</v>
      </c>
      <c r="O4846" s="86">
        <f t="shared" ref="O4846:O4877" si="1472">SUM(P4846:T4846)</f>
        <v>6307.9800000000005</v>
      </c>
      <c r="P4846" s="86">
        <f t="shared" ref="P4846:P4877" si="1473">IF($M4846&gt;=$P$18,U4846,0)</f>
        <v>0</v>
      </c>
      <c r="Q4846" s="86">
        <f t="shared" ref="Q4846:Q4877" si="1474">IF(AND($M4846&gt;=$Q$16,$M4846&lt;=$Q$18),U4846,0)</f>
        <v>0</v>
      </c>
      <c r="R4846" s="86">
        <f t="shared" ref="R4846:R4877" si="1475">IF(AND($M4846&gt;=$R$16,$M4846&lt;=$R$18),U4846,0)</f>
        <v>0</v>
      </c>
      <c r="S4846" s="86">
        <f t="shared" ref="S4846:S4877" si="1476">IF(AND($M4846&gt;=$S$16,$M4846&lt;=$S$18),U4846,0)</f>
        <v>0</v>
      </c>
      <c r="T4846" s="86">
        <f t="shared" ref="T4846:T4877" si="1477">IF($M4846&lt;=$T$18,U4846,0)</f>
        <v>6307.9800000000005</v>
      </c>
      <c r="U4846" s="87">
        <v>6307.9800000000005</v>
      </c>
    </row>
    <row r="4847" spans="1:21" s="30" customFormat="1" ht="24.6" hidden="1" outlineLevel="1" x14ac:dyDescent="0.55000000000000004">
      <c r="A4847" s="27" t="s">
        <v>327</v>
      </c>
      <c r="B4847" s="28"/>
      <c r="C4847" s="27"/>
      <c r="D4847" s="27" t="str">
        <f>"""NAV Direct"",""CRONUS JetCorp USA"",""21"",""1"",""422202"""</f>
        <v>"NAV Direct","CRONUS JetCorp USA","21","1","422202"</v>
      </c>
      <c r="E4847" s="31">
        <f t="shared" si="1469"/>
        <v>0</v>
      </c>
      <c r="F4847" s="31"/>
      <c r="G4847" s="31"/>
      <c r="H4847" s="31"/>
      <c r="I4847" s="56"/>
      <c r="J4847" s="56"/>
      <c r="K4847" s="82" t="str">
        <f t="shared" si="1470"/>
        <v>Invoice</v>
      </c>
      <c r="L4847" s="83" t="str">
        <f>"SI_112720"</f>
        <v>SI_112720</v>
      </c>
      <c r="M4847" s="84">
        <v>43483</v>
      </c>
      <c r="N4847" s="85">
        <f t="shared" si="1471"/>
        <v>329</v>
      </c>
      <c r="O4847" s="86">
        <f t="shared" si="1472"/>
        <v>6307.95</v>
      </c>
      <c r="P4847" s="86">
        <f t="shared" si="1473"/>
        <v>0</v>
      </c>
      <c r="Q4847" s="86">
        <f t="shared" si="1474"/>
        <v>0</v>
      </c>
      <c r="R4847" s="86">
        <f t="shared" si="1475"/>
        <v>0</v>
      </c>
      <c r="S4847" s="86">
        <f t="shared" si="1476"/>
        <v>0</v>
      </c>
      <c r="T4847" s="86">
        <f t="shared" si="1477"/>
        <v>6307.95</v>
      </c>
      <c r="U4847" s="87">
        <v>6307.95</v>
      </c>
    </row>
    <row r="4848" spans="1:21" s="30" customFormat="1" ht="24.6" hidden="1" outlineLevel="1" x14ac:dyDescent="0.55000000000000004">
      <c r="A4848" s="27" t="s">
        <v>327</v>
      </c>
      <c r="B4848" s="28"/>
      <c r="C4848" s="27"/>
      <c r="D4848" s="27" t="str">
        <f>"""NAV Direct"",""CRONUS JetCorp USA"",""21"",""1"",""422994"""</f>
        <v>"NAV Direct","CRONUS JetCorp USA","21","1","422994"</v>
      </c>
      <c r="E4848" s="31" t="str">
        <f t="shared" si="1469"/>
        <v>C100136</v>
      </c>
      <c r="F4848" s="31"/>
      <c r="G4848" s="31"/>
      <c r="H4848" s="31"/>
      <c r="I4848" s="56"/>
      <c r="J4848" s="56"/>
      <c r="K4848" s="82" t="str">
        <f t="shared" si="1470"/>
        <v>Invoice</v>
      </c>
      <c r="L4848" s="83" t="str">
        <f>"SI_112738"</f>
        <v>SI_112738</v>
      </c>
      <c r="M4848" s="84">
        <v>43558</v>
      </c>
      <c r="N4848" s="85">
        <f t="shared" si="1471"/>
        <v>254</v>
      </c>
      <c r="O4848" s="86">
        <f t="shared" si="1472"/>
        <v>7979.5499999999993</v>
      </c>
      <c r="P4848" s="86">
        <f t="shared" si="1473"/>
        <v>0</v>
      </c>
      <c r="Q4848" s="86">
        <f t="shared" si="1474"/>
        <v>0</v>
      </c>
      <c r="R4848" s="86">
        <f t="shared" si="1475"/>
        <v>0</v>
      </c>
      <c r="S4848" s="86">
        <f t="shared" si="1476"/>
        <v>0</v>
      </c>
      <c r="T4848" s="86">
        <f t="shared" si="1477"/>
        <v>7979.5499999999993</v>
      </c>
      <c r="U4848" s="87">
        <v>7979.5499999999993</v>
      </c>
    </row>
    <row r="4849" spans="1:21" s="30" customFormat="1" ht="24.6" hidden="1" outlineLevel="1" x14ac:dyDescent="0.55000000000000004">
      <c r="A4849" s="27" t="s">
        <v>327</v>
      </c>
      <c r="B4849" s="28"/>
      <c r="C4849" s="27"/>
      <c r="D4849" s="27" t="str">
        <f>"""NAV Direct"",""CRONUS JetCorp USA"",""21"",""1"",""423392"""</f>
        <v>"NAV Direct","CRONUS JetCorp USA","21","1","423392"</v>
      </c>
      <c r="E4849" s="31">
        <f t="shared" si="1469"/>
        <v>0</v>
      </c>
      <c r="F4849" s="31"/>
      <c r="G4849" s="31"/>
      <c r="H4849" s="31"/>
      <c r="I4849" s="56"/>
      <c r="J4849" s="56"/>
      <c r="K4849" s="82" t="str">
        <f t="shared" si="1470"/>
        <v>Invoice</v>
      </c>
      <c r="L4849" s="83" t="str">
        <f>"SI_112746"</f>
        <v>SI_112746</v>
      </c>
      <c r="M4849" s="84">
        <v>43580</v>
      </c>
      <c r="N4849" s="85">
        <f t="shared" si="1471"/>
        <v>232</v>
      </c>
      <c r="O4849" s="86">
        <f t="shared" si="1472"/>
        <v>7842.75</v>
      </c>
      <c r="P4849" s="86">
        <f t="shared" si="1473"/>
        <v>0</v>
      </c>
      <c r="Q4849" s="86">
        <f t="shared" si="1474"/>
        <v>0</v>
      </c>
      <c r="R4849" s="86">
        <f t="shared" si="1475"/>
        <v>0</v>
      </c>
      <c r="S4849" s="86">
        <f t="shared" si="1476"/>
        <v>0</v>
      </c>
      <c r="T4849" s="86">
        <f t="shared" si="1477"/>
        <v>7842.75</v>
      </c>
      <c r="U4849" s="87">
        <v>7842.75</v>
      </c>
    </row>
    <row r="4850" spans="1:21" s="30" customFormat="1" ht="24.6" hidden="1" outlineLevel="1" x14ac:dyDescent="0.55000000000000004">
      <c r="A4850" s="27" t="s">
        <v>327</v>
      </c>
      <c r="B4850" s="28"/>
      <c r="C4850" s="27"/>
      <c r="D4850" s="27" t="str">
        <f>"""NAV Direct"",""CRONUS JetCorp USA"",""21"",""1"",""423802"""</f>
        <v>"NAV Direct","CRONUS JetCorp USA","21","1","423802"</v>
      </c>
      <c r="E4850" s="31" t="str">
        <f t="shared" si="1469"/>
        <v>C100136</v>
      </c>
      <c r="F4850" s="31"/>
      <c r="G4850" s="31"/>
      <c r="H4850" s="31"/>
      <c r="I4850" s="56"/>
      <c r="J4850" s="56"/>
      <c r="K4850" s="82" t="str">
        <f t="shared" si="1470"/>
        <v>Invoice</v>
      </c>
      <c r="L4850" s="83" t="str">
        <f>"SI_112756"</f>
        <v>SI_112756</v>
      </c>
      <c r="M4850" s="84">
        <v>43619</v>
      </c>
      <c r="N4850" s="85">
        <f t="shared" si="1471"/>
        <v>193</v>
      </c>
      <c r="O4850" s="86">
        <f t="shared" si="1472"/>
        <v>5198.0199999999995</v>
      </c>
      <c r="P4850" s="86">
        <f t="shared" si="1473"/>
        <v>0</v>
      </c>
      <c r="Q4850" s="86">
        <f t="shared" si="1474"/>
        <v>0</v>
      </c>
      <c r="R4850" s="86">
        <f t="shared" si="1475"/>
        <v>0</v>
      </c>
      <c r="S4850" s="86">
        <f t="shared" si="1476"/>
        <v>0</v>
      </c>
      <c r="T4850" s="86">
        <f t="shared" si="1477"/>
        <v>5198.0199999999995</v>
      </c>
      <c r="U4850" s="87">
        <v>5198.0199999999995</v>
      </c>
    </row>
    <row r="4851" spans="1:21" s="30" customFormat="1" ht="24.6" hidden="1" outlineLevel="1" x14ac:dyDescent="0.55000000000000004">
      <c r="A4851" s="27" t="s">
        <v>327</v>
      </c>
      <c r="B4851" s="28"/>
      <c r="C4851" s="27"/>
      <c r="D4851" s="27" t="str">
        <f>"""NAV Direct"",""CRONUS JetCorp USA"",""21"",""1"",""424522"""</f>
        <v>"NAV Direct","CRONUS JetCorp USA","21","1","424522"</v>
      </c>
      <c r="E4851" s="31">
        <f t="shared" si="1469"/>
        <v>0</v>
      </c>
      <c r="F4851" s="31"/>
      <c r="G4851" s="31"/>
      <c r="H4851" s="31"/>
      <c r="I4851" s="56"/>
      <c r="J4851" s="56"/>
      <c r="K4851" s="82" t="str">
        <f t="shared" si="1470"/>
        <v>Invoice</v>
      </c>
      <c r="L4851" s="83" t="str">
        <f>"SI_112774"</f>
        <v>SI_112774</v>
      </c>
      <c r="M4851" s="84">
        <v>43682</v>
      </c>
      <c r="N4851" s="85">
        <f t="shared" si="1471"/>
        <v>130</v>
      </c>
      <c r="O4851" s="86">
        <f t="shared" si="1472"/>
        <v>5582.71</v>
      </c>
      <c r="P4851" s="86">
        <f t="shared" si="1473"/>
        <v>0</v>
      </c>
      <c r="Q4851" s="86">
        <f t="shared" si="1474"/>
        <v>0</v>
      </c>
      <c r="R4851" s="86">
        <f t="shared" si="1475"/>
        <v>0</v>
      </c>
      <c r="S4851" s="86">
        <f t="shared" si="1476"/>
        <v>0</v>
      </c>
      <c r="T4851" s="86">
        <f t="shared" si="1477"/>
        <v>5582.71</v>
      </c>
      <c r="U4851" s="87">
        <v>5582.71</v>
      </c>
    </row>
    <row r="4852" spans="1:21" s="30" customFormat="1" ht="24.6" hidden="1" outlineLevel="1" x14ac:dyDescent="0.55000000000000004">
      <c r="A4852" s="27" t="s">
        <v>327</v>
      </c>
      <c r="B4852" s="28"/>
      <c r="C4852" s="27"/>
      <c r="D4852" s="27" t="str">
        <f>"""NAV Direct"",""CRONUS JetCorp USA"",""21"",""1"",""424914"""</f>
        <v>"NAV Direct","CRONUS JetCorp USA","21","1","424914"</v>
      </c>
      <c r="E4852" s="31" t="str">
        <f t="shared" si="1469"/>
        <v>C100136</v>
      </c>
      <c r="F4852" s="31"/>
      <c r="G4852" s="31"/>
      <c r="H4852" s="31"/>
      <c r="I4852" s="56"/>
      <c r="J4852" s="56"/>
      <c r="K4852" s="82" t="str">
        <f t="shared" si="1470"/>
        <v>Invoice</v>
      </c>
      <c r="L4852" s="83" t="str">
        <f>"SI_112784"</f>
        <v>SI_112784</v>
      </c>
      <c r="M4852" s="84">
        <v>43711</v>
      </c>
      <c r="N4852" s="85">
        <f t="shared" si="1471"/>
        <v>101</v>
      </c>
      <c r="O4852" s="86">
        <f t="shared" si="1472"/>
        <v>5844.74</v>
      </c>
      <c r="P4852" s="86">
        <f t="shared" si="1473"/>
        <v>0</v>
      </c>
      <c r="Q4852" s="86">
        <f t="shared" si="1474"/>
        <v>0</v>
      </c>
      <c r="R4852" s="86">
        <f t="shared" si="1475"/>
        <v>0</v>
      </c>
      <c r="S4852" s="86">
        <f t="shared" si="1476"/>
        <v>0</v>
      </c>
      <c r="T4852" s="86">
        <f t="shared" si="1477"/>
        <v>5844.74</v>
      </c>
      <c r="U4852" s="87">
        <v>5844.74</v>
      </c>
    </row>
    <row r="4853" spans="1:21" s="30" customFormat="1" ht="24.6" hidden="1" outlineLevel="1" x14ac:dyDescent="0.55000000000000004">
      <c r="A4853" s="27" t="s">
        <v>327</v>
      </c>
      <c r="B4853" s="28"/>
      <c r="C4853" s="27"/>
      <c r="D4853" s="27" t="str">
        <f>"""NAV Direct"",""CRONUS JetCorp USA"",""21"",""1"",""425544"""</f>
        <v>"NAV Direct","CRONUS JetCorp USA","21","1","425544"</v>
      </c>
      <c r="E4853" s="31">
        <f t="shared" si="1469"/>
        <v>0</v>
      </c>
      <c r="F4853" s="31"/>
      <c r="G4853" s="31"/>
      <c r="H4853" s="31"/>
      <c r="I4853" s="56"/>
      <c r="J4853" s="56"/>
      <c r="K4853" s="82" t="str">
        <f t="shared" si="1470"/>
        <v>Invoice</v>
      </c>
      <c r="L4853" s="83" t="str">
        <f>"SI_112800"</f>
        <v>SI_112800</v>
      </c>
      <c r="M4853" s="84">
        <v>43770</v>
      </c>
      <c r="N4853" s="85">
        <f t="shared" si="1471"/>
        <v>42</v>
      </c>
      <c r="O4853" s="86">
        <f t="shared" si="1472"/>
        <v>6860.28</v>
      </c>
      <c r="P4853" s="86">
        <f t="shared" si="1473"/>
        <v>0</v>
      </c>
      <c r="Q4853" s="86">
        <f t="shared" si="1474"/>
        <v>0</v>
      </c>
      <c r="R4853" s="86">
        <f t="shared" si="1475"/>
        <v>6860.28</v>
      </c>
      <c r="S4853" s="86">
        <f t="shared" si="1476"/>
        <v>0</v>
      </c>
      <c r="T4853" s="86">
        <f t="shared" si="1477"/>
        <v>0</v>
      </c>
      <c r="U4853" s="87">
        <v>6860.28</v>
      </c>
    </row>
    <row r="4854" spans="1:21" s="30" customFormat="1" ht="24.6" hidden="1" outlineLevel="1" x14ac:dyDescent="0.55000000000000004">
      <c r="A4854" s="27" t="s">
        <v>327</v>
      </c>
      <c r="B4854" s="28"/>
      <c r="C4854" s="27"/>
      <c r="D4854" s="27" t="str">
        <f>"""NAV Direct"",""CRONUS JetCorp USA"",""21"",""1"",""425683"""</f>
        <v>"NAV Direct","CRONUS JetCorp USA","21","1","425683"</v>
      </c>
      <c r="E4854" s="31" t="str">
        <f t="shared" si="1469"/>
        <v>C100136</v>
      </c>
      <c r="F4854" s="31"/>
      <c r="G4854" s="31"/>
      <c r="H4854" s="31"/>
      <c r="I4854" s="56"/>
      <c r="J4854" s="56"/>
      <c r="K4854" s="82" t="str">
        <f t="shared" si="1470"/>
        <v>Invoice</v>
      </c>
      <c r="L4854" s="83" t="str">
        <f>"SI_112803"</f>
        <v>SI_112803</v>
      </c>
      <c r="M4854" s="84">
        <v>43786</v>
      </c>
      <c r="N4854" s="85">
        <f t="shared" si="1471"/>
        <v>26</v>
      </c>
      <c r="O4854" s="86">
        <f t="shared" si="1472"/>
        <v>8072.72</v>
      </c>
      <c r="P4854" s="86">
        <f t="shared" si="1473"/>
        <v>0</v>
      </c>
      <c r="Q4854" s="86">
        <f t="shared" si="1474"/>
        <v>8072.72</v>
      </c>
      <c r="R4854" s="86">
        <f t="shared" si="1475"/>
        <v>0</v>
      </c>
      <c r="S4854" s="86">
        <f t="shared" si="1476"/>
        <v>0</v>
      </c>
      <c r="T4854" s="86">
        <f t="shared" si="1477"/>
        <v>0</v>
      </c>
      <c r="U4854" s="87">
        <v>8072.72</v>
      </c>
    </row>
    <row r="4855" spans="1:21" s="30" customFormat="1" ht="24.6" hidden="1" outlineLevel="1" x14ac:dyDescent="0.55000000000000004">
      <c r="A4855" s="27" t="s">
        <v>327</v>
      </c>
      <c r="B4855" s="28"/>
      <c r="C4855" s="27"/>
      <c r="D4855" s="27" t="str">
        <f>"""NAV Direct"",""CRONUS JetCorp USA"",""21"",""1"",""426025"""</f>
        <v>"NAV Direct","CRONUS JetCorp USA","21","1","426025"</v>
      </c>
      <c r="E4855" s="31">
        <f t="shared" si="1469"/>
        <v>0</v>
      </c>
      <c r="F4855" s="31"/>
      <c r="G4855" s="31"/>
      <c r="H4855" s="31"/>
      <c r="I4855" s="56"/>
      <c r="J4855" s="56"/>
      <c r="K4855" s="82" t="str">
        <f t="shared" si="1470"/>
        <v>Invoice</v>
      </c>
      <c r="L4855" s="83" t="str">
        <f>"SI_112811"</f>
        <v>SI_112811</v>
      </c>
      <c r="M4855" s="84">
        <v>43817</v>
      </c>
      <c r="N4855" s="85">
        <f t="shared" si="1471"/>
        <v>-5</v>
      </c>
      <c r="O4855" s="86">
        <f t="shared" si="1472"/>
        <v>7265.7300000000005</v>
      </c>
      <c r="P4855" s="86">
        <f t="shared" si="1473"/>
        <v>7265.7300000000005</v>
      </c>
      <c r="Q4855" s="86">
        <f t="shared" si="1474"/>
        <v>0</v>
      </c>
      <c r="R4855" s="86">
        <f t="shared" si="1475"/>
        <v>0</v>
      </c>
      <c r="S4855" s="86">
        <f t="shared" si="1476"/>
        <v>0</v>
      </c>
      <c r="T4855" s="86">
        <f t="shared" si="1477"/>
        <v>0</v>
      </c>
      <c r="U4855" s="87">
        <v>7265.7300000000005</v>
      </c>
    </row>
    <row r="4856" spans="1:21" s="30" customFormat="1" ht="24.6" hidden="1" outlineLevel="1" x14ac:dyDescent="0.55000000000000004">
      <c r="A4856" s="27" t="s">
        <v>327</v>
      </c>
      <c r="B4856" s="28"/>
      <c r="C4856" s="27"/>
      <c r="D4856" s="27" t="str">
        <f>"""NAV Direct"",""CRONUS JetCorp USA"",""21"",""1"",""426502"""</f>
        <v>"NAV Direct","CRONUS JetCorp USA","21","1","426502"</v>
      </c>
      <c r="E4856" s="31" t="str">
        <f t="shared" si="1469"/>
        <v>C100136</v>
      </c>
      <c r="F4856" s="31"/>
      <c r="G4856" s="31"/>
      <c r="H4856" s="31"/>
      <c r="I4856" s="56"/>
      <c r="J4856" s="56"/>
      <c r="K4856" s="82" t="str">
        <f t="shared" si="1470"/>
        <v>Invoice</v>
      </c>
      <c r="L4856" s="83" t="str">
        <f>"SI_112821"</f>
        <v>SI_112821</v>
      </c>
      <c r="M4856" s="84">
        <v>42026</v>
      </c>
      <c r="N4856" s="85">
        <f t="shared" si="1471"/>
        <v>1786</v>
      </c>
      <c r="O4856" s="86">
        <f t="shared" si="1472"/>
        <v>7420.1100000000006</v>
      </c>
      <c r="P4856" s="86">
        <f t="shared" si="1473"/>
        <v>0</v>
      </c>
      <c r="Q4856" s="86">
        <f t="shared" si="1474"/>
        <v>0</v>
      </c>
      <c r="R4856" s="86">
        <f t="shared" si="1475"/>
        <v>0</v>
      </c>
      <c r="S4856" s="86">
        <f t="shared" si="1476"/>
        <v>0</v>
      </c>
      <c r="T4856" s="86">
        <f t="shared" si="1477"/>
        <v>7420.1100000000006</v>
      </c>
      <c r="U4856" s="87">
        <v>7420.1100000000006</v>
      </c>
    </row>
    <row r="4857" spans="1:21" s="30" customFormat="1" ht="24.6" hidden="1" outlineLevel="1" x14ac:dyDescent="0.55000000000000004">
      <c r="A4857" s="27" t="s">
        <v>327</v>
      </c>
      <c r="B4857" s="28"/>
      <c r="C4857" s="27"/>
      <c r="D4857" s="27" t="str">
        <f>"""NAV Direct"",""CRONUS JetCorp USA"",""21"",""1"",""426680"""</f>
        <v>"NAV Direct","CRONUS JetCorp USA","21","1","426680"</v>
      </c>
      <c r="E4857" s="31">
        <f t="shared" si="1469"/>
        <v>0</v>
      </c>
      <c r="F4857" s="31"/>
      <c r="G4857" s="31"/>
      <c r="H4857" s="31"/>
      <c r="I4857" s="56"/>
      <c r="J4857" s="56"/>
      <c r="K4857" s="82" t="str">
        <f t="shared" si="1470"/>
        <v>Invoice</v>
      </c>
      <c r="L4857" s="83" t="str">
        <f>"SI_112825"</f>
        <v>SI_112825</v>
      </c>
      <c r="M4857" s="84">
        <v>42032</v>
      </c>
      <c r="N4857" s="85">
        <f t="shared" si="1471"/>
        <v>1780</v>
      </c>
      <c r="O4857" s="86">
        <f t="shared" si="1472"/>
        <v>7185.75</v>
      </c>
      <c r="P4857" s="86">
        <f t="shared" si="1473"/>
        <v>0</v>
      </c>
      <c r="Q4857" s="86">
        <f t="shared" si="1474"/>
        <v>0</v>
      </c>
      <c r="R4857" s="86">
        <f t="shared" si="1475"/>
        <v>0</v>
      </c>
      <c r="S4857" s="86">
        <f t="shared" si="1476"/>
        <v>0</v>
      </c>
      <c r="T4857" s="86">
        <f t="shared" si="1477"/>
        <v>7185.75</v>
      </c>
      <c r="U4857" s="87">
        <v>7185.75</v>
      </c>
    </row>
    <row r="4858" spans="1:21" s="30" customFormat="1" ht="24.6" hidden="1" outlineLevel="1" x14ac:dyDescent="0.55000000000000004">
      <c r="A4858" s="27" t="s">
        <v>327</v>
      </c>
      <c r="B4858" s="28"/>
      <c r="C4858" s="27"/>
      <c r="D4858" s="27" t="str">
        <f>"""NAV Direct"",""CRONUS JetCorp USA"",""21"",""1"",""427072"""</f>
        <v>"NAV Direct","CRONUS JetCorp USA","21","1","427072"</v>
      </c>
      <c r="E4858" s="31" t="str">
        <f t="shared" si="1469"/>
        <v>C100136</v>
      </c>
      <c r="F4858" s="31"/>
      <c r="G4858" s="31"/>
      <c r="H4858" s="31"/>
      <c r="I4858" s="56"/>
      <c r="J4858" s="56"/>
      <c r="K4858" s="82" t="str">
        <f t="shared" si="1470"/>
        <v>Invoice</v>
      </c>
      <c r="L4858" s="83" t="str">
        <f>"SI_112833"</f>
        <v>SI_112833</v>
      </c>
      <c r="M4858" s="84">
        <v>42088</v>
      </c>
      <c r="N4858" s="85">
        <f t="shared" si="1471"/>
        <v>1724</v>
      </c>
      <c r="O4858" s="86">
        <f t="shared" si="1472"/>
        <v>7743.37</v>
      </c>
      <c r="P4858" s="86">
        <f t="shared" si="1473"/>
        <v>0</v>
      </c>
      <c r="Q4858" s="86">
        <f t="shared" si="1474"/>
        <v>0</v>
      </c>
      <c r="R4858" s="86">
        <f t="shared" si="1475"/>
        <v>0</v>
      </c>
      <c r="S4858" s="86">
        <f t="shared" si="1476"/>
        <v>0</v>
      </c>
      <c r="T4858" s="86">
        <f t="shared" si="1477"/>
        <v>7743.37</v>
      </c>
      <c r="U4858" s="87">
        <v>7743.37</v>
      </c>
    </row>
    <row r="4859" spans="1:21" s="30" customFormat="1" ht="24.6" hidden="1" outlineLevel="1" x14ac:dyDescent="0.55000000000000004">
      <c r="A4859" s="27" t="s">
        <v>327</v>
      </c>
      <c r="B4859" s="28"/>
      <c r="C4859" s="27"/>
      <c r="D4859" s="27" t="str">
        <f>"""NAV Direct"",""CRONUS JetCorp USA"",""21"",""1"",""427460"""</f>
        <v>"NAV Direct","CRONUS JetCorp USA","21","1","427460"</v>
      </c>
      <c r="E4859" s="31">
        <f t="shared" si="1469"/>
        <v>0</v>
      </c>
      <c r="F4859" s="31"/>
      <c r="G4859" s="31"/>
      <c r="H4859" s="31"/>
      <c r="I4859" s="56"/>
      <c r="J4859" s="56"/>
      <c r="K4859" s="82" t="str">
        <f t="shared" si="1470"/>
        <v>Invoice</v>
      </c>
      <c r="L4859" s="83" t="str">
        <f>"SI_112841"</f>
        <v>SI_112841</v>
      </c>
      <c r="M4859" s="84">
        <v>42122</v>
      </c>
      <c r="N4859" s="85">
        <f t="shared" si="1471"/>
        <v>1690</v>
      </c>
      <c r="O4859" s="86">
        <f t="shared" si="1472"/>
        <v>8211.41</v>
      </c>
      <c r="P4859" s="86">
        <f t="shared" si="1473"/>
        <v>0</v>
      </c>
      <c r="Q4859" s="86">
        <f t="shared" si="1474"/>
        <v>0</v>
      </c>
      <c r="R4859" s="86">
        <f t="shared" si="1475"/>
        <v>0</v>
      </c>
      <c r="S4859" s="86">
        <f t="shared" si="1476"/>
        <v>0</v>
      </c>
      <c r="T4859" s="86">
        <f t="shared" si="1477"/>
        <v>8211.41</v>
      </c>
      <c r="U4859" s="87">
        <v>8211.41</v>
      </c>
    </row>
    <row r="4860" spans="1:21" s="30" customFormat="1" ht="24.6" hidden="1" outlineLevel="1" x14ac:dyDescent="0.55000000000000004">
      <c r="A4860" s="27" t="s">
        <v>327</v>
      </c>
      <c r="B4860" s="28"/>
      <c r="C4860" s="27"/>
      <c r="D4860" s="27" t="str">
        <f>"""NAV Direct"",""CRONUS JetCorp USA"",""21"",""1"",""427563"""</f>
        <v>"NAV Direct","CRONUS JetCorp USA","21","1","427563"</v>
      </c>
      <c r="E4860" s="31" t="str">
        <f t="shared" si="1469"/>
        <v>C100136</v>
      </c>
      <c r="F4860" s="31"/>
      <c r="G4860" s="31"/>
      <c r="H4860" s="31"/>
      <c r="I4860" s="56"/>
      <c r="J4860" s="56"/>
      <c r="K4860" s="82" t="str">
        <f t="shared" si="1470"/>
        <v>Invoice</v>
      </c>
      <c r="L4860" s="83" t="str">
        <f>"SI_112844"</f>
        <v>SI_112844</v>
      </c>
      <c r="M4860" s="84">
        <v>42146</v>
      </c>
      <c r="N4860" s="85">
        <f t="shared" si="1471"/>
        <v>1666</v>
      </c>
      <c r="O4860" s="86">
        <f t="shared" si="1472"/>
        <v>5092.9399999999996</v>
      </c>
      <c r="P4860" s="86">
        <f t="shared" si="1473"/>
        <v>0</v>
      </c>
      <c r="Q4860" s="86">
        <f t="shared" si="1474"/>
        <v>0</v>
      </c>
      <c r="R4860" s="86">
        <f t="shared" si="1475"/>
        <v>0</v>
      </c>
      <c r="S4860" s="86">
        <f t="shared" si="1476"/>
        <v>0</v>
      </c>
      <c r="T4860" s="86">
        <f t="shared" si="1477"/>
        <v>5092.9399999999996</v>
      </c>
      <c r="U4860" s="87">
        <v>5092.9399999999996</v>
      </c>
    </row>
    <row r="4861" spans="1:21" s="30" customFormat="1" ht="24.6" hidden="1" outlineLevel="1" x14ac:dyDescent="0.55000000000000004">
      <c r="A4861" s="27" t="s">
        <v>327</v>
      </c>
      <c r="B4861" s="28"/>
      <c r="C4861" s="27"/>
      <c r="D4861" s="27" t="str">
        <f>"""NAV Direct"",""CRONUS JetCorp USA"",""21"",""1"",""427627"""</f>
        <v>"NAV Direct","CRONUS JetCorp USA","21","1","427627"</v>
      </c>
      <c r="E4861" s="31">
        <f t="shared" si="1469"/>
        <v>0</v>
      </c>
      <c r="F4861" s="31"/>
      <c r="G4861" s="31"/>
      <c r="H4861" s="31"/>
      <c r="I4861" s="56"/>
      <c r="J4861" s="56"/>
      <c r="K4861" s="82" t="str">
        <f t="shared" si="1470"/>
        <v>Invoice</v>
      </c>
      <c r="L4861" s="83" t="str">
        <f>"SI_112846"</f>
        <v>SI_112846</v>
      </c>
      <c r="M4861" s="84">
        <v>42156</v>
      </c>
      <c r="N4861" s="85">
        <f t="shared" si="1471"/>
        <v>1656</v>
      </c>
      <c r="O4861" s="86">
        <f t="shared" si="1472"/>
        <v>4871.29</v>
      </c>
      <c r="P4861" s="86">
        <f t="shared" si="1473"/>
        <v>0</v>
      </c>
      <c r="Q4861" s="86">
        <f t="shared" si="1474"/>
        <v>0</v>
      </c>
      <c r="R4861" s="86">
        <f t="shared" si="1475"/>
        <v>0</v>
      </c>
      <c r="S4861" s="86">
        <f t="shared" si="1476"/>
        <v>0</v>
      </c>
      <c r="T4861" s="86">
        <f t="shared" si="1477"/>
        <v>4871.29</v>
      </c>
      <c r="U4861" s="87">
        <v>4871.29</v>
      </c>
    </row>
    <row r="4862" spans="1:21" s="30" customFormat="1" ht="24.6" hidden="1" outlineLevel="1" x14ac:dyDescent="0.55000000000000004">
      <c r="A4862" s="27" t="s">
        <v>327</v>
      </c>
      <c r="B4862" s="28"/>
      <c r="C4862" s="27"/>
      <c r="D4862" s="27" t="str">
        <f>"""NAV Direct"",""CRONUS JetCorp USA"",""21"",""1"",""427705"""</f>
        <v>"NAV Direct","CRONUS JetCorp USA","21","1","427705"</v>
      </c>
      <c r="E4862" s="31" t="str">
        <f t="shared" si="1469"/>
        <v>C100136</v>
      </c>
      <c r="F4862" s="31"/>
      <c r="G4862" s="31"/>
      <c r="H4862" s="31"/>
      <c r="I4862" s="56"/>
      <c r="J4862" s="56"/>
      <c r="K4862" s="82" t="str">
        <f t="shared" si="1470"/>
        <v>Invoice</v>
      </c>
      <c r="L4862" s="83" t="str">
        <f>"SI_112848"</f>
        <v>SI_112848</v>
      </c>
      <c r="M4862" s="84">
        <v>42178</v>
      </c>
      <c r="N4862" s="85">
        <f t="shared" si="1471"/>
        <v>1634</v>
      </c>
      <c r="O4862" s="86">
        <f t="shared" si="1472"/>
        <v>4775.0600000000004</v>
      </c>
      <c r="P4862" s="86">
        <f t="shared" si="1473"/>
        <v>0</v>
      </c>
      <c r="Q4862" s="86">
        <f t="shared" si="1474"/>
        <v>0</v>
      </c>
      <c r="R4862" s="86">
        <f t="shared" si="1475"/>
        <v>0</v>
      </c>
      <c r="S4862" s="86">
        <f t="shared" si="1476"/>
        <v>0</v>
      </c>
      <c r="T4862" s="86">
        <f t="shared" si="1477"/>
        <v>4775.0600000000004</v>
      </c>
      <c r="U4862" s="87">
        <v>4775.0600000000004</v>
      </c>
    </row>
    <row r="4863" spans="1:21" s="30" customFormat="1" ht="24.6" hidden="1" outlineLevel="1" x14ac:dyDescent="0.55000000000000004">
      <c r="A4863" s="27" t="s">
        <v>327</v>
      </c>
      <c r="B4863" s="28"/>
      <c r="C4863" s="27"/>
      <c r="D4863" s="27" t="str">
        <f>"""NAV Direct"",""CRONUS JetCorp USA"",""21"",""1"",""427935"""</f>
        <v>"NAV Direct","CRONUS JetCorp USA","21","1","427935"</v>
      </c>
      <c r="E4863" s="31">
        <f t="shared" si="1469"/>
        <v>0</v>
      </c>
      <c r="F4863" s="31"/>
      <c r="G4863" s="31"/>
      <c r="H4863" s="31"/>
      <c r="I4863" s="56"/>
      <c r="J4863" s="56"/>
      <c r="K4863" s="82" t="str">
        <f t="shared" si="1470"/>
        <v>Invoice</v>
      </c>
      <c r="L4863" s="83" t="str">
        <f>"SI_112854"</f>
        <v>SI_112854</v>
      </c>
      <c r="M4863" s="84">
        <v>42202</v>
      </c>
      <c r="N4863" s="85">
        <f t="shared" si="1471"/>
        <v>1610</v>
      </c>
      <c r="O4863" s="86">
        <f t="shared" si="1472"/>
        <v>5187.0200000000004</v>
      </c>
      <c r="P4863" s="86">
        <f t="shared" si="1473"/>
        <v>0</v>
      </c>
      <c r="Q4863" s="86">
        <f t="shared" si="1474"/>
        <v>0</v>
      </c>
      <c r="R4863" s="86">
        <f t="shared" si="1475"/>
        <v>0</v>
      </c>
      <c r="S4863" s="86">
        <f t="shared" si="1476"/>
        <v>0</v>
      </c>
      <c r="T4863" s="86">
        <f t="shared" si="1477"/>
        <v>5187.0200000000004</v>
      </c>
      <c r="U4863" s="87">
        <v>5187.0200000000004</v>
      </c>
    </row>
    <row r="4864" spans="1:21" s="30" customFormat="1" ht="24.6" hidden="1" outlineLevel="1" x14ac:dyDescent="0.55000000000000004">
      <c r="A4864" s="27" t="s">
        <v>327</v>
      </c>
      <c r="B4864" s="28"/>
      <c r="C4864" s="27"/>
      <c r="D4864" s="27" t="str">
        <f>"""NAV Direct"",""CRONUS JetCorp USA"",""21"",""1"",""428060"""</f>
        <v>"NAV Direct","CRONUS JetCorp USA","21","1","428060"</v>
      </c>
      <c r="E4864" s="31" t="str">
        <f t="shared" si="1469"/>
        <v>C100136</v>
      </c>
      <c r="F4864" s="31"/>
      <c r="G4864" s="31"/>
      <c r="H4864" s="31"/>
      <c r="I4864" s="56"/>
      <c r="J4864" s="56"/>
      <c r="K4864" s="82" t="str">
        <f t="shared" si="1470"/>
        <v>Invoice</v>
      </c>
      <c r="L4864" s="83" t="str">
        <f>"SI_112857"</f>
        <v>SI_112857</v>
      </c>
      <c r="M4864" s="84">
        <v>42214</v>
      </c>
      <c r="N4864" s="85">
        <f t="shared" si="1471"/>
        <v>1598</v>
      </c>
      <c r="O4864" s="86">
        <f t="shared" si="1472"/>
        <v>5648.03</v>
      </c>
      <c r="P4864" s="86">
        <f t="shared" si="1473"/>
        <v>0</v>
      </c>
      <c r="Q4864" s="86">
        <f t="shared" si="1474"/>
        <v>0</v>
      </c>
      <c r="R4864" s="86">
        <f t="shared" si="1475"/>
        <v>0</v>
      </c>
      <c r="S4864" s="86">
        <f t="shared" si="1476"/>
        <v>0</v>
      </c>
      <c r="T4864" s="86">
        <f t="shared" si="1477"/>
        <v>5648.03</v>
      </c>
      <c r="U4864" s="87">
        <v>5648.03</v>
      </c>
    </row>
    <row r="4865" spans="1:21" s="30" customFormat="1" ht="24.6" hidden="1" outlineLevel="1" x14ac:dyDescent="0.55000000000000004">
      <c r="A4865" s="27" t="s">
        <v>327</v>
      </c>
      <c r="B4865" s="28"/>
      <c r="C4865" s="27"/>
      <c r="D4865" s="27" t="str">
        <f>"""NAV Direct"",""CRONUS JetCorp USA"",""21"",""1"",""428465"""</f>
        <v>"NAV Direct","CRONUS JetCorp USA","21","1","428465"</v>
      </c>
      <c r="E4865" s="31">
        <f t="shared" si="1469"/>
        <v>0</v>
      </c>
      <c r="F4865" s="31"/>
      <c r="G4865" s="31"/>
      <c r="H4865" s="31"/>
      <c r="I4865" s="56"/>
      <c r="J4865" s="56"/>
      <c r="K4865" s="82" t="str">
        <f t="shared" si="1470"/>
        <v>Invoice</v>
      </c>
      <c r="L4865" s="83" t="str">
        <f>"SI_112866"</f>
        <v>SI_112866</v>
      </c>
      <c r="M4865" s="84">
        <v>42282</v>
      </c>
      <c r="N4865" s="85">
        <f t="shared" si="1471"/>
        <v>1530</v>
      </c>
      <c r="O4865" s="86">
        <f t="shared" si="1472"/>
        <v>6174.07</v>
      </c>
      <c r="P4865" s="86">
        <f t="shared" si="1473"/>
        <v>0</v>
      </c>
      <c r="Q4865" s="86">
        <f t="shared" si="1474"/>
        <v>0</v>
      </c>
      <c r="R4865" s="86">
        <f t="shared" si="1475"/>
        <v>0</v>
      </c>
      <c r="S4865" s="86">
        <f t="shared" si="1476"/>
        <v>0</v>
      </c>
      <c r="T4865" s="86">
        <f t="shared" si="1477"/>
        <v>6174.07</v>
      </c>
      <c r="U4865" s="87">
        <v>6174.07</v>
      </c>
    </row>
    <row r="4866" spans="1:21" s="30" customFormat="1" ht="24.6" hidden="1" outlineLevel="1" x14ac:dyDescent="0.55000000000000004">
      <c r="A4866" s="27" t="s">
        <v>327</v>
      </c>
      <c r="B4866" s="28"/>
      <c r="C4866" s="27"/>
      <c r="D4866" s="27" t="str">
        <f>"""NAV Direct"",""CRONUS JetCorp USA"",""21"",""1"",""428678"""</f>
        <v>"NAV Direct","CRONUS JetCorp USA","21","1","428678"</v>
      </c>
      <c r="E4866" s="31" t="str">
        <f t="shared" si="1469"/>
        <v>C100136</v>
      </c>
      <c r="F4866" s="31"/>
      <c r="G4866" s="31"/>
      <c r="H4866" s="31"/>
      <c r="I4866" s="56"/>
      <c r="J4866" s="56"/>
      <c r="K4866" s="82" t="str">
        <f t="shared" si="1470"/>
        <v>Invoice</v>
      </c>
      <c r="L4866" s="83" t="str">
        <f>"SI_112871"</f>
        <v>SI_112871</v>
      </c>
      <c r="M4866" s="84">
        <v>42303</v>
      </c>
      <c r="N4866" s="85">
        <f t="shared" si="1471"/>
        <v>1509</v>
      </c>
      <c r="O4866" s="86">
        <f t="shared" si="1472"/>
        <v>7015.3099999999995</v>
      </c>
      <c r="P4866" s="86">
        <f t="shared" si="1473"/>
        <v>0</v>
      </c>
      <c r="Q4866" s="86">
        <f t="shared" si="1474"/>
        <v>0</v>
      </c>
      <c r="R4866" s="86">
        <f t="shared" si="1475"/>
        <v>0</v>
      </c>
      <c r="S4866" s="86">
        <f t="shared" si="1476"/>
        <v>0</v>
      </c>
      <c r="T4866" s="86">
        <f t="shared" si="1477"/>
        <v>7015.3099999999995</v>
      </c>
      <c r="U4866" s="87">
        <v>7015.3099999999995</v>
      </c>
    </row>
    <row r="4867" spans="1:21" s="30" customFormat="1" ht="24.6" hidden="1" outlineLevel="1" x14ac:dyDescent="0.55000000000000004">
      <c r="A4867" s="27" t="s">
        <v>327</v>
      </c>
      <c r="B4867" s="28"/>
      <c r="C4867" s="27"/>
      <c r="D4867" s="27" t="str">
        <f>"""NAV Direct"",""CRONUS JetCorp USA"",""21"",""1"",""428713"""</f>
        <v>"NAV Direct","CRONUS JetCorp USA","21","1","428713"</v>
      </c>
      <c r="E4867" s="31">
        <f t="shared" si="1469"/>
        <v>0</v>
      </c>
      <c r="F4867" s="31"/>
      <c r="G4867" s="31"/>
      <c r="H4867" s="31"/>
      <c r="I4867" s="56"/>
      <c r="J4867" s="56"/>
      <c r="K4867" s="82" t="str">
        <f t="shared" si="1470"/>
        <v>Invoice</v>
      </c>
      <c r="L4867" s="83" t="str">
        <f>"SI_112872"</f>
        <v>SI_112872</v>
      </c>
      <c r="M4867" s="84">
        <v>42304</v>
      </c>
      <c r="N4867" s="85">
        <f t="shared" si="1471"/>
        <v>1508</v>
      </c>
      <c r="O4867" s="86">
        <f t="shared" si="1472"/>
        <v>6866.09</v>
      </c>
      <c r="P4867" s="86">
        <f t="shared" si="1473"/>
        <v>0</v>
      </c>
      <c r="Q4867" s="86">
        <f t="shared" si="1474"/>
        <v>0</v>
      </c>
      <c r="R4867" s="86">
        <f t="shared" si="1475"/>
        <v>0</v>
      </c>
      <c r="S4867" s="86">
        <f t="shared" si="1476"/>
        <v>0</v>
      </c>
      <c r="T4867" s="86">
        <f t="shared" si="1477"/>
        <v>6866.09</v>
      </c>
      <c r="U4867" s="87">
        <v>6866.09</v>
      </c>
    </row>
    <row r="4868" spans="1:21" s="30" customFormat="1" ht="24.6" hidden="1" outlineLevel="1" x14ac:dyDescent="0.55000000000000004">
      <c r="A4868" s="27" t="s">
        <v>327</v>
      </c>
      <c r="B4868" s="28"/>
      <c r="C4868" s="27"/>
      <c r="D4868" s="27" t="str">
        <f>"""NAV Direct"",""CRONUS JetCorp USA"",""21"",""1"",""428936"""</f>
        <v>"NAV Direct","CRONUS JetCorp USA","21","1","428936"</v>
      </c>
      <c r="E4868" s="31" t="str">
        <f t="shared" si="1469"/>
        <v>C100136</v>
      </c>
      <c r="F4868" s="31"/>
      <c r="G4868" s="31"/>
      <c r="H4868" s="31"/>
      <c r="I4868" s="56"/>
      <c r="J4868" s="56"/>
      <c r="K4868" s="82" t="str">
        <f t="shared" si="1470"/>
        <v>Invoice</v>
      </c>
      <c r="L4868" s="83" t="str">
        <f>"SI_112877"</f>
        <v>SI_112877</v>
      </c>
      <c r="M4868" s="84">
        <v>42329</v>
      </c>
      <c r="N4868" s="85">
        <f t="shared" si="1471"/>
        <v>1483</v>
      </c>
      <c r="O4868" s="86">
        <f t="shared" si="1472"/>
        <v>8252.65</v>
      </c>
      <c r="P4868" s="86">
        <f t="shared" si="1473"/>
        <v>0</v>
      </c>
      <c r="Q4868" s="86">
        <f t="shared" si="1474"/>
        <v>0</v>
      </c>
      <c r="R4868" s="86">
        <f t="shared" si="1475"/>
        <v>0</v>
      </c>
      <c r="S4868" s="86">
        <f t="shared" si="1476"/>
        <v>0</v>
      </c>
      <c r="T4868" s="86">
        <f t="shared" si="1477"/>
        <v>8252.65</v>
      </c>
      <c r="U4868" s="87">
        <v>8252.65</v>
      </c>
    </row>
    <row r="4869" spans="1:21" s="30" customFormat="1" ht="24.6" hidden="1" outlineLevel="1" x14ac:dyDescent="0.55000000000000004">
      <c r="A4869" s="27" t="s">
        <v>327</v>
      </c>
      <c r="B4869" s="28"/>
      <c r="C4869" s="27"/>
      <c r="D4869" s="27" t="str">
        <f>"""NAV Direct"",""CRONUS JetCorp USA"",""21"",""1"",""441714"""</f>
        <v>"NAV Direct","CRONUS JetCorp USA","21","1","441714"</v>
      </c>
      <c r="E4869" s="31">
        <f t="shared" si="1469"/>
        <v>0</v>
      </c>
      <c r="F4869" s="31"/>
      <c r="G4869" s="31"/>
      <c r="H4869" s="31"/>
      <c r="I4869" s="56"/>
      <c r="J4869" s="56"/>
      <c r="K4869" s="82" t="str">
        <f t="shared" ref="K4869:K4886" si="1478">"Credit Memo"</f>
        <v>Credit Memo</v>
      </c>
      <c r="L4869" s="83" t="str">
        <f>"SC_100984"</f>
        <v>SC_100984</v>
      </c>
      <c r="M4869" s="84">
        <v>42617</v>
      </c>
      <c r="N4869" s="85">
        <f t="shared" si="1471"/>
        <v>1195</v>
      </c>
      <c r="O4869" s="86">
        <f t="shared" si="1472"/>
        <v>-66.599999999999994</v>
      </c>
      <c r="P4869" s="86">
        <f t="shared" si="1473"/>
        <v>0</v>
      </c>
      <c r="Q4869" s="86">
        <f t="shared" si="1474"/>
        <v>0</v>
      </c>
      <c r="R4869" s="86">
        <f t="shared" si="1475"/>
        <v>0</v>
      </c>
      <c r="S4869" s="86">
        <f t="shared" si="1476"/>
        <v>0</v>
      </c>
      <c r="T4869" s="86">
        <f t="shared" si="1477"/>
        <v>-66.599999999999994</v>
      </c>
      <c r="U4869" s="87">
        <v>-66.599999999999994</v>
      </c>
    </row>
    <row r="4870" spans="1:21" s="30" customFormat="1" ht="24.6" hidden="1" outlineLevel="1" x14ac:dyDescent="0.55000000000000004">
      <c r="A4870" s="27" t="s">
        <v>327</v>
      </c>
      <c r="B4870" s="28"/>
      <c r="C4870" s="27"/>
      <c r="D4870" s="27" t="str">
        <f>"""NAV Direct"",""CRONUS JetCorp USA"",""21"",""1"",""441957"""</f>
        <v>"NAV Direct","CRONUS JetCorp USA","21","1","441957"</v>
      </c>
      <c r="E4870" s="31" t="str">
        <f t="shared" si="1469"/>
        <v>C100136</v>
      </c>
      <c r="F4870" s="31"/>
      <c r="G4870" s="31"/>
      <c r="H4870" s="31"/>
      <c r="I4870" s="56"/>
      <c r="J4870" s="56"/>
      <c r="K4870" s="82" t="str">
        <f t="shared" si="1478"/>
        <v>Credit Memo</v>
      </c>
      <c r="L4870" s="83" t="str">
        <f>"SC_100997"</f>
        <v>SC_100997</v>
      </c>
      <c r="M4870" s="84">
        <v>42865</v>
      </c>
      <c r="N4870" s="85">
        <f t="shared" si="1471"/>
        <v>947</v>
      </c>
      <c r="O4870" s="86">
        <f t="shared" si="1472"/>
        <v>-76.150000000000006</v>
      </c>
      <c r="P4870" s="86">
        <f t="shared" si="1473"/>
        <v>0</v>
      </c>
      <c r="Q4870" s="86">
        <f t="shared" si="1474"/>
        <v>0</v>
      </c>
      <c r="R4870" s="86">
        <f t="shared" si="1475"/>
        <v>0</v>
      </c>
      <c r="S4870" s="86">
        <f t="shared" si="1476"/>
        <v>0</v>
      </c>
      <c r="T4870" s="86">
        <f t="shared" si="1477"/>
        <v>-76.150000000000006</v>
      </c>
      <c r="U4870" s="87">
        <v>-76.150000000000006</v>
      </c>
    </row>
    <row r="4871" spans="1:21" s="30" customFormat="1" ht="24.6" hidden="1" outlineLevel="1" x14ac:dyDescent="0.55000000000000004">
      <c r="A4871" s="27" t="s">
        <v>327</v>
      </c>
      <c r="B4871" s="28"/>
      <c r="C4871" s="27"/>
      <c r="D4871" s="27" t="str">
        <f>"""NAV Direct"",""CRONUS JetCorp USA"",""21"",""1"",""442073"""</f>
        <v>"NAV Direct","CRONUS JetCorp USA","21","1","442073"</v>
      </c>
      <c r="E4871" s="31">
        <f t="shared" si="1469"/>
        <v>0</v>
      </c>
      <c r="F4871" s="31"/>
      <c r="G4871" s="31"/>
      <c r="H4871" s="31"/>
      <c r="I4871" s="56"/>
      <c r="J4871" s="56"/>
      <c r="K4871" s="82" t="str">
        <f t="shared" si="1478"/>
        <v>Credit Memo</v>
      </c>
      <c r="L4871" s="83" t="str">
        <f>"SC_101003"</f>
        <v>SC_101003</v>
      </c>
      <c r="M4871" s="84">
        <v>42922</v>
      </c>
      <c r="N4871" s="85">
        <f t="shared" si="1471"/>
        <v>890</v>
      </c>
      <c r="O4871" s="86">
        <f t="shared" si="1472"/>
        <v>-64.55</v>
      </c>
      <c r="P4871" s="86">
        <f t="shared" si="1473"/>
        <v>0</v>
      </c>
      <c r="Q4871" s="86">
        <f t="shared" si="1474"/>
        <v>0</v>
      </c>
      <c r="R4871" s="86">
        <f t="shared" si="1475"/>
        <v>0</v>
      </c>
      <c r="S4871" s="86">
        <f t="shared" si="1476"/>
        <v>0</v>
      </c>
      <c r="T4871" s="86">
        <f t="shared" si="1477"/>
        <v>-64.55</v>
      </c>
      <c r="U4871" s="87">
        <v>-64.55</v>
      </c>
    </row>
    <row r="4872" spans="1:21" s="30" customFormat="1" ht="24.6" hidden="1" outlineLevel="1" x14ac:dyDescent="0.55000000000000004">
      <c r="A4872" s="27" t="s">
        <v>327</v>
      </c>
      <c r="B4872" s="28"/>
      <c r="C4872" s="27"/>
      <c r="D4872" s="27" t="str">
        <f>"""NAV Direct"",""CRONUS JetCorp USA"",""21"",""1"",""442144"""</f>
        <v>"NAV Direct","CRONUS JetCorp USA","21","1","442144"</v>
      </c>
      <c r="E4872" s="31" t="str">
        <f t="shared" si="1469"/>
        <v>C100136</v>
      </c>
      <c r="F4872" s="31"/>
      <c r="G4872" s="31"/>
      <c r="H4872" s="31"/>
      <c r="I4872" s="56"/>
      <c r="J4872" s="56"/>
      <c r="K4872" s="82" t="str">
        <f t="shared" si="1478"/>
        <v>Credit Memo</v>
      </c>
      <c r="L4872" s="83" t="str">
        <f>"SC_101007"</f>
        <v>SC_101007</v>
      </c>
      <c r="M4872" s="84">
        <v>43057</v>
      </c>
      <c r="N4872" s="85">
        <f t="shared" si="1471"/>
        <v>755</v>
      </c>
      <c r="O4872" s="86">
        <f t="shared" si="1472"/>
        <v>-53.580000000000005</v>
      </c>
      <c r="P4872" s="86">
        <f t="shared" si="1473"/>
        <v>0</v>
      </c>
      <c r="Q4872" s="86">
        <f t="shared" si="1474"/>
        <v>0</v>
      </c>
      <c r="R4872" s="86">
        <f t="shared" si="1475"/>
        <v>0</v>
      </c>
      <c r="S4872" s="86">
        <f t="shared" si="1476"/>
        <v>0</v>
      </c>
      <c r="T4872" s="86">
        <f t="shared" si="1477"/>
        <v>-53.580000000000005</v>
      </c>
      <c r="U4872" s="87">
        <v>-53.580000000000005</v>
      </c>
    </row>
    <row r="4873" spans="1:21" s="30" customFormat="1" ht="24.6" hidden="1" outlineLevel="1" x14ac:dyDescent="0.55000000000000004">
      <c r="A4873" s="27" t="s">
        <v>327</v>
      </c>
      <c r="B4873" s="28"/>
      <c r="C4873" s="27"/>
      <c r="D4873" s="27" t="str">
        <f>"""NAV Direct"",""CRONUS JetCorp USA"",""21"",""1"",""442161"""</f>
        <v>"NAV Direct","CRONUS JetCorp USA","21","1","442161"</v>
      </c>
      <c r="E4873" s="31">
        <f t="shared" si="1469"/>
        <v>0</v>
      </c>
      <c r="F4873" s="31"/>
      <c r="G4873" s="31"/>
      <c r="H4873" s="31"/>
      <c r="I4873" s="56"/>
      <c r="J4873" s="56"/>
      <c r="K4873" s="82" t="str">
        <f t="shared" si="1478"/>
        <v>Credit Memo</v>
      </c>
      <c r="L4873" s="83" t="str">
        <f>"SC_101008"</f>
        <v>SC_101008</v>
      </c>
      <c r="M4873" s="84">
        <v>43085</v>
      </c>
      <c r="N4873" s="85">
        <f t="shared" si="1471"/>
        <v>727</v>
      </c>
      <c r="O4873" s="86">
        <f t="shared" si="1472"/>
        <v>-52.04</v>
      </c>
      <c r="P4873" s="86">
        <f t="shared" si="1473"/>
        <v>0</v>
      </c>
      <c r="Q4873" s="86">
        <f t="shared" si="1474"/>
        <v>0</v>
      </c>
      <c r="R4873" s="86">
        <f t="shared" si="1475"/>
        <v>0</v>
      </c>
      <c r="S4873" s="86">
        <f t="shared" si="1476"/>
        <v>0</v>
      </c>
      <c r="T4873" s="86">
        <f t="shared" si="1477"/>
        <v>-52.04</v>
      </c>
      <c r="U4873" s="87">
        <v>-52.04</v>
      </c>
    </row>
    <row r="4874" spans="1:21" s="30" customFormat="1" ht="24.6" hidden="1" outlineLevel="1" x14ac:dyDescent="0.55000000000000004">
      <c r="A4874" s="27" t="s">
        <v>327</v>
      </c>
      <c r="B4874" s="28"/>
      <c r="C4874" s="27"/>
      <c r="D4874" s="27" t="str">
        <f>"""NAV Direct"",""CRONUS JetCorp USA"",""21"",""1"",""442342"""</f>
        <v>"NAV Direct","CRONUS JetCorp USA","21","1","442342"</v>
      </c>
      <c r="E4874" s="31" t="str">
        <f t="shared" si="1469"/>
        <v>C100136</v>
      </c>
      <c r="F4874" s="31"/>
      <c r="G4874" s="31"/>
      <c r="H4874" s="31"/>
      <c r="I4874" s="56"/>
      <c r="J4874" s="56"/>
      <c r="K4874" s="82" t="str">
        <f t="shared" si="1478"/>
        <v>Credit Memo</v>
      </c>
      <c r="L4874" s="83" t="str">
        <f>"SC_101017"</f>
        <v>SC_101017</v>
      </c>
      <c r="M4874" s="84">
        <v>43271</v>
      </c>
      <c r="N4874" s="85">
        <f t="shared" si="1471"/>
        <v>541</v>
      </c>
      <c r="O4874" s="86">
        <f t="shared" si="1472"/>
        <v>-55.21</v>
      </c>
      <c r="P4874" s="86">
        <f t="shared" si="1473"/>
        <v>0</v>
      </c>
      <c r="Q4874" s="86">
        <f t="shared" si="1474"/>
        <v>0</v>
      </c>
      <c r="R4874" s="86">
        <f t="shared" si="1475"/>
        <v>0</v>
      </c>
      <c r="S4874" s="86">
        <f t="shared" si="1476"/>
        <v>0</v>
      </c>
      <c r="T4874" s="86">
        <f t="shared" si="1477"/>
        <v>-55.21</v>
      </c>
      <c r="U4874" s="87">
        <v>-55.21</v>
      </c>
    </row>
    <row r="4875" spans="1:21" s="30" customFormat="1" ht="24.6" hidden="1" outlineLevel="1" x14ac:dyDescent="0.55000000000000004">
      <c r="A4875" s="27" t="s">
        <v>327</v>
      </c>
      <c r="B4875" s="28"/>
      <c r="C4875" s="27"/>
      <c r="D4875" s="27" t="str">
        <f>"""NAV Direct"",""CRONUS JetCorp USA"",""21"",""1"",""442578"""</f>
        <v>"NAV Direct","CRONUS JetCorp USA","21","1","442578"</v>
      </c>
      <c r="E4875" s="31">
        <f t="shared" si="1469"/>
        <v>0</v>
      </c>
      <c r="F4875" s="31"/>
      <c r="G4875" s="31"/>
      <c r="H4875" s="31"/>
      <c r="I4875" s="56"/>
      <c r="J4875" s="56"/>
      <c r="K4875" s="82" t="str">
        <f t="shared" si="1478"/>
        <v>Credit Memo</v>
      </c>
      <c r="L4875" s="83" t="str">
        <f>"SC_101030"</f>
        <v>SC_101030</v>
      </c>
      <c r="M4875" s="84">
        <v>43416</v>
      </c>
      <c r="N4875" s="85">
        <f t="shared" si="1471"/>
        <v>396</v>
      </c>
      <c r="O4875" s="86">
        <f t="shared" si="1472"/>
        <v>-77.31</v>
      </c>
      <c r="P4875" s="86">
        <f t="shared" si="1473"/>
        <v>0</v>
      </c>
      <c r="Q4875" s="86">
        <f t="shared" si="1474"/>
        <v>0</v>
      </c>
      <c r="R4875" s="86">
        <f t="shared" si="1475"/>
        <v>0</v>
      </c>
      <c r="S4875" s="86">
        <f t="shared" si="1476"/>
        <v>0</v>
      </c>
      <c r="T4875" s="86">
        <f t="shared" si="1477"/>
        <v>-77.31</v>
      </c>
      <c r="U4875" s="87">
        <v>-77.31</v>
      </c>
    </row>
    <row r="4876" spans="1:21" s="30" customFormat="1" ht="24.6" hidden="1" outlineLevel="1" x14ac:dyDescent="0.55000000000000004">
      <c r="A4876" s="27" t="s">
        <v>327</v>
      </c>
      <c r="B4876" s="28"/>
      <c r="C4876" s="27"/>
      <c r="D4876" s="27" t="str">
        <f>"""NAV Direct"",""CRONUS JetCorp USA"",""21"",""1"",""442665"""</f>
        <v>"NAV Direct","CRONUS JetCorp USA","21","1","442665"</v>
      </c>
      <c r="E4876" s="31" t="str">
        <f t="shared" si="1469"/>
        <v>C100136</v>
      </c>
      <c r="F4876" s="31"/>
      <c r="G4876" s="31"/>
      <c r="H4876" s="31"/>
      <c r="I4876" s="56"/>
      <c r="J4876" s="56"/>
      <c r="K4876" s="82" t="str">
        <f t="shared" si="1478"/>
        <v>Credit Memo</v>
      </c>
      <c r="L4876" s="83" t="str">
        <f>"SC_101035"</f>
        <v>SC_101035</v>
      </c>
      <c r="M4876" s="84">
        <v>43505</v>
      </c>
      <c r="N4876" s="85">
        <f t="shared" si="1471"/>
        <v>307</v>
      </c>
      <c r="O4876" s="86">
        <f t="shared" si="1472"/>
        <v>-69.38</v>
      </c>
      <c r="P4876" s="86">
        <f t="shared" si="1473"/>
        <v>0</v>
      </c>
      <c r="Q4876" s="86">
        <f t="shared" si="1474"/>
        <v>0</v>
      </c>
      <c r="R4876" s="86">
        <f t="shared" si="1475"/>
        <v>0</v>
      </c>
      <c r="S4876" s="86">
        <f t="shared" si="1476"/>
        <v>0</v>
      </c>
      <c r="T4876" s="86">
        <f t="shared" si="1477"/>
        <v>-69.38</v>
      </c>
      <c r="U4876" s="87">
        <v>-69.38</v>
      </c>
    </row>
    <row r="4877" spans="1:21" s="30" customFormat="1" ht="24.6" hidden="1" outlineLevel="1" x14ac:dyDescent="0.55000000000000004">
      <c r="A4877" s="27" t="s">
        <v>327</v>
      </c>
      <c r="B4877" s="28"/>
      <c r="C4877" s="27"/>
      <c r="D4877" s="27" t="str">
        <f>"""NAV Direct"",""CRONUS JetCorp USA"",""21"",""1"",""442763"""</f>
        <v>"NAV Direct","CRONUS JetCorp USA","21","1","442763"</v>
      </c>
      <c r="E4877" s="31">
        <f t="shared" si="1469"/>
        <v>0</v>
      </c>
      <c r="F4877" s="31"/>
      <c r="G4877" s="31"/>
      <c r="H4877" s="31"/>
      <c r="I4877" s="56"/>
      <c r="J4877" s="56"/>
      <c r="K4877" s="82" t="str">
        <f t="shared" si="1478"/>
        <v>Credit Memo</v>
      </c>
      <c r="L4877" s="83" t="str">
        <f>"SC_101040"</f>
        <v>SC_101040</v>
      </c>
      <c r="M4877" s="84">
        <v>43601</v>
      </c>
      <c r="N4877" s="85">
        <f t="shared" si="1471"/>
        <v>211</v>
      </c>
      <c r="O4877" s="86">
        <f t="shared" si="1472"/>
        <v>-47.56</v>
      </c>
      <c r="P4877" s="86">
        <f t="shared" si="1473"/>
        <v>0</v>
      </c>
      <c r="Q4877" s="86">
        <f t="shared" si="1474"/>
        <v>0</v>
      </c>
      <c r="R4877" s="86">
        <f t="shared" si="1475"/>
        <v>0</v>
      </c>
      <c r="S4877" s="86">
        <f t="shared" si="1476"/>
        <v>0</v>
      </c>
      <c r="T4877" s="86">
        <f t="shared" si="1477"/>
        <v>-47.56</v>
      </c>
      <c r="U4877" s="87">
        <v>-47.56</v>
      </c>
    </row>
    <row r="4878" spans="1:21" s="30" customFormat="1" ht="24.6" hidden="1" outlineLevel="1" x14ac:dyDescent="0.55000000000000004">
      <c r="A4878" s="27" t="s">
        <v>327</v>
      </c>
      <c r="B4878" s="28"/>
      <c r="C4878" s="27"/>
      <c r="D4878" s="27" t="str">
        <f>"""NAV Direct"",""CRONUS JetCorp USA"",""21"",""1"",""442792"""</f>
        <v>"NAV Direct","CRONUS JetCorp USA","21","1","442792"</v>
      </c>
      <c r="E4878" s="31" t="str">
        <f t="shared" ref="E4878:E4886" si="1479">E4876</f>
        <v>C100136</v>
      </c>
      <c r="F4878" s="31"/>
      <c r="G4878" s="31"/>
      <c r="H4878" s="31"/>
      <c r="I4878" s="56"/>
      <c r="J4878" s="56"/>
      <c r="K4878" s="82" t="str">
        <f t="shared" si="1478"/>
        <v>Credit Memo</v>
      </c>
      <c r="L4878" s="83" t="str">
        <f>"SC_101041"</f>
        <v>SC_101041</v>
      </c>
      <c r="M4878" s="84">
        <v>43626</v>
      </c>
      <c r="N4878" s="85">
        <f t="shared" ref="N4878:N4886" si="1480">StartDate-$M4878+1</f>
        <v>186</v>
      </c>
      <c r="O4878" s="86">
        <f t="shared" ref="O4878:O4886" si="1481">SUM(P4878:T4878)</f>
        <v>-50.489999999999995</v>
      </c>
      <c r="P4878" s="86">
        <f t="shared" ref="P4878:P4886" si="1482">IF($M4878&gt;=$P$18,U4878,0)</f>
        <v>0</v>
      </c>
      <c r="Q4878" s="86">
        <f t="shared" ref="Q4878:Q4886" si="1483">IF(AND($M4878&gt;=$Q$16,$M4878&lt;=$Q$18),U4878,0)</f>
        <v>0</v>
      </c>
      <c r="R4878" s="86">
        <f t="shared" ref="R4878:R4886" si="1484">IF(AND($M4878&gt;=$R$16,$M4878&lt;=$R$18),U4878,0)</f>
        <v>0</v>
      </c>
      <c r="S4878" s="86">
        <f t="shared" ref="S4878:S4886" si="1485">IF(AND($M4878&gt;=$S$16,$M4878&lt;=$S$18),U4878,0)</f>
        <v>0</v>
      </c>
      <c r="T4878" s="86">
        <f t="shared" ref="T4878:T4886" si="1486">IF($M4878&lt;=$T$18,U4878,0)</f>
        <v>-50.489999999999995</v>
      </c>
      <c r="U4878" s="87">
        <v>-50.489999999999995</v>
      </c>
    </row>
    <row r="4879" spans="1:21" s="30" customFormat="1" ht="24.6" hidden="1" outlineLevel="1" x14ac:dyDescent="0.55000000000000004">
      <c r="A4879" s="27" t="s">
        <v>327</v>
      </c>
      <c r="B4879" s="28"/>
      <c r="C4879" s="27"/>
      <c r="D4879" s="27" t="str">
        <f>"""NAV Direct"",""CRONUS JetCorp USA"",""21"",""1"",""442807"""</f>
        <v>"NAV Direct","CRONUS JetCorp USA","21","1","442807"</v>
      </c>
      <c r="E4879" s="31">
        <f t="shared" si="1479"/>
        <v>0</v>
      </c>
      <c r="F4879" s="31"/>
      <c r="G4879" s="31"/>
      <c r="H4879" s="31"/>
      <c r="I4879" s="56"/>
      <c r="J4879" s="56"/>
      <c r="K4879" s="82" t="str">
        <f t="shared" si="1478"/>
        <v>Credit Memo</v>
      </c>
      <c r="L4879" s="83" t="str">
        <f>"SC_101042"</f>
        <v>SC_101042</v>
      </c>
      <c r="M4879" s="84">
        <v>43631</v>
      </c>
      <c r="N4879" s="85">
        <f t="shared" si="1480"/>
        <v>181</v>
      </c>
      <c r="O4879" s="86">
        <f t="shared" si="1481"/>
        <v>-48.739999999999995</v>
      </c>
      <c r="P4879" s="86">
        <f t="shared" si="1482"/>
        <v>0</v>
      </c>
      <c r="Q4879" s="86">
        <f t="shared" si="1483"/>
        <v>0</v>
      </c>
      <c r="R4879" s="86">
        <f t="shared" si="1484"/>
        <v>0</v>
      </c>
      <c r="S4879" s="86">
        <f t="shared" si="1485"/>
        <v>0</v>
      </c>
      <c r="T4879" s="86">
        <f t="shared" si="1486"/>
        <v>-48.739999999999995</v>
      </c>
      <c r="U4879" s="87">
        <v>-48.739999999999995</v>
      </c>
    </row>
    <row r="4880" spans="1:21" s="30" customFormat="1" ht="24.6" hidden="1" outlineLevel="1" x14ac:dyDescent="0.55000000000000004">
      <c r="A4880" s="27" t="s">
        <v>327</v>
      </c>
      <c r="B4880" s="28"/>
      <c r="C4880" s="27"/>
      <c r="D4880" s="27" t="str">
        <f>"""NAV Direct"",""CRONUS JetCorp USA"",""21"",""1"",""442830"""</f>
        <v>"NAV Direct","CRONUS JetCorp USA","21","1","442830"</v>
      </c>
      <c r="E4880" s="31" t="str">
        <f t="shared" si="1479"/>
        <v>C100136</v>
      </c>
      <c r="F4880" s="31"/>
      <c r="G4880" s="31"/>
      <c r="H4880" s="31"/>
      <c r="I4880" s="56"/>
      <c r="J4880" s="56"/>
      <c r="K4880" s="82" t="str">
        <f t="shared" si="1478"/>
        <v>Credit Memo</v>
      </c>
      <c r="L4880" s="83" t="str">
        <f>"SC_101043"</f>
        <v>SC_101043</v>
      </c>
      <c r="M4880" s="84">
        <v>43702</v>
      </c>
      <c r="N4880" s="85">
        <f t="shared" si="1480"/>
        <v>110</v>
      </c>
      <c r="O4880" s="86">
        <f t="shared" si="1481"/>
        <v>-56.499999999999993</v>
      </c>
      <c r="P4880" s="86">
        <f t="shared" si="1482"/>
        <v>0</v>
      </c>
      <c r="Q4880" s="86">
        <f t="shared" si="1483"/>
        <v>0</v>
      </c>
      <c r="R4880" s="86">
        <f t="shared" si="1484"/>
        <v>0</v>
      </c>
      <c r="S4880" s="86">
        <f t="shared" si="1485"/>
        <v>0</v>
      </c>
      <c r="T4880" s="86">
        <f t="shared" si="1486"/>
        <v>-56.499999999999993</v>
      </c>
      <c r="U4880" s="87">
        <v>-56.499999999999993</v>
      </c>
    </row>
    <row r="4881" spans="1:22" s="30" customFormat="1" ht="24.6" hidden="1" outlineLevel="1" x14ac:dyDescent="0.55000000000000004">
      <c r="A4881" s="27" t="s">
        <v>327</v>
      </c>
      <c r="B4881" s="28"/>
      <c r="C4881" s="27"/>
      <c r="D4881" s="27" t="str">
        <f>"""NAV Direct"",""CRONUS JetCorp USA"",""21"",""1"",""442855"""</f>
        <v>"NAV Direct","CRONUS JetCorp USA","21","1","442855"</v>
      </c>
      <c r="E4881" s="31">
        <f t="shared" si="1479"/>
        <v>0</v>
      </c>
      <c r="F4881" s="31"/>
      <c r="G4881" s="31"/>
      <c r="H4881" s="31"/>
      <c r="I4881" s="56"/>
      <c r="J4881" s="56"/>
      <c r="K4881" s="82" t="str">
        <f t="shared" si="1478"/>
        <v>Credit Memo</v>
      </c>
      <c r="L4881" s="83" t="str">
        <f>"SC_101044"</f>
        <v>SC_101044</v>
      </c>
      <c r="M4881" s="84">
        <v>43744</v>
      </c>
      <c r="N4881" s="85">
        <f t="shared" si="1480"/>
        <v>68</v>
      </c>
      <c r="O4881" s="86">
        <f t="shared" si="1481"/>
        <v>-67</v>
      </c>
      <c r="P4881" s="86">
        <f t="shared" si="1482"/>
        <v>0</v>
      </c>
      <c r="Q4881" s="86">
        <f t="shared" si="1483"/>
        <v>0</v>
      </c>
      <c r="R4881" s="86">
        <f t="shared" si="1484"/>
        <v>0</v>
      </c>
      <c r="S4881" s="86">
        <f t="shared" si="1485"/>
        <v>-67</v>
      </c>
      <c r="T4881" s="86">
        <f t="shared" si="1486"/>
        <v>0</v>
      </c>
      <c r="U4881" s="87">
        <v>-67</v>
      </c>
    </row>
    <row r="4882" spans="1:22" s="30" customFormat="1" ht="24.6" hidden="1" outlineLevel="1" x14ac:dyDescent="0.55000000000000004">
      <c r="A4882" s="27" t="s">
        <v>327</v>
      </c>
      <c r="B4882" s="28"/>
      <c r="C4882" s="27"/>
      <c r="D4882" s="27" t="str">
        <f>"""NAV Direct"",""CRONUS JetCorp USA"",""21"",""1"",""442878"""</f>
        <v>"NAV Direct","CRONUS JetCorp USA","21","1","442878"</v>
      </c>
      <c r="E4882" s="31" t="str">
        <f t="shared" si="1479"/>
        <v>C100136</v>
      </c>
      <c r="F4882" s="31"/>
      <c r="G4882" s="31"/>
      <c r="H4882" s="31"/>
      <c r="I4882" s="56"/>
      <c r="J4882" s="56"/>
      <c r="K4882" s="82" t="str">
        <f t="shared" si="1478"/>
        <v>Credit Memo</v>
      </c>
      <c r="L4882" s="83" t="str">
        <f>"SC_101045"</f>
        <v>SC_101045</v>
      </c>
      <c r="M4882" s="84">
        <v>43747</v>
      </c>
      <c r="N4882" s="85">
        <f t="shared" si="1480"/>
        <v>65</v>
      </c>
      <c r="O4882" s="86">
        <f t="shared" si="1481"/>
        <v>-70.790000000000006</v>
      </c>
      <c r="P4882" s="86">
        <f t="shared" si="1482"/>
        <v>0</v>
      </c>
      <c r="Q4882" s="86">
        <f t="shared" si="1483"/>
        <v>0</v>
      </c>
      <c r="R4882" s="86">
        <f t="shared" si="1484"/>
        <v>0</v>
      </c>
      <c r="S4882" s="86">
        <f t="shared" si="1485"/>
        <v>-70.790000000000006</v>
      </c>
      <c r="T4882" s="86">
        <f t="shared" si="1486"/>
        <v>0</v>
      </c>
      <c r="U4882" s="87">
        <v>-70.790000000000006</v>
      </c>
    </row>
    <row r="4883" spans="1:22" s="30" customFormat="1" ht="24.6" hidden="1" outlineLevel="1" x14ac:dyDescent="0.55000000000000004">
      <c r="A4883" s="27" t="s">
        <v>327</v>
      </c>
      <c r="B4883" s="28"/>
      <c r="C4883" s="27"/>
      <c r="D4883" s="27" t="str">
        <f>"""NAV Direct"",""CRONUS JetCorp USA"",""21"",""1"",""442901"""</f>
        <v>"NAV Direct","CRONUS JetCorp USA","21","1","442901"</v>
      </c>
      <c r="E4883" s="31">
        <f t="shared" si="1479"/>
        <v>0</v>
      </c>
      <c r="F4883" s="31"/>
      <c r="G4883" s="31"/>
      <c r="H4883" s="31"/>
      <c r="I4883" s="56"/>
      <c r="J4883" s="56"/>
      <c r="K4883" s="82" t="str">
        <f t="shared" si="1478"/>
        <v>Credit Memo</v>
      </c>
      <c r="L4883" s="83" t="str">
        <f>"SC_101046"</f>
        <v>SC_101046</v>
      </c>
      <c r="M4883" s="84">
        <v>43746</v>
      </c>
      <c r="N4883" s="85">
        <f t="shared" si="1480"/>
        <v>66</v>
      </c>
      <c r="O4883" s="86">
        <f t="shared" si="1481"/>
        <v>-66.97</v>
      </c>
      <c r="P4883" s="86">
        <f t="shared" si="1482"/>
        <v>0</v>
      </c>
      <c r="Q4883" s="86">
        <f t="shared" si="1483"/>
        <v>0</v>
      </c>
      <c r="R4883" s="86">
        <f t="shared" si="1484"/>
        <v>0</v>
      </c>
      <c r="S4883" s="86">
        <f t="shared" si="1485"/>
        <v>-66.97</v>
      </c>
      <c r="T4883" s="86">
        <f t="shared" si="1486"/>
        <v>0</v>
      </c>
      <c r="U4883" s="87">
        <v>-66.97</v>
      </c>
    </row>
    <row r="4884" spans="1:22" s="30" customFormat="1" ht="24.6" hidden="1" outlineLevel="1" x14ac:dyDescent="0.55000000000000004">
      <c r="A4884" s="27" t="s">
        <v>327</v>
      </c>
      <c r="B4884" s="28"/>
      <c r="C4884" s="27"/>
      <c r="D4884" s="27" t="str">
        <f>"""NAV Direct"",""CRONUS JetCorp USA"",""21"",""1"",""442916"""</f>
        <v>"NAV Direct","CRONUS JetCorp USA","21","1","442916"</v>
      </c>
      <c r="E4884" s="31" t="str">
        <f t="shared" si="1479"/>
        <v>C100136</v>
      </c>
      <c r="F4884" s="31"/>
      <c r="G4884" s="31"/>
      <c r="H4884" s="31"/>
      <c r="I4884" s="56"/>
      <c r="J4884" s="56"/>
      <c r="K4884" s="82" t="str">
        <f t="shared" si="1478"/>
        <v>Credit Memo</v>
      </c>
      <c r="L4884" s="83" t="str">
        <f>"SC_101047"</f>
        <v>SC_101047</v>
      </c>
      <c r="M4884" s="84">
        <v>43755</v>
      </c>
      <c r="N4884" s="85">
        <f t="shared" si="1480"/>
        <v>57</v>
      </c>
      <c r="O4884" s="86">
        <f t="shared" si="1481"/>
        <v>-67.8</v>
      </c>
      <c r="P4884" s="86">
        <f t="shared" si="1482"/>
        <v>0</v>
      </c>
      <c r="Q4884" s="86">
        <f t="shared" si="1483"/>
        <v>0</v>
      </c>
      <c r="R4884" s="86">
        <f t="shared" si="1484"/>
        <v>-67.8</v>
      </c>
      <c r="S4884" s="86">
        <f t="shared" si="1485"/>
        <v>0</v>
      </c>
      <c r="T4884" s="86">
        <f t="shared" si="1486"/>
        <v>0</v>
      </c>
      <c r="U4884" s="87">
        <v>-67.8</v>
      </c>
    </row>
    <row r="4885" spans="1:22" s="30" customFormat="1" ht="24.6" hidden="1" outlineLevel="1" x14ac:dyDescent="0.55000000000000004">
      <c r="A4885" s="27" t="s">
        <v>327</v>
      </c>
      <c r="B4885" s="28"/>
      <c r="C4885" s="27"/>
      <c r="D4885" s="27" t="str">
        <f>"""NAV Direct"",""CRONUS JetCorp USA"",""21"",""1"",""443191"""</f>
        <v>"NAV Direct","CRONUS JetCorp USA","21","1","443191"</v>
      </c>
      <c r="E4885" s="31">
        <f t="shared" si="1479"/>
        <v>0</v>
      </c>
      <c r="F4885" s="31"/>
      <c r="G4885" s="31"/>
      <c r="H4885" s="31"/>
      <c r="I4885" s="56"/>
      <c r="J4885" s="56"/>
      <c r="K4885" s="82" t="str">
        <f t="shared" si="1478"/>
        <v>Credit Memo</v>
      </c>
      <c r="L4885" s="83" t="str">
        <f>"SC_101061"</f>
        <v>SC_101061</v>
      </c>
      <c r="M4885" s="84">
        <v>42115</v>
      </c>
      <c r="N4885" s="85">
        <f t="shared" si="1480"/>
        <v>1697</v>
      </c>
      <c r="O4885" s="86">
        <f t="shared" si="1481"/>
        <v>-80.27</v>
      </c>
      <c r="P4885" s="86">
        <f t="shared" si="1482"/>
        <v>0</v>
      </c>
      <c r="Q4885" s="86">
        <f t="shared" si="1483"/>
        <v>0</v>
      </c>
      <c r="R4885" s="86">
        <f t="shared" si="1484"/>
        <v>0</v>
      </c>
      <c r="S4885" s="86">
        <f t="shared" si="1485"/>
        <v>0</v>
      </c>
      <c r="T4885" s="86">
        <f t="shared" si="1486"/>
        <v>-80.27</v>
      </c>
      <c r="U4885" s="87">
        <v>-80.27</v>
      </c>
    </row>
    <row r="4886" spans="1:22" s="30" customFormat="1" ht="24.6" hidden="1" outlineLevel="1" x14ac:dyDescent="0.55000000000000004">
      <c r="A4886" s="27" t="s">
        <v>327</v>
      </c>
      <c r="B4886" s="28"/>
      <c r="C4886" s="27"/>
      <c r="D4886" s="27" t="str">
        <f>"""NAV Direct"",""CRONUS JetCorp USA"",""21"",""1"",""443245"""</f>
        <v>"NAV Direct","CRONUS JetCorp USA","21","1","443245"</v>
      </c>
      <c r="E4886" s="31" t="str">
        <f t="shared" si="1479"/>
        <v>C100136</v>
      </c>
      <c r="F4886" s="31"/>
      <c r="G4886" s="31"/>
      <c r="H4886" s="31"/>
      <c r="I4886" s="56"/>
      <c r="J4886" s="56"/>
      <c r="K4886" s="82" t="str">
        <f t="shared" si="1478"/>
        <v>Credit Memo</v>
      </c>
      <c r="L4886" s="83" t="str">
        <f>"SC_101065"</f>
        <v>SC_101065</v>
      </c>
      <c r="M4886" s="84">
        <v>42175</v>
      </c>
      <c r="N4886" s="85">
        <f t="shared" si="1480"/>
        <v>1637</v>
      </c>
      <c r="O4886" s="86">
        <f t="shared" si="1481"/>
        <v>-48.26</v>
      </c>
      <c r="P4886" s="86">
        <f t="shared" si="1482"/>
        <v>0</v>
      </c>
      <c r="Q4886" s="86">
        <f t="shared" si="1483"/>
        <v>0</v>
      </c>
      <c r="R4886" s="86">
        <f t="shared" si="1484"/>
        <v>0</v>
      </c>
      <c r="S4886" s="86">
        <f t="shared" si="1485"/>
        <v>0</v>
      </c>
      <c r="T4886" s="86">
        <f t="shared" si="1486"/>
        <v>-48.26</v>
      </c>
      <c r="U4886" s="87">
        <v>-48.26</v>
      </c>
    </row>
    <row r="4887" spans="1:22" s="22" customFormat="1" ht="20.399999999999999" collapsed="1" x14ac:dyDescent="0.45">
      <c r="A4887" s="12" t="s">
        <v>327</v>
      </c>
      <c r="B4887" s="19"/>
      <c r="C4887" s="12"/>
      <c r="D4887" s="12"/>
      <c r="E4887" s="23"/>
      <c r="F4887" s="23"/>
      <c r="G4887" s="23"/>
      <c r="H4887" s="23"/>
      <c r="I4887" s="49"/>
      <c r="J4887" s="88"/>
      <c r="K4887" s="88"/>
      <c r="L4887" s="89"/>
      <c r="M4887" s="89"/>
      <c r="N4887" s="89"/>
      <c r="O4887" s="89"/>
      <c r="P4887" s="89"/>
      <c r="Q4887" s="90"/>
      <c r="R4887" s="90"/>
      <c r="S4887" s="91"/>
      <c r="T4887" s="92"/>
      <c r="U4887" s="92"/>
    </row>
    <row r="4888" spans="1:22" s="22" customFormat="1" ht="20.399999999999999" x14ac:dyDescent="0.45">
      <c r="A4888" s="12" t="s">
        <v>327</v>
      </c>
      <c r="B4888" s="19"/>
      <c r="C4888" s="12"/>
      <c r="D4888" s="12"/>
      <c r="E4888" s="23"/>
      <c r="F4888" s="23"/>
      <c r="G4888" s="23"/>
      <c r="H4888" s="23"/>
      <c r="I4888" s="49"/>
      <c r="J4888" s="88"/>
      <c r="K4888" s="88"/>
      <c r="L4888" s="89"/>
      <c r="M4888" s="89"/>
      <c r="N4888" s="89"/>
      <c r="O4888" s="89"/>
      <c r="P4888" s="89"/>
      <c r="Q4888" s="90"/>
      <c r="R4888" s="90"/>
      <c r="S4888" s="91"/>
      <c r="T4888" s="92"/>
      <c r="U4888" s="92"/>
    </row>
    <row r="4889" spans="1:22" s="26" customFormat="1" ht="24.6" x14ac:dyDescent="0.55000000000000004">
      <c r="A4889" s="27" t="s">
        <v>327</v>
      </c>
      <c r="B4889" s="28"/>
      <c r="C4889" s="27" t="str">
        <f>"""NAV Direct"",""CRONUS JetCorp USA"",""18"",""1"",""C100137"""</f>
        <v>"NAV Direct","CRONUS JetCorp USA","18","1","C100137"</v>
      </c>
      <c r="D4889" s="27"/>
      <c r="E4889" s="28" t="str">
        <f>H4889</f>
        <v>C100137</v>
      </c>
      <c r="F4889" s="28"/>
      <c r="G4889" s="28"/>
      <c r="H4889" s="28" t="str">
        <f>"C100137"</f>
        <v>C100137</v>
      </c>
      <c r="I4889" s="116" t="str">
        <f>"C100137  -  Odessy Sports"</f>
        <v>C100137  -  Odessy Sports</v>
      </c>
      <c r="J4889" s="117" t="str">
        <f>""</f>
        <v/>
      </c>
      <c r="K4889" s="118"/>
      <c r="L4889" s="119">
        <f>SUBTOTAL(3,L4890:L4936)</f>
        <v>43</v>
      </c>
      <c r="M4889" s="118"/>
      <c r="N4889" s="118"/>
      <c r="O4889" s="120">
        <f t="shared" ref="O4889:T4889" si="1487">SUBTOTAL(9,O4890:O4936)</f>
        <v>818071.51</v>
      </c>
      <c r="P4889" s="120">
        <f t="shared" si="1487"/>
        <v>20170.62</v>
      </c>
      <c r="Q4889" s="120">
        <f t="shared" si="1487"/>
        <v>0</v>
      </c>
      <c r="R4889" s="120">
        <f t="shared" si="1487"/>
        <v>0</v>
      </c>
      <c r="S4889" s="120">
        <f t="shared" si="1487"/>
        <v>36487.67</v>
      </c>
      <c r="T4889" s="120">
        <f t="shared" si="1487"/>
        <v>761413.22000000009</v>
      </c>
      <c r="U4889" s="81"/>
    </row>
    <row r="4890" spans="1:22" s="26" customFormat="1" ht="24.6" x14ac:dyDescent="0.55000000000000004">
      <c r="A4890" s="27" t="s">
        <v>327</v>
      </c>
      <c r="B4890" s="28"/>
      <c r="C4890" s="27" t="str">
        <f>C4889</f>
        <v>"NAV Direct","CRONUS JetCorp USA","18","1","C100137"</v>
      </c>
      <c r="D4890" s="27"/>
      <c r="E4890" s="28" t="str">
        <f>E4889</f>
        <v>C100137</v>
      </c>
      <c r="F4890" s="28"/>
      <c r="G4890" s="28"/>
      <c r="H4890" s="28"/>
      <c r="I4890" s="121" t="str">
        <f>"Contact: Louisa Matthews"</f>
        <v>Contact: Louisa Matthews</v>
      </c>
      <c r="J4890" s="121"/>
      <c r="K4890" s="122"/>
      <c r="L4890" s="123"/>
      <c r="M4890" s="123"/>
      <c r="N4890" s="124"/>
      <c r="O4890" s="124"/>
      <c r="P4890" s="123"/>
      <c r="Q4890" s="125"/>
      <c r="R4890" s="126"/>
      <c r="S4890" s="126"/>
      <c r="T4890" s="125"/>
      <c r="U4890" s="81"/>
    </row>
    <row r="4891" spans="1:22" s="26" customFormat="1" ht="24.6" x14ac:dyDescent="0.55000000000000004">
      <c r="A4891" s="27" t="s">
        <v>327</v>
      </c>
      <c r="B4891" s="28"/>
      <c r="C4891" s="27" t="str">
        <f>C4890</f>
        <v>"NAV Direct","CRONUS JetCorp USA","18","1","C100137"</v>
      </c>
      <c r="D4891" s="27"/>
      <c r="E4891" s="28" t="str">
        <f>E4890</f>
        <v>C100137</v>
      </c>
      <c r="F4891" s="28"/>
      <c r="G4891" s="28"/>
      <c r="H4891" s="28"/>
      <c r="I4891" s="121" t="str">
        <f>"Odessy Sports@Cronus.com"</f>
        <v>Odessy Sports@Cronus.com</v>
      </c>
      <c r="J4891" s="121"/>
      <c r="K4891" s="122"/>
      <c r="L4891" s="124"/>
      <c r="M4891" s="124"/>
      <c r="N4891" s="124"/>
      <c r="O4891" s="124"/>
      <c r="P4891" s="123"/>
      <c r="Q4891" s="125"/>
      <c r="R4891" s="126"/>
      <c r="S4891" s="126"/>
      <c r="T4891" s="125"/>
      <c r="U4891" s="81"/>
    </row>
    <row r="4892" spans="1:22" ht="12.75" hidden="1" customHeight="1" outlineLevel="1" x14ac:dyDescent="0.45">
      <c r="A4892" s="12" t="s">
        <v>328</v>
      </c>
      <c r="B4892" s="19"/>
      <c r="E4892" s="19"/>
      <c r="F4892" s="19"/>
      <c r="G4892" s="19"/>
      <c r="H4892" s="19"/>
      <c r="I4892" s="61"/>
      <c r="J4892" s="61"/>
      <c r="K4892" s="61"/>
      <c r="L4892" s="61"/>
      <c r="M4892" s="61"/>
      <c r="N4892" s="61"/>
      <c r="O4892" s="61"/>
      <c r="P4892" s="61"/>
      <c r="Q4892" s="61"/>
      <c r="R4892" s="61"/>
      <c r="S4892" s="61"/>
      <c r="T4892" s="61"/>
      <c r="U4892" s="61"/>
      <c r="V4892" s="21"/>
    </row>
    <row r="4893" spans="1:22" s="30" customFormat="1" ht="24.6" hidden="1" outlineLevel="1" x14ac:dyDescent="0.55000000000000004">
      <c r="A4893" s="27" t="s">
        <v>327</v>
      </c>
      <c r="B4893" s="28"/>
      <c r="C4893" s="27"/>
      <c r="D4893" s="27" t="str">
        <f>"""NAV Direct"",""CRONUS JetCorp USA"",""21"",""1"",""335526"""</f>
        <v>"NAV Direct","CRONUS JetCorp USA","21","1","335526"</v>
      </c>
      <c r="E4893" s="31" t="str">
        <f t="shared" ref="E4893:E4935" si="1488">E4891</f>
        <v>C100137</v>
      </c>
      <c r="F4893" s="31"/>
      <c r="G4893" s="31"/>
      <c r="H4893" s="31"/>
      <c r="I4893" s="56"/>
      <c r="J4893" s="56"/>
      <c r="K4893" s="82" t="str">
        <f t="shared" ref="K4893:K4935" si="1489">"Invoice"</f>
        <v>Invoice</v>
      </c>
      <c r="L4893" s="83" t="str">
        <f>"SI_110604"</f>
        <v>SI_110604</v>
      </c>
      <c r="M4893" s="84">
        <v>42448</v>
      </c>
      <c r="N4893" s="85">
        <f t="shared" ref="N4893:N4935" si="1490">StartDate-$M4893+1</f>
        <v>1364</v>
      </c>
      <c r="O4893" s="86">
        <f t="shared" ref="O4893:O4935" si="1491">SUM(P4893:T4893)</f>
        <v>15781.119999999999</v>
      </c>
      <c r="P4893" s="86">
        <f t="shared" ref="P4893:P4935" si="1492">IF($M4893&gt;=$P$18,U4893,0)</f>
        <v>0</v>
      </c>
      <c r="Q4893" s="86">
        <f t="shared" ref="Q4893:Q4935" si="1493">IF(AND($M4893&gt;=$Q$16,$M4893&lt;=$Q$18),U4893,0)</f>
        <v>0</v>
      </c>
      <c r="R4893" s="86">
        <f t="shared" ref="R4893:R4935" si="1494">IF(AND($M4893&gt;=$R$16,$M4893&lt;=$R$18),U4893,0)</f>
        <v>0</v>
      </c>
      <c r="S4893" s="86">
        <f t="shared" ref="S4893:S4935" si="1495">IF(AND($M4893&gt;=$S$16,$M4893&lt;=$S$18),U4893,0)</f>
        <v>0</v>
      </c>
      <c r="T4893" s="86">
        <f t="shared" ref="T4893:T4935" si="1496">IF($M4893&lt;=$T$18,U4893,0)</f>
        <v>15781.119999999999</v>
      </c>
      <c r="U4893" s="87">
        <v>15781.119999999999</v>
      </c>
    </row>
    <row r="4894" spans="1:22" s="30" customFormat="1" ht="24.6" hidden="1" outlineLevel="1" x14ac:dyDescent="0.55000000000000004">
      <c r="A4894" s="27" t="s">
        <v>327</v>
      </c>
      <c r="B4894" s="28"/>
      <c r="C4894" s="27"/>
      <c r="D4894" s="27" t="str">
        <f>"""NAV Direct"",""CRONUS JetCorp USA"",""21"",""1"",""336520"""</f>
        <v>"NAV Direct","CRONUS JetCorp USA","21","1","336520"</v>
      </c>
      <c r="E4894" s="31">
        <f t="shared" si="1488"/>
        <v>0</v>
      </c>
      <c r="F4894" s="31"/>
      <c r="G4894" s="31"/>
      <c r="H4894" s="31"/>
      <c r="I4894" s="56"/>
      <c r="J4894" s="56"/>
      <c r="K4894" s="82" t="str">
        <f t="shared" si="1489"/>
        <v>Invoice</v>
      </c>
      <c r="L4894" s="83" t="str">
        <f>"SI_110630"</f>
        <v>SI_110630</v>
      </c>
      <c r="M4894" s="84">
        <v>42558</v>
      </c>
      <c r="N4894" s="85">
        <f t="shared" si="1490"/>
        <v>1254</v>
      </c>
      <c r="O4894" s="86">
        <f t="shared" si="1491"/>
        <v>17277.650000000001</v>
      </c>
      <c r="P4894" s="86">
        <f t="shared" si="1492"/>
        <v>0</v>
      </c>
      <c r="Q4894" s="86">
        <f t="shared" si="1493"/>
        <v>0</v>
      </c>
      <c r="R4894" s="86">
        <f t="shared" si="1494"/>
        <v>0</v>
      </c>
      <c r="S4894" s="86">
        <f t="shared" si="1495"/>
        <v>0</v>
      </c>
      <c r="T4894" s="86">
        <f t="shared" si="1496"/>
        <v>17277.650000000001</v>
      </c>
      <c r="U4894" s="87">
        <v>17277.650000000001</v>
      </c>
    </row>
    <row r="4895" spans="1:22" s="30" customFormat="1" ht="24.6" hidden="1" outlineLevel="1" x14ac:dyDescent="0.55000000000000004">
      <c r="A4895" s="27" t="s">
        <v>327</v>
      </c>
      <c r="B4895" s="28"/>
      <c r="C4895" s="27"/>
      <c r="D4895" s="27" t="str">
        <f>"""NAV Direct"",""CRONUS JetCorp USA"",""21"",""1"",""336894"""</f>
        <v>"NAV Direct","CRONUS JetCorp USA","21","1","336894"</v>
      </c>
      <c r="E4895" s="31" t="str">
        <f t="shared" si="1488"/>
        <v>C100137</v>
      </c>
      <c r="F4895" s="31"/>
      <c r="G4895" s="31"/>
      <c r="H4895" s="31"/>
      <c r="I4895" s="56"/>
      <c r="J4895" s="56"/>
      <c r="K4895" s="82" t="str">
        <f t="shared" si="1489"/>
        <v>Invoice</v>
      </c>
      <c r="L4895" s="83" t="str">
        <f>"SI_110640"</f>
        <v>SI_110640</v>
      </c>
      <c r="M4895" s="84">
        <v>42610</v>
      </c>
      <c r="N4895" s="85">
        <f t="shared" si="1490"/>
        <v>1202</v>
      </c>
      <c r="O4895" s="86">
        <f t="shared" si="1491"/>
        <v>16880.240000000002</v>
      </c>
      <c r="P4895" s="86">
        <f t="shared" si="1492"/>
        <v>0</v>
      </c>
      <c r="Q4895" s="86">
        <f t="shared" si="1493"/>
        <v>0</v>
      </c>
      <c r="R4895" s="86">
        <f t="shared" si="1494"/>
        <v>0</v>
      </c>
      <c r="S4895" s="86">
        <f t="shared" si="1495"/>
        <v>0</v>
      </c>
      <c r="T4895" s="86">
        <f t="shared" si="1496"/>
        <v>16880.240000000002</v>
      </c>
      <c r="U4895" s="87">
        <v>16880.240000000002</v>
      </c>
    </row>
    <row r="4896" spans="1:22" s="30" customFormat="1" ht="24.6" hidden="1" outlineLevel="1" x14ac:dyDescent="0.55000000000000004">
      <c r="A4896" s="27" t="s">
        <v>327</v>
      </c>
      <c r="B4896" s="28"/>
      <c r="C4896" s="27"/>
      <c r="D4896" s="27" t="str">
        <f>"""NAV Direct"",""CRONUS JetCorp USA"",""21"",""1"",""336958"""</f>
        <v>"NAV Direct","CRONUS JetCorp USA","21","1","336958"</v>
      </c>
      <c r="E4896" s="31">
        <f t="shared" si="1488"/>
        <v>0</v>
      </c>
      <c r="F4896" s="31"/>
      <c r="G4896" s="31"/>
      <c r="H4896" s="31"/>
      <c r="I4896" s="56"/>
      <c r="J4896" s="56"/>
      <c r="K4896" s="82" t="str">
        <f t="shared" si="1489"/>
        <v>Invoice</v>
      </c>
      <c r="L4896" s="83" t="str">
        <f>"SI_110642"</f>
        <v>SI_110642</v>
      </c>
      <c r="M4896" s="84">
        <v>42619</v>
      </c>
      <c r="N4896" s="85">
        <f t="shared" si="1490"/>
        <v>1193</v>
      </c>
      <c r="O4896" s="86">
        <f t="shared" si="1491"/>
        <v>17065.54</v>
      </c>
      <c r="P4896" s="86">
        <f t="shared" si="1492"/>
        <v>0</v>
      </c>
      <c r="Q4896" s="86">
        <f t="shared" si="1493"/>
        <v>0</v>
      </c>
      <c r="R4896" s="86">
        <f t="shared" si="1494"/>
        <v>0</v>
      </c>
      <c r="S4896" s="86">
        <f t="shared" si="1495"/>
        <v>0</v>
      </c>
      <c r="T4896" s="86">
        <f t="shared" si="1496"/>
        <v>17065.54</v>
      </c>
      <c r="U4896" s="87">
        <v>17065.54</v>
      </c>
    </row>
    <row r="4897" spans="1:21" s="30" customFormat="1" ht="24.6" hidden="1" outlineLevel="1" x14ac:dyDescent="0.55000000000000004">
      <c r="A4897" s="27" t="s">
        <v>327</v>
      </c>
      <c r="B4897" s="28"/>
      <c r="C4897" s="27"/>
      <c r="D4897" s="27" t="str">
        <f>"""NAV Direct"",""CRONUS JetCorp USA"",""21"",""1"",""336997"""</f>
        <v>"NAV Direct","CRONUS JetCorp USA","21","1","336997"</v>
      </c>
      <c r="E4897" s="31" t="str">
        <f t="shared" si="1488"/>
        <v>C100137</v>
      </c>
      <c r="F4897" s="31"/>
      <c r="G4897" s="31"/>
      <c r="H4897" s="31"/>
      <c r="I4897" s="56"/>
      <c r="J4897" s="56"/>
      <c r="K4897" s="82" t="str">
        <f t="shared" si="1489"/>
        <v>Invoice</v>
      </c>
      <c r="L4897" s="83" t="str">
        <f>"SI_110643"</f>
        <v>SI_110643</v>
      </c>
      <c r="M4897" s="84">
        <v>42632</v>
      </c>
      <c r="N4897" s="85">
        <f t="shared" si="1490"/>
        <v>1180</v>
      </c>
      <c r="O4897" s="86">
        <f t="shared" si="1491"/>
        <v>17380.11</v>
      </c>
      <c r="P4897" s="86">
        <f t="shared" si="1492"/>
        <v>0</v>
      </c>
      <c r="Q4897" s="86">
        <f t="shared" si="1493"/>
        <v>0</v>
      </c>
      <c r="R4897" s="86">
        <f t="shared" si="1494"/>
        <v>0</v>
      </c>
      <c r="S4897" s="86">
        <f t="shared" si="1495"/>
        <v>0</v>
      </c>
      <c r="T4897" s="86">
        <f t="shared" si="1496"/>
        <v>17380.11</v>
      </c>
      <c r="U4897" s="87">
        <v>17380.11</v>
      </c>
    </row>
    <row r="4898" spans="1:21" s="30" customFormat="1" ht="24.6" hidden="1" outlineLevel="1" x14ac:dyDescent="0.55000000000000004">
      <c r="A4898" s="27" t="s">
        <v>327</v>
      </c>
      <c r="B4898" s="28"/>
      <c r="C4898" s="27"/>
      <c r="D4898" s="27" t="str">
        <f>"""NAV Direct"",""CRONUS JetCorp USA"",""21"",""1"",""337108"""</f>
        <v>"NAV Direct","CRONUS JetCorp USA","21","1","337108"</v>
      </c>
      <c r="E4898" s="31">
        <f t="shared" si="1488"/>
        <v>0</v>
      </c>
      <c r="F4898" s="31"/>
      <c r="G4898" s="31"/>
      <c r="H4898" s="31"/>
      <c r="I4898" s="56"/>
      <c r="J4898" s="56"/>
      <c r="K4898" s="82" t="str">
        <f t="shared" si="1489"/>
        <v>Invoice</v>
      </c>
      <c r="L4898" s="83" t="str">
        <f>"SI_110646"</f>
        <v>SI_110646</v>
      </c>
      <c r="M4898" s="84">
        <v>42632</v>
      </c>
      <c r="N4898" s="85">
        <f t="shared" si="1490"/>
        <v>1180</v>
      </c>
      <c r="O4898" s="86">
        <f t="shared" si="1491"/>
        <v>16655.939999999999</v>
      </c>
      <c r="P4898" s="86">
        <f t="shared" si="1492"/>
        <v>0</v>
      </c>
      <c r="Q4898" s="86">
        <f t="shared" si="1493"/>
        <v>0</v>
      </c>
      <c r="R4898" s="86">
        <f t="shared" si="1494"/>
        <v>0</v>
      </c>
      <c r="S4898" s="86">
        <f t="shared" si="1495"/>
        <v>0</v>
      </c>
      <c r="T4898" s="86">
        <f t="shared" si="1496"/>
        <v>16655.939999999999</v>
      </c>
      <c r="U4898" s="87">
        <v>16655.939999999999</v>
      </c>
    </row>
    <row r="4899" spans="1:21" s="30" customFormat="1" ht="24.6" hidden="1" outlineLevel="1" x14ac:dyDescent="0.55000000000000004">
      <c r="A4899" s="27" t="s">
        <v>327</v>
      </c>
      <c r="B4899" s="28"/>
      <c r="C4899" s="27"/>
      <c r="D4899" s="27" t="str">
        <f>"""NAV Direct"",""CRONUS JetCorp USA"",""21"",""1"",""337201"""</f>
        <v>"NAV Direct","CRONUS JetCorp USA","21","1","337201"</v>
      </c>
      <c r="E4899" s="31" t="str">
        <f t="shared" si="1488"/>
        <v>C100137</v>
      </c>
      <c r="F4899" s="31"/>
      <c r="G4899" s="31"/>
      <c r="H4899" s="31"/>
      <c r="I4899" s="56"/>
      <c r="J4899" s="56"/>
      <c r="K4899" s="82" t="str">
        <f t="shared" si="1489"/>
        <v>Invoice</v>
      </c>
      <c r="L4899" s="83" t="str">
        <f>"SI_110649"</f>
        <v>SI_110649</v>
      </c>
      <c r="M4899" s="84">
        <v>42652</v>
      </c>
      <c r="N4899" s="85">
        <f t="shared" si="1490"/>
        <v>1160</v>
      </c>
      <c r="O4899" s="86">
        <f t="shared" si="1491"/>
        <v>17380.16</v>
      </c>
      <c r="P4899" s="86">
        <f t="shared" si="1492"/>
        <v>0</v>
      </c>
      <c r="Q4899" s="86">
        <f t="shared" si="1493"/>
        <v>0</v>
      </c>
      <c r="R4899" s="86">
        <f t="shared" si="1494"/>
        <v>0</v>
      </c>
      <c r="S4899" s="86">
        <f t="shared" si="1495"/>
        <v>0</v>
      </c>
      <c r="T4899" s="86">
        <f t="shared" si="1496"/>
        <v>17380.16</v>
      </c>
      <c r="U4899" s="87">
        <v>17380.16</v>
      </c>
    </row>
    <row r="4900" spans="1:21" s="30" customFormat="1" ht="24.6" hidden="1" outlineLevel="1" x14ac:dyDescent="0.55000000000000004">
      <c r="A4900" s="27" t="s">
        <v>327</v>
      </c>
      <c r="B4900" s="28"/>
      <c r="C4900" s="27"/>
      <c r="D4900" s="27" t="str">
        <f>"""NAV Direct"",""CRONUS JetCorp USA"",""21"",""1"",""337433"""</f>
        <v>"NAV Direct","CRONUS JetCorp USA","21","1","337433"</v>
      </c>
      <c r="E4900" s="31">
        <f t="shared" si="1488"/>
        <v>0</v>
      </c>
      <c r="F4900" s="31"/>
      <c r="G4900" s="31"/>
      <c r="H4900" s="31"/>
      <c r="I4900" s="56"/>
      <c r="J4900" s="56"/>
      <c r="K4900" s="82" t="str">
        <f t="shared" si="1489"/>
        <v>Invoice</v>
      </c>
      <c r="L4900" s="83" t="str">
        <f>"SI_110655"</f>
        <v>SI_110655</v>
      </c>
      <c r="M4900" s="84">
        <v>42704</v>
      </c>
      <c r="N4900" s="85">
        <f t="shared" si="1490"/>
        <v>1108</v>
      </c>
      <c r="O4900" s="86">
        <f t="shared" si="1491"/>
        <v>18914.47</v>
      </c>
      <c r="P4900" s="86">
        <f t="shared" si="1492"/>
        <v>0</v>
      </c>
      <c r="Q4900" s="86">
        <f t="shared" si="1493"/>
        <v>0</v>
      </c>
      <c r="R4900" s="86">
        <f t="shared" si="1494"/>
        <v>0</v>
      </c>
      <c r="S4900" s="86">
        <f t="shared" si="1495"/>
        <v>0</v>
      </c>
      <c r="T4900" s="86">
        <f t="shared" si="1496"/>
        <v>18914.47</v>
      </c>
      <c r="U4900" s="87">
        <v>18914.47</v>
      </c>
    </row>
    <row r="4901" spans="1:21" s="30" customFormat="1" ht="24.6" hidden="1" outlineLevel="1" x14ac:dyDescent="0.55000000000000004">
      <c r="A4901" s="27" t="s">
        <v>327</v>
      </c>
      <c r="B4901" s="28"/>
      <c r="C4901" s="27"/>
      <c r="D4901" s="27" t="str">
        <f>"""NAV Direct"",""CRONUS JetCorp USA"",""21"",""1"",""337707"""</f>
        <v>"NAV Direct","CRONUS JetCorp USA","21","1","337707"</v>
      </c>
      <c r="E4901" s="31" t="str">
        <f t="shared" si="1488"/>
        <v>C100137</v>
      </c>
      <c r="F4901" s="31"/>
      <c r="G4901" s="31"/>
      <c r="H4901" s="31"/>
      <c r="I4901" s="56"/>
      <c r="J4901" s="56"/>
      <c r="K4901" s="82" t="str">
        <f t="shared" si="1489"/>
        <v>Invoice</v>
      </c>
      <c r="L4901" s="83" t="str">
        <f>"SI_110663"</f>
        <v>SI_110663</v>
      </c>
      <c r="M4901" s="84">
        <v>42717</v>
      </c>
      <c r="N4901" s="85">
        <f t="shared" si="1490"/>
        <v>1095</v>
      </c>
      <c r="O4901" s="86">
        <f t="shared" si="1491"/>
        <v>18722.870000000003</v>
      </c>
      <c r="P4901" s="86">
        <f t="shared" si="1492"/>
        <v>0</v>
      </c>
      <c r="Q4901" s="86">
        <f t="shared" si="1493"/>
        <v>0</v>
      </c>
      <c r="R4901" s="86">
        <f t="shared" si="1494"/>
        <v>0</v>
      </c>
      <c r="S4901" s="86">
        <f t="shared" si="1495"/>
        <v>0</v>
      </c>
      <c r="T4901" s="86">
        <f t="shared" si="1496"/>
        <v>18722.870000000003</v>
      </c>
      <c r="U4901" s="87">
        <v>18722.870000000003</v>
      </c>
    </row>
    <row r="4902" spans="1:21" s="30" customFormat="1" ht="24.6" hidden="1" outlineLevel="1" x14ac:dyDescent="0.55000000000000004">
      <c r="A4902" s="27" t="s">
        <v>327</v>
      </c>
      <c r="B4902" s="28"/>
      <c r="C4902" s="27"/>
      <c r="D4902" s="27" t="str">
        <f>"""NAV Direct"",""CRONUS JetCorp USA"",""21"",""1"",""338170"""</f>
        <v>"NAV Direct","CRONUS JetCorp USA","21","1","338170"</v>
      </c>
      <c r="E4902" s="31">
        <f t="shared" si="1488"/>
        <v>0</v>
      </c>
      <c r="F4902" s="31"/>
      <c r="G4902" s="31"/>
      <c r="H4902" s="31"/>
      <c r="I4902" s="56"/>
      <c r="J4902" s="56"/>
      <c r="K4902" s="82" t="str">
        <f t="shared" si="1489"/>
        <v>Invoice</v>
      </c>
      <c r="L4902" s="83" t="str">
        <f>"SI_110676"</f>
        <v>SI_110676</v>
      </c>
      <c r="M4902" s="84">
        <v>42765</v>
      </c>
      <c r="N4902" s="85">
        <f t="shared" si="1490"/>
        <v>1047</v>
      </c>
      <c r="O4902" s="86">
        <f t="shared" si="1491"/>
        <v>19029.530000000002</v>
      </c>
      <c r="P4902" s="86">
        <f t="shared" si="1492"/>
        <v>0</v>
      </c>
      <c r="Q4902" s="86">
        <f t="shared" si="1493"/>
        <v>0</v>
      </c>
      <c r="R4902" s="86">
        <f t="shared" si="1494"/>
        <v>0</v>
      </c>
      <c r="S4902" s="86">
        <f t="shared" si="1495"/>
        <v>0</v>
      </c>
      <c r="T4902" s="86">
        <f t="shared" si="1496"/>
        <v>19029.530000000002</v>
      </c>
      <c r="U4902" s="87">
        <v>19029.530000000002</v>
      </c>
    </row>
    <row r="4903" spans="1:21" s="30" customFormat="1" ht="24.6" hidden="1" outlineLevel="1" x14ac:dyDescent="0.55000000000000004">
      <c r="A4903" s="27" t="s">
        <v>327</v>
      </c>
      <c r="B4903" s="28"/>
      <c r="C4903" s="27"/>
      <c r="D4903" s="27" t="str">
        <f>"""NAV Direct"",""CRONUS JetCorp USA"",""21"",""1"",""338244"""</f>
        <v>"NAV Direct","CRONUS JetCorp USA","21","1","338244"</v>
      </c>
      <c r="E4903" s="31" t="str">
        <f t="shared" si="1488"/>
        <v>C100137</v>
      </c>
      <c r="F4903" s="31"/>
      <c r="G4903" s="31"/>
      <c r="H4903" s="31"/>
      <c r="I4903" s="56"/>
      <c r="J4903" s="56"/>
      <c r="K4903" s="82" t="str">
        <f t="shared" si="1489"/>
        <v>Invoice</v>
      </c>
      <c r="L4903" s="83" t="str">
        <f>"SI_110678"</f>
        <v>SI_110678</v>
      </c>
      <c r="M4903" s="84">
        <v>42790</v>
      </c>
      <c r="N4903" s="85">
        <f t="shared" si="1490"/>
        <v>1022</v>
      </c>
      <c r="O4903" s="86">
        <f t="shared" si="1491"/>
        <v>18688.47</v>
      </c>
      <c r="P4903" s="86">
        <f t="shared" si="1492"/>
        <v>0</v>
      </c>
      <c r="Q4903" s="86">
        <f t="shared" si="1493"/>
        <v>0</v>
      </c>
      <c r="R4903" s="86">
        <f t="shared" si="1494"/>
        <v>0</v>
      </c>
      <c r="S4903" s="86">
        <f t="shared" si="1495"/>
        <v>0</v>
      </c>
      <c r="T4903" s="86">
        <f t="shared" si="1496"/>
        <v>18688.47</v>
      </c>
      <c r="U4903" s="87">
        <v>18688.47</v>
      </c>
    </row>
    <row r="4904" spans="1:21" s="30" customFormat="1" ht="24.6" hidden="1" outlineLevel="1" x14ac:dyDescent="0.55000000000000004">
      <c r="A4904" s="27" t="s">
        <v>327</v>
      </c>
      <c r="B4904" s="28"/>
      <c r="C4904" s="27"/>
      <c r="D4904" s="27" t="str">
        <f>"""NAV Direct"",""CRONUS JetCorp USA"",""21"",""1"",""339150"""</f>
        <v>"NAV Direct","CRONUS JetCorp USA","21","1","339150"</v>
      </c>
      <c r="E4904" s="31">
        <f t="shared" si="1488"/>
        <v>0</v>
      </c>
      <c r="F4904" s="31"/>
      <c r="G4904" s="31"/>
      <c r="H4904" s="31"/>
      <c r="I4904" s="56"/>
      <c r="J4904" s="56"/>
      <c r="K4904" s="82" t="str">
        <f t="shared" si="1489"/>
        <v>Invoice</v>
      </c>
      <c r="L4904" s="83" t="str">
        <f>"SI_110700"</f>
        <v>SI_110700</v>
      </c>
      <c r="M4904" s="84">
        <v>42872</v>
      </c>
      <c r="N4904" s="85">
        <f t="shared" si="1490"/>
        <v>940</v>
      </c>
      <c r="O4904" s="86">
        <f t="shared" si="1491"/>
        <v>17895.66</v>
      </c>
      <c r="P4904" s="86">
        <f t="shared" si="1492"/>
        <v>0</v>
      </c>
      <c r="Q4904" s="86">
        <f t="shared" si="1493"/>
        <v>0</v>
      </c>
      <c r="R4904" s="86">
        <f t="shared" si="1494"/>
        <v>0</v>
      </c>
      <c r="S4904" s="86">
        <f t="shared" si="1495"/>
        <v>0</v>
      </c>
      <c r="T4904" s="86">
        <f t="shared" si="1496"/>
        <v>17895.66</v>
      </c>
      <c r="U4904" s="87">
        <v>17895.66</v>
      </c>
    </row>
    <row r="4905" spans="1:21" s="30" customFormat="1" ht="24.6" hidden="1" outlineLevel="1" x14ac:dyDescent="0.55000000000000004">
      <c r="A4905" s="27" t="s">
        <v>327</v>
      </c>
      <c r="B4905" s="28"/>
      <c r="C4905" s="27"/>
      <c r="D4905" s="27" t="str">
        <f>"""NAV Direct"",""CRONUS JetCorp USA"",""21"",""1"",""339279"""</f>
        <v>"NAV Direct","CRONUS JetCorp USA","21","1","339279"</v>
      </c>
      <c r="E4905" s="31" t="str">
        <f t="shared" si="1488"/>
        <v>C100137</v>
      </c>
      <c r="F4905" s="31"/>
      <c r="G4905" s="31"/>
      <c r="H4905" s="31"/>
      <c r="I4905" s="56"/>
      <c r="J4905" s="56"/>
      <c r="K4905" s="82" t="str">
        <f t="shared" si="1489"/>
        <v>Invoice</v>
      </c>
      <c r="L4905" s="83" t="str">
        <f>"SI_110703"</f>
        <v>SI_110703</v>
      </c>
      <c r="M4905" s="84">
        <v>42893</v>
      </c>
      <c r="N4905" s="85">
        <f t="shared" si="1490"/>
        <v>919</v>
      </c>
      <c r="O4905" s="86">
        <f t="shared" si="1491"/>
        <v>18092.36</v>
      </c>
      <c r="P4905" s="86">
        <f t="shared" si="1492"/>
        <v>0</v>
      </c>
      <c r="Q4905" s="86">
        <f t="shared" si="1493"/>
        <v>0</v>
      </c>
      <c r="R4905" s="86">
        <f t="shared" si="1494"/>
        <v>0</v>
      </c>
      <c r="S4905" s="86">
        <f t="shared" si="1495"/>
        <v>0</v>
      </c>
      <c r="T4905" s="86">
        <f t="shared" si="1496"/>
        <v>18092.36</v>
      </c>
      <c r="U4905" s="87">
        <v>18092.36</v>
      </c>
    </row>
    <row r="4906" spans="1:21" s="30" customFormat="1" ht="24.6" hidden="1" outlineLevel="1" x14ac:dyDescent="0.55000000000000004">
      <c r="A4906" s="27" t="s">
        <v>327</v>
      </c>
      <c r="B4906" s="28"/>
      <c r="C4906" s="27"/>
      <c r="D4906" s="27" t="str">
        <f>"""NAV Direct"",""CRONUS JetCorp USA"",""21"",""1"",""340320"""</f>
        <v>"NAV Direct","CRONUS JetCorp USA","21","1","340320"</v>
      </c>
      <c r="E4906" s="31">
        <f t="shared" si="1488"/>
        <v>0</v>
      </c>
      <c r="F4906" s="31"/>
      <c r="G4906" s="31"/>
      <c r="H4906" s="31"/>
      <c r="I4906" s="56"/>
      <c r="J4906" s="56"/>
      <c r="K4906" s="82" t="str">
        <f t="shared" si="1489"/>
        <v>Invoice</v>
      </c>
      <c r="L4906" s="83" t="str">
        <f>"SI_110730"</f>
        <v>SI_110730</v>
      </c>
      <c r="M4906" s="84">
        <v>43001</v>
      </c>
      <c r="N4906" s="85">
        <f t="shared" si="1490"/>
        <v>811</v>
      </c>
      <c r="O4906" s="86">
        <f t="shared" si="1491"/>
        <v>17626.46</v>
      </c>
      <c r="P4906" s="86">
        <f t="shared" si="1492"/>
        <v>0</v>
      </c>
      <c r="Q4906" s="86">
        <f t="shared" si="1493"/>
        <v>0</v>
      </c>
      <c r="R4906" s="86">
        <f t="shared" si="1494"/>
        <v>0</v>
      </c>
      <c r="S4906" s="86">
        <f t="shared" si="1495"/>
        <v>0</v>
      </c>
      <c r="T4906" s="86">
        <f t="shared" si="1496"/>
        <v>17626.46</v>
      </c>
      <c r="U4906" s="87">
        <v>17626.46</v>
      </c>
    </row>
    <row r="4907" spans="1:21" s="30" customFormat="1" ht="24.6" hidden="1" outlineLevel="1" x14ac:dyDescent="0.55000000000000004">
      <c r="A4907" s="27" t="s">
        <v>327</v>
      </c>
      <c r="B4907" s="28"/>
      <c r="C4907" s="27"/>
      <c r="D4907" s="27" t="str">
        <f>"""NAV Direct"",""CRONUS JetCorp USA"",""21"",""1"",""340439"""</f>
        <v>"NAV Direct","CRONUS JetCorp USA","21","1","340439"</v>
      </c>
      <c r="E4907" s="31" t="str">
        <f t="shared" si="1488"/>
        <v>C100137</v>
      </c>
      <c r="F4907" s="31"/>
      <c r="G4907" s="31"/>
      <c r="H4907" s="31"/>
      <c r="I4907" s="56"/>
      <c r="J4907" s="56"/>
      <c r="K4907" s="82" t="str">
        <f t="shared" si="1489"/>
        <v>Invoice</v>
      </c>
      <c r="L4907" s="83" t="str">
        <f>"SI_110733"</f>
        <v>SI_110733</v>
      </c>
      <c r="M4907" s="84">
        <v>43008</v>
      </c>
      <c r="N4907" s="85">
        <f t="shared" si="1490"/>
        <v>804</v>
      </c>
      <c r="O4907" s="86">
        <f t="shared" si="1491"/>
        <v>17625.84</v>
      </c>
      <c r="P4907" s="86">
        <f t="shared" si="1492"/>
        <v>0</v>
      </c>
      <c r="Q4907" s="86">
        <f t="shared" si="1493"/>
        <v>0</v>
      </c>
      <c r="R4907" s="86">
        <f t="shared" si="1494"/>
        <v>0</v>
      </c>
      <c r="S4907" s="86">
        <f t="shared" si="1495"/>
        <v>0</v>
      </c>
      <c r="T4907" s="86">
        <f t="shared" si="1496"/>
        <v>17625.84</v>
      </c>
      <c r="U4907" s="87">
        <v>17625.84</v>
      </c>
    </row>
    <row r="4908" spans="1:21" s="30" customFormat="1" ht="24.6" hidden="1" outlineLevel="1" x14ac:dyDescent="0.55000000000000004">
      <c r="A4908" s="27" t="s">
        <v>327</v>
      </c>
      <c r="B4908" s="28"/>
      <c r="C4908" s="27"/>
      <c r="D4908" s="27" t="str">
        <f>"""NAV Direct"",""CRONUS JetCorp USA"",""21"",""1"",""340624"""</f>
        <v>"NAV Direct","CRONUS JetCorp USA","21","1","340624"</v>
      </c>
      <c r="E4908" s="31">
        <f t="shared" si="1488"/>
        <v>0</v>
      </c>
      <c r="F4908" s="31"/>
      <c r="G4908" s="31"/>
      <c r="H4908" s="31"/>
      <c r="I4908" s="56"/>
      <c r="J4908" s="56"/>
      <c r="K4908" s="82" t="str">
        <f t="shared" si="1489"/>
        <v>Invoice</v>
      </c>
      <c r="L4908" s="83" t="str">
        <f>"SI_110738"</f>
        <v>SI_110738</v>
      </c>
      <c r="M4908" s="84">
        <v>43029</v>
      </c>
      <c r="N4908" s="85">
        <f t="shared" si="1490"/>
        <v>783</v>
      </c>
      <c r="O4908" s="86">
        <f t="shared" si="1491"/>
        <v>18733.98</v>
      </c>
      <c r="P4908" s="86">
        <f t="shared" si="1492"/>
        <v>0</v>
      </c>
      <c r="Q4908" s="86">
        <f t="shared" si="1493"/>
        <v>0</v>
      </c>
      <c r="R4908" s="86">
        <f t="shared" si="1494"/>
        <v>0</v>
      </c>
      <c r="S4908" s="86">
        <f t="shared" si="1495"/>
        <v>0</v>
      </c>
      <c r="T4908" s="86">
        <f t="shared" si="1496"/>
        <v>18733.98</v>
      </c>
      <c r="U4908" s="87">
        <v>18733.98</v>
      </c>
    </row>
    <row r="4909" spans="1:21" s="30" customFormat="1" ht="24.6" hidden="1" outlineLevel="1" x14ac:dyDescent="0.55000000000000004">
      <c r="A4909" s="27" t="s">
        <v>327</v>
      </c>
      <c r="B4909" s="28"/>
      <c r="C4909" s="27"/>
      <c r="D4909" s="27" t="str">
        <f>"""NAV Direct"",""CRONUS JetCorp USA"",""21"",""1"",""341133"""</f>
        <v>"NAV Direct","CRONUS JetCorp USA","21","1","341133"</v>
      </c>
      <c r="E4909" s="31" t="str">
        <f t="shared" si="1488"/>
        <v>C100137</v>
      </c>
      <c r="F4909" s="31"/>
      <c r="G4909" s="31"/>
      <c r="H4909" s="31"/>
      <c r="I4909" s="56"/>
      <c r="J4909" s="56"/>
      <c r="K4909" s="82" t="str">
        <f t="shared" si="1489"/>
        <v>Invoice</v>
      </c>
      <c r="L4909" s="83" t="str">
        <f>"SI_110751"</f>
        <v>SI_110751</v>
      </c>
      <c r="M4909" s="84">
        <v>43086</v>
      </c>
      <c r="N4909" s="85">
        <f t="shared" si="1490"/>
        <v>726</v>
      </c>
      <c r="O4909" s="86">
        <f t="shared" si="1491"/>
        <v>20139.25</v>
      </c>
      <c r="P4909" s="86">
        <f t="shared" si="1492"/>
        <v>0</v>
      </c>
      <c r="Q4909" s="86">
        <f t="shared" si="1493"/>
        <v>0</v>
      </c>
      <c r="R4909" s="86">
        <f t="shared" si="1494"/>
        <v>0</v>
      </c>
      <c r="S4909" s="86">
        <f t="shared" si="1495"/>
        <v>0</v>
      </c>
      <c r="T4909" s="86">
        <f t="shared" si="1496"/>
        <v>20139.25</v>
      </c>
      <c r="U4909" s="87">
        <v>20139.25</v>
      </c>
    </row>
    <row r="4910" spans="1:21" s="30" customFormat="1" ht="24.6" hidden="1" outlineLevel="1" x14ac:dyDescent="0.55000000000000004">
      <c r="A4910" s="27" t="s">
        <v>327</v>
      </c>
      <c r="B4910" s="28"/>
      <c r="C4910" s="27"/>
      <c r="D4910" s="27" t="str">
        <f>"""NAV Direct"",""CRONUS JetCorp USA"",""21"",""1"",""341643"""</f>
        <v>"NAV Direct","CRONUS JetCorp USA","21","1","341643"</v>
      </c>
      <c r="E4910" s="31">
        <f t="shared" si="1488"/>
        <v>0</v>
      </c>
      <c r="F4910" s="31"/>
      <c r="G4910" s="31"/>
      <c r="H4910" s="31"/>
      <c r="I4910" s="56"/>
      <c r="J4910" s="56"/>
      <c r="K4910" s="82" t="str">
        <f t="shared" si="1489"/>
        <v>Invoice</v>
      </c>
      <c r="L4910" s="83" t="str">
        <f>"SI_110765"</f>
        <v>SI_110765</v>
      </c>
      <c r="M4910" s="84">
        <v>43122</v>
      </c>
      <c r="N4910" s="85">
        <f t="shared" si="1490"/>
        <v>690</v>
      </c>
      <c r="O4910" s="86">
        <f t="shared" si="1491"/>
        <v>19288.32</v>
      </c>
      <c r="P4910" s="86">
        <f t="shared" si="1492"/>
        <v>0</v>
      </c>
      <c r="Q4910" s="86">
        <f t="shared" si="1493"/>
        <v>0</v>
      </c>
      <c r="R4910" s="86">
        <f t="shared" si="1494"/>
        <v>0</v>
      </c>
      <c r="S4910" s="86">
        <f t="shared" si="1495"/>
        <v>0</v>
      </c>
      <c r="T4910" s="86">
        <f t="shared" si="1496"/>
        <v>19288.32</v>
      </c>
      <c r="U4910" s="87">
        <v>19288.32</v>
      </c>
    </row>
    <row r="4911" spans="1:21" s="30" customFormat="1" ht="24.6" hidden="1" outlineLevel="1" x14ac:dyDescent="0.55000000000000004">
      <c r="A4911" s="27" t="s">
        <v>327</v>
      </c>
      <c r="B4911" s="28"/>
      <c r="C4911" s="27"/>
      <c r="D4911" s="27" t="str">
        <f>"""NAV Direct"",""CRONUS JetCorp USA"",""21"",""1"",""342142"""</f>
        <v>"NAV Direct","CRONUS JetCorp USA","21","1","342142"</v>
      </c>
      <c r="E4911" s="31" t="str">
        <f t="shared" si="1488"/>
        <v>C100137</v>
      </c>
      <c r="F4911" s="31"/>
      <c r="G4911" s="31"/>
      <c r="H4911" s="31"/>
      <c r="I4911" s="56"/>
      <c r="J4911" s="56"/>
      <c r="K4911" s="82" t="str">
        <f t="shared" si="1489"/>
        <v>Invoice</v>
      </c>
      <c r="L4911" s="83" t="str">
        <f>"SI_110778"</f>
        <v>SI_110778</v>
      </c>
      <c r="M4911" s="84">
        <v>43195</v>
      </c>
      <c r="N4911" s="85">
        <f t="shared" si="1490"/>
        <v>617</v>
      </c>
      <c r="O4911" s="86">
        <f t="shared" si="1491"/>
        <v>19205.32</v>
      </c>
      <c r="P4911" s="86">
        <f t="shared" si="1492"/>
        <v>0</v>
      </c>
      <c r="Q4911" s="86">
        <f t="shared" si="1493"/>
        <v>0</v>
      </c>
      <c r="R4911" s="86">
        <f t="shared" si="1494"/>
        <v>0</v>
      </c>
      <c r="S4911" s="86">
        <f t="shared" si="1495"/>
        <v>0</v>
      </c>
      <c r="T4911" s="86">
        <f t="shared" si="1496"/>
        <v>19205.32</v>
      </c>
      <c r="U4911" s="87">
        <v>19205.32</v>
      </c>
    </row>
    <row r="4912" spans="1:21" s="30" customFormat="1" ht="24.6" hidden="1" outlineLevel="1" x14ac:dyDescent="0.55000000000000004">
      <c r="A4912" s="27" t="s">
        <v>327</v>
      </c>
      <c r="B4912" s="28"/>
      <c r="C4912" s="27"/>
      <c r="D4912" s="27" t="str">
        <f>"""NAV Direct"",""CRONUS JetCorp USA"",""21"",""1"",""342226"""</f>
        <v>"NAV Direct","CRONUS JetCorp USA","21","1","342226"</v>
      </c>
      <c r="E4912" s="31">
        <f t="shared" si="1488"/>
        <v>0</v>
      </c>
      <c r="F4912" s="31"/>
      <c r="G4912" s="31"/>
      <c r="H4912" s="31"/>
      <c r="I4912" s="56"/>
      <c r="J4912" s="56"/>
      <c r="K4912" s="82" t="str">
        <f t="shared" si="1489"/>
        <v>Invoice</v>
      </c>
      <c r="L4912" s="83" t="str">
        <f>"SI_110780"</f>
        <v>SI_110780</v>
      </c>
      <c r="M4912" s="84">
        <v>43214</v>
      </c>
      <c r="N4912" s="85">
        <f t="shared" si="1490"/>
        <v>598</v>
      </c>
      <c r="O4912" s="86">
        <f t="shared" si="1491"/>
        <v>19782.54</v>
      </c>
      <c r="P4912" s="86">
        <f t="shared" si="1492"/>
        <v>0</v>
      </c>
      <c r="Q4912" s="86">
        <f t="shared" si="1493"/>
        <v>0</v>
      </c>
      <c r="R4912" s="86">
        <f t="shared" si="1494"/>
        <v>0</v>
      </c>
      <c r="S4912" s="86">
        <f t="shared" si="1495"/>
        <v>0</v>
      </c>
      <c r="T4912" s="86">
        <f t="shared" si="1496"/>
        <v>19782.54</v>
      </c>
      <c r="U4912" s="87">
        <v>19782.54</v>
      </c>
    </row>
    <row r="4913" spans="1:21" s="30" customFormat="1" ht="24.6" hidden="1" outlineLevel="1" x14ac:dyDescent="0.55000000000000004">
      <c r="A4913" s="27" t="s">
        <v>327</v>
      </c>
      <c r="B4913" s="28"/>
      <c r="C4913" s="27"/>
      <c r="D4913" s="27" t="str">
        <f>"""NAV Direct"",""CRONUS JetCorp USA"",""21"",""1"",""343495"""</f>
        <v>"NAV Direct","CRONUS JetCorp USA","21","1","343495"</v>
      </c>
      <c r="E4913" s="31" t="str">
        <f t="shared" si="1488"/>
        <v>C100137</v>
      </c>
      <c r="F4913" s="31"/>
      <c r="G4913" s="31"/>
      <c r="H4913" s="31"/>
      <c r="I4913" s="56"/>
      <c r="J4913" s="56"/>
      <c r="K4913" s="82" t="str">
        <f t="shared" si="1489"/>
        <v>Invoice</v>
      </c>
      <c r="L4913" s="83" t="str">
        <f>"SI_110813"</f>
        <v>SI_110813</v>
      </c>
      <c r="M4913" s="84">
        <v>43331</v>
      </c>
      <c r="N4913" s="85">
        <f t="shared" si="1490"/>
        <v>481</v>
      </c>
      <c r="O4913" s="86">
        <f t="shared" si="1491"/>
        <v>18474.32</v>
      </c>
      <c r="P4913" s="86">
        <f t="shared" si="1492"/>
        <v>0</v>
      </c>
      <c r="Q4913" s="86">
        <f t="shared" si="1493"/>
        <v>0</v>
      </c>
      <c r="R4913" s="86">
        <f t="shared" si="1494"/>
        <v>0</v>
      </c>
      <c r="S4913" s="86">
        <f t="shared" si="1495"/>
        <v>0</v>
      </c>
      <c r="T4913" s="86">
        <f t="shared" si="1496"/>
        <v>18474.32</v>
      </c>
      <c r="U4913" s="87">
        <v>18474.32</v>
      </c>
    </row>
    <row r="4914" spans="1:21" s="30" customFormat="1" ht="24.6" hidden="1" outlineLevel="1" x14ac:dyDescent="0.55000000000000004">
      <c r="A4914" s="27" t="s">
        <v>327</v>
      </c>
      <c r="B4914" s="28"/>
      <c r="C4914" s="27"/>
      <c r="D4914" s="27" t="str">
        <f>"""NAV Direct"",""CRONUS JetCorp USA"",""21"",""1"",""343957"""</f>
        <v>"NAV Direct","CRONUS JetCorp USA","21","1","343957"</v>
      </c>
      <c r="E4914" s="31">
        <f t="shared" si="1488"/>
        <v>0</v>
      </c>
      <c r="F4914" s="31"/>
      <c r="G4914" s="31"/>
      <c r="H4914" s="31"/>
      <c r="I4914" s="56"/>
      <c r="J4914" s="56"/>
      <c r="K4914" s="82" t="str">
        <f t="shared" si="1489"/>
        <v>Invoice</v>
      </c>
      <c r="L4914" s="83" t="str">
        <f>"SI_110825"</f>
        <v>SI_110825</v>
      </c>
      <c r="M4914" s="84">
        <v>43372</v>
      </c>
      <c r="N4914" s="85">
        <f t="shared" si="1490"/>
        <v>440</v>
      </c>
      <c r="O4914" s="86">
        <f t="shared" si="1491"/>
        <v>18588.829999999998</v>
      </c>
      <c r="P4914" s="86">
        <f t="shared" si="1492"/>
        <v>0</v>
      </c>
      <c r="Q4914" s="86">
        <f t="shared" si="1493"/>
        <v>0</v>
      </c>
      <c r="R4914" s="86">
        <f t="shared" si="1494"/>
        <v>0</v>
      </c>
      <c r="S4914" s="86">
        <f t="shared" si="1495"/>
        <v>0</v>
      </c>
      <c r="T4914" s="86">
        <f t="shared" si="1496"/>
        <v>18588.829999999998</v>
      </c>
      <c r="U4914" s="87">
        <v>18588.829999999998</v>
      </c>
    </row>
    <row r="4915" spans="1:21" s="30" customFormat="1" ht="24.6" hidden="1" outlineLevel="1" x14ac:dyDescent="0.55000000000000004">
      <c r="A4915" s="27" t="s">
        <v>327</v>
      </c>
      <c r="B4915" s="28"/>
      <c r="C4915" s="27"/>
      <c r="D4915" s="27" t="str">
        <f>"""NAV Direct"",""CRONUS JetCorp USA"",""21"",""1"",""344146"""</f>
        <v>"NAV Direct","CRONUS JetCorp USA","21","1","344146"</v>
      </c>
      <c r="E4915" s="31" t="str">
        <f t="shared" si="1488"/>
        <v>C100137</v>
      </c>
      <c r="F4915" s="31"/>
      <c r="G4915" s="31"/>
      <c r="H4915" s="31"/>
      <c r="I4915" s="56"/>
      <c r="J4915" s="56"/>
      <c r="K4915" s="82" t="str">
        <f t="shared" si="1489"/>
        <v>Invoice</v>
      </c>
      <c r="L4915" s="83" t="str">
        <f>"SI_110830"</f>
        <v>SI_110830</v>
      </c>
      <c r="M4915" s="84">
        <v>43399</v>
      </c>
      <c r="N4915" s="85">
        <f t="shared" si="1490"/>
        <v>413</v>
      </c>
      <c r="O4915" s="86">
        <f t="shared" si="1491"/>
        <v>19815.11</v>
      </c>
      <c r="P4915" s="86">
        <f t="shared" si="1492"/>
        <v>0</v>
      </c>
      <c r="Q4915" s="86">
        <f t="shared" si="1493"/>
        <v>0</v>
      </c>
      <c r="R4915" s="86">
        <f t="shared" si="1494"/>
        <v>0</v>
      </c>
      <c r="S4915" s="86">
        <f t="shared" si="1495"/>
        <v>0</v>
      </c>
      <c r="T4915" s="86">
        <f t="shared" si="1496"/>
        <v>19815.11</v>
      </c>
      <c r="U4915" s="87">
        <v>19815.11</v>
      </c>
    </row>
    <row r="4916" spans="1:21" s="30" customFormat="1" ht="24.6" hidden="1" outlineLevel="1" x14ac:dyDescent="0.55000000000000004">
      <c r="A4916" s="27" t="s">
        <v>327</v>
      </c>
      <c r="B4916" s="28"/>
      <c r="C4916" s="27"/>
      <c r="D4916" s="27" t="str">
        <f>"""NAV Direct"",""CRONUS JetCorp USA"",""21"",""1"",""344562"""</f>
        <v>"NAV Direct","CRONUS JetCorp USA","21","1","344562"</v>
      </c>
      <c r="E4916" s="31">
        <f t="shared" si="1488"/>
        <v>0</v>
      </c>
      <c r="F4916" s="31"/>
      <c r="G4916" s="31"/>
      <c r="H4916" s="31"/>
      <c r="I4916" s="56"/>
      <c r="J4916" s="56"/>
      <c r="K4916" s="82" t="str">
        <f t="shared" si="1489"/>
        <v>Invoice</v>
      </c>
      <c r="L4916" s="83" t="str">
        <f>"SI_110840"</f>
        <v>SI_110840</v>
      </c>
      <c r="M4916" s="84">
        <v>43435</v>
      </c>
      <c r="N4916" s="85">
        <f t="shared" si="1490"/>
        <v>377</v>
      </c>
      <c r="O4916" s="86">
        <f t="shared" si="1491"/>
        <v>20330.04</v>
      </c>
      <c r="P4916" s="86">
        <f t="shared" si="1492"/>
        <v>0</v>
      </c>
      <c r="Q4916" s="86">
        <f t="shared" si="1493"/>
        <v>0</v>
      </c>
      <c r="R4916" s="86">
        <f t="shared" si="1494"/>
        <v>0</v>
      </c>
      <c r="S4916" s="86">
        <f t="shared" si="1495"/>
        <v>0</v>
      </c>
      <c r="T4916" s="86">
        <f t="shared" si="1496"/>
        <v>20330.04</v>
      </c>
      <c r="U4916" s="87">
        <v>20330.04</v>
      </c>
    </row>
    <row r="4917" spans="1:21" s="30" customFormat="1" ht="24.6" hidden="1" outlineLevel="1" x14ac:dyDescent="0.55000000000000004">
      <c r="A4917" s="27" t="s">
        <v>327</v>
      </c>
      <c r="B4917" s="28"/>
      <c r="C4917" s="27"/>
      <c r="D4917" s="27" t="str">
        <f>"""NAV Direct"",""CRONUS JetCorp USA"",""21"",""1"",""344810"""</f>
        <v>"NAV Direct","CRONUS JetCorp USA","21","1","344810"</v>
      </c>
      <c r="E4917" s="31" t="str">
        <f t="shared" si="1488"/>
        <v>C100137</v>
      </c>
      <c r="F4917" s="31"/>
      <c r="G4917" s="31"/>
      <c r="H4917" s="31"/>
      <c r="I4917" s="56"/>
      <c r="J4917" s="56"/>
      <c r="K4917" s="82" t="str">
        <f t="shared" si="1489"/>
        <v>Invoice</v>
      </c>
      <c r="L4917" s="83" t="str">
        <f>"SI_110846"</f>
        <v>SI_110846</v>
      </c>
      <c r="M4917" s="84">
        <v>43465</v>
      </c>
      <c r="N4917" s="85">
        <f t="shared" si="1490"/>
        <v>347</v>
      </c>
      <c r="O4917" s="86">
        <f t="shared" si="1491"/>
        <v>19138.550000000003</v>
      </c>
      <c r="P4917" s="86">
        <f t="shared" si="1492"/>
        <v>0</v>
      </c>
      <c r="Q4917" s="86">
        <f t="shared" si="1493"/>
        <v>0</v>
      </c>
      <c r="R4917" s="86">
        <f t="shared" si="1494"/>
        <v>0</v>
      </c>
      <c r="S4917" s="86">
        <f t="shared" si="1495"/>
        <v>0</v>
      </c>
      <c r="T4917" s="86">
        <f t="shared" si="1496"/>
        <v>19138.550000000003</v>
      </c>
      <c r="U4917" s="87">
        <v>19138.550000000003</v>
      </c>
    </row>
    <row r="4918" spans="1:21" s="30" customFormat="1" ht="24.6" hidden="1" outlineLevel="1" x14ac:dyDescent="0.55000000000000004">
      <c r="A4918" s="27" t="s">
        <v>327</v>
      </c>
      <c r="B4918" s="28"/>
      <c r="C4918" s="27"/>
      <c r="D4918" s="27" t="str">
        <f>"""NAV Direct"",""CRONUS JetCorp USA"",""21"",""1"",""345325"""</f>
        <v>"NAV Direct","CRONUS JetCorp USA","21","1","345325"</v>
      </c>
      <c r="E4918" s="31">
        <f t="shared" si="1488"/>
        <v>0</v>
      </c>
      <c r="F4918" s="31"/>
      <c r="G4918" s="31"/>
      <c r="H4918" s="31"/>
      <c r="I4918" s="56"/>
      <c r="J4918" s="56"/>
      <c r="K4918" s="82" t="str">
        <f t="shared" si="1489"/>
        <v>Invoice</v>
      </c>
      <c r="L4918" s="83" t="str">
        <f>"SI_110859"</f>
        <v>SI_110859</v>
      </c>
      <c r="M4918" s="84">
        <v>43500</v>
      </c>
      <c r="N4918" s="85">
        <f t="shared" si="1490"/>
        <v>312</v>
      </c>
      <c r="O4918" s="86">
        <f t="shared" si="1491"/>
        <v>19120.72</v>
      </c>
      <c r="P4918" s="86">
        <f t="shared" si="1492"/>
        <v>0</v>
      </c>
      <c r="Q4918" s="86">
        <f t="shared" si="1493"/>
        <v>0</v>
      </c>
      <c r="R4918" s="86">
        <f t="shared" si="1494"/>
        <v>0</v>
      </c>
      <c r="S4918" s="86">
        <f t="shared" si="1495"/>
        <v>0</v>
      </c>
      <c r="T4918" s="86">
        <f t="shared" si="1496"/>
        <v>19120.72</v>
      </c>
      <c r="U4918" s="87">
        <v>19120.72</v>
      </c>
    </row>
    <row r="4919" spans="1:21" s="30" customFormat="1" ht="24.6" hidden="1" outlineLevel="1" x14ac:dyDescent="0.55000000000000004">
      <c r="A4919" s="27" t="s">
        <v>327</v>
      </c>
      <c r="B4919" s="28"/>
      <c r="C4919" s="27"/>
      <c r="D4919" s="27" t="str">
        <f>"""NAV Direct"",""CRONUS JetCorp USA"",""21"",""1"",""345415"""</f>
        <v>"NAV Direct","CRONUS JetCorp USA","21","1","345415"</v>
      </c>
      <c r="E4919" s="31" t="str">
        <f t="shared" si="1488"/>
        <v>C100137</v>
      </c>
      <c r="F4919" s="31"/>
      <c r="G4919" s="31"/>
      <c r="H4919" s="31"/>
      <c r="I4919" s="56"/>
      <c r="J4919" s="56"/>
      <c r="K4919" s="82" t="str">
        <f t="shared" si="1489"/>
        <v>Invoice</v>
      </c>
      <c r="L4919" s="83" t="str">
        <f>"SI_110861"</f>
        <v>SI_110861</v>
      </c>
      <c r="M4919" s="84">
        <v>43514</v>
      </c>
      <c r="N4919" s="85">
        <f t="shared" si="1490"/>
        <v>298</v>
      </c>
      <c r="O4919" s="86">
        <f t="shared" si="1491"/>
        <v>19153.990000000002</v>
      </c>
      <c r="P4919" s="86">
        <f t="shared" si="1492"/>
        <v>0</v>
      </c>
      <c r="Q4919" s="86">
        <f t="shared" si="1493"/>
        <v>0</v>
      </c>
      <c r="R4919" s="86">
        <f t="shared" si="1494"/>
        <v>0</v>
      </c>
      <c r="S4919" s="86">
        <f t="shared" si="1495"/>
        <v>0</v>
      </c>
      <c r="T4919" s="86">
        <f t="shared" si="1496"/>
        <v>19153.990000000002</v>
      </c>
      <c r="U4919" s="87">
        <v>19153.990000000002</v>
      </c>
    </row>
    <row r="4920" spans="1:21" s="30" customFormat="1" ht="24.6" hidden="1" outlineLevel="1" x14ac:dyDescent="0.55000000000000004">
      <c r="A4920" s="27" t="s">
        <v>327</v>
      </c>
      <c r="B4920" s="28"/>
      <c r="C4920" s="27"/>
      <c r="D4920" s="27" t="str">
        <f>"""NAV Direct"",""CRONUS JetCorp USA"",""21"",""1"",""345729"""</f>
        <v>"NAV Direct","CRONUS JetCorp USA","21","1","345729"</v>
      </c>
      <c r="E4920" s="31">
        <f t="shared" si="1488"/>
        <v>0</v>
      </c>
      <c r="F4920" s="31"/>
      <c r="G4920" s="31"/>
      <c r="H4920" s="31"/>
      <c r="I4920" s="56"/>
      <c r="J4920" s="56"/>
      <c r="K4920" s="82" t="str">
        <f t="shared" si="1489"/>
        <v>Invoice</v>
      </c>
      <c r="L4920" s="83" t="str">
        <f>"SI_110869"</f>
        <v>SI_110869</v>
      </c>
      <c r="M4920" s="84">
        <v>43539</v>
      </c>
      <c r="N4920" s="85">
        <f t="shared" si="1490"/>
        <v>273</v>
      </c>
      <c r="O4920" s="86">
        <f t="shared" si="1491"/>
        <v>18494.89</v>
      </c>
      <c r="P4920" s="86">
        <f t="shared" si="1492"/>
        <v>0</v>
      </c>
      <c r="Q4920" s="86">
        <f t="shared" si="1493"/>
        <v>0</v>
      </c>
      <c r="R4920" s="86">
        <f t="shared" si="1494"/>
        <v>0</v>
      </c>
      <c r="S4920" s="86">
        <f t="shared" si="1495"/>
        <v>0</v>
      </c>
      <c r="T4920" s="86">
        <f t="shared" si="1496"/>
        <v>18494.89</v>
      </c>
      <c r="U4920" s="87">
        <v>18494.89</v>
      </c>
    </row>
    <row r="4921" spans="1:21" s="30" customFormat="1" ht="24.6" hidden="1" outlineLevel="1" x14ac:dyDescent="0.55000000000000004">
      <c r="A4921" s="27" t="s">
        <v>327</v>
      </c>
      <c r="B4921" s="28"/>
      <c r="C4921" s="27"/>
      <c r="D4921" s="27" t="str">
        <f>"""NAV Direct"",""CRONUS JetCorp USA"",""21"",""1"",""345934"""</f>
        <v>"NAV Direct","CRONUS JetCorp USA","21","1","345934"</v>
      </c>
      <c r="E4921" s="31" t="str">
        <f t="shared" si="1488"/>
        <v>C100137</v>
      </c>
      <c r="F4921" s="31"/>
      <c r="G4921" s="31"/>
      <c r="H4921" s="31"/>
      <c r="I4921" s="56"/>
      <c r="J4921" s="56"/>
      <c r="K4921" s="82" t="str">
        <f t="shared" si="1489"/>
        <v>Invoice</v>
      </c>
      <c r="L4921" s="83" t="str">
        <f>"SI_110874"</f>
        <v>SI_110874</v>
      </c>
      <c r="M4921" s="84">
        <v>43558</v>
      </c>
      <c r="N4921" s="85">
        <f t="shared" si="1490"/>
        <v>254</v>
      </c>
      <c r="O4921" s="86">
        <f t="shared" si="1491"/>
        <v>19316.739999999998</v>
      </c>
      <c r="P4921" s="86">
        <f t="shared" si="1492"/>
        <v>0</v>
      </c>
      <c r="Q4921" s="86">
        <f t="shared" si="1493"/>
        <v>0</v>
      </c>
      <c r="R4921" s="86">
        <f t="shared" si="1494"/>
        <v>0</v>
      </c>
      <c r="S4921" s="86">
        <f t="shared" si="1495"/>
        <v>0</v>
      </c>
      <c r="T4921" s="86">
        <f t="shared" si="1496"/>
        <v>19316.739999999998</v>
      </c>
      <c r="U4921" s="87">
        <v>19316.739999999998</v>
      </c>
    </row>
    <row r="4922" spans="1:21" s="30" customFormat="1" ht="24.6" hidden="1" outlineLevel="1" x14ac:dyDescent="0.55000000000000004">
      <c r="A4922" s="27" t="s">
        <v>327</v>
      </c>
      <c r="B4922" s="28"/>
      <c r="C4922" s="27"/>
      <c r="D4922" s="27" t="str">
        <f>"""NAV Direct"",""CRONUS JetCorp USA"",""21"",""1"",""345975"""</f>
        <v>"NAV Direct","CRONUS JetCorp USA","21","1","345975"</v>
      </c>
      <c r="E4922" s="31">
        <f t="shared" si="1488"/>
        <v>0</v>
      </c>
      <c r="F4922" s="31"/>
      <c r="G4922" s="31"/>
      <c r="H4922" s="31"/>
      <c r="I4922" s="56"/>
      <c r="J4922" s="56"/>
      <c r="K4922" s="82" t="str">
        <f t="shared" si="1489"/>
        <v>Invoice</v>
      </c>
      <c r="L4922" s="83" t="str">
        <f>"SI_110875"</f>
        <v>SI_110875</v>
      </c>
      <c r="M4922" s="84">
        <v>43569</v>
      </c>
      <c r="N4922" s="85">
        <f t="shared" si="1490"/>
        <v>243</v>
      </c>
      <c r="O4922" s="86">
        <f t="shared" si="1491"/>
        <v>19838.89</v>
      </c>
      <c r="P4922" s="86">
        <f t="shared" si="1492"/>
        <v>0</v>
      </c>
      <c r="Q4922" s="86">
        <f t="shared" si="1493"/>
        <v>0</v>
      </c>
      <c r="R4922" s="86">
        <f t="shared" si="1494"/>
        <v>0</v>
      </c>
      <c r="S4922" s="86">
        <f t="shared" si="1495"/>
        <v>0</v>
      </c>
      <c r="T4922" s="86">
        <f t="shared" si="1496"/>
        <v>19838.89</v>
      </c>
      <c r="U4922" s="87">
        <v>19838.89</v>
      </c>
    </row>
    <row r="4923" spans="1:21" s="30" customFormat="1" ht="24.6" hidden="1" outlineLevel="1" x14ac:dyDescent="0.55000000000000004">
      <c r="A4923" s="27" t="s">
        <v>327</v>
      </c>
      <c r="B4923" s="28"/>
      <c r="C4923" s="27"/>
      <c r="D4923" s="27" t="str">
        <f>"""NAV Direct"",""CRONUS JetCorp USA"",""21"",""1"",""347211"""</f>
        <v>"NAV Direct","CRONUS JetCorp USA","21","1","347211"</v>
      </c>
      <c r="E4923" s="31" t="str">
        <f t="shared" si="1488"/>
        <v>C100137</v>
      </c>
      <c r="F4923" s="31"/>
      <c r="G4923" s="31"/>
      <c r="H4923" s="31"/>
      <c r="I4923" s="56"/>
      <c r="J4923" s="56"/>
      <c r="K4923" s="82" t="str">
        <f t="shared" si="1489"/>
        <v>Invoice</v>
      </c>
      <c r="L4923" s="83" t="str">
        <f>"SI_110905"</f>
        <v>SI_110905</v>
      </c>
      <c r="M4923" s="84">
        <v>43675</v>
      </c>
      <c r="N4923" s="85">
        <f t="shared" si="1490"/>
        <v>137</v>
      </c>
      <c r="O4923" s="86">
        <f t="shared" si="1491"/>
        <v>19574.830000000002</v>
      </c>
      <c r="P4923" s="86">
        <f t="shared" si="1492"/>
        <v>0</v>
      </c>
      <c r="Q4923" s="86">
        <f t="shared" si="1493"/>
        <v>0</v>
      </c>
      <c r="R4923" s="86">
        <f t="shared" si="1494"/>
        <v>0</v>
      </c>
      <c r="S4923" s="86">
        <f t="shared" si="1495"/>
        <v>0</v>
      </c>
      <c r="T4923" s="86">
        <f t="shared" si="1496"/>
        <v>19574.830000000002</v>
      </c>
      <c r="U4923" s="87">
        <v>19574.830000000002</v>
      </c>
    </row>
    <row r="4924" spans="1:21" s="30" customFormat="1" ht="24.6" hidden="1" outlineLevel="1" x14ac:dyDescent="0.55000000000000004">
      <c r="A4924" s="27" t="s">
        <v>327</v>
      </c>
      <c r="B4924" s="28"/>
      <c r="C4924" s="27"/>
      <c r="D4924" s="27" t="str">
        <f>"""NAV Direct"",""CRONUS JetCorp USA"",""21"",""1"",""347470"""</f>
        <v>"NAV Direct","CRONUS JetCorp USA","21","1","347470"</v>
      </c>
      <c r="E4924" s="31">
        <f t="shared" si="1488"/>
        <v>0</v>
      </c>
      <c r="F4924" s="31"/>
      <c r="G4924" s="31"/>
      <c r="H4924" s="31"/>
      <c r="I4924" s="56"/>
      <c r="J4924" s="56"/>
      <c r="K4924" s="82" t="str">
        <f t="shared" si="1489"/>
        <v>Invoice</v>
      </c>
      <c r="L4924" s="83" t="str">
        <f>"SI_110912"</f>
        <v>SI_110912</v>
      </c>
      <c r="M4924" s="84">
        <v>43703</v>
      </c>
      <c r="N4924" s="85">
        <f t="shared" si="1490"/>
        <v>109</v>
      </c>
      <c r="O4924" s="86">
        <f t="shared" si="1491"/>
        <v>18774.04</v>
      </c>
      <c r="P4924" s="86">
        <f t="shared" si="1492"/>
        <v>0</v>
      </c>
      <c r="Q4924" s="86">
        <f t="shared" si="1493"/>
        <v>0</v>
      </c>
      <c r="R4924" s="86">
        <f t="shared" si="1494"/>
        <v>0</v>
      </c>
      <c r="S4924" s="86">
        <f t="shared" si="1495"/>
        <v>0</v>
      </c>
      <c r="T4924" s="86">
        <f t="shared" si="1496"/>
        <v>18774.04</v>
      </c>
      <c r="U4924" s="87">
        <v>18774.04</v>
      </c>
    </row>
    <row r="4925" spans="1:21" s="30" customFormat="1" ht="24.6" hidden="1" outlineLevel="1" x14ac:dyDescent="0.55000000000000004">
      <c r="A4925" s="27" t="s">
        <v>327</v>
      </c>
      <c r="B4925" s="28"/>
      <c r="C4925" s="27"/>
      <c r="D4925" s="27" t="str">
        <f>"""NAV Direct"",""CRONUS JetCorp USA"",""21"",""1"",""347768"""</f>
        <v>"NAV Direct","CRONUS JetCorp USA","21","1","347768"</v>
      </c>
      <c r="E4925" s="31" t="str">
        <f t="shared" si="1488"/>
        <v>C100137</v>
      </c>
      <c r="F4925" s="31"/>
      <c r="G4925" s="31"/>
      <c r="H4925" s="31"/>
      <c r="I4925" s="56"/>
      <c r="J4925" s="56"/>
      <c r="K4925" s="82" t="str">
        <f t="shared" si="1489"/>
        <v>Invoice</v>
      </c>
      <c r="L4925" s="83" t="str">
        <f>"SI_110920"</f>
        <v>SI_110920</v>
      </c>
      <c r="M4925" s="84">
        <v>43735</v>
      </c>
      <c r="N4925" s="85">
        <f t="shared" si="1490"/>
        <v>77</v>
      </c>
      <c r="O4925" s="86">
        <f t="shared" si="1491"/>
        <v>18529.84</v>
      </c>
      <c r="P4925" s="86">
        <f t="shared" si="1492"/>
        <v>0</v>
      </c>
      <c r="Q4925" s="86">
        <f t="shared" si="1493"/>
        <v>0</v>
      </c>
      <c r="R4925" s="86">
        <f t="shared" si="1494"/>
        <v>0</v>
      </c>
      <c r="S4925" s="86">
        <f t="shared" si="1495"/>
        <v>18529.84</v>
      </c>
      <c r="T4925" s="86">
        <f t="shared" si="1496"/>
        <v>0</v>
      </c>
      <c r="U4925" s="87">
        <v>18529.84</v>
      </c>
    </row>
    <row r="4926" spans="1:21" s="30" customFormat="1" ht="24.6" hidden="1" outlineLevel="1" x14ac:dyDescent="0.55000000000000004">
      <c r="A4926" s="27" t="s">
        <v>327</v>
      </c>
      <c r="B4926" s="28"/>
      <c r="C4926" s="27"/>
      <c r="D4926" s="27" t="str">
        <f>"""NAV Direct"",""CRONUS JetCorp USA"",""21"",""1"",""347809"""</f>
        <v>"NAV Direct","CRONUS JetCorp USA","21","1","347809"</v>
      </c>
      <c r="E4926" s="31">
        <f t="shared" si="1488"/>
        <v>0</v>
      </c>
      <c r="F4926" s="31"/>
      <c r="G4926" s="31"/>
      <c r="H4926" s="31"/>
      <c r="I4926" s="56"/>
      <c r="J4926" s="56"/>
      <c r="K4926" s="82" t="str">
        <f t="shared" si="1489"/>
        <v>Invoice</v>
      </c>
      <c r="L4926" s="83" t="str">
        <f>"SI_110921"</f>
        <v>SI_110921</v>
      </c>
      <c r="M4926" s="84">
        <v>43737</v>
      </c>
      <c r="N4926" s="85">
        <f t="shared" si="1490"/>
        <v>75</v>
      </c>
      <c r="O4926" s="86">
        <f t="shared" si="1491"/>
        <v>17957.829999999998</v>
      </c>
      <c r="P4926" s="86">
        <f t="shared" si="1492"/>
        <v>0</v>
      </c>
      <c r="Q4926" s="86">
        <f t="shared" si="1493"/>
        <v>0</v>
      </c>
      <c r="R4926" s="86">
        <f t="shared" si="1494"/>
        <v>0</v>
      </c>
      <c r="S4926" s="86">
        <f t="shared" si="1495"/>
        <v>17957.829999999998</v>
      </c>
      <c r="T4926" s="86">
        <f t="shared" si="1496"/>
        <v>0</v>
      </c>
      <c r="U4926" s="87">
        <v>17957.829999999998</v>
      </c>
    </row>
    <row r="4927" spans="1:21" s="30" customFormat="1" ht="24.6" hidden="1" outlineLevel="1" x14ac:dyDescent="0.55000000000000004">
      <c r="A4927" s="27" t="s">
        <v>327</v>
      </c>
      <c r="B4927" s="28"/>
      <c r="C4927" s="27"/>
      <c r="D4927" s="27" t="str">
        <f>"""NAV Direct"",""CRONUS JetCorp USA"",""21"",""1"",""348727"""</f>
        <v>"NAV Direct","CRONUS JetCorp USA","21","1","348727"</v>
      </c>
      <c r="E4927" s="31" t="str">
        <f t="shared" si="1488"/>
        <v>C100137</v>
      </c>
      <c r="F4927" s="31"/>
      <c r="G4927" s="31"/>
      <c r="H4927" s="31"/>
      <c r="I4927" s="56"/>
      <c r="J4927" s="56"/>
      <c r="K4927" s="82" t="str">
        <f t="shared" si="1489"/>
        <v>Invoice</v>
      </c>
      <c r="L4927" s="83" t="str">
        <f>"SI_110943"</f>
        <v>SI_110943</v>
      </c>
      <c r="M4927" s="84">
        <v>43828</v>
      </c>
      <c r="N4927" s="85">
        <f t="shared" si="1490"/>
        <v>-16</v>
      </c>
      <c r="O4927" s="86">
        <f t="shared" si="1491"/>
        <v>20170.62</v>
      </c>
      <c r="P4927" s="86">
        <f t="shared" si="1492"/>
        <v>20170.62</v>
      </c>
      <c r="Q4927" s="86">
        <f t="shared" si="1493"/>
        <v>0</v>
      </c>
      <c r="R4927" s="86">
        <f t="shared" si="1494"/>
        <v>0</v>
      </c>
      <c r="S4927" s="86">
        <f t="shared" si="1495"/>
        <v>0</v>
      </c>
      <c r="T4927" s="86">
        <f t="shared" si="1496"/>
        <v>0</v>
      </c>
      <c r="U4927" s="87">
        <v>20170.62</v>
      </c>
    </row>
    <row r="4928" spans="1:21" s="30" customFormat="1" ht="24.6" hidden="1" outlineLevel="1" x14ac:dyDescent="0.55000000000000004">
      <c r="A4928" s="27" t="s">
        <v>327</v>
      </c>
      <c r="B4928" s="28"/>
      <c r="C4928" s="27"/>
      <c r="D4928" s="27" t="str">
        <f>"""NAV Direct"",""CRONUS JetCorp USA"",""21"",""1"",""349189"""</f>
        <v>"NAV Direct","CRONUS JetCorp USA","21","1","349189"</v>
      </c>
      <c r="E4928" s="31">
        <f t="shared" si="1488"/>
        <v>0</v>
      </c>
      <c r="F4928" s="31"/>
      <c r="G4928" s="31"/>
      <c r="H4928" s="31"/>
      <c r="I4928" s="56"/>
      <c r="J4928" s="56"/>
      <c r="K4928" s="82" t="str">
        <f t="shared" si="1489"/>
        <v>Invoice</v>
      </c>
      <c r="L4928" s="83" t="str">
        <f>"SI_110955"</f>
        <v>SI_110955</v>
      </c>
      <c r="M4928" s="84">
        <v>42055</v>
      </c>
      <c r="N4928" s="85">
        <f t="shared" si="1490"/>
        <v>1757</v>
      </c>
      <c r="O4928" s="86">
        <f t="shared" si="1491"/>
        <v>19851.79</v>
      </c>
      <c r="P4928" s="86">
        <f t="shared" si="1492"/>
        <v>0</v>
      </c>
      <c r="Q4928" s="86">
        <f t="shared" si="1493"/>
        <v>0</v>
      </c>
      <c r="R4928" s="86">
        <f t="shared" si="1494"/>
        <v>0</v>
      </c>
      <c r="S4928" s="86">
        <f t="shared" si="1495"/>
        <v>0</v>
      </c>
      <c r="T4928" s="86">
        <f t="shared" si="1496"/>
        <v>19851.79</v>
      </c>
      <c r="U4928" s="87">
        <v>19851.79</v>
      </c>
    </row>
    <row r="4929" spans="1:22" s="30" customFormat="1" ht="24.6" hidden="1" outlineLevel="1" x14ac:dyDescent="0.55000000000000004">
      <c r="A4929" s="27" t="s">
        <v>327</v>
      </c>
      <c r="B4929" s="28"/>
      <c r="C4929" s="27"/>
      <c r="D4929" s="27" t="str">
        <f>"""NAV Direct"",""CRONUS JetCorp USA"",""21"",""1"",""349515"""</f>
        <v>"NAV Direct","CRONUS JetCorp USA","21","1","349515"</v>
      </c>
      <c r="E4929" s="31" t="str">
        <f t="shared" si="1488"/>
        <v>C100137</v>
      </c>
      <c r="F4929" s="31"/>
      <c r="G4929" s="31"/>
      <c r="H4929" s="31"/>
      <c r="I4929" s="56"/>
      <c r="J4929" s="56"/>
      <c r="K4929" s="82" t="str">
        <f t="shared" si="1489"/>
        <v>Invoice</v>
      </c>
      <c r="L4929" s="83" t="str">
        <f>"SI_110963"</f>
        <v>SI_110963</v>
      </c>
      <c r="M4929" s="84">
        <v>42084</v>
      </c>
      <c r="N4929" s="85">
        <f t="shared" si="1490"/>
        <v>1728</v>
      </c>
      <c r="O4929" s="86">
        <f t="shared" si="1491"/>
        <v>18660.27</v>
      </c>
      <c r="P4929" s="86">
        <f t="shared" si="1492"/>
        <v>0</v>
      </c>
      <c r="Q4929" s="86">
        <f t="shared" si="1493"/>
        <v>0</v>
      </c>
      <c r="R4929" s="86">
        <f t="shared" si="1494"/>
        <v>0</v>
      </c>
      <c r="S4929" s="86">
        <f t="shared" si="1495"/>
        <v>0</v>
      </c>
      <c r="T4929" s="86">
        <f t="shared" si="1496"/>
        <v>18660.27</v>
      </c>
      <c r="U4929" s="87">
        <v>18660.27</v>
      </c>
    </row>
    <row r="4930" spans="1:22" s="30" customFormat="1" ht="24.6" hidden="1" outlineLevel="1" x14ac:dyDescent="0.55000000000000004">
      <c r="A4930" s="27" t="s">
        <v>327</v>
      </c>
      <c r="B4930" s="28"/>
      <c r="C4930" s="27"/>
      <c r="D4930" s="27" t="str">
        <f>"""NAV Direct"",""CRONUS JetCorp USA"",""21"",""1"",""349630"""</f>
        <v>"NAV Direct","CRONUS JetCorp USA","21","1","349630"</v>
      </c>
      <c r="E4930" s="31">
        <f t="shared" si="1488"/>
        <v>0</v>
      </c>
      <c r="F4930" s="31"/>
      <c r="G4930" s="31"/>
      <c r="H4930" s="31"/>
      <c r="I4930" s="56"/>
      <c r="J4930" s="56"/>
      <c r="K4930" s="82" t="str">
        <f t="shared" si="1489"/>
        <v>Invoice</v>
      </c>
      <c r="L4930" s="83" t="str">
        <f>"SI_110966"</f>
        <v>SI_110966</v>
      </c>
      <c r="M4930" s="84">
        <v>42087</v>
      </c>
      <c r="N4930" s="85">
        <f t="shared" si="1490"/>
        <v>1725</v>
      </c>
      <c r="O4930" s="86">
        <f t="shared" si="1491"/>
        <v>19256.22</v>
      </c>
      <c r="P4930" s="86">
        <f t="shared" si="1492"/>
        <v>0</v>
      </c>
      <c r="Q4930" s="86">
        <f t="shared" si="1493"/>
        <v>0</v>
      </c>
      <c r="R4930" s="86">
        <f t="shared" si="1494"/>
        <v>0</v>
      </c>
      <c r="S4930" s="86">
        <f t="shared" si="1495"/>
        <v>0</v>
      </c>
      <c r="T4930" s="86">
        <f t="shared" si="1496"/>
        <v>19256.22</v>
      </c>
      <c r="U4930" s="87">
        <v>19256.22</v>
      </c>
    </row>
    <row r="4931" spans="1:22" s="30" customFormat="1" ht="24.6" hidden="1" outlineLevel="1" x14ac:dyDescent="0.55000000000000004">
      <c r="A4931" s="27" t="s">
        <v>327</v>
      </c>
      <c r="B4931" s="28"/>
      <c r="C4931" s="27"/>
      <c r="D4931" s="27" t="str">
        <f>"""NAV Direct"",""CRONUS JetCorp USA"",""21"",""1"",""349673"""</f>
        <v>"NAV Direct","CRONUS JetCorp USA","21","1","349673"</v>
      </c>
      <c r="E4931" s="31" t="str">
        <f t="shared" si="1488"/>
        <v>C100137</v>
      </c>
      <c r="F4931" s="31"/>
      <c r="G4931" s="31"/>
      <c r="H4931" s="31"/>
      <c r="I4931" s="56"/>
      <c r="J4931" s="56"/>
      <c r="K4931" s="82" t="str">
        <f t="shared" si="1489"/>
        <v>Invoice</v>
      </c>
      <c r="L4931" s="83" t="str">
        <f>"SI_110967"</f>
        <v>SI_110967</v>
      </c>
      <c r="M4931" s="84">
        <v>42094</v>
      </c>
      <c r="N4931" s="85">
        <f t="shared" si="1490"/>
        <v>1718</v>
      </c>
      <c r="O4931" s="86">
        <f t="shared" si="1491"/>
        <v>19454.72</v>
      </c>
      <c r="P4931" s="86">
        <f t="shared" si="1492"/>
        <v>0</v>
      </c>
      <c r="Q4931" s="86">
        <f t="shared" si="1493"/>
        <v>0</v>
      </c>
      <c r="R4931" s="86">
        <f t="shared" si="1494"/>
        <v>0</v>
      </c>
      <c r="S4931" s="86">
        <f t="shared" si="1495"/>
        <v>0</v>
      </c>
      <c r="T4931" s="86">
        <f t="shared" si="1496"/>
        <v>19454.72</v>
      </c>
      <c r="U4931" s="87">
        <v>19454.72</v>
      </c>
    </row>
    <row r="4932" spans="1:22" s="30" customFormat="1" ht="24.6" hidden="1" outlineLevel="1" x14ac:dyDescent="0.55000000000000004">
      <c r="A4932" s="27" t="s">
        <v>327</v>
      </c>
      <c r="B4932" s="28"/>
      <c r="C4932" s="27"/>
      <c r="D4932" s="27" t="str">
        <f>"""NAV Direct"",""CRONUS JetCorp USA"",""21"",""1"",""350341"""</f>
        <v>"NAV Direct","CRONUS JetCorp USA","21","1","350341"</v>
      </c>
      <c r="E4932" s="31">
        <f t="shared" si="1488"/>
        <v>0</v>
      </c>
      <c r="F4932" s="31"/>
      <c r="G4932" s="31"/>
      <c r="H4932" s="31"/>
      <c r="I4932" s="56"/>
      <c r="J4932" s="56"/>
      <c r="K4932" s="82" t="str">
        <f t="shared" si="1489"/>
        <v>Invoice</v>
      </c>
      <c r="L4932" s="83" t="str">
        <f>"SI_110983"</f>
        <v>SI_110983</v>
      </c>
      <c r="M4932" s="84">
        <v>42173</v>
      </c>
      <c r="N4932" s="85">
        <f t="shared" si="1490"/>
        <v>1639</v>
      </c>
      <c r="O4932" s="86">
        <f t="shared" si="1491"/>
        <v>23549.4</v>
      </c>
      <c r="P4932" s="86">
        <f t="shared" si="1492"/>
        <v>0</v>
      </c>
      <c r="Q4932" s="86">
        <f t="shared" si="1493"/>
        <v>0</v>
      </c>
      <c r="R4932" s="86">
        <f t="shared" si="1494"/>
        <v>0</v>
      </c>
      <c r="S4932" s="86">
        <f t="shared" si="1495"/>
        <v>0</v>
      </c>
      <c r="T4932" s="86">
        <f t="shared" si="1496"/>
        <v>23549.4</v>
      </c>
      <c r="U4932" s="87">
        <v>23549.4</v>
      </c>
    </row>
    <row r="4933" spans="1:22" s="30" customFormat="1" ht="24.6" hidden="1" outlineLevel="1" x14ac:dyDescent="0.55000000000000004">
      <c r="A4933" s="27" t="s">
        <v>327</v>
      </c>
      <c r="B4933" s="28"/>
      <c r="C4933" s="27"/>
      <c r="D4933" s="27" t="str">
        <f>"""NAV Direct"",""CRONUS JetCorp USA"",""21"",""1"",""350425"""</f>
        <v>"NAV Direct","CRONUS JetCorp USA","21","1","350425"</v>
      </c>
      <c r="E4933" s="31" t="str">
        <f t="shared" si="1488"/>
        <v>C100137</v>
      </c>
      <c r="F4933" s="31"/>
      <c r="G4933" s="31"/>
      <c r="H4933" s="31"/>
      <c r="I4933" s="56"/>
      <c r="J4933" s="56"/>
      <c r="K4933" s="82" t="str">
        <f t="shared" si="1489"/>
        <v>Invoice</v>
      </c>
      <c r="L4933" s="83" t="str">
        <f>"SI_110985"</f>
        <v>SI_110985</v>
      </c>
      <c r="M4933" s="84">
        <v>42181</v>
      </c>
      <c r="N4933" s="85">
        <f t="shared" si="1490"/>
        <v>1631</v>
      </c>
      <c r="O4933" s="86">
        <f t="shared" si="1491"/>
        <v>24551.64</v>
      </c>
      <c r="P4933" s="86">
        <f t="shared" si="1492"/>
        <v>0</v>
      </c>
      <c r="Q4933" s="86">
        <f t="shared" si="1493"/>
        <v>0</v>
      </c>
      <c r="R4933" s="86">
        <f t="shared" si="1494"/>
        <v>0</v>
      </c>
      <c r="S4933" s="86">
        <f t="shared" si="1495"/>
        <v>0</v>
      </c>
      <c r="T4933" s="86">
        <f t="shared" si="1496"/>
        <v>24551.64</v>
      </c>
      <c r="U4933" s="87">
        <v>24551.64</v>
      </c>
    </row>
    <row r="4934" spans="1:22" s="30" customFormat="1" ht="24.6" hidden="1" outlineLevel="1" x14ac:dyDescent="0.55000000000000004">
      <c r="A4934" s="27" t="s">
        <v>327</v>
      </c>
      <c r="B4934" s="28"/>
      <c r="C4934" s="27"/>
      <c r="D4934" s="27" t="str">
        <f>"""NAV Direct"",""CRONUS JetCorp USA"",""21"",""1"",""350581"""</f>
        <v>"NAV Direct","CRONUS JetCorp USA","21","1","350581"</v>
      </c>
      <c r="E4934" s="31">
        <f t="shared" si="1488"/>
        <v>0</v>
      </c>
      <c r="F4934" s="31"/>
      <c r="G4934" s="31"/>
      <c r="H4934" s="31"/>
      <c r="I4934" s="56"/>
      <c r="J4934" s="56"/>
      <c r="K4934" s="82" t="str">
        <f t="shared" si="1489"/>
        <v>Invoice</v>
      </c>
      <c r="L4934" s="83" t="str">
        <f>"SI_110989"</f>
        <v>SI_110989</v>
      </c>
      <c r="M4934" s="84">
        <v>42190</v>
      </c>
      <c r="N4934" s="85">
        <f t="shared" si="1490"/>
        <v>1622</v>
      </c>
      <c r="O4934" s="86">
        <f t="shared" si="1491"/>
        <v>24300.89</v>
      </c>
      <c r="P4934" s="86">
        <f t="shared" si="1492"/>
        <v>0</v>
      </c>
      <c r="Q4934" s="86">
        <f t="shared" si="1493"/>
        <v>0</v>
      </c>
      <c r="R4934" s="86">
        <f t="shared" si="1494"/>
        <v>0</v>
      </c>
      <c r="S4934" s="86">
        <f t="shared" si="1495"/>
        <v>0</v>
      </c>
      <c r="T4934" s="86">
        <f t="shared" si="1496"/>
        <v>24300.89</v>
      </c>
      <c r="U4934" s="87">
        <v>24300.89</v>
      </c>
    </row>
    <row r="4935" spans="1:22" s="30" customFormat="1" ht="24.6" hidden="1" outlineLevel="1" x14ac:dyDescent="0.55000000000000004">
      <c r="A4935" s="27" t="s">
        <v>327</v>
      </c>
      <c r="B4935" s="28"/>
      <c r="C4935" s="27"/>
      <c r="D4935" s="27" t="str">
        <f>"""NAV Direct"",""CRONUS JetCorp USA"",""21"",""1"",""351660"""</f>
        <v>"NAV Direct","CRONUS JetCorp USA","21","1","351660"</v>
      </c>
      <c r="E4935" s="31" t="str">
        <f t="shared" si="1488"/>
        <v>C100137</v>
      </c>
      <c r="F4935" s="31"/>
      <c r="G4935" s="31"/>
      <c r="H4935" s="31"/>
      <c r="I4935" s="56"/>
      <c r="J4935" s="56"/>
      <c r="K4935" s="82" t="str">
        <f t="shared" si="1489"/>
        <v>Invoice</v>
      </c>
      <c r="L4935" s="83" t="str">
        <f>"SI_111016"</f>
        <v>SI_111016</v>
      </c>
      <c r="M4935" s="84">
        <v>42296</v>
      </c>
      <c r="N4935" s="85">
        <f t="shared" si="1490"/>
        <v>1516</v>
      </c>
      <c r="O4935" s="86">
        <f t="shared" si="1491"/>
        <v>19001.509999999998</v>
      </c>
      <c r="P4935" s="86">
        <f t="shared" si="1492"/>
        <v>0</v>
      </c>
      <c r="Q4935" s="86">
        <f t="shared" si="1493"/>
        <v>0</v>
      </c>
      <c r="R4935" s="86">
        <f t="shared" si="1494"/>
        <v>0</v>
      </c>
      <c r="S4935" s="86">
        <f t="shared" si="1495"/>
        <v>0</v>
      </c>
      <c r="T4935" s="86">
        <f t="shared" si="1496"/>
        <v>19001.509999999998</v>
      </c>
      <c r="U4935" s="87">
        <v>19001.509999999998</v>
      </c>
    </row>
    <row r="4936" spans="1:22" s="22" customFormat="1" ht="20.399999999999999" collapsed="1" x14ac:dyDescent="0.45">
      <c r="A4936" s="12" t="s">
        <v>327</v>
      </c>
      <c r="B4936" s="19"/>
      <c r="C4936" s="12"/>
      <c r="D4936" s="12"/>
      <c r="E4936" s="23"/>
      <c r="F4936" s="23"/>
      <c r="G4936" s="23"/>
      <c r="H4936" s="23"/>
      <c r="I4936" s="49"/>
      <c r="J4936" s="88"/>
      <c r="K4936" s="88"/>
      <c r="L4936" s="89"/>
      <c r="M4936" s="89"/>
      <c r="N4936" s="89"/>
      <c r="O4936" s="89"/>
      <c r="P4936" s="89"/>
      <c r="Q4936" s="90"/>
      <c r="R4936" s="90"/>
      <c r="S4936" s="91"/>
      <c r="T4936" s="92"/>
      <c r="U4936" s="92"/>
    </row>
    <row r="4937" spans="1:22" s="22" customFormat="1" ht="20.399999999999999" x14ac:dyDescent="0.45">
      <c r="A4937" s="12" t="s">
        <v>327</v>
      </c>
      <c r="B4937" s="19"/>
      <c r="C4937" s="12"/>
      <c r="D4937" s="12"/>
      <c r="E4937" s="23"/>
      <c r="F4937" s="23"/>
      <c r="G4937" s="23"/>
      <c r="H4937" s="23"/>
      <c r="I4937" s="49"/>
      <c r="J4937" s="88"/>
      <c r="K4937" s="88"/>
      <c r="L4937" s="89"/>
      <c r="M4937" s="89"/>
      <c r="N4937" s="89"/>
      <c r="O4937" s="89"/>
      <c r="P4937" s="89"/>
      <c r="Q4937" s="90"/>
      <c r="R4937" s="90"/>
      <c r="S4937" s="91"/>
      <c r="T4937" s="92"/>
      <c r="U4937" s="92"/>
    </row>
    <row r="4938" spans="1:22" s="26" customFormat="1" ht="24.6" x14ac:dyDescent="0.55000000000000004">
      <c r="A4938" s="27" t="s">
        <v>327</v>
      </c>
      <c r="B4938" s="28"/>
      <c r="C4938" s="27" t="str">
        <f>"""NAV Direct"",""CRONUS JetCorp USA"",""18"",""1"",""C100138"""</f>
        <v>"NAV Direct","CRONUS JetCorp USA","18","1","C100138"</v>
      </c>
      <c r="D4938" s="27"/>
      <c r="E4938" s="28" t="str">
        <f>H4938</f>
        <v>C100138</v>
      </c>
      <c r="F4938" s="28"/>
      <c r="G4938" s="28"/>
      <c r="H4938" s="28" t="str">
        <f>"C100138"</f>
        <v>C100138</v>
      </c>
      <c r="I4938" s="116" t="str">
        <f>"C100138  -  Dantons"</f>
        <v>C100138  -  Dantons</v>
      </c>
      <c r="J4938" s="117" t="str">
        <f>""</f>
        <v/>
      </c>
      <c r="K4938" s="118"/>
      <c r="L4938" s="119">
        <f>SUBTOTAL(3,L4939:L5028)</f>
        <v>86</v>
      </c>
      <c r="M4938" s="118"/>
      <c r="N4938" s="118"/>
      <c r="O4938" s="120">
        <f t="shared" ref="O4938:T4938" si="1497">SUBTOTAL(9,O4939:O5028)</f>
        <v>936844.74000000011</v>
      </c>
      <c r="P4938" s="120">
        <f t="shared" si="1497"/>
        <v>16638.97</v>
      </c>
      <c r="Q4938" s="120">
        <f t="shared" si="1497"/>
        <v>-167.75</v>
      </c>
      <c r="R4938" s="120">
        <f t="shared" si="1497"/>
        <v>0</v>
      </c>
      <c r="S4938" s="120">
        <f t="shared" si="1497"/>
        <v>-128.88999999999999</v>
      </c>
      <c r="T4938" s="120">
        <f t="shared" si="1497"/>
        <v>920502.41000000015</v>
      </c>
      <c r="U4938" s="81"/>
    </row>
    <row r="4939" spans="1:22" s="26" customFormat="1" ht="24.6" x14ac:dyDescent="0.55000000000000004">
      <c r="A4939" s="27" t="s">
        <v>327</v>
      </c>
      <c r="B4939" s="28"/>
      <c r="C4939" s="27" t="str">
        <f>C4938</f>
        <v>"NAV Direct","CRONUS JetCorp USA","18","1","C100138"</v>
      </c>
      <c r="D4939" s="27"/>
      <c r="E4939" s="28" t="str">
        <f>E4938</f>
        <v>C100138</v>
      </c>
      <c r="F4939" s="28"/>
      <c r="G4939" s="28"/>
      <c r="H4939" s="28"/>
      <c r="I4939" s="121" t="str">
        <f>"Contact: Imelda Hensley"</f>
        <v>Contact: Imelda Hensley</v>
      </c>
      <c r="J4939" s="121"/>
      <c r="K4939" s="122"/>
      <c r="L4939" s="123"/>
      <c r="M4939" s="123"/>
      <c r="N4939" s="124"/>
      <c r="O4939" s="124"/>
      <c r="P4939" s="123"/>
      <c r="Q4939" s="125"/>
      <c r="R4939" s="126"/>
      <c r="S4939" s="126"/>
      <c r="T4939" s="125"/>
      <c r="U4939" s="81"/>
    </row>
    <row r="4940" spans="1:22" s="26" customFormat="1" ht="24.6" x14ac:dyDescent="0.55000000000000004">
      <c r="A4940" s="27" t="s">
        <v>327</v>
      </c>
      <c r="B4940" s="28"/>
      <c r="C4940" s="27" t="str">
        <f>C4939</f>
        <v>"NAV Direct","CRONUS JetCorp USA","18","1","C100138"</v>
      </c>
      <c r="D4940" s="27"/>
      <c r="E4940" s="28" t="str">
        <f>E4939</f>
        <v>C100138</v>
      </c>
      <c r="F4940" s="28"/>
      <c r="G4940" s="28"/>
      <c r="H4940" s="28"/>
      <c r="I4940" s="121" t="str">
        <f>"Dantons@Cronus.com"</f>
        <v>Dantons@Cronus.com</v>
      </c>
      <c r="J4940" s="121"/>
      <c r="K4940" s="122"/>
      <c r="L4940" s="124"/>
      <c r="M4940" s="124"/>
      <c r="N4940" s="124"/>
      <c r="O4940" s="124"/>
      <c r="P4940" s="123"/>
      <c r="Q4940" s="125"/>
      <c r="R4940" s="126"/>
      <c r="S4940" s="126"/>
      <c r="T4940" s="125"/>
      <c r="U4940" s="81"/>
    </row>
    <row r="4941" spans="1:22" ht="12.75" hidden="1" customHeight="1" outlineLevel="1" x14ac:dyDescent="0.45">
      <c r="A4941" s="12" t="s">
        <v>328</v>
      </c>
      <c r="B4941" s="19"/>
      <c r="E4941" s="19"/>
      <c r="F4941" s="19"/>
      <c r="G4941" s="19"/>
      <c r="H4941" s="19"/>
      <c r="I4941" s="61"/>
      <c r="J4941" s="61"/>
      <c r="K4941" s="61"/>
      <c r="L4941" s="61"/>
      <c r="M4941" s="61"/>
      <c r="N4941" s="61"/>
      <c r="O4941" s="61"/>
      <c r="P4941" s="61"/>
      <c r="Q4941" s="61"/>
      <c r="R4941" s="61"/>
      <c r="S4941" s="61"/>
      <c r="T4941" s="61"/>
      <c r="U4941" s="61"/>
      <c r="V4941" s="21"/>
    </row>
    <row r="4942" spans="1:22" s="30" customFormat="1" ht="24.6" hidden="1" outlineLevel="1" x14ac:dyDescent="0.55000000000000004">
      <c r="A4942" s="27" t="s">
        <v>327</v>
      </c>
      <c r="B4942" s="28"/>
      <c r="C4942" s="27"/>
      <c r="D4942" s="27" t="str">
        <f>"""NAV Direct"",""CRONUS JetCorp USA"",""21"",""1"",""72008"""</f>
        <v>"NAV Direct","CRONUS JetCorp USA","21","1","72008"</v>
      </c>
      <c r="E4942" s="31" t="str">
        <f t="shared" ref="E4942:E4973" si="1498">E4940</f>
        <v>C100138</v>
      </c>
      <c r="F4942" s="31"/>
      <c r="G4942" s="31"/>
      <c r="H4942" s="31"/>
      <c r="I4942" s="56"/>
      <c r="J4942" s="56"/>
      <c r="K4942" s="82" t="str">
        <f t="shared" ref="K4942:K4973" si="1499">"Invoice"</f>
        <v>Invoice</v>
      </c>
      <c r="L4942" s="83" t="str">
        <f>"SI_105760"</f>
        <v>SI_105760</v>
      </c>
      <c r="M4942" s="84">
        <v>42304</v>
      </c>
      <c r="N4942" s="85">
        <f t="shared" ref="N4942:N4973" si="1500">StartDate-$M4942+1</f>
        <v>1508</v>
      </c>
      <c r="O4942" s="86">
        <f t="shared" ref="O4942:O4973" si="1501">SUM(P4942:T4942)</f>
        <v>9854.32</v>
      </c>
      <c r="P4942" s="86">
        <f t="shared" ref="P4942:P4973" si="1502">IF($M4942&gt;=$P$18,U4942,0)</f>
        <v>0</v>
      </c>
      <c r="Q4942" s="86">
        <f t="shared" ref="Q4942:Q4973" si="1503">IF(AND($M4942&gt;=$Q$16,$M4942&lt;=$Q$18),U4942,0)</f>
        <v>0</v>
      </c>
      <c r="R4942" s="86">
        <f t="shared" ref="R4942:R4973" si="1504">IF(AND($M4942&gt;=$R$16,$M4942&lt;=$R$18),U4942,0)</f>
        <v>0</v>
      </c>
      <c r="S4942" s="86">
        <f t="shared" ref="S4942:S4973" si="1505">IF(AND($M4942&gt;=$S$16,$M4942&lt;=$S$18),U4942,0)</f>
        <v>0</v>
      </c>
      <c r="T4942" s="86">
        <f t="shared" ref="T4942:T4973" si="1506">IF($M4942&lt;=$T$18,U4942,0)</f>
        <v>9854.32</v>
      </c>
      <c r="U4942" s="87">
        <v>9854.32</v>
      </c>
    </row>
    <row r="4943" spans="1:22" s="30" customFormat="1" ht="24.6" hidden="1" outlineLevel="1" x14ac:dyDescent="0.55000000000000004">
      <c r="A4943" s="27" t="s">
        <v>327</v>
      </c>
      <c r="B4943" s="28"/>
      <c r="C4943" s="27"/>
      <c r="D4943" s="27" t="str">
        <f>"""NAV Direct"",""CRONUS JetCorp USA"",""21"",""1"",""72388"""</f>
        <v>"NAV Direct","CRONUS JetCorp USA","21","1","72388"</v>
      </c>
      <c r="E4943" s="31">
        <f t="shared" si="1498"/>
        <v>0</v>
      </c>
      <c r="F4943" s="31"/>
      <c r="G4943" s="31"/>
      <c r="H4943" s="31"/>
      <c r="I4943" s="56"/>
      <c r="J4943" s="56"/>
      <c r="K4943" s="82" t="str">
        <f t="shared" si="1499"/>
        <v>Invoice</v>
      </c>
      <c r="L4943" s="83" t="str">
        <f>"SI_105772"</f>
        <v>SI_105772</v>
      </c>
      <c r="M4943" s="84">
        <v>42338</v>
      </c>
      <c r="N4943" s="85">
        <f t="shared" si="1500"/>
        <v>1474</v>
      </c>
      <c r="O4943" s="86">
        <f t="shared" si="1501"/>
        <v>9854.7000000000007</v>
      </c>
      <c r="P4943" s="86">
        <f t="shared" si="1502"/>
        <v>0</v>
      </c>
      <c r="Q4943" s="86">
        <f t="shared" si="1503"/>
        <v>0</v>
      </c>
      <c r="R4943" s="86">
        <f t="shared" si="1504"/>
        <v>0</v>
      </c>
      <c r="S4943" s="86">
        <f t="shared" si="1505"/>
        <v>0</v>
      </c>
      <c r="T4943" s="86">
        <f t="shared" si="1506"/>
        <v>9854.7000000000007</v>
      </c>
      <c r="U4943" s="87">
        <v>9854.7000000000007</v>
      </c>
    </row>
    <row r="4944" spans="1:22" s="30" customFormat="1" ht="24.6" hidden="1" outlineLevel="1" x14ac:dyDescent="0.55000000000000004">
      <c r="A4944" s="27" t="s">
        <v>327</v>
      </c>
      <c r="B4944" s="28"/>
      <c r="C4944" s="27"/>
      <c r="D4944" s="27" t="str">
        <f>"""NAV Direct"",""CRONUS JetCorp USA"",""21"",""1"",""72532"""</f>
        <v>"NAV Direct","CRONUS JetCorp USA","21","1","72532"</v>
      </c>
      <c r="E4944" s="31" t="str">
        <f t="shared" si="1498"/>
        <v>C100138</v>
      </c>
      <c r="F4944" s="31"/>
      <c r="G4944" s="31"/>
      <c r="H4944" s="31"/>
      <c r="I4944" s="56"/>
      <c r="J4944" s="56"/>
      <c r="K4944" s="82" t="str">
        <f t="shared" si="1499"/>
        <v>Invoice</v>
      </c>
      <c r="L4944" s="83" t="str">
        <f>"SI_105776"</f>
        <v>SI_105776</v>
      </c>
      <c r="M4944" s="84">
        <v>42361</v>
      </c>
      <c r="N4944" s="85">
        <f t="shared" si="1500"/>
        <v>1451</v>
      </c>
      <c r="O4944" s="86">
        <f t="shared" si="1501"/>
        <v>11628.34</v>
      </c>
      <c r="P4944" s="86">
        <f t="shared" si="1502"/>
        <v>0</v>
      </c>
      <c r="Q4944" s="86">
        <f t="shared" si="1503"/>
        <v>0</v>
      </c>
      <c r="R4944" s="86">
        <f t="shared" si="1504"/>
        <v>0</v>
      </c>
      <c r="S4944" s="86">
        <f t="shared" si="1505"/>
        <v>0</v>
      </c>
      <c r="T4944" s="86">
        <f t="shared" si="1506"/>
        <v>11628.34</v>
      </c>
      <c r="U4944" s="87">
        <v>11628.34</v>
      </c>
    </row>
    <row r="4945" spans="1:21" s="30" customFormat="1" ht="24.6" hidden="1" outlineLevel="1" x14ac:dyDescent="0.55000000000000004">
      <c r="A4945" s="27" t="s">
        <v>327</v>
      </c>
      <c r="B4945" s="28"/>
      <c r="C4945" s="27"/>
      <c r="D4945" s="27" t="str">
        <f>"""NAV Direct"",""CRONUS JetCorp USA"",""21"",""1"",""72616"""</f>
        <v>"NAV Direct","CRONUS JetCorp USA","21","1","72616"</v>
      </c>
      <c r="E4945" s="31">
        <f t="shared" si="1498"/>
        <v>0</v>
      </c>
      <c r="F4945" s="31"/>
      <c r="G4945" s="31"/>
      <c r="H4945" s="31"/>
      <c r="I4945" s="56"/>
      <c r="J4945" s="56"/>
      <c r="K4945" s="82" t="str">
        <f t="shared" si="1499"/>
        <v>Invoice</v>
      </c>
      <c r="L4945" s="83" t="str">
        <f>"SI_105778"</f>
        <v>SI_105778</v>
      </c>
      <c r="M4945" s="84">
        <v>42364</v>
      </c>
      <c r="N4945" s="85">
        <f t="shared" si="1500"/>
        <v>1448</v>
      </c>
      <c r="O4945" s="86">
        <f t="shared" si="1501"/>
        <v>11628.539999999999</v>
      </c>
      <c r="P4945" s="86">
        <f t="shared" si="1502"/>
        <v>0</v>
      </c>
      <c r="Q4945" s="86">
        <f t="shared" si="1503"/>
        <v>0</v>
      </c>
      <c r="R4945" s="86">
        <f t="shared" si="1504"/>
        <v>0</v>
      </c>
      <c r="S4945" s="86">
        <f t="shared" si="1505"/>
        <v>0</v>
      </c>
      <c r="T4945" s="86">
        <f t="shared" si="1506"/>
        <v>11628.539999999999</v>
      </c>
      <c r="U4945" s="87">
        <v>11628.539999999999</v>
      </c>
    </row>
    <row r="4946" spans="1:21" s="30" customFormat="1" ht="24.6" hidden="1" outlineLevel="1" x14ac:dyDescent="0.55000000000000004">
      <c r="A4946" s="27" t="s">
        <v>327</v>
      </c>
      <c r="B4946" s="28"/>
      <c r="C4946" s="27"/>
      <c r="D4946" s="27" t="str">
        <f>"""NAV Direct"",""CRONUS JetCorp USA"",""21"",""1"",""72725"""</f>
        <v>"NAV Direct","CRONUS JetCorp USA","21","1","72725"</v>
      </c>
      <c r="E4946" s="31" t="str">
        <f t="shared" si="1498"/>
        <v>C100138</v>
      </c>
      <c r="F4946" s="31"/>
      <c r="G4946" s="31"/>
      <c r="H4946" s="31"/>
      <c r="I4946" s="56"/>
      <c r="J4946" s="56"/>
      <c r="K4946" s="82" t="str">
        <f t="shared" si="1499"/>
        <v>Invoice</v>
      </c>
      <c r="L4946" s="83" t="str">
        <f>"SI_105781"</f>
        <v>SI_105781</v>
      </c>
      <c r="M4946" s="84">
        <v>42738</v>
      </c>
      <c r="N4946" s="85">
        <f t="shared" si="1500"/>
        <v>1074</v>
      </c>
      <c r="O4946" s="86">
        <f t="shared" si="1501"/>
        <v>11628.35</v>
      </c>
      <c r="P4946" s="86">
        <f t="shared" si="1502"/>
        <v>0</v>
      </c>
      <c r="Q4946" s="86">
        <f t="shared" si="1503"/>
        <v>0</v>
      </c>
      <c r="R4946" s="86">
        <f t="shared" si="1504"/>
        <v>0</v>
      </c>
      <c r="S4946" s="86">
        <f t="shared" si="1505"/>
        <v>0</v>
      </c>
      <c r="T4946" s="86">
        <f t="shared" si="1506"/>
        <v>11628.35</v>
      </c>
      <c r="U4946" s="87">
        <v>11628.35</v>
      </c>
    </row>
    <row r="4947" spans="1:21" s="30" customFormat="1" ht="24.6" hidden="1" outlineLevel="1" x14ac:dyDescent="0.55000000000000004">
      <c r="A4947" s="27" t="s">
        <v>327</v>
      </c>
      <c r="B4947" s="28"/>
      <c r="C4947" s="27"/>
      <c r="D4947" s="27" t="str">
        <f>"""NAV Direct"",""CRONUS JetCorp USA"",""21"",""1"",""352396"""</f>
        <v>"NAV Direct","CRONUS JetCorp USA","21","1","352396"</v>
      </c>
      <c r="E4947" s="31">
        <f t="shared" si="1498"/>
        <v>0</v>
      </c>
      <c r="F4947" s="31"/>
      <c r="G4947" s="31"/>
      <c r="H4947" s="31"/>
      <c r="I4947" s="56"/>
      <c r="J4947" s="56"/>
      <c r="K4947" s="82" t="str">
        <f t="shared" si="1499"/>
        <v>Invoice</v>
      </c>
      <c r="L4947" s="83" t="str">
        <f>"SI_111036"</f>
        <v>SI_111036</v>
      </c>
      <c r="M4947" s="84">
        <v>42510</v>
      </c>
      <c r="N4947" s="85">
        <f t="shared" si="1500"/>
        <v>1302</v>
      </c>
      <c r="O4947" s="86">
        <f t="shared" si="1501"/>
        <v>10853.390000000001</v>
      </c>
      <c r="P4947" s="86">
        <f t="shared" si="1502"/>
        <v>0</v>
      </c>
      <c r="Q4947" s="86">
        <f t="shared" si="1503"/>
        <v>0</v>
      </c>
      <c r="R4947" s="86">
        <f t="shared" si="1504"/>
        <v>0</v>
      </c>
      <c r="S4947" s="86">
        <f t="shared" si="1505"/>
        <v>0</v>
      </c>
      <c r="T4947" s="86">
        <f t="shared" si="1506"/>
        <v>10853.390000000001</v>
      </c>
      <c r="U4947" s="87">
        <v>10853.390000000001</v>
      </c>
    </row>
    <row r="4948" spans="1:21" s="30" customFormat="1" ht="24.6" hidden="1" outlineLevel="1" x14ac:dyDescent="0.55000000000000004">
      <c r="A4948" s="27" t="s">
        <v>327</v>
      </c>
      <c r="B4948" s="28"/>
      <c r="C4948" s="27"/>
      <c r="D4948" s="27" t="str">
        <f>"""NAV Direct"",""CRONUS JetCorp USA"",""21"",""1"",""352489"""</f>
        <v>"NAV Direct","CRONUS JetCorp USA","21","1","352489"</v>
      </c>
      <c r="E4948" s="31" t="str">
        <f t="shared" si="1498"/>
        <v>C100138</v>
      </c>
      <c r="F4948" s="31"/>
      <c r="G4948" s="31"/>
      <c r="H4948" s="31"/>
      <c r="I4948" s="56"/>
      <c r="J4948" s="56"/>
      <c r="K4948" s="82" t="str">
        <f t="shared" si="1499"/>
        <v>Invoice</v>
      </c>
      <c r="L4948" s="83" t="str">
        <f>"SI_111039"</f>
        <v>SI_111039</v>
      </c>
      <c r="M4948" s="84">
        <v>42528</v>
      </c>
      <c r="N4948" s="85">
        <f t="shared" si="1500"/>
        <v>1284</v>
      </c>
      <c r="O4948" s="86">
        <f t="shared" si="1501"/>
        <v>10853.92</v>
      </c>
      <c r="P4948" s="86">
        <f t="shared" si="1502"/>
        <v>0</v>
      </c>
      <c r="Q4948" s="86">
        <f t="shared" si="1503"/>
        <v>0</v>
      </c>
      <c r="R4948" s="86">
        <f t="shared" si="1504"/>
        <v>0</v>
      </c>
      <c r="S4948" s="86">
        <f t="shared" si="1505"/>
        <v>0</v>
      </c>
      <c r="T4948" s="86">
        <f t="shared" si="1506"/>
        <v>10853.92</v>
      </c>
      <c r="U4948" s="87">
        <v>10853.92</v>
      </c>
    </row>
    <row r="4949" spans="1:21" s="30" customFormat="1" ht="24.6" hidden="1" outlineLevel="1" x14ac:dyDescent="0.55000000000000004">
      <c r="A4949" s="27" t="s">
        <v>327</v>
      </c>
      <c r="B4949" s="28"/>
      <c r="C4949" s="27"/>
      <c r="D4949" s="27" t="str">
        <f>"""NAV Direct"",""CRONUS JetCorp USA"",""21"",""1"",""352547"""</f>
        <v>"NAV Direct","CRONUS JetCorp USA","21","1","352547"</v>
      </c>
      <c r="E4949" s="31">
        <f t="shared" si="1498"/>
        <v>0</v>
      </c>
      <c r="F4949" s="31"/>
      <c r="G4949" s="31"/>
      <c r="H4949" s="31"/>
      <c r="I4949" s="56"/>
      <c r="J4949" s="56"/>
      <c r="K4949" s="82" t="str">
        <f t="shared" si="1499"/>
        <v>Invoice</v>
      </c>
      <c r="L4949" s="83" t="str">
        <f>"SI_111041"</f>
        <v>SI_111041</v>
      </c>
      <c r="M4949" s="84">
        <v>42547</v>
      </c>
      <c r="N4949" s="85">
        <f t="shared" si="1500"/>
        <v>1265</v>
      </c>
      <c r="O4949" s="86">
        <f t="shared" si="1501"/>
        <v>12174.34</v>
      </c>
      <c r="P4949" s="86">
        <f t="shared" si="1502"/>
        <v>0</v>
      </c>
      <c r="Q4949" s="86">
        <f t="shared" si="1503"/>
        <v>0</v>
      </c>
      <c r="R4949" s="86">
        <f t="shared" si="1504"/>
        <v>0</v>
      </c>
      <c r="S4949" s="86">
        <f t="shared" si="1505"/>
        <v>0</v>
      </c>
      <c r="T4949" s="86">
        <f t="shared" si="1506"/>
        <v>12174.34</v>
      </c>
      <c r="U4949" s="87">
        <v>12174.34</v>
      </c>
    </row>
    <row r="4950" spans="1:21" s="30" customFormat="1" ht="24.6" hidden="1" outlineLevel="1" x14ac:dyDescent="0.55000000000000004">
      <c r="A4950" s="27" t="s">
        <v>327</v>
      </c>
      <c r="B4950" s="28"/>
      <c r="C4950" s="27"/>
      <c r="D4950" s="27" t="str">
        <f>"""NAV Direct"",""CRONUS JetCorp USA"",""21"",""1"",""352582"""</f>
        <v>"NAV Direct","CRONUS JetCorp USA","21","1","352582"</v>
      </c>
      <c r="E4950" s="31" t="str">
        <f t="shared" si="1498"/>
        <v>C100138</v>
      </c>
      <c r="F4950" s="31"/>
      <c r="G4950" s="31"/>
      <c r="H4950" s="31"/>
      <c r="I4950" s="56"/>
      <c r="J4950" s="56"/>
      <c r="K4950" s="82" t="str">
        <f t="shared" si="1499"/>
        <v>Invoice</v>
      </c>
      <c r="L4950" s="83" t="str">
        <f>"SI_111042"</f>
        <v>SI_111042</v>
      </c>
      <c r="M4950" s="84">
        <v>42547</v>
      </c>
      <c r="N4950" s="85">
        <f t="shared" si="1500"/>
        <v>1265</v>
      </c>
      <c r="O4950" s="86">
        <f t="shared" si="1501"/>
        <v>12300.71</v>
      </c>
      <c r="P4950" s="86">
        <f t="shared" si="1502"/>
        <v>0</v>
      </c>
      <c r="Q4950" s="86">
        <f t="shared" si="1503"/>
        <v>0</v>
      </c>
      <c r="R4950" s="86">
        <f t="shared" si="1504"/>
        <v>0</v>
      </c>
      <c r="S4950" s="86">
        <f t="shared" si="1505"/>
        <v>0</v>
      </c>
      <c r="T4950" s="86">
        <f t="shared" si="1506"/>
        <v>12300.71</v>
      </c>
      <c r="U4950" s="87">
        <v>12300.71</v>
      </c>
    </row>
    <row r="4951" spans="1:21" s="30" customFormat="1" ht="24.6" hidden="1" outlineLevel="1" x14ac:dyDescent="0.55000000000000004">
      <c r="A4951" s="27" t="s">
        <v>327</v>
      </c>
      <c r="B4951" s="28"/>
      <c r="C4951" s="27"/>
      <c r="D4951" s="27" t="str">
        <f>"""NAV Direct"",""CRONUS JetCorp USA"",""21"",""1"",""352685"""</f>
        <v>"NAV Direct","CRONUS JetCorp USA","21","1","352685"</v>
      </c>
      <c r="E4951" s="31">
        <f t="shared" si="1498"/>
        <v>0</v>
      </c>
      <c r="F4951" s="31"/>
      <c r="G4951" s="31"/>
      <c r="H4951" s="31"/>
      <c r="I4951" s="56"/>
      <c r="J4951" s="56"/>
      <c r="K4951" s="82" t="str">
        <f t="shared" si="1499"/>
        <v>Invoice</v>
      </c>
      <c r="L4951" s="83" t="str">
        <f>"SI_111045"</f>
        <v>SI_111045</v>
      </c>
      <c r="M4951" s="84">
        <v>42574</v>
      </c>
      <c r="N4951" s="85">
        <f t="shared" si="1500"/>
        <v>1238</v>
      </c>
      <c r="O4951" s="86">
        <f t="shared" si="1501"/>
        <v>11382.13</v>
      </c>
      <c r="P4951" s="86">
        <f t="shared" si="1502"/>
        <v>0</v>
      </c>
      <c r="Q4951" s="86">
        <f t="shared" si="1503"/>
        <v>0</v>
      </c>
      <c r="R4951" s="86">
        <f t="shared" si="1504"/>
        <v>0</v>
      </c>
      <c r="S4951" s="86">
        <f t="shared" si="1505"/>
        <v>0</v>
      </c>
      <c r="T4951" s="86">
        <f t="shared" si="1506"/>
        <v>11382.13</v>
      </c>
      <c r="U4951" s="87">
        <v>11382.13</v>
      </c>
    </row>
    <row r="4952" spans="1:21" s="30" customFormat="1" ht="24.6" hidden="1" outlineLevel="1" x14ac:dyDescent="0.55000000000000004">
      <c r="A4952" s="27" t="s">
        <v>327</v>
      </c>
      <c r="B4952" s="28"/>
      <c r="C4952" s="27"/>
      <c r="D4952" s="27" t="str">
        <f>"""NAV Direct"",""CRONUS JetCorp USA"",""21"",""1"",""352787"""</f>
        <v>"NAV Direct","CRONUS JetCorp USA","21","1","352787"</v>
      </c>
      <c r="E4952" s="31" t="str">
        <f t="shared" si="1498"/>
        <v>C100138</v>
      </c>
      <c r="F4952" s="31"/>
      <c r="G4952" s="31"/>
      <c r="H4952" s="31"/>
      <c r="I4952" s="56"/>
      <c r="J4952" s="56"/>
      <c r="K4952" s="82" t="str">
        <f t="shared" si="1499"/>
        <v>Invoice</v>
      </c>
      <c r="L4952" s="83" t="str">
        <f>"SI_111049"</f>
        <v>SI_111049</v>
      </c>
      <c r="M4952" s="84">
        <v>42611</v>
      </c>
      <c r="N4952" s="85">
        <f t="shared" si="1500"/>
        <v>1201</v>
      </c>
      <c r="O4952" s="86">
        <f t="shared" si="1501"/>
        <v>10805.73</v>
      </c>
      <c r="P4952" s="86">
        <f t="shared" si="1502"/>
        <v>0</v>
      </c>
      <c r="Q4952" s="86">
        <f t="shared" si="1503"/>
        <v>0</v>
      </c>
      <c r="R4952" s="86">
        <f t="shared" si="1504"/>
        <v>0</v>
      </c>
      <c r="S4952" s="86">
        <f t="shared" si="1505"/>
        <v>0</v>
      </c>
      <c r="T4952" s="86">
        <f t="shared" si="1506"/>
        <v>10805.73</v>
      </c>
      <c r="U4952" s="87">
        <v>10805.73</v>
      </c>
    </row>
    <row r="4953" spans="1:21" s="30" customFormat="1" ht="24.6" hidden="1" outlineLevel="1" x14ac:dyDescent="0.55000000000000004">
      <c r="A4953" s="27" t="s">
        <v>327</v>
      </c>
      <c r="B4953" s="28"/>
      <c r="C4953" s="27"/>
      <c r="D4953" s="27" t="str">
        <f>"""NAV Direct"",""CRONUS JetCorp USA"",""21"",""1"",""352946"""</f>
        <v>"NAV Direct","CRONUS JetCorp USA","21","1","352946"</v>
      </c>
      <c r="E4953" s="31">
        <f t="shared" si="1498"/>
        <v>0</v>
      </c>
      <c r="F4953" s="31"/>
      <c r="G4953" s="31"/>
      <c r="H4953" s="31"/>
      <c r="I4953" s="56"/>
      <c r="J4953" s="56"/>
      <c r="K4953" s="82" t="str">
        <f t="shared" si="1499"/>
        <v>Invoice</v>
      </c>
      <c r="L4953" s="83" t="str">
        <f>"SI_111054"</f>
        <v>SI_111054</v>
      </c>
      <c r="M4953" s="84">
        <v>42672</v>
      </c>
      <c r="N4953" s="85">
        <f t="shared" si="1500"/>
        <v>1140</v>
      </c>
      <c r="O4953" s="86">
        <f t="shared" si="1501"/>
        <v>10542.36</v>
      </c>
      <c r="P4953" s="86">
        <f t="shared" si="1502"/>
        <v>0</v>
      </c>
      <c r="Q4953" s="86">
        <f t="shared" si="1503"/>
        <v>0</v>
      </c>
      <c r="R4953" s="86">
        <f t="shared" si="1504"/>
        <v>0</v>
      </c>
      <c r="S4953" s="86">
        <f t="shared" si="1505"/>
        <v>0</v>
      </c>
      <c r="T4953" s="86">
        <f t="shared" si="1506"/>
        <v>10542.36</v>
      </c>
      <c r="U4953" s="87">
        <v>10542.36</v>
      </c>
    </row>
    <row r="4954" spans="1:21" s="30" customFormat="1" ht="24.6" hidden="1" outlineLevel="1" x14ac:dyDescent="0.55000000000000004">
      <c r="A4954" s="27" t="s">
        <v>327</v>
      </c>
      <c r="B4954" s="28"/>
      <c r="C4954" s="27"/>
      <c r="D4954" s="27" t="str">
        <f>"""NAV Direct"",""CRONUS JetCorp USA"",""21"",""1"",""352977"""</f>
        <v>"NAV Direct","CRONUS JetCorp USA","21","1","352977"</v>
      </c>
      <c r="E4954" s="31" t="str">
        <f t="shared" si="1498"/>
        <v>C100138</v>
      </c>
      <c r="F4954" s="31"/>
      <c r="G4954" s="31"/>
      <c r="H4954" s="31"/>
      <c r="I4954" s="56"/>
      <c r="J4954" s="56"/>
      <c r="K4954" s="82" t="str">
        <f t="shared" si="1499"/>
        <v>Invoice</v>
      </c>
      <c r="L4954" s="83" t="str">
        <f>"SI_111055"</f>
        <v>SI_111055</v>
      </c>
      <c r="M4954" s="84">
        <v>42676</v>
      </c>
      <c r="N4954" s="85">
        <f t="shared" si="1500"/>
        <v>1136</v>
      </c>
      <c r="O4954" s="86">
        <f t="shared" si="1501"/>
        <v>10326.81</v>
      </c>
      <c r="P4954" s="86">
        <f t="shared" si="1502"/>
        <v>0</v>
      </c>
      <c r="Q4954" s="86">
        <f t="shared" si="1503"/>
        <v>0</v>
      </c>
      <c r="R4954" s="86">
        <f t="shared" si="1504"/>
        <v>0</v>
      </c>
      <c r="S4954" s="86">
        <f t="shared" si="1505"/>
        <v>0</v>
      </c>
      <c r="T4954" s="86">
        <f t="shared" si="1506"/>
        <v>10326.81</v>
      </c>
      <c r="U4954" s="87">
        <v>10326.81</v>
      </c>
    </row>
    <row r="4955" spans="1:21" s="30" customFormat="1" ht="24.6" hidden="1" outlineLevel="1" x14ac:dyDescent="0.55000000000000004">
      <c r="A4955" s="27" t="s">
        <v>327</v>
      </c>
      <c r="B4955" s="28"/>
      <c r="C4955" s="27"/>
      <c r="D4955" s="27" t="str">
        <f>"""NAV Direct"",""CRONUS JetCorp USA"",""21"",""1"",""353006"""</f>
        <v>"NAV Direct","CRONUS JetCorp USA","21","1","353006"</v>
      </c>
      <c r="E4955" s="31">
        <f t="shared" si="1498"/>
        <v>0</v>
      </c>
      <c r="F4955" s="31"/>
      <c r="G4955" s="31"/>
      <c r="H4955" s="31"/>
      <c r="I4955" s="56"/>
      <c r="J4955" s="56"/>
      <c r="K4955" s="82" t="str">
        <f t="shared" si="1499"/>
        <v>Invoice</v>
      </c>
      <c r="L4955" s="83" t="str">
        <f>"SI_111056"</f>
        <v>SI_111056</v>
      </c>
      <c r="M4955" s="84">
        <v>42693</v>
      </c>
      <c r="N4955" s="85">
        <f t="shared" si="1500"/>
        <v>1119</v>
      </c>
      <c r="O4955" s="86">
        <f t="shared" si="1501"/>
        <v>12237.39</v>
      </c>
      <c r="P4955" s="86">
        <f t="shared" si="1502"/>
        <v>0</v>
      </c>
      <c r="Q4955" s="86">
        <f t="shared" si="1503"/>
        <v>0</v>
      </c>
      <c r="R4955" s="86">
        <f t="shared" si="1504"/>
        <v>0</v>
      </c>
      <c r="S4955" s="86">
        <f t="shared" si="1505"/>
        <v>0</v>
      </c>
      <c r="T4955" s="86">
        <f t="shared" si="1506"/>
        <v>12237.39</v>
      </c>
      <c r="U4955" s="87">
        <v>12237.39</v>
      </c>
    </row>
    <row r="4956" spans="1:21" s="30" customFormat="1" ht="24.6" hidden="1" outlineLevel="1" x14ac:dyDescent="0.55000000000000004">
      <c r="A4956" s="27" t="s">
        <v>327</v>
      </c>
      <c r="B4956" s="28"/>
      <c r="C4956" s="27"/>
      <c r="D4956" s="27" t="str">
        <f>"""NAV Direct"",""CRONUS JetCorp USA"",""21"",""1"",""353033"""</f>
        <v>"NAV Direct","CRONUS JetCorp USA","21","1","353033"</v>
      </c>
      <c r="E4956" s="31" t="str">
        <f t="shared" si="1498"/>
        <v>C100138</v>
      </c>
      <c r="F4956" s="31"/>
      <c r="G4956" s="31"/>
      <c r="H4956" s="31"/>
      <c r="I4956" s="56"/>
      <c r="J4956" s="56"/>
      <c r="K4956" s="82" t="str">
        <f t="shared" si="1499"/>
        <v>Invoice</v>
      </c>
      <c r="L4956" s="83" t="str">
        <f>"SI_111057"</f>
        <v>SI_111057</v>
      </c>
      <c r="M4956" s="84">
        <v>42704</v>
      </c>
      <c r="N4956" s="85">
        <f t="shared" si="1500"/>
        <v>1108</v>
      </c>
      <c r="O4956" s="86">
        <f t="shared" si="1501"/>
        <v>12492.849999999999</v>
      </c>
      <c r="P4956" s="86">
        <f t="shared" si="1502"/>
        <v>0</v>
      </c>
      <c r="Q4956" s="86">
        <f t="shared" si="1503"/>
        <v>0</v>
      </c>
      <c r="R4956" s="86">
        <f t="shared" si="1504"/>
        <v>0</v>
      </c>
      <c r="S4956" s="86">
        <f t="shared" si="1505"/>
        <v>0</v>
      </c>
      <c r="T4956" s="86">
        <f t="shared" si="1506"/>
        <v>12492.849999999999</v>
      </c>
      <c r="U4956" s="87">
        <v>12492.849999999999</v>
      </c>
    </row>
    <row r="4957" spans="1:21" s="30" customFormat="1" ht="24.6" hidden="1" outlineLevel="1" x14ac:dyDescent="0.55000000000000004">
      <c r="A4957" s="27" t="s">
        <v>327</v>
      </c>
      <c r="B4957" s="28"/>
      <c r="C4957" s="27"/>
      <c r="D4957" s="27" t="str">
        <f>"""NAV Direct"",""CRONUS JetCorp USA"",""21"",""1"",""353072"""</f>
        <v>"NAV Direct","CRONUS JetCorp USA","21","1","353072"</v>
      </c>
      <c r="E4957" s="31">
        <f t="shared" si="1498"/>
        <v>0</v>
      </c>
      <c r="F4957" s="31"/>
      <c r="G4957" s="31"/>
      <c r="H4957" s="31"/>
      <c r="I4957" s="56"/>
      <c r="J4957" s="56"/>
      <c r="K4957" s="82" t="str">
        <f t="shared" si="1499"/>
        <v>Invoice</v>
      </c>
      <c r="L4957" s="83" t="str">
        <f>"SI_111058"</f>
        <v>SI_111058</v>
      </c>
      <c r="M4957" s="84">
        <v>42702</v>
      </c>
      <c r="N4957" s="85">
        <f t="shared" si="1500"/>
        <v>1110</v>
      </c>
      <c r="O4957" s="86">
        <f t="shared" si="1501"/>
        <v>12492.81</v>
      </c>
      <c r="P4957" s="86">
        <f t="shared" si="1502"/>
        <v>0</v>
      </c>
      <c r="Q4957" s="86">
        <f t="shared" si="1503"/>
        <v>0</v>
      </c>
      <c r="R4957" s="86">
        <f t="shared" si="1504"/>
        <v>0</v>
      </c>
      <c r="S4957" s="86">
        <f t="shared" si="1505"/>
        <v>0</v>
      </c>
      <c r="T4957" s="86">
        <f t="shared" si="1506"/>
        <v>12492.81</v>
      </c>
      <c r="U4957" s="87">
        <v>12492.81</v>
      </c>
    </row>
    <row r="4958" spans="1:21" s="30" customFormat="1" ht="24.6" hidden="1" outlineLevel="1" x14ac:dyDescent="0.55000000000000004">
      <c r="A4958" s="27" t="s">
        <v>327</v>
      </c>
      <c r="B4958" s="28"/>
      <c r="C4958" s="27"/>
      <c r="D4958" s="27" t="str">
        <f>"""NAV Direct"",""CRONUS JetCorp USA"",""21"",""1"",""353181"""</f>
        <v>"NAV Direct","CRONUS JetCorp USA","21","1","353181"</v>
      </c>
      <c r="E4958" s="31" t="str">
        <f t="shared" si="1498"/>
        <v>C100138</v>
      </c>
      <c r="F4958" s="31"/>
      <c r="G4958" s="31"/>
      <c r="H4958" s="31"/>
      <c r="I4958" s="56"/>
      <c r="J4958" s="56"/>
      <c r="K4958" s="82" t="str">
        <f t="shared" si="1499"/>
        <v>Invoice</v>
      </c>
      <c r="L4958" s="83" t="str">
        <f>"SI_111061"</f>
        <v>SI_111061</v>
      </c>
      <c r="M4958" s="84">
        <v>42724</v>
      </c>
      <c r="N4958" s="85">
        <f t="shared" si="1500"/>
        <v>1088</v>
      </c>
      <c r="O4958" s="86">
        <f t="shared" si="1501"/>
        <v>14053.509999999998</v>
      </c>
      <c r="P4958" s="86">
        <f t="shared" si="1502"/>
        <v>0</v>
      </c>
      <c r="Q4958" s="86">
        <f t="shared" si="1503"/>
        <v>0</v>
      </c>
      <c r="R4958" s="86">
        <f t="shared" si="1504"/>
        <v>0</v>
      </c>
      <c r="S4958" s="86">
        <f t="shared" si="1505"/>
        <v>0</v>
      </c>
      <c r="T4958" s="86">
        <f t="shared" si="1506"/>
        <v>14053.509999999998</v>
      </c>
      <c r="U4958" s="87">
        <v>14053.509999999998</v>
      </c>
    </row>
    <row r="4959" spans="1:21" s="30" customFormat="1" ht="24.6" hidden="1" outlineLevel="1" x14ac:dyDescent="0.55000000000000004">
      <c r="A4959" s="27" t="s">
        <v>327</v>
      </c>
      <c r="B4959" s="28"/>
      <c r="C4959" s="27"/>
      <c r="D4959" s="27" t="str">
        <f>"""NAV Direct"",""CRONUS JetCorp USA"",""21"",""1"",""353325"""</f>
        <v>"NAV Direct","CRONUS JetCorp USA","21","1","353325"</v>
      </c>
      <c r="E4959" s="31">
        <f t="shared" si="1498"/>
        <v>0</v>
      </c>
      <c r="F4959" s="31"/>
      <c r="G4959" s="31"/>
      <c r="H4959" s="31"/>
      <c r="I4959" s="56"/>
      <c r="J4959" s="56"/>
      <c r="K4959" s="82" t="str">
        <f t="shared" si="1499"/>
        <v>Invoice</v>
      </c>
      <c r="L4959" s="83" t="str">
        <f>"SI_111065"</f>
        <v>SI_111065</v>
      </c>
      <c r="M4959" s="84">
        <v>42762</v>
      </c>
      <c r="N4959" s="85">
        <f t="shared" si="1500"/>
        <v>1050</v>
      </c>
      <c r="O4959" s="86">
        <f t="shared" si="1501"/>
        <v>12227.279999999999</v>
      </c>
      <c r="P4959" s="86">
        <f t="shared" si="1502"/>
        <v>0</v>
      </c>
      <c r="Q4959" s="86">
        <f t="shared" si="1503"/>
        <v>0</v>
      </c>
      <c r="R4959" s="86">
        <f t="shared" si="1504"/>
        <v>0</v>
      </c>
      <c r="S4959" s="86">
        <f t="shared" si="1505"/>
        <v>0</v>
      </c>
      <c r="T4959" s="86">
        <f t="shared" si="1506"/>
        <v>12227.279999999999</v>
      </c>
      <c r="U4959" s="87">
        <v>12227.279999999999</v>
      </c>
    </row>
    <row r="4960" spans="1:21" s="30" customFormat="1" ht="24.6" hidden="1" outlineLevel="1" x14ac:dyDescent="0.55000000000000004">
      <c r="A4960" s="27" t="s">
        <v>327</v>
      </c>
      <c r="B4960" s="28"/>
      <c r="C4960" s="27"/>
      <c r="D4960" s="27" t="str">
        <f>"""NAV Direct"",""CRONUS JetCorp USA"",""21"",""1"",""353356"""</f>
        <v>"NAV Direct","CRONUS JetCorp USA","21","1","353356"</v>
      </c>
      <c r="E4960" s="31" t="str">
        <f t="shared" si="1498"/>
        <v>C100138</v>
      </c>
      <c r="F4960" s="31"/>
      <c r="G4960" s="31"/>
      <c r="H4960" s="31"/>
      <c r="I4960" s="56"/>
      <c r="J4960" s="56"/>
      <c r="K4960" s="82" t="str">
        <f t="shared" si="1499"/>
        <v>Invoice</v>
      </c>
      <c r="L4960" s="83" t="str">
        <f>"SI_111066"</f>
        <v>SI_111066</v>
      </c>
      <c r="M4960" s="84">
        <v>42773</v>
      </c>
      <c r="N4960" s="85">
        <f t="shared" si="1500"/>
        <v>1039</v>
      </c>
      <c r="O4960" s="86">
        <f t="shared" si="1501"/>
        <v>12226.1</v>
      </c>
      <c r="P4960" s="86">
        <f t="shared" si="1502"/>
        <v>0</v>
      </c>
      <c r="Q4960" s="86">
        <f t="shared" si="1503"/>
        <v>0</v>
      </c>
      <c r="R4960" s="86">
        <f t="shared" si="1504"/>
        <v>0</v>
      </c>
      <c r="S4960" s="86">
        <f t="shared" si="1505"/>
        <v>0</v>
      </c>
      <c r="T4960" s="86">
        <f t="shared" si="1506"/>
        <v>12226.1</v>
      </c>
      <c r="U4960" s="87">
        <v>12226.1</v>
      </c>
    </row>
    <row r="4961" spans="1:21" s="30" customFormat="1" ht="24.6" hidden="1" outlineLevel="1" x14ac:dyDescent="0.55000000000000004">
      <c r="A4961" s="27" t="s">
        <v>327</v>
      </c>
      <c r="B4961" s="28"/>
      <c r="C4961" s="27"/>
      <c r="D4961" s="27" t="str">
        <f>"""NAV Direct"",""CRONUS JetCorp USA"",""21"",""1"",""353436"""</f>
        <v>"NAV Direct","CRONUS JetCorp USA","21","1","353436"</v>
      </c>
      <c r="E4961" s="31">
        <f t="shared" si="1498"/>
        <v>0</v>
      </c>
      <c r="F4961" s="31"/>
      <c r="G4961" s="31"/>
      <c r="H4961" s="31"/>
      <c r="I4961" s="56"/>
      <c r="J4961" s="56"/>
      <c r="K4961" s="82" t="str">
        <f t="shared" si="1499"/>
        <v>Invoice</v>
      </c>
      <c r="L4961" s="83" t="str">
        <f>"SI_111068"</f>
        <v>SI_111068</v>
      </c>
      <c r="M4961" s="84">
        <v>42794</v>
      </c>
      <c r="N4961" s="85">
        <f t="shared" si="1500"/>
        <v>1018</v>
      </c>
      <c r="O4961" s="86">
        <f t="shared" si="1501"/>
        <v>10528.769999999999</v>
      </c>
      <c r="P4961" s="86">
        <f t="shared" si="1502"/>
        <v>0</v>
      </c>
      <c r="Q4961" s="86">
        <f t="shared" si="1503"/>
        <v>0</v>
      </c>
      <c r="R4961" s="86">
        <f t="shared" si="1504"/>
        <v>0</v>
      </c>
      <c r="S4961" s="86">
        <f t="shared" si="1505"/>
        <v>0</v>
      </c>
      <c r="T4961" s="86">
        <f t="shared" si="1506"/>
        <v>10528.769999999999</v>
      </c>
      <c r="U4961" s="87">
        <v>10528.769999999999</v>
      </c>
    </row>
    <row r="4962" spans="1:21" s="30" customFormat="1" ht="24.6" hidden="1" outlineLevel="1" x14ac:dyDescent="0.55000000000000004">
      <c r="A4962" s="27" t="s">
        <v>327</v>
      </c>
      <c r="B4962" s="28"/>
      <c r="C4962" s="27"/>
      <c r="D4962" s="27" t="str">
        <f>"""NAV Direct"",""CRONUS JetCorp USA"",""21"",""1"",""353533"""</f>
        <v>"NAV Direct","CRONUS JetCorp USA","21","1","353533"</v>
      </c>
      <c r="E4962" s="31" t="str">
        <f t="shared" si="1498"/>
        <v>C100138</v>
      </c>
      <c r="F4962" s="31"/>
      <c r="G4962" s="31"/>
      <c r="H4962" s="31"/>
      <c r="I4962" s="56"/>
      <c r="J4962" s="56"/>
      <c r="K4962" s="82" t="str">
        <f t="shared" si="1499"/>
        <v>Invoice</v>
      </c>
      <c r="L4962" s="83" t="str">
        <f>"SI_111071"</f>
        <v>SI_111071</v>
      </c>
      <c r="M4962" s="84">
        <v>42823</v>
      </c>
      <c r="N4962" s="85">
        <f t="shared" si="1500"/>
        <v>989</v>
      </c>
      <c r="O4962" s="86">
        <f t="shared" si="1501"/>
        <v>9318.26</v>
      </c>
      <c r="P4962" s="86">
        <f t="shared" si="1502"/>
        <v>0</v>
      </c>
      <c r="Q4962" s="86">
        <f t="shared" si="1503"/>
        <v>0</v>
      </c>
      <c r="R4962" s="86">
        <f t="shared" si="1504"/>
        <v>0</v>
      </c>
      <c r="S4962" s="86">
        <f t="shared" si="1505"/>
        <v>0</v>
      </c>
      <c r="T4962" s="86">
        <f t="shared" si="1506"/>
        <v>9318.26</v>
      </c>
      <c r="U4962" s="87">
        <v>9318.26</v>
      </c>
    </row>
    <row r="4963" spans="1:21" s="30" customFormat="1" ht="24.6" hidden="1" outlineLevel="1" x14ac:dyDescent="0.55000000000000004">
      <c r="A4963" s="27" t="s">
        <v>327</v>
      </c>
      <c r="B4963" s="28"/>
      <c r="C4963" s="27"/>
      <c r="D4963" s="27" t="str">
        <f>"""NAV Direct"",""CRONUS JetCorp USA"",""21"",""1"",""353572"""</f>
        <v>"NAV Direct","CRONUS JetCorp USA","21","1","353572"</v>
      </c>
      <c r="E4963" s="31">
        <f t="shared" si="1498"/>
        <v>0</v>
      </c>
      <c r="F4963" s="31"/>
      <c r="G4963" s="31"/>
      <c r="H4963" s="31"/>
      <c r="I4963" s="56"/>
      <c r="J4963" s="56"/>
      <c r="K4963" s="82" t="str">
        <f t="shared" si="1499"/>
        <v>Invoice</v>
      </c>
      <c r="L4963" s="83" t="str">
        <f>"SI_111072"</f>
        <v>SI_111072</v>
      </c>
      <c r="M4963" s="84">
        <v>42833</v>
      </c>
      <c r="N4963" s="85">
        <f t="shared" si="1500"/>
        <v>979</v>
      </c>
      <c r="O4963" s="86">
        <f t="shared" si="1501"/>
        <v>9318.2199999999993</v>
      </c>
      <c r="P4963" s="86">
        <f t="shared" si="1502"/>
        <v>0</v>
      </c>
      <c r="Q4963" s="86">
        <f t="shared" si="1503"/>
        <v>0</v>
      </c>
      <c r="R4963" s="86">
        <f t="shared" si="1504"/>
        <v>0</v>
      </c>
      <c r="S4963" s="86">
        <f t="shared" si="1505"/>
        <v>0</v>
      </c>
      <c r="T4963" s="86">
        <f t="shared" si="1506"/>
        <v>9318.2199999999993</v>
      </c>
      <c r="U4963" s="87">
        <v>9318.2199999999993</v>
      </c>
    </row>
    <row r="4964" spans="1:21" s="30" customFormat="1" ht="24.6" hidden="1" outlineLevel="1" x14ac:dyDescent="0.55000000000000004">
      <c r="A4964" s="27" t="s">
        <v>327</v>
      </c>
      <c r="B4964" s="28"/>
      <c r="C4964" s="27"/>
      <c r="D4964" s="27" t="str">
        <f>"""NAV Direct"",""CRONUS JetCorp USA"",""21"",""1"",""353823"""</f>
        <v>"NAV Direct","CRONUS JetCorp USA","21","1","353823"</v>
      </c>
      <c r="E4964" s="31" t="str">
        <f t="shared" si="1498"/>
        <v>C100138</v>
      </c>
      <c r="F4964" s="31"/>
      <c r="G4964" s="31"/>
      <c r="H4964" s="31"/>
      <c r="I4964" s="56"/>
      <c r="J4964" s="56"/>
      <c r="K4964" s="82" t="str">
        <f t="shared" si="1499"/>
        <v>Invoice</v>
      </c>
      <c r="L4964" s="83" t="str">
        <f>"SI_111079"</f>
        <v>SI_111079</v>
      </c>
      <c r="M4964" s="84">
        <v>42881</v>
      </c>
      <c r="N4964" s="85">
        <f t="shared" si="1500"/>
        <v>931</v>
      </c>
      <c r="O4964" s="86">
        <f t="shared" si="1501"/>
        <v>12941.880000000001</v>
      </c>
      <c r="P4964" s="86">
        <f t="shared" si="1502"/>
        <v>0</v>
      </c>
      <c r="Q4964" s="86">
        <f t="shared" si="1503"/>
        <v>0</v>
      </c>
      <c r="R4964" s="86">
        <f t="shared" si="1504"/>
        <v>0</v>
      </c>
      <c r="S4964" s="86">
        <f t="shared" si="1505"/>
        <v>0</v>
      </c>
      <c r="T4964" s="86">
        <f t="shared" si="1506"/>
        <v>12941.880000000001</v>
      </c>
      <c r="U4964" s="87">
        <v>12941.880000000001</v>
      </c>
    </row>
    <row r="4965" spans="1:21" s="30" customFormat="1" ht="24.6" hidden="1" outlineLevel="1" x14ac:dyDescent="0.55000000000000004">
      <c r="A4965" s="27" t="s">
        <v>327</v>
      </c>
      <c r="B4965" s="28"/>
      <c r="C4965" s="27"/>
      <c r="D4965" s="27" t="str">
        <f>"""NAV Direct"",""CRONUS JetCorp USA"",""21"",""1"",""353868"""</f>
        <v>"NAV Direct","CRONUS JetCorp USA","21","1","353868"</v>
      </c>
      <c r="E4965" s="31">
        <f t="shared" si="1498"/>
        <v>0</v>
      </c>
      <c r="F4965" s="31"/>
      <c r="G4965" s="31"/>
      <c r="H4965" s="31"/>
      <c r="I4965" s="56"/>
      <c r="J4965" s="56"/>
      <c r="K4965" s="82" t="str">
        <f t="shared" si="1499"/>
        <v>Invoice</v>
      </c>
      <c r="L4965" s="83" t="str">
        <f>"SI_111080"</f>
        <v>SI_111080</v>
      </c>
      <c r="M4965" s="84">
        <v>42910</v>
      </c>
      <c r="N4965" s="85">
        <f t="shared" si="1500"/>
        <v>902</v>
      </c>
      <c r="O4965" s="86">
        <f t="shared" si="1501"/>
        <v>14947.69</v>
      </c>
      <c r="P4965" s="86">
        <f t="shared" si="1502"/>
        <v>0</v>
      </c>
      <c r="Q4965" s="86">
        <f t="shared" si="1503"/>
        <v>0</v>
      </c>
      <c r="R4965" s="86">
        <f t="shared" si="1504"/>
        <v>0</v>
      </c>
      <c r="S4965" s="86">
        <f t="shared" si="1505"/>
        <v>0</v>
      </c>
      <c r="T4965" s="86">
        <f t="shared" si="1506"/>
        <v>14947.69</v>
      </c>
      <c r="U4965" s="87">
        <v>14947.69</v>
      </c>
    </row>
    <row r="4966" spans="1:21" s="30" customFormat="1" ht="24.6" hidden="1" outlineLevel="1" x14ac:dyDescent="0.55000000000000004">
      <c r="A4966" s="27" t="s">
        <v>327</v>
      </c>
      <c r="B4966" s="28"/>
      <c r="C4966" s="27"/>
      <c r="D4966" s="27" t="str">
        <f>"""NAV Direct"",""CRONUS JetCorp USA"",""21"",""1"",""354094"""</f>
        <v>"NAV Direct","CRONUS JetCorp USA","21","1","354094"</v>
      </c>
      <c r="E4966" s="31" t="str">
        <f t="shared" si="1498"/>
        <v>C100138</v>
      </c>
      <c r="F4966" s="31"/>
      <c r="G4966" s="31"/>
      <c r="H4966" s="31"/>
      <c r="I4966" s="56"/>
      <c r="J4966" s="56"/>
      <c r="K4966" s="82" t="str">
        <f t="shared" si="1499"/>
        <v>Invoice</v>
      </c>
      <c r="L4966" s="83" t="str">
        <f>"SI_111088"</f>
        <v>SI_111088</v>
      </c>
      <c r="M4966" s="84">
        <v>42988</v>
      </c>
      <c r="N4966" s="85">
        <f t="shared" si="1500"/>
        <v>824</v>
      </c>
      <c r="O4966" s="86">
        <f t="shared" si="1501"/>
        <v>11255.630000000001</v>
      </c>
      <c r="P4966" s="86">
        <f t="shared" si="1502"/>
        <v>0</v>
      </c>
      <c r="Q4966" s="86">
        <f t="shared" si="1503"/>
        <v>0</v>
      </c>
      <c r="R4966" s="86">
        <f t="shared" si="1504"/>
        <v>0</v>
      </c>
      <c r="S4966" s="86">
        <f t="shared" si="1505"/>
        <v>0</v>
      </c>
      <c r="T4966" s="86">
        <f t="shared" si="1506"/>
        <v>11255.630000000001</v>
      </c>
      <c r="U4966" s="87">
        <v>11255.630000000001</v>
      </c>
    </row>
    <row r="4967" spans="1:21" s="30" customFormat="1" ht="24.6" hidden="1" outlineLevel="1" x14ac:dyDescent="0.55000000000000004">
      <c r="A4967" s="27" t="s">
        <v>327</v>
      </c>
      <c r="B4967" s="28"/>
      <c r="C4967" s="27"/>
      <c r="D4967" s="27" t="str">
        <f>"""NAV Direct"",""CRONUS JetCorp USA"",""21"",""1"",""354191"""</f>
        <v>"NAV Direct","CRONUS JetCorp USA","21","1","354191"</v>
      </c>
      <c r="E4967" s="31">
        <f t="shared" si="1498"/>
        <v>0</v>
      </c>
      <c r="F4967" s="31"/>
      <c r="G4967" s="31"/>
      <c r="H4967" s="31"/>
      <c r="I4967" s="56"/>
      <c r="J4967" s="56"/>
      <c r="K4967" s="82" t="str">
        <f t="shared" si="1499"/>
        <v>Invoice</v>
      </c>
      <c r="L4967" s="83" t="str">
        <f>"SI_111091"</f>
        <v>SI_111091</v>
      </c>
      <c r="M4967" s="84">
        <v>43024</v>
      </c>
      <c r="N4967" s="85">
        <f t="shared" si="1500"/>
        <v>788</v>
      </c>
      <c r="O4967" s="86">
        <f t="shared" si="1501"/>
        <v>11497.369999999999</v>
      </c>
      <c r="P4967" s="86">
        <f t="shared" si="1502"/>
        <v>0</v>
      </c>
      <c r="Q4967" s="86">
        <f t="shared" si="1503"/>
        <v>0</v>
      </c>
      <c r="R4967" s="86">
        <f t="shared" si="1504"/>
        <v>0</v>
      </c>
      <c r="S4967" s="86">
        <f t="shared" si="1505"/>
        <v>0</v>
      </c>
      <c r="T4967" s="86">
        <f t="shared" si="1506"/>
        <v>11497.369999999999</v>
      </c>
      <c r="U4967" s="87">
        <v>11497.369999999999</v>
      </c>
    </row>
    <row r="4968" spans="1:21" s="30" customFormat="1" ht="24.6" hidden="1" outlineLevel="1" x14ac:dyDescent="0.55000000000000004">
      <c r="A4968" s="27" t="s">
        <v>327</v>
      </c>
      <c r="B4968" s="28"/>
      <c r="C4968" s="27"/>
      <c r="D4968" s="27" t="str">
        <f>"""NAV Direct"",""CRONUS JetCorp USA"",""21"",""1"",""354220"""</f>
        <v>"NAV Direct","CRONUS JetCorp USA","21","1","354220"</v>
      </c>
      <c r="E4968" s="31" t="str">
        <f t="shared" si="1498"/>
        <v>C100138</v>
      </c>
      <c r="F4968" s="31"/>
      <c r="G4968" s="31"/>
      <c r="H4968" s="31"/>
      <c r="I4968" s="56"/>
      <c r="J4968" s="56"/>
      <c r="K4968" s="82" t="str">
        <f t="shared" si="1499"/>
        <v>Invoice</v>
      </c>
      <c r="L4968" s="83" t="str">
        <f>"SI_111092"</f>
        <v>SI_111092</v>
      </c>
      <c r="M4968" s="84">
        <v>43034</v>
      </c>
      <c r="N4968" s="85">
        <f t="shared" si="1500"/>
        <v>778</v>
      </c>
      <c r="O4968" s="86">
        <f t="shared" si="1501"/>
        <v>11616.1</v>
      </c>
      <c r="P4968" s="86">
        <f t="shared" si="1502"/>
        <v>0</v>
      </c>
      <c r="Q4968" s="86">
        <f t="shared" si="1503"/>
        <v>0</v>
      </c>
      <c r="R4968" s="86">
        <f t="shared" si="1504"/>
        <v>0</v>
      </c>
      <c r="S4968" s="86">
        <f t="shared" si="1505"/>
        <v>0</v>
      </c>
      <c r="T4968" s="86">
        <f t="shared" si="1506"/>
        <v>11616.1</v>
      </c>
      <c r="U4968" s="87">
        <v>11616.1</v>
      </c>
    </row>
    <row r="4969" spans="1:21" s="30" customFormat="1" ht="24.6" hidden="1" outlineLevel="1" x14ac:dyDescent="0.55000000000000004">
      <c r="A4969" s="27" t="s">
        <v>327</v>
      </c>
      <c r="B4969" s="28"/>
      <c r="C4969" s="27"/>
      <c r="D4969" s="27" t="str">
        <f>"""NAV Direct"",""CRONUS JetCorp USA"",""21"",""1"",""354257"""</f>
        <v>"NAV Direct","CRONUS JetCorp USA","21","1","354257"</v>
      </c>
      <c r="E4969" s="31">
        <f t="shared" si="1498"/>
        <v>0</v>
      </c>
      <c r="F4969" s="31"/>
      <c r="G4969" s="31"/>
      <c r="H4969" s="31"/>
      <c r="I4969" s="56"/>
      <c r="J4969" s="56"/>
      <c r="K4969" s="82" t="str">
        <f t="shared" si="1499"/>
        <v>Invoice</v>
      </c>
      <c r="L4969" s="83" t="str">
        <f>"SI_111093"</f>
        <v>SI_111093</v>
      </c>
      <c r="M4969" s="84">
        <v>43035</v>
      </c>
      <c r="N4969" s="85">
        <f t="shared" si="1500"/>
        <v>777</v>
      </c>
      <c r="O4969" s="86">
        <f t="shared" si="1501"/>
        <v>11497.710000000001</v>
      </c>
      <c r="P4969" s="86">
        <f t="shared" si="1502"/>
        <v>0</v>
      </c>
      <c r="Q4969" s="86">
        <f t="shared" si="1503"/>
        <v>0</v>
      </c>
      <c r="R4969" s="86">
        <f t="shared" si="1504"/>
        <v>0</v>
      </c>
      <c r="S4969" s="86">
        <f t="shared" si="1505"/>
        <v>0</v>
      </c>
      <c r="T4969" s="86">
        <f t="shared" si="1506"/>
        <v>11497.710000000001</v>
      </c>
      <c r="U4969" s="87">
        <v>11497.710000000001</v>
      </c>
    </row>
    <row r="4970" spans="1:21" s="30" customFormat="1" ht="24.6" hidden="1" outlineLevel="1" x14ac:dyDescent="0.55000000000000004">
      <c r="A4970" s="27" t="s">
        <v>327</v>
      </c>
      <c r="B4970" s="28"/>
      <c r="C4970" s="27"/>
      <c r="D4970" s="27" t="str">
        <f>"""NAV Direct"",""CRONUS JetCorp USA"",""21"",""1"",""354574"""</f>
        <v>"NAV Direct","CRONUS JetCorp USA","21","1","354574"</v>
      </c>
      <c r="E4970" s="31" t="str">
        <f t="shared" si="1498"/>
        <v>C100138</v>
      </c>
      <c r="F4970" s="31"/>
      <c r="G4970" s="31"/>
      <c r="H4970" s="31"/>
      <c r="I4970" s="56"/>
      <c r="J4970" s="56"/>
      <c r="K4970" s="82" t="str">
        <f t="shared" si="1499"/>
        <v>Invoice</v>
      </c>
      <c r="L4970" s="83" t="str">
        <f>"SI_111102"</f>
        <v>SI_111102</v>
      </c>
      <c r="M4970" s="84">
        <v>43128</v>
      </c>
      <c r="N4970" s="85">
        <f t="shared" si="1500"/>
        <v>684</v>
      </c>
      <c r="O4970" s="86">
        <f t="shared" si="1501"/>
        <v>15496.8</v>
      </c>
      <c r="P4970" s="86">
        <f t="shared" si="1502"/>
        <v>0</v>
      </c>
      <c r="Q4970" s="86">
        <f t="shared" si="1503"/>
        <v>0</v>
      </c>
      <c r="R4970" s="86">
        <f t="shared" si="1504"/>
        <v>0</v>
      </c>
      <c r="S4970" s="86">
        <f t="shared" si="1505"/>
        <v>0</v>
      </c>
      <c r="T4970" s="86">
        <f t="shared" si="1506"/>
        <v>15496.8</v>
      </c>
      <c r="U4970" s="87">
        <v>15496.8</v>
      </c>
    </row>
    <row r="4971" spans="1:21" s="30" customFormat="1" ht="24.6" hidden="1" outlineLevel="1" x14ac:dyDescent="0.55000000000000004">
      <c r="A4971" s="27" t="s">
        <v>327</v>
      </c>
      <c r="B4971" s="28"/>
      <c r="C4971" s="27"/>
      <c r="D4971" s="27" t="str">
        <f>"""NAV Direct"",""CRONUS JetCorp USA"",""21"",""1"",""354741"""</f>
        <v>"NAV Direct","CRONUS JetCorp USA","21","1","354741"</v>
      </c>
      <c r="E4971" s="31">
        <f t="shared" si="1498"/>
        <v>0</v>
      </c>
      <c r="F4971" s="31"/>
      <c r="G4971" s="31"/>
      <c r="H4971" s="31"/>
      <c r="I4971" s="56"/>
      <c r="J4971" s="56"/>
      <c r="K4971" s="82" t="str">
        <f t="shared" si="1499"/>
        <v>Invoice</v>
      </c>
      <c r="L4971" s="83" t="str">
        <f>"SI_111107"</f>
        <v>SI_111107</v>
      </c>
      <c r="M4971" s="84">
        <v>43181</v>
      </c>
      <c r="N4971" s="85">
        <f t="shared" si="1500"/>
        <v>631</v>
      </c>
      <c r="O4971" s="86">
        <f t="shared" si="1501"/>
        <v>12599.23</v>
      </c>
      <c r="P4971" s="86">
        <f t="shared" si="1502"/>
        <v>0</v>
      </c>
      <c r="Q4971" s="86">
        <f t="shared" si="1503"/>
        <v>0</v>
      </c>
      <c r="R4971" s="86">
        <f t="shared" si="1504"/>
        <v>0</v>
      </c>
      <c r="S4971" s="86">
        <f t="shared" si="1505"/>
        <v>0</v>
      </c>
      <c r="T4971" s="86">
        <f t="shared" si="1506"/>
        <v>12599.23</v>
      </c>
      <c r="U4971" s="87">
        <v>12599.23</v>
      </c>
    </row>
    <row r="4972" spans="1:21" s="30" customFormat="1" ht="24.6" hidden="1" outlineLevel="1" x14ac:dyDescent="0.55000000000000004">
      <c r="A4972" s="27" t="s">
        <v>327</v>
      </c>
      <c r="B4972" s="28"/>
      <c r="C4972" s="27"/>
      <c r="D4972" s="27" t="str">
        <f>"""NAV Direct"",""CRONUS JetCorp USA"",""21"",""1"",""354877"""</f>
        <v>"NAV Direct","CRONUS JetCorp USA","21","1","354877"</v>
      </c>
      <c r="E4972" s="31" t="str">
        <f t="shared" si="1498"/>
        <v>C100138</v>
      </c>
      <c r="F4972" s="31"/>
      <c r="G4972" s="31"/>
      <c r="H4972" s="31"/>
      <c r="I4972" s="56"/>
      <c r="J4972" s="56"/>
      <c r="K4972" s="82" t="str">
        <f t="shared" si="1499"/>
        <v>Invoice</v>
      </c>
      <c r="L4972" s="83" t="str">
        <f>"SI_111111"</f>
        <v>SI_111111</v>
      </c>
      <c r="M4972" s="84">
        <v>43220</v>
      </c>
      <c r="N4972" s="85">
        <f t="shared" si="1500"/>
        <v>592</v>
      </c>
      <c r="O4972" s="86">
        <f t="shared" si="1501"/>
        <v>14716.52</v>
      </c>
      <c r="P4972" s="86">
        <f t="shared" si="1502"/>
        <v>0</v>
      </c>
      <c r="Q4972" s="86">
        <f t="shared" si="1503"/>
        <v>0</v>
      </c>
      <c r="R4972" s="86">
        <f t="shared" si="1504"/>
        <v>0</v>
      </c>
      <c r="S4972" s="86">
        <f t="shared" si="1505"/>
        <v>0</v>
      </c>
      <c r="T4972" s="86">
        <f t="shared" si="1506"/>
        <v>14716.52</v>
      </c>
      <c r="U4972" s="87">
        <v>14716.52</v>
      </c>
    </row>
    <row r="4973" spans="1:21" s="30" customFormat="1" ht="24.6" hidden="1" outlineLevel="1" x14ac:dyDescent="0.55000000000000004">
      <c r="A4973" s="27" t="s">
        <v>327</v>
      </c>
      <c r="B4973" s="28"/>
      <c r="C4973" s="27"/>
      <c r="D4973" s="27" t="str">
        <f>"""NAV Direct"",""CRONUS JetCorp USA"",""21"",""1"",""355128"""</f>
        <v>"NAV Direct","CRONUS JetCorp USA","21","1","355128"</v>
      </c>
      <c r="E4973" s="31">
        <f t="shared" si="1498"/>
        <v>0</v>
      </c>
      <c r="F4973" s="31"/>
      <c r="G4973" s="31"/>
      <c r="H4973" s="31"/>
      <c r="I4973" s="56"/>
      <c r="J4973" s="56"/>
      <c r="K4973" s="82" t="str">
        <f t="shared" si="1499"/>
        <v>Invoice</v>
      </c>
      <c r="L4973" s="83" t="str">
        <f>"SI_111118"</f>
        <v>SI_111118</v>
      </c>
      <c r="M4973" s="84">
        <v>43274</v>
      </c>
      <c r="N4973" s="85">
        <f t="shared" si="1500"/>
        <v>538</v>
      </c>
      <c r="O4973" s="86">
        <f t="shared" si="1501"/>
        <v>18396.849999999999</v>
      </c>
      <c r="P4973" s="86">
        <f t="shared" si="1502"/>
        <v>0</v>
      </c>
      <c r="Q4973" s="86">
        <f t="shared" si="1503"/>
        <v>0</v>
      </c>
      <c r="R4973" s="86">
        <f t="shared" si="1504"/>
        <v>0</v>
      </c>
      <c r="S4973" s="86">
        <f t="shared" si="1505"/>
        <v>0</v>
      </c>
      <c r="T4973" s="86">
        <f t="shared" si="1506"/>
        <v>18396.849999999999</v>
      </c>
      <c r="U4973" s="87">
        <v>18396.849999999999</v>
      </c>
    </row>
    <row r="4974" spans="1:21" s="30" customFormat="1" ht="24.6" hidden="1" outlineLevel="1" x14ac:dyDescent="0.55000000000000004">
      <c r="A4974" s="27" t="s">
        <v>327</v>
      </c>
      <c r="B4974" s="28"/>
      <c r="C4974" s="27"/>
      <c r="D4974" s="27" t="str">
        <f>"""NAV Direct"",""CRONUS JetCorp USA"",""21"",""1"",""355184"""</f>
        <v>"NAV Direct","CRONUS JetCorp USA","21","1","355184"</v>
      </c>
      <c r="E4974" s="31" t="str">
        <f t="shared" ref="E4974:E5005" si="1507">E4972</f>
        <v>C100138</v>
      </c>
      <c r="F4974" s="31"/>
      <c r="G4974" s="31"/>
      <c r="H4974" s="31"/>
      <c r="I4974" s="56"/>
      <c r="J4974" s="56"/>
      <c r="K4974" s="82" t="str">
        <f t="shared" ref="K4974:K5006" si="1508">"Invoice"</f>
        <v>Invoice</v>
      </c>
      <c r="L4974" s="83" t="str">
        <f>"SI_111120"</f>
        <v>SI_111120</v>
      </c>
      <c r="M4974" s="84">
        <v>43272</v>
      </c>
      <c r="N4974" s="85">
        <f t="shared" ref="N4974:N5005" si="1509">StartDate-$M4974+1</f>
        <v>540</v>
      </c>
      <c r="O4974" s="86">
        <f t="shared" ref="O4974:O5005" si="1510">SUM(P4974:T4974)</f>
        <v>18396.54</v>
      </c>
      <c r="P4974" s="86">
        <f t="shared" ref="P4974:P5005" si="1511">IF($M4974&gt;=$P$18,U4974,0)</f>
        <v>0</v>
      </c>
      <c r="Q4974" s="86">
        <f t="shared" ref="Q4974:Q5005" si="1512">IF(AND($M4974&gt;=$Q$16,$M4974&lt;=$Q$18),U4974,0)</f>
        <v>0</v>
      </c>
      <c r="R4974" s="86">
        <f t="shared" ref="R4974:R5005" si="1513">IF(AND($M4974&gt;=$R$16,$M4974&lt;=$R$18),U4974,0)</f>
        <v>0</v>
      </c>
      <c r="S4974" s="86">
        <f t="shared" ref="S4974:S5005" si="1514">IF(AND($M4974&gt;=$S$16,$M4974&lt;=$S$18),U4974,0)</f>
        <v>0</v>
      </c>
      <c r="T4974" s="86">
        <f t="shared" ref="T4974:T5005" si="1515">IF($M4974&lt;=$T$18,U4974,0)</f>
        <v>18396.54</v>
      </c>
      <c r="U4974" s="87">
        <v>18396.54</v>
      </c>
    </row>
    <row r="4975" spans="1:21" s="30" customFormat="1" ht="24.6" hidden="1" outlineLevel="1" x14ac:dyDescent="0.55000000000000004">
      <c r="A4975" s="27" t="s">
        <v>327</v>
      </c>
      <c r="B4975" s="28"/>
      <c r="C4975" s="27"/>
      <c r="D4975" s="27" t="str">
        <f>"""NAV Direct"",""CRONUS JetCorp USA"",""21"",""1"",""355219"""</f>
        <v>"NAV Direct","CRONUS JetCorp USA","21","1","355219"</v>
      </c>
      <c r="E4975" s="31">
        <f t="shared" si="1507"/>
        <v>0</v>
      </c>
      <c r="F4975" s="31"/>
      <c r="G4975" s="31"/>
      <c r="H4975" s="31"/>
      <c r="I4975" s="56"/>
      <c r="J4975" s="56"/>
      <c r="K4975" s="82" t="str">
        <f t="shared" si="1508"/>
        <v>Invoice</v>
      </c>
      <c r="L4975" s="83" t="str">
        <f>"SI_111121"</f>
        <v>SI_111121</v>
      </c>
      <c r="M4975" s="84">
        <v>43271</v>
      </c>
      <c r="N4975" s="85">
        <f t="shared" si="1509"/>
        <v>541</v>
      </c>
      <c r="O4975" s="86">
        <f t="shared" si="1510"/>
        <v>18397.41</v>
      </c>
      <c r="P4975" s="86">
        <f t="shared" si="1511"/>
        <v>0</v>
      </c>
      <c r="Q4975" s="86">
        <f t="shared" si="1512"/>
        <v>0</v>
      </c>
      <c r="R4975" s="86">
        <f t="shared" si="1513"/>
        <v>0</v>
      </c>
      <c r="S4975" s="86">
        <f t="shared" si="1514"/>
        <v>0</v>
      </c>
      <c r="T4975" s="86">
        <f t="shared" si="1515"/>
        <v>18397.41</v>
      </c>
      <c r="U4975" s="87">
        <v>18397.41</v>
      </c>
    </row>
    <row r="4976" spans="1:21" s="30" customFormat="1" ht="24.6" hidden="1" outlineLevel="1" x14ac:dyDescent="0.55000000000000004">
      <c r="A4976" s="27" t="s">
        <v>327</v>
      </c>
      <c r="B4976" s="28"/>
      <c r="C4976" s="27"/>
      <c r="D4976" s="27" t="str">
        <f>"""NAV Direct"",""CRONUS JetCorp USA"",""21"",""1"",""355326"""</f>
        <v>"NAV Direct","CRONUS JetCorp USA","21","1","355326"</v>
      </c>
      <c r="E4976" s="31" t="str">
        <f t="shared" si="1507"/>
        <v>C100138</v>
      </c>
      <c r="F4976" s="31"/>
      <c r="G4976" s="31"/>
      <c r="H4976" s="31"/>
      <c r="I4976" s="56"/>
      <c r="J4976" s="56"/>
      <c r="K4976" s="82" t="str">
        <f t="shared" si="1508"/>
        <v>Invoice</v>
      </c>
      <c r="L4976" s="83" t="str">
        <f>"SI_111124"</f>
        <v>SI_111124</v>
      </c>
      <c r="M4976" s="84">
        <v>43305</v>
      </c>
      <c r="N4976" s="85">
        <f t="shared" si="1509"/>
        <v>507</v>
      </c>
      <c r="O4976" s="86">
        <f t="shared" si="1510"/>
        <v>16649.45</v>
      </c>
      <c r="P4976" s="86">
        <f t="shared" si="1511"/>
        <v>0</v>
      </c>
      <c r="Q4976" s="86">
        <f t="shared" si="1512"/>
        <v>0</v>
      </c>
      <c r="R4976" s="86">
        <f t="shared" si="1513"/>
        <v>0</v>
      </c>
      <c r="S4976" s="86">
        <f t="shared" si="1514"/>
        <v>0</v>
      </c>
      <c r="T4976" s="86">
        <f t="shared" si="1515"/>
        <v>16649.45</v>
      </c>
      <c r="U4976" s="87">
        <v>16649.45</v>
      </c>
    </row>
    <row r="4977" spans="1:21" s="30" customFormat="1" ht="24.6" hidden="1" outlineLevel="1" x14ac:dyDescent="0.55000000000000004">
      <c r="A4977" s="27" t="s">
        <v>327</v>
      </c>
      <c r="B4977" s="28"/>
      <c r="C4977" s="27"/>
      <c r="D4977" s="27" t="str">
        <f>"""NAV Direct"",""CRONUS JetCorp USA"",""21"",""1"",""355501"""</f>
        <v>"NAV Direct","CRONUS JetCorp USA","21","1","355501"</v>
      </c>
      <c r="E4977" s="31">
        <f t="shared" si="1507"/>
        <v>0</v>
      </c>
      <c r="F4977" s="31"/>
      <c r="G4977" s="31"/>
      <c r="H4977" s="31"/>
      <c r="I4977" s="56"/>
      <c r="J4977" s="56"/>
      <c r="K4977" s="82" t="str">
        <f t="shared" si="1508"/>
        <v>Invoice</v>
      </c>
      <c r="L4977" s="83" t="str">
        <f>"SI_111129"</f>
        <v>SI_111129</v>
      </c>
      <c r="M4977" s="84">
        <v>43336</v>
      </c>
      <c r="N4977" s="85">
        <f t="shared" si="1509"/>
        <v>476</v>
      </c>
      <c r="O4977" s="86">
        <f t="shared" si="1510"/>
        <v>14483.93</v>
      </c>
      <c r="P4977" s="86">
        <f t="shared" si="1511"/>
        <v>0</v>
      </c>
      <c r="Q4977" s="86">
        <f t="shared" si="1512"/>
        <v>0</v>
      </c>
      <c r="R4977" s="86">
        <f t="shared" si="1513"/>
        <v>0</v>
      </c>
      <c r="S4977" s="86">
        <f t="shared" si="1514"/>
        <v>0</v>
      </c>
      <c r="T4977" s="86">
        <f t="shared" si="1515"/>
        <v>14483.93</v>
      </c>
      <c r="U4977" s="87">
        <v>14483.93</v>
      </c>
    </row>
    <row r="4978" spans="1:21" s="30" customFormat="1" ht="24.6" hidden="1" outlineLevel="1" x14ac:dyDescent="0.55000000000000004">
      <c r="A4978" s="27" t="s">
        <v>327</v>
      </c>
      <c r="B4978" s="28"/>
      <c r="C4978" s="27"/>
      <c r="D4978" s="27" t="str">
        <f>"""NAV Direct"",""CRONUS JetCorp USA"",""21"",""1"",""355550"""</f>
        <v>"NAV Direct","CRONUS JetCorp USA","21","1","355550"</v>
      </c>
      <c r="E4978" s="31" t="str">
        <f t="shared" si="1507"/>
        <v>C100138</v>
      </c>
      <c r="F4978" s="31"/>
      <c r="G4978" s="31"/>
      <c r="H4978" s="31"/>
      <c r="I4978" s="56"/>
      <c r="J4978" s="56"/>
      <c r="K4978" s="82" t="str">
        <f t="shared" si="1508"/>
        <v>Invoice</v>
      </c>
      <c r="L4978" s="83" t="str">
        <f>"SI_111130"</f>
        <v>SI_111130</v>
      </c>
      <c r="M4978" s="84">
        <v>43342</v>
      </c>
      <c r="N4978" s="85">
        <f t="shared" si="1509"/>
        <v>470</v>
      </c>
      <c r="O4978" s="86">
        <f t="shared" si="1510"/>
        <v>14484.84</v>
      </c>
      <c r="P4978" s="86">
        <f t="shared" si="1511"/>
        <v>0</v>
      </c>
      <c r="Q4978" s="86">
        <f t="shared" si="1512"/>
        <v>0</v>
      </c>
      <c r="R4978" s="86">
        <f t="shared" si="1513"/>
        <v>0</v>
      </c>
      <c r="S4978" s="86">
        <f t="shared" si="1514"/>
        <v>0</v>
      </c>
      <c r="T4978" s="86">
        <f t="shared" si="1515"/>
        <v>14484.84</v>
      </c>
      <c r="U4978" s="87">
        <v>14484.84</v>
      </c>
    </row>
    <row r="4979" spans="1:21" s="30" customFormat="1" ht="24.6" hidden="1" outlineLevel="1" x14ac:dyDescent="0.55000000000000004">
      <c r="A4979" s="27" t="s">
        <v>327</v>
      </c>
      <c r="B4979" s="28"/>
      <c r="C4979" s="27"/>
      <c r="D4979" s="27" t="str">
        <f>"""NAV Direct"",""CRONUS JetCorp USA"",""21"",""1"",""355791"""</f>
        <v>"NAV Direct","CRONUS JetCorp USA","21","1","355791"</v>
      </c>
      <c r="E4979" s="31">
        <f t="shared" si="1507"/>
        <v>0</v>
      </c>
      <c r="F4979" s="31"/>
      <c r="G4979" s="31"/>
      <c r="H4979" s="31"/>
      <c r="I4979" s="56"/>
      <c r="J4979" s="56"/>
      <c r="K4979" s="82" t="str">
        <f t="shared" si="1508"/>
        <v>Invoice</v>
      </c>
      <c r="L4979" s="83" t="str">
        <f>"SI_111137"</f>
        <v>SI_111137</v>
      </c>
      <c r="M4979" s="84">
        <v>43391</v>
      </c>
      <c r="N4979" s="85">
        <f t="shared" si="1509"/>
        <v>421</v>
      </c>
      <c r="O4979" s="86">
        <f t="shared" si="1510"/>
        <v>14678.49</v>
      </c>
      <c r="P4979" s="86">
        <f t="shared" si="1511"/>
        <v>0</v>
      </c>
      <c r="Q4979" s="86">
        <f t="shared" si="1512"/>
        <v>0</v>
      </c>
      <c r="R4979" s="86">
        <f t="shared" si="1513"/>
        <v>0</v>
      </c>
      <c r="S4979" s="86">
        <f t="shared" si="1514"/>
        <v>0</v>
      </c>
      <c r="T4979" s="86">
        <f t="shared" si="1515"/>
        <v>14678.49</v>
      </c>
      <c r="U4979" s="87">
        <v>14678.49</v>
      </c>
    </row>
    <row r="4980" spans="1:21" s="30" customFormat="1" ht="24.6" hidden="1" outlineLevel="1" x14ac:dyDescent="0.55000000000000004">
      <c r="A4980" s="27" t="s">
        <v>327</v>
      </c>
      <c r="B4980" s="28"/>
      <c r="C4980" s="27"/>
      <c r="D4980" s="27" t="str">
        <f>"""NAV Direct"",""CRONUS JetCorp USA"",""21"",""1"",""355880"""</f>
        <v>"NAV Direct","CRONUS JetCorp USA","21","1","355880"</v>
      </c>
      <c r="E4980" s="31" t="str">
        <f t="shared" si="1507"/>
        <v>C100138</v>
      </c>
      <c r="F4980" s="31"/>
      <c r="G4980" s="31"/>
      <c r="H4980" s="31"/>
      <c r="I4980" s="56"/>
      <c r="J4980" s="56"/>
      <c r="K4980" s="82" t="str">
        <f t="shared" si="1508"/>
        <v>Invoice</v>
      </c>
      <c r="L4980" s="83" t="str">
        <f>"SI_111140"</f>
        <v>SI_111140</v>
      </c>
      <c r="M4980" s="84">
        <v>43406</v>
      </c>
      <c r="N4980" s="85">
        <f t="shared" si="1509"/>
        <v>406</v>
      </c>
      <c r="O4980" s="86">
        <f t="shared" si="1510"/>
        <v>14830.33</v>
      </c>
      <c r="P4980" s="86">
        <f t="shared" si="1511"/>
        <v>0</v>
      </c>
      <c r="Q4980" s="86">
        <f t="shared" si="1512"/>
        <v>0</v>
      </c>
      <c r="R4980" s="86">
        <f t="shared" si="1513"/>
        <v>0</v>
      </c>
      <c r="S4980" s="86">
        <f t="shared" si="1514"/>
        <v>0</v>
      </c>
      <c r="T4980" s="86">
        <f t="shared" si="1515"/>
        <v>14830.33</v>
      </c>
      <c r="U4980" s="87">
        <v>14830.33</v>
      </c>
    </row>
    <row r="4981" spans="1:21" s="30" customFormat="1" ht="24.6" hidden="1" outlineLevel="1" x14ac:dyDescent="0.55000000000000004">
      <c r="A4981" s="27" t="s">
        <v>327</v>
      </c>
      <c r="B4981" s="28"/>
      <c r="C4981" s="27"/>
      <c r="D4981" s="27" t="str">
        <f>"""NAV Direct"",""CRONUS JetCorp USA"",""21"",""1"",""356139"""</f>
        <v>"NAV Direct","CRONUS JetCorp USA","21","1","356139"</v>
      </c>
      <c r="E4981" s="31">
        <f t="shared" si="1507"/>
        <v>0</v>
      </c>
      <c r="F4981" s="31"/>
      <c r="G4981" s="31"/>
      <c r="H4981" s="31"/>
      <c r="I4981" s="56"/>
      <c r="J4981" s="56"/>
      <c r="K4981" s="82" t="str">
        <f t="shared" si="1508"/>
        <v>Invoice</v>
      </c>
      <c r="L4981" s="83" t="str">
        <f>"SI_111147"</f>
        <v>SI_111147</v>
      </c>
      <c r="M4981" s="84">
        <v>43462</v>
      </c>
      <c r="N4981" s="85">
        <f t="shared" si="1509"/>
        <v>350</v>
      </c>
      <c r="O4981" s="86">
        <f t="shared" si="1510"/>
        <v>19209.349999999999</v>
      </c>
      <c r="P4981" s="86">
        <f t="shared" si="1511"/>
        <v>0</v>
      </c>
      <c r="Q4981" s="86">
        <f t="shared" si="1512"/>
        <v>0</v>
      </c>
      <c r="R4981" s="86">
        <f t="shared" si="1513"/>
        <v>0</v>
      </c>
      <c r="S4981" s="86">
        <f t="shared" si="1514"/>
        <v>0</v>
      </c>
      <c r="T4981" s="86">
        <f t="shared" si="1515"/>
        <v>19209.349999999999</v>
      </c>
      <c r="U4981" s="87">
        <v>19209.349999999999</v>
      </c>
    </row>
    <row r="4982" spans="1:21" s="30" customFormat="1" ht="24.6" hidden="1" outlineLevel="1" x14ac:dyDescent="0.55000000000000004">
      <c r="A4982" s="27" t="s">
        <v>327</v>
      </c>
      <c r="B4982" s="28"/>
      <c r="C4982" s="27"/>
      <c r="D4982" s="27" t="str">
        <f>"""NAV Direct"",""CRONUS JetCorp USA"",""21"",""1"",""356219"""</f>
        <v>"NAV Direct","CRONUS JetCorp USA","21","1","356219"</v>
      </c>
      <c r="E4982" s="31" t="str">
        <f t="shared" si="1507"/>
        <v>C100138</v>
      </c>
      <c r="F4982" s="31"/>
      <c r="G4982" s="31"/>
      <c r="H4982" s="31"/>
      <c r="I4982" s="56"/>
      <c r="J4982" s="56"/>
      <c r="K4982" s="82" t="str">
        <f t="shared" si="1508"/>
        <v>Invoice</v>
      </c>
      <c r="L4982" s="83" t="str">
        <f>"SI_111149"</f>
        <v>SI_111149</v>
      </c>
      <c r="M4982" s="84">
        <v>43465</v>
      </c>
      <c r="N4982" s="85">
        <f t="shared" si="1509"/>
        <v>347</v>
      </c>
      <c r="O4982" s="86">
        <f t="shared" si="1510"/>
        <v>19609.759999999998</v>
      </c>
      <c r="P4982" s="86">
        <f t="shared" si="1511"/>
        <v>0</v>
      </c>
      <c r="Q4982" s="86">
        <f t="shared" si="1512"/>
        <v>0</v>
      </c>
      <c r="R4982" s="86">
        <f t="shared" si="1513"/>
        <v>0</v>
      </c>
      <c r="S4982" s="86">
        <f t="shared" si="1514"/>
        <v>0</v>
      </c>
      <c r="T4982" s="86">
        <f t="shared" si="1515"/>
        <v>19609.759999999998</v>
      </c>
      <c r="U4982" s="87">
        <v>19609.759999999998</v>
      </c>
    </row>
    <row r="4983" spans="1:21" s="30" customFormat="1" ht="24.6" hidden="1" outlineLevel="1" x14ac:dyDescent="0.55000000000000004">
      <c r="A4983" s="27" t="s">
        <v>327</v>
      </c>
      <c r="B4983" s="28"/>
      <c r="C4983" s="27"/>
      <c r="D4983" s="27" t="str">
        <f>"""NAV Direct"",""CRONUS JetCorp USA"",""21"",""1"",""356297"""</f>
        <v>"NAV Direct","CRONUS JetCorp USA","21","1","356297"</v>
      </c>
      <c r="E4983" s="31">
        <f t="shared" si="1507"/>
        <v>0</v>
      </c>
      <c r="F4983" s="31"/>
      <c r="G4983" s="31"/>
      <c r="H4983" s="31"/>
      <c r="I4983" s="56"/>
      <c r="J4983" s="56"/>
      <c r="K4983" s="82" t="str">
        <f t="shared" si="1508"/>
        <v>Invoice</v>
      </c>
      <c r="L4983" s="83" t="str">
        <f>"SI_111151"</f>
        <v>SI_111151</v>
      </c>
      <c r="M4983" s="84">
        <v>43485</v>
      </c>
      <c r="N4983" s="85">
        <f t="shared" si="1509"/>
        <v>327</v>
      </c>
      <c r="O4983" s="86">
        <f t="shared" si="1510"/>
        <v>19209.690000000002</v>
      </c>
      <c r="P4983" s="86">
        <f t="shared" si="1511"/>
        <v>0</v>
      </c>
      <c r="Q4983" s="86">
        <f t="shared" si="1512"/>
        <v>0</v>
      </c>
      <c r="R4983" s="86">
        <f t="shared" si="1513"/>
        <v>0</v>
      </c>
      <c r="S4983" s="86">
        <f t="shared" si="1514"/>
        <v>0</v>
      </c>
      <c r="T4983" s="86">
        <f t="shared" si="1515"/>
        <v>19209.690000000002</v>
      </c>
      <c r="U4983" s="87">
        <v>19209.690000000002</v>
      </c>
    </row>
    <row r="4984" spans="1:21" s="30" customFormat="1" ht="24.6" hidden="1" outlineLevel="1" x14ac:dyDescent="0.55000000000000004">
      <c r="A4984" s="27" t="s">
        <v>327</v>
      </c>
      <c r="B4984" s="28"/>
      <c r="C4984" s="27"/>
      <c r="D4984" s="27" t="str">
        <f>"""NAV Direct"",""CRONUS JetCorp USA"",""21"",""1"",""356412"""</f>
        <v>"NAV Direct","CRONUS JetCorp USA","21","1","356412"</v>
      </c>
      <c r="E4984" s="31" t="str">
        <f t="shared" si="1507"/>
        <v>C100138</v>
      </c>
      <c r="F4984" s="31"/>
      <c r="G4984" s="31"/>
      <c r="H4984" s="31"/>
      <c r="I4984" s="56"/>
      <c r="J4984" s="56"/>
      <c r="K4984" s="82" t="str">
        <f t="shared" si="1508"/>
        <v>Invoice</v>
      </c>
      <c r="L4984" s="83" t="str">
        <f>"SI_111154"</f>
        <v>SI_111154</v>
      </c>
      <c r="M4984" s="84">
        <v>43493</v>
      </c>
      <c r="N4984" s="85">
        <f t="shared" si="1509"/>
        <v>319</v>
      </c>
      <c r="O4984" s="86">
        <f t="shared" si="1510"/>
        <v>19609.649999999998</v>
      </c>
      <c r="P4984" s="86">
        <f t="shared" si="1511"/>
        <v>0</v>
      </c>
      <c r="Q4984" s="86">
        <f t="shared" si="1512"/>
        <v>0</v>
      </c>
      <c r="R4984" s="86">
        <f t="shared" si="1513"/>
        <v>0</v>
      </c>
      <c r="S4984" s="86">
        <f t="shared" si="1514"/>
        <v>0</v>
      </c>
      <c r="T4984" s="86">
        <f t="shared" si="1515"/>
        <v>19609.649999999998</v>
      </c>
      <c r="U4984" s="87">
        <v>19609.649999999998</v>
      </c>
    </row>
    <row r="4985" spans="1:21" s="30" customFormat="1" ht="24.6" hidden="1" outlineLevel="1" x14ac:dyDescent="0.55000000000000004">
      <c r="A4985" s="27" t="s">
        <v>327</v>
      </c>
      <c r="B4985" s="28"/>
      <c r="C4985" s="27"/>
      <c r="D4985" s="27" t="str">
        <f>"""NAV Direct"",""CRONUS JetCorp USA"",""21"",""1"",""356449"""</f>
        <v>"NAV Direct","CRONUS JetCorp USA","21","1","356449"</v>
      </c>
      <c r="E4985" s="31">
        <f t="shared" si="1507"/>
        <v>0</v>
      </c>
      <c r="F4985" s="31"/>
      <c r="G4985" s="31"/>
      <c r="H4985" s="31"/>
      <c r="I4985" s="56"/>
      <c r="J4985" s="56"/>
      <c r="K4985" s="82" t="str">
        <f t="shared" si="1508"/>
        <v>Invoice</v>
      </c>
      <c r="L4985" s="83" t="str">
        <f>"SI_111155"</f>
        <v>SI_111155</v>
      </c>
      <c r="M4985" s="84">
        <v>43495</v>
      </c>
      <c r="N4985" s="85">
        <f t="shared" si="1509"/>
        <v>317</v>
      </c>
      <c r="O4985" s="86">
        <f t="shared" si="1510"/>
        <v>19609.53</v>
      </c>
      <c r="P4985" s="86">
        <f t="shared" si="1511"/>
        <v>0</v>
      </c>
      <c r="Q4985" s="86">
        <f t="shared" si="1512"/>
        <v>0</v>
      </c>
      <c r="R4985" s="86">
        <f t="shared" si="1513"/>
        <v>0</v>
      </c>
      <c r="S4985" s="86">
        <f t="shared" si="1514"/>
        <v>0</v>
      </c>
      <c r="T4985" s="86">
        <f t="shared" si="1515"/>
        <v>19609.53</v>
      </c>
      <c r="U4985" s="87">
        <v>19609.53</v>
      </c>
    </row>
    <row r="4986" spans="1:21" s="30" customFormat="1" ht="24.6" hidden="1" outlineLevel="1" x14ac:dyDescent="0.55000000000000004">
      <c r="A4986" s="27" t="s">
        <v>327</v>
      </c>
      <c r="B4986" s="28"/>
      <c r="C4986" s="27"/>
      <c r="D4986" s="27" t="str">
        <f>"""NAV Direct"",""CRONUS JetCorp USA"",""21"",""1"",""356500"""</f>
        <v>"NAV Direct","CRONUS JetCorp USA","21","1","356500"</v>
      </c>
      <c r="E4986" s="31" t="str">
        <f t="shared" si="1507"/>
        <v>C100138</v>
      </c>
      <c r="F4986" s="31"/>
      <c r="G4986" s="31"/>
      <c r="H4986" s="31"/>
      <c r="I4986" s="56"/>
      <c r="J4986" s="56"/>
      <c r="K4986" s="82" t="str">
        <f t="shared" si="1508"/>
        <v>Invoice</v>
      </c>
      <c r="L4986" s="83" t="str">
        <f>"SI_111156"</f>
        <v>SI_111156</v>
      </c>
      <c r="M4986" s="84">
        <v>43512</v>
      </c>
      <c r="N4986" s="85">
        <f t="shared" si="1509"/>
        <v>300</v>
      </c>
      <c r="O4986" s="86">
        <f t="shared" si="1510"/>
        <v>19119.73</v>
      </c>
      <c r="P4986" s="86">
        <f t="shared" si="1511"/>
        <v>0</v>
      </c>
      <c r="Q4986" s="86">
        <f t="shared" si="1512"/>
        <v>0</v>
      </c>
      <c r="R4986" s="86">
        <f t="shared" si="1513"/>
        <v>0</v>
      </c>
      <c r="S4986" s="86">
        <f t="shared" si="1514"/>
        <v>0</v>
      </c>
      <c r="T4986" s="86">
        <f t="shared" si="1515"/>
        <v>19119.73</v>
      </c>
      <c r="U4986" s="87">
        <v>19119.73</v>
      </c>
    </row>
    <row r="4987" spans="1:21" s="30" customFormat="1" ht="24.6" hidden="1" outlineLevel="1" x14ac:dyDescent="0.55000000000000004">
      <c r="A4987" s="27" t="s">
        <v>327</v>
      </c>
      <c r="B4987" s="28"/>
      <c r="C4987" s="27"/>
      <c r="D4987" s="27" t="str">
        <f>"""NAV Direct"",""CRONUS JetCorp USA"",""21"",""1"",""356729"""</f>
        <v>"NAV Direct","CRONUS JetCorp USA","21","1","356729"</v>
      </c>
      <c r="E4987" s="31">
        <f t="shared" si="1507"/>
        <v>0</v>
      </c>
      <c r="F4987" s="31"/>
      <c r="G4987" s="31"/>
      <c r="H4987" s="31"/>
      <c r="I4987" s="56"/>
      <c r="J4987" s="56"/>
      <c r="K4987" s="82" t="str">
        <f t="shared" si="1508"/>
        <v>Invoice</v>
      </c>
      <c r="L4987" s="83" t="str">
        <f>"SI_111163"</f>
        <v>SI_111163</v>
      </c>
      <c r="M4987" s="84">
        <v>43550</v>
      </c>
      <c r="N4987" s="85">
        <f t="shared" si="1509"/>
        <v>262</v>
      </c>
      <c r="O4987" s="86">
        <f t="shared" si="1510"/>
        <v>17698.73</v>
      </c>
      <c r="P4987" s="86">
        <f t="shared" si="1511"/>
        <v>0</v>
      </c>
      <c r="Q4987" s="86">
        <f t="shared" si="1512"/>
        <v>0</v>
      </c>
      <c r="R4987" s="86">
        <f t="shared" si="1513"/>
        <v>0</v>
      </c>
      <c r="S4987" s="86">
        <f t="shared" si="1514"/>
        <v>0</v>
      </c>
      <c r="T4987" s="86">
        <f t="shared" si="1515"/>
        <v>17698.73</v>
      </c>
      <c r="U4987" s="87">
        <v>17698.73</v>
      </c>
    </row>
    <row r="4988" spans="1:21" s="30" customFormat="1" ht="24.6" hidden="1" outlineLevel="1" x14ac:dyDescent="0.55000000000000004">
      <c r="A4988" s="27" t="s">
        <v>327</v>
      </c>
      <c r="B4988" s="28"/>
      <c r="C4988" s="27"/>
      <c r="D4988" s="27" t="str">
        <f>"""NAV Direct"",""CRONUS JetCorp USA"",""21"",""1"",""356791"""</f>
        <v>"NAV Direct","CRONUS JetCorp USA","21","1","356791"</v>
      </c>
      <c r="E4988" s="31" t="str">
        <f t="shared" si="1507"/>
        <v>C100138</v>
      </c>
      <c r="F4988" s="31"/>
      <c r="G4988" s="31"/>
      <c r="H4988" s="31"/>
      <c r="I4988" s="56"/>
      <c r="J4988" s="56"/>
      <c r="K4988" s="82" t="str">
        <f t="shared" si="1508"/>
        <v>Invoice</v>
      </c>
      <c r="L4988" s="83" t="str">
        <f>"SI_111165"</f>
        <v>SI_111165</v>
      </c>
      <c r="M4988" s="84">
        <v>43574</v>
      </c>
      <c r="N4988" s="85">
        <f t="shared" si="1509"/>
        <v>238</v>
      </c>
      <c r="O4988" s="86">
        <f t="shared" si="1510"/>
        <v>19874.25</v>
      </c>
      <c r="P4988" s="86">
        <f t="shared" si="1511"/>
        <v>0</v>
      </c>
      <c r="Q4988" s="86">
        <f t="shared" si="1512"/>
        <v>0</v>
      </c>
      <c r="R4988" s="86">
        <f t="shared" si="1513"/>
        <v>0</v>
      </c>
      <c r="S4988" s="86">
        <f t="shared" si="1514"/>
        <v>0</v>
      </c>
      <c r="T4988" s="86">
        <f t="shared" si="1515"/>
        <v>19874.25</v>
      </c>
      <c r="U4988" s="87">
        <v>19874.25</v>
      </c>
    </row>
    <row r="4989" spans="1:21" s="30" customFormat="1" ht="24.6" hidden="1" outlineLevel="1" x14ac:dyDescent="0.55000000000000004">
      <c r="A4989" s="27" t="s">
        <v>327</v>
      </c>
      <c r="B4989" s="28"/>
      <c r="C4989" s="27"/>
      <c r="D4989" s="27" t="str">
        <f>"""NAV Direct"",""CRONUS JetCorp USA"",""21"",""1"",""356842"""</f>
        <v>"NAV Direct","CRONUS JetCorp USA","21","1","356842"</v>
      </c>
      <c r="E4989" s="31">
        <f t="shared" si="1507"/>
        <v>0</v>
      </c>
      <c r="F4989" s="31"/>
      <c r="G4989" s="31"/>
      <c r="H4989" s="31"/>
      <c r="I4989" s="56"/>
      <c r="J4989" s="56"/>
      <c r="K4989" s="82" t="str">
        <f t="shared" si="1508"/>
        <v>Invoice</v>
      </c>
      <c r="L4989" s="83" t="str">
        <f>"SI_111166"</f>
        <v>SI_111166</v>
      </c>
      <c r="M4989" s="84">
        <v>43583</v>
      </c>
      <c r="N4989" s="85">
        <f t="shared" si="1509"/>
        <v>229</v>
      </c>
      <c r="O4989" s="86">
        <f t="shared" si="1510"/>
        <v>19874.990000000002</v>
      </c>
      <c r="P4989" s="86">
        <f t="shared" si="1511"/>
        <v>0</v>
      </c>
      <c r="Q4989" s="86">
        <f t="shared" si="1512"/>
        <v>0</v>
      </c>
      <c r="R4989" s="86">
        <f t="shared" si="1513"/>
        <v>0</v>
      </c>
      <c r="S4989" s="86">
        <f t="shared" si="1514"/>
        <v>0</v>
      </c>
      <c r="T4989" s="86">
        <f t="shared" si="1515"/>
        <v>19874.990000000002</v>
      </c>
      <c r="U4989" s="87">
        <v>19874.990000000002</v>
      </c>
    </row>
    <row r="4990" spans="1:21" s="30" customFormat="1" ht="24.6" hidden="1" outlineLevel="1" x14ac:dyDescent="0.55000000000000004">
      <c r="A4990" s="27" t="s">
        <v>327</v>
      </c>
      <c r="B4990" s="28"/>
      <c r="C4990" s="27"/>
      <c r="D4990" s="27" t="str">
        <f>"""NAV Direct"",""CRONUS JetCorp USA"",""21"",""1"",""357039"""</f>
        <v>"NAV Direct","CRONUS JetCorp USA","21","1","357039"</v>
      </c>
      <c r="E4990" s="31" t="str">
        <f t="shared" si="1507"/>
        <v>C100138</v>
      </c>
      <c r="F4990" s="31"/>
      <c r="G4990" s="31"/>
      <c r="H4990" s="31"/>
      <c r="I4990" s="56"/>
      <c r="J4990" s="56"/>
      <c r="K4990" s="82" t="str">
        <f t="shared" si="1508"/>
        <v>Invoice</v>
      </c>
      <c r="L4990" s="83" t="str">
        <f>"SI_111171"</f>
        <v>SI_111171</v>
      </c>
      <c r="M4990" s="84">
        <v>43603</v>
      </c>
      <c r="N4990" s="85">
        <f t="shared" si="1509"/>
        <v>209</v>
      </c>
      <c r="O4990" s="86">
        <f t="shared" si="1510"/>
        <v>22228.05</v>
      </c>
      <c r="P4990" s="86">
        <f t="shared" si="1511"/>
        <v>0</v>
      </c>
      <c r="Q4990" s="86">
        <f t="shared" si="1512"/>
        <v>0</v>
      </c>
      <c r="R4990" s="86">
        <f t="shared" si="1513"/>
        <v>0</v>
      </c>
      <c r="S4990" s="86">
        <f t="shared" si="1514"/>
        <v>0</v>
      </c>
      <c r="T4990" s="86">
        <f t="shared" si="1515"/>
        <v>22228.05</v>
      </c>
      <c r="U4990" s="87">
        <v>22228.05</v>
      </c>
    </row>
    <row r="4991" spans="1:21" s="30" customFormat="1" ht="24.6" hidden="1" outlineLevel="1" x14ac:dyDescent="0.55000000000000004">
      <c r="A4991" s="27" t="s">
        <v>327</v>
      </c>
      <c r="B4991" s="28"/>
      <c r="C4991" s="27"/>
      <c r="D4991" s="27" t="str">
        <f>"""NAV Direct"",""CRONUS JetCorp USA"",""21"",""1"",""357127"""</f>
        <v>"NAV Direct","CRONUS JetCorp USA","21","1","357127"</v>
      </c>
      <c r="E4991" s="31">
        <f t="shared" si="1507"/>
        <v>0</v>
      </c>
      <c r="F4991" s="31"/>
      <c r="G4991" s="31"/>
      <c r="H4991" s="31"/>
      <c r="I4991" s="56"/>
      <c r="J4991" s="56"/>
      <c r="K4991" s="82" t="str">
        <f t="shared" si="1508"/>
        <v>Invoice</v>
      </c>
      <c r="L4991" s="83" t="str">
        <f>"SI_111173"</f>
        <v>SI_111173</v>
      </c>
      <c r="M4991" s="84">
        <v>43610</v>
      </c>
      <c r="N4991" s="85">
        <f t="shared" si="1509"/>
        <v>202</v>
      </c>
      <c r="O4991" s="86">
        <f t="shared" si="1510"/>
        <v>22458.400000000001</v>
      </c>
      <c r="P4991" s="86">
        <f t="shared" si="1511"/>
        <v>0</v>
      </c>
      <c r="Q4991" s="86">
        <f t="shared" si="1512"/>
        <v>0</v>
      </c>
      <c r="R4991" s="86">
        <f t="shared" si="1513"/>
        <v>0</v>
      </c>
      <c r="S4991" s="86">
        <f t="shared" si="1514"/>
        <v>0</v>
      </c>
      <c r="T4991" s="86">
        <f t="shared" si="1515"/>
        <v>22458.400000000001</v>
      </c>
      <c r="U4991" s="87">
        <v>22458.400000000001</v>
      </c>
    </row>
    <row r="4992" spans="1:21" s="30" customFormat="1" ht="24.6" hidden="1" outlineLevel="1" x14ac:dyDescent="0.55000000000000004">
      <c r="A4992" s="27" t="s">
        <v>327</v>
      </c>
      <c r="B4992" s="28"/>
      <c r="C4992" s="27"/>
      <c r="D4992" s="27" t="str">
        <f>"""NAV Direct"",""CRONUS JetCorp USA"",""21"",""1"",""357242"""</f>
        <v>"NAV Direct","CRONUS JetCorp USA","21","1","357242"</v>
      </c>
      <c r="E4992" s="31" t="str">
        <f t="shared" si="1507"/>
        <v>C100138</v>
      </c>
      <c r="F4992" s="31"/>
      <c r="G4992" s="31"/>
      <c r="H4992" s="31"/>
      <c r="I4992" s="56"/>
      <c r="J4992" s="56"/>
      <c r="K4992" s="82" t="str">
        <f t="shared" si="1508"/>
        <v>Invoice</v>
      </c>
      <c r="L4992" s="83" t="str">
        <f>"SI_111176"</f>
        <v>SI_111176</v>
      </c>
      <c r="M4992" s="84">
        <v>43629</v>
      </c>
      <c r="N4992" s="85">
        <f t="shared" si="1509"/>
        <v>183</v>
      </c>
      <c r="O4992" s="86">
        <f t="shared" si="1510"/>
        <v>25630.510000000002</v>
      </c>
      <c r="P4992" s="86">
        <f t="shared" si="1511"/>
        <v>0</v>
      </c>
      <c r="Q4992" s="86">
        <f t="shared" si="1512"/>
        <v>0</v>
      </c>
      <c r="R4992" s="86">
        <f t="shared" si="1513"/>
        <v>0</v>
      </c>
      <c r="S4992" s="86">
        <f t="shared" si="1514"/>
        <v>0</v>
      </c>
      <c r="T4992" s="86">
        <f t="shared" si="1515"/>
        <v>25630.510000000002</v>
      </c>
      <c r="U4992" s="87">
        <v>25630.510000000002</v>
      </c>
    </row>
    <row r="4993" spans="1:21" s="30" customFormat="1" ht="24.6" hidden="1" outlineLevel="1" x14ac:dyDescent="0.55000000000000004">
      <c r="A4993" s="27" t="s">
        <v>327</v>
      </c>
      <c r="B4993" s="28"/>
      <c r="C4993" s="27"/>
      <c r="D4993" s="27" t="str">
        <f>"""NAV Direct"",""CRONUS JetCorp USA"",""21"",""1"",""357704"""</f>
        <v>"NAV Direct","CRONUS JetCorp USA","21","1","357704"</v>
      </c>
      <c r="E4993" s="31">
        <f t="shared" si="1507"/>
        <v>0</v>
      </c>
      <c r="F4993" s="31"/>
      <c r="G4993" s="31"/>
      <c r="H4993" s="31"/>
      <c r="I4993" s="56"/>
      <c r="J4993" s="56"/>
      <c r="K4993" s="82" t="str">
        <f t="shared" si="1508"/>
        <v>Invoice</v>
      </c>
      <c r="L4993" s="83" t="str">
        <f>"SI_111188"</f>
        <v>SI_111188</v>
      </c>
      <c r="M4993" s="84">
        <v>43697</v>
      </c>
      <c r="N4993" s="85">
        <f t="shared" si="1509"/>
        <v>115</v>
      </c>
      <c r="O4993" s="86">
        <f t="shared" si="1510"/>
        <v>14386.28</v>
      </c>
      <c r="P4993" s="86">
        <f t="shared" si="1511"/>
        <v>0</v>
      </c>
      <c r="Q4993" s="86">
        <f t="shared" si="1512"/>
        <v>0</v>
      </c>
      <c r="R4993" s="86">
        <f t="shared" si="1513"/>
        <v>0</v>
      </c>
      <c r="S4993" s="86">
        <f t="shared" si="1514"/>
        <v>0</v>
      </c>
      <c r="T4993" s="86">
        <f t="shared" si="1515"/>
        <v>14386.28</v>
      </c>
      <c r="U4993" s="87">
        <v>14386.28</v>
      </c>
    </row>
    <row r="4994" spans="1:21" s="30" customFormat="1" ht="24.6" hidden="1" outlineLevel="1" x14ac:dyDescent="0.55000000000000004">
      <c r="A4994" s="27" t="s">
        <v>327</v>
      </c>
      <c r="B4994" s="28"/>
      <c r="C4994" s="27"/>
      <c r="D4994" s="27" t="str">
        <f>"""NAV Direct"",""CRONUS JetCorp USA"",""21"",""1"",""358370"""</f>
        <v>"NAV Direct","CRONUS JetCorp USA","21","1","358370"</v>
      </c>
      <c r="E4994" s="31" t="str">
        <f t="shared" si="1507"/>
        <v>C100138</v>
      </c>
      <c r="F4994" s="31"/>
      <c r="G4994" s="31"/>
      <c r="H4994" s="31"/>
      <c r="I4994" s="56"/>
      <c r="J4994" s="56"/>
      <c r="K4994" s="82" t="str">
        <f t="shared" si="1508"/>
        <v>Invoice</v>
      </c>
      <c r="L4994" s="83" t="str">
        <f>"SI_111206"</f>
        <v>SI_111206</v>
      </c>
      <c r="M4994" s="84">
        <v>43827</v>
      </c>
      <c r="N4994" s="85">
        <f t="shared" si="1509"/>
        <v>-15</v>
      </c>
      <c r="O4994" s="86">
        <f t="shared" si="1510"/>
        <v>16806.32</v>
      </c>
      <c r="P4994" s="86">
        <f t="shared" si="1511"/>
        <v>16806.32</v>
      </c>
      <c r="Q4994" s="86">
        <f t="shared" si="1512"/>
        <v>0</v>
      </c>
      <c r="R4994" s="86">
        <f t="shared" si="1513"/>
        <v>0</v>
      </c>
      <c r="S4994" s="86">
        <f t="shared" si="1514"/>
        <v>0</v>
      </c>
      <c r="T4994" s="86">
        <f t="shared" si="1515"/>
        <v>0</v>
      </c>
      <c r="U4994" s="87">
        <v>16806.32</v>
      </c>
    </row>
    <row r="4995" spans="1:21" s="30" customFormat="1" ht="24.6" hidden="1" outlineLevel="1" x14ac:dyDescent="0.55000000000000004">
      <c r="A4995" s="27" t="s">
        <v>327</v>
      </c>
      <c r="B4995" s="28"/>
      <c r="C4995" s="27"/>
      <c r="D4995" s="27" t="str">
        <f>"""NAV Direct"",""CRONUS JetCorp USA"",""21"",""1"",""358395"""</f>
        <v>"NAV Direct","CRONUS JetCorp USA","21","1","358395"</v>
      </c>
      <c r="E4995" s="31">
        <f t="shared" si="1507"/>
        <v>0</v>
      </c>
      <c r="F4995" s="31"/>
      <c r="G4995" s="31"/>
      <c r="H4995" s="31"/>
      <c r="I4995" s="56"/>
      <c r="J4995" s="56"/>
      <c r="K4995" s="82" t="str">
        <f t="shared" si="1508"/>
        <v>Invoice</v>
      </c>
      <c r="L4995" s="83" t="str">
        <f>"SI_111207"</f>
        <v>SI_111207</v>
      </c>
      <c r="M4995" s="84">
        <v>42026</v>
      </c>
      <c r="N4995" s="85">
        <f t="shared" si="1509"/>
        <v>1786</v>
      </c>
      <c r="O4995" s="86">
        <f t="shared" si="1510"/>
        <v>14369.43</v>
      </c>
      <c r="P4995" s="86">
        <f t="shared" si="1511"/>
        <v>0</v>
      </c>
      <c r="Q4995" s="86">
        <f t="shared" si="1512"/>
        <v>0</v>
      </c>
      <c r="R4995" s="86">
        <f t="shared" si="1513"/>
        <v>0</v>
      </c>
      <c r="S4995" s="86">
        <f t="shared" si="1514"/>
        <v>0</v>
      </c>
      <c r="T4995" s="86">
        <f t="shared" si="1515"/>
        <v>14369.43</v>
      </c>
      <c r="U4995" s="87">
        <v>14369.43</v>
      </c>
    </row>
    <row r="4996" spans="1:21" s="30" customFormat="1" ht="24.6" hidden="1" outlineLevel="1" x14ac:dyDescent="0.55000000000000004">
      <c r="A4996" s="27" t="s">
        <v>327</v>
      </c>
      <c r="B4996" s="28"/>
      <c r="C4996" s="27"/>
      <c r="D4996" s="27" t="str">
        <f>"""NAV Direct"",""CRONUS JetCorp USA"",""21"",""1"",""358990"""</f>
        <v>"NAV Direct","CRONUS JetCorp USA","21","1","358990"</v>
      </c>
      <c r="E4996" s="31" t="str">
        <f t="shared" si="1507"/>
        <v>C100138</v>
      </c>
      <c r="F4996" s="31"/>
      <c r="G4996" s="31"/>
      <c r="H4996" s="31"/>
      <c r="I4996" s="56"/>
      <c r="J4996" s="56"/>
      <c r="K4996" s="82" t="str">
        <f t="shared" si="1508"/>
        <v>Invoice</v>
      </c>
      <c r="L4996" s="83" t="str">
        <f>"SI_111224"</f>
        <v>SI_111224</v>
      </c>
      <c r="M4996" s="84">
        <v>42125</v>
      </c>
      <c r="N4996" s="85">
        <f t="shared" si="1509"/>
        <v>1687</v>
      </c>
      <c r="O4996" s="86">
        <f t="shared" si="1510"/>
        <v>13751.490000000002</v>
      </c>
      <c r="P4996" s="86">
        <f t="shared" si="1511"/>
        <v>0</v>
      </c>
      <c r="Q4996" s="86">
        <f t="shared" si="1512"/>
        <v>0</v>
      </c>
      <c r="R4996" s="86">
        <f t="shared" si="1513"/>
        <v>0</v>
      </c>
      <c r="S4996" s="86">
        <f t="shared" si="1514"/>
        <v>0</v>
      </c>
      <c r="T4996" s="86">
        <f t="shared" si="1515"/>
        <v>13751.490000000002</v>
      </c>
      <c r="U4996" s="87">
        <v>13751.490000000002</v>
      </c>
    </row>
    <row r="4997" spans="1:21" s="30" customFormat="1" ht="24.6" hidden="1" outlineLevel="1" x14ac:dyDescent="0.55000000000000004">
      <c r="A4997" s="27" t="s">
        <v>327</v>
      </c>
      <c r="B4997" s="28"/>
      <c r="C4997" s="27"/>
      <c r="D4997" s="27" t="str">
        <f>"""NAV Direct"",""CRONUS JetCorp USA"",""21"",""1"",""359027"""</f>
        <v>"NAV Direct","CRONUS JetCorp USA","21","1","359027"</v>
      </c>
      <c r="E4997" s="31">
        <f t="shared" si="1507"/>
        <v>0</v>
      </c>
      <c r="F4997" s="31"/>
      <c r="G4997" s="31"/>
      <c r="H4997" s="31"/>
      <c r="I4997" s="56"/>
      <c r="J4997" s="56"/>
      <c r="K4997" s="82" t="str">
        <f t="shared" si="1508"/>
        <v>Invoice</v>
      </c>
      <c r="L4997" s="83" t="str">
        <f>"SI_111225"</f>
        <v>SI_111225</v>
      </c>
      <c r="M4997" s="84">
        <v>42144</v>
      </c>
      <c r="N4997" s="85">
        <f t="shared" si="1509"/>
        <v>1668</v>
      </c>
      <c r="O4997" s="86">
        <f t="shared" si="1510"/>
        <v>15538.13</v>
      </c>
      <c r="P4997" s="86">
        <f t="shared" si="1511"/>
        <v>0</v>
      </c>
      <c r="Q4997" s="86">
        <f t="shared" si="1512"/>
        <v>0</v>
      </c>
      <c r="R4997" s="86">
        <f t="shared" si="1513"/>
        <v>0</v>
      </c>
      <c r="S4997" s="86">
        <f t="shared" si="1514"/>
        <v>0</v>
      </c>
      <c r="T4997" s="86">
        <f t="shared" si="1515"/>
        <v>15538.13</v>
      </c>
      <c r="U4997" s="87">
        <v>15538.13</v>
      </c>
    </row>
    <row r="4998" spans="1:21" s="30" customFormat="1" ht="24.6" hidden="1" outlineLevel="1" x14ac:dyDescent="0.55000000000000004">
      <c r="A4998" s="27" t="s">
        <v>327</v>
      </c>
      <c r="B4998" s="28"/>
      <c r="C4998" s="27"/>
      <c r="D4998" s="27" t="str">
        <f>"""NAV Direct"",""CRONUS JetCorp USA"",""21"",""1"",""359337"""</f>
        <v>"NAV Direct","CRONUS JetCorp USA","21","1","359337"</v>
      </c>
      <c r="E4998" s="31" t="str">
        <f t="shared" si="1507"/>
        <v>C100138</v>
      </c>
      <c r="F4998" s="31"/>
      <c r="G4998" s="31"/>
      <c r="H4998" s="31"/>
      <c r="I4998" s="56"/>
      <c r="J4998" s="56"/>
      <c r="K4998" s="82" t="str">
        <f t="shared" si="1508"/>
        <v>Invoice</v>
      </c>
      <c r="L4998" s="83" t="str">
        <f>"SI_111233"</f>
        <v>SI_111233</v>
      </c>
      <c r="M4998" s="84">
        <v>42176</v>
      </c>
      <c r="N4998" s="85">
        <f t="shared" si="1509"/>
        <v>1636</v>
      </c>
      <c r="O4998" s="86">
        <f t="shared" si="1510"/>
        <v>18103.21</v>
      </c>
      <c r="P4998" s="86">
        <f t="shared" si="1511"/>
        <v>0</v>
      </c>
      <c r="Q4998" s="86">
        <f t="shared" si="1512"/>
        <v>0</v>
      </c>
      <c r="R4998" s="86">
        <f t="shared" si="1513"/>
        <v>0</v>
      </c>
      <c r="S4998" s="86">
        <f t="shared" si="1514"/>
        <v>0</v>
      </c>
      <c r="T4998" s="86">
        <f t="shared" si="1515"/>
        <v>18103.21</v>
      </c>
      <c r="U4998" s="87">
        <v>18103.21</v>
      </c>
    </row>
    <row r="4999" spans="1:21" s="30" customFormat="1" ht="24.6" hidden="1" outlineLevel="1" x14ac:dyDescent="0.55000000000000004">
      <c r="A4999" s="27" t="s">
        <v>327</v>
      </c>
      <c r="B4999" s="28"/>
      <c r="C4999" s="27"/>
      <c r="D4999" s="27" t="str">
        <f>"""NAV Direct"",""CRONUS JetCorp USA"",""21"",""1"",""359467"""</f>
        <v>"NAV Direct","CRONUS JetCorp USA","21","1","359467"</v>
      </c>
      <c r="E4999" s="31">
        <f t="shared" si="1507"/>
        <v>0</v>
      </c>
      <c r="F4999" s="31"/>
      <c r="G4999" s="31"/>
      <c r="H4999" s="31"/>
      <c r="I4999" s="56"/>
      <c r="J4999" s="56"/>
      <c r="K4999" s="82" t="str">
        <f t="shared" si="1508"/>
        <v>Invoice</v>
      </c>
      <c r="L4999" s="83" t="str">
        <f>"SI_111237"</f>
        <v>SI_111237</v>
      </c>
      <c r="M4999" s="84">
        <v>42186</v>
      </c>
      <c r="N4999" s="85">
        <f t="shared" si="1509"/>
        <v>1626</v>
      </c>
      <c r="O4999" s="86">
        <f t="shared" si="1510"/>
        <v>18102.63</v>
      </c>
      <c r="P4999" s="86">
        <f t="shared" si="1511"/>
        <v>0</v>
      </c>
      <c r="Q4999" s="86">
        <f t="shared" si="1512"/>
        <v>0</v>
      </c>
      <c r="R4999" s="86">
        <f t="shared" si="1513"/>
        <v>0</v>
      </c>
      <c r="S4999" s="86">
        <f t="shared" si="1514"/>
        <v>0</v>
      </c>
      <c r="T4999" s="86">
        <f t="shared" si="1515"/>
        <v>18102.63</v>
      </c>
      <c r="U4999" s="87">
        <v>18102.63</v>
      </c>
    </row>
    <row r="5000" spans="1:21" s="30" customFormat="1" ht="24.6" hidden="1" outlineLevel="1" x14ac:dyDescent="0.55000000000000004">
      <c r="A5000" s="27" t="s">
        <v>327</v>
      </c>
      <c r="B5000" s="28"/>
      <c r="C5000" s="27"/>
      <c r="D5000" s="27" t="str">
        <f>"""NAV Direct"",""CRONUS JetCorp USA"",""21"",""1"",""359543"""</f>
        <v>"NAV Direct","CRONUS JetCorp USA","21","1","359543"</v>
      </c>
      <c r="E5000" s="31" t="str">
        <f t="shared" si="1507"/>
        <v>C100138</v>
      </c>
      <c r="F5000" s="31"/>
      <c r="G5000" s="31"/>
      <c r="H5000" s="31"/>
      <c r="I5000" s="56"/>
      <c r="J5000" s="56"/>
      <c r="K5000" s="82" t="str">
        <f t="shared" si="1508"/>
        <v>Invoice</v>
      </c>
      <c r="L5000" s="83" t="str">
        <f>"SI_111239"</f>
        <v>SI_111239</v>
      </c>
      <c r="M5000" s="84">
        <v>42188</v>
      </c>
      <c r="N5000" s="85">
        <f t="shared" si="1509"/>
        <v>1624</v>
      </c>
      <c r="O5000" s="86">
        <f t="shared" si="1510"/>
        <v>18102.98</v>
      </c>
      <c r="P5000" s="86">
        <f t="shared" si="1511"/>
        <v>0</v>
      </c>
      <c r="Q5000" s="86">
        <f t="shared" si="1512"/>
        <v>0</v>
      </c>
      <c r="R5000" s="86">
        <f t="shared" si="1513"/>
        <v>0</v>
      </c>
      <c r="S5000" s="86">
        <f t="shared" si="1514"/>
        <v>0</v>
      </c>
      <c r="T5000" s="86">
        <f t="shared" si="1515"/>
        <v>18102.98</v>
      </c>
      <c r="U5000" s="87">
        <v>18102.98</v>
      </c>
    </row>
    <row r="5001" spans="1:21" s="30" customFormat="1" ht="24.6" hidden="1" outlineLevel="1" x14ac:dyDescent="0.55000000000000004">
      <c r="A5001" s="27" t="s">
        <v>327</v>
      </c>
      <c r="B5001" s="28"/>
      <c r="C5001" s="27"/>
      <c r="D5001" s="27" t="str">
        <f>"""NAV Direct"",""CRONUS JetCorp USA"",""21"",""1"",""359576"""</f>
        <v>"NAV Direct","CRONUS JetCorp USA","21","1","359576"</v>
      </c>
      <c r="E5001" s="31">
        <f t="shared" si="1507"/>
        <v>0</v>
      </c>
      <c r="F5001" s="31"/>
      <c r="G5001" s="31"/>
      <c r="H5001" s="31"/>
      <c r="I5001" s="56"/>
      <c r="J5001" s="56"/>
      <c r="K5001" s="82" t="str">
        <f t="shared" si="1508"/>
        <v>Invoice</v>
      </c>
      <c r="L5001" s="83" t="str">
        <f>"SI_111240"</f>
        <v>SI_111240</v>
      </c>
      <c r="M5001" s="84">
        <v>42187</v>
      </c>
      <c r="N5001" s="85">
        <f t="shared" si="1509"/>
        <v>1625</v>
      </c>
      <c r="O5001" s="86">
        <f t="shared" si="1510"/>
        <v>18102.64</v>
      </c>
      <c r="P5001" s="86">
        <f t="shared" si="1511"/>
        <v>0</v>
      </c>
      <c r="Q5001" s="86">
        <f t="shared" si="1512"/>
        <v>0</v>
      </c>
      <c r="R5001" s="86">
        <f t="shared" si="1513"/>
        <v>0</v>
      </c>
      <c r="S5001" s="86">
        <f t="shared" si="1514"/>
        <v>0</v>
      </c>
      <c r="T5001" s="86">
        <f t="shared" si="1515"/>
        <v>18102.64</v>
      </c>
      <c r="U5001" s="87">
        <v>18102.64</v>
      </c>
    </row>
    <row r="5002" spans="1:21" s="30" customFormat="1" ht="24.6" hidden="1" outlineLevel="1" x14ac:dyDescent="0.55000000000000004">
      <c r="A5002" s="27" t="s">
        <v>327</v>
      </c>
      <c r="B5002" s="28"/>
      <c r="C5002" s="27"/>
      <c r="D5002" s="27" t="str">
        <f>"""NAV Direct"",""CRONUS JetCorp USA"",""21"",""1"",""359758"""</f>
        <v>"NAV Direct","CRONUS JetCorp USA","21","1","359758"</v>
      </c>
      <c r="E5002" s="31" t="str">
        <f t="shared" si="1507"/>
        <v>C100138</v>
      </c>
      <c r="F5002" s="31"/>
      <c r="G5002" s="31"/>
      <c r="H5002" s="31"/>
      <c r="I5002" s="56"/>
      <c r="J5002" s="56"/>
      <c r="K5002" s="82" t="str">
        <f t="shared" si="1508"/>
        <v>Invoice</v>
      </c>
      <c r="L5002" s="83" t="str">
        <f>"SI_111246"</f>
        <v>SI_111246</v>
      </c>
      <c r="M5002" s="84">
        <v>42236</v>
      </c>
      <c r="N5002" s="85">
        <f t="shared" si="1509"/>
        <v>1576</v>
      </c>
      <c r="O5002" s="86">
        <f t="shared" si="1510"/>
        <v>9953.18</v>
      </c>
      <c r="P5002" s="86">
        <f t="shared" si="1511"/>
        <v>0</v>
      </c>
      <c r="Q5002" s="86">
        <f t="shared" si="1512"/>
        <v>0</v>
      </c>
      <c r="R5002" s="86">
        <f t="shared" si="1513"/>
        <v>0</v>
      </c>
      <c r="S5002" s="86">
        <f t="shared" si="1514"/>
        <v>0</v>
      </c>
      <c r="T5002" s="86">
        <f t="shared" si="1515"/>
        <v>9953.18</v>
      </c>
      <c r="U5002" s="87">
        <v>9953.18</v>
      </c>
    </row>
    <row r="5003" spans="1:21" s="30" customFormat="1" ht="24.6" hidden="1" outlineLevel="1" x14ac:dyDescent="0.55000000000000004">
      <c r="A5003" s="27" t="s">
        <v>327</v>
      </c>
      <c r="B5003" s="28"/>
      <c r="C5003" s="27"/>
      <c r="D5003" s="27" t="str">
        <f>"""NAV Direct"",""CRONUS JetCorp USA"",""21"",""1"",""360047"""</f>
        <v>"NAV Direct","CRONUS JetCorp USA","21","1","360047"</v>
      </c>
      <c r="E5003" s="31">
        <f t="shared" si="1507"/>
        <v>0</v>
      </c>
      <c r="F5003" s="31"/>
      <c r="G5003" s="31"/>
      <c r="H5003" s="31"/>
      <c r="I5003" s="56"/>
      <c r="J5003" s="56"/>
      <c r="K5003" s="82" t="str">
        <f t="shared" si="1508"/>
        <v>Invoice</v>
      </c>
      <c r="L5003" s="83" t="str">
        <f>"SI_111255"</f>
        <v>SI_111255</v>
      </c>
      <c r="M5003" s="84">
        <v>42300</v>
      </c>
      <c r="N5003" s="85">
        <f t="shared" si="1509"/>
        <v>1512</v>
      </c>
      <c r="O5003" s="86">
        <f t="shared" si="1510"/>
        <v>9854.6</v>
      </c>
      <c r="P5003" s="86">
        <f t="shared" si="1511"/>
        <v>0</v>
      </c>
      <c r="Q5003" s="86">
        <f t="shared" si="1512"/>
        <v>0</v>
      </c>
      <c r="R5003" s="86">
        <f t="shared" si="1513"/>
        <v>0</v>
      </c>
      <c r="S5003" s="86">
        <f t="shared" si="1514"/>
        <v>0</v>
      </c>
      <c r="T5003" s="86">
        <f t="shared" si="1515"/>
        <v>9854.6</v>
      </c>
      <c r="U5003" s="87">
        <v>9854.6</v>
      </c>
    </row>
    <row r="5004" spans="1:21" s="30" customFormat="1" ht="24.6" hidden="1" outlineLevel="1" x14ac:dyDescent="0.55000000000000004">
      <c r="A5004" s="27" t="s">
        <v>327</v>
      </c>
      <c r="B5004" s="28"/>
      <c r="C5004" s="27"/>
      <c r="D5004" s="27" t="str">
        <f>"""NAV Direct"",""CRONUS JetCorp USA"",""21"",""1"",""360425"""</f>
        <v>"NAV Direct","CRONUS JetCorp USA","21","1","360425"</v>
      </c>
      <c r="E5004" s="31" t="str">
        <f t="shared" si="1507"/>
        <v>C100138</v>
      </c>
      <c r="F5004" s="31"/>
      <c r="G5004" s="31"/>
      <c r="H5004" s="31"/>
      <c r="I5004" s="56"/>
      <c r="J5004" s="56"/>
      <c r="K5004" s="82" t="str">
        <f t="shared" si="1508"/>
        <v>Invoice</v>
      </c>
      <c r="L5004" s="83" t="str">
        <f>"SI_111267"</f>
        <v>SI_111267</v>
      </c>
      <c r="M5004" s="84">
        <v>42334</v>
      </c>
      <c r="N5004" s="85">
        <f t="shared" si="1509"/>
        <v>1478</v>
      </c>
      <c r="O5004" s="86">
        <f t="shared" si="1510"/>
        <v>9854.07</v>
      </c>
      <c r="P5004" s="86">
        <f t="shared" si="1511"/>
        <v>0</v>
      </c>
      <c r="Q5004" s="86">
        <f t="shared" si="1512"/>
        <v>0</v>
      </c>
      <c r="R5004" s="86">
        <f t="shared" si="1513"/>
        <v>0</v>
      </c>
      <c r="S5004" s="86">
        <f t="shared" si="1514"/>
        <v>0</v>
      </c>
      <c r="T5004" s="86">
        <f t="shared" si="1515"/>
        <v>9854.07</v>
      </c>
      <c r="U5004" s="87">
        <v>9854.07</v>
      </c>
    </row>
    <row r="5005" spans="1:21" s="30" customFormat="1" ht="24.6" hidden="1" outlineLevel="1" x14ac:dyDescent="0.55000000000000004">
      <c r="A5005" s="27" t="s">
        <v>327</v>
      </c>
      <c r="B5005" s="28"/>
      <c r="C5005" s="27"/>
      <c r="D5005" s="27" t="str">
        <f>"""NAV Direct"",""CRONUS JetCorp USA"",""21"",""1"",""360573"""</f>
        <v>"NAV Direct","CRONUS JetCorp USA","21","1","360573"</v>
      </c>
      <c r="E5005" s="31">
        <f t="shared" si="1507"/>
        <v>0</v>
      </c>
      <c r="F5005" s="31"/>
      <c r="G5005" s="31"/>
      <c r="H5005" s="31"/>
      <c r="I5005" s="56"/>
      <c r="J5005" s="56"/>
      <c r="K5005" s="82" t="str">
        <f t="shared" si="1508"/>
        <v>Invoice</v>
      </c>
      <c r="L5005" s="83" t="str">
        <f>"SI_111271"</f>
        <v>SI_111271</v>
      </c>
      <c r="M5005" s="84">
        <v>42368</v>
      </c>
      <c r="N5005" s="85">
        <f t="shared" si="1509"/>
        <v>1444</v>
      </c>
      <c r="O5005" s="86">
        <f t="shared" si="1510"/>
        <v>11628.67</v>
      </c>
      <c r="P5005" s="86">
        <f t="shared" si="1511"/>
        <v>0</v>
      </c>
      <c r="Q5005" s="86">
        <f t="shared" si="1512"/>
        <v>0</v>
      </c>
      <c r="R5005" s="86">
        <f t="shared" si="1513"/>
        <v>0</v>
      </c>
      <c r="S5005" s="86">
        <f t="shared" si="1514"/>
        <v>0</v>
      </c>
      <c r="T5005" s="86">
        <f t="shared" si="1515"/>
        <v>11628.67</v>
      </c>
      <c r="U5005" s="87">
        <v>11628.67</v>
      </c>
    </row>
    <row r="5006" spans="1:21" s="30" customFormat="1" ht="24.6" hidden="1" outlineLevel="1" x14ac:dyDescent="0.55000000000000004">
      <c r="A5006" s="27" t="s">
        <v>327</v>
      </c>
      <c r="B5006" s="28"/>
      <c r="C5006" s="27"/>
      <c r="D5006" s="27" t="str">
        <f>"""NAV Direct"",""CRONUS JetCorp USA"",""21"",""1"",""360715"""</f>
        <v>"NAV Direct","CRONUS JetCorp USA","21","1","360715"</v>
      </c>
      <c r="E5006" s="31" t="str">
        <f t="shared" ref="E5006:E5027" si="1516">E5004</f>
        <v>C100138</v>
      </c>
      <c r="F5006" s="31"/>
      <c r="G5006" s="31"/>
      <c r="H5006" s="31"/>
      <c r="I5006" s="56"/>
      <c r="J5006" s="56"/>
      <c r="K5006" s="82" t="str">
        <f t="shared" si="1508"/>
        <v>Invoice</v>
      </c>
      <c r="L5006" s="83" t="str">
        <f>"SI_111275"</f>
        <v>SI_111275</v>
      </c>
      <c r="M5006" s="84">
        <v>42743</v>
      </c>
      <c r="N5006" s="85">
        <f t="shared" ref="N5006:N5027" si="1517">StartDate-$M5006+1</f>
        <v>1069</v>
      </c>
      <c r="O5006" s="86">
        <f t="shared" ref="O5006:O5027" si="1518">SUM(P5006:T5006)</f>
        <v>11628.519999999999</v>
      </c>
      <c r="P5006" s="86">
        <f t="shared" ref="P5006:P5027" si="1519">IF($M5006&gt;=$P$18,U5006,0)</f>
        <v>0</v>
      </c>
      <c r="Q5006" s="86">
        <f t="shared" ref="Q5006:Q5027" si="1520">IF(AND($M5006&gt;=$Q$16,$M5006&lt;=$Q$18),U5006,0)</f>
        <v>0</v>
      </c>
      <c r="R5006" s="86">
        <f t="shared" ref="R5006:R5027" si="1521">IF(AND($M5006&gt;=$R$16,$M5006&lt;=$R$18),U5006,0)</f>
        <v>0</v>
      </c>
      <c r="S5006" s="86">
        <f t="shared" ref="S5006:S5027" si="1522">IF(AND($M5006&gt;=$S$16,$M5006&lt;=$S$18),U5006,0)</f>
        <v>0</v>
      </c>
      <c r="T5006" s="86">
        <f t="shared" ref="T5006:T5027" si="1523">IF($M5006&lt;=$T$18,U5006,0)</f>
        <v>11628.519999999999</v>
      </c>
      <c r="U5006" s="87">
        <v>11628.519999999999</v>
      </c>
    </row>
    <row r="5007" spans="1:21" s="30" customFormat="1" ht="24.6" hidden="1" outlineLevel="1" x14ac:dyDescent="0.55000000000000004">
      <c r="A5007" s="27" t="s">
        <v>327</v>
      </c>
      <c r="B5007" s="28"/>
      <c r="C5007" s="27"/>
      <c r="D5007" s="27" t="str">
        <f>"""NAV Direct"",""CRONUS JetCorp USA"",""21"",""1"",""434734"""</f>
        <v>"NAV Direct","CRONUS JetCorp USA","21","1","434734"</v>
      </c>
      <c r="E5007" s="31">
        <f t="shared" si="1516"/>
        <v>0</v>
      </c>
      <c r="F5007" s="31"/>
      <c r="G5007" s="31"/>
      <c r="H5007" s="31"/>
      <c r="I5007" s="56"/>
      <c r="J5007" s="56"/>
      <c r="K5007" s="82" t="str">
        <f t="shared" ref="K5007:K5027" si="1524">"Credit Memo"</f>
        <v>Credit Memo</v>
      </c>
      <c r="L5007" s="83" t="str">
        <f>"SC_100572"</f>
        <v>SC_100572</v>
      </c>
      <c r="M5007" s="84">
        <v>42378</v>
      </c>
      <c r="N5007" s="85">
        <f t="shared" si="1517"/>
        <v>1434</v>
      </c>
      <c r="O5007" s="86">
        <f t="shared" si="1518"/>
        <v>-105.42</v>
      </c>
      <c r="P5007" s="86">
        <f t="shared" si="1519"/>
        <v>0</v>
      </c>
      <c r="Q5007" s="86">
        <f t="shared" si="1520"/>
        <v>0</v>
      </c>
      <c r="R5007" s="86">
        <f t="shared" si="1521"/>
        <v>0</v>
      </c>
      <c r="S5007" s="86">
        <f t="shared" si="1522"/>
        <v>0</v>
      </c>
      <c r="T5007" s="86">
        <f t="shared" si="1523"/>
        <v>-105.42</v>
      </c>
      <c r="U5007" s="87">
        <v>-105.42</v>
      </c>
    </row>
    <row r="5008" spans="1:21" s="30" customFormat="1" ht="24.6" hidden="1" outlineLevel="1" x14ac:dyDescent="0.55000000000000004">
      <c r="A5008" s="27" t="s">
        <v>327</v>
      </c>
      <c r="B5008" s="28"/>
      <c r="C5008" s="27"/>
      <c r="D5008" s="27" t="str">
        <f>"""NAV Direct"",""CRONUS JetCorp USA"",""21"",""1"",""434775"""</f>
        <v>"NAV Direct","CRONUS JetCorp USA","21","1","434775"</v>
      </c>
      <c r="E5008" s="31" t="str">
        <f t="shared" si="1516"/>
        <v>C100138</v>
      </c>
      <c r="F5008" s="31"/>
      <c r="G5008" s="31"/>
      <c r="H5008" s="31"/>
      <c r="I5008" s="56"/>
      <c r="J5008" s="56"/>
      <c r="K5008" s="82" t="str">
        <f t="shared" si="1524"/>
        <v>Credit Memo</v>
      </c>
      <c r="L5008" s="83" t="str">
        <f>"SC_100575"</f>
        <v>SC_100575</v>
      </c>
      <c r="M5008" s="84">
        <v>42435</v>
      </c>
      <c r="N5008" s="85">
        <f t="shared" si="1517"/>
        <v>1377</v>
      </c>
      <c r="O5008" s="86">
        <f t="shared" si="1518"/>
        <v>-85.19</v>
      </c>
      <c r="P5008" s="86">
        <f t="shared" si="1519"/>
        <v>0</v>
      </c>
      <c r="Q5008" s="86">
        <f t="shared" si="1520"/>
        <v>0</v>
      </c>
      <c r="R5008" s="86">
        <f t="shared" si="1521"/>
        <v>0</v>
      </c>
      <c r="S5008" s="86">
        <f t="shared" si="1522"/>
        <v>0</v>
      </c>
      <c r="T5008" s="86">
        <f t="shared" si="1523"/>
        <v>-85.19</v>
      </c>
      <c r="U5008" s="87">
        <v>-85.19</v>
      </c>
    </row>
    <row r="5009" spans="1:21" s="30" customFormat="1" ht="24.6" hidden="1" outlineLevel="1" x14ac:dyDescent="0.55000000000000004">
      <c r="A5009" s="27" t="s">
        <v>327</v>
      </c>
      <c r="B5009" s="28"/>
      <c r="C5009" s="27"/>
      <c r="D5009" s="27" t="str">
        <f>"""NAV Direct"",""CRONUS JetCorp USA"",""21"",""1"",""434788"""</f>
        <v>"NAV Direct","CRONUS JetCorp USA","21","1","434788"</v>
      </c>
      <c r="E5009" s="31">
        <f t="shared" si="1516"/>
        <v>0</v>
      </c>
      <c r="F5009" s="31"/>
      <c r="G5009" s="31"/>
      <c r="H5009" s="31"/>
      <c r="I5009" s="56"/>
      <c r="J5009" s="56"/>
      <c r="K5009" s="82" t="str">
        <f t="shared" si="1524"/>
        <v>Credit Memo</v>
      </c>
      <c r="L5009" s="83" t="str">
        <f>"SC_100576"</f>
        <v>SC_100576</v>
      </c>
      <c r="M5009" s="84">
        <v>42456</v>
      </c>
      <c r="N5009" s="85">
        <f t="shared" si="1517"/>
        <v>1356</v>
      </c>
      <c r="O5009" s="86">
        <f t="shared" si="1518"/>
        <v>-83.660000000000011</v>
      </c>
      <c r="P5009" s="86">
        <f t="shared" si="1519"/>
        <v>0</v>
      </c>
      <c r="Q5009" s="86">
        <f t="shared" si="1520"/>
        <v>0</v>
      </c>
      <c r="R5009" s="86">
        <f t="shared" si="1521"/>
        <v>0</v>
      </c>
      <c r="S5009" s="86">
        <f t="shared" si="1522"/>
        <v>0</v>
      </c>
      <c r="T5009" s="86">
        <f t="shared" si="1523"/>
        <v>-83.660000000000011</v>
      </c>
      <c r="U5009" s="87">
        <v>-83.660000000000011</v>
      </c>
    </row>
    <row r="5010" spans="1:21" s="30" customFormat="1" ht="24.6" hidden="1" outlineLevel="1" x14ac:dyDescent="0.55000000000000004">
      <c r="A5010" s="27" t="s">
        <v>327</v>
      </c>
      <c r="B5010" s="28"/>
      <c r="C5010" s="27"/>
      <c r="D5010" s="27" t="str">
        <f>"""NAV Direct"",""CRONUS JetCorp USA"",""21"",""1"",""434840"""</f>
        <v>"NAV Direct","CRONUS JetCorp USA","21","1","434840"</v>
      </c>
      <c r="E5010" s="31" t="str">
        <f t="shared" si="1516"/>
        <v>C100138</v>
      </c>
      <c r="F5010" s="31"/>
      <c r="G5010" s="31"/>
      <c r="H5010" s="31"/>
      <c r="I5010" s="56"/>
      <c r="J5010" s="56"/>
      <c r="K5010" s="82" t="str">
        <f t="shared" si="1524"/>
        <v>Credit Memo</v>
      </c>
      <c r="L5010" s="83" t="str">
        <f>"SC_100580"</f>
        <v>SC_100580</v>
      </c>
      <c r="M5010" s="84">
        <v>42648</v>
      </c>
      <c r="N5010" s="85">
        <f t="shared" si="1517"/>
        <v>1164</v>
      </c>
      <c r="O5010" s="86">
        <f t="shared" si="1518"/>
        <v>-104.06</v>
      </c>
      <c r="P5010" s="86">
        <f t="shared" si="1519"/>
        <v>0</v>
      </c>
      <c r="Q5010" s="86">
        <f t="shared" si="1520"/>
        <v>0</v>
      </c>
      <c r="R5010" s="86">
        <f t="shared" si="1521"/>
        <v>0</v>
      </c>
      <c r="S5010" s="86">
        <f t="shared" si="1522"/>
        <v>0</v>
      </c>
      <c r="T5010" s="86">
        <f t="shared" si="1523"/>
        <v>-104.06</v>
      </c>
      <c r="U5010" s="87">
        <v>-104.06</v>
      </c>
    </row>
    <row r="5011" spans="1:21" s="30" customFormat="1" ht="24.6" hidden="1" outlineLevel="1" x14ac:dyDescent="0.55000000000000004">
      <c r="A5011" s="27" t="s">
        <v>327</v>
      </c>
      <c r="B5011" s="28"/>
      <c r="C5011" s="27"/>
      <c r="D5011" s="27" t="str">
        <f>"""NAV Direct"",""CRONUS JetCorp USA"",""21"",""1"",""434876"""</f>
        <v>"NAV Direct","CRONUS JetCorp USA","21","1","434876"</v>
      </c>
      <c r="E5011" s="31">
        <f t="shared" si="1516"/>
        <v>0</v>
      </c>
      <c r="F5011" s="31"/>
      <c r="G5011" s="31"/>
      <c r="H5011" s="31"/>
      <c r="I5011" s="56"/>
      <c r="J5011" s="56"/>
      <c r="K5011" s="82" t="str">
        <f t="shared" si="1524"/>
        <v>Credit Memo</v>
      </c>
      <c r="L5011" s="83" t="str">
        <f>"SC_100582"</f>
        <v>SC_100582</v>
      </c>
      <c r="M5011" s="84">
        <v>42756</v>
      </c>
      <c r="N5011" s="85">
        <f t="shared" si="1517"/>
        <v>1056</v>
      </c>
      <c r="O5011" s="86">
        <f t="shared" si="1518"/>
        <v>-122.02</v>
      </c>
      <c r="P5011" s="86">
        <f t="shared" si="1519"/>
        <v>0</v>
      </c>
      <c r="Q5011" s="86">
        <f t="shared" si="1520"/>
        <v>0</v>
      </c>
      <c r="R5011" s="86">
        <f t="shared" si="1521"/>
        <v>0</v>
      </c>
      <c r="S5011" s="86">
        <f t="shared" si="1522"/>
        <v>0</v>
      </c>
      <c r="T5011" s="86">
        <f t="shared" si="1523"/>
        <v>-122.02</v>
      </c>
      <c r="U5011" s="87">
        <v>-122.02</v>
      </c>
    </row>
    <row r="5012" spans="1:21" s="30" customFormat="1" ht="24.6" hidden="1" outlineLevel="1" x14ac:dyDescent="0.55000000000000004">
      <c r="A5012" s="27" t="s">
        <v>327</v>
      </c>
      <c r="B5012" s="28"/>
      <c r="C5012" s="27"/>
      <c r="D5012" s="27" t="str">
        <f>"""NAV Direct"",""CRONUS JetCorp USA"",""21"",""1"",""434919"""</f>
        <v>"NAV Direct","CRONUS JetCorp USA","21","1","434919"</v>
      </c>
      <c r="E5012" s="31" t="str">
        <f t="shared" si="1516"/>
        <v>C100138</v>
      </c>
      <c r="F5012" s="31"/>
      <c r="G5012" s="31"/>
      <c r="H5012" s="31"/>
      <c r="I5012" s="56"/>
      <c r="J5012" s="56"/>
      <c r="K5012" s="82" t="str">
        <f t="shared" si="1524"/>
        <v>Credit Memo</v>
      </c>
      <c r="L5012" s="83" t="str">
        <f>"SC_100585"</f>
        <v>SC_100585</v>
      </c>
      <c r="M5012" s="84">
        <v>42961</v>
      </c>
      <c r="N5012" s="85">
        <f t="shared" si="1517"/>
        <v>851</v>
      </c>
      <c r="O5012" s="86">
        <f t="shared" si="1518"/>
        <v>-112.96</v>
      </c>
      <c r="P5012" s="86">
        <f t="shared" si="1519"/>
        <v>0</v>
      </c>
      <c r="Q5012" s="86">
        <f t="shared" si="1520"/>
        <v>0</v>
      </c>
      <c r="R5012" s="86">
        <f t="shared" si="1521"/>
        <v>0</v>
      </c>
      <c r="S5012" s="86">
        <f t="shared" si="1522"/>
        <v>0</v>
      </c>
      <c r="T5012" s="86">
        <f t="shared" si="1523"/>
        <v>-112.96</v>
      </c>
      <c r="U5012" s="87">
        <v>-112.96</v>
      </c>
    </row>
    <row r="5013" spans="1:21" s="30" customFormat="1" ht="24.6" hidden="1" outlineLevel="1" x14ac:dyDescent="0.55000000000000004">
      <c r="A5013" s="27" t="s">
        <v>327</v>
      </c>
      <c r="B5013" s="28"/>
      <c r="C5013" s="27"/>
      <c r="D5013" s="27" t="str">
        <f>"""NAV Direct"",""CRONUS JetCorp USA"",""21"",""1"",""435009"""</f>
        <v>"NAV Direct","CRONUS JetCorp USA","21","1","435009"</v>
      </c>
      <c r="E5013" s="31">
        <f t="shared" si="1516"/>
        <v>0</v>
      </c>
      <c r="F5013" s="31"/>
      <c r="G5013" s="31"/>
      <c r="H5013" s="31"/>
      <c r="I5013" s="56"/>
      <c r="J5013" s="56"/>
      <c r="K5013" s="82" t="str">
        <f t="shared" si="1524"/>
        <v>Credit Memo</v>
      </c>
      <c r="L5013" s="83" t="str">
        <f>"SC_100591"</f>
        <v>SC_100591</v>
      </c>
      <c r="M5013" s="84">
        <v>43138</v>
      </c>
      <c r="N5013" s="85">
        <f t="shared" si="1517"/>
        <v>674</v>
      </c>
      <c r="O5013" s="86">
        <f t="shared" si="1518"/>
        <v>-134.03</v>
      </c>
      <c r="P5013" s="86">
        <f t="shared" si="1519"/>
        <v>0</v>
      </c>
      <c r="Q5013" s="86">
        <f t="shared" si="1520"/>
        <v>0</v>
      </c>
      <c r="R5013" s="86">
        <f t="shared" si="1521"/>
        <v>0</v>
      </c>
      <c r="S5013" s="86">
        <f t="shared" si="1522"/>
        <v>0</v>
      </c>
      <c r="T5013" s="86">
        <f t="shared" si="1523"/>
        <v>-134.03</v>
      </c>
      <c r="U5013" s="87">
        <v>-134.03</v>
      </c>
    </row>
    <row r="5014" spans="1:21" s="30" customFormat="1" ht="24.6" hidden="1" outlineLevel="1" x14ac:dyDescent="0.55000000000000004">
      <c r="A5014" s="27" t="s">
        <v>327</v>
      </c>
      <c r="B5014" s="28"/>
      <c r="C5014" s="27"/>
      <c r="D5014" s="27" t="str">
        <f>"""NAV Direct"",""CRONUS JetCorp USA"",""21"",""1"",""435181"""</f>
        <v>"NAV Direct","CRONUS JetCorp USA","21","1","435181"</v>
      </c>
      <c r="E5014" s="31" t="str">
        <f t="shared" si="1516"/>
        <v>C100138</v>
      </c>
      <c r="F5014" s="31"/>
      <c r="G5014" s="31"/>
      <c r="H5014" s="31"/>
      <c r="I5014" s="56"/>
      <c r="J5014" s="56"/>
      <c r="K5014" s="82" t="str">
        <f t="shared" si="1524"/>
        <v>Credit Memo</v>
      </c>
      <c r="L5014" s="83" t="str">
        <f>"SC_100601"</f>
        <v>SC_100601</v>
      </c>
      <c r="M5014" s="84">
        <v>43443</v>
      </c>
      <c r="N5014" s="85">
        <f t="shared" si="1517"/>
        <v>369</v>
      </c>
      <c r="O5014" s="86">
        <f t="shared" si="1518"/>
        <v>-191.97</v>
      </c>
      <c r="P5014" s="86">
        <f t="shared" si="1519"/>
        <v>0</v>
      </c>
      <c r="Q5014" s="86">
        <f t="shared" si="1520"/>
        <v>0</v>
      </c>
      <c r="R5014" s="86">
        <f t="shared" si="1521"/>
        <v>0</v>
      </c>
      <c r="S5014" s="86">
        <f t="shared" si="1522"/>
        <v>0</v>
      </c>
      <c r="T5014" s="86">
        <f t="shared" si="1523"/>
        <v>-191.97</v>
      </c>
      <c r="U5014" s="87">
        <v>-191.97</v>
      </c>
    </row>
    <row r="5015" spans="1:21" s="30" customFormat="1" ht="24.6" hidden="1" outlineLevel="1" x14ac:dyDescent="0.55000000000000004">
      <c r="A5015" s="27" t="s">
        <v>327</v>
      </c>
      <c r="B5015" s="28"/>
      <c r="C5015" s="27"/>
      <c r="D5015" s="27" t="str">
        <f>"""NAV Direct"",""CRONUS JetCorp USA"",""21"",""1"",""435192"""</f>
        <v>"NAV Direct","CRONUS JetCorp USA","21","1","435192"</v>
      </c>
      <c r="E5015" s="31">
        <f t="shared" si="1516"/>
        <v>0</v>
      </c>
      <c r="F5015" s="31"/>
      <c r="G5015" s="31"/>
      <c r="H5015" s="31"/>
      <c r="I5015" s="56"/>
      <c r="J5015" s="56"/>
      <c r="K5015" s="82" t="str">
        <f t="shared" si="1524"/>
        <v>Credit Memo</v>
      </c>
      <c r="L5015" s="83" t="str">
        <f>"SC_100602"</f>
        <v>SC_100602</v>
      </c>
      <c r="M5015" s="84">
        <v>43445</v>
      </c>
      <c r="N5015" s="85">
        <f t="shared" si="1517"/>
        <v>367</v>
      </c>
      <c r="O5015" s="86">
        <f t="shared" si="1518"/>
        <v>-196</v>
      </c>
      <c r="P5015" s="86">
        <f t="shared" si="1519"/>
        <v>0</v>
      </c>
      <c r="Q5015" s="86">
        <f t="shared" si="1520"/>
        <v>0</v>
      </c>
      <c r="R5015" s="86">
        <f t="shared" si="1521"/>
        <v>0</v>
      </c>
      <c r="S5015" s="86">
        <f t="shared" si="1522"/>
        <v>0</v>
      </c>
      <c r="T5015" s="86">
        <f t="shared" si="1523"/>
        <v>-196</v>
      </c>
      <c r="U5015" s="87">
        <v>-196</v>
      </c>
    </row>
    <row r="5016" spans="1:21" s="30" customFormat="1" ht="24.6" hidden="1" outlineLevel="1" x14ac:dyDescent="0.55000000000000004">
      <c r="A5016" s="27" t="s">
        <v>327</v>
      </c>
      <c r="B5016" s="28"/>
      <c r="C5016" s="27"/>
      <c r="D5016" s="27" t="str">
        <f>"""NAV Direct"",""CRONUS JetCorp USA"",""21"",""1"",""435209"""</f>
        <v>"NAV Direct","CRONUS JetCorp USA","21","1","435209"</v>
      </c>
      <c r="E5016" s="31" t="str">
        <f t="shared" si="1516"/>
        <v>C100138</v>
      </c>
      <c r="F5016" s="31"/>
      <c r="G5016" s="31"/>
      <c r="H5016" s="31"/>
      <c r="I5016" s="56"/>
      <c r="J5016" s="56"/>
      <c r="K5016" s="82" t="str">
        <f t="shared" si="1524"/>
        <v>Credit Memo</v>
      </c>
      <c r="L5016" s="83" t="str">
        <f>"SC_100603"</f>
        <v>SC_100603</v>
      </c>
      <c r="M5016" s="84">
        <v>43443</v>
      </c>
      <c r="N5016" s="85">
        <f t="shared" si="1517"/>
        <v>369</v>
      </c>
      <c r="O5016" s="86">
        <f t="shared" si="1518"/>
        <v>-195.95</v>
      </c>
      <c r="P5016" s="86">
        <f t="shared" si="1519"/>
        <v>0</v>
      </c>
      <c r="Q5016" s="86">
        <f t="shared" si="1520"/>
        <v>0</v>
      </c>
      <c r="R5016" s="86">
        <f t="shared" si="1521"/>
        <v>0</v>
      </c>
      <c r="S5016" s="86">
        <f t="shared" si="1522"/>
        <v>0</v>
      </c>
      <c r="T5016" s="86">
        <f t="shared" si="1523"/>
        <v>-195.95</v>
      </c>
      <c r="U5016" s="87">
        <v>-195.95</v>
      </c>
    </row>
    <row r="5017" spans="1:21" s="30" customFormat="1" ht="24.6" hidden="1" outlineLevel="1" x14ac:dyDescent="0.55000000000000004">
      <c r="A5017" s="27" t="s">
        <v>327</v>
      </c>
      <c r="B5017" s="28"/>
      <c r="C5017" s="27"/>
      <c r="D5017" s="27" t="str">
        <f>"""NAV Direct"",""CRONUS JetCorp USA"",""21"",""1"",""435261"""</f>
        <v>"NAV Direct","CRONUS JetCorp USA","21","1","435261"</v>
      </c>
      <c r="E5017" s="31">
        <f t="shared" si="1516"/>
        <v>0</v>
      </c>
      <c r="F5017" s="31"/>
      <c r="G5017" s="31"/>
      <c r="H5017" s="31"/>
      <c r="I5017" s="56"/>
      <c r="J5017" s="56"/>
      <c r="K5017" s="82" t="str">
        <f t="shared" si="1524"/>
        <v>Credit Memo</v>
      </c>
      <c r="L5017" s="83" t="str">
        <f>"SC_100607"</f>
        <v>SC_100607</v>
      </c>
      <c r="M5017" s="84">
        <v>43591</v>
      </c>
      <c r="N5017" s="85">
        <f t="shared" si="1517"/>
        <v>221</v>
      </c>
      <c r="O5017" s="86">
        <f t="shared" si="1518"/>
        <v>-224.35999999999999</v>
      </c>
      <c r="P5017" s="86">
        <f t="shared" si="1519"/>
        <v>0</v>
      </c>
      <c r="Q5017" s="86">
        <f t="shared" si="1520"/>
        <v>0</v>
      </c>
      <c r="R5017" s="86">
        <f t="shared" si="1521"/>
        <v>0</v>
      </c>
      <c r="S5017" s="86">
        <f t="shared" si="1522"/>
        <v>0</v>
      </c>
      <c r="T5017" s="86">
        <f t="shared" si="1523"/>
        <v>-224.35999999999999</v>
      </c>
      <c r="U5017" s="87">
        <v>-224.35999999999999</v>
      </c>
    </row>
    <row r="5018" spans="1:21" s="30" customFormat="1" ht="24.6" hidden="1" outlineLevel="1" x14ac:dyDescent="0.55000000000000004">
      <c r="A5018" s="27" t="s">
        <v>327</v>
      </c>
      <c r="B5018" s="28"/>
      <c r="C5018" s="27"/>
      <c r="D5018" s="27" t="str">
        <f>"""NAV Direct"",""CRONUS JetCorp USA"",""21"",""1"",""435293"""</f>
        <v>"NAV Direct","CRONUS JetCorp USA","21","1","435293"</v>
      </c>
      <c r="E5018" s="31" t="str">
        <f t="shared" si="1516"/>
        <v>C100138</v>
      </c>
      <c r="F5018" s="31"/>
      <c r="G5018" s="31"/>
      <c r="H5018" s="31"/>
      <c r="I5018" s="56"/>
      <c r="J5018" s="56"/>
      <c r="K5018" s="82" t="str">
        <f t="shared" si="1524"/>
        <v>Credit Memo</v>
      </c>
      <c r="L5018" s="83" t="str">
        <f>"SC_100609"</f>
        <v>SC_100609</v>
      </c>
      <c r="M5018" s="84">
        <v>43637</v>
      </c>
      <c r="N5018" s="85">
        <f t="shared" si="1517"/>
        <v>175</v>
      </c>
      <c r="O5018" s="86">
        <f t="shared" si="1518"/>
        <v>-261.54000000000002</v>
      </c>
      <c r="P5018" s="86">
        <f t="shared" si="1519"/>
        <v>0</v>
      </c>
      <c r="Q5018" s="86">
        <f t="shared" si="1520"/>
        <v>0</v>
      </c>
      <c r="R5018" s="86">
        <f t="shared" si="1521"/>
        <v>0</v>
      </c>
      <c r="S5018" s="86">
        <f t="shared" si="1522"/>
        <v>0</v>
      </c>
      <c r="T5018" s="86">
        <f t="shared" si="1523"/>
        <v>-261.54000000000002</v>
      </c>
      <c r="U5018" s="87">
        <v>-261.54000000000002</v>
      </c>
    </row>
    <row r="5019" spans="1:21" s="30" customFormat="1" ht="24.6" hidden="1" outlineLevel="1" x14ac:dyDescent="0.55000000000000004">
      <c r="A5019" s="27" t="s">
        <v>327</v>
      </c>
      <c r="B5019" s="28"/>
      <c r="C5019" s="27"/>
      <c r="D5019" s="27" t="str">
        <f>"""NAV Direct"",""CRONUS JetCorp USA"",""21"",""1"",""435340"""</f>
        <v>"NAV Direct","CRONUS JetCorp USA","21","1","435340"</v>
      </c>
      <c r="E5019" s="31">
        <f t="shared" si="1516"/>
        <v>0</v>
      </c>
      <c r="F5019" s="31"/>
      <c r="G5019" s="31"/>
      <c r="H5019" s="31"/>
      <c r="I5019" s="56"/>
      <c r="J5019" s="56"/>
      <c r="K5019" s="82" t="str">
        <f t="shared" si="1524"/>
        <v>Credit Memo</v>
      </c>
      <c r="L5019" s="83" t="str">
        <f>"SC_100612"</f>
        <v>SC_100612</v>
      </c>
      <c r="M5019" s="84">
        <v>43702</v>
      </c>
      <c r="N5019" s="85">
        <f t="shared" si="1517"/>
        <v>110</v>
      </c>
      <c r="O5019" s="86">
        <f t="shared" si="1518"/>
        <v>-143.84</v>
      </c>
      <c r="P5019" s="86">
        <f t="shared" si="1519"/>
        <v>0</v>
      </c>
      <c r="Q5019" s="86">
        <f t="shared" si="1520"/>
        <v>0</v>
      </c>
      <c r="R5019" s="86">
        <f t="shared" si="1521"/>
        <v>0</v>
      </c>
      <c r="S5019" s="86">
        <f t="shared" si="1522"/>
        <v>0</v>
      </c>
      <c r="T5019" s="86">
        <f t="shared" si="1523"/>
        <v>-143.84</v>
      </c>
      <c r="U5019" s="87">
        <v>-143.84</v>
      </c>
    </row>
    <row r="5020" spans="1:21" s="30" customFormat="1" ht="24.6" hidden="1" outlineLevel="1" x14ac:dyDescent="0.55000000000000004">
      <c r="A5020" s="27" t="s">
        <v>327</v>
      </c>
      <c r="B5020" s="28"/>
      <c r="C5020" s="27"/>
      <c r="D5020" s="27" t="str">
        <f>"""NAV Direct"",""CRONUS JetCorp USA"",""21"",""1"",""435368"""</f>
        <v>"NAV Direct","CRONUS JetCorp USA","21","1","435368"</v>
      </c>
      <c r="E5020" s="31" t="str">
        <f t="shared" si="1516"/>
        <v>C100138</v>
      </c>
      <c r="F5020" s="31"/>
      <c r="G5020" s="31"/>
      <c r="H5020" s="31"/>
      <c r="I5020" s="56"/>
      <c r="J5020" s="56"/>
      <c r="K5020" s="82" t="str">
        <f t="shared" si="1524"/>
        <v>Credit Memo</v>
      </c>
      <c r="L5020" s="83" t="str">
        <f>"SC_100614"</f>
        <v>SC_100614</v>
      </c>
      <c r="M5020" s="84">
        <v>43723</v>
      </c>
      <c r="N5020" s="85">
        <f t="shared" si="1517"/>
        <v>89</v>
      </c>
      <c r="O5020" s="86">
        <f t="shared" si="1518"/>
        <v>-128.88999999999999</v>
      </c>
      <c r="P5020" s="86">
        <f t="shared" si="1519"/>
        <v>0</v>
      </c>
      <c r="Q5020" s="86">
        <f t="shared" si="1520"/>
        <v>0</v>
      </c>
      <c r="R5020" s="86">
        <f t="shared" si="1521"/>
        <v>0</v>
      </c>
      <c r="S5020" s="86">
        <f t="shared" si="1522"/>
        <v>-128.88999999999999</v>
      </c>
      <c r="T5020" s="86">
        <f t="shared" si="1523"/>
        <v>0</v>
      </c>
      <c r="U5020" s="87">
        <v>-128.88999999999999</v>
      </c>
    </row>
    <row r="5021" spans="1:21" s="30" customFormat="1" ht="24.6" hidden="1" outlineLevel="1" x14ac:dyDescent="0.55000000000000004">
      <c r="A5021" s="27" t="s">
        <v>327</v>
      </c>
      <c r="B5021" s="28"/>
      <c r="C5021" s="27"/>
      <c r="D5021" s="27" t="str">
        <f>"""NAV Direct"",""CRONUS JetCorp USA"",""21"",""1"",""435440"""</f>
        <v>"NAV Direct","CRONUS JetCorp USA","21","1","435440"</v>
      </c>
      <c r="E5021" s="31">
        <f t="shared" si="1516"/>
        <v>0</v>
      </c>
      <c r="F5021" s="31"/>
      <c r="G5021" s="31"/>
      <c r="H5021" s="31"/>
      <c r="I5021" s="56"/>
      <c r="J5021" s="56"/>
      <c r="K5021" s="82" t="str">
        <f t="shared" si="1524"/>
        <v>Credit Memo</v>
      </c>
      <c r="L5021" s="83" t="str">
        <f>"SC_100618"</f>
        <v>SC_100618</v>
      </c>
      <c r="M5021" s="84">
        <v>43803</v>
      </c>
      <c r="N5021" s="85">
        <f t="shared" si="1517"/>
        <v>9</v>
      </c>
      <c r="O5021" s="86">
        <f t="shared" si="1518"/>
        <v>-167.75</v>
      </c>
      <c r="P5021" s="86">
        <f t="shared" si="1519"/>
        <v>0</v>
      </c>
      <c r="Q5021" s="86">
        <f t="shared" si="1520"/>
        <v>-167.75</v>
      </c>
      <c r="R5021" s="86">
        <f t="shared" si="1521"/>
        <v>0</v>
      </c>
      <c r="S5021" s="86">
        <f t="shared" si="1522"/>
        <v>0</v>
      </c>
      <c r="T5021" s="86">
        <f t="shared" si="1523"/>
        <v>0</v>
      </c>
      <c r="U5021" s="87">
        <v>-167.75</v>
      </c>
    </row>
    <row r="5022" spans="1:21" s="30" customFormat="1" ht="24.6" hidden="1" outlineLevel="1" x14ac:dyDescent="0.55000000000000004">
      <c r="A5022" s="27" t="s">
        <v>327</v>
      </c>
      <c r="B5022" s="28"/>
      <c r="C5022" s="27"/>
      <c r="D5022" s="27" t="str">
        <f>"""NAV Direct"",""CRONUS JetCorp USA"",""21"",""1"",""435512"""</f>
        <v>"NAV Direct","CRONUS JetCorp USA","21","1","435512"</v>
      </c>
      <c r="E5022" s="31" t="str">
        <f t="shared" si="1516"/>
        <v>C100138</v>
      </c>
      <c r="F5022" s="31"/>
      <c r="G5022" s="31"/>
      <c r="H5022" s="31"/>
      <c r="I5022" s="56"/>
      <c r="J5022" s="56"/>
      <c r="K5022" s="82" t="str">
        <f t="shared" si="1524"/>
        <v>Credit Memo</v>
      </c>
      <c r="L5022" s="83" t="str">
        <f>"SC_100622"</f>
        <v>SC_100622</v>
      </c>
      <c r="M5022" s="84">
        <v>43813</v>
      </c>
      <c r="N5022" s="85">
        <f t="shared" si="1517"/>
        <v>-1</v>
      </c>
      <c r="O5022" s="86">
        <f t="shared" si="1518"/>
        <v>-167.35</v>
      </c>
      <c r="P5022" s="86">
        <f t="shared" si="1519"/>
        <v>-167.35</v>
      </c>
      <c r="Q5022" s="86">
        <f t="shared" si="1520"/>
        <v>0</v>
      </c>
      <c r="R5022" s="86">
        <f t="shared" si="1521"/>
        <v>0</v>
      </c>
      <c r="S5022" s="86">
        <f t="shared" si="1522"/>
        <v>0</v>
      </c>
      <c r="T5022" s="86">
        <f t="shared" si="1523"/>
        <v>0</v>
      </c>
      <c r="U5022" s="87">
        <v>-167.35</v>
      </c>
    </row>
    <row r="5023" spans="1:21" s="30" customFormat="1" ht="24.6" hidden="1" outlineLevel="1" x14ac:dyDescent="0.55000000000000004">
      <c r="A5023" s="27" t="s">
        <v>327</v>
      </c>
      <c r="B5023" s="28"/>
      <c r="C5023" s="27"/>
      <c r="D5023" s="27" t="str">
        <f>"""NAV Direct"",""CRONUS JetCorp USA"",""21"",""1"",""435521"""</f>
        <v>"NAV Direct","CRONUS JetCorp USA","21","1","435521"</v>
      </c>
      <c r="E5023" s="31">
        <f t="shared" si="1516"/>
        <v>0</v>
      </c>
      <c r="F5023" s="31"/>
      <c r="G5023" s="31"/>
      <c r="H5023" s="31"/>
      <c r="I5023" s="56"/>
      <c r="J5023" s="56"/>
      <c r="K5023" s="82" t="str">
        <f t="shared" si="1524"/>
        <v>Credit Memo</v>
      </c>
      <c r="L5023" s="83" t="str">
        <f>"SC_100623"</f>
        <v>SC_100623</v>
      </c>
      <c r="M5023" s="84">
        <v>42010</v>
      </c>
      <c r="N5023" s="85">
        <f t="shared" si="1517"/>
        <v>1802</v>
      </c>
      <c r="O5023" s="86">
        <f t="shared" si="1518"/>
        <v>-143.19</v>
      </c>
      <c r="P5023" s="86">
        <f t="shared" si="1519"/>
        <v>0</v>
      </c>
      <c r="Q5023" s="86">
        <f t="shared" si="1520"/>
        <v>0</v>
      </c>
      <c r="R5023" s="86">
        <f t="shared" si="1521"/>
        <v>0</v>
      </c>
      <c r="S5023" s="86">
        <f t="shared" si="1522"/>
        <v>0</v>
      </c>
      <c r="T5023" s="86">
        <f t="shared" si="1523"/>
        <v>-143.19</v>
      </c>
      <c r="U5023" s="87">
        <v>-143.19</v>
      </c>
    </row>
    <row r="5024" spans="1:21" s="30" customFormat="1" ht="24.6" hidden="1" outlineLevel="1" x14ac:dyDescent="0.55000000000000004">
      <c r="A5024" s="27" t="s">
        <v>327</v>
      </c>
      <c r="B5024" s="28"/>
      <c r="C5024" s="27"/>
      <c r="D5024" s="27" t="str">
        <f>"""NAV Direct"",""CRONUS JetCorp USA"",""21"",""1"",""435538"""</f>
        <v>"NAV Direct","CRONUS JetCorp USA","21","1","435538"</v>
      </c>
      <c r="E5024" s="31" t="str">
        <f t="shared" si="1516"/>
        <v>C100138</v>
      </c>
      <c r="F5024" s="31"/>
      <c r="G5024" s="31"/>
      <c r="H5024" s="31"/>
      <c r="I5024" s="56"/>
      <c r="J5024" s="56"/>
      <c r="K5024" s="82" t="str">
        <f t="shared" si="1524"/>
        <v>Credit Memo</v>
      </c>
      <c r="L5024" s="83" t="str">
        <f>"SC_100624"</f>
        <v>SC_100624</v>
      </c>
      <c r="M5024" s="84">
        <v>42017</v>
      </c>
      <c r="N5024" s="85">
        <f t="shared" si="1517"/>
        <v>1795</v>
      </c>
      <c r="O5024" s="86">
        <f t="shared" si="1518"/>
        <v>-143.25</v>
      </c>
      <c r="P5024" s="86">
        <f t="shared" si="1519"/>
        <v>0</v>
      </c>
      <c r="Q5024" s="86">
        <f t="shared" si="1520"/>
        <v>0</v>
      </c>
      <c r="R5024" s="86">
        <f t="shared" si="1521"/>
        <v>0</v>
      </c>
      <c r="S5024" s="86">
        <f t="shared" si="1522"/>
        <v>0</v>
      </c>
      <c r="T5024" s="86">
        <f t="shared" si="1523"/>
        <v>-143.25</v>
      </c>
      <c r="U5024" s="87">
        <v>-143.25</v>
      </c>
    </row>
    <row r="5025" spans="1:22" s="30" customFormat="1" ht="24.6" hidden="1" outlineLevel="1" x14ac:dyDescent="0.55000000000000004">
      <c r="A5025" s="27" t="s">
        <v>327</v>
      </c>
      <c r="B5025" s="28"/>
      <c r="C5025" s="27"/>
      <c r="D5025" s="27" t="str">
        <f>"""NAV Direct"",""CRONUS JetCorp USA"",""21"",""1"",""435564"""</f>
        <v>"NAV Direct","CRONUS JetCorp USA","21","1","435564"</v>
      </c>
      <c r="E5025" s="31">
        <f t="shared" si="1516"/>
        <v>0</v>
      </c>
      <c r="F5025" s="31"/>
      <c r="G5025" s="31"/>
      <c r="H5025" s="31"/>
      <c r="I5025" s="56"/>
      <c r="J5025" s="56"/>
      <c r="K5025" s="82" t="str">
        <f t="shared" si="1524"/>
        <v>Credit Memo</v>
      </c>
      <c r="L5025" s="83" t="str">
        <f>"SC_100626"</f>
        <v>SC_100626</v>
      </c>
      <c r="M5025" s="84">
        <v>42068</v>
      </c>
      <c r="N5025" s="85">
        <f t="shared" si="1517"/>
        <v>1744</v>
      </c>
      <c r="O5025" s="86">
        <f t="shared" si="1518"/>
        <v>-123.96000000000001</v>
      </c>
      <c r="P5025" s="86">
        <f t="shared" si="1519"/>
        <v>0</v>
      </c>
      <c r="Q5025" s="86">
        <f t="shared" si="1520"/>
        <v>0</v>
      </c>
      <c r="R5025" s="86">
        <f t="shared" si="1521"/>
        <v>0</v>
      </c>
      <c r="S5025" s="86">
        <f t="shared" si="1522"/>
        <v>0</v>
      </c>
      <c r="T5025" s="86">
        <f t="shared" si="1523"/>
        <v>-123.96000000000001</v>
      </c>
      <c r="U5025" s="87">
        <v>-123.96000000000001</v>
      </c>
    </row>
    <row r="5026" spans="1:22" s="30" customFormat="1" ht="24.6" hidden="1" outlineLevel="1" x14ac:dyDescent="0.55000000000000004">
      <c r="A5026" s="27" t="s">
        <v>327</v>
      </c>
      <c r="B5026" s="28"/>
      <c r="C5026" s="27"/>
      <c r="D5026" s="27" t="str">
        <f>"""NAV Direct"",""CRONUS JetCorp USA"",""21"",""1"",""435598"""</f>
        <v>"NAV Direct","CRONUS JetCorp USA","21","1","435598"</v>
      </c>
      <c r="E5026" s="31" t="str">
        <f t="shared" si="1516"/>
        <v>C100138</v>
      </c>
      <c r="F5026" s="31"/>
      <c r="G5026" s="31"/>
      <c r="H5026" s="31"/>
      <c r="I5026" s="56"/>
      <c r="J5026" s="56"/>
      <c r="K5026" s="82" t="str">
        <f t="shared" si="1524"/>
        <v>Credit Memo</v>
      </c>
      <c r="L5026" s="83" t="str">
        <f>"SC_100628"</f>
        <v>SC_100628</v>
      </c>
      <c r="M5026" s="84">
        <v>42104</v>
      </c>
      <c r="N5026" s="85">
        <f t="shared" si="1517"/>
        <v>1708</v>
      </c>
      <c r="O5026" s="86">
        <f t="shared" si="1518"/>
        <v>-137.05000000000001</v>
      </c>
      <c r="P5026" s="86">
        <f t="shared" si="1519"/>
        <v>0</v>
      </c>
      <c r="Q5026" s="86">
        <f t="shared" si="1520"/>
        <v>0</v>
      </c>
      <c r="R5026" s="86">
        <f t="shared" si="1521"/>
        <v>0</v>
      </c>
      <c r="S5026" s="86">
        <f t="shared" si="1522"/>
        <v>0</v>
      </c>
      <c r="T5026" s="86">
        <f t="shared" si="1523"/>
        <v>-137.05000000000001</v>
      </c>
      <c r="U5026" s="87">
        <v>-137.05000000000001</v>
      </c>
    </row>
    <row r="5027" spans="1:22" s="30" customFormat="1" ht="24.6" hidden="1" outlineLevel="1" x14ac:dyDescent="0.55000000000000004">
      <c r="A5027" s="27" t="s">
        <v>327</v>
      </c>
      <c r="B5027" s="28"/>
      <c r="C5027" s="27"/>
      <c r="D5027" s="27" t="str">
        <f>"""NAV Direct"",""CRONUS JetCorp USA"",""21"",""1"",""435660"""</f>
        <v>"NAV Direct","CRONUS JetCorp USA","21","1","435660"</v>
      </c>
      <c r="E5027" s="31">
        <f t="shared" si="1516"/>
        <v>0</v>
      </c>
      <c r="F5027" s="31"/>
      <c r="G5027" s="31"/>
      <c r="H5027" s="31"/>
      <c r="I5027" s="56"/>
      <c r="J5027" s="56"/>
      <c r="K5027" s="82" t="str">
        <f t="shared" si="1524"/>
        <v>Credit Memo</v>
      </c>
      <c r="L5027" s="83" t="str">
        <f>"SC_100632"</f>
        <v>SC_100632</v>
      </c>
      <c r="M5027" s="84">
        <v>42192</v>
      </c>
      <c r="N5027" s="85">
        <f t="shared" si="1517"/>
        <v>1620</v>
      </c>
      <c r="O5027" s="86">
        <f t="shared" si="1518"/>
        <v>-113.21</v>
      </c>
      <c r="P5027" s="86">
        <f t="shared" si="1519"/>
        <v>0</v>
      </c>
      <c r="Q5027" s="86">
        <f t="shared" si="1520"/>
        <v>0</v>
      </c>
      <c r="R5027" s="86">
        <f t="shared" si="1521"/>
        <v>0</v>
      </c>
      <c r="S5027" s="86">
        <f t="shared" si="1522"/>
        <v>0</v>
      </c>
      <c r="T5027" s="86">
        <f t="shared" si="1523"/>
        <v>-113.21</v>
      </c>
      <c r="U5027" s="87">
        <v>-113.21</v>
      </c>
    </row>
    <row r="5028" spans="1:22" s="22" customFormat="1" ht="20.399999999999999" collapsed="1" x14ac:dyDescent="0.45">
      <c r="A5028" s="12" t="s">
        <v>327</v>
      </c>
      <c r="B5028" s="19"/>
      <c r="C5028" s="12"/>
      <c r="D5028" s="12"/>
      <c r="E5028" s="23"/>
      <c r="F5028" s="23"/>
      <c r="G5028" s="23"/>
      <c r="H5028" s="23"/>
      <c r="I5028" s="49"/>
      <c r="J5028" s="88"/>
      <c r="K5028" s="88"/>
      <c r="L5028" s="89"/>
      <c r="M5028" s="89"/>
      <c r="N5028" s="89"/>
      <c r="O5028" s="89"/>
      <c r="P5028" s="89"/>
      <c r="Q5028" s="90"/>
      <c r="R5028" s="90"/>
      <c r="S5028" s="91"/>
      <c r="T5028" s="92"/>
      <c r="U5028" s="92"/>
    </row>
    <row r="5029" spans="1:22" s="22" customFormat="1" ht="20.399999999999999" x14ac:dyDescent="0.45">
      <c r="A5029" s="12" t="s">
        <v>327</v>
      </c>
      <c r="B5029" s="19"/>
      <c r="C5029" s="12"/>
      <c r="D5029" s="12"/>
      <c r="E5029" s="23"/>
      <c r="F5029" s="23"/>
      <c r="G5029" s="23"/>
      <c r="H5029" s="23"/>
      <c r="I5029" s="49"/>
      <c r="J5029" s="88"/>
      <c r="K5029" s="88"/>
      <c r="L5029" s="89"/>
      <c r="M5029" s="89"/>
      <c r="N5029" s="89"/>
      <c r="O5029" s="89"/>
      <c r="P5029" s="89"/>
      <c r="Q5029" s="90"/>
      <c r="R5029" s="90"/>
      <c r="S5029" s="91"/>
      <c r="T5029" s="92"/>
      <c r="U5029" s="92"/>
    </row>
    <row r="5030" spans="1:22" s="26" customFormat="1" ht="24.6" x14ac:dyDescent="0.55000000000000004">
      <c r="A5030" s="27" t="s">
        <v>327</v>
      </c>
      <c r="B5030" s="28"/>
      <c r="C5030" s="27" t="str">
        <f>"""NAV Direct"",""CRONUS JetCorp USA"",""18"",""1"",""C100139"""</f>
        <v>"NAV Direct","CRONUS JetCorp USA","18","1","C100139"</v>
      </c>
      <c r="D5030" s="27"/>
      <c r="E5030" s="28" t="str">
        <f>H5030</f>
        <v>C100139</v>
      </c>
      <c r="F5030" s="28"/>
      <c r="G5030" s="28"/>
      <c r="H5030" s="28" t="str">
        <f>"C100139"</f>
        <v>C100139</v>
      </c>
      <c r="I5030" s="116" t="str">
        <f>"C100139  -  Gamma Ray's"</f>
        <v>C100139  -  Gamma Ray's</v>
      </c>
      <c r="J5030" s="117" t="str">
        <f>""</f>
        <v/>
      </c>
      <c r="K5030" s="118"/>
      <c r="L5030" s="119">
        <f>SUBTOTAL(3,L5031:L5069)</f>
        <v>35</v>
      </c>
      <c r="M5030" s="118"/>
      <c r="N5030" s="118"/>
      <c r="O5030" s="120">
        <f t="shared" ref="O5030:T5030" si="1525">SUBTOTAL(9,O5031:O5069)</f>
        <v>289108.85000000003</v>
      </c>
      <c r="P5030" s="120">
        <f t="shared" si="1525"/>
        <v>0</v>
      </c>
      <c r="Q5030" s="120">
        <f t="shared" si="1525"/>
        <v>0</v>
      </c>
      <c r="R5030" s="120">
        <f t="shared" si="1525"/>
        <v>0</v>
      </c>
      <c r="S5030" s="120">
        <f t="shared" si="1525"/>
        <v>0</v>
      </c>
      <c r="T5030" s="120">
        <f t="shared" si="1525"/>
        <v>289108.85000000003</v>
      </c>
      <c r="U5030" s="81"/>
    </row>
    <row r="5031" spans="1:22" s="26" customFormat="1" ht="24.6" x14ac:dyDescent="0.55000000000000004">
      <c r="A5031" s="27" t="s">
        <v>327</v>
      </c>
      <c r="B5031" s="28"/>
      <c r="C5031" s="27" t="str">
        <f>C5030</f>
        <v>"NAV Direct","CRONUS JetCorp USA","18","1","C100139"</v>
      </c>
      <c r="D5031" s="27"/>
      <c r="E5031" s="28" t="str">
        <f>E5030</f>
        <v>C100139</v>
      </c>
      <c r="F5031" s="28"/>
      <c r="G5031" s="28"/>
      <c r="H5031" s="28"/>
      <c r="I5031" s="121" t="str">
        <f>"Contact: Denver Henson"</f>
        <v>Contact: Denver Henson</v>
      </c>
      <c r="J5031" s="121"/>
      <c r="K5031" s="122"/>
      <c r="L5031" s="123"/>
      <c r="M5031" s="123"/>
      <c r="N5031" s="124"/>
      <c r="O5031" s="124"/>
      <c r="P5031" s="123"/>
      <c r="Q5031" s="125"/>
      <c r="R5031" s="126"/>
      <c r="S5031" s="126"/>
      <c r="T5031" s="125"/>
      <c r="U5031" s="81"/>
    </row>
    <row r="5032" spans="1:22" s="26" customFormat="1" ht="24.6" x14ac:dyDescent="0.55000000000000004">
      <c r="A5032" s="27" t="s">
        <v>327</v>
      </c>
      <c r="B5032" s="28"/>
      <c r="C5032" s="27" t="str">
        <f>C5031</f>
        <v>"NAV Direct","CRONUS JetCorp USA","18","1","C100139"</v>
      </c>
      <c r="D5032" s="27"/>
      <c r="E5032" s="28" t="str">
        <f>E5031</f>
        <v>C100139</v>
      </c>
      <c r="F5032" s="28"/>
      <c r="G5032" s="28"/>
      <c r="H5032" s="28"/>
      <c r="I5032" s="121" t="str">
        <f>"Gamma Ray's@Cronus.com"</f>
        <v>Gamma Ray's@Cronus.com</v>
      </c>
      <c r="J5032" s="121"/>
      <c r="K5032" s="122"/>
      <c r="L5032" s="124"/>
      <c r="M5032" s="124"/>
      <c r="N5032" s="124"/>
      <c r="O5032" s="124"/>
      <c r="P5032" s="123"/>
      <c r="Q5032" s="125"/>
      <c r="R5032" s="126"/>
      <c r="S5032" s="126"/>
      <c r="T5032" s="125"/>
      <c r="U5032" s="81"/>
    </row>
    <row r="5033" spans="1:22" ht="12.75" hidden="1" customHeight="1" outlineLevel="1" x14ac:dyDescent="0.45">
      <c r="A5033" s="12" t="s">
        <v>328</v>
      </c>
      <c r="B5033" s="19"/>
      <c r="E5033" s="19"/>
      <c r="F5033" s="19"/>
      <c r="G5033" s="19"/>
      <c r="H5033" s="19"/>
      <c r="I5033" s="61"/>
      <c r="J5033" s="61"/>
      <c r="K5033" s="61"/>
      <c r="L5033" s="61"/>
      <c r="M5033" s="61"/>
      <c r="N5033" s="61"/>
      <c r="O5033" s="61"/>
      <c r="P5033" s="61"/>
      <c r="Q5033" s="61"/>
      <c r="R5033" s="61"/>
      <c r="S5033" s="61"/>
      <c r="T5033" s="61"/>
      <c r="U5033" s="61"/>
      <c r="V5033" s="21"/>
    </row>
    <row r="5034" spans="1:22" s="30" customFormat="1" ht="24.6" hidden="1" outlineLevel="1" x14ac:dyDescent="0.55000000000000004">
      <c r="A5034" s="27" t="s">
        <v>327</v>
      </c>
      <c r="B5034" s="28"/>
      <c r="C5034" s="27"/>
      <c r="D5034" s="27" t="str">
        <f>"""NAV Direct"",""CRONUS JetCorp USA"",""21"",""1"",""131061"""</f>
        <v>"NAV Direct","CRONUS JetCorp USA","21","1","131061"</v>
      </c>
      <c r="E5034" s="31" t="str">
        <f t="shared" ref="E5034:E5068" si="1526">E5032</f>
        <v>C100139</v>
      </c>
      <c r="F5034" s="31"/>
      <c r="G5034" s="31"/>
      <c r="H5034" s="31"/>
      <c r="I5034" s="56"/>
      <c r="J5034" s="56"/>
      <c r="K5034" s="82" t="str">
        <f t="shared" ref="K5034:K5062" si="1527">"Invoice"</f>
        <v>Invoice</v>
      </c>
      <c r="L5034" s="83" t="str">
        <f>"SI_107032"</f>
        <v>SI_107032</v>
      </c>
      <c r="M5034" s="84">
        <v>42334</v>
      </c>
      <c r="N5034" s="85">
        <f t="shared" ref="N5034:N5068" si="1528">StartDate-$M5034+1</f>
        <v>1478</v>
      </c>
      <c r="O5034" s="86">
        <f t="shared" ref="O5034:O5068" si="1529">SUM(P5034:T5034)</f>
        <v>8859.7699999999986</v>
      </c>
      <c r="P5034" s="86">
        <f t="shared" ref="P5034:P5068" si="1530">IF($M5034&gt;=$P$18,U5034,0)</f>
        <v>0</v>
      </c>
      <c r="Q5034" s="86">
        <f t="shared" ref="Q5034:Q5068" si="1531">IF(AND($M5034&gt;=$Q$16,$M5034&lt;=$Q$18),U5034,0)</f>
        <v>0</v>
      </c>
      <c r="R5034" s="86">
        <f t="shared" ref="R5034:R5068" si="1532">IF(AND($M5034&gt;=$R$16,$M5034&lt;=$R$18),U5034,0)</f>
        <v>0</v>
      </c>
      <c r="S5034" s="86">
        <f t="shared" ref="S5034:S5068" si="1533">IF(AND($M5034&gt;=$S$16,$M5034&lt;=$S$18),U5034,0)</f>
        <v>0</v>
      </c>
      <c r="T5034" s="86">
        <f t="shared" ref="T5034:T5068" si="1534">IF($M5034&lt;=$T$18,U5034,0)</f>
        <v>8859.7699999999986</v>
      </c>
      <c r="U5034" s="87">
        <v>8859.7699999999986</v>
      </c>
    </row>
    <row r="5035" spans="1:22" s="30" customFormat="1" ht="24.6" hidden="1" outlineLevel="1" x14ac:dyDescent="0.55000000000000004">
      <c r="A5035" s="27" t="s">
        <v>327</v>
      </c>
      <c r="B5035" s="28"/>
      <c r="C5035" s="27"/>
      <c r="D5035" s="27" t="str">
        <f>"""NAV Direct"",""CRONUS JetCorp USA"",""21"",""1"",""383903"""</f>
        <v>"NAV Direct","CRONUS JetCorp USA","21","1","383903"</v>
      </c>
      <c r="E5035" s="31">
        <f t="shared" si="1526"/>
        <v>0</v>
      </c>
      <c r="F5035" s="31"/>
      <c r="G5035" s="31"/>
      <c r="H5035" s="31"/>
      <c r="I5035" s="56"/>
      <c r="J5035" s="56"/>
      <c r="K5035" s="82" t="str">
        <f t="shared" si="1527"/>
        <v>Invoice</v>
      </c>
      <c r="L5035" s="83" t="str">
        <f>"SI_111923"</f>
        <v>SI_111923</v>
      </c>
      <c r="M5035" s="84">
        <v>42384</v>
      </c>
      <c r="N5035" s="85">
        <f t="shared" si="1528"/>
        <v>1428</v>
      </c>
      <c r="O5035" s="86">
        <f t="shared" si="1529"/>
        <v>9199.9599999999991</v>
      </c>
      <c r="P5035" s="86">
        <f t="shared" si="1530"/>
        <v>0</v>
      </c>
      <c r="Q5035" s="86">
        <f t="shared" si="1531"/>
        <v>0</v>
      </c>
      <c r="R5035" s="86">
        <f t="shared" si="1532"/>
        <v>0</v>
      </c>
      <c r="S5035" s="86">
        <f t="shared" si="1533"/>
        <v>0</v>
      </c>
      <c r="T5035" s="86">
        <f t="shared" si="1534"/>
        <v>9199.9599999999991</v>
      </c>
      <c r="U5035" s="87">
        <v>9199.9599999999991</v>
      </c>
    </row>
    <row r="5036" spans="1:22" s="30" customFormat="1" ht="24.6" hidden="1" outlineLevel="1" x14ac:dyDescent="0.55000000000000004">
      <c r="A5036" s="27" t="s">
        <v>327</v>
      </c>
      <c r="B5036" s="28"/>
      <c r="C5036" s="27"/>
      <c r="D5036" s="27" t="str">
        <f>"""NAV Direct"",""CRONUS JetCorp USA"",""21"",""1"",""385187"""</f>
        <v>"NAV Direct","CRONUS JetCorp USA","21","1","385187"</v>
      </c>
      <c r="E5036" s="31" t="str">
        <f t="shared" si="1526"/>
        <v>C100139</v>
      </c>
      <c r="F5036" s="31"/>
      <c r="G5036" s="31"/>
      <c r="H5036" s="31"/>
      <c r="I5036" s="56"/>
      <c r="J5036" s="56"/>
      <c r="K5036" s="82" t="str">
        <f t="shared" si="1527"/>
        <v>Invoice</v>
      </c>
      <c r="L5036" s="83" t="str">
        <f>"SI_111947"</f>
        <v>SI_111947</v>
      </c>
      <c r="M5036" s="84">
        <v>42508</v>
      </c>
      <c r="N5036" s="85">
        <f t="shared" si="1528"/>
        <v>1304</v>
      </c>
      <c r="O5036" s="86">
        <f t="shared" si="1529"/>
        <v>9549.7800000000007</v>
      </c>
      <c r="P5036" s="86">
        <f t="shared" si="1530"/>
        <v>0</v>
      </c>
      <c r="Q5036" s="86">
        <f t="shared" si="1531"/>
        <v>0</v>
      </c>
      <c r="R5036" s="86">
        <f t="shared" si="1532"/>
        <v>0</v>
      </c>
      <c r="S5036" s="86">
        <f t="shared" si="1533"/>
        <v>0</v>
      </c>
      <c r="T5036" s="86">
        <f t="shared" si="1534"/>
        <v>9549.7800000000007</v>
      </c>
      <c r="U5036" s="87">
        <v>9549.7800000000007</v>
      </c>
    </row>
    <row r="5037" spans="1:22" s="30" customFormat="1" ht="24.6" hidden="1" outlineLevel="1" x14ac:dyDescent="0.55000000000000004">
      <c r="A5037" s="27" t="s">
        <v>327</v>
      </c>
      <c r="B5037" s="28"/>
      <c r="C5037" s="27"/>
      <c r="D5037" s="27" t="str">
        <f>"""NAV Direct"",""CRONUS JetCorp USA"",""21"",""1"",""385587"""</f>
        <v>"NAV Direct","CRONUS JetCorp USA","21","1","385587"</v>
      </c>
      <c r="E5037" s="31">
        <f t="shared" si="1526"/>
        <v>0</v>
      </c>
      <c r="F5037" s="31"/>
      <c r="G5037" s="31"/>
      <c r="H5037" s="31"/>
      <c r="I5037" s="56"/>
      <c r="J5037" s="56"/>
      <c r="K5037" s="82" t="str">
        <f t="shared" si="1527"/>
        <v>Invoice</v>
      </c>
      <c r="L5037" s="83" t="str">
        <f>"SI_111955"</f>
        <v>SI_111955</v>
      </c>
      <c r="M5037" s="84">
        <v>42548</v>
      </c>
      <c r="N5037" s="85">
        <f t="shared" si="1528"/>
        <v>1264</v>
      </c>
      <c r="O5037" s="86">
        <f t="shared" si="1529"/>
        <v>9795.4499999999989</v>
      </c>
      <c r="P5037" s="86">
        <f t="shared" si="1530"/>
        <v>0</v>
      </c>
      <c r="Q5037" s="86">
        <f t="shared" si="1531"/>
        <v>0</v>
      </c>
      <c r="R5037" s="86">
        <f t="shared" si="1532"/>
        <v>0</v>
      </c>
      <c r="S5037" s="86">
        <f t="shared" si="1533"/>
        <v>0</v>
      </c>
      <c r="T5037" s="86">
        <f t="shared" si="1534"/>
        <v>9795.4499999999989</v>
      </c>
      <c r="U5037" s="87">
        <v>9795.4499999999989</v>
      </c>
    </row>
    <row r="5038" spans="1:22" s="30" customFormat="1" ht="24.6" hidden="1" outlineLevel="1" x14ac:dyDescent="0.55000000000000004">
      <c r="A5038" s="27" t="s">
        <v>327</v>
      </c>
      <c r="B5038" s="28"/>
      <c r="C5038" s="27"/>
      <c r="D5038" s="27" t="str">
        <f>"""NAV Direct"",""CRONUS JetCorp USA"",""21"",""1"",""386406"""</f>
        <v>"NAV Direct","CRONUS JetCorp USA","21","1","386406"</v>
      </c>
      <c r="E5038" s="31" t="str">
        <f t="shared" si="1526"/>
        <v>C100139</v>
      </c>
      <c r="F5038" s="31"/>
      <c r="G5038" s="31"/>
      <c r="H5038" s="31"/>
      <c r="I5038" s="56"/>
      <c r="J5038" s="56"/>
      <c r="K5038" s="82" t="str">
        <f t="shared" si="1527"/>
        <v>Invoice</v>
      </c>
      <c r="L5038" s="83" t="str">
        <f>"SI_111972"</f>
        <v>SI_111972</v>
      </c>
      <c r="M5038" s="84">
        <v>42645</v>
      </c>
      <c r="N5038" s="85">
        <f t="shared" si="1528"/>
        <v>1167</v>
      </c>
      <c r="O5038" s="86">
        <f t="shared" si="1529"/>
        <v>9754.8000000000011</v>
      </c>
      <c r="P5038" s="86">
        <f t="shared" si="1530"/>
        <v>0</v>
      </c>
      <c r="Q5038" s="86">
        <f t="shared" si="1531"/>
        <v>0</v>
      </c>
      <c r="R5038" s="86">
        <f t="shared" si="1532"/>
        <v>0</v>
      </c>
      <c r="S5038" s="86">
        <f t="shared" si="1533"/>
        <v>0</v>
      </c>
      <c r="T5038" s="86">
        <f t="shared" si="1534"/>
        <v>9754.8000000000011</v>
      </c>
      <c r="U5038" s="87">
        <v>9754.8000000000011</v>
      </c>
    </row>
    <row r="5039" spans="1:22" s="30" customFormat="1" ht="24.6" hidden="1" outlineLevel="1" x14ac:dyDescent="0.55000000000000004">
      <c r="A5039" s="27" t="s">
        <v>327</v>
      </c>
      <c r="B5039" s="28"/>
      <c r="C5039" s="27"/>
      <c r="D5039" s="27" t="str">
        <f>"""NAV Direct"",""CRONUS JetCorp USA"",""21"",""1"",""386924"""</f>
        <v>"NAV Direct","CRONUS JetCorp USA","21","1","386924"</v>
      </c>
      <c r="E5039" s="31">
        <f t="shared" si="1526"/>
        <v>0</v>
      </c>
      <c r="F5039" s="31"/>
      <c r="G5039" s="31"/>
      <c r="H5039" s="31"/>
      <c r="I5039" s="56"/>
      <c r="J5039" s="56"/>
      <c r="K5039" s="82" t="str">
        <f t="shared" si="1527"/>
        <v>Invoice</v>
      </c>
      <c r="L5039" s="83" t="str">
        <f>"SI_111982"</f>
        <v>SI_111982</v>
      </c>
      <c r="M5039" s="84">
        <v>42696</v>
      </c>
      <c r="N5039" s="85">
        <f t="shared" si="1528"/>
        <v>1116</v>
      </c>
      <c r="O5039" s="86">
        <f t="shared" si="1529"/>
        <v>9896.7999999999993</v>
      </c>
      <c r="P5039" s="86">
        <f t="shared" si="1530"/>
        <v>0</v>
      </c>
      <c r="Q5039" s="86">
        <f t="shared" si="1531"/>
        <v>0</v>
      </c>
      <c r="R5039" s="86">
        <f t="shared" si="1532"/>
        <v>0</v>
      </c>
      <c r="S5039" s="86">
        <f t="shared" si="1533"/>
        <v>0</v>
      </c>
      <c r="T5039" s="86">
        <f t="shared" si="1534"/>
        <v>9896.7999999999993</v>
      </c>
      <c r="U5039" s="87">
        <v>9896.7999999999993</v>
      </c>
    </row>
    <row r="5040" spans="1:22" s="30" customFormat="1" ht="24.6" hidden="1" outlineLevel="1" x14ac:dyDescent="0.55000000000000004">
      <c r="A5040" s="27" t="s">
        <v>327</v>
      </c>
      <c r="B5040" s="28"/>
      <c r="C5040" s="27"/>
      <c r="D5040" s="27" t="str">
        <f>"""NAV Direct"",""CRONUS JetCorp USA"",""21"",""1"",""387075"""</f>
        <v>"NAV Direct","CRONUS JetCorp USA","21","1","387075"</v>
      </c>
      <c r="E5040" s="31" t="str">
        <f t="shared" si="1526"/>
        <v>C100139</v>
      </c>
      <c r="F5040" s="31"/>
      <c r="G5040" s="31"/>
      <c r="H5040" s="31"/>
      <c r="I5040" s="56"/>
      <c r="J5040" s="56"/>
      <c r="K5040" s="82" t="str">
        <f t="shared" si="1527"/>
        <v>Invoice</v>
      </c>
      <c r="L5040" s="83" t="str">
        <f>"SI_111985"</f>
        <v>SI_111985</v>
      </c>
      <c r="M5040" s="84">
        <v>42704</v>
      </c>
      <c r="N5040" s="85">
        <f t="shared" si="1528"/>
        <v>1108</v>
      </c>
      <c r="O5040" s="86">
        <f t="shared" si="1529"/>
        <v>9793.75</v>
      </c>
      <c r="P5040" s="86">
        <f t="shared" si="1530"/>
        <v>0</v>
      </c>
      <c r="Q5040" s="86">
        <f t="shared" si="1531"/>
        <v>0</v>
      </c>
      <c r="R5040" s="86">
        <f t="shared" si="1532"/>
        <v>0</v>
      </c>
      <c r="S5040" s="86">
        <f t="shared" si="1533"/>
        <v>0</v>
      </c>
      <c r="T5040" s="86">
        <f t="shared" si="1534"/>
        <v>9793.75</v>
      </c>
      <c r="U5040" s="87">
        <v>9793.75</v>
      </c>
    </row>
    <row r="5041" spans="1:21" s="30" customFormat="1" ht="24.6" hidden="1" outlineLevel="1" x14ac:dyDescent="0.55000000000000004">
      <c r="A5041" s="27" t="s">
        <v>327</v>
      </c>
      <c r="B5041" s="28"/>
      <c r="C5041" s="27"/>
      <c r="D5041" s="27" t="str">
        <f>"""NAV Direct"",""CRONUS JetCorp USA"",""21"",""1"",""387130"""</f>
        <v>"NAV Direct","CRONUS JetCorp USA","21","1","387130"</v>
      </c>
      <c r="E5041" s="31">
        <f t="shared" si="1526"/>
        <v>0</v>
      </c>
      <c r="F5041" s="31"/>
      <c r="G5041" s="31"/>
      <c r="H5041" s="31"/>
      <c r="I5041" s="56"/>
      <c r="J5041" s="56"/>
      <c r="K5041" s="82" t="str">
        <f t="shared" si="1527"/>
        <v>Invoice</v>
      </c>
      <c r="L5041" s="83" t="str">
        <f>"SI_111986"</f>
        <v>SI_111986</v>
      </c>
      <c r="M5041" s="84">
        <v>42704</v>
      </c>
      <c r="N5041" s="85">
        <f t="shared" si="1528"/>
        <v>1108</v>
      </c>
      <c r="O5041" s="86">
        <f t="shared" si="1529"/>
        <v>9896.84</v>
      </c>
      <c r="P5041" s="86">
        <f t="shared" si="1530"/>
        <v>0</v>
      </c>
      <c r="Q5041" s="86">
        <f t="shared" si="1531"/>
        <v>0</v>
      </c>
      <c r="R5041" s="86">
        <f t="shared" si="1532"/>
        <v>0</v>
      </c>
      <c r="S5041" s="86">
        <f t="shared" si="1533"/>
        <v>0</v>
      </c>
      <c r="T5041" s="86">
        <f t="shared" si="1534"/>
        <v>9896.84</v>
      </c>
      <c r="U5041" s="87">
        <v>9896.84</v>
      </c>
    </row>
    <row r="5042" spans="1:21" s="30" customFormat="1" ht="24.6" hidden="1" outlineLevel="1" x14ac:dyDescent="0.55000000000000004">
      <c r="A5042" s="27" t="s">
        <v>327</v>
      </c>
      <c r="B5042" s="28"/>
      <c r="C5042" s="27"/>
      <c r="D5042" s="27" t="str">
        <f>"""NAV Direct"",""CRONUS JetCorp USA"",""21"",""1"",""387695"""</f>
        <v>"NAV Direct","CRONUS JetCorp USA","21","1","387695"</v>
      </c>
      <c r="E5042" s="31" t="str">
        <f t="shared" si="1526"/>
        <v>C100139</v>
      </c>
      <c r="F5042" s="31"/>
      <c r="G5042" s="31"/>
      <c r="H5042" s="31"/>
      <c r="I5042" s="56"/>
      <c r="J5042" s="56"/>
      <c r="K5042" s="82" t="str">
        <f t="shared" si="1527"/>
        <v>Invoice</v>
      </c>
      <c r="L5042" s="83" t="str">
        <f>"SI_111998"</f>
        <v>SI_111998</v>
      </c>
      <c r="M5042" s="84">
        <v>42767</v>
      </c>
      <c r="N5042" s="85">
        <f t="shared" si="1528"/>
        <v>1045</v>
      </c>
      <c r="O5042" s="86">
        <f t="shared" si="1529"/>
        <v>9970.33</v>
      </c>
      <c r="P5042" s="86">
        <f t="shared" si="1530"/>
        <v>0</v>
      </c>
      <c r="Q5042" s="86">
        <f t="shared" si="1531"/>
        <v>0</v>
      </c>
      <c r="R5042" s="86">
        <f t="shared" si="1532"/>
        <v>0</v>
      </c>
      <c r="S5042" s="86">
        <f t="shared" si="1533"/>
        <v>0</v>
      </c>
      <c r="T5042" s="86">
        <f t="shared" si="1534"/>
        <v>9970.33</v>
      </c>
      <c r="U5042" s="87">
        <v>9970.33</v>
      </c>
    </row>
    <row r="5043" spans="1:21" s="30" customFormat="1" ht="24.6" hidden="1" outlineLevel="1" x14ac:dyDescent="0.55000000000000004">
      <c r="A5043" s="27" t="s">
        <v>327</v>
      </c>
      <c r="B5043" s="28"/>
      <c r="C5043" s="27"/>
      <c r="D5043" s="27" t="str">
        <f>"""NAV Direct"",""CRONUS JetCorp USA"",""21"",""1"",""388096"""</f>
        <v>"NAV Direct","CRONUS JetCorp USA","21","1","388096"</v>
      </c>
      <c r="E5043" s="31">
        <f t="shared" si="1526"/>
        <v>0</v>
      </c>
      <c r="F5043" s="31"/>
      <c r="G5043" s="31"/>
      <c r="H5043" s="31"/>
      <c r="I5043" s="56"/>
      <c r="J5043" s="56"/>
      <c r="K5043" s="82" t="str">
        <f t="shared" si="1527"/>
        <v>Invoice</v>
      </c>
      <c r="L5043" s="83" t="str">
        <f>"SI_112006"</f>
        <v>SI_112006</v>
      </c>
      <c r="M5043" s="84">
        <v>42829</v>
      </c>
      <c r="N5043" s="85">
        <f t="shared" si="1528"/>
        <v>983</v>
      </c>
      <c r="O5043" s="86">
        <f t="shared" si="1529"/>
        <v>14707.750000000002</v>
      </c>
      <c r="P5043" s="86">
        <f t="shared" si="1530"/>
        <v>0</v>
      </c>
      <c r="Q5043" s="86">
        <f t="shared" si="1531"/>
        <v>0</v>
      </c>
      <c r="R5043" s="86">
        <f t="shared" si="1532"/>
        <v>0</v>
      </c>
      <c r="S5043" s="86">
        <f t="shared" si="1533"/>
        <v>0</v>
      </c>
      <c r="T5043" s="86">
        <f t="shared" si="1534"/>
        <v>14707.750000000002</v>
      </c>
      <c r="U5043" s="87">
        <v>14707.750000000002</v>
      </c>
    </row>
    <row r="5044" spans="1:21" s="30" customFormat="1" ht="24.6" hidden="1" outlineLevel="1" x14ac:dyDescent="0.55000000000000004">
      <c r="A5044" s="27" t="s">
        <v>327</v>
      </c>
      <c r="B5044" s="28"/>
      <c r="C5044" s="27"/>
      <c r="D5044" s="27" t="str">
        <f>"""NAV Direct"",""CRONUS JetCorp USA"",""21"",""1"",""388695"""</f>
        <v>"NAV Direct","CRONUS JetCorp USA","21","1","388695"</v>
      </c>
      <c r="E5044" s="31" t="str">
        <f t="shared" si="1526"/>
        <v>C100139</v>
      </c>
      <c r="F5044" s="31"/>
      <c r="G5044" s="31"/>
      <c r="H5044" s="31"/>
      <c r="I5044" s="56"/>
      <c r="J5044" s="56"/>
      <c r="K5044" s="82" t="str">
        <f t="shared" si="1527"/>
        <v>Invoice</v>
      </c>
      <c r="L5044" s="83" t="str">
        <f>"SI_112016"</f>
        <v>SI_112016</v>
      </c>
      <c r="M5044" s="84">
        <v>42854</v>
      </c>
      <c r="N5044" s="85">
        <f t="shared" si="1528"/>
        <v>958</v>
      </c>
      <c r="O5044" s="86">
        <f t="shared" si="1529"/>
        <v>11082.83</v>
      </c>
      <c r="P5044" s="86">
        <f t="shared" si="1530"/>
        <v>0</v>
      </c>
      <c r="Q5044" s="86">
        <f t="shared" si="1531"/>
        <v>0</v>
      </c>
      <c r="R5044" s="86">
        <f t="shared" si="1532"/>
        <v>0</v>
      </c>
      <c r="S5044" s="86">
        <f t="shared" si="1533"/>
        <v>0</v>
      </c>
      <c r="T5044" s="86">
        <f t="shared" si="1534"/>
        <v>11082.83</v>
      </c>
      <c r="U5044" s="87">
        <v>11082.83</v>
      </c>
    </row>
    <row r="5045" spans="1:21" s="30" customFormat="1" ht="24.6" hidden="1" outlineLevel="1" x14ac:dyDescent="0.55000000000000004">
      <c r="A5045" s="27" t="s">
        <v>327</v>
      </c>
      <c r="B5045" s="28"/>
      <c r="C5045" s="27"/>
      <c r="D5045" s="27" t="str">
        <f>"""NAV Direct"",""CRONUS JetCorp USA"",""21"",""1"",""389378"""</f>
        <v>"NAV Direct","CRONUS JetCorp USA","21","1","389378"</v>
      </c>
      <c r="E5045" s="31">
        <f t="shared" si="1526"/>
        <v>0</v>
      </c>
      <c r="F5045" s="31"/>
      <c r="G5045" s="31"/>
      <c r="H5045" s="31"/>
      <c r="I5045" s="56"/>
      <c r="J5045" s="56"/>
      <c r="K5045" s="82" t="str">
        <f t="shared" si="1527"/>
        <v>Invoice</v>
      </c>
      <c r="L5045" s="83" t="str">
        <f>"SI_112029"</f>
        <v>SI_112029</v>
      </c>
      <c r="M5045" s="84">
        <v>42908</v>
      </c>
      <c r="N5045" s="85">
        <f t="shared" si="1528"/>
        <v>904</v>
      </c>
      <c r="O5045" s="86">
        <f t="shared" si="1529"/>
        <v>11448.02</v>
      </c>
      <c r="P5045" s="86">
        <f t="shared" si="1530"/>
        <v>0</v>
      </c>
      <c r="Q5045" s="86">
        <f t="shared" si="1531"/>
        <v>0</v>
      </c>
      <c r="R5045" s="86">
        <f t="shared" si="1532"/>
        <v>0</v>
      </c>
      <c r="S5045" s="86">
        <f t="shared" si="1533"/>
        <v>0</v>
      </c>
      <c r="T5045" s="86">
        <f t="shared" si="1534"/>
        <v>11448.02</v>
      </c>
      <c r="U5045" s="87">
        <v>11448.02</v>
      </c>
    </row>
    <row r="5046" spans="1:21" s="30" customFormat="1" ht="24.6" hidden="1" outlineLevel="1" x14ac:dyDescent="0.55000000000000004">
      <c r="A5046" s="27" t="s">
        <v>327</v>
      </c>
      <c r="B5046" s="28"/>
      <c r="C5046" s="27"/>
      <c r="D5046" s="27" t="str">
        <f>"""NAV Direct"",""CRONUS JetCorp USA"",""21"",""1"",""390061"""</f>
        <v>"NAV Direct","CRONUS JetCorp USA","21","1","390061"</v>
      </c>
      <c r="E5046" s="31" t="str">
        <f t="shared" si="1526"/>
        <v>C100139</v>
      </c>
      <c r="F5046" s="31"/>
      <c r="G5046" s="31"/>
      <c r="H5046" s="31"/>
      <c r="I5046" s="56"/>
      <c r="J5046" s="56"/>
      <c r="K5046" s="82" t="str">
        <f t="shared" si="1527"/>
        <v>Invoice</v>
      </c>
      <c r="L5046" s="83" t="str">
        <f>"SI_112043"</f>
        <v>SI_112043</v>
      </c>
      <c r="M5046" s="84">
        <v>43034</v>
      </c>
      <c r="N5046" s="85">
        <f t="shared" si="1528"/>
        <v>778</v>
      </c>
      <c r="O5046" s="86">
        <f t="shared" si="1529"/>
        <v>8300.5199999999986</v>
      </c>
      <c r="P5046" s="86">
        <f t="shared" si="1530"/>
        <v>0</v>
      </c>
      <c r="Q5046" s="86">
        <f t="shared" si="1531"/>
        <v>0</v>
      </c>
      <c r="R5046" s="86">
        <f t="shared" si="1532"/>
        <v>0</v>
      </c>
      <c r="S5046" s="86">
        <f t="shared" si="1533"/>
        <v>0</v>
      </c>
      <c r="T5046" s="86">
        <f t="shared" si="1534"/>
        <v>8300.5199999999986</v>
      </c>
      <c r="U5046" s="87">
        <v>8300.5199999999986</v>
      </c>
    </row>
    <row r="5047" spans="1:21" s="30" customFormat="1" ht="24.6" hidden="1" outlineLevel="1" x14ac:dyDescent="0.55000000000000004">
      <c r="A5047" s="27" t="s">
        <v>327</v>
      </c>
      <c r="B5047" s="28"/>
      <c r="C5047" s="27"/>
      <c r="D5047" s="27" t="str">
        <f>"""NAV Direct"",""CRONUS JetCorp USA"",""21"",""1"",""390183"""</f>
        <v>"NAV Direct","CRONUS JetCorp USA","21","1","390183"</v>
      </c>
      <c r="E5047" s="31">
        <f t="shared" si="1526"/>
        <v>0</v>
      </c>
      <c r="F5047" s="31"/>
      <c r="G5047" s="31"/>
      <c r="H5047" s="31"/>
      <c r="I5047" s="56"/>
      <c r="J5047" s="56"/>
      <c r="K5047" s="82" t="str">
        <f t="shared" si="1527"/>
        <v>Invoice</v>
      </c>
      <c r="L5047" s="83" t="str">
        <f>"SI_112046"</f>
        <v>SI_112046</v>
      </c>
      <c r="M5047" s="84">
        <v>43064</v>
      </c>
      <c r="N5047" s="85">
        <f t="shared" si="1528"/>
        <v>748</v>
      </c>
      <c r="O5047" s="86">
        <f t="shared" si="1529"/>
        <v>8337.9399999999987</v>
      </c>
      <c r="P5047" s="86">
        <f t="shared" si="1530"/>
        <v>0</v>
      </c>
      <c r="Q5047" s="86">
        <f t="shared" si="1531"/>
        <v>0</v>
      </c>
      <c r="R5047" s="86">
        <f t="shared" si="1532"/>
        <v>0</v>
      </c>
      <c r="S5047" s="86">
        <f t="shared" si="1533"/>
        <v>0</v>
      </c>
      <c r="T5047" s="86">
        <f t="shared" si="1534"/>
        <v>8337.9399999999987</v>
      </c>
      <c r="U5047" s="87">
        <v>8337.9399999999987</v>
      </c>
    </row>
    <row r="5048" spans="1:21" s="30" customFormat="1" ht="24.6" hidden="1" outlineLevel="1" x14ac:dyDescent="0.55000000000000004">
      <c r="A5048" s="27" t="s">
        <v>327</v>
      </c>
      <c r="B5048" s="28"/>
      <c r="C5048" s="27"/>
      <c r="D5048" s="27" t="str">
        <f>"""NAV Direct"",""CRONUS JetCorp USA"",""21"",""1"",""391319"""</f>
        <v>"NAV Direct","CRONUS JetCorp USA","21","1","391319"</v>
      </c>
      <c r="E5048" s="31" t="str">
        <f t="shared" si="1526"/>
        <v>C100139</v>
      </c>
      <c r="F5048" s="31"/>
      <c r="G5048" s="31"/>
      <c r="H5048" s="31"/>
      <c r="I5048" s="56"/>
      <c r="J5048" s="56"/>
      <c r="K5048" s="82" t="str">
        <f t="shared" si="1527"/>
        <v>Invoice</v>
      </c>
      <c r="L5048" s="83" t="str">
        <f>"SI_112072"</f>
        <v>SI_112072</v>
      </c>
      <c r="M5048" s="84">
        <v>43308</v>
      </c>
      <c r="N5048" s="85">
        <f t="shared" si="1528"/>
        <v>504</v>
      </c>
      <c r="O5048" s="86">
        <f t="shared" si="1529"/>
        <v>9015.85</v>
      </c>
      <c r="P5048" s="86">
        <f t="shared" si="1530"/>
        <v>0</v>
      </c>
      <c r="Q5048" s="86">
        <f t="shared" si="1531"/>
        <v>0</v>
      </c>
      <c r="R5048" s="86">
        <f t="shared" si="1532"/>
        <v>0</v>
      </c>
      <c r="S5048" s="86">
        <f t="shared" si="1533"/>
        <v>0</v>
      </c>
      <c r="T5048" s="86">
        <f t="shared" si="1534"/>
        <v>9015.85</v>
      </c>
      <c r="U5048" s="87">
        <v>9015.85</v>
      </c>
    </row>
    <row r="5049" spans="1:21" s="30" customFormat="1" ht="24.6" hidden="1" outlineLevel="1" x14ac:dyDescent="0.55000000000000004">
      <c r="A5049" s="27" t="s">
        <v>327</v>
      </c>
      <c r="B5049" s="28"/>
      <c r="C5049" s="27"/>
      <c r="D5049" s="27" t="str">
        <f>"""NAV Direct"",""CRONUS JetCorp USA"",""21"",""1"",""392558"""</f>
        <v>"NAV Direct","CRONUS JetCorp USA","21","1","392558"</v>
      </c>
      <c r="E5049" s="31">
        <f t="shared" si="1526"/>
        <v>0</v>
      </c>
      <c r="F5049" s="31"/>
      <c r="G5049" s="31"/>
      <c r="H5049" s="31"/>
      <c r="I5049" s="56"/>
      <c r="J5049" s="56"/>
      <c r="K5049" s="82" t="str">
        <f t="shared" si="1527"/>
        <v>Invoice</v>
      </c>
      <c r="L5049" s="83" t="str">
        <f>"SI_112095"</f>
        <v>SI_112095</v>
      </c>
      <c r="M5049" s="84">
        <v>43429</v>
      </c>
      <c r="N5049" s="85">
        <f t="shared" si="1528"/>
        <v>383</v>
      </c>
      <c r="O5049" s="86">
        <f t="shared" si="1529"/>
        <v>12796.82</v>
      </c>
      <c r="P5049" s="86">
        <f t="shared" si="1530"/>
        <v>0</v>
      </c>
      <c r="Q5049" s="86">
        <f t="shared" si="1531"/>
        <v>0</v>
      </c>
      <c r="R5049" s="86">
        <f t="shared" si="1532"/>
        <v>0</v>
      </c>
      <c r="S5049" s="86">
        <f t="shared" si="1533"/>
        <v>0</v>
      </c>
      <c r="T5049" s="86">
        <f t="shared" si="1534"/>
        <v>12796.82</v>
      </c>
      <c r="U5049" s="87">
        <v>12796.82</v>
      </c>
    </row>
    <row r="5050" spans="1:21" s="30" customFormat="1" ht="24.6" hidden="1" outlineLevel="1" x14ac:dyDescent="0.55000000000000004">
      <c r="A5050" s="27" t="s">
        <v>327</v>
      </c>
      <c r="B5050" s="28"/>
      <c r="C5050" s="27"/>
      <c r="D5050" s="27" t="str">
        <f>"""NAV Direct"",""CRONUS JetCorp USA"",""21"",""1"",""393172"""</f>
        <v>"NAV Direct","CRONUS JetCorp USA","21","1","393172"</v>
      </c>
      <c r="E5050" s="31" t="str">
        <f t="shared" si="1526"/>
        <v>C100139</v>
      </c>
      <c r="F5050" s="31"/>
      <c r="G5050" s="31"/>
      <c r="H5050" s="31"/>
      <c r="I5050" s="56"/>
      <c r="J5050" s="56"/>
      <c r="K5050" s="82" t="str">
        <f t="shared" si="1527"/>
        <v>Invoice</v>
      </c>
      <c r="L5050" s="83" t="str">
        <f>"SI_112107"</f>
        <v>SI_112107</v>
      </c>
      <c r="M5050" s="84">
        <v>43529</v>
      </c>
      <c r="N5050" s="85">
        <f t="shared" si="1528"/>
        <v>283</v>
      </c>
      <c r="O5050" s="86">
        <f t="shared" si="1529"/>
        <v>11946.28</v>
      </c>
      <c r="P5050" s="86">
        <f t="shared" si="1530"/>
        <v>0</v>
      </c>
      <c r="Q5050" s="86">
        <f t="shared" si="1531"/>
        <v>0</v>
      </c>
      <c r="R5050" s="86">
        <f t="shared" si="1532"/>
        <v>0</v>
      </c>
      <c r="S5050" s="86">
        <f t="shared" si="1533"/>
        <v>0</v>
      </c>
      <c r="T5050" s="86">
        <f t="shared" si="1534"/>
        <v>11946.28</v>
      </c>
      <c r="U5050" s="87">
        <v>11946.28</v>
      </c>
    </row>
    <row r="5051" spans="1:21" s="30" customFormat="1" ht="24.6" hidden="1" outlineLevel="1" x14ac:dyDescent="0.55000000000000004">
      <c r="A5051" s="27" t="s">
        <v>327</v>
      </c>
      <c r="B5051" s="28"/>
      <c r="C5051" s="27"/>
      <c r="D5051" s="27" t="str">
        <f>"""NAV Direct"",""CRONUS JetCorp USA"",""21"",""1"",""393650"""</f>
        <v>"NAV Direct","CRONUS JetCorp USA","21","1","393650"</v>
      </c>
      <c r="E5051" s="31">
        <f t="shared" si="1526"/>
        <v>0</v>
      </c>
      <c r="F5051" s="31"/>
      <c r="G5051" s="31"/>
      <c r="H5051" s="31"/>
      <c r="I5051" s="56"/>
      <c r="J5051" s="56"/>
      <c r="K5051" s="82" t="str">
        <f t="shared" si="1527"/>
        <v>Invoice</v>
      </c>
      <c r="L5051" s="83" t="str">
        <f>"SI_112115"</f>
        <v>SI_112115</v>
      </c>
      <c r="M5051" s="84">
        <v>43578</v>
      </c>
      <c r="N5051" s="85">
        <f t="shared" si="1528"/>
        <v>234</v>
      </c>
      <c r="O5051" s="86">
        <f t="shared" si="1529"/>
        <v>12336.400000000001</v>
      </c>
      <c r="P5051" s="86">
        <f t="shared" si="1530"/>
        <v>0</v>
      </c>
      <c r="Q5051" s="86">
        <f t="shared" si="1531"/>
        <v>0</v>
      </c>
      <c r="R5051" s="86">
        <f t="shared" si="1532"/>
        <v>0</v>
      </c>
      <c r="S5051" s="86">
        <f t="shared" si="1533"/>
        <v>0</v>
      </c>
      <c r="T5051" s="86">
        <f t="shared" si="1534"/>
        <v>12336.400000000001</v>
      </c>
      <c r="U5051" s="87">
        <v>12336.400000000001</v>
      </c>
    </row>
    <row r="5052" spans="1:21" s="30" customFormat="1" ht="24.6" hidden="1" outlineLevel="1" x14ac:dyDescent="0.55000000000000004">
      <c r="A5052" s="27" t="s">
        <v>327</v>
      </c>
      <c r="B5052" s="28"/>
      <c r="C5052" s="27"/>
      <c r="D5052" s="27" t="str">
        <f>"""NAV Direct"",""CRONUS JetCorp USA"",""21"",""1"",""393713"""</f>
        <v>"NAV Direct","CRONUS JetCorp USA","21","1","393713"</v>
      </c>
      <c r="E5052" s="31" t="str">
        <f t="shared" si="1526"/>
        <v>C100139</v>
      </c>
      <c r="F5052" s="31"/>
      <c r="G5052" s="31"/>
      <c r="H5052" s="31"/>
      <c r="I5052" s="56"/>
      <c r="J5052" s="56"/>
      <c r="K5052" s="82" t="str">
        <f t="shared" si="1527"/>
        <v>Invoice</v>
      </c>
      <c r="L5052" s="83" t="str">
        <f>"SI_112116"</f>
        <v>SI_112116</v>
      </c>
      <c r="M5052" s="84">
        <v>43587</v>
      </c>
      <c r="N5052" s="85">
        <f t="shared" si="1528"/>
        <v>225</v>
      </c>
      <c r="O5052" s="86">
        <f t="shared" si="1529"/>
        <v>12756.73</v>
      </c>
      <c r="P5052" s="86">
        <f t="shared" si="1530"/>
        <v>0</v>
      </c>
      <c r="Q5052" s="86">
        <f t="shared" si="1531"/>
        <v>0</v>
      </c>
      <c r="R5052" s="86">
        <f t="shared" si="1532"/>
        <v>0</v>
      </c>
      <c r="S5052" s="86">
        <f t="shared" si="1533"/>
        <v>0</v>
      </c>
      <c r="T5052" s="86">
        <f t="shared" si="1534"/>
        <v>12756.73</v>
      </c>
      <c r="U5052" s="87">
        <v>12756.73</v>
      </c>
    </row>
    <row r="5053" spans="1:21" s="30" customFormat="1" ht="24.6" hidden="1" outlineLevel="1" x14ac:dyDescent="0.55000000000000004">
      <c r="A5053" s="27" t="s">
        <v>327</v>
      </c>
      <c r="B5053" s="28"/>
      <c r="C5053" s="27"/>
      <c r="D5053" s="27" t="str">
        <f>"""NAV Direct"",""CRONUS JetCorp USA"",""21"",""1"",""393888"""</f>
        <v>"NAV Direct","CRONUS JetCorp USA","21","1","393888"</v>
      </c>
      <c r="E5053" s="31">
        <f t="shared" si="1526"/>
        <v>0</v>
      </c>
      <c r="F5053" s="31"/>
      <c r="G5053" s="31"/>
      <c r="H5053" s="31"/>
      <c r="I5053" s="56"/>
      <c r="J5053" s="56"/>
      <c r="K5053" s="82" t="str">
        <f t="shared" si="1527"/>
        <v>Invoice</v>
      </c>
      <c r="L5053" s="83" t="str">
        <f>"SI_112119"</f>
        <v>SI_112119</v>
      </c>
      <c r="M5053" s="84">
        <v>43593</v>
      </c>
      <c r="N5053" s="85">
        <f t="shared" si="1528"/>
        <v>219</v>
      </c>
      <c r="O5053" s="86">
        <f t="shared" si="1529"/>
        <v>11915.85</v>
      </c>
      <c r="P5053" s="86">
        <f t="shared" si="1530"/>
        <v>0</v>
      </c>
      <c r="Q5053" s="86">
        <f t="shared" si="1531"/>
        <v>0</v>
      </c>
      <c r="R5053" s="86">
        <f t="shared" si="1532"/>
        <v>0</v>
      </c>
      <c r="S5053" s="86">
        <f t="shared" si="1533"/>
        <v>0</v>
      </c>
      <c r="T5053" s="86">
        <f t="shared" si="1534"/>
        <v>11915.85</v>
      </c>
      <c r="U5053" s="87">
        <v>11915.85</v>
      </c>
    </row>
    <row r="5054" spans="1:21" s="30" customFormat="1" ht="24.6" hidden="1" outlineLevel="1" x14ac:dyDescent="0.55000000000000004">
      <c r="A5054" s="27" t="s">
        <v>327</v>
      </c>
      <c r="B5054" s="28"/>
      <c r="C5054" s="27"/>
      <c r="D5054" s="27" t="str">
        <f>"""NAV Direct"",""CRONUS JetCorp USA"",""21"",""1"",""394691"""</f>
        <v>"NAV Direct","CRONUS JetCorp USA","21","1","394691"</v>
      </c>
      <c r="E5054" s="31" t="str">
        <f t="shared" si="1526"/>
        <v>C100139</v>
      </c>
      <c r="F5054" s="31"/>
      <c r="G5054" s="31"/>
      <c r="H5054" s="31"/>
      <c r="I5054" s="56"/>
      <c r="J5054" s="56"/>
      <c r="K5054" s="82" t="str">
        <f t="shared" si="1527"/>
        <v>Invoice</v>
      </c>
      <c r="L5054" s="83" t="str">
        <f>"SI_112134"</f>
        <v>SI_112134</v>
      </c>
      <c r="M5054" s="84">
        <v>43667</v>
      </c>
      <c r="N5054" s="85">
        <f t="shared" si="1528"/>
        <v>145</v>
      </c>
      <c r="O5054" s="86">
        <f t="shared" si="1529"/>
        <v>9538.2899999999991</v>
      </c>
      <c r="P5054" s="86">
        <f t="shared" si="1530"/>
        <v>0</v>
      </c>
      <c r="Q5054" s="86">
        <f t="shared" si="1531"/>
        <v>0</v>
      </c>
      <c r="R5054" s="86">
        <f t="shared" si="1532"/>
        <v>0</v>
      </c>
      <c r="S5054" s="86">
        <f t="shared" si="1533"/>
        <v>0</v>
      </c>
      <c r="T5054" s="86">
        <f t="shared" si="1534"/>
        <v>9538.2899999999991</v>
      </c>
      <c r="U5054" s="87">
        <v>9538.2899999999991</v>
      </c>
    </row>
    <row r="5055" spans="1:21" s="30" customFormat="1" ht="24.6" hidden="1" outlineLevel="1" x14ac:dyDescent="0.55000000000000004">
      <c r="A5055" s="27" t="s">
        <v>327</v>
      </c>
      <c r="B5055" s="28"/>
      <c r="C5055" s="27"/>
      <c r="D5055" s="27" t="str">
        <f>"""NAV Direct"",""CRONUS JetCorp USA"",""21"",""1"",""394864"""</f>
        <v>"NAV Direct","CRONUS JetCorp USA","21","1","394864"</v>
      </c>
      <c r="E5055" s="31">
        <f t="shared" si="1526"/>
        <v>0</v>
      </c>
      <c r="F5055" s="31"/>
      <c r="G5055" s="31"/>
      <c r="H5055" s="31"/>
      <c r="I5055" s="56"/>
      <c r="J5055" s="56"/>
      <c r="K5055" s="82" t="str">
        <f t="shared" si="1527"/>
        <v>Invoice</v>
      </c>
      <c r="L5055" s="83" t="str">
        <f>"SI_112137"</f>
        <v>SI_112137</v>
      </c>
      <c r="M5055" s="84">
        <v>43678</v>
      </c>
      <c r="N5055" s="85">
        <f t="shared" si="1528"/>
        <v>134</v>
      </c>
      <c r="O5055" s="86">
        <f t="shared" si="1529"/>
        <v>9856.18</v>
      </c>
      <c r="P5055" s="86">
        <f t="shared" si="1530"/>
        <v>0</v>
      </c>
      <c r="Q5055" s="86">
        <f t="shared" si="1531"/>
        <v>0</v>
      </c>
      <c r="R5055" s="86">
        <f t="shared" si="1532"/>
        <v>0</v>
      </c>
      <c r="S5055" s="86">
        <f t="shared" si="1533"/>
        <v>0</v>
      </c>
      <c r="T5055" s="86">
        <f t="shared" si="1534"/>
        <v>9856.18</v>
      </c>
      <c r="U5055" s="87">
        <v>9856.18</v>
      </c>
    </row>
    <row r="5056" spans="1:21" s="30" customFormat="1" ht="24.6" hidden="1" outlineLevel="1" x14ac:dyDescent="0.55000000000000004">
      <c r="A5056" s="27" t="s">
        <v>327</v>
      </c>
      <c r="B5056" s="28"/>
      <c r="C5056" s="27"/>
      <c r="D5056" s="27" t="str">
        <f>"""NAV Direct"",""CRONUS JetCorp USA"",""21"",""1"",""398215"""</f>
        <v>"NAV Direct","CRONUS JetCorp USA","21","1","398215"</v>
      </c>
      <c r="E5056" s="31" t="str">
        <f t="shared" si="1526"/>
        <v>C100139</v>
      </c>
      <c r="F5056" s="31"/>
      <c r="G5056" s="31"/>
      <c r="H5056" s="31"/>
      <c r="I5056" s="56"/>
      <c r="J5056" s="56"/>
      <c r="K5056" s="82" t="str">
        <f t="shared" si="1527"/>
        <v>Invoice</v>
      </c>
      <c r="L5056" s="83" t="str">
        <f>"SI_112203"</f>
        <v>SI_112203</v>
      </c>
      <c r="M5056" s="84">
        <v>42145</v>
      </c>
      <c r="N5056" s="85">
        <f t="shared" si="1528"/>
        <v>1667</v>
      </c>
      <c r="O5056" s="86">
        <f t="shared" si="1529"/>
        <v>7387.9</v>
      </c>
      <c r="P5056" s="86">
        <f t="shared" si="1530"/>
        <v>0</v>
      </c>
      <c r="Q5056" s="86">
        <f t="shared" si="1531"/>
        <v>0</v>
      </c>
      <c r="R5056" s="86">
        <f t="shared" si="1532"/>
        <v>0</v>
      </c>
      <c r="S5056" s="86">
        <f t="shared" si="1533"/>
        <v>0</v>
      </c>
      <c r="T5056" s="86">
        <f t="shared" si="1534"/>
        <v>7387.9</v>
      </c>
      <c r="U5056" s="87">
        <v>7387.9</v>
      </c>
    </row>
    <row r="5057" spans="1:21" s="30" customFormat="1" ht="24.6" hidden="1" outlineLevel="1" x14ac:dyDescent="0.55000000000000004">
      <c r="A5057" s="27" t="s">
        <v>327</v>
      </c>
      <c r="B5057" s="28"/>
      <c r="C5057" s="27"/>
      <c r="D5057" s="27" t="str">
        <f>"""NAV Direct"",""CRONUS JetCorp USA"",""21"",""1"",""399175"""</f>
        <v>"NAV Direct","CRONUS JetCorp USA","21","1","399175"</v>
      </c>
      <c r="E5057" s="31">
        <f t="shared" si="1526"/>
        <v>0</v>
      </c>
      <c r="F5057" s="31"/>
      <c r="G5057" s="31"/>
      <c r="H5057" s="31"/>
      <c r="I5057" s="56"/>
      <c r="J5057" s="56"/>
      <c r="K5057" s="82" t="str">
        <f t="shared" si="1527"/>
        <v>Invoice</v>
      </c>
      <c r="L5057" s="83" t="str">
        <f>"SI_112225"</f>
        <v>SI_112225</v>
      </c>
      <c r="M5057" s="84">
        <v>42240</v>
      </c>
      <c r="N5057" s="85">
        <f t="shared" si="1528"/>
        <v>1572</v>
      </c>
      <c r="O5057" s="86">
        <f t="shared" si="1529"/>
        <v>7791.5</v>
      </c>
      <c r="P5057" s="86">
        <f t="shared" si="1530"/>
        <v>0</v>
      </c>
      <c r="Q5057" s="86">
        <f t="shared" si="1531"/>
        <v>0</v>
      </c>
      <c r="R5057" s="86">
        <f t="shared" si="1532"/>
        <v>0</v>
      </c>
      <c r="S5057" s="86">
        <f t="shared" si="1533"/>
        <v>0</v>
      </c>
      <c r="T5057" s="86">
        <f t="shared" si="1534"/>
        <v>7791.5</v>
      </c>
      <c r="U5057" s="87">
        <v>7791.5</v>
      </c>
    </row>
    <row r="5058" spans="1:21" s="30" customFormat="1" ht="24.6" hidden="1" outlineLevel="1" x14ac:dyDescent="0.55000000000000004">
      <c r="A5058" s="27" t="s">
        <v>327</v>
      </c>
      <c r="B5058" s="28"/>
      <c r="C5058" s="27"/>
      <c r="D5058" s="27" t="str">
        <f>"""NAV Direct"",""CRONUS JetCorp USA"",""21"",""1"",""399582"""</f>
        <v>"NAV Direct","CRONUS JetCorp USA","21","1","399582"</v>
      </c>
      <c r="E5058" s="31" t="str">
        <f t="shared" si="1526"/>
        <v>C100139</v>
      </c>
      <c r="F5058" s="31"/>
      <c r="G5058" s="31"/>
      <c r="H5058" s="31"/>
      <c r="I5058" s="56"/>
      <c r="J5058" s="56"/>
      <c r="K5058" s="82" t="str">
        <f t="shared" si="1527"/>
        <v>Invoice</v>
      </c>
      <c r="L5058" s="83" t="str">
        <f>"SI_112234"</f>
        <v>SI_112234</v>
      </c>
      <c r="M5058" s="84">
        <v>42269</v>
      </c>
      <c r="N5058" s="85">
        <f t="shared" si="1528"/>
        <v>1543</v>
      </c>
      <c r="O5058" s="86">
        <f t="shared" si="1529"/>
        <v>8218.65</v>
      </c>
      <c r="P5058" s="86">
        <f t="shared" si="1530"/>
        <v>0</v>
      </c>
      <c r="Q5058" s="86">
        <f t="shared" si="1531"/>
        <v>0</v>
      </c>
      <c r="R5058" s="86">
        <f t="shared" si="1532"/>
        <v>0</v>
      </c>
      <c r="S5058" s="86">
        <f t="shared" si="1533"/>
        <v>0</v>
      </c>
      <c r="T5058" s="86">
        <f t="shared" si="1534"/>
        <v>8218.65</v>
      </c>
      <c r="U5058" s="87">
        <v>8218.65</v>
      </c>
    </row>
    <row r="5059" spans="1:21" s="30" customFormat="1" ht="24.6" hidden="1" outlineLevel="1" x14ac:dyDescent="0.55000000000000004">
      <c r="A5059" s="27" t="s">
        <v>327</v>
      </c>
      <c r="B5059" s="28"/>
      <c r="C5059" s="27"/>
      <c r="D5059" s="27" t="str">
        <f>"""NAV Direct"",""CRONUS JetCorp USA"",""21"",""1"",""399919"""</f>
        <v>"NAV Direct","CRONUS JetCorp USA","21","1","399919"</v>
      </c>
      <c r="E5059" s="31">
        <f t="shared" si="1526"/>
        <v>0</v>
      </c>
      <c r="F5059" s="31"/>
      <c r="G5059" s="31"/>
      <c r="H5059" s="31"/>
      <c r="I5059" s="56"/>
      <c r="J5059" s="56"/>
      <c r="K5059" s="82" t="str">
        <f t="shared" si="1527"/>
        <v>Invoice</v>
      </c>
      <c r="L5059" s="83" t="str">
        <f>"SI_112241"</f>
        <v>SI_112241</v>
      </c>
      <c r="M5059" s="84">
        <v>42281</v>
      </c>
      <c r="N5059" s="85">
        <f t="shared" si="1528"/>
        <v>1531</v>
      </c>
      <c r="O5059" s="86">
        <f t="shared" si="1529"/>
        <v>8401.32</v>
      </c>
      <c r="P5059" s="86">
        <f t="shared" si="1530"/>
        <v>0</v>
      </c>
      <c r="Q5059" s="86">
        <f t="shared" si="1531"/>
        <v>0</v>
      </c>
      <c r="R5059" s="86">
        <f t="shared" si="1532"/>
        <v>0</v>
      </c>
      <c r="S5059" s="86">
        <f t="shared" si="1533"/>
        <v>0</v>
      </c>
      <c r="T5059" s="86">
        <f t="shared" si="1534"/>
        <v>8401.32</v>
      </c>
      <c r="U5059" s="87">
        <v>8401.32</v>
      </c>
    </row>
    <row r="5060" spans="1:21" s="30" customFormat="1" ht="24.6" hidden="1" outlineLevel="1" x14ac:dyDescent="0.55000000000000004">
      <c r="A5060" s="27" t="s">
        <v>327</v>
      </c>
      <c r="B5060" s="28"/>
      <c r="C5060" s="27"/>
      <c r="D5060" s="27" t="str">
        <f>"""NAV Direct"",""CRONUS JetCorp USA"",""21"",""1"",""400604"""</f>
        <v>"NAV Direct","CRONUS JetCorp USA","21","1","400604"</v>
      </c>
      <c r="E5060" s="31" t="str">
        <f t="shared" si="1526"/>
        <v>C100139</v>
      </c>
      <c r="F5060" s="31"/>
      <c r="G5060" s="31"/>
      <c r="H5060" s="31"/>
      <c r="I5060" s="56"/>
      <c r="J5060" s="56"/>
      <c r="K5060" s="82" t="str">
        <f t="shared" si="1527"/>
        <v>Invoice</v>
      </c>
      <c r="L5060" s="83" t="str">
        <f>"SI_112254"</f>
        <v>SI_112254</v>
      </c>
      <c r="M5060" s="84">
        <v>42313</v>
      </c>
      <c r="N5060" s="85">
        <f t="shared" si="1528"/>
        <v>1499</v>
      </c>
      <c r="O5060" s="86">
        <f t="shared" si="1529"/>
        <v>9442.4599999999991</v>
      </c>
      <c r="P5060" s="86">
        <f t="shared" si="1530"/>
        <v>0</v>
      </c>
      <c r="Q5060" s="86">
        <f t="shared" si="1531"/>
        <v>0</v>
      </c>
      <c r="R5060" s="86">
        <f t="shared" si="1532"/>
        <v>0</v>
      </c>
      <c r="S5060" s="86">
        <f t="shared" si="1533"/>
        <v>0</v>
      </c>
      <c r="T5060" s="86">
        <f t="shared" si="1534"/>
        <v>9442.4599999999991</v>
      </c>
      <c r="U5060" s="87">
        <v>9442.4599999999991</v>
      </c>
    </row>
    <row r="5061" spans="1:21" s="30" customFormat="1" ht="24.6" hidden="1" outlineLevel="1" x14ac:dyDescent="0.55000000000000004">
      <c r="A5061" s="27" t="s">
        <v>327</v>
      </c>
      <c r="B5061" s="28"/>
      <c r="C5061" s="27"/>
      <c r="D5061" s="27" t="str">
        <f>"""NAV Direct"",""CRONUS JetCorp USA"",""21"",""1"",""401109"""</f>
        <v>"NAV Direct","CRONUS JetCorp USA","21","1","401109"</v>
      </c>
      <c r="E5061" s="31">
        <f t="shared" si="1526"/>
        <v>0</v>
      </c>
      <c r="F5061" s="31"/>
      <c r="G5061" s="31"/>
      <c r="H5061" s="31"/>
      <c r="I5061" s="56"/>
      <c r="J5061" s="56"/>
      <c r="K5061" s="82" t="str">
        <f t="shared" si="1527"/>
        <v>Invoice</v>
      </c>
      <c r="L5061" s="83" t="str">
        <f>"SI_112265"</f>
        <v>SI_112265</v>
      </c>
      <c r="M5061" s="84">
        <v>42341</v>
      </c>
      <c r="N5061" s="85">
        <f t="shared" si="1528"/>
        <v>1471</v>
      </c>
      <c r="O5061" s="86">
        <f t="shared" si="1529"/>
        <v>8859.7000000000007</v>
      </c>
      <c r="P5061" s="86">
        <f t="shared" si="1530"/>
        <v>0</v>
      </c>
      <c r="Q5061" s="86">
        <f t="shared" si="1531"/>
        <v>0</v>
      </c>
      <c r="R5061" s="86">
        <f t="shared" si="1532"/>
        <v>0</v>
      </c>
      <c r="S5061" s="86">
        <f t="shared" si="1533"/>
        <v>0</v>
      </c>
      <c r="T5061" s="86">
        <f t="shared" si="1534"/>
        <v>8859.7000000000007</v>
      </c>
      <c r="U5061" s="87">
        <v>8859.7000000000007</v>
      </c>
    </row>
    <row r="5062" spans="1:21" s="30" customFormat="1" ht="24.6" hidden="1" outlineLevel="1" x14ac:dyDescent="0.55000000000000004">
      <c r="A5062" s="27" t="s">
        <v>327</v>
      </c>
      <c r="B5062" s="28"/>
      <c r="C5062" s="27"/>
      <c r="D5062" s="27" t="str">
        <f>"""NAV Direct"",""CRONUS JetCorp USA"",""21"",""1"",""401199"""</f>
        <v>"NAV Direct","CRONUS JetCorp USA","21","1","401199"</v>
      </c>
      <c r="E5062" s="31" t="str">
        <f t="shared" si="1526"/>
        <v>C100139</v>
      </c>
      <c r="F5062" s="31"/>
      <c r="G5062" s="31"/>
      <c r="H5062" s="31"/>
      <c r="I5062" s="56"/>
      <c r="J5062" s="56"/>
      <c r="K5062" s="82" t="str">
        <f t="shared" si="1527"/>
        <v>Invoice</v>
      </c>
      <c r="L5062" s="83" t="str">
        <f>"SI_112267"</f>
        <v>SI_112267</v>
      </c>
      <c r="M5062" s="84">
        <v>42343</v>
      </c>
      <c r="N5062" s="85">
        <f t="shared" si="1528"/>
        <v>1469</v>
      </c>
      <c r="O5062" s="86">
        <f t="shared" si="1529"/>
        <v>8859.82</v>
      </c>
      <c r="P5062" s="86">
        <f t="shared" si="1530"/>
        <v>0</v>
      </c>
      <c r="Q5062" s="86">
        <f t="shared" si="1531"/>
        <v>0</v>
      </c>
      <c r="R5062" s="86">
        <f t="shared" si="1532"/>
        <v>0</v>
      </c>
      <c r="S5062" s="86">
        <f t="shared" si="1533"/>
        <v>0</v>
      </c>
      <c r="T5062" s="86">
        <f t="shared" si="1534"/>
        <v>8859.82</v>
      </c>
      <c r="U5062" s="87">
        <v>8859.82</v>
      </c>
    </row>
    <row r="5063" spans="1:21" s="30" customFormat="1" ht="24.6" hidden="1" outlineLevel="1" x14ac:dyDescent="0.55000000000000004">
      <c r="A5063" s="27" t="s">
        <v>327</v>
      </c>
      <c r="B5063" s="28"/>
      <c r="C5063" s="27"/>
      <c r="D5063" s="27" t="str">
        <f>"""NAV Direct"",""CRONUS JetCorp USA"",""21"",""1"",""438954"""</f>
        <v>"NAV Direct","CRONUS JetCorp USA","21","1","438954"</v>
      </c>
      <c r="E5063" s="31">
        <f t="shared" si="1526"/>
        <v>0</v>
      </c>
      <c r="F5063" s="31"/>
      <c r="G5063" s="31"/>
      <c r="H5063" s="31"/>
      <c r="I5063" s="56"/>
      <c r="J5063" s="56"/>
      <c r="K5063" s="82" t="str">
        <f t="shared" ref="K5063:K5068" si="1535">"Credit Memo"</f>
        <v>Credit Memo</v>
      </c>
      <c r="L5063" s="83" t="str">
        <f>"SC_100843"</f>
        <v>SC_100843</v>
      </c>
      <c r="M5063" s="84">
        <v>42804</v>
      </c>
      <c r="N5063" s="85">
        <f t="shared" si="1528"/>
        <v>1008</v>
      </c>
      <c r="O5063" s="86">
        <f t="shared" si="1529"/>
        <v>-147.07</v>
      </c>
      <c r="P5063" s="86">
        <f t="shared" si="1530"/>
        <v>0</v>
      </c>
      <c r="Q5063" s="86">
        <f t="shared" si="1531"/>
        <v>0</v>
      </c>
      <c r="R5063" s="86">
        <f t="shared" si="1532"/>
        <v>0</v>
      </c>
      <c r="S5063" s="86">
        <f t="shared" si="1533"/>
        <v>0</v>
      </c>
      <c r="T5063" s="86">
        <f t="shared" si="1534"/>
        <v>-147.07</v>
      </c>
      <c r="U5063" s="87">
        <v>-147.07</v>
      </c>
    </row>
    <row r="5064" spans="1:21" s="30" customFormat="1" ht="24.6" hidden="1" outlineLevel="1" x14ac:dyDescent="0.55000000000000004">
      <c r="A5064" s="27" t="s">
        <v>327</v>
      </c>
      <c r="B5064" s="28"/>
      <c r="C5064" s="27"/>
      <c r="D5064" s="27" t="str">
        <f>"""NAV Direct"",""CRONUS JetCorp USA"",""21"",""1"",""438990"""</f>
        <v>"NAV Direct","CRONUS JetCorp USA","21","1","438990"</v>
      </c>
      <c r="E5064" s="31" t="str">
        <f t="shared" si="1526"/>
        <v>C100139</v>
      </c>
      <c r="F5064" s="31"/>
      <c r="G5064" s="31"/>
      <c r="H5064" s="31"/>
      <c r="I5064" s="56"/>
      <c r="J5064" s="56"/>
      <c r="K5064" s="82" t="str">
        <f t="shared" si="1535"/>
        <v>Credit Memo</v>
      </c>
      <c r="L5064" s="83" t="str">
        <f>"SC_100845"</f>
        <v>SC_100845</v>
      </c>
      <c r="M5064" s="84">
        <v>42900</v>
      </c>
      <c r="N5064" s="85">
        <f t="shared" si="1528"/>
        <v>912</v>
      </c>
      <c r="O5064" s="86">
        <f t="shared" si="1529"/>
        <v>-112.08</v>
      </c>
      <c r="P5064" s="86">
        <f t="shared" si="1530"/>
        <v>0</v>
      </c>
      <c r="Q5064" s="86">
        <f t="shared" si="1531"/>
        <v>0</v>
      </c>
      <c r="R5064" s="86">
        <f t="shared" si="1532"/>
        <v>0</v>
      </c>
      <c r="S5064" s="86">
        <f t="shared" si="1533"/>
        <v>0</v>
      </c>
      <c r="T5064" s="86">
        <f t="shared" si="1534"/>
        <v>-112.08</v>
      </c>
      <c r="U5064" s="87">
        <v>-112.08</v>
      </c>
    </row>
    <row r="5065" spans="1:21" s="30" customFormat="1" ht="24.6" hidden="1" outlineLevel="1" x14ac:dyDescent="0.55000000000000004">
      <c r="A5065" s="27" t="s">
        <v>327</v>
      </c>
      <c r="B5065" s="28"/>
      <c r="C5065" s="27"/>
      <c r="D5065" s="27" t="str">
        <f>"""NAV Direct"",""CRONUS JetCorp USA"",""21"",""1"",""439085"""</f>
        <v>"NAV Direct","CRONUS JetCorp USA","21","1","439085"</v>
      </c>
      <c r="E5065" s="31">
        <f t="shared" si="1526"/>
        <v>0</v>
      </c>
      <c r="F5065" s="31"/>
      <c r="G5065" s="31"/>
      <c r="H5065" s="31"/>
      <c r="I5065" s="56"/>
      <c r="J5065" s="56"/>
      <c r="K5065" s="82" t="str">
        <f t="shared" si="1535"/>
        <v>Credit Memo</v>
      </c>
      <c r="L5065" s="83" t="str">
        <f>"SC_100850"</f>
        <v>SC_100850</v>
      </c>
      <c r="M5065" s="84">
        <v>43137</v>
      </c>
      <c r="N5065" s="85">
        <f t="shared" si="1528"/>
        <v>675</v>
      </c>
      <c r="O5065" s="86">
        <f t="shared" si="1529"/>
        <v>-78.940000000000012</v>
      </c>
      <c r="P5065" s="86">
        <f t="shared" si="1530"/>
        <v>0</v>
      </c>
      <c r="Q5065" s="86">
        <f t="shared" si="1531"/>
        <v>0</v>
      </c>
      <c r="R5065" s="86">
        <f t="shared" si="1532"/>
        <v>0</v>
      </c>
      <c r="S5065" s="86">
        <f t="shared" si="1533"/>
        <v>0</v>
      </c>
      <c r="T5065" s="86">
        <f t="shared" si="1534"/>
        <v>-78.940000000000012</v>
      </c>
      <c r="U5065" s="87">
        <v>-78.940000000000012</v>
      </c>
    </row>
    <row r="5066" spans="1:21" s="30" customFormat="1" ht="24.6" hidden="1" outlineLevel="1" x14ac:dyDescent="0.55000000000000004">
      <c r="A5066" s="27" t="s">
        <v>327</v>
      </c>
      <c r="B5066" s="28"/>
      <c r="C5066" s="27"/>
      <c r="D5066" s="27" t="str">
        <f>"""NAV Direct"",""CRONUS JetCorp USA"",""21"",""1"",""439263"""</f>
        <v>"NAV Direct","CRONUS JetCorp USA","21","1","439263"</v>
      </c>
      <c r="E5066" s="31" t="str">
        <f t="shared" si="1526"/>
        <v>C100139</v>
      </c>
      <c r="F5066" s="31"/>
      <c r="G5066" s="31"/>
      <c r="H5066" s="31"/>
      <c r="I5066" s="56"/>
      <c r="J5066" s="56"/>
      <c r="K5066" s="82" t="str">
        <f t="shared" si="1535"/>
        <v>Credit Memo</v>
      </c>
      <c r="L5066" s="83" t="str">
        <f>"SC_100858"</f>
        <v>SC_100858</v>
      </c>
      <c r="M5066" s="84">
        <v>43446</v>
      </c>
      <c r="N5066" s="85">
        <f t="shared" si="1528"/>
        <v>366</v>
      </c>
      <c r="O5066" s="86">
        <f t="shared" si="1529"/>
        <v>-101.28999999999999</v>
      </c>
      <c r="P5066" s="86">
        <f t="shared" si="1530"/>
        <v>0</v>
      </c>
      <c r="Q5066" s="86">
        <f t="shared" si="1531"/>
        <v>0</v>
      </c>
      <c r="R5066" s="86">
        <f t="shared" si="1532"/>
        <v>0</v>
      </c>
      <c r="S5066" s="86">
        <f t="shared" si="1533"/>
        <v>0</v>
      </c>
      <c r="T5066" s="86">
        <f t="shared" si="1534"/>
        <v>-101.28999999999999</v>
      </c>
      <c r="U5066" s="87">
        <v>-101.28999999999999</v>
      </c>
    </row>
    <row r="5067" spans="1:21" s="30" customFormat="1" ht="24.6" hidden="1" outlineLevel="1" x14ac:dyDescent="0.55000000000000004">
      <c r="A5067" s="27" t="s">
        <v>327</v>
      </c>
      <c r="B5067" s="28"/>
      <c r="C5067" s="27"/>
      <c r="D5067" s="27" t="str">
        <f>"""NAV Direct"",""CRONUS JetCorp USA"",""21"",""1"",""439773"""</f>
        <v>"NAV Direct","CRONUS JetCorp USA","21","1","439773"</v>
      </c>
      <c r="E5067" s="31">
        <f t="shared" si="1526"/>
        <v>0</v>
      </c>
      <c r="F5067" s="31"/>
      <c r="G5067" s="31"/>
      <c r="H5067" s="31"/>
      <c r="I5067" s="56"/>
      <c r="J5067" s="56"/>
      <c r="K5067" s="82" t="str">
        <f t="shared" si="1535"/>
        <v>Credit Memo</v>
      </c>
      <c r="L5067" s="83" t="str">
        <f>"SC_100884"</f>
        <v>SC_100884</v>
      </c>
      <c r="M5067" s="84">
        <v>42013</v>
      </c>
      <c r="N5067" s="85">
        <f t="shared" si="1528"/>
        <v>1799</v>
      </c>
      <c r="O5067" s="86">
        <f t="shared" si="1529"/>
        <v>-94.13</v>
      </c>
      <c r="P5067" s="86">
        <f t="shared" si="1530"/>
        <v>0</v>
      </c>
      <c r="Q5067" s="86">
        <f t="shared" si="1531"/>
        <v>0</v>
      </c>
      <c r="R5067" s="86">
        <f t="shared" si="1532"/>
        <v>0</v>
      </c>
      <c r="S5067" s="86">
        <f t="shared" si="1533"/>
        <v>0</v>
      </c>
      <c r="T5067" s="86">
        <f t="shared" si="1534"/>
        <v>-94.13</v>
      </c>
      <c r="U5067" s="87">
        <v>-94.13</v>
      </c>
    </row>
    <row r="5068" spans="1:21" s="30" customFormat="1" ht="24.6" hidden="1" outlineLevel="1" x14ac:dyDescent="0.55000000000000004">
      <c r="A5068" s="27" t="s">
        <v>327</v>
      </c>
      <c r="B5068" s="28"/>
      <c r="C5068" s="27"/>
      <c r="D5068" s="27" t="str">
        <f>"""NAV Direct"",""CRONUS JetCorp USA"",""21"",""1"",""440077"""</f>
        <v>"NAV Direct","CRONUS JetCorp USA","21","1","440077"</v>
      </c>
      <c r="E5068" s="31" t="str">
        <f t="shared" si="1526"/>
        <v>C100139</v>
      </c>
      <c r="F5068" s="31"/>
      <c r="G5068" s="31"/>
      <c r="H5068" s="31"/>
      <c r="I5068" s="56"/>
      <c r="J5068" s="56"/>
      <c r="K5068" s="82" t="str">
        <f t="shared" si="1535"/>
        <v>Credit Memo</v>
      </c>
      <c r="L5068" s="83" t="str">
        <f>"SC_100900"</f>
        <v>SC_100900</v>
      </c>
      <c r="M5068" s="84">
        <v>42195</v>
      </c>
      <c r="N5068" s="85">
        <f t="shared" si="1528"/>
        <v>1617</v>
      </c>
      <c r="O5068" s="86">
        <f t="shared" si="1529"/>
        <v>-75.929999999999993</v>
      </c>
      <c r="P5068" s="86">
        <f t="shared" si="1530"/>
        <v>0</v>
      </c>
      <c r="Q5068" s="86">
        <f t="shared" si="1531"/>
        <v>0</v>
      </c>
      <c r="R5068" s="86">
        <f t="shared" si="1532"/>
        <v>0</v>
      </c>
      <c r="S5068" s="86">
        <f t="shared" si="1533"/>
        <v>0</v>
      </c>
      <c r="T5068" s="86">
        <f t="shared" si="1534"/>
        <v>-75.929999999999993</v>
      </c>
      <c r="U5068" s="87">
        <v>-75.929999999999993</v>
      </c>
    </row>
    <row r="5069" spans="1:21" s="22" customFormat="1" ht="20.399999999999999" collapsed="1" x14ac:dyDescent="0.45">
      <c r="A5069" s="12" t="s">
        <v>327</v>
      </c>
      <c r="B5069" s="19"/>
      <c r="C5069" s="12"/>
      <c r="D5069" s="12"/>
      <c r="E5069" s="23"/>
      <c r="F5069" s="23"/>
      <c r="G5069" s="23"/>
      <c r="H5069" s="23"/>
      <c r="I5069" s="49"/>
      <c r="J5069" s="88"/>
      <c r="K5069" s="88"/>
      <c r="L5069" s="89"/>
      <c r="M5069" s="89"/>
      <c r="N5069" s="89"/>
      <c r="O5069" s="89"/>
      <c r="P5069" s="89"/>
      <c r="Q5069" s="90"/>
      <c r="R5069" s="90"/>
      <c r="S5069" s="91"/>
      <c r="T5069" s="92"/>
      <c r="U5069" s="92"/>
    </row>
    <row r="5070" spans="1:21" s="22" customFormat="1" ht="20.399999999999999" x14ac:dyDescent="0.45">
      <c r="A5070" s="12" t="s">
        <v>327</v>
      </c>
      <c r="B5070" s="19"/>
      <c r="C5070" s="12"/>
      <c r="D5070" s="12"/>
      <c r="E5070" s="23"/>
      <c r="F5070" s="23"/>
      <c r="G5070" s="23"/>
      <c r="H5070" s="23"/>
      <c r="I5070" s="49"/>
      <c r="J5070" s="88"/>
      <c r="K5070" s="88"/>
      <c r="L5070" s="89"/>
      <c r="M5070" s="89"/>
      <c r="N5070" s="89"/>
      <c r="O5070" s="89"/>
      <c r="P5070" s="89"/>
      <c r="Q5070" s="90"/>
      <c r="R5070" s="90"/>
      <c r="S5070" s="91"/>
      <c r="T5070" s="92"/>
      <c r="U5070" s="92"/>
    </row>
    <row r="5071" spans="1:21" s="26" customFormat="1" ht="24.6" x14ac:dyDescent="0.55000000000000004">
      <c r="A5071" s="27" t="s">
        <v>327</v>
      </c>
      <c r="B5071" s="28"/>
      <c r="C5071" s="27" t="str">
        <f>"""NAV Direct"",""CRONUS JetCorp USA"",""18"",""1"",""C100140"""</f>
        <v>"NAV Direct","CRONUS JetCorp USA","18","1","C100140"</v>
      </c>
      <c r="D5071" s="27"/>
      <c r="E5071" s="28" t="str">
        <f>H5071</f>
        <v>C100140</v>
      </c>
      <c r="F5071" s="28"/>
      <c r="G5071" s="28"/>
      <c r="H5071" s="28" t="str">
        <f>"C100140"</f>
        <v>C100140</v>
      </c>
      <c r="I5071" s="116" t="str">
        <f>"C100140  -  Super Daves"</f>
        <v>C100140  -  Super Daves</v>
      </c>
      <c r="J5071" s="117" t="str">
        <f>""</f>
        <v/>
      </c>
      <c r="K5071" s="118"/>
      <c r="L5071" s="119">
        <f>SUBTOTAL(3,L5072:L5215)</f>
        <v>140</v>
      </c>
      <c r="M5071" s="118"/>
      <c r="N5071" s="118"/>
      <c r="O5071" s="120">
        <f t="shared" ref="O5071:T5071" si="1536">SUBTOTAL(9,O5072:O5215)</f>
        <v>769756.83</v>
      </c>
      <c r="P5071" s="120">
        <f t="shared" si="1536"/>
        <v>28911.439999999995</v>
      </c>
      <c r="Q5071" s="120">
        <f t="shared" si="1536"/>
        <v>23293.89</v>
      </c>
      <c r="R5071" s="120">
        <f t="shared" si="1536"/>
        <v>27883.77</v>
      </c>
      <c r="S5071" s="120">
        <f t="shared" si="1536"/>
        <v>26019.230000000003</v>
      </c>
      <c r="T5071" s="120">
        <f t="shared" si="1536"/>
        <v>663648.49999999988</v>
      </c>
      <c r="U5071" s="81"/>
    </row>
    <row r="5072" spans="1:21" s="26" customFormat="1" ht="24.6" x14ac:dyDescent="0.55000000000000004">
      <c r="A5072" s="27" t="s">
        <v>327</v>
      </c>
      <c r="B5072" s="28"/>
      <c r="C5072" s="27" t="str">
        <f>C5071</f>
        <v>"NAV Direct","CRONUS JetCorp USA","18","1","C100140"</v>
      </c>
      <c r="D5072" s="27"/>
      <c r="E5072" s="28" t="str">
        <f>E5071</f>
        <v>C100140</v>
      </c>
      <c r="F5072" s="28"/>
      <c r="G5072" s="28"/>
      <c r="H5072" s="28"/>
      <c r="I5072" s="121" t="str">
        <f>"Contact: Denis Martin"</f>
        <v>Contact: Denis Martin</v>
      </c>
      <c r="J5072" s="121"/>
      <c r="K5072" s="122"/>
      <c r="L5072" s="123"/>
      <c r="M5072" s="123"/>
      <c r="N5072" s="124"/>
      <c r="O5072" s="124"/>
      <c r="P5072" s="123"/>
      <c r="Q5072" s="125"/>
      <c r="R5072" s="126"/>
      <c r="S5072" s="126"/>
      <c r="T5072" s="125"/>
      <c r="U5072" s="81"/>
    </row>
    <row r="5073" spans="1:22" s="26" customFormat="1" ht="24.6" x14ac:dyDescent="0.55000000000000004">
      <c r="A5073" s="27" t="s">
        <v>327</v>
      </c>
      <c r="B5073" s="28"/>
      <c r="C5073" s="27" t="str">
        <f>C5072</f>
        <v>"NAV Direct","CRONUS JetCorp USA","18","1","C100140"</v>
      </c>
      <c r="D5073" s="27"/>
      <c r="E5073" s="28" t="str">
        <f>E5072</f>
        <v>C100140</v>
      </c>
      <c r="F5073" s="28"/>
      <c r="G5073" s="28"/>
      <c r="H5073" s="28"/>
      <c r="I5073" s="121" t="str">
        <f>"Super Daves@Cronus.com"</f>
        <v>Super Daves@Cronus.com</v>
      </c>
      <c r="J5073" s="121"/>
      <c r="K5073" s="122"/>
      <c r="L5073" s="124"/>
      <c r="M5073" s="124"/>
      <c r="N5073" s="124"/>
      <c r="O5073" s="124"/>
      <c r="P5073" s="123"/>
      <c r="Q5073" s="125"/>
      <c r="R5073" s="126"/>
      <c r="S5073" s="126"/>
      <c r="T5073" s="125"/>
      <c r="U5073" s="81"/>
    </row>
    <row r="5074" spans="1:22" ht="12.75" hidden="1" customHeight="1" outlineLevel="1" x14ac:dyDescent="0.45">
      <c r="A5074" s="12" t="s">
        <v>328</v>
      </c>
      <c r="B5074" s="19"/>
      <c r="E5074" s="19"/>
      <c r="F5074" s="19"/>
      <c r="G5074" s="19"/>
      <c r="H5074" s="19"/>
      <c r="I5074" s="61"/>
      <c r="J5074" s="61"/>
      <c r="K5074" s="61"/>
      <c r="L5074" s="61"/>
      <c r="M5074" s="61"/>
      <c r="N5074" s="61"/>
      <c r="O5074" s="61"/>
      <c r="P5074" s="61"/>
      <c r="Q5074" s="61"/>
      <c r="R5074" s="61"/>
      <c r="S5074" s="61"/>
      <c r="T5074" s="61"/>
      <c r="U5074" s="61"/>
      <c r="V5074" s="21"/>
    </row>
    <row r="5075" spans="1:22" s="30" customFormat="1" ht="24.6" hidden="1" outlineLevel="1" x14ac:dyDescent="0.55000000000000004">
      <c r="A5075" s="27" t="s">
        <v>327</v>
      </c>
      <c r="B5075" s="28"/>
      <c r="C5075" s="27"/>
      <c r="D5075" s="27" t="str">
        <f>"""NAV Direct"",""CRONUS JetCorp USA"",""21"",""1"",""178418"""</f>
        <v>"NAV Direct","CRONUS JetCorp USA","21","1","178418"</v>
      </c>
      <c r="E5075" s="31" t="str">
        <f t="shared" ref="E5075:E5106" si="1537">E5073</f>
        <v>C100140</v>
      </c>
      <c r="F5075" s="31"/>
      <c r="G5075" s="31"/>
      <c r="H5075" s="31"/>
      <c r="I5075" s="56"/>
      <c r="J5075" s="56"/>
      <c r="K5075" s="82" t="str">
        <f t="shared" ref="K5075:K5106" si="1538">"Invoice"</f>
        <v>Invoice</v>
      </c>
      <c r="L5075" s="83" t="str">
        <f>"SI_107815"</f>
        <v>SI_107815</v>
      </c>
      <c r="M5075" s="84">
        <v>42305</v>
      </c>
      <c r="N5075" s="85">
        <f t="shared" ref="N5075:N5106" si="1539">StartDate-$M5075+1</f>
        <v>1507</v>
      </c>
      <c r="O5075" s="86">
        <f t="shared" ref="O5075:O5106" si="1540">SUM(P5075:T5075)</f>
        <v>7015.3099999999995</v>
      </c>
      <c r="P5075" s="86">
        <f t="shared" ref="P5075:P5106" si="1541">IF($M5075&gt;=$P$18,U5075,0)</f>
        <v>0</v>
      </c>
      <c r="Q5075" s="86">
        <f t="shared" ref="Q5075:Q5106" si="1542">IF(AND($M5075&gt;=$Q$16,$M5075&lt;=$Q$18),U5075,0)</f>
        <v>0</v>
      </c>
      <c r="R5075" s="86">
        <f t="shared" ref="R5075:R5106" si="1543">IF(AND($M5075&gt;=$R$16,$M5075&lt;=$R$18),U5075,0)</f>
        <v>0</v>
      </c>
      <c r="S5075" s="86">
        <f t="shared" ref="S5075:S5106" si="1544">IF(AND($M5075&gt;=$S$16,$M5075&lt;=$S$18),U5075,0)</f>
        <v>0</v>
      </c>
      <c r="T5075" s="86">
        <f t="shared" ref="T5075:T5106" si="1545">IF($M5075&lt;=$T$18,U5075,0)</f>
        <v>7015.3099999999995</v>
      </c>
      <c r="U5075" s="87">
        <v>7015.3099999999995</v>
      </c>
    </row>
    <row r="5076" spans="1:22" s="30" customFormat="1" ht="24.6" hidden="1" outlineLevel="1" x14ac:dyDescent="0.55000000000000004">
      <c r="A5076" s="27" t="s">
        <v>327</v>
      </c>
      <c r="B5076" s="28"/>
      <c r="C5076" s="27"/>
      <c r="D5076" s="27" t="str">
        <f>"""NAV Direct"",""CRONUS JetCorp USA"",""21"",""1"",""178526"""</f>
        <v>"NAV Direct","CRONUS JetCorp USA","21","1","178526"</v>
      </c>
      <c r="E5076" s="31">
        <f t="shared" si="1537"/>
        <v>0</v>
      </c>
      <c r="F5076" s="31"/>
      <c r="G5076" s="31"/>
      <c r="H5076" s="31"/>
      <c r="I5076" s="56"/>
      <c r="J5076" s="56"/>
      <c r="K5076" s="82" t="str">
        <f t="shared" si="1538"/>
        <v>Invoice</v>
      </c>
      <c r="L5076" s="83" t="str">
        <f>"SI_107817"</f>
        <v>SI_107817</v>
      </c>
      <c r="M5076" s="84">
        <v>42309</v>
      </c>
      <c r="N5076" s="85">
        <f t="shared" si="1539"/>
        <v>1503</v>
      </c>
      <c r="O5076" s="86">
        <f t="shared" si="1540"/>
        <v>7164.64</v>
      </c>
      <c r="P5076" s="86">
        <f t="shared" si="1541"/>
        <v>0</v>
      </c>
      <c r="Q5076" s="86">
        <f t="shared" si="1542"/>
        <v>0</v>
      </c>
      <c r="R5076" s="86">
        <f t="shared" si="1543"/>
        <v>0</v>
      </c>
      <c r="S5076" s="86">
        <f t="shared" si="1544"/>
        <v>0</v>
      </c>
      <c r="T5076" s="86">
        <f t="shared" si="1545"/>
        <v>7164.64</v>
      </c>
      <c r="U5076" s="87">
        <v>7164.64</v>
      </c>
    </row>
    <row r="5077" spans="1:22" s="30" customFormat="1" ht="24.6" hidden="1" outlineLevel="1" x14ac:dyDescent="0.55000000000000004">
      <c r="A5077" s="27" t="s">
        <v>327</v>
      </c>
      <c r="B5077" s="28"/>
      <c r="C5077" s="27"/>
      <c r="D5077" s="27" t="str">
        <f>"""NAV Direct"",""CRONUS JetCorp USA"",""21"",""1"",""178648"""</f>
        <v>"NAV Direct","CRONUS JetCorp USA","21","1","178648"</v>
      </c>
      <c r="E5077" s="31" t="str">
        <f t="shared" si="1537"/>
        <v>C100140</v>
      </c>
      <c r="F5077" s="31"/>
      <c r="G5077" s="31"/>
      <c r="H5077" s="31"/>
      <c r="I5077" s="56"/>
      <c r="J5077" s="56"/>
      <c r="K5077" s="82" t="str">
        <f t="shared" si="1538"/>
        <v>Invoice</v>
      </c>
      <c r="L5077" s="83" t="str">
        <f>"SI_107819"</f>
        <v>SI_107819</v>
      </c>
      <c r="M5077" s="84">
        <v>42330</v>
      </c>
      <c r="N5077" s="85">
        <f t="shared" si="1539"/>
        <v>1482</v>
      </c>
      <c r="O5077" s="86">
        <f t="shared" si="1540"/>
        <v>8337.83</v>
      </c>
      <c r="P5077" s="86">
        <f t="shared" si="1541"/>
        <v>0</v>
      </c>
      <c r="Q5077" s="86">
        <f t="shared" si="1542"/>
        <v>0</v>
      </c>
      <c r="R5077" s="86">
        <f t="shared" si="1543"/>
        <v>0</v>
      </c>
      <c r="S5077" s="86">
        <f t="shared" si="1544"/>
        <v>0</v>
      </c>
      <c r="T5077" s="86">
        <f t="shared" si="1545"/>
        <v>8337.83</v>
      </c>
      <c r="U5077" s="87">
        <v>8337.83</v>
      </c>
    </row>
    <row r="5078" spans="1:22" s="30" customFormat="1" ht="24.6" hidden="1" outlineLevel="1" x14ac:dyDescent="0.55000000000000004">
      <c r="A5078" s="27" t="s">
        <v>327</v>
      </c>
      <c r="B5078" s="28"/>
      <c r="C5078" s="27"/>
      <c r="D5078" s="27" t="str">
        <f>"""NAV Direct"",""CRONUS JetCorp USA"",""21"",""1"",""414550"""</f>
        <v>"NAV Direct","CRONUS JetCorp USA","21","1","414550"</v>
      </c>
      <c r="E5078" s="31">
        <f t="shared" si="1537"/>
        <v>0</v>
      </c>
      <c r="F5078" s="31"/>
      <c r="G5078" s="31"/>
      <c r="H5078" s="31"/>
      <c r="I5078" s="56"/>
      <c r="J5078" s="56"/>
      <c r="K5078" s="82" t="str">
        <f t="shared" si="1538"/>
        <v>Invoice</v>
      </c>
      <c r="L5078" s="83" t="str">
        <f>"SI_112533"</f>
        <v>SI_112533</v>
      </c>
      <c r="M5078" s="84">
        <v>42401</v>
      </c>
      <c r="N5078" s="85">
        <f t="shared" si="1539"/>
        <v>1411</v>
      </c>
      <c r="O5078" s="86">
        <f t="shared" si="1540"/>
        <v>4899.79</v>
      </c>
      <c r="P5078" s="86">
        <f t="shared" si="1541"/>
        <v>0</v>
      </c>
      <c r="Q5078" s="86">
        <f t="shared" si="1542"/>
        <v>0</v>
      </c>
      <c r="R5078" s="86">
        <f t="shared" si="1543"/>
        <v>0</v>
      </c>
      <c r="S5078" s="86">
        <f t="shared" si="1544"/>
        <v>0</v>
      </c>
      <c r="T5078" s="86">
        <f t="shared" si="1545"/>
        <v>4899.79</v>
      </c>
      <c r="U5078" s="87">
        <v>4899.79</v>
      </c>
    </row>
    <row r="5079" spans="1:22" s="30" customFormat="1" ht="24.6" hidden="1" outlineLevel="1" x14ac:dyDescent="0.55000000000000004">
      <c r="A5079" s="27" t="s">
        <v>327</v>
      </c>
      <c r="B5079" s="28"/>
      <c r="C5079" s="27"/>
      <c r="D5079" s="27" t="str">
        <f>"""NAV Direct"",""CRONUS JetCorp USA"",""21"",""1"",""414585"""</f>
        <v>"NAV Direct","CRONUS JetCorp USA","21","1","414585"</v>
      </c>
      <c r="E5079" s="31" t="str">
        <f t="shared" si="1537"/>
        <v>C100140</v>
      </c>
      <c r="F5079" s="31"/>
      <c r="G5079" s="31"/>
      <c r="H5079" s="31"/>
      <c r="I5079" s="56"/>
      <c r="J5079" s="56"/>
      <c r="K5079" s="82" t="str">
        <f t="shared" si="1538"/>
        <v>Invoice</v>
      </c>
      <c r="L5079" s="83" t="str">
        <f>"SI_112534"</f>
        <v>SI_112534</v>
      </c>
      <c r="M5079" s="84">
        <v>42395</v>
      </c>
      <c r="N5079" s="85">
        <f t="shared" si="1539"/>
        <v>1417</v>
      </c>
      <c r="O5079" s="86">
        <f t="shared" si="1540"/>
        <v>4899.92</v>
      </c>
      <c r="P5079" s="86">
        <f t="shared" si="1541"/>
        <v>0</v>
      </c>
      <c r="Q5079" s="86">
        <f t="shared" si="1542"/>
        <v>0</v>
      </c>
      <c r="R5079" s="86">
        <f t="shared" si="1543"/>
        <v>0</v>
      </c>
      <c r="S5079" s="86">
        <f t="shared" si="1544"/>
        <v>0</v>
      </c>
      <c r="T5079" s="86">
        <f t="shared" si="1545"/>
        <v>4899.92</v>
      </c>
      <c r="U5079" s="87">
        <v>4899.92</v>
      </c>
    </row>
    <row r="5080" spans="1:22" s="30" customFormat="1" ht="24.6" hidden="1" outlineLevel="1" x14ac:dyDescent="0.55000000000000004">
      <c r="A5080" s="27" t="s">
        <v>327</v>
      </c>
      <c r="B5080" s="28"/>
      <c r="C5080" s="27"/>
      <c r="D5080" s="27" t="str">
        <f>"""NAV Direct"",""CRONUS JetCorp USA"",""21"",""1"",""414913"""</f>
        <v>"NAV Direct","CRONUS JetCorp USA","21","1","414913"</v>
      </c>
      <c r="E5080" s="31">
        <f t="shared" si="1537"/>
        <v>0</v>
      </c>
      <c r="F5080" s="31"/>
      <c r="G5080" s="31"/>
      <c r="H5080" s="31"/>
      <c r="I5080" s="56"/>
      <c r="J5080" s="56"/>
      <c r="K5080" s="82" t="str">
        <f t="shared" si="1538"/>
        <v>Invoice</v>
      </c>
      <c r="L5080" s="83" t="str">
        <f>"SI_112543"</f>
        <v>SI_112543</v>
      </c>
      <c r="M5080" s="84">
        <v>42458</v>
      </c>
      <c r="N5080" s="85">
        <f t="shared" si="1539"/>
        <v>1354</v>
      </c>
      <c r="O5080" s="86">
        <f t="shared" si="1540"/>
        <v>6484.4999999999991</v>
      </c>
      <c r="P5080" s="86">
        <f t="shared" si="1541"/>
        <v>0</v>
      </c>
      <c r="Q5080" s="86">
        <f t="shared" si="1542"/>
        <v>0</v>
      </c>
      <c r="R5080" s="86">
        <f t="shared" si="1543"/>
        <v>0</v>
      </c>
      <c r="S5080" s="86">
        <f t="shared" si="1544"/>
        <v>0</v>
      </c>
      <c r="T5080" s="86">
        <f t="shared" si="1545"/>
        <v>6484.4999999999991</v>
      </c>
      <c r="U5080" s="87">
        <v>6484.4999999999991</v>
      </c>
    </row>
    <row r="5081" spans="1:22" s="30" customFormat="1" ht="24.6" hidden="1" outlineLevel="1" x14ac:dyDescent="0.55000000000000004">
      <c r="A5081" s="27" t="s">
        <v>327</v>
      </c>
      <c r="B5081" s="28"/>
      <c r="C5081" s="27"/>
      <c r="D5081" s="27" t="str">
        <f>"""NAV Direct"",""CRONUS JetCorp USA"",""21"",""1"",""415096"""</f>
        <v>"NAV Direct","CRONUS JetCorp USA","21","1","415096"</v>
      </c>
      <c r="E5081" s="31" t="str">
        <f t="shared" si="1537"/>
        <v>C100140</v>
      </c>
      <c r="F5081" s="31"/>
      <c r="G5081" s="31"/>
      <c r="H5081" s="31"/>
      <c r="I5081" s="56"/>
      <c r="J5081" s="56"/>
      <c r="K5081" s="82" t="str">
        <f t="shared" si="1538"/>
        <v>Invoice</v>
      </c>
      <c r="L5081" s="83" t="str">
        <f>"SI_112548"</f>
        <v>SI_112548</v>
      </c>
      <c r="M5081" s="84">
        <v>42484</v>
      </c>
      <c r="N5081" s="85">
        <f t="shared" si="1539"/>
        <v>1328</v>
      </c>
      <c r="O5081" s="86">
        <f t="shared" si="1540"/>
        <v>6491.13</v>
      </c>
      <c r="P5081" s="86">
        <f t="shared" si="1541"/>
        <v>0</v>
      </c>
      <c r="Q5081" s="86">
        <f t="shared" si="1542"/>
        <v>0</v>
      </c>
      <c r="R5081" s="86">
        <f t="shared" si="1543"/>
        <v>0</v>
      </c>
      <c r="S5081" s="86">
        <f t="shared" si="1544"/>
        <v>0</v>
      </c>
      <c r="T5081" s="86">
        <f t="shared" si="1545"/>
        <v>6491.13</v>
      </c>
      <c r="U5081" s="87">
        <v>6491.13</v>
      </c>
    </row>
    <row r="5082" spans="1:22" s="30" customFormat="1" ht="24.6" hidden="1" outlineLevel="1" x14ac:dyDescent="0.55000000000000004">
      <c r="A5082" s="27" t="s">
        <v>327</v>
      </c>
      <c r="B5082" s="28"/>
      <c r="C5082" s="27"/>
      <c r="D5082" s="27" t="str">
        <f>"""NAV Direct"",""CRONUS JetCorp USA"",""21"",""1"",""415143"""</f>
        <v>"NAV Direct","CRONUS JetCorp USA","21","1","415143"</v>
      </c>
      <c r="E5082" s="31">
        <f t="shared" si="1537"/>
        <v>0</v>
      </c>
      <c r="F5082" s="31"/>
      <c r="G5082" s="31"/>
      <c r="H5082" s="31"/>
      <c r="I5082" s="56"/>
      <c r="J5082" s="56"/>
      <c r="K5082" s="82" t="str">
        <f t="shared" si="1538"/>
        <v>Invoice</v>
      </c>
      <c r="L5082" s="83" t="str">
        <f>"SI_112549"</f>
        <v>SI_112549</v>
      </c>
      <c r="M5082" s="84">
        <v>42494</v>
      </c>
      <c r="N5082" s="85">
        <f t="shared" si="1539"/>
        <v>1318</v>
      </c>
      <c r="O5082" s="86">
        <f t="shared" si="1540"/>
        <v>6491.07</v>
      </c>
      <c r="P5082" s="86">
        <f t="shared" si="1541"/>
        <v>0</v>
      </c>
      <c r="Q5082" s="86">
        <f t="shared" si="1542"/>
        <v>0</v>
      </c>
      <c r="R5082" s="86">
        <f t="shared" si="1543"/>
        <v>0</v>
      </c>
      <c r="S5082" s="86">
        <f t="shared" si="1544"/>
        <v>0</v>
      </c>
      <c r="T5082" s="86">
        <f t="shared" si="1545"/>
        <v>6491.07</v>
      </c>
      <c r="U5082" s="87">
        <v>6491.07</v>
      </c>
    </row>
    <row r="5083" spans="1:22" s="30" customFormat="1" ht="24.6" hidden="1" outlineLevel="1" x14ac:dyDescent="0.55000000000000004">
      <c r="A5083" s="27" t="s">
        <v>327</v>
      </c>
      <c r="B5083" s="28"/>
      <c r="C5083" s="27"/>
      <c r="D5083" s="27" t="str">
        <f>"""NAV Direct"",""CRONUS JetCorp USA"",""21"",""1"",""415182"""</f>
        <v>"NAV Direct","CRONUS JetCorp USA","21","1","415182"</v>
      </c>
      <c r="E5083" s="31" t="str">
        <f t="shared" si="1537"/>
        <v>C100140</v>
      </c>
      <c r="F5083" s="31"/>
      <c r="G5083" s="31"/>
      <c r="H5083" s="31"/>
      <c r="I5083" s="56"/>
      <c r="J5083" s="56"/>
      <c r="K5083" s="82" t="str">
        <f t="shared" si="1538"/>
        <v>Invoice</v>
      </c>
      <c r="L5083" s="83" t="str">
        <f>"SI_112550"</f>
        <v>SI_112550</v>
      </c>
      <c r="M5083" s="84">
        <v>42500</v>
      </c>
      <c r="N5083" s="85">
        <f t="shared" si="1539"/>
        <v>1312</v>
      </c>
      <c r="O5083" s="86">
        <f t="shared" si="1540"/>
        <v>6491.12</v>
      </c>
      <c r="P5083" s="86">
        <f t="shared" si="1541"/>
        <v>0</v>
      </c>
      <c r="Q5083" s="86">
        <f t="shared" si="1542"/>
        <v>0</v>
      </c>
      <c r="R5083" s="86">
        <f t="shared" si="1543"/>
        <v>0</v>
      </c>
      <c r="S5083" s="86">
        <f t="shared" si="1544"/>
        <v>0</v>
      </c>
      <c r="T5083" s="86">
        <f t="shared" si="1545"/>
        <v>6491.12</v>
      </c>
      <c r="U5083" s="87">
        <v>6491.12</v>
      </c>
    </row>
    <row r="5084" spans="1:22" s="30" customFormat="1" ht="24.6" hidden="1" outlineLevel="1" x14ac:dyDescent="0.55000000000000004">
      <c r="A5084" s="27" t="s">
        <v>327</v>
      </c>
      <c r="B5084" s="28"/>
      <c r="C5084" s="27"/>
      <c r="D5084" s="27" t="str">
        <f>"""NAV Direct"",""CRONUS JetCorp USA"",""21"",""1"",""415608"""</f>
        <v>"NAV Direct","CRONUS JetCorp USA","21","1","415608"</v>
      </c>
      <c r="E5084" s="31">
        <f t="shared" si="1537"/>
        <v>0</v>
      </c>
      <c r="F5084" s="31"/>
      <c r="G5084" s="31"/>
      <c r="H5084" s="31"/>
      <c r="I5084" s="56"/>
      <c r="J5084" s="56"/>
      <c r="K5084" s="82" t="str">
        <f t="shared" si="1538"/>
        <v>Invoice</v>
      </c>
      <c r="L5084" s="83" t="str">
        <f>"SI_112560"</f>
        <v>SI_112560</v>
      </c>
      <c r="M5084" s="84">
        <v>42566</v>
      </c>
      <c r="N5084" s="85">
        <f t="shared" si="1539"/>
        <v>1246</v>
      </c>
      <c r="O5084" s="86">
        <f t="shared" si="1540"/>
        <v>6426.12</v>
      </c>
      <c r="P5084" s="86">
        <f t="shared" si="1541"/>
        <v>0</v>
      </c>
      <c r="Q5084" s="86">
        <f t="shared" si="1542"/>
        <v>0</v>
      </c>
      <c r="R5084" s="86">
        <f t="shared" si="1543"/>
        <v>0</v>
      </c>
      <c r="S5084" s="86">
        <f t="shared" si="1544"/>
        <v>0</v>
      </c>
      <c r="T5084" s="86">
        <f t="shared" si="1545"/>
        <v>6426.12</v>
      </c>
      <c r="U5084" s="87">
        <v>6426.12</v>
      </c>
    </row>
    <row r="5085" spans="1:22" s="30" customFormat="1" ht="24.6" hidden="1" outlineLevel="1" x14ac:dyDescent="0.55000000000000004">
      <c r="A5085" s="27" t="s">
        <v>327</v>
      </c>
      <c r="B5085" s="28"/>
      <c r="C5085" s="27"/>
      <c r="D5085" s="27" t="str">
        <f>"""NAV Direct"",""CRONUS JetCorp USA"",""21"",""1"",""415712"""</f>
        <v>"NAV Direct","CRONUS JetCorp USA","21","1","415712"</v>
      </c>
      <c r="E5085" s="31" t="str">
        <f t="shared" si="1537"/>
        <v>C100140</v>
      </c>
      <c r="F5085" s="31"/>
      <c r="G5085" s="31"/>
      <c r="H5085" s="31"/>
      <c r="I5085" s="56"/>
      <c r="J5085" s="56"/>
      <c r="K5085" s="82" t="str">
        <f t="shared" si="1538"/>
        <v>Invoice</v>
      </c>
      <c r="L5085" s="83" t="str">
        <f>"SI_112562"</f>
        <v>SI_112562</v>
      </c>
      <c r="M5085" s="84">
        <v>42574</v>
      </c>
      <c r="N5085" s="85">
        <f t="shared" si="1539"/>
        <v>1238</v>
      </c>
      <c r="O5085" s="86">
        <f t="shared" si="1540"/>
        <v>6426.27</v>
      </c>
      <c r="P5085" s="86">
        <f t="shared" si="1541"/>
        <v>0</v>
      </c>
      <c r="Q5085" s="86">
        <f t="shared" si="1542"/>
        <v>0</v>
      </c>
      <c r="R5085" s="86">
        <f t="shared" si="1543"/>
        <v>0</v>
      </c>
      <c r="S5085" s="86">
        <f t="shared" si="1544"/>
        <v>0</v>
      </c>
      <c r="T5085" s="86">
        <f t="shared" si="1545"/>
        <v>6426.27</v>
      </c>
      <c r="U5085" s="87">
        <v>6426.27</v>
      </c>
    </row>
    <row r="5086" spans="1:22" s="30" customFormat="1" ht="24.6" hidden="1" outlineLevel="1" x14ac:dyDescent="0.55000000000000004">
      <c r="A5086" s="27" t="s">
        <v>327</v>
      </c>
      <c r="B5086" s="28"/>
      <c r="C5086" s="27"/>
      <c r="D5086" s="27" t="str">
        <f>"""NAV Direct"",""CRONUS JetCorp USA"",""21"",""1"",""415808"""</f>
        <v>"NAV Direct","CRONUS JetCorp USA","21","1","415808"</v>
      </c>
      <c r="E5086" s="31">
        <f t="shared" si="1537"/>
        <v>0</v>
      </c>
      <c r="F5086" s="31"/>
      <c r="G5086" s="31"/>
      <c r="H5086" s="31"/>
      <c r="I5086" s="56"/>
      <c r="J5086" s="56"/>
      <c r="K5086" s="82" t="str">
        <f t="shared" si="1538"/>
        <v>Invoice</v>
      </c>
      <c r="L5086" s="83" t="str">
        <f>"SI_112564"</f>
        <v>SI_112564</v>
      </c>
      <c r="M5086" s="84">
        <v>42581</v>
      </c>
      <c r="N5086" s="85">
        <f t="shared" si="1539"/>
        <v>1231</v>
      </c>
      <c r="O5086" s="86">
        <f t="shared" si="1540"/>
        <v>6426.25</v>
      </c>
      <c r="P5086" s="86">
        <f t="shared" si="1541"/>
        <v>0</v>
      </c>
      <c r="Q5086" s="86">
        <f t="shared" si="1542"/>
        <v>0</v>
      </c>
      <c r="R5086" s="86">
        <f t="shared" si="1543"/>
        <v>0</v>
      </c>
      <c r="S5086" s="86">
        <f t="shared" si="1544"/>
        <v>0</v>
      </c>
      <c r="T5086" s="86">
        <f t="shared" si="1545"/>
        <v>6426.25</v>
      </c>
      <c r="U5086" s="87">
        <v>6426.25</v>
      </c>
    </row>
    <row r="5087" spans="1:22" s="30" customFormat="1" ht="24.6" hidden="1" outlineLevel="1" x14ac:dyDescent="0.55000000000000004">
      <c r="A5087" s="27" t="s">
        <v>327</v>
      </c>
      <c r="B5087" s="28"/>
      <c r="C5087" s="27"/>
      <c r="D5087" s="27" t="str">
        <f>"""NAV Direct"",""CRONUS JetCorp USA"",""21"",""1"",""415990"""</f>
        <v>"NAV Direct","CRONUS JetCorp USA","21","1","415990"</v>
      </c>
      <c r="E5087" s="31" t="str">
        <f t="shared" si="1537"/>
        <v>C100140</v>
      </c>
      <c r="F5087" s="31"/>
      <c r="G5087" s="31"/>
      <c r="H5087" s="31"/>
      <c r="I5087" s="56"/>
      <c r="J5087" s="56"/>
      <c r="K5087" s="82" t="str">
        <f t="shared" si="1538"/>
        <v>Invoice</v>
      </c>
      <c r="L5087" s="83" t="str">
        <f>"SI_112568"</f>
        <v>SI_112568</v>
      </c>
      <c r="M5087" s="84">
        <v>42620</v>
      </c>
      <c r="N5087" s="85">
        <f t="shared" si="1539"/>
        <v>1192</v>
      </c>
      <c r="O5087" s="86">
        <f t="shared" si="1540"/>
        <v>6541.8799999999992</v>
      </c>
      <c r="P5087" s="86">
        <f t="shared" si="1541"/>
        <v>0</v>
      </c>
      <c r="Q5087" s="86">
        <f t="shared" si="1542"/>
        <v>0</v>
      </c>
      <c r="R5087" s="86">
        <f t="shared" si="1543"/>
        <v>0</v>
      </c>
      <c r="S5087" s="86">
        <f t="shared" si="1544"/>
        <v>0</v>
      </c>
      <c r="T5087" s="86">
        <f t="shared" si="1545"/>
        <v>6541.8799999999992</v>
      </c>
      <c r="U5087" s="87">
        <v>6541.8799999999992</v>
      </c>
    </row>
    <row r="5088" spans="1:22" s="30" customFormat="1" ht="24.6" hidden="1" outlineLevel="1" x14ac:dyDescent="0.55000000000000004">
      <c r="A5088" s="27" t="s">
        <v>327</v>
      </c>
      <c r="B5088" s="28"/>
      <c r="C5088" s="27"/>
      <c r="D5088" s="27" t="str">
        <f>"""NAV Direct"",""CRONUS JetCorp USA"",""21"",""1"",""416117"""</f>
        <v>"NAV Direct","CRONUS JetCorp USA","21","1","416117"</v>
      </c>
      <c r="E5088" s="31">
        <f t="shared" si="1537"/>
        <v>0</v>
      </c>
      <c r="F5088" s="31"/>
      <c r="G5088" s="31"/>
      <c r="H5088" s="31"/>
      <c r="I5088" s="56"/>
      <c r="J5088" s="56"/>
      <c r="K5088" s="82" t="str">
        <f t="shared" si="1538"/>
        <v>Invoice</v>
      </c>
      <c r="L5088" s="83" t="str">
        <f>"SI_112571"</f>
        <v>SI_112571</v>
      </c>
      <c r="M5088" s="84">
        <v>42629</v>
      </c>
      <c r="N5088" s="85">
        <f t="shared" si="1539"/>
        <v>1183</v>
      </c>
      <c r="O5088" s="86">
        <f t="shared" si="1540"/>
        <v>6666.26</v>
      </c>
      <c r="P5088" s="86">
        <f t="shared" si="1541"/>
        <v>0</v>
      </c>
      <c r="Q5088" s="86">
        <f t="shared" si="1542"/>
        <v>0</v>
      </c>
      <c r="R5088" s="86">
        <f t="shared" si="1543"/>
        <v>0</v>
      </c>
      <c r="S5088" s="86">
        <f t="shared" si="1544"/>
        <v>0</v>
      </c>
      <c r="T5088" s="86">
        <f t="shared" si="1545"/>
        <v>6666.26</v>
      </c>
      <c r="U5088" s="87">
        <v>6666.26</v>
      </c>
    </row>
    <row r="5089" spans="1:21" s="30" customFormat="1" ht="24.6" hidden="1" outlineLevel="1" x14ac:dyDescent="0.55000000000000004">
      <c r="A5089" s="27" t="s">
        <v>327</v>
      </c>
      <c r="B5089" s="28"/>
      <c r="C5089" s="27"/>
      <c r="D5089" s="27" t="str">
        <f>"""NAV Direct"",""CRONUS JetCorp USA"",""21"",""1"",""416285"""</f>
        <v>"NAV Direct","CRONUS JetCorp USA","21","1","416285"</v>
      </c>
      <c r="E5089" s="31" t="str">
        <f t="shared" si="1537"/>
        <v>C100140</v>
      </c>
      <c r="F5089" s="31"/>
      <c r="G5089" s="31"/>
      <c r="H5089" s="31"/>
      <c r="I5089" s="56"/>
      <c r="J5089" s="56"/>
      <c r="K5089" s="82" t="str">
        <f t="shared" si="1538"/>
        <v>Invoice</v>
      </c>
      <c r="L5089" s="83" t="str">
        <f>"SI_112575"</f>
        <v>SI_112575</v>
      </c>
      <c r="M5089" s="84">
        <v>42640</v>
      </c>
      <c r="N5089" s="85">
        <f t="shared" si="1539"/>
        <v>1172</v>
      </c>
      <c r="O5089" s="86">
        <f t="shared" si="1540"/>
        <v>6666.09</v>
      </c>
      <c r="P5089" s="86">
        <f t="shared" si="1541"/>
        <v>0</v>
      </c>
      <c r="Q5089" s="86">
        <f t="shared" si="1542"/>
        <v>0</v>
      </c>
      <c r="R5089" s="86">
        <f t="shared" si="1543"/>
        <v>0</v>
      </c>
      <c r="S5089" s="86">
        <f t="shared" si="1544"/>
        <v>0</v>
      </c>
      <c r="T5089" s="86">
        <f t="shared" si="1545"/>
        <v>6666.09</v>
      </c>
      <c r="U5089" s="87">
        <v>6666.09</v>
      </c>
    </row>
    <row r="5090" spans="1:21" s="30" customFormat="1" ht="24.6" hidden="1" outlineLevel="1" x14ac:dyDescent="0.55000000000000004">
      <c r="A5090" s="27" t="s">
        <v>327</v>
      </c>
      <c r="B5090" s="28"/>
      <c r="C5090" s="27"/>
      <c r="D5090" s="27" t="str">
        <f>"""NAV Direct"",""CRONUS JetCorp USA"",""21"",""1"",""416328"""</f>
        <v>"NAV Direct","CRONUS JetCorp USA","21","1","416328"</v>
      </c>
      <c r="E5090" s="31">
        <f t="shared" si="1537"/>
        <v>0</v>
      </c>
      <c r="F5090" s="31"/>
      <c r="G5090" s="31"/>
      <c r="H5090" s="31"/>
      <c r="I5090" s="56"/>
      <c r="J5090" s="56"/>
      <c r="K5090" s="82" t="str">
        <f t="shared" si="1538"/>
        <v>Invoice</v>
      </c>
      <c r="L5090" s="83" t="str">
        <f>"SI_112576"</f>
        <v>SI_112576</v>
      </c>
      <c r="M5090" s="84">
        <v>42646</v>
      </c>
      <c r="N5090" s="85">
        <f t="shared" si="1539"/>
        <v>1166</v>
      </c>
      <c r="O5090" s="86">
        <f t="shared" si="1540"/>
        <v>6666.24</v>
      </c>
      <c r="P5090" s="86">
        <f t="shared" si="1541"/>
        <v>0</v>
      </c>
      <c r="Q5090" s="86">
        <f t="shared" si="1542"/>
        <v>0</v>
      </c>
      <c r="R5090" s="86">
        <f t="shared" si="1543"/>
        <v>0</v>
      </c>
      <c r="S5090" s="86">
        <f t="shared" si="1544"/>
        <v>0</v>
      </c>
      <c r="T5090" s="86">
        <f t="shared" si="1545"/>
        <v>6666.24</v>
      </c>
      <c r="U5090" s="87">
        <v>6666.24</v>
      </c>
    </row>
    <row r="5091" spans="1:21" s="30" customFormat="1" ht="24.6" hidden="1" outlineLevel="1" x14ac:dyDescent="0.55000000000000004">
      <c r="A5091" s="27" t="s">
        <v>327</v>
      </c>
      <c r="B5091" s="28"/>
      <c r="C5091" s="27"/>
      <c r="D5091" s="27" t="str">
        <f>"""NAV Direct"",""CRONUS JetCorp USA"",""21"",""1"",""416636"""</f>
        <v>"NAV Direct","CRONUS JetCorp USA","21","1","416636"</v>
      </c>
      <c r="E5091" s="31" t="str">
        <f t="shared" si="1537"/>
        <v>C100140</v>
      </c>
      <c r="F5091" s="31"/>
      <c r="G5091" s="31"/>
      <c r="H5091" s="31"/>
      <c r="I5091" s="56"/>
      <c r="J5091" s="56"/>
      <c r="K5091" s="82" t="str">
        <f t="shared" si="1538"/>
        <v>Invoice</v>
      </c>
      <c r="L5091" s="83" t="str">
        <f>"SI_112583"</f>
        <v>SI_112583</v>
      </c>
      <c r="M5091" s="84">
        <v>42696</v>
      </c>
      <c r="N5091" s="85">
        <f t="shared" si="1539"/>
        <v>1116</v>
      </c>
      <c r="O5091" s="86">
        <f t="shared" si="1540"/>
        <v>6798.3799999999992</v>
      </c>
      <c r="P5091" s="86">
        <f t="shared" si="1541"/>
        <v>0</v>
      </c>
      <c r="Q5091" s="86">
        <f t="shared" si="1542"/>
        <v>0</v>
      </c>
      <c r="R5091" s="86">
        <f t="shared" si="1543"/>
        <v>0</v>
      </c>
      <c r="S5091" s="86">
        <f t="shared" si="1544"/>
        <v>0</v>
      </c>
      <c r="T5091" s="86">
        <f t="shared" si="1545"/>
        <v>6798.3799999999992</v>
      </c>
      <c r="U5091" s="87">
        <v>6798.3799999999992</v>
      </c>
    </row>
    <row r="5092" spans="1:21" s="30" customFormat="1" ht="24.6" hidden="1" outlineLevel="1" x14ac:dyDescent="0.55000000000000004">
      <c r="A5092" s="27" t="s">
        <v>327</v>
      </c>
      <c r="B5092" s="28"/>
      <c r="C5092" s="27"/>
      <c r="D5092" s="27" t="str">
        <f>"""NAV Direct"",""CRONUS JetCorp USA"",""21"",""1"",""416671"""</f>
        <v>"NAV Direct","CRONUS JetCorp USA","21","1","416671"</v>
      </c>
      <c r="E5092" s="31">
        <f t="shared" si="1537"/>
        <v>0</v>
      </c>
      <c r="F5092" s="31"/>
      <c r="G5092" s="31"/>
      <c r="H5092" s="31"/>
      <c r="I5092" s="56"/>
      <c r="J5092" s="56"/>
      <c r="K5092" s="82" t="str">
        <f t="shared" si="1538"/>
        <v>Invoice</v>
      </c>
      <c r="L5092" s="83" t="str">
        <f>"SI_112584"</f>
        <v>SI_112584</v>
      </c>
      <c r="M5092" s="84">
        <v>42708</v>
      </c>
      <c r="N5092" s="85">
        <f t="shared" si="1539"/>
        <v>1104</v>
      </c>
      <c r="O5092" s="86">
        <f t="shared" si="1540"/>
        <v>6798.34</v>
      </c>
      <c r="P5092" s="86">
        <f t="shared" si="1541"/>
        <v>0</v>
      </c>
      <c r="Q5092" s="86">
        <f t="shared" si="1542"/>
        <v>0</v>
      </c>
      <c r="R5092" s="86">
        <f t="shared" si="1543"/>
        <v>0</v>
      </c>
      <c r="S5092" s="86">
        <f t="shared" si="1544"/>
        <v>0</v>
      </c>
      <c r="T5092" s="86">
        <f t="shared" si="1545"/>
        <v>6798.34</v>
      </c>
      <c r="U5092" s="87">
        <v>6798.34</v>
      </c>
    </row>
    <row r="5093" spans="1:21" s="30" customFormat="1" ht="24.6" hidden="1" outlineLevel="1" x14ac:dyDescent="0.55000000000000004">
      <c r="A5093" s="27" t="s">
        <v>327</v>
      </c>
      <c r="B5093" s="28"/>
      <c r="C5093" s="27"/>
      <c r="D5093" s="27" t="str">
        <f>"""NAV Direct"",""CRONUS JetCorp USA"",""21"",""1"",""416876"""</f>
        <v>"NAV Direct","CRONUS JetCorp USA","21","1","416876"</v>
      </c>
      <c r="E5093" s="31" t="str">
        <f t="shared" si="1537"/>
        <v>C100140</v>
      </c>
      <c r="F5093" s="31"/>
      <c r="G5093" s="31"/>
      <c r="H5093" s="31"/>
      <c r="I5093" s="56"/>
      <c r="J5093" s="56"/>
      <c r="K5093" s="82" t="str">
        <f t="shared" si="1538"/>
        <v>Invoice</v>
      </c>
      <c r="L5093" s="83" t="str">
        <f>"SI_112589"</f>
        <v>SI_112589</v>
      </c>
      <c r="M5093" s="84">
        <v>42734</v>
      </c>
      <c r="N5093" s="85">
        <f t="shared" si="1539"/>
        <v>1078</v>
      </c>
      <c r="O5093" s="86">
        <f t="shared" si="1540"/>
        <v>6805.2099999999991</v>
      </c>
      <c r="P5093" s="86">
        <f t="shared" si="1541"/>
        <v>0</v>
      </c>
      <c r="Q5093" s="86">
        <f t="shared" si="1542"/>
        <v>0</v>
      </c>
      <c r="R5093" s="86">
        <f t="shared" si="1543"/>
        <v>0</v>
      </c>
      <c r="S5093" s="86">
        <f t="shared" si="1544"/>
        <v>0</v>
      </c>
      <c r="T5093" s="86">
        <f t="shared" si="1545"/>
        <v>6805.2099999999991</v>
      </c>
      <c r="U5093" s="87">
        <v>6805.2099999999991</v>
      </c>
    </row>
    <row r="5094" spans="1:21" s="30" customFormat="1" ht="24.6" hidden="1" outlineLevel="1" x14ac:dyDescent="0.55000000000000004">
      <c r="A5094" s="27" t="s">
        <v>327</v>
      </c>
      <c r="B5094" s="28"/>
      <c r="C5094" s="27"/>
      <c r="D5094" s="27" t="str">
        <f>"""NAV Direct"",""CRONUS JetCorp USA"",""21"",""1"",""416917"""</f>
        <v>"NAV Direct","CRONUS JetCorp USA","21","1","416917"</v>
      </c>
      <c r="E5094" s="31">
        <f t="shared" si="1537"/>
        <v>0</v>
      </c>
      <c r="F5094" s="31"/>
      <c r="G5094" s="31"/>
      <c r="H5094" s="31"/>
      <c r="I5094" s="56"/>
      <c r="J5094" s="56"/>
      <c r="K5094" s="82" t="str">
        <f t="shared" si="1538"/>
        <v>Invoice</v>
      </c>
      <c r="L5094" s="83" t="str">
        <f>"SI_112590"</f>
        <v>SI_112590</v>
      </c>
      <c r="M5094" s="84">
        <v>42737</v>
      </c>
      <c r="N5094" s="85">
        <f t="shared" si="1539"/>
        <v>1075</v>
      </c>
      <c r="O5094" s="86">
        <f t="shared" si="1540"/>
        <v>6805.18</v>
      </c>
      <c r="P5094" s="86">
        <f t="shared" si="1541"/>
        <v>0</v>
      </c>
      <c r="Q5094" s="86">
        <f t="shared" si="1542"/>
        <v>0</v>
      </c>
      <c r="R5094" s="86">
        <f t="shared" si="1543"/>
        <v>0</v>
      </c>
      <c r="S5094" s="86">
        <f t="shared" si="1544"/>
        <v>0</v>
      </c>
      <c r="T5094" s="86">
        <f t="shared" si="1545"/>
        <v>6805.18</v>
      </c>
      <c r="U5094" s="87">
        <v>6805.18</v>
      </c>
    </row>
    <row r="5095" spans="1:21" s="30" customFormat="1" ht="24.6" hidden="1" outlineLevel="1" x14ac:dyDescent="0.55000000000000004">
      <c r="A5095" s="27" t="s">
        <v>327</v>
      </c>
      <c r="B5095" s="28"/>
      <c r="C5095" s="27"/>
      <c r="D5095" s="27" t="str">
        <f>"""NAV Direct"",""CRONUS JetCorp USA"",""21"",""1"",""417121"""</f>
        <v>"NAV Direct","CRONUS JetCorp USA","21","1","417121"</v>
      </c>
      <c r="E5095" s="31" t="str">
        <f t="shared" si="1537"/>
        <v>C100140</v>
      </c>
      <c r="F5095" s="31"/>
      <c r="G5095" s="31"/>
      <c r="H5095" s="31"/>
      <c r="I5095" s="56"/>
      <c r="J5095" s="56"/>
      <c r="K5095" s="82" t="str">
        <f t="shared" si="1538"/>
        <v>Invoice</v>
      </c>
      <c r="L5095" s="83" t="str">
        <f>"SI_112595"</f>
        <v>SI_112595</v>
      </c>
      <c r="M5095" s="84">
        <v>42760</v>
      </c>
      <c r="N5095" s="85">
        <f t="shared" si="1539"/>
        <v>1052</v>
      </c>
      <c r="O5095" s="86">
        <f t="shared" si="1540"/>
        <v>6887.0199999999995</v>
      </c>
      <c r="P5095" s="86">
        <f t="shared" si="1541"/>
        <v>0</v>
      </c>
      <c r="Q5095" s="86">
        <f t="shared" si="1542"/>
        <v>0</v>
      </c>
      <c r="R5095" s="86">
        <f t="shared" si="1543"/>
        <v>0</v>
      </c>
      <c r="S5095" s="86">
        <f t="shared" si="1544"/>
        <v>0</v>
      </c>
      <c r="T5095" s="86">
        <f t="shared" si="1545"/>
        <v>6887.0199999999995</v>
      </c>
      <c r="U5095" s="87">
        <v>6887.0199999999995</v>
      </c>
    </row>
    <row r="5096" spans="1:21" s="30" customFormat="1" ht="24.6" hidden="1" outlineLevel="1" x14ac:dyDescent="0.55000000000000004">
      <c r="A5096" s="27" t="s">
        <v>327</v>
      </c>
      <c r="B5096" s="28"/>
      <c r="C5096" s="27"/>
      <c r="D5096" s="27" t="str">
        <f>"""NAV Direct"",""CRONUS JetCorp USA"",""21"",""1"",""417146"""</f>
        <v>"NAV Direct","CRONUS JetCorp USA","21","1","417146"</v>
      </c>
      <c r="E5096" s="31">
        <f t="shared" si="1537"/>
        <v>0</v>
      </c>
      <c r="F5096" s="31"/>
      <c r="G5096" s="31"/>
      <c r="H5096" s="31"/>
      <c r="I5096" s="56"/>
      <c r="J5096" s="56"/>
      <c r="K5096" s="82" t="str">
        <f t="shared" si="1538"/>
        <v>Invoice</v>
      </c>
      <c r="L5096" s="83" t="str">
        <f>"SI_112596"</f>
        <v>SI_112596</v>
      </c>
      <c r="M5096" s="84">
        <v>42764</v>
      </c>
      <c r="N5096" s="85">
        <f t="shared" si="1539"/>
        <v>1048</v>
      </c>
      <c r="O5096" s="86">
        <f t="shared" si="1540"/>
        <v>6886.8</v>
      </c>
      <c r="P5096" s="86">
        <f t="shared" si="1541"/>
        <v>0</v>
      </c>
      <c r="Q5096" s="86">
        <f t="shared" si="1542"/>
        <v>0</v>
      </c>
      <c r="R5096" s="86">
        <f t="shared" si="1543"/>
        <v>0</v>
      </c>
      <c r="S5096" s="86">
        <f t="shared" si="1544"/>
        <v>0</v>
      </c>
      <c r="T5096" s="86">
        <f t="shared" si="1545"/>
        <v>6886.8</v>
      </c>
      <c r="U5096" s="87">
        <v>6886.8</v>
      </c>
    </row>
    <row r="5097" spans="1:21" s="30" customFormat="1" ht="24.6" hidden="1" outlineLevel="1" x14ac:dyDescent="0.55000000000000004">
      <c r="A5097" s="27" t="s">
        <v>327</v>
      </c>
      <c r="B5097" s="28"/>
      <c r="C5097" s="27"/>
      <c r="D5097" s="27" t="str">
        <f>"""NAV Direct"",""CRONUS JetCorp USA"",""21"",""1"",""417176"""</f>
        <v>"NAV Direct","CRONUS JetCorp USA","21","1","417176"</v>
      </c>
      <c r="E5097" s="31" t="str">
        <f t="shared" si="1537"/>
        <v>C100140</v>
      </c>
      <c r="F5097" s="31"/>
      <c r="G5097" s="31"/>
      <c r="H5097" s="31"/>
      <c r="I5097" s="56"/>
      <c r="J5097" s="56"/>
      <c r="K5097" s="82" t="str">
        <f t="shared" si="1538"/>
        <v>Invoice</v>
      </c>
      <c r="L5097" s="83" t="str">
        <f>"SI_112597"</f>
        <v>SI_112597</v>
      </c>
      <c r="M5097" s="84">
        <v>42765</v>
      </c>
      <c r="N5097" s="85">
        <f t="shared" si="1539"/>
        <v>1047</v>
      </c>
      <c r="O5097" s="86">
        <f t="shared" si="1540"/>
        <v>6886.97</v>
      </c>
      <c r="P5097" s="86">
        <f t="shared" si="1541"/>
        <v>0</v>
      </c>
      <c r="Q5097" s="86">
        <f t="shared" si="1542"/>
        <v>0</v>
      </c>
      <c r="R5097" s="86">
        <f t="shared" si="1543"/>
        <v>0</v>
      </c>
      <c r="S5097" s="86">
        <f t="shared" si="1544"/>
        <v>0</v>
      </c>
      <c r="T5097" s="86">
        <f t="shared" si="1545"/>
        <v>6886.97</v>
      </c>
      <c r="U5097" s="87">
        <v>6886.97</v>
      </c>
    </row>
    <row r="5098" spans="1:21" s="30" customFormat="1" ht="24.6" hidden="1" outlineLevel="1" x14ac:dyDescent="0.55000000000000004">
      <c r="A5098" s="27" t="s">
        <v>327</v>
      </c>
      <c r="B5098" s="28"/>
      <c r="C5098" s="27"/>
      <c r="D5098" s="27" t="str">
        <f>"""NAV Direct"",""CRONUS JetCorp USA"",""21"",""1"",""417451"""</f>
        <v>"NAV Direct","CRONUS JetCorp USA","21","1","417451"</v>
      </c>
      <c r="E5098" s="31">
        <f t="shared" si="1537"/>
        <v>0</v>
      </c>
      <c r="F5098" s="31"/>
      <c r="G5098" s="31"/>
      <c r="H5098" s="31"/>
      <c r="I5098" s="56"/>
      <c r="J5098" s="56"/>
      <c r="K5098" s="82" t="str">
        <f t="shared" si="1538"/>
        <v>Invoice</v>
      </c>
      <c r="L5098" s="83" t="str">
        <f>"SI_112603"</f>
        <v>SI_112603</v>
      </c>
      <c r="M5098" s="84">
        <v>42801</v>
      </c>
      <c r="N5098" s="85">
        <f t="shared" si="1539"/>
        <v>1011</v>
      </c>
      <c r="O5098" s="86">
        <f t="shared" si="1540"/>
        <v>7575.63</v>
      </c>
      <c r="P5098" s="86">
        <f t="shared" si="1541"/>
        <v>0</v>
      </c>
      <c r="Q5098" s="86">
        <f t="shared" si="1542"/>
        <v>0</v>
      </c>
      <c r="R5098" s="86">
        <f t="shared" si="1543"/>
        <v>0</v>
      </c>
      <c r="S5098" s="86">
        <f t="shared" si="1544"/>
        <v>0</v>
      </c>
      <c r="T5098" s="86">
        <f t="shared" si="1545"/>
        <v>7575.63</v>
      </c>
      <c r="U5098" s="87">
        <v>7575.63</v>
      </c>
    </row>
    <row r="5099" spans="1:21" s="30" customFormat="1" ht="24.6" hidden="1" outlineLevel="1" x14ac:dyDescent="0.55000000000000004">
      <c r="A5099" s="27" t="s">
        <v>327</v>
      </c>
      <c r="B5099" s="28"/>
      <c r="C5099" s="27"/>
      <c r="D5099" s="27" t="str">
        <f>"""NAV Direct"",""CRONUS JetCorp USA"",""21"",""1"",""417502"""</f>
        <v>"NAV Direct","CRONUS JetCorp USA","21","1","417502"</v>
      </c>
      <c r="E5099" s="31" t="str">
        <f t="shared" si="1537"/>
        <v>C100140</v>
      </c>
      <c r="F5099" s="31"/>
      <c r="G5099" s="31"/>
      <c r="H5099" s="31"/>
      <c r="I5099" s="56"/>
      <c r="J5099" s="56"/>
      <c r="K5099" s="82" t="str">
        <f t="shared" si="1538"/>
        <v>Invoice</v>
      </c>
      <c r="L5099" s="83" t="str">
        <f>"SI_112604"</f>
        <v>SI_112604</v>
      </c>
      <c r="M5099" s="84">
        <v>42810</v>
      </c>
      <c r="N5099" s="85">
        <f t="shared" si="1539"/>
        <v>1002</v>
      </c>
      <c r="O5099" s="86">
        <f t="shared" si="1540"/>
        <v>7575.5999999999995</v>
      </c>
      <c r="P5099" s="86">
        <f t="shared" si="1541"/>
        <v>0</v>
      </c>
      <c r="Q5099" s="86">
        <f t="shared" si="1542"/>
        <v>0</v>
      </c>
      <c r="R5099" s="86">
        <f t="shared" si="1543"/>
        <v>0</v>
      </c>
      <c r="S5099" s="86">
        <f t="shared" si="1544"/>
        <v>0</v>
      </c>
      <c r="T5099" s="86">
        <f t="shared" si="1545"/>
        <v>7575.5999999999995</v>
      </c>
      <c r="U5099" s="87">
        <v>7575.5999999999995</v>
      </c>
    </row>
    <row r="5100" spans="1:21" s="30" customFormat="1" ht="24.6" hidden="1" outlineLevel="1" x14ac:dyDescent="0.55000000000000004">
      <c r="A5100" s="27" t="s">
        <v>327</v>
      </c>
      <c r="B5100" s="28"/>
      <c r="C5100" s="27"/>
      <c r="D5100" s="27" t="str">
        <f>"""NAV Direct"",""CRONUS JetCorp USA"",""21"",""1"",""417549"""</f>
        <v>"NAV Direct","CRONUS JetCorp USA","21","1","417549"</v>
      </c>
      <c r="E5100" s="31">
        <f t="shared" si="1537"/>
        <v>0</v>
      </c>
      <c r="F5100" s="31"/>
      <c r="G5100" s="31"/>
      <c r="H5100" s="31"/>
      <c r="I5100" s="56"/>
      <c r="J5100" s="56"/>
      <c r="K5100" s="82" t="str">
        <f t="shared" si="1538"/>
        <v>Invoice</v>
      </c>
      <c r="L5100" s="83" t="str">
        <f>"SI_112605"</f>
        <v>SI_112605</v>
      </c>
      <c r="M5100" s="84">
        <v>42812</v>
      </c>
      <c r="N5100" s="85">
        <f t="shared" si="1539"/>
        <v>1000</v>
      </c>
      <c r="O5100" s="86">
        <f t="shared" si="1540"/>
        <v>9848.44</v>
      </c>
      <c r="P5100" s="86">
        <f t="shared" si="1541"/>
        <v>0</v>
      </c>
      <c r="Q5100" s="86">
        <f t="shared" si="1542"/>
        <v>0</v>
      </c>
      <c r="R5100" s="86">
        <f t="shared" si="1543"/>
        <v>0</v>
      </c>
      <c r="S5100" s="86">
        <f t="shared" si="1544"/>
        <v>0</v>
      </c>
      <c r="T5100" s="86">
        <f t="shared" si="1545"/>
        <v>9848.44</v>
      </c>
      <c r="U5100" s="87">
        <v>9848.44</v>
      </c>
    </row>
    <row r="5101" spans="1:21" s="30" customFormat="1" ht="24.6" hidden="1" outlineLevel="1" x14ac:dyDescent="0.55000000000000004">
      <c r="A5101" s="27" t="s">
        <v>327</v>
      </c>
      <c r="B5101" s="28"/>
      <c r="C5101" s="27"/>
      <c r="D5101" s="27" t="str">
        <f>"""NAV Direct"",""CRONUS JetCorp USA"",""21"",""1"",""417612"""</f>
        <v>"NAV Direct","CRONUS JetCorp USA","21","1","417612"</v>
      </c>
      <c r="E5101" s="31" t="str">
        <f t="shared" si="1537"/>
        <v>C100140</v>
      </c>
      <c r="F5101" s="31"/>
      <c r="G5101" s="31"/>
      <c r="H5101" s="31"/>
      <c r="I5101" s="56"/>
      <c r="J5101" s="56"/>
      <c r="K5101" s="82" t="str">
        <f t="shared" si="1538"/>
        <v>Invoice</v>
      </c>
      <c r="L5101" s="83" t="str">
        <f>"SI_112606"</f>
        <v>SI_112606</v>
      </c>
      <c r="M5101" s="84">
        <v>42816</v>
      </c>
      <c r="N5101" s="85">
        <f t="shared" si="1539"/>
        <v>996</v>
      </c>
      <c r="O5101" s="86">
        <f t="shared" si="1540"/>
        <v>9848.41</v>
      </c>
      <c r="P5101" s="86">
        <f t="shared" si="1541"/>
        <v>0</v>
      </c>
      <c r="Q5101" s="86">
        <f t="shared" si="1542"/>
        <v>0</v>
      </c>
      <c r="R5101" s="86">
        <f t="shared" si="1543"/>
        <v>0</v>
      </c>
      <c r="S5101" s="86">
        <f t="shared" si="1544"/>
        <v>0</v>
      </c>
      <c r="T5101" s="86">
        <f t="shared" si="1545"/>
        <v>9848.41</v>
      </c>
      <c r="U5101" s="87">
        <v>9848.41</v>
      </c>
    </row>
    <row r="5102" spans="1:21" s="30" customFormat="1" ht="24.6" hidden="1" outlineLevel="1" x14ac:dyDescent="0.55000000000000004">
      <c r="A5102" s="27" t="s">
        <v>327</v>
      </c>
      <c r="B5102" s="28"/>
      <c r="C5102" s="27"/>
      <c r="D5102" s="27" t="str">
        <f>"""NAV Direct"",""CRONUS JetCorp USA"",""21"",""1"",""417655"""</f>
        <v>"NAV Direct","CRONUS JetCorp USA","21","1","417655"</v>
      </c>
      <c r="E5102" s="31">
        <f t="shared" si="1537"/>
        <v>0</v>
      </c>
      <c r="F5102" s="31"/>
      <c r="G5102" s="31"/>
      <c r="H5102" s="31"/>
      <c r="I5102" s="56"/>
      <c r="J5102" s="56"/>
      <c r="K5102" s="82" t="str">
        <f t="shared" si="1538"/>
        <v>Invoice</v>
      </c>
      <c r="L5102" s="83" t="str">
        <f>"SI_112607"</f>
        <v>SI_112607</v>
      </c>
      <c r="M5102" s="84">
        <v>42815</v>
      </c>
      <c r="N5102" s="85">
        <f t="shared" si="1539"/>
        <v>997</v>
      </c>
      <c r="O5102" s="86">
        <f t="shared" si="1540"/>
        <v>9848.41</v>
      </c>
      <c r="P5102" s="86">
        <f t="shared" si="1541"/>
        <v>0</v>
      </c>
      <c r="Q5102" s="86">
        <f t="shared" si="1542"/>
        <v>0</v>
      </c>
      <c r="R5102" s="86">
        <f t="shared" si="1543"/>
        <v>0</v>
      </c>
      <c r="S5102" s="86">
        <f t="shared" si="1544"/>
        <v>0</v>
      </c>
      <c r="T5102" s="86">
        <f t="shared" si="1545"/>
        <v>9848.41</v>
      </c>
      <c r="U5102" s="87">
        <v>9848.41</v>
      </c>
    </row>
    <row r="5103" spans="1:21" s="30" customFormat="1" ht="24.6" hidden="1" outlineLevel="1" x14ac:dyDescent="0.55000000000000004">
      <c r="A5103" s="27" t="s">
        <v>327</v>
      </c>
      <c r="B5103" s="28"/>
      <c r="C5103" s="27"/>
      <c r="D5103" s="27" t="str">
        <f>"""NAV Direct"",""CRONUS JetCorp USA"",""21"",""1"",""417707"""</f>
        <v>"NAV Direct","CRONUS JetCorp USA","21","1","417707"</v>
      </c>
      <c r="E5103" s="31" t="str">
        <f t="shared" si="1537"/>
        <v>C100140</v>
      </c>
      <c r="F5103" s="31"/>
      <c r="G5103" s="31"/>
      <c r="H5103" s="31"/>
      <c r="I5103" s="56"/>
      <c r="J5103" s="56"/>
      <c r="K5103" s="82" t="str">
        <f t="shared" si="1538"/>
        <v>Invoice</v>
      </c>
      <c r="L5103" s="83" t="str">
        <f>"SI_112608"</f>
        <v>SI_112608</v>
      </c>
      <c r="M5103" s="84">
        <v>42824</v>
      </c>
      <c r="N5103" s="85">
        <f t="shared" si="1539"/>
        <v>988</v>
      </c>
      <c r="O5103" s="86">
        <f t="shared" si="1540"/>
        <v>9848.41</v>
      </c>
      <c r="P5103" s="86">
        <f t="shared" si="1541"/>
        <v>0</v>
      </c>
      <c r="Q5103" s="86">
        <f t="shared" si="1542"/>
        <v>0</v>
      </c>
      <c r="R5103" s="86">
        <f t="shared" si="1543"/>
        <v>0</v>
      </c>
      <c r="S5103" s="86">
        <f t="shared" si="1544"/>
        <v>0</v>
      </c>
      <c r="T5103" s="86">
        <f t="shared" si="1545"/>
        <v>9848.41</v>
      </c>
      <c r="U5103" s="87">
        <v>9848.41</v>
      </c>
    </row>
    <row r="5104" spans="1:21" s="30" customFormat="1" ht="24.6" hidden="1" outlineLevel="1" x14ac:dyDescent="0.55000000000000004">
      <c r="A5104" s="27" t="s">
        <v>327</v>
      </c>
      <c r="B5104" s="28"/>
      <c r="C5104" s="27"/>
      <c r="D5104" s="27" t="str">
        <f>"""NAV Direct"",""CRONUS JetCorp USA"",""21"",""1"",""417758"""</f>
        <v>"NAV Direct","CRONUS JetCorp USA","21","1","417758"</v>
      </c>
      <c r="E5104" s="31">
        <f t="shared" si="1537"/>
        <v>0</v>
      </c>
      <c r="F5104" s="31"/>
      <c r="G5104" s="31"/>
      <c r="H5104" s="31"/>
      <c r="I5104" s="56"/>
      <c r="J5104" s="56"/>
      <c r="K5104" s="82" t="str">
        <f t="shared" si="1538"/>
        <v>Invoice</v>
      </c>
      <c r="L5104" s="83" t="str">
        <f>"SI_112609"</f>
        <v>SI_112609</v>
      </c>
      <c r="M5104" s="84">
        <v>42828</v>
      </c>
      <c r="N5104" s="85">
        <f t="shared" si="1539"/>
        <v>984</v>
      </c>
      <c r="O5104" s="86">
        <f t="shared" si="1540"/>
        <v>9848.35</v>
      </c>
      <c r="P5104" s="86">
        <f t="shared" si="1541"/>
        <v>0</v>
      </c>
      <c r="Q5104" s="86">
        <f t="shared" si="1542"/>
        <v>0</v>
      </c>
      <c r="R5104" s="86">
        <f t="shared" si="1543"/>
        <v>0</v>
      </c>
      <c r="S5104" s="86">
        <f t="shared" si="1544"/>
        <v>0</v>
      </c>
      <c r="T5104" s="86">
        <f t="shared" si="1545"/>
        <v>9848.35</v>
      </c>
      <c r="U5104" s="87">
        <v>9848.35</v>
      </c>
    </row>
    <row r="5105" spans="1:21" s="30" customFormat="1" ht="24.6" hidden="1" outlineLevel="1" x14ac:dyDescent="0.55000000000000004">
      <c r="A5105" s="27" t="s">
        <v>327</v>
      </c>
      <c r="B5105" s="28"/>
      <c r="C5105" s="27"/>
      <c r="D5105" s="27" t="str">
        <f>"""NAV Direct"",""CRONUS JetCorp USA"",""21"",""1"",""417836"""</f>
        <v>"NAV Direct","CRONUS JetCorp USA","21","1","417836"</v>
      </c>
      <c r="E5105" s="31" t="str">
        <f t="shared" si="1537"/>
        <v>C100140</v>
      </c>
      <c r="F5105" s="31"/>
      <c r="G5105" s="31"/>
      <c r="H5105" s="31"/>
      <c r="I5105" s="56"/>
      <c r="J5105" s="56"/>
      <c r="K5105" s="82" t="str">
        <f t="shared" si="1538"/>
        <v>Invoice</v>
      </c>
      <c r="L5105" s="83" t="str">
        <f>"SI_112611"</f>
        <v>SI_112611</v>
      </c>
      <c r="M5105" s="84">
        <v>42850</v>
      </c>
      <c r="N5105" s="85">
        <f t="shared" si="1539"/>
        <v>962</v>
      </c>
      <c r="O5105" s="86">
        <f t="shared" si="1540"/>
        <v>7575.6500000000005</v>
      </c>
      <c r="P5105" s="86">
        <f t="shared" si="1541"/>
        <v>0</v>
      </c>
      <c r="Q5105" s="86">
        <f t="shared" si="1542"/>
        <v>0</v>
      </c>
      <c r="R5105" s="86">
        <f t="shared" si="1543"/>
        <v>0</v>
      </c>
      <c r="S5105" s="86">
        <f t="shared" si="1544"/>
        <v>0</v>
      </c>
      <c r="T5105" s="86">
        <f t="shared" si="1545"/>
        <v>7575.6500000000005</v>
      </c>
      <c r="U5105" s="87">
        <v>7575.6500000000005</v>
      </c>
    </row>
    <row r="5106" spans="1:21" s="30" customFormat="1" ht="24.6" hidden="1" outlineLevel="1" x14ac:dyDescent="0.55000000000000004">
      <c r="A5106" s="27" t="s">
        <v>327</v>
      </c>
      <c r="B5106" s="28"/>
      <c r="C5106" s="27"/>
      <c r="D5106" s="27" t="str">
        <f>"""NAV Direct"",""CRONUS JetCorp USA"",""21"",""1"",""417930"""</f>
        <v>"NAV Direct","CRONUS JetCorp USA","21","1","417930"</v>
      </c>
      <c r="E5106" s="31">
        <f t="shared" si="1537"/>
        <v>0</v>
      </c>
      <c r="F5106" s="31"/>
      <c r="G5106" s="31"/>
      <c r="H5106" s="31"/>
      <c r="I5106" s="56"/>
      <c r="J5106" s="56"/>
      <c r="K5106" s="82" t="str">
        <f t="shared" si="1538"/>
        <v>Invoice</v>
      </c>
      <c r="L5106" s="83" t="str">
        <f>"SI_112613"</f>
        <v>SI_112613</v>
      </c>
      <c r="M5106" s="84">
        <v>42858</v>
      </c>
      <c r="N5106" s="85">
        <f t="shared" si="1539"/>
        <v>954</v>
      </c>
      <c r="O5106" s="86">
        <f t="shared" si="1540"/>
        <v>7575.63</v>
      </c>
      <c r="P5106" s="86">
        <f t="shared" si="1541"/>
        <v>0</v>
      </c>
      <c r="Q5106" s="86">
        <f t="shared" si="1542"/>
        <v>0</v>
      </c>
      <c r="R5106" s="86">
        <f t="shared" si="1543"/>
        <v>0</v>
      </c>
      <c r="S5106" s="86">
        <f t="shared" si="1544"/>
        <v>0</v>
      </c>
      <c r="T5106" s="86">
        <f t="shared" si="1545"/>
        <v>7575.63</v>
      </c>
      <c r="U5106" s="87">
        <v>7575.63</v>
      </c>
    </row>
    <row r="5107" spans="1:21" s="30" customFormat="1" ht="24.6" hidden="1" outlineLevel="1" x14ac:dyDescent="0.55000000000000004">
      <c r="A5107" s="27" t="s">
        <v>327</v>
      </c>
      <c r="B5107" s="28"/>
      <c r="C5107" s="27"/>
      <c r="D5107" s="27" t="str">
        <f>"""NAV Direct"",""CRONUS JetCorp USA"",""21"",""1"",""418090"""</f>
        <v>"NAV Direct","CRONUS JetCorp USA","21","1","418090"</v>
      </c>
      <c r="E5107" s="31" t="str">
        <f t="shared" ref="E5107:E5138" si="1546">E5105</f>
        <v>C100140</v>
      </c>
      <c r="F5107" s="31"/>
      <c r="G5107" s="31"/>
      <c r="H5107" s="31"/>
      <c r="I5107" s="56"/>
      <c r="J5107" s="56"/>
      <c r="K5107" s="82" t="str">
        <f t="shared" ref="K5107:K5138" si="1547">"Invoice"</f>
        <v>Invoice</v>
      </c>
      <c r="L5107" s="83" t="str">
        <f>"SI_112617"</f>
        <v>SI_112617</v>
      </c>
      <c r="M5107" s="84">
        <v>42872</v>
      </c>
      <c r="N5107" s="85">
        <f t="shared" ref="N5107:N5138" si="1548">StartDate-$M5107+1</f>
        <v>940</v>
      </c>
      <c r="O5107" s="86">
        <f t="shared" ref="O5107:O5138" si="1549">SUM(P5107:T5107)</f>
        <v>7636.3200000000006</v>
      </c>
      <c r="P5107" s="86">
        <f t="shared" ref="P5107:P5138" si="1550">IF($M5107&gt;=$P$18,U5107,0)</f>
        <v>0</v>
      </c>
      <c r="Q5107" s="86">
        <f t="shared" ref="Q5107:Q5138" si="1551">IF(AND($M5107&gt;=$Q$16,$M5107&lt;=$Q$18),U5107,0)</f>
        <v>0</v>
      </c>
      <c r="R5107" s="86">
        <f t="shared" ref="R5107:R5138" si="1552">IF(AND($M5107&gt;=$R$16,$M5107&lt;=$R$18),U5107,0)</f>
        <v>0</v>
      </c>
      <c r="S5107" s="86">
        <f t="shared" ref="S5107:S5138" si="1553">IF(AND($M5107&gt;=$S$16,$M5107&lt;=$S$18),U5107,0)</f>
        <v>0</v>
      </c>
      <c r="T5107" s="86">
        <f t="shared" ref="T5107:T5138" si="1554">IF($M5107&lt;=$T$18,U5107,0)</f>
        <v>7636.3200000000006</v>
      </c>
      <c r="U5107" s="87">
        <v>7636.3200000000006</v>
      </c>
    </row>
    <row r="5108" spans="1:21" s="30" customFormat="1" ht="24.6" hidden="1" outlineLevel="1" x14ac:dyDescent="0.55000000000000004">
      <c r="A5108" s="27" t="s">
        <v>327</v>
      </c>
      <c r="B5108" s="28"/>
      <c r="C5108" s="27"/>
      <c r="D5108" s="27" t="str">
        <f>"""NAV Direct"",""CRONUS JetCorp USA"",""21"",""1"",""418135"""</f>
        <v>"NAV Direct","CRONUS JetCorp USA","21","1","418135"</v>
      </c>
      <c r="E5108" s="31">
        <f t="shared" si="1546"/>
        <v>0</v>
      </c>
      <c r="F5108" s="31"/>
      <c r="G5108" s="31"/>
      <c r="H5108" s="31"/>
      <c r="I5108" s="56"/>
      <c r="J5108" s="56"/>
      <c r="K5108" s="82" t="str">
        <f t="shared" si="1547"/>
        <v>Invoice</v>
      </c>
      <c r="L5108" s="83" t="str">
        <f>"SI_112618"</f>
        <v>SI_112618</v>
      </c>
      <c r="M5108" s="84">
        <v>42877</v>
      </c>
      <c r="N5108" s="85">
        <f t="shared" si="1548"/>
        <v>935</v>
      </c>
      <c r="O5108" s="86">
        <f t="shared" si="1549"/>
        <v>7636.25</v>
      </c>
      <c r="P5108" s="86">
        <f t="shared" si="1550"/>
        <v>0</v>
      </c>
      <c r="Q5108" s="86">
        <f t="shared" si="1551"/>
        <v>0</v>
      </c>
      <c r="R5108" s="86">
        <f t="shared" si="1552"/>
        <v>0</v>
      </c>
      <c r="S5108" s="86">
        <f t="shared" si="1553"/>
        <v>0</v>
      </c>
      <c r="T5108" s="86">
        <f t="shared" si="1554"/>
        <v>7636.25</v>
      </c>
      <c r="U5108" s="87">
        <v>7636.25</v>
      </c>
    </row>
    <row r="5109" spans="1:21" s="30" customFormat="1" ht="24.6" hidden="1" outlineLevel="1" x14ac:dyDescent="0.55000000000000004">
      <c r="A5109" s="27" t="s">
        <v>327</v>
      </c>
      <c r="B5109" s="28"/>
      <c r="C5109" s="27"/>
      <c r="D5109" s="27" t="str">
        <f>"""NAV Direct"",""CRONUS JetCorp USA"",""21"",""1"",""418352"""</f>
        <v>"NAV Direct","CRONUS JetCorp USA","21","1","418352"</v>
      </c>
      <c r="E5109" s="31" t="str">
        <f t="shared" si="1546"/>
        <v>C100140</v>
      </c>
      <c r="F5109" s="31"/>
      <c r="G5109" s="31"/>
      <c r="H5109" s="31"/>
      <c r="I5109" s="56"/>
      <c r="J5109" s="56"/>
      <c r="K5109" s="82" t="str">
        <f t="shared" si="1547"/>
        <v>Invoice</v>
      </c>
      <c r="L5109" s="83" t="str">
        <f>"SI_112623"</f>
        <v>SI_112623</v>
      </c>
      <c r="M5109" s="84">
        <v>42913</v>
      </c>
      <c r="N5109" s="85">
        <f t="shared" si="1548"/>
        <v>899</v>
      </c>
      <c r="O5109" s="86">
        <f t="shared" si="1549"/>
        <v>7575.1</v>
      </c>
      <c r="P5109" s="86">
        <f t="shared" si="1550"/>
        <v>0</v>
      </c>
      <c r="Q5109" s="86">
        <f t="shared" si="1551"/>
        <v>0</v>
      </c>
      <c r="R5109" s="86">
        <f t="shared" si="1552"/>
        <v>0</v>
      </c>
      <c r="S5109" s="86">
        <f t="shared" si="1553"/>
        <v>0</v>
      </c>
      <c r="T5109" s="86">
        <f t="shared" si="1554"/>
        <v>7575.1</v>
      </c>
      <c r="U5109" s="87">
        <v>7575.1</v>
      </c>
    </row>
    <row r="5110" spans="1:21" s="30" customFormat="1" ht="24.6" hidden="1" outlineLevel="1" x14ac:dyDescent="0.55000000000000004">
      <c r="A5110" s="27" t="s">
        <v>327</v>
      </c>
      <c r="B5110" s="28"/>
      <c r="C5110" s="27"/>
      <c r="D5110" s="27" t="str">
        <f>"""NAV Direct"",""CRONUS JetCorp USA"",""21"",""1"",""418401"""</f>
        <v>"NAV Direct","CRONUS JetCorp USA","21","1","418401"</v>
      </c>
      <c r="E5110" s="31">
        <f t="shared" si="1546"/>
        <v>0</v>
      </c>
      <c r="F5110" s="31"/>
      <c r="G5110" s="31"/>
      <c r="H5110" s="31"/>
      <c r="I5110" s="56"/>
      <c r="J5110" s="56"/>
      <c r="K5110" s="82" t="str">
        <f t="shared" si="1547"/>
        <v>Invoice</v>
      </c>
      <c r="L5110" s="83" t="str">
        <f>"SI_112624"</f>
        <v>SI_112624</v>
      </c>
      <c r="M5110" s="84">
        <v>42920</v>
      </c>
      <c r="N5110" s="85">
        <f t="shared" si="1548"/>
        <v>892</v>
      </c>
      <c r="O5110" s="86">
        <f t="shared" si="1549"/>
        <v>7575.170000000001</v>
      </c>
      <c r="P5110" s="86">
        <f t="shared" si="1550"/>
        <v>0</v>
      </c>
      <c r="Q5110" s="86">
        <f t="shared" si="1551"/>
        <v>0</v>
      </c>
      <c r="R5110" s="86">
        <f t="shared" si="1552"/>
        <v>0</v>
      </c>
      <c r="S5110" s="86">
        <f t="shared" si="1553"/>
        <v>0</v>
      </c>
      <c r="T5110" s="86">
        <f t="shared" si="1554"/>
        <v>7575.170000000001</v>
      </c>
      <c r="U5110" s="87">
        <v>7575.170000000001</v>
      </c>
    </row>
    <row r="5111" spans="1:21" s="30" customFormat="1" ht="24.6" hidden="1" outlineLevel="1" x14ac:dyDescent="0.55000000000000004">
      <c r="A5111" s="27" t="s">
        <v>327</v>
      </c>
      <c r="B5111" s="28"/>
      <c r="C5111" s="27"/>
      <c r="D5111" s="27" t="str">
        <f>"""NAV Direct"",""CRONUS JetCorp USA"",""21"",""1"",""418481"""</f>
        <v>"NAV Direct","CRONUS JetCorp USA","21","1","418481"</v>
      </c>
      <c r="E5111" s="31" t="str">
        <f t="shared" si="1546"/>
        <v>C100140</v>
      </c>
      <c r="F5111" s="31"/>
      <c r="G5111" s="31"/>
      <c r="H5111" s="31"/>
      <c r="I5111" s="56"/>
      <c r="J5111" s="56"/>
      <c r="K5111" s="82" t="str">
        <f t="shared" si="1547"/>
        <v>Invoice</v>
      </c>
      <c r="L5111" s="83" t="str">
        <f>"SI_112626"</f>
        <v>SI_112626</v>
      </c>
      <c r="M5111" s="84">
        <v>42947</v>
      </c>
      <c r="N5111" s="85">
        <f t="shared" si="1548"/>
        <v>865</v>
      </c>
      <c r="O5111" s="86">
        <f t="shared" si="1549"/>
        <v>6461.630000000001</v>
      </c>
      <c r="P5111" s="86">
        <f t="shared" si="1550"/>
        <v>0</v>
      </c>
      <c r="Q5111" s="86">
        <f t="shared" si="1551"/>
        <v>0</v>
      </c>
      <c r="R5111" s="86">
        <f t="shared" si="1552"/>
        <v>0</v>
      </c>
      <c r="S5111" s="86">
        <f t="shared" si="1553"/>
        <v>0</v>
      </c>
      <c r="T5111" s="86">
        <f t="shared" si="1554"/>
        <v>6461.630000000001</v>
      </c>
      <c r="U5111" s="87">
        <v>6461.630000000001</v>
      </c>
    </row>
    <row r="5112" spans="1:21" s="30" customFormat="1" ht="24.6" hidden="1" outlineLevel="1" x14ac:dyDescent="0.55000000000000004">
      <c r="A5112" s="27" t="s">
        <v>327</v>
      </c>
      <c r="B5112" s="28"/>
      <c r="C5112" s="27"/>
      <c r="D5112" s="27" t="str">
        <f>"""NAV Direct"",""CRONUS JetCorp USA"",""21"",""1"",""418565"""</f>
        <v>"NAV Direct","CRONUS JetCorp USA","21","1","418565"</v>
      </c>
      <c r="E5112" s="31">
        <f t="shared" si="1546"/>
        <v>0</v>
      </c>
      <c r="F5112" s="31"/>
      <c r="G5112" s="31"/>
      <c r="H5112" s="31"/>
      <c r="I5112" s="56"/>
      <c r="J5112" s="56"/>
      <c r="K5112" s="82" t="str">
        <f t="shared" si="1547"/>
        <v>Invoice</v>
      </c>
      <c r="L5112" s="83" t="str">
        <f>"SI_112628"</f>
        <v>SI_112628</v>
      </c>
      <c r="M5112" s="84">
        <v>42950</v>
      </c>
      <c r="N5112" s="85">
        <f t="shared" si="1548"/>
        <v>862</v>
      </c>
      <c r="O5112" s="86">
        <f t="shared" si="1549"/>
        <v>6461.5099999999993</v>
      </c>
      <c r="P5112" s="86">
        <f t="shared" si="1550"/>
        <v>0</v>
      </c>
      <c r="Q5112" s="86">
        <f t="shared" si="1551"/>
        <v>0</v>
      </c>
      <c r="R5112" s="86">
        <f t="shared" si="1552"/>
        <v>0</v>
      </c>
      <c r="S5112" s="86">
        <f t="shared" si="1553"/>
        <v>0</v>
      </c>
      <c r="T5112" s="86">
        <f t="shared" si="1554"/>
        <v>6461.5099999999993</v>
      </c>
      <c r="U5112" s="87">
        <v>6461.5099999999993</v>
      </c>
    </row>
    <row r="5113" spans="1:21" s="30" customFormat="1" ht="24.6" hidden="1" outlineLevel="1" x14ac:dyDescent="0.55000000000000004">
      <c r="A5113" s="27" t="s">
        <v>327</v>
      </c>
      <c r="B5113" s="28"/>
      <c r="C5113" s="27"/>
      <c r="D5113" s="27" t="str">
        <f>"""NAV Direct"",""CRONUS JetCorp USA"",""21"",""1"",""418626"""</f>
        <v>"NAV Direct","CRONUS JetCorp USA","21","1","418626"</v>
      </c>
      <c r="E5113" s="31" t="str">
        <f t="shared" si="1546"/>
        <v>C100140</v>
      </c>
      <c r="F5113" s="31"/>
      <c r="G5113" s="31"/>
      <c r="H5113" s="31"/>
      <c r="I5113" s="56"/>
      <c r="J5113" s="56"/>
      <c r="K5113" s="82" t="str">
        <f t="shared" si="1547"/>
        <v>Invoice</v>
      </c>
      <c r="L5113" s="83" t="str">
        <f>"SI_112629"</f>
        <v>SI_112629</v>
      </c>
      <c r="M5113" s="84">
        <v>42953</v>
      </c>
      <c r="N5113" s="85">
        <f t="shared" si="1548"/>
        <v>859</v>
      </c>
      <c r="O5113" s="86">
        <f t="shared" si="1549"/>
        <v>6461.3899999999994</v>
      </c>
      <c r="P5113" s="86">
        <f t="shared" si="1550"/>
        <v>0</v>
      </c>
      <c r="Q5113" s="86">
        <f t="shared" si="1551"/>
        <v>0</v>
      </c>
      <c r="R5113" s="86">
        <f t="shared" si="1552"/>
        <v>0</v>
      </c>
      <c r="S5113" s="86">
        <f t="shared" si="1553"/>
        <v>0</v>
      </c>
      <c r="T5113" s="86">
        <f t="shared" si="1554"/>
        <v>6461.3899999999994</v>
      </c>
      <c r="U5113" s="87">
        <v>6461.3899999999994</v>
      </c>
    </row>
    <row r="5114" spans="1:21" s="30" customFormat="1" ht="24.6" hidden="1" outlineLevel="1" x14ac:dyDescent="0.55000000000000004">
      <c r="A5114" s="27" t="s">
        <v>327</v>
      </c>
      <c r="B5114" s="28"/>
      <c r="C5114" s="27"/>
      <c r="D5114" s="27" t="str">
        <f>"""NAV Direct"",""CRONUS JetCorp USA"",""21"",""1"",""418899"""</f>
        <v>"NAV Direct","CRONUS JetCorp USA","21","1","418899"</v>
      </c>
      <c r="E5114" s="31">
        <f t="shared" si="1546"/>
        <v>0</v>
      </c>
      <c r="F5114" s="31"/>
      <c r="G5114" s="31"/>
      <c r="H5114" s="31"/>
      <c r="I5114" s="56"/>
      <c r="J5114" s="56"/>
      <c r="K5114" s="82" t="str">
        <f t="shared" si="1547"/>
        <v>Invoice</v>
      </c>
      <c r="L5114" s="83" t="str">
        <f>"SI_112636"</f>
        <v>SI_112636</v>
      </c>
      <c r="M5114" s="84">
        <v>42985</v>
      </c>
      <c r="N5114" s="85">
        <f t="shared" si="1548"/>
        <v>827</v>
      </c>
      <c r="O5114" s="86">
        <f t="shared" si="1549"/>
        <v>5860.72</v>
      </c>
      <c r="P5114" s="86">
        <f t="shared" si="1550"/>
        <v>0</v>
      </c>
      <c r="Q5114" s="86">
        <f t="shared" si="1551"/>
        <v>0</v>
      </c>
      <c r="R5114" s="86">
        <f t="shared" si="1552"/>
        <v>0</v>
      </c>
      <c r="S5114" s="86">
        <f t="shared" si="1553"/>
        <v>0</v>
      </c>
      <c r="T5114" s="86">
        <f t="shared" si="1554"/>
        <v>5860.72</v>
      </c>
      <c r="U5114" s="87">
        <v>5860.72</v>
      </c>
    </row>
    <row r="5115" spans="1:21" s="30" customFormat="1" ht="24.6" hidden="1" outlineLevel="1" x14ac:dyDescent="0.55000000000000004">
      <c r="A5115" s="27" t="s">
        <v>327</v>
      </c>
      <c r="B5115" s="28"/>
      <c r="C5115" s="27"/>
      <c r="D5115" s="27" t="str">
        <f>"""NAV Direct"",""CRONUS JetCorp USA"",""21"",""1"",""419174"""</f>
        <v>"NAV Direct","CRONUS JetCorp USA","21","1","419174"</v>
      </c>
      <c r="E5115" s="31" t="str">
        <f t="shared" si="1546"/>
        <v>C100140</v>
      </c>
      <c r="F5115" s="31"/>
      <c r="G5115" s="31"/>
      <c r="H5115" s="31"/>
      <c r="I5115" s="56"/>
      <c r="J5115" s="56"/>
      <c r="K5115" s="82" t="str">
        <f t="shared" si="1547"/>
        <v>Invoice</v>
      </c>
      <c r="L5115" s="83" t="str">
        <f>"SI_112643"</f>
        <v>SI_112643</v>
      </c>
      <c r="M5115" s="84">
        <v>43019</v>
      </c>
      <c r="N5115" s="85">
        <f t="shared" si="1548"/>
        <v>793</v>
      </c>
      <c r="O5115" s="86">
        <f t="shared" si="1549"/>
        <v>5485.63</v>
      </c>
      <c r="P5115" s="86">
        <f t="shared" si="1550"/>
        <v>0</v>
      </c>
      <c r="Q5115" s="86">
        <f t="shared" si="1551"/>
        <v>0</v>
      </c>
      <c r="R5115" s="86">
        <f t="shared" si="1552"/>
        <v>0</v>
      </c>
      <c r="S5115" s="86">
        <f t="shared" si="1553"/>
        <v>0</v>
      </c>
      <c r="T5115" s="86">
        <f t="shared" si="1554"/>
        <v>5485.63</v>
      </c>
      <c r="U5115" s="87">
        <v>5485.63</v>
      </c>
    </row>
    <row r="5116" spans="1:21" s="30" customFormat="1" ht="24.6" hidden="1" outlineLevel="1" x14ac:dyDescent="0.55000000000000004">
      <c r="A5116" s="27" t="s">
        <v>327</v>
      </c>
      <c r="B5116" s="28"/>
      <c r="C5116" s="27"/>
      <c r="D5116" s="27" t="str">
        <f>"""NAV Direct"",""CRONUS JetCorp USA"",""21"",""1"",""419280"""</f>
        <v>"NAV Direct","CRONUS JetCorp USA","21","1","419280"</v>
      </c>
      <c r="E5116" s="31">
        <f t="shared" si="1546"/>
        <v>0</v>
      </c>
      <c r="F5116" s="31"/>
      <c r="G5116" s="31"/>
      <c r="H5116" s="31"/>
      <c r="I5116" s="56"/>
      <c r="J5116" s="56"/>
      <c r="K5116" s="82" t="str">
        <f t="shared" si="1547"/>
        <v>Invoice</v>
      </c>
      <c r="L5116" s="83" t="str">
        <f>"SI_112646"</f>
        <v>SI_112646</v>
      </c>
      <c r="M5116" s="84">
        <v>43032</v>
      </c>
      <c r="N5116" s="85">
        <f t="shared" si="1548"/>
        <v>780</v>
      </c>
      <c r="O5116" s="86">
        <f t="shared" si="1549"/>
        <v>5271.54</v>
      </c>
      <c r="P5116" s="86">
        <f t="shared" si="1550"/>
        <v>0</v>
      </c>
      <c r="Q5116" s="86">
        <f t="shared" si="1551"/>
        <v>0</v>
      </c>
      <c r="R5116" s="86">
        <f t="shared" si="1552"/>
        <v>0</v>
      </c>
      <c r="S5116" s="86">
        <f t="shared" si="1553"/>
        <v>0</v>
      </c>
      <c r="T5116" s="86">
        <f t="shared" si="1554"/>
        <v>5271.54</v>
      </c>
      <c r="U5116" s="87">
        <v>5271.54</v>
      </c>
    </row>
    <row r="5117" spans="1:21" s="30" customFormat="1" ht="24.6" hidden="1" outlineLevel="1" x14ac:dyDescent="0.55000000000000004">
      <c r="A5117" s="27" t="s">
        <v>327</v>
      </c>
      <c r="B5117" s="28"/>
      <c r="C5117" s="27"/>
      <c r="D5117" s="27" t="str">
        <f>"""NAV Direct"",""CRONUS JetCorp USA"",""21"",""1"",""419402"""</f>
        <v>"NAV Direct","CRONUS JetCorp USA","21","1","419402"</v>
      </c>
      <c r="E5117" s="31" t="str">
        <f t="shared" si="1546"/>
        <v>C100140</v>
      </c>
      <c r="F5117" s="31"/>
      <c r="G5117" s="31"/>
      <c r="H5117" s="31"/>
      <c r="I5117" s="56"/>
      <c r="J5117" s="56"/>
      <c r="K5117" s="82" t="str">
        <f t="shared" si="1547"/>
        <v>Invoice</v>
      </c>
      <c r="L5117" s="83" t="str">
        <f>"SI_112649"</f>
        <v>SI_112649</v>
      </c>
      <c r="M5117" s="84">
        <v>43049</v>
      </c>
      <c r="N5117" s="85">
        <f t="shared" si="1548"/>
        <v>763</v>
      </c>
      <c r="O5117" s="86">
        <f t="shared" si="1549"/>
        <v>5271.66</v>
      </c>
      <c r="P5117" s="86">
        <f t="shared" si="1550"/>
        <v>0</v>
      </c>
      <c r="Q5117" s="86">
        <f t="shared" si="1551"/>
        <v>0</v>
      </c>
      <c r="R5117" s="86">
        <f t="shared" si="1552"/>
        <v>0</v>
      </c>
      <c r="S5117" s="86">
        <f t="shared" si="1553"/>
        <v>0</v>
      </c>
      <c r="T5117" s="86">
        <f t="shared" si="1554"/>
        <v>5271.66</v>
      </c>
      <c r="U5117" s="87">
        <v>5271.66</v>
      </c>
    </row>
    <row r="5118" spans="1:21" s="30" customFormat="1" ht="24.6" hidden="1" outlineLevel="1" x14ac:dyDescent="0.55000000000000004">
      <c r="A5118" s="27" t="s">
        <v>327</v>
      </c>
      <c r="B5118" s="28"/>
      <c r="C5118" s="27"/>
      <c r="D5118" s="27" t="str">
        <f>"""NAV Direct"",""CRONUS JetCorp USA"",""21"",""1"",""419431"""</f>
        <v>"NAV Direct","CRONUS JetCorp USA","21","1","419431"</v>
      </c>
      <c r="E5118" s="31">
        <f t="shared" si="1546"/>
        <v>0</v>
      </c>
      <c r="F5118" s="31"/>
      <c r="G5118" s="31"/>
      <c r="H5118" s="31"/>
      <c r="I5118" s="56"/>
      <c r="J5118" s="56"/>
      <c r="K5118" s="82" t="str">
        <f t="shared" si="1547"/>
        <v>Invoice</v>
      </c>
      <c r="L5118" s="83" t="str">
        <f>"SI_112650"</f>
        <v>SI_112650</v>
      </c>
      <c r="M5118" s="84">
        <v>43061</v>
      </c>
      <c r="N5118" s="85">
        <f t="shared" si="1548"/>
        <v>751</v>
      </c>
      <c r="O5118" s="86">
        <f t="shared" si="1549"/>
        <v>5366.47</v>
      </c>
      <c r="P5118" s="86">
        <f t="shared" si="1550"/>
        <v>0</v>
      </c>
      <c r="Q5118" s="86">
        <f t="shared" si="1551"/>
        <v>0</v>
      </c>
      <c r="R5118" s="86">
        <f t="shared" si="1552"/>
        <v>0</v>
      </c>
      <c r="S5118" s="86">
        <f t="shared" si="1553"/>
        <v>0</v>
      </c>
      <c r="T5118" s="86">
        <f t="shared" si="1554"/>
        <v>5366.47</v>
      </c>
      <c r="U5118" s="87">
        <v>5366.47</v>
      </c>
    </row>
    <row r="5119" spans="1:21" s="30" customFormat="1" ht="24.6" hidden="1" outlineLevel="1" x14ac:dyDescent="0.55000000000000004">
      <c r="A5119" s="27" t="s">
        <v>327</v>
      </c>
      <c r="B5119" s="28"/>
      <c r="C5119" s="27"/>
      <c r="D5119" s="27" t="str">
        <f>"""NAV Direct"",""CRONUS JetCorp USA"",""21"",""1"",""419464"""</f>
        <v>"NAV Direct","CRONUS JetCorp USA","21","1","419464"</v>
      </c>
      <c r="E5119" s="31" t="str">
        <f t="shared" si="1546"/>
        <v>C100140</v>
      </c>
      <c r="F5119" s="31"/>
      <c r="G5119" s="31"/>
      <c r="H5119" s="31"/>
      <c r="I5119" s="56"/>
      <c r="J5119" s="56"/>
      <c r="K5119" s="82" t="str">
        <f t="shared" si="1547"/>
        <v>Invoice</v>
      </c>
      <c r="L5119" s="83" t="str">
        <f>"SI_112651"</f>
        <v>SI_112651</v>
      </c>
      <c r="M5119" s="84">
        <v>43061</v>
      </c>
      <c r="N5119" s="85">
        <f t="shared" si="1548"/>
        <v>751</v>
      </c>
      <c r="O5119" s="86">
        <f t="shared" si="1549"/>
        <v>5366.5700000000006</v>
      </c>
      <c r="P5119" s="86">
        <f t="shared" si="1550"/>
        <v>0</v>
      </c>
      <c r="Q5119" s="86">
        <f t="shared" si="1551"/>
        <v>0</v>
      </c>
      <c r="R5119" s="86">
        <f t="shared" si="1552"/>
        <v>0</v>
      </c>
      <c r="S5119" s="86">
        <f t="shared" si="1553"/>
        <v>0</v>
      </c>
      <c r="T5119" s="86">
        <f t="shared" si="1554"/>
        <v>5366.5700000000006</v>
      </c>
      <c r="U5119" s="87">
        <v>5366.5700000000006</v>
      </c>
    </row>
    <row r="5120" spans="1:21" s="30" customFormat="1" ht="24.6" hidden="1" outlineLevel="1" x14ac:dyDescent="0.55000000000000004">
      <c r="A5120" s="27" t="s">
        <v>327</v>
      </c>
      <c r="B5120" s="28"/>
      <c r="C5120" s="27"/>
      <c r="D5120" s="27" t="str">
        <f>"""NAV Direct"",""CRONUS JetCorp USA"",""21"",""1"",""419725"""</f>
        <v>"NAV Direct","CRONUS JetCorp USA","21","1","419725"</v>
      </c>
      <c r="E5120" s="31">
        <f t="shared" si="1546"/>
        <v>0</v>
      </c>
      <c r="F5120" s="31"/>
      <c r="G5120" s="31"/>
      <c r="H5120" s="31"/>
      <c r="I5120" s="56"/>
      <c r="J5120" s="56"/>
      <c r="K5120" s="82" t="str">
        <f t="shared" si="1547"/>
        <v>Invoice</v>
      </c>
      <c r="L5120" s="83" t="str">
        <f>"SI_112659"</f>
        <v>SI_112659</v>
      </c>
      <c r="M5120" s="84">
        <v>43126</v>
      </c>
      <c r="N5120" s="85">
        <f t="shared" si="1548"/>
        <v>686</v>
      </c>
      <c r="O5120" s="86">
        <f t="shared" si="1549"/>
        <v>5138.0700000000006</v>
      </c>
      <c r="P5120" s="86">
        <f t="shared" si="1550"/>
        <v>0</v>
      </c>
      <c r="Q5120" s="86">
        <f t="shared" si="1551"/>
        <v>0</v>
      </c>
      <c r="R5120" s="86">
        <f t="shared" si="1552"/>
        <v>0</v>
      </c>
      <c r="S5120" s="86">
        <f t="shared" si="1553"/>
        <v>0</v>
      </c>
      <c r="T5120" s="86">
        <f t="shared" si="1554"/>
        <v>5138.0700000000006</v>
      </c>
      <c r="U5120" s="87">
        <v>5138.0700000000006</v>
      </c>
    </row>
    <row r="5121" spans="1:21" s="30" customFormat="1" ht="24.6" hidden="1" outlineLevel="1" x14ac:dyDescent="0.55000000000000004">
      <c r="A5121" s="27" t="s">
        <v>327</v>
      </c>
      <c r="B5121" s="28"/>
      <c r="C5121" s="27"/>
      <c r="D5121" s="27" t="str">
        <f>"""NAV Direct"",""CRONUS JetCorp USA"",""21"",""1"",""420074"""</f>
        <v>"NAV Direct","CRONUS JetCorp USA","21","1","420074"</v>
      </c>
      <c r="E5121" s="31" t="str">
        <f t="shared" si="1546"/>
        <v>C100140</v>
      </c>
      <c r="F5121" s="31"/>
      <c r="G5121" s="31"/>
      <c r="H5121" s="31"/>
      <c r="I5121" s="56"/>
      <c r="J5121" s="56"/>
      <c r="K5121" s="82" t="str">
        <f t="shared" si="1547"/>
        <v>Invoice</v>
      </c>
      <c r="L5121" s="83" t="str">
        <f>"SI_112669"</f>
        <v>SI_112669</v>
      </c>
      <c r="M5121" s="84">
        <v>43181</v>
      </c>
      <c r="N5121" s="85">
        <f t="shared" si="1548"/>
        <v>631</v>
      </c>
      <c r="O5121" s="86">
        <f t="shared" si="1549"/>
        <v>5319.4</v>
      </c>
      <c r="P5121" s="86">
        <f t="shared" si="1550"/>
        <v>0</v>
      </c>
      <c r="Q5121" s="86">
        <f t="shared" si="1551"/>
        <v>0</v>
      </c>
      <c r="R5121" s="86">
        <f t="shared" si="1552"/>
        <v>0</v>
      </c>
      <c r="S5121" s="86">
        <f t="shared" si="1553"/>
        <v>0</v>
      </c>
      <c r="T5121" s="86">
        <f t="shared" si="1554"/>
        <v>5319.4</v>
      </c>
      <c r="U5121" s="87">
        <v>5319.4</v>
      </c>
    </row>
    <row r="5122" spans="1:21" s="30" customFormat="1" ht="24.6" hidden="1" outlineLevel="1" x14ac:dyDescent="0.55000000000000004">
      <c r="A5122" s="27" t="s">
        <v>327</v>
      </c>
      <c r="B5122" s="28"/>
      <c r="C5122" s="27"/>
      <c r="D5122" s="27" t="str">
        <f>"""NAV Direct"",""CRONUS JetCorp USA"",""21"",""1"",""420201"""</f>
        <v>"NAV Direct","CRONUS JetCorp USA","21","1","420201"</v>
      </c>
      <c r="E5122" s="31">
        <f t="shared" si="1546"/>
        <v>0</v>
      </c>
      <c r="F5122" s="31"/>
      <c r="G5122" s="31"/>
      <c r="H5122" s="31"/>
      <c r="I5122" s="56"/>
      <c r="J5122" s="56"/>
      <c r="K5122" s="82" t="str">
        <f t="shared" si="1547"/>
        <v>Invoice</v>
      </c>
      <c r="L5122" s="83" t="str">
        <f>"SI_112672"</f>
        <v>SI_112672</v>
      </c>
      <c r="M5122" s="84">
        <v>43196</v>
      </c>
      <c r="N5122" s="85">
        <f t="shared" si="1548"/>
        <v>616</v>
      </c>
      <c r="O5122" s="86">
        <f t="shared" si="1549"/>
        <v>5319.48</v>
      </c>
      <c r="P5122" s="86">
        <f t="shared" si="1550"/>
        <v>0</v>
      </c>
      <c r="Q5122" s="86">
        <f t="shared" si="1551"/>
        <v>0</v>
      </c>
      <c r="R5122" s="86">
        <f t="shared" si="1552"/>
        <v>0</v>
      </c>
      <c r="S5122" s="86">
        <f t="shared" si="1553"/>
        <v>0</v>
      </c>
      <c r="T5122" s="86">
        <f t="shared" si="1554"/>
        <v>5319.48</v>
      </c>
      <c r="U5122" s="87">
        <v>5319.48</v>
      </c>
    </row>
    <row r="5123" spans="1:21" s="30" customFormat="1" ht="24.6" hidden="1" outlineLevel="1" x14ac:dyDescent="0.55000000000000004">
      <c r="A5123" s="27" t="s">
        <v>327</v>
      </c>
      <c r="B5123" s="28"/>
      <c r="C5123" s="27"/>
      <c r="D5123" s="27" t="str">
        <f>"""NAV Direct"",""CRONUS JetCorp USA"",""21"",""1"",""420782"""</f>
        <v>"NAV Direct","CRONUS JetCorp USA","21","1","420782"</v>
      </c>
      <c r="E5123" s="31" t="str">
        <f t="shared" si="1546"/>
        <v>C100140</v>
      </c>
      <c r="F5123" s="31"/>
      <c r="G5123" s="31"/>
      <c r="H5123" s="31"/>
      <c r="I5123" s="56"/>
      <c r="J5123" s="56"/>
      <c r="K5123" s="82" t="str">
        <f t="shared" si="1547"/>
        <v>Invoice</v>
      </c>
      <c r="L5123" s="83" t="str">
        <f>"SI_112687"</f>
        <v>SI_112687</v>
      </c>
      <c r="M5123" s="84">
        <v>43308</v>
      </c>
      <c r="N5123" s="85">
        <f t="shared" si="1548"/>
        <v>504</v>
      </c>
      <c r="O5123" s="86">
        <f t="shared" si="1549"/>
        <v>5511.17</v>
      </c>
      <c r="P5123" s="86">
        <f t="shared" si="1550"/>
        <v>0</v>
      </c>
      <c r="Q5123" s="86">
        <f t="shared" si="1551"/>
        <v>0</v>
      </c>
      <c r="R5123" s="86">
        <f t="shared" si="1552"/>
        <v>0</v>
      </c>
      <c r="S5123" s="86">
        <f t="shared" si="1553"/>
        <v>0</v>
      </c>
      <c r="T5123" s="86">
        <f t="shared" si="1554"/>
        <v>5511.17</v>
      </c>
      <c r="U5123" s="87">
        <v>5511.17</v>
      </c>
    </row>
    <row r="5124" spans="1:21" s="30" customFormat="1" ht="24.6" hidden="1" outlineLevel="1" x14ac:dyDescent="0.55000000000000004">
      <c r="A5124" s="27" t="s">
        <v>327</v>
      </c>
      <c r="B5124" s="28"/>
      <c r="C5124" s="27"/>
      <c r="D5124" s="27" t="str">
        <f>"""NAV Direct"",""CRONUS JetCorp USA"",""21"",""1"",""420821"""</f>
        <v>"NAV Direct","CRONUS JetCorp USA","21","1","420821"</v>
      </c>
      <c r="E5124" s="31">
        <f t="shared" si="1546"/>
        <v>0</v>
      </c>
      <c r="F5124" s="31"/>
      <c r="G5124" s="31"/>
      <c r="H5124" s="31"/>
      <c r="I5124" s="56"/>
      <c r="J5124" s="56"/>
      <c r="K5124" s="82" t="str">
        <f t="shared" si="1547"/>
        <v>Invoice</v>
      </c>
      <c r="L5124" s="83" t="str">
        <f>"SI_112688"</f>
        <v>SI_112688</v>
      </c>
      <c r="M5124" s="84">
        <v>43315</v>
      </c>
      <c r="N5124" s="85">
        <f t="shared" si="1548"/>
        <v>497</v>
      </c>
      <c r="O5124" s="86">
        <f t="shared" si="1549"/>
        <v>5511.3</v>
      </c>
      <c r="P5124" s="86">
        <f t="shared" si="1550"/>
        <v>0</v>
      </c>
      <c r="Q5124" s="86">
        <f t="shared" si="1551"/>
        <v>0</v>
      </c>
      <c r="R5124" s="86">
        <f t="shared" si="1552"/>
        <v>0</v>
      </c>
      <c r="S5124" s="86">
        <f t="shared" si="1553"/>
        <v>0</v>
      </c>
      <c r="T5124" s="86">
        <f t="shared" si="1554"/>
        <v>5511.3</v>
      </c>
      <c r="U5124" s="87">
        <v>5511.3</v>
      </c>
    </row>
    <row r="5125" spans="1:21" s="30" customFormat="1" ht="24.6" hidden="1" outlineLevel="1" x14ac:dyDescent="0.55000000000000004">
      <c r="A5125" s="27" t="s">
        <v>327</v>
      </c>
      <c r="B5125" s="28"/>
      <c r="C5125" s="27"/>
      <c r="D5125" s="27" t="str">
        <f>"""NAV Direct"",""CRONUS JetCorp USA"",""21"",""1"",""420981"""</f>
        <v>"NAV Direct","CRONUS JetCorp USA","21","1","420981"</v>
      </c>
      <c r="E5125" s="31" t="str">
        <f t="shared" si="1546"/>
        <v>C100140</v>
      </c>
      <c r="F5125" s="31"/>
      <c r="G5125" s="31"/>
      <c r="H5125" s="31"/>
      <c r="I5125" s="56"/>
      <c r="J5125" s="56"/>
      <c r="K5125" s="82" t="str">
        <f t="shared" si="1547"/>
        <v>Invoice</v>
      </c>
      <c r="L5125" s="83" t="str">
        <f>"SI_112692"</f>
        <v>SI_112692</v>
      </c>
      <c r="M5125" s="84">
        <v>43339</v>
      </c>
      <c r="N5125" s="85">
        <f t="shared" si="1548"/>
        <v>473</v>
      </c>
      <c r="O5125" s="86">
        <f t="shared" si="1549"/>
        <v>6337.81</v>
      </c>
      <c r="P5125" s="86">
        <f t="shared" si="1550"/>
        <v>0</v>
      </c>
      <c r="Q5125" s="86">
        <f t="shared" si="1551"/>
        <v>0</v>
      </c>
      <c r="R5125" s="86">
        <f t="shared" si="1552"/>
        <v>0</v>
      </c>
      <c r="S5125" s="86">
        <f t="shared" si="1553"/>
        <v>0</v>
      </c>
      <c r="T5125" s="86">
        <f t="shared" si="1554"/>
        <v>6337.81</v>
      </c>
      <c r="U5125" s="87">
        <v>6337.81</v>
      </c>
    </row>
    <row r="5126" spans="1:21" s="30" customFormat="1" ht="24.6" hidden="1" outlineLevel="1" x14ac:dyDescent="0.55000000000000004">
      <c r="A5126" s="27" t="s">
        <v>327</v>
      </c>
      <c r="B5126" s="28"/>
      <c r="C5126" s="27"/>
      <c r="D5126" s="27" t="str">
        <f>"""NAV Direct"",""CRONUS JetCorp USA"",""21"",""1"",""421014"""</f>
        <v>"NAV Direct","CRONUS JetCorp USA","21","1","421014"</v>
      </c>
      <c r="E5126" s="31">
        <f t="shared" si="1546"/>
        <v>0</v>
      </c>
      <c r="F5126" s="31"/>
      <c r="G5126" s="31"/>
      <c r="H5126" s="31"/>
      <c r="I5126" s="56"/>
      <c r="J5126" s="56"/>
      <c r="K5126" s="82" t="str">
        <f t="shared" si="1547"/>
        <v>Invoice</v>
      </c>
      <c r="L5126" s="83" t="str">
        <f>"SI_112693"</f>
        <v>SI_112693</v>
      </c>
      <c r="M5126" s="84">
        <v>43343</v>
      </c>
      <c r="N5126" s="85">
        <f t="shared" si="1548"/>
        <v>469</v>
      </c>
      <c r="O5126" s="86">
        <f t="shared" si="1549"/>
        <v>6337.9</v>
      </c>
      <c r="P5126" s="86">
        <f t="shared" si="1550"/>
        <v>0</v>
      </c>
      <c r="Q5126" s="86">
        <f t="shared" si="1551"/>
        <v>0</v>
      </c>
      <c r="R5126" s="86">
        <f t="shared" si="1552"/>
        <v>0</v>
      </c>
      <c r="S5126" s="86">
        <f t="shared" si="1553"/>
        <v>0</v>
      </c>
      <c r="T5126" s="86">
        <f t="shared" si="1554"/>
        <v>6337.9</v>
      </c>
      <c r="U5126" s="87">
        <v>6337.9</v>
      </c>
    </row>
    <row r="5127" spans="1:21" s="30" customFormat="1" ht="24.6" hidden="1" outlineLevel="1" x14ac:dyDescent="0.55000000000000004">
      <c r="A5127" s="27" t="s">
        <v>327</v>
      </c>
      <c r="B5127" s="28"/>
      <c r="C5127" s="27"/>
      <c r="D5127" s="27" t="str">
        <f>"""NAV Direct"",""CRONUS JetCorp USA"",""21"",""1"",""421120"""</f>
        <v>"NAV Direct","CRONUS JetCorp USA","21","1","421120"</v>
      </c>
      <c r="E5127" s="31" t="str">
        <f t="shared" si="1546"/>
        <v>C100140</v>
      </c>
      <c r="F5127" s="31"/>
      <c r="G5127" s="31"/>
      <c r="H5127" s="31"/>
      <c r="I5127" s="56"/>
      <c r="J5127" s="56"/>
      <c r="K5127" s="82" t="str">
        <f t="shared" si="1547"/>
        <v>Invoice</v>
      </c>
      <c r="L5127" s="83" t="str">
        <f>"SI_112695"</f>
        <v>SI_112695</v>
      </c>
      <c r="M5127" s="84">
        <v>43338</v>
      </c>
      <c r="N5127" s="85">
        <f t="shared" si="1548"/>
        <v>474</v>
      </c>
      <c r="O5127" s="86">
        <f t="shared" si="1549"/>
        <v>6337.98</v>
      </c>
      <c r="P5127" s="86">
        <f t="shared" si="1550"/>
        <v>0</v>
      </c>
      <c r="Q5127" s="86">
        <f t="shared" si="1551"/>
        <v>0</v>
      </c>
      <c r="R5127" s="86">
        <f t="shared" si="1552"/>
        <v>0</v>
      </c>
      <c r="S5127" s="86">
        <f t="shared" si="1553"/>
        <v>0</v>
      </c>
      <c r="T5127" s="86">
        <f t="shared" si="1554"/>
        <v>6337.98</v>
      </c>
      <c r="U5127" s="87">
        <v>6337.98</v>
      </c>
    </row>
    <row r="5128" spans="1:21" s="30" customFormat="1" ht="24.6" hidden="1" outlineLevel="1" x14ac:dyDescent="0.55000000000000004">
      <c r="A5128" s="27" t="s">
        <v>327</v>
      </c>
      <c r="B5128" s="28"/>
      <c r="C5128" s="27"/>
      <c r="D5128" s="27" t="str">
        <f>"""NAV Direct"",""CRONUS JetCorp USA"",""21"",""1"",""421257"""</f>
        <v>"NAV Direct","CRONUS JetCorp USA","21","1","421257"</v>
      </c>
      <c r="E5128" s="31">
        <f t="shared" si="1546"/>
        <v>0</v>
      </c>
      <c r="F5128" s="31"/>
      <c r="G5128" s="31"/>
      <c r="H5128" s="31"/>
      <c r="I5128" s="56"/>
      <c r="J5128" s="56"/>
      <c r="K5128" s="82" t="str">
        <f t="shared" si="1547"/>
        <v>Invoice</v>
      </c>
      <c r="L5128" s="83" t="str">
        <f>"SI_112698"</f>
        <v>SI_112698</v>
      </c>
      <c r="M5128" s="84">
        <v>43370</v>
      </c>
      <c r="N5128" s="85">
        <f t="shared" si="1548"/>
        <v>442</v>
      </c>
      <c r="O5128" s="86">
        <f t="shared" si="1549"/>
        <v>6971.82</v>
      </c>
      <c r="P5128" s="86">
        <f t="shared" si="1550"/>
        <v>0</v>
      </c>
      <c r="Q5128" s="86">
        <f t="shared" si="1551"/>
        <v>0</v>
      </c>
      <c r="R5128" s="86">
        <f t="shared" si="1552"/>
        <v>0</v>
      </c>
      <c r="S5128" s="86">
        <f t="shared" si="1553"/>
        <v>0</v>
      </c>
      <c r="T5128" s="86">
        <f t="shared" si="1554"/>
        <v>6971.82</v>
      </c>
      <c r="U5128" s="87">
        <v>6971.82</v>
      </c>
    </row>
    <row r="5129" spans="1:21" s="30" customFormat="1" ht="24.6" hidden="1" outlineLevel="1" x14ac:dyDescent="0.55000000000000004">
      <c r="A5129" s="27" t="s">
        <v>327</v>
      </c>
      <c r="B5129" s="28"/>
      <c r="C5129" s="27"/>
      <c r="D5129" s="27" t="str">
        <f>"""NAV Direct"",""CRONUS JetCorp USA"",""21"",""1"",""421869"""</f>
        <v>"NAV Direct","CRONUS JetCorp USA","21","1","421869"</v>
      </c>
      <c r="E5129" s="31" t="str">
        <f t="shared" si="1546"/>
        <v>C100140</v>
      </c>
      <c r="F5129" s="31"/>
      <c r="G5129" s="31"/>
      <c r="H5129" s="31"/>
      <c r="I5129" s="56"/>
      <c r="J5129" s="56"/>
      <c r="K5129" s="82" t="str">
        <f t="shared" si="1547"/>
        <v>Invoice</v>
      </c>
      <c r="L5129" s="83" t="str">
        <f>"SI_112712"</f>
        <v>SI_112712</v>
      </c>
      <c r="M5129" s="84">
        <v>43435</v>
      </c>
      <c r="N5129" s="85">
        <f t="shared" si="1548"/>
        <v>377</v>
      </c>
      <c r="O5129" s="86">
        <f t="shared" si="1549"/>
        <v>7730.25</v>
      </c>
      <c r="P5129" s="86">
        <f t="shared" si="1550"/>
        <v>0</v>
      </c>
      <c r="Q5129" s="86">
        <f t="shared" si="1551"/>
        <v>0</v>
      </c>
      <c r="R5129" s="86">
        <f t="shared" si="1552"/>
        <v>0</v>
      </c>
      <c r="S5129" s="86">
        <f t="shared" si="1553"/>
        <v>0</v>
      </c>
      <c r="T5129" s="86">
        <f t="shared" si="1554"/>
        <v>7730.25</v>
      </c>
      <c r="U5129" s="87">
        <v>7730.25</v>
      </c>
    </row>
    <row r="5130" spans="1:21" s="30" customFormat="1" ht="24.6" hidden="1" outlineLevel="1" x14ac:dyDescent="0.55000000000000004">
      <c r="A5130" s="27" t="s">
        <v>327</v>
      </c>
      <c r="B5130" s="28"/>
      <c r="C5130" s="27"/>
      <c r="D5130" s="27" t="str">
        <f>"""NAV Direct"",""CRONUS JetCorp USA"",""21"",""1"",""422243"""</f>
        <v>"NAV Direct","CRONUS JetCorp USA","21","1","422243"</v>
      </c>
      <c r="E5130" s="31">
        <f t="shared" si="1546"/>
        <v>0</v>
      </c>
      <c r="F5130" s="31"/>
      <c r="G5130" s="31"/>
      <c r="H5130" s="31"/>
      <c r="I5130" s="56"/>
      <c r="J5130" s="56"/>
      <c r="K5130" s="82" t="str">
        <f t="shared" si="1547"/>
        <v>Invoice</v>
      </c>
      <c r="L5130" s="83" t="str">
        <f>"SI_112721"</f>
        <v>SI_112721</v>
      </c>
      <c r="M5130" s="84">
        <v>43494</v>
      </c>
      <c r="N5130" s="85">
        <f t="shared" si="1548"/>
        <v>318</v>
      </c>
      <c r="O5130" s="86">
        <f t="shared" si="1549"/>
        <v>6307.8099999999995</v>
      </c>
      <c r="P5130" s="86">
        <f t="shared" si="1550"/>
        <v>0</v>
      </c>
      <c r="Q5130" s="86">
        <f t="shared" si="1551"/>
        <v>0</v>
      </c>
      <c r="R5130" s="86">
        <f t="shared" si="1552"/>
        <v>0</v>
      </c>
      <c r="S5130" s="86">
        <f t="shared" si="1553"/>
        <v>0</v>
      </c>
      <c r="T5130" s="86">
        <f t="shared" si="1554"/>
        <v>6307.8099999999995</v>
      </c>
      <c r="U5130" s="87">
        <v>6307.8099999999995</v>
      </c>
    </row>
    <row r="5131" spans="1:21" s="30" customFormat="1" ht="24.6" hidden="1" outlineLevel="1" x14ac:dyDescent="0.55000000000000004">
      <c r="A5131" s="27" t="s">
        <v>327</v>
      </c>
      <c r="B5131" s="28"/>
      <c r="C5131" s="27"/>
      <c r="D5131" s="27" t="str">
        <f>"""NAV Direct"",""CRONUS JetCorp USA"",""21"",""1"",""422286"""</f>
        <v>"NAV Direct","CRONUS JetCorp USA","21","1","422286"</v>
      </c>
      <c r="E5131" s="31" t="str">
        <f t="shared" si="1546"/>
        <v>C100140</v>
      </c>
      <c r="F5131" s="31"/>
      <c r="G5131" s="31"/>
      <c r="H5131" s="31"/>
      <c r="I5131" s="56"/>
      <c r="J5131" s="56"/>
      <c r="K5131" s="82" t="str">
        <f t="shared" si="1547"/>
        <v>Invoice</v>
      </c>
      <c r="L5131" s="83" t="str">
        <f>"SI_112722"</f>
        <v>SI_112722</v>
      </c>
      <c r="M5131" s="84">
        <v>43496</v>
      </c>
      <c r="N5131" s="85">
        <f t="shared" si="1548"/>
        <v>316</v>
      </c>
      <c r="O5131" s="86">
        <f t="shared" si="1549"/>
        <v>6307.9199999999992</v>
      </c>
      <c r="P5131" s="86">
        <f t="shared" si="1550"/>
        <v>0</v>
      </c>
      <c r="Q5131" s="86">
        <f t="shared" si="1551"/>
        <v>0</v>
      </c>
      <c r="R5131" s="86">
        <f t="shared" si="1552"/>
        <v>0</v>
      </c>
      <c r="S5131" s="86">
        <f t="shared" si="1553"/>
        <v>0</v>
      </c>
      <c r="T5131" s="86">
        <f t="shared" si="1554"/>
        <v>6307.9199999999992</v>
      </c>
      <c r="U5131" s="87">
        <v>6307.9199999999992</v>
      </c>
    </row>
    <row r="5132" spans="1:21" s="30" customFormat="1" ht="24.6" hidden="1" outlineLevel="1" x14ac:dyDescent="0.55000000000000004">
      <c r="A5132" s="27" t="s">
        <v>327</v>
      </c>
      <c r="B5132" s="28"/>
      <c r="C5132" s="27"/>
      <c r="D5132" s="27" t="str">
        <f>"""NAV Direct"",""CRONUS JetCorp USA"",""21"",""1"",""422327"""</f>
        <v>"NAV Direct","CRONUS JetCorp USA","21","1","422327"</v>
      </c>
      <c r="E5132" s="31">
        <f t="shared" si="1546"/>
        <v>0</v>
      </c>
      <c r="F5132" s="31"/>
      <c r="G5132" s="31"/>
      <c r="H5132" s="31"/>
      <c r="I5132" s="56"/>
      <c r="J5132" s="56"/>
      <c r="K5132" s="82" t="str">
        <f t="shared" si="1547"/>
        <v>Invoice</v>
      </c>
      <c r="L5132" s="83" t="str">
        <f>"SI_112723"</f>
        <v>SI_112723</v>
      </c>
      <c r="M5132" s="84">
        <v>43499</v>
      </c>
      <c r="N5132" s="85">
        <f t="shared" si="1548"/>
        <v>313</v>
      </c>
      <c r="O5132" s="86">
        <f t="shared" si="1549"/>
        <v>6307.9099999999989</v>
      </c>
      <c r="P5132" s="86">
        <f t="shared" si="1550"/>
        <v>0</v>
      </c>
      <c r="Q5132" s="86">
        <f t="shared" si="1551"/>
        <v>0</v>
      </c>
      <c r="R5132" s="86">
        <f t="shared" si="1552"/>
        <v>0</v>
      </c>
      <c r="S5132" s="86">
        <f t="shared" si="1553"/>
        <v>0</v>
      </c>
      <c r="T5132" s="86">
        <f t="shared" si="1554"/>
        <v>6307.9099999999989</v>
      </c>
      <c r="U5132" s="87">
        <v>6307.9099999999989</v>
      </c>
    </row>
    <row r="5133" spans="1:21" s="30" customFormat="1" ht="24.6" hidden="1" outlineLevel="1" x14ac:dyDescent="0.55000000000000004">
      <c r="A5133" s="27" t="s">
        <v>327</v>
      </c>
      <c r="B5133" s="28"/>
      <c r="C5133" s="27"/>
      <c r="D5133" s="27" t="str">
        <f>"""NAV Direct"",""CRONUS JetCorp USA"",""21"",""1"",""422548"""</f>
        <v>"NAV Direct","CRONUS JetCorp USA","21","1","422548"</v>
      </c>
      <c r="E5133" s="31" t="str">
        <f t="shared" si="1546"/>
        <v>C100140</v>
      </c>
      <c r="F5133" s="31"/>
      <c r="G5133" s="31"/>
      <c r="H5133" s="31"/>
      <c r="I5133" s="56"/>
      <c r="J5133" s="56"/>
      <c r="K5133" s="82" t="str">
        <f t="shared" si="1547"/>
        <v>Invoice</v>
      </c>
      <c r="L5133" s="83" t="str">
        <f>"SI_112728"</f>
        <v>SI_112728</v>
      </c>
      <c r="M5133" s="84">
        <v>43520</v>
      </c>
      <c r="N5133" s="85">
        <f t="shared" si="1548"/>
        <v>292</v>
      </c>
      <c r="O5133" s="86">
        <f t="shared" si="1549"/>
        <v>6938.5</v>
      </c>
      <c r="P5133" s="86">
        <f t="shared" si="1550"/>
        <v>0</v>
      </c>
      <c r="Q5133" s="86">
        <f t="shared" si="1551"/>
        <v>0</v>
      </c>
      <c r="R5133" s="86">
        <f t="shared" si="1552"/>
        <v>0</v>
      </c>
      <c r="S5133" s="86">
        <f t="shared" si="1553"/>
        <v>0</v>
      </c>
      <c r="T5133" s="86">
        <f t="shared" si="1554"/>
        <v>6938.5</v>
      </c>
      <c r="U5133" s="87">
        <v>6938.5</v>
      </c>
    </row>
    <row r="5134" spans="1:21" s="30" customFormat="1" ht="24.6" hidden="1" outlineLevel="1" x14ac:dyDescent="0.55000000000000004">
      <c r="A5134" s="27" t="s">
        <v>327</v>
      </c>
      <c r="B5134" s="28"/>
      <c r="C5134" s="27"/>
      <c r="D5134" s="27" t="str">
        <f>"""NAV Direct"",""CRONUS JetCorp USA"",""21"",""1"",""422646"""</f>
        <v>"NAV Direct","CRONUS JetCorp USA","21","1","422646"</v>
      </c>
      <c r="E5134" s="31">
        <f t="shared" si="1546"/>
        <v>0</v>
      </c>
      <c r="F5134" s="31"/>
      <c r="G5134" s="31"/>
      <c r="H5134" s="31"/>
      <c r="I5134" s="56"/>
      <c r="J5134" s="56"/>
      <c r="K5134" s="82" t="str">
        <f t="shared" si="1547"/>
        <v>Invoice</v>
      </c>
      <c r="L5134" s="83" t="str">
        <f>"SI_112730"</f>
        <v>SI_112730</v>
      </c>
      <c r="M5134" s="84">
        <v>43530</v>
      </c>
      <c r="N5134" s="85">
        <f t="shared" si="1548"/>
        <v>282</v>
      </c>
      <c r="O5134" s="86">
        <f t="shared" si="1549"/>
        <v>6937.99</v>
      </c>
      <c r="P5134" s="86">
        <f t="shared" si="1550"/>
        <v>0</v>
      </c>
      <c r="Q5134" s="86">
        <f t="shared" si="1551"/>
        <v>0</v>
      </c>
      <c r="R5134" s="86">
        <f t="shared" si="1552"/>
        <v>0</v>
      </c>
      <c r="S5134" s="86">
        <f t="shared" si="1553"/>
        <v>0</v>
      </c>
      <c r="T5134" s="86">
        <f t="shared" si="1554"/>
        <v>6937.99</v>
      </c>
      <c r="U5134" s="87">
        <v>6937.99</v>
      </c>
    </row>
    <row r="5135" spans="1:21" s="30" customFormat="1" ht="24.6" hidden="1" outlineLevel="1" x14ac:dyDescent="0.55000000000000004">
      <c r="A5135" s="27" t="s">
        <v>327</v>
      </c>
      <c r="B5135" s="28"/>
      <c r="C5135" s="27"/>
      <c r="D5135" s="27" t="str">
        <f>"""NAV Direct"",""CRONUS JetCorp USA"",""21"",""1"",""422687"""</f>
        <v>"NAV Direct","CRONUS JetCorp USA","21","1","422687"</v>
      </c>
      <c r="E5135" s="31" t="str">
        <f t="shared" si="1546"/>
        <v>C100140</v>
      </c>
      <c r="F5135" s="31"/>
      <c r="G5135" s="31"/>
      <c r="H5135" s="31"/>
      <c r="I5135" s="56"/>
      <c r="J5135" s="56"/>
      <c r="K5135" s="82" t="str">
        <f t="shared" si="1547"/>
        <v>Invoice</v>
      </c>
      <c r="L5135" s="83" t="str">
        <f>"SI_112731"</f>
        <v>SI_112731</v>
      </c>
      <c r="M5135" s="84">
        <v>43542</v>
      </c>
      <c r="N5135" s="85">
        <f t="shared" si="1548"/>
        <v>270</v>
      </c>
      <c r="O5135" s="86">
        <f t="shared" si="1549"/>
        <v>7979.58</v>
      </c>
      <c r="P5135" s="86">
        <f t="shared" si="1550"/>
        <v>0</v>
      </c>
      <c r="Q5135" s="86">
        <f t="shared" si="1551"/>
        <v>0</v>
      </c>
      <c r="R5135" s="86">
        <f t="shared" si="1552"/>
        <v>0</v>
      </c>
      <c r="S5135" s="86">
        <f t="shared" si="1553"/>
        <v>0</v>
      </c>
      <c r="T5135" s="86">
        <f t="shared" si="1554"/>
        <v>7979.58</v>
      </c>
      <c r="U5135" s="87">
        <v>7979.58</v>
      </c>
    </row>
    <row r="5136" spans="1:21" s="30" customFormat="1" ht="24.6" hidden="1" outlineLevel="1" x14ac:dyDescent="0.55000000000000004">
      <c r="A5136" s="27" t="s">
        <v>327</v>
      </c>
      <c r="B5136" s="28"/>
      <c r="C5136" s="27"/>
      <c r="D5136" s="27" t="str">
        <f>"""NAV Direct"",""CRONUS JetCorp USA"",""21"",""1"",""422736"""</f>
        <v>"NAV Direct","CRONUS JetCorp USA","21","1","422736"</v>
      </c>
      <c r="E5136" s="31">
        <f t="shared" si="1546"/>
        <v>0</v>
      </c>
      <c r="F5136" s="31"/>
      <c r="G5136" s="31"/>
      <c r="H5136" s="31"/>
      <c r="I5136" s="56"/>
      <c r="J5136" s="56"/>
      <c r="K5136" s="82" t="str">
        <f t="shared" si="1547"/>
        <v>Invoice</v>
      </c>
      <c r="L5136" s="83" t="str">
        <f>"SI_112732"</f>
        <v>SI_112732</v>
      </c>
      <c r="M5136" s="84">
        <v>43547</v>
      </c>
      <c r="N5136" s="85">
        <f t="shared" si="1548"/>
        <v>265</v>
      </c>
      <c r="O5136" s="86">
        <f t="shared" si="1549"/>
        <v>7979.59</v>
      </c>
      <c r="P5136" s="86">
        <f t="shared" si="1550"/>
        <v>0</v>
      </c>
      <c r="Q5136" s="86">
        <f t="shared" si="1551"/>
        <v>0</v>
      </c>
      <c r="R5136" s="86">
        <f t="shared" si="1552"/>
        <v>0</v>
      </c>
      <c r="S5136" s="86">
        <f t="shared" si="1553"/>
        <v>0</v>
      </c>
      <c r="T5136" s="86">
        <f t="shared" si="1554"/>
        <v>7979.59</v>
      </c>
      <c r="U5136" s="87">
        <v>7979.59</v>
      </c>
    </row>
    <row r="5137" spans="1:21" s="30" customFormat="1" ht="24.6" hidden="1" outlineLevel="1" x14ac:dyDescent="0.55000000000000004">
      <c r="A5137" s="27" t="s">
        <v>327</v>
      </c>
      <c r="B5137" s="28"/>
      <c r="C5137" s="27"/>
      <c r="D5137" s="27" t="str">
        <f>"""NAV Direct"",""CRONUS JetCorp USA"",""21"",""1"",""423045"""</f>
        <v>"NAV Direct","CRONUS JetCorp USA","21","1","423045"</v>
      </c>
      <c r="E5137" s="31" t="str">
        <f t="shared" si="1546"/>
        <v>C100140</v>
      </c>
      <c r="F5137" s="31"/>
      <c r="G5137" s="31"/>
      <c r="H5137" s="31"/>
      <c r="I5137" s="56"/>
      <c r="J5137" s="56"/>
      <c r="K5137" s="82" t="str">
        <f t="shared" si="1547"/>
        <v>Invoice</v>
      </c>
      <c r="L5137" s="83" t="str">
        <f>"SI_112739"</f>
        <v>SI_112739</v>
      </c>
      <c r="M5137" s="84">
        <v>43554</v>
      </c>
      <c r="N5137" s="85">
        <f t="shared" si="1548"/>
        <v>258</v>
      </c>
      <c r="O5137" s="86">
        <f t="shared" si="1549"/>
        <v>7979.3899999999994</v>
      </c>
      <c r="P5137" s="86">
        <f t="shared" si="1550"/>
        <v>0</v>
      </c>
      <c r="Q5137" s="86">
        <f t="shared" si="1551"/>
        <v>0</v>
      </c>
      <c r="R5137" s="86">
        <f t="shared" si="1552"/>
        <v>0</v>
      </c>
      <c r="S5137" s="86">
        <f t="shared" si="1553"/>
        <v>0</v>
      </c>
      <c r="T5137" s="86">
        <f t="shared" si="1554"/>
        <v>7979.3899999999994</v>
      </c>
      <c r="U5137" s="87">
        <v>7979.3899999999994</v>
      </c>
    </row>
    <row r="5138" spans="1:21" s="30" customFormat="1" ht="24.6" hidden="1" outlineLevel="1" x14ac:dyDescent="0.55000000000000004">
      <c r="A5138" s="27" t="s">
        <v>327</v>
      </c>
      <c r="B5138" s="28"/>
      <c r="C5138" s="27"/>
      <c r="D5138" s="27" t="str">
        <f>"""NAV Direct"",""CRONUS JetCorp USA"",""21"",""1"",""423188"""</f>
        <v>"NAV Direct","CRONUS JetCorp USA","21","1","423188"</v>
      </c>
      <c r="E5138" s="31">
        <f t="shared" si="1546"/>
        <v>0</v>
      </c>
      <c r="F5138" s="31"/>
      <c r="G5138" s="31"/>
      <c r="H5138" s="31"/>
      <c r="I5138" s="56"/>
      <c r="J5138" s="56"/>
      <c r="K5138" s="82" t="str">
        <f t="shared" si="1547"/>
        <v>Invoice</v>
      </c>
      <c r="L5138" s="83" t="str">
        <f>"SI_112742"</f>
        <v>SI_112742</v>
      </c>
      <c r="M5138" s="84">
        <v>43576</v>
      </c>
      <c r="N5138" s="85">
        <f t="shared" si="1548"/>
        <v>236</v>
      </c>
      <c r="O5138" s="86">
        <f t="shared" si="1549"/>
        <v>8025.06</v>
      </c>
      <c r="P5138" s="86">
        <f t="shared" si="1550"/>
        <v>0</v>
      </c>
      <c r="Q5138" s="86">
        <f t="shared" si="1551"/>
        <v>0</v>
      </c>
      <c r="R5138" s="86">
        <f t="shared" si="1552"/>
        <v>0</v>
      </c>
      <c r="S5138" s="86">
        <f t="shared" si="1553"/>
        <v>0</v>
      </c>
      <c r="T5138" s="86">
        <f t="shared" si="1554"/>
        <v>8025.06</v>
      </c>
      <c r="U5138" s="87">
        <v>8025.06</v>
      </c>
    </row>
    <row r="5139" spans="1:21" s="30" customFormat="1" ht="24.6" hidden="1" outlineLevel="1" x14ac:dyDescent="0.55000000000000004">
      <c r="A5139" s="27" t="s">
        <v>327</v>
      </c>
      <c r="B5139" s="28"/>
      <c r="C5139" s="27"/>
      <c r="D5139" s="27" t="str">
        <f>"""NAV Direct"",""CRONUS JetCorp USA"",""21"",""1"",""423435"""</f>
        <v>"NAV Direct","CRONUS JetCorp USA","21","1","423435"</v>
      </c>
      <c r="E5139" s="31" t="str">
        <f t="shared" ref="E5139:E5170" si="1555">E5137</f>
        <v>C100140</v>
      </c>
      <c r="F5139" s="31"/>
      <c r="G5139" s="31"/>
      <c r="H5139" s="31"/>
      <c r="I5139" s="56"/>
      <c r="J5139" s="56"/>
      <c r="K5139" s="82" t="str">
        <f t="shared" ref="K5139:K5170" si="1556">"Invoice"</f>
        <v>Invoice</v>
      </c>
      <c r="L5139" s="83" t="str">
        <f>"SI_112747"</f>
        <v>SI_112747</v>
      </c>
      <c r="M5139" s="84">
        <v>43585</v>
      </c>
      <c r="N5139" s="85">
        <f t="shared" ref="N5139:N5170" si="1557">StartDate-$M5139+1</f>
        <v>227</v>
      </c>
      <c r="O5139" s="86">
        <f t="shared" ref="O5139:O5170" si="1558">SUM(P5139:T5139)</f>
        <v>7933.9600000000009</v>
      </c>
      <c r="P5139" s="86">
        <f t="shared" ref="P5139:P5170" si="1559">IF($M5139&gt;=$P$18,U5139,0)</f>
        <v>0</v>
      </c>
      <c r="Q5139" s="86">
        <f t="shared" ref="Q5139:Q5170" si="1560">IF(AND($M5139&gt;=$Q$16,$M5139&lt;=$Q$18),U5139,0)</f>
        <v>0</v>
      </c>
      <c r="R5139" s="86">
        <f t="shared" ref="R5139:R5170" si="1561">IF(AND($M5139&gt;=$R$16,$M5139&lt;=$R$18),U5139,0)</f>
        <v>0</v>
      </c>
      <c r="S5139" s="86">
        <f t="shared" ref="S5139:S5170" si="1562">IF(AND($M5139&gt;=$S$16,$M5139&lt;=$S$18),U5139,0)</f>
        <v>0</v>
      </c>
      <c r="T5139" s="86">
        <f t="shared" ref="T5139:T5170" si="1563">IF($M5139&lt;=$T$18,U5139,0)</f>
        <v>7933.9600000000009</v>
      </c>
      <c r="U5139" s="87">
        <v>7933.9600000000009</v>
      </c>
    </row>
    <row r="5140" spans="1:21" s="30" customFormat="1" ht="24.6" hidden="1" outlineLevel="1" x14ac:dyDescent="0.55000000000000004">
      <c r="A5140" s="27" t="s">
        <v>327</v>
      </c>
      <c r="B5140" s="28"/>
      <c r="C5140" s="27"/>
      <c r="D5140" s="27" t="str">
        <f>"""NAV Direct"",""CRONUS JetCorp USA"",""21"",""1"",""423564"""</f>
        <v>"NAV Direct","CRONUS JetCorp USA","21","1","423564"</v>
      </c>
      <c r="E5140" s="31">
        <f t="shared" si="1555"/>
        <v>0</v>
      </c>
      <c r="F5140" s="31"/>
      <c r="G5140" s="31"/>
      <c r="H5140" s="31"/>
      <c r="I5140" s="56"/>
      <c r="J5140" s="56"/>
      <c r="K5140" s="82" t="str">
        <f t="shared" si="1556"/>
        <v>Invoice</v>
      </c>
      <c r="L5140" s="83" t="str">
        <f>"SI_112750"</f>
        <v>SI_112750</v>
      </c>
      <c r="M5140" s="84">
        <v>43605</v>
      </c>
      <c r="N5140" s="85">
        <f t="shared" si="1557"/>
        <v>207</v>
      </c>
      <c r="O5140" s="86">
        <f t="shared" si="1558"/>
        <v>5252.71</v>
      </c>
      <c r="P5140" s="86">
        <f t="shared" si="1559"/>
        <v>0</v>
      </c>
      <c r="Q5140" s="86">
        <f t="shared" si="1560"/>
        <v>0</v>
      </c>
      <c r="R5140" s="86">
        <f t="shared" si="1561"/>
        <v>0</v>
      </c>
      <c r="S5140" s="86">
        <f t="shared" si="1562"/>
        <v>0</v>
      </c>
      <c r="T5140" s="86">
        <f t="shared" si="1563"/>
        <v>5252.71</v>
      </c>
      <c r="U5140" s="87">
        <v>5252.71</v>
      </c>
    </row>
    <row r="5141" spans="1:21" s="30" customFormat="1" ht="24.6" hidden="1" outlineLevel="1" x14ac:dyDescent="0.55000000000000004">
      <c r="A5141" s="27" t="s">
        <v>327</v>
      </c>
      <c r="B5141" s="28"/>
      <c r="C5141" s="27"/>
      <c r="D5141" s="27" t="str">
        <f>"""NAV Direct"",""CRONUS JetCorp USA"",""21"",""1"",""423609"""</f>
        <v>"NAV Direct","CRONUS JetCorp USA","21","1","423609"</v>
      </c>
      <c r="E5141" s="31" t="str">
        <f t="shared" si="1555"/>
        <v>C100140</v>
      </c>
      <c r="F5141" s="31"/>
      <c r="G5141" s="31"/>
      <c r="H5141" s="31"/>
      <c r="I5141" s="56"/>
      <c r="J5141" s="56"/>
      <c r="K5141" s="82" t="str">
        <f t="shared" si="1556"/>
        <v>Invoice</v>
      </c>
      <c r="L5141" s="83" t="str">
        <f>"SI_112751"</f>
        <v>SI_112751</v>
      </c>
      <c r="M5141" s="84">
        <v>43609</v>
      </c>
      <c r="N5141" s="85">
        <f t="shared" si="1557"/>
        <v>203</v>
      </c>
      <c r="O5141" s="86">
        <f t="shared" si="1558"/>
        <v>4760.34</v>
      </c>
      <c r="P5141" s="86">
        <f t="shared" si="1559"/>
        <v>0</v>
      </c>
      <c r="Q5141" s="86">
        <f t="shared" si="1560"/>
        <v>0</v>
      </c>
      <c r="R5141" s="86">
        <f t="shared" si="1561"/>
        <v>0</v>
      </c>
      <c r="S5141" s="86">
        <f t="shared" si="1562"/>
        <v>0</v>
      </c>
      <c r="T5141" s="86">
        <f t="shared" si="1563"/>
        <v>4760.34</v>
      </c>
      <c r="U5141" s="87">
        <v>4760.34</v>
      </c>
    </row>
    <row r="5142" spans="1:21" s="30" customFormat="1" ht="24.6" hidden="1" outlineLevel="1" x14ac:dyDescent="0.55000000000000004">
      <c r="A5142" s="27" t="s">
        <v>327</v>
      </c>
      <c r="B5142" s="28"/>
      <c r="C5142" s="27"/>
      <c r="D5142" s="27" t="str">
        <f>"""NAV Direct"",""CRONUS JetCorp USA"",""21"",""1"",""423681"""</f>
        <v>"NAV Direct","CRONUS JetCorp USA","21","1","423681"</v>
      </c>
      <c r="E5142" s="31">
        <f t="shared" si="1555"/>
        <v>0</v>
      </c>
      <c r="F5142" s="31"/>
      <c r="G5142" s="31"/>
      <c r="H5142" s="31"/>
      <c r="I5142" s="56"/>
      <c r="J5142" s="56"/>
      <c r="K5142" s="82" t="str">
        <f t="shared" si="1556"/>
        <v>Invoice</v>
      </c>
      <c r="L5142" s="83" t="str">
        <f>"SI_112753"</f>
        <v>SI_112753</v>
      </c>
      <c r="M5142" s="84">
        <v>43617</v>
      </c>
      <c r="N5142" s="85">
        <f t="shared" si="1557"/>
        <v>195</v>
      </c>
      <c r="O5142" s="86">
        <f t="shared" si="1558"/>
        <v>4979.25</v>
      </c>
      <c r="P5142" s="86">
        <f t="shared" si="1559"/>
        <v>0</v>
      </c>
      <c r="Q5142" s="86">
        <f t="shared" si="1560"/>
        <v>0</v>
      </c>
      <c r="R5142" s="86">
        <f t="shared" si="1561"/>
        <v>0</v>
      </c>
      <c r="S5142" s="86">
        <f t="shared" si="1562"/>
        <v>0</v>
      </c>
      <c r="T5142" s="86">
        <f t="shared" si="1563"/>
        <v>4979.25</v>
      </c>
      <c r="U5142" s="87">
        <v>4979.25</v>
      </c>
    </row>
    <row r="5143" spans="1:21" s="30" customFormat="1" ht="24.6" hidden="1" outlineLevel="1" x14ac:dyDescent="0.55000000000000004">
      <c r="A5143" s="27" t="s">
        <v>327</v>
      </c>
      <c r="B5143" s="28"/>
      <c r="C5143" s="27"/>
      <c r="D5143" s="27" t="str">
        <f>"""NAV Direct"",""CRONUS JetCorp USA"",""21"",""1"",""423757"""</f>
        <v>"NAV Direct","CRONUS JetCorp USA","21","1","423757"</v>
      </c>
      <c r="E5143" s="31" t="str">
        <f t="shared" si="1555"/>
        <v>C100140</v>
      </c>
      <c r="F5143" s="31"/>
      <c r="G5143" s="31"/>
      <c r="H5143" s="31"/>
      <c r="I5143" s="56"/>
      <c r="J5143" s="56"/>
      <c r="K5143" s="82" t="str">
        <f t="shared" si="1556"/>
        <v>Invoice</v>
      </c>
      <c r="L5143" s="83" t="str">
        <f>"SI_112755"</f>
        <v>SI_112755</v>
      </c>
      <c r="M5143" s="84">
        <v>43620</v>
      </c>
      <c r="N5143" s="85">
        <f t="shared" si="1557"/>
        <v>192</v>
      </c>
      <c r="O5143" s="86">
        <f t="shared" si="1558"/>
        <v>4978.95</v>
      </c>
      <c r="P5143" s="86">
        <f t="shared" si="1559"/>
        <v>0</v>
      </c>
      <c r="Q5143" s="86">
        <f t="shared" si="1560"/>
        <v>0</v>
      </c>
      <c r="R5143" s="86">
        <f t="shared" si="1561"/>
        <v>0</v>
      </c>
      <c r="S5143" s="86">
        <f t="shared" si="1562"/>
        <v>0</v>
      </c>
      <c r="T5143" s="86">
        <f t="shared" si="1563"/>
        <v>4978.95</v>
      </c>
      <c r="U5143" s="87">
        <v>4978.95</v>
      </c>
    </row>
    <row r="5144" spans="1:21" s="30" customFormat="1" ht="24.6" hidden="1" outlineLevel="1" x14ac:dyDescent="0.55000000000000004">
      <c r="A5144" s="27" t="s">
        <v>327</v>
      </c>
      <c r="B5144" s="28"/>
      <c r="C5144" s="27"/>
      <c r="D5144" s="27" t="str">
        <f>"""NAV Direct"",""CRONUS JetCorp USA"",""21"",""1"",""423882"""</f>
        <v>"NAV Direct","CRONUS JetCorp USA","21","1","423882"</v>
      </c>
      <c r="E5144" s="31">
        <f t="shared" si="1555"/>
        <v>0</v>
      </c>
      <c r="F5144" s="31"/>
      <c r="G5144" s="31"/>
      <c r="H5144" s="31"/>
      <c r="I5144" s="56"/>
      <c r="J5144" s="56"/>
      <c r="K5144" s="82" t="str">
        <f t="shared" si="1556"/>
        <v>Invoice</v>
      </c>
      <c r="L5144" s="83" t="str">
        <f>"SI_112758"</f>
        <v>SI_112758</v>
      </c>
      <c r="M5144" s="84">
        <v>43633</v>
      </c>
      <c r="N5144" s="85">
        <f t="shared" si="1557"/>
        <v>179</v>
      </c>
      <c r="O5144" s="86">
        <f t="shared" si="1558"/>
        <v>5048.92</v>
      </c>
      <c r="P5144" s="86">
        <f t="shared" si="1559"/>
        <v>0</v>
      </c>
      <c r="Q5144" s="86">
        <f t="shared" si="1560"/>
        <v>0</v>
      </c>
      <c r="R5144" s="86">
        <f t="shared" si="1561"/>
        <v>0</v>
      </c>
      <c r="S5144" s="86">
        <f t="shared" si="1562"/>
        <v>0</v>
      </c>
      <c r="T5144" s="86">
        <f t="shared" si="1563"/>
        <v>5048.92</v>
      </c>
      <c r="U5144" s="87">
        <v>5048.92</v>
      </c>
    </row>
    <row r="5145" spans="1:21" s="30" customFormat="1" ht="24.6" hidden="1" outlineLevel="1" x14ac:dyDescent="0.55000000000000004">
      <c r="A5145" s="27" t="s">
        <v>327</v>
      </c>
      <c r="B5145" s="28"/>
      <c r="C5145" s="27"/>
      <c r="D5145" s="27" t="str">
        <f>"""NAV Direct"",""CRONUS JetCorp USA"",""21"",""1"",""423984"""</f>
        <v>"NAV Direct","CRONUS JetCorp USA","21","1","423984"</v>
      </c>
      <c r="E5145" s="31" t="str">
        <f t="shared" si="1555"/>
        <v>C100140</v>
      </c>
      <c r="F5145" s="31"/>
      <c r="G5145" s="31"/>
      <c r="H5145" s="31"/>
      <c r="I5145" s="56"/>
      <c r="J5145" s="56"/>
      <c r="K5145" s="82" t="str">
        <f t="shared" si="1556"/>
        <v>Invoice</v>
      </c>
      <c r="L5145" s="83" t="str">
        <f>"SI_112761"</f>
        <v>SI_112761</v>
      </c>
      <c r="M5145" s="84">
        <v>43643</v>
      </c>
      <c r="N5145" s="85">
        <f t="shared" si="1557"/>
        <v>169</v>
      </c>
      <c r="O5145" s="86">
        <f t="shared" si="1558"/>
        <v>4994.17</v>
      </c>
      <c r="P5145" s="86">
        <f t="shared" si="1559"/>
        <v>0</v>
      </c>
      <c r="Q5145" s="86">
        <f t="shared" si="1560"/>
        <v>0</v>
      </c>
      <c r="R5145" s="86">
        <f t="shared" si="1561"/>
        <v>0</v>
      </c>
      <c r="S5145" s="86">
        <f t="shared" si="1562"/>
        <v>0</v>
      </c>
      <c r="T5145" s="86">
        <f t="shared" si="1563"/>
        <v>4994.17</v>
      </c>
      <c r="U5145" s="87">
        <v>4994.17</v>
      </c>
    </row>
    <row r="5146" spans="1:21" s="30" customFormat="1" ht="24.6" hidden="1" outlineLevel="1" x14ac:dyDescent="0.55000000000000004">
      <c r="A5146" s="27" t="s">
        <v>327</v>
      </c>
      <c r="B5146" s="28"/>
      <c r="C5146" s="27"/>
      <c r="D5146" s="27" t="str">
        <f>"""NAV Direct"",""CRONUS JetCorp USA"",""21"",""1"",""424058"""</f>
        <v>"NAV Direct","CRONUS JetCorp USA","21","1","424058"</v>
      </c>
      <c r="E5146" s="31">
        <f t="shared" si="1555"/>
        <v>0</v>
      </c>
      <c r="F5146" s="31"/>
      <c r="G5146" s="31"/>
      <c r="H5146" s="31"/>
      <c r="I5146" s="56"/>
      <c r="J5146" s="56"/>
      <c r="K5146" s="82" t="str">
        <f t="shared" si="1556"/>
        <v>Invoice</v>
      </c>
      <c r="L5146" s="83" t="str">
        <f>"SI_112763"</f>
        <v>SI_112763</v>
      </c>
      <c r="M5146" s="84">
        <v>43641</v>
      </c>
      <c r="N5146" s="85">
        <f t="shared" si="1557"/>
        <v>171</v>
      </c>
      <c r="O5146" s="86">
        <f t="shared" si="1558"/>
        <v>5268.58</v>
      </c>
      <c r="P5146" s="86">
        <f t="shared" si="1559"/>
        <v>0</v>
      </c>
      <c r="Q5146" s="86">
        <f t="shared" si="1560"/>
        <v>0</v>
      </c>
      <c r="R5146" s="86">
        <f t="shared" si="1561"/>
        <v>0</v>
      </c>
      <c r="S5146" s="86">
        <f t="shared" si="1562"/>
        <v>0</v>
      </c>
      <c r="T5146" s="86">
        <f t="shared" si="1563"/>
        <v>5268.58</v>
      </c>
      <c r="U5146" s="87">
        <v>5268.58</v>
      </c>
    </row>
    <row r="5147" spans="1:21" s="30" customFormat="1" ht="24.6" hidden="1" outlineLevel="1" x14ac:dyDescent="0.55000000000000004">
      <c r="A5147" s="27" t="s">
        <v>327</v>
      </c>
      <c r="B5147" s="28"/>
      <c r="C5147" s="27"/>
      <c r="D5147" s="27" t="str">
        <f>"""NAV Direct"",""CRONUS JetCorp USA"",""21"",""1"",""424330"""</f>
        <v>"NAV Direct","CRONUS JetCorp USA","21","1","424330"</v>
      </c>
      <c r="E5147" s="31" t="str">
        <f t="shared" si="1555"/>
        <v>C100140</v>
      </c>
      <c r="F5147" s="31"/>
      <c r="G5147" s="31"/>
      <c r="H5147" s="31"/>
      <c r="I5147" s="56"/>
      <c r="J5147" s="56"/>
      <c r="K5147" s="82" t="str">
        <f t="shared" si="1556"/>
        <v>Invoice</v>
      </c>
      <c r="L5147" s="83" t="str">
        <f>"SI_112769"</f>
        <v>SI_112769</v>
      </c>
      <c r="M5147" s="84">
        <v>43670</v>
      </c>
      <c r="N5147" s="85">
        <f t="shared" si="1557"/>
        <v>142</v>
      </c>
      <c r="O5147" s="86">
        <f t="shared" si="1558"/>
        <v>5468.73</v>
      </c>
      <c r="P5147" s="86">
        <f t="shared" si="1559"/>
        <v>0</v>
      </c>
      <c r="Q5147" s="86">
        <f t="shared" si="1560"/>
        <v>0</v>
      </c>
      <c r="R5147" s="86">
        <f t="shared" si="1561"/>
        <v>0</v>
      </c>
      <c r="S5147" s="86">
        <f t="shared" si="1562"/>
        <v>0</v>
      </c>
      <c r="T5147" s="86">
        <f t="shared" si="1563"/>
        <v>5468.73</v>
      </c>
      <c r="U5147" s="87">
        <v>5468.73</v>
      </c>
    </row>
    <row r="5148" spans="1:21" s="30" customFormat="1" ht="24.6" hidden="1" outlineLevel="1" x14ac:dyDescent="0.55000000000000004">
      <c r="A5148" s="27" t="s">
        <v>327</v>
      </c>
      <c r="B5148" s="28"/>
      <c r="C5148" s="27"/>
      <c r="D5148" s="27" t="str">
        <f>"""NAV Direct"",""CRONUS JetCorp USA"",""21"",""1"",""424451"""</f>
        <v>"NAV Direct","CRONUS JetCorp USA","21","1","424451"</v>
      </c>
      <c r="E5148" s="31">
        <f t="shared" si="1555"/>
        <v>0</v>
      </c>
      <c r="F5148" s="31"/>
      <c r="G5148" s="31"/>
      <c r="H5148" s="31"/>
      <c r="I5148" s="56"/>
      <c r="J5148" s="56"/>
      <c r="K5148" s="82" t="str">
        <f t="shared" si="1556"/>
        <v>Invoice</v>
      </c>
      <c r="L5148" s="83" t="str">
        <f>"SI_112772"</f>
        <v>SI_112772</v>
      </c>
      <c r="M5148" s="84">
        <v>43676</v>
      </c>
      <c r="N5148" s="85">
        <f t="shared" si="1557"/>
        <v>136</v>
      </c>
      <c r="O5148" s="86">
        <f t="shared" si="1558"/>
        <v>5127.01</v>
      </c>
      <c r="P5148" s="86">
        <f t="shared" si="1559"/>
        <v>0</v>
      </c>
      <c r="Q5148" s="86">
        <f t="shared" si="1560"/>
        <v>0</v>
      </c>
      <c r="R5148" s="86">
        <f t="shared" si="1561"/>
        <v>0</v>
      </c>
      <c r="S5148" s="86">
        <f t="shared" si="1562"/>
        <v>0</v>
      </c>
      <c r="T5148" s="86">
        <f t="shared" si="1563"/>
        <v>5127.01</v>
      </c>
      <c r="U5148" s="87">
        <v>5127.01</v>
      </c>
    </row>
    <row r="5149" spans="1:21" s="30" customFormat="1" ht="24.6" hidden="1" outlineLevel="1" x14ac:dyDescent="0.55000000000000004">
      <c r="A5149" s="27" t="s">
        <v>327</v>
      </c>
      <c r="B5149" s="28"/>
      <c r="C5149" s="27"/>
      <c r="D5149" s="27" t="str">
        <f>"""NAV Direct"",""CRONUS JetCorp USA"",""21"",""1"",""424600"""</f>
        <v>"NAV Direct","CRONUS JetCorp USA","21","1","424600"</v>
      </c>
      <c r="E5149" s="31" t="str">
        <f t="shared" si="1555"/>
        <v>C100140</v>
      </c>
      <c r="F5149" s="31"/>
      <c r="G5149" s="31"/>
      <c r="H5149" s="31"/>
      <c r="I5149" s="56"/>
      <c r="J5149" s="56"/>
      <c r="K5149" s="82" t="str">
        <f t="shared" si="1556"/>
        <v>Invoice</v>
      </c>
      <c r="L5149" s="83" t="str">
        <f>"SI_112776"</f>
        <v>SI_112776</v>
      </c>
      <c r="M5149" s="84">
        <v>43693</v>
      </c>
      <c r="N5149" s="85">
        <f t="shared" si="1557"/>
        <v>119</v>
      </c>
      <c r="O5149" s="86">
        <f t="shared" si="1558"/>
        <v>5783.13</v>
      </c>
      <c r="P5149" s="86">
        <f t="shared" si="1559"/>
        <v>0</v>
      </c>
      <c r="Q5149" s="86">
        <f t="shared" si="1560"/>
        <v>0</v>
      </c>
      <c r="R5149" s="86">
        <f t="shared" si="1561"/>
        <v>0</v>
      </c>
      <c r="S5149" s="86">
        <f t="shared" si="1562"/>
        <v>0</v>
      </c>
      <c r="T5149" s="86">
        <f t="shared" si="1563"/>
        <v>5783.13</v>
      </c>
      <c r="U5149" s="87">
        <v>5783.13</v>
      </c>
    </row>
    <row r="5150" spans="1:21" s="30" customFormat="1" ht="24.6" hidden="1" outlineLevel="1" x14ac:dyDescent="0.55000000000000004">
      <c r="A5150" s="27" t="s">
        <v>327</v>
      </c>
      <c r="B5150" s="28"/>
      <c r="C5150" s="27"/>
      <c r="D5150" s="27" t="str">
        <f>"""NAV Direct"",""CRONUS JetCorp USA"",""21"",""1"",""424764"""</f>
        <v>"NAV Direct","CRONUS JetCorp USA","21","1","424764"</v>
      </c>
      <c r="E5150" s="31">
        <f t="shared" si="1555"/>
        <v>0</v>
      </c>
      <c r="F5150" s="31"/>
      <c r="G5150" s="31"/>
      <c r="H5150" s="31"/>
      <c r="I5150" s="56"/>
      <c r="J5150" s="56"/>
      <c r="K5150" s="82" t="str">
        <f t="shared" si="1556"/>
        <v>Invoice</v>
      </c>
      <c r="L5150" s="83" t="str">
        <f>"SI_112780"</f>
        <v>SI_112780</v>
      </c>
      <c r="M5150" s="84">
        <v>43703</v>
      </c>
      <c r="N5150" s="85">
        <f t="shared" si="1557"/>
        <v>109</v>
      </c>
      <c r="O5150" s="86">
        <f t="shared" si="1558"/>
        <v>6029.3</v>
      </c>
      <c r="P5150" s="86">
        <f t="shared" si="1559"/>
        <v>0</v>
      </c>
      <c r="Q5150" s="86">
        <f t="shared" si="1560"/>
        <v>0</v>
      </c>
      <c r="R5150" s="86">
        <f t="shared" si="1561"/>
        <v>0</v>
      </c>
      <c r="S5150" s="86">
        <f t="shared" si="1562"/>
        <v>0</v>
      </c>
      <c r="T5150" s="86">
        <f t="shared" si="1563"/>
        <v>6029.3</v>
      </c>
      <c r="U5150" s="87">
        <v>6029.3</v>
      </c>
    </row>
    <row r="5151" spans="1:21" s="30" customFormat="1" ht="24.6" hidden="1" outlineLevel="1" x14ac:dyDescent="0.55000000000000004">
      <c r="A5151" s="27" t="s">
        <v>327</v>
      </c>
      <c r="B5151" s="28"/>
      <c r="C5151" s="27"/>
      <c r="D5151" s="27" t="str">
        <f>"""NAV Direct"",""CRONUS JetCorp USA"",""21"",""1"",""424961"""</f>
        <v>"NAV Direct","CRONUS JetCorp USA","21","1","424961"</v>
      </c>
      <c r="E5151" s="31" t="str">
        <f t="shared" si="1555"/>
        <v>C100140</v>
      </c>
      <c r="F5151" s="31"/>
      <c r="G5151" s="31"/>
      <c r="H5151" s="31"/>
      <c r="I5151" s="56"/>
      <c r="J5151" s="56"/>
      <c r="K5151" s="82" t="str">
        <f t="shared" si="1556"/>
        <v>Invoice</v>
      </c>
      <c r="L5151" s="83" t="str">
        <f>"SI_112785"</f>
        <v>SI_112785</v>
      </c>
      <c r="M5151" s="84">
        <v>43726</v>
      </c>
      <c r="N5151" s="85">
        <f t="shared" si="1557"/>
        <v>86</v>
      </c>
      <c r="O5151" s="86">
        <f t="shared" si="1558"/>
        <v>6571.95</v>
      </c>
      <c r="P5151" s="86">
        <f t="shared" si="1559"/>
        <v>0</v>
      </c>
      <c r="Q5151" s="86">
        <f t="shared" si="1560"/>
        <v>0</v>
      </c>
      <c r="R5151" s="86">
        <f t="shared" si="1561"/>
        <v>0</v>
      </c>
      <c r="S5151" s="86">
        <f t="shared" si="1562"/>
        <v>6571.95</v>
      </c>
      <c r="T5151" s="86">
        <f t="shared" si="1563"/>
        <v>0</v>
      </c>
      <c r="U5151" s="87">
        <v>6571.95</v>
      </c>
    </row>
    <row r="5152" spans="1:21" s="30" customFormat="1" ht="24.6" hidden="1" outlineLevel="1" x14ac:dyDescent="0.55000000000000004">
      <c r="A5152" s="27" t="s">
        <v>327</v>
      </c>
      <c r="B5152" s="28"/>
      <c r="C5152" s="27"/>
      <c r="D5152" s="27" t="str">
        <f>"""NAV Direct"",""CRONUS JetCorp USA"",""21"",""1"",""425070"""</f>
        <v>"NAV Direct","CRONUS JetCorp USA","21","1","425070"</v>
      </c>
      <c r="E5152" s="31">
        <f t="shared" si="1555"/>
        <v>0</v>
      </c>
      <c r="F5152" s="31"/>
      <c r="G5152" s="31"/>
      <c r="H5152" s="31"/>
      <c r="I5152" s="56"/>
      <c r="J5152" s="56"/>
      <c r="K5152" s="82" t="str">
        <f t="shared" si="1556"/>
        <v>Invoice</v>
      </c>
      <c r="L5152" s="83" t="str">
        <f>"SI_112788"</f>
        <v>SI_112788</v>
      </c>
      <c r="M5152" s="84">
        <v>43728</v>
      </c>
      <c r="N5152" s="85">
        <f t="shared" si="1557"/>
        <v>84</v>
      </c>
      <c r="O5152" s="86">
        <f t="shared" si="1558"/>
        <v>6504.52</v>
      </c>
      <c r="P5152" s="86">
        <f t="shared" si="1559"/>
        <v>0</v>
      </c>
      <c r="Q5152" s="86">
        <f t="shared" si="1560"/>
        <v>0</v>
      </c>
      <c r="R5152" s="86">
        <f t="shared" si="1561"/>
        <v>0</v>
      </c>
      <c r="S5152" s="86">
        <f t="shared" si="1562"/>
        <v>6504.52</v>
      </c>
      <c r="T5152" s="86">
        <f t="shared" si="1563"/>
        <v>0</v>
      </c>
      <c r="U5152" s="87">
        <v>6504.52</v>
      </c>
    </row>
    <row r="5153" spans="1:21" s="30" customFormat="1" ht="24.6" hidden="1" outlineLevel="1" x14ac:dyDescent="0.55000000000000004">
      <c r="A5153" s="27" t="s">
        <v>327</v>
      </c>
      <c r="B5153" s="28"/>
      <c r="C5153" s="27"/>
      <c r="D5153" s="27" t="str">
        <f>"""NAV Direct"",""CRONUS JetCorp USA"",""21"",""1"",""425109"""</f>
        <v>"NAV Direct","CRONUS JetCorp USA","21","1","425109"</v>
      </c>
      <c r="E5153" s="31" t="str">
        <f t="shared" si="1555"/>
        <v>C100140</v>
      </c>
      <c r="F5153" s="31"/>
      <c r="G5153" s="31"/>
      <c r="H5153" s="31"/>
      <c r="I5153" s="56"/>
      <c r="J5153" s="56"/>
      <c r="K5153" s="82" t="str">
        <f t="shared" si="1556"/>
        <v>Invoice</v>
      </c>
      <c r="L5153" s="83" t="str">
        <f>"SI_112789"</f>
        <v>SI_112789</v>
      </c>
      <c r="M5153" s="84">
        <v>43733</v>
      </c>
      <c r="N5153" s="85">
        <f t="shared" si="1557"/>
        <v>79</v>
      </c>
      <c r="O5153" s="86">
        <f t="shared" si="1558"/>
        <v>6504.9</v>
      </c>
      <c r="P5153" s="86">
        <f t="shared" si="1559"/>
        <v>0</v>
      </c>
      <c r="Q5153" s="86">
        <f t="shared" si="1560"/>
        <v>0</v>
      </c>
      <c r="R5153" s="86">
        <f t="shared" si="1561"/>
        <v>0</v>
      </c>
      <c r="S5153" s="86">
        <f t="shared" si="1562"/>
        <v>6504.9</v>
      </c>
      <c r="T5153" s="86">
        <f t="shared" si="1563"/>
        <v>0</v>
      </c>
      <c r="U5153" s="87">
        <v>6504.9</v>
      </c>
    </row>
    <row r="5154" spans="1:21" s="30" customFormat="1" ht="24.6" hidden="1" outlineLevel="1" x14ac:dyDescent="0.55000000000000004">
      <c r="A5154" s="27" t="s">
        <v>327</v>
      </c>
      <c r="B5154" s="28"/>
      <c r="C5154" s="27"/>
      <c r="D5154" s="27" t="str">
        <f>"""NAV Direct"",""CRONUS JetCorp USA"",""21"",""1"",""425207"""</f>
        <v>"NAV Direct","CRONUS JetCorp USA","21","1","425207"</v>
      </c>
      <c r="E5154" s="31">
        <f t="shared" si="1555"/>
        <v>0</v>
      </c>
      <c r="F5154" s="31"/>
      <c r="G5154" s="31"/>
      <c r="H5154" s="31"/>
      <c r="I5154" s="56"/>
      <c r="J5154" s="56"/>
      <c r="K5154" s="82" t="str">
        <f t="shared" si="1556"/>
        <v>Invoice</v>
      </c>
      <c r="L5154" s="83" t="str">
        <f>"SI_112791"</f>
        <v>SI_112791</v>
      </c>
      <c r="M5154" s="84">
        <v>43734</v>
      </c>
      <c r="N5154" s="85">
        <f t="shared" si="1557"/>
        <v>78</v>
      </c>
      <c r="O5154" s="86">
        <f t="shared" si="1558"/>
        <v>6437.8600000000006</v>
      </c>
      <c r="P5154" s="86">
        <f t="shared" si="1559"/>
        <v>0</v>
      </c>
      <c r="Q5154" s="86">
        <f t="shared" si="1560"/>
        <v>0</v>
      </c>
      <c r="R5154" s="86">
        <f t="shared" si="1561"/>
        <v>0</v>
      </c>
      <c r="S5154" s="86">
        <f t="shared" si="1562"/>
        <v>6437.8600000000006</v>
      </c>
      <c r="T5154" s="86">
        <f t="shared" si="1563"/>
        <v>0</v>
      </c>
      <c r="U5154" s="87">
        <v>6437.8600000000006</v>
      </c>
    </row>
    <row r="5155" spans="1:21" s="30" customFormat="1" ht="24.6" hidden="1" outlineLevel="1" x14ac:dyDescent="0.55000000000000004">
      <c r="A5155" s="27" t="s">
        <v>327</v>
      </c>
      <c r="B5155" s="28"/>
      <c r="C5155" s="27"/>
      <c r="D5155" s="27" t="str">
        <f>"""NAV Direct"",""CRONUS JetCorp USA"",""21"",""1"",""425421"""</f>
        <v>"NAV Direct","CRONUS JetCorp USA","21","1","425421"</v>
      </c>
      <c r="E5155" s="31" t="str">
        <f t="shared" si="1555"/>
        <v>C100140</v>
      </c>
      <c r="F5155" s="31"/>
      <c r="G5155" s="31"/>
      <c r="H5155" s="31"/>
      <c r="I5155" s="56"/>
      <c r="J5155" s="56"/>
      <c r="K5155" s="82" t="str">
        <f t="shared" si="1556"/>
        <v>Invoice</v>
      </c>
      <c r="L5155" s="83" t="str">
        <f>"SI_112797"</f>
        <v>SI_112797</v>
      </c>
      <c r="M5155" s="84">
        <v>43760</v>
      </c>
      <c r="N5155" s="85">
        <f t="shared" si="1557"/>
        <v>52</v>
      </c>
      <c r="O5155" s="86">
        <f t="shared" si="1558"/>
        <v>7007.6799999999994</v>
      </c>
      <c r="P5155" s="86">
        <f t="shared" si="1559"/>
        <v>0</v>
      </c>
      <c r="Q5155" s="86">
        <f t="shared" si="1560"/>
        <v>0</v>
      </c>
      <c r="R5155" s="86">
        <f t="shared" si="1561"/>
        <v>7007.6799999999994</v>
      </c>
      <c r="S5155" s="86">
        <f t="shared" si="1562"/>
        <v>0</v>
      </c>
      <c r="T5155" s="86">
        <f t="shared" si="1563"/>
        <v>0</v>
      </c>
      <c r="U5155" s="87">
        <v>7007.6799999999994</v>
      </c>
    </row>
    <row r="5156" spans="1:21" s="30" customFormat="1" ht="24.6" hidden="1" outlineLevel="1" x14ac:dyDescent="0.55000000000000004">
      <c r="A5156" s="27" t="s">
        <v>327</v>
      </c>
      <c r="B5156" s="28"/>
      <c r="C5156" s="27"/>
      <c r="D5156" s="27" t="str">
        <f>"""NAV Direct"",""CRONUS JetCorp USA"",""21"",""1"",""425460"""</f>
        <v>"NAV Direct","CRONUS JetCorp USA","21","1","425460"</v>
      </c>
      <c r="E5156" s="31">
        <f t="shared" si="1555"/>
        <v>0</v>
      </c>
      <c r="F5156" s="31"/>
      <c r="G5156" s="31"/>
      <c r="H5156" s="31"/>
      <c r="I5156" s="56"/>
      <c r="J5156" s="56"/>
      <c r="K5156" s="82" t="str">
        <f t="shared" si="1556"/>
        <v>Invoice</v>
      </c>
      <c r="L5156" s="83" t="str">
        <f>"SI_112798"</f>
        <v>SI_112798</v>
      </c>
      <c r="M5156" s="84">
        <v>43765</v>
      </c>
      <c r="N5156" s="85">
        <f t="shared" si="1557"/>
        <v>47</v>
      </c>
      <c r="O5156" s="86">
        <f t="shared" si="1558"/>
        <v>6934.09</v>
      </c>
      <c r="P5156" s="86">
        <f t="shared" si="1559"/>
        <v>0</v>
      </c>
      <c r="Q5156" s="86">
        <f t="shared" si="1560"/>
        <v>0</v>
      </c>
      <c r="R5156" s="86">
        <f t="shared" si="1561"/>
        <v>6934.09</v>
      </c>
      <c r="S5156" s="86">
        <f t="shared" si="1562"/>
        <v>0</v>
      </c>
      <c r="T5156" s="86">
        <f t="shared" si="1563"/>
        <v>0</v>
      </c>
      <c r="U5156" s="87">
        <v>6934.09</v>
      </c>
    </row>
    <row r="5157" spans="1:21" s="30" customFormat="1" ht="24.6" hidden="1" outlineLevel="1" x14ac:dyDescent="0.55000000000000004">
      <c r="A5157" s="27" t="s">
        <v>327</v>
      </c>
      <c r="B5157" s="28"/>
      <c r="C5157" s="27"/>
      <c r="D5157" s="27" t="str">
        <f>"""NAV Direct"",""CRONUS JetCorp USA"",""21"",""1"",""425587"""</f>
        <v>"NAV Direct","CRONUS JetCorp USA","21","1","425587"</v>
      </c>
      <c r="E5157" s="31" t="str">
        <f t="shared" si="1555"/>
        <v>C100140</v>
      </c>
      <c r="F5157" s="31"/>
      <c r="G5157" s="31"/>
      <c r="H5157" s="31"/>
      <c r="I5157" s="56"/>
      <c r="J5157" s="56"/>
      <c r="K5157" s="82" t="str">
        <f t="shared" si="1556"/>
        <v>Invoice</v>
      </c>
      <c r="L5157" s="83" t="str">
        <f>"SI_112801"</f>
        <v>SI_112801</v>
      </c>
      <c r="M5157" s="84">
        <v>43771</v>
      </c>
      <c r="N5157" s="85">
        <f t="shared" si="1557"/>
        <v>41</v>
      </c>
      <c r="O5157" s="86">
        <f t="shared" si="1558"/>
        <v>7081.64</v>
      </c>
      <c r="P5157" s="86">
        <f t="shared" si="1559"/>
        <v>0</v>
      </c>
      <c r="Q5157" s="86">
        <f t="shared" si="1560"/>
        <v>0</v>
      </c>
      <c r="R5157" s="86">
        <f t="shared" si="1561"/>
        <v>7081.64</v>
      </c>
      <c r="S5157" s="86">
        <f t="shared" si="1562"/>
        <v>0</v>
      </c>
      <c r="T5157" s="86">
        <f t="shared" si="1563"/>
        <v>0</v>
      </c>
      <c r="U5157" s="87">
        <v>7081.64</v>
      </c>
    </row>
    <row r="5158" spans="1:21" s="30" customFormat="1" ht="24.6" hidden="1" outlineLevel="1" x14ac:dyDescent="0.55000000000000004">
      <c r="A5158" s="27" t="s">
        <v>327</v>
      </c>
      <c r="B5158" s="28"/>
      <c r="C5158" s="27"/>
      <c r="D5158" s="27" t="str">
        <f>"""NAV Direct"",""CRONUS JetCorp USA"",""21"",""1"",""425628"""</f>
        <v>"NAV Direct","CRONUS JetCorp USA","21","1","425628"</v>
      </c>
      <c r="E5158" s="31">
        <f t="shared" si="1555"/>
        <v>0</v>
      </c>
      <c r="F5158" s="31"/>
      <c r="G5158" s="31"/>
      <c r="H5158" s="31"/>
      <c r="I5158" s="56"/>
      <c r="J5158" s="56"/>
      <c r="K5158" s="82" t="str">
        <f t="shared" si="1556"/>
        <v>Invoice</v>
      </c>
      <c r="L5158" s="83" t="str">
        <f>"SI_112802"</f>
        <v>SI_112802</v>
      </c>
      <c r="M5158" s="84">
        <v>43772</v>
      </c>
      <c r="N5158" s="85">
        <f t="shared" si="1557"/>
        <v>40</v>
      </c>
      <c r="O5158" s="86">
        <f t="shared" si="1558"/>
        <v>6860.36</v>
      </c>
      <c r="P5158" s="86">
        <f t="shared" si="1559"/>
        <v>0</v>
      </c>
      <c r="Q5158" s="86">
        <f t="shared" si="1560"/>
        <v>0</v>
      </c>
      <c r="R5158" s="86">
        <f t="shared" si="1561"/>
        <v>6860.36</v>
      </c>
      <c r="S5158" s="86">
        <f t="shared" si="1562"/>
        <v>0</v>
      </c>
      <c r="T5158" s="86">
        <f t="shared" si="1563"/>
        <v>0</v>
      </c>
      <c r="U5158" s="87">
        <v>6860.36</v>
      </c>
    </row>
    <row r="5159" spans="1:21" s="30" customFormat="1" ht="24.6" hidden="1" outlineLevel="1" x14ac:dyDescent="0.55000000000000004">
      <c r="A5159" s="27" t="s">
        <v>327</v>
      </c>
      <c r="B5159" s="28"/>
      <c r="C5159" s="27"/>
      <c r="D5159" s="27" t="str">
        <f>"""NAV Direct"",""CRONUS JetCorp USA"",""21"",""1"",""425738"""</f>
        <v>"NAV Direct","CRONUS JetCorp USA","21","1","425738"</v>
      </c>
      <c r="E5159" s="31" t="str">
        <f t="shared" si="1555"/>
        <v>C100140</v>
      </c>
      <c r="F5159" s="31"/>
      <c r="G5159" s="31"/>
      <c r="H5159" s="31"/>
      <c r="I5159" s="56"/>
      <c r="J5159" s="56"/>
      <c r="K5159" s="82" t="str">
        <f t="shared" si="1556"/>
        <v>Invoice</v>
      </c>
      <c r="L5159" s="83" t="str">
        <f>"SI_112804"</f>
        <v>SI_112804</v>
      </c>
      <c r="M5159" s="84">
        <v>43789</v>
      </c>
      <c r="N5159" s="85">
        <f t="shared" si="1557"/>
        <v>23</v>
      </c>
      <c r="O5159" s="86">
        <f t="shared" si="1558"/>
        <v>7652.42</v>
      </c>
      <c r="P5159" s="86">
        <f t="shared" si="1559"/>
        <v>0</v>
      </c>
      <c r="Q5159" s="86">
        <f t="shared" si="1560"/>
        <v>7652.42</v>
      </c>
      <c r="R5159" s="86">
        <f t="shared" si="1561"/>
        <v>0</v>
      </c>
      <c r="S5159" s="86">
        <f t="shared" si="1562"/>
        <v>0</v>
      </c>
      <c r="T5159" s="86">
        <f t="shared" si="1563"/>
        <v>0</v>
      </c>
      <c r="U5159" s="87">
        <v>7652.42</v>
      </c>
    </row>
    <row r="5160" spans="1:21" s="30" customFormat="1" ht="24.6" hidden="1" outlineLevel="1" x14ac:dyDescent="0.55000000000000004">
      <c r="A5160" s="27" t="s">
        <v>327</v>
      </c>
      <c r="B5160" s="28"/>
      <c r="C5160" s="27"/>
      <c r="D5160" s="27" t="str">
        <f>"""NAV Direct"",""CRONUS JetCorp USA"",""21"",""1"",""425826"""</f>
        <v>"NAV Direct","CRONUS JetCorp USA","21","1","425826"</v>
      </c>
      <c r="E5160" s="31">
        <f t="shared" si="1555"/>
        <v>0</v>
      </c>
      <c r="F5160" s="31"/>
      <c r="G5160" s="31"/>
      <c r="H5160" s="31"/>
      <c r="I5160" s="56"/>
      <c r="J5160" s="56"/>
      <c r="K5160" s="82" t="str">
        <f t="shared" si="1556"/>
        <v>Invoice</v>
      </c>
      <c r="L5160" s="83" t="str">
        <f>"SI_112806"</f>
        <v>SI_112806</v>
      </c>
      <c r="M5160" s="84">
        <v>43798</v>
      </c>
      <c r="N5160" s="85">
        <f t="shared" si="1557"/>
        <v>14</v>
      </c>
      <c r="O5160" s="86">
        <f t="shared" si="1558"/>
        <v>7736.64</v>
      </c>
      <c r="P5160" s="86">
        <f t="shared" si="1559"/>
        <v>0</v>
      </c>
      <c r="Q5160" s="86">
        <f t="shared" si="1560"/>
        <v>7736.64</v>
      </c>
      <c r="R5160" s="86">
        <f t="shared" si="1561"/>
        <v>0</v>
      </c>
      <c r="S5160" s="86">
        <f t="shared" si="1562"/>
        <v>0</v>
      </c>
      <c r="T5160" s="86">
        <f t="shared" si="1563"/>
        <v>0</v>
      </c>
      <c r="U5160" s="87">
        <v>7736.64</v>
      </c>
    </row>
    <row r="5161" spans="1:21" s="30" customFormat="1" ht="24.6" hidden="1" outlineLevel="1" x14ac:dyDescent="0.55000000000000004">
      <c r="A5161" s="27" t="s">
        <v>327</v>
      </c>
      <c r="B5161" s="28"/>
      <c r="C5161" s="27"/>
      <c r="D5161" s="27" t="str">
        <f>"""NAV Direct"",""CRONUS JetCorp USA"",""21"",""1"",""425892"""</f>
        <v>"NAV Direct","CRONUS JetCorp USA","21","1","425892"</v>
      </c>
      <c r="E5161" s="31" t="str">
        <f t="shared" si="1555"/>
        <v>C100140</v>
      </c>
      <c r="F5161" s="31"/>
      <c r="G5161" s="31"/>
      <c r="H5161" s="31"/>
      <c r="I5161" s="56"/>
      <c r="J5161" s="56"/>
      <c r="K5161" s="82" t="str">
        <f t="shared" si="1556"/>
        <v>Invoice</v>
      </c>
      <c r="L5161" s="83" t="str">
        <f>"SI_112808"</f>
        <v>SI_112808</v>
      </c>
      <c r="M5161" s="84">
        <v>43803</v>
      </c>
      <c r="N5161" s="85">
        <f t="shared" si="1557"/>
        <v>9</v>
      </c>
      <c r="O5161" s="86">
        <f t="shared" si="1558"/>
        <v>7904.829999999999</v>
      </c>
      <c r="P5161" s="86">
        <f t="shared" si="1559"/>
        <v>0</v>
      </c>
      <c r="Q5161" s="86">
        <f t="shared" si="1560"/>
        <v>7904.829999999999</v>
      </c>
      <c r="R5161" s="86">
        <f t="shared" si="1561"/>
        <v>0</v>
      </c>
      <c r="S5161" s="86">
        <f t="shared" si="1562"/>
        <v>0</v>
      </c>
      <c r="T5161" s="86">
        <f t="shared" si="1563"/>
        <v>0</v>
      </c>
      <c r="U5161" s="87">
        <v>7904.829999999999</v>
      </c>
    </row>
    <row r="5162" spans="1:21" s="30" customFormat="1" ht="24.6" hidden="1" outlineLevel="1" x14ac:dyDescent="0.55000000000000004">
      <c r="A5162" s="27" t="s">
        <v>327</v>
      </c>
      <c r="B5162" s="28"/>
      <c r="C5162" s="27"/>
      <c r="D5162" s="27" t="str">
        <f>"""NAV Direct"",""CRONUS JetCorp USA"",""21"",""1"",""426164"""</f>
        <v>"NAV Direct","CRONUS JetCorp USA","21","1","426164"</v>
      </c>
      <c r="E5162" s="31">
        <f t="shared" si="1555"/>
        <v>0</v>
      </c>
      <c r="F5162" s="31"/>
      <c r="G5162" s="31"/>
      <c r="H5162" s="31"/>
      <c r="I5162" s="56"/>
      <c r="J5162" s="56"/>
      <c r="K5162" s="82" t="str">
        <f t="shared" si="1556"/>
        <v>Invoice</v>
      </c>
      <c r="L5162" s="83" t="str">
        <f>"SI_112814"</f>
        <v>SI_112814</v>
      </c>
      <c r="M5162" s="84">
        <v>43826</v>
      </c>
      <c r="N5162" s="85">
        <f t="shared" si="1557"/>
        <v>-14</v>
      </c>
      <c r="O5162" s="86">
        <f t="shared" si="1558"/>
        <v>7114.33</v>
      </c>
      <c r="P5162" s="86">
        <f t="shared" si="1559"/>
        <v>7114.33</v>
      </c>
      <c r="Q5162" s="86">
        <f t="shared" si="1560"/>
        <v>0</v>
      </c>
      <c r="R5162" s="86">
        <f t="shared" si="1561"/>
        <v>0</v>
      </c>
      <c r="S5162" s="86">
        <f t="shared" si="1562"/>
        <v>0</v>
      </c>
      <c r="T5162" s="86">
        <f t="shared" si="1563"/>
        <v>0</v>
      </c>
      <c r="U5162" s="87">
        <v>7114.33</v>
      </c>
    </row>
    <row r="5163" spans="1:21" s="30" customFormat="1" ht="24.6" hidden="1" outlineLevel="1" x14ac:dyDescent="0.55000000000000004">
      <c r="A5163" s="27" t="s">
        <v>327</v>
      </c>
      <c r="B5163" s="28"/>
      <c r="C5163" s="27"/>
      <c r="D5163" s="27" t="str">
        <f>"""NAV Direct"",""CRONUS JetCorp USA"",""21"",""1"",""426213"""</f>
        <v>"NAV Direct","CRONUS JetCorp USA","21","1","426213"</v>
      </c>
      <c r="E5163" s="31" t="str">
        <f t="shared" si="1555"/>
        <v>C100140</v>
      </c>
      <c r="F5163" s="31"/>
      <c r="G5163" s="31"/>
      <c r="H5163" s="31"/>
      <c r="I5163" s="56"/>
      <c r="J5163" s="56"/>
      <c r="K5163" s="82" t="str">
        <f t="shared" si="1556"/>
        <v>Invoice</v>
      </c>
      <c r="L5163" s="83" t="str">
        <f>"SI_112815"</f>
        <v>SI_112815</v>
      </c>
      <c r="M5163" s="84">
        <v>43827</v>
      </c>
      <c r="N5163" s="85">
        <f t="shared" si="1557"/>
        <v>-15</v>
      </c>
      <c r="O5163" s="86">
        <f t="shared" si="1558"/>
        <v>7341.4</v>
      </c>
      <c r="P5163" s="86">
        <f t="shared" si="1559"/>
        <v>7341.4</v>
      </c>
      <c r="Q5163" s="86">
        <f t="shared" si="1560"/>
        <v>0</v>
      </c>
      <c r="R5163" s="86">
        <f t="shared" si="1561"/>
        <v>0</v>
      </c>
      <c r="S5163" s="86">
        <f t="shared" si="1562"/>
        <v>0</v>
      </c>
      <c r="T5163" s="86">
        <f t="shared" si="1563"/>
        <v>0</v>
      </c>
      <c r="U5163" s="87">
        <v>7341.4</v>
      </c>
    </row>
    <row r="5164" spans="1:21" s="30" customFormat="1" ht="24.6" hidden="1" outlineLevel="1" x14ac:dyDescent="0.55000000000000004">
      <c r="A5164" s="27" t="s">
        <v>327</v>
      </c>
      <c r="B5164" s="28"/>
      <c r="C5164" s="27"/>
      <c r="D5164" s="27" t="str">
        <f>"""NAV Direct"",""CRONUS JetCorp USA"",""21"",""1"",""426258"""</f>
        <v>"NAV Direct","CRONUS JetCorp USA","21","1","426258"</v>
      </c>
      <c r="E5164" s="31">
        <f t="shared" si="1555"/>
        <v>0</v>
      </c>
      <c r="F5164" s="31"/>
      <c r="G5164" s="31"/>
      <c r="H5164" s="31"/>
      <c r="I5164" s="56"/>
      <c r="J5164" s="56"/>
      <c r="K5164" s="82" t="str">
        <f t="shared" si="1556"/>
        <v>Invoice</v>
      </c>
      <c r="L5164" s="83" t="str">
        <f>"SI_112816"</f>
        <v>SI_112816</v>
      </c>
      <c r="M5164" s="84">
        <v>43827</v>
      </c>
      <c r="N5164" s="85">
        <f t="shared" si="1557"/>
        <v>-15</v>
      </c>
      <c r="O5164" s="86">
        <f t="shared" si="1558"/>
        <v>7038.58</v>
      </c>
      <c r="P5164" s="86">
        <f t="shared" si="1559"/>
        <v>7038.58</v>
      </c>
      <c r="Q5164" s="86">
        <f t="shared" si="1560"/>
        <v>0</v>
      </c>
      <c r="R5164" s="86">
        <f t="shared" si="1561"/>
        <v>0</v>
      </c>
      <c r="S5164" s="86">
        <f t="shared" si="1562"/>
        <v>0</v>
      </c>
      <c r="T5164" s="86">
        <f t="shared" si="1563"/>
        <v>0</v>
      </c>
      <c r="U5164" s="87">
        <v>7038.58</v>
      </c>
    </row>
    <row r="5165" spans="1:21" s="30" customFormat="1" ht="24.6" hidden="1" outlineLevel="1" x14ac:dyDescent="0.55000000000000004">
      <c r="A5165" s="27" t="s">
        <v>327</v>
      </c>
      <c r="B5165" s="28"/>
      <c r="C5165" s="27"/>
      <c r="D5165" s="27" t="str">
        <f>"""NAV Direct"",""CRONUS JetCorp USA"",""21"",""1"",""426315"""</f>
        <v>"NAV Direct","CRONUS JetCorp USA","21","1","426315"</v>
      </c>
      <c r="E5165" s="31" t="str">
        <f t="shared" si="1555"/>
        <v>C100140</v>
      </c>
      <c r="F5165" s="31"/>
      <c r="G5165" s="31"/>
      <c r="H5165" s="31"/>
      <c r="I5165" s="56"/>
      <c r="J5165" s="56"/>
      <c r="K5165" s="82" t="str">
        <f t="shared" si="1556"/>
        <v>Invoice</v>
      </c>
      <c r="L5165" s="83" t="str">
        <f>"SI_112817"</f>
        <v>SI_112817</v>
      </c>
      <c r="M5165" s="84">
        <v>43830</v>
      </c>
      <c r="N5165" s="85">
        <f t="shared" si="1557"/>
        <v>-18</v>
      </c>
      <c r="O5165" s="86">
        <f t="shared" si="1558"/>
        <v>7417.1299999999992</v>
      </c>
      <c r="P5165" s="86">
        <f t="shared" si="1559"/>
        <v>7417.1299999999992</v>
      </c>
      <c r="Q5165" s="86">
        <f t="shared" si="1560"/>
        <v>0</v>
      </c>
      <c r="R5165" s="86">
        <f t="shared" si="1561"/>
        <v>0</v>
      </c>
      <c r="S5165" s="86">
        <f t="shared" si="1562"/>
        <v>0</v>
      </c>
      <c r="T5165" s="86">
        <f t="shared" si="1563"/>
        <v>0</v>
      </c>
      <c r="U5165" s="87">
        <v>7417.1299999999992</v>
      </c>
    </row>
    <row r="5166" spans="1:21" s="30" customFormat="1" ht="24.6" hidden="1" outlineLevel="1" x14ac:dyDescent="0.55000000000000004">
      <c r="A5166" s="27" t="s">
        <v>327</v>
      </c>
      <c r="B5166" s="28"/>
      <c r="C5166" s="27"/>
      <c r="D5166" s="27" t="str">
        <f>"""NAV Direct"",""CRONUS JetCorp USA"",""21"",""1"",""426417"""</f>
        <v>"NAV Direct","CRONUS JetCorp USA","21","1","426417"</v>
      </c>
      <c r="E5166" s="31">
        <f t="shared" si="1555"/>
        <v>0</v>
      </c>
      <c r="F5166" s="31"/>
      <c r="G5166" s="31"/>
      <c r="H5166" s="31"/>
      <c r="I5166" s="56"/>
      <c r="J5166" s="56"/>
      <c r="K5166" s="82" t="str">
        <f t="shared" si="1556"/>
        <v>Invoice</v>
      </c>
      <c r="L5166" s="83" t="str">
        <f>"SI_112819"</f>
        <v>SI_112819</v>
      </c>
      <c r="M5166" s="84">
        <v>42027</v>
      </c>
      <c r="N5166" s="85">
        <f t="shared" si="1557"/>
        <v>1785</v>
      </c>
      <c r="O5166" s="86">
        <f t="shared" si="1558"/>
        <v>7342.03</v>
      </c>
      <c r="P5166" s="86">
        <f t="shared" si="1559"/>
        <v>0</v>
      </c>
      <c r="Q5166" s="86">
        <f t="shared" si="1560"/>
        <v>0</v>
      </c>
      <c r="R5166" s="86">
        <f t="shared" si="1561"/>
        <v>0</v>
      </c>
      <c r="S5166" s="86">
        <f t="shared" si="1562"/>
        <v>0</v>
      </c>
      <c r="T5166" s="86">
        <f t="shared" si="1563"/>
        <v>7342.03</v>
      </c>
      <c r="U5166" s="87">
        <v>7342.03</v>
      </c>
    </row>
    <row r="5167" spans="1:21" s="30" customFormat="1" ht="24.6" hidden="1" outlineLevel="1" x14ac:dyDescent="0.55000000000000004">
      <c r="A5167" s="27" t="s">
        <v>327</v>
      </c>
      <c r="B5167" s="28"/>
      <c r="C5167" s="27"/>
      <c r="D5167" s="27" t="str">
        <f>"""NAV Direct"",""CRONUS JetCorp USA"",""21"",""1"",""426547"""</f>
        <v>"NAV Direct","CRONUS JetCorp USA","21","1","426547"</v>
      </c>
      <c r="E5167" s="31" t="str">
        <f t="shared" si="1555"/>
        <v>C100140</v>
      </c>
      <c r="F5167" s="31"/>
      <c r="G5167" s="31"/>
      <c r="H5167" s="31"/>
      <c r="I5167" s="56"/>
      <c r="J5167" s="56"/>
      <c r="K5167" s="82" t="str">
        <f t="shared" si="1556"/>
        <v>Invoice</v>
      </c>
      <c r="L5167" s="83" t="str">
        <f>"SI_112822"</f>
        <v>SI_112822</v>
      </c>
      <c r="M5167" s="84">
        <v>42029</v>
      </c>
      <c r="N5167" s="85">
        <f t="shared" si="1557"/>
        <v>1783</v>
      </c>
      <c r="O5167" s="86">
        <f t="shared" si="1558"/>
        <v>7576.01</v>
      </c>
      <c r="P5167" s="86">
        <f t="shared" si="1559"/>
        <v>0</v>
      </c>
      <c r="Q5167" s="86">
        <f t="shared" si="1560"/>
        <v>0</v>
      </c>
      <c r="R5167" s="86">
        <f t="shared" si="1561"/>
        <v>0</v>
      </c>
      <c r="S5167" s="86">
        <f t="shared" si="1562"/>
        <v>0</v>
      </c>
      <c r="T5167" s="86">
        <f t="shared" si="1563"/>
        <v>7576.01</v>
      </c>
      <c r="U5167" s="87">
        <v>7576.01</v>
      </c>
    </row>
    <row r="5168" spans="1:21" s="30" customFormat="1" ht="24.6" hidden="1" outlineLevel="1" x14ac:dyDescent="0.55000000000000004">
      <c r="A5168" s="27" t="s">
        <v>327</v>
      </c>
      <c r="B5168" s="28"/>
      <c r="C5168" s="27"/>
      <c r="D5168" s="27" t="str">
        <f>"""NAV Direct"",""CRONUS JetCorp USA"",""21"",""1"",""426774"""</f>
        <v>"NAV Direct","CRONUS JetCorp USA","21","1","426774"</v>
      </c>
      <c r="E5168" s="31">
        <f t="shared" si="1555"/>
        <v>0</v>
      </c>
      <c r="F5168" s="31"/>
      <c r="G5168" s="31"/>
      <c r="H5168" s="31"/>
      <c r="I5168" s="56"/>
      <c r="J5168" s="56"/>
      <c r="K5168" s="82" t="str">
        <f t="shared" si="1556"/>
        <v>Invoice</v>
      </c>
      <c r="L5168" s="83" t="str">
        <f>"SI_112827"</f>
        <v>SI_112827</v>
      </c>
      <c r="M5168" s="84">
        <v>42056</v>
      </c>
      <c r="N5168" s="85">
        <f t="shared" si="1557"/>
        <v>1756</v>
      </c>
      <c r="O5168" s="86">
        <f t="shared" si="1558"/>
        <v>7914.51</v>
      </c>
      <c r="P5168" s="86">
        <f t="shared" si="1559"/>
        <v>0</v>
      </c>
      <c r="Q5168" s="86">
        <f t="shared" si="1560"/>
        <v>0</v>
      </c>
      <c r="R5168" s="86">
        <f t="shared" si="1561"/>
        <v>0</v>
      </c>
      <c r="S5168" s="86">
        <f t="shared" si="1562"/>
        <v>0</v>
      </c>
      <c r="T5168" s="86">
        <f t="shared" si="1563"/>
        <v>7914.51</v>
      </c>
      <c r="U5168" s="87">
        <v>7914.51</v>
      </c>
    </row>
    <row r="5169" spans="1:21" s="30" customFormat="1" ht="24.6" hidden="1" outlineLevel="1" x14ac:dyDescent="0.55000000000000004">
      <c r="A5169" s="27" t="s">
        <v>327</v>
      </c>
      <c r="B5169" s="28"/>
      <c r="C5169" s="27"/>
      <c r="D5169" s="27" t="str">
        <f>"""NAV Direct"",""CRONUS JetCorp USA"",""21"",""1"",""426835"""</f>
        <v>"NAV Direct","CRONUS JetCorp USA","21","1","426835"</v>
      </c>
      <c r="E5169" s="31" t="str">
        <f t="shared" si="1555"/>
        <v>C100140</v>
      </c>
      <c r="F5169" s="31"/>
      <c r="G5169" s="31"/>
      <c r="H5169" s="31"/>
      <c r="I5169" s="56"/>
      <c r="J5169" s="56"/>
      <c r="K5169" s="82" t="str">
        <f t="shared" si="1556"/>
        <v>Invoice</v>
      </c>
      <c r="L5169" s="83" t="str">
        <f>"SI_112828"</f>
        <v>SI_112828</v>
      </c>
      <c r="M5169" s="84">
        <v>42058</v>
      </c>
      <c r="N5169" s="85">
        <f t="shared" si="1557"/>
        <v>1754</v>
      </c>
      <c r="O5169" s="86">
        <f t="shared" si="1558"/>
        <v>7752.96</v>
      </c>
      <c r="P5169" s="86">
        <f t="shared" si="1559"/>
        <v>0</v>
      </c>
      <c r="Q5169" s="86">
        <f t="shared" si="1560"/>
        <v>0</v>
      </c>
      <c r="R5169" s="86">
        <f t="shared" si="1561"/>
        <v>0</v>
      </c>
      <c r="S5169" s="86">
        <f t="shared" si="1562"/>
        <v>0</v>
      </c>
      <c r="T5169" s="86">
        <f t="shared" si="1563"/>
        <v>7752.96</v>
      </c>
      <c r="U5169" s="87">
        <v>7752.96</v>
      </c>
    </row>
    <row r="5170" spans="1:21" s="30" customFormat="1" ht="24.6" hidden="1" outlineLevel="1" x14ac:dyDescent="0.55000000000000004">
      <c r="A5170" s="27" t="s">
        <v>327</v>
      </c>
      <c r="B5170" s="28"/>
      <c r="C5170" s="27"/>
      <c r="D5170" s="27" t="str">
        <f>"""NAV Direct"",""CRONUS JetCorp USA"",""21"",""1"",""426884"""</f>
        <v>"NAV Direct","CRONUS JetCorp USA","21","1","426884"</v>
      </c>
      <c r="E5170" s="31">
        <f t="shared" si="1555"/>
        <v>0</v>
      </c>
      <c r="F5170" s="31"/>
      <c r="G5170" s="31"/>
      <c r="H5170" s="31"/>
      <c r="I5170" s="56"/>
      <c r="J5170" s="56"/>
      <c r="K5170" s="82" t="str">
        <f t="shared" si="1556"/>
        <v>Invoice</v>
      </c>
      <c r="L5170" s="83" t="str">
        <f>"SI_112829"</f>
        <v>SI_112829</v>
      </c>
      <c r="M5170" s="84">
        <v>42059</v>
      </c>
      <c r="N5170" s="85">
        <f t="shared" si="1557"/>
        <v>1753</v>
      </c>
      <c r="O5170" s="86">
        <f t="shared" si="1558"/>
        <v>7430.06</v>
      </c>
      <c r="P5170" s="86">
        <f t="shared" si="1559"/>
        <v>0</v>
      </c>
      <c r="Q5170" s="86">
        <f t="shared" si="1560"/>
        <v>0</v>
      </c>
      <c r="R5170" s="86">
        <f t="shared" si="1561"/>
        <v>0</v>
      </c>
      <c r="S5170" s="86">
        <f t="shared" si="1562"/>
        <v>0</v>
      </c>
      <c r="T5170" s="86">
        <f t="shared" si="1563"/>
        <v>7430.06</v>
      </c>
      <c r="U5170" s="87">
        <v>7430.06</v>
      </c>
    </row>
    <row r="5171" spans="1:21" s="30" customFormat="1" ht="24.6" hidden="1" outlineLevel="1" x14ac:dyDescent="0.55000000000000004">
      <c r="A5171" s="27" t="s">
        <v>327</v>
      </c>
      <c r="B5171" s="28"/>
      <c r="C5171" s="27"/>
      <c r="D5171" s="27" t="str">
        <f>"""NAV Direct"",""CRONUS JetCorp USA"",""21"",""1"",""426925"""</f>
        <v>"NAV Direct","CRONUS JetCorp USA","21","1","426925"</v>
      </c>
      <c r="E5171" s="31" t="str">
        <f t="shared" ref="E5171:E5202" si="1564">E5169</f>
        <v>C100140</v>
      </c>
      <c r="F5171" s="31"/>
      <c r="G5171" s="31"/>
      <c r="H5171" s="31"/>
      <c r="I5171" s="56"/>
      <c r="J5171" s="56"/>
      <c r="K5171" s="82" t="str">
        <f t="shared" ref="K5171:K5188" si="1565">"Invoice"</f>
        <v>Invoice</v>
      </c>
      <c r="L5171" s="83" t="str">
        <f>"SI_112830"</f>
        <v>SI_112830</v>
      </c>
      <c r="M5171" s="84">
        <v>42064</v>
      </c>
      <c r="N5171" s="85">
        <f t="shared" ref="N5171:N5202" si="1566">StartDate-$M5171+1</f>
        <v>1748</v>
      </c>
      <c r="O5171" s="86">
        <f t="shared" ref="O5171:O5202" si="1567">SUM(P5171:T5171)</f>
        <v>7753.2199999999993</v>
      </c>
      <c r="P5171" s="86">
        <f t="shared" ref="P5171:P5202" si="1568">IF($M5171&gt;=$P$18,U5171,0)</f>
        <v>0</v>
      </c>
      <c r="Q5171" s="86">
        <f t="shared" ref="Q5171:Q5202" si="1569">IF(AND($M5171&gt;=$Q$16,$M5171&lt;=$Q$18),U5171,0)</f>
        <v>0</v>
      </c>
      <c r="R5171" s="86">
        <f t="shared" ref="R5171:R5202" si="1570">IF(AND($M5171&gt;=$R$16,$M5171&lt;=$R$18),U5171,0)</f>
        <v>0</v>
      </c>
      <c r="S5171" s="86">
        <f t="shared" ref="S5171:S5202" si="1571">IF(AND($M5171&gt;=$S$16,$M5171&lt;=$S$18),U5171,0)</f>
        <v>0</v>
      </c>
      <c r="T5171" s="86">
        <f t="shared" ref="T5171:T5202" si="1572">IF($M5171&lt;=$T$18,U5171,0)</f>
        <v>7753.2199999999993</v>
      </c>
      <c r="U5171" s="87">
        <v>7753.2199999999993</v>
      </c>
    </row>
    <row r="5172" spans="1:21" s="30" customFormat="1" ht="24.6" hidden="1" outlineLevel="1" x14ac:dyDescent="0.55000000000000004">
      <c r="A5172" s="27" t="s">
        <v>327</v>
      </c>
      <c r="B5172" s="28"/>
      <c r="C5172" s="27"/>
      <c r="D5172" s="27" t="str">
        <f>"""NAV Direct"",""CRONUS JetCorp USA"",""21"",""1"",""427125"""</f>
        <v>"NAV Direct","CRONUS JetCorp USA","21","1","427125"</v>
      </c>
      <c r="E5172" s="31">
        <f t="shared" si="1564"/>
        <v>0</v>
      </c>
      <c r="F5172" s="31"/>
      <c r="G5172" s="31"/>
      <c r="H5172" s="31"/>
      <c r="I5172" s="56"/>
      <c r="J5172" s="56"/>
      <c r="K5172" s="82" t="str">
        <f t="shared" si="1565"/>
        <v>Invoice</v>
      </c>
      <c r="L5172" s="83" t="str">
        <f>"SI_112834"</f>
        <v>SI_112834</v>
      </c>
      <c r="M5172" s="84">
        <v>42089</v>
      </c>
      <c r="N5172" s="85">
        <f t="shared" si="1566"/>
        <v>1723</v>
      </c>
      <c r="O5172" s="86">
        <f t="shared" si="1567"/>
        <v>7743.5199999999995</v>
      </c>
      <c r="P5172" s="86">
        <f t="shared" si="1568"/>
        <v>0</v>
      </c>
      <c r="Q5172" s="86">
        <f t="shared" si="1569"/>
        <v>0</v>
      </c>
      <c r="R5172" s="86">
        <f t="shared" si="1570"/>
        <v>0</v>
      </c>
      <c r="S5172" s="86">
        <f t="shared" si="1571"/>
        <v>0</v>
      </c>
      <c r="T5172" s="86">
        <f t="shared" si="1572"/>
        <v>7743.5199999999995</v>
      </c>
      <c r="U5172" s="87">
        <v>7743.5199999999995</v>
      </c>
    </row>
    <row r="5173" spans="1:21" s="30" customFormat="1" ht="24.6" hidden="1" outlineLevel="1" x14ac:dyDescent="0.55000000000000004">
      <c r="A5173" s="27" t="s">
        <v>327</v>
      </c>
      <c r="B5173" s="28"/>
      <c r="C5173" s="27"/>
      <c r="D5173" s="27" t="str">
        <f>"""NAV Direct"",""CRONUS JetCorp USA"",""21"",""1"",""427170"""</f>
        <v>"NAV Direct","CRONUS JetCorp USA","21","1","427170"</v>
      </c>
      <c r="E5173" s="31" t="str">
        <f t="shared" si="1564"/>
        <v>C100140</v>
      </c>
      <c r="F5173" s="31"/>
      <c r="G5173" s="31"/>
      <c r="H5173" s="31"/>
      <c r="I5173" s="56"/>
      <c r="J5173" s="56"/>
      <c r="K5173" s="82" t="str">
        <f t="shared" si="1565"/>
        <v>Invoice</v>
      </c>
      <c r="L5173" s="83" t="str">
        <f>"SI_112835"</f>
        <v>SI_112835</v>
      </c>
      <c r="M5173" s="84">
        <v>42093</v>
      </c>
      <c r="N5173" s="85">
        <f t="shared" si="1566"/>
        <v>1719</v>
      </c>
      <c r="O5173" s="86">
        <f t="shared" si="1567"/>
        <v>8073.03</v>
      </c>
      <c r="P5173" s="86">
        <f t="shared" si="1568"/>
        <v>0</v>
      </c>
      <c r="Q5173" s="86">
        <f t="shared" si="1569"/>
        <v>0</v>
      </c>
      <c r="R5173" s="86">
        <f t="shared" si="1570"/>
        <v>0</v>
      </c>
      <c r="S5173" s="86">
        <f t="shared" si="1571"/>
        <v>0</v>
      </c>
      <c r="T5173" s="86">
        <f t="shared" si="1572"/>
        <v>8073.03</v>
      </c>
      <c r="U5173" s="87">
        <v>8073.03</v>
      </c>
    </row>
    <row r="5174" spans="1:21" s="30" customFormat="1" ht="24.6" hidden="1" outlineLevel="1" x14ac:dyDescent="0.55000000000000004">
      <c r="A5174" s="27" t="s">
        <v>327</v>
      </c>
      <c r="B5174" s="28"/>
      <c r="C5174" s="27"/>
      <c r="D5174" s="27" t="str">
        <f>"""NAV Direct"",""CRONUS JetCorp USA"",""21"",""1"",""427272"""</f>
        <v>"NAV Direct","CRONUS JetCorp USA","21","1","427272"</v>
      </c>
      <c r="E5174" s="31">
        <f t="shared" si="1564"/>
        <v>0</v>
      </c>
      <c r="F5174" s="31"/>
      <c r="G5174" s="31"/>
      <c r="H5174" s="31"/>
      <c r="I5174" s="56"/>
      <c r="J5174" s="56"/>
      <c r="K5174" s="82" t="str">
        <f t="shared" si="1565"/>
        <v>Invoice</v>
      </c>
      <c r="L5174" s="83" t="str">
        <f>"SI_112837"</f>
        <v>SI_112837</v>
      </c>
      <c r="M5174" s="84">
        <v>42095</v>
      </c>
      <c r="N5174" s="85">
        <f t="shared" si="1566"/>
        <v>1717</v>
      </c>
      <c r="O5174" s="86">
        <f t="shared" si="1567"/>
        <v>7743.5099999999993</v>
      </c>
      <c r="P5174" s="86">
        <f t="shared" si="1568"/>
        <v>0</v>
      </c>
      <c r="Q5174" s="86">
        <f t="shared" si="1569"/>
        <v>0</v>
      </c>
      <c r="R5174" s="86">
        <f t="shared" si="1570"/>
        <v>0</v>
      </c>
      <c r="S5174" s="86">
        <f t="shared" si="1571"/>
        <v>0</v>
      </c>
      <c r="T5174" s="86">
        <f t="shared" si="1572"/>
        <v>7743.5099999999993</v>
      </c>
      <c r="U5174" s="87">
        <v>7743.5099999999993</v>
      </c>
    </row>
    <row r="5175" spans="1:21" s="30" customFormat="1" ht="24.6" hidden="1" outlineLevel="1" x14ac:dyDescent="0.55000000000000004">
      <c r="A5175" s="27" t="s">
        <v>327</v>
      </c>
      <c r="B5175" s="28"/>
      <c r="C5175" s="27"/>
      <c r="D5175" s="27" t="str">
        <f>"""NAV Direct"",""CRONUS JetCorp USA"",""21"",""1"",""427321"""</f>
        <v>"NAV Direct","CRONUS JetCorp USA","21","1","427321"</v>
      </c>
      <c r="E5175" s="31" t="str">
        <f t="shared" si="1564"/>
        <v>C100140</v>
      </c>
      <c r="F5175" s="31"/>
      <c r="G5175" s="31"/>
      <c r="H5175" s="31"/>
      <c r="I5175" s="56"/>
      <c r="J5175" s="56"/>
      <c r="K5175" s="82" t="str">
        <f t="shared" si="1565"/>
        <v>Invoice</v>
      </c>
      <c r="L5175" s="83" t="str">
        <f>"SI_112838"</f>
        <v>SI_112838</v>
      </c>
      <c r="M5175" s="84">
        <v>42119</v>
      </c>
      <c r="N5175" s="85">
        <f t="shared" si="1566"/>
        <v>1693</v>
      </c>
      <c r="O5175" s="86">
        <f t="shared" si="1567"/>
        <v>7842.2199999999993</v>
      </c>
      <c r="P5175" s="86">
        <f t="shared" si="1568"/>
        <v>0</v>
      </c>
      <c r="Q5175" s="86">
        <f t="shared" si="1569"/>
        <v>0</v>
      </c>
      <c r="R5175" s="86">
        <f t="shared" si="1570"/>
        <v>0</v>
      </c>
      <c r="S5175" s="86">
        <f t="shared" si="1571"/>
        <v>0</v>
      </c>
      <c r="T5175" s="86">
        <f t="shared" si="1572"/>
        <v>7842.2199999999993</v>
      </c>
      <c r="U5175" s="87">
        <v>7842.2199999999993</v>
      </c>
    </row>
    <row r="5176" spans="1:21" s="30" customFormat="1" ht="24.6" hidden="1" outlineLevel="1" x14ac:dyDescent="0.55000000000000004">
      <c r="A5176" s="27" t="s">
        <v>327</v>
      </c>
      <c r="B5176" s="28"/>
      <c r="C5176" s="27"/>
      <c r="D5176" s="27" t="str">
        <f>"""NAV Direct"",""CRONUS JetCorp USA"",""21"",""1"",""427660"""</f>
        <v>"NAV Direct","CRONUS JetCorp USA","21","1","427660"</v>
      </c>
      <c r="E5176" s="31">
        <f t="shared" si="1564"/>
        <v>0</v>
      </c>
      <c r="F5176" s="31"/>
      <c r="G5176" s="31"/>
      <c r="H5176" s="31"/>
      <c r="I5176" s="56"/>
      <c r="J5176" s="56"/>
      <c r="K5176" s="82" t="str">
        <f t="shared" si="1565"/>
        <v>Invoice</v>
      </c>
      <c r="L5176" s="83" t="str">
        <f>"SI_112847"</f>
        <v>SI_112847</v>
      </c>
      <c r="M5176" s="84">
        <v>42175</v>
      </c>
      <c r="N5176" s="85">
        <f t="shared" si="1566"/>
        <v>1637</v>
      </c>
      <c r="O5176" s="86">
        <f t="shared" si="1567"/>
        <v>5108.1900000000005</v>
      </c>
      <c r="P5176" s="86">
        <f t="shared" si="1568"/>
        <v>0</v>
      </c>
      <c r="Q5176" s="86">
        <f t="shared" si="1569"/>
        <v>0</v>
      </c>
      <c r="R5176" s="86">
        <f t="shared" si="1570"/>
        <v>0</v>
      </c>
      <c r="S5176" s="86">
        <f t="shared" si="1571"/>
        <v>0</v>
      </c>
      <c r="T5176" s="86">
        <f t="shared" si="1572"/>
        <v>5108.1900000000005</v>
      </c>
      <c r="U5176" s="87">
        <v>5108.1900000000005</v>
      </c>
    </row>
    <row r="5177" spans="1:21" s="30" customFormat="1" ht="24.6" hidden="1" outlineLevel="1" x14ac:dyDescent="0.55000000000000004">
      <c r="A5177" s="27" t="s">
        <v>327</v>
      </c>
      <c r="B5177" s="28"/>
      <c r="C5177" s="27"/>
      <c r="D5177" s="27" t="str">
        <f>"""NAV Direct"",""CRONUS JetCorp USA"",""21"",""1"",""427818"""</f>
        <v>"NAV Direct","CRONUS JetCorp USA","21","1","427818"</v>
      </c>
      <c r="E5177" s="31" t="str">
        <f t="shared" si="1564"/>
        <v>C100140</v>
      </c>
      <c r="F5177" s="31"/>
      <c r="G5177" s="31"/>
      <c r="H5177" s="31"/>
      <c r="I5177" s="56"/>
      <c r="J5177" s="56"/>
      <c r="K5177" s="82" t="str">
        <f t="shared" si="1565"/>
        <v>Invoice</v>
      </c>
      <c r="L5177" s="83" t="str">
        <f>"SI_112851"</f>
        <v>SI_112851</v>
      </c>
      <c r="M5177" s="84">
        <v>42192</v>
      </c>
      <c r="N5177" s="85">
        <f t="shared" si="1566"/>
        <v>1620</v>
      </c>
      <c r="O5177" s="86">
        <f t="shared" si="1567"/>
        <v>4886.07</v>
      </c>
      <c r="P5177" s="86">
        <f t="shared" si="1568"/>
        <v>0</v>
      </c>
      <c r="Q5177" s="86">
        <f t="shared" si="1569"/>
        <v>0</v>
      </c>
      <c r="R5177" s="86">
        <f t="shared" si="1570"/>
        <v>0</v>
      </c>
      <c r="S5177" s="86">
        <f t="shared" si="1571"/>
        <v>0</v>
      </c>
      <c r="T5177" s="86">
        <f t="shared" si="1572"/>
        <v>4886.07</v>
      </c>
      <c r="U5177" s="87">
        <v>4886.07</v>
      </c>
    </row>
    <row r="5178" spans="1:21" s="30" customFormat="1" ht="24.6" hidden="1" outlineLevel="1" x14ac:dyDescent="0.55000000000000004">
      <c r="A5178" s="27" t="s">
        <v>327</v>
      </c>
      <c r="B5178" s="28"/>
      <c r="C5178" s="27"/>
      <c r="D5178" s="27" t="str">
        <f>"""NAV Direct"",""CRONUS JetCorp USA"",""21"",""1"",""427974"""</f>
        <v>"NAV Direct","CRONUS JetCorp USA","21","1","427974"</v>
      </c>
      <c r="E5178" s="31">
        <f t="shared" si="1564"/>
        <v>0</v>
      </c>
      <c r="F5178" s="31"/>
      <c r="G5178" s="31"/>
      <c r="H5178" s="31"/>
      <c r="I5178" s="56"/>
      <c r="J5178" s="56"/>
      <c r="K5178" s="82" t="str">
        <f t="shared" si="1565"/>
        <v>Invoice</v>
      </c>
      <c r="L5178" s="83" t="str">
        <f>"SI_112855"</f>
        <v>SI_112855</v>
      </c>
      <c r="M5178" s="84">
        <v>42209</v>
      </c>
      <c r="N5178" s="85">
        <f t="shared" si="1566"/>
        <v>1603</v>
      </c>
      <c r="O5178" s="86">
        <f t="shared" si="1567"/>
        <v>5648.07</v>
      </c>
      <c r="P5178" s="86">
        <f t="shared" si="1568"/>
        <v>0</v>
      </c>
      <c r="Q5178" s="86">
        <f t="shared" si="1569"/>
        <v>0</v>
      </c>
      <c r="R5178" s="86">
        <f t="shared" si="1570"/>
        <v>0</v>
      </c>
      <c r="S5178" s="86">
        <f t="shared" si="1571"/>
        <v>0</v>
      </c>
      <c r="T5178" s="86">
        <f t="shared" si="1572"/>
        <v>5648.07</v>
      </c>
      <c r="U5178" s="87">
        <v>5648.07</v>
      </c>
    </row>
    <row r="5179" spans="1:21" s="30" customFormat="1" ht="24.6" hidden="1" outlineLevel="1" x14ac:dyDescent="0.55000000000000004">
      <c r="A5179" s="27" t="s">
        <v>327</v>
      </c>
      <c r="B5179" s="28"/>
      <c r="C5179" s="27"/>
      <c r="D5179" s="27" t="str">
        <f>"""NAV Direct"",""CRONUS JetCorp USA"",""21"",""1"",""428019"""</f>
        <v>"NAV Direct","CRONUS JetCorp USA","21","1","428019"</v>
      </c>
      <c r="E5179" s="31" t="str">
        <f t="shared" si="1564"/>
        <v>C100140</v>
      </c>
      <c r="F5179" s="31"/>
      <c r="G5179" s="31"/>
      <c r="H5179" s="31"/>
      <c r="I5179" s="56"/>
      <c r="J5179" s="56"/>
      <c r="K5179" s="82" t="str">
        <f t="shared" si="1565"/>
        <v>Invoice</v>
      </c>
      <c r="L5179" s="83" t="str">
        <f>"SI_112856"</f>
        <v>SI_112856</v>
      </c>
      <c r="M5179" s="84">
        <v>42212</v>
      </c>
      <c r="N5179" s="85">
        <f t="shared" si="1566"/>
        <v>1600</v>
      </c>
      <c r="O5179" s="86">
        <f t="shared" si="1567"/>
        <v>5187</v>
      </c>
      <c r="P5179" s="86">
        <f t="shared" si="1568"/>
        <v>0</v>
      </c>
      <c r="Q5179" s="86">
        <f t="shared" si="1569"/>
        <v>0</v>
      </c>
      <c r="R5179" s="86">
        <f t="shared" si="1570"/>
        <v>0</v>
      </c>
      <c r="S5179" s="86">
        <f t="shared" si="1571"/>
        <v>0</v>
      </c>
      <c r="T5179" s="86">
        <f t="shared" si="1572"/>
        <v>5187</v>
      </c>
      <c r="U5179" s="87">
        <v>5187</v>
      </c>
    </row>
    <row r="5180" spans="1:21" s="30" customFormat="1" ht="24.6" hidden="1" outlineLevel="1" x14ac:dyDescent="0.55000000000000004">
      <c r="A5180" s="27" t="s">
        <v>327</v>
      </c>
      <c r="B5180" s="28"/>
      <c r="C5180" s="27"/>
      <c r="D5180" s="27" t="str">
        <f>"""NAV Direct"",""CRONUS JetCorp USA"",""21"",""1"",""428107"""</f>
        <v>"NAV Direct","CRONUS JetCorp USA","21","1","428107"</v>
      </c>
      <c r="E5180" s="31">
        <f t="shared" si="1564"/>
        <v>0</v>
      </c>
      <c r="F5180" s="31"/>
      <c r="G5180" s="31"/>
      <c r="H5180" s="31"/>
      <c r="I5180" s="56"/>
      <c r="J5180" s="56"/>
      <c r="K5180" s="82" t="str">
        <f t="shared" si="1565"/>
        <v>Invoice</v>
      </c>
      <c r="L5180" s="83" t="str">
        <f>"SI_112858"</f>
        <v>SI_112858</v>
      </c>
      <c r="M5180" s="84">
        <v>42235</v>
      </c>
      <c r="N5180" s="85">
        <f t="shared" si="1566"/>
        <v>1577</v>
      </c>
      <c r="O5180" s="86">
        <f t="shared" si="1567"/>
        <v>5851.01</v>
      </c>
      <c r="P5180" s="86">
        <f t="shared" si="1568"/>
        <v>0</v>
      </c>
      <c r="Q5180" s="86">
        <f t="shared" si="1569"/>
        <v>0</v>
      </c>
      <c r="R5180" s="86">
        <f t="shared" si="1570"/>
        <v>0</v>
      </c>
      <c r="S5180" s="86">
        <f t="shared" si="1571"/>
        <v>0</v>
      </c>
      <c r="T5180" s="86">
        <f t="shared" si="1572"/>
        <v>5851.01</v>
      </c>
      <c r="U5180" s="87">
        <v>5851.01</v>
      </c>
    </row>
    <row r="5181" spans="1:21" s="30" customFormat="1" ht="24.6" hidden="1" outlineLevel="1" x14ac:dyDescent="0.55000000000000004">
      <c r="A5181" s="27" t="s">
        <v>327</v>
      </c>
      <c r="B5181" s="28"/>
      <c r="C5181" s="27"/>
      <c r="D5181" s="27" t="str">
        <f>"""NAV Direct"",""CRONUS JetCorp USA"",""21"",""1"",""428148"""</f>
        <v>"NAV Direct","CRONUS JetCorp USA","21","1","428148"</v>
      </c>
      <c r="E5181" s="31" t="str">
        <f t="shared" si="1564"/>
        <v>C100140</v>
      </c>
      <c r="F5181" s="31"/>
      <c r="G5181" s="31"/>
      <c r="H5181" s="31"/>
      <c r="I5181" s="56"/>
      <c r="J5181" s="56"/>
      <c r="K5181" s="82" t="str">
        <f t="shared" si="1565"/>
        <v>Invoice</v>
      </c>
      <c r="L5181" s="83" t="str">
        <f>"SI_112859"</f>
        <v>SI_112859</v>
      </c>
      <c r="M5181" s="84">
        <v>42240</v>
      </c>
      <c r="N5181" s="85">
        <f t="shared" si="1566"/>
        <v>1572</v>
      </c>
      <c r="O5181" s="86">
        <f t="shared" si="1567"/>
        <v>5601.99</v>
      </c>
      <c r="P5181" s="86">
        <f t="shared" si="1568"/>
        <v>0</v>
      </c>
      <c r="Q5181" s="86">
        <f t="shared" si="1569"/>
        <v>0</v>
      </c>
      <c r="R5181" s="86">
        <f t="shared" si="1570"/>
        <v>0</v>
      </c>
      <c r="S5181" s="86">
        <f t="shared" si="1571"/>
        <v>0</v>
      </c>
      <c r="T5181" s="86">
        <f t="shared" si="1572"/>
        <v>5601.99</v>
      </c>
      <c r="U5181" s="87">
        <v>5601.99</v>
      </c>
    </row>
    <row r="5182" spans="1:21" s="30" customFormat="1" ht="24.6" hidden="1" outlineLevel="1" x14ac:dyDescent="0.55000000000000004">
      <c r="A5182" s="27" t="s">
        <v>327</v>
      </c>
      <c r="B5182" s="28"/>
      <c r="C5182" s="27"/>
      <c r="D5182" s="27" t="str">
        <f>"""NAV Direct"",""CRONUS JetCorp USA"",""21"",""1"",""428230"""</f>
        <v>"NAV Direct","CRONUS JetCorp USA","21","1","428230"</v>
      </c>
      <c r="E5182" s="31">
        <f t="shared" si="1564"/>
        <v>0</v>
      </c>
      <c r="F5182" s="31"/>
      <c r="G5182" s="31"/>
      <c r="H5182" s="31"/>
      <c r="I5182" s="56"/>
      <c r="J5182" s="56"/>
      <c r="K5182" s="82" t="str">
        <f t="shared" si="1565"/>
        <v>Invoice</v>
      </c>
      <c r="L5182" s="83" t="str">
        <f>"SI_112861"</f>
        <v>SI_112861</v>
      </c>
      <c r="M5182" s="84">
        <v>42267</v>
      </c>
      <c r="N5182" s="85">
        <f t="shared" si="1566"/>
        <v>1545</v>
      </c>
      <c r="O5182" s="86">
        <f t="shared" si="1567"/>
        <v>6445.4400000000005</v>
      </c>
      <c r="P5182" s="86">
        <f t="shared" si="1568"/>
        <v>0</v>
      </c>
      <c r="Q5182" s="86">
        <f t="shared" si="1569"/>
        <v>0</v>
      </c>
      <c r="R5182" s="86">
        <f t="shared" si="1570"/>
        <v>0</v>
      </c>
      <c r="S5182" s="86">
        <f t="shared" si="1571"/>
        <v>0</v>
      </c>
      <c r="T5182" s="86">
        <f t="shared" si="1572"/>
        <v>6445.4400000000005</v>
      </c>
      <c r="U5182" s="87">
        <v>6445.4400000000005</v>
      </c>
    </row>
    <row r="5183" spans="1:21" s="30" customFormat="1" ht="24.6" hidden="1" outlineLevel="1" x14ac:dyDescent="0.55000000000000004">
      <c r="A5183" s="27" t="s">
        <v>327</v>
      </c>
      <c r="B5183" s="28"/>
      <c r="C5183" s="27"/>
      <c r="D5183" s="27" t="str">
        <f>"""NAV Direct"",""CRONUS JetCorp USA"",""21"",""1"",""428416"""</f>
        <v>"NAV Direct","CRONUS JetCorp USA","21","1","428416"</v>
      </c>
      <c r="E5183" s="31" t="str">
        <f t="shared" si="1564"/>
        <v>C100140</v>
      </c>
      <c r="F5183" s="31"/>
      <c r="G5183" s="31"/>
      <c r="H5183" s="31"/>
      <c r="I5183" s="56"/>
      <c r="J5183" s="56"/>
      <c r="K5183" s="82" t="str">
        <f t="shared" si="1565"/>
        <v>Invoice</v>
      </c>
      <c r="L5183" s="83" t="str">
        <f>"SI_112865"</f>
        <v>SI_112865</v>
      </c>
      <c r="M5183" s="84">
        <v>42279</v>
      </c>
      <c r="N5183" s="85">
        <f t="shared" si="1566"/>
        <v>1533</v>
      </c>
      <c r="O5183" s="86">
        <f t="shared" si="1567"/>
        <v>6377.56</v>
      </c>
      <c r="P5183" s="86">
        <f t="shared" si="1568"/>
        <v>0</v>
      </c>
      <c r="Q5183" s="86">
        <f t="shared" si="1569"/>
        <v>0</v>
      </c>
      <c r="R5183" s="86">
        <f t="shared" si="1570"/>
        <v>0</v>
      </c>
      <c r="S5183" s="86">
        <f t="shared" si="1571"/>
        <v>0</v>
      </c>
      <c r="T5183" s="86">
        <f t="shared" si="1572"/>
        <v>6377.56</v>
      </c>
      <c r="U5183" s="87">
        <v>6377.56</v>
      </c>
    </row>
    <row r="5184" spans="1:21" s="30" customFormat="1" ht="24.6" hidden="1" outlineLevel="1" x14ac:dyDescent="0.55000000000000004">
      <c r="A5184" s="27" t="s">
        <v>327</v>
      </c>
      <c r="B5184" s="28"/>
      <c r="C5184" s="27"/>
      <c r="D5184" s="27" t="str">
        <f>"""NAV Direct"",""CRONUS JetCorp USA"",""21"",""1"",""428578"""</f>
        <v>"NAV Direct","CRONUS JetCorp USA","21","1","428578"</v>
      </c>
      <c r="E5184" s="31">
        <f t="shared" si="1564"/>
        <v>0</v>
      </c>
      <c r="F5184" s="31"/>
      <c r="G5184" s="31"/>
      <c r="H5184" s="31"/>
      <c r="I5184" s="56"/>
      <c r="J5184" s="56"/>
      <c r="K5184" s="82" t="str">
        <f t="shared" si="1565"/>
        <v>Invoice</v>
      </c>
      <c r="L5184" s="83" t="str">
        <f>"SI_112869"</f>
        <v>SI_112869</v>
      </c>
      <c r="M5184" s="84">
        <v>42298</v>
      </c>
      <c r="N5184" s="85">
        <f t="shared" si="1566"/>
        <v>1514</v>
      </c>
      <c r="O5184" s="86">
        <f t="shared" si="1567"/>
        <v>7239.0700000000006</v>
      </c>
      <c r="P5184" s="86">
        <f t="shared" si="1568"/>
        <v>0</v>
      </c>
      <c r="Q5184" s="86">
        <f t="shared" si="1569"/>
        <v>0</v>
      </c>
      <c r="R5184" s="86">
        <f t="shared" si="1570"/>
        <v>0</v>
      </c>
      <c r="S5184" s="86">
        <f t="shared" si="1571"/>
        <v>0</v>
      </c>
      <c r="T5184" s="86">
        <f t="shared" si="1572"/>
        <v>7239.0700000000006</v>
      </c>
      <c r="U5184" s="87">
        <v>7239.0700000000006</v>
      </c>
    </row>
    <row r="5185" spans="1:21" s="30" customFormat="1" ht="24.6" hidden="1" outlineLevel="1" x14ac:dyDescent="0.55000000000000004">
      <c r="A5185" s="27" t="s">
        <v>327</v>
      </c>
      <c r="B5185" s="28"/>
      <c r="C5185" s="27"/>
      <c r="D5185" s="27" t="str">
        <f>"""NAV Direct"",""CRONUS JetCorp USA"",""21"",""1"",""428758"""</f>
        <v>"NAV Direct","CRONUS JetCorp USA","21","1","428758"</v>
      </c>
      <c r="E5185" s="31" t="str">
        <f t="shared" si="1564"/>
        <v>C100140</v>
      </c>
      <c r="F5185" s="31"/>
      <c r="G5185" s="31"/>
      <c r="H5185" s="31"/>
      <c r="I5185" s="56"/>
      <c r="J5185" s="56"/>
      <c r="K5185" s="82" t="str">
        <f t="shared" si="1565"/>
        <v>Invoice</v>
      </c>
      <c r="L5185" s="83" t="str">
        <f>"SI_112873"</f>
        <v>SI_112873</v>
      </c>
      <c r="M5185" s="84">
        <v>42306</v>
      </c>
      <c r="N5185" s="85">
        <f t="shared" si="1566"/>
        <v>1506</v>
      </c>
      <c r="O5185" s="86">
        <f t="shared" si="1567"/>
        <v>7164.62</v>
      </c>
      <c r="P5185" s="86">
        <f t="shared" si="1568"/>
        <v>0</v>
      </c>
      <c r="Q5185" s="86">
        <f t="shared" si="1569"/>
        <v>0</v>
      </c>
      <c r="R5185" s="86">
        <f t="shared" si="1570"/>
        <v>0</v>
      </c>
      <c r="S5185" s="86">
        <f t="shared" si="1571"/>
        <v>0</v>
      </c>
      <c r="T5185" s="86">
        <f t="shared" si="1572"/>
        <v>7164.62</v>
      </c>
      <c r="U5185" s="87">
        <v>7164.62</v>
      </c>
    </row>
    <row r="5186" spans="1:21" s="30" customFormat="1" ht="24.6" hidden="1" outlineLevel="1" x14ac:dyDescent="0.55000000000000004">
      <c r="A5186" s="27" t="s">
        <v>327</v>
      </c>
      <c r="B5186" s="28"/>
      <c r="C5186" s="27"/>
      <c r="D5186" s="27" t="str">
        <f>"""NAV Direct"",""CRONUS JetCorp USA"",""21"",""1"",""428842"""</f>
        <v>"NAV Direct","CRONUS JetCorp USA","21","1","428842"</v>
      </c>
      <c r="E5186" s="31">
        <f t="shared" si="1564"/>
        <v>0</v>
      </c>
      <c r="F5186" s="31"/>
      <c r="G5186" s="31"/>
      <c r="H5186" s="31"/>
      <c r="I5186" s="56"/>
      <c r="J5186" s="56"/>
      <c r="K5186" s="82" t="str">
        <f t="shared" si="1565"/>
        <v>Invoice</v>
      </c>
      <c r="L5186" s="83" t="str">
        <f>"SI_112875"</f>
        <v>SI_112875</v>
      </c>
      <c r="M5186" s="84">
        <v>42327</v>
      </c>
      <c r="N5186" s="85">
        <f t="shared" si="1566"/>
        <v>1485</v>
      </c>
      <c r="O5186" s="86">
        <f t="shared" si="1567"/>
        <v>8082.53</v>
      </c>
      <c r="P5186" s="86">
        <f t="shared" si="1568"/>
        <v>0</v>
      </c>
      <c r="Q5186" s="86">
        <f t="shared" si="1569"/>
        <v>0</v>
      </c>
      <c r="R5186" s="86">
        <f t="shared" si="1570"/>
        <v>0</v>
      </c>
      <c r="S5186" s="86">
        <f t="shared" si="1571"/>
        <v>0</v>
      </c>
      <c r="T5186" s="86">
        <f t="shared" si="1572"/>
        <v>8082.53</v>
      </c>
      <c r="U5186" s="87">
        <v>8082.53</v>
      </c>
    </row>
    <row r="5187" spans="1:21" s="30" customFormat="1" ht="24.6" hidden="1" outlineLevel="1" x14ac:dyDescent="0.55000000000000004">
      <c r="A5187" s="27" t="s">
        <v>327</v>
      </c>
      <c r="B5187" s="28"/>
      <c r="C5187" s="27"/>
      <c r="D5187" s="27" t="str">
        <f>"""NAV Direct"",""CRONUS JetCorp USA"",""21"",""1"",""429024"""</f>
        <v>"NAV Direct","CRONUS JetCorp USA","21","1","429024"</v>
      </c>
      <c r="E5187" s="31" t="str">
        <f t="shared" si="1564"/>
        <v>C100140</v>
      </c>
      <c r="F5187" s="31"/>
      <c r="G5187" s="31"/>
      <c r="H5187" s="31"/>
      <c r="I5187" s="56"/>
      <c r="J5187" s="56"/>
      <c r="K5187" s="82" t="str">
        <f t="shared" si="1565"/>
        <v>Invoice</v>
      </c>
      <c r="L5187" s="83" t="str">
        <f>"SI_112879"</f>
        <v>SI_112879</v>
      </c>
      <c r="M5187" s="84">
        <v>42334</v>
      </c>
      <c r="N5187" s="85">
        <f t="shared" si="1566"/>
        <v>1478</v>
      </c>
      <c r="O5187" s="86">
        <f t="shared" si="1567"/>
        <v>7997.43</v>
      </c>
      <c r="P5187" s="86">
        <f t="shared" si="1568"/>
        <v>0</v>
      </c>
      <c r="Q5187" s="86">
        <f t="shared" si="1569"/>
        <v>0</v>
      </c>
      <c r="R5187" s="86">
        <f t="shared" si="1570"/>
        <v>0</v>
      </c>
      <c r="S5187" s="86">
        <f t="shared" si="1571"/>
        <v>0</v>
      </c>
      <c r="T5187" s="86">
        <f t="shared" si="1572"/>
        <v>7997.43</v>
      </c>
      <c r="U5187" s="87">
        <v>7997.43</v>
      </c>
    </row>
    <row r="5188" spans="1:21" s="30" customFormat="1" ht="24.6" hidden="1" outlineLevel="1" x14ac:dyDescent="0.55000000000000004">
      <c r="A5188" s="27" t="s">
        <v>327</v>
      </c>
      <c r="B5188" s="28"/>
      <c r="C5188" s="27"/>
      <c r="D5188" s="27" t="str">
        <f>"""NAV Direct"",""CRONUS JetCorp USA"",""21"",""1"",""429116"""</f>
        <v>"NAV Direct","CRONUS JetCorp USA","21","1","429116"</v>
      </c>
      <c r="E5188" s="31">
        <f t="shared" si="1564"/>
        <v>0</v>
      </c>
      <c r="F5188" s="31"/>
      <c r="G5188" s="31"/>
      <c r="H5188" s="31"/>
      <c r="I5188" s="56"/>
      <c r="J5188" s="56"/>
      <c r="K5188" s="82" t="str">
        <f t="shared" si="1565"/>
        <v>Invoice</v>
      </c>
      <c r="L5188" s="83" t="str">
        <f>"SI_112881"</f>
        <v>SI_112881</v>
      </c>
      <c r="M5188" s="84">
        <v>42340</v>
      </c>
      <c r="N5188" s="85">
        <f t="shared" si="1566"/>
        <v>1472</v>
      </c>
      <c r="O5188" s="86">
        <f t="shared" si="1567"/>
        <v>7827.21</v>
      </c>
      <c r="P5188" s="86">
        <f t="shared" si="1568"/>
        <v>0</v>
      </c>
      <c r="Q5188" s="86">
        <f t="shared" si="1569"/>
        <v>0</v>
      </c>
      <c r="R5188" s="86">
        <f t="shared" si="1570"/>
        <v>0</v>
      </c>
      <c r="S5188" s="86">
        <f t="shared" si="1571"/>
        <v>0</v>
      </c>
      <c r="T5188" s="86">
        <f t="shared" si="1572"/>
        <v>7827.21</v>
      </c>
      <c r="U5188" s="87">
        <v>7827.21</v>
      </c>
    </row>
    <row r="5189" spans="1:21" s="30" customFormat="1" ht="24.6" hidden="1" outlineLevel="1" x14ac:dyDescent="0.55000000000000004">
      <c r="A5189" s="27" t="s">
        <v>327</v>
      </c>
      <c r="B5189" s="28"/>
      <c r="C5189" s="27"/>
      <c r="D5189" s="27" t="str">
        <f>"""NAV Direct"",""CRONUS JetCorp USA"",""21"",""1"",""441626"""</f>
        <v>"NAV Direct","CRONUS JetCorp USA","21","1","441626"</v>
      </c>
      <c r="E5189" s="31" t="str">
        <f t="shared" si="1564"/>
        <v>C100140</v>
      </c>
      <c r="F5189" s="31"/>
      <c r="G5189" s="31"/>
      <c r="H5189" s="31"/>
      <c r="I5189" s="56"/>
      <c r="J5189" s="56"/>
      <c r="K5189" s="82" t="str">
        <f t="shared" ref="K5189:K5214" si="1573">"Credit Memo"</f>
        <v>Credit Memo</v>
      </c>
      <c r="L5189" s="83" t="str">
        <f>"SC_100979"</f>
        <v>SC_100979</v>
      </c>
      <c r="M5189" s="84">
        <v>42436</v>
      </c>
      <c r="N5189" s="85">
        <f t="shared" si="1566"/>
        <v>1376</v>
      </c>
      <c r="O5189" s="86">
        <f t="shared" si="1567"/>
        <v>-64.67</v>
      </c>
      <c r="P5189" s="86">
        <f t="shared" si="1568"/>
        <v>0</v>
      </c>
      <c r="Q5189" s="86">
        <f t="shared" si="1569"/>
        <v>0</v>
      </c>
      <c r="R5189" s="86">
        <f t="shared" si="1570"/>
        <v>0</v>
      </c>
      <c r="S5189" s="86">
        <f t="shared" si="1571"/>
        <v>0</v>
      </c>
      <c r="T5189" s="86">
        <f t="shared" si="1572"/>
        <v>-64.67</v>
      </c>
      <c r="U5189" s="87">
        <v>-64.67</v>
      </c>
    </row>
    <row r="5190" spans="1:21" s="30" customFormat="1" ht="24.6" hidden="1" outlineLevel="1" x14ac:dyDescent="0.55000000000000004">
      <c r="A5190" s="27" t="s">
        <v>327</v>
      </c>
      <c r="B5190" s="28"/>
      <c r="C5190" s="27"/>
      <c r="D5190" s="27" t="str">
        <f>"""NAV Direct"",""CRONUS JetCorp USA"",""21"",""1"",""441660"""</f>
        <v>"NAV Direct","CRONUS JetCorp USA","21","1","441660"</v>
      </c>
      <c r="E5190" s="31">
        <f t="shared" si="1564"/>
        <v>0</v>
      </c>
      <c r="F5190" s="31"/>
      <c r="G5190" s="31"/>
      <c r="H5190" s="31"/>
      <c r="I5190" s="56"/>
      <c r="J5190" s="56"/>
      <c r="K5190" s="82" t="str">
        <f t="shared" si="1573"/>
        <v>Credit Memo</v>
      </c>
      <c r="L5190" s="83" t="str">
        <f>"SC_100981"</f>
        <v>SC_100981</v>
      </c>
      <c r="M5190" s="84">
        <v>42500</v>
      </c>
      <c r="N5190" s="85">
        <f t="shared" si="1566"/>
        <v>1312</v>
      </c>
      <c r="O5190" s="86">
        <f t="shared" si="1567"/>
        <v>-64.83</v>
      </c>
      <c r="P5190" s="86">
        <f t="shared" si="1568"/>
        <v>0</v>
      </c>
      <c r="Q5190" s="86">
        <f t="shared" si="1569"/>
        <v>0</v>
      </c>
      <c r="R5190" s="86">
        <f t="shared" si="1570"/>
        <v>0</v>
      </c>
      <c r="S5190" s="86">
        <f t="shared" si="1571"/>
        <v>0</v>
      </c>
      <c r="T5190" s="86">
        <f t="shared" si="1572"/>
        <v>-64.83</v>
      </c>
      <c r="U5190" s="87">
        <v>-64.83</v>
      </c>
    </row>
    <row r="5191" spans="1:21" s="30" customFormat="1" ht="24.6" hidden="1" outlineLevel="1" x14ac:dyDescent="0.55000000000000004">
      <c r="A5191" s="27" t="s">
        <v>327</v>
      </c>
      <c r="B5191" s="28"/>
      <c r="C5191" s="27"/>
      <c r="D5191" s="27" t="str">
        <f>"""NAV Direct"",""CRONUS JetCorp USA"",""21"",""1"",""441825"""</f>
        <v>"NAV Direct","CRONUS JetCorp USA","21","1","441825"</v>
      </c>
      <c r="E5191" s="31" t="str">
        <f t="shared" si="1564"/>
        <v>C100140</v>
      </c>
      <c r="F5191" s="31"/>
      <c r="G5191" s="31"/>
      <c r="H5191" s="31"/>
      <c r="I5191" s="56"/>
      <c r="J5191" s="56"/>
      <c r="K5191" s="82" t="str">
        <f t="shared" si="1573"/>
        <v>Credit Memo</v>
      </c>
      <c r="L5191" s="83" t="str">
        <f>"SC_100990"</f>
        <v>SC_100990</v>
      </c>
      <c r="M5191" s="84">
        <v>42775</v>
      </c>
      <c r="N5191" s="85">
        <f t="shared" si="1566"/>
        <v>1037</v>
      </c>
      <c r="O5191" s="86">
        <f t="shared" si="1567"/>
        <v>-75.73</v>
      </c>
      <c r="P5191" s="86">
        <f t="shared" si="1568"/>
        <v>0</v>
      </c>
      <c r="Q5191" s="86">
        <f t="shared" si="1569"/>
        <v>0</v>
      </c>
      <c r="R5191" s="86">
        <f t="shared" si="1570"/>
        <v>0</v>
      </c>
      <c r="S5191" s="86">
        <f t="shared" si="1571"/>
        <v>0</v>
      </c>
      <c r="T5191" s="86">
        <f t="shared" si="1572"/>
        <v>-75.73</v>
      </c>
      <c r="U5191" s="87">
        <v>-75.73</v>
      </c>
    </row>
    <row r="5192" spans="1:21" s="30" customFormat="1" ht="24.6" hidden="1" outlineLevel="1" x14ac:dyDescent="0.55000000000000004">
      <c r="A5192" s="27" t="s">
        <v>327</v>
      </c>
      <c r="B5192" s="28"/>
      <c r="C5192" s="27"/>
      <c r="D5192" s="27" t="str">
        <f>"""NAV Direct"",""CRONUS JetCorp USA"",""21"",""1"",""441844"""</f>
        <v>"NAV Direct","CRONUS JetCorp USA","21","1","441844"</v>
      </c>
      <c r="E5192" s="31">
        <f t="shared" si="1564"/>
        <v>0</v>
      </c>
      <c r="F5192" s="31"/>
      <c r="G5192" s="31"/>
      <c r="H5192" s="31"/>
      <c r="I5192" s="56"/>
      <c r="J5192" s="56"/>
      <c r="K5192" s="82" t="str">
        <f t="shared" si="1573"/>
        <v>Credit Memo</v>
      </c>
      <c r="L5192" s="83" t="str">
        <f>"SC_100991"</f>
        <v>SC_100991</v>
      </c>
      <c r="M5192" s="84">
        <v>42784</v>
      </c>
      <c r="N5192" s="85">
        <f t="shared" si="1566"/>
        <v>1028</v>
      </c>
      <c r="O5192" s="86">
        <f t="shared" si="1567"/>
        <v>-75.599999999999994</v>
      </c>
      <c r="P5192" s="86">
        <f t="shared" si="1568"/>
        <v>0</v>
      </c>
      <c r="Q5192" s="86">
        <f t="shared" si="1569"/>
        <v>0</v>
      </c>
      <c r="R5192" s="86">
        <f t="shared" si="1570"/>
        <v>0</v>
      </c>
      <c r="S5192" s="86">
        <f t="shared" si="1571"/>
        <v>0</v>
      </c>
      <c r="T5192" s="86">
        <f t="shared" si="1572"/>
        <v>-75.599999999999994</v>
      </c>
      <c r="U5192" s="87">
        <v>-75.599999999999994</v>
      </c>
    </row>
    <row r="5193" spans="1:21" s="30" customFormat="1" ht="24.6" hidden="1" outlineLevel="1" x14ac:dyDescent="0.55000000000000004">
      <c r="A5193" s="27" t="s">
        <v>327</v>
      </c>
      <c r="B5193" s="28"/>
      <c r="C5193" s="27"/>
      <c r="D5193" s="27" t="str">
        <f>"""NAV Direct"",""CRONUS JetCorp USA"",""21"",""1"",""441931"""</f>
        <v>"NAV Direct","CRONUS JetCorp USA","21","1","441931"</v>
      </c>
      <c r="E5193" s="31" t="str">
        <f t="shared" si="1564"/>
        <v>C100140</v>
      </c>
      <c r="F5193" s="31"/>
      <c r="G5193" s="31"/>
      <c r="H5193" s="31"/>
      <c r="I5193" s="56"/>
      <c r="J5193" s="56"/>
      <c r="K5193" s="82" t="str">
        <f t="shared" si="1573"/>
        <v>Credit Memo</v>
      </c>
      <c r="L5193" s="83" t="str">
        <f>"SC_100996"</f>
        <v>SC_100996</v>
      </c>
      <c r="M5193" s="84">
        <v>42849</v>
      </c>
      <c r="N5193" s="85">
        <f t="shared" si="1566"/>
        <v>963</v>
      </c>
      <c r="O5193" s="86">
        <f t="shared" si="1567"/>
        <v>-75.75</v>
      </c>
      <c r="P5193" s="86">
        <f t="shared" si="1568"/>
        <v>0</v>
      </c>
      <c r="Q5193" s="86">
        <f t="shared" si="1569"/>
        <v>0</v>
      </c>
      <c r="R5193" s="86">
        <f t="shared" si="1570"/>
        <v>0</v>
      </c>
      <c r="S5193" s="86">
        <f t="shared" si="1571"/>
        <v>0</v>
      </c>
      <c r="T5193" s="86">
        <f t="shared" si="1572"/>
        <v>-75.75</v>
      </c>
      <c r="U5193" s="87">
        <v>-75.75</v>
      </c>
    </row>
    <row r="5194" spans="1:21" s="30" customFormat="1" ht="24.6" hidden="1" outlineLevel="1" x14ac:dyDescent="0.55000000000000004">
      <c r="A5194" s="27" t="s">
        <v>327</v>
      </c>
      <c r="B5194" s="28"/>
      <c r="C5194" s="27"/>
      <c r="D5194" s="27" t="str">
        <f>"""NAV Direct"",""CRONUS JetCorp USA"",""21"",""1"",""442019"""</f>
        <v>"NAV Direct","CRONUS JetCorp USA","21","1","442019"</v>
      </c>
      <c r="E5194" s="31">
        <f t="shared" si="1564"/>
        <v>0</v>
      </c>
      <c r="F5194" s="31"/>
      <c r="G5194" s="31"/>
      <c r="H5194" s="31"/>
      <c r="I5194" s="56"/>
      <c r="J5194" s="56"/>
      <c r="K5194" s="82" t="str">
        <f t="shared" si="1573"/>
        <v>Credit Memo</v>
      </c>
      <c r="L5194" s="83" t="str">
        <f>"SC_101000"</f>
        <v>SC_101000</v>
      </c>
      <c r="M5194" s="84">
        <v>42905</v>
      </c>
      <c r="N5194" s="85">
        <f t="shared" si="1566"/>
        <v>907</v>
      </c>
      <c r="O5194" s="86">
        <f t="shared" si="1567"/>
        <v>-75.64</v>
      </c>
      <c r="P5194" s="86">
        <f t="shared" si="1568"/>
        <v>0</v>
      </c>
      <c r="Q5194" s="86">
        <f t="shared" si="1569"/>
        <v>0</v>
      </c>
      <c r="R5194" s="86">
        <f t="shared" si="1570"/>
        <v>0</v>
      </c>
      <c r="S5194" s="86">
        <f t="shared" si="1571"/>
        <v>0</v>
      </c>
      <c r="T5194" s="86">
        <f t="shared" si="1572"/>
        <v>-75.64</v>
      </c>
      <c r="U5194" s="87">
        <v>-75.64</v>
      </c>
    </row>
    <row r="5195" spans="1:21" s="30" customFormat="1" ht="24.6" hidden="1" outlineLevel="1" x14ac:dyDescent="0.55000000000000004">
      <c r="A5195" s="27" t="s">
        <v>327</v>
      </c>
      <c r="B5195" s="28"/>
      <c r="C5195" s="27"/>
      <c r="D5195" s="27" t="str">
        <f>"""NAV Direct"",""CRONUS JetCorp USA"",""21"",""1"",""442110"""</f>
        <v>"NAV Direct","CRONUS JetCorp USA","21","1","442110"</v>
      </c>
      <c r="E5195" s="31" t="str">
        <f t="shared" si="1564"/>
        <v>C100140</v>
      </c>
      <c r="F5195" s="31"/>
      <c r="G5195" s="31"/>
      <c r="H5195" s="31"/>
      <c r="I5195" s="56"/>
      <c r="J5195" s="56"/>
      <c r="K5195" s="82" t="str">
        <f t="shared" si="1573"/>
        <v>Credit Memo</v>
      </c>
      <c r="L5195" s="83" t="str">
        <f>"SC_101005"</f>
        <v>SC_101005</v>
      </c>
      <c r="M5195" s="84">
        <v>43027</v>
      </c>
      <c r="N5195" s="85">
        <f t="shared" si="1566"/>
        <v>785</v>
      </c>
      <c r="O5195" s="86">
        <f t="shared" si="1567"/>
        <v>-52.540000000000006</v>
      </c>
      <c r="P5195" s="86">
        <f t="shared" si="1568"/>
        <v>0</v>
      </c>
      <c r="Q5195" s="86">
        <f t="shared" si="1569"/>
        <v>0</v>
      </c>
      <c r="R5195" s="86">
        <f t="shared" si="1570"/>
        <v>0</v>
      </c>
      <c r="S5195" s="86">
        <f t="shared" si="1571"/>
        <v>0</v>
      </c>
      <c r="T5195" s="86">
        <f t="shared" si="1572"/>
        <v>-52.540000000000006</v>
      </c>
      <c r="U5195" s="87">
        <v>-52.540000000000006</v>
      </c>
    </row>
    <row r="5196" spans="1:21" s="30" customFormat="1" ht="24.6" hidden="1" outlineLevel="1" x14ac:dyDescent="0.55000000000000004">
      <c r="A5196" s="27" t="s">
        <v>327</v>
      </c>
      <c r="B5196" s="28"/>
      <c r="C5196" s="27"/>
      <c r="D5196" s="27" t="str">
        <f>"""NAV Direct"",""CRONUS JetCorp USA"",""21"",""1"",""442249"""</f>
        <v>"NAV Direct","CRONUS JetCorp USA","21","1","442249"</v>
      </c>
      <c r="E5196" s="31">
        <f t="shared" si="1564"/>
        <v>0</v>
      </c>
      <c r="F5196" s="31"/>
      <c r="G5196" s="31"/>
      <c r="H5196" s="31"/>
      <c r="I5196" s="56"/>
      <c r="J5196" s="56"/>
      <c r="K5196" s="82" t="str">
        <f t="shared" si="1573"/>
        <v>Credit Memo</v>
      </c>
      <c r="L5196" s="83" t="str">
        <f>"SC_101012"</f>
        <v>SC_101012</v>
      </c>
      <c r="M5196" s="84">
        <v>43214</v>
      </c>
      <c r="N5196" s="85">
        <f t="shared" si="1566"/>
        <v>598</v>
      </c>
      <c r="O5196" s="86">
        <f t="shared" si="1567"/>
        <v>-54.73</v>
      </c>
      <c r="P5196" s="86">
        <f t="shared" si="1568"/>
        <v>0</v>
      </c>
      <c r="Q5196" s="86">
        <f t="shared" si="1569"/>
        <v>0</v>
      </c>
      <c r="R5196" s="86">
        <f t="shared" si="1570"/>
        <v>0</v>
      </c>
      <c r="S5196" s="86">
        <f t="shared" si="1571"/>
        <v>0</v>
      </c>
      <c r="T5196" s="86">
        <f t="shared" si="1572"/>
        <v>-54.73</v>
      </c>
      <c r="U5196" s="87">
        <v>-54.73</v>
      </c>
    </row>
    <row r="5197" spans="1:21" s="30" customFormat="1" ht="24.6" hidden="1" outlineLevel="1" x14ac:dyDescent="0.55000000000000004">
      <c r="A5197" s="27" t="s">
        <v>327</v>
      </c>
      <c r="B5197" s="28"/>
      <c r="C5197" s="27"/>
      <c r="D5197" s="27" t="str">
        <f>"""NAV Direct"",""CRONUS JetCorp USA"",""21"",""1"",""442271"""</f>
        <v>"NAV Direct","CRONUS JetCorp USA","21","1","442271"</v>
      </c>
      <c r="E5197" s="31" t="str">
        <f t="shared" si="1564"/>
        <v>C100140</v>
      </c>
      <c r="F5197" s="31"/>
      <c r="G5197" s="31"/>
      <c r="H5197" s="31"/>
      <c r="I5197" s="56"/>
      <c r="J5197" s="56"/>
      <c r="K5197" s="82" t="str">
        <f t="shared" si="1573"/>
        <v>Credit Memo</v>
      </c>
      <c r="L5197" s="83" t="str">
        <f>"SC_101013"</f>
        <v>SC_101013</v>
      </c>
      <c r="M5197" s="84">
        <v>43220</v>
      </c>
      <c r="N5197" s="85">
        <f t="shared" si="1566"/>
        <v>592</v>
      </c>
      <c r="O5197" s="86">
        <f t="shared" si="1567"/>
        <v>-55.470000000000006</v>
      </c>
      <c r="P5197" s="86">
        <f t="shared" si="1568"/>
        <v>0</v>
      </c>
      <c r="Q5197" s="86">
        <f t="shared" si="1569"/>
        <v>0</v>
      </c>
      <c r="R5197" s="86">
        <f t="shared" si="1570"/>
        <v>0</v>
      </c>
      <c r="S5197" s="86">
        <f t="shared" si="1571"/>
        <v>0</v>
      </c>
      <c r="T5197" s="86">
        <f t="shared" si="1572"/>
        <v>-55.470000000000006</v>
      </c>
      <c r="U5197" s="87">
        <v>-55.470000000000006</v>
      </c>
    </row>
    <row r="5198" spans="1:21" s="30" customFormat="1" ht="24.6" hidden="1" outlineLevel="1" x14ac:dyDescent="0.55000000000000004">
      <c r="A5198" s="27" t="s">
        <v>327</v>
      </c>
      <c r="B5198" s="28"/>
      <c r="C5198" s="27"/>
      <c r="D5198" s="27" t="str">
        <f>"""NAV Direct"",""CRONUS JetCorp USA"",""21"",""1"",""442290"""</f>
        <v>"NAV Direct","CRONUS JetCorp USA","21","1","442290"</v>
      </c>
      <c r="E5198" s="31">
        <f t="shared" si="1564"/>
        <v>0</v>
      </c>
      <c r="F5198" s="31"/>
      <c r="G5198" s="31"/>
      <c r="H5198" s="31"/>
      <c r="I5198" s="56"/>
      <c r="J5198" s="56"/>
      <c r="K5198" s="82" t="str">
        <f t="shared" si="1573"/>
        <v>Credit Memo</v>
      </c>
      <c r="L5198" s="83" t="str">
        <f>"SC_101014"</f>
        <v>SC_101014</v>
      </c>
      <c r="M5198" s="84">
        <v>43228</v>
      </c>
      <c r="N5198" s="85">
        <f t="shared" si="1566"/>
        <v>584</v>
      </c>
      <c r="O5198" s="86">
        <f t="shared" si="1567"/>
        <v>-55.470000000000006</v>
      </c>
      <c r="P5198" s="86">
        <f t="shared" si="1568"/>
        <v>0</v>
      </c>
      <c r="Q5198" s="86">
        <f t="shared" si="1569"/>
        <v>0</v>
      </c>
      <c r="R5198" s="86">
        <f t="shared" si="1570"/>
        <v>0</v>
      </c>
      <c r="S5198" s="86">
        <f t="shared" si="1571"/>
        <v>0</v>
      </c>
      <c r="T5198" s="86">
        <f t="shared" si="1572"/>
        <v>-55.470000000000006</v>
      </c>
      <c r="U5198" s="87">
        <v>-55.470000000000006</v>
      </c>
    </row>
    <row r="5199" spans="1:21" s="30" customFormat="1" ht="24.6" hidden="1" outlineLevel="1" x14ac:dyDescent="0.55000000000000004">
      <c r="A5199" s="27" t="s">
        <v>327</v>
      </c>
      <c r="B5199" s="28"/>
      <c r="C5199" s="27"/>
      <c r="D5199" s="27" t="str">
        <f>"""NAV Direct"",""CRONUS JetCorp USA"",""21"",""1"",""442308"""</f>
        <v>"NAV Direct","CRONUS JetCorp USA","21","1","442308"</v>
      </c>
      <c r="E5199" s="31" t="str">
        <f t="shared" si="1564"/>
        <v>C100140</v>
      </c>
      <c r="F5199" s="31"/>
      <c r="G5199" s="31"/>
      <c r="H5199" s="31"/>
      <c r="I5199" s="56"/>
      <c r="J5199" s="56"/>
      <c r="K5199" s="82" t="str">
        <f t="shared" si="1573"/>
        <v>Credit Memo</v>
      </c>
      <c r="L5199" s="83" t="str">
        <f>"SC_101015"</f>
        <v>SC_101015</v>
      </c>
      <c r="M5199" s="84">
        <v>43234</v>
      </c>
      <c r="N5199" s="85">
        <f t="shared" si="1566"/>
        <v>578</v>
      </c>
      <c r="O5199" s="86">
        <f t="shared" si="1567"/>
        <v>-55.61</v>
      </c>
      <c r="P5199" s="86">
        <f t="shared" si="1568"/>
        <v>0</v>
      </c>
      <c r="Q5199" s="86">
        <f t="shared" si="1569"/>
        <v>0</v>
      </c>
      <c r="R5199" s="86">
        <f t="shared" si="1570"/>
        <v>0</v>
      </c>
      <c r="S5199" s="86">
        <f t="shared" si="1571"/>
        <v>0</v>
      </c>
      <c r="T5199" s="86">
        <f t="shared" si="1572"/>
        <v>-55.61</v>
      </c>
      <c r="U5199" s="87">
        <v>-55.61</v>
      </c>
    </row>
    <row r="5200" spans="1:21" s="30" customFormat="1" ht="24.6" hidden="1" outlineLevel="1" x14ac:dyDescent="0.55000000000000004">
      <c r="A5200" s="27" t="s">
        <v>327</v>
      </c>
      <c r="B5200" s="28"/>
      <c r="C5200" s="27"/>
      <c r="D5200" s="27" t="str">
        <f>"""NAV Direct"",""CRONUS JetCorp USA"",""21"",""1"",""442433"""</f>
        <v>"NAV Direct","CRONUS JetCorp USA","21","1","442433"</v>
      </c>
      <c r="E5200" s="31">
        <f t="shared" si="1564"/>
        <v>0</v>
      </c>
      <c r="F5200" s="31"/>
      <c r="G5200" s="31"/>
      <c r="H5200" s="31"/>
      <c r="I5200" s="56"/>
      <c r="J5200" s="56"/>
      <c r="K5200" s="82" t="str">
        <f t="shared" si="1573"/>
        <v>Credit Memo</v>
      </c>
      <c r="L5200" s="83" t="str">
        <f>"SC_101022"</f>
        <v>SC_101022</v>
      </c>
      <c r="M5200" s="84">
        <v>43347</v>
      </c>
      <c r="N5200" s="85">
        <f t="shared" si="1566"/>
        <v>465</v>
      </c>
      <c r="O5200" s="86">
        <f t="shared" si="1567"/>
        <v>-69.64</v>
      </c>
      <c r="P5200" s="86">
        <f t="shared" si="1568"/>
        <v>0</v>
      </c>
      <c r="Q5200" s="86">
        <f t="shared" si="1569"/>
        <v>0</v>
      </c>
      <c r="R5200" s="86">
        <f t="shared" si="1570"/>
        <v>0</v>
      </c>
      <c r="S5200" s="86">
        <f t="shared" si="1571"/>
        <v>0</v>
      </c>
      <c r="T5200" s="86">
        <f t="shared" si="1572"/>
        <v>-69.64</v>
      </c>
      <c r="U5200" s="87">
        <v>-69.64</v>
      </c>
    </row>
    <row r="5201" spans="1:21" s="30" customFormat="1" ht="24.6" hidden="1" outlineLevel="1" x14ac:dyDescent="0.55000000000000004">
      <c r="A5201" s="27" t="s">
        <v>327</v>
      </c>
      <c r="B5201" s="28"/>
      <c r="C5201" s="27"/>
      <c r="D5201" s="27" t="str">
        <f>"""NAV Direct"",""CRONUS JetCorp USA"",""21"",""1"",""442478"""</f>
        <v>"NAV Direct","CRONUS JetCorp USA","21","1","442478"</v>
      </c>
      <c r="E5201" s="31" t="str">
        <f t="shared" si="1564"/>
        <v>C100140</v>
      </c>
      <c r="F5201" s="31"/>
      <c r="G5201" s="31"/>
      <c r="H5201" s="31"/>
      <c r="I5201" s="56"/>
      <c r="J5201" s="56"/>
      <c r="K5201" s="82" t="str">
        <f t="shared" si="1573"/>
        <v>Credit Memo</v>
      </c>
      <c r="L5201" s="83" t="str">
        <f>"SC_101024"</f>
        <v>SC_101024</v>
      </c>
      <c r="M5201" s="84">
        <v>43354</v>
      </c>
      <c r="N5201" s="85">
        <f t="shared" si="1566"/>
        <v>458</v>
      </c>
      <c r="O5201" s="86">
        <f t="shared" si="1567"/>
        <v>-69.69</v>
      </c>
      <c r="P5201" s="86">
        <f t="shared" si="1568"/>
        <v>0</v>
      </c>
      <c r="Q5201" s="86">
        <f t="shared" si="1569"/>
        <v>0</v>
      </c>
      <c r="R5201" s="86">
        <f t="shared" si="1570"/>
        <v>0</v>
      </c>
      <c r="S5201" s="86">
        <f t="shared" si="1571"/>
        <v>0</v>
      </c>
      <c r="T5201" s="86">
        <f t="shared" si="1572"/>
        <v>-69.69</v>
      </c>
      <c r="U5201" s="87">
        <v>-69.69</v>
      </c>
    </row>
    <row r="5202" spans="1:21" s="30" customFormat="1" ht="24.6" hidden="1" outlineLevel="1" x14ac:dyDescent="0.55000000000000004">
      <c r="A5202" s="27" t="s">
        <v>327</v>
      </c>
      <c r="B5202" s="28"/>
      <c r="C5202" s="27"/>
      <c r="D5202" s="27" t="str">
        <f>"""NAV Direct"",""CRONUS JetCorp USA"",""21"",""1"",""442503"""</f>
        <v>"NAV Direct","CRONUS JetCorp USA","21","1","442503"</v>
      </c>
      <c r="E5202" s="31">
        <f t="shared" si="1564"/>
        <v>0</v>
      </c>
      <c r="F5202" s="31"/>
      <c r="G5202" s="31"/>
      <c r="H5202" s="31"/>
      <c r="I5202" s="56"/>
      <c r="J5202" s="56"/>
      <c r="K5202" s="82" t="str">
        <f t="shared" si="1573"/>
        <v>Credit Memo</v>
      </c>
      <c r="L5202" s="83" t="str">
        <f>"SC_101025"</f>
        <v>SC_101025</v>
      </c>
      <c r="M5202" s="84">
        <v>43359</v>
      </c>
      <c r="N5202" s="85">
        <f t="shared" si="1566"/>
        <v>453</v>
      </c>
      <c r="O5202" s="86">
        <f t="shared" si="1567"/>
        <v>-69.72</v>
      </c>
      <c r="P5202" s="86">
        <f t="shared" si="1568"/>
        <v>0</v>
      </c>
      <c r="Q5202" s="86">
        <f t="shared" si="1569"/>
        <v>0</v>
      </c>
      <c r="R5202" s="86">
        <f t="shared" si="1570"/>
        <v>0</v>
      </c>
      <c r="S5202" s="86">
        <f t="shared" si="1571"/>
        <v>0</v>
      </c>
      <c r="T5202" s="86">
        <f t="shared" si="1572"/>
        <v>-69.72</v>
      </c>
      <c r="U5202" s="87">
        <v>-69.72</v>
      </c>
    </row>
    <row r="5203" spans="1:21" s="30" customFormat="1" ht="24.6" hidden="1" outlineLevel="1" x14ac:dyDescent="0.55000000000000004">
      <c r="A5203" s="27" t="s">
        <v>327</v>
      </c>
      <c r="B5203" s="28"/>
      <c r="C5203" s="27"/>
      <c r="D5203" s="27" t="str">
        <f>"""NAV Direct"",""CRONUS JetCorp USA"",""21"",""1"",""442706"""</f>
        <v>"NAV Direct","CRONUS JetCorp USA","21","1","442706"</v>
      </c>
      <c r="E5203" s="31" t="str">
        <f t="shared" ref="E5203:E5214" si="1574">E5201</f>
        <v>C100140</v>
      </c>
      <c r="F5203" s="31"/>
      <c r="G5203" s="31"/>
      <c r="H5203" s="31"/>
      <c r="I5203" s="56"/>
      <c r="J5203" s="56"/>
      <c r="K5203" s="82" t="str">
        <f t="shared" si="1573"/>
        <v>Credit Memo</v>
      </c>
      <c r="L5203" s="83" t="str">
        <f>"SC_101037"</f>
        <v>SC_101037</v>
      </c>
      <c r="M5203" s="84">
        <v>43568</v>
      </c>
      <c r="N5203" s="85">
        <f t="shared" ref="N5203:N5214" si="1575">StartDate-$M5203+1</f>
        <v>244</v>
      </c>
      <c r="O5203" s="86">
        <f t="shared" ref="O5203:O5214" si="1576">SUM(P5203:T5203)</f>
        <v>-83.88</v>
      </c>
      <c r="P5203" s="86">
        <f t="shared" ref="P5203:P5214" si="1577">IF($M5203&gt;=$P$18,U5203,0)</f>
        <v>0</v>
      </c>
      <c r="Q5203" s="86">
        <f t="shared" ref="Q5203:Q5214" si="1578">IF(AND($M5203&gt;=$Q$16,$M5203&lt;=$Q$18),U5203,0)</f>
        <v>0</v>
      </c>
      <c r="R5203" s="86">
        <f t="shared" ref="R5203:R5214" si="1579">IF(AND($M5203&gt;=$R$16,$M5203&lt;=$R$18),U5203,0)</f>
        <v>0</v>
      </c>
      <c r="S5203" s="86">
        <f t="shared" ref="S5203:S5214" si="1580">IF(AND($M5203&gt;=$S$16,$M5203&lt;=$S$18),U5203,0)</f>
        <v>0</v>
      </c>
      <c r="T5203" s="86">
        <f t="shared" ref="T5203:T5214" si="1581">IF($M5203&lt;=$T$18,U5203,0)</f>
        <v>-83.88</v>
      </c>
      <c r="U5203" s="87">
        <v>-83.88</v>
      </c>
    </row>
    <row r="5204" spans="1:21" s="30" customFormat="1" ht="24.6" hidden="1" outlineLevel="1" x14ac:dyDescent="0.55000000000000004">
      <c r="A5204" s="27" t="s">
        <v>327</v>
      </c>
      <c r="B5204" s="28"/>
      <c r="C5204" s="27"/>
      <c r="D5204" s="27" t="str">
        <f>"""NAV Direct"",""CRONUS JetCorp USA"",""21"",""1"",""443023"""</f>
        <v>"NAV Direct","CRONUS JetCorp USA","21","1","443023"</v>
      </c>
      <c r="E5204" s="31">
        <f t="shared" si="1574"/>
        <v>0</v>
      </c>
      <c r="F5204" s="31"/>
      <c r="G5204" s="31"/>
      <c r="H5204" s="31"/>
      <c r="I5204" s="56"/>
      <c r="J5204" s="56"/>
      <c r="K5204" s="82" t="str">
        <f t="shared" si="1573"/>
        <v>Credit Memo</v>
      </c>
      <c r="L5204" s="83" t="str">
        <f>"SC_101053"</f>
        <v>SC_101053</v>
      </c>
      <c r="M5204" s="84">
        <v>42010</v>
      </c>
      <c r="N5204" s="85">
        <f t="shared" si="1575"/>
        <v>1802</v>
      </c>
      <c r="O5204" s="86">
        <f t="shared" si="1576"/>
        <v>-76.430000000000007</v>
      </c>
      <c r="P5204" s="86">
        <f t="shared" si="1577"/>
        <v>0</v>
      </c>
      <c r="Q5204" s="86">
        <f t="shared" si="1578"/>
        <v>0</v>
      </c>
      <c r="R5204" s="86">
        <f t="shared" si="1579"/>
        <v>0</v>
      </c>
      <c r="S5204" s="86">
        <f t="shared" si="1580"/>
        <v>0</v>
      </c>
      <c r="T5204" s="86">
        <f t="shared" si="1581"/>
        <v>-76.430000000000007</v>
      </c>
      <c r="U5204" s="87">
        <v>-76.430000000000007</v>
      </c>
    </row>
    <row r="5205" spans="1:21" s="30" customFormat="1" ht="24.6" hidden="1" outlineLevel="1" x14ac:dyDescent="0.55000000000000004">
      <c r="A5205" s="27" t="s">
        <v>327</v>
      </c>
      <c r="B5205" s="28"/>
      <c r="C5205" s="27"/>
      <c r="D5205" s="27" t="str">
        <f>"""NAV Direct"",""CRONUS JetCorp USA"",""21"",""1"",""443046"""</f>
        <v>"NAV Direct","CRONUS JetCorp USA","21","1","443046"</v>
      </c>
      <c r="E5205" s="31" t="str">
        <f t="shared" si="1574"/>
        <v>C100140</v>
      </c>
      <c r="F5205" s="31"/>
      <c r="G5205" s="31"/>
      <c r="H5205" s="31"/>
      <c r="I5205" s="56"/>
      <c r="J5205" s="56"/>
      <c r="K5205" s="82" t="str">
        <f t="shared" si="1573"/>
        <v>Credit Memo</v>
      </c>
      <c r="L5205" s="83" t="str">
        <f>"SC_101054"</f>
        <v>SC_101054</v>
      </c>
      <c r="M5205" s="84">
        <v>42025</v>
      </c>
      <c r="N5205" s="85">
        <f t="shared" si="1575"/>
        <v>1787</v>
      </c>
      <c r="O5205" s="86">
        <f t="shared" si="1576"/>
        <v>-76.510000000000005</v>
      </c>
      <c r="P5205" s="86">
        <f t="shared" si="1577"/>
        <v>0</v>
      </c>
      <c r="Q5205" s="86">
        <f t="shared" si="1578"/>
        <v>0</v>
      </c>
      <c r="R5205" s="86">
        <f t="shared" si="1579"/>
        <v>0</v>
      </c>
      <c r="S5205" s="86">
        <f t="shared" si="1580"/>
        <v>0</v>
      </c>
      <c r="T5205" s="86">
        <f t="shared" si="1581"/>
        <v>-76.510000000000005</v>
      </c>
      <c r="U5205" s="87">
        <v>-76.510000000000005</v>
      </c>
    </row>
    <row r="5206" spans="1:21" s="30" customFormat="1" ht="24.6" hidden="1" outlineLevel="1" x14ac:dyDescent="0.55000000000000004">
      <c r="A5206" s="27" t="s">
        <v>327</v>
      </c>
      <c r="B5206" s="28"/>
      <c r="C5206" s="27"/>
      <c r="D5206" s="27" t="str">
        <f>"""NAV Direct"",""CRONUS JetCorp USA"",""21"",""1"",""443082"""</f>
        <v>"NAV Direct","CRONUS JetCorp USA","21","1","443082"</v>
      </c>
      <c r="E5206" s="31">
        <f t="shared" si="1574"/>
        <v>0</v>
      </c>
      <c r="F5206" s="31"/>
      <c r="G5206" s="31"/>
      <c r="H5206" s="31"/>
      <c r="I5206" s="56"/>
      <c r="J5206" s="56"/>
      <c r="K5206" s="82" t="str">
        <f t="shared" si="1573"/>
        <v>Credit Memo</v>
      </c>
      <c r="L5206" s="83" t="str">
        <f>"SC_101056"</f>
        <v>SC_101056</v>
      </c>
      <c r="M5206" s="84">
        <v>42047</v>
      </c>
      <c r="N5206" s="85">
        <f t="shared" si="1575"/>
        <v>1765</v>
      </c>
      <c r="O5206" s="86">
        <f t="shared" si="1576"/>
        <v>-77.53</v>
      </c>
      <c r="P5206" s="86">
        <f t="shared" si="1577"/>
        <v>0</v>
      </c>
      <c r="Q5206" s="86">
        <f t="shared" si="1578"/>
        <v>0</v>
      </c>
      <c r="R5206" s="86">
        <f t="shared" si="1579"/>
        <v>0</v>
      </c>
      <c r="S5206" s="86">
        <f t="shared" si="1580"/>
        <v>0</v>
      </c>
      <c r="T5206" s="86">
        <f t="shared" si="1581"/>
        <v>-77.53</v>
      </c>
      <c r="U5206" s="87">
        <v>-77.53</v>
      </c>
    </row>
    <row r="5207" spans="1:21" s="30" customFormat="1" ht="24.6" hidden="1" outlineLevel="1" x14ac:dyDescent="0.55000000000000004">
      <c r="A5207" s="27" t="s">
        <v>327</v>
      </c>
      <c r="B5207" s="28"/>
      <c r="C5207" s="27"/>
      <c r="D5207" s="27" t="str">
        <f>"""NAV Direct"",""CRONUS JetCorp USA"",""21"",""1"",""443122"""</f>
        <v>"NAV Direct","CRONUS JetCorp USA","21","1","443122"</v>
      </c>
      <c r="E5207" s="31" t="str">
        <f t="shared" si="1574"/>
        <v>C100140</v>
      </c>
      <c r="F5207" s="31"/>
      <c r="G5207" s="31"/>
      <c r="H5207" s="31"/>
      <c r="I5207" s="56"/>
      <c r="J5207" s="56"/>
      <c r="K5207" s="82" t="str">
        <f t="shared" si="1573"/>
        <v>Credit Memo</v>
      </c>
      <c r="L5207" s="83" t="str">
        <f>"SC_101058"</f>
        <v>SC_101058</v>
      </c>
      <c r="M5207" s="84">
        <v>42098</v>
      </c>
      <c r="N5207" s="85">
        <f t="shared" si="1575"/>
        <v>1714</v>
      </c>
      <c r="O5207" s="86">
        <f t="shared" si="1576"/>
        <v>-83.95</v>
      </c>
      <c r="P5207" s="86">
        <f t="shared" si="1577"/>
        <v>0</v>
      </c>
      <c r="Q5207" s="86">
        <f t="shared" si="1578"/>
        <v>0</v>
      </c>
      <c r="R5207" s="86">
        <f t="shared" si="1579"/>
        <v>0</v>
      </c>
      <c r="S5207" s="86">
        <f t="shared" si="1580"/>
        <v>0</v>
      </c>
      <c r="T5207" s="86">
        <f t="shared" si="1581"/>
        <v>-83.95</v>
      </c>
      <c r="U5207" s="87">
        <v>-83.95</v>
      </c>
    </row>
    <row r="5208" spans="1:21" s="30" customFormat="1" ht="24.6" hidden="1" outlineLevel="1" x14ac:dyDescent="0.55000000000000004">
      <c r="A5208" s="27" t="s">
        <v>327</v>
      </c>
      <c r="B5208" s="28"/>
      <c r="C5208" s="27"/>
      <c r="D5208" s="27" t="str">
        <f>"""NAV Direct"",""CRONUS JetCorp USA"",""21"",""1"",""443141"""</f>
        <v>"NAV Direct","CRONUS JetCorp USA","21","1","443141"</v>
      </c>
      <c r="E5208" s="31">
        <f t="shared" si="1574"/>
        <v>0</v>
      </c>
      <c r="F5208" s="31"/>
      <c r="G5208" s="31"/>
      <c r="H5208" s="31"/>
      <c r="I5208" s="56"/>
      <c r="J5208" s="56"/>
      <c r="K5208" s="82" t="str">
        <f t="shared" si="1573"/>
        <v>Credit Memo</v>
      </c>
      <c r="L5208" s="83" t="str">
        <f>"SC_101059"</f>
        <v>SC_101059</v>
      </c>
      <c r="M5208" s="84">
        <v>42110</v>
      </c>
      <c r="N5208" s="85">
        <f t="shared" si="1575"/>
        <v>1702</v>
      </c>
      <c r="O5208" s="86">
        <f t="shared" si="1576"/>
        <v>-86.68</v>
      </c>
      <c r="P5208" s="86">
        <f t="shared" si="1577"/>
        <v>0</v>
      </c>
      <c r="Q5208" s="86">
        <f t="shared" si="1578"/>
        <v>0</v>
      </c>
      <c r="R5208" s="86">
        <f t="shared" si="1579"/>
        <v>0</v>
      </c>
      <c r="S5208" s="86">
        <f t="shared" si="1580"/>
        <v>0</v>
      </c>
      <c r="T5208" s="86">
        <f t="shared" si="1581"/>
        <v>-86.68</v>
      </c>
      <c r="U5208" s="87">
        <v>-86.68</v>
      </c>
    </row>
    <row r="5209" spans="1:21" s="30" customFormat="1" ht="24.6" hidden="1" outlineLevel="1" x14ac:dyDescent="0.55000000000000004">
      <c r="A5209" s="27" t="s">
        <v>327</v>
      </c>
      <c r="B5209" s="28"/>
      <c r="C5209" s="27"/>
      <c r="D5209" s="27" t="str">
        <f>"""NAV Direct"",""CRONUS JetCorp USA"",""21"",""1"",""443236"""</f>
        <v>"NAV Direct","CRONUS JetCorp USA","21","1","443236"</v>
      </c>
      <c r="E5209" s="31" t="str">
        <f t="shared" si="1574"/>
        <v>C100140</v>
      </c>
      <c r="F5209" s="31"/>
      <c r="G5209" s="31"/>
      <c r="H5209" s="31"/>
      <c r="I5209" s="56"/>
      <c r="J5209" s="56"/>
      <c r="K5209" s="82" t="str">
        <f t="shared" si="1573"/>
        <v>Credit Memo</v>
      </c>
      <c r="L5209" s="83" t="str">
        <f>"SC_101064"</f>
        <v>SC_101064</v>
      </c>
      <c r="M5209" s="84">
        <v>42147</v>
      </c>
      <c r="N5209" s="85">
        <f t="shared" si="1575"/>
        <v>1665</v>
      </c>
      <c r="O5209" s="86">
        <f t="shared" si="1576"/>
        <v>-51.95</v>
      </c>
      <c r="P5209" s="86">
        <f t="shared" si="1577"/>
        <v>0</v>
      </c>
      <c r="Q5209" s="86">
        <f t="shared" si="1578"/>
        <v>0</v>
      </c>
      <c r="R5209" s="86">
        <f t="shared" si="1579"/>
        <v>0</v>
      </c>
      <c r="S5209" s="86">
        <f t="shared" si="1580"/>
        <v>0</v>
      </c>
      <c r="T5209" s="86">
        <f t="shared" si="1581"/>
        <v>-51.95</v>
      </c>
      <c r="U5209" s="87">
        <v>-51.95</v>
      </c>
    </row>
    <row r="5210" spans="1:21" s="30" customFormat="1" ht="24.6" hidden="1" outlineLevel="1" x14ac:dyDescent="0.55000000000000004">
      <c r="A5210" s="27" t="s">
        <v>327</v>
      </c>
      <c r="B5210" s="28"/>
      <c r="C5210" s="27"/>
      <c r="D5210" s="27" t="str">
        <f>"""NAV Direct"",""CRONUS JetCorp USA"",""21"",""1"",""443341"""</f>
        <v>"NAV Direct","CRONUS JetCorp USA","21","1","443341"</v>
      </c>
      <c r="E5210" s="31">
        <f t="shared" si="1574"/>
        <v>0</v>
      </c>
      <c r="F5210" s="31"/>
      <c r="G5210" s="31"/>
      <c r="H5210" s="31"/>
      <c r="I5210" s="56"/>
      <c r="J5210" s="56"/>
      <c r="K5210" s="82" t="str">
        <f t="shared" si="1573"/>
        <v>Credit Memo</v>
      </c>
      <c r="L5210" s="83" t="str">
        <f>"SC_101069"</f>
        <v>SC_101069</v>
      </c>
      <c r="M5210" s="84">
        <v>42217</v>
      </c>
      <c r="N5210" s="85">
        <f t="shared" si="1575"/>
        <v>1595</v>
      </c>
      <c r="O5210" s="86">
        <f t="shared" si="1576"/>
        <v>-56</v>
      </c>
      <c r="P5210" s="86">
        <f t="shared" si="1577"/>
        <v>0</v>
      </c>
      <c r="Q5210" s="86">
        <f t="shared" si="1578"/>
        <v>0</v>
      </c>
      <c r="R5210" s="86">
        <f t="shared" si="1579"/>
        <v>0</v>
      </c>
      <c r="S5210" s="86">
        <f t="shared" si="1580"/>
        <v>0</v>
      </c>
      <c r="T5210" s="86">
        <f t="shared" si="1581"/>
        <v>-56</v>
      </c>
      <c r="U5210" s="87">
        <v>-56</v>
      </c>
    </row>
    <row r="5211" spans="1:21" s="30" customFormat="1" ht="24.6" hidden="1" outlineLevel="1" x14ac:dyDescent="0.55000000000000004">
      <c r="A5211" s="27" t="s">
        <v>327</v>
      </c>
      <c r="B5211" s="28"/>
      <c r="C5211" s="27"/>
      <c r="D5211" s="27" t="str">
        <f>"""NAV Direct"",""CRONUS JetCorp USA"",""21"",""1"",""443354"""</f>
        <v>"NAV Direct","CRONUS JetCorp USA","21","1","443354"</v>
      </c>
      <c r="E5211" s="31" t="str">
        <f t="shared" si="1574"/>
        <v>C100140</v>
      </c>
      <c r="F5211" s="31"/>
      <c r="G5211" s="31"/>
      <c r="H5211" s="31"/>
      <c r="I5211" s="56"/>
      <c r="J5211" s="56"/>
      <c r="K5211" s="82" t="str">
        <f t="shared" si="1573"/>
        <v>Credit Memo</v>
      </c>
      <c r="L5211" s="83" t="str">
        <f>"SC_101070"</f>
        <v>SC_101070</v>
      </c>
      <c r="M5211" s="84">
        <v>42225</v>
      </c>
      <c r="N5211" s="85">
        <f t="shared" si="1575"/>
        <v>1587</v>
      </c>
      <c r="O5211" s="86">
        <f t="shared" si="1576"/>
        <v>-60.809999999999995</v>
      </c>
      <c r="P5211" s="86">
        <f t="shared" si="1577"/>
        <v>0</v>
      </c>
      <c r="Q5211" s="86">
        <f t="shared" si="1578"/>
        <v>0</v>
      </c>
      <c r="R5211" s="86">
        <f t="shared" si="1579"/>
        <v>0</v>
      </c>
      <c r="S5211" s="86">
        <f t="shared" si="1580"/>
        <v>0</v>
      </c>
      <c r="T5211" s="86">
        <f t="shared" si="1581"/>
        <v>-60.809999999999995</v>
      </c>
      <c r="U5211" s="87">
        <v>-60.809999999999995</v>
      </c>
    </row>
    <row r="5212" spans="1:21" s="30" customFormat="1" ht="24.6" hidden="1" outlineLevel="1" x14ac:dyDescent="0.55000000000000004">
      <c r="A5212" s="27" t="s">
        <v>327</v>
      </c>
      <c r="B5212" s="28"/>
      <c r="C5212" s="27"/>
      <c r="D5212" s="27" t="str">
        <f>"""NAV Direct"",""CRONUS JetCorp USA"",""21"",""1"",""443402"""</f>
        <v>"NAV Direct","CRONUS JetCorp USA","21","1","443402"</v>
      </c>
      <c r="E5212" s="31">
        <f t="shared" si="1574"/>
        <v>0</v>
      </c>
      <c r="F5212" s="31"/>
      <c r="G5212" s="31"/>
      <c r="H5212" s="31"/>
      <c r="I5212" s="56"/>
      <c r="J5212" s="56"/>
      <c r="K5212" s="82" t="str">
        <f t="shared" si="1573"/>
        <v>Credit Memo</v>
      </c>
      <c r="L5212" s="83" t="str">
        <f>"SC_101072"</f>
        <v>SC_101072</v>
      </c>
      <c r="M5212" s="84">
        <v>42233</v>
      </c>
      <c r="N5212" s="85">
        <f t="shared" si="1575"/>
        <v>1579</v>
      </c>
      <c r="O5212" s="86">
        <f t="shared" si="1576"/>
        <v>-58.97</v>
      </c>
      <c r="P5212" s="86">
        <f t="shared" si="1577"/>
        <v>0</v>
      </c>
      <c r="Q5212" s="86">
        <f t="shared" si="1578"/>
        <v>0</v>
      </c>
      <c r="R5212" s="86">
        <f t="shared" si="1579"/>
        <v>0</v>
      </c>
      <c r="S5212" s="86">
        <f t="shared" si="1580"/>
        <v>0</v>
      </c>
      <c r="T5212" s="86">
        <f t="shared" si="1581"/>
        <v>-58.97</v>
      </c>
      <c r="U5212" s="87">
        <v>-58.97</v>
      </c>
    </row>
    <row r="5213" spans="1:21" s="30" customFormat="1" ht="24.6" hidden="1" outlineLevel="1" x14ac:dyDescent="0.55000000000000004">
      <c r="A5213" s="27" t="s">
        <v>327</v>
      </c>
      <c r="B5213" s="28"/>
      <c r="C5213" s="27"/>
      <c r="D5213" s="27" t="str">
        <f>"""NAV Direct"",""CRONUS JetCorp USA"",""21"",""1"",""443492"""</f>
        <v>"NAV Direct","CRONUS JetCorp USA","21","1","443492"</v>
      </c>
      <c r="E5213" s="31" t="str">
        <f t="shared" si="1574"/>
        <v>C100140</v>
      </c>
      <c r="F5213" s="31"/>
      <c r="G5213" s="31"/>
      <c r="H5213" s="31"/>
      <c r="I5213" s="56"/>
      <c r="J5213" s="56"/>
      <c r="K5213" s="82" t="str">
        <f t="shared" si="1573"/>
        <v>Credit Memo</v>
      </c>
      <c r="L5213" s="83" t="str">
        <f>"SC_101076"</f>
        <v>SC_101076</v>
      </c>
      <c r="M5213" s="84">
        <v>42285</v>
      </c>
      <c r="N5213" s="85">
        <f t="shared" si="1575"/>
        <v>1527</v>
      </c>
      <c r="O5213" s="86">
        <f t="shared" si="1576"/>
        <v>-69.3</v>
      </c>
      <c r="P5213" s="86">
        <f t="shared" si="1577"/>
        <v>0</v>
      </c>
      <c r="Q5213" s="86">
        <f t="shared" si="1578"/>
        <v>0</v>
      </c>
      <c r="R5213" s="86">
        <f t="shared" si="1579"/>
        <v>0</v>
      </c>
      <c r="S5213" s="86">
        <f t="shared" si="1580"/>
        <v>0</v>
      </c>
      <c r="T5213" s="86">
        <f t="shared" si="1581"/>
        <v>-69.3</v>
      </c>
      <c r="U5213" s="87">
        <v>-69.3</v>
      </c>
    </row>
    <row r="5214" spans="1:21" s="30" customFormat="1" ht="24.6" hidden="1" outlineLevel="1" x14ac:dyDescent="0.55000000000000004">
      <c r="A5214" s="27" t="s">
        <v>327</v>
      </c>
      <c r="B5214" s="28"/>
      <c r="C5214" s="27"/>
      <c r="D5214" s="27" t="str">
        <f>"""NAV Direct"",""CRONUS JetCorp USA"",""21"",""1"",""443519"""</f>
        <v>"NAV Direct","CRONUS JetCorp USA","21","1","443519"</v>
      </c>
      <c r="E5214" s="31">
        <f t="shared" si="1574"/>
        <v>0</v>
      </c>
      <c r="F5214" s="31"/>
      <c r="G5214" s="31"/>
      <c r="H5214" s="31"/>
      <c r="I5214" s="56"/>
      <c r="J5214" s="56"/>
      <c r="K5214" s="82" t="str">
        <f t="shared" si="1573"/>
        <v>Credit Memo</v>
      </c>
      <c r="L5214" s="83" t="str">
        <f>"SC_101077"</f>
        <v>SC_101077</v>
      </c>
      <c r="M5214" s="84">
        <v>42308</v>
      </c>
      <c r="N5214" s="85">
        <f t="shared" si="1575"/>
        <v>1504</v>
      </c>
      <c r="O5214" s="86">
        <f t="shared" si="1576"/>
        <v>-82.45</v>
      </c>
      <c r="P5214" s="86">
        <f t="shared" si="1577"/>
        <v>0</v>
      </c>
      <c r="Q5214" s="86">
        <f t="shared" si="1578"/>
        <v>0</v>
      </c>
      <c r="R5214" s="86">
        <f t="shared" si="1579"/>
        <v>0</v>
      </c>
      <c r="S5214" s="86">
        <f t="shared" si="1580"/>
        <v>0</v>
      </c>
      <c r="T5214" s="86">
        <f t="shared" si="1581"/>
        <v>-82.45</v>
      </c>
      <c r="U5214" s="87">
        <v>-82.45</v>
      </c>
    </row>
    <row r="5215" spans="1:21" s="22" customFormat="1" ht="20.399999999999999" collapsed="1" x14ac:dyDescent="0.45">
      <c r="A5215" s="12" t="s">
        <v>327</v>
      </c>
      <c r="B5215" s="19"/>
      <c r="C5215" s="12"/>
      <c r="D5215" s="12"/>
      <c r="E5215" s="23"/>
      <c r="F5215" s="23"/>
      <c r="G5215" s="23"/>
      <c r="H5215" s="23"/>
      <c r="I5215" s="49"/>
      <c r="J5215" s="88"/>
      <c r="K5215" s="88"/>
      <c r="L5215" s="89"/>
      <c r="M5215" s="89"/>
      <c r="N5215" s="89"/>
      <c r="O5215" s="89"/>
      <c r="P5215" s="89"/>
      <c r="Q5215" s="90"/>
      <c r="R5215" s="90"/>
      <c r="S5215" s="91"/>
      <c r="T5215" s="92"/>
      <c r="U5215" s="92"/>
    </row>
    <row r="5216" spans="1:21" s="22" customFormat="1" ht="20.399999999999999" x14ac:dyDescent="0.45">
      <c r="A5216" s="12" t="s">
        <v>327</v>
      </c>
      <c r="B5216" s="19"/>
      <c r="C5216" s="12"/>
      <c r="D5216" s="12"/>
      <c r="E5216" s="23"/>
      <c r="F5216" s="23"/>
      <c r="G5216" s="23"/>
      <c r="H5216" s="23"/>
      <c r="I5216" s="49"/>
      <c r="J5216" s="88"/>
      <c r="K5216" s="88"/>
      <c r="L5216" s="89"/>
      <c r="M5216" s="89"/>
      <c r="N5216" s="89"/>
      <c r="O5216" s="89"/>
      <c r="P5216" s="89"/>
      <c r="Q5216" s="90"/>
      <c r="R5216" s="90"/>
      <c r="S5216" s="91"/>
      <c r="T5216" s="92"/>
      <c r="U5216" s="92"/>
    </row>
    <row r="5217" spans="1:22" s="26" customFormat="1" ht="24.6" x14ac:dyDescent="0.55000000000000004">
      <c r="A5217" s="27" t="s">
        <v>327</v>
      </c>
      <c r="B5217" s="28"/>
      <c r="C5217" s="27" t="str">
        <f>"""NAV Direct"",""CRONUS JetCorp USA"",""18"",""1"",""C100141"""</f>
        <v>"NAV Direct","CRONUS JetCorp USA","18","1","C100141"</v>
      </c>
      <c r="D5217" s="27"/>
      <c r="E5217" s="28" t="str">
        <f>H5217</f>
        <v>C100141</v>
      </c>
      <c r="F5217" s="28"/>
      <c r="G5217" s="28"/>
      <c r="H5217" s="28" t="str">
        <f>"C100141"</f>
        <v>C100141</v>
      </c>
      <c r="I5217" s="116" t="str">
        <f>"C100141  -  Bargottis"</f>
        <v>C100141  -  Bargottis</v>
      </c>
      <c r="J5217" s="117" t="str">
        <f>""</f>
        <v/>
      </c>
      <c r="K5217" s="118"/>
      <c r="L5217" s="119">
        <f>SUBTOTAL(3,L5218:L5315)</f>
        <v>94</v>
      </c>
      <c r="M5217" s="118"/>
      <c r="N5217" s="118"/>
      <c r="O5217" s="120">
        <f t="shared" ref="O5217:T5217" si="1582">SUBTOTAL(9,O5218:O5315)</f>
        <v>764401.95999999973</v>
      </c>
      <c r="P5217" s="120">
        <f t="shared" si="1582"/>
        <v>9189.33</v>
      </c>
      <c r="Q5217" s="120">
        <f t="shared" si="1582"/>
        <v>46594</v>
      </c>
      <c r="R5217" s="120">
        <f t="shared" si="1582"/>
        <v>26212.18</v>
      </c>
      <c r="S5217" s="120">
        <f t="shared" si="1582"/>
        <v>11977.03</v>
      </c>
      <c r="T5217" s="120">
        <f t="shared" si="1582"/>
        <v>670429.41999999981</v>
      </c>
      <c r="U5217" s="81"/>
    </row>
    <row r="5218" spans="1:22" s="26" customFormat="1" ht="24.6" x14ac:dyDescent="0.55000000000000004">
      <c r="A5218" s="27" t="s">
        <v>327</v>
      </c>
      <c r="B5218" s="28"/>
      <c r="C5218" s="27" t="str">
        <f>C5217</f>
        <v>"NAV Direct","CRONUS JetCorp USA","18","1","C100141"</v>
      </c>
      <c r="D5218" s="27"/>
      <c r="E5218" s="28" t="str">
        <f>E5217</f>
        <v>C100141</v>
      </c>
      <c r="F5218" s="28"/>
      <c r="G5218" s="28"/>
      <c r="H5218" s="28"/>
      <c r="I5218" s="121" t="str">
        <f>"Contact: Arturo Bradshaw"</f>
        <v>Contact: Arturo Bradshaw</v>
      </c>
      <c r="J5218" s="121"/>
      <c r="K5218" s="122"/>
      <c r="L5218" s="123"/>
      <c r="M5218" s="123"/>
      <c r="N5218" s="124"/>
      <c r="O5218" s="124"/>
      <c r="P5218" s="123"/>
      <c r="Q5218" s="125"/>
      <c r="R5218" s="126"/>
      <c r="S5218" s="126"/>
      <c r="T5218" s="125"/>
      <c r="U5218" s="81"/>
    </row>
    <row r="5219" spans="1:22" s="26" customFormat="1" ht="24.6" x14ac:dyDescent="0.55000000000000004">
      <c r="A5219" s="27" t="s">
        <v>327</v>
      </c>
      <c r="B5219" s="28"/>
      <c r="C5219" s="27" t="str">
        <f>C5218</f>
        <v>"NAV Direct","CRONUS JetCorp USA","18","1","C100141"</v>
      </c>
      <c r="D5219" s="27"/>
      <c r="E5219" s="28" t="str">
        <f>E5218</f>
        <v>C100141</v>
      </c>
      <c r="F5219" s="28"/>
      <c r="G5219" s="28"/>
      <c r="H5219" s="28"/>
      <c r="I5219" s="121" t="str">
        <f>"Bargottis@Cronus.com"</f>
        <v>Bargottis@Cronus.com</v>
      </c>
      <c r="J5219" s="121"/>
      <c r="K5219" s="122"/>
      <c r="L5219" s="124"/>
      <c r="M5219" s="124"/>
      <c r="N5219" s="124"/>
      <c r="O5219" s="124"/>
      <c r="P5219" s="123"/>
      <c r="Q5219" s="125"/>
      <c r="R5219" s="126"/>
      <c r="S5219" s="126"/>
      <c r="T5219" s="125"/>
      <c r="U5219" s="81"/>
    </row>
    <row r="5220" spans="1:22" ht="12.75" hidden="1" customHeight="1" outlineLevel="1" x14ac:dyDescent="0.45">
      <c r="A5220" s="12" t="s">
        <v>328</v>
      </c>
      <c r="B5220" s="19"/>
      <c r="E5220" s="19"/>
      <c r="F5220" s="19"/>
      <c r="G5220" s="19"/>
      <c r="H5220" s="19"/>
      <c r="I5220" s="61"/>
      <c r="J5220" s="61"/>
      <c r="K5220" s="61"/>
      <c r="L5220" s="61"/>
      <c r="M5220" s="61"/>
      <c r="N5220" s="61"/>
      <c r="O5220" s="61"/>
      <c r="P5220" s="61"/>
      <c r="Q5220" s="61"/>
      <c r="R5220" s="61"/>
      <c r="S5220" s="61"/>
      <c r="T5220" s="61"/>
      <c r="U5220" s="61"/>
      <c r="V5220" s="21"/>
    </row>
    <row r="5221" spans="1:22" s="30" customFormat="1" ht="24.6" hidden="1" outlineLevel="1" x14ac:dyDescent="0.55000000000000004">
      <c r="A5221" s="27" t="s">
        <v>327</v>
      </c>
      <c r="B5221" s="28"/>
      <c r="C5221" s="27"/>
      <c r="D5221" s="27" t="str">
        <f>"""NAV Direct"",""CRONUS JetCorp USA"",""21"",""1"",""130693"""</f>
        <v>"NAV Direct","CRONUS JetCorp USA","21","1","130693"</v>
      </c>
      <c r="E5221" s="31" t="str">
        <f t="shared" ref="E5221:E5252" si="1583">E5219</f>
        <v>C100141</v>
      </c>
      <c r="F5221" s="31"/>
      <c r="G5221" s="31"/>
      <c r="H5221" s="31"/>
      <c r="I5221" s="56"/>
      <c r="J5221" s="56"/>
      <c r="K5221" s="82" t="str">
        <f t="shared" ref="K5221:K5252" si="1584">"Invoice"</f>
        <v>Invoice</v>
      </c>
      <c r="L5221" s="83" t="str">
        <f>"SI_107026"</f>
        <v>SI_107026</v>
      </c>
      <c r="M5221" s="84">
        <v>42325</v>
      </c>
      <c r="N5221" s="85">
        <f t="shared" ref="N5221:N5252" si="1585">StartDate-$M5221+1</f>
        <v>1487</v>
      </c>
      <c r="O5221" s="86">
        <f t="shared" ref="O5221:O5252" si="1586">SUM(P5221:T5221)</f>
        <v>8407.42</v>
      </c>
      <c r="P5221" s="86">
        <f t="shared" ref="P5221:P5252" si="1587">IF($M5221&gt;=$P$18,U5221,0)</f>
        <v>0</v>
      </c>
      <c r="Q5221" s="86">
        <f t="shared" ref="Q5221:Q5252" si="1588">IF(AND($M5221&gt;=$Q$16,$M5221&lt;=$Q$18),U5221,0)</f>
        <v>0</v>
      </c>
      <c r="R5221" s="86">
        <f t="shared" ref="R5221:R5252" si="1589">IF(AND($M5221&gt;=$R$16,$M5221&lt;=$R$18),U5221,0)</f>
        <v>0</v>
      </c>
      <c r="S5221" s="86">
        <f t="shared" ref="S5221:S5252" si="1590">IF(AND($M5221&gt;=$S$16,$M5221&lt;=$S$18),U5221,0)</f>
        <v>0</v>
      </c>
      <c r="T5221" s="86">
        <f t="shared" ref="T5221:T5252" si="1591">IF($M5221&lt;=$T$18,U5221,0)</f>
        <v>8407.42</v>
      </c>
      <c r="U5221" s="87">
        <v>8407.42</v>
      </c>
    </row>
    <row r="5222" spans="1:22" s="30" customFormat="1" ht="24.6" hidden="1" outlineLevel="1" x14ac:dyDescent="0.55000000000000004">
      <c r="A5222" s="27" t="s">
        <v>327</v>
      </c>
      <c r="B5222" s="28"/>
      <c r="C5222" s="27"/>
      <c r="D5222" s="27" t="str">
        <f>"""NAV Direct"",""CRONUS JetCorp USA"",""21"",""1"",""130750"""</f>
        <v>"NAV Direct","CRONUS JetCorp USA","21","1","130750"</v>
      </c>
      <c r="E5222" s="31">
        <f t="shared" si="1583"/>
        <v>0</v>
      </c>
      <c r="F5222" s="31"/>
      <c r="G5222" s="31"/>
      <c r="H5222" s="31"/>
      <c r="I5222" s="56"/>
      <c r="J5222" s="56"/>
      <c r="K5222" s="82" t="str">
        <f t="shared" si="1584"/>
        <v>Invoice</v>
      </c>
      <c r="L5222" s="83" t="str">
        <f>"SI_107027"</f>
        <v>SI_107027</v>
      </c>
      <c r="M5222" s="84">
        <v>42324</v>
      </c>
      <c r="N5222" s="85">
        <f t="shared" si="1585"/>
        <v>1488</v>
      </c>
      <c r="O5222" s="86">
        <f t="shared" si="1586"/>
        <v>8588.3900000000012</v>
      </c>
      <c r="P5222" s="86">
        <f t="shared" si="1587"/>
        <v>0</v>
      </c>
      <c r="Q5222" s="86">
        <f t="shared" si="1588"/>
        <v>0</v>
      </c>
      <c r="R5222" s="86">
        <f t="shared" si="1589"/>
        <v>0</v>
      </c>
      <c r="S5222" s="86">
        <f t="shared" si="1590"/>
        <v>0</v>
      </c>
      <c r="T5222" s="86">
        <f t="shared" si="1591"/>
        <v>8588.3900000000012</v>
      </c>
      <c r="U5222" s="87">
        <v>8588.3900000000012</v>
      </c>
    </row>
    <row r="5223" spans="1:22" s="30" customFormat="1" ht="24.6" hidden="1" outlineLevel="1" x14ac:dyDescent="0.55000000000000004">
      <c r="A5223" s="27" t="s">
        <v>327</v>
      </c>
      <c r="B5223" s="28"/>
      <c r="C5223" s="27"/>
      <c r="D5223" s="27" t="str">
        <f>"""NAV Direct"",""CRONUS JetCorp USA"",""21"",""1"",""130805"""</f>
        <v>"NAV Direct","CRONUS JetCorp USA","21","1","130805"</v>
      </c>
      <c r="E5223" s="31" t="str">
        <f t="shared" si="1583"/>
        <v>C100141</v>
      </c>
      <c r="F5223" s="31"/>
      <c r="G5223" s="31"/>
      <c r="H5223" s="31"/>
      <c r="I5223" s="56"/>
      <c r="J5223" s="56"/>
      <c r="K5223" s="82" t="str">
        <f t="shared" si="1584"/>
        <v>Invoice</v>
      </c>
      <c r="L5223" s="83" t="str">
        <f>"SI_107028"</f>
        <v>SI_107028</v>
      </c>
      <c r="M5223" s="84">
        <v>42327</v>
      </c>
      <c r="N5223" s="85">
        <f t="shared" si="1585"/>
        <v>1485</v>
      </c>
      <c r="O5223" s="86">
        <f t="shared" si="1586"/>
        <v>8226.7900000000009</v>
      </c>
      <c r="P5223" s="86">
        <f t="shared" si="1587"/>
        <v>0</v>
      </c>
      <c r="Q5223" s="86">
        <f t="shared" si="1588"/>
        <v>0</v>
      </c>
      <c r="R5223" s="86">
        <f t="shared" si="1589"/>
        <v>0</v>
      </c>
      <c r="S5223" s="86">
        <f t="shared" si="1590"/>
        <v>0</v>
      </c>
      <c r="T5223" s="86">
        <f t="shared" si="1591"/>
        <v>8226.7900000000009</v>
      </c>
      <c r="U5223" s="87">
        <v>8226.7900000000009</v>
      </c>
    </row>
    <row r="5224" spans="1:22" s="30" customFormat="1" ht="24.6" hidden="1" outlineLevel="1" x14ac:dyDescent="0.55000000000000004">
      <c r="A5224" s="27" t="s">
        <v>327</v>
      </c>
      <c r="B5224" s="28"/>
      <c r="C5224" s="27"/>
      <c r="D5224" s="27" t="str">
        <f>"""NAV Direct"",""CRONUS JetCorp USA"",""21"",""1"",""130925"""</f>
        <v>"NAV Direct","CRONUS JetCorp USA","21","1","130925"</v>
      </c>
      <c r="E5224" s="31">
        <f t="shared" si="1583"/>
        <v>0</v>
      </c>
      <c r="F5224" s="31"/>
      <c r="G5224" s="31"/>
      <c r="H5224" s="31"/>
      <c r="I5224" s="56"/>
      <c r="J5224" s="56"/>
      <c r="K5224" s="82" t="str">
        <f t="shared" si="1584"/>
        <v>Invoice</v>
      </c>
      <c r="L5224" s="83" t="str">
        <f>"SI_107030"</f>
        <v>SI_107030</v>
      </c>
      <c r="M5224" s="84">
        <v>42331</v>
      </c>
      <c r="N5224" s="85">
        <f t="shared" si="1585"/>
        <v>1481</v>
      </c>
      <c r="O5224" s="86">
        <f t="shared" si="1586"/>
        <v>8678.9</v>
      </c>
      <c r="P5224" s="86">
        <f t="shared" si="1587"/>
        <v>0</v>
      </c>
      <c r="Q5224" s="86">
        <f t="shared" si="1588"/>
        <v>0</v>
      </c>
      <c r="R5224" s="86">
        <f t="shared" si="1589"/>
        <v>0</v>
      </c>
      <c r="S5224" s="86">
        <f t="shared" si="1590"/>
        <v>0</v>
      </c>
      <c r="T5224" s="86">
        <f t="shared" si="1591"/>
        <v>8678.9</v>
      </c>
      <c r="U5224" s="87">
        <v>8678.9</v>
      </c>
    </row>
    <row r="5225" spans="1:22" s="30" customFormat="1" ht="24.6" hidden="1" outlineLevel="1" x14ac:dyDescent="0.55000000000000004">
      <c r="A5225" s="27" t="s">
        <v>327</v>
      </c>
      <c r="B5225" s="28"/>
      <c r="C5225" s="27"/>
      <c r="D5225" s="27" t="str">
        <f>"""NAV Direct"",""CRONUS JetCorp USA"",""21"",""1"",""131122"""</f>
        <v>"NAV Direct","CRONUS JetCorp USA","21","1","131122"</v>
      </c>
      <c r="E5225" s="31" t="str">
        <f t="shared" si="1583"/>
        <v>C100141</v>
      </c>
      <c r="F5225" s="31"/>
      <c r="G5225" s="31"/>
      <c r="H5225" s="31"/>
      <c r="I5225" s="56"/>
      <c r="J5225" s="56"/>
      <c r="K5225" s="82" t="str">
        <f t="shared" si="1584"/>
        <v>Invoice</v>
      </c>
      <c r="L5225" s="83" t="str">
        <f>"SI_107033"</f>
        <v>SI_107033</v>
      </c>
      <c r="M5225" s="84">
        <v>42334</v>
      </c>
      <c r="N5225" s="85">
        <f t="shared" si="1585"/>
        <v>1478</v>
      </c>
      <c r="O5225" s="86">
        <f t="shared" si="1586"/>
        <v>8769.42</v>
      </c>
      <c r="P5225" s="86">
        <f t="shared" si="1587"/>
        <v>0</v>
      </c>
      <c r="Q5225" s="86">
        <f t="shared" si="1588"/>
        <v>0</v>
      </c>
      <c r="R5225" s="86">
        <f t="shared" si="1589"/>
        <v>0</v>
      </c>
      <c r="S5225" s="86">
        <f t="shared" si="1590"/>
        <v>0</v>
      </c>
      <c r="T5225" s="86">
        <f t="shared" si="1591"/>
        <v>8769.42</v>
      </c>
      <c r="U5225" s="87">
        <v>8769.42</v>
      </c>
    </row>
    <row r="5226" spans="1:22" s="30" customFormat="1" ht="24.6" hidden="1" outlineLevel="1" x14ac:dyDescent="0.55000000000000004">
      <c r="A5226" s="27" t="s">
        <v>327</v>
      </c>
      <c r="B5226" s="28"/>
      <c r="C5226" s="27"/>
      <c r="D5226" s="27" t="str">
        <f>"""NAV Direct"",""CRONUS JetCorp USA"",""21"",""1"",""131539"""</f>
        <v>"NAV Direct","CRONUS JetCorp USA","21","1","131539"</v>
      </c>
      <c r="E5226" s="31">
        <f t="shared" si="1583"/>
        <v>0</v>
      </c>
      <c r="F5226" s="31"/>
      <c r="G5226" s="31"/>
      <c r="H5226" s="31"/>
      <c r="I5226" s="56"/>
      <c r="J5226" s="56"/>
      <c r="K5226" s="82" t="str">
        <f t="shared" si="1584"/>
        <v>Invoice</v>
      </c>
      <c r="L5226" s="83" t="str">
        <f>"SI_107040"</f>
        <v>SI_107040</v>
      </c>
      <c r="M5226" s="84">
        <v>42356</v>
      </c>
      <c r="N5226" s="85">
        <f t="shared" si="1585"/>
        <v>1456</v>
      </c>
      <c r="O5226" s="86">
        <f t="shared" si="1586"/>
        <v>7087.85</v>
      </c>
      <c r="P5226" s="86">
        <f t="shared" si="1587"/>
        <v>0</v>
      </c>
      <c r="Q5226" s="86">
        <f t="shared" si="1588"/>
        <v>0</v>
      </c>
      <c r="R5226" s="86">
        <f t="shared" si="1589"/>
        <v>0</v>
      </c>
      <c r="S5226" s="86">
        <f t="shared" si="1590"/>
        <v>0</v>
      </c>
      <c r="T5226" s="86">
        <f t="shared" si="1591"/>
        <v>7087.85</v>
      </c>
      <c r="U5226" s="87">
        <v>7087.85</v>
      </c>
    </row>
    <row r="5227" spans="1:22" s="30" customFormat="1" ht="24.6" hidden="1" outlineLevel="1" x14ac:dyDescent="0.55000000000000004">
      <c r="A5227" s="27" t="s">
        <v>327</v>
      </c>
      <c r="B5227" s="28"/>
      <c r="C5227" s="27"/>
      <c r="D5227" s="27" t="str">
        <f>"""NAV Direct"",""CRONUS JetCorp USA"",""21"",""1"",""131592"""</f>
        <v>"NAV Direct","CRONUS JetCorp USA","21","1","131592"</v>
      </c>
      <c r="E5227" s="31" t="str">
        <f t="shared" si="1583"/>
        <v>C100141</v>
      </c>
      <c r="F5227" s="31"/>
      <c r="G5227" s="31"/>
      <c r="H5227" s="31"/>
      <c r="I5227" s="56"/>
      <c r="J5227" s="56"/>
      <c r="K5227" s="82" t="str">
        <f t="shared" si="1584"/>
        <v>Invoice</v>
      </c>
      <c r="L5227" s="83" t="str">
        <f>"SI_107041"</f>
        <v>SI_107041</v>
      </c>
      <c r="M5227" s="84">
        <v>42356</v>
      </c>
      <c r="N5227" s="85">
        <f t="shared" si="1585"/>
        <v>1456</v>
      </c>
      <c r="O5227" s="86">
        <f t="shared" si="1586"/>
        <v>7015.53</v>
      </c>
      <c r="P5227" s="86">
        <f t="shared" si="1587"/>
        <v>0</v>
      </c>
      <c r="Q5227" s="86">
        <f t="shared" si="1588"/>
        <v>0</v>
      </c>
      <c r="R5227" s="86">
        <f t="shared" si="1589"/>
        <v>0</v>
      </c>
      <c r="S5227" s="86">
        <f t="shared" si="1590"/>
        <v>0</v>
      </c>
      <c r="T5227" s="86">
        <f t="shared" si="1591"/>
        <v>7015.53</v>
      </c>
      <c r="U5227" s="87">
        <v>7015.53</v>
      </c>
    </row>
    <row r="5228" spans="1:22" s="30" customFormat="1" ht="24.6" hidden="1" outlineLevel="1" x14ac:dyDescent="0.55000000000000004">
      <c r="A5228" s="27" t="s">
        <v>327</v>
      </c>
      <c r="B5228" s="28"/>
      <c r="C5228" s="27"/>
      <c r="D5228" s="27" t="str">
        <f>"""NAV Direct"",""CRONUS JetCorp USA"",""21"",""1"",""132038"""</f>
        <v>"NAV Direct","CRONUS JetCorp USA","21","1","132038"</v>
      </c>
      <c r="E5228" s="31">
        <f t="shared" si="1583"/>
        <v>0</v>
      </c>
      <c r="F5228" s="31"/>
      <c r="G5228" s="31"/>
      <c r="H5228" s="31"/>
      <c r="I5228" s="56"/>
      <c r="J5228" s="56"/>
      <c r="K5228" s="82" t="str">
        <f t="shared" si="1584"/>
        <v>Invoice</v>
      </c>
      <c r="L5228" s="83" t="str">
        <f>"SI_107049"</f>
        <v>SI_107049</v>
      </c>
      <c r="M5228" s="84">
        <v>42369</v>
      </c>
      <c r="N5228" s="85">
        <f t="shared" si="1585"/>
        <v>1443</v>
      </c>
      <c r="O5228" s="86">
        <f t="shared" si="1586"/>
        <v>6798.5199999999995</v>
      </c>
      <c r="P5228" s="86">
        <f t="shared" si="1587"/>
        <v>0</v>
      </c>
      <c r="Q5228" s="86">
        <f t="shared" si="1588"/>
        <v>0</v>
      </c>
      <c r="R5228" s="86">
        <f t="shared" si="1589"/>
        <v>0</v>
      </c>
      <c r="S5228" s="86">
        <f t="shared" si="1590"/>
        <v>0</v>
      </c>
      <c r="T5228" s="86">
        <f t="shared" si="1591"/>
        <v>6798.5199999999995</v>
      </c>
      <c r="U5228" s="87">
        <v>6798.5199999999995</v>
      </c>
    </row>
    <row r="5229" spans="1:22" s="30" customFormat="1" ht="24.6" hidden="1" outlineLevel="1" x14ac:dyDescent="0.55000000000000004">
      <c r="A5229" s="27" t="s">
        <v>327</v>
      </c>
      <c r="B5229" s="28"/>
      <c r="C5229" s="27"/>
      <c r="D5229" s="27" t="str">
        <f>"""NAV Direct"",""CRONUS JetCorp USA"",""21"",""1"",""383787"""</f>
        <v>"NAV Direct","CRONUS JetCorp USA","21","1","383787"</v>
      </c>
      <c r="E5229" s="31" t="str">
        <f t="shared" si="1583"/>
        <v>C100141</v>
      </c>
      <c r="F5229" s="31"/>
      <c r="G5229" s="31"/>
      <c r="H5229" s="31"/>
      <c r="I5229" s="56"/>
      <c r="J5229" s="56"/>
      <c r="K5229" s="82" t="str">
        <f t="shared" si="1584"/>
        <v>Invoice</v>
      </c>
      <c r="L5229" s="83" t="str">
        <f>"SI_111921"</f>
        <v>SI_111921</v>
      </c>
      <c r="M5229" s="84">
        <v>42401</v>
      </c>
      <c r="N5229" s="85">
        <f t="shared" si="1585"/>
        <v>1411</v>
      </c>
      <c r="O5229" s="86">
        <f t="shared" si="1586"/>
        <v>9799.82</v>
      </c>
      <c r="P5229" s="86">
        <f t="shared" si="1587"/>
        <v>0</v>
      </c>
      <c r="Q5229" s="86">
        <f t="shared" si="1588"/>
        <v>0</v>
      </c>
      <c r="R5229" s="86">
        <f t="shared" si="1589"/>
        <v>0</v>
      </c>
      <c r="S5229" s="86">
        <f t="shared" si="1590"/>
        <v>0</v>
      </c>
      <c r="T5229" s="86">
        <f t="shared" si="1591"/>
        <v>9799.82</v>
      </c>
      <c r="U5229" s="87">
        <v>9799.82</v>
      </c>
    </row>
    <row r="5230" spans="1:22" s="30" customFormat="1" ht="24.6" hidden="1" outlineLevel="1" x14ac:dyDescent="0.55000000000000004">
      <c r="A5230" s="27" t="s">
        <v>327</v>
      </c>
      <c r="B5230" s="28"/>
      <c r="C5230" s="27"/>
      <c r="D5230" s="27" t="str">
        <f>"""NAV Direct"",""CRONUS JetCorp USA"",""21"",""1"",""383864"""</f>
        <v>"NAV Direct","CRONUS JetCorp USA","21","1","383864"</v>
      </c>
      <c r="E5230" s="31">
        <f t="shared" si="1583"/>
        <v>0</v>
      </c>
      <c r="F5230" s="31"/>
      <c r="G5230" s="31"/>
      <c r="H5230" s="31"/>
      <c r="I5230" s="56"/>
      <c r="J5230" s="56"/>
      <c r="K5230" s="82" t="str">
        <f t="shared" si="1584"/>
        <v>Invoice</v>
      </c>
      <c r="L5230" s="83" t="str">
        <f>"SI_111922"</f>
        <v>SI_111922</v>
      </c>
      <c r="M5230" s="84">
        <v>42386</v>
      </c>
      <c r="N5230" s="85">
        <f t="shared" si="1585"/>
        <v>1426</v>
      </c>
      <c r="O5230" s="86">
        <f t="shared" si="1586"/>
        <v>9599.93</v>
      </c>
      <c r="P5230" s="86">
        <f t="shared" si="1587"/>
        <v>0</v>
      </c>
      <c r="Q5230" s="86">
        <f t="shared" si="1588"/>
        <v>0</v>
      </c>
      <c r="R5230" s="86">
        <f t="shared" si="1589"/>
        <v>0</v>
      </c>
      <c r="S5230" s="86">
        <f t="shared" si="1590"/>
        <v>0</v>
      </c>
      <c r="T5230" s="86">
        <f t="shared" si="1591"/>
        <v>9599.93</v>
      </c>
      <c r="U5230" s="87">
        <v>9599.93</v>
      </c>
    </row>
    <row r="5231" spans="1:22" s="30" customFormat="1" ht="24.6" hidden="1" outlineLevel="1" x14ac:dyDescent="0.55000000000000004">
      <c r="A5231" s="27" t="s">
        <v>327</v>
      </c>
      <c r="B5231" s="28"/>
      <c r="C5231" s="27"/>
      <c r="D5231" s="27" t="str">
        <f>"""NAV Direct"",""CRONUS JetCorp USA"",""21"",""1"",""383999"""</f>
        <v>"NAV Direct","CRONUS JetCorp USA","21","1","383999"</v>
      </c>
      <c r="E5231" s="31" t="str">
        <f t="shared" si="1583"/>
        <v>C100141</v>
      </c>
      <c r="F5231" s="31"/>
      <c r="G5231" s="31"/>
      <c r="H5231" s="31"/>
      <c r="I5231" s="56"/>
      <c r="J5231" s="56"/>
      <c r="K5231" s="82" t="str">
        <f t="shared" si="1584"/>
        <v>Invoice</v>
      </c>
      <c r="L5231" s="83" t="str">
        <f>"SI_111925"</f>
        <v>SI_111925</v>
      </c>
      <c r="M5231" s="84">
        <v>42401</v>
      </c>
      <c r="N5231" s="85">
        <f t="shared" si="1585"/>
        <v>1411</v>
      </c>
      <c r="O5231" s="86">
        <f t="shared" si="1586"/>
        <v>9799.81</v>
      </c>
      <c r="P5231" s="86">
        <f t="shared" si="1587"/>
        <v>0</v>
      </c>
      <c r="Q5231" s="86">
        <f t="shared" si="1588"/>
        <v>0</v>
      </c>
      <c r="R5231" s="86">
        <f t="shared" si="1589"/>
        <v>0</v>
      </c>
      <c r="S5231" s="86">
        <f t="shared" si="1590"/>
        <v>0</v>
      </c>
      <c r="T5231" s="86">
        <f t="shared" si="1591"/>
        <v>9799.81</v>
      </c>
      <c r="U5231" s="87">
        <v>9799.81</v>
      </c>
    </row>
    <row r="5232" spans="1:22" s="30" customFormat="1" ht="24.6" hidden="1" outlineLevel="1" x14ac:dyDescent="0.55000000000000004">
      <c r="A5232" s="27" t="s">
        <v>327</v>
      </c>
      <c r="B5232" s="28"/>
      <c r="C5232" s="27"/>
      <c r="D5232" s="27" t="str">
        <f>"""NAV Direct"",""CRONUS JetCorp USA"",""21"",""1"",""384121"""</f>
        <v>"NAV Direct","CRONUS JetCorp USA","21","1","384121"</v>
      </c>
      <c r="E5232" s="31">
        <f t="shared" si="1583"/>
        <v>0</v>
      </c>
      <c r="F5232" s="31"/>
      <c r="G5232" s="31"/>
      <c r="H5232" s="31"/>
      <c r="I5232" s="56"/>
      <c r="J5232" s="56"/>
      <c r="K5232" s="82" t="str">
        <f t="shared" si="1584"/>
        <v>Invoice</v>
      </c>
      <c r="L5232" s="83" t="str">
        <f>"SI_111927"</f>
        <v>SI_111927</v>
      </c>
      <c r="M5232" s="84">
        <v>42433</v>
      </c>
      <c r="N5232" s="85">
        <f t="shared" si="1585"/>
        <v>1379</v>
      </c>
      <c r="O5232" s="86">
        <f t="shared" si="1586"/>
        <v>9172.34</v>
      </c>
      <c r="P5232" s="86">
        <f t="shared" si="1587"/>
        <v>0</v>
      </c>
      <c r="Q5232" s="86">
        <f t="shared" si="1588"/>
        <v>0</v>
      </c>
      <c r="R5232" s="86">
        <f t="shared" si="1589"/>
        <v>0</v>
      </c>
      <c r="S5232" s="86">
        <f t="shared" si="1590"/>
        <v>0</v>
      </c>
      <c r="T5232" s="86">
        <f t="shared" si="1591"/>
        <v>9172.34</v>
      </c>
      <c r="U5232" s="87">
        <v>9172.34</v>
      </c>
    </row>
    <row r="5233" spans="1:21" s="30" customFormat="1" ht="24.6" hidden="1" outlineLevel="1" x14ac:dyDescent="0.55000000000000004">
      <c r="A5233" s="27" t="s">
        <v>327</v>
      </c>
      <c r="B5233" s="28"/>
      <c r="C5233" s="27"/>
      <c r="D5233" s="27" t="str">
        <f>"""NAV Direct"",""CRONUS JetCorp USA"",""21"",""1"",""384233"""</f>
        <v>"NAV Direct","CRONUS JetCorp USA","21","1","384233"</v>
      </c>
      <c r="E5233" s="31" t="str">
        <f t="shared" si="1583"/>
        <v>C100141</v>
      </c>
      <c r="F5233" s="31"/>
      <c r="G5233" s="31"/>
      <c r="H5233" s="31"/>
      <c r="I5233" s="56"/>
      <c r="J5233" s="56"/>
      <c r="K5233" s="82" t="str">
        <f t="shared" si="1584"/>
        <v>Invoice</v>
      </c>
      <c r="L5233" s="83" t="str">
        <f>"SI_111929"</f>
        <v>SI_111929</v>
      </c>
      <c r="M5233" s="84">
        <v>42424</v>
      </c>
      <c r="N5233" s="85">
        <f t="shared" si="1585"/>
        <v>1388</v>
      </c>
      <c r="O5233" s="86">
        <f t="shared" si="1586"/>
        <v>9272.0499999999993</v>
      </c>
      <c r="P5233" s="86">
        <f t="shared" si="1587"/>
        <v>0</v>
      </c>
      <c r="Q5233" s="86">
        <f t="shared" si="1588"/>
        <v>0</v>
      </c>
      <c r="R5233" s="86">
        <f t="shared" si="1589"/>
        <v>0</v>
      </c>
      <c r="S5233" s="86">
        <f t="shared" si="1590"/>
        <v>0</v>
      </c>
      <c r="T5233" s="86">
        <f t="shared" si="1591"/>
        <v>9272.0499999999993</v>
      </c>
      <c r="U5233" s="87">
        <v>9272.0499999999993</v>
      </c>
    </row>
    <row r="5234" spans="1:21" s="30" customFormat="1" ht="24.6" hidden="1" outlineLevel="1" x14ac:dyDescent="0.55000000000000004">
      <c r="A5234" s="27" t="s">
        <v>327</v>
      </c>
      <c r="B5234" s="28"/>
      <c r="C5234" s="27"/>
      <c r="D5234" s="27" t="str">
        <f>"""NAV Direct"",""CRONUS JetCorp USA"",""21"",""1"",""384922"""</f>
        <v>"NAV Direct","CRONUS JetCorp USA","21","1","384922"</v>
      </c>
      <c r="E5234" s="31">
        <f t="shared" si="1583"/>
        <v>0</v>
      </c>
      <c r="F5234" s="31"/>
      <c r="G5234" s="31"/>
      <c r="H5234" s="31"/>
      <c r="I5234" s="56"/>
      <c r="J5234" s="56"/>
      <c r="K5234" s="82" t="str">
        <f t="shared" si="1584"/>
        <v>Invoice</v>
      </c>
      <c r="L5234" s="83" t="str">
        <f>"SI_111942"</f>
        <v>SI_111942</v>
      </c>
      <c r="M5234" s="84">
        <v>42489</v>
      </c>
      <c r="N5234" s="85">
        <f t="shared" si="1585"/>
        <v>1323</v>
      </c>
      <c r="O5234" s="86">
        <f t="shared" si="1586"/>
        <v>9670.8100000000013</v>
      </c>
      <c r="P5234" s="86">
        <f t="shared" si="1587"/>
        <v>0</v>
      </c>
      <c r="Q5234" s="86">
        <f t="shared" si="1588"/>
        <v>0</v>
      </c>
      <c r="R5234" s="86">
        <f t="shared" si="1589"/>
        <v>0</v>
      </c>
      <c r="S5234" s="86">
        <f t="shared" si="1590"/>
        <v>0</v>
      </c>
      <c r="T5234" s="86">
        <f t="shared" si="1591"/>
        <v>9670.8100000000013</v>
      </c>
      <c r="U5234" s="87">
        <v>9670.8100000000013</v>
      </c>
    </row>
    <row r="5235" spans="1:21" s="30" customFormat="1" ht="24.6" hidden="1" outlineLevel="1" x14ac:dyDescent="0.55000000000000004">
      <c r="A5235" s="27" t="s">
        <v>327</v>
      </c>
      <c r="B5235" s="28"/>
      <c r="C5235" s="27"/>
      <c r="D5235" s="27" t="str">
        <f>"""NAV Direct"",""CRONUS JetCorp USA"",""21"",""1"",""385016"""</f>
        <v>"NAV Direct","CRONUS JetCorp USA","21","1","385016"</v>
      </c>
      <c r="E5235" s="31" t="str">
        <f t="shared" si="1583"/>
        <v>C100141</v>
      </c>
      <c r="F5235" s="31"/>
      <c r="G5235" s="31"/>
      <c r="H5235" s="31"/>
      <c r="I5235" s="56"/>
      <c r="J5235" s="56"/>
      <c r="K5235" s="82" t="str">
        <f t="shared" si="1584"/>
        <v>Invoice</v>
      </c>
      <c r="L5235" s="83" t="str">
        <f>"SI_111944"</f>
        <v>SI_111944</v>
      </c>
      <c r="M5235" s="84">
        <v>42503</v>
      </c>
      <c r="N5235" s="85">
        <f t="shared" si="1585"/>
        <v>1309</v>
      </c>
      <c r="O5235" s="86">
        <f t="shared" si="1586"/>
        <v>9272.0299999999988</v>
      </c>
      <c r="P5235" s="86">
        <f t="shared" si="1587"/>
        <v>0</v>
      </c>
      <c r="Q5235" s="86">
        <f t="shared" si="1588"/>
        <v>0</v>
      </c>
      <c r="R5235" s="86">
        <f t="shared" si="1589"/>
        <v>0</v>
      </c>
      <c r="S5235" s="86">
        <f t="shared" si="1590"/>
        <v>0</v>
      </c>
      <c r="T5235" s="86">
        <f t="shared" si="1591"/>
        <v>9272.0299999999988</v>
      </c>
      <c r="U5235" s="87">
        <v>9272.0299999999988</v>
      </c>
    </row>
    <row r="5236" spans="1:21" s="30" customFormat="1" ht="24.6" hidden="1" outlineLevel="1" x14ac:dyDescent="0.55000000000000004">
      <c r="A5236" s="27" t="s">
        <v>327</v>
      </c>
      <c r="B5236" s="28"/>
      <c r="C5236" s="27"/>
      <c r="D5236" s="27" t="str">
        <f>"""NAV Direct"",""CRONUS JetCorp USA"",""21"",""1"",""385083"""</f>
        <v>"NAV Direct","CRONUS JetCorp USA","21","1","385083"</v>
      </c>
      <c r="E5236" s="31">
        <f t="shared" si="1583"/>
        <v>0</v>
      </c>
      <c r="F5236" s="31"/>
      <c r="G5236" s="31"/>
      <c r="H5236" s="31"/>
      <c r="I5236" s="56"/>
      <c r="J5236" s="56"/>
      <c r="K5236" s="82" t="str">
        <f t="shared" si="1584"/>
        <v>Invoice</v>
      </c>
      <c r="L5236" s="83" t="str">
        <f>"SI_111945"</f>
        <v>SI_111945</v>
      </c>
      <c r="M5236" s="84">
        <v>42515</v>
      </c>
      <c r="N5236" s="85">
        <f t="shared" si="1585"/>
        <v>1297</v>
      </c>
      <c r="O5236" s="86">
        <f t="shared" si="1586"/>
        <v>9448.11</v>
      </c>
      <c r="P5236" s="86">
        <f t="shared" si="1587"/>
        <v>0</v>
      </c>
      <c r="Q5236" s="86">
        <f t="shared" si="1588"/>
        <v>0</v>
      </c>
      <c r="R5236" s="86">
        <f t="shared" si="1589"/>
        <v>0</v>
      </c>
      <c r="S5236" s="86">
        <f t="shared" si="1590"/>
        <v>0</v>
      </c>
      <c r="T5236" s="86">
        <f t="shared" si="1591"/>
        <v>9448.11</v>
      </c>
      <c r="U5236" s="87">
        <v>9448.11</v>
      </c>
    </row>
    <row r="5237" spans="1:21" s="30" customFormat="1" ht="24.6" hidden="1" outlineLevel="1" x14ac:dyDescent="0.55000000000000004">
      <c r="A5237" s="27" t="s">
        <v>327</v>
      </c>
      <c r="B5237" s="28"/>
      <c r="C5237" s="27"/>
      <c r="D5237" s="27" t="str">
        <f>"""NAV Direct"",""CRONUS JetCorp USA"",""21"",""1"",""385144"""</f>
        <v>"NAV Direct","CRONUS JetCorp USA","21","1","385144"</v>
      </c>
      <c r="E5237" s="31" t="str">
        <f t="shared" si="1583"/>
        <v>C100141</v>
      </c>
      <c r="F5237" s="31"/>
      <c r="G5237" s="31"/>
      <c r="H5237" s="31"/>
      <c r="I5237" s="56"/>
      <c r="J5237" s="56"/>
      <c r="K5237" s="82" t="str">
        <f t="shared" si="1584"/>
        <v>Invoice</v>
      </c>
      <c r="L5237" s="83" t="str">
        <f>"SI_111946"</f>
        <v>SI_111946</v>
      </c>
      <c r="M5237" s="84">
        <v>42507</v>
      </c>
      <c r="N5237" s="85">
        <f t="shared" si="1585"/>
        <v>1305</v>
      </c>
      <c r="O5237" s="86">
        <f t="shared" si="1586"/>
        <v>9651.36</v>
      </c>
      <c r="P5237" s="86">
        <f t="shared" si="1587"/>
        <v>0</v>
      </c>
      <c r="Q5237" s="86">
        <f t="shared" si="1588"/>
        <v>0</v>
      </c>
      <c r="R5237" s="86">
        <f t="shared" si="1589"/>
        <v>0</v>
      </c>
      <c r="S5237" s="86">
        <f t="shared" si="1590"/>
        <v>0</v>
      </c>
      <c r="T5237" s="86">
        <f t="shared" si="1591"/>
        <v>9651.36</v>
      </c>
      <c r="U5237" s="87">
        <v>9651.36</v>
      </c>
    </row>
    <row r="5238" spans="1:21" s="30" customFormat="1" ht="24.6" hidden="1" outlineLevel="1" x14ac:dyDescent="0.55000000000000004">
      <c r="A5238" s="27" t="s">
        <v>327</v>
      </c>
      <c r="B5238" s="28"/>
      <c r="C5238" s="27"/>
      <c r="D5238" s="27" t="str">
        <f>"""NAV Direct"",""CRONUS JetCorp USA"",""21"",""1"",""385324"""</f>
        <v>"NAV Direct","CRONUS JetCorp USA","21","1","385324"</v>
      </c>
      <c r="E5238" s="31">
        <f t="shared" si="1583"/>
        <v>0</v>
      </c>
      <c r="F5238" s="31"/>
      <c r="G5238" s="31"/>
      <c r="H5238" s="31"/>
      <c r="I5238" s="56"/>
      <c r="J5238" s="56"/>
      <c r="K5238" s="82" t="str">
        <f t="shared" si="1584"/>
        <v>Invoice</v>
      </c>
      <c r="L5238" s="83" t="str">
        <f>"SI_111950"</f>
        <v>SI_111950</v>
      </c>
      <c r="M5238" s="84">
        <v>42523</v>
      </c>
      <c r="N5238" s="85">
        <f t="shared" si="1585"/>
        <v>1289</v>
      </c>
      <c r="O5238" s="86">
        <f t="shared" si="1586"/>
        <v>9651.4</v>
      </c>
      <c r="P5238" s="86">
        <f t="shared" si="1587"/>
        <v>0</v>
      </c>
      <c r="Q5238" s="86">
        <f t="shared" si="1588"/>
        <v>0</v>
      </c>
      <c r="R5238" s="86">
        <f t="shared" si="1589"/>
        <v>0</v>
      </c>
      <c r="S5238" s="86">
        <f t="shared" si="1590"/>
        <v>0</v>
      </c>
      <c r="T5238" s="86">
        <f t="shared" si="1591"/>
        <v>9651.4</v>
      </c>
      <c r="U5238" s="87">
        <v>9651.4</v>
      </c>
    </row>
    <row r="5239" spans="1:21" s="30" customFormat="1" ht="24.6" hidden="1" outlineLevel="1" x14ac:dyDescent="0.55000000000000004">
      <c r="A5239" s="27" t="s">
        <v>327</v>
      </c>
      <c r="B5239" s="28"/>
      <c r="C5239" s="27"/>
      <c r="D5239" s="27" t="str">
        <f>"""NAV Direct"",""CRONUS JetCorp USA"",""21"",""1"",""385685"""</f>
        <v>"NAV Direct","CRONUS JetCorp USA","21","1","385685"</v>
      </c>
      <c r="E5239" s="31" t="str">
        <f t="shared" si="1583"/>
        <v>C100141</v>
      </c>
      <c r="F5239" s="31"/>
      <c r="G5239" s="31"/>
      <c r="H5239" s="31"/>
      <c r="I5239" s="56"/>
      <c r="J5239" s="56"/>
      <c r="K5239" s="82" t="str">
        <f t="shared" si="1584"/>
        <v>Invoice</v>
      </c>
      <c r="L5239" s="83" t="str">
        <f>"SI_111957"</f>
        <v>SI_111957</v>
      </c>
      <c r="M5239" s="84">
        <v>42560</v>
      </c>
      <c r="N5239" s="85">
        <f t="shared" si="1585"/>
        <v>1252</v>
      </c>
      <c r="O5239" s="86">
        <f t="shared" si="1586"/>
        <v>9391.52</v>
      </c>
      <c r="P5239" s="86">
        <f t="shared" si="1587"/>
        <v>0</v>
      </c>
      <c r="Q5239" s="86">
        <f t="shared" si="1588"/>
        <v>0</v>
      </c>
      <c r="R5239" s="86">
        <f t="shared" si="1589"/>
        <v>0</v>
      </c>
      <c r="S5239" s="86">
        <f t="shared" si="1590"/>
        <v>0</v>
      </c>
      <c r="T5239" s="86">
        <f t="shared" si="1591"/>
        <v>9391.52</v>
      </c>
      <c r="U5239" s="87">
        <v>9391.52</v>
      </c>
    </row>
    <row r="5240" spans="1:21" s="30" customFormat="1" ht="24.6" hidden="1" outlineLevel="1" x14ac:dyDescent="0.55000000000000004">
      <c r="A5240" s="27" t="s">
        <v>327</v>
      </c>
      <c r="B5240" s="28"/>
      <c r="C5240" s="27"/>
      <c r="D5240" s="27" t="str">
        <f>"""NAV Direct"",""CRONUS JetCorp USA"",""21"",""1"",""385995"""</f>
        <v>"NAV Direct","CRONUS JetCorp USA","21","1","385995"</v>
      </c>
      <c r="E5240" s="31">
        <f t="shared" si="1583"/>
        <v>0</v>
      </c>
      <c r="F5240" s="31"/>
      <c r="G5240" s="31"/>
      <c r="H5240" s="31"/>
      <c r="I5240" s="56"/>
      <c r="J5240" s="56"/>
      <c r="K5240" s="82" t="str">
        <f t="shared" si="1584"/>
        <v>Invoice</v>
      </c>
      <c r="L5240" s="83" t="str">
        <f>"SI_111963"</f>
        <v>SI_111963</v>
      </c>
      <c r="M5240" s="84">
        <v>42608</v>
      </c>
      <c r="N5240" s="85">
        <f t="shared" si="1585"/>
        <v>1204</v>
      </c>
      <c r="O5240" s="86">
        <f t="shared" si="1586"/>
        <v>9728.92</v>
      </c>
      <c r="P5240" s="86">
        <f t="shared" si="1587"/>
        <v>0</v>
      </c>
      <c r="Q5240" s="86">
        <f t="shared" si="1588"/>
        <v>0</v>
      </c>
      <c r="R5240" s="86">
        <f t="shared" si="1589"/>
        <v>0</v>
      </c>
      <c r="S5240" s="86">
        <f t="shared" si="1590"/>
        <v>0</v>
      </c>
      <c r="T5240" s="86">
        <f t="shared" si="1591"/>
        <v>9728.92</v>
      </c>
      <c r="U5240" s="87">
        <v>9728.92</v>
      </c>
    </row>
    <row r="5241" spans="1:21" s="30" customFormat="1" ht="24.6" hidden="1" outlineLevel="1" x14ac:dyDescent="0.55000000000000004">
      <c r="A5241" s="27" t="s">
        <v>327</v>
      </c>
      <c r="B5241" s="28"/>
      <c r="C5241" s="27"/>
      <c r="D5241" s="27" t="str">
        <f>"""NAV Direct"",""CRONUS JetCorp USA"",""21"",""1"",""386136"""</f>
        <v>"NAV Direct","CRONUS JetCorp USA","21","1","386136"</v>
      </c>
      <c r="E5241" s="31" t="str">
        <f t="shared" si="1583"/>
        <v>C100141</v>
      </c>
      <c r="F5241" s="31"/>
      <c r="G5241" s="31"/>
      <c r="H5241" s="31"/>
      <c r="I5241" s="56"/>
      <c r="J5241" s="56"/>
      <c r="K5241" s="82" t="str">
        <f t="shared" si="1584"/>
        <v>Invoice</v>
      </c>
      <c r="L5241" s="83" t="str">
        <f>"SI_111966"</f>
        <v>SI_111966</v>
      </c>
      <c r="M5241" s="84">
        <v>42619</v>
      </c>
      <c r="N5241" s="85">
        <f t="shared" si="1585"/>
        <v>1193</v>
      </c>
      <c r="O5241" s="86">
        <f t="shared" si="1586"/>
        <v>9629.66</v>
      </c>
      <c r="P5241" s="86">
        <f t="shared" si="1587"/>
        <v>0</v>
      </c>
      <c r="Q5241" s="86">
        <f t="shared" si="1588"/>
        <v>0</v>
      </c>
      <c r="R5241" s="86">
        <f t="shared" si="1589"/>
        <v>0</v>
      </c>
      <c r="S5241" s="86">
        <f t="shared" si="1590"/>
        <v>0</v>
      </c>
      <c r="T5241" s="86">
        <f t="shared" si="1591"/>
        <v>9629.66</v>
      </c>
      <c r="U5241" s="87">
        <v>9629.66</v>
      </c>
    </row>
    <row r="5242" spans="1:21" s="30" customFormat="1" ht="24.6" hidden="1" outlineLevel="1" x14ac:dyDescent="0.55000000000000004">
      <c r="A5242" s="27" t="s">
        <v>327</v>
      </c>
      <c r="B5242" s="28"/>
      <c r="C5242" s="27"/>
      <c r="D5242" s="27" t="str">
        <f>"""NAV Direct"",""CRONUS JetCorp USA"",""21"",""1"",""386312"""</f>
        <v>"NAV Direct","CRONUS JetCorp USA","21","1","386312"</v>
      </c>
      <c r="E5242" s="31">
        <f t="shared" si="1583"/>
        <v>0</v>
      </c>
      <c r="F5242" s="31"/>
      <c r="G5242" s="31"/>
      <c r="H5242" s="31"/>
      <c r="I5242" s="56"/>
      <c r="J5242" s="56"/>
      <c r="K5242" s="82" t="str">
        <f t="shared" si="1584"/>
        <v>Invoice</v>
      </c>
      <c r="L5242" s="83" t="str">
        <f>"SI_111970"</f>
        <v>SI_111970</v>
      </c>
      <c r="M5242" s="84">
        <v>42634</v>
      </c>
      <c r="N5242" s="85">
        <f t="shared" si="1585"/>
        <v>1178</v>
      </c>
      <c r="O5242" s="86">
        <f t="shared" si="1586"/>
        <v>9654.27</v>
      </c>
      <c r="P5242" s="86">
        <f t="shared" si="1587"/>
        <v>0</v>
      </c>
      <c r="Q5242" s="86">
        <f t="shared" si="1588"/>
        <v>0</v>
      </c>
      <c r="R5242" s="86">
        <f t="shared" si="1589"/>
        <v>0</v>
      </c>
      <c r="S5242" s="86">
        <f t="shared" si="1590"/>
        <v>0</v>
      </c>
      <c r="T5242" s="86">
        <f t="shared" si="1591"/>
        <v>9654.27</v>
      </c>
      <c r="U5242" s="87">
        <v>9654.27</v>
      </c>
    </row>
    <row r="5243" spans="1:21" s="30" customFormat="1" ht="24.6" hidden="1" outlineLevel="1" x14ac:dyDescent="0.55000000000000004">
      <c r="A5243" s="27" t="s">
        <v>327</v>
      </c>
      <c r="B5243" s="28"/>
      <c r="C5243" s="27"/>
      <c r="D5243" s="27" t="str">
        <f>"""NAV Direct"",""CRONUS JetCorp USA"",""21"",""1"",""386663"""</f>
        <v>"NAV Direct","CRONUS JetCorp USA","21","1","386663"</v>
      </c>
      <c r="E5243" s="31" t="str">
        <f t="shared" si="1583"/>
        <v>C100141</v>
      </c>
      <c r="F5243" s="31"/>
      <c r="G5243" s="31"/>
      <c r="H5243" s="31"/>
      <c r="I5243" s="56"/>
      <c r="J5243" s="56"/>
      <c r="K5243" s="82" t="str">
        <f t="shared" si="1584"/>
        <v>Invoice</v>
      </c>
      <c r="L5243" s="83" t="str">
        <f>"SI_111977"</f>
        <v>SI_111977</v>
      </c>
      <c r="M5243" s="84">
        <v>42671</v>
      </c>
      <c r="N5243" s="85">
        <f t="shared" si="1585"/>
        <v>1141</v>
      </c>
      <c r="O5243" s="86">
        <f t="shared" si="1586"/>
        <v>9623.27</v>
      </c>
      <c r="P5243" s="86">
        <f t="shared" si="1587"/>
        <v>0</v>
      </c>
      <c r="Q5243" s="86">
        <f t="shared" si="1588"/>
        <v>0</v>
      </c>
      <c r="R5243" s="86">
        <f t="shared" si="1589"/>
        <v>0</v>
      </c>
      <c r="S5243" s="86">
        <f t="shared" si="1590"/>
        <v>0</v>
      </c>
      <c r="T5243" s="86">
        <f t="shared" si="1591"/>
        <v>9623.27</v>
      </c>
      <c r="U5243" s="87">
        <v>9623.27</v>
      </c>
    </row>
    <row r="5244" spans="1:21" s="30" customFormat="1" ht="24.6" hidden="1" outlineLevel="1" x14ac:dyDescent="0.55000000000000004">
      <c r="A5244" s="27" t="s">
        <v>327</v>
      </c>
      <c r="B5244" s="28"/>
      <c r="C5244" s="27"/>
      <c r="D5244" s="27" t="str">
        <f>"""NAV Direct"",""CRONUS JetCorp USA"",""21"",""1"",""386706"""</f>
        <v>"NAV Direct","CRONUS JetCorp USA","21","1","386706"</v>
      </c>
      <c r="E5244" s="31">
        <f t="shared" si="1583"/>
        <v>0</v>
      </c>
      <c r="F5244" s="31"/>
      <c r="G5244" s="31"/>
      <c r="H5244" s="31"/>
      <c r="I5244" s="56"/>
      <c r="J5244" s="56"/>
      <c r="K5244" s="82" t="str">
        <f t="shared" si="1584"/>
        <v>Invoice</v>
      </c>
      <c r="L5244" s="83" t="str">
        <f>"SI_111978"</f>
        <v>SI_111978</v>
      </c>
      <c r="M5244" s="84">
        <v>42680</v>
      </c>
      <c r="N5244" s="85">
        <f t="shared" si="1585"/>
        <v>1132</v>
      </c>
      <c r="O5244" s="86">
        <f t="shared" si="1586"/>
        <v>9623.17</v>
      </c>
      <c r="P5244" s="86">
        <f t="shared" si="1587"/>
        <v>0</v>
      </c>
      <c r="Q5244" s="86">
        <f t="shared" si="1588"/>
        <v>0</v>
      </c>
      <c r="R5244" s="86">
        <f t="shared" si="1589"/>
        <v>0</v>
      </c>
      <c r="S5244" s="86">
        <f t="shared" si="1590"/>
        <v>0</v>
      </c>
      <c r="T5244" s="86">
        <f t="shared" si="1591"/>
        <v>9623.17</v>
      </c>
      <c r="U5244" s="87">
        <v>9623.17</v>
      </c>
    </row>
    <row r="5245" spans="1:21" s="30" customFormat="1" ht="24.6" hidden="1" outlineLevel="1" x14ac:dyDescent="0.55000000000000004">
      <c r="A5245" s="27" t="s">
        <v>327</v>
      </c>
      <c r="B5245" s="28"/>
      <c r="C5245" s="27"/>
      <c r="D5245" s="27" t="str">
        <f>"""NAV Direct"",""CRONUS JetCorp USA"",""21"",""1"",""387371"""</f>
        <v>"NAV Direct","CRONUS JetCorp USA","21","1","387371"</v>
      </c>
      <c r="E5245" s="31" t="str">
        <f t="shared" si="1583"/>
        <v>C100141</v>
      </c>
      <c r="F5245" s="31"/>
      <c r="G5245" s="31"/>
      <c r="H5245" s="31"/>
      <c r="I5245" s="56"/>
      <c r="J5245" s="56"/>
      <c r="K5245" s="82" t="str">
        <f t="shared" si="1584"/>
        <v>Invoice</v>
      </c>
      <c r="L5245" s="83" t="str">
        <f>"SI_111991"</f>
        <v>SI_111991</v>
      </c>
      <c r="M5245" s="84">
        <v>42730</v>
      </c>
      <c r="N5245" s="85">
        <f t="shared" si="1585"/>
        <v>1082</v>
      </c>
      <c r="O5245" s="86">
        <f t="shared" si="1586"/>
        <v>10123.15</v>
      </c>
      <c r="P5245" s="86">
        <f t="shared" si="1587"/>
        <v>0</v>
      </c>
      <c r="Q5245" s="86">
        <f t="shared" si="1588"/>
        <v>0</v>
      </c>
      <c r="R5245" s="86">
        <f t="shared" si="1589"/>
        <v>0</v>
      </c>
      <c r="S5245" s="86">
        <f t="shared" si="1590"/>
        <v>0</v>
      </c>
      <c r="T5245" s="86">
        <f t="shared" si="1591"/>
        <v>10123.15</v>
      </c>
      <c r="U5245" s="87">
        <v>10123.15</v>
      </c>
    </row>
    <row r="5246" spans="1:21" s="30" customFormat="1" ht="24.6" hidden="1" outlineLevel="1" x14ac:dyDescent="0.55000000000000004">
      <c r="A5246" s="27" t="s">
        <v>327</v>
      </c>
      <c r="B5246" s="28"/>
      <c r="C5246" s="27"/>
      <c r="D5246" s="27" t="str">
        <f>"""NAV Direct"",""CRONUS JetCorp USA"",""21"",""1"",""387509"""</f>
        <v>"NAV Direct","CRONUS JetCorp USA","21","1","387509"</v>
      </c>
      <c r="E5246" s="31">
        <f t="shared" si="1583"/>
        <v>0</v>
      </c>
      <c r="F5246" s="31"/>
      <c r="G5246" s="31"/>
      <c r="H5246" s="31"/>
      <c r="I5246" s="56"/>
      <c r="J5246" s="56"/>
      <c r="K5246" s="82" t="str">
        <f t="shared" si="1584"/>
        <v>Invoice</v>
      </c>
      <c r="L5246" s="83" t="str">
        <f>"SI_111994"</f>
        <v>SI_111994</v>
      </c>
      <c r="M5246" s="84">
        <v>42760</v>
      </c>
      <c r="N5246" s="85">
        <f t="shared" si="1585"/>
        <v>1052</v>
      </c>
      <c r="O5246" s="86">
        <f t="shared" si="1586"/>
        <v>10180.219999999999</v>
      </c>
      <c r="P5246" s="86">
        <f t="shared" si="1587"/>
        <v>0</v>
      </c>
      <c r="Q5246" s="86">
        <f t="shared" si="1588"/>
        <v>0</v>
      </c>
      <c r="R5246" s="86">
        <f t="shared" si="1589"/>
        <v>0</v>
      </c>
      <c r="S5246" s="86">
        <f t="shared" si="1590"/>
        <v>0</v>
      </c>
      <c r="T5246" s="86">
        <f t="shared" si="1591"/>
        <v>10180.219999999999</v>
      </c>
      <c r="U5246" s="87">
        <v>10180.219999999999</v>
      </c>
    </row>
    <row r="5247" spans="1:21" s="30" customFormat="1" ht="24.6" hidden="1" outlineLevel="1" x14ac:dyDescent="0.55000000000000004">
      <c r="A5247" s="27" t="s">
        <v>327</v>
      </c>
      <c r="B5247" s="28"/>
      <c r="C5247" s="27"/>
      <c r="D5247" s="27" t="str">
        <f>"""NAV Direct"",""CRONUS JetCorp USA"",""21"",""1"",""387789"""</f>
        <v>"NAV Direct","CRONUS JetCorp USA","21","1","387789"</v>
      </c>
      <c r="E5247" s="31" t="str">
        <f t="shared" si="1583"/>
        <v>C100141</v>
      </c>
      <c r="F5247" s="31"/>
      <c r="G5247" s="31"/>
      <c r="H5247" s="31"/>
      <c r="I5247" s="56"/>
      <c r="J5247" s="56"/>
      <c r="K5247" s="82" t="str">
        <f t="shared" si="1584"/>
        <v>Invoice</v>
      </c>
      <c r="L5247" s="83" t="str">
        <f>"SI_112000"</f>
        <v>SI_112000</v>
      </c>
      <c r="M5247" s="84">
        <v>42785</v>
      </c>
      <c r="N5247" s="85">
        <f t="shared" si="1585"/>
        <v>1027</v>
      </c>
      <c r="O5247" s="86">
        <f t="shared" si="1586"/>
        <v>10967.369999999999</v>
      </c>
      <c r="P5247" s="86">
        <f t="shared" si="1587"/>
        <v>0</v>
      </c>
      <c r="Q5247" s="86">
        <f t="shared" si="1588"/>
        <v>0</v>
      </c>
      <c r="R5247" s="86">
        <f t="shared" si="1589"/>
        <v>0</v>
      </c>
      <c r="S5247" s="86">
        <f t="shared" si="1590"/>
        <v>0</v>
      </c>
      <c r="T5247" s="86">
        <f t="shared" si="1591"/>
        <v>10967.369999999999</v>
      </c>
      <c r="U5247" s="87">
        <v>10967.369999999999</v>
      </c>
    </row>
    <row r="5248" spans="1:21" s="30" customFormat="1" ht="24.6" hidden="1" outlineLevel="1" x14ac:dyDescent="0.55000000000000004">
      <c r="A5248" s="27" t="s">
        <v>327</v>
      </c>
      <c r="B5248" s="28"/>
      <c r="C5248" s="27"/>
      <c r="D5248" s="27" t="str">
        <f>"""NAV Direct"",""CRONUS JetCorp USA"",""21"",""1"",""387993"""</f>
        <v>"NAV Direct","CRONUS JetCorp USA","21","1","387993"</v>
      </c>
      <c r="E5248" s="31">
        <f t="shared" si="1583"/>
        <v>0</v>
      </c>
      <c r="F5248" s="31"/>
      <c r="G5248" s="31"/>
      <c r="H5248" s="31"/>
      <c r="I5248" s="56"/>
      <c r="J5248" s="56"/>
      <c r="K5248" s="82" t="str">
        <f t="shared" si="1584"/>
        <v>Invoice</v>
      </c>
      <c r="L5248" s="83" t="str">
        <f>"SI_112004"</f>
        <v>SI_112004</v>
      </c>
      <c r="M5248" s="84">
        <v>42801</v>
      </c>
      <c r="N5248" s="85">
        <f t="shared" si="1585"/>
        <v>1011</v>
      </c>
      <c r="O5248" s="86">
        <f t="shared" si="1586"/>
        <v>10967.35</v>
      </c>
      <c r="P5248" s="86">
        <f t="shared" si="1587"/>
        <v>0</v>
      </c>
      <c r="Q5248" s="86">
        <f t="shared" si="1588"/>
        <v>0</v>
      </c>
      <c r="R5248" s="86">
        <f t="shared" si="1589"/>
        <v>0</v>
      </c>
      <c r="S5248" s="86">
        <f t="shared" si="1590"/>
        <v>0</v>
      </c>
      <c r="T5248" s="86">
        <f t="shared" si="1591"/>
        <v>10967.35</v>
      </c>
      <c r="U5248" s="87">
        <v>10967.35</v>
      </c>
    </row>
    <row r="5249" spans="1:21" s="30" customFormat="1" ht="24.6" hidden="1" outlineLevel="1" x14ac:dyDescent="0.55000000000000004">
      <c r="A5249" s="27" t="s">
        <v>327</v>
      </c>
      <c r="B5249" s="28"/>
      <c r="C5249" s="27"/>
      <c r="D5249" s="27" t="str">
        <f>"""NAV Direct"",""CRONUS JetCorp USA"",""21"",""1"",""389148"""</f>
        <v>"NAV Direct","CRONUS JetCorp USA","21","1","389148"</v>
      </c>
      <c r="E5249" s="31" t="str">
        <f t="shared" si="1583"/>
        <v>C100141</v>
      </c>
      <c r="F5249" s="31"/>
      <c r="G5249" s="31"/>
      <c r="H5249" s="31"/>
      <c r="I5249" s="56"/>
      <c r="J5249" s="56"/>
      <c r="K5249" s="82" t="str">
        <f t="shared" si="1584"/>
        <v>Invoice</v>
      </c>
      <c r="L5249" s="83" t="str">
        <f>"SI_112025"</f>
        <v>SI_112025</v>
      </c>
      <c r="M5249" s="84">
        <v>42904</v>
      </c>
      <c r="N5249" s="85">
        <f t="shared" si="1585"/>
        <v>908</v>
      </c>
      <c r="O5249" s="86">
        <f t="shared" si="1586"/>
        <v>11331.09</v>
      </c>
      <c r="P5249" s="86">
        <f t="shared" si="1587"/>
        <v>0</v>
      </c>
      <c r="Q5249" s="86">
        <f t="shared" si="1588"/>
        <v>0</v>
      </c>
      <c r="R5249" s="86">
        <f t="shared" si="1589"/>
        <v>0</v>
      </c>
      <c r="S5249" s="86">
        <f t="shared" si="1590"/>
        <v>0</v>
      </c>
      <c r="T5249" s="86">
        <f t="shared" si="1591"/>
        <v>11331.09</v>
      </c>
      <c r="U5249" s="87">
        <v>11331.09</v>
      </c>
    </row>
    <row r="5250" spans="1:21" s="30" customFormat="1" ht="24.6" hidden="1" outlineLevel="1" x14ac:dyDescent="0.55000000000000004">
      <c r="A5250" s="27" t="s">
        <v>327</v>
      </c>
      <c r="B5250" s="28"/>
      <c r="C5250" s="27"/>
      <c r="D5250" s="27" t="str">
        <f>"""NAV Direct"",""CRONUS JetCorp USA"",""21"",""1"",""389423"""</f>
        <v>"NAV Direct","CRONUS JetCorp USA","21","1","389423"</v>
      </c>
      <c r="E5250" s="31">
        <f t="shared" si="1583"/>
        <v>0</v>
      </c>
      <c r="F5250" s="31"/>
      <c r="G5250" s="31"/>
      <c r="H5250" s="31"/>
      <c r="I5250" s="56"/>
      <c r="J5250" s="56"/>
      <c r="K5250" s="82" t="str">
        <f t="shared" si="1584"/>
        <v>Invoice</v>
      </c>
      <c r="L5250" s="83" t="str">
        <f>"SI_112030"</f>
        <v>SI_112030</v>
      </c>
      <c r="M5250" s="84">
        <v>42939</v>
      </c>
      <c r="N5250" s="85">
        <f t="shared" si="1585"/>
        <v>873</v>
      </c>
      <c r="O5250" s="86">
        <f t="shared" si="1586"/>
        <v>9284.02</v>
      </c>
      <c r="P5250" s="86">
        <f t="shared" si="1587"/>
        <v>0</v>
      </c>
      <c r="Q5250" s="86">
        <f t="shared" si="1588"/>
        <v>0</v>
      </c>
      <c r="R5250" s="86">
        <f t="shared" si="1589"/>
        <v>0</v>
      </c>
      <c r="S5250" s="86">
        <f t="shared" si="1590"/>
        <v>0</v>
      </c>
      <c r="T5250" s="86">
        <f t="shared" si="1591"/>
        <v>9284.02</v>
      </c>
      <c r="U5250" s="87">
        <v>9284.02</v>
      </c>
    </row>
    <row r="5251" spans="1:21" s="30" customFormat="1" ht="24.6" hidden="1" outlineLevel="1" x14ac:dyDescent="0.55000000000000004">
      <c r="A5251" s="27" t="s">
        <v>327</v>
      </c>
      <c r="B5251" s="28"/>
      <c r="C5251" s="27"/>
      <c r="D5251" s="27" t="str">
        <f>"""NAV Direct"",""CRONUS JetCorp USA"",""21"",""1"",""389521"""</f>
        <v>"NAV Direct","CRONUS JetCorp USA","21","1","389521"</v>
      </c>
      <c r="E5251" s="31" t="str">
        <f t="shared" si="1583"/>
        <v>C100141</v>
      </c>
      <c r="F5251" s="31"/>
      <c r="G5251" s="31"/>
      <c r="H5251" s="31"/>
      <c r="I5251" s="56"/>
      <c r="J5251" s="56"/>
      <c r="K5251" s="82" t="str">
        <f t="shared" si="1584"/>
        <v>Invoice</v>
      </c>
      <c r="L5251" s="83" t="str">
        <f>"SI_112032"</f>
        <v>SI_112032</v>
      </c>
      <c r="M5251" s="84">
        <v>42949</v>
      </c>
      <c r="N5251" s="85">
        <f t="shared" si="1585"/>
        <v>863</v>
      </c>
      <c r="O5251" s="86">
        <f t="shared" si="1586"/>
        <v>9000.06</v>
      </c>
      <c r="P5251" s="86">
        <f t="shared" si="1587"/>
        <v>0</v>
      </c>
      <c r="Q5251" s="86">
        <f t="shared" si="1588"/>
        <v>0</v>
      </c>
      <c r="R5251" s="86">
        <f t="shared" si="1589"/>
        <v>0</v>
      </c>
      <c r="S5251" s="86">
        <f t="shared" si="1590"/>
        <v>0</v>
      </c>
      <c r="T5251" s="86">
        <f t="shared" si="1591"/>
        <v>9000.06</v>
      </c>
      <c r="U5251" s="87">
        <v>9000.06</v>
      </c>
    </row>
    <row r="5252" spans="1:21" s="30" customFormat="1" ht="24.6" hidden="1" outlineLevel="1" x14ac:dyDescent="0.55000000000000004">
      <c r="A5252" s="27" t="s">
        <v>327</v>
      </c>
      <c r="B5252" s="28"/>
      <c r="C5252" s="27"/>
      <c r="D5252" s="27" t="str">
        <f>"""NAV Direct"",""CRONUS JetCorp USA"",""21"",""1"",""389830"""</f>
        <v>"NAV Direct","CRONUS JetCorp USA","21","1","389830"</v>
      </c>
      <c r="E5252" s="31">
        <f t="shared" si="1583"/>
        <v>0</v>
      </c>
      <c r="F5252" s="31"/>
      <c r="G5252" s="31"/>
      <c r="H5252" s="31"/>
      <c r="I5252" s="56"/>
      <c r="J5252" s="56"/>
      <c r="K5252" s="82" t="str">
        <f t="shared" si="1584"/>
        <v>Invoice</v>
      </c>
      <c r="L5252" s="83" t="str">
        <f>"SI_112038"</f>
        <v>SI_112038</v>
      </c>
      <c r="M5252" s="84">
        <v>43001</v>
      </c>
      <c r="N5252" s="85">
        <f t="shared" si="1585"/>
        <v>811</v>
      </c>
      <c r="O5252" s="86">
        <f t="shared" si="1586"/>
        <v>8744.6</v>
      </c>
      <c r="P5252" s="86">
        <f t="shared" si="1587"/>
        <v>0</v>
      </c>
      <c r="Q5252" s="86">
        <f t="shared" si="1588"/>
        <v>0</v>
      </c>
      <c r="R5252" s="86">
        <f t="shared" si="1589"/>
        <v>0</v>
      </c>
      <c r="S5252" s="86">
        <f t="shared" si="1590"/>
        <v>0</v>
      </c>
      <c r="T5252" s="86">
        <f t="shared" si="1591"/>
        <v>8744.6</v>
      </c>
      <c r="U5252" s="87">
        <v>8744.6</v>
      </c>
    </row>
    <row r="5253" spans="1:21" s="30" customFormat="1" ht="24.6" hidden="1" outlineLevel="1" x14ac:dyDescent="0.55000000000000004">
      <c r="A5253" s="27" t="s">
        <v>327</v>
      </c>
      <c r="B5253" s="28"/>
      <c r="C5253" s="27"/>
      <c r="D5253" s="27" t="str">
        <f>"""NAV Direct"",""CRONUS JetCorp USA"",""21"",""1"",""390138"""</f>
        <v>"NAV Direct","CRONUS JetCorp USA","21","1","390138"</v>
      </c>
      <c r="E5253" s="31" t="str">
        <f t="shared" ref="E5253:E5284" si="1592">E5251</f>
        <v>C100141</v>
      </c>
      <c r="F5253" s="31"/>
      <c r="G5253" s="31"/>
      <c r="H5253" s="31"/>
      <c r="I5253" s="56"/>
      <c r="J5253" s="56"/>
      <c r="K5253" s="82" t="str">
        <f t="shared" ref="K5253:K5284" si="1593">"Invoice"</f>
        <v>Invoice</v>
      </c>
      <c r="L5253" s="83" t="str">
        <f>"SI_112045"</f>
        <v>SI_112045</v>
      </c>
      <c r="M5253" s="84">
        <v>43063</v>
      </c>
      <c r="N5253" s="85">
        <f t="shared" ref="N5253:N5284" si="1594">StartDate-$M5253+1</f>
        <v>749</v>
      </c>
      <c r="O5253" s="86">
        <f t="shared" ref="O5253:O5284" si="1595">SUM(P5253:T5253)</f>
        <v>8337.880000000001</v>
      </c>
      <c r="P5253" s="86">
        <f t="shared" ref="P5253:P5284" si="1596">IF($M5253&gt;=$P$18,U5253,0)</f>
        <v>0</v>
      </c>
      <c r="Q5253" s="86">
        <f t="shared" ref="Q5253:Q5284" si="1597">IF(AND($M5253&gt;=$Q$16,$M5253&lt;=$Q$18),U5253,0)</f>
        <v>0</v>
      </c>
      <c r="R5253" s="86">
        <f t="shared" ref="R5253:R5284" si="1598">IF(AND($M5253&gt;=$R$16,$M5253&lt;=$R$18),U5253,0)</f>
        <v>0</v>
      </c>
      <c r="S5253" s="86">
        <f t="shared" ref="S5253:S5284" si="1599">IF(AND($M5253&gt;=$S$16,$M5253&lt;=$S$18),U5253,0)</f>
        <v>0</v>
      </c>
      <c r="T5253" s="86">
        <f t="shared" ref="T5253:T5284" si="1600">IF($M5253&lt;=$T$18,U5253,0)</f>
        <v>8337.880000000001</v>
      </c>
      <c r="U5253" s="87">
        <v>8337.880000000001</v>
      </c>
    </row>
    <row r="5254" spans="1:21" s="30" customFormat="1" ht="24.6" hidden="1" outlineLevel="1" x14ac:dyDescent="0.55000000000000004">
      <c r="A5254" s="27" t="s">
        <v>327</v>
      </c>
      <c r="B5254" s="28"/>
      <c r="C5254" s="27"/>
      <c r="D5254" s="27" t="str">
        <f>"""NAV Direct"",""CRONUS JetCorp USA"",""21"",""1"",""390218"""</f>
        <v>"NAV Direct","CRONUS JetCorp USA","21","1","390218"</v>
      </c>
      <c r="E5254" s="31">
        <f t="shared" si="1592"/>
        <v>0</v>
      </c>
      <c r="F5254" s="31"/>
      <c r="G5254" s="31"/>
      <c r="H5254" s="31"/>
      <c r="I5254" s="56"/>
      <c r="J5254" s="56"/>
      <c r="K5254" s="82" t="str">
        <f t="shared" si="1593"/>
        <v>Invoice</v>
      </c>
      <c r="L5254" s="83" t="str">
        <f>"SI_112047"</f>
        <v>SI_112047</v>
      </c>
      <c r="M5254" s="84">
        <v>43072</v>
      </c>
      <c r="N5254" s="85">
        <f t="shared" si="1594"/>
        <v>740</v>
      </c>
      <c r="O5254" s="86">
        <f t="shared" si="1595"/>
        <v>8337.93</v>
      </c>
      <c r="P5254" s="86">
        <f t="shared" si="1596"/>
        <v>0</v>
      </c>
      <c r="Q5254" s="86">
        <f t="shared" si="1597"/>
        <v>0</v>
      </c>
      <c r="R5254" s="86">
        <f t="shared" si="1598"/>
        <v>0</v>
      </c>
      <c r="S5254" s="86">
        <f t="shared" si="1599"/>
        <v>0</v>
      </c>
      <c r="T5254" s="86">
        <f t="shared" si="1600"/>
        <v>8337.93</v>
      </c>
      <c r="U5254" s="87">
        <v>8337.93</v>
      </c>
    </row>
    <row r="5255" spans="1:21" s="30" customFormat="1" ht="24.6" hidden="1" outlineLevel="1" x14ac:dyDescent="0.55000000000000004">
      <c r="A5255" s="27" t="s">
        <v>327</v>
      </c>
      <c r="B5255" s="28"/>
      <c r="C5255" s="27"/>
      <c r="D5255" s="27" t="str">
        <f>"""NAV Direct"",""CRONUS JetCorp USA"",""21"",""1"",""390535"""</f>
        <v>"NAV Direct","CRONUS JetCorp USA","21","1","390535"</v>
      </c>
      <c r="E5255" s="31" t="str">
        <f t="shared" si="1592"/>
        <v>C100141</v>
      </c>
      <c r="F5255" s="31"/>
      <c r="G5255" s="31"/>
      <c r="H5255" s="31"/>
      <c r="I5255" s="56"/>
      <c r="J5255" s="56"/>
      <c r="K5255" s="82" t="str">
        <f t="shared" si="1593"/>
        <v>Invoice</v>
      </c>
      <c r="L5255" s="83" t="str">
        <f>"SI_112054"</f>
        <v>SI_112054</v>
      </c>
      <c r="M5255" s="84">
        <v>43126</v>
      </c>
      <c r="N5255" s="85">
        <f t="shared" si="1594"/>
        <v>686</v>
      </c>
      <c r="O5255" s="86">
        <f t="shared" si="1595"/>
        <v>8137.53</v>
      </c>
      <c r="P5255" s="86">
        <f t="shared" si="1596"/>
        <v>0</v>
      </c>
      <c r="Q5255" s="86">
        <f t="shared" si="1597"/>
        <v>0</v>
      </c>
      <c r="R5255" s="86">
        <f t="shared" si="1598"/>
        <v>0</v>
      </c>
      <c r="S5255" s="86">
        <f t="shared" si="1599"/>
        <v>0</v>
      </c>
      <c r="T5255" s="86">
        <f t="shared" si="1600"/>
        <v>8137.53</v>
      </c>
      <c r="U5255" s="87">
        <v>8137.53</v>
      </c>
    </row>
    <row r="5256" spans="1:21" s="30" customFormat="1" ht="24.6" hidden="1" outlineLevel="1" x14ac:dyDescent="0.55000000000000004">
      <c r="A5256" s="27" t="s">
        <v>327</v>
      </c>
      <c r="B5256" s="28"/>
      <c r="C5256" s="27"/>
      <c r="D5256" s="27" t="str">
        <f>"""NAV Direct"",""CRONUS JetCorp USA"",""21"",""1"",""390609"""</f>
        <v>"NAV Direct","CRONUS JetCorp USA","21","1","390609"</v>
      </c>
      <c r="E5256" s="31">
        <f t="shared" si="1592"/>
        <v>0</v>
      </c>
      <c r="F5256" s="31"/>
      <c r="G5256" s="31"/>
      <c r="H5256" s="31"/>
      <c r="I5256" s="56"/>
      <c r="J5256" s="56"/>
      <c r="K5256" s="82" t="str">
        <f t="shared" si="1593"/>
        <v>Invoice</v>
      </c>
      <c r="L5256" s="83" t="str">
        <f>"SI_112056"</f>
        <v>SI_112056</v>
      </c>
      <c r="M5256" s="84">
        <v>43147</v>
      </c>
      <c r="N5256" s="85">
        <f t="shared" si="1594"/>
        <v>665</v>
      </c>
      <c r="O5256" s="86">
        <f t="shared" si="1595"/>
        <v>7982.94</v>
      </c>
      <c r="P5256" s="86">
        <f t="shared" si="1596"/>
        <v>0</v>
      </c>
      <c r="Q5256" s="86">
        <f t="shared" si="1597"/>
        <v>0</v>
      </c>
      <c r="R5256" s="86">
        <f t="shared" si="1598"/>
        <v>0</v>
      </c>
      <c r="S5256" s="86">
        <f t="shared" si="1599"/>
        <v>0</v>
      </c>
      <c r="T5256" s="86">
        <f t="shared" si="1600"/>
        <v>7982.94</v>
      </c>
      <c r="U5256" s="87">
        <v>7982.94</v>
      </c>
    </row>
    <row r="5257" spans="1:21" s="30" customFormat="1" ht="24.6" hidden="1" outlineLevel="1" x14ac:dyDescent="0.55000000000000004">
      <c r="A5257" s="27" t="s">
        <v>327</v>
      </c>
      <c r="B5257" s="28"/>
      <c r="C5257" s="27"/>
      <c r="D5257" s="27" t="str">
        <f>"""NAV Direct"",""CRONUS JetCorp USA"",""21"",""1"",""390988"""</f>
        <v>"NAV Direct","CRONUS JetCorp USA","21","1","390988"</v>
      </c>
      <c r="E5257" s="31" t="str">
        <f t="shared" si="1592"/>
        <v>C100141</v>
      </c>
      <c r="F5257" s="31"/>
      <c r="G5257" s="31"/>
      <c r="H5257" s="31"/>
      <c r="I5257" s="56"/>
      <c r="J5257" s="56"/>
      <c r="K5257" s="82" t="str">
        <f t="shared" si="1593"/>
        <v>Invoice</v>
      </c>
      <c r="L5257" s="83" t="str">
        <f>"SI_112065"</f>
        <v>SI_112065</v>
      </c>
      <c r="M5257" s="84">
        <v>43217</v>
      </c>
      <c r="N5257" s="85">
        <f t="shared" si="1594"/>
        <v>595</v>
      </c>
      <c r="O5257" s="86">
        <f t="shared" si="1595"/>
        <v>8224.82</v>
      </c>
      <c r="P5257" s="86">
        <f t="shared" si="1596"/>
        <v>0</v>
      </c>
      <c r="Q5257" s="86">
        <f t="shared" si="1597"/>
        <v>0</v>
      </c>
      <c r="R5257" s="86">
        <f t="shared" si="1598"/>
        <v>0</v>
      </c>
      <c r="S5257" s="86">
        <f t="shared" si="1599"/>
        <v>0</v>
      </c>
      <c r="T5257" s="86">
        <f t="shared" si="1600"/>
        <v>8224.82</v>
      </c>
      <c r="U5257" s="87">
        <v>8224.82</v>
      </c>
    </row>
    <row r="5258" spans="1:21" s="30" customFormat="1" ht="24.6" hidden="1" outlineLevel="1" x14ac:dyDescent="0.55000000000000004">
      <c r="A5258" s="27" t="s">
        <v>327</v>
      </c>
      <c r="B5258" s="28"/>
      <c r="C5258" s="27"/>
      <c r="D5258" s="27" t="str">
        <f>"""NAV Direct"",""CRONUS JetCorp USA"",""21"",""1"",""391225"""</f>
        <v>"NAV Direct","CRONUS JetCorp USA","21","1","391225"</v>
      </c>
      <c r="E5258" s="31">
        <f t="shared" si="1592"/>
        <v>0</v>
      </c>
      <c r="F5258" s="31"/>
      <c r="G5258" s="31"/>
      <c r="H5258" s="31"/>
      <c r="I5258" s="56"/>
      <c r="J5258" s="56"/>
      <c r="K5258" s="82" t="str">
        <f t="shared" si="1593"/>
        <v>Invoice</v>
      </c>
      <c r="L5258" s="83" t="str">
        <f>"SI_112070"</f>
        <v>SI_112070</v>
      </c>
      <c r="M5258" s="84">
        <v>43303</v>
      </c>
      <c r="N5258" s="85">
        <f t="shared" si="1594"/>
        <v>509</v>
      </c>
      <c r="O5258" s="86">
        <f t="shared" si="1595"/>
        <v>9300.44</v>
      </c>
      <c r="P5258" s="86">
        <f t="shared" si="1596"/>
        <v>0</v>
      </c>
      <c r="Q5258" s="86">
        <f t="shared" si="1597"/>
        <v>0</v>
      </c>
      <c r="R5258" s="86">
        <f t="shared" si="1598"/>
        <v>0</v>
      </c>
      <c r="S5258" s="86">
        <f t="shared" si="1599"/>
        <v>0</v>
      </c>
      <c r="T5258" s="86">
        <f t="shared" si="1600"/>
        <v>9300.44</v>
      </c>
      <c r="U5258" s="87">
        <v>9300.44</v>
      </c>
    </row>
    <row r="5259" spans="1:21" s="30" customFormat="1" ht="24.6" hidden="1" outlineLevel="1" x14ac:dyDescent="0.55000000000000004">
      <c r="A5259" s="27" t="s">
        <v>327</v>
      </c>
      <c r="B5259" s="28"/>
      <c r="C5259" s="27"/>
      <c r="D5259" s="27" t="str">
        <f>"""NAV Direct"",""CRONUS JetCorp USA"",""21"",""1"",""391745"""</f>
        <v>"NAV Direct","CRONUS JetCorp USA","21","1","391745"</v>
      </c>
      <c r="E5259" s="31" t="str">
        <f t="shared" si="1592"/>
        <v>C100141</v>
      </c>
      <c r="F5259" s="31"/>
      <c r="G5259" s="31"/>
      <c r="H5259" s="31"/>
      <c r="I5259" s="56"/>
      <c r="J5259" s="56"/>
      <c r="K5259" s="82" t="str">
        <f t="shared" si="1593"/>
        <v>Invoice</v>
      </c>
      <c r="L5259" s="83" t="str">
        <f>"SI_112080"</f>
        <v>SI_112080</v>
      </c>
      <c r="M5259" s="84">
        <v>43367</v>
      </c>
      <c r="N5259" s="85">
        <f t="shared" si="1594"/>
        <v>445</v>
      </c>
      <c r="O5259" s="86">
        <f t="shared" si="1595"/>
        <v>11524.949999999999</v>
      </c>
      <c r="P5259" s="86">
        <f t="shared" si="1596"/>
        <v>0</v>
      </c>
      <c r="Q5259" s="86">
        <f t="shared" si="1597"/>
        <v>0</v>
      </c>
      <c r="R5259" s="86">
        <f t="shared" si="1598"/>
        <v>0</v>
      </c>
      <c r="S5259" s="86">
        <f t="shared" si="1599"/>
        <v>0</v>
      </c>
      <c r="T5259" s="86">
        <f t="shared" si="1600"/>
        <v>11524.949999999999</v>
      </c>
      <c r="U5259" s="87">
        <v>11524.949999999999</v>
      </c>
    </row>
    <row r="5260" spans="1:21" s="30" customFormat="1" ht="24.6" hidden="1" outlineLevel="1" x14ac:dyDescent="0.55000000000000004">
      <c r="A5260" s="27" t="s">
        <v>327</v>
      </c>
      <c r="B5260" s="28"/>
      <c r="C5260" s="27"/>
      <c r="D5260" s="27" t="str">
        <f>"""NAV Direct"",""CRONUS JetCorp USA"",""21"",""1"",""391904"""</f>
        <v>"NAV Direct","CRONUS JetCorp USA","21","1","391904"</v>
      </c>
      <c r="E5260" s="31">
        <f t="shared" si="1592"/>
        <v>0</v>
      </c>
      <c r="F5260" s="31"/>
      <c r="G5260" s="31"/>
      <c r="H5260" s="31"/>
      <c r="I5260" s="56"/>
      <c r="J5260" s="56"/>
      <c r="K5260" s="82" t="str">
        <f t="shared" si="1593"/>
        <v>Invoice</v>
      </c>
      <c r="L5260" s="83" t="str">
        <f>"SI_112083"</f>
        <v>SI_112083</v>
      </c>
      <c r="M5260" s="84">
        <v>43372</v>
      </c>
      <c r="N5260" s="85">
        <f t="shared" si="1594"/>
        <v>440</v>
      </c>
      <c r="O5260" s="86">
        <f t="shared" si="1595"/>
        <v>11405</v>
      </c>
      <c r="P5260" s="86">
        <f t="shared" si="1596"/>
        <v>0</v>
      </c>
      <c r="Q5260" s="86">
        <f t="shared" si="1597"/>
        <v>0</v>
      </c>
      <c r="R5260" s="86">
        <f t="shared" si="1598"/>
        <v>0</v>
      </c>
      <c r="S5260" s="86">
        <f t="shared" si="1599"/>
        <v>0</v>
      </c>
      <c r="T5260" s="86">
        <f t="shared" si="1600"/>
        <v>11405</v>
      </c>
      <c r="U5260" s="87">
        <v>11405</v>
      </c>
    </row>
    <row r="5261" spans="1:21" s="30" customFormat="1" ht="24.6" hidden="1" outlineLevel="1" x14ac:dyDescent="0.55000000000000004">
      <c r="A5261" s="27" t="s">
        <v>327</v>
      </c>
      <c r="B5261" s="28"/>
      <c r="C5261" s="27"/>
      <c r="D5261" s="27" t="str">
        <f>"""NAV Direct"",""CRONUS JetCorp USA"",""21"",""1"",""392010"""</f>
        <v>"NAV Direct","CRONUS JetCorp USA","21","1","392010"</v>
      </c>
      <c r="E5261" s="31" t="str">
        <f t="shared" si="1592"/>
        <v>C100141</v>
      </c>
      <c r="F5261" s="31"/>
      <c r="G5261" s="31"/>
      <c r="H5261" s="31"/>
      <c r="I5261" s="56"/>
      <c r="J5261" s="56"/>
      <c r="K5261" s="82" t="str">
        <f t="shared" si="1593"/>
        <v>Invoice</v>
      </c>
      <c r="L5261" s="83" t="str">
        <f>"SI_112085"</f>
        <v>SI_112085</v>
      </c>
      <c r="M5261" s="84">
        <v>43388</v>
      </c>
      <c r="N5261" s="85">
        <f t="shared" si="1594"/>
        <v>424</v>
      </c>
      <c r="O5261" s="86">
        <f t="shared" si="1595"/>
        <v>12545.7</v>
      </c>
      <c r="P5261" s="86">
        <f t="shared" si="1596"/>
        <v>0</v>
      </c>
      <c r="Q5261" s="86">
        <f t="shared" si="1597"/>
        <v>0</v>
      </c>
      <c r="R5261" s="86">
        <f t="shared" si="1598"/>
        <v>0</v>
      </c>
      <c r="S5261" s="86">
        <f t="shared" si="1599"/>
        <v>0</v>
      </c>
      <c r="T5261" s="86">
        <f t="shared" si="1600"/>
        <v>12545.7</v>
      </c>
      <c r="U5261" s="87">
        <v>12545.7</v>
      </c>
    </row>
    <row r="5262" spans="1:21" s="30" customFormat="1" ht="24.6" hidden="1" outlineLevel="1" x14ac:dyDescent="0.55000000000000004">
      <c r="A5262" s="27" t="s">
        <v>327</v>
      </c>
      <c r="B5262" s="28"/>
      <c r="C5262" s="27"/>
      <c r="D5262" s="27" t="str">
        <f>"""NAV Direct"",""CRONUS JetCorp USA"",""21"",""1"",""392159"""</f>
        <v>"NAV Direct","CRONUS JetCorp USA","21","1","392159"</v>
      </c>
      <c r="E5262" s="31">
        <f t="shared" si="1592"/>
        <v>0</v>
      </c>
      <c r="F5262" s="31"/>
      <c r="G5262" s="31"/>
      <c r="H5262" s="31"/>
      <c r="I5262" s="56"/>
      <c r="J5262" s="56"/>
      <c r="K5262" s="82" t="str">
        <f t="shared" si="1593"/>
        <v>Invoice</v>
      </c>
      <c r="L5262" s="83" t="str">
        <f>"SI_112088"</f>
        <v>SI_112088</v>
      </c>
      <c r="M5262" s="84">
        <v>43405</v>
      </c>
      <c r="N5262" s="85">
        <f t="shared" si="1594"/>
        <v>407</v>
      </c>
      <c r="O5262" s="86">
        <f t="shared" si="1595"/>
        <v>12545.58</v>
      </c>
      <c r="P5262" s="86">
        <f t="shared" si="1596"/>
        <v>0</v>
      </c>
      <c r="Q5262" s="86">
        <f t="shared" si="1597"/>
        <v>0</v>
      </c>
      <c r="R5262" s="86">
        <f t="shared" si="1598"/>
        <v>0</v>
      </c>
      <c r="S5262" s="86">
        <f t="shared" si="1599"/>
        <v>0</v>
      </c>
      <c r="T5262" s="86">
        <f t="shared" si="1600"/>
        <v>12545.58</v>
      </c>
      <c r="U5262" s="87">
        <v>12545.58</v>
      </c>
    </row>
    <row r="5263" spans="1:21" s="30" customFormat="1" ht="24.6" hidden="1" outlineLevel="1" x14ac:dyDescent="0.55000000000000004">
      <c r="A5263" s="27" t="s">
        <v>327</v>
      </c>
      <c r="B5263" s="28"/>
      <c r="C5263" s="27"/>
      <c r="D5263" s="27" t="str">
        <f>"""NAV Direct"",""CRONUS JetCorp USA"",""21"",""1"",""392214"""</f>
        <v>"NAV Direct","CRONUS JetCorp USA","21","1","392214"</v>
      </c>
      <c r="E5263" s="31" t="str">
        <f t="shared" si="1592"/>
        <v>C100141</v>
      </c>
      <c r="F5263" s="31"/>
      <c r="G5263" s="31"/>
      <c r="H5263" s="31"/>
      <c r="I5263" s="56"/>
      <c r="J5263" s="56"/>
      <c r="K5263" s="82" t="str">
        <f t="shared" si="1593"/>
        <v>Invoice</v>
      </c>
      <c r="L5263" s="83" t="str">
        <f>"SI_112089"</f>
        <v>SI_112089</v>
      </c>
      <c r="M5263" s="84">
        <v>43405</v>
      </c>
      <c r="N5263" s="85">
        <f t="shared" si="1594"/>
        <v>407</v>
      </c>
      <c r="O5263" s="86">
        <f t="shared" si="1595"/>
        <v>12809.619999999999</v>
      </c>
      <c r="P5263" s="86">
        <f t="shared" si="1596"/>
        <v>0</v>
      </c>
      <c r="Q5263" s="86">
        <f t="shared" si="1597"/>
        <v>0</v>
      </c>
      <c r="R5263" s="86">
        <f t="shared" si="1598"/>
        <v>0</v>
      </c>
      <c r="S5263" s="86">
        <f t="shared" si="1599"/>
        <v>0</v>
      </c>
      <c r="T5263" s="86">
        <f t="shared" si="1600"/>
        <v>12809.619999999999</v>
      </c>
      <c r="U5263" s="87">
        <v>12809.619999999999</v>
      </c>
    </row>
    <row r="5264" spans="1:21" s="30" customFormat="1" ht="24.6" hidden="1" outlineLevel="1" x14ac:dyDescent="0.55000000000000004">
      <c r="A5264" s="27" t="s">
        <v>327</v>
      </c>
      <c r="B5264" s="28"/>
      <c r="C5264" s="27"/>
      <c r="D5264" s="27" t="str">
        <f>"""NAV Direct"",""CRONUS JetCorp USA"",""21"",""1"",""392267"""</f>
        <v>"NAV Direct","CRONUS JetCorp USA","21","1","392267"</v>
      </c>
      <c r="E5264" s="31">
        <f t="shared" si="1592"/>
        <v>0</v>
      </c>
      <c r="F5264" s="31"/>
      <c r="G5264" s="31"/>
      <c r="H5264" s="31"/>
      <c r="I5264" s="56"/>
      <c r="J5264" s="56"/>
      <c r="K5264" s="82" t="str">
        <f t="shared" si="1593"/>
        <v>Invoice</v>
      </c>
      <c r="L5264" s="83" t="str">
        <f>"SI_112090"</f>
        <v>SI_112090</v>
      </c>
      <c r="M5264" s="84">
        <v>43412</v>
      </c>
      <c r="N5264" s="85">
        <f t="shared" si="1594"/>
        <v>400</v>
      </c>
      <c r="O5264" s="86">
        <f t="shared" si="1595"/>
        <v>12413.6</v>
      </c>
      <c r="P5264" s="86">
        <f t="shared" si="1596"/>
        <v>0</v>
      </c>
      <c r="Q5264" s="86">
        <f t="shared" si="1597"/>
        <v>0</v>
      </c>
      <c r="R5264" s="86">
        <f t="shared" si="1598"/>
        <v>0</v>
      </c>
      <c r="S5264" s="86">
        <f t="shared" si="1599"/>
        <v>0</v>
      </c>
      <c r="T5264" s="86">
        <f t="shared" si="1600"/>
        <v>12413.6</v>
      </c>
      <c r="U5264" s="87">
        <v>12413.6</v>
      </c>
    </row>
    <row r="5265" spans="1:21" s="30" customFormat="1" ht="24.6" hidden="1" outlineLevel="1" x14ac:dyDescent="0.55000000000000004">
      <c r="A5265" s="27" t="s">
        <v>327</v>
      </c>
      <c r="B5265" s="28"/>
      <c r="C5265" s="27"/>
      <c r="D5265" s="27" t="str">
        <f>"""NAV Direct"",""CRONUS JetCorp USA"",""21"",""1"",""392389"""</f>
        <v>"NAV Direct","CRONUS JetCorp USA","21","1","392389"</v>
      </c>
      <c r="E5265" s="31" t="str">
        <f t="shared" si="1592"/>
        <v>C100141</v>
      </c>
      <c r="F5265" s="31"/>
      <c r="G5265" s="31"/>
      <c r="H5265" s="31"/>
      <c r="I5265" s="56"/>
      <c r="J5265" s="56"/>
      <c r="K5265" s="82" t="str">
        <f t="shared" si="1593"/>
        <v>Invoice</v>
      </c>
      <c r="L5265" s="83" t="str">
        <f>"SI_112092"</f>
        <v>SI_112092</v>
      </c>
      <c r="M5265" s="84">
        <v>43425</v>
      </c>
      <c r="N5265" s="85">
        <f t="shared" si="1594"/>
        <v>387</v>
      </c>
      <c r="O5265" s="86">
        <f t="shared" si="1595"/>
        <v>12928.79</v>
      </c>
      <c r="P5265" s="86">
        <f t="shared" si="1596"/>
        <v>0</v>
      </c>
      <c r="Q5265" s="86">
        <f t="shared" si="1597"/>
        <v>0</v>
      </c>
      <c r="R5265" s="86">
        <f t="shared" si="1598"/>
        <v>0</v>
      </c>
      <c r="S5265" s="86">
        <f t="shared" si="1599"/>
        <v>0</v>
      </c>
      <c r="T5265" s="86">
        <f t="shared" si="1600"/>
        <v>12928.79</v>
      </c>
      <c r="U5265" s="87">
        <v>12928.79</v>
      </c>
    </row>
    <row r="5266" spans="1:21" s="30" customFormat="1" ht="24.6" hidden="1" outlineLevel="1" x14ac:dyDescent="0.55000000000000004">
      <c r="A5266" s="27" t="s">
        <v>327</v>
      </c>
      <c r="B5266" s="28"/>
      <c r="C5266" s="27"/>
      <c r="D5266" s="27" t="str">
        <f>"""NAV Direct"",""CRONUS JetCorp USA"",""21"",""1"",""392674"""</f>
        <v>"NAV Direct","CRONUS JetCorp USA","21","1","392674"</v>
      </c>
      <c r="E5266" s="31">
        <f t="shared" si="1592"/>
        <v>0</v>
      </c>
      <c r="F5266" s="31"/>
      <c r="G5266" s="31"/>
      <c r="H5266" s="31"/>
      <c r="I5266" s="56"/>
      <c r="J5266" s="56"/>
      <c r="K5266" s="82" t="str">
        <f t="shared" si="1593"/>
        <v>Invoice</v>
      </c>
      <c r="L5266" s="83" t="str">
        <f>"SI_112097"</f>
        <v>SI_112097</v>
      </c>
      <c r="M5266" s="84">
        <v>43450</v>
      </c>
      <c r="N5266" s="85">
        <f t="shared" si="1594"/>
        <v>362</v>
      </c>
      <c r="O5266" s="86">
        <f t="shared" si="1595"/>
        <v>10342.91</v>
      </c>
      <c r="P5266" s="86">
        <f t="shared" si="1596"/>
        <v>0</v>
      </c>
      <c r="Q5266" s="86">
        <f t="shared" si="1597"/>
        <v>0</v>
      </c>
      <c r="R5266" s="86">
        <f t="shared" si="1598"/>
        <v>0</v>
      </c>
      <c r="S5266" s="86">
        <f t="shared" si="1599"/>
        <v>0</v>
      </c>
      <c r="T5266" s="86">
        <f t="shared" si="1600"/>
        <v>10342.91</v>
      </c>
      <c r="U5266" s="87">
        <v>10342.91</v>
      </c>
    </row>
    <row r="5267" spans="1:21" s="30" customFormat="1" ht="24.6" hidden="1" outlineLevel="1" x14ac:dyDescent="0.55000000000000004">
      <c r="A5267" s="27" t="s">
        <v>327</v>
      </c>
      <c r="B5267" s="28"/>
      <c r="C5267" s="27"/>
      <c r="D5267" s="27" t="str">
        <f>"""NAV Direct"",""CRONUS JetCorp USA"",""21"",""1"",""392817"""</f>
        <v>"NAV Direct","CRONUS JetCorp USA","21","1","392817"</v>
      </c>
      <c r="E5267" s="31" t="str">
        <f t="shared" si="1592"/>
        <v>C100141</v>
      </c>
      <c r="F5267" s="31"/>
      <c r="G5267" s="31"/>
      <c r="H5267" s="31"/>
      <c r="I5267" s="56"/>
      <c r="J5267" s="56"/>
      <c r="K5267" s="82" t="str">
        <f t="shared" si="1593"/>
        <v>Invoice</v>
      </c>
      <c r="L5267" s="83" t="str">
        <f>"SI_112100"</f>
        <v>SI_112100</v>
      </c>
      <c r="M5267" s="84">
        <v>43493</v>
      </c>
      <c r="N5267" s="85">
        <f t="shared" si="1594"/>
        <v>319</v>
      </c>
      <c r="O5267" s="86">
        <f t="shared" si="1595"/>
        <v>10416.890000000001</v>
      </c>
      <c r="P5267" s="86">
        <f t="shared" si="1596"/>
        <v>0</v>
      </c>
      <c r="Q5267" s="86">
        <f t="shared" si="1597"/>
        <v>0</v>
      </c>
      <c r="R5267" s="86">
        <f t="shared" si="1598"/>
        <v>0</v>
      </c>
      <c r="S5267" s="86">
        <f t="shared" si="1599"/>
        <v>0</v>
      </c>
      <c r="T5267" s="86">
        <f t="shared" si="1600"/>
        <v>10416.890000000001</v>
      </c>
      <c r="U5267" s="87">
        <v>10416.890000000001</v>
      </c>
    </row>
    <row r="5268" spans="1:21" s="30" customFormat="1" ht="24.6" hidden="1" outlineLevel="1" x14ac:dyDescent="0.55000000000000004">
      <c r="A5268" s="27" t="s">
        <v>327</v>
      </c>
      <c r="B5268" s="28"/>
      <c r="C5268" s="27"/>
      <c r="D5268" s="27" t="str">
        <f>"""NAV Direct"",""CRONUS JetCorp USA"",""21"",""1"",""393090"""</f>
        <v>"NAV Direct","CRONUS JetCorp USA","21","1","393090"</v>
      </c>
      <c r="E5268" s="31">
        <f t="shared" si="1592"/>
        <v>0</v>
      </c>
      <c r="F5268" s="31"/>
      <c r="G5268" s="31"/>
      <c r="H5268" s="31"/>
      <c r="I5268" s="56"/>
      <c r="J5268" s="56"/>
      <c r="K5268" s="82" t="str">
        <f t="shared" si="1593"/>
        <v>Invoice</v>
      </c>
      <c r="L5268" s="83" t="str">
        <f>"SI_112105"</f>
        <v>SI_112105</v>
      </c>
      <c r="M5268" s="84">
        <v>43527</v>
      </c>
      <c r="N5268" s="85">
        <f t="shared" si="1594"/>
        <v>285</v>
      </c>
      <c r="O5268" s="86">
        <f t="shared" si="1595"/>
        <v>11458.710000000001</v>
      </c>
      <c r="P5268" s="86">
        <f t="shared" si="1596"/>
        <v>0</v>
      </c>
      <c r="Q5268" s="86">
        <f t="shared" si="1597"/>
        <v>0</v>
      </c>
      <c r="R5268" s="86">
        <f t="shared" si="1598"/>
        <v>0</v>
      </c>
      <c r="S5268" s="86">
        <f t="shared" si="1599"/>
        <v>0</v>
      </c>
      <c r="T5268" s="86">
        <f t="shared" si="1600"/>
        <v>11458.710000000001</v>
      </c>
      <c r="U5268" s="87">
        <v>11458.710000000001</v>
      </c>
    </row>
    <row r="5269" spans="1:21" s="30" customFormat="1" ht="24.6" hidden="1" outlineLevel="1" x14ac:dyDescent="0.55000000000000004">
      <c r="A5269" s="27" t="s">
        <v>327</v>
      </c>
      <c r="B5269" s="28"/>
      <c r="C5269" s="27"/>
      <c r="D5269" s="27" t="str">
        <f>"""NAV Direct"",""CRONUS JetCorp USA"",""21"",""1"",""393548"""</f>
        <v>"NAV Direct","CRONUS JetCorp USA","21","1","393548"</v>
      </c>
      <c r="E5269" s="31" t="str">
        <f t="shared" si="1592"/>
        <v>C100141</v>
      </c>
      <c r="F5269" s="31"/>
      <c r="G5269" s="31"/>
      <c r="H5269" s="31"/>
      <c r="I5269" s="56"/>
      <c r="J5269" s="56"/>
      <c r="K5269" s="82" t="str">
        <f t="shared" si="1593"/>
        <v>Invoice</v>
      </c>
      <c r="L5269" s="83" t="str">
        <f>"SI_112113"</f>
        <v>SI_112113</v>
      </c>
      <c r="M5269" s="84">
        <v>43577</v>
      </c>
      <c r="N5269" s="85">
        <f t="shared" si="1594"/>
        <v>235</v>
      </c>
      <c r="O5269" s="86">
        <f t="shared" si="1595"/>
        <v>13317.72</v>
      </c>
      <c r="P5269" s="86">
        <f t="shared" si="1596"/>
        <v>0</v>
      </c>
      <c r="Q5269" s="86">
        <f t="shared" si="1597"/>
        <v>0</v>
      </c>
      <c r="R5269" s="86">
        <f t="shared" si="1598"/>
        <v>0</v>
      </c>
      <c r="S5269" s="86">
        <f t="shared" si="1599"/>
        <v>0</v>
      </c>
      <c r="T5269" s="86">
        <f t="shared" si="1600"/>
        <v>13317.72</v>
      </c>
      <c r="U5269" s="87">
        <v>13317.72</v>
      </c>
    </row>
    <row r="5270" spans="1:21" s="30" customFormat="1" ht="24.6" hidden="1" outlineLevel="1" x14ac:dyDescent="0.55000000000000004">
      <c r="A5270" s="27" t="s">
        <v>327</v>
      </c>
      <c r="B5270" s="28"/>
      <c r="C5270" s="27"/>
      <c r="D5270" s="27" t="str">
        <f>"""NAV Direct"",""CRONUS JetCorp USA"",""21"",""1"",""393585"""</f>
        <v>"NAV Direct","CRONUS JetCorp USA","21","1","393585"</v>
      </c>
      <c r="E5270" s="31">
        <f t="shared" si="1592"/>
        <v>0</v>
      </c>
      <c r="F5270" s="31"/>
      <c r="G5270" s="31"/>
      <c r="H5270" s="31"/>
      <c r="I5270" s="56"/>
      <c r="J5270" s="56"/>
      <c r="K5270" s="82" t="str">
        <f t="shared" si="1593"/>
        <v>Invoice</v>
      </c>
      <c r="L5270" s="83" t="str">
        <f>"SI_112114"</f>
        <v>SI_112114</v>
      </c>
      <c r="M5270" s="84">
        <v>43578</v>
      </c>
      <c r="N5270" s="85">
        <f t="shared" si="1594"/>
        <v>234</v>
      </c>
      <c r="O5270" s="86">
        <f t="shared" si="1595"/>
        <v>12756.85</v>
      </c>
      <c r="P5270" s="86">
        <f t="shared" si="1596"/>
        <v>0</v>
      </c>
      <c r="Q5270" s="86">
        <f t="shared" si="1597"/>
        <v>0</v>
      </c>
      <c r="R5270" s="86">
        <f t="shared" si="1598"/>
        <v>0</v>
      </c>
      <c r="S5270" s="86">
        <f t="shared" si="1599"/>
        <v>0</v>
      </c>
      <c r="T5270" s="86">
        <f t="shared" si="1600"/>
        <v>12756.85</v>
      </c>
      <c r="U5270" s="87">
        <v>12756.85</v>
      </c>
    </row>
    <row r="5271" spans="1:21" s="30" customFormat="1" ht="24.6" hidden="1" outlineLevel="1" x14ac:dyDescent="0.55000000000000004">
      <c r="A5271" s="27" t="s">
        <v>327</v>
      </c>
      <c r="B5271" s="28"/>
      <c r="C5271" s="27"/>
      <c r="D5271" s="27" t="str">
        <f>"""NAV Direct"",""CRONUS JetCorp USA"",""21"",""1"",""393819"""</f>
        <v>"NAV Direct","CRONUS JetCorp USA","21","1","393819"</v>
      </c>
      <c r="E5271" s="31" t="str">
        <f t="shared" si="1592"/>
        <v>C100141</v>
      </c>
      <c r="F5271" s="31"/>
      <c r="G5271" s="31"/>
      <c r="H5271" s="31"/>
      <c r="I5271" s="56"/>
      <c r="J5271" s="56"/>
      <c r="K5271" s="82" t="str">
        <f t="shared" si="1593"/>
        <v>Invoice</v>
      </c>
      <c r="L5271" s="83" t="str">
        <f>"SI_112118"</f>
        <v>SI_112118</v>
      </c>
      <c r="M5271" s="84">
        <v>43587</v>
      </c>
      <c r="N5271" s="85">
        <f t="shared" si="1594"/>
        <v>225</v>
      </c>
      <c r="O5271" s="86">
        <f t="shared" si="1595"/>
        <v>13177.53</v>
      </c>
      <c r="P5271" s="86">
        <f t="shared" si="1596"/>
        <v>0</v>
      </c>
      <c r="Q5271" s="86">
        <f t="shared" si="1597"/>
        <v>0</v>
      </c>
      <c r="R5271" s="86">
        <f t="shared" si="1598"/>
        <v>0</v>
      </c>
      <c r="S5271" s="86">
        <f t="shared" si="1599"/>
        <v>0</v>
      </c>
      <c r="T5271" s="86">
        <f t="shared" si="1600"/>
        <v>13177.53</v>
      </c>
      <c r="U5271" s="87">
        <v>13177.53</v>
      </c>
    </row>
    <row r="5272" spans="1:21" s="30" customFormat="1" ht="24.6" hidden="1" outlineLevel="1" x14ac:dyDescent="0.55000000000000004">
      <c r="A5272" s="27" t="s">
        <v>327</v>
      </c>
      <c r="B5272" s="28"/>
      <c r="C5272" s="27"/>
      <c r="D5272" s="27" t="str">
        <f>"""NAV Direct"",""CRONUS JetCorp USA"",""21"",""1"",""394175"""</f>
        <v>"NAV Direct","CRONUS JetCorp USA","21","1","394175"</v>
      </c>
      <c r="E5272" s="31">
        <f t="shared" si="1592"/>
        <v>0</v>
      </c>
      <c r="F5272" s="31"/>
      <c r="G5272" s="31"/>
      <c r="H5272" s="31"/>
      <c r="I5272" s="56"/>
      <c r="J5272" s="56"/>
      <c r="K5272" s="82" t="str">
        <f t="shared" si="1593"/>
        <v>Invoice</v>
      </c>
      <c r="L5272" s="83" t="str">
        <f>"SI_112124"</f>
        <v>SI_112124</v>
      </c>
      <c r="M5272" s="84">
        <v>43615</v>
      </c>
      <c r="N5272" s="85">
        <f t="shared" si="1594"/>
        <v>197</v>
      </c>
      <c r="O5272" s="86">
        <f t="shared" si="1595"/>
        <v>10317.68</v>
      </c>
      <c r="P5272" s="86">
        <f t="shared" si="1596"/>
        <v>0</v>
      </c>
      <c r="Q5272" s="86">
        <f t="shared" si="1597"/>
        <v>0</v>
      </c>
      <c r="R5272" s="86">
        <f t="shared" si="1598"/>
        <v>0</v>
      </c>
      <c r="S5272" s="86">
        <f t="shared" si="1599"/>
        <v>0</v>
      </c>
      <c r="T5272" s="86">
        <f t="shared" si="1600"/>
        <v>10317.68</v>
      </c>
      <c r="U5272" s="87">
        <v>10317.68</v>
      </c>
    </row>
    <row r="5273" spans="1:21" s="30" customFormat="1" ht="24.6" hidden="1" outlineLevel="1" x14ac:dyDescent="0.55000000000000004">
      <c r="A5273" s="27" t="s">
        <v>327</v>
      </c>
      <c r="B5273" s="28"/>
      <c r="C5273" s="27"/>
      <c r="D5273" s="27" t="str">
        <f>"""NAV Direct"",""CRONUS JetCorp USA"",""21"",""1"",""394210"""</f>
        <v>"NAV Direct","CRONUS JetCorp USA","21","1","394210"</v>
      </c>
      <c r="E5273" s="31" t="str">
        <f t="shared" si="1592"/>
        <v>C100141</v>
      </c>
      <c r="F5273" s="31"/>
      <c r="G5273" s="31"/>
      <c r="H5273" s="31"/>
      <c r="I5273" s="56"/>
      <c r="J5273" s="56"/>
      <c r="K5273" s="82" t="str">
        <f t="shared" si="1593"/>
        <v>Invoice</v>
      </c>
      <c r="L5273" s="83" t="str">
        <f>"SI_112125"</f>
        <v>SI_112125</v>
      </c>
      <c r="M5273" s="84">
        <v>43618</v>
      </c>
      <c r="N5273" s="85">
        <f t="shared" si="1594"/>
        <v>194</v>
      </c>
      <c r="O5273" s="86">
        <f t="shared" si="1595"/>
        <v>10990.49</v>
      </c>
      <c r="P5273" s="86">
        <f t="shared" si="1596"/>
        <v>0</v>
      </c>
      <c r="Q5273" s="86">
        <f t="shared" si="1597"/>
        <v>0</v>
      </c>
      <c r="R5273" s="86">
        <f t="shared" si="1598"/>
        <v>0</v>
      </c>
      <c r="S5273" s="86">
        <f t="shared" si="1599"/>
        <v>0</v>
      </c>
      <c r="T5273" s="86">
        <f t="shared" si="1600"/>
        <v>10990.49</v>
      </c>
      <c r="U5273" s="87">
        <v>10990.49</v>
      </c>
    </row>
    <row r="5274" spans="1:21" s="30" customFormat="1" ht="24.6" hidden="1" outlineLevel="1" x14ac:dyDescent="0.55000000000000004">
      <c r="A5274" s="27" t="s">
        <v>327</v>
      </c>
      <c r="B5274" s="28"/>
      <c r="C5274" s="27"/>
      <c r="D5274" s="27" t="str">
        <f>"""NAV Direct"",""CRONUS JetCorp USA"",""21"",""1"",""394426"""</f>
        <v>"NAV Direct","CRONUS JetCorp USA","21","1","394426"</v>
      </c>
      <c r="E5274" s="31">
        <f t="shared" si="1592"/>
        <v>0</v>
      </c>
      <c r="F5274" s="31"/>
      <c r="G5274" s="31"/>
      <c r="H5274" s="31"/>
      <c r="I5274" s="56"/>
      <c r="J5274" s="56"/>
      <c r="K5274" s="82" t="str">
        <f t="shared" si="1593"/>
        <v>Invoice</v>
      </c>
      <c r="L5274" s="83" t="str">
        <f>"SI_112129"</f>
        <v>SI_112129</v>
      </c>
      <c r="M5274" s="84">
        <v>43642</v>
      </c>
      <c r="N5274" s="85">
        <f t="shared" si="1594"/>
        <v>170</v>
      </c>
      <c r="O5274" s="86">
        <f t="shared" si="1595"/>
        <v>9891.57</v>
      </c>
      <c r="P5274" s="86">
        <f t="shared" si="1596"/>
        <v>0</v>
      </c>
      <c r="Q5274" s="86">
        <f t="shared" si="1597"/>
        <v>0</v>
      </c>
      <c r="R5274" s="86">
        <f t="shared" si="1598"/>
        <v>0</v>
      </c>
      <c r="S5274" s="86">
        <f t="shared" si="1599"/>
        <v>0</v>
      </c>
      <c r="T5274" s="86">
        <f t="shared" si="1600"/>
        <v>9891.57</v>
      </c>
      <c r="U5274" s="87">
        <v>9891.57</v>
      </c>
    </row>
    <row r="5275" spans="1:21" s="30" customFormat="1" ht="24.6" hidden="1" outlineLevel="1" x14ac:dyDescent="0.55000000000000004">
      <c r="A5275" s="27" t="s">
        <v>327</v>
      </c>
      <c r="B5275" s="28"/>
      <c r="C5275" s="27"/>
      <c r="D5275" s="27" t="str">
        <f>"""NAV Direct"",""CRONUS JetCorp USA"",""21"",""1"",""395052"""</f>
        <v>"NAV Direct","CRONUS JetCorp USA","21","1","395052"</v>
      </c>
      <c r="E5275" s="31" t="str">
        <f t="shared" si="1592"/>
        <v>C100141</v>
      </c>
      <c r="F5275" s="31"/>
      <c r="G5275" s="31"/>
      <c r="H5275" s="31"/>
      <c r="I5275" s="56"/>
      <c r="J5275" s="56"/>
      <c r="K5275" s="82" t="str">
        <f t="shared" si="1593"/>
        <v>Invoice</v>
      </c>
      <c r="L5275" s="83" t="str">
        <f>"SI_112141"</f>
        <v>SI_112141</v>
      </c>
      <c r="M5275" s="84">
        <v>43701</v>
      </c>
      <c r="N5275" s="85">
        <f t="shared" si="1594"/>
        <v>111</v>
      </c>
      <c r="O5275" s="86">
        <f t="shared" si="1595"/>
        <v>10530.14</v>
      </c>
      <c r="P5275" s="86">
        <f t="shared" si="1596"/>
        <v>0</v>
      </c>
      <c r="Q5275" s="86">
        <f t="shared" si="1597"/>
        <v>0</v>
      </c>
      <c r="R5275" s="86">
        <f t="shared" si="1598"/>
        <v>0</v>
      </c>
      <c r="S5275" s="86">
        <f t="shared" si="1599"/>
        <v>0</v>
      </c>
      <c r="T5275" s="86">
        <f t="shared" si="1600"/>
        <v>10530.14</v>
      </c>
      <c r="U5275" s="87">
        <v>10530.14</v>
      </c>
    </row>
    <row r="5276" spans="1:21" s="30" customFormat="1" ht="24.6" hidden="1" outlineLevel="1" x14ac:dyDescent="0.55000000000000004">
      <c r="A5276" s="27" t="s">
        <v>327</v>
      </c>
      <c r="B5276" s="28"/>
      <c r="C5276" s="27"/>
      <c r="D5276" s="27" t="str">
        <f>"""NAV Direct"",""CRONUS JetCorp USA"",""21"",""1"",""395372"""</f>
        <v>"NAV Direct","CRONUS JetCorp USA","21","1","395372"</v>
      </c>
      <c r="E5276" s="31">
        <f t="shared" si="1592"/>
        <v>0</v>
      </c>
      <c r="F5276" s="31"/>
      <c r="G5276" s="31"/>
      <c r="H5276" s="31"/>
      <c r="I5276" s="56"/>
      <c r="J5276" s="56"/>
      <c r="K5276" s="82" t="str">
        <f t="shared" si="1593"/>
        <v>Invoice</v>
      </c>
      <c r="L5276" s="83" t="str">
        <f>"SI_112147"</f>
        <v>SI_112147</v>
      </c>
      <c r="M5276" s="84">
        <v>43736</v>
      </c>
      <c r="N5276" s="85">
        <f t="shared" si="1594"/>
        <v>76</v>
      </c>
      <c r="O5276" s="86">
        <f t="shared" si="1595"/>
        <v>11977.03</v>
      </c>
      <c r="P5276" s="86">
        <f t="shared" si="1596"/>
        <v>0</v>
      </c>
      <c r="Q5276" s="86">
        <f t="shared" si="1597"/>
        <v>0</v>
      </c>
      <c r="R5276" s="86">
        <f t="shared" si="1598"/>
        <v>0</v>
      </c>
      <c r="S5276" s="86">
        <f t="shared" si="1599"/>
        <v>11977.03</v>
      </c>
      <c r="T5276" s="86">
        <f t="shared" si="1600"/>
        <v>0</v>
      </c>
      <c r="U5276" s="87">
        <v>11977.03</v>
      </c>
    </row>
    <row r="5277" spans="1:21" s="30" customFormat="1" ht="24.6" hidden="1" outlineLevel="1" x14ac:dyDescent="0.55000000000000004">
      <c r="A5277" s="27" t="s">
        <v>327</v>
      </c>
      <c r="B5277" s="28"/>
      <c r="C5277" s="27"/>
      <c r="D5277" s="27" t="str">
        <f>"""NAV Direct"",""CRONUS JetCorp USA"",""21"",""1"",""395594"""</f>
        <v>"NAV Direct","CRONUS JetCorp USA","21","1","395594"</v>
      </c>
      <c r="E5277" s="31" t="str">
        <f t="shared" si="1592"/>
        <v>C100141</v>
      </c>
      <c r="F5277" s="31"/>
      <c r="G5277" s="31"/>
      <c r="H5277" s="31"/>
      <c r="I5277" s="56"/>
      <c r="J5277" s="56"/>
      <c r="K5277" s="82" t="str">
        <f t="shared" si="1593"/>
        <v>Invoice</v>
      </c>
      <c r="L5277" s="83" t="str">
        <f>"SI_112151"</f>
        <v>SI_112151</v>
      </c>
      <c r="M5277" s="84">
        <v>43757</v>
      </c>
      <c r="N5277" s="85">
        <f t="shared" si="1594"/>
        <v>55</v>
      </c>
      <c r="O5277" s="86">
        <f t="shared" si="1595"/>
        <v>13037.49</v>
      </c>
      <c r="P5277" s="86">
        <f t="shared" si="1596"/>
        <v>0</v>
      </c>
      <c r="Q5277" s="86">
        <f t="shared" si="1597"/>
        <v>0</v>
      </c>
      <c r="R5277" s="86">
        <f t="shared" si="1598"/>
        <v>13037.49</v>
      </c>
      <c r="S5277" s="86">
        <f t="shared" si="1599"/>
        <v>0</v>
      </c>
      <c r="T5277" s="86">
        <f t="shared" si="1600"/>
        <v>0</v>
      </c>
      <c r="U5277" s="87">
        <v>13037.49</v>
      </c>
    </row>
    <row r="5278" spans="1:21" s="30" customFormat="1" ht="24.6" hidden="1" outlineLevel="1" x14ac:dyDescent="0.55000000000000004">
      <c r="A5278" s="27" t="s">
        <v>327</v>
      </c>
      <c r="B5278" s="28"/>
      <c r="C5278" s="27"/>
      <c r="D5278" s="27" t="str">
        <f>"""NAV Direct"",""CRONUS JetCorp USA"",""21"",""1"",""395946"""</f>
        <v>"NAV Direct","CRONUS JetCorp USA","21","1","395946"</v>
      </c>
      <c r="E5278" s="31">
        <f t="shared" si="1592"/>
        <v>0</v>
      </c>
      <c r="F5278" s="31"/>
      <c r="G5278" s="31"/>
      <c r="H5278" s="31"/>
      <c r="I5278" s="56"/>
      <c r="J5278" s="56"/>
      <c r="K5278" s="82" t="str">
        <f t="shared" si="1593"/>
        <v>Invoice</v>
      </c>
      <c r="L5278" s="83" t="str">
        <f>"SI_112157"</f>
        <v>SI_112157</v>
      </c>
      <c r="M5278" s="84">
        <v>43777</v>
      </c>
      <c r="N5278" s="85">
        <f t="shared" si="1594"/>
        <v>35</v>
      </c>
      <c r="O5278" s="86">
        <f t="shared" si="1595"/>
        <v>13174.689999999999</v>
      </c>
      <c r="P5278" s="86">
        <f t="shared" si="1596"/>
        <v>0</v>
      </c>
      <c r="Q5278" s="86">
        <f t="shared" si="1597"/>
        <v>0</v>
      </c>
      <c r="R5278" s="86">
        <f t="shared" si="1598"/>
        <v>13174.689999999999</v>
      </c>
      <c r="S5278" s="86">
        <f t="shared" si="1599"/>
        <v>0</v>
      </c>
      <c r="T5278" s="86">
        <f t="shared" si="1600"/>
        <v>0</v>
      </c>
      <c r="U5278" s="87">
        <v>13174.689999999999</v>
      </c>
    </row>
    <row r="5279" spans="1:21" s="30" customFormat="1" ht="24.6" hidden="1" outlineLevel="1" x14ac:dyDescent="0.55000000000000004">
      <c r="A5279" s="27" t="s">
        <v>327</v>
      </c>
      <c r="B5279" s="28"/>
      <c r="C5279" s="27"/>
      <c r="D5279" s="27" t="str">
        <f>"""NAV Direct"",""CRONUS JetCorp USA"",""21"",""1"",""395989"""</f>
        <v>"NAV Direct","CRONUS JetCorp USA","21","1","395989"</v>
      </c>
      <c r="E5279" s="31" t="str">
        <f t="shared" si="1592"/>
        <v>C100141</v>
      </c>
      <c r="F5279" s="31"/>
      <c r="G5279" s="31"/>
      <c r="H5279" s="31"/>
      <c r="I5279" s="56"/>
      <c r="J5279" s="56"/>
      <c r="K5279" s="82" t="str">
        <f t="shared" si="1593"/>
        <v>Invoice</v>
      </c>
      <c r="L5279" s="83" t="str">
        <f>"SI_112158"</f>
        <v>SI_112158</v>
      </c>
      <c r="M5279" s="84">
        <v>43786</v>
      </c>
      <c r="N5279" s="85">
        <f t="shared" si="1594"/>
        <v>26</v>
      </c>
      <c r="O5279" s="86">
        <f t="shared" si="1595"/>
        <v>11486.74</v>
      </c>
      <c r="P5279" s="86">
        <f t="shared" si="1596"/>
        <v>0</v>
      </c>
      <c r="Q5279" s="86">
        <f t="shared" si="1597"/>
        <v>11486.74</v>
      </c>
      <c r="R5279" s="86">
        <f t="shared" si="1598"/>
        <v>0</v>
      </c>
      <c r="S5279" s="86">
        <f t="shared" si="1599"/>
        <v>0</v>
      </c>
      <c r="T5279" s="86">
        <f t="shared" si="1600"/>
        <v>0</v>
      </c>
      <c r="U5279" s="87">
        <v>11486.74</v>
      </c>
    </row>
    <row r="5280" spans="1:21" s="30" customFormat="1" ht="24.6" hidden="1" outlineLevel="1" x14ac:dyDescent="0.55000000000000004">
      <c r="A5280" s="27" t="s">
        <v>327</v>
      </c>
      <c r="B5280" s="28"/>
      <c r="C5280" s="27"/>
      <c r="D5280" s="27" t="str">
        <f>"""NAV Direct"",""CRONUS JetCorp USA"",""21"",""1"",""396044"""</f>
        <v>"NAV Direct","CRONUS JetCorp USA","21","1","396044"</v>
      </c>
      <c r="E5280" s="31">
        <f t="shared" si="1592"/>
        <v>0</v>
      </c>
      <c r="F5280" s="31"/>
      <c r="G5280" s="31"/>
      <c r="H5280" s="31"/>
      <c r="I5280" s="56"/>
      <c r="J5280" s="56"/>
      <c r="K5280" s="82" t="str">
        <f t="shared" si="1593"/>
        <v>Invoice</v>
      </c>
      <c r="L5280" s="83" t="str">
        <f>"SI_112159"</f>
        <v>SI_112159</v>
      </c>
      <c r="M5280" s="84">
        <v>43785</v>
      </c>
      <c r="N5280" s="85">
        <f t="shared" si="1594"/>
        <v>27</v>
      </c>
      <c r="O5280" s="86">
        <f t="shared" si="1595"/>
        <v>11733.71</v>
      </c>
      <c r="P5280" s="86">
        <f t="shared" si="1596"/>
        <v>0</v>
      </c>
      <c r="Q5280" s="86">
        <f t="shared" si="1597"/>
        <v>11733.71</v>
      </c>
      <c r="R5280" s="86">
        <f t="shared" si="1598"/>
        <v>0</v>
      </c>
      <c r="S5280" s="86">
        <f t="shared" si="1599"/>
        <v>0</v>
      </c>
      <c r="T5280" s="86">
        <f t="shared" si="1600"/>
        <v>0</v>
      </c>
      <c r="U5280" s="87">
        <v>11733.71</v>
      </c>
    </row>
    <row r="5281" spans="1:21" s="30" customFormat="1" ht="24.6" hidden="1" outlineLevel="1" x14ac:dyDescent="0.55000000000000004">
      <c r="A5281" s="27" t="s">
        <v>327</v>
      </c>
      <c r="B5281" s="28"/>
      <c r="C5281" s="27"/>
      <c r="D5281" s="27" t="str">
        <f>"""NAV Direct"",""CRONUS JetCorp USA"",""21"",""1"",""396276"""</f>
        <v>"NAV Direct","CRONUS JetCorp USA","21","1","396276"</v>
      </c>
      <c r="E5281" s="31" t="str">
        <f t="shared" si="1592"/>
        <v>C100141</v>
      </c>
      <c r="F5281" s="31"/>
      <c r="G5281" s="31"/>
      <c r="H5281" s="31"/>
      <c r="I5281" s="56"/>
      <c r="J5281" s="56"/>
      <c r="K5281" s="82" t="str">
        <f t="shared" si="1593"/>
        <v>Invoice</v>
      </c>
      <c r="L5281" s="83" t="str">
        <f>"SI_112163"</f>
        <v>SI_112163</v>
      </c>
      <c r="M5281" s="84">
        <v>43798</v>
      </c>
      <c r="N5281" s="85">
        <f t="shared" si="1594"/>
        <v>14</v>
      </c>
      <c r="O5281" s="86">
        <f t="shared" si="1595"/>
        <v>11363.18</v>
      </c>
      <c r="P5281" s="86">
        <f t="shared" si="1596"/>
        <v>0</v>
      </c>
      <c r="Q5281" s="86">
        <f t="shared" si="1597"/>
        <v>11363.18</v>
      </c>
      <c r="R5281" s="86">
        <f t="shared" si="1598"/>
        <v>0</v>
      </c>
      <c r="S5281" s="86">
        <f t="shared" si="1599"/>
        <v>0</v>
      </c>
      <c r="T5281" s="86">
        <f t="shared" si="1600"/>
        <v>0</v>
      </c>
      <c r="U5281" s="87">
        <v>11363.18</v>
      </c>
    </row>
    <row r="5282" spans="1:21" s="30" customFormat="1" ht="24.6" hidden="1" outlineLevel="1" x14ac:dyDescent="0.55000000000000004">
      <c r="A5282" s="27" t="s">
        <v>327</v>
      </c>
      <c r="B5282" s="28"/>
      <c r="C5282" s="27"/>
      <c r="D5282" s="27" t="str">
        <f>"""NAV Direct"",""CRONUS JetCorp USA"",""21"",""1"",""396376"""</f>
        <v>"NAV Direct","CRONUS JetCorp USA","21","1","396376"</v>
      </c>
      <c r="E5282" s="31">
        <f t="shared" si="1592"/>
        <v>0</v>
      </c>
      <c r="F5282" s="31"/>
      <c r="G5282" s="31"/>
      <c r="H5282" s="31"/>
      <c r="I5282" s="56"/>
      <c r="J5282" s="56"/>
      <c r="K5282" s="82" t="str">
        <f t="shared" si="1593"/>
        <v>Invoice</v>
      </c>
      <c r="L5282" s="83" t="str">
        <f>"SI_112165"</f>
        <v>SI_112165</v>
      </c>
      <c r="M5282" s="84">
        <v>43798</v>
      </c>
      <c r="N5282" s="85">
        <f t="shared" si="1594"/>
        <v>14</v>
      </c>
      <c r="O5282" s="86">
        <f t="shared" si="1595"/>
        <v>12104.18</v>
      </c>
      <c r="P5282" s="86">
        <f t="shared" si="1596"/>
        <v>0</v>
      </c>
      <c r="Q5282" s="86">
        <f t="shared" si="1597"/>
        <v>12104.18</v>
      </c>
      <c r="R5282" s="86">
        <f t="shared" si="1598"/>
        <v>0</v>
      </c>
      <c r="S5282" s="86">
        <f t="shared" si="1599"/>
        <v>0</v>
      </c>
      <c r="T5282" s="86">
        <f t="shared" si="1600"/>
        <v>0</v>
      </c>
      <c r="U5282" s="87">
        <v>12104.18</v>
      </c>
    </row>
    <row r="5283" spans="1:21" s="30" customFormat="1" ht="24.6" hidden="1" outlineLevel="1" x14ac:dyDescent="0.55000000000000004">
      <c r="A5283" s="27" t="s">
        <v>327</v>
      </c>
      <c r="B5283" s="28"/>
      <c r="C5283" s="27"/>
      <c r="D5283" s="27" t="str">
        <f>"""NAV Direct"",""CRONUS JetCorp USA"",""21"",""1"",""396631"""</f>
        <v>"NAV Direct","CRONUS JetCorp USA","21","1","396631"</v>
      </c>
      <c r="E5283" s="31" t="str">
        <f t="shared" si="1592"/>
        <v>C100141</v>
      </c>
      <c r="F5283" s="31"/>
      <c r="G5283" s="31"/>
      <c r="H5283" s="31"/>
      <c r="I5283" s="56"/>
      <c r="J5283" s="56"/>
      <c r="K5283" s="82" t="str">
        <f t="shared" si="1593"/>
        <v>Invoice</v>
      </c>
      <c r="L5283" s="83" t="str">
        <f>"SI_112170"</f>
        <v>SI_112170</v>
      </c>
      <c r="M5283" s="84">
        <v>43830</v>
      </c>
      <c r="N5283" s="85">
        <f t="shared" si="1594"/>
        <v>-18</v>
      </c>
      <c r="O5283" s="86">
        <f t="shared" si="1595"/>
        <v>9189.33</v>
      </c>
      <c r="P5283" s="86">
        <f t="shared" si="1596"/>
        <v>9189.33</v>
      </c>
      <c r="Q5283" s="86">
        <f t="shared" si="1597"/>
        <v>0</v>
      </c>
      <c r="R5283" s="86">
        <f t="shared" si="1598"/>
        <v>0</v>
      </c>
      <c r="S5283" s="86">
        <f t="shared" si="1599"/>
        <v>0</v>
      </c>
      <c r="T5283" s="86">
        <f t="shared" si="1600"/>
        <v>0</v>
      </c>
      <c r="U5283" s="87">
        <v>9189.33</v>
      </c>
    </row>
    <row r="5284" spans="1:21" s="30" customFormat="1" ht="24.6" hidden="1" outlineLevel="1" x14ac:dyDescent="0.55000000000000004">
      <c r="A5284" s="27" t="s">
        <v>327</v>
      </c>
      <c r="B5284" s="28"/>
      <c r="C5284" s="27"/>
      <c r="D5284" s="27" t="str">
        <f>"""NAV Direct"",""CRONUS JetCorp USA"",""21"",""1"",""396760"""</f>
        <v>"NAV Direct","CRONUS JetCorp USA","21","1","396760"</v>
      </c>
      <c r="E5284" s="31">
        <f t="shared" si="1592"/>
        <v>0</v>
      </c>
      <c r="F5284" s="31"/>
      <c r="G5284" s="31"/>
      <c r="H5284" s="31"/>
      <c r="I5284" s="56"/>
      <c r="J5284" s="56"/>
      <c r="K5284" s="82" t="str">
        <f t="shared" si="1593"/>
        <v>Invoice</v>
      </c>
      <c r="L5284" s="83" t="str">
        <f>"SI_112173"</f>
        <v>SI_112173</v>
      </c>
      <c r="M5284" s="84">
        <v>42024</v>
      </c>
      <c r="N5284" s="85">
        <f t="shared" si="1594"/>
        <v>1788</v>
      </c>
      <c r="O5284" s="86">
        <f t="shared" si="1595"/>
        <v>9618.44</v>
      </c>
      <c r="P5284" s="86">
        <f t="shared" si="1596"/>
        <v>0</v>
      </c>
      <c r="Q5284" s="86">
        <f t="shared" si="1597"/>
        <v>0</v>
      </c>
      <c r="R5284" s="86">
        <f t="shared" si="1598"/>
        <v>0</v>
      </c>
      <c r="S5284" s="86">
        <f t="shared" si="1599"/>
        <v>0</v>
      </c>
      <c r="T5284" s="86">
        <f t="shared" si="1600"/>
        <v>9618.44</v>
      </c>
      <c r="U5284" s="87">
        <v>9618.44</v>
      </c>
    </row>
    <row r="5285" spans="1:21" s="30" customFormat="1" ht="24.6" hidden="1" outlineLevel="1" x14ac:dyDescent="0.55000000000000004">
      <c r="A5285" s="27" t="s">
        <v>327</v>
      </c>
      <c r="B5285" s="28"/>
      <c r="C5285" s="27"/>
      <c r="D5285" s="27" t="str">
        <f>"""NAV Direct"",""CRONUS JetCorp USA"",""21"",""1"",""396868"""</f>
        <v>"NAV Direct","CRONUS JetCorp USA","21","1","396868"</v>
      </c>
      <c r="E5285" s="31" t="str">
        <f t="shared" ref="E5285:E5314" si="1601">E5283</f>
        <v>C100141</v>
      </c>
      <c r="F5285" s="31"/>
      <c r="G5285" s="31"/>
      <c r="H5285" s="31"/>
      <c r="I5285" s="56"/>
      <c r="J5285" s="56"/>
      <c r="K5285" s="82" t="str">
        <f t="shared" ref="K5285:K5297" si="1602">"Invoice"</f>
        <v>Invoice</v>
      </c>
      <c r="L5285" s="83" t="str">
        <f>"SI_112175"</f>
        <v>SI_112175</v>
      </c>
      <c r="M5285" s="84">
        <v>42036</v>
      </c>
      <c r="N5285" s="85">
        <f t="shared" ref="N5285:N5314" si="1603">StartDate-$M5285+1</f>
        <v>1776</v>
      </c>
      <c r="O5285" s="86">
        <f t="shared" ref="O5285:O5314" si="1604">SUM(P5285:T5285)</f>
        <v>9518.25</v>
      </c>
      <c r="P5285" s="86">
        <f t="shared" ref="P5285:P5314" si="1605">IF($M5285&gt;=$P$18,U5285,0)</f>
        <v>0</v>
      </c>
      <c r="Q5285" s="86">
        <f t="shared" ref="Q5285:Q5314" si="1606">IF(AND($M5285&gt;=$Q$16,$M5285&lt;=$Q$18),U5285,0)</f>
        <v>0</v>
      </c>
      <c r="R5285" s="86">
        <f t="shared" ref="R5285:R5314" si="1607">IF(AND($M5285&gt;=$R$16,$M5285&lt;=$R$18),U5285,0)</f>
        <v>0</v>
      </c>
      <c r="S5285" s="86">
        <f t="shared" ref="S5285:S5314" si="1608">IF(AND($M5285&gt;=$S$16,$M5285&lt;=$S$18),U5285,0)</f>
        <v>0</v>
      </c>
      <c r="T5285" s="86">
        <f t="shared" ref="T5285:T5314" si="1609">IF($M5285&lt;=$T$18,U5285,0)</f>
        <v>9518.25</v>
      </c>
      <c r="U5285" s="87">
        <v>9518.25</v>
      </c>
    </row>
    <row r="5286" spans="1:21" s="30" customFormat="1" ht="24.6" hidden="1" outlineLevel="1" x14ac:dyDescent="0.55000000000000004">
      <c r="A5286" s="27" t="s">
        <v>327</v>
      </c>
      <c r="B5286" s="28"/>
      <c r="C5286" s="27"/>
      <c r="D5286" s="27" t="str">
        <f>"""NAV Direct"",""CRONUS JetCorp USA"",""21"",""1"",""396966"""</f>
        <v>"NAV Direct","CRONUS JetCorp USA","21","1","396966"</v>
      </c>
      <c r="E5286" s="31">
        <f t="shared" si="1601"/>
        <v>0</v>
      </c>
      <c r="F5286" s="31"/>
      <c r="G5286" s="31"/>
      <c r="H5286" s="31"/>
      <c r="I5286" s="56"/>
      <c r="J5286" s="56"/>
      <c r="K5286" s="82" t="str">
        <f t="shared" si="1602"/>
        <v>Invoice</v>
      </c>
      <c r="L5286" s="83" t="str">
        <f>"SI_112177"</f>
        <v>SI_112177</v>
      </c>
      <c r="M5286" s="84">
        <v>42037</v>
      </c>
      <c r="N5286" s="85">
        <f t="shared" si="1603"/>
        <v>1775</v>
      </c>
      <c r="O5286" s="86">
        <f t="shared" si="1604"/>
        <v>9518.3900000000012</v>
      </c>
      <c r="P5286" s="86">
        <f t="shared" si="1605"/>
        <v>0</v>
      </c>
      <c r="Q5286" s="86">
        <f t="shared" si="1606"/>
        <v>0</v>
      </c>
      <c r="R5286" s="86">
        <f t="shared" si="1607"/>
        <v>0</v>
      </c>
      <c r="S5286" s="86">
        <f t="shared" si="1608"/>
        <v>0</v>
      </c>
      <c r="T5286" s="86">
        <f t="shared" si="1609"/>
        <v>9518.3900000000012</v>
      </c>
      <c r="U5286" s="87">
        <v>9518.3900000000012</v>
      </c>
    </row>
    <row r="5287" spans="1:21" s="30" customFormat="1" ht="24.6" hidden="1" outlineLevel="1" x14ac:dyDescent="0.55000000000000004">
      <c r="A5287" s="27" t="s">
        <v>327</v>
      </c>
      <c r="B5287" s="28"/>
      <c r="C5287" s="27"/>
      <c r="D5287" s="27" t="str">
        <f>"""NAV Direct"",""CRONUS JetCorp USA"",""21"",""1"",""397339"""</f>
        <v>"NAV Direct","CRONUS JetCorp USA","21","1","397339"</v>
      </c>
      <c r="E5287" s="31" t="str">
        <f t="shared" si="1601"/>
        <v>C100141</v>
      </c>
      <c r="F5287" s="31"/>
      <c r="G5287" s="31"/>
      <c r="H5287" s="31"/>
      <c r="I5287" s="56"/>
      <c r="J5287" s="56"/>
      <c r="K5287" s="82" t="str">
        <f t="shared" si="1602"/>
        <v>Invoice</v>
      </c>
      <c r="L5287" s="83" t="str">
        <f>"SI_112184"</f>
        <v>SI_112184</v>
      </c>
      <c r="M5287" s="84">
        <v>42060</v>
      </c>
      <c r="N5287" s="85">
        <f t="shared" si="1603"/>
        <v>1752</v>
      </c>
      <c r="O5287" s="86">
        <f t="shared" si="1604"/>
        <v>9282.369999999999</v>
      </c>
      <c r="P5287" s="86">
        <f t="shared" si="1605"/>
        <v>0</v>
      </c>
      <c r="Q5287" s="86">
        <f t="shared" si="1606"/>
        <v>0</v>
      </c>
      <c r="R5287" s="86">
        <f t="shared" si="1607"/>
        <v>0</v>
      </c>
      <c r="S5287" s="86">
        <f t="shared" si="1608"/>
        <v>0</v>
      </c>
      <c r="T5287" s="86">
        <f t="shared" si="1609"/>
        <v>9282.369999999999</v>
      </c>
      <c r="U5287" s="87">
        <v>9282.369999999999</v>
      </c>
    </row>
    <row r="5288" spans="1:21" s="30" customFormat="1" ht="24.6" hidden="1" outlineLevel="1" x14ac:dyDescent="0.55000000000000004">
      <c r="A5288" s="27" t="s">
        <v>327</v>
      </c>
      <c r="B5288" s="28"/>
      <c r="C5288" s="27"/>
      <c r="D5288" s="27" t="str">
        <f>"""NAV Direct"",""CRONUS JetCorp USA"",""21"",""1"",""397939"""</f>
        <v>"NAV Direct","CRONUS JetCorp USA","21","1","397939"</v>
      </c>
      <c r="E5288" s="31">
        <f t="shared" si="1601"/>
        <v>0</v>
      </c>
      <c r="F5288" s="31"/>
      <c r="G5288" s="31"/>
      <c r="H5288" s="31"/>
      <c r="I5288" s="56"/>
      <c r="J5288" s="56"/>
      <c r="K5288" s="82" t="str">
        <f t="shared" si="1602"/>
        <v>Invoice</v>
      </c>
      <c r="L5288" s="83" t="str">
        <f>"SI_112197"</f>
        <v>SI_112197</v>
      </c>
      <c r="M5288" s="84">
        <v>42123</v>
      </c>
      <c r="N5288" s="85">
        <f t="shared" si="1603"/>
        <v>1689</v>
      </c>
      <c r="O5288" s="86">
        <f t="shared" si="1604"/>
        <v>9337.41</v>
      </c>
      <c r="P5288" s="86">
        <f t="shared" si="1605"/>
        <v>0</v>
      </c>
      <c r="Q5288" s="86">
        <f t="shared" si="1606"/>
        <v>0</v>
      </c>
      <c r="R5288" s="86">
        <f t="shared" si="1607"/>
        <v>0</v>
      </c>
      <c r="S5288" s="86">
        <f t="shared" si="1608"/>
        <v>0</v>
      </c>
      <c r="T5288" s="86">
        <f t="shared" si="1609"/>
        <v>9337.41</v>
      </c>
      <c r="U5288" s="87">
        <v>9337.41</v>
      </c>
    </row>
    <row r="5289" spans="1:21" s="30" customFormat="1" ht="24.6" hidden="1" outlineLevel="1" x14ac:dyDescent="0.55000000000000004">
      <c r="A5289" s="27" t="s">
        <v>327</v>
      </c>
      <c r="B5289" s="28"/>
      <c r="C5289" s="27"/>
      <c r="D5289" s="27" t="str">
        <f>"""NAV Direct"",""CRONUS JetCorp USA"",""21"",""1"",""398059"""</f>
        <v>"NAV Direct","CRONUS JetCorp USA","21","1","398059"</v>
      </c>
      <c r="E5289" s="31" t="str">
        <f t="shared" si="1601"/>
        <v>C100141</v>
      </c>
      <c r="F5289" s="31"/>
      <c r="G5289" s="31"/>
      <c r="H5289" s="31"/>
      <c r="I5289" s="56"/>
      <c r="J5289" s="56"/>
      <c r="K5289" s="82" t="str">
        <f t="shared" si="1602"/>
        <v>Invoice</v>
      </c>
      <c r="L5289" s="83" t="str">
        <f>"SI_112199"</f>
        <v>SI_112199</v>
      </c>
      <c r="M5289" s="84">
        <v>42123</v>
      </c>
      <c r="N5289" s="85">
        <f t="shared" si="1603"/>
        <v>1689</v>
      </c>
      <c r="O5289" s="86">
        <f t="shared" si="1604"/>
        <v>9440.15</v>
      </c>
      <c r="P5289" s="86">
        <f t="shared" si="1605"/>
        <v>0</v>
      </c>
      <c r="Q5289" s="86">
        <f t="shared" si="1606"/>
        <v>0</v>
      </c>
      <c r="R5289" s="86">
        <f t="shared" si="1607"/>
        <v>0</v>
      </c>
      <c r="S5289" s="86">
        <f t="shared" si="1608"/>
        <v>0</v>
      </c>
      <c r="T5289" s="86">
        <f t="shared" si="1609"/>
        <v>9440.15</v>
      </c>
      <c r="U5289" s="87">
        <v>9440.15</v>
      </c>
    </row>
    <row r="5290" spans="1:21" s="30" customFormat="1" ht="24.6" hidden="1" outlineLevel="1" x14ac:dyDescent="0.55000000000000004">
      <c r="A5290" s="27" t="s">
        <v>327</v>
      </c>
      <c r="B5290" s="28"/>
      <c r="C5290" s="27"/>
      <c r="D5290" s="27" t="str">
        <f>"""NAV Direct"",""CRONUS JetCorp USA"",""21"",""1"",""398530"""</f>
        <v>"NAV Direct","CRONUS JetCorp USA","21","1","398530"</v>
      </c>
      <c r="E5290" s="31">
        <f t="shared" si="1601"/>
        <v>0</v>
      </c>
      <c r="F5290" s="31"/>
      <c r="G5290" s="31"/>
      <c r="H5290" s="31"/>
      <c r="I5290" s="56"/>
      <c r="J5290" s="56"/>
      <c r="K5290" s="82" t="str">
        <f t="shared" si="1602"/>
        <v>Invoice</v>
      </c>
      <c r="L5290" s="83" t="str">
        <f>"SI_112210"</f>
        <v>SI_112210</v>
      </c>
      <c r="M5290" s="84">
        <v>42181</v>
      </c>
      <c r="N5290" s="85">
        <f t="shared" si="1603"/>
        <v>1631</v>
      </c>
      <c r="O5290" s="86">
        <f t="shared" si="1604"/>
        <v>6722.96</v>
      </c>
      <c r="P5290" s="86">
        <f t="shared" si="1605"/>
        <v>0</v>
      </c>
      <c r="Q5290" s="86">
        <f t="shared" si="1606"/>
        <v>0</v>
      </c>
      <c r="R5290" s="86">
        <f t="shared" si="1607"/>
        <v>0</v>
      </c>
      <c r="S5290" s="86">
        <f t="shared" si="1608"/>
        <v>0</v>
      </c>
      <c r="T5290" s="86">
        <f t="shared" si="1609"/>
        <v>6722.96</v>
      </c>
      <c r="U5290" s="87">
        <v>6722.96</v>
      </c>
    </row>
    <row r="5291" spans="1:21" s="30" customFormat="1" ht="24.6" hidden="1" outlineLevel="1" x14ac:dyDescent="0.55000000000000004">
      <c r="A5291" s="27" t="s">
        <v>327</v>
      </c>
      <c r="B5291" s="28"/>
      <c r="C5291" s="27"/>
      <c r="D5291" s="27" t="str">
        <f>"""NAV Direct"",""CRONUS JetCorp USA"",""21"",""1"",""399255"""</f>
        <v>"NAV Direct","CRONUS JetCorp USA","21","1","399255"</v>
      </c>
      <c r="E5291" s="31" t="str">
        <f t="shared" si="1601"/>
        <v>C100141</v>
      </c>
      <c r="F5291" s="31"/>
      <c r="G5291" s="31"/>
      <c r="H5291" s="31"/>
      <c r="I5291" s="56"/>
      <c r="J5291" s="56"/>
      <c r="K5291" s="82" t="str">
        <f t="shared" si="1602"/>
        <v>Invoice</v>
      </c>
      <c r="L5291" s="83" t="str">
        <f>"SI_112227"</f>
        <v>SI_112227</v>
      </c>
      <c r="M5291" s="84">
        <v>42242</v>
      </c>
      <c r="N5291" s="85">
        <f t="shared" si="1603"/>
        <v>1570</v>
      </c>
      <c r="O5291" s="86">
        <f t="shared" si="1604"/>
        <v>8042.83</v>
      </c>
      <c r="P5291" s="86">
        <f t="shared" si="1605"/>
        <v>0</v>
      </c>
      <c r="Q5291" s="86">
        <f t="shared" si="1606"/>
        <v>0</v>
      </c>
      <c r="R5291" s="86">
        <f t="shared" si="1607"/>
        <v>0</v>
      </c>
      <c r="S5291" s="86">
        <f t="shared" si="1608"/>
        <v>0</v>
      </c>
      <c r="T5291" s="86">
        <f t="shared" si="1609"/>
        <v>8042.83</v>
      </c>
      <c r="U5291" s="87">
        <v>8042.83</v>
      </c>
    </row>
    <row r="5292" spans="1:21" s="30" customFormat="1" ht="24.6" hidden="1" outlineLevel="1" x14ac:dyDescent="0.55000000000000004">
      <c r="A5292" s="27" t="s">
        <v>327</v>
      </c>
      <c r="B5292" s="28"/>
      <c r="C5292" s="27"/>
      <c r="D5292" s="27" t="str">
        <f>"""NAV Direct"",""CRONUS JetCorp USA"",""21"",""1"",""399437"""</f>
        <v>"NAV Direct","CRONUS JetCorp USA","21","1","399437"</v>
      </c>
      <c r="E5292" s="31">
        <f t="shared" si="1601"/>
        <v>0</v>
      </c>
      <c r="F5292" s="31"/>
      <c r="G5292" s="31"/>
      <c r="H5292" s="31"/>
      <c r="I5292" s="56"/>
      <c r="J5292" s="56"/>
      <c r="K5292" s="82" t="str">
        <f t="shared" si="1602"/>
        <v>Invoice</v>
      </c>
      <c r="L5292" s="83" t="str">
        <f>"SI_112231"</f>
        <v>SI_112231</v>
      </c>
      <c r="M5292" s="84">
        <v>42249</v>
      </c>
      <c r="N5292" s="85">
        <f t="shared" si="1603"/>
        <v>1563</v>
      </c>
      <c r="O5292" s="86">
        <f t="shared" si="1604"/>
        <v>8210.2900000000009</v>
      </c>
      <c r="P5292" s="86">
        <f t="shared" si="1605"/>
        <v>0</v>
      </c>
      <c r="Q5292" s="86">
        <f t="shared" si="1606"/>
        <v>0</v>
      </c>
      <c r="R5292" s="86">
        <f t="shared" si="1607"/>
        <v>0</v>
      </c>
      <c r="S5292" s="86">
        <f t="shared" si="1608"/>
        <v>0</v>
      </c>
      <c r="T5292" s="86">
        <f t="shared" si="1609"/>
        <v>8210.2900000000009</v>
      </c>
      <c r="U5292" s="87">
        <v>8210.2900000000009</v>
      </c>
    </row>
    <row r="5293" spans="1:21" s="30" customFormat="1" ht="24.6" hidden="1" outlineLevel="1" x14ac:dyDescent="0.55000000000000004">
      <c r="A5293" s="27" t="s">
        <v>327</v>
      </c>
      <c r="B5293" s="28"/>
      <c r="C5293" s="27"/>
      <c r="D5293" s="27" t="str">
        <f>"""NAV Direct"",""CRONUS JetCorp USA"",""21"",""1"",""400021"""</f>
        <v>"NAV Direct","CRONUS JetCorp USA","21","1","400021"</v>
      </c>
      <c r="E5293" s="31" t="str">
        <f t="shared" si="1601"/>
        <v>C100141</v>
      </c>
      <c r="F5293" s="31"/>
      <c r="G5293" s="31"/>
      <c r="H5293" s="31"/>
      <c r="I5293" s="56"/>
      <c r="J5293" s="56"/>
      <c r="K5293" s="82" t="str">
        <f t="shared" si="1602"/>
        <v>Invoice</v>
      </c>
      <c r="L5293" s="83" t="str">
        <f>"SI_112243"</f>
        <v>SI_112243</v>
      </c>
      <c r="M5293" s="84">
        <v>42296</v>
      </c>
      <c r="N5293" s="85">
        <f t="shared" si="1603"/>
        <v>1516</v>
      </c>
      <c r="O5293" s="86">
        <f t="shared" si="1604"/>
        <v>9442.36</v>
      </c>
      <c r="P5293" s="86">
        <f t="shared" si="1605"/>
        <v>0</v>
      </c>
      <c r="Q5293" s="86">
        <f t="shared" si="1606"/>
        <v>0</v>
      </c>
      <c r="R5293" s="86">
        <f t="shared" si="1607"/>
        <v>0</v>
      </c>
      <c r="S5293" s="86">
        <f t="shared" si="1608"/>
        <v>0</v>
      </c>
      <c r="T5293" s="86">
        <f t="shared" si="1609"/>
        <v>9442.36</v>
      </c>
      <c r="U5293" s="87">
        <v>9442.36</v>
      </c>
    </row>
    <row r="5294" spans="1:21" s="30" customFormat="1" ht="24.6" hidden="1" outlineLevel="1" x14ac:dyDescent="0.55000000000000004">
      <c r="A5294" s="27" t="s">
        <v>327</v>
      </c>
      <c r="B5294" s="28"/>
      <c r="C5294" s="27"/>
      <c r="D5294" s="27" t="str">
        <f>"""NAV Direct"",""CRONUS JetCorp USA"",""21"",""1"",""400213"""</f>
        <v>"NAV Direct","CRONUS JetCorp USA","21","1","400213"</v>
      </c>
      <c r="E5294" s="31">
        <f t="shared" si="1601"/>
        <v>0</v>
      </c>
      <c r="F5294" s="31"/>
      <c r="G5294" s="31"/>
      <c r="H5294" s="31"/>
      <c r="I5294" s="56"/>
      <c r="J5294" s="56"/>
      <c r="K5294" s="82" t="str">
        <f t="shared" si="1602"/>
        <v>Invoice</v>
      </c>
      <c r="L5294" s="83" t="str">
        <f>"SI_112247"</f>
        <v>SI_112247</v>
      </c>
      <c r="M5294" s="84">
        <v>42304</v>
      </c>
      <c r="N5294" s="85">
        <f t="shared" si="1603"/>
        <v>1508</v>
      </c>
      <c r="O5294" s="86">
        <f t="shared" si="1604"/>
        <v>9743.64</v>
      </c>
      <c r="P5294" s="86">
        <f t="shared" si="1605"/>
        <v>0</v>
      </c>
      <c r="Q5294" s="86">
        <f t="shared" si="1606"/>
        <v>0</v>
      </c>
      <c r="R5294" s="86">
        <f t="shared" si="1607"/>
        <v>0</v>
      </c>
      <c r="S5294" s="86">
        <f t="shared" si="1608"/>
        <v>0</v>
      </c>
      <c r="T5294" s="86">
        <f t="shared" si="1609"/>
        <v>9743.64</v>
      </c>
      <c r="U5294" s="87">
        <v>9743.64</v>
      </c>
    </row>
    <row r="5295" spans="1:21" s="30" customFormat="1" ht="24.6" hidden="1" outlineLevel="1" x14ac:dyDescent="0.55000000000000004">
      <c r="A5295" s="27" t="s">
        <v>327</v>
      </c>
      <c r="B5295" s="28"/>
      <c r="C5295" s="27"/>
      <c r="D5295" s="27" t="str">
        <f>"""NAV Direct"",""CRONUS JetCorp USA"",""21"",""1"",""400384"""</f>
        <v>"NAV Direct","CRONUS JetCorp USA","21","1","400384"</v>
      </c>
      <c r="E5295" s="31" t="str">
        <f t="shared" si="1601"/>
        <v>C100141</v>
      </c>
      <c r="F5295" s="31"/>
      <c r="G5295" s="31"/>
      <c r="H5295" s="31"/>
      <c r="I5295" s="56"/>
      <c r="J5295" s="56"/>
      <c r="K5295" s="82" t="str">
        <f t="shared" si="1602"/>
        <v>Invoice</v>
      </c>
      <c r="L5295" s="83" t="str">
        <f>"SI_112250"</f>
        <v>SI_112250</v>
      </c>
      <c r="M5295" s="84">
        <v>42305</v>
      </c>
      <c r="N5295" s="85">
        <f t="shared" si="1603"/>
        <v>1507</v>
      </c>
      <c r="O5295" s="86">
        <f t="shared" si="1604"/>
        <v>9844.0399999999991</v>
      </c>
      <c r="P5295" s="86">
        <f t="shared" si="1605"/>
        <v>0</v>
      </c>
      <c r="Q5295" s="86">
        <f t="shared" si="1606"/>
        <v>0</v>
      </c>
      <c r="R5295" s="86">
        <f t="shared" si="1607"/>
        <v>0</v>
      </c>
      <c r="S5295" s="86">
        <f t="shared" si="1608"/>
        <v>0</v>
      </c>
      <c r="T5295" s="86">
        <f t="shared" si="1609"/>
        <v>9844.0399999999991</v>
      </c>
      <c r="U5295" s="87">
        <v>9844.0399999999991</v>
      </c>
    </row>
    <row r="5296" spans="1:21" s="30" customFormat="1" ht="24.6" hidden="1" outlineLevel="1" x14ac:dyDescent="0.55000000000000004">
      <c r="A5296" s="27" t="s">
        <v>327</v>
      </c>
      <c r="B5296" s="28"/>
      <c r="C5296" s="27"/>
      <c r="D5296" s="27" t="str">
        <f>"""NAV Direct"",""CRONUS JetCorp USA"",""21"",""1"",""400661"""</f>
        <v>"NAV Direct","CRONUS JetCorp USA","21","1","400661"</v>
      </c>
      <c r="E5296" s="31">
        <f t="shared" si="1601"/>
        <v>0</v>
      </c>
      <c r="F5296" s="31"/>
      <c r="G5296" s="31"/>
      <c r="H5296" s="31"/>
      <c r="I5296" s="56"/>
      <c r="J5296" s="56"/>
      <c r="K5296" s="82" t="str">
        <f t="shared" si="1602"/>
        <v>Invoice</v>
      </c>
      <c r="L5296" s="83" t="str">
        <f>"SI_112255"</f>
        <v>SI_112255</v>
      </c>
      <c r="M5296" s="84">
        <v>42314</v>
      </c>
      <c r="N5296" s="85">
        <f t="shared" si="1603"/>
        <v>1498</v>
      </c>
      <c r="O5296" s="86">
        <f t="shared" si="1604"/>
        <v>9341.83</v>
      </c>
      <c r="P5296" s="86">
        <f t="shared" si="1605"/>
        <v>0</v>
      </c>
      <c r="Q5296" s="86">
        <f t="shared" si="1606"/>
        <v>0</v>
      </c>
      <c r="R5296" s="86">
        <f t="shared" si="1607"/>
        <v>0</v>
      </c>
      <c r="S5296" s="86">
        <f t="shared" si="1608"/>
        <v>0</v>
      </c>
      <c r="T5296" s="86">
        <f t="shared" si="1609"/>
        <v>9341.83</v>
      </c>
      <c r="U5296" s="87">
        <v>9341.83</v>
      </c>
    </row>
    <row r="5297" spans="1:21" s="30" customFormat="1" ht="24.6" hidden="1" outlineLevel="1" x14ac:dyDescent="0.55000000000000004">
      <c r="A5297" s="27" t="s">
        <v>327</v>
      </c>
      <c r="B5297" s="28"/>
      <c r="C5297" s="27"/>
      <c r="D5297" s="27" t="str">
        <f>"""NAV Direct"",""CRONUS JetCorp USA"",""21"",""1"",""401537"""</f>
        <v>"NAV Direct","CRONUS JetCorp USA","21","1","401537"</v>
      </c>
      <c r="E5297" s="31" t="str">
        <f t="shared" si="1601"/>
        <v>C100141</v>
      </c>
      <c r="F5297" s="31"/>
      <c r="G5297" s="31"/>
      <c r="H5297" s="31"/>
      <c r="I5297" s="56"/>
      <c r="J5297" s="56"/>
      <c r="K5297" s="82" t="str">
        <f t="shared" si="1602"/>
        <v>Invoice</v>
      </c>
      <c r="L5297" s="83" t="str">
        <f>"SI_112275"</f>
        <v>SI_112275</v>
      </c>
      <c r="M5297" s="84">
        <v>42366</v>
      </c>
      <c r="N5297" s="85">
        <f t="shared" si="1603"/>
        <v>1446</v>
      </c>
      <c r="O5297" s="86">
        <f t="shared" si="1604"/>
        <v>7087.84</v>
      </c>
      <c r="P5297" s="86">
        <f t="shared" si="1605"/>
        <v>0</v>
      </c>
      <c r="Q5297" s="86">
        <f t="shared" si="1606"/>
        <v>0</v>
      </c>
      <c r="R5297" s="86">
        <f t="shared" si="1607"/>
        <v>0</v>
      </c>
      <c r="S5297" s="86">
        <f t="shared" si="1608"/>
        <v>0</v>
      </c>
      <c r="T5297" s="86">
        <f t="shared" si="1609"/>
        <v>7087.84</v>
      </c>
      <c r="U5297" s="87">
        <v>7087.84</v>
      </c>
    </row>
    <row r="5298" spans="1:21" s="30" customFormat="1" ht="24.6" hidden="1" outlineLevel="1" x14ac:dyDescent="0.55000000000000004">
      <c r="A5298" s="27" t="s">
        <v>327</v>
      </c>
      <c r="B5298" s="28"/>
      <c r="C5298" s="27"/>
      <c r="D5298" s="27" t="str">
        <f>"""NAV Direct"",""CRONUS JetCorp USA"",""21"",""1"",""438606"""</f>
        <v>"NAV Direct","CRONUS JetCorp USA","21","1","438606"</v>
      </c>
      <c r="E5298" s="31">
        <f t="shared" si="1601"/>
        <v>0</v>
      </c>
      <c r="F5298" s="31"/>
      <c r="G5298" s="31"/>
      <c r="H5298" s="31"/>
      <c r="I5298" s="56"/>
      <c r="J5298" s="56"/>
      <c r="K5298" s="82" t="str">
        <f t="shared" ref="K5298:K5314" si="1610">"Credit Memo"</f>
        <v>Credit Memo</v>
      </c>
      <c r="L5298" s="83" t="str">
        <f>"SC_100826"</f>
        <v>SC_100826</v>
      </c>
      <c r="M5298" s="84">
        <v>42379</v>
      </c>
      <c r="N5298" s="85">
        <f t="shared" si="1603"/>
        <v>1433</v>
      </c>
      <c r="O5298" s="86">
        <f t="shared" si="1604"/>
        <v>-96.97</v>
      </c>
      <c r="P5298" s="86">
        <f t="shared" si="1605"/>
        <v>0</v>
      </c>
      <c r="Q5298" s="86">
        <f t="shared" si="1606"/>
        <v>0</v>
      </c>
      <c r="R5298" s="86">
        <f t="shared" si="1607"/>
        <v>0</v>
      </c>
      <c r="S5298" s="86">
        <f t="shared" si="1608"/>
        <v>0</v>
      </c>
      <c r="T5298" s="86">
        <f t="shared" si="1609"/>
        <v>-96.97</v>
      </c>
      <c r="U5298" s="87">
        <v>-96.97</v>
      </c>
    </row>
    <row r="5299" spans="1:21" s="30" customFormat="1" ht="24.6" hidden="1" outlineLevel="1" x14ac:dyDescent="0.55000000000000004">
      <c r="A5299" s="27" t="s">
        <v>327</v>
      </c>
      <c r="B5299" s="28"/>
      <c r="C5299" s="27"/>
      <c r="D5299" s="27" t="str">
        <f>"""NAV Direct"",""CRONUS JetCorp USA"",""21"",""1"",""438720"""</f>
        <v>"NAV Direct","CRONUS JetCorp USA","21","1","438720"</v>
      </c>
      <c r="E5299" s="31" t="str">
        <f t="shared" si="1601"/>
        <v>C100141</v>
      </c>
      <c r="F5299" s="31"/>
      <c r="G5299" s="31"/>
      <c r="H5299" s="31"/>
      <c r="I5299" s="56"/>
      <c r="J5299" s="56"/>
      <c r="K5299" s="82" t="str">
        <f t="shared" si="1610"/>
        <v>Credit Memo</v>
      </c>
      <c r="L5299" s="83" t="str">
        <f>"SC_100832"</f>
        <v>SC_100832</v>
      </c>
      <c r="M5299" s="84">
        <v>42573</v>
      </c>
      <c r="N5299" s="85">
        <f t="shared" si="1603"/>
        <v>1239</v>
      </c>
      <c r="O5299" s="86">
        <f t="shared" si="1604"/>
        <v>-97.949999999999989</v>
      </c>
      <c r="P5299" s="86">
        <f t="shared" si="1605"/>
        <v>0</v>
      </c>
      <c r="Q5299" s="86">
        <f t="shared" si="1606"/>
        <v>0</v>
      </c>
      <c r="R5299" s="86">
        <f t="shared" si="1607"/>
        <v>0</v>
      </c>
      <c r="S5299" s="86">
        <f t="shared" si="1608"/>
        <v>0</v>
      </c>
      <c r="T5299" s="86">
        <f t="shared" si="1609"/>
        <v>-97.949999999999989</v>
      </c>
      <c r="U5299" s="87">
        <v>-97.949999999999989</v>
      </c>
    </row>
    <row r="5300" spans="1:21" s="30" customFormat="1" ht="24.6" hidden="1" outlineLevel="1" x14ac:dyDescent="0.55000000000000004">
      <c r="A5300" s="27" t="s">
        <v>327</v>
      </c>
      <c r="B5300" s="28"/>
      <c r="C5300" s="27"/>
      <c r="D5300" s="27" t="str">
        <f>"""NAV Direct"",""CRONUS JetCorp USA"",""21"",""1"",""438922"""</f>
        <v>"NAV Direct","CRONUS JetCorp USA","21","1","438922"</v>
      </c>
      <c r="E5300" s="31">
        <f t="shared" si="1601"/>
        <v>0</v>
      </c>
      <c r="F5300" s="31"/>
      <c r="G5300" s="31"/>
      <c r="H5300" s="31"/>
      <c r="I5300" s="56"/>
      <c r="J5300" s="56"/>
      <c r="K5300" s="82" t="str">
        <f t="shared" si="1610"/>
        <v>Credit Memo</v>
      </c>
      <c r="L5300" s="83" t="str">
        <f>"SC_100841"</f>
        <v>SC_100841</v>
      </c>
      <c r="M5300" s="84">
        <v>42797</v>
      </c>
      <c r="N5300" s="85">
        <f t="shared" si="1603"/>
        <v>1015</v>
      </c>
      <c r="O5300" s="86">
        <f t="shared" si="1604"/>
        <v>-145.49</v>
      </c>
      <c r="P5300" s="86">
        <f t="shared" si="1605"/>
        <v>0</v>
      </c>
      <c r="Q5300" s="86">
        <f t="shared" si="1606"/>
        <v>0</v>
      </c>
      <c r="R5300" s="86">
        <f t="shared" si="1607"/>
        <v>0</v>
      </c>
      <c r="S5300" s="86">
        <f t="shared" si="1608"/>
        <v>0</v>
      </c>
      <c r="T5300" s="86">
        <f t="shared" si="1609"/>
        <v>-145.49</v>
      </c>
      <c r="U5300" s="87">
        <v>-145.49</v>
      </c>
    </row>
    <row r="5301" spans="1:21" s="30" customFormat="1" ht="24.6" hidden="1" outlineLevel="1" x14ac:dyDescent="0.55000000000000004">
      <c r="A5301" s="27" t="s">
        <v>327</v>
      </c>
      <c r="B5301" s="28"/>
      <c r="C5301" s="27"/>
      <c r="D5301" s="27" t="str">
        <f>"""NAV Direct"",""CRONUS JetCorp USA"",""21"",""1"",""438927"""</f>
        <v>"NAV Direct","CRONUS JetCorp USA","21","1","438927"</v>
      </c>
      <c r="E5301" s="31" t="str">
        <f t="shared" si="1601"/>
        <v>C100141</v>
      </c>
      <c r="F5301" s="31"/>
      <c r="G5301" s="31"/>
      <c r="H5301" s="31"/>
      <c r="I5301" s="56"/>
      <c r="J5301" s="56"/>
      <c r="K5301" s="82" t="str">
        <f t="shared" si="1610"/>
        <v>Credit Memo</v>
      </c>
      <c r="L5301" s="83" t="str">
        <f>"SC_100842"</f>
        <v>SC_100842</v>
      </c>
      <c r="M5301" s="84">
        <v>42798</v>
      </c>
      <c r="N5301" s="85">
        <f t="shared" si="1603"/>
        <v>1014</v>
      </c>
      <c r="O5301" s="86">
        <f t="shared" si="1604"/>
        <v>-147</v>
      </c>
      <c r="P5301" s="86">
        <f t="shared" si="1605"/>
        <v>0</v>
      </c>
      <c r="Q5301" s="86">
        <f t="shared" si="1606"/>
        <v>0</v>
      </c>
      <c r="R5301" s="86">
        <f t="shared" si="1607"/>
        <v>0</v>
      </c>
      <c r="S5301" s="86">
        <f t="shared" si="1608"/>
        <v>0</v>
      </c>
      <c r="T5301" s="86">
        <f t="shared" si="1609"/>
        <v>-147</v>
      </c>
      <c r="U5301" s="87">
        <v>-147</v>
      </c>
    </row>
    <row r="5302" spans="1:21" s="30" customFormat="1" ht="24.6" hidden="1" outlineLevel="1" x14ac:dyDescent="0.55000000000000004">
      <c r="A5302" s="27" t="s">
        <v>327</v>
      </c>
      <c r="B5302" s="28"/>
      <c r="C5302" s="27"/>
      <c r="D5302" s="27" t="str">
        <f>"""NAV Direct"",""CRONUS JetCorp USA"",""21"",""1"",""439123"""</f>
        <v>"NAV Direct","CRONUS JetCorp USA","21","1","439123"</v>
      </c>
      <c r="E5302" s="31">
        <f t="shared" si="1601"/>
        <v>0</v>
      </c>
      <c r="F5302" s="31"/>
      <c r="G5302" s="31"/>
      <c r="H5302" s="31"/>
      <c r="I5302" s="56"/>
      <c r="J5302" s="56"/>
      <c r="K5302" s="82" t="str">
        <f t="shared" si="1610"/>
        <v>Credit Memo</v>
      </c>
      <c r="L5302" s="83" t="str">
        <f>"SC_100852"</f>
        <v>SC_100852</v>
      </c>
      <c r="M5302" s="84">
        <v>43234</v>
      </c>
      <c r="N5302" s="85">
        <f t="shared" si="1603"/>
        <v>578</v>
      </c>
      <c r="O5302" s="86">
        <f t="shared" si="1604"/>
        <v>-83.67</v>
      </c>
      <c r="P5302" s="86">
        <f t="shared" si="1605"/>
        <v>0</v>
      </c>
      <c r="Q5302" s="86">
        <f t="shared" si="1606"/>
        <v>0</v>
      </c>
      <c r="R5302" s="86">
        <f t="shared" si="1607"/>
        <v>0</v>
      </c>
      <c r="S5302" s="86">
        <f t="shared" si="1608"/>
        <v>0</v>
      </c>
      <c r="T5302" s="86">
        <f t="shared" si="1609"/>
        <v>-83.67</v>
      </c>
      <c r="U5302" s="87">
        <v>-83.67</v>
      </c>
    </row>
    <row r="5303" spans="1:21" s="30" customFormat="1" ht="24.6" hidden="1" outlineLevel="1" x14ac:dyDescent="0.55000000000000004">
      <c r="A5303" s="27" t="s">
        <v>327</v>
      </c>
      <c r="B5303" s="28"/>
      <c r="C5303" s="27"/>
      <c r="D5303" s="27" t="str">
        <f>"""NAV Direct"",""CRONUS JetCorp USA"",""21"",""1"",""439190"""</f>
        <v>"NAV Direct","CRONUS JetCorp USA","21","1","439190"</v>
      </c>
      <c r="E5303" s="31" t="str">
        <f t="shared" si="1601"/>
        <v>C100141</v>
      </c>
      <c r="F5303" s="31"/>
      <c r="G5303" s="31"/>
      <c r="H5303" s="31"/>
      <c r="I5303" s="56"/>
      <c r="J5303" s="56"/>
      <c r="K5303" s="82" t="str">
        <f t="shared" si="1610"/>
        <v>Credit Memo</v>
      </c>
      <c r="L5303" s="83" t="str">
        <f>"SC_100855"</f>
        <v>SC_100855</v>
      </c>
      <c r="M5303" s="84">
        <v>43274</v>
      </c>
      <c r="N5303" s="85">
        <f t="shared" si="1603"/>
        <v>538</v>
      </c>
      <c r="O5303" s="86">
        <f t="shared" si="1604"/>
        <v>-84.42</v>
      </c>
      <c r="P5303" s="86">
        <f t="shared" si="1605"/>
        <v>0</v>
      </c>
      <c r="Q5303" s="86">
        <f t="shared" si="1606"/>
        <v>0</v>
      </c>
      <c r="R5303" s="86">
        <f t="shared" si="1607"/>
        <v>0</v>
      </c>
      <c r="S5303" s="86">
        <f t="shared" si="1608"/>
        <v>0</v>
      </c>
      <c r="T5303" s="86">
        <f t="shared" si="1609"/>
        <v>-84.42</v>
      </c>
      <c r="U5303" s="87">
        <v>-84.42</v>
      </c>
    </row>
    <row r="5304" spans="1:21" s="30" customFormat="1" ht="24.6" hidden="1" outlineLevel="1" x14ac:dyDescent="0.55000000000000004">
      <c r="A5304" s="27" t="s">
        <v>327</v>
      </c>
      <c r="B5304" s="28"/>
      <c r="C5304" s="27"/>
      <c r="D5304" s="27" t="str">
        <f>"""NAV Direct"",""CRONUS JetCorp USA"",""21"",""1"",""439356"""</f>
        <v>"NAV Direct","CRONUS JetCorp USA","21","1","439356"</v>
      </c>
      <c r="E5304" s="31">
        <f t="shared" si="1601"/>
        <v>0</v>
      </c>
      <c r="F5304" s="31"/>
      <c r="G5304" s="31"/>
      <c r="H5304" s="31"/>
      <c r="I5304" s="56"/>
      <c r="J5304" s="56"/>
      <c r="K5304" s="82" t="str">
        <f t="shared" si="1610"/>
        <v>Credit Memo</v>
      </c>
      <c r="L5304" s="83" t="str">
        <f>"SC_100863"</f>
        <v>SC_100863</v>
      </c>
      <c r="M5304" s="84">
        <v>43556</v>
      </c>
      <c r="N5304" s="85">
        <f t="shared" si="1603"/>
        <v>256</v>
      </c>
      <c r="O5304" s="86">
        <f t="shared" si="1604"/>
        <v>-124.7</v>
      </c>
      <c r="P5304" s="86">
        <f t="shared" si="1605"/>
        <v>0</v>
      </c>
      <c r="Q5304" s="86">
        <f t="shared" si="1606"/>
        <v>0</v>
      </c>
      <c r="R5304" s="86">
        <f t="shared" si="1607"/>
        <v>0</v>
      </c>
      <c r="S5304" s="86">
        <f t="shared" si="1608"/>
        <v>0</v>
      </c>
      <c r="T5304" s="86">
        <f t="shared" si="1609"/>
        <v>-124.7</v>
      </c>
      <c r="U5304" s="87">
        <v>-124.7</v>
      </c>
    </row>
    <row r="5305" spans="1:21" s="30" customFormat="1" ht="24.6" hidden="1" outlineLevel="1" x14ac:dyDescent="0.55000000000000004">
      <c r="A5305" s="27" t="s">
        <v>327</v>
      </c>
      <c r="B5305" s="28"/>
      <c r="C5305" s="27"/>
      <c r="D5305" s="27" t="str">
        <f>"""NAV Direct"",""CRONUS JetCorp USA"",""21"",""1"",""439432"""</f>
        <v>"NAV Direct","CRONUS JetCorp USA","21","1","439432"</v>
      </c>
      <c r="E5305" s="31" t="str">
        <f t="shared" si="1601"/>
        <v>C100141</v>
      </c>
      <c r="F5305" s="31"/>
      <c r="G5305" s="31"/>
      <c r="H5305" s="31"/>
      <c r="I5305" s="56"/>
      <c r="J5305" s="56"/>
      <c r="K5305" s="82" t="str">
        <f t="shared" si="1610"/>
        <v>Credit Memo</v>
      </c>
      <c r="L5305" s="83" t="str">
        <f>"SC_100867"</f>
        <v>SC_100867</v>
      </c>
      <c r="M5305" s="84">
        <v>43624</v>
      </c>
      <c r="N5305" s="85">
        <f t="shared" si="1603"/>
        <v>188</v>
      </c>
      <c r="O5305" s="86">
        <f t="shared" si="1604"/>
        <v>-91.69</v>
      </c>
      <c r="P5305" s="86">
        <f t="shared" si="1605"/>
        <v>0</v>
      </c>
      <c r="Q5305" s="86">
        <f t="shared" si="1606"/>
        <v>0</v>
      </c>
      <c r="R5305" s="86">
        <f t="shared" si="1607"/>
        <v>0</v>
      </c>
      <c r="S5305" s="86">
        <f t="shared" si="1608"/>
        <v>0</v>
      </c>
      <c r="T5305" s="86">
        <f t="shared" si="1609"/>
        <v>-91.69</v>
      </c>
      <c r="U5305" s="87">
        <v>-91.69</v>
      </c>
    </row>
    <row r="5306" spans="1:21" s="30" customFormat="1" ht="24.6" hidden="1" outlineLevel="1" x14ac:dyDescent="0.55000000000000004">
      <c r="A5306" s="27" t="s">
        <v>327</v>
      </c>
      <c r="B5306" s="28"/>
      <c r="C5306" s="27"/>
      <c r="D5306" s="27" t="str">
        <f>"""NAV Direct"",""CRONUS JetCorp USA"",""21"",""1"",""439513"""</f>
        <v>"NAV Direct","CRONUS JetCorp USA","21","1","439513"</v>
      </c>
      <c r="E5306" s="31">
        <f t="shared" si="1601"/>
        <v>0</v>
      </c>
      <c r="F5306" s="31"/>
      <c r="G5306" s="31"/>
      <c r="H5306" s="31"/>
      <c r="I5306" s="56"/>
      <c r="J5306" s="56"/>
      <c r="K5306" s="82" t="str">
        <f t="shared" si="1610"/>
        <v>Credit Memo</v>
      </c>
      <c r="L5306" s="83" t="str">
        <f>"SC_100872"</f>
        <v>SC_100872</v>
      </c>
      <c r="M5306" s="84">
        <v>43713</v>
      </c>
      <c r="N5306" s="85">
        <f t="shared" si="1603"/>
        <v>99</v>
      </c>
      <c r="O5306" s="86">
        <f t="shared" si="1604"/>
        <v>-114.68</v>
      </c>
      <c r="P5306" s="86">
        <f t="shared" si="1605"/>
        <v>0</v>
      </c>
      <c r="Q5306" s="86">
        <f t="shared" si="1606"/>
        <v>0</v>
      </c>
      <c r="R5306" s="86">
        <f t="shared" si="1607"/>
        <v>0</v>
      </c>
      <c r="S5306" s="86">
        <f t="shared" si="1608"/>
        <v>0</v>
      </c>
      <c r="T5306" s="86">
        <f t="shared" si="1609"/>
        <v>-114.68</v>
      </c>
      <c r="U5306" s="87">
        <v>-114.68</v>
      </c>
    </row>
    <row r="5307" spans="1:21" s="30" customFormat="1" ht="24.6" hidden="1" outlineLevel="1" x14ac:dyDescent="0.55000000000000004">
      <c r="A5307" s="27" t="s">
        <v>327</v>
      </c>
      <c r="B5307" s="28"/>
      <c r="C5307" s="27"/>
      <c r="D5307" s="27" t="str">
        <f>"""NAV Direct"",""CRONUS JetCorp USA"",""21"",""1"",""439567"""</f>
        <v>"NAV Direct","CRONUS JetCorp USA","21","1","439567"</v>
      </c>
      <c r="E5307" s="31" t="str">
        <f t="shared" si="1601"/>
        <v>C100141</v>
      </c>
      <c r="F5307" s="31"/>
      <c r="G5307" s="31"/>
      <c r="H5307" s="31"/>
      <c r="I5307" s="56"/>
      <c r="J5307" s="56"/>
      <c r="K5307" s="82" t="str">
        <f t="shared" si="1610"/>
        <v>Credit Memo</v>
      </c>
      <c r="L5307" s="83" t="str">
        <f>"SC_100874"</f>
        <v>SC_100874</v>
      </c>
      <c r="M5307" s="84">
        <v>43721</v>
      </c>
      <c r="N5307" s="85">
        <f t="shared" si="1603"/>
        <v>91</v>
      </c>
      <c r="O5307" s="86">
        <f t="shared" si="1604"/>
        <v>-116.02</v>
      </c>
      <c r="P5307" s="86">
        <f t="shared" si="1605"/>
        <v>0</v>
      </c>
      <c r="Q5307" s="86">
        <f t="shared" si="1606"/>
        <v>0</v>
      </c>
      <c r="R5307" s="86">
        <f t="shared" si="1607"/>
        <v>0</v>
      </c>
      <c r="S5307" s="86">
        <f t="shared" si="1608"/>
        <v>0</v>
      </c>
      <c r="T5307" s="86">
        <f t="shared" si="1609"/>
        <v>-116.02</v>
      </c>
      <c r="U5307" s="87">
        <v>-116.02</v>
      </c>
    </row>
    <row r="5308" spans="1:21" s="30" customFormat="1" ht="24.6" hidden="1" outlineLevel="1" x14ac:dyDescent="0.55000000000000004">
      <c r="A5308" s="27" t="s">
        <v>327</v>
      </c>
      <c r="B5308" s="28"/>
      <c r="C5308" s="27"/>
      <c r="D5308" s="27" t="str">
        <f>"""NAV Direct"",""CRONUS JetCorp USA"",""21"",""1"",""439683"""</f>
        <v>"NAV Direct","CRONUS JetCorp USA","21","1","439683"</v>
      </c>
      <c r="E5308" s="31">
        <f t="shared" si="1601"/>
        <v>0</v>
      </c>
      <c r="F5308" s="31"/>
      <c r="G5308" s="31"/>
      <c r="H5308" s="31"/>
      <c r="I5308" s="56"/>
      <c r="J5308" s="56"/>
      <c r="K5308" s="82" t="str">
        <f t="shared" si="1610"/>
        <v>Credit Memo</v>
      </c>
      <c r="L5308" s="83" t="str">
        <f>"SC_100880"</f>
        <v>SC_100880</v>
      </c>
      <c r="M5308" s="84">
        <v>43805</v>
      </c>
      <c r="N5308" s="85">
        <f t="shared" si="1603"/>
        <v>7</v>
      </c>
      <c r="O5308" s="86">
        <f t="shared" si="1604"/>
        <v>-93.81</v>
      </c>
      <c r="P5308" s="86">
        <f t="shared" si="1605"/>
        <v>0</v>
      </c>
      <c r="Q5308" s="86">
        <f t="shared" si="1606"/>
        <v>-93.81</v>
      </c>
      <c r="R5308" s="86">
        <f t="shared" si="1607"/>
        <v>0</v>
      </c>
      <c r="S5308" s="86">
        <f t="shared" si="1608"/>
        <v>0</v>
      </c>
      <c r="T5308" s="86">
        <f t="shared" si="1609"/>
        <v>0</v>
      </c>
      <c r="U5308" s="87">
        <v>-93.81</v>
      </c>
    </row>
    <row r="5309" spans="1:21" s="30" customFormat="1" ht="24.6" hidden="1" outlineLevel="1" x14ac:dyDescent="0.55000000000000004">
      <c r="A5309" s="27" t="s">
        <v>327</v>
      </c>
      <c r="B5309" s="28"/>
      <c r="C5309" s="27"/>
      <c r="D5309" s="27" t="str">
        <f>"""NAV Direct"",""CRONUS JetCorp USA"",""21"",""1"",""439817"""</f>
        <v>"NAV Direct","CRONUS JetCorp USA","21","1","439817"</v>
      </c>
      <c r="E5309" s="31" t="str">
        <f t="shared" si="1601"/>
        <v>C100141</v>
      </c>
      <c r="F5309" s="31"/>
      <c r="G5309" s="31"/>
      <c r="H5309" s="31"/>
      <c r="I5309" s="56"/>
      <c r="J5309" s="56"/>
      <c r="K5309" s="82" t="str">
        <f t="shared" si="1610"/>
        <v>Credit Memo</v>
      </c>
      <c r="L5309" s="83" t="str">
        <f>"SC_100886"</f>
        <v>SC_100886</v>
      </c>
      <c r="M5309" s="84">
        <v>42042</v>
      </c>
      <c r="N5309" s="85">
        <f t="shared" si="1603"/>
        <v>1770</v>
      </c>
      <c r="O5309" s="86">
        <f t="shared" si="1604"/>
        <v>-98.88</v>
      </c>
      <c r="P5309" s="86">
        <f t="shared" si="1605"/>
        <v>0</v>
      </c>
      <c r="Q5309" s="86">
        <f t="shared" si="1606"/>
        <v>0</v>
      </c>
      <c r="R5309" s="86">
        <f t="shared" si="1607"/>
        <v>0</v>
      </c>
      <c r="S5309" s="86">
        <f t="shared" si="1608"/>
        <v>0</v>
      </c>
      <c r="T5309" s="86">
        <f t="shared" si="1609"/>
        <v>-98.88</v>
      </c>
      <c r="U5309" s="87">
        <v>-98.88</v>
      </c>
    </row>
    <row r="5310" spans="1:21" s="30" customFormat="1" ht="24.6" hidden="1" outlineLevel="1" x14ac:dyDescent="0.55000000000000004">
      <c r="A5310" s="27" t="s">
        <v>327</v>
      </c>
      <c r="B5310" s="28"/>
      <c r="C5310" s="27"/>
      <c r="D5310" s="27" t="str">
        <f>"""NAV Direct"",""CRONUS JetCorp USA"",""21"",""1"",""439868"""</f>
        <v>"NAV Direct","CRONUS JetCorp USA","21","1","439868"</v>
      </c>
      <c r="E5310" s="31">
        <f t="shared" si="1601"/>
        <v>0</v>
      </c>
      <c r="F5310" s="31"/>
      <c r="G5310" s="31"/>
      <c r="H5310" s="31"/>
      <c r="I5310" s="56"/>
      <c r="J5310" s="56"/>
      <c r="K5310" s="82" t="str">
        <f t="shared" si="1610"/>
        <v>Credit Memo</v>
      </c>
      <c r="L5310" s="83" t="str">
        <f>"SC_100889"</f>
        <v>SC_100889</v>
      </c>
      <c r="M5310" s="84">
        <v>42073</v>
      </c>
      <c r="N5310" s="85">
        <f t="shared" si="1603"/>
        <v>1739</v>
      </c>
      <c r="O5310" s="86">
        <f t="shared" si="1604"/>
        <v>-94.41</v>
      </c>
      <c r="P5310" s="86">
        <f t="shared" si="1605"/>
        <v>0</v>
      </c>
      <c r="Q5310" s="86">
        <f t="shared" si="1606"/>
        <v>0</v>
      </c>
      <c r="R5310" s="86">
        <f t="shared" si="1607"/>
        <v>0</v>
      </c>
      <c r="S5310" s="86">
        <f t="shared" si="1608"/>
        <v>0</v>
      </c>
      <c r="T5310" s="86">
        <f t="shared" si="1609"/>
        <v>-94.41</v>
      </c>
      <c r="U5310" s="87">
        <v>-94.41</v>
      </c>
    </row>
    <row r="5311" spans="1:21" s="30" customFormat="1" ht="24.6" hidden="1" outlineLevel="1" x14ac:dyDescent="0.55000000000000004">
      <c r="A5311" s="27" t="s">
        <v>327</v>
      </c>
      <c r="B5311" s="28"/>
      <c r="C5311" s="27"/>
      <c r="D5311" s="27" t="str">
        <f>"""NAV Direct"",""CRONUS JetCorp USA"",""21"",""1"",""439949"""</f>
        <v>"NAV Direct","CRONUS JetCorp USA","21","1","439949"</v>
      </c>
      <c r="E5311" s="31" t="str">
        <f t="shared" si="1601"/>
        <v>C100141</v>
      </c>
      <c r="F5311" s="31"/>
      <c r="G5311" s="31"/>
      <c r="H5311" s="31"/>
      <c r="I5311" s="56"/>
      <c r="J5311" s="56"/>
      <c r="K5311" s="82" t="str">
        <f t="shared" si="1610"/>
        <v>Credit Memo</v>
      </c>
      <c r="L5311" s="83" t="str">
        <f>"SC_100894"</f>
        <v>SC_100894</v>
      </c>
      <c r="M5311" s="84">
        <v>42136</v>
      </c>
      <c r="N5311" s="85">
        <f t="shared" si="1603"/>
        <v>1676</v>
      </c>
      <c r="O5311" s="86">
        <f t="shared" si="1604"/>
        <v>-71.25</v>
      </c>
      <c r="P5311" s="86">
        <f t="shared" si="1605"/>
        <v>0</v>
      </c>
      <c r="Q5311" s="86">
        <f t="shared" si="1606"/>
        <v>0</v>
      </c>
      <c r="R5311" s="86">
        <f t="shared" si="1607"/>
        <v>0</v>
      </c>
      <c r="S5311" s="86">
        <f t="shared" si="1608"/>
        <v>0</v>
      </c>
      <c r="T5311" s="86">
        <f t="shared" si="1609"/>
        <v>-71.25</v>
      </c>
      <c r="U5311" s="87">
        <v>-71.25</v>
      </c>
    </row>
    <row r="5312" spans="1:21" s="30" customFormat="1" ht="24.6" hidden="1" outlineLevel="1" x14ac:dyDescent="0.55000000000000004">
      <c r="A5312" s="27" t="s">
        <v>327</v>
      </c>
      <c r="B5312" s="28"/>
      <c r="C5312" s="27"/>
      <c r="D5312" s="27" t="str">
        <f>"""NAV Direct"",""CRONUS JetCorp USA"",""21"",""1"",""439989"""</f>
        <v>"NAV Direct","CRONUS JetCorp USA","21","1","439989"</v>
      </c>
      <c r="E5312" s="31">
        <f t="shared" si="1601"/>
        <v>0</v>
      </c>
      <c r="F5312" s="31"/>
      <c r="G5312" s="31"/>
      <c r="H5312" s="31"/>
      <c r="I5312" s="56"/>
      <c r="J5312" s="56"/>
      <c r="K5312" s="82" t="str">
        <f t="shared" si="1610"/>
        <v>Credit Memo</v>
      </c>
      <c r="L5312" s="83" t="str">
        <f>"SC_100896"</f>
        <v>SC_100896</v>
      </c>
      <c r="M5312" s="84">
        <v>42163</v>
      </c>
      <c r="N5312" s="85">
        <f t="shared" si="1603"/>
        <v>1649</v>
      </c>
      <c r="O5312" s="86">
        <f t="shared" si="1604"/>
        <v>-67.12</v>
      </c>
      <c r="P5312" s="86">
        <f t="shared" si="1605"/>
        <v>0</v>
      </c>
      <c r="Q5312" s="86">
        <f t="shared" si="1606"/>
        <v>0</v>
      </c>
      <c r="R5312" s="86">
        <f t="shared" si="1607"/>
        <v>0</v>
      </c>
      <c r="S5312" s="86">
        <f t="shared" si="1608"/>
        <v>0</v>
      </c>
      <c r="T5312" s="86">
        <f t="shared" si="1609"/>
        <v>-67.12</v>
      </c>
      <c r="U5312" s="87">
        <v>-67.12</v>
      </c>
    </row>
    <row r="5313" spans="1:22" s="30" customFormat="1" ht="24.6" hidden="1" outlineLevel="1" x14ac:dyDescent="0.55000000000000004">
      <c r="A5313" s="27" t="s">
        <v>327</v>
      </c>
      <c r="B5313" s="28"/>
      <c r="C5313" s="27"/>
      <c r="D5313" s="27" t="str">
        <f>"""NAV Direct"",""CRONUS JetCorp USA"",""21"",""1"",""440184"""</f>
        <v>"NAV Direct","CRONUS JetCorp USA","21","1","440184"</v>
      </c>
      <c r="E5313" s="31" t="str">
        <f t="shared" si="1601"/>
        <v>C100141</v>
      </c>
      <c r="F5313" s="31"/>
      <c r="G5313" s="31"/>
      <c r="H5313" s="31"/>
      <c r="I5313" s="56"/>
      <c r="J5313" s="56"/>
      <c r="K5313" s="82" t="str">
        <f t="shared" si="1610"/>
        <v>Credit Memo</v>
      </c>
      <c r="L5313" s="83" t="str">
        <f>"SC_100906"</f>
        <v>SC_100906</v>
      </c>
      <c r="M5313" s="84">
        <v>42348</v>
      </c>
      <c r="N5313" s="85">
        <f t="shared" si="1603"/>
        <v>1464</v>
      </c>
      <c r="O5313" s="86">
        <f t="shared" si="1604"/>
        <v>-70.790000000000006</v>
      </c>
      <c r="P5313" s="86">
        <f t="shared" si="1605"/>
        <v>0</v>
      </c>
      <c r="Q5313" s="86">
        <f t="shared" si="1606"/>
        <v>0</v>
      </c>
      <c r="R5313" s="86">
        <f t="shared" si="1607"/>
        <v>0</v>
      </c>
      <c r="S5313" s="86">
        <f t="shared" si="1608"/>
        <v>0</v>
      </c>
      <c r="T5313" s="86">
        <f t="shared" si="1609"/>
        <v>-70.790000000000006</v>
      </c>
      <c r="U5313" s="87">
        <v>-70.790000000000006</v>
      </c>
    </row>
    <row r="5314" spans="1:22" s="30" customFormat="1" ht="24.6" hidden="1" outlineLevel="1" x14ac:dyDescent="0.55000000000000004">
      <c r="A5314" s="27" t="s">
        <v>327</v>
      </c>
      <c r="B5314" s="28"/>
      <c r="C5314" s="27"/>
      <c r="D5314" s="27" t="str">
        <f>"""NAV Direct"",""CRONUS JetCorp USA"",""21"",""1"",""440195"""</f>
        <v>"NAV Direct","CRONUS JetCorp USA","21","1","440195"</v>
      </c>
      <c r="E5314" s="31">
        <f t="shared" si="1601"/>
        <v>0</v>
      </c>
      <c r="F5314" s="31"/>
      <c r="G5314" s="31"/>
      <c r="H5314" s="31"/>
      <c r="I5314" s="56"/>
      <c r="J5314" s="56"/>
      <c r="K5314" s="82" t="str">
        <f t="shared" si="1610"/>
        <v>Credit Memo</v>
      </c>
      <c r="L5314" s="83" t="str">
        <f>"SC_100907"</f>
        <v>SC_100907</v>
      </c>
      <c r="M5314" s="84">
        <v>42349</v>
      </c>
      <c r="N5314" s="85">
        <f t="shared" si="1603"/>
        <v>1463</v>
      </c>
      <c r="O5314" s="86">
        <f t="shared" si="1604"/>
        <v>-70.760000000000005</v>
      </c>
      <c r="P5314" s="86">
        <f t="shared" si="1605"/>
        <v>0</v>
      </c>
      <c r="Q5314" s="86">
        <f t="shared" si="1606"/>
        <v>0</v>
      </c>
      <c r="R5314" s="86">
        <f t="shared" si="1607"/>
        <v>0</v>
      </c>
      <c r="S5314" s="86">
        <f t="shared" si="1608"/>
        <v>0</v>
      </c>
      <c r="T5314" s="86">
        <f t="shared" si="1609"/>
        <v>-70.760000000000005</v>
      </c>
      <c r="U5314" s="87">
        <v>-70.760000000000005</v>
      </c>
    </row>
    <row r="5315" spans="1:22" s="22" customFormat="1" ht="20.399999999999999" collapsed="1" x14ac:dyDescent="0.45">
      <c r="A5315" s="12" t="s">
        <v>327</v>
      </c>
      <c r="B5315" s="19"/>
      <c r="C5315" s="12"/>
      <c r="D5315" s="12"/>
      <c r="E5315" s="23"/>
      <c r="F5315" s="23"/>
      <c r="G5315" s="23"/>
      <c r="H5315" s="23"/>
      <c r="I5315" s="49"/>
      <c r="J5315" s="88"/>
      <c r="K5315" s="88"/>
      <c r="L5315" s="89"/>
      <c r="M5315" s="89"/>
      <c r="N5315" s="89"/>
      <c r="O5315" s="89"/>
      <c r="P5315" s="89"/>
      <c r="Q5315" s="90"/>
      <c r="R5315" s="90"/>
      <c r="S5315" s="91"/>
      <c r="T5315" s="92"/>
      <c r="U5315" s="92"/>
    </row>
    <row r="5316" spans="1:22" s="22" customFormat="1" ht="20.399999999999999" x14ac:dyDescent="0.45">
      <c r="A5316" s="12" t="s">
        <v>327</v>
      </c>
      <c r="B5316" s="19"/>
      <c r="C5316" s="12"/>
      <c r="D5316" s="12"/>
      <c r="E5316" s="23"/>
      <c r="F5316" s="23"/>
      <c r="G5316" s="23"/>
      <c r="H5316" s="23"/>
      <c r="I5316" s="49"/>
      <c r="J5316" s="88"/>
      <c r="K5316" s="88"/>
      <c r="L5316" s="89"/>
      <c r="M5316" s="89"/>
      <c r="N5316" s="89"/>
      <c r="O5316" s="89"/>
      <c r="P5316" s="89"/>
      <c r="Q5316" s="90"/>
      <c r="R5316" s="90"/>
      <c r="S5316" s="91"/>
      <c r="T5316" s="92"/>
      <c r="U5316" s="92"/>
    </row>
    <row r="5317" spans="1:22" s="26" customFormat="1" ht="24.6" x14ac:dyDescent="0.55000000000000004">
      <c r="A5317" s="27" t="s">
        <v>327</v>
      </c>
      <c r="B5317" s="28"/>
      <c r="C5317" s="27" t="str">
        <f>"""NAV Direct"",""CRONUS JetCorp USA"",""18"",""1"",""C100142"""</f>
        <v>"NAV Direct","CRONUS JetCorp USA","18","1","C100142"</v>
      </c>
      <c r="D5317" s="27"/>
      <c r="E5317" s="28" t="str">
        <f>H5317</f>
        <v>C100142</v>
      </c>
      <c r="F5317" s="28"/>
      <c r="G5317" s="28"/>
      <c r="H5317" s="28" t="str">
        <f>"C100142"</f>
        <v>C100142</v>
      </c>
      <c r="I5317" s="116" t="str">
        <f>"C100142  -  MovieTime Entertainment"</f>
        <v>C100142  -  MovieTime Entertainment</v>
      </c>
      <c r="J5317" s="117" t="str">
        <f>""</f>
        <v/>
      </c>
      <c r="K5317" s="118"/>
      <c r="L5317" s="119">
        <f>SUBTOTAL(3,L5318:L5353)</f>
        <v>32</v>
      </c>
      <c r="M5317" s="118"/>
      <c r="N5317" s="118"/>
      <c r="O5317" s="120">
        <f t="shared" ref="O5317:T5317" si="1611">SUBTOTAL(9,O5318:O5353)</f>
        <v>209294.16999999995</v>
      </c>
      <c r="P5317" s="120">
        <f t="shared" si="1611"/>
        <v>0</v>
      </c>
      <c r="Q5317" s="120">
        <f t="shared" si="1611"/>
        <v>-253.86999999999998</v>
      </c>
      <c r="R5317" s="120">
        <f t="shared" si="1611"/>
        <v>11293.650000000001</v>
      </c>
      <c r="S5317" s="120">
        <f t="shared" si="1611"/>
        <v>0</v>
      </c>
      <c r="T5317" s="120">
        <f t="shared" si="1611"/>
        <v>198254.38999999996</v>
      </c>
      <c r="U5317" s="81"/>
    </row>
    <row r="5318" spans="1:22" s="26" customFormat="1" ht="24.6" x14ac:dyDescent="0.55000000000000004">
      <c r="A5318" s="27" t="s">
        <v>327</v>
      </c>
      <c r="B5318" s="28"/>
      <c r="C5318" s="27" t="str">
        <f>C5317</f>
        <v>"NAV Direct","CRONUS JetCorp USA","18","1","C100142"</v>
      </c>
      <c r="D5318" s="27"/>
      <c r="E5318" s="28" t="str">
        <f>E5317</f>
        <v>C100142</v>
      </c>
      <c r="F5318" s="28"/>
      <c r="G5318" s="28"/>
      <c r="H5318" s="28"/>
      <c r="I5318" s="121" t="str">
        <f>"Contact: Lola Allison Prince"</f>
        <v>Contact: Lola Allison Prince</v>
      </c>
      <c r="J5318" s="121"/>
      <c r="K5318" s="122"/>
      <c r="L5318" s="123"/>
      <c r="M5318" s="123"/>
      <c r="N5318" s="124"/>
      <c r="O5318" s="124"/>
      <c r="P5318" s="123"/>
      <c r="Q5318" s="125"/>
      <c r="R5318" s="126"/>
      <c r="S5318" s="126"/>
      <c r="T5318" s="125"/>
      <c r="U5318" s="81"/>
    </row>
    <row r="5319" spans="1:22" s="26" customFormat="1" ht="24.6" x14ac:dyDescent="0.55000000000000004">
      <c r="A5319" s="27" t="s">
        <v>327</v>
      </c>
      <c r="B5319" s="28"/>
      <c r="C5319" s="27" t="str">
        <f>C5318</f>
        <v>"NAV Direct","CRONUS JetCorp USA","18","1","C100142"</v>
      </c>
      <c r="D5319" s="27"/>
      <c r="E5319" s="28" t="str">
        <f>E5318</f>
        <v>C100142</v>
      </c>
      <c r="F5319" s="28"/>
      <c r="G5319" s="28"/>
      <c r="H5319" s="28"/>
      <c r="I5319" s="121" t="str">
        <f>"MovieTime Entertainment@Cronus.com"</f>
        <v>MovieTime Entertainment@Cronus.com</v>
      </c>
      <c r="J5319" s="121"/>
      <c r="K5319" s="122"/>
      <c r="L5319" s="124"/>
      <c r="M5319" s="124"/>
      <c r="N5319" s="124"/>
      <c r="O5319" s="124"/>
      <c r="P5319" s="123"/>
      <c r="Q5319" s="125"/>
      <c r="R5319" s="126"/>
      <c r="S5319" s="126"/>
      <c r="T5319" s="125"/>
      <c r="U5319" s="81"/>
    </row>
    <row r="5320" spans="1:22" ht="12.75" hidden="1" customHeight="1" outlineLevel="1" x14ac:dyDescent="0.45">
      <c r="A5320" s="12" t="s">
        <v>328</v>
      </c>
      <c r="B5320" s="19"/>
      <c r="E5320" s="19"/>
      <c r="F5320" s="19"/>
      <c r="G5320" s="19"/>
      <c r="H5320" s="19"/>
      <c r="I5320" s="61"/>
      <c r="J5320" s="61"/>
      <c r="K5320" s="61"/>
      <c r="L5320" s="61"/>
      <c r="M5320" s="61"/>
      <c r="N5320" s="61"/>
      <c r="O5320" s="61"/>
      <c r="P5320" s="61"/>
      <c r="Q5320" s="61"/>
      <c r="R5320" s="61"/>
      <c r="S5320" s="61"/>
      <c r="T5320" s="61"/>
      <c r="U5320" s="61"/>
      <c r="V5320" s="21"/>
    </row>
    <row r="5321" spans="1:22" s="30" customFormat="1" ht="24.6" hidden="1" outlineLevel="1" x14ac:dyDescent="0.55000000000000004">
      <c r="A5321" s="27" t="s">
        <v>327</v>
      </c>
      <c r="B5321" s="28"/>
      <c r="C5321" s="27"/>
      <c r="D5321" s="27" t="str">
        <f>"""NAV Direct"",""CRONUS JetCorp USA"",""21"",""1"",""154006"""</f>
        <v>"NAV Direct","CRONUS JetCorp USA","21","1","154006"</v>
      </c>
      <c r="E5321" s="31" t="str">
        <f t="shared" ref="E5321:E5352" si="1612">E5319</f>
        <v>C100142</v>
      </c>
      <c r="F5321" s="31"/>
      <c r="G5321" s="31"/>
      <c r="H5321" s="31"/>
      <c r="I5321" s="56"/>
      <c r="J5321" s="56"/>
      <c r="K5321" s="82" t="str">
        <f t="shared" ref="K5321:K5340" si="1613">"Invoice"</f>
        <v>Invoice</v>
      </c>
      <c r="L5321" s="83" t="str">
        <f>"SI_107369"</f>
        <v>SI_107369</v>
      </c>
      <c r="M5321" s="84">
        <v>42354</v>
      </c>
      <c r="N5321" s="85">
        <f t="shared" ref="N5321:N5352" si="1614">StartDate-$M5321+1</f>
        <v>1458</v>
      </c>
      <c r="O5321" s="86">
        <f t="shared" ref="O5321:O5352" si="1615">SUM(P5321:T5321)</f>
        <v>12763.31</v>
      </c>
      <c r="P5321" s="86">
        <f t="shared" ref="P5321:P5352" si="1616">IF($M5321&gt;=$P$18,U5321,0)</f>
        <v>0</v>
      </c>
      <c r="Q5321" s="86">
        <f t="shared" ref="Q5321:Q5352" si="1617">IF(AND($M5321&gt;=$Q$16,$M5321&lt;=$Q$18),U5321,0)</f>
        <v>0</v>
      </c>
      <c r="R5321" s="86">
        <f t="shared" ref="R5321:R5352" si="1618">IF(AND($M5321&gt;=$R$16,$M5321&lt;=$R$18),U5321,0)</f>
        <v>0</v>
      </c>
      <c r="S5321" s="86">
        <f t="shared" ref="S5321:S5352" si="1619">IF(AND($M5321&gt;=$S$16,$M5321&lt;=$S$18),U5321,0)</f>
        <v>0</v>
      </c>
      <c r="T5321" s="86">
        <f t="shared" ref="T5321:T5352" si="1620">IF($M5321&lt;=$T$18,U5321,0)</f>
        <v>12763.31</v>
      </c>
      <c r="U5321" s="87">
        <v>12763.31</v>
      </c>
    </row>
    <row r="5322" spans="1:22" s="30" customFormat="1" ht="24.6" hidden="1" outlineLevel="1" x14ac:dyDescent="0.55000000000000004">
      <c r="A5322" s="27" t="s">
        <v>327</v>
      </c>
      <c r="B5322" s="28"/>
      <c r="C5322" s="27"/>
      <c r="D5322" s="27" t="str">
        <f>"""NAV Direct"",""CRONUS JetCorp USA"",""21"",""1"",""402206"""</f>
        <v>"NAV Direct","CRONUS JetCorp USA","21","1","402206"</v>
      </c>
      <c r="E5322" s="31">
        <f t="shared" si="1612"/>
        <v>0</v>
      </c>
      <c r="F5322" s="31"/>
      <c r="G5322" s="31"/>
      <c r="H5322" s="31"/>
      <c r="I5322" s="56"/>
      <c r="J5322" s="56"/>
      <c r="K5322" s="82" t="str">
        <f t="shared" si="1613"/>
        <v>Invoice</v>
      </c>
      <c r="L5322" s="83" t="str">
        <f>"SI_112288"</f>
        <v>SI_112288</v>
      </c>
      <c r="M5322" s="84">
        <v>42478</v>
      </c>
      <c r="N5322" s="85">
        <f t="shared" si="1614"/>
        <v>1334</v>
      </c>
      <c r="O5322" s="86">
        <f t="shared" si="1615"/>
        <v>10850.61</v>
      </c>
      <c r="P5322" s="86">
        <f t="shared" si="1616"/>
        <v>0</v>
      </c>
      <c r="Q5322" s="86">
        <f t="shared" si="1617"/>
        <v>0</v>
      </c>
      <c r="R5322" s="86">
        <f t="shared" si="1618"/>
        <v>0</v>
      </c>
      <c r="S5322" s="86">
        <f t="shared" si="1619"/>
        <v>0</v>
      </c>
      <c r="T5322" s="86">
        <f t="shared" si="1620"/>
        <v>10850.61</v>
      </c>
      <c r="U5322" s="87">
        <v>10850.61</v>
      </c>
    </row>
    <row r="5323" spans="1:22" s="30" customFormat="1" ht="24.6" hidden="1" outlineLevel="1" x14ac:dyDescent="0.55000000000000004">
      <c r="A5323" s="27" t="s">
        <v>327</v>
      </c>
      <c r="B5323" s="28"/>
      <c r="C5323" s="27"/>
      <c r="D5323" s="27" t="str">
        <f>"""NAV Direct"",""CRONUS JetCorp USA"",""21"",""1"",""402296"""</f>
        <v>"NAV Direct","CRONUS JetCorp USA","21","1","402296"</v>
      </c>
      <c r="E5323" s="31" t="str">
        <f t="shared" si="1612"/>
        <v>C100142</v>
      </c>
      <c r="F5323" s="31"/>
      <c r="G5323" s="31"/>
      <c r="H5323" s="31"/>
      <c r="I5323" s="56"/>
      <c r="J5323" s="56"/>
      <c r="K5323" s="82" t="str">
        <f t="shared" si="1613"/>
        <v>Invoice</v>
      </c>
      <c r="L5323" s="83" t="str">
        <f>"SI_112290"</f>
        <v>SI_112290</v>
      </c>
      <c r="M5323" s="84">
        <v>42484</v>
      </c>
      <c r="N5323" s="85">
        <f t="shared" si="1614"/>
        <v>1328</v>
      </c>
      <c r="O5323" s="86">
        <f t="shared" si="1615"/>
        <v>8346.59</v>
      </c>
      <c r="P5323" s="86">
        <f t="shared" si="1616"/>
        <v>0</v>
      </c>
      <c r="Q5323" s="86">
        <f t="shared" si="1617"/>
        <v>0</v>
      </c>
      <c r="R5323" s="86">
        <f t="shared" si="1618"/>
        <v>0</v>
      </c>
      <c r="S5323" s="86">
        <f t="shared" si="1619"/>
        <v>0</v>
      </c>
      <c r="T5323" s="86">
        <f t="shared" si="1620"/>
        <v>8346.59</v>
      </c>
      <c r="U5323" s="87">
        <v>8346.59</v>
      </c>
    </row>
    <row r="5324" spans="1:22" s="30" customFormat="1" ht="24.6" hidden="1" outlineLevel="1" x14ac:dyDescent="0.55000000000000004">
      <c r="A5324" s="27" t="s">
        <v>327</v>
      </c>
      <c r="B5324" s="28"/>
      <c r="C5324" s="27"/>
      <c r="D5324" s="27" t="str">
        <f>"""NAV Direct"",""CRONUS JetCorp USA"",""21"",""1"",""402903"""</f>
        <v>"NAV Direct","CRONUS JetCorp USA","21","1","402903"</v>
      </c>
      <c r="E5324" s="31">
        <f t="shared" si="1612"/>
        <v>0</v>
      </c>
      <c r="F5324" s="31"/>
      <c r="G5324" s="31"/>
      <c r="H5324" s="31"/>
      <c r="I5324" s="56"/>
      <c r="J5324" s="56"/>
      <c r="K5324" s="82" t="str">
        <f t="shared" si="1613"/>
        <v>Invoice</v>
      </c>
      <c r="L5324" s="83" t="str">
        <f>"SI_112304"</f>
        <v>SI_112304</v>
      </c>
      <c r="M5324" s="84">
        <v>42609</v>
      </c>
      <c r="N5324" s="85">
        <f t="shared" si="1614"/>
        <v>1203</v>
      </c>
      <c r="O5324" s="86">
        <f t="shared" si="1615"/>
        <v>8787.41</v>
      </c>
      <c r="P5324" s="86">
        <f t="shared" si="1616"/>
        <v>0</v>
      </c>
      <c r="Q5324" s="86">
        <f t="shared" si="1617"/>
        <v>0</v>
      </c>
      <c r="R5324" s="86">
        <f t="shared" si="1618"/>
        <v>0</v>
      </c>
      <c r="S5324" s="86">
        <f t="shared" si="1619"/>
        <v>0</v>
      </c>
      <c r="T5324" s="86">
        <f t="shared" si="1620"/>
        <v>8787.41</v>
      </c>
      <c r="U5324" s="87">
        <v>8787.41</v>
      </c>
    </row>
    <row r="5325" spans="1:22" s="30" customFormat="1" ht="24.6" hidden="1" outlineLevel="1" x14ac:dyDescent="0.55000000000000004">
      <c r="A5325" s="27" t="s">
        <v>327</v>
      </c>
      <c r="B5325" s="28"/>
      <c r="C5325" s="27"/>
      <c r="D5325" s="27" t="str">
        <f>"""NAV Direct"",""CRONUS JetCorp USA"",""21"",""1"",""403460"""</f>
        <v>"NAV Direct","CRONUS JetCorp USA","21","1","403460"</v>
      </c>
      <c r="E5325" s="31" t="str">
        <f t="shared" si="1612"/>
        <v>C100142</v>
      </c>
      <c r="F5325" s="31"/>
      <c r="G5325" s="31"/>
      <c r="H5325" s="31"/>
      <c r="I5325" s="56"/>
      <c r="J5325" s="56"/>
      <c r="K5325" s="82" t="str">
        <f t="shared" si="1613"/>
        <v>Invoice</v>
      </c>
      <c r="L5325" s="83" t="str">
        <f>"SI_112316"</f>
        <v>SI_112316</v>
      </c>
      <c r="M5325" s="84">
        <v>42662</v>
      </c>
      <c r="N5325" s="85">
        <f t="shared" si="1614"/>
        <v>1150</v>
      </c>
      <c r="O5325" s="86">
        <f t="shared" si="1615"/>
        <v>8797.66</v>
      </c>
      <c r="P5325" s="86">
        <f t="shared" si="1616"/>
        <v>0</v>
      </c>
      <c r="Q5325" s="86">
        <f t="shared" si="1617"/>
        <v>0</v>
      </c>
      <c r="R5325" s="86">
        <f t="shared" si="1618"/>
        <v>0</v>
      </c>
      <c r="S5325" s="86">
        <f t="shared" si="1619"/>
        <v>0</v>
      </c>
      <c r="T5325" s="86">
        <f t="shared" si="1620"/>
        <v>8797.66</v>
      </c>
      <c r="U5325" s="87">
        <v>8797.66</v>
      </c>
    </row>
    <row r="5326" spans="1:22" s="30" customFormat="1" ht="24.6" hidden="1" outlineLevel="1" x14ac:dyDescent="0.55000000000000004">
      <c r="A5326" s="27" t="s">
        <v>327</v>
      </c>
      <c r="B5326" s="28"/>
      <c r="C5326" s="27"/>
      <c r="D5326" s="27" t="str">
        <f>"""NAV Direct"",""CRONUS JetCorp USA"",""21"",""1"",""403556"""</f>
        <v>"NAV Direct","CRONUS JetCorp USA","21","1","403556"</v>
      </c>
      <c r="E5326" s="31">
        <f t="shared" si="1612"/>
        <v>0</v>
      </c>
      <c r="F5326" s="31"/>
      <c r="G5326" s="31"/>
      <c r="H5326" s="31"/>
      <c r="I5326" s="56"/>
      <c r="J5326" s="56"/>
      <c r="K5326" s="82" t="str">
        <f t="shared" si="1613"/>
        <v>Invoice</v>
      </c>
      <c r="L5326" s="83" t="str">
        <f>"SI_112318"</f>
        <v>SI_112318</v>
      </c>
      <c r="M5326" s="84">
        <v>42683</v>
      </c>
      <c r="N5326" s="85">
        <f t="shared" si="1614"/>
        <v>1129</v>
      </c>
      <c r="O5326" s="86">
        <f t="shared" si="1615"/>
        <v>8797.67</v>
      </c>
      <c r="P5326" s="86">
        <f t="shared" si="1616"/>
        <v>0</v>
      </c>
      <c r="Q5326" s="86">
        <f t="shared" si="1617"/>
        <v>0</v>
      </c>
      <c r="R5326" s="86">
        <f t="shared" si="1618"/>
        <v>0</v>
      </c>
      <c r="S5326" s="86">
        <f t="shared" si="1619"/>
        <v>0</v>
      </c>
      <c r="T5326" s="86">
        <f t="shared" si="1620"/>
        <v>8797.67</v>
      </c>
      <c r="U5326" s="87">
        <v>8797.67</v>
      </c>
    </row>
    <row r="5327" spans="1:22" s="30" customFormat="1" ht="24.6" hidden="1" outlineLevel="1" x14ac:dyDescent="0.55000000000000004">
      <c r="A5327" s="27" t="s">
        <v>327</v>
      </c>
      <c r="B5327" s="28"/>
      <c r="C5327" s="27"/>
      <c r="D5327" s="27" t="str">
        <f>"""NAV Direct"",""CRONUS JetCorp USA"",""21"",""1"",""403742"""</f>
        <v>"NAV Direct","CRONUS JetCorp USA","21","1","403742"</v>
      </c>
      <c r="E5327" s="31" t="str">
        <f t="shared" si="1612"/>
        <v>C100142</v>
      </c>
      <c r="F5327" s="31"/>
      <c r="G5327" s="31"/>
      <c r="H5327" s="31"/>
      <c r="I5327" s="56"/>
      <c r="J5327" s="56"/>
      <c r="K5327" s="82" t="str">
        <f t="shared" si="1613"/>
        <v>Invoice</v>
      </c>
      <c r="L5327" s="83" t="str">
        <f>"SI_112322"</f>
        <v>SI_112322</v>
      </c>
      <c r="M5327" s="84">
        <v>42706</v>
      </c>
      <c r="N5327" s="85">
        <f t="shared" si="1614"/>
        <v>1106</v>
      </c>
      <c r="O5327" s="86">
        <f t="shared" si="1615"/>
        <v>8744.93</v>
      </c>
      <c r="P5327" s="86">
        <f t="shared" si="1616"/>
        <v>0</v>
      </c>
      <c r="Q5327" s="86">
        <f t="shared" si="1617"/>
        <v>0</v>
      </c>
      <c r="R5327" s="86">
        <f t="shared" si="1618"/>
        <v>0</v>
      </c>
      <c r="S5327" s="86">
        <f t="shared" si="1619"/>
        <v>0</v>
      </c>
      <c r="T5327" s="86">
        <f t="shared" si="1620"/>
        <v>8744.93</v>
      </c>
      <c r="U5327" s="87">
        <v>8744.93</v>
      </c>
    </row>
    <row r="5328" spans="1:22" s="30" customFormat="1" ht="24.6" hidden="1" outlineLevel="1" x14ac:dyDescent="0.55000000000000004">
      <c r="A5328" s="27" t="s">
        <v>327</v>
      </c>
      <c r="B5328" s="28"/>
      <c r="C5328" s="27"/>
      <c r="D5328" s="27" t="str">
        <f>"""NAV Direct"",""CRONUS JetCorp USA"",""21"",""1"",""404277"""</f>
        <v>"NAV Direct","CRONUS JetCorp USA","21","1","404277"</v>
      </c>
      <c r="E5328" s="31">
        <f t="shared" si="1612"/>
        <v>0</v>
      </c>
      <c r="F5328" s="31"/>
      <c r="G5328" s="31"/>
      <c r="H5328" s="31"/>
      <c r="I5328" s="56"/>
      <c r="J5328" s="56"/>
      <c r="K5328" s="82" t="str">
        <f t="shared" si="1613"/>
        <v>Invoice</v>
      </c>
      <c r="L5328" s="83" t="str">
        <f>"SI_112334"</f>
        <v>SI_112334</v>
      </c>
      <c r="M5328" s="84">
        <v>42791</v>
      </c>
      <c r="N5328" s="85">
        <f t="shared" si="1614"/>
        <v>1021</v>
      </c>
      <c r="O5328" s="86">
        <f t="shared" si="1615"/>
        <v>9858.09</v>
      </c>
      <c r="P5328" s="86">
        <f t="shared" si="1616"/>
        <v>0</v>
      </c>
      <c r="Q5328" s="86">
        <f t="shared" si="1617"/>
        <v>0</v>
      </c>
      <c r="R5328" s="86">
        <f t="shared" si="1618"/>
        <v>0</v>
      </c>
      <c r="S5328" s="86">
        <f t="shared" si="1619"/>
        <v>0</v>
      </c>
      <c r="T5328" s="86">
        <f t="shared" si="1620"/>
        <v>9858.09</v>
      </c>
      <c r="U5328" s="87">
        <v>9858.09</v>
      </c>
    </row>
    <row r="5329" spans="1:21" s="30" customFormat="1" ht="24.6" hidden="1" outlineLevel="1" x14ac:dyDescent="0.55000000000000004">
      <c r="A5329" s="27" t="s">
        <v>327</v>
      </c>
      <c r="B5329" s="28"/>
      <c r="C5329" s="27"/>
      <c r="D5329" s="27" t="str">
        <f>"""NAV Direct"",""CRONUS JetCorp USA"",""21"",""1"",""405786"""</f>
        <v>"NAV Direct","CRONUS JetCorp USA","21","1","405786"</v>
      </c>
      <c r="E5329" s="31" t="str">
        <f t="shared" si="1612"/>
        <v>C100142</v>
      </c>
      <c r="F5329" s="31"/>
      <c r="G5329" s="31"/>
      <c r="H5329" s="31"/>
      <c r="I5329" s="56"/>
      <c r="J5329" s="56"/>
      <c r="K5329" s="82" t="str">
        <f t="shared" si="1613"/>
        <v>Invoice</v>
      </c>
      <c r="L5329" s="83" t="str">
        <f>"SI_112365"</f>
        <v>SI_112365</v>
      </c>
      <c r="M5329" s="84">
        <v>43075</v>
      </c>
      <c r="N5329" s="85">
        <f t="shared" si="1614"/>
        <v>737</v>
      </c>
      <c r="O5329" s="86">
        <f t="shared" si="1615"/>
        <v>7657.03</v>
      </c>
      <c r="P5329" s="86">
        <f t="shared" si="1616"/>
        <v>0</v>
      </c>
      <c r="Q5329" s="86">
        <f t="shared" si="1617"/>
        <v>0</v>
      </c>
      <c r="R5329" s="86">
        <f t="shared" si="1618"/>
        <v>0</v>
      </c>
      <c r="S5329" s="86">
        <f t="shared" si="1619"/>
        <v>0</v>
      </c>
      <c r="T5329" s="86">
        <f t="shared" si="1620"/>
        <v>7657.03</v>
      </c>
      <c r="U5329" s="87">
        <v>7657.03</v>
      </c>
    </row>
    <row r="5330" spans="1:21" s="30" customFormat="1" ht="24.6" hidden="1" outlineLevel="1" x14ac:dyDescent="0.55000000000000004">
      <c r="A5330" s="27" t="s">
        <v>327</v>
      </c>
      <c r="B5330" s="28"/>
      <c r="C5330" s="27"/>
      <c r="D5330" s="27" t="str">
        <f>"""NAV Direct"",""CRONUS JetCorp USA"",""21"",""1"",""405950"""</f>
        <v>"NAV Direct","CRONUS JetCorp USA","21","1","405950"</v>
      </c>
      <c r="E5330" s="31">
        <f t="shared" si="1612"/>
        <v>0</v>
      </c>
      <c r="F5330" s="31"/>
      <c r="G5330" s="31"/>
      <c r="H5330" s="31"/>
      <c r="I5330" s="56"/>
      <c r="J5330" s="56"/>
      <c r="K5330" s="82" t="str">
        <f t="shared" si="1613"/>
        <v>Invoice</v>
      </c>
      <c r="L5330" s="83" t="str">
        <f>"SI_112369"</f>
        <v>SI_112369</v>
      </c>
      <c r="M5330" s="84">
        <v>43097</v>
      </c>
      <c r="N5330" s="85">
        <f t="shared" si="1614"/>
        <v>715</v>
      </c>
      <c r="O5330" s="86">
        <f t="shared" si="1615"/>
        <v>7725.83</v>
      </c>
      <c r="P5330" s="86">
        <f t="shared" si="1616"/>
        <v>0</v>
      </c>
      <c r="Q5330" s="86">
        <f t="shared" si="1617"/>
        <v>0</v>
      </c>
      <c r="R5330" s="86">
        <f t="shared" si="1618"/>
        <v>0</v>
      </c>
      <c r="S5330" s="86">
        <f t="shared" si="1619"/>
        <v>0</v>
      </c>
      <c r="T5330" s="86">
        <f t="shared" si="1620"/>
        <v>7725.83</v>
      </c>
      <c r="U5330" s="87">
        <v>7725.83</v>
      </c>
    </row>
    <row r="5331" spans="1:21" s="30" customFormat="1" ht="24.6" hidden="1" outlineLevel="1" x14ac:dyDescent="0.55000000000000004">
      <c r="A5331" s="27" t="s">
        <v>327</v>
      </c>
      <c r="B5331" s="28"/>
      <c r="C5331" s="27"/>
      <c r="D5331" s="27" t="str">
        <f>"""NAV Direct"",""CRONUS JetCorp USA"",""21"",""1"",""406817"""</f>
        <v>"NAV Direct","CRONUS JetCorp USA","21","1","406817"</v>
      </c>
      <c r="E5331" s="31" t="str">
        <f t="shared" si="1612"/>
        <v>C100142</v>
      </c>
      <c r="F5331" s="31"/>
      <c r="G5331" s="31"/>
      <c r="H5331" s="31"/>
      <c r="I5331" s="56"/>
      <c r="J5331" s="56"/>
      <c r="K5331" s="82" t="str">
        <f t="shared" si="1613"/>
        <v>Invoice</v>
      </c>
      <c r="L5331" s="83" t="str">
        <f>"SI_112389"</f>
        <v>SI_112389</v>
      </c>
      <c r="M5331" s="84">
        <v>43334</v>
      </c>
      <c r="N5331" s="85">
        <f t="shared" si="1614"/>
        <v>478</v>
      </c>
      <c r="O5331" s="86">
        <f t="shared" si="1615"/>
        <v>9952.73</v>
      </c>
      <c r="P5331" s="86">
        <f t="shared" si="1616"/>
        <v>0</v>
      </c>
      <c r="Q5331" s="86">
        <f t="shared" si="1617"/>
        <v>0</v>
      </c>
      <c r="R5331" s="86">
        <f t="shared" si="1618"/>
        <v>0</v>
      </c>
      <c r="S5331" s="86">
        <f t="shared" si="1619"/>
        <v>0</v>
      </c>
      <c r="T5331" s="86">
        <f t="shared" si="1620"/>
        <v>9952.73</v>
      </c>
      <c r="U5331" s="87">
        <v>9952.73</v>
      </c>
    </row>
    <row r="5332" spans="1:21" s="30" customFormat="1" ht="24.6" hidden="1" outlineLevel="1" x14ac:dyDescent="0.55000000000000004">
      <c r="A5332" s="27" t="s">
        <v>327</v>
      </c>
      <c r="B5332" s="28"/>
      <c r="C5332" s="27"/>
      <c r="D5332" s="27" t="str">
        <f>"""NAV Direct"",""CRONUS JetCorp USA"",""21"",""1"",""407477"""</f>
        <v>"NAV Direct","CRONUS JetCorp USA","21","1","407477"</v>
      </c>
      <c r="E5332" s="31">
        <f t="shared" si="1612"/>
        <v>0</v>
      </c>
      <c r="F5332" s="31"/>
      <c r="G5332" s="31"/>
      <c r="H5332" s="31"/>
      <c r="I5332" s="56"/>
      <c r="J5332" s="56"/>
      <c r="K5332" s="82" t="str">
        <f t="shared" si="1613"/>
        <v>Invoice</v>
      </c>
      <c r="L5332" s="83" t="str">
        <f>"SI_112401"</f>
        <v>SI_112401</v>
      </c>
      <c r="M5332" s="84">
        <v>43436</v>
      </c>
      <c r="N5332" s="85">
        <f t="shared" si="1614"/>
        <v>376</v>
      </c>
      <c r="O5332" s="86">
        <f t="shared" si="1615"/>
        <v>12015.57</v>
      </c>
      <c r="P5332" s="86">
        <f t="shared" si="1616"/>
        <v>0</v>
      </c>
      <c r="Q5332" s="86">
        <f t="shared" si="1617"/>
        <v>0</v>
      </c>
      <c r="R5332" s="86">
        <f t="shared" si="1618"/>
        <v>0</v>
      </c>
      <c r="S5332" s="86">
        <f t="shared" si="1619"/>
        <v>0</v>
      </c>
      <c r="T5332" s="86">
        <f t="shared" si="1620"/>
        <v>12015.57</v>
      </c>
      <c r="U5332" s="87">
        <v>12015.57</v>
      </c>
    </row>
    <row r="5333" spans="1:21" s="30" customFormat="1" ht="24.6" hidden="1" outlineLevel="1" x14ac:dyDescent="0.55000000000000004">
      <c r="A5333" s="27" t="s">
        <v>327</v>
      </c>
      <c r="B5333" s="28"/>
      <c r="C5333" s="27"/>
      <c r="D5333" s="27" t="str">
        <f>"""NAV Direct"",""CRONUS JetCorp USA"",""21"",""1"",""408184"""</f>
        <v>"NAV Direct","CRONUS JetCorp USA","21","1","408184"</v>
      </c>
      <c r="E5333" s="31" t="str">
        <f t="shared" si="1612"/>
        <v>C100142</v>
      </c>
      <c r="F5333" s="31"/>
      <c r="G5333" s="31"/>
      <c r="H5333" s="31"/>
      <c r="I5333" s="56"/>
      <c r="J5333" s="56"/>
      <c r="K5333" s="82" t="str">
        <f t="shared" si="1613"/>
        <v>Invoice</v>
      </c>
      <c r="L5333" s="83" t="str">
        <f>"SI_112415"</f>
        <v>SI_112415</v>
      </c>
      <c r="M5333" s="84">
        <v>43553</v>
      </c>
      <c r="N5333" s="85">
        <f t="shared" si="1614"/>
        <v>259</v>
      </c>
      <c r="O5333" s="86">
        <f t="shared" si="1615"/>
        <v>12636.09</v>
      </c>
      <c r="P5333" s="86">
        <f t="shared" si="1616"/>
        <v>0</v>
      </c>
      <c r="Q5333" s="86">
        <f t="shared" si="1617"/>
        <v>0</v>
      </c>
      <c r="R5333" s="86">
        <f t="shared" si="1618"/>
        <v>0</v>
      </c>
      <c r="S5333" s="86">
        <f t="shared" si="1619"/>
        <v>0</v>
      </c>
      <c r="T5333" s="86">
        <f t="shared" si="1620"/>
        <v>12636.09</v>
      </c>
      <c r="U5333" s="87">
        <v>12636.09</v>
      </c>
    </row>
    <row r="5334" spans="1:21" s="30" customFormat="1" ht="24.6" hidden="1" outlineLevel="1" x14ac:dyDescent="0.55000000000000004">
      <c r="A5334" s="27" t="s">
        <v>327</v>
      </c>
      <c r="B5334" s="28"/>
      <c r="C5334" s="27"/>
      <c r="D5334" s="27" t="str">
        <f>"""NAV Direct"",""CRONUS JetCorp USA"",""21"",""1"",""408392"""</f>
        <v>"NAV Direct","CRONUS JetCorp USA","21","1","408392"</v>
      </c>
      <c r="E5334" s="31">
        <f t="shared" si="1612"/>
        <v>0</v>
      </c>
      <c r="F5334" s="31"/>
      <c r="G5334" s="31"/>
      <c r="H5334" s="31"/>
      <c r="I5334" s="56"/>
      <c r="J5334" s="56"/>
      <c r="K5334" s="82" t="str">
        <f t="shared" si="1613"/>
        <v>Invoice</v>
      </c>
      <c r="L5334" s="83" t="str">
        <f>"SI_112419"</f>
        <v>SI_112419</v>
      </c>
      <c r="M5334" s="84">
        <v>43582</v>
      </c>
      <c r="N5334" s="85">
        <f t="shared" si="1614"/>
        <v>230</v>
      </c>
      <c r="O5334" s="86">
        <f t="shared" si="1615"/>
        <v>14447.08</v>
      </c>
      <c r="P5334" s="86">
        <f t="shared" si="1616"/>
        <v>0</v>
      </c>
      <c r="Q5334" s="86">
        <f t="shared" si="1617"/>
        <v>0</v>
      </c>
      <c r="R5334" s="86">
        <f t="shared" si="1618"/>
        <v>0</v>
      </c>
      <c r="S5334" s="86">
        <f t="shared" si="1619"/>
        <v>0</v>
      </c>
      <c r="T5334" s="86">
        <f t="shared" si="1620"/>
        <v>14447.08</v>
      </c>
      <c r="U5334" s="87">
        <v>14447.08</v>
      </c>
    </row>
    <row r="5335" spans="1:21" s="30" customFormat="1" ht="24.6" hidden="1" outlineLevel="1" x14ac:dyDescent="0.55000000000000004">
      <c r="A5335" s="27" t="s">
        <v>327</v>
      </c>
      <c r="B5335" s="28"/>
      <c r="C5335" s="27"/>
      <c r="D5335" s="27" t="str">
        <f>"""NAV Direct"",""CRONUS JetCorp USA"",""21"",""1"",""409722"""</f>
        <v>"NAV Direct","CRONUS JetCorp USA","21","1","409722"</v>
      </c>
      <c r="E5335" s="31" t="str">
        <f t="shared" si="1612"/>
        <v>C100142</v>
      </c>
      <c r="F5335" s="31"/>
      <c r="G5335" s="31"/>
      <c r="H5335" s="31"/>
      <c r="I5335" s="56"/>
      <c r="J5335" s="56"/>
      <c r="K5335" s="82" t="str">
        <f t="shared" si="1613"/>
        <v>Invoice</v>
      </c>
      <c r="L5335" s="83" t="str">
        <f>"SI_112446"</f>
        <v>SI_112446</v>
      </c>
      <c r="M5335" s="84">
        <v>43761</v>
      </c>
      <c r="N5335" s="85">
        <f t="shared" si="1614"/>
        <v>51</v>
      </c>
      <c r="O5335" s="86">
        <f t="shared" si="1615"/>
        <v>11429.61</v>
      </c>
      <c r="P5335" s="86">
        <f t="shared" si="1616"/>
        <v>0</v>
      </c>
      <c r="Q5335" s="86">
        <f t="shared" si="1617"/>
        <v>0</v>
      </c>
      <c r="R5335" s="86">
        <f t="shared" si="1618"/>
        <v>11429.61</v>
      </c>
      <c r="S5335" s="86">
        <f t="shared" si="1619"/>
        <v>0</v>
      </c>
      <c r="T5335" s="86">
        <f t="shared" si="1620"/>
        <v>0</v>
      </c>
      <c r="U5335" s="87">
        <v>11429.61</v>
      </c>
    </row>
    <row r="5336" spans="1:21" s="30" customFormat="1" ht="24.6" hidden="1" outlineLevel="1" x14ac:dyDescent="0.55000000000000004">
      <c r="A5336" s="27" t="s">
        <v>327</v>
      </c>
      <c r="B5336" s="28"/>
      <c r="C5336" s="27"/>
      <c r="D5336" s="27" t="str">
        <f>"""NAV Direct"",""CRONUS JetCorp USA"",""21"",""1"",""412401"""</f>
        <v>"NAV Direct","CRONUS JetCorp USA","21","1","412401"</v>
      </c>
      <c r="E5336" s="31">
        <f t="shared" si="1612"/>
        <v>0</v>
      </c>
      <c r="F5336" s="31"/>
      <c r="G5336" s="31"/>
      <c r="H5336" s="31"/>
      <c r="I5336" s="56"/>
      <c r="J5336" s="56"/>
      <c r="K5336" s="82" t="str">
        <f t="shared" si="1613"/>
        <v>Invoice</v>
      </c>
      <c r="L5336" s="83" t="str">
        <f>"SI_112493"</f>
        <v>SI_112493</v>
      </c>
      <c r="M5336" s="84">
        <v>42185</v>
      </c>
      <c r="N5336" s="85">
        <f t="shared" si="1614"/>
        <v>1627</v>
      </c>
      <c r="O5336" s="86">
        <f t="shared" si="1615"/>
        <v>9245.3599999999988</v>
      </c>
      <c r="P5336" s="86">
        <f t="shared" si="1616"/>
        <v>0</v>
      </c>
      <c r="Q5336" s="86">
        <f t="shared" si="1617"/>
        <v>0</v>
      </c>
      <c r="R5336" s="86">
        <f t="shared" si="1618"/>
        <v>0</v>
      </c>
      <c r="S5336" s="86">
        <f t="shared" si="1619"/>
        <v>0</v>
      </c>
      <c r="T5336" s="86">
        <f t="shared" si="1620"/>
        <v>9245.3599999999988</v>
      </c>
      <c r="U5336" s="87">
        <v>9245.3599999999988</v>
      </c>
    </row>
    <row r="5337" spans="1:21" s="30" customFormat="1" ht="24.6" hidden="1" outlineLevel="1" x14ac:dyDescent="0.55000000000000004">
      <c r="A5337" s="27" t="s">
        <v>327</v>
      </c>
      <c r="B5337" s="28"/>
      <c r="C5337" s="27"/>
      <c r="D5337" s="27" t="str">
        <f>"""NAV Direct"",""CRONUS JetCorp USA"",""21"",""1"",""412597"""</f>
        <v>"NAV Direct","CRONUS JetCorp USA","21","1","412597"</v>
      </c>
      <c r="E5337" s="31" t="str">
        <f t="shared" si="1612"/>
        <v>C100142</v>
      </c>
      <c r="F5337" s="31"/>
      <c r="G5337" s="31"/>
      <c r="H5337" s="31"/>
      <c r="I5337" s="56"/>
      <c r="J5337" s="56"/>
      <c r="K5337" s="82" t="str">
        <f t="shared" si="1613"/>
        <v>Invoice</v>
      </c>
      <c r="L5337" s="83" t="str">
        <f>"SI_112497"</f>
        <v>SI_112497</v>
      </c>
      <c r="M5337" s="84">
        <v>42216</v>
      </c>
      <c r="N5337" s="85">
        <f t="shared" si="1614"/>
        <v>1596</v>
      </c>
      <c r="O5337" s="86">
        <f t="shared" si="1615"/>
        <v>8999.91</v>
      </c>
      <c r="P5337" s="86">
        <f t="shared" si="1616"/>
        <v>0</v>
      </c>
      <c r="Q5337" s="86">
        <f t="shared" si="1617"/>
        <v>0</v>
      </c>
      <c r="R5337" s="86">
        <f t="shared" si="1618"/>
        <v>0</v>
      </c>
      <c r="S5337" s="86">
        <f t="shared" si="1619"/>
        <v>0</v>
      </c>
      <c r="T5337" s="86">
        <f t="shared" si="1620"/>
        <v>8999.91</v>
      </c>
      <c r="U5337" s="87">
        <v>8999.91</v>
      </c>
    </row>
    <row r="5338" spans="1:21" s="30" customFormat="1" ht="24.6" hidden="1" outlineLevel="1" x14ac:dyDescent="0.55000000000000004">
      <c r="A5338" s="27" t="s">
        <v>327</v>
      </c>
      <c r="B5338" s="28"/>
      <c r="C5338" s="27"/>
      <c r="D5338" s="27" t="str">
        <f>"""NAV Direct"",""CRONUS JetCorp USA"",""21"",""1"",""414018"""</f>
        <v>"NAV Direct","CRONUS JetCorp USA","21","1","414018"</v>
      </c>
      <c r="E5338" s="31">
        <f t="shared" si="1612"/>
        <v>0</v>
      </c>
      <c r="F5338" s="31"/>
      <c r="G5338" s="31"/>
      <c r="H5338" s="31"/>
      <c r="I5338" s="56"/>
      <c r="J5338" s="56"/>
      <c r="K5338" s="82" t="str">
        <f t="shared" si="1613"/>
        <v>Invoice</v>
      </c>
      <c r="L5338" s="83" t="str">
        <f>"SI_112523"</f>
        <v>SI_112523</v>
      </c>
      <c r="M5338" s="84">
        <v>42334</v>
      </c>
      <c r="N5338" s="85">
        <f t="shared" si="1614"/>
        <v>1478</v>
      </c>
      <c r="O5338" s="86">
        <f t="shared" si="1615"/>
        <v>14480.019999999999</v>
      </c>
      <c r="P5338" s="86">
        <f t="shared" si="1616"/>
        <v>0</v>
      </c>
      <c r="Q5338" s="86">
        <f t="shared" si="1617"/>
        <v>0</v>
      </c>
      <c r="R5338" s="86">
        <f t="shared" si="1618"/>
        <v>0</v>
      </c>
      <c r="S5338" s="86">
        <f t="shared" si="1619"/>
        <v>0</v>
      </c>
      <c r="T5338" s="86">
        <f t="shared" si="1620"/>
        <v>14480.019999999999</v>
      </c>
      <c r="U5338" s="87">
        <v>14480.019999999999</v>
      </c>
    </row>
    <row r="5339" spans="1:21" s="30" customFormat="1" ht="24.6" hidden="1" outlineLevel="1" x14ac:dyDescent="0.55000000000000004">
      <c r="A5339" s="27" t="s">
        <v>327</v>
      </c>
      <c r="B5339" s="28"/>
      <c r="C5339" s="27"/>
      <c r="D5339" s="27" t="str">
        <f>"""NAV Direct"",""CRONUS JetCorp USA"",""21"",""1"",""414250"""</f>
        <v>"NAV Direct","CRONUS JetCorp USA","21","1","414250"</v>
      </c>
      <c r="E5339" s="31" t="str">
        <f t="shared" si="1612"/>
        <v>C100142</v>
      </c>
      <c r="F5339" s="31"/>
      <c r="G5339" s="31"/>
      <c r="H5339" s="31"/>
      <c r="I5339" s="56"/>
      <c r="J5339" s="56"/>
      <c r="K5339" s="82" t="str">
        <f t="shared" si="1613"/>
        <v>Invoice</v>
      </c>
      <c r="L5339" s="83" t="str">
        <f>"SI_112527"</f>
        <v>SI_112527</v>
      </c>
      <c r="M5339" s="84">
        <v>42357</v>
      </c>
      <c r="N5339" s="85">
        <f t="shared" si="1614"/>
        <v>1455</v>
      </c>
      <c r="O5339" s="86">
        <f t="shared" si="1615"/>
        <v>12494.630000000001</v>
      </c>
      <c r="P5339" s="86">
        <f t="shared" si="1616"/>
        <v>0</v>
      </c>
      <c r="Q5339" s="86">
        <f t="shared" si="1617"/>
        <v>0</v>
      </c>
      <c r="R5339" s="86">
        <f t="shared" si="1618"/>
        <v>0</v>
      </c>
      <c r="S5339" s="86">
        <f t="shared" si="1619"/>
        <v>0</v>
      </c>
      <c r="T5339" s="86">
        <f t="shared" si="1620"/>
        <v>12494.630000000001</v>
      </c>
      <c r="U5339" s="87">
        <v>12494.630000000001</v>
      </c>
    </row>
    <row r="5340" spans="1:21" s="30" customFormat="1" ht="24.6" hidden="1" outlineLevel="1" x14ac:dyDescent="0.55000000000000004">
      <c r="A5340" s="27" t="s">
        <v>327</v>
      </c>
      <c r="B5340" s="28"/>
      <c r="C5340" s="27"/>
      <c r="D5340" s="27" t="str">
        <f>"""NAV Direct"",""CRONUS JetCorp USA"",""21"",""1"",""414466"""</f>
        <v>"NAV Direct","CRONUS JetCorp USA","21","1","414466"</v>
      </c>
      <c r="E5340" s="31">
        <f t="shared" si="1612"/>
        <v>0</v>
      </c>
      <c r="F5340" s="31"/>
      <c r="G5340" s="31"/>
      <c r="H5340" s="31"/>
      <c r="I5340" s="56"/>
      <c r="J5340" s="56"/>
      <c r="K5340" s="82" t="str">
        <f t="shared" si="1613"/>
        <v>Invoice</v>
      </c>
      <c r="L5340" s="83" t="str">
        <f>"SI_112531"</f>
        <v>SI_112531</v>
      </c>
      <c r="M5340" s="84">
        <v>42369</v>
      </c>
      <c r="N5340" s="85">
        <f t="shared" si="1614"/>
        <v>1443</v>
      </c>
      <c r="O5340" s="86">
        <f t="shared" si="1615"/>
        <v>12494.630000000001</v>
      </c>
      <c r="P5340" s="86">
        <f t="shared" si="1616"/>
        <v>0</v>
      </c>
      <c r="Q5340" s="86">
        <f t="shared" si="1617"/>
        <v>0</v>
      </c>
      <c r="R5340" s="86">
        <f t="shared" si="1618"/>
        <v>0</v>
      </c>
      <c r="S5340" s="86">
        <f t="shared" si="1619"/>
        <v>0</v>
      </c>
      <c r="T5340" s="86">
        <f t="shared" si="1620"/>
        <v>12494.630000000001</v>
      </c>
      <c r="U5340" s="87">
        <v>12494.630000000001</v>
      </c>
    </row>
    <row r="5341" spans="1:21" s="30" customFormat="1" ht="24.6" hidden="1" outlineLevel="1" x14ac:dyDescent="0.55000000000000004">
      <c r="A5341" s="27" t="s">
        <v>327</v>
      </c>
      <c r="B5341" s="28"/>
      <c r="C5341" s="27"/>
      <c r="D5341" s="27" t="str">
        <f>"""NAV Direct"",""CRONUS JetCorp USA"",""21"",""1"",""440248"""</f>
        <v>"NAV Direct","CRONUS JetCorp USA","21","1","440248"</v>
      </c>
      <c r="E5341" s="31" t="str">
        <f t="shared" si="1612"/>
        <v>C100142</v>
      </c>
      <c r="F5341" s="31"/>
      <c r="G5341" s="31"/>
      <c r="H5341" s="31"/>
      <c r="I5341" s="56"/>
      <c r="J5341" s="56"/>
      <c r="K5341" s="82" t="str">
        <f t="shared" ref="K5341:K5352" si="1621">"Credit Memo"</f>
        <v>Credit Memo</v>
      </c>
      <c r="L5341" s="83" t="str">
        <f>"SC_100910"</f>
        <v>SC_100910</v>
      </c>
      <c r="M5341" s="84">
        <v>42379</v>
      </c>
      <c r="N5341" s="85">
        <f t="shared" si="1614"/>
        <v>1433</v>
      </c>
      <c r="O5341" s="86">
        <f t="shared" si="1615"/>
        <v>-81.569999999999993</v>
      </c>
      <c r="P5341" s="86">
        <f t="shared" si="1616"/>
        <v>0</v>
      </c>
      <c r="Q5341" s="86">
        <f t="shared" si="1617"/>
        <v>0</v>
      </c>
      <c r="R5341" s="86">
        <f t="shared" si="1618"/>
        <v>0</v>
      </c>
      <c r="S5341" s="86">
        <f t="shared" si="1619"/>
        <v>0</v>
      </c>
      <c r="T5341" s="86">
        <f t="shared" si="1620"/>
        <v>-81.569999999999993</v>
      </c>
      <c r="U5341" s="87">
        <v>-81.569999999999993</v>
      </c>
    </row>
    <row r="5342" spans="1:21" s="30" customFormat="1" ht="24.6" hidden="1" outlineLevel="1" x14ac:dyDescent="0.55000000000000004">
      <c r="A5342" s="27" t="s">
        <v>327</v>
      </c>
      <c r="B5342" s="28"/>
      <c r="C5342" s="27"/>
      <c r="D5342" s="27" t="str">
        <f>"""NAV Direct"",""CRONUS JetCorp USA"",""21"",""1"",""440265"""</f>
        <v>"NAV Direct","CRONUS JetCorp USA","21","1","440265"</v>
      </c>
      <c r="E5342" s="31">
        <f t="shared" si="1612"/>
        <v>0</v>
      </c>
      <c r="F5342" s="31"/>
      <c r="G5342" s="31"/>
      <c r="H5342" s="31"/>
      <c r="I5342" s="56"/>
      <c r="J5342" s="56"/>
      <c r="K5342" s="82" t="str">
        <f t="shared" si="1621"/>
        <v>Credit Memo</v>
      </c>
      <c r="L5342" s="83" t="str">
        <f>"SC_100911"</f>
        <v>SC_100911</v>
      </c>
      <c r="M5342" s="84">
        <v>42416</v>
      </c>
      <c r="N5342" s="85">
        <f t="shared" si="1614"/>
        <v>1396</v>
      </c>
      <c r="O5342" s="86">
        <f t="shared" si="1615"/>
        <v>-82.61</v>
      </c>
      <c r="P5342" s="86">
        <f t="shared" si="1616"/>
        <v>0</v>
      </c>
      <c r="Q5342" s="86">
        <f t="shared" si="1617"/>
        <v>0</v>
      </c>
      <c r="R5342" s="86">
        <f t="shared" si="1618"/>
        <v>0</v>
      </c>
      <c r="S5342" s="86">
        <f t="shared" si="1619"/>
        <v>0</v>
      </c>
      <c r="T5342" s="86">
        <f t="shared" si="1620"/>
        <v>-82.61</v>
      </c>
      <c r="U5342" s="87">
        <v>-82.61</v>
      </c>
    </row>
    <row r="5343" spans="1:21" s="30" customFormat="1" ht="24.6" hidden="1" outlineLevel="1" x14ac:dyDescent="0.55000000000000004">
      <c r="A5343" s="27" t="s">
        <v>327</v>
      </c>
      <c r="B5343" s="28"/>
      <c r="C5343" s="27"/>
      <c r="D5343" s="27" t="str">
        <f>"""NAV Direct"",""CRONUS JetCorp USA"",""21"",""1"",""440421"""</f>
        <v>"NAV Direct","CRONUS JetCorp USA","21","1","440421"</v>
      </c>
      <c r="E5343" s="31" t="str">
        <f t="shared" si="1612"/>
        <v>C100142</v>
      </c>
      <c r="F5343" s="31"/>
      <c r="G5343" s="31"/>
      <c r="H5343" s="31"/>
      <c r="I5343" s="56"/>
      <c r="J5343" s="56"/>
      <c r="K5343" s="82" t="str">
        <f t="shared" si="1621"/>
        <v>Credit Memo</v>
      </c>
      <c r="L5343" s="83" t="str">
        <f>"SC_100918"</f>
        <v>SC_100918</v>
      </c>
      <c r="M5343" s="84">
        <v>42774</v>
      </c>
      <c r="N5343" s="85">
        <f t="shared" si="1614"/>
        <v>1038</v>
      </c>
      <c r="O5343" s="86">
        <f t="shared" si="1615"/>
        <v>-98.56</v>
      </c>
      <c r="P5343" s="86">
        <f t="shared" si="1616"/>
        <v>0</v>
      </c>
      <c r="Q5343" s="86">
        <f t="shared" si="1617"/>
        <v>0</v>
      </c>
      <c r="R5343" s="86">
        <f t="shared" si="1618"/>
        <v>0</v>
      </c>
      <c r="S5343" s="86">
        <f t="shared" si="1619"/>
        <v>0</v>
      </c>
      <c r="T5343" s="86">
        <f t="shared" si="1620"/>
        <v>-98.56</v>
      </c>
      <c r="U5343" s="87">
        <v>-98.56</v>
      </c>
    </row>
    <row r="5344" spans="1:21" s="30" customFormat="1" ht="24.6" hidden="1" outlineLevel="1" x14ac:dyDescent="0.55000000000000004">
      <c r="A5344" s="27" t="s">
        <v>327</v>
      </c>
      <c r="B5344" s="28"/>
      <c r="C5344" s="27"/>
      <c r="D5344" s="27" t="str">
        <f>"""NAV Direct"",""CRONUS JetCorp USA"",""21"",""1"",""440578"""</f>
        <v>"NAV Direct","CRONUS JetCorp USA","21","1","440578"</v>
      </c>
      <c r="E5344" s="31">
        <f t="shared" si="1612"/>
        <v>0</v>
      </c>
      <c r="F5344" s="31"/>
      <c r="G5344" s="31"/>
      <c r="H5344" s="31"/>
      <c r="I5344" s="56"/>
      <c r="J5344" s="56"/>
      <c r="K5344" s="82" t="str">
        <f t="shared" si="1621"/>
        <v>Credit Memo</v>
      </c>
      <c r="L5344" s="83" t="str">
        <f>"SC_100927"</f>
        <v>SC_100927</v>
      </c>
      <c r="M5344" s="84">
        <v>42995</v>
      </c>
      <c r="N5344" s="85">
        <f t="shared" si="1614"/>
        <v>817</v>
      </c>
      <c r="O5344" s="86">
        <f t="shared" si="1615"/>
        <v>-81.820000000000007</v>
      </c>
      <c r="P5344" s="86">
        <f t="shared" si="1616"/>
        <v>0</v>
      </c>
      <c r="Q5344" s="86">
        <f t="shared" si="1617"/>
        <v>0</v>
      </c>
      <c r="R5344" s="86">
        <f t="shared" si="1618"/>
        <v>0</v>
      </c>
      <c r="S5344" s="86">
        <f t="shared" si="1619"/>
        <v>0</v>
      </c>
      <c r="T5344" s="86">
        <f t="shared" si="1620"/>
        <v>-81.820000000000007</v>
      </c>
      <c r="U5344" s="87">
        <v>-81.820000000000007</v>
      </c>
    </row>
    <row r="5345" spans="1:22" s="30" customFormat="1" ht="24.6" hidden="1" outlineLevel="1" x14ac:dyDescent="0.55000000000000004">
      <c r="A5345" s="27" t="s">
        <v>327</v>
      </c>
      <c r="B5345" s="28"/>
      <c r="C5345" s="27"/>
      <c r="D5345" s="27" t="str">
        <f>"""NAV Direct"",""CRONUS JetCorp USA"",""21"",""1"",""440612"""</f>
        <v>"NAV Direct","CRONUS JetCorp USA","21","1","440612"</v>
      </c>
      <c r="E5345" s="31" t="str">
        <f t="shared" si="1612"/>
        <v>C100142</v>
      </c>
      <c r="F5345" s="31"/>
      <c r="G5345" s="31"/>
      <c r="H5345" s="31"/>
      <c r="I5345" s="56"/>
      <c r="J5345" s="56"/>
      <c r="K5345" s="82" t="str">
        <f t="shared" si="1621"/>
        <v>Credit Memo</v>
      </c>
      <c r="L5345" s="83" t="str">
        <f>"SC_100929"</f>
        <v>SC_100929</v>
      </c>
      <c r="M5345" s="84">
        <v>43003</v>
      </c>
      <c r="N5345" s="85">
        <f t="shared" si="1614"/>
        <v>809</v>
      </c>
      <c r="O5345" s="86">
        <f t="shared" si="1615"/>
        <v>-80.97999999999999</v>
      </c>
      <c r="P5345" s="86">
        <f t="shared" si="1616"/>
        <v>0</v>
      </c>
      <c r="Q5345" s="86">
        <f t="shared" si="1617"/>
        <v>0</v>
      </c>
      <c r="R5345" s="86">
        <f t="shared" si="1618"/>
        <v>0</v>
      </c>
      <c r="S5345" s="86">
        <f t="shared" si="1619"/>
        <v>0</v>
      </c>
      <c r="T5345" s="86">
        <f t="shared" si="1620"/>
        <v>-80.97999999999999</v>
      </c>
      <c r="U5345" s="87">
        <v>-80.97999999999999</v>
      </c>
    </row>
    <row r="5346" spans="1:22" s="30" customFormat="1" ht="24.6" hidden="1" outlineLevel="1" x14ac:dyDescent="0.55000000000000004">
      <c r="A5346" s="27" t="s">
        <v>327</v>
      </c>
      <c r="B5346" s="28"/>
      <c r="C5346" s="27"/>
      <c r="D5346" s="27" t="str">
        <f>"""NAV Direct"",""CRONUS JetCorp USA"",""21"",""1"",""440624"""</f>
        <v>"NAV Direct","CRONUS JetCorp USA","21","1","440624"</v>
      </c>
      <c r="E5346" s="31">
        <f t="shared" si="1612"/>
        <v>0</v>
      </c>
      <c r="F5346" s="31"/>
      <c r="G5346" s="31"/>
      <c r="H5346" s="31"/>
      <c r="I5346" s="56"/>
      <c r="J5346" s="56"/>
      <c r="K5346" s="82" t="str">
        <f t="shared" si="1621"/>
        <v>Credit Memo</v>
      </c>
      <c r="L5346" s="83" t="str">
        <f>"SC_100930"</f>
        <v>SC_100930</v>
      </c>
      <c r="M5346" s="84">
        <v>43126</v>
      </c>
      <c r="N5346" s="85">
        <f t="shared" si="1614"/>
        <v>686</v>
      </c>
      <c r="O5346" s="86">
        <f t="shared" si="1615"/>
        <v>-75.12</v>
      </c>
      <c r="P5346" s="86">
        <f t="shared" si="1616"/>
        <v>0</v>
      </c>
      <c r="Q5346" s="86">
        <f t="shared" si="1617"/>
        <v>0</v>
      </c>
      <c r="R5346" s="86">
        <f t="shared" si="1618"/>
        <v>0</v>
      </c>
      <c r="S5346" s="86">
        <f t="shared" si="1619"/>
        <v>0</v>
      </c>
      <c r="T5346" s="86">
        <f t="shared" si="1620"/>
        <v>-75.12</v>
      </c>
      <c r="U5346" s="87">
        <v>-75.12</v>
      </c>
    </row>
    <row r="5347" spans="1:22" s="30" customFormat="1" ht="24.6" hidden="1" outlineLevel="1" x14ac:dyDescent="0.55000000000000004">
      <c r="A5347" s="27" t="s">
        <v>327</v>
      </c>
      <c r="B5347" s="28"/>
      <c r="C5347" s="27"/>
      <c r="D5347" s="27" t="str">
        <f>"""NAV Direct"",""CRONUS JetCorp USA"",""21"",""1"",""440732"""</f>
        <v>"NAV Direct","CRONUS JetCorp USA","21","1","440732"</v>
      </c>
      <c r="E5347" s="31" t="str">
        <f t="shared" si="1612"/>
        <v>C100142</v>
      </c>
      <c r="F5347" s="31"/>
      <c r="G5347" s="31"/>
      <c r="H5347" s="31"/>
      <c r="I5347" s="56"/>
      <c r="J5347" s="56"/>
      <c r="K5347" s="82" t="str">
        <f t="shared" si="1621"/>
        <v>Credit Memo</v>
      </c>
      <c r="L5347" s="83" t="str">
        <f>"SC_100936"</f>
        <v>SC_100936</v>
      </c>
      <c r="M5347" s="84">
        <v>43358</v>
      </c>
      <c r="N5347" s="85">
        <f t="shared" si="1614"/>
        <v>454</v>
      </c>
      <c r="O5347" s="86">
        <f t="shared" si="1615"/>
        <v>-109.47</v>
      </c>
      <c r="P5347" s="86">
        <f t="shared" si="1616"/>
        <v>0</v>
      </c>
      <c r="Q5347" s="86">
        <f t="shared" si="1617"/>
        <v>0</v>
      </c>
      <c r="R5347" s="86">
        <f t="shared" si="1618"/>
        <v>0</v>
      </c>
      <c r="S5347" s="86">
        <f t="shared" si="1619"/>
        <v>0</v>
      </c>
      <c r="T5347" s="86">
        <f t="shared" si="1620"/>
        <v>-109.47</v>
      </c>
      <c r="U5347" s="87">
        <v>-109.47</v>
      </c>
    </row>
    <row r="5348" spans="1:22" s="30" customFormat="1" ht="24.6" hidden="1" outlineLevel="1" x14ac:dyDescent="0.55000000000000004">
      <c r="A5348" s="27" t="s">
        <v>327</v>
      </c>
      <c r="B5348" s="28"/>
      <c r="C5348" s="27"/>
      <c r="D5348" s="27" t="str">
        <f>"""NAV Direct"",""CRONUS JetCorp USA"",""21"",""1"",""440929"""</f>
        <v>"NAV Direct","CRONUS JetCorp USA","21","1","440929"</v>
      </c>
      <c r="E5348" s="31">
        <f t="shared" si="1612"/>
        <v>0</v>
      </c>
      <c r="F5348" s="31"/>
      <c r="G5348" s="31"/>
      <c r="H5348" s="31"/>
      <c r="I5348" s="56"/>
      <c r="J5348" s="56"/>
      <c r="K5348" s="82" t="str">
        <f t="shared" si="1621"/>
        <v>Credit Memo</v>
      </c>
      <c r="L5348" s="83" t="str">
        <f>"SC_100946"</f>
        <v>SC_100946</v>
      </c>
      <c r="M5348" s="84">
        <v>43567</v>
      </c>
      <c r="N5348" s="85">
        <f t="shared" si="1614"/>
        <v>245</v>
      </c>
      <c r="O5348" s="86">
        <f t="shared" si="1615"/>
        <v>-141.47</v>
      </c>
      <c r="P5348" s="86">
        <f t="shared" si="1616"/>
        <v>0</v>
      </c>
      <c r="Q5348" s="86">
        <f t="shared" si="1617"/>
        <v>0</v>
      </c>
      <c r="R5348" s="86">
        <f t="shared" si="1618"/>
        <v>0</v>
      </c>
      <c r="S5348" s="86">
        <f t="shared" si="1619"/>
        <v>0</v>
      </c>
      <c r="T5348" s="86">
        <f t="shared" si="1620"/>
        <v>-141.47</v>
      </c>
      <c r="U5348" s="87">
        <v>-141.47</v>
      </c>
    </row>
    <row r="5349" spans="1:22" s="30" customFormat="1" ht="24.6" hidden="1" outlineLevel="1" x14ac:dyDescent="0.55000000000000004">
      <c r="A5349" s="27" t="s">
        <v>327</v>
      </c>
      <c r="B5349" s="28"/>
      <c r="C5349" s="27"/>
      <c r="D5349" s="27" t="str">
        <f>"""NAV Direct"",""CRONUS JetCorp USA"",""21"",""1"",""441072"""</f>
        <v>"NAV Direct","CRONUS JetCorp USA","21","1","441072"</v>
      </c>
      <c r="E5349" s="31" t="str">
        <f t="shared" si="1612"/>
        <v>C100142</v>
      </c>
      <c r="F5349" s="31"/>
      <c r="G5349" s="31"/>
      <c r="H5349" s="31"/>
      <c r="I5349" s="56"/>
      <c r="J5349" s="56"/>
      <c r="K5349" s="82" t="str">
        <f t="shared" si="1621"/>
        <v>Credit Memo</v>
      </c>
      <c r="L5349" s="83" t="str">
        <f>"SC_100953"</f>
        <v>SC_100953</v>
      </c>
      <c r="M5349" s="84">
        <v>43661</v>
      </c>
      <c r="N5349" s="85">
        <f t="shared" si="1614"/>
        <v>151</v>
      </c>
      <c r="O5349" s="86">
        <f t="shared" si="1615"/>
        <v>-89.16</v>
      </c>
      <c r="P5349" s="86">
        <f t="shared" si="1616"/>
        <v>0</v>
      </c>
      <c r="Q5349" s="86">
        <f t="shared" si="1617"/>
        <v>0</v>
      </c>
      <c r="R5349" s="86">
        <f t="shared" si="1618"/>
        <v>0</v>
      </c>
      <c r="S5349" s="86">
        <f t="shared" si="1619"/>
        <v>0</v>
      </c>
      <c r="T5349" s="86">
        <f t="shared" si="1620"/>
        <v>-89.16</v>
      </c>
      <c r="U5349" s="87">
        <v>-89.16</v>
      </c>
    </row>
    <row r="5350" spans="1:22" s="30" customFormat="1" ht="24.6" hidden="1" outlineLevel="1" x14ac:dyDescent="0.55000000000000004">
      <c r="A5350" s="27" t="s">
        <v>327</v>
      </c>
      <c r="B5350" s="28"/>
      <c r="C5350" s="27"/>
      <c r="D5350" s="27" t="str">
        <f>"""NAV Direct"",""CRONUS JetCorp USA"",""21"",""1"",""441196"""</f>
        <v>"NAV Direct","CRONUS JetCorp USA","21","1","441196"</v>
      </c>
      <c r="E5350" s="31">
        <f t="shared" si="1612"/>
        <v>0</v>
      </c>
      <c r="F5350" s="31"/>
      <c r="G5350" s="31"/>
      <c r="H5350" s="31"/>
      <c r="I5350" s="56"/>
      <c r="J5350" s="56"/>
      <c r="K5350" s="82" t="str">
        <f t="shared" si="1621"/>
        <v>Credit Memo</v>
      </c>
      <c r="L5350" s="83" t="str">
        <f>"SC_100959"</f>
        <v>SC_100959</v>
      </c>
      <c r="M5350" s="84">
        <v>43779</v>
      </c>
      <c r="N5350" s="85">
        <f t="shared" si="1614"/>
        <v>33</v>
      </c>
      <c r="O5350" s="86">
        <f t="shared" si="1615"/>
        <v>-135.96</v>
      </c>
      <c r="P5350" s="86">
        <f t="shared" si="1616"/>
        <v>0</v>
      </c>
      <c r="Q5350" s="86">
        <f t="shared" si="1617"/>
        <v>0</v>
      </c>
      <c r="R5350" s="86">
        <f t="shared" si="1618"/>
        <v>-135.96</v>
      </c>
      <c r="S5350" s="86">
        <f t="shared" si="1619"/>
        <v>0</v>
      </c>
      <c r="T5350" s="86">
        <f t="shared" si="1620"/>
        <v>0</v>
      </c>
      <c r="U5350" s="87">
        <v>-135.96</v>
      </c>
    </row>
    <row r="5351" spans="1:22" s="30" customFormat="1" ht="24.6" hidden="1" outlineLevel="1" x14ac:dyDescent="0.55000000000000004">
      <c r="A5351" s="27" t="s">
        <v>327</v>
      </c>
      <c r="B5351" s="28"/>
      <c r="C5351" s="27"/>
      <c r="D5351" s="27" t="str">
        <f>"""NAV Direct"",""CRONUS JetCorp USA"",""21"",""1"",""441240"""</f>
        <v>"NAV Direct","CRONUS JetCorp USA","21","1","441240"</v>
      </c>
      <c r="E5351" s="31" t="str">
        <f t="shared" si="1612"/>
        <v>C100142</v>
      </c>
      <c r="F5351" s="31"/>
      <c r="G5351" s="31"/>
      <c r="H5351" s="31"/>
      <c r="I5351" s="56"/>
      <c r="J5351" s="56"/>
      <c r="K5351" s="82" t="str">
        <f t="shared" si="1621"/>
        <v>Credit Memo</v>
      </c>
      <c r="L5351" s="83" t="str">
        <f>"SC_100961"</f>
        <v>SC_100961</v>
      </c>
      <c r="M5351" s="84">
        <v>43789</v>
      </c>
      <c r="N5351" s="85">
        <f t="shared" si="1614"/>
        <v>23</v>
      </c>
      <c r="O5351" s="86">
        <f t="shared" si="1615"/>
        <v>-130.26999999999998</v>
      </c>
      <c r="P5351" s="86">
        <f t="shared" si="1616"/>
        <v>0</v>
      </c>
      <c r="Q5351" s="86">
        <f t="shared" si="1617"/>
        <v>-130.26999999999998</v>
      </c>
      <c r="R5351" s="86">
        <f t="shared" si="1618"/>
        <v>0</v>
      </c>
      <c r="S5351" s="86">
        <f t="shared" si="1619"/>
        <v>0</v>
      </c>
      <c r="T5351" s="86">
        <f t="shared" si="1620"/>
        <v>0</v>
      </c>
      <c r="U5351" s="87">
        <v>-130.26999999999998</v>
      </c>
    </row>
    <row r="5352" spans="1:22" s="30" customFormat="1" ht="24.6" hidden="1" outlineLevel="1" x14ac:dyDescent="0.55000000000000004">
      <c r="A5352" s="27" t="s">
        <v>327</v>
      </c>
      <c r="B5352" s="28"/>
      <c r="C5352" s="27"/>
      <c r="D5352" s="27" t="str">
        <f>"""NAV Direct"",""CRONUS JetCorp USA"",""21"",""1"",""441271"""</f>
        <v>"NAV Direct","CRONUS JetCorp USA","21","1","441271"</v>
      </c>
      <c r="E5352" s="31">
        <f t="shared" si="1612"/>
        <v>0</v>
      </c>
      <c r="F5352" s="31"/>
      <c r="G5352" s="31"/>
      <c r="H5352" s="31"/>
      <c r="I5352" s="56"/>
      <c r="J5352" s="56"/>
      <c r="K5352" s="82" t="str">
        <f t="shared" si="1621"/>
        <v>Credit Memo</v>
      </c>
      <c r="L5352" s="83" t="str">
        <f>"SC_100962"</f>
        <v>SC_100962</v>
      </c>
      <c r="M5352" s="84">
        <v>43803</v>
      </c>
      <c r="N5352" s="85">
        <f t="shared" si="1614"/>
        <v>9</v>
      </c>
      <c r="O5352" s="86">
        <f t="shared" si="1615"/>
        <v>-123.6</v>
      </c>
      <c r="P5352" s="86">
        <f t="shared" si="1616"/>
        <v>0</v>
      </c>
      <c r="Q5352" s="86">
        <f t="shared" si="1617"/>
        <v>-123.6</v>
      </c>
      <c r="R5352" s="86">
        <f t="shared" si="1618"/>
        <v>0</v>
      </c>
      <c r="S5352" s="86">
        <f t="shared" si="1619"/>
        <v>0</v>
      </c>
      <c r="T5352" s="86">
        <f t="shared" si="1620"/>
        <v>0</v>
      </c>
      <c r="U5352" s="87">
        <v>-123.6</v>
      </c>
    </row>
    <row r="5353" spans="1:22" s="22" customFormat="1" ht="20.399999999999999" collapsed="1" x14ac:dyDescent="0.45">
      <c r="A5353" s="12" t="s">
        <v>327</v>
      </c>
      <c r="B5353" s="19"/>
      <c r="C5353" s="12"/>
      <c r="D5353" s="12"/>
      <c r="E5353" s="23"/>
      <c r="F5353" s="23"/>
      <c r="G5353" s="23"/>
      <c r="H5353" s="23"/>
      <c r="I5353" s="49"/>
      <c r="J5353" s="88"/>
      <c r="K5353" s="88"/>
      <c r="L5353" s="89"/>
      <c r="M5353" s="89"/>
      <c r="N5353" s="89"/>
      <c r="O5353" s="89"/>
      <c r="P5353" s="89"/>
      <c r="Q5353" s="90"/>
      <c r="R5353" s="90"/>
      <c r="S5353" s="91"/>
      <c r="T5353" s="92"/>
      <c r="U5353" s="92"/>
    </row>
    <row r="5354" spans="1:22" s="22" customFormat="1" ht="20.399999999999999" x14ac:dyDescent="0.45">
      <c r="A5354" s="12" t="s">
        <v>327</v>
      </c>
      <c r="B5354" s="19"/>
      <c r="C5354" s="12"/>
      <c r="D5354" s="12"/>
      <c r="E5354" s="23"/>
      <c r="F5354" s="23"/>
      <c r="G5354" s="23"/>
      <c r="H5354" s="23"/>
      <c r="I5354" s="49"/>
      <c r="J5354" s="88"/>
      <c r="K5354" s="88"/>
      <c r="L5354" s="89"/>
      <c r="M5354" s="89"/>
      <c r="N5354" s="89"/>
      <c r="O5354" s="89"/>
      <c r="P5354" s="89"/>
      <c r="Q5354" s="90"/>
      <c r="R5354" s="90"/>
      <c r="S5354" s="91"/>
      <c r="T5354" s="92"/>
      <c r="U5354" s="92"/>
    </row>
    <row r="5355" spans="1:22" s="26" customFormat="1" ht="24.6" x14ac:dyDescent="0.55000000000000004">
      <c r="A5355" s="27" t="s">
        <v>327</v>
      </c>
      <c r="B5355" s="28"/>
      <c r="C5355" s="27" t="str">
        <f>"""NAV Direct"",""CRONUS JetCorp USA"",""18"",""1"",""C100143"""</f>
        <v>"NAV Direct","CRONUS JetCorp USA","18","1","C100143"</v>
      </c>
      <c r="D5355" s="27"/>
      <c r="E5355" s="28" t="str">
        <f>H5355</f>
        <v>C100143</v>
      </c>
      <c r="F5355" s="28"/>
      <c r="G5355" s="28"/>
      <c r="H5355" s="28" t="str">
        <f>"C100143"</f>
        <v>C100143</v>
      </c>
      <c r="I5355" s="116" t="str">
        <f>"C100143  -  Parvotis"</f>
        <v>C100143  -  Parvotis</v>
      </c>
      <c r="J5355" s="117" t="str">
        <f>""</f>
        <v/>
      </c>
      <c r="K5355" s="118"/>
      <c r="L5355" s="119">
        <f>SUBTOTAL(3,L5356:L5384)</f>
        <v>25</v>
      </c>
      <c r="M5355" s="118"/>
      <c r="N5355" s="118"/>
      <c r="O5355" s="120">
        <f t="shared" ref="O5355:T5355" si="1622">SUBTOTAL(9,O5356:O5384)</f>
        <v>192948.97999999992</v>
      </c>
      <c r="P5355" s="120">
        <f t="shared" si="1622"/>
        <v>0</v>
      </c>
      <c r="Q5355" s="120">
        <f t="shared" si="1622"/>
        <v>0</v>
      </c>
      <c r="R5355" s="120">
        <f t="shared" si="1622"/>
        <v>0</v>
      </c>
      <c r="S5355" s="120">
        <f t="shared" si="1622"/>
        <v>10842.33</v>
      </c>
      <c r="T5355" s="120">
        <f t="shared" si="1622"/>
        <v>182106.64999999997</v>
      </c>
      <c r="U5355" s="81"/>
    </row>
    <row r="5356" spans="1:22" s="26" customFormat="1" ht="24.6" x14ac:dyDescent="0.55000000000000004">
      <c r="A5356" s="27" t="s">
        <v>327</v>
      </c>
      <c r="B5356" s="28"/>
      <c r="C5356" s="27" t="str">
        <f>C5355</f>
        <v>"NAV Direct","CRONUS JetCorp USA","18","1","C100143"</v>
      </c>
      <c r="D5356" s="27"/>
      <c r="E5356" s="28" t="str">
        <f>E5355</f>
        <v>C100143</v>
      </c>
      <c r="F5356" s="28"/>
      <c r="G5356" s="28"/>
      <c r="H5356" s="28"/>
      <c r="I5356" s="121" t="str">
        <f>"Contact: Olivia Mosley"</f>
        <v>Contact: Olivia Mosley</v>
      </c>
      <c r="J5356" s="121"/>
      <c r="K5356" s="122"/>
      <c r="L5356" s="123"/>
      <c r="M5356" s="123"/>
      <c r="N5356" s="124"/>
      <c r="O5356" s="124"/>
      <c r="P5356" s="123"/>
      <c r="Q5356" s="125"/>
      <c r="R5356" s="126"/>
      <c r="S5356" s="126"/>
      <c r="T5356" s="125"/>
      <c r="U5356" s="81"/>
    </row>
    <row r="5357" spans="1:22" s="26" customFormat="1" ht="24.6" x14ac:dyDescent="0.55000000000000004">
      <c r="A5357" s="27" t="s">
        <v>327</v>
      </c>
      <c r="B5357" s="28"/>
      <c r="C5357" s="27" t="str">
        <f>C5356</f>
        <v>"NAV Direct","CRONUS JetCorp USA","18","1","C100143"</v>
      </c>
      <c r="D5357" s="27"/>
      <c r="E5357" s="28" t="str">
        <f>E5356</f>
        <v>C100143</v>
      </c>
      <c r="F5357" s="28"/>
      <c r="G5357" s="28"/>
      <c r="H5357" s="28"/>
      <c r="I5357" s="121" t="str">
        <f>"Parvotis@Cronus.com"</f>
        <v>Parvotis@Cronus.com</v>
      </c>
      <c r="J5357" s="121"/>
      <c r="K5357" s="122"/>
      <c r="L5357" s="124"/>
      <c r="M5357" s="124"/>
      <c r="N5357" s="124"/>
      <c r="O5357" s="124"/>
      <c r="P5357" s="123"/>
      <c r="Q5357" s="125"/>
      <c r="R5357" s="126"/>
      <c r="S5357" s="126"/>
      <c r="T5357" s="125"/>
      <c r="U5357" s="81"/>
    </row>
    <row r="5358" spans="1:22" ht="12.75" hidden="1" customHeight="1" outlineLevel="1" x14ac:dyDescent="0.45">
      <c r="A5358" s="12" t="s">
        <v>328</v>
      </c>
      <c r="B5358" s="19"/>
      <c r="E5358" s="19"/>
      <c r="F5358" s="19"/>
      <c r="G5358" s="19"/>
      <c r="H5358" s="19"/>
      <c r="I5358" s="61"/>
      <c r="J5358" s="61"/>
      <c r="K5358" s="61"/>
      <c r="L5358" s="61"/>
      <c r="M5358" s="61"/>
      <c r="N5358" s="61"/>
      <c r="O5358" s="61"/>
      <c r="P5358" s="61"/>
      <c r="Q5358" s="61"/>
      <c r="R5358" s="61"/>
      <c r="S5358" s="61"/>
      <c r="T5358" s="61"/>
      <c r="U5358" s="61"/>
      <c r="V5358" s="21"/>
    </row>
    <row r="5359" spans="1:22" s="30" customFormat="1" ht="24.6" hidden="1" outlineLevel="1" x14ac:dyDescent="0.55000000000000004">
      <c r="A5359" s="27" t="s">
        <v>327</v>
      </c>
      <c r="B5359" s="28"/>
      <c r="C5359" s="27"/>
      <c r="D5359" s="27" t="str">
        <f>"""NAV Direct"",""CRONUS JetCorp USA"",""21"",""1"",""154241"""</f>
        <v>"NAV Direct","CRONUS JetCorp USA","21","1","154241"</v>
      </c>
      <c r="E5359" s="31" t="str">
        <f t="shared" ref="E5359:E5383" si="1623">E5357</f>
        <v>C100143</v>
      </c>
      <c r="F5359" s="31"/>
      <c r="G5359" s="31"/>
      <c r="H5359" s="31"/>
      <c r="I5359" s="56"/>
      <c r="J5359" s="56"/>
      <c r="K5359" s="82" t="str">
        <f t="shared" ref="K5359:K5377" si="1624">"Invoice"</f>
        <v>Invoice</v>
      </c>
      <c r="L5359" s="83" t="str">
        <f>"SI_107372"</f>
        <v>SI_107372</v>
      </c>
      <c r="M5359" s="84">
        <v>42368</v>
      </c>
      <c r="N5359" s="85">
        <f t="shared" ref="N5359:N5383" si="1625">StartDate-$M5359+1</f>
        <v>1444</v>
      </c>
      <c r="O5359" s="86">
        <f t="shared" ref="O5359:O5383" si="1626">SUM(P5359:T5359)</f>
        <v>12360.099999999999</v>
      </c>
      <c r="P5359" s="86">
        <f t="shared" ref="P5359:P5383" si="1627">IF($M5359&gt;=$P$18,U5359,0)</f>
        <v>0</v>
      </c>
      <c r="Q5359" s="86">
        <f t="shared" ref="Q5359:Q5383" si="1628">IF(AND($M5359&gt;=$Q$16,$M5359&lt;=$Q$18),U5359,0)</f>
        <v>0</v>
      </c>
      <c r="R5359" s="86">
        <f t="shared" ref="R5359:R5383" si="1629">IF(AND($M5359&gt;=$R$16,$M5359&lt;=$R$18),U5359,0)</f>
        <v>0</v>
      </c>
      <c r="S5359" s="86">
        <f t="shared" ref="S5359:S5383" si="1630">IF(AND($M5359&gt;=$S$16,$M5359&lt;=$S$18),U5359,0)</f>
        <v>0</v>
      </c>
      <c r="T5359" s="86">
        <f t="shared" ref="T5359:T5383" si="1631">IF($M5359&lt;=$T$18,U5359,0)</f>
        <v>12360.099999999999</v>
      </c>
      <c r="U5359" s="87">
        <v>12360.099999999999</v>
      </c>
    </row>
    <row r="5360" spans="1:22" s="30" customFormat="1" ht="24.6" hidden="1" outlineLevel="1" x14ac:dyDescent="0.55000000000000004">
      <c r="A5360" s="27" t="s">
        <v>327</v>
      </c>
      <c r="B5360" s="28"/>
      <c r="C5360" s="27"/>
      <c r="D5360" s="27" t="str">
        <f>"""NAV Direct"",""CRONUS JetCorp USA"",""21"",""1"",""402092"""</f>
        <v>"NAV Direct","CRONUS JetCorp USA","21","1","402092"</v>
      </c>
      <c r="E5360" s="31">
        <f t="shared" si="1623"/>
        <v>0</v>
      </c>
      <c r="F5360" s="31"/>
      <c r="G5360" s="31"/>
      <c r="H5360" s="31"/>
      <c r="I5360" s="56"/>
      <c r="J5360" s="56"/>
      <c r="K5360" s="82" t="str">
        <f t="shared" si="1624"/>
        <v>Invoice</v>
      </c>
      <c r="L5360" s="83" t="str">
        <f>"SI_112286"</f>
        <v>SI_112286</v>
      </c>
      <c r="M5360" s="84">
        <v>42467</v>
      </c>
      <c r="N5360" s="85">
        <f t="shared" si="1625"/>
        <v>1345</v>
      </c>
      <c r="O5360" s="86">
        <f t="shared" si="1626"/>
        <v>10739.88</v>
      </c>
      <c r="P5360" s="86">
        <f t="shared" si="1627"/>
        <v>0</v>
      </c>
      <c r="Q5360" s="86">
        <f t="shared" si="1628"/>
        <v>0</v>
      </c>
      <c r="R5360" s="86">
        <f t="shared" si="1629"/>
        <v>0</v>
      </c>
      <c r="S5360" s="86">
        <f t="shared" si="1630"/>
        <v>0</v>
      </c>
      <c r="T5360" s="86">
        <f t="shared" si="1631"/>
        <v>10739.88</v>
      </c>
      <c r="U5360" s="87">
        <v>10739.88</v>
      </c>
    </row>
    <row r="5361" spans="1:21" s="30" customFormat="1" ht="24.6" hidden="1" outlineLevel="1" x14ac:dyDescent="0.55000000000000004">
      <c r="A5361" s="27" t="s">
        <v>327</v>
      </c>
      <c r="B5361" s="28"/>
      <c r="C5361" s="27"/>
      <c r="D5361" s="27" t="str">
        <f>"""NAV Direct"",""CRONUS JetCorp USA"",""21"",""1"",""402255"""</f>
        <v>"NAV Direct","CRONUS JetCorp USA","21","1","402255"</v>
      </c>
      <c r="E5361" s="31" t="str">
        <f t="shared" si="1623"/>
        <v>C100143</v>
      </c>
      <c r="F5361" s="31"/>
      <c r="G5361" s="31"/>
      <c r="H5361" s="31"/>
      <c r="I5361" s="56"/>
      <c r="J5361" s="56"/>
      <c r="K5361" s="82" t="str">
        <f t="shared" si="1624"/>
        <v>Invoice</v>
      </c>
      <c r="L5361" s="83" t="str">
        <f>"SI_112289"</f>
        <v>SI_112289</v>
      </c>
      <c r="M5361" s="84">
        <v>42478</v>
      </c>
      <c r="N5361" s="85">
        <f t="shared" si="1625"/>
        <v>1334</v>
      </c>
      <c r="O5361" s="86">
        <f t="shared" si="1626"/>
        <v>8346.6</v>
      </c>
      <c r="P5361" s="86">
        <f t="shared" si="1627"/>
        <v>0</v>
      </c>
      <c r="Q5361" s="86">
        <f t="shared" si="1628"/>
        <v>0</v>
      </c>
      <c r="R5361" s="86">
        <f t="shared" si="1629"/>
        <v>0</v>
      </c>
      <c r="S5361" s="86">
        <f t="shared" si="1630"/>
        <v>0</v>
      </c>
      <c r="T5361" s="86">
        <f t="shared" si="1631"/>
        <v>8346.6</v>
      </c>
      <c r="U5361" s="87">
        <v>8346.6</v>
      </c>
    </row>
    <row r="5362" spans="1:21" s="30" customFormat="1" ht="24.6" hidden="1" outlineLevel="1" x14ac:dyDescent="0.55000000000000004">
      <c r="A5362" s="27" t="s">
        <v>327</v>
      </c>
      <c r="B5362" s="28"/>
      <c r="C5362" s="27"/>
      <c r="D5362" s="27" t="str">
        <f>"""NAV Direct"",""CRONUS JetCorp USA"",""21"",""1"",""403603"""</f>
        <v>"NAV Direct","CRONUS JetCorp USA","21","1","403603"</v>
      </c>
      <c r="E5362" s="31">
        <f t="shared" si="1623"/>
        <v>0</v>
      </c>
      <c r="F5362" s="31"/>
      <c r="G5362" s="31"/>
      <c r="H5362" s="31"/>
      <c r="I5362" s="56"/>
      <c r="J5362" s="56"/>
      <c r="K5362" s="82" t="str">
        <f t="shared" si="1624"/>
        <v>Invoice</v>
      </c>
      <c r="L5362" s="83" t="str">
        <f>"SI_112319"</f>
        <v>SI_112319</v>
      </c>
      <c r="M5362" s="84">
        <v>42684</v>
      </c>
      <c r="N5362" s="85">
        <f t="shared" si="1625"/>
        <v>1128</v>
      </c>
      <c r="O5362" s="86">
        <f t="shared" si="1626"/>
        <v>8926.9600000000009</v>
      </c>
      <c r="P5362" s="86">
        <f t="shared" si="1627"/>
        <v>0</v>
      </c>
      <c r="Q5362" s="86">
        <f t="shared" si="1628"/>
        <v>0</v>
      </c>
      <c r="R5362" s="86">
        <f t="shared" si="1629"/>
        <v>0</v>
      </c>
      <c r="S5362" s="86">
        <f t="shared" si="1630"/>
        <v>0</v>
      </c>
      <c r="T5362" s="86">
        <f t="shared" si="1631"/>
        <v>8926.9600000000009</v>
      </c>
      <c r="U5362" s="87">
        <v>8926.9600000000009</v>
      </c>
    </row>
    <row r="5363" spans="1:21" s="30" customFormat="1" ht="24.6" hidden="1" outlineLevel="1" x14ac:dyDescent="0.55000000000000004">
      <c r="A5363" s="27" t="s">
        <v>327</v>
      </c>
      <c r="B5363" s="28"/>
      <c r="C5363" s="27"/>
      <c r="D5363" s="27" t="str">
        <f>"""NAV Direct"",""CRONUS JetCorp USA"",""21"",""1"",""403826"""</f>
        <v>"NAV Direct","CRONUS JetCorp USA","21","1","403826"</v>
      </c>
      <c r="E5363" s="31" t="str">
        <f t="shared" si="1623"/>
        <v>C100143</v>
      </c>
      <c r="F5363" s="31"/>
      <c r="G5363" s="31"/>
      <c r="H5363" s="31"/>
      <c r="I5363" s="56"/>
      <c r="J5363" s="56"/>
      <c r="K5363" s="82" t="str">
        <f t="shared" si="1624"/>
        <v>Invoice</v>
      </c>
      <c r="L5363" s="83" t="str">
        <f>"SI_112324"</f>
        <v>SI_112324</v>
      </c>
      <c r="M5363" s="84">
        <v>42720</v>
      </c>
      <c r="N5363" s="85">
        <f t="shared" si="1625"/>
        <v>1092</v>
      </c>
      <c r="O5363" s="86">
        <f t="shared" si="1626"/>
        <v>8855.65</v>
      </c>
      <c r="P5363" s="86">
        <f t="shared" si="1627"/>
        <v>0</v>
      </c>
      <c r="Q5363" s="86">
        <f t="shared" si="1628"/>
        <v>0</v>
      </c>
      <c r="R5363" s="86">
        <f t="shared" si="1629"/>
        <v>0</v>
      </c>
      <c r="S5363" s="86">
        <f t="shared" si="1630"/>
        <v>0</v>
      </c>
      <c r="T5363" s="86">
        <f t="shared" si="1631"/>
        <v>8855.65</v>
      </c>
      <c r="U5363" s="87">
        <v>8855.65</v>
      </c>
    </row>
    <row r="5364" spans="1:21" s="30" customFormat="1" ht="24.6" hidden="1" outlineLevel="1" x14ac:dyDescent="0.55000000000000004">
      <c r="A5364" s="27" t="s">
        <v>327</v>
      </c>
      <c r="B5364" s="28"/>
      <c r="C5364" s="27"/>
      <c r="D5364" s="27" t="str">
        <f>"""NAV Direct"",""CRONUS JetCorp USA"",""21"",""1"",""403961"""</f>
        <v>"NAV Direct","CRONUS JetCorp USA","21","1","403961"</v>
      </c>
      <c r="E5364" s="31">
        <f t="shared" si="1623"/>
        <v>0</v>
      </c>
      <c r="F5364" s="31"/>
      <c r="G5364" s="31"/>
      <c r="H5364" s="31"/>
      <c r="I5364" s="56"/>
      <c r="J5364" s="56"/>
      <c r="K5364" s="82" t="str">
        <f t="shared" si="1624"/>
        <v>Invoice</v>
      </c>
      <c r="L5364" s="83" t="str">
        <f>"SI_112327"</f>
        <v>SI_112327</v>
      </c>
      <c r="M5364" s="84">
        <v>42739</v>
      </c>
      <c r="N5364" s="85">
        <f t="shared" si="1625"/>
        <v>1073</v>
      </c>
      <c r="O5364" s="86">
        <f t="shared" si="1626"/>
        <v>8855.619999999999</v>
      </c>
      <c r="P5364" s="86">
        <f t="shared" si="1627"/>
        <v>0</v>
      </c>
      <c r="Q5364" s="86">
        <f t="shared" si="1628"/>
        <v>0</v>
      </c>
      <c r="R5364" s="86">
        <f t="shared" si="1629"/>
        <v>0</v>
      </c>
      <c r="S5364" s="86">
        <f t="shared" si="1630"/>
        <v>0</v>
      </c>
      <c r="T5364" s="86">
        <f t="shared" si="1631"/>
        <v>8855.619999999999</v>
      </c>
      <c r="U5364" s="87">
        <v>8855.619999999999</v>
      </c>
    </row>
    <row r="5365" spans="1:21" s="30" customFormat="1" ht="24.6" hidden="1" outlineLevel="1" x14ac:dyDescent="0.55000000000000004">
      <c r="A5365" s="27" t="s">
        <v>327</v>
      </c>
      <c r="B5365" s="28"/>
      <c r="C5365" s="27"/>
      <c r="D5365" s="27" t="str">
        <f>"""NAV Direct"",""CRONUS JetCorp USA"",""21"",""1"",""404061"""</f>
        <v>"NAV Direct","CRONUS JetCorp USA","21","1","404061"</v>
      </c>
      <c r="E5365" s="31" t="str">
        <f t="shared" si="1623"/>
        <v>C100143</v>
      </c>
      <c r="F5365" s="31"/>
      <c r="G5365" s="31"/>
      <c r="H5365" s="31"/>
      <c r="I5365" s="56"/>
      <c r="J5365" s="56"/>
      <c r="K5365" s="82" t="str">
        <f t="shared" si="1624"/>
        <v>Invoice</v>
      </c>
      <c r="L5365" s="83" t="str">
        <f>"SI_112329"</f>
        <v>SI_112329</v>
      </c>
      <c r="M5365" s="84">
        <v>42759</v>
      </c>
      <c r="N5365" s="85">
        <f t="shared" si="1625"/>
        <v>1053</v>
      </c>
      <c r="O5365" s="86">
        <f t="shared" si="1626"/>
        <v>8961.9499999999989</v>
      </c>
      <c r="P5365" s="86">
        <f t="shared" si="1627"/>
        <v>0</v>
      </c>
      <c r="Q5365" s="86">
        <f t="shared" si="1628"/>
        <v>0</v>
      </c>
      <c r="R5365" s="86">
        <f t="shared" si="1629"/>
        <v>0</v>
      </c>
      <c r="S5365" s="86">
        <f t="shared" si="1630"/>
        <v>0</v>
      </c>
      <c r="T5365" s="86">
        <f t="shared" si="1631"/>
        <v>8961.9499999999989</v>
      </c>
      <c r="U5365" s="87">
        <v>8961.9499999999989</v>
      </c>
    </row>
    <row r="5366" spans="1:21" s="30" customFormat="1" ht="24.6" hidden="1" outlineLevel="1" x14ac:dyDescent="0.55000000000000004">
      <c r="A5366" s="27" t="s">
        <v>327</v>
      </c>
      <c r="B5366" s="28"/>
      <c r="C5366" s="27"/>
      <c r="D5366" s="27" t="str">
        <f>"""NAV Direct"",""CRONUS JetCorp USA"",""21"",""1"",""404334"""</f>
        <v>"NAV Direct","CRONUS JetCorp USA","21","1","404334"</v>
      </c>
      <c r="E5366" s="31">
        <f t="shared" si="1623"/>
        <v>0</v>
      </c>
      <c r="F5366" s="31"/>
      <c r="G5366" s="31"/>
      <c r="H5366" s="31"/>
      <c r="I5366" s="56"/>
      <c r="J5366" s="56"/>
      <c r="K5366" s="82" t="str">
        <f t="shared" si="1624"/>
        <v>Invoice</v>
      </c>
      <c r="L5366" s="83" t="str">
        <f>"SI_112335"</f>
        <v>SI_112335</v>
      </c>
      <c r="M5366" s="84">
        <v>42817</v>
      </c>
      <c r="N5366" s="85">
        <f t="shared" si="1625"/>
        <v>995</v>
      </c>
      <c r="O5366" s="86">
        <f t="shared" si="1626"/>
        <v>12815.59</v>
      </c>
      <c r="P5366" s="86">
        <f t="shared" si="1627"/>
        <v>0</v>
      </c>
      <c r="Q5366" s="86">
        <f t="shared" si="1628"/>
        <v>0</v>
      </c>
      <c r="R5366" s="86">
        <f t="shared" si="1629"/>
        <v>0</v>
      </c>
      <c r="S5366" s="86">
        <f t="shared" si="1630"/>
        <v>0</v>
      </c>
      <c r="T5366" s="86">
        <f t="shared" si="1631"/>
        <v>12815.59</v>
      </c>
      <c r="U5366" s="87">
        <v>12815.59</v>
      </c>
    </row>
    <row r="5367" spans="1:21" s="30" customFormat="1" ht="24.6" hidden="1" outlineLevel="1" x14ac:dyDescent="0.55000000000000004">
      <c r="A5367" s="27" t="s">
        <v>327</v>
      </c>
      <c r="B5367" s="28"/>
      <c r="C5367" s="27"/>
      <c r="D5367" s="27" t="str">
        <f>"""NAV Direct"",""CRONUS JetCorp USA"",""21"",""1"",""404784"""</f>
        <v>"NAV Direct","CRONUS JetCorp USA","21","1","404784"</v>
      </c>
      <c r="E5367" s="31" t="str">
        <f t="shared" si="1623"/>
        <v>C100143</v>
      </c>
      <c r="F5367" s="31"/>
      <c r="G5367" s="31"/>
      <c r="H5367" s="31"/>
      <c r="I5367" s="56"/>
      <c r="J5367" s="56"/>
      <c r="K5367" s="82" t="str">
        <f t="shared" si="1624"/>
        <v>Invoice</v>
      </c>
      <c r="L5367" s="83" t="str">
        <f>"SI_112344"</f>
        <v>SI_112344</v>
      </c>
      <c r="M5367" s="84">
        <v>42870</v>
      </c>
      <c r="N5367" s="85">
        <f t="shared" si="1625"/>
        <v>942</v>
      </c>
      <c r="O5367" s="86">
        <f t="shared" si="1626"/>
        <v>9937.01</v>
      </c>
      <c r="P5367" s="86">
        <f t="shared" si="1627"/>
        <v>0</v>
      </c>
      <c r="Q5367" s="86">
        <f t="shared" si="1628"/>
        <v>0</v>
      </c>
      <c r="R5367" s="86">
        <f t="shared" si="1629"/>
        <v>0</v>
      </c>
      <c r="S5367" s="86">
        <f t="shared" si="1630"/>
        <v>0</v>
      </c>
      <c r="T5367" s="86">
        <f t="shared" si="1631"/>
        <v>9937.01</v>
      </c>
      <c r="U5367" s="87">
        <v>9937.01</v>
      </c>
    </row>
    <row r="5368" spans="1:21" s="30" customFormat="1" ht="24.6" hidden="1" outlineLevel="1" x14ac:dyDescent="0.55000000000000004">
      <c r="A5368" s="27" t="s">
        <v>327</v>
      </c>
      <c r="B5368" s="28"/>
      <c r="C5368" s="27"/>
      <c r="D5368" s="27" t="str">
        <f>"""NAV Direct"",""CRONUS JetCorp USA"",""21"",""1"",""404927"""</f>
        <v>"NAV Direct","CRONUS JetCorp USA","21","1","404927"</v>
      </c>
      <c r="E5368" s="31">
        <f t="shared" si="1623"/>
        <v>0</v>
      </c>
      <c r="F5368" s="31"/>
      <c r="G5368" s="31"/>
      <c r="H5368" s="31"/>
      <c r="I5368" s="56"/>
      <c r="J5368" s="56"/>
      <c r="K5368" s="82" t="str">
        <f t="shared" si="1624"/>
        <v>Invoice</v>
      </c>
      <c r="L5368" s="83" t="str">
        <f>"SI_112347"</f>
        <v>SI_112347</v>
      </c>
      <c r="M5368" s="84">
        <v>42889</v>
      </c>
      <c r="N5368" s="85">
        <f t="shared" si="1625"/>
        <v>923</v>
      </c>
      <c r="O5368" s="86">
        <f t="shared" si="1626"/>
        <v>9936.93</v>
      </c>
      <c r="P5368" s="86">
        <f t="shared" si="1627"/>
        <v>0</v>
      </c>
      <c r="Q5368" s="86">
        <f t="shared" si="1628"/>
        <v>0</v>
      </c>
      <c r="R5368" s="86">
        <f t="shared" si="1629"/>
        <v>0</v>
      </c>
      <c r="S5368" s="86">
        <f t="shared" si="1630"/>
        <v>0</v>
      </c>
      <c r="T5368" s="86">
        <f t="shared" si="1631"/>
        <v>9936.93</v>
      </c>
      <c r="U5368" s="87">
        <v>9936.93</v>
      </c>
    </row>
    <row r="5369" spans="1:21" s="30" customFormat="1" ht="24.6" hidden="1" outlineLevel="1" x14ac:dyDescent="0.55000000000000004">
      <c r="A5369" s="27" t="s">
        <v>327</v>
      </c>
      <c r="B5369" s="28"/>
      <c r="C5369" s="27"/>
      <c r="D5369" s="27" t="str">
        <f>"""NAV Direct"",""CRONUS JetCorp USA"",""21"",""1"",""406139"""</f>
        <v>"NAV Direct","CRONUS JetCorp USA","21","1","406139"</v>
      </c>
      <c r="E5369" s="31" t="str">
        <f t="shared" si="1623"/>
        <v>C100143</v>
      </c>
      <c r="F5369" s="31"/>
      <c r="G5369" s="31"/>
      <c r="H5369" s="31"/>
      <c r="I5369" s="56"/>
      <c r="J5369" s="56"/>
      <c r="K5369" s="82" t="str">
        <f t="shared" si="1624"/>
        <v>Invoice</v>
      </c>
      <c r="L5369" s="83" t="str">
        <f>"SI_112374"</f>
        <v>SI_112374</v>
      </c>
      <c r="M5369" s="84">
        <v>43161</v>
      </c>
      <c r="N5369" s="85">
        <f t="shared" si="1625"/>
        <v>651</v>
      </c>
      <c r="O5369" s="86">
        <f t="shared" si="1626"/>
        <v>7585.14</v>
      </c>
      <c r="P5369" s="86">
        <f t="shared" si="1627"/>
        <v>0</v>
      </c>
      <c r="Q5369" s="86">
        <f t="shared" si="1628"/>
        <v>0</v>
      </c>
      <c r="R5369" s="86">
        <f t="shared" si="1629"/>
        <v>0</v>
      </c>
      <c r="S5369" s="86">
        <f t="shared" si="1630"/>
        <v>0</v>
      </c>
      <c r="T5369" s="86">
        <f t="shared" si="1631"/>
        <v>7585.14</v>
      </c>
      <c r="U5369" s="87">
        <v>7585.14</v>
      </c>
    </row>
    <row r="5370" spans="1:21" s="30" customFormat="1" ht="24.6" hidden="1" outlineLevel="1" x14ac:dyDescent="0.55000000000000004">
      <c r="A5370" s="27" t="s">
        <v>327</v>
      </c>
      <c r="B5370" s="28"/>
      <c r="C5370" s="27"/>
      <c r="D5370" s="27" t="str">
        <f>"""NAV Direct"",""CRONUS JetCorp USA"",""21"",""1"",""406443"""</f>
        <v>"NAV Direct","CRONUS JetCorp USA","21","1","406443"</v>
      </c>
      <c r="E5370" s="31">
        <f t="shared" si="1623"/>
        <v>0</v>
      </c>
      <c r="F5370" s="31"/>
      <c r="G5370" s="31"/>
      <c r="H5370" s="31"/>
      <c r="I5370" s="56"/>
      <c r="J5370" s="56"/>
      <c r="K5370" s="82" t="str">
        <f t="shared" si="1624"/>
        <v>Invoice</v>
      </c>
      <c r="L5370" s="83" t="str">
        <f>"SI_112381"</f>
        <v>SI_112381</v>
      </c>
      <c r="M5370" s="84">
        <v>43253</v>
      </c>
      <c r="N5370" s="85">
        <f t="shared" si="1625"/>
        <v>559</v>
      </c>
      <c r="O5370" s="86">
        <f t="shared" si="1626"/>
        <v>7875.82</v>
      </c>
      <c r="P5370" s="86">
        <f t="shared" si="1627"/>
        <v>0</v>
      </c>
      <c r="Q5370" s="86">
        <f t="shared" si="1628"/>
        <v>0</v>
      </c>
      <c r="R5370" s="86">
        <f t="shared" si="1629"/>
        <v>0</v>
      </c>
      <c r="S5370" s="86">
        <f t="shared" si="1630"/>
        <v>0</v>
      </c>
      <c r="T5370" s="86">
        <f t="shared" si="1631"/>
        <v>7875.82</v>
      </c>
      <c r="U5370" s="87">
        <v>7875.82</v>
      </c>
    </row>
    <row r="5371" spans="1:21" s="30" customFormat="1" ht="24.6" hidden="1" outlineLevel="1" x14ac:dyDescent="0.55000000000000004">
      <c r="A5371" s="27" t="s">
        <v>327</v>
      </c>
      <c r="B5371" s="28"/>
      <c r="C5371" s="27"/>
      <c r="D5371" s="27" t="str">
        <f>"""NAV Direct"",""CRONUS JetCorp USA"",""21"",""1"",""408700"""</f>
        <v>"NAV Direct","CRONUS JetCorp USA","21","1","408700"</v>
      </c>
      <c r="E5371" s="31" t="str">
        <f t="shared" si="1623"/>
        <v>C100143</v>
      </c>
      <c r="F5371" s="31"/>
      <c r="G5371" s="31"/>
      <c r="H5371" s="31"/>
      <c r="I5371" s="56"/>
      <c r="J5371" s="56"/>
      <c r="K5371" s="82" t="str">
        <f t="shared" si="1624"/>
        <v>Invoice</v>
      </c>
      <c r="L5371" s="83" t="str">
        <f>"SI_112426"</f>
        <v>SI_112426</v>
      </c>
      <c r="M5371" s="84">
        <v>43650</v>
      </c>
      <c r="N5371" s="85">
        <f t="shared" si="1625"/>
        <v>162</v>
      </c>
      <c r="O5371" s="86">
        <f t="shared" si="1626"/>
        <v>8040.7099999999991</v>
      </c>
      <c r="P5371" s="86">
        <f t="shared" si="1627"/>
        <v>0</v>
      </c>
      <c r="Q5371" s="86">
        <f t="shared" si="1628"/>
        <v>0</v>
      </c>
      <c r="R5371" s="86">
        <f t="shared" si="1629"/>
        <v>0</v>
      </c>
      <c r="S5371" s="86">
        <f t="shared" si="1630"/>
        <v>0</v>
      </c>
      <c r="T5371" s="86">
        <f t="shared" si="1631"/>
        <v>8040.7099999999991</v>
      </c>
      <c r="U5371" s="87">
        <v>8040.7099999999991</v>
      </c>
    </row>
    <row r="5372" spans="1:21" s="30" customFormat="1" ht="24.6" hidden="1" outlineLevel="1" x14ac:dyDescent="0.55000000000000004">
      <c r="A5372" s="27" t="s">
        <v>327</v>
      </c>
      <c r="B5372" s="28"/>
      <c r="C5372" s="27"/>
      <c r="D5372" s="27" t="str">
        <f>"""NAV Direct"",""CRONUS JetCorp USA"",""21"",""1"",""408906"""</f>
        <v>"NAV Direct","CRONUS JetCorp USA","21","1","408906"</v>
      </c>
      <c r="E5372" s="31">
        <f t="shared" si="1623"/>
        <v>0</v>
      </c>
      <c r="F5372" s="31"/>
      <c r="G5372" s="31"/>
      <c r="H5372" s="31"/>
      <c r="I5372" s="56"/>
      <c r="J5372" s="56"/>
      <c r="K5372" s="82" t="str">
        <f t="shared" si="1624"/>
        <v>Invoice</v>
      </c>
      <c r="L5372" s="83" t="str">
        <f>"SI_112430"</f>
        <v>SI_112430</v>
      </c>
      <c r="M5372" s="84">
        <v>43681</v>
      </c>
      <c r="N5372" s="85">
        <f t="shared" si="1625"/>
        <v>131</v>
      </c>
      <c r="O5372" s="86">
        <f t="shared" si="1626"/>
        <v>9210.1500000000015</v>
      </c>
      <c r="P5372" s="86">
        <f t="shared" si="1627"/>
        <v>0</v>
      </c>
      <c r="Q5372" s="86">
        <f t="shared" si="1628"/>
        <v>0</v>
      </c>
      <c r="R5372" s="86">
        <f t="shared" si="1629"/>
        <v>0</v>
      </c>
      <c r="S5372" s="86">
        <f t="shared" si="1630"/>
        <v>0</v>
      </c>
      <c r="T5372" s="86">
        <f t="shared" si="1631"/>
        <v>9210.1500000000015</v>
      </c>
      <c r="U5372" s="87">
        <v>9210.1500000000015</v>
      </c>
    </row>
    <row r="5373" spans="1:21" s="30" customFormat="1" ht="24.6" hidden="1" outlineLevel="1" x14ac:dyDescent="0.55000000000000004">
      <c r="A5373" s="27" t="s">
        <v>327</v>
      </c>
      <c r="B5373" s="28"/>
      <c r="C5373" s="27"/>
      <c r="D5373" s="27" t="str">
        <f>"""NAV Direct"",""CRONUS JetCorp USA"",""21"",""1"",""409496"""</f>
        <v>"NAV Direct","CRONUS JetCorp USA","21","1","409496"</v>
      </c>
      <c r="E5373" s="31" t="str">
        <f t="shared" si="1623"/>
        <v>C100143</v>
      </c>
      <c r="F5373" s="31"/>
      <c r="G5373" s="31"/>
      <c r="H5373" s="31"/>
      <c r="I5373" s="56"/>
      <c r="J5373" s="56"/>
      <c r="K5373" s="82" t="str">
        <f t="shared" si="1624"/>
        <v>Invoice</v>
      </c>
      <c r="L5373" s="83" t="str">
        <f>"SI_112442"</f>
        <v>SI_112442</v>
      </c>
      <c r="M5373" s="84">
        <v>43742</v>
      </c>
      <c r="N5373" s="85">
        <f t="shared" si="1625"/>
        <v>70</v>
      </c>
      <c r="O5373" s="86">
        <f t="shared" si="1626"/>
        <v>10842.33</v>
      </c>
      <c r="P5373" s="86">
        <f t="shared" si="1627"/>
        <v>0</v>
      </c>
      <c r="Q5373" s="86">
        <f t="shared" si="1628"/>
        <v>0</v>
      </c>
      <c r="R5373" s="86">
        <f t="shared" si="1629"/>
        <v>0</v>
      </c>
      <c r="S5373" s="86">
        <f t="shared" si="1630"/>
        <v>10842.33</v>
      </c>
      <c r="T5373" s="86">
        <f t="shared" si="1631"/>
        <v>0</v>
      </c>
      <c r="U5373" s="87">
        <v>10842.33</v>
      </c>
    </row>
    <row r="5374" spans="1:21" s="30" customFormat="1" ht="24.6" hidden="1" outlineLevel="1" x14ac:dyDescent="0.55000000000000004">
      <c r="A5374" s="27" t="s">
        <v>327</v>
      </c>
      <c r="B5374" s="28"/>
      <c r="C5374" s="27"/>
      <c r="D5374" s="27" t="str">
        <f>"""NAV Direct"",""CRONUS JetCorp USA"",""21"",""1"",""410217"""</f>
        <v>"NAV Direct","CRONUS JetCorp USA","21","1","410217"</v>
      </c>
      <c r="E5374" s="31">
        <f t="shared" si="1623"/>
        <v>0</v>
      </c>
      <c r="F5374" s="31"/>
      <c r="G5374" s="31"/>
      <c r="H5374" s="31"/>
      <c r="I5374" s="56"/>
      <c r="J5374" s="56"/>
      <c r="K5374" s="82" t="str">
        <f t="shared" si="1624"/>
        <v>Invoice</v>
      </c>
      <c r="L5374" s="83" t="str">
        <f>"SI_112455"</f>
        <v>SI_112455</v>
      </c>
      <c r="M5374" s="84">
        <v>42008</v>
      </c>
      <c r="N5374" s="85">
        <f t="shared" si="1625"/>
        <v>1804</v>
      </c>
      <c r="O5374" s="86">
        <f t="shared" si="1626"/>
        <v>12363.949999999999</v>
      </c>
      <c r="P5374" s="86">
        <f t="shared" si="1627"/>
        <v>0</v>
      </c>
      <c r="Q5374" s="86">
        <f t="shared" si="1628"/>
        <v>0</v>
      </c>
      <c r="R5374" s="86">
        <f t="shared" si="1629"/>
        <v>0</v>
      </c>
      <c r="S5374" s="86">
        <f t="shared" si="1630"/>
        <v>0</v>
      </c>
      <c r="T5374" s="86">
        <f t="shared" si="1631"/>
        <v>12363.949999999999</v>
      </c>
      <c r="U5374" s="87">
        <v>12363.949999999999</v>
      </c>
    </row>
    <row r="5375" spans="1:21" s="30" customFormat="1" ht="24.6" hidden="1" outlineLevel="1" x14ac:dyDescent="0.55000000000000004">
      <c r="A5375" s="27" t="s">
        <v>327</v>
      </c>
      <c r="B5375" s="28"/>
      <c r="C5375" s="27"/>
      <c r="D5375" s="27" t="str">
        <f>"""NAV Direct"",""CRONUS JetCorp USA"",""21"",""1"",""411537"""</f>
        <v>"NAV Direct","CRONUS JetCorp USA","21","1","411537"</v>
      </c>
      <c r="E5375" s="31" t="str">
        <f t="shared" si="1623"/>
        <v>C100143</v>
      </c>
      <c r="F5375" s="31"/>
      <c r="G5375" s="31"/>
      <c r="H5375" s="31"/>
      <c r="I5375" s="56"/>
      <c r="J5375" s="56"/>
      <c r="K5375" s="82" t="str">
        <f t="shared" si="1624"/>
        <v>Invoice</v>
      </c>
      <c r="L5375" s="83" t="str">
        <f>"SI_112477"</f>
        <v>SI_112477</v>
      </c>
      <c r="M5375" s="84">
        <v>42120</v>
      </c>
      <c r="N5375" s="85">
        <f t="shared" si="1625"/>
        <v>1692</v>
      </c>
      <c r="O5375" s="86">
        <f t="shared" si="1626"/>
        <v>14606.11</v>
      </c>
      <c r="P5375" s="86">
        <f t="shared" si="1627"/>
        <v>0</v>
      </c>
      <c r="Q5375" s="86">
        <f t="shared" si="1628"/>
        <v>0</v>
      </c>
      <c r="R5375" s="86">
        <f t="shared" si="1629"/>
        <v>0</v>
      </c>
      <c r="S5375" s="86">
        <f t="shared" si="1630"/>
        <v>0</v>
      </c>
      <c r="T5375" s="86">
        <f t="shared" si="1631"/>
        <v>14606.11</v>
      </c>
      <c r="U5375" s="87">
        <v>14606.11</v>
      </c>
    </row>
    <row r="5376" spans="1:21" s="30" customFormat="1" ht="24.6" hidden="1" outlineLevel="1" x14ac:dyDescent="0.55000000000000004">
      <c r="A5376" s="27" t="s">
        <v>327</v>
      </c>
      <c r="B5376" s="28"/>
      <c r="C5376" s="27"/>
      <c r="D5376" s="27" t="str">
        <f>"""NAV Direct"",""CRONUS JetCorp USA"",""21"",""1"",""411877"""</f>
        <v>"NAV Direct","CRONUS JetCorp USA","21","1","411877"</v>
      </c>
      <c r="E5376" s="31">
        <f t="shared" si="1623"/>
        <v>0</v>
      </c>
      <c r="F5376" s="31"/>
      <c r="G5376" s="31"/>
      <c r="H5376" s="31"/>
      <c r="I5376" s="56"/>
      <c r="J5376" s="56"/>
      <c r="K5376" s="82" t="str">
        <f t="shared" si="1624"/>
        <v>Invoice</v>
      </c>
      <c r="L5376" s="83" t="str">
        <f>"SI_112483"</f>
        <v>SI_112483</v>
      </c>
      <c r="M5376" s="84">
        <v>42150</v>
      </c>
      <c r="N5376" s="85">
        <f t="shared" si="1625"/>
        <v>1662</v>
      </c>
      <c r="O5376" s="86">
        <f t="shared" si="1626"/>
        <v>8670.49</v>
      </c>
      <c r="P5376" s="86">
        <f t="shared" si="1627"/>
        <v>0</v>
      </c>
      <c r="Q5376" s="86">
        <f t="shared" si="1628"/>
        <v>0</v>
      </c>
      <c r="R5376" s="86">
        <f t="shared" si="1629"/>
        <v>0</v>
      </c>
      <c r="S5376" s="86">
        <f t="shared" si="1630"/>
        <v>0</v>
      </c>
      <c r="T5376" s="86">
        <f t="shared" si="1631"/>
        <v>8670.49</v>
      </c>
      <c r="U5376" s="87">
        <v>8670.49</v>
      </c>
    </row>
    <row r="5377" spans="1:22" s="30" customFormat="1" ht="24.6" hidden="1" outlineLevel="1" x14ac:dyDescent="0.55000000000000004">
      <c r="A5377" s="27" t="s">
        <v>327</v>
      </c>
      <c r="B5377" s="28"/>
      <c r="C5377" s="27"/>
      <c r="D5377" s="27" t="str">
        <f>"""NAV Direct"",""CRONUS JetCorp USA"",""21"",""1"",""413973"""</f>
        <v>"NAV Direct","CRONUS JetCorp USA","21","1","413973"</v>
      </c>
      <c r="E5377" s="31" t="str">
        <f t="shared" si="1623"/>
        <v>C100143</v>
      </c>
      <c r="F5377" s="31"/>
      <c r="G5377" s="31"/>
      <c r="H5377" s="31"/>
      <c r="I5377" s="56"/>
      <c r="J5377" s="56"/>
      <c r="K5377" s="82" t="str">
        <f t="shared" si="1624"/>
        <v>Invoice</v>
      </c>
      <c r="L5377" s="83" t="str">
        <f>"SI_112522"</f>
        <v>SI_112522</v>
      </c>
      <c r="M5377" s="84">
        <v>42333</v>
      </c>
      <c r="N5377" s="85">
        <f t="shared" si="1625"/>
        <v>1479</v>
      </c>
      <c r="O5377" s="86">
        <f t="shared" si="1626"/>
        <v>14629.36</v>
      </c>
      <c r="P5377" s="86">
        <f t="shared" si="1627"/>
        <v>0</v>
      </c>
      <c r="Q5377" s="86">
        <f t="shared" si="1628"/>
        <v>0</v>
      </c>
      <c r="R5377" s="86">
        <f t="shared" si="1629"/>
        <v>0</v>
      </c>
      <c r="S5377" s="86">
        <f t="shared" si="1630"/>
        <v>0</v>
      </c>
      <c r="T5377" s="86">
        <f t="shared" si="1631"/>
        <v>14629.36</v>
      </c>
      <c r="U5377" s="87">
        <v>14629.36</v>
      </c>
    </row>
    <row r="5378" spans="1:22" s="30" customFormat="1" ht="24.6" hidden="1" outlineLevel="1" x14ac:dyDescent="0.55000000000000004">
      <c r="A5378" s="27" t="s">
        <v>327</v>
      </c>
      <c r="B5378" s="28"/>
      <c r="C5378" s="27"/>
      <c r="D5378" s="27" t="str">
        <f>"""NAV Direct"",""CRONUS JetCorp USA"",""21"",""1"",""440311"""</f>
        <v>"NAV Direct","CRONUS JetCorp USA","21","1","440311"</v>
      </c>
      <c r="E5378" s="31">
        <f t="shared" si="1623"/>
        <v>0</v>
      </c>
      <c r="F5378" s="31"/>
      <c r="G5378" s="31"/>
      <c r="H5378" s="31"/>
      <c r="I5378" s="56"/>
      <c r="J5378" s="56"/>
      <c r="K5378" s="82" t="str">
        <f t="shared" ref="K5378:K5383" si="1632">"Credit Memo"</f>
        <v>Credit Memo</v>
      </c>
      <c r="L5378" s="83" t="str">
        <f>"SC_100913"</f>
        <v>SC_100913</v>
      </c>
      <c r="M5378" s="84">
        <v>42476</v>
      </c>
      <c r="N5378" s="85">
        <f t="shared" si="1625"/>
        <v>1336</v>
      </c>
      <c r="O5378" s="86">
        <f t="shared" si="1626"/>
        <v>-82.4</v>
      </c>
      <c r="P5378" s="86">
        <f t="shared" si="1627"/>
        <v>0</v>
      </c>
      <c r="Q5378" s="86">
        <f t="shared" si="1628"/>
        <v>0</v>
      </c>
      <c r="R5378" s="86">
        <f t="shared" si="1629"/>
        <v>0</v>
      </c>
      <c r="S5378" s="86">
        <f t="shared" si="1630"/>
        <v>0</v>
      </c>
      <c r="T5378" s="86">
        <f t="shared" si="1631"/>
        <v>-82.4</v>
      </c>
      <c r="U5378" s="87">
        <v>-82.4</v>
      </c>
    </row>
    <row r="5379" spans="1:22" s="30" customFormat="1" ht="24.6" hidden="1" outlineLevel="1" x14ac:dyDescent="0.55000000000000004">
      <c r="A5379" s="27" t="s">
        <v>327</v>
      </c>
      <c r="B5379" s="28"/>
      <c r="C5379" s="27"/>
      <c r="D5379" s="27" t="str">
        <f>"""NAV Direct"",""CRONUS JetCorp USA"",""21"",""1"",""440508"""</f>
        <v>"NAV Direct","CRONUS JetCorp USA","21","1","440508"</v>
      </c>
      <c r="E5379" s="31" t="str">
        <f t="shared" si="1623"/>
        <v>C100143</v>
      </c>
      <c r="F5379" s="31"/>
      <c r="G5379" s="31"/>
      <c r="H5379" s="31"/>
      <c r="I5379" s="56"/>
      <c r="J5379" s="56"/>
      <c r="K5379" s="82" t="str">
        <f t="shared" si="1632"/>
        <v>Credit Memo</v>
      </c>
      <c r="L5379" s="83" t="str">
        <f>"SC_100922"</f>
        <v>SC_100922</v>
      </c>
      <c r="M5379" s="84">
        <v>42864</v>
      </c>
      <c r="N5379" s="85">
        <f t="shared" si="1625"/>
        <v>948</v>
      </c>
      <c r="O5379" s="86">
        <f t="shared" si="1626"/>
        <v>-99.350000000000009</v>
      </c>
      <c r="P5379" s="86">
        <f t="shared" si="1627"/>
        <v>0</v>
      </c>
      <c r="Q5379" s="86">
        <f t="shared" si="1628"/>
        <v>0</v>
      </c>
      <c r="R5379" s="86">
        <f t="shared" si="1629"/>
        <v>0</v>
      </c>
      <c r="S5379" s="86">
        <f t="shared" si="1630"/>
        <v>0</v>
      </c>
      <c r="T5379" s="86">
        <f t="shared" si="1631"/>
        <v>-99.350000000000009</v>
      </c>
      <c r="U5379" s="87">
        <v>-99.350000000000009</v>
      </c>
    </row>
    <row r="5380" spans="1:22" s="30" customFormat="1" ht="24.6" hidden="1" outlineLevel="1" x14ac:dyDescent="0.55000000000000004">
      <c r="A5380" s="27" t="s">
        <v>327</v>
      </c>
      <c r="B5380" s="28"/>
      <c r="C5380" s="27"/>
      <c r="D5380" s="27" t="str">
        <f>"""NAV Direct"",""CRONUS JetCorp USA"",""21"",""1"",""440565"""</f>
        <v>"NAV Direct","CRONUS JetCorp USA","21","1","440565"</v>
      </c>
      <c r="E5380" s="31">
        <f t="shared" si="1623"/>
        <v>0</v>
      </c>
      <c r="F5380" s="31"/>
      <c r="G5380" s="31"/>
      <c r="H5380" s="31"/>
      <c r="I5380" s="56"/>
      <c r="J5380" s="56"/>
      <c r="K5380" s="82" t="str">
        <f t="shared" si="1632"/>
        <v>Credit Memo</v>
      </c>
      <c r="L5380" s="83" t="str">
        <f>"SC_100926"</f>
        <v>SC_100926</v>
      </c>
      <c r="M5380" s="84">
        <v>42971</v>
      </c>
      <c r="N5380" s="85">
        <f t="shared" si="1625"/>
        <v>841</v>
      </c>
      <c r="O5380" s="86">
        <f t="shared" si="1626"/>
        <v>-80.81</v>
      </c>
      <c r="P5380" s="86">
        <f t="shared" si="1627"/>
        <v>0</v>
      </c>
      <c r="Q5380" s="86">
        <f t="shared" si="1628"/>
        <v>0</v>
      </c>
      <c r="R5380" s="86">
        <f t="shared" si="1629"/>
        <v>0</v>
      </c>
      <c r="S5380" s="86">
        <f t="shared" si="1630"/>
        <v>0</v>
      </c>
      <c r="T5380" s="86">
        <f t="shared" si="1631"/>
        <v>-80.81</v>
      </c>
      <c r="U5380" s="87">
        <v>-80.81</v>
      </c>
    </row>
    <row r="5381" spans="1:22" s="30" customFormat="1" ht="24.6" hidden="1" outlineLevel="1" x14ac:dyDescent="0.55000000000000004">
      <c r="A5381" s="27" t="s">
        <v>327</v>
      </c>
      <c r="B5381" s="28"/>
      <c r="C5381" s="27"/>
      <c r="D5381" s="27" t="str">
        <f>"""NAV Direct"",""CRONUS JetCorp USA"",""21"",""1"",""440785"""</f>
        <v>"NAV Direct","CRONUS JetCorp USA","21","1","440785"</v>
      </c>
      <c r="E5381" s="31" t="str">
        <f t="shared" si="1623"/>
        <v>C100143</v>
      </c>
      <c r="F5381" s="31"/>
      <c r="G5381" s="31"/>
      <c r="H5381" s="31"/>
      <c r="I5381" s="56"/>
      <c r="J5381" s="56"/>
      <c r="K5381" s="82" t="str">
        <f t="shared" si="1632"/>
        <v>Credit Memo</v>
      </c>
      <c r="L5381" s="83" t="str">
        <f>"SC_100939"</f>
        <v>SC_100939</v>
      </c>
      <c r="M5381" s="84">
        <v>43474</v>
      </c>
      <c r="N5381" s="85">
        <f t="shared" si="1625"/>
        <v>338</v>
      </c>
      <c r="O5381" s="86">
        <f t="shared" si="1626"/>
        <v>-99.86999999999999</v>
      </c>
      <c r="P5381" s="86">
        <f t="shared" si="1627"/>
        <v>0</v>
      </c>
      <c r="Q5381" s="86">
        <f t="shared" si="1628"/>
        <v>0</v>
      </c>
      <c r="R5381" s="86">
        <f t="shared" si="1629"/>
        <v>0</v>
      </c>
      <c r="S5381" s="86">
        <f t="shared" si="1630"/>
        <v>0</v>
      </c>
      <c r="T5381" s="86">
        <f t="shared" si="1631"/>
        <v>-99.86999999999999</v>
      </c>
      <c r="U5381" s="87">
        <v>-99.86999999999999</v>
      </c>
    </row>
    <row r="5382" spans="1:22" s="30" customFormat="1" ht="24.6" hidden="1" outlineLevel="1" x14ac:dyDescent="0.55000000000000004">
      <c r="A5382" s="27" t="s">
        <v>327</v>
      </c>
      <c r="B5382" s="28"/>
      <c r="C5382" s="27"/>
      <c r="D5382" s="27" t="str">
        <f>"""NAV Direct"",""CRONUS JetCorp USA"",""21"",""1"",""440904"""</f>
        <v>"NAV Direct","CRONUS JetCorp USA","21","1","440904"</v>
      </c>
      <c r="E5382" s="31">
        <f t="shared" si="1623"/>
        <v>0</v>
      </c>
      <c r="F5382" s="31"/>
      <c r="G5382" s="31"/>
      <c r="H5382" s="31"/>
      <c r="I5382" s="56"/>
      <c r="J5382" s="56"/>
      <c r="K5382" s="82" t="str">
        <f t="shared" si="1632"/>
        <v>Credit Memo</v>
      </c>
      <c r="L5382" s="83" t="str">
        <f>"SC_100945"</f>
        <v>SC_100945</v>
      </c>
      <c r="M5382" s="84">
        <v>43561</v>
      </c>
      <c r="N5382" s="85">
        <f t="shared" si="1625"/>
        <v>251</v>
      </c>
      <c r="O5382" s="86">
        <f t="shared" si="1626"/>
        <v>-125.3</v>
      </c>
      <c r="P5382" s="86">
        <f t="shared" si="1627"/>
        <v>0</v>
      </c>
      <c r="Q5382" s="86">
        <f t="shared" si="1628"/>
        <v>0</v>
      </c>
      <c r="R5382" s="86">
        <f t="shared" si="1629"/>
        <v>0</v>
      </c>
      <c r="S5382" s="86">
        <f t="shared" si="1630"/>
        <v>0</v>
      </c>
      <c r="T5382" s="86">
        <f t="shared" si="1631"/>
        <v>-125.3</v>
      </c>
      <c r="U5382" s="87">
        <v>-125.3</v>
      </c>
    </row>
    <row r="5383" spans="1:22" s="30" customFormat="1" ht="24.6" hidden="1" outlineLevel="1" x14ac:dyDescent="0.55000000000000004">
      <c r="A5383" s="27" t="s">
        <v>327</v>
      </c>
      <c r="B5383" s="28"/>
      <c r="C5383" s="27"/>
      <c r="D5383" s="27" t="str">
        <f>"""NAV Direct"",""CRONUS JetCorp USA"",""21"",""1"",""441360"""</f>
        <v>"NAV Direct","CRONUS JetCorp USA","21","1","441360"</v>
      </c>
      <c r="E5383" s="31" t="str">
        <f t="shared" si="1623"/>
        <v>C100143</v>
      </c>
      <c r="F5383" s="31"/>
      <c r="G5383" s="31"/>
      <c r="H5383" s="31"/>
      <c r="I5383" s="56"/>
      <c r="J5383" s="56"/>
      <c r="K5383" s="82" t="str">
        <f t="shared" si="1632"/>
        <v>Credit Memo</v>
      </c>
      <c r="L5383" s="83" t="str">
        <f>"SC_100966"</f>
        <v>SC_100966</v>
      </c>
      <c r="M5383" s="84">
        <v>42016</v>
      </c>
      <c r="N5383" s="85">
        <f t="shared" si="1625"/>
        <v>1796</v>
      </c>
      <c r="O5383" s="86">
        <f t="shared" si="1626"/>
        <v>-123.64000000000001</v>
      </c>
      <c r="P5383" s="86">
        <f t="shared" si="1627"/>
        <v>0</v>
      </c>
      <c r="Q5383" s="86">
        <f t="shared" si="1628"/>
        <v>0</v>
      </c>
      <c r="R5383" s="86">
        <f t="shared" si="1629"/>
        <v>0</v>
      </c>
      <c r="S5383" s="86">
        <f t="shared" si="1630"/>
        <v>0</v>
      </c>
      <c r="T5383" s="86">
        <f t="shared" si="1631"/>
        <v>-123.64000000000001</v>
      </c>
      <c r="U5383" s="87">
        <v>-123.64000000000001</v>
      </c>
    </row>
    <row r="5384" spans="1:22" s="22" customFormat="1" ht="20.399999999999999" collapsed="1" x14ac:dyDescent="0.45">
      <c r="A5384" s="12" t="s">
        <v>327</v>
      </c>
      <c r="B5384" s="19"/>
      <c r="C5384" s="12"/>
      <c r="D5384" s="12"/>
      <c r="E5384" s="23"/>
      <c r="F5384" s="23"/>
      <c r="G5384" s="23"/>
      <c r="H5384" s="23"/>
      <c r="I5384" s="49"/>
      <c r="J5384" s="88"/>
      <c r="K5384" s="88"/>
      <c r="L5384" s="89"/>
      <c r="M5384" s="89"/>
      <c r="N5384" s="89"/>
      <c r="O5384" s="89"/>
      <c r="P5384" s="89"/>
      <c r="Q5384" s="90"/>
      <c r="R5384" s="90"/>
      <c r="S5384" s="91"/>
      <c r="T5384" s="92"/>
      <c r="U5384" s="92"/>
    </row>
    <row r="5385" spans="1:22" s="22" customFormat="1" ht="20.399999999999999" x14ac:dyDescent="0.45">
      <c r="A5385" s="12" t="s">
        <v>327</v>
      </c>
      <c r="B5385" s="19"/>
      <c r="C5385" s="12"/>
      <c r="D5385" s="12"/>
      <c r="E5385" s="23"/>
      <c r="F5385" s="23"/>
      <c r="G5385" s="23"/>
      <c r="H5385" s="23"/>
      <c r="I5385" s="49"/>
      <c r="J5385" s="88"/>
      <c r="K5385" s="88"/>
      <c r="L5385" s="89"/>
      <c r="M5385" s="89"/>
      <c r="N5385" s="89"/>
      <c r="O5385" s="89"/>
      <c r="P5385" s="89"/>
      <c r="Q5385" s="90"/>
      <c r="R5385" s="90"/>
      <c r="S5385" s="91"/>
      <c r="T5385" s="92"/>
      <c r="U5385" s="92"/>
    </row>
    <row r="5386" spans="1:22" s="26" customFormat="1" ht="24.6" x14ac:dyDescent="0.55000000000000004">
      <c r="A5386" s="27" t="s">
        <v>327</v>
      </c>
      <c r="B5386" s="28"/>
      <c r="C5386" s="27" t="str">
        <f>"""NAV Direct"",""CRONUS JetCorp USA"",""18"",""1"",""C100144"""</f>
        <v>"NAV Direct","CRONUS JetCorp USA","18","1","C100144"</v>
      </c>
      <c r="D5386" s="27"/>
      <c r="E5386" s="28" t="str">
        <f>H5386</f>
        <v>C100144</v>
      </c>
      <c r="F5386" s="28"/>
      <c r="G5386" s="28"/>
      <c r="H5386" s="28" t="str">
        <f>"C100144"</f>
        <v>C100144</v>
      </c>
      <c r="I5386" s="116" t="str">
        <f>"C100144  -  Blesmore Systems"</f>
        <v>C100144  -  Blesmore Systems</v>
      </c>
      <c r="J5386" s="117" t="str">
        <f>""</f>
        <v/>
      </c>
      <c r="K5386" s="118"/>
      <c r="L5386" s="119">
        <f>SUBTOTAL(3,L5387:L5481)</f>
        <v>91</v>
      </c>
      <c r="M5386" s="118"/>
      <c r="N5386" s="118"/>
      <c r="O5386" s="120">
        <f t="shared" ref="O5386:T5386" si="1633">SUBTOTAL(9,O5387:O5481)</f>
        <v>749803.8600000001</v>
      </c>
      <c r="P5386" s="120">
        <f t="shared" si="1633"/>
        <v>0</v>
      </c>
      <c r="Q5386" s="120">
        <f t="shared" si="1633"/>
        <v>12888.080000000002</v>
      </c>
      <c r="R5386" s="120">
        <f t="shared" si="1633"/>
        <v>11429.32</v>
      </c>
      <c r="S5386" s="120">
        <f t="shared" si="1633"/>
        <v>33204.35</v>
      </c>
      <c r="T5386" s="120">
        <f t="shared" si="1633"/>
        <v>692282.1100000001</v>
      </c>
      <c r="U5386" s="81"/>
    </row>
    <row r="5387" spans="1:22" s="26" customFormat="1" ht="24.6" x14ac:dyDescent="0.55000000000000004">
      <c r="A5387" s="27" t="s">
        <v>327</v>
      </c>
      <c r="B5387" s="28"/>
      <c r="C5387" s="27" t="str">
        <f>C5386</f>
        <v>"NAV Direct","CRONUS JetCorp USA","18","1","C100144"</v>
      </c>
      <c r="D5387" s="27"/>
      <c r="E5387" s="28" t="str">
        <f>E5386</f>
        <v>C100144</v>
      </c>
      <c r="F5387" s="28"/>
      <c r="G5387" s="28"/>
      <c r="H5387" s="28"/>
      <c r="I5387" s="121" t="str">
        <f>"Contact: Dolly Hicks"</f>
        <v>Contact: Dolly Hicks</v>
      </c>
      <c r="J5387" s="121"/>
      <c r="K5387" s="122"/>
      <c r="L5387" s="123"/>
      <c r="M5387" s="123"/>
      <c r="N5387" s="124"/>
      <c r="O5387" s="124"/>
      <c r="P5387" s="123"/>
      <c r="Q5387" s="125"/>
      <c r="R5387" s="126"/>
      <c r="S5387" s="126"/>
      <c r="T5387" s="125"/>
      <c r="U5387" s="81"/>
    </row>
    <row r="5388" spans="1:22" s="26" customFormat="1" ht="24.6" x14ac:dyDescent="0.55000000000000004">
      <c r="A5388" s="27" t="s">
        <v>327</v>
      </c>
      <c r="B5388" s="28"/>
      <c r="C5388" s="27" t="str">
        <f>C5387</f>
        <v>"NAV Direct","CRONUS JetCorp USA","18","1","C100144"</v>
      </c>
      <c r="D5388" s="27"/>
      <c r="E5388" s="28" t="str">
        <f>E5387</f>
        <v>C100144</v>
      </c>
      <c r="F5388" s="28"/>
      <c r="G5388" s="28"/>
      <c r="H5388" s="28"/>
      <c r="I5388" s="121" t="str">
        <f>"Blesmore Systems@Cronus.com"</f>
        <v>Blesmore Systems@Cronus.com</v>
      </c>
      <c r="J5388" s="121"/>
      <c r="K5388" s="122"/>
      <c r="L5388" s="124"/>
      <c r="M5388" s="124"/>
      <c r="N5388" s="124"/>
      <c r="O5388" s="124"/>
      <c r="P5388" s="123"/>
      <c r="Q5388" s="125"/>
      <c r="R5388" s="126"/>
      <c r="S5388" s="126"/>
      <c r="T5388" s="125"/>
      <c r="U5388" s="81"/>
    </row>
    <row r="5389" spans="1:22" ht="12.75" hidden="1" customHeight="1" outlineLevel="1" x14ac:dyDescent="0.45">
      <c r="A5389" s="12" t="s">
        <v>328</v>
      </c>
      <c r="B5389" s="19"/>
      <c r="E5389" s="19"/>
      <c r="F5389" s="19"/>
      <c r="G5389" s="19"/>
      <c r="H5389" s="19"/>
      <c r="I5389" s="61"/>
      <c r="J5389" s="61"/>
      <c r="K5389" s="61"/>
      <c r="L5389" s="61"/>
      <c r="M5389" s="61"/>
      <c r="N5389" s="61"/>
      <c r="O5389" s="61"/>
      <c r="P5389" s="61"/>
      <c r="Q5389" s="61"/>
      <c r="R5389" s="61"/>
      <c r="S5389" s="61"/>
      <c r="T5389" s="61"/>
      <c r="U5389" s="61"/>
      <c r="V5389" s="21"/>
    </row>
    <row r="5390" spans="1:22" s="30" customFormat="1" ht="24.6" hidden="1" outlineLevel="1" x14ac:dyDescent="0.55000000000000004">
      <c r="A5390" s="27" t="s">
        <v>327</v>
      </c>
      <c r="B5390" s="28"/>
      <c r="C5390" s="27"/>
      <c r="D5390" s="27" t="str">
        <f>"""NAV Direct"",""CRONUS JetCorp USA"",""21"",""1"",""153520"""</f>
        <v>"NAV Direct","CRONUS JetCorp USA","21","1","153520"</v>
      </c>
      <c r="E5390" s="31" t="str">
        <f t="shared" ref="E5390:E5421" si="1634">E5388</f>
        <v>C100144</v>
      </c>
      <c r="F5390" s="31"/>
      <c r="G5390" s="31"/>
      <c r="H5390" s="31"/>
      <c r="I5390" s="56"/>
      <c r="J5390" s="56"/>
      <c r="K5390" s="82" t="str">
        <f t="shared" ref="K5390:K5421" si="1635">"Invoice"</f>
        <v>Invoice</v>
      </c>
      <c r="L5390" s="83" t="str">
        <f>"SI_107363"</f>
        <v>SI_107363</v>
      </c>
      <c r="M5390" s="84">
        <v>42333</v>
      </c>
      <c r="N5390" s="85">
        <f t="shared" ref="N5390:N5421" si="1636">StartDate-$M5390+1</f>
        <v>1479</v>
      </c>
      <c r="O5390" s="86">
        <f t="shared" ref="O5390:O5421" si="1637">SUM(P5390:T5390)</f>
        <v>13733.630000000001</v>
      </c>
      <c r="P5390" s="86">
        <f t="shared" ref="P5390:P5421" si="1638">IF($M5390&gt;=$P$18,U5390,0)</f>
        <v>0</v>
      </c>
      <c r="Q5390" s="86">
        <f t="shared" ref="Q5390:Q5421" si="1639">IF(AND($M5390&gt;=$Q$16,$M5390&lt;=$Q$18),U5390,0)</f>
        <v>0</v>
      </c>
      <c r="R5390" s="86">
        <f t="shared" ref="R5390:R5421" si="1640">IF(AND($M5390&gt;=$R$16,$M5390&lt;=$R$18),U5390,0)</f>
        <v>0</v>
      </c>
      <c r="S5390" s="86">
        <f t="shared" ref="S5390:S5421" si="1641">IF(AND($M5390&gt;=$S$16,$M5390&lt;=$S$18),U5390,0)</f>
        <v>0</v>
      </c>
      <c r="T5390" s="86">
        <f t="shared" ref="T5390:T5421" si="1642">IF($M5390&lt;=$T$18,U5390,0)</f>
        <v>13733.630000000001</v>
      </c>
      <c r="U5390" s="87">
        <v>13733.630000000001</v>
      </c>
    </row>
    <row r="5391" spans="1:22" s="30" customFormat="1" ht="24.6" hidden="1" outlineLevel="1" x14ac:dyDescent="0.55000000000000004">
      <c r="A5391" s="27" t="s">
        <v>327</v>
      </c>
      <c r="B5391" s="28"/>
      <c r="C5391" s="27"/>
      <c r="D5391" s="27" t="str">
        <f>"""NAV Direct"",""CRONUS JetCorp USA"",""21"",""1"",""154164"""</f>
        <v>"NAV Direct","CRONUS JetCorp USA","21","1","154164"</v>
      </c>
      <c r="E5391" s="31">
        <f t="shared" si="1634"/>
        <v>0</v>
      </c>
      <c r="F5391" s="31"/>
      <c r="G5391" s="31"/>
      <c r="H5391" s="31"/>
      <c r="I5391" s="56"/>
      <c r="J5391" s="56"/>
      <c r="K5391" s="82" t="str">
        <f t="shared" si="1635"/>
        <v>Invoice</v>
      </c>
      <c r="L5391" s="83" t="str">
        <f>"SI_107371"</f>
        <v>SI_107371</v>
      </c>
      <c r="M5391" s="84">
        <v>42361</v>
      </c>
      <c r="N5391" s="85">
        <f t="shared" si="1636"/>
        <v>1451</v>
      </c>
      <c r="O5391" s="86">
        <f t="shared" si="1637"/>
        <v>13032.08</v>
      </c>
      <c r="P5391" s="86">
        <f t="shared" si="1638"/>
        <v>0</v>
      </c>
      <c r="Q5391" s="86">
        <f t="shared" si="1639"/>
        <v>0</v>
      </c>
      <c r="R5391" s="86">
        <f t="shared" si="1640"/>
        <v>0</v>
      </c>
      <c r="S5391" s="86">
        <f t="shared" si="1641"/>
        <v>0</v>
      </c>
      <c r="T5391" s="86">
        <f t="shared" si="1642"/>
        <v>13032.08</v>
      </c>
      <c r="U5391" s="87">
        <v>13032.08</v>
      </c>
    </row>
    <row r="5392" spans="1:22" s="30" customFormat="1" ht="24.6" hidden="1" outlineLevel="1" x14ac:dyDescent="0.55000000000000004">
      <c r="A5392" s="27" t="s">
        <v>327</v>
      </c>
      <c r="B5392" s="28"/>
      <c r="C5392" s="27"/>
      <c r="D5392" s="27" t="str">
        <f>"""NAV Direct"",""CRONUS JetCorp USA"",""21"",""1"",""401617"""</f>
        <v>"NAV Direct","CRONUS JetCorp USA","21","1","401617"</v>
      </c>
      <c r="E5392" s="31" t="str">
        <f t="shared" si="1634"/>
        <v>C100144</v>
      </c>
      <c r="F5392" s="31"/>
      <c r="G5392" s="31"/>
      <c r="H5392" s="31"/>
      <c r="I5392" s="56"/>
      <c r="J5392" s="56"/>
      <c r="K5392" s="82" t="str">
        <f t="shared" si="1635"/>
        <v>Invoice</v>
      </c>
      <c r="L5392" s="83" t="str">
        <f>"SI_112277"</f>
        <v>SI_112277</v>
      </c>
      <c r="M5392" s="84">
        <v>42399</v>
      </c>
      <c r="N5392" s="85">
        <f t="shared" si="1636"/>
        <v>1413</v>
      </c>
      <c r="O5392" s="86">
        <f t="shared" si="1637"/>
        <v>8329.57</v>
      </c>
      <c r="P5392" s="86">
        <f t="shared" si="1638"/>
        <v>0</v>
      </c>
      <c r="Q5392" s="86">
        <f t="shared" si="1639"/>
        <v>0</v>
      </c>
      <c r="R5392" s="86">
        <f t="shared" si="1640"/>
        <v>0</v>
      </c>
      <c r="S5392" s="86">
        <f t="shared" si="1641"/>
        <v>0</v>
      </c>
      <c r="T5392" s="86">
        <f t="shared" si="1642"/>
        <v>8329.57</v>
      </c>
      <c r="U5392" s="87">
        <v>8329.57</v>
      </c>
    </row>
    <row r="5393" spans="1:21" s="30" customFormat="1" ht="24.6" hidden="1" outlineLevel="1" x14ac:dyDescent="0.55000000000000004">
      <c r="A5393" s="27" t="s">
        <v>327</v>
      </c>
      <c r="B5393" s="28"/>
      <c r="C5393" s="27"/>
      <c r="D5393" s="27" t="str">
        <f>"""NAV Direct"",""CRONUS JetCorp USA"",""21"",""1"",""401672"""</f>
        <v>"NAV Direct","CRONUS JetCorp USA","21","1","401672"</v>
      </c>
      <c r="E5393" s="31">
        <f t="shared" si="1634"/>
        <v>0</v>
      </c>
      <c r="F5393" s="31"/>
      <c r="G5393" s="31"/>
      <c r="H5393" s="31"/>
      <c r="I5393" s="56"/>
      <c r="J5393" s="56"/>
      <c r="K5393" s="82" t="str">
        <f t="shared" si="1635"/>
        <v>Invoice</v>
      </c>
      <c r="L5393" s="83" t="str">
        <f>"SI_112278"</f>
        <v>SI_112278</v>
      </c>
      <c r="M5393" s="84">
        <v>42403</v>
      </c>
      <c r="N5393" s="85">
        <f t="shared" si="1636"/>
        <v>1409</v>
      </c>
      <c r="O5393" s="86">
        <f t="shared" si="1637"/>
        <v>8159.95</v>
      </c>
      <c r="P5393" s="86">
        <f t="shared" si="1638"/>
        <v>0</v>
      </c>
      <c r="Q5393" s="86">
        <f t="shared" si="1639"/>
        <v>0</v>
      </c>
      <c r="R5393" s="86">
        <f t="shared" si="1640"/>
        <v>0</v>
      </c>
      <c r="S5393" s="86">
        <f t="shared" si="1641"/>
        <v>0</v>
      </c>
      <c r="T5393" s="86">
        <f t="shared" si="1642"/>
        <v>8159.95</v>
      </c>
      <c r="U5393" s="87">
        <v>8159.95</v>
      </c>
    </row>
    <row r="5394" spans="1:21" s="30" customFormat="1" ht="24.6" hidden="1" outlineLevel="1" x14ac:dyDescent="0.55000000000000004">
      <c r="A5394" s="27" t="s">
        <v>327</v>
      </c>
      <c r="B5394" s="28"/>
      <c r="C5394" s="27"/>
      <c r="D5394" s="27" t="str">
        <f>"""NAV Direct"",""CRONUS JetCorp USA"",""21"",""1"",""401727"""</f>
        <v>"NAV Direct","CRONUS JetCorp USA","21","1","401727"</v>
      </c>
      <c r="E5394" s="31" t="str">
        <f t="shared" si="1634"/>
        <v>C100144</v>
      </c>
      <c r="F5394" s="31"/>
      <c r="G5394" s="31"/>
      <c r="H5394" s="31"/>
      <c r="I5394" s="56"/>
      <c r="J5394" s="56"/>
      <c r="K5394" s="82" t="str">
        <f t="shared" si="1635"/>
        <v>Invoice</v>
      </c>
      <c r="L5394" s="83" t="str">
        <f>"SI_112279"</f>
        <v>SI_112279</v>
      </c>
      <c r="M5394" s="84">
        <v>42409</v>
      </c>
      <c r="N5394" s="85">
        <f t="shared" si="1636"/>
        <v>1403</v>
      </c>
      <c r="O5394" s="86">
        <f t="shared" si="1637"/>
        <v>8091.0700000000006</v>
      </c>
      <c r="P5394" s="86">
        <f t="shared" si="1638"/>
        <v>0</v>
      </c>
      <c r="Q5394" s="86">
        <f t="shared" si="1639"/>
        <v>0</v>
      </c>
      <c r="R5394" s="86">
        <f t="shared" si="1640"/>
        <v>0</v>
      </c>
      <c r="S5394" s="86">
        <f t="shared" si="1641"/>
        <v>0</v>
      </c>
      <c r="T5394" s="86">
        <f t="shared" si="1642"/>
        <v>8091.0700000000006</v>
      </c>
      <c r="U5394" s="87">
        <v>8091.0700000000006</v>
      </c>
    </row>
    <row r="5395" spans="1:21" s="30" customFormat="1" ht="24.6" hidden="1" outlineLevel="1" x14ac:dyDescent="0.55000000000000004">
      <c r="A5395" s="27" t="s">
        <v>327</v>
      </c>
      <c r="B5395" s="28"/>
      <c r="C5395" s="27"/>
      <c r="D5395" s="27" t="str">
        <f>"""NAV Direct"",""CRONUS JetCorp USA"",""21"",""1"",""401821"""</f>
        <v>"NAV Direct","CRONUS JetCorp USA","21","1","401821"</v>
      </c>
      <c r="E5395" s="31">
        <f t="shared" si="1634"/>
        <v>0</v>
      </c>
      <c r="F5395" s="31"/>
      <c r="G5395" s="31"/>
      <c r="H5395" s="31"/>
      <c r="I5395" s="56"/>
      <c r="J5395" s="56"/>
      <c r="K5395" s="82" t="str">
        <f t="shared" si="1635"/>
        <v>Invoice</v>
      </c>
      <c r="L5395" s="83" t="str">
        <f>"SI_112281"</f>
        <v>SI_112281</v>
      </c>
      <c r="M5395" s="84">
        <v>42428</v>
      </c>
      <c r="N5395" s="85">
        <f t="shared" si="1636"/>
        <v>1384</v>
      </c>
      <c r="O5395" s="86">
        <f t="shared" si="1637"/>
        <v>8346.6</v>
      </c>
      <c r="P5395" s="86">
        <f t="shared" si="1638"/>
        <v>0</v>
      </c>
      <c r="Q5395" s="86">
        <f t="shared" si="1639"/>
        <v>0</v>
      </c>
      <c r="R5395" s="86">
        <f t="shared" si="1640"/>
        <v>0</v>
      </c>
      <c r="S5395" s="86">
        <f t="shared" si="1641"/>
        <v>0</v>
      </c>
      <c r="T5395" s="86">
        <f t="shared" si="1642"/>
        <v>8346.6</v>
      </c>
      <c r="U5395" s="87">
        <v>8346.6</v>
      </c>
    </row>
    <row r="5396" spans="1:21" s="30" customFormat="1" ht="24.6" hidden="1" outlineLevel="1" x14ac:dyDescent="0.55000000000000004">
      <c r="A5396" s="27" t="s">
        <v>327</v>
      </c>
      <c r="B5396" s="28"/>
      <c r="C5396" s="27"/>
      <c r="D5396" s="27" t="str">
        <f>"""NAV Direct"",""CRONUS JetCorp USA"",""21"",""1"",""401992"""</f>
        <v>"NAV Direct","CRONUS JetCorp USA","21","1","401992"</v>
      </c>
      <c r="E5396" s="31" t="str">
        <f t="shared" si="1634"/>
        <v>C100144</v>
      </c>
      <c r="F5396" s="31"/>
      <c r="G5396" s="31"/>
      <c r="H5396" s="31"/>
      <c r="I5396" s="56"/>
      <c r="J5396" s="56"/>
      <c r="K5396" s="82" t="str">
        <f t="shared" si="1635"/>
        <v>Invoice</v>
      </c>
      <c r="L5396" s="83" t="str">
        <f>"SI_112284"</f>
        <v>SI_112284</v>
      </c>
      <c r="M5396" s="84">
        <v>42457</v>
      </c>
      <c r="N5396" s="85">
        <f t="shared" si="1636"/>
        <v>1355</v>
      </c>
      <c r="O5396" s="86">
        <f t="shared" si="1637"/>
        <v>10850.51</v>
      </c>
      <c r="P5396" s="86">
        <f t="shared" si="1638"/>
        <v>0</v>
      </c>
      <c r="Q5396" s="86">
        <f t="shared" si="1639"/>
        <v>0</v>
      </c>
      <c r="R5396" s="86">
        <f t="shared" si="1640"/>
        <v>0</v>
      </c>
      <c r="S5396" s="86">
        <f t="shared" si="1641"/>
        <v>0</v>
      </c>
      <c r="T5396" s="86">
        <f t="shared" si="1642"/>
        <v>10850.51</v>
      </c>
      <c r="U5396" s="87">
        <v>10850.51</v>
      </c>
    </row>
    <row r="5397" spans="1:21" s="30" customFormat="1" ht="24.6" hidden="1" outlineLevel="1" x14ac:dyDescent="0.55000000000000004">
      <c r="A5397" s="27" t="s">
        <v>327</v>
      </c>
      <c r="B5397" s="28"/>
      <c r="C5397" s="27"/>
      <c r="D5397" s="27" t="str">
        <f>"""NAV Direct"",""CRONUS JetCorp USA"",""21"",""1"",""402526"""</f>
        <v>"NAV Direct","CRONUS JetCorp USA","21","1","402526"</v>
      </c>
      <c r="E5397" s="31">
        <f t="shared" si="1634"/>
        <v>0</v>
      </c>
      <c r="F5397" s="31"/>
      <c r="G5397" s="31"/>
      <c r="H5397" s="31"/>
      <c r="I5397" s="56"/>
      <c r="J5397" s="56"/>
      <c r="K5397" s="82" t="str">
        <f t="shared" si="1635"/>
        <v>Invoice</v>
      </c>
      <c r="L5397" s="83" t="str">
        <f>"SI_112295"</f>
        <v>SI_112295</v>
      </c>
      <c r="M5397" s="84">
        <v>42519</v>
      </c>
      <c r="N5397" s="85">
        <f t="shared" si="1636"/>
        <v>1293</v>
      </c>
      <c r="O5397" s="86">
        <f t="shared" si="1637"/>
        <v>8496.75</v>
      </c>
      <c r="P5397" s="86">
        <f t="shared" si="1638"/>
        <v>0</v>
      </c>
      <c r="Q5397" s="86">
        <f t="shared" si="1639"/>
        <v>0</v>
      </c>
      <c r="R5397" s="86">
        <f t="shared" si="1640"/>
        <v>0</v>
      </c>
      <c r="S5397" s="86">
        <f t="shared" si="1641"/>
        <v>0</v>
      </c>
      <c r="T5397" s="86">
        <f t="shared" si="1642"/>
        <v>8496.75</v>
      </c>
      <c r="U5397" s="87">
        <v>8496.75</v>
      </c>
    </row>
    <row r="5398" spans="1:21" s="30" customFormat="1" ht="24.6" hidden="1" outlineLevel="1" x14ac:dyDescent="0.55000000000000004">
      <c r="A5398" s="27" t="s">
        <v>327</v>
      </c>
      <c r="B5398" s="28"/>
      <c r="C5398" s="27"/>
      <c r="D5398" s="27" t="str">
        <f>"""NAV Direct"",""CRONUS JetCorp USA"",""21"",""1"",""402610"""</f>
        <v>"NAV Direct","CRONUS JetCorp USA","21","1","402610"</v>
      </c>
      <c r="E5398" s="31" t="str">
        <f t="shared" si="1634"/>
        <v>C100144</v>
      </c>
      <c r="F5398" s="31"/>
      <c r="G5398" s="31"/>
      <c r="H5398" s="31"/>
      <c r="I5398" s="56"/>
      <c r="J5398" s="56"/>
      <c r="K5398" s="82" t="str">
        <f t="shared" si="1635"/>
        <v>Invoice</v>
      </c>
      <c r="L5398" s="83" t="str">
        <f>"SI_112297"</f>
        <v>SI_112297</v>
      </c>
      <c r="M5398" s="84">
        <v>42538</v>
      </c>
      <c r="N5398" s="85">
        <f t="shared" si="1636"/>
        <v>1274</v>
      </c>
      <c r="O5398" s="86">
        <f t="shared" si="1637"/>
        <v>8519.35</v>
      </c>
      <c r="P5398" s="86">
        <f t="shared" si="1638"/>
        <v>0</v>
      </c>
      <c r="Q5398" s="86">
        <f t="shared" si="1639"/>
        <v>0</v>
      </c>
      <c r="R5398" s="86">
        <f t="shared" si="1640"/>
        <v>0</v>
      </c>
      <c r="S5398" s="86">
        <f t="shared" si="1641"/>
        <v>0</v>
      </c>
      <c r="T5398" s="86">
        <f t="shared" si="1642"/>
        <v>8519.35</v>
      </c>
      <c r="U5398" s="87">
        <v>8519.35</v>
      </c>
    </row>
    <row r="5399" spans="1:21" s="30" customFormat="1" ht="24.6" hidden="1" outlineLevel="1" x14ac:dyDescent="0.55000000000000004">
      <c r="A5399" s="27" t="s">
        <v>327</v>
      </c>
      <c r="B5399" s="28"/>
      <c r="C5399" s="27"/>
      <c r="D5399" s="27" t="str">
        <f>"""NAV Direct"",""CRONUS JetCorp USA"",""21"",""1"",""402737"""</f>
        <v>"NAV Direct","CRONUS JetCorp USA","21","1","402737"</v>
      </c>
      <c r="E5399" s="31">
        <f t="shared" si="1634"/>
        <v>0</v>
      </c>
      <c r="F5399" s="31"/>
      <c r="G5399" s="31"/>
      <c r="H5399" s="31"/>
      <c r="I5399" s="56"/>
      <c r="J5399" s="56"/>
      <c r="K5399" s="82" t="str">
        <f t="shared" si="1635"/>
        <v>Invoice</v>
      </c>
      <c r="L5399" s="83" t="str">
        <f>"SI_112300"</f>
        <v>SI_112300</v>
      </c>
      <c r="M5399" s="84">
        <v>42572</v>
      </c>
      <c r="N5399" s="85">
        <f t="shared" si="1636"/>
        <v>1240</v>
      </c>
      <c r="O5399" s="86">
        <f t="shared" si="1637"/>
        <v>8406.34</v>
      </c>
      <c r="P5399" s="86">
        <f t="shared" si="1638"/>
        <v>0</v>
      </c>
      <c r="Q5399" s="86">
        <f t="shared" si="1639"/>
        <v>0</v>
      </c>
      <c r="R5399" s="86">
        <f t="shared" si="1640"/>
        <v>0</v>
      </c>
      <c r="S5399" s="86">
        <f t="shared" si="1641"/>
        <v>0</v>
      </c>
      <c r="T5399" s="86">
        <f t="shared" si="1642"/>
        <v>8406.34</v>
      </c>
      <c r="U5399" s="87">
        <v>8406.34</v>
      </c>
    </row>
    <row r="5400" spans="1:21" s="30" customFormat="1" ht="24.6" hidden="1" outlineLevel="1" x14ac:dyDescent="0.55000000000000004">
      <c r="A5400" s="27" t="s">
        <v>327</v>
      </c>
      <c r="B5400" s="28"/>
      <c r="C5400" s="27"/>
      <c r="D5400" s="27" t="str">
        <f>"""NAV Direct"",""CRONUS JetCorp USA"",""21"",""1"",""402780"""</f>
        <v>"NAV Direct","CRONUS JetCorp USA","21","1","402780"</v>
      </c>
      <c r="E5400" s="31" t="str">
        <f t="shared" si="1634"/>
        <v>C100144</v>
      </c>
      <c r="F5400" s="31"/>
      <c r="G5400" s="31"/>
      <c r="H5400" s="31"/>
      <c r="I5400" s="56"/>
      <c r="J5400" s="56"/>
      <c r="K5400" s="82" t="str">
        <f t="shared" si="1635"/>
        <v>Invoice</v>
      </c>
      <c r="L5400" s="83" t="str">
        <f>"SI_112301"</f>
        <v>SI_112301</v>
      </c>
      <c r="M5400" s="84">
        <v>42574</v>
      </c>
      <c r="N5400" s="85">
        <f t="shared" si="1636"/>
        <v>1238</v>
      </c>
      <c r="O5400" s="86">
        <f t="shared" si="1637"/>
        <v>8493.91</v>
      </c>
      <c r="P5400" s="86">
        <f t="shared" si="1638"/>
        <v>0</v>
      </c>
      <c r="Q5400" s="86">
        <f t="shared" si="1639"/>
        <v>0</v>
      </c>
      <c r="R5400" s="86">
        <f t="shared" si="1640"/>
        <v>0</v>
      </c>
      <c r="S5400" s="86">
        <f t="shared" si="1641"/>
        <v>0</v>
      </c>
      <c r="T5400" s="86">
        <f t="shared" si="1642"/>
        <v>8493.91</v>
      </c>
      <c r="U5400" s="87">
        <v>8493.91</v>
      </c>
    </row>
    <row r="5401" spans="1:21" s="30" customFormat="1" ht="24.6" hidden="1" outlineLevel="1" x14ac:dyDescent="0.55000000000000004">
      <c r="A5401" s="27" t="s">
        <v>327</v>
      </c>
      <c r="B5401" s="28"/>
      <c r="C5401" s="27"/>
      <c r="D5401" s="27" t="str">
        <f>"""NAV Direct"",""CRONUS JetCorp USA"",""21"",""1"",""402819"""</f>
        <v>"NAV Direct","CRONUS JetCorp USA","21","1","402819"</v>
      </c>
      <c r="E5401" s="31">
        <f t="shared" si="1634"/>
        <v>0</v>
      </c>
      <c r="F5401" s="31"/>
      <c r="G5401" s="31"/>
      <c r="H5401" s="31"/>
      <c r="I5401" s="56"/>
      <c r="J5401" s="56"/>
      <c r="K5401" s="82" t="str">
        <f t="shared" si="1635"/>
        <v>Invoice</v>
      </c>
      <c r="L5401" s="83" t="str">
        <f>"SI_112302"</f>
        <v>SI_112302</v>
      </c>
      <c r="M5401" s="84">
        <v>42588</v>
      </c>
      <c r="N5401" s="85">
        <f t="shared" si="1636"/>
        <v>1224</v>
      </c>
      <c r="O5401" s="86">
        <f t="shared" si="1637"/>
        <v>8581.3000000000011</v>
      </c>
      <c r="P5401" s="86">
        <f t="shared" si="1638"/>
        <v>0</v>
      </c>
      <c r="Q5401" s="86">
        <f t="shared" si="1639"/>
        <v>0</v>
      </c>
      <c r="R5401" s="86">
        <f t="shared" si="1640"/>
        <v>0</v>
      </c>
      <c r="S5401" s="86">
        <f t="shared" si="1641"/>
        <v>0</v>
      </c>
      <c r="T5401" s="86">
        <f t="shared" si="1642"/>
        <v>8581.3000000000011</v>
      </c>
      <c r="U5401" s="87">
        <v>8581.3000000000011</v>
      </c>
    </row>
    <row r="5402" spans="1:21" s="30" customFormat="1" ht="24.6" hidden="1" outlineLevel="1" x14ac:dyDescent="0.55000000000000004">
      <c r="A5402" s="27" t="s">
        <v>327</v>
      </c>
      <c r="B5402" s="28"/>
      <c r="C5402" s="27"/>
      <c r="D5402" s="27" t="str">
        <f>"""NAV Direct"",""CRONUS JetCorp USA"",""21"",""1"",""403252"""</f>
        <v>"NAV Direct","CRONUS JetCorp USA","21","1","403252"</v>
      </c>
      <c r="E5402" s="31" t="str">
        <f t="shared" si="1634"/>
        <v>C100144</v>
      </c>
      <c r="F5402" s="31"/>
      <c r="G5402" s="31"/>
      <c r="H5402" s="31"/>
      <c r="I5402" s="56"/>
      <c r="J5402" s="56"/>
      <c r="K5402" s="82" t="str">
        <f t="shared" si="1635"/>
        <v>Invoice</v>
      </c>
      <c r="L5402" s="83" t="str">
        <f>"SI_112312"</f>
        <v>SI_112312</v>
      </c>
      <c r="M5402" s="84">
        <v>42642</v>
      </c>
      <c r="N5402" s="85">
        <f t="shared" si="1636"/>
        <v>1170</v>
      </c>
      <c r="O5402" s="86">
        <f t="shared" si="1637"/>
        <v>8706.42</v>
      </c>
      <c r="P5402" s="86">
        <f t="shared" si="1638"/>
        <v>0</v>
      </c>
      <c r="Q5402" s="86">
        <f t="shared" si="1639"/>
        <v>0</v>
      </c>
      <c r="R5402" s="86">
        <f t="shared" si="1640"/>
        <v>0</v>
      </c>
      <c r="S5402" s="86">
        <f t="shared" si="1641"/>
        <v>0</v>
      </c>
      <c r="T5402" s="86">
        <f t="shared" si="1642"/>
        <v>8706.42</v>
      </c>
      <c r="U5402" s="87">
        <v>8706.42</v>
      </c>
    </row>
    <row r="5403" spans="1:21" s="30" customFormat="1" ht="24.6" hidden="1" outlineLevel="1" x14ac:dyDescent="0.55000000000000004">
      <c r="A5403" s="27" t="s">
        <v>327</v>
      </c>
      <c r="B5403" s="28"/>
      <c r="C5403" s="27"/>
      <c r="D5403" s="27" t="str">
        <f>"""NAV Direct"",""CRONUS JetCorp USA"",""21"",""1"",""403650"""</f>
        <v>"NAV Direct","CRONUS JetCorp USA","21","1","403650"</v>
      </c>
      <c r="E5403" s="31">
        <f t="shared" si="1634"/>
        <v>0</v>
      </c>
      <c r="F5403" s="31"/>
      <c r="G5403" s="31"/>
      <c r="H5403" s="31"/>
      <c r="I5403" s="56"/>
      <c r="J5403" s="56"/>
      <c r="K5403" s="82" t="str">
        <f t="shared" si="1635"/>
        <v>Invoice</v>
      </c>
      <c r="L5403" s="83" t="str">
        <f>"SI_112320"</f>
        <v>SI_112320</v>
      </c>
      <c r="M5403" s="84">
        <v>42690</v>
      </c>
      <c r="N5403" s="85">
        <f t="shared" si="1636"/>
        <v>1122</v>
      </c>
      <c r="O5403" s="86">
        <f t="shared" si="1637"/>
        <v>8926.9500000000007</v>
      </c>
      <c r="P5403" s="86">
        <f t="shared" si="1638"/>
        <v>0</v>
      </c>
      <c r="Q5403" s="86">
        <f t="shared" si="1639"/>
        <v>0</v>
      </c>
      <c r="R5403" s="86">
        <f t="shared" si="1640"/>
        <v>0</v>
      </c>
      <c r="S5403" s="86">
        <f t="shared" si="1641"/>
        <v>0</v>
      </c>
      <c r="T5403" s="86">
        <f t="shared" si="1642"/>
        <v>8926.9500000000007</v>
      </c>
      <c r="U5403" s="87">
        <v>8926.9500000000007</v>
      </c>
    </row>
    <row r="5404" spans="1:21" s="30" customFormat="1" ht="24.6" hidden="1" outlineLevel="1" x14ac:dyDescent="0.55000000000000004">
      <c r="A5404" s="27" t="s">
        <v>327</v>
      </c>
      <c r="B5404" s="28"/>
      <c r="C5404" s="27"/>
      <c r="D5404" s="27" t="str">
        <f>"""NAV Direct"",""CRONUS JetCorp USA"",""21"",""1"",""403871"""</f>
        <v>"NAV Direct","CRONUS JetCorp USA","21","1","403871"</v>
      </c>
      <c r="E5404" s="31" t="str">
        <f t="shared" si="1634"/>
        <v>C100144</v>
      </c>
      <c r="F5404" s="31"/>
      <c r="G5404" s="31"/>
      <c r="H5404" s="31"/>
      <c r="I5404" s="56"/>
      <c r="J5404" s="56"/>
      <c r="K5404" s="82" t="str">
        <f t="shared" si="1635"/>
        <v>Invoice</v>
      </c>
      <c r="L5404" s="83" t="str">
        <f>"SI_112325"</f>
        <v>SI_112325</v>
      </c>
      <c r="M5404" s="84">
        <v>42728</v>
      </c>
      <c r="N5404" s="85">
        <f t="shared" si="1636"/>
        <v>1084</v>
      </c>
      <c r="O5404" s="86">
        <f t="shared" si="1637"/>
        <v>8855.65</v>
      </c>
      <c r="P5404" s="86">
        <f t="shared" si="1638"/>
        <v>0</v>
      </c>
      <c r="Q5404" s="86">
        <f t="shared" si="1639"/>
        <v>0</v>
      </c>
      <c r="R5404" s="86">
        <f t="shared" si="1640"/>
        <v>0</v>
      </c>
      <c r="S5404" s="86">
        <f t="shared" si="1641"/>
        <v>0</v>
      </c>
      <c r="T5404" s="86">
        <f t="shared" si="1642"/>
        <v>8855.65</v>
      </c>
      <c r="U5404" s="87">
        <v>8855.65</v>
      </c>
    </row>
    <row r="5405" spans="1:21" s="30" customFormat="1" ht="24.6" hidden="1" outlineLevel="1" x14ac:dyDescent="0.55000000000000004">
      <c r="A5405" s="27" t="s">
        <v>327</v>
      </c>
      <c r="B5405" s="28"/>
      <c r="C5405" s="27"/>
      <c r="D5405" s="27" t="str">
        <f>"""NAV Direct"",""CRONUS JetCorp USA"",""21"",""1"",""404006"""</f>
        <v>"NAV Direct","CRONUS JetCorp USA","21","1","404006"</v>
      </c>
      <c r="E5405" s="31">
        <f t="shared" si="1634"/>
        <v>0</v>
      </c>
      <c r="F5405" s="31"/>
      <c r="G5405" s="31"/>
      <c r="H5405" s="31"/>
      <c r="I5405" s="56"/>
      <c r="J5405" s="56"/>
      <c r="K5405" s="82" t="str">
        <f t="shared" si="1635"/>
        <v>Invoice</v>
      </c>
      <c r="L5405" s="83" t="str">
        <f>"SI_112328"</f>
        <v>SI_112328</v>
      </c>
      <c r="M5405" s="84">
        <v>42738</v>
      </c>
      <c r="N5405" s="85">
        <f t="shared" si="1636"/>
        <v>1074</v>
      </c>
      <c r="O5405" s="86">
        <f t="shared" si="1637"/>
        <v>8765.2100000000009</v>
      </c>
      <c r="P5405" s="86">
        <f t="shared" si="1638"/>
        <v>0</v>
      </c>
      <c r="Q5405" s="86">
        <f t="shared" si="1639"/>
        <v>0</v>
      </c>
      <c r="R5405" s="86">
        <f t="shared" si="1640"/>
        <v>0</v>
      </c>
      <c r="S5405" s="86">
        <f t="shared" si="1641"/>
        <v>0</v>
      </c>
      <c r="T5405" s="86">
        <f t="shared" si="1642"/>
        <v>8765.2100000000009</v>
      </c>
      <c r="U5405" s="87">
        <v>8765.2100000000009</v>
      </c>
    </row>
    <row r="5406" spans="1:21" s="30" customFormat="1" ht="24.6" hidden="1" outlineLevel="1" x14ac:dyDescent="0.55000000000000004">
      <c r="A5406" s="27" t="s">
        <v>327</v>
      </c>
      <c r="B5406" s="28"/>
      <c r="C5406" s="27"/>
      <c r="D5406" s="27" t="str">
        <f>"""NAV Direct"",""CRONUS JetCorp USA"",""21"",""1"",""404146"""</f>
        <v>"NAV Direct","CRONUS JetCorp USA","21","1","404146"</v>
      </c>
      <c r="E5406" s="31" t="str">
        <f t="shared" si="1634"/>
        <v>C100144</v>
      </c>
      <c r="F5406" s="31"/>
      <c r="G5406" s="31"/>
      <c r="H5406" s="31"/>
      <c r="I5406" s="56"/>
      <c r="J5406" s="56"/>
      <c r="K5406" s="82" t="str">
        <f t="shared" si="1635"/>
        <v>Invoice</v>
      </c>
      <c r="L5406" s="83" t="str">
        <f>"SI_112331"</f>
        <v>SI_112331</v>
      </c>
      <c r="M5406" s="84">
        <v>42771</v>
      </c>
      <c r="N5406" s="85">
        <f t="shared" si="1636"/>
        <v>1041</v>
      </c>
      <c r="O5406" s="86">
        <f t="shared" si="1637"/>
        <v>8961.92</v>
      </c>
      <c r="P5406" s="86">
        <f t="shared" si="1638"/>
        <v>0</v>
      </c>
      <c r="Q5406" s="86">
        <f t="shared" si="1639"/>
        <v>0</v>
      </c>
      <c r="R5406" s="86">
        <f t="shared" si="1640"/>
        <v>0</v>
      </c>
      <c r="S5406" s="86">
        <f t="shared" si="1641"/>
        <v>0</v>
      </c>
      <c r="T5406" s="86">
        <f t="shared" si="1642"/>
        <v>8961.92</v>
      </c>
      <c r="U5406" s="87">
        <v>8961.92</v>
      </c>
    </row>
    <row r="5407" spans="1:21" s="30" customFormat="1" ht="24.6" hidden="1" outlineLevel="1" x14ac:dyDescent="0.55000000000000004">
      <c r="A5407" s="27" t="s">
        <v>327</v>
      </c>
      <c r="B5407" s="28"/>
      <c r="C5407" s="27"/>
      <c r="D5407" s="27" t="str">
        <f>"""NAV Direct"",""CRONUS JetCorp USA"",""21"",""1"",""404193"""</f>
        <v>"NAV Direct","CRONUS JetCorp USA","21","1","404193"</v>
      </c>
      <c r="E5407" s="31">
        <f t="shared" si="1634"/>
        <v>0</v>
      </c>
      <c r="F5407" s="31"/>
      <c r="G5407" s="31"/>
      <c r="H5407" s="31"/>
      <c r="I5407" s="56"/>
      <c r="J5407" s="56"/>
      <c r="K5407" s="82" t="str">
        <f t="shared" si="1635"/>
        <v>Invoice</v>
      </c>
      <c r="L5407" s="83" t="str">
        <f>"SI_112332"</f>
        <v>SI_112332</v>
      </c>
      <c r="M5407" s="84">
        <v>42791</v>
      </c>
      <c r="N5407" s="85">
        <f t="shared" si="1636"/>
        <v>1021</v>
      </c>
      <c r="O5407" s="86">
        <f t="shared" si="1637"/>
        <v>9757.5400000000009</v>
      </c>
      <c r="P5407" s="86">
        <f t="shared" si="1638"/>
        <v>0</v>
      </c>
      <c r="Q5407" s="86">
        <f t="shared" si="1639"/>
        <v>0</v>
      </c>
      <c r="R5407" s="86">
        <f t="shared" si="1640"/>
        <v>0</v>
      </c>
      <c r="S5407" s="86">
        <f t="shared" si="1641"/>
        <v>0</v>
      </c>
      <c r="T5407" s="86">
        <f t="shared" si="1642"/>
        <v>9757.5400000000009</v>
      </c>
      <c r="U5407" s="87">
        <v>9757.5400000000009</v>
      </c>
    </row>
    <row r="5408" spans="1:21" s="30" customFormat="1" ht="24.6" hidden="1" outlineLevel="1" x14ac:dyDescent="0.55000000000000004">
      <c r="A5408" s="27" t="s">
        <v>327</v>
      </c>
      <c r="B5408" s="28"/>
      <c r="C5408" s="27"/>
      <c r="D5408" s="27" t="str">
        <f>"""NAV Direct"",""CRONUS JetCorp USA"",""21"",""1"",""404385"""</f>
        <v>"NAV Direct","CRONUS JetCorp USA","21","1","404385"</v>
      </c>
      <c r="E5408" s="31" t="str">
        <f t="shared" si="1634"/>
        <v>C100144</v>
      </c>
      <c r="F5408" s="31"/>
      <c r="G5408" s="31"/>
      <c r="H5408" s="31"/>
      <c r="I5408" s="56"/>
      <c r="J5408" s="56"/>
      <c r="K5408" s="82" t="str">
        <f t="shared" si="1635"/>
        <v>Invoice</v>
      </c>
      <c r="L5408" s="83" t="str">
        <f>"SI_112336"</f>
        <v>SI_112336</v>
      </c>
      <c r="M5408" s="84">
        <v>42814</v>
      </c>
      <c r="N5408" s="85">
        <f t="shared" si="1636"/>
        <v>998</v>
      </c>
      <c r="O5408" s="86">
        <f t="shared" si="1637"/>
        <v>12684.619999999999</v>
      </c>
      <c r="P5408" s="86">
        <f t="shared" si="1638"/>
        <v>0</v>
      </c>
      <c r="Q5408" s="86">
        <f t="shared" si="1639"/>
        <v>0</v>
      </c>
      <c r="R5408" s="86">
        <f t="shared" si="1640"/>
        <v>0</v>
      </c>
      <c r="S5408" s="86">
        <f t="shared" si="1641"/>
        <v>0</v>
      </c>
      <c r="T5408" s="86">
        <f t="shared" si="1642"/>
        <v>12684.619999999999</v>
      </c>
      <c r="U5408" s="87">
        <v>12684.619999999999</v>
      </c>
    </row>
    <row r="5409" spans="1:21" s="30" customFormat="1" ht="24.6" hidden="1" outlineLevel="1" x14ac:dyDescent="0.55000000000000004">
      <c r="A5409" s="27" t="s">
        <v>327</v>
      </c>
      <c r="B5409" s="28"/>
      <c r="C5409" s="27"/>
      <c r="D5409" s="27" t="str">
        <f>"""NAV Direct"",""CRONUS JetCorp USA"",""21"",""1"",""404497"""</f>
        <v>"NAV Direct","CRONUS JetCorp USA","21","1","404497"</v>
      </c>
      <c r="E5409" s="31">
        <f t="shared" si="1634"/>
        <v>0</v>
      </c>
      <c r="F5409" s="31"/>
      <c r="G5409" s="31"/>
      <c r="H5409" s="31"/>
      <c r="I5409" s="56"/>
      <c r="J5409" s="56"/>
      <c r="K5409" s="82" t="str">
        <f t="shared" si="1635"/>
        <v>Invoice</v>
      </c>
      <c r="L5409" s="83" t="str">
        <f>"SI_112338"</f>
        <v>SI_112338</v>
      </c>
      <c r="M5409" s="84">
        <v>42821</v>
      </c>
      <c r="N5409" s="85">
        <f t="shared" si="1636"/>
        <v>991</v>
      </c>
      <c r="O5409" s="86">
        <f t="shared" si="1637"/>
        <v>12815.63</v>
      </c>
      <c r="P5409" s="86">
        <f t="shared" si="1638"/>
        <v>0</v>
      </c>
      <c r="Q5409" s="86">
        <f t="shared" si="1639"/>
        <v>0</v>
      </c>
      <c r="R5409" s="86">
        <f t="shared" si="1640"/>
        <v>0</v>
      </c>
      <c r="S5409" s="86">
        <f t="shared" si="1641"/>
        <v>0</v>
      </c>
      <c r="T5409" s="86">
        <f t="shared" si="1642"/>
        <v>12815.63</v>
      </c>
      <c r="U5409" s="87">
        <v>12815.63</v>
      </c>
    </row>
    <row r="5410" spans="1:21" s="30" customFormat="1" ht="24.6" hidden="1" outlineLevel="1" x14ac:dyDescent="0.55000000000000004">
      <c r="A5410" s="27" t="s">
        <v>327</v>
      </c>
      <c r="B5410" s="28"/>
      <c r="C5410" s="27"/>
      <c r="D5410" s="27" t="str">
        <f>"""NAV Direct"",""CRONUS JetCorp USA"",""21"",""1"",""404550"""</f>
        <v>"NAV Direct","CRONUS JetCorp USA","21","1","404550"</v>
      </c>
      <c r="E5410" s="31" t="str">
        <f t="shared" si="1634"/>
        <v>C100144</v>
      </c>
      <c r="F5410" s="31"/>
      <c r="G5410" s="31"/>
      <c r="H5410" s="31"/>
      <c r="I5410" s="56"/>
      <c r="J5410" s="56"/>
      <c r="K5410" s="82" t="str">
        <f t="shared" si="1635"/>
        <v>Invoice</v>
      </c>
      <c r="L5410" s="83" t="str">
        <f>"SI_112339"</f>
        <v>SI_112339</v>
      </c>
      <c r="M5410" s="84">
        <v>42838</v>
      </c>
      <c r="N5410" s="85">
        <f t="shared" si="1636"/>
        <v>974</v>
      </c>
      <c r="O5410" s="86">
        <f t="shared" si="1637"/>
        <v>12815.580000000002</v>
      </c>
      <c r="P5410" s="86">
        <f t="shared" si="1638"/>
        <v>0</v>
      </c>
      <c r="Q5410" s="86">
        <f t="shared" si="1639"/>
        <v>0</v>
      </c>
      <c r="R5410" s="86">
        <f t="shared" si="1640"/>
        <v>0</v>
      </c>
      <c r="S5410" s="86">
        <f t="shared" si="1641"/>
        <v>0</v>
      </c>
      <c r="T5410" s="86">
        <f t="shared" si="1642"/>
        <v>12815.580000000002</v>
      </c>
      <c r="U5410" s="87">
        <v>12815.580000000002</v>
      </c>
    </row>
    <row r="5411" spans="1:21" s="30" customFormat="1" ht="24.6" hidden="1" outlineLevel="1" x14ac:dyDescent="0.55000000000000004">
      <c r="A5411" s="27" t="s">
        <v>327</v>
      </c>
      <c r="B5411" s="28"/>
      <c r="C5411" s="27"/>
      <c r="D5411" s="27" t="str">
        <f>"""NAV Direct"",""CRONUS JetCorp USA"",""21"",""1"",""404980"""</f>
        <v>"NAV Direct","CRONUS JetCorp USA","21","1","404980"</v>
      </c>
      <c r="E5411" s="31">
        <f t="shared" si="1634"/>
        <v>0</v>
      </c>
      <c r="F5411" s="31"/>
      <c r="G5411" s="31"/>
      <c r="H5411" s="31"/>
      <c r="I5411" s="56"/>
      <c r="J5411" s="56"/>
      <c r="K5411" s="82" t="str">
        <f t="shared" si="1635"/>
        <v>Invoice</v>
      </c>
      <c r="L5411" s="83" t="str">
        <f>"SI_112348"</f>
        <v>SI_112348</v>
      </c>
      <c r="M5411" s="84">
        <v>42898</v>
      </c>
      <c r="N5411" s="85">
        <f t="shared" si="1636"/>
        <v>914</v>
      </c>
      <c r="O5411" s="86">
        <f t="shared" si="1637"/>
        <v>10115.84</v>
      </c>
      <c r="P5411" s="86">
        <f t="shared" si="1638"/>
        <v>0</v>
      </c>
      <c r="Q5411" s="86">
        <f t="shared" si="1639"/>
        <v>0</v>
      </c>
      <c r="R5411" s="86">
        <f t="shared" si="1640"/>
        <v>0</v>
      </c>
      <c r="S5411" s="86">
        <f t="shared" si="1641"/>
        <v>0</v>
      </c>
      <c r="T5411" s="86">
        <f t="shared" si="1642"/>
        <v>10115.84</v>
      </c>
      <c r="U5411" s="87">
        <v>10115.84</v>
      </c>
    </row>
    <row r="5412" spans="1:21" s="30" customFormat="1" ht="24.6" hidden="1" outlineLevel="1" x14ac:dyDescent="0.55000000000000004">
      <c r="A5412" s="27" t="s">
        <v>327</v>
      </c>
      <c r="B5412" s="28"/>
      <c r="C5412" s="27"/>
      <c r="D5412" s="27" t="str">
        <f>"""NAV Direct"",""CRONUS JetCorp USA"",""21"",""1"",""405437"""</f>
        <v>"NAV Direct","CRONUS JetCorp USA","21","1","405437"</v>
      </c>
      <c r="E5412" s="31" t="str">
        <f t="shared" si="1634"/>
        <v>C100144</v>
      </c>
      <c r="F5412" s="31"/>
      <c r="G5412" s="31"/>
      <c r="H5412" s="31"/>
      <c r="I5412" s="56"/>
      <c r="J5412" s="56"/>
      <c r="K5412" s="82" t="str">
        <f t="shared" si="1635"/>
        <v>Invoice</v>
      </c>
      <c r="L5412" s="83" t="str">
        <f>"SI_112357"</f>
        <v>SI_112357</v>
      </c>
      <c r="M5412" s="84">
        <v>43001</v>
      </c>
      <c r="N5412" s="85">
        <f t="shared" si="1636"/>
        <v>811</v>
      </c>
      <c r="O5412" s="86">
        <f t="shared" si="1637"/>
        <v>8105.7</v>
      </c>
      <c r="P5412" s="86">
        <f t="shared" si="1638"/>
        <v>0</v>
      </c>
      <c r="Q5412" s="86">
        <f t="shared" si="1639"/>
        <v>0</v>
      </c>
      <c r="R5412" s="86">
        <f t="shared" si="1640"/>
        <v>0</v>
      </c>
      <c r="S5412" s="86">
        <f t="shared" si="1641"/>
        <v>0</v>
      </c>
      <c r="T5412" s="86">
        <f t="shared" si="1642"/>
        <v>8105.7</v>
      </c>
      <c r="U5412" s="87">
        <v>8105.7</v>
      </c>
    </row>
    <row r="5413" spans="1:21" s="30" customFormat="1" ht="24.6" hidden="1" outlineLevel="1" x14ac:dyDescent="0.55000000000000004">
      <c r="A5413" s="27" t="s">
        <v>327</v>
      </c>
      <c r="B5413" s="28"/>
      <c r="C5413" s="27"/>
      <c r="D5413" s="27" t="str">
        <f>"""NAV Direct"",""CRONUS JetCorp USA"",""21"",""1"",""405478"""</f>
        <v>"NAV Direct","CRONUS JetCorp USA","21","1","405478"</v>
      </c>
      <c r="E5413" s="31">
        <f t="shared" si="1634"/>
        <v>0</v>
      </c>
      <c r="F5413" s="31"/>
      <c r="G5413" s="31"/>
      <c r="H5413" s="31"/>
      <c r="I5413" s="56"/>
      <c r="J5413" s="56"/>
      <c r="K5413" s="82" t="str">
        <f t="shared" si="1635"/>
        <v>Invoice</v>
      </c>
      <c r="L5413" s="83" t="str">
        <f>"SI_112358"</f>
        <v>SI_112358</v>
      </c>
      <c r="M5413" s="84">
        <v>43026</v>
      </c>
      <c r="N5413" s="85">
        <f t="shared" si="1636"/>
        <v>786</v>
      </c>
      <c r="O5413" s="86">
        <f t="shared" si="1637"/>
        <v>7992.7300000000005</v>
      </c>
      <c r="P5413" s="86">
        <f t="shared" si="1638"/>
        <v>0</v>
      </c>
      <c r="Q5413" s="86">
        <f t="shared" si="1639"/>
        <v>0</v>
      </c>
      <c r="R5413" s="86">
        <f t="shared" si="1640"/>
        <v>0</v>
      </c>
      <c r="S5413" s="86">
        <f t="shared" si="1641"/>
        <v>0</v>
      </c>
      <c r="T5413" s="86">
        <f t="shared" si="1642"/>
        <v>7992.7300000000005</v>
      </c>
      <c r="U5413" s="87">
        <v>7992.7300000000005</v>
      </c>
    </row>
    <row r="5414" spans="1:21" s="30" customFormat="1" ht="24.6" hidden="1" outlineLevel="1" x14ac:dyDescent="0.55000000000000004">
      <c r="A5414" s="27" t="s">
        <v>327</v>
      </c>
      <c r="B5414" s="28"/>
      <c r="C5414" s="27"/>
      <c r="D5414" s="27" t="str">
        <f>"""NAV Direct"",""CRONUS JetCorp USA"",""21"",""1"",""405523"""</f>
        <v>"NAV Direct","CRONUS JetCorp USA","21","1","405523"</v>
      </c>
      <c r="E5414" s="31" t="str">
        <f t="shared" si="1634"/>
        <v>C100144</v>
      </c>
      <c r="F5414" s="31"/>
      <c r="G5414" s="31"/>
      <c r="H5414" s="31"/>
      <c r="I5414" s="56"/>
      <c r="J5414" s="56"/>
      <c r="K5414" s="82" t="str">
        <f t="shared" si="1635"/>
        <v>Invoice</v>
      </c>
      <c r="L5414" s="83" t="str">
        <f>"SI_112359"</f>
        <v>SI_112359</v>
      </c>
      <c r="M5414" s="84">
        <v>43027</v>
      </c>
      <c r="N5414" s="85">
        <f t="shared" si="1636"/>
        <v>785</v>
      </c>
      <c r="O5414" s="86">
        <f t="shared" si="1637"/>
        <v>7992.66</v>
      </c>
      <c r="P5414" s="86">
        <f t="shared" si="1638"/>
        <v>0</v>
      </c>
      <c r="Q5414" s="86">
        <f t="shared" si="1639"/>
        <v>0</v>
      </c>
      <c r="R5414" s="86">
        <f t="shared" si="1640"/>
        <v>0</v>
      </c>
      <c r="S5414" s="86">
        <f t="shared" si="1641"/>
        <v>0</v>
      </c>
      <c r="T5414" s="86">
        <f t="shared" si="1642"/>
        <v>7992.66</v>
      </c>
      <c r="U5414" s="87">
        <v>7992.66</v>
      </c>
    </row>
    <row r="5415" spans="1:21" s="30" customFormat="1" ht="24.6" hidden="1" outlineLevel="1" x14ac:dyDescent="0.55000000000000004">
      <c r="A5415" s="27" t="s">
        <v>327</v>
      </c>
      <c r="B5415" s="28"/>
      <c r="C5415" s="27"/>
      <c r="D5415" s="27" t="str">
        <f>"""NAV Direct"",""CRONUS JetCorp USA"",""21"",""1"",""405566"""</f>
        <v>"NAV Direct","CRONUS JetCorp USA","21","1","405566"</v>
      </c>
      <c r="E5415" s="31">
        <f t="shared" si="1634"/>
        <v>0</v>
      </c>
      <c r="F5415" s="31"/>
      <c r="G5415" s="31"/>
      <c r="H5415" s="31"/>
      <c r="I5415" s="56"/>
      <c r="J5415" s="56"/>
      <c r="K5415" s="82" t="str">
        <f t="shared" si="1635"/>
        <v>Invoice</v>
      </c>
      <c r="L5415" s="83" t="str">
        <f>"SI_112360"</f>
        <v>SI_112360</v>
      </c>
      <c r="M5415" s="84">
        <v>43031</v>
      </c>
      <c r="N5415" s="85">
        <f t="shared" si="1636"/>
        <v>781</v>
      </c>
      <c r="O5415" s="86">
        <f t="shared" si="1637"/>
        <v>7911.21</v>
      </c>
      <c r="P5415" s="86">
        <f t="shared" si="1638"/>
        <v>0</v>
      </c>
      <c r="Q5415" s="86">
        <f t="shared" si="1639"/>
        <v>0</v>
      </c>
      <c r="R5415" s="86">
        <f t="shared" si="1640"/>
        <v>0</v>
      </c>
      <c r="S5415" s="86">
        <f t="shared" si="1641"/>
        <v>0</v>
      </c>
      <c r="T5415" s="86">
        <f t="shared" si="1642"/>
        <v>7911.21</v>
      </c>
      <c r="U5415" s="87">
        <v>7911.21</v>
      </c>
    </row>
    <row r="5416" spans="1:21" s="30" customFormat="1" ht="24.6" hidden="1" outlineLevel="1" x14ac:dyDescent="0.55000000000000004">
      <c r="A5416" s="27" t="s">
        <v>327</v>
      </c>
      <c r="B5416" s="28"/>
      <c r="C5416" s="27"/>
      <c r="D5416" s="27" t="str">
        <f>"""NAV Direct"",""CRONUS JetCorp USA"",""21"",""1"",""405688"""</f>
        <v>"NAV Direct","CRONUS JetCorp USA","21","1","405688"</v>
      </c>
      <c r="E5416" s="31" t="str">
        <f t="shared" si="1634"/>
        <v>C100144</v>
      </c>
      <c r="F5416" s="31"/>
      <c r="G5416" s="31"/>
      <c r="H5416" s="31"/>
      <c r="I5416" s="56"/>
      <c r="J5416" s="56"/>
      <c r="K5416" s="82" t="str">
        <f t="shared" si="1635"/>
        <v>Invoice</v>
      </c>
      <c r="L5416" s="83" t="str">
        <f>"SI_112363"</f>
        <v>SI_112363</v>
      </c>
      <c r="M5416" s="84">
        <v>43066</v>
      </c>
      <c r="N5416" s="85">
        <f t="shared" si="1636"/>
        <v>746</v>
      </c>
      <c r="O5416" s="86">
        <f t="shared" si="1637"/>
        <v>7656.5899999999992</v>
      </c>
      <c r="P5416" s="86">
        <f t="shared" si="1638"/>
        <v>0</v>
      </c>
      <c r="Q5416" s="86">
        <f t="shared" si="1639"/>
        <v>0</v>
      </c>
      <c r="R5416" s="86">
        <f t="shared" si="1640"/>
        <v>0</v>
      </c>
      <c r="S5416" s="86">
        <f t="shared" si="1641"/>
        <v>0</v>
      </c>
      <c r="T5416" s="86">
        <f t="shared" si="1642"/>
        <v>7656.5899999999992</v>
      </c>
      <c r="U5416" s="87">
        <v>7656.5899999999992</v>
      </c>
    </row>
    <row r="5417" spans="1:21" s="30" customFormat="1" ht="24.6" hidden="1" outlineLevel="1" x14ac:dyDescent="0.55000000000000004">
      <c r="A5417" s="27" t="s">
        <v>327</v>
      </c>
      <c r="B5417" s="28"/>
      <c r="C5417" s="27"/>
      <c r="D5417" s="27" t="str">
        <f>"""NAV Direct"",""CRONUS JetCorp USA"",""21"",""1"",""405911"""</f>
        <v>"NAV Direct","CRONUS JetCorp USA","21","1","405911"</v>
      </c>
      <c r="E5417" s="31">
        <f t="shared" si="1634"/>
        <v>0</v>
      </c>
      <c r="F5417" s="31"/>
      <c r="G5417" s="31"/>
      <c r="H5417" s="31"/>
      <c r="I5417" s="56"/>
      <c r="J5417" s="56"/>
      <c r="K5417" s="82" t="str">
        <f t="shared" si="1635"/>
        <v>Invoice</v>
      </c>
      <c r="L5417" s="83" t="str">
        <f>"SI_112368"</f>
        <v>SI_112368</v>
      </c>
      <c r="M5417" s="84">
        <v>43096</v>
      </c>
      <c r="N5417" s="85">
        <f t="shared" si="1636"/>
        <v>716</v>
      </c>
      <c r="O5417" s="86">
        <f t="shared" si="1637"/>
        <v>7726.0000000000009</v>
      </c>
      <c r="P5417" s="86">
        <f t="shared" si="1638"/>
        <v>0</v>
      </c>
      <c r="Q5417" s="86">
        <f t="shared" si="1639"/>
        <v>0</v>
      </c>
      <c r="R5417" s="86">
        <f t="shared" si="1640"/>
        <v>0</v>
      </c>
      <c r="S5417" s="86">
        <f t="shared" si="1641"/>
        <v>0</v>
      </c>
      <c r="T5417" s="86">
        <f t="shared" si="1642"/>
        <v>7726.0000000000009</v>
      </c>
      <c r="U5417" s="87">
        <v>7726.0000000000009</v>
      </c>
    </row>
    <row r="5418" spans="1:21" s="30" customFormat="1" ht="24.6" hidden="1" outlineLevel="1" x14ac:dyDescent="0.55000000000000004">
      <c r="A5418" s="27" t="s">
        <v>327</v>
      </c>
      <c r="B5418" s="28"/>
      <c r="C5418" s="27"/>
      <c r="D5418" s="27" t="str">
        <f>"""NAV Direct"",""CRONUS JetCorp USA"",""21"",""1"",""406270"""</f>
        <v>"NAV Direct","CRONUS JetCorp USA","21","1","406270"</v>
      </c>
      <c r="E5418" s="31" t="str">
        <f t="shared" si="1634"/>
        <v>C100144</v>
      </c>
      <c r="F5418" s="31"/>
      <c r="G5418" s="31"/>
      <c r="H5418" s="31"/>
      <c r="I5418" s="56"/>
      <c r="J5418" s="56"/>
      <c r="K5418" s="82" t="str">
        <f t="shared" si="1635"/>
        <v>Invoice</v>
      </c>
      <c r="L5418" s="83" t="str">
        <f>"SI_112377"</f>
        <v>SI_112377</v>
      </c>
      <c r="M5418" s="84">
        <v>43219</v>
      </c>
      <c r="N5418" s="85">
        <f t="shared" si="1636"/>
        <v>593</v>
      </c>
      <c r="O5418" s="86">
        <f t="shared" si="1637"/>
        <v>7899.5300000000007</v>
      </c>
      <c r="P5418" s="86">
        <f t="shared" si="1638"/>
        <v>0</v>
      </c>
      <c r="Q5418" s="86">
        <f t="shared" si="1639"/>
        <v>0</v>
      </c>
      <c r="R5418" s="86">
        <f t="shared" si="1640"/>
        <v>0</v>
      </c>
      <c r="S5418" s="86">
        <f t="shared" si="1641"/>
        <v>0</v>
      </c>
      <c r="T5418" s="86">
        <f t="shared" si="1642"/>
        <v>7899.5300000000007</v>
      </c>
      <c r="U5418" s="87">
        <v>7899.5300000000007</v>
      </c>
    </row>
    <row r="5419" spans="1:21" s="30" customFormat="1" ht="24.6" hidden="1" outlineLevel="1" x14ac:dyDescent="0.55000000000000004">
      <c r="A5419" s="27" t="s">
        <v>327</v>
      </c>
      <c r="B5419" s="28"/>
      <c r="C5419" s="27"/>
      <c r="D5419" s="27" t="str">
        <f>"""NAV Direct"",""CRONUS JetCorp USA"",""21"",""1"",""406656"""</f>
        <v>"NAV Direct","CRONUS JetCorp USA","21","1","406656"</v>
      </c>
      <c r="E5419" s="31">
        <f t="shared" si="1634"/>
        <v>0</v>
      </c>
      <c r="F5419" s="31"/>
      <c r="G5419" s="31"/>
      <c r="H5419" s="31"/>
      <c r="I5419" s="56"/>
      <c r="J5419" s="56"/>
      <c r="K5419" s="82" t="str">
        <f t="shared" si="1635"/>
        <v>Invoice</v>
      </c>
      <c r="L5419" s="83" t="str">
        <f>"SI_112386"</f>
        <v>SI_112386</v>
      </c>
      <c r="M5419" s="84">
        <v>43300</v>
      </c>
      <c r="N5419" s="85">
        <f t="shared" si="1636"/>
        <v>512</v>
      </c>
      <c r="O5419" s="86">
        <f t="shared" si="1637"/>
        <v>8654.58</v>
      </c>
      <c r="P5419" s="86">
        <f t="shared" si="1638"/>
        <v>0</v>
      </c>
      <c r="Q5419" s="86">
        <f t="shared" si="1639"/>
        <v>0</v>
      </c>
      <c r="R5419" s="86">
        <f t="shared" si="1640"/>
        <v>0</v>
      </c>
      <c r="S5419" s="86">
        <f t="shared" si="1641"/>
        <v>0</v>
      </c>
      <c r="T5419" s="86">
        <f t="shared" si="1642"/>
        <v>8654.58</v>
      </c>
      <c r="U5419" s="87">
        <v>8654.58</v>
      </c>
    </row>
    <row r="5420" spans="1:21" s="30" customFormat="1" ht="24.6" hidden="1" outlineLevel="1" x14ac:dyDescent="0.55000000000000004">
      <c r="A5420" s="27" t="s">
        <v>327</v>
      </c>
      <c r="B5420" s="28"/>
      <c r="C5420" s="27"/>
      <c r="D5420" s="27" t="str">
        <f>"""NAV Direct"",""CRONUS JetCorp USA"",""21"",""1"",""406964"""</f>
        <v>"NAV Direct","CRONUS JetCorp USA","21","1","406964"</v>
      </c>
      <c r="E5420" s="31" t="str">
        <f t="shared" si="1634"/>
        <v>C100144</v>
      </c>
      <c r="F5420" s="31"/>
      <c r="G5420" s="31"/>
      <c r="H5420" s="31"/>
      <c r="I5420" s="56"/>
      <c r="J5420" s="56"/>
      <c r="K5420" s="82" t="str">
        <f t="shared" si="1635"/>
        <v>Invoice</v>
      </c>
      <c r="L5420" s="83" t="str">
        <f>"SI_112392"</f>
        <v>SI_112392</v>
      </c>
      <c r="M5420" s="84">
        <v>43364</v>
      </c>
      <c r="N5420" s="85">
        <f t="shared" si="1636"/>
        <v>448</v>
      </c>
      <c r="O5420" s="86">
        <f t="shared" si="1637"/>
        <v>10948.08</v>
      </c>
      <c r="P5420" s="86">
        <f t="shared" si="1638"/>
        <v>0</v>
      </c>
      <c r="Q5420" s="86">
        <f t="shared" si="1639"/>
        <v>0</v>
      </c>
      <c r="R5420" s="86">
        <f t="shared" si="1640"/>
        <v>0</v>
      </c>
      <c r="S5420" s="86">
        <f t="shared" si="1641"/>
        <v>0</v>
      </c>
      <c r="T5420" s="86">
        <f t="shared" si="1642"/>
        <v>10948.08</v>
      </c>
      <c r="U5420" s="87">
        <v>10948.08</v>
      </c>
    </row>
    <row r="5421" spans="1:21" s="30" customFormat="1" ht="24.6" hidden="1" outlineLevel="1" x14ac:dyDescent="0.55000000000000004">
      <c r="A5421" s="27" t="s">
        <v>327</v>
      </c>
      <c r="B5421" s="28"/>
      <c r="C5421" s="27"/>
      <c r="D5421" s="27" t="str">
        <f>"""NAV Direct"",""CRONUS JetCorp USA"",""21"",""1"",""407200"""</f>
        <v>"NAV Direct","CRONUS JetCorp USA","21","1","407200"</v>
      </c>
      <c r="E5421" s="31">
        <f t="shared" si="1634"/>
        <v>0</v>
      </c>
      <c r="F5421" s="31"/>
      <c r="G5421" s="31"/>
      <c r="H5421" s="31"/>
      <c r="I5421" s="56"/>
      <c r="J5421" s="56"/>
      <c r="K5421" s="82" t="str">
        <f t="shared" si="1635"/>
        <v>Invoice</v>
      </c>
      <c r="L5421" s="83" t="str">
        <f>"SI_112396"</f>
        <v>SI_112396</v>
      </c>
      <c r="M5421" s="84">
        <v>43405</v>
      </c>
      <c r="N5421" s="85">
        <f t="shared" si="1636"/>
        <v>407</v>
      </c>
      <c r="O5421" s="86">
        <f t="shared" si="1637"/>
        <v>12043.02</v>
      </c>
      <c r="P5421" s="86">
        <f t="shared" si="1638"/>
        <v>0</v>
      </c>
      <c r="Q5421" s="86">
        <f t="shared" si="1639"/>
        <v>0</v>
      </c>
      <c r="R5421" s="86">
        <f t="shared" si="1640"/>
        <v>0</v>
      </c>
      <c r="S5421" s="86">
        <f t="shared" si="1641"/>
        <v>0</v>
      </c>
      <c r="T5421" s="86">
        <f t="shared" si="1642"/>
        <v>12043.02</v>
      </c>
      <c r="U5421" s="87">
        <v>12043.02</v>
      </c>
    </row>
    <row r="5422" spans="1:21" s="30" customFormat="1" ht="24.6" hidden="1" outlineLevel="1" x14ac:dyDescent="0.55000000000000004">
      <c r="A5422" s="27" t="s">
        <v>327</v>
      </c>
      <c r="B5422" s="28"/>
      <c r="C5422" s="27"/>
      <c r="D5422" s="27" t="str">
        <f>"""NAV Direct"",""CRONUS JetCorp USA"",""21"",""1"",""407255"""</f>
        <v>"NAV Direct","CRONUS JetCorp USA","21","1","407255"</v>
      </c>
      <c r="E5422" s="31" t="str">
        <f t="shared" ref="E5422:E5453" si="1643">E5420</f>
        <v>C100144</v>
      </c>
      <c r="F5422" s="31"/>
      <c r="G5422" s="31"/>
      <c r="H5422" s="31"/>
      <c r="I5422" s="56"/>
      <c r="J5422" s="56"/>
      <c r="K5422" s="82" t="str">
        <f t="shared" ref="K5422:K5453" si="1644">"Invoice"</f>
        <v>Invoice</v>
      </c>
      <c r="L5422" s="83" t="str">
        <f>"SI_112397"</f>
        <v>SI_112397</v>
      </c>
      <c r="M5422" s="84">
        <v>43411</v>
      </c>
      <c r="N5422" s="85">
        <f t="shared" ref="N5422:N5453" si="1645">StartDate-$M5422+1</f>
        <v>401</v>
      </c>
      <c r="O5422" s="86">
        <f t="shared" ref="O5422:O5453" si="1646">SUM(P5422:T5422)</f>
        <v>12043.050000000001</v>
      </c>
      <c r="P5422" s="86">
        <f t="shared" ref="P5422:P5453" si="1647">IF($M5422&gt;=$P$18,U5422,0)</f>
        <v>0</v>
      </c>
      <c r="Q5422" s="86">
        <f t="shared" ref="Q5422:Q5453" si="1648">IF(AND($M5422&gt;=$Q$16,$M5422&lt;=$Q$18),U5422,0)</f>
        <v>0</v>
      </c>
      <c r="R5422" s="86">
        <f t="shared" ref="R5422:R5453" si="1649">IF(AND($M5422&gt;=$R$16,$M5422&lt;=$R$18),U5422,0)</f>
        <v>0</v>
      </c>
      <c r="S5422" s="86">
        <f t="shared" ref="S5422:S5453" si="1650">IF(AND($M5422&gt;=$S$16,$M5422&lt;=$S$18),U5422,0)</f>
        <v>0</v>
      </c>
      <c r="T5422" s="86">
        <f t="shared" ref="T5422:T5453" si="1651">IF($M5422&lt;=$T$18,U5422,0)</f>
        <v>12043.050000000001</v>
      </c>
      <c r="U5422" s="87">
        <v>12043.050000000001</v>
      </c>
    </row>
    <row r="5423" spans="1:21" s="30" customFormat="1" ht="24.6" hidden="1" outlineLevel="1" x14ac:dyDescent="0.55000000000000004">
      <c r="A5423" s="27" t="s">
        <v>327</v>
      </c>
      <c r="B5423" s="28"/>
      <c r="C5423" s="27"/>
      <c r="D5423" s="27" t="str">
        <f>"""NAV Direct"",""CRONUS JetCorp USA"",""21"",""1"",""407357"""</f>
        <v>"NAV Direct","CRONUS JetCorp USA","21","1","407357"</v>
      </c>
      <c r="E5423" s="31">
        <f t="shared" si="1643"/>
        <v>0</v>
      </c>
      <c r="F5423" s="31"/>
      <c r="G5423" s="31"/>
      <c r="H5423" s="31"/>
      <c r="I5423" s="56"/>
      <c r="J5423" s="56"/>
      <c r="K5423" s="82" t="str">
        <f t="shared" si="1644"/>
        <v>Invoice</v>
      </c>
      <c r="L5423" s="83" t="str">
        <f>"SI_112399"</f>
        <v>SI_112399</v>
      </c>
      <c r="M5423" s="84">
        <v>43428</v>
      </c>
      <c r="N5423" s="85">
        <f t="shared" si="1645"/>
        <v>384</v>
      </c>
      <c r="O5423" s="86">
        <f t="shared" si="1646"/>
        <v>11891.52</v>
      </c>
      <c r="P5423" s="86">
        <f t="shared" si="1647"/>
        <v>0</v>
      </c>
      <c r="Q5423" s="86">
        <f t="shared" si="1648"/>
        <v>0</v>
      </c>
      <c r="R5423" s="86">
        <f t="shared" si="1649"/>
        <v>0</v>
      </c>
      <c r="S5423" s="86">
        <f t="shared" si="1650"/>
        <v>0</v>
      </c>
      <c r="T5423" s="86">
        <f t="shared" si="1651"/>
        <v>11891.52</v>
      </c>
      <c r="U5423" s="87">
        <v>11891.52</v>
      </c>
    </row>
    <row r="5424" spans="1:21" s="30" customFormat="1" ht="24.6" hidden="1" outlineLevel="1" x14ac:dyDescent="0.55000000000000004">
      <c r="A5424" s="27" t="s">
        <v>327</v>
      </c>
      <c r="B5424" s="28"/>
      <c r="C5424" s="27"/>
      <c r="D5424" s="27" t="str">
        <f>"""NAV Direct"",""CRONUS JetCorp USA"",""21"",""1"",""407524"""</f>
        <v>"NAV Direct","CRONUS JetCorp USA","21","1","407524"</v>
      </c>
      <c r="E5424" s="31" t="str">
        <f t="shared" si="1643"/>
        <v>C100144</v>
      </c>
      <c r="F5424" s="31"/>
      <c r="G5424" s="31"/>
      <c r="H5424" s="31"/>
      <c r="I5424" s="56"/>
      <c r="J5424" s="56"/>
      <c r="K5424" s="82" t="str">
        <f t="shared" si="1644"/>
        <v>Invoice</v>
      </c>
      <c r="L5424" s="83" t="str">
        <f>"SI_112402"</f>
        <v>SI_112402</v>
      </c>
      <c r="M5424" s="84">
        <v>43441</v>
      </c>
      <c r="N5424" s="85">
        <f t="shared" si="1645"/>
        <v>371</v>
      </c>
      <c r="O5424" s="86">
        <f t="shared" si="1646"/>
        <v>12139.29</v>
      </c>
      <c r="P5424" s="86">
        <f t="shared" si="1647"/>
        <v>0</v>
      </c>
      <c r="Q5424" s="86">
        <f t="shared" si="1648"/>
        <v>0</v>
      </c>
      <c r="R5424" s="86">
        <f t="shared" si="1649"/>
        <v>0</v>
      </c>
      <c r="S5424" s="86">
        <f t="shared" si="1650"/>
        <v>0</v>
      </c>
      <c r="T5424" s="86">
        <f t="shared" si="1651"/>
        <v>12139.29</v>
      </c>
      <c r="U5424" s="87">
        <v>12139.29</v>
      </c>
    </row>
    <row r="5425" spans="1:21" s="30" customFormat="1" ht="24.6" hidden="1" outlineLevel="1" x14ac:dyDescent="0.55000000000000004">
      <c r="A5425" s="27" t="s">
        <v>327</v>
      </c>
      <c r="B5425" s="28"/>
      <c r="C5425" s="27"/>
      <c r="D5425" s="27" t="str">
        <f>"""NAV Direct"",""CRONUS JetCorp USA"",""21"",""1"",""407618"""</f>
        <v>"NAV Direct","CRONUS JetCorp USA","21","1","407618"</v>
      </c>
      <c r="E5425" s="31">
        <f t="shared" si="1643"/>
        <v>0</v>
      </c>
      <c r="F5425" s="31"/>
      <c r="G5425" s="31"/>
      <c r="H5425" s="31"/>
      <c r="I5425" s="56"/>
      <c r="J5425" s="56"/>
      <c r="K5425" s="82" t="str">
        <f t="shared" si="1644"/>
        <v>Invoice</v>
      </c>
      <c r="L5425" s="83" t="str">
        <f>"SI_112404"</f>
        <v>SI_112404</v>
      </c>
      <c r="M5425" s="84">
        <v>43449</v>
      </c>
      <c r="N5425" s="85">
        <f t="shared" si="1645"/>
        <v>363</v>
      </c>
      <c r="O5425" s="86">
        <f t="shared" si="1646"/>
        <v>9612.42</v>
      </c>
      <c r="P5425" s="86">
        <f t="shared" si="1647"/>
        <v>0</v>
      </c>
      <c r="Q5425" s="86">
        <f t="shared" si="1648"/>
        <v>0</v>
      </c>
      <c r="R5425" s="86">
        <f t="shared" si="1649"/>
        <v>0</v>
      </c>
      <c r="S5425" s="86">
        <f t="shared" si="1650"/>
        <v>0</v>
      </c>
      <c r="T5425" s="86">
        <f t="shared" si="1651"/>
        <v>9612.42</v>
      </c>
      <c r="U5425" s="87">
        <v>9612.42</v>
      </c>
    </row>
    <row r="5426" spans="1:21" s="30" customFormat="1" ht="24.6" hidden="1" outlineLevel="1" x14ac:dyDescent="0.55000000000000004">
      <c r="A5426" s="27" t="s">
        <v>327</v>
      </c>
      <c r="B5426" s="28"/>
      <c r="C5426" s="27"/>
      <c r="D5426" s="27" t="str">
        <f>"""NAV Direct"",""CRONUS JetCorp USA"",""21"",""1"",""407669"""</f>
        <v>"NAV Direct","CRONUS JetCorp USA","21","1","407669"</v>
      </c>
      <c r="E5426" s="31" t="str">
        <f t="shared" si="1643"/>
        <v>C100144</v>
      </c>
      <c r="F5426" s="31"/>
      <c r="G5426" s="31"/>
      <c r="H5426" s="31"/>
      <c r="I5426" s="56"/>
      <c r="J5426" s="56"/>
      <c r="K5426" s="82" t="str">
        <f t="shared" si="1644"/>
        <v>Invoice</v>
      </c>
      <c r="L5426" s="83" t="str">
        <f>"SI_112405"</f>
        <v>SI_112405</v>
      </c>
      <c r="M5426" s="84">
        <v>43448</v>
      </c>
      <c r="N5426" s="85">
        <f t="shared" si="1645"/>
        <v>364</v>
      </c>
      <c r="O5426" s="86">
        <f t="shared" si="1646"/>
        <v>9711.5499999999993</v>
      </c>
      <c r="P5426" s="86">
        <f t="shared" si="1647"/>
        <v>0</v>
      </c>
      <c r="Q5426" s="86">
        <f t="shared" si="1648"/>
        <v>0</v>
      </c>
      <c r="R5426" s="86">
        <f t="shared" si="1649"/>
        <v>0</v>
      </c>
      <c r="S5426" s="86">
        <f t="shared" si="1650"/>
        <v>0</v>
      </c>
      <c r="T5426" s="86">
        <f t="shared" si="1651"/>
        <v>9711.5499999999993</v>
      </c>
      <c r="U5426" s="87">
        <v>9711.5499999999993</v>
      </c>
    </row>
    <row r="5427" spans="1:21" s="30" customFormat="1" ht="24.6" hidden="1" outlineLevel="1" x14ac:dyDescent="0.55000000000000004">
      <c r="A5427" s="27" t="s">
        <v>327</v>
      </c>
      <c r="B5427" s="28"/>
      <c r="C5427" s="27"/>
      <c r="D5427" s="27" t="str">
        <f>"""NAV Direct"",""CRONUS JetCorp USA"",""21"",""1"",""407722"""</f>
        <v>"NAV Direct","CRONUS JetCorp USA","21","1","407722"</v>
      </c>
      <c r="E5427" s="31">
        <f t="shared" si="1643"/>
        <v>0</v>
      </c>
      <c r="F5427" s="31"/>
      <c r="G5427" s="31"/>
      <c r="H5427" s="31"/>
      <c r="I5427" s="56"/>
      <c r="J5427" s="56"/>
      <c r="K5427" s="82" t="str">
        <f t="shared" si="1644"/>
        <v>Invoice</v>
      </c>
      <c r="L5427" s="83" t="str">
        <f>"SI_112406"</f>
        <v>SI_112406</v>
      </c>
      <c r="M5427" s="84">
        <v>43461</v>
      </c>
      <c r="N5427" s="85">
        <f t="shared" si="1645"/>
        <v>351</v>
      </c>
      <c r="O5427" s="86">
        <f t="shared" si="1646"/>
        <v>9612.42</v>
      </c>
      <c r="P5427" s="86">
        <f t="shared" si="1647"/>
        <v>0</v>
      </c>
      <c r="Q5427" s="86">
        <f t="shared" si="1648"/>
        <v>0</v>
      </c>
      <c r="R5427" s="86">
        <f t="shared" si="1649"/>
        <v>0</v>
      </c>
      <c r="S5427" s="86">
        <f t="shared" si="1650"/>
        <v>0</v>
      </c>
      <c r="T5427" s="86">
        <f t="shared" si="1651"/>
        <v>9612.42</v>
      </c>
      <c r="U5427" s="87">
        <v>9612.42</v>
      </c>
    </row>
    <row r="5428" spans="1:21" s="30" customFormat="1" ht="24.6" hidden="1" outlineLevel="1" x14ac:dyDescent="0.55000000000000004">
      <c r="A5428" s="27" t="s">
        <v>327</v>
      </c>
      <c r="B5428" s="28"/>
      <c r="C5428" s="27"/>
      <c r="D5428" s="27" t="str">
        <f>"""NAV Direct"",""CRONUS JetCorp USA"",""21"",""1"",""407927"""</f>
        <v>"NAV Direct","CRONUS JetCorp USA","21","1","407927"</v>
      </c>
      <c r="E5428" s="31" t="str">
        <f t="shared" si="1643"/>
        <v>C100144</v>
      </c>
      <c r="F5428" s="31"/>
      <c r="G5428" s="31"/>
      <c r="H5428" s="31"/>
      <c r="I5428" s="56"/>
      <c r="J5428" s="56"/>
      <c r="K5428" s="82" t="str">
        <f t="shared" si="1644"/>
        <v>Invoice</v>
      </c>
      <c r="L5428" s="83" t="str">
        <f>"SI_112410"</f>
        <v>SI_112410</v>
      </c>
      <c r="M5428" s="84">
        <v>43530</v>
      </c>
      <c r="N5428" s="85">
        <f t="shared" si="1645"/>
        <v>282</v>
      </c>
      <c r="O5428" s="86">
        <f t="shared" si="1646"/>
        <v>11102.34</v>
      </c>
      <c r="P5428" s="86">
        <f t="shared" si="1647"/>
        <v>0</v>
      </c>
      <c r="Q5428" s="86">
        <f t="shared" si="1648"/>
        <v>0</v>
      </c>
      <c r="R5428" s="86">
        <f t="shared" si="1649"/>
        <v>0</v>
      </c>
      <c r="S5428" s="86">
        <f t="shared" si="1650"/>
        <v>0</v>
      </c>
      <c r="T5428" s="86">
        <f t="shared" si="1651"/>
        <v>11102.34</v>
      </c>
      <c r="U5428" s="87">
        <v>11102.34</v>
      </c>
    </row>
    <row r="5429" spans="1:21" s="30" customFormat="1" ht="24.6" hidden="1" outlineLevel="1" x14ac:dyDescent="0.55000000000000004">
      <c r="A5429" s="27" t="s">
        <v>327</v>
      </c>
      <c r="B5429" s="28"/>
      <c r="C5429" s="27"/>
      <c r="D5429" s="27" t="str">
        <f>"""NAV Direct"",""CRONUS JetCorp USA"",""21"",""1"",""408080"""</f>
        <v>"NAV Direct","CRONUS JetCorp USA","21","1","408080"</v>
      </c>
      <c r="E5429" s="31">
        <f t="shared" si="1643"/>
        <v>0</v>
      </c>
      <c r="F5429" s="31"/>
      <c r="G5429" s="31"/>
      <c r="H5429" s="31"/>
      <c r="I5429" s="56"/>
      <c r="J5429" s="56"/>
      <c r="K5429" s="82" t="str">
        <f t="shared" si="1644"/>
        <v>Invoice</v>
      </c>
      <c r="L5429" s="83" t="str">
        <f>"SI_112413"</f>
        <v>SI_112413</v>
      </c>
      <c r="M5429" s="84">
        <v>43547</v>
      </c>
      <c r="N5429" s="85">
        <f t="shared" si="1645"/>
        <v>265</v>
      </c>
      <c r="O5429" s="86">
        <f t="shared" si="1646"/>
        <v>12635.88</v>
      </c>
      <c r="P5429" s="86">
        <f t="shared" si="1647"/>
        <v>0</v>
      </c>
      <c r="Q5429" s="86">
        <f t="shared" si="1648"/>
        <v>0</v>
      </c>
      <c r="R5429" s="86">
        <f t="shared" si="1649"/>
        <v>0</v>
      </c>
      <c r="S5429" s="86">
        <f t="shared" si="1650"/>
        <v>0</v>
      </c>
      <c r="T5429" s="86">
        <f t="shared" si="1651"/>
        <v>12635.88</v>
      </c>
      <c r="U5429" s="87">
        <v>12635.88</v>
      </c>
    </row>
    <row r="5430" spans="1:21" s="30" customFormat="1" ht="24.6" hidden="1" outlineLevel="1" x14ac:dyDescent="0.55000000000000004">
      <c r="A5430" s="27" t="s">
        <v>327</v>
      </c>
      <c r="B5430" s="28"/>
      <c r="C5430" s="27"/>
      <c r="D5430" s="27" t="str">
        <f>"""NAV Direct"",""CRONUS JetCorp USA"",""21"",""1"",""408129"""</f>
        <v>"NAV Direct","CRONUS JetCorp USA","21","1","408129"</v>
      </c>
      <c r="E5430" s="31" t="str">
        <f t="shared" si="1643"/>
        <v>C100144</v>
      </c>
      <c r="F5430" s="31"/>
      <c r="G5430" s="31"/>
      <c r="H5430" s="31"/>
      <c r="I5430" s="56"/>
      <c r="J5430" s="56"/>
      <c r="K5430" s="82" t="str">
        <f t="shared" si="1644"/>
        <v>Invoice</v>
      </c>
      <c r="L5430" s="83" t="str">
        <f>"SI_112414"</f>
        <v>SI_112414</v>
      </c>
      <c r="M5430" s="84">
        <v>43550</v>
      </c>
      <c r="N5430" s="85">
        <f t="shared" si="1645"/>
        <v>262</v>
      </c>
      <c r="O5430" s="86">
        <f t="shared" si="1646"/>
        <v>12636.06</v>
      </c>
      <c r="P5430" s="86">
        <f t="shared" si="1647"/>
        <v>0</v>
      </c>
      <c r="Q5430" s="86">
        <f t="shared" si="1648"/>
        <v>0</v>
      </c>
      <c r="R5430" s="86">
        <f t="shared" si="1649"/>
        <v>0</v>
      </c>
      <c r="S5430" s="86">
        <f t="shared" si="1650"/>
        <v>0</v>
      </c>
      <c r="T5430" s="86">
        <f t="shared" si="1651"/>
        <v>12636.06</v>
      </c>
      <c r="U5430" s="87">
        <v>12636.06</v>
      </c>
    </row>
    <row r="5431" spans="1:21" s="30" customFormat="1" ht="24.6" hidden="1" outlineLevel="1" x14ac:dyDescent="0.55000000000000004">
      <c r="A5431" s="27" t="s">
        <v>327</v>
      </c>
      <c r="B5431" s="28"/>
      <c r="C5431" s="27"/>
      <c r="D5431" s="27" t="str">
        <f>"""NAV Direct"",""CRONUS JetCorp USA"",""21"",""1"",""408288"""</f>
        <v>"NAV Direct","CRONUS JetCorp USA","21","1","408288"</v>
      </c>
      <c r="E5431" s="31">
        <f t="shared" si="1643"/>
        <v>0</v>
      </c>
      <c r="F5431" s="31"/>
      <c r="G5431" s="31"/>
      <c r="H5431" s="31"/>
      <c r="I5431" s="56"/>
      <c r="J5431" s="56"/>
      <c r="K5431" s="82" t="str">
        <f t="shared" si="1644"/>
        <v>Invoice</v>
      </c>
      <c r="L5431" s="83" t="str">
        <f>"SI_112417"</f>
        <v>SI_112417</v>
      </c>
      <c r="M5431" s="84">
        <v>43576</v>
      </c>
      <c r="N5431" s="85">
        <f t="shared" si="1645"/>
        <v>236</v>
      </c>
      <c r="O5431" s="86">
        <f t="shared" si="1646"/>
        <v>14447.01</v>
      </c>
      <c r="P5431" s="86">
        <f t="shared" si="1647"/>
        <v>0</v>
      </c>
      <c r="Q5431" s="86">
        <f t="shared" si="1648"/>
        <v>0</v>
      </c>
      <c r="R5431" s="86">
        <f t="shared" si="1649"/>
        <v>0</v>
      </c>
      <c r="S5431" s="86">
        <f t="shared" si="1650"/>
        <v>0</v>
      </c>
      <c r="T5431" s="86">
        <f t="shared" si="1651"/>
        <v>14447.01</v>
      </c>
      <c r="U5431" s="87">
        <v>14447.01</v>
      </c>
    </row>
    <row r="5432" spans="1:21" s="30" customFormat="1" ht="24.6" hidden="1" outlineLevel="1" x14ac:dyDescent="0.55000000000000004">
      <c r="A5432" s="27" t="s">
        <v>327</v>
      </c>
      <c r="B5432" s="28"/>
      <c r="C5432" s="27"/>
      <c r="D5432" s="27" t="str">
        <f>"""NAV Direct"",""CRONUS JetCorp USA"",""21"",""1"",""408657"""</f>
        <v>"NAV Direct","CRONUS JetCorp USA","21","1","408657"</v>
      </c>
      <c r="E5432" s="31" t="str">
        <f t="shared" si="1643"/>
        <v>C100144</v>
      </c>
      <c r="F5432" s="31"/>
      <c r="G5432" s="31"/>
      <c r="H5432" s="31"/>
      <c r="I5432" s="56"/>
      <c r="J5432" s="56"/>
      <c r="K5432" s="82" t="str">
        <f t="shared" si="1644"/>
        <v>Invoice</v>
      </c>
      <c r="L5432" s="83" t="str">
        <f>"SI_112425"</f>
        <v>SI_112425</v>
      </c>
      <c r="M5432" s="84">
        <v>43644</v>
      </c>
      <c r="N5432" s="85">
        <f t="shared" si="1645"/>
        <v>168</v>
      </c>
      <c r="O5432" s="86">
        <f t="shared" si="1646"/>
        <v>8588.85</v>
      </c>
      <c r="P5432" s="86">
        <f t="shared" si="1647"/>
        <v>0</v>
      </c>
      <c r="Q5432" s="86">
        <f t="shared" si="1648"/>
        <v>0</v>
      </c>
      <c r="R5432" s="86">
        <f t="shared" si="1649"/>
        <v>0</v>
      </c>
      <c r="S5432" s="86">
        <f t="shared" si="1650"/>
        <v>0</v>
      </c>
      <c r="T5432" s="86">
        <f t="shared" si="1651"/>
        <v>8588.85</v>
      </c>
      <c r="U5432" s="87">
        <v>8588.85</v>
      </c>
    </row>
    <row r="5433" spans="1:21" s="30" customFormat="1" ht="24.6" hidden="1" outlineLevel="1" x14ac:dyDescent="0.55000000000000004">
      <c r="A5433" s="27" t="s">
        <v>327</v>
      </c>
      <c r="B5433" s="28"/>
      <c r="C5433" s="27"/>
      <c r="D5433" s="27" t="str">
        <f>"""NAV Direct"",""CRONUS JetCorp USA"",""21"",""1"",""408757"""</f>
        <v>"NAV Direct","CRONUS JetCorp USA","21","1","408757"</v>
      </c>
      <c r="E5433" s="31">
        <f t="shared" si="1643"/>
        <v>0</v>
      </c>
      <c r="F5433" s="31"/>
      <c r="G5433" s="31"/>
      <c r="H5433" s="31"/>
      <c r="I5433" s="56"/>
      <c r="J5433" s="56"/>
      <c r="K5433" s="82" t="str">
        <f t="shared" si="1644"/>
        <v>Invoice</v>
      </c>
      <c r="L5433" s="83" t="str">
        <f>"SI_112427"</f>
        <v>SI_112427</v>
      </c>
      <c r="M5433" s="84">
        <v>43657</v>
      </c>
      <c r="N5433" s="85">
        <f t="shared" si="1645"/>
        <v>155</v>
      </c>
      <c r="O5433" s="86">
        <f t="shared" si="1646"/>
        <v>8588.7900000000009</v>
      </c>
      <c r="P5433" s="86">
        <f t="shared" si="1647"/>
        <v>0</v>
      </c>
      <c r="Q5433" s="86">
        <f t="shared" si="1648"/>
        <v>0</v>
      </c>
      <c r="R5433" s="86">
        <f t="shared" si="1649"/>
        <v>0</v>
      </c>
      <c r="S5433" s="86">
        <f t="shared" si="1650"/>
        <v>0</v>
      </c>
      <c r="T5433" s="86">
        <f t="shared" si="1651"/>
        <v>8588.7900000000009</v>
      </c>
      <c r="U5433" s="87">
        <v>8588.7900000000009</v>
      </c>
    </row>
    <row r="5434" spans="1:21" s="30" customFormat="1" ht="24.6" hidden="1" outlineLevel="1" x14ac:dyDescent="0.55000000000000004">
      <c r="A5434" s="27" t="s">
        <v>327</v>
      </c>
      <c r="B5434" s="28"/>
      <c r="C5434" s="27"/>
      <c r="D5434" s="27" t="str">
        <f>"""NAV Direct"",""CRONUS JetCorp USA"",""21"",""1"",""408859"""</f>
        <v>"NAV Direct","CRONUS JetCorp USA","21","1","408859"</v>
      </c>
      <c r="E5434" s="31" t="str">
        <f t="shared" si="1643"/>
        <v>C100144</v>
      </c>
      <c r="F5434" s="31"/>
      <c r="G5434" s="31"/>
      <c r="H5434" s="31"/>
      <c r="I5434" s="56"/>
      <c r="J5434" s="56"/>
      <c r="K5434" s="82" t="str">
        <f t="shared" si="1644"/>
        <v>Invoice</v>
      </c>
      <c r="L5434" s="83" t="str">
        <f>"SI_112429"</f>
        <v>SI_112429</v>
      </c>
      <c r="M5434" s="84">
        <v>43672</v>
      </c>
      <c r="N5434" s="85">
        <f t="shared" si="1645"/>
        <v>140</v>
      </c>
      <c r="O5434" s="86">
        <f t="shared" si="1646"/>
        <v>9401.99</v>
      </c>
      <c r="P5434" s="86">
        <f t="shared" si="1647"/>
        <v>0</v>
      </c>
      <c r="Q5434" s="86">
        <f t="shared" si="1648"/>
        <v>0</v>
      </c>
      <c r="R5434" s="86">
        <f t="shared" si="1649"/>
        <v>0</v>
      </c>
      <c r="S5434" s="86">
        <f t="shared" si="1650"/>
        <v>0</v>
      </c>
      <c r="T5434" s="86">
        <f t="shared" si="1651"/>
        <v>9401.99</v>
      </c>
      <c r="U5434" s="87">
        <v>9401.99</v>
      </c>
    </row>
    <row r="5435" spans="1:21" s="30" customFormat="1" ht="24.6" hidden="1" outlineLevel="1" x14ac:dyDescent="0.55000000000000004">
      <c r="A5435" s="27" t="s">
        <v>327</v>
      </c>
      <c r="B5435" s="28"/>
      <c r="C5435" s="27"/>
      <c r="D5435" s="27" t="str">
        <f>"""NAV Direct"",""CRONUS JetCorp USA"",""21"",""1"",""408947"""</f>
        <v>"NAV Direct","CRONUS JetCorp USA","21","1","408947"</v>
      </c>
      <c r="E5435" s="31">
        <f t="shared" si="1643"/>
        <v>0</v>
      </c>
      <c r="F5435" s="31"/>
      <c r="G5435" s="31"/>
      <c r="H5435" s="31"/>
      <c r="I5435" s="56"/>
      <c r="J5435" s="56"/>
      <c r="K5435" s="82" t="str">
        <f t="shared" si="1644"/>
        <v>Invoice</v>
      </c>
      <c r="L5435" s="83" t="str">
        <f>"SI_112431"</f>
        <v>SI_112431</v>
      </c>
      <c r="M5435" s="84">
        <v>43684</v>
      </c>
      <c r="N5435" s="85">
        <f t="shared" si="1645"/>
        <v>128</v>
      </c>
      <c r="O5435" s="86">
        <f t="shared" si="1646"/>
        <v>8826.52</v>
      </c>
      <c r="P5435" s="86">
        <f t="shared" si="1647"/>
        <v>0</v>
      </c>
      <c r="Q5435" s="86">
        <f t="shared" si="1648"/>
        <v>0</v>
      </c>
      <c r="R5435" s="86">
        <f t="shared" si="1649"/>
        <v>0</v>
      </c>
      <c r="S5435" s="86">
        <f t="shared" si="1650"/>
        <v>0</v>
      </c>
      <c r="T5435" s="86">
        <f t="shared" si="1651"/>
        <v>8826.52</v>
      </c>
      <c r="U5435" s="87">
        <v>8826.52</v>
      </c>
    </row>
    <row r="5436" spans="1:21" s="30" customFormat="1" ht="24.6" hidden="1" outlineLevel="1" x14ac:dyDescent="0.55000000000000004">
      <c r="A5436" s="27" t="s">
        <v>327</v>
      </c>
      <c r="B5436" s="28"/>
      <c r="C5436" s="27"/>
      <c r="D5436" s="27" t="str">
        <f>"""NAV Direct"",""CRONUS JetCorp USA"",""21"",""1"",""409055"""</f>
        <v>"NAV Direct","CRONUS JetCorp USA","21","1","409055"</v>
      </c>
      <c r="E5436" s="31" t="str">
        <f t="shared" si="1643"/>
        <v>C100144</v>
      </c>
      <c r="F5436" s="31"/>
      <c r="G5436" s="31"/>
      <c r="H5436" s="31"/>
      <c r="I5436" s="56"/>
      <c r="J5436" s="56"/>
      <c r="K5436" s="82" t="str">
        <f t="shared" si="1644"/>
        <v>Invoice</v>
      </c>
      <c r="L5436" s="83" t="str">
        <f>"SI_112433"</f>
        <v>SI_112433</v>
      </c>
      <c r="M5436" s="84">
        <v>43696</v>
      </c>
      <c r="N5436" s="85">
        <f t="shared" si="1645"/>
        <v>116</v>
      </c>
      <c r="O5436" s="86">
        <f t="shared" si="1646"/>
        <v>9532.6099999999988</v>
      </c>
      <c r="P5436" s="86">
        <f t="shared" si="1647"/>
        <v>0</v>
      </c>
      <c r="Q5436" s="86">
        <f t="shared" si="1648"/>
        <v>0</v>
      </c>
      <c r="R5436" s="86">
        <f t="shared" si="1649"/>
        <v>0</v>
      </c>
      <c r="S5436" s="86">
        <f t="shared" si="1650"/>
        <v>0</v>
      </c>
      <c r="T5436" s="86">
        <f t="shared" si="1651"/>
        <v>9532.6099999999988</v>
      </c>
      <c r="U5436" s="87">
        <v>9532.6099999999988</v>
      </c>
    </row>
    <row r="5437" spans="1:21" s="30" customFormat="1" ht="24.6" hidden="1" outlineLevel="1" x14ac:dyDescent="0.55000000000000004">
      <c r="A5437" s="27" t="s">
        <v>327</v>
      </c>
      <c r="B5437" s="28"/>
      <c r="C5437" s="27"/>
      <c r="D5437" s="27" t="str">
        <f>"""NAV Direct"",""CRONUS JetCorp USA"",""21"",""1"",""409192"""</f>
        <v>"NAV Direct","CRONUS JetCorp USA","21","1","409192"</v>
      </c>
      <c r="E5437" s="31">
        <f t="shared" si="1643"/>
        <v>0</v>
      </c>
      <c r="F5437" s="31"/>
      <c r="G5437" s="31"/>
      <c r="H5437" s="31"/>
      <c r="I5437" s="56"/>
      <c r="J5437" s="56"/>
      <c r="K5437" s="82" t="str">
        <f t="shared" si="1644"/>
        <v>Invoice</v>
      </c>
      <c r="L5437" s="83" t="str">
        <f>"SI_112436"</f>
        <v>SI_112436</v>
      </c>
      <c r="M5437" s="84">
        <v>43701</v>
      </c>
      <c r="N5437" s="85">
        <f t="shared" si="1645"/>
        <v>111</v>
      </c>
      <c r="O5437" s="86">
        <f t="shared" si="1646"/>
        <v>9636.25</v>
      </c>
      <c r="P5437" s="86">
        <f t="shared" si="1647"/>
        <v>0</v>
      </c>
      <c r="Q5437" s="86">
        <f t="shared" si="1648"/>
        <v>0</v>
      </c>
      <c r="R5437" s="86">
        <f t="shared" si="1649"/>
        <v>0</v>
      </c>
      <c r="S5437" s="86">
        <f t="shared" si="1650"/>
        <v>0</v>
      </c>
      <c r="T5437" s="86">
        <f t="shared" si="1651"/>
        <v>9636.25</v>
      </c>
      <c r="U5437" s="87">
        <v>9636.25</v>
      </c>
    </row>
    <row r="5438" spans="1:21" s="30" customFormat="1" ht="24.6" hidden="1" outlineLevel="1" x14ac:dyDescent="0.55000000000000004">
      <c r="A5438" s="27" t="s">
        <v>327</v>
      </c>
      <c r="B5438" s="28"/>
      <c r="C5438" s="27"/>
      <c r="D5438" s="27" t="str">
        <f>"""NAV Direct"",""CRONUS JetCorp USA"",""21"",""1"",""409237"""</f>
        <v>"NAV Direct","CRONUS JetCorp USA","21","1","409237"</v>
      </c>
      <c r="E5438" s="31" t="str">
        <f t="shared" si="1643"/>
        <v>C100144</v>
      </c>
      <c r="F5438" s="31"/>
      <c r="G5438" s="31"/>
      <c r="H5438" s="31"/>
      <c r="I5438" s="56"/>
      <c r="J5438" s="56"/>
      <c r="K5438" s="82" t="str">
        <f t="shared" si="1644"/>
        <v>Invoice</v>
      </c>
      <c r="L5438" s="83" t="str">
        <f>"SI_112437"</f>
        <v>SI_112437</v>
      </c>
      <c r="M5438" s="84">
        <v>43728</v>
      </c>
      <c r="N5438" s="85">
        <f t="shared" si="1645"/>
        <v>84</v>
      </c>
      <c r="O5438" s="86">
        <f t="shared" si="1646"/>
        <v>11068.21</v>
      </c>
      <c r="P5438" s="86">
        <f t="shared" si="1647"/>
        <v>0</v>
      </c>
      <c r="Q5438" s="86">
        <f t="shared" si="1648"/>
        <v>0</v>
      </c>
      <c r="R5438" s="86">
        <f t="shared" si="1649"/>
        <v>0</v>
      </c>
      <c r="S5438" s="86">
        <f t="shared" si="1650"/>
        <v>11068.21</v>
      </c>
      <c r="T5438" s="86">
        <f t="shared" si="1651"/>
        <v>0</v>
      </c>
      <c r="U5438" s="87">
        <v>11068.21</v>
      </c>
    </row>
    <row r="5439" spans="1:21" s="30" customFormat="1" ht="24.6" hidden="1" outlineLevel="1" x14ac:dyDescent="0.55000000000000004">
      <c r="A5439" s="27" t="s">
        <v>327</v>
      </c>
      <c r="B5439" s="28"/>
      <c r="C5439" s="27"/>
      <c r="D5439" s="27" t="str">
        <f>"""NAV Direct"",""CRONUS JetCorp USA"",""21"",""1"",""409294"""</f>
        <v>"NAV Direct","CRONUS JetCorp USA","21","1","409294"</v>
      </c>
      <c r="E5439" s="31">
        <f t="shared" si="1643"/>
        <v>0</v>
      </c>
      <c r="F5439" s="31"/>
      <c r="G5439" s="31"/>
      <c r="H5439" s="31"/>
      <c r="I5439" s="56"/>
      <c r="J5439" s="56"/>
      <c r="K5439" s="82" t="str">
        <f t="shared" si="1644"/>
        <v>Invoice</v>
      </c>
      <c r="L5439" s="83" t="str">
        <f>"SI_112438"</f>
        <v>SI_112438</v>
      </c>
      <c r="M5439" s="84">
        <v>43729</v>
      </c>
      <c r="N5439" s="85">
        <f t="shared" si="1645"/>
        <v>83</v>
      </c>
      <c r="O5439" s="86">
        <f t="shared" si="1646"/>
        <v>11068.09</v>
      </c>
      <c r="P5439" s="86">
        <f t="shared" si="1647"/>
        <v>0</v>
      </c>
      <c r="Q5439" s="86">
        <f t="shared" si="1648"/>
        <v>0</v>
      </c>
      <c r="R5439" s="86">
        <f t="shared" si="1649"/>
        <v>0</v>
      </c>
      <c r="S5439" s="86">
        <f t="shared" si="1650"/>
        <v>11068.09</v>
      </c>
      <c r="T5439" s="86">
        <f t="shared" si="1651"/>
        <v>0</v>
      </c>
      <c r="U5439" s="87">
        <v>11068.09</v>
      </c>
    </row>
    <row r="5440" spans="1:21" s="30" customFormat="1" ht="24.6" hidden="1" outlineLevel="1" x14ac:dyDescent="0.55000000000000004">
      <c r="A5440" s="27" t="s">
        <v>327</v>
      </c>
      <c r="B5440" s="28"/>
      <c r="C5440" s="27"/>
      <c r="D5440" s="27" t="str">
        <f>"""NAV Direct"",""CRONUS JetCorp USA"",""21"",""1"",""409347"""</f>
        <v>"NAV Direct","CRONUS JetCorp USA","21","1","409347"</v>
      </c>
      <c r="E5440" s="31" t="str">
        <f t="shared" si="1643"/>
        <v>C100144</v>
      </c>
      <c r="F5440" s="31"/>
      <c r="G5440" s="31"/>
      <c r="H5440" s="31"/>
      <c r="I5440" s="56"/>
      <c r="J5440" s="56"/>
      <c r="K5440" s="82" t="str">
        <f t="shared" si="1644"/>
        <v>Invoice</v>
      </c>
      <c r="L5440" s="83" t="str">
        <f>"SI_112439"</f>
        <v>SI_112439</v>
      </c>
      <c r="M5440" s="84">
        <v>43734</v>
      </c>
      <c r="N5440" s="85">
        <f t="shared" si="1645"/>
        <v>78</v>
      </c>
      <c r="O5440" s="86">
        <f t="shared" si="1646"/>
        <v>11068.050000000001</v>
      </c>
      <c r="P5440" s="86">
        <f t="shared" si="1647"/>
        <v>0</v>
      </c>
      <c r="Q5440" s="86">
        <f t="shared" si="1648"/>
        <v>0</v>
      </c>
      <c r="R5440" s="86">
        <f t="shared" si="1649"/>
        <v>0</v>
      </c>
      <c r="S5440" s="86">
        <f t="shared" si="1650"/>
        <v>11068.050000000001</v>
      </c>
      <c r="T5440" s="86">
        <f t="shared" si="1651"/>
        <v>0</v>
      </c>
      <c r="U5440" s="87">
        <v>11068.050000000001</v>
      </c>
    </row>
    <row r="5441" spans="1:21" s="30" customFormat="1" ht="24.6" hidden="1" outlineLevel="1" x14ac:dyDescent="0.55000000000000004">
      <c r="A5441" s="27" t="s">
        <v>327</v>
      </c>
      <c r="B5441" s="28"/>
      <c r="C5441" s="27"/>
      <c r="D5441" s="27" t="str">
        <f>"""NAV Direct"",""CRONUS JetCorp USA"",""21"",""1"",""409543"""</f>
        <v>"NAV Direct","CRONUS JetCorp USA","21","1","409543"</v>
      </c>
      <c r="E5441" s="31">
        <f t="shared" si="1643"/>
        <v>0</v>
      </c>
      <c r="F5441" s="31"/>
      <c r="G5441" s="31"/>
      <c r="H5441" s="31"/>
      <c r="I5441" s="56"/>
      <c r="J5441" s="56"/>
      <c r="K5441" s="82" t="str">
        <f t="shared" si="1644"/>
        <v>Invoice</v>
      </c>
      <c r="L5441" s="83" t="str">
        <f>"SI_112443"</f>
        <v>SI_112443</v>
      </c>
      <c r="M5441" s="84">
        <v>43758</v>
      </c>
      <c r="N5441" s="85">
        <f t="shared" si="1645"/>
        <v>54</v>
      </c>
      <c r="O5441" s="86">
        <f t="shared" si="1646"/>
        <v>11429.32</v>
      </c>
      <c r="P5441" s="86">
        <f t="shared" si="1647"/>
        <v>0</v>
      </c>
      <c r="Q5441" s="86">
        <f t="shared" si="1648"/>
        <v>0</v>
      </c>
      <c r="R5441" s="86">
        <f t="shared" si="1649"/>
        <v>11429.32</v>
      </c>
      <c r="S5441" s="86">
        <f t="shared" si="1650"/>
        <v>0</v>
      </c>
      <c r="T5441" s="86">
        <f t="shared" si="1651"/>
        <v>0</v>
      </c>
      <c r="U5441" s="87">
        <v>11429.32</v>
      </c>
    </row>
    <row r="5442" spans="1:21" s="30" customFormat="1" ht="24.6" hidden="1" outlineLevel="1" x14ac:dyDescent="0.55000000000000004">
      <c r="A5442" s="27" t="s">
        <v>327</v>
      </c>
      <c r="B5442" s="28"/>
      <c r="C5442" s="27"/>
      <c r="D5442" s="27" t="str">
        <f>"""NAV Direct"",""CRONUS JetCorp USA"",""21"",""1"",""409826"""</f>
        <v>"NAV Direct","CRONUS JetCorp USA","21","1","409826"</v>
      </c>
      <c r="E5442" s="31" t="str">
        <f t="shared" si="1643"/>
        <v>C100144</v>
      </c>
      <c r="F5442" s="31"/>
      <c r="G5442" s="31"/>
      <c r="H5442" s="31"/>
      <c r="I5442" s="56"/>
      <c r="J5442" s="56"/>
      <c r="K5442" s="82" t="str">
        <f t="shared" si="1644"/>
        <v>Invoice</v>
      </c>
      <c r="L5442" s="83" t="str">
        <f>"SI_112448"</f>
        <v>SI_112448</v>
      </c>
      <c r="M5442" s="84">
        <v>43791</v>
      </c>
      <c r="N5442" s="85">
        <f t="shared" si="1645"/>
        <v>21</v>
      </c>
      <c r="O5442" s="86">
        <f t="shared" si="1646"/>
        <v>12888.080000000002</v>
      </c>
      <c r="P5442" s="86">
        <f t="shared" si="1647"/>
        <v>0</v>
      </c>
      <c r="Q5442" s="86">
        <f t="shared" si="1648"/>
        <v>12888.080000000002</v>
      </c>
      <c r="R5442" s="86">
        <f t="shared" si="1649"/>
        <v>0</v>
      </c>
      <c r="S5442" s="86">
        <f t="shared" si="1650"/>
        <v>0</v>
      </c>
      <c r="T5442" s="86">
        <f t="shared" si="1651"/>
        <v>0</v>
      </c>
      <c r="U5442" s="87">
        <v>12888.080000000002</v>
      </c>
    </row>
    <row r="5443" spans="1:21" s="30" customFormat="1" ht="24.6" hidden="1" outlineLevel="1" x14ac:dyDescent="0.55000000000000004">
      <c r="A5443" s="27" t="s">
        <v>327</v>
      </c>
      <c r="B5443" s="28"/>
      <c r="C5443" s="27"/>
      <c r="D5443" s="27" t="str">
        <f>"""NAV Direct"",""CRONUS JetCorp USA"",""21"",""1"",""410471"""</f>
        <v>"NAV Direct","CRONUS JetCorp USA","21","1","410471"</v>
      </c>
      <c r="E5443" s="31">
        <f t="shared" si="1643"/>
        <v>0</v>
      </c>
      <c r="F5443" s="31"/>
      <c r="G5443" s="31"/>
      <c r="H5443" s="31"/>
      <c r="I5443" s="56"/>
      <c r="J5443" s="56"/>
      <c r="K5443" s="82" t="str">
        <f t="shared" si="1644"/>
        <v>Invoice</v>
      </c>
      <c r="L5443" s="83" t="str">
        <f>"SI_112459"</f>
        <v>SI_112459</v>
      </c>
      <c r="M5443" s="84">
        <v>42035</v>
      </c>
      <c r="N5443" s="85">
        <f t="shared" si="1645"/>
        <v>1777</v>
      </c>
      <c r="O5443" s="86">
        <f t="shared" si="1646"/>
        <v>12101.84</v>
      </c>
      <c r="P5443" s="86">
        <f t="shared" si="1647"/>
        <v>0</v>
      </c>
      <c r="Q5443" s="86">
        <f t="shared" si="1648"/>
        <v>0</v>
      </c>
      <c r="R5443" s="86">
        <f t="shared" si="1649"/>
        <v>0</v>
      </c>
      <c r="S5443" s="86">
        <f t="shared" si="1650"/>
        <v>0</v>
      </c>
      <c r="T5443" s="86">
        <f t="shared" si="1651"/>
        <v>12101.84</v>
      </c>
      <c r="U5443" s="87">
        <v>12101.84</v>
      </c>
    </row>
    <row r="5444" spans="1:21" s="30" customFormat="1" ht="24.6" hidden="1" outlineLevel="1" x14ac:dyDescent="0.55000000000000004">
      <c r="A5444" s="27" t="s">
        <v>327</v>
      </c>
      <c r="B5444" s="28"/>
      <c r="C5444" s="27"/>
      <c r="D5444" s="27" t="str">
        <f>"""NAV Direct"",""CRONUS JetCorp USA"",""21"",""1"",""410966"""</f>
        <v>"NAV Direct","CRONUS JetCorp USA","21","1","410966"</v>
      </c>
      <c r="E5444" s="31" t="str">
        <f t="shared" si="1643"/>
        <v>C100144</v>
      </c>
      <c r="F5444" s="31"/>
      <c r="G5444" s="31"/>
      <c r="H5444" s="31"/>
      <c r="I5444" s="56"/>
      <c r="J5444" s="56"/>
      <c r="K5444" s="82" t="str">
        <f t="shared" si="1644"/>
        <v>Invoice</v>
      </c>
      <c r="L5444" s="83" t="str">
        <f>"SI_112468"</f>
        <v>SI_112468</v>
      </c>
      <c r="M5444" s="84">
        <v>42084</v>
      </c>
      <c r="N5444" s="85">
        <f t="shared" si="1645"/>
        <v>1728</v>
      </c>
      <c r="O5444" s="86">
        <f t="shared" si="1646"/>
        <v>13457.269999999999</v>
      </c>
      <c r="P5444" s="86">
        <f t="shared" si="1647"/>
        <v>0</v>
      </c>
      <c r="Q5444" s="86">
        <f t="shared" si="1648"/>
        <v>0</v>
      </c>
      <c r="R5444" s="86">
        <f t="shared" si="1649"/>
        <v>0</v>
      </c>
      <c r="S5444" s="86">
        <f t="shared" si="1650"/>
        <v>0</v>
      </c>
      <c r="T5444" s="86">
        <f t="shared" si="1651"/>
        <v>13457.269999999999</v>
      </c>
      <c r="U5444" s="87">
        <v>13457.269999999999</v>
      </c>
    </row>
    <row r="5445" spans="1:21" s="30" customFormat="1" ht="24.6" hidden="1" outlineLevel="1" x14ac:dyDescent="0.55000000000000004">
      <c r="A5445" s="27" t="s">
        <v>327</v>
      </c>
      <c r="B5445" s="28"/>
      <c r="C5445" s="27"/>
      <c r="D5445" s="27" t="str">
        <f>"""NAV Direct"",""CRONUS JetCorp USA"",""21"",""1"",""411269"""</f>
        <v>"NAV Direct","CRONUS JetCorp USA","21","1","411269"</v>
      </c>
      <c r="E5445" s="31">
        <f t="shared" si="1643"/>
        <v>0</v>
      </c>
      <c r="F5445" s="31"/>
      <c r="G5445" s="31"/>
      <c r="H5445" s="31"/>
      <c r="I5445" s="56"/>
      <c r="J5445" s="56"/>
      <c r="K5445" s="82" t="str">
        <f t="shared" si="1644"/>
        <v>Invoice</v>
      </c>
      <c r="L5445" s="83" t="str">
        <f>"SI_112473"</f>
        <v>SI_112473</v>
      </c>
      <c r="M5445" s="84">
        <v>42112</v>
      </c>
      <c r="N5445" s="85">
        <f t="shared" si="1645"/>
        <v>1700</v>
      </c>
      <c r="O5445" s="86">
        <f t="shared" si="1646"/>
        <v>13673.79</v>
      </c>
      <c r="P5445" s="86">
        <f t="shared" si="1647"/>
        <v>0</v>
      </c>
      <c r="Q5445" s="86">
        <f t="shared" si="1648"/>
        <v>0</v>
      </c>
      <c r="R5445" s="86">
        <f t="shared" si="1649"/>
        <v>0</v>
      </c>
      <c r="S5445" s="86">
        <f t="shared" si="1650"/>
        <v>0</v>
      </c>
      <c r="T5445" s="86">
        <f t="shared" si="1651"/>
        <v>13673.79</v>
      </c>
      <c r="U5445" s="87">
        <v>13673.79</v>
      </c>
    </row>
    <row r="5446" spans="1:21" s="30" customFormat="1" ht="24.6" hidden="1" outlineLevel="1" x14ac:dyDescent="0.55000000000000004">
      <c r="A5446" s="27" t="s">
        <v>327</v>
      </c>
      <c r="B5446" s="28"/>
      <c r="C5446" s="27"/>
      <c r="D5446" s="27" t="str">
        <f>"""NAV Direct"",""CRONUS JetCorp USA"",""21"",""1"",""411415"""</f>
        <v>"NAV Direct","CRONUS JetCorp USA","21","1","411415"</v>
      </c>
      <c r="E5446" s="31" t="str">
        <f t="shared" si="1643"/>
        <v>C100144</v>
      </c>
      <c r="F5446" s="31"/>
      <c r="G5446" s="31"/>
      <c r="H5446" s="31"/>
      <c r="I5446" s="56"/>
      <c r="J5446" s="56"/>
      <c r="K5446" s="82" t="str">
        <f t="shared" si="1644"/>
        <v>Invoice</v>
      </c>
      <c r="L5446" s="83" t="str">
        <f>"SI_112475"</f>
        <v>SI_112475</v>
      </c>
      <c r="M5446" s="84">
        <v>42114</v>
      </c>
      <c r="N5446" s="85">
        <f t="shared" si="1645"/>
        <v>1698</v>
      </c>
      <c r="O5446" s="86">
        <f t="shared" si="1646"/>
        <v>14605.740000000002</v>
      </c>
      <c r="P5446" s="86">
        <f t="shared" si="1647"/>
        <v>0</v>
      </c>
      <c r="Q5446" s="86">
        <f t="shared" si="1648"/>
        <v>0</v>
      </c>
      <c r="R5446" s="86">
        <f t="shared" si="1649"/>
        <v>0</v>
      </c>
      <c r="S5446" s="86">
        <f t="shared" si="1650"/>
        <v>0</v>
      </c>
      <c r="T5446" s="86">
        <f t="shared" si="1651"/>
        <v>14605.740000000002</v>
      </c>
      <c r="U5446" s="87">
        <v>14605.740000000002</v>
      </c>
    </row>
    <row r="5447" spans="1:21" s="30" customFormat="1" ht="24.6" hidden="1" outlineLevel="1" x14ac:dyDescent="0.55000000000000004">
      <c r="A5447" s="27" t="s">
        <v>327</v>
      </c>
      <c r="B5447" s="28"/>
      <c r="C5447" s="27"/>
      <c r="D5447" s="27" t="str">
        <f>"""NAV Direct"",""CRONUS JetCorp USA"",""21"",""1"",""411600"""</f>
        <v>"NAV Direct","CRONUS JetCorp USA","21","1","411600"</v>
      </c>
      <c r="E5447" s="31">
        <f t="shared" si="1643"/>
        <v>0</v>
      </c>
      <c r="F5447" s="31"/>
      <c r="G5447" s="31"/>
      <c r="H5447" s="31"/>
      <c r="I5447" s="56"/>
      <c r="J5447" s="56"/>
      <c r="K5447" s="82" t="str">
        <f t="shared" si="1644"/>
        <v>Invoice</v>
      </c>
      <c r="L5447" s="83" t="str">
        <f>"SI_112478"</f>
        <v>SI_112478</v>
      </c>
      <c r="M5447" s="84">
        <v>42121</v>
      </c>
      <c r="N5447" s="85">
        <f t="shared" si="1645"/>
        <v>1691</v>
      </c>
      <c r="O5447" s="86">
        <f t="shared" si="1646"/>
        <v>13673.89</v>
      </c>
      <c r="P5447" s="86">
        <f t="shared" si="1647"/>
        <v>0</v>
      </c>
      <c r="Q5447" s="86">
        <f t="shared" si="1648"/>
        <v>0</v>
      </c>
      <c r="R5447" s="86">
        <f t="shared" si="1649"/>
        <v>0</v>
      </c>
      <c r="S5447" s="86">
        <f t="shared" si="1650"/>
        <v>0</v>
      </c>
      <c r="T5447" s="86">
        <f t="shared" si="1651"/>
        <v>13673.89</v>
      </c>
      <c r="U5447" s="87">
        <v>13673.89</v>
      </c>
    </row>
    <row r="5448" spans="1:21" s="30" customFormat="1" ht="24.6" hidden="1" outlineLevel="1" x14ac:dyDescent="0.55000000000000004">
      <c r="A5448" s="27" t="s">
        <v>327</v>
      </c>
      <c r="B5448" s="28"/>
      <c r="C5448" s="27"/>
      <c r="D5448" s="27" t="str">
        <f>"""NAV Direct"",""CRONUS JetCorp USA"",""21"",""1"",""411722"""</f>
        <v>"NAV Direct","CRONUS JetCorp USA","21","1","411722"</v>
      </c>
      <c r="E5448" s="31" t="str">
        <f t="shared" si="1643"/>
        <v>C100144</v>
      </c>
      <c r="F5448" s="31"/>
      <c r="G5448" s="31"/>
      <c r="H5448" s="31"/>
      <c r="I5448" s="56"/>
      <c r="J5448" s="56"/>
      <c r="K5448" s="82" t="str">
        <f t="shared" si="1644"/>
        <v>Invoice</v>
      </c>
      <c r="L5448" s="83" t="str">
        <f>"SI_112480"</f>
        <v>SI_112480</v>
      </c>
      <c r="M5448" s="84">
        <v>42125</v>
      </c>
      <c r="N5448" s="85">
        <f t="shared" si="1645"/>
        <v>1687</v>
      </c>
      <c r="O5448" s="86">
        <f t="shared" si="1646"/>
        <v>13363.079999999998</v>
      </c>
      <c r="P5448" s="86">
        <f t="shared" si="1647"/>
        <v>0</v>
      </c>
      <c r="Q5448" s="86">
        <f t="shared" si="1648"/>
        <v>0</v>
      </c>
      <c r="R5448" s="86">
        <f t="shared" si="1649"/>
        <v>0</v>
      </c>
      <c r="S5448" s="86">
        <f t="shared" si="1650"/>
        <v>0</v>
      </c>
      <c r="T5448" s="86">
        <f t="shared" si="1651"/>
        <v>13363.079999999998</v>
      </c>
      <c r="U5448" s="87">
        <v>13363.079999999998</v>
      </c>
    </row>
    <row r="5449" spans="1:21" s="30" customFormat="1" ht="24.6" hidden="1" outlineLevel="1" x14ac:dyDescent="0.55000000000000004">
      <c r="A5449" s="27" t="s">
        <v>327</v>
      </c>
      <c r="B5449" s="28"/>
      <c r="C5449" s="27"/>
      <c r="D5449" s="27" t="str">
        <f>"""NAV Direct"",""CRONUS JetCorp USA"",""21"",""1"",""411930"""</f>
        <v>"NAV Direct","CRONUS JetCorp USA","21","1","411930"</v>
      </c>
      <c r="E5449" s="31">
        <f t="shared" si="1643"/>
        <v>0</v>
      </c>
      <c r="F5449" s="31"/>
      <c r="G5449" s="31"/>
      <c r="H5449" s="31"/>
      <c r="I5449" s="56"/>
      <c r="J5449" s="56"/>
      <c r="K5449" s="82" t="str">
        <f t="shared" si="1644"/>
        <v>Invoice</v>
      </c>
      <c r="L5449" s="83" t="str">
        <f>"SI_112484"</f>
        <v>SI_112484</v>
      </c>
      <c r="M5449" s="84">
        <v>42149</v>
      </c>
      <c r="N5449" s="85">
        <f t="shared" si="1645"/>
        <v>1663</v>
      </c>
      <c r="O5449" s="86">
        <f t="shared" si="1646"/>
        <v>9136.68</v>
      </c>
      <c r="P5449" s="86">
        <f t="shared" si="1647"/>
        <v>0</v>
      </c>
      <c r="Q5449" s="86">
        <f t="shared" si="1648"/>
        <v>0</v>
      </c>
      <c r="R5449" s="86">
        <f t="shared" si="1649"/>
        <v>0</v>
      </c>
      <c r="S5449" s="86">
        <f t="shared" si="1650"/>
        <v>0</v>
      </c>
      <c r="T5449" s="86">
        <f t="shared" si="1651"/>
        <v>9136.68</v>
      </c>
      <c r="U5449" s="87">
        <v>9136.68</v>
      </c>
    </row>
    <row r="5450" spans="1:21" s="30" customFormat="1" ht="24.6" hidden="1" outlineLevel="1" x14ac:dyDescent="0.55000000000000004">
      <c r="A5450" s="27" t="s">
        <v>327</v>
      </c>
      <c r="B5450" s="28"/>
      <c r="C5450" s="27"/>
      <c r="D5450" s="27" t="str">
        <f>"""NAV Direct"",""CRONUS JetCorp USA"",""21"",""1"",""412638"""</f>
        <v>"NAV Direct","CRONUS JetCorp USA","21","1","412638"</v>
      </c>
      <c r="E5450" s="31" t="str">
        <f t="shared" si="1643"/>
        <v>C100144</v>
      </c>
      <c r="F5450" s="31"/>
      <c r="G5450" s="31"/>
      <c r="H5450" s="31"/>
      <c r="I5450" s="56"/>
      <c r="J5450" s="56"/>
      <c r="K5450" s="82" t="str">
        <f t="shared" si="1644"/>
        <v>Invoice</v>
      </c>
      <c r="L5450" s="83" t="str">
        <f>"SI_112498"</f>
        <v>SI_112498</v>
      </c>
      <c r="M5450" s="84">
        <v>42219</v>
      </c>
      <c r="N5450" s="85">
        <f t="shared" si="1645"/>
        <v>1593</v>
      </c>
      <c r="O5450" s="86">
        <f t="shared" si="1646"/>
        <v>9808.85</v>
      </c>
      <c r="P5450" s="86">
        <f t="shared" si="1647"/>
        <v>0</v>
      </c>
      <c r="Q5450" s="86">
        <f t="shared" si="1648"/>
        <v>0</v>
      </c>
      <c r="R5450" s="86">
        <f t="shared" si="1649"/>
        <v>0</v>
      </c>
      <c r="S5450" s="86">
        <f t="shared" si="1650"/>
        <v>0</v>
      </c>
      <c r="T5450" s="86">
        <f t="shared" si="1651"/>
        <v>9808.85</v>
      </c>
      <c r="U5450" s="87">
        <v>9808.85</v>
      </c>
    </row>
    <row r="5451" spans="1:21" s="30" customFormat="1" ht="24.6" hidden="1" outlineLevel="1" x14ac:dyDescent="0.55000000000000004">
      <c r="A5451" s="27" t="s">
        <v>327</v>
      </c>
      <c r="B5451" s="28"/>
      <c r="C5451" s="27"/>
      <c r="D5451" s="27" t="str">
        <f>"""NAV Direct"",""CRONUS JetCorp USA"",""21"",""1"",""412736"""</f>
        <v>"NAV Direct","CRONUS JetCorp USA","21","1","412736"</v>
      </c>
      <c r="E5451" s="31">
        <f t="shared" si="1643"/>
        <v>0</v>
      </c>
      <c r="F5451" s="31"/>
      <c r="G5451" s="31"/>
      <c r="H5451" s="31"/>
      <c r="I5451" s="56"/>
      <c r="J5451" s="56"/>
      <c r="K5451" s="82" t="str">
        <f t="shared" si="1644"/>
        <v>Invoice</v>
      </c>
      <c r="L5451" s="83" t="str">
        <f>"SI_112500"</f>
        <v>SI_112500</v>
      </c>
      <c r="M5451" s="84">
        <v>42236</v>
      </c>
      <c r="N5451" s="85">
        <f t="shared" si="1645"/>
        <v>1576</v>
      </c>
      <c r="O5451" s="86">
        <f t="shared" si="1646"/>
        <v>10593.67</v>
      </c>
      <c r="P5451" s="86">
        <f t="shared" si="1647"/>
        <v>0</v>
      </c>
      <c r="Q5451" s="86">
        <f t="shared" si="1648"/>
        <v>0</v>
      </c>
      <c r="R5451" s="86">
        <f t="shared" si="1649"/>
        <v>0</v>
      </c>
      <c r="S5451" s="86">
        <f t="shared" si="1650"/>
        <v>0</v>
      </c>
      <c r="T5451" s="86">
        <f t="shared" si="1651"/>
        <v>10593.67</v>
      </c>
      <c r="U5451" s="87">
        <v>10593.67</v>
      </c>
    </row>
    <row r="5452" spans="1:21" s="30" customFormat="1" ht="24.6" hidden="1" outlineLevel="1" x14ac:dyDescent="0.55000000000000004">
      <c r="A5452" s="27" t="s">
        <v>327</v>
      </c>
      <c r="B5452" s="28"/>
      <c r="C5452" s="27"/>
      <c r="D5452" s="27" t="str">
        <f>"""NAV Direct"",""CRONUS JetCorp USA"",""21"",""1"",""412842"""</f>
        <v>"NAV Direct","CRONUS JetCorp USA","21","1","412842"</v>
      </c>
      <c r="E5452" s="31" t="str">
        <f t="shared" si="1643"/>
        <v>C100144</v>
      </c>
      <c r="F5452" s="31"/>
      <c r="G5452" s="31"/>
      <c r="H5452" s="31"/>
      <c r="I5452" s="56"/>
      <c r="J5452" s="56"/>
      <c r="K5452" s="82" t="str">
        <f t="shared" si="1644"/>
        <v>Invoice</v>
      </c>
      <c r="L5452" s="83" t="str">
        <f>"SI_112502"</f>
        <v>SI_112502</v>
      </c>
      <c r="M5452" s="84">
        <v>42240</v>
      </c>
      <c r="N5452" s="85">
        <f t="shared" si="1645"/>
        <v>1572</v>
      </c>
      <c r="O5452" s="86">
        <f t="shared" si="1646"/>
        <v>10593.58</v>
      </c>
      <c r="P5452" s="86">
        <f t="shared" si="1647"/>
        <v>0</v>
      </c>
      <c r="Q5452" s="86">
        <f t="shared" si="1648"/>
        <v>0</v>
      </c>
      <c r="R5452" s="86">
        <f t="shared" si="1649"/>
        <v>0</v>
      </c>
      <c r="S5452" s="86">
        <f t="shared" si="1650"/>
        <v>0</v>
      </c>
      <c r="T5452" s="86">
        <f t="shared" si="1651"/>
        <v>10593.58</v>
      </c>
      <c r="U5452" s="87">
        <v>10593.58</v>
      </c>
    </row>
    <row r="5453" spans="1:21" s="30" customFormat="1" ht="24.6" hidden="1" outlineLevel="1" x14ac:dyDescent="0.55000000000000004">
      <c r="A5453" s="27" t="s">
        <v>327</v>
      </c>
      <c r="B5453" s="28"/>
      <c r="C5453" s="27"/>
      <c r="D5453" s="27" t="str">
        <f>"""NAV Direct"",""CRONUS JetCorp USA"",""21"",""1"",""412964"""</f>
        <v>"NAV Direct","CRONUS JetCorp USA","21","1","412964"</v>
      </c>
      <c r="E5453" s="31">
        <f t="shared" si="1643"/>
        <v>0</v>
      </c>
      <c r="F5453" s="31"/>
      <c r="G5453" s="31"/>
      <c r="H5453" s="31"/>
      <c r="I5453" s="56"/>
      <c r="J5453" s="56"/>
      <c r="K5453" s="82" t="str">
        <f t="shared" si="1644"/>
        <v>Invoice</v>
      </c>
      <c r="L5453" s="83" t="str">
        <f>"SI_112504"</f>
        <v>SI_112504</v>
      </c>
      <c r="M5453" s="84">
        <v>42242</v>
      </c>
      <c r="N5453" s="85">
        <f t="shared" si="1645"/>
        <v>1570</v>
      </c>
      <c r="O5453" s="86">
        <f t="shared" si="1646"/>
        <v>10265.949999999999</v>
      </c>
      <c r="P5453" s="86">
        <f t="shared" si="1647"/>
        <v>0</v>
      </c>
      <c r="Q5453" s="86">
        <f t="shared" si="1648"/>
        <v>0</v>
      </c>
      <c r="R5453" s="86">
        <f t="shared" si="1649"/>
        <v>0</v>
      </c>
      <c r="S5453" s="86">
        <f t="shared" si="1650"/>
        <v>0</v>
      </c>
      <c r="T5453" s="86">
        <f t="shared" si="1651"/>
        <v>10265.949999999999</v>
      </c>
      <c r="U5453" s="87">
        <v>10265.949999999999</v>
      </c>
    </row>
    <row r="5454" spans="1:21" s="30" customFormat="1" ht="24.6" hidden="1" outlineLevel="1" x14ac:dyDescent="0.55000000000000004">
      <c r="A5454" s="27" t="s">
        <v>327</v>
      </c>
      <c r="B5454" s="28"/>
      <c r="C5454" s="27"/>
      <c r="D5454" s="27" t="str">
        <f>"""NAV Direct"",""CRONUS JetCorp USA"",""21"",""1"",""413066"""</f>
        <v>"NAV Direct","CRONUS JetCorp USA","21","1","413066"</v>
      </c>
      <c r="E5454" s="31" t="str">
        <f t="shared" ref="E5454:E5480" si="1652">E5452</f>
        <v>C100144</v>
      </c>
      <c r="F5454" s="31"/>
      <c r="G5454" s="31"/>
      <c r="H5454" s="31"/>
      <c r="I5454" s="56"/>
      <c r="J5454" s="56"/>
      <c r="K5454" s="82" t="str">
        <f t="shared" ref="K5454:K5460" si="1653">"Invoice"</f>
        <v>Invoice</v>
      </c>
      <c r="L5454" s="83" t="str">
        <f>"SI_112506"</f>
        <v>SI_112506</v>
      </c>
      <c r="M5454" s="84">
        <v>42264</v>
      </c>
      <c r="N5454" s="85">
        <f t="shared" ref="N5454:N5480" si="1654">StartDate-$M5454+1</f>
        <v>1548</v>
      </c>
      <c r="O5454" s="86">
        <f t="shared" ref="O5454:O5480" si="1655">SUM(P5454:T5454)</f>
        <v>10832.81</v>
      </c>
      <c r="P5454" s="86">
        <f t="shared" ref="P5454:P5480" si="1656">IF($M5454&gt;=$P$18,U5454,0)</f>
        <v>0</v>
      </c>
      <c r="Q5454" s="86">
        <f t="shared" ref="Q5454:Q5480" si="1657">IF(AND($M5454&gt;=$Q$16,$M5454&lt;=$Q$18),U5454,0)</f>
        <v>0</v>
      </c>
      <c r="R5454" s="86">
        <f t="shared" ref="R5454:R5480" si="1658">IF(AND($M5454&gt;=$R$16,$M5454&lt;=$R$18),U5454,0)</f>
        <v>0</v>
      </c>
      <c r="S5454" s="86">
        <f t="shared" ref="S5454:S5480" si="1659">IF(AND($M5454&gt;=$S$16,$M5454&lt;=$S$18),U5454,0)</f>
        <v>0</v>
      </c>
      <c r="T5454" s="86">
        <f t="shared" ref="T5454:T5480" si="1660">IF($M5454&lt;=$T$18,U5454,0)</f>
        <v>10832.81</v>
      </c>
      <c r="U5454" s="87">
        <v>10832.81</v>
      </c>
    </row>
    <row r="5455" spans="1:21" s="30" customFormat="1" ht="24.6" hidden="1" outlineLevel="1" x14ac:dyDescent="0.55000000000000004">
      <c r="A5455" s="27" t="s">
        <v>327</v>
      </c>
      <c r="B5455" s="28"/>
      <c r="C5455" s="27"/>
      <c r="D5455" s="27" t="str">
        <f>"""NAV Direct"",""CRONUS JetCorp USA"",""21"",""1"",""413335"""</f>
        <v>"NAV Direct","CRONUS JetCorp USA","21","1","413335"</v>
      </c>
      <c r="E5455" s="31">
        <f t="shared" si="1652"/>
        <v>0</v>
      </c>
      <c r="F5455" s="31"/>
      <c r="G5455" s="31"/>
      <c r="H5455" s="31"/>
      <c r="I5455" s="56"/>
      <c r="J5455" s="56"/>
      <c r="K5455" s="82" t="str">
        <f t="shared" si="1653"/>
        <v>Invoice</v>
      </c>
      <c r="L5455" s="83" t="str">
        <f>"SI_112511"</f>
        <v>SI_112511</v>
      </c>
      <c r="M5455" s="84">
        <v>42296</v>
      </c>
      <c r="N5455" s="85">
        <f t="shared" si="1654"/>
        <v>1516</v>
      </c>
      <c r="O5455" s="86">
        <f t="shared" si="1655"/>
        <v>12439.86</v>
      </c>
      <c r="P5455" s="86">
        <f t="shared" si="1656"/>
        <v>0</v>
      </c>
      <c r="Q5455" s="86">
        <f t="shared" si="1657"/>
        <v>0</v>
      </c>
      <c r="R5455" s="86">
        <f t="shared" si="1658"/>
        <v>0</v>
      </c>
      <c r="S5455" s="86">
        <f t="shared" si="1659"/>
        <v>0</v>
      </c>
      <c r="T5455" s="86">
        <f t="shared" si="1660"/>
        <v>12439.86</v>
      </c>
      <c r="U5455" s="87">
        <v>12439.86</v>
      </c>
    </row>
    <row r="5456" spans="1:21" s="30" customFormat="1" ht="24.6" hidden="1" outlineLevel="1" x14ac:dyDescent="0.55000000000000004">
      <c r="A5456" s="27" t="s">
        <v>327</v>
      </c>
      <c r="B5456" s="28"/>
      <c r="C5456" s="27"/>
      <c r="D5456" s="27" t="str">
        <f>"""NAV Direct"",""CRONUS JetCorp USA"",""21"",""1"",""413904"""</f>
        <v>"NAV Direct","CRONUS JetCorp USA","21","1","413904"</v>
      </c>
      <c r="E5456" s="31" t="str">
        <f t="shared" si="1652"/>
        <v>C100144</v>
      </c>
      <c r="F5456" s="31"/>
      <c r="G5456" s="31"/>
      <c r="H5456" s="31"/>
      <c r="I5456" s="56"/>
      <c r="J5456" s="56"/>
      <c r="K5456" s="82" t="str">
        <f t="shared" si="1653"/>
        <v>Invoice</v>
      </c>
      <c r="L5456" s="83" t="str">
        <f>"SI_112521"</f>
        <v>SI_112521</v>
      </c>
      <c r="M5456" s="84">
        <v>42331</v>
      </c>
      <c r="N5456" s="85">
        <f t="shared" si="1654"/>
        <v>1481</v>
      </c>
      <c r="O5456" s="86">
        <f t="shared" si="1655"/>
        <v>13584.369999999999</v>
      </c>
      <c r="P5456" s="86">
        <f t="shared" si="1656"/>
        <v>0</v>
      </c>
      <c r="Q5456" s="86">
        <f t="shared" si="1657"/>
        <v>0</v>
      </c>
      <c r="R5456" s="86">
        <f t="shared" si="1658"/>
        <v>0</v>
      </c>
      <c r="S5456" s="86">
        <f t="shared" si="1659"/>
        <v>0</v>
      </c>
      <c r="T5456" s="86">
        <f t="shared" si="1660"/>
        <v>13584.369999999999</v>
      </c>
      <c r="U5456" s="87">
        <v>13584.369999999999</v>
      </c>
    </row>
    <row r="5457" spans="1:21" s="30" customFormat="1" ht="24.6" hidden="1" outlineLevel="1" x14ac:dyDescent="0.55000000000000004">
      <c r="A5457" s="27" t="s">
        <v>327</v>
      </c>
      <c r="B5457" s="28"/>
      <c r="C5457" s="27"/>
      <c r="D5457" s="27" t="str">
        <f>"""NAV Direct"",""CRONUS JetCorp USA"",""21"",""1"",""414116"""</f>
        <v>"NAV Direct","CRONUS JetCorp USA","21","1","414116"</v>
      </c>
      <c r="E5457" s="31">
        <f t="shared" si="1652"/>
        <v>0</v>
      </c>
      <c r="F5457" s="31"/>
      <c r="G5457" s="31"/>
      <c r="H5457" s="31"/>
      <c r="I5457" s="56"/>
      <c r="J5457" s="56"/>
      <c r="K5457" s="82" t="str">
        <f t="shared" si="1653"/>
        <v>Invoice</v>
      </c>
      <c r="L5457" s="83" t="str">
        <f>"SI_112525"</f>
        <v>SI_112525</v>
      </c>
      <c r="M5457" s="84">
        <v>42338</v>
      </c>
      <c r="N5457" s="85">
        <f t="shared" si="1654"/>
        <v>1474</v>
      </c>
      <c r="O5457" s="86">
        <f t="shared" si="1655"/>
        <v>14479.85</v>
      </c>
      <c r="P5457" s="86">
        <f t="shared" si="1656"/>
        <v>0</v>
      </c>
      <c r="Q5457" s="86">
        <f t="shared" si="1657"/>
        <v>0</v>
      </c>
      <c r="R5457" s="86">
        <f t="shared" si="1658"/>
        <v>0</v>
      </c>
      <c r="S5457" s="86">
        <f t="shared" si="1659"/>
        <v>0</v>
      </c>
      <c r="T5457" s="86">
        <f t="shared" si="1660"/>
        <v>14479.85</v>
      </c>
      <c r="U5457" s="87">
        <v>14479.85</v>
      </c>
    </row>
    <row r="5458" spans="1:21" s="30" customFormat="1" ht="24.6" hidden="1" outlineLevel="1" x14ac:dyDescent="0.55000000000000004">
      <c r="A5458" s="27" t="s">
        <v>327</v>
      </c>
      <c r="B5458" s="28"/>
      <c r="C5458" s="27"/>
      <c r="D5458" s="27" t="str">
        <f>"""NAV Direct"",""CRONUS JetCorp USA"",""21"",""1"",""414169"""</f>
        <v>"NAV Direct","CRONUS JetCorp USA","21","1","414169"</v>
      </c>
      <c r="E5458" s="31" t="str">
        <f t="shared" si="1652"/>
        <v>C100144</v>
      </c>
      <c r="F5458" s="31"/>
      <c r="G5458" s="31"/>
      <c r="H5458" s="31"/>
      <c r="I5458" s="56"/>
      <c r="J5458" s="56"/>
      <c r="K5458" s="82" t="str">
        <f t="shared" si="1653"/>
        <v>Invoice</v>
      </c>
      <c r="L5458" s="83" t="str">
        <f>"SI_112526"</f>
        <v>SI_112526</v>
      </c>
      <c r="M5458" s="84">
        <v>42338</v>
      </c>
      <c r="N5458" s="85">
        <f t="shared" si="1654"/>
        <v>1474</v>
      </c>
      <c r="O5458" s="86">
        <f t="shared" si="1655"/>
        <v>14032.22</v>
      </c>
      <c r="P5458" s="86">
        <f t="shared" si="1656"/>
        <v>0</v>
      </c>
      <c r="Q5458" s="86">
        <f t="shared" si="1657"/>
        <v>0</v>
      </c>
      <c r="R5458" s="86">
        <f t="shared" si="1658"/>
        <v>0</v>
      </c>
      <c r="S5458" s="86">
        <f t="shared" si="1659"/>
        <v>0</v>
      </c>
      <c r="T5458" s="86">
        <f t="shared" si="1660"/>
        <v>14032.22</v>
      </c>
      <c r="U5458" s="87">
        <v>14032.22</v>
      </c>
    </row>
    <row r="5459" spans="1:21" s="30" customFormat="1" ht="24.6" hidden="1" outlineLevel="1" x14ac:dyDescent="0.55000000000000004">
      <c r="A5459" s="27" t="s">
        <v>327</v>
      </c>
      <c r="B5459" s="28"/>
      <c r="C5459" s="27"/>
      <c r="D5459" s="27" t="str">
        <f>"""NAV Direct"",""CRONUS JetCorp USA"",""21"",""1"",""414301"""</f>
        <v>"NAV Direct","CRONUS JetCorp USA","21","1","414301"</v>
      </c>
      <c r="E5459" s="31">
        <f t="shared" si="1652"/>
        <v>0</v>
      </c>
      <c r="F5459" s="31"/>
      <c r="G5459" s="31"/>
      <c r="H5459" s="31"/>
      <c r="I5459" s="56"/>
      <c r="J5459" s="56"/>
      <c r="K5459" s="82" t="str">
        <f t="shared" si="1653"/>
        <v>Invoice</v>
      </c>
      <c r="L5459" s="83" t="str">
        <f>"SI_112528"</f>
        <v>SI_112528</v>
      </c>
      <c r="M5459" s="84">
        <v>42359</v>
      </c>
      <c r="N5459" s="85">
        <f t="shared" si="1654"/>
        <v>1453</v>
      </c>
      <c r="O5459" s="86">
        <f t="shared" si="1655"/>
        <v>12494.630000000001</v>
      </c>
      <c r="P5459" s="86">
        <f t="shared" si="1656"/>
        <v>0</v>
      </c>
      <c r="Q5459" s="86">
        <f t="shared" si="1657"/>
        <v>0</v>
      </c>
      <c r="R5459" s="86">
        <f t="shared" si="1658"/>
        <v>0</v>
      </c>
      <c r="S5459" s="86">
        <f t="shared" si="1659"/>
        <v>0</v>
      </c>
      <c r="T5459" s="86">
        <f t="shared" si="1660"/>
        <v>12494.630000000001</v>
      </c>
      <c r="U5459" s="87">
        <v>12494.630000000001</v>
      </c>
    </row>
    <row r="5460" spans="1:21" s="30" customFormat="1" ht="24.6" hidden="1" outlineLevel="1" x14ac:dyDescent="0.55000000000000004">
      <c r="A5460" s="27" t="s">
        <v>327</v>
      </c>
      <c r="B5460" s="28"/>
      <c r="C5460" s="27"/>
      <c r="D5460" s="27" t="str">
        <f>"""NAV Direct"",""CRONUS JetCorp USA"",""21"",""1"",""414360"""</f>
        <v>"NAV Direct","CRONUS JetCorp USA","21","1","414360"</v>
      </c>
      <c r="E5460" s="31" t="str">
        <f t="shared" si="1652"/>
        <v>C100144</v>
      </c>
      <c r="F5460" s="31"/>
      <c r="G5460" s="31"/>
      <c r="H5460" s="31"/>
      <c r="I5460" s="56"/>
      <c r="J5460" s="56"/>
      <c r="K5460" s="82" t="str">
        <f t="shared" si="1653"/>
        <v>Invoice</v>
      </c>
      <c r="L5460" s="83" t="str">
        <f>"SI_112529"</f>
        <v>SI_112529</v>
      </c>
      <c r="M5460" s="84">
        <v>42364</v>
      </c>
      <c r="N5460" s="85">
        <f t="shared" si="1654"/>
        <v>1448</v>
      </c>
      <c r="O5460" s="86">
        <f t="shared" si="1655"/>
        <v>12359.99</v>
      </c>
      <c r="P5460" s="86">
        <f t="shared" si="1656"/>
        <v>0</v>
      </c>
      <c r="Q5460" s="86">
        <f t="shared" si="1657"/>
        <v>0</v>
      </c>
      <c r="R5460" s="86">
        <f t="shared" si="1658"/>
        <v>0</v>
      </c>
      <c r="S5460" s="86">
        <f t="shared" si="1659"/>
        <v>0</v>
      </c>
      <c r="T5460" s="86">
        <f t="shared" si="1660"/>
        <v>12359.99</v>
      </c>
      <c r="U5460" s="87">
        <v>12359.99</v>
      </c>
    </row>
    <row r="5461" spans="1:21" s="30" customFormat="1" ht="24.6" hidden="1" outlineLevel="1" x14ac:dyDescent="0.55000000000000004">
      <c r="A5461" s="27" t="s">
        <v>327</v>
      </c>
      <c r="B5461" s="28"/>
      <c r="C5461" s="27"/>
      <c r="D5461" s="27" t="str">
        <f>"""NAV Direct"",""CRONUS JetCorp USA"",""21"",""1"",""440336"""</f>
        <v>"NAV Direct","CRONUS JetCorp USA","21","1","440336"</v>
      </c>
      <c r="E5461" s="31">
        <f t="shared" si="1652"/>
        <v>0</v>
      </c>
      <c r="F5461" s="31"/>
      <c r="G5461" s="31"/>
      <c r="H5461" s="31"/>
      <c r="I5461" s="56"/>
      <c r="J5461" s="56"/>
      <c r="K5461" s="82" t="str">
        <f t="shared" ref="K5461:K5480" si="1661">"Credit Memo"</f>
        <v>Credit Memo</v>
      </c>
      <c r="L5461" s="83" t="str">
        <f>"SC_100914"</f>
        <v>SC_100914</v>
      </c>
      <c r="M5461" s="84">
        <v>42485</v>
      </c>
      <c r="N5461" s="85">
        <f t="shared" si="1654"/>
        <v>1327</v>
      </c>
      <c r="O5461" s="86">
        <f t="shared" si="1655"/>
        <v>-84.95</v>
      </c>
      <c r="P5461" s="86">
        <f t="shared" si="1656"/>
        <v>0</v>
      </c>
      <c r="Q5461" s="86">
        <f t="shared" si="1657"/>
        <v>0</v>
      </c>
      <c r="R5461" s="86">
        <f t="shared" si="1658"/>
        <v>0</v>
      </c>
      <c r="S5461" s="86">
        <f t="shared" si="1659"/>
        <v>0</v>
      </c>
      <c r="T5461" s="86">
        <f t="shared" si="1660"/>
        <v>-84.95</v>
      </c>
      <c r="U5461" s="87">
        <v>-84.95</v>
      </c>
    </row>
    <row r="5462" spans="1:21" s="30" customFormat="1" ht="24.6" hidden="1" outlineLevel="1" x14ac:dyDescent="0.55000000000000004">
      <c r="A5462" s="27" t="s">
        <v>327</v>
      </c>
      <c r="B5462" s="28"/>
      <c r="C5462" s="27"/>
      <c r="D5462" s="27" t="str">
        <f>"""NAV Direct"",""CRONUS JetCorp USA"",""21"",""1"",""440380"""</f>
        <v>"NAV Direct","CRONUS JetCorp USA","21","1","440380"</v>
      </c>
      <c r="E5462" s="31" t="str">
        <f t="shared" si="1652"/>
        <v>C100144</v>
      </c>
      <c r="F5462" s="31"/>
      <c r="G5462" s="31"/>
      <c r="H5462" s="31"/>
      <c r="I5462" s="56"/>
      <c r="J5462" s="56"/>
      <c r="K5462" s="82" t="str">
        <f t="shared" si="1661"/>
        <v>Credit Memo</v>
      </c>
      <c r="L5462" s="83" t="str">
        <f>"SC_100916"</f>
        <v>SC_100916</v>
      </c>
      <c r="M5462" s="84">
        <v>42558</v>
      </c>
      <c r="N5462" s="85">
        <f t="shared" si="1654"/>
        <v>1254</v>
      </c>
      <c r="O5462" s="86">
        <f t="shared" si="1655"/>
        <v>-84.03</v>
      </c>
      <c r="P5462" s="86">
        <f t="shared" si="1656"/>
        <v>0</v>
      </c>
      <c r="Q5462" s="86">
        <f t="shared" si="1657"/>
        <v>0</v>
      </c>
      <c r="R5462" s="86">
        <f t="shared" si="1658"/>
        <v>0</v>
      </c>
      <c r="S5462" s="86">
        <f t="shared" si="1659"/>
        <v>0</v>
      </c>
      <c r="T5462" s="86">
        <f t="shared" si="1660"/>
        <v>-84.03</v>
      </c>
      <c r="U5462" s="87">
        <v>-84.03</v>
      </c>
    </row>
    <row r="5463" spans="1:21" s="30" customFormat="1" ht="24.6" hidden="1" outlineLevel="1" x14ac:dyDescent="0.55000000000000004">
      <c r="A5463" s="27" t="s">
        <v>327</v>
      </c>
      <c r="B5463" s="28"/>
      <c r="C5463" s="27"/>
      <c r="D5463" s="27" t="str">
        <f>"""NAV Direct"",""CRONUS JetCorp USA"",""21"",""1"",""440537"""</f>
        <v>"NAV Direct","CRONUS JetCorp USA","21","1","440537"</v>
      </c>
      <c r="E5463" s="31">
        <f t="shared" si="1652"/>
        <v>0</v>
      </c>
      <c r="F5463" s="31"/>
      <c r="G5463" s="31"/>
      <c r="H5463" s="31"/>
      <c r="I5463" s="56"/>
      <c r="J5463" s="56"/>
      <c r="K5463" s="82" t="str">
        <f t="shared" si="1661"/>
        <v>Credit Memo</v>
      </c>
      <c r="L5463" s="83" t="str">
        <f>"SC_100924"</f>
        <v>SC_100924</v>
      </c>
      <c r="M5463" s="84">
        <v>42950</v>
      </c>
      <c r="N5463" s="85">
        <f t="shared" si="1654"/>
        <v>862</v>
      </c>
      <c r="O5463" s="86">
        <f t="shared" si="1655"/>
        <v>-80.710000000000008</v>
      </c>
      <c r="P5463" s="86">
        <f t="shared" si="1656"/>
        <v>0</v>
      </c>
      <c r="Q5463" s="86">
        <f t="shared" si="1657"/>
        <v>0</v>
      </c>
      <c r="R5463" s="86">
        <f t="shared" si="1658"/>
        <v>0</v>
      </c>
      <c r="S5463" s="86">
        <f t="shared" si="1659"/>
        <v>0</v>
      </c>
      <c r="T5463" s="86">
        <f t="shared" si="1660"/>
        <v>-80.710000000000008</v>
      </c>
      <c r="U5463" s="87">
        <v>-80.710000000000008</v>
      </c>
    </row>
    <row r="5464" spans="1:21" s="30" customFormat="1" ht="24.6" hidden="1" outlineLevel="1" x14ac:dyDescent="0.55000000000000004">
      <c r="A5464" s="27" t="s">
        <v>327</v>
      </c>
      <c r="B5464" s="28"/>
      <c r="C5464" s="27"/>
      <c r="D5464" s="27" t="str">
        <f>"""NAV Direct"",""CRONUS JetCorp USA"",""21"",""1"",""440552"""</f>
        <v>"NAV Direct","CRONUS JetCorp USA","21","1","440552"</v>
      </c>
      <c r="E5464" s="31" t="str">
        <f t="shared" si="1652"/>
        <v>C100144</v>
      </c>
      <c r="F5464" s="31"/>
      <c r="G5464" s="31"/>
      <c r="H5464" s="31"/>
      <c r="I5464" s="56"/>
      <c r="J5464" s="56"/>
      <c r="K5464" s="82" t="str">
        <f t="shared" si="1661"/>
        <v>Credit Memo</v>
      </c>
      <c r="L5464" s="83" t="str">
        <f>"SC_100925"</f>
        <v>SC_100925</v>
      </c>
      <c r="M5464" s="84">
        <v>42967</v>
      </c>
      <c r="N5464" s="85">
        <f t="shared" si="1654"/>
        <v>845</v>
      </c>
      <c r="O5464" s="86">
        <f t="shared" si="1655"/>
        <v>-80.819999999999993</v>
      </c>
      <c r="P5464" s="86">
        <f t="shared" si="1656"/>
        <v>0</v>
      </c>
      <c r="Q5464" s="86">
        <f t="shared" si="1657"/>
        <v>0</v>
      </c>
      <c r="R5464" s="86">
        <f t="shared" si="1658"/>
        <v>0</v>
      </c>
      <c r="S5464" s="86">
        <f t="shared" si="1659"/>
        <v>0</v>
      </c>
      <c r="T5464" s="86">
        <f t="shared" si="1660"/>
        <v>-80.819999999999993</v>
      </c>
      <c r="U5464" s="87">
        <v>-80.819999999999993</v>
      </c>
    </row>
    <row r="5465" spans="1:21" s="30" customFormat="1" ht="24.6" hidden="1" outlineLevel="1" x14ac:dyDescent="0.55000000000000004">
      <c r="A5465" s="27" t="s">
        <v>327</v>
      </c>
      <c r="B5465" s="28"/>
      <c r="C5465" s="27"/>
      <c r="D5465" s="27" t="str">
        <f>"""NAV Direct"",""CRONUS JetCorp USA"",""21"",""1"",""440659"""</f>
        <v>"NAV Direct","CRONUS JetCorp USA","21","1","440659"</v>
      </c>
      <c r="E5465" s="31">
        <f t="shared" si="1652"/>
        <v>0</v>
      </c>
      <c r="F5465" s="31"/>
      <c r="G5465" s="31"/>
      <c r="H5465" s="31"/>
      <c r="I5465" s="56"/>
      <c r="J5465" s="56"/>
      <c r="K5465" s="82" t="str">
        <f t="shared" si="1661"/>
        <v>Credit Memo</v>
      </c>
      <c r="L5465" s="83" t="str">
        <f>"SC_100932"</f>
        <v>SC_100932</v>
      </c>
      <c r="M5465" s="84">
        <v>43169</v>
      </c>
      <c r="N5465" s="85">
        <f t="shared" si="1654"/>
        <v>643</v>
      </c>
      <c r="O5465" s="86">
        <f t="shared" si="1655"/>
        <v>-77.38</v>
      </c>
      <c r="P5465" s="86">
        <f t="shared" si="1656"/>
        <v>0</v>
      </c>
      <c r="Q5465" s="86">
        <f t="shared" si="1657"/>
        <v>0</v>
      </c>
      <c r="R5465" s="86">
        <f t="shared" si="1658"/>
        <v>0</v>
      </c>
      <c r="S5465" s="86">
        <f t="shared" si="1659"/>
        <v>0</v>
      </c>
      <c r="T5465" s="86">
        <f t="shared" si="1660"/>
        <v>-77.38</v>
      </c>
      <c r="U5465" s="87">
        <v>-77.38</v>
      </c>
    </row>
    <row r="5466" spans="1:21" s="30" customFormat="1" ht="24.6" hidden="1" outlineLevel="1" x14ac:dyDescent="0.55000000000000004">
      <c r="A5466" s="27" t="s">
        <v>327</v>
      </c>
      <c r="B5466" s="28"/>
      <c r="C5466" s="27"/>
      <c r="D5466" s="27" t="str">
        <f>"""NAV Direct"",""CRONUS JetCorp USA"",""21"",""1"",""440671"""</f>
        <v>"NAV Direct","CRONUS JetCorp USA","21","1","440671"</v>
      </c>
      <c r="E5466" s="31" t="str">
        <f t="shared" si="1652"/>
        <v>C100144</v>
      </c>
      <c r="F5466" s="31"/>
      <c r="G5466" s="31"/>
      <c r="H5466" s="31"/>
      <c r="I5466" s="56"/>
      <c r="J5466" s="56"/>
      <c r="K5466" s="82" t="str">
        <f t="shared" si="1661"/>
        <v>Credit Memo</v>
      </c>
      <c r="L5466" s="83" t="str">
        <f>"SC_100933"</f>
        <v>SC_100933</v>
      </c>
      <c r="M5466" s="84">
        <v>43200</v>
      </c>
      <c r="N5466" s="85">
        <f t="shared" si="1654"/>
        <v>612</v>
      </c>
      <c r="O5466" s="86">
        <f t="shared" si="1655"/>
        <v>-78.06</v>
      </c>
      <c r="P5466" s="86">
        <f t="shared" si="1656"/>
        <v>0</v>
      </c>
      <c r="Q5466" s="86">
        <f t="shared" si="1657"/>
        <v>0</v>
      </c>
      <c r="R5466" s="86">
        <f t="shared" si="1658"/>
        <v>0</v>
      </c>
      <c r="S5466" s="86">
        <f t="shared" si="1659"/>
        <v>0</v>
      </c>
      <c r="T5466" s="86">
        <f t="shared" si="1660"/>
        <v>-78.06</v>
      </c>
      <c r="U5466" s="87">
        <v>-78.06</v>
      </c>
    </row>
    <row r="5467" spans="1:21" s="30" customFormat="1" ht="24.6" hidden="1" outlineLevel="1" x14ac:dyDescent="0.55000000000000004">
      <c r="A5467" s="27" t="s">
        <v>327</v>
      </c>
      <c r="B5467" s="28"/>
      <c r="C5467" s="27"/>
      <c r="D5467" s="27" t="str">
        <f>"""NAV Direct"",""CRONUS JetCorp USA"",""21"",""1"",""440751"""</f>
        <v>"NAV Direct","CRONUS JetCorp USA","21","1","440751"</v>
      </c>
      <c r="E5467" s="31">
        <f t="shared" si="1652"/>
        <v>0</v>
      </c>
      <c r="F5467" s="31"/>
      <c r="G5467" s="31"/>
      <c r="H5467" s="31"/>
      <c r="I5467" s="56"/>
      <c r="J5467" s="56"/>
      <c r="K5467" s="82" t="str">
        <f t="shared" si="1661"/>
        <v>Credit Memo</v>
      </c>
      <c r="L5467" s="83" t="str">
        <f>"SC_100937"</f>
        <v>SC_100937</v>
      </c>
      <c r="M5467" s="84">
        <v>43368</v>
      </c>
      <c r="N5467" s="85">
        <f t="shared" si="1654"/>
        <v>444</v>
      </c>
      <c r="O5467" s="86">
        <f t="shared" si="1655"/>
        <v>-109.45</v>
      </c>
      <c r="P5467" s="86">
        <f t="shared" si="1656"/>
        <v>0</v>
      </c>
      <c r="Q5467" s="86">
        <f t="shared" si="1657"/>
        <v>0</v>
      </c>
      <c r="R5467" s="86">
        <f t="shared" si="1658"/>
        <v>0</v>
      </c>
      <c r="S5467" s="86">
        <f t="shared" si="1659"/>
        <v>0</v>
      </c>
      <c r="T5467" s="86">
        <f t="shared" si="1660"/>
        <v>-109.45</v>
      </c>
      <c r="U5467" s="87">
        <v>-109.45</v>
      </c>
    </row>
    <row r="5468" spans="1:21" s="30" customFormat="1" ht="24.6" hidden="1" outlineLevel="1" x14ac:dyDescent="0.55000000000000004">
      <c r="A5468" s="27" t="s">
        <v>327</v>
      </c>
      <c r="B5468" s="28"/>
      <c r="C5468" s="27"/>
      <c r="D5468" s="27" t="str">
        <f>"""NAV Direct"",""CRONUS JetCorp USA"",""21"",""1"",""440766"""</f>
        <v>"NAV Direct","CRONUS JetCorp USA","21","1","440766"</v>
      </c>
      <c r="E5468" s="31" t="str">
        <f t="shared" si="1652"/>
        <v>C100144</v>
      </c>
      <c r="F5468" s="31"/>
      <c r="G5468" s="31"/>
      <c r="H5468" s="31"/>
      <c r="I5468" s="56"/>
      <c r="J5468" s="56"/>
      <c r="K5468" s="82" t="str">
        <f t="shared" si="1661"/>
        <v>Credit Memo</v>
      </c>
      <c r="L5468" s="83" t="str">
        <f>"SC_100938"</f>
        <v>SC_100938</v>
      </c>
      <c r="M5468" s="84">
        <v>43447</v>
      </c>
      <c r="N5468" s="85">
        <f t="shared" si="1654"/>
        <v>365</v>
      </c>
      <c r="O5468" s="86">
        <f t="shared" si="1655"/>
        <v>-95.09</v>
      </c>
      <c r="P5468" s="86">
        <f t="shared" si="1656"/>
        <v>0</v>
      </c>
      <c r="Q5468" s="86">
        <f t="shared" si="1657"/>
        <v>0</v>
      </c>
      <c r="R5468" s="86">
        <f t="shared" si="1658"/>
        <v>0</v>
      </c>
      <c r="S5468" s="86">
        <f t="shared" si="1659"/>
        <v>0</v>
      </c>
      <c r="T5468" s="86">
        <f t="shared" si="1660"/>
        <v>-95.09</v>
      </c>
      <c r="U5468" s="87">
        <v>-95.09</v>
      </c>
    </row>
    <row r="5469" spans="1:21" s="30" customFormat="1" ht="24.6" hidden="1" outlineLevel="1" x14ac:dyDescent="0.55000000000000004">
      <c r="A5469" s="27" t="s">
        <v>327</v>
      </c>
      <c r="B5469" s="28"/>
      <c r="C5469" s="27"/>
      <c r="D5469" s="27" t="str">
        <f>"""NAV Direct"",""CRONUS JetCorp USA"",""21"",""1"",""440808"""</f>
        <v>"NAV Direct","CRONUS JetCorp USA","21","1","440808"</v>
      </c>
      <c r="E5469" s="31">
        <f t="shared" si="1652"/>
        <v>0</v>
      </c>
      <c r="F5469" s="31"/>
      <c r="G5469" s="31"/>
      <c r="H5469" s="31"/>
      <c r="I5469" s="56"/>
      <c r="J5469" s="56"/>
      <c r="K5469" s="82" t="str">
        <f t="shared" si="1661"/>
        <v>Credit Memo</v>
      </c>
      <c r="L5469" s="83" t="str">
        <f>"SC_100940"</f>
        <v>SC_100940</v>
      </c>
      <c r="M5469" s="84">
        <v>43489</v>
      </c>
      <c r="N5469" s="85">
        <f t="shared" si="1654"/>
        <v>323</v>
      </c>
      <c r="O5469" s="86">
        <f t="shared" si="1655"/>
        <v>-99.890000000000015</v>
      </c>
      <c r="P5469" s="86">
        <f t="shared" si="1656"/>
        <v>0</v>
      </c>
      <c r="Q5469" s="86">
        <f t="shared" si="1657"/>
        <v>0</v>
      </c>
      <c r="R5469" s="86">
        <f t="shared" si="1658"/>
        <v>0</v>
      </c>
      <c r="S5469" s="86">
        <f t="shared" si="1659"/>
        <v>0</v>
      </c>
      <c r="T5469" s="86">
        <f t="shared" si="1660"/>
        <v>-99.890000000000015</v>
      </c>
      <c r="U5469" s="87">
        <v>-99.890000000000015</v>
      </c>
    </row>
    <row r="5470" spans="1:21" s="30" customFormat="1" ht="24.6" hidden="1" outlineLevel="1" x14ac:dyDescent="0.55000000000000004">
      <c r="A5470" s="27" t="s">
        <v>327</v>
      </c>
      <c r="B5470" s="28"/>
      <c r="C5470" s="27"/>
      <c r="D5470" s="27" t="str">
        <f>"""NAV Direct"",""CRONUS JetCorp USA"",""21"",""1"",""440848"""</f>
        <v>"NAV Direct","CRONUS JetCorp USA","21","1","440848"</v>
      </c>
      <c r="E5470" s="31" t="str">
        <f t="shared" si="1652"/>
        <v>C100144</v>
      </c>
      <c r="F5470" s="31"/>
      <c r="G5470" s="31"/>
      <c r="H5470" s="31"/>
      <c r="I5470" s="56"/>
      <c r="J5470" s="56"/>
      <c r="K5470" s="82" t="str">
        <f t="shared" si="1661"/>
        <v>Credit Memo</v>
      </c>
      <c r="L5470" s="83" t="str">
        <f>"SC_100942"</f>
        <v>SC_100942</v>
      </c>
      <c r="M5470" s="84">
        <v>43510</v>
      </c>
      <c r="N5470" s="85">
        <f t="shared" si="1654"/>
        <v>302</v>
      </c>
      <c r="O5470" s="86">
        <f t="shared" si="1655"/>
        <v>-111.96000000000001</v>
      </c>
      <c r="P5470" s="86">
        <f t="shared" si="1656"/>
        <v>0</v>
      </c>
      <c r="Q5470" s="86">
        <f t="shared" si="1657"/>
        <v>0</v>
      </c>
      <c r="R5470" s="86">
        <f t="shared" si="1658"/>
        <v>0</v>
      </c>
      <c r="S5470" s="86">
        <f t="shared" si="1659"/>
        <v>0</v>
      </c>
      <c r="T5470" s="86">
        <f t="shared" si="1660"/>
        <v>-111.96000000000001</v>
      </c>
      <c r="U5470" s="87">
        <v>-111.96000000000001</v>
      </c>
    </row>
    <row r="5471" spans="1:21" s="30" customFormat="1" ht="24.6" hidden="1" outlineLevel="1" x14ac:dyDescent="0.55000000000000004">
      <c r="A5471" s="27" t="s">
        <v>327</v>
      </c>
      <c r="B5471" s="28"/>
      <c r="C5471" s="27"/>
      <c r="D5471" s="27" t="str">
        <f>"""NAV Direct"",""CRONUS JetCorp USA"",""21"",""1"",""440867"""</f>
        <v>"NAV Direct","CRONUS JetCorp USA","21","1","440867"</v>
      </c>
      <c r="E5471" s="31">
        <f t="shared" si="1652"/>
        <v>0</v>
      </c>
      <c r="F5471" s="31"/>
      <c r="G5471" s="31"/>
      <c r="H5471" s="31"/>
      <c r="I5471" s="56"/>
      <c r="J5471" s="56"/>
      <c r="K5471" s="82" t="str">
        <f t="shared" si="1661"/>
        <v>Credit Memo</v>
      </c>
      <c r="L5471" s="83" t="str">
        <f>"SC_100943"</f>
        <v>SC_100943</v>
      </c>
      <c r="M5471" s="84">
        <v>43529</v>
      </c>
      <c r="N5471" s="85">
        <f t="shared" si="1654"/>
        <v>283</v>
      </c>
      <c r="O5471" s="86">
        <f t="shared" si="1655"/>
        <v>-127.66000000000001</v>
      </c>
      <c r="P5471" s="86">
        <f t="shared" si="1656"/>
        <v>0</v>
      </c>
      <c r="Q5471" s="86">
        <f t="shared" si="1657"/>
        <v>0</v>
      </c>
      <c r="R5471" s="86">
        <f t="shared" si="1658"/>
        <v>0</v>
      </c>
      <c r="S5471" s="86">
        <f t="shared" si="1659"/>
        <v>0</v>
      </c>
      <c r="T5471" s="86">
        <f t="shared" si="1660"/>
        <v>-127.66000000000001</v>
      </c>
      <c r="U5471" s="87">
        <v>-127.66000000000001</v>
      </c>
    </row>
    <row r="5472" spans="1:21" s="30" customFormat="1" ht="24.6" hidden="1" outlineLevel="1" x14ac:dyDescent="0.55000000000000004">
      <c r="A5472" s="27" t="s">
        <v>327</v>
      </c>
      <c r="B5472" s="28"/>
      <c r="C5472" s="27"/>
      <c r="D5472" s="27" t="str">
        <f>"""NAV Direct"",""CRONUS JetCorp USA"",""21"",""1"",""440887"""</f>
        <v>"NAV Direct","CRONUS JetCorp USA","21","1","440887"</v>
      </c>
      <c r="E5472" s="31" t="str">
        <f t="shared" si="1652"/>
        <v>C100144</v>
      </c>
      <c r="F5472" s="31"/>
      <c r="G5472" s="31"/>
      <c r="H5472" s="31"/>
      <c r="I5472" s="56"/>
      <c r="J5472" s="56"/>
      <c r="K5472" s="82" t="str">
        <f t="shared" si="1661"/>
        <v>Credit Memo</v>
      </c>
      <c r="L5472" s="83" t="str">
        <f>"SC_100944"</f>
        <v>SC_100944</v>
      </c>
      <c r="M5472" s="84">
        <v>43545</v>
      </c>
      <c r="N5472" s="85">
        <f t="shared" si="1654"/>
        <v>267</v>
      </c>
      <c r="O5472" s="86">
        <f t="shared" si="1655"/>
        <v>-127.28999999999999</v>
      </c>
      <c r="P5472" s="86">
        <f t="shared" si="1656"/>
        <v>0</v>
      </c>
      <c r="Q5472" s="86">
        <f t="shared" si="1657"/>
        <v>0</v>
      </c>
      <c r="R5472" s="86">
        <f t="shared" si="1658"/>
        <v>0</v>
      </c>
      <c r="S5472" s="86">
        <f t="shared" si="1659"/>
        <v>0</v>
      </c>
      <c r="T5472" s="86">
        <f t="shared" si="1660"/>
        <v>-127.28999999999999</v>
      </c>
      <c r="U5472" s="87">
        <v>-127.28999999999999</v>
      </c>
    </row>
    <row r="5473" spans="1:22" s="30" customFormat="1" ht="24.6" hidden="1" outlineLevel="1" x14ac:dyDescent="0.55000000000000004">
      <c r="A5473" s="27" t="s">
        <v>327</v>
      </c>
      <c r="B5473" s="28"/>
      <c r="C5473" s="27"/>
      <c r="D5473" s="27" t="str">
        <f>"""NAV Direct"",""CRONUS JetCorp USA"",""21"",""1"",""441031"""</f>
        <v>"NAV Direct","CRONUS JetCorp USA","21","1","441031"</v>
      </c>
      <c r="E5473" s="31">
        <f t="shared" si="1652"/>
        <v>0</v>
      </c>
      <c r="F5473" s="31"/>
      <c r="G5473" s="31"/>
      <c r="H5473" s="31"/>
      <c r="I5473" s="56"/>
      <c r="J5473" s="56"/>
      <c r="K5473" s="82" t="str">
        <f t="shared" si="1661"/>
        <v>Credit Memo</v>
      </c>
      <c r="L5473" s="83" t="str">
        <f>"SC_100951"</f>
        <v>SC_100951</v>
      </c>
      <c r="M5473" s="84">
        <v>43634</v>
      </c>
      <c r="N5473" s="85">
        <f t="shared" si="1654"/>
        <v>178</v>
      </c>
      <c r="O5473" s="86">
        <f t="shared" si="1655"/>
        <v>-83.12</v>
      </c>
      <c r="P5473" s="86">
        <f t="shared" si="1656"/>
        <v>0</v>
      </c>
      <c r="Q5473" s="86">
        <f t="shared" si="1657"/>
        <v>0</v>
      </c>
      <c r="R5473" s="86">
        <f t="shared" si="1658"/>
        <v>0</v>
      </c>
      <c r="S5473" s="86">
        <f t="shared" si="1659"/>
        <v>0</v>
      </c>
      <c r="T5473" s="86">
        <f t="shared" si="1660"/>
        <v>-83.12</v>
      </c>
      <c r="U5473" s="87">
        <v>-83.12</v>
      </c>
    </row>
    <row r="5474" spans="1:22" s="30" customFormat="1" ht="24.6" hidden="1" outlineLevel="1" x14ac:dyDescent="0.55000000000000004">
      <c r="A5474" s="27" t="s">
        <v>327</v>
      </c>
      <c r="B5474" s="28"/>
      <c r="C5474" s="27"/>
      <c r="D5474" s="27" t="str">
        <f>"""NAV Direct"",""CRONUS JetCorp USA"",""21"",""1"",""441051"""</f>
        <v>"NAV Direct","CRONUS JetCorp USA","21","1","441051"</v>
      </c>
      <c r="E5474" s="31" t="str">
        <f t="shared" si="1652"/>
        <v>C100144</v>
      </c>
      <c r="F5474" s="31"/>
      <c r="G5474" s="31"/>
      <c r="H5474" s="31"/>
      <c r="I5474" s="56"/>
      <c r="J5474" s="56"/>
      <c r="K5474" s="82" t="str">
        <f t="shared" si="1661"/>
        <v>Credit Memo</v>
      </c>
      <c r="L5474" s="83" t="str">
        <f>"SC_100952"</f>
        <v>SC_100952</v>
      </c>
      <c r="M5474" s="84">
        <v>43656</v>
      </c>
      <c r="N5474" s="85">
        <f t="shared" si="1654"/>
        <v>156</v>
      </c>
      <c r="O5474" s="86">
        <f t="shared" si="1655"/>
        <v>-93.98</v>
      </c>
      <c r="P5474" s="86">
        <f t="shared" si="1656"/>
        <v>0</v>
      </c>
      <c r="Q5474" s="86">
        <f t="shared" si="1657"/>
        <v>0</v>
      </c>
      <c r="R5474" s="86">
        <f t="shared" si="1658"/>
        <v>0</v>
      </c>
      <c r="S5474" s="86">
        <f t="shared" si="1659"/>
        <v>0</v>
      </c>
      <c r="T5474" s="86">
        <f t="shared" si="1660"/>
        <v>-93.98</v>
      </c>
      <c r="U5474" s="87">
        <v>-93.98</v>
      </c>
    </row>
    <row r="5475" spans="1:22" s="30" customFormat="1" ht="24.6" hidden="1" outlineLevel="1" x14ac:dyDescent="0.55000000000000004">
      <c r="A5475" s="27" t="s">
        <v>327</v>
      </c>
      <c r="B5475" s="28"/>
      <c r="C5475" s="27"/>
      <c r="D5475" s="27" t="str">
        <f>"""NAV Direct"",""CRONUS JetCorp USA"",""21"",""1"",""441101"""</f>
        <v>"NAV Direct","CRONUS JetCorp USA","21","1","441101"</v>
      </c>
      <c r="E5475" s="31">
        <f t="shared" si="1652"/>
        <v>0</v>
      </c>
      <c r="F5475" s="31"/>
      <c r="G5475" s="31"/>
      <c r="H5475" s="31"/>
      <c r="I5475" s="56"/>
      <c r="J5475" s="56"/>
      <c r="K5475" s="82" t="str">
        <f t="shared" si="1661"/>
        <v>Credit Memo</v>
      </c>
      <c r="L5475" s="83" t="str">
        <f>"SC_100954"</f>
        <v>SC_100954</v>
      </c>
      <c r="M5475" s="84">
        <v>43690</v>
      </c>
      <c r="N5475" s="85">
        <f t="shared" si="1654"/>
        <v>122</v>
      </c>
      <c r="O5475" s="86">
        <f t="shared" si="1655"/>
        <v>-93.22</v>
      </c>
      <c r="P5475" s="86">
        <f t="shared" si="1656"/>
        <v>0</v>
      </c>
      <c r="Q5475" s="86">
        <f t="shared" si="1657"/>
        <v>0</v>
      </c>
      <c r="R5475" s="86">
        <f t="shared" si="1658"/>
        <v>0</v>
      </c>
      <c r="S5475" s="86">
        <f t="shared" si="1659"/>
        <v>0</v>
      </c>
      <c r="T5475" s="86">
        <f t="shared" si="1660"/>
        <v>-93.22</v>
      </c>
      <c r="U5475" s="87">
        <v>-93.22</v>
      </c>
    </row>
    <row r="5476" spans="1:22" s="30" customFormat="1" ht="24.6" hidden="1" outlineLevel="1" x14ac:dyDescent="0.55000000000000004">
      <c r="A5476" s="27" t="s">
        <v>327</v>
      </c>
      <c r="B5476" s="28"/>
      <c r="C5476" s="27"/>
      <c r="D5476" s="27" t="str">
        <f>"""NAV Direct"",""CRONUS JetCorp USA"",""21"",""1"",""441317"""</f>
        <v>"NAV Direct","CRONUS JetCorp USA","21","1","441317"</v>
      </c>
      <c r="E5476" s="31" t="str">
        <f t="shared" si="1652"/>
        <v>C100144</v>
      </c>
      <c r="F5476" s="31"/>
      <c r="G5476" s="31"/>
      <c r="H5476" s="31"/>
      <c r="I5476" s="56"/>
      <c r="J5476" s="56"/>
      <c r="K5476" s="82" t="str">
        <f t="shared" si="1661"/>
        <v>Credit Memo</v>
      </c>
      <c r="L5476" s="83" t="str">
        <f>"SC_100964"</f>
        <v>SC_100964</v>
      </c>
      <c r="M5476" s="84">
        <v>42005</v>
      </c>
      <c r="N5476" s="85">
        <f t="shared" si="1654"/>
        <v>1807</v>
      </c>
      <c r="O5476" s="86">
        <f t="shared" si="1655"/>
        <v>-123.64000000000001</v>
      </c>
      <c r="P5476" s="86">
        <f t="shared" si="1656"/>
        <v>0</v>
      </c>
      <c r="Q5476" s="86">
        <f t="shared" si="1657"/>
        <v>0</v>
      </c>
      <c r="R5476" s="86">
        <f t="shared" si="1658"/>
        <v>0</v>
      </c>
      <c r="S5476" s="86">
        <f t="shared" si="1659"/>
        <v>0</v>
      </c>
      <c r="T5476" s="86">
        <f t="shared" si="1660"/>
        <v>-123.64000000000001</v>
      </c>
      <c r="U5476" s="87">
        <v>-123.64000000000001</v>
      </c>
    </row>
    <row r="5477" spans="1:22" s="30" customFormat="1" ht="24.6" hidden="1" outlineLevel="1" x14ac:dyDescent="0.55000000000000004">
      <c r="A5477" s="27" t="s">
        <v>327</v>
      </c>
      <c r="B5477" s="28"/>
      <c r="C5477" s="27"/>
      <c r="D5477" s="27" t="str">
        <f>"""NAV Direct"",""CRONUS JetCorp USA"",""21"",""1"",""441339"""</f>
        <v>"NAV Direct","CRONUS JetCorp USA","21","1","441339"</v>
      </c>
      <c r="E5477" s="31">
        <f t="shared" si="1652"/>
        <v>0</v>
      </c>
      <c r="F5477" s="31"/>
      <c r="G5477" s="31"/>
      <c r="H5477" s="31"/>
      <c r="I5477" s="56"/>
      <c r="J5477" s="56"/>
      <c r="K5477" s="82" t="str">
        <f t="shared" si="1661"/>
        <v>Credit Memo</v>
      </c>
      <c r="L5477" s="83" t="str">
        <f>"SC_100965"</f>
        <v>SC_100965</v>
      </c>
      <c r="M5477" s="84">
        <v>42009</v>
      </c>
      <c r="N5477" s="85">
        <f t="shared" si="1654"/>
        <v>1803</v>
      </c>
      <c r="O5477" s="86">
        <f t="shared" si="1655"/>
        <v>-124.67999999999999</v>
      </c>
      <c r="P5477" s="86">
        <f t="shared" si="1656"/>
        <v>0</v>
      </c>
      <c r="Q5477" s="86">
        <f t="shared" si="1657"/>
        <v>0</v>
      </c>
      <c r="R5477" s="86">
        <f t="shared" si="1658"/>
        <v>0</v>
      </c>
      <c r="S5477" s="86">
        <f t="shared" si="1659"/>
        <v>0</v>
      </c>
      <c r="T5477" s="86">
        <f t="shared" si="1660"/>
        <v>-124.67999999999999</v>
      </c>
      <c r="U5477" s="87">
        <v>-124.67999999999999</v>
      </c>
    </row>
    <row r="5478" spans="1:22" s="30" customFormat="1" ht="24.6" hidden="1" outlineLevel="1" x14ac:dyDescent="0.55000000000000004">
      <c r="A5478" s="27" t="s">
        <v>327</v>
      </c>
      <c r="B5478" s="28"/>
      <c r="C5478" s="27"/>
      <c r="D5478" s="27" t="str">
        <f>"""NAV Direct"",""CRONUS JetCorp USA"",""21"",""1"",""441453"""</f>
        <v>"NAV Direct","CRONUS JetCorp USA","21","1","441453"</v>
      </c>
      <c r="E5478" s="31" t="str">
        <f t="shared" si="1652"/>
        <v>C100144</v>
      </c>
      <c r="F5478" s="31"/>
      <c r="G5478" s="31"/>
      <c r="H5478" s="31"/>
      <c r="I5478" s="56"/>
      <c r="J5478" s="56"/>
      <c r="K5478" s="82" t="str">
        <f t="shared" si="1661"/>
        <v>Credit Memo</v>
      </c>
      <c r="L5478" s="83" t="str">
        <f>"SC_100970"</f>
        <v>SC_100970</v>
      </c>
      <c r="M5478" s="84">
        <v>42234</v>
      </c>
      <c r="N5478" s="85">
        <f t="shared" si="1654"/>
        <v>1578</v>
      </c>
      <c r="O5478" s="86">
        <f t="shared" si="1655"/>
        <v>-98.29</v>
      </c>
      <c r="P5478" s="86">
        <f t="shared" si="1656"/>
        <v>0</v>
      </c>
      <c r="Q5478" s="86">
        <f t="shared" si="1657"/>
        <v>0</v>
      </c>
      <c r="R5478" s="86">
        <f t="shared" si="1658"/>
        <v>0</v>
      </c>
      <c r="S5478" s="86">
        <f t="shared" si="1659"/>
        <v>0</v>
      </c>
      <c r="T5478" s="86">
        <f t="shared" si="1660"/>
        <v>-98.29</v>
      </c>
      <c r="U5478" s="87">
        <v>-98.29</v>
      </c>
    </row>
    <row r="5479" spans="1:22" s="30" customFormat="1" ht="24.6" hidden="1" outlineLevel="1" x14ac:dyDescent="0.55000000000000004">
      <c r="A5479" s="27" t="s">
        <v>327</v>
      </c>
      <c r="B5479" s="28"/>
      <c r="C5479" s="27"/>
      <c r="D5479" s="27" t="str">
        <f>"""NAV Direct"",""CRONUS JetCorp USA"",""21"",""1"",""441493"""</f>
        <v>"NAV Direct","CRONUS JetCorp USA","21","1","441493"</v>
      </c>
      <c r="E5479" s="31">
        <f t="shared" si="1652"/>
        <v>0</v>
      </c>
      <c r="F5479" s="31"/>
      <c r="G5479" s="31"/>
      <c r="H5479" s="31"/>
      <c r="I5479" s="56"/>
      <c r="J5479" s="56"/>
      <c r="K5479" s="82" t="str">
        <f t="shared" si="1661"/>
        <v>Credit Memo</v>
      </c>
      <c r="L5479" s="83" t="str">
        <f>"SC_100972"</f>
        <v>SC_100972</v>
      </c>
      <c r="M5479" s="84">
        <v>42256</v>
      </c>
      <c r="N5479" s="85">
        <f t="shared" si="1654"/>
        <v>1556</v>
      </c>
      <c r="O5479" s="86">
        <f t="shared" si="1655"/>
        <v>-109.47999999999999</v>
      </c>
      <c r="P5479" s="86">
        <f t="shared" si="1656"/>
        <v>0</v>
      </c>
      <c r="Q5479" s="86">
        <f t="shared" si="1657"/>
        <v>0</v>
      </c>
      <c r="R5479" s="86">
        <f t="shared" si="1658"/>
        <v>0</v>
      </c>
      <c r="S5479" s="86">
        <f t="shared" si="1659"/>
        <v>0</v>
      </c>
      <c r="T5479" s="86">
        <f t="shared" si="1660"/>
        <v>-109.47999999999999</v>
      </c>
      <c r="U5479" s="87">
        <v>-109.47999999999999</v>
      </c>
    </row>
    <row r="5480" spans="1:22" s="30" customFormat="1" ht="24.6" hidden="1" outlineLevel="1" x14ac:dyDescent="0.55000000000000004">
      <c r="A5480" s="27" t="s">
        <v>327</v>
      </c>
      <c r="B5480" s="28"/>
      <c r="C5480" s="27"/>
      <c r="D5480" s="27" t="str">
        <f>"""NAV Direct"",""CRONUS JetCorp USA"",""21"",""1"",""441520"""</f>
        <v>"NAV Direct","CRONUS JetCorp USA","21","1","441520"</v>
      </c>
      <c r="E5480" s="31" t="str">
        <f t="shared" si="1652"/>
        <v>C100144</v>
      </c>
      <c r="F5480" s="31"/>
      <c r="G5480" s="31"/>
      <c r="H5480" s="31"/>
      <c r="I5480" s="56"/>
      <c r="J5480" s="56"/>
      <c r="K5480" s="82" t="str">
        <f t="shared" si="1661"/>
        <v>Credit Memo</v>
      </c>
      <c r="L5480" s="83" t="str">
        <f>"SC_100973"</f>
        <v>SC_100973</v>
      </c>
      <c r="M5480" s="84">
        <v>42265</v>
      </c>
      <c r="N5480" s="85">
        <f t="shared" si="1654"/>
        <v>1547</v>
      </c>
      <c r="O5480" s="86">
        <f t="shared" si="1655"/>
        <v>-115.33000000000001</v>
      </c>
      <c r="P5480" s="86">
        <f t="shared" si="1656"/>
        <v>0</v>
      </c>
      <c r="Q5480" s="86">
        <f t="shared" si="1657"/>
        <v>0</v>
      </c>
      <c r="R5480" s="86">
        <f t="shared" si="1658"/>
        <v>0</v>
      </c>
      <c r="S5480" s="86">
        <f t="shared" si="1659"/>
        <v>0</v>
      </c>
      <c r="T5480" s="86">
        <f t="shared" si="1660"/>
        <v>-115.33000000000001</v>
      </c>
      <c r="U5480" s="87">
        <v>-115.33000000000001</v>
      </c>
    </row>
    <row r="5481" spans="1:22" s="22" customFormat="1" ht="20.399999999999999" collapsed="1" x14ac:dyDescent="0.45">
      <c r="A5481" s="12" t="s">
        <v>327</v>
      </c>
      <c r="B5481" s="19"/>
      <c r="C5481" s="12"/>
      <c r="D5481" s="12"/>
      <c r="E5481" s="23"/>
      <c r="F5481" s="23"/>
      <c r="G5481" s="23"/>
      <c r="H5481" s="23"/>
      <c r="I5481" s="49"/>
      <c r="J5481" s="88"/>
      <c r="K5481" s="88"/>
      <c r="L5481" s="89"/>
      <c r="M5481" s="89"/>
      <c r="N5481" s="89"/>
      <c r="O5481" s="89"/>
      <c r="P5481" s="89"/>
      <c r="Q5481" s="90"/>
      <c r="R5481" s="90"/>
      <c r="S5481" s="91"/>
      <c r="T5481" s="92"/>
      <c r="U5481" s="92"/>
    </row>
    <row r="5482" spans="1:22" s="22" customFormat="1" ht="20.399999999999999" x14ac:dyDescent="0.45">
      <c r="A5482" s="12" t="s">
        <v>327</v>
      </c>
      <c r="B5482" s="19"/>
      <c r="C5482" s="12"/>
      <c r="D5482" s="12"/>
      <c r="E5482" s="23"/>
      <c r="F5482" s="23"/>
      <c r="G5482" s="23"/>
      <c r="H5482" s="23"/>
      <c r="I5482" s="49"/>
      <c r="J5482" s="88"/>
      <c r="K5482" s="88"/>
      <c r="L5482" s="89"/>
      <c r="M5482" s="89"/>
      <c r="N5482" s="89"/>
      <c r="O5482" s="89"/>
      <c r="P5482" s="89"/>
      <c r="Q5482" s="90"/>
      <c r="R5482" s="90"/>
      <c r="S5482" s="91"/>
      <c r="T5482" s="92"/>
      <c r="U5482" s="92"/>
    </row>
    <row r="5483" spans="1:22" s="26" customFormat="1" ht="24.6" x14ac:dyDescent="0.55000000000000004">
      <c r="A5483" s="27" t="s">
        <v>327</v>
      </c>
      <c r="B5483" s="28"/>
      <c r="C5483" s="27" t="str">
        <f>"""NAV Direct"",""CRONUS JetCorp USA"",""18"",""1"",""C100145"""</f>
        <v>"NAV Direct","CRONUS JetCorp USA","18","1","C100145"</v>
      </c>
      <c r="D5483" s="27"/>
      <c r="E5483" s="28" t="str">
        <f>H5483</f>
        <v>C100145</v>
      </c>
      <c r="F5483" s="28"/>
      <c r="G5483" s="28"/>
      <c r="H5483" s="28" t="str">
        <f>"C100145"</f>
        <v>C100145</v>
      </c>
      <c r="I5483" s="116" t="str">
        <f>"C100145  -  Dicon Industries"</f>
        <v>C100145  -  Dicon Industries</v>
      </c>
      <c r="J5483" s="117" t="str">
        <f>""</f>
        <v/>
      </c>
      <c r="K5483" s="118"/>
      <c r="L5483" s="119">
        <f>SUBTOTAL(3,L5484:L5585)</f>
        <v>98</v>
      </c>
      <c r="M5483" s="118"/>
      <c r="N5483" s="118"/>
      <c r="O5483" s="120">
        <f t="shared" ref="O5483:T5483" si="1662">SUBTOTAL(9,O5484:O5585)</f>
        <v>1570752.03</v>
      </c>
      <c r="P5483" s="120">
        <f t="shared" si="1662"/>
        <v>0</v>
      </c>
      <c r="Q5483" s="120">
        <f t="shared" si="1662"/>
        <v>19362.060000000001</v>
      </c>
      <c r="R5483" s="120">
        <f t="shared" si="1662"/>
        <v>37742.35</v>
      </c>
      <c r="S5483" s="120">
        <f t="shared" si="1662"/>
        <v>36487.47</v>
      </c>
      <c r="T5483" s="120">
        <f t="shared" si="1662"/>
        <v>1477160.15</v>
      </c>
      <c r="U5483" s="81"/>
    </row>
    <row r="5484" spans="1:22" s="26" customFormat="1" ht="24.6" x14ac:dyDescent="0.55000000000000004">
      <c r="A5484" s="27" t="s">
        <v>327</v>
      </c>
      <c r="B5484" s="28"/>
      <c r="C5484" s="27" t="str">
        <f>C5483</f>
        <v>"NAV Direct","CRONUS JetCorp USA","18","1","C100145"</v>
      </c>
      <c r="D5484" s="27"/>
      <c r="E5484" s="28" t="str">
        <f>E5483</f>
        <v>C100145</v>
      </c>
      <c r="F5484" s="28"/>
      <c r="G5484" s="28"/>
      <c r="H5484" s="28"/>
      <c r="I5484" s="121" t="str">
        <f>"Contact: Seymour Jean Roman"</f>
        <v>Contact: Seymour Jean Roman</v>
      </c>
      <c r="J5484" s="121"/>
      <c r="K5484" s="122"/>
      <c r="L5484" s="123"/>
      <c r="M5484" s="123"/>
      <c r="N5484" s="124"/>
      <c r="O5484" s="124"/>
      <c r="P5484" s="123"/>
      <c r="Q5484" s="125"/>
      <c r="R5484" s="126"/>
      <c r="S5484" s="126"/>
      <c r="T5484" s="125"/>
      <c r="U5484" s="81"/>
    </row>
    <row r="5485" spans="1:22" s="26" customFormat="1" ht="24.6" x14ac:dyDescent="0.55000000000000004">
      <c r="A5485" s="27" t="s">
        <v>327</v>
      </c>
      <c r="B5485" s="28"/>
      <c r="C5485" s="27" t="str">
        <f>C5484</f>
        <v>"NAV Direct","CRONUS JetCorp USA","18","1","C100145"</v>
      </c>
      <c r="D5485" s="27"/>
      <c r="E5485" s="28" t="str">
        <f>E5484</f>
        <v>C100145</v>
      </c>
      <c r="F5485" s="28"/>
      <c r="G5485" s="28"/>
      <c r="H5485" s="28"/>
      <c r="I5485" s="121" t="str">
        <f>"Dicon Industries@Cronus.com"</f>
        <v>Dicon Industries@Cronus.com</v>
      </c>
      <c r="J5485" s="121"/>
      <c r="K5485" s="122"/>
      <c r="L5485" s="124"/>
      <c r="M5485" s="124"/>
      <c r="N5485" s="124"/>
      <c r="O5485" s="124"/>
      <c r="P5485" s="123"/>
      <c r="Q5485" s="125"/>
      <c r="R5485" s="126"/>
      <c r="S5485" s="126"/>
      <c r="T5485" s="125"/>
      <c r="U5485" s="81"/>
    </row>
    <row r="5486" spans="1:22" ht="12.75" hidden="1" customHeight="1" outlineLevel="1" x14ac:dyDescent="0.45">
      <c r="A5486" s="12" t="s">
        <v>328</v>
      </c>
      <c r="B5486" s="19"/>
      <c r="E5486" s="19"/>
      <c r="F5486" s="19"/>
      <c r="G5486" s="19"/>
      <c r="H5486" s="19"/>
      <c r="I5486" s="61"/>
      <c r="J5486" s="61"/>
      <c r="K5486" s="61"/>
      <c r="L5486" s="61"/>
      <c r="M5486" s="61"/>
      <c r="N5486" s="61"/>
      <c r="O5486" s="61"/>
      <c r="P5486" s="61"/>
      <c r="Q5486" s="61"/>
      <c r="R5486" s="61"/>
      <c r="S5486" s="61"/>
      <c r="T5486" s="61"/>
      <c r="U5486" s="61"/>
      <c r="V5486" s="21"/>
    </row>
    <row r="5487" spans="1:22" s="30" customFormat="1" ht="24.6" hidden="1" outlineLevel="1" x14ac:dyDescent="0.55000000000000004">
      <c r="A5487" s="27" t="s">
        <v>327</v>
      </c>
      <c r="B5487" s="28"/>
      <c r="C5487" s="27"/>
      <c r="D5487" s="27" t="str">
        <f>"""NAV Direct"",""CRONUS JetCorp USA"",""21"",""1"",""61431"""</f>
        <v>"NAV Direct","CRONUS JetCorp USA","21","1","61431"</v>
      </c>
      <c r="E5487" s="31" t="str">
        <f t="shared" ref="E5487:E5518" si="1663">E5485</f>
        <v>C100145</v>
      </c>
      <c r="F5487" s="31"/>
      <c r="G5487" s="31"/>
      <c r="H5487" s="31"/>
      <c r="I5487" s="56"/>
      <c r="J5487" s="56"/>
      <c r="K5487" s="82" t="str">
        <f t="shared" ref="K5487:K5518" si="1664">"Invoice"</f>
        <v>Invoice</v>
      </c>
      <c r="L5487" s="83" t="str">
        <f>"SI_105457"</f>
        <v>SI_105457</v>
      </c>
      <c r="M5487" s="84">
        <v>42325</v>
      </c>
      <c r="N5487" s="85">
        <f t="shared" ref="N5487:N5518" si="1665">StartDate-$M5487+1</f>
        <v>1487</v>
      </c>
      <c r="O5487" s="86">
        <f t="shared" ref="O5487:O5518" si="1666">SUM(P5487:T5487)</f>
        <v>19901.940000000002</v>
      </c>
      <c r="P5487" s="86">
        <f t="shared" ref="P5487:P5518" si="1667">IF($M5487&gt;=$P$18,U5487,0)</f>
        <v>0</v>
      </c>
      <c r="Q5487" s="86">
        <f t="shared" ref="Q5487:Q5518" si="1668">IF(AND($M5487&gt;=$Q$16,$M5487&lt;=$Q$18),U5487,0)</f>
        <v>0</v>
      </c>
      <c r="R5487" s="86">
        <f t="shared" ref="R5487:R5518" si="1669">IF(AND($M5487&gt;=$R$16,$M5487&lt;=$R$18),U5487,0)</f>
        <v>0</v>
      </c>
      <c r="S5487" s="86">
        <f t="shared" ref="S5487:S5518" si="1670">IF(AND($M5487&gt;=$S$16,$M5487&lt;=$S$18),U5487,0)</f>
        <v>0</v>
      </c>
      <c r="T5487" s="86">
        <f t="shared" ref="T5487:T5518" si="1671">IF($M5487&lt;=$T$18,U5487,0)</f>
        <v>19901.940000000002</v>
      </c>
      <c r="U5487" s="87">
        <v>19901.940000000002</v>
      </c>
    </row>
    <row r="5488" spans="1:22" s="30" customFormat="1" ht="24.6" hidden="1" outlineLevel="1" x14ac:dyDescent="0.55000000000000004">
      <c r="A5488" s="27" t="s">
        <v>327</v>
      </c>
      <c r="B5488" s="28"/>
      <c r="C5488" s="27"/>
      <c r="D5488" s="27" t="str">
        <f>"""NAV Direct"",""CRONUS JetCorp USA"",""21"",""1"",""61698"""</f>
        <v>"NAV Direct","CRONUS JetCorp USA","21","1","61698"</v>
      </c>
      <c r="E5488" s="31">
        <f t="shared" si="1663"/>
        <v>0</v>
      </c>
      <c r="F5488" s="31"/>
      <c r="G5488" s="31"/>
      <c r="H5488" s="31"/>
      <c r="I5488" s="56"/>
      <c r="J5488" s="56"/>
      <c r="K5488" s="82" t="str">
        <f t="shared" si="1664"/>
        <v>Invoice</v>
      </c>
      <c r="L5488" s="83" t="str">
        <f>"SI_105464"</f>
        <v>SI_105464</v>
      </c>
      <c r="M5488" s="84">
        <v>42336</v>
      </c>
      <c r="N5488" s="85">
        <f t="shared" si="1665"/>
        <v>1476</v>
      </c>
      <c r="O5488" s="86">
        <f t="shared" si="1666"/>
        <v>19902.07</v>
      </c>
      <c r="P5488" s="86">
        <f t="shared" si="1667"/>
        <v>0</v>
      </c>
      <c r="Q5488" s="86">
        <f t="shared" si="1668"/>
        <v>0</v>
      </c>
      <c r="R5488" s="86">
        <f t="shared" si="1669"/>
        <v>0</v>
      </c>
      <c r="S5488" s="86">
        <f t="shared" si="1670"/>
        <v>0</v>
      </c>
      <c r="T5488" s="86">
        <f t="shared" si="1671"/>
        <v>19902.07</v>
      </c>
      <c r="U5488" s="87">
        <v>19902.07</v>
      </c>
    </row>
    <row r="5489" spans="1:21" s="30" customFormat="1" ht="24.6" hidden="1" outlineLevel="1" x14ac:dyDescent="0.55000000000000004">
      <c r="A5489" s="27" t="s">
        <v>327</v>
      </c>
      <c r="B5489" s="28"/>
      <c r="C5489" s="27"/>
      <c r="D5489" s="27" t="str">
        <f>"""NAV Direct"",""CRONUS JetCorp USA"",""21"",""1"",""334935"""</f>
        <v>"NAV Direct","CRONUS JetCorp USA","21","1","334935"</v>
      </c>
      <c r="E5489" s="31" t="str">
        <f t="shared" si="1663"/>
        <v>C100145</v>
      </c>
      <c r="F5489" s="31"/>
      <c r="G5489" s="31"/>
      <c r="H5489" s="31"/>
      <c r="I5489" s="56"/>
      <c r="J5489" s="56"/>
      <c r="K5489" s="82" t="str">
        <f t="shared" si="1664"/>
        <v>Invoice</v>
      </c>
      <c r="L5489" s="83" t="str">
        <f>"SI_110589"</f>
        <v>SI_110589</v>
      </c>
      <c r="M5489" s="84">
        <v>42395</v>
      </c>
      <c r="N5489" s="85">
        <f t="shared" si="1665"/>
        <v>1417</v>
      </c>
      <c r="O5489" s="86">
        <f t="shared" si="1666"/>
        <v>15659.43</v>
      </c>
      <c r="P5489" s="86">
        <f t="shared" si="1667"/>
        <v>0</v>
      </c>
      <c r="Q5489" s="86">
        <f t="shared" si="1668"/>
        <v>0</v>
      </c>
      <c r="R5489" s="86">
        <f t="shared" si="1669"/>
        <v>0</v>
      </c>
      <c r="S5489" s="86">
        <f t="shared" si="1670"/>
        <v>0</v>
      </c>
      <c r="T5489" s="86">
        <f t="shared" si="1671"/>
        <v>15659.43</v>
      </c>
      <c r="U5489" s="87">
        <v>15659.43</v>
      </c>
    </row>
    <row r="5490" spans="1:21" s="30" customFormat="1" ht="24.6" hidden="1" outlineLevel="1" x14ac:dyDescent="0.55000000000000004">
      <c r="A5490" s="27" t="s">
        <v>327</v>
      </c>
      <c r="B5490" s="28"/>
      <c r="C5490" s="27"/>
      <c r="D5490" s="27" t="str">
        <f>"""NAV Direct"",""CRONUS JetCorp USA"",""21"",""1"",""334982"""</f>
        <v>"NAV Direct","CRONUS JetCorp USA","21","1","334982"</v>
      </c>
      <c r="E5490" s="31">
        <f t="shared" si="1663"/>
        <v>0</v>
      </c>
      <c r="F5490" s="31"/>
      <c r="G5490" s="31"/>
      <c r="H5490" s="31"/>
      <c r="I5490" s="56"/>
      <c r="J5490" s="56"/>
      <c r="K5490" s="82" t="str">
        <f t="shared" si="1664"/>
        <v>Invoice</v>
      </c>
      <c r="L5490" s="83" t="str">
        <f>"SI_110590"</f>
        <v>SI_110590</v>
      </c>
      <c r="M5490" s="84">
        <v>42393</v>
      </c>
      <c r="N5490" s="85">
        <f t="shared" si="1665"/>
        <v>1419</v>
      </c>
      <c r="O5490" s="86">
        <f t="shared" si="1666"/>
        <v>17459.02</v>
      </c>
      <c r="P5490" s="86">
        <f t="shared" si="1667"/>
        <v>0</v>
      </c>
      <c r="Q5490" s="86">
        <f t="shared" si="1668"/>
        <v>0</v>
      </c>
      <c r="R5490" s="86">
        <f t="shared" si="1669"/>
        <v>0</v>
      </c>
      <c r="S5490" s="86">
        <f t="shared" si="1670"/>
        <v>0</v>
      </c>
      <c r="T5490" s="86">
        <f t="shared" si="1671"/>
        <v>17459.02</v>
      </c>
      <c r="U5490" s="87">
        <v>17459.02</v>
      </c>
    </row>
    <row r="5491" spans="1:21" s="30" customFormat="1" ht="24.6" hidden="1" outlineLevel="1" x14ac:dyDescent="0.55000000000000004">
      <c r="A5491" s="27" t="s">
        <v>327</v>
      </c>
      <c r="B5491" s="28"/>
      <c r="C5491" s="27"/>
      <c r="D5491" s="27" t="str">
        <f>"""NAV Direct"",""CRONUS JetCorp USA"",""21"",""1"",""335068"""</f>
        <v>"NAV Direct","CRONUS JetCorp USA","21","1","335068"</v>
      </c>
      <c r="E5491" s="31" t="str">
        <f t="shared" si="1663"/>
        <v>C100145</v>
      </c>
      <c r="F5491" s="31"/>
      <c r="G5491" s="31"/>
      <c r="H5491" s="31"/>
      <c r="I5491" s="56"/>
      <c r="J5491" s="56"/>
      <c r="K5491" s="82" t="str">
        <f t="shared" si="1664"/>
        <v>Invoice</v>
      </c>
      <c r="L5491" s="83" t="str">
        <f>"SI_110592"</f>
        <v>SI_110592</v>
      </c>
      <c r="M5491" s="84">
        <v>42396</v>
      </c>
      <c r="N5491" s="85">
        <f t="shared" si="1665"/>
        <v>1416</v>
      </c>
      <c r="O5491" s="86">
        <f t="shared" si="1666"/>
        <v>17639.34</v>
      </c>
      <c r="P5491" s="86">
        <f t="shared" si="1667"/>
        <v>0</v>
      </c>
      <c r="Q5491" s="86">
        <f t="shared" si="1668"/>
        <v>0</v>
      </c>
      <c r="R5491" s="86">
        <f t="shared" si="1669"/>
        <v>0</v>
      </c>
      <c r="S5491" s="86">
        <f t="shared" si="1670"/>
        <v>0</v>
      </c>
      <c r="T5491" s="86">
        <f t="shared" si="1671"/>
        <v>17639.34</v>
      </c>
      <c r="U5491" s="87">
        <v>17639.34</v>
      </c>
    </row>
    <row r="5492" spans="1:21" s="30" customFormat="1" ht="24.6" hidden="1" outlineLevel="1" x14ac:dyDescent="0.55000000000000004">
      <c r="A5492" s="27" t="s">
        <v>327</v>
      </c>
      <c r="B5492" s="28"/>
      <c r="C5492" s="27"/>
      <c r="D5492" s="27" t="str">
        <f>"""NAV Direct"",""CRONUS JetCorp USA"",""21"",""1"",""335441"""</f>
        <v>"NAV Direct","CRONUS JetCorp USA","21","1","335441"</v>
      </c>
      <c r="E5492" s="31">
        <f t="shared" si="1663"/>
        <v>0</v>
      </c>
      <c r="F5492" s="31"/>
      <c r="G5492" s="31"/>
      <c r="H5492" s="31"/>
      <c r="I5492" s="56"/>
      <c r="J5492" s="56"/>
      <c r="K5492" s="82" t="str">
        <f t="shared" si="1664"/>
        <v>Invoice</v>
      </c>
      <c r="L5492" s="83" t="str">
        <f>"SI_110601"</f>
        <v>SI_110601</v>
      </c>
      <c r="M5492" s="84">
        <v>42437</v>
      </c>
      <c r="N5492" s="85">
        <f t="shared" si="1665"/>
        <v>1375</v>
      </c>
      <c r="O5492" s="86">
        <f t="shared" si="1666"/>
        <v>15618.189999999999</v>
      </c>
      <c r="P5492" s="86">
        <f t="shared" si="1667"/>
        <v>0</v>
      </c>
      <c r="Q5492" s="86">
        <f t="shared" si="1668"/>
        <v>0</v>
      </c>
      <c r="R5492" s="86">
        <f t="shared" si="1669"/>
        <v>0</v>
      </c>
      <c r="S5492" s="86">
        <f t="shared" si="1670"/>
        <v>0</v>
      </c>
      <c r="T5492" s="86">
        <f t="shared" si="1671"/>
        <v>15618.189999999999</v>
      </c>
      <c r="U5492" s="87">
        <v>15618.189999999999</v>
      </c>
    </row>
    <row r="5493" spans="1:21" s="30" customFormat="1" ht="24.6" hidden="1" outlineLevel="1" x14ac:dyDescent="0.55000000000000004">
      <c r="A5493" s="27" t="s">
        <v>327</v>
      </c>
      <c r="B5493" s="28"/>
      <c r="C5493" s="27"/>
      <c r="D5493" s="27" t="str">
        <f>"""NAV Direct"",""CRONUS JetCorp USA"",""21"",""1"",""335612"""</f>
        <v>"NAV Direct","CRONUS JetCorp USA","21","1","335612"</v>
      </c>
      <c r="E5493" s="31" t="str">
        <f t="shared" si="1663"/>
        <v>C100145</v>
      </c>
      <c r="F5493" s="31"/>
      <c r="G5493" s="31"/>
      <c r="H5493" s="31"/>
      <c r="I5493" s="56"/>
      <c r="J5493" s="56"/>
      <c r="K5493" s="82" t="str">
        <f t="shared" si="1664"/>
        <v>Invoice</v>
      </c>
      <c r="L5493" s="83" t="str">
        <f>"SI_110606"</f>
        <v>SI_110606</v>
      </c>
      <c r="M5493" s="84">
        <v>42460</v>
      </c>
      <c r="N5493" s="85">
        <f t="shared" si="1665"/>
        <v>1352</v>
      </c>
      <c r="O5493" s="86">
        <f t="shared" si="1666"/>
        <v>16307.08</v>
      </c>
      <c r="P5493" s="86">
        <f t="shared" si="1667"/>
        <v>0</v>
      </c>
      <c r="Q5493" s="86">
        <f t="shared" si="1668"/>
        <v>0</v>
      </c>
      <c r="R5493" s="86">
        <f t="shared" si="1669"/>
        <v>0</v>
      </c>
      <c r="S5493" s="86">
        <f t="shared" si="1670"/>
        <v>0</v>
      </c>
      <c r="T5493" s="86">
        <f t="shared" si="1671"/>
        <v>16307.08</v>
      </c>
      <c r="U5493" s="87">
        <v>16307.08</v>
      </c>
    </row>
    <row r="5494" spans="1:21" s="30" customFormat="1" ht="24.6" hidden="1" outlineLevel="1" x14ac:dyDescent="0.55000000000000004">
      <c r="A5494" s="27" t="s">
        <v>327</v>
      </c>
      <c r="B5494" s="28"/>
      <c r="C5494" s="27"/>
      <c r="D5494" s="27" t="str">
        <f>"""NAV Direct"",""CRONUS JetCorp USA"",""21"",""1"",""335768"""</f>
        <v>"NAV Direct","CRONUS JetCorp USA","21","1","335768"</v>
      </c>
      <c r="E5494" s="31">
        <f t="shared" si="1663"/>
        <v>0</v>
      </c>
      <c r="F5494" s="31"/>
      <c r="G5494" s="31"/>
      <c r="H5494" s="31"/>
      <c r="I5494" s="56"/>
      <c r="J5494" s="56"/>
      <c r="K5494" s="82" t="str">
        <f t="shared" si="1664"/>
        <v>Invoice</v>
      </c>
      <c r="L5494" s="83" t="str">
        <f>"SI_110610"</f>
        <v>SI_110610</v>
      </c>
      <c r="M5494" s="84">
        <v>42481</v>
      </c>
      <c r="N5494" s="85">
        <f t="shared" si="1665"/>
        <v>1331</v>
      </c>
      <c r="O5494" s="86">
        <f t="shared" si="1666"/>
        <v>17716.57</v>
      </c>
      <c r="P5494" s="86">
        <f t="shared" si="1667"/>
        <v>0</v>
      </c>
      <c r="Q5494" s="86">
        <f t="shared" si="1668"/>
        <v>0</v>
      </c>
      <c r="R5494" s="86">
        <f t="shared" si="1669"/>
        <v>0</v>
      </c>
      <c r="S5494" s="86">
        <f t="shared" si="1670"/>
        <v>0</v>
      </c>
      <c r="T5494" s="86">
        <f t="shared" si="1671"/>
        <v>17716.57</v>
      </c>
      <c r="U5494" s="87">
        <v>17716.57</v>
      </c>
    </row>
    <row r="5495" spans="1:21" s="30" customFormat="1" ht="24.6" hidden="1" outlineLevel="1" x14ac:dyDescent="0.55000000000000004">
      <c r="A5495" s="27" t="s">
        <v>327</v>
      </c>
      <c r="B5495" s="28"/>
      <c r="C5495" s="27"/>
      <c r="D5495" s="27" t="str">
        <f>"""NAV Direct"",""CRONUS JetCorp USA"",""21"",""1"",""336002"""</f>
        <v>"NAV Direct","CRONUS JetCorp USA","21","1","336002"</v>
      </c>
      <c r="E5495" s="31" t="str">
        <f t="shared" si="1663"/>
        <v>C100145</v>
      </c>
      <c r="F5495" s="31"/>
      <c r="G5495" s="31"/>
      <c r="H5495" s="31"/>
      <c r="I5495" s="56"/>
      <c r="J5495" s="56"/>
      <c r="K5495" s="82" t="str">
        <f t="shared" si="1664"/>
        <v>Invoice</v>
      </c>
      <c r="L5495" s="83" t="str">
        <f>"SI_110616"</f>
        <v>SI_110616</v>
      </c>
      <c r="M5495" s="84">
        <v>42505</v>
      </c>
      <c r="N5495" s="85">
        <f t="shared" si="1665"/>
        <v>1307</v>
      </c>
      <c r="O5495" s="86">
        <f t="shared" si="1666"/>
        <v>17435.199999999997</v>
      </c>
      <c r="P5495" s="86">
        <f t="shared" si="1667"/>
        <v>0</v>
      </c>
      <c r="Q5495" s="86">
        <f t="shared" si="1668"/>
        <v>0</v>
      </c>
      <c r="R5495" s="86">
        <f t="shared" si="1669"/>
        <v>0</v>
      </c>
      <c r="S5495" s="86">
        <f t="shared" si="1670"/>
        <v>0</v>
      </c>
      <c r="T5495" s="86">
        <f t="shared" si="1671"/>
        <v>17435.199999999997</v>
      </c>
      <c r="U5495" s="87">
        <v>17435.199999999997</v>
      </c>
    </row>
    <row r="5496" spans="1:21" s="30" customFormat="1" ht="24.6" hidden="1" outlineLevel="1" x14ac:dyDescent="0.55000000000000004">
      <c r="A5496" s="27" t="s">
        <v>327</v>
      </c>
      <c r="B5496" s="28"/>
      <c r="C5496" s="27"/>
      <c r="D5496" s="27" t="str">
        <f>"""NAV Direct"",""CRONUS JetCorp USA"",""21"",""1"",""336133"""</f>
        <v>"NAV Direct","CRONUS JetCorp USA","21","1","336133"</v>
      </c>
      <c r="E5496" s="31">
        <f t="shared" si="1663"/>
        <v>0</v>
      </c>
      <c r="F5496" s="31"/>
      <c r="G5496" s="31"/>
      <c r="H5496" s="31"/>
      <c r="I5496" s="56"/>
      <c r="J5496" s="56"/>
      <c r="K5496" s="82" t="str">
        <f t="shared" si="1664"/>
        <v>Invoice</v>
      </c>
      <c r="L5496" s="83" t="str">
        <f>"SI_110619"</f>
        <v>SI_110619</v>
      </c>
      <c r="M5496" s="84">
        <v>42502</v>
      </c>
      <c r="N5496" s="85">
        <f t="shared" si="1665"/>
        <v>1310</v>
      </c>
      <c r="O5496" s="86">
        <f t="shared" si="1666"/>
        <v>17620</v>
      </c>
      <c r="P5496" s="86">
        <f t="shared" si="1667"/>
        <v>0</v>
      </c>
      <c r="Q5496" s="86">
        <f t="shared" si="1668"/>
        <v>0</v>
      </c>
      <c r="R5496" s="86">
        <f t="shared" si="1669"/>
        <v>0</v>
      </c>
      <c r="S5496" s="86">
        <f t="shared" si="1670"/>
        <v>0</v>
      </c>
      <c r="T5496" s="86">
        <f t="shared" si="1671"/>
        <v>17620</v>
      </c>
      <c r="U5496" s="87">
        <v>17620</v>
      </c>
    </row>
    <row r="5497" spans="1:21" s="30" customFormat="1" ht="24.6" hidden="1" outlineLevel="1" x14ac:dyDescent="0.55000000000000004">
      <c r="A5497" s="27" t="s">
        <v>327</v>
      </c>
      <c r="B5497" s="28"/>
      <c r="C5497" s="27"/>
      <c r="D5497" s="27" t="str">
        <f>"""NAV Direct"",""CRONUS JetCorp USA"",""21"",""1"",""336168"""</f>
        <v>"NAV Direct","CRONUS JetCorp USA","21","1","336168"</v>
      </c>
      <c r="E5497" s="31" t="str">
        <f t="shared" si="1663"/>
        <v>C100145</v>
      </c>
      <c r="F5497" s="31"/>
      <c r="G5497" s="31"/>
      <c r="H5497" s="31"/>
      <c r="I5497" s="56"/>
      <c r="J5497" s="56"/>
      <c r="K5497" s="82" t="str">
        <f t="shared" si="1664"/>
        <v>Invoice</v>
      </c>
      <c r="L5497" s="83" t="str">
        <f>"SI_110620"</f>
        <v>SI_110620</v>
      </c>
      <c r="M5497" s="84">
        <v>42518</v>
      </c>
      <c r="N5497" s="85">
        <f t="shared" si="1665"/>
        <v>1294</v>
      </c>
      <c r="O5497" s="86">
        <f t="shared" si="1666"/>
        <v>17064.420000000002</v>
      </c>
      <c r="P5497" s="86">
        <f t="shared" si="1667"/>
        <v>0</v>
      </c>
      <c r="Q5497" s="86">
        <f t="shared" si="1668"/>
        <v>0</v>
      </c>
      <c r="R5497" s="86">
        <f t="shared" si="1669"/>
        <v>0</v>
      </c>
      <c r="S5497" s="86">
        <f t="shared" si="1670"/>
        <v>0</v>
      </c>
      <c r="T5497" s="86">
        <f t="shared" si="1671"/>
        <v>17064.420000000002</v>
      </c>
      <c r="U5497" s="87">
        <v>17064.420000000002</v>
      </c>
    </row>
    <row r="5498" spans="1:21" s="30" customFormat="1" ht="24.6" hidden="1" outlineLevel="1" x14ac:dyDescent="0.55000000000000004">
      <c r="A5498" s="27" t="s">
        <v>327</v>
      </c>
      <c r="B5498" s="28"/>
      <c r="C5498" s="27"/>
      <c r="D5498" s="27" t="str">
        <f>"""NAV Direct"",""CRONUS JetCorp USA"",""21"",""1"",""336380"""</f>
        <v>"NAV Direct","CRONUS JetCorp USA","21","1","336380"</v>
      </c>
      <c r="E5498" s="31">
        <f t="shared" si="1663"/>
        <v>0</v>
      </c>
      <c r="F5498" s="31"/>
      <c r="G5498" s="31"/>
      <c r="H5498" s="31"/>
      <c r="I5498" s="56"/>
      <c r="J5498" s="56"/>
      <c r="K5498" s="82" t="str">
        <f t="shared" si="1664"/>
        <v>Invoice</v>
      </c>
      <c r="L5498" s="83" t="str">
        <f>"SI_110626"</f>
        <v>SI_110626</v>
      </c>
      <c r="M5498" s="84">
        <v>42551</v>
      </c>
      <c r="N5498" s="85">
        <f t="shared" si="1665"/>
        <v>1261</v>
      </c>
      <c r="O5498" s="86">
        <f t="shared" si="1666"/>
        <v>18429.82</v>
      </c>
      <c r="P5498" s="86">
        <f t="shared" si="1667"/>
        <v>0</v>
      </c>
      <c r="Q5498" s="86">
        <f t="shared" si="1668"/>
        <v>0</v>
      </c>
      <c r="R5498" s="86">
        <f t="shared" si="1669"/>
        <v>0</v>
      </c>
      <c r="S5498" s="86">
        <f t="shared" si="1670"/>
        <v>0</v>
      </c>
      <c r="T5498" s="86">
        <f t="shared" si="1671"/>
        <v>18429.82</v>
      </c>
      <c r="U5498" s="87">
        <v>18429.82</v>
      </c>
    </row>
    <row r="5499" spans="1:21" s="30" customFormat="1" ht="24.6" hidden="1" outlineLevel="1" x14ac:dyDescent="0.55000000000000004">
      <c r="A5499" s="27" t="s">
        <v>327</v>
      </c>
      <c r="B5499" s="28"/>
      <c r="C5499" s="27"/>
      <c r="D5499" s="27" t="str">
        <f>"""NAV Direct"",""CRONUS JetCorp USA"",""21"",""1"",""336444"""</f>
        <v>"NAV Direct","CRONUS JetCorp USA","21","1","336444"</v>
      </c>
      <c r="E5499" s="31" t="str">
        <f t="shared" si="1663"/>
        <v>C100145</v>
      </c>
      <c r="F5499" s="31"/>
      <c r="G5499" s="31"/>
      <c r="H5499" s="31"/>
      <c r="I5499" s="56"/>
      <c r="J5499" s="56"/>
      <c r="K5499" s="82" t="str">
        <f t="shared" si="1664"/>
        <v>Invoice</v>
      </c>
      <c r="L5499" s="83" t="str">
        <f>"SI_110628"</f>
        <v>SI_110628</v>
      </c>
      <c r="M5499" s="84">
        <v>42557</v>
      </c>
      <c r="N5499" s="85">
        <f t="shared" si="1665"/>
        <v>1255</v>
      </c>
      <c r="O5499" s="86">
        <f t="shared" si="1666"/>
        <v>17853.420000000002</v>
      </c>
      <c r="P5499" s="86">
        <f t="shared" si="1667"/>
        <v>0</v>
      </c>
      <c r="Q5499" s="86">
        <f t="shared" si="1668"/>
        <v>0</v>
      </c>
      <c r="R5499" s="86">
        <f t="shared" si="1669"/>
        <v>0</v>
      </c>
      <c r="S5499" s="86">
        <f t="shared" si="1670"/>
        <v>0</v>
      </c>
      <c r="T5499" s="86">
        <f t="shared" si="1671"/>
        <v>17853.420000000002</v>
      </c>
      <c r="U5499" s="87">
        <v>17853.420000000002</v>
      </c>
    </row>
    <row r="5500" spans="1:21" s="30" customFormat="1" ht="24.6" hidden="1" outlineLevel="1" x14ac:dyDescent="0.55000000000000004">
      <c r="A5500" s="27" t="s">
        <v>327</v>
      </c>
      <c r="B5500" s="28"/>
      <c r="C5500" s="27"/>
      <c r="D5500" s="27" t="str">
        <f>"""NAV Direct"",""CRONUS JetCorp USA"",""21"",""1"",""336925"""</f>
        <v>"NAV Direct","CRONUS JetCorp USA","21","1","336925"</v>
      </c>
      <c r="E5500" s="31">
        <f t="shared" si="1663"/>
        <v>0</v>
      </c>
      <c r="F5500" s="31"/>
      <c r="G5500" s="31"/>
      <c r="H5500" s="31"/>
      <c r="I5500" s="56"/>
      <c r="J5500" s="56"/>
      <c r="K5500" s="82" t="str">
        <f t="shared" si="1664"/>
        <v>Invoice</v>
      </c>
      <c r="L5500" s="83" t="str">
        <f>"SI_110641"</f>
        <v>SI_110641</v>
      </c>
      <c r="M5500" s="84">
        <v>42615</v>
      </c>
      <c r="N5500" s="85">
        <f t="shared" si="1665"/>
        <v>1197</v>
      </c>
      <c r="O5500" s="86">
        <f t="shared" si="1666"/>
        <v>17436.75</v>
      </c>
      <c r="P5500" s="86">
        <f t="shared" si="1667"/>
        <v>0</v>
      </c>
      <c r="Q5500" s="86">
        <f t="shared" si="1668"/>
        <v>0</v>
      </c>
      <c r="R5500" s="86">
        <f t="shared" si="1669"/>
        <v>0</v>
      </c>
      <c r="S5500" s="86">
        <f t="shared" si="1670"/>
        <v>0</v>
      </c>
      <c r="T5500" s="86">
        <f t="shared" si="1671"/>
        <v>17436.75</v>
      </c>
      <c r="U5500" s="87">
        <v>17436.75</v>
      </c>
    </row>
    <row r="5501" spans="1:21" s="30" customFormat="1" ht="24.6" hidden="1" outlineLevel="1" x14ac:dyDescent="0.55000000000000004">
      <c r="A5501" s="27" t="s">
        <v>327</v>
      </c>
      <c r="B5501" s="28"/>
      <c r="C5501" s="27"/>
      <c r="D5501" s="27" t="str">
        <f>"""NAV Direct"",""CRONUS JetCorp USA"",""21"",""1"",""337038"""</f>
        <v>"NAV Direct","CRONUS JetCorp USA","21","1","337038"</v>
      </c>
      <c r="E5501" s="31" t="str">
        <f t="shared" si="1663"/>
        <v>C100145</v>
      </c>
      <c r="F5501" s="31"/>
      <c r="G5501" s="31"/>
      <c r="H5501" s="31"/>
      <c r="I5501" s="56"/>
      <c r="J5501" s="56"/>
      <c r="K5501" s="82" t="str">
        <f t="shared" si="1664"/>
        <v>Invoice</v>
      </c>
      <c r="L5501" s="83" t="str">
        <f>"SI_110644"</f>
        <v>SI_110644</v>
      </c>
      <c r="M5501" s="84">
        <v>42641</v>
      </c>
      <c r="N5501" s="85">
        <f t="shared" si="1665"/>
        <v>1171</v>
      </c>
      <c r="O5501" s="86">
        <f t="shared" si="1666"/>
        <v>17199.309999999998</v>
      </c>
      <c r="P5501" s="86">
        <f t="shared" si="1667"/>
        <v>0</v>
      </c>
      <c r="Q5501" s="86">
        <f t="shared" si="1668"/>
        <v>0</v>
      </c>
      <c r="R5501" s="86">
        <f t="shared" si="1669"/>
        <v>0</v>
      </c>
      <c r="S5501" s="86">
        <f t="shared" si="1670"/>
        <v>0</v>
      </c>
      <c r="T5501" s="86">
        <f t="shared" si="1671"/>
        <v>17199.309999999998</v>
      </c>
      <c r="U5501" s="87">
        <v>17199.309999999998</v>
      </c>
    </row>
    <row r="5502" spans="1:21" s="30" customFormat="1" ht="24.6" hidden="1" outlineLevel="1" x14ac:dyDescent="0.55000000000000004">
      <c r="A5502" s="27" t="s">
        <v>327</v>
      </c>
      <c r="B5502" s="28"/>
      <c r="C5502" s="27"/>
      <c r="D5502" s="27" t="str">
        <f>"""NAV Direct"",""CRONUS JetCorp USA"",""21"",""1"",""337515"""</f>
        <v>"NAV Direct","CRONUS JetCorp USA","21","1","337515"</v>
      </c>
      <c r="E5502" s="31">
        <f t="shared" si="1663"/>
        <v>0</v>
      </c>
      <c r="F5502" s="31"/>
      <c r="G5502" s="31"/>
      <c r="H5502" s="31"/>
      <c r="I5502" s="56"/>
      <c r="J5502" s="56"/>
      <c r="K5502" s="82" t="str">
        <f t="shared" si="1664"/>
        <v>Invoice</v>
      </c>
      <c r="L5502" s="83" t="str">
        <f>"SI_110657"</f>
        <v>SI_110657</v>
      </c>
      <c r="M5502" s="84">
        <v>42702</v>
      </c>
      <c r="N5502" s="85">
        <f t="shared" si="1665"/>
        <v>1110</v>
      </c>
      <c r="O5502" s="86">
        <f t="shared" si="1666"/>
        <v>18528.509999999998</v>
      </c>
      <c r="P5502" s="86">
        <f t="shared" si="1667"/>
        <v>0</v>
      </c>
      <c r="Q5502" s="86">
        <f t="shared" si="1668"/>
        <v>0</v>
      </c>
      <c r="R5502" s="86">
        <f t="shared" si="1669"/>
        <v>0</v>
      </c>
      <c r="S5502" s="86">
        <f t="shared" si="1670"/>
        <v>0</v>
      </c>
      <c r="T5502" s="86">
        <f t="shared" si="1671"/>
        <v>18528.509999999998</v>
      </c>
      <c r="U5502" s="87">
        <v>18528.509999999998</v>
      </c>
    </row>
    <row r="5503" spans="1:21" s="30" customFormat="1" ht="24.6" hidden="1" outlineLevel="1" x14ac:dyDescent="0.55000000000000004">
      <c r="A5503" s="27" t="s">
        <v>327</v>
      </c>
      <c r="B5503" s="28"/>
      <c r="C5503" s="27"/>
      <c r="D5503" s="27" t="str">
        <f>"""NAV Direct"",""CRONUS JetCorp USA"",""21"",""1"",""337575"""</f>
        <v>"NAV Direct","CRONUS JetCorp USA","21","1","337575"</v>
      </c>
      <c r="E5503" s="31" t="str">
        <f t="shared" si="1663"/>
        <v>C100145</v>
      </c>
      <c r="F5503" s="31"/>
      <c r="G5503" s="31"/>
      <c r="H5503" s="31"/>
      <c r="I5503" s="56"/>
      <c r="J5503" s="56"/>
      <c r="K5503" s="82" t="str">
        <f t="shared" si="1664"/>
        <v>Invoice</v>
      </c>
      <c r="L5503" s="83" t="str">
        <f>"SI_110659"</f>
        <v>SI_110659</v>
      </c>
      <c r="M5503" s="84">
        <v>42707</v>
      </c>
      <c r="N5503" s="85">
        <f t="shared" si="1665"/>
        <v>1105</v>
      </c>
      <c r="O5503" s="86">
        <f t="shared" si="1666"/>
        <v>18720.28</v>
      </c>
      <c r="P5503" s="86">
        <f t="shared" si="1667"/>
        <v>0</v>
      </c>
      <c r="Q5503" s="86">
        <f t="shared" si="1668"/>
        <v>0</v>
      </c>
      <c r="R5503" s="86">
        <f t="shared" si="1669"/>
        <v>0</v>
      </c>
      <c r="S5503" s="86">
        <f t="shared" si="1670"/>
        <v>0</v>
      </c>
      <c r="T5503" s="86">
        <f t="shared" si="1671"/>
        <v>18720.28</v>
      </c>
      <c r="U5503" s="87">
        <v>18720.28</v>
      </c>
    </row>
    <row r="5504" spans="1:21" s="30" customFormat="1" ht="24.6" hidden="1" outlineLevel="1" x14ac:dyDescent="0.55000000000000004">
      <c r="A5504" s="27" t="s">
        <v>327</v>
      </c>
      <c r="B5504" s="28"/>
      <c r="C5504" s="27"/>
      <c r="D5504" s="27" t="str">
        <f>"""NAV Direct"",""CRONUS JetCorp USA"",""21"",""1"",""338271"""</f>
        <v>"NAV Direct","CRONUS JetCorp USA","21","1","338271"</v>
      </c>
      <c r="E5504" s="31">
        <f t="shared" si="1663"/>
        <v>0</v>
      </c>
      <c r="F5504" s="31"/>
      <c r="G5504" s="31"/>
      <c r="H5504" s="31"/>
      <c r="I5504" s="56"/>
      <c r="J5504" s="56"/>
      <c r="K5504" s="82" t="str">
        <f t="shared" si="1664"/>
        <v>Invoice</v>
      </c>
      <c r="L5504" s="83" t="str">
        <f>"SI_110679"</f>
        <v>SI_110679</v>
      </c>
      <c r="M5504" s="84">
        <v>42789</v>
      </c>
      <c r="N5504" s="85">
        <f t="shared" si="1665"/>
        <v>1023</v>
      </c>
      <c r="O5504" s="86">
        <f t="shared" si="1666"/>
        <v>17162.96</v>
      </c>
      <c r="P5504" s="86">
        <f t="shared" si="1667"/>
        <v>0</v>
      </c>
      <c r="Q5504" s="86">
        <f t="shared" si="1668"/>
        <v>0</v>
      </c>
      <c r="R5504" s="86">
        <f t="shared" si="1669"/>
        <v>0</v>
      </c>
      <c r="S5504" s="86">
        <f t="shared" si="1670"/>
        <v>0</v>
      </c>
      <c r="T5504" s="86">
        <f t="shared" si="1671"/>
        <v>17162.96</v>
      </c>
      <c r="U5504" s="87">
        <v>17162.96</v>
      </c>
    </row>
    <row r="5505" spans="1:21" s="30" customFormat="1" ht="24.6" hidden="1" outlineLevel="1" x14ac:dyDescent="0.55000000000000004">
      <c r="A5505" s="27" t="s">
        <v>327</v>
      </c>
      <c r="B5505" s="28"/>
      <c r="C5505" s="27"/>
      <c r="D5505" s="27" t="str">
        <f>"""NAV Direct"",""CRONUS JetCorp USA"",""21"",""1"",""338314"""</f>
        <v>"NAV Direct","CRONUS JetCorp USA","21","1","338314"</v>
      </c>
      <c r="E5505" s="31" t="str">
        <f t="shared" si="1663"/>
        <v>C100145</v>
      </c>
      <c r="F5505" s="31"/>
      <c r="G5505" s="31"/>
      <c r="H5505" s="31"/>
      <c r="I5505" s="56"/>
      <c r="J5505" s="56"/>
      <c r="K5505" s="82" t="str">
        <f t="shared" si="1664"/>
        <v>Invoice</v>
      </c>
      <c r="L5505" s="83" t="str">
        <f>"SI_110680"</f>
        <v>SI_110680</v>
      </c>
      <c r="M5505" s="84">
        <v>42787</v>
      </c>
      <c r="N5505" s="85">
        <f t="shared" si="1665"/>
        <v>1025</v>
      </c>
      <c r="O5505" s="86">
        <f t="shared" si="1666"/>
        <v>17353.870000000003</v>
      </c>
      <c r="P5505" s="86">
        <f t="shared" si="1667"/>
        <v>0</v>
      </c>
      <c r="Q5505" s="86">
        <f t="shared" si="1668"/>
        <v>0</v>
      </c>
      <c r="R5505" s="86">
        <f t="shared" si="1669"/>
        <v>0</v>
      </c>
      <c r="S5505" s="86">
        <f t="shared" si="1670"/>
        <v>0</v>
      </c>
      <c r="T5505" s="86">
        <f t="shared" si="1671"/>
        <v>17353.870000000003</v>
      </c>
      <c r="U5505" s="87">
        <v>17353.870000000003</v>
      </c>
    </row>
    <row r="5506" spans="1:21" s="30" customFormat="1" ht="24.6" hidden="1" outlineLevel="1" x14ac:dyDescent="0.55000000000000004">
      <c r="A5506" s="27" t="s">
        <v>327</v>
      </c>
      <c r="B5506" s="28"/>
      <c r="C5506" s="27"/>
      <c r="D5506" s="27" t="str">
        <f>"""NAV Direct"",""CRONUS JetCorp USA"",""21"",""1"",""338367"""</f>
        <v>"NAV Direct","CRONUS JetCorp USA","21","1","338367"</v>
      </c>
      <c r="E5506" s="31">
        <f t="shared" si="1663"/>
        <v>0</v>
      </c>
      <c r="F5506" s="31"/>
      <c r="G5506" s="31"/>
      <c r="H5506" s="31"/>
      <c r="I5506" s="56"/>
      <c r="J5506" s="56"/>
      <c r="K5506" s="82" t="str">
        <f t="shared" si="1664"/>
        <v>Invoice</v>
      </c>
      <c r="L5506" s="83" t="str">
        <f>"SI_110681"</f>
        <v>SI_110681</v>
      </c>
      <c r="M5506" s="84">
        <v>42802</v>
      </c>
      <c r="N5506" s="85">
        <f t="shared" si="1665"/>
        <v>1010</v>
      </c>
      <c r="O5506" s="86">
        <f t="shared" si="1666"/>
        <v>18307.27</v>
      </c>
      <c r="P5506" s="86">
        <f t="shared" si="1667"/>
        <v>0</v>
      </c>
      <c r="Q5506" s="86">
        <f t="shared" si="1668"/>
        <v>0</v>
      </c>
      <c r="R5506" s="86">
        <f t="shared" si="1669"/>
        <v>0</v>
      </c>
      <c r="S5506" s="86">
        <f t="shared" si="1670"/>
        <v>0</v>
      </c>
      <c r="T5506" s="86">
        <f t="shared" si="1671"/>
        <v>18307.27</v>
      </c>
      <c r="U5506" s="87">
        <v>18307.27</v>
      </c>
    </row>
    <row r="5507" spans="1:21" s="30" customFormat="1" ht="24.6" hidden="1" outlineLevel="1" x14ac:dyDescent="0.55000000000000004">
      <c r="A5507" s="27" t="s">
        <v>327</v>
      </c>
      <c r="B5507" s="28"/>
      <c r="C5507" s="27"/>
      <c r="D5507" s="27" t="str">
        <f>"""NAV Direct"",""CRONUS JetCorp USA"",""21"",""1"",""338412"""</f>
        <v>"NAV Direct","CRONUS JetCorp USA","21","1","338412"</v>
      </c>
      <c r="E5507" s="31" t="str">
        <f t="shared" si="1663"/>
        <v>C100145</v>
      </c>
      <c r="F5507" s="31"/>
      <c r="G5507" s="31"/>
      <c r="H5507" s="31"/>
      <c r="I5507" s="56"/>
      <c r="J5507" s="56"/>
      <c r="K5507" s="82" t="str">
        <f t="shared" si="1664"/>
        <v>Invoice</v>
      </c>
      <c r="L5507" s="83" t="str">
        <f>"SI_110682"</f>
        <v>SI_110682</v>
      </c>
      <c r="M5507" s="84">
        <v>42802</v>
      </c>
      <c r="N5507" s="85">
        <f t="shared" si="1665"/>
        <v>1010</v>
      </c>
      <c r="O5507" s="86">
        <f t="shared" si="1666"/>
        <v>17162.84</v>
      </c>
      <c r="P5507" s="86">
        <f t="shared" si="1667"/>
        <v>0</v>
      </c>
      <c r="Q5507" s="86">
        <f t="shared" si="1668"/>
        <v>0</v>
      </c>
      <c r="R5507" s="86">
        <f t="shared" si="1669"/>
        <v>0</v>
      </c>
      <c r="S5507" s="86">
        <f t="shared" si="1670"/>
        <v>0</v>
      </c>
      <c r="T5507" s="86">
        <f t="shared" si="1671"/>
        <v>17162.84</v>
      </c>
      <c r="U5507" s="87">
        <v>17162.84</v>
      </c>
    </row>
    <row r="5508" spans="1:21" s="30" customFormat="1" ht="24.6" hidden="1" outlineLevel="1" x14ac:dyDescent="0.55000000000000004">
      <c r="A5508" s="27" t="s">
        <v>327</v>
      </c>
      <c r="B5508" s="28"/>
      <c r="C5508" s="27"/>
      <c r="D5508" s="27" t="str">
        <f>"""NAV Direct"",""CRONUS JetCorp USA"",""21"",""1"",""338584"""</f>
        <v>"NAV Direct","CRONUS JetCorp USA","21","1","338584"</v>
      </c>
      <c r="E5508" s="31">
        <f t="shared" si="1663"/>
        <v>0</v>
      </c>
      <c r="F5508" s="31"/>
      <c r="G5508" s="31"/>
      <c r="H5508" s="31"/>
      <c r="I5508" s="56"/>
      <c r="J5508" s="56"/>
      <c r="K5508" s="82" t="str">
        <f t="shared" si="1664"/>
        <v>Invoice</v>
      </c>
      <c r="L5508" s="83" t="str">
        <f>"SI_110686"</f>
        <v>SI_110686</v>
      </c>
      <c r="M5508" s="84">
        <v>42817</v>
      </c>
      <c r="N5508" s="85">
        <f t="shared" si="1665"/>
        <v>995</v>
      </c>
      <c r="O5508" s="86">
        <f t="shared" si="1666"/>
        <v>16884.449999999997</v>
      </c>
      <c r="P5508" s="86">
        <f t="shared" si="1667"/>
        <v>0</v>
      </c>
      <c r="Q5508" s="86">
        <f t="shared" si="1668"/>
        <v>0</v>
      </c>
      <c r="R5508" s="86">
        <f t="shared" si="1669"/>
        <v>0</v>
      </c>
      <c r="S5508" s="86">
        <f t="shared" si="1670"/>
        <v>0</v>
      </c>
      <c r="T5508" s="86">
        <f t="shared" si="1671"/>
        <v>16884.449999999997</v>
      </c>
      <c r="U5508" s="87">
        <v>16884.449999999997</v>
      </c>
    </row>
    <row r="5509" spans="1:21" s="30" customFormat="1" ht="24.6" hidden="1" outlineLevel="1" x14ac:dyDescent="0.55000000000000004">
      <c r="A5509" s="27" t="s">
        <v>327</v>
      </c>
      <c r="B5509" s="28"/>
      <c r="C5509" s="27"/>
      <c r="D5509" s="27" t="str">
        <f>"""NAV Direct"",""CRONUS JetCorp USA"",""21"",""1"",""338713"""</f>
        <v>"NAV Direct","CRONUS JetCorp USA","21","1","338713"</v>
      </c>
      <c r="E5509" s="31" t="str">
        <f t="shared" si="1663"/>
        <v>C100145</v>
      </c>
      <c r="F5509" s="31"/>
      <c r="G5509" s="31"/>
      <c r="H5509" s="31"/>
      <c r="I5509" s="56"/>
      <c r="J5509" s="56"/>
      <c r="K5509" s="82" t="str">
        <f t="shared" si="1664"/>
        <v>Invoice</v>
      </c>
      <c r="L5509" s="83" t="str">
        <f>"SI_110689"</f>
        <v>SI_110689</v>
      </c>
      <c r="M5509" s="84">
        <v>42852</v>
      </c>
      <c r="N5509" s="85">
        <f t="shared" si="1665"/>
        <v>960</v>
      </c>
      <c r="O5509" s="86">
        <f t="shared" si="1666"/>
        <v>17808.34</v>
      </c>
      <c r="P5509" s="86">
        <f t="shared" si="1667"/>
        <v>0</v>
      </c>
      <c r="Q5509" s="86">
        <f t="shared" si="1668"/>
        <v>0</v>
      </c>
      <c r="R5509" s="86">
        <f t="shared" si="1669"/>
        <v>0</v>
      </c>
      <c r="S5509" s="86">
        <f t="shared" si="1670"/>
        <v>0</v>
      </c>
      <c r="T5509" s="86">
        <f t="shared" si="1671"/>
        <v>17808.34</v>
      </c>
      <c r="U5509" s="87">
        <v>17808.34</v>
      </c>
    </row>
    <row r="5510" spans="1:21" s="30" customFormat="1" ht="24.6" hidden="1" outlineLevel="1" x14ac:dyDescent="0.55000000000000004">
      <c r="A5510" s="27" t="s">
        <v>327</v>
      </c>
      <c r="B5510" s="28"/>
      <c r="C5510" s="27"/>
      <c r="D5510" s="27" t="str">
        <f>"""NAV Direct"",""CRONUS JetCorp USA"",""21"",""1"",""339109"""</f>
        <v>"NAV Direct","CRONUS JetCorp USA","21","1","339109"</v>
      </c>
      <c r="E5510" s="31">
        <f t="shared" si="1663"/>
        <v>0</v>
      </c>
      <c r="F5510" s="31"/>
      <c r="G5510" s="31"/>
      <c r="H5510" s="31"/>
      <c r="I5510" s="56"/>
      <c r="J5510" s="56"/>
      <c r="K5510" s="82" t="str">
        <f t="shared" si="1664"/>
        <v>Invoice</v>
      </c>
      <c r="L5510" s="83" t="str">
        <f>"SI_110699"</f>
        <v>SI_110699</v>
      </c>
      <c r="M5510" s="84">
        <v>42881</v>
      </c>
      <c r="N5510" s="85">
        <f t="shared" si="1665"/>
        <v>931</v>
      </c>
      <c r="O5510" s="86">
        <f t="shared" si="1666"/>
        <v>18289.150000000001</v>
      </c>
      <c r="P5510" s="86">
        <f t="shared" si="1667"/>
        <v>0</v>
      </c>
      <c r="Q5510" s="86">
        <f t="shared" si="1668"/>
        <v>0</v>
      </c>
      <c r="R5510" s="86">
        <f t="shared" si="1669"/>
        <v>0</v>
      </c>
      <c r="S5510" s="86">
        <f t="shared" si="1670"/>
        <v>0</v>
      </c>
      <c r="T5510" s="86">
        <f t="shared" si="1671"/>
        <v>18289.150000000001</v>
      </c>
      <c r="U5510" s="87">
        <v>18289.150000000001</v>
      </c>
    </row>
    <row r="5511" spans="1:21" s="30" customFormat="1" ht="24.6" hidden="1" outlineLevel="1" x14ac:dyDescent="0.55000000000000004">
      <c r="A5511" s="27" t="s">
        <v>327</v>
      </c>
      <c r="B5511" s="28"/>
      <c r="C5511" s="27"/>
      <c r="D5511" s="27" t="str">
        <f>"""NAV Direct"",""CRONUS JetCorp USA"",""21"",""1"",""339365"""</f>
        <v>"NAV Direct","CRONUS JetCorp USA","21","1","339365"</v>
      </c>
      <c r="E5511" s="31" t="str">
        <f t="shared" si="1663"/>
        <v>C100145</v>
      </c>
      <c r="F5511" s="31"/>
      <c r="G5511" s="31"/>
      <c r="H5511" s="31"/>
      <c r="I5511" s="56"/>
      <c r="J5511" s="56"/>
      <c r="K5511" s="82" t="str">
        <f t="shared" si="1664"/>
        <v>Invoice</v>
      </c>
      <c r="L5511" s="83" t="str">
        <f>"SI_110705"</f>
        <v>SI_110705</v>
      </c>
      <c r="M5511" s="84">
        <v>42912</v>
      </c>
      <c r="N5511" s="85">
        <f t="shared" si="1665"/>
        <v>900</v>
      </c>
      <c r="O5511" s="86">
        <f t="shared" si="1666"/>
        <v>19888.989999999998</v>
      </c>
      <c r="P5511" s="86">
        <f t="shared" si="1667"/>
        <v>0</v>
      </c>
      <c r="Q5511" s="86">
        <f t="shared" si="1668"/>
        <v>0</v>
      </c>
      <c r="R5511" s="86">
        <f t="shared" si="1669"/>
        <v>0</v>
      </c>
      <c r="S5511" s="86">
        <f t="shared" si="1670"/>
        <v>0</v>
      </c>
      <c r="T5511" s="86">
        <f t="shared" si="1671"/>
        <v>19888.989999999998</v>
      </c>
      <c r="U5511" s="87">
        <v>19888.989999999998</v>
      </c>
    </row>
    <row r="5512" spans="1:21" s="30" customFormat="1" ht="24.6" hidden="1" outlineLevel="1" x14ac:dyDescent="0.55000000000000004">
      <c r="A5512" s="27" t="s">
        <v>327</v>
      </c>
      <c r="B5512" s="28"/>
      <c r="C5512" s="27"/>
      <c r="D5512" s="27" t="str">
        <f>"""NAV Direct"",""CRONUS JetCorp USA"",""21"",""1"",""339790"""</f>
        <v>"NAV Direct","CRONUS JetCorp USA","21","1","339790"</v>
      </c>
      <c r="E5512" s="31">
        <f t="shared" si="1663"/>
        <v>0</v>
      </c>
      <c r="F5512" s="31"/>
      <c r="G5512" s="31"/>
      <c r="H5512" s="31"/>
      <c r="I5512" s="56"/>
      <c r="J5512" s="56"/>
      <c r="K5512" s="82" t="str">
        <f t="shared" si="1664"/>
        <v>Invoice</v>
      </c>
      <c r="L5512" s="83" t="str">
        <f>"SI_110716"</f>
        <v>SI_110716</v>
      </c>
      <c r="M5512" s="84">
        <v>42946</v>
      </c>
      <c r="N5512" s="85">
        <f t="shared" si="1665"/>
        <v>866</v>
      </c>
      <c r="O5512" s="86">
        <f t="shared" si="1666"/>
        <v>18562.57</v>
      </c>
      <c r="P5512" s="86">
        <f t="shared" si="1667"/>
        <v>0</v>
      </c>
      <c r="Q5512" s="86">
        <f t="shared" si="1668"/>
        <v>0</v>
      </c>
      <c r="R5512" s="86">
        <f t="shared" si="1669"/>
        <v>0</v>
      </c>
      <c r="S5512" s="86">
        <f t="shared" si="1670"/>
        <v>0</v>
      </c>
      <c r="T5512" s="86">
        <f t="shared" si="1671"/>
        <v>18562.57</v>
      </c>
      <c r="U5512" s="87">
        <v>18562.57</v>
      </c>
    </row>
    <row r="5513" spans="1:21" s="30" customFormat="1" ht="24.6" hidden="1" outlineLevel="1" x14ac:dyDescent="0.55000000000000004">
      <c r="A5513" s="27" t="s">
        <v>327</v>
      </c>
      <c r="B5513" s="28"/>
      <c r="C5513" s="27"/>
      <c r="D5513" s="27" t="str">
        <f>"""NAV Direct"",""CRONUS JetCorp USA"",""21"",""1"",""340205"""</f>
        <v>"NAV Direct","CRONUS JetCorp USA","21","1","340205"</v>
      </c>
      <c r="E5513" s="31" t="str">
        <f t="shared" si="1663"/>
        <v>C100145</v>
      </c>
      <c r="F5513" s="31"/>
      <c r="G5513" s="31"/>
      <c r="H5513" s="31"/>
      <c r="I5513" s="56"/>
      <c r="J5513" s="56"/>
      <c r="K5513" s="82" t="str">
        <f t="shared" si="1664"/>
        <v>Invoice</v>
      </c>
      <c r="L5513" s="83" t="str">
        <f>"SI_110727"</f>
        <v>SI_110727</v>
      </c>
      <c r="M5513" s="84">
        <v>42989</v>
      </c>
      <c r="N5513" s="85">
        <f t="shared" si="1665"/>
        <v>823</v>
      </c>
      <c r="O5513" s="86">
        <f t="shared" si="1666"/>
        <v>17814.18</v>
      </c>
      <c r="P5513" s="86">
        <f t="shared" si="1667"/>
        <v>0</v>
      </c>
      <c r="Q5513" s="86">
        <f t="shared" si="1668"/>
        <v>0</v>
      </c>
      <c r="R5513" s="86">
        <f t="shared" si="1669"/>
        <v>0</v>
      </c>
      <c r="S5513" s="86">
        <f t="shared" si="1670"/>
        <v>0</v>
      </c>
      <c r="T5513" s="86">
        <f t="shared" si="1671"/>
        <v>17814.18</v>
      </c>
      <c r="U5513" s="87">
        <v>17814.18</v>
      </c>
    </row>
    <row r="5514" spans="1:21" s="30" customFormat="1" ht="24.6" hidden="1" outlineLevel="1" x14ac:dyDescent="0.55000000000000004">
      <c r="A5514" s="27" t="s">
        <v>327</v>
      </c>
      <c r="B5514" s="28"/>
      <c r="C5514" s="27"/>
      <c r="D5514" s="27" t="str">
        <f>"""NAV Direct"",""CRONUS JetCorp USA"",""21"",""1"",""340240"""</f>
        <v>"NAV Direct","CRONUS JetCorp USA","21","1","340240"</v>
      </c>
      <c r="E5514" s="31">
        <f t="shared" si="1663"/>
        <v>0</v>
      </c>
      <c r="F5514" s="31"/>
      <c r="G5514" s="31"/>
      <c r="H5514" s="31"/>
      <c r="I5514" s="56"/>
      <c r="J5514" s="56"/>
      <c r="K5514" s="82" t="str">
        <f t="shared" si="1664"/>
        <v>Invoice</v>
      </c>
      <c r="L5514" s="83" t="str">
        <f>"SI_110728"</f>
        <v>SI_110728</v>
      </c>
      <c r="M5514" s="84">
        <v>42997</v>
      </c>
      <c r="N5514" s="85">
        <f t="shared" si="1665"/>
        <v>815</v>
      </c>
      <c r="O5514" s="86">
        <f t="shared" si="1666"/>
        <v>17813.73</v>
      </c>
      <c r="P5514" s="86">
        <f t="shared" si="1667"/>
        <v>0</v>
      </c>
      <c r="Q5514" s="86">
        <f t="shared" si="1668"/>
        <v>0</v>
      </c>
      <c r="R5514" s="86">
        <f t="shared" si="1669"/>
        <v>0</v>
      </c>
      <c r="S5514" s="86">
        <f t="shared" si="1670"/>
        <v>0</v>
      </c>
      <c r="T5514" s="86">
        <f t="shared" si="1671"/>
        <v>17813.73</v>
      </c>
      <c r="U5514" s="87">
        <v>17813.73</v>
      </c>
    </row>
    <row r="5515" spans="1:21" s="30" customFormat="1" ht="24.6" hidden="1" outlineLevel="1" x14ac:dyDescent="0.55000000000000004">
      <c r="A5515" s="27" t="s">
        <v>327</v>
      </c>
      <c r="B5515" s="28"/>
      <c r="C5515" s="27"/>
      <c r="D5515" s="27" t="str">
        <f>"""NAV Direct"",""CRONUS JetCorp USA"",""21"",""1"",""340359"""</f>
        <v>"NAV Direct","CRONUS JetCorp USA","21","1","340359"</v>
      </c>
      <c r="E5515" s="31" t="str">
        <f t="shared" si="1663"/>
        <v>C100145</v>
      </c>
      <c r="F5515" s="31"/>
      <c r="G5515" s="31"/>
      <c r="H5515" s="31"/>
      <c r="I5515" s="56"/>
      <c r="J5515" s="56"/>
      <c r="K5515" s="82" t="str">
        <f t="shared" si="1664"/>
        <v>Invoice</v>
      </c>
      <c r="L5515" s="83" t="str">
        <f>"SI_110731"</f>
        <v>SI_110731</v>
      </c>
      <c r="M5515" s="84">
        <v>43007</v>
      </c>
      <c r="N5515" s="85">
        <f t="shared" si="1665"/>
        <v>805</v>
      </c>
      <c r="O5515" s="86">
        <f t="shared" si="1666"/>
        <v>18189.34</v>
      </c>
      <c r="P5515" s="86">
        <f t="shared" si="1667"/>
        <v>0</v>
      </c>
      <c r="Q5515" s="86">
        <f t="shared" si="1668"/>
        <v>0</v>
      </c>
      <c r="R5515" s="86">
        <f t="shared" si="1669"/>
        <v>0</v>
      </c>
      <c r="S5515" s="86">
        <f t="shared" si="1670"/>
        <v>0</v>
      </c>
      <c r="T5515" s="86">
        <f t="shared" si="1671"/>
        <v>18189.34</v>
      </c>
      <c r="U5515" s="87">
        <v>18189.34</v>
      </c>
    </row>
    <row r="5516" spans="1:21" s="30" customFormat="1" ht="24.6" hidden="1" outlineLevel="1" x14ac:dyDescent="0.55000000000000004">
      <c r="A5516" s="27" t="s">
        <v>327</v>
      </c>
      <c r="B5516" s="28"/>
      <c r="C5516" s="27"/>
      <c r="D5516" s="27" t="str">
        <f>"""NAV Direct"",""CRONUS JetCorp USA"",""21"",""1"",""340544"""</f>
        <v>"NAV Direct","CRONUS JetCorp USA","21","1","340544"</v>
      </c>
      <c r="E5516" s="31">
        <f t="shared" si="1663"/>
        <v>0</v>
      </c>
      <c r="F5516" s="31"/>
      <c r="G5516" s="31"/>
      <c r="H5516" s="31"/>
      <c r="I5516" s="56"/>
      <c r="J5516" s="56"/>
      <c r="K5516" s="82" t="str">
        <f t="shared" si="1664"/>
        <v>Invoice</v>
      </c>
      <c r="L5516" s="83" t="str">
        <f>"SI_110736"</f>
        <v>SI_110736</v>
      </c>
      <c r="M5516" s="84">
        <v>43029</v>
      </c>
      <c r="N5516" s="85">
        <f t="shared" si="1665"/>
        <v>783</v>
      </c>
      <c r="O5516" s="86">
        <f t="shared" si="1666"/>
        <v>18348.600000000002</v>
      </c>
      <c r="P5516" s="86">
        <f t="shared" si="1667"/>
        <v>0</v>
      </c>
      <c r="Q5516" s="86">
        <f t="shared" si="1668"/>
        <v>0</v>
      </c>
      <c r="R5516" s="86">
        <f t="shared" si="1669"/>
        <v>0</v>
      </c>
      <c r="S5516" s="86">
        <f t="shared" si="1670"/>
        <v>0</v>
      </c>
      <c r="T5516" s="86">
        <f t="shared" si="1671"/>
        <v>18348.600000000002</v>
      </c>
      <c r="U5516" s="87">
        <v>18348.600000000002</v>
      </c>
    </row>
    <row r="5517" spans="1:21" s="30" customFormat="1" ht="24.6" hidden="1" outlineLevel="1" x14ac:dyDescent="0.55000000000000004">
      <c r="A5517" s="27" t="s">
        <v>327</v>
      </c>
      <c r="B5517" s="28"/>
      <c r="C5517" s="27"/>
      <c r="D5517" s="27" t="str">
        <f>"""NAV Direct"",""CRONUS JetCorp USA"",""21"",""1"",""340653"""</f>
        <v>"NAV Direct","CRONUS JetCorp USA","21","1","340653"</v>
      </c>
      <c r="E5517" s="31" t="str">
        <f t="shared" si="1663"/>
        <v>C100145</v>
      </c>
      <c r="F5517" s="31"/>
      <c r="G5517" s="31"/>
      <c r="H5517" s="31"/>
      <c r="I5517" s="56"/>
      <c r="J5517" s="56"/>
      <c r="K5517" s="82" t="str">
        <f t="shared" si="1664"/>
        <v>Invoice</v>
      </c>
      <c r="L5517" s="83" t="str">
        <f>"SI_110739"</f>
        <v>SI_110739</v>
      </c>
      <c r="M5517" s="84">
        <v>43042</v>
      </c>
      <c r="N5517" s="85">
        <f t="shared" si="1665"/>
        <v>770</v>
      </c>
      <c r="O5517" s="86">
        <f t="shared" si="1666"/>
        <v>18348.490000000002</v>
      </c>
      <c r="P5517" s="86">
        <f t="shared" si="1667"/>
        <v>0</v>
      </c>
      <c r="Q5517" s="86">
        <f t="shared" si="1668"/>
        <v>0</v>
      </c>
      <c r="R5517" s="86">
        <f t="shared" si="1669"/>
        <v>0</v>
      </c>
      <c r="S5517" s="86">
        <f t="shared" si="1670"/>
        <v>0</v>
      </c>
      <c r="T5517" s="86">
        <f t="shared" si="1671"/>
        <v>18348.490000000002</v>
      </c>
      <c r="U5517" s="87">
        <v>18348.490000000002</v>
      </c>
    </row>
    <row r="5518" spans="1:21" s="30" customFormat="1" ht="24.6" hidden="1" outlineLevel="1" x14ac:dyDescent="0.55000000000000004">
      <c r="A5518" s="27" t="s">
        <v>327</v>
      </c>
      <c r="B5518" s="28"/>
      <c r="C5518" s="27"/>
      <c r="D5518" s="27" t="str">
        <f>"""NAV Direct"",""CRONUS JetCorp USA"",""21"",""1"",""340764"""</f>
        <v>"NAV Direct","CRONUS JetCorp USA","21","1","340764"</v>
      </c>
      <c r="E5518" s="31">
        <f t="shared" si="1663"/>
        <v>0</v>
      </c>
      <c r="F5518" s="31"/>
      <c r="G5518" s="31"/>
      <c r="H5518" s="31"/>
      <c r="I5518" s="56"/>
      <c r="J5518" s="56"/>
      <c r="K5518" s="82" t="str">
        <f t="shared" si="1664"/>
        <v>Invoice</v>
      </c>
      <c r="L5518" s="83" t="str">
        <f>"SI_110742"</f>
        <v>SI_110742</v>
      </c>
      <c r="M5518" s="84">
        <v>43054</v>
      </c>
      <c r="N5518" s="85">
        <f t="shared" si="1665"/>
        <v>758</v>
      </c>
      <c r="O5518" s="86">
        <f t="shared" si="1666"/>
        <v>18302.14</v>
      </c>
      <c r="P5518" s="86">
        <f t="shared" si="1667"/>
        <v>0</v>
      </c>
      <c r="Q5518" s="86">
        <f t="shared" si="1668"/>
        <v>0</v>
      </c>
      <c r="R5518" s="86">
        <f t="shared" si="1669"/>
        <v>0</v>
      </c>
      <c r="S5518" s="86">
        <f t="shared" si="1670"/>
        <v>0</v>
      </c>
      <c r="T5518" s="86">
        <f t="shared" si="1671"/>
        <v>18302.14</v>
      </c>
      <c r="U5518" s="87">
        <v>18302.14</v>
      </c>
    </row>
    <row r="5519" spans="1:21" s="30" customFormat="1" ht="24.6" hidden="1" outlineLevel="1" x14ac:dyDescent="0.55000000000000004">
      <c r="A5519" s="27" t="s">
        <v>327</v>
      </c>
      <c r="B5519" s="28"/>
      <c r="C5519" s="27"/>
      <c r="D5519" s="27" t="str">
        <f>"""NAV Direct"",""CRONUS JetCorp USA"",""21"",""1"",""340932"""</f>
        <v>"NAV Direct","CRONUS JetCorp USA","21","1","340932"</v>
      </c>
      <c r="E5519" s="31" t="str">
        <f t="shared" ref="E5519:E5550" si="1672">E5517</f>
        <v>C100145</v>
      </c>
      <c r="F5519" s="31"/>
      <c r="G5519" s="31"/>
      <c r="H5519" s="31"/>
      <c r="I5519" s="56"/>
      <c r="J5519" s="56"/>
      <c r="K5519" s="82" t="str">
        <f t="shared" ref="K5519:K5550" si="1673">"Invoice"</f>
        <v>Invoice</v>
      </c>
      <c r="L5519" s="83" t="str">
        <f>"SI_110746"</f>
        <v>SI_110746</v>
      </c>
      <c r="M5519" s="84">
        <v>43058</v>
      </c>
      <c r="N5519" s="85">
        <f t="shared" ref="N5519:N5550" si="1674">StartDate-$M5519+1</f>
        <v>754</v>
      </c>
      <c r="O5519" s="86">
        <f t="shared" ref="O5519:O5550" si="1675">SUM(P5519:T5519)</f>
        <v>18501.150000000001</v>
      </c>
      <c r="P5519" s="86">
        <f t="shared" ref="P5519:P5550" si="1676">IF($M5519&gt;=$P$18,U5519,0)</f>
        <v>0</v>
      </c>
      <c r="Q5519" s="86">
        <f t="shared" ref="Q5519:Q5550" si="1677">IF(AND($M5519&gt;=$Q$16,$M5519&lt;=$Q$18),U5519,0)</f>
        <v>0</v>
      </c>
      <c r="R5519" s="86">
        <f t="shared" ref="R5519:R5550" si="1678">IF(AND($M5519&gt;=$R$16,$M5519&lt;=$R$18),U5519,0)</f>
        <v>0</v>
      </c>
      <c r="S5519" s="86">
        <f t="shared" ref="S5519:S5550" si="1679">IF(AND($M5519&gt;=$S$16,$M5519&lt;=$S$18),U5519,0)</f>
        <v>0</v>
      </c>
      <c r="T5519" s="86">
        <f t="shared" ref="T5519:T5550" si="1680">IF($M5519&lt;=$T$18,U5519,0)</f>
        <v>18501.150000000001</v>
      </c>
      <c r="U5519" s="87">
        <v>18501.150000000001</v>
      </c>
    </row>
    <row r="5520" spans="1:21" s="30" customFormat="1" ht="24.6" hidden="1" outlineLevel="1" x14ac:dyDescent="0.55000000000000004">
      <c r="A5520" s="27" t="s">
        <v>327</v>
      </c>
      <c r="B5520" s="28"/>
      <c r="C5520" s="27"/>
      <c r="D5520" s="27" t="str">
        <f>"""NAV Direct"",""CRONUS JetCorp USA"",""21"",""1"",""341201"""</f>
        <v>"NAV Direct","CRONUS JetCorp USA","21","1","341201"</v>
      </c>
      <c r="E5520" s="31">
        <f t="shared" si="1672"/>
        <v>0</v>
      </c>
      <c r="F5520" s="31"/>
      <c r="G5520" s="31"/>
      <c r="H5520" s="31"/>
      <c r="I5520" s="56"/>
      <c r="J5520" s="56"/>
      <c r="K5520" s="82" t="str">
        <f t="shared" si="1673"/>
        <v>Invoice</v>
      </c>
      <c r="L5520" s="83" t="str">
        <f>"SI_110753"</f>
        <v>SI_110753</v>
      </c>
      <c r="M5520" s="84">
        <v>43084</v>
      </c>
      <c r="N5520" s="85">
        <f t="shared" si="1674"/>
        <v>728</v>
      </c>
      <c r="O5520" s="86">
        <f t="shared" si="1675"/>
        <v>19522.68</v>
      </c>
      <c r="P5520" s="86">
        <f t="shared" si="1676"/>
        <v>0</v>
      </c>
      <c r="Q5520" s="86">
        <f t="shared" si="1677"/>
        <v>0</v>
      </c>
      <c r="R5520" s="86">
        <f t="shared" si="1678"/>
        <v>0</v>
      </c>
      <c r="S5520" s="86">
        <f t="shared" si="1679"/>
        <v>0</v>
      </c>
      <c r="T5520" s="86">
        <f t="shared" si="1680"/>
        <v>19522.68</v>
      </c>
      <c r="U5520" s="87">
        <v>19522.68</v>
      </c>
    </row>
    <row r="5521" spans="1:21" s="30" customFormat="1" ht="24.6" hidden="1" outlineLevel="1" x14ac:dyDescent="0.55000000000000004">
      <c r="A5521" s="27" t="s">
        <v>327</v>
      </c>
      <c r="B5521" s="28"/>
      <c r="C5521" s="27"/>
      <c r="D5521" s="27" t="str">
        <f>"""NAV Direct"",""CRONUS JetCorp USA"",""21"",""1"",""341234"""</f>
        <v>"NAV Direct","CRONUS JetCorp USA","21","1","341234"</v>
      </c>
      <c r="E5521" s="31" t="str">
        <f t="shared" si="1672"/>
        <v>C100145</v>
      </c>
      <c r="F5521" s="31"/>
      <c r="G5521" s="31"/>
      <c r="H5521" s="31"/>
      <c r="I5521" s="56"/>
      <c r="J5521" s="56"/>
      <c r="K5521" s="82" t="str">
        <f t="shared" si="1673"/>
        <v>Invoice</v>
      </c>
      <c r="L5521" s="83" t="str">
        <f>"SI_110754"</f>
        <v>SI_110754</v>
      </c>
      <c r="M5521" s="84">
        <v>43097</v>
      </c>
      <c r="N5521" s="85">
        <f t="shared" si="1674"/>
        <v>715</v>
      </c>
      <c r="O5521" s="86">
        <f t="shared" si="1675"/>
        <v>20139.300000000003</v>
      </c>
      <c r="P5521" s="86">
        <f t="shared" si="1676"/>
        <v>0</v>
      </c>
      <c r="Q5521" s="86">
        <f t="shared" si="1677"/>
        <v>0</v>
      </c>
      <c r="R5521" s="86">
        <f t="shared" si="1678"/>
        <v>0</v>
      </c>
      <c r="S5521" s="86">
        <f t="shared" si="1679"/>
        <v>0</v>
      </c>
      <c r="T5521" s="86">
        <f t="shared" si="1680"/>
        <v>20139.300000000003</v>
      </c>
      <c r="U5521" s="87">
        <v>20139.300000000003</v>
      </c>
    </row>
    <row r="5522" spans="1:21" s="30" customFormat="1" ht="24.6" hidden="1" outlineLevel="1" x14ac:dyDescent="0.55000000000000004">
      <c r="A5522" s="27" t="s">
        <v>327</v>
      </c>
      <c r="B5522" s="28"/>
      <c r="C5522" s="27"/>
      <c r="D5522" s="27" t="str">
        <f>"""NAV Direct"",""CRONUS JetCorp USA"",""21"",""1"",""341479"""</f>
        <v>"NAV Direct","CRONUS JetCorp USA","21","1","341479"</v>
      </c>
      <c r="E5522" s="31">
        <f t="shared" si="1672"/>
        <v>0</v>
      </c>
      <c r="F5522" s="31"/>
      <c r="G5522" s="31"/>
      <c r="H5522" s="31"/>
      <c r="I5522" s="56"/>
      <c r="J5522" s="56"/>
      <c r="K5522" s="82" t="str">
        <f t="shared" si="1673"/>
        <v>Invoice</v>
      </c>
      <c r="L5522" s="83" t="str">
        <f>"SI_110761"</f>
        <v>SI_110761</v>
      </c>
      <c r="M5522" s="84">
        <v>43116</v>
      </c>
      <c r="N5522" s="85">
        <f t="shared" si="1674"/>
        <v>696</v>
      </c>
      <c r="O5522" s="86">
        <f t="shared" si="1675"/>
        <v>19694.740000000002</v>
      </c>
      <c r="P5522" s="86">
        <f t="shared" si="1676"/>
        <v>0</v>
      </c>
      <c r="Q5522" s="86">
        <f t="shared" si="1677"/>
        <v>0</v>
      </c>
      <c r="R5522" s="86">
        <f t="shared" si="1678"/>
        <v>0</v>
      </c>
      <c r="S5522" s="86">
        <f t="shared" si="1679"/>
        <v>0</v>
      </c>
      <c r="T5522" s="86">
        <f t="shared" si="1680"/>
        <v>19694.740000000002</v>
      </c>
      <c r="U5522" s="87">
        <v>19694.740000000002</v>
      </c>
    </row>
    <row r="5523" spans="1:21" s="30" customFormat="1" ht="24.6" hidden="1" outlineLevel="1" x14ac:dyDescent="0.55000000000000004">
      <c r="A5523" s="27" t="s">
        <v>327</v>
      </c>
      <c r="B5523" s="28"/>
      <c r="C5523" s="27"/>
      <c r="D5523" s="27" t="str">
        <f>"""NAV Direct"",""CRONUS JetCorp USA"",""21"",""1"",""341752"""</f>
        <v>"NAV Direct","CRONUS JetCorp USA","21","1","341752"</v>
      </c>
      <c r="E5523" s="31" t="str">
        <f t="shared" si="1672"/>
        <v>C100145</v>
      </c>
      <c r="F5523" s="31"/>
      <c r="G5523" s="31"/>
      <c r="H5523" s="31"/>
      <c r="I5523" s="56"/>
      <c r="J5523" s="56"/>
      <c r="K5523" s="82" t="str">
        <f t="shared" si="1673"/>
        <v>Invoice</v>
      </c>
      <c r="L5523" s="83" t="str">
        <f>"SI_110768"</f>
        <v>SI_110768</v>
      </c>
      <c r="M5523" s="84">
        <v>43159</v>
      </c>
      <c r="N5523" s="85">
        <f t="shared" si="1674"/>
        <v>653</v>
      </c>
      <c r="O5523" s="86">
        <f t="shared" si="1675"/>
        <v>19419.28</v>
      </c>
      <c r="P5523" s="86">
        <f t="shared" si="1676"/>
        <v>0</v>
      </c>
      <c r="Q5523" s="86">
        <f t="shared" si="1677"/>
        <v>0</v>
      </c>
      <c r="R5523" s="86">
        <f t="shared" si="1678"/>
        <v>0</v>
      </c>
      <c r="S5523" s="86">
        <f t="shared" si="1679"/>
        <v>0</v>
      </c>
      <c r="T5523" s="86">
        <f t="shared" si="1680"/>
        <v>19419.28</v>
      </c>
      <c r="U5523" s="87">
        <v>19419.28</v>
      </c>
    </row>
    <row r="5524" spans="1:21" s="30" customFormat="1" ht="24.6" hidden="1" outlineLevel="1" x14ac:dyDescent="0.55000000000000004">
      <c r="A5524" s="27" t="s">
        <v>327</v>
      </c>
      <c r="B5524" s="28"/>
      <c r="C5524" s="27"/>
      <c r="D5524" s="27" t="str">
        <f>"""NAV Direct"",""CRONUS JetCorp USA"",""21"",""1"",""342113"""</f>
        <v>"NAV Direct","CRONUS JetCorp USA","21","1","342113"</v>
      </c>
      <c r="E5524" s="31">
        <f t="shared" si="1672"/>
        <v>0</v>
      </c>
      <c r="F5524" s="31"/>
      <c r="G5524" s="31"/>
      <c r="H5524" s="31"/>
      <c r="I5524" s="56"/>
      <c r="J5524" s="56"/>
      <c r="K5524" s="82" t="str">
        <f t="shared" si="1673"/>
        <v>Invoice</v>
      </c>
      <c r="L5524" s="83" t="str">
        <f>"SI_110777"</f>
        <v>SI_110777</v>
      </c>
      <c r="M5524" s="84">
        <v>43188</v>
      </c>
      <c r="N5524" s="85">
        <f t="shared" si="1674"/>
        <v>624</v>
      </c>
      <c r="O5524" s="86">
        <f t="shared" si="1675"/>
        <v>18422.63</v>
      </c>
      <c r="P5524" s="86">
        <f t="shared" si="1676"/>
        <v>0</v>
      </c>
      <c r="Q5524" s="86">
        <f t="shared" si="1677"/>
        <v>0</v>
      </c>
      <c r="R5524" s="86">
        <f t="shared" si="1678"/>
        <v>0</v>
      </c>
      <c r="S5524" s="86">
        <f t="shared" si="1679"/>
        <v>0</v>
      </c>
      <c r="T5524" s="86">
        <f t="shared" si="1680"/>
        <v>18422.63</v>
      </c>
      <c r="U5524" s="87">
        <v>18422.63</v>
      </c>
    </row>
    <row r="5525" spans="1:21" s="30" customFormat="1" ht="24.6" hidden="1" outlineLevel="1" x14ac:dyDescent="0.55000000000000004">
      <c r="A5525" s="27" t="s">
        <v>327</v>
      </c>
      <c r="B5525" s="28"/>
      <c r="C5525" s="27"/>
      <c r="D5525" s="27" t="str">
        <f>"""NAV Direct"",""CRONUS JetCorp USA"",""21"",""1"",""342286"""</f>
        <v>"NAV Direct","CRONUS JetCorp USA","21","1","342286"</v>
      </c>
      <c r="E5525" s="31" t="str">
        <f t="shared" si="1672"/>
        <v>C100145</v>
      </c>
      <c r="F5525" s="31"/>
      <c r="G5525" s="31"/>
      <c r="H5525" s="31"/>
      <c r="I5525" s="56"/>
      <c r="J5525" s="56"/>
      <c r="K5525" s="82" t="str">
        <f t="shared" si="1673"/>
        <v>Invoice</v>
      </c>
      <c r="L5525" s="83" t="str">
        <f>"SI_110782"</f>
        <v>SI_110782</v>
      </c>
      <c r="M5525" s="84">
        <v>43219</v>
      </c>
      <c r="N5525" s="85">
        <f t="shared" si="1674"/>
        <v>593</v>
      </c>
      <c r="O5525" s="86">
        <f t="shared" si="1675"/>
        <v>19379.02</v>
      </c>
      <c r="P5525" s="86">
        <f t="shared" si="1676"/>
        <v>0</v>
      </c>
      <c r="Q5525" s="86">
        <f t="shared" si="1677"/>
        <v>0</v>
      </c>
      <c r="R5525" s="86">
        <f t="shared" si="1678"/>
        <v>0</v>
      </c>
      <c r="S5525" s="86">
        <f t="shared" si="1679"/>
        <v>0</v>
      </c>
      <c r="T5525" s="86">
        <f t="shared" si="1680"/>
        <v>19379.02</v>
      </c>
      <c r="U5525" s="87">
        <v>19379.02</v>
      </c>
    </row>
    <row r="5526" spans="1:21" s="30" customFormat="1" ht="24.6" hidden="1" outlineLevel="1" x14ac:dyDescent="0.55000000000000004">
      <c r="A5526" s="27" t="s">
        <v>327</v>
      </c>
      <c r="B5526" s="28"/>
      <c r="C5526" s="27"/>
      <c r="D5526" s="27" t="str">
        <f>"""NAV Direct"",""CRONUS JetCorp USA"",""21"",""1"",""343031"""</f>
        <v>"NAV Direct","CRONUS JetCorp USA","21","1","343031"</v>
      </c>
      <c r="E5526" s="31">
        <f t="shared" si="1672"/>
        <v>0</v>
      </c>
      <c r="F5526" s="31"/>
      <c r="G5526" s="31"/>
      <c r="H5526" s="31"/>
      <c r="I5526" s="56"/>
      <c r="J5526" s="56"/>
      <c r="K5526" s="82" t="str">
        <f t="shared" si="1673"/>
        <v>Invoice</v>
      </c>
      <c r="L5526" s="83" t="str">
        <f>"SI_110801"</f>
        <v>SI_110801</v>
      </c>
      <c r="M5526" s="84">
        <v>43285</v>
      </c>
      <c r="N5526" s="85">
        <f t="shared" si="1674"/>
        <v>527</v>
      </c>
      <c r="O5526" s="86">
        <f t="shared" si="1675"/>
        <v>19781.48</v>
      </c>
      <c r="P5526" s="86">
        <f t="shared" si="1676"/>
        <v>0</v>
      </c>
      <c r="Q5526" s="86">
        <f t="shared" si="1677"/>
        <v>0</v>
      </c>
      <c r="R5526" s="86">
        <f t="shared" si="1678"/>
        <v>0</v>
      </c>
      <c r="S5526" s="86">
        <f t="shared" si="1679"/>
        <v>0</v>
      </c>
      <c r="T5526" s="86">
        <f t="shared" si="1680"/>
        <v>19781.48</v>
      </c>
      <c r="U5526" s="87">
        <v>19781.48</v>
      </c>
    </row>
    <row r="5527" spans="1:21" s="30" customFormat="1" ht="24.6" hidden="1" outlineLevel="1" x14ac:dyDescent="0.55000000000000004">
      <c r="A5527" s="27" t="s">
        <v>327</v>
      </c>
      <c r="B5527" s="28"/>
      <c r="C5527" s="27"/>
      <c r="D5527" s="27" t="str">
        <f>"""NAV Direct"",""CRONUS JetCorp USA"",""21"",""1"",""343242"""</f>
        <v>"NAV Direct","CRONUS JetCorp USA","21","1","343242"</v>
      </c>
      <c r="E5527" s="31" t="str">
        <f t="shared" si="1672"/>
        <v>C100145</v>
      </c>
      <c r="F5527" s="31"/>
      <c r="G5527" s="31"/>
      <c r="H5527" s="31"/>
      <c r="I5527" s="56"/>
      <c r="J5527" s="56"/>
      <c r="K5527" s="82" t="str">
        <f t="shared" si="1673"/>
        <v>Invoice</v>
      </c>
      <c r="L5527" s="83" t="str">
        <f>"SI_110806"</f>
        <v>SI_110806</v>
      </c>
      <c r="M5527" s="84">
        <v>43298</v>
      </c>
      <c r="N5527" s="85">
        <f t="shared" si="1674"/>
        <v>514</v>
      </c>
      <c r="O5527" s="86">
        <f t="shared" si="1675"/>
        <v>20302.59</v>
      </c>
      <c r="P5527" s="86">
        <f t="shared" si="1676"/>
        <v>0</v>
      </c>
      <c r="Q5527" s="86">
        <f t="shared" si="1677"/>
        <v>0</v>
      </c>
      <c r="R5527" s="86">
        <f t="shared" si="1678"/>
        <v>0</v>
      </c>
      <c r="S5527" s="86">
        <f t="shared" si="1679"/>
        <v>0</v>
      </c>
      <c r="T5527" s="86">
        <f t="shared" si="1680"/>
        <v>20302.59</v>
      </c>
      <c r="U5527" s="87">
        <v>20302.59</v>
      </c>
    </row>
    <row r="5528" spans="1:21" s="30" customFormat="1" ht="24.6" hidden="1" outlineLevel="1" x14ac:dyDescent="0.55000000000000004">
      <c r="A5528" s="27" t="s">
        <v>327</v>
      </c>
      <c r="B5528" s="28"/>
      <c r="C5528" s="27"/>
      <c r="D5528" s="27" t="str">
        <f>"""NAV Direct"",""CRONUS JetCorp USA"",""21"",""1"",""343287"""</f>
        <v>"NAV Direct","CRONUS JetCorp USA","21","1","343287"</v>
      </c>
      <c r="E5528" s="31">
        <f t="shared" si="1672"/>
        <v>0</v>
      </c>
      <c r="F5528" s="31"/>
      <c r="G5528" s="31"/>
      <c r="H5528" s="31"/>
      <c r="I5528" s="56"/>
      <c r="J5528" s="56"/>
      <c r="K5528" s="82" t="str">
        <f t="shared" si="1673"/>
        <v>Invoice</v>
      </c>
      <c r="L5528" s="83" t="str">
        <f>"SI_110807"</f>
        <v>SI_110807</v>
      </c>
      <c r="M5528" s="84">
        <v>43305</v>
      </c>
      <c r="N5528" s="85">
        <f t="shared" si="1674"/>
        <v>507</v>
      </c>
      <c r="O5528" s="86">
        <f t="shared" si="1675"/>
        <v>19059.64</v>
      </c>
      <c r="P5528" s="86">
        <f t="shared" si="1676"/>
        <v>0</v>
      </c>
      <c r="Q5528" s="86">
        <f t="shared" si="1677"/>
        <v>0</v>
      </c>
      <c r="R5528" s="86">
        <f t="shared" si="1678"/>
        <v>0</v>
      </c>
      <c r="S5528" s="86">
        <f t="shared" si="1679"/>
        <v>0</v>
      </c>
      <c r="T5528" s="86">
        <f t="shared" si="1680"/>
        <v>19059.64</v>
      </c>
      <c r="U5528" s="87">
        <v>19059.64</v>
      </c>
    </row>
    <row r="5529" spans="1:21" s="30" customFormat="1" ht="24.6" hidden="1" outlineLevel="1" x14ac:dyDescent="0.55000000000000004">
      <c r="A5529" s="27" t="s">
        <v>327</v>
      </c>
      <c r="B5529" s="28"/>
      <c r="C5529" s="27"/>
      <c r="D5529" s="27" t="str">
        <f>"""NAV Direct"",""CRONUS JetCorp USA"",""21"",""1"",""343994"""</f>
        <v>"NAV Direct","CRONUS JetCorp USA","21","1","343994"</v>
      </c>
      <c r="E5529" s="31" t="str">
        <f t="shared" si="1672"/>
        <v>C100145</v>
      </c>
      <c r="F5529" s="31"/>
      <c r="G5529" s="31"/>
      <c r="H5529" s="31"/>
      <c r="I5529" s="56"/>
      <c r="J5529" s="56"/>
      <c r="K5529" s="82" t="str">
        <f t="shared" si="1673"/>
        <v>Invoice</v>
      </c>
      <c r="L5529" s="83" t="str">
        <f>"SI_110826"</f>
        <v>SI_110826</v>
      </c>
      <c r="M5529" s="84">
        <v>43395</v>
      </c>
      <c r="N5529" s="85">
        <f t="shared" si="1674"/>
        <v>417</v>
      </c>
      <c r="O5529" s="86">
        <f t="shared" si="1675"/>
        <v>19406.2</v>
      </c>
      <c r="P5529" s="86">
        <f t="shared" si="1676"/>
        <v>0</v>
      </c>
      <c r="Q5529" s="86">
        <f t="shared" si="1677"/>
        <v>0</v>
      </c>
      <c r="R5529" s="86">
        <f t="shared" si="1678"/>
        <v>0</v>
      </c>
      <c r="S5529" s="86">
        <f t="shared" si="1679"/>
        <v>0</v>
      </c>
      <c r="T5529" s="86">
        <f t="shared" si="1680"/>
        <v>19406.2</v>
      </c>
      <c r="U5529" s="87">
        <v>19406.2</v>
      </c>
    </row>
    <row r="5530" spans="1:21" s="30" customFormat="1" ht="24.6" hidden="1" outlineLevel="1" x14ac:dyDescent="0.55000000000000004">
      <c r="A5530" s="27" t="s">
        <v>327</v>
      </c>
      <c r="B5530" s="28"/>
      <c r="C5530" s="27"/>
      <c r="D5530" s="27" t="str">
        <f>"""NAV Direct"",""CRONUS JetCorp USA"",""21"",""1"",""344029"""</f>
        <v>"NAV Direct","CRONUS JetCorp USA","21","1","344029"</v>
      </c>
      <c r="E5530" s="31">
        <f t="shared" si="1672"/>
        <v>0</v>
      </c>
      <c r="F5530" s="31"/>
      <c r="G5530" s="31"/>
      <c r="H5530" s="31"/>
      <c r="I5530" s="56"/>
      <c r="J5530" s="56"/>
      <c r="K5530" s="82" t="str">
        <f t="shared" si="1673"/>
        <v>Invoice</v>
      </c>
      <c r="L5530" s="83" t="str">
        <f>"SI_110827"</f>
        <v>SI_110827</v>
      </c>
      <c r="M5530" s="84">
        <v>43393</v>
      </c>
      <c r="N5530" s="85">
        <f t="shared" si="1674"/>
        <v>419</v>
      </c>
      <c r="O5530" s="86">
        <f t="shared" si="1675"/>
        <v>18793.66</v>
      </c>
      <c r="P5530" s="86">
        <f t="shared" si="1676"/>
        <v>0</v>
      </c>
      <c r="Q5530" s="86">
        <f t="shared" si="1677"/>
        <v>0</v>
      </c>
      <c r="R5530" s="86">
        <f t="shared" si="1678"/>
        <v>0</v>
      </c>
      <c r="S5530" s="86">
        <f t="shared" si="1679"/>
        <v>0</v>
      </c>
      <c r="T5530" s="86">
        <f t="shared" si="1680"/>
        <v>18793.66</v>
      </c>
      <c r="U5530" s="87">
        <v>18793.66</v>
      </c>
    </row>
    <row r="5531" spans="1:21" s="30" customFormat="1" ht="24.6" hidden="1" outlineLevel="1" x14ac:dyDescent="0.55000000000000004">
      <c r="A5531" s="27" t="s">
        <v>327</v>
      </c>
      <c r="B5531" s="28"/>
      <c r="C5531" s="27"/>
      <c r="D5531" s="27" t="str">
        <f>"""NAV Direct"",""CRONUS JetCorp USA"",""21"",""1"",""344343"""</f>
        <v>"NAV Direct","CRONUS JetCorp USA","21","1","344343"</v>
      </c>
      <c r="E5531" s="31" t="str">
        <f t="shared" si="1672"/>
        <v>C100145</v>
      </c>
      <c r="F5531" s="31"/>
      <c r="G5531" s="31"/>
      <c r="H5531" s="31"/>
      <c r="I5531" s="56"/>
      <c r="J5531" s="56"/>
      <c r="K5531" s="82" t="str">
        <f t="shared" si="1673"/>
        <v>Invoice</v>
      </c>
      <c r="L5531" s="83" t="str">
        <f>"SI_110835"</f>
        <v>SI_110835</v>
      </c>
      <c r="M5531" s="84">
        <v>43426</v>
      </c>
      <c r="N5531" s="85">
        <f t="shared" si="1674"/>
        <v>386</v>
      </c>
      <c r="O5531" s="86">
        <f t="shared" si="1675"/>
        <v>19700.97</v>
      </c>
      <c r="P5531" s="86">
        <f t="shared" si="1676"/>
        <v>0</v>
      </c>
      <c r="Q5531" s="86">
        <f t="shared" si="1677"/>
        <v>0</v>
      </c>
      <c r="R5531" s="86">
        <f t="shared" si="1678"/>
        <v>0</v>
      </c>
      <c r="S5531" s="86">
        <f t="shared" si="1679"/>
        <v>0</v>
      </c>
      <c r="T5531" s="86">
        <f t="shared" si="1680"/>
        <v>19700.97</v>
      </c>
      <c r="U5531" s="87">
        <v>19700.97</v>
      </c>
    </row>
    <row r="5532" spans="1:21" s="30" customFormat="1" ht="24.6" hidden="1" outlineLevel="1" x14ac:dyDescent="0.55000000000000004">
      <c r="A5532" s="27" t="s">
        <v>327</v>
      </c>
      <c r="B5532" s="28"/>
      <c r="C5532" s="27"/>
      <c r="D5532" s="27" t="str">
        <f>"""NAV Direct"",""CRONUS JetCorp USA"",""21"",""1"",""344382"""</f>
        <v>"NAV Direct","CRONUS JetCorp USA","21","1","344382"</v>
      </c>
      <c r="E5532" s="31">
        <f t="shared" si="1672"/>
        <v>0</v>
      </c>
      <c r="F5532" s="31"/>
      <c r="G5532" s="31"/>
      <c r="H5532" s="31"/>
      <c r="I5532" s="56"/>
      <c r="J5532" s="56"/>
      <c r="K5532" s="82" t="str">
        <f t="shared" si="1673"/>
        <v>Invoice</v>
      </c>
      <c r="L5532" s="83" t="str">
        <f>"SI_110836"</f>
        <v>SI_110836</v>
      </c>
      <c r="M5532" s="84">
        <v>43431</v>
      </c>
      <c r="N5532" s="85">
        <f t="shared" si="1674"/>
        <v>381</v>
      </c>
      <c r="O5532" s="86">
        <f t="shared" si="1675"/>
        <v>19700.91</v>
      </c>
      <c r="P5532" s="86">
        <f t="shared" si="1676"/>
        <v>0</v>
      </c>
      <c r="Q5532" s="86">
        <f t="shared" si="1677"/>
        <v>0</v>
      </c>
      <c r="R5532" s="86">
        <f t="shared" si="1678"/>
        <v>0</v>
      </c>
      <c r="S5532" s="86">
        <f t="shared" si="1679"/>
        <v>0</v>
      </c>
      <c r="T5532" s="86">
        <f t="shared" si="1680"/>
        <v>19700.91</v>
      </c>
      <c r="U5532" s="87">
        <v>19700.91</v>
      </c>
    </row>
    <row r="5533" spans="1:21" s="30" customFormat="1" ht="24.6" hidden="1" outlineLevel="1" x14ac:dyDescent="0.55000000000000004">
      <c r="A5533" s="27" t="s">
        <v>327</v>
      </c>
      <c r="B5533" s="28"/>
      <c r="C5533" s="27"/>
      <c r="D5533" s="27" t="str">
        <f>"""NAV Direct"",""CRONUS JetCorp USA"",""21"",""1"",""344519"""</f>
        <v>"NAV Direct","CRONUS JetCorp USA","21","1","344519"</v>
      </c>
      <c r="E5533" s="31" t="str">
        <f t="shared" si="1672"/>
        <v>C100145</v>
      </c>
      <c r="F5533" s="31"/>
      <c r="G5533" s="31"/>
      <c r="H5533" s="31"/>
      <c r="I5533" s="56"/>
      <c r="J5533" s="56"/>
      <c r="K5533" s="82" t="str">
        <f t="shared" si="1673"/>
        <v>Invoice</v>
      </c>
      <c r="L5533" s="83" t="str">
        <f>"SI_110839"</f>
        <v>SI_110839</v>
      </c>
      <c r="M5533" s="84">
        <v>43437</v>
      </c>
      <c r="N5533" s="85">
        <f t="shared" si="1674"/>
        <v>375</v>
      </c>
      <c r="O5533" s="86">
        <f t="shared" si="1675"/>
        <v>19281.46</v>
      </c>
      <c r="P5533" s="86">
        <f t="shared" si="1676"/>
        <v>0</v>
      </c>
      <c r="Q5533" s="86">
        <f t="shared" si="1677"/>
        <v>0</v>
      </c>
      <c r="R5533" s="86">
        <f t="shared" si="1678"/>
        <v>0</v>
      </c>
      <c r="S5533" s="86">
        <f t="shared" si="1679"/>
        <v>0</v>
      </c>
      <c r="T5533" s="86">
        <f t="shared" si="1680"/>
        <v>19281.46</v>
      </c>
      <c r="U5533" s="87">
        <v>19281.46</v>
      </c>
    </row>
    <row r="5534" spans="1:21" s="30" customFormat="1" ht="24.6" hidden="1" outlineLevel="1" x14ac:dyDescent="0.55000000000000004">
      <c r="A5534" s="27" t="s">
        <v>327</v>
      </c>
      <c r="B5534" s="28"/>
      <c r="C5534" s="27"/>
      <c r="D5534" s="27" t="str">
        <f>"""NAV Direct"",""CRONUS JetCorp USA"",""21"",""1"",""344843"""</f>
        <v>"NAV Direct","CRONUS JetCorp USA","21","1","344843"</v>
      </c>
      <c r="E5534" s="31">
        <f t="shared" si="1672"/>
        <v>0</v>
      </c>
      <c r="F5534" s="31"/>
      <c r="G5534" s="31"/>
      <c r="H5534" s="31"/>
      <c r="I5534" s="56"/>
      <c r="J5534" s="56"/>
      <c r="K5534" s="82" t="str">
        <f t="shared" si="1673"/>
        <v>Invoice</v>
      </c>
      <c r="L5534" s="83" t="str">
        <f>"SI_110847"</f>
        <v>SI_110847</v>
      </c>
      <c r="M5534" s="84">
        <v>43468</v>
      </c>
      <c r="N5534" s="85">
        <f t="shared" si="1674"/>
        <v>344</v>
      </c>
      <c r="O5534" s="86">
        <f t="shared" si="1675"/>
        <v>19138.32</v>
      </c>
      <c r="P5534" s="86">
        <f t="shared" si="1676"/>
        <v>0</v>
      </c>
      <c r="Q5534" s="86">
        <f t="shared" si="1677"/>
        <v>0</v>
      </c>
      <c r="R5534" s="86">
        <f t="shared" si="1678"/>
        <v>0</v>
      </c>
      <c r="S5534" s="86">
        <f t="shared" si="1679"/>
        <v>0</v>
      </c>
      <c r="T5534" s="86">
        <f t="shared" si="1680"/>
        <v>19138.32</v>
      </c>
      <c r="U5534" s="87">
        <v>19138.32</v>
      </c>
    </row>
    <row r="5535" spans="1:21" s="30" customFormat="1" ht="24.6" hidden="1" outlineLevel="1" x14ac:dyDescent="0.55000000000000004">
      <c r="A5535" s="27" t="s">
        <v>327</v>
      </c>
      <c r="B5535" s="28"/>
      <c r="C5535" s="27"/>
      <c r="D5535" s="27" t="str">
        <f>"""NAV Direct"",""CRONUS JetCorp USA"",""21"",""1"",""344933"""</f>
        <v>"NAV Direct","CRONUS JetCorp USA","21","1","344933"</v>
      </c>
      <c r="E5535" s="31" t="str">
        <f t="shared" si="1672"/>
        <v>C100145</v>
      </c>
      <c r="F5535" s="31"/>
      <c r="G5535" s="31"/>
      <c r="H5535" s="31"/>
      <c r="I5535" s="56"/>
      <c r="J5535" s="56"/>
      <c r="K5535" s="82" t="str">
        <f t="shared" si="1673"/>
        <v>Invoice</v>
      </c>
      <c r="L5535" s="83" t="str">
        <f>"SI_110849"</f>
        <v>SI_110849</v>
      </c>
      <c r="M5535" s="84">
        <v>43468</v>
      </c>
      <c r="N5535" s="85">
        <f t="shared" si="1674"/>
        <v>344</v>
      </c>
      <c r="O5535" s="86">
        <f t="shared" si="1675"/>
        <v>21073.38</v>
      </c>
      <c r="P5535" s="86">
        <f t="shared" si="1676"/>
        <v>0</v>
      </c>
      <c r="Q5535" s="86">
        <f t="shared" si="1677"/>
        <v>0</v>
      </c>
      <c r="R5535" s="86">
        <f t="shared" si="1678"/>
        <v>0</v>
      </c>
      <c r="S5535" s="86">
        <f t="shared" si="1679"/>
        <v>0</v>
      </c>
      <c r="T5535" s="86">
        <f t="shared" si="1680"/>
        <v>21073.38</v>
      </c>
      <c r="U5535" s="87">
        <v>21073.38</v>
      </c>
    </row>
    <row r="5536" spans="1:21" s="30" customFormat="1" ht="24.6" hidden="1" outlineLevel="1" x14ac:dyDescent="0.55000000000000004">
      <c r="A5536" s="27" t="s">
        <v>327</v>
      </c>
      <c r="B5536" s="28"/>
      <c r="C5536" s="27"/>
      <c r="D5536" s="27" t="str">
        <f>"""NAV Direct"",""CRONUS JetCorp USA"",""21"",""1"",""345044"""</f>
        <v>"NAV Direct","CRONUS JetCorp USA","21","1","345044"</v>
      </c>
      <c r="E5536" s="31">
        <f t="shared" si="1672"/>
        <v>0</v>
      </c>
      <c r="F5536" s="31"/>
      <c r="G5536" s="31"/>
      <c r="H5536" s="31"/>
      <c r="I5536" s="56"/>
      <c r="J5536" s="56"/>
      <c r="K5536" s="82" t="str">
        <f t="shared" si="1673"/>
        <v>Invoice</v>
      </c>
      <c r="L5536" s="83" t="str">
        <f>"SI_110852"</f>
        <v>SI_110852</v>
      </c>
      <c r="M5536" s="84">
        <v>43488</v>
      </c>
      <c r="N5536" s="85">
        <f t="shared" si="1674"/>
        <v>324</v>
      </c>
      <c r="O5536" s="86">
        <f t="shared" si="1675"/>
        <v>19545.13</v>
      </c>
      <c r="P5536" s="86">
        <f t="shared" si="1676"/>
        <v>0</v>
      </c>
      <c r="Q5536" s="86">
        <f t="shared" si="1677"/>
        <v>0</v>
      </c>
      <c r="R5536" s="86">
        <f t="shared" si="1678"/>
        <v>0</v>
      </c>
      <c r="S5536" s="86">
        <f t="shared" si="1679"/>
        <v>0</v>
      </c>
      <c r="T5536" s="86">
        <f t="shared" si="1680"/>
        <v>19545.13</v>
      </c>
      <c r="U5536" s="87">
        <v>19545.13</v>
      </c>
    </row>
    <row r="5537" spans="1:21" s="30" customFormat="1" ht="24.6" hidden="1" outlineLevel="1" x14ac:dyDescent="0.55000000000000004">
      <c r="A5537" s="27" t="s">
        <v>327</v>
      </c>
      <c r="B5537" s="28"/>
      <c r="C5537" s="27"/>
      <c r="D5537" s="27" t="str">
        <f>"""NAV Direct"",""CRONUS JetCorp USA"",""21"",""1"",""345370"""</f>
        <v>"NAV Direct","CRONUS JetCorp USA","21","1","345370"</v>
      </c>
      <c r="E5537" s="31" t="str">
        <f t="shared" si="1672"/>
        <v>C100145</v>
      </c>
      <c r="F5537" s="31"/>
      <c r="G5537" s="31"/>
      <c r="H5537" s="31"/>
      <c r="I5537" s="56"/>
      <c r="J5537" s="56"/>
      <c r="K5537" s="82" t="str">
        <f t="shared" si="1673"/>
        <v>Invoice</v>
      </c>
      <c r="L5537" s="83" t="str">
        <f>"SI_110860"</f>
        <v>SI_110860</v>
      </c>
      <c r="M5537" s="84">
        <v>43515</v>
      </c>
      <c r="N5537" s="85">
        <f t="shared" si="1674"/>
        <v>297</v>
      </c>
      <c r="O5537" s="86">
        <f t="shared" si="1675"/>
        <v>18738.52</v>
      </c>
      <c r="P5537" s="86">
        <f t="shared" si="1676"/>
        <v>0</v>
      </c>
      <c r="Q5537" s="86">
        <f t="shared" si="1677"/>
        <v>0</v>
      </c>
      <c r="R5537" s="86">
        <f t="shared" si="1678"/>
        <v>0</v>
      </c>
      <c r="S5537" s="86">
        <f t="shared" si="1679"/>
        <v>0</v>
      </c>
      <c r="T5537" s="86">
        <f t="shared" si="1680"/>
        <v>18738.52</v>
      </c>
      <c r="U5537" s="87">
        <v>18738.52</v>
      </c>
    </row>
    <row r="5538" spans="1:21" s="30" customFormat="1" ht="24.6" hidden="1" outlineLevel="1" x14ac:dyDescent="0.55000000000000004">
      <c r="A5538" s="27" t="s">
        <v>327</v>
      </c>
      <c r="B5538" s="28"/>
      <c r="C5538" s="27"/>
      <c r="D5538" s="27" t="str">
        <f>"""NAV Direct"",""CRONUS JetCorp USA"",""21"",""1"",""345528"""</f>
        <v>"NAV Direct","CRONUS JetCorp USA","21","1","345528"</v>
      </c>
      <c r="E5538" s="31">
        <f t="shared" si="1672"/>
        <v>0</v>
      </c>
      <c r="F5538" s="31"/>
      <c r="G5538" s="31"/>
      <c r="H5538" s="31"/>
      <c r="I5538" s="56"/>
      <c r="J5538" s="56"/>
      <c r="K5538" s="82" t="str">
        <f t="shared" si="1673"/>
        <v>Invoice</v>
      </c>
      <c r="L5538" s="83" t="str">
        <f>"SI_110864"</f>
        <v>SI_110864</v>
      </c>
      <c r="M5538" s="84">
        <v>43519</v>
      </c>
      <c r="N5538" s="85">
        <f t="shared" si="1674"/>
        <v>293</v>
      </c>
      <c r="O5538" s="86">
        <f t="shared" si="1675"/>
        <v>18738.68</v>
      </c>
      <c r="P5538" s="86">
        <f t="shared" si="1676"/>
        <v>0</v>
      </c>
      <c r="Q5538" s="86">
        <f t="shared" si="1677"/>
        <v>0</v>
      </c>
      <c r="R5538" s="86">
        <f t="shared" si="1678"/>
        <v>0</v>
      </c>
      <c r="S5538" s="86">
        <f t="shared" si="1679"/>
        <v>0</v>
      </c>
      <c r="T5538" s="86">
        <f t="shared" si="1680"/>
        <v>18738.68</v>
      </c>
      <c r="U5538" s="87">
        <v>18738.68</v>
      </c>
    </row>
    <row r="5539" spans="1:21" s="30" customFormat="1" ht="24.6" hidden="1" outlineLevel="1" x14ac:dyDescent="0.55000000000000004">
      <c r="A5539" s="27" t="s">
        <v>327</v>
      </c>
      <c r="B5539" s="28"/>
      <c r="C5539" s="27"/>
      <c r="D5539" s="27" t="str">
        <f>"""NAV Direct"",""CRONUS JetCorp USA"",""21"",""1"",""345579"""</f>
        <v>"NAV Direct","CRONUS JetCorp USA","21","1","345579"</v>
      </c>
      <c r="E5539" s="31" t="str">
        <f t="shared" si="1672"/>
        <v>C100145</v>
      </c>
      <c r="F5539" s="31"/>
      <c r="G5539" s="31"/>
      <c r="H5539" s="31"/>
      <c r="I5539" s="56"/>
      <c r="J5539" s="56"/>
      <c r="K5539" s="82" t="str">
        <f t="shared" si="1673"/>
        <v>Invoice</v>
      </c>
      <c r="L5539" s="83" t="str">
        <f>"SI_110865"</f>
        <v>SI_110865</v>
      </c>
      <c r="M5539" s="84">
        <v>43529</v>
      </c>
      <c r="N5539" s="85">
        <f t="shared" si="1674"/>
        <v>283</v>
      </c>
      <c r="O5539" s="86">
        <f t="shared" si="1675"/>
        <v>19363.09</v>
      </c>
      <c r="P5539" s="86">
        <f t="shared" si="1676"/>
        <v>0</v>
      </c>
      <c r="Q5539" s="86">
        <f t="shared" si="1677"/>
        <v>0</v>
      </c>
      <c r="R5539" s="86">
        <f t="shared" si="1678"/>
        <v>0</v>
      </c>
      <c r="S5539" s="86">
        <f t="shared" si="1679"/>
        <v>0</v>
      </c>
      <c r="T5539" s="86">
        <f t="shared" si="1680"/>
        <v>19363.09</v>
      </c>
      <c r="U5539" s="87">
        <v>19363.09</v>
      </c>
    </row>
    <row r="5540" spans="1:21" s="30" customFormat="1" ht="24.6" hidden="1" outlineLevel="1" x14ac:dyDescent="0.55000000000000004">
      <c r="A5540" s="27" t="s">
        <v>327</v>
      </c>
      <c r="B5540" s="28"/>
      <c r="C5540" s="27"/>
      <c r="D5540" s="27" t="str">
        <f>"""NAV Direct"",""CRONUS JetCorp USA"",""21"",""1"",""345608"""</f>
        <v>"NAV Direct","CRONUS JetCorp USA","21","1","345608"</v>
      </c>
      <c r="E5540" s="31">
        <f t="shared" si="1672"/>
        <v>0</v>
      </c>
      <c r="F5540" s="31"/>
      <c r="G5540" s="31"/>
      <c r="H5540" s="31"/>
      <c r="I5540" s="56"/>
      <c r="J5540" s="56"/>
      <c r="K5540" s="82" t="str">
        <f t="shared" si="1673"/>
        <v>Invoice</v>
      </c>
      <c r="L5540" s="83" t="str">
        <f>"SI_110866"</f>
        <v>SI_110866</v>
      </c>
      <c r="M5540" s="84">
        <v>43528</v>
      </c>
      <c r="N5540" s="85">
        <f t="shared" si="1674"/>
        <v>284</v>
      </c>
      <c r="O5540" s="86">
        <f t="shared" si="1675"/>
        <v>19779.329999999998</v>
      </c>
      <c r="P5540" s="86">
        <f t="shared" si="1676"/>
        <v>0</v>
      </c>
      <c r="Q5540" s="86">
        <f t="shared" si="1677"/>
        <v>0</v>
      </c>
      <c r="R5540" s="86">
        <f t="shared" si="1678"/>
        <v>0</v>
      </c>
      <c r="S5540" s="86">
        <f t="shared" si="1679"/>
        <v>0</v>
      </c>
      <c r="T5540" s="86">
        <f t="shared" si="1680"/>
        <v>19779.329999999998</v>
      </c>
      <c r="U5540" s="87">
        <v>19779.329999999998</v>
      </c>
    </row>
    <row r="5541" spans="1:21" s="30" customFormat="1" ht="24.6" hidden="1" outlineLevel="1" x14ac:dyDescent="0.55000000000000004">
      <c r="A5541" s="27" t="s">
        <v>327</v>
      </c>
      <c r="B5541" s="28"/>
      <c r="C5541" s="27"/>
      <c r="D5541" s="27" t="str">
        <f>"""NAV Direct"",""CRONUS JetCorp USA"",""21"",""1"",""345811"""</f>
        <v>"NAV Direct","CRONUS JetCorp USA","21","1","345811"</v>
      </c>
      <c r="E5541" s="31" t="str">
        <f t="shared" si="1672"/>
        <v>C100145</v>
      </c>
      <c r="F5541" s="31"/>
      <c r="G5541" s="31"/>
      <c r="H5541" s="31"/>
      <c r="I5541" s="56"/>
      <c r="J5541" s="56"/>
      <c r="K5541" s="82" t="str">
        <f t="shared" si="1673"/>
        <v>Invoice</v>
      </c>
      <c r="L5541" s="83" t="str">
        <f>"SI_110871"</f>
        <v>SI_110871</v>
      </c>
      <c r="M5541" s="84">
        <v>43549</v>
      </c>
      <c r="N5541" s="85">
        <f t="shared" si="1674"/>
        <v>263</v>
      </c>
      <c r="O5541" s="86">
        <f t="shared" si="1675"/>
        <v>19932.97</v>
      </c>
      <c r="P5541" s="86">
        <f t="shared" si="1676"/>
        <v>0</v>
      </c>
      <c r="Q5541" s="86">
        <f t="shared" si="1677"/>
        <v>0</v>
      </c>
      <c r="R5541" s="86">
        <f t="shared" si="1678"/>
        <v>0</v>
      </c>
      <c r="S5541" s="86">
        <f t="shared" si="1679"/>
        <v>0</v>
      </c>
      <c r="T5541" s="86">
        <f t="shared" si="1680"/>
        <v>19932.97</v>
      </c>
      <c r="U5541" s="87">
        <v>19932.97</v>
      </c>
    </row>
    <row r="5542" spans="1:21" s="30" customFormat="1" ht="24.6" hidden="1" outlineLevel="1" x14ac:dyDescent="0.55000000000000004">
      <c r="A5542" s="27" t="s">
        <v>327</v>
      </c>
      <c r="B5542" s="28"/>
      <c r="C5542" s="27"/>
      <c r="D5542" s="27" t="str">
        <f>"""NAV Direct"",""CRONUS JetCorp USA"",""21"",""1"",""345897"""</f>
        <v>"NAV Direct","CRONUS JetCorp USA","21","1","345897"</v>
      </c>
      <c r="E5542" s="31">
        <f t="shared" si="1672"/>
        <v>0</v>
      </c>
      <c r="F5542" s="31"/>
      <c r="G5542" s="31"/>
      <c r="H5542" s="31"/>
      <c r="I5542" s="56"/>
      <c r="J5542" s="56"/>
      <c r="K5542" s="82" t="str">
        <f t="shared" si="1673"/>
        <v>Invoice</v>
      </c>
      <c r="L5542" s="83" t="str">
        <f>"SI_110873"</f>
        <v>SI_110873</v>
      </c>
      <c r="M5542" s="84">
        <v>43554</v>
      </c>
      <c r="N5542" s="85">
        <f t="shared" si="1674"/>
        <v>258</v>
      </c>
      <c r="O5542" s="86">
        <f t="shared" si="1675"/>
        <v>19727.919999999998</v>
      </c>
      <c r="P5542" s="86">
        <f t="shared" si="1676"/>
        <v>0</v>
      </c>
      <c r="Q5542" s="86">
        <f t="shared" si="1677"/>
        <v>0</v>
      </c>
      <c r="R5542" s="86">
        <f t="shared" si="1678"/>
        <v>0</v>
      </c>
      <c r="S5542" s="86">
        <f t="shared" si="1679"/>
        <v>0</v>
      </c>
      <c r="T5542" s="86">
        <f t="shared" si="1680"/>
        <v>19727.919999999998</v>
      </c>
      <c r="U5542" s="87">
        <v>19727.919999999998</v>
      </c>
    </row>
    <row r="5543" spans="1:21" s="30" customFormat="1" ht="24.6" hidden="1" outlineLevel="1" x14ac:dyDescent="0.55000000000000004">
      <c r="A5543" s="27" t="s">
        <v>327</v>
      </c>
      <c r="B5543" s="28"/>
      <c r="C5543" s="27"/>
      <c r="D5543" s="27" t="str">
        <f>"""NAV Direct"",""CRONUS JetCorp USA"",""21"",""1"",""346061"""</f>
        <v>"NAV Direct","CRONUS JetCorp USA","21","1","346061"</v>
      </c>
      <c r="E5543" s="31" t="str">
        <f t="shared" si="1672"/>
        <v>C100145</v>
      </c>
      <c r="F5543" s="31"/>
      <c r="G5543" s="31"/>
      <c r="H5543" s="31"/>
      <c r="I5543" s="56"/>
      <c r="J5543" s="56"/>
      <c r="K5543" s="82" t="str">
        <f t="shared" si="1673"/>
        <v>Invoice</v>
      </c>
      <c r="L5543" s="83" t="str">
        <f>"SI_110877"</f>
        <v>SI_110877</v>
      </c>
      <c r="M5543" s="84">
        <v>43573</v>
      </c>
      <c r="N5543" s="85">
        <f t="shared" si="1674"/>
        <v>239</v>
      </c>
      <c r="O5543" s="86">
        <f t="shared" si="1675"/>
        <v>20683.099999999999</v>
      </c>
      <c r="P5543" s="86">
        <f t="shared" si="1676"/>
        <v>0</v>
      </c>
      <c r="Q5543" s="86">
        <f t="shared" si="1677"/>
        <v>0</v>
      </c>
      <c r="R5543" s="86">
        <f t="shared" si="1678"/>
        <v>0</v>
      </c>
      <c r="S5543" s="86">
        <f t="shared" si="1679"/>
        <v>0</v>
      </c>
      <c r="T5543" s="86">
        <f t="shared" si="1680"/>
        <v>20683.099999999999</v>
      </c>
      <c r="U5543" s="87">
        <v>20683.099999999999</v>
      </c>
    </row>
    <row r="5544" spans="1:21" s="30" customFormat="1" ht="24.6" hidden="1" outlineLevel="1" x14ac:dyDescent="0.55000000000000004">
      <c r="A5544" s="27" t="s">
        <v>327</v>
      </c>
      <c r="B5544" s="28"/>
      <c r="C5544" s="27"/>
      <c r="D5544" s="27" t="str">
        <f>"""NAV Direct"",""CRONUS JetCorp USA"",""21"",""1"",""346223"""</f>
        <v>"NAV Direct","CRONUS JetCorp USA","21","1","346223"</v>
      </c>
      <c r="E5544" s="31">
        <f t="shared" si="1672"/>
        <v>0</v>
      </c>
      <c r="F5544" s="31"/>
      <c r="G5544" s="31"/>
      <c r="H5544" s="31"/>
      <c r="I5544" s="56"/>
      <c r="J5544" s="56"/>
      <c r="K5544" s="82" t="str">
        <f t="shared" si="1673"/>
        <v>Invoice</v>
      </c>
      <c r="L5544" s="83" t="str">
        <f>"SI_110881"</f>
        <v>SI_110881</v>
      </c>
      <c r="M5544" s="84">
        <v>43589</v>
      </c>
      <c r="N5544" s="85">
        <f t="shared" si="1674"/>
        <v>223</v>
      </c>
      <c r="O5544" s="86">
        <f t="shared" si="1675"/>
        <v>19205.150000000001</v>
      </c>
      <c r="P5544" s="86">
        <f t="shared" si="1676"/>
        <v>0</v>
      </c>
      <c r="Q5544" s="86">
        <f t="shared" si="1677"/>
        <v>0</v>
      </c>
      <c r="R5544" s="86">
        <f t="shared" si="1678"/>
        <v>0</v>
      </c>
      <c r="S5544" s="86">
        <f t="shared" si="1679"/>
        <v>0</v>
      </c>
      <c r="T5544" s="86">
        <f t="shared" si="1680"/>
        <v>19205.150000000001</v>
      </c>
      <c r="U5544" s="87">
        <v>19205.150000000001</v>
      </c>
    </row>
    <row r="5545" spans="1:21" s="30" customFormat="1" ht="24.6" hidden="1" outlineLevel="1" x14ac:dyDescent="0.55000000000000004">
      <c r="A5545" s="27" t="s">
        <v>327</v>
      </c>
      <c r="B5545" s="28"/>
      <c r="C5545" s="27"/>
      <c r="D5545" s="27" t="str">
        <f>"""NAV Direct"",""CRONUS JetCorp USA"",""21"",""1"",""346405"""</f>
        <v>"NAV Direct","CRONUS JetCorp USA","21","1","346405"</v>
      </c>
      <c r="E5545" s="31" t="str">
        <f t="shared" si="1672"/>
        <v>C100145</v>
      </c>
      <c r="F5545" s="31"/>
      <c r="G5545" s="31"/>
      <c r="H5545" s="31"/>
      <c r="I5545" s="56"/>
      <c r="J5545" s="56"/>
      <c r="K5545" s="82" t="str">
        <f t="shared" si="1673"/>
        <v>Invoice</v>
      </c>
      <c r="L5545" s="83" t="str">
        <f>"SI_110885"</f>
        <v>SI_110885</v>
      </c>
      <c r="M5545" s="84">
        <v>43604</v>
      </c>
      <c r="N5545" s="85">
        <f t="shared" si="1674"/>
        <v>208</v>
      </c>
      <c r="O5545" s="86">
        <f t="shared" si="1675"/>
        <v>19488.43</v>
      </c>
      <c r="P5545" s="86">
        <f t="shared" si="1676"/>
        <v>0</v>
      </c>
      <c r="Q5545" s="86">
        <f t="shared" si="1677"/>
        <v>0</v>
      </c>
      <c r="R5545" s="86">
        <f t="shared" si="1678"/>
        <v>0</v>
      </c>
      <c r="S5545" s="86">
        <f t="shared" si="1679"/>
        <v>0</v>
      </c>
      <c r="T5545" s="86">
        <f t="shared" si="1680"/>
        <v>19488.43</v>
      </c>
      <c r="U5545" s="87">
        <v>19488.43</v>
      </c>
    </row>
    <row r="5546" spans="1:21" s="30" customFormat="1" ht="24.6" hidden="1" outlineLevel="1" x14ac:dyDescent="0.55000000000000004">
      <c r="A5546" s="27" t="s">
        <v>327</v>
      </c>
      <c r="B5546" s="28"/>
      <c r="C5546" s="27"/>
      <c r="D5546" s="27" t="str">
        <f>"""NAV Direct"",""CRONUS JetCorp USA"",""21"",""1"",""346747"""</f>
        <v>"NAV Direct","CRONUS JetCorp USA","21","1","346747"</v>
      </c>
      <c r="E5546" s="31">
        <f t="shared" si="1672"/>
        <v>0</v>
      </c>
      <c r="F5546" s="31"/>
      <c r="G5546" s="31"/>
      <c r="H5546" s="31"/>
      <c r="I5546" s="56"/>
      <c r="J5546" s="56"/>
      <c r="K5546" s="82" t="str">
        <f t="shared" si="1673"/>
        <v>Invoice</v>
      </c>
      <c r="L5546" s="83" t="str">
        <f>"SI_110893"</f>
        <v>SI_110893</v>
      </c>
      <c r="M5546" s="84">
        <v>43639</v>
      </c>
      <c r="N5546" s="85">
        <f t="shared" si="1674"/>
        <v>173</v>
      </c>
      <c r="O5546" s="86">
        <f t="shared" si="1675"/>
        <v>21529.280000000002</v>
      </c>
      <c r="P5546" s="86">
        <f t="shared" si="1676"/>
        <v>0</v>
      </c>
      <c r="Q5546" s="86">
        <f t="shared" si="1677"/>
        <v>0</v>
      </c>
      <c r="R5546" s="86">
        <f t="shared" si="1678"/>
        <v>0</v>
      </c>
      <c r="S5546" s="86">
        <f t="shared" si="1679"/>
        <v>0</v>
      </c>
      <c r="T5546" s="86">
        <f t="shared" si="1680"/>
        <v>21529.280000000002</v>
      </c>
      <c r="U5546" s="87">
        <v>21529.280000000002</v>
      </c>
    </row>
    <row r="5547" spans="1:21" s="30" customFormat="1" ht="24.6" hidden="1" outlineLevel="1" x14ac:dyDescent="0.55000000000000004">
      <c r="A5547" s="27" t="s">
        <v>327</v>
      </c>
      <c r="B5547" s="28"/>
      <c r="C5547" s="27"/>
      <c r="D5547" s="27" t="str">
        <f>"""NAV Direct"",""CRONUS JetCorp USA"",""21"",""1"",""346809"""</f>
        <v>"NAV Direct","CRONUS JetCorp USA","21","1","346809"</v>
      </c>
      <c r="E5547" s="31" t="str">
        <f t="shared" si="1672"/>
        <v>C100145</v>
      </c>
      <c r="F5547" s="31"/>
      <c r="G5547" s="31"/>
      <c r="H5547" s="31"/>
      <c r="I5547" s="56"/>
      <c r="J5547" s="56"/>
      <c r="K5547" s="82" t="str">
        <f t="shared" si="1673"/>
        <v>Invoice</v>
      </c>
      <c r="L5547" s="83" t="str">
        <f>"SI_110895"</f>
        <v>SI_110895</v>
      </c>
      <c r="M5547" s="84">
        <v>43638</v>
      </c>
      <c r="N5547" s="85">
        <f t="shared" si="1674"/>
        <v>174</v>
      </c>
      <c r="O5547" s="86">
        <f t="shared" si="1675"/>
        <v>21528.87</v>
      </c>
      <c r="P5547" s="86">
        <f t="shared" si="1676"/>
        <v>0</v>
      </c>
      <c r="Q5547" s="86">
        <f t="shared" si="1677"/>
        <v>0</v>
      </c>
      <c r="R5547" s="86">
        <f t="shared" si="1678"/>
        <v>0</v>
      </c>
      <c r="S5547" s="86">
        <f t="shared" si="1679"/>
        <v>0</v>
      </c>
      <c r="T5547" s="86">
        <f t="shared" si="1680"/>
        <v>21528.87</v>
      </c>
      <c r="U5547" s="87">
        <v>21528.87</v>
      </c>
    </row>
    <row r="5548" spans="1:21" s="30" customFormat="1" ht="24.6" hidden="1" outlineLevel="1" x14ac:dyDescent="0.55000000000000004">
      <c r="A5548" s="27" t="s">
        <v>327</v>
      </c>
      <c r="B5548" s="28"/>
      <c r="C5548" s="27"/>
      <c r="D5548" s="27" t="str">
        <f>"""NAV Direct"",""CRONUS JetCorp USA"",""21"",""1"",""346996"""</f>
        <v>"NAV Direct","CRONUS JetCorp USA","21","1","346996"</v>
      </c>
      <c r="E5548" s="31">
        <f t="shared" si="1672"/>
        <v>0</v>
      </c>
      <c r="F5548" s="31"/>
      <c r="G5548" s="31"/>
      <c r="H5548" s="31"/>
      <c r="I5548" s="56"/>
      <c r="J5548" s="56"/>
      <c r="K5548" s="82" t="str">
        <f t="shared" si="1673"/>
        <v>Invoice</v>
      </c>
      <c r="L5548" s="83" t="str">
        <f>"SI_110900"</f>
        <v>SI_110900</v>
      </c>
      <c r="M5548" s="84">
        <v>43654</v>
      </c>
      <c r="N5548" s="85">
        <f t="shared" si="1674"/>
        <v>158</v>
      </c>
      <c r="O5548" s="86">
        <f t="shared" si="1675"/>
        <v>21751.02</v>
      </c>
      <c r="P5548" s="86">
        <f t="shared" si="1676"/>
        <v>0</v>
      </c>
      <c r="Q5548" s="86">
        <f t="shared" si="1677"/>
        <v>0</v>
      </c>
      <c r="R5548" s="86">
        <f t="shared" si="1678"/>
        <v>0</v>
      </c>
      <c r="S5548" s="86">
        <f t="shared" si="1679"/>
        <v>0</v>
      </c>
      <c r="T5548" s="86">
        <f t="shared" si="1680"/>
        <v>21751.02</v>
      </c>
      <c r="U5548" s="87">
        <v>21751.02</v>
      </c>
    </row>
    <row r="5549" spans="1:21" s="30" customFormat="1" ht="24.6" hidden="1" outlineLevel="1" x14ac:dyDescent="0.55000000000000004">
      <c r="A5549" s="27" t="s">
        <v>327</v>
      </c>
      <c r="B5549" s="28"/>
      <c r="C5549" s="27"/>
      <c r="D5549" s="27" t="str">
        <f>"""NAV Direct"",""CRONUS JetCorp USA"",""21"",""1"",""347160"""</f>
        <v>"NAV Direct","CRONUS JetCorp USA","21","1","347160"</v>
      </c>
      <c r="E5549" s="31" t="str">
        <f t="shared" si="1672"/>
        <v>C100145</v>
      </c>
      <c r="F5549" s="31"/>
      <c r="G5549" s="31"/>
      <c r="H5549" s="31"/>
      <c r="I5549" s="56"/>
      <c r="J5549" s="56"/>
      <c r="K5549" s="82" t="str">
        <f t="shared" si="1673"/>
        <v>Invoice</v>
      </c>
      <c r="L5549" s="83" t="str">
        <f>"SI_110904"</f>
        <v>SI_110904</v>
      </c>
      <c r="M5549" s="84">
        <v>43670</v>
      </c>
      <c r="N5549" s="85">
        <f t="shared" si="1674"/>
        <v>142</v>
      </c>
      <c r="O5549" s="86">
        <f t="shared" si="1675"/>
        <v>18775.48</v>
      </c>
      <c r="P5549" s="86">
        <f t="shared" si="1676"/>
        <v>0</v>
      </c>
      <c r="Q5549" s="86">
        <f t="shared" si="1677"/>
        <v>0</v>
      </c>
      <c r="R5549" s="86">
        <f t="shared" si="1678"/>
        <v>0</v>
      </c>
      <c r="S5549" s="86">
        <f t="shared" si="1679"/>
        <v>0</v>
      </c>
      <c r="T5549" s="86">
        <f t="shared" si="1680"/>
        <v>18775.48</v>
      </c>
      <c r="U5549" s="87">
        <v>18775.48</v>
      </c>
    </row>
    <row r="5550" spans="1:21" s="30" customFormat="1" ht="24.6" hidden="1" outlineLevel="1" x14ac:dyDescent="0.55000000000000004">
      <c r="A5550" s="27" t="s">
        <v>327</v>
      </c>
      <c r="B5550" s="28"/>
      <c r="C5550" s="27"/>
      <c r="D5550" s="27" t="str">
        <f>"""NAV Direct"",""CRONUS JetCorp USA"",""21"",""1"",""347641"""</f>
        <v>"NAV Direct","CRONUS JetCorp USA","21","1","347641"</v>
      </c>
      <c r="E5550" s="31">
        <f t="shared" si="1672"/>
        <v>0</v>
      </c>
      <c r="F5550" s="31"/>
      <c r="G5550" s="31"/>
      <c r="H5550" s="31"/>
      <c r="I5550" s="56"/>
      <c r="J5550" s="56"/>
      <c r="K5550" s="82" t="str">
        <f t="shared" si="1673"/>
        <v>Invoice</v>
      </c>
      <c r="L5550" s="83" t="str">
        <f>"SI_110917"</f>
        <v>SI_110917</v>
      </c>
      <c r="M5550" s="84">
        <v>43728</v>
      </c>
      <c r="N5550" s="85">
        <f t="shared" si="1674"/>
        <v>84</v>
      </c>
      <c r="O5550" s="86">
        <f t="shared" si="1675"/>
        <v>17766.52</v>
      </c>
      <c r="P5550" s="86">
        <f t="shared" si="1676"/>
        <v>0</v>
      </c>
      <c r="Q5550" s="86">
        <f t="shared" si="1677"/>
        <v>0</v>
      </c>
      <c r="R5550" s="86">
        <f t="shared" si="1678"/>
        <v>0</v>
      </c>
      <c r="S5550" s="86">
        <f t="shared" si="1679"/>
        <v>17766.52</v>
      </c>
      <c r="T5550" s="86">
        <f t="shared" si="1680"/>
        <v>0</v>
      </c>
      <c r="U5550" s="87">
        <v>17766.52</v>
      </c>
    </row>
    <row r="5551" spans="1:21" s="30" customFormat="1" ht="24.6" hidden="1" outlineLevel="1" x14ac:dyDescent="0.55000000000000004">
      <c r="A5551" s="27" t="s">
        <v>327</v>
      </c>
      <c r="B5551" s="28"/>
      <c r="C5551" s="27"/>
      <c r="D5551" s="27" t="str">
        <f>"""NAV Direct"",""CRONUS JetCorp USA"",""21"",""1"",""347866"""</f>
        <v>"NAV Direct","CRONUS JetCorp USA","21","1","347866"</v>
      </c>
      <c r="E5551" s="31" t="str">
        <f t="shared" ref="E5551:E5582" si="1681">E5549</f>
        <v>C100145</v>
      </c>
      <c r="F5551" s="31"/>
      <c r="G5551" s="31"/>
      <c r="H5551" s="31"/>
      <c r="I5551" s="56"/>
      <c r="J5551" s="56"/>
      <c r="K5551" s="82" t="str">
        <f t="shared" ref="K5551:K5568" si="1682">"Invoice"</f>
        <v>Invoice</v>
      </c>
      <c r="L5551" s="83" t="str">
        <f>"SI_110922"</f>
        <v>SI_110922</v>
      </c>
      <c r="M5551" s="84">
        <v>43738</v>
      </c>
      <c r="N5551" s="85">
        <f t="shared" ref="N5551:N5584" si="1683">StartDate-$M5551+1</f>
        <v>74</v>
      </c>
      <c r="O5551" s="86">
        <f t="shared" ref="O5551:O5582" si="1684">SUM(P5551:T5551)</f>
        <v>18720.95</v>
      </c>
      <c r="P5551" s="86">
        <f t="shared" ref="P5551:P5584" si="1685">IF($M5551&gt;=$P$18,U5551,0)</f>
        <v>0</v>
      </c>
      <c r="Q5551" s="86">
        <f t="shared" ref="Q5551:Q5584" si="1686">IF(AND($M5551&gt;=$Q$16,$M5551&lt;=$Q$18),U5551,0)</f>
        <v>0</v>
      </c>
      <c r="R5551" s="86">
        <f t="shared" ref="R5551:R5584" si="1687">IF(AND($M5551&gt;=$R$16,$M5551&lt;=$R$18),U5551,0)</f>
        <v>0</v>
      </c>
      <c r="S5551" s="86">
        <f t="shared" ref="S5551:S5584" si="1688">IF(AND($M5551&gt;=$S$16,$M5551&lt;=$S$18),U5551,0)</f>
        <v>18720.95</v>
      </c>
      <c r="T5551" s="86">
        <f t="shared" ref="T5551:T5582" si="1689">IF($M5551&lt;=$T$18,U5551,0)</f>
        <v>0</v>
      </c>
      <c r="U5551" s="87">
        <v>18720.95</v>
      </c>
    </row>
    <row r="5552" spans="1:21" s="30" customFormat="1" ht="24.6" hidden="1" outlineLevel="1" x14ac:dyDescent="0.55000000000000004">
      <c r="A5552" s="27" t="s">
        <v>327</v>
      </c>
      <c r="B5552" s="28"/>
      <c r="C5552" s="27"/>
      <c r="D5552" s="27" t="str">
        <f>"""NAV Direct"",""CRONUS JetCorp USA"",""21"",""1"",""347950"""</f>
        <v>"NAV Direct","CRONUS JetCorp USA","21","1","347950"</v>
      </c>
      <c r="E5552" s="31">
        <f t="shared" si="1681"/>
        <v>0</v>
      </c>
      <c r="F5552" s="31"/>
      <c r="G5552" s="31"/>
      <c r="H5552" s="31"/>
      <c r="I5552" s="56"/>
      <c r="J5552" s="56"/>
      <c r="K5552" s="82" t="str">
        <f t="shared" si="1682"/>
        <v>Invoice</v>
      </c>
      <c r="L5552" s="83" t="str">
        <f>"SI_110924"</f>
        <v>SI_110924</v>
      </c>
      <c r="M5552" s="84">
        <v>43758</v>
      </c>
      <c r="N5552" s="85">
        <f t="shared" si="1683"/>
        <v>54</v>
      </c>
      <c r="O5552" s="86">
        <f t="shared" si="1684"/>
        <v>19264.3</v>
      </c>
      <c r="P5552" s="86">
        <f t="shared" si="1685"/>
        <v>0</v>
      </c>
      <c r="Q5552" s="86">
        <f t="shared" si="1686"/>
        <v>0</v>
      </c>
      <c r="R5552" s="86">
        <f t="shared" si="1687"/>
        <v>19264.3</v>
      </c>
      <c r="S5552" s="86">
        <f t="shared" si="1688"/>
        <v>0</v>
      </c>
      <c r="T5552" s="86">
        <f t="shared" si="1689"/>
        <v>0</v>
      </c>
      <c r="U5552" s="87">
        <v>19264.3</v>
      </c>
    </row>
    <row r="5553" spans="1:21" s="30" customFormat="1" ht="24.6" hidden="1" outlineLevel="1" x14ac:dyDescent="0.55000000000000004">
      <c r="A5553" s="27" t="s">
        <v>327</v>
      </c>
      <c r="B5553" s="28"/>
      <c r="C5553" s="27"/>
      <c r="D5553" s="27" t="str">
        <f>"""NAV Direct"",""CRONUS JetCorp USA"",""21"",""1"",""348116"""</f>
        <v>"NAV Direct","CRONUS JetCorp USA","21","1","348116"</v>
      </c>
      <c r="E5553" s="31" t="str">
        <f t="shared" si="1681"/>
        <v>C100145</v>
      </c>
      <c r="F5553" s="31"/>
      <c r="G5553" s="31"/>
      <c r="H5553" s="31"/>
      <c r="I5553" s="56"/>
      <c r="J5553" s="56"/>
      <c r="K5553" s="82" t="str">
        <f t="shared" si="1682"/>
        <v>Invoice</v>
      </c>
      <c r="L5553" s="83" t="str">
        <f>"SI_110928"</f>
        <v>SI_110928</v>
      </c>
      <c r="M5553" s="84">
        <v>43768</v>
      </c>
      <c r="N5553" s="85">
        <f t="shared" si="1683"/>
        <v>44</v>
      </c>
      <c r="O5553" s="86">
        <f t="shared" si="1684"/>
        <v>18478.05</v>
      </c>
      <c r="P5553" s="86">
        <f t="shared" si="1685"/>
        <v>0</v>
      </c>
      <c r="Q5553" s="86">
        <f t="shared" si="1686"/>
        <v>0</v>
      </c>
      <c r="R5553" s="86">
        <f t="shared" si="1687"/>
        <v>18478.05</v>
      </c>
      <c r="S5553" s="86">
        <f t="shared" si="1688"/>
        <v>0</v>
      </c>
      <c r="T5553" s="86">
        <f t="shared" si="1689"/>
        <v>0</v>
      </c>
      <c r="U5553" s="87">
        <v>18478.05</v>
      </c>
    </row>
    <row r="5554" spans="1:21" s="30" customFormat="1" ht="24.6" hidden="1" outlineLevel="1" x14ac:dyDescent="0.55000000000000004">
      <c r="A5554" s="27" t="s">
        <v>327</v>
      </c>
      <c r="B5554" s="28"/>
      <c r="C5554" s="27"/>
      <c r="D5554" s="27" t="str">
        <f>"""NAV Direct"",""CRONUS JetCorp USA"",""21"",""1"",""348497"""</f>
        <v>"NAV Direct","CRONUS JetCorp USA","21","1","348497"</v>
      </c>
      <c r="E5554" s="31">
        <f t="shared" si="1681"/>
        <v>0</v>
      </c>
      <c r="F5554" s="31"/>
      <c r="G5554" s="31"/>
      <c r="H5554" s="31"/>
      <c r="I5554" s="56"/>
      <c r="J5554" s="56"/>
      <c r="K5554" s="82" t="str">
        <f t="shared" si="1682"/>
        <v>Invoice</v>
      </c>
      <c r="L5554" s="83" t="str">
        <f>"SI_110937"</f>
        <v>SI_110937</v>
      </c>
      <c r="M5554" s="84">
        <v>43799</v>
      </c>
      <c r="N5554" s="85">
        <f t="shared" si="1683"/>
        <v>13</v>
      </c>
      <c r="O5554" s="86">
        <f t="shared" si="1684"/>
        <v>19362.060000000001</v>
      </c>
      <c r="P5554" s="86">
        <f t="shared" si="1685"/>
        <v>0</v>
      </c>
      <c r="Q5554" s="86">
        <f t="shared" si="1686"/>
        <v>19362.060000000001</v>
      </c>
      <c r="R5554" s="86">
        <f t="shared" si="1687"/>
        <v>0</v>
      </c>
      <c r="S5554" s="86">
        <f t="shared" si="1688"/>
        <v>0</v>
      </c>
      <c r="T5554" s="86">
        <f t="shared" si="1689"/>
        <v>0</v>
      </c>
      <c r="U5554" s="87">
        <v>19362.060000000001</v>
      </c>
    </row>
    <row r="5555" spans="1:21" s="30" customFormat="1" ht="24.6" hidden="1" outlineLevel="1" x14ac:dyDescent="0.55000000000000004">
      <c r="A5555" s="27" t="s">
        <v>327</v>
      </c>
      <c r="B5555" s="28"/>
      <c r="C5555" s="27"/>
      <c r="D5555" s="27" t="str">
        <f>"""NAV Direct"",""CRONUS JetCorp USA"",""21"",""1"",""348973"""</f>
        <v>"NAV Direct","CRONUS JetCorp USA","21","1","348973"</v>
      </c>
      <c r="E5555" s="31" t="str">
        <f t="shared" si="1681"/>
        <v>C100145</v>
      </c>
      <c r="F5555" s="31"/>
      <c r="G5555" s="31"/>
      <c r="H5555" s="31"/>
      <c r="I5555" s="56"/>
      <c r="J5555" s="56"/>
      <c r="K5555" s="82" t="str">
        <f t="shared" si="1682"/>
        <v>Invoice</v>
      </c>
      <c r="L5555" s="83" t="str">
        <f>"SI_110949"</f>
        <v>SI_110949</v>
      </c>
      <c r="M5555" s="84">
        <v>42022</v>
      </c>
      <c r="N5555" s="85">
        <f t="shared" si="1683"/>
        <v>1790</v>
      </c>
      <c r="O5555" s="86">
        <f t="shared" si="1684"/>
        <v>19272.89</v>
      </c>
      <c r="P5555" s="86">
        <f t="shared" si="1685"/>
        <v>0</v>
      </c>
      <c r="Q5555" s="86">
        <f t="shared" si="1686"/>
        <v>0</v>
      </c>
      <c r="R5555" s="86">
        <f t="shared" si="1687"/>
        <v>0</v>
      </c>
      <c r="S5555" s="86">
        <f t="shared" si="1688"/>
        <v>0</v>
      </c>
      <c r="T5555" s="86">
        <f t="shared" si="1689"/>
        <v>19272.89</v>
      </c>
      <c r="U5555" s="87">
        <v>19272.89</v>
      </c>
    </row>
    <row r="5556" spans="1:21" s="30" customFormat="1" ht="24.6" hidden="1" outlineLevel="1" x14ac:dyDescent="0.55000000000000004">
      <c r="A5556" s="27" t="s">
        <v>327</v>
      </c>
      <c r="B5556" s="28"/>
      <c r="C5556" s="27"/>
      <c r="D5556" s="27" t="str">
        <f>"""NAV Direct"",""CRONUS JetCorp USA"",""21"",""1"",""349851"""</f>
        <v>"NAV Direct","CRONUS JetCorp USA","21","1","349851"</v>
      </c>
      <c r="E5556" s="31">
        <f t="shared" si="1681"/>
        <v>0</v>
      </c>
      <c r="F5556" s="31"/>
      <c r="G5556" s="31"/>
      <c r="H5556" s="31"/>
      <c r="I5556" s="56"/>
      <c r="J5556" s="56"/>
      <c r="K5556" s="82" t="str">
        <f t="shared" si="1682"/>
        <v>Invoice</v>
      </c>
      <c r="L5556" s="83" t="str">
        <f>"SI_110971"</f>
        <v>SI_110971</v>
      </c>
      <c r="M5556" s="84">
        <v>42112</v>
      </c>
      <c r="N5556" s="85">
        <f t="shared" si="1683"/>
        <v>1700</v>
      </c>
      <c r="O5556" s="86">
        <f t="shared" si="1684"/>
        <v>22630.92</v>
      </c>
      <c r="P5556" s="86">
        <f t="shared" si="1685"/>
        <v>0</v>
      </c>
      <c r="Q5556" s="86">
        <f t="shared" si="1686"/>
        <v>0</v>
      </c>
      <c r="R5556" s="86">
        <f t="shared" si="1687"/>
        <v>0</v>
      </c>
      <c r="S5556" s="86">
        <f t="shared" si="1688"/>
        <v>0</v>
      </c>
      <c r="T5556" s="86">
        <f t="shared" si="1689"/>
        <v>22630.92</v>
      </c>
      <c r="U5556" s="87">
        <v>22630.92</v>
      </c>
    </row>
    <row r="5557" spans="1:21" s="30" customFormat="1" ht="24.6" hidden="1" outlineLevel="1" x14ac:dyDescent="0.55000000000000004">
      <c r="A5557" s="27" t="s">
        <v>327</v>
      </c>
      <c r="B5557" s="28"/>
      <c r="C5557" s="27"/>
      <c r="D5557" s="27" t="str">
        <f>"""NAV Direct"",""CRONUS JetCorp USA"",""21"",""1"",""350017"""</f>
        <v>"NAV Direct","CRONUS JetCorp USA","21","1","350017"</v>
      </c>
      <c r="E5557" s="31" t="str">
        <f t="shared" si="1681"/>
        <v>C100145</v>
      </c>
      <c r="F5557" s="31"/>
      <c r="G5557" s="31"/>
      <c r="H5557" s="31"/>
      <c r="I5557" s="56"/>
      <c r="J5557" s="56"/>
      <c r="K5557" s="82" t="str">
        <f t="shared" si="1682"/>
        <v>Invoice</v>
      </c>
      <c r="L5557" s="83" t="str">
        <f>"SI_110975"</f>
        <v>SI_110975</v>
      </c>
      <c r="M5557" s="84">
        <v>42120</v>
      </c>
      <c r="N5557" s="85">
        <f t="shared" si="1683"/>
        <v>1692</v>
      </c>
      <c r="O5557" s="86">
        <f t="shared" si="1684"/>
        <v>23106.690000000002</v>
      </c>
      <c r="P5557" s="86">
        <f t="shared" si="1685"/>
        <v>0</v>
      </c>
      <c r="Q5557" s="86">
        <f t="shared" si="1686"/>
        <v>0</v>
      </c>
      <c r="R5557" s="86">
        <f t="shared" si="1687"/>
        <v>0</v>
      </c>
      <c r="S5557" s="86">
        <f t="shared" si="1688"/>
        <v>0</v>
      </c>
      <c r="T5557" s="86">
        <f t="shared" si="1689"/>
        <v>23106.690000000002</v>
      </c>
      <c r="U5557" s="87">
        <v>23106.690000000002</v>
      </c>
    </row>
    <row r="5558" spans="1:21" s="30" customFormat="1" ht="24.6" hidden="1" outlineLevel="1" x14ac:dyDescent="0.55000000000000004">
      <c r="A5558" s="27" t="s">
        <v>327</v>
      </c>
      <c r="B5558" s="28"/>
      <c r="C5558" s="27"/>
      <c r="D5558" s="27" t="str">
        <f>"""NAV Direct"",""CRONUS JetCorp USA"",""21"",""1"",""350142"""</f>
        <v>"NAV Direct","CRONUS JetCorp USA","21","1","350142"</v>
      </c>
      <c r="E5558" s="31">
        <f t="shared" si="1681"/>
        <v>0</v>
      </c>
      <c r="F5558" s="31"/>
      <c r="G5558" s="31"/>
      <c r="H5558" s="31"/>
      <c r="I5558" s="56"/>
      <c r="J5558" s="56"/>
      <c r="K5558" s="82" t="str">
        <f t="shared" si="1682"/>
        <v>Invoice</v>
      </c>
      <c r="L5558" s="83" t="str">
        <f>"SI_110978"</f>
        <v>SI_110978</v>
      </c>
      <c r="M5558" s="84">
        <v>42141</v>
      </c>
      <c r="N5558" s="85">
        <f t="shared" si="1683"/>
        <v>1671</v>
      </c>
      <c r="O5558" s="86">
        <f t="shared" si="1684"/>
        <v>23218.07</v>
      </c>
      <c r="P5558" s="86">
        <f t="shared" si="1685"/>
        <v>0</v>
      </c>
      <c r="Q5558" s="86">
        <f t="shared" si="1686"/>
        <v>0</v>
      </c>
      <c r="R5558" s="86">
        <f t="shared" si="1687"/>
        <v>0</v>
      </c>
      <c r="S5558" s="86">
        <f t="shared" si="1688"/>
        <v>0</v>
      </c>
      <c r="T5558" s="86">
        <f t="shared" si="1689"/>
        <v>23218.07</v>
      </c>
      <c r="U5558" s="87">
        <v>23218.07</v>
      </c>
    </row>
    <row r="5559" spans="1:21" s="30" customFormat="1" ht="24.6" hidden="1" outlineLevel="1" x14ac:dyDescent="0.55000000000000004">
      <c r="A5559" s="27" t="s">
        <v>327</v>
      </c>
      <c r="B5559" s="28"/>
      <c r="C5559" s="27"/>
      <c r="D5559" s="27" t="str">
        <f>"""NAV Direct"",""CRONUS JetCorp USA"",""21"",""1"",""350181"""</f>
        <v>"NAV Direct","CRONUS JetCorp USA","21","1","350181"</v>
      </c>
      <c r="E5559" s="31" t="str">
        <f t="shared" si="1681"/>
        <v>C100145</v>
      </c>
      <c r="F5559" s="31"/>
      <c r="G5559" s="31"/>
      <c r="H5559" s="31"/>
      <c r="I5559" s="56"/>
      <c r="J5559" s="56"/>
      <c r="K5559" s="82" t="str">
        <f t="shared" si="1682"/>
        <v>Invoice</v>
      </c>
      <c r="L5559" s="83" t="str">
        <f>"SI_110979"</f>
        <v>SI_110979</v>
      </c>
      <c r="M5559" s="84">
        <v>42146</v>
      </c>
      <c r="N5559" s="85">
        <f t="shared" si="1683"/>
        <v>1666</v>
      </c>
      <c r="O5559" s="86">
        <f t="shared" si="1684"/>
        <v>23707.91</v>
      </c>
      <c r="P5559" s="86">
        <f t="shared" si="1685"/>
        <v>0</v>
      </c>
      <c r="Q5559" s="86">
        <f t="shared" si="1686"/>
        <v>0</v>
      </c>
      <c r="R5559" s="86">
        <f t="shared" si="1687"/>
        <v>0</v>
      </c>
      <c r="S5559" s="86">
        <f t="shared" si="1688"/>
        <v>0</v>
      </c>
      <c r="T5559" s="86">
        <f t="shared" si="1689"/>
        <v>23707.91</v>
      </c>
      <c r="U5559" s="87">
        <v>23707.91</v>
      </c>
    </row>
    <row r="5560" spans="1:21" s="30" customFormat="1" ht="24.6" hidden="1" outlineLevel="1" x14ac:dyDescent="0.55000000000000004">
      <c r="A5560" s="27" t="s">
        <v>327</v>
      </c>
      <c r="B5560" s="28"/>
      <c r="C5560" s="27"/>
      <c r="D5560" s="27" t="str">
        <f>"""NAV Direct"",""CRONUS JetCorp USA"",""21"",""1"",""350386"""</f>
        <v>"NAV Direct","CRONUS JetCorp USA","21","1","350386"</v>
      </c>
      <c r="E5560" s="31">
        <f t="shared" si="1681"/>
        <v>0</v>
      </c>
      <c r="F5560" s="31"/>
      <c r="G5560" s="31"/>
      <c r="H5560" s="31"/>
      <c r="I5560" s="56"/>
      <c r="J5560" s="56"/>
      <c r="K5560" s="82" t="str">
        <f t="shared" si="1682"/>
        <v>Invoice</v>
      </c>
      <c r="L5560" s="83" t="str">
        <f>"SI_110984"</f>
        <v>SI_110984</v>
      </c>
      <c r="M5560" s="84">
        <v>42177</v>
      </c>
      <c r="N5560" s="85">
        <f t="shared" si="1683"/>
        <v>1635</v>
      </c>
      <c r="O5560" s="86">
        <f t="shared" si="1684"/>
        <v>23549.59</v>
      </c>
      <c r="P5560" s="86">
        <f t="shared" si="1685"/>
        <v>0</v>
      </c>
      <c r="Q5560" s="86">
        <f t="shared" si="1686"/>
        <v>0</v>
      </c>
      <c r="R5560" s="86">
        <f t="shared" si="1687"/>
        <v>0</v>
      </c>
      <c r="S5560" s="86">
        <f t="shared" si="1688"/>
        <v>0</v>
      </c>
      <c r="T5560" s="86">
        <f t="shared" si="1689"/>
        <v>23549.59</v>
      </c>
      <c r="U5560" s="87">
        <v>23549.59</v>
      </c>
    </row>
    <row r="5561" spans="1:21" s="30" customFormat="1" ht="24.6" hidden="1" outlineLevel="1" x14ac:dyDescent="0.55000000000000004">
      <c r="A5561" s="27" t="s">
        <v>327</v>
      </c>
      <c r="B5561" s="28"/>
      <c r="C5561" s="27"/>
      <c r="D5561" s="27" t="str">
        <f>"""NAV Direct"",""CRONUS JetCorp USA"",""21"",""1"",""350497"""</f>
        <v>"NAV Direct","CRONUS JetCorp USA","21","1","350497"</v>
      </c>
      <c r="E5561" s="31" t="str">
        <f t="shared" si="1681"/>
        <v>C100145</v>
      </c>
      <c r="F5561" s="31"/>
      <c r="G5561" s="31"/>
      <c r="H5561" s="31"/>
      <c r="I5561" s="56"/>
      <c r="J5561" s="56"/>
      <c r="K5561" s="82" t="str">
        <f t="shared" si="1682"/>
        <v>Invoice</v>
      </c>
      <c r="L5561" s="83" t="str">
        <f>"SI_110987"</f>
        <v>SI_110987</v>
      </c>
      <c r="M5561" s="84">
        <v>42185</v>
      </c>
      <c r="N5561" s="85">
        <f t="shared" si="1683"/>
        <v>1627</v>
      </c>
      <c r="O5561" s="86">
        <f t="shared" si="1684"/>
        <v>24050.23</v>
      </c>
      <c r="P5561" s="86">
        <f t="shared" si="1685"/>
        <v>0</v>
      </c>
      <c r="Q5561" s="86">
        <f t="shared" si="1686"/>
        <v>0</v>
      </c>
      <c r="R5561" s="86">
        <f t="shared" si="1687"/>
        <v>0</v>
      </c>
      <c r="S5561" s="86">
        <f t="shared" si="1688"/>
        <v>0</v>
      </c>
      <c r="T5561" s="86">
        <f t="shared" si="1689"/>
        <v>24050.23</v>
      </c>
      <c r="U5561" s="87">
        <v>24050.23</v>
      </c>
    </row>
    <row r="5562" spans="1:21" s="30" customFormat="1" ht="24.6" hidden="1" outlineLevel="1" x14ac:dyDescent="0.55000000000000004">
      <c r="A5562" s="27" t="s">
        <v>327</v>
      </c>
      <c r="B5562" s="28"/>
      <c r="C5562" s="27"/>
      <c r="D5562" s="27" t="str">
        <f>"""NAV Direct"",""CRONUS JetCorp USA"",""21"",""1"",""350624"""</f>
        <v>"NAV Direct","CRONUS JetCorp USA","21","1","350624"</v>
      </c>
      <c r="E5562" s="31">
        <f t="shared" si="1681"/>
        <v>0</v>
      </c>
      <c r="F5562" s="31"/>
      <c r="G5562" s="31"/>
      <c r="H5562" s="31"/>
      <c r="I5562" s="56"/>
      <c r="J5562" s="56"/>
      <c r="K5562" s="82" t="str">
        <f t="shared" si="1682"/>
        <v>Invoice</v>
      </c>
      <c r="L5562" s="83" t="str">
        <f>"SI_110990"</f>
        <v>SI_110990</v>
      </c>
      <c r="M5562" s="84">
        <v>42190</v>
      </c>
      <c r="N5562" s="85">
        <f t="shared" si="1683"/>
        <v>1622</v>
      </c>
      <c r="O5562" s="86">
        <f t="shared" si="1684"/>
        <v>24300.430000000004</v>
      </c>
      <c r="P5562" s="86">
        <f t="shared" si="1685"/>
        <v>0</v>
      </c>
      <c r="Q5562" s="86">
        <f t="shared" si="1686"/>
        <v>0</v>
      </c>
      <c r="R5562" s="86">
        <f t="shared" si="1687"/>
        <v>0</v>
      </c>
      <c r="S5562" s="86">
        <f t="shared" si="1688"/>
        <v>0</v>
      </c>
      <c r="T5562" s="86">
        <f t="shared" si="1689"/>
        <v>24300.430000000004</v>
      </c>
      <c r="U5562" s="87">
        <v>24300.430000000004</v>
      </c>
    </row>
    <row r="5563" spans="1:21" s="30" customFormat="1" ht="24.6" hidden="1" outlineLevel="1" x14ac:dyDescent="0.55000000000000004">
      <c r="A5563" s="27" t="s">
        <v>327</v>
      </c>
      <c r="B5563" s="28"/>
      <c r="C5563" s="27"/>
      <c r="D5563" s="27" t="str">
        <f>"""NAV Direct"",""CRONUS JetCorp USA"",""21"",""1"",""350663"""</f>
        <v>"NAV Direct","CRONUS JetCorp USA","21","1","350663"</v>
      </c>
      <c r="E5563" s="31" t="str">
        <f t="shared" si="1681"/>
        <v>C100145</v>
      </c>
      <c r="F5563" s="31"/>
      <c r="G5563" s="31"/>
      <c r="H5563" s="31"/>
      <c r="I5563" s="56"/>
      <c r="J5563" s="56"/>
      <c r="K5563" s="82" t="str">
        <f t="shared" si="1682"/>
        <v>Invoice</v>
      </c>
      <c r="L5563" s="83" t="str">
        <f>"SI_110991"</f>
        <v>SI_110991</v>
      </c>
      <c r="M5563" s="84">
        <v>42201</v>
      </c>
      <c r="N5563" s="85">
        <f t="shared" si="1683"/>
        <v>1611</v>
      </c>
      <c r="O5563" s="86">
        <f t="shared" si="1684"/>
        <v>18523.989999999998</v>
      </c>
      <c r="P5563" s="86">
        <f t="shared" si="1685"/>
        <v>0</v>
      </c>
      <c r="Q5563" s="86">
        <f t="shared" si="1686"/>
        <v>0</v>
      </c>
      <c r="R5563" s="86">
        <f t="shared" si="1687"/>
        <v>0</v>
      </c>
      <c r="S5563" s="86">
        <f t="shared" si="1688"/>
        <v>0</v>
      </c>
      <c r="T5563" s="86">
        <f t="shared" si="1689"/>
        <v>18523.989999999998</v>
      </c>
      <c r="U5563" s="87">
        <v>18523.989999999998</v>
      </c>
    </row>
    <row r="5564" spans="1:21" s="30" customFormat="1" ht="24.6" hidden="1" outlineLevel="1" x14ac:dyDescent="0.55000000000000004">
      <c r="A5564" s="27" t="s">
        <v>327</v>
      </c>
      <c r="B5564" s="28"/>
      <c r="C5564" s="27"/>
      <c r="D5564" s="27" t="str">
        <f>"""NAV Direct"",""CRONUS JetCorp USA"",""21"",""1"",""350860"""</f>
        <v>"NAV Direct","CRONUS JetCorp USA","21","1","350860"</v>
      </c>
      <c r="E5564" s="31">
        <f t="shared" si="1681"/>
        <v>0</v>
      </c>
      <c r="F5564" s="31"/>
      <c r="G5564" s="31"/>
      <c r="H5564" s="31"/>
      <c r="I5564" s="56"/>
      <c r="J5564" s="56"/>
      <c r="K5564" s="82" t="str">
        <f t="shared" si="1682"/>
        <v>Invoice</v>
      </c>
      <c r="L5564" s="83" t="str">
        <f>"SI_110996"</f>
        <v>SI_110996</v>
      </c>
      <c r="M5564" s="84">
        <v>42221</v>
      </c>
      <c r="N5564" s="85">
        <f t="shared" si="1683"/>
        <v>1591</v>
      </c>
      <c r="O5564" s="86">
        <f t="shared" si="1684"/>
        <v>18910</v>
      </c>
      <c r="P5564" s="86">
        <f t="shared" si="1685"/>
        <v>0</v>
      </c>
      <c r="Q5564" s="86">
        <f t="shared" si="1686"/>
        <v>0</v>
      </c>
      <c r="R5564" s="86">
        <f t="shared" si="1687"/>
        <v>0</v>
      </c>
      <c r="S5564" s="86">
        <f t="shared" si="1688"/>
        <v>0</v>
      </c>
      <c r="T5564" s="86">
        <f t="shared" si="1689"/>
        <v>18910</v>
      </c>
      <c r="U5564" s="87">
        <v>18910</v>
      </c>
    </row>
    <row r="5565" spans="1:21" s="30" customFormat="1" ht="24.6" hidden="1" outlineLevel="1" x14ac:dyDescent="0.55000000000000004">
      <c r="A5565" s="27" t="s">
        <v>327</v>
      </c>
      <c r="B5565" s="28"/>
      <c r="C5565" s="27"/>
      <c r="D5565" s="27" t="str">
        <f>"""NAV Direct"",""CRONUS JetCorp USA"",""21"",""1"",""351453"""</f>
        <v>"NAV Direct","CRONUS JetCorp USA","21","1","351453"</v>
      </c>
      <c r="E5565" s="31" t="str">
        <f t="shared" si="1681"/>
        <v>C100145</v>
      </c>
      <c r="F5565" s="31"/>
      <c r="G5565" s="31"/>
      <c r="H5565" s="31"/>
      <c r="I5565" s="56"/>
      <c r="J5565" s="56"/>
      <c r="K5565" s="82" t="str">
        <f t="shared" si="1682"/>
        <v>Invoice</v>
      </c>
      <c r="L5565" s="83" t="str">
        <f>"SI_111011"</f>
        <v>SI_111011</v>
      </c>
      <c r="M5565" s="84">
        <v>42274</v>
      </c>
      <c r="N5565" s="85">
        <f t="shared" si="1683"/>
        <v>1538</v>
      </c>
      <c r="O5565" s="86">
        <f t="shared" si="1684"/>
        <v>18851.100000000002</v>
      </c>
      <c r="P5565" s="86">
        <f t="shared" si="1685"/>
        <v>0</v>
      </c>
      <c r="Q5565" s="86">
        <f t="shared" si="1686"/>
        <v>0</v>
      </c>
      <c r="R5565" s="86">
        <f t="shared" si="1687"/>
        <v>0</v>
      </c>
      <c r="S5565" s="86">
        <f t="shared" si="1688"/>
        <v>0</v>
      </c>
      <c r="T5565" s="86">
        <f t="shared" si="1689"/>
        <v>18851.100000000002</v>
      </c>
      <c r="U5565" s="87">
        <v>18851.100000000002</v>
      </c>
    </row>
    <row r="5566" spans="1:21" s="30" customFormat="1" ht="24.6" hidden="1" outlineLevel="1" x14ac:dyDescent="0.55000000000000004">
      <c r="A5566" s="27" t="s">
        <v>327</v>
      </c>
      <c r="B5566" s="28"/>
      <c r="C5566" s="27"/>
      <c r="D5566" s="27" t="str">
        <f>"""NAV Direct"",""CRONUS JetCorp USA"",""21"",""1"",""351760"""</f>
        <v>"NAV Direct","CRONUS JetCorp USA","21","1","351760"</v>
      </c>
      <c r="E5566" s="31">
        <f t="shared" si="1681"/>
        <v>0</v>
      </c>
      <c r="F5566" s="31"/>
      <c r="G5566" s="31"/>
      <c r="H5566" s="31"/>
      <c r="I5566" s="56"/>
      <c r="J5566" s="56"/>
      <c r="K5566" s="82" t="str">
        <f t="shared" si="1682"/>
        <v>Invoice</v>
      </c>
      <c r="L5566" s="83" t="str">
        <f>"SI_111018"</f>
        <v>SI_111018</v>
      </c>
      <c r="M5566" s="84">
        <v>42308</v>
      </c>
      <c r="N5566" s="85">
        <f t="shared" si="1683"/>
        <v>1504</v>
      </c>
      <c r="O5566" s="86">
        <f t="shared" si="1684"/>
        <v>19397.829999999998</v>
      </c>
      <c r="P5566" s="86">
        <f t="shared" si="1685"/>
        <v>0</v>
      </c>
      <c r="Q5566" s="86">
        <f t="shared" si="1686"/>
        <v>0</v>
      </c>
      <c r="R5566" s="86">
        <f t="shared" si="1687"/>
        <v>0</v>
      </c>
      <c r="S5566" s="86">
        <f t="shared" si="1688"/>
        <v>0</v>
      </c>
      <c r="T5566" s="86">
        <f t="shared" si="1689"/>
        <v>19397.829999999998</v>
      </c>
      <c r="U5566" s="87">
        <v>19397.829999999998</v>
      </c>
    </row>
    <row r="5567" spans="1:21" s="30" customFormat="1" ht="24.6" hidden="1" outlineLevel="1" x14ac:dyDescent="0.55000000000000004">
      <c r="A5567" s="27" t="s">
        <v>327</v>
      </c>
      <c r="B5567" s="28"/>
      <c r="C5567" s="27"/>
      <c r="D5567" s="27" t="str">
        <f>"""NAV Direct"",""CRONUS JetCorp USA"",""21"",""1"",""351842"""</f>
        <v>"NAV Direct","CRONUS JetCorp USA","21","1","351842"</v>
      </c>
      <c r="E5567" s="31" t="str">
        <f t="shared" si="1681"/>
        <v>C100145</v>
      </c>
      <c r="F5567" s="31"/>
      <c r="G5567" s="31"/>
      <c r="H5567" s="31"/>
      <c r="I5567" s="56"/>
      <c r="J5567" s="56"/>
      <c r="K5567" s="82" t="str">
        <f t="shared" si="1682"/>
        <v>Invoice</v>
      </c>
      <c r="L5567" s="83" t="str">
        <f>"SI_111020"</f>
        <v>SI_111020</v>
      </c>
      <c r="M5567" s="84">
        <v>42328</v>
      </c>
      <c r="N5567" s="85">
        <f t="shared" si="1683"/>
        <v>1484</v>
      </c>
      <c r="O5567" s="86">
        <f t="shared" si="1684"/>
        <v>19901.48</v>
      </c>
      <c r="P5567" s="86">
        <f t="shared" si="1685"/>
        <v>0</v>
      </c>
      <c r="Q5567" s="86">
        <f t="shared" si="1686"/>
        <v>0</v>
      </c>
      <c r="R5567" s="86">
        <f t="shared" si="1687"/>
        <v>0</v>
      </c>
      <c r="S5567" s="86">
        <f t="shared" si="1688"/>
        <v>0</v>
      </c>
      <c r="T5567" s="86">
        <f t="shared" si="1689"/>
        <v>19901.48</v>
      </c>
      <c r="U5567" s="87">
        <v>19901.48</v>
      </c>
    </row>
    <row r="5568" spans="1:21" s="30" customFormat="1" ht="24.6" hidden="1" outlineLevel="1" x14ac:dyDescent="0.55000000000000004">
      <c r="A5568" s="27" t="s">
        <v>327</v>
      </c>
      <c r="B5568" s="28"/>
      <c r="C5568" s="27"/>
      <c r="D5568" s="27" t="str">
        <f>"""NAV Direct"",""CRONUS JetCorp USA"",""21"",""1"",""351965"""</f>
        <v>"NAV Direct","CRONUS JetCorp USA","21","1","351965"</v>
      </c>
      <c r="E5568" s="31">
        <f t="shared" si="1681"/>
        <v>0</v>
      </c>
      <c r="F5568" s="31"/>
      <c r="G5568" s="31"/>
      <c r="H5568" s="31"/>
      <c r="I5568" s="56"/>
      <c r="J5568" s="56"/>
      <c r="K5568" s="82" t="str">
        <f t="shared" si="1682"/>
        <v>Invoice</v>
      </c>
      <c r="L5568" s="83" t="str">
        <f>"SI_111023"</f>
        <v>SI_111023</v>
      </c>
      <c r="M5568" s="84">
        <v>42335</v>
      </c>
      <c r="N5568" s="85">
        <f t="shared" si="1683"/>
        <v>1477</v>
      </c>
      <c r="O5568" s="86">
        <f t="shared" si="1684"/>
        <v>19902.239999999998</v>
      </c>
      <c r="P5568" s="86">
        <f t="shared" si="1685"/>
        <v>0</v>
      </c>
      <c r="Q5568" s="86">
        <f t="shared" si="1686"/>
        <v>0</v>
      </c>
      <c r="R5568" s="86">
        <f t="shared" si="1687"/>
        <v>0</v>
      </c>
      <c r="S5568" s="86">
        <f t="shared" si="1688"/>
        <v>0</v>
      </c>
      <c r="T5568" s="86">
        <f t="shared" si="1689"/>
        <v>19902.239999999998</v>
      </c>
      <c r="U5568" s="87">
        <v>19902.239999999998</v>
      </c>
    </row>
    <row r="5569" spans="1:21" s="30" customFormat="1" ht="24.6" hidden="1" outlineLevel="1" x14ac:dyDescent="0.55000000000000004">
      <c r="A5569" s="27" t="s">
        <v>327</v>
      </c>
      <c r="B5569" s="28"/>
      <c r="C5569" s="27"/>
      <c r="D5569" s="27" t="str">
        <f>"""NAV Direct"",""CRONUS JetCorp USA"",""21"",""1"",""433630"""</f>
        <v>"NAV Direct","CRONUS JetCorp USA","21","1","433630"</v>
      </c>
      <c r="E5569" s="31" t="str">
        <f t="shared" si="1681"/>
        <v>C100145</v>
      </c>
      <c r="F5569" s="31"/>
      <c r="G5569" s="31"/>
      <c r="H5569" s="31"/>
      <c r="I5569" s="56"/>
      <c r="J5569" s="56"/>
      <c r="K5569" s="82" t="str">
        <f t="shared" ref="K5569:K5584" si="1690">"Credit Memo"</f>
        <v>Credit Memo</v>
      </c>
      <c r="L5569" s="83" t="str">
        <f>"SC_100502"</f>
        <v>SC_100502</v>
      </c>
      <c r="M5569" s="84">
        <v>42518</v>
      </c>
      <c r="N5569" s="85">
        <f t="shared" si="1683"/>
        <v>1294</v>
      </c>
      <c r="O5569" s="86">
        <f t="shared" si="1684"/>
        <v>-174.25</v>
      </c>
      <c r="P5569" s="86">
        <f t="shared" si="1685"/>
        <v>0</v>
      </c>
      <c r="Q5569" s="86">
        <f t="shared" si="1686"/>
        <v>0</v>
      </c>
      <c r="R5569" s="86">
        <f t="shared" si="1687"/>
        <v>0</v>
      </c>
      <c r="S5569" s="86">
        <f t="shared" si="1688"/>
        <v>0</v>
      </c>
      <c r="T5569" s="86">
        <f t="shared" si="1689"/>
        <v>-174.25</v>
      </c>
      <c r="U5569" s="87">
        <v>-174.25</v>
      </c>
    </row>
    <row r="5570" spans="1:21" s="30" customFormat="1" ht="24.6" hidden="1" outlineLevel="1" x14ac:dyDescent="0.55000000000000004">
      <c r="A5570" s="27" t="s">
        <v>327</v>
      </c>
      <c r="B5570" s="28"/>
      <c r="C5570" s="27"/>
      <c r="D5570" s="27" t="str">
        <f>"""NAV Direct"",""CRONUS JetCorp USA"",""21"",""1"",""433647"""</f>
        <v>"NAV Direct","CRONUS JetCorp USA","21","1","433647"</v>
      </c>
      <c r="E5570" s="31">
        <f t="shared" si="1681"/>
        <v>0</v>
      </c>
      <c r="F5570" s="31"/>
      <c r="G5570" s="31"/>
      <c r="H5570" s="31"/>
      <c r="I5570" s="56"/>
      <c r="J5570" s="56"/>
      <c r="K5570" s="82" t="str">
        <f t="shared" si="1690"/>
        <v>Credit Memo</v>
      </c>
      <c r="L5570" s="83" t="str">
        <f>"SC_100503"</f>
        <v>SC_100503</v>
      </c>
      <c r="M5570" s="84">
        <v>42549</v>
      </c>
      <c r="N5570" s="85">
        <f t="shared" si="1683"/>
        <v>1263</v>
      </c>
      <c r="O5570" s="86">
        <f t="shared" si="1684"/>
        <v>-172.44</v>
      </c>
      <c r="P5570" s="86">
        <f t="shared" si="1685"/>
        <v>0</v>
      </c>
      <c r="Q5570" s="86">
        <f t="shared" si="1686"/>
        <v>0</v>
      </c>
      <c r="R5570" s="86">
        <f t="shared" si="1687"/>
        <v>0</v>
      </c>
      <c r="S5570" s="86">
        <f t="shared" si="1688"/>
        <v>0</v>
      </c>
      <c r="T5570" s="86">
        <f t="shared" si="1689"/>
        <v>-172.44</v>
      </c>
      <c r="U5570" s="87">
        <v>-172.44</v>
      </c>
    </row>
    <row r="5571" spans="1:21" s="30" customFormat="1" ht="24.6" hidden="1" outlineLevel="1" x14ac:dyDescent="0.55000000000000004">
      <c r="A5571" s="27" t="s">
        <v>327</v>
      </c>
      <c r="B5571" s="28"/>
      <c r="C5571" s="27"/>
      <c r="D5571" s="27" t="str">
        <f>"""NAV Direct"",""CRONUS JetCorp USA"",""21"",""1"",""433692"""</f>
        <v>"NAV Direct","CRONUS JetCorp USA","21","1","433692"</v>
      </c>
      <c r="E5571" s="31" t="str">
        <f t="shared" si="1681"/>
        <v>C100145</v>
      </c>
      <c r="F5571" s="31"/>
      <c r="G5571" s="31"/>
      <c r="H5571" s="31"/>
      <c r="I5571" s="56"/>
      <c r="J5571" s="56"/>
      <c r="K5571" s="82" t="str">
        <f t="shared" si="1690"/>
        <v>Credit Memo</v>
      </c>
      <c r="L5571" s="83" t="str">
        <f>"SC_100506"</f>
        <v>SC_100506</v>
      </c>
      <c r="M5571" s="84">
        <v>42601</v>
      </c>
      <c r="N5571" s="85">
        <f t="shared" si="1683"/>
        <v>1211</v>
      </c>
      <c r="O5571" s="86">
        <f t="shared" si="1684"/>
        <v>-168.10999999999999</v>
      </c>
      <c r="P5571" s="86">
        <f t="shared" si="1685"/>
        <v>0</v>
      </c>
      <c r="Q5571" s="86">
        <f t="shared" si="1686"/>
        <v>0</v>
      </c>
      <c r="R5571" s="86">
        <f t="shared" si="1687"/>
        <v>0</v>
      </c>
      <c r="S5571" s="86">
        <f t="shared" si="1688"/>
        <v>0</v>
      </c>
      <c r="T5571" s="86">
        <f t="shared" si="1689"/>
        <v>-168.10999999999999</v>
      </c>
      <c r="U5571" s="87">
        <v>-168.10999999999999</v>
      </c>
    </row>
    <row r="5572" spans="1:21" s="30" customFormat="1" ht="24.6" hidden="1" outlineLevel="1" x14ac:dyDescent="0.55000000000000004">
      <c r="A5572" s="27" t="s">
        <v>327</v>
      </c>
      <c r="B5572" s="28"/>
      <c r="C5572" s="27"/>
      <c r="D5572" s="27" t="str">
        <f>"""NAV Direct"",""CRONUS JetCorp USA"",""21"",""1"",""433866"""</f>
        <v>"NAV Direct","CRONUS JetCorp USA","21","1","433866"</v>
      </c>
      <c r="E5572" s="31">
        <f t="shared" si="1681"/>
        <v>0</v>
      </c>
      <c r="F5572" s="31"/>
      <c r="G5572" s="31"/>
      <c r="H5572" s="31"/>
      <c r="I5572" s="56"/>
      <c r="J5572" s="56"/>
      <c r="K5572" s="82" t="str">
        <f t="shared" si="1690"/>
        <v>Credit Memo</v>
      </c>
      <c r="L5572" s="83" t="str">
        <f>"SC_100518"</f>
        <v>SC_100518</v>
      </c>
      <c r="M5572" s="84">
        <v>42788</v>
      </c>
      <c r="N5572" s="85">
        <f t="shared" si="1683"/>
        <v>1024</v>
      </c>
      <c r="O5572" s="86">
        <f t="shared" si="1684"/>
        <v>-179.1</v>
      </c>
      <c r="P5572" s="86">
        <f t="shared" si="1685"/>
        <v>0</v>
      </c>
      <c r="Q5572" s="86">
        <f t="shared" si="1686"/>
        <v>0</v>
      </c>
      <c r="R5572" s="86">
        <f t="shared" si="1687"/>
        <v>0</v>
      </c>
      <c r="S5572" s="86">
        <f t="shared" si="1688"/>
        <v>0</v>
      </c>
      <c r="T5572" s="86">
        <f t="shared" si="1689"/>
        <v>-179.1</v>
      </c>
      <c r="U5572" s="87">
        <v>-179.1</v>
      </c>
    </row>
    <row r="5573" spans="1:21" s="30" customFormat="1" ht="24.6" hidden="1" outlineLevel="1" x14ac:dyDescent="0.55000000000000004">
      <c r="A5573" s="27" t="s">
        <v>327</v>
      </c>
      <c r="B5573" s="28"/>
      <c r="C5573" s="27"/>
      <c r="D5573" s="27" t="str">
        <f>"""NAV Direct"",""CRONUS JetCorp USA"",""21"",""1"",""433936"""</f>
        <v>"NAV Direct","CRONUS JetCorp USA","21","1","433936"</v>
      </c>
      <c r="E5573" s="31" t="str">
        <f t="shared" si="1681"/>
        <v>C100145</v>
      </c>
      <c r="F5573" s="31"/>
      <c r="G5573" s="31"/>
      <c r="H5573" s="31"/>
      <c r="I5573" s="56"/>
      <c r="J5573" s="56"/>
      <c r="K5573" s="82" t="str">
        <f t="shared" si="1690"/>
        <v>Credit Memo</v>
      </c>
      <c r="L5573" s="83" t="str">
        <f>"SC_100522"</f>
        <v>SC_100522</v>
      </c>
      <c r="M5573" s="84">
        <v>42828</v>
      </c>
      <c r="N5573" s="85">
        <f t="shared" si="1683"/>
        <v>984</v>
      </c>
      <c r="O5573" s="86">
        <f t="shared" si="1684"/>
        <v>-183.56</v>
      </c>
      <c r="P5573" s="86">
        <f t="shared" si="1685"/>
        <v>0</v>
      </c>
      <c r="Q5573" s="86">
        <f t="shared" si="1686"/>
        <v>0</v>
      </c>
      <c r="R5573" s="86">
        <f t="shared" si="1687"/>
        <v>0</v>
      </c>
      <c r="S5573" s="86">
        <f t="shared" si="1688"/>
        <v>0</v>
      </c>
      <c r="T5573" s="86">
        <f t="shared" si="1689"/>
        <v>-183.56</v>
      </c>
      <c r="U5573" s="87">
        <v>-183.56</v>
      </c>
    </row>
    <row r="5574" spans="1:21" s="30" customFormat="1" ht="24.6" hidden="1" outlineLevel="1" x14ac:dyDescent="0.55000000000000004">
      <c r="A5574" s="27" t="s">
        <v>327</v>
      </c>
      <c r="B5574" s="28"/>
      <c r="C5574" s="27"/>
      <c r="D5574" s="27" t="str">
        <f>"""NAV Direct"",""CRONUS JetCorp USA"",""21"",""1"",""433993"""</f>
        <v>"NAV Direct","CRONUS JetCorp USA","21","1","433993"</v>
      </c>
      <c r="E5574" s="31">
        <f t="shared" si="1681"/>
        <v>0</v>
      </c>
      <c r="F5574" s="31"/>
      <c r="G5574" s="31"/>
      <c r="H5574" s="31"/>
      <c r="I5574" s="56"/>
      <c r="J5574" s="56"/>
      <c r="K5574" s="82" t="str">
        <f t="shared" si="1690"/>
        <v>Credit Memo</v>
      </c>
      <c r="L5574" s="83" t="str">
        <f>"SC_100525"</f>
        <v>SC_100525</v>
      </c>
      <c r="M5574" s="84">
        <v>42905</v>
      </c>
      <c r="N5574" s="85">
        <f t="shared" si="1683"/>
        <v>907</v>
      </c>
      <c r="O5574" s="86">
        <f t="shared" si="1684"/>
        <v>-192.04</v>
      </c>
      <c r="P5574" s="86">
        <f t="shared" si="1685"/>
        <v>0</v>
      </c>
      <c r="Q5574" s="86">
        <f t="shared" si="1686"/>
        <v>0</v>
      </c>
      <c r="R5574" s="86">
        <f t="shared" si="1687"/>
        <v>0</v>
      </c>
      <c r="S5574" s="86">
        <f t="shared" si="1688"/>
        <v>0</v>
      </c>
      <c r="T5574" s="86">
        <f t="shared" si="1689"/>
        <v>-192.04</v>
      </c>
      <c r="U5574" s="87">
        <v>-192.04</v>
      </c>
    </row>
    <row r="5575" spans="1:21" s="30" customFormat="1" ht="24.6" hidden="1" outlineLevel="1" x14ac:dyDescent="0.55000000000000004">
      <c r="A5575" s="27" t="s">
        <v>327</v>
      </c>
      <c r="B5575" s="28"/>
      <c r="C5575" s="27"/>
      <c r="D5575" s="27" t="str">
        <f>"""NAV Direct"",""CRONUS JetCorp USA"",""21"",""1"",""434023"""</f>
        <v>"NAV Direct","CRONUS JetCorp USA","21","1","434023"</v>
      </c>
      <c r="E5575" s="31" t="str">
        <f t="shared" si="1681"/>
        <v>C100145</v>
      </c>
      <c r="F5575" s="31"/>
      <c r="G5575" s="31"/>
      <c r="H5575" s="31"/>
      <c r="I5575" s="56"/>
      <c r="J5575" s="56"/>
      <c r="K5575" s="82" t="str">
        <f t="shared" si="1690"/>
        <v>Credit Memo</v>
      </c>
      <c r="L5575" s="83" t="str">
        <f>"SC_100527"</f>
        <v>SC_100527</v>
      </c>
      <c r="M5575" s="84">
        <v>42963</v>
      </c>
      <c r="N5575" s="85">
        <f t="shared" si="1683"/>
        <v>849</v>
      </c>
      <c r="O5575" s="86">
        <f t="shared" si="1684"/>
        <v>-176.61</v>
      </c>
      <c r="P5575" s="86">
        <f t="shared" si="1685"/>
        <v>0</v>
      </c>
      <c r="Q5575" s="86">
        <f t="shared" si="1686"/>
        <v>0</v>
      </c>
      <c r="R5575" s="86">
        <f t="shared" si="1687"/>
        <v>0</v>
      </c>
      <c r="S5575" s="86">
        <f t="shared" si="1688"/>
        <v>0</v>
      </c>
      <c r="T5575" s="86">
        <f t="shared" si="1689"/>
        <v>-176.61</v>
      </c>
      <c r="U5575" s="87">
        <v>-176.61</v>
      </c>
    </row>
    <row r="5576" spans="1:21" s="30" customFormat="1" ht="24.6" hidden="1" outlineLevel="1" x14ac:dyDescent="0.55000000000000004">
      <c r="A5576" s="27" t="s">
        <v>327</v>
      </c>
      <c r="B5576" s="28"/>
      <c r="C5576" s="27"/>
      <c r="D5576" s="27" t="str">
        <f>"""NAV Direct"",""CRONUS JetCorp USA"",""21"",""1"",""434053"""</f>
        <v>"NAV Direct","CRONUS JetCorp USA","21","1","434053"</v>
      </c>
      <c r="E5576" s="31">
        <f t="shared" si="1681"/>
        <v>0</v>
      </c>
      <c r="F5576" s="31"/>
      <c r="G5576" s="31"/>
      <c r="H5576" s="31"/>
      <c r="I5576" s="56"/>
      <c r="J5576" s="56"/>
      <c r="K5576" s="82" t="str">
        <f t="shared" si="1690"/>
        <v>Credit Memo</v>
      </c>
      <c r="L5576" s="83" t="str">
        <f>"SC_100529"</f>
        <v>SC_100529</v>
      </c>
      <c r="M5576" s="84">
        <v>43021</v>
      </c>
      <c r="N5576" s="85">
        <f t="shared" si="1683"/>
        <v>791</v>
      </c>
      <c r="O5576" s="86">
        <f t="shared" si="1684"/>
        <v>-187</v>
      </c>
      <c r="P5576" s="86">
        <f t="shared" si="1685"/>
        <v>0</v>
      </c>
      <c r="Q5576" s="86">
        <f t="shared" si="1686"/>
        <v>0</v>
      </c>
      <c r="R5576" s="86">
        <f t="shared" si="1687"/>
        <v>0</v>
      </c>
      <c r="S5576" s="86">
        <f t="shared" si="1688"/>
        <v>0</v>
      </c>
      <c r="T5576" s="86">
        <f t="shared" si="1689"/>
        <v>-187</v>
      </c>
      <c r="U5576" s="87">
        <v>-187</v>
      </c>
    </row>
    <row r="5577" spans="1:21" s="30" customFormat="1" ht="24.6" hidden="1" outlineLevel="1" x14ac:dyDescent="0.55000000000000004">
      <c r="A5577" s="27" t="s">
        <v>327</v>
      </c>
      <c r="B5577" s="28"/>
      <c r="C5577" s="27"/>
      <c r="D5577" s="27" t="str">
        <f>"""NAV Direct"",""CRONUS JetCorp USA"",""21"",""1"",""434141"""</f>
        <v>"NAV Direct","CRONUS JetCorp USA","21","1","434141"</v>
      </c>
      <c r="E5577" s="31" t="str">
        <f t="shared" si="1681"/>
        <v>C100145</v>
      </c>
      <c r="F5577" s="31"/>
      <c r="G5577" s="31"/>
      <c r="H5577" s="31"/>
      <c r="I5577" s="56"/>
      <c r="J5577" s="56"/>
      <c r="K5577" s="82" t="str">
        <f t="shared" si="1690"/>
        <v>Credit Memo</v>
      </c>
      <c r="L5577" s="83" t="str">
        <f>"SC_100535"</f>
        <v>SC_100535</v>
      </c>
      <c r="M5577" s="84">
        <v>43172</v>
      </c>
      <c r="N5577" s="85">
        <f t="shared" si="1683"/>
        <v>640</v>
      </c>
      <c r="O5577" s="86">
        <f t="shared" si="1684"/>
        <v>-191.5</v>
      </c>
      <c r="P5577" s="86">
        <f t="shared" si="1685"/>
        <v>0</v>
      </c>
      <c r="Q5577" s="86">
        <f t="shared" si="1686"/>
        <v>0</v>
      </c>
      <c r="R5577" s="86">
        <f t="shared" si="1687"/>
        <v>0</v>
      </c>
      <c r="S5577" s="86">
        <f t="shared" si="1688"/>
        <v>0</v>
      </c>
      <c r="T5577" s="86">
        <f t="shared" si="1689"/>
        <v>-191.5</v>
      </c>
      <c r="U5577" s="87">
        <v>-191.5</v>
      </c>
    </row>
    <row r="5578" spans="1:21" s="30" customFormat="1" ht="24.6" hidden="1" outlineLevel="1" x14ac:dyDescent="0.55000000000000004">
      <c r="A5578" s="27" t="s">
        <v>327</v>
      </c>
      <c r="B5578" s="28"/>
      <c r="C5578" s="27"/>
      <c r="D5578" s="27" t="str">
        <f>"""NAV Direct"",""CRONUS JetCorp USA"",""21"",""1"",""434247"""</f>
        <v>"NAV Direct","CRONUS JetCorp USA","21","1","434247"</v>
      </c>
      <c r="E5578" s="31">
        <f t="shared" si="1681"/>
        <v>0</v>
      </c>
      <c r="F5578" s="31"/>
      <c r="G5578" s="31"/>
      <c r="H5578" s="31"/>
      <c r="I5578" s="56"/>
      <c r="J5578" s="56"/>
      <c r="K5578" s="82" t="str">
        <f t="shared" si="1690"/>
        <v>Credit Memo</v>
      </c>
      <c r="L5578" s="83" t="str">
        <f>"SC_100541"</f>
        <v>SC_100541</v>
      </c>
      <c r="M5578" s="84">
        <v>43289</v>
      </c>
      <c r="N5578" s="85">
        <f t="shared" si="1683"/>
        <v>523</v>
      </c>
      <c r="O5578" s="86">
        <f t="shared" si="1684"/>
        <v>-202.25000000000003</v>
      </c>
      <c r="P5578" s="86">
        <f t="shared" si="1685"/>
        <v>0</v>
      </c>
      <c r="Q5578" s="86">
        <f t="shared" si="1686"/>
        <v>0</v>
      </c>
      <c r="R5578" s="86">
        <f t="shared" si="1687"/>
        <v>0</v>
      </c>
      <c r="S5578" s="86">
        <f t="shared" si="1688"/>
        <v>0</v>
      </c>
      <c r="T5578" s="86">
        <f t="shared" si="1689"/>
        <v>-202.25000000000003</v>
      </c>
      <c r="U5578" s="87">
        <v>-202.25000000000003</v>
      </c>
    </row>
    <row r="5579" spans="1:21" s="30" customFormat="1" ht="24.6" hidden="1" outlineLevel="1" x14ac:dyDescent="0.55000000000000004">
      <c r="A5579" s="27" t="s">
        <v>327</v>
      </c>
      <c r="B5579" s="28"/>
      <c r="C5579" s="27"/>
      <c r="D5579" s="27" t="str">
        <f>"""NAV Direct"",""CRONUS JetCorp USA"",""21"",""1"",""434258"""</f>
        <v>"NAV Direct","CRONUS JetCorp USA","21","1","434258"</v>
      </c>
      <c r="E5579" s="31" t="str">
        <f t="shared" si="1681"/>
        <v>C100145</v>
      </c>
      <c r="F5579" s="31"/>
      <c r="G5579" s="31"/>
      <c r="H5579" s="31"/>
      <c r="I5579" s="56"/>
      <c r="J5579" s="56"/>
      <c r="K5579" s="82" t="str">
        <f t="shared" si="1690"/>
        <v>Credit Memo</v>
      </c>
      <c r="L5579" s="83" t="str">
        <f>"SC_100542"</f>
        <v>SC_100542</v>
      </c>
      <c r="M5579" s="84">
        <v>43294</v>
      </c>
      <c r="N5579" s="85">
        <f t="shared" si="1683"/>
        <v>518</v>
      </c>
      <c r="O5579" s="86">
        <f t="shared" si="1684"/>
        <v>-196.73</v>
      </c>
      <c r="P5579" s="86">
        <f t="shared" si="1685"/>
        <v>0</v>
      </c>
      <c r="Q5579" s="86">
        <f t="shared" si="1686"/>
        <v>0</v>
      </c>
      <c r="R5579" s="86">
        <f t="shared" si="1687"/>
        <v>0</v>
      </c>
      <c r="S5579" s="86">
        <f t="shared" si="1688"/>
        <v>0</v>
      </c>
      <c r="T5579" s="86">
        <f t="shared" si="1689"/>
        <v>-196.73</v>
      </c>
      <c r="U5579" s="87">
        <v>-196.73</v>
      </c>
    </row>
    <row r="5580" spans="1:21" s="30" customFormat="1" ht="24.6" hidden="1" outlineLevel="1" x14ac:dyDescent="0.55000000000000004">
      <c r="A5580" s="27" t="s">
        <v>327</v>
      </c>
      <c r="B5580" s="28"/>
      <c r="C5580" s="27"/>
      <c r="D5580" s="27" t="str">
        <f>"""NAV Direct"",""CRONUS JetCorp USA"",""21"",""1"",""434322"""</f>
        <v>"NAV Direct","CRONUS JetCorp USA","21","1","434322"</v>
      </c>
      <c r="E5580" s="31">
        <f t="shared" si="1681"/>
        <v>0</v>
      </c>
      <c r="F5580" s="31"/>
      <c r="G5580" s="31"/>
      <c r="H5580" s="31"/>
      <c r="I5580" s="56"/>
      <c r="J5580" s="56"/>
      <c r="K5580" s="82" t="str">
        <f t="shared" si="1690"/>
        <v>Credit Memo</v>
      </c>
      <c r="L5580" s="83" t="str">
        <f>"SC_100546"</f>
        <v>SC_100546</v>
      </c>
      <c r="M5580" s="84">
        <v>43391</v>
      </c>
      <c r="N5580" s="85">
        <f t="shared" si="1683"/>
        <v>421</v>
      </c>
      <c r="O5580" s="86">
        <f t="shared" si="1684"/>
        <v>-195.8</v>
      </c>
      <c r="P5580" s="86">
        <f t="shared" si="1685"/>
        <v>0</v>
      </c>
      <c r="Q5580" s="86">
        <f t="shared" si="1686"/>
        <v>0</v>
      </c>
      <c r="R5580" s="86">
        <f t="shared" si="1687"/>
        <v>0</v>
      </c>
      <c r="S5580" s="86">
        <f t="shared" si="1688"/>
        <v>0</v>
      </c>
      <c r="T5580" s="86">
        <f t="shared" si="1689"/>
        <v>-195.8</v>
      </c>
      <c r="U5580" s="87">
        <v>-195.8</v>
      </c>
    </row>
    <row r="5581" spans="1:21" s="30" customFormat="1" ht="24.6" hidden="1" outlineLevel="1" x14ac:dyDescent="0.55000000000000004">
      <c r="A5581" s="27" t="s">
        <v>327</v>
      </c>
      <c r="B5581" s="28"/>
      <c r="C5581" s="27"/>
      <c r="D5581" s="27" t="str">
        <f>"""NAV Direct"",""CRONUS JetCorp USA"",""21"",""1"",""434402"""</f>
        <v>"NAV Direct","CRONUS JetCorp USA","21","1","434402"</v>
      </c>
      <c r="E5581" s="31" t="str">
        <f t="shared" si="1681"/>
        <v>C100145</v>
      </c>
      <c r="F5581" s="31"/>
      <c r="G5581" s="31"/>
      <c r="H5581" s="31"/>
      <c r="I5581" s="56"/>
      <c r="J5581" s="56"/>
      <c r="K5581" s="82" t="str">
        <f t="shared" si="1690"/>
        <v>Credit Memo</v>
      </c>
      <c r="L5581" s="83" t="str">
        <f>"SC_100552"</f>
        <v>SC_100552</v>
      </c>
      <c r="M5581" s="84">
        <v>43565</v>
      </c>
      <c r="N5581" s="85">
        <f t="shared" si="1683"/>
        <v>247</v>
      </c>
      <c r="O5581" s="86">
        <f t="shared" si="1684"/>
        <v>-198.11999999999998</v>
      </c>
      <c r="P5581" s="86">
        <f t="shared" si="1685"/>
        <v>0</v>
      </c>
      <c r="Q5581" s="86">
        <f t="shared" si="1686"/>
        <v>0</v>
      </c>
      <c r="R5581" s="86">
        <f t="shared" si="1687"/>
        <v>0</v>
      </c>
      <c r="S5581" s="86">
        <f t="shared" si="1688"/>
        <v>0</v>
      </c>
      <c r="T5581" s="86">
        <f t="shared" si="1689"/>
        <v>-198.11999999999998</v>
      </c>
      <c r="U5581" s="87">
        <v>-198.11999999999998</v>
      </c>
    </row>
    <row r="5582" spans="1:21" s="30" customFormat="1" ht="24.6" hidden="1" outlineLevel="1" x14ac:dyDescent="0.55000000000000004">
      <c r="A5582" s="27" t="s">
        <v>327</v>
      </c>
      <c r="B5582" s="28"/>
      <c r="C5582" s="27"/>
      <c r="D5582" s="27" t="str">
        <f>"""NAV Direct"",""CRONUS JetCorp USA"",""21"",""1"",""434445"""</f>
        <v>"NAV Direct","CRONUS JetCorp USA","21","1","434445"</v>
      </c>
      <c r="E5582" s="31">
        <f t="shared" si="1681"/>
        <v>0</v>
      </c>
      <c r="F5582" s="31"/>
      <c r="G5582" s="31"/>
      <c r="H5582" s="31"/>
      <c r="I5582" s="56"/>
      <c r="J5582" s="56"/>
      <c r="K5582" s="82" t="str">
        <f t="shared" si="1690"/>
        <v>Credit Memo</v>
      </c>
      <c r="L5582" s="83" t="str">
        <f>"SC_100555"</f>
        <v>SC_100555</v>
      </c>
      <c r="M5582" s="84">
        <v>43664</v>
      </c>
      <c r="N5582" s="85">
        <f t="shared" si="1683"/>
        <v>148</v>
      </c>
      <c r="O5582" s="86">
        <f t="shared" si="1684"/>
        <v>-187.47</v>
      </c>
      <c r="P5582" s="86">
        <f t="shared" si="1685"/>
        <v>0</v>
      </c>
      <c r="Q5582" s="86">
        <f t="shared" si="1686"/>
        <v>0</v>
      </c>
      <c r="R5582" s="86">
        <f t="shared" si="1687"/>
        <v>0</v>
      </c>
      <c r="S5582" s="86">
        <f t="shared" si="1688"/>
        <v>0</v>
      </c>
      <c r="T5582" s="86">
        <f t="shared" si="1689"/>
        <v>-187.47</v>
      </c>
      <c r="U5582" s="87">
        <v>-187.47</v>
      </c>
    </row>
    <row r="5583" spans="1:21" s="30" customFormat="1" ht="24.6" hidden="1" outlineLevel="1" x14ac:dyDescent="0.55000000000000004">
      <c r="A5583" s="27" t="s">
        <v>327</v>
      </c>
      <c r="B5583" s="28"/>
      <c r="C5583" s="27"/>
      <c r="D5583" s="27" t="str">
        <f>"""NAV Direct"",""CRONUS JetCorp USA"",""21"",""1"",""434521"""</f>
        <v>"NAV Direct","CRONUS JetCorp USA","21","1","434521"</v>
      </c>
      <c r="E5583" s="31" t="str">
        <f t="shared" ref="E5583:E5584" si="1691">E5581</f>
        <v>C100145</v>
      </c>
      <c r="F5583" s="31"/>
      <c r="G5583" s="31"/>
      <c r="H5583" s="31"/>
      <c r="I5583" s="56"/>
      <c r="J5583" s="56"/>
      <c r="K5583" s="82" t="str">
        <f t="shared" si="1690"/>
        <v>Credit Memo</v>
      </c>
      <c r="L5583" s="83" t="str">
        <f>"SC_100559"</f>
        <v>SC_100559</v>
      </c>
      <c r="M5583" s="84">
        <v>42017</v>
      </c>
      <c r="N5583" s="85">
        <f t="shared" si="1683"/>
        <v>1795</v>
      </c>
      <c r="O5583" s="86">
        <f t="shared" ref="O5583:O5584" si="1692">SUM(P5583:T5583)</f>
        <v>-200.88000000000002</v>
      </c>
      <c r="P5583" s="86">
        <f t="shared" si="1685"/>
        <v>0</v>
      </c>
      <c r="Q5583" s="86">
        <f t="shared" si="1686"/>
        <v>0</v>
      </c>
      <c r="R5583" s="86">
        <f t="shared" si="1687"/>
        <v>0</v>
      </c>
      <c r="S5583" s="86">
        <f t="shared" si="1688"/>
        <v>0</v>
      </c>
      <c r="T5583" s="86">
        <f t="shared" ref="T5583:T5584" si="1693">IF($M5583&lt;=$T$18,U5583,0)</f>
        <v>-200.88000000000002</v>
      </c>
      <c r="U5583" s="87">
        <v>-200.88000000000002</v>
      </c>
    </row>
    <row r="5584" spans="1:21" s="30" customFormat="1" ht="24.6" hidden="1" outlineLevel="1" x14ac:dyDescent="0.55000000000000004">
      <c r="A5584" s="27" t="s">
        <v>327</v>
      </c>
      <c r="B5584" s="28"/>
      <c r="C5584" s="27"/>
      <c r="D5584" s="27" t="str">
        <f>"""NAV Direct"",""CRONUS JetCorp USA"",""21"",""1"",""434706"""</f>
        <v>"NAV Direct","CRONUS JetCorp USA","21","1","434706"</v>
      </c>
      <c r="E5584" s="31">
        <f t="shared" si="1691"/>
        <v>0</v>
      </c>
      <c r="F5584" s="31"/>
      <c r="G5584" s="31"/>
      <c r="H5584" s="31"/>
      <c r="I5584" s="56"/>
      <c r="J5584" s="56"/>
      <c r="K5584" s="82" t="str">
        <f t="shared" si="1690"/>
        <v>Credit Memo</v>
      </c>
      <c r="L5584" s="83" t="str">
        <f>"SC_100570"</f>
        <v>SC_100570</v>
      </c>
      <c r="M5584" s="84">
        <v>42289</v>
      </c>
      <c r="N5584" s="85">
        <f t="shared" si="1683"/>
        <v>1523</v>
      </c>
      <c r="O5584" s="86">
        <f t="shared" si="1692"/>
        <v>-190.01</v>
      </c>
      <c r="P5584" s="86">
        <f t="shared" si="1685"/>
        <v>0</v>
      </c>
      <c r="Q5584" s="86">
        <f t="shared" si="1686"/>
        <v>0</v>
      </c>
      <c r="R5584" s="86">
        <f t="shared" si="1687"/>
        <v>0</v>
      </c>
      <c r="S5584" s="86">
        <f t="shared" si="1688"/>
        <v>0</v>
      </c>
      <c r="T5584" s="86">
        <f t="shared" si="1693"/>
        <v>-190.01</v>
      </c>
      <c r="U5584" s="87">
        <v>-190.01</v>
      </c>
    </row>
    <row r="5585" spans="1:22" s="22" customFormat="1" ht="20.399999999999999" collapsed="1" x14ac:dyDescent="0.45">
      <c r="A5585" s="12" t="s">
        <v>327</v>
      </c>
      <c r="B5585" s="19"/>
      <c r="C5585" s="12"/>
      <c r="D5585" s="12"/>
      <c r="E5585" s="23"/>
      <c r="F5585" s="23"/>
      <c r="G5585" s="23"/>
      <c r="H5585" s="23"/>
      <c r="I5585" s="49"/>
      <c r="J5585" s="88"/>
      <c r="K5585" s="88"/>
      <c r="L5585" s="89"/>
      <c r="M5585" s="89"/>
      <c r="N5585" s="89"/>
      <c r="O5585" s="89"/>
      <c r="P5585" s="89"/>
      <c r="Q5585" s="90"/>
      <c r="R5585" s="90"/>
      <c r="S5585" s="91"/>
      <c r="T5585" s="92"/>
      <c r="U5585" s="92"/>
    </row>
    <row r="5586" spans="1:22" s="22" customFormat="1" ht="20.399999999999999" x14ac:dyDescent="0.45">
      <c r="A5586" s="12" t="s">
        <v>327</v>
      </c>
      <c r="B5586" s="19"/>
      <c r="C5586" s="12"/>
      <c r="D5586" s="12"/>
      <c r="E5586" s="23"/>
      <c r="F5586" s="23"/>
      <c r="G5586" s="23"/>
      <c r="H5586" s="23"/>
      <c r="I5586" s="49"/>
      <c r="J5586" s="88"/>
      <c r="K5586" s="88"/>
      <c r="L5586" s="89"/>
      <c r="M5586" s="89"/>
      <c r="N5586" s="89"/>
      <c r="O5586" s="89"/>
      <c r="P5586" s="89"/>
      <c r="Q5586" s="90"/>
      <c r="R5586" s="90"/>
      <c r="S5586" s="91"/>
      <c r="T5586" s="92"/>
      <c r="U5586" s="92"/>
    </row>
    <row r="5587" spans="1:22" s="26" customFormat="1" ht="24.6" x14ac:dyDescent="0.55000000000000004">
      <c r="A5587" s="27" t="s">
        <v>327</v>
      </c>
      <c r="B5587" s="28"/>
      <c r="C5587" s="27" t="str">
        <f>"""NAV Direct"",""CRONUS JetCorp USA"",""18"",""1"",""C100146"""</f>
        <v>"NAV Direct","CRONUS JetCorp USA","18","1","C100146"</v>
      </c>
      <c r="D5587" s="27"/>
      <c r="E5587" s="28" t="str">
        <f>H5587</f>
        <v>C100146</v>
      </c>
      <c r="F5587" s="28"/>
      <c r="G5587" s="28"/>
      <c r="H5587" s="28" t="str">
        <f>"C100146"</f>
        <v>C100146</v>
      </c>
      <c r="I5587" s="116" t="str">
        <f>"C100146  -  Soron Kamstrol AG"</f>
        <v>C100146  -  Soron Kamstrol AG</v>
      </c>
      <c r="J5587" s="117" t="str">
        <f>""</f>
        <v/>
      </c>
      <c r="K5587" s="118"/>
      <c r="L5587" s="119">
        <f>SUBTOTAL(3,L5588:L5639)</f>
        <v>48</v>
      </c>
      <c r="M5587" s="118"/>
      <c r="N5587" s="118"/>
      <c r="O5587" s="120">
        <f t="shared" ref="O5587:T5587" si="1694">SUBTOTAL(9,O5588:O5639)</f>
        <v>262901.96999999997</v>
      </c>
      <c r="P5587" s="120">
        <f t="shared" si="1694"/>
        <v>0</v>
      </c>
      <c r="Q5587" s="120">
        <f t="shared" si="1694"/>
        <v>0</v>
      </c>
      <c r="R5587" s="120">
        <f t="shared" si="1694"/>
        <v>6544.59</v>
      </c>
      <c r="S5587" s="120">
        <f t="shared" si="1694"/>
        <v>6329.14</v>
      </c>
      <c r="T5587" s="120">
        <f t="shared" si="1694"/>
        <v>250028.24</v>
      </c>
      <c r="U5587" s="81"/>
    </row>
    <row r="5588" spans="1:22" s="26" customFormat="1" ht="24.6" x14ac:dyDescent="0.55000000000000004">
      <c r="A5588" s="27" t="s">
        <v>327</v>
      </c>
      <c r="B5588" s="28"/>
      <c r="C5588" s="27" t="str">
        <f>C5587</f>
        <v>"NAV Direct","CRONUS JetCorp USA","18","1","C100146"</v>
      </c>
      <c r="D5588" s="27"/>
      <c r="E5588" s="28" t="str">
        <f>E5587</f>
        <v>C100146</v>
      </c>
      <c r="F5588" s="28"/>
      <c r="G5588" s="28"/>
      <c r="H5588" s="28"/>
      <c r="I5588" s="121" t="str">
        <f>"Contact: Annette Walsh"</f>
        <v>Contact: Annette Walsh</v>
      </c>
      <c r="J5588" s="121"/>
      <c r="K5588" s="122"/>
      <c r="L5588" s="123"/>
      <c r="M5588" s="123"/>
      <c r="N5588" s="124"/>
      <c r="O5588" s="124"/>
      <c r="P5588" s="123"/>
      <c r="Q5588" s="125"/>
      <c r="R5588" s="126"/>
      <c r="S5588" s="126"/>
      <c r="T5588" s="125"/>
      <c r="U5588" s="81"/>
    </row>
    <row r="5589" spans="1:22" s="26" customFormat="1" ht="24.6" x14ac:dyDescent="0.55000000000000004">
      <c r="A5589" s="27" t="s">
        <v>327</v>
      </c>
      <c r="B5589" s="28"/>
      <c r="C5589" s="27" t="str">
        <f>C5588</f>
        <v>"NAV Direct","CRONUS JetCorp USA","18","1","C100146"</v>
      </c>
      <c r="D5589" s="27"/>
      <c r="E5589" s="28" t="str">
        <f>E5588</f>
        <v>C100146</v>
      </c>
      <c r="F5589" s="28"/>
      <c r="G5589" s="28"/>
      <c r="H5589" s="28"/>
      <c r="I5589" s="121" t="str">
        <f>"Soron Kamstrol AG@Cronus.com"</f>
        <v>Soron Kamstrol AG@Cronus.com</v>
      </c>
      <c r="J5589" s="121"/>
      <c r="K5589" s="122"/>
      <c r="L5589" s="124"/>
      <c r="M5589" s="124"/>
      <c r="N5589" s="124"/>
      <c r="O5589" s="124"/>
      <c r="P5589" s="123"/>
      <c r="Q5589" s="125"/>
      <c r="R5589" s="126"/>
      <c r="S5589" s="126"/>
      <c r="T5589" s="125"/>
      <c r="U5589" s="81"/>
    </row>
    <row r="5590" spans="1:22" ht="12.75" hidden="1" customHeight="1" outlineLevel="1" x14ac:dyDescent="0.45">
      <c r="A5590" s="12" t="s">
        <v>328</v>
      </c>
      <c r="B5590" s="19"/>
      <c r="E5590" s="19"/>
      <c r="F5590" s="19"/>
      <c r="G5590" s="19"/>
      <c r="H5590" s="19"/>
      <c r="I5590" s="61"/>
      <c r="J5590" s="61"/>
      <c r="K5590" s="61"/>
      <c r="L5590" s="61"/>
      <c r="M5590" s="61"/>
      <c r="N5590" s="61"/>
      <c r="O5590" s="61"/>
      <c r="P5590" s="61"/>
      <c r="Q5590" s="61"/>
      <c r="R5590" s="61"/>
      <c r="S5590" s="61"/>
      <c r="T5590" s="61"/>
      <c r="U5590" s="61"/>
      <c r="V5590" s="21"/>
    </row>
    <row r="5591" spans="1:22" s="30" customFormat="1" ht="24.6" hidden="1" outlineLevel="1" x14ac:dyDescent="0.55000000000000004">
      <c r="A5591" s="27" t="s">
        <v>327</v>
      </c>
      <c r="B5591" s="28"/>
      <c r="C5591" s="27"/>
      <c r="D5591" s="27" t="str">
        <f>"""NAV Direct"",""CRONUS JetCorp USA"",""21"",""1"",""41254"""</f>
        <v>"NAV Direct","CRONUS JetCorp USA","21","1","41254"</v>
      </c>
      <c r="E5591" s="31" t="str">
        <f t="shared" ref="E5591:E5638" si="1695">E5589</f>
        <v>C100146</v>
      </c>
      <c r="F5591" s="31"/>
      <c r="G5591" s="31"/>
      <c r="H5591" s="31"/>
      <c r="I5591" s="56"/>
      <c r="J5591" s="56"/>
      <c r="K5591" s="82" t="str">
        <f t="shared" ref="K5591:K5629" si="1696">"Invoice"</f>
        <v>Invoice</v>
      </c>
      <c r="L5591" s="83" t="str">
        <f>"SI_104916"</f>
        <v>SI_104916</v>
      </c>
      <c r="M5591" s="84">
        <v>42045</v>
      </c>
      <c r="N5591" s="85">
        <f t="shared" ref="N5591:N5638" si="1697">StartDate-$M5591+1</f>
        <v>1767</v>
      </c>
      <c r="O5591" s="86">
        <f t="shared" ref="O5591:O5638" si="1698">SUM(P5591:T5591)</f>
        <v>6872.22</v>
      </c>
      <c r="P5591" s="86">
        <f t="shared" ref="P5591:P5638" si="1699">IF($M5591&gt;=$P$18,U5591,0)</f>
        <v>0</v>
      </c>
      <c r="Q5591" s="86">
        <f t="shared" ref="Q5591:Q5638" si="1700">IF(AND($M5591&gt;=$Q$16,$M5591&lt;=$Q$18),U5591,0)</f>
        <v>0</v>
      </c>
      <c r="R5591" s="86">
        <f t="shared" ref="R5591:R5638" si="1701">IF(AND($M5591&gt;=$R$16,$M5591&lt;=$R$18),U5591,0)</f>
        <v>0</v>
      </c>
      <c r="S5591" s="86">
        <f t="shared" ref="S5591:S5638" si="1702">IF(AND($M5591&gt;=$S$16,$M5591&lt;=$S$18),U5591,0)</f>
        <v>0</v>
      </c>
      <c r="T5591" s="86">
        <f t="shared" ref="T5591:T5638" si="1703">IF($M5591&lt;=$T$18,U5591,0)</f>
        <v>6872.22</v>
      </c>
      <c r="U5591" s="87">
        <v>6872.22</v>
      </c>
    </row>
    <row r="5592" spans="1:22" s="30" customFormat="1" ht="24.6" hidden="1" outlineLevel="1" x14ac:dyDescent="0.55000000000000004">
      <c r="A5592" s="27" t="s">
        <v>327</v>
      </c>
      <c r="B5592" s="28"/>
      <c r="C5592" s="27"/>
      <c r="D5592" s="27" t="str">
        <f>"""NAV Direct"",""CRONUS JetCorp USA"",""21"",""1"",""41269"""</f>
        <v>"NAV Direct","CRONUS JetCorp USA","21","1","41269"</v>
      </c>
      <c r="E5592" s="31">
        <f t="shared" si="1695"/>
        <v>0</v>
      </c>
      <c r="F5592" s="31"/>
      <c r="G5592" s="31"/>
      <c r="H5592" s="31"/>
      <c r="I5592" s="56"/>
      <c r="J5592" s="56"/>
      <c r="K5592" s="82" t="str">
        <f t="shared" si="1696"/>
        <v>Invoice</v>
      </c>
      <c r="L5592" s="83" t="str">
        <f>"SI_104917"</f>
        <v>SI_104917</v>
      </c>
      <c r="M5592" s="84">
        <v>42054</v>
      </c>
      <c r="N5592" s="85">
        <f t="shared" si="1697"/>
        <v>1758</v>
      </c>
      <c r="O5592" s="86">
        <f t="shared" si="1698"/>
        <v>6871.96</v>
      </c>
      <c r="P5592" s="86">
        <f t="shared" si="1699"/>
        <v>0</v>
      </c>
      <c r="Q5592" s="86">
        <f t="shared" si="1700"/>
        <v>0</v>
      </c>
      <c r="R5592" s="86">
        <f t="shared" si="1701"/>
        <v>0</v>
      </c>
      <c r="S5592" s="86">
        <f t="shared" si="1702"/>
        <v>0</v>
      </c>
      <c r="T5592" s="86">
        <f t="shared" si="1703"/>
        <v>6871.96</v>
      </c>
      <c r="U5592" s="87">
        <v>6871.96</v>
      </c>
    </row>
    <row r="5593" spans="1:22" s="30" customFormat="1" ht="24.6" hidden="1" outlineLevel="1" x14ac:dyDescent="0.55000000000000004">
      <c r="A5593" s="27" t="s">
        <v>327</v>
      </c>
      <c r="B5593" s="28"/>
      <c r="C5593" s="27"/>
      <c r="D5593" s="27" t="str">
        <f>"""NAV Direct"",""CRONUS JetCorp USA"",""21"",""1"",""41342"""</f>
        <v>"NAV Direct","CRONUS JetCorp USA","21","1","41342"</v>
      </c>
      <c r="E5593" s="31" t="str">
        <f t="shared" si="1695"/>
        <v>C100146</v>
      </c>
      <c r="F5593" s="31"/>
      <c r="G5593" s="31"/>
      <c r="H5593" s="31"/>
      <c r="I5593" s="56"/>
      <c r="J5593" s="56"/>
      <c r="K5593" s="82" t="str">
        <f t="shared" si="1696"/>
        <v>Invoice</v>
      </c>
      <c r="L5593" s="83" t="str">
        <f>"SI_104920"</f>
        <v>SI_104920</v>
      </c>
      <c r="M5593" s="84">
        <v>42076</v>
      </c>
      <c r="N5593" s="85">
        <f t="shared" si="1697"/>
        <v>1736</v>
      </c>
      <c r="O5593" s="86">
        <f t="shared" si="1698"/>
        <v>6968.0099999999993</v>
      </c>
      <c r="P5593" s="86">
        <f t="shared" si="1699"/>
        <v>0</v>
      </c>
      <c r="Q5593" s="86">
        <f t="shared" si="1700"/>
        <v>0</v>
      </c>
      <c r="R5593" s="86">
        <f t="shared" si="1701"/>
        <v>0</v>
      </c>
      <c r="S5593" s="86">
        <f t="shared" si="1702"/>
        <v>0</v>
      </c>
      <c r="T5593" s="86">
        <f t="shared" si="1703"/>
        <v>6968.0099999999993</v>
      </c>
      <c r="U5593" s="87">
        <v>6968.0099999999993</v>
      </c>
    </row>
    <row r="5594" spans="1:22" s="30" customFormat="1" ht="24.6" hidden="1" outlineLevel="1" x14ac:dyDescent="0.55000000000000004">
      <c r="A5594" s="27" t="s">
        <v>327</v>
      </c>
      <c r="B5594" s="28"/>
      <c r="C5594" s="27"/>
      <c r="D5594" s="27" t="str">
        <f>"""NAV Direct"",""CRONUS JetCorp USA"",""21"",""1"",""41422"""</f>
        <v>"NAV Direct","CRONUS JetCorp USA","21","1","41422"</v>
      </c>
      <c r="E5594" s="31">
        <f t="shared" si="1695"/>
        <v>0</v>
      </c>
      <c r="F5594" s="31"/>
      <c r="G5594" s="31"/>
      <c r="H5594" s="31"/>
      <c r="I5594" s="56"/>
      <c r="J5594" s="56"/>
      <c r="K5594" s="82" t="str">
        <f t="shared" si="1696"/>
        <v>Invoice</v>
      </c>
      <c r="L5594" s="83" t="str">
        <f>"SI_104924"</f>
        <v>SI_104924</v>
      </c>
      <c r="M5594" s="84">
        <v>42118</v>
      </c>
      <c r="N5594" s="85">
        <f t="shared" si="1697"/>
        <v>1694</v>
      </c>
      <c r="O5594" s="86">
        <f t="shared" si="1698"/>
        <v>7054.7300000000005</v>
      </c>
      <c r="P5594" s="86">
        <f t="shared" si="1699"/>
        <v>0</v>
      </c>
      <c r="Q5594" s="86">
        <f t="shared" si="1700"/>
        <v>0</v>
      </c>
      <c r="R5594" s="86">
        <f t="shared" si="1701"/>
        <v>0</v>
      </c>
      <c r="S5594" s="86">
        <f t="shared" si="1702"/>
        <v>0</v>
      </c>
      <c r="T5594" s="86">
        <f t="shared" si="1703"/>
        <v>7054.7300000000005</v>
      </c>
      <c r="U5594" s="87">
        <v>7054.7300000000005</v>
      </c>
    </row>
    <row r="5595" spans="1:22" s="30" customFormat="1" ht="24.6" hidden="1" outlineLevel="1" x14ac:dyDescent="0.55000000000000004">
      <c r="A5595" s="27" t="s">
        <v>327</v>
      </c>
      <c r="B5595" s="28"/>
      <c r="C5595" s="27"/>
      <c r="D5595" s="27" t="str">
        <f>"""NAV Direct"",""CRONUS JetCorp USA"",""21"",""1"",""41447"""</f>
        <v>"NAV Direct","CRONUS JetCorp USA","21","1","41447"</v>
      </c>
      <c r="E5595" s="31" t="str">
        <f t="shared" si="1695"/>
        <v>C100146</v>
      </c>
      <c r="F5595" s="31"/>
      <c r="G5595" s="31"/>
      <c r="H5595" s="31"/>
      <c r="I5595" s="56"/>
      <c r="J5595" s="56"/>
      <c r="K5595" s="82" t="str">
        <f t="shared" si="1696"/>
        <v>Invoice</v>
      </c>
      <c r="L5595" s="83" t="str">
        <f>"SI_104925"</f>
        <v>SI_104925</v>
      </c>
      <c r="M5595" s="84">
        <v>42130</v>
      </c>
      <c r="N5595" s="85">
        <f t="shared" si="1697"/>
        <v>1682</v>
      </c>
      <c r="O5595" s="86">
        <f t="shared" si="1698"/>
        <v>6983.16</v>
      </c>
      <c r="P5595" s="86">
        <f t="shared" si="1699"/>
        <v>0</v>
      </c>
      <c r="Q5595" s="86">
        <f t="shared" si="1700"/>
        <v>0</v>
      </c>
      <c r="R5595" s="86">
        <f t="shared" si="1701"/>
        <v>0</v>
      </c>
      <c r="S5595" s="86">
        <f t="shared" si="1702"/>
        <v>0</v>
      </c>
      <c r="T5595" s="86">
        <f t="shared" si="1703"/>
        <v>6983.16</v>
      </c>
      <c r="U5595" s="87">
        <v>6983.16</v>
      </c>
    </row>
    <row r="5596" spans="1:22" s="30" customFormat="1" ht="24.6" hidden="1" outlineLevel="1" x14ac:dyDescent="0.55000000000000004">
      <c r="A5596" s="27" t="s">
        <v>327</v>
      </c>
      <c r="B5596" s="28"/>
      <c r="C5596" s="27"/>
      <c r="D5596" s="27" t="str">
        <f>"""NAV Direct"",""CRONUS JetCorp USA"",""21"",""1"",""41665"""</f>
        <v>"NAV Direct","CRONUS JetCorp USA","21","1","41665"</v>
      </c>
      <c r="E5596" s="31">
        <f t="shared" si="1695"/>
        <v>0</v>
      </c>
      <c r="F5596" s="31"/>
      <c r="G5596" s="31"/>
      <c r="H5596" s="31"/>
      <c r="I5596" s="56"/>
      <c r="J5596" s="56"/>
      <c r="K5596" s="82" t="str">
        <f t="shared" si="1696"/>
        <v>Invoice</v>
      </c>
      <c r="L5596" s="83" t="str">
        <f>"SI_104935"</f>
        <v>SI_104935</v>
      </c>
      <c r="M5596" s="84">
        <v>42229</v>
      </c>
      <c r="N5596" s="85">
        <f t="shared" si="1697"/>
        <v>1583</v>
      </c>
      <c r="O5596" s="86">
        <f t="shared" si="1698"/>
        <v>7700.1500000000005</v>
      </c>
      <c r="P5596" s="86">
        <f t="shared" si="1699"/>
        <v>0</v>
      </c>
      <c r="Q5596" s="86">
        <f t="shared" si="1700"/>
        <v>0</v>
      </c>
      <c r="R5596" s="86">
        <f t="shared" si="1701"/>
        <v>0</v>
      </c>
      <c r="S5596" s="86">
        <f t="shared" si="1702"/>
        <v>0</v>
      </c>
      <c r="T5596" s="86">
        <f t="shared" si="1703"/>
        <v>7700.1500000000005</v>
      </c>
      <c r="U5596" s="87">
        <v>7700.1500000000005</v>
      </c>
    </row>
    <row r="5597" spans="1:22" s="30" customFormat="1" ht="24.6" hidden="1" outlineLevel="1" x14ac:dyDescent="0.55000000000000004">
      <c r="A5597" s="27" t="s">
        <v>327</v>
      </c>
      <c r="B5597" s="28"/>
      <c r="C5597" s="27"/>
      <c r="D5597" s="27" t="str">
        <f>"""NAV Direct"",""CRONUS JetCorp USA"",""21"",""1"",""41749"""</f>
        <v>"NAV Direct","CRONUS JetCorp USA","21","1","41749"</v>
      </c>
      <c r="E5597" s="31" t="str">
        <f t="shared" si="1695"/>
        <v>C100146</v>
      </c>
      <c r="F5597" s="31"/>
      <c r="G5597" s="31"/>
      <c r="H5597" s="31"/>
      <c r="I5597" s="56"/>
      <c r="J5597" s="56"/>
      <c r="K5597" s="82" t="str">
        <f t="shared" si="1696"/>
        <v>Invoice</v>
      </c>
      <c r="L5597" s="83" t="str">
        <f>"SI_104939"</f>
        <v>SI_104939</v>
      </c>
      <c r="M5597" s="84">
        <v>42258</v>
      </c>
      <c r="N5597" s="85">
        <f t="shared" si="1697"/>
        <v>1554</v>
      </c>
      <c r="O5597" s="86">
        <f t="shared" si="1698"/>
        <v>7904.0599999999995</v>
      </c>
      <c r="P5597" s="86">
        <f t="shared" si="1699"/>
        <v>0</v>
      </c>
      <c r="Q5597" s="86">
        <f t="shared" si="1700"/>
        <v>0</v>
      </c>
      <c r="R5597" s="86">
        <f t="shared" si="1701"/>
        <v>0</v>
      </c>
      <c r="S5597" s="86">
        <f t="shared" si="1702"/>
        <v>0</v>
      </c>
      <c r="T5597" s="86">
        <f t="shared" si="1703"/>
        <v>7904.0599999999995</v>
      </c>
      <c r="U5597" s="87">
        <v>7904.0599999999995</v>
      </c>
    </row>
    <row r="5598" spans="1:22" s="30" customFormat="1" ht="24.6" hidden="1" outlineLevel="1" x14ac:dyDescent="0.55000000000000004">
      <c r="A5598" s="27" t="s">
        <v>327</v>
      </c>
      <c r="B5598" s="28"/>
      <c r="C5598" s="27"/>
      <c r="D5598" s="27" t="str">
        <f>"""NAV Direct"",""CRONUS JetCorp USA"",""21"",""1"",""41778"""</f>
        <v>"NAV Direct","CRONUS JetCorp USA","21","1","41778"</v>
      </c>
      <c r="E5598" s="31">
        <f t="shared" si="1695"/>
        <v>0</v>
      </c>
      <c r="F5598" s="31"/>
      <c r="G5598" s="31"/>
      <c r="H5598" s="31"/>
      <c r="I5598" s="56"/>
      <c r="J5598" s="56"/>
      <c r="K5598" s="82" t="str">
        <f t="shared" si="1696"/>
        <v>Invoice</v>
      </c>
      <c r="L5598" s="83" t="str">
        <f>"SI_104940"</f>
        <v>SI_104940</v>
      </c>
      <c r="M5598" s="84">
        <v>42285</v>
      </c>
      <c r="N5598" s="85">
        <f t="shared" si="1697"/>
        <v>1527</v>
      </c>
      <c r="O5598" s="86">
        <f t="shared" si="1698"/>
        <v>8256.7999999999993</v>
      </c>
      <c r="P5598" s="86">
        <f t="shared" si="1699"/>
        <v>0</v>
      </c>
      <c r="Q5598" s="86">
        <f t="shared" si="1700"/>
        <v>0</v>
      </c>
      <c r="R5598" s="86">
        <f t="shared" si="1701"/>
        <v>0</v>
      </c>
      <c r="S5598" s="86">
        <f t="shared" si="1702"/>
        <v>0</v>
      </c>
      <c r="T5598" s="86">
        <f t="shared" si="1703"/>
        <v>8256.7999999999993</v>
      </c>
      <c r="U5598" s="87">
        <v>8256.7999999999993</v>
      </c>
    </row>
    <row r="5599" spans="1:22" s="30" customFormat="1" ht="24.6" hidden="1" outlineLevel="1" x14ac:dyDescent="0.55000000000000004">
      <c r="A5599" s="27" t="s">
        <v>327</v>
      </c>
      <c r="B5599" s="28"/>
      <c r="C5599" s="27"/>
      <c r="D5599" s="27" t="str">
        <f>"""NAV Direct"",""CRONUS JetCorp USA"",""21"",""1"",""41868"""</f>
        <v>"NAV Direct","CRONUS JetCorp USA","21","1","41868"</v>
      </c>
      <c r="E5599" s="31" t="str">
        <f t="shared" si="1695"/>
        <v>C100146</v>
      </c>
      <c r="F5599" s="31"/>
      <c r="G5599" s="31"/>
      <c r="H5599" s="31"/>
      <c r="I5599" s="56"/>
      <c r="J5599" s="56"/>
      <c r="K5599" s="82" t="str">
        <f t="shared" si="1696"/>
        <v>Invoice</v>
      </c>
      <c r="L5599" s="83" t="str">
        <f>"SI_104944"</f>
        <v>SI_104944</v>
      </c>
      <c r="M5599" s="84">
        <v>42321</v>
      </c>
      <c r="N5599" s="85">
        <f t="shared" si="1697"/>
        <v>1491</v>
      </c>
      <c r="O5599" s="86">
        <f t="shared" si="1698"/>
        <v>8449.9499999999989</v>
      </c>
      <c r="P5599" s="86">
        <f t="shared" si="1699"/>
        <v>0</v>
      </c>
      <c r="Q5599" s="86">
        <f t="shared" si="1700"/>
        <v>0</v>
      </c>
      <c r="R5599" s="86">
        <f t="shared" si="1701"/>
        <v>0</v>
      </c>
      <c r="S5599" s="86">
        <f t="shared" si="1702"/>
        <v>0</v>
      </c>
      <c r="T5599" s="86">
        <f t="shared" si="1703"/>
        <v>8449.9499999999989</v>
      </c>
      <c r="U5599" s="87">
        <v>8449.9499999999989</v>
      </c>
    </row>
    <row r="5600" spans="1:22" s="30" customFormat="1" ht="24.6" hidden="1" outlineLevel="1" x14ac:dyDescent="0.55000000000000004">
      <c r="A5600" s="27" t="s">
        <v>327</v>
      </c>
      <c r="B5600" s="28"/>
      <c r="C5600" s="27"/>
      <c r="D5600" s="27" t="str">
        <f>"""NAV Direct"",""CRONUS JetCorp USA"",""21"",""1"",""41891"""</f>
        <v>"NAV Direct","CRONUS JetCorp USA","21","1","41891"</v>
      </c>
      <c r="E5600" s="31">
        <f t="shared" si="1695"/>
        <v>0</v>
      </c>
      <c r="F5600" s="31"/>
      <c r="G5600" s="31"/>
      <c r="H5600" s="31"/>
      <c r="I5600" s="56"/>
      <c r="J5600" s="56"/>
      <c r="K5600" s="82" t="str">
        <f t="shared" si="1696"/>
        <v>Invoice</v>
      </c>
      <c r="L5600" s="83" t="str">
        <f>"SI_104945"</f>
        <v>SI_104945</v>
      </c>
      <c r="M5600" s="84">
        <v>42333</v>
      </c>
      <c r="N5600" s="85">
        <f t="shared" si="1697"/>
        <v>1479</v>
      </c>
      <c r="O5600" s="86">
        <f t="shared" si="1698"/>
        <v>8537.5300000000007</v>
      </c>
      <c r="P5600" s="86">
        <f t="shared" si="1699"/>
        <v>0</v>
      </c>
      <c r="Q5600" s="86">
        <f t="shared" si="1700"/>
        <v>0</v>
      </c>
      <c r="R5600" s="86">
        <f t="shared" si="1701"/>
        <v>0</v>
      </c>
      <c r="S5600" s="86">
        <f t="shared" si="1702"/>
        <v>0</v>
      </c>
      <c r="T5600" s="86">
        <f t="shared" si="1703"/>
        <v>8537.5300000000007</v>
      </c>
      <c r="U5600" s="87">
        <v>8537.5300000000007</v>
      </c>
    </row>
    <row r="5601" spans="1:21" s="30" customFormat="1" ht="24.6" hidden="1" outlineLevel="1" x14ac:dyDescent="0.55000000000000004">
      <c r="A5601" s="27" t="s">
        <v>327</v>
      </c>
      <c r="B5601" s="28"/>
      <c r="C5601" s="27"/>
      <c r="D5601" s="27" t="str">
        <f>"""NAV Direct"",""CRONUS JetCorp USA"",""21"",""1"",""41966"""</f>
        <v>"NAV Direct","CRONUS JetCorp USA","21","1","41966"</v>
      </c>
      <c r="E5601" s="31" t="str">
        <f t="shared" si="1695"/>
        <v>C100146</v>
      </c>
      <c r="F5601" s="31"/>
      <c r="G5601" s="31"/>
      <c r="H5601" s="31"/>
      <c r="I5601" s="56"/>
      <c r="J5601" s="56"/>
      <c r="K5601" s="82" t="str">
        <f t="shared" si="1696"/>
        <v>Invoice</v>
      </c>
      <c r="L5601" s="83" t="str">
        <f>"SI_104948"</f>
        <v>SI_104948</v>
      </c>
      <c r="M5601" s="84">
        <v>42359</v>
      </c>
      <c r="N5601" s="85">
        <f t="shared" si="1697"/>
        <v>1453</v>
      </c>
      <c r="O5601" s="86">
        <f t="shared" si="1698"/>
        <v>8639.4600000000009</v>
      </c>
      <c r="P5601" s="86">
        <f t="shared" si="1699"/>
        <v>0</v>
      </c>
      <c r="Q5601" s="86">
        <f t="shared" si="1700"/>
        <v>0</v>
      </c>
      <c r="R5601" s="86">
        <f t="shared" si="1701"/>
        <v>0</v>
      </c>
      <c r="S5601" s="86">
        <f t="shared" si="1702"/>
        <v>0</v>
      </c>
      <c r="T5601" s="86">
        <f t="shared" si="1703"/>
        <v>8639.4600000000009</v>
      </c>
      <c r="U5601" s="87">
        <v>8639.4600000000009</v>
      </c>
    </row>
    <row r="5602" spans="1:21" s="30" customFormat="1" ht="24.6" hidden="1" outlineLevel="1" x14ac:dyDescent="0.55000000000000004">
      <c r="A5602" s="27" t="s">
        <v>327</v>
      </c>
      <c r="B5602" s="28"/>
      <c r="C5602" s="27"/>
      <c r="D5602" s="27" t="str">
        <f>"""NAV Direct"",""CRONUS JetCorp USA"",""21"",""1"",""42031"""</f>
        <v>"NAV Direct","CRONUS JetCorp USA","21","1","42031"</v>
      </c>
      <c r="E5602" s="31">
        <f t="shared" si="1695"/>
        <v>0</v>
      </c>
      <c r="F5602" s="31"/>
      <c r="G5602" s="31"/>
      <c r="H5602" s="31"/>
      <c r="I5602" s="56"/>
      <c r="J5602" s="56"/>
      <c r="K5602" s="82" t="str">
        <f t="shared" si="1696"/>
        <v>Invoice</v>
      </c>
      <c r="L5602" s="83" t="str">
        <f>"SI_104951"</f>
        <v>SI_104951</v>
      </c>
      <c r="M5602" s="84">
        <v>42752</v>
      </c>
      <c r="N5602" s="85">
        <f t="shared" si="1697"/>
        <v>1060</v>
      </c>
      <c r="O5602" s="86">
        <f t="shared" si="1698"/>
        <v>8868.1200000000008</v>
      </c>
      <c r="P5602" s="86">
        <f t="shared" si="1699"/>
        <v>0</v>
      </c>
      <c r="Q5602" s="86">
        <f t="shared" si="1700"/>
        <v>0</v>
      </c>
      <c r="R5602" s="86">
        <f t="shared" si="1701"/>
        <v>0</v>
      </c>
      <c r="S5602" s="86">
        <f t="shared" si="1702"/>
        <v>0</v>
      </c>
      <c r="T5602" s="86">
        <f t="shared" si="1703"/>
        <v>8868.1200000000008</v>
      </c>
      <c r="U5602" s="87">
        <v>8868.1200000000008</v>
      </c>
    </row>
    <row r="5603" spans="1:21" s="30" customFormat="1" ht="24.6" hidden="1" outlineLevel="1" x14ac:dyDescent="0.55000000000000004">
      <c r="A5603" s="27" t="s">
        <v>327</v>
      </c>
      <c r="B5603" s="28"/>
      <c r="C5603" s="27"/>
      <c r="D5603" s="27" t="str">
        <f>"""NAV Direct"",""CRONUS JetCorp USA"",""21"",""1"",""332496"""</f>
        <v>"NAV Direct","CRONUS JetCorp USA","21","1","332496"</v>
      </c>
      <c r="E5603" s="31" t="str">
        <f t="shared" si="1695"/>
        <v>C100146</v>
      </c>
      <c r="F5603" s="31"/>
      <c r="G5603" s="31"/>
      <c r="H5603" s="31"/>
      <c r="I5603" s="56"/>
      <c r="J5603" s="56"/>
      <c r="K5603" s="82" t="str">
        <f t="shared" si="1696"/>
        <v>Invoice</v>
      </c>
      <c r="L5603" s="83" t="str">
        <f>"SI_110480"</f>
        <v>SI_110480</v>
      </c>
      <c r="M5603" s="84">
        <v>42474</v>
      </c>
      <c r="N5603" s="85">
        <f t="shared" si="1697"/>
        <v>1338</v>
      </c>
      <c r="O5603" s="86">
        <f t="shared" si="1698"/>
        <v>5844.58</v>
      </c>
      <c r="P5603" s="86">
        <f t="shared" si="1699"/>
        <v>0</v>
      </c>
      <c r="Q5603" s="86">
        <f t="shared" si="1700"/>
        <v>0</v>
      </c>
      <c r="R5603" s="86">
        <f t="shared" si="1701"/>
        <v>0</v>
      </c>
      <c r="S5603" s="86">
        <f t="shared" si="1702"/>
        <v>0</v>
      </c>
      <c r="T5603" s="86">
        <f t="shared" si="1703"/>
        <v>5844.58</v>
      </c>
      <c r="U5603" s="87">
        <v>5844.58</v>
      </c>
    </row>
    <row r="5604" spans="1:21" s="30" customFormat="1" ht="24.6" hidden="1" outlineLevel="1" x14ac:dyDescent="0.55000000000000004">
      <c r="A5604" s="27" t="s">
        <v>327</v>
      </c>
      <c r="B5604" s="28"/>
      <c r="C5604" s="27"/>
      <c r="D5604" s="27" t="str">
        <f>"""NAV Direct"",""CRONUS JetCorp USA"",""21"",""1"",""332781"""</f>
        <v>"NAV Direct","CRONUS JetCorp USA","21","1","332781"</v>
      </c>
      <c r="E5604" s="31">
        <f t="shared" si="1695"/>
        <v>0</v>
      </c>
      <c r="F5604" s="31"/>
      <c r="G5604" s="31"/>
      <c r="H5604" s="31"/>
      <c r="I5604" s="56"/>
      <c r="J5604" s="56"/>
      <c r="K5604" s="82" t="str">
        <f t="shared" si="1696"/>
        <v>Invoice</v>
      </c>
      <c r="L5604" s="83" t="str">
        <f>"SI_110493"</f>
        <v>SI_110493</v>
      </c>
      <c r="M5604" s="84">
        <v>42723</v>
      </c>
      <c r="N5604" s="85">
        <f t="shared" si="1697"/>
        <v>1089</v>
      </c>
      <c r="O5604" s="86">
        <f t="shared" si="1698"/>
        <v>6076.08</v>
      </c>
      <c r="P5604" s="86">
        <f t="shared" si="1699"/>
        <v>0</v>
      </c>
      <c r="Q5604" s="86">
        <f t="shared" si="1700"/>
        <v>0</v>
      </c>
      <c r="R5604" s="86">
        <f t="shared" si="1701"/>
        <v>0</v>
      </c>
      <c r="S5604" s="86">
        <f t="shared" si="1702"/>
        <v>0</v>
      </c>
      <c r="T5604" s="86">
        <f t="shared" si="1703"/>
        <v>6076.08</v>
      </c>
      <c r="U5604" s="87">
        <v>6076.08</v>
      </c>
    </row>
    <row r="5605" spans="1:21" s="30" customFormat="1" ht="24.6" hidden="1" outlineLevel="1" x14ac:dyDescent="0.55000000000000004">
      <c r="A5605" s="27" t="s">
        <v>327</v>
      </c>
      <c r="B5605" s="28"/>
      <c r="C5605" s="27"/>
      <c r="D5605" s="27" t="str">
        <f>"""NAV Direct"",""CRONUS JetCorp USA"",""21"",""1"",""332906"""</f>
        <v>"NAV Direct","CRONUS JetCorp USA","21","1","332906"</v>
      </c>
      <c r="E5605" s="31" t="str">
        <f t="shared" si="1695"/>
        <v>C100146</v>
      </c>
      <c r="F5605" s="31"/>
      <c r="G5605" s="31"/>
      <c r="H5605" s="31"/>
      <c r="I5605" s="56"/>
      <c r="J5605" s="56"/>
      <c r="K5605" s="82" t="str">
        <f t="shared" si="1696"/>
        <v>Invoice</v>
      </c>
      <c r="L5605" s="83" t="str">
        <f>"SI_110498"</f>
        <v>SI_110498</v>
      </c>
      <c r="M5605" s="84">
        <v>42807</v>
      </c>
      <c r="N5605" s="85">
        <f t="shared" si="1697"/>
        <v>1005</v>
      </c>
      <c r="O5605" s="86">
        <f t="shared" si="1698"/>
        <v>6456.7300000000005</v>
      </c>
      <c r="P5605" s="86">
        <f t="shared" si="1699"/>
        <v>0</v>
      </c>
      <c r="Q5605" s="86">
        <f t="shared" si="1700"/>
        <v>0</v>
      </c>
      <c r="R5605" s="86">
        <f t="shared" si="1701"/>
        <v>0</v>
      </c>
      <c r="S5605" s="86">
        <f t="shared" si="1702"/>
        <v>0</v>
      </c>
      <c r="T5605" s="86">
        <f t="shared" si="1703"/>
        <v>6456.7300000000005</v>
      </c>
      <c r="U5605" s="87">
        <v>6456.7300000000005</v>
      </c>
    </row>
    <row r="5606" spans="1:21" s="30" customFormat="1" ht="24.6" hidden="1" outlineLevel="1" x14ac:dyDescent="0.55000000000000004">
      <c r="A5606" s="27" t="s">
        <v>327</v>
      </c>
      <c r="B5606" s="28"/>
      <c r="C5606" s="27"/>
      <c r="D5606" s="27" t="str">
        <f>"""NAV Direct"",""CRONUS JetCorp USA"",""21"",""1"",""332954"""</f>
        <v>"NAV Direct","CRONUS JetCorp USA","21","1","332954"</v>
      </c>
      <c r="E5606" s="31">
        <f t="shared" si="1695"/>
        <v>0</v>
      </c>
      <c r="F5606" s="31"/>
      <c r="G5606" s="31"/>
      <c r="H5606" s="31"/>
      <c r="I5606" s="56"/>
      <c r="J5606" s="56"/>
      <c r="K5606" s="82" t="str">
        <f t="shared" si="1696"/>
        <v>Invoice</v>
      </c>
      <c r="L5606" s="83" t="str">
        <f>"SI_110500"</f>
        <v>SI_110500</v>
      </c>
      <c r="M5606" s="84">
        <v>42838</v>
      </c>
      <c r="N5606" s="85">
        <f t="shared" si="1697"/>
        <v>974</v>
      </c>
      <c r="O5606" s="86">
        <f t="shared" si="1698"/>
        <v>6153.42</v>
      </c>
      <c r="P5606" s="86">
        <f t="shared" si="1699"/>
        <v>0</v>
      </c>
      <c r="Q5606" s="86">
        <f t="shared" si="1700"/>
        <v>0</v>
      </c>
      <c r="R5606" s="86">
        <f t="shared" si="1701"/>
        <v>0</v>
      </c>
      <c r="S5606" s="86">
        <f t="shared" si="1702"/>
        <v>0</v>
      </c>
      <c r="T5606" s="86">
        <f t="shared" si="1703"/>
        <v>6153.42</v>
      </c>
      <c r="U5606" s="87">
        <v>6153.42</v>
      </c>
    </row>
    <row r="5607" spans="1:21" s="30" customFormat="1" ht="24.6" hidden="1" outlineLevel="1" x14ac:dyDescent="0.55000000000000004">
      <c r="A5607" s="27" t="s">
        <v>327</v>
      </c>
      <c r="B5607" s="28"/>
      <c r="C5607" s="27"/>
      <c r="D5607" s="27" t="str">
        <f>"""NAV Direct"",""CRONUS JetCorp USA"",""21"",""1"",""332977"""</f>
        <v>"NAV Direct","CRONUS JetCorp USA","21","1","332977"</v>
      </c>
      <c r="E5607" s="31" t="str">
        <f t="shared" si="1695"/>
        <v>C100146</v>
      </c>
      <c r="F5607" s="31"/>
      <c r="G5607" s="31"/>
      <c r="H5607" s="31"/>
      <c r="I5607" s="56"/>
      <c r="J5607" s="56"/>
      <c r="K5607" s="82" t="str">
        <f t="shared" si="1696"/>
        <v>Invoice</v>
      </c>
      <c r="L5607" s="83" t="str">
        <f>"SI_110501"</f>
        <v>SI_110501</v>
      </c>
      <c r="M5607" s="84">
        <v>42857</v>
      </c>
      <c r="N5607" s="85">
        <f t="shared" si="1697"/>
        <v>955</v>
      </c>
      <c r="O5607" s="86">
        <f t="shared" si="1698"/>
        <v>6412.07</v>
      </c>
      <c r="P5607" s="86">
        <f t="shared" si="1699"/>
        <v>0</v>
      </c>
      <c r="Q5607" s="86">
        <f t="shared" si="1700"/>
        <v>0</v>
      </c>
      <c r="R5607" s="86">
        <f t="shared" si="1701"/>
        <v>0</v>
      </c>
      <c r="S5607" s="86">
        <f t="shared" si="1702"/>
        <v>0</v>
      </c>
      <c r="T5607" s="86">
        <f t="shared" si="1703"/>
        <v>6412.07</v>
      </c>
      <c r="U5607" s="87">
        <v>6412.07</v>
      </c>
    </row>
    <row r="5608" spans="1:21" s="30" customFormat="1" ht="24.6" hidden="1" outlineLevel="1" x14ac:dyDescent="0.55000000000000004">
      <c r="A5608" s="27" t="s">
        <v>327</v>
      </c>
      <c r="B5608" s="28"/>
      <c r="C5608" s="27"/>
      <c r="D5608" s="27" t="str">
        <f>"""NAV Direct"",""CRONUS JetCorp USA"",""21"",""1"",""333100"""</f>
        <v>"NAV Direct","CRONUS JetCorp USA","21","1","333100"</v>
      </c>
      <c r="E5608" s="31">
        <f t="shared" si="1695"/>
        <v>0</v>
      </c>
      <c r="F5608" s="31"/>
      <c r="G5608" s="31"/>
      <c r="H5608" s="31"/>
      <c r="I5608" s="56"/>
      <c r="J5608" s="56"/>
      <c r="K5608" s="82" t="str">
        <f t="shared" si="1696"/>
        <v>Invoice</v>
      </c>
      <c r="L5608" s="83" t="str">
        <f>"SI_110506"</f>
        <v>SI_110506</v>
      </c>
      <c r="M5608" s="84">
        <v>42942</v>
      </c>
      <c r="N5608" s="85">
        <f t="shared" si="1697"/>
        <v>870</v>
      </c>
      <c r="O5608" s="86">
        <f t="shared" si="1698"/>
        <v>6373.44</v>
      </c>
      <c r="P5608" s="86">
        <f t="shared" si="1699"/>
        <v>0</v>
      </c>
      <c r="Q5608" s="86">
        <f t="shared" si="1700"/>
        <v>0</v>
      </c>
      <c r="R5608" s="86">
        <f t="shared" si="1701"/>
        <v>0</v>
      </c>
      <c r="S5608" s="86">
        <f t="shared" si="1702"/>
        <v>0</v>
      </c>
      <c r="T5608" s="86">
        <f t="shared" si="1703"/>
        <v>6373.44</v>
      </c>
      <c r="U5608" s="87">
        <v>6373.44</v>
      </c>
    </row>
    <row r="5609" spans="1:21" s="30" customFormat="1" ht="24.6" hidden="1" outlineLevel="1" x14ac:dyDescent="0.55000000000000004">
      <c r="A5609" s="27" t="s">
        <v>327</v>
      </c>
      <c r="B5609" s="28"/>
      <c r="C5609" s="27"/>
      <c r="D5609" s="27" t="str">
        <f>"""NAV Direct"",""CRONUS JetCorp USA"",""21"",""1"",""333150"""</f>
        <v>"NAV Direct","CRONUS JetCorp USA","21","1","333150"</v>
      </c>
      <c r="E5609" s="31" t="str">
        <f t="shared" si="1695"/>
        <v>C100146</v>
      </c>
      <c r="F5609" s="31"/>
      <c r="G5609" s="31"/>
      <c r="H5609" s="31"/>
      <c r="I5609" s="56"/>
      <c r="J5609" s="56"/>
      <c r="K5609" s="82" t="str">
        <f t="shared" si="1696"/>
        <v>Invoice</v>
      </c>
      <c r="L5609" s="83" t="str">
        <f>"SI_110508"</f>
        <v>SI_110508</v>
      </c>
      <c r="M5609" s="84">
        <v>42965</v>
      </c>
      <c r="N5609" s="85">
        <f t="shared" si="1697"/>
        <v>847</v>
      </c>
      <c r="O5609" s="86">
        <f t="shared" si="1698"/>
        <v>6425.5399999999991</v>
      </c>
      <c r="P5609" s="86">
        <f t="shared" si="1699"/>
        <v>0</v>
      </c>
      <c r="Q5609" s="86">
        <f t="shared" si="1700"/>
        <v>0</v>
      </c>
      <c r="R5609" s="86">
        <f t="shared" si="1701"/>
        <v>0</v>
      </c>
      <c r="S5609" s="86">
        <f t="shared" si="1702"/>
        <v>0</v>
      </c>
      <c r="T5609" s="86">
        <f t="shared" si="1703"/>
        <v>6425.5399999999991</v>
      </c>
      <c r="U5609" s="87">
        <v>6425.5399999999991</v>
      </c>
    </row>
    <row r="5610" spans="1:21" s="30" customFormat="1" ht="24.6" hidden="1" outlineLevel="1" x14ac:dyDescent="0.55000000000000004">
      <c r="A5610" s="27" t="s">
        <v>327</v>
      </c>
      <c r="B5610" s="28"/>
      <c r="C5610" s="27"/>
      <c r="D5610" s="27" t="str">
        <f>"""NAV Direct"",""CRONUS JetCorp USA"",""21"",""1"",""333169"""</f>
        <v>"NAV Direct","CRONUS JetCorp USA","21","1","333169"</v>
      </c>
      <c r="E5610" s="31">
        <f t="shared" si="1695"/>
        <v>0</v>
      </c>
      <c r="F5610" s="31"/>
      <c r="G5610" s="31"/>
      <c r="H5610" s="31"/>
      <c r="I5610" s="56"/>
      <c r="J5610" s="56"/>
      <c r="K5610" s="82" t="str">
        <f t="shared" si="1696"/>
        <v>Invoice</v>
      </c>
      <c r="L5610" s="83" t="str">
        <f>"SI_110509"</f>
        <v>SI_110509</v>
      </c>
      <c r="M5610" s="84">
        <v>42995</v>
      </c>
      <c r="N5610" s="85">
        <f t="shared" si="1697"/>
        <v>817</v>
      </c>
      <c r="O5610" s="86">
        <f t="shared" si="1698"/>
        <v>5926.8499999999995</v>
      </c>
      <c r="P5610" s="86">
        <f t="shared" si="1699"/>
        <v>0</v>
      </c>
      <c r="Q5610" s="86">
        <f t="shared" si="1700"/>
        <v>0</v>
      </c>
      <c r="R5610" s="86">
        <f t="shared" si="1701"/>
        <v>0</v>
      </c>
      <c r="S5610" s="86">
        <f t="shared" si="1702"/>
        <v>0</v>
      </c>
      <c r="T5610" s="86">
        <f t="shared" si="1703"/>
        <v>5926.8499999999995</v>
      </c>
      <c r="U5610" s="87">
        <v>5926.8499999999995</v>
      </c>
    </row>
    <row r="5611" spans="1:21" s="30" customFormat="1" ht="24.6" hidden="1" outlineLevel="1" x14ac:dyDescent="0.55000000000000004">
      <c r="A5611" s="27" t="s">
        <v>327</v>
      </c>
      <c r="B5611" s="28"/>
      <c r="C5611" s="27"/>
      <c r="D5611" s="27" t="str">
        <f>"""NAV Direct"",""CRONUS JetCorp USA"",""21"",""1"",""333253"""</f>
        <v>"NAV Direct","CRONUS JetCorp USA","21","1","333253"</v>
      </c>
      <c r="E5611" s="31" t="str">
        <f t="shared" si="1695"/>
        <v>C100146</v>
      </c>
      <c r="F5611" s="31"/>
      <c r="G5611" s="31"/>
      <c r="H5611" s="31"/>
      <c r="I5611" s="56"/>
      <c r="J5611" s="56"/>
      <c r="K5611" s="82" t="str">
        <f t="shared" si="1696"/>
        <v>Invoice</v>
      </c>
      <c r="L5611" s="83" t="str">
        <f>"SI_110513"</f>
        <v>SI_110513</v>
      </c>
      <c r="M5611" s="84">
        <v>43050</v>
      </c>
      <c r="N5611" s="85">
        <f t="shared" si="1697"/>
        <v>762</v>
      </c>
      <c r="O5611" s="86">
        <f t="shared" si="1698"/>
        <v>4885.58</v>
      </c>
      <c r="P5611" s="86">
        <f t="shared" si="1699"/>
        <v>0</v>
      </c>
      <c r="Q5611" s="86">
        <f t="shared" si="1700"/>
        <v>0</v>
      </c>
      <c r="R5611" s="86">
        <f t="shared" si="1701"/>
        <v>0</v>
      </c>
      <c r="S5611" s="86">
        <f t="shared" si="1702"/>
        <v>0</v>
      </c>
      <c r="T5611" s="86">
        <f t="shared" si="1703"/>
        <v>4885.58</v>
      </c>
      <c r="U5611" s="87">
        <v>4885.58</v>
      </c>
    </row>
    <row r="5612" spans="1:21" s="30" customFormat="1" ht="24.6" hidden="1" outlineLevel="1" x14ac:dyDescent="0.55000000000000004">
      <c r="A5612" s="27" t="s">
        <v>327</v>
      </c>
      <c r="B5612" s="28"/>
      <c r="C5612" s="27"/>
      <c r="D5612" s="27" t="str">
        <f>"""NAV Direct"",""CRONUS JetCorp USA"",""21"",""1"",""333352"""</f>
        <v>"NAV Direct","CRONUS JetCorp USA","21","1","333352"</v>
      </c>
      <c r="E5612" s="31">
        <f t="shared" si="1695"/>
        <v>0</v>
      </c>
      <c r="F5612" s="31"/>
      <c r="G5612" s="31"/>
      <c r="H5612" s="31"/>
      <c r="I5612" s="56"/>
      <c r="J5612" s="56"/>
      <c r="K5612" s="82" t="str">
        <f t="shared" si="1696"/>
        <v>Invoice</v>
      </c>
      <c r="L5612" s="83" t="str">
        <f>"SI_110518"</f>
        <v>SI_110518</v>
      </c>
      <c r="M5612" s="84">
        <v>43148</v>
      </c>
      <c r="N5612" s="85">
        <f t="shared" si="1697"/>
        <v>664</v>
      </c>
      <c r="O5612" s="86">
        <f t="shared" si="1698"/>
        <v>4891.58</v>
      </c>
      <c r="P5612" s="86">
        <f t="shared" si="1699"/>
        <v>0</v>
      </c>
      <c r="Q5612" s="86">
        <f t="shared" si="1700"/>
        <v>0</v>
      </c>
      <c r="R5612" s="86">
        <f t="shared" si="1701"/>
        <v>0</v>
      </c>
      <c r="S5612" s="86">
        <f t="shared" si="1702"/>
        <v>0</v>
      </c>
      <c r="T5612" s="86">
        <f t="shared" si="1703"/>
        <v>4891.58</v>
      </c>
      <c r="U5612" s="87">
        <v>4891.58</v>
      </c>
    </row>
    <row r="5613" spans="1:21" s="30" customFormat="1" ht="24.6" hidden="1" outlineLevel="1" x14ac:dyDescent="0.55000000000000004">
      <c r="A5613" s="27" t="s">
        <v>327</v>
      </c>
      <c r="B5613" s="28"/>
      <c r="C5613" s="27"/>
      <c r="D5613" s="27" t="str">
        <f>"""NAV Direct"",""CRONUS JetCorp USA"",""21"",""1"",""333417"""</f>
        <v>"NAV Direct","CRONUS JetCorp USA","21","1","333417"</v>
      </c>
      <c r="E5613" s="31" t="str">
        <f t="shared" si="1695"/>
        <v>C100146</v>
      </c>
      <c r="F5613" s="31"/>
      <c r="G5613" s="31"/>
      <c r="H5613" s="31"/>
      <c r="I5613" s="56"/>
      <c r="J5613" s="56"/>
      <c r="K5613" s="82" t="str">
        <f t="shared" si="1696"/>
        <v>Invoice</v>
      </c>
      <c r="L5613" s="83" t="str">
        <f>"SI_110521"</f>
        <v>SI_110521</v>
      </c>
      <c r="M5613" s="84">
        <v>43201</v>
      </c>
      <c r="N5613" s="85">
        <f t="shared" si="1697"/>
        <v>611</v>
      </c>
      <c r="O5613" s="86">
        <f t="shared" si="1698"/>
        <v>4666.04</v>
      </c>
      <c r="P5613" s="86">
        <f t="shared" si="1699"/>
        <v>0</v>
      </c>
      <c r="Q5613" s="86">
        <f t="shared" si="1700"/>
        <v>0</v>
      </c>
      <c r="R5613" s="86">
        <f t="shared" si="1701"/>
        <v>0</v>
      </c>
      <c r="S5613" s="86">
        <f t="shared" si="1702"/>
        <v>0</v>
      </c>
      <c r="T5613" s="86">
        <f t="shared" si="1703"/>
        <v>4666.04</v>
      </c>
      <c r="U5613" s="87">
        <v>4666.04</v>
      </c>
    </row>
    <row r="5614" spans="1:21" s="30" customFormat="1" ht="24.6" hidden="1" outlineLevel="1" x14ac:dyDescent="0.55000000000000004">
      <c r="A5614" s="27" t="s">
        <v>327</v>
      </c>
      <c r="B5614" s="28"/>
      <c r="C5614" s="27"/>
      <c r="D5614" s="27" t="str">
        <f>"""NAV Direct"",""CRONUS JetCorp USA"",""21"",""1"",""333570"""</f>
        <v>"NAV Direct","CRONUS JetCorp USA","21","1","333570"</v>
      </c>
      <c r="E5614" s="31">
        <f t="shared" si="1695"/>
        <v>0</v>
      </c>
      <c r="F5614" s="31"/>
      <c r="G5614" s="31"/>
      <c r="H5614" s="31"/>
      <c r="I5614" s="56"/>
      <c r="J5614" s="56"/>
      <c r="K5614" s="82" t="str">
        <f t="shared" si="1696"/>
        <v>Invoice</v>
      </c>
      <c r="L5614" s="83" t="str">
        <f>"SI_110528"</f>
        <v>SI_110528</v>
      </c>
      <c r="M5614" s="84">
        <v>43441</v>
      </c>
      <c r="N5614" s="85">
        <f t="shared" si="1697"/>
        <v>371</v>
      </c>
      <c r="O5614" s="86">
        <f t="shared" si="1698"/>
        <v>5153.5700000000006</v>
      </c>
      <c r="P5614" s="86">
        <f t="shared" si="1699"/>
        <v>0</v>
      </c>
      <c r="Q5614" s="86">
        <f t="shared" si="1700"/>
        <v>0</v>
      </c>
      <c r="R5614" s="86">
        <f t="shared" si="1701"/>
        <v>0</v>
      </c>
      <c r="S5614" s="86">
        <f t="shared" si="1702"/>
        <v>0</v>
      </c>
      <c r="T5614" s="86">
        <f t="shared" si="1703"/>
        <v>5153.5700000000006</v>
      </c>
      <c r="U5614" s="87">
        <v>5153.5700000000006</v>
      </c>
    </row>
    <row r="5615" spans="1:21" s="30" customFormat="1" ht="24.6" hidden="1" outlineLevel="1" x14ac:dyDescent="0.55000000000000004">
      <c r="A5615" s="27" t="s">
        <v>327</v>
      </c>
      <c r="B5615" s="28"/>
      <c r="C5615" s="27"/>
      <c r="D5615" s="27" t="str">
        <f>"""NAV Direct"",""CRONUS JetCorp USA"",""21"",""1"",""333587"""</f>
        <v>"NAV Direct","CRONUS JetCorp USA","21","1","333587"</v>
      </c>
      <c r="E5615" s="31" t="str">
        <f t="shared" si="1695"/>
        <v>C100146</v>
      </c>
      <c r="F5615" s="31"/>
      <c r="G5615" s="31"/>
      <c r="H5615" s="31"/>
      <c r="I5615" s="56"/>
      <c r="J5615" s="56"/>
      <c r="K5615" s="82" t="str">
        <f t="shared" si="1696"/>
        <v>Invoice</v>
      </c>
      <c r="L5615" s="83" t="str">
        <f>"SI_110529"</f>
        <v>SI_110529</v>
      </c>
      <c r="M5615" s="84">
        <v>43441</v>
      </c>
      <c r="N5615" s="85">
        <f t="shared" si="1697"/>
        <v>371</v>
      </c>
      <c r="O5615" s="86">
        <f t="shared" si="1698"/>
        <v>4991.84</v>
      </c>
      <c r="P5615" s="86">
        <f t="shared" si="1699"/>
        <v>0</v>
      </c>
      <c r="Q5615" s="86">
        <f t="shared" si="1700"/>
        <v>0</v>
      </c>
      <c r="R5615" s="86">
        <f t="shared" si="1701"/>
        <v>0</v>
      </c>
      <c r="S5615" s="86">
        <f t="shared" si="1702"/>
        <v>0</v>
      </c>
      <c r="T5615" s="86">
        <f t="shared" si="1703"/>
        <v>4991.84</v>
      </c>
      <c r="U5615" s="87">
        <v>4991.84</v>
      </c>
    </row>
    <row r="5616" spans="1:21" s="30" customFormat="1" ht="24.6" hidden="1" outlineLevel="1" x14ac:dyDescent="0.55000000000000004">
      <c r="A5616" s="27" t="s">
        <v>327</v>
      </c>
      <c r="B5616" s="28"/>
      <c r="C5616" s="27"/>
      <c r="D5616" s="27" t="str">
        <f>"""NAV Direct"",""CRONUS JetCorp USA"",""21"",""1"",""333746"""</f>
        <v>"NAV Direct","CRONUS JetCorp USA","21","1","333746"</v>
      </c>
      <c r="E5616" s="31">
        <f t="shared" si="1695"/>
        <v>0</v>
      </c>
      <c r="F5616" s="31"/>
      <c r="G5616" s="31"/>
      <c r="H5616" s="31"/>
      <c r="I5616" s="56"/>
      <c r="J5616" s="56"/>
      <c r="K5616" s="82" t="str">
        <f t="shared" si="1696"/>
        <v>Invoice</v>
      </c>
      <c r="L5616" s="83" t="str">
        <f>"SI_110536"</f>
        <v>SI_110536</v>
      </c>
      <c r="M5616" s="84">
        <v>43537</v>
      </c>
      <c r="N5616" s="85">
        <f t="shared" si="1697"/>
        <v>275</v>
      </c>
      <c r="O5616" s="86">
        <f t="shared" si="1698"/>
        <v>5592.43</v>
      </c>
      <c r="P5616" s="86">
        <f t="shared" si="1699"/>
        <v>0</v>
      </c>
      <c r="Q5616" s="86">
        <f t="shared" si="1700"/>
        <v>0</v>
      </c>
      <c r="R5616" s="86">
        <f t="shared" si="1701"/>
        <v>0</v>
      </c>
      <c r="S5616" s="86">
        <f t="shared" si="1702"/>
        <v>0</v>
      </c>
      <c r="T5616" s="86">
        <f t="shared" si="1703"/>
        <v>5592.43</v>
      </c>
      <c r="U5616" s="87">
        <v>5592.43</v>
      </c>
    </row>
    <row r="5617" spans="1:21" s="30" customFormat="1" ht="24.6" hidden="1" outlineLevel="1" x14ac:dyDescent="0.55000000000000004">
      <c r="A5617" s="27" t="s">
        <v>327</v>
      </c>
      <c r="B5617" s="28"/>
      <c r="C5617" s="27"/>
      <c r="D5617" s="27" t="str">
        <f>"""NAV Direct"",""CRONUS JetCorp USA"",""21"",""1"",""333786"""</f>
        <v>"NAV Direct","CRONUS JetCorp USA","21","1","333786"</v>
      </c>
      <c r="E5617" s="31" t="str">
        <f t="shared" si="1695"/>
        <v>C100146</v>
      </c>
      <c r="F5617" s="31"/>
      <c r="G5617" s="31"/>
      <c r="H5617" s="31"/>
      <c r="I5617" s="56"/>
      <c r="J5617" s="56"/>
      <c r="K5617" s="82" t="str">
        <f t="shared" si="1696"/>
        <v>Invoice</v>
      </c>
      <c r="L5617" s="83" t="str">
        <f>"SI_110538"</f>
        <v>SI_110538</v>
      </c>
      <c r="M5617" s="84">
        <v>43560</v>
      </c>
      <c r="N5617" s="85">
        <f t="shared" si="1697"/>
        <v>252</v>
      </c>
      <c r="O5617" s="86">
        <f t="shared" si="1698"/>
        <v>5695.91</v>
      </c>
      <c r="P5617" s="86">
        <f t="shared" si="1699"/>
        <v>0</v>
      </c>
      <c r="Q5617" s="86">
        <f t="shared" si="1700"/>
        <v>0</v>
      </c>
      <c r="R5617" s="86">
        <f t="shared" si="1701"/>
        <v>0</v>
      </c>
      <c r="S5617" s="86">
        <f t="shared" si="1702"/>
        <v>0</v>
      </c>
      <c r="T5617" s="86">
        <f t="shared" si="1703"/>
        <v>5695.91</v>
      </c>
      <c r="U5617" s="87">
        <v>5695.91</v>
      </c>
    </row>
    <row r="5618" spans="1:21" s="30" customFormat="1" ht="24.6" hidden="1" outlineLevel="1" x14ac:dyDescent="0.55000000000000004">
      <c r="A5618" s="27" t="s">
        <v>327</v>
      </c>
      <c r="B5618" s="28"/>
      <c r="C5618" s="27"/>
      <c r="D5618" s="27" t="str">
        <f>"""NAV Direct"",""CRONUS JetCorp USA"",""21"",""1"",""333822"""</f>
        <v>"NAV Direct","CRONUS JetCorp USA","21","1","333822"</v>
      </c>
      <c r="E5618" s="31">
        <f t="shared" si="1695"/>
        <v>0</v>
      </c>
      <c r="F5618" s="31"/>
      <c r="G5618" s="31"/>
      <c r="H5618" s="31"/>
      <c r="I5618" s="56"/>
      <c r="J5618" s="56"/>
      <c r="K5618" s="82" t="str">
        <f t="shared" si="1696"/>
        <v>Invoice</v>
      </c>
      <c r="L5618" s="83" t="str">
        <f>"SI_110540"</f>
        <v>SI_110540</v>
      </c>
      <c r="M5618" s="84">
        <v>43574</v>
      </c>
      <c r="N5618" s="85">
        <f t="shared" si="1697"/>
        <v>238</v>
      </c>
      <c r="O5618" s="86">
        <f t="shared" si="1698"/>
        <v>5814.94</v>
      </c>
      <c r="P5618" s="86">
        <f t="shared" si="1699"/>
        <v>0</v>
      </c>
      <c r="Q5618" s="86">
        <f t="shared" si="1700"/>
        <v>0</v>
      </c>
      <c r="R5618" s="86">
        <f t="shared" si="1701"/>
        <v>0</v>
      </c>
      <c r="S5618" s="86">
        <f t="shared" si="1702"/>
        <v>0</v>
      </c>
      <c r="T5618" s="86">
        <f t="shared" si="1703"/>
        <v>5814.94</v>
      </c>
      <c r="U5618" s="87">
        <v>5814.94</v>
      </c>
    </row>
    <row r="5619" spans="1:21" s="30" customFormat="1" ht="24.6" hidden="1" outlineLevel="1" x14ac:dyDescent="0.55000000000000004">
      <c r="A5619" s="27" t="s">
        <v>327</v>
      </c>
      <c r="B5619" s="28"/>
      <c r="C5619" s="27"/>
      <c r="D5619" s="27" t="str">
        <f>"""NAV Direct"",""CRONUS JetCorp USA"",""21"",""1"",""333868"""</f>
        <v>"NAV Direct","CRONUS JetCorp USA","21","1","333868"</v>
      </c>
      <c r="E5619" s="31" t="str">
        <f t="shared" si="1695"/>
        <v>C100146</v>
      </c>
      <c r="F5619" s="31"/>
      <c r="G5619" s="31"/>
      <c r="H5619" s="31"/>
      <c r="I5619" s="56"/>
      <c r="J5619" s="56"/>
      <c r="K5619" s="82" t="str">
        <f t="shared" si="1696"/>
        <v>Invoice</v>
      </c>
      <c r="L5619" s="83" t="str">
        <f>"SI_110542"</f>
        <v>SI_110542</v>
      </c>
      <c r="M5619" s="84">
        <v>43629</v>
      </c>
      <c r="N5619" s="85">
        <f t="shared" si="1697"/>
        <v>183</v>
      </c>
      <c r="O5619" s="86">
        <f t="shared" si="1698"/>
        <v>5695.0499999999993</v>
      </c>
      <c r="P5619" s="86">
        <f t="shared" si="1699"/>
        <v>0</v>
      </c>
      <c r="Q5619" s="86">
        <f t="shared" si="1700"/>
        <v>0</v>
      </c>
      <c r="R5619" s="86">
        <f t="shared" si="1701"/>
        <v>0</v>
      </c>
      <c r="S5619" s="86">
        <f t="shared" si="1702"/>
        <v>0</v>
      </c>
      <c r="T5619" s="86">
        <f t="shared" si="1703"/>
        <v>5695.0499999999993</v>
      </c>
      <c r="U5619" s="87">
        <v>5695.0499999999993</v>
      </c>
    </row>
    <row r="5620" spans="1:21" s="30" customFormat="1" ht="24.6" hidden="1" outlineLevel="1" x14ac:dyDescent="0.55000000000000004">
      <c r="A5620" s="27" t="s">
        <v>327</v>
      </c>
      <c r="B5620" s="28"/>
      <c r="C5620" s="27"/>
      <c r="D5620" s="27" t="str">
        <f>"""NAV Direct"",""CRONUS JetCorp USA"",""21"",""1"",""333986"""</f>
        <v>"NAV Direct","CRONUS JetCorp USA","21","1","333986"</v>
      </c>
      <c r="E5620" s="31">
        <f t="shared" si="1695"/>
        <v>0</v>
      </c>
      <c r="F5620" s="31"/>
      <c r="G5620" s="31"/>
      <c r="H5620" s="31"/>
      <c r="I5620" s="56"/>
      <c r="J5620" s="56"/>
      <c r="K5620" s="82" t="str">
        <f t="shared" si="1696"/>
        <v>Invoice</v>
      </c>
      <c r="L5620" s="83" t="str">
        <f>"SI_110548"</f>
        <v>SI_110548</v>
      </c>
      <c r="M5620" s="84">
        <v>43722</v>
      </c>
      <c r="N5620" s="85">
        <f t="shared" si="1697"/>
        <v>90</v>
      </c>
      <c r="O5620" s="86">
        <f t="shared" si="1698"/>
        <v>6329.14</v>
      </c>
      <c r="P5620" s="86">
        <f t="shared" si="1699"/>
        <v>0</v>
      </c>
      <c r="Q5620" s="86">
        <f t="shared" si="1700"/>
        <v>0</v>
      </c>
      <c r="R5620" s="86">
        <f t="shared" si="1701"/>
        <v>0</v>
      </c>
      <c r="S5620" s="86">
        <f t="shared" si="1702"/>
        <v>6329.14</v>
      </c>
      <c r="T5620" s="86">
        <f t="shared" si="1703"/>
        <v>0</v>
      </c>
      <c r="U5620" s="87">
        <v>6329.14</v>
      </c>
    </row>
    <row r="5621" spans="1:21" s="30" customFormat="1" ht="24.6" hidden="1" outlineLevel="1" x14ac:dyDescent="0.55000000000000004">
      <c r="A5621" s="27" t="s">
        <v>327</v>
      </c>
      <c r="B5621" s="28"/>
      <c r="C5621" s="27"/>
      <c r="D5621" s="27" t="str">
        <f>"""NAV Direct"",""CRONUS JetCorp USA"",""21"",""1"",""334047"""</f>
        <v>"NAV Direct","CRONUS JetCorp USA","21","1","334047"</v>
      </c>
      <c r="E5621" s="31" t="str">
        <f t="shared" si="1695"/>
        <v>C100146</v>
      </c>
      <c r="F5621" s="31"/>
      <c r="G5621" s="31"/>
      <c r="H5621" s="31"/>
      <c r="I5621" s="56"/>
      <c r="J5621" s="56"/>
      <c r="K5621" s="82" t="str">
        <f t="shared" si="1696"/>
        <v>Invoice</v>
      </c>
      <c r="L5621" s="83" t="str">
        <f>"SI_110551"</f>
        <v>SI_110551</v>
      </c>
      <c r="M5621" s="84">
        <v>43760</v>
      </c>
      <c r="N5621" s="85">
        <f t="shared" si="1697"/>
        <v>52</v>
      </c>
      <c r="O5621" s="86">
        <f t="shared" si="1698"/>
        <v>6544.59</v>
      </c>
      <c r="P5621" s="86">
        <f t="shared" si="1699"/>
        <v>0</v>
      </c>
      <c r="Q5621" s="86">
        <f t="shared" si="1700"/>
        <v>0</v>
      </c>
      <c r="R5621" s="86">
        <f t="shared" si="1701"/>
        <v>6544.59</v>
      </c>
      <c r="S5621" s="86">
        <f t="shared" si="1702"/>
        <v>0</v>
      </c>
      <c r="T5621" s="86">
        <f t="shared" si="1703"/>
        <v>0</v>
      </c>
      <c r="U5621" s="87">
        <v>6544.59</v>
      </c>
    </row>
    <row r="5622" spans="1:21" s="30" customFormat="1" ht="24.6" hidden="1" outlineLevel="1" x14ac:dyDescent="0.55000000000000004">
      <c r="A5622" s="27" t="s">
        <v>327</v>
      </c>
      <c r="B5622" s="28"/>
      <c r="C5622" s="27"/>
      <c r="D5622" s="27" t="str">
        <f>"""NAV Direct"",""CRONUS JetCorp USA"",""21"",""1"",""334360"""</f>
        <v>"NAV Direct","CRONUS JetCorp USA","21","1","334360"</v>
      </c>
      <c r="E5622" s="31">
        <f t="shared" si="1695"/>
        <v>0</v>
      </c>
      <c r="F5622" s="31"/>
      <c r="G5622" s="31"/>
      <c r="H5622" s="31"/>
      <c r="I5622" s="56"/>
      <c r="J5622" s="56"/>
      <c r="K5622" s="82" t="str">
        <f t="shared" si="1696"/>
        <v>Invoice</v>
      </c>
      <c r="L5622" s="83" t="str">
        <f>"SI_110566"</f>
        <v>SI_110566</v>
      </c>
      <c r="M5622" s="84">
        <v>42110</v>
      </c>
      <c r="N5622" s="85">
        <f t="shared" si="1697"/>
        <v>1702</v>
      </c>
      <c r="O5622" s="86">
        <f t="shared" si="1698"/>
        <v>6910.6200000000008</v>
      </c>
      <c r="P5622" s="86">
        <f t="shared" si="1699"/>
        <v>0</v>
      </c>
      <c r="Q5622" s="86">
        <f t="shared" si="1700"/>
        <v>0</v>
      </c>
      <c r="R5622" s="86">
        <f t="shared" si="1701"/>
        <v>0</v>
      </c>
      <c r="S5622" s="86">
        <f t="shared" si="1702"/>
        <v>0</v>
      </c>
      <c r="T5622" s="86">
        <f t="shared" si="1703"/>
        <v>6910.6200000000008</v>
      </c>
      <c r="U5622" s="87">
        <v>6910.6200000000008</v>
      </c>
    </row>
    <row r="5623" spans="1:21" s="30" customFormat="1" ht="24.6" hidden="1" outlineLevel="1" x14ac:dyDescent="0.55000000000000004">
      <c r="A5623" s="27" t="s">
        <v>327</v>
      </c>
      <c r="B5623" s="28"/>
      <c r="C5623" s="27"/>
      <c r="D5623" s="27" t="str">
        <f>"""NAV Direct"",""CRONUS JetCorp USA"",""21"",""1"",""334389"""</f>
        <v>"NAV Direct","CRONUS JetCorp USA","21","1","334389"</v>
      </c>
      <c r="E5623" s="31" t="str">
        <f t="shared" si="1695"/>
        <v>C100146</v>
      </c>
      <c r="F5623" s="31"/>
      <c r="G5623" s="31"/>
      <c r="H5623" s="31"/>
      <c r="I5623" s="56"/>
      <c r="J5623" s="56"/>
      <c r="K5623" s="82" t="str">
        <f t="shared" si="1696"/>
        <v>Invoice</v>
      </c>
      <c r="L5623" s="83" t="str">
        <f>"SI_110567"</f>
        <v>SI_110567</v>
      </c>
      <c r="M5623" s="84">
        <v>42146</v>
      </c>
      <c r="N5623" s="85">
        <f t="shared" si="1697"/>
        <v>1666</v>
      </c>
      <c r="O5623" s="86">
        <f t="shared" si="1698"/>
        <v>7054.85</v>
      </c>
      <c r="P5623" s="86">
        <f t="shared" si="1699"/>
        <v>0</v>
      </c>
      <c r="Q5623" s="86">
        <f t="shared" si="1700"/>
        <v>0</v>
      </c>
      <c r="R5623" s="86">
        <f t="shared" si="1701"/>
        <v>0</v>
      </c>
      <c r="S5623" s="86">
        <f t="shared" si="1702"/>
        <v>0</v>
      </c>
      <c r="T5623" s="86">
        <f t="shared" si="1703"/>
        <v>7054.85</v>
      </c>
      <c r="U5623" s="87">
        <v>7054.85</v>
      </c>
    </row>
    <row r="5624" spans="1:21" s="30" customFormat="1" ht="24.6" hidden="1" outlineLevel="1" x14ac:dyDescent="0.55000000000000004">
      <c r="A5624" s="27" t="s">
        <v>327</v>
      </c>
      <c r="B5624" s="28"/>
      <c r="C5624" s="27"/>
      <c r="D5624" s="27" t="str">
        <f>"""NAV Direct"",""CRONUS JetCorp USA"",""21"",""1"",""334412"""</f>
        <v>"NAV Direct","CRONUS JetCorp USA","21","1","334412"</v>
      </c>
      <c r="E5624" s="31">
        <f t="shared" si="1695"/>
        <v>0</v>
      </c>
      <c r="F5624" s="31"/>
      <c r="G5624" s="31"/>
      <c r="H5624" s="31"/>
      <c r="I5624" s="56"/>
      <c r="J5624" s="56"/>
      <c r="K5624" s="82" t="str">
        <f t="shared" si="1696"/>
        <v>Invoice</v>
      </c>
      <c r="L5624" s="83" t="str">
        <f>"SI_110568"</f>
        <v>SI_110568</v>
      </c>
      <c r="M5624" s="84">
        <v>42154</v>
      </c>
      <c r="N5624" s="85">
        <f t="shared" si="1697"/>
        <v>1658</v>
      </c>
      <c r="O5624" s="86">
        <f t="shared" si="1698"/>
        <v>6982.55</v>
      </c>
      <c r="P5624" s="86">
        <f t="shared" si="1699"/>
        <v>0</v>
      </c>
      <c r="Q5624" s="86">
        <f t="shared" si="1700"/>
        <v>0</v>
      </c>
      <c r="R5624" s="86">
        <f t="shared" si="1701"/>
        <v>0</v>
      </c>
      <c r="S5624" s="86">
        <f t="shared" si="1702"/>
        <v>0</v>
      </c>
      <c r="T5624" s="86">
        <f t="shared" si="1703"/>
        <v>6982.55</v>
      </c>
      <c r="U5624" s="87">
        <v>6982.55</v>
      </c>
    </row>
    <row r="5625" spans="1:21" s="30" customFormat="1" ht="24.6" hidden="1" outlineLevel="1" x14ac:dyDescent="0.55000000000000004">
      <c r="A5625" s="27" t="s">
        <v>327</v>
      </c>
      <c r="B5625" s="28"/>
      <c r="C5625" s="27"/>
      <c r="D5625" s="27" t="str">
        <f>"""NAV Direct"",""CRONUS JetCorp USA"",""21"",""1"",""334460"""</f>
        <v>"NAV Direct","CRONUS JetCorp USA","21","1","334460"</v>
      </c>
      <c r="E5625" s="31" t="str">
        <f t="shared" si="1695"/>
        <v>C100146</v>
      </c>
      <c r="F5625" s="31"/>
      <c r="G5625" s="31"/>
      <c r="H5625" s="31"/>
      <c r="I5625" s="56"/>
      <c r="J5625" s="56"/>
      <c r="K5625" s="82" t="str">
        <f t="shared" si="1696"/>
        <v>Invoice</v>
      </c>
      <c r="L5625" s="83" t="str">
        <f>"SI_110570"</f>
        <v>SI_110570</v>
      </c>
      <c r="M5625" s="84">
        <v>42173</v>
      </c>
      <c r="N5625" s="85">
        <f t="shared" si="1697"/>
        <v>1639</v>
      </c>
      <c r="O5625" s="86">
        <f t="shared" si="1698"/>
        <v>7335.99</v>
      </c>
      <c r="P5625" s="86">
        <f t="shared" si="1699"/>
        <v>0</v>
      </c>
      <c r="Q5625" s="86">
        <f t="shared" si="1700"/>
        <v>0</v>
      </c>
      <c r="R5625" s="86">
        <f t="shared" si="1701"/>
        <v>0</v>
      </c>
      <c r="S5625" s="86">
        <f t="shared" si="1702"/>
        <v>0</v>
      </c>
      <c r="T5625" s="86">
        <f t="shared" si="1703"/>
        <v>7335.99</v>
      </c>
      <c r="U5625" s="87">
        <v>7335.99</v>
      </c>
    </row>
    <row r="5626" spans="1:21" s="30" customFormat="1" ht="24.6" hidden="1" outlineLevel="1" x14ac:dyDescent="0.55000000000000004">
      <c r="A5626" s="27" t="s">
        <v>327</v>
      </c>
      <c r="B5626" s="28"/>
      <c r="C5626" s="27"/>
      <c r="D5626" s="27" t="str">
        <f>"""NAV Direct"",""CRONUS JetCorp USA"",""21"",""1"",""334556"""</f>
        <v>"NAV Direct","CRONUS JetCorp USA","21","1","334556"</v>
      </c>
      <c r="E5626" s="31">
        <f t="shared" si="1695"/>
        <v>0</v>
      </c>
      <c r="F5626" s="31"/>
      <c r="G5626" s="31"/>
      <c r="H5626" s="31"/>
      <c r="I5626" s="56"/>
      <c r="J5626" s="56"/>
      <c r="K5626" s="82" t="str">
        <f t="shared" si="1696"/>
        <v>Invoice</v>
      </c>
      <c r="L5626" s="83" t="str">
        <f>"SI_110574"</f>
        <v>SI_110574</v>
      </c>
      <c r="M5626" s="84">
        <v>42226</v>
      </c>
      <c r="N5626" s="85">
        <f t="shared" si="1697"/>
        <v>1586</v>
      </c>
      <c r="O5626" s="86">
        <f t="shared" si="1698"/>
        <v>7543.2500000000009</v>
      </c>
      <c r="P5626" s="86">
        <f t="shared" si="1699"/>
        <v>0</v>
      </c>
      <c r="Q5626" s="86">
        <f t="shared" si="1700"/>
        <v>0</v>
      </c>
      <c r="R5626" s="86">
        <f t="shared" si="1701"/>
        <v>0</v>
      </c>
      <c r="S5626" s="86">
        <f t="shared" si="1702"/>
        <v>0</v>
      </c>
      <c r="T5626" s="86">
        <f t="shared" si="1703"/>
        <v>7543.2500000000009</v>
      </c>
      <c r="U5626" s="87">
        <v>7543.2500000000009</v>
      </c>
    </row>
    <row r="5627" spans="1:21" s="30" customFormat="1" ht="24.6" hidden="1" outlineLevel="1" x14ac:dyDescent="0.55000000000000004">
      <c r="A5627" s="27" t="s">
        <v>327</v>
      </c>
      <c r="B5627" s="28"/>
      <c r="C5627" s="27"/>
      <c r="D5627" s="27" t="str">
        <f>"""NAV Direct"",""CRONUS JetCorp USA"",""21"",""1"",""334579"""</f>
        <v>"NAV Direct","CRONUS JetCorp USA","21","1","334579"</v>
      </c>
      <c r="E5627" s="31" t="str">
        <f t="shared" si="1695"/>
        <v>C100146</v>
      </c>
      <c r="F5627" s="31"/>
      <c r="G5627" s="31"/>
      <c r="H5627" s="31"/>
      <c r="I5627" s="56"/>
      <c r="J5627" s="56"/>
      <c r="K5627" s="82" t="str">
        <f t="shared" si="1696"/>
        <v>Invoice</v>
      </c>
      <c r="L5627" s="83" t="str">
        <f>"SI_110575"</f>
        <v>SI_110575</v>
      </c>
      <c r="M5627" s="84">
        <v>42231</v>
      </c>
      <c r="N5627" s="85">
        <f t="shared" si="1697"/>
        <v>1581</v>
      </c>
      <c r="O5627" s="86">
        <f t="shared" si="1698"/>
        <v>7700.82</v>
      </c>
      <c r="P5627" s="86">
        <f t="shared" si="1699"/>
        <v>0</v>
      </c>
      <c r="Q5627" s="86">
        <f t="shared" si="1700"/>
        <v>0</v>
      </c>
      <c r="R5627" s="86">
        <f t="shared" si="1701"/>
        <v>0</v>
      </c>
      <c r="S5627" s="86">
        <f t="shared" si="1702"/>
        <v>0</v>
      </c>
      <c r="T5627" s="86">
        <f t="shared" si="1703"/>
        <v>7700.82</v>
      </c>
      <c r="U5627" s="87">
        <v>7700.82</v>
      </c>
    </row>
    <row r="5628" spans="1:21" s="30" customFormat="1" ht="24.6" hidden="1" outlineLevel="1" x14ac:dyDescent="0.55000000000000004">
      <c r="A5628" s="27" t="s">
        <v>327</v>
      </c>
      <c r="B5628" s="28"/>
      <c r="C5628" s="27"/>
      <c r="D5628" s="27" t="str">
        <f>"""NAV Direct"",""CRONUS JetCorp USA"",""21"",""1"",""334633"""</f>
        <v>"NAV Direct","CRONUS JetCorp USA","21","1","334633"</v>
      </c>
      <c r="E5628" s="31">
        <f t="shared" si="1695"/>
        <v>0</v>
      </c>
      <c r="F5628" s="31"/>
      <c r="G5628" s="31"/>
      <c r="H5628" s="31"/>
      <c r="I5628" s="56"/>
      <c r="J5628" s="56"/>
      <c r="K5628" s="82" t="str">
        <f t="shared" si="1696"/>
        <v>Invoice</v>
      </c>
      <c r="L5628" s="83" t="str">
        <f>"SI_110577"</f>
        <v>SI_110577</v>
      </c>
      <c r="M5628" s="84">
        <v>42253</v>
      </c>
      <c r="N5628" s="85">
        <f t="shared" si="1697"/>
        <v>1559</v>
      </c>
      <c r="O5628" s="86">
        <f t="shared" si="1698"/>
        <v>7904.0399999999991</v>
      </c>
      <c r="P5628" s="86">
        <f t="shared" si="1699"/>
        <v>0</v>
      </c>
      <c r="Q5628" s="86">
        <f t="shared" si="1700"/>
        <v>0</v>
      </c>
      <c r="R5628" s="86">
        <f t="shared" si="1701"/>
        <v>0</v>
      </c>
      <c r="S5628" s="86">
        <f t="shared" si="1702"/>
        <v>0</v>
      </c>
      <c r="T5628" s="86">
        <f t="shared" si="1703"/>
        <v>7904.0399999999991</v>
      </c>
      <c r="U5628" s="87">
        <v>7904.0399999999991</v>
      </c>
    </row>
    <row r="5629" spans="1:21" s="30" customFormat="1" ht="24.6" hidden="1" outlineLevel="1" x14ac:dyDescent="0.55000000000000004">
      <c r="A5629" s="27" t="s">
        <v>327</v>
      </c>
      <c r="B5629" s="28"/>
      <c r="C5629" s="27"/>
      <c r="D5629" s="27" t="str">
        <f>"""NAV Direct"",""CRONUS JetCorp USA"",""21"",""1"",""334869"""</f>
        <v>"NAV Direct","CRONUS JetCorp USA","21","1","334869"</v>
      </c>
      <c r="E5629" s="31" t="str">
        <f t="shared" si="1695"/>
        <v>C100146</v>
      </c>
      <c r="F5629" s="31"/>
      <c r="G5629" s="31"/>
      <c r="H5629" s="31"/>
      <c r="I5629" s="56"/>
      <c r="J5629" s="56"/>
      <c r="K5629" s="82" t="str">
        <f t="shared" si="1696"/>
        <v>Invoice</v>
      </c>
      <c r="L5629" s="83" t="str">
        <f>"SI_110587"</f>
        <v>SI_110587</v>
      </c>
      <c r="M5629" s="84">
        <v>42749</v>
      </c>
      <c r="N5629" s="85">
        <f t="shared" si="1697"/>
        <v>1063</v>
      </c>
      <c r="O5629" s="86">
        <f t="shared" si="1698"/>
        <v>8959.5300000000007</v>
      </c>
      <c r="P5629" s="86">
        <f t="shared" si="1699"/>
        <v>0</v>
      </c>
      <c r="Q5629" s="86">
        <f t="shared" si="1700"/>
        <v>0</v>
      </c>
      <c r="R5629" s="86">
        <f t="shared" si="1701"/>
        <v>0</v>
      </c>
      <c r="S5629" s="86">
        <f t="shared" si="1702"/>
        <v>0</v>
      </c>
      <c r="T5629" s="86">
        <f t="shared" si="1703"/>
        <v>8959.5300000000007</v>
      </c>
      <c r="U5629" s="87">
        <v>8959.5300000000007</v>
      </c>
    </row>
    <row r="5630" spans="1:21" s="30" customFormat="1" ht="24.6" hidden="1" outlineLevel="1" x14ac:dyDescent="0.55000000000000004">
      <c r="A5630" s="27" t="s">
        <v>327</v>
      </c>
      <c r="B5630" s="28"/>
      <c r="C5630" s="27"/>
      <c r="D5630" s="27" t="str">
        <f>"""NAV Direct"",""CRONUS JetCorp USA"",""21"",""1"",""433172"""</f>
        <v>"NAV Direct","CRONUS JetCorp USA","21","1","433172"</v>
      </c>
      <c r="E5630" s="31">
        <f t="shared" si="1695"/>
        <v>0</v>
      </c>
      <c r="F5630" s="31"/>
      <c r="G5630" s="31"/>
      <c r="H5630" s="31"/>
      <c r="I5630" s="56"/>
      <c r="J5630" s="56"/>
      <c r="K5630" s="82" t="str">
        <f t="shared" ref="K5630:K5638" si="1704">"Credit Memo"</f>
        <v>Credit Memo</v>
      </c>
      <c r="L5630" s="83" t="str">
        <f>"SC_100468"</f>
        <v>SC_100468</v>
      </c>
      <c r="M5630" s="84">
        <v>42547</v>
      </c>
      <c r="N5630" s="85">
        <f t="shared" si="1697"/>
        <v>1265</v>
      </c>
      <c r="O5630" s="86">
        <f t="shared" si="1698"/>
        <v>-56.76</v>
      </c>
      <c r="P5630" s="86">
        <f t="shared" si="1699"/>
        <v>0</v>
      </c>
      <c r="Q5630" s="86">
        <f t="shared" si="1700"/>
        <v>0</v>
      </c>
      <c r="R5630" s="86">
        <f t="shared" si="1701"/>
        <v>0</v>
      </c>
      <c r="S5630" s="86">
        <f t="shared" si="1702"/>
        <v>0</v>
      </c>
      <c r="T5630" s="86">
        <f t="shared" si="1703"/>
        <v>-56.76</v>
      </c>
      <c r="U5630" s="87">
        <v>-56.76</v>
      </c>
    </row>
    <row r="5631" spans="1:21" s="30" customFormat="1" ht="24.6" hidden="1" outlineLevel="1" x14ac:dyDescent="0.55000000000000004">
      <c r="A5631" s="27" t="s">
        <v>327</v>
      </c>
      <c r="B5631" s="28"/>
      <c r="C5631" s="27"/>
      <c r="D5631" s="27" t="str">
        <f>"""NAV Direct"",""CRONUS JetCorp USA"",""21"",""1"",""433183"""</f>
        <v>"NAV Direct","CRONUS JetCorp USA","21","1","433183"</v>
      </c>
      <c r="E5631" s="31" t="str">
        <f t="shared" si="1695"/>
        <v>C100146</v>
      </c>
      <c r="F5631" s="31"/>
      <c r="G5631" s="31"/>
      <c r="H5631" s="31"/>
      <c r="I5631" s="56"/>
      <c r="J5631" s="56"/>
      <c r="K5631" s="82" t="str">
        <f t="shared" si="1704"/>
        <v>Credit Memo</v>
      </c>
      <c r="L5631" s="83" t="str">
        <f>"SC_100469"</f>
        <v>SC_100469</v>
      </c>
      <c r="M5631" s="84">
        <v>42561</v>
      </c>
      <c r="N5631" s="85">
        <f t="shared" si="1697"/>
        <v>1251</v>
      </c>
      <c r="O5631" s="86">
        <f t="shared" si="1698"/>
        <v>-58.7</v>
      </c>
      <c r="P5631" s="86">
        <f t="shared" si="1699"/>
        <v>0</v>
      </c>
      <c r="Q5631" s="86">
        <f t="shared" si="1700"/>
        <v>0</v>
      </c>
      <c r="R5631" s="86">
        <f t="shared" si="1701"/>
        <v>0</v>
      </c>
      <c r="S5631" s="86">
        <f t="shared" si="1702"/>
        <v>0</v>
      </c>
      <c r="T5631" s="86">
        <f t="shared" si="1703"/>
        <v>-58.7</v>
      </c>
      <c r="U5631" s="87">
        <v>-58.7</v>
      </c>
    </row>
    <row r="5632" spans="1:21" s="30" customFormat="1" ht="24.6" hidden="1" outlineLevel="1" x14ac:dyDescent="0.55000000000000004">
      <c r="A5632" s="27" t="s">
        <v>327</v>
      </c>
      <c r="B5632" s="28"/>
      <c r="C5632" s="27"/>
      <c r="D5632" s="27" t="str">
        <f>"""NAV Direct"",""CRONUS JetCorp USA"",""21"",""1"",""433229"""</f>
        <v>"NAV Direct","CRONUS JetCorp USA","21","1","433229"</v>
      </c>
      <c r="E5632" s="31">
        <f t="shared" si="1695"/>
        <v>0</v>
      </c>
      <c r="F5632" s="31"/>
      <c r="G5632" s="31"/>
      <c r="H5632" s="31"/>
      <c r="I5632" s="56"/>
      <c r="J5632" s="56"/>
      <c r="K5632" s="82" t="str">
        <f t="shared" si="1704"/>
        <v>Credit Memo</v>
      </c>
      <c r="L5632" s="83" t="str">
        <f>"SC_100473"</f>
        <v>SC_100473</v>
      </c>
      <c r="M5632" s="84">
        <v>43175</v>
      </c>
      <c r="N5632" s="85">
        <f t="shared" si="1697"/>
        <v>637</v>
      </c>
      <c r="O5632" s="86">
        <f t="shared" si="1698"/>
        <v>-47.74</v>
      </c>
      <c r="P5632" s="86">
        <f t="shared" si="1699"/>
        <v>0</v>
      </c>
      <c r="Q5632" s="86">
        <f t="shared" si="1700"/>
        <v>0</v>
      </c>
      <c r="R5632" s="86">
        <f t="shared" si="1701"/>
        <v>0</v>
      </c>
      <c r="S5632" s="86">
        <f t="shared" si="1702"/>
        <v>0</v>
      </c>
      <c r="T5632" s="86">
        <f t="shared" si="1703"/>
        <v>-47.74</v>
      </c>
      <c r="U5632" s="87">
        <v>-47.74</v>
      </c>
    </row>
    <row r="5633" spans="1:22" s="30" customFormat="1" ht="24.6" hidden="1" outlineLevel="1" x14ac:dyDescent="0.55000000000000004">
      <c r="A5633" s="27" t="s">
        <v>327</v>
      </c>
      <c r="B5633" s="28"/>
      <c r="C5633" s="27"/>
      <c r="D5633" s="27" t="str">
        <f>"""NAV Direct"",""CRONUS JetCorp USA"",""21"",""1"",""433246"""</f>
        <v>"NAV Direct","CRONUS JetCorp USA","21","1","433246"</v>
      </c>
      <c r="E5633" s="31" t="str">
        <f t="shared" si="1695"/>
        <v>C100146</v>
      </c>
      <c r="F5633" s="31"/>
      <c r="G5633" s="31"/>
      <c r="H5633" s="31"/>
      <c r="I5633" s="56"/>
      <c r="J5633" s="56"/>
      <c r="K5633" s="82" t="str">
        <f t="shared" si="1704"/>
        <v>Credit Memo</v>
      </c>
      <c r="L5633" s="83" t="str">
        <f>"SC_100474"</f>
        <v>SC_100474</v>
      </c>
      <c r="M5633" s="84">
        <v>43200</v>
      </c>
      <c r="N5633" s="85">
        <f t="shared" si="1697"/>
        <v>612</v>
      </c>
      <c r="O5633" s="86">
        <f t="shared" si="1698"/>
        <v>-46.59</v>
      </c>
      <c r="P5633" s="86">
        <f t="shared" si="1699"/>
        <v>0</v>
      </c>
      <c r="Q5633" s="86">
        <f t="shared" si="1700"/>
        <v>0</v>
      </c>
      <c r="R5633" s="86">
        <f t="shared" si="1701"/>
        <v>0</v>
      </c>
      <c r="S5633" s="86">
        <f t="shared" si="1702"/>
        <v>0</v>
      </c>
      <c r="T5633" s="86">
        <f t="shared" si="1703"/>
        <v>-46.59</v>
      </c>
      <c r="U5633" s="87">
        <v>-46.59</v>
      </c>
    </row>
    <row r="5634" spans="1:22" s="30" customFormat="1" ht="24.6" hidden="1" outlineLevel="1" x14ac:dyDescent="0.55000000000000004">
      <c r="A5634" s="27" t="s">
        <v>327</v>
      </c>
      <c r="B5634" s="28"/>
      <c r="C5634" s="27"/>
      <c r="D5634" s="27" t="str">
        <f>"""NAV Direct"",""CRONUS JetCorp USA"",""21"",""1"",""433313"""</f>
        <v>"NAV Direct","CRONUS JetCorp USA","21","1","433313"</v>
      </c>
      <c r="E5634" s="31">
        <f t="shared" si="1695"/>
        <v>0</v>
      </c>
      <c r="F5634" s="31"/>
      <c r="G5634" s="31"/>
      <c r="H5634" s="31"/>
      <c r="I5634" s="56"/>
      <c r="J5634" s="56"/>
      <c r="K5634" s="82" t="str">
        <f t="shared" si="1704"/>
        <v>Credit Memo</v>
      </c>
      <c r="L5634" s="83" t="str">
        <f>"SC_100479"</f>
        <v>SC_100479</v>
      </c>
      <c r="M5634" s="84">
        <v>43355</v>
      </c>
      <c r="N5634" s="85">
        <f t="shared" si="1697"/>
        <v>457</v>
      </c>
      <c r="O5634" s="86">
        <f t="shared" si="1698"/>
        <v>-48.529999999999994</v>
      </c>
      <c r="P5634" s="86">
        <f t="shared" si="1699"/>
        <v>0</v>
      </c>
      <c r="Q5634" s="86">
        <f t="shared" si="1700"/>
        <v>0</v>
      </c>
      <c r="R5634" s="86">
        <f t="shared" si="1701"/>
        <v>0</v>
      </c>
      <c r="S5634" s="86">
        <f t="shared" si="1702"/>
        <v>0</v>
      </c>
      <c r="T5634" s="86">
        <f t="shared" si="1703"/>
        <v>-48.529999999999994</v>
      </c>
      <c r="U5634" s="87">
        <v>-48.529999999999994</v>
      </c>
    </row>
    <row r="5635" spans="1:22" s="30" customFormat="1" ht="24.6" hidden="1" outlineLevel="1" x14ac:dyDescent="0.55000000000000004">
      <c r="A5635" s="27" t="s">
        <v>327</v>
      </c>
      <c r="B5635" s="28"/>
      <c r="C5635" s="27"/>
      <c r="D5635" s="27" t="str">
        <f>"""NAV Direct"",""CRONUS JetCorp USA"",""21"",""1"",""433352"""</f>
        <v>"NAV Direct","CRONUS JetCorp USA","21","1","433352"</v>
      </c>
      <c r="E5635" s="31" t="str">
        <f t="shared" si="1695"/>
        <v>C100146</v>
      </c>
      <c r="F5635" s="31"/>
      <c r="G5635" s="31"/>
      <c r="H5635" s="31"/>
      <c r="I5635" s="56"/>
      <c r="J5635" s="56"/>
      <c r="K5635" s="82" t="str">
        <f t="shared" si="1704"/>
        <v>Credit Memo</v>
      </c>
      <c r="L5635" s="83" t="str">
        <f>"SC_100482"</f>
        <v>SC_100482</v>
      </c>
      <c r="M5635" s="84">
        <v>43560</v>
      </c>
      <c r="N5635" s="85">
        <f t="shared" si="1697"/>
        <v>252</v>
      </c>
      <c r="O5635" s="86">
        <f t="shared" si="1698"/>
        <v>-57.580000000000005</v>
      </c>
      <c r="P5635" s="86">
        <f t="shared" si="1699"/>
        <v>0</v>
      </c>
      <c r="Q5635" s="86">
        <f t="shared" si="1700"/>
        <v>0</v>
      </c>
      <c r="R5635" s="86">
        <f t="shared" si="1701"/>
        <v>0</v>
      </c>
      <c r="S5635" s="86">
        <f t="shared" si="1702"/>
        <v>0</v>
      </c>
      <c r="T5635" s="86">
        <f t="shared" si="1703"/>
        <v>-57.580000000000005</v>
      </c>
      <c r="U5635" s="87">
        <v>-57.580000000000005</v>
      </c>
    </row>
    <row r="5636" spans="1:22" s="30" customFormat="1" ht="24.6" hidden="1" outlineLevel="1" x14ac:dyDescent="0.55000000000000004">
      <c r="A5636" s="27" t="s">
        <v>327</v>
      </c>
      <c r="B5636" s="28"/>
      <c r="C5636" s="27"/>
      <c r="D5636" s="27" t="str">
        <f>"""NAV Direct"",""CRONUS JetCorp USA"",""21"",""1"",""433386"""</f>
        <v>"NAV Direct","CRONUS JetCorp USA","21","1","433386"</v>
      </c>
      <c r="E5636" s="31">
        <f t="shared" si="1695"/>
        <v>0</v>
      </c>
      <c r="F5636" s="31"/>
      <c r="G5636" s="31"/>
      <c r="H5636" s="31"/>
      <c r="I5636" s="56"/>
      <c r="J5636" s="56"/>
      <c r="K5636" s="82" t="str">
        <f t="shared" si="1704"/>
        <v>Credit Memo</v>
      </c>
      <c r="L5636" s="83" t="str">
        <f>"SC_100484"</f>
        <v>SC_100484</v>
      </c>
      <c r="M5636" s="84">
        <v>43594</v>
      </c>
      <c r="N5636" s="85">
        <f t="shared" si="1697"/>
        <v>218</v>
      </c>
      <c r="O5636" s="86">
        <f t="shared" si="1698"/>
        <v>-57.36</v>
      </c>
      <c r="P5636" s="86">
        <f t="shared" si="1699"/>
        <v>0</v>
      </c>
      <c r="Q5636" s="86">
        <f t="shared" si="1700"/>
        <v>0</v>
      </c>
      <c r="R5636" s="86">
        <f t="shared" si="1701"/>
        <v>0</v>
      </c>
      <c r="S5636" s="86">
        <f t="shared" si="1702"/>
        <v>0</v>
      </c>
      <c r="T5636" s="86">
        <f t="shared" si="1703"/>
        <v>-57.36</v>
      </c>
      <c r="U5636" s="87">
        <v>-57.36</v>
      </c>
    </row>
    <row r="5637" spans="1:22" s="30" customFormat="1" ht="24.6" hidden="1" outlineLevel="1" x14ac:dyDescent="0.55000000000000004">
      <c r="A5637" s="27" t="s">
        <v>327</v>
      </c>
      <c r="B5637" s="28"/>
      <c r="C5637" s="27"/>
      <c r="D5637" s="27" t="str">
        <f>"""NAV Direct"",""CRONUS JetCorp USA"",""21"",""1"",""433494"""</f>
        <v>"NAV Direct","CRONUS JetCorp USA","21","1","433494"</v>
      </c>
      <c r="E5637" s="31" t="str">
        <f t="shared" si="1695"/>
        <v>C100146</v>
      </c>
      <c r="F5637" s="31"/>
      <c r="G5637" s="31"/>
      <c r="H5637" s="31"/>
      <c r="I5637" s="56"/>
      <c r="J5637" s="56"/>
      <c r="K5637" s="82" t="str">
        <f t="shared" si="1704"/>
        <v>Credit Memo</v>
      </c>
      <c r="L5637" s="83" t="str">
        <f>"SC_100492"</f>
        <v>SC_100492</v>
      </c>
      <c r="M5637" s="84">
        <v>42105</v>
      </c>
      <c r="N5637" s="85">
        <f t="shared" si="1697"/>
        <v>1707</v>
      </c>
      <c r="O5637" s="86">
        <f t="shared" si="1698"/>
        <v>-69.790000000000006</v>
      </c>
      <c r="P5637" s="86">
        <f t="shared" si="1699"/>
        <v>0</v>
      </c>
      <c r="Q5637" s="86">
        <f t="shared" si="1700"/>
        <v>0</v>
      </c>
      <c r="R5637" s="86">
        <f t="shared" si="1701"/>
        <v>0</v>
      </c>
      <c r="S5637" s="86">
        <f t="shared" si="1702"/>
        <v>0</v>
      </c>
      <c r="T5637" s="86">
        <f t="shared" si="1703"/>
        <v>-69.790000000000006</v>
      </c>
      <c r="U5637" s="87">
        <v>-69.790000000000006</v>
      </c>
    </row>
    <row r="5638" spans="1:22" s="30" customFormat="1" ht="24.6" hidden="1" outlineLevel="1" x14ac:dyDescent="0.55000000000000004">
      <c r="A5638" s="27" t="s">
        <v>327</v>
      </c>
      <c r="B5638" s="28"/>
      <c r="C5638" s="27"/>
      <c r="D5638" s="27" t="str">
        <f>"""NAV Direct"",""CRONUS JetCorp USA"",""21"",""1"",""433514"""</f>
        <v>"NAV Direct","CRONUS JetCorp USA","21","1","433514"</v>
      </c>
      <c r="E5638" s="31">
        <f t="shared" si="1695"/>
        <v>0</v>
      </c>
      <c r="F5638" s="31"/>
      <c r="G5638" s="31"/>
      <c r="H5638" s="31"/>
      <c r="I5638" s="56"/>
      <c r="J5638" s="56"/>
      <c r="K5638" s="82" t="str">
        <f t="shared" si="1704"/>
        <v>Credit Memo</v>
      </c>
      <c r="L5638" s="83" t="str">
        <f>"SC_100494"</f>
        <v>SC_100494</v>
      </c>
      <c r="M5638" s="84">
        <v>42265</v>
      </c>
      <c r="N5638" s="85">
        <f t="shared" si="1697"/>
        <v>1547</v>
      </c>
      <c r="O5638" s="86">
        <f t="shared" si="1698"/>
        <v>-82.16</v>
      </c>
      <c r="P5638" s="86">
        <f t="shared" si="1699"/>
        <v>0</v>
      </c>
      <c r="Q5638" s="86">
        <f t="shared" si="1700"/>
        <v>0</v>
      </c>
      <c r="R5638" s="86">
        <f t="shared" si="1701"/>
        <v>0</v>
      </c>
      <c r="S5638" s="86">
        <f t="shared" si="1702"/>
        <v>0</v>
      </c>
      <c r="T5638" s="86">
        <f t="shared" si="1703"/>
        <v>-82.16</v>
      </c>
      <c r="U5638" s="87">
        <v>-82.16</v>
      </c>
    </row>
    <row r="5639" spans="1:22" s="22" customFormat="1" ht="20.399999999999999" collapsed="1" x14ac:dyDescent="0.45">
      <c r="A5639" s="12" t="s">
        <v>327</v>
      </c>
      <c r="B5639" s="19"/>
      <c r="C5639" s="12"/>
      <c r="D5639" s="12"/>
      <c r="E5639" s="23"/>
      <c r="F5639" s="23"/>
      <c r="G5639" s="23"/>
      <c r="H5639" s="23"/>
      <c r="I5639" s="49"/>
      <c r="J5639" s="88"/>
      <c r="K5639" s="88"/>
      <c r="L5639" s="89"/>
      <c r="M5639" s="89"/>
      <c r="N5639" s="89"/>
      <c r="O5639" s="89"/>
      <c r="P5639" s="89"/>
      <c r="Q5639" s="90"/>
      <c r="R5639" s="90"/>
      <c r="S5639" s="91"/>
      <c r="T5639" s="92"/>
      <c r="U5639" s="92"/>
    </row>
    <row r="5640" spans="1:22" s="22" customFormat="1" ht="20.399999999999999" x14ac:dyDescent="0.45">
      <c r="A5640" s="12" t="s">
        <v>327</v>
      </c>
      <c r="B5640" s="19"/>
      <c r="C5640" s="12"/>
      <c r="D5640" s="12"/>
      <c r="E5640" s="23"/>
      <c r="F5640" s="23"/>
      <c r="G5640" s="23"/>
      <c r="H5640" s="23"/>
      <c r="I5640" s="49"/>
      <c r="J5640" s="88"/>
      <c r="K5640" s="88"/>
      <c r="L5640" s="89"/>
      <c r="M5640" s="89"/>
      <c r="N5640" s="89"/>
      <c r="O5640" s="89"/>
      <c r="P5640" s="89"/>
      <c r="Q5640" s="90"/>
      <c r="R5640" s="90"/>
      <c r="S5640" s="91"/>
      <c r="T5640" s="92"/>
      <c r="U5640" s="92"/>
    </row>
    <row r="5641" spans="1:22" s="26" customFormat="1" ht="24.6" x14ac:dyDescent="0.55000000000000004">
      <c r="A5641" s="27" t="s">
        <v>327</v>
      </c>
      <c r="B5641" s="28"/>
      <c r="C5641" s="27" t="str">
        <f>"""NAV Direct"",""CRONUS JetCorp USA"",""18"",""1"",""C100501"""</f>
        <v>"NAV Direct","CRONUS JetCorp USA","18","1","C100501"</v>
      </c>
      <c r="D5641" s="27"/>
      <c r="E5641" s="28" t="str">
        <f>H5641</f>
        <v>C100501</v>
      </c>
      <c r="F5641" s="28"/>
      <c r="G5641" s="28"/>
      <c r="H5641" s="28" t="str">
        <f>"C100501"</f>
        <v>C100501</v>
      </c>
      <c r="I5641" s="116" t="str">
        <f>"C100501  -  Bob's Budget Trophies"</f>
        <v>C100501  -  Bob's Budget Trophies</v>
      </c>
      <c r="J5641" s="117" t="str">
        <f>""</f>
        <v/>
      </c>
      <c r="K5641" s="118"/>
      <c r="L5641" s="119">
        <f>SUBTOTAL(3,L5642:L5674)</f>
        <v>29</v>
      </c>
      <c r="M5641" s="118"/>
      <c r="N5641" s="118"/>
      <c r="O5641" s="120">
        <f t="shared" ref="O5641:T5641" si="1705">SUBTOTAL(9,O5642:O5674)</f>
        <v>50038.530000000006</v>
      </c>
      <c r="P5641" s="120">
        <f t="shared" si="1705"/>
        <v>0</v>
      </c>
      <c r="Q5641" s="120">
        <f t="shared" si="1705"/>
        <v>0</v>
      </c>
      <c r="R5641" s="120">
        <f t="shared" si="1705"/>
        <v>4653.0600000000004</v>
      </c>
      <c r="S5641" s="120">
        <f t="shared" si="1705"/>
        <v>0</v>
      </c>
      <c r="T5641" s="120">
        <f t="shared" si="1705"/>
        <v>45385.47</v>
      </c>
      <c r="U5641" s="81"/>
    </row>
    <row r="5642" spans="1:22" s="26" customFormat="1" ht="24.6" x14ac:dyDescent="0.55000000000000004">
      <c r="A5642" s="27" t="s">
        <v>327</v>
      </c>
      <c r="B5642" s="28"/>
      <c r="C5642" s="27" t="str">
        <f>C5641</f>
        <v>"NAV Direct","CRONUS JetCorp USA","18","1","C100501"</v>
      </c>
      <c r="D5642" s="27"/>
      <c r="E5642" s="28" t="str">
        <f>E5641</f>
        <v>C100501</v>
      </c>
      <c r="F5642" s="28"/>
      <c r="G5642" s="28"/>
      <c r="H5642" s="28"/>
      <c r="I5642" s="121" t="str">
        <f>"Contact: Michael Zeichel"</f>
        <v>Contact: Michael Zeichel</v>
      </c>
      <c r="J5642" s="121"/>
      <c r="K5642" s="122"/>
      <c r="L5642" s="123"/>
      <c r="M5642" s="123"/>
      <c r="N5642" s="124"/>
      <c r="O5642" s="124"/>
      <c r="P5642" s="123"/>
      <c r="Q5642" s="125"/>
      <c r="R5642" s="126"/>
      <c r="S5642" s="126"/>
      <c r="T5642" s="125"/>
      <c r="U5642" s="81"/>
    </row>
    <row r="5643" spans="1:22" s="26" customFormat="1" ht="24.6" x14ac:dyDescent="0.55000000000000004">
      <c r="A5643" s="27" t="s">
        <v>327</v>
      </c>
      <c r="B5643" s="28"/>
      <c r="C5643" s="27" t="str">
        <f>C5642</f>
        <v>"NAV Direct","CRONUS JetCorp USA","18","1","C100501"</v>
      </c>
      <c r="D5643" s="27"/>
      <c r="E5643" s="28" t="str">
        <f>E5642</f>
        <v>C100501</v>
      </c>
      <c r="F5643" s="28"/>
      <c r="G5643" s="28"/>
      <c r="H5643" s="28"/>
      <c r="I5643" s="121" t="str">
        <f>"Bob's Budget Trophies@cronuscorp.net"</f>
        <v>Bob's Budget Trophies@cronuscorp.net</v>
      </c>
      <c r="J5643" s="121"/>
      <c r="K5643" s="122"/>
      <c r="L5643" s="124"/>
      <c r="M5643" s="124"/>
      <c r="N5643" s="124"/>
      <c r="O5643" s="124"/>
      <c r="P5643" s="123"/>
      <c r="Q5643" s="125"/>
      <c r="R5643" s="126"/>
      <c r="S5643" s="126"/>
      <c r="T5643" s="125"/>
      <c r="U5643" s="81"/>
    </row>
    <row r="5644" spans="1:22" ht="12.75" hidden="1" customHeight="1" outlineLevel="1" x14ac:dyDescent="0.45">
      <c r="A5644" s="12" t="s">
        <v>328</v>
      </c>
      <c r="B5644" s="19"/>
      <c r="E5644" s="19"/>
      <c r="F5644" s="19"/>
      <c r="G5644" s="19"/>
      <c r="H5644" s="19"/>
      <c r="I5644" s="61"/>
      <c r="J5644" s="61"/>
      <c r="K5644" s="61"/>
      <c r="L5644" s="61"/>
      <c r="M5644" s="61"/>
      <c r="N5644" s="61"/>
      <c r="O5644" s="61"/>
      <c r="P5644" s="61"/>
      <c r="Q5644" s="61"/>
      <c r="R5644" s="61"/>
      <c r="S5644" s="61"/>
      <c r="T5644" s="61"/>
      <c r="U5644" s="61"/>
      <c r="V5644" s="21"/>
    </row>
    <row r="5645" spans="1:22" s="30" customFormat="1" ht="24.6" hidden="1" outlineLevel="1" x14ac:dyDescent="0.55000000000000004">
      <c r="A5645" s="27" t="s">
        <v>327</v>
      </c>
      <c r="B5645" s="28"/>
      <c r="C5645" s="27"/>
      <c r="D5645" s="27" t="str">
        <f>"""NAV Direct"",""CRONUS JetCorp USA"",""21"",""1"",""280856"""</f>
        <v>"NAV Direct","CRONUS JetCorp USA","21","1","280856"</v>
      </c>
      <c r="E5645" s="31" t="str">
        <f t="shared" ref="E5645:E5673" si="1706">E5643</f>
        <v>C100501</v>
      </c>
      <c r="F5645" s="31"/>
      <c r="G5645" s="31"/>
      <c r="H5645" s="31"/>
      <c r="I5645" s="56"/>
      <c r="J5645" s="56"/>
      <c r="K5645" s="82" t="str">
        <f t="shared" ref="K5645:K5673" si="1707">"Invoice"</f>
        <v>Invoice</v>
      </c>
      <c r="L5645" s="83" t="str">
        <f>"SI_108585"</f>
        <v>SI_108585</v>
      </c>
      <c r="M5645" s="84">
        <v>43510</v>
      </c>
      <c r="N5645" s="85">
        <f t="shared" ref="N5645:N5673" si="1708">StartDate-$M5645+1</f>
        <v>302</v>
      </c>
      <c r="O5645" s="86">
        <f t="shared" ref="O5645:O5673" si="1709">SUM(P5645:T5645)</f>
        <v>587.79</v>
      </c>
      <c r="P5645" s="86">
        <f t="shared" ref="P5645:P5673" si="1710">IF($M5645&gt;=$P$18,U5645,0)</f>
        <v>0</v>
      </c>
      <c r="Q5645" s="86">
        <f t="shared" ref="Q5645:Q5673" si="1711">IF(AND($M5645&gt;=$Q$16,$M5645&lt;=$Q$18),U5645,0)</f>
        <v>0</v>
      </c>
      <c r="R5645" s="86">
        <f t="shared" ref="R5645:R5673" si="1712">IF(AND($M5645&gt;=$R$16,$M5645&lt;=$R$18),U5645,0)</f>
        <v>0</v>
      </c>
      <c r="S5645" s="86">
        <f t="shared" ref="S5645:S5673" si="1713">IF(AND($M5645&gt;=$S$16,$M5645&lt;=$S$18),U5645,0)</f>
        <v>0</v>
      </c>
      <c r="T5645" s="86">
        <f t="shared" ref="T5645:T5673" si="1714">IF($M5645&lt;=$T$18,U5645,0)</f>
        <v>587.79</v>
      </c>
      <c r="U5645" s="87">
        <v>587.79</v>
      </c>
    </row>
    <row r="5646" spans="1:22" s="30" customFormat="1" ht="24.6" hidden="1" outlineLevel="1" x14ac:dyDescent="0.55000000000000004">
      <c r="A5646" s="27" t="s">
        <v>327</v>
      </c>
      <c r="B5646" s="28"/>
      <c r="C5646" s="27"/>
      <c r="D5646" s="27" t="str">
        <f>"""NAV Direct"",""CRONUS JetCorp USA"",""21"",""1"",""281466"""</f>
        <v>"NAV Direct","CRONUS JetCorp USA","21","1","281466"</v>
      </c>
      <c r="E5646" s="31">
        <f t="shared" si="1706"/>
        <v>0</v>
      </c>
      <c r="F5646" s="31"/>
      <c r="G5646" s="31"/>
      <c r="H5646" s="31"/>
      <c r="I5646" s="56"/>
      <c r="J5646" s="56"/>
      <c r="K5646" s="82" t="str">
        <f t="shared" si="1707"/>
        <v>Invoice</v>
      </c>
      <c r="L5646" s="83" t="str">
        <f>"SI_108611"</f>
        <v>SI_108611</v>
      </c>
      <c r="M5646" s="84">
        <v>43683</v>
      </c>
      <c r="N5646" s="85">
        <f t="shared" si="1708"/>
        <v>129</v>
      </c>
      <c r="O5646" s="86">
        <f t="shared" si="1709"/>
        <v>587.89</v>
      </c>
      <c r="P5646" s="86">
        <f t="shared" si="1710"/>
        <v>0</v>
      </c>
      <c r="Q5646" s="86">
        <f t="shared" si="1711"/>
        <v>0</v>
      </c>
      <c r="R5646" s="86">
        <f t="shared" si="1712"/>
        <v>0</v>
      </c>
      <c r="S5646" s="86">
        <f t="shared" si="1713"/>
        <v>0</v>
      </c>
      <c r="T5646" s="86">
        <f t="shared" si="1714"/>
        <v>587.89</v>
      </c>
      <c r="U5646" s="87">
        <v>587.89</v>
      </c>
    </row>
    <row r="5647" spans="1:22" s="30" customFormat="1" ht="24.6" hidden="1" outlineLevel="1" x14ac:dyDescent="0.55000000000000004">
      <c r="A5647" s="27" t="s">
        <v>327</v>
      </c>
      <c r="B5647" s="28"/>
      <c r="C5647" s="27"/>
      <c r="D5647" s="27" t="str">
        <f>"""NAV Direct"",""CRONUS JetCorp USA"",""21"",""1"",""281597"""</f>
        <v>"NAV Direct","CRONUS JetCorp USA","21","1","281597"</v>
      </c>
      <c r="E5647" s="31" t="str">
        <f t="shared" si="1706"/>
        <v>C100501</v>
      </c>
      <c r="F5647" s="31"/>
      <c r="G5647" s="31"/>
      <c r="H5647" s="31"/>
      <c r="I5647" s="56"/>
      <c r="J5647" s="56"/>
      <c r="K5647" s="82" t="str">
        <f t="shared" si="1707"/>
        <v>Invoice</v>
      </c>
      <c r="L5647" s="83" t="str">
        <f>"SI_108616"</f>
        <v>SI_108616</v>
      </c>
      <c r="M5647" s="84">
        <v>43685</v>
      </c>
      <c r="N5647" s="85">
        <f t="shared" si="1708"/>
        <v>127</v>
      </c>
      <c r="O5647" s="86">
        <f t="shared" si="1709"/>
        <v>587.92999999999995</v>
      </c>
      <c r="P5647" s="86">
        <f t="shared" si="1710"/>
        <v>0</v>
      </c>
      <c r="Q5647" s="86">
        <f t="shared" si="1711"/>
        <v>0</v>
      </c>
      <c r="R5647" s="86">
        <f t="shared" si="1712"/>
        <v>0</v>
      </c>
      <c r="S5647" s="86">
        <f t="shared" si="1713"/>
        <v>0</v>
      </c>
      <c r="T5647" s="86">
        <f t="shared" si="1714"/>
        <v>587.92999999999995</v>
      </c>
      <c r="U5647" s="87">
        <v>587.92999999999995</v>
      </c>
    </row>
    <row r="5648" spans="1:22" s="30" customFormat="1" ht="24.6" hidden="1" outlineLevel="1" x14ac:dyDescent="0.55000000000000004">
      <c r="A5648" s="27" t="s">
        <v>327</v>
      </c>
      <c r="B5648" s="28"/>
      <c r="C5648" s="27"/>
      <c r="D5648" s="27" t="str">
        <f>"""NAV Direct"",""CRONUS JetCorp USA"",""21"",""1"",""281742"""</f>
        <v>"NAV Direct","CRONUS JetCorp USA","21","1","281742"</v>
      </c>
      <c r="E5648" s="31">
        <f t="shared" si="1706"/>
        <v>0</v>
      </c>
      <c r="F5648" s="31"/>
      <c r="G5648" s="31"/>
      <c r="H5648" s="31"/>
      <c r="I5648" s="56"/>
      <c r="J5648" s="56"/>
      <c r="K5648" s="82" t="str">
        <f t="shared" si="1707"/>
        <v>Invoice</v>
      </c>
      <c r="L5648" s="83" t="str">
        <f>"SI_108622"</f>
        <v>SI_108622</v>
      </c>
      <c r="M5648" s="84">
        <v>43758</v>
      </c>
      <c r="N5648" s="85">
        <f t="shared" si="1708"/>
        <v>54</v>
      </c>
      <c r="O5648" s="86">
        <f t="shared" si="1709"/>
        <v>705.38</v>
      </c>
      <c r="P5648" s="86">
        <f t="shared" si="1710"/>
        <v>0</v>
      </c>
      <c r="Q5648" s="86">
        <f t="shared" si="1711"/>
        <v>0</v>
      </c>
      <c r="R5648" s="86">
        <f t="shared" si="1712"/>
        <v>705.38</v>
      </c>
      <c r="S5648" s="86">
        <f t="shared" si="1713"/>
        <v>0</v>
      </c>
      <c r="T5648" s="86">
        <f t="shared" si="1714"/>
        <v>0</v>
      </c>
      <c r="U5648" s="87">
        <v>705.38</v>
      </c>
    </row>
    <row r="5649" spans="1:21" s="30" customFormat="1" ht="24.6" hidden="1" outlineLevel="1" x14ac:dyDescent="0.55000000000000004">
      <c r="A5649" s="27" t="s">
        <v>327</v>
      </c>
      <c r="B5649" s="28"/>
      <c r="C5649" s="27"/>
      <c r="D5649" s="27" t="str">
        <f>"""NAV Direct"",""CRONUS JetCorp USA"",""21"",""1"",""282052"""</f>
        <v>"NAV Direct","CRONUS JetCorp USA","21","1","282052"</v>
      </c>
      <c r="E5649" s="31" t="str">
        <f t="shared" si="1706"/>
        <v>C100501</v>
      </c>
      <c r="F5649" s="31"/>
      <c r="G5649" s="31"/>
      <c r="H5649" s="31"/>
      <c r="I5649" s="56"/>
      <c r="J5649" s="56"/>
      <c r="K5649" s="82" t="str">
        <f t="shared" si="1707"/>
        <v>Invoice</v>
      </c>
      <c r="L5649" s="83" t="str">
        <f>"SI_108633"</f>
        <v>SI_108633</v>
      </c>
      <c r="M5649" s="84">
        <v>43761</v>
      </c>
      <c r="N5649" s="85">
        <f t="shared" si="1708"/>
        <v>51</v>
      </c>
      <c r="O5649" s="86">
        <f t="shared" si="1709"/>
        <v>705.53000000000009</v>
      </c>
      <c r="P5649" s="86">
        <f t="shared" si="1710"/>
        <v>0</v>
      </c>
      <c r="Q5649" s="86">
        <f t="shared" si="1711"/>
        <v>0</v>
      </c>
      <c r="R5649" s="86">
        <f t="shared" si="1712"/>
        <v>705.53000000000009</v>
      </c>
      <c r="S5649" s="86">
        <f t="shared" si="1713"/>
        <v>0</v>
      </c>
      <c r="T5649" s="86">
        <f t="shared" si="1714"/>
        <v>0</v>
      </c>
      <c r="U5649" s="87">
        <v>705.53000000000009</v>
      </c>
    </row>
    <row r="5650" spans="1:21" s="30" customFormat="1" ht="24.6" hidden="1" outlineLevel="1" x14ac:dyDescent="0.55000000000000004">
      <c r="A5650" s="27" t="s">
        <v>327</v>
      </c>
      <c r="B5650" s="28"/>
      <c r="C5650" s="27"/>
      <c r="D5650" s="27" t="str">
        <f>"""NAV Direct"",""CRONUS JetCorp USA"",""21"",""1"",""282376"""</f>
        <v>"NAV Direct","CRONUS JetCorp USA","21","1","282376"</v>
      </c>
      <c r="E5650" s="31">
        <f t="shared" si="1706"/>
        <v>0</v>
      </c>
      <c r="F5650" s="31"/>
      <c r="G5650" s="31"/>
      <c r="H5650" s="31"/>
      <c r="I5650" s="56"/>
      <c r="J5650" s="56"/>
      <c r="K5650" s="82" t="str">
        <f t="shared" si="1707"/>
        <v>Invoice</v>
      </c>
      <c r="L5650" s="83" t="str">
        <f>"SI_108646"</f>
        <v>SI_108646</v>
      </c>
      <c r="M5650" s="84">
        <v>42007</v>
      </c>
      <c r="N5650" s="85">
        <f t="shared" si="1708"/>
        <v>1805</v>
      </c>
      <c r="O5650" s="86">
        <f t="shared" si="1709"/>
        <v>776.16000000000008</v>
      </c>
      <c r="P5650" s="86">
        <f t="shared" si="1710"/>
        <v>0</v>
      </c>
      <c r="Q5650" s="86">
        <f t="shared" si="1711"/>
        <v>0</v>
      </c>
      <c r="R5650" s="86">
        <f t="shared" si="1712"/>
        <v>0</v>
      </c>
      <c r="S5650" s="86">
        <f t="shared" si="1713"/>
        <v>0</v>
      </c>
      <c r="T5650" s="86">
        <f t="shared" si="1714"/>
        <v>776.16000000000008</v>
      </c>
      <c r="U5650" s="87">
        <v>776.16000000000008</v>
      </c>
    </row>
    <row r="5651" spans="1:21" s="30" customFormat="1" ht="24.6" hidden="1" outlineLevel="1" x14ac:dyDescent="0.55000000000000004">
      <c r="A5651" s="27" t="s">
        <v>327</v>
      </c>
      <c r="B5651" s="28"/>
      <c r="C5651" s="27"/>
      <c r="D5651" s="27" t="str">
        <f>"""NAV Direct"",""CRONUS JetCorp USA"",""21"",""1"",""283116"""</f>
        <v>"NAV Direct","CRONUS JetCorp USA","21","1","283116"</v>
      </c>
      <c r="E5651" s="31" t="str">
        <f t="shared" si="1706"/>
        <v>C100501</v>
      </c>
      <c r="F5651" s="31"/>
      <c r="G5651" s="31"/>
      <c r="H5651" s="31"/>
      <c r="I5651" s="56"/>
      <c r="J5651" s="56"/>
      <c r="K5651" s="82" t="str">
        <f t="shared" si="1707"/>
        <v>Invoice</v>
      </c>
      <c r="L5651" s="83" t="str">
        <f>"SI_108674"</f>
        <v>SI_108674</v>
      </c>
      <c r="M5651" s="84">
        <v>42195</v>
      </c>
      <c r="N5651" s="85">
        <f t="shared" si="1708"/>
        <v>1617</v>
      </c>
      <c r="O5651" s="86">
        <f t="shared" si="1709"/>
        <v>939.13</v>
      </c>
      <c r="P5651" s="86">
        <f t="shared" si="1710"/>
        <v>0</v>
      </c>
      <c r="Q5651" s="86">
        <f t="shared" si="1711"/>
        <v>0</v>
      </c>
      <c r="R5651" s="86">
        <f t="shared" si="1712"/>
        <v>0</v>
      </c>
      <c r="S5651" s="86">
        <f t="shared" si="1713"/>
        <v>0</v>
      </c>
      <c r="T5651" s="86">
        <f t="shared" si="1714"/>
        <v>939.13</v>
      </c>
      <c r="U5651" s="87">
        <v>939.13</v>
      </c>
    </row>
    <row r="5652" spans="1:21" s="30" customFormat="1" ht="24.6" hidden="1" outlineLevel="1" x14ac:dyDescent="0.55000000000000004">
      <c r="A5652" s="27" t="s">
        <v>327</v>
      </c>
      <c r="B5652" s="28"/>
      <c r="C5652" s="27"/>
      <c r="D5652" s="27" t="str">
        <f>"""NAV Direct"",""CRONUS JetCorp USA"",""21"",""1"",""283570"""</f>
        <v>"NAV Direct","CRONUS JetCorp USA","21","1","283570"</v>
      </c>
      <c r="E5652" s="31">
        <f t="shared" si="1706"/>
        <v>0</v>
      </c>
      <c r="F5652" s="31"/>
      <c r="G5652" s="31"/>
      <c r="H5652" s="31"/>
      <c r="I5652" s="56"/>
      <c r="J5652" s="56"/>
      <c r="K5652" s="82" t="str">
        <f t="shared" si="1707"/>
        <v>Invoice</v>
      </c>
      <c r="L5652" s="83" t="str">
        <f>"SI_108692"</f>
        <v>SI_108692</v>
      </c>
      <c r="M5652" s="84">
        <v>42205</v>
      </c>
      <c r="N5652" s="85">
        <f t="shared" si="1708"/>
        <v>1607</v>
      </c>
      <c r="O5652" s="86">
        <f t="shared" si="1709"/>
        <v>939.14</v>
      </c>
      <c r="P5652" s="86">
        <f t="shared" si="1710"/>
        <v>0</v>
      </c>
      <c r="Q5652" s="86">
        <f t="shared" si="1711"/>
        <v>0</v>
      </c>
      <c r="R5652" s="86">
        <f t="shared" si="1712"/>
        <v>0</v>
      </c>
      <c r="S5652" s="86">
        <f t="shared" si="1713"/>
        <v>0</v>
      </c>
      <c r="T5652" s="86">
        <f t="shared" si="1714"/>
        <v>939.14</v>
      </c>
      <c r="U5652" s="87">
        <v>939.14</v>
      </c>
    </row>
    <row r="5653" spans="1:21" s="30" customFormat="1" ht="24.6" hidden="1" outlineLevel="1" x14ac:dyDescent="0.55000000000000004">
      <c r="A5653" s="27" t="s">
        <v>327</v>
      </c>
      <c r="B5653" s="28"/>
      <c r="C5653" s="27"/>
      <c r="D5653" s="27" t="str">
        <f>"""NAV Direct"",""CRONUS JetCorp USA"",""21"",""1"",""284964"""</f>
        <v>"NAV Direct","CRONUS JetCorp USA","21","1","284964"</v>
      </c>
      <c r="E5653" s="31" t="str">
        <f t="shared" si="1706"/>
        <v>C100501</v>
      </c>
      <c r="F5653" s="31"/>
      <c r="G5653" s="31"/>
      <c r="H5653" s="31"/>
      <c r="I5653" s="56"/>
      <c r="J5653" s="56"/>
      <c r="K5653" s="82" t="str">
        <f t="shared" si="1707"/>
        <v>Invoice</v>
      </c>
      <c r="L5653" s="83" t="str">
        <f>"SI_108742"</f>
        <v>SI_108742</v>
      </c>
      <c r="M5653" s="84">
        <v>42741</v>
      </c>
      <c r="N5653" s="85">
        <f t="shared" si="1708"/>
        <v>1071</v>
      </c>
      <c r="O5653" s="86">
        <f t="shared" si="1709"/>
        <v>1136.21</v>
      </c>
      <c r="P5653" s="86">
        <f t="shared" si="1710"/>
        <v>0</v>
      </c>
      <c r="Q5653" s="86">
        <f t="shared" si="1711"/>
        <v>0</v>
      </c>
      <c r="R5653" s="86">
        <f t="shared" si="1712"/>
        <v>0</v>
      </c>
      <c r="S5653" s="86">
        <f t="shared" si="1713"/>
        <v>0</v>
      </c>
      <c r="T5653" s="86">
        <f t="shared" si="1714"/>
        <v>1136.21</v>
      </c>
      <c r="U5653" s="87">
        <v>1136.21</v>
      </c>
    </row>
    <row r="5654" spans="1:21" s="30" customFormat="1" ht="24.6" hidden="1" outlineLevel="1" x14ac:dyDescent="0.55000000000000004">
      <c r="A5654" s="27" t="s">
        <v>327</v>
      </c>
      <c r="B5654" s="28"/>
      <c r="C5654" s="27"/>
      <c r="D5654" s="27" t="str">
        <f>"""NAV Direct"",""CRONUS JetCorp USA"",""21"",""1"",""285957"""</f>
        <v>"NAV Direct","CRONUS JetCorp USA","21","1","285957"</v>
      </c>
      <c r="E5654" s="31">
        <f t="shared" si="1706"/>
        <v>0</v>
      </c>
      <c r="F5654" s="31"/>
      <c r="G5654" s="31"/>
      <c r="H5654" s="31"/>
      <c r="I5654" s="56"/>
      <c r="J5654" s="56"/>
      <c r="K5654" s="82" t="str">
        <f t="shared" si="1707"/>
        <v>Invoice</v>
      </c>
      <c r="L5654" s="83" t="str">
        <f>"SI_108778"</f>
        <v>SI_108778</v>
      </c>
      <c r="M5654" s="84">
        <v>42851</v>
      </c>
      <c r="N5654" s="85">
        <f t="shared" si="1708"/>
        <v>961</v>
      </c>
      <c r="O5654" s="86">
        <f t="shared" si="1709"/>
        <v>1249.8699999999999</v>
      </c>
      <c r="P5654" s="86">
        <f t="shared" si="1710"/>
        <v>0</v>
      </c>
      <c r="Q5654" s="86">
        <f t="shared" si="1711"/>
        <v>0</v>
      </c>
      <c r="R5654" s="86">
        <f t="shared" si="1712"/>
        <v>0</v>
      </c>
      <c r="S5654" s="86">
        <f t="shared" si="1713"/>
        <v>0</v>
      </c>
      <c r="T5654" s="86">
        <f t="shared" si="1714"/>
        <v>1249.8699999999999</v>
      </c>
      <c r="U5654" s="87">
        <v>1249.8699999999999</v>
      </c>
    </row>
    <row r="5655" spans="1:21" s="30" customFormat="1" ht="24.6" hidden="1" outlineLevel="1" x14ac:dyDescent="0.55000000000000004">
      <c r="A5655" s="27" t="s">
        <v>327</v>
      </c>
      <c r="B5655" s="28"/>
      <c r="C5655" s="27"/>
      <c r="D5655" s="27" t="str">
        <f>"""NAV Direct"",""CRONUS JetCorp USA"",""21"",""1"",""286506"""</f>
        <v>"NAV Direct","CRONUS JetCorp USA","21","1","286506"</v>
      </c>
      <c r="E5655" s="31" t="str">
        <f t="shared" si="1706"/>
        <v>C100501</v>
      </c>
      <c r="F5655" s="31"/>
      <c r="G5655" s="31"/>
      <c r="H5655" s="31"/>
      <c r="I5655" s="56"/>
      <c r="J5655" s="56"/>
      <c r="K5655" s="82" t="str">
        <f t="shared" si="1707"/>
        <v>Invoice</v>
      </c>
      <c r="L5655" s="83" t="str">
        <f>"SI_108796"</f>
        <v>SI_108796</v>
      </c>
      <c r="M5655" s="84">
        <v>42950</v>
      </c>
      <c r="N5655" s="85">
        <f t="shared" si="1708"/>
        <v>862</v>
      </c>
      <c r="O5655" s="86">
        <f t="shared" si="1709"/>
        <v>1374.95</v>
      </c>
      <c r="P5655" s="86">
        <f t="shared" si="1710"/>
        <v>0</v>
      </c>
      <c r="Q5655" s="86">
        <f t="shared" si="1711"/>
        <v>0</v>
      </c>
      <c r="R5655" s="86">
        <f t="shared" si="1712"/>
        <v>0</v>
      </c>
      <c r="S5655" s="86">
        <f t="shared" si="1713"/>
        <v>0</v>
      </c>
      <c r="T5655" s="86">
        <f t="shared" si="1714"/>
        <v>1374.95</v>
      </c>
      <c r="U5655" s="87">
        <v>1374.95</v>
      </c>
    </row>
    <row r="5656" spans="1:21" s="30" customFormat="1" ht="24.6" hidden="1" outlineLevel="1" x14ac:dyDescent="0.55000000000000004">
      <c r="A5656" s="27" t="s">
        <v>327</v>
      </c>
      <c r="B5656" s="28"/>
      <c r="C5656" s="27"/>
      <c r="D5656" s="27" t="str">
        <f>"""NAV Direct"",""CRONUS JetCorp USA"",""21"",""1"",""286695"""</f>
        <v>"NAV Direct","CRONUS JetCorp USA","21","1","286695"</v>
      </c>
      <c r="E5656" s="31">
        <f t="shared" si="1706"/>
        <v>0</v>
      </c>
      <c r="F5656" s="31"/>
      <c r="G5656" s="31"/>
      <c r="H5656" s="31"/>
      <c r="I5656" s="56"/>
      <c r="J5656" s="56"/>
      <c r="K5656" s="82" t="str">
        <f t="shared" si="1707"/>
        <v>Invoice</v>
      </c>
      <c r="L5656" s="83" t="str">
        <f>"SI_108802"</f>
        <v>SI_108802</v>
      </c>
      <c r="M5656" s="84">
        <v>42961</v>
      </c>
      <c r="N5656" s="85">
        <f t="shared" si="1708"/>
        <v>851</v>
      </c>
      <c r="O5656" s="86">
        <f t="shared" si="1709"/>
        <v>1374.86</v>
      </c>
      <c r="P5656" s="86">
        <f t="shared" si="1710"/>
        <v>0</v>
      </c>
      <c r="Q5656" s="86">
        <f t="shared" si="1711"/>
        <v>0</v>
      </c>
      <c r="R5656" s="86">
        <f t="shared" si="1712"/>
        <v>0</v>
      </c>
      <c r="S5656" s="86">
        <f t="shared" si="1713"/>
        <v>0</v>
      </c>
      <c r="T5656" s="86">
        <f t="shared" si="1714"/>
        <v>1374.86</v>
      </c>
      <c r="U5656" s="87">
        <v>1374.86</v>
      </c>
    </row>
    <row r="5657" spans="1:21" s="30" customFormat="1" ht="24.6" hidden="1" outlineLevel="1" x14ac:dyDescent="0.55000000000000004">
      <c r="A5657" s="27" t="s">
        <v>327</v>
      </c>
      <c r="B5657" s="28"/>
      <c r="C5657" s="27"/>
      <c r="D5657" s="27" t="str">
        <f>"""NAV Direct"",""CRONUS JetCorp USA"",""21"",""1"",""286855"""</f>
        <v>"NAV Direct","CRONUS JetCorp USA","21","1","286855"</v>
      </c>
      <c r="E5657" s="31" t="str">
        <f t="shared" si="1706"/>
        <v>C100501</v>
      </c>
      <c r="F5657" s="31"/>
      <c r="G5657" s="31"/>
      <c r="H5657" s="31"/>
      <c r="I5657" s="56"/>
      <c r="J5657" s="56"/>
      <c r="K5657" s="82" t="str">
        <f t="shared" si="1707"/>
        <v>Invoice</v>
      </c>
      <c r="L5657" s="83" t="str">
        <f>"SI_108808"</f>
        <v>SI_108808</v>
      </c>
      <c r="M5657" s="84">
        <v>42965</v>
      </c>
      <c r="N5657" s="85">
        <f t="shared" si="1708"/>
        <v>847</v>
      </c>
      <c r="O5657" s="86">
        <f t="shared" si="1709"/>
        <v>1375.02</v>
      </c>
      <c r="P5657" s="86">
        <f t="shared" si="1710"/>
        <v>0</v>
      </c>
      <c r="Q5657" s="86">
        <f t="shared" si="1711"/>
        <v>0</v>
      </c>
      <c r="R5657" s="86">
        <f t="shared" si="1712"/>
        <v>0</v>
      </c>
      <c r="S5657" s="86">
        <f t="shared" si="1713"/>
        <v>0</v>
      </c>
      <c r="T5657" s="86">
        <f t="shared" si="1714"/>
        <v>1375.02</v>
      </c>
      <c r="U5657" s="87">
        <v>1375.02</v>
      </c>
    </row>
    <row r="5658" spans="1:21" s="30" customFormat="1" ht="24.6" hidden="1" outlineLevel="1" x14ac:dyDescent="0.55000000000000004">
      <c r="A5658" s="27" t="s">
        <v>327</v>
      </c>
      <c r="B5658" s="28"/>
      <c r="C5658" s="27"/>
      <c r="D5658" s="27" t="str">
        <f>"""NAV Direct"",""CRONUS JetCorp USA"",""21"",""1"",""287806"""</f>
        <v>"NAV Direct","CRONUS JetCorp USA","21","1","287806"</v>
      </c>
      <c r="E5658" s="31">
        <f t="shared" si="1706"/>
        <v>0</v>
      </c>
      <c r="F5658" s="31"/>
      <c r="G5658" s="31"/>
      <c r="H5658" s="31"/>
      <c r="I5658" s="56"/>
      <c r="J5658" s="56"/>
      <c r="K5658" s="82" t="str">
        <f t="shared" si="1707"/>
        <v>Invoice</v>
      </c>
      <c r="L5658" s="83" t="str">
        <f>"SI_108842"</f>
        <v>SI_108842</v>
      </c>
      <c r="M5658" s="84">
        <v>43039</v>
      </c>
      <c r="N5658" s="85">
        <f t="shared" si="1708"/>
        <v>773</v>
      </c>
      <c r="O5658" s="86">
        <f t="shared" si="1709"/>
        <v>1512.24</v>
      </c>
      <c r="P5658" s="86">
        <f t="shared" si="1710"/>
        <v>0</v>
      </c>
      <c r="Q5658" s="86">
        <f t="shared" si="1711"/>
        <v>0</v>
      </c>
      <c r="R5658" s="86">
        <f t="shared" si="1712"/>
        <v>0</v>
      </c>
      <c r="S5658" s="86">
        <f t="shared" si="1713"/>
        <v>0</v>
      </c>
      <c r="T5658" s="86">
        <f t="shared" si="1714"/>
        <v>1512.24</v>
      </c>
      <c r="U5658" s="87">
        <v>1512.24</v>
      </c>
    </row>
    <row r="5659" spans="1:21" s="30" customFormat="1" ht="24.6" hidden="1" outlineLevel="1" x14ac:dyDescent="0.55000000000000004">
      <c r="A5659" s="27" t="s">
        <v>327</v>
      </c>
      <c r="B5659" s="28"/>
      <c r="C5659" s="27"/>
      <c r="D5659" s="27" t="str">
        <f>"""NAV Direct"",""CRONUS JetCorp USA"",""21"",""1"",""287927"""</f>
        <v>"NAV Direct","CRONUS JetCorp USA","21","1","287927"</v>
      </c>
      <c r="E5659" s="31" t="str">
        <f t="shared" si="1706"/>
        <v>C100501</v>
      </c>
      <c r="F5659" s="31"/>
      <c r="G5659" s="31"/>
      <c r="H5659" s="31"/>
      <c r="I5659" s="56"/>
      <c r="J5659" s="56"/>
      <c r="K5659" s="82" t="str">
        <f t="shared" si="1707"/>
        <v>Invoice</v>
      </c>
      <c r="L5659" s="83" t="str">
        <f>"SI_108846"</f>
        <v>SI_108846</v>
      </c>
      <c r="M5659" s="84">
        <v>43064</v>
      </c>
      <c r="N5659" s="85">
        <f t="shared" si="1708"/>
        <v>748</v>
      </c>
      <c r="O5659" s="86">
        <f t="shared" si="1709"/>
        <v>1512.45</v>
      </c>
      <c r="P5659" s="86">
        <f t="shared" si="1710"/>
        <v>0</v>
      </c>
      <c r="Q5659" s="86">
        <f t="shared" si="1711"/>
        <v>0</v>
      </c>
      <c r="R5659" s="86">
        <f t="shared" si="1712"/>
        <v>0</v>
      </c>
      <c r="S5659" s="86">
        <f t="shared" si="1713"/>
        <v>0</v>
      </c>
      <c r="T5659" s="86">
        <f t="shared" si="1714"/>
        <v>1512.45</v>
      </c>
      <c r="U5659" s="87">
        <v>1512.45</v>
      </c>
    </row>
    <row r="5660" spans="1:21" s="30" customFormat="1" ht="24.6" hidden="1" outlineLevel="1" x14ac:dyDescent="0.55000000000000004">
      <c r="A5660" s="27" t="s">
        <v>327</v>
      </c>
      <c r="B5660" s="28"/>
      <c r="C5660" s="27"/>
      <c r="D5660" s="27" t="str">
        <f>"""NAV Direct"",""CRONUS JetCorp USA"",""21"",""1"",""288165"""</f>
        <v>"NAV Direct","CRONUS JetCorp USA","21","1","288165"</v>
      </c>
      <c r="E5660" s="31">
        <f t="shared" si="1706"/>
        <v>0</v>
      </c>
      <c r="F5660" s="31"/>
      <c r="G5660" s="31"/>
      <c r="H5660" s="31"/>
      <c r="I5660" s="56"/>
      <c r="J5660" s="56"/>
      <c r="K5660" s="82" t="str">
        <f t="shared" si="1707"/>
        <v>Invoice</v>
      </c>
      <c r="L5660" s="83" t="str">
        <f>"SI_108854"</f>
        <v>SI_108854</v>
      </c>
      <c r="M5660" s="84">
        <v>43105</v>
      </c>
      <c r="N5660" s="85">
        <f t="shared" si="1708"/>
        <v>707</v>
      </c>
      <c r="O5660" s="86">
        <f t="shared" si="1709"/>
        <v>1663.7800000000002</v>
      </c>
      <c r="P5660" s="86">
        <f t="shared" si="1710"/>
        <v>0</v>
      </c>
      <c r="Q5660" s="86">
        <f t="shared" si="1711"/>
        <v>0</v>
      </c>
      <c r="R5660" s="86">
        <f t="shared" si="1712"/>
        <v>0</v>
      </c>
      <c r="S5660" s="86">
        <f t="shared" si="1713"/>
        <v>0</v>
      </c>
      <c r="T5660" s="86">
        <f t="shared" si="1714"/>
        <v>1663.7800000000002</v>
      </c>
      <c r="U5660" s="87">
        <v>1663.7800000000002</v>
      </c>
    </row>
    <row r="5661" spans="1:21" s="30" customFormat="1" ht="24.6" hidden="1" outlineLevel="1" x14ac:dyDescent="0.55000000000000004">
      <c r="A5661" s="27" t="s">
        <v>327</v>
      </c>
      <c r="B5661" s="28"/>
      <c r="C5661" s="27"/>
      <c r="D5661" s="27" t="str">
        <f>"""NAV Direct"",""CRONUS JetCorp USA"",""21"",""1"",""288487"""</f>
        <v>"NAV Direct","CRONUS JetCorp USA","21","1","288487"</v>
      </c>
      <c r="E5661" s="31" t="str">
        <f t="shared" si="1706"/>
        <v>C100501</v>
      </c>
      <c r="F5661" s="31"/>
      <c r="G5661" s="31"/>
      <c r="H5661" s="31"/>
      <c r="I5661" s="56"/>
      <c r="J5661" s="56"/>
      <c r="K5661" s="82" t="str">
        <f t="shared" si="1707"/>
        <v>Invoice</v>
      </c>
      <c r="L5661" s="83" t="str">
        <f>"SI_108865"</f>
        <v>SI_108865</v>
      </c>
      <c r="M5661" s="84">
        <v>43140</v>
      </c>
      <c r="N5661" s="85">
        <f t="shared" si="1708"/>
        <v>672</v>
      </c>
      <c r="O5661" s="86">
        <f t="shared" si="1709"/>
        <v>1663.64</v>
      </c>
      <c r="P5661" s="86">
        <f t="shared" si="1710"/>
        <v>0</v>
      </c>
      <c r="Q5661" s="86">
        <f t="shared" si="1711"/>
        <v>0</v>
      </c>
      <c r="R5661" s="86">
        <f t="shared" si="1712"/>
        <v>0</v>
      </c>
      <c r="S5661" s="86">
        <f t="shared" si="1713"/>
        <v>0</v>
      </c>
      <c r="T5661" s="86">
        <f t="shared" si="1714"/>
        <v>1663.64</v>
      </c>
      <c r="U5661" s="87">
        <v>1663.64</v>
      </c>
    </row>
    <row r="5662" spans="1:21" s="30" customFormat="1" ht="24.6" hidden="1" outlineLevel="1" x14ac:dyDescent="0.55000000000000004">
      <c r="A5662" s="27" t="s">
        <v>327</v>
      </c>
      <c r="B5662" s="28"/>
      <c r="C5662" s="27"/>
      <c r="D5662" s="27" t="str">
        <f>"""NAV Direct"",""CRONUS JetCorp USA"",""21"",""1"",""290636"""</f>
        <v>"NAV Direct","CRONUS JetCorp USA","21","1","290636"</v>
      </c>
      <c r="E5662" s="31">
        <f t="shared" si="1706"/>
        <v>0</v>
      </c>
      <c r="F5662" s="31"/>
      <c r="G5662" s="31"/>
      <c r="H5662" s="31"/>
      <c r="I5662" s="56"/>
      <c r="J5662" s="56"/>
      <c r="K5662" s="82" t="str">
        <f t="shared" si="1707"/>
        <v>Invoice</v>
      </c>
      <c r="L5662" s="83" t="str">
        <f>"SI_108936"</f>
        <v>SI_108936</v>
      </c>
      <c r="M5662" s="84">
        <v>43301</v>
      </c>
      <c r="N5662" s="85">
        <f t="shared" si="1708"/>
        <v>511</v>
      </c>
      <c r="O5662" s="86">
        <f t="shared" si="1709"/>
        <v>2013.1</v>
      </c>
      <c r="P5662" s="86">
        <f t="shared" si="1710"/>
        <v>0</v>
      </c>
      <c r="Q5662" s="86">
        <f t="shared" si="1711"/>
        <v>0</v>
      </c>
      <c r="R5662" s="86">
        <f t="shared" si="1712"/>
        <v>0</v>
      </c>
      <c r="S5662" s="86">
        <f t="shared" si="1713"/>
        <v>0</v>
      </c>
      <c r="T5662" s="86">
        <f t="shared" si="1714"/>
        <v>2013.1</v>
      </c>
      <c r="U5662" s="87">
        <v>2013.1</v>
      </c>
    </row>
    <row r="5663" spans="1:21" s="30" customFormat="1" ht="24.6" hidden="1" outlineLevel="1" x14ac:dyDescent="0.55000000000000004">
      <c r="A5663" s="27" t="s">
        <v>327</v>
      </c>
      <c r="B5663" s="28"/>
      <c r="C5663" s="27"/>
      <c r="D5663" s="27" t="str">
        <f>"""NAV Direct"",""CRONUS JetCorp USA"",""21"",""1"",""292664"""</f>
        <v>"NAV Direct","CRONUS JetCorp USA","21","1","292664"</v>
      </c>
      <c r="E5663" s="31" t="str">
        <f t="shared" si="1706"/>
        <v>C100501</v>
      </c>
      <c r="F5663" s="31"/>
      <c r="G5663" s="31"/>
      <c r="H5663" s="31"/>
      <c r="I5663" s="56"/>
      <c r="J5663" s="56"/>
      <c r="K5663" s="82" t="str">
        <f t="shared" si="1707"/>
        <v>Invoice</v>
      </c>
      <c r="L5663" s="83" t="str">
        <f>"SI_109004"</f>
        <v>SI_109004</v>
      </c>
      <c r="M5663" s="84">
        <v>43432</v>
      </c>
      <c r="N5663" s="85">
        <f t="shared" si="1708"/>
        <v>380</v>
      </c>
      <c r="O5663" s="86">
        <f t="shared" si="1709"/>
        <v>2214.2599999999998</v>
      </c>
      <c r="P5663" s="86">
        <f t="shared" si="1710"/>
        <v>0</v>
      </c>
      <c r="Q5663" s="86">
        <f t="shared" si="1711"/>
        <v>0</v>
      </c>
      <c r="R5663" s="86">
        <f t="shared" si="1712"/>
        <v>0</v>
      </c>
      <c r="S5663" s="86">
        <f t="shared" si="1713"/>
        <v>0</v>
      </c>
      <c r="T5663" s="86">
        <f t="shared" si="1714"/>
        <v>2214.2599999999998</v>
      </c>
      <c r="U5663" s="87">
        <v>2214.2599999999998</v>
      </c>
    </row>
    <row r="5664" spans="1:21" s="30" customFormat="1" ht="24.6" hidden="1" outlineLevel="1" x14ac:dyDescent="0.55000000000000004">
      <c r="A5664" s="27" t="s">
        <v>327</v>
      </c>
      <c r="B5664" s="28"/>
      <c r="C5664" s="27"/>
      <c r="D5664" s="27" t="str">
        <f>"""NAV Direct"",""CRONUS JetCorp USA"",""21"",""1"",""292814"""</f>
        <v>"NAV Direct","CRONUS JetCorp USA","21","1","292814"</v>
      </c>
      <c r="E5664" s="31">
        <f t="shared" si="1706"/>
        <v>0</v>
      </c>
      <c r="F5664" s="31"/>
      <c r="G5664" s="31"/>
      <c r="H5664" s="31"/>
      <c r="I5664" s="56"/>
      <c r="J5664" s="56"/>
      <c r="K5664" s="82" t="str">
        <f t="shared" si="1707"/>
        <v>Invoice</v>
      </c>
      <c r="L5664" s="83" t="str">
        <f>"SI_109009"</f>
        <v>SI_109009</v>
      </c>
      <c r="M5664" s="84">
        <v>43412</v>
      </c>
      <c r="N5664" s="85">
        <f t="shared" si="1708"/>
        <v>400</v>
      </c>
      <c r="O5664" s="86">
        <f t="shared" si="1709"/>
        <v>2214.3500000000004</v>
      </c>
      <c r="P5664" s="86">
        <f t="shared" si="1710"/>
        <v>0</v>
      </c>
      <c r="Q5664" s="86">
        <f t="shared" si="1711"/>
        <v>0</v>
      </c>
      <c r="R5664" s="86">
        <f t="shared" si="1712"/>
        <v>0</v>
      </c>
      <c r="S5664" s="86">
        <f t="shared" si="1713"/>
        <v>0</v>
      </c>
      <c r="T5664" s="86">
        <f t="shared" si="1714"/>
        <v>2214.3500000000004</v>
      </c>
      <c r="U5664" s="87">
        <v>2214.3500000000004</v>
      </c>
    </row>
    <row r="5665" spans="1:22" s="30" customFormat="1" ht="24.6" hidden="1" outlineLevel="1" x14ac:dyDescent="0.55000000000000004">
      <c r="A5665" s="27" t="s">
        <v>327</v>
      </c>
      <c r="B5665" s="28"/>
      <c r="C5665" s="27"/>
      <c r="D5665" s="27" t="str">
        <f>"""NAV Direct"",""CRONUS JetCorp USA"",""21"",""1"",""292914"""</f>
        <v>"NAV Direct","CRONUS JetCorp USA","21","1","292914"</v>
      </c>
      <c r="E5665" s="31" t="str">
        <f t="shared" si="1706"/>
        <v>C100501</v>
      </c>
      <c r="F5665" s="31"/>
      <c r="G5665" s="31"/>
      <c r="H5665" s="31"/>
      <c r="I5665" s="56"/>
      <c r="J5665" s="56"/>
      <c r="K5665" s="82" t="str">
        <f t="shared" si="1707"/>
        <v>Invoice</v>
      </c>
      <c r="L5665" s="83" t="str">
        <f>"SI_109013"</f>
        <v>SI_109013</v>
      </c>
      <c r="M5665" s="84">
        <v>43428</v>
      </c>
      <c r="N5665" s="85">
        <f t="shared" si="1708"/>
        <v>384</v>
      </c>
      <c r="O5665" s="86">
        <f t="shared" si="1709"/>
        <v>2214.42</v>
      </c>
      <c r="P5665" s="86">
        <f t="shared" si="1710"/>
        <v>0</v>
      </c>
      <c r="Q5665" s="86">
        <f t="shared" si="1711"/>
        <v>0</v>
      </c>
      <c r="R5665" s="86">
        <f t="shared" si="1712"/>
        <v>0</v>
      </c>
      <c r="S5665" s="86">
        <f t="shared" si="1713"/>
        <v>0</v>
      </c>
      <c r="T5665" s="86">
        <f t="shared" si="1714"/>
        <v>2214.42</v>
      </c>
      <c r="U5665" s="87">
        <v>2214.42</v>
      </c>
    </row>
    <row r="5666" spans="1:22" s="30" customFormat="1" ht="24.6" hidden="1" outlineLevel="1" x14ac:dyDescent="0.55000000000000004">
      <c r="A5666" s="27" t="s">
        <v>327</v>
      </c>
      <c r="B5666" s="28"/>
      <c r="C5666" s="27"/>
      <c r="D5666" s="27" t="str">
        <f>"""NAV Direct"",""CRONUS JetCorp USA"",""21"",""1"",""293105"""</f>
        <v>"NAV Direct","CRONUS JetCorp USA","21","1","293105"</v>
      </c>
      <c r="E5666" s="31">
        <f t="shared" si="1706"/>
        <v>0</v>
      </c>
      <c r="F5666" s="31"/>
      <c r="G5666" s="31"/>
      <c r="H5666" s="31"/>
      <c r="I5666" s="56"/>
      <c r="J5666" s="56"/>
      <c r="K5666" s="82" t="str">
        <f t="shared" si="1707"/>
        <v>Invoice</v>
      </c>
      <c r="L5666" s="83" t="str">
        <f>"SI_109020"</f>
        <v>SI_109020</v>
      </c>
      <c r="M5666" s="84">
        <v>43473</v>
      </c>
      <c r="N5666" s="85">
        <f t="shared" si="1708"/>
        <v>339</v>
      </c>
      <c r="O5666" s="86">
        <f t="shared" si="1709"/>
        <v>2435.88</v>
      </c>
      <c r="P5666" s="86">
        <f t="shared" si="1710"/>
        <v>0</v>
      </c>
      <c r="Q5666" s="86">
        <f t="shared" si="1711"/>
        <v>0</v>
      </c>
      <c r="R5666" s="86">
        <f t="shared" si="1712"/>
        <v>0</v>
      </c>
      <c r="S5666" s="86">
        <f t="shared" si="1713"/>
        <v>0</v>
      </c>
      <c r="T5666" s="86">
        <f t="shared" si="1714"/>
        <v>2435.88</v>
      </c>
      <c r="U5666" s="87">
        <v>2435.88</v>
      </c>
    </row>
    <row r="5667" spans="1:22" s="30" customFormat="1" ht="24.6" hidden="1" outlineLevel="1" x14ac:dyDescent="0.55000000000000004">
      <c r="A5667" s="27" t="s">
        <v>327</v>
      </c>
      <c r="B5667" s="28"/>
      <c r="C5667" s="27"/>
      <c r="D5667" s="27" t="str">
        <f>"""NAV Direct"",""CRONUS JetCorp USA"",""21"",""1"",""293250"""</f>
        <v>"NAV Direct","CRONUS JetCorp USA","21","1","293250"</v>
      </c>
      <c r="E5667" s="31" t="str">
        <f t="shared" si="1706"/>
        <v>C100501</v>
      </c>
      <c r="F5667" s="31"/>
      <c r="G5667" s="31"/>
      <c r="H5667" s="31"/>
      <c r="I5667" s="56"/>
      <c r="J5667" s="56"/>
      <c r="K5667" s="82" t="str">
        <f t="shared" si="1707"/>
        <v>Invoice</v>
      </c>
      <c r="L5667" s="83" t="str">
        <f>"SI_109025"</f>
        <v>SI_109025</v>
      </c>
      <c r="M5667" s="84">
        <v>43489</v>
      </c>
      <c r="N5667" s="85">
        <f t="shared" si="1708"/>
        <v>323</v>
      </c>
      <c r="O5667" s="86">
        <f t="shared" si="1709"/>
        <v>2435.84</v>
      </c>
      <c r="P5667" s="86">
        <f t="shared" si="1710"/>
        <v>0</v>
      </c>
      <c r="Q5667" s="86">
        <f t="shared" si="1711"/>
        <v>0</v>
      </c>
      <c r="R5667" s="86">
        <f t="shared" si="1712"/>
        <v>0</v>
      </c>
      <c r="S5667" s="86">
        <f t="shared" si="1713"/>
        <v>0</v>
      </c>
      <c r="T5667" s="86">
        <f t="shared" si="1714"/>
        <v>2435.84</v>
      </c>
      <c r="U5667" s="87">
        <v>2435.84</v>
      </c>
    </row>
    <row r="5668" spans="1:22" s="30" customFormat="1" ht="24.6" hidden="1" outlineLevel="1" x14ac:dyDescent="0.55000000000000004">
      <c r="A5668" s="27" t="s">
        <v>327</v>
      </c>
      <c r="B5668" s="28"/>
      <c r="C5668" s="27"/>
      <c r="D5668" s="27" t="str">
        <f>"""NAV Direct"",""CRONUS JetCorp USA"",""21"",""1"",""293599"""</f>
        <v>"NAV Direct","CRONUS JetCorp USA","21","1","293599"</v>
      </c>
      <c r="E5668" s="31">
        <f t="shared" si="1706"/>
        <v>0</v>
      </c>
      <c r="F5668" s="31"/>
      <c r="G5668" s="31"/>
      <c r="H5668" s="31"/>
      <c r="I5668" s="56"/>
      <c r="J5668" s="56"/>
      <c r="K5668" s="82" t="str">
        <f t="shared" si="1707"/>
        <v>Invoice</v>
      </c>
      <c r="L5668" s="83" t="str">
        <f>"SI_109037"</f>
        <v>SI_109037</v>
      </c>
      <c r="M5668" s="84">
        <v>43488</v>
      </c>
      <c r="N5668" s="85">
        <f t="shared" si="1708"/>
        <v>324</v>
      </c>
      <c r="O5668" s="86">
        <f t="shared" si="1709"/>
        <v>2435.8599999999997</v>
      </c>
      <c r="P5668" s="86">
        <f t="shared" si="1710"/>
        <v>0</v>
      </c>
      <c r="Q5668" s="86">
        <f t="shared" si="1711"/>
        <v>0</v>
      </c>
      <c r="R5668" s="86">
        <f t="shared" si="1712"/>
        <v>0</v>
      </c>
      <c r="S5668" s="86">
        <f t="shared" si="1713"/>
        <v>0</v>
      </c>
      <c r="T5668" s="86">
        <f t="shared" si="1714"/>
        <v>2435.8599999999997</v>
      </c>
      <c r="U5668" s="87">
        <v>2435.8599999999997</v>
      </c>
    </row>
    <row r="5669" spans="1:22" s="30" customFormat="1" ht="24.6" hidden="1" outlineLevel="1" x14ac:dyDescent="0.55000000000000004">
      <c r="A5669" s="27" t="s">
        <v>327</v>
      </c>
      <c r="B5669" s="28"/>
      <c r="C5669" s="27"/>
      <c r="D5669" s="27" t="str">
        <f>"""NAV Direct"",""CRONUS JetCorp USA"",""21"",""1"",""295077"""</f>
        <v>"NAV Direct","CRONUS JetCorp USA","21","1","295077"</v>
      </c>
      <c r="E5669" s="31" t="str">
        <f t="shared" si="1706"/>
        <v>C100501</v>
      </c>
      <c r="F5669" s="31"/>
      <c r="G5669" s="31"/>
      <c r="H5669" s="31"/>
      <c r="I5669" s="56"/>
      <c r="J5669" s="56"/>
      <c r="K5669" s="82" t="str">
        <f t="shared" si="1707"/>
        <v>Invoice</v>
      </c>
      <c r="L5669" s="83" t="str">
        <f>"SI_109083"</f>
        <v>SI_109083</v>
      </c>
      <c r="M5669" s="84">
        <v>43589</v>
      </c>
      <c r="N5669" s="85">
        <f t="shared" si="1708"/>
        <v>223</v>
      </c>
      <c r="O5669" s="86">
        <f t="shared" si="1709"/>
        <v>2679.5</v>
      </c>
      <c r="P5669" s="86">
        <f t="shared" si="1710"/>
        <v>0</v>
      </c>
      <c r="Q5669" s="86">
        <f t="shared" si="1711"/>
        <v>0</v>
      </c>
      <c r="R5669" s="86">
        <f t="shared" si="1712"/>
        <v>0</v>
      </c>
      <c r="S5669" s="86">
        <f t="shared" si="1713"/>
        <v>0</v>
      </c>
      <c r="T5669" s="86">
        <f t="shared" si="1714"/>
        <v>2679.5</v>
      </c>
      <c r="U5669" s="87">
        <v>2679.5</v>
      </c>
    </row>
    <row r="5670" spans="1:22" s="30" customFormat="1" ht="24.6" hidden="1" outlineLevel="1" x14ac:dyDescent="0.55000000000000004">
      <c r="A5670" s="27" t="s">
        <v>327</v>
      </c>
      <c r="B5670" s="28"/>
      <c r="C5670" s="27"/>
      <c r="D5670" s="27" t="str">
        <f>"""NAV Direct"",""CRONUS JetCorp USA"",""21"",""1"",""296546"""</f>
        <v>"NAV Direct","CRONUS JetCorp USA","21","1","296546"</v>
      </c>
      <c r="E5670" s="31">
        <f t="shared" si="1706"/>
        <v>0</v>
      </c>
      <c r="F5670" s="31"/>
      <c r="G5670" s="31"/>
      <c r="H5670" s="31"/>
      <c r="I5670" s="56"/>
      <c r="J5670" s="56"/>
      <c r="K5670" s="82" t="str">
        <f t="shared" si="1707"/>
        <v>Invoice</v>
      </c>
      <c r="L5670" s="83" t="str">
        <f>"SI_109128"</f>
        <v>SI_109128</v>
      </c>
      <c r="M5670" s="84">
        <v>43660</v>
      </c>
      <c r="N5670" s="85">
        <f t="shared" si="1708"/>
        <v>152</v>
      </c>
      <c r="O5670" s="86">
        <f t="shared" si="1709"/>
        <v>2947.44</v>
      </c>
      <c r="P5670" s="86">
        <f t="shared" si="1710"/>
        <v>0</v>
      </c>
      <c r="Q5670" s="86">
        <f t="shared" si="1711"/>
        <v>0</v>
      </c>
      <c r="R5670" s="86">
        <f t="shared" si="1712"/>
        <v>0</v>
      </c>
      <c r="S5670" s="86">
        <f t="shared" si="1713"/>
        <v>0</v>
      </c>
      <c r="T5670" s="86">
        <f t="shared" si="1714"/>
        <v>2947.44</v>
      </c>
      <c r="U5670" s="87">
        <v>2947.44</v>
      </c>
    </row>
    <row r="5671" spans="1:22" s="30" customFormat="1" ht="24.6" hidden="1" outlineLevel="1" x14ac:dyDescent="0.55000000000000004">
      <c r="A5671" s="27" t="s">
        <v>327</v>
      </c>
      <c r="B5671" s="28"/>
      <c r="C5671" s="27"/>
      <c r="D5671" s="27" t="str">
        <f>"""NAV Direct"",""CRONUS JetCorp USA"",""21"",""1"",""297883"""</f>
        <v>"NAV Direct","CRONUS JetCorp USA","21","1","297883"</v>
      </c>
      <c r="E5671" s="31" t="str">
        <f t="shared" si="1706"/>
        <v>C100501</v>
      </c>
      <c r="F5671" s="31"/>
      <c r="G5671" s="31"/>
      <c r="H5671" s="31"/>
      <c r="I5671" s="56"/>
      <c r="J5671" s="56"/>
      <c r="K5671" s="82" t="str">
        <f t="shared" si="1707"/>
        <v>Invoice</v>
      </c>
      <c r="L5671" s="83" t="str">
        <f>"SI_109168"</f>
        <v>SI_109168</v>
      </c>
      <c r="M5671" s="84">
        <v>43720</v>
      </c>
      <c r="N5671" s="85">
        <f t="shared" si="1708"/>
        <v>92</v>
      </c>
      <c r="O5671" s="86">
        <f t="shared" si="1709"/>
        <v>2947.44</v>
      </c>
      <c r="P5671" s="86">
        <f t="shared" si="1710"/>
        <v>0</v>
      </c>
      <c r="Q5671" s="86">
        <f t="shared" si="1711"/>
        <v>0</v>
      </c>
      <c r="R5671" s="86">
        <f t="shared" si="1712"/>
        <v>0</v>
      </c>
      <c r="S5671" s="86">
        <f t="shared" si="1713"/>
        <v>0</v>
      </c>
      <c r="T5671" s="86">
        <f t="shared" si="1714"/>
        <v>2947.44</v>
      </c>
      <c r="U5671" s="87">
        <v>2947.44</v>
      </c>
    </row>
    <row r="5672" spans="1:22" s="30" customFormat="1" ht="24.6" hidden="1" outlineLevel="1" x14ac:dyDescent="0.55000000000000004">
      <c r="A5672" s="27" t="s">
        <v>327</v>
      </c>
      <c r="B5672" s="28"/>
      <c r="C5672" s="27"/>
      <c r="D5672" s="27" t="str">
        <f>"""NAV Direct"",""CRONUS JetCorp USA"",""21"",""1"",""298375"""</f>
        <v>"NAV Direct","CRONUS JetCorp USA","21","1","298375"</v>
      </c>
      <c r="E5672" s="31">
        <f t="shared" si="1706"/>
        <v>0</v>
      </c>
      <c r="F5672" s="31"/>
      <c r="G5672" s="31"/>
      <c r="H5672" s="31"/>
      <c r="I5672" s="56"/>
      <c r="J5672" s="56"/>
      <c r="K5672" s="82" t="str">
        <f t="shared" si="1707"/>
        <v>Invoice</v>
      </c>
      <c r="L5672" s="83" t="str">
        <f>"SI_109184"</f>
        <v>SI_109184</v>
      </c>
      <c r="M5672" s="84">
        <v>43772</v>
      </c>
      <c r="N5672" s="85">
        <f t="shared" si="1708"/>
        <v>40</v>
      </c>
      <c r="O5672" s="86">
        <f t="shared" si="1709"/>
        <v>3242.15</v>
      </c>
      <c r="P5672" s="86">
        <f t="shared" si="1710"/>
        <v>0</v>
      </c>
      <c r="Q5672" s="86">
        <f t="shared" si="1711"/>
        <v>0</v>
      </c>
      <c r="R5672" s="86">
        <f t="shared" si="1712"/>
        <v>3242.15</v>
      </c>
      <c r="S5672" s="86">
        <f t="shared" si="1713"/>
        <v>0</v>
      </c>
      <c r="T5672" s="86">
        <f t="shared" si="1714"/>
        <v>0</v>
      </c>
      <c r="U5672" s="87">
        <v>3242.15</v>
      </c>
    </row>
    <row r="5673" spans="1:22" s="30" customFormat="1" ht="24.6" hidden="1" outlineLevel="1" x14ac:dyDescent="0.55000000000000004">
      <c r="A5673" s="27" t="s">
        <v>327</v>
      </c>
      <c r="B5673" s="28"/>
      <c r="C5673" s="27"/>
      <c r="D5673" s="27" t="str">
        <f>"""NAV Direct"",""CRONUS JetCorp USA"",""21"",""1"",""300182"""</f>
        <v>"NAV Direct","CRONUS JetCorp USA","21","1","300182"</v>
      </c>
      <c r="E5673" s="31" t="str">
        <f t="shared" si="1706"/>
        <v>C100501</v>
      </c>
      <c r="F5673" s="31"/>
      <c r="G5673" s="31"/>
      <c r="H5673" s="31"/>
      <c r="I5673" s="56"/>
      <c r="J5673" s="56"/>
      <c r="K5673" s="82" t="str">
        <f t="shared" si="1707"/>
        <v>Invoice</v>
      </c>
      <c r="L5673" s="83" t="str">
        <f>"SI_109238"</f>
        <v>SI_109238</v>
      </c>
      <c r="M5673" s="84">
        <v>42030</v>
      </c>
      <c r="N5673" s="85">
        <f t="shared" si="1708"/>
        <v>1782</v>
      </c>
      <c r="O5673" s="86">
        <f t="shared" si="1709"/>
        <v>3566.3199999999997</v>
      </c>
      <c r="P5673" s="86">
        <f t="shared" si="1710"/>
        <v>0</v>
      </c>
      <c r="Q5673" s="86">
        <f t="shared" si="1711"/>
        <v>0</v>
      </c>
      <c r="R5673" s="86">
        <f t="shared" si="1712"/>
        <v>0</v>
      </c>
      <c r="S5673" s="86">
        <f t="shared" si="1713"/>
        <v>0</v>
      </c>
      <c r="T5673" s="86">
        <f t="shared" si="1714"/>
        <v>3566.3199999999997</v>
      </c>
      <c r="U5673" s="87">
        <v>3566.3199999999997</v>
      </c>
    </row>
    <row r="5674" spans="1:22" s="22" customFormat="1" ht="20.399999999999999" collapsed="1" x14ac:dyDescent="0.45">
      <c r="A5674" s="12" t="s">
        <v>327</v>
      </c>
      <c r="B5674" s="19"/>
      <c r="C5674" s="12"/>
      <c r="D5674" s="12"/>
      <c r="E5674" s="23"/>
      <c r="F5674" s="23"/>
      <c r="G5674" s="23"/>
      <c r="H5674" s="23"/>
      <c r="I5674" s="49"/>
      <c r="J5674" s="88"/>
      <c r="K5674" s="88"/>
      <c r="L5674" s="89"/>
      <c r="M5674" s="89"/>
      <c r="N5674" s="89"/>
      <c r="O5674" s="89"/>
      <c r="P5674" s="89"/>
      <c r="Q5674" s="90"/>
      <c r="R5674" s="90"/>
      <c r="S5674" s="91"/>
      <c r="T5674" s="92"/>
      <c r="U5674" s="92"/>
    </row>
    <row r="5675" spans="1:22" s="22" customFormat="1" ht="20.399999999999999" x14ac:dyDescent="0.45">
      <c r="A5675" s="12" t="s">
        <v>327</v>
      </c>
      <c r="B5675" s="19"/>
      <c r="C5675" s="12"/>
      <c r="D5675" s="12"/>
      <c r="E5675" s="23"/>
      <c r="F5675" s="23"/>
      <c r="G5675" s="23"/>
      <c r="H5675" s="23"/>
      <c r="I5675" s="49"/>
      <c r="J5675" s="88"/>
      <c r="K5675" s="88"/>
      <c r="L5675" s="89"/>
      <c r="M5675" s="89"/>
      <c r="N5675" s="89"/>
      <c r="O5675" s="89"/>
      <c r="P5675" s="89"/>
      <c r="Q5675" s="90"/>
      <c r="R5675" s="90"/>
      <c r="S5675" s="91"/>
      <c r="T5675" s="92"/>
      <c r="U5675" s="92"/>
    </row>
    <row r="5676" spans="1:22" s="26" customFormat="1" ht="24.6" x14ac:dyDescent="0.55000000000000004">
      <c r="A5676" s="27" t="s">
        <v>327</v>
      </c>
      <c r="B5676" s="28"/>
      <c r="C5676" s="27" t="str">
        <f>"""NAV Direct"",""CRONUS JetCorp USA"",""18"",""1"",""C100502"""</f>
        <v>"NAV Direct","CRONUS JetCorp USA","18","1","C100502"</v>
      </c>
      <c r="D5676" s="27"/>
      <c r="E5676" s="28" t="str">
        <f>H5676</f>
        <v>C100502</v>
      </c>
      <c r="F5676" s="28"/>
      <c r="G5676" s="28"/>
      <c r="H5676" s="28" t="str">
        <f>"C100502"</f>
        <v>C100502</v>
      </c>
      <c r="I5676" s="116" t="str">
        <f>"C100502  -  Crown Trophy"</f>
        <v>C100502  -  Crown Trophy</v>
      </c>
      <c r="J5676" s="117" t="str">
        <f>""</f>
        <v/>
      </c>
      <c r="K5676" s="118"/>
      <c r="L5676" s="119">
        <f>SUBTOTAL(3,L5677:L5719)</f>
        <v>39</v>
      </c>
      <c r="M5676" s="118"/>
      <c r="N5676" s="118"/>
      <c r="O5676" s="120">
        <f t="shared" ref="O5676:T5676" si="1715">SUBTOTAL(9,O5677:O5719)</f>
        <v>94943.319999999992</v>
      </c>
      <c r="P5676" s="120">
        <f t="shared" si="1715"/>
        <v>0</v>
      </c>
      <c r="Q5676" s="120">
        <f t="shared" si="1715"/>
        <v>0</v>
      </c>
      <c r="R5676" s="120">
        <f t="shared" si="1715"/>
        <v>12968.490000000002</v>
      </c>
      <c r="S5676" s="120">
        <f t="shared" si="1715"/>
        <v>0</v>
      </c>
      <c r="T5676" s="120">
        <f t="shared" si="1715"/>
        <v>81974.83</v>
      </c>
      <c r="U5676" s="81"/>
    </row>
    <row r="5677" spans="1:22" s="26" customFormat="1" ht="24.6" x14ac:dyDescent="0.55000000000000004">
      <c r="A5677" s="27" t="s">
        <v>327</v>
      </c>
      <c r="B5677" s="28"/>
      <c r="C5677" s="27" t="str">
        <f>C5676</f>
        <v>"NAV Direct","CRONUS JetCorp USA","18","1","C100502"</v>
      </c>
      <c r="D5677" s="27"/>
      <c r="E5677" s="28" t="str">
        <f>E5676</f>
        <v>C100502</v>
      </c>
      <c r="F5677" s="28"/>
      <c r="G5677" s="28"/>
      <c r="H5677" s="28"/>
      <c r="I5677" s="121" t="str">
        <f>"Contact: Susan Crown"</f>
        <v>Contact: Susan Crown</v>
      </c>
      <c r="J5677" s="121"/>
      <c r="K5677" s="122"/>
      <c r="L5677" s="123"/>
      <c r="M5677" s="123"/>
      <c r="N5677" s="124"/>
      <c r="O5677" s="124"/>
      <c r="P5677" s="123"/>
      <c r="Q5677" s="125"/>
      <c r="R5677" s="126"/>
      <c r="S5677" s="126"/>
      <c r="T5677" s="125"/>
      <c r="U5677" s="81"/>
    </row>
    <row r="5678" spans="1:22" s="26" customFormat="1" ht="24.6" x14ac:dyDescent="0.55000000000000004">
      <c r="A5678" s="27" t="s">
        <v>327</v>
      </c>
      <c r="B5678" s="28"/>
      <c r="C5678" s="27" t="str">
        <f>C5677</f>
        <v>"NAV Direct","CRONUS JetCorp USA","18","1","C100502"</v>
      </c>
      <c r="D5678" s="27"/>
      <c r="E5678" s="28" t="str">
        <f>E5677</f>
        <v>C100502</v>
      </c>
      <c r="F5678" s="28"/>
      <c r="G5678" s="28"/>
      <c r="H5678" s="28"/>
      <c r="I5678" s="121" t="str">
        <f>"Crown Trophy@cronuscorp.net"</f>
        <v>Crown Trophy@cronuscorp.net</v>
      </c>
      <c r="J5678" s="121"/>
      <c r="K5678" s="122"/>
      <c r="L5678" s="124"/>
      <c r="M5678" s="124"/>
      <c r="N5678" s="124"/>
      <c r="O5678" s="124"/>
      <c r="P5678" s="123"/>
      <c r="Q5678" s="125"/>
      <c r="R5678" s="126"/>
      <c r="S5678" s="126"/>
      <c r="T5678" s="125"/>
      <c r="U5678" s="81"/>
    </row>
    <row r="5679" spans="1:22" ht="12.75" hidden="1" customHeight="1" outlineLevel="1" x14ac:dyDescent="0.45">
      <c r="A5679" s="12" t="s">
        <v>328</v>
      </c>
      <c r="B5679" s="19"/>
      <c r="E5679" s="19"/>
      <c r="F5679" s="19"/>
      <c r="G5679" s="19"/>
      <c r="H5679" s="19"/>
      <c r="I5679" s="61"/>
      <c r="J5679" s="61"/>
      <c r="K5679" s="61"/>
      <c r="L5679" s="61"/>
      <c r="M5679" s="61"/>
      <c r="N5679" s="61"/>
      <c r="O5679" s="61"/>
      <c r="P5679" s="61"/>
      <c r="Q5679" s="61"/>
      <c r="R5679" s="61"/>
      <c r="S5679" s="61"/>
      <c r="T5679" s="61"/>
      <c r="U5679" s="61"/>
      <c r="V5679" s="21"/>
    </row>
    <row r="5680" spans="1:22" s="30" customFormat="1" ht="24.6" hidden="1" outlineLevel="1" x14ac:dyDescent="0.55000000000000004">
      <c r="A5680" s="27" t="s">
        <v>327</v>
      </c>
      <c r="B5680" s="28"/>
      <c r="C5680" s="27"/>
      <c r="D5680" s="27" t="str">
        <f>"""NAV Direct"",""CRONUS JetCorp USA"",""21"",""1"",""281441"""</f>
        <v>"NAV Direct","CRONUS JetCorp USA","21","1","281441"</v>
      </c>
      <c r="E5680" s="31" t="str">
        <f t="shared" ref="E5680:E5718" si="1716">E5678</f>
        <v>C100502</v>
      </c>
      <c r="F5680" s="31"/>
      <c r="G5680" s="31"/>
      <c r="H5680" s="31"/>
      <c r="I5680" s="56"/>
      <c r="J5680" s="56"/>
      <c r="K5680" s="82" t="str">
        <f t="shared" ref="K5680:K5718" si="1717">"Invoice"</f>
        <v>Invoice</v>
      </c>
      <c r="L5680" s="83" t="str">
        <f>"SI_108610"</f>
        <v>SI_108610</v>
      </c>
      <c r="M5680" s="84">
        <v>43667</v>
      </c>
      <c r="N5680" s="85">
        <f t="shared" ref="N5680:N5718" si="1718">StartDate-$M5680+1</f>
        <v>145</v>
      </c>
      <c r="O5680" s="86">
        <f t="shared" ref="O5680:O5718" si="1719">SUM(P5680:T5680)</f>
        <v>587.98</v>
      </c>
      <c r="P5680" s="86">
        <f t="shared" ref="P5680:P5718" si="1720">IF($M5680&gt;=$P$18,U5680,0)</f>
        <v>0</v>
      </c>
      <c r="Q5680" s="86">
        <f t="shared" ref="Q5680:Q5718" si="1721">IF(AND($M5680&gt;=$Q$16,$M5680&lt;=$Q$18),U5680,0)</f>
        <v>0</v>
      </c>
      <c r="R5680" s="86">
        <f t="shared" ref="R5680:R5718" si="1722">IF(AND($M5680&gt;=$R$16,$M5680&lt;=$R$18),U5680,0)</f>
        <v>0</v>
      </c>
      <c r="S5680" s="86">
        <f t="shared" ref="S5680:S5718" si="1723">IF(AND($M5680&gt;=$S$16,$M5680&lt;=$S$18),U5680,0)</f>
        <v>0</v>
      </c>
      <c r="T5680" s="86">
        <f t="shared" ref="T5680:T5718" si="1724">IF($M5680&lt;=$T$18,U5680,0)</f>
        <v>587.98</v>
      </c>
      <c r="U5680" s="87">
        <v>587.98</v>
      </c>
    </row>
    <row r="5681" spans="1:21" s="30" customFormat="1" ht="24.6" hidden="1" outlineLevel="1" x14ac:dyDescent="0.55000000000000004">
      <c r="A5681" s="27" t="s">
        <v>327</v>
      </c>
      <c r="B5681" s="28"/>
      <c r="C5681" s="27"/>
      <c r="D5681" s="27" t="str">
        <f>"""NAV Direct"",""CRONUS JetCorp USA"",""21"",""1"",""282358"""</f>
        <v>"NAV Direct","CRONUS JetCorp USA","21","1","282358"</v>
      </c>
      <c r="E5681" s="31">
        <f t="shared" si="1716"/>
        <v>0</v>
      </c>
      <c r="F5681" s="31"/>
      <c r="G5681" s="31"/>
      <c r="H5681" s="31"/>
      <c r="I5681" s="56"/>
      <c r="J5681" s="56"/>
      <c r="K5681" s="82" t="str">
        <f t="shared" si="1717"/>
        <v>Invoice</v>
      </c>
      <c r="L5681" s="83" t="str">
        <f>"SI_108645"</f>
        <v>SI_108645</v>
      </c>
      <c r="M5681" s="84">
        <v>42036</v>
      </c>
      <c r="N5681" s="85">
        <f t="shared" si="1718"/>
        <v>1776</v>
      </c>
      <c r="O5681" s="86">
        <f t="shared" si="1719"/>
        <v>775.99999999999989</v>
      </c>
      <c r="P5681" s="86">
        <f t="shared" si="1720"/>
        <v>0</v>
      </c>
      <c r="Q5681" s="86">
        <f t="shared" si="1721"/>
        <v>0</v>
      </c>
      <c r="R5681" s="86">
        <f t="shared" si="1722"/>
        <v>0</v>
      </c>
      <c r="S5681" s="86">
        <f t="shared" si="1723"/>
        <v>0</v>
      </c>
      <c r="T5681" s="86">
        <f t="shared" si="1724"/>
        <v>775.99999999999989</v>
      </c>
      <c r="U5681" s="87">
        <v>775.99999999999989</v>
      </c>
    </row>
    <row r="5682" spans="1:21" s="30" customFormat="1" ht="24.6" hidden="1" outlineLevel="1" x14ac:dyDescent="0.55000000000000004">
      <c r="A5682" s="27" t="s">
        <v>327</v>
      </c>
      <c r="B5682" s="28"/>
      <c r="C5682" s="27"/>
      <c r="D5682" s="27" t="str">
        <f>"""NAV Direct"",""CRONUS JetCorp USA"",""21"",""1"",""282682"""</f>
        <v>"NAV Direct","CRONUS JetCorp USA","21","1","282682"</v>
      </c>
      <c r="E5682" s="31" t="str">
        <f t="shared" si="1716"/>
        <v>C100502</v>
      </c>
      <c r="F5682" s="31"/>
      <c r="G5682" s="31"/>
      <c r="H5682" s="31"/>
      <c r="I5682" s="56"/>
      <c r="J5682" s="56"/>
      <c r="K5682" s="82" t="str">
        <f t="shared" si="1717"/>
        <v>Invoice</v>
      </c>
      <c r="L5682" s="83" t="str">
        <f>"SI_108657"</f>
        <v>SI_108657</v>
      </c>
      <c r="M5682" s="84">
        <v>42095</v>
      </c>
      <c r="N5682" s="85">
        <f t="shared" si="1718"/>
        <v>1717</v>
      </c>
      <c r="O5682" s="86">
        <f t="shared" si="1719"/>
        <v>853.57</v>
      </c>
      <c r="P5682" s="86">
        <f t="shared" si="1720"/>
        <v>0</v>
      </c>
      <c r="Q5682" s="86">
        <f t="shared" si="1721"/>
        <v>0</v>
      </c>
      <c r="R5682" s="86">
        <f t="shared" si="1722"/>
        <v>0</v>
      </c>
      <c r="S5682" s="86">
        <f t="shared" si="1723"/>
        <v>0</v>
      </c>
      <c r="T5682" s="86">
        <f t="shared" si="1724"/>
        <v>853.57</v>
      </c>
      <c r="U5682" s="87">
        <v>853.57</v>
      </c>
    </row>
    <row r="5683" spans="1:21" s="30" customFormat="1" ht="24.6" hidden="1" outlineLevel="1" x14ac:dyDescent="0.55000000000000004">
      <c r="A5683" s="27" t="s">
        <v>327</v>
      </c>
      <c r="B5683" s="28"/>
      <c r="C5683" s="27"/>
      <c r="D5683" s="27" t="str">
        <f>"""NAV Direct"",""CRONUS JetCorp USA"",""21"",""1"",""282702"""</f>
        <v>"NAV Direct","CRONUS JetCorp USA","21","1","282702"</v>
      </c>
      <c r="E5683" s="31">
        <f t="shared" si="1716"/>
        <v>0</v>
      </c>
      <c r="F5683" s="31"/>
      <c r="G5683" s="31"/>
      <c r="H5683" s="31"/>
      <c r="I5683" s="56"/>
      <c r="J5683" s="56"/>
      <c r="K5683" s="82" t="str">
        <f t="shared" si="1717"/>
        <v>Invoice</v>
      </c>
      <c r="L5683" s="83" t="str">
        <f>"SI_108658"</f>
        <v>SI_108658</v>
      </c>
      <c r="M5683" s="84">
        <v>42106</v>
      </c>
      <c r="N5683" s="85">
        <f t="shared" si="1718"/>
        <v>1706</v>
      </c>
      <c r="O5683" s="86">
        <f t="shared" si="1719"/>
        <v>853.66</v>
      </c>
      <c r="P5683" s="86">
        <f t="shared" si="1720"/>
        <v>0</v>
      </c>
      <c r="Q5683" s="86">
        <f t="shared" si="1721"/>
        <v>0</v>
      </c>
      <c r="R5683" s="86">
        <f t="shared" si="1722"/>
        <v>0</v>
      </c>
      <c r="S5683" s="86">
        <f t="shared" si="1723"/>
        <v>0</v>
      </c>
      <c r="T5683" s="86">
        <f t="shared" si="1724"/>
        <v>853.66</v>
      </c>
      <c r="U5683" s="87">
        <v>853.66</v>
      </c>
    </row>
    <row r="5684" spans="1:21" s="30" customFormat="1" ht="24.6" hidden="1" outlineLevel="1" x14ac:dyDescent="0.55000000000000004">
      <c r="A5684" s="27" t="s">
        <v>327</v>
      </c>
      <c r="B5684" s="28"/>
      <c r="C5684" s="27"/>
      <c r="D5684" s="27" t="str">
        <f>"""NAV Direct"",""CRONUS JetCorp USA"",""21"",""1"",""283486"""</f>
        <v>"NAV Direct","CRONUS JetCorp USA","21","1","283486"</v>
      </c>
      <c r="E5684" s="31" t="str">
        <f t="shared" si="1716"/>
        <v>C100502</v>
      </c>
      <c r="F5684" s="31"/>
      <c r="G5684" s="31"/>
      <c r="H5684" s="31"/>
      <c r="I5684" s="56"/>
      <c r="J5684" s="56"/>
      <c r="K5684" s="82" t="str">
        <f t="shared" si="1717"/>
        <v>Invoice</v>
      </c>
      <c r="L5684" s="83" t="str">
        <f>"SI_108689"</f>
        <v>SI_108689</v>
      </c>
      <c r="M5684" s="84">
        <v>42218</v>
      </c>
      <c r="N5684" s="85">
        <f t="shared" si="1718"/>
        <v>1594</v>
      </c>
      <c r="O5684" s="86">
        <f t="shared" si="1719"/>
        <v>939.08</v>
      </c>
      <c r="P5684" s="86">
        <f t="shared" si="1720"/>
        <v>0</v>
      </c>
      <c r="Q5684" s="86">
        <f t="shared" si="1721"/>
        <v>0</v>
      </c>
      <c r="R5684" s="86">
        <f t="shared" si="1722"/>
        <v>0</v>
      </c>
      <c r="S5684" s="86">
        <f t="shared" si="1723"/>
        <v>0</v>
      </c>
      <c r="T5684" s="86">
        <f t="shared" si="1724"/>
        <v>939.08</v>
      </c>
      <c r="U5684" s="87">
        <v>939.08</v>
      </c>
    </row>
    <row r="5685" spans="1:21" s="30" customFormat="1" ht="24.6" hidden="1" outlineLevel="1" x14ac:dyDescent="0.55000000000000004">
      <c r="A5685" s="27" t="s">
        <v>327</v>
      </c>
      <c r="B5685" s="28"/>
      <c r="C5685" s="27"/>
      <c r="D5685" s="27" t="str">
        <f>"""NAV Direct"",""CRONUS JetCorp USA"",""21"",""1"",""283544"""</f>
        <v>"NAV Direct","CRONUS JetCorp USA","21","1","283544"</v>
      </c>
      <c r="E5685" s="31">
        <f t="shared" si="1716"/>
        <v>0</v>
      </c>
      <c r="F5685" s="31"/>
      <c r="G5685" s="31"/>
      <c r="H5685" s="31"/>
      <c r="I5685" s="56"/>
      <c r="J5685" s="56"/>
      <c r="K5685" s="82" t="str">
        <f t="shared" si="1717"/>
        <v>Invoice</v>
      </c>
      <c r="L5685" s="83" t="str">
        <f>"SI_108691"</f>
        <v>SI_108691</v>
      </c>
      <c r="M5685" s="84">
        <v>42184</v>
      </c>
      <c r="N5685" s="85">
        <f t="shared" si="1718"/>
        <v>1628</v>
      </c>
      <c r="O5685" s="86">
        <f t="shared" si="1719"/>
        <v>938.98</v>
      </c>
      <c r="P5685" s="86">
        <f t="shared" si="1720"/>
        <v>0</v>
      </c>
      <c r="Q5685" s="86">
        <f t="shared" si="1721"/>
        <v>0</v>
      </c>
      <c r="R5685" s="86">
        <f t="shared" si="1722"/>
        <v>0</v>
      </c>
      <c r="S5685" s="86">
        <f t="shared" si="1723"/>
        <v>0</v>
      </c>
      <c r="T5685" s="86">
        <f t="shared" si="1724"/>
        <v>938.98</v>
      </c>
      <c r="U5685" s="87">
        <v>938.98</v>
      </c>
    </row>
    <row r="5686" spans="1:21" s="30" customFormat="1" ht="24.6" hidden="1" outlineLevel="1" x14ac:dyDescent="0.55000000000000004">
      <c r="A5686" s="27" t="s">
        <v>327</v>
      </c>
      <c r="B5686" s="28"/>
      <c r="C5686" s="27"/>
      <c r="D5686" s="27" t="str">
        <f>"""NAV Direct"",""CRONUS JetCorp USA"",""21"",""1"",""284049"""</f>
        <v>"NAV Direct","CRONUS JetCorp USA","21","1","284049"</v>
      </c>
      <c r="E5686" s="31" t="str">
        <f t="shared" si="1716"/>
        <v>C100502</v>
      </c>
      <c r="F5686" s="31"/>
      <c r="G5686" s="31"/>
      <c r="H5686" s="31"/>
      <c r="I5686" s="56"/>
      <c r="J5686" s="56"/>
      <c r="K5686" s="82" t="str">
        <f t="shared" si="1717"/>
        <v>Invoice</v>
      </c>
      <c r="L5686" s="83" t="str">
        <f>"SI_108709"</f>
        <v>SI_108709</v>
      </c>
      <c r="M5686" s="84">
        <v>42305</v>
      </c>
      <c r="N5686" s="85">
        <f t="shared" si="1718"/>
        <v>1507</v>
      </c>
      <c r="O5686" s="86">
        <f t="shared" si="1719"/>
        <v>1032.98</v>
      </c>
      <c r="P5686" s="86">
        <f t="shared" si="1720"/>
        <v>0</v>
      </c>
      <c r="Q5686" s="86">
        <f t="shared" si="1721"/>
        <v>0</v>
      </c>
      <c r="R5686" s="86">
        <f t="shared" si="1722"/>
        <v>0</v>
      </c>
      <c r="S5686" s="86">
        <f t="shared" si="1723"/>
        <v>0</v>
      </c>
      <c r="T5686" s="86">
        <f t="shared" si="1724"/>
        <v>1032.98</v>
      </c>
      <c r="U5686" s="87">
        <v>1032.98</v>
      </c>
    </row>
    <row r="5687" spans="1:21" s="30" customFormat="1" ht="24.6" hidden="1" outlineLevel="1" x14ac:dyDescent="0.55000000000000004">
      <c r="A5687" s="27" t="s">
        <v>327</v>
      </c>
      <c r="B5687" s="28"/>
      <c r="C5687" s="27"/>
      <c r="D5687" s="27" t="str">
        <f>"""NAV Direct"",""CRONUS JetCorp USA"",""21"",""1"",""284334"""</f>
        <v>"NAV Direct","CRONUS JetCorp USA","21","1","284334"</v>
      </c>
      <c r="E5687" s="31">
        <f t="shared" si="1716"/>
        <v>0</v>
      </c>
      <c r="F5687" s="31"/>
      <c r="G5687" s="31"/>
      <c r="H5687" s="31"/>
      <c r="I5687" s="56"/>
      <c r="J5687" s="56"/>
      <c r="K5687" s="82" t="str">
        <f t="shared" si="1717"/>
        <v>Invoice</v>
      </c>
      <c r="L5687" s="83" t="str">
        <f>"SI_108719"</f>
        <v>SI_108719</v>
      </c>
      <c r="M5687" s="84">
        <v>42289</v>
      </c>
      <c r="N5687" s="85">
        <f t="shared" si="1718"/>
        <v>1523</v>
      </c>
      <c r="O5687" s="86">
        <f t="shared" si="1719"/>
        <v>1032.93</v>
      </c>
      <c r="P5687" s="86">
        <f t="shared" si="1720"/>
        <v>0</v>
      </c>
      <c r="Q5687" s="86">
        <f t="shared" si="1721"/>
        <v>0</v>
      </c>
      <c r="R5687" s="86">
        <f t="shared" si="1722"/>
        <v>0</v>
      </c>
      <c r="S5687" s="86">
        <f t="shared" si="1723"/>
        <v>0</v>
      </c>
      <c r="T5687" s="86">
        <f t="shared" si="1724"/>
        <v>1032.93</v>
      </c>
      <c r="U5687" s="87">
        <v>1032.93</v>
      </c>
    </row>
    <row r="5688" spans="1:21" s="30" customFormat="1" ht="24.6" hidden="1" outlineLevel="1" x14ac:dyDescent="0.55000000000000004">
      <c r="A5688" s="27" t="s">
        <v>327</v>
      </c>
      <c r="B5688" s="28"/>
      <c r="C5688" s="27"/>
      <c r="D5688" s="27" t="str">
        <f>"""NAV Direct"",""CRONUS JetCorp USA"",""21"",""1"",""284417"""</f>
        <v>"NAV Direct","CRONUS JetCorp USA","21","1","284417"</v>
      </c>
      <c r="E5688" s="31" t="str">
        <f t="shared" si="1716"/>
        <v>C100502</v>
      </c>
      <c r="F5688" s="31"/>
      <c r="G5688" s="31"/>
      <c r="H5688" s="31"/>
      <c r="I5688" s="56"/>
      <c r="J5688" s="56"/>
      <c r="K5688" s="82" t="str">
        <f t="shared" si="1717"/>
        <v>Invoice</v>
      </c>
      <c r="L5688" s="83" t="str">
        <f>"SI_108722"</f>
        <v>SI_108722</v>
      </c>
      <c r="M5688" s="84">
        <v>42317</v>
      </c>
      <c r="N5688" s="85">
        <f t="shared" si="1718"/>
        <v>1495</v>
      </c>
      <c r="O5688" s="86">
        <f t="shared" si="1719"/>
        <v>1032.8800000000001</v>
      </c>
      <c r="P5688" s="86">
        <f t="shared" si="1720"/>
        <v>0</v>
      </c>
      <c r="Q5688" s="86">
        <f t="shared" si="1721"/>
        <v>0</v>
      </c>
      <c r="R5688" s="86">
        <f t="shared" si="1722"/>
        <v>0</v>
      </c>
      <c r="S5688" s="86">
        <f t="shared" si="1723"/>
        <v>0</v>
      </c>
      <c r="T5688" s="86">
        <f t="shared" si="1724"/>
        <v>1032.8800000000001</v>
      </c>
      <c r="U5688" s="87">
        <v>1032.8800000000001</v>
      </c>
    </row>
    <row r="5689" spans="1:21" s="30" customFormat="1" ht="24.6" hidden="1" outlineLevel="1" x14ac:dyDescent="0.55000000000000004">
      <c r="A5689" s="27" t="s">
        <v>327</v>
      </c>
      <c r="B5689" s="28"/>
      <c r="C5689" s="27"/>
      <c r="D5689" s="27" t="str">
        <f>"""NAV Direct"",""CRONUS JetCorp USA"",""21"",""1"",""284796"""</f>
        <v>"NAV Direct","CRONUS JetCorp USA","21","1","284796"</v>
      </c>
      <c r="E5689" s="31">
        <f t="shared" si="1716"/>
        <v>0</v>
      </c>
      <c r="F5689" s="31"/>
      <c r="G5689" s="31"/>
      <c r="H5689" s="31"/>
      <c r="I5689" s="56"/>
      <c r="J5689" s="56"/>
      <c r="K5689" s="82" t="str">
        <f t="shared" si="1717"/>
        <v>Invoice</v>
      </c>
      <c r="L5689" s="83" t="str">
        <f>"SI_108736"</f>
        <v>SI_108736</v>
      </c>
      <c r="M5689" s="84">
        <v>42793</v>
      </c>
      <c r="N5689" s="85">
        <f t="shared" si="1718"/>
        <v>1019</v>
      </c>
      <c r="O5689" s="86">
        <f t="shared" si="1719"/>
        <v>1136.3399999999999</v>
      </c>
      <c r="P5689" s="86">
        <f t="shared" si="1720"/>
        <v>0</v>
      </c>
      <c r="Q5689" s="86">
        <f t="shared" si="1721"/>
        <v>0</v>
      </c>
      <c r="R5689" s="86">
        <f t="shared" si="1722"/>
        <v>0</v>
      </c>
      <c r="S5689" s="86">
        <f t="shared" si="1723"/>
        <v>0</v>
      </c>
      <c r="T5689" s="86">
        <f t="shared" si="1724"/>
        <v>1136.3399999999999</v>
      </c>
      <c r="U5689" s="87">
        <v>1136.3399999999999</v>
      </c>
    </row>
    <row r="5690" spans="1:21" s="30" customFormat="1" ht="24.6" hidden="1" outlineLevel="1" x14ac:dyDescent="0.55000000000000004">
      <c r="A5690" s="27" t="s">
        <v>327</v>
      </c>
      <c r="B5690" s="28"/>
      <c r="C5690" s="27"/>
      <c r="D5690" s="27" t="str">
        <f>"""NAV Direct"",""CRONUS JetCorp USA"",""21"",""1"",""285337"""</f>
        <v>"NAV Direct","CRONUS JetCorp USA","21","1","285337"</v>
      </c>
      <c r="E5690" s="31" t="str">
        <f t="shared" si="1716"/>
        <v>C100502</v>
      </c>
      <c r="F5690" s="31"/>
      <c r="G5690" s="31"/>
      <c r="H5690" s="31"/>
      <c r="I5690" s="56"/>
      <c r="J5690" s="56"/>
      <c r="K5690" s="82" t="str">
        <f t="shared" si="1717"/>
        <v>Invoice</v>
      </c>
      <c r="L5690" s="83" t="str">
        <f>"SI_108756"</f>
        <v>SI_108756</v>
      </c>
      <c r="M5690" s="84">
        <v>42824</v>
      </c>
      <c r="N5690" s="85">
        <f t="shared" si="1718"/>
        <v>988</v>
      </c>
      <c r="O5690" s="86">
        <f t="shared" si="1719"/>
        <v>1249.8499999999999</v>
      </c>
      <c r="P5690" s="86">
        <f t="shared" si="1720"/>
        <v>0</v>
      </c>
      <c r="Q5690" s="86">
        <f t="shared" si="1721"/>
        <v>0</v>
      </c>
      <c r="R5690" s="86">
        <f t="shared" si="1722"/>
        <v>0</v>
      </c>
      <c r="S5690" s="86">
        <f t="shared" si="1723"/>
        <v>0</v>
      </c>
      <c r="T5690" s="86">
        <f t="shared" si="1724"/>
        <v>1249.8499999999999</v>
      </c>
      <c r="U5690" s="87">
        <v>1249.8499999999999</v>
      </c>
    </row>
    <row r="5691" spans="1:21" s="30" customFormat="1" ht="24.6" hidden="1" outlineLevel="1" x14ac:dyDescent="0.55000000000000004">
      <c r="A5691" s="27" t="s">
        <v>327</v>
      </c>
      <c r="B5691" s="28"/>
      <c r="C5691" s="27"/>
      <c r="D5691" s="27" t="str">
        <f>"""NAV Direct"",""CRONUS JetCorp USA"",""21"",""1"",""288138"""</f>
        <v>"NAV Direct","CRONUS JetCorp USA","21","1","288138"</v>
      </c>
      <c r="E5691" s="31">
        <f t="shared" si="1716"/>
        <v>0</v>
      </c>
      <c r="F5691" s="31"/>
      <c r="G5691" s="31"/>
      <c r="H5691" s="31"/>
      <c r="I5691" s="56"/>
      <c r="J5691" s="56"/>
      <c r="K5691" s="82" t="str">
        <f t="shared" si="1717"/>
        <v>Invoice</v>
      </c>
      <c r="L5691" s="83" t="str">
        <f>"SI_108853"</f>
        <v>SI_108853</v>
      </c>
      <c r="M5691" s="84">
        <v>43117</v>
      </c>
      <c r="N5691" s="85">
        <f t="shared" si="1718"/>
        <v>695</v>
      </c>
      <c r="O5691" s="86">
        <f t="shared" si="1719"/>
        <v>1663.7500000000002</v>
      </c>
      <c r="P5691" s="86">
        <f t="shared" si="1720"/>
        <v>0</v>
      </c>
      <c r="Q5691" s="86">
        <f t="shared" si="1721"/>
        <v>0</v>
      </c>
      <c r="R5691" s="86">
        <f t="shared" si="1722"/>
        <v>0</v>
      </c>
      <c r="S5691" s="86">
        <f t="shared" si="1723"/>
        <v>0</v>
      </c>
      <c r="T5691" s="86">
        <f t="shared" si="1724"/>
        <v>1663.7500000000002</v>
      </c>
      <c r="U5691" s="87">
        <v>1663.7500000000002</v>
      </c>
    </row>
    <row r="5692" spans="1:21" s="30" customFormat="1" ht="24.6" hidden="1" outlineLevel="1" x14ac:dyDescent="0.55000000000000004">
      <c r="A5692" s="27" t="s">
        <v>327</v>
      </c>
      <c r="B5692" s="28"/>
      <c r="C5692" s="27"/>
      <c r="D5692" s="27" t="str">
        <f>"""NAV Direct"",""CRONUS JetCorp USA"",""21"",""1"",""288329"""</f>
        <v>"NAV Direct","CRONUS JetCorp USA","21","1","288329"</v>
      </c>
      <c r="E5692" s="31" t="str">
        <f t="shared" si="1716"/>
        <v>C100502</v>
      </c>
      <c r="F5692" s="31"/>
      <c r="G5692" s="31"/>
      <c r="H5692" s="31"/>
      <c r="I5692" s="56"/>
      <c r="J5692" s="56"/>
      <c r="K5692" s="82" t="str">
        <f t="shared" si="1717"/>
        <v>Invoice</v>
      </c>
      <c r="L5692" s="83" t="str">
        <f>"SI_108860"</f>
        <v>SI_108860</v>
      </c>
      <c r="M5692" s="84">
        <v>43140</v>
      </c>
      <c r="N5692" s="85">
        <f t="shared" si="1718"/>
        <v>672</v>
      </c>
      <c r="O5692" s="86">
        <f t="shared" si="1719"/>
        <v>1663.59</v>
      </c>
      <c r="P5692" s="86">
        <f t="shared" si="1720"/>
        <v>0</v>
      </c>
      <c r="Q5692" s="86">
        <f t="shared" si="1721"/>
        <v>0</v>
      </c>
      <c r="R5692" s="86">
        <f t="shared" si="1722"/>
        <v>0</v>
      </c>
      <c r="S5692" s="86">
        <f t="shared" si="1723"/>
        <v>0</v>
      </c>
      <c r="T5692" s="86">
        <f t="shared" si="1724"/>
        <v>1663.59</v>
      </c>
      <c r="U5692" s="87">
        <v>1663.59</v>
      </c>
    </row>
    <row r="5693" spans="1:21" s="30" customFormat="1" ht="24.6" hidden="1" outlineLevel="1" x14ac:dyDescent="0.55000000000000004">
      <c r="A5693" s="27" t="s">
        <v>327</v>
      </c>
      <c r="B5693" s="28"/>
      <c r="C5693" s="27"/>
      <c r="D5693" s="27" t="str">
        <f>"""NAV Direct"",""CRONUS JetCorp USA"",""21"",""1"",""288681"""</f>
        <v>"NAV Direct","CRONUS JetCorp USA","21","1","288681"</v>
      </c>
      <c r="E5693" s="31">
        <f t="shared" si="1716"/>
        <v>0</v>
      </c>
      <c r="F5693" s="31"/>
      <c r="G5693" s="31"/>
      <c r="H5693" s="31"/>
      <c r="I5693" s="56"/>
      <c r="J5693" s="56"/>
      <c r="K5693" s="82" t="str">
        <f t="shared" si="1717"/>
        <v>Invoice</v>
      </c>
      <c r="L5693" s="83" t="str">
        <f>"SI_108872"</f>
        <v>SI_108872</v>
      </c>
      <c r="M5693" s="84">
        <v>43129</v>
      </c>
      <c r="N5693" s="85">
        <f t="shared" si="1718"/>
        <v>683</v>
      </c>
      <c r="O5693" s="86">
        <f t="shared" si="1719"/>
        <v>1663.6</v>
      </c>
      <c r="P5693" s="86">
        <f t="shared" si="1720"/>
        <v>0</v>
      </c>
      <c r="Q5693" s="86">
        <f t="shared" si="1721"/>
        <v>0</v>
      </c>
      <c r="R5693" s="86">
        <f t="shared" si="1722"/>
        <v>0</v>
      </c>
      <c r="S5693" s="86">
        <f t="shared" si="1723"/>
        <v>0</v>
      </c>
      <c r="T5693" s="86">
        <f t="shared" si="1724"/>
        <v>1663.6</v>
      </c>
      <c r="U5693" s="87">
        <v>1663.6</v>
      </c>
    </row>
    <row r="5694" spans="1:21" s="30" customFormat="1" ht="24.6" hidden="1" outlineLevel="1" x14ac:dyDescent="0.55000000000000004">
      <c r="A5694" s="27" t="s">
        <v>327</v>
      </c>
      <c r="B5694" s="28"/>
      <c r="C5694" s="27"/>
      <c r="D5694" s="27" t="str">
        <f>"""NAV Direct"",""CRONUS JetCorp USA"",""21"",""1"",""291618"""</f>
        <v>"NAV Direct","CRONUS JetCorp USA","21","1","291618"</v>
      </c>
      <c r="E5694" s="31" t="str">
        <f t="shared" si="1716"/>
        <v>C100502</v>
      </c>
      <c r="F5694" s="31"/>
      <c r="G5694" s="31"/>
      <c r="H5694" s="31"/>
      <c r="I5694" s="56"/>
      <c r="J5694" s="56"/>
      <c r="K5694" s="82" t="str">
        <f t="shared" si="1717"/>
        <v>Invoice</v>
      </c>
      <c r="L5694" s="83" t="str">
        <f>"SI_108968"</f>
        <v>SI_108968</v>
      </c>
      <c r="M5694" s="84">
        <v>43338</v>
      </c>
      <c r="N5694" s="85">
        <f t="shared" si="1718"/>
        <v>474</v>
      </c>
      <c r="O5694" s="86">
        <f t="shared" si="1719"/>
        <v>2012.96</v>
      </c>
      <c r="P5694" s="86">
        <f t="shared" si="1720"/>
        <v>0</v>
      </c>
      <c r="Q5694" s="86">
        <f t="shared" si="1721"/>
        <v>0</v>
      </c>
      <c r="R5694" s="86">
        <f t="shared" si="1722"/>
        <v>0</v>
      </c>
      <c r="S5694" s="86">
        <f t="shared" si="1723"/>
        <v>0</v>
      </c>
      <c r="T5694" s="86">
        <f t="shared" si="1724"/>
        <v>2012.96</v>
      </c>
      <c r="U5694" s="87">
        <v>2012.96</v>
      </c>
    </row>
    <row r="5695" spans="1:21" s="30" customFormat="1" ht="24.6" hidden="1" outlineLevel="1" x14ac:dyDescent="0.55000000000000004">
      <c r="A5695" s="27" t="s">
        <v>327</v>
      </c>
      <c r="B5695" s="28"/>
      <c r="C5695" s="27"/>
      <c r="D5695" s="27" t="str">
        <f>"""NAV Direct"",""CRONUS JetCorp USA"",""21"",""1"",""291696"""</f>
        <v>"NAV Direct","CRONUS JetCorp USA","21","1","291696"</v>
      </c>
      <c r="E5695" s="31">
        <f t="shared" si="1716"/>
        <v>0</v>
      </c>
      <c r="F5695" s="31"/>
      <c r="G5695" s="31"/>
      <c r="H5695" s="31"/>
      <c r="I5695" s="56"/>
      <c r="J5695" s="56"/>
      <c r="K5695" s="82" t="str">
        <f t="shared" si="1717"/>
        <v>Invoice</v>
      </c>
      <c r="L5695" s="83" t="str">
        <f>"SI_108971"</f>
        <v>SI_108971</v>
      </c>
      <c r="M5695" s="84">
        <v>43329</v>
      </c>
      <c r="N5695" s="85">
        <f t="shared" si="1718"/>
        <v>483</v>
      </c>
      <c r="O5695" s="86">
        <f t="shared" si="1719"/>
        <v>2012.99</v>
      </c>
      <c r="P5695" s="86">
        <f t="shared" si="1720"/>
        <v>0</v>
      </c>
      <c r="Q5695" s="86">
        <f t="shared" si="1721"/>
        <v>0</v>
      </c>
      <c r="R5695" s="86">
        <f t="shared" si="1722"/>
        <v>0</v>
      </c>
      <c r="S5695" s="86">
        <f t="shared" si="1723"/>
        <v>0</v>
      </c>
      <c r="T5695" s="86">
        <f t="shared" si="1724"/>
        <v>2012.99</v>
      </c>
      <c r="U5695" s="87">
        <v>2012.99</v>
      </c>
    </row>
    <row r="5696" spans="1:21" s="30" customFormat="1" ht="24.6" hidden="1" outlineLevel="1" x14ac:dyDescent="0.55000000000000004">
      <c r="A5696" s="27" t="s">
        <v>327</v>
      </c>
      <c r="B5696" s="28"/>
      <c r="C5696" s="27"/>
      <c r="D5696" s="27" t="str">
        <f>"""NAV Direct"",""CRONUS JetCorp USA"",""21"",""1"",""293033"""</f>
        <v>"NAV Direct","CRONUS JetCorp USA","21","1","293033"</v>
      </c>
      <c r="E5696" s="31" t="str">
        <f t="shared" si="1716"/>
        <v>C100502</v>
      </c>
      <c r="F5696" s="31"/>
      <c r="G5696" s="31"/>
      <c r="H5696" s="31"/>
      <c r="I5696" s="56"/>
      <c r="J5696" s="56"/>
      <c r="K5696" s="82" t="str">
        <f t="shared" si="1717"/>
        <v>Invoice</v>
      </c>
      <c r="L5696" s="83" t="str">
        <f>"SI_109017"</f>
        <v>SI_109017</v>
      </c>
      <c r="M5696" s="84">
        <v>43428</v>
      </c>
      <c r="N5696" s="85">
        <f t="shared" si="1718"/>
        <v>384</v>
      </c>
      <c r="O5696" s="86">
        <f t="shared" si="1719"/>
        <v>2214.36</v>
      </c>
      <c r="P5696" s="86">
        <f t="shared" si="1720"/>
        <v>0</v>
      </c>
      <c r="Q5696" s="86">
        <f t="shared" si="1721"/>
        <v>0</v>
      </c>
      <c r="R5696" s="86">
        <f t="shared" si="1722"/>
        <v>0</v>
      </c>
      <c r="S5696" s="86">
        <f t="shared" si="1723"/>
        <v>0</v>
      </c>
      <c r="T5696" s="86">
        <f t="shared" si="1724"/>
        <v>2214.36</v>
      </c>
      <c r="U5696" s="87">
        <v>2214.36</v>
      </c>
    </row>
    <row r="5697" spans="1:21" s="30" customFormat="1" ht="24.6" hidden="1" outlineLevel="1" x14ac:dyDescent="0.55000000000000004">
      <c r="A5697" s="27" t="s">
        <v>327</v>
      </c>
      <c r="B5697" s="28"/>
      <c r="C5697" s="27"/>
      <c r="D5697" s="27" t="str">
        <f>"""NAV Direct"",""CRONUS JetCorp USA"",""21"",""1"",""293056"""</f>
        <v>"NAV Direct","CRONUS JetCorp USA","21","1","293056"</v>
      </c>
      <c r="E5697" s="31">
        <f t="shared" si="1716"/>
        <v>0</v>
      </c>
      <c r="F5697" s="31"/>
      <c r="G5697" s="31"/>
      <c r="H5697" s="31"/>
      <c r="I5697" s="56"/>
      <c r="J5697" s="56"/>
      <c r="K5697" s="82" t="str">
        <f t="shared" si="1717"/>
        <v>Invoice</v>
      </c>
      <c r="L5697" s="83" t="str">
        <f>"SI_109018"</f>
        <v>SI_109018</v>
      </c>
      <c r="M5697" s="84">
        <v>43441</v>
      </c>
      <c r="N5697" s="85">
        <f t="shared" si="1718"/>
        <v>371</v>
      </c>
      <c r="O5697" s="86">
        <f t="shared" si="1719"/>
        <v>2214.42</v>
      </c>
      <c r="P5697" s="86">
        <f t="shared" si="1720"/>
        <v>0</v>
      </c>
      <c r="Q5697" s="86">
        <f t="shared" si="1721"/>
        <v>0</v>
      </c>
      <c r="R5697" s="86">
        <f t="shared" si="1722"/>
        <v>0</v>
      </c>
      <c r="S5697" s="86">
        <f t="shared" si="1723"/>
        <v>0</v>
      </c>
      <c r="T5697" s="86">
        <f t="shared" si="1724"/>
        <v>2214.42</v>
      </c>
      <c r="U5697" s="87">
        <v>2214.42</v>
      </c>
    </row>
    <row r="5698" spans="1:21" s="30" customFormat="1" ht="24.6" hidden="1" outlineLevel="1" x14ac:dyDescent="0.55000000000000004">
      <c r="A5698" s="27" t="s">
        <v>327</v>
      </c>
      <c r="B5698" s="28"/>
      <c r="C5698" s="27"/>
      <c r="D5698" s="27" t="str">
        <f>"""NAV Direct"",""CRONUS JetCorp USA"",""21"",""1"",""294452"""</f>
        <v>"NAV Direct","CRONUS JetCorp USA","21","1","294452"</v>
      </c>
      <c r="E5698" s="31" t="str">
        <f t="shared" si="1716"/>
        <v>C100502</v>
      </c>
      <c r="F5698" s="31"/>
      <c r="G5698" s="31"/>
      <c r="H5698" s="31"/>
      <c r="I5698" s="56"/>
      <c r="J5698" s="56"/>
      <c r="K5698" s="82" t="str">
        <f t="shared" si="1717"/>
        <v>Invoice</v>
      </c>
      <c r="L5698" s="83" t="str">
        <f>"SI_109063"</f>
        <v>SI_109063</v>
      </c>
      <c r="M5698" s="84">
        <v>43521</v>
      </c>
      <c r="N5698" s="85">
        <f t="shared" si="1718"/>
        <v>291</v>
      </c>
      <c r="O5698" s="86">
        <f t="shared" si="1719"/>
        <v>2435.7200000000003</v>
      </c>
      <c r="P5698" s="86">
        <f t="shared" si="1720"/>
        <v>0</v>
      </c>
      <c r="Q5698" s="86">
        <f t="shared" si="1721"/>
        <v>0</v>
      </c>
      <c r="R5698" s="86">
        <f t="shared" si="1722"/>
        <v>0</v>
      </c>
      <c r="S5698" s="86">
        <f t="shared" si="1723"/>
        <v>0</v>
      </c>
      <c r="T5698" s="86">
        <f t="shared" si="1724"/>
        <v>2435.7200000000003</v>
      </c>
      <c r="U5698" s="87">
        <v>2435.7200000000003</v>
      </c>
    </row>
    <row r="5699" spans="1:21" s="30" customFormat="1" ht="24.6" hidden="1" outlineLevel="1" x14ac:dyDescent="0.55000000000000004">
      <c r="A5699" s="27" t="s">
        <v>327</v>
      </c>
      <c r="B5699" s="28"/>
      <c r="C5699" s="27"/>
      <c r="D5699" s="27" t="str">
        <f>"""NAV Direct"",""CRONUS JetCorp USA"",""21"",""1"",""294762"""</f>
        <v>"NAV Direct","CRONUS JetCorp USA","21","1","294762"</v>
      </c>
      <c r="E5699" s="31">
        <f t="shared" si="1716"/>
        <v>0</v>
      </c>
      <c r="F5699" s="31"/>
      <c r="G5699" s="31"/>
      <c r="H5699" s="31"/>
      <c r="I5699" s="56"/>
      <c r="J5699" s="56"/>
      <c r="K5699" s="82" t="str">
        <f t="shared" si="1717"/>
        <v>Invoice</v>
      </c>
      <c r="L5699" s="83" t="str">
        <f>"SI_109073"</f>
        <v>SI_109073</v>
      </c>
      <c r="M5699" s="84">
        <v>43584</v>
      </c>
      <c r="N5699" s="85">
        <f t="shared" si="1718"/>
        <v>228</v>
      </c>
      <c r="O5699" s="86">
        <f t="shared" si="1719"/>
        <v>2679.3</v>
      </c>
      <c r="P5699" s="86">
        <f t="shared" si="1720"/>
        <v>0</v>
      </c>
      <c r="Q5699" s="86">
        <f t="shared" si="1721"/>
        <v>0</v>
      </c>
      <c r="R5699" s="86">
        <f t="shared" si="1722"/>
        <v>0</v>
      </c>
      <c r="S5699" s="86">
        <f t="shared" si="1723"/>
        <v>0</v>
      </c>
      <c r="T5699" s="86">
        <f t="shared" si="1724"/>
        <v>2679.3</v>
      </c>
      <c r="U5699" s="87">
        <v>2679.3</v>
      </c>
    </row>
    <row r="5700" spans="1:21" s="30" customFormat="1" ht="24.6" hidden="1" outlineLevel="1" x14ac:dyDescent="0.55000000000000004">
      <c r="A5700" s="27" t="s">
        <v>327</v>
      </c>
      <c r="B5700" s="28"/>
      <c r="C5700" s="27"/>
      <c r="D5700" s="27" t="str">
        <f>"""NAV Direct"",""CRONUS JetCorp USA"",""21"",""1"",""295777"""</f>
        <v>"NAV Direct","CRONUS JetCorp USA","21","1","295777"</v>
      </c>
      <c r="E5700" s="31" t="str">
        <f t="shared" si="1716"/>
        <v>C100502</v>
      </c>
      <c r="F5700" s="31"/>
      <c r="G5700" s="31"/>
      <c r="H5700" s="31"/>
      <c r="I5700" s="56"/>
      <c r="J5700" s="56"/>
      <c r="K5700" s="82" t="str">
        <f t="shared" si="1717"/>
        <v>Invoice</v>
      </c>
      <c r="L5700" s="83" t="str">
        <f>"SI_109103"</f>
        <v>SI_109103</v>
      </c>
      <c r="M5700" s="84">
        <v>43591</v>
      </c>
      <c r="N5700" s="85">
        <f t="shared" si="1718"/>
        <v>221</v>
      </c>
      <c r="O5700" s="86">
        <f t="shared" si="1719"/>
        <v>2679.4500000000003</v>
      </c>
      <c r="P5700" s="86">
        <f t="shared" si="1720"/>
        <v>0</v>
      </c>
      <c r="Q5700" s="86">
        <f t="shared" si="1721"/>
        <v>0</v>
      </c>
      <c r="R5700" s="86">
        <f t="shared" si="1722"/>
        <v>0</v>
      </c>
      <c r="S5700" s="86">
        <f t="shared" si="1723"/>
        <v>0</v>
      </c>
      <c r="T5700" s="86">
        <f t="shared" si="1724"/>
        <v>2679.4500000000003</v>
      </c>
      <c r="U5700" s="87">
        <v>2679.4500000000003</v>
      </c>
    </row>
    <row r="5701" spans="1:21" s="30" customFormat="1" ht="24.6" hidden="1" outlineLevel="1" x14ac:dyDescent="0.55000000000000004">
      <c r="A5701" s="27" t="s">
        <v>327</v>
      </c>
      <c r="B5701" s="28"/>
      <c r="C5701" s="27"/>
      <c r="D5701" s="27" t="str">
        <f>"""NAV Direct"",""CRONUS JetCorp USA"",""21"",""1"",""296103"""</f>
        <v>"NAV Direct","CRONUS JetCorp USA","21","1","296103"</v>
      </c>
      <c r="E5701" s="31">
        <f t="shared" si="1716"/>
        <v>0</v>
      </c>
      <c r="F5701" s="31"/>
      <c r="G5701" s="31"/>
      <c r="H5701" s="31"/>
      <c r="I5701" s="56"/>
      <c r="J5701" s="56"/>
      <c r="K5701" s="82" t="str">
        <f t="shared" si="1717"/>
        <v>Invoice</v>
      </c>
      <c r="L5701" s="83" t="str">
        <f>"SI_109113"</f>
        <v>SI_109113</v>
      </c>
      <c r="M5701" s="84">
        <v>43611</v>
      </c>
      <c r="N5701" s="85">
        <f t="shared" si="1718"/>
        <v>201</v>
      </c>
      <c r="O5701" s="86">
        <f t="shared" si="1719"/>
        <v>2679.4</v>
      </c>
      <c r="P5701" s="86">
        <f t="shared" si="1720"/>
        <v>0</v>
      </c>
      <c r="Q5701" s="86">
        <f t="shared" si="1721"/>
        <v>0</v>
      </c>
      <c r="R5701" s="86">
        <f t="shared" si="1722"/>
        <v>0</v>
      </c>
      <c r="S5701" s="86">
        <f t="shared" si="1723"/>
        <v>0</v>
      </c>
      <c r="T5701" s="86">
        <f t="shared" si="1724"/>
        <v>2679.4</v>
      </c>
      <c r="U5701" s="87">
        <v>2679.4</v>
      </c>
    </row>
    <row r="5702" spans="1:21" s="30" customFormat="1" ht="24.6" hidden="1" outlineLevel="1" x14ac:dyDescent="0.55000000000000004">
      <c r="A5702" s="27" t="s">
        <v>327</v>
      </c>
      <c r="B5702" s="28"/>
      <c r="C5702" s="27"/>
      <c r="D5702" s="27" t="str">
        <f>"""NAV Direct"",""CRONUS JetCorp USA"",""21"",""1"",""297096"""</f>
        <v>"NAV Direct","CRONUS JetCorp USA","21","1","297096"</v>
      </c>
      <c r="E5702" s="31" t="str">
        <f t="shared" si="1716"/>
        <v>C100502</v>
      </c>
      <c r="F5702" s="31"/>
      <c r="G5702" s="31"/>
      <c r="H5702" s="31"/>
      <c r="I5702" s="56"/>
      <c r="J5702" s="56"/>
      <c r="K5702" s="82" t="str">
        <f t="shared" si="1717"/>
        <v>Invoice</v>
      </c>
      <c r="L5702" s="83" t="str">
        <f>"SI_109144"</f>
        <v>SI_109144</v>
      </c>
      <c r="M5702" s="84">
        <v>43693</v>
      </c>
      <c r="N5702" s="85">
        <f t="shared" si="1718"/>
        <v>119</v>
      </c>
      <c r="O5702" s="86">
        <f t="shared" si="1719"/>
        <v>2947.26</v>
      </c>
      <c r="P5702" s="86">
        <f t="shared" si="1720"/>
        <v>0</v>
      </c>
      <c r="Q5702" s="86">
        <f t="shared" si="1721"/>
        <v>0</v>
      </c>
      <c r="R5702" s="86">
        <f t="shared" si="1722"/>
        <v>0</v>
      </c>
      <c r="S5702" s="86">
        <f t="shared" si="1723"/>
        <v>0</v>
      </c>
      <c r="T5702" s="86">
        <f t="shared" si="1724"/>
        <v>2947.26</v>
      </c>
      <c r="U5702" s="87">
        <v>2947.26</v>
      </c>
    </row>
    <row r="5703" spans="1:21" s="30" customFormat="1" ht="24.6" hidden="1" outlineLevel="1" x14ac:dyDescent="0.55000000000000004">
      <c r="A5703" s="27" t="s">
        <v>327</v>
      </c>
      <c r="B5703" s="28"/>
      <c r="C5703" s="27"/>
      <c r="D5703" s="27" t="str">
        <f>"""NAV Direct"",""CRONUS JetCorp USA"",""21"",""1"",""297351"""</f>
        <v>"NAV Direct","CRONUS JetCorp USA","21","1","297351"</v>
      </c>
      <c r="E5703" s="31">
        <f t="shared" si="1716"/>
        <v>0</v>
      </c>
      <c r="F5703" s="31"/>
      <c r="G5703" s="31"/>
      <c r="H5703" s="31"/>
      <c r="I5703" s="56"/>
      <c r="J5703" s="56"/>
      <c r="K5703" s="82" t="str">
        <f t="shared" si="1717"/>
        <v>Invoice</v>
      </c>
      <c r="L5703" s="83" t="str">
        <f>"SI_109153"</f>
        <v>SI_109153</v>
      </c>
      <c r="M5703" s="84">
        <v>43704</v>
      </c>
      <c r="N5703" s="85">
        <f t="shared" si="1718"/>
        <v>108</v>
      </c>
      <c r="O5703" s="86">
        <f t="shared" si="1719"/>
        <v>2947.31</v>
      </c>
      <c r="P5703" s="86">
        <f t="shared" si="1720"/>
        <v>0</v>
      </c>
      <c r="Q5703" s="86">
        <f t="shared" si="1721"/>
        <v>0</v>
      </c>
      <c r="R5703" s="86">
        <f t="shared" si="1722"/>
        <v>0</v>
      </c>
      <c r="S5703" s="86">
        <f t="shared" si="1723"/>
        <v>0</v>
      </c>
      <c r="T5703" s="86">
        <f t="shared" si="1724"/>
        <v>2947.31</v>
      </c>
      <c r="U5703" s="87">
        <v>2947.31</v>
      </c>
    </row>
    <row r="5704" spans="1:21" s="30" customFormat="1" ht="24.6" hidden="1" outlineLevel="1" x14ac:dyDescent="0.55000000000000004">
      <c r="A5704" s="27" t="s">
        <v>327</v>
      </c>
      <c r="B5704" s="28"/>
      <c r="C5704" s="27"/>
      <c r="D5704" s="27" t="str">
        <f>"""NAV Direct"",""CRONUS JetCorp USA"",""21"",""1"",""298105"""</f>
        <v>"NAV Direct","CRONUS JetCorp USA","21","1","298105"</v>
      </c>
      <c r="E5704" s="31" t="str">
        <f t="shared" si="1716"/>
        <v>C100502</v>
      </c>
      <c r="F5704" s="31"/>
      <c r="G5704" s="31"/>
      <c r="H5704" s="31"/>
      <c r="I5704" s="56"/>
      <c r="J5704" s="56"/>
      <c r="K5704" s="82" t="str">
        <f t="shared" si="1717"/>
        <v>Invoice</v>
      </c>
      <c r="L5704" s="83" t="str">
        <f>"SI_109175"</f>
        <v>SI_109175</v>
      </c>
      <c r="M5704" s="84">
        <v>43757</v>
      </c>
      <c r="N5704" s="85">
        <f t="shared" si="1718"/>
        <v>55</v>
      </c>
      <c r="O5704" s="86">
        <f t="shared" si="1719"/>
        <v>3242.1000000000004</v>
      </c>
      <c r="P5704" s="86">
        <f t="shared" si="1720"/>
        <v>0</v>
      </c>
      <c r="Q5704" s="86">
        <f t="shared" si="1721"/>
        <v>0</v>
      </c>
      <c r="R5704" s="86">
        <f t="shared" si="1722"/>
        <v>3242.1000000000004</v>
      </c>
      <c r="S5704" s="86">
        <f t="shared" si="1723"/>
        <v>0</v>
      </c>
      <c r="T5704" s="86">
        <f t="shared" si="1724"/>
        <v>0</v>
      </c>
      <c r="U5704" s="87">
        <v>3242.1000000000004</v>
      </c>
    </row>
    <row r="5705" spans="1:21" s="30" customFormat="1" ht="24.6" hidden="1" outlineLevel="1" x14ac:dyDescent="0.55000000000000004">
      <c r="A5705" s="27" t="s">
        <v>327</v>
      </c>
      <c r="B5705" s="28"/>
      <c r="C5705" s="27"/>
      <c r="D5705" s="27" t="str">
        <f>"""NAV Direct"",""CRONUS JetCorp USA"",""21"",""1"",""298334"""</f>
        <v>"NAV Direct","CRONUS JetCorp USA","21","1","298334"</v>
      </c>
      <c r="E5705" s="31">
        <f t="shared" si="1716"/>
        <v>0</v>
      </c>
      <c r="F5705" s="31"/>
      <c r="G5705" s="31"/>
      <c r="H5705" s="31"/>
      <c r="I5705" s="56"/>
      <c r="J5705" s="56"/>
      <c r="K5705" s="82" t="str">
        <f t="shared" si="1717"/>
        <v>Invoice</v>
      </c>
      <c r="L5705" s="83" t="str">
        <f>"SI_109183"</f>
        <v>SI_109183</v>
      </c>
      <c r="M5705" s="84">
        <v>43770</v>
      </c>
      <c r="N5705" s="85">
        <f t="shared" si="1718"/>
        <v>42</v>
      </c>
      <c r="O5705" s="86">
        <f t="shared" si="1719"/>
        <v>3242.1899999999996</v>
      </c>
      <c r="P5705" s="86">
        <f t="shared" si="1720"/>
        <v>0</v>
      </c>
      <c r="Q5705" s="86">
        <f t="shared" si="1721"/>
        <v>0</v>
      </c>
      <c r="R5705" s="86">
        <f t="shared" si="1722"/>
        <v>3242.1899999999996</v>
      </c>
      <c r="S5705" s="86">
        <f t="shared" si="1723"/>
        <v>0</v>
      </c>
      <c r="T5705" s="86">
        <f t="shared" si="1724"/>
        <v>0</v>
      </c>
      <c r="U5705" s="87">
        <v>3242.1899999999996</v>
      </c>
    </row>
    <row r="5706" spans="1:21" s="30" customFormat="1" ht="24.6" hidden="1" outlineLevel="1" x14ac:dyDescent="0.55000000000000004">
      <c r="A5706" s="27" t="s">
        <v>327</v>
      </c>
      <c r="B5706" s="28"/>
      <c r="C5706" s="27"/>
      <c r="D5706" s="27" t="str">
        <f>"""NAV Direct"",""CRONUS JetCorp USA"",""21"",""1"",""298669"""</f>
        <v>"NAV Direct","CRONUS JetCorp USA","21","1","298669"</v>
      </c>
      <c r="E5706" s="31" t="str">
        <f t="shared" si="1716"/>
        <v>C100502</v>
      </c>
      <c r="F5706" s="31"/>
      <c r="G5706" s="31"/>
      <c r="H5706" s="31"/>
      <c r="I5706" s="56"/>
      <c r="J5706" s="56"/>
      <c r="K5706" s="82" t="str">
        <f t="shared" si="1717"/>
        <v>Invoice</v>
      </c>
      <c r="L5706" s="83" t="str">
        <f>"SI_109194"</f>
        <v>SI_109194</v>
      </c>
      <c r="M5706" s="84">
        <v>43773</v>
      </c>
      <c r="N5706" s="85">
        <f t="shared" si="1718"/>
        <v>39</v>
      </c>
      <c r="O5706" s="86">
        <f t="shared" si="1719"/>
        <v>3242</v>
      </c>
      <c r="P5706" s="86">
        <f t="shared" si="1720"/>
        <v>0</v>
      </c>
      <c r="Q5706" s="86">
        <f t="shared" si="1721"/>
        <v>0</v>
      </c>
      <c r="R5706" s="86">
        <f t="shared" si="1722"/>
        <v>3242</v>
      </c>
      <c r="S5706" s="86">
        <f t="shared" si="1723"/>
        <v>0</v>
      </c>
      <c r="T5706" s="86">
        <f t="shared" si="1724"/>
        <v>0</v>
      </c>
      <c r="U5706" s="87">
        <v>3242</v>
      </c>
    </row>
    <row r="5707" spans="1:21" s="30" customFormat="1" ht="24.6" hidden="1" outlineLevel="1" x14ac:dyDescent="0.55000000000000004">
      <c r="A5707" s="27" t="s">
        <v>327</v>
      </c>
      <c r="B5707" s="28"/>
      <c r="C5707" s="27"/>
      <c r="D5707" s="27" t="str">
        <f>"""NAV Direct"",""CRONUS JetCorp USA"",""21"",""1"",""298897"""</f>
        <v>"NAV Direct","CRONUS JetCorp USA","21","1","298897"</v>
      </c>
      <c r="E5707" s="31">
        <f t="shared" si="1716"/>
        <v>0</v>
      </c>
      <c r="F5707" s="31"/>
      <c r="G5707" s="31"/>
      <c r="H5707" s="31"/>
      <c r="I5707" s="56"/>
      <c r="J5707" s="56"/>
      <c r="K5707" s="82" t="str">
        <f t="shared" si="1717"/>
        <v>Invoice</v>
      </c>
      <c r="L5707" s="83" t="str">
        <f>"SI_109200"</f>
        <v>SI_109200</v>
      </c>
      <c r="M5707" s="84">
        <v>43781</v>
      </c>
      <c r="N5707" s="85">
        <f t="shared" si="1718"/>
        <v>31</v>
      </c>
      <c r="O5707" s="86">
        <f t="shared" si="1719"/>
        <v>3242.2</v>
      </c>
      <c r="P5707" s="86">
        <f t="shared" si="1720"/>
        <v>0</v>
      </c>
      <c r="Q5707" s="86">
        <f t="shared" si="1721"/>
        <v>0</v>
      </c>
      <c r="R5707" s="86">
        <f t="shared" si="1722"/>
        <v>3242.2</v>
      </c>
      <c r="S5707" s="86">
        <f t="shared" si="1723"/>
        <v>0</v>
      </c>
      <c r="T5707" s="86">
        <f t="shared" si="1724"/>
        <v>0</v>
      </c>
      <c r="U5707" s="87">
        <v>3242.2</v>
      </c>
    </row>
    <row r="5708" spans="1:21" s="30" customFormat="1" ht="24.6" hidden="1" outlineLevel="1" x14ac:dyDescent="0.55000000000000004">
      <c r="A5708" s="27" t="s">
        <v>327</v>
      </c>
      <c r="B5708" s="28"/>
      <c r="C5708" s="27"/>
      <c r="D5708" s="27" t="str">
        <f>"""NAV Direct"",""CRONUS JetCorp USA"",""21"",""1"",""300011"""</f>
        <v>"NAV Direct","CRONUS JetCorp USA","21","1","300011"</v>
      </c>
      <c r="E5708" s="31" t="str">
        <f t="shared" si="1716"/>
        <v>C100502</v>
      </c>
      <c r="F5708" s="31"/>
      <c r="G5708" s="31"/>
      <c r="H5708" s="31"/>
      <c r="I5708" s="56"/>
      <c r="J5708" s="56"/>
      <c r="K5708" s="82" t="str">
        <f t="shared" si="1717"/>
        <v>Invoice</v>
      </c>
      <c r="L5708" s="83" t="str">
        <f>"SI_109233"</f>
        <v>SI_109233</v>
      </c>
      <c r="M5708" s="84">
        <v>42028</v>
      </c>
      <c r="N5708" s="85">
        <f t="shared" si="1718"/>
        <v>1784</v>
      </c>
      <c r="O5708" s="86">
        <f t="shared" si="1719"/>
        <v>3566.35</v>
      </c>
      <c r="P5708" s="86">
        <f t="shared" si="1720"/>
        <v>0</v>
      </c>
      <c r="Q5708" s="86">
        <f t="shared" si="1721"/>
        <v>0</v>
      </c>
      <c r="R5708" s="86">
        <f t="shared" si="1722"/>
        <v>0</v>
      </c>
      <c r="S5708" s="86">
        <f t="shared" si="1723"/>
        <v>0</v>
      </c>
      <c r="T5708" s="86">
        <f t="shared" si="1724"/>
        <v>3566.35</v>
      </c>
      <c r="U5708" s="87">
        <v>3566.35</v>
      </c>
    </row>
    <row r="5709" spans="1:21" s="30" customFormat="1" ht="24.6" hidden="1" outlineLevel="1" x14ac:dyDescent="0.55000000000000004">
      <c r="A5709" s="27" t="s">
        <v>327</v>
      </c>
      <c r="B5709" s="28"/>
      <c r="C5709" s="27"/>
      <c r="D5709" s="27" t="str">
        <f>"""NAV Direct"",""CRONUS JetCorp USA"",""21"",""1"",""300651"""</f>
        <v>"NAV Direct","CRONUS JetCorp USA","21","1","300651"</v>
      </c>
      <c r="E5709" s="31">
        <f t="shared" si="1716"/>
        <v>0</v>
      </c>
      <c r="F5709" s="31"/>
      <c r="G5709" s="31"/>
      <c r="H5709" s="31"/>
      <c r="I5709" s="56"/>
      <c r="J5709" s="56"/>
      <c r="K5709" s="82" t="str">
        <f t="shared" si="1717"/>
        <v>Invoice</v>
      </c>
      <c r="L5709" s="83" t="str">
        <f>"SI_109252"</f>
        <v>SI_109252</v>
      </c>
      <c r="M5709" s="84">
        <v>42048</v>
      </c>
      <c r="N5709" s="85">
        <f t="shared" si="1718"/>
        <v>1764</v>
      </c>
      <c r="O5709" s="86">
        <f t="shared" si="1719"/>
        <v>3566.3700000000003</v>
      </c>
      <c r="P5709" s="86">
        <f t="shared" si="1720"/>
        <v>0</v>
      </c>
      <c r="Q5709" s="86">
        <f t="shared" si="1721"/>
        <v>0</v>
      </c>
      <c r="R5709" s="86">
        <f t="shared" si="1722"/>
        <v>0</v>
      </c>
      <c r="S5709" s="86">
        <f t="shared" si="1723"/>
        <v>0</v>
      </c>
      <c r="T5709" s="86">
        <f t="shared" si="1724"/>
        <v>3566.3700000000003</v>
      </c>
      <c r="U5709" s="87">
        <v>3566.3700000000003</v>
      </c>
    </row>
    <row r="5710" spans="1:21" s="30" customFormat="1" ht="24.6" hidden="1" outlineLevel="1" x14ac:dyDescent="0.55000000000000004">
      <c r="A5710" s="27" t="s">
        <v>327</v>
      </c>
      <c r="B5710" s="28"/>
      <c r="C5710" s="27"/>
      <c r="D5710" s="27" t="str">
        <f>"""NAV Direct"",""CRONUS JetCorp USA"",""21"",""1"",""300711"""</f>
        <v>"NAV Direct","CRONUS JetCorp USA","21","1","300711"</v>
      </c>
      <c r="E5710" s="31" t="str">
        <f t="shared" si="1716"/>
        <v>C100502</v>
      </c>
      <c r="F5710" s="31"/>
      <c r="G5710" s="31"/>
      <c r="H5710" s="31"/>
      <c r="I5710" s="56"/>
      <c r="J5710" s="56"/>
      <c r="K5710" s="82" t="str">
        <f t="shared" si="1717"/>
        <v>Invoice</v>
      </c>
      <c r="L5710" s="83" t="str">
        <f>"SI_109254"</f>
        <v>SI_109254</v>
      </c>
      <c r="M5710" s="84">
        <v>42051</v>
      </c>
      <c r="N5710" s="85">
        <f t="shared" si="1718"/>
        <v>1761</v>
      </c>
      <c r="O5710" s="86">
        <f t="shared" si="1719"/>
        <v>3566.4300000000003</v>
      </c>
      <c r="P5710" s="86">
        <f t="shared" si="1720"/>
        <v>0</v>
      </c>
      <c r="Q5710" s="86">
        <f t="shared" si="1721"/>
        <v>0</v>
      </c>
      <c r="R5710" s="86">
        <f t="shared" si="1722"/>
        <v>0</v>
      </c>
      <c r="S5710" s="86">
        <f t="shared" si="1723"/>
        <v>0</v>
      </c>
      <c r="T5710" s="86">
        <f t="shared" si="1724"/>
        <v>3566.4300000000003</v>
      </c>
      <c r="U5710" s="87">
        <v>3566.4300000000003</v>
      </c>
    </row>
    <row r="5711" spans="1:21" s="30" customFormat="1" ht="24.6" hidden="1" outlineLevel="1" x14ac:dyDescent="0.55000000000000004">
      <c r="A5711" s="27" t="s">
        <v>327</v>
      </c>
      <c r="B5711" s="28"/>
      <c r="C5711" s="27"/>
      <c r="D5711" s="27" t="str">
        <f>"""NAV Direct"",""CRONUS JetCorp USA"",""21"",""1"",""301239"""</f>
        <v>"NAV Direct","CRONUS JetCorp USA","21","1","301239"</v>
      </c>
      <c r="E5711" s="31">
        <f t="shared" si="1716"/>
        <v>0</v>
      </c>
      <c r="F5711" s="31"/>
      <c r="G5711" s="31"/>
      <c r="H5711" s="31"/>
      <c r="I5711" s="56"/>
      <c r="J5711" s="56"/>
      <c r="K5711" s="82" t="str">
        <f t="shared" si="1717"/>
        <v>Invoice</v>
      </c>
      <c r="L5711" s="83" t="str">
        <f>"SI_109269"</f>
        <v>SI_109269</v>
      </c>
      <c r="M5711" s="84">
        <v>42064</v>
      </c>
      <c r="N5711" s="85">
        <f t="shared" si="1718"/>
        <v>1748</v>
      </c>
      <c r="O5711" s="86">
        <f t="shared" si="1719"/>
        <v>3566.36</v>
      </c>
      <c r="P5711" s="86">
        <f t="shared" si="1720"/>
        <v>0</v>
      </c>
      <c r="Q5711" s="86">
        <f t="shared" si="1721"/>
        <v>0</v>
      </c>
      <c r="R5711" s="86">
        <f t="shared" si="1722"/>
        <v>0</v>
      </c>
      <c r="S5711" s="86">
        <f t="shared" si="1723"/>
        <v>0</v>
      </c>
      <c r="T5711" s="86">
        <f t="shared" si="1724"/>
        <v>3566.36</v>
      </c>
      <c r="U5711" s="87">
        <v>3566.36</v>
      </c>
    </row>
    <row r="5712" spans="1:21" s="30" customFormat="1" ht="24.6" hidden="1" outlineLevel="1" x14ac:dyDescent="0.55000000000000004">
      <c r="A5712" s="27" t="s">
        <v>327</v>
      </c>
      <c r="B5712" s="28"/>
      <c r="C5712" s="27"/>
      <c r="D5712" s="27" t="str">
        <f>"""NAV Direct"",""CRONUS JetCorp USA"",""21"",""1"",""301766"""</f>
        <v>"NAV Direct","CRONUS JetCorp USA","21","1","301766"</v>
      </c>
      <c r="E5712" s="31" t="str">
        <f t="shared" si="1716"/>
        <v>C100502</v>
      </c>
      <c r="F5712" s="31"/>
      <c r="G5712" s="31"/>
      <c r="H5712" s="31"/>
      <c r="I5712" s="56"/>
      <c r="J5712" s="56"/>
      <c r="K5712" s="82" t="str">
        <f t="shared" si="1717"/>
        <v>Invoice</v>
      </c>
      <c r="L5712" s="83" t="str">
        <f>"SI_109284"</f>
        <v>SI_109284</v>
      </c>
      <c r="M5712" s="84">
        <v>42115</v>
      </c>
      <c r="N5712" s="85">
        <f t="shared" si="1718"/>
        <v>1697</v>
      </c>
      <c r="O5712" s="86">
        <f t="shared" si="1719"/>
        <v>3922.95</v>
      </c>
      <c r="P5712" s="86">
        <f t="shared" si="1720"/>
        <v>0</v>
      </c>
      <c r="Q5712" s="86">
        <f t="shared" si="1721"/>
        <v>0</v>
      </c>
      <c r="R5712" s="86">
        <f t="shared" si="1722"/>
        <v>0</v>
      </c>
      <c r="S5712" s="86">
        <f t="shared" si="1723"/>
        <v>0</v>
      </c>
      <c r="T5712" s="86">
        <f t="shared" si="1724"/>
        <v>3922.95</v>
      </c>
      <c r="U5712" s="87">
        <v>3922.95</v>
      </c>
    </row>
    <row r="5713" spans="1:22" s="30" customFormat="1" ht="24.6" hidden="1" outlineLevel="1" x14ac:dyDescent="0.55000000000000004">
      <c r="A5713" s="27" t="s">
        <v>327</v>
      </c>
      <c r="B5713" s="28"/>
      <c r="C5713" s="27"/>
      <c r="D5713" s="27" t="str">
        <f>"""NAV Direct"",""CRONUS JetCorp USA"",""21"",""1"",""302166"""</f>
        <v>"NAV Direct","CRONUS JetCorp USA","21","1","302166"</v>
      </c>
      <c r="E5713" s="31">
        <f t="shared" si="1716"/>
        <v>0</v>
      </c>
      <c r="F5713" s="31"/>
      <c r="G5713" s="31"/>
      <c r="H5713" s="31"/>
      <c r="I5713" s="56"/>
      <c r="J5713" s="56"/>
      <c r="K5713" s="82" t="str">
        <f t="shared" si="1717"/>
        <v>Invoice</v>
      </c>
      <c r="L5713" s="83" t="str">
        <f>"SI_109295"</f>
        <v>SI_109295</v>
      </c>
      <c r="M5713" s="84">
        <v>42118</v>
      </c>
      <c r="N5713" s="85">
        <f t="shared" si="1718"/>
        <v>1694</v>
      </c>
      <c r="O5713" s="86">
        <f t="shared" si="1719"/>
        <v>3923.04</v>
      </c>
      <c r="P5713" s="86">
        <f t="shared" si="1720"/>
        <v>0</v>
      </c>
      <c r="Q5713" s="86">
        <f t="shared" si="1721"/>
        <v>0</v>
      </c>
      <c r="R5713" s="86">
        <f t="shared" si="1722"/>
        <v>0</v>
      </c>
      <c r="S5713" s="86">
        <f t="shared" si="1723"/>
        <v>0</v>
      </c>
      <c r="T5713" s="86">
        <f t="shared" si="1724"/>
        <v>3923.04</v>
      </c>
      <c r="U5713" s="87">
        <v>3923.04</v>
      </c>
    </row>
    <row r="5714" spans="1:22" s="30" customFormat="1" ht="24.6" hidden="1" outlineLevel="1" x14ac:dyDescent="0.55000000000000004">
      <c r="A5714" s="27" t="s">
        <v>327</v>
      </c>
      <c r="B5714" s="28"/>
      <c r="C5714" s="27"/>
      <c r="D5714" s="27" t="str">
        <f>"""NAV Direct"",""CRONUS JetCorp USA"",""21"",""1"",""302244"""</f>
        <v>"NAV Direct","CRONUS JetCorp USA","21","1","302244"</v>
      </c>
      <c r="E5714" s="31" t="str">
        <f t="shared" si="1716"/>
        <v>C100502</v>
      </c>
      <c r="F5714" s="31"/>
      <c r="G5714" s="31"/>
      <c r="H5714" s="31"/>
      <c r="I5714" s="56"/>
      <c r="J5714" s="56"/>
      <c r="K5714" s="82" t="str">
        <f t="shared" si="1717"/>
        <v>Invoice</v>
      </c>
      <c r="L5714" s="83" t="str">
        <f>"SI_109297"</f>
        <v>SI_109297</v>
      </c>
      <c r="M5714" s="84">
        <v>42121</v>
      </c>
      <c r="N5714" s="85">
        <f t="shared" si="1718"/>
        <v>1691</v>
      </c>
      <c r="O5714" s="86">
        <f t="shared" si="1719"/>
        <v>3922.9399999999996</v>
      </c>
      <c r="P5714" s="86">
        <f t="shared" si="1720"/>
        <v>0</v>
      </c>
      <c r="Q5714" s="86">
        <f t="shared" si="1721"/>
        <v>0</v>
      </c>
      <c r="R5714" s="86">
        <f t="shared" si="1722"/>
        <v>0</v>
      </c>
      <c r="S5714" s="86">
        <f t="shared" si="1723"/>
        <v>0</v>
      </c>
      <c r="T5714" s="86">
        <f t="shared" si="1724"/>
        <v>3922.9399999999996</v>
      </c>
      <c r="U5714" s="87">
        <v>3922.9399999999996</v>
      </c>
    </row>
    <row r="5715" spans="1:22" s="30" customFormat="1" ht="24.6" hidden="1" outlineLevel="1" x14ac:dyDescent="0.55000000000000004">
      <c r="A5715" s="27" t="s">
        <v>327</v>
      </c>
      <c r="B5715" s="28"/>
      <c r="C5715" s="27"/>
      <c r="D5715" s="27" t="str">
        <f>"""NAV Direct"",""CRONUS JetCorp USA"",""21"",""1"",""303000"""</f>
        <v>"NAV Direct","CRONUS JetCorp USA","21","1","303000"</v>
      </c>
      <c r="E5715" s="31">
        <f t="shared" si="1716"/>
        <v>0</v>
      </c>
      <c r="F5715" s="31"/>
      <c r="G5715" s="31"/>
      <c r="H5715" s="31"/>
      <c r="I5715" s="56"/>
      <c r="J5715" s="56"/>
      <c r="K5715" s="82" t="str">
        <f t="shared" si="1717"/>
        <v>Invoice</v>
      </c>
      <c r="L5715" s="83" t="str">
        <f>"SI_109320"</f>
        <v>SI_109320</v>
      </c>
      <c r="M5715" s="84">
        <v>42141</v>
      </c>
      <c r="N5715" s="85">
        <f t="shared" si="1718"/>
        <v>1671</v>
      </c>
      <c r="O5715" s="86">
        <f t="shared" si="1719"/>
        <v>3923.08</v>
      </c>
      <c r="P5715" s="86">
        <f t="shared" si="1720"/>
        <v>0</v>
      </c>
      <c r="Q5715" s="86">
        <f t="shared" si="1721"/>
        <v>0</v>
      </c>
      <c r="R5715" s="86">
        <f t="shared" si="1722"/>
        <v>0</v>
      </c>
      <c r="S5715" s="86">
        <f t="shared" si="1723"/>
        <v>0</v>
      </c>
      <c r="T5715" s="86">
        <f t="shared" si="1724"/>
        <v>3923.08</v>
      </c>
      <c r="U5715" s="87">
        <v>3923.08</v>
      </c>
    </row>
    <row r="5716" spans="1:22" s="30" customFormat="1" ht="24.6" hidden="1" outlineLevel="1" x14ac:dyDescent="0.55000000000000004">
      <c r="A5716" s="27" t="s">
        <v>327</v>
      </c>
      <c r="B5716" s="28"/>
      <c r="C5716" s="27"/>
      <c r="D5716" s="27" t="str">
        <f>"""NAV Direct"",""CRONUS JetCorp USA"",""21"",""1"",""303186"""</f>
        <v>"NAV Direct","CRONUS JetCorp USA","21","1","303186"</v>
      </c>
      <c r="E5716" s="31" t="str">
        <f t="shared" si="1716"/>
        <v>C100502</v>
      </c>
      <c r="F5716" s="31"/>
      <c r="G5716" s="31"/>
      <c r="H5716" s="31"/>
      <c r="I5716" s="56"/>
      <c r="J5716" s="56"/>
      <c r="K5716" s="82" t="str">
        <f t="shared" si="1717"/>
        <v>Invoice</v>
      </c>
      <c r="L5716" s="83" t="str">
        <f>"SI_109325"</f>
        <v>SI_109325</v>
      </c>
      <c r="M5716" s="84">
        <v>42148</v>
      </c>
      <c r="N5716" s="85">
        <f t="shared" si="1718"/>
        <v>1664</v>
      </c>
      <c r="O5716" s="86">
        <f t="shared" si="1719"/>
        <v>3923.05</v>
      </c>
      <c r="P5716" s="86">
        <f t="shared" si="1720"/>
        <v>0</v>
      </c>
      <c r="Q5716" s="86">
        <f t="shared" si="1721"/>
        <v>0</v>
      </c>
      <c r="R5716" s="86">
        <f t="shared" si="1722"/>
        <v>0</v>
      </c>
      <c r="S5716" s="86">
        <f t="shared" si="1723"/>
        <v>0</v>
      </c>
      <c r="T5716" s="86">
        <f t="shared" si="1724"/>
        <v>3923.05</v>
      </c>
      <c r="U5716" s="87">
        <v>3923.05</v>
      </c>
    </row>
    <row r="5717" spans="1:22" s="30" customFormat="1" ht="24.6" hidden="1" outlineLevel="1" x14ac:dyDescent="0.55000000000000004">
      <c r="A5717" s="27" t="s">
        <v>327</v>
      </c>
      <c r="B5717" s="28"/>
      <c r="C5717" s="27"/>
      <c r="D5717" s="27" t="str">
        <f>"""NAV Direct"",""CRONUS JetCorp USA"",""21"",""1"",""303401"""</f>
        <v>"NAV Direct","CRONUS JetCorp USA","21","1","303401"</v>
      </c>
      <c r="E5717" s="31">
        <f t="shared" si="1716"/>
        <v>0</v>
      </c>
      <c r="F5717" s="31"/>
      <c r="G5717" s="31"/>
      <c r="H5717" s="31"/>
      <c r="I5717" s="56"/>
      <c r="J5717" s="56"/>
      <c r="K5717" s="82" t="str">
        <f t="shared" si="1717"/>
        <v>Invoice</v>
      </c>
      <c r="L5717" s="83" t="str">
        <f>"SI_109331"</f>
        <v>SI_109331</v>
      </c>
      <c r="M5717" s="84">
        <v>42157</v>
      </c>
      <c r="N5717" s="85">
        <f t="shared" si="1718"/>
        <v>1655</v>
      </c>
      <c r="O5717" s="86">
        <f t="shared" si="1719"/>
        <v>3922.89</v>
      </c>
      <c r="P5717" s="86">
        <f t="shared" si="1720"/>
        <v>0</v>
      </c>
      <c r="Q5717" s="86">
        <f t="shared" si="1721"/>
        <v>0</v>
      </c>
      <c r="R5717" s="86">
        <f t="shared" si="1722"/>
        <v>0</v>
      </c>
      <c r="S5717" s="86">
        <f t="shared" si="1723"/>
        <v>0</v>
      </c>
      <c r="T5717" s="86">
        <f t="shared" si="1724"/>
        <v>3922.89</v>
      </c>
      <c r="U5717" s="87">
        <v>3922.89</v>
      </c>
    </row>
    <row r="5718" spans="1:22" s="30" customFormat="1" ht="24.6" hidden="1" outlineLevel="1" x14ac:dyDescent="0.55000000000000004">
      <c r="A5718" s="27" t="s">
        <v>327</v>
      </c>
      <c r="B5718" s="28"/>
      <c r="C5718" s="27"/>
      <c r="D5718" s="27" t="str">
        <f>"""NAV Direct"",""CRONUS JetCorp USA"",""21"",""1"",""303788"""</f>
        <v>"NAV Direct","CRONUS JetCorp USA","21","1","303788"</v>
      </c>
      <c r="E5718" s="31" t="str">
        <f t="shared" si="1716"/>
        <v>C100502</v>
      </c>
      <c r="F5718" s="31"/>
      <c r="G5718" s="31"/>
      <c r="H5718" s="31"/>
      <c r="I5718" s="56"/>
      <c r="J5718" s="56"/>
      <c r="K5718" s="82" t="str">
        <f t="shared" si="1717"/>
        <v>Invoice</v>
      </c>
      <c r="L5718" s="83" t="str">
        <f>"SI_109343"</f>
        <v>SI_109343</v>
      </c>
      <c r="M5718" s="84">
        <v>42171</v>
      </c>
      <c r="N5718" s="85">
        <f t="shared" si="1718"/>
        <v>1641</v>
      </c>
      <c r="O5718" s="86">
        <f t="shared" si="1719"/>
        <v>3923.0099999999998</v>
      </c>
      <c r="P5718" s="86">
        <f t="shared" si="1720"/>
        <v>0</v>
      </c>
      <c r="Q5718" s="86">
        <f t="shared" si="1721"/>
        <v>0</v>
      </c>
      <c r="R5718" s="86">
        <f t="shared" si="1722"/>
        <v>0</v>
      </c>
      <c r="S5718" s="86">
        <f t="shared" si="1723"/>
        <v>0</v>
      </c>
      <c r="T5718" s="86">
        <f t="shared" si="1724"/>
        <v>3923.0099999999998</v>
      </c>
      <c r="U5718" s="87">
        <v>3923.0099999999998</v>
      </c>
    </row>
    <row r="5719" spans="1:22" s="22" customFormat="1" ht="20.399999999999999" collapsed="1" x14ac:dyDescent="0.45">
      <c r="A5719" s="12" t="s">
        <v>327</v>
      </c>
      <c r="B5719" s="19"/>
      <c r="C5719" s="12"/>
      <c r="D5719" s="12"/>
      <c r="E5719" s="23"/>
      <c r="F5719" s="23"/>
      <c r="G5719" s="23"/>
      <c r="H5719" s="23"/>
      <c r="I5719" s="49"/>
      <c r="J5719" s="88"/>
      <c r="K5719" s="88"/>
      <c r="L5719" s="89"/>
      <c r="M5719" s="89"/>
      <c r="N5719" s="89"/>
      <c r="O5719" s="89"/>
      <c r="P5719" s="89"/>
      <c r="Q5719" s="90"/>
      <c r="R5719" s="90"/>
      <c r="S5719" s="91"/>
      <c r="T5719" s="92"/>
      <c r="U5719" s="92"/>
    </row>
    <row r="5720" spans="1:22" s="22" customFormat="1" ht="20.399999999999999" x14ac:dyDescent="0.45">
      <c r="A5720" s="12" t="s">
        <v>327</v>
      </c>
      <c r="B5720" s="19"/>
      <c r="C5720" s="12"/>
      <c r="D5720" s="12"/>
      <c r="E5720" s="23"/>
      <c r="F5720" s="23"/>
      <c r="G5720" s="23"/>
      <c r="H5720" s="23"/>
      <c r="I5720" s="49"/>
      <c r="J5720" s="88"/>
      <c r="K5720" s="88"/>
      <c r="L5720" s="89"/>
      <c r="M5720" s="89"/>
      <c r="N5720" s="89"/>
      <c r="O5720" s="89"/>
      <c r="P5720" s="89"/>
      <c r="Q5720" s="90"/>
      <c r="R5720" s="90"/>
      <c r="S5720" s="91"/>
      <c r="T5720" s="92"/>
      <c r="U5720" s="92"/>
    </row>
    <row r="5721" spans="1:22" s="26" customFormat="1" ht="24.6" x14ac:dyDescent="0.55000000000000004">
      <c r="A5721" s="27" t="s">
        <v>327</v>
      </c>
      <c r="B5721" s="28"/>
      <c r="C5721" s="27" t="str">
        <f>"""NAV Direct"",""CRONUS JetCorp USA"",""18"",""1"",""C100503"""</f>
        <v>"NAV Direct","CRONUS JetCorp USA","18","1","C100503"</v>
      </c>
      <c r="D5721" s="27"/>
      <c r="E5721" s="28" t="str">
        <f>H5721</f>
        <v>C100503</v>
      </c>
      <c r="F5721" s="28"/>
      <c r="G5721" s="28"/>
      <c r="H5721" s="28" t="str">
        <f>"C100503"</f>
        <v>C100503</v>
      </c>
      <c r="I5721" s="116" t="str">
        <f>"C100503  -  BTS Trophies"</f>
        <v>C100503  -  BTS Trophies</v>
      </c>
      <c r="J5721" s="117" t="str">
        <f>""</f>
        <v/>
      </c>
      <c r="K5721" s="118"/>
      <c r="L5721" s="119">
        <f>SUBTOTAL(3,L5722:L5749)</f>
        <v>24</v>
      </c>
      <c r="M5721" s="118"/>
      <c r="N5721" s="118"/>
      <c r="O5721" s="120">
        <f t="shared" ref="O5721:T5721" si="1725">SUBTOTAL(9,O5722:O5749)</f>
        <v>53657.43</v>
      </c>
      <c r="P5721" s="120">
        <f t="shared" si="1725"/>
        <v>0</v>
      </c>
      <c r="Q5721" s="120">
        <f t="shared" si="1725"/>
        <v>0</v>
      </c>
      <c r="R5721" s="120">
        <f t="shared" si="1725"/>
        <v>3242.2200000000003</v>
      </c>
      <c r="S5721" s="120">
        <f t="shared" si="1725"/>
        <v>0</v>
      </c>
      <c r="T5721" s="120">
        <f t="shared" si="1725"/>
        <v>50415.21</v>
      </c>
      <c r="U5721" s="81"/>
    </row>
    <row r="5722" spans="1:22" s="26" customFormat="1" ht="24.6" x14ac:dyDescent="0.55000000000000004">
      <c r="A5722" s="27" t="s">
        <v>327</v>
      </c>
      <c r="B5722" s="28"/>
      <c r="C5722" s="27" t="str">
        <f>C5721</f>
        <v>"NAV Direct","CRONUS JetCorp USA","18","1","C100503"</v>
      </c>
      <c r="D5722" s="27"/>
      <c r="E5722" s="28" t="str">
        <f>E5721</f>
        <v>C100503</v>
      </c>
      <c r="F5722" s="28"/>
      <c r="G5722" s="28"/>
      <c r="H5722" s="28"/>
      <c r="I5722" s="121" t="str">
        <f>"Contact: James Moore"</f>
        <v>Contact: James Moore</v>
      </c>
      <c r="J5722" s="121"/>
      <c r="K5722" s="122"/>
      <c r="L5722" s="123"/>
      <c r="M5722" s="123"/>
      <c r="N5722" s="124"/>
      <c r="O5722" s="124"/>
      <c r="P5722" s="123"/>
      <c r="Q5722" s="125"/>
      <c r="R5722" s="126"/>
      <c r="S5722" s="126"/>
      <c r="T5722" s="125"/>
      <c r="U5722" s="81"/>
    </row>
    <row r="5723" spans="1:22" s="26" customFormat="1" ht="24.6" x14ac:dyDescent="0.55000000000000004">
      <c r="A5723" s="27" t="s">
        <v>327</v>
      </c>
      <c r="B5723" s="28"/>
      <c r="C5723" s="27" t="str">
        <f>C5722</f>
        <v>"NAV Direct","CRONUS JetCorp USA","18","1","C100503"</v>
      </c>
      <c r="D5723" s="27"/>
      <c r="E5723" s="28" t="str">
        <f>E5722</f>
        <v>C100503</v>
      </c>
      <c r="F5723" s="28"/>
      <c r="G5723" s="28"/>
      <c r="H5723" s="28"/>
      <c r="I5723" s="121" t="str">
        <f>"BTS Trophies@cronuscorp.net"</f>
        <v>BTS Trophies@cronuscorp.net</v>
      </c>
      <c r="J5723" s="121"/>
      <c r="K5723" s="122"/>
      <c r="L5723" s="124"/>
      <c r="M5723" s="124"/>
      <c r="N5723" s="124"/>
      <c r="O5723" s="124"/>
      <c r="P5723" s="123"/>
      <c r="Q5723" s="125"/>
      <c r="R5723" s="126"/>
      <c r="S5723" s="126"/>
      <c r="T5723" s="125"/>
      <c r="U5723" s="81"/>
    </row>
    <row r="5724" spans="1:22" ht="12.75" hidden="1" customHeight="1" outlineLevel="1" x14ac:dyDescent="0.45">
      <c r="A5724" s="12" t="s">
        <v>328</v>
      </c>
      <c r="B5724" s="19"/>
      <c r="E5724" s="19"/>
      <c r="F5724" s="19"/>
      <c r="G5724" s="19"/>
      <c r="H5724" s="19"/>
      <c r="I5724" s="61"/>
      <c r="J5724" s="61"/>
      <c r="K5724" s="61"/>
      <c r="L5724" s="61"/>
      <c r="M5724" s="61"/>
      <c r="N5724" s="61"/>
      <c r="O5724" s="61"/>
      <c r="P5724" s="61"/>
      <c r="Q5724" s="61"/>
      <c r="R5724" s="61"/>
      <c r="S5724" s="61"/>
      <c r="T5724" s="61"/>
      <c r="U5724" s="61"/>
      <c r="V5724" s="21"/>
    </row>
    <row r="5725" spans="1:22" s="30" customFormat="1" ht="24.6" hidden="1" outlineLevel="1" x14ac:dyDescent="0.55000000000000004">
      <c r="A5725" s="27" t="s">
        <v>327</v>
      </c>
      <c r="B5725" s="28"/>
      <c r="C5725" s="27"/>
      <c r="D5725" s="27" t="str">
        <f>"""NAV Direct"",""CRONUS JetCorp USA"",""21"",""1"",""280904"""</f>
        <v>"NAV Direct","CRONUS JetCorp USA","21","1","280904"</v>
      </c>
      <c r="E5725" s="31" t="str">
        <f t="shared" ref="E5725:E5748" si="1726">E5723</f>
        <v>C100503</v>
      </c>
      <c r="F5725" s="31"/>
      <c r="G5725" s="31"/>
      <c r="H5725" s="31"/>
      <c r="I5725" s="56"/>
      <c r="J5725" s="56"/>
      <c r="K5725" s="82" t="str">
        <f t="shared" ref="K5725:K5748" si="1727">"Invoice"</f>
        <v>Invoice</v>
      </c>
      <c r="L5725" s="83" t="str">
        <f>"SI_108587"</f>
        <v>SI_108587</v>
      </c>
      <c r="M5725" s="84">
        <v>43526</v>
      </c>
      <c r="N5725" s="85">
        <f t="shared" ref="N5725:N5748" si="1728">StartDate-$M5725+1</f>
        <v>286</v>
      </c>
      <c r="O5725" s="86">
        <f t="shared" ref="O5725:O5748" si="1729">SUM(P5725:T5725)</f>
        <v>587.91999999999996</v>
      </c>
      <c r="P5725" s="86">
        <f t="shared" ref="P5725:P5748" si="1730">IF($M5725&gt;=$P$18,U5725,0)</f>
        <v>0</v>
      </c>
      <c r="Q5725" s="86">
        <f t="shared" ref="Q5725:Q5748" si="1731">IF(AND($M5725&gt;=$Q$16,$M5725&lt;=$Q$18),U5725,0)</f>
        <v>0</v>
      </c>
      <c r="R5725" s="86">
        <f t="shared" ref="R5725:R5748" si="1732">IF(AND($M5725&gt;=$R$16,$M5725&lt;=$R$18),U5725,0)</f>
        <v>0</v>
      </c>
      <c r="S5725" s="86">
        <f t="shared" ref="S5725:S5748" si="1733">IF(AND($M5725&gt;=$S$16,$M5725&lt;=$S$18),U5725,0)</f>
        <v>0</v>
      </c>
      <c r="T5725" s="86">
        <f t="shared" ref="T5725:T5748" si="1734">IF($M5725&lt;=$T$18,U5725,0)</f>
        <v>587.91999999999996</v>
      </c>
      <c r="U5725" s="87">
        <v>587.91999999999996</v>
      </c>
    </row>
    <row r="5726" spans="1:22" s="30" customFormat="1" ht="24.6" hidden="1" outlineLevel="1" x14ac:dyDescent="0.55000000000000004">
      <c r="A5726" s="27" t="s">
        <v>327</v>
      </c>
      <c r="B5726" s="28"/>
      <c r="C5726" s="27"/>
      <c r="D5726" s="27" t="str">
        <f>"""NAV Direct"",""CRONUS JetCorp USA"",""21"",""1"",""282221"""</f>
        <v>"NAV Direct","CRONUS JetCorp USA","21","1","282221"</v>
      </c>
      <c r="E5726" s="31">
        <f t="shared" si="1726"/>
        <v>0</v>
      </c>
      <c r="F5726" s="31"/>
      <c r="G5726" s="31"/>
      <c r="H5726" s="31"/>
      <c r="I5726" s="56"/>
      <c r="J5726" s="56"/>
      <c r="K5726" s="82" t="str">
        <f t="shared" si="1727"/>
        <v>Invoice</v>
      </c>
      <c r="L5726" s="83" t="str">
        <f>"SI_108640"</f>
        <v>SI_108640</v>
      </c>
      <c r="M5726" s="84">
        <v>42041</v>
      </c>
      <c r="N5726" s="85">
        <f t="shared" si="1728"/>
        <v>1771</v>
      </c>
      <c r="O5726" s="86">
        <f t="shared" si="1729"/>
        <v>776.08</v>
      </c>
      <c r="P5726" s="86">
        <f t="shared" si="1730"/>
        <v>0</v>
      </c>
      <c r="Q5726" s="86">
        <f t="shared" si="1731"/>
        <v>0</v>
      </c>
      <c r="R5726" s="86">
        <f t="shared" si="1732"/>
        <v>0</v>
      </c>
      <c r="S5726" s="86">
        <f t="shared" si="1733"/>
        <v>0</v>
      </c>
      <c r="T5726" s="86">
        <f t="shared" si="1734"/>
        <v>776.08</v>
      </c>
      <c r="U5726" s="87">
        <v>776.08</v>
      </c>
    </row>
    <row r="5727" spans="1:22" s="30" customFormat="1" ht="24.6" hidden="1" outlineLevel="1" x14ac:dyDescent="0.55000000000000004">
      <c r="A5727" s="27" t="s">
        <v>327</v>
      </c>
      <c r="B5727" s="28"/>
      <c r="C5727" s="27"/>
      <c r="D5727" s="27" t="str">
        <f>"""NAV Direct"",""CRONUS JetCorp USA"",""21"",""1"",""282454"""</f>
        <v>"NAV Direct","CRONUS JetCorp USA","21","1","282454"</v>
      </c>
      <c r="E5727" s="31" t="str">
        <f t="shared" si="1726"/>
        <v>C100503</v>
      </c>
      <c r="F5727" s="31"/>
      <c r="G5727" s="31"/>
      <c r="H5727" s="31"/>
      <c r="I5727" s="56"/>
      <c r="J5727" s="56"/>
      <c r="K5727" s="82" t="str">
        <f t="shared" si="1727"/>
        <v>Invoice</v>
      </c>
      <c r="L5727" s="83" t="str">
        <f>"SI_108649"</f>
        <v>SI_108649</v>
      </c>
      <c r="M5727" s="84">
        <v>42032</v>
      </c>
      <c r="N5727" s="85">
        <f t="shared" si="1728"/>
        <v>1780</v>
      </c>
      <c r="O5727" s="86">
        <f t="shared" si="1729"/>
        <v>776.09</v>
      </c>
      <c r="P5727" s="86">
        <f t="shared" si="1730"/>
        <v>0</v>
      </c>
      <c r="Q5727" s="86">
        <f t="shared" si="1731"/>
        <v>0</v>
      </c>
      <c r="R5727" s="86">
        <f t="shared" si="1732"/>
        <v>0</v>
      </c>
      <c r="S5727" s="86">
        <f t="shared" si="1733"/>
        <v>0</v>
      </c>
      <c r="T5727" s="86">
        <f t="shared" si="1734"/>
        <v>776.09</v>
      </c>
      <c r="U5727" s="87">
        <v>776.09</v>
      </c>
    </row>
    <row r="5728" spans="1:22" s="30" customFormat="1" ht="24.6" hidden="1" outlineLevel="1" x14ac:dyDescent="0.55000000000000004">
      <c r="A5728" s="27" t="s">
        <v>327</v>
      </c>
      <c r="B5728" s="28"/>
      <c r="C5728" s="27"/>
      <c r="D5728" s="27" t="str">
        <f>"""NAV Direct"",""CRONUS JetCorp USA"",""21"",""1"",""283366"""</f>
        <v>"NAV Direct","CRONUS JetCorp USA","21","1","283366"</v>
      </c>
      <c r="E5728" s="31">
        <f t="shared" si="1726"/>
        <v>0</v>
      </c>
      <c r="F5728" s="31"/>
      <c r="G5728" s="31"/>
      <c r="H5728" s="31"/>
      <c r="I5728" s="56"/>
      <c r="J5728" s="56"/>
      <c r="K5728" s="82" t="str">
        <f t="shared" si="1727"/>
        <v>Invoice</v>
      </c>
      <c r="L5728" s="83" t="str">
        <f>"SI_108684"</f>
        <v>SI_108684</v>
      </c>
      <c r="M5728" s="84">
        <v>42196</v>
      </c>
      <c r="N5728" s="85">
        <f t="shared" si="1728"/>
        <v>1616</v>
      </c>
      <c r="O5728" s="86">
        <f t="shared" si="1729"/>
        <v>938.87000000000012</v>
      </c>
      <c r="P5728" s="86">
        <f t="shared" si="1730"/>
        <v>0</v>
      </c>
      <c r="Q5728" s="86">
        <f t="shared" si="1731"/>
        <v>0</v>
      </c>
      <c r="R5728" s="86">
        <f t="shared" si="1732"/>
        <v>0</v>
      </c>
      <c r="S5728" s="86">
        <f t="shared" si="1733"/>
        <v>0</v>
      </c>
      <c r="T5728" s="86">
        <f t="shared" si="1734"/>
        <v>938.87000000000012</v>
      </c>
      <c r="U5728" s="87">
        <v>938.87000000000012</v>
      </c>
    </row>
    <row r="5729" spans="1:21" s="30" customFormat="1" ht="24.6" hidden="1" outlineLevel="1" x14ac:dyDescent="0.55000000000000004">
      <c r="A5729" s="27" t="s">
        <v>327</v>
      </c>
      <c r="B5729" s="28"/>
      <c r="C5729" s="27"/>
      <c r="D5729" s="27" t="str">
        <f>"""NAV Direct"",""CRONUS JetCorp USA"",""21"",""1"",""284390"""</f>
        <v>"NAV Direct","CRONUS JetCorp USA","21","1","284390"</v>
      </c>
      <c r="E5729" s="31" t="str">
        <f t="shared" si="1726"/>
        <v>C100503</v>
      </c>
      <c r="F5729" s="31"/>
      <c r="G5729" s="31"/>
      <c r="H5729" s="31"/>
      <c r="I5729" s="56"/>
      <c r="J5729" s="56"/>
      <c r="K5729" s="82" t="str">
        <f t="shared" si="1727"/>
        <v>Invoice</v>
      </c>
      <c r="L5729" s="83" t="str">
        <f>"SI_108721"</f>
        <v>SI_108721</v>
      </c>
      <c r="M5729" s="84">
        <v>42331</v>
      </c>
      <c r="N5729" s="85">
        <f t="shared" si="1728"/>
        <v>1481</v>
      </c>
      <c r="O5729" s="86">
        <f t="shared" si="1729"/>
        <v>1033.02</v>
      </c>
      <c r="P5729" s="86">
        <f t="shared" si="1730"/>
        <v>0</v>
      </c>
      <c r="Q5729" s="86">
        <f t="shared" si="1731"/>
        <v>0</v>
      </c>
      <c r="R5729" s="86">
        <f t="shared" si="1732"/>
        <v>0</v>
      </c>
      <c r="S5729" s="86">
        <f t="shared" si="1733"/>
        <v>0</v>
      </c>
      <c r="T5729" s="86">
        <f t="shared" si="1734"/>
        <v>1033.02</v>
      </c>
      <c r="U5729" s="87">
        <v>1033.02</v>
      </c>
    </row>
    <row r="5730" spans="1:21" s="30" customFormat="1" ht="24.6" hidden="1" outlineLevel="1" x14ac:dyDescent="0.55000000000000004">
      <c r="A5730" s="27" t="s">
        <v>327</v>
      </c>
      <c r="B5730" s="28"/>
      <c r="C5730" s="27"/>
      <c r="D5730" s="27" t="str">
        <f>"""NAV Direct"",""CRONUS JetCorp USA"",""21"",""1"",""286730"""</f>
        <v>"NAV Direct","CRONUS JetCorp USA","21","1","286730"</v>
      </c>
      <c r="E5730" s="31">
        <f t="shared" si="1726"/>
        <v>0</v>
      </c>
      <c r="F5730" s="31"/>
      <c r="G5730" s="31"/>
      <c r="H5730" s="31"/>
      <c r="I5730" s="56"/>
      <c r="J5730" s="56"/>
      <c r="K5730" s="82" t="str">
        <f t="shared" si="1727"/>
        <v>Invoice</v>
      </c>
      <c r="L5730" s="83" t="str">
        <f>"SI_108803"</f>
        <v>SI_108803</v>
      </c>
      <c r="M5730" s="84">
        <v>42947</v>
      </c>
      <c r="N5730" s="85">
        <f t="shared" si="1728"/>
        <v>865</v>
      </c>
      <c r="O5730" s="86">
        <f t="shared" si="1729"/>
        <v>1375.01</v>
      </c>
      <c r="P5730" s="86">
        <f t="shared" si="1730"/>
        <v>0</v>
      </c>
      <c r="Q5730" s="86">
        <f t="shared" si="1731"/>
        <v>0</v>
      </c>
      <c r="R5730" s="86">
        <f t="shared" si="1732"/>
        <v>0</v>
      </c>
      <c r="S5730" s="86">
        <f t="shared" si="1733"/>
        <v>0</v>
      </c>
      <c r="T5730" s="86">
        <f t="shared" si="1734"/>
        <v>1375.01</v>
      </c>
      <c r="U5730" s="87">
        <v>1375.01</v>
      </c>
    </row>
    <row r="5731" spans="1:21" s="30" customFormat="1" ht="24.6" hidden="1" outlineLevel="1" x14ac:dyDescent="0.55000000000000004">
      <c r="A5731" s="27" t="s">
        <v>327</v>
      </c>
      <c r="B5731" s="28"/>
      <c r="C5731" s="27"/>
      <c r="D5731" s="27" t="str">
        <f>"""NAV Direct"",""CRONUS JetCorp USA"",""21"",""1"",""287634"""</f>
        <v>"NAV Direct","CRONUS JetCorp USA","21","1","287634"</v>
      </c>
      <c r="E5731" s="31" t="str">
        <f t="shared" si="1726"/>
        <v>C100503</v>
      </c>
      <c r="F5731" s="31"/>
      <c r="G5731" s="31"/>
      <c r="H5731" s="31"/>
      <c r="I5731" s="56"/>
      <c r="J5731" s="56"/>
      <c r="K5731" s="82" t="str">
        <f t="shared" si="1727"/>
        <v>Invoice</v>
      </c>
      <c r="L5731" s="83" t="str">
        <f>"SI_108836"</f>
        <v>SI_108836</v>
      </c>
      <c r="M5731" s="84">
        <v>43046</v>
      </c>
      <c r="N5731" s="85">
        <f t="shared" si="1728"/>
        <v>766</v>
      </c>
      <c r="O5731" s="86">
        <f t="shared" si="1729"/>
        <v>1512.4899999999998</v>
      </c>
      <c r="P5731" s="86">
        <f t="shared" si="1730"/>
        <v>0</v>
      </c>
      <c r="Q5731" s="86">
        <f t="shared" si="1731"/>
        <v>0</v>
      </c>
      <c r="R5731" s="86">
        <f t="shared" si="1732"/>
        <v>0</v>
      </c>
      <c r="S5731" s="86">
        <f t="shared" si="1733"/>
        <v>0</v>
      </c>
      <c r="T5731" s="86">
        <f t="shared" si="1734"/>
        <v>1512.4899999999998</v>
      </c>
      <c r="U5731" s="87">
        <v>1512.4899999999998</v>
      </c>
    </row>
    <row r="5732" spans="1:21" s="30" customFormat="1" ht="24.6" hidden="1" outlineLevel="1" x14ac:dyDescent="0.55000000000000004">
      <c r="A5732" s="27" t="s">
        <v>327</v>
      </c>
      <c r="B5732" s="28"/>
      <c r="C5732" s="27"/>
      <c r="D5732" s="27" t="str">
        <f>"""NAV Direct"",""CRONUS JetCorp USA"",""21"",""1"",""290034"""</f>
        <v>"NAV Direct","CRONUS JetCorp USA","21","1","290034"</v>
      </c>
      <c r="E5732" s="31">
        <f t="shared" si="1726"/>
        <v>0</v>
      </c>
      <c r="F5732" s="31"/>
      <c r="G5732" s="31"/>
      <c r="H5732" s="31"/>
      <c r="I5732" s="56"/>
      <c r="J5732" s="56"/>
      <c r="K5732" s="82" t="str">
        <f t="shared" si="1727"/>
        <v>Invoice</v>
      </c>
      <c r="L5732" s="83" t="str">
        <f>"SI_108916"</f>
        <v>SI_108916</v>
      </c>
      <c r="M5732" s="84">
        <v>43230</v>
      </c>
      <c r="N5732" s="85">
        <f t="shared" si="1728"/>
        <v>582</v>
      </c>
      <c r="O5732" s="86">
        <f t="shared" si="1729"/>
        <v>1830.0800000000002</v>
      </c>
      <c r="P5732" s="86">
        <f t="shared" si="1730"/>
        <v>0</v>
      </c>
      <c r="Q5732" s="86">
        <f t="shared" si="1731"/>
        <v>0</v>
      </c>
      <c r="R5732" s="86">
        <f t="shared" si="1732"/>
        <v>0</v>
      </c>
      <c r="S5732" s="86">
        <f t="shared" si="1733"/>
        <v>0</v>
      </c>
      <c r="T5732" s="86">
        <f t="shared" si="1734"/>
        <v>1830.0800000000002</v>
      </c>
      <c r="U5732" s="87">
        <v>1830.0800000000002</v>
      </c>
    </row>
    <row r="5733" spans="1:21" s="30" customFormat="1" ht="24.6" hidden="1" outlineLevel="1" x14ac:dyDescent="0.55000000000000004">
      <c r="A5733" s="27" t="s">
        <v>327</v>
      </c>
      <c r="B5733" s="28"/>
      <c r="C5733" s="27"/>
      <c r="D5733" s="27" t="str">
        <f>"""NAV Direct"",""CRONUS JetCorp USA"",""21"",""1"",""290381"""</f>
        <v>"NAV Direct","CRONUS JetCorp USA","21","1","290381"</v>
      </c>
      <c r="E5733" s="31" t="str">
        <f t="shared" si="1726"/>
        <v>C100503</v>
      </c>
      <c r="F5733" s="31"/>
      <c r="G5733" s="31"/>
      <c r="H5733" s="31"/>
      <c r="I5733" s="56"/>
      <c r="J5733" s="56"/>
      <c r="K5733" s="82" t="str">
        <f t="shared" si="1727"/>
        <v>Invoice</v>
      </c>
      <c r="L5733" s="83" t="str">
        <f>"SI_108928"</f>
        <v>SI_108928</v>
      </c>
      <c r="M5733" s="84">
        <v>43263</v>
      </c>
      <c r="N5733" s="85">
        <f t="shared" si="1728"/>
        <v>549</v>
      </c>
      <c r="O5733" s="86">
        <f t="shared" si="1729"/>
        <v>1829.84</v>
      </c>
      <c r="P5733" s="86">
        <f t="shared" si="1730"/>
        <v>0</v>
      </c>
      <c r="Q5733" s="86">
        <f t="shared" si="1731"/>
        <v>0</v>
      </c>
      <c r="R5733" s="86">
        <f t="shared" si="1732"/>
        <v>0</v>
      </c>
      <c r="S5733" s="86">
        <f t="shared" si="1733"/>
        <v>0</v>
      </c>
      <c r="T5733" s="86">
        <f t="shared" si="1734"/>
        <v>1829.84</v>
      </c>
      <c r="U5733" s="87">
        <v>1829.84</v>
      </c>
    </row>
    <row r="5734" spans="1:21" s="30" customFormat="1" ht="24.6" hidden="1" outlineLevel="1" x14ac:dyDescent="0.55000000000000004">
      <c r="A5734" s="27" t="s">
        <v>327</v>
      </c>
      <c r="B5734" s="28"/>
      <c r="C5734" s="27"/>
      <c r="D5734" s="27" t="str">
        <f>"""NAV Direct"",""CRONUS JetCorp USA"",""21"",""1"",""290792"""</f>
        <v>"NAV Direct","CRONUS JetCorp USA","21","1","290792"</v>
      </c>
      <c r="E5734" s="31">
        <f t="shared" si="1726"/>
        <v>0</v>
      </c>
      <c r="F5734" s="31"/>
      <c r="G5734" s="31"/>
      <c r="H5734" s="31"/>
      <c r="I5734" s="56"/>
      <c r="J5734" s="56"/>
      <c r="K5734" s="82" t="str">
        <f t="shared" si="1727"/>
        <v>Invoice</v>
      </c>
      <c r="L5734" s="83" t="str">
        <f>"SI_108941"</f>
        <v>SI_108941</v>
      </c>
      <c r="M5734" s="84">
        <v>43296</v>
      </c>
      <c r="N5734" s="85">
        <f t="shared" si="1728"/>
        <v>516</v>
      </c>
      <c r="O5734" s="86">
        <f t="shared" si="1729"/>
        <v>2012.87</v>
      </c>
      <c r="P5734" s="86">
        <f t="shared" si="1730"/>
        <v>0</v>
      </c>
      <c r="Q5734" s="86">
        <f t="shared" si="1731"/>
        <v>0</v>
      </c>
      <c r="R5734" s="86">
        <f t="shared" si="1732"/>
        <v>0</v>
      </c>
      <c r="S5734" s="86">
        <f t="shared" si="1733"/>
        <v>0</v>
      </c>
      <c r="T5734" s="86">
        <f t="shared" si="1734"/>
        <v>2012.87</v>
      </c>
      <c r="U5734" s="87">
        <v>2012.87</v>
      </c>
    </row>
    <row r="5735" spans="1:21" s="30" customFormat="1" ht="24.6" hidden="1" outlineLevel="1" x14ac:dyDescent="0.55000000000000004">
      <c r="A5735" s="27" t="s">
        <v>327</v>
      </c>
      <c r="B5735" s="28"/>
      <c r="C5735" s="27"/>
      <c r="D5735" s="27" t="str">
        <f>"""NAV Direct"",""CRONUS JetCorp USA"",""21"",""1"",""291492"""</f>
        <v>"NAV Direct","CRONUS JetCorp USA","21","1","291492"</v>
      </c>
      <c r="E5735" s="31" t="str">
        <f t="shared" si="1726"/>
        <v>C100503</v>
      </c>
      <c r="F5735" s="31"/>
      <c r="G5735" s="31"/>
      <c r="H5735" s="31"/>
      <c r="I5735" s="56"/>
      <c r="J5735" s="56"/>
      <c r="K5735" s="82" t="str">
        <f t="shared" si="1727"/>
        <v>Invoice</v>
      </c>
      <c r="L5735" s="83" t="str">
        <f>"SI_108964"</f>
        <v>SI_108964</v>
      </c>
      <c r="M5735" s="84">
        <v>43324</v>
      </c>
      <c r="N5735" s="85">
        <f t="shared" si="1728"/>
        <v>488</v>
      </c>
      <c r="O5735" s="86">
        <f t="shared" si="1729"/>
        <v>2013.07</v>
      </c>
      <c r="P5735" s="86">
        <f t="shared" si="1730"/>
        <v>0</v>
      </c>
      <c r="Q5735" s="86">
        <f t="shared" si="1731"/>
        <v>0</v>
      </c>
      <c r="R5735" s="86">
        <f t="shared" si="1732"/>
        <v>0</v>
      </c>
      <c r="S5735" s="86">
        <f t="shared" si="1733"/>
        <v>0</v>
      </c>
      <c r="T5735" s="86">
        <f t="shared" si="1734"/>
        <v>2013.07</v>
      </c>
      <c r="U5735" s="87">
        <v>2013.07</v>
      </c>
    </row>
    <row r="5736" spans="1:21" s="30" customFormat="1" ht="24.6" hidden="1" outlineLevel="1" x14ac:dyDescent="0.55000000000000004">
      <c r="A5736" s="27" t="s">
        <v>327</v>
      </c>
      <c r="B5736" s="28"/>
      <c r="C5736" s="27"/>
      <c r="D5736" s="27" t="str">
        <f>"""NAV Direct"",""CRONUS JetCorp USA"",""21"",""1"",""292016"""</f>
        <v>"NAV Direct","CRONUS JetCorp USA","21","1","292016"</v>
      </c>
      <c r="E5736" s="31">
        <f t="shared" si="1726"/>
        <v>0</v>
      </c>
      <c r="F5736" s="31"/>
      <c r="G5736" s="31"/>
      <c r="H5736" s="31"/>
      <c r="I5736" s="56"/>
      <c r="J5736" s="56"/>
      <c r="K5736" s="82" t="str">
        <f t="shared" si="1727"/>
        <v>Invoice</v>
      </c>
      <c r="L5736" s="83" t="str">
        <f>"SI_108983"</f>
        <v>SI_108983</v>
      </c>
      <c r="M5736" s="84">
        <v>43397</v>
      </c>
      <c r="N5736" s="85">
        <f t="shared" si="1728"/>
        <v>415</v>
      </c>
      <c r="O5736" s="86">
        <f t="shared" si="1729"/>
        <v>2214.38</v>
      </c>
      <c r="P5736" s="86">
        <f t="shared" si="1730"/>
        <v>0</v>
      </c>
      <c r="Q5736" s="86">
        <f t="shared" si="1731"/>
        <v>0</v>
      </c>
      <c r="R5736" s="86">
        <f t="shared" si="1732"/>
        <v>0</v>
      </c>
      <c r="S5736" s="86">
        <f t="shared" si="1733"/>
        <v>0</v>
      </c>
      <c r="T5736" s="86">
        <f t="shared" si="1734"/>
        <v>2214.38</v>
      </c>
      <c r="U5736" s="87">
        <v>2214.38</v>
      </c>
    </row>
    <row r="5737" spans="1:21" s="30" customFormat="1" ht="24.6" hidden="1" outlineLevel="1" x14ac:dyDescent="0.55000000000000004">
      <c r="A5737" s="27" t="s">
        <v>327</v>
      </c>
      <c r="B5737" s="28"/>
      <c r="C5737" s="27"/>
      <c r="D5737" s="27" t="str">
        <f>"""NAV Direct"",""CRONUS JetCorp USA"",""21"",""1"",""293396"""</f>
        <v>"NAV Direct","CRONUS JetCorp USA","21","1","293396"</v>
      </c>
      <c r="E5737" s="31" t="str">
        <f t="shared" si="1726"/>
        <v>C100503</v>
      </c>
      <c r="F5737" s="31"/>
      <c r="G5737" s="31"/>
      <c r="H5737" s="31"/>
      <c r="I5737" s="56"/>
      <c r="J5737" s="56"/>
      <c r="K5737" s="82" t="str">
        <f t="shared" si="1727"/>
        <v>Invoice</v>
      </c>
      <c r="L5737" s="83" t="str">
        <f>"SI_109030"</f>
        <v>SI_109030</v>
      </c>
      <c r="M5737" s="84">
        <v>43483</v>
      </c>
      <c r="N5737" s="85">
        <f t="shared" si="1728"/>
        <v>329</v>
      </c>
      <c r="O5737" s="86">
        <f t="shared" si="1729"/>
        <v>2435.8599999999997</v>
      </c>
      <c r="P5737" s="86">
        <f t="shared" si="1730"/>
        <v>0</v>
      </c>
      <c r="Q5737" s="86">
        <f t="shared" si="1731"/>
        <v>0</v>
      </c>
      <c r="R5737" s="86">
        <f t="shared" si="1732"/>
        <v>0</v>
      </c>
      <c r="S5737" s="86">
        <f t="shared" si="1733"/>
        <v>0</v>
      </c>
      <c r="T5737" s="86">
        <f t="shared" si="1734"/>
        <v>2435.8599999999997</v>
      </c>
      <c r="U5737" s="87">
        <v>2435.8599999999997</v>
      </c>
    </row>
    <row r="5738" spans="1:21" s="30" customFormat="1" ht="24.6" hidden="1" outlineLevel="1" x14ac:dyDescent="0.55000000000000004">
      <c r="A5738" s="27" t="s">
        <v>327</v>
      </c>
      <c r="B5738" s="28"/>
      <c r="C5738" s="27"/>
      <c r="D5738" s="27" t="str">
        <f>"""NAV Direct"",""CRONUS JetCorp USA"",""21"",""1"",""294334"""</f>
        <v>"NAV Direct","CRONUS JetCorp USA","21","1","294334"</v>
      </c>
      <c r="E5738" s="31">
        <f t="shared" si="1726"/>
        <v>0</v>
      </c>
      <c r="F5738" s="31"/>
      <c r="G5738" s="31"/>
      <c r="H5738" s="31"/>
      <c r="I5738" s="56"/>
      <c r="J5738" s="56"/>
      <c r="K5738" s="82" t="str">
        <f t="shared" si="1727"/>
        <v>Invoice</v>
      </c>
      <c r="L5738" s="83" t="str">
        <f>"SI_109059"</f>
        <v>SI_109059</v>
      </c>
      <c r="M5738" s="84">
        <v>43512</v>
      </c>
      <c r="N5738" s="85">
        <f t="shared" si="1728"/>
        <v>300</v>
      </c>
      <c r="O5738" s="86">
        <f t="shared" si="1729"/>
        <v>2435.84</v>
      </c>
      <c r="P5738" s="86">
        <f t="shared" si="1730"/>
        <v>0</v>
      </c>
      <c r="Q5738" s="86">
        <f t="shared" si="1731"/>
        <v>0</v>
      </c>
      <c r="R5738" s="86">
        <f t="shared" si="1732"/>
        <v>0</v>
      </c>
      <c r="S5738" s="86">
        <f t="shared" si="1733"/>
        <v>0</v>
      </c>
      <c r="T5738" s="86">
        <f t="shared" si="1734"/>
        <v>2435.84</v>
      </c>
      <c r="U5738" s="87">
        <v>2435.84</v>
      </c>
    </row>
    <row r="5739" spans="1:21" s="30" customFormat="1" ht="24.6" hidden="1" outlineLevel="1" x14ac:dyDescent="0.55000000000000004">
      <c r="A5739" s="27" t="s">
        <v>327</v>
      </c>
      <c r="B5739" s="28"/>
      <c r="C5739" s="27"/>
      <c r="D5739" s="27" t="str">
        <f>"""NAV Direct"",""CRONUS JetCorp USA"",""21"",""1"",""294654"""</f>
        <v>"NAV Direct","CRONUS JetCorp USA","21","1","294654"</v>
      </c>
      <c r="E5739" s="31" t="str">
        <f t="shared" si="1726"/>
        <v>C100503</v>
      </c>
      <c r="F5739" s="31"/>
      <c r="G5739" s="31"/>
      <c r="H5739" s="31"/>
      <c r="I5739" s="56"/>
      <c r="J5739" s="56"/>
      <c r="K5739" s="82" t="str">
        <f t="shared" si="1727"/>
        <v>Invoice</v>
      </c>
      <c r="L5739" s="83" t="str">
        <f>"SI_109069"</f>
        <v>SI_109069</v>
      </c>
      <c r="M5739" s="84">
        <v>43575</v>
      </c>
      <c r="N5739" s="85">
        <f t="shared" si="1728"/>
        <v>237</v>
      </c>
      <c r="O5739" s="86">
        <f t="shared" si="1729"/>
        <v>2679.51</v>
      </c>
      <c r="P5739" s="86">
        <f t="shared" si="1730"/>
        <v>0</v>
      </c>
      <c r="Q5739" s="86">
        <f t="shared" si="1731"/>
        <v>0</v>
      </c>
      <c r="R5739" s="86">
        <f t="shared" si="1732"/>
        <v>0</v>
      </c>
      <c r="S5739" s="86">
        <f t="shared" si="1733"/>
        <v>0</v>
      </c>
      <c r="T5739" s="86">
        <f t="shared" si="1734"/>
        <v>2679.51</v>
      </c>
      <c r="U5739" s="87">
        <v>2679.51</v>
      </c>
    </row>
    <row r="5740" spans="1:21" s="30" customFormat="1" ht="24.6" hidden="1" outlineLevel="1" x14ac:dyDescent="0.55000000000000004">
      <c r="A5740" s="27" t="s">
        <v>327</v>
      </c>
      <c r="B5740" s="28"/>
      <c r="C5740" s="27"/>
      <c r="D5740" s="27" t="str">
        <f>"""NAV Direct"",""CRONUS JetCorp USA"",""21"",""1"",""295407"""</f>
        <v>"NAV Direct","CRONUS JetCorp USA","21","1","295407"</v>
      </c>
      <c r="E5740" s="31">
        <f t="shared" si="1726"/>
        <v>0</v>
      </c>
      <c r="F5740" s="31"/>
      <c r="G5740" s="31"/>
      <c r="H5740" s="31"/>
      <c r="I5740" s="56"/>
      <c r="J5740" s="56"/>
      <c r="K5740" s="82" t="str">
        <f t="shared" si="1727"/>
        <v>Invoice</v>
      </c>
      <c r="L5740" s="83" t="str">
        <f>"SI_109093"</f>
        <v>SI_109093</v>
      </c>
      <c r="M5740" s="84">
        <v>43602</v>
      </c>
      <c r="N5740" s="85">
        <f t="shared" si="1728"/>
        <v>210</v>
      </c>
      <c r="O5740" s="86">
        <f t="shared" si="1729"/>
        <v>2679.39</v>
      </c>
      <c r="P5740" s="86">
        <f t="shared" si="1730"/>
        <v>0</v>
      </c>
      <c r="Q5740" s="86">
        <f t="shared" si="1731"/>
        <v>0</v>
      </c>
      <c r="R5740" s="86">
        <f t="shared" si="1732"/>
        <v>0</v>
      </c>
      <c r="S5740" s="86">
        <f t="shared" si="1733"/>
        <v>0</v>
      </c>
      <c r="T5740" s="86">
        <f t="shared" si="1734"/>
        <v>2679.39</v>
      </c>
      <c r="U5740" s="87">
        <v>2679.39</v>
      </c>
    </row>
    <row r="5741" spans="1:21" s="30" customFormat="1" ht="24.6" hidden="1" outlineLevel="1" x14ac:dyDescent="0.55000000000000004">
      <c r="A5741" s="27" t="s">
        <v>327</v>
      </c>
      <c r="B5741" s="28"/>
      <c r="C5741" s="27"/>
      <c r="D5741" s="27" t="str">
        <f>"""NAV Direct"",""CRONUS JetCorp USA"",""21"",""1"",""296059"""</f>
        <v>"NAV Direct","CRONUS JetCorp USA","21","1","296059"</v>
      </c>
      <c r="E5741" s="31" t="str">
        <f t="shared" si="1726"/>
        <v>C100503</v>
      </c>
      <c r="F5741" s="31"/>
      <c r="G5741" s="31"/>
      <c r="H5741" s="31"/>
      <c r="I5741" s="56"/>
      <c r="J5741" s="56"/>
      <c r="K5741" s="82" t="str">
        <f t="shared" si="1727"/>
        <v>Invoice</v>
      </c>
      <c r="L5741" s="83" t="str">
        <f>"SI_109111"</f>
        <v>SI_109111</v>
      </c>
      <c r="M5741" s="84">
        <v>43632</v>
      </c>
      <c r="N5741" s="85">
        <f t="shared" si="1728"/>
        <v>180</v>
      </c>
      <c r="O5741" s="86">
        <f t="shared" si="1729"/>
        <v>2679.49</v>
      </c>
      <c r="P5741" s="86">
        <f t="shared" si="1730"/>
        <v>0</v>
      </c>
      <c r="Q5741" s="86">
        <f t="shared" si="1731"/>
        <v>0</v>
      </c>
      <c r="R5741" s="86">
        <f t="shared" si="1732"/>
        <v>0</v>
      </c>
      <c r="S5741" s="86">
        <f t="shared" si="1733"/>
        <v>0</v>
      </c>
      <c r="T5741" s="86">
        <f t="shared" si="1734"/>
        <v>2679.49</v>
      </c>
      <c r="U5741" s="87">
        <v>2679.49</v>
      </c>
    </row>
    <row r="5742" spans="1:21" s="30" customFormat="1" ht="24.6" hidden="1" outlineLevel="1" x14ac:dyDescent="0.55000000000000004">
      <c r="A5742" s="27" t="s">
        <v>327</v>
      </c>
      <c r="B5742" s="28"/>
      <c r="C5742" s="27"/>
      <c r="D5742" s="27" t="str">
        <f>"""NAV Direct"",""CRONUS JetCorp USA"",""21"",""1"",""296197"""</f>
        <v>"NAV Direct","CRONUS JetCorp USA","21","1","296197"</v>
      </c>
      <c r="E5742" s="31">
        <f t="shared" si="1726"/>
        <v>0</v>
      </c>
      <c r="F5742" s="31"/>
      <c r="G5742" s="31"/>
      <c r="H5742" s="31"/>
      <c r="I5742" s="56"/>
      <c r="J5742" s="56"/>
      <c r="K5742" s="82" t="str">
        <f t="shared" si="1727"/>
        <v>Invoice</v>
      </c>
      <c r="L5742" s="83" t="str">
        <f>"SI_109116"</f>
        <v>SI_109116</v>
      </c>
      <c r="M5742" s="84">
        <v>43609</v>
      </c>
      <c r="N5742" s="85">
        <f t="shared" si="1728"/>
        <v>203</v>
      </c>
      <c r="O5742" s="86">
        <f t="shared" si="1729"/>
        <v>2679.42</v>
      </c>
      <c r="P5742" s="86">
        <f t="shared" si="1730"/>
        <v>0</v>
      </c>
      <c r="Q5742" s="86">
        <f t="shared" si="1731"/>
        <v>0</v>
      </c>
      <c r="R5742" s="86">
        <f t="shared" si="1732"/>
        <v>0</v>
      </c>
      <c r="S5742" s="86">
        <f t="shared" si="1733"/>
        <v>0</v>
      </c>
      <c r="T5742" s="86">
        <f t="shared" si="1734"/>
        <v>2679.42</v>
      </c>
      <c r="U5742" s="87">
        <v>2679.42</v>
      </c>
    </row>
    <row r="5743" spans="1:21" s="30" customFormat="1" ht="24.6" hidden="1" outlineLevel="1" x14ac:dyDescent="0.55000000000000004">
      <c r="A5743" s="27" t="s">
        <v>327</v>
      </c>
      <c r="B5743" s="28"/>
      <c r="C5743" s="27"/>
      <c r="D5743" s="27" t="str">
        <f>"""NAV Direct"",""CRONUS JetCorp USA"",""21"",""1"",""296474"""</f>
        <v>"NAV Direct","CRONUS JetCorp USA","21","1","296474"</v>
      </c>
      <c r="E5743" s="31" t="str">
        <f t="shared" si="1726"/>
        <v>C100503</v>
      </c>
      <c r="F5743" s="31"/>
      <c r="G5743" s="31"/>
      <c r="H5743" s="31"/>
      <c r="I5743" s="56"/>
      <c r="J5743" s="56"/>
      <c r="K5743" s="82" t="str">
        <f t="shared" si="1727"/>
        <v>Invoice</v>
      </c>
      <c r="L5743" s="83" t="str">
        <f>"SI_109126"</f>
        <v>SI_109126</v>
      </c>
      <c r="M5743" s="84">
        <v>43678</v>
      </c>
      <c r="N5743" s="85">
        <f t="shared" si="1728"/>
        <v>134</v>
      </c>
      <c r="O5743" s="86">
        <f t="shared" si="1729"/>
        <v>2947.2999999999997</v>
      </c>
      <c r="P5743" s="86">
        <f t="shared" si="1730"/>
        <v>0</v>
      </c>
      <c r="Q5743" s="86">
        <f t="shared" si="1731"/>
        <v>0</v>
      </c>
      <c r="R5743" s="86">
        <f t="shared" si="1732"/>
        <v>0</v>
      </c>
      <c r="S5743" s="86">
        <f t="shared" si="1733"/>
        <v>0</v>
      </c>
      <c r="T5743" s="86">
        <f t="shared" si="1734"/>
        <v>2947.2999999999997</v>
      </c>
      <c r="U5743" s="87">
        <v>2947.2999999999997</v>
      </c>
    </row>
    <row r="5744" spans="1:21" s="30" customFormat="1" ht="24.6" hidden="1" outlineLevel="1" x14ac:dyDescent="0.55000000000000004">
      <c r="A5744" s="27" t="s">
        <v>327</v>
      </c>
      <c r="B5744" s="28"/>
      <c r="C5744" s="27"/>
      <c r="D5744" s="27" t="str">
        <f>"""NAV Direct"",""CRONUS JetCorp USA"",""21"",""1"",""298297"""</f>
        <v>"NAV Direct","CRONUS JetCorp USA","21","1","298297"</v>
      </c>
      <c r="E5744" s="31">
        <f t="shared" si="1726"/>
        <v>0</v>
      </c>
      <c r="F5744" s="31"/>
      <c r="G5744" s="31"/>
      <c r="H5744" s="31"/>
      <c r="I5744" s="56"/>
      <c r="J5744" s="56"/>
      <c r="K5744" s="82" t="str">
        <f t="shared" si="1727"/>
        <v>Invoice</v>
      </c>
      <c r="L5744" s="83" t="str">
        <f>"SI_109182"</f>
        <v>SI_109182</v>
      </c>
      <c r="M5744" s="84">
        <v>43763</v>
      </c>
      <c r="N5744" s="85">
        <f t="shared" si="1728"/>
        <v>49</v>
      </c>
      <c r="O5744" s="86">
        <f t="shared" si="1729"/>
        <v>3242.2200000000003</v>
      </c>
      <c r="P5744" s="86">
        <f t="shared" si="1730"/>
        <v>0</v>
      </c>
      <c r="Q5744" s="86">
        <f t="shared" si="1731"/>
        <v>0</v>
      </c>
      <c r="R5744" s="86">
        <f t="shared" si="1732"/>
        <v>3242.2200000000003</v>
      </c>
      <c r="S5744" s="86">
        <f t="shared" si="1733"/>
        <v>0</v>
      </c>
      <c r="T5744" s="86">
        <f t="shared" si="1734"/>
        <v>0</v>
      </c>
      <c r="U5744" s="87">
        <v>3242.2200000000003</v>
      </c>
    </row>
    <row r="5745" spans="1:22" s="30" customFormat="1" ht="24.6" hidden="1" outlineLevel="1" x14ac:dyDescent="0.55000000000000004">
      <c r="A5745" s="27" t="s">
        <v>327</v>
      </c>
      <c r="B5745" s="28"/>
      <c r="C5745" s="27"/>
      <c r="D5745" s="27" t="str">
        <f>"""NAV Direct"",""CRONUS JetCorp USA"",""21"",""1"",""300143"""</f>
        <v>"NAV Direct","CRONUS JetCorp USA","21","1","300143"</v>
      </c>
      <c r="E5745" s="31" t="str">
        <f t="shared" si="1726"/>
        <v>C100503</v>
      </c>
      <c r="F5745" s="31"/>
      <c r="G5745" s="31"/>
      <c r="H5745" s="31"/>
      <c r="I5745" s="56"/>
      <c r="J5745" s="56"/>
      <c r="K5745" s="82" t="str">
        <f t="shared" si="1727"/>
        <v>Invoice</v>
      </c>
      <c r="L5745" s="83" t="str">
        <f>"SI_109237"</f>
        <v>SI_109237</v>
      </c>
      <c r="M5745" s="84">
        <v>42033</v>
      </c>
      <c r="N5745" s="85">
        <f t="shared" si="1728"/>
        <v>1779</v>
      </c>
      <c r="O5745" s="86">
        <f t="shared" si="1729"/>
        <v>3566.3199999999997</v>
      </c>
      <c r="P5745" s="86">
        <f t="shared" si="1730"/>
        <v>0</v>
      </c>
      <c r="Q5745" s="86">
        <f t="shared" si="1731"/>
        <v>0</v>
      </c>
      <c r="R5745" s="86">
        <f t="shared" si="1732"/>
        <v>0</v>
      </c>
      <c r="S5745" s="86">
        <f t="shared" si="1733"/>
        <v>0</v>
      </c>
      <c r="T5745" s="86">
        <f t="shared" si="1734"/>
        <v>3566.3199999999997</v>
      </c>
      <c r="U5745" s="87">
        <v>3566.3199999999997</v>
      </c>
    </row>
    <row r="5746" spans="1:22" s="30" customFormat="1" ht="24.6" hidden="1" outlineLevel="1" x14ac:dyDescent="0.55000000000000004">
      <c r="A5746" s="27" t="s">
        <v>327</v>
      </c>
      <c r="B5746" s="28"/>
      <c r="C5746" s="27"/>
      <c r="D5746" s="27" t="str">
        <f>"""NAV Direct"",""CRONUS JetCorp USA"",""21"",""1"",""301171"""</f>
        <v>"NAV Direct","CRONUS JetCorp USA","21","1","301171"</v>
      </c>
      <c r="E5746" s="31">
        <f t="shared" si="1726"/>
        <v>0</v>
      </c>
      <c r="F5746" s="31"/>
      <c r="G5746" s="31"/>
      <c r="H5746" s="31"/>
      <c r="I5746" s="56"/>
      <c r="J5746" s="56"/>
      <c r="K5746" s="82" t="str">
        <f t="shared" si="1727"/>
        <v>Invoice</v>
      </c>
      <c r="L5746" s="83" t="str">
        <f>"SI_109267"</f>
        <v>SI_109267</v>
      </c>
      <c r="M5746" s="84">
        <v>42057</v>
      </c>
      <c r="N5746" s="85">
        <f t="shared" si="1728"/>
        <v>1755</v>
      </c>
      <c r="O5746" s="86">
        <f t="shared" si="1729"/>
        <v>3566.4300000000003</v>
      </c>
      <c r="P5746" s="86">
        <f t="shared" si="1730"/>
        <v>0</v>
      </c>
      <c r="Q5746" s="86">
        <f t="shared" si="1731"/>
        <v>0</v>
      </c>
      <c r="R5746" s="86">
        <f t="shared" si="1732"/>
        <v>0</v>
      </c>
      <c r="S5746" s="86">
        <f t="shared" si="1733"/>
        <v>0</v>
      </c>
      <c r="T5746" s="86">
        <f t="shared" si="1734"/>
        <v>3566.4300000000003</v>
      </c>
      <c r="U5746" s="87">
        <v>3566.4300000000003</v>
      </c>
    </row>
    <row r="5747" spans="1:22" s="30" customFormat="1" ht="24.6" hidden="1" outlineLevel="1" x14ac:dyDescent="0.55000000000000004">
      <c r="A5747" s="27" t="s">
        <v>327</v>
      </c>
      <c r="B5747" s="28"/>
      <c r="C5747" s="27"/>
      <c r="D5747" s="27" t="str">
        <f>"""NAV Direct"",""CRONUS JetCorp USA"",""21"",""1"",""302930"""</f>
        <v>"NAV Direct","CRONUS JetCorp USA","21","1","302930"</v>
      </c>
      <c r="E5747" s="31" t="str">
        <f t="shared" si="1726"/>
        <v>C100503</v>
      </c>
      <c r="F5747" s="31"/>
      <c r="G5747" s="31"/>
      <c r="H5747" s="31"/>
      <c r="I5747" s="56"/>
      <c r="J5747" s="56"/>
      <c r="K5747" s="82" t="str">
        <f t="shared" si="1727"/>
        <v>Invoice</v>
      </c>
      <c r="L5747" s="83" t="str">
        <f>"SI_109318"</f>
        <v>SI_109318</v>
      </c>
      <c r="M5747" s="84">
        <v>42150</v>
      </c>
      <c r="N5747" s="85">
        <f t="shared" si="1728"/>
        <v>1662</v>
      </c>
      <c r="O5747" s="86">
        <f t="shared" si="1729"/>
        <v>3922.92</v>
      </c>
      <c r="P5747" s="86">
        <f t="shared" si="1730"/>
        <v>0</v>
      </c>
      <c r="Q5747" s="86">
        <f t="shared" si="1731"/>
        <v>0</v>
      </c>
      <c r="R5747" s="86">
        <f t="shared" si="1732"/>
        <v>0</v>
      </c>
      <c r="S5747" s="86">
        <f t="shared" si="1733"/>
        <v>0</v>
      </c>
      <c r="T5747" s="86">
        <f t="shared" si="1734"/>
        <v>3922.92</v>
      </c>
      <c r="U5747" s="87">
        <v>3922.92</v>
      </c>
    </row>
    <row r="5748" spans="1:22" s="30" customFormat="1" ht="24.6" hidden="1" outlineLevel="1" x14ac:dyDescent="0.55000000000000004">
      <c r="A5748" s="27" t="s">
        <v>327</v>
      </c>
      <c r="B5748" s="28"/>
      <c r="C5748" s="27"/>
      <c r="D5748" s="27" t="str">
        <f>"""NAV Direct"",""CRONUS JetCorp USA"",""21"",""1"",""303564"""</f>
        <v>"NAV Direct","CRONUS JetCorp USA","21","1","303564"</v>
      </c>
      <c r="E5748" s="31">
        <f t="shared" si="1726"/>
        <v>0</v>
      </c>
      <c r="F5748" s="31"/>
      <c r="G5748" s="31"/>
      <c r="H5748" s="31"/>
      <c r="I5748" s="56"/>
      <c r="J5748" s="56"/>
      <c r="K5748" s="82" t="str">
        <f t="shared" si="1727"/>
        <v>Invoice</v>
      </c>
      <c r="L5748" s="83" t="str">
        <f>"SI_109336"</f>
        <v>SI_109336</v>
      </c>
      <c r="M5748" s="84">
        <v>42162</v>
      </c>
      <c r="N5748" s="85">
        <f t="shared" si="1728"/>
        <v>1650</v>
      </c>
      <c r="O5748" s="86">
        <f t="shared" si="1729"/>
        <v>3923.0099999999998</v>
      </c>
      <c r="P5748" s="86">
        <f t="shared" si="1730"/>
        <v>0</v>
      </c>
      <c r="Q5748" s="86">
        <f t="shared" si="1731"/>
        <v>0</v>
      </c>
      <c r="R5748" s="86">
        <f t="shared" si="1732"/>
        <v>0</v>
      </c>
      <c r="S5748" s="86">
        <f t="shared" si="1733"/>
        <v>0</v>
      </c>
      <c r="T5748" s="86">
        <f t="shared" si="1734"/>
        <v>3923.0099999999998</v>
      </c>
      <c r="U5748" s="87">
        <v>3923.0099999999998</v>
      </c>
    </row>
    <row r="5749" spans="1:22" s="22" customFormat="1" ht="20.399999999999999" collapsed="1" x14ac:dyDescent="0.45">
      <c r="A5749" s="12" t="s">
        <v>327</v>
      </c>
      <c r="B5749" s="19"/>
      <c r="C5749" s="12"/>
      <c r="D5749" s="12"/>
      <c r="E5749" s="23"/>
      <c r="F5749" s="23"/>
      <c r="G5749" s="23"/>
      <c r="H5749" s="23"/>
      <c r="I5749" s="49"/>
      <c r="J5749" s="88"/>
      <c r="K5749" s="88"/>
      <c r="L5749" s="89"/>
      <c r="M5749" s="89"/>
      <c r="N5749" s="89"/>
      <c r="O5749" s="89"/>
      <c r="P5749" s="89"/>
      <c r="Q5749" s="90"/>
      <c r="R5749" s="90"/>
      <c r="S5749" s="91"/>
      <c r="T5749" s="92"/>
      <c r="U5749" s="92"/>
    </row>
    <row r="5750" spans="1:22" s="22" customFormat="1" ht="20.399999999999999" x14ac:dyDescent="0.45">
      <c r="A5750" s="12" t="s">
        <v>327</v>
      </c>
      <c r="B5750" s="19"/>
      <c r="C5750" s="12"/>
      <c r="D5750" s="12"/>
      <c r="E5750" s="23"/>
      <c r="F5750" s="23"/>
      <c r="G5750" s="23"/>
      <c r="H5750" s="23"/>
      <c r="I5750" s="49"/>
      <c r="J5750" s="88"/>
      <c r="K5750" s="88"/>
      <c r="L5750" s="89"/>
      <c r="M5750" s="89"/>
      <c r="N5750" s="89"/>
      <c r="O5750" s="89"/>
      <c r="P5750" s="89"/>
      <c r="Q5750" s="90"/>
      <c r="R5750" s="90"/>
      <c r="S5750" s="91"/>
      <c r="T5750" s="92"/>
      <c r="U5750" s="92"/>
    </row>
    <row r="5751" spans="1:22" s="26" customFormat="1" ht="24.6" x14ac:dyDescent="0.55000000000000004">
      <c r="A5751" s="27" t="s">
        <v>327</v>
      </c>
      <c r="B5751" s="28"/>
      <c r="C5751" s="27" t="str">
        <f>"""NAV Direct"",""CRONUS JetCorp USA"",""18"",""1"",""C100504"""</f>
        <v>"NAV Direct","CRONUS JetCorp USA","18","1","C100504"</v>
      </c>
      <c r="D5751" s="27"/>
      <c r="E5751" s="28" t="str">
        <f>H5751</f>
        <v>C100504</v>
      </c>
      <c r="F5751" s="28"/>
      <c r="G5751" s="28"/>
      <c r="H5751" s="28" t="str">
        <f>"C100504"</f>
        <v>C100504</v>
      </c>
      <c r="I5751" s="116" t="str">
        <f>"C100504  -  Trophy House"</f>
        <v>C100504  -  Trophy House</v>
      </c>
      <c r="J5751" s="117" t="str">
        <f>""</f>
        <v/>
      </c>
      <c r="K5751" s="118"/>
      <c r="L5751" s="119">
        <f>SUBTOTAL(3,L5752:L5776)</f>
        <v>21</v>
      </c>
      <c r="M5751" s="118"/>
      <c r="N5751" s="118"/>
      <c r="O5751" s="120">
        <f t="shared" ref="O5751:T5751" si="1735">SUBTOTAL(9,O5752:O5776)</f>
        <v>41705.519999999997</v>
      </c>
      <c r="P5751" s="120">
        <f t="shared" si="1735"/>
        <v>0</v>
      </c>
      <c r="Q5751" s="120">
        <f t="shared" si="1735"/>
        <v>0</v>
      </c>
      <c r="R5751" s="120">
        <f t="shared" si="1735"/>
        <v>3242.1899999999996</v>
      </c>
      <c r="S5751" s="120">
        <f t="shared" si="1735"/>
        <v>0</v>
      </c>
      <c r="T5751" s="120">
        <f t="shared" si="1735"/>
        <v>38463.329999999994</v>
      </c>
      <c r="U5751" s="81"/>
    </row>
    <row r="5752" spans="1:22" s="26" customFormat="1" ht="24.6" x14ac:dyDescent="0.55000000000000004">
      <c r="A5752" s="27" t="s">
        <v>327</v>
      </c>
      <c r="B5752" s="28"/>
      <c r="C5752" s="27" t="str">
        <f>C5751</f>
        <v>"NAV Direct","CRONUS JetCorp USA","18","1","C100504"</v>
      </c>
      <c r="D5752" s="27"/>
      <c r="E5752" s="28" t="str">
        <f>E5751</f>
        <v>C100504</v>
      </c>
      <c r="F5752" s="28"/>
      <c r="G5752" s="28"/>
      <c r="H5752" s="28"/>
      <c r="I5752" s="121" t="str">
        <f>"Contact: Darmor Von Richter"</f>
        <v>Contact: Darmor Von Richter</v>
      </c>
      <c r="J5752" s="121"/>
      <c r="K5752" s="122"/>
      <c r="L5752" s="123"/>
      <c r="M5752" s="123"/>
      <c r="N5752" s="124"/>
      <c r="O5752" s="124"/>
      <c r="P5752" s="123"/>
      <c r="Q5752" s="125"/>
      <c r="R5752" s="126"/>
      <c r="S5752" s="126"/>
      <c r="T5752" s="125"/>
      <c r="U5752" s="81"/>
    </row>
    <row r="5753" spans="1:22" s="26" customFormat="1" ht="24.6" x14ac:dyDescent="0.55000000000000004">
      <c r="A5753" s="27" t="s">
        <v>327</v>
      </c>
      <c r="B5753" s="28"/>
      <c r="C5753" s="27" t="str">
        <f>C5752</f>
        <v>"NAV Direct","CRONUS JetCorp USA","18","1","C100504"</v>
      </c>
      <c r="D5753" s="27"/>
      <c r="E5753" s="28" t="str">
        <f>E5752</f>
        <v>C100504</v>
      </c>
      <c r="F5753" s="28"/>
      <c r="G5753" s="28"/>
      <c r="H5753" s="28"/>
      <c r="I5753" s="121" t="str">
        <f>"Trophy House@cronuscorp.net"</f>
        <v>Trophy House@cronuscorp.net</v>
      </c>
      <c r="J5753" s="121"/>
      <c r="K5753" s="122"/>
      <c r="L5753" s="124"/>
      <c r="M5753" s="124"/>
      <c r="N5753" s="124"/>
      <c r="O5753" s="124"/>
      <c r="P5753" s="123"/>
      <c r="Q5753" s="125"/>
      <c r="R5753" s="126"/>
      <c r="S5753" s="126"/>
      <c r="T5753" s="125"/>
      <c r="U5753" s="81"/>
    </row>
    <row r="5754" spans="1:22" ht="12.75" hidden="1" customHeight="1" outlineLevel="1" x14ac:dyDescent="0.45">
      <c r="A5754" s="12" t="s">
        <v>328</v>
      </c>
      <c r="B5754" s="19"/>
      <c r="E5754" s="19"/>
      <c r="F5754" s="19"/>
      <c r="G5754" s="19"/>
      <c r="H5754" s="19"/>
      <c r="I5754" s="61"/>
      <c r="J5754" s="61"/>
      <c r="K5754" s="61"/>
      <c r="L5754" s="61"/>
      <c r="M5754" s="61"/>
      <c r="N5754" s="61"/>
      <c r="O5754" s="61"/>
      <c r="P5754" s="61"/>
      <c r="Q5754" s="61"/>
      <c r="R5754" s="61"/>
      <c r="S5754" s="61"/>
      <c r="T5754" s="61"/>
      <c r="U5754" s="61"/>
      <c r="V5754" s="21"/>
    </row>
    <row r="5755" spans="1:22" s="30" customFormat="1" ht="24.6" hidden="1" outlineLevel="1" x14ac:dyDescent="0.55000000000000004">
      <c r="A5755" s="27" t="s">
        <v>327</v>
      </c>
      <c r="B5755" s="28"/>
      <c r="C5755" s="27"/>
      <c r="D5755" s="27" t="str">
        <f>"""NAV Direct"",""CRONUS JetCorp USA"",""21"",""1"",""280975"""</f>
        <v>"NAV Direct","CRONUS JetCorp USA","21","1","280975"</v>
      </c>
      <c r="E5755" s="31" t="str">
        <f t="shared" ref="E5755:E5775" si="1736">E5753</f>
        <v>C100504</v>
      </c>
      <c r="F5755" s="31"/>
      <c r="G5755" s="31"/>
      <c r="H5755" s="31"/>
      <c r="I5755" s="56"/>
      <c r="J5755" s="56"/>
      <c r="K5755" s="82" t="str">
        <f t="shared" ref="K5755:K5775" si="1737">"Invoice"</f>
        <v>Invoice</v>
      </c>
      <c r="L5755" s="83" t="str">
        <f>"SI_108590"</f>
        <v>SI_108590</v>
      </c>
      <c r="M5755" s="84">
        <v>43516</v>
      </c>
      <c r="N5755" s="85">
        <f t="shared" ref="N5755:N5775" si="1738">StartDate-$M5755+1</f>
        <v>296</v>
      </c>
      <c r="O5755" s="86">
        <f t="shared" ref="O5755:O5775" si="1739">SUM(P5755:T5755)</f>
        <v>587.97</v>
      </c>
      <c r="P5755" s="86">
        <f t="shared" ref="P5755:P5775" si="1740">IF($M5755&gt;=$P$18,U5755,0)</f>
        <v>0</v>
      </c>
      <c r="Q5755" s="86">
        <f t="shared" ref="Q5755:Q5775" si="1741">IF(AND($M5755&gt;=$Q$16,$M5755&lt;=$Q$18),U5755,0)</f>
        <v>0</v>
      </c>
      <c r="R5755" s="86">
        <f t="shared" ref="R5755:R5775" si="1742">IF(AND($M5755&gt;=$R$16,$M5755&lt;=$R$18),U5755,0)</f>
        <v>0</v>
      </c>
      <c r="S5755" s="86">
        <f t="shared" ref="S5755:S5775" si="1743">IF(AND($M5755&gt;=$S$16,$M5755&lt;=$S$18),U5755,0)</f>
        <v>0</v>
      </c>
      <c r="T5755" s="86">
        <f t="shared" ref="T5755:T5775" si="1744">IF($M5755&lt;=$T$18,U5755,0)</f>
        <v>587.97</v>
      </c>
      <c r="U5755" s="87">
        <v>587.97</v>
      </c>
    </row>
    <row r="5756" spans="1:22" s="30" customFormat="1" ht="24.6" hidden="1" outlineLevel="1" x14ac:dyDescent="0.55000000000000004">
      <c r="A5756" s="27" t="s">
        <v>327</v>
      </c>
      <c r="B5756" s="28"/>
      <c r="C5756" s="27"/>
      <c r="D5756" s="27" t="str">
        <f>"""NAV Direct"",""CRONUS JetCorp USA"",""21"",""1"",""281168"""</f>
        <v>"NAV Direct","CRONUS JetCorp USA","21","1","281168"</v>
      </c>
      <c r="E5756" s="31">
        <f t="shared" si="1736"/>
        <v>0</v>
      </c>
      <c r="F5756" s="31"/>
      <c r="G5756" s="31"/>
      <c r="H5756" s="31"/>
      <c r="I5756" s="56"/>
      <c r="J5756" s="56"/>
      <c r="K5756" s="82" t="str">
        <f t="shared" si="1737"/>
        <v>Invoice</v>
      </c>
      <c r="L5756" s="83" t="str">
        <f>"SI_108598"</f>
        <v>SI_108598</v>
      </c>
      <c r="M5756" s="84">
        <v>43618</v>
      </c>
      <c r="N5756" s="85">
        <f t="shared" si="1738"/>
        <v>194</v>
      </c>
      <c r="O5756" s="86">
        <f t="shared" si="1739"/>
        <v>587.98</v>
      </c>
      <c r="P5756" s="86">
        <f t="shared" si="1740"/>
        <v>0</v>
      </c>
      <c r="Q5756" s="86">
        <f t="shared" si="1741"/>
        <v>0</v>
      </c>
      <c r="R5756" s="86">
        <f t="shared" si="1742"/>
        <v>0</v>
      </c>
      <c r="S5756" s="86">
        <f t="shared" si="1743"/>
        <v>0</v>
      </c>
      <c r="T5756" s="86">
        <f t="shared" si="1744"/>
        <v>587.98</v>
      </c>
      <c r="U5756" s="87">
        <v>587.98</v>
      </c>
    </row>
    <row r="5757" spans="1:22" s="30" customFormat="1" ht="24.6" hidden="1" outlineLevel="1" x14ac:dyDescent="0.55000000000000004">
      <c r="A5757" s="27" t="s">
        <v>327</v>
      </c>
      <c r="B5757" s="28"/>
      <c r="C5757" s="27"/>
      <c r="D5757" s="27" t="str">
        <f>"""NAV Direct"",""CRONUS JetCorp USA"",""21"",""1"",""281337"""</f>
        <v>"NAV Direct","CRONUS JetCorp USA","21","1","281337"</v>
      </c>
      <c r="E5757" s="31" t="str">
        <f t="shared" si="1736"/>
        <v>C100504</v>
      </c>
      <c r="F5757" s="31"/>
      <c r="G5757" s="31"/>
      <c r="H5757" s="31"/>
      <c r="I5757" s="56"/>
      <c r="J5757" s="56"/>
      <c r="K5757" s="82" t="str">
        <f t="shared" si="1737"/>
        <v>Invoice</v>
      </c>
      <c r="L5757" s="83" t="str">
        <f>"SI_108606"</f>
        <v>SI_108606</v>
      </c>
      <c r="M5757" s="84">
        <v>43684</v>
      </c>
      <c r="N5757" s="85">
        <f t="shared" si="1738"/>
        <v>128</v>
      </c>
      <c r="O5757" s="86">
        <f t="shared" si="1739"/>
        <v>587.79</v>
      </c>
      <c r="P5757" s="86">
        <f t="shared" si="1740"/>
        <v>0</v>
      </c>
      <c r="Q5757" s="86">
        <f t="shared" si="1741"/>
        <v>0</v>
      </c>
      <c r="R5757" s="86">
        <f t="shared" si="1742"/>
        <v>0</v>
      </c>
      <c r="S5757" s="86">
        <f t="shared" si="1743"/>
        <v>0</v>
      </c>
      <c r="T5757" s="86">
        <f t="shared" si="1744"/>
        <v>587.79</v>
      </c>
      <c r="U5757" s="87">
        <v>587.79</v>
      </c>
    </row>
    <row r="5758" spans="1:22" s="30" customFormat="1" ht="24.6" hidden="1" outlineLevel="1" x14ac:dyDescent="0.55000000000000004">
      <c r="A5758" s="27" t="s">
        <v>327</v>
      </c>
      <c r="B5758" s="28"/>
      <c r="C5758" s="27"/>
      <c r="D5758" s="27" t="str">
        <f>"""NAV Direct"",""CRONUS JetCorp USA"",""21"",""1"",""282618"""</f>
        <v>"NAV Direct","CRONUS JetCorp USA","21","1","282618"</v>
      </c>
      <c r="E5758" s="31">
        <f t="shared" si="1736"/>
        <v>0</v>
      </c>
      <c r="F5758" s="31"/>
      <c r="G5758" s="31"/>
      <c r="H5758" s="31"/>
      <c r="I5758" s="56"/>
      <c r="J5758" s="56"/>
      <c r="K5758" s="82" t="str">
        <f t="shared" si="1737"/>
        <v>Invoice</v>
      </c>
      <c r="L5758" s="83" t="str">
        <f>"SI_108655"</f>
        <v>SI_108655</v>
      </c>
      <c r="M5758" s="84">
        <v>42119</v>
      </c>
      <c r="N5758" s="85">
        <f t="shared" si="1738"/>
        <v>1693</v>
      </c>
      <c r="O5758" s="86">
        <f t="shared" si="1739"/>
        <v>853.19</v>
      </c>
      <c r="P5758" s="86">
        <f t="shared" si="1740"/>
        <v>0</v>
      </c>
      <c r="Q5758" s="86">
        <f t="shared" si="1741"/>
        <v>0</v>
      </c>
      <c r="R5758" s="86">
        <f t="shared" si="1742"/>
        <v>0</v>
      </c>
      <c r="S5758" s="86">
        <f t="shared" si="1743"/>
        <v>0</v>
      </c>
      <c r="T5758" s="86">
        <f t="shared" si="1744"/>
        <v>853.19</v>
      </c>
      <c r="U5758" s="87">
        <v>853.19</v>
      </c>
    </row>
    <row r="5759" spans="1:22" s="30" customFormat="1" ht="24.6" hidden="1" outlineLevel="1" x14ac:dyDescent="0.55000000000000004">
      <c r="A5759" s="27" t="s">
        <v>327</v>
      </c>
      <c r="B5759" s="28"/>
      <c r="C5759" s="27"/>
      <c r="D5759" s="27" t="str">
        <f>"""NAV Direct"",""CRONUS JetCorp USA"",""21"",""1"",""283798"""</f>
        <v>"NAV Direct","CRONUS JetCorp USA","21","1","283798"</v>
      </c>
      <c r="E5759" s="31" t="str">
        <f t="shared" si="1736"/>
        <v>C100504</v>
      </c>
      <c r="F5759" s="31"/>
      <c r="G5759" s="31"/>
      <c r="H5759" s="31"/>
      <c r="I5759" s="56"/>
      <c r="J5759" s="56"/>
      <c r="K5759" s="82" t="str">
        <f t="shared" si="1737"/>
        <v>Invoice</v>
      </c>
      <c r="L5759" s="83" t="str">
        <f>"SI_108700"</f>
        <v>SI_108700</v>
      </c>
      <c r="M5759" s="84">
        <v>42322</v>
      </c>
      <c r="N5759" s="85">
        <f t="shared" si="1738"/>
        <v>1490</v>
      </c>
      <c r="O5759" s="86">
        <f t="shared" si="1739"/>
        <v>1032.8800000000001</v>
      </c>
      <c r="P5759" s="86">
        <f t="shared" si="1740"/>
        <v>0</v>
      </c>
      <c r="Q5759" s="86">
        <f t="shared" si="1741"/>
        <v>0</v>
      </c>
      <c r="R5759" s="86">
        <f t="shared" si="1742"/>
        <v>0</v>
      </c>
      <c r="S5759" s="86">
        <f t="shared" si="1743"/>
        <v>0</v>
      </c>
      <c r="T5759" s="86">
        <f t="shared" si="1744"/>
        <v>1032.8800000000001</v>
      </c>
      <c r="U5759" s="87">
        <v>1032.8800000000001</v>
      </c>
    </row>
    <row r="5760" spans="1:22" s="30" customFormat="1" ht="24.6" hidden="1" outlineLevel="1" x14ac:dyDescent="0.55000000000000004">
      <c r="A5760" s="27" t="s">
        <v>327</v>
      </c>
      <c r="B5760" s="28"/>
      <c r="C5760" s="27"/>
      <c r="D5760" s="27" t="str">
        <f>"""NAV Direct"",""CRONUS JetCorp USA"",""21"",""1"",""284356"""</f>
        <v>"NAV Direct","CRONUS JetCorp USA","21","1","284356"</v>
      </c>
      <c r="E5760" s="31">
        <f t="shared" si="1736"/>
        <v>0</v>
      </c>
      <c r="F5760" s="31"/>
      <c r="G5760" s="31"/>
      <c r="H5760" s="31"/>
      <c r="I5760" s="56"/>
      <c r="J5760" s="56"/>
      <c r="K5760" s="82" t="str">
        <f t="shared" si="1737"/>
        <v>Invoice</v>
      </c>
      <c r="L5760" s="83" t="str">
        <f>"SI_108720"</f>
        <v>SI_108720</v>
      </c>
      <c r="M5760" s="84">
        <v>42300</v>
      </c>
      <c r="N5760" s="85">
        <f t="shared" si="1738"/>
        <v>1512</v>
      </c>
      <c r="O5760" s="86">
        <f t="shared" si="1739"/>
        <v>1032.9199999999998</v>
      </c>
      <c r="P5760" s="86">
        <f t="shared" si="1740"/>
        <v>0</v>
      </c>
      <c r="Q5760" s="86">
        <f t="shared" si="1741"/>
        <v>0</v>
      </c>
      <c r="R5760" s="86">
        <f t="shared" si="1742"/>
        <v>0</v>
      </c>
      <c r="S5760" s="86">
        <f t="shared" si="1743"/>
        <v>0</v>
      </c>
      <c r="T5760" s="86">
        <f t="shared" si="1744"/>
        <v>1032.9199999999998</v>
      </c>
      <c r="U5760" s="87">
        <v>1032.9199999999998</v>
      </c>
    </row>
    <row r="5761" spans="1:21" s="30" customFormat="1" ht="24.6" hidden="1" outlineLevel="1" x14ac:dyDescent="0.55000000000000004">
      <c r="A5761" s="27" t="s">
        <v>327</v>
      </c>
      <c r="B5761" s="28"/>
      <c r="C5761" s="27"/>
      <c r="D5761" s="27" t="str">
        <f>"""NAV Direct"",""CRONUS JetCorp USA"",""21"",""1"",""286956"""</f>
        <v>"NAV Direct","CRONUS JetCorp USA","21","1","286956"</v>
      </c>
      <c r="E5761" s="31" t="str">
        <f t="shared" si="1736"/>
        <v>C100504</v>
      </c>
      <c r="F5761" s="31"/>
      <c r="G5761" s="31"/>
      <c r="H5761" s="31"/>
      <c r="I5761" s="56"/>
      <c r="J5761" s="56"/>
      <c r="K5761" s="82" t="str">
        <f t="shared" si="1737"/>
        <v>Invoice</v>
      </c>
      <c r="L5761" s="83" t="str">
        <f>"SI_108811"</f>
        <v>SI_108811</v>
      </c>
      <c r="M5761" s="84">
        <v>42963</v>
      </c>
      <c r="N5761" s="85">
        <f t="shared" si="1738"/>
        <v>849</v>
      </c>
      <c r="O5761" s="86">
        <f t="shared" si="1739"/>
        <v>1374.89</v>
      </c>
      <c r="P5761" s="86">
        <f t="shared" si="1740"/>
        <v>0</v>
      </c>
      <c r="Q5761" s="86">
        <f t="shared" si="1741"/>
        <v>0</v>
      </c>
      <c r="R5761" s="86">
        <f t="shared" si="1742"/>
        <v>0</v>
      </c>
      <c r="S5761" s="86">
        <f t="shared" si="1743"/>
        <v>0</v>
      </c>
      <c r="T5761" s="86">
        <f t="shared" si="1744"/>
        <v>1374.89</v>
      </c>
      <c r="U5761" s="87">
        <v>1374.89</v>
      </c>
    </row>
    <row r="5762" spans="1:21" s="30" customFormat="1" ht="24.6" hidden="1" outlineLevel="1" x14ac:dyDescent="0.55000000000000004">
      <c r="A5762" s="27" t="s">
        <v>327</v>
      </c>
      <c r="B5762" s="28"/>
      <c r="C5762" s="27"/>
      <c r="D5762" s="27" t="str">
        <f>"""NAV Direct"",""CRONUS JetCorp USA"",""21"",""1"",""287116"""</f>
        <v>"NAV Direct","CRONUS JetCorp USA","21","1","287116"</v>
      </c>
      <c r="E5762" s="31">
        <f t="shared" si="1736"/>
        <v>0</v>
      </c>
      <c r="F5762" s="31"/>
      <c r="G5762" s="31"/>
      <c r="H5762" s="31"/>
      <c r="I5762" s="56"/>
      <c r="J5762" s="56"/>
      <c r="K5762" s="82" t="str">
        <f t="shared" si="1737"/>
        <v>Invoice</v>
      </c>
      <c r="L5762" s="83" t="str">
        <f>"SI_108817"</f>
        <v>SI_108817</v>
      </c>
      <c r="M5762" s="84">
        <v>43023</v>
      </c>
      <c r="N5762" s="85">
        <f t="shared" si="1738"/>
        <v>789</v>
      </c>
      <c r="O5762" s="86">
        <f t="shared" si="1739"/>
        <v>1512.4599999999998</v>
      </c>
      <c r="P5762" s="86">
        <f t="shared" si="1740"/>
        <v>0</v>
      </c>
      <c r="Q5762" s="86">
        <f t="shared" si="1741"/>
        <v>0</v>
      </c>
      <c r="R5762" s="86">
        <f t="shared" si="1742"/>
        <v>0</v>
      </c>
      <c r="S5762" s="86">
        <f t="shared" si="1743"/>
        <v>0</v>
      </c>
      <c r="T5762" s="86">
        <f t="shared" si="1744"/>
        <v>1512.4599999999998</v>
      </c>
      <c r="U5762" s="87">
        <v>1512.4599999999998</v>
      </c>
    </row>
    <row r="5763" spans="1:21" s="30" customFormat="1" ht="24.6" hidden="1" outlineLevel="1" x14ac:dyDescent="0.55000000000000004">
      <c r="A5763" s="27" t="s">
        <v>327</v>
      </c>
      <c r="B5763" s="28"/>
      <c r="C5763" s="27"/>
      <c r="D5763" s="27" t="str">
        <f>"""NAV Direct"",""CRONUS JetCorp USA"",""21"",""1"",""288219"""</f>
        <v>"NAV Direct","CRONUS JetCorp USA","21","1","288219"</v>
      </c>
      <c r="E5763" s="31" t="str">
        <f t="shared" si="1736"/>
        <v>C100504</v>
      </c>
      <c r="F5763" s="31"/>
      <c r="G5763" s="31"/>
      <c r="H5763" s="31"/>
      <c r="I5763" s="56"/>
      <c r="J5763" s="56"/>
      <c r="K5763" s="82" t="str">
        <f t="shared" si="1737"/>
        <v>Invoice</v>
      </c>
      <c r="L5763" s="83" t="str">
        <f>"SI_108856"</f>
        <v>SI_108856</v>
      </c>
      <c r="M5763" s="84">
        <v>43116</v>
      </c>
      <c r="N5763" s="85">
        <f t="shared" si="1738"/>
        <v>696</v>
      </c>
      <c r="O5763" s="86">
        <f t="shared" si="1739"/>
        <v>1663.6</v>
      </c>
      <c r="P5763" s="86">
        <f t="shared" si="1740"/>
        <v>0</v>
      </c>
      <c r="Q5763" s="86">
        <f t="shared" si="1741"/>
        <v>0</v>
      </c>
      <c r="R5763" s="86">
        <f t="shared" si="1742"/>
        <v>0</v>
      </c>
      <c r="S5763" s="86">
        <f t="shared" si="1743"/>
        <v>0</v>
      </c>
      <c r="T5763" s="86">
        <f t="shared" si="1744"/>
        <v>1663.6</v>
      </c>
      <c r="U5763" s="87">
        <v>1663.6</v>
      </c>
    </row>
    <row r="5764" spans="1:21" s="30" customFormat="1" ht="24.6" hidden="1" outlineLevel="1" x14ac:dyDescent="0.55000000000000004">
      <c r="A5764" s="27" t="s">
        <v>327</v>
      </c>
      <c r="B5764" s="28"/>
      <c r="C5764" s="27"/>
      <c r="D5764" s="27" t="str">
        <f>"""NAV Direct"",""CRONUS JetCorp USA"",""21"",""1"",""289286"""</f>
        <v>"NAV Direct","CRONUS JetCorp USA","21","1","289286"</v>
      </c>
      <c r="E5764" s="31">
        <f t="shared" si="1736"/>
        <v>0</v>
      </c>
      <c r="F5764" s="31"/>
      <c r="G5764" s="31"/>
      <c r="H5764" s="31"/>
      <c r="I5764" s="56"/>
      <c r="J5764" s="56"/>
      <c r="K5764" s="82" t="str">
        <f t="shared" si="1737"/>
        <v>Invoice</v>
      </c>
      <c r="L5764" s="83" t="str">
        <f>"SI_108892"</f>
        <v>SI_108892</v>
      </c>
      <c r="M5764" s="84">
        <v>43198</v>
      </c>
      <c r="N5764" s="85">
        <f t="shared" si="1738"/>
        <v>614</v>
      </c>
      <c r="O5764" s="86">
        <f t="shared" si="1739"/>
        <v>1830.0500000000002</v>
      </c>
      <c r="P5764" s="86">
        <f t="shared" si="1740"/>
        <v>0</v>
      </c>
      <c r="Q5764" s="86">
        <f t="shared" si="1741"/>
        <v>0</v>
      </c>
      <c r="R5764" s="86">
        <f t="shared" si="1742"/>
        <v>0</v>
      </c>
      <c r="S5764" s="86">
        <f t="shared" si="1743"/>
        <v>0</v>
      </c>
      <c r="T5764" s="86">
        <f t="shared" si="1744"/>
        <v>1830.0500000000002</v>
      </c>
      <c r="U5764" s="87">
        <v>1830.0500000000002</v>
      </c>
    </row>
    <row r="5765" spans="1:21" s="30" customFormat="1" ht="24.6" hidden="1" outlineLevel="1" x14ac:dyDescent="0.55000000000000004">
      <c r="A5765" s="27" t="s">
        <v>327</v>
      </c>
      <c r="B5765" s="28"/>
      <c r="C5765" s="27"/>
      <c r="D5765" s="27" t="str">
        <f>"""NAV Direct"",""CRONUS JetCorp USA"",""21"",""1"",""291232"""</f>
        <v>"NAV Direct","CRONUS JetCorp USA","21","1","291232"</v>
      </c>
      <c r="E5765" s="31" t="str">
        <f t="shared" si="1736"/>
        <v>C100504</v>
      </c>
      <c r="F5765" s="31"/>
      <c r="G5765" s="31"/>
      <c r="H5765" s="31"/>
      <c r="I5765" s="56"/>
      <c r="J5765" s="56"/>
      <c r="K5765" s="82" t="str">
        <f t="shared" si="1737"/>
        <v>Invoice</v>
      </c>
      <c r="L5765" s="83" t="str">
        <f>"SI_108956"</f>
        <v>SI_108956</v>
      </c>
      <c r="M5765" s="84">
        <v>43310</v>
      </c>
      <c r="N5765" s="85">
        <f t="shared" si="1738"/>
        <v>502</v>
      </c>
      <c r="O5765" s="86">
        <f t="shared" si="1739"/>
        <v>2013.15</v>
      </c>
      <c r="P5765" s="86">
        <f t="shared" si="1740"/>
        <v>0</v>
      </c>
      <c r="Q5765" s="86">
        <f t="shared" si="1741"/>
        <v>0</v>
      </c>
      <c r="R5765" s="86">
        <f t="shared" si="1742"/>
        <v>0</v>
      </c>
      <c r="S5765" s="86">
        <f t="shared" si="1743"/>
        <v>0</v>
      </c>
      <c r="T5765" s="86">
        <f t="shared" si="1744"/>
        <v>2013.15</v>
      </c>
      <c r="U5765" s="87">
        <v>2013.15</v>
      </c>
    </row>
    <row r="5766" spans="1:21" s="30" customFormat="1" ht="24.6" hidden="1" outlineLevel="1" x14ac:dyDescent="0.55000000000000004">
      <c r="A5766" s="27" t="s">
        <v>327</v>
      </c>
      <c r="B5766" s="28"/>
      <c r="C5766" s="27"/>
      <c r="D5766" s="27" t="str">
        <f>"""NAV Direct"",""CRONUS JetCorp USA"",""21"",""1"",""291905"""</f>
        <v>"NAV Direct","CRONUS JetCorp USA","21","1","291905"</v>
      </c>
      <c r="E5766" s="31">
        <f t="shared" si="1736"/>
        <v>0</v>
      </c>
      <c r="F5766" s="31"/>
      <c r="G5766" s="31"/>
      <c r="H5766" s="31"/>
      <c r="I5766" s="56"/>
      <c r="J5766" s="56"/>
      <c r="K5766" s="82" t="str">
        <f t="shared" si="1737"/>
        <v>Invoice</v>
      </c>
      <c r="L5766" s="83" t="str">
        <f>"SI_108979"</f>
        <v>SI_108979</v>
      </c>
      <c r="M5766" s="84">
        <v>43391</v>
      </c>
      <c r="N5766" s="85">
        <f t="shared" si="1738"/>
        <v>421</v>
      </c>
      <c r="O5766" s="86">
        <f t="shared" si="1739"/>
        <v>2214.4700000000003</v>
      </c>
      <c r="P5766" s="86">
        <f t="shared" si="1740"/>
        <v>0</v>
      </c>
      <c r="Q5766" s="86">
        <f t="shared" si="1741"/>
        <v>0</v>
      </c>
      <c r="R5766" s="86">
        <f t="shared" si="1742"/>
        <v>0</v>
      </c>
      <c r="S5766" s="86">
        <f t="shared" si="1743"/>
        <v>0</v>
      </c>
      <c r="T5766" s="86">
        <f t="shared" si="1744"/>
        <v>2214.4700000000003</v>
      </c>
      <c r="U5766" s="87">
        <v>2214.4700000000003</v>
      </c>
    </row>
    <row r="5767" spans="1:21" s="30" customFormat="1" ht="24.6" hidden="1" outlineLevel="1" x14ac:dyDescent="0.55000000000000004">
      <c r="A5767" s="27" t="s">
        <v>327</v>
      </c>
      <c r="B5767" s="28"/>
      <c r="C5767" s="27"/>
      <c r="D5767" s="27" t="str">
        <f>"""NAV Direct"",""CRONUS JetCorp USA"",""21"",""1"",""291956"""</f>
        <v>"NAV Direct","CRONUS JetCorp USA","21","1","291956"</v>
      </c>
      <c r="E5767" s="31" t="str">
        <f t="shared" si="1736"/>
        <v>C100504</v>
      </c>
      <c r="F5767" s="31"/>
      <c r="G5767" s="31"/>
      <c r="H5767" s="31"/>
      <c r="I5767" s="56"/>
      <c r="J5767" s="56"/>
      <c r="K5767" s="82" t="str">
        <f t="shared" si="1737"/>
        <v>Invoice</v>
      </c>
      <c r="L5767" s="83" t="str">
        <f>"SI_108981"</f>
        <v>SI_108981</v>
      </c>
      <c r="M5767" s="84">
        <v>43391</v>
      </c>
      <c r="N5767" s="85">
        <f t="shared" si="1738"/>
        <v>421</v>
      </c>
      <c r="O5767" s="86">
        <f t="shared" si="1739"/>
        <v>2214.44</v>
      </c>
      <c r="P5767" s="86">
        <f t="shared" si="1740"/>
        <v>0</v>
      </c>
      <c r="Q5767" s="86">
        <f t="shared" si="1741"/>
        <v>0</v>
      </c>
      <c r="R5767" s="86">
        <f t="shared" si="1742"/>
        <v>0</v>
      </c>
      <c r="S5767" s="86">
        <f t="shared" si="1743"/>
        <v>0</v>
      </c>
      <c r="T5767" s="86">
        <f t="shared" si="1744"/>
        <v>2214.44</v>
      </c>
      <c r="U5767" s="87">
        <v>2214.44</v>
      </c>
    </row>
    <row r="5768" spans="1:21" s="30" customFormat="1" ht="24.6" hidden="1" outlineLevel="1" x14ac:dyDescent="0.55000000000000004">
      <c r="A5768" s="27" t="s">
        <v>327</v>
      </c>
      <c r="B5768" s="28"/>
      <c r="C5768" s="27"/>
      <c r="D5768" s="27" t="str">
        <f>"""NAV Direct"",""CRONUS JetCorp USA"",""21"",""1"",""292750"""</f>
        <v>"NAV Direct","CRONUS JetCorp USA","21","1","292750"</v>
      </c>
      <c r="E5768" s="31">
        <f t="shared" si="1736"/>
        <v>0</v>
      </c>
      <c r="F5768" s="31"/>
      <c r="G5768" s="31"/>
      <c r="H5768" s="31"/>
      <c r="I5768" s="56"/>
      <c r="J5768" s="56"/>
      <c r="K5768" s="82" t="str">
        <f t="shared" si="1737"/>
        <v>Invoice</v>
      </c>
      <c r="L5768" s="83" t="str">
        <f>"SI_109007"</f>
        <v>SI_109007</v>
      </c>
      <c r="M5768" s="84">
        <v>43421</v>
      </c>
      <c r="N5768" s="85">
        <f t="shared" si="1738"/>
        <v>391</v>
      </c>
      <c r="O5768" s="86">
        <f t="shared" si="1739"/>
        <v>2214.39</v>
      </c>
      <c r="P5768" s="86">
        <f t="shared" si="1740"/>
        <v>0</v>
      </c>
      <c r="Q5768" s="86">
        <f t="shared" si="1741"/>
        <v>0</v>
      </c>
      <c r="R5768" s="86">
        <f t="shared" si="1742"/>
        <v>0</v>
      </c>
      <c r="S5768" s="86">
        <f t="shared" si="1743"/>
        <v>0</v>
      </c>
      <c r="T5768" s="86">
        <f t="shared" si="1744"/>
        <v>2214.39</v>
      </c>
      <c r="U5768" s="87">
        <v>2214.39</v>
      </c>
    </row>
    <row r="5769" spans="1:21" s="30" customFormat="1" ht="24.6" hidden="1" outlineLevel="1" x14ac:dyDescent="0.55000000000000004">
      <c r="A5769" s="27" t="s">
        <v>327</v>
      </c>
      <c r="B5769" s="28"/>
      <c r="C5769" s="27"/>
      <c r="D5769" s="27" t="str">
        <f>"""NAV Direct"",""CRONUS JetCorp USA"",""21"",""1"",""295510"""</f>
        <v>"NAV Direct","CRONUS JetCorp USA","21","1","295510"</v>
      </c>
      <c r="E5769" s="31" t="str">
        <f t="shared" si="1736"/>
        <v>C100504</v>
      </c>
      <c r="F5769" s="31"/>
      <c r="G5769" s="31"/>
      <c r="H5769" s="31"/>
      <c r="I5769" s="56"/>
      <c r="J5769" s="56"/>
      <c r="K5769" s="82" t="str">
        <f t="shared" si="1737"/>
        <v>Invoice</v>
      </c>
      <c r="L5769" s="83" t="str">
        <f>"SI_109096"</f>
        <v>SI_109096</v>
      </c>
      <c r="M5769" s="84">
        <v>43593</v>
      </c>
      <c r="N5769" s="85">
        <f t="shared" si="1738"/>
        <v>219</v>
      </c>
      <c r="O5769" s="86">
        <f t="shared" si="1739"/>
        <v>2679.44</v>
      </c>
      <c r="P5769" s="86">
        <f t="shared" si="1740"/>
        <v>0</v>
      </c>
      <c r="Q5769" s="86">
        <f t="shared" si="1741"/>
        <v>0</v>
      </c>
      <c r="R5769" s="86">
        <f t="shared" si="1742"/>
        <v>0</v>
      </c>
      <c r="S5769" s="86">
        <f t="shared" si="1743"/>
        <v>0</v>
      </c>
      <c r="T5769" s="86">
        <f t="shared" si="1744"/>
        <v>2679.44</v>
      </c>
      <c r="U5769" s="87">
        <v>2679.44</v>
      </c>
    </row>
    <row r="5770" spans="1:21" s="30" customFormat="1" ht="24.6" hidden="1" outlineLevel="1" x14ac:dyDescent="0.55000000000000004">
      <c r="A5770" s="27" t="s">
        <v>327</v>
      </c>
      <c r="B5770" s="28"/>
      <c r="C5770" s="27"/>
      <c r="D5770" s="27" t="str">
        <f>"""NAV Direct"",""CRONUS JetCorp USA"",""21"",""1"",""296032"""</f>
        <v>"NAV Direct","CRONUS JetCorp USA","21","1","296032"</v>
      </c>
      <c r="E5770" s="31">
        <f t="shared" si="1736"/>
        <v>0</v>
      </c>
      <c r="F5770" s="31"/>
      <c r="G5770" s="31"/>
      <c r="H5770" s="31"/>
      <c r="I5770" s="56"/>
      <c r="J5770" s="56"/>
      <c r="K5770" s="82" t="str">
        <f t="shared" si="1737"/>
        <v>Invoice</v>
      </c>
      <c r="L5770" s="83" t="str">
        <f>"SI_109110"</f>
        <v>SI_109110</v>
      </c>
      <c r="M5770" s="84">
        <v>43605</v>
      </c>
      <c r="N5770" s="85">
        <f t="shared" si="1738"/>
        <v>207</v>
      </c>
      <c r="O5770" s="86">
        <f t="shared" si="1739"/>
        <v>2679.4100000000003</v>
      </c>
      <c r="P5770" s="86">
        <f t="shared" si="1740"/>
        <v>0</v>
      </c>
      <c r="Q5770" s="86">
        <f t="shared" si="1741"/>
        <v>0</v>
      </c>
      <c r="R5770" s="86">
        <f t="shared" si="1742"/>
        <v>0</v>
      </c>
      <c r="S5770" s="86">
        <f t="shared" si="1743"/>
        <v>0</v>
      </c>
      <c r="T5770" s="86">
        <f t="shared" si="1744"/>
        <v>2679.4100000000003</v>
      </c>
      <c r="U5770" s="87">
        <v>2679.4100000000003</v>
      </c>
    </row>
    <row r="5771" spans="1:21" s="30" customFormat="1" ht="24.6" hidden="1" outlineLevel="1" x14ac:dyDescent="0.55000000000000004">
      <c r="A5771" s="27" t="s">
        <v>327</v>
      </c>
      <c r="B5771" s="28"/>
      <c r="C5771" s="27"/>
      <c r="D5771" s="27" t="str">
        <f>"""NAV Direct"",""CRONUS JetCorp USA"",""21"",""1"",""296251"""</f>
        <v>"NAV Direct","CRONUS JetCorp USA","21","1","296251"</v>
      </c>
      <c r="E5771" s="31" t="str">
        <f t="shared" si="1736"/>
        <v>C100504</v>
      </c>
      <c r="F5771" s="31"/>
      <c r="G5771" s="31"/>
      <c r="H5771" s="31"/>
      <c r="I5771" s="56"/>
      <c r="J5771" s="56"/>
      <c r="K5771" s="82" t="str">
        <f t="shared" si="1737"/>
        <v>Invoice</v>
      </c>
      <c r="L5771" s="83" t="str">
        <f>"SI_109118"</f>
        <v>SI_109118</v>
      </c>
      <c r="M5771" s="84">
        <v>43663</v>
      </c>
      <c r="N5771" s="85">
        <f t="shared" si="1738"/>
        <v>149</v>
      </c>
      <c r="O5771" s="86">
        <f t="shared" si="1739"/>
        <v>2947.42</v>
      </c>
      <c r="P5771" s="86">
        <f t="shared" si="1740"/>
        <v>0</v>
      </c>
      <c r="Q5771" s="86">
        <f t="shared" si="1741"/>
        <v>0</v>
      </c>
      <c r="R5771" s="86">
        <f t="shared" si="1742"/>
        <v>0</v>
      </c>
      <c r="S5771" s="86">
        <f t="shared" si="1743"/>
        <v>0</v>
      </c>
      <c r="T5771" s="86">
        <f t="shared" si="1744"/>
        <v>2947.42</v>
      </c>
      <c r="U5771" s="87">
        <v>2947.42</v>
      </c>
    </row>
    <row r="5772" spans="1:21" s="30" customFormat="1" ht="24.6" hidden="1" outlineLevel="1" x14ac:dyDescent="0.55000000000000004">
      <c r="A5772" s="27" t="s">
        <v>327</v>
      </c>
      <c r="B5772" s="28"/>
      <c r="C5772" s="27"/>
      <c r="D5772" s="27" t="str">
        <f>"""NAV Direct"",""CRONUS JetCorp USA"",""21"",""1"",""297032"""</f>
        <v>"NAV Direct","CRONUS JetCorp USA","21","1","297032"</v>
      </c>
      <c r="E5772" s="31">
        <f t="shared" si="1736"/>
        <v>0</v>
      </c>
      <c r="F5772" s="31"/>
      <c r="G5772" s="31"/>
      <c r="H5772" s="31"/>
      <c r="I5772" s="56"/>
      <c r="J5772" s="56"/>
      <c r="K5772" s="82" t="str">
        <f t="shared" si="1737"/>
        <v>Invoice</v>
      </c>
      <c r="L5772" s="83" t="str">
        <f>"SI_109142"</f>
        <v>SI_109142</v>
      </c>
      <c r="M5772" s="84">
        <v>43697</v>
      </c>
      <c r="N5772" s="85">
        <f t="shared" si="1738"/>
        <v>115</v>
      </c>
      <c r="O5772" s="86">
        <f t="shared" si="1739"/>
        <v>2947.42</v>
      </c>
      <c r="P5772" s="86">
        <f t="shared" si="1740"/>
        <v>0</v>
      </c>
      <c r="Q5772" s="86">
        <f t="shared" si="1741"/>
        <v>0</v>
      </c>
      <c r="R5772" s="86">
        <f t="shared" si="1742"/>
        <v>0</v>
      </c>
      <c r="S5772" s="86">
        <f t="shared" si="1743"/>
        <v>0</v>
      </c>
      <c r="T5772" s="86">
        <f t="shared" si="1744"/>
        <v>2947.42</v>
      </c>
      <c r="U5772" s="87">
        <v>2947.42</v>
      </c>
    </row>
    <row r="5773" spans="1:21" s="30" customFormat="1" ht="24.6" hidden="1" outlineLevel="1" x14ac:dyDescent="0.55000000000000004">
      <c r="A5773" s="27" t="s">
        <v>327</v>
      </c>
      <c r="B5773" s="28"/>
      <c r="C5773" s="27"/>
      <c r="D5773" s="27" t="str">
        <f>"""NAV Direct"",""CRONUS JetCorp USA"",""21"",""1"",""298592"""</f>
        <v>"NAV Direct","CRONUS JetCorp USA","21","1","298592"</v>
      </c>
      <c r="E5773" s="31" t="str">
        <f t="shared" si="1736"/>
        <v>C100504</v>
      </c>
      <c r="F5773" s="31"/>
      <c r="G5773" s="31"/>
      <c r="H5773" s="31"/>
      <c r="I5773" s="56"/>
      <c r="J5773" s="56"/>
      <c r="K5773" s="82" t="str">
        <f t="shared" si="1737"/>
        <v>Invoice</v>
      </c>
      <c r="L5773" s="83" t="str">
        <f>"SI_109191"</f>
        <v>SI_109191</v>
      </c>
      <c r="M5773" s="84">
        <v>43781</v>
      </c>
      <c r="N5773" s="85">
        <f t="shared" si="1738"/>
        <v>31</v>
      </c>
      <c r="O5773" s="86">
        <f t="shared" si="1739"/>
        <v>3242.1899999999996</v>
      </c>
      <c r="P5773" s="86">
        <f t="shared" si="1740"/>
        <v>0</v>
      </c>
      <c r="Q5773" s="86">
        <f t="shared" si="1741"/>
        <v>0</v>
      </c>
      <c r="R5773" s="86">
        <f t="shared" si="1742"/>
        <v>3242.1899999999996</v>
      </c>
      <c r="S5773" s="86">
        <f t="shared" si="1743"/>
        <v>0</v>
      </c>
      <c r="T5773" s="86">
        <f t="shared" si="1744"/>
        <v>0</v>
      </c>
      <c r="U5773" s="87">
        <v>3242.1899999999996</v>
      </c>
    </row>
    <row r="5774" spans="1:21" s="30" customFormat="1" ht="24.6" hidden="1" outlineLevel="1" x14ac:dyDescent="0.55000000000000004">
      <c r="A5774" s="27" t="s">
        <v>327</v>
      </c>
      <c r="B5774" s="28"/>
      <c r="C5774" s="27"/>
      <c r="D5774" s="27" t="str">
        <f>"""NAV Direct"",""CRONUS JetCorp USA"",""21"",""1"",""300474"""</f>
        <v>"NAV Direct","CRONUS JetCorp USA","21","1","300474"</v>
      </c>
      <c r="E5774" s="31">
        <f t="shared" si="1736"/>
        <v>0</v>
      </c>
      <c r="F5774" s="31"/>
      <c r="G5774" s="31"/>
      <c r="H5774" s="31"/>
      <c r="I5774" s="56"/>
      <c r="J5774" s="56"/>
      <c r="K5774" s="82" t="str">
        <f t="shared" si="1737"/>
        <v>Invoice</v>
      </c>
      <c r="L5774" s="83" t="str">
        <f>"SI_109246"</f>
        <v>SI_109246</v>
      </c>
      <c r="M5774" s="84">
        <v>42045</v>
      </c>
      <c r="N5774" s="85">
        <f t="shared" si="1738"/>
        <v>1767</v>
      </c>
      <c r="O5774" s="86">
        <f t="shared" si="1739"/>
        <v>3566.4</v>
      </c>
      <c r="P5774" s="86">
        <f t="shared" si="1740"/>
        <v>0</v>
      </c>
      <c r="Q5774" s="86">
        <f t="shared" si="1741"/>
        <v>0</v>
      </c>
      <c r="R5774" s="86">
        <f t="shared" si="1742"/>
        <v>0</v>
      </c>
      <c r="S5774" s="86">
        <f t="shared" si="1743"/>
        <v>0</v>
      </c>
      <c r="T5774" s="86">
        <f t="shared" si="1744"/>
        <v>3566.4</v>
      </c>
      <c r="U5774" s="87">
        <v>3566.4</v>
      </c>
    </row>
    <row r="5775" spans="1:21" s="30" customFormat="1" ht="24.6" hidden="1" outlineLevel="1" x14ac:dyDescent="0.55000000000000004">
      <c r="A5775" s="27" t="s">
        <v>327</v>
      </c>
      <c r="B5775" s="28"/>
      <c r="C5775" s="27"/>
      <c r="D5775" s="27" t="str">
        <f>"""NAV Direct"",""CRONUS JetCorp USA"",""21"",""1"",""303495"""</f>
        <v>"NAV Direct","CRONUS JetCorp USA","21","1","303495"</v>
      </c>
      <c r="E5775" s="31" t="str">
        <f t="shared" si="1736"/>
        <v>C100504</v>
      </c>
      <c r="F5775" s="31"/>
      <c r="G5775" s="31"/>
      <c r="H5775" s="31"/>
      <c r="I5775" s="56"/>
      <c r="J5775" s="56"/>
      <c r="K5775" s="82" t="str">
        <f t="shared" si="1737"/>
        <v>Invoice</v>
      </c>
      <c r="L5775" s="83" t="str">
        <f>"SI_109334"</f>
        <v>SI_109334</v>
      </c>
      <c r="M5775" s="84">
        <v>42160</v>
      </c>
      <c r="N5775" s="85">
        <f t="shared" si="1738"/>
        <v>1652</v>
      </c>
      <c r="O5775" s="86">
        <f t="shared" si="1739"/>
        <v>3923.0600000000004</v>
      </c>
      <c r="P5775" s="86">
        <f t="shared" si="1740"/>
        <v>0</v>
      </c>
      <c r="Q5775" s="86">
        <f t="shared" si="1741"/>
        <v>0</v>
      </c>
      <c r="R5775" s="86">
        <f t="shared" si="1742"/>
        <v>0</v>
      </c>
      <c r="S5775" s="86">
        <f t="shared" si="1743"/>
        <v>0</v>
      </c>
      <c r="T5775" s="86">
        <f t="shared" si="1744"/>
        <v>3923.0600000000004</v>
      </c>
      <c r="U5775" s="87">
        <v>3923.0600000000004</v>
      </c>
    </row>
    <row r="5776" spans="1:21" s="22" customFormat="1" ht="20.399999999999999" collapsed="1" x14ac:dyDescent="0.45">
      <c r="A5776" s="12" t="s">
        <v>327</v>
      </c>
      <c r="B5776" s="19"/>
      <c r="C5776" s="12"/>
      <c r="D5776" s="12"/>
      <c r="E5776" s="23"/>
      <c r="F5776" s="23"/>
      <c r="G5776" s="23"/>
      <c r="H5776" s="23"/>
      <c r="I5776" s="49"/>
      <c r="J5776" s="88"/>
      <c r="K5776" s="88"/>
      <c r="L5776" s="89"/>
      <c r="M5776" s="89"/>
      <c r="N5776" s="89"/>
      <c r="O5776" s="89"/>
      <c r="P5776" s="89"/>
      <c r="Q5776" s="90"/>
      <c r="R5776" s="90"/>
      <c r="S5776" s="91"/>
      <c r="T5776" s="92"/>
      <c r="U5776" s="92"/>
    </row>
    <row r="5777" spans="1:22" s="22" customFormat="1" ht="20.399999999999999" x14ac:dyDescent="0.45">
      <c r="A5777" s="12" t="s">
        <v>327</v>
      </c>
      <c r="B5777" s="19"/>
      <c r="C5777" s="12"/>
      <c r="D5777" s="12"/>
      <c r="E5777" s="23"/>
      <c r="F5777" s="23"/>
      <c r="G5777" s="23"/>
      <c r="H5777" s="23"/>
      <c r="I5777" s="49"/>
      <c r="J5777" s="88"/>
      <c r="K5777" s="88"/>
      <c r="L5777" s="89"/>
      <c r="M5777" s="89"/>
      <c r="N5777" s="89"/>
      <c r="O5777" s="89"/>
      <c r="P5777" s="89"/>
      <c r="Q5777" s="90"/>
      <c r="R5777" s="90"/>
      <c r="S5777" s="91"/>
      <c r="T5777" s="92"/>
      <c r="U5777" s="92"/>
    </row>
    <row r="5778" spans="1:22" s="26" customFormat="1" ht="24.6" x14ac:dyDescent="0.55000000000000004">
      <c r="A5778" s="27" t="s">
        <v>327</v>
      </c>
      <c r="B5778" s="28"/>
      <c r="C5778" s="27" t="str">
        <f>"""NAV Direct"",""CRONUS JetCorp USA"",""18"",""1"",""C100505"""</f>
        <v>"NAV Direct","CRONUS JetCorp USA","18","1","C100505"</v>
      </c>
      <c r="D5778" s="27"/>
      <c r="E5778" s="28" t="str">
        <f>H5778</f>
        <v>C100505</v>
      </c>
      <c r="F5778" s="28"/>
      <c r="G5778" s="28"/>
      <c r="H5778" s="28" t="str">
        <f>"C100505"</f>
        <v>C100505</v>
      </c>
      <c r="I5778" s="116" t="str">
        <f>"C100505  -  King T"</f>
        <v>C100505  -  King T</v>
      </c>
      <c r="J5778" s="117" t="str">
        <f>""</f>
        <v/>
      </c>
      <c r="K5778" s="118"/>
      <c r="L5778" s="119">
        <f>SUBTOTAL(3,L5779:L5809)</f>
        <v>27</v>
      </c>
      <c r="M5778" s="118"/>
      <c r="N5778" s="118"/>
      <c r="O5778" s="120">
        <f t="shared" ref="O5778:T5778" si="1745">SUBTOTAL(9,O5779:O5809)</f>
        <v>63879.58</v>
      </c>
      <c r="P5778" s="120">
        <f t="shared" si="1745"/>
        <v>0</v>
      </c>
      <c r="Q5778" s="120">
        <f t="shared" si="1745"/>
        <v>3242.1000000000004</v>
      </c>
      <c r="R5778" s="120">
        <f t="shared" si="1745"/>
        <v>705.57</v>
      </c>
      <c r="S5778" s="120">
        <f t="shared" si="1745"/>
        <v>0</v>
      </c>
      <c r="T5778" s="120">
        <f t="shared" si="1745"/>
        <v>59931.91</v>
      </c>
      <c r="U5778" s="81"/>
    </row>
    <row r="5779" spans="1:22" s="26" customFormat="1" ht="24.6" x14ac:dyDescent="0.55000000000000004">
      <c r="A5779" s="27" t="s">
        <v>327</v>
      </c>
      <c r="B5779" s="28"/>
      <c r="C5779" s="27" t="str">
        <f>C5778</f>
        <v>"NAV Direct","CRONUS JetCorp USA","18","1","C100505"</v>
      </c>
      <c r="D5779" s="27"/>
      <c r="E5779" s="28" t="str">
        <f>E5778</f>
        <v>C100505</v>
      </c>
      <c r="F5779" s="28"/>
      <c r="G5779" s="28"/>
      <c r="H5779" s="28"/>
      <c r="I5779" s="121" t="str">
        <f>"Contact: Frau Karin Fleischer"</f>
        <v>Contact: Frau Karin Fleischer</v>
      </c>
      <c r="J5779" s="121"/>
      <c r="K5779" s="122"/>
      <c r="L5779" s="123"/>
      <c r="M5779" s="123"/>
      <c r="N5779" s="124"/>
      <c r="O5779" s="124"/>
      <c r="P5779" s="123"/>
      <c r="Q5779" s="125"/>
      <c r="R5779" s="126"/>
      <c r="S5779" s="126"/>
      <c r="T5779" s="125"/>
      <c r="U5779" s="81"/>
    </row>
    <row r="5780" spans="1:22" s="26" customFormat="1" ht="24.6" x14ac:dyDescent="0.55000000000000004">
      <c r="A5780" s="27" t="s">
        <v>327</v>
      </c>
      <c r="B5780" s="28"/>
      <c r="C5780" s="27" t="str">
        <f>C5779</f>
        <v>"NAV Direct","CRONUS JetCorp USA","18","1","C100505"</v>
      </c>
      <c r="D5780" s="27"/>
      <c r="E5780" s="28" t="str">
        <f>E5779</f>
        <v>C100505</v>
      </c>
      <c r="F5780" s="28"/>
      <c r="G5780" s="28"/>
      <c r="H5780" s="28"/>
      <c r="I5780" s="121" t="str">
        <f>"King T@cronuscorp.net"</f>
        <v>King T@cronuscorp.net</v>
      </c>
      <c r="J5780" s="121"/>
      <c r="K5780" s="122"/>
      <c r="L5780" s="124"/>
      <c r="M5780" s="124"/>
      <c r="N5780" s="124"/>
      <c r="O5780" s="124"/>
      <c r="P5780" s="123"/>
      <c r="Q5780" s="125"/>
      <c r="R5780" s="126"/>
      <c r="S5780" s="126"/>
      <c r="T5780" s="125"/>
      <c r="U5780" s="81"/>
    </row>
    <row r="5781" spans="1:22" ht="12.75" hidden="1" customHeight="1" outlineLevel="1" x14ac:dyDescent="0.45">
      <c r="A5781" s="12" t="s">
        <v>328</v>
      </c>
      <c r="B5781" s="19"/>
      <c r="E5781" s="19"/>
      <c r="F5781" s="19"/>
      <c r="G5781" s="19"/>
      <c r="H5781" s="19"/>
      <c r="I5781" s="61"/>
      <c r="J5781" s="61"/>
      <c r="K5781" s="61"/>
      <c r="L5781" s="61"/>
      <c r="M5781" s="61"/>
      <c r="N5781" s="61"/>
      <c r="O5781" s="61"/>
      <c r="P5781" s="61"/>
      <c r="Q5781" s="61"/>
      <c r="R5781" s="61"/>
      <c r="S5781" s="61"/>
      <c r="T5781" s="61"/>
      <c r="U5781" s="61"/>
      <c r="V5781" s="21"/>
    </row>
    <row r="5782" spans="1:22" s="30" customFormat="1" ht="24.6" hidden="1" outlineLevel="1" x14ac:dyDescent="0.55000000000000004">
      <c r="A5782" s="27" t="s">
        <v>327</v>
      </c>
      <c r="B5782" s="28"/>
      <c r="C5782" s="27"/>
      <c r="D5782" s="27" t="str">
        <f>"""NAV Direct"",""CRONUS JetCorp USA"",""21"",""1"",""281298"""</f>
        <v>"NAV Direct","CRONUS JetCorp USA","21","1","281298"</v>
      </c>
      <c r="E5782" s="31" t="str">
        <f t="shared" ref="E5782:E5808" si="1746">E5780</f>
        <v>C100505</v>
      </c>
      <c r="F5782" s="31"/>
      <c r="G5782" s="31"/>
      <c r="H5782" s="31"/>
      <c r="I5782" s="56"/>
      <c r="J5782" s="56"/>
      <c r="K5782" s="82" t="str">
        <f t="shared" ref="K5782:K5808" si="1747">"Invoice"</f>
        <v>Invoice</v>
      </c>
      <c r="L5782" s="83" t="str">
        <f>"SI_108604"</f>
        <v>SI_108604</v>
      </c>
      <c r="M5782" s="84">
        <v>43664</v>
      </c>
      <c r="N5782" s="85">
        <f t="shared" ref="N5782:N5808" si="1748">StartDate-$M5782+1</f>
        <v>148</v>
      </c>
      <c r="O5782" s="86">
        <f t="shared" ref="O5782:O5808" si="1749">SUM(P5782:T5782)</f>
        <v>587.86</v>
      </c>
      <c r="P5782" s="86">
        <f t="shared" ref="P5782:P5808" si="1750">IF($M5782&gt;=$P$18,U5782,0)</f>
        <v>0</v>
      </c>
      <c r="Q5782" s="86">
        <f t="shared" ref="Q5782:Q5808" si="1751">IF(AND($M5782&gt;=$Q$16,$M5782&lt;=$Q$18),U5782,0)</f>
        <v>0</v>
      </c>
      <c r="R5782" s="86">
        <f t="shared" ref="R5782:R5808" si="1752">IF(AND($M5782&gt;=$R$16,$M5782&lt;=$R$18),U5782,0)</f>
        <v>0</v>
      </c>
      <c r="S5782" s="86">
        <f t="shared" ref="S5782:S5808" si="1753">IF(AND($M5782&gt;=$S$16,$M5782&lt;=$S$18),U5782,0)</f>
        <v>0</v>
      </c>
      <c r="T5782" s="86">
        <f t="shared" ref="T5782:T5808" si="1754">IF($M5782&lt;=$T$18,U5782,0)</f>
        <v>587.86</v>
      </c>
      <c r="U5782" s="87">
        <v>587.86</v>
      </c>
    </row>
    <row r="5783" spans="1:22" s="30" customFormat="1" ht="24.6" hidden="1" outlineLevel="1" x14ac:dyDescent="0.55000000000000004">
      <c r="A5783" s="27" t="s">
        <v>327</v>
      </c>
      <c r="B5783" s="28"/>
      <c r="C5783" s="27"/>
      <c r="D5783" s="27" t="str">
        <f>"""NAV Direct"",""CRONUS JetCorp USA"",""21"",""1"",""281719"""</f>
        <v>"NAV Direct","CRONUS JetCorp USA","21","1","281719"</v>
      </c>
      <c r="E5783" s="31">
        <f t="shared" si="1746"/>
        <v>0</v>
      </c>
      <c r="F5783" s="31"/>
      <c r="G5783" s="31"/>
      <c r="H5783" s="31"/>
      <c r="I5783" s="56"/>
      <c r="J5783" s="56"/>
      <c r="K5783" s="82" t="str">
        <f t="shared" si="1747"/>
        <v>Invoice</v>
      </c>
      <c r="L5783" s="83" t="str">
        <f>"SI_108621"</f>
        <v>SI_108621</v>
      </c>
      <c r="M5783" s="84">
        <v>43757</v>
      </c>
      <c r="N5783" s="85">
        <f t="shared" si="1748"/>
        <v>55</v>
      </c>
      <c r="O5783" s="86">
        <f t="shared" si="1749"/>
        <v>705.57</v>
      </c>
      <c r="P5783" s="86">
        <f t="shared" si="1750"/>
        <v>0</v>
      </c>
      <c r="Q5783" s="86">
        <f t="shared" si="1751"/>
        <v>0</v>
      </c>
      <c r="R5783" s="86">
        <f t="shared" si="1752"/>
        <v>705.57</v>
      </c>
      <c r="S5783" s="86">
        <f t="shared" si="1753"/>
        <v>0</v>
      </c>
      <c r="T5783" s="86">
        <f t="shared" si="1754"/>
        <v>0</v>
      </c>
      <c r="U5783" s="87">
        <v>705.57</v>
      </c>
    </row>
    <row r="5784" spans="1:22" s="30" customFormat="1" ht="24.6" hidden="1" outlineLevel="1" x14ac:dyDescent="0.55000000000000004">
      <c r="A5784" s="27" t="s">
        <v>327</v>
      </c>
      <c r="B5784" s="28"/>
      <c r="C5784" s="27"/>
      <c r="D5784" s="27" t="str">
        <f>"""NAV Direct"",""CRONUS JetCorp USA"",""21"",""1"",""282775"""</f>
        <v>"NAV Direct","CRONUS JetCorp USA","21","1","282775"</v>
      </c>
      <c r="E5784" s="31" t="str">
        <f t="shared" si="1746"/>
        <v>C100505</v>
      </c>
      <c r="F5784" s="31"/>
      <c r="G5784" s="31"/>
      <c r="H5784" s="31"/>
      <c r="I5784" s="56"/>
      <c r="J5784" s="56"/>
      <c r="K5784" s="82" t="str">
        <f t="shared" si="1747"/>
        <v>Invoice</v>
      </c>
      <c r="L5784" s="83" t="str">
        <f>"SI_108661"</f>
        <v>SI_108661</v>
      </c>
      <c r="M5784" s="84">
        <v>42112</v>
      </c>
      <c r="N5784" s="85">
        <f t="shared" si="1748"/>
        <v>1700</v>
      </c>
      <c r="O5784" s="86">
        <f t="shared" si="1749"/>
        <v>853.74</v>
      </c>
      <c r="P5784" s="86">
        <f t="shared" si="1750"/>
        <v>0</v>
      </c>
      <c r="Q5784" s="86">
        <f t="shared" si="1751"/>
        <v>0</v>
      </c>
      <c r="R5784" s="86">
        <f t="shared" si="1752"/>
        <v>0</v>
      </c>
      <c r="S5784" s="86">
        <f t="shared" si="1753"/>
        <v>0</v>
      </c>
      <c r="T5784" s="86">
        <f t="shared" si="1754"/>
        <v>853.74</v>
      </c>
      <c r="U5784" s="87">
        <v>853.74</v>
      </c>
    </row>
    <row r="5785" spans="1:22" s="30" customFormat="1" ht="24.6" hidden="1" outlineLevel="1" x14ac:dyDescent="0.55000000000000004">
      <c r="A5785" s="27" t="s">
        <v>327</v>
      </c>
      <c r="B5785" s="28"/>
      <c r="C5785" s="27"/>
      <c r="D5785" s="27" t="str">
        <f>"""NAV Direct"",""CRONUS JetCorp USA"",""21"",""1"",""285306"""</f>
        <v>"NAV Direct","CRONUS JetCorp USA","21","1","285306"</v>
      </c>
      <c r="E5785" s="31">
        <f t="shared" si="1746"/>
        <v>0</v>
      </c>
      <c r="F5785" s="31"/>
      <c r="G5785" s="31"/>
      <c r="H5785" s="31"/>
      <c r="I5785" s="56"/>
      <c r="J5785" s="56"/>
      <c r="K5785" s="82" t="str">
        <f t="shared" si="1747"/>
        <v>Invoice</v>
      </c>
      <c r="L5785" s="83" t="str">
        <f>"SI_108755"</f>
        <v>SI_108755</v>
      </c>
      <c r="M5785" s="84">
        <v>42880</v>
      </c>
      <c r="N5785" s="85">
        <f t="shared" si="1748"/>
        <v>932</v>
      </c>
      <c r="O5785" s="86">
        <f t="shared" si="1749"/>
        <v>1250</v>
      </c>
      <c r="P5785" s="86">
        <f t="shared" si="1750"/>
        <v>0</v>
      </c>
      <c r="Q5785" s="86">
        <f t="shared" si="1751"/>
        <v>0</v>
      </c>
      <c r="R5785" s="86">
        <f t="shared" si="1752"/>
        <v>0</v>
      </c>
      <c r="S5785" s="86">
        <f t="shared" si="1753"/>
        <v>0</v>
      </c>
      <c r="T5785" s="86">
        <f t="shared" si="1754"/>
        <v>1250</v>
      </c>
      <c r="U5785" s="87">
        <v>1250</v>
      </c>
    </row>
    <row r="5786" spans="1:22" s="30" customFormat="1" ht="24.6" hidden="1" outlineLevel="1" x14ac:dyDescent="0.55000000000000004">
      <c r="A5786" s="27" t="s">
        <v>327</v>
      </c>
      <c r="B5786" s="28"/>
      <c r="C5786" s="27"/>
      <c r="D5786" s="27" t="str">
        <f>"""NAV Direct"",""CRONUS JetCorp USA"",""21"",""1"",""285630"""</f>
        <v>"NAV Direct","CRONUS JetCorp USA","21","1","285630"</v>
      </c>
      <c r="E5786" s="31" t="str">
        <f t="shared" si="1746"/>
        <v>C100505</v>
      </c>
      <c r="F5786" s="31"/>
      <c r="G5786" s="31"/>
      <c r="H5786" s="31"/>
      <c r="I5786" s="56"/>
      <c r="J5786" s="56"/>
      <c r="K5786" s="82" t="str">
        <f t="shared" si="1747"/>
        <v>Invoice</v>
      </c>
      <c r="L5786" s="83" t="str">
        <f>"SI_108767"</f>
        <v>SI_108767</v>
      </c>
      <c r="M5786" s="84">
        <v>42854</v>
      </c>
      <c r="N5786" s="85">
        <f t="shared" si="1748"/>
        <v>958</v>
      </c>
      <c r="O5786" s="86">
        <f t="shared" si="1749"/>
        <v>1249.99</v>
      </c>
      <c r="P5786" s="86">
        <f t="shared" si="1750"/>
        <v>0</v>
      </c>
      <c r="Q5786" s="86">
        <f t="shared" si="1751"/>
        <v>0</v>
      </c>
      <c r="R5786" s="86">
        <f t="shared" si="1752"/>
        <v>0</v>
      </c>
      <c r="S5786" s="86">
        <f t="shared" si="1753"/>
        <v>0</v>
      </c>
      <c r="T5786" s="86">
        <f t="shared" si="1754"/>
        <v>1249.99</v>
      </c>
      <c r="U5786" s="87">
        <v>1249.99</v>
      </c>
    </row>
    <row r="5787" spans="1:22" s="30" customFormat="1" ht="24.6" hidden="1" outlineLevel="1" x14ac:dyDescent="0.55000000000000004">
      <c r="A5787" s="27" t="s">
        <v>327</v>
      </c>
      <c r="B5787" s="28"/>
      <c r="C5787" s="27"/>
      <c r="D5787" s="27" t="str">
        <f>"""NAV Direct"",""CRONUS JetCorp USA"",""21"",""1"",""287404"""</f>
        <v>"NAV Direct","CRONUS JetCorp USA","21","1","287404"</v>
      </c>
      <c r="E5787" s="31">
        <f t="shared" si="1746"/>
        <v>0</v>
      </c>
      <c r="F5787" s="31"/>
      <c r="G5787" s="31"/>
      <c r="H5787" s="31"/>
      <c r="I5787" s="56"/>
      <c r="J5787" s="56"/>
      <c r="K5787" s="82" t="str">
        <f t="shared" si="1747"/>
        <v>Invoice</v>
      </c>
      <c r="L5787" s="83" t="str">
        <f>"SI_108827"</f>
        <v>SI_108827</v>
      </c>
      <c r="M5787" s="84">
        <v>43049</v>
      </c>
      <c r="N5787" s="85">
        <f t="shared" si="1748"/>
        <v>763</v>
      </c>
      <c r="O5787" s="86">
        <f t="shared" si="1749"/>
        <v>1512.3</v>
      </c>
      <c r="P5787" s="86">
        <f t="shared" si="1750"/>
        <v>0</v>
      </c>
      <c r="Q5787" s="86">
        <f t="shared" si="1751"/>
        <v>0</v>
      </c>
      <c r="R5787" s="86">
        <f t="shared" si="1752"/>
        <v>0</v>
      </c>
      <c r="S5787" s="86">
        <f t="shared" si="1753"/>
        <v>0</v>
      </c>
      <c r="T5787" s="86">
        <f t="shared" si="1754"/>
        <v>1512.3</v>
      </c>
      <c r="U5787" s="87">
        <v>1512.3</v>
      </c>
    </row>
    <row r="5788" spans="1:22" s="30" customFormat="1" ht="24.6" hidden="1" outlineLevel="1" x14ac:dyDescent="0.55000000000000004">
      <c r="A5788" s="27" t="s">
        <v>327</v>
      </c>
      <c r="B5788" s="28"/>
      <c r="C5788" s="27"/>
      <c r="D5788" s="27" t="str">
        <f>"""NAV Direct"",""CRONUS JetCorp USA"",""21"",""1"",""288279"""</f>
        <v>"NAV Direct","CRONUS JetCorp USA","21","1","288279"</v>
      </c>
      <c r="E5788" s="31" t="str">
        <f t="shared" si="1746"/>
        <v>C100505</v>
      </c>
      <c r="F5788" s="31"/>
      <c r="G5788" s="31"/>
      <c r="H5788" s="31"/>
      <c r="I5788" s="56"/>
      <c r="J5788" s="56"/>
      <c r="K5788" s="82" t="str">
        <f t="shared" si="1747"/>
        <v>Invoice</v>
      </c>
      <c r="L5788" s="83" t="str">
        <f>"SI_108858"</f>
        <v>SI_108858</v>
      </c>
      <c r="M5788" s="84">
        <v>43137</v>
      </c>
      <c r="N5788" s="85">
        <f t="shared" si="1748"/>
        <v>675</v>
      </c>
      <c r="O5788" s="86">
        <f t="shared" si="1749"/>
        <v>1663.7500000000002</v>
      </c>
      <c r="P5788" s="86">
        <f t="shared" si="1750"/>
        <v>0</v>
      </c>
      <c r="Q5788" s="86">
        <f t="shared" si="1751"/>
        <v>0</v>
      </c>
      <c r="R5788" s="86">
        <f t="shared" si="1752"/>
        <v>0</v>
      </c>
      <c r="S5788" s="86">
        <f t="shared" si="1753"/>
        <v>0</v>
      </c>
      <c r="T5788" s="86">
        <f t="shared" si="1754"/>
        <v>1663.7500000000002</v>
      </c>
      <c r="U5788" s="87">
        <v>1663.7500000000002</v>
      </c>
    </row>
    <row r="5789" spans="1:22" s="30" customFormat="1" ht="24.6" hidden="1" outlineLevel="1" x14ac:dyDescent="0.55000000000000004">
      <c r="A5789" s="27" t="s">
        <v>327</v>
      </c>
      <c r="B5789" s="28"/>
      <c r="C5789" s="27"/>
      <c r="D5789" s="27" t="str">
        <f>"""NAV Direct"",""CRONUS JetCorp USA"",""21"",""1"",""288848"""</f>
        <v>"NAV Direct","CRONUS JetCorp USA","21","1","288848"</v>
      </c>
      <c r="E5789" s="31">
        <f t="shared" si="1746"/>
        <v>0</v>
      </c>
      <c r="F5789" s="31"/>
      <c r="G5789" s="31"/>
      <c r="H5789" s="31"/>
      <c r="I5789" s="56"/>
      <c r="J5789" s="56"/>
      <c r="K5789" s="82" t="str">
        <f t="shared" si="1747"/>
        <v>Invoice</v>
      </c>
      <c r="L5789" s="83" t="str">
        <f>"SI_108877"</f>
        <v>SI_108877</v>
      </c>
      <c r="M5789" s="84">
        <v>43160</v>
      </c>
      <c r="N5789" s="85">
        <f t="shared" si="1748"/>
        <v>652</v>
      </c>
      <c r="O5789" s="86">
        <f t="shared" si="1749"/>
        <v>1663.64</v>
      </c>
      <c r="P5789" s="86">
        <f t="shared" si="1750"/>
        <v>0</v>
      </c>
      <c r="Q5789" s="86">
        <f t="shared" si="1751"/>
        <v>0</v>
      </c>
      <c r="R5789" s="86">
        <f t="shared" si="1752"/>
        <v>0</v>
      </c>
      <c r="S5789" s="86">
        <f t="shared" si="1753"/>
        <v>0</v>
      </c>
      <c r="T5789" s="86">
        <f t="shared" si="1754"/>
        <v>1663.64</v>
      </c>
      <c r="U5789" s="87">
        <v>1663.64</v>
      </c>
    </row>
    <row r="5790" spans="1:22" s="30" customFormat="1" ht="24.6" hidden="1" outlineLevel="1" x14ac:dyDescent="0.55000000000000004">
      <c r="A5790" s="27" t="s">
        <v>327</v>
      </c>
      <c r="B5790" s="28"/>
      <c r="C5790" s="27"/>
      <c r="D5790" s="27" t="str">
        <f>"""NAV Direct"",""CRONUS JetCorp USA"",""21"",""1"",""289645"""</f>
        <v>"NAV Direct","CRONUS JetCorp USA","21","1","289645"</v>
      </c>
      <c r="E5790" s="31" t="str">
        <f t="shared" si="1746"/>
        <v>C100505</v>
      </c>
      <c r="F5790" s="31"/>
      <c r="G5790" s="31"/>
      <c r="H5790" s="31"/>
      <c r="I5790" s="56"/>
      <c r="J5790" s="56"/>
      <c r="K5790" s="82" t="str">
        <f t="shared" si="1747"/>
        <v>Invoice</v>
      </c>
      <c r="L5790" s="83" t="str">
        <f>"SI_108903"</f>
        <v>SI_108903</v>
      </c>
      <c r="M5790" s="84">
        <v>43235</v>
      </c>
      <c r="N5790" s="85">
        <f t="shared" si="1748"/>
        <v>577</v>
      </c>
      <c r="O5790" s="86">
        <f t="shared" si="1749"/>
        <v>1830.0500000000002</v>
      </c>
      <c r="P5790" s="86">
        <f t="shared" si="1750"/>
        <v>0</v>
      </c>
      <c r="Q5790" s="86">
        <f t="shared" si="1751"/>
        <v>0</v>
      </c>
      <c r="R5790" s="86">
        <f t="shared" si="1752"/>
        <v>0</v>
      </c>
      <c r="S5790" s="86">
        <f t="shared" si="1753"/>
        <v>0</v>
      </c>
      <c r="T5790" s="86">
        <f t="shared" si="1754"/>
        <v>1830.0500000000002</v>
      </c>
      <c r="U5790" s="87">
        <v>1830.0500000000002</v>
      </c>
    </row>
    <row r="5791" spans="1:22" s="30" customFormat="1" ht="24.6" hidden="1" outlineLevel="1" x14ac:dyDescent="0.55000000000000004">
      <c r="A5791" s="27" t="s">
        <v>327</v>
      </c>
      <c r="B5791" s="28"/>
      <c r="C5791" s="27"/>
      <c r="D5791" s="27" t="str">
        <f>"""NAV Direct"",""CRONUS JetCorp USA"",""21"",""1"",""290116"""</f>
        <v>"NAV Direct","CRONUS JetCorp USA","21","1","290116"</v>
      </c>
      <c r="E5791" s="31">
        <f t="shared" si="1746"/>
        <v>0</v>
      </c>
      <c r="F5791" s="31"/>
      <c r="G5791" s="31"/>
      <c r="H5791" s="31"/>
      <c r="I5791" s="56"/>
      <c r="J5791" s="56"/>
      <c r="K5791" s="82" t="str">
        <f t="shared" si="1747"/>
        <v>Invoice</v>
      </c>
      <c r="L5791" s="83" t="str">
        <f>"SI_108919"</f>
        <v>SI_108919</v>
      </c>
      <c r="M5791" s="84">
        <v>43242</v>
      </c>
      <c r="N5791" s="85">
        <f t="shared" si="1748"/>
        <v>570</v>
      </c>
      <c r="O5791" s="86">
        <f t="shared" si="1749"/>
        <v>1830.0800000000002</v>
      </c>
      <c r="P5791" s="86">
        <f t="shared" si="1750"/>
        <v>0</v>
      </c>
      <c r="Q5791" s="86">
        <f t="shared" si="1751"/>
        <v>0</v>
      </c>
      <c r="R5791" s="86">
        <f t="shared" si="1752"/>
        <v>0</v>
      </c>
      <c r="S5791" s="86">
        <f t="shared" si="1753"/>
        <v>0</v>
      </c>
      <c r="T5791" s="86">
        <f t="shared" si="1754"/>
        <v>1830.0800000000002</v>
      </c>
      <c r="U5791" s="87">
        <v>1830.0800000000002</v>
      </c>
    </row>
    <row r="5792" spans="1:22" s="30" customFormat="1" ht="24.6" hidden="1" outlineLevel="1" x14ac:dyDescent="0.55000000000000004">
      <c r="A5792" s="27" t="s">
        <v>327</v>
      </c>
      <c r="B5792" s="28"/>
      <c r="C5792" s="27"/>
      <c r="D5792" s="27" t="str">
        <f>"""NAV Direct"",""CRONUS JetCorp USA"",""21"",""1"",""290269"""</f>
        <v>"NAV Direct","CRONUS JetCorp USA","21","1","290269"</v>
      </c>
      <c r="E5792" s="31" t="str">
        <f t="shared" si="1746"/>
        <v>C100505</v>
      </c>
      <c r="F5792" s="31"/>
      <c r="G5792" s="31"/>
      <c r="H5792" s="31"/>
      <c r="I5792" s="56"/>
      <c r="J5792" s="56"/>
      <c r="K5792" s="82" t="str">
        <f t="shared" si="1747"/>
        <v>Invoice</v>
      </c>
      <c r="L5792" s="83" t="str">
        <f>"SI_108924"</f>
        <v>SI_108924</v>
      </c>
      <c r="M5792" s="84">
        <v>43250</v>
      </c>
      <c r="N5792" s="85">
        <f t="shared" si="1748"/>
        <v>562</v>
      </c>
      <c r="O5792" s="86">
        <f t="shared" si="1749"/>
        <v>1830.1200000000001</v>
      </c>
      <c r="P5792" s="86">
        <f t="shared" si="1750"/>
        <v>0</v>
      </c>
      <c r="Q5792" s="86">
        <f t="shared" si="1751"/>
        <v>0</v>
      </c>
      <c r="R5792" s="86">
        <f t="shared" si="1752"/>
        <v>0</v>
      </c>
      <c r="S5792" s="86">
        <f t="shared" si="1753"/>
        <v>0</v>
      </c>
      <c r="T5792" s="86">
        <f t="shared" si="1754"/>
        <v>1830.1200000000001</v>
      </c>
      <c r="U5792" s="87">
        <v>1830.1200000000001</v>
      </c>
    </row>
    <row r="5793" spans="1:21" s="30" customFormat="1" ht="24.6" hidden="1" outlineLevel="1" x14ac:dyDescent="0.55000000000000004">
      <c r="A5793" s="27" t="s">
        <v>327</v>
      </c>
      <c r="B5793" s="28"/>
      <c r="C5793" s="27"/>
      <c r="D5793" s="27" t="str">
        <f>"""NAV Direct"",""CRONUS JetCorp USA"",""21"",""1"",""292146"""</f>
        <v>"NAV Direct","CRONUS JetCorp USA","21","1","292146"</v>
      </c>
      <c r="E5793" s="31">
        <f t="shared" si="1746"/>
        <v>0</v>
      </c>
      <c r="F5793" s="31"/>
      <c r="G5793" s="31"/>
      <c r="H5793" s="31"/>
      <c r="I5793" s="56"/>
      <c r="J5793" s="56"/>
      <c r="K5793" s="82" t="str">
        <f t="shared" si="1747"/>
        <v>Invoice</v>
      </c>
      <c r="L5793" s="83" t="str">
        <f>"SI_108987"</f>
        <v>SI_108987</v>
      </c>
      <c r="M5793" s="84">
        <v>43410</v>
      </c>
      <c r="N5793" s="85">
        <f t="shared" si="1748"/>
        <v>402</v>
      </c>
      <c r="O5793" s="86">
        <f t="shared" si="1749"/>
        <v>2214.3000000000002</v>
      </c>
      <c r="P5793" s="86">
        <f t="shared" si="1750"/>
        <v>0</v>
      </c>
      <c r="Q5793" s="86">
        <f t="shared" si="1751"/>
        <v>0</v>
      </c>
      <c r="R5793" s="86">
        <f t="shared" si="1752"/>
        <v>0</v>
      </c>
      <c r="S5793" s="86">
        <f t="shared" si="1753"/>
        <v>0</v>
      </c>
      <c r="T5793" s="86">
        <f t="shared" si="1754"/>
        <v>2214.3000000000002</v>
      </c>
      <c r="U5793" s="87">
        <v>2214.3000000000002</v>
      </c>
    </row>
    <row r="5794" spans="1:21" s="30" customFormat="1" ht="24.6" hidden="1" outlineLevel="1" x14ac:dyDescent="0.55000000000000004">
      <c r="A5794" s="27" t="s">
        <v>327</v>
      </c>
      <c r="B5794" s="28"/>
      <c r="C5794" s="27"/>
      <c r="D5794" s="27" t="str">
        <f>"""NAV Direct"",""CRONUS JetCorp USA"",""21"",""1"",""293450"""</f>
        <v>"NAV Direct","CRONUS JetCorp USA","21","1","293450"</v>
      </c>
      <c r="E5794" s="31" t="str">
        <f t="shared" si="1746"/>
        <v>C100505</v>
      </c>
      <c r="F5794" s="31"/>
      <c r="G5794" s="31"/>
      <c r="H5794" s="31"/>
      <c r="I5794" s="56"/>
      <c r="J5794" s="56"/>
      <c r="K5794" s="82" t="str">
        <f t="shared" si="1747"/>
        <v>Invoice</v>
      </c>
      <c r="L5794" s="83" t="str">
        <f>"SI_109032"</f>
        <v>SI_109032</v>
      </c>
      <c r="M5794" s="84">
        <v>43520</v>
      </c>
      <c r="N5794" s="85">
        <f t="shared" si="1748"/>
        <v>292</v>
      </c>
      <c r="O5794" s="86">
        <f t="shared" si="1749"/>
        <v>2435.92</v>
      </c>
      <c r="P5794" s="86">
        <f t="shared" si="1750"/>
        <v>0</v>
      </c>
      <c r="Q5794" s="86">
        <f t="shared" si="1751"/>
        <v>0</v>
      </c>
      <c r="R5794" s="86">
        <f t="shared" si="1752"/>
        <v>0</v>
      </c>
      <c r="S5794" s="86">
        <f t="shared" si="1753"/>
        <v>0</v>
      </c>
      <c r="T5794" s="86">
        <f t="shared" si="1754"/>
        <v>2435.92</v>
      </c>
      <c r="U5794" s="87">
        <v>2435.92</v>
      </c>
    </row>
    <row r="5795" spans="1:21" s="30" customFormat="1" ht="24.6" hidden="1" outlineLevel="1" x14ac:dyDescent="0.55000000000000004">
      <c r="A5795" s="27" t="s">
        <v>327</v>
      </c>
      <c r="B5795" s="28"/>
      <c r="C5795" s="27"/>
      <c r="D5795" s="27" t="str">
        <f>"""NAV Direct"",""CRONUS JetCorp USA"",""21"",""1"",""293902"""</f>
        <v>"NAV Direct","CRONUS JetCorp USA","21","1","293902"</v>
      </c>
      <c r="E5795" s="31">
        <f t="shared" si="1746"/>
        <v>0</v>
      </c>
      <c r="F5795" s="31"/>
      <c r="G5795" s="31"/>
      <c r="H5795" s="31"/>
      <c r="I5795" s="56"/>
      <c r="J5795" s="56"/>
      <c r="K5795" s="82" t="str">
        <f t="shared" si="1747"/>
        <v>Invoice</v>
      </c>
      <c r="L5795" s="83" t="str">
        <f>"SI_109046"</f>
        <v>SI_109046</v>
      </c>
      <c r="M5795" s="84">
        <v>43524</v>
      </c>
      <c r="N5795" s="85">
        <f t="shared" si="1748"/>
        <v>288</v>
      </c>
      <c r="O5795" s="86">
        <f t="shared" si="1749"/>
        <v>2435.88</v>
      </c>
      <c r="P5795" s="86">
        <f t="shared" si="1750"/>
        <v>0</v>
      </c>
      <c r="Q5795" s="86">
        <f t="shared" si="1751"/>
        <v>0</v>
      </c>
      <c r="R5795" s="86">
        <f t="shared" si="1752"/>
        <v>0</v>
      </c>
      <c r="S5795" s="86">
        <f t="shared" si="1753"/>
        <v>0</v>
      </c>
      <c r="T5795" s="86">
        <f t="shared" si="1754"/>
        <v>2435.88</v>
      </c>
      <c r="U5795" s="87">
        <v>2435.88</v>
      </c>
    </row>
    <row r="5796" spans="1:21" s="30" customFormat="1" ht="24.6" hidden="1" outlineLevel="1" x14ac:dyDescent="0.55000000000000004">
      <c r="A5796" s="27" t="s">
        <v>327</v>
      </c>
      <c r="B5796" s="28"/>
      <c r="C5796" s="27"/>
      <c r="D5796" s="27" t="str">
        <f>"""NAV Direct"",""CRONUS JetCorp USA"",""21"",""1"",""294547"""</f>
        <v>"NAV Direct","CRONUS JetCorp USA","21","1","294547"</v>
      </c>
      <c r="E5796" s="31" t="str">
        <f t="shared" si="1746"/>
        <v>C100505</v>
      </c>
      <c r="F5796" s="31"/>
      <c r="G5796" s="31"/>
      <c r="H5796" s="31"/>
      <c r="I5796" s="56"/>
      <c r="J5796" s="56"/>
      <c r="K5796" s="82" t="str">
        <f t="shared" si="1747"/>
        <v>Invoice</v>
      </c>
      <c r="L5796" s="83" t="str">
        <f>"SI_109066"</f>
        <v>SI_109066</v>
      </c>
      <c r="M5796" s="84">
        <v>43536</v>
      </c>
      <c r="N5796" s="85">
        <f t="shared" si="1748"/>
        <v>276</v>
      </c>
      <c r="O5796" s="86">
        <f t="shared" si="1749"/>
        <v>2435.6999999999998</v>
      </c>
      <c r="P5796" s="86">
        <f t="shared" si="1750"/>
        <v>0</v>
      </c>
      <c r="Q5796" s="86">
        <f t="shared" si="1751"/>
        <v>0</v>
      </c>
      <c r="R5796" s="86">
        <f t="shared" si="1752"/>
        <v>0</v>
      </c>
      <c r="S5796" s="86">
        <f t="shared" si="1753"/>
        <v>0</v>
      </c>
      <c r="T5796" s="86">
        <f t="shared" si="1754"/>
        <v>2435.6999999999998</v>
      </c>
      <c r="U5796" s="87">
        <v>2435.6999999999998</v>
      </c>
    </row>
    <row r="5797" spans="1:21" s="30" customFormat="1" ht="24.6" hidden="1" outlineLevel="1" x14ac:dyDescent="0.55000000000000004">
      <c r="A5797" s="27" t="s">
        <v>327</v>
      </c>
      <c r="B5797" s="28"/>
      <c r="C5797" s="27"/>
      <c r="D5797" s="27" t="str">
        <f>"""NAV Direct"",""CRONUS JetCorp USA"",""21"",""1"",""295100"""</f>
        <v>"NAV Direct","CRONUS JetCorp USA","21","1","295100"</v>
      </c>
      <c r="E5797" s="31">
        <f t="shared" si="1746"/>
        <v>0</v>
      </c>
      <c r="F5797" s="31"/>
      <c r="G5797" s="31"/>
      <c r="H5797" s="31"/>
      <c r="I5797" s="56"/>
      <c r="J5797" s="56"/>
      <c r="K5797" s="82" t="str">
        <f t="shared" si="1747"/>
        <v>Invoice</v>
      </c>
      <c r="L5797" s="83" t="str">
        <f>"SI_109084"</f>
        <v>SI_109084</v>
      </c>
      <c r="M5797" s="84">
        <v>43599</v>
      </c>
      <c r="N5797" s="85">
        <f t="shared" si="1748"/>
        <v>213</v>
      </c>
      <c r="O5797" s="86">
        <f t="shared" si="1749"/>
        <v>2679.43</v>
      </c>
      <c r="P5797" s="86">
        <f t="shared" si="1750"/>
        <v>0</v>
      </c>
      <c r="Q5797" s="86">
        <f t="shared" si="1751"/>
        <v>0</v>
      </c>
      <c r="R5797" s="86">
        <f t="shared" si="1752"/>
        <v>0</v>
      </c>
      <c r="S5797" s="86">
        <f t="shared" si="1753"/>
        <v>0</v>
      </c>
      <c r="T5797" s="86">
        <f t="shared" si="1754"/>
        <v>2679.43</v>
      </c>
      <c r="U5797" s="87">
        <v>2679.43</v>
      </c>
    </row>
    <row r="5798" spans="1:21" s="30" customFormat="1" ht="24.6" hidden="1" outlineLevel="1" x14ac:dyDescent="0.55000000000000004">
      <c r="A5798" s="27" t="s">
        <v>327</v>
      </c>
      <c r="B5798" s="28"/>
      <c r="C5798" s="27"/>
      <c r="D5798" s="27" t="str">
        <f>"""NAV Direct"",""CRONUS JetCorp USA"",""21"",""1"",""295139"""</f>
        <v>"NAV Direct","CRONUS JetCorp USA","21","1","295139"</v>
      </c>
      <c r="E5798" s="31" t="str">
        <f t="shared" si="1746"/>
        <v>C100505</v>
      </c>
      <c r="F5798" s="31"/>
      <c r="G5798" s="31"/>
      <c r="H5798" s="31"/>
      <c r="I5798" s="56"/>
      <c r="J5798" s="56"/>
      <c r="K5798" s="82" t="str">
        <f t="shared" si="1747"/>
        <v>Invoice</v>
      </c>
      <c r="L5798" s="83" t="str">
        <f>"SI_109085"</f>
        <v>SI_109085</v>
      </c>
      <c r="M5798" s="84">
        <v>43604</v>
      </c>
      <c r="N5798" s="85">
        <f t="shared" si="1748"/>
        <v>208</v>
      </c>
      <c r="O5798" s="86">
        <f t="shared" si="1749"/>
        <v>2679.49</v>
      </c>
      <c r="P5798" s="86">
        <f t="shared" si="1750"/>
        <v>0</v>
      </c>
      <c r="Q5798" s="86">
        <f t="shared" si="1751"/>
        <v>0</v>
      </c>
      <c r="R5798" s="86">
        <f t="shared" si="1752"/>
        <v>0</v>
      </c>
      <c r="S5798" s="86">
        <f t="shared" si="1753"/>
        <v>0</v>
      </c>
      <c r="T5798" s="86">
        <f t="shared" si="1754"/>
        <v>2679.49</v>
      </c>
      <c r="U5798" s="87">
        <v>2679.49</v>
      </c>
    </row>
    <row r="5799" spans="1:21" s="30" customFormat="1" ht="24.6" hidden="1" outlineLevel="1" x14ac:dyDescent="0.55000000000000004">
      <c r="A5799" s="27" t="s">
        <v>327</v>
      </c>
      <c r="B5799" s="28"/>
      <c r="C5799" s="27"/>
      <c r="D5799" s="27" t="str">
        <f>"""NAV Direct"",""CRONUS JetCorp USA"",""21"",""1"",""295543"""</f>
        <v>"NAV Direct","CRONUS JetCorp USA","21","1","295543"</v>
      </c>
      <c r="E5799" s="31">
        <f t="shared" si="1746"/>
        <v>0</v>
      </c>
      <c r="F5799" s="31"/>
      <c r="G5799" s="31"/>
      <c r="H5799" s="31"/>
      <c r="I5799" s="56"/>
      <c r="J5799" s="56"/>
      <c r="K5799" s="82" t="str">
        <f t="shared" si="1747"/>
        <v>Invoice</v>
      </c>
      <c r="L5799" s="83" t="str">
        <f>"SI_109097"</f>
        <v>SI_109097</v>
      </c>
      <c r="M5799" s="84">
        <v>43617</v>
      </c>
      <c r="N5799" s="85">
        <f t="shared" si="1748"/>
        <v>195</v>
      </c>
      <c r="O5799" s="86">
        <f t="shared" si="1749"/>
        <v>2679.4700000000003</v>
      </c>
      <c r="P5799" s="86">
        <f t="shared" si="1750"/>
        <v>0</v>
      </c>
      <c r="Q5799" s="86">
        <f t="shared" si="1751"/>
        <v>0</v>
      </c>
      <c r="R5799" s="86">
        <f t="shared" si="1752"/>
        <v>0</v>
      </c>
      <c r="S5799" s="86">
        <f t="shared" si="1753"/>
        <v>0</v>
      </c>
      <c r="T5799" s="86">
        <f t="shared" si="1754"/>
        <v>2679.4700000000003</v>
      </c>
      <c r="U5799" s="87">
        <v>2679.4700000000003</v>
      </c>
    </row>
    <row r="5800" spans="1:21" s="30" customFormat="1" ht="24.6" hidden="1" outlineLevel="1" x14ac:dyDescent="0.55000000000000004">
      <c r="A5800" s="27" t="s">
        <v>327</v>
      </c>
      <c r="B5800" s="28"/>
      <c r="C5800" s="27"/>
      <c r="D5800" s="27" t="str">
        <f>"""NAV Direct"",""CRONUS JetCorp USA"",""21"",""1"",""296311"""</f>
        <v>"NAV Direct","CRONUS JetCorp USA","21","1","296311"</v>
      </c>
      <c r="E5800" s="31" t="str">
        <f t="shared" si="1746"/>
        <v>C100505</v>
      </c>
      <c r="F5800" s="31"/>
      <c r="G5800" s="31"/>
      <c r="H5800" s="31"/>
      <c r="I5800" s="56"/>
      <c r="J5800" s="56"/>
      <c r="K5800" s="82" t="str">
        <f t="shared" si="1747"/>
        <v>Invoice</v>
      </c>
      <c r="L5800" s="83" t="str">
        <f>"SI_109120"</f>
        <v>SI_109120</v>
      </c>
      <c r="M5800" s="84">
        <v>43680</v>
      </c>
      <c r="N5800" s="85">
        <f t="shared" si="1748"/>
        <v>132</v>
      </c>
      <c r="O5800" s="86">
        <f t="shared" si="1749"/>
        <v>2947.46</v>
      </c>
      <c r="P5800" s="86">
        <f t="shared" si="1750"/>
        <v>0</v>
      </c>
      <c r="Q5800" s="86">
        <f t="shared" si="1751"/>
        <v>0</v>
      </c>
      <c r="R5800" s="86">
        <f t="shared" si="1752"/>
        <v>0</v>
      </c>
      <c r="S5800" s="86">
        <f t="shared" si="1753"/>
        <v>0</v>
      </c>
      <c r="T5800" s="86">
        <f t="shared" si="1754"/>
        <v>2947.46</v>
      </c>
      <c r="U5800" s="87">
        <v>2947.46</v>
      </c>
    </row>
    <row r="5801" spans="1:21" s="30" customFormat="1" ht="24.6" hidden="1" outlineLevel="1" x14ac:dyDescent="0.55000000000000004">
      <c r="A5801" s="27" t="s">
        <v>327</v>
      </c>
      <c r="B5801" s="28"/>
      <c r="C5801" s="27"/>
      <c r="D5801" s="27" t="str">
        <f>"""NAV Direct"",""CRONUS JetCorp USA"",""21"",""1"",""297061"""</f>
        <v>"NAV Direct","CRONUS JetCorp USA","21","1","297061"</v>
      </c>
      <c r="E5801" s="31">
        <f t="shared" si="1746"/>
        <v>0</v>
      </c>
      <c r="F5801" s="31"/>
      <c r="G5801" s="31"/>
      <c r="H5801" s="31"/>
      <c r="I5801" s="56"/>
      <c r="J5801" s="56"/>
      <c r="K5801" s="82" t="str">
        <f t="shared" si="1747"/>
        <v>Invoice</v>
      </c>
      <c r="L5801" s="83" t="str">
        <f>"SI_109143"</f>
        <v>SI_109143</v>
      </c>
      <c r="M5801" s="84">
        <v>43703</v>
      </c>
      <c r="N5801" s="85">
        <f t="shared" si="1748"/>
        <v>109</v>
      </c>
      <c r="O5801" s="86">
        <f t="shared" si="1749"/>
        <v>2947.35</v>
      </c>
      <c r="P5801" s="86">
        <f t="shared" si="1750"/>
        <v>0</v>
      </c>
      <c r="Q5801" s="86">
        <f t="shared" si="1751"/>
        <v>0</v>
      </c>
      <c r="R5801" s="86">
        <f t="shared" si="1752"/>
        <v>0</v>
      </c>
      <c r="S5801" s="86">
        <f t="shared" si="1753"/>
        <v>0</v>
      </c>
      <c r="T5801" s="86">
        <f t="shared" si="1754"/>
        <v>2947.35</v>
      </c>
      <c r="U5801" s="87">
        <v>2947.35</v>
      </c>
    </row>
    <row r="5802" spans="1:21" s="30" customFormat="1" ht="24.6" hidden="1" outlineLevel="1" x14ac:dyDescent="0.55000000000000004">
      <c r="A5802" s="27" t="s">
        <v>327</v>
      </c>
      <c r="B5802" s="28"/>
      <c r="C5802" s="27"/>
      <c r="D5802" s="27" t="str">
        <f>"""NAV Direct"",""CRONUS JetCorp USA"",""21"",""1"",""297293"""</f>
        <v>"NAV Direct","CRONUS JetCorp USA","21","1","297293"</v>
      </c>
      <c r="E5802" s="31" t="str">
        <f t="shared" si="1746"/>
        <v>C100505</v>
      </c>
      <c r="F5802" s="31"/>
      <c r="G5802" s="31"/>
      <c r="H5802" s="31"/>
      <c r="I5802" s="56"/>
      <c r="J5802" s="56"/>
      <c r="K5802" s="82" t="str">
        <f t="shared" si="1747"/>
        <v>Invoice</v>
      </c>
      <c r="L5802" s="83" t="str">
        <f>"SI_109151"</f>
        <v>SI_109151</v>
      </c>
      <c r="M5802" s="84">
        <v>43710</v>
      </c>
      <c r="N5802" s="85">
        <f t="shared" si="1748"/>
        <v>102</v>
      </c>
      <c r="O5802" s="86">
        <f t="shared" si="1749"/>
        <v>2947.43</v>
      </c>
      <c r="P5802" s="86">
        <f t="shared" si="1750"/>
        <v>0</v>
      </c>
      <c r="Q5802" s="86">
        <f t="shared" si="1751"/>
        <v>0</v>
      </c>
      <c r="R5802" s="86">
        <f t="shared" si="1752"/>
        <v>0</v>
      </c>
      <c r="S5802" s="86">
        <f t="shared" si="1753"/>
        <v>0</v>
      </c>
      <c r="T5802" s="86">
        <f t="shared" si="1754"/>
        <v>2947.43</v>
      </c>
      <c r="U5802" s="87">
        <v>2947.43</v>
      </c>
    </row>
    <row r="5803" spans="1:21" s="30" customFormat="1" ht="24.6" hidden="1" outlineLevel="1" x14ac:dyDescent="0.55000000000000004">
      <c r="A5803" s="27" t="s">
        <v>327</v>
      </c>
      <c r="B5803" s="28"/>
      <c r="C5803" s="27"/>
      <c r="D5803" s="27" t="str">
        <f>"""NAV Direct"",""CRONUS JetCorp USA"",""21"",""1"",""298623"""</f>
        <v>"NAV Direct","CRONUS JetCorp USA","21","1","298623"</v>
      </c>
      <c r="E5803" s="31">
        <f t="shared" si="1746"/>
        <v>0</v>
      </c>
      <c r="F5803" s="31"/>
      <c r="G5803" s="31"/>
      <c r="H5803" s="31"/>
      <c r="I5803" s="56"/>
      <c r="J5803" s="56"/>
      <c r="K5803" s="82" t="str">
        <f t="shared" si="1747"/>
        <v>Invoice</v>
      </c>
      <c r="L5803" s="83" t="str">
        <f>"SI_109192"</f>
        <v>SI_109192</v>
      </c>
      <c r="M5803" s="84">
        <v>43786</v>
      </c>
      <c r="N5803" s="85">
        <f t="shared" si="1748"/>
        <v>26</v>
      </c>
      <c r="O5803" s="86">
        <f t="shared" si="1749"/>
        <v>3242.1000000000004</v>
      </c>
      <c r="P5803" s="86">
        <f t="shared" si="1750"/>
        <v>0</v>
      </c>
      <c r="Q5803" s="86">
        <f t="shared" si="1751"/>
        <v>3242.1000000000004</v>
      </c>
      <c r="R5803" s="86">
        <f t="shared" si="1752"/>
        <v>0</v>
      </c>
      <c r="S5803" s="86">
        <f t="shared" si="1753"/>
        <v>0</v>
      </c>
      <c r="T5803" s="86">
        <f t="shared" si="1754"/>
        <v>0</v>
      </c>
      <c r="U5803" s="87">
        <v>3242.1000000000004</v>
      </c>
    </row>
    <row r="5804" spans="1:21" s="30" customFormat="1" ht="24.6" hidden="1" outlineLevel="1" x14ac:dyDescent="0.55000000000000004">
      <c r="A5804" s="27" t="s">
        <v>327</v>
      </c>
      <c r="B5804" s="28"/>
      <c r="C5804" s="27"/>
      <c r="D5804" s="27" t="str">
        <f>"""NAV Direct"",""CRONUS JetCorp USA"",""21"",""1"",""300814"""</f>
        <v>"NAV Direct","CRONUS JetCorp USA","21","1","300814"</v>
      </c>
      <c r="E5804" s="31" t="str">
        <f t="shared" si="1746"/>
        <v>C100505</v>
      </c>
      <c r="F5804" s="31"/>
      <c r="G5804" s="31"/>
      <c r="H5804" s="31"/>
      <c r="I5804" s="56"/>
      <c r="J5804" s="56"/>
      <c r="K5804" s="82" t="str">
        <f t="shared" si="1747"/>
        <v>Invoice</v>
      </c>
      <c r="L5804" s="83" t="str">
        <f>"SI_109257"</f>
        <v>SI_109257</v>
      </c>
      <c r="M5804" s="84">
        <v>42064</v>
      </c>
      <c r="N5804" s="85">
        <f t="shared" si="1748"/>
        <v>1748</v>
      </c>
      <c r="O5804" s="86">
        <f t="shared" si="1749"/>
        <v>3566.3700000000003</v>
      </c>
      <c r="P5804" s="86">
        <f t="shared" si="1750"/>
        <v>0</v>
      </c>
      <c r="Q5804" s="86">
        <f t="shared" si="1751"/>
        <v>0</v>
      </c>
      <c r="R5804" s="86">
        <f t="shared" si="1752"/>
        <v>0</v>
      </c>
      <c r="S5804" s="86">
        <f t="shared" si="1753"/>
        <v>0</v>
      </c>
      <c r="T5804" s="86">
        <f t="shared" si="1754"/>
        <v>3566.3700000000003</v>
      </c>
      <c r="U5804" s="87">
        <v>3566.3700000000003</v>
      </c>
    </row>
    <row r="5805" spans="1:21" s="30" customFormat="1" ht="24.6" hidden="1" outlineLevel="1" x14ac:dyDescent="0.55000000000000004">
      <c r="A5805" s="27" t="s">
        <v>327</v>
      </c>
      <c r="B5805" s="28"/>
      <c r="C5805" s="27"/>
      <c r="D5805" s="27" t="str">
        <f>"""NAV Direct"",""CRONUS JetCorp USA"",""21"",""1"",""302038"""</f>
        <v>"NAV Direct","CRONUS JetCorp USA","21","1","302038"</v>
      </c>
      <c r="E5805" s="31">
        <f t="shared" si="1746"/>
        <v>0</v>
      </c>
      <c r="F5805" s="31"/>
      <c r="G5805" s="31"/>
      <c r="H5805" s="31"/>
      <c r="I5805" s="56"/>
      <c r="J5805" s="56"/>
      <c r="K5805" s="82" t="str">
        <f t="shared" si="1747"/>
        <v>Invoice</v>
      </c>
      <c r="L5805" s="83" t="str">
        <f>"SI_109291"</f>
        <v>SI_109291</v>
      </c>
      <c r="M5805" s="84">
        <v>42132</v>
      </c>
      <c r="N5805" s="85">
        <f t="shared" si="1748"/>
        <v>1680</v>
      </c>
      <c r="O5805" s="86">
        <f t="shared" si="1749"/>
        <v>3922.9900000000002</v>
      </c>
      <c r="P5805" s="86">
        <f t="shared" si="1750"/>
        <v>0</v>
      </c>
      <c r="Q5805" s="86">
        <f t="shared" si="1751"/>
        <v>0</v>
      </c>
      <c r="R5805" s="86">
        <f t="shared" si="1752"/>
        <v>0</v>
      </c>
      <c r="S5805" s="86">
        <f t="shared" si="1753"/>
        <v>0</v>
      </c>
      <c r="T5805" s="86">
        <f t="shared" si="1754"/>
        <v>3922.9900000000002</v>
      </c>
      <c r="U5805" s="87">
        <v>3922.9900000000002</v>
      </c>
    </row>
    <row r="5806" spans="1:21" s="30" customFormat="1" ht="24.6" hidden="1" outlineLevel="1" x14ac:dyDescent="0.55000000000000004">
      <c r="A5806" s="27" t="s">
        <v>327</v>
      </c>
      <c r="B5806" s="28"/>
      <c r="C5806" s="27"/>
      <c r="D5806" s="27" t="str">
        <f>"""NAV Direct"",""CRONUS JetCorp USA"",""21"",""1"",""302456"""</f>
        <v>"NAV Direct","CRONUS JetCorp USA","21","1","302456"</v>
      </c>
      <c r="E5806" s="31" t="str">
        <f t="shared" si="1746"/>
        <v>C100505</v>
      </c>
      <c r="F5806" s="31"/>
      <c r="G5806" s="31"/>
      <c r="H5806" s="31"/>
      <c r="I5806" s="56"/>
      <c r="J5806" s="56"/>
      <c r="K5806" s="82" t="str">
        <f t="shared" si="1747"/>
        <v>Invoice</v>
      </c>
      <c r="L5806" s="83" t="str">
        <f>"SI_109303"</f>
        <v>SI_109303</v>
      </c>
      <c r="M5806" s="84">
        <v>42153</v>
      </c>
      <c r="N5806" s="85">
        <f t="shared" si="1748"/>
        <v>1659</v>
      </c>
      <c r="O5806" s="86">
        <f t="shared" si="1749"/>
        <v>3923.0099999999998</v>
      </c>
      <c r="P5806" s="86">
        <f t="shared" si="1750"/>
        <v>0</v>
      </c>
      <c r="Q5806" s="86">
        <f t="shared" si="1751"/>
        <v>0</v>
      </c>
      <c r="R5806" s="86">
        <f t="shared" si="1752"/>
        <v>0</v>
      </c>
      <c r="S5806" s="86">
        <f t="shared" si="1753"/>
        <v>0</v>
      </c>
      <c r="T5806" s="86">
        <f t="shared" si="1754"/>
        <v>3923.0099999999998</v>
      </c>
      <c r="U5806" s="87">
        <v>3923.0099999999998</v>
      </c>
    </row>
    <row r="5807" spans="1:21" s="30" customFormat="1" ht="24.6" hidden="1" outlineLevel="1" x14ac:dyDescent="0.55000000000000004">
      <c r="A5807" s="27" t="s">
        <v>327</v>
      </c>
      <c r="B5807" s="28"/>
      <c r="C5807" s="27"/>
      <c r="D5807" s="27" t="str">
        <f>"""NAV Direct"",""CRONUS JetCorp USA"",""21"",""1"",""303041"""</f>
        <v>"NAV Direct","CRONUS JetCorp USA","21","1","303041"</v>
      </c>
      <c r="E5807" s="31">
        <f t="shared" si="1746"/>
        <v>0</v>
      </c>
      <c r="F5807" s="31"/>
      <c r="G5807" s="31"/>
      <c r="H5807" s="31"/>
      <c r="I5807" s="56"/>
      <c r="J5807" s="56"/>
      <c r="K5807" s="82" t="str">
        <f t="shared" si="1747"/>
        <v>Invoice</v>
      </c>
      <c r="L5807" s="83" t="str">
        <f>"SI_109321"</f>
        <v>SI_109321</v>
      </c>
      <c r="M5807" s="84">
        <v>42166</v>
      </c>
      <c r="N5807" s="85">
        <f t="shared" si="1748"/>
        <v>1646</v>
      </c>
      <c r="O5807" s="86">
        <f t="shared" si="1749"/>
        <v>3922.92</v>
      </c>
      <c r="P5807" s="86">
        <f t="shared" si="1750"/>
        <v>0</v>
      </c>
      <c r="Q5807" s="86">
        <f t="shared" si="1751"/>
        <v>0</v>
      </c>
      <c r="R5807" s="86">
        <f t="shared" si="1752"/>
        <v>0</v>
      </c>
      <c r="S5807" s="86">
        <f t="shared" si="1753"/>
        <v>0</v>
      </c>
      <c r="T5807" s="86">
        <f t="shared" si="1754"/>
        <v>3922.92</v>
      </c>
      <c r="U5807" s="87">
        <v>3922.92</v>
      </c>
    </row>
    <row r="5808" spans="1:21" s="30" customFormat="1" ht="24.6" hidden="1" outlineLevel="1" x14ac:dyDescent="0.55000000000000004">
      <c r="A5808" s="27" t="s">
        <v>327</v>
      </c>
      <c r="B5808" s="28"/>
      <c r="C5808" s="27"/>
      <c r="D5808" s="27" t="str">
        <f>"""NAV Direct"",""CRONUS JetCorp USA"",""21"",""1"",""303221"""</f>
        <v>"NAV Direct","CRONUS JetCorp USA","21","1","303221"</v>
      </c>
      <c r="E5808" s="31" t="str">
        <f t="shared" si="1746"/>
        <v>C100505</v>
      </c>
      <c r="F5808" s="31"/>
      <c r="G5808" s="31"/>
      <c r="H5808" s="31"/>
      <c r="I5808" s="56"/>
      <c r="J5808" s="56"/>
      <c r="K5808" s="82" t="str">
        <f t="shared" si="1747"/>
        <v>Invoice</v>
      </c>
      <c r="L5808" s="83" t="str">
        <f>"SI_109326"</f>
        <v>SI_109326</v>
      </c>
      <c r="M5808" s="84">
        <v>42165</v>
      </c>
      <c r="N5808" s="85">
        <f t="shared" si="1748"/>
        <v>1647</v>
      </c>
      <c r="O5808" s="86">
        <f t="shared" si="1749"/>
        <v>3922.6600000000003</v>
      </c>
      <c r="P5808" s="86">
        <f t="shared" si="1750"/>
        <v>0</v>
      </c>
      <c r="Q5808" s="86">
        <f t="shared" si="1751"/>
        <v>0</v>
      </c>
      <c r="R5808" s="86">
        <f t="shared" si="1752"/>
        <v>0</v>
      </c>
      <c r="S5808" s="86">
        <f t="shared" si="1753"/>
        <v>0</v>
      </c>
      <c r="T5808" s="86">
        <f t="shared" si="1754"/>
        <v>3922.6600000000003</v>
      </c>
      <c r="U5808" s="87">
        <v>3922.6600000000003</v>
      </c>
    </row>
    <row r="5809" spans="1:22" s="22" customFormat="1" ht="20.399999999999999" collapsed="1" x14ac:dyDescent="0.45">
      <c r="A5809" s="12" t="s">
        <v>327</v>
      </c>
      <c r="B5809" s="19"/>
      <c r="C5809" s="12"/>
      <c r="D5809" s="12"/>
      <c r="E5809" s="23"/>
      <c r="F5809" s="23"/>
      <c r="G5809" s="23"/>
      <c r="H5809" s="23"/>
      <c r="I5809" s="49"/>
      <c r="J5809" s="88"/>
      <c r="K5809" s="88"/>
      <c r="L5809" s="89"/>
      <c r="M5809" s="89"/>
      <c r="N5809" s="89"/>
      <c r="O5809" s="89"/>
      <c r="P5809" s="89"/>
      <c r="Q5809" s="90"/>
      <c r="R5809" s="90"/>
      <c r="S5809" s="91"/>
      <c r="T5809" s="92"/>
      <c r="U5809" s="92"/>
    </row>
    <row r="5810" spans="1:22" s="22" customFormat="1" ht="20.399999999999999" x14ac:dyDescent="0.45">
      <c r="A5810" s="12" t="s">
        <v>327</v>
      </c>
      <c r="B5810" s="19"/>
      <c r="C5810" s="12"/>
      <c r="D5810" s="12"/>
      <c r="E5810" s="23"/>
      <c r="F5810" s="23"/>
      <c r="G5810" s="23"/>
      <c r="H5810" s="23"/>
      <c r="I5810" s="49"/>
      <c r="J5810" s="88"/>
      <c r="K5810" s="88"/>
      <c r="L5810" s="89"/>
      <c r="M5810" s="89"/>
      <c r="N5810" s="89"/>
      <c r="O5810" s="89"/>
      <c r="P5810" s="89"/>
      <c r="Q5810" s="90"/>
      <c r="R5810" s="90"/>
      <c r="S5810" s="91"/>
      <c r="T5810" s="92"/>
      <c r="U5810" s="92"/>
    </row>
    <row r="5811" spans="1:22" s="26" customFormat="1" ht="24.6" x14ac:dyDescent="0.55000000000000004">
      <c r="A5811" s="27" t="s">
        <v>327</v>
      </c>
      <c r="B5811" s="28"/>
      <c r="C5811" s="27" t="str">
        <f>"""NAV Direct"",""CRONUS JetCorp USA"",""18"",""1"",""C100506"""</f>
        <v>"NAV Direct","CRONUS JetCorp USA","18","1","C100506"</v>
      </c>
      <c r="D5811" s="27"/>
      <c r="E5811" s="28" t="str">
        <f>H5811</f>
        <v>C100506</v>
      </c>
      <c r="F5811" s="28"/>
      <c r="G5811" s="28"/>
      <c r="H5811" s="28" t="str">
        <f>"C100506"</f>
        <v>C100506</v>
      </c>
      <c r="I5811" s="116" t="str">
        <f>"C100506  -  American Specialties"</f>
        <v>C100506  -  American Specialties</v>
      </c>
      <c r="J5811" s="117" t="str">
        <f>""</f>
        <v/>
      </c>
      <c r="K5811" s="118"/>
      <c r="L5811" s="119">
        <f>SUBTOTAL(3,L5812:L5844)</f>
        <v>29</v>
      </c>
      <c r="M5811" s="118"/>
      <c r="N5811" s="118"/>
      <c r="O5811" s="120">
        <f t="shared" ref="O5811:T5811" si="1755">SUBTOTAL(9,O5812:O5844)</f>
        <v>53212.000000000007</v>
      </c>
      <c r="P5811" s="120">
        <f t="shared" si="1755"/>
        <v>0</v>
      </c>
      <c r="Q5811" s="120">
        <f t="shared" si="1755"/>
        <v>0</v>
      </c>
      <c r="R5811" s="120">
        <f t="shared" si="1755"/>
        <v>1411.15</v>
      </c>
      <c r="S5811" s="120">
        <f t="shared" si="1755"/>
        <v>0</v>
      </c>
      <c r="T5811" s="120">
        <f t="shared" si="1755"/>
        <v>51800.85</v>
      </c>
      <c r="U5811" s="81"/>
    </row>
    <row r="5812" spans="1:22" s="26" customFormat="1" ht="24.6" x14ac:dyDescent="0.55000000000000004">
      <c r="A5812" s="27" t="s">
        <v>327</v>
      </c>
      <c r="B5812" s="28"/>
      <c r="C5812" s="27" t="str">
        <f>C5811</f>
        <v>"NAV Direct","CRONUS JetCorp USA","18","1","C100506"</v>
      </c>
      <c r="D5812" s="27"/>
      <c r="E5812" s="28" t="str">
        <f>E5811</f>
        <v>C100506</v>
      </c>
      <c r="F5812" s="28"/>
      <c r="G5812" s="28"/>
      <c r="H5812" s="28"/>
      <c r="I5812" s="121" t="str">
        <f>"Contact: Tyler Durden"</f>
        <v>Contact: Tyler Durden</v>
      </c>
      <c r="J5812" s="121"/>
      <c r="K5812" s="122"/>
      <c r="L5812" s="123"/>
      <c r="M5812" s="123"/>
      <c r="N5812" s="124"/>
      <c r="O5812" s="124"/>
      <c r="P5812" s="123"/>
      <c r="Q5812" s="125"/>
      <c r="R5812" s="126"/>
      <c r="S5812" s="126"/>
      <c r="T5812" s="125"/>
      <c r="U5812" s="81"/>
    </row>
    <row r="5813" spans="1:22" s="26" customFormat="1" ht="24.6" x14ac:dyDescent="0.55000000000000004">
      <c r="A5813" s="27" t="s">
        <v>327</v>
      </c>
      <c r="B5813" s="28"/>
      <c r="C5813" s="27" t="str">
        <f>C5812</f>
        <v>"NAV Direct","CRONUS JetCorp USA","18","1","C100506"</v>
      </c>
      <c r="D5813" s="27"/>
      <c r="E5813" s="28" t="str">
        <f>E5812</f>
        <v>C100506</v>
      </c>
      <c r="F5813" s="28"/>
      <c r="G5813" s="28"/>
      <c r="H5813" s="28"/>
      <c r="I5813" s="121" t="str">
        <f>"American Specialties@cronuscorp.net"</f>
        <v>American Specialties@cronuscorp.net</v>
      </c>
      <c r="J5813" s="121"/>
      <c r="K5813" s="122"/>
      <c r="L5813" s="124"/>
      <c r="M5813" s="124"/>
      <c r="N5813" s="124"/>
      <c r="O5813" s="124"/>
      <c r="P5813" s="123"/>
      <c r="Q5813" s="125"/>
      <c r="R5813" s="126"/>
      <c r="S5813" s="126"/>
      <c r="T5813" s="125"/>
      <c r="U5813" s="81"/>
    </row>
    <row r="5814" spans="1:22" ht="12.75" hidden="1" customHeight="1" outlineLevel="1" x14ac:dyDescent="0.45">
      <c r="A5814" s="12" t="s">
        <v>328</v>
      </c>
      <c r="B5814" s="19"/>
      <c r="E5814" s="19"/>
      <c r="F5814" s="19"/>
      <c r="G5814" s="19"/>
      <c r="H5814" s="19"/>
      <c r="I5814" s="61"/>
      <c r="J5814" s="61"/>
      <c r="K5814" s="61"/>
      <c r="L5814" s="61"/>
      <c r="M5814" s="61"/>
      <c r="N5814" s="61"/>
      <c r="O5814" s="61"/>
      <c r="P5814" s="61"/>
      <c r="Q5814" s="61"/>
      <c r="R5814" s="61"/>
      <c r="S5814" s="61"/>
      <c r="T5814" s="61"/>
      <c r="U5814" s="61"/>
      <c r="V5814" s="21"/>
    </row>
    <row r="5815" spans="1:22" s="30" customFormat="1" ht="24.6" hidden="1" outlineLevel="1" x14ac:dyDescent="0.55000000000000004">
      <c r="A5815" s="27" t="s">
        <v>327</v>
      </c>
      <c r="B5815" s="28"/>
      <c r="C5815" s="27"/>
      <c r="D5815" s="27" t="str">
        <f>"""NAV Direct"",""CRONUS JetCorp USA"",""21"",""1"",""281362"""</f>
        <v>"NAV Direct","CRONUS JetCorp USA","21","1","281362"</v>
      </c>
      <c r="E5815" s="31" t="str">
        <f t="shared" ref="E5815:E5843" si="1756">E5813</f>
        <v>C100506</v>
      </c>
      <c r="F5815" s="31"/>
      <c r="G5815" s="31"/>
      <c r="H5815" s="31"/>
      <c r="I5815" s="56"/>
      <c r="J5815" s="56"/>
      <c r="K5815" s="82" t="str">
        <f t="shared" ref="K5815:K5843" si="1757">"Invoice"</f>
        <v>Invoice</v>
      </c>
      <c r="L5815" s="83" t="str">
        <f>"SI_108607"</f>
        <v>SI_108607</v>
      </c>
      <c r="M5815" s="84">
        <v>43687</v>
      </c>
      <c r="N5815" s="85">
        <f t="shared" ref="N5815:N5843" si="1758">StartDate-$M5815+1</f>
        <v>125</v>
      </c>
      <c r="O5815" s="86">
        <f t="shared" ref="O5815:O5843" si="1759">SUM(P5815:T5815)</f>
        <v>588</v>
      </c>
      <c r="P5815" s="86">
        <f t="shared" ref="P5815:P5843" si="1760">IF($M5815&gt;=$P$18,U5815,0)</f>
        <v>0</v>
      </c>
      <c r="Q5815" s="86">
        <f t="shared" ref="Q5815:Q5843" si="1761">IF(AND($M5815&gt;=$Q$16,$M5815&lt;=$Q$18),U5815,0)</f>
        <v>0</v>
      </c>
      <c r="R5815" s="86">
        <f t="shared" ref="R5815:R5843" si="1762">IF(AND($M5815&gt;=$R$16,$M5815&lt;=$R$18),U5815,0)</f>
        <v>0</v>
      </c>
      <c r="S5815" s="86">
        <f t="shared" ref="S5815:S5843" si="1763">IF(AND($M5815&gt;=$S$16,$M5815&lt;=$S$18),U5815,0)</f>
        <v>0</v>
      </c>
      <c r="T5815" s="86">
        <f t="shared" ref="T5815:T5843" si="1764">IF($M5815&lt;=$T$18,U5815,0)</f>
        <v>588</v>
      </c>
      <c r="U5815" s="87">
        <v>588</v>
      </c>
    </row>
    <row r="5816" spans="1:22" s="30" customFormat="1" ht="24.6" hidden="1" outlineLevel="1" x14ac:dyDescent="0.55000000000000004">
      <c r="A5816" s="27" t="s">
        <v>327</v>
      </c>
      <c r="B5816" s="28"/>
      <c r="C5816" s="27"/>
      <c r="D5816" s="27" t="str">
        <f>"""NAV Direct"",""CRONUS JetCorp USA"",""21"",""1"",""281971"""</f>
        <v>"NAV Direct","CRONUS JetCorp USA","21","1","281971"</v>
      </c>
      <c r="E5816" s="31">
        <f t="shared" si="1756"/>
        <v>0</v>
      </c>
      <c r="F5816" s="31"/>
      <c r="G5816" s="31"/>
      <c r="H5816" s="31"/>
      <c r="I5816" s="56"/>
      <c r="J5816" s="56"/>
      <c r="K5816" s="82" t="str">
        <f t="shared" si="1757"/>
        <v>Invoice</v>
      </c>
      <c r="L5816" s="83" t="str">
        <f>"SI_108630"</f>
        <v>SI_108630</v>
      </c>
      <c r="M5816" s="84">
        <v>43772</v>
      </c>
      <c r="N5816" s="85">
        <f t="shared" si="1758"/>
        <v>40</v>
      </c>
      <c r="O5816" s="86">
        <f t="shared" si="1759"/>
        <v>705.56000000000006</v>
      </c>
      <c r="P5816" s="86">
        <f t="shared" si="1760"/>
        <v>0</v>
      </c>
      <c r="Q5816" s="86">
        <f t="shared" si="1761"/>
        <v>0</v>
      </c>
      <c r="R5816" s="86">
        <f t="shared" si="1762"/>
        <v>705.56000000000006</v>
      </c>
      <c r="S5816" s="86">
        <f t="shared" si="1763"/>
        <v>0</v>
      </c>
      <c r="T5816" s="86">
        <f t="shared" si="1764"/>
        <v>0</v>
      </c>
      <c r="U5816" s="87">
        <v>705.56000000000006</v>
      </c>
    </row>
    <row r="5817" spans="1:22" s="30" customFormat="1" ht="24.6" hidden="1" outlineLevel="1" x14ac:dyDescent="0.55000000000000004">
      <c r="A5817" s="27" t="s">
        <v>327</v>
      </c>
      <c r="B5817" s="28"/>
      <c r="C5817" s="27"/>
      <c r="D5817" s="27" t="str">
        <f>"""NAV Direct"",""CRONUS JetCorp USA"",""21"",""1"",""281996"""</f>
        <v>"NAV Direct","CRONUS JetCorp USA","21","1","281996"</v>
      </c>
      <c r="E5817" s="31" t="str">
        <f t="shared" si="1756"/>
        <v>C100506</v>
      </c>
      <c r="F5817" s="31"/>
      <c r="G5817" s="31"/>
      <c r="H5817" s="31"/>
      <c r="I5817" s="56"/>
      <c r="J5817" s="56"/>
      <c r="K5817" s="82" t="str">
        <f t="shared" si="1757"/>
        <v>Invoice</v>
      </c>
      <c r="L5817" s="83" t="str">
        <f>"SI_108631"</f>
        <v>SI_108631</v>
      </c>
      <c r="M5817" s="84">
        <v>43762</v>
      </c>
      <c r="N5817" s="85">
        <f t="shared" si="1758"/>
        <v>50</v>
      </c>
      <c r="O5817" s="86">
        <f t="shared" si="1759"/>
        <v>705.59</v>
      </c>
      <c r="P5817" s="86">
        <f t="shared" si="1760"/>
        <v>0</v>
      </c>
      <c r="Q5817" s="86">
        <f t="shared" si="1761"/>
        <v>0</v>
      </c>
      <c r="R5817" s="86">
        <f t="shared" si="1762"/>
        <v>705.59</v>
      </c>
      <c r="S5817" s="86">
        <f t="shared" si="1763"/>
        <v>0</v>
      </c>
      <c r="T5817" s="86">
        <f t="shared" si="1764"/>
        <v>0</v>
      </c>
      <c r="U5817" s="87">
        <v>705.59</v>
      </c>
    </row>
    <row r="5818" spans="1:22" s="30" customFormat="1" ht="24.6" hidden="1" outlineLevel="1" x14ac:dyDescent="0.55000000000000004">
      <c r="A5818" s="27" t="s">
        <v>327</v>
      </c>
      <c r="B5818" s="28"/>
      <c r="C5818" s="27"/>
      <c r="D5818" s="27" t="str">
        <f>"""NAV Direct"",""CRONUS JetCorp USA"",""21"",""1"",""282519"""</f>
        <v>"NAV Direct","CRONUS JetCorp USA","21","1","282519"</v>
      </c>
      <c r="E5818" s="31">
        <f t="shared" si="1756"/>
        <v>0</v>
      </c>
      <c r="F5818" s="31"/>
      <c r="G5818" s="31"/>
      <c r="H5818" s="31"/>
      <c r="I5818" s="56"/>
      <c r="J5818" s="56"/>
      <c r="K5818" s="82" t="str">
        <f t="shared" si="1757"/>
        <v>Invoice</v>
      </c>
      <c r="L5818" s="83" t="str">
        <f>"SI_108652"</f>
        <v>SI_108652</v>
      </c>
      <c r="M5818" s="84">
        <v>42049</v>
      </c>
      <c r="N5818" s="85">
        <f t="shared" si="1758"/>
        <v>1763</v>
      </c>
      <c r="O5818" s="86">
        <f t="shared" si="1759"/>
        <v>776.09999999999991</v>
      </c>
      <c r="P5818" s="86">
        <f t="shared" si="1760"/>
        <v>0</v>
      </c>
      <c r="Q5818" s="86">
        <f t="shared" si="1761"/>
        <v>0</v>
      </c>
      <c r="R5818" s="86">
        <f t="shared" si="1762"/>
        <v>0</v>
      </c>
      <c r="S5818" s="86">
        <f t="shared" si="1763"/>
        <v>0</v>
      </c>
      <c r="T5818" s="86">
        <f t="shared" si="1764"/>
        <v>776.09999999999991</v>
      </c>
      <c r="U5818" s="87">
        <v>776.09999999999991</v>
      </c>
    </row>
    <row r="5819" spans="1:22" s="30" customFormat="1" ht="24.6" hidden="1" outlineLevel="1" x14ac:dyDescent="0.55000000000000004">
      <c r="A5819" s="27" t="s">
        <v>327</v>
      </c>
      <c r="B5819" s="28"/>
      <c r="C5819" s="27"/>
      <c r="D5819" s="27" t="str">
        <f>"""NAV Direct"",""CRONUS JetCorp USA"",""21"",""1"",""282910"""</f>
        <v>"NAV Direct","CRONUS JetCorp USA","21","1","282910"</v>
      </c>
      <c r="E5819" s="31" t="str">
        <f t="shared" si="1756"/>
        <v>C100506</v>
      </c>
      <c r="F5819" s="31"/>
      <c r="G5819" s="31"/>
      <c r="H5819" s="31"/>
      <c r="I5819" s="56"/>
      <c r="J5819" s="56"/>
      <c r="K5819" s="82" t="str">
        <f t="shared" si="1757"/>
        <v>Invoice</v>
      </c>
      <c r="L5819" s="83" t="str">
        <f>"SI_108666"</f>
        <v>SI_108666</v>
      </c>
      <c r="M5819" s="84">
        <v>42137</v>
      </c>
      <c r="N5819" s="85">
        <f t="shared" si="1758"/>
        <v>1675</v>
      </c>
      <c r="O5819" s="86">
        <f t="shared" si="1759"/>
        <v>853.76</v>
      </c>
      <c r="P5819" s="86">
        <f t="shared" si="1760"/>
        <v>0</v>
      </c>
      <c r="Q5819" s="86">
        <f t="shared" si="1761"/>
        <v>0</v>
      </c>
      <c r="R5819" s="86">
        <f t="shared" si="1762"/>
        <v>0</v>
      </c>
      <c r="S5819" s="86">
        <f t="shared" si="1763"/>
        <v>0</v>
      </c>
      <c r="T5819" s="86">
        <f t="shared" si="1764"/>
        <v>853.76</v>
      </c>
      <c r="U5819" s="87">
        <v>853.76</v>
      </c>
    </row>
    <row r="5820" spans="1:22" s="30" customFormat="1" ht="24.6" hidden="1" outlineLevel="1" x14ac:dyDescent="0.55000000000000004">
      <c r="A5820" s="27" t="s">
        <v>327</v>
      </c>
      <c r="B5820" s="28"/>
      <c r="C5820" s="27"/>
      <c r="D5820" s="27" t="str">
        <f>"""NAV Direct"",""CRONUS JetCorp USA"",""21"",""1"",""282989"""</f>
        <v>"NAV Direct","CRONUS JetCorp USA","21","1","282989"</v>
      </c>
      <c r="E5820" s="31">
        <f t="shared" si="1756"/>
        <v>0</v>
      </c>
      <c r="F5820" s="31"/>
      <c r="G5820" s="31"/>
      <c r="H5820" s="31"/>
      <c r="I5820" s="56"/>
      <c r="J5820" s="56"/>
      <c r="K5820" s="82" t="str">
        <f t="shared" si="1757"/>
        <v>Invoice</v>
      </c>
      <c r="L5820" s="83" t="str">
        <f>"SI_108669"</f>
        <v>SI_108669</v>
      </c>
      <c r="M5820" s="84">
        <v>42162</v>
      </c>
      <c r="N5820" s="85">
        <f t="shared" si="1758"/>
        <v>1650</v>
      </c>
      <c r="O5820" s="86">
        <f t="shared" si="1759"/>
        <v>853.64</v>
      </c>
      <c r="P5820" s="86">
        <f t="shared" si="1760"/>
        <v>0</v>
      </c>
      <c r="Q5820" s="86">
        <f t="shared" si="1761"/>
        <v>0</v>
      </c>
      <c r="R5820" s="86">
        <f t="shared" si="1762"/>
        <v>0</v>
      </c>
      <c r="S5820" s="86">
        <f t="shared" si="1763"/>
        <v>0</v>
      </c>
      <c r="T5820" s="86">
        <f t="shared" si="1764"/>
        <v>853.64</v>
      </c>
      <c r="U5820" s="87">
        <v>853.64</v>
      </c>
    </row>
    <row r="5821" spans="1:22" s="30" customFormat="1" ht="24.6" hidden="1" outlineLevel="1" x14ac:dyDescent="0.55000000000000004">
      <c r="A5821" s="27" t="s">
        <v>327</v>
      </c>
      <c r="B5821" s="28"/>
      <c r="C5821" s="27"/>
      <c r="D5821" s="27" t="str">
        <f>"""NAV Direct"",""CRONUS JetCorp USA"",""21"",""1"",""283187"""</f>
        <v>"NAV Direct","CRONUS JetCorp USA","21","1","283187"</v>
      </c>
      <c r="E5821" s="31" t="str">
        <f t="shared" si="1756"/>
        <v>C100506</v>
      </c>
      <c r="F5821" s="31"/>
      <c r="G5821" s="31"/>
      <c r="H5821" s="31"/>
      <c r="I5821" s="56"/>
      <c r="J5821" s="56"/>
      <c r="K5821" s="82" t="str">
        <f t="shared" si="1757"/>
        <v>Invoice</v>
      </c>
      <c r="L5821" s="83" t="str">
        <f>"SI_108677"</f>
        <v>SI_108677</v>
      </c>
      <c r="M5821" s="84">
        <v>42192</v>
      </c>
      <c r="N5821" s="85">
        <f t="shared" si="1758"/>
        <v>1620</v>
      </c>
      <c r="O5821" s="86">
        <f t="shared" si="1759"/>
        <v>938.97</v>
      </c>
      <c r="P5821" s="86">
        <f t="shared" si="1760"/>
        <v>0</v>
      </c>
      <c r="Q5821" s="86">
        <f t="shared" si="1761"/>
        <v>0</v>
      </c>
      <c r="R5821" s="86">
        <f t="shared" si="1762"/>
        <v>0</v>
      </c>
      <c r="S5821" s="86">
        <f t="shared" si="1763"/>
        <v>0</v>
      </c>
      <c r="T5821" s="86">
        <f t="shared" si="1764"/>
        <v>938.97</v>
      </c>
      <c r="U5821" s="87">
        <v>938.97</v>
      </c>
    </row>
    <row r="5822" spans="1:22" s="30" customFormat="1" ht="24.6" hidden="1" outlineLevel="1" x14ac:dyDescent="0.55000000000000004">
      <c r="A5822" s="27" t="s">
        <v>327</v>
      </c>
      <c r="B5822" s="28"/>
      <c r="C5822" s="27"/>
      <c r="D5822" s="27" t="str">
        <f>"""NAV Direct"",""CRONUS JetCorp USA"",""21"",""1"",""283599"""</f>
        <v>"NAV Direct","CRONUS JetCorp USA","21","1","283599"</v>
      </c>
      <c r="E5822" s="31">
        <f t="shared" si="1756"/>
        <v>0</v>
      </c>
      <c r="F5822" s="31"/>
      <c r="G5822" s="31"/>
      <c r="H5822" s="31"/>
      <c r="I5822" s="56"/>
      <c r="J5822" s="56"/>
      <c r="K5822" s="82" t="str">
        <f t="shared" si="1757"/>
        <v>Invoice</v>
      </c>
      <c r="L5822" s="83" t="str">
        <f>"SI_108693"</f>
        <v>SI_108693</v>
      </c>
      <c r="M5822" s="84">
        <v>42247</v>
      </c>
      <c r="N5822" s="85">
        <f t="shared" si="1758"/>
        <v>1565</v>
      </c>
      <c r="O5822" s="86">
        <f t="shared" si="1759"/>
        <v>938.93999999999994</v>
      </c>
      <c r="P5822" s="86">
        <f t="shared" si="1760"/>
        <v>0</v>
      </c>
      <c r="Q5822" s="86">
        <f t="shared" si="1761"/>
        <v>0</v>
      </c>
      <c r="R5822" s="86">
        <f t="shared" si="1762"/>
        <v>0</v>
      </c>
      <c r="S5822" s="86">
        <f t="shared" si="1763"/>
        <v>0</v>
      </c>
      <c r="T5822" s="86">
        <f t="shared" si="1764"/>
        <v>938.93999999999994</v>
      </c>
      <c r="U5822" s="87">
        <v>938.93999999999994</v>
      </c>
    </row>
    <row r="5823" spans="1:22" s="30" customFormat="1" ht="24.6" hidden="1" outlineLevel="1" x14ac:dyDescent="0.55000000000000004">
      <c r="A5823" s="27" t="s">
        <v>327</v>
      </c>
      <c r="B5823" s="28"/>
      <c r="C5823" s="27"/>
      <c r="D5823" s="27" t="str">
        <f>"""NAV Direct"",""CRONUS JetCorp USA"",""21"",""1"",""285420"""</f>
        <v>"NAV Direct","CRONUS JetCorp USA","21","1","285420"</v>
      </c>
      <c r="E5823" s="31" t="str">
        <f t="shared" si="1756"/>
        <v>C100506</v>
      </c>
      <c r="F5823" s="31"/>
      <c r="G5823" s="31"/>
      <c r="H5823" s="31"/>
      <c r="I5823" s="56"/>
      <c r="J5823" s="56"/>
      <c r="K5823" s="82" t="str">
        <f t="shared" si="1757"/>
        <v>Invoice</v>
      </c>
      <c r="L5823" s="83" t="str">
        <f>"SI_108759"</f>
        <v>SI_108759</v>
      </c>
      <c r="M5823" s="84">
        <v>42874</v>
      </c>
      <c r="N5823" s="85">
        <f t="shared" si="1758"/>
        <v>938</v>
      </c>
      <c r="O5823" s="86">
        <f t="shared" si="1759"/>
        <v>1249.95</v>
      </c>
      <c r="P5823" s="86">
        <f t="shared" si="1760"/>
        <v>0</v>
      </c>
      <c r="Q5823" s="86">
        <f t="shared" si="1761"/>
        <v>0</v>
      </c>
      <c r="R5823" s="86">
        <f t="shared" si="1762"/>
        <v>0</v>
      </c>
      <c r="S5823" s="86">
        <f t="shared" si="1763"/>
        <v>0</v>
      </c>
      <c r="T5823" s="86">
        <f t="shared" si="1764"/>
        <v>1249.95</v>
      </c>
      <c r="U5823" s="87">
        <v>1249.95</v>
      </c>
    </row>
    <row r="5824" spans="1:22" s="30" customFormat="1" ht="24.6" hidden="1" outlineLevel="1" x14ac:dyDescent="0.55000000000000004">
      <c r="A5824" s="27" t="s">
        <v>327</v>
      </c>
      <c r="B5824" s="28"/>
      <c r="C5824" s="27"/>
      <c r="D5824" s="27" t="str">
        <f>"""NAV Direct"",""CRONUS JetCorp USA"",""21"",""1"",""286164"""</f>
        <v>"NAV Direct","CRONUS JetCorp USA","21","1","286164"</v>
      </c>
      <c r="E5824" s="31">
        <f t="shared" si="1756"/>
        <v>0</v>
      </c>
      <c r="F5824" s="31"/>
      <c r="G5824" s="31"/>
      <c r="H5824" s="31"/>
      <c r="I5824" s="56"/>
      <c r="J5824" s="56"/>
      <c r="K5824" s="82" t="str">
        <f t="shared" si="1757"/>
        <v>Invoice</v>
      </c>
      <c r="L5824" s="83" t="str">
        <f>"SI_108785"</f>
        <v>SI_108785</v>
      </c>
      <c r="M5824" s="84">
        <v>42959</v>
      </c>
      <c r="N5824" s="85">
        <f t="shared" si="1758"/>
        <v>853</v>
      </c>
      <c r="O5824" s="86">
        <f t="shared" si="1759"/>
        <v>1374.9</v>
      </c>
      <c r="P5824" s="86">
        <f t="shared" si="1760"/>
        <v>0</v>
      </c>
      <c r="Q5824" s="86">
        <f t="shared" si="1761"/>
        <v>0</v>
      </c>
      <c r="R5824" s="86">
        <f t="shared" si="1762"/>
        <v>0</v>
      </c>
      <c r="S5824" s="86">
        <f t="shared" si="1763"/>
        <v>0</v>
      </c>
      <c r="T5824" s="86">
        <f t="shared" si="1764"/>
        <v>1374.9</v>
      </c>
      <c r="U5824" s="87">
        <v>1374.9</v>
      </c>
    </row>
    <row r="5825" spans="1:21" s="30" customFormat="1" ht="24.6" hidden="1" outlineLevel="1" x14ac:dyDescent="0.55000000000000004">
      <c r="A5825" s="27" t="s">
        <v>327</v>
      </c>
      <c r="B5825" s="28"/>
      <c r="C5825" s="27"/>
      <c r="D5825" s="27" t="str">
        <f>"""NAV Direct"",""CRONUS JetCorp USA"",""21"",""1"",""286749"""</f>
        <v>"NAV Direct","CRONUS JetCorp USA","21","1","286749"</v>
      </c>
      <c r="E5825" s="31" t="str">
        <f t="shared" si="1756"/>
        <v>C100506</v>
      </c>
      <c r="F5825" s="31"/>
      <c r="G5825" s="31"/>
      <c r="H5825" s="31"/>
      <c r="I5825" s="56"/>
      <c r="J5825" s="56"/>
      <c r="K5825" s="82" t="str">
        <f t="shared" si="1757"/>
        <v>Invoice</v>
      </c>
      <c r="L5825" s="83" t="str">
        <f>"SI_108804"</f>
        <v>SI_108804</v>
      </c>
      <c r="M5825" s="84">
        <v>42963</v>
      </c>
      <c r="N5825" s="85">
        <f t="shared" si="1758"/>
        <v>849</v>
      </c>
      <c r="O5825" s="86">
        <f t="shared" si="1759"/>
        <v>1374.97</v>
      </c>
      <c r="P5825" s="86">
        <f t="shared" si="1760"/>
        <v>0</v>
      </c>
      <c r="Q5825" s="86">
        <f t="shared" si="1761"/>
        <v>0</v>
      </c>
      <c r="R5825" s="86">
        <f t="shared" si="1762"/>
        <v>0</v>
      </c>
      <c r="S5825" s="86">
        <f t="shared" si="1763"/>
        <v>0</v>
      </c>
      <c r="T5825" s="86">
        <f t="shared" si="1764"/>
        <v>1374.97</v>
      </c>
      <c r="U5825" s="87">
        <v>1374.97</v>
      </c>
    </row>
    <row r="5826" spans="1:21" s="30" customFormat="1" ht="24.6" hidden="1" outlineLevel="1" x14ac:dyDescent="0.55000000000000004">
      <c r="A5826" s="27" t="s">
        <v>327</v>
      </c>
      <c r="B5826" s="28"/>
      <c r="C5826" s="27"/>
      <c r="D5826" s="27" t="str">
        <f>"""NAV Direct"",""CRONUS JetCorp USA"",""21"",""1"",""286983"""</f>
        <v>"NAV Direct","CRONUS JetCorp USA","21","1","286983"</v>
      </c>
      <c r="E5826" s="31">
        <f t="shared" si="1756"/>
        <v>0</v>
      </c>
      <c r="F5826" s="31"/>
      <c r="G5826" s="31"/>
      <c r="H5826" s="31"/>
      <c r="I5826" s="56"/>
      <c r="J5826" s="56"/>
      <c r="K5826" s="82" t="str">
        <f t="shared" si="1757"/>
        <v>Invoice</v>
      </c>
      <c r="L5826" s="83" t="str">
        <f>"SI_108812"</f>
        <v>SI_108812</v>
      </c>
      <c r="M5826" s="84">
        <v>42971</v>
      </c>
      <c r="N5826" s="85">
        <f t="shared" si="1758"/>
        <v>841</v>
      </c>
      <c r="O5826" s="86">
        <f t="shared" si="1759"/>
        <v>1375</v>
      </c>
      <c r="P5826" s="86">
        <f t="shared" si="1760"/>
        <v>0</v>
      </c>
      <c r="Q5826" s="86">
        <f t="shared" si="1761"/>
        <v>0</v>
      </c>
      <c r="R5826" s="86">
        <f t="shared" si="1762"/>
        <v>0</v>
      </c>
      <c r="S5826" s="86">
        <f t="shared" si="1763"/>
        <v>0</v>
      </c>
      <c r="T5826" s="86">
        <f t="shared" si="1764"/>
        <v>1375</v>
      </c>
      <c r="U5826" s="87">
        <v>1375</v>
      </c>
    </row>
    <row r="5827" spans="1:21" s="30" customFormat="1" ht="24.6" hidden="1" outlineLevel="1" x14ac:dyDescent="0.55000000000000004">
      <c r="A5827" s="27" t="s">
        <v>327</v>
      </c>
      <c r="B5827" s="28"/>
      <c r="C5827" s="27"/>
      <c r="D5827" s="27" t="str">
        <f>"""NAV Direct"",""CRONUS JetCorp USA"",""21"",""1"",""287685"""</f>
        <v>"NAV Direct","CRONUS JetCorp USA","21","1","287685"</v>
      </c>
      <c r="E5827" s="31" t="str">
        <f t="shared" si="1756"/>
        <v>C100506</v>
      </c>
      <c r="F5827" s="31"/>
      <c r="G5827" s="31"/>
      <c r="H5827" s="31"/>
      <c r="I5827" s="56"/>
      <c r="J5827" s="56"/>
      <c r="K5827" s="82" t="str">
        <f t="shared" si="1757"/>
        <v>Invoice</v>
      </c>
      <c r="L5827" s="83" t="str">
        <f>"SI_108838"</f>
        <v>SI_108838</v>
      </c>
      <c r="M5827" s="84">
        <v>43066</v>
      </c>
      <c r="N5827" s="85">
        <f t="shared" si="1758"/>
        <v>746</v>
      </c>
      <c r="O5827" s="86">
        <f t="shared" si="1759"/>
        <v>1512.51</v>
      </c>
      <c r="P5827" s="86">
        <f t="shared" si="1760"/>
        <v>0</v>
      </c>
      <c r="Q5827" s="86">
        <f t="shared" si="1761"/>
        <v>0</v>
      </c>
      <c r="R5827" s="86">
        <f t="shared" si="1762"/>
        <v>0</v>
      </c>
      <c r="S5827" s="86">
        <f t="shared" si="1763"/>
        <v>0</v>
      </c>
      <c r="T5827" s="86">
        <f t="shared" si="1764"/>
        <v>1512.51</v>
      </c>
      <c r="U5827" s="87">
        <v>1512.51</v>
      </c>
    </row>
    <row r="5828" spans="1:21" s="30" customFormat="1" ht="24.6" hidden="1" outlineLevel="1" x14ac:dyDescent="0.55000000000000004">
      <c r="A5828" s="27" t="s">
        <v>327</v>
      </c>
      <c r="B5828" s="28"/>
      <c r="C5828" s="27"/>
      <c r="D5828" s="27" t="str">
        <f>"""NAV Direct"",""CRONUS JetCorp USA"",""21"",""1"",""287751"""</f>
        <v>"NAV Direct","CRONUS JetCorp USA","21","1","287751"</v>
      </c>
      <c r="E5828" s="31">
        <f t="shared" si="1756"/>
        <v>0</v>
      </c>
      <c r="F5828" s="31"/>
      <c r="G5828" s="31"/>
      <c r="H5828" s="31"/>
      <c r="I5828" s="56"/>
      <c r="J5828" s="56"/>
      <c r="K5828" s="82" t="str">
        <f t="shared" si="1757"/>
        <v>Invoice</v>
      </c>
      <c r="L5828" s="83" t="str">
        <f>"SI_108840"</f>
        <v>SI_108840</v>
      </c>
      <c r="M5828" s="84">
        <v>43065</v>
      </c>
      <c r="N5828" s="85">
        <f t="shared" si="1758"/>
        <v>747</v>
      </c>
      <c r="O5828" s="86">
        <f t="shared" si="1759"/>
        <v>1512.48</v>
      </c>
      <c r="P5828" s="86">
        <f t="shared" si="1760"/>
        <v>0</v>
      </c>
      <c r="Q5828" s="86">
        <f t="shared" si="1761"/>
        <v>0</v>
      </c>
      <c r="R5828" s="86">
        <f t="shared" si="1762"/>
        <v>0</v>
      </c>
      <c r="S5828" s="86">
        <f t="shared" si="1763"/>
        <v>0</v>
      </c>
      <c r="T5828" s="86">
        <f t="shared" si="1764"/>
        <v>1512.48</v>
      </c>
      <c r="U5828" s="87">
        <v>1512.48</v>
      </c>
    </row>
    <row r="5829" spans="1:21" s="30" customFormat="1" ht="24.6" hidden="1" outlineLevel="1" x14ac:dyDescent="0.55000000000000004">
      <c r="A5829" s="27" t="s">
        <v>327</v>
      </c>
      <c r="B5829" s="28"/>
      <c r="C5829" s="27"/>
      <c r="D5829" s="27" t="str">
        <f>"""NAV Direct"",""CRONUS JetCorp USA"",""21"",""1"",""289923"""</f>
        <v>"NAV Direct","CRONUS JetCorp USA","21","1","289923"</v>
      </c>
      <c r="E5829" s="31" t="str">
        <f t="shared" si="1756"/>
        <v>C100506</v>
      </c>
      <c r="F5829" s="31"/>
      <c r="G5829" s="31"/>
      <c r="H5829" s="31"/>
      <c r="I5829" s="56"/>
      <c r="J5829" s="56"/>
      <c r="K5829" s="82" t="str">
        <f t="shared" si="1757"/>
        <v>Invoice</v>
      </c>
      <c r="L5829" s="83" t="str">
        <f>"SI_108912"</f>
        <v>SI_108912</v>
      </c>
      <c r="M5829" s="84">
        <v>43240</v>
      </c>
      <c r="N5829" s="85">
        <f t="shared" si="1758"/>
        <v>572</v>
      </c>
      <c r="O5829" s="86">
        <f t="shared" si="1759"/>
        <v>1830.09</v>
      </c>
      <c r="P5829" s="86">
        <f t="shared" si="1760"/>
        <v>0</v>
      </c>
      <c r="Q5829" s="86">
        <f t="shared" si="1761"/>
        <v>0</v>
      </c>
      <c r="R5829" s="86">
        <f t="shared" si="1762"/>
        <v>0</v>
      </c>
      <c r="S5829" s="86">
        <f t="shared" si="1763"/>
        <v>0</v>
      </c>
      <c r="T5829" s="86">
        <f t="shared" si="1764"/>
        <v>1830.09</v>
      </c>
      <c r="U5829" s="87">
        <v>1830.09</v>
      </c>
    </row>
    <row r="5830" spans="1:21" s="30" customFormat="1" ht="24.6" hidden="1" outlineLevel="1" x14ac:dyDescent="0.55000000000000004">
      <c r="A5830" s="27" t="s">
        <v>327</v>
      </c>
      <c r="B5830" s="28"/>
      <c r="C5830" s="27"/>
      <c r="D5830" s="27" t="str">
        <f>"""NAV Direct"",""CRONUS JetCorp USA"",""21"",""1"",""290009"""</f>
        <v>"NAV Direct","CRONUS JetCorp USA","21","1","290009"</v>
      </c>
      <c r="E5830" s="31">
        <f t="shared" si="1756"/>
        <v>0</v>
      </c>
      <c r="F5830" s="31"/>
      <c r="G5830" s="31"/>
      <c r="H5830" s="31"/>
      <c r="I5830" s="56"/>
      <c r="J5830" s="56"/>
      <c r="K5830" s="82" t="str">
        <f t="shared" si="1757"/>
        <v>Invoice</v>
      </c>
      <c r="L5830" s="83" t="str">
        <f>"SI_108915"</f>
        <v>SI_108915</v>
      </c>
      <c r="M5830" s="84">
        <v>43258</v>
      </c>
      <c r="N5830" s="85">
        <f t="shared" si="1758"/>
        <v>554</v>
      </c>
      <c r="O5830" s="86">
        <f t="shared" si="1759"/>
        <v>1830.06</v>
      </c>
      <c r="P5830" s="86">
        <f t="shared" si="1760"/>
        <v>0</v>
      </c>
      <c r="Q5830" s="86">
        <f t="shared" si="1761"/>
        <v>0</v>
      </c>
      <c r="R5830" s="86">
        <f t="shared" si="1762"/>
        <v>0</v>
      </c>
      <c r="S5830" s="86">
        <f t="shared" si="1763"/>
        <v>0</v>
      </c>
      <c r="T5830" s="86">
        <f t="shared" si="1764"/>
        <v>1830.06</v>
      </c>
      <c r="U5830" s="87">
        <v>1830.06</v>
      </c>
    </row>
    <row r="5831" spans="1:21" s="30" customFormat="1" ht="24.6" hidden="1" outlineLevel="1" x14ac:dyDescent="0.55000000000000004">
      <c r="A5831" s="27" t="s">
        <v>327</v>
      </c>
      <c r="B5831" s="28"/>
      <c r="C5831" s="27"/>
      <c r="D5831" s="27" t="str">
        <f>"""NAV Direct"",""CRONUS JetCorp USA"",""21"",""1"",""290244"""</f>
        <v>"NAV Direct","CRONUS JetCorp USA","21","1","290244"</v>
      </c>
      <c r="E5831" s="31" t="str">
        <f t="shared" si="1756"/>
        <v>C100506</v>
      </c>
      <c r="F5831" s="31"/>
      <c r="G5831" s="31"/>
      <c r="H5831" s="31"/>
      <c r="I5831" s="56"/>
      <c r="J5831" s="56"/>
      <c r="K5831" s="82" t="str">
        <f t="shared" si="1757"/>
        <v>Invoice</v>
      </c>
      <c r="L5831" s="83" t="str">
        <f>"SI_108923"</f>
        <v>SI_108923</v>
      </c>
      <c r="M5831" s="84">
        <v>43244</v>
      </c>
      <c r="N5831" s="85">
        <f t="shared" si="1758"/>
        <v>568</v>
      </c>
      <c r="O5831" s="86">
        <f t="shared" si="1759"/>
        <v>1830.09</v>
      </c>
      <c r="P5831" s="86">
        <f t="shared" si="1760"/>
        <v>0</v>
      </c>
      <c r="Q5831" s="86">
        <f t="shared" si="1761"/>
        <v>0</v>
      </c>
      <c r="R5831" s="86">
        <f t="shared" si="1762"/>
        <v>0</v>
      </c>
      <c r="S5831" s="86">
        <f t="shared" si="1763"/>
        <v>0</v>
      </c>
      <c r="T5831" s="86">
        <f t="shared" si="1764"/>
        <v>1830.09</v>
      </c>
      <c r="U5831" s="87">
        <v>1830.09</v>
      </c>
    </row>
    <row r="5832" spans="1:21" s="30" customFormat="1" ht="24.6" hidden="1" outlineLevel="1" x14ac:dyDescent="0.55000000000000004">
      <c r="A5832" s="27" t="s">
        <v>327</v>
      </c>
      <c r="B5832" s="28"/>
      <c r="C5832" s="27"/>
      <c r="D5832" s="27" t="str">
        <f>"""NAV Direct"",""CRONUS JetCorp USA"",""21"",""1"",""291836"""</f>
        <v>"NAV Direct","CRONUS JetCorp USA","21","1","291836"</v>
      </c>
      <c r="E5832" s="31">
        <f t="shared" si="1756"/>
        <v>0</v>
      </c>
      <c r="F5832" s="31"/>
      <c r="G5832" s="31"/>
      <c r="H5832" s="31"/>
      <c r="I5832" s="56"/>
      <c r="J5832" s="56"/>
      <c r="K5832" s="82" t="str">
        <f t="shared" si="1757"/>
        <v>Invoice</v>
      </c>
      <c r="L5832" s="83" t="str">
        <f>"SI_108976"</f>
        <v>SI_108976</v>
      </c>
      <c r="M5832" s="84">
        <v>43421</v>
      </c>
      <c r="N5832" s="85">
        <f t="shared" si="1758"/>
        <v>391</v>
      </c>
      <c r="O5832" s="86">
        <f t="shared" si="1759"/>
        <v>2214.4499999999998</v>
      </c>
      <c r="P5832" s="86">
        <f t="shared" si="1760"/>
        <v>0</v>
      </c>
      <c r="Q5832" s="86">
        <f t="shared" si="1761"/>
        <v>0</v>
      </c>
      <c r="R5832" s="86">
        <f t="shared" si="1762"/>
        <v>0</v>
      </c>
      <c r="S5832" s="86">
        <f t="shared" si="1763"/>
        <v>0</v>
      </c>
      <c r="T5832" s="86">
        <f t="shared" si="1764"/>
        <v>2214.4499999999998</v>
      </c>
      <c r="U5832" s="87">
        <v>2214.4499999999998</v>
      </c>
    </row>
    <row r="5833" spans="1:21" s="30" customFormat="1" ht="24.6" hidden="1" outlineLevel="1" x14ac:dyDescent="0.55000000000000004">
      <c r="A5833" s="27" t="s">
        <v>327</v>
      </c>
      <c r="B5833" s="28"/>
      <c r="C5833" s="27"/>
      <c r="D5833" s="27" t="str">
        <f>"""NAV Direct"",""CRONUS JetCorp USA"",""21"",""1"",""292392"""</f>
        <v>"NAV Direct","CRONUS JetCorp USA","21","1","292392"</v>
      </c>
      <c r="E5833" s="31" t="str">
        <f t="shared" si="1756"/>
        <v>C100506</v>
      </c>
      <c r="F5833" s="31"/>
      <c r="G5833" s="31"/>
      <c r="H5833" s="31"/>
      <c r="I5833" s="56"/>
      <c r="J5833" s="56"/>
      <c r="K5833" s="82" t="str">
        <f t="shared" si="1757"/>
        <v>Invoice</v>
      </c>
      <c r="L5833" s="83" t="str">
        <f>"SI_108995"</f>
        <v>SI_108995</v>
      </c>
      <c r="M5833" s="84">
        <v>43421</v>
      </c>
      <c r="N5833" s="85">
        <f t="shared" si="1758"/>
        <v>391</v>
      </c>
      <c r="O5833" s="86">
        <f t="shared" si="1759"/>
        <v>2214.36</v>
      </c>
      <c r="P5833" s="86">
        <f t="shared" si="1760"/>
        <v>0</v>
      </c>
      <c r="Q5833" s="86">
        <f t="shared" si="1761"/>
        <v>0</v>
      </c>
      <c r="R5833" s="86">
        <f t="shared" si="1762"/>
        <v>0</v>
      </c>
      <c r="S5833" s="86">
        <f t="shared" si="1763"/>
        <v>0</v>
      </c>
      <c r="T5833" s="86">
        <f t="shared" si="1764"/>
        <v>2214.36</v>
      </c>
      <c r="U5833" s="87">
        <v>2214.36</v>
      </c>
    </row>
    <row r="5834" spans="1:21" s="30" customFormat="1" ht="24.6" hidden="1" outlineLevel="1" x14ac:dyDescent="0.55000000000000004">
      <c r="A5834" s="27" t="s">
        <v>327</v>
      </c>
      <c r="B5834" s="28"/>
      <c r="C5834" s="27"/>
      <c r="D5834" s="27" t="str">
        <f>"""NAV Direct"",""CRONUS JetCorp USA"",""21"",""1"",""292793"""</f>
        <v>"NAV Direct","CRONUS JetCorp USA","21","1","292793"</v>
      </c>
      <c r="E5834" s="31">
        <f t="shared" si="1756"/>
        <v>0</v>
      </c>
      <c r="F5834" s="31"/>
      <c r="G5834" s="31"/>
      <c r="H5834" s="31"/>
      <c r="I5834" s="56"/>
      <c r="J5834" s="56"/>
      <c r="K5834" s="82" t="str">
        <f t="shared" si="1757"/>
        <v>Invoice</v>
      </c>
      <c r="L5834" s="83" t="str">
        <f>"SI_109008"</f>
        <v>SI_109008</v>
      </c>
      <c r="M5834" s="84">
        <v>43426</v>
      </c>
      <c r="N5834" s="85">
        <f t="shared" si="1758"/>
        <v>386</v>
      </c>
      <c r="O5834" s="86">
        <f t="shared" si="1759"/>
        <v>2214.31</v>
      </c>
      <c r="P5834" s="86">
        <f t="shared" si="1760"/>
        <v>0</v>
      </c>
      <c r="Q5834" s="86">
        <f t="shared" si="1761"/>
        <v>0</v>
      </c>
      <c r="R5834" s="86">
        <f t="shared" si="1762"/>
        <v>0</v>
      </c>
      <c r="S5834" s="86">
        <f t="shared" si="1763"/>
        <v>0</v>
      </c>
      <c r="T5834" s="86">
        <f t="shared" si="1764"/>
        <v>2214.31</v>
      </c>
      <c r="U5834" s="87">
        <v>2214.31</v>
      </c>
    </row>
    <row r="5835" spans="1:21" s="30" customFormat="1" ht="24.6" hidden="1" outlineLevel="1" x14ac:dyDescent="0.55000000000000004">
      <c r="A5835" s="27" t="s">
        <v>327</v>
      </c>
      <c r="B5835" s="28"/>
      <c r="C5835" s="27"/>
      <c r="D5835" s="27" t="str">
        <f>"""NAV Direct"",""CRONUS JetCorp USA"",""21"",""1"",""293184"""</f>
        <v>"NAV Direct","CRONUS JetCorp USA","21","1","293184"</v>
      </c>
      <c r="E5835" s="31" t="str">
        <f t="shared" si="1756"/>
        <v>C100506</v>
      </c>
      <c r="F5835" s="31"/>
      <c r="G5835" s="31"/>
      <c r="H5835" s="31"/>
      <c r="I5835" s="56"/>
      <c r="J5835" s="56"/>
      <c r="K5835" s="82" t="str">
        <f t="shared" si="1757"/>
        <v>Invoice</v>
      </c>
      <c r="L5835" s="83" t="str">
        <f>"SI_109023"</f>
        <v>SI_109023</v>
      </c>
      <c r="M5835" s="84">
        <v>43513</v>
      </c>
      <c r="N5835" s="85">
        <f t="shared" si="1758"/>
        <v>299</v>
      </c>
      <c r="O5835" s="86">
        <f t="shared" si="1759"/>
        <v>2435.73</v>
      </c>
      <c r="P5835" s="86">
        <f t="shared" si="1760"/>
        <v>0</v>
      </c>
      <c r="Q5835" s="86">
        <f t="shared" si="1761"/>
        <v>0</v>
      </c>
      <c r="R5835" s="86">
        <f t="shared" si="1762"/>
        <v>0</v>
      </c>
      <c r="S5835" s="86">
        <f t="shared" si="1763"/>
        <v>0</v>
      </c>
      <c r="T5835" s="86">
        <f t="shared" si="1764"/>
        <v>2435.73</v>
      </c>
      <c r="U5835" s="87">
        <v>2435.73</v>
      </c>
    </row>
    <row r="5836" spans="1:21" s="30" customFormat="1" ht="24.6" hidden="1" outlineLevel="1" x14ac:dyDescent="0.55000000000000004">
      <c r="A5836" s="27" t="s">
        <v>327</v>
      </c>
      <c r="B5836" s="28"/>
      <c r="C5836" s="27"/>
      <c r="D5836" s="27" t="str">
        <f>"""NAV Direct"",""CRONUS JetCorp USA"",""21"",""1"",""293340"""</f>
        <v>"NAV Direct","CRONUS JetCorp USA","21","1","293340"</v>
      </c>
      <c r="E5836" s="31">
        <f t="shared" si="1756"/>
        <v>0</v>
      </c>
      <c r="F5836" s="31"/>
      <c r="G5836" s="31"/>
      <c r="H5836" s="31"/>
      <c r="I5836" s="56"/>
      <c r="J5836" s="56"/>
      <c r="K5836" s="82" t="str">
        <f t="shared" si="1757"/>
        <v>Invoice</v>
      </c>
      <c r="L5836" s="83" t="str">
        <f>"SI_109028"</f>
        <v>SI_109028</v>
      </c>
      <c r="M5836" s="84">
        <v>43521</v>
      </c>
      <c r="N5836" s="85">
        <f t="shared" si="1758"/>
        <v>291</v>
      </c>
      <c r="O5836" s="86">
        <f t="shared" si="1759"/>
        <v>2435.89</v>
      </c>
      <c r="P5836" s="86">
        <f t="shared" si="1760"/>
        <v>0</v>
      </c>
      <c r="Q5836" s="86">
        <f t="shared" si="1761"/>
        <v>0</v>
      </c>
      <c r="R5836" s="86">
        <f t="shared" si="1762"/>
        <v>0</v>
      </c>
      <c r="S5836" s="86">
        <f t="shared" si="1763"/>
        <v>0</v>
      </c>
      <c r="T5836" s="86">
        <f t="shared" si="1764"/>
        <v>2435.89</v>
      </c>
      <c r="U5836" s="87">
        <v>2435.89</v>
      </c>
    </row>
    <row r="5837" spans="1:21" s="30" customFormat="1" ht="24.6" hidden="1" outlineLevel="1" x14ac:dyDescent="0.55000000000000004">
      <c r="A5837" s="27" t="s">
        <v>327</v>
      </c>
      <c r="B5837" s="28"/>
      <c r="C5837" s="27"/>
      <c r="D5837" s="27" t="str">
        <f>"""NAV Direct"",""CRONUS JetCorp USA"",""21"",""1"",""294382"""</f>
        <v>"NAV Direct","CRONUS JetCorp USA","21","1","294382"</v>
      </c>
      <c r="E5837" s="31" t="str">
        <f t="shared" si="1756"/>
        <v>C100506</v>
      </c>
      <c r="F5837" s="31"/>
      <c r="G5837" s="31"/>
      <c r="H5837" s="31"/>
      <c r="I5837" s="56"/>
      <c r="J5837" s="56"/>
      <c r="K5837" s="82" t="str">
        <f t="shared" si="1757"/>
        <v>Invoice</v>
      </c>
      <c r="L5837" s="83" t="str">
        <f>"SI_109061"</f>
        <v>SI_109061</v>
      </c>
      <c r="M5837" s="84">
        <v>43537</v>
      </c>
      <c r="N5837" s="85">
        <f t="shared" si="1758"/>
        <v>275</v>
      </c>
      <c r="O5837" s="86">
        <f t="shared" si="1759"/>
        <v>2435.77</v>
      </c>
      <c r="P5837" s="86">
        <f t="shared" si="1760"/>
        <v>0</v>
      </c>
      <c r="Q5837" s="86">
        <f t="shared" si="1761"/>
        <v>0</v>
      </c>
      <c r="R5837" s="86">
        <f t="shared" si="1762"/>
        <v>0</v>
      </c>
      <c r="S5837" s="86">
        <f t="shared" si="1763"/>
        <v>0</v>
      </c>
      <c r="T5837" s="86">
        <f t="shared" si="1764"/>
        <v>2435.77</v>
      </c>
      <c r="U5837" s="87">
        <v>2435.77</v>
      </c>
    </row>
    <row r="5838" spans="1:21" s="30" customFormat="1" ht="24.6" hidden="1" outlineLevel="1" x14ac:dyDescent="0.55000000000000004">
      <c r="A5838" s="27" t="s">
        <v>327</v>
      </c>
      <c r="B5838" s="28"/>
      <c r="C5838" s="27"/>
      <c r="D5838" s="27" t="str">
        <f>"""NAV Direct"",""CRONUS JetCorp USA"",""21"",""1"",""296086"""</f>
        <v>"NAV Direct","CRONUS JetCorp USA","21","1","296086"</v>
      </c>
      <c r="E5838" s="31">
        <f t="shared" si="1756"/>
        <v>0</v>
      </c>
      <c r="F5838" s="31"/>
      <c r="G5838" s="31"/>
      <c r="H5838" s="31"/>
      <c r="I5838" s="56"/>
      <c r="J5838" s="56"/>
      <c r="K5838" s="82" t="str">
        <f t="shared" si="1757"/>
        <v>Invoice</v>
      </c>
      <c r="L5838" s="83" t="str">
        <f>"SI_109112"</f>
        <v>SI_109112</v>
      </c>
      <c r="M5838" s="84">
        <v>43643</v>
      </c>
      <c r="N5838" s="85">
        <f t="shared" si="1758"/>
        <v>169</v>
      </c>
      <c r="O5838" s="86">
        <f t="shared" si="1759"/>
        <v>2679.4100000000003</v>
      </c>
      <c r="P5838" s="86">
        <f t="shared" si="1760"/>
        <v>0</v>
      </c>
      <c r="Q5838" s="86">
        <f t="shared" si="1761"/>
        <v>0</v>
      </c>
      <c r="R5838" s="86">
        <f t="shared" si="1762"/>
        <v>0</v>
      </c>
      <c r="S5838" s="86">
        <f t="shared" si="1763"/>
        <v>0</v>
      </c>
      <c r="T5838" s="86">
        <f t="shared" si="1764"/>
        <v>2679.4100000000003</v>
      </c>
      <c r="U5838" s="87">
        <v>2679.4100000000003</v>
      </c>
    </row>
    <row r="5839" spans="1:21" s="30" customFormat="1" ht="24.6" hidden="1" outlineLevel="1" x14ac:dyDescent="0.55000000000000004">
      <c r="A5839" s="27" t="s">
        <v>327</v>
      </c>
      <c r="B5839" s="28"/>
      <c r="C5839" s="27"/>
      <c r="D5839" s="27" t="str">
        <f>"""NAV Direct"",""CRONUS JetCorp USA"",""21"",""1"",""296276"""</f>
        <v>"NAV Direct","CRONUS JetCorp USA","21","1","296276"</v>
      </c>
      <c r="E5839" s="31" t="str">
        <f t="shared" si="1756"/>
        <v>C100506</v>
      </c>
      <c r="F5839" s="31"/>
      <c r="G5839" s="31"/>
      <c r="H5839" s="31"/>
      <c r="I5839" s="56"/>
      <c r="J5839" s="56"/>
      <c r="K5839" s="82" t="str">
        <f t="shared" si="1757"/>
        <v>Invoice</v>
      </c>
      <c r="L5839" s="83" t="str">
        <f>"SI_109119"</f>
        <v>SI_109119</v>
      </c>
      <c r="M5839" s="84">
        <v>43691</v>
      </c>
      <c r="N5839" s="85">
        <f t="shared" si="1758"/>
        <v>121</v>
      </c>
      <c r="O5839" s="86">
        <f t="shared" si="1759"/>
        <v>2947.38</v>
      </c>
      <c r="P5839" s="86">
        <f t="shared" si="1760"/>
        <v>0</v>
      </c>
      <c r="Q5839" s="86">
        <f t="shared" si="1761"/>
        <v>0</v>
      </c>
      <c r="R5839" s="86">
        <f t="shared" si="1762"/>
        <v>0</v>
      </c>
      <c r="S5839" s="86">
        <f t="shared" si="1763"/>
        <v>0</v>
      </c>
      <c r="T5839" s="86">
        <f t="shared" si="1764"/>
        <v>2947.38</v>
      </c>
      <c r="U5839" s="87">
        <v>2947.38</v>
      </c>
    </row>
    <row r="5840" spans="1:21" s="30" customFormat="1" ht="24.6" hidden="1" outlineLevel="1" x14ac:dyDescent="0.55000000000000004">
      <c r="A5840" s="27" t="s">
        <v>327</v>
      </c>
      <c r="B5840" s="28"/>
      <c r="C5840" s="27"/>
      <c r="D5840" s="27" t="str">
        <f>"""NAV Direct"",""CRONUS JetCorp USA"",""21"",""1"",""296394"""</f>
        <v>"NAV Direct","CRONUS JetCorp USA","21","1","296394"</v>
      </c>
      <c r="E5840" s="31">
        <f t="shared" si="1756"/>
        <v>0</v>
      </c>
      <c r="F5840" s="31"/>
      <c r="G5840" s="31"/>
      <c r="H5840" s="31"/>
      <c r="I5840" s="56"/>
      <c r="J5840" s="56"/>
      <c r="K5840" s="82" t="str">
        <f t="shared" si="1757"/>
        <v>Invoice</v>
      </c>
      <c r="L5840" s="83" t="str">
        <f>"SI_109123"</f>
        <v>SI_109123</v>
      </c>
      <c r="M5840" s="84">
        <v>43674</v>
      </c>
      <c r="N5840" s="85">
        <f t="shared" si="1758"/>
        <v>138</v>
      </c>
      <c r="O5840" s="86">
        <f t="shared" si="1759"/>
        <v>2947.41</v>
      </c>
      <c r="P5840" s="86">
        <f t="shared" si="1760"/>
        <v>0</v>
      </c>
      <c r="Q5840" s="86">
        <f t="shared" si="1761"/>
        <v>0</v>
      </c>
      <c r="R5840" s="86">
        <f t="shared" si="1762"/>
        <v>0</v>
      </c>
      <c r="S5840" s="86">
        <f t="shared" si="1763"/>
        <v>0</v>
      </c>
      <c r="T5840" s="86">
        <f t="shared" si="1764"/>
        <v>2947.41</v>
      </c>
      <c r="U5840" s="87">
        <v>2947.41</v>
      </c>
    </row>
    <row r="5841" spans="1:22" s="30" customFormat="1" ht="24.6" hidden="1" outlineLevel="1" x14ac:dyDescent="0.55000000000000004">
      <c r="A5841" s="27" t="s">
        <v>327</v>
      </c>
      <c r="B5841" s="28"/>
      <c r="C5841" s="27"/>
      <c r="D5841" s="27" t="str">
        <f>"""NAV Direct"",""CRONUS JetCorp USA"",""21"",""1"",""297005"""</f>
        <v>"NAV Direct","CRONUS JetCorp USA","21","1","297005"</v>
      </c>
      <c r="E5841" s="31" t="str">
        <f t="shared" si="1756"/>
        <v>C100506</v>
      </c>
      <c r="F5841" s="31"/>
      <c r="G5841" s="31"/>
      <c r="H5841" s="31"/>
      <c r="I5841" s="56"/>
      <c r="J5841" s="56"/>
      <c r="K5841" s="82" t="str">
        <f t="shared" si="1757"/>
        <v>Invoice</v>
      </c>
      <c r="L5841" s="83" t="str">
        <f>"SI_109141"</f>
        <v>SI_109141</v>
      </c>
      <c r="M5841" s="84">
        <v>43707</v>
      </c>
      <c r="N5841" s="85">
        <f t="shared" si="1758"/>
        <v>105</v>
      </c>
      <c r="O5841" s="86">
        <f t="shared" si="1759"/>
        <v>2947.3999999999996</v>
      </c>
      <c r="P5841" s="86">
        <f t="shared" si="1760"/>
        <v>0</v>
      </c>
      <c r="Q5841" s="86">
        <f t="shared" si="1761"/>
        <v>0</v>
      </c>
      <c r="R5841" s="86">
        <f t="shared" si="1762"/>
        <v>0</v>
      </c>
      <c r="S5841" s="86">
        <f t="shared" si="1763"/>
        <v>0</v>
      </c>
      <c r="T5841" s="86">
        <f t="shared" si="1764"/>
        <v>2947.3999999999996</v>
      </c>
      <c r="U5841" s="87">
        <v>2947.3999999999996</v>
      </c>
    </row>
    <row r="5842" spans="1:22" s="30" customFormat="1" ht="24.6" hidden="1" outlineLevel="1" x14ac:dyDescent="0.55000000000000004">
      <c r="A5842" s="27" t="s">
        <v>327</v>
      </c>
      <c r="B5842" s="28"/>
      <c r="C5842" s="27"/>
      <c r="D5842" s="27" t="str">
        <f>"""NAV Direct"",""CRONUS JetCorp USA"",""21"",""1"",""301633"""</f>
        <v>"NAV Direct","CRONUS JetCorp USA","21","1","301633"</v>
      </c>
      <c r="E5842" s="31">
        <f t="shared" si="1756"/>
        <v>0</v>
      </c>
      <c r="F5842" s="31"/>
      <c r="G5842" s="31"/>
      <c r="H5842" s="31"/>
      <c r="I5842" s="56"/>
      <c r="J5842" s="56"/>
      <c r="K5842" s="82" t="str">
        <f t="shared" si="1757"/>
        <v>Invoice</v>
      </c>
      <c r="L5842" s="83" t="str">
        <f>"SI_109280"</f>
        <v>SI_109280</v>
      </c>
      <c r="M5842" s="84">
        <v>42089</v>
      </c>
      <c r="N5842" s="85">
        <f t="shared" si="1758"/>
        <v>1723</v>
      </c>
      <c r="O5842" s="86">
        <f t="shared" si="1759"/>
        <v>3566.42</v>
      </c>
      <c r="P5842" s="86">
        <f t="shared" si="1760"/>
        <v>0</v>
      </c>
      <c r="Q5842" s="86">
        <f t="shared" si="1761"/>
        <v>0</v>
      </c>
      <c r="R5842" s="86">
        <f t="shared" si="1762"/>
        <v>0</v>
      </c>
      <c r="S5842" s="86">
        <f t="shared" si="1763"/>
        <v>0</v>
      </c>
      <c r="T5842" s="86">
        <f t="shared" si="1764"/>
        <v>3566.42</v>
      </c>
      <c r="U5842" s="87">
        <v>3566.42</v>
      </c>
    </row>
    <row r="5843" spans="1:22" s="30" customFormat="1" ht="24.6" hidden="1" outlineLevel="1" x14ac:dyDescent="0.55000000000000004">
      <c r="A5843" s="27" t="s">
        <v>327</v>
      </c>
      <c r="B5843" s="28"/>
      <c r="C5843" s="27"/>
      <c r="D5843" s="27" t="str">
        <f>"""NAV Direct"",""CRONUS JetCorp USA"",""21"",""1"",""303585"""</f>
        <v>"NAV Direct","CRONUS JetCorp USA","21","1","303585"</v>
      </c>
      <c r="E5843" s="31" t="str">
        <f t="shared" si="1756"/>
        <v>C100506</v>
      </c>
      <c r="F5843" s="31"/>
      <c r="G5843" s="31"/>
      <c r="H5843" s="31"/>
      <c r="I5843" s="56"/>
      <c r="J5843" s="56"/>
      <c r="K5843" s="82" t="str">
        <f t="shared" si="1757"/>
        <v>Invoice</v>
      </c>
      <c r="L5843" s="83" t="str">
        <f>"SI_109337"</f>
        <v>SI_109337</v>
      </c>
      <c r="M5843" s="84">
        <v>42181</v>
      </c>
      <c r="N5843" s="85">
        <f t="shared" si="1758"/>
        <v>1631</v>
      </c>
      <c r="O5843" s="86">
        <f t="shared" si="1759"/>
        <v>3922.86</v>
      </c>
      <c r="P5843" s="86">
        <f t="shared" si="1760"/>
        <v>0</v>
      </c>
      <c r="Q5843" s="86">
        <f t="shared" si="1761"/>
        <v>0</v>
      </c>
      <c r="R5843" s="86">
        <f t="shared" si="1762"/>
        <v>0</v>
      </c>
      <c r="S5843" s="86">
        <f t="shared" si="1763"/>
        <v>0</v>
      </c>
      <c r="T5843" s="86">
        <f t="shared" si="1764"/>
        <v>3922.86</v>
      </c>
      <c r="U5843" s="87">
        <v>3922.86</v>
      </c>
    </row>
    <row r="5844" spans="1:22" s="22" customFormat="1" ht="20.399999999999999" collapsed="1" x14ac:dyDescent="0.45">
      <c r="A5844" s="12" t="s">
        <v>327</v>
      </c>
      <c r="B5844" s="19"/>
      <c r="C5844" s="12"/>
      <c r="D5844" s="12"/>
      <c r="E5844" s="23"/>
      <c r="F5844" s="23"/>
      <c r="G5844" s="23"/>
      <c r="H5844" s="23"/>
      <c r="I5844" s="49"/>
      <c r="J5844" s="88"/>
      <c r="K5844" s="88"/>
      <c r="L5844" s="89"/>
      <c r="M5844" s="89"/>
      <c r="N5844" s="89"/>
      <c r="O5844" s="89"/>
      <c r="P5844" s="89"/>
      <c r="Q5844" s="90"/>
      <c r="R5844" s="90"/>
      <c r="S5844" s="91"/>
      <c r="T5844" s="92"/>
      <c r="U5844" s="92"/>
    </row>
    <row r="5845" spans="1:22" s="22" customFormat="1" ht="20.399999999999999" x14ac:dyDescent="0.45">
      <c r="A5845" s="12" t="s">
        <v>327</v>
      </c>
      <c r="B5845" s="19"/>
      <c r="C5845" s="12"/>
      <c r="D5845" s="12"/>
      <c r="E5845" s="23"/>
      <c r="F5845" s="23"/>
      <c r="G5845" s="23"/>
      <c r="H5845" s="23"/>
      <c r="I5845" s="49"/>
      <c r="J5845" s="88"/>
      <c r="K5845" s="88"/>
      <c r="L5845" s="89"/>
      <c r="M5845" s="89"/>
      <c r="N5845" s="89"/>
      <c r="O5845" s="89"/>
      <c r="P5845" s="89"/>
      <c r="Q5845" s="90"/>
      <c r="R5845" s="90"/>
      <c r="S5845" s="91"/>
      <c r="T5845" s="92"/>
      <c r="U5845" s="92"/>
    </row>
    <row r="5846" spans="1:22" s="26" customFormat="1" ht="24.6" x14ac:dyDescent="0.55000000000000004">
      <c r="A5846" s="27" t="s">
        <v>327</v>
      </c>
      <c r="B5846" s="28"/>
      <c r="C5846" s="27" t="str">
        <f>"""NAV Direct"",""CRONUS JetCorp USA"",""18"",""1"",""C100507"""</f>
        <v>"NAV Direct","CRONUS JetCorp USA","18","1","C100507"</v>
      </c>
      <c r="D5846" s="27"/>
      <c r="E5846" s="28" t="str">
        <f>H5846</f>
        <v>C100507</v>
      </c>
      <c r="F5846" s="28"/>
      <c r="G5846" s="28"/>
      <c r="H5846" s="28" t="str">
        <f>"C100507"</f>
        <v>C100507</v>
      </c>
      <c r="I5846" s="116" t="str">
        <f>"C100507  -  TK Outfitters"</f>
        <v>C100507  -  TK Outfitters</v>
      </c>
      <c r="J5846" s="117" t="str">
        <f>""</f>
        <v/>
      </c>
      <c r="K5846" s="118"/>
      <c r="L5846" s="119">
        <f>SUBTOTAL(3,L5847:L5878)</f>
        <v>28</v>
      </c>
      <c r="M5846" s="118"/>
      <c r="N5846" s="118"/>
      <c r="O5846" s="120">
        <f t="shared" ref="O5846:T5846" si="1765">SUBTOTAL(9,O5847:O5878)</f>
        <v>68381.489999999991</v>
      </c>
      <c r="P5846" s="120">
        <f t="shared" si="1765"/>
        <v>0</v>
      </c>
      <c r="Q5846" s="120">
        <f t="shared" si="1765"/>
        <v>3242.1899999999996</v>
      </c>
      <c r="R5846" s="120">
        <f t="shared" si="1765"/>
        <v>9726.3799999999992</v>
      </c>
      <c r="S5846" s="120">
        <f t="shared" si="1765"/>
        <v>587.98</v>
      </c>
      <c r="T5846" s="120">
        <f t="shared" si="1765"/>
        <v>54824.939999999995</v>
      </c>
      <c r="U5846" s="81"/>
    </row>
    <row r="5847" spans="1:22" s="26" customFormat="1" ht="24.6" x14ac:dyDescent="0.55000000000000004">
      <c r="A5847" s="27" t="s">
        <v>327</v>
      </c>
      <c r="B5847" s="28"/>
      <c r="C5847" s="27" t="str">
        <f>C5846</f>
        <v>"NAV Direct","CRONUS JetCorp USA","18","1","C100507"</v>
      </c>
      <c r="D5847" s="27"/>
      <c r="E5847" s="28" t="str">
        <f>E5846</f>
        <v>C100507</v>
      </c>
      <c r="F5847" s="28"/>
      <c r="G5847" s="28"/>
      <c r="H5847" s="28"/>
      <c r="I5847" s="121" t="str">
        <f>"Contact: Dink Winkerson"</f>
        <v>Contact: Dink Winkerson</v>
      </c>
      <c r="J5847" s="121"/>
      <c r="K5847" s="122"/>
      <c r="L5847" s="123"/>
      <c r="M5847" s="123"/>
      <c r="N5847" s="124"/>
      <c r="O5847" s="124"/>
      <c r="P5847" s="123"/>
      <c r="Q5847" s="125"/>
      <c r="R5847" s="126"/>
      <c r="S5847" s="126"/>
      <c r="T5847" s="125"/>
      <c r="U5847" s="81"/>
    </row>
    <row r="5848" spans="1:22" s="26" customFormat="1" ht="24.6" x14ac:dyDescent="0.55000000000000004">
      <c r="A5848" s="27" t="s">
        <v>327</v>
      </c>
      <c r="B5848" s="28"/>
      <c r="C5848" s="27" t="str">
        <f>C5847</f>
        <v>"NAV Direct","CRONUS JetCorp USA","18","1","C100507"</v>
      </c>
      <c r="D5848" s="27"/>
      <c r="E5848" s="28" t="str">
        <f>E5847</f>
        <v>C100507</v>
      </c>
      <c r="F5848" s="28"/>
      <c r="G5848" s="28"/>
      <c r="H5848" s="28"/>
      <c r="I5848" s="121" t="str">
        <f>"TK Outfitters@cronuscorp.net"</f>
        <v>TK Outfitters@cronuscorp.net</v>
      </c>
      <c r="J5848" s="121"/>
      <c r="K5848" s="122"/>
      <c r="L5848" s="124"/>
      <c r="M5848" s="124"/>
      <c r="N5848" s="124"/>
      <c r="O5848" s="124"/>
      <c r="P5848" s="123"/>
      <c r="Q5848" s="125"/>
      <c r="R5848" s="126"/>
      <c r="S5848" s="126"/>
      <c r="T5848" s="125"/>
      <c r="U5848" s="81"/>
    </row>
    <row r="5849" spans="1:22" ht="12.75" hidden="1" customHeight="1" outlineLevel="1" x14ac:dyDescent="0.45">
      <c r="A5849" s="12" t="s">
        <v>328</v>
      </c>
      <c r="B5849" s="19"/>
      <c r="E5849" s="19"/>
      <c r="F5849" s="19"/>
      <c r="G5849" s="19"/>
      <c r="H5849" s="19"/>
      <c r="I5849" s="61"/>
      <c r="J5849" s="61"/>
      <c r="K5849" s="61"/>
      <c r="L5849" s="61"/>
      <c r="M5849" s="61"/>
      <c r="N5849" s="61"/>
      <c r="O5849" s="61"/>
      <c r="P5849" s="61"/>
      <c r="Q5849" s="61"/>
      <c r="R5849" s="61"/>
      <c r="S5849" s="61"/>
      <c r="T5849" s="61"/>
      <c r="U5849" s="61"/>
      <c r="V5849" s="21"/>
    </row>
    <row r="5850" spans="1:22" s="30" customFormat="1" ht="24.6" hidden="1" outlineLevel="1" x14ac:dyDescent="0.55000000000000004">
      <c r="A5850" s="27" t="s">
        <v>327</v>
      </c>
      <c r="B5850" s="28"/>
      <c r="C5850" s="27"/>
      <c r="D5850" s="27" t="str">
        <f>"""NAV Direct"",""CRONUS JetCorp USA"",""21"",""1"",""281514"""</f>
        <v>"NAV Direct","CRONUS JetCorp USA","21","1","281514"</v>
      </c>
      <c r="E5850" s="31" t="str">
        <f t="shared" ref="E5850:E5877" si="1766">E5848</f>
        <v>C100507</v>
      </c>
      <c r="F5850" s="31"/>
      <c r="G5850" s="31"/>
      <c r="H5850" s="31"/>
      <c r="I5850" s="56"/>
      <c r="J5850" s="56"/>
      <c r="K5850" s="82" t="str">
        <f t="shared" ref="K5850:K5877" si="1767">"Invoice"</f>
        <v>Invoice</v>
      </c>
      <c r="L5850" s="83" t="str">
        <f>"SI_108613"</f>
        <v>SI_108613</v>
      </c>
      <c r="M5850" s="84">
        <v>43726</v>
      </c>
      <c r="N5850" s="85">
        <f t="shared" ref="N5850:N5877" si="1768">StartDate-$M5850+1</f>
        <v>86</v>
      </c>
      <c r="O5850" s="86">
        <f t="shared" ref="O5850:O5877" si="1769">SUM(P5850:T5850)</f>
        <v>587.98</v>
      </c>
      <c r="P5850" s="86">
        <f t="shared" ref="P5850:P5877" si="1770">IF($M5850&gt;=$P$18,U5850,0)</f>
        <v>0</v>
      </c>
      <c r="Q5850" s="86">
        <f t="shared" ref="Q5850:Q5877" si="1771">IF(AND($M5850&gt;=$Q$16,$M5850&lt;=$Q$18),U5850,0)</f>
        <v>0</v>
      </c>
      <c r="R5850" s="86">
        <f t="shared" ref="R5850:R5877" si="1772">IF(AND($M5850&gt;=$R$16,$M5850&lt;=$R$18),U5850,0)</f>
        <v>0</v>
      </c>
      <c r="S5850" s="86">
        <f t="shared" ref="S5850:S5877" si="1773">IF(AND($M5850&gt;=$S$16,$M5850&lt;=$S$18),U5850,0)</f>
        <v>587.98</v>
      </c>
      <c r="T5850" s="86">
        <f t="shared" ref="T5850:T5877" si="1774">IF($M5850&lt;=$T$18,U5850,0)</f>
        <v>0</v>
      </c>
      <c r="U5850" s="87">
        <v>587.98</v>
      </c>
    </row>
    <row r="5851" spans="1:22" s="30" customFormat="1" ht="24.6" hidden="1" outlineLevel="1" x14ac:dyDescent="0.55000000000000004">
      <c r="A5851" s="27" t="s">
        <v>327</v>
      </c>
      <c r="B5851" s="28"/>
      <c r="C5851" s="27"/>
      <c r="D5851" s="27" t="str">
        <f>"""NAV Direct"",""CRONUS JetCorp USA"",""21"",""1"",""282070"""</f>
        <v>"NAV Direct","CRONUS JetCorp USA","21","1","282070"</v>
      </c>
      <c r="E5851" s="31">
        <f t="shared" si="1766"/>
        <v>0</v>
      </c>
      <c r="F5851" s="31"/>
      <c r="G5851" s="31"/>
      <c r="H5851" s="31"/>
      <c r="I5851" s="56"/>
      <c r="J5851" s="56"/>
      <c r="K5851" s="82" t="str">
        <f t="shared" si="1767"/>
        <v>Invoice</v>
      </c>
      <c r="L5851" s="83" t="str">
        <f>"SI_108634"</f>
        <v>SI_108634</v>
      </c>
      <c r="M5851" s="84">
        <v>42040</v>
      </c>
      <c r="N5851" s="85">
        <f t="shared" si="1768"/>
        <v>1772</v>
      </c>
      <c r="O5851" s="86">
        <f t="shared" si="1769"/>
        <v>776.13000000000011</v>
      </c>
      <c r="P5851" s="86">
        <f t="shared" si="1770"/>
        <v>0</v>
      </c>
      <c r="Q5851" s="86">
        <f t="shared" si="1771"/>
        <v>0</v>
      </c>
      <c r="R5851" s="86">
        <f t="shared" si="1772"/>
        <v>0</v>
      </c>
      <c r="S5851" s="86">
        <f t="shared" si="1773"/>
        <v>0</v>
      </c>
      <c r="T5851" s="86">
        <f t="shared" si="1774"/>
        <v>776.13000000000011</v>
      </c>
      <c r="U5851" s="87">
        <v>776.13000000000011</v>
      </c>
    </row>
    <row r="5852" spans="1:22" s="30" customFormat="1" ht="24.6" hidden="1" outlineLevel="1" x14ac:dyDescent="0.55000000000000004">
      <c r="A5852" s="27" t="s">
        <v>327</v>
      </c>
      <c r="B5852" s="28"/>
      <c r="C5852" s="27"/>
      <c r="D5852" s="27" t="str">
        <f>"""NAV Direct"",""CRONUS JetCorp USA"",""21"",""1"",""282471"""</f>
        <v>"NAV Direct","CRONUS JetCorp USA","21","1","282471"</v>
      </c>
      <c r="E5852" s="31" t="str">
        <f t="shared" si="1766"/>
        <v>C100507</v>
      </c>
      <c r="F5852" s="31"/>
      <c r="G5852" s="31"/>
      <c r="H5852" s="31"/>
      <c r="I5852" s="56"/>
      <c r="J5852" s="56"/>
      <c r="K5852" s="82" t="str">
        <f t="shared" si="1767"/>
        <v>Invoice</v>
      </c>
      <c r="L5852" s="83" t="str">
        <f>"SI_108650"</f>
        <v>SI_108650</v>
      </c>
      <c r="M5852" s="84">
        <v>42073</v>
      </c>
      <c r="N5852" s="85">
        <f t="shared" si="1768"/>
        <v>1739</v>
      </c>
      <c r="O5852" s="86">
        <f t="shared" si="1769"/>
        <v>776.12</v>
      </c>
      <c r="P5852" s="86">
        <f t="shared" si="1770"/>
        <v>0</v>
      </c>
      <c r="Q5852" s="86">
        <f t="shared" si="1771"/>
        <v>0</v>
      </c>
      <c r="R5852" s="86">
        <f t="shared" si="1772"/>
        <v>0</v>
      </c>
      <c r="S5852" s="86">
        <f t="shared" si="1773"/>
        <v>0</v>
      </c>
      <c r="T5852" s="86">
        <f t="shared" si="1774"/>
        <v>776.12</v>
      </c>
      <c r="U5852" s="87">
        <v>776.12</v>
      </c>
    </row>
    <row r="5853" spans="1:22" s="30" customFormat="1" ht="24.6" hidden="1" outlineLevel="1" x14ac:dyDescent="0.55000000000000004">
      <c r="A5853" s="27" t="s">
        <v>327</v>
      </c>
      <c r="B5853" s="28"/>
      <c r="C5853" s="27"/>
      <c r="D5853" s="27" t="str">
        <f>"""NAV Direct"",""CRONUS JetCorp USA"",""21"",""1"",""283433"""</f>
        <v>"NAV Direct","CRONUS JetCorp USA","21","1","283433"</v>
      </c>
      <c r="E5853" s="31">
        <f t="shared" si="1766"/>
        <v>0</v>
      </c>
      <c r="F5853" s="31"/>
      <c r="G5853" s="31"/>
      <c r="H5853" s="31"/>
      <c r="I5853" s="56"/>
      <c r="J5853" s="56"/>
      <c r="K5853" s="82" t="str">
        <f t="shared" si="1767"/>
        <v>Invoice</v>
      </c>
      <c r="L5853" s="83" t="str">
        <f>"SI_108687"</f>
        <v>SI_108687</v>
      </c>
      <c r="M5853" s="84">
        <v>42247</v>
      </c>
      <c r="N5853" s="85">
        <f t="shared" si="1768"/>
        <v>1565</v>
      </c>
      <c r="O5853" s="86">
        <f t="shared" si="1769"/>
        <v>938.95</v>
      </c>
      <c r="P5853" s="86">
        <f t="shared" si="1770"/>
        <v>0</v>
      </c>
      <c r="Q5853" s="86">
        <f t="shared" si="1771"/>
        <v>0</v>
      </c>
      <c r="R5853" s="86">
        <f t="shared" si="1772"/>
        <v>0</v>
      </c>
      <c r="S5853" s="86">
        <f t="shared" si="1773"/>
        <v>0</v>
      </c>
      <c r="T5853" s="86">
        <f t="shared" si="1774"/>
        <v>938.95</v>
      </c>
      <c r="U5853" s="87">
        <v>938.95</v>
      </c>
    </row>
    <row r="5854" spans="1:22" s="30" customFormat="1" ht="24.6" hidden="1" outlineLevel="1" x14ac:dyDescent="0.55000000000000004">
      <c r="A5854" s="27" t="s">
        <v>327</v>
      </c>
      <c r="B5854" s="28"/>
      <c r="C5854" s="27"/>
      <c r="D5854" s="27" t="str">
        <f>"""NAV Direct"",""CRONUS JetCorp USA"",""21"",""1"",""285551"""</f>
        <v>"NAV Direct","CRONUS JetCorp USA","21","1","285551"</v>
      </c>
      <c r="E5854" s="31" t="str">
        <f t="shared" si="1766"/>
        <v>C100507</v>
      </c>
      <c r="F5854" s="31"/>
      <c r="G5854" s="31"/>
      <c r="H5854" s="31"/>
      <c r="I5854" s="56"/>
      <c r="J5854" s="56"/>
      <c r="K5854" s="82" t="str">
        <f t="shared" si="1767"/>
        <v>Invoice</v>
      </c>
      <c r="L5854" s="83" t="str">
        <f>"SI_108764"</f>
        <v>SI_108764</v>
      </c>
      <c r="M5854" s="84">
        <v>42875</v>
      </c>
      <c r="N5854" s="85">
        <f t="shared" si="1768"/>
        <v>937</v>
      </c>
      <c r="O5854" s="86">
        <f t="shared" si="1769"/>
        <v>1249.99</v>
      </c>
      <c r="P5854" s="86">
        <f t="shared" si="1770"/>
        <v>0</v>
      </c>
      <c r="Q5854" s="86">
        <f t="shared" si="1771"/>
        <v>0</v>
      </c>
      <c r="R5854" s="86">
        <f t="shared" si="1772"/>
        <v>0</v>
      </c>
      <c r="S5854" s="86">
        <f t="shared" si="1773"/>
        <v>0</v>
      </c>
      <c r="T5854" s="86">
        <f t="shared" si="1774"/>
        <v>1249.99</v>
      </c>
      <c r="U5854" s="87">
        <v>1249.99</v>
      </c>
    </row>
    <row r="5855" spans="1:22" s="30" customFormat="1" ht="24.6" hidden="1" outlineLevel="1" x14ac:dyDescent="0.55000000000000004">
      <c r="A5855" s="27" t="s">
        <v>327</v>
      </c>
      <c r="B5855" s="28"/>
      <c r="C5855" s="27"/>
      <c r="D5855" s="27" t="str">
        <f>"""NAV Direct"",""CRONUS JetCorp USA"",""21"",""1"",""286195"""</f>
        <v>"NAV Direct","CRONUS JetCorp USA","21","1","286195"</v>
      </c>
      <c r="E5855" s="31">
        <f t="shared" si="1766"/>
        <v>0</v>
      </c>
      <c r="F5855" s="31"/>
      <c r="G5855" s="31"/>
      <c r="H5855" s="31"/>
      <c r="I5855" s="56"/>
      <c r="J5855" s="56"/>
      <c r="K5855" s="82" t="str">
        <f t="shared" si="1767"/>
        <v>Invoice</v>
      </c>
      <c r="L5855" s="83" t="str">
        <f>"SI_108786"</f>
        <v>SI_108786</v>
      </c>
      <c r="M5855" s="84">
        <v>42961</v>
      </c>
      <c r="N5855" s="85">
        <f t="shared" si="1768"/>
        <v>851</v>
      </c>
      <c r="O5855" s="86">
        <f t="shared" si="1769"/>
        <v>1374.93</v>
      </c>
      <c r="P5855" s="86">
        <f t="shared" si="1770"/>
        <v>0</v>
      </c>
      <c r="Q5855" s="86">
        <f t="shared" si="1771"/>
        <v>0</v>
      </c>
      <c r="R5855" s="86">
        <f t="shared" si="1772"/>
        <v>0</v>
      </c>
      <c r="S5855" s="86">
        <f t="shared" si="1773"/>
        <v>0</v>
      </c>
      <c r="T5855" s="86">
        <f t="shared" si="1774"/>
        <v>1374.93</v>
      </c>
      <c r="U5855" s="87">
        <v>1374.93</v>
      </c>
    </row>
    <row r="5856" spans="1:22" s="30" customFormat="1" ht="24.6" hidden="1" outlineLevel="1" x14ac:dyDescent="0.55000000000000004">
      <c r="A5856" s="27" t="s">
        <v>327</v>
      </c>
      <c r="B5856" s="28"/>
      <c r="C5856" s="27"/>
      <c r="D5856" s="27" t="str">
        <f>"""NAV Direct"",""CRONUS JetCorp USA"",""21"",""1"",""287089"""</f>
        <v>"NAV Direct","CRONUS JetCorp USA","21","1","287089"</v>
      </c>
      <c r="E5856" s="31" t="str">
        <f t="shared" si="1766"/>
        <v>C100507</v>
      </c>
      <c r="F5856" s="31"/>
      <c r="G5856" s="31"/>
      <c r="H5856" s="31"/>
      <c r="I5856" s="56"/>
      <c r="J5856" s="56"/>
      <c r="K5856" s="82" t="str">
        <f t="shared" si="1767"/>
        <v>Invoice</v>
      </c>
      <c r="L5856" s="83" t="str">
        <f>"SI_108816"</f>
        <v>SI_108816</v>
      </c>
      <c r="M5856" s="84">
        <v>42984</v>
      </c>
      <c r="N5856" s="85">
        <f t="shared" si="1768"/>
        <v>828</v>
      </c>
      <c r="O5856" s="86">
        <f t="shared" si="1769"/>
        <v>1374.94</v>
      </c>
      <c r="P5856" s="86">
        <f t="shared" si="1770"/>
        <v>0</v>
      </c>
      <c r="Q5856" s="86">
        <f t="shared" si="1771"/>
        <v>0</v>
      </c>
      <c r="R5856" s="86">
        <f t="shared" si="1772"/>
        <v>0</v>
      </c>
      <c r="S5856" s="86">
        <f t="shared" si="1773"/>
        <v>0</v>
      </c>
      <c r="T5856" s="86">
        <f t="shared" si="1774"/>
        <v>1374.94</v>
      </c>
      <c r="U5856" s="87">
        <v>1374.94</v>
      </c>
    </row>
    <row r="5857" spans="1:21" s="30" customFormat="1" ht="24.6" hidden="1" outlineLevel="1" x14ac:dyDescent="0.55000000000000004">
      <c r="A5857" s="27" t="s">
        <v>327</v>
      </c>
      <c r="B5857" s="28"/>
      <c r="C5857" s="27"/>
      <c r="D5857" s="27" t="str">
        <f>"""NAV Direct"",""CRONUS JetCorp USA"",""21"",""1"",""287512"""</f>
        <v>"NAV Direct","CRONUS JetCorp USA","21","1","287512"</v>
      </c>
      <c r="E5857" s="31">
        <f t="shared" si="1766"/>
        <v>0</v>
      </c>
      <c r="F5857" s="31"/>
      <c r="G5857" s="31"/>
      <c r="H5857" s="31"/>
      <c r="I5857" s="56"/>
      <c r="J5857" s="56"/>
      <c r="K5857" s="82" t="str">
        <f t="shared" si="1767"/>
        <v>Invoice</v>
      </c>
      <c r="L5857" s="83" t="str">
        <f>"SI_108831"</f>
        <v>SI_108831</v>
      </c>
      <c r="M5857" s="84">
        <v>43063</v>
      </c>
      <c r="N5857" s="85">
        <f t="shared" si="1768"/>
        <v>749</v>
      </c>
      <c r="O5857" s="86">
        <f t="shared" si="1769"/>
        <v>1512.4899999999998</v>
      </c>
      <c r="P5857" s="86">
        <f t="shared" si="1770"/>
        <v>0</v>
      </c>
      <c r="Q5857" s="86">
        <f t="shared" si="1771"/>
        <v>0</v>
      </c>
      <c r="R5857" s="86">
        <f t="shared" si="1772"/>
        <v>0</v>
      </c>
      <c r="S5857" s="86">
        <f t="shared" si="1773"/>
        <v>0</v>
      </c>
      <c r="T5857" s="86">
        <f t="shared" si="1774"/>
        <v>1512.4899999999998</v>
      </c>
      <c r="U5857" s="87">
        <v>1512.4899999999998</v>
      </c>
    </row>
    <row r="5858" spans="1:21" s="30" customFormat="1" ht="24.6" hidden="1" outlineLevel="1" x14ac:dyDescent="0.55000000000000004">
      <c r="A5858" s="27" t="s">
        <v>327</v>
      </c>
      <c r="B5858" s="28"/>
      <c r="C5858" s="27"/>
      <c r="D5858" s="27" t="str">
        <f>"""NAV Direct"",""CRONUS JetCorp USA"",""21"",""1"",""289317"""</f>
        <v>"NAV Direct","CRONUS JetCorp USA","21","1","289317"</v>
      </c>
      <c r="E5858" s="31" t="str">
        <f t="shared" si="1766"/>
        <v>C100507</v>
      </c>
      <c r="F5858" s="31"/>
      <c r="G5858" s="31"/>
      <c r="H5858" s="31"/>
      <c r="I5858" s="56"/>
      <c r="J5858" s="56"/>
      <c r="K5858" s="82" t="str">
        <f t="shared" si="1767"/>
        <v>Invoice</v>
      </c>
      <c r="L5858" s="83" t="str">
        <f>"SI_108893"</f>
        <v>SI_108893</v>
      </c>
      <c r="M5858" s="84">
        <v>43217</v>
      </c>
      <c r="N5858" s="85">
        <f t="shared" si="1768"/>
        <v>595</v>
      </c>
      <c r="O5858" s="86">
        <f t="shared" si="1769"/>
        <v>1830.1200000000001</v>
      </c>
      <c r="P5858" s="86">
        <f t="shared" si="1770"/>
        <v>0</v>
      </c>
      <c r="Q5858" s="86">
        <f t="shared" si="1771"/>
        <v>0</v>
      </c>
      <c r="R5858" s="86">
        <f t="shared" si="1772"/>
        <v>0</v>
      </c>
      <c r="S5858" s="86">
        <f t="shared" si="1773"/>
        <v>0</v>
      </c>
      <c r="T5858" s="86">
        <f t="shared" si="1774"/>
        <v>1830.1200000000001</v>
      </c>
      <c r="U5858" s="87">
        <v>1830.1200000000001</v>
      </c>
    </row>
    <row r="5859" spans="1:21" s="30" customFormat="1" ht="24.6" hidden="1" outlineLevel="1" x14ac:dyDescent="0.55000000000000004">
      <c r="A5859" s="27" t="s">
        <v>327</v>
      </c>
      <c r="B5859" s="28"/>
      <c r="C5859" s="27"/>
      <c r="D5859" s="27" t="str">
        <f>"""NAV Direct"",""CRONUS JetCorp USA"",""21"",""1"",""291858"""</f>
        <v>"NAV Direct","CRONUS JetCorp USA","21","1","291858"</v>
      </c>
      <c r="E5859" s="31">
        <f t="shared" si="1766"/>
        <v>0</v>
      </c>
      <c r="F5859" s="31"/>
      <c r="G5859" s="31"/>
      <c r="H5859" s="31"/>
      <c r="I5859" s="56"/>
      <c r="J5859" s="56"/>
      <c r="K5859" s="82" t="str">
        <f t="shared" si="1767"/>
        <v>Invoice</v>
      </c>
      <c r="L5859" s="83" t="str">
        <f>"SI_108977"</f>
        <v>SI_108977</v>
      </c>
      <c r="M5859" s="84">
        <v>43403</v>
      </c>
      <c r="N5859" s="85">
        <f t="shared" si="1768"/>
        <v>409</v>
      </c>
      <c r="O5859" s="86">
        <f t="shared" si="1769"/>
        <v>2214.4700000000003</v>
      </c>
      <c r="P5859" s="86">
        <f t="shared" si="1770"/>
        <v>0</v>
      </c>
      <c r="Q5859" s="86">
        <f t="shared" si="1771"/>
        <v>0</v>
      </c>
      <c r="R5859" s="86">
        <f t="shared" si="1772"/>
        <v>0</v>
      </c>
      <c r="S5859" s="86">
        <f t="shared" si="1773"/>
        <v>0</v>
      </c>
      <c r="T5859" s="86">
        <f t="shared" si="1774"/>
        <v>2214.4700000000003</v>
      </c>
      <c r="U5859" s="87">
        <v>2214.4700000000003</v>
      </c>
    </row>
    <row r="5860" spans="1:21" s="30" customFormat="1" ht="24.6" hidden="1" outlineLevel="1" x14ac:dyDescent="0.55000000000000004">
      <c r="A5860" s="27" t="s">
        <v>327</v>
      </c>
      <c r="B5860" s="28"/>
      <c r="C5860" s="27"/>
      <c r="D5860" s="27" t="str">
        <f>"""NAV Direct"",""CRONUS JetCorp USA"",""21"",""1"",""292270"""</f>
        <v>"NAV Direct","CRONUS JetCorp USA","21","1","292270"</v>
      </c>
      <c r="E5860" s="31" t="str">
        <f t="shared" si="1766"/>
        <v>C100507</v>
      </c>
      <c r="F5860" s="31"/>
      <c r="G5860" s="31"/>
      <c r="H5860" s="31"/>
      <c r="I5860" s="56"/>
      <c r="J5860" s="56"/>
      <c r="K5860" s="82" t="str">
        <f t="shared" si="1767"/>
        <v>Invoice</v>
      </c>
      <c r="L5860" s="83" t="str">
        <f>"SI_108991"</f>
        <v>SI_108991</v>
      </c>
      <c r="M5860" s="84">
        <v>43422</v>
      </c>
      <c r="N5860" s="85">
        <f t="shared" si="1768"/>
        <v>390</v>
      </c>
      <c r="O5860" s="86">
        <f t="shared" si="1769"/>
        <v>2214.4700000000003</v>
      </c>
      <c r="P5860" s="86">
        <f t="shared" si="1770"/>
        <v>0</v>
      </c>
      <c r="Q5860" s="86">
        <f t="shared" si="1771"/>
        <v>0</v>
      </c>
      <c r="R5860" s="86">
        <f t="shared" si="1772"/>
        <v>0</v>
      </c>
      <c r="S5860" s="86">
        <f t="shared" si="1773"/>
        <v>0</v>
      </c>
      <c r="T5860" s="86">
        <f t="shared" si="1774"/>
        <v>2214.4700000000003</v>
      </c>
      <c r="U5860" s="87">
        <v>2214.4700000000003</v>
      </c>
    </row>
    <row r="5861" spans="1:21" s="30" customFormat="1" ht="24.6" hidden="1" outlineLevel="1" x14ac:dyDescent="0.55000000000000004">
      <c r="A5861" s="27" t="s">
        <v>327</v>
      </c>
      <c r="B5861" s="28"/>
      <c r="C5861" s="27"/>
      <c r="D5861" s="27" t="str">
        <f>"""NAV Direct"",""CRONUS JetCorp USA"",""21"",""1"",""292725"""</f>
        <v>"NAV Direct","CRONUS JetCorp USA","21","1","292725"</v>
      </c>
      <c r="E5861" s="31">
        <f t="shared" si="1766"/>
        <v>0</v>
      </c>
      <c r="F5861" s="31"/>
      <c r="G5861" s="31"/>
      <c r="H5861" s="31"/>
      <c r="I5861" s="56"/>
      <c r="J5861" s="56"/>
      <c r="K5861" s="82" t="str">
        <f t="shared" si="1767"/>
        <v>Invoice</v>
      </c>
      <c r="L5861" s="83" t="str">
        <f>"SI_109006"</f>
        <v>SI_109006</v>
      </c>
      <c r="M5861" s="84">
        <v>43446</v>
      </c>
      <c r="N5861" s="85">
        <f t="shared" si="1768"/>
        <v>366</v>
      </c>
      <c r="O5861" s="86">
        <f t="shared" si="1769"/>
        <v>2214.4100000000003</v>
      </c>
      <c r="P5861" s="86">
        <f t="shared" si="1770"/>
        <v>0</v>
      </c>
      <c r="Q5861" s="86">
        <f t="shared" si="1771"/>
        <v>0</v>
      </c>
      <c r="R5861" s="86">
        <f t="shared" si="1772"/>
        <v>0</v>
      </c>
      <c r="S5861" s="86">
        <f t="shared" si="1773"/>
        <v>0</v>
      </c>
      <c r="T5861" s="86">
        <f t="shared" si="1774"/>
        <v>2214.4100000000003</v>
      </c>
      <c r="U5861" s="87">
        <v>2214.4100000000003</v>
      </c>
    </row>
    <row r="5862" spans="1:21" s="30" customFormat="1" ht="24.6" hidden="1" outlineLevel="1" x14ac:dyDescent="0.55000000000000004">
      <c r="A5862" s="27" t="s">
        <v>327</v>
      </c>
      <c r="B5862" s="28"/>
      <c r="C5862" s="27"/>
      <c r="D5862" s="27" t="str">
        <f>"""NAV Direct"",""CRONUS JetCorp USA"",""21"",""1"",""292980"""</f>
        <v>"NAV Direct","CRONUS JetCorp USA","21","1","292980"</v>
      </c>
      <c r="E5862" s="31" t="str">
        <f t="shared" si="1766"/>
        <v>C100507</v>
      </c>
      <c r="F5862" s="31"/>
      <c r="G5862" s="31"/>
      <c r="H5862" s="31"/>
      <c r="I5862" s="56"/>
      <c r="J5862" s="56"/>
      <c r="K5862" s="82" t="str">
        <f t="shared" si="1767"/>
        <v>Invoice</v>
      </c>
      <c r="L5862" s="83" t="str">
        <f>"SI_109015"</f>
        <v>SI_109015</v>
      </c>
      <c r="M5862" s="84">
        <v>43439</v>
      </c>
      <c r="N5862" s="85">
        <f t="shared" si="1768"/>
        <v>373</v>
      </c>
      <c r="O5862" s="86">
        <f t="shared" si="1769"/>
        <v>2214.44</v>
      </c>
      <c r="P5862" s="86">
        <f t="shared" si="1770"/>
        <v>0</v>
      </c>
      <c r="Q5862" s="86">
        <f t="shared" si="1771"/>
        <v>0</v>
      </c>
      <c r="R5862" s="86">
        <f t="shared" si="1772"/>
        <v>0</v>
      </c>
      <c r="S5862" s="86">
        <f t="shared" si="1773"/>
        <v>0</v>
      </c>
      <c r="T5862" s="86">
        <f t="shared" si="1774"/>
        <v>2214.44</v>
      </c>
      <c r="U5862" s="87">
        <v>2214.44</v>
      </c>
    </row>
    <row r="5863" spans="1:21" s="30" customFormat="1" ht="24.6" hidden="1" outlineLevel="1" x14ac:dyDescent="0.55000000000000004">
      <c r="A5863" s="27" t="s">
        <v>327</v>
      </c>
      <c r="B5863" s="28"/>
      <c r="C5863" s="27"/>
      <c r="D5863" s="27" t="str">
        <f>"""NAV Direct"",""CRONUS JetCorp USA"",""21"",""1"",""295586"""</f>
        <v>"NAV Direct","CRONUS JetCorp USA","21","1","295586"</v>
      </c>
      <c r="E5863" s="31">
        <f t="shared" si="1766"/>
        <v>0</v>
      </c>
      <c r="F5863" s="31"/>
      <c r="G5863" s="31"/>
      <c r="H5863" s="31"/>
      <c r="I5863" s="56"/>
      <c r="J5863" s="56"/>
      <c r="K5863" s="82" t="str">
        <f t="shared" si="1767"/>
        <v>Invoice</v>
      </c>
      <c r="L5863" s="83" t="str">
        <f>"SI_109098"</f>
        <v>SI_109098</v>
      </c>
      <c r="M5863" s="84">
        <v>43608</v>
      </c>
      <c r="N5863" s="85">
        <f t="shared" si="1768"/>
        <v>204</v>
      </c>
      <c r="O5863" s="86">
        <f t="shared" si="1769"/>
        <v>2679.42</v>
      </c>
      <c r="P5863" s="86">
        <f t="shared" si="1770"/>
        <v>0</v>
      </c>
      <c r="Q5863" s="86">
        <f t="shared" si="1771"/>
        <v>0</v>
      </c>
      <c r="R5863" s="86">
        <f t="shared" si="1772"/>
        <v>0</v>
      </c>
      <c r="S5863" s="86">
        <f t="shared" si="1773"/>
        <v>0</v>
      </c>
      <c r="T5863" s="86">
        <f t="shared" si="1774"/>
        <v>2679.42</v>
      </c>
      <c r="U5863" s="87">
        <v>2679.42</v>
      </c>
    </row>
    <row r="5864" spans="1:21" s="30" customFormat="1" ht="24.6" hidden="1" outlineLevel="1" x14ac:dyDescent="0.55000000000000004">
      <c r="A5864" s="27" t="s">
        <v>327</v>
      </c>
      <c r="B5864" s="28"/>
      <c r="C5864" s="27"/>
      <c r="D5864" s="27" t="str">
        <f>"""NAV Direct"",""CRONUS JetCorp USA"",""21"",""1"",""295672"""</f>
        <v>"NAV Direct","CRONUS JetCorp USA","21","1","295672"</v>
      </c>
      <c r="E5864" s="31" t="str">
        <f t="shared" si="1766"/>
        <v>C100507</v>
      </c>
      <c r="F5864" s="31"/>
      <c r="G5864" s="31"/>
      <c r="H5864" s="31"/>
      <c r="I5864" s="56"/>
      <c r="J5864" s="56"/>
      <c r="K5864" s="82" t="str">
        <f t="shared" si="1767"/>
        <v>Invoice</v>
      </c>
      <c r="L5864" s="83" t="str">
        <f>"SI_109100"</f>
        <v>SI_109100</v>
      </c>
      <c r="M5864" s="84">
        <v>43617</v>
      </c>
      <c r="N5864" s="85">
        <f t="shared" si="1768"/>
        <v>195</v>
      </c>
      <c r="O5864" s="86">
        <f t="shared" si="1769"/>
        <v>2679.49</v>
      </c>
      <c r="P5864" s="86">
        <f t="shared" si="1770"/>
        <v>0</v>
      </c>
      <c r="Q5864" s="86">
        <f t="shared" si="1771"/>
        <v>0</v>
      </c>
      <c r="R5864" s="86">
        <f t="shared" si="1772"/>
        <v>0</v>
      </c>
      <c r="S5864" s="86">
        <f t="shared" si="1773"/>
        <v>0</v>
      </c>
      <c r="T5864" s="86">
        <f t="shared" si="1774"/>
        <v>2679.49</v>
      </c>
      <c r="U5864" s="87">
        <v>2679.49</v>
      </c>
    </row>
    <row r="5865" spans="1:21" s="30" customFormat="1" ht="24.6" hidden="1" outlineLevel="1" x14ac:dyDescent="0.55000000000000004">
      <c r="A5865" s="27" t="s">
        <v>327</v>
      </c>
      <c r="B5865" s="28"/>
      <c r="C5865" s="27"/>
      <c r="D5865" s="27" t="str">
        <f>"""NAV Direct"",""CRONUS JetCorp USA"",""21"",""1"",""295972"""</f>
        <v>"NAV Direct","CRONUS JetCorp USA","21","1","295972"</v>
      </c>
      <c r="E5865" s="31">
        <f t="shared" si="1766"/>
        <v>0</v>
      </c>
      <c r="F5865" s="31"/>
      <c r="G5865" s="31"/>
      <c r="H5865" s="31"/>
      <c r="I5865" s="56"/>
      <c r="J5865" s="56"/>
      <c r="K5865" s="82" t="str">
        <f t="shared" si="1767"/>
        <v>Invoice</v>
      </c>
      <c r="L5865" s="83" t="str">
        <f>"SI_109108"</f>
        <v>SI_109108</v>
      </c>
      <c r="M5865" s="84">
        <v>43641</v>
      </c>
      <c r="N5865" s="85">
        <f t="shared" si="1768"/>
        <v>171</v>
      </c>
      <c r="O5865" s="86">
        <f t="shared" si="1769"/>
        <v>2679.4700000000003</v>
      </c>
      <c r="P5865" s="86">
        <f t="shared" si="1770"/>
        <v>0</v>
      </c>
      <c r="Q5865" s="86">
        <f t="shared" si="1771"/>
        <v>0</v>
      </c>
      <c r="R5865" s="86">
        <f t="shared" si="1772"/>
        <v>0</v>
      </c>
      <c r="S5865" s="86">
        <f t="shared" si="1773"/>
        <v>0</v>
      </c>
      <c r="T5865" s="86">
        <f t="shared" si="1774"/>
        <v>2679.4700000000003</v>
      </c>
      <c r="U5865" s="87">
        <v>2679.4700000000003</v>
      </c>
    </row>
    <row r="5866" spans="1:21" s="30" customFormat="1" ht="24.6" hidden="1" outlineLevel="1" x14ac:dyDescent="0.55000000000000004">
      <c r="A5866" s="27" t="s">
        <v>327</v>
      </c>
      <c r="B5866" s="28"/>
      <c r="C5866" s="27"/>
      <c r="D5866" s="27" t="str">
        <f>"""NAV Direct"",""CRONUS JetCorp USA"",""21"",""1"",""296131"""</f>
        <v>"NAV Direct","CRONUS JetCorp USA","21","1","296131"</v>
      </c>
      <c r="E5866" s="31" t="str">
        <f t="shared" si="1766"/>
        <v>C100507</v>
      </c>
      <c r="F5866" s="31"/>
      <c r="G5866" s="31"/>
      <c r="H5866" s="31"/>
      <c r="I5866" s="56"/>
      <c r="J5866" s="56"/>
      <c r="K5866" s="82" t="str">
        <f t="shared" si="1767"/>
        <v>Invoice</v>
      </c>
      <c r="L5866" s="83" t="str">
        <f>"SI_109114"</f>
        <v>SI_109114</v>
      </c>
      <c r="M5866" s="84">
        <v>43638</v>
      </c>
      <c r="N5866" s="85">
        <f t="shared" si="1768"/>
        <v>174</v>
      </c>
      <c r="O5866" s="86">
        <f t="shared" si="1769"/>
        <v>2679.3</v>
      </c>
      <c r="P5866" s="86">
        <f t="shared" si="1770"/>
        <v>0</v>
      </c>
      <c r="Q5866" s="86">
        <f t="shared" si="1771"/>
        <v>0</v>
      </c>
      <c r="R5866" s="86">
        <f t="shared" si="1772"/>
        <v>0</v>
      </c>
      <c r="S5866" s="86">
        <f t="shared" si="1773"/>
        <v>0</v>
      </c>
      <c r="T5866" s="86">
        <f t="shared" si="1774"/>
        <v>2679.3</v>
      </c>
      <c r="U5866" s="87">
        <v>2679.3</v>
      </c>
    </row>
    <row r="5867" spans="1:21" s="30" customFormat="1" ht="24.6" hidden="1" outlineLevel="1" x14ac:dyDescent="0.55000000000000004">
      <c r="A5867" s="27" t="s">
        <v>327</v>
      </c>
      <c r="B5867" s="28"/>
      <c r="C5867" s="27"/>
      <c r="D5867" s="27" t="str">
        <f>"""NAV Direct"",""CRONUS JetCorp USA"",""21"",""1"",""296830"""</f>
        <v>"NAV Direct","CRONUS JetCorp USA","21","1","296830"</v>
      </c>
      <c r="E5867" s="31">
        <f t="shared" si="1766"/>
        <v>0</v>
      </c>
      <c r="F5867" s="31"/>
      <c r="G5867" s="31"/>
      <c r="H5867" s="31"/>
      <c r="I5867" s="56"/>
      <c r="J5867" s="56"/>
      <c r="K5867" s="82" t="str">
        <f t="shared" si="1767"/>
        <v>Invoice</v>
      </c>
      <c r="L5867" s="83" t="str">
        <f>"SI_109136"</f>
        <v>SI_109136</v>
      </c>
      <c r="M5867" s="84">
        <v>43700</v>
      </c>
      <c r="N5867" s="85">
        <f t="shared" si="1768"/>
        <v>112</v>
      </c>
      <c r="O5867" s="86">
        <f t="shared" si="1769"/>
        <v>2947.44</v>
      </c>
      <c r="P5867" s="86">
        <f t="shared" si="1770"/>
        <v>0</v>
      </c>
      <c r="Q5867" s="86">
        <f t="shared" si="1771"/>
        <v>0</v>
      </c>
      <c r="R5867" s="86">
        <f t="shared" si="1772"/>
        <v>0</v>
      </c>
      <c r="S5867" s="86">
        <f t="shared" si="1773"/>
        <v>0</v>
      </c>
      <c r="T5867" s="86">
        <f t="shared" si="1774"/>
        <v>2947.44</v>
      </c>
      <c r="U5867" s="87">
        <v>2947.44</v>
      </c>
    </row>
    <row r="5868" spans="1:21" s="30" customFormat="1" ht="24.6" hidden="1" outlineLevel="1" x14ac:dyDescent="0.55000000000000004">
      <c r="A5868" s="27" t="s">
        <v>327</v>
      </c>
      <c r="B5868" s="28"/>
      <c r="C5868" s="27"/>
      <c r="D5868" s="27" t="str">
        <f>"""NAV Direct"",""CRONUS JetCorp USA"",""21"",""1"",""298131"""</f>
        <v>"NAV Direct","CRONUS JetCorp USA","21","1","298131"</v>
      </c>
      <c r="E5868" s="31" t="str">
        <f t="shared" si="1766"/>
        <v>C100507</v>
      </c>
      <c r="F5868" s="31"/>
      <c r="G5868" s="31"/>
      <c r="H5868" s="31"/>
      <c r="I5868" s="56"/>
      <c r="J5868" s="56"/>
      <c r="K5868" s="82" t="str">
        <f t="shared" si="1767"/>
        <v>Invoice</v>
      </c>
      <c r="L5868" s="83" t="str">
        <f>"SI_109176"</f>
        <v>SI_109176</v>
      </c>
      <c r="M5868" s="84">
        <v>43775</v>
      </c>
      <c r="N5868" s="85">
        <f t="shared" si="1768"/>
        <v>37</v>
      </c>
      <c r="O5868" s="86">
        <f t="shared" si="1769"/>
        <v>3242.09</v>
      </c>
      <c r="P5868" s="86">
        <f t="shared" si="1770"/>
        <v>0</v>
      </c>
      <c r="Q5868" s="86">
        <f t="shared" si="1771"/>
        <v>0</v>
      </c>
      <c r="R5868" s="86">
        <f t="shared" si="1772"/>
        <v>3242.09</v>
      </c>
      <c r="S5868" s="86">
        <f t="shared" si="1773"/>
        <v>0</v>
      </c>
      <c r="T5868" s="86">
        <f t="shared" si="1774"/>
        <v>0</v>
      </c>
      <c r="U5868" s="87">
        <v>3242.09</v>
      </c>
    </row>
    <row r="5869" spans="1:21" s="30" customFormat="1" ht="24.6" hidden="1" outlineLevel="1" x14ac:dyDescent="0.55000000000000004">
      <c r="A5869" s="27" t="s">
        <v>327</v>
      </c>
      <c r="B5869" s="28"/>
      <c r="C5869" s="27"/>
      <c r="D5869" s="27" t="str">
        <f>"""NAV Direct"",""CRONUS JetCorp USA"",""21"",""1"",""298185"""</f>
        <v>"NAV Direct","CRONUS JetCorp USA","21","1","298185"</v>
      </c>
      <c r="E5869" s="31">
        <f t="shared" si="1766"/>
        <v>0</v>
      </c>
      <c r="F5869" s="31"/>
      <c r="G5869" s="31"/>
      <c r="H5869" s="31"/>
      <c r="I5869" s="56"/>
      <c r="J5869" s="56"/>
      <c r="K5869" s="82" t="str">
        <f t="shared" si="1767"/>
        <v>Invoice</v>
      </c>
      <c r="L5869" s="83" t="str">
        <f>"SI_109178"</f>
        <v>SI_109178</v>
      </c>
      <c r="M5869" s="84">
        <v>43781</v>
      </c>
      <c r="N5869" s="85">
        <f t="shared" si="1768"/>
        <v>31</v>
      </c>
      <c r="O5869" s="86">
        <f t="shared" si="1769"/>
        <v>3242.15</v>
      </c>
      <c r="P5869" s="86">
        <f t="shared" si="1770"/>
        <v>0</v>
      </c>
      <c r="Q5869" s="86">
        <f t="shared" si="1771"/>
        <v>0</v>
      </c>
      <c r="R5869" s="86">
        <f t="shared" si="1772"/>
        <v>3242.15</v>
      </c>
      <c r="S5869" s="86">
        <f t="shared" si="1773"/>
        <v>0</v>
      </c>
      <c r="T5869" s="86">
        <f t="shared" si="1774"/>
        <v>0</v>
      </c>
      <c r="U5869" s="87">
        <v>3242.15</v>
      </c>
    </row>
    <row r="5870" spans="1:21" s="30" customFormat="1" ht="24.6" hidden="1" outlineLevel="1" x14ac:dyDescent="0.55000000000000004">
      <c r="A5870" s="27" t="s">
        <v>327</v>
      </c>
      <c r="B5870" s="28"/>
      <c r="C5870" s="27"/>
      <c r="D5870" s="27" t="str">
        <f>"""NAV Direct"",""CRONUS JetCorp USA"",""21"",""1"",""298264"""</f>
        <v>"NAV Direct","CRONUS JetCorp USA","21","1","298264"</v>
      </c>
      <c r="E5870" s="31" t="str">
        <f t="shared" si="1766"/>
        <v>C100507</v>
      </c>
      <c r="F5870" s="31"/>
      <c r="G5870" s="31"/>
      <c r="H5870" s="31"/>
      <c r="I5870" s="56"/>
      <c r="J5870" s="56"/>
      <c r="K5870" s="82" t="str">
        <f t="shared" si="1767"/>
        <v>Invoice</v>
      </c>
      <c r="L5870" s="83" t="str">
        <f>"SI_109181"</f>
        <v>SI_109181</v>
      </c>
      <c r="M5870" s="84">
        <v>43777</v>
      </c>
      <c r="N5870" s="85">
        <f t="shared" si="1768"/>
        <v>35</v>
      </c>
      <c r="O5870" s="86">
        <f t="shared" si="1769"/>
        <v>3242.14</v>
      </c>
      <c r="P5870" s="86">
        <f t="shared" si="1770"/>
        <v>0</v>
      </c>
      <c r="Q5870" s="86">
        <f t="shared" si="1771"/>
        <v>0</v>
      </c>
      <c r="R5870" s="86">
        <f t="shared" si="1772"/>
        <v>3242.14</v>
      </c>
      <c r="S5870" s="86">
        <f t="shared" si="1773"/>
        <v>0</v>
      </c>
      <c r="T5870" s="86">
        <f t="shared" si="1774"/>
        <v>0</v>
      </c>
      <c r="U5870" s="87">
        <v>3242.14</v>
      </c>
    </row>
    <row r="5871" spans="1:21" s="30" customFormat="1" ht="24.6" hidden="1" outlineLevel="1" x14ac:dyDescent="0.55000000000000004">
      <c r="A5871" s="27" t="s">
        <v>327</v>
      </c>
      <c r="B5871" s="28"/>
      <c r="C5871" s="27"/>
      <c r="D5871" s="27" t="str">
        <f>"""NAV Direct"",""CRONUS JetCorp USA"",""21"",""1"",""299040"""</f>
        <v>"NAV Direct","CRONUS JetCorp USA","21","1","299040"</v>
      </c>
      <c r="E5871" s="31">
        <f t="shared" si="1766"/>
        <v>0</v>
      </c>
      <c r="F5871" s="31"/>
      <c r="G5871" s="31"/>
      <c r="H5871" s="31"/>
      <c r="I5871" s="56"/>
      <c r="J5871" s="56"/>
      <c r="K5871" s="82" t="str">
        <f t="shared" si="1767"/>
        <v>Invoice</v>
      </c>
      <c r="L5871" s="83" t="str">
        <f>"SI_109204"</f>
        <v>SI_109204</v>
      </c>
      <c r="M5871" s="84">
        <v>43807</v>
      </c>
      <c r="N5871" s="85">
        <f t="shared" si="1768"/>
        <v>5</v>
      </c>
      <c r="O5871" s="86">
        <f t="shared" si="1769"/>
        <v>3242.1899999999996</v>
      </c>
      <c r="P5871" s="86">
        <f t="shared" si="1770"/>
        <v>0</v>
      </c>
      <c r="Q5871" s="86">
        <f t="shared" si="1771"/>
        <v>3242.1899999999996</v>
      </c>
      <c r="R5871" s="86">
        <f t="shared" si="1772"/>
        <v>0</v>
      </c>
      <c r="S5871" s="86">
        <f t="shared" si="1773"/>
        <v>0</v>
      </c>
      <c r="T5871" s="86">
        <f t="shared" si="1774"/>
        <v>0</v>
      </c>
      <c r="U5871" s="87">
        <v>3242.1899999999996</v>
      </c>
    </row>
    <row r="5872" spans="1:21" s="30" customFormat="1" ht="24.6" hidden="1" outlineLevel="1" x14ac:dyDescent="0.55000000000000004">
      <c r="A5872" s="27" t="s">
        <v>327</v>
      </c>
      <c r="B5872" s="28"/>
      <c r="C5872" s="27"/>
      <c r="D5872" s="27" t="str">
        <f>"""NAV Direct"",""CRONUS JetCorp USA"",""21"",""1"",""299787"""</f>
        <v>"NAV Direct","CRONUS JetCorp USA","21","1","299787"</v>
      </c>
      <c r="E5872" s="31" t="str">
        <f t="shared" si="1766"/>
        <v>C100507</v>
      </c>
      <c r="F5872" s="31"/>
      <c r="G5872" s="31"/>
      <c r="H5872" s="31"/>
      <c r="I5872" s="56"/>
      <c r="J5872" s="56"/>
      <c r="K5872" s="82" t="str">
        <f t="shared" si="1767"/>
        <v>Invoice</v>
      </c>
      <c r="L5872" s="83" t="str">
        <f>"SI_109227"</f>
        <v>SI_109227</v>
      </c>
      <c r="M5872" s="84">
        <v>42035</v>
      </c>
      <c r="N5872" s="85">
        <f t="shared" si="1768"/>
        <v>1777</v>
      </c>
      <c r="O5872" s="86">
        <f t="shared" si="1769"/>
        <v>3566.4300000000003</v>
      </c>
      <c r="P5872" s="86">
        <f t="shared" si="1770"/>
        <v>0</v>
      </c>
      <c r="Q5872" s="86">
        <f t="shared" si="1771"/>
        <v>0</v>
      </c>
      <c r="R5872" s="86">
        <f t="shared" si="1772"/>
        <v>0</v>
      </c>
      <c r="S5872" s="86">
        <f t="shared" si="1773"/>
        <v>0</v>
      </c>
      <c r="T5872" s="86">
        <f t="shared" si="1774"/>
        <v>3566.4300000000003</v>
      </c>
      <c r="U5872" s="87">
        <v>3566.4300000000003</v>
      </c>
    </row>
    <row r="5873" spans="1:22" s="30" customFormat="1" ht="24.6" hidden="1" outlineLevel="1" x14ac:dyDescent="0.55000000000000004">
      <c r="A5873" s="27" t="s">
        <v>327</v>
      </c>
      <c r="B5873" s="28"/>
      <c r="C5873" s="27"/>
      <c r="D5873" s="27" t="str">
        <f>"""NAV Direct"",""CRONUS JetCorp USA"",""21"",""1"",""300050"""</f>
        <v>"NAV Direct","CRONUS JetCorp USA","21","1","300050"</v>
      </c>
      <c r="E5873" s="31">
        <f t="shared" si="1766"/>
        <v>0</v>
      </c>
      <c r="F5873" s="31"/>
      <c r="G5873" s="31"/>
      <c r="H5873" s="31"/>
      <c r="I5873" s="56"/>
      <c r="J5873" s="56"/>
      <c r="K5873" s="82" t="str">
        <f t="shared" si="1767"/>
        <v>Invoice</v>
      </c>
      <c r="L5873" s="83" t="str">
        <f>"SI_109234"</f>
        <v>SI_109234</v>
      </c>
      <c r="M5873" s="84">
        <v>42042</v>
      </c>
      <c r="N5873" s="85">
        <f t="shared" si="1768"/>
        <v>1770</v>
      </c>
      <c r="O5873" s="86">
        <f t="shared" si="1769"/>
        <v>3566.41</v>
      </c>
      <c r="P5873" s="86">
        <f t="shared" si="1770"/>
        <v>0</v>
      </c>
      <c r="Q5873" s="86">
        <f t="shared" si="1771"/>
        <v>0</v>
      </c>
      <c r="R5873" s="86">
        <f t="shared" si="1772"/>
        <v>0</v>
      </c>
      <c r="S5873" s="86">
        <f t="shared" si="1773"/>
        <v>0</v>
      </c>
      <c r="T5873" s="86">
        <f t="shared" si="1774"/>
        <v>3566.41</v>
      </c>
      <c r="U5873" s="87">
        <v>3566.41</v>
      </c>
    </row>
    <row r="5874" spans="1:22" s="30" customFormat="1" ht="24.6" hidden="1" outlineLevel="1" x14ac:dyDescent="0.55000000000000004">
      <c r="A5874" s="27" t="s">
        <v>327</v>
      </c>
      <c r="B5874" s="28"/>
      <c r="C5874" s="27"/>
      <c r="D5874" s="27" t="str">
        <f>"""NAV Direct"",""CRONUS JetCorp USA"",""21"",""1"",""300083"""</f>
        <v>"NAV Direct","CRONUS JetCorp USA","21","1","300083"</v>
      </c>
      <c r="E5874" s="31" t="str">
        <f t="shared" si="1766"/>
        <v>C100507</v>
      </c>
      <c r="F5874" s="31"/>
      <c r="G5874" s="31"/>
      <c r="H5874" s="31"/>
      <c r="I5874" s="56"/>
      <c r="J5874" s="56"/>
      <c r="K5874" s="82" t="str">
        <f t="shared" si="1767"/>
        <v>Invoice</v>
      </c>
      <c r="L5874" s="83" t="str">
        <f>"SI_109235"</f>
        <v>SI_109235</v>
      </c>
      <c r="M5874" s="84">
        <v>42049</v>
      </c>
      <c r="N5874" s="85">
        <f t="shared" si="1768"/>
        <v>1763</v>
      </c>
      <c r="O5874" s="86">
        <f t="shared" si="1769"/>
        <v>3566.41</v>
      </c>
      <c r="P5874" s="86">
        <f t="shared" si="1770"/>
        <v>0</v>
      </c>
      <c r="Q5874" s="86">
        <f t="shared" si="1771"/>
        <v>0</v>
      </c>
      <c r="R5874" s="86">
        <f t="shared" si="1772"/>
        <v>0</v>
      </c>
      <c r="S5874" s="86">
        <f t="shared" si="1773"/>
        <v>0</v>
      </c>
      <c r="T5874" s="86">
        <f t="shared" si="1774"/>
        <v>3566.41</v>
      </c>
      <c r="U5874" s="87">
        <v>3566.41</v>
      </c>
    </row>
    <row r="5875" spans="1:22" s="30" customFormat="1" ht="24.6" hidden="1" outlineLevel="1" x14ac:dyDescent="0.55000000000000004">
      <c r="A5875" s="27" t="s">
        <v>327</v>
      </c>
      <c r="B5875" s="28"/>
      <c r="C5875" s="27"/>
      <c r="D5875" s="27" t="str">
        <f>"""NAV Direct"",""CRONUS JetCorp USA"",""21"",""1"",""301837"""</f>
        <v>"NAV Direct","CRONUS JetCorp USA","21","1","301837"</v>
      </c>
      <c r="E5875" s="31">
        <f t="shared" si="1766"/>
        <v>0</v>
      </c>
      <c r="F5875" s="31"/>
      <c r="G5875" s="31"/>
      <c r="H5875" s="31"/>
      <c r="I5875" s="56"/>
      <c r="J5875" s="56"/>
      <c r="K5875" s="82" t="str">
        <f t="shared" si="1767"/>
        <v>Invoice</v>
      </c>
      <c r="L5875" s="83" t="str">
        <f>"SI_109286"</f>
        <v>SI_109286</v>
      </c>
      <c r="M5875" s="84">
        <v>42125</v>
      </c>
      <c r="N5875" s="85">
        <f t="shared" si="1768"/>
        <v>1687</v>
      </c>
      <c r="O5875" s="86">
        <f t="shared" si="1769"/>
        <v>3923.02</v>
      </c>
      <c r="P5875" s="86">
        <f t="shared" si="1770"/>
        <v>0</v>
      </c>
      <c r="Q5875" s="86">
        <f t="shared" si="1771"/>
        <v>0</v>
      </c>
      <c r="R5875" s="86">
        <f t="shared" si="1772"/>
        <v>0</v>
      </c>
      <c r="S5875" s="86">
        <f t="shared" si="1773"/>
        <v>0</v>
      </c>
      <c r="T5875" s="86">
        <f t="shared" si="1774"/>
        <v>3923.02</v>
      </c>
      <c r="U5875" s="87">
        <v>3923.02</v>
      </c>
    </row>
    <row r="5876" spans="1:22" s="30" customFormat="1" ht="24.6" hidden="1" outlineLevel="1" x14ac:dyDescent="0.55000000000000004">
      <c r="A5876" s="27" t="s">
        <v>327</v>
      </c>
      <c r="B5876" s="28"/>
      <c r="C5876" s="27"/>
      <c r="D5876" s="27" t="str">
        <f>"""NAV Direct"",""CRONUS JetCorp USA"",""21"",""1"",""302100"""</f>
        <v>"NAV Direct","CRONUS JetCorp USA","21","1","302100"</v>
      </c>
      <c r="E5876" s="31" t="str">
        <f t="shared" si="1766"/>
        <v>C100507</v>
      </c>
      <c r="F5876" s="31"/>
      <c r="G5876" s="31"/>
      <c r="H5876" s="31"/>
      <c r="I5876" s="56"/>
      <c r="J5876" s="56"/>
      <c r="K5876" s="82" t="str">
        <f t="shared" si="1767"/>
        <v>Invoice</v>
      </c>
      <c r="L5876" s="83" t="str">
        <f>"SI_109293"</f>
        <v>SI_109293</v>
      </c>
      <c r="M5876" s="84">
        <v>42133</v>
      </c>
      <c r="N5876" s="85">
        <f t="shared" si="1768"/>
        <v>1679</v>
      </c>
      <c r="O5876" s="86">
        <f t="shared" si="1769"/>
        <v>3923.02</v>
      </c>
      <c r="P5876" s="86">
        <f t="shared" si="1770"/>
        <v>0</v>
      </c>
      <c r="Q5876" s="86">
        <f t="shared" si="1771"/>
        <v>0</v>
      </c>
      <c r="R5876" s="86">
        <f t="shared" si="1772"/>
        <v>0</v>
      </c>
      <c r="S5876" s="86">
        <f t="shared" si="1773"/>
        <v>0</v>
      </c>
      <c r="T5876" s="86">
        <f t="shared" si="1774"/>
        <v>3923.02</v>
      </c>
      <c r="U5876" s="87">
        <v>3923.02</v>
      </c>
    </row>
    <row r="5877" spans="1:22" s="30" customFormat="1" ht="24.6" hidden="1" outlineLevel="1" x14ac:dyDescent="0.55000000000000004">
      <c r="A5877" s="27" t="s">
        <v>327</v>
      </c>
      <c r="B5877" s="28"/>
      <c r="C5877" s="27"/>
      <c r="D5877" s="27" t="str">
        <f>"""NAV Direct"",""CRONUS JetCorp USA"",""21"",""1"",""302316"""</f>
        <v>"NAV Direct","CRONUS JetCorp USA","21","1","302316"</v>
      </c>
      <c r="E5877" s="31">
        <f t="shared" si="1766"/>
        <v>0</v>
      </c>
      <c r="F5877" s="31"/>
      <c r="G5877" s="31"/>
      <c r="H5877" s="31"/>
      <c r="I5877" s="56"/>
      <c r="J5877" s="56"/>
      <c r="K5877" s="82" t="str">
        <f t="shared" si="1767"/>
        <v>Invoice</v>
      </c>
      <c r="L5877" s="83" t="str">
        <f>"SI_109299"</f>
        <v>SI_109299</v>
      </c>
      <c r="M5877" s="84">
        <v>42145</v>
      </c>
      <c r="N5877" s="85">
        <f t="shared" si="1768"/>
        <v>1667</v>
      </c>
      <c r="O5877" s="86">
        <f t="shared" si="1769"/>
        <v>3923.0699999999997</v>
      </c>
      <c r="P5877" s="86">
        <f t="shared" si="1770"/>
        <v>0</v>
      </c>
      <c r="Q5877" s="86">
        <f t="shared" si="1771"/>
        <v>0</v>
      </c>
      <c r="R5877" s="86">
        <f t="shared" si="1772"/>
        <v>0</v>
      </c>
      <c r="S5877" s="86">
        <f t="shared" si="1773"/>
        <v>0</v>
      </c>
      <c r="T5877" s="86">
        <f t="shared" si="1774"/>
        <v>3923.0699999999997</v>
      </c>
      <c r="U5877" s="87">
        <v>3923.0699999999997</v>
      </c>
    </row>
    <row r="5878" spans="1:22" s="22" customFormat="1" ht="20.399999999999999" collapsed="1" x14ac:dyDescent="0.45">
      <c r="A5878" s="12" t="s">
        <v>327</v>
      </c>
      <c r="B5878" s="19"/>
      <c r="C5878" s="12"/>
      <c r="D5878" s="12"/>
      <c r="E5878" s="23"/>
      <c r="F5878" s="23"/>
      <c r="G5878" s="23"/>
      <c r="H5878" s="23"/>
      <c r="I5878" s="49"/>
      <c r="J5878" s="88"/>
      <c r="K5878" s="88"/>
      <c r="L5878" s="89"/>
      <c r="M5878" s="89"/>
      <c r="N5878" s="89"/>
      <c r="O5878" s="89"/>
      <c r="P5878" s="89"/>
      <c r="Q5878" s="90"/>
      <c r="R5878" s="90"/>
      <c r="S5878" s="91"/>
      <c r="T5878" s="92"/>
      <c r="U5878" s="92"/>
    </row>
    <row r="5879" spans="1:22" s="22" customFormat="1" ht="20.399999999999999" x14ac:dyDescent="0.45">
      <c r="A5879" s="12" t="s">
        <v>327</v>
      </c>
      <c r="B5879" s="19"/>
      <c r="C5879" s="12"/>
      <c r="D5879" s="12"/>
      <c r="E5879" s="23"/>
      <c r="F5879" s="23"/>
      <c r="G5879" s="23"/>
      <c r="H5879" s="23"/>
      <c r="I5879" s="49"/>
      <c r="J5879" s="88"/>
      <c r="K5879" s="88"/>
      <c r="L5879" s="89"/>
      <c r="M5879" s="89"/>
      <c r="N5879" s="89"/>
      <c r="O5879" s="89"/>
      <c r="P5879" s="89"/>
      <c r="Q5879" s="90"/>
      <c r="R5879" s="90"/>
      <c r="S5879" s="91"/>
      <c r="T5879" s="92"/>
      <c r="U5879" s="92"/>
    </row>
    <row r="5880" spans="1:22" s="26" customFormat="1" ht="24.6" x14ac:dyDescent="0.55000000000000004">
      <c r="A5880" s="27" t="s">
        <v>327</v>
      </c>
      <c r="B5880" s="28"/>
      <c r="C5880" s="27" t="str">
        <f>"""NAV Direct"",""CRONUS JetCorp USA"",""18"",""1"",""C100508"""</f>
        <v>"NAV Direct","CRONUS JetCorp USA","18","1","C100508"</v>
      </c>
      <c r="D5880" s="27"/>
      <c r="E5880" s="28" t="str">
        <f>H5880</f>
        <v>C100508</v>
      </c>
      <c r="F5880" s="28"/>
      <c r="G5880" s="28"/>
      <c r="H5880" s="28" t="str">
        <f>"C100508"</f>
        <v>C100508</v>
      </c>
      <c r="I5880" s="116" t="str">
        <f>"C100508  -  Wimingtons"</f>
        <v>C100508  -  Wimingtons</v>
      </c>
      <c r="J5880" s="117" t="str">
        <f>""</f>
        <v/>
      </c>
      <c r="K5880" s="118"/>
      <c r="L5880" s="119">
        <f>SUBTOTAL(3,L5881:L5912)</f>
        <v>28</v>
      </c>
      <c r="M5880" s="118"/>
      <c r="N5880" s="118"/>
      <c r="O5880" s="120">
        <f t="shared" ref="O5880:T5880" si="1775">SUBTOTAL(9,O5881:O5912)</f>
        <v>62899.280000000006</v>
      </c>
      <c r="P5880" s="120">
        <f t="shared" si="1775"/>
        <v>0</v>
      </c>
      <c r="Q5880" s="120">
        <f t="shared" si="1775"/>
        <v>3242.21</v>
      </c>
      <c r="R5880" s="120">
        <f t="shared" si="1775"/>
        <v>3242.14</v>
      </c>
      <c r="S5880" s="120">
        <f t="shared" si="1775"/>
        <v>2947.26</v>
      </c>
      <c r="T5880" s="120">
        <f t="shared" si="1775"/>
        <v>53467.670000000006</v>
      </c>
      <c r="U5880" s="81"/>
    </row>
    <row r="5881" spans="1:22" s="26" customFormat="1" ht="24.6" x14ac:dyDescent="0.55000000000000004">
      <c r="A5881" s="27" t="s">
        <v>327</v>
      </c>
      <c r="B5881" s="28"/>
      <c r="C5881" s="27" t="str">
        <f>C5880</f>
        <v>"NAV Direct","CRONUS JetCorp USA","18","1","C100508"</v>
      </c>
      <c r="D5881" s="27"/>
      <c r="E5881" s="28" t="str">
        <f>E5880</f>
        <v>C100508</v>
      </c>
      <c r="F5881" s="28"/>
      <c r="G5881" s="28"/>
      <c r="H5881" s="28"/>
      <c r="I5881" s="121" t="str">
        <f>"Contact: Mike Davis"</f>
        <v>Contact: Mike Davis</v>
      </c>
      <c r="J5881" s="121"/>
      <c r="K5881" s="122"/>
      <c r="L5881" s="123"/>
      <c r="M5881" s="123"/>
      <c r="N5881" s="124"/>
      <c r="O5881" s="124"/>
      <c r="P5881" s="123"/>
      <c r="Q5881" s="125"/>
      <c r="R5881" s="126"/>
      <c r="S5881" s="126"/>
      <c r="T5881" s="125"/>
      <c r="U5881" s="81"/>
    </row>
    <row r="5882" spans="1:22" s="26" customFormat="1" ht="24.6" x14ac:dyDescent="0.55000000000000004">
      <c r="A5882" s="27" t="s">
        <v>327</v>
      </c>
      <c r="B5882" s="28"/>
      <c r="C5882" s="27" t="str">
        <f>C5881</f>
        <v>"NAV Direct","CRONUS JetCorp USA","18","1","C100508"</v>
      </c>
      <c r="D5882" s="27"/>
      <c r="E5882" s="28" t="str">
        <f>E5881</f>
        <v>C100508</v>
      </c>
      <c r="F5882" s="28"/>
      <c r="G5882" s="28"/>
      <c r="H5882" s="28"/>
      <c r="I5882" s="121" t="str">
        <f>"Wimingtons@cronuscorp.net"</f>
        <v>Wimingtons@cronuscorp.net</v>
      </c>
      <c r="J5882" s="121"/>
      <c r="K5882" s="122"/>
      <c r="L5882" s="124"/>
      <c r="M5882" s="124"/>
      <c r="N5882" s="124"/>
      <c r="O5882" s="124"/>
      <c r="P5882" s="123"/>
      <c r="Q5882" s="125"/>
      <c r="R5882" s="126"/>
      <c r="S5882" s="126"/>
      <c r="T5882" s="125"/>
      <c r="U5882" s="81"/>
    </row>
    <row r="5883" spans="1:22" ht="12.75" hidden="1" customHeight="1" outlineLevel="1" x14ac:dyDescent="0.45">
      <c r="A5883" s="12" t="s">
        <v>328</v>
      </c>
      <c r="B5883" s="19"/>
      <c r="E5883" s="19"/>
      <c r="F5883" s="19"/>
      <c r="G5883" s="19"/>
      <c r="H5883" s="19"/>
      <c r="I5883" s="61"/>
      <c r="J5883" s="61"/>
      <c r="K5883" s="61"/>
      <c r="L5883" s="61"/>
      <c r="M5883" s="61"/>
      <c r="N5883" s="61"/>
      <c r="O5883" s="61"/>
      <c r="P5883" s="61"/>
      <c r="Q5883" s="61"/>
      <c r="R5883" s="61"/>
      <c r="S5883" s="61"/>
      <c r="T5883" s="61"/>
      <c r="U5883" s="61"/>
      <c r="V5883" s="21"/>
    </row>
    <row r="5884" spans="1:22" s="30" customFormat="1" ht="24.6" hidden="1" outlineLevel="1" x14ac:dyDescent="0.55000000000000004">
      <c r="A5884" s="27" t="s">
        <v>327</v>
      </c>
      <c r="B5884" s="28"/>
      <c r="C5884" s="27"/>
      <c r="D5884" s="27" t="str">
        <f>"""NAV Direct"",""CRONUS JetCorp USA"",""21"",""1"",""280998"""</f>
        <v>"NAV Direct","CRONUS JetCorp USA","21","1","280998"</v>
      </c>
      <c r="E5884" s="31" t="str">
        <f t="shared" ref="E5884:E5911" si="1776">E5882</f>
        <v>C100508</v>
      </c>
      <c r="F5884" s="31"/>
      <c r="G5884" s="31"/>
      <c r="H5884" s="31"/>
      <c r="I5884" s="56"/>
      <c r="J5884" s="56"/>
      <c r="K5884" s="82" t="str">
        <f t="shared" ref="K5884:K5911" si="1777">"Invoice"</f>
        <v>Invoice</v>
      </c>
      <c r="L5884" s="83" t="str">
        <f>"SI_108591"</f>
        <v>SI_108591</v>
      </c>
      <c r="M5884" s="84">
        <v>43538</v>
      </c>
      <c r="N5884" s="85">
        <f t="shared" ref="N5884:N5911" si="1778">StartDate-$M5884+1</f>
        <v>274</v>
      </c>
      <c r="O5884" s="86">
        <f t="shared" ref="O5884:O5911" si="1779">SUM(P5884:T5884)</f>
        <v>587.92999999999995</v>
      </c>
      <c r="P5884" s="86">
        <f t="shared" ref="P5884:P5911" si="1780">IF($M5884&gt;=$P$18,U5884,0)</f>
        <v>0</v>
      </c>
      <c r="Q5884" s="86">
        <f t="shared" ref="Q5884:Q5911" si="1781">IF(AND($M5884&gt;=$Q$16,$M5884&lt;=$Q$18),U5884,0)</f>
        <v>0</v>
      </c>
      <c r="R5884" s="86">
        <f t="shared" ref="R5884:R5911" si="1782">IF(AND($M5884&gt;=$R$16,$M5884&lt;=$R$18),U5884,0)</f>
        <v>0</v>
      </c>
      <c r="S5884" s="86">
        <f t="shared" ref="S5884:S5911" si="1783">IF(AND($M5884&gt;=$S$16,$M5884&lt;=$S$18),U5884,0)</f>
        <v>0</v>
      </c>
      <c r="T5884" s="86">
        <f t="shared" ref="T5884:T5911" si="1784">IF($M5884&lt;=$T$18,U5884,0)</f>
        <v>587.92999999999995</v>
      </c>
      <c r="U5884" s="87">
        <v>587.92999999999995</v>
      </c>
    </row>
    <row r="5885" spans="1:22" s="30" customFormat="1" ht="24.6" hidden="1" outlineLevel="1" x14ac:dyDescent="0.55000000000000004">
      <c r="A5885" s="27" t="s">
        <v>327</v>
      </c>
      <c r="B5885" s="28"/>
      <c r="C5885" s="27"/>
      <c r="D5885" s="27" t="str">
        <f>"""NAV Direct"",""CRONUS JetCorp USA"",""21"",""1"",""281485"""</f>
        <v>"NAV Direct","CRONUS JetCorp USA","21","1","281485"</v>
      </c>
      <c r="E5885" s="31">
        <f t="shared" si="1776"/>
        <v>0</v>
      </c>
      <c r="F5885" s="31"/>
      <c r="G5885" s="31"/>
      <c r="H5885" s="31"/>
      <c r="I5885" s="56"/>
      <c r="J5885" s="56"/>
      <c r="K5885" s="82" t="str">
        <f t="shared" si="1777"/>
        <v>Invoice</v>
      </c>
      <c r="L5885" s="83" t="str">
        <f>"SI_108612"</f>
        <v>SI_108612</v>
      </c>
      <c r="M5885" s="84">
        <v>43707</v>
      </c>
      <c r="N5885" s="85">
        <f t="shared" si="1778"/>
        <v>105</v>
      </c>
      <c r="O5885" s="86">
        <f t="shared" si="1779"/>
        <v>587.95000000000005</v>
      </c>
      <c r="P5885" s="86">
        <f t="shared" si="1780"/>
        <v>0</v>
      </c>
      <c r="Q5885" s="86">
        <f t="shared" si="1781"/>
        <v>0</v>
      </c>
      <c r="R5885" s="86">
        <f t="shared" si="1782"/>
        <v>0</v>
      </c>
      <c r="S5885" s="86">
        <f t="shared" si="1783"/>
        <v>0</v>
      </c>
      <c r="T5885" s="86">
        <f t="shared" si="1784"/>
        <v>587.95000000000005</v>
      </c>
      <c r="U5885" s="87">
        <v>587.95000000000005</v>
      </c>
    </row>
    <row r="5886" spans="1:22" s="30" customFormat="1" ht="24.6" hidden="1" outlineLevel="1" x14ac:dyDescent="0.55000000000000004">
      <c r="A5886" s="27" t="s">
        <v>327</v>
      </c>
      <c r="B5886" s="28"/>
      <c r="C5886" s="27"/>
      <c r="D5886" s="27" t="str">
        <f>"""NAV Direct"",""CRONUS JetCorp USA"",""21"",""1"",""283736"""</f>
        <v>"NAV Direct","CRONUS JetCorp USA","21","1","283736"</v>
      </c>
      <c r="E5886" s="31" t="str">
        <f t="shared" si="1776"/>
        <v>C100508</v>
      </c>
      <c r="F5886" s="31"/>
      <c r="G5886" s="31"/>
      <c r="H5886" s="31"/>
      <c r="I5886" s="56"/>
      <c r="J5886" s="56"/>
      <c r="K5886" s="82" t="str">
        <f t="shared" si="1777"/>
        <v>Invoice</v>
      </c>
      <c r="L5886" s="83" t="str">
        <f>"SI_108698"</f>
        <v>SI_108698</v>
      </c>
      <c r="M5886" s="84">
        <v>42234</v>
      </c>
      <c r="N5886" s="85">
        <f t="shared" si="1778"/>
        <v>1578</v>
      </c>
      <c r="O5886" s="86">
        <f t="shared" si="1779"/>
        <v>938.83999999999992</v>
      </c>
      <c r="P5886" s="86">
        <f t="shared" si="1780"/>
        <v>0</v>
      </c>
      <c r="Q5886" s="86">
        <f t="shared" si="1781"/>
        <v>0</v>
      </c>
      <c r="R5886" s="86">
        <f t="shared" si="1782"/>
        <v>0</v>
      </c>
      <c r="S5886" s="86">
        <f t="shared" si="1783"/>
        <v>0</v>
      </c>
      <c r="T5886" s="86">
        <f t="shared" si="1784"/>
        <v>938.83999999999992</v>
      </c>
      <c r="U5886" s="87">
        <v>938.83999999999992</v>
      </c>
    </row>
    <row r="5887" spans="1:22" s="30" customFormat="1" ht="24.6" hidden="1" outlineLevel="1" x14ac:dyDescent="0.55000000000000004">
      <c r="A5887" s="27" t="s">
        <v>327</v>
      </c>
      <c r="B5887" s="28"/>
      <c r="C5887" s="27"/>
      <c r="D5887" s="27" t="str">
        <f>"""NAV Direct"",""CRONUS JetCorp USA"",""21"",""1"",""283823"""</f>
        <v>"NAV Direct","CRONUS JetCorp USA","21","1","283823"</v>
      </c>
      <c r="E5887" s="31">
        <f t="shared" si="1776"/>
        <v>0</v>
      </c>
      <c r="F5887" s="31"/>
      <c r="G5887" s="31"/>
      <c r="H5887" s="31"/>
      <c r="I5887" s="56"/>
      <c r="J5887" s="56"/>
      <c r="K5887" s="82" t="str">
        <f t="shared" si="1777"/>
        <v>Invoice</v>
      </c>
      <c r="L5887" s="83" t="str">
        <f>"SI_108701"</f>
        <v>SI_108701</v>
      </c>
      <c r="M5887" s="84">
        <v>42314</v>
      </c>
      <c r="N5887" s="85">
        <f t="shared" si="1778"/>
        <v>1498</v>
      </c>
      <c r="O5887" s="86">
        <f t="shared" si="1779"/>
        <v>1032.97</v>
      </c>
      <c r="P5887" s="86">
        <f t="shared" si="1780"/>
        <v>0</v>
      </c>
      <c r="Q5887" s="86">
        <f t="shared" si="1781"/>
        <v>0</v>
      </c>
      <c r="R5887" s="86">
        <f t="shared" si="1782"/>
        <v>0</v>
      </c>
      <c r="S5887" s="86">
        <f t="shared" si="1783"/>
        <v>0</v>
      </c>
      <c r="T5887" s="86">
        <f t="shared" si="1784"/>
        <v>1032.97</v>
      </c>
      <c r="U5887" s="87">
        <v>1032.97</v>
      </c>
    </row>
    <row r="5888" spans="1:22" s="30" customFormat="1" ht="24.6" hidden="1" outlineLevel="1" x14ac:dyDescent="0.55000000000000004">
      <c r="A5888" s="27" t="s">
        <v>327</v>
      </c>
      <c r="B5888" s="28"/>
      <c r="C5888" s="27"/>
      <c r="D5888" s="27" t="str">
        <f>"""NAV Direct"",""CRONUS JetCorp USA"",""21"",""1"",""283959"""</f>
        <v>"NAV Direct","CRONUS JetCorp USA","21","1","283959"</v>
      </c>
      <c r="E5888" s="31" t="str">
        <f t="shared" si="1776"/>
        <v>C100508</v>
      </c>
      <c r="F5888" s="31"/>
      <c r="G5888" s="31"/>
      <c r="H5888" s="31"/>
      <c r="I5888" s="56"/>
      <c r="J5888" s="56"/>
      <c r="K5888" s="82" t="str">
        <f t="shared" si="1777"/>
        <v>Invoice</v>
      </c>
      <c r="L5888" s="83" t="str">
        <f>"SI_108706"</f>
        <v>SI_108706</v>
      </c>
      <c r="M5888" s="84">
        <v>42322</v>
      </c>
      <c r="N5888" s="85">
        <f t="shared" si="1778"/>
        <v>1490</v>
      </c>
      <c r="O5888" s="86">
        <f t="shared" si="1779"/>
        <v>1033.07</v>
      </c>
      <c r="P5888" s="86">
        <f t="shared" si="1780"/>
        <v>0</v>
      </c>
      <c r="Q5888" s="86">
        <f t="shared" si="1781"/>
        <v>0</v>
      </c>
      <c r="R5888" s="86">
        <f t="shared" si="1782"/>
        <v>0</v>
      </c>
      <c r="S5888" s="86">
        <f t="shared" si="1783"/>
        <v>0</v>
      </c>
      <c r="T5888" s="86">
        <f t="shared" si="1784"/>
        <v>1033.07</v>
      </c>
      <c r="U5888" s="87">
        <v>1033.07</v>
      </c>
    </row>
    <row r="5889" spans="1:21" s="30" customFormat="1" ht="24.6" hidden="1" outlineLevel="1" x14ac:dyDescent="0.55000000000000004">
      <c r="A5889" s="27" t="s">
        <v>327</v>
      </c>
      <c r="B5889" s="28"/>
      <c r="C5889" s="27"/>
      <c r="D5889" s="27" t="str">
        <f>"""NAV Direct"",""CRONUS JetCorp USA"",""21"",""1"",""284160"""</f>
        <v>"NAV Direct","CRONUS JetCorp USA","21","1","284160"</v>
      </c>
      <c r="E5889" s="31">
        <f t="shared" si="1776"/>
        <v>0</v>
      </c>
      <c r="F5889" s="31"/>
      <c r="G5889" s="31"/>
      <c r="H5889" s="31"/>
      <c r="I5889" s="56"/>
      <c r="J5889" s="56"/>
      <c r="K5889" s="82" t="str">
        <f t="shared" si="1777"/>
        <v>Invoice</v>
      </c>
      <c r="L5889" s="83" t="str">
        <f>"SI_108713"</f>
        <v>SI_108713</v>
      </c>
      <c r="M5889" s="84">
        <v>42324</v>
      </c>
      <c r="N5889" s="85">
        <f t="shared" si="1778"/>
        <v>1488</v>
      </c>
      <c r="O5889" s="86">
        <f t="shared" si="1779"/>
        <v>1032.93</v>
      </c>
      <c r="P5889" s="86">
        <f t="shared" si="1780"/>
        <v>0</v>
      </c>
      <c r="Q5889" s="86">
        <f t="shared" si="1781"/>
        <v>0</v>
      </c>
      <c r="R5889" s="86">
        <f t="shared" si="1782"/>
        <v>0</v>
      </c>
      <c r="S5889" s="86">
        <f t="shared" si="1783"/>
        <v>0</v>
      </c>
      <c r="T5889" s="86">
        <f t="shared" si="1784"/>
        <v>1032.93</v>
      </c>
      <c r="U5889" s="87">
        <v>1032.93</v>
      </c>
    </row>
    <row r="5890" spans="1:21" s="30" customFormat="1" ht="24.6" hidden="1" outlineLevel="1" x14ac:dyDescent="0.55000000000000004">
      <c r="A5890" s="27" t="s">
        <v>327</v>
      </c>
      <c r="B5890" s="28"/>
      <c r="C5890" s="27"/>
      <c r="D5890" s="27" t="str">
        <f>"""NAV Direct"",""CRONUS JetCorp USA"",""21"",""1"",""284568"""</f>
        <v>"NAV Direct","CRONUS JetCorp USA","21","1","284568"</v>
      </c>
      <c r="E5890" s="31" t="str">
        <f t="shared" si="1776"/>
        <v>C100508</v>
      </c>
      <c r="F5890" s="31"/>
      <c r="G5890" s="31"/>
      <c r="H5890" s="31"/>
      <c r="I5890" s="56"/>
      <c r="J5890" s="56"/>
      <c r="K5890" s="82" t="str">
        <f t="shared" si="1777"/>
        <v>Invoice</v>
      </c>
      <c r="L5890" s="83" t="str">
        <f>"SI_108728"</f>
        <v>SI_108728</v>
      </c>
      <c r="M5890" s="84">
        <v>42804</v>
      </c>
      <c r="N5890" s="85">
        <f t="shared" si="1778"/>
        <v>1008</v>
      </c>
      <c r="O5890" s="86">
        <f t="shared" si="1779"/>
        <v>1136.3599999999999</v>
      </c>
      <c r="P5890" s="86">
        <f t="shared" si="1780"/>
        <v>0</v>
      </c>
      <c r="Q5890" s="86">
        <f t="shared" si="1781"/>
        <v>0</v>
      </c>
      <c r="R5890" s="86">
        <f t="shared" si="1782"/>
        <v>0</v>
      </c>
      <c r="S5890" s="86">
        <f t="shared" si="1783"/>
        <v>0</v>
      </c>
      <c r="T5890" s="86">
        <f t="shared" si="1784"/>
        <v>1136.3599999999999</v>
      </c>
      <c r="U5890" s="87">
        <v>1136.3599999999999</v>
      </c>
    </row>
    <row r="5891" spans="1:21" s="30" customFormat="1" ht="24.6" hidden="1" outlineLevel="1" x14ac:dyDescent="0.55000000000000004">
      <c r="A5891" s="27" t="s">
        <v>327</v>
      </c>
      <c r="B5891" s="28"/>
      <c r="C5891" s="27"/>
      <c r="D5891" s="27" t="str">
        <f>"""NAV Direct"",""CRONUS JetCorp USA"",""21"",""1"",""285711"""</f>
        <v>"NAV Direct","CRONUS JetCorp USA","21","1","285711"</v>
      </c>
      <c r="E5891" s="31">
        <f t="shared" si="1776"/>
        <v>0</v>
      </c>
      <c r="F5891" s="31"/>
      <c r="G5891" s="31"/>
      <c r="H5891" s="31"/>
      <c r="I5891" s="56"/>
      <c r="J5891" s="56"/>
      <c r="K5891" s="82" t="str">
        <f t="shared" si="1777"/>
        <v>Invoice</v>
      </c>
      <c r="L5891" s="83" t="str">
        <f>"SI_108770"</f>
        <v>SI_108770</v>
      </c>
      <c r="M5891" s="84">
        <v>42871</v>
      </c>
      <c r="N5891" s="85">
        <f t="shared" si="1778"/>
        <v>941</v>
      </c>
      <c r="O5891" s="86">
        <f t="shared" si="1779"/>
        <v>1249.98</v>
      </c>
      <c r="P5891" s="86">
        <f t="shared" si="1780"/>
        <v>0</v>
      </c>
      <c r="Q5891" s="86">
        <f t="shared" si="1781"/>
        <v>0</v>
      </c>
      <c r="R5891" s="86">
        <f t="shared" si="1782"/>
        <v>0</v>
      </c>
      <c r="S5891" s="86">
        <f t="shared" si="1783"/>
        <v>0</v>
      </c>
      <c r="T5891" s="86">
        <f t="shared" si="1784"/>
        <v>1249.98</v>
      </c>
      <c r="U5891" s="87">
        <v>1249.98</v>
      </c>
    </row>
    <row r="5892" spans="1:21" s="30" customFormat="1" ht="24.6" hidden="1" outlineLevel="1" x14ac:dyDescent="0.55000000000000004">
      <c r="A5892" s="27" t="s">
        <v>327</v>
      </c>
      <c r="B5892" s="28"/>
      <c r="C5892" s="27"/>
      <c r="D5892" s="27" t="str">
        <f>"""NAV Direct"",""CRONUS JetCorp USA"",""21"",""1"",""289783"""</f>
        <v>"NAV Direct","CRONUS JetCorp USA","21","1","289783"</v>
      </c>
      <c r="E5892" s="31" t="str">
        <f t="shared" si="1776"/>
        <v>C100508</v>
      </c>
      <c r="F5892" s="31"/>
      <c r="G5892" s="31"/>
      <c r="H5892" s="31"/>
      <c r="I5892" s="56"/>
      <c r="J5892" s="56"/>
      <c r="K5892" s="82" t="str">
        <f t="shared" si="1777"/>
        <v>Invoice</v>
      </c>
      <c r="L5892" s="83" t="str">
        <f>"SI_108907"</f>
        <v>SI_108907</v>
      </c>
      <c r="M5892" s="84">
        <v>43224</v>
      </c>
      <c r="N5892" s="85">
        <f t="shared" si="1778"/>
        <v>588</v>
      </c>
      <c r="O5892" s="86">
        <f t="shared" si="1779"/>
        <v>1830.1</v>
      </c>
      <c r="P5892" s="86">
        <f t="shared" si="1780"/>
        <v>0</v>
      </c>
      <c r="Q5892" s="86">
        <f t="shared" si="1781"/>
        <v>0</v>
      </c>
      <c r="R5892" s="86">
        <f t="shared" si="1782"/>
        <v>0</v>
      </c>
      <c r="S5892" s="86">
        <f t="shared" si="1783"/>
        <v>0</v>
      </c>
      <c r="T5892" s="86">
        <f t="shared" si="1784"/>
        <v>1830.1</v>
      </c>
      <c r="U5892" s="87">
        <v>1830.1</v>
      </c>
    </row>
    <row r="5893" spans="1:21" s="30" customFormat="1" ht="24.6" hidden="1" outlineLevel="1" x14ac:dyDescent="0.55000000000000004">
      <c r="A5893" s="27" t="s">
        <v>327</v>
      </c>
      <c r="B5893" s="28"/>
      <c r="C5893" s="27"/>
      <c r="D5893" s="27" t="str">
        <f>"""NAV Direct"",""CRONUS JetCorp USA"",""21"",""1"",""289807"""</f>
        <v>"NAV Direct","CRONUS JetCorp USA","21","1","289807"</v>
      </c>
      <c r="E5893" s="31">
        <f t="shared" si="1776"/>
        <v>0</v>
      </c>
      <c r="F5893" s="31"/>
      <c r="G5893" s="31"/>
      <c r="H5893" s="31"/>
      <c r="I5893" s="56"/>
      <c r="J5893" s="56"/>
      <c r="K5893" s="82" t="str">
        <f t="shared" si="1777"/>
        <v>Invoice</v>
      </c>
      <c r="L5893" s="83" t="str">
        <f>"SI_108908"</f>
        <v>SI_108908</v>
      </c>
      <c r="M5893" s="84">
        <v>43241</v>
      </c>
      <c r="N5893" s="85">
        <f t="shared" si="1778"/>
        <v>571</v>
      </c>
      <c r="O5893" s="86">
        <f t="shared" si="1779"/>
        <v>1830</v>
      </c>
      <c r="P5893" s="86">
        <f t="shared" si="1780"/>
        <v>0</v>
      </c>
      <c r="Q5893" s="86">
        <f t="shared" si="1781"/>
        <v>0</v>
      </c>
      <c r="R5893" s="86">
        <f t="shared" si="1782"/>
        <v>0</v>
      </c>
      <c r="S5893" s="86">
        <f t="shared" si="1783"/>
        <v>0</v>
      </c>
      <c r="T5893" s="86">
        <f t="shared" si="1784"/>
        <v>1830</v>
      </c>
      <c r="U5893" s="87">
        <v>1830</v>
      </c>
    </row>
    <row r="5894" spans="1:21" s="30" customFormat="1" ht="24.6" hidden="1" outlineLevel="1" x14ac:dyDescent="0.55000000000000004">
      <c r="A5894" s="27" t="s">
        <v>327</v>
      </c>
      <c r="B5894" s="28"/>
      <c r="C5894" s="27"/>
      <c r="D5894" s="27" t="str">
        <f>"""NAV Direct"",""CRONUS JetCorp USA"",""21"",""1"",""290478"""</f>
        <v>"NAV Direct","CRONUS JetCorp USA","21","1","290478"</v>
      </c>
      <c r="E5894" s="31" t="str">
        <f t="shared" si="1776"/>
        <v>C100508</v>
      </c>
      <c r="F5894" s="31"/>
      <c r="G5894" s="31"/>
      <c r="H5894" s="31"/>
      <c r="I5894" s="56"/>
      <c r="J5894" s="56"/>
      <c r="K5894" s="82" t="str">
        <f t="shared" si="1777"/>
        <v>Invoice</v>
      </c>
      <c r="L5894" s="83" t="str">
        <f>"SI_108931"</f>
        <v>SI_108931</v>
      </c>
      <c r="M5894" s="84">
        <v>43264</v>
      </c>
      <c r="N5894" s="85">
        <f t="shared" si="1778"/>
        <v>548</v>
      </c>
      <c r="O5894" s="86">
        <f t="shared" si="1779"/>
        <v>1830.1100000000001</v>
      </c>
      <c r="P5894" s="86">
        <f t="shared" si="1780"/>
        <v>0</v>
      </c>
      <c r="Q5894" s="86">
        <f t="shared" si="1781"/>
        <v>0</v>
      </c>
      <c r="R5894" s="86">
        <f t="shared" si="1782"/>
        <v>0</v>
      </c>
      <c r="S5894" s="86">
        <f t="shared" si="1783"/>
        <v>0</v>
      </c>
      <c r="T5894" s="86">
        <f t="shared" si="1784"/>
        <v>1830.1100000000001</v>
      </c>
      <c r="U5894" s="87">
        <v>1830.1100000000001</v>
      </c>
    </row>
    <row r="5895" spans="1:21" s="30" customFormat="1" ht="24.6" hidden="1" outlineLevel="1" x14ac:dyDescent="0.55000000000000004">
      <c r="A5895" s="27" t="s">
        <v>327</v>
      </c>
      <c r="B5895" s="28"/>
      <c r="C5895" s="27"/>
      <c r="D5895" s="27" t="str">
        <f>"""NAV Direct"",""CRONUS JetCorp USA"",""21"",""1"",""290924"""</f>
        <v>"NAV Direct","CRONUS JetCorp USA","21","1","290924"</v>
      </c>
      <c r="E5895" s="31">
        <f t="shared" si="1776"/>
        <v>0</v>
      </c>
      <c r="F5895" s="31"/>
      <c r="G5895" s="31"/>
      <c r="H5895" s="31"/>
      <c r="I5895" s="56"/>
      <c r="J5895" s="56"/>
      <c r="K5895" s="82" t="str">
        <f t="shared" si="1777"/>
        <v>Invoice</v>
      </c>
      <c r="L5895" s="83" t="str">
        <f>"SI_108945"</f>
        <v>SI_108945</v>
      </c>
      <c r="M5895" s="84">
        <v>43339</v>
      </c>
      <c r="N5895" s="85">
        <f t="shared" si="1778"/>
        <v>473</v>
      </c>
      <c r="O5895" s="86">
        <f t="shared" si="1779"/>
        <v>2012.9699999999998</v>
      </c>
      <c r="P5895" s="86">
        <f t="shared" si="1780"/>
        <v>0</v>
      </c>
      <c r="Q5895" s="86">
        <f t="shared" si="1781"/>
        <v>0</v>
      </c>
      <c r="R5895" s="86">
        <f t="shared" si="1782"/>
        <v>0</v>
      </c>
      <c r="S5895" s="86">
        <f t="shared" si="1783"/>
        <v>0</v>
      </c>
      <c r="T5895" s="86">
        <f t="shared" si="1784"/>
        <v>2012.9699999999998</v>
      </c>
      <c r="U5895" s="87">
        <v>2012.9699999999998</v>
      </c>
    </row>
    <row r="5896" spans="1:21" s="30" customFormat="1" ht="24.6" hidden="1" outlineLevel="1" x14ac:dyDescent="0.55000000000000004">
      <c r="A5896" s="27" t="s">
        <v>327</v>
      </c>
      <c r="B5896" s="28"/>
      <c r="C5896" s="27"/>
      <c r="D5896" s="27" t="str">
        <f>"""NAV Direct"",""CRONUS JetCorp USA"",""21"",""1"",""290966"""</f>
        <v>"NAV Direct","CRONUS JetCorp USA","21","1","290966"</v>
      </c>
      <c r="E5896" s="31" t="str">
        <f t="shared" si="1776"/>
        <v>C100508</v>
      </c>
      <c r="F5896" s="31"/>
      <c r="G5896" s="31"/>
      <c r="H5896" s="31"/>
      <c r="I5896" s="56"/>
      <c r="J5896" s="56"/>
      <c r="K5896" s="82" t="str">
        <f t="shared" si="1777"/>
        <v>Invoice</v>
      </c>
      <c r="L5896" s="83" t="str">
        <f>"SI_108947"</f>
        <v>SI_108947</v>
      </c>
      <c r="M5896" s="84">
        <v>43334</v>
      </c>
      <c r="N5896" s="85">
        <f t="shared" si="1778"/>
        <v>478</v>
      </c>
      <c r="O5896" s="86">
        <f t="shared" si="1779"/>
        <v>2013.08</v>
      </c>
      <c r="P5896" s="86">
        <f t="shared" si="1780"/>
        <v>0</v>
      </c>
      <c r="Q5896" s="86">
        <f t="shared" si="1781"/>
        <v>0</v>
      </c>
      <c r="R5896" s="86">
        <f t="shared" si="1782"/>
        <v>0</v>
      </c>
      <c r="S5896" s="86">
        <f t="shared" si="1783"/>
        <v>0</v>
      </c>
      <c r="T5896" s="86">
        <f t="shared" si="1784"/>
        <v>2013.08</v>
      </c>
      <c r="U5896" s="87">
        <v>2013.08</v>
      </c>
    </row>
    <row r="5897" spans="1:21" s="30" customFormat="1" ht="24.6" hidden="1" outlineLevel="1" x14ac:dyDescent="0.55000000000000004">
      <c r="A5897" s="27" t="s">
        <v>327</v>
      </c>
      <c r="B5897" s="28"/>
      <c r="C5897" s="27"/>
      <c r="D5897" s="27" t="str">
        <f>"""NAV Direct"",""CRONUS JetCorp USA"",""21"",""1"",""291457"""</f>
        <v>"NAV Direct","CRONUS JetCorp USA","21","1","291457"</v>
      </c>
      <c r="E5897" s="31">
        <f t="shared" si="1776"/>
        <v>0</v>
      </c>
      <c r="F5897" s="31"/>
      <c r="G5897" s="31"/>
      <c r="H5897" s="31"/>
      <c r="I5897" s="56"/>
      <c r="J5897" s="56"/>
      <c r="K5897" s="82" t="str">
        <f t="shared" si="1777"/>
        <v>Invoice</v>
      </c>
      <c r="L5897" s="83" t="str">
        <f>"SI_108963"</f>
        <v>SI_108963</v>
      </c>
      <c r="M5897" s="84">
        <v>43363</v>
      </c>
      <c r="N5897" s="85">
        <f t="shared" si="1778"/>
        <v>449</v>
      </c>
      <c r="O5897" s="86">
        <f t="shared" si="1779"/>
        <v>2013.11</v>
      </c>
      <c r="P5897" s="86">
        <f t="shared" si="1780"/>
        <v>0</v>
      </c>
      <c r="Q5897" s="86">
        <f t="shared" si="1781"/>
        <v>0</v>
      </c>
      <c r="R5897" s="86">
        <f t="shared" si="1782"/>
        <v>0</v>
      </c>
      <c r="S5897" s="86">
        <f t="shared" si="1783"/>
        <v>0</v>
      </c>
      <c r="T5897" s="86">
        <f t="shared" si="1784"/>
        <v>2013.11</v>
      </c>
      <c r="U5897" s="87">
        <v>2013.11</v>
      </c>
    </row>
    <row r="5898" spans="1:21" s="30" customFormat="1" ht="24.6" hidden="1" outlineLevel="1" x14ac:dyDescent="0.55000000000000004">
      <c r="A5898" s="27" t="s">
        <v>327</v>
      </c>
      <c r="B5898" s="28"/>
      <c r="C5898" s="27"/>
      <c r="D5898" s="27" t="str">
        <f>"""NAV Direct"",""CRONUS JetCorp USA"",""21"",""1"",""293773"""</f>
        <v>"NAV Direct","CRONUS JetCorp USA","21","1","293773"</v>
      </c>
      <c r="E5898" s="31" t="str">
        <f t="shared" si="1776"/>
        <v>C100508</v>
      </c>
      <c r="F5898" s="31"/>
      <c r="G5898" s="31"/>
      <c r="H5898" s="31"/>
      <c r="I5898" s="56"/>
      <c r="J5898" s="56"/>
      <c r="K5898" s="82" t="str">
        <f t="shared" si="1777"/>
        <v>Invoice</v>
      </c>
      <c r="L5898" s="83" t="str">
        <f>"SI_109042"</f>
        <v>SI_109042</v>
      </c>
      <c r="M5898" s="84">
        <v>43524</v>
      </c>
      <c r="N5898" s="85">
        <f t="shared" si="1778"/>
        <v>288</v>
      </c>
      <c r="O5898" s="86">
        <f t="shared" si="1779"/>
        <v>2435.81</v>
      </c>
      <c r="P5898" s="86">
        <f t="shared" si="1780"/>
        <v>0</v>
      </c>
      <c r="Q5898" s="86">
        <f t="shared" si="1781"/>
        <v>0</v>
      </c>
      <c r="R5898" s="86">
        <f t="shared" si="1782"/>
        <v>0</v>
      </c>
      <c r="S5898" s="86">
        <f t="shared" si="1783"/>
        <v>0</v>
      </c>
      <c r="T5898" s="86">
        <f t="shared" si="1784"/>
        <v>2435.81</v>
      </c>
      <c r="U5898" s="87">
        <v>2435.81</v>
      </c>
    </row>
    <row r="5899" spans="1:21" s="30" customFormat="1" ht="24.6" hidden="1" outlineLevel="1" x14ac:dyDescent="0.55000000000000004">
      <c r="A5899" s="27" t="s">
        <v>327</v>
      </c>
      <c r="B5899" s="28"/>
      <c r="C5899" s="27"/>
      <c r="D5899" s="27" t="str">
        <f>"""NAV Direct"",""CRONUS JetCorp USA"",""21"",""1"",""293839"""</f>
        <v>"NAV Direct","CRONUS JetCorp USA","21","1","293839"</v>
      </c>
      <c r="E5899" s="31">
        <f t="shared" si="1776"/>
        <v>0</v>
      </c>
      <c r="F5899" s="31"/>
      <c r="G5899" s="31"/>
      <c r="H5899" s="31"/>
      <c r="I5899" s="56"/>
      <c r="J5899" s="56"/>
      <c r="K5899" s="82" t="str">
        <f t="shared" si="1777"/>
        <v>Invoice</v>
      </c>
      <c r="L5899" s="83" t="str">
        <f>"SI_109044"</f>
        <v>SI_109044</v>
      </c>
      <c r="M5899" s="84">
        <v>43523</v>
      </c>
      <c r="N5899" s="85">
        <f t="shared" si="1778"/>
        <v>289</v>
      </c>
      <c r="O5899" s="86">
        <f t="shared" si="1779"/>
        <v>2435.9</v>
      </c>
      <c r="P5899" s="86">
        <f t="shared" si="1780"/>
        <v>0</v>
      </c>
      <c r="Q5899" s="86">
        <f t="shared" si="1781"/>
        <v>0</v>
      </c>
      <c r="R5899" s="86">
        <f t="shared" si="1782"/>
        <v>0</v>
      </c>
      <c r="S5899" s="86">
        <f t="shared" si="1783"/>
        <v>0</v>
      </c>
      <c r="T5899" s="86">
        <f t="shared" si="1784"/>
        <v>2435.9</v>
      </c>
      <c r="U5899" s="87">
        <v>2435.9</v>
      </c>
    </row>
    <row r="5900" spans="1:21" s="30" customFormat="1" ht="24.6" hidden="1" outlineLevel="1" x14ac:dyDescent="0.55000000000000004">
      <c r="A5900" s="27" t="s">
        <v>327</v>
      </c>
      <c r="B5900" s="28"/>
      <c r="C5900" s="27"/>
      <c r="D5900" s="27" t="str">
        <f>"""NAV Direct"",""CRONUS JetCorp USA"",""21"",""1"",""293939"""</f>
        <v>"NAV Direct","CRONUS JetCorp USA","21","1","293939"</v>
      </c>
      <c r="E5900" s="31" t="str">
        <f t="shared" si="1776"/>
        <v>C100508</v>
      </c>
      <c r="F5900" s="31"/>
      <c r="G5900" s="31"/>
      <c r="H5900" s="31"/>
      <c r="I5900" s="56"/>
      <c r="J5900" s="56"/>
      <c r="K5900" s="82" t="str">
        <f t="shared" si="1777"/>
        <v>Invoice</v>
      </c>
      <c r="L5900" s="83" t="str">
        <f>"SI_109047"</f>
        <v>SI_109047</v>
      </c>
      <c r="M5900" s="84">
        <v>43539</v>
      </c>
      <c r="N5900" s="85">
        <f t="shared" si="1778"/>
        <v>273</v>
      </c>
      <c r="O5900" s="86">
        <f t="shared" si="1779"/>
        <v>2435.87</v>
      </c>
      <c r="P5900" s="86">
        <f t="shared" si="1780"/>
        <v>0</v>
      </c>
      <c r="Q5900" s="86">
        <f t="shared" si="1781"/>
        <v>0</v>
      </c>
      <c r="R5900" s="86">
        <f t="shared" si="1782"/>
        <v>0</v>
      </c>
      <c r="S5900" s="86">
        <f t="shared" si="1783"/>
        <v>0</v>
      </c>
      <c r="T5900" s="86">
        <f t="shared" si="1784"/>
        <v>2435.87</v>
      </c>
      <c r="U5900" s="87">
        <v>2435.87</v>
      </c>
    </row>
    <row r="5901" spans="1:21" s="30" customFormat="1" ht="24.6" hidden="1" outlineLevel="1" x14ac:dyDescent="0.55000000000000004">
      <c r="A5901" s="27" t="s">
        <v>327</v>
      </c>
      <c r="B5901" s="28"/>
      <c r="C5901" s="27"/>
      <c r="D5901" s="27" t="str">
        <f>"""NAV Direct"",""CRONUS JetCorp USA"",""21"",""1"",""296340"""</f>
        <v>"NAV Direct","CRONUS JetCorp USA","21","1","296340"</v>
      </c>
      <c r="E5901" s="31">
        <f t="shared" si="1776"/>
        <v>0</v>
      </c>
      <c r="F5901" s="31"/>
      <c r="G5901" s="31"/>
      <c r="H5901" s="31"/>
      <c r="I5901" s="56"/>
      <c r="J5901" s="56"/>
      <c r="K5901" s="82" t="str">
        <f t="shared" si="1777"/>
        <v>Invoice</v>
      </c>
      <c r="L5901" s="83" t="str">
        <f>"SI_109121"</f>
        <v>SI_109121</v>
      </c>
      <c r="M5901" s="84">
        <v>43688</v>
      </c>
      <c r="N5901" s="85">
        <f t="shared" si="1778"/>
        <v>124</v>
      </c>
      <c r="O5901" s="86">
        <f t="shared" si="1779"/>
        <v>2947.36</v>
      </c>
      <c r="P5901" s="86">
        <f t="shared" si="1780"/>
        <v>0</v>
      </c>
      <c r="Q5901" s="86">
        <f t="shared" si="1781"/>
        <v>0</v>
      </c>
      <c r="R5901" s="86">
        <f t="shared" si="1782"/>
        <v>0</v>
      </c>
      <c r="S5901" s="86">
        <f t="shared" si="1783"/>
        <v>0</v>
      </c>
      <c r="T5901" s="86">
        <f t="shared" si="1784"/>
        <v>2947.36</v>
      </c>
      <c r="U5901" s="87">
        <v>2947.36</v>
      </c>
    </row>
    <row r="5902" spans="1:21" s="30" customFormat="1" ht="24.6" hidden="1" outlineLevel="1" x14ac:dyDescent="0.55000000000000004">
      <c r="A5902" s="27" t="s">
        <v>327</v>
      </c>
      <c r="B5902" s="28"/>
      <c r="C5902" s="27"/>
      <c r="D5902" s="27" t="str">
        <f>"""NAV Direct"",""CRONUS JetCorp USA"",""21"",""1"",""297198"""</f>
        <v>"NAV Direct","CRONUS JetCorp USA","21","1","297198"</v>
      </c>
      <c r="E5902" s="31" t="str">
        <f t="shared" si="1776"/>
        <v>C100508</v>
      </c>
      <c r="F5902" s="31"/>
      <c r="G5902" s="31"/>
      <c r="H5902" s="31"/>
      <c r="I5902" s="56"/>
      <c r="J5902" s="56"/>
      <c r="K5902" s="82" t="str">
        <f t="shared" si="1777"/>
        <v>Invoice</v>
      </c>
      <c r="L5902" s="83" t="str">
        <f>"SI_109148"</f>
        <v>SI_109148</v>
      </c>
      <c r="M5902" s="84">
        <v>43711</v>
      </c>
      <c r="N5902" s="85">
        <f t="shared" si="1778"/>
        <v>101</v>
      </c>
      <c r="O5902" s="86">
        <f t="shared" si="1779"/>
        <v>2947.37</v>
      </c>
      <c r="P5902" s="86">
        <f t="shared" si="1780"/>
        <v>0</v>
      </c>
      <c r="Q5902" s="86">
        <f t="shared" si="1781"/>
        <v>0</v>
      </c>
      <c r="R5902" s="86">
        <f t="shared" si="1782"/>
        <v>0</v>
      </c>
      <c r="S5902" s="86">
        <f t="shared" si="1783"/>
        <v>0</v>
      </c>
      <c r="T5902" s="86">
        <f t="shared" si="1784"/>
        <v>2947.37</v>
      </c>
      <c r="U5902" s="87">
        <v>2947.37</v>
      </c>
    </row>
    <row r="5903" spans="1:21" s="30" customFormat="1" ht="24.6" hidden="1" outlineLevel="1" x14ac:dyDescent="0.55000000000000004">
      <c r="A5903" s="27" t="s">
        <v>327</v>
      </c>
      <c r="B5903" s="28"/>
      <c r="C5903" s="27"/>
      <c r="D5903" s="27" t="str">
        <f>"""NAV Direct"",""CRONUS JetCorp USA"",""21"",""1"",""297268"""</f>
        <v>"NAV Direct","CRONUS JetCorp USA","21","1","297268"</v>
      </c>
      <c r="E5903" s="31">
        <f t="shared" si="1776"/>
        <v>0</v>
      </c>
      <c r="F5903" s="31"/>
      <c r="G5903" s="31"/>
      <c r="H5903" s="31"/>
      <c r="I5903" s="56"/>
      <c r="J5903" s="56"/>
      <c r="K5903" s="82" t="str">
        <f t="shared" si="1777"/>
        <v>Invoice</v>
      </c>
      <c r="L5903" s="83" t="str">
        <f>"SI_109150"</f>
        <v>SI_109150</v>
      </c>
      <c r="M5903" s="84">
        <v>43719</v>
      </c>
      <c r="N5903" s="85">
        <f t="shared" si="1778"/>
        <v>93</v>
      </c>
      <c r="O5903" s="86">
        <f t="shared" si="1779"/>
        <v>2947.44</v>
      </c>
      <c r="P5903" s="86">
        <f t="shared" si="1780"/>
        <v>0</v>
      </c>
      <c r="Q5903" s="86">
        <f t="shared" si="1781"/>
        <v>0</v>
      </c>
      <c r="R5903" s="86">
        <f t="shared" si="1782"/>
        <v>0</v>
      </c>
      <c r="S5903" s="86">
        <f t="shared" si="1783"/>
        <v>0</v>
      </c>
      <c r="T5903" s="86">
        <f t="shared" si="1784"/>
        <v>2947.44</v>
      </c>
      <c r="U5903" s="87">
        <v>2947.44</v>
      </c>
    </row>
    <row r="5904" spans="1:21" s="30" customFormat="1" ht="24.6" hidden="1" outlineLevel="1" x14ac:dyDescent="0.55000000000000004">
      <c r="A5904" s="27" t="s">
        <v>327</v>
      </c>
      <c r="B5904" s="28"/>
      <c r="C5904" s="27"/>
      <c r="D5904" s="27" t="str">
        <f>"""NAV Direct"",""CRONUS JetCorp USA"",""21"",""1"",""297943"""</f>
        <v>"NAV Direct","CRONUS JetCorp USA","21","1","297943"</v>
      </c>
      <c r="E5904" s="31" t="str">
        <f t="shared" si="1776"/>
        <v>C100508</v>
      </c>
      <c r="F5904" s="31"/>
      <c r="G5904" s="31"/>
      <c r="H5904" s="31"/>
      <c r="I5904" s="56"/>
      <c r="J5904" s="56"/>
      <c r="K5904" s="82" t="str">
        <f t="shared" si="1777"/>
        <v>Invoice</v>
      </c>
      <c r="L5904" s="83" t="str">
        <f>"SI_109170"</f>
        <v>SI_109170</v>
      </c>
      <c r="M5904" s="84">
        <v>43733</v>
      </c>
      <c r="N5904" s="85">
        <f t="shared" si="1778"/>
        <v>79</v>
      </c>
      <c r="O5904" s="86">
        <f t="shared" si="1779"/>
        <v>2947.26</v>
      </c>
      <c r="P5904" s="86">
        <f t="shared" si="1780"/>
        <v>0</v>
      </c>
      <c r="Q5904" s="86">
        <f t="shared" si="1781"/>
        <v>0</v>
      </c>
      <c r="R5904" s="86">
        <f t="shared" si="1782"/>
        <v>0</v>
      </c>
      <c r="S5904" s="86">
        <f t="shared" si="1783"/>
        <v>2947.26</v>
      </c>
      <c r="T5904" s="86">
        <f t="shared" si="1784"/>
        <v>0</v>
      </c>
      <c r="U5904" s="87">
        <v>2947.26</v>
      </c>
    </row>
    <row r="5905" spans="1:22" s="30" customFormat="1" ht="24.6" hidden="1" outlineLevel="1" x14ac:dyDescent="0.55000000000000004">
      <c r="A5905" s="27" t="s">
        <v>327</v>
      </c>
      <c r="B5905" s="28"/>
      <c r="C5905" s="27"/>
      <c r="D5905" s="27" t="str">
        <f>"""NAV Direct"",""CRONUS JetCorp USA"",""21"",""1"",""297984"""</f>
        <v>"NAV Direct","CRONUS JetCorp USA","21","1","297984"</v>
      </c>
      <c r="E5905" s="31">
        <f t="shared" si="1776"/>
        <v>0</v>
      </c>
      <c r="F5905" s="31"/>
      <c r="G5905" s="31"/>
      <c r="H5905" s="31"/>
      <c r="I5905" s="56"/>
      <c r="J5905" s="56"/>
      <c r="K5905" s="82" t="str">
        <f t="shared" si="1777"/>
        <v>Invoice</v>
      </c>
      <c r="L5905" s="83" t="str">
        <f>"SI_109171"</f>
        <v>SI_109171</v>
      </c>
      <c r="M5905" s="84">
        <v>43777</v>
      </c>
      <c r="N5905" s="85">
        <f t="shared" si="1778"/>
        <v>35</v>
      </c>
      <c r="O5905" s="86">
        <f t="shared" si="1779"/>
        <v>3242.14</v>
      </c>
      <c r="P5905" s="86">
        <f t="shared" si="1780"/>
        <v>0</v>
      </c>
      <c r="Q5905" s="86">
        <f t="shared" si="1781"/>
        <v>0</v>
      </c>
      <c r="R5905" s="86">
        <f t="shared" si="1782"/>
        <v>3242.14</v>
      </c>
      <c r="S5905" s="86">
        <f t="shared" si="1783"/>
        <v>0</v>
      </c>
      <c r="T5905" s="86">
        <f t="shared" si="1784"/>
        <v>0</v>
      </c>
      <c r="U5905" s="87">
        <v>3242.14</v>
      </c>
    </row>
    <row r="5906" spans="1:22" s="30" customFormat="1" ht="24.6" hidden="1" outlineLevel="1" x14ac:dyDescent="0.55000000000000004">
      <c r="A5906" s="27" t="s">
        <v>327</v>
      </c>
      <c r="B5906" s="28"/>
      <c r="C5906" s="27"/>
      <c r="D5906" s="27" t="str">
        <f>"""NAV Direct"",""CRONUS JetCorp USA"",""21"",""1"",""298553"""</f>
        <v>"NAV Direct","CRONUS JetCorp USA","21","1","298553"</v>
      </c>
      <c r="E5906" s="31" t="str">
        <f t="shared" si="1776"/>
        <v>C100508</v>
      </c>
      <c r="F5906" s="31"/>
      <c r="G5906" s="31"/>
      <c r="H5906" s="31"/>
      <c r="I5906" s="56"/>
      <c r="J5906" s="56"/>
      <c r="K5906" s="82" t="str">
        <f t="shared" si="1777"/>
        <v>Invoice</v>
      </c>
      <c r="L5906" s="83" t="str">
        <f>"SI_109190"</f>
        <v>SI_109190</v>
      </c>
      <c r="M5906" s="84">
        <v>43788</v>
      </c>
      <c r="N5906" s="85">
        <f t="shared" si="1778"/>
        <v>24</v>
      </c>
      <c r="O5906" s="86">
        <f t="shared" si="1779"/>
        <v>3242.21</v>
      </c>
      <c r="P5906" s="86">
        <f t="shared" si="1780"/>
        <v>0</v>
      </c>
      <c r="Q5906" s="86">
        <f t="shared" si="1781"/>
        <v>3242.21</v>
      </c>
      <c r="R5906" s="86">
        <f t="shared" si="1782"/>
        <v>0</v>
      </c>
      <c r="S5906" s="86">
        <f t="shared" si="1783"/>
        <v>0</v>
      </c>
      <c r="T5906" s="86">
        <f t="shared" si="1784"/>
        <v>0</v>
      </c>
      <c r="U5906" s="87">
        <v>3242.21</v>
      </c>
    </row>
    <row r="5907" spans="1:22" s="30" customFormat="1" ht="24.6" hidden="1" outlineLevel="1" x14ac:dyDescent="0.55000000000000004">
      <c r="A5907" s="27" t="s">
        <v>327</v>
      </c>
      <c r="B5907" s="28"/>
      <c r="C5907" s="27"/>
      <c r="D5907" s="27" t="str">
        <f>"""NAV Direct"",""CRONUS JetCorp USA"",""21"",""1"",""300116"""</f>
        <v>"NAV Direct","CRONUS JetCorp USA","21","1","300116"</v>
      </c>
      <c r="E5907" s="31">
        <f t="shared" si="1776"/>
        <v>0</v>
      </c>
      <c r="F5907" s="31"/>
      <c r="G5907" s="31"/>
      <c r="H5907" s="31"/>
      <c r="I5907" s="56"/>
      <c r="J5907" s="56"/>
      <c r="K5907" s="82" t="str">
        <f t="shared" si="1777"/>
        <v>Invoice</v>
      </c>
      <c r="L5907" s="83" t="str">
        <f>"SI_109236"</f>
        <v>SI_109236</v>
      </c>
      <c r="M5907" s="84">
        <v>42053</v>
      </c>
      <c r="N5907" s="85">
        <f t="shared" si="1778"/>
        <v>1759</v>
      </c>
      <c r="O5907" s="86">
        <f t="shared" si="1779"/>
        <v>3566.4</v>
      </c>
      <c r="P5907" s="86">
        <f t="shared" si="1780"/>
        <v>0</v>
      </c>
      <c r="Q5907" s="86">
        <f t="shared" si="1781"/>
        <v>0</v>
      </c>
      <c r="R5907" s="86">
        <f t="shared" si="1782"/>
        <v>0</v>
      </c>
      <c r="S5907" s="86">
        <f t="shared" si="1783"/>
        <v>0</v>
      </c>
      <c r="T5907" s="86">
        <f t="shared" si="1784"/>
        <v>3566.4</v>
      </c>
      <c r="U5907" s="87">
        <v>3566.4</v>
      </c>
    </row>
    <row r="5908" spans="1:22" s="30" customFormat="1" ht="24.6" hidden="1" outlineLevel="1" x14ac:dyDescent="0.55000000000000004">
      <c r="A5908" s="27" t="s">
        <v>327</v>
      </c>
      <c r="B5908" s="28"/>
      <c r="C5908" s="27"/>
      <c r="D5908" s="27" t="str">
        <f>"""NAV Direct"",""CRONUS JetCorp USA"",""21"",""1"",""300221"""</f>
        <v>"NAV Direct","CRONUS JetCorp USA","21","1","300221"</v>
      </c>
      <c r="E5908" s="31" t="str">
        <f t="shared" si="1776"/>
        <v>C100508</v>
      </c>
      <c r="F5908" s="31"/>
      <c r="G5908" s="31"/>
      <c r="H5908" s="31"/>
      <c r="I5908" s="56"/>
      <c r="J5908" s="56"/>
      <c r="K5908" s="82" t="str">
        <f t="shared" si="1777"/>
        <v>Invoice</v>
      </c>
      <c r="L5908" s="83" t="str">
        <f>"SI_109239"</f>
        <v>SI_109239</v>
      </c>
      <c r="M5908" s="84">
        <v>42052</v>
      </c>
      <c r="N5908" s="85">
        <f t="shared" si="1778"/>
        <v>1760</v>
      </c>
      <c r="O5908" s="86">
        <f t="shared" si="1779"/>
        <v>3566.39</v>
      </c>
      <c r="P5908" s="86">
        <f t="shared" si="1780"/>
        <v>0</v>
      </c>
      <c r="Q5908" s="86">
        <f t="shared" si="1781"/>
        <v>0</v>
      </c>
      <c r="R5908" s="86">
        <f t="shared" si="1782"/>
        <v>0</v>
      </c>
      <c r="S5908" s="86">
        <f t="shared" si="1783"/>
        <v>0</v>
      </c>
      <c r="T5908" s="86">
        <f t="shared" si="1784"/>
        <v>3566.39</v>
      </c>
      <c r="U5908" s="87">
        <v>3566.39</v>
      </c>
    </row>
    <row r="5909" spans="1:22" s="30" customFormat="1" ht="24.6" hidden="1" outlineLevel="1" x14ac:dyDescent="0.55000000000000004">
      <c r="A5909" s="27" t="s">
        <v>327</v>
      </c>
      <c r="B5909" s="28"/>
      <c r="C5909" s="27"/>
      <c r="D5909" s="27" t="str">
        <f>"""NAV Direct"",""CRONUS JetCorp USA"",""21"",""1"",""300959"""</f>
        <v>"NAV Direct","CRONUS JetCorp USA","21","1","300959"</v>
      </c>
      <c r="E5909" s="31">
        <f t="shared" si="1776"/>
        <v>0</v>
      </c>
      <c r="F5909" s="31"/>
      <c r="G5909" s="31"/>
      <c r="H5909" s="31"/>
      <c r="I5909" s="56"/>
      <c r="J5909" s="56"/>
      <c r="K5909" s="82" t="str">
        <f t="shared" si="1777"/>
        <v>Invoice</v>
      </c>
      <c r="L5909" s="83" t="str">
        <f>"SI_109261"</f>
        <v>SI_109261</v>
      </c>
      <c r="M5909" s="84">
        <v>42074</v>
      </c>
      <c r="N5909" s="85">
        <f t="shared" si="1778"/>
        <v>1738</v>
      </c>
      <c r="O5909" s="86">
        <f t="shared" si="1779"/>
        <v>3566.3700000000003</v>
      </c>
      <c r="P5909" s="86">
        <f t="shared" si="1780"/>
        <v>0</v>
      </c>
      <c r="Q5909" s="86">
        <f t="shared" si="1781"/>
        <v>0</v>
      </c>
      <c r="R5909" s="86">
        <f t="shared" si="1782"/>
        <v>0</v>
      </c>
      <c r="S5909" s="86">
        <f t="shared" si="1783"/>
        <v>0</v>
      </c>
      <c r="T5909" s="86">
        <f t="shared" si="1784"/>
        <v>3566.3700000000003</v>
      </c>
      <c r="U5909" s="87">
        <v>3566.3700000000003</v>
      </c>
    </row>
    <row r="5910" spans="1:22" s="30" customFormat="1" ht="24.6" hidden="1" outlineLevel="1" x14ac:dyDescent="0.55000000000000004">
      <c r="A5910" s="27" t="s">
        <v>327</v>
      </c>
      <c r="B5910" s="28"/>
      <c r="C5910" s="27"/>
      <c r="D5910" s="27" t="str">
        <f>"""NAV Direct"",""CRONUS JetCorp USA"",""21"",""1"",""301557"""</f>
        <v>"NAV Direct","CRONUS JetCorp USA","21","1","301557"</v>
      </c>
      <c r="E5910" s="31" t="str">
        <f t="shared" si="1776"/>
        <v>C100508</v>
      </c>
      <c r="F5910" s="31"/>
      <c r="G5910" s="31"/>
      <c r="H5910" s="31"/>
      <c r="I5910" s="56"/>
      <c r="J5910" s="56"/>
      <c r="K5910" s="82" t="str">
        <f t="shared" si="1777"/>
        <v>Invoice</v>
      </c>
      <c r="L5910" s="83" t="str">
        <f>"SI_109278"</f>
        <v>SI_109278</v>
      </c>
      <c r="M5910" s="84">
        <v>42086</v>
      </c>
      <c r="N5910" s="85">
        <f t="shared" si="1778"/>
        <v>1726</v>
      </c>
      <c r="O5910" s="86">
        <f t="shared" si="1779"/>
        <v>3566.3700000000003</v>
      </c>
      <c r="P5910" s="86">
        <f t="shared" si="1780"/>
        <v>0</v>
      </c>
      <c r="Q5910" s="86">
        <f t="shared" si="1781"/>
        <v>0</v>
      </c>
      <c r="R5910" s="86">
        <f t="shared" si="1782"/>
        <v>0</v>
      </c>
      <c r="S5910" s="86">
        <f t="shared" si="1783"/>
        <v>0</v>
      </c>
      <c r="T5910" s="86">
        <f t="shared" si="1784"/>
        <v>3566.3700000000003</v>
      </c>
      <c r="U5910" s="87">
        <v>3566.3700000000003</v>
      </c>
    </row>
    <row r="5911" spans="1:22" s="30" customFormat="1" ht="24.6" hidden="1" outlineLevel="1" x14ac:dyDescent="0.55000000000000004">
      <c r="A5911" s="27" t="s">
        <v>327</v>
      </c>
      <c r="B5911" s="28"/>
      <c r="C5911" s="27"/>
      <c r="D5911" s="27" t="str">
        <f>"""NAV Direct"",""CRONUS JetCorp USA"",""21"",""1"",""302676"""</f>
        <v>"NAV Direct","CRONUS JetCorp USA","21","1","302676"</v>
      </c>
      <c r="E5911" s="31">
        <f t="shared" si="1776"/>
        <v>0</v>
      </c>
      <c r="F5911" s="31"/>
      <c r="G5911" s="31"/>
      <c r="H5911" s="31"/>
      <c r="I5911" s="56"/>
      <c r="J5911" s="56"/>
      <c r="K5911" s="82" t="str">
        <f t="shared" si="1777"/>
        <v>Invoice</v>
      </c>
      <c r="L5911" s="83" t="str">
        <f>"SI_109310"</f>
        <v>SI_109310</v>
      </c>
      <c r="M5911" s="84">
        <v>42152</v>
      </c>
      <c r="N5911" s="85">
        <f t="shared" si="1778"/>
        <v>1660</v>
      </c>
      <c r="O5911" s="86">
        <f t="shared" si="1779"/>
        <v>3922.9900000000002</v>
      </c>
      <c r="P5911" s="86">
        <f t="shared" si="1780"/>
        <v>0</v>
      </c>
      <c r="Q5911" s="86">
        <f t="shared" si="1781"/>
        <v>0</v>
      </c>
      <c r="R5911" s="86">
        <f t="shared" si="1782"/>
        <v>0</v>
      </c>
      <c r="S5911" s="86">
        <f t="shared" si="1783"/>
        <v>0</v>
      </c>
      <c r="T5911" s="86">
        <f t="shared" si="1784"/>
        <v>3922.9900000000002</v>
      </c>
      <c r="U5911" s="87">
        <v>3922.9900000000002</v>
      </c>
    </row>
    <row r="5912" spans="1:22" s="22" customFormat="1" ht="20.399999999999999" collapsed="1" x14ac:dyDescent="0.45">
      <c r="A5912" s="12" t="s">
        <v>327</v>
      </c>
      <c r="B5912" s="19"/>
      <c r="C5912" s="12"/>
      <c r="D5912" s="12"/>
      <c r="E5912" s="23"/>
      <c r="F5912" s="23"/>
      <c r="G5912" s="23"/>
      <c r="H5912" s="23"/>
      <c r="I5912" s="49"/>
      <c r="J5912" s="88"/>
      <c r="K5912" s="88"/>
      <c r="L5912" s="89"/>
      <c r="M5912" s="89"/>
      <c r="N5912" s="89"/>
      <c r="O5912" s="89"/>
      <c r="P5912" s="89"/>
      <c r="Q5912" s="90"/>
      <c r="R5912" s="90"/>
      <c r="S5912" s="91"/>
      <c r="T5912" s="92"/>
      <c r="U5912" s="92"/>
    </row>
    <row r="5913" spans="1:22" s="22" customFormat="1" ht="20.399999999999999" x14ac:dyDescent="0.45">
      <c r="A5913" s="12" t="s">
        <v>327</v>
      </c>
      <c r="B5913" s="19"/>
      <c r="C5913" s="12"/>
      <c r="D5913" s="12"/>
      <c r="E5913" s="23"/>
      <c r="F5913" s="23"/>
      <c r="G5913" s="23"/>
      <c r="H5913" s="23"/>
      <c r="I5913" s="49"/>
      <c r="J5913" s="88"/>
      <c r="K5913" s="88"/>
      <c r="L5913" s="89"/>
      <c r="M5913" s="89"/>
      <c r="N5913" s="89"/>
      <c r="O5913" s="89"/>
      <c r="P5913" s="89"/>
      <c r="Q5913" s="90"/>
      <c r="R5913" s="90"/>
      <c r="S5913" s="91"/>
      <c r="T5913" s="92"/>
      <c r="U5913" s="92"/>
    </row>
    <row r="5914" spans="1:22" s="26" customFormat="1" ht="24.6" x14ac:dyDescent="0.55000000000000004">
      <c r="A5914" s="27" t="s">
        <v>327</v>
      </c>
      <c r="B5914" s="28"/>
      <c r="C5914" s="27" t="str">
        <f>"""NAV Direct"",""CRONUS JetCorp USA"",""18"",""1"",""C100509"""</f>
        <v>"NAV Direct","CRONUS JetCorp USA","18","1","C100509"</v>
      </c>
      <c r="D5914" s="27"/>
      <c r="E5914" s="28" t="str">
        <f>H5914</f>
        <v>C100509</v>
      </c>
      <c r="F5914" s="28"/>
      <c r="G5914" s="28"/>
      <c r="H5914" s="28" t="str">
        <f>"C100509"</f>
        <v>C100509</v>
      </c>
      <c r="I5914" s="116" t="str">
        <f>"C100509  -  KNB Trophies"</f>
        <v>C100509  -  KNB Trophies</v>
      </c>
      <c r="J5914" s="117" t="str">
        <f>""</f>
        <v/>
      </c>
      <c r="K5914" s="118"/>
      <c r="L5914" s="119">
        <f>SUBTOTAL(3,L5915:L5940)</f>
        <v>22</v>
      </c>
      <c r="M5914" s="118"/>
      <c r="N5914" s="118"/>
      <c r="O5914" s="120">
        <f t="shared" ref="O5914:T5914" si="1785">SUBTOTAL(9,O5915:O5940)</f>
        <v>48455.060000000005</v>
      </c>
      <c r="P5914" s="120">
        <f t="shared" si="1785"/>
        <v>0</v>
      </c>
      <c r="Q5914" s="120">
        <f t="shared" si="1785"/>
        <v>705.56000000000006</v>
      </c>
      <c r="R5914" s="120">
        <f t="shared" si="1785"/>
        <v>3242.17</v>
      </c>
      <c r="S5914" s="120">
        <f t="shared" si="1785"/>
        <v>5894.61</v>
      </c>
      <c r="T5914" s="120">
        <f t="shared" si="1785"/>
        <v>38612.720000000001</v>
      </c>
      <c r="U5914" s="81"/>
    </row>
    <row r="5915" spans="1:22" s="26" customFormat="1" ht="24.6" x14ac:dyDescent="0.55000000000000004">
      <c r="A5915" s="27" t="s">
        <v>327</v>
      </c>
      <c r="B5915" s="28"/>
      <c r="C5915" s="27" t="str">
        <f>C5914</f>
        <v>"NAV Direct","CRONUS JetCorp USA","18","1","C100509"</v>
      </c>
      <c r="D5915" s="27"/>
      <c r="E5915" s="28" t="str">
        <f>E5914</f>
        <v>C100509</v>
      </c>
      <c r="F5915" s="28"/>
      <c r="G5915" s="28"/>
      <c r="H5915" s="28"/>
      <c r="I5915" s="121" t="str">
        <f>"Contact: Mark Mailstrom"</f>
        <v>Contact: Mark Mailstrom</v>
      </c>
      <c r="J5915" s="121"/>
      <c r="K5915" s="122"/>
      <c r="L5915" s="123"/>
      <c r="M5915" s="123"/>
      <c r="N5915" s="124"/>
      <c r="O5915" s="124"/>
      <c r="P5915" s="123"/>
      <c r="Q5915" s="125"/>
      <c r="R5915" s="126"/>
      <c r="S5915" s="126"/>
      <c r="T5915" s="125"/>
      <c r="U5915" s="81"/>
    </row>
    <row r="5916" spans="1:22" s="26" customFormat="1" ht="24.6" x14ac:dyDescent="0.55000000000000004">
      <c r="A5916" s="27" t="s">
        <v>327</v>
      </c>
      <c r="B5916" s="28"/>
      <c r="C5916" s="27" t="str">
        <f>C5915</f>
        <v>"NAV Direct","CRONUS JetCorp USA","18","1","C100509"</v>
      </c>
      <c r="D5916" s="27"/>
      <c r="E5916" s="28" t="str">
        <f>E5915</f>
        <v>C100509</v>
      </c>
      <c r="F5916" s="28"/>
      <c r="G5916" s="28"/>
      <c r="H5916" s="28"/>
      <c r="I5916" s="121" t="str">
        <f>"KNB Trophies@cronuscorp.net"</f>
        <v>KNB Trophies@cronuscorp.net</v>
      </c>
      <c r="J5916" s="121"/>
      <c r="K5916" s="122"/>
      <c r="L5916" s="124"/>
      <c r="M5916" s="124"/>
      <c r="N5916" s="124"/>
      <c r="O5916" s="124"/>
      <c r="P5916" s="123"/>
      <c r="Q5916" s="125"/>
      <c r="R5916" s="126"/>
      <c r="S5916" s="126"/>
      <c r="T5916" s="125"/>
      <c r="U5916" s="81"/>
    </row>
    <row r="5917" spans="1:22" ht="12.75" hidden="1" customHeight="1" outlineLevel="1" x14ac:dyDescent="0.45">
      <c r="A5917" s="12" t="s">
        <v>328</v>
      </c>
      <c r="B5917" s="19"/>
      <c r="E5917" s="19"/>
      <c r="F5917" s="19"/>
      <c r="G5917" s="19"/>
      <c r="H5917" s="19"/>
      <c r="I5917" s="61"/>
      <c r="J5917" s="61"/>
      <c r="K5917" s="61"/>
      <c r="L5917" s="61"/>
      <c r="M5917" s="61"/>
      <c r="N5917" s="61"/>
      <c r="O5917" s="61"/>
      <c r="P5917" s="61"/>
      <c r="Q5917" s="61"/>
      <c r="R5917" s="61"/>
      <c r="S5917" s="61"/>
      <c r="T5917" s="61"/>
      <c r="U5917" s="61"/>
      <c r="V5917" s="21"/>
    </row>
    <row r="5918" spans="1:22" s="30" customFormat="1" ht="24.6" hidden="1" outlineLevel="1" x14ac:dyDescent="0.55000000000000004">
      <c r="A5918" s="27" t="s">
        <v>327</v>
      </c>
      <c r="B5918" s="28"/>
      <c r="C5918" s="27"/>
      <c r="D5918" s="27" t="str">
        <f>"""NAV Direct"",""CRONUS JetCorp USA"",""21"",""1"",""281698"""</f>
        <v>"NAV Direct","CRONUS JetCorp USA","21","1","281698"</v>
      </c>
      <c r="E5918" s="31" t="str">
        <f t="shared" ref="E5918:E5939" si="1786">E5916</f>
        <v>C100509</v>
      </c>
      <c r="F5918" s="31"/>
      <c r="G5918" s="31"/>
      <c r="H5918" s="31"/>
      <c r="I5918" s="56"/>
      <c r="J5918" s="56"/>
      <c r="K5918" s="82" t="str">
        <f t="shared" ref="K5918:K5939" si="1787">"Invoice"</f>
        <v>Invoice</v>
      </c>
      <c r="L5918" s="83" t="str">
        <f>"SI_108620"</f>
        <v>SI_108620</v>
      </c>
      <c r="M5918" s="84">
        <v>43784</v>
      </c>
      <c r="N5918" s="85">
        <f t="shared" ref="N5918:N5939" si="1788">StartDate-$M5918+1</f>
        <v>28</v>
      </c>
      <c r="O5918" s="86">
        <f t="shared" ref="O5918:O5939" si="1789">SUM(P5918:T5918)</f>
        <v>705.56000000000006</v>
      </c>
      <c r="P5918" s="86">
        <f t="shared" ref="P5918:P5939" si="1790">IF($M5918&gt;=$P$18,U5918,0)</f>
        <v>0</v>
      </c>
      <c r="Q5918" s="86">
        <f t="shared" ref="Q5918:Q5939" si="1791">IF(AND($M5918&gt;=$Q$16,$M5918&lt;=$Q$18),U5918,0)</f>
        <v>705.56000000000006</v>
      </c>
      <c r="R5918" s="86">
        <f t="shared" ref="R5918:R5939" si="1792">IF(AND($M5918&gt;=$R$16,$M5918&lt;=$R$18),U5918,0)</f>
        <v>0</v>
      </c>
      <c r="S5918" s="86">
        <f t="shared" ref="S5918:S5939" si="1793">IF(AND($M5918&gt;=$S$16,$M5918&lt;=$S$18),U5918,0)</f>
        <v>0</v>
      </c>
      <c r="T5918" s="86">
        <f t="shared" ref="T5918:T5939" si="1794">IF($M5918&lt;=$T$18,U5918,0)</f>
        <v>0</v>
      </c>
      <c r="U5918" s="87">
        <v>705.56000000000006</v>
      </c>
    </row>
    <row r="5919" spans="1:22" s="30" customFormat="1" ht="24.6" hidden="1" outlineLevel="1" x14ac:dyDescent="0.55000000000000004">
      <c r="A5919" s="27" t="s">
        <v>327</v>
      </c>
      <c r="B5919" s="28"/>
      <c r="C5919" s="27"/>
      <c r="D5919" s="27" t="str">
        <f>"""NAV Direct"",""CRONUS JetCorp USA"",""21"",""1"",""282808"""</f>
        <v>"NAV Direct","CRONUS JetCorp USA","21","1","282808"</v>
      </c>
      <c r="E5919" s="31">
        <f t="shared" si="1786"/>
        <v>0</v>
      </c>
      <c r="F5919" s="31"/>
      <c r="G5919" s="31"/>
      <c r="H5919" s="31"/>
      <c r="I5919" s="56"/>
      <c r="J5919" s="56"/>
      <c r="K5919" s="82" t="str">
        <f t="shared" si="1787"/>
        <v>Invoice</v>
      </c>
      <c r="L5919" s="83" t="str">
        <f>"SI_108662"</f>
        <v>SI_108662</v>
      </c>
      <c r="M5919" s="84">
        <v>42139</v>
      </c>
      <c r="N5919" s="85">
        <f t="shared" si="1788"/>
        <v>1673</v>
      </c>
      <c r="O5919" s="86">
        <f t="shared" si="1789"/>
        <v>853.68000000000006</v>
      </c>
      <c r="P5919" s="86">
        <f t="shared" si="1790"/>
        <v>0</v>
      </c>
      <c r="Q5919" s="86">
        <f t="shared" si="1791"/>
        <v>0</v>
      </c>
      <c r="R5919" s="86">
        <f t="shared" si="1792"/>
        <v>0</v>
      </c>
      <c r="S5919" s="86">
        <f t="shared" si="1793"/>
        <v>0</v>
      </c>
      <c r="T5919" s="86">
        <f t="shared" si="1794"/>
        <v>853.68000000000006</v>
      </c>
      <c r="U5919" s="87">
        <v>853.68000000000006</v>
      </c>
    </row>
    <row r="5920" spans="1:22" s="30" customFormat="1" ht="24.6" hidden="1" outlineLevel="1" x14ac:dyDescent="0.55000000000000004">
      <c r="A5920" s="27" t="s">
        <v>327</v>
      </c>
      <c r="B5920" s="28"/>
      <c r="C5920" s="27"/>
      <c r="D5920" s="27" t="str">
        <f>"""NAV Direct"",""CRONUS JetCorp USA"",""21"",""1"",""282831"""</f>
        <v>"NAV Direct","CRONUS JetCorp USA","21","1","282831"</v>
      </c>
      <c r="E5920" s="31" t="str">
        <f t="shared" si="1786"/>
        <v>C100509</v>
      </c>
      <c r="F5920" s="31"/>
      <c r="G5920" s="31"/>
      <c r="H5920" s="31"/>
      <c r="I5920" s="56"/>
      <c r="J5920" s="56"/>
      <c r="K5920" s="82" t="str">
        <f t="shared" si="1787"/>
        <v>Invoice</v>
      </c>
      <c r="L5920" s="83" t="str">
        <f>"SI_108663"</f>
        <v>SI_108663</v>
      </c>
      <c r="M5920" s="84">
        <v>42110</v>
      </c>
      <c r="N5920" s="85">
        <f t="shared" si="1788"/>
        <v>1702</v>
      </c>
      <c r="O5920" s="86">
        <f t="shared" si="1789"/>
        <v>853.56</v>
      </c>
      <c r="P5920" s="86">
        <f t="shared" si="1790"/>
        <v>0</v>
      </c>
      <c r="Q5920" s="86">
        <f t="shared" si="1791"/>
        <v>0</v>
      </c>
      <c r="R5920" s="86">
        <f t="shared" si="1792"/>
        <v>0</v>
      </c>
      <c r="S5920" s="86">
        <f t="shared" si="1793"/>
        <v>0</v>
      </c>
      <c r="T5920" s="86">
        <f t="shared" si="1794"/>
        <v>853.56</v>
      </c>
      <c r="U5920" s="87">
        <v>853.56</v>
      </c>
    </row>
    <row r="5921" spans="1:21" s="30" customFormat="1" ht="24.6" hidden="1" outlineLevel="1" x14ac:dyDescent="0.55000000000000004">
      <c r="A5921" s="27" t="s">
        <v>327</v>
      </c>
      <c r="B5921" s="28"/>
      <c r="C5921" s="27"/>
      <c r="D5921" s="27" t="str">
        <f>"""NAV Direct"",""CRONUS JetCorp USA"",""21"",""1"",""283988"""</f>
        <v>"NAV Direct","CRONUS JetCorp USA","21","1","283988"</v>
      </c>
      <c r="E5921" s="31">
        <f t="shared" si="1786"/>
        <v>0</v>
      </c>
      <c r="F5921" s="31"/>
      <c r="G5921" s="31"/>
      <c r="H5921" s="31"/>
      <c r="I5921" s="56"/>
      <c r="J5921" s="56"/>
      <c r="K5921" s="82" t="str">
        <f t="shared" si="1787"/>
        <v>Invoice</v>
      </c>
      <c r="L5921" s="83" t="str">
        <f>"SI_108707"</f>
        <v>SI_108707</v>
      </c>
      <c r="M5921" s="84">
        <v>42334</v>
      </c>
      <c r="N5921" s="85">
        <f t="shared" si="1788"/>
        <v>1478</v>
      </c>
      <c r="O5921" s="86">
        <f t="shared" si="1789"/>
        <v>1033.02</v>
      </c>
      <c r="P5921" s="86">
        <f t="shared" si="1790"/>
        <v>0</v>
      </c>
      <c r="Q5921" s="86">
        <f t="shared" si="1791"/>
        <v>0</v>
      </c>
      <c r="R5921" s="86">
        <f t="shared" si="1792"/>
        <v>0</v>
      </c>
      <c r="S5921" s="86">
        <f t="shared" si="1793"/>
        <v>0</v>
      </c>
      <c r="T5921" s="86">
        <f t="shared" si="1794"/>
        <v>1033.02</v>
      </c>
      <c r="U5921" s="87">
        <v>1033.02</v>
      </c>
    </row>
    <row r="5922" spans="1:21" s="30" customFormat="1" ht="24.6" hidden="1" outlineLevel="1" x14ac:dyDescent="0.55000000000000004">
      <c r="A5922" s="27" t="s">
        <v>327</v>
      </c>
      <c r="B5922" s="28"/>
      <c r="C5922" s="27"/>
      <c r="D5922" s="27" t="str">
        <f>"""NAV Direct"",""CRONUS JetCorp USA"",""21"",""1"",""284072"""</f>
        <v>"NAV Direct","CRONUS JetCorp USA","21","1","284072"</v>
      </c>
      <c r="E5922" s="31" t="str">
        <f t="shared" si="1786"/>
        <v>C100509</v>
      </c>
      <c r="F5922" s="31"/>
      <c r="G5922" s="31"/>
      <c r="H5922" s="31"/>
      <c r="I5922" s="56"/>
      <c r="J5922" s="56"/>
      <c r="K5922" s="82" t="str">
        <f t="shared" si="1787"/>
        <v>Invoice</v>
      </c>
      <c r="L5922" s="83" t="str">
        <f>"SI_108710"</f>
        <v>SI_108710</v>
      </c>
      <c r="M5922" s="84">
        <v>42338</v>
      </c>
      <c r="N5922" s="85">
        <f t="shared" si="1788"/>
        <v>1474</v>
      </c>
      <c r="O5922" s="86">
        <f t="shared" si="1789"/>
        <v>1032.99</v>
      </c>
      <c r="P5922" s="86">
        <f t="shared" si="1790"/>
        <v>0</v>
      </c>
      <c r="Q5922" s="86">
        <f t="shared" si="1791"/>
        <v>0</v>
      </c>
      <c r="R5922" s="86">
        <f t="shared" si="1792"/>
        <v>0</v>
      </c>
      <c r="S5922" s="86">
        <f t="shared" si="1793"/>
        <v>0</v>
      </c>
      <c r="T5922" s="86">
        <f t="shared" si="1794"/>
        <v>1032.99</v>
      </c>
      <c r="U5922" s="87">
        <v>1032.99</v>
      </c>
    </row>
    <row r="5923" spans="1:21" s="30" customFormat="1" ht="24.6" hidden="1" outlineLevel="1" x14ac:dyDescent="0.55000000000000004">
      <c r="A5923" s="27" t="s">
        <v>327</v>
      </c>
      <c r="B5923" s="28"/>
      <c r="C5923" s="27"/>
      <c r="D5923" s="27" t="str">
        <f>"""NAV Direct"",""CRONUS JetCorp USA"",""21"",""1"",""285924"""</f>
        <v>"NAV Direct","CRONUS JetCorp USA","21","1","285924"</v>
      </c>
      <c r="E5923" s="31">
        <f t="shared" si="1786"/>
        <v>0</v>
      </c>
      <c r="F5923" s="31"/>
      <c r="G5923" s="31"/>
      <c r="H5923" s="31"/>
      <c r="I5923" s="56"/>
      <c r="J5923" s="56"/>
      <c r="K5923" s="82" t="str">
        <f t="shared" si="1787"/>
        <v>Invoice</v>
      </c>
      <c r="L5923" s="83" t="str">
        <f>"SI_108777"</f>
        <v>SI_108777</v>
      </c>
      <c r="M5923" s="84">
        <v>42873</v>
      </c>
      <c r="N5923" s="85">
        <f t="shared" si="1788"/>
        <v>939</v>
      </c>
      <c r="O5923" s="86">
        <f t="shared" si="1789"/>
        <v>1249.98</v>
      </c>
      <c r="P5923" s="86">
        <f t="shared" si="1790"/>
        <v>0</v>
      </c>
      <c r="Q5923" s="86">
        <f t="shared" si="1791"/>
        <v>0</v>
      </c>
      <c r="R5923" s="86">
        <f t="shared" si="1792"/>
        <v>0</v>
      </c>
      <c r="S5923" s="86">
        <f t="shared" si="1793"/>
        <v>0</v>
      </c>
      <c r="T5923" s="86">
        <f t="shared" si="1794"/>
        <v>1249.98</v>
      </c>
      <c r="U5923" s="87">
        <v>1249.98</v>
      </c>
    </row>
    <row r="5924" spans="1:21" s="30" customFormat="1" ht="24.6" hidden="1" outlineLevel="1" x14ac:dyDescent="0.55000000000000004">
      <c r="A5924" s="27" t="s">
        <v>327</v>
      </c>
      <c r="B5924" s="28"/>
      <c r="C5924" s="27"/>
      <c r="D5924" s="27" t="str">
        <f>"""NAV Direct"",""CRONUS JetCorp USA"",""21"",""1"",""287008"""</f>
        <v>"NAV Direct","CRONUS JetCorp USA","21","1","287008"</v>
      </c>
      <c r="E5924" s="31" t="str">
        <f t="shared" si="1786"/>
        <v>C100509</v>
      </c>
      <c r="F5924" s="31"/>
      <c r="G5924" s="31"/>
      <c r="H5924" s="31"/>
      <c r="I5924" s="56"/>
      <c r="J5924" s="56"/>
      <c r="K5924" s="82" t="str">
        <f t="shared" si="1787"/>
        <v>Invoice</v>
      </c>
      <c r="L5924" s="83" t="str">
        <f>"SI_108813"</f>
        <v>SI_108813</v>
      </c>
      <c r="M5924" s="84">
        <v>42980</v>
      </c>
      <c r="N5924" s="85">
        <f t="shared" si="1788"/>
        <v>832</v>
      </c>
      <c r="O5924" s="86">
        <f t="shared" si="1789"/>
        <v>1375</v>
      </c>
      <c r="P5924" s="86">
        <f t="shared" si="1790"/>
        <v>0</v>
      </c>
      <c r="Q5924" s="86">
        <f t="shared" si="1791"/>
        <v>0</v>
      </c>
      <c r="R5924" s="86">
        <f t="shared" si="1792"/>
        <v>0</v>
      </c>
      <c r="S5924" s="86">
        <f t="shared" si="1793"/>
        <v>0</v>
      </c>
      <c r="T5924" s="86">
        <f t="shared" si="1794"/>
        <v>1375</v>
      </c>
      <c r="U5924" s="87">
        <v>1375</v>
      </c>
    </row>
    <row r="5925" spans="1:21" s="30" customFormat="1" ht="24.6" hidden="1" outlineLevel="1" x14ac:dyDescent="0.55000000000000004">
      <c r="A5925" s="27" t="s">
        <v>327</v>
      </c>
      <c r="B5925" s="28"/>
      <c r="C5925" s="27"/>
      <c r="D5925" s="27" t="str">
        <f>"""NAV Direct"",""CRONUS JetCorp USA"",""21"",""1"",""289265"""</f>
        <v>"NAV Direct","CRONUS JetCorp USA","21","1","289265"</v>
      </c>
      <c r="E5925" s="31">
        <f t="shared" si="1786"/>
        <v>0</v>
      </c>
      <c r="F5925" s="31"/>
      <c r="G5925" s="31"/>
      <c r="H5925" s="31"/>
      <c r="I5925" s="56"/>
      <c r="J5925" s="56"/>
      <c r="K5925" s="82" t="str">
        <f t="shared" si="1787"/>
        <v>Invoice</v>
      </c>
      <c r="L5925" s="83" t="str">
        <f>"SI_108891"</f>
        <v>SI_108891</v>
      </c>
      <c r="M5925" s="84">
        <v>43225</v>
      </c>
      <c r="N5925" s="85">
        <f t="shared" si="1788"/>
        <v>587</v>
      </c>
      <c r="O5925" s="86">
        <f t="shared" si="1789"/>
        <v>1830.1200000000001</v>
      </c>
      <c r="P5925" s="86">
        <f t="shared" si="1790"/>
        <v>0</v>
      </c>
      <c r="Q5925" s="86">
        <f t="shared" si="1791"/>
        <v>0</v>
      </c>
      <c r="R5925" s="86">
        <f t="shared" si="1792"/>
        <v>0</v>
      </c>
      <c r="S5925" s="86">
        <f t="shared" si="1793"/>
        <v>0</v>
      </c>
      <c r="T5925" s="86">
        <f t="shared" si="1794"/>
        <v>1830.1200000000001</v>
      </c>
      <c r="U5925" s="87">
        <v>1830.1200000000001</v>
      </c>
    </row>
    <row r="5926" spans="1:21" s="30" customFormat="1" ht="24.6" hidden="1" outlineLevel="1" x14ac:dyDescent="0.55000000000000004">
      <c r="A5926" s="27" t="s">
        <v>327</v>
      </c>
      <c r="B5926" s="28"/>
      <c r="C5926" s="27"/>
      <c r="D5926" s="27" t="str">
        <f>"""NAV Direct"",""CRONUS JetCorp USA"",""21"",""1"",""290174"""</f>
        <v>"NAV Direct","CRONUS JetCorp USA","21","1","290174"</v>
      </c>
      <c r="E5926" s="31" t="str">
        <f t="shared" si="1786"/>
        <v>C100509</v>
      </c>
      <c r="F5926" s="31"/>
      <c r="G5926" s="31"/>
      <c r="H5926" s="31"/>
      <c r="I5926" s="56"/>
      <c r="J5926" s="56"/>
      <c r="K5926" s="82" t="str">
        <f t="shared" si="1787"/>
        <v>Invoice</v>
      </c>
      <c r="L5926" s="83" t="str">
        <f>"SI_108921"</f>
        <v>SI_108921</v>
      </c>
      <c r="M5926" s="84">
        <v>43247</v>
      </c>
      <c r="N5926" s="85">
        <f t="shared" si="1788"/>
        <v>565</v>
      </c>
      <c r="O5926" s="86">
        <f t="shared" si="1789"/>
        <v>1830.07</v>
      </c>
      <c r="P5926" s="86">
        <f t="shared" si="1790"/>
        <v>0</v>
      </c>
      <c r="Q5926" s="86">
        <f t="shared" si="1791"/>
        <v>0</v>
      </c>
      <c r="R5926" s="86">
        <f t="shared" si="1792"/>
        <v>0</v>
      </c>
      <c r="S5926" s="86">
        <f t="shared" si="1793"/>
        <v>0</v>
      </c>
      <c r="T5926" s="86">
        <f t="shared" si="1794"/>
        <v>1830.07</v>
      </c>
      <c r="U5926" s="87">
        <v>1830.07</v>
      </c>
    </row>
    <row r="5927" spans="1:21" s="30" customFormat="1" ht="24.6" hidden="1" outlineLevel="1" x14ac:dyDescent="0.55000000000000004">
      <c r="A5927" s="27" t="s">
        <v>327</v>
      </c>
      <c r="B5927" s="28"/>
      <c r="C5927" s="27"/>
      <c r="D5927" s="27" t="str">
        <f>"""NAV Direct"",""CRONUS JetCorp USA"",""21"",""1"",""292479"""</f>
        <v>"NAV Direct","CRONUS JetCorp USA","21","1","292479"</v>
      </c>
      <c r="E5927" s="31">
        <f t="shared" si="1786"/>
        <v>0</v>
      </c>
      <c r="F5927" s="31"/>
      <c r="G5927" s="31"/>
      <c r="H5927" s="31"/>
      <c r="I5927" s="56"/>
      <c r="J5927" s="56"/>
      <c r="K5927" s="82" t="str">
        <f t="shared" si="1787"/>
        <v>Invoice</v>
      </c>
      <c r="L5927" s="83" t="str">
        <f>"SI_108998"</f>
        <v>SI_108998</v>
      </c>
      <c r="M5927" s="84">
        <v>43442</v>
      </c>
      <c r="N5927" s="85">
        <f t="shared" si="1788"/>
        <v>370</v>
      </c>
      <c r="O5927" s="86">
        <f t="shared" si="1789"/>
        <v>2214.3500000000004</v>
      </c>
      <c r="P5927" s="86">
        <f t="shared" si="1790"/>
        <v>0</v>
      </c>
      <c r="Q5927" s="86">
        <f t="shared" si="1791"/>
        <v>0</v>
      </c>
      <c r="R5927" s="86">
        <f t="shared" si="1792"/>
        <v>0</v>
      </c>
      <c r="S5927" s="86">
        <f t="shared" si="1793"/>
        <v>0</v>
      </c>
      <c r="T5927" s="86">
        <f t="shared" si="1794"/>
        <v>2214.3500000000004</v>
      </c>
      <c r="U5927" s="87">
        <v>2214.3500000000004</v>
      </c>
    </row>
    <row r="5928" spans="1:21" s="30" customFormat="1" ht="24.6" hidden="1" outlineLevel="1" x14ac:dyDescent="0.55000000000000004">
      <c r="A5928" s="27" t="s">
        <v>327</v>
      </c>
      <c r="B5928" s="28"/>
      <c r="C5928" s="27"/>
      <c r="D5928" s="27" t="str">
        <f>"""NAV Direct"",""CRONUS JetCorp USA"",""21"",""1"",""292541"""</f>
        <v>"NAV Direct","CRONUS JetCorp USA","21","1","292541"</v>
      </c>
      <c r="E5928" s="31" t="str">
        <f t="shared" si="1786"/>
        <v>C100509</v>
      </c>
      <c r="F5928" s="31"/>
      <c r="G5928" s="31"/>
      <c r="H5928" s="31"/>
      <c r="I5928" s="56"/>
      <c r="J5928" s="56"/>
      <c r="K5928" s="82" t="str">
        <f t="shared" si="1787"/>
        <v>Invoice</v>
      </c>
      <c r="L5928" s="83" t="str">
        <f>"SI_109000"</f>
        <v>SI_109000</v>
      </c>
      <c r="M5928" s="84">
        <v>43435</v>
      </c>
      <c r="N5928" s="85">
        <f t="shared" si="1788"/>
        <v>377</v>
      </c>
      <c r="O5928" s="86">
        <f t="shared" si="1789"/>
        <v>2214.4</v>
      </c>
      <c r="P5928" s="86">
        <f t="shared" si="1790"/>
        <v>0</v>
      </c>
      <c r="Q5928" s="86">
        <f t="shared" si="1791"/>
        <v>0</v>
      </c>
      <c r="R5928" s="86">
        <f t="shared" si="1792"/>
        <v>0</v>
      </c>
      <c r="S5928" s="86">
        <f t="shared" si="1793"/>
        <v>0</v>
      </c>
      <c r="T5928" s="86">
        <f t="shared" si="1794"/>
        <v>2214.4</v>
      </c>
      <c r="U5928" s="87">
        <v>2214.4</v>
      </c>
    </row>
    <row r="5929" spans="1:21" s="30" customFormat="1" ht="24.6" hidden="1" outlineLevel="1" x14ac:dyDescent="0.55000000000000004">
      <c r="A5929" s="27" t="s">
        <v>327</v>
      </c>
      <c r="B5929" s="28"/>
      <c r="C5929" s="27"/>
      <c r="D5929" s="27" t="str">
        <f>"""NAV Direct"",""CRONUS JetCorp USA"",""21"",""1"",""292838"""</f>
        <v>"NAV Direct","CRONUS JetCorp USA","21","1","292838"</v>
      </c>
      <c r="E5929" s="31">
        <f t="shared" si="1786"/>
        <v>0</v>
      </c>
      <c r="F5929" s="31"/>
      <c r="G5929" s="31"/>
      <c r="H5929" s="31"/>
      <c r="I5929" s="56"/>
      <c r="J5929" s="56"/>
      <c r="K5929" s="82" t="str">
        <f t="shared" si="1787"/>
        <v>Invoice</v>
      </c>
      <c r="L5929" s="83" t="str">
        <f>"SI_109010"</f>
        <v>SI_109010</v>
      </c>
      <c r="M5929" s="84">
        <v>43441</v>
      </c>
      <c r="N5929" s="85">
        <f t="shared" si="1788"/>
        <v>371</v>
      </c>
      <c r="O5929" s="86">
        <f t="shared" si="1789"/>
        <v>2214.4700000000003</v>
      </c>
      <c r="P5929" s="86">
        <f t="shared" si="1790"/>
        <v>0</v>
      </c>
      <c r="Q5929" s="86">
        <f t="shared" si="1791"/>
        <v>0</v>
      </c>
      <c r="R5929" s="86">
        <f t="shared" si="1792"/>
        <v>0</v>
      </c>
      <c r="S5929" s="86">
        <f t="shared" si="1793"/>
        <v>0</v>
      </c>
      <c r="T5929" s="86">
        <f t="shared" si="1794"/>
        <v>2214.4700000000003</v>
      </c>
      <c r="U5929" s="87">
        <v>2214.4700000000003</v>
      </c>
    </row>
    <row r="5930" spans="1:21" s="30" customFormat="1" ht="24.6" hidden="1" outlineLevel="1" x14ac:dyDescent="0.55000000000000004">
      <c r="A5930" s="27" t="s">
        <v>327</v>
      </c>
      <c r="B5930" s="28"/>
      <c r="C5930" s="27"/>
      <c r="D5930" s="27" t="str">
        <f>"""NAV Direct"",""CRONUS JetCorp USA"",""21"",""1"",""294039"""</f>
        <v>"NAV Direct","CRONUS JetCorp USA","21","1","294039"</v>
      </c>
      <c r="E5930" s="31" t="str">
        <f t="shared" si="1786"/>
        <v>C100509</v>
      </c>
      <c r="F5930" s="31"/>
      <c r="G5930" s="31"/>
      <c r="H5930" s="31"/>
      <c r="I5930" s="56"/>
      <c r="J5930" s="56"/>
      <c r="K5930" s="82" t="str">
        <f t="shared" si="1787"/>
        <v>Invoice</v>
      </c>
      <c r="L5930" s="83" t="str">
        <f>"SI_109051"</f>
        <v>SI_109051</v>
      </c>
      <c r="M5930" s="84">
        <v>43538</v>
      </c>
      <c r="N5930" s="85">
        <f t="shared" si="1788"/>
        <v>274</v>
      </c>
      <c r="O5930" s="86">
        <f t="shared" si="1789"/>
        <v>2435.85</v>
      </c>
      <c r="P5930" s="86">
        <f t="shared" si="1790"/>
        <v>0</v>
      </c>
      <c r="Q5930" s="86">
        <f t="shared" si="1791"/>
        <v>0</v>
      </c>
      <c r="R5930" s="86">
        <f t="shared" si="1792"/>
        <v>0</v>
      </c>
      <c r="S5930" s="86">
        <f t="shared" si="1793"/>
        <v>0</v>
      </c>
      <c r="T5930" s="86">
        <f t="shared" si="1794"/>
        <v>2435.85</v>
      </c>
      <c r="U5930" s="87">
        <v>2435.85</v>
      </c>
    </row>
    <row r="5931" spans="1:21" s="30" customFormat="1" ht="24.6" hidden="1" outlineLevel="1" x14ac:dyDescent="0.55000000000000004">
      <c r="A5931" s="27" t="s">
        <v>327</v>
      </c>
      <c r="B5931" s="28"/>
      <c r="C5931" s="27"/>
      <c r="D5931" s="27" t="str">
        <f>"""NAV Direct"",""CRONUS JetCorp USA"",""21"",""1"",""294134"""</f>
        <v>"NAV Direct","CRONUS JetCorp USA","21","1","294134"</v>
      </c>
      <c r="E5931" s="31">
        <f t="shared" si="1786"/>
        <v>0</v>
      </c>
      <c r="F5931" s="31"/>
      <c r="G5931" s="31"/>
      <c r="H5931" s="31"/>
      <c r="I5931" s="56"/>
      <c r="J5931" s="56"/>
      <c r="K5931" s="82" t="str">
        <f t="shared" si="1787"/>
        <v>Invoice</v>
      </c>
      <c r="L5931" s="83" t="str">
        <f>"SI_109054"</f>
        <v>SI_109054</v>
      </c>
      <c r="M5931" s="84">
        <v>43527</v>
      </c>
      <c r="N5931" s="85">
        <f t="shared" si="1788"/>
        <v>285</v>
      </c>
      <c r="O5931" s="86">
        <f t="shared" si="1789"/>
        <v>2435.88</v>
      </c>
      <c r="P5931" s="86">
        <f t="shared" si="1790"/>
        <v>0</v>
      </c>
      <c r="Q5931" s="86">
        <f t="shared" si="1791"/>
        <v>0</v>
      </c>
      <c r="R5931" s="86">
        <f t="shared" si="1792"/>
        <v>0</v>
      </c>
      <c r="S5931" s="86">
        <f t="shared" si="1793"/>
        <v>0</v>
      </c>
      <c r="T5931" s="86">
        <f t="shared" si="1794"/>
        <v>2435.88</v>
      </c>
      <c r="U5931" s="87">
        <v>2435.88</v>
      </c>
    </row>
    <row r="5932" spans="1:21" s="30" customFormat="1" ht="24.6" hidden="1" outlineLevel="1" x14ac:dyDescent="0.55000000000000004">
      <c r="A5932" s="27" t="s">
        <v>327</v>
      </c>
      <c r="B5932" s="28"/>
      <c r="C5932" s="27"/>
      <c r="D5932" s="27" t="str">
        <f>"""NAV Direct"",""CRONUS JetCorp USA"",""21"",""1"",""294974"""</f>
        <v>"NAV Direct","CRONUS JetCorp USA","21","1","294974"</v>
      </c>
      <c r="E5932" s="31" t="str">
        <f t="shared" si="1786"/>
        <v>C100509</v>
      </c>
      <c r="F5932" s="31"/>
      <c r="G5932" s="31"/>
      <c r="H5932" s="31"/>
      <c r="I5932" s="56"/>
      <c r="J5932" s="56"/>
      <c r="K5932" s="82" t="str">
        <f t="shared" si="1787"/>
        <v>Invoice</v>
      </c>
      <c r="L5932" s="83" t="str">
        <f>"SI_109080"</f>
        <v>SI_109080</v>
      </c>
      <c r="M5932" s="84">
        <v>43615</v>
      </c>
      <c r="N5932" s="85">
        <f t="shared" si="1788"/>
        <v>197</v>
      </c>
      <c r="O5932" s="86">
        <f t="shared" si="1789"/>
        <v>2679.4500000000003</v>
      </c>
      <c r="P5932" s="86">
        <f t="shared" si="1790"/>
        <v>0</v>
      </c>
      <c r="Q5932" s="86">
        <f t="shared" si="1791"/>
        <v>0</v>
      </c>
      <c r="R5932" s="86">
        <f t="shared" si="1792"/>
        <v>0</v>
      </c>
      <c r="S5932" s="86">
        <f t="shared" si="1793"/>
        <v>0</v>
      </c>
      <c r="T5932" s="86">
        <f t="shared" si="1794"/>
        <v>2679.4500000000003</v>
      </c>
      <c r="U5932" s="87">
        <v>2679.4500000000003</v>
      </c>
    </row>
    <row r="5933" spans="1:21" s="30" customFormat="1" ht="24.6" hidden="1" outlineLevel="1" x14ac:dyDescent="0.55000000000000004">
      <c r="A5933" s="27" t="s">
        <v>327</v>
      </c>
      <c r="B5933" s="28"/>
      <c r="C5933" s="27"/>
      <c r="D5933" s="27" t="str">
        <f>"""NAV Direct"",""CRONUS JetCorp USA"",""21"",""1"",""297590"""</f>
        <v>"NAV Direct","CRONUS JetCorp USA","21","1","297590"</v>
      </c>
      <c r="E5933" s="31">
        <f t="shared" si="1786"/>
        <v>0</v>
      </c>
      <c r="F5933" s="31"/>
      <c r="G5933" s="31"/>
      <c r="H5933" s="31"/>
      <c r="I5933" s="56"/>
      <c r="J5933" s="56"/>
      <c r="K5933" s="82" t="str">
        <f t="shared" si="1787"/>
        <v>Invoice</v>
      </c>
      <c r="L5933" s="83" t="str">
        <f>"SI_109160"</f>
        <v>SI_109160</v>
      </c>
      <c r="M5933" s="84">
        <v>43719</v>
      </c>
      <c r="N5933" s="85">
        <f t="shared" si="1788"/>
        <v>93</v>
      </c>
      <c r="O5933" s="86">
        <f t="shared" si="1789"/>
        <v>2947.46</v>
      </c>
      <c r="P5933" s="86">
        <f t="shared" si="1790"/>
        <v>0</v>
      </c>
      <c r="Q5933" s="86">
        <f t="shared" si="1791"/>
        <v>0</v>
      </c>
      <c r="R5933" s="86">
        <f t="shared" si="1792"/>
        <v>0</v>
      </c>
      <c r="S5933" s="86">
        <f t="shared" si="1793"/>
        <v>0</v>
      </c>
      <c r="T5933" s="86">
        <f t="shared" si="1794"/>
        <v>2947.46</v>
      </c>
      <c r="U5933" s="87">
        <v>2947.46</v>
      </c>
    </row>
    <row r="5934" spans="1:21" s="30" customFormat="1" ht="24.6" hidden="1" outlineLevel="1" x14ac:dyDescent="0.55000000000000004">
      <c r="A5934" s="27" t="s">
        <v>327</v>
      </c>
      <c r="B5934" s="28"/>
      <c r="C5934" s="27"/>
      <c r="D5934" s="27" t="str">
        <f>"""NAV Direct"",""CRONUS JetCorp USA"",""21"",""1"",""297672"""</f>
        <v>"NAV Direct","CRONUS JetCorp USA","21","1","297672"</v>
      </c>
      <c r="E5934" s="31" t="str">
        <f t="shared" si="1786"/>
        <v>C100509</v>
      </c>
      <c r="F5934" s="31"/>
      <c r="G5934" s="31"/>
      <c r="H5934" s="31"/>
      <c r="I5934" s="56"/>
      <c r="J5934" s="56"/>
      <c r="K5934" s="82" t="str">
        <f t="shared" si="1787"/>
        <v>Invoice</v>
      </c>
      <c r="L5934" s="83" t="str">
        <f>"SI_109162"</f>
        <v>SI_109162</v>
      </c>
      <c r="M5934" s="84">
        <v>43729</v>
      </c>
      <c r="N5934" s="85">
        <f t="shared" si="1788"/>
        <v>83</v>
      </c>
      <c r="O5934" s="86">
        <f t="shared" si="1789"/>
        <v>2947.18</v>
      </c>
      <c r="P5934" s="86">
        <f t="shared" si="1790"/>
        <v>0</v>
      </c>
      <c r="Q5934" s="86">
        <f t="shared" si="1791"/>
        <v>0</v>
      </c>
      <c r="R5934" s="86">
        <f t="shared" si="1792"/>
        <v>0</v>
      </c>
      <c r="S5934" s="86">
        <f t="shared" si="1793"/>
        <v>2947.18</v>
      </c>
      <c r="T5934" s="86">
        <f t="shared" si="1794"/>
        <v>0</v>
      </c>
      <c r="U5934" s="87">
        <v>2947.18</v>
      </c>
    </row>
    <row r="5935" spans="1:21" s="30" customFormat="1" ht="24.6" hidden="1" outlineLevel="1" x14ac:dyDescent="0.55000000000000004">
      <c r="A5935" s="27" t="s">
        <v>327</v>
      </c>
      <c r="B5935" s="28"/>
      <c r="C5935" s="27"/>
      <c r="D5935" s="27" t="str">
        <f>"""NAV Direct"",""CRONUS JetCorp USA"",""21"",""1"",""297846"""</f>
        <v>"NAV Direct","CRONUS JetCorp USA","21","1","297846"</v>
      </c>
      <c r="E5935" s="31">
        <f t="shared" si="1786"/>
        <v>0</v>
      </c>
      <c r="F5935" s="31"/>
      <c r="G5935" s="31"/>
      <c r="H5935" s="31"/>
      <c r="I5935" s="56"/>
      <c r="J5935" s="56"/>
      <c r="K5935" s="82" t="str">
        <f t="shared" si="1787"/>
        <v>Invoice</v>
      </c>
      <c r="L5935" s="83" t="str">
        <f>"SI_109167"</f>
        <v>SI_109167</v>
      </c>
      <c r="M5935" s="84">
        <v>43740</v>
      </c>
      <c r="N5935" s="85">
        <f t="shared" si="1788"/>
        <v>72</v>
      </c>
      <c r="O5935" s="86">
        <f t="shared" si="1789"/>
        <v>2947.43</v>
      </c>
      <c r="P5935" s="86">
        <f t="shared" si="1790"/>
        <v>0</v>
      </c>
      <c r="Q5935" s="86">
        <f t="shared" si="1791"/>
        <v>0</v>
      </c>
      <c r="R5935" s="86">
        <f t="shared" si="1792"/>
        <v>0</v>
      </c>
      <c r="S5935" s="86">
        <f t="shared" si="1793"/>
        <v>2947.43</v>
      </c>
      <c r="T5935" s="86">
        <f t="shared" si="1794"/>
        <v>0</v>
      </c>
      <c r="U5935" s="87">
        <v>2947.43</v>
      </c>
    </row>
    <row r="5936" spans="1:21" s="30" customFormat="1" ht="24.6" hidden="1" outlineLevel="1" x14ac:dyDescent="0.55000000000000004">
      <c r="A5936" s="27" t="s">
        <v>327</v>
      </c>
      <c r="B5936" s="28"/>
      <c r="C5936" s="27"/>
      <c r="D5936" s="27" t="str">
        <f>"""NAV Direct"",""CRONUS JetCorp USA"",""21"",""1"",""298152"""</f>
        <v>"NAV Direct","CRONUS JetCorp USA","21","1","298152"</v>
      </c>
      <c r="E5936" s="31" t="str">
        <f t="shared" si="1786"/>
        <v>C100509</v>
      </c>
      <c r="F5936" s="31"/>
      <c r="G5936" s="31"/>
      <c r="H5936" s="31"/>
      <c r="I5936" s="56"/>
      <c r="J5936" s="56"/>
      <c r="K5936" s="82" t="str">
        <f t="shared" si="1787"/>
        <v>Invoice</v>
      </c>
      <c r="L5936" s="83" t="str">
        <f>"SI_109177"</f>
        <v>SI_109177</v>
      </c>
      <c r="M5936" s="84">
        <v>43778</v>
      </c>
      <c r="N5936" s="85">
        <f t="shared" si="1788"/>
        <v>34</v>
      </c>
      <c r="O5936" s="86">
        <f t="shared" si="1789"/>
        <v>3242.17</v>
      </c>
      <c r="P5936" s="86">
        <f t="shared" si="1790"/>
        <v>0</v>
      </c>
      <c r="Q5936" s="86">
        <f t="shared" si="1791"/>
        <v>0</v>
      </c>
      <c r="R5936" s="86">
        <f t="shared" si="1792"/>
        <v>3242.17</v>
      </c>
      <c r="S5936" s="86">
        <f t="shared" si="1793"/>
        <v>0</v>
      </c>
      <c r="T5936" s="86">
        <f t="shared" si="1794"/>
        <v>0</v>
      </c>
      <c r="U5936" s="87">
        <v>3242.17</v>
      </c>
    </row>
    <row r="5937" spans="1:22" s="30" customFormat="1" ht="24.6" hidden="1" outlineLevel="1" x14ac:dyDescent="0.55000000000000004">
      <c r="A5937" s="27" t="s">
        <v>327</v>
      </c>
      <c r="B5937" s="28"/>
      <c r="C5937" s="27"/>
      <c r="D5937" s="27" t="str">
        <f>"""NAV Direct"",""CRONUS JetCorp USA"",""21"",""1"",""300777"""</f>
        <v>"NAV Direct","CRONUS JetCorp USA","21","1","300777"</v>
      </c>
      <c r="E5937" s="31">
        <f t="shared" si="1786"/>
        <v>0</v>
      </c>
      <c r="F5937" s="31"/>
      <c r="G5937" s="31"/>
      <c r="H5937" s="31"/>
      <c r="I5937" s="56"/>
      <c r="J5937" s="56"/>
      <c r="K5937" s="82" t="str">
        <f t="shared" si="1787"/>
        <v>Invoice</v>
      </c>
      <c r="L5937" s="83" t="str">
        <f>"SI_109256"</f>
        <v>SI_109256</v>
      </c>
      <c r="M5937" s="84">
        <v>42060</v>
      </c>
      <c r="N5937" s="85">
        <f t="shared" si="1788"/>
        <v>1752</v>
      </c>
      <c r="O5937" s="86">
        <f t="shared" si="1789"/>
        <v>3566.41</v>
      </c>
      <c r="P5937" s="86">
        <f t="shared" si="1790"/>
        <v>0</v>
      </c>
      <c r="Q5937" s="86">
        <f t="shared" si="1791"/>
        <v>0</v>
      </c>
      <c r="R5937" s="86">
        <f t="shared" si="1792"/>
        <v>0</v>
      </c>
      <c r="S5937" s="86">
        <f t="shared" si="1793"/>
        <v>0</v>
      </c>
      <c r="T5937" s="86">
        <f t="shared" si="1794"/>
        <v>3566.41</v>
      </c>
      <c r="U5937" s="87">
        <v>3566.41</v>
      </c>
    </row>
    <row r="5938" spans="1:22" s="30" customFormat="1" ht="24.6" hidden="1" outlineLevel="1" x14ac:dyDescent="0.55000000000000004">
      <c r="A5938" s="27" t="s">
        <v>327</v>
      </c>
      <c r="B5938" s="28"/>
      <c r="C5938" s="27"/>
      <c r="D5938" s="27" t="str">
        <f>"""NAV Direct"",""CRONUS JetCorp USA"",""21"",""1"",""302746"""</f>
        <v>"NAV Direct","CRONUS JetCorp USA","21","1","302746"</v>
      </c>
      <c r="E5938" s="31" t="str">
        <f t="shared" si="1786"/>
        <v>C100509</v>
      </c>
      <c r="F5938" s="31"/>
      <c r="G5938" s="31"/>
      <c r="H5938" s="31"/>
      <c r="I5938" s="56"/>
      <c r="J5938" s="56"/>
      <c r="K5938" s="82" t="str">
        <f t="shared" si="1787"/>
        <v>Invoice</v>
      </c>
      <c r="L5938" s="83" t="str">
        <f>"SI_109312"</f>
        <v>SI_109312</v>
      </c>
      <c r="M5938" s="84">
        <v>42160</v>
      </c>
      <c r="N5938" s="85">
        <f t="shared" si="1788"/>
        <v>1652</v>
      </c>
      <c r="O5938" s="86">
        <f t="shared" si="1789"/>
        <v>3922.98</v>
      </c>
      <c r="P5938" s="86">
        <f t="shared" si="1790"/>
        <v>0</v>
      </c>
      <c r="Q5938" s="86">
        <f t="shared" si="1791"/>
        <v>0</v>
      </c>
      <c r="R5938" s="86">
        <f t="shared" si="1792"/>
        <v>0</v>
      </c>
      <c r="S5938" s="86">
        <f t="shared" si="1793"/>
        <v>0</v>
      </c>
      <c r="T5938" s="86">
        <f t="shared" si="1794"/>
        <v>3922.98</v>
      </c>
      <c r="U5938" s="87">
        <v>3922.98</v>
      </c>
    </row>
    <row r="5939" spans="1:22" s="30" customFormat="1" ht="24.6" hidden="1" outlineLevel="1" x14ac:dyDescent="0.55000000000000004">
      <c r="A5939" s="27" t="s">
        <v>327</v>
      </c>
      <c r="B5939" s="28"/>
      <c r="C5939" s="27"/>
      <c r="D5939" s="27" t="str">
        <f>"""NAV Direct"",""CRONUS JetCorp USA"",""21"",""1"",""302870"""</f>
        <v>"NAV Direct","CRONUS JetCorp USA","21","1","302870"</v>
      </c>
      <c r="E5939" s="31">
        <f t="shared" si="1786"/>
        <v>0</v>
      </c>
      <c r="F5939" s="31"/>
      <c r="G5939" s="31"/>
      <c r="H5939" s="31"/>
      <c r="I5939" s="56"/>
      <c r="J5939" s="56"/>
      <c r="K5939" s="82" t="str">
        <f t="shared" si="1787"/>
        <v>Invoice</v>
      </c>
      <c r="L5939" s="83" t="str">
        <f>"SI_109316"</f>
        <v>SI_109316</v>
      </c>
      <c r="M5939" s="84">
        <v>42157</v>
      </c>
      <c r="N5939" s="85">
        <f t="shared" si="1788"/>
        <v>1655</v>
      </c>
      <c r="O5939" s="86">
        <f t="shared" si="1789"/>
        <v>3923.05</v>
      </c>
      <c r="P5939" s="86">
        <f t="shared" si="1790"/>
        <v>0</v>
      </c>
      <c r="Q5939" s="86">
        <f t="shared" si="1791"/>
        <v>0</v>
      </c>
      <c r="R5939" s="86">
        <f t="shared" si="1792"/>
        <v>0</v>
      </c>
      <c r="S5939" s="86">
        <f t="shared" si="1793"/>
        <v>0</v>
      </c>
      <c r="T5939" s="86">
        <f t="shared" si="1794"/>
        <v>3923.05</v>
      </c>
      <c r="U5939" s="87">
        <v>3923.05</v>
      </c>
    </row>
    <row r="5940" spans="1:22" s="22" customFormat="1" ht="20.399999999999999" collapsed="1" x14ac:dyDescent="0.45">
      <c r="A5940" s="12" t="s">
        <v>327</v>
      </c>
      <c r="B5940" s="19"/>
      <c r="C5940" s="12"/>
      <c r="D5940" s="12"/>
      <c r="E5940" s="23"/>
      <c r="F5940" s="23"/>
      <c r="G5940" s="23"/>
      <c r="H5940" s="23"/>
      <c r="I5940" s="49"/>
      <c r="J5940" s="88"/>
      <c r="K5940" s="88"/>
      <c r="L5940" s="89"/>
      <c r="M5940" s="89"/>
      <c r="N5940" s="89"/>
      <c r="O5940" s="89"/>
      <c r="P5940" s="89"/>
      <c r="Q5940" s="90"/>
      <c r="R5940" s="90"/>
      <c r="S5940" s="91"/>
      <c r="T5940" s="92"/>
      <c r="U5940" s="92"/>
    </row>
    <row r="5941" spans="1:22" s="22" customFormat="1" ht="20.399999999999999" x14ac:dyDescent="0.45">
      <c r="A5941" s="12" t="s">
        <v>327</v>
      </c>
      <c r="B5941" s="19"/>
      <c r="C5941" s="12"/>
      <c r="D5941" s="12"/>
      <c r="E5941" s="23"/>
      <c r="F5941" s="23"/>
      <c r="G5941" s="23"/>
      <c r="H5941" s="23"/>
      <c r="I5941" s="49"/>
      <c r="J5941" s="88"/>
      <c r="K5941" s="88"/>
      <c r="L5941" s="89"/>
      <c r="M5941" s="89"/>
      <c r="N5941" s="89"/>
      <c r="O5941" s="89"/>
      <c r="P5941" s="89"/>
      <c r="Q5941" s="90"/>
      <c r="R5941" s="90"/>
      <c r="S5941" s="91"/>
      <c r="T5941" s="92"/>
      <c r="U5941" s="92"/>
    </row>
    <row r="5942" spans="1:22" s="26" customFormat="1" ht="24.6" x14ac:dyDescent="0.55000000000000004">
      <c r="A5942" s="27" t="s">
        <v>327</v>
      </c>
      <c r="B5942" s="28"/>
      <c r="C5942" s="27" t="str">
        <f>"""NAV Direct"",""CRONUS JetCorp USA"",""18"",""1"",""C100510"""</f>
        <v>"NAV Direct","CRONUS JetCorp USA","18","1","C100510"</v>
      </c>
      <c r="D5942" s="27"/>
      <c r="E5942" s="28" t="str">
        <f>H5942</f>
        <v>C100510</v>
      </c>
      <c r="F5942" s="28"/>
      <c r="G5942" s="28"/>
      <c r="H5942" s="28" t="str">
        <f>"C100510"</f>
        <v>C100510</v>
      </c>
      <c r="I5942" s="116" t="str">
        <f>"C100510  -  Birmingham Supply"</f>
        <v>C100510  -  Birmingham Supply</v>
      </c>
      <c r="J5942" s="117" t="str">
        <f>""</f>
        <v/>
      </c>
      <c r="K5942" s="118"/>
      <c r="L5942" s="119">
        <f>SUBTOTAL(3,L5943:L5971)</f>
        <v>25</v>
      </c>
      <c r="M5942" s="118"/>
      <c r="N5942" s="118"/>
      <c r="O5942" s="120">
        <f t="shared" ref="O5942:T5942" si="1795">SUBTOTAL(9,O5943:O5971)</f>
        <v>55940.76</v>
      </c>
      <c r="P5942" s="120">
        <f t="shared" si="1795"/>
        <v>0</v>
      </c>
      <c r="Q5942" s="120">
        <f t="shared" si="1795"/>
        <v>3242.17</v>
      </c>
      <c r="R5942" s="120">
        <f t="shared" si="1795"/>
        <v>0</v>
      </c>
      <c r="S5942" s="120">
        <f t="shared" si="1795"/>
        <v>2947.42</v>
      </c>
      <c r="T5942" s="120">
        <f t="shared" si="1795"/>
        <v>49751.170000000006</v>
      </c>
      <c r="U5942" s="81"/>
    </row>
    <row r="5943" spans="1:22" s="26" customFormat="1" ht="24.6" x14ac:dyDescent="0.55000000000000004">
      <c r="A5943" s="27" t="s">
        <v>327</v>
      </c>
      <c r="B5943" s="28"/>
      <c r="C5943" s="27" t="str">
        <f>C5942</f>
        <v>"NAV Direct","CRONUS JetCorp USA","18","1","C100510"</v>
      </c>
      <c r="D5943" s="27"/>
      <c r="E5943" s="28" t="str">
        <f>E5942</f>
        <v>C100510</v>
      </c>
      <c r="F5943" s="28"/>
      <c r="G5943" s="28"/>
      <c r="H5943" s="28"/>
      <c r="I5943" s="121" t="str">
        <f>"Contact: JB Salenges"</f>
        <v>Contact: JB Salenges</v>
      </c>
      <c r="J5943" s="121"/>
      <c r="K5943" s="122"/>
      <c r="L5943" s="123"/>
      <c r="M5943" s="123"/>
      <c r="N5943" s="124"/>
      <c r="O5943" s="124"/>
      <c r="P5943" s="123"/>
      <c r="Q5943" s="125"/>
      <c r="R5943" s="126"/>
      <c r="S5943" s="126"/>
      <c r="T5943" s="125"/>
      <c r="U5943" s="81"/>
    </row>
    <row r="5944" spans="1:22" s="26" customFormat="1" ht="24.6" x14ac:dyDescent="0.55000000000000004">
      <c r="A5944" s="27" t="s">
        <v>327</v>
      </c>
      <c r="B5944" s="28"/>
      <c r="C5944" s="27" t="str">
        <f>C5943</f>
        <v>"NAV Direct","CRONUS JetCorp USA","18","1","C100510"</v>
      </c>
      <c r="D5944" s="27"/>
      <c r="E5944" s="28" t="str">
        <f>E5943</f>
        <v>C100510</v>
      </c>
      <c r="F5944" s="28"/>
      <c r="G5944" s="28"/>
      <c r="H5944" s="28"/>
      <c r="I5944" s="121" t="str">
        <f>"Birmingham Supply@cronuscorp.net"</f>
        <v>Birmingham Supply@cronuscorp.net</v>
      </c>
      <c r="J5944" s="121"/>
      <c r="K5944" s="122"/>
      <c r="L5944" s="124"/>
      <c r="M5944" s="124"/>
      <c r="N5944" s="124"/>
      <c r="O5944" s="124"/>
      <c r="P5944" s="123"/>
      <c r="Q5944" s="125"/>
      <c r="R5944" s="126"/>
      <c r="S5944" s="126"/>
      <c r="T5944" s="125"/>
      <c r="U5944" s="81"/>
    </row>
    <row r="5945" spans="1:22" ht="12.75" hidden="1" customHeight="1" outlineLevel="1" x14ac:dyDescent="0.45">
      <c r="A5945" s="12" t="s">
        <v>328</v>
      </c>
      <c r="B5945" s="19"/>
      <c r="E5945" s="19"/>
      <c r="F5945" s="19"/>
      <c r="G5945" s="19"/>
      <c r="H5945" s="19"/>
      <c r="I5945" s="61"/>
      <c r="J5945" s="61"/>
      <c r="K5945" s="61"/>
      <c r="L5945" s="61"/>
      <c r="M5945" s="61"/>
      <c r="N5945" s="61"/>
      <c r="O5945" s="61"/>
      <c r="P5945" s="61"/>
      <c r="Q5945" s="61"/>
      <c r="R5945" s="61"/>
      <c r="S5945" s="61"/>
      <c r="T5945" s="61"/>
      <c r="U5945" s="61"/>
      <c r="V5945" s="21"/>
    </row>
    <row r="5946" spans="1:22" s="30" customFormat="1" ht="24.6" hidden="1" outlineLevel="1" x14ac:dyDescent="0.55000000000000004">
      <c r="A5946" s="27" t="s">
        <v>327</v>
      </c>
      <c r="B5946" s="28"/>
      <c r="C5946" s="27"/>
      <c r="D5946" s="27" t="str">
        <f>"""NAV Direct"",""CRONUS JetCorp USA"",""21"",""1"",""281256"""</f>
        <v>"NAV Direct","CRONUS JetCorp USA","21","1","281256"</v>
      </c>
      <c r="E5946" s="31" t="str">
        <f t="shared" ref="E5946:E5970" si="1796">E5944</f>
        <v>C100510</v>
      </c>
      <c r="F5946" s="31"/>
      <c r="G5946" s="31"/>
      <c r="H5946" s="31"/>
      <c r="I5946" s="56"/>
      <c r="J5946" s="56"/>
      <c r="K5946" s="82" t="str">
        <f t="shared" ref="K5946:K5970" si="1797">"Invoice"</f>
        <v>Invoice</v>
      </c>
      <c r="L5946" s="83" t="str">
        <f>"SI_108602"</f>
        <v>SI_108602</v>
      </c>
      <c r="M5946" s="84">
        <v>43621</v>
      </c>
      <c r="N5946" s="85">
        <f t="shared" ref="N5946:N5970" si="1798">StartDate-$M5946+1</f>
        <v>191</v>
      </c>
      <c r="O5946" s="86">
        <f t="shared" ref="O5946:O5970" si="1799">SUM(P5946:T5946)</f>
        <v>587.97</v>
      </c>
      <c r="P5946" s="86">
        <f t="shared" ref="P5946:P5970" si="1800">IF($M5946&gt;=$P$18,U5946,0)</f>
        <v>0</v>
      </c>
      <c r="Q5946" s="86">
        <f t="shared" ref="Q5946:Q5970" si="1801">IF(AND($M5946&gt;=$Q$16,$M5946&lt;=$Q$18),U5946,0)</f>
        <v>0</v>
      </c>
      <c r="R5946" s="86">
        <f t="shared" ref="R5946:R5970" si="1802">IF(AND($M5946&gt;=$R$16,$M5946&lt;=$R$18),U5946,0)</f>
        <v>0</v>
      </c>
      <c r="S5946" s="86">
        <f t="shared" ref="S5946:S5970" si="1803">IF(AND($M5946&gt;=$S$16,$M5946&lt;=$S$18),U5946,0)</f>
        <v>0</v>
      </c>
      <c r="T5946" s="86">
        <f t="shared" ref="T5946:T5970" si="1804">IF($M5946&lt;=$T$18,U5946,0)</f>
        <v>587.97</v>
      </c>
      <c r="U5946" s="87">
        <v>587.97</v>
      </c>
    </row>
    <row r="5947" spans="1:22" s="30" customFormat="1" ht="24.6" hidden="1" outlineLevel="1" x14ac:dyDescent="0.55000000000000004">
      <c r="A5947" s="27" t="s">
        <v>327</v>
      </c>
      <c r="B5947" s="28"/>
      <c r="C5947" s="27"/>
      <c r="D5947" s="27" t="str">
        <f>"""NAV Direct"",""CRONUS JetCorp USA"",""21"",""1"",""282651"""</f>
        <v>"NAV Direct","CRONUS JetCorp USA","21","1","282651"</v>
      </c>
      <c r="E5947" s="31">
        <f t="shared" si="1796"/>
        <v>0</v>
      </c>
      <c r="F5947" s="31"/>
      <c r="G5947" s="31"/>
      <c r="H5947" s="31"/>
      <c r="I5947" s="56"/>
      <c r="J5947" s="56"/>
      <c r="K5947" s="82" t="str">
        <f t="shared" si="1797"/>
        <v>Invoice</v>
      </c>
      <c r="L5947" s="83" t="str">
        <f>"SI_108656"</f>
        <v>SI_108656</v>
      </c>
      <c r="M5947" s="84">
        <v>42135</v>
      </c>
      <c r="N5947" s="85">
        <f t="shared" si="1798"/>
        <v>1677</v>
      </c>
      <c r="O5947" s="86">
        <f t="shared" si="1799"/>
        <v>853.64</v>
      </c>
      <c r="P5947" s="86">
        <f t="shared" si="1800"/>
        <v>0</v>
      </c>
      <c r="Q5947" s="86">
        <f t="shared" si="1801"/>
        <v>0</v>
      </c>
      <c r="R5947" s="86">
        <f t="shared" si="1802"/>
        <v>0</v>
      </c>
      <c r="S5947" s="86">
        <f t="shared" si="1803"/>
        <v>0</v>
      </c>
      <c r="T5947" s="86">
        <f t="shared" si="1804"/>
        <v>853.64</v>
      </c>
      <c r="U5947" s="87">
        <v>853.64</v>
      </c>
    </row>
    <row r="5948" spans="1:22" s="30" customFormat="1" ht="24.6" hidden="1" outlineLevel="1" x14ac:dyDescent="0.55000000000000004">
      <c r="A5948" s="27" t="s">
        <v>327</v>
      </c>
      <c r="B5948" s="28"/>
      <c r="C5948" s="27"/>
      <c r="D5948" s="27" t="str">
        <f>"""NAV Direct"",""CRONUS JetCorp USA"",""21"",""1"",""284220"""</f>
        <v>"NAV Direct","CRONUS JetCorp USA","21","1","284220"</v>
      </c>
      <c r="E5948" s="31" t="str">
        <f t="shared" si="1796"/>
        <v>C100510</v>
      </c>
      <c r="F5948" s="31"/>
      <c r="G5948" s="31"/>
      <c r="H5948" s="31"/>
      <c r="I5948" s="56"/>
      <c r="J5948" s="56"/>
      <c r="K5948" s="82" t="str">
        <f t="shared" si="1797"/>
        <v>Invoice</v>
      </c>
      <c r="L5948" s="83" t="str">
        <f>"SI_108715"</f>
        <v>SI_108715</v>
      </c>
      <c r="M5948" s="84">
        <v>42341</v>
      </c>
      <c r="N5948" s="85">
        <f t="shared" si="1798"/>
        <v>1471</v>
      </c>
      <c r="O5948" s="86">
        <f t="shared" si="1799"/>
        <v>1033.0800000000002</v>
      </c>
      <c r="P5948" s="86">
        <f t="shared" si="1800"/>
        <v>0</v>
      </c>
      <c r="Q5948" s="86">
        <f t="shared" si="1801"/>
        <v>0</v>
      </c>
      <c r="R5948" s="86">
        <f t="shared" si="1802"/>
        <v>0</v>
      </c>
      <c r="S5948" s="86">
        <f t="shared" si="1803"/>
        <v>0</v>
      </c>
      <c r="T5948" s="86">
        <f t="shared" si="1804"/>
        <v>1033.0800000000002</v>
      </c>
      <c r="U5948" s="87">
        <v>1033.0800000000002</v>
      </c>
    </row>
    <row r="5949" spans="1:22" s="30" customFormat="1" ht="24.6" hidden="1" outlineLevel="1" x14ac:dyDescent="0.55000000000000004">
      <c r="A5949" s="27" t="s">
        <v>327</v>
      </c>
      <c r="B5949" s="28"/>
      <c r="C5949" s="27"/>
      <c r="D5949" s="27" t="str">
        <f>"""NAV Direct"",""CRONUS JetCorp USA"",""21"",""1"",""284274"""</f>
        <v>"NAV Direct","CRONUS JetCorp USA","21","1","284274"</v>
      </c>
      <c r="E5949" s="31">
        <f t="shared" si="1796"/>
        <v>0</v>
      </c>
      <c r="F5949" s="31"/>
      <c r="G5949" s="31"/>
      <c r="H5949" s="31"/>
      <c r="I5949" s="56"/>
      <c r="J5949" s="56"/>
      <c r="K5949" s="82" t="str">
        <f t="shared" si="1797"/>
        <v>Invoice</v>
      </c>
      <c r="L5949" s="83" t="str">
        <f>"SI_108717"</f>
        <v>SI_108717</v>
      </c>
      <c r="M5949" s="84">
        <v>42330</v>
      </c>
      <c r="N5949" s="85">
        <f t="shared" si="1798"/>
        <v>1482</v>
      </c>
      <c r="O5949" s="86">
        <f t="shared" si="1799"/>
        <v>1033.06</v>
      </c>
      <c r="P5949" s="86">
        <f t="shared" si="1800"/>
        <v>0</v>
      </c>
      <c r="Q5949" s="86">
        <f t="shared" si="1801"/>
        <v>0</v>
      </c>
      <c r="R5949" s="86">
        <f t="shared" si="1802"/>
        <v>0</v>
      </c>
      <c r="S5949" s="86">
        <f t="shared" si="1803"/>
        <v>0</v>
      </c>
      <c r="T5949" s="86">
        <f t="shared" si="1804"/>
        <v>1033.06</v>
      </c>
      <c r="U5949" s="87">
        <v>1033.06</v>
      </c>
    </row>
    <row r="5950" spans="1:22" s="30" customFormat="1" ht="24.6" hidden="1" outlineLevel="1" x14ac:dyDescent="0.55000000000000004">
      <c r="A5950" s="27" t="s">
        <v>327</v>
      </c>
      <c r="B5950" s="28"/>
      <c r="C5950" s="27"/>
      <c r="D5950" s="27" t="str">
        <f>"""NAV Direct"",""CRONUS JetCorp USA"",""21"",""1"",""286927"""</f>
        <v>"NAV Direct","CRONUS JetCorp USA","21","1","286927"</v>
      </c>
      <c r="E5950" s="31" t="str">
        <f t="shared" si="1796"/>
        <v>C100510</v>
      </c>
      <c r="F5950" s="31"/>
      <c r="G5950" s="31"/>
      <c r="H5950" s="31"/>
      <c r="I5950" s="56"/>
      <c r="J5950" s="56"/>
      <c r="K5950" s="82" t="str">
        <f t="shared" si="1797"/>
        <v>Invoice</v>
      </c>
      <c r="L5950" s="83" t="str">
        <f>"SI_108810"</f>
        <v>SI_108810</v>
      </c>
      <c r="M5950" s="84">
        <v>42959</v>
      </c>
      <c r="N5950" s="85">
        <f t="shared" si="1798"/>
        <v>853</v>
      </c>
      <c r="O5950" s="86">
        <f t="shared" si="1799"/>
        <v>1374.8</v>
      </c>
      <c r="P5950" s="86">
        <f t="shared" si="1800"/>
        <v>0</v>
      </c>
      <c r="Q5950" s="86">
        <f t="shared" si="1801"/>
        <v>0</v>
      </c>
      <c r="R5950" s="86">
        <f t="shared" si="1802"/>
        <v>0</v>
      </c>
      <c r="S5950" s="86">
        <f t="shared" si="1803"/>
        <v>0</v>
      </c>
      <c r="T5950" s="86">
        <f t="shared" si="1804"/>
        <v>1374.8</v>
      </c>
      <c r="U5950" s="87">
        <v>1374.8</v>
      </c>
    </row>
    <row r="5951" spans="1:22" s="30" customFormat="1" ht="24.6" hidden="1" outlineLevel="1" x14ac:dyDescent="0.55000000000000004">
      <c r="A5951" s="27" t="s">
        <v>327</v>
      </c>
      <c r="B5951" s="28"/>
      <c r="C5951" s="27"/>
      <c r="D5951" s="27" t="str">
        <f>"""NAV Direct"",""CRONUS JetCorp USA"",""21"",""1"",""288456"""</f>
        <v>"NAV Direct","CRONUS JetCorp USA","21","1","288456"</v>
      </c>
      <c r="E5951" s="31">
        <f t="shared" si="1796"/>
        <v>0</v>
      </c>
      <c r="F5951" s="31"/>
      <c r="G5951" s="31"/>
      <c r="H5951" s="31"/>
      <c r="I5951" s="56"/>
      <c r="J5951" s="56"/>
      <c r="K5951" s="82" t="str">
        <f t="shared" si="1797"/>
        <v>Invoice</v>
      </c>
      <c r="L5951" s="83" t="str">
        <f>"SI_108864"</f>
        <v>SI_108864</v>
      </c>
      <c r="M5951" s="84">
        <v>43132</v>
      </c>
      <c r="N5951" s="85">
        <f t="shared" si="1798"/>
        <v>680</v>
      </c>
      <c r="O5951" s="86">
        <f t="shared" si="1799"/>
        <v>1663.7</v>
      </c>
      <c r="P5951" s="86">
        <f t="shared" si="1800"/>
        <v>0</v>
      </c>
      <c r="Q5951" s="86">
        <f t="shared" si="1801"/>
        <v>0</v>
      </c>
      <c r="R5951" s="86">
        <f t="shared" si="1802"/>
        <v>0</v>
      </c>
      <c r="S5951" s="86">
        <f t="shared" si="1803"/>
        <v>0</v>
      </c>
      <c r="T5951" s="86">
        <f t="shared" si="1804"/>
        <v>1663.7</v>
      </c>
      <c r="U5951" s="87">
        <v>1663.7</v>
      </c>
    </row>
    <row r="5952" spans="1:22" s="30" customFormat="1" ht="24.6" hidden="1" outlineLevel="1" x14ac:dyDescent="0.55000000000000004">
      <c r="A5952" s="27" t="s">
        <v>327</v>
      </c>
      <c r="B5952" s="28"/>
      <c r="C5952" s="27"/>
      <c r="D5952" s="27" t="str">
        <f>"""NAV Direct"",""CRONUS JetCorp USA"",""21"",""1"",""288813"""</f>
        <v>"NAV Direct","CRONUS JetCorp USA","21","1","288813"</v>
      </c>
      <c r="E5952" s="31" t="str">
        <f t="shared" si="1796"/>
        <v>C100510</v>
      </c>
      <c r="F5952" s="31"/>
      <c r="G5952" s="31"/>
      <c r="H5952" s="31"/>
      <c r="I5952" s="56"/>
      <c r="J5952" s="56"/>
      <c r="K5952" s="82" t="str">
        <f t="shared" si="1797"/>
        <v>Invoice</v>
      </c>
      <c r="L5952" s="83" t="str">
        <f>"SI_108876"</f>
        <v>SI_108876</v>
      </c>
      <c r="M5952" s="84">
        <v>43166</v>
      </c>
      <c r="N5952" s="85">
        <f t="shared" si="1798"/>
        <v>646</v>
      </c>
      <c r="O5952" s="86">
        <f t="shared" si="1799"/>
        <v>1663.76</v>
      </c>
      <c r="P5952" s="86">
        <f t="shared" si="1800"/>
        <v>0</v>
      </c>
      <c r="Q5952" s="86">
        <f t="shared" si="1801"/>
        <v>0</v>
      </c>
      <c r="R5952" s="86">
        <f t="shared" si="1802"/>
        <v>0</v>
      </c>
      <c r="S5952" s="86">
        <f t="shared" si="1803"/>
        <v>0</v>
      </c>
      <c r="T5952" s="86">
        <f t="shared" si="1804"/>
        <v>1663.76</v>
      </c>
      <c r="U5952" s="87">
        <v>1663.76</v>
      </c>
    </row>
    <row r="5953" spans="1:21" s="30" customFormat="1" ht="24.6" hidden="1" outlineLevel="1" x14ac:dyDescent="0.55000000000000004">
      <c r="A5953" s="27" t="s">
        <v>327</v>
      </c>
      <c r="B5953" s="28"/>
      <c r="C5953" s="27"/>
      <c r="D5953" s="27" t="str">
        <f>"""NAV Direct"",""CRONUS JetCorp USA"",""21"",""1"",""289871"""</f>
        <v>"NAV Direct","CRONUS JetCorp USA","21","1","289871"</v>
      </c>
      <c r="E5953" s="31">
        <f t="shared" si="1796"/>
        <v>0</v>
      </c>
      <c r="F5953" s="31"/>
      <c r="G5953" s="31"/>
      <c r="H5953" s="31"/>
      <c r="I5953" s="56"/>
      <c r="J5953" s="56"/>
      <c r="K5953" s="82" t="str">
        <f t="shared" si="1797"/>
        <v>Invoice</v>
      </c>
      <c r="L5953" s="83" t="str">
        <f>"SI_108910"</f>
        <v>SI_108910</v>
      </c>
      <c r="M5953" s="84">
        <v>43254</v>
      </c>
      <c r="N5953" s="85">
        <f t="shared" si="1798"/>
        <v>558</v>
      </c>
      <c r="O5953" s="86">
        <f t="shared" si="1799"/>
        <v>1830.14</v>
      </c>
      <c r="P5953" s="86">
        <f t="shared" si="1800"/>
        <v>0</v>
      </c>
      <c r="Q5953" s="86">
        <f t="shared" si="1801"/>
        <v>0</v>
      </c>
      <c r="R5953" s="86">
        <f t="shared" si="1802"/>
        <v>0</v>
      </c>
      <c r="S5953" s="86">
        <f t="shared" si="1803"/>
        <v>0</v>
      </c>
      <c r="T5953" s="86">
        <f t="shared" si="1804"/>
        <v>1830.14</v>
      </c>
      <c r="U5953" s="87">
        <v>1830.14</v>
      </c>
    </row>
    <row r="5954" spans="1:21" s="30" customFormat="1" ht="24.6" hidden="1" outlineLevel="1" x14ac:dyDescent="0.55000000000000004">
      <c r="A5954" s="27" t="s">
        <v>327</v>
      </c>
      <c r="B5954" s="28"/>
      <c r="C5954" s="27"/>
      <c r="D5954" s="27" t="str">
        <f>"""NAV Direct"",""CRONUS JetCorp USA"",""21"",""1"",""290091"""</f>
        <v>"NAV Direct","CRONUS JetCorp USA","21","1","290091"</v>
      </c>
      <c r="E5954" s="31" t="str">
        <f t="shared" si="1796"/>
        <v>C100510</v>
      </c>
      <c r="F5954" s="31"/>
      <c r="G5954" s="31"/>
      <c r="H5954" s="31"/>
      <c r="I5954" s="56"/>
      <c r="J5954" s="56"/>
      <c r="K5954" s="82" t="str">
        <f t="shared" si="1797"/>
        <v>Invoice</v>
      </c>
      <c r="L5954" s="83" t="str">
        <f>"SI_108918"</f>
        <v>SI_108918</v>
      </c>
      <c r="M5954" s="84">
        <v>43249</v>
      </c>
      <c r="N5954" s="85">
        <f t="shared" si="1798"/>
        <v>563</v>
      </c>
      <c r="O5954" s="86">
        <f t="shared" si="1799"/>
        <v>1830.1299999999999</v>
      </c>
      <c r="P5954" s="86">
        <f t="shared" si="1800"/>
        <v>0</v>
      </c>
      <c r="Q5954" s="86">
        <f t="shared" si="1801"/>
        <v>0</v>
      </c>
      <c r="R5954" s="86">
        <f t="shared" si="1802"/>
        <v>0</v>
      </c>
      <c r="S5954" s="86">
        <f t="shared" si="1803"/>
        <v>0</v>
      </c>
      <c r="T5954" s="86">
        <f t="shared" si="1804"/>
        <v>1830.1299999999999</v>
      </c>
      <c r="U5954" s="87">
        <v>1830.1299999999999</v>
      </c>
    </row>
    <row r="5955" spans="1:21" s="30" customFormat="1" ht="24.6" hidden="1" outlineLevel="1" x14ac:dyDescent="0.55000000000000004">
      <c r="A5955" s="27" t="s">
        <v>327</v>
      </c>
      <c r="B5955" s="28"/>
      <c r="C5955" s="27"/>
      <c r="D5955" s="27" t="str">
        <f>"""NAV Direct"",""CRONUS JetCorp USA"",""21"",""1"",""291170"""</f>
        <v>"NAV Direct","CRONUS JetCorp USA","21","1","291170"</v>
      </c>
      <c r="E5955" s="31">
        <f t="shared" si="1796"/>
        <v>0</v>
      </c>
      <c r="F5955" s="31"/>
      <c r="G5955" s="31"/>
      <c r="H5955" s="31"/>
      <c r="I5955" s="56"/>
      <c r="J5955" s="56"/>
      <c r="K5955" s="82" t="str">
        <f t="shared" si="1797"/>
        <v>Invoice</v>
      </c>
      <c r="L5955" s="83" t="str">
        <f>"SI_108954"</f>
        <v>SI_108954</v>
      </c>
      <c r="M5955" s="84">
        <v>43331</v>
      </c>
      <c r="N5955" s="85">
        <f t="shared" si="1798"/>
        <v>481</v>
      </c>
      <c r="O5955" s="86">
        <f t="shared" si="1799"/>
        <v>2013.08</v>
      </c>
      <c r="P5955" s="86">
        <f t="shared" si="1800"/>
        <v>0</v>
      </c>
      <c r="Q5955" s="86">
        <f t="shared" si="1801"/>
        <v>0</v>
      </c>
      <c r="R5955" s="86">
        <f t="shared" si="1802"/>
        <v>0</v>
      </c>
      <c r="S5955" s="86">
        <f t="shared" si="1803"/>
        <v>0</v>
      </c>
      <c r="T5955" s="86">
        <f t="shared" si="1804"/>
        <v>2013.08</v>
      </c>
      <c r="U5955" s="87">
        <v>2013.08</v>
      </c>
    </row>
    <row r="5956" spans="1:21" s="30" customFormat="1" ht="24.6" hidden="1" outlineLevel="1" x14ac:dyDescent="0.55000000000000004">
      <c r="A5956" s="27" t="s">
        <v>327</v>
      </c>
      <c r="B5956" s="28"/>
      <c r="C5956" s="27"/>
      <c r="D5956" s="27" t="str">
        <f>"""NAV Direct"",""CRONUS JetCorp USA"",""21"",""1"",""291805"""</f>
        <v>"NAV Direct","CRONUS JetCorp USA","21","1","291805"</v>
      </c>
      <c r="E5956" s="31" t="str">
        <f t="shared" si="1796"/>
        <v>C100510</v>
      </c>
      <c r="F5956" s="31"/>
      <c r="G5956" s="31"/>
      <c r="H5956" s="31"/>
      <c r="I5956" s="56"/>
      <c r="J5956" s="56"/>
      <c r="K5956" s="82" t="str">
        <f t="shared" si="1797"/>
        <v>Invoice</v>
      </c>
      <c r="L5956" s="83" t="str">
        <f>"SI_108975"</f>
        <v>SI_108975</v>
      </c>
      <c r="M5956" s="84">
        <v>43410</v>
      </c>
      <c r="N5956" s="85">
        <f t="shared" si="1798"/>
        <v>402</v>
      </c>
      <c r="O5956" s="86">
        <f t="shared" si="1799"/>
        <v>2214.33</v>
      </c>
      <c r="P5956" s="86">
        <f t="shared" si="1800"/>
        <v>0</v>
      </c>
      <c r="Q5956" s="86">
        <f t="shared" si="1801"/>
        <v>0</v>
      </c>
      <c r="R5956" s="86">
        <f t="shared" si="1802"/>
        <v>0</v>
      </c>
      <c r="S5956" s="86">
        <f t="shared" si="1803"/>
        <v>0</v>
      </c>
      <c r="T5956" s="86">
        <f t="shared" si="1804"/>
        <v>2214.33</v>
      </c>
      <c r="U5956" s="87">
        <v>2214.33</v>
      </c>
    </row>
    <row r="5957" spans="1:21" s="30" customFormat="1" ht="24.6" hidden="1" outlineLevel="1" x14ac:dyDescent="0.55000000000000004">
      <c r="A5957" s="27" t="s">
        <v>327</v>
      </c>
      <c r="B5957" s="28"/>
      <c r="C5957" s="27"/>
      <c r="D5957" s="27" t="str">
        <f>"""NAV Direct"",""CRONUS JetCorp USA"",""21"",""1"",""291931"""</f>
        <v>"NAV Direct","CRONUS JetCorp USA","21","1","291931"</v>
      </c>
      <c r="E5957" s="31">
        <f t="shared" si="1796"/>
        <v>0</v>
      </c>
      <c r="F5957" s="31"/>
      <c r="G5957" s="31"/>
      <c r="H5957" s="31"/>
      <c r="I5957" s="56"/>
      <c r="J5957" s="56"/>
      <c r="K5957" s="82" t="str">
        <f t="shared" si="1797"/>
        <v>Invoice</v>
      </c>
      <c r="L5957" s="83" t="str">
        <f>"SI_108980"</f>
        <v>SI_108980</v>
      </c>
      <c r="M5957" s="84">
        <v>43407</v>
      </c>
      <c r="N5957" s="85">
        <f t="shared" si="1798"/>
        <v>405</v>
      </c>
      <c r="O5957" s="86">
        <f t="shared" si="1799"/>
        <v>2214.38</v>
      </c>
      <c r="P5957" s="86">
        <f t="shared" si="1800"/>
        <v>0</v>
      </c>
      <c r="Q5957" s="86">
        <f t="shared" si="1801"/>
        <v>0</v>
      </c>
      <c r="R5957" s="86">
        <f t="shared" si="1802"/>
        <v>0</v>
      </c>
      <c r="S5957" s="86">
        <f t="shared" si="1803"/>
        <v>0</v>
      </c>
      <c r="T5957" s="86">
        <f t="shared" si="1804"/>
        <v>2214.38</v>
      </c>
      <c r="U5957" s="87">
        <v>2214.38</v>
      </c>
    </row>
    <row r="5958" spans="1:21" s="30" customFormat="1" ht="24.6" hidden="1" outlineLevel="1" x14ac:dyDescent="0.55000000000000004">
      <c r="A5958" s="27" t="s">
        <v>327</v>
      </c>
      <c r="B5958" s="28"/>
      <c r="C5958" s="27"/>
      <c r="D5958" s="27" t="str">
        <f>"""NAV Direct"",""CRONUS JetCorp USA"",""21"",""1"",""292225"""</f>
        <v>"NAV Direct","CRONUS JetCorp USA","21","1","292225"</v>
      </c>
      <c r="E5958" s="31" t="str">
        <f t="shared" si="1796"/>
        <v>C100510</v>
      </c>
      <c r="F5958" s="31"/>
      <c r="G5958" s="31"/>
      <c r="H5958" s="31"/>
      <c r="I5958" s="56"/>
      <c r="J5958" s="56"/>
      <c r="K5958" s="82" t="str">
        <f t="shared" si="1797"/>
        <v>Invoice</v>
      </c>
      <c r="L5958" s="83" t="str">
        <f>"SI_108990"</f>
        <v>SI_108990</v>
      </c>
      <c r="M5958" s="84">
        <v>43418</v>
      </c>
      <c r="N5958" s="85">
        <f t="shared" si="1798"/>
        <v>394</v>
      </c>
      <c r="O5958" s="86">
        <f t="shared" si="1799"/>
        <v>2214.0700000000002</v>
      </c>
      <c r="P5958" s="86">
        <f t="shared" si="1800"/>
        <v>0</v>
      </c>
      <c r="Q5958" s="86">
        <f t="shared" si="1801"/>
        <v>0</v>
      </c>
      <c r="R5958" s="86">
        <f t="shared" si="1802"/>
        <v>0</v>
      </c>
      <c r="S5958" s="86">
        <f t="shared" si="1803"/>
        <v>0</v>
      </c>
      <c r="T5958" s="86">
        <f t="shared" si="1804"/>
        <v>2214.0700000000002</v>
      </c>
      <c r="U5958" s="87">
        <v>2214.0700000000002</v>
      </c>
    </row>
    <row r="5959" spans="1:21" s="30" customFormat="1" ht="24.6" hidden="1" outlineLevel="1" x14ac:dyDescent="0.55000000000000004">
      <c r="A5959" s="27" t="s">
        <v>327</v>
      </c>
      <c r="B5959" s="28"/>
      <c r="C5959" s="27"/>
      <c r="D5959" s="27" t="str">
        <f>"""NAV Direct"",""CRONUS JetCorp USA"",""21"",""1"",""292514"""</f>
        <v>"NAV Direct","CRONUS JetCorp USA","21","1","292514"</v>
      </c>
      <c r="E5959" s="31">
        <f t="shared" si="1796"/>
        <v>0</v>
      </c>
      <c r="F5959" s="31"/>
      <c r="G5959" s="31"/>
      <c r="H5959" s="31"/>
      <c r="I5959" s="56"/>
      <c r="J5959" s="56"/>
      <c r="K5959" s="82" t="str">
        <f t="shared" si="1797"/>
        <v>Invoice</v>
      </c>
      <c r="L5959" s="83" t="str">
        <f>"SI_108999"</f>
        <v>SI_108999</v>
      </c>
      <c r="M5959" s="84">
        <v>43439</v>
      </c>
      <c r="N5959" s="85">
        <f t="shared" si="1798"/>
        <v>373</v>
      </c>
      <c r="O5959" s="86">
        <f t="shared" si="1799"/>
        <v>2214.4299999999998</v>
      </c>
      <c r="P5959" s="86">
        <f t="shared" si="1800"/>
        <v>0</v>
      </c>
      <c r="Q5959" s="86">
        <f t="shared" si="1801"/>
        <v>0</v>
      </c>
      <c r="R5959" s="86">
        <f t="shared" si="1802"/>
        <v>0</v>
      </c>
      <c r="S5959" s="86">
        <f t="shared" si="1803"/>
        <v>0</v>
      </c>
      <c r="T5959" s="86">
        <f t="shared" si="1804"/>
        <v>2214.4299999999998</v>
      </c>
      <c r="U5959" s="87">
        <v>2214.4299999999998</v>
      </c>
    </row>
    <row r="5960" spans="1:21" s="30" customFormat="1" ht="24.6" hidden="1" outlineLevel="1" x14ac:dyDescent="0.55000000000000004">
      <c r="A5960" s="27" t="s">
        <v>327</v>
      </c>
      <c r="B5960" s="28"/>
      <c r="C5960" s="27"/>
      <c r="D5960" s="27" t="str">
        <f>"""NAV Direct"",""CRONUS JetCorp USA"",""21"",""1"",""293078"""</f>
        <v>"NAV Direct","CRONUS JetCorp USA","21","1","293078"</v>
      </c>
      <c r="E5960" s="31" t="str">
        <f t="shared" si="1796"/>
        <v>C100510</v>
      </c>
      <c r="F5960" s="31"/>
      <c r="G5960" s="31"/>
      <c r="H5960" s="31"/>
      <c r="I5960" s="56"/>
      <c r="J5960" s="56"/>
      <c r="K5960" s="82" t="str">
        <f t="shared" si="1797"/>
        <v>Invoice</v>
      </c>
      <c r="L5960" s="83" t="str">
        <f>"SI_109019"</f>
        <v>SI_109019</v>
      </c>
      <c r="M5960" s="84">
        <v>43452</v>
      </c>
      <c r="N5960" s="85">
        <f t="shared" si="1798"/>
        <v>360</v>
      </c>
      <c r="O5960" s="86">
        <f t="shared" si="1799"/>
        <v>2214.27</v>
      </c>
      <c r="P5960" s="86">
        <f t="shared" si="1800"/>
        <v>0</v>
      </c>
      <c r="Q5960" s="86">
        <f t="shared" si="1801"/>
        <v>0</v>
      </c>
      <c r="R5960" s="86">
        <f t="shared" si="1802"/>
        <v>0</v>
      </c>
      <c r="S5960" s="86">
        <f t="shared" si="1803"/>
        <v>0</v>
      </c>
      <c r="T5960" s="86">
        <f t="shared" si="1804"/>
        <v>2214.27</v>
      </c>
      <c r="U5960" s="87">
        <v>2214.27</v>
      </c>
    </row>
    <row r="5961" spans="1:21" s="30" customFormat="1" ht="24.6" hidden="1" outlineLevel="1" x14ac:dyDescent="0.55000000000000004">
      <c r="A5961" s="27" t="s">
        <v>327</v>
      </c>
      <c r="B5961" s="28"/>
      <c r="C5961" s="27"/>
      <c r="D5961" s="27" t="str">
        <f>"""NAV Direct"",""CRONUS JetCorp USA"",""21"",""1"",""293991"""</f>
        <v>"NAV Direct","CRONUS JetCorp USA","21","1","293991"</v>
      </c>
      <c r="E5961" s="31">
        <f t="shared" si="1796"/>
        <v>0</v>
      </c>
      <c r="F5961" s="31"/>
      <c r="G5961" s="31"/>
      <c r="H5961" s="31"/>
      <c r="I5961" s="56"/>
      <c r="J5961" s="56"/>
      <c r="K5961" s="82" t="str">
        <f t="shared" si="1797"/>
        <v>Invoice</v>
      </c>
      <c r="L5961" s="83" t="str">
        <f>"SI_109049"</f>
        <v>SI_109049</v>
      </c>
      <c r="M5961" s="84">
        <v>43524</v>
      </c>
      <c r="N5961" s="85">
        <f t="shared" si="1798"/>
        <v>288</v>
      </c>
      <c r="O5961" s="86">
        <f t="shared" si="1799"/>
        <v>2435.87</v>
      </c>
      <c r="P5961" s="86">
        <f t="shared" si="1800"/>
        <v>0</v>
      </c>
      <c r="Q5961" s="86">
        <f t="shared" si="1801"/>
        <v>0</v>
      </c>
      <c r="R5961" s="86">
        <f t="shared" si="1802"/>
        <v>0</v>
      </c>
      <c r="S5961" s="86">
        <f t="shared" si="1803"/>
        <v>0</v>
      </c>
      <c r="T5961" s="86">
        <f t="shared" si="1804"/>
        <v>2435.87</v>
      </c>
      <c r="U5961" s="87">
        <v>2435.87</v>
      </c>
    </row>
    <row r="5962" spans="1:21" s="30" customFormat="1" ht="24.6" hidden="1" outlineLevel="1" x14ac:dyDescent="0.55000000000000004">
      <c r="A5962" s="27" t="s">
        <v>327</v>
      </c>
      <c r="B5962" s="28"/>
      <c r="C5962" s="27"/>
      <c r="D5962" s="27" t="str">
        <f>"""NAV Direct"",""CRONUS JetCorp USA"",""21"",""1"",""294070"""</f>
        <v>"NAV Direct","CRONUS JetCorp USA","21","1","294070"</v>
      </c>
      <c r="E5962" s="31" t="str">
        <f t="shared" si="1796"/>
        <v>C100510</v>
      </c>
      <c r="F5962" s="31"/>
      <c r="G5962" s="31"/>
      <c r="H5962" s="31"/>
      <c r="I5962" s="56"/>
      <c r="J5962" s="56"/>
      <c r="K5962" s="82" t="str">
        <f t="shared" si="1797"/>
        <v>Invoice</v>
      </c>
      <c r="L5962" s="83" t="str">
        <f>"SI_109052"</f>
        <v>SI_109052</v>
      </c>
      <c r="M5962" s="84">
        <v>43544</v>
      </c>
      <c r="N5962" s="85">
        <f t="shared" si="1798"/>
        <v>268</v>
      </c>
      <c r="O5962" s="86">
        <f t="shared" si="1799"/>
        <v>2435.81</v>
      </c>
      <c r="P5962" s="86">
        <f t="shared" si="1800"/>
        <v>0</v>
      </c>
      <c r="Q5962" s="86">
        <f t="shared" si="1801"/>
        <v>0</v>
      </c>
      <c r="R5962" s="86">
        <f t="shared" si="1802"/>
        <v>0</v>
      </c>
      <c r="S5962" s="86">
        <f t="shared" si="1803"/>
        <v>0</v>
      </c>
      <c r="T5962" s="86">
        <f t="shared" si="1804"/>
        <v>2435.81</v>
      </c>
      <c r="U5962" s="87">
        <v>2435.81</v>
      </c>
    </row>
    <row r="5963" spans="1:21" s="30" customFormat="1" ht="24.6" hidden="1" outlineLevel="1" x14ac:dyDescent="0.55000000000000004">
      <c r="A5963" s="27" t="s">
        <v>327</v>
      </c>
      <c r="B5963" s="28"/>
      <c r="C5963" s="27"/>
      <c r="D5963" s="27" t="str">
        <f>"""NAV Direct"",""CRONUS JetCorp USA"",""21"",""1"",""295999"""</f>
        <v>"NAV Direct","CRONUS JetCorp USA","21","1","295999"</v>
      </c>
      <c r="E5963" s="31">
        <f t="shared" si="1796"/>
        <v>0</v>
      </c>
      <c r="F5963" s="31"/>
      <c r="G5963" s="31"/>
      <c r="H5963" s="31"/>
      <c r="I5963" s="56"/>
      <c r="J5963" s="56"/>
      <c r="K5963" s="82" t="str">
        <f t="shared" si="1797"/>
        <v>Invoice</v>
      </c>
      <c r="L5963" s="83" t="str">
        <f>"SI_109109"</f>
        <v>SI_109109</v>
      </c>
      <c r="M5963" s="84">
        <v>43630</v>
      </c>
      <c r="N5963" s="85">
        <f t="shared" si="1798"/>
        <v>182</v>
      </c>
      <c r="O5963" s="86">
        <f t="shared" si="1799"/>
        <v>2679.4</v>
      </c>
      <c r="P5963" s="86">
        <f t="shared" si="1800"/>
        <v>0</v>
      </c>
      <c r="Q5963" s="86">
        <f t="shared" si="1801"/>
        <v>0</v>
      </c>
      <c r="R5963" s="86">
        <f t="shared" si="1802"/>
        <v>0</v>
      </c>
      <c r="S5963" s="86">
        <f t="shared" si="1803"/>
        <v>0</v>
      </c>
      <c r="T5963" s="86">
        <f t="shared" si="1804"/>
        <v>2679.4</v>
      </c>
      <c r="U5963" s="87">
        <v>2679.4</v>
      </c>
    </row>
    <row r="5964" spans="1:21" s="30" customFormat="1" ht="24.6" hidden="1" outlineLevel="1" x14ac:dyDescent="0.55000000000000004">
      <c r="A5964" s="27" t="s">
        <v>327</v>
      </c>
      <c r="B5964" s="28"/>
      <c r="C5964" s="27"/>
      <c r="D5964" s="27" t="str">
        <f>"""NAV Direct"",""CRONUS JetCorp USA"",""21"",""1"",""297553"""</f>
        <v>"NAV Direct","CRONUS JetCorp USA","21","1","297553"</v>
      </c>
      <c r="E5964" s="31" t="str">
        <f t="shared" si="1796"/>
        <v>C100510</v>
      </c>
      <c r="F5964" s="31"/>
      <c r="G5964" s="31"/>
      <c r="H5964" s="31"/>
      <c r="I5964" s="56"/>
      <c r="J5964" s="56"/>
      <c r="K5964" s="82" t="str">
        <f t="shared" si="1797"/>
        <v>Invoice</v>
      </c>
      <c r="L5964" s="83" t="str">
        <f>"SI_109159"</f>
        <v>SI_109159</v>
      </c>
      <c r="M5964" s="84">
        <v>43721</v>
      </c>
      <c r="N5964" s="85">
        <f t="shared" si="1798"/>
        <v>91</v>
      </c>
      <c r="O5964" s="86">
        <f t="shared" si="1799"/>
        <v>2947.36</v>
      </c>
      <c r="P5964" s="86">
        <f t="shared" si="1800"/>
        <v>0</v>
      </c>
      <c r="Q5964" s="86">
        <f t="shared" si="1801"/>
        <v>0</v>
      </c>
      <c r="R5964" s="86">
        <f t="shared" si="1802"/>
        <v>0</v>
      </c>
      <c r="S5964" s="86">
        <f t="shared" si="1803"/>
        <v>0</v>
      </c>
      <c r="T5964" s="86">
        <f t="shared" si="1804"/>
        <v>2947.36</v>
      </c>
      <c r="U5964" s="87">
        <v>2947.36</v>
      </c>
    </row>
    <row r="5965" spans="1:21" s="30" customFormat="1" ht="24.6" hidden="1" outlineLevel="1" x14ac:dyDescent="0.55000000000000004">
      <c r="A5965" s="27" t="s">
        <v>327</v>
      </c>
      <c r="B5965" s="28"/>
      <c r="C5965" s="27"/>
      <c r="D5965" s="27" t="str">
        <f>"""NAV Direct"",""CRONUS JetCorp USA"",""21"",""1"",""297742"""</f>
        <v>"NAV Direct","CRONUS JetCorp USA","21","1","297742"</v>
      </c>
      <c r="E5965" s="31">
        <f t="shared" si="1796"/>
        <v>0</v>
      </c>
      <c r="F5965" s="31"/>
      <c r="G5965" s="31"/>
      <c r="H5965" s="31"/>
      <c r="I5965" s="56"/>
      <c r="J5965" s="56"/>
      <c r="K5965" s="82" t="str">
        <f t="shared" si="1797"/>
        <v>Invoice</v>
      </c>
      <c r="L5965" s="83" t="str">
        <f>"SI_109164"</f>
        <v>SI_109164</v>
      </c>
      <c r="M5965" s="84">
        <v>43737</v>
      </c>
      <c r="N5965" s="85">
        <f t="shared" si="1798"/>
        <v>75</v>
      </c>
      <c r="O5965" s="86">
        <f t="shared" si="1799"/>
        <v>2947.42</v>
      </c>
      <c r="P5965" s="86">
        <f t="shared" si="1800"/>
        <v>0</v>
      </c>
      <c r="Q5965" s="86">
        <f t="shared" si="1801"/>
        <v>0</v>
      </c>
      <c r="R5965" s="86">
        <f t="shared" si="1802"/>
        <v>0</v>
      </c>
      <c r="S5965" s="86">
        <f t="shared" si="1803"/>
        <v>2947.42</v>
      </c>
      <c r="T5965" s="86">
        <f t="shared" si="1804"/>
        <v>0</v>
      </c>
      <c r="U5965" s="87">
        <v>2947.42</v>
      </c>
    </row>
    <row r="5966" spans="1:21" s="30" customFormat="1" ht="24.6" hidden="1" outlineLevel="1" x14ac:dyDescent="0.55000000000000004">
      <c r="A5966" s="27" t="s">
        <v>327</v>
      </c>
      <c r="B5966" s="28"/>
      <c r="C5966" s="27"/>
      <c r="D5966" s="27" t="str">
        <f>"""NAV Direct"",""CRONUS JetCorp USA"",""21"",""1"",""299096"""</f>
        <v>"NAV Direct","CRONUS JetCorp USA","21","1","299096"</v>
      </c>
      <c r="E5966" s="31" t="str">
        <f t="shared" si="1796"/>
        <v>C100510</v>
      </c>
      <c r="F5966" s="31"/>
      <c r="G5966" s="31"/>
      <c r="H5966" s="31"/>
      <c r="I5966" s="56"/>
      <c r="J5966" s="56"/>
      <c r="K5966" s="82" t="str">
        <f t="shared" si="1797"/>
        <v>Invoice</v>
      </c>
      <c r="L5966" s="83" t="str">
        <f>"SI_109206"</f>
        <v>SI_109206</v>
      </c>
      <c r="M5966" s="84">
        <v>43806</v>
      </c>
      <c r="N5966" s="85">
        <f t="shared" si="1798"/>
        <v>6</v>
      </c>
      <c r="O5966" s="86">
        <f t="shared" si="1799"/>
        <v>3242.17</v>
      </c>
      <c r="P5966" s="86">
        <f t="shared" si="1800"/>
        <v>0</v>
      </c>
      <c r="Q5966" s="86">
        <f t="shared" si="1801"/>
        <v>3242.17</v>
      </c>
      <c r="R5966" s="86">
        <f t="shared" si="1802"/>
        <v>0</v>
      </c>
      <c r="S5966" s="86">
        <f t="shared" si="1803"/>
        <v>0</v>
      </c>
      <c r="T5966" s="86">
        <f t="shared" si="1804"/>
        <v>0</v>
      </c>
      <c r="U5966" s="87">
        <v>3242.17</v>
      </c>
    </row>
    <row r="5967" spans="1:21" s="30" customFormat="1" ht="24.6" hidden="1" outlineLevel="1" x14ac:dyDescent="0.55000000000000004">
      <c r="A5967" s="27" t="s">
        <v>327</v>
      </c>
      <c r="B5967" s="28"/>
      <c r="C5967" s="27"/>
      <c r="D5967" s="27" t="str">
        <f>"""NAV Direct"",""CRONUS JetCorp USA"",""21"",""1"",""299724"""</f>
        <v>"NAV Direct","CRONUS JetCorp USA","21","1","299724"</v>
      </c>
      <c r="E5967" s="31">
        <f t="shared" si="1796"/>
        <v>0</v>
      </c>
      <c r="F5967" s="31"/>
      <c r="G5967" s="31"/>
      <c r="H5967" s="31"/>
      <c r="I5967" s="56"/>
      <c r="J5967" s="56"/>
      <c r="K5967" s="82" t="str">
        <f t="shared" si="1797"/>
        <v>Invoice</v>
      </c>
      <c r="L5967" s="83" t="str">
        <f>"SI_109225"</f>
        <v>SI_109225</v>
      </c>
      <c r="M5967" s="84">
        <v>42005</v>
      </c>
      <c r="N5967" s="85">
        <f t="shared" si="1798"/>
        <v>1807</v>
      </c>
      <c r="O5967" s="86">
        <f t="shared" si="1799"/>
        <v>3242.18</v>
      </c>
      <c r="P5967" s="86">
        <f t="shared" si="1800"/>
        <v>0</v>
      </c>
      <c r="Q5967" s="86">
        <f t="shared" si="1801"/>
        <v>0</v>
      </c>
      <c r="R5967" s="86">
        <f t="shared" si="1802"/>
        <v>0</v>
      </c>
      <c r="S5967" s="86">
        <f t="shared" si="1803"/>
        <v>0</v>
      </c>
      <c r="T5967" s="86">
        <f t="shared" si="1804"/>
        <v>3242.18</v>
      </c>
      <c r="U5967" s="87">
        <v>3242.18</v>
      </c>
    </row>
    <row r="5968" spans="1:21" s="30" customFormat="1" ht="24.6" hidden="1" outlineLevel="1" x14ac:dyDescent="0.55000000000000004">
      <c r="A5968" s="27" t="s">
        <v>327</v>
      </c>
      <c r="B5968" s="28"/>
      <c r="C5968" s="27"/>
      <c r="D5968" s="27" t="str">
        <f>"""NAV Direct"",""CRONUS JetCorp USA"",""21"",""1"",""300855"""</f>
        <v>"NAV Direct","CRONUS JetCorp USA","21","1","300855"</v>
      </c>
      <c r="E5968" s="31" t="str">
        <f t="shared" si="1796"/>
        <v>C100510</v>
      </c>
      <c r="F5968" s="31"/>
      <c r="G5968" s="31"/>
      <c r="H5968" s="31"/>
      <c r="I5968" s="56"/>
      <c r="J5968" s="56"/>
      <c r="K5968" s="82" t="str">
        <f t="shared" si="1797"/>
        <v>Invoice</v>
      </c>
      <c r="L5968" s="83" t="str">
        <f>"SI_109258"</f>
        <v>SI_109258</v>
      </c>
      <c r="M5968" s="84">
        <v>42065</v>
      </c>
      <c r="N5968" s="85">
        <f t="shared" si="1798"/>
        <v>1747</v>
      </c>
      <c r="O5968" s="86">
        <f t="shared" si="1799"/>
        <v>3566.36</v>
      </c>
      <c r="P5968" s="86">
        <f t="shared" si="1800"/>
        <v>0</v>
      </c>
      <c r="Q5968" s="86">
        <f t="shared" si="1801"/>
        <v>0</v>
      </c>
      <c r="R5968" s="86">
        <f t="shared" si="1802"/>
        <v>0</v>
      </c>
      <c r="S5968" s="86">
        <f t="shared" si="1803"/>
        <v>0</v>
      </c>
      <c r="T5968" s="86">
        <f t="shared" si="1804"/>
        <v>3566.36</v>
      </c>
      <c r="U5968" s="87">
        <v>3566.36</v>
      </c>
    </row>
    <row r="5969" spans="1:22" s="30" customFormat="1" ht="24.6" hidden="1" outlineLevel="1" x14ac:dyDescent="0.55000000000000004">
      <c r="A5969" s="27" t="s">
        <v>327</v>
      </c>
      <c r="B5969" s="28"/>
      <c r="C5969" s="27"/>
      <c r="D5969" s="27" t="str">
        <f>"""NAV Direct"",""CRONUS JetCorp USA"",""21"",""1"",""301298"""</f>
        <v>"NAV Direct","CRONUS JetCorp USA","21","1","301298"</v>
      </c>
      <c r="E5969" s="31">
        <f t="shared" si="1796"/>
        <v>0</v>
      </c>
      <c r="F5969" s="31"/>
      <c r="G5969" s="31"/>
      <c r="H5969" s="31"/>
      <c r="I5969" s="56"/>
      <c r="J5969" s="56"/>
      <c r="K5969" s="82" t="str">
        <f t="shared" si="1797"/>
        <v>Invoice</v>
      </c>
      <c r="L5969" s="83" t="str">
        <f>"SI_109271"</f>
        <v>SI_109271</v>
      </c>
      <c r="M5969" s="84">
        <v>42077</v>
      </c>
      <c r="N5969" s="85">
        <f t="shared" si="1798"/>
        <v>1735</v>
      </c>
      <c r="O5969" s="86">
        <f t="shared" si="1799"/>
        <v>3566.3</v>
      </c>
      <c r="P5969" s="86">
        <f t="shared" si="1800"/>
        <v>0</v>
      </c>
      <c r="Q5969" s="86">
        <f t="shared" si="1801"/>
        <v>0</v>
      </c>
      <c r="R5969" s="86">
        <f t="shared" si="1802"/>
        <v>0</v>
      </c>
      <c r="S5969" s="86">
        <f t="shared" si="1803"/>
        <v>0</v>
      </c>
      <c r="T5969" s="86">
        <f t="shared" si="1804"/>
        <v>3566.3</v>
      </c>
      <c r="U5969" s="87">
        <v>3566.3</v>
      </c>
    </row>
    <row r="5970" spans="1:22" s="30" customFormat="1" ht="24.6" hidden="1" outlineLevel="1" x14ac:dyDescent="0.55000000000000004">
      <c r="A5970" s="27" t="s">
        <v>327</v>
      </c>
      <c r="B5970" s="28"/>
      <c r="C5970" s="27"/>
      <c r="D5970" s="27" t="str">
        <f>"""NAV Direct"",""CRONUS JetCorp USA"",""21"",""1"",""303773"""</f>
        <v>"NAV Direct","CRONUS JetCorp USA","21","1","303773"</v>
      </c>
      <c r="E5970" s="31" t="str">
        <f t="shared" si="1796"/>
        <v>C100510</v>
      </c>
      <c r="F5970" s="31"/>
      <c r="G5970" s="31"/>
      <c r="H5970" s="31"/>
      <c r="I5970" s="56"/>
      <c r="J5970" s="56"/>
      <c r="K5970" s="82" t="str">
        <f t="shared" si="1797"/>
        <v>Invoice</v>
      </c>
      <c r="L5970" s="83" t="str">
        <f>"SI_109342"</f>
        <v>SI_109342</v>
      </c>
      <c r="M5970" s="84">
        <v>42185</v>
      </c>
      <c r="N5970" s="85">
        <f t="shared" si="1798"/>
        <v>1627</v>
      </c>
      <c r="O5970" s="86">
        <f t="shared" si="1799"/>
        <v>3923.05</v>
      </c>
      <c r="P5970" s="86">
        <f t="shared" si="1800"/>
        <v>0</v>
      </c>
      <c r="Q5970" s="86">
        <f t="shared" si="1801"/>
        <v>0</v>
      </c>
      <c r="R5970" s="86">
        <f t="shared" si="1802"/>
        <v>0</v>
      </c>
      <c r="S5970" s="86">
        <f t="shared" si="1803"/>
        <v>0</v>
      </c>
      <c r="T5970" s="86">
        <f t="shared" si="1804"/>
        <v>3923.05</v>
      </c>
      <c r="U5970" s="87">
        <v>3923.05</v>
      </c>
    </row>
    <row r="5971" spans="1:22" s="22" customFormat="1" ht="20.399999999999999" collapsed="1" x14ac:dyDescent="0.45">
      <c r="A5971" s="12" t="s">
        <v>327</v>
      </c>
      <c r="B5971" s="19"/>
      <c r="C5971" s="12"/>
      <c r="D5971" s="12"/>
      <c r="E5971" s="23"/>
      <c r="F5971" s="23"/>
      <c r="G5971" s="23"/>
      <c r="H5971" s="23"/>
      <c r="I5971" s="49"/>
      <c r="J5971" s="88"/>
      <c r="K5971" s="88"/>
      <c r="L5971" s="89"/>
      <c r="M5971" s="89"/>
      <c r="N5971" s="89"/>
      <c r="O5971" s="89"/>
      <c r="P5971" s="89"/>
      <c r="Q5971" s="90"/>
      <c r="R5971" s="90"/>
      <c r="S5971" s="91"/>
      <c r="T5971" s="92"/>
      <c r="U5971" s="92"/>
    </row>
    <row r="5972" spans="1:22" s="22" customFormat="1" ht="20.399999999999999" x14ac:dyDescent="0.45">
      <c r="A5972" s="12" t="s">
        <v>327</v>
      </c>
      <c r="B5972" s="19"/>
      <c r="C5972" s="12"/>
      <c r="D5972" s="12"/>
      <c r="E5972" s="23"/>
      <c r="F5972" s="23"/>
      <c r="G5972" s="23"/>
      <c r="H5972" s="23"/>
      <c r="I5972" s="49"/>
      <c r="J5972" s="88"/>
      <c r="K5972" s="88"/>
      <c r="L5972" s="89"/>
      <c r="M5972" s="89"/>
      <c r="N5972" s="89"/>
      <c r="O5972" s="89"/>
      <c r="P5972" s="89"/>
      <c r="Q5972" s="90"/>
      <c r="R5972" s="90"/>
      <c r="S5972" s="91"/>
      <c r="T5972" s="92"/>
      <c r="U5972" s="92"/>
    </row>
    <row r="5973" spans="1:22" s="26" customFormat="1" ht="24.6" x14ac:dyDescent="0.55000000000000004">
      <c r="A5973" s="27" t="s">
        <v>327</v>
      </c>
      <c r="B5973" s="28"/>
      <c r="C5973" s="27" t="str">
        <f>"""NAV Direct"",""CRONUS JetCorp USA"",""18"",""1"",""C100511"""</f>
        <v>"NAV Direct","CRONUS JetCorp USA","18","1","C100511"</v>
      </c>
      <c r="D5973" s="27"/>
      <c r="E5973" s="28" t="str">
        <f>H5973</f>
        <v>C100511</v>
      </c>
      <c r="F5973" s="28"/>
      <c r="G5973" s="28"/>
      <c r="H5973" s="28" t="str">
        <f>"C100511"</f>
        <v>C100511</v>
      </c>
      <c r="I5973" s="116" t="str">
        <f>"C100511  -  Columbus Party Supplies"</f>
        <v>C100511  -  Columbus Party Supplies</v>
      </c>
      <c r="J5973" s="117" t="str">
        <f>""</f>
        <v/>
      </c>
      <c r="K5973" s="118"/>
      <c r="L5973" s="119">
        <f>SUBTOTAL(3,L5974:L6006)</f>
        <v>29</v>
      </c>
      <c r="M5973" s="118"/>
      <c r="N5973" s="118"/>
      <c r="O5973" s="120">
        <f t="shared" ref="O5973:T5973" si="1805">SUBTOTAL(9,O5974:O6006)</f>
        <v>62979.299999999996</v>
      </c>
      <c r="P5973" s="120">
        <f t="shared" si="1805"/>
        <v>3242.21</v>
      </c>
      <c r="Q5973" s="120">
        <f t="shared" si="1805"/>
        <v>11137.359999999999</v>
      </c>
      <c r="R5973" s="120">
        <f t="shared" si="1805"/>
        <v>3242.17</v>
      </c>
      <c r="S5973" s="120">
        <f t="shared" si="1805"/>
        <v>0</v>
      </c>
      <c r="T5973" s="120">
        <f t="shared" si="1805"/>
        <v>45357.56</v>
      </c>
      <c r="U5973" s="81"/>
    </row>
    <row r="5974" spans="1:22" s="26" customFormat="1" ht="24.6" x14ac:dyDescent="0.55000000000000004">
      <c r="A5974" s="27" t="s">
        <v>327</v>
      </c>
      <c r="B5974" s="28"/>
      <c r="C5974" s="27" t="str">
        <f>C5973</f>
        <v>"NAV Direct","CRONUS JetCorp USA","18","1","C100511"</v>
      </c>
      <c r="D5974" s="27"/>
      <c r="E5974" s="28" t="str">
        <f>E5973</f>
        <v>C100511</v>
      </c>
      <c r="F5974" s="28"/>
      <c r="G5974" s="28"/>
      <c r="H5974" s="28"/>
      <c r="I5974" s="121" t="str">
        <f>"Contact: Elizabeth Griff"</f>
        <v>Contact: Elizabeth Griff</v>
      </c>
      <c r="J5974" s="121"/>
      <c r="K5974" s="122"/>
      <c r="L5974" s="123"/>
      <c r="M5974" s="123"/>
      <c r="N5974" s="124"/>
      <c r="O5974" s="124"/>
      <c r="P5974" s="123"/>
      <c r="Q5974" s="125"/>
      <c r="R5974" s="126"/>
      <c r="S5974" s="126"/>
      <c r="T5974" s="125"/>
      <c r="U5974" s="81"/>
    </row>
    <row r="5975" spans="1:22" s="26" customFormat="1" ht="24.6" x14ac:dyDescent="0.55000000000000004">
      <c r="A5975" s="27" t="s">
        <v>327</v>
      </c>
      <c r="B5975" s="28"/>
      <c r="C5975" s="27" t="str">
        <f>C5974</f>
        <v>"NAV Direct","CRONUS JetCorp USA","18","1","C100511"</v>
      </c>
      <c r="D5975" s="27"/>
      <c r="E5975" s="28" t="str">
        <f>E5974</f>
        <v>C100511</v>
      </c>
      <c r="F5975" s="28"/>
      <c r="G5975" s="28"/>
      <c r="H5975" s="28"/>
      <c r="I5975" s="121" t="str">
        <f>"Columbus Party Supplies@cronuscorp.net"</f>
        <v>Columbus Party Supplies@cronuscorp.net</v>
      </c>
      <c r="J5975" s="121"/>
      <c r="K5975" s="122"/>
      <c r="L5975" s="124"/>
      <c r="M5975" s="124"/>
      <c r="N5975" s="124"/>
      <c r="O5975" s="124"/>
      <c r="P5975" s="123"/>
      <c r="Q5975" s="125"/>
      <c r="R5975" s="126"/>
      <c r="S5975" s="126"/>
      <c r="T5975" s="125"/>
      <c r="U5975" s="81"/>
    </row>
    <row r="5976" spans="1:22" ht="12.75" hidden="1" customHeight="1" outlineLevel="1" x14ac:dyDescent="0.45">
      <c r="A5976" s="12" t="s">
        <v>328</v>
      </c>
      <c r="B5976" s="19"/>
      <c r="E5976" s="19"/>
      <c r="F5976" s="19"/>
      <c r="G5976" s="19"/>
      <c r="H5976" s="19"/>
      <c r="I5976" s="61"/>
      <c r="J5976" s="61"/>
      <c r="K5976" s="61"/>
      <c r="L5976" s="61"/>
      <c r="M5976" s="61"/>
      <c r="N5976" s="61"/>
      <c r="O5976" s="61"/>
      <c r="P5976" s="61"/>
      <c r="Q5976" s="61"/>
      <c r="R5976" s="61"/>
      <c r="S5976" s="61"/>
      <c r="T5976" s="61"/>
      <c r="U5976" s="61"/>
      <c r="V5976" s="21"/>
    </row>
    <row r="5977" spans="1:22" s="30" customFormat="1" ht="24.6" hidden="1" outlineLevel="1" x14ac:dyDescent="0.55000000000000004">
      <c r="A5977" s="27" t="s">
        <v>327</v>
      </c>
      <c r="B5977" s="28"/>
      <c r="C5977" s="27"/>
      <c r="D5977" s="27" t="str">
        <f>"""NAV Direct"",""CRONUS JetCorp USA"",""21"",""1"",""280881"""</f>
        <v>"NAV Direct","CRONUS JetCorp USA","21","1","280881"</v>
      </c>
      <c r="E5977" s="31" t="str">
        <f t="shared" ref="E5977:E6005" si="1806">E5975</f>
        <v>C100511</v>
      </c>
      <c r="F5977" s="31"/>
      <c r="G5977" s="31"/>
      <c r="H5977" s="31"/>
      <c r="I5977" s="56"/>
      <c r="J5977" s="56"/>
      <c r="K5977" s="82" t="str">
        <f t="shared" ref="K5977:K6005" si="1807">"Invoice"</f>
        <v>Invoice</v>
      </c>
      <c r="L5977" s="83" t="str">
        <f>"SI_108586"</f>
        <v>SI_108586</v>
      </c>
      <c r="M5977" s="84">
        <v>43533</v>
      </c>
      <c r="N5977" s="85">
        <f t="shared" ref="N5977:N6005" si="1808">StartDate-$M5977+1</f>
        <v>279</v>
      </c>
      <c r="O5977" s="86">
        <f t="shared" ref="O5977:O6005" si="1809">SUM(P5977:T5977)</f>
        <v>587.88</v>
      </c>
      <c r="P5977" s="86">
        <f t="shared" ref="P5977:P6005" si="1810">IF($M5977&gt;=$P$18,U5977,0)</f>
        <v>0</v>
      </c>
      <c r="Q5977" s="86">
        <f t="shared" ref="Q5977:Q6005" si="1811">IF(AND($M5977&gt;=$Q$16,$M5977&lt;=$Q$18),U5977,0)</f>
        <v>0</v>
      </c>
      <c r="R5977" s="86">
        <f t="shared" ref="R5977:R6005" si="1812">IF(AND($M5977&gt;=$R$16,$M5977&lt;=$R$18),U5977,0)</f>
        <v>0</v>
      </c>
      <c r="S5977" s="86">
        <f t="shared" ref="S5977:S6005" si="1813">IF(AND($M5977&gt;=$S$16,$M5977&lt;=$S$18),U5977,0)</f>
        <v>0</v>
      </c>
      <c r="T5977" s="86">
        <f t="shared" ref="T5977:T6005" si="1814">IF($M5977&lt;=$T$18,U5977,0)</f>
        <v>587.88</v>
      </c>
      <c r="U5977" s="87">
        <v>587.88</v>
      </c>
    </row>
    <row r="5978" spans="1:22" s="30" customFormat="1" ht="24.6" hidden="1" outlineLevel="1" x14ac:dyDescent="0.55000000000000004">
      <c r="A5978" s="27" t="s">
        <v>327</v>
      </c>
      <c r="B5978" s="28"/>
      <c r="C5978" s="27"/>
      <c r="D5978" s="27" t="str">
        <f>"""NAV Direct"",""CRONUS JetCorp USA"",""21"",""1"",""281796"""</f>
        <v>"NAV Direct","CRONUS JetCorp USA","21","1","281796"</v>
      </c>
      <c r="E5978" s="31">
        <f t="shared" si="1806"/>
        <v>0</v>
      </c>
      <c r="F5978" s="31"/>
      <c r="G5978" s="31"/>
      <c r="H5978" s="31"/>
      <c r="I5978" s="56"/>
      <c r="J5978" s="56"/>
      <c r="K5978" s="82" t="str">
        <f t="shared" si="1807"/>
        <v>Invoice</v>
      </c>
      <c r="L5978" s="83" t="str">
        <f>"SI_108624"</f>
        <v>SI_108624</v>
      </c>
      <c r="M5978" s="84">
        <v>43786</v>
      </c>
      <c r="N5978" s="85">
        <f t="shared" si="1808"/>
        <v>26</v>
      </c>
      <c r="O5978" s="86">
        <f t="shared" si="1809"/>
        <v>705.51</v>
      </c>
      <c r="P5978" s="86">
        <f t="shared" si="1810"/>
        <v>0</v>
      </c>
      <c r="Q5978" s="86">
        <f t="shared" si="1811"/>
        <v>705.51</v>
      </c>
      <c r="R5978" s="86">
        <f t="shared" si="1812"/>
        <v>0</v>
      </c>
      <c r="S5978" s="86">
        <f t="shared" si="1813"/>
        <v>0</v>
      </c>
      <c r="T5978" s="86">
        <f t="shared" si="1814"/>
        <v>0</v>
      </c>
      <c r="U5978" s="87">
        <v>705.51</v>
      </c>
    </row>
    <row r="5979" spans="1:22" s="30" customFormat="1" ht="24.6" hidden="1" outlineLevel="1" x14ac:dyDescent="0.55000000000000004">
      <c r="A5979" s="27" t="s">
        <v>327</v>
      </c>
      <c r="B5979" s="28"/>
      <c r="C5979" s="27"/>
      <c r="D5979" s="27" t="str">
        <f>"""NAV Direct"",""CRONUS JetCorp USA"",""21"",""1"",""281858"""</f>
        <v>"NAV Direct","CRONUS JetCorp USA","21","1","281858"</v>
      </c>
      <c r="E5979" s="31" t="str">
        <f t="shared" si="1806"/>
        <v>C100511</v>
      </c>
      <c r="F5979" s="31"/>
      <c r="G5979" s="31"/>
      <c r="H5979" s="31"/>
      <c r="I5979" s="56"/>
      <c r="J5979" s="56"/>
      <c r="K5979" s="82" t="str">
        <f t="shared" si="1807"/>
        <v>Invoice</v>
      </c>
      <c r="L5979" s="83" t="str">
        <f>"SI_108626"</f>
        <v>SI_108626</v>
      </c>
      <c r="M5979" s="84">
        <v>43798</v>
      </c>
      <c r="N5979" s="85">
        <f t="shared" si="1808"/>
        <v>14</v>
      </c>
      <c r="O5979" s="86">
        <f t="shared" si="1809"/>
        <v>705.42</v>
      </c>
      <c r="P5979" s="86">
        <f t="shared" si="1810"/>
        <v>0</v>
      </c>
      <c r="Q5979" s="86">
        <f t="shared" si="1811"/>
        <v>705.42</v>
      </c>
      <c r="R5979" s="86">
        <f t="shared" si="1812"/>
        <v>0</v>
      </c>
      <c r="S5979" s="86">
        <f t="shared" si="1813"/>
        <v>0</v>
      </c>
      <c r="T5979" s="86">
        <f t="shared" si="1814"/>
        <v>0</v>
      </c>
      <c r="U5979" s="87">
        <v>705.42</v>
      </c>
    </row>
    <row r="5980" spans="1:22" s="30" customFormat="1" ht="24.6" hidden="1" outlineLevel="1" x14ac:dyDescent="0.55000000000000004">
      <c r="A5980" s="27" t="s">
        <v>327</v>
      </c>
      <c r="B5980" s="28"/>
      <c r="C5980" s="27"/>
      <c r="D5980" s="27" t="str">
        <f>"""NAV Direct"",""CRONUS JetCorp USA"",""21"",""1"",""282194"""</f>
        <v>"NAV Direct","CRONUS JetCorp USA","21","1","282194"</v>
      </c>
      <c r="E5980" s="31">
        <f t="shared" si="1806"/>
        <v>0</v>
      </c>
      <c r="F5980" s="31"/>
      <c r="G5980" s="31"/>
      <c r="H5980" s="31"/>
      <c r="I5980" s="56"/>
      <c r="J5980" s="56"/>
      <c r="K5980" s="82" t="str">
        <f t="shared" si="1807"/>
        <v>Invoice</v>
      </c>
      <c r="L5980" s="83" t="str">
        <f>"SI_108639"</f>
        <v>SI_108639</v>
      </c>
      <c r="M5980" s="84">
        <v>42058</v>
      </c>
      <c r="N5980" s="85">
        <f t="shared" si="1808"/>
        <v>1754</v>
      </c>
      <c r="O5980" s="86">
        <f t="shared" si="1809"/>
        <v>776.12</v>
      </c>
      <c r="P5980" s="86">
        <f t="shared" si="1810"/>
        <v>0</v>
      </c>
      <c r="Q5980" s="86">
        <f t="shared" si="1811"/>
        <v>0</v>
      </c>
      <c r="R5980" s="86">
        <f t="shared" si="1812"/>
        <v>0</v>
      </c>
      <c r="S5980" s="86">
        <f t="shared" si="1813"/>
        <v>0</v>
      </c>
      <c r="T5980" s="86">
        <f t="shared" si="1814"/>
        <v>776.12</v>
      </c>
      <c r="U5980" s="87">
        <v>776.12</v>
      </c>
    </row>
    <row r="5981" spans="1:22" s="30" customFormat="1" ht="24.6" hidden="1" outlineLevel="1" x14ac:dyDescent="0.55000000000000004">
      <c r="A5981" s="27" t="s">
        <v>327</v>
      </c>
      <c r="B5981" s="28"/>
      <c r="C5981" s="27"/>
      <c r="D5981" s="27" t="str">
        <f>"""NAV Direct"",""CRONUS JetCorp USA"",""21"",""1"",""283707"""</f>
        <v>"NAV Direct","CRONUS JetCorp USA","21","1","283707"</v>
      </c>
      <c r="E5981" s="31" t="str">
        <f t="shared" si="1806"/>
        <v>C100511</v>
      </c>
      <c r="F5981" s="31"/>
      <c r="G5981" s="31"/>
      <c r="H5981" s="31"/>
      <c r="I5981" s="56"/>
      <c r="J5981" s="56"/>
      <c r="K5981" s="82" t="str">
        <f t="shared" si="1807"/>
        <v>Invoice</v>
      </c>
      <c r="L5981" s="83" t="str">
        <f>"SI_108697"</f>
        <v>SI_108697</v>
      </c>
      <c r="M5981" s="84">
        <v>42222</v>
      </c>
      <c r="N5981" s="85">
        <f t="shared" si="1808"/>
        <v>1590</v>
      </c>
      <c r="O5981" s="86">
        <f t="shared" si="1809"/>
        <v>939.15000000000009</v>
      </c>
      <c r="P5981" s="86">
        <f t="shared" si="1810"/>
        <v>0</v>
      </c>
      <c r="Q5981" s="86">
        <f t="shared" si="1811"/>
        <v>0</v>
      </c>
      <c r="R5981" s="86">
        <f t="shared" si="1812"/>
        <v>0</v>
      </c>
      <c r="S5981" s="86">
        <f t="shared" si="1813"/>
        <v>0</v>
      </c>
      <c r="T5981" s="86">
        <f t="shared" si="1814"/>
        <v>939.15000000000009</v>
      </c>
      <c r="U5981" s="87">
        <v>939.15000000000009</v>
      </c>
    </row>
    <row r="5982" spans="1:22" s="30" customFormat="1" ht="24.6" hidden="1" outlineLevel="1" x14ac:dyDescent="0.55000000000000004">
      <c r="A5982" s="27" t="s">
        <v>327</v>
      </c>
      <c r="B5982" s="28"/>
      <c r="C5982" s="27"/>
      <c r="D5982" s="27" t="str">
        <f>"""NAV Direct"",""CRONUS JetCorp USA"",""21"",""1"",""284516"""</f>
        <v>"NAV Direct","CRONUS JetCorp USA","21","1","284516"</v>
      </c>
      <c r="E5982" s="31">
        <f t="shared" si="1806"/>
        <v>0</v>
      </c>
      <c r="F5982" s="31"/>
      <c r="G5982" s="31"/>
      <c r="H5982" s="31"/>
      <c r="I5982" s="56"/>
      <c r="J5982" s="56"/>
      <c r="K5982" s="82" t="str">
        <f t="shared" si="1807"/>
        <v>Invoice</v>
      </c>
      <c r="L5982" s="83" t="str">
        <f>"SI_108726"</f>
        <v>SI_108726</v>
      </c>
      <c r="M5982" s="84">
        <v>42757</v>
      </c>
      <c r="N5982" s="85">
        <f t="shared" si="1808"/>
        <v>1055</v>
      </c>
      <c r="O5982" s="86">
        <f t="shared" si="1809"/>
        <v>1136.1500000000001</v>
      </c>
      <c r="P5982" s="86">
        <f t="shared" si="1810"/>
        <v>0</v>
      </c>
      <c r="Q5982" s="86">
        <f t="shared" si="1811"/>
        <v>0</v>
      </c>
      <c r="R5982" s="86">
        <f t="shared" si="1812"/>
        <v>0</v>
      </c>
      <c r="S5982" s="86">
        <f t="shared" si="1813"/>
        <v>0</v>
      </c>
      <c r="T5982" s="86">
        <f t="shared" si="1814"/>
        <v>1136.1500000000001</v>
      </c>
      <c r="U5982" s="87">
        <v>1136.1500000000001</v>
      </c>
    </row>
    <row r="5983" spans="1:22" s="30" customFormat="1" ht="24.6" hidden="1" outlineLevel="1" x14ac:dyDescent="0.55000000000000004">
      <c r="A5983" s="27" t="s">
        <v>327</v>
      </c>
      <c r="B5983" s="28"/>
      <c r="C5983" s="27"/>
      <c r="D5983" s="27" t="str">
        <f>"""NAV Direct"",""CRONUS JetCorp USA"",""21"",""1"",""285069"""</f>
        <v>"NAV Direct","CRONUS JetCorp USA","21","1","285069"</v>
      </c>
      <c r="E5983" s="31" t="str">
        <f t="shared" si="1806"/>
        <v>C100511</v>
      </c>
      <c r="F5983" s="31"/>
      <c r="G5983" s="31"/>
      <c r="H5983" s="31"/>
      <c r="I5983" s="56"/>
      <c r="J5983" s="56"/>
      <c r="K5983" s="82" t="str">
        <f t="shared" si="1807"/>
        <v>Invoice</v>
      </c>
      <c r="L5983" s="83" t="str">
        <f>"SI_108746"</f>
        <v>SI_108746</v>
      </c>
      <c r="M5983" s="84">
        <v>42798</v>
      </c>
      <c r="N5983" s="85">
        <f t="shared" si="1808"/>
        <v>1014</v>
      </c>
      <c r="O5983" s="86">
        <f t="shared" si="1809"/>
        <v>1136.26</v>
      </c>
      <c r="P5983" s="86">
        <f t="shared" si="1810"/>
        <v>0</v>
      </c>
      <c r="Q5983" s="86">
        <f t="shared" si="1811"/>
        <v>0</v>
      </c>
      <c r="R5983" s="86">
        <f t="shared" si="1812"/>
        <v>0</v>
      </c>
      <c r="S5983" s="86">
        <f t="shared" si="1813"/>
        <v>0</v>
      </c>
      <c r="T5983" s="86">
        <f t="shared" si="1814"/>
        <v>1136.26</v>
      </c>
      <c r="U5983" s="87">
        <v>1136.26</v>
      </c>
    </row>
    <row r="5984" spans="1:22" s="30" customFormat="1" ht="24.6" hidden="1" outlineLevel="1" x14ac:dyDescent="0.55000000000000004">
      <c r="A5984" s="27" t="s">
        <v>327</v>
      </c>
      <c r="B5984" s="28"/>
      <c r="C5984" s="27"/>
      <c r="D5984" s="27" t="str">
        <f>"""NAV Direct"",""CRONUS JetCorp USA"",""21"",""1"",""287151"""</f>
        <v>"NAV Direct","CRONUS JetCorp USA","21","1","287151"</v>
      </c>
      <c r="E5984" s="31">
        <f t="shared" si="1806"/>
        <v>0</v>
      </c>
      <c r="F5984" s="31"/>
      <c r="G5984" s="31"/>
      <c r="H5984" s="31"/>
      <c r="I5984" s="56"/>
      <c r="J5984" s="56"/>
      <c r="K5984" s="82" t="str">
        <f t="shared" si="1807"/>
        <v>Invoice</v>
      </c>
      <c r="L5984" s="83" t="str">
        <f>"SI_108818"</f>
        <v>SI_108818</v>
      </c>
      <c r="M5984" s="84">
        <v>43041</v>
      </c>
      <c r="N5984" s="85">
        <f t="shared" si="1808"/>
        <v>771</v>
      </c>
      <c r="O5984" s="86">
        <f t="shared" si="1809"/>
        <v>1512.44</v>
      </c>
      <c r="P5984" s="86">
        <f t="shared" si="1810"/>
        <v>0</v>
      </c>
      <c r="Q5984" s="86">
        <f t="shared" si="1811"/>
        <v>0</v>
      </c>
      <c r="R5984" s="86">
        <f t="shared" si="1812"/>
        <v>0</v>
      </c>
      <c r="S5984" s="86">
        <f t="shared" si="1813"/>
        <v>0</v>
      </c>
      <c r="T5984" s="86">
        <f t="shared" si="1814"/>
        <v>1512.44</v>
      </c>
      <c r="U5984" s="87">
        <v>1512.44</v>
      </c>
    </row>
    <row r="5985" spans="1:21" s="30" customFormat="1" ht="24.6" hidden="1" outlineLevel="1" x14ac:dyDescent="0.55000000000000004">
      <c r="A5985" s="27" t="s">
        <v>327</v>
      </c>
      <c r="B5985" s="28"/>
      <c r="C5985" s="27"/>
      <c r="D5985" s="27" t="str">
        <f>"""NAV Direct"",""CRONUS JetCorp USA"",""21"",""1"",""287309"""</f>
        <v>"NAV Direct","CRONUS JetCorp USA","21","1","287309"</v>
      </c>
      <c r="E5985" s="31" t="str">
        <f t="shared" si="1806"/>
        <v>C100511</v>
      </c>
      <c r="F5985" s="31"/>
      <c r="G5985" s="31"/>
      <c r="H5985" s="31"/>
      <c r="I5985" s="56"/>
      <c r="J5985" s="56"/>
      <c r="K5985" s="82" t="str">
        <f t="shared" si="1807"/>
        <v>Invoice</v>
      </c>
      <c r="L5985" s="83" t="str">
        <f>"SI_108824"</f>
        <v>SI_108824</v>
      </c>
      <c r="M5985" s="84">
        <v>43055</v>
      </c>
      <c r="N5985" s="85">
        <f t="shared" si="1808"/>
        <v>757</v>
      </c>
      <c r="O5985" s="86">
        <f t="shared" si="1809"/>
        <v>1512.41</v>
      </c>
      <c r="P5985" s="86">
        <f t="shared" si="1810"/>
        <v>0</v>
      </c>
      <c r="Q5985" s="86">
        <f t="shared" si="1811"/>
        <v>0</v>
      </c>
      <c r="R5985" s="86">
        <f t="shared" si="1812"/>
        <v>0</v>
      </c>
      <c r="S5985" s="86">
        <f t="shared" si="1813"/>
        <v>0</v>
      </c>
      <c r="T5985" s="86">
        <f t="shared" si="1814"/>
        <v>1512.41</v>
      </c>
      <c r="U5985" s="87">
        <v>1512.41</v>
      </c>
    </row>
    <row r="5986" spans="1:21" s="30" customFormat="1" ht="24.6" hidden="1" outlineLevel="1" x14ac:dyDescent="0.55000000000000004">
      <c r="A5986" s="27" t="s">
        <v>327</v>
      </c>
      <c r="B5986" s="28"/>
      <c r="C5986" s="27"/>
      <c r="D5986" s="27" t="str">
        <f>"""NAV Direct"",""CRONUS JetCorp USA"",""21"",""1"",""287541"""</f>
        <v>"NAV Direct","CRONUS JetCorp USA","21","1","287541"</v>
      </c>
      <c r="E5986" s="31">
        <f t="shared" si="1806"/>
        <v>0</v>
      </c>
      <c r="F5986" s="31"/>
      <c r="G5986" s="31"/>
      <c r="H5986" s="31"/>
      <c r="I5986" s="56"/>
      <c r="J5986" s="56"/>
      <c r="K5986" s="82" t="str">
        <f t="shared" si="1807"/>
        <v>Invoice</v>
      </c>
      <c r="L5986" s="83" t="str">
        <f>"SI_108832"</f>
        <v>SI_108832</v>
      </c>
      <c r="M5986" s="84">
        <v>43037</v>
      </c>
      <c r="N5986" s="85">
        <f t="shared" si="1808"/>
        <v>775</v>
      </c>
      <c r="O5986" s="86">
        <f t="shared" si="1809"/>
        <v>1512.47</v>
      </c>
      <c r="P5986" s="86">
        <f t="shared" si="1810"/>
        <v>0</v>
      </c>
      <c r="Q5986" s="86">
        <f t="shared" si="1811"/>
        <v>0</v>
      </c>
      <c r="R5986" s="86">
        <f t="shared" si="1812"/>
        <v>0</v>
      </c>
      <c r="S5986" s="86">
        <f t="shared" si="1813"/>
        <v>0</v>
      </c>
      <c r="T5986" s="86">
        <f t="shared" si="1814"/>
        <v>1512.47</v>
      </c>
      <c r="U5986" s="87">
        <v>1512.47</v>
      </c>
    </row>
    <row r="5987" spans="1:21" s="30" customFormat="1" ht="24.6" hidden="1" outlineLevel="1" x14ac:dyDescent="0.55000000000000004">
      <c r="A5987" s="27" t="s">
        <v>327</v>
      </c>
      <c r="B5987" s="28"/>
      <c r="C5987" s="27"/>
      <c r="D5987" s="27" t="str">
        <f>"""NAV Direct"",""CRONUS JetCorp USA"",""21"",""1"",""287782"""</f>
        <v>"NAV Direct","CRONUS JetCorp USA","21","1","287782"</v>
      </c>
      <c r="E5987" s="31" t="str">
        <f t="shared" si="1806"/>
        <v>C100511</v>
      </c>
      <c r="F5987" s="31"/>
      <c r="G5987" s="31"/>
      <c r="H5987" s="31"/>
      <c r="I5987" s="56"/>
      <c r="J5987" s="56"/>
      <c r="K5987" s="82" t="str">
        <f t="shared" si="1807"/>
        <v>Invoice</v>
      </c>
      <c r="L5987" s="83" t="str">
        <f>"SI_108841"</f>
        <v>SI_108841</v>
      </c>
      <c r="M5987" s="84">
        <v>43064</v>
      </c>
      <c r="N5987" s="85">
        <f t="shared" si="1808"/>
        <v>748</v>
      </c>
      <c r="O5987" s="86">
        <f t="shared" si="1809"/>
        <v>1512.45</v>
      </c>
      <c r="P5987" s="86">
        <f t="shared" si="1810"/>
        <v>0</v>
      </c>
      <c r="Q5987" s="86">
        <f t="shared" si="1811"/>
        <v>0</v>
      </c>
      <c r="R5987" s="86">
        <f t="shared" si="1812"/>
        <v>0</v>
      </c>
      <c r="S5987" s="86">
        <f t="shared" si="1813"/>
        <v>0</v>
      </c>
      <c r="T5987" s="86">
        <f t="shared" si="1814"/>
        <v>1512.45</v>
      </c>
      <c r="U5987" s="87">
        <v>1512.45</v>
      </c>
    </row>
    <row r="5988" spans="1:21" s="30" customFormat="1" ht="24.6" hidden="1" outlineLevel="1" x14ac:dyDescent="0.55000000000000004">
      <c r="A5988" s="27" t="s">
        <v>327</v>
      </c>
      <c r="B5988" s="28"/>
      <c r="C5988" s="27"/>
      <c r="D5988" s="27" t="str">
        <f>"""NAV Direct"",""CRONUS JetCorp USA"",""21"",""1"",""288751"""</f>
        <v>"NAV Direct","CRONUS JetCorp USA","21","1","288751"</v>
      </c>
      <c r="E5988" s="31">
        <f t="shared" si="1806"/>
        <v>0</v>
      </c>
      <c r="F5988" s="31"/>
      <c r="G5988" s="31"/>
      <c r="H5988" s="31"/>
      <c r="I5988" s="56"/>
      <c r="J5988" s="56"/>
      <c r="K5988" s="82" t="str">
        <f t="shared" si="1807"/>
        <v>Invoice</v>
      </c>
      <c r="L5988" s="83" t="str">
        <f>"SI_108874"</f>
        <v>SI_108874</v>
      </c>
      <c r="M5988" s="84">
        <v>43169</v>
      </c>
      <c r="N5988" s="85">
        <f t="shared" si="1808"/>
        <v>643</v>
      </c>
      <c r="O5988" s="86">
        <f t="shared" si="1809"/>
        <v>1663.74</v>
      </c>
      <c r="P5988" s="86">
        <f t="shared" si="1810"/>
        <v>0</v>
      </c>
      <c r="Q5988" s="86">
        <f t="shared" si="1811"/>
        <v>0</v>
      </c>
      <c r="R5988" s="86">
        <f t="shared" si="1812"/>
        <v>0</v>
      </c>
      <c r="S5988" s="86">
        <f t="shared" si="1813"/>
        <v>0</v>
      </c>
      <c r="T5988" s="86">
        <f t="shared" si="1814"/>
        <v>1663.74</v>
      </c>
      <c r="U5988" s="87">
        <v>1663.74</v>
      </c>
    </row>
    <row r="5989" spans="1:21" s="30" customFormat="1" ht="24.6" hidden="1" outlineLevel="1" x14ac:dyDescent="0.55000000000000004">
      <c r="A5989" s="27" t="s">
        <v>327</v>
      </c>
      <c r="B5989" s="28"/>
      <c r="C5989" s="27"/>
      <c r="D5989" s="27" t="str">
        <f>"""NAV Direct"",""CRONUS JetCorp USA"",""21"",""1"",""288948"""</f>
        <v>"NAV Direct","CRONUS JetCorp USA","21","1","288948"</v>
      </c>
      <c r="E5989" s="31" t="str">
        <f t="shared" si="1806"/>
        <v>C100511</v>
      </c>
      <c r="F5989" s="31"/>
      <c r="G5989" s="31"/>
      <c r="H5989" s="31"/>
      <c r="I5989" s="56"/>
      <c r="J5989" s="56"/>
      <c r="K5989" s="82" t="str">
        <f t="shared" si="1807"/>
        <v>Invoice</v>
      </c>
      <c r="L5989" s="83" t="str">
        <f>"SI_108880"</f>
        <v>SI_108880</v>
      </c>
      <c r="M5989" s="84">
        <v>43156</v>
      </c>
      <c r="N5989" s="85">
        <f t="shared" si="1808"/>
        <v>656</v>
      </c>
      <c r="O5989" s="86">
        <f t="shared" si="1809"/>
        <v>1663.65</v>
      </c>
      <c r="P5989" s="86">
        <f t="shared" si="1810"/>
        <v>0</v>
      </c>
      <c r="Q5989" s="86">
        <f t="shared" si="1811"/>
        <v>0</v>
      </c>
      <c r="R5989" s="86">
        <f t="shared" si="1812"/>
        <v>0</v>
      </c>
      <c r="S5989" s="86">
        <f t="shared" si="1813"/>
        <v>0</v>
      </c>
      <c r="T5989" s="86">
        <f t="shared" si="1814"/>
        <v>1663.65</v>
      </c>
      <c r="U5989" s="87">
        <v>1663.65</v>
      </c>
    </row>
    <row r="5990" spans="1:21" s="30" customFormat="1" ht="24.6" hidden="1" outlineLevel="1" x14ac:dyDescent="0.55000000000000004">
      <c r="A5990" s="27" t="s">
        <v>327</v>
      </c>
      <c r="B5990" s="28"/>
      <c r="C5990" s="27"/>
      <c r="D5990" s="27" t="str">
        <f>"""NAV Direct"",""CRONUS JetCorp USA"",""21"",""1"",""290447"""</f>
        <v>"NAV Direct","CRONUS JetCorp USA","21","1","290447"</v>
      </c>
      <c r="E5990" s="31">
        <f t="shared" si="1806"/>
        <v>0</v>
      </c>
      <c r="F5990" s="31"/>
      <c r="G5990" s="31"/>
      <c r="H5990" s="31"/>
      <c r="I5990" s="56"/>
      <c r="J5990" s="56"/>
      <c r="K5990" s="82" t="str">
        <f t="shared" si="1807"/>
        <v>Invoice</v>
      </c>
      <c r="L5990" s="83" t="str">
        <f>"SI_108930"</f>
        <v>SI_108930</v>
      </c>
      <c r="M5990" s="84">
        <v>43257</v>
      </c>
      <c r="N5990" s="85">
        <f t="shared" si="1808"/>
        <v>555</v>
      </c>
      <c r="O5990" s="86">
        <f t="shared" si="1809"/>
        <v>1830.0200000000002</v>
      </c>
      <c r="P5990" s="86">
        <f t="shared" si="1810"/>
        <v>0</v>
      </c>
      <c r="Q5990" s="86">
        <f t="shared" si="1811"/>
        <v>0</v>
      </c>
      <c r="R5990" s="86">
        <f t="shared" si="1812"/>
        <v>0</v>
      </c>
      <c r="S5990" s="86">
        <f t="shared" si="1813"/>
        <v>0</v>
      </c>
      <c r="T5990" s="86">
        <f t="shared" si="1814"/>
        <v>1830.0200000000002</v>
      </c>
      <c r="U5990" s="87">
        <v>1830.0200000000002</v>
      </c>
    </row>
    <row r="5991" spans="1:21" s="30" customFormat="1" ht="24.6" hidden="1" outlineLevel="1" x14ac:dyDescent="0.55000000000000004">
      <c r="A5991" s="27" t="s">
        <v>327</v>
      </c>
      <c r="B5991" s="28"/>
      <c r="C5991" s="27"/>
      <c r="D5991" s="27" t="str">
        <f>"""NAV Direct"",""CRONUS JetCorp USA"",""21"",""1"",""290544"""</f>
        <v>"NAV Direct","CRONUS JetCorp USA","21","1","290544"</v>
      </c>
      <c r="E5991" s="31" t="str">
        <f t="shared" si="1806"/>
        <v>C100511</v>
      </c>
      <c r="F5991" s="31"/>
      <c r="G5991" s="31"/>
      <c r="H5991" s="31"/>
      <c r="I5991" s="56"/>
      <c r="J5991" s="56"/>
      <c r="K5991" s="82" t="str">
        <f t="shared" si="1807"/>
        <v>Invoice</v>
      </c>
      <c r="L5991" s="83" t="str">
        <f>"SI_108933"</f>
        <v>SI_108933</v>
      </c>
      <c r="M5991" s="84">
        <v>43311</v>
      </c>
      <c r="N5991" s="85">
        <f t="shared" si="1808"/>
        <v>501</v>
      </c>
      <c r="O5991" s="86">
        <f t="shared" si="1809"/>
        <v>2012.9699999999998</v>
      </c>
      <c r="P5991" s="86">
        <f t="shared" si="1810"/>
        <v>0</v>
      </c>
      <c r="Q5991" s="86">
        <f t="shared" si="1811"/>
        <v>0</v>
      </c>
      <c r="R5991" s="86">
        <f t="shared" si="1812"/>
        <v>0</v>
      </c>
      <c r="S5991" s="86">
        <f t="shared" si="1813"/>
        <v>0</v>
      </c>
      <c r="T5991" s="86">
        <f t="shared" si="1814"/>
        <v>2012.9699999999998</v>
      </c>
      <c r="U5991" s="87">
        <v>2012.9699999999998</v>
      </c>
    </row>
    <row r="5992" spans="1:21" s="30" customFormat="1" ht="24.6" hidden="1" outlineLevel="1" x14ac:dyDescent="0.55000000000000004">
      <c r="A5992" s="27" t="s">
        <v>327</v>
      </c>
      <c r="B5992" s="28"/>
      <c r="C5992" s="27"/>
      <c r="D5992" s="27" t="str">
        <f>"""NAV Direct"",""CRONUS JetCorp USA"",""21"",""1"",""293134"""</f>
        <v>"NAV Direct","CRONUS JetCorp USA","21","1","293134"</v>
      </c>
      <c r="E5992" s="31">
        <f t="shared" si="1806"/>
        <v>0</v>
      </c>
      <c r="F5992" s="31"/>
      <c r="G5992" s="31"/>
      <c r="H5992" s="31"/>
      <c r="I5992" s="56"/>
      <c r="J5992" s="56"/>
      <c r="K5992" s="82" t="str">
        <f t="shared" si="1807"/>
        <v>Invoice</v>
      </c>
      <c r="L5992" s="83" t="str">
        <f>"SI_109021"</f>
        <v>SI_109021</v>
      </c>
      <c r="M5992" s="84">
        <v>43498</v>
      </c>
      <c r="N5992" s="85">
        <f t="shared" si="1808"/>
        <v>314</v>
      </c>
      <c r="O5992" s="86">
        <f t="shared" si="1809"/>
        <v>2435.84</v>
      </c>
      <c r="P5992" s="86">
        <f t="shared" si="1810"/>
        <v>0</v>
      </c>
      <c r="Q5992" s="86">
        <f t="shared" si="1811"/>
        <v>0</v>
      </c>
      <c r="R5992" s="86">
        <f t="shared" si="1812"/>
        <v>0</v>
      </c>
      <c r="S5992" s="86">
        <f t="shared" si="1813"/>
        <v>0</v>
      </c>
      <c r="T5992" s="86">
        <f t="shared" si="1814"/>
        <v>2435.84</v>
      </c>
      <c r="U5992" s="87">
        <v>2435.84</v>
      </c>
    </row>
    <row r="5993" spans="1:21" s="30" customFormat="1" ht="24.6" hidden="1" outlineLevel="1" x14ac:dyDescent="0.55000000000000004">
      <c r="A5993" s="27" t="s">
        <v>327</v>
      </c>
      <c r="B5993" s="28"/>
      <c r="C5993" s="27"/>
      <c r="D5993" s="27" t="str">
        <f>"""NAV Direct"",""CRONUS JetCorp USA"",""21"",""1"",""293493"""</f>
        <v>"NAV Direct","CRONUS JetCorp USA","21","1","293493"</v>
      </c>
      <c r="E5993" s="31" t="str">
        <f t="shared" si="1806"/>
        <v>C100511</v>
      </c>
      <c r="F5993" s="31"/>
      <c r="G5993" s="31"/>
      <c r="H5993" s="31"/>
      <c r="I5993" s="56"/>
      <c r="J5993" s="56"/>
      <c r="K5993" s="82" t="str">
        <f t="shared" si="1807"/>
        <v>Invoice</v>
      </c>
      <c r="L5993" s="83" t="str">
        <f>"SI_109033"</f>
        <v>SI_109033</v>
      </c>
      <c r="M5993" s="84">
        <v>43512</v>
      </c>
      <c r="N5993" s="85">
        <f t="shared" si="1808"/>
        <v>300</v>
      </c>
      <c r="O5993" s="86">
        <f t="shared" si="1809"/>
        <v>2435.84</v>
      </c>
      <c r="P5993" s="86">
        <f t="shared" si="1810"/>
        <v>0</v>
      </c>
      <c r="Q5993" s="86">
        <f t="shared" si="1811"/>
        <v>0</v>
      </c>
      <c r="R5993" s="86">
        <f t="shared" si="1812"/>
        <v>0</v>
      </c>
      <c r="S5993" s="86">
        <f t="shared" si="1813"/>
        <v>0</v>
      </c>
      <c r="T5993" s="86">
        <f t="shared" si="1814"/>
        <v>2435.84</v>
      </c>
      <c r="U5993" s="87">
        <v>2435.84</v>
      </c>
    </row>
    <row r="5994" spans="1:21" s="30" customFormat="1" ht="24.6" hidden="1" outlineLevel="1" x14ac:dyDescent="0.55000000000000004">
      <c r="A5994" s="27" t="s">
        <v>327</v>
      </c>
      <c r="B5994" s="28"/>
      <c r="C5994" s="27"/>
      <c r="D5994" s="27" t="str">
        <f>"""NAV Direct"",""CRONUS JetCorp USA"",""21"",""1"",""293666"""</f>
        <v>"NAV Direct","CRONUS JetCorp USA","21","1","293666"</v>
      </c>
      <c r="E5994" s="31">
        <f t="shared" si="1806"/>
        <v>0</v>
      </c>
      <c r="F5994" s="31"/>
      <c r="G5994" s="31"/>
      <c r="H5994" s="31"/>
      <c r="I5994" s="56"/>
      <c r="J5994" s="56"/>
      <c r="K5994" s="82" t="str">
        <f t="shared" si="1807"/>
        <v>Invoice</v>
      </c>
      <c r="L5994" s="83" t="str">
        <f>"SI_109039"</f>
        <v>SI_109039</v>
      </c>
      <c r="M5994" s="84">
        <v>43524</v>
      </c>
      <c r="N5994" s="85">
        <f t="shared" si="1808"/>
        <v>288</v>
      </c>
      <c r="O5994" s="86">
        <f t="shared" si="1809"/>
        <v>2435.85</v>
      </c>
      <c r="P5994" s="86">
        <f t="shared" si="1810"/>
        <v>0</v>
      </c>
      <c r="Q5994" s="86">
        <f t="shared" si="1811"/>
        <v>0</v>
      </c>
      <c r="R5994" s="86">
        <f t="shared" si="1812"/>
        <v>0</v>
      </c>
      <c r="S5994" s="86">
        <f t="shared" si="1813"/>
        <v>0</v>
      </c>
      <c r="T5994" s="86">
        <f t="shared" si="1814"/>
        <v>2435.85</v>
      </c>
      <c r="U5994" s="87">
        <v>2435.85</v>
      </c>
    </row>
    <row r="5995" spans="1:21" s="30" customFormat="1" ht="24.6" hidden="1" outlineLevel="1" x14ac:dyDescent="0.55000000000000004">
      <c r="A5995" s="27" t="s">
        <v>327</v>
      </c>
      <c r="B5995" s="28"/>
      <c r="C5995" s="27"/>
      <c r="D5995" s="27" t="str">
        <f>"""NAV Direct"",""CRONUS JetCorp USA"",""21"",""1"",""296645"""</f>
        <v>"NAV Direct","CRONUS JetCorp USA","21","1","296645"</v>
      </c>
      <c r="E5995" s="31" t="str">
        <f t="shared" si="1806"/>
        <v>C100511</v>
      </c>
      <c r="F5995" s="31"/>
      <c r="G5995" s="31"/>
      <c r="H5995" s="31"/>
      <c r="I5995" s="56"/>
      <c r="J5995" s="56"/>
      <c r="K5995" s="82" t="str">
        <f t="shared" si="1807"/>
        <v>Invoice</v>
      </c>
      <c r="L5995" s="83" t="str">
        <f>"SI_109131"</f>
        <v>SI_109131</v>
      </c>
      <c r="M5995" s="84">
        <v>43689</v>
      </c>
      <c r="N5995" s="85">
        <f t="shared" si="1808"/>
        <v>123</v>
      </c>
      <c r="O5995" s="86">
        <f t="shared" si="1809"/>
        <v>2947.32</v>
      </c>
      <c r="P5995" s="86">
        <f t="shared" si="1810"/>
        <v>0</v>
      </c>
      <c r="Q5995" s="86">
        <f t="shared" si="1811"/>
        <v>0</v>
      </c>
      <c r="R5995" s="86">
        <f t="shared" si="1812"/>
        <v>0</v>
      </c>
      <c r="S5995" s="86">
        <f t="shared" si="1813"/>
        <v>0</v>
      </c>
      <c r="T5995" s="86">
        <f t="shared" si="1814"/>
        <v>2947.32</v>
      </c>
      <c r="U5995" s="87">
        <v>2947.32</v>
      </c>
    </row>
    <row r="5996" spans="1:21" s="30" customFormat="1" ht="24.6" hidden="1" outlineLevel="1" x14ac:dyDescent="0.55000000000000004">
      <c r="A5996" s="27" t="s">
        <v>327</v>
      </c>
      <c r="B5996" s="28"/>
      <c r="C5996" s="27"/>
      <c r="D5996" s="27" t="str">
        <f>"""NAV Direct"",""CRONUS JetCorp USA"",""21"",""1"",""296725"""</f>
        <v>"NAV Direct","CRONUS JetCorp USA","21","1","296725"</v>
      </c>
      <c r="E5996" s="31">
        <f t="shared" si="1806"/>
        <v>0</v>
      </c>
      <c r="F5996" s="31"/>
      <c r="G5996" s="31"/>
      <c r="H5996" s="31"/>
      <c r="I5996" s="56"/>
      <c r="J5996" s="56"/>
      <c r="K5996" s="82" t="str">
        <f t="shared" si="1807"/>
        <v>Invoice</v>
      </c>
      <c r="L5996" s="83" t="str">
        <f>"SI_109133"</f>
        <v>SI_109133</v>
      </c>
      <c r="M5996" s="84">
        <v>43690</v>
      </c>
      <c r="N5996" s="85">
        <f t="shared" si="1808"/>
        <v>122</v>
      </c>
      <c r="O5996" s="86">
        <f t="shared" si="1809"/>
        <v>2947.41</v>
      </c>
      <c r="P5996" s="86">
        <f t="shared" si="1810"/>
        <v>0</v>
      </c>
      <c r="Q5996" s="86">
        <f t="shared" si="1811"/>
        <v>0</v>
      </c>
      <c r="R5996" s="86">
        <f t="shared" si="1812"/>
        <v>0</v>
      </c>
      <c r="S5996" s="86">
        <f t="shared" si="1813"/>
        <v>0</v>
      </c>
      <c r="T5996" s="86">
        <f t="shared" si="1814"/>
        <v>2947.41</v>
      </c>
      <c r="U5996" s="87">
        <v>2947.41</v>
      </c>
    </row>
    <row r="5997" spans="1:21" s="30" customFormat="1" ht="24.6" hidden="1" outlineLevel="1" x14ac:dyDescent="0.55000000000000004">
      <c r="A5997" s="27" t="s">
        <v>327</v>
      </c>
      <c r="B5997" s="28"/>
      <c r="C5997" s="27"/>
      <c r="D5997" s="27" t="str">
        <f>"""NAV Direct"",""CRONUS JetCorp USA"",""21"",""1"",""297147"""</f>
        <v>"NAV Direct","CRONUS JetCorp USA","21","1","297147"</v>
      </c>
      <c r="E5997" s="31" t="str">
        <f t="shared" si="1806"/>
        <v>C100511</v>
      </c>
      <c r="F5997" s="31"/>
      <c r="G5997" s="31"/>
      <c r="H5997" s="31"/>
      <c r="I5997" s="56"/>
      <c r="J5997" s="56"/>
      <c r="K5997" s="82" t="str">
        <f t="shared" si="1807"/>
        <v>Invoice</v>
      </c>
      <c r="L5997" s="83" t="str">
        <f>"SI_109146"</f>
        <v>SI_109146</v>
      </c>
      <c r="M5997" s="84">
        <v>43704</v>
      </c>
      <c r="N5997" s="85">
        <f t="shared" si="1808"/>
        <v>108</v>
      </c>
      <c r="O5997" s="86">
        <f t="shared" si="1809"/>
        <v>2947.41</v>
      </c>
      <c r="P5997" s="86">
        <f t="shared" si="1810"/>
        <v>0</v>
      </c>
      <c r="Q5997" s="86">
        <f t="shared" si="1811"/>
        <v>0</v>
      </c>
      <c r="R5997" s="86">
        <f t="shared" si="1812"/>
        <v>0</v>
      </c>
      <c r="S5997" s="86">
        <f t="shared" si="1813"/>
        <v>0</v>
      </c>
      <c r="T5997" s="86">
        <f t="shared" si="1814"/>
        <v>2947.41</v>
      </c>
      <c r="U5997" s="87">
        <v>2947.41</v>
      </c>
    </row>
    <row r="5998" spans="1:21" s="30" customFormat="1" ht="24.6" hidden="1" outlineLevel="1" x14ac:dyDescent="0.55000000000000004">
      <c r="A5998" s="27" t="s">
        <v>327</v>
      </c>
      <c r="B5998" s="28"/>
      <c r="C5998" s="27"/>
      <c r="D5998" s="27" t="str">
        <f>"""NAV Direct"",""CRONUS JetCorp USA"",""21"",""1"",""298023"""</f>
        <v>"NAV Direct","CRONUS JetCorp USA","21","1","298023"</v>
      </c>
      <c r="E5998" s="31">
        <f t="shared" si="1806"/>
        <v>0</v>
      </c>
      <c r="F5998" s="31"/>
      <c r="G5998" s="31"/>
      <c r="H5998" s="31"/>
      <c r="I5998" s="56"/>
      <c r="J5998" s="56"/>
      <c r="K5998" s="82" t="str">
        <f t="shared" si="1807"/>
        <v>Invoice</v>
      </c>
      <c r="L5998" s="83" t="str">
        <f>"SI_109172"</f>
        <v>SI_109172</v>
      </c>
      <c r="M5998" s="84">
        <v>43766</v>
      </c>
      <c r="N5998" s="85">
        <f t="shared" si="1808"/>
        <v>46</v>
      </c>
      <c r="O5998" s="86">
        <f t="shared" si="1809"/>
        <v>3242.17</v>
      </c>
      <c r="P5998" s="86">
        <f t="shared" si="1810"/>
        <v>0</v>
      </c>
      <c r="Q5998" s="86">
        <f t="shared" si="1811"/>
        <v>0</v>
      </c>
      <c r="R5998" s="86">
        <f t="shared" si="1812"/>
        <v>3242.17</v>
      </c>
      <c r="S5998" s="86">
        <f t="shared" si="1813"/>
        <v>0</v>
      </c>
      <c r="T5998" s="86">
        <f t="shared" si="1814"/>
        <v>0</v>
      </c>
      <c r="U5998" s="87">
        <v>3242.17</v>
      </c>
    </row>
    <row r="5999" spans="1:21" s="30" customFormat="1" ht="24.6" hidden="1" outlineLevel="1" x14ac:dyDescent="0.55000000000000004">
      <c r="A5999" s="27" t="s">
        <v>327</v>
      </c>
      <c r="B5999" s="28"/>
      <c r="C5999" s="27"/>
      <c r="D5999" s="27" t="str">
        <f>"""NAV Direct"",""CRONUS JetCorp USA"",""21"",""1"",""298435"""</f>
        <v>"NAV Direct","CRONUS JetCorp USA","21","1","298435"</v>
      </c>
      <c r="E5999" s="31" t="str">
        <f t="shared" si="1806"/>
        <v>C100511</v>
      </c>
      <c r="F5999" s="31"/>
      <c r="G5999" s="31"/>
      <c r="H5999" s="31"/>
      <c r="I5999" s="56"/>
      <c r="J5999" s="56"/>
      <c r="K5999" s="82" t="str">
        <f t="shared" si="1807"/>
        <v>Invoice</v>
      </c>
      <c r="L5999" s="83" t="str">
        <f>"SI_109186"</f>
        <v>SI_109186</v>
      </c>
      <c r="M5999" s="84">
        <v>43794</v>
      </c>
      <c r="N5999" s="85">
        <f t="shared" si="1808"/>
        <v>18</v>
      </c>
      <c r="O5999" s="86">
        <f t="shared" si="1809"/>
        <v>3242.21</v>
      </c>
      <c r="P5999" s="86">
        <f t="shared" si="1810"/>
        <v>0</v>
      </c>
      <c r="Q5999" s="86">
        <f t="shared" si="1811"/>
        <v>3242.21</v>
      </c>
      <c r="R5999" s="86">
        <f t="shared" si="1812"/>
        <v>0</v>
      </c>
      <c r="S5999" s="86">
        <f t="shared" si="1813"/>
        <v>0</v>
      </c>
      <c r="T5999" s="86">
        <f t="shared" si="1814"/>
        <v>0</v>
      </c>
      <c r="U5999" s="87">
        <v>3242.21</v>
      </c>
    </row>
    <row r="6000" spans="1:21" s="30" customFormat="1" ht="24.6" hidden="1" outlineLevel="1" x14ac:dyDescent="0.55000000000000004">
      <c r="A6000" s="27" t="s">
        <v>327</v>
      </c>
      <c r="B6000" s="28"/>
      <c r="C6000" s="27"/>
      <c r="D6000" s="27" t="str">
        <f>"""NAV Direct"",""CRONUS JetCorp USA"",""21"",""1"",""299069"""</f>
        <v>"NAV Direct","CRONUS JetCorp USA","21","1","299069"</v>
      </c>
      <c r="E6000" s="31">
        <f t="shared" si="1806"/>
        <v>0</v>
      </c>
      <c r="F6000" s="31"/>
      <c r="G6000" s="31"/>
      <c r="H6000" s="31"/>
      <c r="I6000" s="56"/>
      <c r="J6000" s="56"/>
      <c r="K6000" s="82" t="str">
        <f t="shared" si="1807"/>
        <v>Invoice</v>
      </c>
      <c r="L6000" s="83" t="str">
        <f>"SI_109205"</f>
        <v>SI_109205</v>
      </c>
      <c r="M6000" s="84">
        <v>43806</v>
      </c>
      <c r="N6000" s="85">
        <f t="shared" si="1808"/>
        <v>6</v>
      </c>
      <c r="O6000" s="86">
        <f t="shared" si="1809"/>
        <v>3242.1099999999997</v>
      </c>
      <c r="P6000" s="86">
        <f t="shared" si="1810"/>
        <v>0</v>
      </c>
      <c r="Q6000" s="86">
        <f t="shared" si="1811"/>
        <v>3242.1099999999997</v>
      </c>
      <c r="R6000" s="86">
        <f t="shared" si="1812"/>
        <v>0</v>
      </c>
      <c r="S6000" s="86">
        <f t="shared" si="1813"/>
        <v>0</v>
      </c>
      <c r="T6000" s="86">
        <f t="shared" si="1814"/>
        <v>0</v>
      </c>
      <c r="U6000" s="87">
        <v>3242.1099999999997</v>
      </c>
    </row>
    <row r="6001" spans="1:22" s="30" customFormat="1" ht="24.6" hidden="1" outlineLevel="1" x14ac:dyDescent="0.55000000000000004">
      <c r="A6001" s="27" t="s">
        <v>327</v>
      </c>
      <c r="B6001" s="28"/>
      <c r="C6001" s="27"/>
      <c r="D6001" s="27" t="str">
        <f>"""NAV Direct"",""CRONUS JetCorp USA"",""21"",""1"",""299395"""</f>
        <v>"NAV Direct","CRONUS JetCorp USA","21","1","299395"</v>
      </c>
      <c r="E6001" s="31" t="str">
        <f t="shared" si="1806"/>
        <v>C100511</v>
      </c>
      <c r="F6001" s="31"/>
      <c r="G6001" s="31"/>
      <c r="H6001" s="31"/>
      <c r="I6001" s="56"/>
      <c r="J6001" s="56"/>
      <c r="K6001" s="82" t="str">
        <f t="shared" si="1807"/>
        <v>Invoice</v>
      </c>
      <c r="L6001" s="83" t="str">
        <f>"SI_109215"</f>
        <v>SI_109215</v>
      </c>
      <c r="M6001" s="84">
        <v>43811</v>
      </c>
      <c r="N6001" s="85">
        <f t="shared" si="1808"/>
        <v>1</v>
      </c>
      <c r="O6001" s="86">
        <f t="shared" si="1809"/>
        <v>3242.1099999999997</v>
      </c>
      <c r="P6001" s="86">
        <f t="shared" si="1810"/>
        <v>0</v>
      </c>
      <c r="Q6001" s="86">
        <f t="shared" si="1811"/>
        <v>3242.1099999999997</v>
      </c>
      <c r="R6001" s="86">
        <f t="shared" si="1812"/>
        <v>0</v>
      </c>
      <c r="S6001" s="86">
        <f t="shared" si="1813"/>
        <v>0</v>
      </c>
      <c r="T6001" s="86">
        <f t="shared" si="1814"/>
        <v>0</v>
      </c>
      <c r="U6001" s="87">
        <v>3242.1099999999997</v>
      </c>
    </row>
    <row r="6002" spans="1:22" s="30" customFormat="1" ht="24.6" hidden="1" outlineLevel="1" x14ac:dyDescent="0.55000000000000004">
      <c r="A6002" s="27" t="s">
        <v>327</v>
      </c>
      <c r="B6002" s="28"/>
      <c r="C6002" s="27"/>
      <c r="D6002" s="27" t="str">
        <f>"""NAV Direct"",""CRONUS JetCorp USA"",""21"",""1"",""299652"""</f>
        <v>"NAV Direct","CRONUS JetCorp USA","21","1","299652"</v>
      </c>
      <c r="E6002" s="31">
        <f t="shared" si="1806"/>
        <v>0</v>
      </c>
      <c r="F6002" s="31"/>
      <c r="G6002" s="31"/>
      <c r="H6002" s="31"/>
      <c r="I6002" s="56"/>
      <c r="J6002" s="56"/>
      <c r="K6002" s="82" t="str">
        <f t="shared" si="1807"/>
        <v>Invoice</v>
      </c>
      <c r="L6002" s="83" t="str">
        <f>"SI_109223"</f>
        <v>SI_109223</v>
      </c>
      <c r="M6002" s="84">
        <v>43825</v>
      </c>
      <c r="N6002" s="85">
        <f t="shared" si="1808"/>
        <v>-13</v>
      </c>
      <c r="O6002" s="86">
        <f t="shared" si="1809"/>
        <v>3242.21</v>
      </c>
      <c r="P6002" s="86">
        <f t="shared" si="1810"/>
        <v>3242.21</v>
      </c>
      <c r="Q6002" s="86">
        <f t="shared" si="1811"/>
        <v>0</v>
      </c>
      <c r="R6002" s="86">
        <f t="shared" si="1812"/>
        <v>0</v>
      </c>
      <c r="S6002" s="86">
        <f t="shared" si="1813"/>
        <v>0</v>
      </c>
      <c r="T6002" s="86">
        <f t="shared" si="1814"/>
        <v>0</v>
      </c>
      <c r="U6002" s="87">
        <v>3242.21</v>
      </c>
    </row>
    <row r="6003" spans="1:22" s="30" customFormat="1" ht="24.6" hidden="1" outlineLevel="1" x14ac:dyDescent="0.55000000000000004">
      <c r="A6003" s="27" t="s">
        <v>327</v>
      </c>
      <c r="B6003" s="28"/>
      <c r="C6003" s="27"/>
      <c r="D6003" s="27" t="str">
        <f>"""NAV Direct"",""CRONUS JetCorp USA"",""21"",""1"",""300373"""</f>
        <v>"NAV Direct","CRONUS JetCorp USA","21","1","300373"</v>
      </c>
      <c r="E6003" s="31" t="str">
        <f t="shared" si="1806"/>
        <v>C100511</v>
      </c>
      <c r="F6003" s="31"/>
      <c r="G6003" s="31"/>
      <c r="H6003" s="31"/>
      <c r="I6003" s="56"/>
      <c r="J6003" s="56"/>
      <c r="K6003" s="82" t="str">
        <f t="shared" si="1807"/>
        <v>Invoice</v>
      </c>
      <c r="L6003" s="83" t="str">
        <f>"SI_109243"</f>
        <v>SI_109243</v>
      </c>
      <c r="M6003" s="84">
        <v>42053</v>
      </c>
      <c r="N6003" s="85">
        <f t="shared" si="1808"/>
        <v>1759</v>
      </c>
      <c r="O6003" s="86">
        <f t="shared" si="1809"/>
        <v>3566.06</v>
      </c>
      <c r="P6003" s="86">
        <f t="shared" si="1810"/>
        <v>0</v>
      </c>
      <c r="Q6003" s="86">
        <f t="shared" si="1811"/>
        <v>0</v>
      </c>
      <c r="R6003" s="86">
        <f t="shared" si="1812"/>
        <v>0</v>
      </c>
      <c r="S6003" s="86">
        <f t="shared" si="1813"/>
        <v>0</v>
      </c>
      <c r="T6003" s="86">
        <f t="shared" si="1814"/>
        <v>3566.06</v>
      </c>
      <c r="U6003" s="87">
        <v>3566.06</v>
      </c>
    </row>
    <row r="6004" spans="1:22" s="30" customFormat="1" ht="24.6" hidden="1" outlineLevel="1" x14ac:dyDescent="0.55000000000000004">
      <c r="A6004" s="27" t="s">
        <v>327</v>
      </c>
      <c r="B6004" s="28"/>
      <c r="C6004" s="27"/>
      <c r="D6004" s="27" t="str">
        <f>"""NAV Direct"",""CRONUS JetCorp USA"",""21"",""1"",""302542"""</f>
        <v>"NAV Direct","CRONUS JetCorp USA","21","1","302542"</v>
      </c>
      <c r="E6004" s="31">
        <f t="shared" si="1806"/>
        <v>0</v>
      </c>
      <c r="F6004" s="31"/>
      <c r="G6004" s="31"/>
      <c r="H6004" s="31"/>
      <c r="I6004" s="56"/>
      <c r="J6004" s="56"/>
      <c r="K6004" s="82" t="str">
        <f t="shared" si="1807"/>
        <v>Invoice</v>
      </c>
      <c r="L6004" s="83" t="str">
        <f>"SI_109306"</f>
        <v>SI_109306</v>
      </c>
      <c r="M6004" s="84">
        <v>42148</v>
      </c>
      <c r="N6004" s="85">
        <f t="shared" si="1808"/>
        <v>1664</v>
      </c>
      <c r="O6004" s="86">
        <f t="shared" si="1809"/>
        <v>3923.0699999999997</v>
      </c>
      <c r="P6004" s="86">
        <f t="shared" si="1810"/>
        <v>0</v>
      </c>
      <c r="Q6004" s="86">
        <f t="shared" si="1811"/>
        <v>0</v>
      </c>
      <c r="R6004" s="86">
        <f t="shared" si="1812"/>
        <v>0</v>
      </c>
      <c r="S6004" s="86">
        <f t="shared" si="1813"/>
        <v>0</v>
      </c>
      <c r="T6004" s="86">
        <f t="shared" si="1814"/>
        <v>3923.0699999999997</v>
      </c>
      <c r="U6004" s="87">
        <v>3923.0699999999997</v>
      </c>
    </row>
    <row r="6005" spans="1:22" s="30" customFormat="1" ht="24.6" hidden="1" outlineLevel="1" x14ac:dyDescent="0.55000000000000004">
      <c r="A6005" s="27" t="s">
        <v>327</v>
      </c>
      <c r="B6005" s="28"/>
      <c r="C6005" s="27"/>
      <c r="D6005" s="27" t="str">
        <f>"""NAV Direct"",""CRONUS JetCorp USA"",""21"",""1"",""303298"""</f>
        <v>"NAV Direct","CRONUS JetCorp USA","21","1","303298"</v>
      </c>
      <c r="E6005" s="31" t="str">
        <f t="shared" si="1806"/>
        <v>C100511</v>
      </c>
      <c r="F6005" s="31"/>
      <c r="G6005" s="31"/>
      <c r="H6005" s="31"/>
      <c r="I6005" s="56"/>
      <c r="J6005" s="56"/>
      <c r="K6005" s="82" t="str">
        <f t="shared" si="1807"/>
        <v>Invoice</v>
      </c>
      <c r="L6005" s="83" t="str">
        <f>"SI_109328"</f>
        <v>SI_109328</v>
      </c>
      <c r="M6005" s="84">
        <v>42171</v>
      </c>
      <c r="N6005" s="85">
        <f t="shared" si="1808"/>
        <v>1641</v>
      </c>
      <c r="O6005" s="86">
        <f t="shared" si="1809"/>
        <v>3923.05</v>
      </c>
      <c r="P6005" s="86">
        <f t="shared" si="1810"/>
        <v>0</v>
      </c>
      <c r="Q6005" s="86">
        <f t="shared" si="1811"/>
        <v>0</v>
      </c>
      <c r="R6005" s="86">
        <f t="shared" si="1812"/>
        <v>0</v>
      </c>
      <c r="S6005" s="86">
        <f t="shared" si="1813"/>
        <v>0</v>
      </c>
      <c r="T6005" s="86">
        <f t="shared" si="1814"/>
        <v>3923.05</v>
      </c>
      <c r="U6005" s="87">
        <v>3923.05</v>
      </c>
    </row>
    <row r="6006" spans="1:22" s="22" customFormat="1" ht="20.399999999999999" collapsed="1" x14ac:dyDescent="0.45">
      <c r="A6006" s="12" t="s">
        <v>327</v>
      </c>
      <c r="B6006" s="19"/>
      <c r="C6006" s="12"/>
      <c r="D6006" s="12"/>
      <c r="E6006" s="23"/>
      <c r="F6006" s="23"/>
      <c r="G6006" s="23"/>
      <c r="H6006" s="23"/>
      <c r="I6006" s="49"/>
      <c r="J6006" s="88"/>
      <c r="K6006" s="88"/>
      <c r="L6006" s="89"/>
      <c r="M6006" s="89"/>
      <c r="N6006" s="89"/>
      <c r="O6006" s="89"/>
      <c r="P6006" s="89"/>
      <c r="Q6006" s="90"/>
      <c r="R6006" s="90"/>
      <c r="S6006" s="91"/>
      <c r="T6006" s="92"/>
      <c r="U6006" s="92"/>
    </row>
    <row r="6007" spans="1:22" s="22" customFormat="1" ht="20.399999999999999" x14ac:dyDescent="0.45">
      <c r="A6007" s="12" t="s">
        <v>327</v>
      </c>
      <c r="B6007" s="19"/>
      <c r="C6007" s="12"/>
      <c r="D6007" s="12"/>
      <c r="E6007" s="23"/>
      <c r="F6007" s="23"/>
      <c r="G6007" s="23"/>
      <c r="H6007" s="23"/>
      <c r="I6007" s="49"/>
      <c r="J6007" s="88"/>
      <c r="K6007" s="88"/>
      <c r="L6007" s="89"/>
      <c r="M6007" s="89"/>
      <c r="N6007" s="89"/>
      <c r="O6007" s="89"/>
      <c r="P6007" s="89"/>
      <c r="Q6007" s="90"/>
      <c r="R6007" s="90"/>
      <c r="S6007" s="91"/>
      <c r="T6007" s="92"/>
      <c r="U6007" s="92"/>
    </row>
    <row r="6008" spans="1:22" s="26" customFormat="1" ht="24.6" x14ac:dyDescent="0.55000000000000004">
      <c r="A6008" s="27" t="s">
        <v>327</v>
      </c>
      <c r="B6008" s="28"/>
      <c r="C6008" s="27" t="str">
        <f>"""NAV Direct"",""CRONUS JetCorp USA"",""18"",""1"",""C100512"""</f>
        <v>"NAV Direct","CRONUS JetCorp USA","18","1","C100512"</v>
      </c>
      <c r="D6008" s="27"/>
      <c r="E6008" s="28" t="str">
        <f>H6008</f>
        <v>C100512</v>
      </c>
      <c r="F6008" s="28"/>
      <c r="G6008" s="28"/>
      <c r="H6008" s="28" t="str">
        <f>"C100512"</f>
        <v>C100512</v>
      </c>
      <c r="I6008" s="116" t="str">
        <f>"C100512  -  Joe Mammas"</f>
        <v>C100512  -  Joe Mammas</v>
      </c>
      <c r="J6008" s="117" t="str">
        <f>""</f>
        <v/>
      </c>
      <c r="K6008" s="118"/>
      <c r="L6008" s="119">
        <f>SUBTOTAL(3,L6009:L6036)</f>
        <v>24</v>
      </c>
      <c r="M6008" s="118"/>
      <c r="N6008" s="118"/>
      <c r="O6008" s="120">
        <f t="shared" ref="O6008:T6008" si="1815">SUBTOTAL(9,O6009:O6036)</f>
        <v>53199.42</v>
      </c>
      <c r="P6008" s="120">
        <f t="shared" si="1815"/>
        <v>0</v>
      </c>
      <c r="Q6008" s="120">
        <f t="shared" si="1815"/>
        <v>0</v>
      </c>
      <c r="R6008" s="120">
        <f t="shared" si="1815"/>
        <v>0</v>
      </c>
      <c r="S6008" s="120">
        <f t="shared" si="1815"/>
        <v>0</v>
      </c>
      <c r="T6008" s="120">
        <f t="shared" si="1815"/>
        <v>53199.42</v>
      </c>
      <c r="U6008" s="81"/>
    </row>
    <row r="6009" spans="1:22" s="26" customFormat="1" ht="24.6" x14ac:dyDescent="0.55000000000000004">
      <c r="A6009" s="27" t="s">
        <v>327</v>
      </c>
      <c r="B6009" s="28"/>
      <c r="C6009" s="27" t="str">
        <f>C6008</f>
        <v>"NAV Direct","CRONUS JetCorp USA","18","1","C100512"</v>
      </c>
      <c r="D6009" s="27"/>
      <c r="E6009" s="28" t="str">
        <f>E6008</f>
        <v>C100512</v>
      </c>
      <c r="F6009" s="28"/>
      <c r="G6009" s="28"/>
      <c r="H6009" s="28"/>
      <c r="I6009" s="121" t="str">
        <f>"Contact: Jdamian"</f>
        <v>Contact: Jdamian</v>
      </c>
      <c r="J6009" s="121"/>
      <c r="K6009" s="122"/>
      <c r="L6009" s="123"/>
      <c r="M6009" s="123"/>
      <c r="N6009" s="124"/>
      <c r="O6009" s="124"/>
      <c r="P6009" s="123"/>
      <c r="Q6009" s="125"/>
      <c r="R6009" s="126"/>
      <c r="S6009" s="126"/>
      <c r="T6009" s="125"/>
      <c r="U6009" s="81"/>
    </row>
    <row r="6010" spans="1:22" s="26" customFormat="1" ht="24.6" x14ac:dyDescent="0.55000000000000004">
      <c r="A6010" s="27" t="s">
        <v>327</v>
      </c>
      <c r="B6010" s="28"/>
      <c r="C6010" s="27" t="str">
        <f>C6009</f>
        <v>"NAV Direct","CRONUS JetCorp USA","18","1","C100512"</v>
      </c>
      <c r="D6010" s="27"/>
      <c r="E6010" s="28" t="str">
        <f>E6009</f>
        <v>C100512</v>
      </c>
      <c r="F6010" s="28"/>
      <c r="G6010" s="28"/>
      <c r="H6010" s="28"/>
      <c r="I6010" s="121" t="str">
        <f>"Joe Mammas@cronuscorp.net"</f>
        <v>Joe Mammas@cronuscorp.net</v>
      </c>
      <c r="J6010" s="121"/>
      <c r="K6010" s="122"/>
      <c r="L6010" s="124"/>
      <c r="M6010" s="124"/>
      <c r="N6010" s="124"/>
      <c r="O6010" s="124"/>
      <c r="P6010" s="123"/>
      <c r="Q6010" s="125"/>
      <c r="R6010" s="126"/>
      <c r="S6010" s="126"/>
      <c r="T6010" s="125"/>
      <c r="U6010" s="81"/>
    </row>
    <row r="6011" spans="1:22" ht="12.75" hidden="1" customHeight="1" outlineLevel="1" x14ac:dyDescent="0.45">
      <c r="A6011" s="12" t="s">
        <v>328</v>
      </c>
      <c r="B6011" s="19"/>
      <c r="E6011" s="19"/>
      <c r="F6011" s="19"/>
      <c r="G6011" s="19"/>
      <c r="H6011" s="19"/>
      <c r="I6011" s="61"/>
      <c r="J6011" s="61"/>
      <c r="K6011" s="61"/>
      <c r="L6011" s="61"/>
      <c r="M6011" s="61"/>
      <c r="N6011" s="61"/>
      <c r="O6011" s="61"/>
      <c r="P6011" s="61"/>
      <c r="Q6011" s="61"/>
      <c r="R6011" s="61"/>
      <c r="S6011" s="61"/>
      <c r="T6011" s="61"/>
      <c r="U6011" s="61"/>
      <c r="V6011" s="21"/>
    </row>
    <row r="6012" spans="1:22" s="30" customFormat="1" ht="24.6" hidden="1" outlineLevel="1" x14ac:dyDescent="0.55000000000000004">
      <c r="A6012" s="27" t="s">
        <v>327</v>
      </c>
      <c r="B6012" s="28"/>
      <c r="C6012" s="27"/>
      <c r="D6012" s="27" t="str">
        <f>"""NAV Direct"",""CRONUS JetCorp USA"",""21"",""1"",""281570"""</f>
        <v>"NAV Direct","CRONUS JetCorp USA","21","1","281570"</v>
      </c>
      <c r="E6012" s="31" t="str">
        <f t="shared" ref="E6012:E6035" si="1816">E6010</f>
        <v>C100512</v>
      </c>
      <c r="F6012" s="31"/>
      <c r="G6012" s="31"/>
      <c r="H6012" s="31"/>
      <c r="I6012" s="56"/>
      <c r="J6012" s="56"/>
      <c r="K6012" s="82" t="str">
        <f t="shared" ref="K6012:K6035" si="1817">"Invoice"</f>
        <v>Invoice</v>
      </c>
      <c r="L6012" s="83" t="str">
        <f>"SI_108615"</f>
        <v>SI_108615</v>
      </c>
      <c r="M6012" s="84">
        <v>43695</v>
      </c>
      <c r="N6012" s="85">
        <f t="shared" ref="N6012:N6035" si="1818">StartDate-$M6012+1</f>
        <v>117</v>
      </c>
      <c r="O6012" s="86">
        <f t="shared" ref="O6012:O6035" si="1819">SUM(P6012:T6012)</f>
        <v>587.86</v>
      </c>
      <c r="P6012" s="86">
        <f t="shared" ref="P6012:P6035" si="1820">IF($M6012&gt;=$P$18,U6012,0)</f>
        <v>0</v>
      </c>
      <c r="Q6012" s="86">
        <f t="shared" ref="Q6012:Q6035" si="1821">IF(AND($M6012&gt;=$Q$16,$M6012&lt;=$Q$18),U6012,0)</f>
        <v>0</v>
      </c>
      <c r="R6012" s="86">
        <f t="shared" ref="R6012:R6035" si="1822">IF(AND($M6012&gt;=$R$16,$M6012&lt;=$R$18),U6012,0)</f>
        <v>0</v>
      </c>
      <c r="S6012" s="86">
        <f t="shared" ref="S6012:S6035" si="1823">IF(AND($M6012&gt;=$S$16,$M6012&lt;=$S$18),U6012,0)</f>
        <v>0</v>
      </c>
      <c r="T6012" s="86">
        <f t="shared" ref="T6012:T6035" si="1824">IF($M6012&lt;=$T$18,U6012,0)</f>
        <v>587.86</v>
      </c>
      <c r="U6012" s="87">
        <v>587.86</v>
      </c>
    </row>
    <row r="6013" spans="1:22" s="30" customFormat="1" ht="24.6" hidden="1" outlineLevel="1" x14ac:dyDescent="0.55000000000000004">
      <c r="A6013" s="27" t="s">
        <v>327</v>
      </c>
      <c r="B6013" s="28"/>
      <c r="C6013" s="27"/>
      <c r="D6013" s="27" t="str">
        <f>"""NAV Direct"",""CRONUS JetCorp USA"",""21"",""1"",""283062"""</f>
        <v>"NAV Direct","CRONUS JetCorp USA","21","1","283062"</v>
      </c>
      <c r="E6013" s="31">
        <f t="shared" si="1816"/>
        <v>0</v>
      </c>
      <c r="F6013" s="31"/>
      <c r="G6013" s="31"/>
      <c r="H6013" s="31"/>
      <c r="I6013" s="56"/>
      <c r="J6013" s="56"/>
      <c r="K6013" s="82" t="str">
        <f t="shared" si="1817"/>
        <v>Invoice</v>
      </c>
      <c r="L6013" s="83" t="str">
        <f>"SI_108672"</f>
        <v>SI_108672</v>
      </c>
      <c r="M6013" s="84">
        <v>42128</v>
      </c>
      <c r="N6013" s="85">
        <f t="shared" si="1818"/>
        <v>1684</v>
      </c>
      <c r="O6013" s="86">
        <f t="shared" si="1819"/>
        <v>853.58</v>
      </c>
      <c r="P6013" s="86">
        <f t="shared" si="1820"/>
        <v>0</v>
      </c>
      <c r="Q6013" s="86">
        <f t="shared" si="1821"/>
        <v>0</v>
      </c>
      <c r="R6013" s="86">
        <f t="shared" si="1822"/>
        <v>0</v>
      </c>
      <c r="S6013" s="86">
        <f t="shared" si="1823"/>
        <v>0</v>
      </c>
      <c r="T6013" s="86">
        <f t="shared" si="1824"/>
        <v>853.58</v>
      </c>
      <c r="U6013" s="87">
        <v>853.58</v>
      </c>
    </row>
    <row r="6014" spans="1:22" s="30" customFormat="1" ht="24.6" hidden="1" outlineLevel="1" x14ac:dyDescent="0.55000000000000004">
      <c r="A6014" s="27" t="s">
        <v>327</v>
      </c>
      <c r="B6014" s="28"/>
      <c r="C6014" s="27"/>
      <c r="D6014" s="27" t="str">
        <f>"""NAV Direct"",""CRONUS JetCorp USA"",""21"",""1"",""283262"""</f>
        <v>"NAV Direct","CRONUS JetCorp USA","21","1","283262"</v>
      </c>
      <c r="E6014" s="31" t="str">
        <f t="shared" si="1816"/>
        <v>C100512</v>
      </c>
      <c r="F6014" s="31"/>
      <c r="G6014" s="31"/>
      <c r="H6014" s="31"/>
      <c r="I6014" s="56"/>
      <c r="J6014" s="56"/>
      <c r="K6014" s="82" t="str">
        <f t="shared" si="1817"/>
        <v>Invoice</v>
      </c>
      <c r="L6014" s="83" t="str">
        <f>"SI_108680"</f>
        <v>SI_108680</v>
      </c>
      <c r="M6014" s="84">
        <v>42242</v>
      </c>
      <c r="N6014" s="85">
        <f t="shared" si="1818"/>
        <v>1570</v>
      </c>
      <c r="O6014" s="86">
        <f t="shared" si="1819"/>
        <v>939.11</v>
      </c>
      <c r="P6014" s="86">
        <f t="shared" si="1820"/>
        <v>0</v>
      </c>
      <c r="Q6014" s="86">
        <f t="shared" si="1821"/>
        <v>0</v>
      </c>
      <c r="R6014" s="86">
        <f t="shared" si="1822"/>
        <v>0</v>
      </c>
      <c r="S6014" s="86">
        <f t="shared" si="1823"/>
        <v>0</v>
      </c>
      <c r="T6014" s="86">
        <f t="shared" si="1824"/>
        <v>939.11</v>
      </c>
      <c r="U6014" s="87">
        <v>939.11</v>
      </c>
    </row>
    <row r="6015" spans="1:22" s="30" customFormat="1" ht="24.6" hidden="1" outlineLevel="1" x14ac:dyDescent="0.55000000000000004">
      <c r="A6015" s="27" t="s">
        <v>327</v>
      </c>
      <c r="B6015" s="28"/>
      <c r="C6015" s="27"/>
      <c r="D6015" s="27" t="str">
        <f>"""NAV Direct"",""CRONUS JetCorp USA"",""21"",""1"",""284134"""</f>
        <v>"NAV Direct","CRONUS JetCorp USA","21","1","284134"</v>
      </c>
      <c r="E6015" s="31">
        <f t="shared" si="1816"/>
        <v>0</v>
      </c>
      <c r="F6015" s="31"/>
      <c r="G6015" s="31"/>
      <c r="H6015" s="31"/>
      <c r="I6015" s="56"/>
      <c r="J6015" s="56"/>
      <c r="K6015" s="82" t="str">
        <f t="shared" si="1817"/>
        <v>Invoice</v>
      </c>
      <c r="L6015" s="83" t="str">
        <f>"SI_108712"</f>
        <v>SI_108712</v>
      </c>
      <c r="M6015" s="84">
        <v>42323</v>
      </c>
      <c r="N6015" s="85">
        <f t="shared" si="1818"/>
        <v>1489</v>
      </c>
      <c r="O6015" s="86">
        <f t="shared" si="1819"/>
        <v>1033.03</v>
      </c>
      <c r="P6015" s="86">
        <f t="shared" si="1820"/>
        <v>0</v>
      </c>
      <c r="Q6015" s="86">
        <f t="shared" si="1821"/>
        <v>0</v>
      </c>
      <c r="R6015" s="86">
        <f t="shared" si="1822"/>
        <v>0</v>
      </c>
      <c r="S6015" s="86">
        <f t="shared" si="1823"/>
        <v>0</v>
      </c>
      <c r="T6015" s="86">
        <f t="shared" si="1824"/>
        <v>1033.03</v>
      </c>
      <c r="U6015" s="87">
        <v>1033.03</v>
      </c>
    </row>
    <row r="6016" spans="1:22" s="30" customFormat="1" ht="24.6" hidden="1" outlineLevel="1" x14ac:dyDescent="0.55000000000000004">
      <c r="A6016" s="27" t="s">
        <v>327</v>
      </c>
      <c r="B6016" s="28"/>
      <c r="C6016" s="27"/>
      <c r="D6016" s="27" t="str">
        <f>"""NAV Direct"",""CRONUS JetCorp USA"",""21"",""1"",""285862"""</f>
        <v>"NAV Direct","CRONUS JetCorp USA","21","1","285862"</v>
      </c>
      <c r="E6016" s="31" t="str">
        <f t="shared" si="1816"/>
        <v>C100512</v>
      </c>
      <c r="F6016" s="31"/>
      <c r="G6016" s="31"/>
      <c r="H6016" s="31"/>
      <c r="I6016" s="56"/>
      <c r="J6016" s="56"/>
      <c r="K6016" s="82" t="str">
        <f t="shared" si="1817"/>
        <v>Invoice</v>
      </c>
      <c r="L6016" s="83" t="str">
        <f>"SI_108775"</f>
        <v>SI_108775</v>
      </c>
      <c r="M6016" s="84">
        <v>42874</v>
      </c>
      <c r="N6016" s="85">
        <f t="shared" si="1818"/>
        <v>938</v>
      </c>
      <c r="O6016" s="86">
        <f t="shared" si="1819"/>
        <v>1249.94</v>
      </c>
      <c r="P6016" s="86">
        <f t="shared" si="1820"/>
        <v>0</v>
      </c>
      <c r="Q6016" s="86">
        <f t="shared" si="1821"/>
        <v>0</v>
      </c>
      <c r="R6016" s="86">
        <f t="shared" si="1822"/>
        <v>0</v>
      </c>
      <c r="S6016" s="86">
        <f t="shared" si="1823"/>
        <v>0</v>
      </c>
      <c r="T6016" s="86">
        <f t="shared" si="1824"/>
        <v>1249.94</v>
      </c>
      <c r="U6016" s="87">
        <v>1249.94</v>
      </c>
    </row>
    <row r="6017" spans="1:21" s="30" customFormat="1" ht="24.6" hidden="1" outlineLevel="1" x14ac:dyDescent="0.55000000000000004">
      <c r="A6017" s="27" t="s">
        <v>327</v>
      </c>
      <c r="B6017" s="28"/>
      <c r="C6017" s="27"/>
      <c r="D6017" s="27" t="str">
        <f>"""NAV Direct"",""CRONUS JetCorp USA"",""21"",""1"",""286668"""</f>
        <v>"NAV Direct","CRONUS JetCorp USA","21","1","286668"</v>
      </c>
      <c r="E6017" s="31">
        <f t="shared" si="1816"/>
        <v>0</v>
      </c>
      <c r="F6017" s="31"/>
      <c r="G6017" s="31"/>
      <c r="H6017" s="31"/>
      <c r="I6017" s="56"/>
      <c r="J6017" s="56"/>
      <c r="K6017" s="82" t="str">
        <f t="shared" si="1817"/>
        <v>Invoice</v>
      </c>
      <c r="L6017" s="83" t="str">
        <f>"SI_108801"</f>
        <v>SI_108801</v>
      </c>
      <c r="M6017" s="84">
        <v>42959</v>
      </c>
      <c r="N6017" s="85">
        <f t="shared" si="1818"/>
        <v>853</v>
      </c>
      <c r="O6017" s="86">
        <f t="shared" si="1819"/>
        <v>1374.95</v>
      </c>
      <c r="P6017" s="86">
        <f t="shared" si="1820"/>
        <v>0</v>
      </c>
      <c r="Q6017" s="86">
        <f t="shared" si="1821"/>
        <v>0</v>
      </c>
      <c r="R6017" s="86">
        <f t="shared" si="1822"/>
        <v>0</v>
      </c>
      <c r="S6017" s="86">
        <f t="shared" si="1823"/>
        <v>0</v>
      </c>
      <c r="T6017" s="86">
        <f t="shared" si="1824"/>
        <v>1374.95</v>
      </c>
      <c r="U6017" s="87">
        <v>1374.95</v>
      </c>
    </row>
    <row r="6018" spans="1:21" s="30" customFormat="1" ht="24.6" hidden="1" outlineLevel="1" x14ac:dyDescent="0.55000000000000004">
      <c r="A6018" s="27" t="s">
        <v>327</v>
      </c>
      <c r="B6018" s="28"/>
      <c r="C6018" s="27"/>
      <c r="D6018" s="27" t="str">
        <f>"""NAV Direct"",""CRONUS JetCorp USA"",""21"",""1"",""286888"""</f>
        <v>"NAV Direct","CRONUS JetCorp USA","21","1","286888"</v>
      </c>
      <c r="E6018" s="31" t="str">
        <f t="shared" si="1816"/>
        <v>C100512</v>
      </c>
      <c r="F6018" s="31"/>
      <c r="G6018" s="31"/>
      <c r="H6018" s="31"/>
      <c r="I6018" s="56"/>
      <c r="J6018" s="56"/>
      <c r="K6018" s="82" t="str">
        <f t="shared" si="1817"/>
        <v>Invoice</v>
      </c>
      <c r="L6018" s="83" t="str">
        <f>"SI_108809"</f>
        <v>SI_108809</v>
      </c>
      <c r="M6018" s="84">
        <v>42968</v>
      </c>
      <c r="N6018" s="85">
        <f t="shared" si="1818"/>
        <v>844</v>
      </c>
      <c r="O6018" s="86">
        <f t="shared" si="1819"/>
        <v>1374.8700000000001</v>
      </c>
      <c r="P6018" s="86">
        <f t="shared" si="1820"/>
        <v>0</v>
      </c>
      <c r="Q6018" s="86">
        <f t="shared" si="1821"/>
        <v>0</v>
      </c>
      <c r="R6018" s="86">
        <f t="shared" si="1822"/>
        <v>0</v>
      </c>
      <c r="S6018" s="86">
        <f t="shared" si="1823"/>
        <v>0</v>
      </c>
      <c r="T6018" s="86">
        <f t="shared" si="1824"/>
        <v>1374.8700000000001</v>
      </c>
      <c r="U6018" s="87">
        <v>1374.8700000000001</v>
      </c>
    </row>
    <row r="6019" spans="1:21" s="30" customFormat="1" ht="24.6" hidden="1" outlineLevel="1" x14ac:dyDescent="0.55000000000000004">
      <c r="A6019" s="27" t="s">
        <v>327</v>
      </c>
      <c r="B6019" s="28"/>
      <c r="C6019" s="27"/>
      <c r="D6019" s="27" t="str">
        <f>"""NAV Direct"",""CRONUS JetCorp USA"",""21"",""1"",""288981"""</f>
        <v>"NAV Direct","CRONUS JetCorp USA","21","1","288981"</v>
      </c>
      <c r="E6019" s="31">
        <f t="shared" si="1816"/>
        <v>0</v>
      </c>
      <c r="F6019" s="31"/>
      <c r="G6019" s="31"/>
      <c r="H6019" s="31"/>
      <c r="I6019" s="56"/>
      <c r="J6019" s="56"/>
      <c r="K6019" s="82" t="str">
        <f t="shared" si="1817"/>
        <v>Invoice</v>
      </c>
      <c r="L6019" s="83" t="str">
        <f>"SI_108881"</f>
        <v>SI_108881</v>
      </c>
      <c r="M6019" s="84">
        <v>43166</v>
      </c>
      <c r="N6019" s="85">
        <f t="shared" si="1818"/>
        <v>646</v>
      </c>
      <c r="O6019" s="86">
        <f t="shared" si="1819"/>
        <v>1663.5500000000002</v>
      </c>
      <c r="P6019" s="86">
        <f t="shared" si="1820"/>
        <v>0</v>
      </c>
      <c r="Q6019" s="86">
        <f t="shared" si="1821"/>
        <v>0</v>
      </c>
      <c r="R6019" s="86">
        <f t="shared" si="1822"/>
        <v>0</v>
      </c>
      <c r="S6019" s="86">
        <f t="shared" si="1823"/>
        <v>0</v>
      </c>
      <c r="T6019" s="86">
        <f t="shared" si="1824"/>
        <v>1663.5500000000002</v>
      </c>
      <c r="U6019" s="87">
        <v>1663.5500000000002</v>
      </c>
    </row>
    <row r="6020" spans="1:21" s="30" customFormat="1" ht="24.6" hidden="1" outlineLevel="1" x14ac:dyDescent="0.55000000000000004">
      <c r="A6020" s="27" t="s">
        <v>327</v>
      </c>
      <c r="B6020" s="28"/>
      <c r="C6020" s="27"/>
      <c r="D6020" s="27" t="str">
        <f>"""NAV Direct"",""CRONUS JetCorp USA"",""21"",""1"",""289039"""</f>
        <v>"NAV Direct","CRONUS JetCorp USA","21","1","289039"</v>
      </c>
      <c r="E6020" s="31" t="str">
        <f t="shared" si="1816"/>
        <v>C100512</v>
      </c>
      <c r="F6020" s="31"/>
      <c r="G6020" s="31"/>
      <c r="H6020" s="31"/>
      <c r="I6020" s="56"/>
      <c r="J6020" s="56"/>
      <c r="K6020" s="82" t="str">
        <f t="shared" si="1817"/>
        <v>Invoice</v>
      </c>
      <c r="L6020" s="83" t="str">
        <f>"SI_108883"</f>
        <v>SI_108883</v>
      </c>
      <c r="M6020" s="84">
        <v>43175</v>
      </c>
      <c r="N6020" s="85">
        <f t="shared" si="1818"/>
        <v>637</v>
      </c>
      <c r="O6020" s="86">
        <f t="shared" si="1819"/>
        <v>1663.6899999999998</v>
      </c>
      <c r="P6020" s="86">
        <f t="shared" si="1820"/>
        <v>0</v>
      </c>
      <c r="Q6020" s="86">
        <f t="shared" si="1821"/>
        <v>0</v>
      </c>
      <c r="R6020" s="86">
        <f t="shared" si="1822"/>
        <v>0</v>
      </c>
      <c r="S6020" s="86">
        <f t="shared" si="1823"/>
        <v>0</v>
      </c>
      <c r="T6020" s="86">
        <f t="shared" si="1824"/>
        <v>1663.6899999999998</v>
      </c>
      <c r="U6020" s="87">
        <v>1663.6899999999998</v>
      </c>
    </row>
    <row r="6021" spans="1:21" s="30" customFormat="1" ht="24.6" hidden="1" outlineLevel="1" x14ac:dyDescent="0.55000000000000004">
      <c r="A6021" s="27" t="s">
        <v>327</v>
      </c>
      <c r="B6021" s="28"/>
      <c r="C6021" s="27"/>
      <c r="D6021" s="27" t="str">
        <f>"""NAV Direct"",""CRONUS JetCorp USA"",""21"",""1"",""289132"""</f>
        <v>"NAV Direct","CRONUS JetCorp USA","21","1","289132"</v>
      </c>
      <c r="E6021" s="31">
        <f t="shared" si="1816"/>
        <v>0</v>
      </c>
      <c r="F6021" s="31"/>
      <c r="G6021" s="31"/>
      <c r="H6021" s="31"/>
      <c r="I6021" s="56"/>
      <c r="J6021" s="56"/>
      <c r="K6021" s="82" t="str">
        <f t="shared" si="1817"/>
        <v>Invoice</v>
      </c>
      <c r="L6021" s="83" t="str">
        <f>"SI_108886"</f>
        <v>SI_108886</v>
      </c>
      <c r="M6021" s="84">
        <v>43159</v>
      </c>
      <c r="N6021" s="85">
        <f t="shared" si="1818"/>
        <v>653</v>
      </c>
      <c r="O6021" s="86">
        <f t="shared" si="1819"/>
        <v>1663.68</v>
      </c>
      <c r="P6021" s="86">
        <f t="shared" si="1820"/>
        <v>0</v>
      </c>
      <c r="Q6021" s="86">
        <f t="shared" si="1821"/>
        <v>0</v>
      </c>
      <c r="R6021" s="86">
        <f t="shared" si="1822"/>
        <v>0</v>
      </c>
      <c r="S6021" s="86">
        <f t="shared" si="1823"/>
        <v>0</v>
      </c>
      <c r="T6021" s="86">
        <f t="shared" si="1824"/>
        <v>1663.68</v>
      </c>
      <c r="U6021" s="87">
        <v>1663.68</v>
      </c>
    </row>
    <row r="6022" spans="1:21" s="30" customFormat="1" ht="24.6" hidden="1" outlineLevel="1" x14ac:dyDescent="0.55000000000000004">
      <c r="A6022" s="27" t="s">
        <v>327</v>
      </c>
      <c r="B6022" s="28"/>
      <c r="C6022" s="27"/>
      <c r="D6022" s="27" t="str">
        <f>"""NAV Direct"",""CRONUS JetCorp USA"",""21"",""1"",""290211"""</f>
        <v>"NAV Direct","CRONUS JetCorp USA","21","1","290211"</v>
      </c>
      <c r="E6022" s="31" t="str">
        <f t="shared" si="1816"/>
        <v>C100512</v>
      </c>
      <c r="F6022" s="31"/>
      <c r="G6022" s="31"/>
      <c r="H6022" s="31"/>
      <c r="I6022" s="56"/>
      <c r="J6022" s="56"/>
      <c r="K6022" s="82" t="str">
        <f t="shared" si="1817"/>
        <v>Invoice</v>
      </c>
      <c r="L6022" s="83" t="str">
        <f>"SI_108922"</f>
        <v>SI_108922</v>
      </c>
      <c r="M6022" s="84">
        <v>43236</v>
      </c>
      <c r="N6022" s="85">
        <f t="shared" si="1818"/>
        <v>576</v>
      </c>
      <c r="O6022" s="86">
        <f t="shared" si="1819"/>
        <v>1830.1200000000001</v>
      </c>
      <c r="P6022" s="86">
        <f t="shared" si="1820"/>
        <v>0</v>
      </c>
      <c r="Q6022" s="86">
        <f t="shared" si="1821"/>
        <v>0</v>
      </c>
      <c r="R6022" s="86">
        <f t="shared" si="1822"/>
        <v>0</v>
      </c>
      <c r="S6022" s="86">
        <f t="shared" si="1823"/>
        <v>0</v>
      </c>
      <c r="T6022" s="86">
        <f t="shared" si="1824"/>
        <v>1830.1200000000001</v>
      </c>
      <c r="U6022" s="87">
        <v>1830.1200000000001</v>
      </c>
    </row>
    <row r="6023" spans="1:21" s="30" customFormat="1" ht="24.6" hidden="1" outlineLevel="1" x14ac:dyDescent="0.55000000000000004">
      <c r="A6023" s="27" t="s">
        <v>327</v>
      </c>
      <c r="B6023" s="28"/>
      <c r="C6023" s="27"/>
      <c r="D6023" s="27" t="str">
        <f>"""NAV Direct"",""CRONUS JetCorp USA"",""21"",""1"",""291199"""</f>
        <v>"NAV Direct","CRONUS JetCorp USA","21","1","291199"</v>
      </c>
      <c r="E6023" s="31">
        <f t="shared" si="1816"/>
        <v>0</v>
      </c>
      <c r="F6023" s="31"/>
      <c r="G6023" s="31"/>
      <c r="H6023" s="31"/>
      <c r="I6023" s="56"/>
      <c r="J6023" s="56"/>
      <c r="K6023" s="82" t="str">
        <f t="shared" si="1817"/>
        <v>Invoice</v>
      </c>
      <c r="L6023" s="83" t="str">
        <f>"SI_108955"</f>
        <v>SI_108955</v>
      </c>
      <c r="M6023" s="84">
        <v>43357</v>
      </c>
      <c r="N6023" s="85">
        <f t="shared" si="1818"/>
        <v>455</v>
      </c>
      <c r="O6023" s="86">
        <f t="shared" si="1819"/>
        <v>2012.85</v>
      </c>
      <c r="P6023" s="86">
        <f t="shared" si="1820"/>
        <v>0</v>
      </c>
      <c r="Q6023" s="86">
        <f t="shared" si="1821"/>
        <v>0</v>
      </c>
      <c r="R6023" s="86">
        <f t="shared" si="1822"/>
        <v>0</v>
      </c>
      <c r="S6023" s="86">
        <f t="shared" si="1823"/>
        <v>0</v>
      </c>
      <c r="T6023" s="86">
        <f t="shared" si="1824"/>
        <v>2012.85</v>
      </c>
      <c r="U6023" s="87">
        <v>2012.85</v>
      </c>
    </row>
    <row r="6024" spans="1:21" s="30" customFormat="1" ht="24.6" hidden="1" outlineLevel="1" x14ac:dyDescent="0.55000000000000004">
      <c r="A6024" s="27" t="s">
        <v>327</v>
      </c>
      <c r="B6024" s="28"/>
      <c r="C6024" s="27"/>
      <c r="D6024" s="27" t="str">
        <f>"""NAV Direct"",""CRONUS JetCorp USA"",""21"",""1"",""292196"""</f>
        <v>"NAV Direct","CRONUS JetCorp USA","21","1","292196"</v>
      </c>
      <c r="E6024" s="31" t="str">
        <f t="shared" si="1816"/>
        <v>C100512</v>
      </c>
      <c r="F6024" s="31"/>
      <c r="G6024" s="31"/>
      <c r="H6024" s="31"/>
      <c r="I6024" s="56"/>
      <c r="J6024" s="56"/>
      <c r="K6024" s="82" t="str">
        <f t="shared" si="1817"/>
        <v>Invoice</v>
      </c>
      <c r="L6024" s="83" t="str">
        <f>"SI_108989"</f>
        <v>SI_108989</v>
      </c>
      <c r="M6024" s="84">
        <v>43419</v>
      </c>
      <c r="N6024" s="85">
        <f t="shared" si="1818"/>
        <v>393</v>
      </c>
      <c r="O6024" s="86">
        <f t="shared" si="1819"/>
        <v>2214.4</v>
      </c>
      <c r="P6024" s="86">
        <f t="shared" si="1820"/>
        <v>0</v>
      </c>
      <c r="Q6024" s="86">
        <f t="shared" si="1821"/>
        <v>0</v>
      </c>
      <c r="R6024" s="86">
        <f t="shared" si="1822"/>
        <v>0</v>
      </c>
      <c r="S6024" s="86">
        <f t="shared" si="1823"/>
        <v>0</v>
      </c>
      <c r="T6024" s="86">
        <f t="shared" si="1824"/>
        <v>2214.4</v>
      </c>
      <c r="U6024" s="87">
        <v>2214.4</v>
      </c>
    </row>
    <row r="6025" spans="1:21" s="30" customFormat="1" ht="24.6" hidden="1" outlineLevel="1" x14ac:dyDescent="0.55000000000000004">
      <c r="A6025" s="27" t="s">
        <v>327</v>
      </c>
      <c r="B6025" s="28"/>
      <c r="C6025" s="27"/>
      <c r="D6025" s="27" t="str">
        <f>"""NAV Direct"",""CRONUS JetCorp USA"",""21"",""1"",""292423"""</f>
        <v>"NAV Direct","CRONUS JetCorp USA","21","1","292423"</v>
      </c>
      <c r="E6025" s="31">
        <f t="shared" si="1816"/>
        <v>0</v>
      </c>
      <c r="F6025" s="31"/>
      <c r="G6025" s="31"/>
      <c r="H6025" s="31"/>
      <c r="I6025" s="56"/>
      <c r="J6025" s="56"/>
      <c r="K6025" s="82" t="str">
        <f t="shared" si="1817"/>
        <v>Invoice</v>
      </c>
      <c r="L6025" s="83" t="str">
        <f>"SI_108996"</f>
        <v>SI_108996</v>
      </c>
      <c r="M6025" s="84">
        <v>43424</v>
      </c>
      <c r="N6025" s="85">
        <f t="shared" si="1818"/>
        <v>388</v>
      </c>
      <c r="O6025" s="86">
        <f t="shared" si="1819"/>
        <v>2214.4499999999998</v>
      </c>
      <c r="P6025" s="86">
        <f t="shared" si="1820"/>
        <v>0</v>
      </c>
      <c r="Q6025" s="86">
        <f t="shared" si="1821"/>
        <v>0</v>
      </c>
      <c r="R6025" s="86">
        <f t="shared" si="1822"/>
        <v>0</v>
      </c>
      <c r="S6025" s="86">
        <f t="shared" si="1823"/>
        <v>0</v>
      </c>
      <c r="T6025" s="86">
        <f t="shared" si="1824"/>
        <v>2214.4499999999998</v>
      </c>
      <c r="U6025" s="87">
        <v>2214.4499999999998</v>
      </c>
    </row>
    <row r="6026" spans="1:21" s="30" customFormat="1" ht="24.6" hidden="1" outlineLevel="1" x14ac:dyDescent="0.55000000000000004">
      <c r="A6026" s="27" t="s">
        <v>327</v>
      </c>
      <c r="B6026" s="28"/>
      <c r="C6026" s="27"/>
      <c r="D6026" s="27" t="str">
        <f>"""NAV Direct"",""CRONUS JetCorp USA"",""21"",""1"",""292450"""</f>
        <v>"NAV Direct","CRONUS JetCorp USA","21","1","292450"</v>
      </c>
      <c r="E6026" s="31" t="str">
        <f t="shared" si="1816"/>
        <v>C100512</v>
      </c>
      <c r="F6026" s="31"/>
      <c r="G6026" s="31"/>
      <c r="H6026" s="31"/>
      <c r="I6026" s="56"/>
      <c r="J6026" s="56"/>
      <c r="K6026" s="82" t="str">
        <f t="shared" si="1817"/>
        <v>Invoice</v>
      </c>
      <c r="L6026" s="83" t="str">
        <f>"SI_108997"</f>
        <v>SI_108997</v>
      </c>
      <c r="M6026" s="84">
        <v>43440</v>
      </c>
      <c r="N6026" s="85">
        <f t="shared" si="1818"/>
        <v>372</v>
      </c>
      <c r="O6026" s="86">
        <f t="shared" si="1819"/>
        <v>2214.21</v>
      </c>
      <c r="P6026" s="86">
        <f t="shared" si="1820"/>
        <v>0</v>
      </c>
      <c r="Q6026" s="86">
        <f t="shared" si="1821"/>
        <v>0</v>
      </c>
      <c r="R6026" s="86">
        <f t="shared" si="1822"/>
        <v>0</v>
      </c>
      <c r="S6026" s="86">
        <f t="shared" si="1823"/>
        <v>0</v>
      </c>
      <c r="T6026" s="86">
        <f t="shared" si="1824"/>
        <v>2214.21</v>
      </c>
      <c r="U6026" s="87">
        <v>2214.21</v>
      </c>
    </row>
    <row r="6027" spans="1:21" s="30" customFormat="1" ht="24.6" hidden="1" outlineLevel="1" x14ac:dyDescent="0.55000000000000004">
      <c r="A6027" s="27" t="s">
        <v>327</v>
      </c>
      <c r="B6027" s="28"/>
      <c r="C6027" s="27"/>
      <c r="D6027" s="27" t="str">
        <f>"""NAV Direct"",""CRONUS JetCorp USA"",""21"",""1"",""293012"""</f>
        <v>"NAV Direct","CRONUS JetCorp USA","21","1","293012"</v>
      </c>
      <c r="E6027" s="31">
        <f t="shared" si="1816"/>
        <v>0</v>
      </c>
      <c r="F6027" s="31"/>
      <c r="G6027" s="31"/>
      <c r="H6027" s="31"/>
      <c r="I6027" s="56"/>
      <c r="J6027" s="56"/>
      <c r="K6027" s="82" t="str">
        <f t="shared" si="1817"/>
        <v>Invoice</v>
      </c>
      <c r="L6027" s="83" t="str">
        <f>"SI_109016"</f>
        <v>SI_109016</v>
      </c>
      <c r="M6027" s="84">
        <v>43461</v>
      </c>
      <c r="N6027" s="85">
        <f t="shared" si="1818"/>
        <v>351</v>
      </c>
      <c r="O6027" s="86">
        <f t="shared" si="1819"/>
        <v>2214.3500000000004</v>
      </c>
      <c r="P6027" s="86">
        <f t="shared" si="1820"/>
        <v>0</v>
      </c>
      <c r="Q6027" s="86">
        <f t="shared" si="1821"/>
        <v>0</v>
      </c>
      <c r="R6027" s="86">
        <f t="shared" si="1822"/>
        <v>0</v>
      </c>
      <c r="S6027" s="86">
        <f t="shared" si="1823"/>
        <v>0</v>
      </c>
      <c r="T6027" s="86">
        <f t="shared" si="1824"/>
        <v>2214.3500000000004</v>
      </c>
      <c r="U6027" s="87">
        <v>2214.3500000000004</v>
      </c>
    </row>
    <row r="6028" spans="1:21" s="30" customFormat="1" ht="24.6" hidden="1" outlineLevel="1" x14ac:dyDescent="0.55000000000000004">
      <c r="A6028" s="27" t="s">
        <v>327</v>
      </c>
      <c r="B6028" s="28"/>
      <c r="C6028" s="27"/>
      <c r="D6028" s="27" t="str">
        <f>"""NAV Direct"",""CRONUS JetCorp USA"",""21"",""1"",""294904"""</f>
        <v>"NAV Direct","CRONUS JetCorp USA","21","1","294904"</v>
      </c>
      <c r="E6028" s="31" t="str">
        <f t="shared" si="1816"/>
        <v>C100512</v>
      </c>
      <c r="F6028" s="31"/>
      <c r="G6028" s="31"/>
      <c r="H6028" s="31"/>
      <c r="I6028" s="56"/>
      <c r="J6028" s="56"/>
      <c r="K6028" s="82" t="str">
        <f t="shared" si="1817"/>
        <v>Invoice</v>
      </c>
      <c r="L6028" s="83" t="str">
        <f>"SI_109078"</f>
        <v>SI_109078</v>
      </c>
      <c r="M6028" s="84">
        <v>43590</v>
      </c>
      <c r="N6028" s="85">
        <f t="shared" si="1818"/>
        <v>222</v>
      </c>
      <c r="O6028" s="86">
        <f t="shared" si="1819"/>
        <v>2679.51</v>
      </c>
      <c r="P6028" s="86">
        <f t="shared" si="1820"/>
        <v>0</v>
      </c>
      <c r="Q6028" s="86">
        <f t="shared" si="1821"/>
        <v>0</v>
      </c>
      <c r="R6028" s="86">
        <f t="shared" si="1822"/>
        <v>0</v>
      </c>
      <c r="S6028" s="86">
        <f t="shared" si="1823"/>
        <v>0</v>
      </c>
      <c r="T6028" s="86">
        <f t="shared" si="1824"/>
        <v>2679.51</v>
      </c>
      <c r="U6028" s="87">
        <v>2679.51</v>
      </c>
    </row>
    <row r="6029" spans="1:21" s="30" customFormat="1" ht="24.6" hidden="1" outlineLevel="1" x14ac:dyDescent="0.55000000000000004">
      <c r="A6029" s="27" t="s">
        <v>327</v>
      </c>
      <c r="B6029" s="28"/>
      <c r="C6029" s="27"/>
      <c r="D6029" s="27" t="str">
        <f>"""NAV Direct"",""CRONUS JetCorp USA"",""21"",""1"",""296618"""</f>
        <v>"NAV Direct","CRONUS JetCorp USA","21","1","296618"</v>
      </c>
      <c r="E6029" s="31">
        <f t="shared" si="1816"/>
        <v>0</v>
      </c>
      <c r="F6029" s="31"/>
      <c r="G6029" s="31"/>
      <c r="H6029" s="31"/>
      <c r="I6029" s="56"/>
      <c r="J6029" s="56"/>
      <c r="K6029" s="82" t="str">
        <f t="shared" si="1817"/>
        <v>Invoice</v>
      </c>
      <c r="L6029" s="83" t="str">
        <f>"SI_109130"</f>
        <v>SI_109130</v>
      </c>
      <c r="M6029" s="84">
        <v>43695</v>
      </c>
      <c r="N6029" s="85">
        <f t="shared" si="1818"/>
        <v>117</v>
      </c>
      <c r="O6029" s="86">
        <f t="shared" si="1819"/>
        <v>2947.39</v>
      </c>
      <c r="P6029" s="86">
        <f t="shared" si="1820"/>
        <v>0</v>
      </c>
      <c r="Q6029" s="86">
        <f t="shared" si="1821"/>
        <v>0</v>
      </c>
      <c r="R6029" s="86">
        <f t="shared" si="1822"/>
        <v>0</v>
      </c>
      <c r="S6029" s="86">
        <f t="shared" si="1823"/>
        <v>0</v>
      </c>
      <c r="T6029" s="86">
        <f t="shared" si="1824"/>
        <v>2947.39</v>
      </c>
      <c r="U6029" s="87">
        <v>2947.39</v>
      </c>
    </row>
    <row r="6030" spans="1:21" s="30" customFormat="1" ht="24.6" hidden="1" outlineLevel="1" x14ac:dyDescent="0.55000000000000004">
      <c r="A6030" s="27" t="s">
        <v>327</v>
      </c>
      <c r="B6030" s="28"/>
      <c r="C6030" s="27"/>
      <c r="D6030" s="27" t="str">
        <f>"""NAV Direct"",""CRONUS JetCorp USA"",""21"",""1"",""300542"""</f>
        <v>"NAV Direct","CRONUS JetCorp USA","21","1","300542"</v>
      </c>
      <c r="E6030" s="31" t="str">
        <f t="shared" si="1816"/>
        <v>C100512</v>
      </c>
      <c r="F6030" s="31"/>
      <c r="G6030" s="31"/>
      <c r="H6030" s="31"/>
      <c r="I6030" s="56"/>
      <c r="J6030" s="56"/>
      <c r="K6030" s="82" t="str">
        <f t="shared" si="1817"/>
        <v>Invoice</v>
      </c>
      <c r="L6030" s="83" t="str">
        <f>"SI_109248"</f>
        <v>SI_109248</v>
      </c>
      <c r="M6030" s="84">
        <v>42058</v>
      </c>
      <c r="N6030" s="85">
        <f t="shared" si="1818"/>
        <v>1754</v>
      </c>
      <c r="O6030" s="86">
        <f t="shared" si="1819"/>
        <v>3566.3799999999997</v>
      </c>
      <c r="P6030" s="86">
        <f t="shared" si="1820"/>
        <v>0</v>
      </c>
      <c r="Q6030" s="86">
        <f t="shared" si="1821"/>
        <v>0</v>
      </c>
      <c r="R6030" s="86">
        <f t="shared" si="1822"/>
        <v>0</v>
      </c>
      <c r="S6030" s="86">
        <f t="shared" si="1823"/>
        <v>0</v>
      </c>
      <c r="T6030" s="86">
        <f t="shared" si="1824"/>
        <v>3566.3799999999997</v>
      </c>
      <c r="U6030" s="87">
        <v>3566.3799999999997</v>
      </c>
    </row>
    <row r="6031" spans="1:21" s="30" customFormat="1" ht="24.6" hidden="1" outlineLevel="1" x14ac:dyDescent="0.55000000000000004">
      <c r="A6031" s="27" t="s">
        <v>327</v>
      </c>
      <c r="B6031" s="28"/>
      <c r="C6031" s="27"/>
      <c r="D6031" s="27" t="str">
        <f>"""NAV Direct"",""CRONUS JetCorp USA"",""21"",""1"",""300628"""</f>
        <v>"NAV Direct","CRONUS JetCorp USA","21","1","300628"</v>
      </c>
      <c r="E6031" s="31">
        <f t="shared" si="1816"/>
        <v>0</v>
      </c>
      <c r="F6031" s="31"/>
      <c r="G6031" s="31"/>
      <c r="H6031" s="31"/>
      <c r="I6031" s="56"/>
      <c r="J6031" s="56"/>
      <c r="K6031" s="82" t="str">
        <f t="shared" si="1817"/>
        <v>Invoice</v>
      </c>
      <c r="L6031" s="83" t="str">
        <f>"SI_109251"</f>
        <v>SI_109251</v>
      </c>
      <c r="M6031" s="84">
        <v>42063</v>
      </c>
      <c r="N6031" s="85">
        <f t="shared" si="1818"/>
        <v>1749</v>
      </c>
      <c r="O6031" s="86">
        <f t="shared" si="1819"/>
        <v>3566.36</v>
      </c>
      <c r="P6031" s="86">
        <f t="shared" si="1820"/>
        <v>0</v>
      </c>
      <c r="Q6031" s="86">
        <f t="shared" si="1821"/>
        <v>0</v>
      </c>
      <c r="R6031" s="86">
        <f t="shared" si="1822"/>
        <v>0</v>
      </c>
      <c r="S6031" s="86">
        <f t="shared" si="1823"/>
        <v>0</v>
      </c>
      <c r="T6031" s="86">
        <f t="shared" si="1824"/>
        <v>3566.36</v>
      </c>
      <c r="U6031" s="87">
        <v>3566.36</v>
      </c>
    </row>
    <row r="6032" spans="1:21" s="30" customFormat="1" ht="24.6" hidden="1" outlineLevel="1" x14ac:dyDescent="0.55000000000000004">
      <c r="A6032" s="27" t="s">
        <v>327</v>
      </c>
      <c r="B6032" s="28"/>
      <c r="C6032" s="27"/>
      <c r="D6032" s="27" t="str">
        <f>"""NAV Direct"",""CRONUS JetCorp USA"",""21"",""1"",""301522"""</f>
        <v>"NAV Direct","CRONUS JetCorp USA","21","1","301522"</v>
      </c>
      <c r="E6032" s="31" t="str">
        <f t="shared" si="1816"/>
        <v>C100512</v>
      </c>
      <c r="F6032" s="31"/>
      <c r="G6032" s="31"/>
      <c r="H6032" s="31"/>
      <c r="I6032" s="56"/>
      <c r="J6032" s="56"/>
      <c r="K6032" s="82" t="str">
        <f t="shared" si="1817"/>
        <v>Invoice</v>
      </c>
      <c r="L6032" s="83" t="str">
        <f>"SI_109277"</f>
        <v>SI_109277</v>
      </c>
      <c r="M6032" s="84">
        <v>42080</v>
      </c>
      <c r="N6032" s="85">
        <f t="shared" si="1818"/>
        <v>1732</v>
      </c>
      <c r="O6032" s="86">
        <f t="shared" si="1819"/>
        <v>3566.28</v>
      </c>
      <c r="P6032" s="86">
        <f t="shared" si="1820"/>
        <v>0</v>
      </c>
      <c r="Q6032" s="86">
        <f t="shared" si="1821"/>
        <v>0</v>
      </c>
      <c r="R6032" s="86">
        <f t="shared" si="1822"/>
        <v>0</v>
      </c>
      <c r="S6032" s="86">
        <f t="shared" si="1823"/>
        <v>0</v>
      </c>
      <c r="T6032" s="86">
        <f t="shared" si="1824"/>
        <v>3566.28</v>
      </c>
      <c r="U6032" s="87">
        <v>3566.28</v>
      </c>
    </row>
    <row r="6033" spans="1:22" s="30" customFormat="1" ht="24.6" hidden="1" outlineLevel="1" x14ac:dyDescent="0.55000000000000004">
      <c r="A6033" s="27" t="s">
        <v>327</v>
      </c>
      <c r="B6033" s="28"/>
      <c r="C6033" s="27"/>
      <c r="D6033" s="27" t="str">
        <f>"""NAV Direct"",""CRONUS JetCorp USA"",""21"",""1"",""301950"""</f>
        <v>"NAV Direct","CRONUS JetCorp USA","21","1","301950"</v>
      </c>
      <c r="E6033" s="31">
        <f t="shared" si="1816"/>
        <v>0</v>
      </c>
      <c r="F6033" s="31"/>
      <c r="G6033" s="31"/>
      <c r="H6033" s="31"/>
      <c r="I6033" s="56"/>
      <c r="J6033" s="56"/>
      <c r="K6033" s="82" t="str">
        <f t="shared" si="1817"/>
        <v>Invoice</v>
      </c>
      <c r="L6033" s="83" t="str">
        <f>"SI_109289"</f>
        <v>SI_109289</v>
      </c>
      <c r="M6033" s="84">
        <v>42132</v>
      </c>
      <c r="N6033" s="85">
        <f t="shared" si="1818"/>
        <v>1680</v>
      </c>
      <c r="O6033" s="86">
        <f t="shared" si="1819"/>
        <v>3922.96</v>
      </c>
      <c r="P6033" s="86">
        <f t="shared" si="1820"/>
        <v>0</v>
      </c>
      <c r="Q6033" s="86">
        <f t="shared" si="1821"/>
        <v>0</v>
      </c>
      <c r="R6033" s="86">
        <f t="shared" si="1822"/>
        <v>0</v>
      </c>
      <c r="S6033" s="86">
        <f t="shared" si="1823"/>
        <v>0</v>
      </c>
      <c r="T6033" s="86">
        <f t="shared" si="1824"/>
        <v>3922.96</v>
      </c>
      <c r="U6033" s="87">
        <v>3922.96</v>
      </c>
    </row>
    <row r="6034" spans="1:22" s="30" customFormat="1" ht="24.6" hidden="1" outlineLevel="1" x14ac:dyDescent="0.55000000000000004">
      <c r="A6034" s="27" t="s">
        <v>327</v>
      </c>
      <c r="B6034" s="28"/>
      <c r="C6034" s="27"/>
      <c r="D6034" s="27" t="str">
        <f>"""NAV Direct"",""CRONUS JetCorp USA"",""21"",""1"",""302575"""</f>
        <v>"NAV Direct","CRONUS JetCorp USA","21","1","302575"</v>
      </c>
      <c r="E6034" s="31" t="str">
        <f t="shared" si="1816"/>
        <v>C100512</v>
      </c>
      <c r="F6034" s="31"/>
      <c r="G6034" s="31"/>
      <c r="H6034" s="31"/>
      <c r="I6034" s="56"/>
      <c r="J6034" s="56"/>
      <c r="K6034" s="82" t="str">
        <f t="shared" si="1817"/>
        <v>Invoice</v>
      </c>
      <c r="L6034" s="83" t="str">
        <f>"SI_109307"</f>
        <v>SI_109307</v>
      </c>
      <c r="M6034" s="84">
        <v>42156</v>
      </c>
      <c r="N6034" s="85">
        <f t="shared" si="1818"/>
        <v>1656</v>
      </c>
      <c r="O6034" s="86">
        <f t="shared" si="1819"/>
        <v>3922.9399999999996</v>
      </c>
      <c r="P6034" s="86">
        <f t="shared" si="1820"/>
        <v>0</v>
      </c>
      <c r="Q6034" s="86">
        <f t="shared" si="1821"/>
        <v>0</v>
      </c>
      <c r="R6034" s="86">
        <f t="shared" si="1822"/>
        <v>0</v>
      </c>
      <c r="S6034" s="86">
        <f t="shared" si="1823"/>
        <v>0</v>
      </c>
      <c r="T6034" s="86">
        <f t="shared" si="1824"/>
        <v>3922.9399999999996</v>
      </c>
      <c r="U6034" s="87">
        <v>3922.9399999999996</v>
      </c>
    </row>
    <row r="6035" spans="1:22" s="30" customFormat="1" ht="24.6" hidden="1" outlineLevel="1" x14ac:dyDescent="0.55000000000000004">
      <c r="A6035" s="27" t="s">
        <v>327</v>
      </c>
      <c r="B6035" s="28"/>
      <c r="C6035" s="27"/>
      <c r="D6035" s="27" t="str">
        <f>"""NAV Direct"",""CRONUS JetCorp USA"",""21"",""1"",""303368"""</f>
        <v>"NAV Direct","CRONUS JetCorp USA","21","1","303368"</v>
      </c>
      <c r="E6035" s="31">
        <f t="shared" si="1816"/>
        <v>0</v>
      </c>
      <c r="F6035" s="31"/>
      <c r="G6035" s="31"/>
      <c r="H6035" s="31"/>
      <c r="I6035" s="56"/>
      <c r="J6035" s="56"/>
      <c r="K6035" s="82" t="str">
        <f t="shared" si="1817"/>
        <v>Invoice</v>
      </c>
      <c r="L6035" s="83" t="str">
        <f>"SI_109330"</f>
        <v>SI_109330</v>
      </c>
      <c r="M6035" s="84">
        <v>42178</v>
      </c>
      <c r="N6035" s="85">
        <f t="shared" si="1818"/>
        <v>1634</v>
      </c>
      <c r="O6035" s="86">
        <f t="shared" si="1819"/>
        <v>3922.96</v>
      </c>
      <c r="P6035" s="86">
        <f t="shared" si="1820"/>
        <v>0</v>
      </c>
      <c r="Q6035" s="86">
        <f t="shared" si="1821"/>
        <v>0</v>
      </c>
      <c r="R6035" s="86">
        <f t="shared" si="1822"/>
        <v>0</v>
      </c>
      <c r="S6035" s="86">
        <f t="shared" si="1823"/>
        <v>0</v>
      </c>
      <c r="T6035" s="86">
        <f t="shared" si="1824"/>
        <v>3922.96</v>
      </c>
      <c r="U6035" s="87">
        <v>3922.96</v>
      </c>
    </row>
    <row r="6036" spans="1:22" s="22" customFormat="1" ht="20.399999999999999" collapsed="1" x14ac:dyDescent="0.45">
      <c r="A6036" s="12" t="s">
        <v>327</v>
      </c>
      <c r="B6036" s="19"/>
      <c r="C6036" s="12"/>
      <c r="D6036" s="12"/>
      <c r="E6036" s="23"/>
      <c r="F6036" s="23"/>
      <c r="G6036" s="23"/>
      <c r="H6036" s="23"/>
      <c r="I6036" s="49"/>
      <c r="J6036" s="88"/>
      <c r="K6036" s="88"/>
      <c r="L6036" s="89"/>
      <c r="M6036" s="89"/>
      <c r="N6036" s="89"/>
      <c r="O6036" s="89"/>
      <c r="P6036" s="89"/>
      <c r="Q6036" s="90"/>
      <c r="R6036" s="90"/>
      <c r="S6036" s="91"/>
      <c r="T6036" s="92"/>
      <c r="U6036" s="92"/>
    </row>
    <row r="6037" spans="1:22" s="22" customFormat="1" ht="20.399999999999999" x14ac:dyDescent="0.45">
      <c r="A6037" s="12" t="s">
        <v>327</v>
      </c>
      <c r="B6037" s="19"/>
      <c r="C6037" s="12"/>
      <c r="D6037" s="12"/>
      <c r="E6037" s="23"/>
      <c r="F6037" s="23"/>
      <c r="G6037" s="23"/>
      <c r="H6037" s="23"/>
      <c r="I6037" s="49"/>
      <c r="J6037" s="88"/>
      <c r="K6037" s="88"/>
      <c r="L6037" s="89"/>
      <c r="M6037" s="89"/>
      <c r="N6037" s="89"/>
      <c r="O6037" s="89"/>
      <c r="P6037" s="89"/>
      <c r="Q6037" s="90"/>
      <c r="R6037" s="90"/>
      <c r="S6037" s="91"/>
      <c r="T6037" s="92"/>
      <c r="U6037" s="92"/>
    </row>
    <row r="6038" spans="1:22" s="26" customFormat="1" ht="24.6" x14ac:dyDescent="0.55000000000000004">
      <c r="A6038" s="27" t="s">
        <v>327</v>
      </c>
      <c r="B6038" s="28"/>
      <c r="C6038" s="27" t="str">
        <f>"""NAV Direct"",""CRONUS JetCorp USA"",""18"",""1"",""C100513"""</f>
        <v>"NAV Direct","CRONUS JetCorp USA","18","1","C100513"</v>
      </c>
      <c r="D6038" s="27"/>
      <c r="E6038" s="28" t="str">
        <f>H6038</f>
        <v>C100513</v>
      </c>
      <c r="F6038" s="28"/>
      <c r="G6038" s="28"/>
      <c r="H6038" s="28" t="str">
        <f>"C100513"</f>
        <v>C100513</v>
      </c>
      <c r="I6038" s="116" t="str">
        <f>"C100513  -  Renslingers"</f>
        <v>C100513  -  Renslingers</v>
      </c>
      <c r="J6038" s="117" t="str">
        <f>""</f>
        <v/>
      </c>
      <c r="K6038" s="118"/>
      <c r="L6038" s="119">
        <f>SUBTOTAL(3,L6039:L6064)</f>
        <v>22</v>
      </c>
      <c r="M6038" s="118"/>
      <c r="N6038" s="118"/>
      <c r="O6038" s="120">
        <f t="shared" ref="O6038:T6038" si="1825">SUBTOTAL(9,O6039:O6064)</f>
        <v>57350.25</v>
      </c>
      <c r="P6038" s="120">
        <f t="shared" si="1825"/>
        <v>6484.23</v>
      </c>
      <c r="Q6038" s="120">
        <f t="shared" si="1825"/>
        <v>3242.1600000000003</v>
      </c>
      <c r="R6038" s="120">
        <f t="shared" si="1825"/>
        <v>0</v>
      </c>
      <c r="S6038" s="120">
        <f t="shared" si="1825"/>
        <v>2947.36</v>
      </c>
      <c r="T6038" s="120">
        <f t="shared" si="1825"/>
        <v>44676.5</v>
      </c>
      <c r="U6038" s="81"/>
    </row>
    <row r="6039" spans="1:22" s="26" customFormat="1" ht="24.6" x14ac:dyDescent="0.55000000000000004">
      <c r="A6039" s="27" t="s">
        <v>327</v>
      </c>
      <c r="B6039" s="28"/>
      <c r="C6039" s="27" t="str">
        <f>C6038</f>
        <v>"NAV Direct","CRONUS JetCorp USA","18","1","C100513"</v>
      </c>
      <c r="D6039" s="27"/>
      <c r="E6039" s="28" t="str">
        <f>E6038</f>
        <v>C100513</v>
      </c>
      <c r="F6039" s="28"/>
      <c r="G6039" s="28"/>
      <c r="H6039" s="28"/>
      <c r="I6039" s="121" t="str">
        <f>"Contact: Joan Franze"</f>
        <v>Contact: Joan Franze</v>
      </c>
      <c r="J6039" s="121"/>
      <c r="K6039" s="122"/>
      <c r="L6039" s="123"/>
      <c r="M6039" s="123"/>
      <c r="N6039" s="124"/>
      <c r="O6039" s="124"/>
      <c r="P6039" s="123"/>
      <c r="Q6039" s="125"/>
      <c r="R6039" s="126"/>
      <c r="S6039" s="126"/>
      <c r="T6039" s="125"/>
      <c r="U6039" s="81"/>
    </row>
    <row r="6040" spans="1:22" s="26" customFormat="1" ht="24.6" x14ac:dyDescent="0.55000000000000004">
      <c r="A6040" s="27" t="s">
        <v>327</v>
      </c>
      <c r="B6040" s="28"/>
      <c r="C6040" s="27" t="str">
        <f>C6039</f>
        <v>"NAV Direct","CRONUS JetCorp USA","18","1","C100513"</v>
      </c>
      <c r="D6040" s="27"/>
      <c r="E6040" s="28" t="str">
        <f>E6039</f>
        <v>C100513</v>
      </c>
      <c r="F6040" s="28"/>
      <c r="G6040" s="28"/>
      <c r="H6040" s="28"/>
      <c r="I6040" s="121" t="str">
        <f>"Renslingers@cronuscorp.net"</f>
        <v>Renslingers@cronuscorp.net</v>
      </c>
      <c r="J6040" s="121"/>
      <c r="K6040" s="122"/>
      <c r="L6040" s="124"/>
      <c r="M6040" s="124"/>
      <c r="N6040" s="124"/>
      <c r="O6040" s="124"/>
      <c r="P6040" s="123"/>
      <c r="Q6040" s="125"/>
      <c r="R6040" s="126"/>
      <c r="S6040" s="126"/>
      <c r="T6040" s="125"/>
      <c r="U6040" s="81"/>
    </row>
    <row r="6041" spans="1:22" ht="12.75" hidden="1" customHeight="1" outlineLevel="1" x14ac:dyDescent="0.45">
      <c r="A6041" s="12" t="s">
        <v>328</v>
      </c>
      <c r="B6041" s="19"/>
      <c r="E6041" s="19"/>
      <c r="F6041" s="19"/>
      <c r="G6041" s="19"/>
      <c r="H6041" s="19"/>
      <c r="I6041" s="61"/>
      <c r="J6041" s="61"/>
      <c r="K6041" s="61"/>
      <c r="L6041" s="61"/>
      <c r="M6041" s="61"/>
      <c r="N6041" s="61"/>
      <c r="O6041" s="61"/>
      <c r="P6041" s="61"/>
      <c r="Q6041" s="61"/>
      <c r="R6041" s="61"/>
      <c r="S6041" s="61"/>
      <c r="T6041" s="61"/>
      <c r="U6041" s="61"/>
      <c r="V6041" s="21"/>
    </row>
    <row r="6042" spans="1:22" s="30" customFormat="1" ht="24.6" hidden="1" outlineLevel="1" x14ac:dyDescent="0.55000000000000004">
      <c r="A6042" s="27" t="s">
        <v>327</v>
      </c>
      <c r="B6042" s="28"/>
      <c r="C6042" s="27"/>
      <c r="D6042" s="27" t="str">
        <f>"""NAV Direct"",""CRONUS JetCorp USA"",""21"",""1"",""285206"""</f>
        <v>"NAV Direct","CRONUS JetCorp USA","21","1","285206"</v>
      </c>
      <c r="E6042" s="31" t="str">
        <f t="shared" ref="E6042:E6063" si="1826">E6040</f>
        <v>C100513</v>
      </c>
      <c r="F6042" s="31"/>
      <c r="G6042" s="31"/>
      <c r="H6042" s="31"/>
      <c r="I6042" s="56"/>
      <c r="J6042" s="56"/>
      <c r="K6042" s="82" t="str">
        <f t="shared" ref="K6042:K6063" si="1827">"Invoice"</f>
        <v>Invoice</v>
      </c>
      <c r="L6042" s="83" t="str">
        <f>"SI_108751"</f>
        <v>SI_108751</v>
      </c>
      <c r="M6042" s="84">
        <v>42815</v>
      </c>
      <c r="N6042" s="85">
        <f t="shared" ref="N6042:N6063" si="1828">StartDate-$M6042+1</f>
        <v>997</v>
      </c>
      <c r="O6042" s="86">
        <f t="shared" ref="O6042:O6063" si="1829">SUM(P6042:T6042)</f>
        <v>1136.3800000000001</v>
      </c>
      <c r="P6042" s="86">
        <f t="shared" ref="P6042:P6063" si="1830">IF($M6042&gt;=$P$18,U6042,0)</f>
        <v>0</v>
      </c>
      <c r="Q6042" s="86">
        <f t="shared" ref="Q6042:Q6063" si="1831">IF(AND($M6042&gt;=$Q$16,$M6042&lt;=$Q$18),U6042,0)</f>
        <v>0</v>
      </c>
      <c r="R6042" s="86">
        <f t="shared" ref="R6042:R6063" si="1832">IF(AND($M6042&gt;=$R$16,$M6042&lt;=$R$18),U6042,0)</f>
        <v>0</v>
      </c>
      <c r="S6042" s="86">
        <f t="shared" ref="S6042:S6063" si="1833">IF(AND($M6042&gt;=$S$16,$M6042&lt;=$S$18),U6042,0)</f>
        <v>0</v>
      </c>
      <c r="T6042" s="86">
        <f t="shared" ref="T6042:T6063" si="1834">IF($M6042&lt;=$T$18,U6042,0)</f>
        <v>1136.3800000000001</v>
      </c>
      <c r="U6042" s="87">
        <v>1136.3800000000001</v>
      </c>
    </row>
    <row r="6043" spans="1:22" s="30" customFormat="1" ht="24.6" hidden="1" outlineLevel="1" x14ac:dyDescent="0.55000000000000004">
      <c r="A6043" s="27" t="s">
        <v>327</v>
      </c>
      <c r="B6043" s="28"/>
      <c r="C6043" s="27"/>
      <c r="D6043" s="27" t="str">
        <f>"""NAV Direct"",""CRONUS JetCorp USA"",""21"",""1"",""286230"""</f>
        <v>"NAV Direct","CRONUS JetCorp USA","21","1","286230"</v>
      </c>
      <c r="E6043" s="31">
        <f t="shared" si="1826"/>
        <v>0</v>
      </c>
      <c r="F6043" s="31"/>
      <c r="G6043" s="31"/>
      <c r="H6043" s="31"/>
      <c r="I6043" s="56"/>
      <c r="J6043" s="56"/>
      <c r="K6043" s="82" t="str">
        <f t="shared" si="1827"/>
        <v>Invoice</v>
      </c>
      <c r="L6043" s="83" t="str">
        <f>"SI_108787"</f>
        <v>SI_108787</v>
      </c>
      <c r="M6043" s="84">
        <v>42967</v>
      </c>
      <c r="N6043" s="85">
        <f t="shared" si="1828"/>
        <v>845</v>
      </c>
      <c r="O6043" s="86">
        <f t="shared" si="1829"/>
        <v>1374.9</v>
      </c>
      <c r="P6043" s="86">
        <f t="shared" si="1830"/>
        <v>0</v>
      </c>
      <c r="Q6043" s="86">
        <f t="shared" si="1831"/>
        <v>0</v>
      </c>
      <c r="R6043" s="86">
        <f t="shared" si="1832"/>
        <v>0</v>
      </c>
      <c r="S6043" s="86">
        <f t="shared" si="1833"/>
        <v>0</v>
      </c>
      <c r="T6043" s="86">
        <f t="shared" si="1834"/>
        <v>1374.9</v>
      </c>
      <c r="U6043" s="87">
        <v>1374.9</v>
      </c>
    </row>
    <row r="6044" spans="1:22" s="30" customFormat="1" ht="24.6" hidden="1" outlineLevel="1" x14ac:dyDescent="0.55000000000000004">
      <c r="A6044" s="27" t="s">
        <v>327</v>
      </c>
      <c r="B6044" s="28"/>
      <c r="C6044" s="27"/>
      <c r="D6044" s="27" t="str">
        <f>"""NAV Direct"",""CRONUS JetCorp USA"",""21"",""1"",""287865"""</f>
        <v>"NAV Direct","CRONUS JetCorp USA","21","1","287865"</v>
      </c>
      <c r="E6044" s="31" t="str">
        <f t="shared" si="1826"/>
        <v>C100513</v>
      </c>
      <c r="F6044" s="31"/>
      <c r="G6044" s="31"/>
      <c r="H6044" s="31"/>
      <c r="I6044" s="56"/>
      <c r="J6044" s="56"/>
      <c r="K6044" s="82" t="str">
        <f t="shared" si="1827"/>
        <v>Invoice</v>
      </c>
      <c r="L6044" s="83" t="str">
        <f>"SI_108844"</f>
        <v>SI_108844</v>
      </c>
      <c r="M6044" s="84">
        <v>43051</v>
      </c>
      <c r="N6044" s="85">
        <f t="shared" si="1828"/>
        <v>761</v>
      </c>
      <c r="O6044" s="86">
        <f t="shared" si="1829"/>
        <v>1512.5</v>
      </c>
      <c r="P6044" s="86">
        <f t="shared" si="1830"/>
        <v>0</v>
      </c>
      <c r="Q6044" s="86">
        <f t="shared" si="1831"/>
        <v>0</v>
      </c>
      <c r="R6044" s="86">
        <f t="shared" si="1832"/>
        <v>0</v>
      </c>
      <c r="S6044" s="86">
        <f t="shared" si="1833"/>
        <v>0</v>
      </c>
      <c r="T6044" s="86">
        <f t="shared" si="1834"/>
        <v>1512.5</v>
      </c>
      <c r="U6044" s="87">
        <v>1512.5</v>
      </c>
    </row>
    <row r="6045" spans="1:22" s="30" customFormat="1" ht="24.6" hidden="1" outlineLevel="1" x14ac:dyDescent="0.55000000000000004">
      <c r="A6045" s="27" t="s">
        <v>327</v>
      </c>
      <c r="B6045" s="28"/>
      <c r="C6045" s="27"/>
      <c r="D6045" s="27" t="str">
        <f>"""NAV Direct"",""CRONUS JetCorp USA"",""21"",""1"",""288196"""</f>
        <v>"NAV Direct","CRONUS JetCorp USA","21","1","288196"</v>
      </c>
      <c r="E6045" s="31">
        <f t="shared" si="1826"/>
        <v>0</v>
      </c>
      <c r="F6045" s="31"/>
      <c r="G6045" s="31"/>
      <c r="H6045" s="31"/>
      <c r="I6045" s="56"/>
      <c r="J6045" s="56"/>
      <c r="K6045" s="82" t="str">
        <f t="shared" si="1827"/>
        <v>Invoice</v>
      </c>
      <c r="L6045" s="83" t="str">
        <f>"SI_108855"</f>
        <v>SI_108855</v>
      </c>
      <c r="M6045" s="84">
        <v>43133</v>
      </c>
      <c r="N6045" s="85">
        <f t="shared" si="1828"/>
        <v>679</v>
      </c>
      <c r="O6045" s="86">
        <f t="shared" si="1829"/>
        <v>1663.65</v>
      </c>
      <c r="P6045" s="86">
        <f t="shared" si="1830"/>
        <v>0</v>
      </c>
      <c r="Q6045" s="86">
        <f t="shared" si="1831"/>
        <v>0</v>
      </c>
      <c r="R6045" s="86">
        <f t="shared" si="1832"/>
        <v>0</v>
      </c>
      <c r="S6045" s="86">
        <f t="shared" si="1833"/>
        <v>0</v>
      </c>
      <c r="T6045" s="86">
        <f t="shared" si="1834"/>
        <v>1663.65</v>
      </c>
      <c r="U6045" s="87">
        <v>1663.65</v>
      </c>
    </row>
    <row r="6046" spans="1:22" s="30" customFormat="1" ht="24.6" hidden="1" outlineLevel="1" x14ac:dyDescent="0.55000000000000004">
      <c r="A6046" s="27" t="s">
        <v>327</v>
      </c>
      <c r="B6046" s="28"/>
      <c r="C6046" s="27"/>
      <c r="D6046" s="27" t="str">
        <f>"""NAV Direct"",""CRONUS JetCorp USA"",""21"",""1"",""289014"""</f>
        <v>"NAV Direct","CRONUS JetCorp USA","21","1","289014"</v>
      </c>
      <c r="E6046" s="31" t="str">
        <f t="shared" si="1826"/>
        <v>C100513</v>
      </c>
      <c r="F6046" s="31"/>
      <c r="G6046" s="31"/>
      <c r="H6046" s="31"/>
      <c r="I6046" s="56"/>
      <c r="J6046" s="56"/>
      <c r="K6046" s="82" t="str">
        <f t="shared" si="1827"/>
        <v>Invoice</v>
      </c>
      <c r="L6046" s="83" t="str">
        <f>"SI_108882"</f>
        <v>SI_108882</v>
      </c>
      <c r="M6046" s="84">
        <v>43167</v>
      </c>
      <c r="N6046" s="85">
        <f t="shared" si="1828"/>
        <v>645</v>
      </c>
      <c r="O6046" s="86">
        <f t="shared" si="1829"/>
        <v>1663.73</v>
      </c>
      <c r="P6046" s="86">
        <f t="shared" si="1830"/>
        <v>0</v>
      </c>
      <c r="Q6046" s="86">
        <f t="shared" si="1831"/>
        <v>0</v>
      </c>
      <c r="R6046" s="86">
        <f t="shared" si="1832"/>
        <v>0</v>
      </c>
      <c r="S6046" s="86">
        <f t="shared" si="1833"/>
        <v>0</v>
      </c>
      <c r="T6046" s="86">
        <f t="shared" si="1834"/>
        <v>1663.73</v>
      </c>
      <c r="U6046" s="87">
        <v>1663.73</v>
      </c>
    </row>
    <row r="6047" spans="1:22" s="30" customFormat="1" ht="24.6" hidden="1" outlineLevel="1" x14ac:dyDescent="0.55000000000000004">
      <c r="A6047" s="27" t="s">
        <v>327</v>
      </c>
      <c r="B6047" s="28"/>
      <c r="C6047" s="27"/>
      <c r="D6047" s="27" t="str">
        <f>"""NAV Direct"",""CRONUS JetCorp USA"",""21"",""1"",""290985"""</f>
        <v>"NAV Direct","CRONUS JetCorp USA","21","1","290985"</v>
      </c>
      <c r="E6047" s="31">
        <f t="shared" si="1826"/>
        <v>0</v>
      </c>
      <c r="F6047" s="31"/>
      <c r="G6047" s="31"/>
      <c r="H6047" s="31"/>
      <c r="I6047" s="56"/>
      <c r="J6047" s="56"/>
      <c r="K6047" s="82" t="str">
        <f t="shared" si="1827"/>
        <v>Invoice</v>
      </c>
      <c r="L6047" s="83" t="str">
        <f>"SI_108948"</f>
        <v>SI_108948</v>
      </c>
      <c r="M6047" s="84">
        <v>43349</v>
      </c>
      <c r="N6047" s="85">
        <f t="shared" si="1828"/>
        <v>463</v>
      </c>
      <c r="O6047" s="86">
        <f t="shared" si="1829"/>
        <v>2012.99</v>
      </c>
      <c r="P6047" s="86">
        <f t="shared" si="1830"/>
        <v>0</v>
      </c>
      <c r="Q6047" s="86">
        <f t="shared" si="1831"/>
        <v>0</v>
      </c>
      <c r="R6047" s="86">
        <f t="shared" si="1832"/>
        <v>0</v>
      </c>
      <c r="S6047" s="86">
        <f t="shared" si="1833"/>
        <v>0</v>
      </c>
      <c r="T6047" s="86">
        <f t="shared" si="1834"/>
        <v>2012.99</v>
      </c>
      <c r="U6047" s="87">
        <v>2012.99</v>
      </c>
    </row>
    <row r="6048" spans="1:22" s="30" customFormat="1" ht="24.6" hidden="1" outlineLevel="1" x14ac:dyDescent="0.55000000000000004">
      <c r="A6048" s="27" t="s">
        <v>327</v>
      </c>
      <c r="B6048" s="28"/>
      <c r="C6048" s="27"/>
      <c r="D6048" s="27" t="str">
        <f>"""NAV Direct"",""CRONUS JetCorp USA"",""21"",""1"",""291591"""</f>
        <v>"NAV Direct","CRONUS JetCorp USA","21","1","291591"</v>
      </c>
      <c r="E6048" s="31" t="str">
        <f t="shared" si="1826"/>
        <v>C100513</v>
      </c>
      <c r="F6048" s="31"/>
      <c r="G6048" s="31"/>
      <c r="H6048" s="31"/>
      <c r="I6048" s="56"/>
      <c r="J6048" s="56"/>
      <c r="K6048" s="82" t="str">
        <f t="shared" si="1827"/>
        <v>Invoice</v>
      </c>
      <c r="L6048" s="83" t="str">
        <f>"SI_108967"</f>
        <v>SI_108967</v>
      </c>
      <c r="M6048" s="84">
        <v>43367</v>
      </c>
      <c r="N6048" s="85">
        <f t="shared" si="1828"/>
        <v>445</v>
      </c>
      <c r="O6048" s="86">
        <f t="shared" si="1829"/>
        <v>2013.11</v>
      </c>
      <c r="P6048" s="86">
        <f t="shared" si="1830"/>
        <v>0</v>
      </c>
      <c r="Q6048" s="86">
        <f t="shared" si="1831"/>
        <v>0</v>
      </c>
      <c r="R6048" s="86">
        <f t="shared" si="1832"/>
        <v>0</v>
      </c>
      <c r="S6048" s="86">
        <f t="shared" si="1833"/>
        <v>0</v>
      </c>
      <c r="T6048" s="86">
        <f t="shared" si="1834"/>
        <v>2013.11</v>
      </c>
      <c r="U6048" s="87">
        <v>2013.11</v>
      </c>
    </row>
    <row r="6049" spans="1:21" s="30" customFormat="1" ht="24.6" hidden="1" outlineLevel="1" x14ac:dyDescent="0.55000000000000004">
      <c r="A6049" s="27" t="s">
        <v>327</v>
      </c>
      <c r="B6049" s="28"/>
      <c r="C6049" s="27"/>
      <c r="D6049" s="27" t="str">
        <f>"""NAV Direct"",""CRONUS JetCorp USA"",""21"",""1"",""292330"""</f>
        <v>"NAV Direct","CRONUS JetCorp USA","21","1","292330"</v>
      </c>
      <c r="E6049" s="31">
        <f t="shared" si="1826"/>
        <v>0</v>
      </c>
      <c r="F6049" s="31"/>
      <c r="G6049" s="31"/>
      <c r="H6049" s="31"/>
      <c r="I6049" s="56"/>
      <c r="J6049" s="56"/>
      <c r="K6049" s="82" t="str">
        <f t="shared" si="1827"/>
        <v>Invoice</v>
      </c>
      <c r="L6049" s="83" t="str">
        <f>"SI_108993"</f>
        <v>SI_108993</v>
      </c>
      <c r="M6049" s="84">
        <v>43424</v>
      </c>
      <c r="N6049" s="85">
        <f t="shared" si="1828"/>
        <v>388</v>
      </c>
      <c r="O6049" s="86">
        <f t="shared" si="1829"/>
        <v>2214.33</v>
      </c>
      <c r="P6049" s="86">
        <f t="shared" si="1830"/>
        <v>0</v>
      </c>
      <c r="Q6049" s="86">
        <f t="shared" si="1831"/>
        <v>0</v>
      </c>
      <c r="R6049" s="86">
        <f t="shared" si="1832"/>
        <v>0</v>
      </c>
      <c r="S6049" s="86">
        <f t="shared" si="1833"/>
        <v>0</v>
      </c>
      <c r="T6049" s="86">
        <f t="shared" si="1834"/>
        <v>2214.33</v>
      </c>
      <c r="U6049" s="87">
        <v>2214.33</v>
      </c>
    </row>
    <row r="6050" spans="1:21" s="30" customFormat="1" ht="24.6" hidden="1" outlineLevel="1" x14ac:dyDescent="0.55000000000000004">
      <c r="A6050" s="27" t="s">
        <v>327</v>
      </c>
      <c r="B6050" s="28"/>
      <c r="C6050" s="27"/>
      <c r="D6050" s="27" t="str">
        <f>"""NAV Direct"",""CRONUS JetCorp USA"",""21"",""1"",""293958"""</f>
        <v>"NAV Direct","CRONUS JetCorp USA","21","1","293958"</v>
      </c>
      <c r="E6050" s="31" t="str">
        <f t="shared" si="1826"/>
        <v>C100513</v>
      </c>
      <c r="F6050" s="31"/>
      <c r="G6050" s="31"/>
      <c r="H6050" s="31"/>
      <c r="I6050" s="56"/>
      <c r="J6050" s="56"/>
      <c r="K6050" s="82" t="str">
        <f t="shared" si="1827"/>
        <v>Invoice</v>
      </c>
      <c r="L6050" s="83" t="str">
        <f>"SI_109048"</f>
        <v>SI_109048</v>
      </c>
      <c r="M6050" s="84">
        <v>43535</v>
      </c>
      <c r="N6050" s="85">
        <f t="shared" si="1828"/>
        <v>277</v>
      </c>
      <c r="O6050" s="86">
        <f t="shared" si="1829"/>
        <v>2435.71</v>
      </c>
      <c r="P6050" s="86">
        <f t="shared" si="1830"/>
        <v>0</v>
      </c>
      <c r="Q6050" s="86">
        <f t="shared" si="1831"/>
        <v>0</v>
      </c>
      <c r="R6050" s="86">
        <f t="shared" si="1832"/>
        <v>0</v>
      </c>
      <c r="S6050" s="86">
        <f t="shared" si="1833"/>
        <v>0</v>
      </c>
      <c r="T6050" s="86">
        <f t="shared" si="1834"/>
        <v>2435.71</v>
      </c>
      <c r="U6050" s="87">
        <v>2435.71</v>
      </c>
    </row>
    <row r="6051" spans="1:21" s="30" customFormat="1" ht="24.6" hidden="1" outlineLevel="1" x14ac:dyDescent="0.55000000000000004">
      <c r="A6051" s="27" t="s">
        <v>327</v>
      </c>
      <c r="B6051" s="28"/>
      <c r="C6051" s="27"/>
      <c r="D6051" s="27" t="str">
        <f>"""NAV Direct"",""CRONUS JetCorp USA"",""21"",""1"",""295331"""</f>
        <v>"NAV Direct","CRONUS JetCorp USA","21","1","295331"</v>
      </c>
      <c r="E6051" s="31">
        <f t="shared" si="1826"/>
        <v>0</v>
      </c>
      <c r="F6051" s="31"/>
      <c r="G6051" s="31"/>
      <c r="H6051" s="31"/>
      <c r="I6051" s="56"/>
      <c r="J6051" s="56"/>
      <c r="K6051" s="82" t="str">
        <f t="shared" si="1827"/>
        <v>Invoice</v>
      </c>
      <c r="L6051" s="83" t="str">
        <f>"SI_109091"</f>
        <v>SI_109091</v>
      </c>
      <c r="M6051" s="84">
        <v>43612</v>
      </c>
      <c r="N6051" s="85">
        <f t="shared" si="1828"/>
        <v>200</v>
      </c>
      <c r="O6051" s="86">
        <f t="shared" si="1829"/>
        <v>2679.46</v>
      </c>
      <c r="P6051" s="86">
        <f t="shared" si="1830"/>
        <v>0</v>
      </c>
      <c r="Q6051" s="86">
        <f t="shared" si="1831"/>
        <v>0</v>
      </c>
      <c r="R6051" s="86">
        <f t="shared" si="1832"/>
        <v>0</v>
      </c>
      <c r="S6051" s="86">
        <f t="shared" si="1833"/>
        <v>0</v>
      </c>
      <c r="T6051" s="86">
        <f t="shared" si="1834"/>
        <v>2679.46</v>
      </c>
      <c r="U6051" s="87">
        <v>2679.46</v>
      </c>
    </row>
    <row r="6052" spans="1:21" s="30" customFormat="1" ht="24.6" hidden="1" outlineLevel="1" x14ac:dyDescent="0.55000000000000004">
      <c r="A6052" s="27" t="s">
        <v>327</v>
      </c>
      <c r="B6052" s="28"/>
      <c r="C6052" s="27"/>
      <c r="D6052" s="27" t="str">
        <f>"""NAV Direct"",""CRONUS JetCorp USA"",""21"",""1"",""295890"""</f>
        <v>"NAV Direct","CRONUS JetCorp USA","21","1","295890"</v>
      </c>
      <c r="E6052" s="31" t="str">
        <f t="shared" si="1826"/>
        <v>C100513</v>
      </c>
      <c r="F6052" s="31"/>
      <c r="G6052" s="31"/>
      <c r="H6052" s="31"/>
      <c r="I6052" s="56"/>
      <c r="J6052" s="56"/>
      <c r="K6052" s="82" t="str">
        <f t="shared" si="1827"/>
        <v>Invoice</v>
      </c>
      <c r="L6052" s="83" t="str">
        <f>"SI_109106"</f>
        <v>SI_109106</v>
      </c>
      <c r="M6052" s="84">
        <v>43621</v>
      </c>
      <c r="N6052" s="85">
        <f t="shared" si="1828"/>
        <v>191</v>
      </c>
      <c r="O6052" s="86">
        <f t="shared" si="1829"/>
        <v>2679.21</v>
      </c>
      <c r="P6052" s="86">
        <f t="shared" si="1830"/>
        <v>0</v>
      </c>
      <c r="Q6052" s="86">
        <f t="shared" si="1831"/>
        <v>0</v>
      </c>
      <c r="R6052" s="86">
        <f t="shared" si="1832"/>
        <v>0</v>
      </c>
      <c r="S6052" s="86">
        <f t="shared" si="1833"/>
        <v>0</v>
      </c>
      <c r="T6052" s="86">
        <f t="shared" si="1834"/>
        <v>2679.21</v>
      </c>
      <c r="U6052" s="87">
        <v>2679.21</v>
      </c>
    </row>
    <row r="6053" spans="1:21" s="30" customFormat="1" ht="24.6" hidden="1" outlineLevel="1" x14ac:dyDescent="0.55000000000000004">
      <c r="A6053" s="27" t="s">
        <v>327</v>
      </c>
      <c r="B6053" s="28"/>
      <c r="C6053" s="27"/>
      <c r="D6053" s="27" t="str">
        <f>"""NAV Direct"",""CRONUS JetCorp USA"",""21"",""1"",""296228"""</f>
        <v>"NAV Direct","CRONUS JetCorp USA","21","1","296228"</v>
      </c>
      <c r="E6053" s="31">
        <f t="shared" si="1826"/>
        <v>0</v>
      </c>
      <c r="F6053" s="31"/>
      <c r="G6053" s="31"/>
      <c r="H6053" s="31"/>
      <c r="I6053" s="56"/>
      <c r="J6053" s="56"/>
      <c r="K6053" s="82" t="str">
        <f t="shared" si="1827"/>
        <v>Invoice</v>
      </c>
      <c r="L6053" s="83" t="str">
        <f>"SI_109117"</f>
        <v>SI_109117</v>
      </c>
      <c r="M6053" s="84">
        <v>43647</v>
      </c>
      <c r="N6053" s="85">
        <f t="shared" si="1828"/>
        <v>165</v>
      </c>
      <c r="O6053" s="86">
        <f t="shared" si="1829"/>
        <v>2679.5</v>
      </c>
      <c r="P6053" s="86">
        <f t="shared" si="1830"/>
        <v>0</v>
      </c>
      <c r="Q6053" s="86">
        <f t="shared" si="1831"/>
        <v>0</v>
      </c>
      <c r="R6053" s="86">
        <f t="shared" si="1832"/>
        <v>0</v>
      </c>
      <c r="S6053" s="86">
        <f t="shared" si="1833"/>
        <v>0</v>
      </c>
      <c r="T6053" s="86">
        <f t="shared" si="1834"/>
        <v>2679.5</v>
      </c>
      <c r="U6053" s="87">
        <v>2679.5</v>
      </c>
    </row>
    <row r="6054" spans="1:21" s="30" customFormat="1" ht="24.6" hidden="1" outlineLevel="1" x14ac:dyDescent="0.55000000000000004">
      <c r="A6054" s="27" t="s">
        <v>327</v>
      </c>
      <c r="B6054" s="28"/>
      <c r="C6054" s="27"/>
      <c r="D6054" s="27" t="str">
        <f>"""NAV Direct"",""CRONUS JetCorp USA"",""21"",""1"",""296455"""</f>
        <v>"NAV Direct","CRONUS JetCorp USA","21","1","296455"</v>
      </c>
      <c r="E6054" s="31" t="str">
        <f t="shared" si="1826"/>
        <v>C100513</v>
      </c>
      <c r="F6054" s="31"/>
      <c r="G6054" s="31"/>
      <c r="H6054" s="31"/>
      <c r="I6054" s="56"/>
      <c r="J6054" s="56"/>
      <c r="K6054" s="82" t="str">
        <f t="shared" si="1827"/>
        <v>Invoice</v>
      </c>
      <c r="L6054" s="83" t="str">
        <f>"SI_109125"</f>
        <v>SI_109125</v>
      </c>
      <c r="M6054" s="84">
        <v>43686</v>
      </c>
      <c r="N6054" s="85">
        <f t="shared" si="1828"/>
        <v>126</v>
      </c>
      <c r="O6054" s="86">
        <f t="shared" si="1829"/>
        <v>2947.36</v>
      </c>
      <c r="P6054" s="86">
        <f t="shared" si="1830"/>
        <v>0</v>
      </c>
      <c r="Q6054" s="86">
        <f t="shared" si="1831"/>
        <v>0</v>
      </c>
      <c r="R6054" s="86">
        <f t="shared" si="1832"/>
        <v>0</v>
      </c>
      <c r="S6054" s="86">
        <f t="shared" si="1833"/>
        <v>0</v>
      </c>
      <c r="T6054" s="86">
        <f t="shared" si="1834"/>
        <v>2947.36</v>
      </c>
      <c r="U6054" s="87">
        <v>2947.36</v>
      </c>
    </row>
    <row r="6055" spans="1:21" s="30" customFormat="1" ht="24.6" hidden="1" outlineLevel="1" x14ac:dyDescent="0.55000000000000004">
      <c r="A6055" s="27" t="s">
        <v>327</v>
      </c>
      <c r="B6055" s="28"/>
      <c r="C6055" s="27"/>
      <c r="D6055" s="27" t="str">
        <f>"""NAV Direct"",""CRONUS JetCorp USA"",""21"",""1"",""296583"""</f>
        <v>"NAV Direct","CRONUS JetCorp USA","21","1","296583"</v>
      </c>
      <c r="E6055" s="31">
        <f t="shared" si="1826"/>
        <v>0</v>
      </c>
      <c r="F6055" s="31"/>
      <c r="G6055" s="31"/>
      <c r="H6055" s="31"/>
      <c r="I6055" s="56"/>
      <c r="J6055" s="56"/>
      <c r="K6055" s="82" t="str">
        <f t="shared" si="1827"/>
        <v>Invoice</v>
      </c>
      <c r="L6055" s="83" t="str">
        <f>"SI_109129"</f>
        <v>SI_109129</v>
      </c>
      <c r="M6055" s="84">
        <v>43683</v>
      </c>
      <c r="N6055" s="85">
        <f t="shared" si="1828"/>
        <v>129</v>
      </c>
      <c r="O6055" s="86">
        <f t="shared" si="1829"/>
        <v>2947.26</v>
      </c>
      <c r="P6055" s="86">
        <f t="shared" si="1830"/>
        <v>0</v>
      </c>
      <c r="Q6055" s="86">
        <f t="shared" si="1831"/>
        <v>0</v>
      </c>
      <c r="R6055" s="86">
        <f t="shared" si="1832"/>
        <v>0</v>
      </c>
      <c r="S6055" s="86">
        <f t="shared" si="1833"/>
        <v>0</v>
      </c>
      <c r="T6055" s="86">
        <f t="shared" si="1834"/>
        <v>2947.26</v>
      </c>
      <c r="U6055" s="87">
        <v>2947.26</v>
      </c>
    </row>
    <row r="6056" spans="1:21" s="30" customFormat="1" ht="24.6" hidden="1" outlineLevel="1" x14ac:dyDescent="0.55000000000000004">
      <c r="A6056" s="27" t="s">
        <v>327</v>
      </c>
      <c r="B6056" s="28"/>
      <c r="C6056" s="27"/>
      <c r="D6056" s="27" t="str">
        <f>"""NAV Direct"",""CRONUS JetCorp USA"",""21"",""1"",""296770"""</f>
        <v>"NAV Direct","CRONUS JetCorp USA","21","1","296770"</v>
      </c>
      <c r="E6056" s="31" t="str">
        <f t="shared" si="1826"/>
        <v>C100513</v>
      </c>
      <c r="F6056" s="31"/>
      <c r="G6056" s="31"/>
      <c r="H6056" s="31"/>
      <c r="I6056" s="56"/>
      <c r="J6056" s="56"/>
      <c r="K6056" s="82" t="str">
        <f t="shared" si="1827"/>
        <v>Invoice</v>
      </c>
      <c r="L6056" s="83" t="str">
        <f>"SI_109134"</f>
        <v>SI_109134</v>
      </c>
      <c r="M6056" s="84">
        <v>43694</v>
      </c>
      <c r="N6056" s="85">
        <f t="shared" si="1828"/>
        <v>118</v>
      </c>
      <c r="O6056" s="86">
        <f t="shared" si="1829"/>
        <v>2947.42</v>
      </c>
      <c r="P6056" s="86">
        <f t="shared" si="1830"/>
        <v>0</v>
      </c>
      <c r="Q6056" s="86">
        <f t="shared" si="1831"/>
        <v>0</v>
      </c>
      <c r="R6056" s="86">
        <f t="shared" si="1832"/>
        <v>0</v>
      </c>
      <c r="S6056" s="86">
        <f t="shared" si="1833"/>
        <v>0</v>
      </c>
      <c r="T6056" s="86">
        <f t="shared" si="1834"/>
        <v>2947.42</v>
      </c>
      <c r="U6056" s="87">
        <v>2947.42</v>
      </c>
    </row>
    <row r="6057" spans="1:21" s="30" customFormat="1" ht="24.6" hidden="1" outlineLevel="1" x14ac:dyDescent="0.55000000000000004">
      <c r="A6057" s="27" t="s">
        <v>327</v>
      </c>
      <c r="B6057" s="28"/>
      <c r="C6057" s="27"/>
      <c r="D6057" s="27" t="str">
        <f>"""NAV Direct"",""CRONUS JetCorp USA"",""21"",""1"",""297510"""</f>
        <v>"NAV Direct","CRONUS JetCorp USA","21","1","297510"</v>
      </c>
      <c r="E6057" s="31">
        <f t="shared" si="1826"/>
        <v>0</v>
      </c>
      <c r="F6057" s="31"/>
      <c r="G6057" s="31"/>
      <c r="H6057" s="31"/>
      <c r="I6057" s="56"/>
      <c r="J6057" s="56"/>
      <c r="K6057" s="82" t="str">
        <f t="shared" si="1827"/>
        <v>Invoice</v>
      </c>
      <c r="L6057" s="83" t="str">
        <f>"SI_109158"</f>
        <v>SI_109158</v>
      </c>
      <c r="M6057" s="84">
        <v>43727</v>
      </c>
      <c r="N6057" s="85">
        <f t="shared" si="1828"/>
        <v>85</v>
      </c>
      <c r="O6057" s="86">
        <f t="shared" si="1829"/>
        <v>2947.36</v>
      </c>
      <c r="P6057" s="86">
        <f t="shared" si="1830"/>
        <v>0</v>
      </c>
      <c r="Q6057" s="86">
        <f t="shared" si="1831"/>
        <v>0</v>
      </c>
      <c r="R6057" s="86">
        <f t="shared" si="1832"/>
        <v>0</v>
      </c>
      <c r="S6057" s="86">
        <f t="shared" si="1833"/>
        <v>2947.36</v>
      </c>
      <c r="T6057" s="86">
        <f t="shared" si="1834"/>
        <v>0</v>
      </c>
      <c r="U6057" s="87">
        <v>2947.36</v>
      </c>
    </row>
    <row r="6058" spans="1:21" s="30" customFormat="1" ht="24.6" hidden="1" outlineLevel="1" x14ac:dyDescent="0.55000000000000004">
      <c r="A6058" s="27" t="s">
        <v>327</v>
      </c>
      <c r="B6058" s="28"/>
      <c r="C6058" s="27"/>
      <c r="D6058" s="27" t="str">
        <f>"""NAV Direct"",""CRONUS JetCorp USA"",""21"",""1"",""298745"""</f>
        <v>"NAV Direct","CRONUS JetCorp USA","21","1","298745"</v>
      </c>
      <c r="E6058" s="31" t="str">
        <f t="shared" si="1826"/>
        <v>C100513</v>
      </c>
      <c r="F6058" s="31"/>
      <c r="G6058" s="31"/>
      <c r="H6058" s="31"/>
      <c r="I6058" s="56"/>
      <c r="J6058" s="56"/>
      <c r="K6058" s="82" t="str">
        <f t="shared" si="1827"/>
        <v>Invoice</v>
      </c>
      <c r="L6058" s="83" t="str">
        <f>"SI_109196"</f>
        <v>SI_109196</v>
      </c>
      <c r="M6058" s="84">
        <v>43799</v>
      </c>
      <c r="N6058" s="85">
        <f t="shared" si="1828"/>
        <v>13</v>
      </c>
      <c r="O6058" s="86">
        <f t="shared" si="1829"/>
        <v>3242.1600000000003</v>
      </c>
      <c r="P6058" s="86">
        <f t="shared" si="1830"/>
        <v>0</v>
      </c>
      <c r="Q6058" s="86">
        <f t="shared" si="1831"/>
        <v>3242.1600000000003</v>
      </c>
      <c r="R6058" s="86">
        <f t="shared" si="1832"/>
        <v>0</v>
      </c>
      <c r="S6058" s="86">
        <f t="shared" si="1833"/>
        <v>0</v>
      </c>
      <c r="T6058" s="86">
        <f t="shared" si="1834"/>
        <v>0</v>
      </c>
      <c r="U6058" s="87">
        <v>3242.1600000000003</v>
      </c>
    </row>
    <row r="6059" spans="1:21" s="30" customFormat="1" ht="24.6" hidden="1" outlineLevel="1" x14ac:dyDescent="0.55000000000000004">
      <c r="A6059" s="27" t="s">
        <v>327</v>
      </c>
      <c r="B6059" s="28"/>
      <c r="C6059" s="27"/>
      <c r="D6059" s="27" t="str">
        <f>"""NAV Direct"",""CRONUS JetCorp USA"",""21"",""1"",""299370"""</f>
        <v>"NAV Direct","CRONUS JetCorp USA","21","1","299370"</v>
      </c>
      <c r="E6059" s="31">
        <f t="shared" si="1826"/>
        <v>0</v>
      </c>
      <c r="F6059" s="31"/>
      <c r="G6059" s="31"/>
      <c r="H6059" s="31"/>
      <c r="I6059" s="56"/>
      <c r="J6059" s="56"/>
      <c r="K6059" s="82" t="str">
        <f t="shared" si="1827"/>
        <v>Invoice</v>
      </c>
      <c r="L6059" s="83" t="str">
        <f>"SI_109214"</f>
        <v>SI_109214</v>
      </c>
      <c r="M6059" s="84">
        <v>43815</v>
      </c>
      <c r="N6059" s="85">
        <f t="shared" si="1828"/>
        <v>-3</v>
      </c>
      <c r="O6059" s="86">
        <f t="shared" si="1829"/>
        <v>3242.18</v>
      </c>
      <c r="P6059" s="86">
        <f t="shared" si="1830"/>
        <v>3242.18</v>
      </c>
      <c r="Q6059" s="86">
        <f t="shared" si="1831"/>
        <v>0</v>
      </c>
      <c r="R6059" s="86">
        <f t="shared" si="1832"/>
        <v>0</v>
      </c>
      <c r="S6059" s="86">
        <f t="shared" si="1833"/>
        <v>0</v>
      </c>
      <c r="T6059" s="86">
        <f t="shared" si="1834"/>
        <v>0</v>
      </c>
      <c r="U6059" s="87">
        <v>3242.18</v>
      </c>
    </row>
    <row r="6060" spans="1:21" s="30" customFormat="1" ht="24.6" hidden="1" outlineLevel="1" x14ac:dyDescent="0.55000000000000004">
      <c r="A6060" s="27" t="s">
        <v>327</v>
      </c>
      <c r="B6060" s="28"/>
      <c r="C6060" s="27"/>
      <c r="D6060" s="27" t="str">
        <f>"""NAV Direct"",""CRONUS JetCorp USA"",""21"",""1"",""299523"""</f>
        <v>"NAV Direct","CRONUS JetCorp USA","21","1","299523"</v>
      </c>
      <c r="E6060" s="31" t="str">
        <f t="shared" si="1826"/>
        <v>C100513</v>
      </c>
      <c r="F6060" s="31"/>
      <c r="G6060" s="31"/>
      <c r="H6060" s="31"/>
      <c r="I6060" s="56"/>
      <c r="J6060" s="56"/>
      <c r="K6060" s="82" t="str">
        <f t="shared" si="1827"/>
        <v>Invoice</v>
      </c>
      <c r="L6060" s="83" t="str">
        <f>"SI_109219"</f>
        <v>SI_109219</v>
      </c>
      <c r="M6060" s="84">
        <v>43820</v>
      </c>
      <c r="N6060" s="85">
        <f t="shared" si="1828"/>
        <v>-8</v>
      </c>
      <c r="O6060" s="86">
        <f t="shared" si="1829"/>
        <v>3242.0499999999997</v>
      </c>
      <c r="P6060" s="86">
        <f t="shared" si="1830"/>
        <v>3242.0499999999997</v>
      </c>
      <c r="Q6060" s="86">
        <f t="shared" si="1831"/>
        <v>0</v>
      </c>
      <c r="R6060" s="86">
        <f t="shared" si="1832"/>
        <v>0</v>
      </c>
      <c r="S6060" s="86">
        <f t="shared" si="1833"/>
        <v>0</v>
      </c>
      <c r="T6060" s="86">
        <f t="shared" si="1834"/>
        <v>0</v>
      </c>
      <c r="U6060" s="87">
        <v>3242.0499999999997</v>
      </c>
    </row>
    <row r="6061" spans="1:21" s="30" customFormat="1" ht="24.6" hidden="1" outlineLevel="1" x14ac:dyDescent="0.55000000000000004">
      <c r="A6061" s="27" t="s">
        <v>327</v>
      </c>
      <c r="B6061" s="28"/>
      <c r="C6061" s="27"/>
      <c r="D6061" s="27" t="str">
        <f>"""NAV Direct"",""CRONUS JetCorp USA"",""21"",""1"",""302273"""</f>
        <v>"NAV Direct","CRONUS JetCorp USA","21","1","302273"</v>
      </c>
      <c r="E6061" s="31">
        <f t="shared" si="1826"/>
        <v>0</v>
      </c>
      <c r="F6061" s="31"/>
      <c r="G6061" s="31"/>
      <c r="H6061" s="31"/>
      <c r="I6061" s="56"/>
      <c r="J6061" s="56"/>
      <c r="K6061" s="82" t="str">
        <f t="shared" si="1827"/>
        <v>Invoice</v>
      </c>
      <c r="L6061" s="83" t="str">
        <f>"SI_109298"</f>
        <v>SI_109298</v>
      </c>
      <c r="M6061" s="84">
        <v>42145</v>
      </c>
      <c r="N6061" s="85">
        <f t="shared" si="1828"/>
        <v>1667</v>
      </c>
      <c r="O6061" s="86">
        <f t="shared" si="1829"/>
        <v>3923.0699999999997</v>
      </c>
      <c r="P6061" s="86">
        <f t="shared" si="1830"/>
        <v>0</v>
      </c>
      <c r="Q6061" s="86">
        <f t="shared" si="1831"/>
        <v>0</v>
      </c>
      <c r="R6061" s="86">
        <f t="shared" si="1832"/>
        <v>0</v>
      </c>
      <c r="S6061" s="86">
        <f t="shared" si="1833"/>
        <v>0</v>
      </c>
      <c r="T6061" s="86">
        <f t="shared" si="1834"/>
        <v>3923.0699999999997</v>
      </c>
      <c r="U6061" s="87">
        <v>3923.0699999999997</v>
      </c>
    </row>
    <row r="6062" spans="1:21" s="30" customFormat="1" ht="24.6" hidden="1" outlineLevel="1" x14ac:dyDescent="0.55000000000000004">
      <c r="A6062" s="27" t="s">
        <v>327</v>
      </c>
      <c r="B6062" s="28"/>
      <c r="C6062" s="27"/>
      <c r="D6062" s="27" t="str">
        <f>"""NAV Direct"",""CRONUS JetCorp USA"",""21"",""1"",""302608"""</f>
        <v>"NAV Direct","CRONUS JetCorp USA","21","1","302608"</v>
      </c>
      <c r="E6062" s="31" t="str">
        <f t="shared" si="1826"/>
        <v>C100513</v>
      </c>
      <c r="F6062" s="31"/>
      <c r="G6062" s="31"/>
      <c r="H6062" s="31"/>
      <c r="I6062" s="56"/>
      <c r="J6062" s="56"/>
      <c r="K6062" s="82" t="str">
        <f t="shared" si="1827"/>
        <v>Invoice</v>
      </c>
      <c r="L6062" s="83" t="str">
        <f>"SI_109308"</f>
        <v>SI_109308</v>
      </c>
      <c r="M6062" s="84">
        <v>42147</v>
      </c>
      <c r="N6062" s="85">
        <f t="shared" si="1828"/>
        <v>1665</v>
      </c>
      <c r="O6062" s="86">
        <f t="shared" si="1829"/>
        <v>3923.0099999999998</v>
      </c>
      <c r="P6062" s="86">
        <f t="shared" si="1830"/>
        <v>0</v>
      </c>
      <c r="Q6062" s="86">
        <f t="shared" si="1831"/>
        <v>0</v>
      </c>
      <c r="R6062" s="86">
        <f t="shared" si="1832"/>
        <v>0</v>
      </c>
      <c r="S6062" s="86">
        <f t="shared" si="1833"/>
        <v>0</v>
      </c>
      <c r="T6062" s="86">
        <f t="shared" si="1834"/>
        <v>3923.0099999999998</v>
      </c>
      <c r="U6062" s="87">
        <v>3923.0099999999998</v>
      </c>
    </row>
    <row r="6063" spans="1:21" s="30" customFormat="1" ht="24.6" hidden="1" outlineLevel="1" x14ac:dyDescent="0.55000000000000004">
      <c r="A6063" s="27" t="s">
        <v>327</v>
      </c>
      <c r="B6063" s="28"/>
      <c r="C6063" s="27"/>
      <c r="D6063" s="27" t="str">
        <f>"""NAV Direct"",""CRONUS JetCorp USA"",""21"",""1"",""303655"""</f>
        <v>"NAV Direct","CRONUS JetCorp USA","21","1","303655"</v>
      </c>
      <c r="E6063" s="31">
        <f t="shared" si="1826"/>
        <v>0</v>
      </c>
      <c r="F6063" s="31"/>
      <c r="G6063" s="31"/>
      <c r="H6063" s="31"/>
      <c r="I6063" s="56"/>
      <c r="J6063" s="56"/>
      <c r="K6063" s="82" t="str">
        <f t="shared" si="1827"/>
        <v>Invoice</v>
      </c>
      <c r="L6063" s="83" t="str">
        <f>"SI_109339"</f>
        <v>SI_109339</v>
      </c>
      <c r="M6063" s="84">
        <v>42182</v>
      </c>
      <c r="N6063" s="85">
        <f t="shared" si="1828"/>
        <v>1630</v>
      </c>
      <c r="O6063" s="86">
        <f t="shared" si="1829"/>
        <v>3922.91</v>
      </c>
      <c r="P6063" s="86">
        <f t="shared" si="1830"/>
        <v>0</v>
      </c>
      <c r="Q6063" s="86">
        <f t="shared" si="1831"/>
        <v>0</v>
      </c>
      <c r="R6063" s="86">
        <f t="shared" si="1832"/>
        <v>0</v>
      </c>
      <c r="S6063" s="86">
        <f t="shared" si="1833"/>
        <v>0</v>
      </c>
      <c r="T6063" s="86">
        <f t="shared" si="1834"/>
        <v>3922.91</v>
      </c>
      <c r="U6063" s="87">
        <v>3922.91</v>
      </c>
    </row>
    <row r="6064" spans="1:21" s="22" customFormat="1" ht="20.399999999999999" collapsed="1" x14ac:dyDescent="0.45">
      <c r="A6064" s="12" t="s">
        <v>327</v>
      </c>
      <c r="B6064" s="19"/>
      <c r="C6064" s="12"/>
      <c r="D6064" s="12"/>
      <c r="E6064" s="23"/>
      <c r="F6064" s="23"/>
      <c r="G6064" s="23"/>
      <c r="H6064" s="23"/>
      <c r="I6064" s="49"/>
      <c r="J6064" s="88"/>
      <c r="K6064" s="88"/>
      <c r="L6064" s="89"/>
      <c r="M6064" s="89"/>
      <c r="N6064" s="89"/>
      <c r="O6064" s="89"/>
      <c r="P6064" s="89"/>
      <c r="Q6064" s="90"/>
      <c r="R6064" s="90"/>
      <c r="S6064" s="91"/>
      <c r="T6064" s="92"/>
      <c r="U6064" s="92"/>
    </row>
    <row r="6065" spans="1:22" s="22" customFormat="1" ht="20.399999999999999" x14ac:dyDescent="0.45">
      <c r="A6065" s="12" t="s">
        <v>327</v>
      </c>
      <c r="B6065" s="19"/>
      <c r="C6065" s="12"/>
      <c r="D6065" s="12"/>
      <c r="E6065" s="23"/>
      <c r="F6065" s="23"/>
      <c r="G6065" s="23"/>
      <c r="H6065" s="23"/>
      <c r="I6065" s="49"/>
      <c r="J6065" s="88"/>
      <c r="K6065" s="88"/>
      <c r="L6065" s="89"/>
      <c r="M6065" s="89"/>
      <c r="N6065" s="89"/>
      <c r="O6065" s="89"/>
      <c r="P6065" s="89"/>
      <c r="Q6065" s="90"/>
      <c r="R6065" s="90"/>
      <c r="S6065" s="91"/>
      <c r="T6065" s="92"/>
      <c r="U6065" s="92"/>
    </row>
    <row r="6066" spans="1:22" s="26" customFormat="1" ht="24.6" x14ac:dyDescent="0.55000000000000004">
      <c r="A6066" s="27" t="s">
        <v>327</v>
      </c>
      <c r="B6066" s="28"/>
      <c r="C6066" s="27" t="str">
        <f>"""NAV Direct"",""CRONUS JetCorp USA"",""18"",""1"",""C100514"""</f>
        <v>"NAV Direct","CRONUS JetCorp USA","18","1","C100514"</v>
      </c>
      <c r="D6066" s="27"/>
      <c r="E6066" s="28" t="str">
        <f>H6066</f>
        <v>C100514</v>
      </c>
      <c r="F6066" s="28"/>
      <c r="G6066" s="28"/>
      <c r="H6066" s="28" t="str">
        <f>"C100514"</f>
        <v>C100514</v>
      </c>
      <c r="I6066" s="116" t="str">
        <f>"C100514  -  Wonder Trophy"</f>
        <v>C100514  -  Wonder Trophy</v>
      </c>
      <c r="J6066" s="117" t="str">
        <f>""</f>
        <v/>
      </c>
      <c r="K6066" s="118"/>
      <c r="L6066" s="119">
        <f>SUBTOTAL(3,L6067:L6094)</f>
        <v>24</v>
      </c>
      <c r="M6066" s="118"/>
      <c r="N6066" s="118"/>
      <c r="O6066" s="120">
        <f t="shared" ref="O6066:T6066" si="1835">SUBTOTAL(9,O6067:O6094)</f>
        <v>49147.880000000005</v>
      </c>
      <c r="P6066" s="120">
        <f t="shared" si="1835"/>
        <v>3242.1000000000004</v>
      </c>
      <c r="Q6066" s="120">
        <f t="shared" si="1835"/>
        <v>3241.99</v>
      </c>
      <c r="R6066" s="120">
        <f t="shared" si="1835"/>
        <v>3242.2200000000003</v>
      </c>
      <c r="S6066" s="120">
        <f t="shared" si="1835"/>
        <v>0</v>
      </c>
      <c r="T6066" s="120">
        <f t="shared" si="1835"/>
        <v>39421.57</v>
      </c>
      <c r="U6066" s="81"/>
    </row>
    <row r="6067" spans="1:22" s="26" customFormat="1" ht="24.6" x14ac:dyDescent="0.55000000000000004">
      <c r="A6067" s="27" t="s">
        <v>327</v>
      </c>
      <c r="B6067" s="28"/>
      <c r="C6067" s="27" t="str">
        <f>C6066</f>
        <v>"NAV Direct","CRONUS JetCorp USA","18","1","C100514"</v>
      </c>
      <c r="D6067" s="27"/>
      <c r="E6067" s="28" t="str">
        <f>E6066</f>
        <v>C100514</v>
      </c>
      <c r="F6067" s="28"/>
      <c r="G6067" s="28"/>
      <c r="H6067" s="28"/>
      <c r="I6067" s="121" t="str">
        <f>"Contact: Billy Bob Horton"</f>
        <v>Contact: Billy Bob Horton</v>
      </c>
      <c r="J6067" s="121"/>
      <c r="K6067" s="122"/>
      <c r="L6067" s="123"/>
      <c r="M6067" s="123"/>
      <c r="N6067" s="124"/>
      <c r="O6067" s="124"/>
      <c r="P6067" s="123"/>
      <c r="Q6067" s="125"/>
      <c r="R6067" s="126"/>
      <c r="S6067" s="126"/>
      <c r="T6067" s="125"/>
      <c r="U6067" s="81"/>
    </row>
    <row r="6068" spans="1:22" s="26" customFormat="1" ht="24.6" x14ac:dyDescent="0.55000000000000004">
      <c r="A6068" s="27" t="s">
        <v>327</v>
      </c>
      <c r="B6068" s="28"/>
      <c r="C6068" s="27" t="str">
        <f>C6067</f>
        <v>"NAV Direct","CRONUS JetCorp USA","18","1","C100514"</v>
      </c>
      <c r="D6068" s="27"/>
      <c r="E6068" s="28" t="str">
        <f>E6067</f>
        <v>C100514</v>
      </c>
      <c r="F6068" s="28"/>
      <c r="G6068" s="28"/>
      <c r="H6068" s="28"/>
      <c r="I6068" s="121" t="str">
        <f>"Wonder Trophy@cronuscorp.net"</f>
        <v>Wonder Trophy@cronuscorp.net</v>
      </c>
      <c r="J6068" s="121"/>
      <c r="K6068" s="122"/>
      <c r="L6068" s="124"/>
      <c r="M6068" s="124"/>
      <c r="N6068" s="124"/>
      <c r="O6068" s="124"/>
      <c r="P6068" s="123"/>
      <c r="Q6068" s="125"/>
      <c r="R6068" s="126"/>
      <c r="S6068" s="126"/>
      <c r="T6068" s="125"/>
      <c r="U6068" s="81"/>
    </row>
    <row r="6069" spans="1:22" ht="12.75" hidden="1" customHeight="1" outlineLevel="1" x14ac:dyDescent="0.45">
      <c r="A6069" s="12" t="s">
        <v>328</v>
      </c>
      <c r="B6069" s="19"/>
      <c r="E6069" s="19"/>
      <c r="F6069" s="19"/>
      <c r="G6069" s="19"/>
      <c r="H6069" s="19"/>
      <c r="I6069" s="61"/>
      <c r="J6069" s="61"/>
      <c r="K6069" s="61"/>
      <c r="L6069" s="61"/>
      <c r="M6069" s="61"/>
      <c r="N6069" s="61"/>
      <c r="O6069" s="61"/>
      <c r="P6069" s="61"/>
      <c r="Q6069" s="61"/>
      <c r="R6069" s="61"/>
      <c r="S6069" s="61"/>
      <c r="T6069" s="61"/>
      <c r="U6069" s="61"/>
      <c r="V6069" s="21"/>
    </row>
    <row r="6070" spans="1:22" s="30" customFormat="1" ht="24.6" hidden="1" outlineLevel="1" x14ac:dyDescent="0.55000000000000004">
      <c r="A6070" s="27" t="s">
        <v>327</v>
      </c>
      <c r="B6070" s="28"/>
      <c r="C6070" s="27"/>
      <c r="D6070" s="27" t="str">
        <f>"""NAV Direct"",""CRONUS JetCorp USA"",""21"",""1"",""281047"""</f>
        <v>"NAV Direct","CRONUS JetCorp USA","21","1","281047"</v>
      </c>
      <c r="E6070" s="31" t="str">
        <f t="shared" ref="E6070:E6093" si="1836">E6068</f>
        <v>C100514</v>
      </c>
      <c r="F6070" s="31"/>
      <c r="G6070" s="31"/>
      <c r="H6070" s="31"/>
      <c r="I6070" s="56"/>
      <c r="J6070" s="56"/>
      <c r="K6070" s="82" t="str">
        <f t="shared" ref="K6070:K6093" si="1837">"Invoice"</f>
        <v>Invoice</v>
      </c>
      <c r="L6070" s="83" t="str">
        <f>"SI_108593"</f>
        <v>SI_108593</v>
      </c>
      <c r="M6070" s="84">
        <v>43562</v>
      </c>
      <c r="N6070" s="85">
        <f t="shared" ref="N6070:N6093" si="1838">StartDate-$M6070+1</f>
        <v>250</v>
      </c>
      <c r="O6070" s="86">
        <f t="shared" ref="O6070:O6093" si="1839">SUM(P6070:T6070)</f>
        <v>587.94000000000005</v>
      </c>
      <c r="P6070" s="86">
        <f t="shared" ref="P6070:P6093" si="1840">IF($M6070&gt;=$P$18,U6070,0)</f>
        <v>0</v>
      </c>
      <c r="Q6070" s="86">
        <f t="shared" ref="Q6070:Q6093" si="1841">IF(AND($M6070&gt;=$Q$16,$M6070&lt;=$Q$18),U6070,0)</f>
        <v>0</v>
      </c>
      <c r="R6070" s="86">
        <f t="shared" ref="R6070:R6093" si="1842">IF(AND($M6070&gt;=$R$16,$M6070&lt;=$R$18),U6070,0)</f>
        <v>0</v>
      </c>
      <c r="S6070" s="86">
        <f t="shared" ref="S6070:S6093" si="1843">IF(AND($M6070&gt;=$S$16,$M6070&lt;=$S$18),U6070,0)</f>
        <v>0</v>
      </c>
      <c r="T6070" s="86">
        <f t="shared" ref="T6070:T6093" si="1844">IF($M6070&lt;=$T$18,U6070,0)</f>
        <v>587.94000000000005</v>
      </c>
      <c r="U6070" s="87">
        <v>587.94000000000005</v>
      </c>
    </row>
    <row r="6071" spans="1:22" s="30" customFormat="1" ht="24.6" hidden="1" outlineLevel="1" x14ac:dyDescent="0.55000000000000004">
      <c r="A6071" s="27" t="s">
        <v>327</v>
      </c>
      <c r="B6071" s="28"/>
      <c r="C6071" s="27"/>
      <c r="D6071" s="27" t="str">
        <f>"""NAV Direct"",""CRONUS JetCorp USA"",""21"",""1"",""282167"""</f>
        <v>"NAV Direct","CRONUS JetCorp USA","21","1","282167"</v>
      </c>
      <c r="E6071" s="31">
        <f t="shared" si="1836"/>
        <v>0</v>
      </c>
      <c r="F6071" s="31"/>
      <c r="G6071" s="31"/>
      <c r="H6071" s="31"/>
      <c r="I6071" s="56"/>
      <c r="J6071" s="56"/>
      <c r="K6071" s="82" t="str">
        <f t="shared" si="1837"/>
        <v>Invoice</v>
      </c>
      <c r="L6071" s="83" t="str">
        <f>"SI_108638"</f>
        <v>SI_108638</v>
      </c>
      <c r="M6071" s="84">
        <v>42021</v>
      </c>
      <c r="N6071" s="85">
        <f t="shared" si="1838"/>
        <v>1791</v>
      </c>
      <c r="O6071" s="86">
        <f t="shared" si="1839"/>
        <v>776.11</v>
      </c>
      <c r="P6071" s="86">
        <f t="shared" si="1840"/>
        <v>0</v>
      </c>
      <c r="Q6071" s="86">
        <f t="shared" si="1841"/>
        <v>0</v>
      </c>
      <c r="R6071" s="86">
        <f t="shared" si="1842"/>
        <v>0</v>
      </c>
      <c r="S6071" s="86">
        <f t="shared" si="1843"/>
        <v>0</v>
      </c>
      <c r="T6071" s="86">
        <f t="shared" si="1844"/>
        <v>776.11</v>
      </c>
      <c r="U6071" s="87">
        <v>776.11</v>
      </c>
    </row>
    <row r="6072" spans="1:22" s="30" customFormat="1" ht="24.6" hidden="1" outlineLevel="1" x14ac:dyDescent="0.55000000000000004">
      <c r="A6072" s="27" t="s">
        <v>327</v>
      </c>
      <c r="B6072" s="28"/>
      <c r="C6072" s="27"/>
      <c r="D6072" s="27" t="str">
        <f>"""NAV Direct"",""CRONUS JetCorp USA"",""21"",""1"",""282941"""</f>
        <v>"NAV Direct","CRONUS JetCorp USA","21","1","282941"</v>
      </c>
      <c r="E6072" s="31" t="str">
        <f t="shared" si="1836"/>
        <v>C100514</v>
      </c>
      <c r="F6072" s="31"/>
      <c r="G6072" s="31"/>
      <c r="H6072" s="31"/>
      <c r="I6072" s="56"/>
      <c r="J6072" s="56"/>
      <c r="K6072" s="82" t="str">
        <f t="shared" si="1837"/>
        <v>Invoice</v>
      </c>
      <c r="L6072" s="83" t="str">
        <f>"SI_108667"</f>
        <v>SI_108667</v>
      </c>
      <c r="M6072" s="84">
        <v>42119</v>
      </c>
      <c r="N6072" s="85">
        <f t="shared" si="1838"/>
        <v>1693</v>
      </c>
      <c r="O6072" s="86">
        <f t="shared" si="1839"/>
        <v>853.74</v>
      </c>
      <c r="P6072" s="86">
        <f t="shared" si="1840"/>
        <v>0</v>
      </c>
      <c r="Q6072" s="86">
        <f t="shared" si="1841"/>
        <v>0</v>
      </c>
      <c r="R6072" s="86">
        <f t="shared" si="1842"/>
        <v>0</v>
      </c>
      <c r="S6072" s="86">
        <f t="shared" si="1843"/>
        <v>0</v>
      </c>
      <c r="T6072" s="86">
        <f t="shared" si="1844"/>
        <v>853.74</v>
      </c>
      <c r="U6072" s="87">
        <v>853.74</v>
      </c>
    </row>
    <row r="6073" spans="1:22" s="30" customFormat="1" ht="24.6" hidden="1" outlineLevel="1" x14ac:dyDescent="0.55000000000000004">
      <c r="A6073" s="27" t="s">
        <v>327</v>
      </c>
      <c r="B6073" s="28"/>
      <c r="C6073" s="27"/>
      <c r="D6073" s="27" t="str">
        <f>"""NAV Direct"",""CRONUS JetCorp USA"",""21"",""1"",""283850"""</f>
        <v>"NAV Direct","CRONUS JetCorp USA","21","1","283850"</v>
      </c>
      <c r="E6073" s="31">
        <f t="shared" si="1836"/>
        <v>0</v>
      </c>
      <c r="F6073" s="31"/>
      <c r="G6073" s="31"/>
      <c r="H6073" s="31"/>
      <c r="I6073" s="56"/>
      <c r="J6073" s="56"/>
      <c r="K6073" s="82" t="str">
        <f t="shared" si="1837"/>
        <v>Invoice</v>
      </c>
      <c r="L6073" s="83" t="str">
        <f>"SI_108702"</f>
        <v>SI_108702</v>
      </c>
      <c r="M6073" s="84">
        <v>42318</v>
      </c>
      <c r="N6073" s="85">
        <f t="shared" si="1838"/>
        <v>1494</v>
      </c>
      <c r="O6073" s="86">
        <f t="shared" si="1839"/>
        <v>1032.8500000000001</v>
      </c>
      <c r="P6073" s="86">
        <f t="shared" si="1840"/>
        <v>0</v>
      </c>
      <c r="Q6073" s="86">
        <f t="shared" si="1841"/>
        <v>0</v>
      </c>
      <c r="R6073" s="86">
        <f t="shared" si="1842"/>
        <v>0</v>
      </c>
      <c r="S6073" s="86">
        <f t="shared" si="1843"/>
        <v>0</v>
      </c>
      <c r="T6073" s="86">
        <f t="shared" si="1844"/>
        <v>1032.8500000000001</v>
      </c>
      <c r="U6073" s="87">
        <v>1032.8500000000001</v>
      </c>
    </row>
    <row r="6074" spans="1:22" s="30" customFormat="1" ht="24.6" hidden="1" outlineLevel="1" x14ac:dyDescent="0.55000000000000004">
      <c r="A6074" s="27" t="s">
        <v>327</v>
      </c>
      <c r="B6074" s="28"/>
      <c r="C6074" s="27"/>
      <c r="D6074" s="27" t="str">
        <f>"""NAV Direct"",""CRONUS JetCorp USA"",""21"",""1"",""284736"""</f>
        <v>"NAV Direct","CRONUS JetCorp USA","21","1","284736"</v>
      </c>
      <c r="E6074" s="31" t="str">
        <f t="shared" si="1836"/>
        <v>C100514</v>
      </c>
      <c r="F6074" s="31"/>
      <c r="G6074" s="31"/>
      <c r="H6074" s="31"/>
      <c r="I6074" s="56"/>
      <c r="J6074" s="56"/>
      <c r="K6074" s="82" t="str">
        <f t="shared" si="1837"/>
        <v>Invoice</v>
      </c>
      <c r="L6074" s="83" t="str">
        <f>"SI_108734"</f>
        <v>SI_108734</v>
      </c>
      <c r="M6074" s="84">
        <v>42792</v>
      </c>
      <c r="N6074" s="85">
        <f t="shared" si="1838"/>
        <v>1020</v>
      </c>
      <c r="O6074" s="86">
        <f t="shared" si="1839"/>
        <v>1136.33</v>
      </c>
      <c r="P6074" s="86">
        <f t="shared" si="1840"/>
        <v>0</v>
      </c>
      <c r="Q6074" s="86">
        <f t="shared" si="1841"/>
        <v>0</v>
      </c>
      <c r="R6074" s="86">
        <f t="shared" si="1842"/>
        <v>0</v>
      </c>
      <c r="S6074" s="86">
        <f t="shared" si="1843"/>
        <v>0</v>
      </c>
      <c r="T6074" s="86">
        <f t="shared" si="1844"/>
        <v>1136.33</v>
      </c>
      <c r="U6074" s="87">
        <v>1136.33</v>
      </c>
    </row>
    <row r="6075" spans="1:22" s="30" customFormat="1" ht="24.6" hidden="1" outlineLevel="1" x14ac:dyDescent="0.55000000000000004">
      <c r="A6075" s="27" t="s">
        <v>327</v>
      </c>
      <c r="B6075" s="28"/>
      <c r="C6075" s="27"/>
      <c r="D6075" s="27" t="str">
        <f>"""NAV Direct"",""CRONUS JetCorp USA"",""21"",""1"",""285258"""</f>
        <v>"NAV Direct","CRONUS JetCorp USA","21","1","285258"</v>
      </c>
      <c r="E6075" s="31">
        <f t="shared" si="1836"/>
        <v>0</v>
      </c>
      <c r="F6075" s="31"/>
      <c r="G6075" s="31"/>
      <c r="H6075" s="31"/>
      <c r="I6075" s="56"/>
      <c r="J6075" s="56"/>
      <c r="K6075" s="82" t="str">
        <f t="shared" si="1837"/>
        <v>Invoice</v>
      </c>
      <c r="L6075" s="83" t="str">
        <f>"SI_108753"</f>
        <v>SI_108753</v>
      </c>
      <c r="M6075" s="84">
        <v>42778</v>
      </c>
      <c r="N6075" s="85">
        <f t="shared" si="1838"/>
        <v>1034</v>
      </c>
      <c r="O6075" s="86">
        <f t="shared" si="1839"/>
        <v>1136.3200000000002</v>
      </c>
      <c r="P6075" s="86">
        <f t="shared" si="1840"/>
        <v>0</v>
      </c>
      <c r="Q6075" s="86">
        <f t="shared" si="1841"/>
        <v>0</v>
      </c>
      <c r="R6075" s="86">
        <f t="shared" si="1842"/>
        <v>0</v>
      </c>
      <c r="S6075" s="86">
        <f t="shared" si="1843"/>
        <v>0</v>
      </c>
      <c r="T6075" s="86">
        <f t="shared" si="1844"/>
        <v>1136.3200000000002</v>
      </c>
      <c r="U6075" s="87">
        <v>1136.3200000000002</v>
      </c>
    </row>
    <row r="6076" spans="1:22" s="30" customFormat="1" ht="24.6" hidden="1" outlineLevel="1" x14ac:dyDescent="0.55000000000000004">
      <c r="A6076" s="27" t="s">
        <v>327</v>
      </c>
      <c r="B6076" s="28"/>
      <c r="C6076" s="27"/>
      <c r="D6076" s="27" t="str">
        <f>"""NAV Direct"",""CRONUS JetCorp USA"",""21"",""1"",""285372"""</f>
        <v>"NAV Direct","CRONUS JetCorp USA","21","1","285372"</v>
      </c>
      <c r="E6076" s="31" t="str">
        <f t="shared" si="1836"/>
        <v>C100514</v>
      </c>
      <c r="F6076" s="31"/>
      <c r="G6076" s="31"/>
      <c r="H6076" s="31"/>
      <c r="I6076" s="56"/>
      <c r="J6076" s="56"/>
      <c r="K6076" s="82" t="str">
        <f t="shared" si="1837"/>
        <v>Invoice</v>
      </c>
      <c r="L6076" s="83" t="str">
        <f>"SI_108757"</f>
        <v>SI_108757</v>
      </c>
      <c r="M6076" s="84">
        <v>42848</v>
      </c>
      <c r="N6076" s="85">
        <f t="shared" si="1838"/>
        <v>964</v>
      </c>
      <c r="O6076" s="86">
        <f t="shared" si="1839"/>
        <v>1249.8499999999999</v>
      </c>
      <c r="P6076" s="86">
        <f t="shared" si="1840"/>
        <v>0</v>
      </c>
      <c r="Q6076" s="86">
        <f t="shared" si="1841"/>
        <v>0</v>
      </c>
      <c r="R6076" s="86">
        <f t="shared" si="1842"/>
        <v>0</v>
      </c>
      <c r="S6076" s="86">
        <f t="shared" si="1843"/>
        <v>0</v>
      </c>
      <c r="T6076" s="86">
        <f t="shared" si="1844"/>
        <v>1249.8499999999999</v>
      </c>
      <c r="U6076" s="87">
        <v>1249.8499999999999</v>
      </c>
    </row>
    <row r="6077" spans="1:22" s="30" customFormat="1" ht="24.6" hidden="1" outlineLevel="1" x14ac:dyDescent="0.55000000000000004">
      <c r="A6077" s="27" t="s">
        <v>327</v>
      </c>
      <c r="B6077" s="28"/>
      <c r="C6077" s="27"/>
      <c r="D6077" s="27" t="str">
        <f>"""NAV Direct"",""CRONUS JetCorp USA"",""21"",""1"",""285501"""</f>
        <v>"NAV Direct","CRONUS JetCorp USA","21","1","285501"</v>
      </c>
      <c r="E6077" s="31">
        <f t="shared" si="1836"/>
        <v>0</v>
      </c>
      <c r="F6077" s="31"/>
      <c r="G6077" s="31"/>
      <c r="H6077" s="31"/>
      <c r="I6077" s="56"/>
      <c r="J6077" s="56"/>
      <c r="K6077" s="82" t="str">
        <f t="shared" si="1837"/>
        <v>Invoice</v>
      </c>
      <c r="L6077" s="83" t="str">
        <f>"SI_108762"</f>
        <v>SI_108762</v>
      </c>
      <c r="M6077" s="84">
        <v>42869</v>
      </c>
      <c r="N6077" s="85">
        <f t="shared" si="1838"/>
        <v>943</v>
      </c>
      <c r="O6077" s="86">
        <f t="shared" si="1839"/>
        <v>1249.99</v>
      </c>
      <c r="P6077" s="86">
        <f t="shared" si="1840"/>
        <v>0</v>
      </c>
      <c r="Q6077" s="86">
        <f t="shared" si="1841"/>
        <v>0</v>
      </c>
      <c r="R6077" s="86">
        <f t="shared" si="1842"/>
        <v>0</v>
      </c>
      <c r="S6077" s="86">
        <f t="shared" si="1843"/>
        <v>0</v>
      </c>
      <c r="T6077" s="86">
        <f t="shared" si="1844"/>
        <v>1249.99</v>
      </c>
      <c r="U6077" s="87">
        <v>1249.99</v>
      </c>
    </row>
    <row r="6078" spans="1:22" s="30" customFormat="1" ht="24.6" hidden="1" outlineLevel="1" x14ac:dyDescent="0.55000000000000004">
      <c r="A6078" s="27" t="s">
        <v>327</v>
      </c>
      <c r="B6078" s="28"/>
      <c r="C6078" s="27"/>
      <c r="D6078" s="27" t="str">
        <f>"""NAV Direct"",""CRONUS JetCorp USA"",""21"",""1"",""286293"""</f>
        <v>"NAV Direct","CRONUS JetCorp USA","21","1","286293"</v>
      </c>
      <c r="E6078" s="31" t="str">
        <f t="shared" si="1836"/>
        <v>C100514</v>
      </c>
      <c r="F6078" s="31"/>
      <c r="G6078" s="31"/>
      <c r="H6078" s="31"/>
      <c r="I6078" s="56"/>
      <c r="J6078" s="56"/>
      <c r="K6078" s="82" t="str">
        <f t="shared" si="1837"/>
        <v>Invoice</v>
      </c>
      <c r="L6078" s="83" t="str">
        <f>"SI_108789"</f>
        <v>SI_108789</v>
      </c>
      <c r="M6078" s="84">
        <v>42953</v>
      </c>
      <c r="N6078" s="85">
        <f t="shared" si="1838"/>
        <v>859</v>
      </c>
      <c r="O6078" s="86">
        <f t="shared" si="1839"/>
        <v>1375</v>
      </c>
      <c r="P6078" s="86">
        <f t="shared" si="1840"/>
        <v>0</v>
      </c>
      <c r="Q6078" s="86">
        <f t="shared" si="1841"/>
        <v>0</v>
      </c>
      <c r="R6078" s="86">
        <f t="shared" si="1842"/>
        <v>0</v>
      </c>
      <c r="S6078" s="86">
        <f t="shared" si="1843"/>
        <v>0</v>
      </c>
      <c r="T6078" s="86">
        <f t="shared" si="1844"/>
        <v>1375</v>
      </c>
      <c r="U6078" s="87">
        <v>1375</v>
      </c>
    </row>
    <row r="6079" spans="1:22" s="30" customFormat="1" ht="24.6" hidden="1" outlineLevel="1" x14ac:dyDescent="0.55000000000000004">
      <c r="A6079" s="27" t="s">
        <v>327</v>
      </c>
      <c r="B6079" s="28"/>
      <c r="C6079" s="27"/>
      <c r="D6079" s="27" t="str">
        <f>"""NAV Direct"",""CRONUS JetCorp USA"",""21"",""1"",""287168"""</f>
        <v>"NAV Direct","CRONUS JetCorp USA","21","1","287168"</v>
      </c>
      <c r="E6079" s="31">
        <f t="shared" si="1836"/>
        <v>0</v>
      </c>
      <c r="F6079" s="31"/>
      <c r="G6079" s="31"/>
      <c r="H6079" s="31"/>
      <c r="I6079" s="56"/>
      <c r="J6079" s="56"/>
      <c r="K6079" s="82" t="str">
        <f t="shared" si="1837"/>
        <v>Invoice</v>
      </c>
      <c r="L6079" s="83" t="str">
        <f>"SI_108819"</f>
        <v>SI_108819</v>
      </c>
      <c r="M6079" s="84">
        <v>43041</v>
      </c>
      <c r="N6079" s="85">
        <f t="shared" si="1838"/>
        <v>771</v>
      </c>
      <c r="O6079" s="86">
        <f t="shared" si="1839"/>
        <v>1512.51</v>
      </c>
      <c r="P6079" s="86">
        <f t="shared" si="1840"/>
        <v>0</v>
      </c>
      <c r="Q6079" s="86">
        <f t="shared" si="1841"/>
        <v>0</v>
      </c>
      <c r="R6079" s="86">
        <f t="shared" si="1842"/>
        <v>0</v>
      </c>
      <c r="S6079" s="86">
        <f t="shared" si="1843"/>
        <v>0</v>
      </c>
      <c r="T6079" s="86">
        <f t="shared" si="1844"/>
        <v>1512.51</v>
      </c>
      <c r="U6079" s="87">
        <v>1512.51</v>
      </c>
    </row>
    <row r="6080" spans="1:22" s="30" customFormat="1" ht="24.6" hidden="1" outlineLevel="1" x14ac:dyDescent="0.55000000000000004">
      <c r="A6080" s="27" t="s">
        <v>327</v>
      </c>
      <c r="B6080" s="28"/>
      <c r="C6080" s="27"/>
      <c r="D6080" s="27" t="str">
        <f>"""NAV Direct"",""CRONUS JetCorp USA"",""21"",""1"",""287199"""</f>
        <v>"NAV Direct","CRONUS JetCorp USA","21","1","287199"</v>
      </c>
      <c r="E6080" s="31" t="str">
        <f t="shared" si="1836"/>
        <v>C100514</v>
      </c>
      <c r="F6080" s="31"/>
      <c r="G6080" s="31"/>
      <c r="H6080" s="31"/>
      <c r="I6080" s="56"/>
      <c r="J6080" s="56"/>
      <c r="K6080" s="82" t="str">
        <f t="shared" si="1837"/>
        <v>Invoice</v>
      </c>
      <c r="L6080" s="83" t="str">
        <f>"SI_108820"</f>
        <v>SI_108820</v>
      </c>
      <c r="M6080" s="84">
        <v>43041</v>
      </c>
      <c r="N6080" s="85">
        <f t="shared" si="1838"/>
        <v>771</v>
      </c>
      <c r="O6080" s="86">
        <f t="shared" si="1839"/>
        <v>1512.51</v>
      </c>
      <c r="P6080" s="86">
        <f t="shared" si="1840"/>
        <v>0</v>
      </c>
      <c r="Q6080" s="86">
        <f t="shared" si="1841"/>
        <v>0</v>
      </c>
      <c r="R6080" s="86">
        <f t="shared" si="1842"/>
        <v>0</v>
      </c>
      <c r="S6080" s="86">
        <f t="shared" si="1843"/>
        <v>0</v>
      </c>
      <c r="T6080" s="86">
        <f t="shared" si="1844"/>
        <v>1512.51</v>
      </c>
      <c r="U6080" s="87">
        <v>1512.51</v>
      </c>
    </row>
    <row r="6081" spans="1:21" s="30" customFormat="1" ht="24.6" hidden="1" outlineLevel="1" x14ac:dyDescent="0.55000000000000004">
      <c r="A6081" s="27" t="s">
        <v>327</v>
      </c>
      <c r="B6081" s="28"/>
      <c r="C6081" s="27"/>
      <c r="D6081" s="27" t="str">
        <f>"""NAV Direct"",""CRONUS JetCorp USA"",""21"",""1"",""287338"""</f>
        <v>"NAV Direct","CRONUS JetCorp USA","21","1","287338"</v>
      </c>
      <c r="E6081" s="31">
        <f t="shared" si="1836"/>
        <v>0</v>
      </c>
      <c r="F6081" s="31"/>
      <c r="G6081" s="31"/>
      <c r="H6081" s="31"/>
      <c r="I6081" s="56"/>
      <c r="J6081" s="56"/>
      <c r="K6081" s="82" t="str">
        <f t="shared" si="1837"/>
        <v>Invoice</v>
      </c>
      <c r="L6081" s="83" t="str">
        <f>"SI_108825"</f>
        <v>SI_108825</v>
      </c>
      <c r="M6081" s="84">
        <v>43059</v>
      </c>
      <c r="N6081" s="85">
        <f t="shared" si="1838"/>
        <v>753</v>
      </c>
      <c r="O6081" s="86">
        <f t="shared" si="1839"/>
        <v>1512.44</v>
      </c>
      <c r="P6081" s="86">
        <f t="shared" si="1840"/>
        <v>0</v>
      </c>
      <c r="Q6081" s="86">
        <f t="shared" si="1841"/>
        <v>0</v>
      </c>
      <c r="R6081" s="86">
        <f t="shared" si="1842"/>
        <v>0</v>
      </c>
      <c r="S6081" s="86">
        <f t="shared" si="1843"/>
        <v>0</v>
      </c>
      <c r="T6081" s="86">
        <f t="shared" si="1844"/>
        <v>1512.44</v>
      </c>
      <c r="U6081" s="87">
        <v>1512.44</v>
      </c>
    </row>
    <row r="6082" spans="1:21" s="30" customFormat="1" ht="24.6" hidden="1" outlineLevel="1" x14ac:dyDescent="0.55000000000000004">
      <c r="A6082" s="27" t="s">
        <v>327</v>
      </c>
      <c r="B6082" s="28"/>
      <c r="C6082" s="27"/>
      <c r="D6082" s="27" t="str">
        <f>"""NAV Direct"",""CRONUS JetCorp USA"",""21"",""1"",""289952"""</f>
        <v>"NAV Direct","CRONUS JetCorp USA","21","1","289952"</v>
      </c>
      <c r="E6082" s="31" t="str">
        <f t="shared" si="1836"/>
        <v>C100514</v>
      </c>
      <c r="F6082" s="31"/>
      <c r="G6082" s="31"/>
      <c r="H6082" s="31"/>
      <c r="I6082" s="56"/>
      <c r="J6082" s="56"/>
      <c r="K6082" s="82" t="str">
        <f t="shared" si="1837"/>
        <v>Invoice</v>
      </c>
      <c r="L6082" s="83" t="str">
        <f>"SI_108913"</f>
        <v>SI_108913</v>
      </c>
      <c r="M6082" s="84">
        <v>43223</v>
      </c>
      <c r="N6082" s="85">
        <f t="shared" si="1838"/>
        <v>589</v>
      </c>
      <c r="O6082" s="86">
        <f t="shared" si="1839"/>
        <v>1829.97</v>
      </c>
      <c r="P6082" s="86">
        <f t="shared" si="1840"/>
        <v>0</v>
      </c>
      <c r="Q6082" s="86">
        <f t="shared" si="1841"/>
        <v>0</v>
      </c>
      <c r="R6082" s="86">
        <f t="shared" si="1842"/>
        <v>0</v>
      </c>
      <c r="S6082" s="86">
        <f t="shared" si="1843"/>
        <v>0</v>
      </c>
      <c r="T6082" s="86">
        <f t="shared" si="1844"/>
        <v>1829.97</v>
      </c>
      <c r="U6082" s="87">
        <v>1829.97</v>
      </c>
    </row>
    <row r="6083" spans="1:21" s="30" customFormat="1" ht="24.6" hidden="1" outlineLevel="1" x14ac:dyDescent="0.55000000000000004">
      <c r="A6083" s="27" t="s">
        <v>327</v>
      </c>
      <c r="B6083" s="28"/>
      <c r="C6083" s="27"/>
      <c r="D6083" s="27" t="str">
        <f>"""NAV Direct"",""CRONUS JetCorp USA"",""21"",""1"",""290771"""</f>
        <v>"NAV Direct","CRONUS JetCorp USA","21","1","290771"</v>
      </c>
      <c r="E6083" s="31">
        <f t="shared" si="1836"/>
        <v>0</v>
      </c>
      <c r="F6083" s="31"/>
      <c r="G6083" s="31"/>
      <c r="H6083" s="31"/>
      <c r="I6083" s="56"/>
      <c r="J6083" s="56"/>
      <c r="K6083" s="82" t="str">
        <f t="shared" si="1837"/>
        <v>Invoice</v>
      </c>
      <c r="L6083" s="83" t="str">
        <f>"SI_108940"</f>
        <v>SI_108940</v>
      </c>
      <c r="M6083" s="84">
        <v>43327</v>
      </c>
      <c r="N6083" s="85">
        <f t="shared" si="1838"/>
        <v>485</v>
      </c>
      <c r="O6083" s="86">
        <f t="shared" si="1839"/>
        <v>2013.02</v>
      </c>
      <c r="P6083" s="86">
        <f t="shared" si="1840"/>
        <v>0</v>
      </c>
      <c r="Q6083" s="86">
        <f t="shared" si="1841"/>
        <v>0</v>
      </c>
      <c r="R6083" s="86">
        <f t="shared" si="1842"/>
        <v>0</v>
      </c>
      <c r="S6083" s="86">
        <f t="shared" si="1843"/>
        <v>0</v>
      </c>
      <c r="T6083" s="86">
        <f t="shared" si="1844"/>
        <v>2013.02</v>
      </c>
      <c r="U6083" s="87">
        <v>2013.02</v>
      </c>
    </row>
    <row r="6084" spans="1:21" s="30" customFormat="1" ht="24.6" hidden="1" outlineLevel="1" x14ac:dyDescent="0.55000000000000004">
      <c r="A6084" s="27" t="s">
        <v>327</v>
      </c>
      <c r="B6084" s="28"/>
      <c r="C6084" s="27"/>
      <c r="D6084" s="27" t="str">
        <f>"""NAV Direct"",""CRONUS JetCorp USA"",""21"",""1"",""293636"""</f>
        <v>"NAV Direct","CRONUS JetCorp USA","21","1","293636"</v>
      </c>
      <c r="E6084" s="31" t="str">
        <f t="shared" si="1836"/>
        <v>C100514</v>
      </c>
      <c r="F6084" s="31"/>
      <c r="G6084" s="31"/>
      <c r="H6084" s="31"/>
      <c r="I6084" s="56"/>
      <c r="J6084" s="56"/>
      <c r="K6084" s="82" t="str">
        <f t="shared" si="1837"/>
        <v>Invoice</v>
      </c>
      <c r="L6084" s="83" t="str">
        <f>"SI_109038"</f>
        <v>SI_109038</v>
      </c>
      <c r="M6084" s="84">
        <v>43519</v>
      </c>
      <c r="N6084" s="85">
        <f t="shared" si="1838"/>
        <v>293</v>
      </c>
      <c r="O6084" s="86">
        <f t="shared" si="1839"/>
        <v>2435.7999999999997</v>
      </c>
      <c r="P6084" s="86">
        <f t="shared" si="1840"/>
        <v>0</v>
      </c>
      <c r="Q6084" s="86">
        <f t="shared" si="1841"/>
        <v>0</v>
      </c>
      <c r="R6084" s="86">
        <f t="shared" si="1842"/>
        <v>0</v>
      </c>
      <c r="S6084" s="86">
        <f t="shared" si="1843"/>
        <v>0</v>
      </c>
      <c r="T6084" s="86">
        <f t="shared" si="1844"/>
        <v>2435.7999999999997</v>
      </c>
      <c r="U6084" s="87">
        <v>2435.7999999999997</v>
      </c>
    </row>
    <row r="6085" spans="1:21" s="30" customFormat="1" ht="24.6" hidden="1" outlineLevel="1" x14ac:dyDescent="0.55000000000000004">
      <c r="A6085" s="27" t="s">
        <v>327</v>
      </c>
      <c r="B6085" s="28"/>
      <c r="C6085" s="27"/>
      <c r="D6085" s="27" t="str">
        <f>"""NAV Direct"",""CRONUS JetCorp USA"",""21"",""1"",""294361"""</f>
        <v>"NAV Direct","CRONUS JetCorp USA","21","1","294361"</v>
      </c>
      <c r="E6085" s="31">
        <f t="shared" si="1836"/>
        <v>0</v>
      </c>
      <c r="F6085" s="31"/>
      <c r="G6085" s="31"/>
      <c r="H6085" s="31"/>
      <c r="I6085" s="56"/>
      <c r="J6085" s="56"/>
      <c r="K6085" s="82" t="str">
        <f t="shared" si="1837"/>
        <v>Invoice</v>
      </c>
      <c r="L6085" s="83" t="str">
        <f>"SI_109060"</f>
        <v>SI_109060</v>
      </c>
      <c r="M6085" s="84">
        <v>43537</v>
      </c>
      <c r="N6085" s="85">
        <f t="shared" si="1838"/>
        <v>275</v>
      </c>
      <c r="O6085" s="86">
        <f t="shared" si="1839"/>
        <v>2435.9</v>
      </c>
      <c r="P6085" s="86">
        <f t="shared" si="1840"/>
        <v>0</v>
      </c>
      <c r="Q6085" s="86">
        <f t="shared" si="1841"/>
        <v>0</v>
      </c>
      <c r="R6085" s="86">
        <f t="shared" si="1842"/>
        <v>0</v>
      </c>
      <c r="S6085" s="86">
        <f t="shared" si="1843"/>
        <v>0</v>
      </c>
      <c r="T6085" s="86">
        <f t="shared" si="1844"/>
        <v>2435.9</v>
      </c>
      <c r="U6085" s="87">
        <v>2435.9</v>
      </c>
    </row>
    <row r="6086" spans="1:21" s="30" customFormat="1" ht="24.6" hidden="1" outlineLevel="1" x14ac:dyDescent="0.55000000000000004">
      <c r="A6086" s="27" t="s">
        <v>327</v>
      </c>
      <c r="B6086" s="28"/>
      <c r="C6086" s="27"/>
      <c r="D6086" s="27" t="str">
        <f>"""NAV Direct"",""CRONUS JetCorp USA"",""21"",""1"",""295372"""</f>
        <v>"NAV Direct","CRONUS JetCorp USA","21","1","295372"</v>
      </c>
      <c r="E6086" s="31" t="str">
        <f t="shared" si="1836"/>
        <v>C100514</v>
      </c>
      <c r="F6086" s="31"/>
      <c r="G6086" s="31"/>
      <c r="H6086" s="31"/>
      <c r="I6086" s="56"/>
      <c r="J6086" s="56"/>
      <c r="K6086" s="82" t="str">
        <f t="shared" si="1837"/>
        <v>Invoice</v>
      </c>
      <c r="L6086" s="83" t="str">
        <f>"SI_109092"</f>
        <v>SI_109092</v>
      </c>
      <c r="M6086" s="84">
        <v>43617</v>
      </c>
      <c r="N6086" s="85">
        <f t="shared" si="1838"/>
        <v>195</v>
      </c>
      <c r="O6086" s="86">
        <f t="shared" si="1839"/>
        <v>2679.49</v>
      </c>
      <c r="P6086" s="86">
        <f t="shared" si="1840"/>
        <v>0</v>
      </c>
      <c r="Q6086" s="86">
        <f t="shared" si="1841"/>
        <v>0</v>
      </c>
      <c r="R6086" s="86">
        <f t="shared" si="1842"/>
        <v>0</v>
      </c>
      <c r="S6086" s="86">
        <f t="shared" si="1843"/>
        <v>0</v>
      </c>
      <c r="T6086" s="86">
        <f t="shared" si="1844"/>
        <v>2679.49</v>
      </c>
      <c r="U6086" s="87">
        <v>2679.49</v>
      </c>
    </row>
    <row r="6087" spans="1:21" s="30" customFormat="1" ht="24.6" hidden="1" outlineLevel="1" x14ac:dyDescent="0.55000000000000004">
      <c r="A6087" s="27" t="s">
        <v>327</v>
      </c>
      <c r="B6087" s="28"/>
      <c r="C6087" s="27"/>
      <c r="D6087" s="27" t="str">
        <f>"""NAV Direct"",""CRONUS JetCorp USA"",""21"",""1"",""295935"""</f>
        <v>"NAV Direct","CRONUS JetCorp USA","21","1","295935"</v>
      </c>
      <c r="E6087" s="31">
        <f t="shared" si="1836"/>
        <v>0</v>
      </c>
      <c r="F6087" s="31"/>
      <c r="G6087" s="31"/>
      <c r="H6087" s="31"/>
      <c r="I6087" s="56"/>
      <c r="J6087" s="56"/>
      <c r="K6087" s="82" t="str">
        <f t="shared" si="1837"/>
        <v>Invoice</v>
      </c>
      <c r="L6087" s="83" t="str">
        <f>"SI_109107"</f>
        <v>SI_109107</v>
      </c>
      <c r="M6087" s="84">
        <v>43627</v>
      </c>
      <c r="N6087" s="85">
        <f t="shared" si="1838"/>
        <v>185</v>
      </c>
      <c r="O6087" s="86">
        <f t="shared" si="1839"/>
        <v>2679.44</v>
      </c>
      <c r="P6087" s="86">
        <f t="shared" si="1840"/>
        <v>0</v>
      </c>
      <c r="Q6087" s="86">
        <f t="shared" si="1841"/>
        <v>0</v>
      </c>
      <c r="R6087" s="86">
        <f t="shared" si="1842"/>
        <v>0</v>
      </c>
      <c r="S6087" s="86">
        <f t="shared" si="1843"/>
        <v>0</v>
      </c>
      <c r="T6087" s="86">
        <f t="shared" si="1844"/>
        <v>2679.44</v>
      </c>
      <c r="U6087" s="87">
        <v>2679.44</v>
      </c>
    </row>
    <row r="6088" spans="1:21" s="30" customFormat="1" ht="24.6" hidden="1" outlineLevel="1" x14ac:dyDescent="0.55000000000000004">
      <c r="A6088" s="27" t="s">
        <v>327</v>
      </c>
      <c r="B6088" s="28"/>
      <c r="C6088" s="27"/>
      <c r="D6088" s="27" t="str">
        <f>"""NAV Direct"",""CRONUS JetCorp USA"",""21"",""1"",""298078"""</f>
        <v>"NAV Direct","CRONUS JetCorp USA","21","1","298078"</v>
      </c>
      <c r="E6088" s="31" t="str">
        <f t="shared" si="1836"/>
        <v>C100514</v>
      </c>
      <c r="F6088" s="31"/>
      <c r="G6088" s="31"/>
      <c r="H6088" s="31"/>
      <c r="I6088" s="56"/>
      <c r="J6088" s="56"/>
      <c r="K6088" s="82" t="str">
        <f t="shared" si="1837"/>
        <v>Invoice</v>
      </c>
      <c r="L6088" s="83" t="str">
        <f>"SI_109174"</f>
        <v>SI_109174</v>
      </c>
      <c r="M6088" s="84">
        <v>43768</v>
      </c>
      <c r="N6088" s="85">
        <f t="shared" si="1838"/>
        <v>44</v>
      </c>
      <c r="O6088" s="86">
        <f t="shared" si="1839"/>
        <v>3242.2200000000003</v>
      </c>
      <c r="P6088" s="86">
        <f t="shared" si="1840"/>
        <v>0</v>
      </c>
      <c r="Q6088" s="86">
        <f t="shared" si="1841"/>
        <v>0</v>
      </c>
      <c r="R6088" s="86">
        <f t="shared" si="1842"/>
        <v>3242.2200000000003</v>
      </c>
      <c r="S6088" s="86">
        <f t="shared" si="1843"/>
        <v>0</v>
      </c>
      <c r="T6088" s="86">
        <f t="shared" si="1844"/>
        <v>0</v>
      </c>
      <c r="U6088" s="87">
        <v>3242.2200000000003</v>
      </c>
    </row>
    <row r="6089" spans="1:21" s="30" customFormat="1" ht="24.6" hidden="1" outlineLevel="1" x14ac:dyDescent="0.55000000000000004">
      <c r="A6089" s="27" t="s">
        <v>327</v>
      </c>
      <c r="B6089" s="28"/>
      <c r="C6089" s="27"/>
      <c r="D6089" s="27" t="str">
        <f>"""NAV Direct"",""CRONUS JetCorp USA"",""21"",""1"",""298410"""</f>
        <v>"NAV Direct","CRONUS JetCorp USA","21","1","298410"</v>
      </c>
      <c r="E6089" s="31">
        <f t="shared" si="1836"/>
        <v>0</v>
      </c>
      <c r="F6089" s="31"/>
      <c r="G6089" s="31"/>
      <c r="H6089" s="31"/>
      <c r="I6089" s="56"/>
      <c r="J6089" s="56"/>
      <c r="K6089" s="82" t="str">
        <f t="shared" si="1837"/>
        <v>Invoice</v>
      </c>
      <c r="L6089" s="83" t="str">
        <f>"SI_109185"</f>
        <v>SI_109185</v>
      </c>
      <c r="M6089" s="84">
        <v>43792</v>
      </c>
      <c r="N6089" s="85">
        <f t="shared" si="1838"/>
        <v>20</v>
      </c>
      <c r="O6089" s="86">
        <f t="shared" si="1839"/>
        <v>3241.99</v>
      </c>
      <c r="P6089" s="86">
        <f t="shared" si="1840"/>
        <v>0</v>
      </c>
      <c r="Q6089" s="86">
        <f t="shared" si="1841"/>
        <v>3241.99</v>
      </c>
      <c r="R6089" s="86">
        <f t="shared" si="1842"/>
        <v>0</v>
      </c>
      <c r="S6089" s="86">
        <f t="shared" si="1843"/>
        <v>0</v>
      </c>
      <c r="T6089" s="86">
        <f t="shared" si="1844"/>
        <v>0</v>
      </c>
      <c r="U6089" s="87">
        <v>3241.99</v>
      </c>
    </row>
    <row r="6090" spans="1:21" s="30" customFormat="1" ht="24.6" hidden="1" outlineLevel="1" x14ac:dyDescent="0.55000000000000004">
      <c r="A6090" s="27" t="s">
        <v>327</v>
      </c>
      <c r="B6090" s="28"/>
      <c r="C6090" s="27"/>
      <c r="D6090" s="27" t="str">
        <f>"""NAV Direct"",""CRONUS JetCorp USA"",""21"",""1"",""299451"""</f>
        <v>"NAV Direct","CRONUS JetCorp USA","21","1","299451"</v>
      </c>
      <c r="E6090" s="31" t="str">
        <f t="shared" si="1836"/>
        <v>C100514</v>
      </c>
      <c r="F6090" s="31"/>
      <c r="G6090" s="31"/>
      <c r="H6090" s="31"/>
      <c r="I6090" s="56"/>
      <c r="J6090" s="56"/>
      <c r="K6090" s="82" t="str">
        <f t="shared" si="1837"/>
        <v>Invoice</v>
      </c>
      <c r="L6090" s="83" t="str">
        <f>"SI_109217"</f>
        <v>SI_109217</v>
      </c>
      <c r="M6090" s="84">
        <v>43814</v>
      </c>
      <c r="N6090" s="85">
        <f t="shared" si="1838"/>
        <v>-2</v>
      </c>
      <c r="O6090" s="86">
        <f t="shared" si="1839"/>
        <v>3242.1000000000004</v>
      </c>
      <c r="P6090" s="86">
        <f t="shared" si="1840"/>
        <v>3242.1000000000004</v>
      </c>
      <c r="Q6090" s="86">
        <f t="shared" si="1841"/>
        <v>0</v>
      </c>
      <c r="R6090" s="86">
        <f t="shared" si="1842"/>
        <v>0</v>
      </c>
      <c r="S6090" s="86">
        <f t="shared" si="1843"/>
        <v>0</v>
      </c>
      <c r="T6090" s="86">
        <f t="shared" si="1844"/>
        <v>0</v>
      </c>
      <c r="U6090" s="87">
        <v>3242.1000000000004</v>
      </c>
    </row>
    <row r="6091" spans="1:21" s="30" customFormat="1" ht="24.6" hidden="1" outlineLevel="1" x14ac:dyDescent="0.55000000000000004">
      <c r="A6091" s="27" t="s">
        <v>327</v>
      </c>
      <c r="B6091" s="28"/>
      <c r="C6091" s="27"/>
      <c r="D6091" s="27" t="str">
        <f>"""NAV Direct"",""CRONUS JetCorp USA"",""21"",""1"",""300445"""</f>
        <v>"NAV Direct","CRONUS JetCorp USA","21","1","300445"</v>
      </c>
      <c r="E6091" s="31">
        <f t="shared" si="1836"/>
        <v>0</v>
      </c>
      <c r="F6091" s="31"/>
      <c r="G6091" s="31"/>
      <c r="H6091" s="31"/>
      <c r="I6091" s="56"/>
      <c r="J6091" s="56"/>
      <c r="K6091" s="82" t="str">
        <f t="shared" si="1837"/>
        <v>Invoice</v>
      </c>
      <c r="L6091" s="83" t="str">
        <f>"SI_109245"</f>
        <v>SI_109245</v>
      </c>
      <c r="M6091" s="84">
        <v>42053</v>
      </c>
      <c r="N6091" s="85">
        <f t="shared" si="1838"/>
        <v>1759</v>
      </c>
      <c r="O6091" s="86">
        <f t="shared" si="1839"/>
        <v>3566.39</v>
      </c>
      <c r="P6091" s="86">
        <f t="shared" si="1840"/>
        <v>0</v>
      </c>
      <c r="Q6091" s="86">
        <f t="shared" si="1841"/>
        <v>0</v>
      </c>
      <c r="R6091" s="86">
        <f t="shared" si="1842"/>
        <v>0</v>
      </c>
      <c r="S6091" s="86">
        <f t="shared" si="1843"/>
        <v>0</v>
      </c>
      <c r="T6091" s="86">
        <f t="shared" si="1844"/>
        <v>3566.39</v>
      </c>
      <c r="U6091" s="87">
        <v>3566.39</v>
      </c>
    </row>
    <row r="6092" spans="1:21" s="30" customFormat="1" ht="24.6" hidden="1" outlineLevel="1" x14ac:dyDescent="0.55000000000000004">
      <c r="A6092" s="27" t="s">
        <v>327</v>
      </c>
      <c r="B6092" s="28"/>
      <c r="C6092" s="27"/>
      <c r="D6092" s="27" t="str">
        <f>"""NAV Direct"",""CRONUS JetCorp USA"",""21"",""1"",""302141"""</f>
        <v>"NAV Direct","CRONUS JetCorp USA","21","1","302141"</v>
      </c>
      <c r="E6092" s="31" t="str">
        <f t="shared" si="1836"/>
        <v>C100514</v>
      </c>
      <c r="F6092" s="31"/>
      <c r="G6092" s="31"/>
      <c r="H6092" s="31"/>
      <c r="I6092" s="56"/>
      <c r="J6092" s="56"/>
      <c r="K6092" s="82" t="str">
        <f t="shared" si="1837"/>
        <v>Invoice</v>
      </c>
      <c r="L6092" s="83" t="str">
        <f>"SI_109294"</f>
        <v>SI_109294</v>
      </c>
      <c r="M6092" s="84">
        <v>42137</v>
      </c>
      <c r="N6092" s="85">
        <f t="shared" si="1838"/>
        <v>1675</v>
      </c>
      <c r="O6092" s="86">
        <f t="shared" si="1839"/>
        <v>3923.04</v>
      </c>
      <c r="P6092" s="86">
        <f t="shared" si="1840"/>
        <v>0</v>
      </c>
      <c r="Q6092" s="86">
        <f t="shared" si="1841"/>
        <v>0</v>
      </c>
      <c r="R6092" s="86">
        <f t="shared" si="1842"/>
        <v>0</v>
      </c>
      <c r="S6092" s="86">
        <f t="shared" si="1843"/>
        <v>0</v>
      </c>
      <c r="T6092" s="86">
        <f t="shared" si="1844"/>
        <v>3923.04</v>
      </c>
      <c r="U6092" s="87">
        <v>3923.04</v>
      </c>
    </row>
    <row r="6093" spans="1:21" s="30" customFormat="1" ht="24.6" hidden="1" outlineLevel="1" x14ac:dyDescent="0.55000000000000004">
      <c r="A6093" s="27" t="s">
        <v>327</v>
      </c>
      <c r="B6093" s="28"/>
      <c r="C6093" s="27"/>
      <c r="D6093" s="27" t="str">
        <f>"""NAV Direct"",""CRONUS JetCorp USA"",""21"",""1"",""302491"""</f>
        <v>"NAV Direct","CRONUS JetCorp USA","21","1","302491"</v>
      </c>
      <c r="E6093" s="31">
        <f t="shared" si="1836"/>
        <v>0</v>
      </c>
      <c r="F6093" s="31"/>
      <c r="G6093" s="31"/>
      <c r="H6093" s="31"/>
      <c r="I6093" s="56"/>
      <c r="J6093" s="56"/>
      <c r="K6093" s="82" t="str">
        <f t="shared" si="1837"/>
        <v>Invoice</v>
      </c>
      <c r="L6093" s="83" t="str">
        <f>"SI_109304"</f>
        <v>SI_109304</v>
      </c>
      <c r="M6093" s="84">
        <v>42153</v>
      </c>
      <c r="N6093" s="85">
        <f t="shared" si="1838"/>
        <v>1659</v>
      </c>
      <c r="O6093" s="86">
        <f t="shared" si="1839"/>
        <v>3922.9300000000003</v>
      </c>
      <c r="P6093" s="86">
        <f t="shared" si="1840"/>
        <v>0</v>
      </c>
      <c r="Q6093" s="86">
        <f t="shared" si="1841"/>
        <v>0</v>
      </c>
      <c r="R6093" s="86">
        <f t="shared" si="1842"/>
        <v>0</v>
      </c>
      <c r="S6093" s="86">
        <f t="shared" si="1843"/>
        <v>0</v>
      </c>
      <c r="T6093" s="86">
        <f t="shared" si="1844"/>
        <v>3922.9300000000003</v>
      </c>
      <c r="U6093" s="87">
        <v>3922.9300000000003</v>
      </c>
    </row>
    <row r="6094" spans="1:21" s="22" customFormat="1" ht="20.399999999999999" collapsed="1" x14ac:dyDescent="0.45">
      <c r="A6094" s="12" t="s">
        <v>327</v>
      </c>
      <c r="B6094" s="19"/>
      <c r="C6094" s="12"/>
      <c r="D6094" s="12"/>
      <c r="E6094" s="23"/>
      <c r="F6094" s="23"/>
      <c r="G6094" s="23"/>
      <c r="H6094" s="23"/>
      <c r="I6094" s="49"/>
      <c r="J6094" s="88"/>
      <c r="K6094" s="88"/>
      <c r="L6094" s="89"/>
      <c r="M6094" s="89"/>
      <c r="N6094" s="89"/>
      <c r="O6094" s="89"/>
      <c r="P6094" s="89"/>
      <c r="Q6094" s="90"/>
      <c r="R6094" s="90"/>
      <c r="S6094" s="91"/>
      <c r="T6094" s="92"/>
      <c r="U6094" s="92"/>
    </row>
    <row r="6095" spans="1:21" s="22" customFormat="1" ht="20.399999999999999" x14ac:dyDescent="0.45">
      <c r="A6095" s="12" t="s">
        <v>327</v>
      </c>
      <c r="B6095" s="19"/>
      <c r="C6095" s="12"/>
      <c r="D6095" s="12"/>
      <c r="E6095" s="23"/>
      <c r="F6095" s="23"/>
      <c r="G6095" s="23"/>
      <c r="H6095" s="23"/>
      <c r="I6095" s="49"/>
      <c r="J6095" s="88"/>
      <c r="K6095" s="88"/>
      <c r="L6095" s="89"/>
      <c r="M6095" s="89"/>
      <c r="N6095" s="89"/>
      <c r="O6095" s="89"/>
      <c r="P6095" s="89"/>
      <c r="Q6095" s="90"/>
      <c r="R6095" s="90"/>
      <c r="S6095" s="91"/>
      <c r="T6095" s="92"/>
      <c r="U6095" s="92"/>
    </row>
    <row r="6096" spans="1:21" s="26" customFormat="1" ht="24.6" x14ac:dyDescent="0.55000000000000004">
      <c r="A6096" s="27" t="s">
        <v>327</v>
      </c>
      <c r="B6096" s="28"/>
      <c r="C6096" s="27" t="str">
        <f>"""NAV Direct"",""CRONUS JetCorp USA"",""18"",""1"",""C100515"""</f>
        <v>"NAV Direct","CRONUS JetCorp USA","18","1","C100515"</v>
      </c>
      <c r="D6096" s="27"/>
      <c r="E6096" s="28" t="str">
        <f>H6096</f>
        <v>C100515</v>
      </c>
      <c r="F6096" s="28"/>
      <c r="G6096" s="28"/>
      <c r="H6096" s="28" t="str">
        <f>"C100515"</f>
        <v>C100515</v>
      </c>
      <c r="I6096" s="116" t="str">
        <f>"C100515  -  Bstrokes Trophy"</f>
        <v>C100515  -  Bstrokes Trophy</v>
      </c>
      <c r="J6096" s="117" t="str">
        <f>""</f>
        <v/>
      </c>
      <c r="K6096" s="118"/>
      <c r="L6096" s="119">
        <f>SUBTOTAL(3,L6097:L6121)</f>
        <v>21</v>
      </c>
      <c r="M6096" s="118"/>
      <c r="N6096" s="118"/>
      <c r="O6096" s="120">
        <f t="shared" ref="O6096:T6096" si="1845">SUBTOTAL(9,O6097:O6121)</f>
        <v>44154.999999999993</v>
      </c>
      <c r="P6096" s="120">
        <f t="shared" si="1845"/>
        <v>0</v>
      </c>
      <c r="Q6096" s="120">
        <f t="shared" si="1845"/>
        <v>0</v>
      </c>
      <c r="R6096" s="120">
        <f t="shared" si="1845"/>
        <v>0</v>
      </c>
      <c r="S6096" s="120">
        <f t="shared" si="1845"/>
        <v>0</v>
      </c>
      <c r="T6096" s="120">
        <f t="shared" si="1845"/>
        <v>44154.999999999993</v>
      </c>
      <c r="U6096" s="81"/>
    </row>
    <row r="6097" spans="1:22" s="26" customFormat="1" ht="24.6" x14ac:dyDescent="0.55000000000000004">
      <c r="A6097" s="27" t="s">
        <v>327</v>
      </c>
      <c r="B6097" s="28"/>
      <c r="C6097" s="27" t="str">
        <f>C6096</f>
        <v>"NAV Direct","CRONUS JetCorp USA","18","1","C100515"</v>
      </c>
      <c r="D6097" s="27"/>
      <c r="E6097" s="28" t="str">
        <f>E6096</f>
        <v>C100515</v>
      </c>
      <c r="F6097" s="28"/>
      <c r="G6097" s="28"/>
      <c r="H6097" s="28"/>
      <c r="I6097" s="121" t="str">
        <f>"Contact: Susan B. Anthony"</f>
        <v>Contact: Susan B. Anthony</v>
      </c>
      <c r="J6097" s="121"/>
      <c r="K6097" s="122"/>
      <c r="L6097" s="123"/>
      <c r="M6097" s="123"/>
      <c r="N6097" s="124"/>
      <c r="O6097" s="124"/>
      <c r="P6097" s="123"/>
      <c r="Q6097" s="125"/>
      <c r="R6097" s="126"/>
      <c r="S6097" s="126"/>
      <c r="T6097" s="125"/>
      <c r="U6097" s="81"/>
    </row>
    <row r="6098" spans="1:22" s="26" customFormat="1" ht="24.6" x14ac:dyDescent="0.55000000000000004">
      <c r="A6098" s="27" t="s">
        <v>327</v>
      </c>
      <c r="B6098" s="28"/>
      <c r="C6098" s="27" t="str">
        <f>C6097</f>
        <v>"NAV Direct","CRONUS JetCorp USA","18","1","C100515"</v>
      </c>
      <c r="D6098" s="27"/>
      <c r="E6098" s="28" t="str">
        <f>E6097</f>
        <v>C100515</v>
      </c>
      <c r="F6098" s="28"/>
      <c r="G6098" s="28"/>
      <c r="H6098" s="28"/>
      <c r="I6098" s="121" t="str">
        <f>"Bstrokes Trophy@cronuscorp.net"</f>
        <v>Bstrokes Trophy@cronuscorp.net</v>
      </c>
      <c r="J6098" s="121"/>
      <c r="K6098" s="122"/>
      <c r="L6098" s="124"/>
      <c r="M6098" s="124"/>
      <c r="N6098" s="124"/>
      <c r="O6098" s="124"/>
      <c r="P6098" s="123"/>
      <c r="Q6098" s="125"/>
      <c r="R6098" s="126"/>
      <c r="S6098" s="126"/>
      <c r="T6098" s="125"/>
      <c r="U6098" s="81"/>
    </row>
    <row r="6099" spans="1:22" ht="12.75" hidden="1" customHeight="1" outlineLevel="1" x14ac:dyDescent="0.45">
      <c r="A6099" s="12" t="s">
        <v>328</v>
      </c>
      <c r="B6099" s="19"/>
      <c r="E6099" s="19"/>
      <c r="F6099" s="19"/>
      <c r="G6099" s="19"/>
      <c r="H6099" s="19"/>
      <c r="I6099" s="61"/>
      <c r="J6099" s="61"/>
      <c r="K6099" s="61"/>
      <c r="L6099" s="61"/>
      <c r="M6099" s="61"/>
      <c r="N6099" s="61"/>
      <c r="O6099" s="61"/>
      <c r="P6099" s="61"/>
      <c r="Q6099" s="61"/>
      <c r="R6099" s="61"/>
      <c r="S6099" s="61"/>
      <c r="T6099" s="61"/>
      <c r="U6099" s="61"/>
      <c r="V6099" s="21"/>
    </row>
    <row r="6100" spans="1:22" s="30" customFormat="1" ht="24.6" hidden="1" outlineLevel="1" x14ac:dyDescent="0.55000000000000004">
      <c r="A6100" s="27" t="s">
        <v>327</v>
      </c>
      <c r="B6100" s="28"/>
      <c r="C6100" s="27"/>
      <c r="D6100" s="27" t="str">
        <f>"""NAV Direct"",""CRONUS JetCorp USA"",""21"",""1"",""283287"""</f>
        <v>"NAV Direct","CRONUS JetCorp USA","21","1","283287"</v>
      </c>
      <c r="E6100" s="31" t="str">
        <f t="shared" ref="E6100:E6120" si="1846">E6098</f>
        <v>C100515</v>
      </c>
      <c r="F6100" s="31"/>
      <c r="G6100" s="31"/>
      <c r="H6100" s="31"/>
      <c r="I6100" s="56"/>
      <c r="J6100" s="56"/>
      <c r="K6100" s="82" t="str">
        <f t="shared" ref="K6100:K6120" si="1847">"Invoice"</f>
        <v>Invoice</v>
      </c>
      <c r="L6100" s="83" t="str">
        <f>"SI_108681"</f>
        <v>SI_108681</v>
      </c>
      <c r="M6100" s="84">
        <v>42244</v>
      </c>
      <c r="N6100" s="85">
        <f t="shared" ref="N6100:N6120" si="1848">StartDate-$M6100+1</f>
        <v>1568</v>
      </c>
      <c r="O6100" s="86">
        <f t="shared" ref="O6100:O6120" si="1849">SUM(P6100:T6100)</f>
        <v>938.93999999999994</v>
      </c>
      <c r="P6100" s="86">
        <f t="shared" ref="P6100:P6120" si="1850">IF($M6100&gt;=$P$18,U6100,0)</f>
        <v>0</v>
      </c>
      <c r="Q6100" s="86">
        <f t="shared" ref="Q6100:Q6120" si="1851">IF(AND($M6100&gt;=$Q$16,$M6100&lt;=$Q$18),U6100,0)</f>
        <v>0</v>
      </c>
      <c r="R6100" s="86">
        <f t="shared" ref="R6100:R6120" si="1852">IF(AND($M6100&gt;=$R$16,$M6100&lt;=$R$18),U6100,0)</f>
        <v>0</v>
      </c>
      <c r="S6100" s="86">
        <f t="shared" ref="S6100:S6120" si="1853">IF(AND($M6100&gt;=$S$16,$M6100&lt;=$S$18),U6100,0)</f>
        <v>0</v>
      </c>
      <c r="T6100" s="86">
        <f t="shared" ref="T6100:T6120" si="1854">IF($M6100&lt;=$T$18,U6100,0)</f>
        <v>938.93999999999994</v>
      </c>
      <c r="U6100" s="87">
        <v>938.93999999999994</v>
      </c>
    </row>
    <row r="6101" spans="1:22" s="30" customFormat="1" ht="24.6" hidden="1" outlineLevel="1" x14ac:dyDescent="0.55000000000000004">
      <c r="A6101" s="27" t="s">
        <v>327</v>
      </c>
      <c r="B6101" s="28"/>
      <c r="C6101" s="27"/>
      <c r="D6101" s="27" t="str">
        <f>"""NAV Direct"",""CRONUS JetCorp USA"",""21"",""1"",""283387"""</f>
        <v>"NAV Direct","CRONUS JetCorp USA","21","1","283387"</v>
      </c>
      <c r="E6101" s="31">
        <f t="shared" si="1846"/>
        <v>0</v>
      </c>
      <c r="F6101" s="31"/>
      <c r="G6101" s="31"/>
      <c r="H6101" s="31"/>
      <c r="I6101" s="56"/>
      <c r="J6101" s="56"/>
      <c r="K6101" s="82" t="str">
        <f t="shared" si="1847"/>
        <v>Invoice</v>
      </c>
      <c r="L6101" s="83" t="str">
        <f>"SI_108685"</f>
        <v>SI_108685</v>
      </c>
      <c r="M6101" s="84">
        <v>42242</v>
      </c>
      <c r="N6101" s="85">
        <f t="shared" si="1848"/>
        <v>1570</v>
      </c>
      <c r="O6101" s="86">
        <f t="shared" si="1849"/>
        <v>939.06</v>
      </c>
      <c r="P6101" s="86">
        <f t="shared" si="1850"/>
        <v>0</v>
      </c>
      <c r="Q6101" s="86">
        <f t="shared" si="1851"/>
        <v>0</v>
      </c>
      <c r="R6101" s="86">
        <f t="shared" si="1852"/>
        <v>0</v>
      </c>
      <c r="S6101" s="86">
        <f t="shared" si="1853"/>
        <v>0</v>
      </c>
      <c r="T6101" s="86">
        <f t="shared" si="1854"/>
        <v>939.06</v>
      </c>
      <c r="U6101" s="87">
        <v>939.06</v>
      </c>
    </row>
    <row r="6102" spans="1:22" s="30" customFormat="1" ht="24.6" hidden="1" outlineLevel="1" x14ac:dyDescent="0.55000000000000004">
      <c r="A6102" s="27" t="s">
        <v>327</v>
      </c>
      <c r="B6102" s="28"/>
      <c r="C6102" s="27"/>
      <c r="D6102" s="27" t="str">
        <f>"""NAV Direct"",""CRONUS JetCorp USA"",""21"",""1"",""283769"""</f>
        <v>"NAV Direct","CRONUS JetCorp USA","21","1","283769"</v>
      </c>
      <c r="E6102" s="31" t="str">
        <f t="shared" si="1846"/>
        <v>C100515</v>
      </c>
      <c r="F6102" s="31"/>
      <c r="G6102" s="31"/>
      <c r="H6102" s="31"/>
      <c r="I6102" s="56"/>
      <c r="J6102" s="56"/>
      <c r="K6102" s="82" t="str">
        <f t="shared" si="1847"/>
        <v>Invoice</v>
      </c>
      <c r="L6102" s="83" t="str">
        <f>"SI_108699"</f>
        <v>SI_108699</v>
      </c>
      <c r="M6102" s="84">
        <v>42310</v>
      </c>
      <c r="N6102" s="85">
        <f t="shared" si="1848"/>
        <v>1502</v>
      </c>
      <c r="O6102" s="86">
        <f t="shared" si="1849"/>
        <v>1032.8800000000001</v>
      </c>
      <c r="P6102" s="86">
        <f t="shared" si="1850"/>
        <v>0</v>
      </c>
      <c r="Q6102" s="86">
        <f t="shared" si="1851"/>
        <v>0</v>
      </c>
      <c r="R6102" s="86">
        <f t="shared" si="1852"/>
        <v>0</v>
      </c>
      <c r="S6102" s="86">
        <f t="shared" si="1853"/>
        <v>0</v>
      </c>
      <c r="T6102" s="86">
        <f t="shared" si="1854"/>
        <v>1032.8800000000001</v>
      </c>
      <c r="U6102" s="87">
        <v>1032.8800000000001</v>
      </c>
    </row>
    <row r="6103" spans="1:22" s="30" customFormat="1" ht="24.6" hidden="1" outlineLevel="1" x14ac:dyDescent="0.55000000000000004">
      <c r="A6103" s="27" t="s">
        <v>327</v>
      </c>
      <c r="B6103" s="28"/>
      <c r="C6103" s="27"/>
      <c r="D6103" s="27" t="str">
        <f>"""NAV Direct"",""CRONUS JetCorp USA"",""21"",""1"",""284247"""</f>
        <v>"NAV Direct","CRONUS JetCorp USA","21","1","284247"</v>
      </c>
      <c r="E6103" s="31">
        <f t="shared" si="1846"/>
        <v>0</v>
      </c>
      <c r="F6103" s="31"/>
      <c r="G6103" s="31"/>
      <c r="H6103" s="31"/>
      <c r="I6103" s="56"/>
      <c r="J6103" s="56"/>
      <c r="K6103" s="82" t="str">
        <f t="shared" si="1847"/>
        <v>Invoice</v>
      </c>
      <c r="L6103" s="83" t="str">
        <f>"SI_108716"</f>
        <v>SI_108716</v>
      </c>
      <c r="M6103" s="84">
        <v>42322</v>
      </c>
      <c r="N6103" s="85">
        <f t="shared" si="1848"/>
        <v>1490</v>
      </c>
      <c r="O6103" s="86">
        <f t="shared" si="1849"/>
        <v>1033.03</v>
      </c>
      <c r="P6103" s="86">
        <f t="shared" si="1850"/>
        <v>0</v>
      </c>
      <c r="Q6103" s="86">
        <f t="shared" si="1851"/>
        <v>0</v>
      </c>
      <c r="R6103" s="86">
        <f t="shared" si="1852"/>
        <v>0</v>
      </c>
      <c r="S6103" s="86">
        <f t="shared" si="1853"/>
        <v>0</v>
      </c>
      <c r="T6103" s="86">
        <f t="shared" si="1854"/>
        <v>1033.03</v>
      </c>
      <c r="U6103" s="87">
        <v>1033.03</v>
      </c>
    </row>
    <row r="6104" spans="1:22" s="30" customFormat="1" ht="24.6" hidden="1" outlineLevel="1" x14ac:dyDescent="0.55000000000000004">
      <c r="A6104" s="27" t="s">
        <v>327</v>
      </c>
      <c r="B6104" s="28"/>
      <c r="C6104" s="27"/>
      <c r="D6104" s="27" t="str">
        <f>"""NAV Direct"",""CRONUS JetCorp USA"",""21"",""1"",""286005"""</f>
        <v>"NAV Direct","CRONUS JetCorp USA","21","1","286005"</v>
      </c>
      <c r="E6104" s="31" t="str">
        <f t="shared" si="1846"/>
        <v>C100515</v>
      </c>
      <c r="F6104" s="31"/>
      <c r="G6104" s="31"/>
      <c r="H6104" s="31"/>
      <c r="I6104" s="56"/>
      <c r="J6104" s="56"/>
      <c r="K6104" s="82" t="str">
        <f t="shared" si="1847"/>
        <v>Invoice</v>
      </c>
      <c r="L6104" s="83" t="str">
        <f>"SI_108780"</f>
        <v>SI_108780</v>
      </c>
      <c r="M6104" s="84">
        <v>42905</v>
      </c>
      <c r="N6104" s="85">
        <f t="shared" si="1848"/>
        <v>907</v>
      </c>
      <c r="O6104" s="86">
        <f t="shared" si="1849"/>
        <v>1249.98</v>
      </c>
      <c r="P6104" s="86">
        <f t="shared" si="1850"/>
        <v>0</v>
      </c>
      <c r="Q6104" s="86">
        <f t="shared" si="1851"/>
        <v>0</v>
      </c>
      <c r="R6104" s="86">
        <f t="shared" si="1852"/>
        <v>0</v>
      </c>
      <c r="S6104" s="86">
        <f t="shared" si="1853"/>
        <v>0</v>
      </c>
      <c r="T6104" s="86">
        <f t="shared" si="1854"/>
        <v>1249.98</v>
      </c>
      <c r="U6104" s="87">
        <v>1249.98</v>
      </c>
    </row>
    <row r="6105" spans="1:22" s="30" customFormat="1" ht="24.6" hidden="1" outlineLevel="1" x14ac:dyDescent="0.55000000000000004">
      <c r="A6105" s="27" t="s">
        <v>327</v>
      </c>
      <c r="B6105" s="28"/>
      <c r="C6105" s="27"/>
      <c r="D6105" s="27" t="str">
        <f>"""NAV Direct"",""CRONUS JetCorp USA"",""21"",""1"",""287280"""</f>
        <v>"NAV Direct","CRONUS JetCorp USA","21","1","287280"</v>
      </c>
      <c r="E6105" s="31">
        <f t="shared" si="1846"/>
        <v>0</v>
      </c>
      <c r="F6105" s="31"/>
      <c r="G6105" s="31"/>
      <c r="H6105" s="31"/>
      <c r="I6105" s="56"/>
      <c r="J6105" s="56"/>
      <c r="K6105" s="82" t="str">
        <f t="shared" si="1847"/>
        <v>Invoice</v>
      </c>
      <c r="L6105" s="83" t="str">
        <f>"SI_108823"</f>
        <v>SI_108823</v>
      </c>
      <c r="M6105" s="84">
        <v>43056</v>
      </c>
      <c r="N6105" s="85">
        <f t="shared" si="1848"/>
        <v>756</v>
      </c>
      <c r="O6105" s="86">
        <f t="shared" si="1849"/>
        <v>1512.48</v>
      </c>
      <c r="P6105" s="86">
        <f t="shared" si="1850"/>
        <v>0</v>
      </c>
      <c r="Q6105" s="86">
        <f t="shared" si="1851"/>
        <v>0</v>
      </c>
      <c r="R6105" s="86">
        <f t="shared" si="1852"/>
        <v>0</v>
      </c>
      <c r="S6105" s="86">
        <f t="shared" si="1853"/>
        <v>0</v>
      </c>
      <c r="T6105" s="86">
        <f t="shared" si="1854"/>
        <v>1512.48</v>
      </c>
      <c r="U6105" s="87">
        <v>1512.48</v>
      </c>
    </row>
    <row r="6106" spans="1:22" s="30" customFormat="1" ht="24.6" hidden="1" outlineLevel="1" x14ac:dyDescent="0.55000000000000004">
      <c r="A6106" s="27" t="s">
        <v>327</v>
      </c>
      <c r="B6106" s="28"/>
      <c r="C6106" s="27"/>
      <c r="D6106" s="27" t="str">
        <f>"""NAV Direct"",""CRONUS JetCorp USA"",""21"",""1"",""288575"""</f>
        <v>"NAV Direct","CRONUS JetCorp USA","21","1","288575"</v>
      </c>
      <c r="E6106" s="31" t="str">
        <f t="shared" si="1846"/>
        <v>C100515</v>
      </c>
      <c r="F6106" s="31"/>
      <c r="G6106" s="31"/>
      <c r="H6106" s="31"/>
      <c r="I6106" s="56"/>
      <c r="J6106" s="56"/>
      <c r="K6106" s="82" t="str">
        <f t="shared" si="1847"/>
        <v>Invoice</v>
      </c>
      <c r="L6106" s="83" t="str">
        <f>"SI_108868"</f>
        <v>SI_108868</v>
      </c>
      <c r="M6106" s="84">
        <v>43156</v>
      </c>
      <c r="N6106" s="85">
        <f t="shared" si="1848"/>
        <v>656</v>
      </c>
      <c r="O6106" s="86">
        <f t="shared" si="1849"/>
        <v>1663.73</v>
      </c>
      <c r="P6106" s="86">
        <f t="shared" si="1850"/>
        <v>0</v>
      </c>
      <c r="Q6106" s="86">
        <f t="shared" si="1851"/>
        <v>0</v>
      </c>
      <c r="R6106" s="86">
        <f t="shared" si="1852"/>
        <v>0</v>
      </c>
      <c r="S6106" s="86">
        <f t="shared" si="1853"/>
        <v>0</v>
      </c>
      <c r="T6106" s="86">
        <f t="shared" si="1854"/>
        <v>1663.73</v>
      </c>
      <c r="U6106" s="87">
        <v>1663.73</v>
      </c>
    </row>
    <row r="6107" spans="1:22" s="30" customFormat="1" ht="24.6" hidden="1" outlineLevel="1" x14ac:dyDescent="0.55000000000000004">
      <c r="A6107" s="27" t="s">
        <v>327</v>
      </c>
      <c r="B6107" s="28"/>
      <c r="C6107" s="27"/>
      <c r="D6107" s="27" t="str">
        <f>"""NAV Direct"",""CRONUS JetCorp USA"",""21"",""1"",""289344"""</f>
        <v>"NAV Direct","CRONUS JetCorp USA","21","1","289344"</v>
      </c>
      <c r="E6107" s="31">
        <f t="shared" si="1846"/>
        <v>0</v>
      </c>
      <c r="F6107" s="31"/>
      <c r="G6107" s="31"/>
      <c r="H6107" s="31"/>
      <c r="I6107" s="56"/>
      <c r="J6107" s="56"/>
      <c r="K6107" s="82" t="str">
        <f t="shared" si="1847"/>
        <v>Invoice</v>
      </c>
      <c r="L6107" s="83" t="str">
        <f>"SI_108894"</f>
        <v>SI_108894</v>
      </c>
      <c r="M6107" s="84">
        <v>43240</v>
      </c>
      <c r="N6107" s="85">
        <f t="shared" si="1848"/>
        <v>572</v>
      </c>
      <c r="O6107" s="86">
        <f t="shared" si="1849"/>
        <v>1830</v>
      </c>
      <c r="P6107" s="86">
        <f t="shared" si="1850"/>
        <v>0</v>
      </c>
      <c r="Q6107" s="86">
        <f t="shared" si="1851"/>
        <v>0</v>
      </c>
      <c r="R6107" s="86">
        <f t="shared" si="1852"/>
        <v>0</v>
      </c>
      <c r="S6107" s="86">
        <f t="shared" si="1853"/>
        <v>0</v>
      </c>
      <c r="T6107" s="86">
        <f t="shared" si="1854"/>
        <v>1830</v>
      </c>
      <c r="U6107" s="87">
        <v>1830</v>
      </c>
    </row>
    <row r="6108" spans="1:22" s="30" customFormat="1" ht="24.6" hidden="1" outlineLevel="1" x14ac:dyDescent="0.55000000000000004">
      <c r="A6108" s="27" t="s">
        <v>327</v>
      </c>
      <c r="B6108" s="28"/>
      <c r="C6108" s="27"/>
      <c r="D6108" s="27" t="str">
        <f>"""NAV Direct"",""CRONUS JetCorp USA"",""21"",""1"",""289538"""</f>
        <v>"NAV Direct","CRONUS JetCorp USA","21","1","289538"</v>
      </c>
      <c r="E6108" s="31" t="str">
        <f t="shared" si="1846"/>
        <v>C100515</v>
      </c>
      <c r="F6108" s="31"/>
      <c r="G6108" s="31"/>
      <c r="H6108" s="31"/>
      <c r="I6108" s="56"/>
      <c r="J6108" s="56"/>
      <c r="K6108" s="82" t="str">
        <f t="shared" si="1847"/>
        <v>Invoice</v>
      </c>
      <c r="L6108" s="83" t="str">
        <f>"SI_108900"</f>
        <v>SI_108900</v>
      </c>
      <c r="M6108" s="84">
        <v>43242</v>
      </c>
      <c r="N6108" s="85">
        <f t="shared" si="1848"/>
        <v>570</v>
      </c>
      <c r="O6108" s="86">
        <f t="shared" si="1849"/>
        <v>1830.07</v>
      </c>
      <c r="P6108" s="86">
        <f t="shared" si="1850"/>
        <v>0</v>
      </c>
      <c r="Q6108" s="86">
        <f t="shared" si="1851"/>
        <v>0</v>
      </c>
      <c r="R6108" s="86">
        <f t="shared" si="1852"/>
        <v>0</v>
      </c>
      <c r="S6108" s="86">
        <f t="shared" si="1853"/>
        <v>0</v>
      </c>
      <c r="T6108" s="86">
        <f t="shared" si="1854"/>
        <v>1830.07</v>
      </c>
      <c r="U6108" s="87">
        <v>1830.07</v>
      </c>
    </row>
    <row r="6109" spans="1:22" s="30" customFormat="1" ht="24.6" hidden="1" outlineLevel="1" x14ac:dyDescent="0.55000000000000004">
      <c r="A6109" s="27" t="s">
        <v>327</v>
      </c>
      <c r="B6109" s="28"/>
      <c r="C6109" s="27"/>
      <c r="D6109" s="27" t="str">
        <f>"""NAV Direct"",""CRONUS JetCorp USA"",""21"",""1"",""289612"""</f>
        <v>"NAV Direct","CRONUS JetCorp USA","21","1","289612"</v>
      </c>
      <c r="E6109" s="31">
        <f t="shared" si="1846"/>
        <v>0</v>
      </c>
      <c r="F6109" s="31"/>
      <c r="G6109" s="31"/>
      <c r="H6109" s="31"/>
      <c r="I6109" s="56"/>
      <c r="J6109" s="56"/>
      <c r="K6109" s="82" t="str">
        <f t="shared" si="1847"/>
        <v>Invoice</v>
      </c>
      <c r="L6109" s="83" t="str">
        <f>"SI_108902"</f>
        <v>SI_108902</v>
      </c>
      <c r="M6109" s="84">
        <v>43214</v>
      </c>
      <c r="N6109" s="85">
        <f t="shared" si="1848"/>
        <v>598</v>
      </c>
      <c r="O6109" s="86">
        <f t="shared" si="1849"/>
        <v>1830.0500000000002</v>
      </c>
      <c r="P6109" s="86">
        <f t="shared" si="1850"/>
        <v>0</v>
      </c>
      <c r="Q6109" s="86">
        <f t="shared" si="1851"/>
        <v>0</v>
      </c>
      <c r="R6109" s="86">
        <f t="shared" si="1852"/>
        <v>0</v>
      </c>
      <c r="S6109" s="86">
        <f t="shared" si="1853"/>
        <v>0</v>
      </c>
      <c r="T6109" s="86">
        <f t="shared" si="1854"/>
        <v>1830.0500000000002</v>
      </c>
      <c r="U6109" s="87">
        <v>1830.0500000000002</v>
      </c>
    </row>
    <row r="6110" spans="1:22" s="30" customFormat="1" ht="24.6" hidden="1" outlineLevel="1" x14ac:dyDescent="0.55000000000000004">
      <c r="A6110" s="27" t="s">
        <v>327</v>
      </c>
      <c r="B6110" s="28"/>
      <c r="C6110" s="27"/>
      <c r="D6110" s="27" t="str">
        <f>"""NAV Direct"",""CRONUS JetCorp USA"",""21"",""1"",""290693"""</f>
        <v>"NAV Direct","CRONUS JetCorp USA","21","1","290693"</v>
      </c>
      <c r="E6110" s="31" t="str">
        <f t="shared" si="1846"/>
        <v>C100515</v>
      </c>
      <c r="F6110" s="31"/>
      <c r="G6110" s="31"/>
      <c r="H6110" s="31"/>
      <c r="I6110" s="56"/>
      <c r="J6110" s="56"/>
      <c r="K6110" s="82" t="str">
        <f t="shared" si="1847"/>
        <v>Invoice</v>
      </c>
      <c r="L6110" s="83" t="str">
        <f>"SI_108938"</f>
        <v>SI_108938</v>
      </c>
      <c r="M6110" s="84">
        <v>43316</v>
      </c>
      <c r="N6110" s="85">
        <f t="shared" si="1848"/>
        <v>496</v>
      </c>
      <c r="O6110" s="86">
        <f t="shared" si="1849"/>
        <v>2013.01</v>
      </c>
      <c r="P6110" s="86">
        <f t="shared" si="1850"/>
        <v>0</v>
      </c>
      <c r="Q6110" s="86">
        <f t="shared" si="1851"/>
        <v>0</v>
      </c>
      <c r="R6110" s="86">
        <f t="shared" si="1852"/>
        <v>0</v>
      </c>
      <c r="S6110" s="86">
        <f t="shared" si="1853"/>
        <v>0</v>
      </c>
      <c r="T6110" s="86">
        <f t="shared" si="1854"/>
        <v>2013.01</v>
      </c>
      <c r="U6110" s="87">
        <v>2013.01</v>
      </c>
    </row>
    <row r="6111" spans="1:22" s="30" customFormat="1" ht="24.6" hidden="1" outlineLevel="1" x14ac:dyDescent="0.55000000000000004">
      <c r="A6111" s="27" t="s">
        <v>327</v>
      </c>
      <c r="B6111" s="28"/>
      <c r="C6111" s="27"/>
      <c r="D6111" s="27" t="str">
        <f>"""NAV Direct"",""CRONUS JetCorp USA"",""21"",""1"",""290734"""</f>
        <v>"NAV Direct","CRONUS JetCorp USA","21","1","290734"</v>
      </c>
      <c r="E6111" s="31">
        <f t="shared" si="1846"/>
        <v>0</v>
      </c>
      <c r="F6111" s="31"/>
      <c r="G6111" s="31"/>
      <c r="H6111" s="31"/>
      <c r="I6111" s="56"/>
      <c r="J6111" s="56"/>
      <c r="K6111" s="82" t="str">
        <f t="shared" si="1847"/>
        <v>Invoice</v>
      </c>
      <c r="L6111" s="83" t="str">
        <f>"SI_108939"</f>
        <v>SI_108939</v>
      </c>
      <c r="M6111" s="84">
        <v>43326</v>
      </c>
      <c r="N6111" s="85">
        <f t="shared" si="1848"/>
        <v>486</v>
      </c>
      <c r="O6111" s="86">
        <f t="shared" si="1849"/>
        <v>2013.15</v>
      </c>
      <c r="P6111" s="86">
        <f t="shared" si="1850"/>
        <v>0</v>
      </c>
      <c r="Q6111" s="86">
        <f t="shared" si="1851"/>
        <v>0</v>
      </c>
      <c r="R6111" s="86">
        <f t="shared" si="1852"/>
        <v>0</v>
      </c>
      <c r="S6111" s="86">
        <f t="shared" si="1853"/>
        <v>0</v>
      </c>
      <c r="T6111" s="86">
        <f t="shared" si="1854"/>
        <v>2013.15</v>
      </c>
      <c r="U6111" s="87">
        <v>2013.15</v>
      </c>
    </row>
    <row r="6112" spans="1:22" s="30" customFormat="1" ht="24.6" hidden="1" outlineLevel="1" x14ac:dyDescent="0.55000000000000004">
      <c r="A6112" s="27" t="s">
        <v>327</v>
      </c>
      <c r="B6112" s="28"/>
      <c r="C6112" s="27"/>
      <c r="D6112" s="27" t="str">
        <f>"""NAV Direct"",""CRONUS JetCorp USA"",""21"",""1"",""291117"""</f>
        <v>"NAV Direct","CRONUS JetCorp USA","21","1","291117"</v>
      </c>
      <c r="E6112" s="31" t="str">
        <f t="shared" si="1846"/>
        <v>C100515</v>
      </c>
      <c r="F6112" s="31"/>
      <c r="G6112" s="31"/>
      <c r="H6112" s="31"/>
      <c r="I6112" s="56"/>
      <c r="J6112" s="56"/>
      <c r="K6112" s="82" t="str">
        <f t="shared" si="1847"/>
        <v>Invoice</v>
      </c>
      <c r="L6112" s="83" t="str">
        <f>"SI_108952"</f>
        <v>SI_108952</v>
      </c>
      <c r="M6112" s="84">
        <v>43337</v>
      </c>
      <c r="N6112" s="85">
        <f t="shared" si="1848"/>
        <v>475</v>
      </c>
      <c r="O6112" s="86">
        <f t="shared" si="1849"/>
        <v>2013.08</v>
      </c>
      <c r="P6112" s="86">
        <f t="shared" si="1850"/>
        <v>0</v>
      </c>
      <c r="Q6112" s="86">
        <f t="shared" si="1851"/>
        <v>0</v>
      </c>
      <c r="R6112" s="86">
        <f t="shared" si="1852"/>
        <v>0</v>
      </c>
      <c r="S6112" s="86">
        <f t="shared" si="1853"/>
        <v>0</v>
      </c>
      <c r="T6112" s="86">
        <f t="shared" si="1854"/>
        <v>2013.08</v>
      </c>
      <c r="U6112" s="87">
        <v>2013.08</v>
      </c>
    </row>
    <row r="6113" spans="1:22" s="30" customFormat="1" ht="24.6" hidden="1" outlineLevel="1" x14ac:dyDescent="0.55000000000000004">
      <c r="A6113" s="27" t="s">
        <v>327</v>
      </c>
      <c r="B6113" s="28"/>
      <c r="C6113" s="27"/>
      <c r="D6113" s="27" t="str">
        <f>"""NAV Direct"",""CRONUS JetCorp USA"",""21"",""1"",""292865"""</f>
        <v>"NAV Direct","CRONUS JetCorp USA","21","1","292865"</v>
      </c>
      <c r="E6113" s="31">
        <f t="shared" si="1846"/>
        <v>0</v>
      </c>
      <c r="F6113" s="31"/>
      <c r="G6113" s="31"/>
      <c r="H6113" s="31"/>
      <c r="I6113" s="56"/>
      <c r="J6113" s="56"/>
      <c r="K6113" s="82" t="str">
        <f t="shared" si="1847"/>
        <v>Invoice</v>
      </c>
      <c r="L6113" s="83" t="str">
        <f>"SI_109011"</f>
        <v>SI_109011</v>
      </c>
      <c r="M6113" s="84">
        <v>43442</v>
      </c>
      <c r="N6113" s="85">
        <f t="shared" si="1848"/>
        <v>370</v>
      </c>
      <c r="O6113" s="86">
        <f t="shared" si="1849"/>
        <v>2214.44</v>
      </c>
      <c r="P6113" s="86">
        <f t="shared" si="1850"/>
        <v>0</v>
      </c>
      <c r="Q6113" s="86">
        <f t="shared" si="1851"/>
        <v>0</v>
      </c>
      <c r="R6113" s="86">
        <f t="shared" si="1852"/>
        <v>0</v>
      </c>
      <c r="S6113" s="86">
        <f t="shared" si="1853"/>
        <v>0</v>
      </c>
      <c r="T6113" s="86">
        <f t="shared" si="1854"/>
        <v>2214.44</v>
      </c>
      <c r="U6113" s="87">
        <v>2214.44</v>
      </c>
    </row>
    <row r="6114" spans="1:22" s="30" customFormat="1" ht="24.6" hidden="1" outlineLevel="1" x14ac:dyDescent="0.55000000000000004">
      <c r="A6114" s="27" t="s">
        <v>327</v>
      </c>
      <c r="B6114" s="28"/>
      <c r="C6114" s="27"/>
      <c r="D6114" s="27" t="str">
        <f>"""NAV Direct"",""CRONUS JetCorp USA"",""21"",""1"",""294851"""</f>
        <v>"NAV Direct","CRONUS JetCorp USA","21","1","294851"</v>
      </c>
      <c r="E6114" s="31" t="str">
        <f t="shared" si="1846"/>
        <v>C100515</v>
      </c>
      <c r="F6114" s="31"/>
      <c r="G6114" s="31"/>
      <c r="H6114" s="31"/>
      <c r="I6114" s="56"/>
      <c r="J6114" s="56"/>
      <c r="K6114" s="82" t="str">
        <f t="shared" si="1847"/>
        <v>Invoice</v>
      </c>
      <c r="L6114" s="83" t="str">
        <f>"SI_109076"</f>
        <v>SI_109076</v>
      </c>
      <c r="M6114" s="84">
        <v>43590</v>
      </c>
      <c r="N6114" s="85">
        <f t="shared" si="1848"/>
        <v>222</v>
      </c>
      <c r="O6114" s="86">
        <f t="shared" si="1849"/>
        <v>2679.39</v>
      </c>
      <c r="P6114" s="86">
        <f t="shared" si="1850"/>
        <v>0</v>
      </c>
      <c r="Q6114" s="86">
        <f t="shared" si="1851"/>
        <v>0</v>
      </c>
      <c r="R6114" s="86">
        <f t="shared" si="1852"/>
        <v>0</v>
      </c>
      <c r="S6114" s="86">
        <f t="shared" si="1853"/>
        <v>0</v>
      </c>
      <c r="T6114" s="86">
        <f t="shared" si="1854"/>
        <v>2679.39</v>
      </c>
      <c r="U6114" s="87">
        <v>2679.39</v>
      </c>
    </row>
    <row r="6115" spans="1:22" s="30" customFormat="1" ht="24.6" hidden="1" outlineLevel="1" x14ac:dyDescent="0.55000000000000004">
      <c r="A6115" s="27" t="s">
        <v>327</v>
      </c>
      <c r="B6115" s="28"/>
      <c r="C6115" s="27"/>
      <c r="D6115" s="27" t="str">
        <f>"""NAV Direct"",""CRONUS JetCorp USA"",""21"",""1"",""295168"""</f>
        <v>"NAV Direct","CRONUS JetCorp USA","21","1","295168"</v>
      </c>
      <c r="E6115" s="31">
        <f t="shared" si="1846"/>
        <v>0</v>
      </c>
      <c r="F6115" s="31"/>
      <c r="G6115" s="31"/>
      <c r="H6115" s="31"/>
      <c r="I6115" s="56"/>
      <c r="J6115" s="56"/>
      <c r="K6115" s="82" t="str">
        <f t="shared" si="1847"/>
        <v>Invoice</v>
      </c>
      <c r="L6115" s="83" t="str">
        <f>"SI_109086"</f>
        <v>SI_109086</v>
      </c>
      <c r="M6115" s="84">
        <v>43603</v>
      </c>
      <c r="N6115" s="85">
        <f t="shared" si="1848"/>
        <v>209</v>
      </c>
      <c r="O6115" s="86">
        <f t="shared" si="1849"/>
        <v>2679.46</v>
      </c>
      <c r="P6115" s="86">
        <f t="shared" si="1850"/>
        <v>0</v>
      </c>
      <c r="Q6115" s="86">
        <f t="shared" si="1851"/>
        <v>0</v>
      </c>
      <c r="R6115" s="86">
        <f t="shared" si="1852"/>
        <v>0</v>
      </c>
      <c r="S6115" s="86">
        <f t="shared" si="1853"/>
        <v>0</v>
      </c>
      <c r="T6115" s="86">
        <f t="shared" si="1854"/>
        <v>2679.46</v>
      </c>
      <c r="U6115" s="87">
        <v>2679.46</v>
      </c>
    </row>
    <row r="6116" spans="1:22" s="30" customFormat="1" ht="24.6" hidden="1" outlineLevel="1" x14ac:dyDescent="0.55000000000000004">
      <c r="A6116" s="27" t="s">
        <v>327</v>
      </c>
      <c r="B6116" s="28"/>
      <c r="C6116" s="27"/>
      <c r="D6116" s="27" t="str">
        <f>"""NAV Direct"",""CRONUS JetCorp USA"",""21"",""1"",""295234"""</f>
        <v>"NAV Direct","CRONUS JetCorp USA","21","1","295234"</v>
      </c>
      <c r="E6116" s="31" t="str">
        <f t="shared" si="1846"/>
        <v>C100515</v>
      </c>
      <c r="F6116" s="31"/>
      <c r="G6116" s="31"/>
      <c r="H6116" s="31"/>
      <c r="I6116" s="56"/>
      <c r="J6116" s="56"/>
      <c r="K6116" s="82" t="str">
        <f t="shared" si="1847"/>
        <v>Invoice</v>
      </c>
      <c r="L6116" s="83" t="str">
        <f>"SI_109088"</f>
        <v>SI_109088</v>
      </c>
      <c r="M6116" s="84">
        <v>43612</v>
      </c>
      <c r="N6116" s="85">
        <f t="shared" si="1848"/>
        <v>200</v>
      </c>
      <c r="O6116" s="86">
        <f t="shared" si="1849"/>
        <v>2679.33</v>
      </c>
      <c r="P6116" s="86">
        <f t="shared" si="1850"/>
        <v>0</v>
      </c>
      <c r="Q6116" s="86">
        <f t="shared" si="1851"/>
        <v>0</v>
      </c>
      <c r="R6116" s="86">
        <f t="shared" si="1852"/>
        <v>0</v>
      </c>
      <c r="S6116" s="86">
        <f t="shared" si="1853"/>
        <v>0</v>
      </c>
      <c r="T6116" s="86">
        <f t="shared" si="1854"/>
        <v>2679.33</v>
      </c>
      <c r="U6116" s="87">
        <v>2679.33</v>
      </c>
    </row>
    <row r="6117" spans="1:22" s="30" customFormat="1" ht="24.6" hidden="1" outlineLevel="1" x14ac:dyDescent="0.55000000000000004">
      <c r="A6117" s="27" t="s">
        <v>327</v>
      </c>
      <c r="B6117" s="28"/>
      <c r="C6117" s="27"/>
      <c r="D6117" s="27" t="str">
        <f>"""NAV Direct"",""CRONUS JetCorp USA"",""21"",""1"",""296939"""</f>
        <v>"NAV Direct","CRONUS JetCorp USA","21","1","296939"</v>
      </c>
      <c r="E6117" s="31">
        <f t="shared" si="1846"/>
        <v>0</v>
      </c>
      <c r="F6117" s="31"/>
      <c r="G6117" s="31"/>
      <c r="H6117" s="31"/>
      <c r="I6117" s="56"/>
      <c r="J6117" s="56"/>
      <c r="K6117" s="82" t="str">
        <f t="shared" si="1847"/>
        <v>Invoice</v>
      </c>
      <c r="L6117" s="83" t="str">
        <f>"SI_109139"</f>
        <v>SI_109139</v>
      </c>
      <c r="M6117" s="84">
        <v>43698</v>
      </c>
      <c r="N6117" s="85">
        <f t="shared" si="1848"/>
        <v>114</v>
      </c>
      <c r="O6117" s="86">
        <f t="shared" si="1849"/>
        <v>2947.23</v>
      </c>
      <c r="P6117" s="86">
        <f t="shared" si="1850"/>
        <v>0</v>
      </c>
      <c r="Q6117" s="86">
        <f t="shared" si="1851"/>
        <v>0</v>
      </c>
      <c r="R6117" s="86">
        <f t="shared" si="1852"/>
        <v>0</v>
      </c>
      <c r="S6117" s="86">
        <f t="shared" si="1853"/>
        <v>0</v>
      </c>
      <c r="T6117" s="86">
        <f t="shared" si="1854"/>
        <v>2947.23</v>
      </c>
      <c r="U6117" s="87">
        <v>2947.23</v>
      </c>
    </row>
    <row r="6118" spans="1:22" s="30" customFormat="1" ht="24.6" hidden="1" outlineLevel="1" x14ac:dyDescent="0.55000000000000004">
      <c r="A6118" s="27" t="s">
        <v>327</v>
      </c>
      <c r="B6118" s="28"/>
      <c r="C6118" s="27"/>
      <c r="D6118" s="27" t="str">
        <f>"""NAV Direct"",""CRONUS JetCorp USA"",""21"",""1"",""300563"""</f>
        <v>"NAV Direct","CRONUS JetCorp USA","21","1","300563"</v>
      </c>
      <c r="E6118" s="31" t="str">
        <f t="shared" si="1846"/>
        <v>C100515</v>
      </c>
      <c r="F6118" s="31"/>
      <c r="G6118" s="31"/>
      <c r="H6118" s="31"/>
      <c r="I6118" s="56"/>
      <c r="J6118" s="56"/>
      <c r="K6118" s="82" t="str">
        <f t="shared" si="1847"/>
        <v>Invoice</v>
      </c>
      <c r="L6118" s="83" t="str">
        <f>"SI_109249"</f>
        <v>SI_109249</v>
      </c>
      <c r="M6118" s="84">
        <v>42057</v>
      </c>
      <c r="N6118" s="85">
        <f t="shared" si="1848"/>
        <v>1755</v>
      </c>
      <c r="O6118" s="86">
        <f t="shared" si="1849"/>
        <v>3566.27</v>
      </c>
      <c r="P6118" s="86">
        <f t="shared" si="1850"/>
        <v>0</v>
      </c>
      <c r="Q6118" s="86">
        <f t="shared" si="1851"/>
        <v>0</v>
      </c>
      <c r="R6118" s="86">
        <f t="shared" si="1852"/>
        <v>0</v>
      </c>
      <c r="S6118" s="86">
        <f t="shared" si="1853"/>
        <v>0</v>
      </c>
      <c r="T6118" s="86">
        <f t="shared" si="1854"/>
        <v>3566.27</v>
      </c>
      <c r="U6118" s="87">
        <v>3566.27</v>
      </c>
    </row>
    <row r="6119" spans="1:22" s="30" customFormat="1" ht="24.6" hidden="1" outlineLevel="1" x14ac:dyDescent="0.55000000000000004">
      <c r="A6119" s="27" t="s">
        <v>327</v>
      </c>
      <c r="B6119" s="28"/>
      <c r="C6119" s="27"/>
      <c r="D6119" s="27" t="str">
        <f>"""NAV Direct"",""CRONUS JetCorp USA"",""21"",""1"",""301323"""</f>
        <v>"NAV Direct","CRONUS JetCorp USA","21","1","301323"</v>
      </c>
      <c r="E6119" s="31">
        <f t="shared" si="1846"/>
        <v>0</v>
      </c>
      <c r="F6119" s="31"/>
      <c r="G6119" s="31"/>
      <c r="H6119" s="31"/>
      <c r="I6119" s="56"/>
      <c r="J6119" s="56"/>
      <c r="K6119" s="82" t="str">
        <f t="shared" si="1847"/>
        <v>Invoice</v>
      </c>
      <c r="L6119" s="83" t="str">
        <f>"SI_109272"</f>
        <v>SI_109272</v>
      </c>
      <c r="M6119" s="84">
        <v>42080</v>
      </c>
      <c r="N6119" s="85">
        <f t="shared" si="1848"/>
        <v>1732</v>
      </c>
      <c r="O6119" s="86">
        <f t="shared" si="1849"/>
        <v>3566.42</v>
      </c>
      <c r="P6119" s="86">
        <f t="shared" si="1850"/>
        <v>0</v>
      </c>
      <c r="Q6119" s="86">
        <f t="shared" si="1851"/>
        <v>0</v>
      </c>
      <c r="R6119" s="86">
        <f t="shared" si="1852"/>
        <v>0</v>
      </c>
      <c r="S6119" s="86">
        <f t="shared" si="1853"/>
        <v>0</v>
      </c>
      <c r="T6119" s="86">
        <f t="shared" si="1854"/>
        <v>3566.42</v>
      </c>
      <c r="U6119" s="87">
        <v>3566.42</v>
      </c>
    </row>
    <row r="6120" spans="1:22" s="30" customFormat="1" ht="24.6" hidden="1" outlineLevel="1" x14ac:dyDescent="0.55000000000000004">
      <c r="A6120" s="27" t="s">
        <v>327</v>
      </c>
      <c r="B6120" s="28"/>
      <c r="C6120" s="27"/>
      <c r="D6120" s="27" t="str">
        <f>"""NAV Direct"",""CRONUS JetCorp USA"",""21"",""1"",""303114"""</f>
        <v>"NAV Direct","CRONUS JetCorp USA","21","1","303114"</v>
      </c>
      <c r="E6120" s="31" t="str">
        <f t="shared" si="1846"/>
        <v>C100515</v>
      </c>
      <c r="F6120" s="31"/>
      <c r="G6120" s="31"/>
      <c r="H6120" s="31"/>
      <c r="I6120" s="56"/>
      <c r="J6120" s="56"/>
      <c r="K6120" s="82" t="str">
        <f t="shared" si="1847"/>
        <v>Invoice</v>
      </c>
      <c r="L6120" s="83" t="str">
        <f>"SI_109323"</f>
        <v>SI_109323</v>
      </c>
      <c r="M6120" s="84">
        <v>42174</v>
      </c>
      <c r="N6120" s="85">
        <f t="shared" si="1848"/>
        <v>1638</v>
      </c>
      <c r="O6120" s="86">
        <f t="shared" si="1849"/>
        <v>3923.0000000000005</v>
      </c>
      <c r="P6120" s="86">
        <f t="shared" si="1850"/>
        <v>0</v>
      </c>
      <c r="Q6120" s="86">
        <f t="shared" si="1851"/>
        <v>0</v>
      </c>
      <c r="R6120" s="86">
        <f t="shared" si="1852"/>
        <v>0</v>
      </c>
      <c r="S6120" s="86">
        <f t="shared" si="1853"/>
        <v>0</v>
      </c>
      <c r="T6120" s="86">
        <f t="shared" si="1854"/>
        <v>3923.0000000000005</v>
      </c>
      <c r="U6120" s="87">
        <v>3923.0000000000005</v>
      </c>
    </row>
    <row r="6121" spans="1:22" s="22" customFormat="1" ht="20.399999999999999" collapsed="1" x14ac:dyDescent="0.45">
      <c r="A6121" s="12" t="s">
        <v>327</v>
      </c>
      <c r="B6121" s="19"/>
      <c r="C6121" s="12"/>
      <c r="D6121" s="12"/>
      <c r="E6121" s="23"/>
      <c r="F6121" s="23"/>
      <c r="G6121" s="23"/>
      <c r="H6121" s="23"/>
      <c r="I6121" s="49"/>
      <c r="J6121" s="88"/>
      <c r="K6121" s="88"/>
      <c r="L6121" s="89"/>
      <c r="M6121" s="89"/>
      <c r="N6121" s="89"/>
      <c r="O6121" s="89"/>
      <c r="P6121" s="89"/>
      <c r="Q6121" s="90"/>
      <c r="R6121" s="90"/>
      <c r="S6121" s="91"/>
      <c r="T6121" s="92"/>
      <c r="U6121" s="92"/>
    </row>
    <row r="6122" spans="1:22" s="22" customFormat="1" ht="20.399999999999999" x14ac:dyDescent="0.45">
      <c r="A6122" s="12" t="s">
        <v>327</v>
      </c>
      <c r="B6122" s="19"/>
      <c r="C6122" s="12"/>
      <c r="D6122" s="12"/>
      <c r="E6122" s="23"/>
      <c r="F6122" s="23"/>
      <c r="G6122" s="23"/>
      <c r="H6122" s="23"/>
      <c r="I6122" s="49"/>
      <c r="J6122" s="88"/>
      <c r="K6122" s="88"/>
      <c r="L6122" s="89"/>
      <c r="M6122" s="89"/>
      <c r="N6122" s="89"/>
      <c r="O6122" s="89"/>
      <c r="P6122" s="89"/>
      <c r="Q6122" s="90"/>
      <c r="R6122" s="90"/>
      <c r="S6122" s="91"/>
      <c r="T6122" s="92"/>
      <c r="U6122" s="92"/>
    </row>
    <row r="6123" spans="1:22" s="26" customFormat="1" ht="24.6" x14ac:dyDescent="0.55000000000000004">
      <c r="A6123" s="27" t="s">
        <v>327</v>
      </c>
      <c r="B6123" s="28"/>
      <c r="C6123" s="27" t="str">
        <f>"""NAV Direct"",""CRONUS JetCorp USA"",""18"",""1"",""C100516"""</f>
        <v>"NAV Direct","CRONUS JetCorp USA","18","1","C100516"</v>
      </c>
      <c r="D6123" s="27"/>
      <c r="E6123" s="28" t="str">
        <f>H6123</f>
        <v>C100516</v>
      </c>
      <c r="F6123" s="28"/>
      <c r="G6123" s="28"/>
      <c r="H6123" s="28" t="str">
        <f>"C100516"</f>
        <v>C100516</v>
      </c>
      <c r="I6123" s="116" t="str">
        <f>"C100516  -  Carlton's"</f>
        <v>C100516  -  Carlton's</v>
      </c>
      <c r="J6123" s="117" t="str">
        <f>""</f>
        <v/>
      </c>
      <c r="K6123" s="118"/>
      <c r="L6123" s="119">
        <f>SUBTOTAL(3,L6124:L6154)</f>
        <v>27</v>
      </c>
      <c r="M6123" s="118"/>
      <c r="N6123" s="118"/>
      <c r="O6123" s="120">
        <f t="shared" ref="O6123:T6123" si="1855">SUBTOTAL(9,O6124:O6154)</f>
        <v>53485.9</v>
      </c>
      <c r="P6123" s="120">
        <f t="shared" si="1855"/>
        <v>0</v>
      </c>
      <c r="Q6123" s="120">
        <f t="shared" si="1855"/>
        <v>6484.09</v>
      </c>
      <c r="R6123" s="120">
        <f t="shared" si="1855"/>
        <v>0</v>
      </c>
      <c r="S6123" s="120">
        <f t="shared" si="1855"/>
        <v>0</v>
      </c>
      <c r="T6123" s="120">
        <f t="shared" si="1855"/>
        <v>47001.81</v>
      </c>
      <c r="U6123" s="81"/>
    </row>
    <row r="6124" spans="1:22" s="26" customFormat="1" ht="24.6" x14ac:dyDescent="0.55000000000000004">
      <c r="A6124" s="27" t="s">
        <v>327</v>
      </c>
      <c r="B6124" s="28"/>
      <c r="C6124" s="27" t="str">
        <f>C6123</f>
        <v>"NAV Direct","CRONUS JetCorp USA","18","1","C100516"</v>
      </c>
      <c r="D6124" s="27"/>
      <c r="E6124" s="28" t="str">
        <f>E6123</f>
        <v>C100516</v>
      </c>
      <c r="F6124" s="28"/>
      <c r="G6124" s="28"/>
      <c r="H6124" s="28"/>
      <c r="I6124" s="121" t="str">
        <f>"Contact: Blake Griffith"</f>
        <v>Contact: Blake Griffith</v>
      </c>
      <c r="J6124" s="121"/>
      <c r="K6124" s="122"/>
      <c r="L6124" s="123"/>
      <c r="M6124" s="123"/>
      <c r="N6124" s="124"/>
      <c r="O6124" s="124"/>
      <c r="P6124" s="123"/>
      <c r="Q6124" s="125"/>
      <c r="R6124" s="126"/>
      <c r="S6124" s="126"/>
      <c r="T6124" s="125"/>
      <c r="U6124" s="81"/>
    </row>
    <row r="6125" spans="1:22" s="26" customFormat="1" ht="24.6" x14ac:dyDescent="0.55000000000000004">
      <c r="A6125" s="27" t="s">
        <v>327</v>
      </c>
      <c r="B6125" s="28"/>
      <c r="C6125" s="27" t="str">
        <f>C6124</f>
        <v>"NAV Direct","CRONUS JetCorp USA","18","1","C100516"</v>
      </c>
      <c r="D6125" s="27"/>
      <c r="E6125" s="28" t="str">
        <f>E6124</f>
        <v>C100516</v>
      </c>
      <c r="F6125" s="28"/>
      <c r="G6125" s="28"/>
      <c r="H6125" s="28"/>
      <c r="I6125" s="121" t="str">
        <f>"Carlton's@cronuscorp.net"</f>
        <v>Carlton's@cronuscorp.net</v>
      </c>
      <c r="J6125" s="121"/>
      <c r="K6125" s="122"/>
      <c r="L6125" s="124"/>
      <c r="M6125" s="124"/>
      <c r="N6125" s="124"/>
      <c r="O6125" s="124"/>
      <c r="P6125" s="123"/>
      <c r="Q6125" s="125"/>
      <c r="R6125" s="126"/>
      <c r="S6125" s="126"/>
      <c r="T6125" s="125"/>
      <c r="U6125" s="81"/>
    </row>
    <row r="6126" spans="1:22" ht="12.75" hidden="1" customHeight="1" outlineLevel="1" x14ac:dyDescent="0.45">
      <c r="A6126" s="12" t="s">
        <v>328</v>
      </c>
      <c r="B6126" s="19"/>
      <c r="E6126" s="19"/>
      <c r="F6126" s="19"/>
      <c r="G6126" s="19"/>
      <c r="H6126" s="19"/>
      <c r="I6126" s="61"/>
      <c r="J6126" s="61"/>
      <c r="K6126" s="61"/>
      <c r="L6126" s="61"/>
      <c r="M6126" s="61"/>
      <c r="N6126" s="61"/>
      <c r="O6126" s="61"/>
      <c r="P6126" s="61"/>
      <c r="Q6126" s="61"/>
      <c r="R6126" s="61"/>
      <c r="S6126" s="61"/>
      <c r="T6126" s="61"/>
      <c r="U6126" s="61"/>
      <c r="V6126" s="21"/>
    </row>
    <row r="6127" spans="1:22" s="30" customFormat="1" ht="24.6" hidden="1" outlineLevel="1" x14ac:dyDescent="0.55000000000000004">
      <c r="A6127" s="27" t="s">
        <v>327</v>
      </c>
      <c r="B6127" s="28"/>
      <c r="C6127" s="27"/>
      <c r="D6127" s="27" t="str">
        <f>"""NAV Direct"",""CRONUS JetCorp USA"",""21"",""1"",""281101"""</f>
        <v>"NAV Direct","CRONUS JetCorp USA","21","1","281101"</v>
      </c>
      <c r="E6127" s="31" t="str">
        <f t="shared" ref="E6127:E6153" si="1856">E6125</f>
        <v>C100516</v>
      </c>
      <c r="F6127" s="31"/>
      <c r="G6127" s="31"/>
      <c r="H6127" s="31"/>
      <c r="I6127" s="56"/>
      <c r="J6127" s="56"/>
      <c r="K6127" s="82" t="str">
        <f t="shared" ref="K6127:K6153" si="1857">"Invoice"</f>
        <v>Invoice</v>
      </c>
      <c r="L6127" s="83" t="str">
        <f>"SI_108595"</f>
        <v>SI_108595</v>
      </c>
      <c r="M6127" s="84">
        <v>43603</v>
      </c>
      <c r="N6127" s="85">
        <f t="shared" ref="N6127:N6153" si="1858">StartDate-$M6127+1</f>
        <v>209</v>
      </c>
      <c r="O6127" s="86">
        <f t="shared" ref="O6127:O6153" si="1859">SUM(P6127:T6127)</f>
        <v>587.95000000000005</v>
      </c>
      <c r="P6127" s="86">
        <f t="shared" ref="P6127:P6153" si="1860">IF($M6127&gt;=$P$18,U6127,0)</f>
        <v>0</v>
      </c>
      <c r="Q6127" s="86">
        <f t="shared" ref="Q6127:Q6153" si="1861">IF(AND($M6127&gt;=$Q$16,$M6127&lt;=$Q$18),U6127,0)</f>
        <v>0</v>
      </c>
      <c r="R6127" s="86">
        <f t="shared" ref="R6127:R6153" si="1862">IF(AND($M6127&gt;=$R$16,$M6127&lt;=$R$18),U6127,0)</f>
        <v>0</v>
      </c>
      <c r="S6127" s="86">
        <f t="shared" ref="S6127:S6153" si="1863">IF(AND($M6127&gt;=$S$16,$M6127&lt;=$S$18),U6127,0)</f>
        <v>0</v>
      </c>
      <c r="T6127" s="86">
        <f t="shared" ref="T6127:T6153" si="1864">IF($M6127&lt;=$T$18,U6127,0)</f>
        <v>587.95000000000005</v>
      </c>
      <c r="U6127" s="87">
        <v>587.95000000000005</v>
      </c>
    </row>
    <row r="6128" spans="1:22" s="30" customFormat="1" ht="24.6" hidden="1" outlineLevel="1" x14ac:dyDescent="0.55000000000000004">
      <c r="A6128" s="27" t="s">
        <v>327</v>
      </c>
      <c r="B6128" s="28"/>
      <c r="C6128" s="27"/>
      <c r="D6128" s="27" t="str">
        <f>"""NAV Direct"",""CRONUS JetCorp USA"",""21"",""1"",""281126"""</f>
        <v>"NAV Direct","CRONUS JetCorp USA","21","1","281126"</v>
      </c>
      <c r="E6128" s="31">
        <f t="shared" si="1856"/>
        <v>0</v>
      </c>
      <c r="F6128" s="31"/>
      <c r="G6128" s="31"/>
      <c r="H6128" s="31"/>
      <c r="I6128" s="56"/>
      <c r="J6128" s="56"/>
      <c r="K6128" s="82" t="str">
        <f t="shared" si="1857"/>
        <v>Invoice</v>
      </c>
      <c r="L6128" s="83" t="str">
        <f>"SI_108596"</f>
        <v>SI_108596</v>
      </c>
      <c r="M6128" s="84">
        <v>43576</v>
      </c>
      <c r="N6128" s="85">
        <f t="shared" si="1858"/>
        <v>236</v>
      </c>
      <c r="O6128" s="86">
        <f t="shared" si="1859"/>
        <v>587.9</v>
      </c>
      <c r="P6128" s="86">
        <f t="shared" si="1860"/>
        <v>0</v>
      </c>
      <c r="Q6128" s="86">
        <f t="shared" si="1861"/>
        <v>0</v>
      </c>
      <c r="R6128" s="86">
        <f t="shared" si="1862"/>
        <v>0</v>
      </c>
      <c r="S6128" s="86">
        <f t="shared" si="1863"/>
        <v>0</v>
      </c>
      <c r="T6128" s="86">
        <f t="shared" si="1864"/>
        <v>587.9</v>
      </c>
      <c r="U6128" s="87">
        <v>587.9</v>
      </c>
    </row>
    <row r="6129" spans="1:21" s="30" customFormat="1" ht="24.6" hidden="1" outlineLevel="1" x14ac:dyDescent="0.55000000000000004">
      <c r="A6129" s="27" t="s">
        <v>327</v>
      </c>
      <c r="B6129" s="28"/>
      <c r="C6129" s="27"/>
      <c r="D6129" s="27" t="str">
        <f>"""NAV Direct"",""CRONUS JetCorp USA"",""21"",""1"",""281212"""</f>
        <v>"NAV Direct","CRONUS JetCorp USA","21","1","281212"</v>
      </c>
      <c r="E6129" s="31" t="str">
        <f t="shared" si="1856"/>
        <v>C100516</v>
      </c>
      <c r="F6129" s="31"/>
      <c r="G6129" s="31"/>
      <c r="H6129" s="31"/>
      <c r="I6129" s="56"/>
      <c r="J6129" s="56"/>
      <c r="K6129" s="82" t="str">
        <f t="shared" si="1857"/>
        <v>Invoice</v>
      </c>
      <c r="L6129" s="83" t="str">
        <f>"SI_108600"</f>
        <v>SI_108600</v>
      </c>
      <c r="M6129" s="84">
        <v>43637</v>
      </c>
      <c r="N6129" s="85">
        <f t="shared" si="1858"/>
        <v>175</v>
      </c>
      <c r="O6129" s="86">
        <f t="shared" si="1859"/>
        <v>587.70000000000005</v>
      </c>
      <c r="P6129" s="86">
        <f t="shared" si="1860"/>
        <v>0</v>
      </c>
      <c r="Q6129" s="86">
        <f t="shared" si="1861"/>
        <v>0</v>
      </c>
      <c r="R6129" s="86">
        <f t="shared" si="1862"/>
        <v>0</v>
      </c>
      <c r="S6129" s="86">
        <f t="shared" si="1863"/>
        <v>0</v>
      </c>
      <c r="T6129" s="86">
        <f t="shared" si="1864"/>
        <v>587.70000000000005</v>
      </c>
      <c r="U6129" s="87">
        <v>587.70000000000005</v>
      </c>
    </row>
    <row r="6130" spans="1:21" s="30" customFormat="1" ht="24.6" hidden="1" outlineLevel="1" x14ac:dyDescent="0.55000000000000004">
      <c r="A6130" s="27" t="s">
        <v>327</v>
      </c>
      <c r="B6130" s="28"/>
      <c r="C6130" s="27"/>
      <c r="D6130" s="27" t="str">
        <f>"""NAV Direct"",""CRONUS JetCorp USA"",""21"",""1"",""281624"""</f>
        <v>"NAV Direct","CRONUS JetCorp USA","21","1","281624"</v>
      </c>
      <c r="E6130" s="31">
        <f t="shared" si="1856"/>
        <v>0</v>
      </c>
      <c r="F6130" s="31"/>
      <c r="G6130" s="31"/>
      <c r="H6130" s="31"/>
      <c r="I6130" s="56"/>
      <c r="J6130" s="56"/>
      <c r="K6130" s="82" t="str">
        <f t="shared" si="1857"/>
        <v>Invoice</v>
      </c>
      <c r="L6130" s="83" t="str">
        <f>"SI_108617"</f>
        <v>SI_108617</v>
      </c>
      <c r="M6130" s="84">
        <v>43689</v>
      </c>
      <c r="N6130" s="85">
        <f t="shared" si="1858"/>
        <v>123</v>
      </c>
      <c r="O6130" s="86">
        <f t="shared" si="1859"/>
        <v>587.78</v>
      </c>
      <c r="P6130" s="86">
        <f t="shared" si="1860"/>
        <v>0</v>
      </c>
      <c r="Q6130" s="86">
        <f t="shared" si="1861"/>
        <v>0</v>
      </c>
      <c r="R6130" s="86">
        <f t="shared" si="1862"/>
        <v>0</v>
      </c>
      <c r="S6130" s="86">
        <f t="shared" si="1863"/>
        <v>0</v>
      </c>
      <c r="T6130" s="86">
        <f t="shared" si="1864"/>
        <v>587.78</v>
      </c>
      <c r="U6130" s="87">
        <v>587.78</v>
      </c>
    </row>
    <row r="6131" spans="1:21" s="30" customFormat="1" ht="24.6" hidden="1" outlineLevel="1" x14ac:dyDescent="0.55000000000000004">
      <c r="A6131" s="27" t="s">
        <v>327</v>
      </c>
      <c r="B6131" s="28"/>
      <c r="C6131" s="27"/>
      <c r="D6131" s="27" t="str">
        <f>"""NAV Direct"",""CRONUS JetCorp USA"",""21"",""1"",""282124"""</f>
        <v>"NAV Direct","CRONUS JetCorp USA","21","1","282124"</v>
      </c>
      <c r="E6131" s="31" t="str">
        <f t="shared" si="1856"/>
        <v>C100516</v>
      </c>
      <c r="F6131" s="31"/>
      <c r="G6131" s="31"/>
      <c r="H6131" s="31"/>
      <c r="I6131" s="56"/>
      <c r="J6131" s="56"/>
      <c r="K6131" s="82" t="str">
        <f t="shared" si="1857"/>
        <v>Invoice</v>
      </c>
      <c r="L6131" s="83" t="str">
        <f>"SI_108636"</f>
        <v>SI_108636</v>
      </c>
      <c r="M6131" s="84">
        <v>42052</v>
      </c>
      <c r="N6131" s="85">
        <f t="shared" si="1858"/>
        <v>1760</v>
      </c>
      <c r="O6131" s="86">
        <f t="shared" si="1859"/>
        <v>776.09</v>
      </c>
      <c r="P6131" s="86">
        <f t="shared" si="1860"/>
        <v>0</v>
      </c>
      <c r="Q6131" s="86">
        <f t="shared" si="1861"/>
        <v>0</v>
      </c>
      <c r="R6131" s="86">
        <f t="shared" si="1862"/>
        <v>0</v>
      </c>
      <c r="S6131" s="86">
        <f t="shared" si="1863"/>
        <v>0</v>
      </c>
      <c r="T6131" s="86">
        <f t="shared" si="1864"/>
        <v>776.09</v>
      </c>
      <c r="U6131" s="87">
        <v>776.09</v>
      </c>
    </row>
    <row r="6132" spans="1:21" s="30" customFormat="1" ht="24.6" hidden="1" outlineLevel="1" x14ac:dyDescent="0.55000000000000004">
      <c r="A6132" s="27" t="s">
        <v>327</v>
      </c>
      <c r="B6132" s="28"/>
      <c r="C6132" s="27"/>
      <c r="D6132" s="27" t="str">
        <f>"""NAV Direct"",""CRONUS JetCorp USA"",""21"",""1"",""283014"""</f>
        <v>"NAV Direct","CRONUS JetCorp USA","21","1","283014"</v>
      </c>
      <c r="E6132" s="31">
        <f t="shared" si="1856"/>
        <v>0</v>
      </c>
      <c r="F6132" s="31"/>
      <c r="G6132" s="31"/>
      <c r="H6132" s="31"/>
      <c r="I6132" s="56"/>
      <c r="J6132" s="56"/>
      <c r="K6132" s="82" t="str">
        <f t="shared" si="1857"/>
        <v>Invoice</v>
      </c>
      <c r="L6132" s="83" t="str">
        <f>"SI_108670"</f>
        <v>SI_108670</v>
      </c>
      <c r="M6132" s="84">
        <v>42152</v>
      </c>
      <c r="N6132" s="85">
        <f t="shared" si="1858"/>
        <v>1660</v>
      </c>
      <c r="O6132" s="86">
        <f t="shared" si="1859"/>
        <v>853.58999999999992</v>
      </c>
      <c r="P6132" s="86">
        <f t="shared" si="1860"/>
        <v>0</v>
      </c>
      <c r="Q6132" s="86">
        <f t="shared" si="1861"/>
        <v>0</v>
      </c>
      <c r="R6132" s="86">
        <f t="shared" si="1862"/>
        <v>0</v>
      </c>
      <c r="S6132" s="86">
        <f t="shared" si="1863"/>
        <v>0</v>
      </c>
      <c r="T6132" s="86">
        <f t="shared" si="1864"/>
        <v>853.58999999999992</v>
      </c>
      <c r="U6132" s="87">
        <v>853.58999999999992</v>
      </c>
    </row>
    <row r="6133" spans="1:21" s="30" customFormat="1" ht="24.6" hidden="1" outlineLevel="1" x14ac:dyDescent="0.55000000000000004">
      <c r="A6133" s="27" t="s">
        <v>327</v>
      </c>
      <c r="B6133" s="28"/>
      <c r="C6133" s="27"/>
      <c r="D6133" s="27" t="str">
        <f>"""NAV Direct"",""CRONUS JetCorp USA"",""21"",""1"",""285891"""</f>
        <v>"NAV Direct","CRONUS JetCorp USA","21","1","285891"</v>
      </c>
      <c r="E6133" s="31" t="str">
        <f t="shared" si="1856"/>
        <v>C100516</v>
      </c>
      <c r="F6133" s="31"/>
      <c r="G6133" s="31"/>
      <c r="H6133" s="31"/>
      <c r="I6133" s="56"/>
      <c r="J6133" s="56"/>
      <c r="K6133" s="82" t="str">
        <f t="shared" si="1857"/>
        <v>Invoice</v>
      </c>
      <c r="L6133" s="83" t="str">
        <f>"SI_108776"</f>
        <v>SI_108776</v>
      </c>
      <c r="M6133" s="84">
        <v>42894</v>
      </c>
      <c r="N6133" s="85">
        <f t="shared" si="1858"/>
        <v>918</v>
      </c>
      <c r="O6133" s="86">
        <f t="shared" si="1859"/>
        <v>1250.03</v>
      </c>
      <c r="P6133" s="86">
        <f t="shared" si="1860"/>
        <v>0</v>
      </c>
      <c r="Q6133" s="86">
        <f t="shared" si="1861"/>
        <v>0</v>
      </c>
      <c r="R6133" s="86">
        <f t="shared" si="1862"/>
        <v>0</v>
      </c>
      <c r="S6133" s="86">
        <f t="shared" si="1863"/>
        <v>0</v>
      </c>
      <c r="T6133" s="86">
        <f t="shared" si="1864"/>
        <v>1250.03</v>
      </c>
      <c r="U6133" s="87">
        <v>1250.03</v>
      </c>
    </row>
    <row r="6134" spans="1:21" s="30" customFormat="1" ht="24.6" hidden="1" outlineLevel="1" x14ac:dyDescent="0.55000000000000004">
      <c r="A6134" s="27" t="s">
        <v>327</v>
      </c>
      <c r="B6134" s="28"/>
      <c r="C6134" s="27"/>
      <c r="D6134" s="27" t="str">
        <f>"""NAV Direct"",""CRONUS JetCorp USA"",""21"",""1"",""286262"""</f>
        <v>"NAV Direct","CRONUS JetCorp USA","21","1","286262"</v>
      </c>
      <c r="E6134" s="31">
        <f t="shared" si="1856"/>
        <v>0</v>
      </c>
      <c r="F6134" s="31"/>
      <c r="G6134" s="31"/>
      <c r="H6134" s="31"/>
      <c r="I6134" s="56"/>
      <c r="J6134" s="56"/>
      <c r="K6134" s="82" t="str">
        <f t="shared" si="1857"/>
        <v>Invoice</v>
      </c>
      <c r="L6134" s="83" t="str">
        <f>"SI_108788"</f>
        <v>SI_108788</v>
      </c>
      <c r="M6134" s="84">
        <v>42956</v>
      </c>
      <c r="N6134" s="85">
        <f t="shared" si="1858"/>
        <v>856</v>
      </c>
      <c r="O6134" s="86">
        <f t="shared" si="1859"/>
        <v>1374.79</v>
      </c>
      <c r="P6134" s="86">
        <f t="shared" si="1860"/>
        <v>0</v>
      </c>
      <c r="Q6134" s="86">
        <f t="shared" si="1861"/>
        <v>0</v>
      </c>
      <c r="R6134" s="86">
        <f t="shared" si="1862"/>
        <v>0</v>
      </c>
      <c r="S6134" s="86">
        <f t="shared" si="1863"/>
        <v>0</v>
      </c>
      <c r="T6134" s="86">
        <f t="shared" si="1864"/>
        <v>1374.79</v>
      </c>
      <c r="U6134" s="87">
        <v>1374.79</v>
      </c>
    </row>
    <row r="6135" spans="1:21" s="30" customFormat="1" ht="24.6" hidden="1" outlineLevel="1" x14ac:dyDescent="0.55000000000000004">
      <c r="A6135" s="27" t="s">
        <v>327</v>
      </c>
      <c r="B6135" s="28"/>
      <c r="C6135" s="27"/>
      <c r="D6135" s="27" t="str">
        <f>"""NAV Direct"",""CRONUS JetCorp USA"",""21"",""1"",""286487"""</f>
        <v>"NAV Direct","CRONUS JetCorp USA","21","1","286487"</v>
      </c>
      <c r="E6135" s="31" t="str">
        <f t="shared" si="1856"/>
        <v>C100516</v>
      </c>
      <c r="F6135" s="31"/>
      <c r="G6135" s="31"/>
      <c r="H6135" s="31"/>
      <c r="I6135" s="56"/>
      <c r="J6135" s="56"/>
      <c r="K6135" s="82" t="str">
        <f t="shared" si="1857"/>
        <v>Invoice</v>
      </c>
      <c r="L6135" s="83" t="str">
        <f>"SI_108795"</f>
        <v>SI_108795</v>
      </c>
      <c r="M6135" s="84">
        <v>42974</v>
      </c>
      <c r="N6135" s="85">
        <f t="shared" si="1858"/>
        <v>838</v>
      </c>
      <c r="O6135" s="86">
        <f t="shared" si="1859"/>
        <v>1374.9</v>
      </c>
      <c r="P6135" s="86">
        <f t="shared" si="1860"/>
        <v>0</v>
      </c>
      <c r="Q6135" s="86">
        <f t="shared" si="1861"/>
        <v>0</v>
      </c>
      <c r="R6135" s="86">
        <f t="shared" si="1862"/>
        <v>0</v>
      </c>
      <c r="S6135" s="86">
        <f t="shared" si="1863"/>
        <v>0</v>
      </c>
      <c r="T6135" s="86">
        <f t="shared" si="1864"/>
        <v>1374.9</v>
      </c>
      <c r="U6135" s="87">
        <v>1374.9</v>
      </c>
    </row>
    <row r="6136" spans="1:21" s="30" customFormat="1" ht="24.6" hidden="1" outlineLevel="1" x14ac:dyDescent="0.55000000000000004">
      <c r="A6136" s="27" t="s">
        <v>327</v>
      </c>
      <c r="B6136" s="28"/>
      <c r="C6136" s="27"/>
      <c r="D6136" s="27" t="str">
        <f>"""NAV Direct"",""CRONUS JetCorp USA"",""21"",""1"",""288546"""</f>
        <v>"NAV Direct","CRONUS JetCorp USA","21","1","288546"</v>
      </c>
      <c r="E6136" s="31">
        <f t="shared" si="1856"/>
        <v>0</v>
      </c>
      <c r="F6136" s="31"/>
      <c r="G6136" s="31"/>
      <c r="H6136" s="31"/>
      <c r="I6136" s="56"/>
      <c r="J6136" s="56"/>
      <c r="K6136" s="82" t="str">
        <f t="shared" si="1857"/>
        <v>Invoice</v>
      </c>
      <c r="L6136" s="83" t="str">
        <f>"SI_108867"</f>
        <v>SI_108867</v>
      </c>
      <c r="M6136" s="84">
        <v>43141</v>
      </c>
      <c r="N6136" s="85">
        <f t="shared" si="1858"/>
        <v>671</v>
      </c>
      <c r="O6136" s="86">
        <f t="shared" si="1859"/>
        <v>1663.7200000000003</v>
      </c>
      <c r="P6136" s="86">
        <f t="shared" si="1860"/>
        <v>0</v>
      </c>
      <c r="Q6136" s="86">
        <f t="shared" si="1861"/>
        <v>0</v>
      </c>
      <c r="R6136" s="86">
        <f t="shared" si="1862"/>
        <v>0</v>
      </c>
      <c r="S6136" s="86">
        <f t="shared" si="1863"/>
        <v>0</v>
      </c>
      <c r="T6136" s="86">
        <f t="shared" si="1864"/>
        <v>1663.7200000000003</v>
      </c>
      <c r="U6136" s="87">
        <v>1663.7200000000003</v>
      </c>
    </row>
    <row r="6137" spans="1:21" s="30" customFormat="1" ht="24.6" hidden="1" outlineLevel="1" x14ac:dyDescent="0.55000000000000004">
      <c r="A6137" s="27" t="s">
        <v>327</v>
      </c>
      <c r="B6137" s="28"/>
      <c r="C6137" s="27"/>
      <c r="D6137" s="27" t="str">
        <f>"""NAV Direct"",""CRONUS JetCorp USA"",""21"",""1"",""288633"""</f>
        <v>"NAV Direct","CRONUS JetCorp USA","21","1","288633"</v>
      </c>
      <c r="E6137" s="31" t="str">
        <f t="shared" si="1856"/>
        <v>C100516</v>
      </c>
      <c r="F6137" s="31"/>
      <c r="G6137" s="31"/>
      <c r="H6137" s="31"/>
      <c r="I6137" s="56"/>
      <c r="J6137" s="56"/>
      <c r="K6137" s="82" t="str">
        <f t="shared" si="1857"/>
        <v>Invoice</v>
      </c>
      <c r="L6137" s="83" t="str">
        <f>"SI_108870"</f>
        <v>SI_108870</v>
      </c>
      <c r="M6137" s="84">
        <v>43159</v>
      </c>
      <c r="N6137" s="85">
        <f t="shared" si="1858"/>
        <v>653</v>
      </c>
      <c r="O6137" s="86">
        <f t="shared" si="1859"/>
        <v>1663.64</v>
      </c>
      <c r="P6137" s="86">
        <f t="shared" si="1860"/>
        <v>0</v>
      </c>
      <c r="Q6137" s="86">
        <f t="shared" si="1861"/>
        <v>0</v>
      </c>
      <c r="R6137" s="86">
        <f t="shared" si="1862"/>
        <v>0</v>
      </c>
      <c r="S6137" s="86">
        <f t="shared" si="1863"/>
        <v>0</v>
      </c>
      <c r="T6137" s="86">
        <f t="shared" si="1864"/>
        <v>1663.64</v>
      </c>
      <c r="U6137" s="87">
        <v>1663.64</v>
      </c>
    </row>
    <row r="6138" spans="1:21" s="30" customFormat="1" ht="24.6" hidden="1" outlineLevel="1" x14ac:dyDescent="0.55000000000000004">
      <c r="A6138" s="27" t="s">
        <v>327</v>
      </c>
      <c r="B6138" s="28"/>
      <c r="C6138" s="27"/>
      <c r="D6138" s="27" t="str">
        <f>"""NAV Direct"",""CRONUS JetCorp USA"",""21"",""1"",""289066"""</f>
        <v>"NAV Direct","CRONUS JetCorp USA","21","1","289066"</v>
      </c>
      <c r="E6138" s="31">
        <f t="shared" si="1856"/>
        <v>0</v>
      </c>
      <c r="F6138" s="31"/>
      <c r="G6138" s="31"/>
      <c r="H6138" s="31"/>
      <c r="I6138" s="56"/>
      <c r="J6138" s="56"/>
      <c r="K6138" s="82" t="str">
        <f t="shared" si="1857"/>
        <v>Invoice</v>
      </c>
      <c r="L6138" s="83" t="str">
        <f>"SI_108884"</f>
        <v>SI_108884</v>
      </c>
      <c r="M6138" s="84">
        <v>43162</v>
      </c>
      <c r="N6138" s="85">
        <f t="shared" si="1858"/>
        <v>650</v>
      </c>
      <c r="O6138" s="86">
        <f t="shared" si="1859"/>
        <v>1663.7200000000003</v>
      </c>
      <c r="P6138" s="86">
        <f t="shared" si="1860"/>
        <v>0</v>
      </c>
      <c r="Q6138" s="86">
        <f t="shared" si="1861"/>
        <v>0</v>
      </c>
      <c r="R6138" s="86">
        <f t="shared" si="1862"/>
        <v>0</v>
      </c>
      <c r="S6138" s="86">
        <f t="shared" si="1863"/>
        <v>0</v>
      </c>
      <c r="T6138" s="86">
        <f t="shared" si="1864"/>
        <v>1663.7200000000003</v>
      </c>
      <c r="U6138" s="87">
        <v>1663.7200000000003</v>
      </c>
    </row>
    <row r="6139" spans="1:21" s="30" customFormat="1" ht="24.6" hidden="1" outlineLevel="1" x14ac:dyDescent="0.55000000000000004">
      <c r="A6139" s="27" t="s">
        <v>327</v>
      </c>
      <c r="B6139" s="28"/>
      <c r="C6139" s="27"/>
      <c r="D6139" s="27" t="str">
        <f>"""NAV Direct"",""CRONUS JetCorp USA"",""21"",""1"",""289383"""</f>
        <v>"NAV Direct","CRONUS JetCorp USA","21","1","289383"</v>
      </c>
      <c r="E6139" s="31" t="str">
        <f t="shared" si="1856"/>
        <v>C100516</v>
      </c>
      <c r="F6139" s="31"/>
      <c r="G6139" s="31"/>
      <c r="H6139" s="31"/>
      <c r="I6139" s="56"/>
      <c r="J6139" s="56"/>
      <c r="K6139" s="82" t="str">
        <f t="shared" si="1857"/>
        <v>Invoice</v>
      </c>
      <c r="L6139" s="83" t="str">
        <f>"SI_108895"</f>
        <v>SI_108895</v>
      </c>
      <c r="M6139" s="84">
        <v>43234</v>
      </c>
      <c r="N6139" s="85">
        <f t="shared" si="1858"/>
        <v>578</v>
      </c>
      <c r="O6139" s="86">
        <f t="shared" si="1859"/>
        <v>1830</v>
      </c>
      <c r="P6139" s="86">
        <f t="shared" si="1860"/>
        <v>0</v>
      </c>
      <c r="Q6139" s="86">
        <f t="shared" si="1861"/>
        <v>0</v>
      </c>
      <c r="R6139" s="86">
        <f t="shared" si="1862"/>
        <v>0</v>
      </c>
      <c r="S6139" s="86">
        <f t="shared" si="1863"/>
        <v>0</v>
      </c>
      <c r="T6139" s="86">
        <f t="shared" si="1864"/>
        <v>1830</v>
      </c>
      <c r="U6139" s="87">
        <v>1830</v>
      </c>
    </row>
    <row r="6140" spans="1:21" s="30" customFormat="1" ht="24.6" hidden="1" outlineLevel="1" x14ac:dyDescent="0.55000000000000004">
      <c r="A6140" s="27" t="s">
        <v>327</v>
      </c>
      <c r="B6140" s="28"/>
      <c r="C6140" s="27"/>
      <c r="D6140" s="27" t="str">
        <f>"""NAV Direct"",""CRONUS JetCorp USA"",""21"",""1"",""290505"""</f>
        <v>"NAV Direct","CRONUS JetCorp USA","21","1","290505"</v>
      </c>
      <c r="E6140" s="31">
        <f t="shared" si="1856"/>
        <v>0</v>
      </c>
      <c r="F6140" s="31"/>
      <c r="G6140" s="31"/>
      <c r="H6140" s="31"/>
      <c r="I6140" s="56"/>
      <c r="J6140" s="56"/>
      <c r="K6140" s="82" t="str">
        <f t="shared" si="1857"/>
        <v>Invoice</v>
      </c>
      <c r="L6140" s="83" t="str">
        <f>"SI_108932"</f>
        <v>SI_108932</v>
      </c>
      <c r="M6140" s="84">
        <v>43325</v>
      </c>
      <c r="N6140" s="85">
        <f t="shared" si="1858"/>
        <v>487</v>
      </c>
      <c r="O6140" s="86">
        <f t="shared" si="1859"/>
        <v>2013.0600000000002</v>
      </c>
      <c r="P6140" s="86">
        <f t="shared" si="1860"/>
        <v>0</v>
      </c>
      <c r="Q6140" s="86">
        <f t="shared" si="1861"/>
        <v>0</v>
      </c>
      <c r="R6140" s="86">
        <f t="shared" si="1862"/>
        <v>0</v>
      </c>
      <c r="S6140" s="86">
        <f t="shared" si="1863"/>
        <v>0</v>
      </c>
      <c r="T6140" s="86">
        <f t="shared" si="1864"/>
        <v>2013.0600000000002</v>
      </c>
      <c r="U6140" s="87">
        <v>2013.0600000000002</v>
      </c>
    </row>
    <row r="6141" spans="1:21" s="30" customFormat="1" ht="24.6" hidden="1" outlineLevel="1" x14ac:dyDescent="0.55000000000000004">
      <c r="A6141" s="27" t="s">
        <v>327</v>
      </c>
      <c r="B6141" s="28"/>
      <c r="C6141" s="27"/>
      <c r="D6141" s="27" t="str">
        <f>"""NAV Direct"",""CRONUS JetCorp USA"",""21"",""1"",""291395"""</f>
        <v>"NAV Direct","CRONUS JetCorp USA","21","1","291395"</v>
      </c>
      <c r="E6141" s="31" t="str">
        <f t="shared" si="1856"/>
        <v>C100516</v>
      </c>
      <c r="F6141" s="31"/>
      <c r="G6141" s="31"/>
      <c r="H6141" s="31"/>
      <c r="I6141" s="56"/>
      <c r="J6141" s="56"/>
      <c r="K6141" s="82" t="str">
        <f t="shared" si="1857"/>
        <v>Invoice</v>
      </c>
      <c r="L6141" s="83" t="str">
        <f>"SI_108961"</f>
        <v>SI_108961</v>
      </c>
      <c r="M6141" s="84">
        <v>43364</v>
      </c>
      <c r="N6141" s="85">
        <f t="shared" si="1858"/>
        <v>448</v>
      </c>
      <c r="O6141" s="86">
        <f t="shared" si="1859"/>
        <v>2012.95</v>
      </c>
      <c r="P6141" s="86">
        <f t="shared" si="1860"/>
        <v>0</v>
      </c>
      <c r="Q6141" s="86">
        <f t="shared" si="1861"/>
        <v>0</v>
      </c>
      <c r="R6141" s="86">
        <f t="shared" si="1862"/>
        <v>0</v>
      </c>
      <c r="S6141" s="86">
        <f t="shared" si="1863"/>
        <v>0</v>
      </c>
      <c r="T6141" s="86">
        <f t="shared" si="1864"/>
        <v>2012.95</v>
      </c>
      <c r="U6141" s="87">
        <v>2012.95</v>
      </c>
    </row>
    <row r="6142" spans="1:21" s="30" customFormat="1" ht="24.6" hidden="1" outlineLevel="1" x14ac:dyDescent="0.55000000000000004">
      <c r="A6142" s="27" t="s">
        <v>327</v>
      </c>
      <c r="B6142" s="28"/>
      <c r="C6142" s="27"/>
      <c r="D6142" s="27" t="str">
        <f>"""NAV Direct"",""CRONUS JetCorp USA"",""21"",""1"",""292055"""</f>
        <v>"NAV Direct","CRONUS JetCorp USA","21","1","292055"</v>
      </c>
      <c r="E6142" s="31">
        <f t="shared" si="1856"/>
        <v>0</v>
      </c>
      <c r="F6142" s="31"/>
      <c r="G6142" s="31"/>
      <c r="H6142" s="31"/>
      <c r="I6142" s="56"/>
      <c r="J6142" s="56"/>
      <c r="K6142" s="82" t="str">
        <f t="shared" si="1857"/>
        <v>Invoice</v>
      </c>
      <c r="L6142" s="83" t="str">
        <f>"SI_108984"</f>
        <v>SI_108984</v>
      </c>
      <c r="M6142" s="84">
        <v>43399</v>
      </c>
      <c r="N6142" s="85">
        <f t="shared" si="1858"/>
        <v>413</v>
      </c>
      <c r="O6142" s="86">
        <f t="shared" si="1859"/>
        <v>2214.25</v>
      </c>
      <c r="P6142" s="86">
        <f t="shared" si="1860"/>
        <v>0</v>
      </c>
      <c r="Q6142" s="86">
        <f t="shared" si="1861"/>
        <v>0</v>
      </c>
      <c r="R6142" s="86">
        <f t="shared" si="1862"/>
        <v>0</v>
      </c>
      <c r="S6142" s="86">
        <f t="shared" si="1863"/>
        <v>0</v>
      </c>
      <c r="T6142" s="86">
        <f t="shared" si="1864"/>
        <v>2214.25</v>
      </c>
      <c r="U6142" s="87">
        <v>2214.25</v>
      </c>
    </row>
    <row r="6143" spans="1:21" s="30" customFormat="1" ht="24.6" hidden="1" outlineLevel="1" x14ac:dyDescent="0.55000000000000004">
      <c r="A6143" s="27" t="s">
        <v>327</v>
      </c>
      <c r="B6143" s="28"/>
      <c r="C6143" s="27"/>
      <c r="D6143" s="27" t="str">
        <f>"""NAV Direct"",""CRONUS JetCorp USA"",""21"",""1"",""292886"""</f>
        <v>"NAV Direct","CRONUS JetCorp USA","21","1","292886"</v>
      </c>
      <c r="E6143" s="31" t="str">
        <f t="shared" si="1856"/>
        <v>C100516</v>
      </c>
      <c r="F6143" s="31"/>
      <c r="G6143" s="31"/>
      <c r="H6143" s="31"/>
      <c r="I6143" s="56"/>
      <c r="J6143" s="56"/>
      <c r="K6143" s="82" t="str">
        <f t="shared" si="1857"/>
        <v>Invoice</v>
      </c>
      <c r="L6143" s="83" t="str">
        <f>"SI_109012"</f>
        <v>SI_109012</v>
      </c>
      <c r="M6143" s="84">
        <v>43441</v>
      </c>
      <c r="N6143" s="85">
        <f t="shared" si="1858"/>
        <v>371</v>
      </c>
      <c r="O6143" s="86">
        <f t="shared" si="1859"/>
        <v>2214.3500000000004</v>
      </c>
      <c r="P6143" s="86">
        <f t="shared" si="1860"/>
        <v>0</v>
      </c>
      <c r="Q6143" s="86">
        <f t="shared" si="1861"/>
        <v>0</v>
      </c>
      <c r="R6143" s="86">
        <f t="shared" si="1862"/>
        <v>0</v>
      </c>
      <c r="S6143" s="86">
        <f t="shared" si="1863"/>
        <v>0</v>
      </c>
      <c r="T6143" s="86">
        <f t="shared" si="1864"/>
        <v>2214.3500000000004</v>
      </c>
      <c r="U6143" s="87">
        <v>2214.3500000000004</v>
      </c>
    </row>
    <row r="6144" spans="1:21" s="30" customFormat="1" ht="24.6" hidden="1" outlineLevel="1" x14ac:dyDescent="0.55000000000000004">
      <c r="A6144" s="27" t="s">
        <v>327</v>
      </c>
      <c r="B6144" s="28"/>
      <c r="C6144" s="27"/>
      <c r="D6144" s="27" t="str">
        <f>"""NAV Direct"",""CRONUS JetCorp USA"",""21"",""1"",""294822"""</f>
        <v>"NAV Direct","CRONUS JetCorp USA","21","1","294822"</v>
      </c>
      <c r="E6144" s="31">
        <f t="shared" si="1856"/>
        <v>0</v>
      </c>
      <c r="F6144" s="31"/>
      <c r="G6144" s="31"/>
      <c r="H6144" s="31"/>
      <c r="I6144" s="56"/>
      <c r="J6144" s="56"/>
      <c r="K6144" s="82" t="str">
        <f t="shared" si="1857"/>
        <v>Invoice</v>
      </c>
      <c r="L6144" s="83" t="str">
        <f>"SI_109075"</f>
        <v>SI_109075</v>
      </c>
      <c r="M6144" s="84">
        <v>43606</v>
      </c>
      <c r="N6144" s="85">
        <f t="shared" si="1858"/>
        <v>206</v>
      </c>
      <c r="O6144" s="86">
        <f t="shared" si="1859"/>
        <v>2679.51</v>
      </c>
      <c r="P6144" s="86">
        <f t="shared" si="1860"/>
        <v>0</v>
      </c>
      <c r="Q6144" s="86">
        <f t="shared" si="1861"/>
        <v>0</v>
      </c>
      <c r="R6144" s="86">
        <f t="shared" si="1862"/>
        <v>0</v>
      </c>
      <c r="S6144" s="86">
        <f t="shared" si="1863"/>
        <v>0</v>
      </c>
      <c r="T6144" s="86">
        <f t="shared" si="1864"/>
        <v>2679.51</v>
      </c>
      <c r="U6144" s="87">
        <v>2679.51</v>
      </c>
    </row>
    <row r="6145" spans="1:22" s="30" customFormat="1" ht="24.6" hidden="1" outlineLevel="1" x14ac:dyDescent="0.55000000000000004">
      <c r="A6145" s="27" t="s">
        <v>327</v>
      </c>
      <c r="B6145" s="28"/>
      <c r="C6145" s="27"/>
      <c r="D6145" s="27" t="str">
        <f>"""NAV Direct"",""CRONUS JetCorp USA"",""21"",""1"",""295015"""</f>
        <v>"NAV Direct","CRONUS JetCorp USA","21","1","295015"</v>
      </c>
      <c r="E6145" s="31" t="str">
        <f t="shared" si="1856"/>
        <v>C100516</v>
      </c>
      <c r="F6145" s="31"/>
      <c r="G6145" s="31"/>
      <c r="H6145" s="31"/>
      <c r="I6145" s="56"/>
      <c r="J6145" s="56"/>
      <c r="K6145" s="82" t="str">
        <f t="shared" si="1857"/>
        <v>Invoice</v>
      </c>
      <c r="L6145" s="83" t="str">
        <f>"SI_109081"</f>
        <v>SI_109081</v>
      </c>
      <c r="M6145" s="84">
        <v>43604</v>
      </c>
      <c r="N6145" s="85">
        <f t="shared" si="1858"/>
        <v>208</v>
      </c>
      <c r="O6145" s="86">
        <f t="shared" si="1859"/>
        <v>2679.42</v>
      </c>
      <c r="P6145" s="86">
        <f t="shared" si="1860"/>
        <v>0</v>
      </c>
      <c r="Q6145" s="86">
        <f t="shared" si="1861"/>
        <v>0</v>
      </c>
      <c r="R6145" s="86">
        <f t="shared" si="1862"/>
        <v>0</v>
      </c>
      <c r="S6145" s="86">
        <f t="shared" si="1863"/>
        <v>0</v>
      </c>
      <c r="T6145" s="86">
        <f t="shared" si="1864"/>
        <v>2679.42</v>
      </c>
      <c r="U6145" s="87">
        <v>2679.42</v>
      </c>
    </row>
    <row r="6146" spans="1:22" s="30" customFormat="1" ht="24.6" hidden="1" outlineLevel="1" x14ac:dyDescent="0.55000000000000004">
      <c r="A6146" s="27" t="s">
        <v>327</v>
      </c>
      <c r="B6146" s="28"/>
      <c r="C6146" s="27"/>
      <c r="D6146" s="27" t="str">
        <f>"""NAV Direct"",""CRONUS JetCorp USA"",""21"",""1"",""295707"""</f>
        <v>"NAV Direct","CRONUS JetCorp USA","21","1","295707"</v>
      </c>
      <c r="E6146" s="31">
        <f t="shared" si="1856"/>
        <v>0</v>
      </c>
      <c r="F6146" s="31"/>
      <c r="G6146" s="31"/>
      <c r="H6146" s="31"/>
      <c r="I6146" s="56"/>
      <c r="J6146" s="56"/>
      <c r="K6146" s="82" t="str">
        <f t="shared" si="1857"/>
        <v>Invoice</v>
      </c>
      <c r="L6146" s="83" t="str">
        <f>"SI_109101"</f>
        <v>SI_109101</v>
      </c>
      <c r="M6146" s="84">
        <v>43617</v>
      </c>
      <c r="N6146" s="85">
        <f t="shared" si="1858"/>
        <v>195</v>
      </c>
      <c r="O6146" s="86">
        <f t="shared" si="1859"/>
        <v>2679.39</v>
      </c>
      <c r="P6146" s="86">
        <f t="shared" si="1860"/>
        <v>0</v>
      </c>
      <c r="Q6146" s="86">
        <f t="shared" si="1861"/>
        <v>0</v>
      </c>
      <c r="R6146" s="86">
        <f t="shared" si="1862"/>
        <v>0</v>
      </c>
      <c r="S6146" s="86">
        <f t="shared" si="1863"/>
        <v>0</v>
      </c>
      <c r="T6146" s="86">
        <f t="shared" si="1864"/>
        <v>2679.39</v>
      </c>
      <c r="U6146" s="87">
        <v>2679.39</v>
      </c>
    </row>
    <row r="6147" spans="1:22" s="30" customFormat="1" ht="24.6" hidden="1" outlineLevel="1" x14ac:dyDescent="0.55000000000000004">
      <c r="A6147" s="27" t="s">
        <v>327</v>
      </c>
      <c r="B6147" s="28"/>
      <c r="C6147" s="27"/>
      <c r="D6147" s="27" t="str">
        <f>"""NAV Direct"",""CRONUS JetCorp USA"",""21"",""1"",""296168"""</f>
        <v>"NAV Direct","CRONUS JetCorp USA","21","1","296168"</v>
      </c>
      <c r="E6147" s="31" t="str">
        <f t="shared" si="1856"/>
        <v>C100516</v>
      </c>
      <c r="F6147" s="31"/>
      <c r="G6147" s="31"/>
      <c r="H6147" s="31"/>
      <c r="I6147" s="56"/>
      <c r="J6147" s="56"/>
      <c r="K6147" s="82" t="str">
        <f t="shared" si="1857"/>
        <v>Invoice</v>
      </c>
      <c r="L6147" s="83" t="str">
        <f>"SI_109115"</f>
        <v>SI_109115</v>
      </c>
      <c r="M6147" s="84">
        <v>43639</v>
      </c>
      <c r="N6147" s="85">
        <f t="shared" si="1858"/>
        <v>173</v>
      </c>
      <c r="O6147" s="86">
        <f t="shared" si="1859"/>
        <v>2679.39</v>
      </c>
      <c r="P6147" s="86">
        <f t="shared" si="1860"/>
        <v>0</v>
      </c>
      <c r="Q6147" s="86">
        <f t="shared" si="1861"/>
        <v>0</v>
      </c>
      <c r="R6147" s="86">
        <f t="shared" si="1862"/>
        <v>0</v>
      </c>
      <c r="S6147" s="86">
        <f t="shared" si="1863"/>
        <v>0</v>
      </c>
      <c r="T6147" s="86">
        <f t="shared" si="1864"/>
        <v>2679.39</v>
      </c>
      <c r="U6147" s="87">
        <v>2679.39</v>
      </c>
    </row>
    <row r="6148" spans="1:22" s="30" customFormat="1" ht="24.6" hidden="1" outlineLevel="1" x14ac:dyDescent="0.55000000000000004">
      <c r="A6148" s="27" t="s">
        <v>327</v>
      </c>
      <c r="B6148" s="28"/>
      <c r="C6148" s="27"/>
      <c r="D6148" s="27" t="str">
        <f>"""NAV Direct"",""CRONUS JetCorp USA"",""21"",""1"",""296682"""</f>
        <v>"NAV Direct","CRONUS JetCorp USA","21","1","296682"</v>
      </c>
      <c r="E6148" s="31">
        <f t="shared" si="1856"/>
        <v>0</v>
      </c>
      <c r="F6148" s="31"/>
      <c r="G6148" s="31"/>
      <c r="H6148" s="31"/>
      <c r="I6148" s="56"/>
      <c r="J6148" s="56"/>
      <c r="K6148" s="82" t="str">
        <f t="shared" si="1857"/>
        <v>Invoice</v>
      </c>
      <c r="L6148" s="83" t="str">
        <f>"SI_109132"</f>
        <v>SI_109132</v>
      </c>
      <c r="M6148" s="84">
        <v>43695</v>
      </c>
      <c r="N6148" s="85">
        <f t="shared" si="1858"/>
        <v>117</v>
      </c>
      <c r="O6148" s="86">
        <f t="shared" si="1859"/>
        <v>2947.45</v>
      </c>
      <c r="P6148" s="86">
        <f t="shared" si="1860"/>
        <v>0</v>
      </c>
      <c r="Q6148" s="86">
        <f t="shared" si="1861"/>
        <v>0</v>
      </c>
      <c r="R6148" s="86">
        <f t="shared" si="1862"/>
        <v>0</v>
      </c>
      <c r="S6148" s="86">
        <f t="shared" si="1863"/>
        <v>0</v>
      </c>
      <c r="T6148" s="86">
        <f t="shared" si="1864"/>
        <v>2947.45</v>
      </c>
      <c r="U6148" s="87">
        <v>2947.45</v>
      </c>
    </row>
    <row r="6149" spans="1:22" s="30" customFormat="1" ht="24.6" hidden="1" outlineLevel="1" x14ac:dyDescent="0.55000000000000004">
      <c r="A6149" s="27" t="s">
        <v>327</v>
      </c>
      <c r="B6149" s="28"/>
      <c r="C6149" s="27"/>
      <c r="D6149" s="27" t="str">
        <f>"""NAV Direct"",""CRONUS JetCorp USA"",""21"",""1"",""297176"""</f>
        <v>"NAV Direct","CRONUS JetCorp USA","21","1","297176"</v>
      </c>
      <c r="E6149" s="31" t="str">
        <f t="shared" si="1856"/>
        <v>C100516</v>
      </c>
      <c r="F6149" s="31"/>
      <c r="G6149" s="31"/>
      <c r="H6149" s="31"/>
      <c r="I6149" s="56"/>
      <c r="J6149" s="56"/>
      <c r="K6149" s="82" t="str">
        <f t="shared" si="1857"/>
        <v>Invoice</v>
      </c>
      <c r="L6149" s="83" t="str">
        <f>"SI_109147"</f>
        <v>SI_109147</v>
      </c>
      <c r="M6149" s="84">
        <v>43700</v>
      </c>
      <c r="N6149" s="85">
        <f t="shared" si="1858"/>
        <v>112</v>
      </c>
      <c r="O6149" s="86">
        <f t="shared" si="1859"/>
        <v>2947.45</v>
      </c>
      <c r="P6149" s="86">
        <f t="shared" si="1860"/>
        <v>0</v>
      </c>
      <c r="Q6149" s="86">
        <f t="shared" si="1861"/>
        <v>0</v>
      </c>
      <c r="R6149" s="86">
        <f t="shared" si="1862"/>
        <v>0</v>
      </c>
      <c r="S6149" s="86">
        <f t="shared" si="1863"/>
        <v>0</v>
      </c>
      <c r="T6149" s="86">
        <f t="shared" si="1864"/>
        <v>2947.45</v>
      </c>
      <c r="U6149" s="87">
        <v>2947.45</v>
      </c>
    </row>
    <row r="6150" spans="1:22" s="30" customFormat="1" ht="24.6" hidden="1" outlineLevel="1" x14ac:dyDescent="0.55000000000000004">
      <c r="A6150" s="27" t="s">
        <v>327</v>
      </c>
      <c r="B6150" s="28"/>
      <c r="C6150" s="27"/>
      <c r="D6150" s="27" t="str">
        <f>"""NAV Direct"",""CRONUS JetCorp USA"",""21"",""1"",""298648"""</f>
        <v>"NAV Direct","CRONUS JetCorp USA","21","1","298648"</v>
      </c>
      <c r="E6150" s="31">
        <f t="shared" si="1856"/>
        <v>0</v>
      </c>
      <c r="F6150" s="31"/>
      <c r="G6150" s="31"/>
      <c r="H6150" s="31"/>
      <c r="I6150" s="56"/>
      <c r="J6150" s="56"/>
      <c r="K6150" s="82" t="str">
        <f t="shared" si="1857"/>
        <v>Invoice</v>
      </c>
      <c r="L6150" s="83" t="str">
        <f>"SI_109193"</f>
        <v>SI_109193</v>
      </c>
      <c r="M6150" s="84">
        <v>43793</v>
      </c>
      <c r="N6150" s="85">
        <f t="shared" si="1858"/>
        <v>19</v>
      </c>
      <c r="O6150" s="86">
        <f t="shared" si="1859"/>
        <v>3242.18</v>
      </c>
      <c r="P6150" s="86">
        <f t="shared" si="1860"/>
        <v>0</v>
      </c>
      <c r="Q6150" s="86">
        <f t="shared" si="1861"/>
        <v>3242.18</v>
      </c>
      <c r="R6150" s="86">
        <f t="shared" si="1862"/>
        <v>0</v>
      </c>
      <c r="S6150" s="86">
        <f t="shared" si="1863"/>
        <v>0</v>
      </c>
      <c r="T6150" s="86">
        <f t="shared" si="1864"/>
        <v>0</v>
      </c>
      <c r="U6150" s="87">
        <v>3242.18</v>
      </c>
    </row>
    <row r="6151" spans="1:22" s="30" customFormat="1" ht="24.6" hidden="1" outlineLevel="1" x14ac:dyDescent="0.55000000000000004">
      <c r="A6151" s="27" t="s">
        <v>327</v>
      </c>
      <c r="B6151" s="28"/>
      <c r="C6151" s="27"/>
      <c r="D6151" s="27" t="str">
        <f>"""NAV Direct"",""CRONUS JetCorp USA"",""21"",""1"",""298934"""</f>
        <v>"NAV Direct","CRONUS JetCorp USA","21","1","298934"</v>
      </c>
      <c r="E6151" s="31" t="str">
        <f t="shared" si="1856"/>
        <v>C100516</v>
      </c>
      <c r="F6151" s="31"/>
      <c r="G6151" s="31"/>
      <c r="H6151" s="31"/>
      <c r="I6151" s="56"/>
      <c r="J6151" s="56"/>
      <c r="K6151" s="82" t="str">
        <f t="shared" si="1857"/>
        <v>Invoice</v>
      </c>
      <c r="L6151" s="83" t="str">
        <f>"SI_109201"</f>
        <v>SI_109201</v>
      </c>
      <c r="M6151" s="84">
        <v>43799</v>
      </c>
      <c r="N6151" s="85">
        <f t="shared" si="1858"/>
        <v>13</v>
      </c>
      <c r="O6151" s="86">
        <f t="shared" si="1859"/>
        <v>3241.9100000000003</v>
      </c>
      <c r="P6151" s="86">
        <f t="shared" si="1860"/>
        <v>0</v>
      </c>
      <c r="Q6151" s="86">
        <f t="shared" si="1861"/>
        <v>3241.9100000000003</v>
      </c>
      <c r="R6151" s="86">
        <f t="shared" si="1862"/>
        <v>0</v>
      </c>
      <c r="S6151" s="86">
        <f t="shared" si="1863"/>
        <v>0</v>
      </c>
      <c r="T6151" s="86">
        <f t="shared" si="1864"/>
        <v>0</v>
      </c>
      <c r="U6151" s="87">
        <v>3241.9100000000003</v>
      </c>
    </row>
    <row r="6152" spans="1:22" s="30" customFormat="1" ht="24.6" hidden="1" outlineLevel="1" x14ac:dyDescent="0.55000000000000004">
      <c r="A6152" s="27" t="s">
        <v>327</v>
      </c>
      <c r="B6152" s="28"/>
      <c r="C6152" s="27"/>
      <c r="D6152" s="27" t="str">
        <f>"""NAV Direct"",""CRONUS JetCorp USA"",""21"",""1"",""300309"""</f>
        <v>"NAV Direct","CRONUS JetCorp USA","21","1","300309"</v>
      </c>
      <c r="E6152" s="31">
        <f t="shared" si="1856"/>
        <v>0</v>
      </c>
      <c r="F6152" s="31"/>
      <c r="G6152" s="31"/>
      <c r="H6152" s="31"/>
      <c r="I6152" s="56"/>
      <c r="J6152" s="56"/>
      <c r="K6152" s="82" t="str">
        <f t="shared" si="1857"/>
        <v>Invoice</v>
      </c>
      <c r="L6152" s="83" t="str">
        <f>"SI_109241"</f>
        <v>SI_109241</v>
      </c>
      <c r="M6152" s="84">
        <v>42050</v>
      </c>
      <c r="N6152" s="85">
        <f t="shared" si="1858"/>
        <v>1762</v>
      </c>
      <c r="O6152" s="86">
        <f t="shared" si="1859"/>
        <v>3566.39</v>
      </c>
      <c r="P6152" s="86">
        <f t="shared" si="1860"/>
        <v>0</v>
      </c>
      <c r="Q6152" s="86">
        <f t="shared" si="1861"/>
        <v>0</v>
      </c>
      <c r="R6152" s="86">
        <f t="shared" si="1862"/>
        <v>0</v>
      </c>
      <c r="S6152" s="86">
        <f t="shared" si="1863"/>
        <v>0</v>
      </c>
      <c r="T6152" s="86">
        <f t="shared" si="1864"/>
        <v>3566.39</v>
      </c>
      <c r="U6152" s="87">
        <v>3566.39</v>
      </c>
    </row>
    <row r="6153" spans="1:22" s="30" customFormat="1" ht="24.6" hidden="1" outlineLevel="1" x14ac:dyDescent="0.55000000000000004">
      <c r="A6153" s="27" t="s">
        <v>327</v>
      </c>
      <c r="B6153" s="28"/>
      <c r="C6153" s="27"/>
      <c r="D6153" s="27" t="str">
        <f>"""NAV Direct"",""CRONUS JetCorp USA"",""21"",""1"",""301122"""</f>
        <v>"NAV Direct","CRONUS JetCorp USA","21","1","301122"</v>
      </c>
      <c r="E6153" s="31" t="str">
        <f t="shared" si="1856"/>
        <v>C100516</v>
      </c>
      <c r="F6153" s="31"/>
      <c r="G6153" s="31"/>
      <c r="H6153" s="31"/>
      <c r="I6153" s="56"/>
      <c r="J6153" s="56"/>
      <c r="K6153" s="82" t="str">
        <f t="shared" si="1857"/>
        <v>Invoice</v>
      </c>
      <c r="L6153" s="83" t="str">
        <f>"SI_109266"</f>
        <v>SI_109266</v>
      </c>
      <c r="M6153" s="84">
        <v>42069</v>
      </c>
      <c r="N6153" s="85">
        <f t="shared" si="1858"/>
        <v>1743</v>
      </c>
      <c r="O6153" s="86">
        <f t="shared" si="1859"/>
        <v>3566.39</v>
      </c>
      <c r="P6153" s="86">
        <f t="shared" si="1860"/>
        <v>0</v>
      </c>
      <c r="Q6153" s="86">
        <f t="shared" si="1861"/>
        <v>0</v>
      </c>
      <c r="R6153" s="86">
        <f t="shared" si="1862"/>
        <v>0</v>
      </c>
      <c r="S6153" s="86">
        <f t="shared" si="1863"/>
        <v>0</v>
      </c>
      <c r="T6153" s="86">
        <f t="shared" si="1864"/>
        <v>3566.39</v>
      </c>
      <c r="U6153" s="87">
        <v>3566.39</v>
      </c>
    </row>
    <row r="6154" spans="1:22" s="22" customFormat="1" ht="20.399999999999999" collapsed="1" x14ac:dyDescent="0.45">
      <c r="A6154" s="12" t="s">
        <v>327</v>
      </c>
      <c r="B6154" s="19"/>
      <c r="C6154" s="12"/>
      <c r="D6154" s="12"/>
      <c r="E6154" s="23"/>
      <c r="F6154" s="23"/>
      <c r="G6154" s="23"/>
      <c r="H6154" s="23"/>
      <c r="I6154" s="49"/>
      <c r="J6154" s="88"/>
      <c r="K6154" s="88"/>
      <c r="L6154" s="89"/>
      <c r="M6154" s="89"/>
      <c r="N6154" s="89"/>
      <c r="O6154" s="89"/>
      <c r="P6154" s="89"/>
      <c r="Q6154" s="90"/>
      <c r="R6154" s="90"/>
      <c r="S6154" s="91"/>
      <c r="T6154" s="92"/>
      <c r="U6154" s="92"/>
    </row>
    <row r="6155" spans="1:22" s="22" customFormat="1" ht="20.399999999999999" x14ac:dyDescent="0.45">
      <c r="A6155" s="12" t="s">
        <v>327</v>
      </c>
      <c r="B6155" s="19"/>
      <c r="C6155" s="12"/>
      <c r="D6155" s="12"/>
      <c r="E6155" s="23"/>
      <c r="F6155" s="23"/>
      <c r="G6155" s="23"/>
      <c r="H6155" s="23"/>
      <c r="I6155" s="49"/>
      <c r="J6155" s="88"/>
      <c r="K6155" s="88"/>
      <c r="L6155" s="89"/>
      <c r="M6155" s="89"/>
      <c r="N6155" s="89"/>
      <c r="O6155" s="89"/>
      <c r="P6155" s="89"/>
      <c r="Q6155" s="90"/>
      <c r="R6155" s="90"/>
      <c r="S6155" s="91"/>
      <c r="T6155" s="92"/>
      <c r="U6155" s="92"/>
    </row>
    <row r="6156" spans="1:22" s="26" customFormat="1" ht="24.6" x14ac:dyDescent="0.55000000000000004">
      <c r="A6156" s="27" t="s">
        <v>327</v>
      </c>
      <c r="B6156" s="28"/>
      <c r="C6156" s="27" t="str">
        <f>"""NAV Direct"",""CRONUS JetCorp USA"",""18"",""1"",""C100517"""</f>
        <v>"NAV Direct","CRONUS JetCorp USA","18","1","C100517"</v>
      </c>
      <c r="D6156" s="27"/>
      <c r="E6156" s="28" t="str">
        <f>H6156</f>
        <v>C100517</v>
      </c>
      <c r="F6156" s="28"/>
      <c r="G6156" s="28"/>
      <c r="H6156" s="28" t="str">
        <f>"C100517"</f>
        <v>C100517</v>
      </c>
      <c r="I6156" s="116" t="str">
        <f>"C100517  -  Bing &amp; Co"</f>
        <v>C100517  -  Bing &amp; Co</v>
      </c>
      <c r="J6156" s="117" t="str">
        <f>""</f>
        <v/>
      </c>
      <c r="K6156" s="118"/>
      <c r="L6156" s="119">
        <f>SUBTOTAL(3,L6157:L6193)</f>
        <v>33</v>
      </c>
      <c r="M6156" s="118"/>
      <c r="N6156" s="118"/>
      <c r="O6156" s="120">
        <f t="shared" ref="O6156:T6156" si="1865">SUBTOTAL(9,O6157:O6193)</f>
        <v>68935.989999999991</v>
      </c>
      <c r="P6156" s="120">
        <f t="shared" si="1865"/>
        <v>0</v>
      </c>
      <c r="Q6156" s="120">
        <f t="shared" si="1865"/>
        <v>0</v>
      </c>
      <c r="R6156" s="120">
        <f t="shared" si="1865"/>
        <v>0</v>
      </c>
      <c r="S6156" s="120">
        <f t="shared" si="1865"/>
        <v>0</v>
      </c>
      <c r="T6156" s="120">
        <f t="shared" si="1865"/>
        <v>68935.989999999991</v>
      </c>
      <c r="U6156" s="81"/>
    </row>
    <row r="6157" spans="1:22" s="26" customFormat="1" ht="24.6" x14ac:dyDescent="0.55000000000000004">
      <c r="A6157" s="27" t="s">
        <v>327</v>
      </c>
      <c r="B6157" s="28"/>
      <c r="C6157" s="27" t="str">
        <f>C6156</f>
        <v>"NAV Direct","CRONUS JetCorp USA","18","1","C100517"</v>
      </c>
      <c r="D6157" s="27"/>
      <c r="E6157" s="28" t="str">
        <f>E6156</f>
        <v>C100517</v>
      </c>
      <c r="F6157" s="28"/>
      <c r="G6157" s="28"/>
      <c r="H6157" s="28"/>
      <c r="I6157" s="121" t="str">
        <f>"Contact: Sara Whind"</f>
        <v>Contact: Sara Whind</v>
      </c>
      <c r="J6157" s="121"/>
      <c r="K6157" s="122"/>
      <c r="L6157" s="123"/>
      <c r="M6157" s="123"/>
      <c r="N6157" s="124"/>
      <c r="O6157" s="124"/>
      <c r="P6157" s="123"/>
      <c r="Q6157" s="125"/>
      <c r="R6157" s="126"/>
      <c r="S6157" s="126"/>
      <c r="T6157" s="125"/>
      <c r="U6157" s="81"/>
    </row>
    <row r="6158" spans="1:22" s="26" customFormat="1" ht="24.6" x14ac:dyDescent="0.55000000000000004">
      <c r="A6158" s="27" t="s">
        <v>327</v>
      </c>
      <c r="B6158" s="28"/>
      <c r="C6158" s="27" t="str">
        <f>C6157</f>
        <v>"NAV Direct","CRONUS JetCorp USA","18","1","C100517"</v>
      </c>
      <c r="D6158" s="27"/>
      <c r="E6158" s="28" t="str">
        <f>E6157</f>
        <v>C100517</v>
      </c>
      <c r="F6158" s="28"/>
      <c r="G6158" s="28"/>
      <c r="H6158" s="28"/>
      <c r="I6158" s="121" t="str">
        <f>"Bing &amp; Co@cronuscorp.net"</f>
        <v>Bing &amp; Co@cronuscorp.net</v>
      </c>
      <c r="J6158" s="121"/>
      <c r="K6158" s="122"/>
      <c r="L6158" s="124"/>
      <c r="M6158" s="124"/>
      <c r="N6158" s="124"/>
      <c r="O6158" s="124"/>
      <c r="P6158" s="123"/>
      <c r="Q6158" s="125"/>
      <c r="R6158" s="126"/>
      <c r="S6158" s="126"/>
      <c r="T6158" s="125"/>
      <c r="U6158" s="81"/>
    </row>
    <row r="6159" spans="1:22" ht="12.75" hidden="1" customHeight="1" outlineLevel="1" x14ac:dyDescent="0.45">
      <c r="A6159" s="12" t="s">
        <v>328</v>
      </c>
      <c r="B6159" s="19"/>
      <c r="E6159" s="19"/>
      <c r="F6159" s="19"/>
      <c r="G6159" s="19"/>
      <c r="H6159" s="19"/>
      <c r="I6159" s="61"/>
      <c r="J6159" s="61"/>
      <c r="K6159" s="61"/>
      <c r="L6159" s="61"/>
      <c r="M6159" s="61"/>
      <c r="N6159" s="61"/>
      <c r="O6159" s="61"/>
      <c r="P6159" s="61"/>
      <c r="Q6159" s="61"/>
      <c r="R6159" s="61"/>
      <c r="S6159" s="61"/>
      <c r="T6159" s="61"/>
      <c r="U6159" s="61"/>
      <c r="V6159" s="21"/>
    </row>
    <row r="6160" spans="1:22" s="30" customFormat="1" ht="24.6" hidden="1" outlineLevel="1" x14ac:dyDescent="0.55000000000000004">
      <c r="A6160" s="27" t="s">
        <v>327</v>
      </c>
      <c r="B6160" s="28"/>
      <c r="C6160" s="27"/>
      <c r="D6160" s="27" t="str">
        <f>"""NAV Direct"",""CRONUS JetCorp USA"",""21"",""1"",""281141"""</f>
        <v>"NAV Direct","CRONUS JetCorp USA","21","1","281141"</v>
      </c>
      <c r="E6160" s="31" t="str">
        <f t="shared" ref="E6160:E6192" si="1866">E6158</f>
        <v>C100517</v>
      </c>
      <c r="F6160" s="31"/>
      <c r="G6160" s="31"/>
      <c r="H6160" s="31"/>
      <c r="I6160" s="56"/>
      <c r="J6160" s="56"/>
      <c r="K6160" s="82" t="str">
        <f t="shared" ref="K6160:K6192" si="1867">"Invoice"</f>
        <v>Invoice</v>
      </c>
      <c r="L6160" s="83" t="str">
        <f>"SI_108597"</f>
        <v>SI_108597</v>
      </c>
      <c r="M6160" s="84">
        <v>43585</v>
      </c>
      <c r="N6160" s="85">
        <f t="shared" ref="N6160:N6192" si="1868">StartDate-$M6160+1</f>
        <v>227</v>
      </c>
      <c r="O6160" s="86">
        <f t="shared" ref="O6160:O6192" si="1869">SUM(P6160:T6160)</f>
        <v>587.99</v>
      </c>
      <c r="P6160" s="86">
        <f t="shared" ref="P6160:P6192" si="1870">IF($M6160&gt;=$P$18,U6160,0)</f>
        <v>0</v>
      </c>
      <c r="Q6160" s="86">
        <f t="shared" ref="Q6160:Q6192" si="1871">IF(AND($M6160&gt;=$Q$16,$M6160&lt;=$Q$18),U6160,0)</f>
        <v>0</v>
      </c>
      <c r="R6160" s="86">
        <f t="shared" ref="R6160:R6192" si="1872">IF(AND($M6160&gt;=$R$16,$M6160&lt;=$R$18),U6160,0)</f>
        <v>0</v>
      </c>
      <c r="S6160" s="86">
        <f t="shared" ref="S6160:S6192" si="1873">IF(AND($M6160&gt;=$S$16,$M6160&lt;=$S$18),U6160,0)</f>
        <v>0</v>
      </c>
      <c r="T6160" s="86">
        <f t="shared" ref="T6160:T6192" si="1874">IF($M6160&lt;=$T$18,U6160,0)</f>
        <v>587.99</v>
      </c>
      <c r="U6160" s="87">
        <v>587.99</v>
      </c>
    </row>
    <row r="6161" spans="1:21" s="30" customFormat="1" ht="24.6" hidden="1" outlineLevel="1" x14ac:dyDescent="0.55000000000000004">
      <c r="A6161" s="27" t="s">
        <v>327</v>
      </c>
      <c r="B6161" s="28"/>
      <c r="C6161" s="27"/>
      <c r="D6161" s="27" t="str">
        <f>"""NAV Direct"",""CRONUS JetCorp USA"",""21"",""1"",""281193"""</f>
        <v>"NAV Direct","CRONUS JetCorp USA","21","1","281193"</v>
      </c>
      <c r="E6161" s="31">
        <f t="shared" si="1866"/>
        <v>0</v>
      </c>
      <c r="F6161" s="31"/>
      <c r="G6161" s="31"/>
      <c r="H6161" s="31"/>
      <c r="I6161" s="56"/>
      <c r="J6161" s="56"/>
      <c r="K6161" s="82" t="str">
        <f t="shared" si="1867"/>
        <v>Invoice</v>
      </c>
      <c r="L6161" s="83" t="str">
        <f>"SI_108599"</f>
        <v>SI_108599</v>
      </c>
      <c r="M6161" s="84">
        <v>43610</v>
      </c>
      <c r="N6161" s="85">
        <f t="shared" si="1868"/>
        <v>202</v>
      </c>
      <c r="O6161" s="86">
        <f t="shared" si="1869"/>
        <v>587.70000000000005</v>
      </c>
      <c r="P6161" s="86">
        <f t="shared" si="1870"/>
        <v>0</v>
      </c>
      <c r="Q6161" s="86">
        <f t="shared" si="1871"/>
        <v>0</v>
      </c>
      <c r="R6161" s="86">
        <f t="shared" si="1872"/>
        <v>0</v>
      </c>
      <c r="S6161" s="86">
        <f t="shared" si="1873"/>
        <v>0</v>
      </c>
      <c r="T6161" s="86">
        <f t="shared" si="1874"/>
        <v>587.70000000000005</v>
      </c>
      <c r="U6161" s="87">
        <v>587.70000000000005</v>
      </c>
    </row>
    <row r="6162" spans="1:21" s="30" customFormat="1" ht="24.6" hidden="1" outlineLevel="1" x14ac:dyDescent="0.55000000000000004">
      <c r="A6162" s="27" t="s">
        <v>327</v>
      </c>
      <c r="B6162" s="28"/>
      <c r="C6162" s="27"/>
      <c r="D6162" s="27" t="str">
        <f>"""NAV Direct"",""CRONUS JetCorp USA"",""21"",""1"",""281239"""</f>
        <v>"NAV Direct","CRONUS JetCorp USA","21","1","281239"</v>
      </c>
      <c r="E6162" s="31" t="str">
        <f t="shared" si="1866"/>
        <v>C100517</v>
      </c>
      <c r="F6162" s="31"/>
      <c r="G6162" s="31"/>
      <c r="H6162" s="31"/>
      <c r="I6162" s="56"/>
      <c r="J6162" s="56"/>
      <c r="K6162" s="82" t="str">
        <f t="shared" si="1867"/>
        <v>Invoice</v>
      </c>
      <c r="L6162" s="83" t="str">
        <f>"SI_108601"</f>
        <v>SI_108601</v>
      </c>
      <c r="M6162" s="84">
        <v>43619</v>
      </c>
      <c r="N6162" s="85">
        <f t="shared" si="1868"/>
        <v>193</v>
      </c>
      <c r="O6162" s="86">
        <f t="shared" si="1869"/>
        <v>587.99</v>
      </c>
      <c r="P6162" s="86">
        <f t="shared" si="1870"/>
        <v>0</v>
      </c>
      <c r="Q6162" s="86">
        <f t="shared" si="1871"/>
        <v>0</v>
      </c>
      <c r="R6162" s="86">
        <f t="shared" si="1872"/>
        <v>0</v>
      </c>
      <c r="S6162" s="86">
        <f t="shared" si="1873"/>
        <v>0</v>
      </c>
      <c r="T6162" s="86">
        <f t="shared" si="1874"/>
        <v>587.99</v>
      </c>
      <c r="U6162" s="87">
        <v>587.99</v>
      </c>
    </row>
    <row r="6163" spans="1:21" s="30" customFormat="1" ht="24.6" hidden="1" outlineLevel="1" x14ac:dyDescent="0.55000000000000004">
      <c r="A6163" s="27" t="s">
        <v>327</v>
      </c>
      <c r="B6163" s="28"/>
      <c r="C6163" s="27"/>
      <c r="D6163" s="27" t="str">
        <f>"""NAV Direct"",""CRONUS JetCorp USA"",""21"",""1"",""282097"""</f>
        <v>"NAV Direct","CRONUS JetCorp USA","21","1","282097"</v>
      </c>
      <c r="E6163" s="31">
        <f t="shared" si="1866"/>
        <v>0</v>
      </c>
      <c r="F6163" s="31"/>
      <c r="G6163" s="31"/>
      <c r="H6163" s="31"/>
      <c r="I6163" s="56"/>
      <c r="J6163" s="56"/>
      <c r="K6163" s="82" t="str">
        <f t="shared" si="1867"/>
        <v>Invoice</v>
      </c>
      <c r="L6163" s="83" t="str">
        <f>"SI_108635"</f>
        <v>SI_108635</v>
      </c>
      <c r="M6163" s="84">
        <v>42052</v>
      </c>
      <c r="N6163" s="85">
        <f t="shared" si="1868"/>
        <v>1760</v>
      </c>
      <c r="O6163" s="86">
        <f t="shared" si="1869"/>
        <v>775.76</v>
      </c>
      <c r="P6163" s="86">
        <f t="shared" si="1870"/>
        <v>0</v>
      </c>
      <c r="Q6163" s="86">
        <f t="shared" si="1871"/>
        <v>0</v>
      </c>
      <c r="R6163" s="86">
        <f t="shared" si="1872"/>
        <v>0</v>
      </c>
      <c r="S6163" s="86">
        <f t="shared" si="1873"/>
        <v>0</v>
      </c>
      <c r="T6163" s="86">
        <f t="shared" si="1874"/>
        <v>775.76</v>
      </c>
      <c r="U6163" s="87">
        <v>775.76</v>
      </c>
    </row>
    <row r="6164" spans="1:21" s="30" customFormat="1" ht="24.6" hidden="1" outlineLevel="1" x14ac:dyDescent="0.55000000000000004">
      <c r="A6164" s="27" t="s">
        <v>327</v>
      </c>
      <c r="B6164" s="28"/>
      <c r="C6164" s="27"/>
      <c r="D6164" s="27" t="str">
        <f>"""NAV Direct"",""CRONUS JetCorp USA"",""21"",""1"",""282248"""</f>
        <v>"NAV Direct","CRONUS JetCorp USA","21","1","282248"</v>
      </c>
      <c r="E6164" s="31" t="str">
        <f t="shared" si="1866"/>
        <v>C100517</v>
      </c>
      <c r="F6164" s="31"/>
      <c r="G6164" s="31"/>
      <c r="H6164" s="31"/>
      <c r="I6164" s="56"/>
      <c r="J6164" s="56"/>
      <c r="K6164" s="82" t="str">
        <f t="shared" si="1867"/>
        <v>Invoice</v>
      </c>
      <c r="L6164" s="83" t="str">
        <f>"SI_108641"</f>
        <v>SI_108641</v>
      </c>
      <c r="M6164" s="84">
        <v>42034</v>
      </c>
      <c r="N6164" s="85">
        <f t="shared" si="1868"/>
        <v>1778</v>
      </c>
      <c r="O6164" s="86">
        <f t="shared" si="1869"/>
        <v>775.93000000000006</v>
      </c>
      <c r="P6164" s="86">
        <f t="shared" si="1870"/>
        <v>0</v>
      </c>
      <c r="Q6164" s="86">
        <f t="shared" si="1871"/>
        <v>0</v>
      </c>
      <c r="R6164" s="86">
        <f t="shared" si="1872"/>
        <v>0</v>
      </c>
      <c r="S6164" s="86">
        <f t="shared" si="1873"/>
        <v>0</v>
      </c>
      <c r="T6164" s="86">
        <f t="shared" si="1874"/>
        <v>775.93000000000006</v>
      </c>
      <c r="U6164" s="87">
        <v>775.93000000000006</v>
      </c>
    </row>
    <row r="6165" spans="1:21" s="30" customFormat="1" ht="24.6" hidden="1" outlineLevel="1" x14ac:dyDescent="0.55000000000000004">
      <c r="A6165" s="27" t="s">
        <v>327</v>
      </c>
      <c r="B6165" s="28"/>
      <c r="C6165" s="27"/>
      <c r="D6165" s="27" t="str">
        <f>"""NAV Direct"",""CRONUS JetCorp USA"",""21"",""1"",""283624"""</f>
        <v>"NAV Direct","CRONUS JetCorp USA","21","1","283624"</v>
      </c>
      <c r="E6165" s="31">
        <f t="shared" si="1866"/>
        <v>0</v>
      </c>
      <c r="F6165" s="31"/>
      <c r="G6165" s="31"/>
      <c r="H6165" s="31"/>
      <c r="I6165" s="56"/>
      <c r="J6165" s="56"/>
      <c r="K6165" s="82" t="str">
        <f t="shared" si="1867"/>
        <v>Invoice</v>
      </c>
      <c r="L6165" s="83" t="str">
        <f>"SI_108694"</f>
        <v>SI_108694</v>
      </c>
      <c r="M6165" s="84">
        <v>42242</v>
      </c>
      <c r="N6165" s="85">
        <f t="shared" si="1868"/>
        <v>1570</v>
      </c>
      <c r="O6165" s="86">
        <f t="shared" si="1869"/>
        <v>939.1</v>
      </c>
      <c r="P6165" s="86">
        <f t="shared" si="1870"/>
        <v>0</v>
      </c>
      <c r="Q6165" s="86">
        <f t="shared" si="1871"/>
        <v>0</v>
      </c>
      <c r="R6165" s="86">
        <f t="shared" si="1872"/>
        <v>0</v>
      </c>
      <c r="S6165" s="86">
        <f t="shared" si="1873"/>
        <v>0</v>
      </c>
      <c r="T6165" s="86">
        <f t="shared" si="1874"/>
        <v>939.1</v>
      </c>
      <c r="U6165" s="87">
        <v>939.1</v>
      </c>
    </row>
    <row r="6166" spans="1:21" s="30" customFormat="1" ht="24.6" hidden="1" outlineLevel="1" x14ac:dyDescent="0.55000000000000004">
      <c r="A6166" s="27" t="s">
        <v>327</v>
      </c>
      <c r="B6166" s="28"/>
      <c r="C6166" s="27"/>
      <c r="D6166" s="27" t="str">
        <f>"""NAV Direct"",""CRONUS JetCorp USA"",""21"",""1"",""284014"""</f>
        <v>"NAV Direct","CRONUS JetCorp USA","21","1","284014"</v>
      </c>
      <c r="E6166" s="31" t="str">
        <f t="shared" si="1866"/>
        <v>C100517</v>
      </c>
      <c r="F6166" s="31"/>
      <c r="G6166" s="31"/>
      <c r="H6166" s="31"/>
      <c r="I6166" s="56"/>
      <c r="J6166" s="56"/>
      <c r="K6166" s="82" t="str">
        <f t="shared" si="1867"/>
        <v>Invoice</v>
      </c>
      <c r="L6166" s="83" t="str">
        <f>"SI_108708"</f>
        <v>SI_108708</v>
      </c>
      <c r="M6166" s="84">
        <v>42309</v>
      </c>
      <c r="N6166" s="85">
        <f t="shared" si="1868"/>
        <v>1503</v>
      </c>
      <c r="O6166" s="86">
        <f t="shared" si="1869"/>
        <v>1032.8699999999999</v>
      </c>
      <c r="P6166" s="86">
        <f t="shared" si="1870"/>
        <v>0</v>
      </c>
      <c r="Q6166" s="86">
        <f t="shared" si="1871"/>
        <v>0</v>
      </c>
      <c r="R6166" s="86">
        <f t="shared" si="1872"/>
        <v>0</v>
      </c>
      <c r="S6166" s="86">
        <f t="shared" si="1873"/>
        <v>0</v>
      </c>
      <c r="T6166" s="86">
        <f t="shared" si="1874"/>
        <v>1032.8699999999999</v>
      </c>
      <c r="U6166" s="87">
        <v>1032.8699999999999</v>
      </c>
    </row>
    <row r="6167" spans="1:21" s="30" customFormat="1" ht="24.6" hidden="1" outlineLevel="1" x14ac:dyDescent="0.55000000000000004">
      <c r="A6167" s="27" t="s">
        <v>327</v>
      </c>
      <c r="B6167" s="28"/>
      <c r="C6167" s="27"/>
      <c r="D6167" s="27" t="str">
        <f>"""NAV Direct"",""CRONUS JetCorp USA"",""21"",""1"",""284856"""</f>
        <v>"NAV Direct","CRONUS JetCorp USA","21","1","284856"</v>
      </c>
      <c r="E6167" s="31">
        <f t="shared" si="1866"/>
        <v>0</v>
      </c>
      <c r="F6167" s="31"/>
      <c r="G6167" s="31"/>
      <c r="H6167" s="31"/>
      <c r="I6167" s="56"/>
      <c r="J6167" s="56"/>
      <c r="K6167" s="82" t="str">
        <f t="shared" si="1867"/>
        <v>Invoice</v>
      </c>
      <c r="L6167" s="83" t="str">
        <f>"SI_108738"</f>
        <v>SI_108738</v>
      </c>
      <c r="M6167" s="84">
        <v>42781</v>
      </c>
      <c r="N6167" s="85">
        <f t="shared" si="1868"/>
        <v>1031</v>
      </c>
      <c r="O6167" s="86">
        <f t="shared" si="1869"/>
        <v>1136.31</v>
      </c>
      <c r="P6167" s="86">
        <f t="shared" si="1870"/>
        <v>0</v>
      </c>
      <c r="Q6167" s="86">
        <f t="shared" si="1871"/>
        <v>0</v>
      </c>
      <c r="R6167" s="86">
        <f t="shared" si="1872"/>
        <v>0</v>
      </c>
      <c r="S6167" s="86">
        <f t="shared" si="1873"/>
        <v>0</v>
      </c>
      <c r="T6167" s="86">
        <f t="shared" si="1874"/>
        <v>1136.31</v>
      </c>
      <c r="U6167" s="87">
        <v>1136.31</v>
      </c>
    </row>
    <row r="6168" spans="1:21" s="30" customFormat="1" ht="24.6" hidden="1" outlineLevel="1" x14ac:dyDescent="0.55000000000000004">
      <c r="A6168" s="27" t="s">
        <v>327</v>
      </c>
      <c r="B6168" s="28"/>
      <c r="C6168" s="27"/>
      <c r="D6168" s="27" t="str">
        <f>"""NAV Direct"",""CRONUS JetCorp USA"",""21"",""1"",""285827"""</f>
        <v>"NAV Direct","CRONUS JetCorp USA","21","1","285827"</v>
      </c>
      <c r="E6168" s="31" t="str">
        <f t="shared" si="1866"/>
        <v>C100517</v>
      </c>
      <c r="F6168" s="31"/>
      <c r="G6168" s="31"/>
      <c r="H6168" s="31"/>
      <c r="I6168" s="56"/>
      <c r="J6168" s="56"/>
      <c r="K6168" s="82" t="str">
        <f t="shared" si="1867"/>
        <v>Invoice</v>
      </c>
      <c r="L6168" s="83" t="str">
        <f>"SI_108774"</f>
        <v>SI_108774</v>
      </c>
      <c r="M6168" s="84">
        <v>42863</v>
      </c>
      <c r="N6168" s="85">
        <f t="shared" si="1868"/>
        <v>949</v>
      </c>
      <c r="O6168" s="86">
        <f t="shared" si="1869"/>
        <v>1249.99</v>
      </c>
      <c r="P6168" s="86">
        <f t="shared" si="1870"/>
        <v>0</v>
      </c>
      <c r="Q6168" s="86">
        <f t="shared" si="1871"/>
        <v>0</v>
      </c>
      <c r="R6168" s="86">
        <f t="shared" si="1872"/>
        <v>0</v>
      </c>
      <c r="S6168" s="86">
        <f t="shared" si="1873"/>
        <v>0</v>
      </c>
      <c r="T6168" s="86">
        <f t="shared" si="1874"/>
        <v>1249.99</v>
      </c>
      <c r="U6168" s="87">
        <v>1249.99</v>
      </c>
    </row>
    <row r="6169" spans="1:21" s="30" customFormat="1" ht="24.6" hidden="1" outlineLevel="1" x14ac:dyDescent="0.55000000000000004">
      <c r="A6169" s="27" t="s">
        <v>327</v>
      </c>
      <c r="B6169" s="28"/>
      <c r="C6169" s="27"/>
      <c r="D6169" s="27" t="str">
        <f>"""NAV Direct"",""CRONUS JetCorp USA"",""21"",""1"",""286137"""</f>
        <v>"NAV Direct","CRONUS JetCorp USA","21","1","286137"</v>
      </c>
      <c r="E6169" s="31">
        <f t="shared" si="1866"/>
        <v>0</v>
      </c>
      <c r="F6169" s="31"/>
      <c r="G6169" s="31"/>
      <c r="H6169" s="31"/>
      <c r="I6169" s="56"/>
      <c r="J6169" s="56"/>
      <c r="K6169" s="82" t="str">
        <f t="shared" si="1867"/>
        <v>Invoice</v>
      </c>
      <c r="L6169" s="83" t="str">
        <f>"SI_108784"</f>
        <v>SI_108784</v>
      </c>
      <c r="M6169" s="84">
        <v>42965</v>
      </c>
      <c r="N6169" s="85">
        <f t="shared" si="1868"/>
        <v>847</v>
      </c>
      <c r="O6169" s="86">
        <f t="shared" si="1869"/>
        <v>1374.93</v>
      </c>
      <c r="P6169" s="86">
        <f t="shared" si="1870"/>
        <v>0</v>
      </c>
      <c r="Q6169" s="86">
        <f t="shared" si="1871"/>
        <v>0</v>
      </c>
      <c r="R6169" s="86">
        <f t="shared" si="1872"/>
        <v>0</v>
      </c>
      <c r="S6169" s="86">
        <f t="shared" si="1873"/>
        <v>0</v>
      </c>
      <c r="T6169" s="86">
        <f t="shared" si="1874"/>
        <v>1374.93</v>
      </c>
      <c r="U6169" s="87">
        <v>1374.93</v>
      </c>
    </row>
    <row r="6170" spans="1:21" s="30" customFormat="1" ht="24.6" hidden="1" outlineLevel="1" x14ac:dyDescent="0.55000000000000004">
      <c r="A6170" s="27" t="s">
        <v>327</v>
      </c>
      <c r="B6170" s="28"/>
      <c r="C6170" s="27"/>
      <c r="D6170" s="27" t="str">
        <f>"""NAV Direct"",""CRONUS JetCorp USA"",""21"",""1"",""286577"""</f>
        <v>"NAV Direct","CRONUS JetCorp USA","21","1","286577"</v>
      </c>
      <c r="E6170" s="31" t="str">
        <f t="shared" si="1866"/>
        <v>C100517</v>
      </c>
      <c r="F6170" s="31"/>
      <c r="G6170" s="31"/>
      <c r="H6170" s="31"/>
      <c r="I6170" s="56"/>
      <c r="J6170" s="56"/>
      <c r="K6170" s="82" t="str">
        <f t="shared" si="1867"/>
        <v>Invoice</v>
      </c>
      <c r="L6170" s="83" t="str">
        <f>"SI_108798"</f>
        <v>SI_108798</v>
      </c>
      <c r="M6170" s="84">
        <v>42972</v>
      </c>
      <c r="N6170" s="85">
        <f t="shared" si="1868"/>
        <v>840</v>
      </c>
      <c r="O6170" s="86">
        <f t="shared" si="1869"/>
        <v>1374.9099999999999</v>
      </c>
      <c r="P6170" s="86">
        <f t="shared" si="1870"/>
        <v>0</v>
      </c>
      <c r="Q6170" s="86">
        <f t="shared" si="1871"/>
        <v>0</v>
      </c>
      <c r="R6170" s="86">
        <f t="shared" si="1872"/>
        <v>0</v>
      </c>
      <c r="S6170" s="86">
        <f t="shared" si="1873"/>
        <v>0</v>
      </c>
      <c r="T6170" s="86">
        <f t="shared" si="1874"/>
        <v>1374.9099999999999</v>
      </c>
      <c r="U6170" s="87">
        <v>1374.9099999999999</v>
      </c>
    </row>
    <row r="6171" spans="1:21" s="30" customFormat="1" ht="24.6" hidden="1" outlineLevel="1" x14ac:dyDescent="0.55000000000000004">
      <c r="A6171" s="27" t="s">
        <v>327</v>
      </c>
      <c r="B6171" s="28"/>
      <c r="C6171" s="27"/>
      <c r="D6171" s="27" t="str">
        <f>"""NAV Direct"",""CRONUS JetCorp USA"",""21"",""1"",""286772"""</f>
        <v>"NAV Direct","CRONUS JetCorp USA","21","1","286772"</v>
      </c>
      <c r="E6171" s="31">
        <f t="shared" si="1866"/>
        <v>0</v>
      </c>
      <c r="F6171" s="31"/>
      <c r="G6171" s="31"/>
      <c r="H6171" s="31"/>
      <c r="I6171" s="56"/>
      <c r="J6171" s="56"/>
      <c r="K6171" s="82" t="str">
        <f t="shared" si="1867"/>
        <v>Invoice</v>
      </c>
      <c r="L6171" s="83" t="str">
        <f>"SI_108805"</f>
        <v>SI_108805</v>
      </c>
      <c r="M6171" s="84">
        <v>42974</v>
      </c>
      <c r="N6171" s="85">
        <f t="shared" si="1868"/>
        <v>838</v>
      </c>
      <c r="O6171" s="86">
        <f t="shared" si="1869"/>
        <v>1374.89</v>
      </c>
      <c r="P6171" s="86">
        <f t="shared" si="1870"/>
        <v>0</v>
      </c>
      <c r="Q6171" s="86">
        <f t="shared" si="1871"/>
        <v>0</v>
      </c>
      <c r="R6171" s="86">
        <f t="shared" si="1872"/>
        <v>0</v>
      </c>
      <c r="S6171" s="86">
        <f t="shared" si="1873"/>
        <v>0</v>
      </c>
      <c r="T6171" s="86">
        <f t="shared" si="1874"/>
        <v>1374.89</v>
      </c>
      <c r="U6171" s="87">
        <v>1374.89</v>
      </c>
    </row>
    <row r="6172" spans="1:21" s="30" customFormat="1" ht="24.6" hidden="1" outlineLevel="1" x14ac:dyDescent="0.55000000000000004">
      <c r="A6172" s="27" t="s">
        <v>327</v>
      </c>
      <c r="B6172" s="28"/>
      <c r="C6172" s="27"/>
      <c r="D6172" s="27" t="str">
        <f>"""NAV Direct"",""CRONUS JetCorp USA"",""21"",""1"",""288524"""</f>
        <v>"NAV Direct","CRONUS JetCorp USA","21","1","288524"</v>
      </c>
      <c r="E6172" s="31" t="str">
        <f t="shared" si="1866"/>
        <v>C100517</v>
      </c>
      <c r="F6172" s="31"/>
      <c r="G6172" s="31"/>
      <c r="H6172" s="31"/>
      <c r="I6172" s="56"/>
      <c r="J6172" s="56"/>
      <c r="K6172" s="82" t="str">
        <f t="shared" si="1867"/>
        <v>Invoice</v>
      </c>
      <c r="L6172" s="83" t="str">
        <f>"SI_108866"</f>
        <v>SI_108866</v>
      </c>
      <c r="M6172" s="84">
        <v>43159</v>
      </c>
      <c r="N6172" s="85">
        <f t="shared" si="1868"/>
        <v>653</v>
      </c>
      <c r="O6172" s="86">
        <f t="shared" si="1869"/>
        <v>1663.6899999999998</v>
      </c>
      <c r="P6172" s="86">
        <f t="shared" si="1870"/>
        <v>0</v>
      </c>
      <c r="Q6172" s="86">
        <f t="shared" si="1871"/>
        <v>0</v>
      </c>
      <c r="R6172" s="86">
        <f t="shared" si="1872"/>
        <v>0</v>
      </c>
      <c r="S6172" s="86">
        <f t="shared" si="1873"/>
        <v>0</v>
      </c>
      <c r="T6172" s="86">
        <f t="shared" si="1874"/>
        <v>1663.6899999999998</v>
      </c>
      <c r="U6172" s="87">
        <v>1663.6899999999998</v>
      </c>
    </row>
    <row r="6173" spans="1:21" s="30" customFormat="1" ht="24.6" hidden="1" outlineLevel="1" x14ac:dyDescent="0.55000000000000004">
      <c r="A6173" s="27" t="s">
        <v>327</v>
      </c>
      <c r="B6173" s="28"/>
      <c r="C6173" s="27"/>
      <c r="D6173" s="27" t="str">
        <f>"""NAV Direct"",""CRONUS JetCorp USA"",""21"",""1"",""288718"""</f>
        <v>"NAV Direct","CRONUS JetCorp USA","21","1","288718"</v>
      </c>
      <c r="E6173" s="31">
        <f t="shared" si="1866"/>
        <v>0</v>
      </c>
      <c r="F6173" s="31"/>
      <c r="G6173" s="31"/>
      <c r="H6173" s="31"/>
      <c r="I6173" s="56"/>
      <c r="J6173" s="56"/>
      <c r="K6173" s="82" t="str">
        <f t="shared" si="1867"/>
        <v>Invoice</v>
      </c>
      <c r="L6173" s="83" t="str">
        <f>"SI_108873"</f>
        <v>SI_108873</v>
      </c>
      <c r="M6173" s="84">
        <v>43138</v>
      </c>
      <c r="N6173" s="85">
        <f t="shared" si="1868"/>
        <v>674</v>
      </c>
      <c r="O6173" s="86">
        <f t="shared" si="1869"/>
        <v>1663.71</v>
      </c>
      <c r="P6173" s="86">
        <f t="shared" si="1870"/>
        <v>0</v>
      </c>
      <c r="Q6173" s="86">
        <f t="shared" si="1871"/>
        <v>0</v>
      </c>
      <c r="R6173" s="86">
        <f t="shared" si="1872"/>
        <v>0</v>
      </c>
      <c r="S6173" s="86">
        <f t="shared" si="1873"/>
        <v>0</v>
      </c>
      <c r="T6173" s="86">
        <f t="shared" si="1874"/>
        <v>1663.71</v>
      </c>
      <c r="U6173" s="87">
        <v>1663.71</v>
      </c>
    </row>
    <row r="6174" spans="1:21" s="30" customFormat="1" ht="24.6" hidden="1" outlineLevel="1" x14ac:dyDescent="0.55000000000000004">
      <c r="A6174" s="27" t="s">
        <v>327</v>
      </c>
      <c r="B6174" s="28"/>
      <c r="C6174" s="27"/>
      <c r="D6174" s="27" t="str">
        <f>"""NAV Direct"",""CRONUS JetCorp USA"",""21"",""1"",""289476"""</f>
        <v>"NAV Direct","CRONUS JetCorp USA","21","1","289476"</v>
      </c>
      <c r="E6174" s="31" t="str">
        <f t="shared" si="1866"/>
        <v>C100517</v>
      </c>
      <c r="F6174" s="31"/>
      <c r="G6174" s="31"/>
      <c r="H6174" s="31"/>
      <c r="I6174" s="56"/>
      <c r="J6174" s="56"/>
      <c r="K6174" s="82" t="str">
        <f t="shared" si="1867"/>
        <v>Invoice</v>
      </c>
      <c r="L6174" s="83" t="str">
        <f>"SI_108898"</f>
        <v>SI_108898</v>
      </c>
      <c r="M6174" s="84">
        <v>43225</v>
      </c>
      <c r="N6174" s="85">
        <f t="shared" si="1868"/>
        <v>587</v>
      </c>
      <c r="O6174" s="86">
        <f t="shared" si="1869"/>
        <v>1830.1200000000001</v>
      </c>
      <c r="P6174" s="86">
        <f t="shared" si="1870"/>
        <v>0</v>
      </c>
      <c r="Q6174" s="86">
        <f t="shared" si="1871"/>
        <v>0</v>
      </c>
      <c r="R6174" s="86">
        <f t="shared" si="1872"/>
        <v>0</v>
      </c>
      <c r="S6174" s="86">
        <f t="shared" si="1873"/>
        <v>0</v>
      </c>
      <c r="T6174" s="86">
        <f t="shared" si="1874"/>
        <v>1830.1200000000001</v>
      </c>
      <c r="U6174" s="87">
        <v>1830.1200000000001</v>
      </c>
    </row>
    <row r="6175" spans="1:21" s="30" customFormat="1" ht="24.6" hidden="1" outlineLevel="1" x14ac:dyDescent="0.55000000000000004">
      <c r="A6175" s="27" t="s">
        <v>327</v>
      </c>
      <c r="B6175" s="28"/>
      <c r="C6175" s="27"/>
      <c r="D6175" s="27" t="str">
        <f>"""NAV Direct"",""CRONUS JetCorp USA"",""21"",""1"",""289573"""</f>
        <v>"NAV Direct","CRONUS JetCorp USA","21","1","289573"</v>
      </c>
      <c r="E6175" s="31">
        <f t="shared" si="1866"/>
        <v>0</v>
      </c>
      <c r="F6175" s="31"/>
      <c r="G6175" s="31"/>
      <c r="H6175" s="31"/>
      <c r="I6175" s="56"/>
      <c r="J6175" s="56"/>
      <c r="K6175" s="82" t="str">
        <f t="shared" si="1867"/>
        <v>Invoice</v>
      </c>
      <c r="L6175" s="83" t="str">
        <f>"SI_108901"</f>
        <v>SI_108901</v>
      </c>
      <c r="M6175" s="84">
        <v>43220</v>
      </c>
      <c r="N6175" s="85">
        <f t="shared" si="1868"/>
        <v>592</v>
      </c>
      <c r="O6175" s="86">
        <f t="shared" si="1869"/>
        <v>1830.0800000000002</v>
      </c>
      <c r="P6175" s="86">
        <f t="shared" si="1870"/>
        <v>0</v>
      </c>
      <c r="Q6175" s="86">
        <f t="shared" si="1871"/>
        <v>0</v>
      </c>
      <c r="R6175" s="86">
        <f t="shared" si="1872"/>
        <v>0</v>
      </c>
      <c r="S6175" s="86">
        <f t="shared" si="1873"/>
        <v>0</v>
      </c>
      <c r="T6175" s="86">
        <f t="shared" si="1874"/>
        <v>1830.0800000000002</v>
      </c>
      <c r="U6175" s="87">
        <v>1830.0800000000002</v>
      </c>
    </row>
    <row r="6176" spans="1:21" s="30" customFormat="1" ht="24.6" hidden="1" outlineLevel="1" x14ac:dyDescent="0.55000000000000004">
      <c r="A6176" s="27" t="s">
        <v>327</v>
      </c>
      <c r="B6176" s="28"/>
      <c r="C6176" s="27"/>
      <c r="D6176" s="27" t="str">
        <f>"""NAV Direct"",""CRONUS JetCorp USA"",""21"",""1"",""290856"""</f>
        <v>"NAV Direct","CRONUS JetCorp USA","21","1","290856"</v>
      </c>
      <c r="E6176" s="31" t="str">
        <f t="shared" si="1866"/>
        <v>C100517</v>
      </c>
      <c r="F6176" s="31"/>
      <c r="G6176" s="31"/>
      <c r="H6176" s="31"/>
      <c r="I6176" s="56"/>
      <c r="J6176" s="56"/>
      <c r="K6176" s="82" t="str">
        <f t="shared" si="1867"/>
        <v>Invoice</v>
      </c>
      <c r="L6176" s="83" t="str">
        <f>"SI_108943"</f>
        <v>SI_108943</v>
      </c>
      <c r="M6176" s="84">
        <v>43326</v>
      </c>
      <c r="N6176" s="85">
        <f t="shared" si="1868"/>
        <v>486</v>
      </c>
      <c r="O6176" s="86">
        <f t="shared" si="1869"/>
        <v>2013.1</v>
      </c>
      <c r="P6176" s="86">
        <f t="shared" si="1870"/>
        <v>0</v>
      </c>
      <c r="Q6176" s="86">
        <f t="shared" si="1871"/>
        <v>0</v>
      </c>
      <c r="R6176" s="86">
        <f t="shared" si="1872"/>
        <v>0</v>
      </c>
      <c r="S6176" s="86">
        <f t="shared" si="1873"/>
        <v>0</v>
      </c>
      <c r="T6176" s="86">
        <f t="shared" si="1874"/>
        <v>2013.1</v>
      </c>
      <c r="U6176" s="87">
        <v>2013.1</v>
      </c>
    </row>
    <row r="6177" spans="1:21" s="30" customFormat="1" ht="24.6" hidden="1" outlineLevel="1" x14ac:dyDescent="0.55000000000000004">
      <c r="A6177" s="27" t="s">
        <v>327</v>
      </c>
      <c r="B6177" s="28"/>
      <c r="C6177" s="27"/>
      <c r="D6177" s="27" t="str">
        <f>"""NAV Direct"",""CRONUS JetCorp USA"",""21"",""1"",""290897"""</f>
        <v>"NAV Direct","CRONUS JetCorp USA","21","1","290897"</v>
      </c>
      <c r="E6177" s="31">
        <f t="shared" si="1866"/>
        <v>0</v>
      </c>
      <c r="F6177" s="31"/>
      <c r="G6177" s="31"/>
      <c r="H6177" s="31"/>
      <c r="I6177" s="56"/>
      <c r="J6177" s="56"/>
      <c r="K6177" s="82" t="str">
        <f t="shared" si="1867"/>
        <v>Invoice</v>
      </c>
      <c r="L6177" s="83" t="str">
        <f>"SI_108944"</f>
        <v>SI_108944</v>
      </c>
      <c r="M6177" s="84">
        <v>43314</v>
      </c>
      <c r="N6177" s="85">
        <f t="shared" si="1868"/>
        <v>498</v>
      </c>
      <c r="O6177" s="86">
        <f t="shared" si="1869"/>
        <v>2013.05</v>
      </c>
      <c r="P6177" s="86">
        <f t="shared" si="1870"/>
        <v>0</v>
      </c>
      <c r="Q6177" s="86">
        <f t="shared" si="1871"/>
        <v>0</v>
      </c>
      <c r="R6177" s="86">
        <f t="shared" si="1872"/>
        <v>0</v>
      </c>
      <c r="S6177" s="86">
        <f t="shared" si="1873"/>
        <v>0</v>
      </c>
      <c r="T6177" s="86">
        <f t="shared" si="1874"/>
        <v>2013.05</v>
      </c>
      <c r="U6177" s="87">
        <v>2013.05</v>
      </c>
    </row>
    <row r="6178" spans="1:21" s="30" customFormat="1" ht="24.6" hidden="1" outlineLevel="1" x14ac:dyDescent="0.55000000000000004">
      <c r="A6178" s="27" t="s">
        <v>327</v>
      </c>
      <c r="B6178" s="28"/>
      <c r="C6178" s="27"/>
      <c r="D6178" s="27" t="str">
        <f>"""NAV Direct"",""CRONUS JetCorp USA"",""21"",""1"",""291298"""</f>
        <v>"NAV Direct","CRONUS JetCorp USA","21","1","291298"</v>
      </c>
      <c r="E6178" s="31" t="str">
        <f t="shared" si="1866"/>
        <v>C100517</v>
      </c>
      <c r="F6178" s="31"/>
      <c r="G6178" s="31"/>
      <c r="H6178" s="31"/>
      <c r="I6178" s="56"/>
      <c r="J6178" s="56"/>
      <c r="K6178" s="82" t="str">
        <f t="shared" si="1867"/>
        <v>Invoice</v>
      </c>
      <c r="L6178" s="83" t="str">
        <f>"SI_108958"</f>
        <v>SI_108958</v>
      </c>
      <c r="M6178" s="84">
        <v>43340</v>
      </c>
      <c r="N6178" s="85">
        <f t="shared" si="1868"/>
        <v>472</v>
      </c>
      <c r="O6178" s="86">
        <f t="shared" si="1869"/>
        <v>2013.04</v>
      </c>
      <c r="P6178" s="86">
        <f t="shared" si="1870"/>
        <v>0</v>
      </c>
      <c r="Q6178" s="86">
        <f t="shared" si="1871"/>
        <v>0</v>
      </c>
      <c r="R6178" s="86">
        <f t="shared" si="1872"/>
        <v>0</v>
      </c>
      <c r="S6178" s="86">
        <f t="shared" si="1873"/>
        <v>0</v>
      </c>
      <c r="T6178" s="86">
        <f t="shared" si="1874"/>
        <v>2013.04</v>
      </c>
      <c r="U6178" s="87">
        <v>2013.04</v>
      </c>
    </row>
    <row r="6179" spans="1:21" s="30" customFormat="1" ht="24.6" hidden="1" outlineLevel="1" x14ac:dyDescent="0.55000000000000004">
      <c r="A6179" s="27" t="s">
        <v>327</v>
      </c>
      <c r="B6179" s="28"/>
      <c r="C6179" s="27"/>
      <c r="D6179" s="27" t="str">
        <f>"""NAV Direct"",""CRONUS JetCorp USA"",""21"",""1"",""292577"""</f>
        <v>"NAV Direct","CRONUS JetCorp USA","21","1","292577"</v>
      </c>
      <c r="E6179" s="31">
        <f t="shared" si="1866"/>
        <v>0</v>
      </c>
      <c r="F6179" s="31"/>
      <c r="G6179" s="31"/>
      <c r="H6179" s="31"/>
      <c r="I6179" s="56"/>
      <c r="J6179" s="56"/>
      <c r="K6179" s="82" t="str">
        <f t="shared" si="1867"/>
        <v>Invoice</v>
      </c>
      <c r="L6179" s="83" t="str">
        <f>"SI_109001"</f>
        <v>SI_109001</v>
      </c>
      <c r="M6179" s="84">
        <v>43444</v>
      </c>
      <c r="N6179" s="85">
        <f t="shared" si="1868"/>
        <v>368</v>
      </c>
      <c r="O6179" s="86">
        <f t="shared" si="1869"/>
        <v>2214.4100000000003</v>
      </c>
      <c r="P6179" s="86">
        <f t="shared" si="1870"/>
        <v>0</v>
      </c>
      <c r="Q6179" s="86">
        <f t="shared" si="1871"/>
        <v>0</v>
      </c>
      <c r="R6179" s="86">
        <f t="shared" si="1872"/>
        <v>0</v>
      </c>
      <c r="S6179" s="86">
        <f t="shared" si="1873"/>
        <v>0</v>
      </c>
      <c r="T6179" s="86">
        <f t="shared" si="1874"/>
        <v>2214.4100000000003</v>
      </c>
      <c r="U6179" s="87">
        <v>2214.4100000000003</v>
      </c>
    </row>
    <row r="6180" spans="1:21" s="30" customFormat="1" ht="24.6" hidden="1" outlineLevel="1" x14ac:dyDescent="0.55000000000000004">
      <c r="A6180" s="27" t="s">
        <v>327</v>
      </c>
      <c r="B6180" s="28"/>
      <c r="C6180" s="27"/>
      <c r="D6180" s="27" t="str">
        <f>"""NAV Direct"",""CRONUS JetCorp USA"",""21"",""1"",""292949"""</f>
        <v>"NAV Direct","CRONUS JetCorp USA","21","1","292949"</v>
      </c>
      <c r="E6180" s="31" t="str">
        <f t="shared" si="1866"/>
        <v>C100517</v>
      </c>
      <c r="F6180" s="31"/>
      <c r="G6180" s="31"/>
      <c r="H6180" s="31"/>
      <c r="I6180" s="56"/>
      <c r="J6180" s="56"/>
      <c r="K6180" s="82" t="str">
        <f t="shared" si="1867"/>
        <v>Invoice</v>
      </c>
      <c r="L6180" s="83" t="str">
        <f>"SI_109014"</f>
        <v>SI_109014</v>
      </c>
      <c r="M6180" s="84">
        <v>43444</v>
      </c>
      <c r="N6180" s="85">
        <f t="shared" si="1868"/>
        <v>368</v>
      </c>
      <c r="O6180" s="86">
        <f t="shared" si="1869"/>
        <v>2214.3199999999997</v>
      </c>
      <c r="P6180" s="86">
        <f t="shared" si="1870"/>
        <v>0</v>
      </c>
      <c r="Q6180" s="86">
        <f t="shared" si="1871"/>
        <v>0</v>
      </c>
      <c r="R6180" s="86">
        <f t="shared" si="1872"/>
        <v>0</v>
      </c>
      <c r="S6180" s="86">
        <f t="shared" si="1873"/>
        <v>0</v>
      </c>
      <c r="T6180" s="86">
        <f t="shared" si="1874"/>
        <v>2214.3199999999997</v>
      </c>
      <c r="U6180" s="87">
        <v>2214.3199999999997</v>
      </c>
    </row>
    <row r="6181" spans="1:21" s="30" customFormat="1" ht="24.6" hidden="1" outlineLevel="1" x14ac:dyDescent="0.55000000000000004">
      <c r="A6181" s="27" t="s">
        <v>327</v>
      </c>
      <c r="B6181" s="28"/>
      <c r="C6181" s="27"/>
      <c r="D6181" s="27" t="str">
        <f>"""NAV Direct"",""CRONUS JetCorp USA"",""21"",""1"",""294427"""</f>
        <v>"NAV Direct","CRONUS JetCorp USA","21","1","294427"</v>
      </c>
      <c r="E6181" s="31">
        <f t="shared" si="1866"/>
        <v>0</v>
      </c>
      <c r="F6181" s="31"/>
      <c r="G6181" s="31"/>
      <c r="H6181" s="31"/>
      <c r="I6181" s="56"/>
      <c r="J6181" s="56"/>
      <c r="K6181" s="82" t="str">
        <f t="shared" si="1867"/>
        <v>Invoice</v>
      </c>
      <c r="L6181" s="83" t="str">
        <f>"SI_109062"</f>
        <v>SI_109062</v>
      </c>
      <c r="M6181" s="84">
        <v>43529</v>
      </c>
      <c r="N6181" s="85">
        <f t="shared" si="1868"/>
        <v>283</v>
      </c>
      <c r="O6181" s="86">
        <f t="shared" si="1869"/>
        <v>2435.87</v>
      </c>
      <c r="P6181" s="86">
        <f t="shared" si="1870"/>
        <v>0</v>
      </c>
      <c r="Q6181" s="86">
        <f t="shared" si="1871"/>
        <v>0</v>
      </c>
      <c r="R6181" s="86">
        <f t="shared" si="1872"/>
        <v>0</v>
      </c>
      <c r="S6181" s="86">
        <f t="shared" si="1873"/>
        <v>0</v>
      </c>
      <c r="T6181" s="86">
        <f t="shared" si="1874"/>
        <v>2435.87</v>
      </c>
      <c r="U6181" s="87">
        <v>2435.87</v>
      </c>
    </row>
    <row r="6182" spans="1:21" s="30" customFormat="1" ht="24.6" hidden="1" outlineLevel="1" x14ac:dyDescent="0.55000000000000004">
      <c r="A6182" s="27" t="s">
        <v>327</v>
      </c>
      <c r="B6182" s="28"/>
      <c r="C6182" s="27"/>
      <c r="D6182" s="27" t="str">
        <f>"""NAV Direct"",""CRONUS JetCorp USA"",""21"",""1"",""294487"""</f>
        <v>"NAV Direct","CRONUS JetCorp USA","21","1","294487"</v>
      </c>
      <c r="E6182" s="31" t="str">
        <f t="shared" si="1866"/>
        <v>C100517</v>
      </c>
      <c r="F6182" s="31"/>
      <c r="G6182" s="31"/>
      <c r="H6182" s="31"/>
      <c r="I6182" s="56"/>
      <c r="J6182" s="56"/>
      <c r="K6182" s="82" t="str">
        <f t="shared" si="1867"/>
        <v>Invoice</v>
      </c>
      <c r="L6182" s="83" t="str">
        <f>"SI_109064"</f>
        <v>SI_109064</v>
      </c>
      <c r="M6182" s="84">
        <v>43544</v>
      </c>
      <c r="N6182" s="85">
        <f t="shared" si="1868"/>
        <v>268</v>
      </c>
      <c r="O6182" s="86">
        <f t="shared" si="1869"/>
        <v>2435.89</v>
      </c>
      <c r="P6182" s="86">
        <f t="shared" si="1870"/>
        <v>0</v>
      </c>
      <c r="Q6182" s="86">
        <f t="shared" si="1871"/>
        <v>0</v>
      </c>
      <c r="R6182" s="86">
        <f t="shared" si="1872"/>
        <v>0</v>
      </c>
      <c r="S6182" s="86">
        <f t="shared" si="1873"/>
        <v>0</v>
      </c>
      <c r="T6182" s="86">
        <f t="shared" si="1874"/>
        <v>2435.89</v>
      </c>
      <c r="U6182" s="87">
        <v>2435.89</v>
      </c>
    </row>
    <row r="6183" spans="1:21" s="30" customFormat="1" ht="24.6" hidden="1" outlineLevel="1" x14ac:dyDescent="0.55000000000000004">
      <c r="A6183" s="27" t="s">
        <v>327</v>
      </c>
      <c r="B6183" s="28"/>
      <c r="C6183" s="27"/>
      <c r="D6183" s="27" t="str">
        <f>"""NAV Direct"",""CRONUS JetCorp USA"",""21"",""1"",""294514"""</f>
        <v>"NAV Direct","CRONUS JetCorp USA","21","1","294514"</v>
      </c>
      <c r="E6183" s="31">
        <f t="shared" si="1866"/>
        <v>0</v>
      </c>
      <c r="F6183" s="31"/>
      <c r="G6183" s="31"/>
      <c r="H6183" s="31"/>
      <c r="I6183" s="56"/>
      <c r="J6183" s="56"/>
      <c r="K6183" s="82" t="str">
        <f t="shared" si="1867"/>
        <v>Invoice</v>
      </c>
      <c r="L6183" s="83" t="str">
        <f>"SI_109065"</f>
        <v>SI_109065</v>
      </c>
      <c r="M6183" s="84">
        <v>43545</v>
      </c>
      <c r="N6183" s="85">
        <f t="shared" si="1868"/>
        <v>267</v>
      </c>
      <c r="O6183" s="86">
        <f t="shared" si="1869"/>
        <v>2435.87</v>
      </c>
      <c r="P6183" s="86">
        <f t="shared" si="1870"/>
        <v>0</v>
      </c>
      <c r="Q6183" s="86">
        <f t="shared" si="1871"/>
        <v>0</v>
      </c>
      <c r="R6183" s="86">
        <f t="shared" si="1872"/>
        <v>0</v>
      </c>
      <c r="S6183" s="86">
        <f t="shared" si="1873"/>
        <v>0</v>
      </c>
      <c r="T6183" s="86">
        <f t="shared" si="1874"/>
        <v>2435.87</v>
      </c>
      <c r="U6183" s="87">
        <v>2435.87</v>
      </c>
    </row>
    <row r="6184" spans="1:21" s="30" customFormat="1" ht="24.6" hidden="1" outlineLevel="1" x14ac:dyDescent="0.55000000000000004">
      <c r="A6184" s="27" t="s">
        <v>327</v>
      </c>
      <c r="B6184" s="28"/>
      <c r="C6184" s="27"/>
      <c r="D6184" s="27" t="str">
        <f>"""NAV Direct"",""CRONUS JetCorp USA"",""21"",""1"",""294611"""</f>
        <v>"NAV Direct","CRONUS JetCorp USA","21","1","294611"</v>
      </c>
      <c r="E6184" s="31" t="str">
        <f t="shared" si="1866"/>
        <v>C100517</v>
      </c>
      <c r="F6184" s="31"/>
      <c r="G6184" s="31"/>
      <c r="H6184" s="31"/>
      <c r="I6184" s="56"/>
      <c r="J6184" s="56"/>
      <c r="K6184" s="82" t="str">
        <f t="shared" si="1867"/>
        <v>Invoice</v>
      </c>
      <c r="L6184" s="83" t="str">
        <f>"SI_109068"</f>
        <v>SI_109068</v>
      </c>
      <c r="M6184" s="84">
        <v>43598</v>
      </c>
      <c r="N6184" s="85">
        <f t="shared" si="1868"/>
        <v>214</v>
      </c>
      <c r="O6184" s="86">
        <f t="shared" si="1869"/>
        <v>2679.5</v>
      </c>
      <c r="P6184" s="86">
        <f t="shared" si="1870"/>
        <v>0</v>
      </c>
      <c r="Q6184" s="86">
        <f t="shared" si="1871"/>
        <v>0</v>
      </c>
      <c r="R6184" s="86">
        <f t="shared" si="1872"/>
        <v>0</v>
      </c>
      <c r="S6184" s="86">
        <f t="shared" si="1873"/>
        <v>0</v>
      </c>
      <c r="T6184" s="86">
        <f t="shared" si="1874"/>
        <v>2679.5</v>
      </c>
      <c r="U6184" s="87">
        <v>2679.5</v>
      </c>
    </row>
    <row r="6185" spans="1:21" s="30" customFormat="1" ht="24.6" hidden="1" outlineLevel="1" x14ac:dyDescent="0.55000000000000004">
      <c r="A6185" s="27" t="s">
        <v>327</v>
      </c>
      <c r="B6185" s="28"/>
      <c r="C6185" s="27"/>
      <c r="D6185" s="27" t="str">
        <f>"""NAV Direct"",""CRONUS JetCorp USA"",""21"",""1"",""296869"""</f>
        <v>"NAV Direct","CRONUS JetCorp USA","21","1","296869"</v>
      </c>
      <c r="E6185" s="31">
        <f t="shared" si="1866"/>
        <v>0</v>
      </c>
      <c r="F6185" s="31"/>
      <c r="G6185" s="31"/>
      <c r="H6185" s="31"/>
      <c r="I6185" s="56"/>
      <c r="J6185" s="56"/>
      <c r="K6185" s="82" t="str">
        <f t="shared" si="1867"/>
        <v>Invoice</v>
      </c>
      <c r="L6185" s="83" t="str">
        <f>"SI_109137"</f>
        <v>SI_109137</v>
      </c>
      <c r="M6185" s="84">
        <v>43699</v>
      </c>
      <c r="N6185" s="85">
        <f t="shared" si="1868"/>
        <v>113</v>
      </c>
      <c r="O6185" s="86">
        <f t="shared" si="1869"/>
        <v>2947.43</v>
      </c>
      <c r="P6185" s="86">
        <f t="shared" si="1870"/>
        <v>0</v>
      </c>
      <c r="Q6185" s="86">
        <f t="shared" si="1871"/>
        <v>0</v>
      </c>
      <c r="R6185" s="86">
        <f t="shared" si="1872"/>
        <v>0</v>
      </c>
      <c r="S6185" s="86">
        <f t="shared" si="1873"/>
        <v>0</v>
      </c>
      <c r="T6185" s="86">
        <f t="shared" si="1874"/>
        <v>2947.43</v>
      </c>
      <c r="U6185" s="87">
        <v>2947.43</v>
      </c>
    </row>
    <row r="6186" spans="1:21" s="30" customFormat="1" ht="24.6" hidden="1" outlineLevel="1" x14ac:dyDescent="0.55000000000000004">
      <c r="A6186" s="27" t="s">
        <v>327</v>
      </c>
      <c r="B6186" s="28"/>
      <c r="C6186" s="27"/>
      <c r="D6186" s="27" t="str">
        <f>"""NAV Direct"",""CRONUS JetCorp USA"",""21"",""1"",""300596"""</f>
        <v>"NAV Direct","CRONUS JetCorp USA","21","1","300596"</v>
      </c>
      <c r="E6186" s="31" t="str">
        <f t="shared" si="1866"/>
        <v>C100517</v>
      </c>
      <c r="F6186" s="31"/>
      <c r="G6186" s="31"/>
      <c r="H6186" s="31"/>
      <c r="I6186" s="56"/>
      <c r="J6186" s="56"/>
      <c r="K6186" s="82" t="str">
        <f t="shared" si="1867"/>
        <v>Invoice</v>
      </c>
      <c r="L6186" s="83" t="str">
        <f>"SI_109250"</f>
        <v>SI_109250</v>
      </c>
      <c r="M6186" s="84">
        <v>42061</v>
      </c>
      <c r="N6186" s="85">
        <f t="shared" si="1868"/>
        <v>1751</v>
      </c>
      <c r="O6186" s="86">
        <f t="shared" si="1869"/>
        <v>3566.42</v>
      </c>
      <c r="P6186" s="86">
        <f t="shared" si="1870"/>
        <v>0</v>
      </c>
      <c r="Q6186" s="86">
        <f t="shared" si="1871"/>
        <v>0</v>
      </c>
      <c r="R6186" s="86">
        <f t="shared" si="1872"/>
        <v>0</v>
      </c>
      <c r="S6186" s="86">
        <f t="shared" si="1873"/>
        <v>0</v>
      </c>
      <c r="T6186" s="86">
        <f t="shared" si="1874"/>
        <v>3566.42</v>
      </c>
      <c r="U6186" s="87">
        <v>3566.42</v>
      </c>
    </row>
    <row r="6187" spans="1:21" s="30" customFormat="1" ht="24.6" hidden="1" outlineLevel="1" x14ac:dyDescent="0.55000000000000004">
      <c r="A6187" s="27" t="s">
        <v>327</v>
      </c>
      <c r="B6187" s="28"/>
      <c r="C6187" s="27"/>
      <c r="D6187" s="27" t="str">
        <f>"""NAV Direct"",""CRONUS JetCorp USA"",""21"",""1"",""300744"""</f>
        <v>"NAV Direct","CRONUS JetCorp USA","21","1","300744"</v>
      </c>
      <c r="E6187" s="31">
        <f t="shared" si="1866"/>
        <v>0</v>
      </c>
      <c r="F6187" s="31"/>
      <c r="G6187" s="31"/>
      <c r="H6187" s="31"/>
      <c r="I6187" s="56"/>
      <c r="J6187" s="56"/>
      <c r="K6187" s="82" t="str">
        <f t="shared" si="1867"/>
        <v>Invoice</v>
      </c>
      <c r="L6187" s="83" t="str">
        <f>"SI_109255"</f>
        <v>SI_109255</v>
      </c>
      <c r="M6187" s="84">
        <v>42063</v>
      </c>
      <c r="N6187" s="85">
        <f t="shared" si="1868"/>
        <v>1749</v>
      </c>
      <c r="O6187" s="86">
        <f t="shared" si="1869"/>
        <v>3566.41</v>
      </c>
      <c r="P6187" s="86">
        <f t="shared" si="1870"/>
        <v>0</v>
      </c>
      <c r="Q6187" s="86">
        <f t="shared" si="1871"/>
        <v>0</v>
      </c>
      <c r="R6187" s="86">
        <f t="shared" si="1872"/>
        <v>0</v>
      </c>
      <c r="S6187" s="86">
        <f t="shared" si="1873"/>
        <v>0</v>
      </c>
      <c r="T6187" s="86">
        <f t="shared" si="1874"/>
        <v>3566.41</v>
      </c>
      <c r="U6187" s="87">
        <v>3566.41</v>
      </c>
    </row>
    <row r="6188" spans="1:21" s="30" customFormat="1" ht="24.6" hidden="1" outlineLevel="1" x14ac:dyDescent="0.55000000000000004">
      <c r="A6188" s="27" t="s">
        <v>327</v>
      </c>
      <c r="B6188" s="28"/>
      <c r="C6188" s="27"/>
      <c r="D6188" s="27" t="str">
        <f>"""NAV Direct"",""CRONUS JetCorp USA"",""21"",""1"",""301915"""</f>
        <v>"NAV Direct","CRONUS JetCorp USA","21","1","301915"</v>
      </c>
      <c r="E6188" s="31" t="str">
        <f t="shared" si="1866"/>
        <v>C100517</v>
      </c>
      <c r="F6188" s="31"/>
      <c r="G6188" s="31"/>
      <c r="H6188" s="31"/>
      <c r="I6188" s="56"/>
      <c r="J6188" s="56"/>
      <c r="K6188" s="82" t="str">
        <f t="shared" si="1867"/>
        <v>Invoice</v>
      </c>
      <c r="L6188" s="83" t="str">
        <f>"SI_109288"</f>
        <v>SI_109288</v>
      </c>
      <c r="M6188" s="84">
        <v>42129</v>
      </c>
      <c r="N6188" s="85">
        <f t="shared" si="1868"/>
        <v>1683</v>
      </c>
      <c r="O6188" s="86">
        <f t="shared" si="1869"/>
        <v>3922.9900000000002</v>
      </c>
      <c r="P6188" s="86">
        <f t="shared" si="1870"/>
        <v>0</v>
      </c>
      <c r="Q6188" s="86">
        <f t="shared" si="1871"/>
        <v>0</v>
      </c>
      <c r="R6188" s="86">
        <f t="shared" si="1872"/>
        <v>0</v>
      </c>
      <c r="S6188" s="86">
        <f t="shared" si="1873"/>
        <v>0</v>
      </c>
      <c r="T6188" s="86">
        <f t="shared" si="1874"/>
        <v>3922.9900000000002</v>
      </c>
      <c r="U6188" s="87">
        <v>3922.9900000000002</v>
      </c>
    </row>
    <row r="6189" spans="1:21" s="30" customFormat="1" ht="24.6" hidden="1" outlineLevel="1" x14ac:dyDescent="0.55000000000000004">
      <c r="A6189" s="27" t="s">
        <v>327</v>
      </c>
      <c r="B6189" s="28"/>
      <c r="C6189" s="27"/>
      <c r="D6189" s="27" t="str">
        <f>"""NAV Direct"",""CRONUS JetCorp USA"",""21"",""1"",""302357"""</f>
        <v>"NAV Direct","CRONUS JetCorp USA","21","1","302357"</v>
      </c>
      <c r="E6189" s="31">
        <f t="shared" si="1866"/>
        <v>0</v>
      </c>
      <c r="F6189" s="31"/>
      <c r="G6189" s="31"/>
      <c r="H6189" s="31"/>
      <c r="I6189" s="56"/>
      <c r="J6189" s="56"/>
      <c r="K6189" s="82" t="str">
        <f t="shared" si="1867"/>
        <v>Invoice</v>
      </c>
      <c r="L6189" s="83" t="str">
        <f>"SI_109300"</f>
        <v>SI_109300</v>
      </c>
      <c r="M6189" s="84">
        <v>42136</v>
      </c>
      <c r="N6189" s="85">
        <f t="shared" si="1868"/>
        <v>1676</v>
      </c>
      <c r="O6189" s="86">
        <f t="shared" si="1869"/>
        <v>3922.95</v>
      </c>
      <c r="P6189" s="86">
        <f t="shared" si="1870"/>
        <v>0</v>
      </c>
      <c r="Q6189" s="86">
        <f t="shared" si="1871"/>
        <v>0</v>
      </c>
      <c r="R6189" s="86">
        <f t="shared" si="1872"/>
        <v>0</v>
      </c>
      <c r="S6189" s="86">
        <f t="shared" si="1873"/>
        <v>0</v>
      </c>
      <c r="T6189" s="86">
        <f t="shared" si="1874"/>
        <v>3922.95</v>
      </c>
      <c r="U6189" s="87">
        <v>3922.95</v>
      </c>
    </row>
    <row r="6190" spans="1:21" s="30" customFormat="1" ht="24.6" hidden="1" outlineLevel="1" x14ac:dyDescent="0.55000000000000004">
      <c r="A6190" s="27" t="s">
        <v>327</v>
      </c>
      <c r="B6190" s="28"/>
      <c r="C6190" s="27"/>
      <c r="D6190" s="27" t="str">
        <f>"""NAV Direct"",""CRONUS JetCorp USA"",""21"",""1"",""302963"""</f>
        <v>"NAV Direct","CRONUS JetCorp USA","21","1","302963"</v>
      </c>
      <c r="E6190" s="31" t="str">
        <f t="shared" si="1866"/>
        <v>C100517</v>
      </c>
      <c r="F6190" s="31"/>
      <c r="G6190" s="31"/>
      <c r="H6190" s="31"/>
      <c r="I6190" s="56"/>
      <c r="J6190" s="56"/>
      <c r="K6190" s="82" t="str">
        <f t="shared" si="1867"/>
        <v>Invoice</v>
      </c>
      <c r="L6190" s="83" t="str">
        <f>"SI_109319"</f>
        <v>SI_109319</v>
      </c>
      <c r="M6190" s="84">
        <v>42157</v>
      </c>
      <c r="N6190" s="85">
        <f t="shared" si="1868"/>
        <v>1655</v>
      </c>
      <c r="O6190" s="86">
        <f t="shared" si="1869"/>
        <v>3922.8799999999997</v>
      </c>
      <c r="P6190" s="86">
        <f t="shared" si="1870"/>
        <v>0</v>
      </c>
      <c r="Q6190" s="86">
        <f t="shared" si="1871"/>
        <v>0</v>
      </c>
      <c r="R6190" s="86">
        <f t="shared" si="1872"/>
        <v>0</v>
      </c>
      <c r="S6190" s="86">
        <f t="shared" si="1873"/>
        <v>0</v>
      </c>
      <c r="T6190" s="86">
        <f t="shared" si="1874"/>
        <v>3922.8799999999997</v>
      </c>
      <c r="U6190" s="87">
        <v>3922.8799999999997</v>
      </c>
    </row>
    <row r="6191" spans="1:21" s="30" customFormat="1" ht="24.6" hidden="1" outlineLevel="1" x14ac:dyDescent="0.55000000000000004">
      <c r="A6191" s="27" t="s">
        <v>327</v>
      </c>
      <c r="B6191" s="28"/>
      <c r="C6191" s="27"/>
      <c r="D6191" s="27" t="str">
        <f>"""NAV Direct"",""CRONUS JetCorp USA"",""21"",""1"",""303077"""</f>
        <v>"NAV Direct","CRONUS JetCorp USA","21","1","303077"</v>
      </c>
      <c r="E6191" s="31">
        <f t="shared" si="1866"/>
        <v>0</v>
      </c>
      <c r="F6191" s="31"/>
      <c r="G6191" s="31"/>
      <c r="H6191" s="31"/>
      <c r="I6191" s="56"/>
      <c r="J6191" s="56"/>
      <c r="K6191" s="82" t="str">
        <f t="shared" si="1867"/>
        <v>Invoice</v>
      </c>
      <c r="L6191" s="83" t="str">
        <f>"SI_109322"</f>
        <v>SI_109322</v>
      </c>
      <c r="M6191" s="84">
        <v>42165</v>
      </c>
      <c r="N6191" s="85">
        <f t="shared" si="1868"/>
        <v>1647</v>
      </c>
      <c r="O6191" s="86">
        <f t="shared" si="1869"/>
        <v>3922.92</v>
      </c>
      <c r="P6191" s="86">
        <f t="shared" si="1870"/>
        <v>0</v>
      </c>
      <c r="Q6191" s="86">
        <f t="shared" si="1871"/>
        <v>0</v>
      </c>
      <c r="R6191" s="86">
        <f t="shared" si="1872"/>
        <v>0</v>
      </c>
      <c r="S6191" s="86">
        <f t="shared" si="1873"/>
        <v>0</v>
      </c>
      <c r="T6191" s="86">
        <f t="shared" si="1874"/>
        <v>3922.92</v>
      </c>
      <c r="U6191" s="87">
        <v>3922.92</v>
      </c>
    </row>
    <row r="6192" spans="1:21" s="30" customFormat="1" ht="24.6" hidden="1" outlineLevel="1" x14ac:dyDescent="0.55000000000000004">
      <c r="A6192" s="27" t="s">
        <v>327</v>
      </c>
      <c r="B6192" s="28"/>
      <c r="C6192" s="27"/>
      <c r="D6192" s="27" t="str">
        <f>"""NAV Direct"",""CRONUS JetCorp USA"",""21"",""1"",""303622"""</f>
        <v>"NAV Direct","CRONUS JetCorp USA","21","1","303622"</v>
      </c>
      <c r="E6192" s="31" t="str">
        <f t="shared" si="1866"/>
        <v>C100517</v>
      </c>
      <c r="F6192" s="31"/>
      <c r="G6192" s="31"/>
      <c r="H6192" s="31"/>
      <c r="I6192" s="56"/>
      <c r="J6192" s="56"/>
      <c r="K6192" s="82" t="str">
        <f t="shared" si="1867"/>
        <v>Invoice</v>
      </c>
      <c r="L6192" s="83" t="str">
        <f>"SI_109338"</f>
        <v>SI_109338</v>
      </c>
      <c r="M6192" s="84">
        <v>42180</v>
      </c>
      <c r="N6192" s="85">
        <f t="shared" si="1868"/>
        <v>1632</v>
      </c>
      <c r="O6192" s="86">
        <f t="shared" si="1869"/>
        <v>3922.97</v>
      </c>
      <c r="P6192" s="86">
        <f t="shared" si="1870"/>
        <v>0</v>
      </c>
      <c r="Q6192" s="86">
        <f t="shared" si="1871"/>
        <v>0</v>
      </c>
      <c r="R6192" s="86">
        <f t="shared" si="1872"/>
        <v>0</v>
      </c>
      <c r="S6192" s="86">
        <f t="shared" si="1873"/>
        <v>0</v>
      </c>
      <c r="T6192" s="86">
        <f t="shared" si="1874"/>
        <v>3922.97</v>
      </c>
      <c r="U6192" s="87">
        <v>3922.97</v>
      </c>
    </row>
    <row r="6193" spans="1:22" s="22" customFormat="1" ht="20.399999999999999" collapsed="1" x14ac:dyDescent="0.45">
      <c r="A6193" s="12" t="s">
        <v>327</v>
      </c>
      <c r="B6193" s="19"/>
      <c r="C6193" s="12"/>
      <c r="D6193" s="12"/>
      <c r="E6193" s="23"/>
      <c r="F6193" s="23"/>
      <c r="G6193" s="23"/>
      <c r="H6193" s="23"/>
      <c r="I6193" s="49"/>
      <c r="J6193" s="88"/>
      <c r="K6193" s="88"/>
      <c r="L6193" s="89"/>
      <c r="M6193" s="89"/>
      <c r="N6193" s="89"/>
      <c r="O6193" s="89"/>
      <c r="P6193" s="89"/>
      <c r="Q6193" s="90"/>
      <c r="R6193" s="90"/>
      <c r="S6193" s="91"/>
      <c r="T6193" s="92"/>
      <c r="U6193" s="92"/>
    </row>
    <row r="6194" spans="1:22" s="22" customFormat="1" ht="20.399999999999999" x14ac:dyDescent="0.45">
      <c r="A6194" s="12" t="s">
        <v>327</v>
      </c>
      <c r="B6194" s="19"/>
      <c r="C6194" s="12"/>
      <c r="D6194" s="12"/>
      <c r="E6194" s="23"/>
      <c r="F6194" s="23"/>
      <c r="G6194" s="23"/>
      <c r="H6194" s="23"/>
      <c r="I6194" s="49"/>
      <c r="J6194" s="88"/>
      <c r="K6194" s="88"/>
      <c r="L6194" s="89"/>
      <c r="M6194" s="89"/>
      <c r="N6194" s="89"/>
      <c r="O6194" s="89"/>
      <c r="P6194" s="89"/>
      <c r="Q6194" s="90"/>
      <c r="R6194" s="90"/>
      <c r="S6194" s="91"/>
      <c r="T6194" s="92"/>
      <c r="U6194" s="92"/>
    </row>
    <row r="6195" spans="1:22" s="26" customFormat="1" ht="24.6" x14ac:dyDescent="0.55000000000000004">
      <c r="A6195" s="27" t="s">
        <v>327</v>
      </c>
      <c r="B6195" s="28"/>
      <c r="C6195" s="27" t="str">
        <f>"""NAV Direct"",""CRONUS JetCorp USA"",""18"",""1"",""C100518"""</f>
        <v>"NAV Direct","CRONUS JetCorp USA","18","1","C100518"</v>
      </c>
      <c r="D6195" s="27"/>
      <c r="E6195" s="28" t="str">
        <f>H6195</f>
        <v>C100518</v>
      </c>
      <c r="F6195" s="28"/>
      <c r="G6195" s="28"/>
      <c r="H6195" s="28" t="str">
        <f>"C100518"</f>
        <v>C100518</v>
      </c>
      <c r="I6195" s="116" t="str">
        <f>"C100518  -  Twirlers"</f>
        <v>C100518  -  Twirlers</v>
      </c>
      <c r="J6195" s="117" t="str">
        <f>""</f>
        <v/>
      </c>
      <c r="K6195" s="118"/>
      <c r="L6195" s="119">
        <f>SUBTOTAL(3,L6196:L6224)</f>
        <v>25</v>
      </c>
      <c r="M6195" s="118"/>
      <c r="N6195" s="118"/>
      <c r="O6195" s="120">
        <f t="shared" ref="O6195:T6195" si="1875">SUBTOTAL(9,O6196:O6224)</f>
        <v>59119.599999999991</v>
      </c>
      <c r="P6195" s="120">
        <f t="shared" si="1875"/>
        <v>3242.14</v>
      </c>
      <c r="Q6195" s="120">
        <f t="shared" si="1875"/>
        <v>12968.470000000001</v>
      </c>
      <c r="R6195" s="120">
        <f t="shared" si="1875"/>
        <v>1411.1200000000001</v>
      </c>
      <c r="S6195" s="120">
        <f t="shared" si="1875"/>
        <v>2947.47</v>
      </c>
      <c r="T6195" s="120">
        <f t="shared" si="1875"/>
        <v>38550.400000000001</v>
      </c>
      <c r="U6195" s="81"/>
    </row>
    <row r="6196" spans="1:22" s="26" customFormat="1" ht="24.6" x14ac:dyDescent="0.55000000000000004">
      <c r="A6196" s="27" t="s">
        <v>327</v>
      </c>
      <c r="B6196" s="28"/>
      <c r="C6196" s="27" t="str">
        <f>C6195</f>
        <v>"NAV Direct","CRONUS JetCorp USA","18","1","C100518"</v>
      </c>
      <c r="D6196" s="27"/>
      <c r="E6196" s="28" t="str">
        <f>E6195</f>
        <v>C100518</v>
      </c>
      <c r="F6196" s="28"/>
      <c r="G6196" s="28"/>
      <c r="H6196" s="28"/>
      <c r="I6196" s="121" t="str">
        <f>"Contact: B. Shoemaker"</f>
        <v>Contact: B. Shoemaker</v>
      </c>
      <c r="J6196" s="121"/>
      <c r="K6196" s="122"/>
      <c r="L6196" s="123"/>
      <c r="M6196" s="123"/>
      <c r="N6196" s="124"/>
      <c r="O6196" s="124"/>
      <c r="P6196" s="123"/>
      <c r="Q6196" s="125"/>
      <c r="R6196" s="126"/>
      <c r="S6196" s="126"/>
      <c r="T6196" s="125"/>
      <c r="U6196" s="81"/>
    </row>
    <row r="6197" spans="1:22" s="26" customFormat="1" ht="24.6" x14ac:dyDescent="0.55000000000000004">
      <c r="A6197" s="27" t="s">
        <v>327</v>
      </c>
      <c r="B6197" s="28"/>
      <c r="C6197" s="27" t="str">
        <f>C6196</f>
        <v>"NAV Direct","CRONUS JetCorp USA","18","1","C100518"</v>
      </c>
      <c r="D6197" s="27"/>
      <c r="E6197" s="28" t="str">
        <f>E6196</f>
        <v>C100518</v>
      </c>
      <c r="F6197" s="28"/>
      <c r="G6197" s="28"/>
      <c r="H6197" s="28"/>
      <c r="I6197" s="121" t="str">
        <f>"Twirlers@cronuscorp.net"</f>
        <v>Twirlers@cronuscorp.net</v>
      </c>
      <c r="J6197" s="121"/>
      <c r="K6197" s="122"/>
      <c r="L6197" s="124"/>
      <c r="M6197" s="124"/>
      <c r="N6197" s="124"/>
      <c r="O6197" s="124"/>
      <c r="P6197" s="123"/>
      <c r="Q6197" s="125"/>
      <c r="R6197" s="126"/>
      <c r="S6197" s="126"/>
      <c r="T6197" s="125"/>
      <c r="U6197" s="81"/>
    </row>
    <row r="6198" spans="1:22" ht="12.75" hidden="1" customHeight="1" outlineLevel="1" x14ac:dyDescent="0.45">
      <c r="A6198" s="12" t="s">
        <v>328</v>
      </c>
      <c r="B6198" s="19"/>
      <c r="E6198" s="19"/>
      <c r="F6198" s="19"/>
      <c r="G6198" s="19"/>
      <c r="H6198" s="19"/>
      <c r="I6198" s="61"/>
      <c r="J6198" s="61"/>
      <c r="K6198" s="61"/>
      <c r="L6198" s="61"/>
      <c r="M6198" s="61"/>
      <c r="N6198" s="61"/>
      <c r="O6198" s="61"/>
      <c r="P6198" s="61"/>
      <c r="Q6198" s="61"/>
      <c r="R6198" s="61"/>
      <c r="S6198" s="61"/>
      <c r="T6198" s="61"/>
      <c r="U6198" s="61"/>
      <c r="V6198" s="21"/>
    </row>
    <row r="6199" spans="1:22" s="30" customFormat="1" ht="24.6" hidden="1" outlineLevel="1" x14ac:dyDescent="0.55000000000000004">
      <c r="A6199" s="27" t="s">
        <v>327</v>
      </c>
      <c r="B6199" s="28"/>
      <c r="C6199" s="27"/>
      <c r="D6199" s="27" t="str">
        <f>"""NAV Direct"",""CRONUS JetCorp USA"",""21"",""1"",""281773"""</f>
        <v>"NAV Direct","CRONUS JetCorp USA","21","1","281773"</v>
      </c>
      <c r="E6199" s="31" t="str">
        <f t="shared" ref="E6199:E6223" si="1876">E6197</f>
        <v>C100518</v>
      </c>
      <c r="F6199" s="31"/>
      <c r="G6199" s="31"/>
      <c r="H6199" s="31"/>
      <c r="I6199" s="56"/>
      <c r="J6199" s="56"/>
      <c r="K6199" s="82" t="str">
        <f t="shared" ref="K6199:K6223" si="1877">"Invoice"</f>
        <v>Invoice</v>
      </c>
      <c r="L6199" s="83" t="str">
        <f>"SI_108623"</f>
        <v>SI_108623</v>
      </c>
      <c r="M6199" s="84">
        <v>43761</v>
      </c>
      <c r="N6199" s="85">
        <f t="shared" ref="N6199:N6223" si="1878">StartDate-$M6199+1</f>
        <v>51</v>
      </c>
      <c r="O6199" s="86">
        <f t="shared" ref="O6199:O6223" si="1879">SUM(P6199:T6199)</f>
        <v>705.59</v>
      </c>
      <c r="P6199" s="86">
        <f t="shared" ref="P6199:P6223" si="1880">IF($M6199&gt;=$P$18,U6199,0)</f>
        <v>0</v>
      </c>
      <c r="Q6199" s="86">
        <f t="shared" ref="Q6199:Q6223" si="1881">IF(AND($M6199&gt;=$Q$16,$M6199&lt;=$Q$18),U6199,0)</f>
        <v>0</v>
      </c>
      <c r="R6199" s="86">
        <f t="shared" ref="R6199:R6223" si="1882">IF(AND($M6199&gt;=$R$16,$M6199&lt;=$R$18),U6199,0)</f>
        <v>705.59</v>
      </c>
      <c r="S6199" s="86">
        <f t="shared" ref="S6199:S6223" si="1883">IF(AND($M6199&gt;=$S$16,$M6199&lt;=$S$18),U6199,0)</f>
        <v>0</v>
      </c>
      <c r="T6199" s="86">
        <f t="shared" ref="T6199:T6223" si="1884">IF($M6199&lt;=$T$18,U6199,0)</f>
        <v>0</v>
      </c>
      <c r="U6199" s="87">
        <v>705.59</v>
      </c>
    </row>
    <row r="6200" spans="1:22" s="30" customFormat="1" ht="24.6" hidden="1" outlineLevel="1" x14ac:dyDescent="0.55000000000000004">
      <c r="A6200" s="27" t="s">
        <v>327</v>
      </c>
      <c r="B6200" s="28"/>
      <c r="C6200" s="27"/>
      <c r="D6200" s="27" t="str">
        <f>"""NAV Direct"",""CRONUS JetCorp USA"",""21"",""1"",""282025"""</f>
        <v>"NAV Direct","CRONUS JetCorp USA","21","1","282025"</v>
      </c>
      <c r="E6200" s="31">
        <f t="shared" si="1876"/>
        <v>0</v>
      </c>
      <c r="F6200" s="31"/>
      <c r="G6200" s="31"/>
      <c r="H6200" s="31"/>
      <c r="I6200" s="56"/>
      <c r="J6200" s="56"/>
      <c r="K6200" s="82" t="str">
        <f t="shared" si="1877"/>
        <v>Invoice</v>
      </c>
      <c r="L6200" s="83" t="str">
        <f>"SI_108632"</f>
        <v>SI_108632</v>
      </c>
      <c r="M6200" s="84">
        <v>43773</v>
      </c>
      <c r="N6200" s="85">
        <f t="shared" si="1878"/>
        <v>39</v>
      </c>
      <c r="O6200" s="86">
        <f t="shared" si="1879"/>
        <v>705.53000000000009</v>
      </c>
      <c r="P6200" s="86">
        <f t="shared" si="1880"/>
        <v>0</v>
      </c>
      <c r="Q6200" s="86">
        <f t="shared" si="1881"/>
        <v>0</v>
      </c>
      <c r="R6200" s="86">
        <f t="shared" si="1882"/>
        <v>705.53000000000009</v>
      </c>
      <c r="S6200" s="86">
        <f t="shared" si="1883"/>
        <v>0</v>
      </c>
      <c r="T6200" s="86">
        <f t="shared" si="1884"/>
        <v>0</v>
      </c>
      <c r="U6200" s="87">
        <v>705.53000000000009</v>
      </c>
    </row>
    <row r="6201" spans="1:22" s="30" customFormat="1" ht="24.6" hidden="1" outlineLevel="1" x14ac:dyDescent="0.55000000000000004">
      <c r="A6201" s="27" t="s">
        <v>327</v>
      </c>
      <c r="B6201" s="28"/>
      <c r="C6201" s="27"/>
      <c r="D6201" s="27" t="str">
        <f>"""NAV Direct"",""CRONUS JetCorp USA"",""21"",""1"",""285472"""</f>
        <v>"NAV Direct","CRONUS JetCorp USA","21","1","285472"</v>
      </c>
      <c r="E6201" s="31" t="str">
        <f t="shared" si="1876"/>
        <v>C100518</v>
      </c>
      <c r="F6201" s="31"/>
      <c r="G6201" s="31"/>
      <c r="H6201" s="31"/>
      <c r="I6201" s="56"/>
      <c r="J6201" s="56"/>
      <c r="K6201" s="82" t="str">
        <f t="shared" si="1877"/>
        <v>Invoice</v>
      </c>
      <c r="L6201" s="83" t="str">
        <f>"SI_108761"</f>
        <v>SI_108761</v>
      </c>
      <c r="M6201" s="84">
        <v>42847</v>
      </c>
      <c r="N6201" s="85">
        <f t="shared" si="1878"/>
        <v>965</v>
      </c>
      <c r="O6201" s="86">
        <f t="shared" si="1879"/>
        <v>1249.79</v>
      </c>
      <c r="P6201" s="86">
        <f t="shared" si="1880"/>
        <v>0</v>
      </c>
      <c r="Q6201" s="86">
        <f t="shared" si="1881"/>
        <v>0</v>
      </c>
      <c r="R6201" s="86">
        <f t="shared" si="1882"/>
        <v>0</v>
      </c>
      <c r="S6201" s="86">
        <f t="shared" si="1883"/>
        <v>0</v>
      </c>
      <c r="T6201" s="86">
        <f t="shared" si="1884"/>
        <v>1249.79</v>
      </c>
      <c r="U6201" s="87">
        <v>1249.79</v>
      </c>
    </row>
    <row r="6202" spans="1:22" s="30" customFormat="1" ht="24.6" hidden="1" outlineLevel="1" x14ac:dyDescent="0.55000000000000004">
      <c r="A6202" s="27" t="s">
        <v>327</v>
      </c>
      <c r="B6202" s="28"/>
      <c r="C6202" s="27"/>
      <c r="D6202" s="27" t="str">
        <f>"""NAV Direct"",""CRONUS JetCorp USA"",""21"",""1"",""286361"""</f>
        <v>"NAV Direct","CRONUS JetCorp USA","21","1","286361"</v>
      </c>
      <c r="E6202" s="31">
        <f t="shared" si="1876"/>
        <v>0</v>
      </c>
      <c r="F6202" s="31"/>
      <c r="G6202" s="31"/>
      <c r="H6202" s="31"/>
      <c r="I6202" s="56"/>
      <c r="J6202" s="56"/>
      <c r="K6202" s="82" t="str">
        <f t="shared" si="1877"/>
        <v>Invoice</v>
      </c>
      <c r="L6202" s="83" t="str">
        <f>"SI_108791"</f>
        <v>SI_108791</v>
      </c>
      <c r="M6202" s="84">
        <v>42965</v>
      </c>
      <c r="N6202" s="85">
        <f t="shared" si="1878"/>
        <v>847</v>
      </c>
      <c r="O6202" s="86">
        <f t="shared" si="1879"/>
        <v>1374.76</v>
      </c>
      <c r="P6202" s="86">
        <f t="shared" si="1880"/>
        <v>0</v>
      </c>
      <c r="Q6202" s="86">
        <f t="shared" si="1881"/>
        <v>0</v>
      </c>
      <c r="R6202" s="86">
        <f t="shared" si="1882"/>
        <v>0</v>
      </c>
      <c r="S6202" s="86">
        <f t="shared" si="1883"/>
        <v>0</v>
      </c>
      <c r="T6202" s="86">
        <f t="shared" si="1884"/>
        <v>1374.76</v>
      </c>
      <c r="U6202" s="87">
        <v>1374.76</v>
      </c>
    </row>
    <row r="6203" spans="1:22" s="30" customFormat="1" ht="24.6" hidden="1" outlineLevel="1" x14ac:dyDescent="0.55000000000000004">
      <c r="A6203" s="27" t="s">
        <v>327</v>
      </c>
      <c r="B6203" s="28"/>
      <c r="C6203" s="27"/>
      <c r="D6203" s="27" t="str">
        <f>"""NAV Direct"",""CRONUS JetCorp USA"",""21"",""1"",""286394"""</f>
        <v>"NAV Direct","CRONUS JetCorp USA","21","1","286394"</v>
      </c>
      <c r="E6203" s="31" t="str">
        <f t="shared" si="1876"/>
        <v>C100518</v>
      </c>
      <c r="F6203" s="31"/>
      <c r="G6203" s="31"/>
      <c r="H6203" s="31"/>
      <c r="I6203" s="56"/>
      <c r="J6203" s="56"/>
      <c r="K6203" s="82" t="str">
        <f t="shared" si="1877"/>
        <v>Invoice</v>
      </c>
      <c r="L6203" s="83" t="str">
        <f>"SI_108792"</f>
        <v>SI_108792</v>
      </c>
      <c r="M6203" s="84">
        <v>42961</v>
      </c>
      <c r="N6203" s="85">
        <f t="shared" si="1878"/>
        <v>851</v>
      </c>
      <c r="O6203" s="86">
        <f t="shared" si="1879"/>
        <v>1374.96</v>
      </c>
      <c r="P6203" s="86">
        <f t="shared" si="1880"/>
        <v>0</v>
      </c>
      <c r="Q6203" s="86">
        <f t="shared" si="1881"/>
        <v>0</v>
      </c>
      <c r="R6203" s="86">
        <f t="shared" si="1882"/>
        <v>0</v>
      </c>
      <c r="S6203" s="86">
        <f t="shared" si="1883"/>
        <v>0</v>
      </c>
      <c r="T6203" s="86">
        <f t="shared" si="1884"/>
        <v>1374.96</v>
      </c>
      <c r="U6203" s="87">
        <v>1374.96</v>
      </c>
    </row>
    <row r="6204" spans="1:22" s="30" customFormat="1" ht="24.6" hidden="1" outlineLevel="1" x14ac:dyDescent="0.55000000000000004">
      <c r="A6204" s="27" t="s">
        <v>327</v>
      </c>
      <c r="B6204" s="28"/>
      <c r="C6204" s="27"/>
      <c r="D6204" s="27" t="str">
        <f>"""NAV Direct"",""CRONUS JetCorp USA"",""21"",""1"",""287228"""</f>
        <v>"NAV Direct","CRONUS JetCorp USA","21","1","287228"</v>
      </c>
      <c r="E6204" s="31">
        <f t="shared" si="1876"/>
        <v>0</v>
      </c>
      <c r="F6204" s="31"/>
      <c r="G6204" s="31"/>
      <c r="H6204" s="31"/>
      <c r="I6204" s="56"/>
      <c r="J6204" s="56"/>
      <c r="K6204" s="82" t="str">
        <f t="shared" si="1877"/>
        <v>Invoice</v>
      </c>
      <c r="L6204" s="83" t="str">
        <f>"SI_108821"</f>
        <v>SI_108821</v>
      </c>
      <c r="M6204" s="84">
        <v>43032</v>
      </c>
      <c r="N6204" s="85">
        <f t="shared" si="1878"/>
        <v>780</v>
      </c>
      <c r="O6204" s="86">
        <f t="shared" si="1879"/>
        <v>1512.38</v>
      </c>
      <c r="P6204" s="86">
        <f t="shared" si="1880"/>
        <v>0</v>
      </c>
      <c r="Q6204" s="86">
        <f t="shared" si="1881"/>
        <v>0</v>
      </c>
      <c r="R6204" s="86">
        <f t="shared" si="1882"/>
        <v>0</v>
      </c>
      <c r="S6204" s="86">
        <f t="shared" si="1883"/>
        <v>0</v>
      </c>
      <c r="T6204" s="86">
        <f t="shared" si="1884"/>
        <v>1512.38</v>
      </c>
      <c r="U6204" s="87">
        <v>1512.38</v>
      </c>
    </row>
    <row r="6205" spans="1:22" s="30" customFormat="1" ht="24.6" hidden="1" outlineLevel="1" x14ac:dyDescent="0.55000000000000004">
      <c r="A6205" s="27" t="s">
        <v>327</v>
      </c>
      <c r="B6205" s="28"/>
      <c r="C6205" s="27"/>
      <c r="D6205" s="27" t="str">
        <f>"""NAV Direct"",""CRONUS JetCorp USA"",""21"",""1"",""288110"""</f>
        <v>"NAV Direct","CRONUS JetCorp USA","21","1","288110"</v>
      </c>
      <c r="E6205" s="31" t="str">
        <f t="shared" si="1876"/>
        <v>C100518</v>
      </c>
      <c r="F6205" s="31"/>
      <c r="G6205" s="31"/>
      <c r="H6205" s="31"/>
      <c r="I6205" s="56"/>
      <c r="J6205" s="56"/>
      <c r="K6205" s="82" t="str">
        <f t="shared" si="1877"/>
        <v>Invoice</v>
      </c>
      <c r="L6205" s="83" t="str">
        <f>"SI_108852"</f>
        <v>SI_108852</v>
      </c>
      <c r="M6205" s="84">
        <v>43064</v>
      </c>
      <c r="N6205" s="85">
        <f t="shared" si="1878"/>
        <v>748</v>
      </c>
      <c r="O6205" s="86">
        <f t="shared" si="1879"/>
        <v>1512.41</v>
      </c>
      <c r="P6205" s="86">
        <f t="shared" si="1880"/>
        <v>0</v>
      </c>
      <c r="Q6205" s="86">
        <f t="shared" si="1881"/>
        <v>0</v>
      </c>
      <c r="R6205" s="86">
        <f t="shared" si="1882"/>
        <v>0</v>
      </c>
      <c r="S6205" s="86">
        <f t="shared" si="1883"/>
        <v>0</v>
      </c>
      <c r="T6205" s="86">
        <f t="shared" si="1884"/>
        <v>1512.41</v>
      </c>
      <c r="U6205" s="87">
        <v>1512.41</v>
      </c>
    </row>
    <row r="6206" spans="1:22" s="30" customFormat="1" ht="24.6" hidden="1" outlineLevel="1" x14ac:dyDescent="0.55000000000000004">
      <c r="A6206" s="27" t="s">
        <v>327</v>
      </c>
      <c r="B6206" s="28"/>
      <c r="C6206" s="27"/>
      <c r="D6206" s="27" t="str">
        <f>"""NAV Direct"",""CRONUS JetCorp USA"",""21"",""1"",""288399"""</f>
        <v>"NAV Direct","CRONUS JetCorp USA","21","1","288399"</v>
      </c>
      <c r="E6206" s="31">
        <f t="shared" si="1876"/>
        <v>0</v>
      </c>
      <c r="F6206" s="31"/>
      <c r="G6206" s="31"/>
      <c r="H6206" s="31"/>
      <c r="I6206" s="56"/>
      <c r="J6206" s="56"/>
      <c r="K6206" s="82" t="str">
        <f t="shared" si="1877"/>
        <v>Invoice</v>
      </c>
      <c r="L6206" s="83" t="str">
        <f>"SI_108862"</f>
        <v>SI_108862</v>
      </c>
      <c r="M6206" s="84">
        <v>43138</v>
      </c>
      <c r="N6206" s="85">
        <f t="shared" si="1878"/>
        <v>674</v>
      </c>
      <c r="O6206" s="86">
        <f t="shared" si="1879"/>
        <v>1663.74</v>
      </c>
      <c r="P6206" s="86">
        <f t="shared" si="1880"/>
        <v>0</v>
      </c>
      <c r="Q6206" s="86">
        <f t="shared" si="1881"/>
        <v>0</v>
      </c>
      <c r="R6206" s="86">
        <f t="shared" si="1882"/>
        <v>0</v>
      </c>
      <c r="S6206" s="86">
        <f t="shared" si="1883"/>
        <v>0</v>
      </c>
      <c r="T6206" s="86">
        <f t="shared" si="1884"/>
        <v>1663.74</v>
      </c>
      <c r="U6206" s="87">
        <v>1663.74</v>
      </c>
    </row>
    <row r="6207" spans="1:22" s="30" customFormat="1" ht="24.6" hidden="1" outlineLevel="1" x14ac:dyDescent="0.55000000000000004">
      <c r="A6207" s="27" t="s">
        <v>327</v>
      </c>
      <c r="B6207" s="28"/>
      <c r="C6207" s="27"/>
      <c r="D6207" s="27" t="str">
        <f>"""NAV Direct"",""CRONUS JetCorp USA"",""21"",""1"",""288604"""</f>
        <v>"NAV Direct","CRONUS JetCorp USA","21","1","288604"</v>
      </c>
      <c r="E6207" s="31" t="str">
        <f t="shared" si="1876"/>
        <v>C100518</v>
      </c>
      <c r="F6207" s="31"/>
      <c r="G6207" s="31"/>
      <c r="H6207" s="31"/>
      <c r="I6207" s="56"/>
      <c r="J6207" s="56"/>
      <c r="K6207" s="82" t="str">
        <f t="shared" si="1877"/>
        <v>Invoice</v>
      </c>
      <c r="L6207" s="83" t="str">
        <f>"SI_108869"</f>
        <v>SI_108869</v>
      </c>
      <c r="M6207" s="84">
        <v>43150</v>
      </c>
      <c r="N6207" s="85">
        <f t="shared" si="1878"/>
        <v>662</v>
      </c>
      <c r="O6207" s="86">
        <f t="shared" si="1879"/>
        <v>1663.74</v>
      </c>
      <c r="P6207" s="86">
        <f t="shared" si="1880"/>
        <v>0</v>
      </c>
      <c r="Q6207" s="86">
        <f t="shared" si="1881"/>
        <v>0</v>
      </c>
      <c r="R6207" s="86">
        <f t="shared" si="1882"/>
        <v>0</v>
      </c>
      <c r="S6207" s="86">
        <f t="shared" si="1883"/>
        <v>0</v>
      </c>
      <c r="T6207" s="86">
        <f t="shared" si="1884"/>
        <v>1663.74</v>
      </c>
      <c r="U6207" s="87">
        <v>1663.74</v>
      </c>
    </row>
    <row r="6208" spans="1:22" s="30" customFormat="1" ht="24.6" hidden="1" outlineLevel="1" x14ac:dyDescent="0.55000000000000004">
      <c r="A6208" s="27" t="s">
        <v>327</v>
      </c>
      <c r="B6208" s="28"/>
      <c r="C6208" s="27"/>
      <c r="D6208" s="27" t="str">
        <f>"""NAV Direct"",""CRONUS JetCorp USA"",""21"",""1"",""288880"""</f>
        <v>"NAV Direct","CRONUS JetCorp USA","21","1","288880"</v>
      </c>
      <c r="E6208" s="31">
        <f t="shared" si="1876"/>
        <v>0</v>
      </c>
      <c r="F6208" s="31"/>
      <c r="G6208" s="31"/>
      <c r="H6208" s="31"/>
      <c r="I6208" s="56"/>
      <c r="J6208" s="56"/>
      <c r="K6208" s="82" t="str">
        <f t="shared" si="1877"/>
        <v>Invoice</v>
      </c>
      <c r="L6208" s="83" t="str">
        <f>"SI_108878"</f>
        <v>SI_108878</v>
      </c>
      <c r="M6208" s="84">
        <v>43159</v>
      </c>
      <c r="N6208" s="85">
        <f t="shared" si="1878"/>
        <v>653</v>
      </c>
      <c r="O6208" s="86">
        <f t="shared" si="1879"/>
        <v>1663.6599999999999</v>
      </c>
      <c r="P6208" s="86">
        <f t="shared" si="1880"/>
        <v>0</v>
      </c>
      <c r="Q6208" s="86">
        <f t="shared" si="1881"/>
        <v>0</v>
      </c>
      <c r="R6208" s="86">
        <f t="shared" si="1882"/>
        <v>0</v>
      </c>
      <c r="S6208" s="86">
        <f t="shared" si="1883"/>
        <v>0</v>
      </c>
      <c r="T6208" s="86">
        <f t="shared" si="1884"/>
        <v>1663.6599999999999</v>
      </c>
      <c r="U6208" s="87">
        <v>1663.6599999999999</v>
      </c>
    </row>
    <row r="6209" spans="1:21" s="30" customFormat="1" ht="24.6" hidden="1" outlineLevel="1" x14ac:dyDescent="0.55000000000000004">
      <c r="A6209" s="27" t="s">
        <v>327</v>
      </c>
      <c r="B6209" s="28"/>
      <c r="C6209" s="27"/>
      <c r="D6209" s="27" t="str">
        <f>"""NAV Direct"",""CRONUS JetCorp USA"",""21"",""1"",""289151"""</f>
        <v>"NAV Direct","CRONUS JetCorp USA","21","1","289151"</v>
      </c>
      <c r="E6209" s="31" t="str">
        <f t="shared" si="1876"/>
        <v>C100518</v>
      </c>
      <c r="F6209" s="31"/>
      <c r="G6209" s="31"/>
      <c r="H6209" s="31"/>
      <c r="I6209" s="56"/>
      <c r="J6209" s="56"/>
      <c r="K6209" s="82" t="str">
        <f t="shared" si="1877"/>
        <v>Invoice</v>
      </c>
      <c r="L6209" s="83" t="str">
        <f>"SI_108887"</f>
        <v>SI_108887</v>
      </c>
      <c r="M6209" s="84">
        <v>43159</v>
      </c>
      <c r="N6209" s="85">
        <f t="shared" si="1878"/>
        <v>653</v>
      </c>
      <c r="O6209" s="86">
        <f t="shared" si="1879"/>
        <v>1663.77</v>
      </c>
      <c r="P6209" s="86">
        <f t="shared" si="1880"/>
        <v>0</v>
      </c>
      <c r="Q6209" s="86">
        <f t="shared" si="1881"/>
        <v>0</v>
      </c>
      <c r="R6209" s="86">
        <f t="shared" si="1882"/>
        <v>0</v>
      </c>
      <c r="S6209" s="86">
        <f t="shared" si="1883"/>
        <v>0</v>
      </c>
      <c r="T6209" s="86">
        <f t="shared" si="1884"/>
        <v>1663.77</v>
      </c>
      <c r="U6209" s="87">
        <v>1663.77</v>
      </c>
    </row>
    <row r="6210" spans="1:21" s="30" customFormat="1" ht="24.6" hidden="1" outlineLevel="1" x14ac:dyDescent="0.55000000000000004">
      <c r="A6210" s="27" t="s">
        <v>327</v>
      </c>
      <c r="B6210" s="28"/>
      <c r="C6210" s="27"/>
      <c r="D6210" s="27" t="str">
        <f>"""NAV Direct"",""CRONUS JetCorp USA"",""21"",""1"",""289509"""</f>
        <v>"NAV Direct","CRONUS JetCorp USA","21","1","289509"</v>
      </c>
      <c r="E6210" s="31">
        <f t="shared" si="1876"/>
        <v>0</v>
      </c>
      <c r="F6210" s="31"/>
      <c r="G6210" s="31"/>
      <c r="H6210" s="31"/>
      <c r="I6210" s="56"/>
      <c r="J6210" s="56"/>
      <c r="K6210" s="82" t="str">
        <f t="shared" si="1877"/>
        <v>Invoice</v>
      </c>
      <c r="L6210" s="83" t="str">
        <f>"SI_108899"</f>
        <v>SI_108899</v>
      </c>
      <c r="M6210" s="84">
        <v>43239</v>
      </c>
      <c r="N6210" s="85">
        <f t="shared" si="1878"/>
        <v>573</v>
      </c>
      <c r="O6210" s="86">
        <f t="shared" si="1879"/>
        <v>1830.07</v>
      </c>
      <c r="P6210" s="86">
        <f t="shared" si="1880"/>
        <v>0</v>
      </c>
      <c r="Q6210" s="86">
        <f t="shared" si="1881"/>
        <v>0</v>
      </c>
      <c r="R6210" s="86">
        <f t="shared" si="1882"/>
        <v>0</v>
      </c>
      <c r="S6210" s="86">
        <f t="shared" si="1883"/>
        <v>0</v>
      </c>
      <c r="T6210" s="86">
        <f t="shared" si="1884"/>
        <v>1830.07</v>
      </c>
      <c r="U6210" s="87">
        <v>1830.07</v>
      </c>
    </row>
    <row r="6211" spans="1:21" s="30" customFormat="1" ht="24.6" hidden="1" outlineLevel="1" x14ac:dyDescent="0.55000000000000004">
      <c r="A6211" s="27" t="s">
        <v>327</v>
      </c>
      <c r="B6211" s="28"/>
      <c r="C6211" s="27"/>
      <c r="D6211" s="27" t="str">
        <f>"""NAV Direct"",""CRONUS JetCorp USA"",""21"",""1"",""293744"""</f>
        <v>"NAV Direct","CRONUS JetCorp USA","21","1","293744"</v>
      </c>
      <c r="E6211" s="31" t="str">
        <f t="shared" si="1876"/>
        <v>C100518</v>
      </c>
      <c r="F6211" s="31"/>
      <c r="G6211" s="31"/>
      <c r="H6211" s="31"/>
      <c r="I6211" s="56"/>
      <c r="J6211" s="56"/>
      <c r="K6211" s="82" t="str">
        <f t="shared" si="1877"/>
        <v>Invoice</v>
      </c>
      <c r="L6211" s="83" t="str">
        <f>"SI_109041"</f>
        <v>SI_109041</v>
      </c>
      <c r="M6211" s="84">
        <v>43520</v>
      </c>
      <c r="N6211" s="85">
        <f t="shared" si="1878"/>
        <v>292</v>
      </c>
      <c r="O6211" s="86">
        <f t="shared" si="1879"/>
        <v>2435.75</v>
      </c>
      <c r="P6211" s="86">
        <f t="shared" si="1880"/>
        <v>0</v>
      </c>
      <c r="Q6211" s="86">
        <f t="shared" si="1881"/>
        <v>0</v>
      </c>
      <c r="R6211" s="86">
        <f t="shared" si="1882"/>
        <v>0</v>
      </c>
      <c r="S6211" s="86">
        <f t="shared" si="1883"/>
        <v>0</v>
      </c>
      <c r="T6211" s="86">
        <f t="shared" si="1884"/>
        <v>2435.75</v>
      </c>
      <c r="U6211" s="87">
        <v>2435.75</v>
      </c>
    </row>
    <row r="6212" spans="1:21" s="30" customFormat="1" ht="24.6" hidden="1" outlineLevel="1" x14ac:dyDescent="0.55000000000000004">
      <c r="A6212" s="27" t="s">
        <v>327</v>
      </c>
      <c r="B6212" s="28"/>
      <c r="C6212" s="27"/>
      <c r="D6212" s="27" t="str">
        <f>"""NAV Direct"",""CRONUS JetCorp USA"",""21"",""1"",""295195"""</f>
        <v>"NAV Direct","CRONUS JetCorp USA","21","1","295195"</v>
      </c>
      <c r="E6212" s="31">
        <f t="shared" si="1876"/>
        <v>0</v>
      </c>
      <c r="F6212" s="31"/>
      <c r="G6212" s="31"/>
      <c r="H6212" s="31"/>
      <c r="I6212" s="56"/>
      <c r="J6212" s="56"/>
      <c r="K6212" s="82" t="str">
        <f t="shared" si="1877"/>
        <v>Invoice</v>
      </c>
      <c r="L6212" s="83" t="str">
        <f>"SI_109087"</f>
        <v>SI_109087</v>
      </c>
      <c r="M6212" s="84">
        <v>43604</v>
      </c>
      <c r="N6212" s="85">
        <f t="shared" si="1878"/>
        <v>208</v>
      </c>
      <c r="O6212" s="86">
        <f t="shared" si="1879"/>
        <v>2679.37</v>
      </c>
      <c r="P6212" s="86">
        <f t="shared" si="1880"/>
        <v>0</v>
      </c>
      <c r="Q6212" s="86">
        <f t="shared" si="1881"/>
        <v>0</v>
      </c>
      <c r="R6212" s="86">
        <f t="shared" si="1882"/>
        <v>0</v>
      </c>
      <c r="S6212" s="86">
        <f t="shared" si="1883"/>
        <v>0</v>
      </c>
      <c r="T6212" s="86">
        <f t="shared" si="1884"/>
        <v>2679.37</v>
      </c>
      <c r="U6212" s="87">
        <v>2679.37</v>
      </c>
    </row>
    <row r="6213" spans="1:21" s="30" customFormat="1" ht="24.6" hidden="1" outlineLevel="1" x14ac:dyDescent="0.55000000000000004">
      <c r="A6213" s="27" t="s">
        <v>327</v>
      </c>
      <c r="B6213" s="28"/>
      <c r="C6213" s="27"/>
      <c r="D6213" s="27" t="str">
        <f>"""NAV Direct"",""CRONUS JetCorp USA"",""21"",""1"",""297227"""</f>
        <v>"NAV Direct","CRONUS JetCorp USA","21","1","297227"</v>
      </c>
      <c r="E6213" s="31" t="str">
        <f t="shared" si="1876"/>
        <v>C100518</v>
      </c>
      <c r="F6213" s="31"/>
      <c r="G6213" s="31"/>
      <c r="H6213" s="31"/>
      <c r="I6213" s="56"/>
      <c r="J6213" s="56"/>
      <c r="K6213" s="82" t="str">
        <f t="shared" si="1877"/>
        <v>Invoice</v>
      </c>
      <c r="L6213" s="83" t="str">
        <f>"SI_109149"</f>
        <v>SI_109149</v>
      </c>
      <c r="M6213" s="84">
        <v>43722</v>
      </c>
      <c r="N6213" s="85">
        <f t="shared" si="1878"/>
        <v>90</v>
      </c>
      <c r="O6213" s="86">
        <f t="shared" si="1879"/>
        <v>2947.47</v>
      </c>
      <c r="P6213" s="86">
        <f t="shared" si="1880"/>
        <v>0</v>
      </c>
      <c r="Q6213" s="86">
        <f t="shared" si="1881"/>
        <v>0</v>
      </c>
      <c r="R6213" s="86">
        <f t="shared" si="1882"/>
        <v>0</v>
      </c>
      <c r="S6213" s="86">
        <f t="shared" si="1883"/>
        <v>2947.47</v>
      </c>
      <c r="T6213" s="86">
        <f t="shared" si="1884"/>
        <v>0</v>
      </c>
      <c r="U6213" s="87">
        <v>2947.47</v>
      </c>
    </row>
    <row r="6214" spans="1:21" s="30" customFormat="1" ht="24.6" hidden="1" outlineLevel="1" x14ac:dyDescent="0.55000000000000004">
      <c r="A6214" s="27" t="s">
        <v>327</v>
      </c>
      <c r="B6214" s="28"/>
      <c r="C6214" s="27"/>
      <c r="D6214" s="27" t="str">
        <f>"""NAV Direct"",""CRONUS JetCorp USA"",""21"",""1"",""297438"""</f>
        <v>"NAV Direct","CRONUS JetCorp USA","21","1","297438"</v>
      </c>
      <c r="E6214" s="31">
        <f t="shared" si="1876"/>
        <v>0</v>
      </c>
      <c r="F6214" s="31"/>
      <c r="G6214" s="31"/>
      <c r="H6214" s="31"/>
      <c r="I6214" s="56"/>
      <c r="J6214" s="56"/>
      <c r="K6214" s="82" t="str">
        <f t="shared" si="1877"/>
        <v>Invoice</v>
      </c>
      <c r="L6214" s="83" t="str">
        <f>"SI_109156"</f>
        <v>SI_109156</v>
      </c>
      <c r="M6214" s="84">
        <v>43717</v>
      </c>
      <c r="N6214" s="85">
        <f t="shared" si="1878"/>
        <v>95</v>
      </c>
      <c r="O6214" s="86">
        <f t="shared" si="1879"/>
        <v>2947.25</v>
      </c>
      <c r="P6214" s="86">
        <f t="shared" si="1880"/>
        <v>0</v>
      </c>
      <c r="Q6214" s="86">
        <f t="shared" si="1881"/>
        <v>0</v>
      </c>
      <c r="R6214" s="86">
        <f t="shared" si="1882"/>
        <v>0</v>
      </c>
      <c r="S6214" s="86">
        <f t="shared" si="1883"/>
        <v>0</v>
      </c>
      <c r="T6214" s="86">
        <f t="shared" si="1884"/>
        <v>2947.25</v>
      </c>
      <c r="U6214" s="87">
        <v>2947.25</v>
      </c>
    </row>
    <row r="6215" spans="1:21" s="30" customFormat="1" ht="24.6" hidden="1" outlineLevel="1" x14ac:dyDescent="0.55000000000000004">
      <c r="A6215" s="27" t="s">
        <v>327</v>
      </c>
      <c r="B6215" s="28"/>
      <c r="C6215" s="27"/>
      <c r="D6215" s="27" t="str">
        <f>"""NAV Direct"",""CRONUS JetCorp USA"",""21"",""1"",""298778"""</f>
        <v>"NAV Direct","CRONUS JetCorp USA","21","1","298778"</v>
      </c>
      <c r="E6215" s="31" t="str">
        <f t="shared" si="1876"/>
        <v>C100518</v>
      </c>
      <c r="F6215" s="31"/>
      <c r="G6215" s="31"/>
      <c r="H6215" s="31"/>
      <c r="I6215" s="56"/>
      <c r="J6215" s="56"/>
      <c r="K6215" s="82" t="str">
        <f t="shared" si="1877"/>
        <v>Invoice</v>
      </c>
      <c r="L6215" s="83" t="str">
        <f>"SI_109197"</f>
        <v>SI_109197</v>
      </c>
      <c r="M6215" s="84">
        <v>43796</v>
      </c>
      <c r="N6215" s="85">
        <f t="shared" si="1878"/>
        <v>16</v>
      </c>
      <c r="O6215" s="86">
        <f t="shared" si="1879"/>
        <v>3242.1899999999996</v>
      </c>
      <c r="P6215" s="86">
        <f t="shared" si="1880"/>
        <v>0</v>
      </c>
      <c r="Q6215" s="86">
        <f t="shared" si="1881"/>
        <v>3242.1899999999996</v>
      </c>
      <c r="R6215" s="86">
        <f t="shared" si="1882"/>
        <v>0</v>
      </c>
      <c r="S6215" s="86">
        <f t="shared" si="1883"/>
        <v>0</v>
      </c>
      <c r="T6215" s="86">
        <f t="shared" si="1884"/>
        <v>0</v>
      </c>
      <c r="U6215" s="87">
        <v>3242.1899999999996</v>
      </c>
    </row>
    <row r="6216" spans="1:21" s="30" customFormat="1" ht="24.6" hidden="1" outlineLevel="1" x14ac:dyDescent="0.55000000000000004">
      <c r="A6216" s="27" t="s">
        <v>327</v>
      </c>
      <c r="B6216" s="28"/>
      <c r="C6216" s="27"/>
      <c r="D6216" s="27" t="str">
        <f>"""NAV Direct"",""CRONUS JetCorp USA"",""21"",""1"",""298858"""</f>
        <v>"NAV Direct","CRONUS JetCorp USA","21","1","298858"</v>
      </c>
      <c r="E6216" s="31">
        <f t="shared" si="1876"/>
        <v>0</v>
      </c>
      <c r="F6216" s="31"/>
      <c r="G6216" s="31"/>
      <c r="H6216" s="31"/>
      <c r="I6216" s="56"/>
      <c r="J6216" s="56"/>
      <c r="K6216" s="82" t="str">
        <f t="shared" si="1877"/>
        <v>Invoice</v>
      </c>
      <c r="L6216" s="83" t="str">
        <f>"SI_109199"</f>
        <v>SI_109199</v>
      </c>
      <c r="M6216" s="84">
        <v>43807</v>
      </c>
      <c r="N6216" s="85">
        <f t="shared" si="1878"/>
        <v>5</v>
      </c>
      <c r="O6216" s="86">
        <f t="shared" si="1879"/>
        <v>3242.01</v>
      </c>
      <c r="P6216" s="86">
        <f t="shared" si="1880"/>
        <v>0</v>
      </c>
      <c r="Q6216" s="86">
        <f t="shared" si="1881"/>
        <v>3242.01</v>
      </c>
      <c r="R6216" s="86">
        <f t="shared" si="1882"/>
        <v>0</v>
      </c>
      <c r="S6216" s="86">
        <f t="shared" si="1883"/>
        <v>0</v>
      </c>
      <c r="T6216" s="86">
        <f t="shared" si="1884"/>
        <v>0</v>
      </c>
      <c r="U6216" s="87">
        <v>3242.01</v>
      </c>
    </row>
    <row r="6217" spans="1:21" s="30" customFormat="1" ht="24.6" hidden="1" outlineLevel="1" x14ac:dyDescent="0.55000000000000004">
      <c r="A6217" s="27" t="s">
        <v>327</v>
      </c>
      <c r="B6217" s="28"/>
      <c r="C6217" s="27"/>
      <c r="D6217" s="27" t="str">
        <f>"""NAV Direct"",""CRONUS JetCorp USA"",""21"",""1"",""299193"""</f>
        <v>"NAV Direct","CRONUS JetCorp USA","21","1","299193"</v>
      </c>
      <c r="E6217" s="31" t="str">
        <f t="shared" si="1876"/>
        <v>C100518</v>
      </c>
      <c r="F6217" s="31"/>
      <c r="G6217" s="31"/>
      <c r="H6217" s="31"/>
      <c r="I6217" s="56"/>
      <c r="J6217" s="56"/>
      <c r="K6217" s="82" t="str">
        <f t="shared" si="1877"/>
        <v>Invoice</v>
      </c>
      <c r="L6217" s="83" t="str">
        <f>"SI_109209"</f>
        <v>SI_109209</v>
      </c>
      <c r="M6217" s="84">
        <v>43806</v>
      </c>
      <c r="N6217" s="85">
        <f t="shared" si="1878"/>
        <v>6</v>
      </c>
      <c r="O6217" s="86">
        <f t="shared" si="1879"/>
        <v>3242.06</v>
      </c>
      <c r="P6217" s="86">
        <f t="shared" si="1880"/>
        <v>0</v>
      </c>
      <c r="Q6217" s="86">
        <f t="shared" si="1881"/>
        <v>3242.06</v>
      </c>
      <c r="R6217" s="86">
        <f t="shared" si="1882"/>
        <v>0</v>
      </c>
      <c r="S6217" s="86">
        <f t="shared" si="1883"/>
        <v>0</v>
      </c>
      <c r="T6217" s="86">
        <f t="shared" si="1884"/>
        <v>0</v>
      </c>
      <c r="U6217" s="87">
        <v>3242.06</v>
      </c>
    </row>
    <row r="6218" spans="1:21" s="30" customFormat="1" ht="24.6" hidden="1" outlineLevel="1" x14ac:dyDescent="0.55000000000000004">
      <c r="A6218" s="27" t="s">
        <v>327</v>
      </c>
      <c r="B6218" s="28"/>
      <c r="C6218" s="27"/>
      <c r="D6218" s="27" t="str">
        <f>"""NAV Direct"",""CRONUS JetCorp USA"",""21"",""1"",""299222"""</f>
        <v>"NAV Direct","CRONUS JetCorp USA","21","1","299222"</v>
      </c>
      <c r="E6218" s="31">
        <f t="shared" si="1876"/>
        <v>0</v>
      </c>
      <c r="F6218" s="31"/>
      <c r="G6218" s="31"/>
      <c r="H6218" s="31"/>
      <c r="I6218" s="56"/>
      <c r="J6218" s="56"/>
      <c r="K6218" s="82" t="str">
        <f t="shared" si="1877"/>
        <v>Invoice</v>
      </c>
      <c r="L6218" s="83" t="str">
        <f>"SI_109210"</f>
        <v>SI_109210</v>
      </c>
      <c r="M6218" s="84">
        <v>43812</v>
      </c>
      <c r="N6218" s="85">
        <f t="shared" si="1878"/>
        <v>0</v>
      </c>
      <c r="O6218" s="86">
        <f t="shared" si="1879"/>
        <v>3242.14</v>
      </c>
      <c r="P6218" s="86">
        <f t="shared" si="1880"/>
        <v>3242.14</v>
      </c>
      <c r="Q6218" s="86">
        <f t="shared" si="1881"/>
        <v>0</v>
      </c>
      <c r="R6218" s="86">
        <f t="shared" si="1882"/>
        <v>0</v>
      </c>
      <c r="S6218" s="86">
        <f t="shared" si="1883"/>
        <v>0</v>
      </c>
      <c r="T6218" s="86">
        <f t="shared" si="1884"/>
        <v>0</v>
      </c>
      <c r="U6218" s="87">
        <v>3242.14</v>
      </c>
    </row>
    <row r="6219" spans="1:21" s="30" customFormat="1" ht="24.6" hidden="1" outlineLevel="1" x14ac:dyDescent="0.55000000000000004">
      <c r="A6219" s="27" t="s">
        <v>327</v>
      </c>
      <c r="B6219" s="28"/>
      <c r="C6219" s="27"/>
      <c r="D6219" s="27" t="str">
        <f>"""NAV Direct"",""CRONUS JetCorp USA"",""21"",""1"",""299335"""</f>
        <v>"NAV Direct","CRONUS JetCorp USA","21","1","299335"</v>
      </c>
      <c r="E6219" s="31" t="str">
        <f t="shared" si="1876"/>
        <v>C100518</v>
      </c>
      <c r="F6219" s="31"/>
      <c r="G6219" s="31"/>
      <c r="H6219" s="31"/>
      <c r="I6219" s="56"/>
      <c r="J6219" s="56"/>
      <c r="K6219" s="82" t="str">
        <f t="shared" si="1877"/>
        <v>Invoice</v>
      </c>
      <c r="L6219" s="83" t="str">
        <f>"SI_109213"</f>
        <v>SI_109213</v>
      </c>
      <c r="M6219" s="84">
        <v>43810</v>
      </c>
      <c r="N6219" s="85">
        <f t="shared" si="1878"/>
        <v>2</v>
      </c>
      <c r="O6219" s="86">
        <f t="shared" si="1879"/>
        <v>3242.21</v>
      </c>
      <c r="P6219" s="86">
        <f t="shared" si="1880"/>
        <v>0</v>
      </c>
      <c r="Q6219" s="86">
        <f t="shared" si="1881"/>
        <v>3242.21</v>
      </c>
      <c r="R6219" s="86">
        <f t="shared" si="1882"/>
        <v>0</v>
      </c>
      <c r="S6219" s="86">
        <f t="shared" si="1883"/>
        <v>0</v>
      </c>
      <c r="T6219" s="86">
        <f t="shared" si="1884"/>
        <v>0</v>
      </c>
      <c r="U6219" s="87">
        <v>3242.21</v>
      </c>
    </row>
    <row r="6220" spans="1:21" s="30" customFormat="1" ht="24.6" hidden="1" outlineLevel="1" x14ac:dyDescent="0.55000000000000004">
      <c r="A6220" s="27" t="s">
        <v>327</v>
      </c>
      <c r="B6220" s="28"/>
      <c r="C6220" s="27"/>
      <c r="D6220" s="27" t="str">
        <f>"""NAV Direct"",""CRONUS JetCorp USA"",""21"",""1"",""300992"""</f>
        <v>"NAV Direct","CRONUS JetCorp USA","21","1","300992"</v>
      </c>
      <c r="E6220" s="31">
        <f t="shared" si="1876"/>
        <v>0</v>
      </c>
      <c r="F6220" s="31"/>
      <c r="G6220" s="31"/>
      <c r="H6220" s="31"/>
      <c r="I6220" s="56"/>
      <c r="J6220" s="56"/>
      <c r="K6220" s="82" t="str">
        <f t="shared" si="1877"/>
        <v>Invoice</v>
      </c>
      <c r="L6220" s="83" t="str">
        <f>"SI_109262"</f>
        <v>SI_109262</v>
      </c>
      <c r="M6220" s="84">
        <v>42072</v>
      </c>
      <c r="N6220" s="85">
        <f t="shared" si="1878"/>
        <v>1740</v>
      </c>
      <c r="O6220" s="86">
        <f t="shared" si="1879"/>
        <v>3566.42</v>
      </c>
      <c r="P6220" s="86">
        <f t="shared" si="1880"/>
        <v>0</v>
      </c>
      <c r="Q6220" s="86">
        <f t="shared" si="1881"/>
        <v>0</v>
      </c>
      <c r="R6220" s="86">
        <f t="shared" si="1882"/>
        <v>0</v>
      </c>
      <c r="S6220" s="86">
        <f t="shared" si="1883"/>
        <v>0</v>
      </c>
      <c r="T6220" s="86">
        <f t="shared" si="1884"/>
        <v>3566.42</v>
      </c>
      <c r="U6220" s="87">
        <v>3566.42</v>
      </c>
    </row>
    <row r="6221" spans="1:21" s="30" customFormat="1" ht="24.6" hidden="1" outlineLevel="1" x14ac:dyDescent="0.55000000000000004">
      <c r="A6221" s="27" t="s">
        <v>327</v>
      </c>
      <c r="B6221" s="28"/>
      <c r="C6221" s="27"/>
      <c r="D6221" s="27" t="str">
        <f>"""NAV Direct"",""CRONUS JetCorp USA"",""21"",""1"",""301264"""</f>
        <v>"NAV Direct","CRONUS JetCorp USA","21","1","301264"</v>
      </c>
      <c r="E6221" s="31" t="str">
        <f t="shared" si="1876"/>
        <v>C100518</v>
      </c>
      <c r="F6221" s="31"/>
      <c r="G6221" s="31"/>
      <c r="H6221" s="31"/>
      <c r="I6221" s="56"/>
      <c r="J6221" s="56"/>
      <c r="K6221" s="82" t="str">
        <f t="shared" si="1877"/>
        <v>Invoice</v>
      </c>
      <c r="L6221" s="83" t="str">
        <f>"SI_109270"</f>
        <v>SI_109270</v>
      </c>
      <c r="M6221" s="84">
        <v>42076</v>
      </c>
      <c r="N6221" s="85">
        <f t="shared" si="1878"/>
        <v>1736</v>
      </c>
      <c r="O6221" s="86">
        <f t="shared" si="1879"/>
        <v>3566.3799999999997</v>
      </c>
      <c r="P6221" s="86">
        <f t="shared" si="1880"/>
        <v>0</v>
      </c>
      <c r="Q6221" s="86">
        <f t="shared" si="1881"/>
        <v>0</v>
      </c>
      <c r="R6221" s="86">
        <f t="shared" si="1882"/>
        <v>0</v>
      </c>
      <c r="S6221" s="86">
        <f t="shared" si="1883"/>
        <v>0</v>
      </c>
      <c r="T6221" s="86">
        <f t="shared" si="1884"/>
        <v>3566.3799999999997</v>
      </c>
      <c r="U6221" s="87">
        <v>3566.3799999999997</v>
      </c>
    </row>
    <row r="6222" spans="1:21" s="30" customFormat="1" ht="24.6" hidden="1" outlineLevel="1" x14ac:dyDescent="0.55000000000000004">
      <c r="A6222" s="27" t="s">
        <v>327</v>
      </c>
      <c r="B6222" s="28"/>
      <c r="C6222" s="27"/>
      <c r="D6222" s="27" t="str">
        <f>"""NAV Direct"",""CRONUS JetCorp USA"",""21"",""1"",""301802"""</f>
        <v>"NAV Direct","CRONUS JetCorp USA","21","1","301802"</v>
      </c>
      <c r="E6222" s="31">
        <f t="shared" si="1876"/>
        <v>0</v>
      </c>
      <c r="F6222" s="31"/>
      <c r="G6222" s="31"/>
      <c r="H6222" s="31"/>
      <c r="I6222" s="56"/>
      <c r="J6222" s="56"/>
      <c r="K6222" s="82" t="str">
        <f t="shared" si="1877"/>
        <v>Invoice</v>
      </c>
      <c r="L6222" s="83" t="str">
        <f>"SI_109285"</f>
        <v>SI_109285</v>
      </c>
      <c r="M6222" s="84">
        <v>42129</v>
      </c>
      <c r="N6222" s="85">
        <f t="shared" si="1878"/>
        <v>1683</v>
      </c>
      <c r="O6222" s="86">
        <f t="shared" si="1879"/>
        <v>3922.95</v>
      </c>
      <c r="P6222" s="86">
        <f t="shared" si="1880"/>
        <v>0</v>
      </c>
      <c r="Q6222" s="86">
        <f t="shared" si="1881"/>
        <v>0</v>
      </c>
      <c r="R6222" s="86">
        <f t="shared" si="1882"/>
        <v>0</v>
      </c>
      <c r="S6222" s="86">
        <f t="shared" si="1883"/>
        <v>0</v>
      </c>
      <c r="T6222" s="86">
        <f t="shared" si="1884"/>
        <v>3922.95</v>
      </c>
      <c r="U6222" s="87">
        <v>3922.95</v>
      </c>
    </row>
    <row r="6223" spans="1:21" s="30" customFormat="1" ht="24.6" hidden="1" outlineLevel="1" x14ac:dyDescent="0.55000000000000004">
      <c r="A6223" s="27" t="s">
        <v>327</v>
      </c>
      <c r="B6223" s="28"/>
      <c r="C6223" s="27"/>
      <c r="D6223" s="27" t="str">
        <f>"""NAV Direct"",""CRONUS JetCorp USA"",""21"",""1"",""302197"""</f>
        <v>"NAV Direct","CRONUS JetCorp USA","21","1","302197"</v>
      </c>
      <c r="E6223" s="31" t="str">
        <f t="shared" si="1876"/>
        <v>C100518</v>
      </c>
      <c r="F6223" s="31"/>
      <c r="G6223" s="31"/>
      <c r="H6223" s="31"/>
      <c r="I6223" s="56"/>
      <c r="J6223" s="56"/>
      <c r="K6223" s="82" t="str">
        <f t="shared" si="1877"/>
        <v>Invoice</v>
      </c>
      <c r="L6223" s="83" t="str">
        <f>"SI_109296"</f>
        <v>SI_109296</v>
      </c>
      <c r="M6223" s="84">
        <v>42138</v>
      </c>
      <c r="N6223" s="85">
        <f t="shared" si="1878"/>
        <v>1674</v>
      </c>
      <c r="O6223" s="86">
        <f t="shared" si="1879"/>
        <v>3923.0000000000005</v>
      </c>
      <c r="P6223" s="86">
        <f t="shared" si="1880"/>
        <v>0</v>
      </c>
      <c r="Q6223" s="86">
        <f t="shared" si="1881"/>
        <v>0</v>
      </c>
      <c r="R6223" s="86">
        <f t="shared" si="1882"/>
        <v>0</v>
      </c>
      <c r="S6223" s="86">
        <f t="shared" si="1883"/>
        <v>0</v>
      </c>
      <c r="T6223" s="86">
        <f t="shared" si="1884"/>
        <v>3923.0000000000005</v>
      </c>
      <c r="U6223" s="87">
        <v>3923.0000000000005</v>
      </c>
    </row>
    <row r="6224" spans="1:21" s="22" customFormat="1" ht="20.399999999999999" collapsed="1" x14ac:dyDescent="0.45">
      <c r="A6224" s="12" t="s">
        <v>327</v>
      </c>
      <c r="B6224" s="19"/>
      <c r="C6224" s="12"/>
      <c r="D6224" s="12"/>
      <c r="E6224" s="23"/>
      <c r="F6224" s="23"/>
      <c r="G6224" s="23"/>
      <c r="H6224" s="23"/>
      <c r="I6224" s="49"/>
      <c r="J6224" s="88"/>
      <c r="K6224" s="88"/>
      <c r="L6224" s="89"/>
      <c r="M6224" s="89"/>
      <c r="N6224" s="89"/>
      <c r="O6224" s="89"/>
      <c r="P6224" s="89"/>
      <c r="Q6224" s="90"/>
      <c r="R6224" s="90"/>
      <c r="S6224" s="91"/>
      <c r="T6224" s="92"/>
      <c r="U6224" s="92"/>
    </row>
    <row r="6225" spans="1:22" s="22" customFormat="1" ht="20.399999999999999" x14ac:dyDescent="0.45">
      <c r="A6225" s="12" t="s">
        <v>327</v>
      </c>
      <c r="B6225" s="19"/>
      <c r="C6225" s="12"/>
      <c r="D6225" s="12"/>
      <c r="E6225" s="23"/>
      <c r="F6225" s="23"/>
      <c r="G6225" s="23"/>
      <c r="H6225" s="23"/>
      <c r="I6225" s="49"/>
      <c r="J6225" s="88"/>
      <c r="K6225" s="88"/>
      <c r="L6225" s="89"/>
      <c r="M6225" s="89"/>
      <c r="N6225" s="89"/>
      <c r="O6225" s="89"/>
      <c r="P6225" s="89"/>
      <c r="Q6225" s="90"/>
      <c r="R6225" s="90"/>
      <c r="S6225" s="91"/>
      <c r="T6225" s="92"/>
      <c r="U6225" s="92"/>
    </row>
    <row r="6226" spans="1:22" s="26" customFormat="1" ht="24.6" x14ac:dyDescent="0.55000000000000004">
      <c r="A6226" s="27" t="s">
        <v>327</v>
      </c>
      <c r="B6226" s="28"/>
      <c r="C6226" s="27" t="str">
        <f>"""NAV Direct"",""CRONUS JetCorp USA"",""18"",""1"",""C100519"""</f>
        <v>"NAV Direct","CRONUS JetCorp USA","18","1","C100519"</v>
      </c>
      <c r="D6226" s="27"/>
      <c r="E6226" s="28" t="str">
        <f>H6226</f>
        <v>C100519</v>
      </c>
      <c r="F6226" s="28"/>
      <c r="G6226" s="28"/>
      <c r="H6226" s="28" t="str">
        <f>"C100519"</f>
        <v>C100519</v>
      </c>
      <c r="I6226" s="116" t="str">
        <f>"C100519  -  Saxford &amp; Daughters"</f>
        <v>C100519  -  Saxford &amp; Daughters</v>
      </c>
      <c r="J6226" s="117" t="str">
        <f>""</f>
        <v/>
      </c>
      <c r="K6226" s="118"/>
      <c r="L6226" s="119">
        <f>SUBTOTAL(3,L6227:L6262)</f>
        <v>32</v>
      </c>
      <c r="M6226" s="118"/>
      <c r="N6226" s="118"/>
      <c r="O6226" s="120">
        <f t="shared" ref="O6226:T6226" si="1885">SUBTOTAL(9,O6227:O6262)</f>
        <v>66569.860000000015</v>
      </c>
      <c r="P6226" s="120">
        <f t="shared" si="1885"/>
        <v>6484.06</v>
      </c>
      <c r="Q6226" s="120">
        <f t="shared" si="1885"/>
        <v>7189.88</v>
      </c>
      <c r="R6226" s="120">
        <f t="shared" si="1885"/>
        <v>705.55</v>
      </c>
      <c r="S6226" s="120">
        <f t="shared" si="1885"/>
        <v>0</v>
      </c>
      <c r="T6226" s="120">
        <f t="shared" si="1885"/>
        <v>52190.37000000001</v>
      </c>
      <c r="U6226" s="81"/>
    </row>
    <row r="6227" spans="1:22" s="26" customFormat="1" ht="24.6" x14ac:dyDescent="0.55000000000000004">
      <c r="A6227" s="27" t="s">
        <v>327</v>
      </c>
      <c r="B6227" s="28"/>
      <c r="C6227" s="27" t="str">
        <f>C6226</f>
        <v>"NAV Direct","CRONUS JetCorp USA","18","1","C100519"</v>
      </c>
      <c r="D6227" s="27"/>
      <c r="E6227" s="28" t="str">
        <f>E6226</f>
        <v>C100519</v>
      </c>
      <c r="F6227" s="28"/>
      <c r="G6227" s="28"/>
      <c r="H6227" s="28"/>
      <c r="I6227" s="121" t="str">
        <f>"Contact: Dianna Saxford"</f>
        <v>Contact: Dianna Saxford</v>
      </c>
      <c r="J6227" s="121"/>
      <c r="K6227" s="122"/>
      <c r="L6227" s="123"/>
      <c r="M6227" s="123"/>
      <c r="N6227" s="124"/>
      <c r="O6227" s="124"/>
      <c r="P6227" s="123"/>
      <c r="Q6227" s="125"/>
      <c r="R6227" s="126"/>
      <c r="S6227" s="126"/>
      <c r="T6227" s="125"/>
      <c r="U6227" s="81"/>
    </row>
    <row r="6228" spans="1:22" s="26" customFormat="1" ht="24.6" x14ac:dyDescent="0.55000000000000004">
      <c r="A6228" s="27" t="s">
        <v>327</v>
      </c>
      <c r="B6228" s="28"/>
      <c r="C6228" s="27" t="str">
        <f>C6227</f>
        <v>"NAV Direct","CRONUS JetCorp USA","18","1","C100519"</v>
      </c>
      <c r="D6228" s="27"/>
      <c r="E6228" s="28" t="str">
        <f>E6227</f>
        <v>C100519</v>
      </c>
      <c r="F6228" s="28"/>
      <c r="G6228" s="28"/>
      <c r="H6228" s="28"/>
      <c r="I6228" s="121" t="str">
        <f>"Saxford &amp; Daughters@cronuscorp.net"</f>
        <v>Saxford &amp; Daughters@cronuscorp.net</v>
      </c>
      <c r="J6228" s="121"/>
      <c r="K6228" s="122"/>
      <c r="L6228" s="124"/>
      <c r="M6228" s="124"/>
      <c r="N6228" s="124"/>
      <c r="O6228" s="124"/>
      <c r="P6228" s="123"/>
      <c r="Q6228" s="125"/>
      <c r="R6228" s="126"/>
      <c r="S6228" s="126"/>
      <c r="T6228" s="125"/>
      <c r="U6228" s="81"/>
    </row>
    <row r="6229" spans="1:22" ht="12.75" hidden="1" customHeight="1" outlineLevel="1" x14ac:dyDescent="0.45">
      <c r="A6229" s="12" t="s">
        <v>328</v>
      </c>
      <c r="B6229" s="19"/>
      <c r="E6229" s="19"/>
      <c r="F6229" s="19"/>
      <c r="G6229" s="19"/>
      <c r="H6229" s="19"/>
      <c r="I6229" s="61"/>
      <c r="J6229" s="61"/>
      <c r="K6229" s="61"/>
      <c r="L6229" s="61"/>
      <c r="M6229" s="61"/>
      <c r="N6229" s="61"/>
      <c r="O6229" s="61"/>
      <c r="P6229" s="61"/>
      <c r="Q6229" s="61"/>
      <c r="R6229" s="61"/>
      <c r="S6229" s="61"/>
      <c r="T6229" s="61"/>
      <c r="U6229" s="61"/>
      <c r="V6229" s="21"/>
    </row>
    <row r="6230" spans="1:22" s="30" customFormat="1" ht="24.6" hidden="1" outlineLevel="1" x14ac:dyDescent="0.55000000000000004">
      <c r="A6230" s="27" t="s">
        <v>327</v>
      </c>
      <c r="B6230" s="28"/>
      <c r="C6230" s="27"/>
      <c r="D6230" s="27" t="str">
        <f>"""NAV Direct"",""CRONUS JetCorp USA"",""21"",""1"",""280950"""</f>
        <v>"NAV Direct","CRONUS JetCorp USA","21","1","280950"</v>
      </c>
      <c r="E6230" s="31" t="str">
        <f t="shared" ref="E6230:E6261" si="1886">E6228</f>
        <v>C100519</v>
      </c>
      <c r="F6230" s="31"/>
      <c r="G6230" s="31"/>
      <c r="H6230" s="31"/>
      <c r="I6230" s="56"/>
      <c r="J6230" s="56"/>
      <c r="K6230" s="82" t="str">
        <f t="shared" ref="K6230:K6261" si="1887">"Invoice"</f>
        <v>Invoice</v>
      </c>
      <c r="L6230" s="83" t="str">
        <f>"SI_108589"</f>
        <v>SI_108589</v>
      </c>
      <c r="M6230" s="84">
        <v>43537</v>
      </c>
      <c r="N6230" s="85">
        <f t="shared" ref="N6230:N6261" si="1888">StartDate-$M6230+1</f>
        <v>275</v>
      </c>
      <c r="O6230" s="86">
        <f t="shared" ref="O6230:O6261" si="1889">SUM(P6230:T6230)</f>
        <v>587.88</v>
      </c>
      <c r="P6230" s="86">
        <f t="shared" ref="P6230:P6261" si="1890">IF($M6230&gt;=$P$18,U6230,0)</f>
        <v>0</v>
      </c>
      <c r="Q6230" s="86">
        <f t="shared" ref="Q6230:Q6261" si="1891">IF(AND($M6230&gt;=$Q$16,$M6230&lt;=$Q$18),U6230,0)</f>
        <v>0</v>
      </c>
      <c r="R6230" s="86">
        <f t="shared" ref="R6230:R6261" si="1892">IF(AND($M6230&gt;=$R$16,$M6230&lt;=$R$18),U6230,0)</f>
        <v>0</v>
      </c>
      <c r="S6230" s="86">
        <f t="shared" ref="S6230:S6261" si="1893">IF(AND($M6230&gt;=$S$16,$M6230&lt;=$S$18),U6230,0)</f>
        <v>0</v>
      </c>
      <c r="T6230" s="86">
        <f t="shared" ref="T6230:T6261" si="1894">IF($M6230&lt;=$T$18,U6230,0)</f>
        <v>587.88</v>
      </c>
      <c r="U6230" s="87">
        <v>587.88</v>
      </c>
    </row>
    <row r="6231" spans="1:22" s="30" customFormat="1" ht="24.6" hidden="1" outlineLevel="1" x14ac:dyDescent="0.55000000000000004">
      <c r="A6231" s="27" t="s">
        <v>327</v>
      </c>
      <c r="B6231" s="28"/>
      <c r="C6231" s="27"/>
      <c r="D6231" s="27" t="str">
        <f>"""NAV Direct"",""CRONUS JetCorp USA"",""21"",""1"",""281672"""</f>
        <v>"NAV Direct","CRONUS JetCorp USA","21","1","281672"</v>
      </c>
      <c r="E6231" s="31">
        <f t="shared" si="1886"/>
        <v>0</v>
      </c>
      <c r="F6231" s="31"/>
      <c r="G6231" s="31"/>
      <c r="H6231" s="31"/>
      <c r="I6231" s="56"/>
      <c r="J6231" s="56"/>
      <c r="K6231" s="82" t="str">
        <f t="shared" si="1887"/>
        <v>Invoice</v>
      </c>
      <c r="L6231" s="83" t="str">
        <f>"SI_108619"</f>
        <v>SI_108619</v>
      </c>
      <c r="M6231" s="84">
        <v>43767</v>
      </c>
      <c r="N6231" s="85">
        <f t="shared" si="1888"/>
        <v>45</v>
      </c>
      <c r="O6231" s="86">
        <f t="shared" si="1889"/>
        <v>705.55</v>
      </c>
      <c r="P6231" s="86">
        <f t="shared" si="1890"/>
        <v>0</v>
      </c>
      <c r="Q6231" s="86">
        <f t="shared" si="1891"/>
        <v>0</v>
      </c>
      <c r="R6231" s="86">
        <f t="shared" si="1892"/>
        <v>705.55</v>
      </c>
      <c r="S6231" s="86">
        <f t="shared" si="1893"/>
        <v>0</v>
      </c>
      <c r="T6231" s="86">
        <f t="shared" si="1894"/>
        <v>0</v>
      </c>
      <c r="U6231" s="87">
        <v>705.55</v>
      </c>
    </row>
    <row r="6232" spans="1:22" s="30" customFormat="1" ht="24.6" hidden="1" outlineLevel="1" x14ac:dyDescent="0.55000000000000004">
      <c r="A6232" s="27" t="s">
        <v>327</v>
      </c>
      <c r="B6232" s="28"/>
      <c r="C6232" s="27"/>
      <c r="D6232" s="27" t="str">
        <f>"""NAV Direct"",""CRONUS JetCorp USA"",""21"",""1"",""281916"""</f>
        <v>"NAV Direct","CRONUS JetCorp USA","21","1","281916"</v>
      </c>
      <c r="E6232" s="31" t="str">
        <f t="shared" si="1886"/>
        <v>C100519</v>
      </c>
      <c r="F6232" s="31"/>
      <c r="G6232" s="31"/>
      <c r="H6232" s="31"/>
      <c r="I6232" s="56"/>
      <c r="J6232" s="56"/>
      <c r="K6232" s="82" t="str">
        <f t="shared" si="1887"/>
        <v>Invoice</v>
      </c>
      <c r="L6232" s="83" t="str">
        <f>"SI_108628"</f>
        <v>SI_108628</v>
      </c>
      <c r="M6232" s="84">
        <v>43787</v>
      </c>
      <c r="N6232" s="85">
        <f t="shared" si="1888"/>
        <v>25</v>
      </c>
      <c r="O6232" s="86">
        <f t="shared" si="1889"/>
        <v>705.6</v>
      </c>
      <c r="P6232" s="86">
        <f t="shared" si="1890"/>
        <v>0</v>
      </c>
      <c r="Q6232" s="86">
        <f t="shared" si="1891"/>
        <v>705.6</v>
      </c>
      <c r="R6232" s="86">
        <f t="shared" si="1892"/>
        <v>0</v>
      </c>
      <c r="S6232" s="86">
        <f t="shared" si="1893"/>
        <v>0</v>
      </c>
      <c r="T6232" s="86">
        <f t="shared" si="1894"/>
        <v>0</v>
      </c>
      <c r="U6232" s="87">
        <v>705.6</v>
      </c>
    </row>
    <row r="6233" spans="1:22" s="30" customFormat="1" ht="24.6" hidden="1" outlineLevel="1" x14ac:dyDescent="0.55000000000000004">
      <c r="A6233" s="27" t="s">
        <v>327</v>
      </c>
      <c r="B6233" s="28"/>
      <c r="C6233" s="27"/>
      <c r="D6233" s="27" t="str">
        <f>"""NAV Direct"",""CRONUS JetCorp USA"",""21"",""1"",""282727"""</f>
        <v>"NAV Direct","CRONUS JetCorp USA","21","1","282727"</v>
      </c>
      <c r="E6233" s="31">
        <f t="shared" si="1886"/>
        <v>0</v>
      </c>
      <c r="F6233" s="31"/>
      <c r="G6233" s="31"/>
      <c r="H6233" s="31"/>
      <c r="I6233" s="56"/>
      <c r="J6233" s="56"/>
      <c r="K6233" s="82" t="str">
        <f t="shared" si="1887"/>
        <v>Invoice</v>
      </c>
      <c r="L6233" s="83" t="str">
        <f>"SI_108659"</f>
        <v>SI_108659</v>
      </c>
      <c r="M6233" s="84">
        <v>42115</v>
      </c>
      <c r="N6233" s="85">
        <f t="shared" si="1888"/>
        <v>1697</v>
      </c>
      <c r="O6233" s="86">
        <f t="shared" si="1889"/>
        <v>853.6</v>
      </c>
      <c r="P6233" s="86">
        <f t="shared" si="1890"/>
        <v>0</v>
      </c>
      <c r="Q6233" s="86">
        <f t="shared" si="1891"/>
        <v>0</v>
      </c>
      <c r="R6233" s="86">
        <f t="shared" si="1892"/>
        <v>0</v>
      </c>
      <c r="S6233" s="86">
        <f t="shared" si="1893"/>
        <v>0</v>
      </c>
      <c r="T6233" s="86">
        <f t="shared" si="1894"/>
        <v>853.6</v>
      </c>
      <c r="U6233" s="87">
        <v>853.6</v>
      </c>
    </row>
    <row r="6234" spans="1:22" s="30" customFormat="1" ht="24.6" hidden="1" outlineLevel="1" x14ac:dyDescent="0.55000000000000004">
      <c r="A6234" s="27" t="s">
        <v>327</v>
      </c>
      <c r="B6234" s="28"/>
      <c r="C6234" s="27"/>
      <c r="D6234" s="27" t="str">
        <f>"""NAV Direct"",""CRONUS JetCorp USA"",""21"",""1"",""282752"""</f>
        <v>"NAV Direct","CRONUS JetCorp USA","21","1","282752"</v>
      </c>
      <c r="E6234" s="31" t="str">
        <f t="shared" si="1886"/>
        <v>C100519</v>
      </c>
      <c r="F6234" s="31"/>
      <c r="G6234" s="31"/>
      <c r="H6234" s="31"/>
      <c r="I6234" s="56"/>
      <c r="J6234" s="56"/>
      <c r="K6234" s="82" t="str">
        <f t="shared" si="1887"/>
        <v>Invoice</v>
      </c>
      <c r="L6234" s="83" t="str">
        <f>"SI_108660"</f>
        <v>SI_108660</v>
      </c>
      <c r="M6234" s="84">
        <v>42125</v>
      </c>
      <c r="N6234" s="85">
        <f t="shared" si="1888"/>
        <v>1687</v>
      </c>
      <c r="O6234" s="86">
        <f t="shared" si="1889"/>
        <v>853.73</v>
      </c>
      <c r="P6234" s="86">
        <f t="shared" si="1890"/>
        <v>0</v>
      </c>
      <c r="Q6234" s="86">
        <f t="shared" si="1891"/>
        <v>0</v>
      </c>
      <c r="R6234" s="86">
        <f t="shared" si="1892"/>
        <v>0</v>
      </c>
      <c r="S6234" s="86">
        <f t="shared" si="1893"/>
        <v>0</v>
      </c>
      <c r="T6234" s="86">
        <f t="shared" si="1894"/>
        <v>853.73</v>
      </c>
      <c r="U6234" s="87">
        <v>853.73</v>
      </c>
    </row>
    <row r="6235" spans="1:22" s="30" customFormat="1" ht="24.6" hidden="1" outlineLevel="1" x14ac:dyDescent="0.55000000000000004">
      <c r="A6235" s="27" t="s">
        <v>327</v>
      </c>
      <c r="B6235" s="28"/>
      <c r="C6235" s="27"/>
      <c r="D6235" s="27" t="str">
        <f>"""NAV Direct"",""CRONUS JetCorp USA"",""21"",""1"",""283896"""</f>
        <v>"NAV Direct","CRONUS JetCorp USA","21","1","283896"</v>
      </c>
      <c r="E6235" s="31">
        <f t="shared" si="1886"/>
        <v>0</v>
      </c>
      <c r="F6235" s="31"/>
      <c r="G6235" s="31"/>
      <c r="H6235" s="31"/>
      <c r="I6235" s="56"/>
      <c r="J6235" s="56"/>
      <c r="K6235" s="82" t="str">
        <f t="shared" si="1887"/>
        <v>Invoice</v>
      </c>
      <c r="L6235" s="83" t="str">
        <f>"SI_108704"</f>
        <v>SI_108704</v>
      </c>
      <c r="M6235" s="84">
        <v>42336</v>
      </c>
      <c r="N6235" s="85">
        <f t="shared" si="1888"/>
        <v>1476</v>
      </c>
      <c r="O6235" s="86">
        <f t="shared" si="1889"/>
        <v>1033.06</v>
      </c>
      <c r="P6235" s="86">
        <f t="shared" si="1890"/>
        <v>0</v>
      </c>
      <c r="Q6235" s="86">
        <f t="shared" si="1891"/>
        <v>0</v>
      </c>
      <c r="R6235" s="86">
        <f t="shared" si="1892"/>
        <v>0</v>
      </c>
      <c r="S6235" s="86">
        <f t="shared" si="1893"/>
        <v>0</v>
      </c>
      <c r="T6235" s="86">
        <f t="shared" si="1894"/>
        <v>1033.06</v>
      </c>
      <c r="U6235" s="87">
        <v>1033.06</v>
      </c>
    </row>
    <row r="6236" spans="1:22" s="30" customFormat="1" ht="24.6" hidden="1" outlineLevel="1" x14ac:dyDescent="0.55000000000000004">
      <c r="A6236" s="27" t="s">
        <v>327</v>
      </c>
      <c r="B6236" s="28"/>
      <c r="C6236" s="27"/>
      <c r="D6236" s="27" t="str">
        <f>"""NAV Direct"",""CRONUS JetCorp USA"",""21"",""1"",""284466"""</f>
        <v>"NAV Direct","CRONUS JetCorp USA","21","1","284466"</v>
      </c>
      <c r="E6236" s="31" t="str">
        <f t="shared" si="1886"/>
        <v>C100519</v>
      </c>
      <c r="F6236" s="31"/>
      <c r="G6236" s="31"/>
      <c r="H6236" s="31"/>
      <c r="I6236" s="56"/>
      <c r="J6236" s="56"/>
      <c r="K6236" s="82" t="str">
        <f t="shared" si="1887"/>
        <v>Invoice</v>
      </c>
      <c r="L6236" s="83" t="str">
        <f>"SI_108724"</f>
        <v>SI_108724</v>
      </c>
      <c r="M6236" s="84">
        <v>42767</v>
      </c>
      <c r="N6236" s="85">
        <f t="shared" si="1888"/>
        <v>1045</v>
      </c>
      <c r="O6236" s="86">
        <f t="shared" si="1889"/>
        <v>1136.3200000000002</v>
      </c>
      <c r="P6236" s="86">
        <f t="shared" si="1890"/>
        <v>0</v>
      </c>
      <c r="Q6236" s="86">
        <f t="shared" si="1891"/>
        <v>0</v>
      </c>
      <c r="R6236" s="86">
        <f t="shared" si="1892"/>
        <v>0</v>
      </c>
      <c r="S6236" s="86">
        <f t="shared" si="1893"/>
        <v>0</v>
      </c>
      <c r="T6236" s="86">
        <f t="shared" si="1894"/>
        <v>1136.3200000000002</v>
      </c>
      <c r="U6236" s="87">
        <v>1136.3200000000002</v>
      </c>
    </row>
    <row r="6237" spans="1:22" s="30" customFormat="1" ht="24.6" hidden="1" outlineLevel="1" x14ac:dyDescent="0.55000000000000004">
      <c r="A6237" s="27" t="s">
        <v>327</v>
      </c>
      <c r="B6237" s="28"/>
      <c r="C6237" s="27"/>
      <c r="D6237" s="27" t="str">
        <f>"""NAV Direct"",""CRONUS JetCorp USA"",""21"",""1"",""284623"""</f>
        <v>"NAV Direct","CRONUS JetCorp USA","21","1","284623"</v>
      </c>
      <c r="E6237" s="31">
        <f t="shared" si="1886"/>
        <v>0</v>
      </c>
      <c r="F6237" s="31"/>
      <c r="G6237" s="31"/>
      <c r="H6237" s="31"/>
      <c r="I6237" s="56"/>
      <c r="J6237" s="56"/>
      <c r="K6237" s="82" t="str">
        <f t="shared" si="1887"/>
        <v>Invoice</v>
      </c>
      <c r="L6237" s="83" t="str">
        <f>"SI_108730"</f>
        <v>SI_108730</v>
      </c>
      <c r="M6237" s="84">
        <v>42777</v>
      </c>
      <c r="N6237" s="85">
        <f t="shared" si="1888"/>
        <v>1035</v>
      </c>
      <c r="O6237" s="86">
        <f t="shared" si="1889"/>
        <v>1136.3800000000001</v>
      </c>
      <c r="P6237" s="86">
        <f t="shared" si="1890"/>
        <v>0</v>
      </c>
      <c r="Q6237" s="86">
        <f t="shared" si="1891"/>
        <v>0</v>
      </c>
      <c r="R6237" s="86">
        <f t="shared" si="1892"/>
        <v>0</v>
      </c>
      <c r="S6237" s="86">
        <f t="shared" si="1893"/>
        <v>0</v>
      </c>
      <c r="T6237" s="86">
        <f t="shared" si="1894"/>
        <v>1136.3800000000001</v>
      </c>
      <c r="U6237" s="87">
        <v>1136.3800000000001</v>
      </c>
    </row>
    <row r="6238" spans="1:22" s="30" customFormat="1" ht="24.6" hidden="1" outlineLevel="1" x14ac:dyDescent="0.55000000000000004">
      <c r="A6238" s="27" t="s">
        <v>327</v>
      </c>
      <c r="B6238" s="28"/>
      <c r="C6238" s="27"/>
      <c r="D6238" s="27" t="str">
        <f>"""NAV Direct"",""CRONUS JetCorp USA"",""21"",""1"",""284711"""</f>
        <v>"NAV Direct","CRONUS JetCorp USA","21","1","284711"</v>
      </c>
      <c r="E6238" s="31" t="str">
        <f t="shared" si="1886"/>
        <v>C100519</v>
      </c>
      <c r="F6238" s="31"/>
      <c r="G6238" s="31"/>
      <c r="H6238" s="31"/>
      <c r="I6238" s="56"/>
      <c r="J6238" s="56"/>
      <c r="K6238" s="82" t="str">
        <f t="shared" si="1887"/>
        <v>Invoice</v>
      </c>
      <c r="L6238" s="83" t="str">
        <f>"SI_108733"</f>
        <v>SI_108733</v>
      </c>
      <c r="M6238" s="84">
        <v>42782</v>
      </c>
      <c r="N6238" s="85">
        <f t="shared" si="1888"/>
        <v>1030</v>
      </c>
      <c r="O6238" s="86">
        <f t="shared" si="1889"/>
        <v>1136.3699999999999</v>
      </c>
      <c r="P6238" s="86">
        <f t="shared" si="1890"/>
        <v>0</v>
      </c>
      <c r="Q6238" s="86">
        <f t="shared" si="1891"/>
        <v>0</v>
      </c>
      <c r="R6238" s="86">
        <f t="shared" si="1892"/>
        <v>0</v>
      </c>
      <c r="S6238" s="86">
        <f t="shared" si="1893"/>
        <v>0</v>
      </c>
      <c r="T6238" s="86">
        <f t="shared" si="1894"/>
        <v>1136.3699999999999</v>
      </c>
      <c r="U6238" s="87">
        <v>1136.3699999999999</v>
      </c>
    </row>
    <row r="6239" spans="1:22" s="30" customFormat="1" ht="24.6" hidden="1" outlineLevel="1" x14ac:dyDescent="0.55000000000000004">
      <c r="A6239" s="27" t="s">
        <v>327</v>
      </c>
      <c r="B6239" s="28"/>
      <c r="C6239" s="27"/>
      <c r="D6239" s="27" t="str">
        <f>"""NAV Direct"",""CRONUS JetCorp USA"",""21"",""1"",""285096"""</f>
        <v>"NAV Direct","CRONUS JetCorp USA","21","1","285096"</v>
      </c>
      <c r="E6239" s="31">
        <f t="shared" si="1886"/>
        <v>0</v>
      </c>
      <c r="F6239" s="31"/>
      <c r="G6239" s="31"/>
      <c r="H6239" s="31"/>
      <c r="I6239" s="56"/>
      <c r="J6239" s="56"/>
      <c r="K6239" s="82" t="str">
        <f t="shared" si="1887"/>
        <v>Invoice</v>
      </c>
      <c r="L6239" s="83" t="str">
        <f>"SI_108747"</f>
        <v>SI_108747</v>
      </c>
      <c r="M6239" s="84">
        <v>42784</v>
      </c>
      <c r="N6239" s="85">
        <f t="shared" si="1888"/>
        <v>1028</v>
      </c>
      <c r="O6239" s="86">
        <f t="shared" si="1889"/>
        <v>1136.3500000000001</v>
      </c>
      <c r="P6239" s="86">
        <f t="shared" si="1890"/>
        <v>0</v>
      </c>
      <c r="Q6239" s="86">
        <f t="shared" si="1891"/>
        <v>0</v>
      </c>
      <c r="R6239" s="86">
        <f t="shared" si="1892"/>
        <v>0</v>
      </c>
      <c r="S6239" s="86">
        <f t="shared" si="1893"/>
        <v>0</v>
      </c>
      <c r="T6239" s="86">
        <f t="shared" si="1894"/>
        <v>1136.3500000000001</v>
      </c>
      <c r="U6239" s="87">
        <v>1136.3500000000001</v>
      </c>
    </row>
    <row r="6240" spans="1:22" s="30" customFormat="1" ht="24.6" hidden="1" outlineLevel="1" x14ac:dyDescent="0.55000000000000004">
      <c r="A6240" s="27" t="s">
        <v>327</v>
      </c>
      <c r="B6240" s="28"/>
      <c r="C6240" s="27"/>
      <c r="D6240" s="27" t="str">
        <f>"""NAV Direct"",""CRONUS JetCorp USA"",""21"",""1"",""287070"""</f>
        <v>"NAV Direct","CRONUS JetCorp USA","21","1","287070"</v>
      </c>
      <c r="E6240" s="31" t="str">
        <f t="shared" si="1886"/>
        <v>C100519</v>
      </c>
      <c r="F6240" s="31"/>
      <c r="G6240" s="31"/>
      <c r="H6240" s="31"/>
      <c r="I6240" s="56"/>
      <c r="J6240" s="56"/>
      <c r="K6240" s="82" t="str">
        <f t="shared" si="1887"/>
        <v>Invoice</v>
      </c>
      <c r="L6240" s="83" t="str">
        <f>"SI_108815"</f>
        <v>SI_108815</v>
      </c>
      <c r="M6240" s="84">
        <v>42988</v>
      </c>
      <c r="N6240" s="85">
        <f t="shared" si="1888"/>
        <v>824</v>
      </c>
      <c r="O6240" s="86">
        <f t="shared" si="1889"/>
        <v>1374.95</v>
      </c>
      <c r="P6240" s="86">
        <f t="shared" si="1890"/>
        <v>0</v>
      </c>
      <c r="Q6240" s="86">
        <f t="shared" si="1891"/>
        <v>0</v>
      </c>
      <c r="R6240" s="86">
        <f t="shared" si="1892"/>
        <v>0</v>
      </c>
      <c r="S6240" s="86">
        <f t="shared" si="1893"/>
        <v>0</v>
      </c>
      <c r="T6240" s="86">
        <f t="shared" si="1894"/>
        <v>1374.95</v>
      </c>
      <c r="U6240" s="87">
        <v>1374.95</v>
      </c>
    </row>
    <row r="6241" spans="1:21" s="30" customFormat="1" ht="24.6" hidden="1" outlineLevel="1" x14ac:dyDescent="0.55000000000000004">
      <c r="A6241" s="27" t="s">
        <v>327</v>
      </c>
      <c r="B6241" s="28"/>
      <c r="C6241" s="27"/>
      <c r="D6241" s="27" t="str">
        <f>"""NAV Direct"",""CRONUS JetCorp USA"",""21"",""1"",""287253"""</f>
        <v>"NAV Direct","CRONUS JetCorp USA","21","1","287253"</v>
      </c>
      <c r="E6241" s="31">
        <f t="shared" si="1886"/>
        <v>0</v>
      </c>
      <c r="F6241" s="31"/>
      <c r="G6241" s="31"/>
      <c r="H6241" s="31"/>
      <c r="I6241" s="56"/>
      <c r="J6241" s="56"/>
      <c r="K6241" s="82" t="str">
        <f t="shared" si="1887"/>
        <v>Invoice</v>
      </c>
      <c r="L6241" s="83" t="str">
        <f>"SI_108822"</f>
        <v>SI_108822</v>
      </c>
      <c r="M6241" s="84">
        <v>43057</v>
      </c>
      <c r="N6241" s="85">
        <f t="shared" si="1888"/>
        <v>755</v>
      </c>
      <c r="O6241" s="86">
        <f t="shared" si="1889"/>
        <v>1512.3500000000001</v>
      </c>
      <c r="P6241" s="86">
        <f t="shared" si="1890"/>
        <v>0</v>
      </c>
      <c r="Q6241" s="86">
        <f t="shared" si="1891"/>
        <v>0</v>
      </c>
      <c r="R6241" s="86">
        <f t="shared" si="1892"/>
        <v>0</v>
      </c>
      <c r="S6241" s="86">
        <f t="shared" si="1893"/>
        <v>0</v>
      </c>
      <c r="T6241" s="86">
        <f t="shared" si="1894"/>
        <v>1512.3500000000001</v>
      </c>
      <c r="U6241" s="87">
        <v>1512.3500000000001</v>
      </c>
    </row>
    <row r="6242" spans="1:21" s="30" customFormat="1" ht="24.6" hidden="1" outlineLevel="1" x14ac:dyDescent="0.55000000000000004">
      <c r="A6242" s="27" t="s">
        <v>327</v>
      </c>
      <c r="B6242" s="28"/>
      <c r="C6242" s="27"/>
      <c r="D6242" s="27" t="str">
        <f>"""NAV Direct"",""CRONUS JetCorp USA"",""21"",""1"",""287564"""</f>
        <v>"NAV Direct","CRONUS JetCorp USA","21","1","287564"</v>
      </c>
      <c r="E6242" s="31" t="str">
        <f t="shared" si="1886"/>
        <v>C100519</v>
      </c>
      <c r="F6242" s="31"/>
      <c r="G6242" s="31"/>
      <c r="H6242" s="31"/>
      <c r="I6242" s="56"/>
      <c r="J6242" s="56"/>
      <c r="K6242" s="82" t="str">
        <f t="shared" si="1887"/>
        <v>Invoice</v>
      </c>
      <c r="L6242" s="83" t="str">
        <f>"SI_108833"</f>
        <v>SI_108833</v>
      </c>
      <c r="M6242" s="84">
        <v>43044</v>
      </c>
      <c r="N6242" s="85">
        <f t="shared" si="1888"/>
        <v>768</v>
      </c>
      <c r="O6242" s="86">
        <f t="shared" si="1889"/>
        <v>1512.3899999999999</v>
      </c>
      <c r="P6242" s="86">
        <f t="shared" si="1890"/>
        <v>0</v>
      </c>
      <c r="Q6242" s="86">
        <f t="shared" si="1891"/>
        <v>0</v>
      </c>
      <c r="R6242" s="86">
        <f t="shared" si="1892"/>
        <v>0</v>
      </c>
      <c r="S6242" s="86">
        <f t="shared" si="1893"/>
        <v>0</v>
      </c>
      <c r="T6242" s="86">
        <f t="shared" si="1894"/>
        <v>1512.3899999999999</v>
      </c>
      <c r="U6242" s="87">
        <v>1512.3899999999999</v>
      </c>
    </row>
    <row r="6243" spans="1:21" s="30" customFormat="1" ht="24.6" hidden="1" outlineLevel="1" x14ac:dyDescent="0.55000000000000004">
      <c r="A6243" s="27" t="s">
        <v>327</v>
      </c>
      <c r="B6243" s="28"/>
      <c r="C6243" s="27"/>
      <c r="D6243" s="27" t="str">
        <f>"""NAV Direct"",""CRONUS JetCorp USA"",""21"",""1"",""288430"""</f>
        <v>"NAV Direct","CRONUS JetCorp USA","21","1","288430"</v>
      </c>
      <c r="E6243" s="31">
        <f t="shared" si="1886"/>
        <v>0</v>
      </c>
      <c r="F6243" s="31"/>
      <c r="G6243" s="31"/>
      <c r="H6243" s="31"/>
      <c r="I6243" s="56"/>
      <c r="J6243" s="56"/>
      <c r="K6243" s="82" t="str">
        <f t="shared" si="1887"/>
        <v>Invoice</v>
      </c>
      <c r="L6243" s="83" t="str">
        <f>"SI_108863"</f>
        <v>SI_108863</v>
      </c>
      <c r="M6243" s="84">
        <v>43159</v>
      </c>
      <c r="N6243" s="85">
        <f t="shared" si="1888"/>
        <v>653</v>
      </c>
      <c r="O6243" s="86">
        <f t="shared" si="1889"/>
        <v>1663.76</v>
      </c>
      <c r="P6243" s="86">
        <f t="shared" si="1890"/>
        <v>0</v>
      </c>
      <c r="Q6243" s="86">
        <f t="shared" si="1891"/>
        <v>0</v>
      </c>
      <c r="R6243" s="86">
        <f t="shared" si="1892"/>
        <v>0</v>
      </c>
      <c r="S6243" s="86">
        <f t="shared" si="1893"/>
        <v>0</v>
      </c>
      <c r="T6243" s="86">
        <f t="shared" si="1894"/>
        <v>1663.76</v>
      </c>
      <c r="U6243" s="87">
        <v>1663.76</v>
      </c>
    </row>
    <row r="6244" spans="1:21" s="30" customFormat="1" ht="24.6" hidden="1" outlineLevel="1" x14ac:dyDescent="0.55000000000000004">
      <c r="A6244" s="27" t="s">
        <v>327</v>
      </c>
      <c r="B6244" s="28"/>
      <c r="C6244" s="27"/>
      <c r="D6244" s="27" t="str">
        <f>"""NAV Direct"",""CRONUS JetCorp USA"",""21"",""1"",""289236"""</f>
        <v>"NAV Direct","CRONUS JetCorp USA","21","1","289236"</v>
      </c>
      <c r="E6244" s="31" t="str">
        <f t="shared" si="1886"/>
        <v>C100519</v>
      </c>
      <c r="F6244" s="31"/>
      <c r="G6244" s="31"/>
      <c r="H6244" s="31"/>
      <c r="I6244" s="56"/>
      <c r="J6244" s="56"/>
      <c r="K6244" s="82" t="str">
        <f t="shared" si="1887"/>
        <v>Invoice</v>
      </c>
      <c r="L6244" s="83" t="str">
        <f>"SI_108890"</f>
        <v>SI_108890</v>
      </c>
      <c r="M6244" s="84">
        <v>43159</v>
      </c>
      <c r="N6244" s="85">
        <f t="shared" si="1888"/>
        <v>653</v>
      </c>
      <c r="O6244" s="86">
        <f t="shared" si="1889"/>
        <v>1663.6899999999998</v>
      </c>
      <c r="P6244" s="86">
        <f t="shared" si="1890"/>
        <v>0</v>
      </c>
      <c r="Q6244" s="86">
        <f t="shared" si="1891"/>
        <v>0</v>
      </c>
      <c r="R6244" s="86">
        <f t="shared" si="1892"/>
        <v>0</v>
      </c>
      <c r="S6244" s="86">
        <f t="shared" si="1893"/>
        <v>0</v>
      </c>
      <c r="T6244" s="86">
        <f t="shared" si="1894"/>
        <v>1663.6899999999998</v>
      </c>
      <c r="U6244" s="87">
        <v>1663.6899999999998</v>
      </c>
    </row>
    <row r="6245" spans="1:21" s="30" customFormat="1" ht="24.6" hidden="1" outlineLevel="1" x14ac:dyDescent="0.55000000000000004">
      <c r="A6245" s="27" t="s">
        <v>327</v>
      </c>
      <c r="B6245" s="28"/>
      <c r="C6245" s="27"/>
      <c r="D6245" s="27" t="str">
        <f>"""NAV Direct"",""CRONUS JetCorp USA"",""21"",""1"",""291061"""</f>
        <v>"NAV Direct","CRONUS JetCorp USA","21","1","291061"</v>
      </c>
      <c r="E6245" s="31">
        <f t="shared" si="1886"/>
        <v>0</v>
      </c>
      <c r="F6245" s="31"/>
      <c r="G6245" s="31"/>
      <c r="H6245" s="31"/>
      <c r="I6245" s="56"/>
      <c r="J6245" s="56"/>
      <c r="K6245" s="82" t="str">
        <f t="shared" si="1887"/>
        <v>Invoice</v>
      </c>
      <c r="L6245" s="83" t="str">
        <f>"SI_108950"</f>
        <v>SI_108950</v>
      </c>
      <c r="M6245" s="84">
        <v>43334</v>
      </c>
      <c r="N6245" s="85">
        <f t="shared" si="1888"/>
        <v>478</v>
      </c>
      <c r="O6245" s="86">
        <f t="shared" si="1889"/>
        <v>2013.16</v>
      </c>
      <c r="P6245" s="86">
        <f t="shared" si="1890"/>
        <v>0</v>
      </c>
      <c r="Q6245" s="86">
        <f t="shared" si="1891"/>
        <v>0</v>
      </c>
      <c r="R6245" s="86">
        <f t="shared" si="1892"/>
        <v>0</v>
      </c>
      <c r="S6245" s="86">
        <f t="shared" si="1893"/>
        <v>0</v>
      </c>
      <c r="T6245" s="86">
        <f t="shared" si="1894"/>
        <v>2013.16</v>
      </c>
      <c r="U6245" s="87">
        <v>2013.16</v>
      </c>
    </row>
    <row r="6246" spans="1:21" s="30" customFormat="1" ht="24.6" hidden="1" outlineLevel="1" x14ac:dyDescent="0.55000000000000004">
      <c r="A6246" s="27" t="s">
        <v>327</v>
      </c>
      <c r="B6246" s="28"/>
      <c r="C6246" s="27"/>
      <c r="D6246" s="27" t="str">
        <f>"""NAV Direct"",""CRONUS JetCorp USA"",""21"",""1"",""291267"""</f>
        <v>"NAV Direct","CRONUS JetCorp USA","21","1","291267"</v>
      </c>
      <c r="E6246" s="31" t="str">
        <f t="shared" si="1886"/>
        <v>C100519</v>
      </c>
      <c r="F6246" s="31"/>
      <c r="G6246" s="31"/>
      <c r="H6246" s="31"/>
      <c r="I6246" s="56"/>
      <c r="J6246" s="56"/>
      <c r="K6246" s="82" t="str">
        <f t="shared" si="1887"/>
        <v>Invoice</v>
      </c>
      <c r="L6246" s="83" t="str">
        <f>"SI_108957"</f>
        <v>SI_108957</v>
      </c>
      <c r="M6246" s="84">
        <v>43349</v>
      </c>
      <c r="N6246" s="85">
        <f t="shared" si="1888"/>
        <v>463</v>
      </c>
      <c r="O6246" s="86">
        <f t="shared" si="1889"/>
        <v>2013.1399999999999</v>
      </c>
      <c r="P6246" s="86">
        <f t="shared" si="1890"/>
        <v>0</v>
      </c>
      <c r="Q6246" s="86">
        <f t="shared" si="1891"/>
        <v>0</v>
      </c>
      <c r="R6246" s="86">
        <f t="shared" si="1892"/>
        <v>0</v>
      </c>
      <c r="S6246" s="86">
        <f t="shared" si="1893"/>
        <v>0</v>
      </c>
      <c r="T6246" s="86">
        <f t="shared" si="1894"/>
        <v>2013.1399999999999</v>
      </c>
      <c r="U6246" s="87">
        <v>2013.1399999999999</v>
      </c>
    </row>
    <row r="6247" spans="1:21" s="30" customFormat="1" ht="24.6" hidden="1" outlineLevel="1" x14ac:dyDescent="0.55000000000000004">
      <c r="A6247" s="27" t="s">
        <v>327</v>
      </c>
      <c r="B6247" s="28"/>
      <c r="C6247" s="27"/>
      <c r="D6247" s="27" t="str">
        <f>"""NAV Direct"",""CRONUS JetCorp USA"",""21"",""1"",""292113"""</f>
        <v>"NAV Direct","CRONUS JetCorp USA","21","1","292113"</v>
      </c>
      <c r="E6247" s="31">
        <f t="shared" si="1886"/>
        <v>0</v>
      </c>
      <c r="F6247" s="31"/>
      <c r="G6247" s="31"/>
      <c r="H6247" s="31"/>
      <c r="I6247" s="56"/>
      <c r="J6247" s="56"/>
      <c r="K6247" s="82" t="str">
        <f t="shared" si="1887"/>
        <v>Invoice</v>
      </c>
      <c r="L6247" s="83" t="str">
        <f>"SI_108986"</f>
        <v>SI_108986</v>
      </c>
      <c r="M6247" s="84">
        <v>43428</v>
      </c>
      <c r="N6247" s="85">
        <f t="shared" si="1888"/>
        <v>384</v>
      </c>
      <c r="O6247" s="86">
        <f t="shared" si="1889"/>
        <v>2214.4</v>
      </c>
      <c r="P6247" s="86">
        <f t="shared" si="1890"/>
        <v>0</v>
      </c>
      <c r="Q6247" s="86">
        <f t="shared" si="1891"/>
        <v>0</v>
      </c>
      <c r="R6247" s="86">
        <f t="shared" si="1892"/>
        <v>0</v>
      </c>
      <c r="S6247" s="86">
        <f t="shared" si="1893"/>
        <v>0</v>
      </c>
      <c r="T6247" s="86">
        <f t="shared" si="1894"/>
        <v>2214.4</v>
      </c>
      <c r="U6247" s="87">
        <v>2214.4</v>
      </c>
    </row>
    <row r="6248" spans="1:21" s="30" customFormat="1" ht="24.6" hidden="1" outlineLevel="1" x14ac:dyDescent="0.55000000000000004">
      <c r="A6248" s="27" t="s">
        <v>327</v>
      </c>
      <c r="B6248" s="28"/>
      <c r="C6248" s="27"/>
      <c r="D6248" s="27" t="str">
        <f>"""NAV Direct"",""CRONUS JetCorp USA"",""21"",""1"",""293215"""</f>
        <v>"NAV Direct","CRONUS JetCorp USA","21","1","293215"</v>
      </c>
      <c r="E6248" s="31" t="str">
        <f t="shared" si="1886"/>
        <v>C100519</v>
      </c>
      <c r="F6248" s="31"/>
      <c r="G6248" s="31"/>
      <c r="H6248" s="31"/>
      <c r="I6248" s="56"/>
      <c r="J6248" s="56"/>
      <c r="K6248" s="82" t="str">
        <f t="shared" si="1887"/>
        <v>Invoice</v>
      </c>
      <c r="L6248" s="83" t="str">
        <f>"SI_109024"</f>
        <v>SI_109024</v>
      </c>
      <c r="M6248" s="84">
        <v>43496</v>
      </c>
      <c r="N6248" s="85">
        <f t="shared" si="1888"/>
        <v>316</v>
      </c>
      <c r="O6248" s="86">
        <f t="shared" si="1889"/>
        <v>2435.92</v>
      </c>
      <c r="P6248" s="86">
        <f t="shared" si="1890"/>
        <v>0</v>
      </c>
      <c r="Q6248" s="86">
        <f t="shared" si="1891"/>
        <v>0</v>
      </c>
      <c r="R6248" s="86">
        <f t="shared" si="1892"/>
        <v>0</v>
      </c>
      <c r="S6248" s="86">
        <f t="shared" si="1893"/>
        <v>0</v>
      </c>
      <c r="T6248" s="86">
        <f t="shared" si="1894"/>
        <v>2435.92</v>
      </c>
      <c r="U6248" s="87">
        <v>2435.92</v>
      </c>
    </row>
    <row r="6249" spans="1:21" s="30" customFormat="1" ht="24.6" hidden="1" outlineLevel="1" x14ac:dyDescent="0.55000000000000004">
      <c r="A6249" s="27" t="s">
        <v>327</v>
      </c>
      <c r="B6249" s="28"/>
      <c r="C6249" s="27"/>
      <c r="D6249" s="27" t="str">
        <f>"""NAV Direct"",""CRONUS JetCorp USA"",""21"",""1"",""293808"""</f>
        <v>"NAV Direct","CRONUS JetCorp USA","21","1","293808"</v>
      </c>
      <c r="E6249" s="31">
        <f t="shared" si="1886"/>
        <v>0</v>
      </c>
      <c r="F6249" s="31"/>
      <c r="G6249" s="31"/>
      <c r="H6249" s="31"/>
      <c r="I6249" s="56"/>
      <c r="J6249" s="56"/>
      <c r="K6249" s="82" t="str">
        <f t="shared" si="1887"/>
        <v>Invoice</v>
      </c>
      <c r="L6249" s="83" t="str">
        <f>"SI_109043"</f>
        <v>SI_109043</v>
      </c>
      <c r="M6249" s="84">
        <v>43525</v>
      </c>
      <c r="N6249" s="85">
        <f t="shared" si="1888"/>
        <v>287</v>
      </c>
      <c r="O6249" s="86">
        <f t="shared" si="1889"/>
        <v>2435.6999999999998</v>
      </c>
      <c r="P6249" s="86">
        <f t="shared" si="1890"/>
        <v>0</v>
      </c>
      <c r="Q6249" s="86">
        <f t="shared" si="1891"/>
        <v>0</v>
      </c>
      <c r="R6249" s="86">
        <f t="shared" si="1892"/>
        <v>0</v>
      </c>
      <c r="S6249" s="86">
        <f t="shared" si="1893"/>
        <v>0</v>
      </c>
      <c r="T6249" s="86">
        <f t="shared" si="1894"/>
        <v>2435.6999999999998</v>
      </c>
      <c r="U6249" s="87">
        <v>2435.6999999999998</v>
      </c>
    </row>
    <row r="6250" spans="1:21" s="30" customFormat="1" ht="24.6" hidden="1" outlineLevel="1" x14ac:dyDescent="0.55000000000000004">
      <c r="A6250" s="27" t="s">
        <v>327</v>
      </c>
      <c r="B6250" s="28"/>
      <c r="C6250" s="27"/>
      <c r="D6250" s="27" t="str">
        <f>"""NAV Direct"",""CRONUS JetCorp USA"",""21"",""1"",""294099"""</f>
        <v>"NAV Direct","CRONUS JetCorp USA","21","1","294099"</v>
      </c>
      <c r="E6250" s="31" t="str">
        <f t="shared" si="1886"/>
        <v>C100519</v>
      </c>
      <c r="F6250" s="31"/>
      <c r="G6250" s="31"/>
      <c r="H6250" s="31"/>
      <c r="I6250" s="56"/>
      <c r="J6250" s="56"/>
      <c r="K6250" s="82" t="str">
        <f t="shared" si="1887"/>
        <v>Invoice</v>
      </c>
      <c r="L6250" s="83" t="str">
        <f>"SI_109053"</f>
        <v>SI_109053</v>
      </c>
      <c r="M6250" s="84">
        <v>43524</v>
      </c>
      <c r="N6250" s="85">
        <f t="shared" si="1888"/>
        <v>288</v>
      </c>
      <c r="O6250" s="86">
        <f t="shared" si="1889"/>
        <v>2435.7399999999998</v>
      </c>
      <c r="P6250" s="86">
        <f t="shared" si="1890"/>
        <v>0</v>
      </c>
      <c r="Q6250" s="86">
        <f t="shared" si="1891"/>
        <v>0</v>
      </c>
      <c r="R6250" s="86">
        <f t="shared" si="1892"/>
        <v>0</v>
      </c>
      <c r="S6250" s="86">
        <f t="shared" si="1893"/>
        <v>0</v>
      </c>
      <c r="T6250" s="86">
        <f t="shared" si="1894"/>
        <v>2435.7399999999998</v>
      </c>
      <c r="U6250" s="87">
        <v>2435.7399999999998</v>
      </c>
    </row>
    <row r="6251" spans="1:21" s="30" customFormat="1" ht="24.6" hidden="1" outlineLevel="1" x14ac:dyDescent="0.55000000000000004">
      <c r="A6251" s="27" t="s">
        <v>327</v>
      </c>
      <c r="B6251" s="28"/>
      <c r="C6251" s="27"/>
      <c r="D6251" s="27" t="str">
        <f>"""NAV Direct"",""CRONUS JetCorp USA"",""21"",""1"",""294576"""</f>
        <v>"NAV Direct","CRONUS JetCorp USA","21","1","294576"</v>
      </c>
      <c r="E6251" s="31">
        <f t="shared" si="1886"/>
        <v>0</v>
      </c>
      <c r="F6251" s="31"/>
      <c r="G6251" s="31"/>
      <c r="H6251" s="31"/>
      <c r="I6251" s="56"/>
      <c r="J6251" s="56"/>
      <c r="K6251" s="82" t="str">
        <f t="shared" si="1887"/>
        <v>Invoice</v>
      </c>
      <c r="L6251" s="83" t="str">
        <f>"SI_109067"</f>
        <v>SI_109067</v>
      </c>
      <c r="M6251" s="84">
        <v>43544</v>
      </c>
      <c r="N6251" s="85">
        <f t="shared" si="1888"/>
        <v>268</v>
      </c>
      <c r="O6251" s="86">
        <f t="shared" si="1889"/>
        <v>2435.9</v>
      </c>
      <c r="P6251" s="86">
        <f t="shared" si="1890"/>
        <v>0</v>
      </c>
      <c r="Q6251" s="86">
        <f t="shared" si="1891"/>
        <v>0</v>
      </c>
      <c r="R6251" s="86">
        <f t="shared" si="1892"/>
        <v>0</v>
      </c>
      <c r="S6251" s="86">
        <f t="shared" si="1893"/>
        <v>0</v>
      </c>
      <c r="T6251" s="86">
        <f t="shared" si="1894"/>
        <v>2435.9</v>
      </c>
      <c r="U6251" s="87">
        <v>2435.9</v>
      </c>
    </row>
    <row r="6252" spans="1:21" s="30" customFormat="1" ht="24.6" hidden="1" outlineLevel="1" x14ac:dyDescent="0.55000000000000004">
      <c r="A6252" s="27" t="s">
        <v>327</v>
      </c>
      <c r="B6252" s="28"/>
      <c r="C6252" s="27"/>
      <c r="D6252" s="27" t="str">
        <f>"""NAV Direct"",""CRONUS JetCorp USA"",""21"",""1"",""294876"""</f>
        <v>"NAV Direct","CRONUS JetCorp USA","21","1","294876"</v>
      </c>
      <c r="E6252" s="31" t="str">
        <f t="shared" si="1886"/>
        <v>C100519</v>
      </c>
      <c r="F6252" s="31"/>
      <c r="G6252" s="31"/>
      <c r="H6252" s="31"/>
      <c r="I6252" s="56"/>
      <c r="J6252" s="56"/>
      <c r="K6252" s="82" t="str">
        <f t="shared" si="1887"/>
        <v>Invoice</v>
      </c>
      <c r="L6252" s="83" t="str">
        <f>"SI_109077"</f>
        <v>SI_109077</v>
      </c>
      <c r="M6252" s="84">
        <v>43589</v>
      </c>
      <c r="N6252" s="85">
        <f t="shared" si="1888"/>
        <v>223</v>
      </c>
      <c r="O6252" s="86">
        <f t="shared" si="1889"/>
        <v>2679.43</v>
      </c>
      <c r="P6252" s="86">
        <f t="shared" si="1890"/>
        <v>0</v>
      </c>
      <c r="Q6252" s="86">
        <f t="shared" si="1891"/>
        <v>0</v>
      </c>
      <c r="R6252" s="86">
        <f t="shared" si="1892"/>
        <v>0</v>
      </c>
      <c r="S6252" s="86">
        <f t="shared" si="1893"/>
        <v>0</v>
      </c>
      <c r="T6252" s="86">
        <f t="shared" si="1894"/>
        <v>2679.43</v>
      </c>
      <c r="U6252" s="87">
        <v>2679.43</v>
      </c>
    </row>
    <row r="6253" spans="1:21" s="30" customFormat="1" ht="24.6" hidden="1" outlineLevel="1" x14ac:dyDescent="0.55000000000000004">
      <c r="A6253" s="27" t="s">
        <v>327</v>
      </c>
      <c r="B6253" s="28"/>
      <c r="C6253" s="27"/>
      <c r="D6253" s="27" t="str">
        <f>"""NAV Direct"",""CRONUS JetCorp USA"",""21"",""1"",""297320"""</f>
        <v>"NAV Direct","CRONUS JetCorp USA","21","1","297320"</v>
      </c>
      <c r="E6253" s="31">
        <f t="shared" si="1886"/>
        <v>0</v>
      </c>
      <c r="F6253" s="31"/>
      <c r="G6253" s="31"/>
      <c r="H6253" s="31"/>
      <c r="I6253" s="56"/>
      <c r="J6253" s="56"/>
      <c r="K6253" s="82" t="str">
        <f t="shared" si="1887"/>
        <v>Invoice</v>
      </c>
      <c r="L6253" s="83" t="str">
        <f>"SI_109152"</f>
        <v>SI_109152</v>
      </c>
      <c r="M6253" s="84">
        <v>43720</v>
      </c>
      <c r="N6253" s="85">
        <f t="shared" si="1888"/>
        <v>92</v>
      </c>
      <c r="O6253" s="86">
        <f t="shared" si="1889"/>
        <v>2947.33</v>
      </c>
      <c r="P6253" s="86">
        <f t="shared" si="1890"/>
        <v>0</v>
      </c>
      <c r="Q6253" s="86">
        <f t="shared" si="1891"/>
        <v>0</v>
      </c>
      <c r="R6253" s="86">
        <f t="shared" si="1892"/>
        <v>0</v>
      </c>
      <c r="S6253" s="86">
        <f t="shared" si="1893"/>
        <v>0</v>
      </c>
      <c r="T6253" s="86">
        <f t="shared" si="1894"/>
        <v>2947.33</v>
      </c>
      <c r="U6253" s="87">
        <v>2947.33</v>
      </c>
    </row>
    <row r="6254" spans="1:21" s="30" customFormat="1" ht="24.6" hidden="1" outlineLevel="1" x14ac:dyDescent="0.55000000000000004">
      <c r="A6254" s="27" t="s">
        <v>327</v>
      </c>
      <c r="B6254" s="28"/>
      <c r="C6254" s="27"/>
      <c r="D6254" s="27" t="str">
        <f>"""NAV Direct"",""CRONUS JetCorp USA"",""21"",""1"",""298464"""</f>
        <v>"NAV Direct","CRONUS JetCorp USA","21","1","298464"</v>
      </c>
      <c r="E6254" s="31" t="str">
        <f t="shared" si="1886"/>
        <v>C100519</v>
      </c>
      <c r="F6254" s="31"/>
      <c r="G6254" s="31"/>
      <c r="H6254" s="31"/>
      <c r="I6254" s="56"/>
      <c r="J6254" s="56"/>
      <c r="K6254" s="82" t="str">
        <f t="shared" si="1887"/>
        <v>Invoice</v>
      </c>
      <c r="L6254" s="83" t="str">
        <f>"SI_109187"</f>
        <v>SI_109187</v>
      </c>
      <c r="M6254" s="84">
        <v>43791</v>
      </c>
      <c r="N6254" s="85">
        <f t="shared" si="1888"/>
        <v>21</v>
      </c>
      <c r="O6254" s="86">
        <f t="shared" si="1889"/>
        <v>3242.12</v>
      </c>
      <c r="P6254" s="86">
        <f t="shared" si="1890"/>
        <v>0</v>
      </c>
      <c r="Q6254" s="86">
        <f t="shared" si="1891"/>
        <v>3242.12</v>
      </c>
      <c r="R6254" s="86">
        <f t="shared" si="1892"/>
        <v>0</v>
      </c>
      <c r="S6254" s="86">
        <f t="shared" si="1893"/>
        <v>0</v>
      </c>
      <c r="T6254" s="86">
        <f t="shared" si="1894"/>
        <v>0</v>
      </c>
      <c r="U6254" s="87">
        <v>3242.12</v>
      </c>
    </row>
    <row r="6255" spans="1:21" s="30" customFormat="1" ht="24.6" hidden="1" outlineLevel="1" x14ac:dyDescent="0.55000000000000004">
      <c r="A6255" s="27" t="s">
        <v>327</v>
      </c>
      <c r="B6255" s="28"/>
      <c r="C6255" s="27"/>
      <c r="D6255" s="27" t="str">
        <f>"""NAV Direct"",""CRONUS JetCorp USA"",""21"",""1"",""298520"""</f>
        <v>"NAV Direct","CRONUS JetCorp USA","21","1","298520"</v>
      </c>
      <c r="E6255" s="31">
        <f t="shared" si="1886"/>
        <v>0</v>
      </c>
      <c r="F6255" s="31"/>
      <c r="G6255" s="31"/>
      <c r="H6255" s="31"/>
      <c r="I6255" s="56"/>
      <c r="J6255" s="56"/>
      <c r="K6255" s="82" t="str">
        <f t="shared" si="1887"/>
        <v>Invoice</v>
      </c>
      <c r="L6255" s="83" t="str">
        <f>"SI_109189"</f>
        <v>SI_109189</v>
      </c>
      <c r="M6255" s="84">
        <v>43784</v>
      </c>
      <c r="N6255" s="85">
        <f t="shared" si="1888"/>
        <v>28</v>
      </c>
      <c r="O6255" s="86">
        <f t="shared" si="1889"/>
        <v>3242.1600000000003</v>
      </c>
      <c r="P6255" s="86">
        <f t="shared" si="1890"/>
        <v>0</v>
      </c>
      <c r="Q6255" s="86">
        <f t="shared" si="1891"/>
        <v>3242.1600000000003</v>
      </c>
      <c r="R6255" s="86">
        <f t="shared" si="1892"/>
        <v>0</v>
      </c>
      <c r="S6255" s="86">
        <f t="shared" si="1893"/>
        <v>0</v>
      </c>
      <c r="T6255" s="86">
        <f t="shared" si="1894"/>
        <v>0</v>
      </c>
      <c r="U6255" s="87">
        <v>3242.1600000000003</v>
      </c>
    </row>
    <row r="6256" spans="1:21" s="30" customFormat="1" ht="24.6" hidden="1" outlineLevel="1" x14ac:dyDescent="0.55000000000000004">
      <c r="A6256" s="27" t="s">
        <v>327</v>
      </c>
      <c r="B6256" s="28"/>
      <c r="C6256" s="27"/>
      <c r="D6256" s="27" t="str">
        <f>"""NAV Direct"",""CRONUS JetCorp USA"",""21"",""1"",""299554"""</f>
        <v>"NAV Direct","CRONUS JetCorp USA","21","1","299554"</v>
      </c>
      <c r="E6256" s="31" t="str">
        <f t="shared" si="1886"/>
        <v>C100519</v>
      </c>
      <c r="F6256" s="31"/>
      <c r="G6256" s="31"/>
      <c r="H6256" s="31"/>
      <c r="I6256" s="56"/>
      <c r="J6256" s="56"/>
      <c r="K6256" s="82" t="str">
        <f t="shared" si="1887"/>
        <v>Invoice</v>
      </c>
      <c r="L6256" s="83" t="str">
        <f>"SI_109220"</f>
        <v>SI_109220</v>
      </c>
      <c r="M6256" s="84">
        <v>43818</v>
      </c>
      <c r="N6256" s="85">
        <f t="shared" si="1888"/>
        <v>-6</v>
      </c>
      <c r="O6256" s="86">
        <f t="shared" si="1889"/>
        <v>3241.9100000000003</v>
      </c>
      <c r="P6256" s="86">
        <f t="shared" si="1890"/>
        <v>3241.9100000000003</v>
      </c>
      <c r="Q6256" s="86">
        <f t="shared" si="1891"/>
        <v>0</v>
      </c>
      <c r="R6256" s="86">
        <f t="shared" si="1892"/>
        <v>0</v>
      </c>
      <c r="S6256" s="86">
        <f t="shared" si="1893"/>
        <v>0</v>
      </c>
      <c r="T6256" s="86">
        <f t="shared" si="1894"/>
        <v>0</v>
      </c>
      <c r="U6256" s="87">
        <v>3241.9100000000003</v>
      </c>
    </row>
    <row r="6257" spans="1:22" s="30" customFormat="1" ht="24.6" hidden="1" outlineLevel="1" x14ac:dyDescent="0.55000000000000004">
      <c r="A6257" s="27" t="s">
        <v>327</v>
      </c>
      <c r="B6257" s="28"/>
      <c r="C6257" s="27"/>
      <c r="D6257" s="27" t="str">
        <f>"""NAV Direct"",""CRONUS JetCorp USA"",""21"",""1"",""299621"""</f>
        <v>"NAV Direct","CRONUS JetCorp USA","21","1","299621"</v>
      </c>
      <c r="E6257" s="31">
        <f t="shared" si="1886"/>
        <v>0</v>
      </c>
      <c r="F6257" s="31"/>
      <c r="G6257" s="31"/>
      <c r="H6257" s="31"/>
      <c r="I6257" s="56"/>
      <c r="J6257" s="56"/>
      <c r="K6257" s="82" t="str">
        <f t="shared" si="1887"/>
        <v>Invoice</v>
      </c>
      <c r="L6257" s="83" t="str">
        <f>"SI_109222"</f>
        <v>SI_109222</v>
      </c>
      <c r="M6257" s="84">
        <v>43818</v>
      </c>
      <c r="N6257" s="85">
        <f t="shared" si="1888"/>
        <v>-6</v>
      </c>
      <c r="O6257" s="86">
        <f t="shared" si="1889"/>
        <v>3242.15</v>
      </c>
      <c r="P6257" s="86">
        <f t="shared" si="1890"/>
        <v>3242.15</v>
      </c>
      <c r="Q6257" s="86">
        <f t="shared" si="1891"/>
        <v>0</v>
      </c>
      <c r="R6257" s="86">
        <f t="shared" si="1892"/>
        <v>0</v>
      </c>
      <c r="S6257" s="86">
        <f t="shared" si="1893"/>
        <v>0</v>
      </c>
      <c r="T6257" s="86">
        <f t="shared" si="1894"/>
        <v>0</v>
      </c>
      <c r="U6257" s="87">
        <v>3242.15</v>
      </c>
    </row>
    <row r="6258" spans="1:22" s="30" customFormat="1" ht="24.6" hidden="1" outlineLevel="1" x14ac:dyDescent="0.55000000000000004">
      <c r="A6258" s="27" t="s">
        <v>327</v>
      </c>
      <c r="B6258" s="28"/>
      <c r="C6258" s="27"/>
      <c r="D6258" s="27" t="str">
        <f>"""NAV Direct"",""CRONUS JetCorp USA"",""21"",""1"",""301360"""</f>
        <v>"NAV Direct","CRONUS JetCorp USA","21","1","301360"</v>
      </c>
      <c r="E6258" s="31" t="str">
        <f t="shared" si="1886"/>
        <v>C100519</v>
      </c>
      <c r="F6258" s="31"/>
      <c r="G6258" s="31"/>
      <c r="H6258" s="31"/>
      <c r="I6258" s="56"/>
      <c r="J6258" s="56"/>
      <c r="K6258" s="82" t="str">
        <f t="shared" si="1887"/>
        <v>Invoice</v>
      </c>
      <c r="L6258" s="83" t="str">
        <f>"SI_109273"</f>
        <v>SI_109273</v>
      </c>
      <c r="M6258" s="84">
        <v>42077</v>
      </c>
      <c r="N6258" s="85">
        <f t="shared" si="1888"/>
        <v>1735</v>
      </c>
      <c r="O6258" s="86">
        <f t="shared" si="1889"/>
        <v>3566.2599999999998</v>
      </c>
      <c r="P6258" s="86">
        <f t="shared" si="1890"/>
        <v>0</v>
      </c>
      <c r="Q6258" s="86">
        <f t="shared" si="1891"/>
        <v>0</v>
      </c>
      <c r="R6258" s="86">
        <f t="shared" si="1892"/>
        <v>0</v>
      </c>
      <c r="S6258" s="86">
        <f t="shared" si="1893"/>
        <v>0</v>
      </c>
      <c r="T6258" s="86">
        <f t="shared" si="1894"/>
        <v>3566.2599999999998</v>
      </c>
      <c r="U6258" s="87">
        <v>3566.2599999999998</v>
      </c>
    </row>
    <row r="6259" spans="1:22" s="30" customFormat="1" ht="24.6" hidden="1" outlineLevel="1" x14ac:dyDescent="0.55000000000000004">
      <c r="A6259" s="27" t="s">
        <v>327</v>
      </c>
      <c r="B6259" s="28"/>
      <c r="C6259" s="27"/>
      <c r="D6259" s="27" t="str">
        <f>"""NAV Direct"",""CRONUS JetCorp USA"",""21"",""1"",""301729"""</f>
        <v>"NAV Direct","CRONUS JetCorp USA","21","1","301729"</v>
      </c>
      <c r="E6259" s="31">
        <f t="shared" si="1886"/>
        <v>0</v>
      </c>
      <c r="F6259" s="31"/>
      <c r="G6259" s="31"/>
      <c r="H6259" s="31"/>
      <c r="I6259" s="56"/>
      <c r="J6259" s="56"/>
      <c r="K6259" s="82" t="str">
        <f t="shared" si="1887"/>
        <v>Invoice</v>
      </c>
      <c r="L6259" s="83" t="str">
        <f>"SI_109283"</f>
        <v>SI_109283</v>
      </c>
      <c r="M6259" s="84">
        <v>42101</v>
      </c>
      <c r="N6259" s="85">
        <f t="shared" si="1888"/>
        <v>1711</v>
      </c>
      <c r="O6259" s="86">
        <f t="shared" si="1889"/>
        <v>3566.42</v>
      </c>
      <c r="P6259" s="86">
        <f t="shared" si="1890"/>
        <v>0</v>
      </c>
      <c r="Q6259" s="86">
        <f t="shared" si="1891"/>
        <v>0</v>
      </c>
      <c r="R6259" s="86">
        <f t="shared" si="1892"/>
        <v>0</v>
      </c>
      <c r="S6259" s="86">
        <f t="shared" si="1893"/>
        <v>0</v>
      </c>
      <c r="T6259" s="86">
        <f t="shared" si="1894"/>
        <v>3566.42</v>
      </c>
      <c r="U6259" s="87">
        <v>3566.42</v>
      </c>
    </row>
    <row r="6260" spans="1:22" s="30" customFormat="1" ht="24.6" hidden="1" outlineLevel="1" x14ac:dyDescent="0.55000000000000004">
      <c r="A6260" s="27" t="s">
        <v>327</v>
      </c>
      <c r="B6260" s="28"/>
      <c r="C6260" s="27"/>
      <c r="D6260" s="27" t="str">
        <f>"""NAV Direct"",""CRONUS JetCorp USA"",""21"",""1"",""302077"""</f>
        <v>"NAV Direct","CRONUS JetCorp USA","21","1","302077"</v>
      </c>
      <c r="E6260" s="31" t="str">
        <f t="shared" si="1886"/>
        <v>C100519</v>
      </c>
      <c r="F6260" s="31"/>
      <c r="G6260" s="31"/>
      <c r="H6260" s="31"/>
      <c r="I6260" s="56"/>
      <c r="J6260" s="56"/>
      <c r="K6260" s="82" t="str">
        <f t="shared" si="1887"/>
        <v>Invoice</v>
      </c>
      <c r="L6260" s="83" t="str">
        <f>"SI_109292"</f>
        <v>SI_109292</v>
      </c>
      <c r="M6260" s="84">
        <v>42135</v>
      </c>
      <c r="N6260" s="85">
        <f t="shared" si="1888"/>
        <v>1677</v>
      </c>
      <c r="O6260" s="86">
        <f t="shared" si="1889"/>
        <v>3923.0699999999997</v>
      </c>
      <c r="P6260" s="86">
        <f t="shared" si="1890"/>
        <v>0</v>
      </c>
      <c r="Q6260" s="86">
        <f t="shared" si="1891"/>
        <v>0</v>
      </c>
      <c r="R6260" s="86">
        <f t="shared" si="1892"/>
        <v>0</v>
      </c>
      <c r="S6260" s="86">
        <f t="shared" si="1893"/>
        <v>0</v>
      </c>
      <c r="T6260" s="86">
        <f t="shared" si="1894"/>
        <v>3923.0699999999997</v>
      </c>
      <c r="U6260" s="87">
        <v>3923.0699999999997</v>
      </c>
    </row>
    <row r="6261" spans="1:22" s="30" customFormat="1" ht="24.6" hidden="1" outlineLevel="1" x14ac:dyDescent="0.55000000000000004">
      <c r="A6261" s="27" t="s">
        <v>327</v>
      </c>
      <c r="B6261" s="28"/>
      <c r="C6261" s="27"/>
      <c r="D6261" s="27" t="str">
        <f>"""NAV Direct"",""CRONUS JetCorp USA"",""21"",""1"",""302711"""</f>
        <v>"NAV Direct","CRONUS JetCorp USA","21","1","302711"</v>
      </c>
      <c r="E6261" s="31">
        <f t="shared" si="1886"/>
        <v>0</v>
      </c>
      <c r="F6261" s="31"/>
      <c r="G6261" s="31"/>
      <c r="H6261" s="31"/>
      <c r="I6261" s="56"/>
      <c r="J6261" s="56"/>
      <c r="K6261" s="82" t="str">
        <f t="shared" si="1887"/>
        <v>Invoice</v>
      </c>
      <c r="L6261" s="83" t="str">
        <f>"SI_109311"</f>
        <v>SI_109311</v>
      </c>
      <c r="M6261" s="84">
        <v>42154</v>
      </c>
      <c r="N6261" s="85">
        <f t="shared" si="1888"/>
        <v>1658</v>
      </c>
      <c r="O6261" s="86">
        <f t="shared" si="1889"/>
        <v>3923.0699999999997</v>
      </c>
      <c r="P6261" s="86">
        <f t="shared" si="1890"/>
        <v>0</v>
      </c>
      <c r="Q6261" s="86">
        <f t="shared" si="1891"/>
        <v>0</v>
      </c>
      <c r="R6261" s="86">
        <f t="shared" si="1892"/>
        <v>0</v>
      </c>
      <c r="S6261" s="86">
        <f t="shared" si="1893"/>
        <v>0</v>
      </c>
      <c r="T6261" s="86">
        <f t="shared" si="1894"/>
        <v>3923.0699999999997</v>
      </c>
      <c r="U6261" s="87">
        <v>3923.0699999999997</v>
      </c>
    </row>
    <row r="6262" spans="1:22" s="22" customFormat="1" ht="20.399999999999999" collapsed="1" x14ac:dyDescent="0.45">
      <c r="A6262" s="12" t="s">
        <v>327</v>
      </c>
      <c r="B6262" s="19"/>
      <c r="C6262" s="12"/>
      <c r="D6262" s="12"/>
      <c r="E6262" s="23"/>
      <c r="F6262" s="23"/>
      <c r="G6262" s="23"/>
      <c r="H6262" s="23"/>
      <c r="I6262" s="49"/>
      <c r="J6262" s="88"/>
      <c r="K6262" s="88"/>
      <c r="L6262" s="89"/>
      <c r="M6262" s="89"/>
      <c r="N6262" s="89"/>
      <c r="O6262" s="89"/>
      <c r="P6262" s="89"/>
      <c r="Q6262" s="90"/>
      <c r="R6262" s="90"/>
      <c r="S6262" s="91"/>
      <c r="T6262" s="92"/>
      <c r="U6262" s="92"/>
    </row>
    <row r="6263" spans="1:22" s="22" customFormat="1" ht="20.399999999999999" x14ac:dyDescent="0.45">
      <c r="A6263" s="12" t="s">
        <v>327</v>
      </c>
      <c r="B6263" s="19"/>
      <c r="C6263" s="12"/>
      <c r="D6263" s="12"/>
      <c r="E6263" s="23"/>
      <c r="F6263" s="23"/>
      <c r="G6263" s="23"/>
      <c r="H6263" s="23"/>
      <c r="I6263" s="49"/>
      <c r="J6263" s="88"/>
      <c r="K6263" s="88"/>
      <c r="L6263" s="89"/>
      <c r="M6263" s="89"/>
      <c r="N6263" s="89"/>
      <c r="O6263" s="89"/>
      <c r="P6263" s="89"/>
      <c r="Q6263" s="90"/>
      <c r="R6263" s="90"/>
      <c r="S6263" s="91"/>
      <c r="T6263" s="92"/>
      <c r="U6263" s="92"/>
    </row>
    <row r="6264" spans="1:22" s="26" customFormat="1" ht="24.6" x14ac:dyDescent="0.55000000000000004">
      <c r="A6264" s="27" t="s">
        <v>327</v>
      </c>
      <c r="B6264" s="28"/>
      <c r="C6264" s="27" t="str">
        <f>"""NAV Direct"",""CRONUS JetCorp USA"",""18"",""1"",""C100520"""</f>
        <v>"NAV Direct","CRONUS JetCorp USA","18","1","C100520"</v>
      </c>
      <c r="D6264" s="27"/>
      <c r="E6264" s="28" t="str">
        <f>H6264</f>
        <v>C100520</v>
      </c>
      <c r="F6264" s="28"/>
      <c r="G6264" s="28"/>
      <c r="H6264" s="28" t="str">
        <f>"C100520"</f>
        <v>C100520</v>
      </c>
      <c r="I6264" s="116" t="str">
        <f>"C100520  -  Jgems"</f>
        <v>C100520  -  Jgems</v>
      </c>
      <c r="J6264" s="117" t="str">
        <f>""</f>
        <v/>
      </c>
      <c r="K6264" s="118"/>
      <c r="L6264" s="119">
        <f>SUBTOTAL(3,L6265:L6298)</f>
        <v>30</v>
      </c>
      <c r="M6264" s="118"/>
      <c r="N6264" s="118"/>
      <c r="O6264" s="120">
        <f t="shared" ref="O6264:T6264" si="1895">SUBTOTAL(9,O6265:O6298)</f>
        <v>55362.680000000008</v>
      </c>
      <c r="P6264" s="120">
        <f t="shared" si="1895"/>
        <v>0</v>
      </c>
      <c r="Q6264" s="120">
        <f t="shared" si="1895"/>
        <v>0</v>
      </c>
      <c r="R6264" s="120">
        <f t="shared" si="1895"/>
        <v>3242.18</v>
      </c>
      <c r="S6264" s="120">
        <f t="shared" si="1895"/>
        <v>0</v>
      </c>
      <c r="T6264" s="120">
        <f t="shared" si="1895"/>
        <v>52120.500000000007</v>
      </c>
      <c r="U6264" s="81"/>
    </row>
    <row r="6265" spans="1:22" s="26" customFormat="1" ht="24.6" x14ac:dyDescent="0.55000000000000004">
      <c r="A6265" s="27" t="s">
        <v>327</v>
      </c>
      <c r="B6265" s="28"/>
      <c r="C6265" s="27" t="str">
        <f>C6264</f>
        <v>"NAV Direct","CRONUS JetCorp USA","18","1","C100520"</v>
      </c>
      <c r="D6265" s="27"/>
      <c r="E6265" s="28" t="str">
        <f>E6264</f>
        <v>C100520</v>
      </c>
      <c r="F6265" s="28"/>
      <c r="G6265" s="28"/>
      <c r="H6265" s="28"/>
      <c r="I6265" s="121" t="str">
        <f>"Contact: Bill Bluss"</f>
        <v>Contact: Bill Bluss</v>
      </c>
      <c r="J6265" s="121"/>
      <c r="K6265" s="122"/>
      <c r="L6265" s="123"/>
      <c r="M6265" s="123"/>
      <c r="N6265" s="124"/>
      <c r="O6265" s="124"/>
      <c r="P6265" s="123"/>
      <c r="Q6265" s="125"/>
      <c r="R6265" s="126"/>
      <c r="S6265" s="126"/>
      <c r="T6265" s="125"/>
      <c r="U6265" s="81"/>
    </row>
    <row r="6266" spans="1:22" s="26" customFormat="1" ht="24.6" x14ac:dyDescent="0.55000000000000004">
      <c r="A6266" s="27" t="s">
        <v>327</v>
      </c>
      <c r="B6266" s="28"/>
      <c r="C6266" s="27" t="str">
        <f>C6265</f>
        <v>"NAV Direct","CRONUS JetCorp USA","18","1","C100520"</v>
      </c>
      <c r="D6266" s="27"/>
      <c r="E6266" s="28" t="str">
        <f>E6265</f>
        <v>C100520</v>
      </c>
      <c r="F6266" s="28"/>
      <c r="G6266" s="28"/>
      <c r="H6266" s="28"/>
      <c r="I6266" s="121" t="str">
        <f>"Jgems@cronuscorp.net"</f>
        <v>Jgems@cronuscorp.net</v>
      </c>
      <c r="J6266" s="121"/>
      <c r="K6266" s="122"/>
      <c r="L6266" s="124"/>
      <c r="M6266" s="124"/>
      <c r="N6266" s="124"/>
      <c r="O6266" s="124"/>
      <c r="P6266" s="123"/>
      <c r="Q6266" s="125"/>
      <c r="R6266" s="126"/>
      <c r="S6266" s="126"/>
      <c r="T6266" s="125"/>
      <c r="U6266" s="81"/>
    </row>
    <row r="6267" spans="1:22" ht="12.75" hidden="1" customHeight="1" outlineLevel="1" x14ac:dyDescent="0.45">
      <c r="A6267" s="12" t="s">
        <v>328</v>
      </c>
      <c r="B6267" s="19"/>
      <c r="E6267" s="19"/>
      <c r="F6267" s="19"/>
      <c r="G6267" s="19"/>
      <c r="H6267" s="19"/>
      <c r="I6267" s="61"/>
      <c r="J6267" s="61"/>
      <c r="K6267" s="61"/>
      <c r="L6267" s="61"/>
      <c r="M6267" s="61"/>
      <c r="N6267" s="61"/>
      <c r="O6267" s="61"/>
      <c r="P6267" s="61"/>
      <c r="Q6267" s="61"/>
      <c r="R6267" s="61"/>
      <c r="S6267" s="61"/>
      <c r="T6267" s="61"/>
      <c r="U6267" s="61"/>
      <c r="V6267" s="21"/>
    </row>
    <row r="6268" spans="1:22" s="30" customFormat="1" ht="24.6" hidden="1" outlineLevel="1" x14ac:dyDescent="0.55000000000000004">
      <c r="A6268" s="27" t="s">
        <v>327</v>
      </c>
      <c r="B6268" s="28"/>
      <c r="C6268" s="27"/>
      <c r="D6268" s="27" t="str">
        <f>"""NAV Direct"",""CRONUS JetCorp USA"",""21"",""1"",""281271"""</f>
        <v>"NAV Direct","CRONUS JetCorp USA","21","1","281271"</v>
      </c>
      <c r="E6268" s="31" t="str">
        <f t="shared" ref="E6268:E6297" si="1896">E6266</f>
        <v>C100520</v>
      </c>
      <c r="F6268" s="31"/>
      <c r="G6268" s="31"/>
      <c r="H6268" s="31"/>
      <c r="I6268" s="56"/>
      <c r="J6268" s="56"/>
      <c r="K6268" s="82" t="str">
        <f t="shared" ref="K6268:K6297" si="1897">"Invoice"</f>
        <v>Invoice</v>
      </c>
      <c r="L6268" s="83" t="str">
        <f>"SI_108603"</f>
        <v>SI_108603</v>
      </c>
      <c r="M6268" s="84">
        <v>43613</v>
      </c>
      <c r="N6268" s="85">
        <f t="shared" ref="N6268:N6297" si="1898">StartDate-$M6268+1</f>
        <v>199</v>
      </c>
      <c r="O6268" s="86">
        <f t="shared" ref="O6268:O6297" si="1899">SUM(P6268:T6268)</f>
        <v>587.98</v>
      </c>
      <c r="P6268" s="86">
        <f t="shared" ref="P6268:P6297" si="1900">IF($M6268&gt;=$P$18,U6268,0)</f>
        <v>0</v>
      </c>
      <c r="Q6268" s="86">
        <f t="shared" ref="Q6268:Q6297" si="1901">IF(AND($M6268&gt;=$Q$16,$M6268&lt;=$Q$18),U6268,0)</f>
        <v>0</v>
      </c>
      <c r="R6268" s="86">
        <f t="shared" ref="R6268:R6297" si="1902">IF(AND($M6268&gt;=$R$16,$M6268&lt;=$R$18),U6268,0)</f>
        <v>0</v>
      </c>
      <c r="S6268" s="86">
        <f t="shared" ref="S6268:S6297" si="1903">IF(AND($M6268&gt;=$S$16,$M6268&lt;=$S$18),U6268,0)</f>
        <v>0</v>
      </c>
      <c r="T6268" s="86">
        <f t="shared" ref="T6268:T6297" si="1904">IF($M6268&lt;=$T$18,U6268,0)</f>
        <v>587.98</v>
      </c>
      <c r="U6268" s="87">
        <v>587.98</v>
      </c>
    </row>
    <row r="6269" spans="1:22" s="30" customFormat="1" ht="24.6" hidden="1" outlineLevel="1" x14ac:dyDescent="0.55000000000000004">
      <c r="A6269" s="27" t="s">
        <v>327</v>
      </c>
      <c r="B6269" s="28"/>
      <c r="C6269" s="27"/>
      <c r="D6269" s="27" t="str">
        <f>"""NAV Direct"",""CRONUS JetCorp USA"",""21"",""1"",""281393"""</f>
        <v>"NAV Direct","CRONUS JetCorp USA","21","1","281393"</v>
      </c>
      <c r="E6269" s="31">
        <f t="shared" si="1896"/>
        <v>0</v>
      </c>
      <c r="F6269" s="31"/>
      <c r="G6269" s="31"/>
      <c r="H6269" s="31"/>
      <c r="I6269" s="56"/>
      <c r="J6269" s="56"/>
      <c r="K6269" s="82" t="str">
        <f t="shared" si="1897"/>
        <v>Invoice</v>
      </c>
      <c r="L6269" s="83" t="str">
        <f>"SI_108608"</f>
        <v>SI_108608</v>
      </c>
      <c r="M6269" s="84">
        <v>43690</v>
      </c>
      <c r="N6269" s="85">
        <f t="shared" si="1898"/>
        <v>122</v>
      </c>
      <c r="O6269" s="86">
        <f t="shared" si="1899"/>
        <v>587.92999999999995</v>
      </c>
      <c r="P6269" s="86">
        <f t="shared" si="1900"/>
        <v>0</v>
      </c>
      <c r="Q6269" s="86">
        <f t="shared" si="1901"/>
        <v>0</v>
      </c>
      <c r="R6269" s="86">
        <f t="shared" si="1902"/>
        <v>0</v>
      </c>
      <c r="S6269" s="86">
        <f t="shared" si="1903"/>
        <v>0</v>
      </c>
      <c r="T6269" s="86">
        <f t="shared" si="1904"/>
        <v>587.92999999999995</v>
      </c>
      <c r="U6269" s="87">
        <v>587.92999999999995</v>
      </c>
    </row>
    <row r="6270" spans="1:22" s="30" customFormat="1" ht="24.6" hidden="1" outlineLevel="1" x14ac:dyDescent="0.55000000000000004">
      <c r="A6270" s="27" t="s">
        <v>327</v>
      </c>
      <c r="B6270" s="28"/>
      <c r="C6270" s="27"/>
      <c r="D6270" s="27" t="str">
        <f>"""NAV Direct"",""CRONUS JetCorp USA"",""21"",""1"",""282306"""</f>
        <v>"NAV Direct","CRONUS JetCorp USA","21","1","282306"</v>
      </c>
      <c r="E6270" s="31" t="str">
        <f t="shared" si="1896"/>
        <v>C100520</v>
      </c>
      <c r="F6270" s="31"/>
      <c r="G6270" s="31"/>
      <c r="H6270" s="31"/>
      <c r="I6270" s="56"/>
      <c r="J6270" s="56"/>
      <c r="K6270" s="82" t="str">
        <f t="shared" si="1897"/>
        <v>Invoice</v>
      </c>
      <c r="L6270" s="83" t="str">
        <f>"SI_108643"</f>
        <v>SI_108643</v>
      </c>
      <c r="M6270" s="84">
        <v>42063</v>
      </c>
      <c r="N6270" s="85">
        <f t="shared" si="1898"/>
        <v>1749</v>
      </c>
      <c r="O6270" s="86">
        <f t="shared" si="1899"/>
        <v>776.06000000000006</v>
      </c>
      <c r="P6270" s="86">
        <f t="shared" si="1900"/>
        <v>0</v>
      </c>
      <c r="Q6270" s="86">
        <f t="shared" si="1901"/>
        <v>0</v>
      </c>
      <c r="R6270" s="86">
        <f t="shared" si="1902"/>
        <v>0</v>
      </c>
      <c r="S6270" s="86">
        <f t="shared" si="1903"/>
        <v>0</v>
      </c>
      <c r="T6270" s="86">
        <f t="shared" si="1904"/>
        <v>776.06000000000006</v>
      </c>
      <c r="U6270" s="87">
        <v>776.06000000000006</v>
      </c>
    </row>
    <row r="6271" spans="1:22" s="30" customFormat="1" ht="24.6" hidden="1" outlineLevel="1" x14ac:dyDescent="0.55000000000000004">
      <c r="A6271" s="27" t="s">
        <v>327</v>
      </c>
      <c r="B6271" s="28"/>
      <c r="C6271" s="27"/>
      <c r="D6271" s="27" t="str">
        <f>"""NAV Direct"",""CRONUS JetCorp USA"",""21"",""1"",""283674"""</f>
        <v>"NAV Direct","CRONUS JetCorp USA","21","1","283674"</v>
      </c>
      <c r="E6271" s="31">
        <f t="shared" si="1896"/>
        <v>0</v>
      </c>
      <c r="F6271" s="31"/>
      <c r="G6271" s="31"/>
      <c r="H6271" s="31"/>
      <c r="I6271" s="56"/>
      <c r="J6271" s="56"/>
      <c r="K6271" s="82" t="str">
        <f t="shared" si="1897"/>
        <v>Invoice</v>
      </c>
      <c r="L6271" s="83" t="str">
        <f>"SI_108696"</f>
        <v>SI_108696</v>
      </c>
      <c r="M6271" s="84">
        <v>42230</v>
      </c>
      <c r="N6271" s="85">
        <f t="shared" si="1898"/>
        <v>1582</v>
      </c>
      <c r="O6271" s="86">
        <f t="shared" si="1899"/>
        <v>939.08</v>
      </c>
      <c r="P6271" s="86">
        <f t="shared" si="1900"/>
        <v>0</v>
      </c>
      <c r="Q6271" s="86">
        <f t="shared" si="1901"/>
        <v>0</v>
      </c>
      <c r="R6271" s="86">
        <f t="shared" si="1902"/>
        <v>0</v>
      </c>
      <c r="S6271" s="86">
        <f t="shared" si="1903"/>
        <v>0</v>
      </c>
      <c r="T6271" s="86">
        <f t="shared" si="1904"/>
        <v>939.08</v>
      </c>
      <c r="U6271" s="87">
        <v>939.08</v>
      </c>
    </row>
    <row r="6272" spans="1:22" s="30" customFormat="1" ht="24.6" hidden="1" outlineLevel="1" x14ac:dyDescent="0.55000000000000004">
      <c r="A6272" s="27" t="s">
        <v>327</v>
      </c>
      <c r="B6272" s="28"/>
      <c r="C6272" s="27"/>
      <c r="D6272" s="27" t="str">
        <f>"""NAV Direct"",""CRONUS JetCorp USA"",""21"",""1"",""284193"""</f>
        <v>"NAV Direct","CRONUS JetCorp USA","21","1","284193"</v>
      </c>
      <c r="E6272" s="31" t="str">
        <f t="shared" si="1896"/>
        <v>C100520</v>
      </c>
      <c r="F6272" s="31"/>
      <c r="G6272" s="31"/>
      <c r="H6272" s="31"/>
      <c r="I6272" s="56"/>
      <c r="J6272" s="56"/>
      <c r="K6272" s="82" t="str">
        <f t="shared" si="1897"/>
        <v>Invoice</v>
      </c>
      <c r="L6272" s="83" t="str">
        <f>"SI_108714"</f>
        <v>SI_108714</v>
      </c>
      <c r="M6272" s="84">
        <v>42329</v>
      </c>
      <c r="N6272" s="85">
        <f t="shared" si="1898"/>
        <v>1483</v>
      </c>
      <c r="O6272" s="86">
        <f t="shared" si="1899"/>
        <v>1032.95</v>
      </c>
      <c r="P6272" s="86">
        <f t="shared" si="1900"/>
        <v>0</v>
      </c>
      <c r="Q6272" s="86">
        <f t="shared" si="1901"/>
        <v>0</v>
      </c>
      <c r="R6272" s="86">
        <f t="shared" si="1902"/>
        <v>0</v>
      </c>
      <c r="S6272" s="86">
        <f t="shared" si="1903"/>
        <v>0</v>
      </c>
      <c r="T6272" s="86">
        <f t="shared" si="1904"/>
        <v>1032.95</v>
      </c>
      <c r="U6272" s="87">
        <v>1032.95</v>
      </c>
    </row>
    <row r="6273" spans="1:21" s="30" customFormat="1" ht="24.6" hidden="1" outlineLevel="1" x14ac:dyDescent="0.55000000000000004">
      <c r="A6273" s="27" t="s">
        <v>327</v>
      </c>
      <c r="B6273" s="28"/>
      <c r="C6273" s="27"/>
      <c r="D6273" s="27" t="str">
        <f>"""NAV Direct"",""CRONUS JetCorp USA"",""21"",""1"",""284301"""</f>
        <v>"NAV Direct","CRONUS JetCorp USA","21","1","284301"</v>
      </c>
      <c r="E6273" s="31">
        <f t="shared" si="1896"/>
        <v>0</v>
      </c>
      <c r="F6273" s="31"/>
      <c r="G6273" s="31"/>
      <c r="H6273" s="31"/>
      <c r="I6273" s="56"/>
      <c r="J6273" s="56"/>
      <c r="K6273" s="82" t="str">
        <f t="shared" si="1897"/>
        <v>Invoice</v>
      </c>
      <c r="L6273" s="83" t="str">
        <f>"SI_108718"</f>
        <v>SI_108718</v>
      </c>
      <c r="M6273" s="84">
        <v>42326</v>
      </c>
      <c r="N6273" s="85">
        <f t="shared" si="1898"/>
        <v>1486</v>
      </c>
      <c r="O6273" s="86">
        <f t="shared" si="1899"/>
        <v>1033.02</v>
      </c>
      <c r="P6273" s="86">
        <f t="shared" si="1900"/>
        <v>0</v>
      </c>
      <c r="Q6273" s="86">
        <f t="shared" si="1901"/>
        <v>0</v>
      </c>
      <c r="R6273" s="86">
        <f t="shared" si="1902"/>
        <v>0</v>
      </c>
      <c r="S6273" s="86">
        <f t="shared" si="1903"/>
        <v>0</v>
      </c>
      <c r="T6273" s="86">
        <f t="shared" si="1904"/>
        <v>1033.02</v>
      </c>
      <c r="U6273" s="87">
        <v>1033.02</v>
      </c>
    </row>
    <row r="6274" spans="1:21" s="30" customFormat="1" ht="24.6" hidden="1" outlineLevel="1" x14ac:dyDescent="0.55000000000000004">
      <c r="A6274" s="27" t="s">
        <v>327</v>
      </c>
      <c r="B6274" s="28"/>
      <c r="C6274" s="27"/>
      <c r="D6274" s="27" t="str">
        <f>"""NAV Direct"",""CRONUS JetCorp USA"",""21"",""1"",""284541"""</f>
        <v>"NAV Direct","CRONUS JetCorp USA","21","1","284541"</v>
      </c>
      <c r="E6274" s="31" t="str">
        <f t="shared" si="1896"/>
        <v>C100520</v>
      </c>
      <c r="F6274" s="31"/>
      <c r="G6274" s="31"/>
      <c r="H6274" s="31"/>
      <c r="I6274" s="56"/>
      <c r="J6274" s="56"/>
      <c r="K6274" s="82" t="str">
        <f t="shared" si="1897"/>
        <v>Invoice</v>
      </c>
      <c r="L6274" s="83" t="str">
        <f>"SI_108727"</f>
        <v>SI_108727</v>
      </c>
      <c r="M6274" s="84">
        <v>42803</v>
      </c>
      <c r="N6274" s="85">
        <f t="shared" si="1898"/>
        <v>1009</v>
      </c>
      <c r="O6274" s="86">
        <f t="shared" si="1899"/>
        <v>1136.3699999999999</v>
      </c>
      <c r="P6274" s="86">
        <f t="shared" si="1900"/>
        <v>0</v>
      </c>
      <c r="Q6274" s="86">
        <f t="shared" si="1901"/>
        <v>0</v>
      </c>
      <c r="R6274" s="86">
        <f t="shared" si="1902"/>
        <v>0</v>
      </c>
      <c r="S6274" s="86">
        <f t="shared" si="1903"/>
        <v>0</v>
      </c>
      <c r="T6274" s="86">
        <f t="shared" si="1904"/>
        <v>1136.3699999999999</v>
      </c>
      <c r="U6274" s="87">
        <v>1136.3699999999999</v>
      </c>
    </row>
    <row r="6275" spans="1:21" s="30" customFormat="1" ht="24.6" hidden="1" outlineLevel="1" x14ac:dyDescent="0.55000000000000004">
      <c r="A6275" s="27" t="s">
        <v>327</v>
      </c>
      <c r="B6275" s="28"/>
      <c r="C6275" s="27"/>
      <c r="D6275" s="27" t="str">
        <f>"""NAV Direct"",""CRONUS JetCorp USA"",""21"",""1"",""284920"""</f>
        <v>"NAV Direct","CRONUS JetCorp USA","21","1","284920"</v>
      </c>
      <c r="E6275" s="31">
        <f t="shared" si="1896"/>
        <v>0</v>
      </c>
      <c r="F6275" s="31"/>
      <c r="G6275" s="31"/>
      <c r="H6275" s="31"/>
      <c r="I6275" s="56"/>
      <c r="J6275" s="56"/>
      <c r="K6275" s="82" t="str">
        <f t="shared" si="1897"/>
        <v>Invoice</v>
      </c>
      <c r="L6275" s="83" t="str">
        <f>"SI_108740"</f>
        <v>SI_108740</v>
      </c>
      <c r="M6275" s="84">
        <v>42768</v>
      </c>
      <c r="N6275" s="85">
        <f t="shared" si="1898"/>
        <v>1044</v>
      </c>
      <c r="O6275" s="86">
        <f t="shared" si="1899"/>
        <v>1136.21</v>
      </c>
      <c r="P6275" s="86">
        <f t="shared" si="1900"/>
        <v>0</v>
      </c>
      <c r="Q6275" s="86">
        <f t="shared" si="1901"/>
        <v>0</v>
      </c>
      <c r="R6275" s="86">
        <f t="shared" si="1902"/>
        <v>0</v>
      </c>
      <c r="S6275" s="86">
        <f t="shared" si="1903"/>
        <v>0</v>
      </c>
      <c r="T6275" s="86">
        <f t="shared" si="1904"/>
        <v>1136.21</v>
      </c>
      <c r="U6275" s="87">
        <v>1136.21</v>
      </c>
    </row>
    <row r="6276" spans="1:21" s="30" customFormat="1" ht="24.6" hidden="1" outlineLevel="1" x14ac:dyDescent="0.55000000000000004">
      <c r="A6276" s="27" t="s">
        <v>327</v>
      </c>
      <c r="B6276" s="28"/>
      <c r="C6276" s="27"/>
      <c r="D6276" s="27" t="str">
        <f>"""NAV Direct"",""CRONUS JetCorp USA"",""21"",""1"",""286075"""</f>
        <v>"NAV Direct","CRONUS JetCorp USA","21","1","286075"</v>
      </c>
      <c r="E6276" s="31" t="str">
        <f t="shared" si="1896"/>
        <v>C100520</v>
      </c>
      <c r="F6276" s="31"/>
      <c r="G6276" s="31"/>
      <c r="H6276" s="31"/>
      <c r="I6276" s="56"/>
      <c r="J6276" s="56"/>
      <c r="K6276" s="82" t="str">
        <f t="shared" si="1897"/>
        <v>Invoice</v>
      </c>
      <c r="L6276" s="83" t="str">
        <f>"SI_108782"</f>
        <v>SI_108782</v>
      </c>
      <c r="M6276" s="84">
        <v>42907</v>
      </c>
      <c r="N6276" s="85">
        <f t="shared" si="1898"/>
        <v>905</v>
      </c>
      <c r="O6276" s="86">
        <f t="shared" si="1899"/>
        <v>1249.97</v>
      </c>
      <c r="P6276" s="86">
        <f t="shared" si="1900"/>
        <v>0</v>
      </c>
      <c r="Q6276" s="86">
        <f t="shared" si="1901"/>
        <v>0</v>
      </c>
      <c r="R6276" s="86">
        <f t="shared" si="1902"/>
        <v>0</v>
      </c>
      <c r="S6276" s="86">
        <f t="shared" si="1903"/>
        <v>0</v>
      </c>
      <c r="T6276" s="86">
        <f t="shared" si="1904"/>
        <v>1249.97</v>
      </c>
      <c r="U6276" s="87">
        <v>1249.97</v>
      </c>
    </row>
    <row r="6277" spans="1:21" s="30" customFormat="1" ht="24.6" hidden="1" outlineLevel="1" x14ac:dyDescent="0.55000000000000004">
      <c r="A6277" s="27" t="s">
        <v>327</v>
      </c>
      <c r="B6277" s="28"/>
      <c r="C6277" s="27"/>
      <c r="D6277" s="27" t="str">
        <f>"""NAV Direct"",""CRONUS JetCorp USA"",""21"",""1"",""286421"""</f>
        <v>"NAV Direct","CRONUS JetCorp USA","21","1","286421"</v>
      </c>
      <c r="E6277" s="31">
        <f t="shared" si="1896"/>
        <v>0</v>
      </c>
      <c r="F6277" s="31"/>
      <c r="G6277" s="31"/>
      <c r="H6277" s="31"/>
      <c r="I6277" s="56"/>
      <c r="J6277" s="56"/>
      <c r="K6277" s="82" t="str">
        <f t="shared" si="1897"/>
        <v>Invoice</v>
      </c>
      <c r="L6277" s="83" t="str">
        <f>"SI_108793"</f>
        <v>SI_108793</v>
      </c>
      <c r="M6277" s="84">
        <v>42940</v>
      </c>
      <c r="N6277" s="85">
        <f t="shared" si="1898"/>
        <v>872</v>
      </c>
      <c r="O6277" s="86">
        <f t="shared" si="1899"/>
        <v>1374.8700000000001</v>
      </c>
      <c r="P6277" s="86">
        <f t="shared" si="1900"/>
        <v>0</v>
      </c>
      <c r="Q6277" s="86">
        <f t="shared" si="1901"/>
        <v>0</v>
      </c>
      <c r="R6277" s="86">
        <f t="shared" si="1902"/>
        <v>0</v>
      </c>
      <c r="S6277" s="86">
        <f t="shared" si="1903"/>
        <v>0</v>
      </c>
      <c r="T6277" s="86">
        <f t="shared" si="1904"/>
        <v>1374.8700000000001</v>
      </c>
      <c r="U6277" s="87">
        <v>1374.8700000000001</v>
      </c>
    </row>
    <row r="6278" spans="1:21" s="30" customFormat="1" ht="24.6" hidden="1" outlineLevel="1" x14ac:dyDescent="0.55000000000000004">
      <c r="A6278" s="27" t="s">
        <v>327</v>
      </c>
      <c r="B6278" s="28"/>
      <c r="C6278" s="27"/>
      <c r="D6278" s="27" t="str">
        <f>"""NAV Direct"",""CRONUS JetCorp USA"",""21"",""1"",""286643"""</f>
        <v>"NAV Direct","CRONUS JetCorp USA","21","1","286643"</v>
      </c>
      <c r="E6278" s="31" t="str">
        <f t="shared" si="1896"/>
        <v>C100520</v>
      </c>
      <c r="F6278" s="31"/>
      <c r="G6278" s="31"/>
      <c r="H6278" s="31"/>
      <c r="I6278" s="56"/>
      <c r="J6278" s="56"/>
      <c r="K6278" s="82" t="str">
        <f t="shared" si="1897"/>
        <v>Invoice</v>
      </c>
      <c r="L6278" s="83" t="str">
        <f>"SI_108800"</f>
        <v>SI_108800</v>
      </c>
      <c r="M6278" s="84">
        <v>42952</v>
      </c>
      <c r="N6278" s="85">
        <f t="shared" si="1898"/>
        <v>860</v>
      </c>
      <c r="O6278" s="86">
        <f t="shared" si="1899"/>
        <v>1374.86</v>
      </c>
      <c r="P6278" s="86">
        <f t="shared" si="1900"/>
        <v>0</v>
      </c>
      <c r="Q6278" s="86">
        <f t="shared" si="1901"/>
        <v>0</v>
      </c>
      <c r="R6278" s="86">
        <f t="shared" si="1902"/>
        <v>0</v>
      </c>
      <c r="S6278" s="86">
        <f t="shared" si="1903"/>
        <v>0</v>
      </c>
      <c r="T6278" s="86">
        <f t="shared" si="1904"/>
        <v>1374.86</v>
      </c>
      <c r="U6278" s="87">
        <v>1374.86</v>
      </c>
    </row>
    <row r="6279" spans="1:21" s="30" customFormat="1" ht="24.6" hidden="1" outlineLevel="1" x14ac:dyDescent="0.55000000000000004">
      <c r="A6279" s="27" t="s">
        <v>327</v>
      </c>
      <c r="B6279" s="28"/>
      <c r="C6279" s="27"/>
      <c r="D6279" s="27" t="str">
        <f>"""NAV Direct"",""CRONUS JetCorp USA"",""21"",""1"",""287610"""</f>
        <v>"NAV Direct","CRONUS JetCorp USA","21","1","287610"</v>
      </c>
      <c r="E6279" s="31">
        <f t="shared" si="1896"/>
        <v>0</v>
      </c>
      <c r="F6279" s="31"/>
      <c r="G6279" s="31"/>
      <c r="H6279" s="31"/>
      <c r="I6279" s="56"/>
      <c r="J6279" s="56"/>
      <c r="K6279" s="82" t="str">
        <f t="shared" si="1897"/>
        <v>Invoice</v>
      </c>
      <c r="L6279" s="83" t="str">
        <f>"SI_108835"</f>
        <v>SI_108835</v>
      </c>
      <c r="M6279" s="84">
        <v>43058</v>
      </c>
      <c r="N6279" s="85">
        <f t="shared" si="1898"/>
        <v>754</v>
      </c>
      <c r="O6279" s="86">
        <f t="shared" si="1899"/>
        <v>1512.45</v>
      </c>
      <c r="P6279" s="86">
        <f t="shared" si="1900"/>
        <v>0</v>
      </c>
      <c r="Q6279" s="86">
        <f t="shared" si="1901"/>
        <v>0</v>
      </c>
      <c r="R6279" s="86">
        <f t="shared" si="1902"/>
        <v>0</v>
      </c>
      <c r="S6279" s="86">
        <f t="shared" si="1903"/>
        <v>0</v>
      </c>
      <c r="T6279" s="86">
        <f t="shared" si="1904"/>
        <v>1512.45</v>
      </c>
      <c r="U6279" s="87">
        <v>1512.45</v>
      </c>
    </row>
    <row r="6280" spans="1:21" s="30" customFormat="1" ht="24.6" hidden="1" outlineLevel="1" x14ac:dyDescent="0.55000000000000004">
      <c r="A6280" s="27" t="s">
        <v>327</v>
      </c>
      <c r="B6280" s="28"/>
      <c r="C6280" s="27"/>
      <c r="D6280" s="27" t="str">
        <f>"""NAV Direct"",""CRONUS JetCorp USA"",""21"",""1"",""288364"""</f>
        <v>"NAV Direct","CRONUS JetCorp USA","21","1","288364"</v>
      </c>
      <c r="E6280" s="31" t="str">
        <f t="shared" si="1896"/>
        <v>C100520</v>
      </c>
      <c r="F6280" s="31"/>
      <c r="G6280" s="31"/>
      <c r="H6280" s="31"/>
      <c r="I6280" s="56"/>
      <c r="J6280" s="56"/>
      <c r="K6280" s="82" t="str">
        <f t="shared" si="1897"/>
        <v>Invoice</v>
      </c>
      <c r="L6280" s="83" t="str">
        <f>"SI_108861"</f>
        <v>SI_108861</v>
      </c>
      <c r="M6280" s="84">
        <v>43137</v>
      </c>
      <c r="N6280" s="85">
        <f t="shared" si="1898"/>
        <v>675</v>
      </c>
      <c r="O6280" s="86">
        <f t="shared" si="1899"/>
        <v>1663.5800000000002</v>
      </c>
      <c r="P6280" s="86">
        <f t="shared" si="1900"/>
        <v>0</v>
      </c>
      <c r="Q6280" s="86">
        <f t="shared" si="1901"/>
        <v>0</v>
      </c>
      <c r="R6280" s="86">
        <f t="shared" si="1902"/>
        <v>0</v>
      </c>
      <c r="S6280" s="86">
        <f t="shared" si="1903"/>
        <v>0</v>
      </c>
      <c r="T6280" s="86">
        <f t="shared" si="1904"/>
        <v>1663.5800000000002</v>
      </c>
      <c r="U6280" s="87">
        <v>1663.5800000000002</v>
      </c>
    </row>
    <row r="6281" spans="1:21" s="30" customFormat="1" ht="24.6" hidden="1" outlineLevel="1" x14ac:dyDescent="0.55000000000000004">
      <c r="A6281" s="27" t="s">
        <v>327</v>
      </c>
      <c r="B6281" s="28"/>
      <c r="C6281" s="27"/>
      <c r="D6281" s="27" t="str">
        <f>"""NAV Direct"",""CRONUS JetCorp USA"",""21"",""1"",""288782"""</f>
        <v>"NAV Direct","CRONUS JetCorp USA","21","1","288782"</v>
      </c>
      <c r="E6281" s="31">
        <f t="shared" si="1896"/>
        <v>0</v>
      </c>
      <c r="F6281" s="31"/>
      <c r="G6281" s="31"/>
      <c r="H6281" s="31"/>
      <c r="I6281" s="56"/>
      <c r="J6281" s="56"/>
      <c r="K6281" s="82" t="str">
        <f t="shared" si="1897"/>
        <v>Invoice</v>
      </c>
      <c r="L6281" s="83" t="str">
        <f>"SI_108875"</f>
        <v>SI_108875</v>
      </c>
      <c r="M6281" s="84">
        <v>43155</v>
      </c>
      <c r="N6281" s="85">
        <f t="shared" si="1898"/>
        <v>657</v>
      </c>
      <c r="O6281" s="86">
        <f t="shared" si="1899"/>
        <v>1663.7200000000003</v>
      </c>
      <c r="P6281" s="86">
        <f t="shared" si="1900"/>
        <v>0</v>
      </c>
      <c r="Q6281" s="86">
        <f t="shared" si="1901"/>
        <v>0</v>
      </c>
      <c r="R6281" s="86">
        <f t="shared" si="1902"/>
        <v>0</v>
      </c>
      <c r="S6281" s="86">
        <f t="shared" si="1903"/>
        <v>0</v>
      </c>
      <c r="T6281" s="86">
        <f t="shared" si="1904"/>
        <v>1663.7200000000003</v>
      </c>
      <c r="U6281" s="87">
        <v>1663.7200000000003</v>
      </c>
    </row>
    <row r="6282" spans="1:21" s="30" customFormat="1" ht="24.6" hidden="1" outlineLevel="1" x14ac:dyDescent="0.55000000000000004">
      <c r="A6282" s="27" t="s">
        <v>327</v>
      </c>
      <c r="B6282" s="28"/>
      <c r="C6282" s="27"/>
      <c r="D6282" s="27" t="str">
        <f>"""NAV Direct"",""CRONUS JetCorp USA"",""21"",""1"",""288915"""</f>
        <v>"NAV Direct","CRONUS JetCorp USA","21","1","288915"</v>
      </c>
      <c r="E6282" s="31" t="str">
        <f t="shared" si="1896"/>
        <v>C100520</v>
      </c>
      <c r="F6282" s="31"/>
      <c r="G6282" s="31"/>
      <c r="H6282" s="31"/>
      <c r="I6282" s="56"/>
      <c r="J6282" s="56"/>
      <c r="K6282" s="82" t="str">
        <f t="shared" si="1897"/>
        <v>Invoice</v>
      </c>
      <c r="L6282" s="83" t="str">
        <f>"SI_108879"</f>
        <v>SI_108879</v>
      </c>
      <c r="M6282" s="84">
        <v>43146</v>
      </c>
      <c r="N6282" s="85">
        <f t="shared" si="1898"/>
        <v>666</v>
      </c>
      <c r="O6282" s="86">
        <f t="shared" si="1899"/>
        <v>1663.77</v>
      </c>
      <c r="P6282" s="86">
        <f t="shared" si="1900"/>
        <v>0</v>
      </c>
      <c r="Q6282" s="86">
        <f t="shared" si="1901"/>
        <v>0</v>
      </c>
      <c r="R6282" s="86">
        <f t="shared" si="1902"/>
        <v>0</v>
      </c>
      <c r="S6282" s="86">
        <f t="shared" si="1903"/>
        <v>0</v>
      </c>
      <c r="T6282" s="86">
        <f t="shared" si="1904"/>
        <v>1663.77</v>
      </c>
      <c r="U6282" s="87">
        <v>1663.77</v>
      </c>
    </row>
    <row r="6283" spans="1:21" s="30" customFormat="1" ht="24.6" hidden="1" outlineLevel="1" x14ac:dyDescent="0.55000000000000004">
      <c r="A6283" s="27" t="s">
        <v>327</v>
      </c>
      <c r="B6283" s="28"/>
      <c r="C6283" s="27"/>
      <c r="D6283" s="27" t="str">
        <f>"""NAV Direct"",""CRONUS JetCorp USA"",""21"",""1"",""290943"""</f>
        <v>"NAV Direct","CRONUS JetCorp USA","21","1","290943"</v>
      </c>
      <c r="E6283" s="31">
        <f t="shared" si="1896"/>
        <v>0</v>
      </c>
      <c r="F6283" s="31"/>
      <c r="G6283" s="31"/>
      <c r="H6283" s="31"/>
      <c r="I6283" s="56"/>
      <c r="J6283" s="56"/>
      <c r="K6283" s="82" t="str">
        <f t="shared" si="1897"/>
        <v>Invoice</v>
      </c>
      <c r="L6283" s="83" t="str">
        <f>"SI_108946"</f>
        <v>SI_108946</v>
      </c>
      <c r="M6283" s="84">
        <v>43336</v>
      </c>
      <c r="N6283" s="85">
        <f t="shared" si="1898"/>
        <v>476</v>
      </c>
      <c r="O6283" s="86">
        <f t="shared" si="1899"/>
        <v>2013.15</v>
      </c>
      <c r="P6283" s="86">
        <f t="shared" si="1900"/>
        <v>0</v>
      </c>
      <c r="Q6283" s="86">
        <f t="shared" si="1901"/>
        <v>0</v>
      </c>
      <c r="R6283" s="86">
        <f t="shared" si="1902"/>
        <v>0</v>
      </c>
      <c r="S6283" s="86">
        <f t="shared" si="1903"/>
        <v>0</v>
      </c>
      <c r="T6283" s="86">
        <f t="shared" si="1904"/>
        <v>2013.15</v>
      </c>
      <c r="U6283" s="87">
        <v>2013.15</v>
      </c>
    </row>
    <row r="6284" spans="1:21" s="30" customFormat="1" ht="24.6" hidden="1" outlineLevel="1" x14ac:dyDescent="0.55000000000000004">
      <c r="A6284" s="27" t="s">
        <v>327</v>
      </c>
      <c r="B6284" s="28"/>
      <c r="C6284" s="27"/>
      <c r="D6284" s="27" t="str">
        <f>"""NAV Direct"",""CRONUS JetCorp USA"",""21"",""1"",""291137"""</f>
        <v>"NAV Direct","CRONUS JetCorp USA","21","1","291137"</v>
      </c>
      <c r="E6284" s="31" t="str">
        <f t="shared" si="1896"/>
        <v>C100520</v>
      </c>
      <c r="F6284" s="31"/>
      <c r="G6284" s="31"/>
      <c r="H6284" s="31"/>
      <c r="I6284" s="56"/>
      <c r="J6284" s="56"/>
      <c r="K6284" s="82" t="str">
        <f t="shared" si="1897"/>
        <v>Invoice</v>
      </c>
      <c r="L6284" s="83" t="str">
        <f>"SI_108953"</f>
        <v>SI_108953</v>
      </c>
      <c r="M6284" s="84">
        <v>43344</v>
      </c>
      <c r="N6284" s="85">
        <f t="shared" si="1898"/>
        <v>468</v>
      </c>
      <c r="O6284" s="86">
        <f t="shared" si="1899"/>
        <v>2013.11</v>
      </c>
      <c r="P6284" s="86">
        <f t="shared" si="1900"/>
        <v>0</v>
      </c>
      <c r="Q6284" s="86">
        <f t="shared" si="1901"/>
        <v>0</v>
      </c>
      <c r="R6284" s="86">
        <f t="shared" si="1902"/>
        <v>0</v>
      </c>
      <c r="S6284" s="86">
        <f t="shared" si="1903"/>
        <v>0</v>
      </c>
      <c r="T6284" s="86">
        <f t="shared" si="1904"/>
        <v>2013.11</v>
      </c>
      <c r="U6284" s="87">
        <v>2013.11</v>
      </c>
    </row>
    <row r="6285" spans="1:21" s="30" customFormat="1" ht="24.6" hidden="1" outlineLevel="1" x14ac:dyDescent="0.55000000000000004">
      <c r="A6285" s="27" t="s">
        <v>327</v>
      </c>
      <c r="B6285" s="28"/>
      <c r="C6285" s="27"/>
      <c r="D6285" s="27" t="str">
        <f>"""NAV Direct"",""CRONUS JetCorp USA"",""21"",""1"",""291554"""</f>
        <v>"NAV Direct","CRONUS JetCorp USA","21","1","291554"</v>
      </c>
      <c r="E6285" s="31">
        <f t="shared" si="1896"/>
        <v>0</v>
      </c>
      <c r="F6285" s="31"/>
      <c r="G6285" s="31"/>
      <c r="H6285" s="31"/>
      <c r="I6285" s="56"/>
      <c r="J6285" s="56"/>
      <c r="K6285" s="82" t="str">
        <f t="shared" si="1897"/>
        <v>Invoice</v>
      </c>
      <c r="L6285" s="83" t="str">
        <f>"SI_108966"</f>
        <v>SI_108966</v>
      </c>
      <c r="M6285" s="84">
        <v>43366</v>
      </c>
      <c r="N6285" s="85">
        <f t="shared" si="1898"/>
        <v>446</v>
      </c>
      <c r="O6285" s="86">
        <f t="shared" si="1899"/>
        <v>2012.96</v>
      </c>
      <c r="P6285" s="86">
        <f t="shared" si="1900"/>
        <v>0</v>
      </c>
      <c r="Q6285" s="86">
        <f t="shared" si="1901"/>
        <v>0</v>
      </c>
      <c r="R6285" s="86">
        <f t="shared" si="1902"/>
        <v>0</v>
      </c>
      <c r="S6285" s="86">
        <f t="shared" si="1903"/>
        <v>0</v>
      </c>
      <c r="T6285" s="86">
        <f t="shared" si="1904"/>
        <v>2012.96</v>
      </c>
      <c r="U6285" s="87">
        <v>2012.96</v>
      </c>
    </row>
    <row r="6286" spans="1:21" s="30" customFormat="1" ht="24.6" hidden="1" outlineLevel="1" x14ac:dyDescent="0.55000000000000004">
      <c r="A6286" s="27" t="s">
        <v>327</v>
      </c>
      <c r="B6286" s="28"/>
      <c r="C6286" s="27"/>
      <c r="D6286" s="27" t="str">
        <f>"""NAV Direct"",""CRONUS JetCorp USA"",""21"",""1"",""291641"""</f>
        <v>"NAV Direct","CRONUS JetCorp USA","21","1","291641"</v>
      </c>
      <c r="E6286" s="31" t="str">
        <f t="shared" si="1896"/>
        <v>C100520</v>
      </c>
      <c r="F6286" s="31"/>
      <c r="G6286" s="31"/>
      <c r="H6286" s="31"/>
      <c r="I6286" s="56"/>
      <c r="J6286" s="56"/>
      <c r="K6286" s="82" t="str">
        <f t="shared" si="1897"/>
        <v>Invoice</v>
      </c>
      <c r="L6286" s="83" t="str">
        <f>"SI_108969"</f>
        <v>SI_108969</v>
      </c>
      <c r="M6286" s="84">
        <v>43353</v>
      </c>
      <c r="N6286" s="85">
        <f t="shared" si="1898"/>
        <v>459</v>
      </c>
      <c r="O6286" s="86">
        <f t="shared" si="1899"/>
        <v>2013.0900000000001</v>
      </c>
      <c r="P6286" s="86">
        <f t="shared" si="1900"/>
        <v>0</v>
      </c>
      <c r="Q6286" s="86">
        <f t="shared" si="1901"/>
        <v>0</v>
      </c>
      <c r="R6286" s="86">
        <f t="shared" si="1902"/>
        <v>0</v>
      </c>
      <c r="S6286" s="86">
        <f t="shared" si="1903"/>
        <v>0</v>
      </c>
      <c r="T6286" s="86">
        <f t="shared" si="1904"/>
        <v>2013.0900000000001</v>
      </c>
      <c r="U6286" s="87">
        <v>2013.0900000000001</v>
      </c>
    </row>
    <row r="6287" spans="1:21" s="30" customFormat="1" ht="24.6" hidden="1" outlineLevel="1" x14ac:dyDescent="0.55000000000000004">
      <c r="A6287" s="27" t="s">
        <v>327</v>
      </c>
      <c r="B6287" s="28"/>
      <c r="C6287" s="27"/>
      <c r="D6287" s="27" t="str">
        <f>"""NAV Direct"",""CRONUS JetCorp USA"",""21"",""1"",""291670"""</f>
        <v>"NAV Direct","CRONUS JetCorp USA","21","1","291670"</v>
      </c>
      <c r="E6287" s="31">
        <f t="shared" si="1896"/>
        <v>0</v>
      </c>
      <c r="F6287" s="31"/>
      <c r="G6287" s="31"/>
      <c r="H6287" s="31"/>
      <c r="I6287" s="56"/>
      <c r="J6287" s="56"/>
      <c r="K6287" s="82" t="str">
        <f t="shared" si="1897"/>
        <v>Invoice</v>
      </c>
      <c r="L6287" s="83" t="str">
        <f>"SI_108970"</f>
        <v>SI_108970</v>
      </c>
      <c r="M6287" s="84">
        <v>43351</v>
      </c>
      <c r="N6287" s="85">
        <f t="shared" si="1898"/>
        <v>461</v>
      </c>
      <c r="O6287" s="86">
        <f t="shared" si="1899"/>
        <v>2013.04</v>
      </c>
      <c r="P6287" s="86">
        <f t="shared" si="1900"/>
        <v>0</v>
      </c>
      <c r="Q6287" s="86">
        <f t="shared" si="1901"/>
        <v>0</v>
      </c>
      <c r="R6287" s="86">
        <f t="shared" si="1902"/>
        <v>0</v>
      </c>
      <c r="S6287" s="86">
        <f t="shared" si="1903"/>
        <v>0</v>
      </c>
      <c r="T6287" s="86">
        <f t="shared" si="1904"/>
        <v>2013.04</v>
      </c>
      <c r="U6287" s="87">
        <v>2013.04</v>
      </c>
    </row>
    <row r="6288" spans="1:21" s="30" customFormat="1" ht="24.6" hidden="1" outlineLevel="1" x14ac:dyDescent="0.55000000000000004">
      <c r="A6288" s="27" t="s">
        <v>327</v>
      </c>
      <c r="B6288" s="28"/>
      <c r="C6288" s="27"/>
      <c r="D6288" s="27" t="str">
        <f>"""NAV Direct"",""CRONUS JetCorp USA"",""21"",""1"",""291720"""</f>
        <v>"NAV Direct","CRONUS JetCorp USA","21","1","291720"</v>
      </c>
      <c r="E6288" s="31" t="str">
        <f t="shared" si="1896"/>
        <v>C100520</v>
      </c>
      <c r="F6288" s="31"/>
      <c r="G6288" s="31"/>
      <c r="H6288" s="31"/>
      <c r="I6288" s="56"/>
      <c r="J6288" s="56"/>
      <c r="K6288" s="82" t="str">
        <f t="shared" si="1897"/>
        <v>Invoice</v>
      </c>
      <c r="L6288" s="83" t="str">
        <f>"SI_108972"</f>
        <v>SI_108972</v>
      </c>
      <c r="M6288" s="84">
        <v>43344</v>
      </c>
      <c r="N6288" s="85">
        <f t="shared" si="1898"/>
        <v>468</v>
      </c>
      <c r="O6288" s="86">
        <f t="shared" si="1899"/>
        <v>2013.08</v>
      </c>
      <c r="P6288" s="86">
        <f t="shared" si="1900"/>
        <v>0</v>
      </c>
      <c r="Q6288" s="86">
        <f t="shared" si="1901"/>
        <v>0</v>
      </c>
      <c r="R6288" s="86">
        <f t="shared" si="1902"/>
        <v>0</v>
      </c>
      <c r="S6288" s="86">
        <f t="shared" si="1903"/>
        <v>0</v>
      </c>
      <c r="T6288" s="86">
        <f t="shared" si="1904"/>
        <v>2013.08</v>
      </c>
      <c r="U6288" s="87">
        <v>2013.08</v>
      </c>
    </row>
    <row r="6289" spans="1:22" s="30" customFormat="1" ht="24.6" hidden="1" outlineLevel="1" x14ac:dyDescent="0.55000000000000004">
      <c r="A6289" s="27" t="s">
        <v>327</v>
      </c>
      <c r="B6289" s="28"/>
      <c r="C6289" s="27"/>
      <c r="D6289" s="27" t="str">
        <f>"""NAV Direct"",""CRONUS JetCorp USA"",""21"",""1"",""291987"""</f>
        <v>"NAV Direct","CRONUS JetCorp USA","21","1","291987"</v>
      </c>
      <c r="E6289" s="31">
        <f t="shared" si="1896"/>
        <v>0</v>
      </c>
      <c r="F6289" s="31"/>
      <c r="G6289" s="31"/>
      <c r="H6289" s="31"/>
      <c r="I6289" s="56"/>
      <c r="J6289" s="56"/>
      <c r="K6289" s="82" t="str">
        <f t="shared" si="1897"/>
        <v>Invoice</v>
      </c>
      <c r="L6289" s="83" t="str">
        <f>"SI_108982"</f>
        <v>SI_108982</v>
      </c>
      <c r="M6289" s="84">
        <v>43408</v>
      </c>
      <c r="N6289" s="85">
        <f t="shared" si="1898"/>
        <v>404</v>
      </c>
      <c r="O6289" s="86">
        <f t="shared" si="1899"/>
        <v>2214.48</v>
      </c>
      <c r="P6289" s="86">
        <f t="shared" si="1900"/>
        <v>0</v>
      </c>
      <c r="Q6289" s="86">
        <f t="shared" si="1901"/>
        <v>0</v>
      </c>
      <c r="R6289" s="86">
        <f t="shared" si="1902"/>
        <v>0</v>
      </c>
      <c r="S6289" s="86">
        <f t="shared" si="1903"/>
        <v>0</v>
      </c>
      <c r="T6289" s="86">
        <f t="shared" si="1904"/>
        <v>2214.48</v>
      </c>
      <c r="U6289" s="87">
        <v>2214.48</v>
      </c>
    </row>
    <row r="6290" spans="1:22" s="30" customFormat="1" ht="24.6" hidden="1" outlineLevel="1" x14ac:dyDescent="0.55000000000000004">
      <c r="A6290" s="27" t="s">
        <v>327</v>
      </c>
      <c r="B6290" s="28"/>
      <c r="C6290" s="27"/>
      <c r="D6290" s="27" t="str">
        <f>"""NAV Direct"",""CRONUS JetCorp USA"",""21"",""1"",""292082"""</f>
        <v>"NAV Direct","CRONUS JetCorp USA","21","1","292082"</v>
      </c>
      <c r="E6290" s="31" t="str">
        <f t="shared" si="1896"/>
        <v>C100520</v>
      </c>
      <c r="F6290" s="31"/>
      <c r="G6290" s="31"/>
      <c r="H6290" s="31"/>
      <c r="I6290" s="56"/>
      <c r="J6290" s="56"/>
      <c r="K6290" s="82" t="str">
        <f t="shared" si="1897"/>
        <v>Invoice</v>
      </c>
      <c r="L6290" s="83" t="str">
        <f>"SI_108985"</f>
        <v>SI_108985</v>
      </c>
      <c r="M6290" s="84">
        <v>43409</v>
      </c>
      <c r="N6290" s="85">
        <f t="shared" si="1898"/>
        <v>403</v>
      </c>
      <c r="O6290" s="86">
        <f t="shared" si="1899"/>
        <v>2214.29</v>
      </c>
      <c r="P6290" s="86">
        <f t="shared" si="1900"/>
        <v>0</v>
      </c>
      <c r="Q6290" s="86">
        <f t="shared" si="1901"/>
        <v>0</v>
      </c>
      <c r="R6290" s="86">
        <f t="shared" si="1902"/>
        <v>0</v>
      </c>
      <c r="S6290" s="86">
        <f t="shared" si="1903"/>
        <v>0</v>
      </c>
      <c r="T6290" s="86">
        <f t="shared" si="1904"/>
        <v>2214.29</v>
      </c>
      <c r="U6290" s="87">
        <v>2214.29</v>
      </c>
    </row>
    <row r="6291" spans="1:22" s="30" customFormat="1" ht="24.6" hidden="1" outlineLevel="1" x14ac:dyDescent="0.55000000000000004">
      <c r="A6291" s="27" t="s">
        <v>327</v>
      </c>
      <c r="B6291" s="28"/>
      <c r="C6291" s="27"/>
      <c r="D6291" s="27" t="str">
        <f>"""NAV Direct"",""CRONUS JetCorp USA"",""21"",""1"",""293867"""</f>
        <v>"NAV Direct","CRONUS JetCorp USA","21","1","293867"</v>
      </c>
      <c r="E6291" s="31">
        <f t="shared" si="1896"/>
        <v>0</v>
      </c>
      <c r="F6291" s="31"/>
      <c r="G6291" s="31"/>
      <c r="H6291" s="31"/>
      <c r="I6291" s="56"/>
      <c r="J6291" s="56"/>
      <c r="K6291" s="82" t="str">
        <f t="shared" si="1897"/>
        <v>Invoice</v>
      </c>
      <c r="L6291" s="83" t="str">
        <f>"SI_109045"</f>
        <v>SI_109045</v>
      </c>
      <c r="M6291" s="84">
        <v>43507</v>
      </c>
      <c r="N6291" s="85">
        <f t="shared" si="1898"/>
        <v>305</v>
      </c>
      <c r="O6291" s="86">
        <f t="shared" si="1899"/>
        <v>2435.92</v>
      </c>
      <c r="P6291" s="86">
        <f t="shared" si="1900"/>
        <v>0</v>
      </c>
      <c r="Q6291" s="86">
        <f t="shared" si="1901"/>
        <v>0</v>
      </c>
      <c r="R6291" s="86">
        <f t="shared" si="1902"/>
        <v>0</v>
      </c>
      <c r="S6291" s="86">
        <f t="shared" si="1903"/>
        <v>0</v>
      </c>
      <c r="T6291" s="86">
        <f t="shared" si="1904"/>
        <v>2435.92</v>
      </c>
      <c r="U6291" s="87">
        <v>2435.92</v>
      </c>
    </row>
    <row r="6292" spans="1:22" s="30" customFormat="1" ht="24.6" hidden="1" outlineLevel="1" x14ac:dyDescent="0.55000000000000004">
      <c r="A6292" s="27" t="s">
        <v>327</v>
      </c>
      <c r="B6292" s="28"/>
      <c r="C6292" s="27"/>
      <c r="D6292" s="27" t="str">
        <f>"""NAV Direct"",""CRONUS JetCorp USA"",""21"",""1"",""295296"""</f>
        <v>"NAV Direct","CRONUS JetCorp USA","21","1","295296"</v>
      </c>
      <c r="E6292" s="31" t="str">
        <f t="shared" si="1896"/>
        <v>C100520</v>
      </c>
      <c r="F6292" s="31"/>
      <c r="G6292" s="31"/>
      <c r="H6292" s="31"/>
      <c r="I6292" s="56"/>
      <c r="J6292" s="56"/>
      <c r="K6292" s="82" t="str">
        <f t="shared" si="1897"/>
        <v>Invoice</v>
      </c>
      <c r="L6292" s="83" t="str">
        <f>"SI_109090"</f>
        <v>SI_109090</v>
      </c>
      <c r="M6292" s="84">
        <v>43614</v>
      </c>
      <c r="N6292" s="85">
        <f t="shared" si="1898"/>
        <v>198</v>
      </c>
      <c r="O6292" s="86">
        <f t="shared" si="1899"/>
        <v>2679.48</v>
      </c>
      <c r="P6292" s="86">
        <f t="shared" si="1900"/>
        <v>0</v>
      </c>
      <c r="Q6292" s="86">
        <f t="shared" si="1901"/>
        <v>0</v>
      </c>
      <c r="R6292" s="86">
        <f t="shared" si="1902"/>
        <v>0</v>
      </c>
      <c r="S6292" s="86">
        <f t="shared" si="1903"/>
        <v>0</v>
      </c>
      <c r="T6292" s="86">
        <f t="shared" si="1904"/>
        <v>2679.48</v>
      </c>
      <c r="U6292" s="87">
        <v>2679.48</v>
      </c>
    </row>
    <row r="6293" spans="1:22" s="30" customFormat="1" ht="24.6" hidden="1" outlineLevel="1" x14ac:dyDescent="0.55000000000000004">
      <c r="A6293" s="27" t="s">
        <v>327</v>
      </c>
      <c r="B6293" s="28"/>
      <c r="C6293" s="27"/>
      <c r="D6293" s="27" t="str">
        <f>"""NAV Direct"",""CRONUS JetCorp USA"",""21"",""1"",""296425"""</f>
        <v>"NAV Direct","CRONUS JetCorp USA","21","1","296425"</v>
      </c>
      <c r="E6293" s="31">
        <f t="shared" si="1896"/>
        <v>0</v>
      </c>
      <c r="F6293" s="31"/>
      <c r="G6293" s="31"/>
      <c r="H6293" s="31"/>
      <c r="I6293" s="56"/>
      <c r="J6293" s="56"/>
      <c r="K6293" s="82" t="str">
        <f t="shared" si="1897"/>
        <v>Invoice</v>
      </c>
      <c r="L6293" s="83" t="str">
        <f>"SI_109124"</f>
        <v>SI_109124</v>
      </c>
      <c r="M6293" s="84">
        <v>43685</v>
      </c>
      <c r="N6293" s="85">
        <f t="shared" si="1898"/>
        <v>127</v>
      </c>
      <c r="O6293" s="86">
        <f t="shared" si="1899"/>
        <v>2947.35</v>
      </c>
      <c r="P6293" s="86">
        <f t="shared" si="1900"/>
        <v>0</v>
      </c>
      <c r="Q6293" s="86">
        <f t="shared" si="1901"/>
        <v>0</v>
      </c>
      <c r="R6293" s="86">
        <f t="shared" si="1902"/>
        <v>0</v>
      </c>
      <c r="S6293" s="86">
        <f t="shared" si="1903"/>
        <v>0</v>
      </c>
      <c r="T6293" s="86">
        <f t="shared" si="1904"/>
        <v>2947.35</v>
      </c>
      <c r="U6293" s="87">
        <v>2947.35</v>
      </c>
    </row>
    <row r="6294" spans="1:22" s="30" customFormat="1" ht="24.6" hidden="1" outlineLevel="1" x14ac:dyDescent="0.55000000000000004">
      <c r="A6294" s="27" t="s">
        <v>327</v>
      </c>
      <c r="B6294" s="28"/>
      <c r="C6294" s="27"/>
      <c r="D6294" s="27" t="str">
        <f>"""NAV Direct"",""CRONUS JetCorp USA"",""21"",""1"",""296797"""</f>
        <v>"NAV Direct","CRONUS JetCorp USA","21","1","296797"</v>
      </c>
      <c r="E6294" s="31" t="str">
        <f t="shared" si="1896"/>
        <v>C100520</v>
      </c>
      <c r="F6294" s="31"/>
      <c r="G6294" s="31"/>
      <c r="H6294" s="31"/>
      <c r="I6294" s="56"/>
      <c r="J6294" s="56"/>
      <c r="K6294" s="82" t="str">
        <f t="shared" si="1897"/>
        <v>Invoice</v>
      </c>
      <c r="L6294" s="83" t="str">
        <f>"SI_109135"</f>
        <v>SI_109135</v>
      </c>
      <c r="M6294" s="84">
        <v>43698</v>
      </c>
      <c r="N6294" s="85">
        <f t="shared" si="1898"/>
        <v>114</v>
      </c>
      <c r="O6294" s="86">
        <f t="shared" si="1899"/>
        <v>2947.47</v>
      </c>
      <c r="P6294" s="86">
        <f t="shared" si="1900"/>
        <v>0</v>
      </c>
      <c r="Q6294" s="86">
        <f t="shared" si="1901"/>
        <v>0</v>
      </c>
      <c r="R6294" s="86">
        <f t="shared" si="1902"/>
        <v>0</v>
      </c>
      <c r="S6294" s="86">
        <f t="shared" si="1903"/>
        <v>0</v>
      </c>
      <c r="T6294" s="86">
        <f t="shared" si="1904"/>
        <v>2947.47</v>
      </c>
      <c r="U6294" s="87">
        <v>2947.47</v>
      </c>
    </row>
    <row r="6295" spans="1:22" s="30" customFormat="1" ht="24.6" hidden="1" outlineLevel="1" x14ac:dyDescent="0.55000000000000004">
      <c r="A6295" s="27" t="s">
        <v>327</v>
      </c>
      <c r="B6295" s="28"/>
      <c r="C6295" s="27"/>
      <c r="D6295" s="27" t="str">
        <f>"""NAV Direct"",""CRONUS JetCorp USA"",""21"",""1"",""297380"""</f>
        <v>"NAV Direct","CRONUS JetCorp USA","21","1","297380"</v>
      </c>
      <c r="E6295" s="31">
        <f t="shared" si="1896"/>
        <v>0</v>
      </c>
      <c r="F6295" s="31"/>
      <c r="G6295" s="31"/>
      <c r="H6295" s="31"/>
      <c r="I6295" s="56"/>
      <c r="J6295" s="56"/>
      <c r="K6295" s="82" t="str">
        <f t="shared" si="1897"/>
        <v>Invoice</v>
      </c>
      <c r="L6295" s="83" t="str">
        <f>"SI_109154"</f>
        <v>SI_109154</v>
      </c>
      <c r="M6295" s="84">
        <v>43718</v>
      </c>
      <c r="N6295" s="85">
        <f t="shared" si="1898"/>
        <v>94</v>
      </c>
      <c r="O6295" s="86">
        <f t="shared" si="1899"/>
        <v>2947.28</v>
      </c>
      <c r="P6295" s="86">
        <f t="shared" si="1900"/>
        <v>0</v>
      </c>
      <c r="Q6295" s="86">
        <f t="shared" si="1901"/>
        <v>0</v>
      </c>
      <c r="R6295" s="86">
        <f t="shared" si="1902"/>
        <v>0</v>
      </c>
      <c r="S6295" s="86">
        <f t="shared" si="1903"/>
        <v>0</v>
      </c>
      <c r="T6295" s="86">
        <f t="shared" si="1904"/>
        <v>2947.28</v>
      </c>
      <c r="U6295" s="87">
        <v>2947.28</v>
      </c>
    </row>
    <row r="6296" spans="1:22" s="30" customFormat="1" ht="24.6" hidden="1" outlineLevel="1" x14ac:dyDescent="0.55000000000000004">
      <c r="A6296" s="27" t="s">
        <v>327</v>
      </c>
      <c r="B6296" s="28"/>
      <c r="C6296" s="27"/>
      <c r="D6296" s="27" t="str">
        <f>"""NAV Direct"",""CRONUS JetCorp USA"",""21"",""1"",""298050"""</f>
        <v>"NAV Direct","CRONUS JetCorp USA","21","1","298050"</v>
      </c>
      <c r="E6296" s="31" t="str">
        <f t="shared" si="1896"/>
        <v>C100520</v>
      </c>
      <c r="F6296" s="31"/>
      <c r="G6296" s="31"/>
      <c r="H6296" s="31"/>
      <c r="I6296" s="56"/>
      <c r="J6296" s="56"/>
      <c r="K6296" s="82" t="str">
        <f t="shared" si="1897"/>
        <v>Invoice</v>
      </c>
      <c r="L6296" s="83" t="str">
        <f>"SI_109173"</f>
        <v>SI_109173</v>
      </c>
      <c r="M6296" s="84">
        <v>43779</v>
      </c>
      <c r="N6296" s="85">
        <f t="shared" si="1898"/>
        <v>33</v>
      </c>
      <c r="O6296" s="86">
        <f t="shared" si="1899"/>
        <v>3242.18</v>
      </c>
      <c r="P6296" s="86">
        <f t="shared" si="1900"/>
        <v>0</v>
      </c>
      <c r="Q6296" s="86">
        <f t="shared" si="1901"/>
        <v>0</v>
      </c>
      <c r="R6296" s="86">
        <f t="shared" si="1902"/>
        <v>3242.18</v>
      </c>
      <c r="S6296" s="86">
        <f t="shared" si="1903"/>
        <v>0</v>
      </c>
      <c r="T6296" s="86">
        <f t="shared" si="1904"/>
        <v>0</v>
      </c>
      <c r="U6296" s="87">
        <v>3242.18</v>
      </c>
    </row>
    <row r="6297" spans="1:22" s="30" customFormat="1" ht="24.6" hidden="1" outlineLevel="1" x14ac:dyDescent="0.55000000000000004">
      <c r="A6297" s="27" t="s">
        <v>327</v>
      </c>
      <c r="B6297" s="28"/>
      <c r="C6297" s="27"/>
      <c r="D6297" s="27" t="str">
        <f>"""NAV Direct"",""CRONUS JetCorp USA"",""21"",""1"",""303259"""</f>
        <v>"NAV Direct","CRONUS JetCorp USA","21","1","303259"</v>
      </c>
      <c r="E6297" s="31">
        <f t="shared" si="1896"/>
        <v>0</v>
      </c>
      <c r="F6297" s="31"/>
      <c r="G6297" s="31"/>
      <c r="H6297" s="31"/>
      <c r="I6297" s="56"/>
      <c r="J6297" s="56"/>
      <c r="K6297" s="82" t="str">
        <f t="shared" si="1897"/>
        <v>Invoice</v>
      </c>
      <c r="L6297" s="83" t="str">
        <f>"SI_109327"</f>
        <v>SI_109327</v>
      </c>
      <c r="M6297" s="84">
        <v>42174</v>
      </c>
      <c r="N6297" s="85">
        <f t="shared" si="1898"/>
        <v>1638</v>
      </c>
      <c r="O6297" s="86">
        <f t="shared" si="1899"/>
        <v>3922.98</v>
      </c>
      <c r="P6297" s="86">
        <f t="shared" si="1900"/>
        <v>0</v>
      </c>
      <c r="Q6297" s="86">
        <f t="shared" si="1901"/>
        <v>0</v>
      </c>
      <c r="R6297" s="86">
        <f t="shared" si="1902"/>
        <v>0</v>
      </c>
      <c r="S6297" s="86">
        <f t="shared" si="1903"/>
        <v>0</v>
      </c>
      <c r="T6297" s="86">
        <f t="shared" si="1904"/>
        <v>3922.98</v>
      </c>
      <c r="U6297" s="87">
        <v>3922.98</v>
      </c>
    </row>
    <row r="6298" spans="1:22" s="22" customFormat="1" ht="20.399999999999999" collapsed="1" x14ac:dyDescent="0.45">
      <c r="A6298" s="12" t="s">
        <v>327</v>
      </c>
      <c r="B6298" s="19"/>
      <c r="C6298" s="12"/>
      <c r="D6298" s="12"/>
      <c r="E6298" s="23"/>
      <c r="F6298" s="23"/>
      <c r="G6298" s="23"/>
      <c r="H6298" s="23"/>
      <c r="I6298" s="49"/>
      <c r="J6298" s="88"/>
      <c r="K6298" s="88"/>
      <c r="L6298" s="89"/>
      <c r="M6298" s="89"/>
      <c r="N6298" s="89"/>
      <c r="O6298" s="89"/>
      <c r="P6298" s="89"/>
      <c r="Q6298" s="90"/>
      <c r="R6298" s="90"/>
      <c r="S6298" s="91"/>
      <c r="T6298" s="92"/>
      <c r="U6298" s="92"/>
    </row>
    <row r="6299" spans="1:22" s="22" customFormat="1" ht="20.399999999999999" x14ac:dyDescent="0.45">
      <c r="A6299" s="12" t="s">
        <v>327</v>
      </c>
      <c r="B6299" s="19"/>
      <c r="C6299" s="12"/>
      <c r="D6299" s="12"/>
      <c r="E6299" s="23"/>
      <c r="F6299" s="23"/>
      <c r="G6299" s="23"/>
      <c r="H6299" s="23"/>
      <c r="I6299" s="49"/>
      <c r="J6299" s="88"/>
      <c r="K6299" s="88"/>
      <c r="L6299" s="89"/>
      <c r="M6299" s="89"/>
      <c r="N6299" s="89"/>
      <c r="O6299" s="89"/>
      <c r="P6299" s="89"/>
      <c r="Q6299" s="90"/>
      <c r="R6299" s="90"/>
      <c r="S6299" s="91"/>
      <c r="T6299" s="92"/>
      <c r="U6299" s="92"/>
    </row>
    <row r="6300" spans="1:22" s="26" customFormat="1" ht="24.6" x14ac:dyDescent="0.55000000000000004">
      <c r="A6300" s="27" t="s">
        <v>327</v>
      </c>
      <c r="B6300" s="28"/>
      <c r="C6300" s="27" t="str">
        <f>"""NAV Direct"",""CRONUS JetCorp USA"",""18"",""1"",""C100521"""</f>
        <v>"NAV Direct","CRONUS JetCorp USA","18","1","C100521"</v>
      </c>
      <c r="D6300" s="27"/>
      <c r="E6300" s="28" t="str">
        <f>H6300</f>
        <v>C100521</v>
      </c>
      <c r="F6300" s="28"/>
      <c r="G6300" s="28"/>
      <c r="H6300" s="28" t="str">
        <f>"C100521"</f>
        <v>C100521</v>
      </c>
      <c r="I6300" s="116" t="str">
        <f>"C100521  -  Tarmax"</f>
        <v>C100521  -  Tarmax</v>
      </c>
      <c r="J6300" s="117" t="str">
        <f>""</f>
        <v/>
      </c>
      <c r="K6300" s="118"/>
      <c r="L6300" s="119">
        <f>SUBTOTAL(3,L6301:L6329)</f>
        <v>25</v>
      </c>
      <c r="M6300" s="118"/>
      <c r="N6300" s="118"/>
      <c r="O6300" s="120">
        <f t="shared" ref="O6300:T6300" si="1905">SUBTOTAL(9,O6301:O6329)</f>
        <v>59072.130000000005</v>
      </c>
      <c r="P6300" s="120">
        <f t="shared" si="1905"/>
        <v>0</v>
      </c>
      <c r="Q6300" s="120">
        <f t="shared" si="1905"/>
        <v>6483.88</v>
      </c>
      <c r="R6300" s="120">
        <f t="shared" si="1905"/>
        <v>0</v>
      </c>
      <c r="S6300" s="120">
        <f t="shared" si="1905"/>
        <v>5894.8099999999995</v>
      </c>
      <c r="T6300" s="120">
        <f t="shared" si="1905"/>
        <v>46693.44000000001</v>
      </c>
      <c r="U6300" s="81"/>
    </row>
    <row r="6301" spans="1:22" s="26" customFormat="1" ht="24.6" x14ac:dyDescent="0.55000000000000004">
      <c r="A6301" s="27" t="s">
        <v>327</v>
      </c>
      <c r="B6301" s="28"/>
      <c r="C6301" s="27" t="str">
        <f>C6300</f>
        <v>"NAV Direct","CRONUS JetCorp USA","18","1","C100521"</v>
      </c>
      <c r="D6301" s="27"/>
      <c r="E6301" s="28" t="str">
        <f>E6300</f>
        <v>C100521</v>
      </c>
      <c r="F6301" s="28"/>
      <c r="G6301" s="28"/>
      <c r="H6301" s="28"/>
      <c r="I6301" s="121" t="str">
        <f>"Contact: Evana Dolittle"</f>
        <v>Contact: Evana Dolittle</v>
      </c>
      <c r="J6301" s="121"/>
      <c r="K6301" s="122"/>
      <c r="L6301" s="123"/>
      <c r="M6301" s="123"/>
      <c r="N6301" s="124"/>
      <c r="O6301" s="124"/>
      <c r="P6301" s="123"/>
      <c r="Q6301" s="125"/>
      <c r="R6301" s="126"/>
      <c r="S6301" s="126"/>
      <c r="T6301" s="125"/>
      <c r="U6301" s="81"/>
    </row>
    <row r="6302" spans="1:22" s="26" customFormat="1" ht="24.6" x14ac:dyDescent="0.55000000000000004">
      <c r="A6302" s="27" t="s">
        <v>327</v>
      </c>
      <c r="B6302" s="28"/>
      <c r="C6302" s="27" t="str">
        <f>C6301</f>
        <v>"NAV Direct","CRONUS JetCorp USA","18","1","C100521"</v>
      </c>
      <c r="D6302" s="27"/>
      <c r="E6302" s="28" t="str">
        <f>E6301</f>
        <v>C100521</v>
      </c>
      <c r="F6302" s="28"/>
      <c r="G6302" s="28"/>
      <c r="H6302" s="28"/>
      <c r="I6302" s="121" t="str">
        <f>"Tarmax@cronuscorp.net"</f>
        <v>Tarmax@cronuscorp.net</v>
      </c>
      <c r="J6302" s="121"/>
      <c r="K6302" s="122"/>
      <c r="L6302" s="124"/>
      <c r="M6302" s="124"/>
      <c r="N6302" s="124"/>
      <c r="O6302" s="124"/>
      <c r="P6302" s="123"/>
      <c r="Q6302" s="125"/>
      <c r="R6302" s="126"/>
      <c r="S6302" s="126"/>
      <c r="T6302" s="125"/>
      <c r="U6302" s="81"/>
    </row>
    <row r="6303" spans="1:22" ht="12.75" hidden="1" customHeight="1" outlineLevel="1" x14ac:dyDescent="0.45">
      <c r="A6303" s="12" t="s">
        <v>328</v>
      </c>
      <c r="B6303" s="19"/>
      <c r="E6303" s="19"/>
      <c r="F6303" s="19"/>
      <c r="G6303" s="19"/>
      <c r="H6303" s="19"/>
      <c r="I6303" s="61"/>
      <c r="J6303" s="61"/>
      <c r="K6303" s="61"/>
      <c r="L6303" s="61"/>
      <c r="M6303" s="61"/>
      <c r="N6303" s="61"/>
      <c r="O6303" s="61"/>
      <c r="P6303" s="61"/>
      <c r="Q6303" s="61"/>
      <c r="R6303" s="61"/>
      <c r="S6303" s="61"/>
      <c r="T6303" s="61"/>
      <c r="U6303" s="61"/>
      <c r="V6303" s="21"/>
    </row>
    <row r="6304" spans="1:22" s="30" customFormat="1" ht="24.6" hidden="1" outlineLevel="1" x14ac:dyDescent="0.55000000000000004">
      <c r="A6304" s="27" t="s">
        <v>327</v>
      </c>
      <c r="B6304" s="28"/>
      <c r="C6304" s="27"/>
      <c r="D6304" s="27" t="str">
        <f>"""NAV Direct"",""CRONUS JetCorp USA"",""21"",""1"",""281543"""</f>
        <v>"NAV Direct","CRONUS JetCorp USA","21","1","281543"</v>
      </c>
      <c r="E6304" s="31" t="str">
        <f t="shared" ref="E6304:E6328" si="1906">E6302</f>
        <v>C100521</v>
      </c>
      <c r="F6304" s="31"/>
      <c r="G6304" s="31"/>
      <c r="H6304" s="31"/>
      <c r="I6304" s="56"/>
      <c r="J6304" s="56"/>
      <c r="K6304" s="82" t="str">
        <f t="shared" ref="K6304:K6328" si="1907">"Invoice"</f>
        <v>Invoice</v>
      </c>
      <c r="L6304" s="83" t="str">
        <f>"SI_108614"</f>
        <v>SI_108614</v>
      </c>
      <c r="M6304" s="84">
        <v>43691</v>
      </c>
      <c r="N6304" s="85">
        <f t="shared" ref="N6304:N6328" si="1908">StartDate-$M6304+1</f>
        <v>121</v>
      </c>
      <c r="O6304" s="86">
        <f t="shared" ref="O6304:O6328" si="1909">SUM(P6304:T6304)</f>
        <v>587.99</v>
      </c>
      <c r="P6304" s="86">
        <f t="shared" ref="P6304:P6328" si="1910">IF($M6304&gt;=$P$18,U6304,0)</f>
        <v>0</v>
      </c>
      <c r="Q6304" s="86">
        <f t="shared" ref="Q6304:Q6328" si="1911">IF(AND($M6304&gt;=$Q$16,$M6304&lt;=$Q$18),U6304,0)</f>
        <v>0</v>
      </c>
      <c r="R6304" s="86">
        <f t="shared" ref="R6304:R6328" si="1912">IF(AND($M6304&gt;=$R$16,$M6304&lt;=$R$18),U6304,0)</f>
        <v>0</v>
      </c>
      <c r="S6304" s="86">
        <f t="shared" ref="S6304:S6328" si="1913">IF(AND($M6304&gt;=$S$16,$M6304&lt;=$S$18),U6304,0)</f>
        <v>0</v>
      </c>
      <c r="T6304" s="86">
        <f t="shared" ref="T6304:T6328" si="1914">IF($M6304&lt;=$T$18,U6304,0)</f>
        <v>587.99</v>
      </c>
      <c r="U6304" s="87">
        <v>587.99</v>
      </c>
    </row>
    <row r="6305" spans="1:21" s="30" customFormat="1" ht="24.6" hidden="1" outlineLevel="1" x14ac:dyDescent="0.55000000000000004">
      <c r="A6305" s="27" t="s">
        <v>327</v>
      </c>
      <c r="B6305" s="28"/>
      <c r="C6305" s="27"/>
      <c r="D6305" s="27" t="str">
        <f>"""NAV Direct"",""CRONUS JetCorp USA"",""21"",""1"",""282883"""</f>
        <v>"NAV Direct","CRONUS JetCorp USA","21","1","282883"</v>
      </c>
      <c r="E6305" s="31">
        <f t="shared" si="1906"/>
        <v>0</v>
      </c>
      <c r="F6305" s="31"/>
      <c r="G6305" s="31"/>
      <c r="H6305" s="31"/>
      <c r="I6305" s="56"/>
      <c r="J6305" s="56"/>
      <c r="K6305" s="82" t="str">
        <f t="shared" si="1907"/>
        <v>Invoice</v>
      </c>
      <c r="L6305" s="83" t="str">
        <f>"SI_108665"</f>
        <v>SI_108665</v>
      </c>
      <c r="M6305" s="84">
        <v>42121</v>
      </c>
      <c r="N6305" s="85">
        <f t="shared" si="1908"/>
        <v>1691</v>
      </c>
      <c r="O6305" s="86">
        <f t="shared" si="1909"/>
        <v>853.71</v>
      </c>
      <c r="P6305" s="86">
        <f t="shared" si="1910"/>
        <v>0</v>
      </c>
      <c r="Q6305" s="86">
        <f t="shared" si="1911"/>
        <v>0</v>
      </c>
      <c r="R6305" s="86">
        <f t="shared" si="1912"/>
        <v>0</v>
      </c>
      <c r="S6305" s="86">
        <f t="shared" si="1913"/>
        <v>0</v>
      </c>
      <c r="T6305" s="86">
        <f t="shared" si="1914"/>
        <v>853.71</v>
      </c>
      <c r="U6305" s="87">
        <v>853.71</v>
      </c>
    </row>
    <row r="6306" spans="1:21" s="30" customFormat="1" ht="24.6" hidden="1" outlineLevel="1" x14ac:dyDescent="0.55000000000000004">
      <c r="A6306" s="27" t="s">
        <v>327</v>
      </c>
      <c r="B6306" s="28"/>
      <c r="C6306" s="27"/>
      <c r="D6306" s="27" t="str">
        <f>"""NAV Direct"",""CRONUS JetCorp USA"",""21"",""1"",""282966"""</f>
        <v>"NAV Direct","CRONUS JetCorp USA","21","1","282966"</v>
      </c>
      <c r="E6306" s="31" t="str">
        <f t="shared" si="1906"/>
        <v>C100521</v>
      </c>
      <c r="F6306" s="31"/>
      <c r="G6306" s="31"/>
      <c r="H6306" s="31"/>
      <c r="I6306" s="56"/>
      <c r="J6306" s="56"/>
      <c r="K6306" s="82" t="str">
        <f t="shared" si="1907"/>
        <v>Invoice</v>
      </c>
      <c r="L6306" s="83" t="str">
        <f>"SI_108668"</f>
        <v>SI_108668</v>
      </c>
      <c r="M6306" s="84">
        <v>42135</v>
      </c>
      <c r="N6306" s="85">
        <f t="shared" si="1908"/>
        <v>1677</v>
      </c>
      <c r="O6306" s="86">
        <f t="shared" si="1909"/>
        <v>853.68999999999994</v>
      </c>
      <c r="P6306" s="86">
        <f t="shared" si="1910"/>
        <v>0</v>
      </c>
      <c r="Q6306" s="86">
        <f t="shared" si="1911"/>
        <v>0</v>
      </c>
      <c r="R6306" s="86">
        <f t="shared" si="1912"/>
        <v>0</v>
      </c>
      <c r="S6306" s="86">
        <f t="shared" si="1913"/>
        <v>0</v>
      </c>
      <c r="T6306" s="86">
        <f t="shared" si="1914"/>
        <v>853.68999999999994</v>
      </c>
      <c r="U6306" s="87">
        <v>853.68999999999994</v>
      </c>
    </row>
    <row r="6307" spans="1:21" s="30" customFormat="1" ht="24.6" hidden="1" outlineLevel="1" x14ac:dyDescent="0.55000000000000004">
      <c r="A6307" s="27" t="s">
        <v>327</v>
      </c>
      <c r="B6307" s="28"/>
      <c r="C6307" s="27"/>
      <c r="D6307" s="27" t="str">
        <f>"""NAV Direct"",""CRONUS JetCorp USA"",""21"",""1"",""285150"""</f>
        <v>"NAV Direct","CRONUS JetCorp USA","21","1","285150"</v>
      </c>
      <c r="E6307" s="31">
        <f t="shared" si="1906"/>
        <v>0</v>
      </c>
      <c r="F6307" s="31"/>
      <c r="G6307" s="31"/>
      <c r="H6307" s="31"/>
      <c r="I6307" s="56"/>
      <c r="J6307" s="56"/>
      <c r="K6307" s="82" t="str">
        <f t="shared" si="1907"/>
        <v>Invoice</v>
      </c>
      <c r="L6307" s="83" t="str">
        <f>"SI_108749"</f>
        <v>SI_108749</v>
      </c>
      <c r="M6307" s="84">
        <v>42810</v>
      </c>
      <c r="N6307" s="85">
        <f t="shared" si="1908"/>
        <v>1002</v>
      </c>
      <c r="O6307" s="86">
        <f t="shared" si="1909"/>
        <v>1136.26</v>
      </c>
      <c r="P6307" s="86">
        <f t="shared" si="1910"/>
        <v>0</v>
      </c>
      <c r="Q6307" s="86">
        <f t="shared" si="1911"/>
        <v>0</v>
      </c>
      <c r="R6307" s="86">
        <f t="shared" si="1912"/>
        <v>0</v>
      </c>
      <c r="S6307" s="86">
        <f t="shared" si="1913"/>
        <v>0</v>
      </c>
      <c r="T6307" s="86">
        <f t="shared" si="1914"/>
        <v>1136.26</v>
      </c>
      <c r="U6307" s="87">
        <v>1136.26</v>
      </c>
    </row>
    <row r="6308" spans="1:21" s="30" customFormat="1" ht="24.6" hidden="1" outlineLevel="1" x14ac:dyDescent="0.55000000000000004">
      <c r="A6308" s="27" t="s">
        <v>327</v>
      </c>
      <c r="B6308" s="28"/>
      <c r="C6308" s="27"/>
      <c r="D6308" s="27" t="str">
        <f>"""NAV Direct"",""CRONUS JetCorp USA"",""21"",""1"",""286446"""</f>
        <v>"NAV Direct","CRONUS JetCorp USA","21","1","286446"</v>
      </c>
      <c r="E6308" s="31" t="str">
        <f t="shared" si="1906"/>
        <v>C100521</v>
      </c>
      <c r="F6308" s="31"/>
      <c r="G6308" s="31"/>
      <c r="H6308" s="31"/>
      <c r="I6308" s="56"/>
      <c r="J6308" s="56"/>
      <c r="K6308" s="82" t="str">
        <f t="shared" si="1907"/>
        <v>Invoice</v>
      </c>
      <c r="L6308" s="83" t="str">
        <f>"SI_108794"</f>
        <v>SI_108794</v>
      </c>
      <c r="M6308" s="84">
        <v>42960</v>
      </c>
      <c r="N6308" s="85">
        <f t="shared" si="1908"/>
        <v>852</v>
      </c>
      <c r="O6308" s="86">
        <f t="shared" si="1909"/>
        <v>1374.9</v>
      </c>
      <c r="P6308" s="86">
        <f t="shared" si="1910"/>
        <v>0</v>
      </c>
      <c r="Q6308" s="86">
        <f t="shared" si="1911"/>
        <v>0</v>
      </c>
      <c r="R6308" s="86">
        <f t="shared" si="1912"/>
        <v>0</v>
      </c>
      <c r="S6308" s="86">
        <f t="shared" si="1913"/>
        <v>0</v>
      </c>
      <c r="T6308" s="86">
        <f t="shared" si="1914"/>
        <v>1374.9</v>
      </c>
      <c r="U6308" s="87">
        <v>1374.9</v>
      </c>
    </row>
    <row r="6309" spans="1:21" s="30" customFormat="1" ht="24.6" hidden="1" outlineLevel="1" x14ac:dyDescent="0.55000000000000004">
      <c r="A6309" s="27" t="s">
        <v>327</v>
      </c>
      <c r="B6309" s="28"/>
      <c r="C6309" s="27"/>
      <c r="D6309" s="27" t="str">
        <f>"""NAV Direct"",""CRONUS JetCorp USA"",""21"",""1"",""286538"""</f>
        <v>"NAV Direct","CRONUS JetCorp USA","21","1","286538"</v>
      </c>
      <c r="E6309" s="31">
        <f t="shared" si="1906"/>
        <v>0</v>
      </c>
      <c r="F6309" s="31"/>
      <c r="G6309" s="31"/>
      <c r="H6309" s="31"/>
      <c r="I6309" s="56"/>
      <c r="J6309" s="56"/>
      <c r="K6309" s="82" t="str">
        <f t="shared" si="1907"/>
        <v>Invoice</v>
      </c>
      <c r="L6309" s="83" t="str">
        <f>"SI_108797"</f>
        <v>SI_108797</v>
      </c>
      <c r="M6309" s="84">
        <v>42962</v>
      </c>
      <c r="N6309" s="85">
        <f t="shared" si="1908"/>
        <v>850</v>
      </c>
      <c r="O6309" s="86">
        <f t="shared" si="1909"/>
        <v>1375</v>
      </c>
      <c r="P6309" s="86">
        <f t="shared" si="1910"/>
        <v>0</v>
      </c>
      <c r="Q6309" s="86">
        <f t="shared" si="1911"/>
        <v>0</v>
      </c>
      <c r="R6309" s="86">
        <f t="shared" si="1912"/>
        <v>0</v>
      </c>
      <c r="S6309" s="86">
        <f t="shared" si="1913"/>
        <v>0</v>
      </c>
      <c r="T6309" s="86">
        <f t="shared" si="1914"/>
        <v>1375</v>
      </c>
      <c r="U6309" s="87">
        <v>1375</v>
      </c>
    </row>
    <row r="6310" spans="1:21" s="30" customFormat="1" ht="24.6" hidden="1" outlineLevel="1" x14ac:dyDescent="0.55000000000000004">
      <c r="A6310" s="27" t="s">
        <v>327</v>
      </c>
      <c r="B6310" s="28"/>
      <c r="C6310" s="27"/>
      <c r="D6310" s="27" t="str">
        <f>"""NAV Direct"",""CRONUS JetCorp USA"",""21"",""1"",""287485"""</f>
        <v>"NAV Direct","CRONUS JetCorp USA","21","1","287485"</v>
      </c>
      <c r="E6310" s="31" t="str">
        <f t="shared" si="1906"/>
        <v>C100521</v>
      </c>
      <c r="F6310" s="31"/>
      <c r="G6310" s="31"/>
      <c r="H6310" s="31"/>
      <c r="I6310" s="56"/>
      <c r="J6310" s="56"/>
      <c r="K6310" s="82" t="str">
        <f t="shared" si="1907"/>
        <v>Invoice</v>
      </c>
      <c r="L6310" s="83" t="str">
        <f>"SI_108830"</f>
        <v>SI_108830</v>
      </c>
      <c r="M6310" s="84">
        <v>43059</v>
      </c>
      <c r="N6310" s="85">
        <f t="shared" si="1908"/>
        <v>753</v>
      </c>
      <c r="O6310" s="86">
        <f t="shared" si="1909"/>
        <v>1512.3700000000001</v>
      </c>
      <c r="P6310" s="86">
        <f t="shared" si="1910"/>
        <v>0</v>
      </c>
      <c r="Q6310" s="86">
        <f t="shared" si="1911"/>
        <v>0</v>
      </c>
      <c r="R6310" s="86">
        <f t="shared" si="1912"/>
        <v>0</v>
      </c>
      <c r="S6310" s="86">
        <f t="shared" si="1913"/>
        <v>0</v>
      </c>
      <c r="T6310" s="86">
        <f t="shared" si="1914"/>
        <v>1512.3700000000001</v>
      </c>
      <c r="U6310" s="87">
        <v>1512.3700000000001</v>
      </c>
    </row>
    <row r="6311" spans="1:21" s="30" customFormat="1" ht="24.6" hidden="1" outlineLevel="1" x14ac:dyDescent="0.55000000000000004">
      <c r="A6311" s="27" t="s">
        <v>327</v>
      </c>
      <c r="B6311" s="28"/>
      <c r="C6311" s="27"/>
      <c r="D6311" s="27" t="str">
        <f>"""NAV Direct"",""CRONUS JetCorp USA"",""21"",""1"",""288029"""</f>
        <v>"NAV Direct","CRONUS JetCorp USA","21","1","288029"</v>
      </c>
      <c r="E6311" s="31">
        <f t="shared" si="1906"/>
        <v>0</v>
      </c>
      <c r="F6311" s="31"/>
      <c r="G6311" s="31"/>
      <c r="H6311" s="31"/>
      <c r="I6311" s="56"/>
      <c r="J6311" s="56"/>
      <c r="K6311" s="82" t="str">
        <f t="shared" si="1907"/>
        <v>Invoice</v>
      </c>
      <c r="L6311" s="83" t="str">
        <f>"SI_108849"</f>
        <v>SI_108849</v>
      </c>
      <c r="M6311" s="84">
        <v>43085</v>
      </c>
      <c r="N6311" s="85">
        <f t="shared" si="1908"/>
        <v>727</v>
      </c>
      <c r="O6311" s="86">
        <f t="shared" si="1909"/>
        <v>1512.3100000000002</v>
      </c>
      <c r="P6311" s="86">
        <f t="shared" si="1910"/>
        <v>0</v>
      </c>
      <c r="Q6311" s="86">
        <f t="shared" si="1911"/>
        <v>0</v>
      </c>
      <c r="R6311" s="86">
        <f t="shared" si="1912"/>
        <v>0</v>
      </c>
      <c r="S6311" s="86">
        <f t="shared" si="1913"/>
        <v>0</v>
      </c>
      <c r="T6311" s="86">
        <f t="shared" si="1914"/>
        <v>1512.3100000000002</v>
      </c>
      <c r="U6311" s="87">
        <v>1512.3100000000002</v>
      </c>
    </row>
    <row r="6312" spans="1:21" s="30" customFormat="1" ht="24.6" hidden="1" outlineLevel="1" x14ac:dyDescent="0.55000000000000004">
      <c r="A6312" s="27" t="s">
        <v>327</v>
      </c>
      <c r="B6312" s="28"/>
      <c r="C6312" s="27"/>
      <c r="D6312" s="27" t="str">
        <f>"""NAV Direct"",""CRONUS JetCorp USA"",""21"",""1"",""289201"""</f>
        <v>"NAV Direct","CRONUS JetCorp USA","21","1","289201"</v>
      </c>
      <c r="E6312" s="31" t="str">
        <f t="shared" si="1906"/>
        <v>C100521</v>
      </c>
      <c r="F6312" s="31"/>
      <c r="G6312" s="31"/>
      <c r="H6312" s="31"/>
      <c r="I6312" s="56"/>
      <c r="J6312" s="56"/>
      <c r="K6312" s="82" t="str">
        <f t="shared" si="1907"/>
        <v>Invoice</v>
      </c>
      <c r="L6312" s="83" t="str">
        <f>"SI_108889"</f>
        <v>SI_108889</v>
      </c>
      <c r="M6312" s="84">
        <v>43172</v>
      </c>
      <c r="N6312" s="85">
        <f t="shared" si="1908"/>
        <v>640</v>
      </c>
      <c r="O6312" s="86">
        <f t="shared" si="1909"/>
        <v>1663.6899999999998</v>
      </c>
      <c r="P6312" s="86">
        <f t="shared" si="1910"/>
        <v>0</v>
      </c>
      <c r="Q6312" s="86">
        <f t="shared" si="1911"/>
        <v>0</v>
      </c>
      <c r="R6312" s="86">
        <f t="shared" si="1912"/>
        <v>0</v>
      </c>
      <c r="S6312" s="86">
        <f t="shared" si="1913"/>
        <v>0</v>
      </c>
      <c r="T6312" s="86">
        <f t="shared" si="1914"/>
        <v>1663.6899999999998</v>
      </c>
      <c r="U6312" s="87">
        <v>1663.6899999999998</v>
      </c>
    </row>
    <row r="6313" spans="1:21" s="30" customFormat="1" ht="24.6" hidden="1" outlineLevel="1" x14ac:dyDescent="0.55000000000000004">
      <c r="A6313" s="27" t="s">
        <v>327</v>
      </c>
      <c r="B6313" s="28"/>
      <c r="C6313" s="27"/>
      <c r="D6313" s="27" t="str">
        <f>"""NAV Direct"",""CRONUS JetCorp USA"",""21"",""1"",""290615"""</f>
        <v>"NAV Direct","CRONUS JetCorp USA","21","1","290615"</v>
      </c>
      <c r="E6313" s="31">
        <f t="shared" si="1906"/>
        <v>0</v>
      </c>
      <c r="F6313" s="31"/>
      <c r="G6313" s="31"/>
      <c r="H6313" s="31"/>
      <c r="I6313" s="56"/>
      <c r="J6313" s="56"/>
      <c r="K6313" s="82" t="str">
        <f t="shared" si="1907"/>
        <v>Invoice</v>
      </c>
      <c r="L6313" s="83" t="str">
        <f>"SI_108935"</f>
        <v>SI_108935</v>
      </c>
      <c r="M6313" s="84">
        <v>43294</v>
      </c>
      <c r="N6313" s="85">
        <f t="shared" si="1908"/>
        <v>518</v>
      </c>
      <c r="O6313" s="86">
        <f t="shared" si="1909"/>
        <v>2013.1</v>
      </c>
      <c r="P6313" s="86">
        <f t="shared" si="1910"/>
        <v>0</v>
      </c>
      <c r="Q6313" s="86">
        <f t="shared" si="1911"/>
        <v>0</v>
      </c>
      <c r="R6313" s="86">
        <f t="shared" si="1912"/>
        <v>0</v>
      </c>
      <c r="S6313" s="86">
        <f t="shared" si="1913"/>
        <v>0</v>
      </c>
      <c r="T6313" s="86">
        <f t="shared" si="1914"/>
        <v>2013.1</v>
      </c>
      <c r="U6313" s="87">
        <v>2013.1</v>
      </c>
    </row>
    <row r="6314" spans="1:21" s="30" customFormat="1" ht="24.6" hidden="1" outlineLevel="1" x14ac:dyDescent="0.55000000000000004">
      <c r="A6314" s="27" t="s">
        <v>327</v>
      </c>
      <c r="B6314" s="28"/>
      <c r="C6314" s="27"/>
      <c r="D6314" s="27" t="str">
        <f>"""NAV Direct"",""CRONUS JetCorp USA"",""21"",""1"",""292301"""</f>
        <v>"NAV Direct","CRONUS JetCorp USA","21","1","292301"</v>
      </c>
      <c r="E6314" s="31" t="str">
        <f t="shared" si="1906"/>
        <v>C100521</v>
      </c>
      <c r="F6314" s="31"/>
      <c r="G6314" s="31"/>
      <c r="H6314" s="31"/>
      <c r="I6314" s="56"/>
      <c r="J6314" s="56"/>
      <c r="K6314" s="82" t="str">
        <f t="shared" si="1907"/>
        <v>Invoice</v>
      </c>
      <c r="L6314" s="83" t="str">
        <f>"SI_108992"</f>
        <v>SI_108992</v>
      </c>
      <c r="M6314" s="84">
        <v>43434</v>
      </c>
      <c r="N6314" s="85">
        <f t="shared" si="1908"/>
        <v>378</v>
      </c>
      <c r="O6314" s="86">
        <f t="shared" si="1909"/>
        <v>2214.3199999999997</v>
      </c>
      <c r="P6314" s="86">
        <f t="shared" si="1910"/>
        <v>0</v>
      </c>
      <c r="Q6314" s="86">
        <f t="shared" si="1911"/>
        <v>0</v>
      </c>
      <c r="R6314" s="86">
        <f t="shared" si="1912"/>
        <v>0</v>
      </c>
      <c r="S6314" s="86">
        <f t="shared" si="1913"/>
        <v>0</v>
      </c>
      <c r="T6314" s="86">
        <f t="shared" si="1914"/>
        <v>2214.3199999999997</v>
      </c>
      <c r="U6314" s="87">
        <v>2214.3199999999997</v>
      </c>
    </row>
    <row r="6315" spans="1:21" s="30" customFormat="1" ht="24.6" hidden="1" outlineLevel="1" x14ac:dyDescent="0.55000000000000004">
      <c r="A6315" s="27" t="s">
        <v>327</v>
      </c>
      <c r="B6315" s="28"/>
      <c r="C6315" s="27"/>
      <c r="D6315" s="27" t="str">
        <f>"""NAV Direct"",""CRONUS JetCorp USA"",""21"",""1"",""292363"""</f>
        <v>"NAV Direct","CRONUS JetCorp USA","21","1","292363"</v>
      </c>
      <c r="E6315" s="31">
        <f t="shared" si="1906"/>
        <v>0</v>
      </c>
      <c r="F6315" s="31"/>
      <c r="G6315" s="31"/>
      <c r="H6315" s="31"/>
      <c r="I6315" s="56"/>
      <c r="J6315" s="56"/>
      <c r="K6315" s="82" t="str">
        <f t="shared" si="1907"/>
        <v>Invoice</v>
      </c>
      <c r="L6315" s="83" t="str">
        <f>"SI_108994"</f>
        <v>SI_108994</v>
      </c>
      <c r="M6315" s="84">
        <v>43437</v>
      </c>
      <c r="N6315" s="85">
        <f t="shared" si="1908"/>
        <v>375</v>
      </c>
      <c r="O6315" s="86">
        <f t="shared" si="1909"/>
        <v>2214.4499999999998</v>
      </c>
      <c r="P6315" s="86">
        <f t="shared" si="1910"/>
        <v>0</v>
      </c>
      <c r="Q6315" s="86">
        <f t="shared" si="1911"/>
        <v>0</v>
      </c>
      <c r="R6315" s="86">
        <f t="shared" si="1912"/>
        <v>0</v>
      </c>
      <c r="S6315" s="86">
        <f t="shared" si="1913"/>
        <v>0</v>
      </c>
      <c r="T6315" s="86">
        <f t="shared" si="1914"/>
        <v>2214.4499999999998</v>
      </c>
      <c r="U6315" s="87">
        <v>2214.4499999999998</v>
      </c>
    </row>
    <row r="6316" spans="1:21" s="30" customFormat="1" ht="24.6" hidden="1" outlineLevel="1" x14ac:dyDescent="0.55000000000000004">
      <c r="A6316" s="27" t="s">
        <v>327</v>
      </c>
      <c r="B6316" s="28"/>
      <c r="C6316" s="27"/>
      <c r="D6316" s="27" t="str">
        <f>"""NAV Direct"",""CRONUS JetCorp USA"",""21"",""1"",""294177"""</f>
        <v>"NAV Direct","CRONUS JetCorp USA","21","1","294177"</v>
      </c>
      <c r="E6316" s="31" t="str">
        <f t="shared" si="1906"/>
        <v>C100521</v>
      </c>
      <c r="F6316" s="31"/>
      <c r="G6316" s="31"/>
      <c r="H6316" s="31"/>
      <c r="I6316" s="56"/>
      <c r="J6316" s="56"/>
      <c r="K6316" s="82" t="str">
        <f t="shared" si="1907"/>
        <v>Invoice</v>
      </c>
      <c r="L6316" s="83" t="str">
        <f>"SI_109055"</f>
        <v>SI_109055</v>
      </c>
      <c r="M6316" s="84">
        <v>43534</v>
      </c>
      <c r="N6316" s="85">
        <f t="shared" si="1908"/>
        <v>278</v>
      </c>
      <c r="O6316" s="86">
        <f t="shared" si="1909"/>
        <v>2435.8200000000002</v>
      </c>
      <c r="P6316" s="86">
        <f t="shared" si="1910"/>
        <v>0</v>
      </c>
      <c r="Q6316" s="86">
        <f t="shared" si="1911"/>
        <v>0</v>
      </c>
      <c r="R6316" s="86">
        <f t="shared" si="1912"/>
        <v>0</v>
      </c>
      <c r="S6316" s="86">
        <f t="shared" si="1913"/>
        <v>0</v>
      </c>
      <c r="T6316" s="86">
        <f t="shared" si="1914"/>
        <v>2435.8200000000002</v>
      </c>
      <c r="U6316" s="87">
        <v>2435.8200000000002</v>
      </c>
    </row>
    <row r="6317" spans="1:21" s="30" customFormat="1" ht="24.6" hidden="1" outlineLevel="1" x14ac:dyDescent="0.55000000000000004">
      <c r="A6317" s="27" t="s">
        <v>327</v>
      </c>
      <c r="B6317" s="28"/>
      <c r="C6317" s="27"/>
      <c r="D6317" s="27" t="str">
        <f>"""NAV Direct"",""CRONUS JetCorp USA"",""21"",""1"",""295441"""</f>
        <v>"NAV Direct","CRONUS JetCorp USA","21","1","295441"</v>
      </c>
      <c r="E6317" s="31">
        <f t="shared" si="1906"/>
        <v>0</v>
      </c>
      <c r="F6317" s="31"/>
      <c r="G6317" s="31"/>
      <c r="H6317" s="31"/>
      <c r="I6317" s="56"/>
      <c r="J6317" s="56"/>
      <c r="K6317" s="82" t="str">
        <f t="shared" si="1907"/>
        <v>Invoice</v>
      </c>
      <c r="L6317" s="83" t="str">
        <f>"SI_109094"</f>
        <v>SI_109094</v>
      </c>
      <c r="M6317" s="84">
        <v>43628</v>
      </c>
      <c r="N6317" s="85">
        <f t="shared" si="1908"/>
        <v>184</v>
      </c>
      <c r="O6317" s="86">
        <f t="shared" si="1909"/>
        <v>2679.48</v>
      </c>
      <c r="P6317" s="86">
        <f t="shared" si="1910"/>
        <v>0</v>
      </c>
      <c r="Q6317" s="86">
        <f t="shared" si="1911"/>
        <v>0</v>
      </c>
      <c r="R6317" s="86">
        <f t="shared" si="1912"/>
        <v>0</v>
      </c>
      <c r="S6317" s="86">
        <f t="shared" si="1913"/>
        <v>0</v>
      </c>
      <c r="T6317" s="86">
        <f t="shared" si="1914"/>
        <v>2679.48</v>
      </c>
      <c r="U6317" s="87">
        <v>2679.48</v>
      </c>
    </row>
    <row r="6318" spans="1:21" s="30" customFormat="1" ht="24.6" hidden="1" outlineLevel="1" x14ac:dyDescent="0.55000000000000004">
      <c r="A6318" s="27" t="s">
        <v>327</v>
      </c>
      <c r="B6318" s="28"/>
      <c r="C6318" s="27"/>
      <c r="D6318" s="27" t="str">
        <f>"""NAV Direct"",""CRONUS JetCorp USA"",""21"",""1"",""295812"""</f>
        <v>"NAV Direct","CRONUS JetCorp USA","21","1","295812"</v>
      </c>
      <c r="E6318" s="31" t="str">
        <f t="shared" si="1906"/>
        <v>C100521</v>
      </c>
      <c r="F6318" s="31"/>
      <c r="G6318" s="31"/>
      <c r="H6318" s="31"/>
      <c r="I6318" s="56"/>
      <c r="J6318" s="56"/>
      <c r="K6318" s="82" t="str">
        <f t="shared" si="1907"/>
        <v>Invoice</v>
      </c>
      <c r="L6318" s="83" t="str">
        <f>"SI_109104"</f>
        <v>SI_109104</v>
      </c>
      <c r="M6318" s="84">
        <v>43619</v>
      </c>
      <c r="N6318" s="85">
        <f t="shared" si="1908"/>
        <v>193</v>
      </c>
      <c r="O6318" s="86">
        <f t="shared" si="1909"/>
        <v>2679.4500000000003</v>
      </c>
      <c r="P6318" s="86">
        <f t="shared" si="1910"/>
        <v>0</v>
      </c>
      <c r="Q6318" s="86">
        <f t="shared" si="1911"/>
        <v>0</v>
      </c>
      <c r="R6318" s="86">
        <f t="shared" si="1912"/>
        <v>0</v>
      </c>
      <c r="S6318" s="86">
        <f t="shared" si="1913"/>
        <v>0</v>
      </c>
      <c r="T6318" s="86">
        <f t="shared" si="1914"/>
        <v>2679.4500000000003</v>
      </c>
      <c r="U6318" s="87">
        <v>2679.4500000000003</v>
      </c>
    </row>
    <row r="6319" spans="1:21" s="30" customFormat="1" ht="24.6" hidden="1" outlineLevel="1" x14ac:dyDescent="0.55000000000000004">
      <c r="A6319" s="27" t="s">
        <v>327</v>
      </c>
      <c r="B6319" s="28"/>
      <c r="C6319" s="27"/>
      <c r="D6319" s="27" t="str">
        <f>"""NAV Direct"",""CRONUS JetCorp USA"",""21"",""1"",""296505"""</f>
        <v>"NAV Direct","CRONUS JetCorp USA","21","1","296505"</v>
      </c>
      <c r="E6319" s="31">
        <f t="shared" si="1906"/>
        <v>0</v>
      </c>
      <c r="F6319" s="31"/>
      <c r="G6319" s="31"/>
      <c r="H6319" s="31"/>
      <c r="I6319" s="56"/>
      <c r="J6319" s="56"/>
      <c r="K6319" s="82" t="str">
        <f t="shared" si="1907"/>
        <v>Invoice</v>
      </c>
      <c r="L6319" s="83" t="str">
        <f>"SI_109127"</f>
        <v>SI_109127</v>
      </c>
      <c r="M6319" s="84">
        <v>43698</v>
      </c>
      <c r="N6319" s="85">
        <f t="shared" si="1908"/>
        <v>114</v>
      </c>
      <c r="O6319" s="86">
        <f t="shared" si="1909"/>
        <v>2947.39</v>
      </c>
      <c r="P6319" s="86">
        <f t="shared" si="1910"/>
        <v>0</v>
      </c>
      <c r="Q6319" s="86">
        <f t="shared" si="1911"/>
        <v>0</v>
      </c>
      <c r="R6319" s="86">
        <f t="shared" si="1912"/>
        <v>0</v>
      </c>
      <c r="S6319" s="86">
        <f t="shared" si="1913"/>
        <v>0</v>
      </c>
      <c r="T6319" s="86">
        <f t="shared" si="1914"/>
        <v>2947.39</v>
      </c>
      <c r="U6319" s="87">
        <v>2947.39</v>
      </c>
    </row>
    <row r="6320" spans="1:21" s="30" customFormat="1" ht="24.6" hidden="1" outlineLevel="1" x14ac:dyDescent="0.55000000000000004">
      <c r="A6320" s="27" t="s">
        <v>327</v>
      </c>
      <c r="B6320" s="28"/>
      <c r="C6320" s="27"/>
      <c r="D6320" s="27" t="str">
        <f>"""NAV Direct"",""CRONUS JetCorp USA"",""21"",""1"",""297625"""</f>
        <v>"NAV Direct","CRONUS JetCorp USA","21","1","297625"</v>
      </c>
      <c r="E6320" s="31" t="str">
        <f t="shared" si="1906"/>
        <v>C100521</v>
      </c>
      <c r="F6320" s="31"/>
      <c r="G6320" s="31"/>
      <c r="H6320" s="31"/>
      <c r="I6320" s="56"/>
      <c r="J6320" s="56"/>
      <c r="K6320" s="82" t="str">
        <f t="shared" si="1907"/>
        <v>Invoice</v>
      </c>
      <c r="L6320" s="83" t="str">
        <f>"SI_109161"</f>
        <v>SI_109161</v>
      </c>
      <c r="M6320" s="84">
        <v>43711</v>
      </c>
      <c r="N6320" s="85">
        <f t="shared" si="1908"/>
        <v>101</v>
      </c>
      <c r="O6320" s="86">
        <f t="shared" si="1909"/>
        <v>2947.32</v>
      </c>
      <c r="P6320" s="86">
        <f t="shared" si="1910"/>
        <v>0</v>
      </c>
      <c r="Q6320" s="86">
        <f t="shared" si="1911"/>
        <v>0</v>
      </c>
      <c r="R6320" s="86">
        <f t="shared" si="1912"/>
        <v>0</v>
      </c>
      <c r="S6320" s="86">
        <f t="shared" si="1913"/>
        <v>0</v>
      </c>
      <c r="T6320" s="86">
        <f t="shared" si="1914"/>
        <v>2947.32</v>
      </c>
      <c r="U6320" s="87">
        <v>2947.32</v>
      </c>
    </row>
    <row r="6321" spans="1:22" s="30" customFormat="1" ht="24.6" hidden="1" outlineLevel="1" x14ac:dyDescent="0.55000000000000004">
      <c r="A6321" s="27" t="s">
        <v>327</v>
      </c>
      <c r="B6321" s="28"/>
      <c r="C6321" s="27"/>
      <c r="D6321" s="27" t="str">
        <f>"""NAV Direct"",""CRONUS JetCorp USA"",""21"",""1"",""297709"""</f>
        <v>"NAV Direct","CRONUS JetCorp USA","21","1","297709"</v>
      </c>
      <c r="E6321" s="31">
        <f t="shared" si="1906"/>
        <v>0</v>
      </c>
      <c r="F6321" s="31"/>
      <c r="G6321" s="31"/>
      <c r="H6321" s="31"/>
      <c r="I6321" s="56"/>
      <c r="J6321" s="56"/>
      <c r="K6321" s="82" t="str">
        <f t="shared" si="1907"/>
        <v>Invoice</v>
      </c>
      <c r="L6321" s="83" t="str">
        <f>"SI_109163"</f>
        <v>SI_109163</v>
      </c>
      <c r="M6321" s="84">
        <v>43722</v>
      </c>
      <c r="N6321" s="85">
        <f t="shared" si="1908"/>
        <v>90</v>
      </c>
      <c r="O6321" s="86">
        <f t="shared" si="1909"/>
        <v>2947.39</v>
      </c>
      <c r="P6321" s="86">
        <f t="shared" si="1910"/>
        <v>0</v>
      </c>
      <c r="Q6321" s="86">
        <f t="shared" si="1911"/>
        <v>0</v>
      </c>
      <c r="R6321" s="86">
        <f t="shared" si="1912"/>
        <v>0</v>
      </c>
      <c r="S6321" s="86">
        <f t="shared" si="1913"/>
        <v>2947.39</v>
      </c>
      <c r="T6321" s="86">
        <f t="shared" si="1914"/>
        <v>0</v>
      </c>
      <c r="U6321" s="87">
        <v>2947.39</v>
      </c>
    </row>
    <row r="6322" spans="1:22" s="30" customFormat="1" ht="24.6" hidden="1" outlineLevel="1" x14ac:dyDescent="0.55000000000000004">
      <c r="A6322" s="27" t="s">
        <v>327</v>
      </c>
      <c r="B6322" s="28"/>
      <c r="C6322" s="27"/>
      <c r="D6322" s="27" t="str">
        <f>"""NAV Direct"",""CRONUS JetCorp USA"",""21"",""1"",""297803"""</f>
        <v>"NAV Direct","CRONUS JetCorp USA","21","1","297803"</v>
      </c>
      <c r="E6322" s="31" t="str">
        <f t="shared" si="1906"/>
        <v>C100521</v>
      </c>
      <c r="F6322" s="31"/>
      <c r="G6322" s="31"/>
      <c r="H6322" s="31"/>
      <c r="I6322" s="56"/>
      <c r="J6322" s="56"/>
      <c r="K6322" s="82" t="str">
        <f t="shared" si="1907"/>
        <v>Invoice</v>
      </c>
      <c r="L6322" s="83" t="str">
        <f>"SI_109166"</f>
        <v>SI_109166</v>
      </c>
      <c r="M6322" s="84">
        <v>43736</v>
      </c>
      <c r="N6322" s="85">
        <f t="shared" si="1908"/>
        <v>76</v>
      </c>
      <c r="O6322" s="86">
        <f t="shared" si="1909"/>
        <v>2947.42</v>
      </c>
      <c r="P6322" s="86">
        <f t="shared" si="1910"/>
        <v>0</v>
      </c>
      <c r="Q6322" s="86">
        <f t="shared" si="1911"/>
        <v>0</v>
      </c>
      <c r="R6322" s="86">
        <f t="shared" si="1912"/>
        <v>0</v>
      </c>
      <c r="S6322" s="86">
        <f t="shared" si="1913"/>
        <v>2947.42</v>
      </c>
      <c r="T6322" s="86">
        <f t="shared" si="1914"/>
        <v>0</v>
      </c>
      <c r="U6322" s="87">
        <v>2947.42</v>
      </c>
    </row>
    <row r="6323" spans="1:22" s="30" customFormat="1" ht="24.6" hidden="1" outlineLevel="1" x14ac:dyDescent="0.55000000000000004">
      <c r="A6323" s="27" t="s">
        <v>327</v>
      </c>
      <c r="B6323" s="28"/>
      <c r="C6323" s="27"/>
      <c r="D6323" s="27" t="str">
        <f>"""NAV Direct"",""CRONUS JetCorp USA"",""21"",""1"",""298973"""</f>
        <v>"NAV Direct","CRONUS JetCorp USA","21","1","298973"</v>
      </c>
      <c r="E6323" s="31">
        <f t="shared" si="1906"/>
        <v>0</v>
      </c>
      <c r="F6323" s="31"/>
      <c r="G6323" s="31"/>
      <c r="H6323" s="31"/>
      <c r="I6323" s="56"/>
      <c r="J6323" s="56"/>
      <c r="K6323" s="82" t="str">
        <f t="shared" si="1907"/>
        <v>Invoice</v>
      </c>
      <c r="L6323" s="83" t="str">
        <f>"SI_109202"</f>
        <v>SI_109202</v>
      </c>
      <c r="M6323" s="84">
        <v>43802</v>
      </c>
      <c r="N6323" s="85">
        <f t="shared" si="1908"/>
        <v>10</v>
      </c>
      <c r="O6323" s="86">
        <f t="shared" si="1909"/>
        <v>3241.85</v>
      </c>
      <c r="P6323" s="86">
        <f t="shared" si="1910"/>
        <v>0</v>
      </c>
      <c r="Q6323" s="86">
        <f t="shared" si="1911"/>
        <v>3241.85</v>
      </c>
      <c r="R6323" s="86">
        <f t="shared" si="1912"/>
        <v>0</v>
      </c>
      <c r="S6323" s="86">
        <f t="shared" si="1913"/>
        <v>0</v>
      </c>
      <c r="T6323" s="86">
        <f t="shared" si="1914"/>
        <v>0</v>
      </c>
      <c r="U6323" s="87">
        <v>3241.85</v>
      </c>
    </row>
    <row r="6324" spans="1:22" s="30" customFormat="1" ht="24.6" hidden="1" outlineLevel="1" x14ac:dyDescent="0.55000000000000004">
      <c r="A6324" s="27" t="s">
        <v>327</v>
      </c>
      <c r="B6324" s="28"/>
      <c r="C6324" s="27"/>
      <c r="D6324" s="27" t="str">
        <f>"""NAV Direct"",""CRONUS JetCorp USA"",""21"",""1"",""299007"""</f>
        <v>"NAV Direct","CRONUS JetCorp USA","21","1","299007"</v>
      </c>
      <c r="E6324" s="31" t="str">
        <f t="shared" si="1906"/>
        <v>C100521</v>
      </c>
      <c r="F6324" s="31"/>
      <c r="G6324" s="31"/>
      <c r="H6324" s="31"/>
      <c r="I6324" s="56"/>
      <c r="J6324" s="56"/>
      <c r="K6324" s="82" t="str">
        <f t="shared" si="1907"/>
        <v>Invoice</v>
      </c>
      <c r="L6324" s="83" t="str">
        <f>"SI_109203"</f>
        <v>SI_109203</v>
      </c>
      <c r="M6324" s="84">
        <v>43805</v>
      </c>
      <c r="N6324" s="85">
        <f t="shared" si="1908"/>
        <v>7</v>
      </c>
      <c r="O6324" s="86">
        <f t="shared" si="1909"/>
        <v>3242.03</v>
      </c>
      <c r="P6324" s="86">
        <f t="shared" si="1910"/>
        <v>0</v>
      </c>
      <c r="Q6324" s="86">
        <f t="shared" si="1911"/>
        <v>3242.03</v>
      </c>
      <c r="R6324" s="86">
        <f t="shared" si="1912"/>
        <v>0</v>
      </c>
      <c r="S6324" s="86">
        <f t="shared" si="1913"/>
        <v>0</v>
      </c>
      <c r="T6324" s="86">
        <f t="shared" si="1914"/>
        <v>0</v>
      </c>
      <c r="U6324" s="87">
        <v>3242.03</v>
      </c>
    </row>
    <row r="6325" spans="1:22" s="30" customFormat="1" ht="24.6" hidden="1" outlineLevel="1" x14ac:dyDescent="0.55000000000000004">
      <c r="A6325" s="27" t="s">
        <v>327</v>
      </c>
      <c r="B6325" s="28"/>
      <c r="C6325" s="27"/>
      <c r="D6325" s="27" t="str">
        <f>"""NAV Direct"",""CRONUS JetCorp USA"",""21"",""1"",""302386"""</f>
        <v>"NAV Direct","CRONUS JetCorp USA","21","1","302386"</v>
      </c>
      <c r="E6325" s="31">
        <f t="shared" si="1906"/>
        <v>0</v>
      </c>
      <c r="F6325" s="31"/>
      <c r="G6325" s="31"/>
      <c r="H6325" s="31"/>
      <c r="I6325" s="56"/>
      <c r="J6325" s="56"/>
      <c r="K6325" s="82" t="str">
        <f t="shared" si="1907"/>
        <v>Invoice</v>
      </c>
      <c r="L6325" s="83" t="str">
        <f>"SI_109301"</f>
        <v>SI_109301</v>
      </c>
      <c r="M6325" s="84">
        <v>42147</v>
      </c>
      <c r="N6325" s="85">
        <f t="shared" si="1908"/>
        <v>1665</v>
      </c>
      <c r="O6325" s="86">
        <f t="shared" si="1909"/>
        <v>3923.05</v>
      </c>
      <c r="P6325" s="86">
        <f t="shared" si="1910"/>
        <v>0</v>
      </c>
      <c r="Q6325" s="86">
        <f t="shared" si="1911"/>
        <v>0</v>
      </c>
      <c r="R6325" s="86">
        <f t="shared" si="1912"/>
        <v>0</v>
      </c>
      <c r="S6325" s="86">
        <f t="shared" si="1913"/>
        <v>0</v>
      </c>
      <c r="T6325" s="86">
        <f t="shared" si="1914"/>
        <v>3923.05</v>
      </c>
      <c r="U6325" s="87">
        <v>3923.05</v>
      </c>
    </row>
    <row r="6326" spans="1:22" s="30" customFormat="1" ht="24.6" hidden="1" outlineLevel="1" x14ac:dyDescent="0.55000000000000004">
      <c r="A6326" s="27" t="s">
        <v>327</v>
      </c>
      <c r="B6326" s="28"/>
      <c r="C6326" s="27"/>
      <c r="D6326" s="27" t="str">
        <f>"""NAV Direct"",""CRONUS JetCorp USA"",""21"",""1"",""302783"""</f>
        <v>"NAV Direct","CRONUS JetCorp USA","21","1","302783"</v>
      </c>
      <c r="E6326" s="31" t="str">
        <f t="shared" si="1906"/>
        <v>C100521</v>
      </c>
      <c r="F6326" s="31"/>
      <c r="G6326" s="31"/>
      <c r="H6326" s="31"/>
      <c r="I6326" s="56"/>
      <c r="J6326" s="56"/>
      <c r="K6326" s="82" t="str">
        <f t="shared" si="1907"/>
        <v>Invoice</v>
      </c>
      <c r="L6326" s="83" t="str">
        <f>"SI_109313"</f>
        <v>SI_109313</v>
      </c>
      <c r="M6326" s="84">
        <v>42156</v>
      </c>
      <c r="N6326" s="85">
        <f t="shared" si="1908"/>
        <v>1656</v>
      </c>
      <c r="O6326" s="86">
        <f t="shared" si="1909"/>
        <v>3923.05</v>
      </c>
      <c r="P6326" s="86">
        <f t="shared" si="1910"/>
        <v>0</v>
      </c>
      <c r="Q6326" s="86">
        <f t="shared" si="1911"/>
        <v>0</v>
      </c>
      <c r="R6326" s="86">
        <f t="shared" si="1912"/>
        <v>0</v>
      </c>
      <c r="S6326" s="86">
        <f t="shared" si="1913"/>
        <v>0</v>
      </c>
      <c r="T6326" s="86">
        <f t="shared" si="1914"/>
        <v>3923.05</v>
      </c>
      <c r="U6326" s="87">
        <v>3923.05</v>
      </c>
    </row>
    <row r="6327" spans="1:22" s="30" customFormat="1" ht="24.6" hidden="1" outlineLevel="1" x14ac:dyDescent="0.55000000000000004">
      <c r="A6327" s="27" t="s">
        <v>327</v>
      </c>
      <c r="B6327" s="28"/>
      <c r="C6327" s="27"/>
      <c r="D6327" s="27" t="str">
        <f>"""NAV Direct"",""CRONUS JetCorp USA"",""21"",""1"",""303153"""</f>
        <v>"NAV Direct","CRONUS JetCorp USA","21","1","303153"</v>
      </c>
      <c r="E6327" s="31">
        <f t="shared" si="1906"/>
        <v>0</v>
      </c>
      <c r="F6327" s="31"/>
      <c r="G6327" s="31"/>
      <c r="H6327" s="31"/>
      <c r="I6327" s="56"/>
      <c r="J6327" s="56"/>
      <c r="K6327" s="82" t="str">
        <f t="shared" si="1907"/>
        <v>Invoice</v>
      </c>
      <c r="L6327" s="83" t="str">
        <f>"SI_109324"</f>
        <v>SI_109324</v>
      </c>
      <c r="M6327" s="84">
        <v>42164</v>
      </c>
      <c r="N6327" s="85">
        <f t="shared" si="1908"/>
        <v>1648</v>
      </c>
      <c r="O6327" s="86">
        <f t="shared" si="1909"/>
        <v>3923.04</v>
      </c>
      <c r="P6327" s="86">
        <f t="shared" si="1910"/>
        <v>0</v>
      </c>
      <c r="Q6327" s="86">
        <f t="shared" si="1911"/>
        <v>0</v>
      </c>
      <c r="R6327" s="86">
        <f t="shared" si="1912"/>
        <v>0</v>
      </c>
      <c r="S6327" s="86">
        <f t="shared" si="1913"/>
        <v>0</v>
      </c>
      <c r="T6327" s="86">
        <f t="shared" si="1914"/>
        <v>3923.04</v>
      </c>
      <c r="U6327" s="87">
        <v>3923.04</v>
      </c>
    </row>
    <row r="6328" spans="1:22" s="30" customFormat="1" ht="24.6" hidden="1" outlineLevel="1" x14ac:dyDescent="0.55000000000000004">
      <c r="A6328" s="27" t="s">
        <v>327</v>
      </c>
      <c r="B6328" s="28"/>
      <c r="C6328" s="27"/>
      <c r="D6328" s="27" t="str">
        <f>"""NAV Direct"",""CRONUS JetCorp USA"",""21"",""1"",""303331"""</f>
        <v>"NAV Direct","CRONUS JetCorp USA","21","1","303331"</v>
      </c>
      <c r="E6328" s="31" t="str">
        <f t="shared" si="1906"/>
        <v>C100521</v>
      </c>
      <c r="F6328" s="31"/>
      <c r="G6328" s="31"/>
      <c r="H6328" s="31"/>
      <c r="I6328" s="56"/>
      <c r="J6328" s="56"/>
      <c r="K6328" s="82" t="str">
        <f t="shared" si="1907"/>
        <v>Invoice</v>
      </c>
      <c r="L6328" s="83" t="str">
        <f>"SI_109329"</f>
        <v>SI_109329</v>
      </c>
      <c r="M6328" s="84">
        <v>42172</v>
      </c>
      <c r="N6328" s="85">
        <f t="shared" si="1908"/>
        <v>1640</v>
      </c>
      <c r="O6328" s="86">
        <f t="shared" si="1909"/>
        <v>3923.05</v>
      </c>
      <c r="P6328" s="86">
        <f t="shared" si="1910"/>
        <v>0</v>
      </c>
      <c r="Q6328" s="86">
        <f t="shared" si="1911"/>
        <v>0</v>
      </c>
      <c r="R6328" s="86">
        <f t="shared" si="1912"/>
        <v>0</v>
      </c>
      <c r="S6328" s="86">
        <f t="shared" si="1913"/>
        <v>0</v>
      </c>
      <c r="T6328" s="86">
        <f t="shared" si="1914"/>
        <v>3923.05</v>
      </c>
      <c r="U6328" s="87">
        <v>3923.05</v>
      </c>
    </row>
    <row r="6329" spans="1:22" s="22" customFormat="1" ht="20.399999999999999" collapsed="1" x14ac:dyDescent="0.45">
      <c r="A6329" s="12" t="s">
        <v>327</v>
      </c>
      <c r="B6329" s="19"/>
      <c r="C6329" s="12"/>
      <c r="D6329" s="12"/>
      <c r="E6329" s="23"/>
      <c r="F6329" s="23"/>
      <c r="G6329" s="23"/>
      <c r="H6329" s="23"/>
      <c r="I6329" s="49"/>
      <c r="J6329" s="88"/>
      <c r="K6329" s="88"/>
      <c r="L6329" s="89"/>
      <c r="M6329" s="89"/>
      <c r="N6329" s="89"/>
      <c r="O6329" s="89"/>
      <c r="P6329" s="89"/>
      <c r="Q6329" s="90"/>
      <c r="R6329" s="90"/>
      <c r="S6329" s="91"/>
      <c r="T6329" s="92"/>
      <c r="U6329" s="92"/>
    </row>
    <row r="6330" spans="1:22" s="22" customFormat="1" ht="20.399999999999999" x14ac:dyDescent="0.45">
      <c r="A6330" s="12" t="s">
        <v>327</v>
      </c>
      <c r="B6330" s="19"/>
      <c r="C6330" s="12"/>
      <c r="D6330" s="12"/>
      <c r="E6330" s="23"/>
      <c r="F6330" s="23"/>
      <c r="G6330" s="23"/>
      <c r="H6330" s="23"/>
      <c r="I6330" s="49"/>
      <c r="J6330" s="88"/>
      <c r="K6330" s="88"/>
      <c r="L6330" s="89"/>
      <c r="M6330" s="89"/>
      <c r="N6330" s="89"/>
      <c r="O6330" s="89"/>
      <c r="P6330" s="89"/>
      <c r="Q6330" s="90"/>
      <c r="R6330" s="90"/>
      <c r="S6330" s="91"/>
      <c r="T6330" s="92"/>
      <c r="U6330" s="92"/>
    </row>
    <row r="6331" spans="1:22" s="26" customFormat="1" ht="24.6" x14ac:dyDescent="0.55000000000000004">
      <c r="A6331" s="27" t="s">
        <v>327</v>
      </c>
      <c r="B6331" s="28"/>
      <c r="C6331" s="27" t="str">
        <f>"""NAV Direct"",""CRONUS JetCorp USA"",""18"",""1"",""C100522"""</f>
        <v>"NAV Direct","CRONUS JetCorp USA","18","1","C100522"</v>
      </c>
      <c r="D6331" s="27"/>
      <c r="E6331" s="28" t="str">
        <f>H6331</f>
        <v>C100522</v>
      </c>
      <c r="F6331" s="28"/>
      <c r="G6331" s="28"/>
      <c r="H6331" s="28" t="str">
        <f>"C100522"</f>
        <v>C100522</v>
      </c>
      <c r="I6331" s="116" t="str">
        <f>"C100522  -  Tarmingtons"</f>
        <v>C100522  -  Tarmingtons</v>
      </c>
      <c r="J6331" s="117" t="str">
        <f>""</f>
        <v/>
      </c>
      <c r="K6331" s="118"/>
      <c r="L6331" s="119">
        <f>SUBTOTAL(3,L6332:L6365)</f>
        <v>30</v>
      </c>
      <c r="M6331" s="118"/>
      <c r="N6331" s="118"/>
      <c r="O6331" s="120">
        <f t="shared" ref="O6331:T6331" si="1915">SUBTOTAL(9,O6332:O6365)</f>
        <v>71839.119999999981</v>
      </c>
      <c r="P6331" s="120">
        <f t="shared" si="1915"/>
        <v>0</v>
      </c>
      <c r="Q6331" s="120">
        <f t="shared" si="1915"/>
        <v>3241.9799999999996</v>
      </c>
      <c r="R6331" s="120">
        <f t="shared" si="1915"/>
        <v>0</v>
      </c>
      <c r="S6331" s="120">
        <f t="shared" si="1915"/>
        <v>2947.41</v>
      </c>
      <c r="T6331" s="120">
        <f t="shared" si="1915"/>
        <v>65649.729999999981</v>
      </c>
      <c r="U6331" s="81"/>
    </row>
    <row r="6332" spans="1:22" s="26" customFormat="1" ht="24.6" x14ac:dyDescent="0.55000000000000004">
      <c r="A6332" s="27" t="s">
        <v>327</v>
      </c>
      <c r="B6332" s="28"/>
      <c r="C6332" s="27" t="str">
        <f>C6331</f>
        <v>"NAV Direct","CRONUS JetCorp USA","18","1","C100522"</v>
      </c>
      <c r="D6332" s="27"/>
      <c r="E6332" s="28" t="str">
        <f>E6331</f>
        <v>C100522</v>
      </c>
      <c r="F6332" s="28"/>
      <c r="G6332" s="28"/>
      <c r="H6332" s="28"/>
      <c r="I6332" s="121" t="str">
        <f>"Contact: Steve Austin"</f>
        <v>Contact: Steve Austin</v>
      </c>
      <c r="J6332" s="121"/>
      <c r="K6332" s="122"/>
      <c r="L6332" s="123"/>
      <c r="M6332" s="123"/>
      <c r="N6332" s="124"/>
      <c r="O6332" s="124"/>
      <c r="P6332" s="123"/>
      <c r="Q6332" s="125"/>
      <c r="R6332" s="126"/>
      <c r="S6332" s="126"/>
      <c r="T6332" s="125"/>
      <c r="U6332" s="81"/>
    </row>
    <row r="6333" spans="1:22" s="26" customFormat="1" ht="24.6" x14ac:dyDescent="0.55000000000000004">
      <c r="A6333" s="27" t="s">
        <v>327</v>
      </c>
      <c r="B6333" s="28"/>
      <c r="C6333" s="27" t="str">
        <f>C6332</f>
        <v>"NAV Direct","CRONUS JetCorp USA","18","1","C100522"</v>
      </c>
      <c r="D6333" s="27"/>
      <c r="E6333" s="28" t="str">
        <f>E6332</f>
        <v>C100522</v>
      </c>
      <c r="F6333" s="28"/>
      <c r="G6333" s="28"/>
      <c r="H6333" s="28"/>
      <c r="I6333" s="121" t="str">
        <f>"Tarmingtons@cronuscorp.net"</f>
        <v>Tarmingtons@cronuscorp.net</v>
      </c>
      <c r="J6333" s="121"/>
      <c r="K6333" s="122"/>
      <c r="L6333" s="124"/>
      <c r="M6333" s="124"/>
      <c r="N6333" s="124"/>
      <c r="O6333" s="124"/>
      <c r="P6333" s="123"/>
      <c r="Q6333" s="125"/>
      <c r="R6333" s="126"/>
      <c r="S6333" s="126"/>
      <c r="T6333" s="125"/>
      <c r="U6333" s="81"/>
    </row>
    <row r="6334" spans="1:22" ht="12.75" hidden="1" customHeight="1" outlineLevel="1" x14ac:dyDescent="0.45">
      <c r="A6334" s="12" t="s">
        <v>328</v>
      </c>
      <c r="B6334" s="19"/>
      <c r="E6334" s="19"/>
      <c r="F6334" s="19"/>
      <c r="G6334" s="19"/>
      <c r="H6334" s="19"/>
      <c r="I6334" s="61"/>
      <c r="J6334" s="61"/>
      <c r="K6334" s="61"/>
      <c r="L6334" s="61"/>
      <c r="M6334" s="61"/>
      <c r="N6334" s="61"/>
      <c r="O6334" s="61"/>
      <c r="P6334" s="61"/>
      <c r="Q6334" s="61"/>
      <c r="R6334" s="61"/>
      <c r="S6334" s="61"/>
      <c r="T6334" s="61"/>
      <c r="U6334" s="61"/>
      <c r="V6334" s="21"/>
    </row>
    <row r="6335" spans="1:22" s="30" customFormat="1" ht="24.6" hidden="1" outlineLevel="1" x14ac:dyDescent="0.55000000000000004">
      <c r="A6335" s="27" t="s">
        <v>327</v>
      </c>
      <c r="B6335" s="28"/>
      <c r="C6335" s="27"/>
      <c r="D6335" s="27" t="str">
        <f>"""NAV Direct"",""CRONUS JetCorp USA"",""21"",""1"",""282275"""</f>
        <v>"NAV Direct","CRONUS JetCorp USA","21","1","282275"</v>
      </c>
      <c r="E6335" s="31" t="str">
        <f t="shared" ref="E6335:E6364" si="1916">E6333</f>
        <v>C100522</v>
      </c>
      <c r="F6335" s="31"/>
      <c r="G6335" s="31"/>
      <c r="H6335" s="31"/>
      <c r="I6335" s="56"/>
      <c r="J6335" s="56"/>
      <c r="K6335" s="82" t="str">
        <f t="shared" ref="K6335:K6364" si="1917">"Invoice"</f>
        <v>Invoice</v>
      </c>
      <c r="L6335" s="83" t="str">
        <f>"SI_108642"</f>
        <v>SI_108642</v>
      </c>
      <c r="M6335" s="84">
        <v>42042</v>
      </c>
      <c r="N6335" s="85">
        <f t="shared" ref="N6335:N6364" si="1918">StartDate-$M6335+1</f>
        <v>1770</v>
      </c>
      <c r="O6335" s="86">
        <f t="shared" ref="O6335:O6364" si="1919">SUM(P6335:T6335)</f>
        <v>776.13000000000011</v>
      </c>
      <c r="P6335" s="86">
        <f t="shared" ref="P6335:P6364" si="1920">IF($M6335&gt;=$P$18,U6335,0)</f>
        <v>0</v>
      </c>
      <c r="Q6335" s="86">
        <f t="shared" ref="Q6335:Q6364" si="1921">IF(AND($M6335&gt;=$Q$16,$M6335&lt;=$Q$18),U6335,0)</f>
        <v>0</v>
      </c>
      <c r="R6335" s="86">
        <f t="shared" ref="R6335:R6364" si="1922">IF(AND($M6335&gt;=$R$16,$M6335&lt;=$R$18),U6335,0)</f>
        <v>0</v>
      </c>
      <c r="S6335" s="86">
        <f t="shared" ref="S6335:S6364" si="1923">IF(AND($M6335&gt;=$S$16,$M6335&lt;=$S$18),U6335,0)</f>
        <v>0</v>
      </c>
      <c r="T6335" s="86">
        <f t="shared" ref="T6335:T6364" si="1924">IF($M6335&lt;=$T$18,U6335,0)</f>
        <v>776.13000000000011</v>
      </c>
      <c r="U6335" s="87">
        <v>776.13000000000011</v>
      </c>
    </row>
    <row r="6336" spans="1:22" s="30" customFormat="1" ht="24.6" hidden="1" outlineLevel="1" x14ac:dyDescent="0.55000000000000004">
      <c r="A6336" s="27" t="s">
        <v>327</v>
      </c>
      <c r="B6336" s="28"/>
      <c r="C6336" s="27"/>
      <c r="D6336" s="27" t="str">
        <f>"""NAV Direct"",""CRONUS JetCorp USA"",""21"",""1"",""282431"""</f>
        <v>"NAV Direct","CRONUS JetCorp USA","21","1","282431"</v>
      </c>
      <c r="E6336" s="31">
        <f t="shared" si="1916"/>
        <v>0</v>
      </c>
      <c r="F6336" s="31"/>
      <c r="G6336" s="31"/>
      <c r="H6336" s="31"/>
      <c r="I6336" s="56"/>
      <c r="J6336" s="56"/>
      <c r="K6336" s="82" t="str">
        <f t="shared" si="1917"/>
        <v>Invoice</v>
      </c>
      <c r="L6336" s="83" t="str">
        <f>"SI_108648"</f>
        <v>SI_108648</v>
      </c>
      <c r="M6336" s="84">
        <v>42084</v>
      </c>
      <c r="N6336" s="85">
        <f t="shared" si="1918"/>
        <v>1728</v>
      </c>
      <c r="O6336" s="86">
        <f t="shared" si="1919"/>
        <v>775.96</v>
      </c>
      <c r="P6336" s="86">
        <f t="shared" si="1920"/>
        <v>0</v>
      </c>
      <c r="Q6336" s="86">
        <f t="shared" si="1921"/>
        <v>0</v>
      </c>
      <c r="R6336" s="86">
        <f t="shared" si="1922"/>
        <v>0</v>
      </c>
      <c r="S6336" s="86">
        <f t="shared" si="1923"/>
        <v>0</v>
      </c>
      <c r="T6336" s="86">
        <f t="shared" si="1924"/>
        <v>775.96</v>
      </c>
      <c r="U6336" s="87">
        <v>775.96</v>
      </c>
    </row>
    <row r="6337" spans="1:21" s="30" customFormat="1" ht="24.6" hidden="1" outlineLevel="1" x14ac:dyDescent="0.55000000000000004">
      <c r="A6337" s="27" t="s">
        <v>327</v>
      </c>
      <c r="B6337" s="28"/>
      <c r="C6337" s="27"/>
      <c r="D6337" s="27" t="str">
        <f>"""NAV Direct"",""CRONUS JetCorp USA"",""21"",""1"",""283649"""</f>
        <v>"NAV Direct","CRONUS JetCorp USA","21","1","283649"</v>
      </c>
      <c r="E6337" s="31" t="str">
        <f t="shared" si="1916"/>
        <v>C100522</v>
      </c>
      <c r="F6337" s="31"/>
      <c r="G6337" s="31"/>
      <c r="H6337" s="31"/>
      <c r="I6337" s="56"/>
      <c r="J6337" s="56"/>
      <c r="K6337" s="82" t="str">
        <f t="shared" si="1917"/>
        <v>Invoice</v>
      </c>
      <c r="L6337" s="83" t="str">
        <f>"SI_108695"</f>
        <v>SI_108695</v>
      </c>
      <c r="M6337" s="84">
        <v>42265</v>
      </c>
      <c r="N6337" s="85">
        <f t="shared" si="1918"/>
        <v>1547</v>
      </c>
      <c r="O6337" s="86">
        <f t="shared" si="1919"/>
        <v>939.14</v>
      </c>
      <c r="P6337" s="86">
        <f t="shared" si="1920"/>
        <v>0</v>
      </c>
      <c r="Q6337" s="86">
        <f t="shared" si="1921"/>
        <v>0</v>
      </c>
      <c r="R6337" s="86">
        <f t="shared" si="1922"/>
        <v>0</v>
      </c>
      <c r="S6337" s="86">
        <f t="shared" si="1923"/>
        <v>0</v>
      </c>
      <c r="T6337" s="86">
        <f t="shared" si="1924"/>
        <v>939.14</v>
      </c>
      <c r="U6337" s="87">
        <v>939.14</v>
      </c>
    </row>
    <row r="6338" spans="1:21" s="30" customFormat="1" ht="24.6" hidden="1" outlineLevel="1" x14ac:dyDescent="0.55000000000000004">
      <c r="A6338" s="27" t="s">
        <v>327</v>
      </c>
      <c r="B6338" s="28"/>
      <c r="C6338" s="27"/>
      <c r="D6338" s="27" t="str">
        <f>"""NAV Direct"",""CRONUS JetCorp USA"",""21"",""1"",""284435"""</f>
        <v>"NAV Direct","CRONUS JetCorp USA","21","1","284435"</v>
      </c>
      <c r="E6338" s="31">
        <f t="shared" si="1916"/>
        <v>0</v>
      </c>
      <c r="F6338" s="31"/>
      <c r="G6338" s="31"/>
      <c r="H6338" s="31"/>
      <c r="I6338" s="56"/>
      <c r="J6338" s="56"/>
      <c r="K6338" s="82" t="str">
        <f t="shared" si="1917"/>
        <v>Invoice</v>
      </c>
      <c r="L6338" s="83" t="str">
        <f>"SI_108723"</f>
        <v>SI_108723</v>
      </c>
      <c r="M6338" s="84">
        <v>42323</v>
      </c>
      <c r="N6338" s="85">
        <f t="shared" si="1918"/>
        <v>1489</v>
      </c>
      <c r="O6338" s="86">
        <f t="shared" si="1919"/>
        <v>1033.04</v>
      </c>
      <c r="P6338" s="86">
        <f t="shared" si="1920"/>
        <v>0</v>
      </c>
      <c r="Q6338" s="86">
        <f t="shared" si="1921"/>
        <v>0</v>
      </c>
      <c r="R6338" s="86">
        <f t="shared" si="1922"/>
        <v>0</v>
      </c>
      <c r="S6338" s="86">
        <f t="shared" si="1923"/>
        <v>0</v>
      </c>
      <c r="T6338" s="86">
        <f t="shared" si="1924"/>
        <v>1033.04</v>
      </c>
      <c r="U6338" s="87">
        <v>1033.04</v>
      </c>
    </row>
    <row r="6339" spans="1:21" s="30" customFormat="1" ht="24.6" hidden="1" outlineLevel="1" x14ac:dyDescent="0.55000000000000004">
      <c r="A6339" s="27" t="s">
        <v>327</v>
      </c>
      <c r="B6339" s="28"/>
      <c r="C6339" s="27"/>
      <c r="D6339" s="27" t="str">
        <f>"""NAV Direct"",""CRONUS JetCorp USA"",""21"",""1"",""285123"""</f>
        <v>"NAV Direct","CRONUS JetCorp USA","21","1","285123"</v>
      </c>
      <c r="E6339" s="31" t="str">
        <f t="shared" si="1916"/>
        <v>C100522</v>
      </c>
      <c r="F6339" s="31"/>
      <c r="G6339" s="31"/>
      <c r="H6339" s="31"/>
      <c r="I6339" s="56"/>
      <c r="J6339" s="56"/>
      <c r="K6339" s="82" t="str">
        <f t="shared" si="1917"/>
        <v>Invoice</v>
      </c>
      <c r="L6339" s="83" t="str">
        <f>"SI_108748"</f>
        <v>SI_108748</v>
      </c>
      <c r="M6339" s="84">
        <v>42780</v>
      </c>
      <c r="N6339" s="85">
        <f t="shared" si="1918"/>
        <v>1032</v>
      </c>
      <c r="O6339" s="86">
        <f t="shared" si="1919"/>
        <v>1136.33</v>
      </c>
      <c r="P6339" s="86">
        <f t="shared" si="1920"/>
        <v>0</v>
      </c>
      <c r="Q6339" s="86">
        <f t="shared" si="1921"/>
        <v>0</v>
      </c>
      <c r="R6339" s="86">
        <f t="shared" si="1922"/>
        <v>0</v>
      </c>
      <c r="S6339" s="86">
        <f t="shared" si="1923"/>
        <v>0</v>
      </c>
      <c r="T6339" s="86">
        <f t="shared" si="1924"/>
        <v>1136.33</v>
      </c>
      <c r="U6339" s="87">
        <v>1136.33</v>
      </c>
    </row>
    <row r="6340" spans="1:21" s="30" customFormat="1" ht="24.6" hidden="1" outlineLevel="1" x14ac:dyDescent="0.55000000000000004">
      <c r="A6340" s="27" t="s">
        <v>327</v>
      </c>
      <c r="B6340" s="28"/>
      <c r="C6340" s="27"/>
      <c r="D6340" s="27" t="str">
        <f>"""NAV Direct"",""CRONUS JetCorp USA"",""21"",""1"",""285601"""</f>
        <v>"NAV Direct","CRONUS JetCorp USA","21","1","285601"</v>
      </c>
      <c r="E6340" s="31">
        <f t="shared" si="1916"/>
        <v>0</v>
      </c>
      <c r="F6340" s="31"/>
      <c r="G6340" s="31"/>
      <c r="H6340" s="31"/>
      <c r="I6340" s="56"/>
      <c r="J6340" s="56"/>
      <c r="K6340" s="82" t="str">
        <f t="shared" si="1917"/>
        <v>Invoice</v>
      </c>
      <c r="L6340" s="83" t="str">
        <f>"SI_108766"</f>
        <v>SI_108766</v>
      </c>
      <c r="M6340" s="84">
        <v>42838</v>
      </c>
      <c r="N6340" s="85">
        <f t="shared" si="1918"/>
        <v>974</v>
      </c>
      <c r="O6340" s="86">
        <f t="shared" si="1919"/>
        <v>1249.8699999999999</v>
      </c>
      <c r="P6340" s="86">
        <f t="shared" si="1920"/>
        <v>0</v>
      </c>
      <c r="Q6340" s="86">
        <f t="shared" si="1921"/>
        <v>0</v>
      </c>
      <c r="R6340" s="86">
        <f t="shared" si="1922"/>
        <v>0</v>
      </c>
      <c r="S6340" s="86">
        <f t="shared" si="1923"/>
        <v>0</v>
      </c>
      <c r="T6340" s="86">
        <f t="shared" si="1924"/>
        <v>1249.8699999999999</v>
      </c>
      <c r="U6340" s="87">
        <v>1249.8699999999999</v>
      </c>
    </row>
    <row r="6341" spans="1:21" s="30" customFormat="1" ht="24.6" hidden="1" outlineLevel="1" x14ac:dyDescent="0.55000000000000004">
      <c r="A6341" s="27" t="s">
        <v>327</v>
      </c>
      <c r="B6341" s="28"/>
      <c r="C6341" s="27"/>
      <c r="D6341" s="27" t="str">
        <f>"""NAV Direct"",""CRONUS JetCorp USA"",""21"",""1"",""287720"""</f>
        <v>"NAV Direct","CRONUS JetCorp USA","21","1","287720"</v>
      </c>
      <c r="E6341" s="31" t="str">
        <f t="shared" si="1916"/>
        <v>C100522</v>
      </c>
      <c r="F6341" s="31"/>
      <c r="G6341" s="31"/>
      <c r="H6341" s="31"/>
      <c r="I6341" s="56"/>
      <c r="J6341" s="56"/>
      <c r="K6341" s="82" t="str">
        <f t="shared" si="1917"/>
        <v>Invoice</v>
      </c>
      <c r="L6341" s="83" t="str">
        <f>"SI_108839"</f>
        <v>SI_108839</v>
      </c>
      <c r="M6341" s="84">
        <v>43081</v>
      </c>
      <c r="N6341" s="85">
        <f t="shared" si="1918"/>
        <v>731</v>
      </c>
      <c r="O6341" s="86">
        <f t="shared" si="1919"/>
        <v>1512.4599999999998</v>
      </c>
      <c r="P6341" s="86">
        <f t="shared" si="1920"/>
        <v>0</v>
      </c>
      <c r="Q6341" s="86">
        <f t="shared" si="1921"/>
        <v>0</v>
      </c>
      <c r="R6341" s="86">
        <f t="shared" si="1922"/>
        <v>0</v>
      </c>
      <c r="S6341" s="86">
        <f t="shared" si="1923"/>
        <v>0</v>
      </c>
      <c r="T6341" s="86">
        <f t="shared" si="1924"/>
        <v>1512.4599999999998</v>
      </c>
      <c r="U6341" s="87">
        <v>1512.4599999999998</v>
      </c>
    </row>
    <row r="6342" spans="1:21" s="30" customFormat="1" ht="24.6" hidden="1" outlineLevel="1" x14ac:dyDescent="0.55000000000000004">
      <c r="A6342" s="27" t="s">
        <v>327</v>
      </c>
      <c r="B6342" s="28"/>
      <c r="C6342" s="27"/>
      <c r="D6342" s="27" t="str">
        <f>"""NAV Direct"",""CRONUS JetCorp USA"",""21"",""1"",""287892"""</f>
        <v>"NAV Direct","CRONUS JetCorp USA","21","1","287892"</v>
      </c>
      <c r="E6342" s="31">
        <f t="shared" si="1916"/>
        <v>0</v>
      </c>
      <c r="F6342" s="31"/>
      <c r="G6342" s="31"/>
      <c r="H6342" s="31"/>
      <c r="I6342" s="56"/>
      <c r="J6342" s="56"/>
      <c r="K6342" s="82" t="str">
        <f t="shared" si="1917"/>
        <v>Invoice</v>
      </c>
      <c r="L6342" s="83" t="str">
        <f>"SI_108845"</f>
        <v>SI_108845</v>
      </c>
      <c r="M6342" s="84">
        <v>43084</v>
      </c>
      <c r="N6342" s="85">
        <f t="shared" si="1918"/>
        <v>728</v>
      </c>
      <c r="O6342" s="86">
        <f t="shared" si="1919"/>
        <v>1512.4599999999998</v>
      </c>
      <c r="P6342" s="86">
        <f t="shared" si="1920"/>
        <v>0</v>
      </c>
      <c r="Q6342" s="86">
        <f t="shared" si="1921"/>
        <v>0</v>
      </c>
      <c r="R6342" s="86">
        <f t="shared" si="1922"/>
        <v>0</v>
      </c>
      <c r="S6342" s="86">
        <f t="shared" si="1923"/>
        <v>0</v>
      </c>
      <c r="T6342" s="86">
        <f t="shared" si="1924"/>
        <v>1512.4599999999998</v>
      </c>
      <c r="U6342" s="87">
        <v>1512.4599999999998</v>
      </c>
    </row>
    <row r="6343" spans="1:21" s="30" customFormat="1" ht="24.6" hidden="1" outlineLevel="1" x14ac:dyDescent="0.55000000000000004">
      <c r="A6343" s="27" t="s">
        <v>327</v>
      </c>
      <c r="B6343" s="28"/>
      <c r="C6343" s="27"/>
      <c r="D6343" s="27" t="str">
        <f>"""NAV Direct"",""CRONUS JetCorp USA"",""21"",""1"",""287956"""</f>
        <v>"NAV Direct","CRONUS JetCorp USA","21","1","287956"</v>
      </c>
      <c r="E6343" s="31" t="str">
        <f t="shared" si="1916"/>
        <v>C100522</v>
      </c>
      <c r="F6343" s="31"/>
      <c r="G6343" s="31"/>
      <c r="H6343" s="31"/>
      <c r="I6343" s="56"/>
      <c r="J6343" s="56"/>
      <c r="K6343" s="82" t="str">
        <f t="shared" si="1917"/>
        <v>Invoice</v>
      </c>
      <c r="L6343" s="83" t="str">
        <f>"SI_108847"</f>
        <v>SI_108847</v>
      </c>
      <c r="M6343" s="84">
        <v>43066</v>
      </c>
      <c r="N6343" s="85">
        <f t="shared" si="1918"/>
        <v>746</v>
      </c>
      <c r="O6343" s="86">
        <f t="shared" si="1919"/>
        <v>1512.3500000000001</v>
      </c>
      <c r="P6343" s="86">
        <f t="shared" si="1920"/>
        <v>0</v>
      </c>
      <c r="Q6343" s="86">
        <f t="shared" si="1921"/>
        <v>0</v>
      </c>
      <c r="R6343" s="86">
        <f t="shared" si="1922"/>
        <v>0</v>
      </c>
      <c r="S6343" s="86">
        <f t="shared" si="1923"/>
        <v>0</v>
      </c>
      <c r="T6343" s="86">
        <f t="shared" si="1924"/>
        <v>1512.3500000000001</v>
      </c>
      <c r="U6343" s="87">
        <v>1512.3500000000001</v>
      </c>
    </row>
    <row r="6344" spans="1:21" s="30" customFormat="1" ht="24.6" hidden="1" outlineLevel="1" x14ac:dyDescent="0.55000000000000004">
      <c r="A6344" s="27" t="s">
        <v>327</v>
      </c>
      <c r="B6344" s="28"/>
      <c r="C6344" s="27"/>
      <c r="D6344" s="27" t="str">
        <f>"""NAV Direct"",""CRONUS JetCorp USA"",""21"",""1"",""287993"""</f>
        <v>"NAV Direct","CRONUS JetCorp USA","21","1","287993"</v>
      </c>
      <c r="E6344" s="31">
        <f t="shared" si="1916"/>
        <v>0</v>
      </c>
      <c r="F6344" s="31"/>
      <c r="G6344" s="31"/>
      <c r="H6344" s="31"/>
      <c r="I6344" s="56"/>
      <c r="J6344" s="56"/>
      <c r="K6344" s="82" t="str">
        <f t="shared" si="1917"/>
        <v>Invoice</v>
      </c>
      <c r="L6344" s="83" t="str">
        <f>"SI_108848"</f>
        <v>SI_108848</v>
      </c>
      <c r="M6344" s="84">
        <v>43076</v>
      </c>
      <c r="N6344" s="85">
        <f t="shared" si="1918"/>
        <v>736</v>
      </c>
      <c r="O6344" s="86">
        <f t="shared" si="1919"/>
        <v>1512.51</v>
      </c>
      <c r="P6344" s="86">
        <f t="shared" si="1920"/>
        <v>0</v>
      </c>
      <c r="Q6344" s="86">
        <f t="shared" si="1921"/>
        <v>0</v>
      </c>
      <c r="R6344" s="86">
        <f t="shared" si="1922"/>
        <v>0</v>
      </c>
      <c r="S6344" s="86">
        <f t="shared" si="1923"/>
        <v>0</v>
      </c>
      <c r="T6344" s="86">
        <f t="shared" si="1924"/>
        <v>1512.51</v>
      </c>
      <c r="U6344" s="87">
        <v>1512.51</v>
      </c>
    </row>
    <row r="6345" spans="1:21" s="30" customFormat="1" ht="24.6" hidden="1" outlineLevel="1" x14ac:dyDescent="0.55000000000000004">
      <c r="A6345" s="27" t="s">
        <v>327</v>
      </c>
      <c r="B6345" s="28"/>
      <c r="C6345" s="27"/>
      <c r="D6345" s="27" t="str">
        <f>"""NAV Direct"",""CRONUS JetCorp USA"",""21"",""1"",""290055"""</f>
        <v>"NAV Direct","CRONUS JetCorp USA","21","1","290055"</v>
      </c>
      <c r="E6345" s="31" t="str">
        <f t="shared" si="1916"/>
        <v>C100522</v>
      </c>
      <c r="F6345" s="31"/>
      <c r="G6345" s="31"/>
      <c r="H6345" s="31"/>
      <c r="I6345" s="56"/>
      <c r="J6345" s="56"/>
      <c r="K6345" s="82" t="str">
        <f t="shared" si="1917"/>
        <v>Invoice</v>
      </c>
      <c r="L6345" s="83" t="str">
        <f>"SI_108917"</f>
        <v>SI_108917</v>
      </c>
      <c r="M6345" s="84">
        <v>43239</v>
      </c>
      <c r="N6345" s="85">
        <f t="shared" si="1918"/>
        <v>573</v>
      </c>
      <c r="O6345" s="86">
        <f t="shared" si="1919"/>
        <v>1830.0800000000002</v>
      </c>
      <c r="P6345" s="86">
        <f t="shared" si="1920"/>
        <v>0</v>
      </c>
      <c r="Q6345" s="86">
        <f t="shared" si="1921"/>
        <v>0</v>
      </c>
      <c r="R6345" s="86">
        <f t="shared" si="1922"/>
        <v>0</v>
      </c>
      <c r="S6345" s="86">
        <f t="shared" si="1923"/>
        <v>0</v>
      </c>
      <c r="T6345" s="86">
        <f t="shared" si="1924"/>
        <v>1830.0800000000002</v>
      </c>
      <c r="U6345" s="87">
        <v>1830.0800000000002</v>
      </c>
    </row>
    <row r="6346" spans="1:21" s="30" customFormat="1" ht="24.6" hidden="1" outlineLevel="1" x14ac:dyDescent="0.55000000000000004">
      <c r="A6346" s="27" t="s">
        <v>327</v>
      </c>
      <c r="B6346" s="28"/>
      <c r="C6346" s="27"/>
      <c r="D6346" s="27" t="str">
        <f>"""NAV Direct"",""CRONUS JetCorp USA"",""21"",""1"",""291366"""</f>
        <v>"NAV Direct","CRONUS JetCorp USA","21","1","291366"</v>
      </c>
      <c r="E6346" s="31">
        <f t="shared" si="1916"/>
        <v>0</v>
      </c>
      <c r="F6346" s="31"/>
      <c r="G6346" s="31"/>
      <c r="H6346" s="31"/>
      <c r="I6346" s="56"/>
      <c r="J6346" s="56"/>
      <c r="K6346" s="82" t="str">
        <f t="shared" si="1917"/>
        <v>Invoice</v>
      </c>
      <c r="L6346" s="83" t="str">
        <f>"SI_108960"</f>
        <v>SI_108960</v>
      </c>
      <c r="M6346" s="84">
        <v>43350</v>
      </c>
      <c r="N6346" s="85">
        <f t="shared" si="1918"/>
        <v>462</v>
      </c>
      <c r="O6346" s="86">
        <f t="shared" si="1919"/>
        <v>2013.1399999999999</v>
      </c>
      <c r="P6346" s="86">
        <f t="shared" si="1920"/>
        <v>0</v>
      </c>
      <c r="Q6346" s="86">
        <f t="shared" si="1921"/>
        <v>0</v>
      </c>
      <c r="R6346" s="86">
        <f t="shared" si="1922"/>
        <v>0</v>
      </c>
      <c r="S6346" s="86">
        <f t="shared" si="1923"/>
        <v>0</v>
      </c>
      <c r="T6346" s="86">
        <f t="shared" si="1924"/>
        <v>2013.1399999999999</v>
      </c>
      <c r="U6346" s="87">
        <v>2013.1399999999999</v>
      </c>
    </row>
    <row r="6347" spans="1:21" s="30" customFormat="1" ht="24.6" hidden="1" outlineLevel="1" x14ac:dyDescent="0.55000000000000004">
      <c r="A6347" s="27" t="s">
        <v>327</v>
      </c>
      <c r="B6347" s="28"/>
      <c r="C6347" s="27"/>
      <c r="D6347" s="27" t="str">
        <f>"""NAV Direct"",""CRONUS JetCorp USA"",""21"",""1"",""292165"""</f>
        <v>"NAV Direct","CRONUS JetCorp USA","21","1","292165"</v>
      </c>
      <c r="E6347" s="31" t="str">
        <f t="shared" si="1916"/>
        <v>C100522</v>
      </c>
      <c r="F6347" s="31"/>
      <c r="G6347" s="31"/>
      <c r="H6347" s="31"/>
      <c r="I6347" s="56"/>
      <c r="J6347" s="56"/>
      <c r="K6347" s="82" t="str">
        <f t="shared" si="1917"/>
        <v>Invoice</v>
      </c>
      <c r="L6347" s="83" t="str">
        <f>"SI_108988"</f>
        <v>SI_108988</v>
      </c>
      <c r="M6347" s="84">
        <v>43419</v>
      </c>
      <c r="N6347" s="85">
        <f t="shared" si="1918"/>
        <v>393</v>
      </c>
      <c r="O6347" s="86">
        <f t="shared" si="1919"/>
        <v>2214.4299999999998</v>
      </c>
      <c r="P6347" s="86">
        <f t="shared" si="1920"/>
        <v>0</v>
      </c>
      <c r="Q6347" s="86">
        <f t="shared" si="1921"/>
        <v>0</v>
      </c>
      <c r="R6347" s="86">
        <f t="shared" si="1922"/>
        <v>0</v>
      </c>
      <c r="S6347" s="86">
        <f t="shared" si="1923"/>
        <v>0</v>
      </c>
      <c r="T6347" s="86">
        <f t="shared" si="1924"/>
        <v>2214.4299999999998</v>
      </c>
      <c r="U6347" s="87">
        <v>2214.4299999999998</v>
      </c>
    </row>
    <row r="6348" spans="1:21" s="30" customFormat="1" ht="24.6" hidden="1" outlineLevel="1" x14ac:dyDescent="0.55000000000000004">
      <c r="A6348" s="27" t="s">
        <v>327</v>
      </c>
      <c r="B6348" s="28"/>
      <c r="C6348" s="27"/>
      <c r="D6348" s="27" t="str">
        <f>"""NAV Direct"",""CRONUS JetCorp USA"",""21"",""1"",""293514"""</f>
        <v>"NAV Direct","CRONUS JetCorp USA","21","1","293514"</v>
      </c>
      <c r="E6348" s="31">
        <f t="shared" si="1916"/>
        <v>0</v>
      </c>
      <c r="F6348" s="31"/>
      <c r="G6348" s="31"/>
      <c r="H6348" s="31"/>
      <c r="I6348" s="56"/>
      <c r="J6348" s="56"/>
      <c r="K6348" s="82" t="str">
        <f t="shared" si="1917"/>
        <v>Invoice</v>
      </c>
      <c r="L6348" s="83" t="str">
        <f>"SI_109034"</f>
        <v>SI_109034</v>
      </c>
      <c r="M6348" s="84">
        <v>43524</v>
      </c>
      <c r="N6348" s="85">
        <f t="shared" si="1918"/>
        <v>288</v>
      </c>
      <c r="O6348" s="86">
        <f t="shared" si="1919"/>
        <v>2435.87</v>
      </c>
      <c r="P6348" s="86">
        <f t="shared" si="1920"/>
        <v>0</v>
      </c>
      <c r="Q6348" s="86">
        <f t="shared" si="1921"/>
        <v>0</v>
      </c>
      <c r="R6348" s="86">
        <f t="shared" si="1922"/>
        <v>0</v>
      </c>
      <c r="S6348" s="86">
        <f t="shared" si="1923"/>
        <v>0</v>
      </c>
      <c r="T6348" s="86">
        <f t="shared" si="1924"/>
        <v>2435.87</v>
      </c>
      <c r="U6348" s="87">
        <v>2435.87</v>
      </c>
    </row>
    <row r="6349" spans="1:21" s="30" customFormat="1" ht="24.6" hidden="1" outlineLevel="1" x14ac:dyDescent="0.55000000000000004">
      <c r="A6349" s="27" t="s">
        <v>327</v>
      </c>
      <c r="B6349" s="28"/>
      <c r="C6349" s="27"/>
      <c r="D6349" s="27" t="str">
        <f>"""NAV Direct"",""CRONUS JetCorp USA"",""21"",""1"",""293537"""</f>
        <v>"NAV Direct","CRONUS JetCorp USA","21","1","293537"</v>
      </c>
      <c r="E6349" s="31" t="str">
        <f t="shared" si="1916"/>
        <v>C100522</v>
      </c>
      <c r="F6349" s="31"/>
      <c r="G6349" s="31"/>
      <c r="H6349" s="31"/>
      <c r="I6349" s="56"/>
      <c r="J6349" s="56"/>
      <c r="K6349" s="82" t="str">
        <f t="shared" si="1917"/>
        <v>Invoice</v>
      </c>
      <c r="L6349" s="83" t="str">
        <f>"SI_109035"</f>
        <v>SI_109035</v>
      </c>
      <c r="M6349" s="84">
        <v>43512</v>
      </c>
      <c r="N6349" s="85">
        <f t="shared" si="1918"/>
        <v>300</v>
      </c>
      <c r="O6349" s="86">
        <f t="shared" si="1919"/>
        <v>2435.92</v>
      </c>
      <c r="P6349" s="86">
        <f t="shared" si="1920"/>
        <v>0</v>
      </c>
      <c r="Q6349" s="86">
        <f t="shared" si="1921"/>
        <v>0</v>
      </c>
      <c r="R6349" s="86">
        <f t="shared" si="1922"/>
        <v>0</v>
      </c>
      <c r="S6349" s="86">
        <f t="shared" si="1923"/>
        <v>0</v>
      </c>
      <c r="T6349" s="86">
        <f t="shared" si="1924"/>
        <v>2435.92</v>
      </c>
      <c r="U6349" s="87">
        <v>2435.92</v>
      </c>
    </row>
    <row r="6350" spans="1:21" s="30" customFormat="1" ht="24.6" hidden="1" outlineLevel="1" x14ac:dyDescent="0.55000000000000004">
      <c r="A6350" s="27" t="s">
        <v>327</v>
      </c>
      <c r="B6350" s="28"/>
      <c r="C6350" s="27"/>
      <c r="D6350" s="27" t="str">
        <f>"""NAV Direct"",""CRONUS JetCorp USA"",""21"",""1"",""294014"""</f>
        <v>"NAV Direct","CRONUS JetCorp USA","21","1","294014"</v>
      </c>
      <c r="E6350" s="31">
        <f t="shared" si="1916"/>
        <v>0</v>
      </c>
      <c r="F6350" s="31"/>
      <c r="G6350" s="31"/>
      <c r="H6350" s="31"/>
      <c r="I6350" s="56"/>
      <c r="J6350" s="56"/>
      <c r="K6350" s="82" t="str">
        <f t="shared" si="1917"/>
        <v>Invoice</v>
      </c>
      <c r="L6350" s="83" t="str">
        <f>"SI_109050"</f>
        <v>SI_109050</v>
      </c>
      <c r="M6350" s="84">
        <v>43524</v>
      </c>
      <c r="N6350" s="85">
        <f t="shared" si="1918"/>
        <v>288</v>
      </c>
      <c r="O6350" s="86">
        <f t="shared" si="1919"/>
        <v>2435.61</v>
      </c>
      <c r="P6350" s="86">
        <f t="shared" si="1920"/>
        <v>0</v>
      </c>
      <c r="Q6350" s="86">
        <f t="shared" si="1921"/>
        <v>0</v>
      </c>
      <c r="R6350" s="86">
        <f t="shared" si="1922"/>
        <v>0</v>
      </c>
      <c r="S6350" s="86">
        <f t="shared" si="1923"/>
        <v>0</v>
      </c>
      <c r="T6350" s="86">
        <f t="shared" si="1924"/>
        <v>2435.61</v>
      </c>
      <c r="U6350" s="87">
        <v>2435.61</v>
      </c>
    </row>
    <row r="6351" spans="1:21" s="30" customFormat="1" ht="24.6" hidden="1" outlineLevel="1" x14ac:dyDescent="0.55000000000000004">
      <c r="A6351" s="27" t="s">
        <v>327</v>
      </c>
      <c r="B6351" s="28"/>
      <c r="C6351" s="27"/>
      <c r="D6351" s="27" t="str">
        <f>"""NAV Direct"",""CRONUS JetCorp USA"",""21"",""1"",""294793"""</f>
        <v>"NAV Direct","CRONUS JetCorp USA","21","1","294793"</v>
      </c>
      <c r="E6351" s="31" t="str">
        <f t="shared" si="1916"/>
        <v>C100522</v>
      </c>
      <c r="F6351" s="31"/>
      <c r="G6351" s="31"/>
      <c r="H6351" s="31"/>
      <c r="I6351" s="56"/>
      <c r="J6351" s="56"/>
      <c r="K6351" s="82" t="str">
        <f t="shared" si="1917"/>
        <v>Invoice</v>
      </c>
      <c r="L6351" s="83" t="str">
        <f>"SI_109074"</f>
        <v>SI_109074</v>
      </c>
      <c r="M6351" s="84">
        <v>43587</v>
      </c>
      <c r="N6351" s="85">
        <f t="shared" si="1918"/>
        <v>225</v>
      </c>
      <c r="O6351" s="86">
        <f t="shared" si="1919"/>
        <v>2679.49</v>
      </c>
      <c r="P6351" s="86">
        <f t="shared" si="1920"/>
        <v>0</v>
      </c>
      <c r="Q6351" s="86">
        <f t="shared" si="1921"/>
        <v>0</v>
      </c>
      <c r="R6351" s="86">
        <f t="shared" si="1922"/>
        <v>0</v>
      </c>
      <c r="S6351" s="86">
        <f t="shared" si="1923"/>
        <v>0</v>
      </c>
      <c r="T6351" s="86">
        <f t="shared" si="1924"/>
        <v>2679.49</v>
      </c>
      <c r="U6351" s="87">
        <v>2679.49</v>
      </c>
    </row>
    <row r="6352" spans="1:21" s="30" customFormat="1" ht="24.6" hidden="1" outlineLevel="1" x14ac:dyDescent="0.55000000000000004">
      <c r="A6352" s="27" t="s">
        <v>327</v>
      </c>
      <c r="B6352" s="28"/>
      <c r="C6352" s="27"/>
      <c r="D6352" s="27" t="str">
        <f>"""NAV Direct"",""CRONUS JetCorp USA"",""21"",""1"",""295044"""</f>
        <v>"NAV Direct","CRONUS JetCorp USA","21","1","295044"</v>
      </c>
      <c r="E6352" s="31">
        <f t="shared" si="1916"/>
        <v>0</v>
      </c>
      <c r="F6352" s="31"/>
      <c r="G6352" s="31"/>
      <c r="H6352" s="31"/>
      <c r="I6352" s="56"/>
      <c r="J6352" s="56"/>
      <c r="K6352" s="82" t="str">
        <f t="shared" si="1917"/>
        <v>Invoice</v>
      </c>
      <c r="L6352" s="83" t="str">
        <f>"SI_109082"</f>
        <v>SI_109082</v>
      </c>
      <c r="M6352" s="84">
        <v>43608</v>
      </c>
      <c r="N6352" s="85">
        <f t="shared" si="1918"/>
        <v>204</v>
      </c>
      <c r="O6352" s="86">
        <f t="shared" si="1919"/>
        <v>2679.49</v>
      </c>
      <c r="P6352" s="86">
        <f t="shared" si="1920"/>
        <v>0</v>
      </c>
      <c r="Q6352" s="86">
        <f t="shared" si="1921"/>
        <v>0</v>
      </c>
      <c r="R6352" s="86">
        <f t="shared" si="1922"/>
        <v>0</v>
      </c>
      <c r="S6352" s="86">
        <f t="shared" si="1923"/>
        <v>0</v>
      </c>
      <c r="T6352" s="86">
        <f t="shared" si="1924"/>
        <v>2679.49</v>
      </c>
      <c r="U6352" s="87">
        <v>2679.49</v>
      </c>
    </row>
    <row r="6353" spans="1:21" s="30" customFormat="1" ht="24.6" hidden="1" outlineLevel="1" x14ac:dyDescent="0.55000000000000004">
      <c r="A6353" s="27" t="s">
        <v>327</v>
      </c>
      <c r="B6353" s="28"/>
      <c r="C6353" s="27"/>
      <c r="D6353" s="27" t="str">
        <f>"""NAV Direct"",""CRONUS JetCorp USA"",""21"",""1"",""295269"""</f>
        <v>"NAV Direct","CRONUS JetCorp USA","21","1","295269"</v>
      </c>
      <c r="E6353" s="31" t="str">
        <f t="shared" si="1916"/>
        <v>C100522</v>
      </c>
      <c r="F6353" s="31"/>
      <c r="G6353" s="31"/>
      <c r="H6353" s="31"/>
      <c r="I6353" s="56"/>
      <c r="J6353" s="56"/>
      <c r="K6353" s="82" t="str">
        <f t="shared" si="1917"/>
        <v>Invoice</v>
      </c>
      <c r="L6353" s="83" t="str">
        <f>"SI_109089"</f>
        <v>SI_109089</v>
      </c>
      <c r="M6353" s="84">
        <v>43596</v>
      </c>
      <c r="N6353" s="85">
        <f t="shared" si="1918"/>
        <v>216</v>
      </c>
      <c r="O6353" s="86">
        <f t="shared" si="1919"/>
        <v>2679.4500000000003</v>
      </c>
      <c r="P6353" s="86">
        <f t="shared" si="1920"/>
        <v>0</v>
      </c>
      <c r="Q6353" s="86">
        <f t="shared" si="1921"/>
        <v>0</v>
      </c>
      <c r="R6353" s="86">
        <f t="shared" si="1922"/>
        <v>0</v>
      </c>
      <c r="S6353" s="86">
        <f t="shared" si="1923"/>
        <v>0</v>
      </c>
      <c r="T6353" s="86">
        <f t="shared" si="1924"/>
        <v>2679.4500000000003</v>
      </c>
      <c r="U6353" s="87">
        <v>2679.4500000000003</v>
      </c>
    </row>
    <row r="6354" spans="1:21" s="30" customFormat="1" ht="24.6" hidden="1" outlineLevel="1" x14ac:dyDescent="0.55000000000000004">
      <c r="A6354" s="27" t="s">
        <v>327</v>
      </c>
      <c r="B6354" s="28"/>
      <c r="C6354" s="27"/>
      <c r="D6354" s="27" t="str">
        <f>"""NAV Direct"",""CRONUS JetCorp USA"",""21"",""1"",""297403"""</f>
        <v>"NAV Direct","CRONUS JetCorp USA","21","1","297403"</v>
      </c>
      <c r="E6354" s="31">
        <f t="shared" si="1916"/>
        <v>0</v>
      </c>
      <c r="F6354" s="31"/>
      <c r="G6354" s="31"/>
      <c r="H6354" s="31"/>
      <c r="I6354" s="56"/>
      <c r="J6354" s="56"/>
      <c r="K6354" s="82" t="str">
        <f t="shared" si="1917"/>
        <v>Invoice</v>
      </c>
      <c r="L6354" s="83" t="str">
        <f>"SI_109155"</f>
        <v>SI_109155</v>
      </c>
      <c r="M6354" s="84">
        <v>43718</v>
      </c>
      <c r="N6354" s="85">
        <f t="shared" si="1918"/>
        <v>94</v>
      </c>
      <c r="O6354" s="86">
        <f t="shared" si="1919"/>
        <v>2947.42</v>
      </c>
      <c r="P6354" s="86">
        <f t="shared" si="1920"/>
        <v>0</v>
      </c>
      <c r="Q6354" s="86">
        <f t="shared" si="1921"/>
        <v>0</v>
      </c>
      <c r="R6354" s="86">
        <f t="shared" si="1922"/>
        <v>0</v>
      </c>
      <c r="S6354" s="86">
        <f t="shared" si="1923"/>
        <v>0</v>
      </c>
      <c r="T6354" s="86">
        <f t="shared" si="1924"/>
        <v>2947.42</v>
      </c>
      <c r="U6354" s="87">
        <v>2947.42</v>
      </c>
    </row>
    <row r="6355" spans="1:21" s="30" customFormat="1" ht="24.6" hidden="1" outlineLevel="1" x14ac:dyDescent="0.55000000000000004">
      <c r="A6355" s="27" t="s">
        <v>327</v>
      </c>
      <c r="B6355" s="28"/>
      <c r="C6355" s="27"/>
      <c r="D6355" s="27" t="str">
        <f>"""NAV Direct"",""CRONUS JetCorp USA"",""21"",""1"",""297469"""</f>
        <v>"NAV Direct","CRONUS JetCorp USA","21","1","297469"</v>
      </c>
      <c r="E6355" s="31" t="str">
        <f t="shared" si="1916"/>
        <v>C100522</v>
      </c>
      <c r="F6355" s="31"/>
      <c r="G6355" s="31"/>
      <c r="H6355" s="31"/>
      <c r="I6355" s="56"/>
      <c r="J6355" s="56"/>
      <c r="K6355" s="82" t="str">
        <f t="shared" si="1917"/>
        <v>Invoice</v>
      </c>
      <c r="L6355" s="83" t="str">
        <f>"SI_109157"</f>
        <v>SI_109157</v>
      </c>
      <c r="M6355" s="84">
        <v>43710</v>
      </c>
      <c r="N6355" s="85">
        <f t="shared" si="1918"/>
        <v>102</v>
      </c>
      <c r="O6355" s="86">
        <f t="shared" si="1919"/>
        <v>2947.42</v>
      </c>
      <c r="P6355" s="86">
        <f t="shared" si="1920"/>
        <v>0</v>
      </c>
      <c r="Q6355" s="86">
        <f t="shared" si="1921"/>
        <v>0</v>
      </c>
      <c r="R6355" s="86">
        <f t="shared" si="1922"/>
        <v>0</v>
      </c>
      <c r="S6355" s="86">
        <f t="shared" si="1923"/>
        <v>0</v>
      </c>
      <c r="T6355" s="86">
        <f t="shared" si="1924"/>
        <v>2947.42</v>
      </c>
      <c r="U6355" s="87">
        <v>2947.42</v>
      </c>
    </row>
    <row r="6356" spans="1:21" s="30" customFormat="1" ht="24.6" hidden="1" outlineLevel="1" x14ac:dyDescent="0.55000000000000004">
      <c r="A6356" s="27" t="s">
        <v>327</v>
      </c>
      <c r="B6356" s="28"/>
      <c r="C6356" s="27"/>
      <c r="D6356" s="27" t="str">
        <f>"""NAV Direct"",""CRONUS JetCorp USA"",""21"",""1"",""297771"""</f>
        <v>"NAV Direct","CRONUS JetCorp USA","21","1","297771"</v>
      </c>
      <c r="E6356" s="31">
        <f t="shared" si="1916"/>
        <v>0</v>
      </c>
      <c r="F6356" s="31"/>
      <c r="G6356" s="31"/>
      <c r="H6356" s="31"/>
      <c r="I6356" s="56"/>
      <c r="J6356" s="56"/>
      <c r="K6356" s="82" t="str">
        <f t="shared" si="1917"/>
        <v>Invoice</v>
      </c>
      <c r="L6356" s="83" t="str">
        <f>"SI_109165"</f>
        <v>SI_109165</v>
      </c>
      <c r="M6356" s="84">
        <v>43740</v>
      </c>
      <c r="N6356" s="85">
        <f t="shared" si="1918"/>
        <v>72</v>
      </c>
      <c r="O6356" s="86">
        <f t="shared" si="1919"/>
        <v>2947.41</v>
      </c>
      <c r="P6356" s="86">
        <f t="shared" si="1920"/>
        <v>0</v>
      </c>
      <c r="Q6356" s="86">
        <f t="shared" si="1921"/>
        <v>0</v>
      </c>
      <c r="R6356" s="86">
        <f t="shared" si="1922"/>
        <v>0</v>
      </c>
      <c r="S6356" s="86">
        <f t="shared" si="1923"/>
        <v>2947.41</v>
      </c>
      <c r="T6356" s="86">
        <f t="shared" si="1924"/>
        <v>0</v>
      </c>
      <c r="U6356" s="87">
        <v>2947.41</v>
      </c>
    </row>
    <row r="6357" spans="1:21" s="30" customFormat="1" ht="24.6" hidden="1" outlineLevel="1" x14ac:dyDescent="0.55000000000000004">
      <c r="A6357" s="27" t="s">
        <v>327</v>
      </c>
      <c r="B6357" s="28"/>
      <c r="C6357" s="27"/>
      <c r="D6357" s="27" t="str">
        <f>"""NAV Direct"",""CRONUS JetCorp USA"",""21"",""1"",""298813"""</f>
        <v>"NAV Direct","CRONUS JetCorp USA","21","1","298813"</v>
      </c>
      <c r="E6357" s="31" t="str">
        <f t="shared" si="1916"/>
        <v>C100522</v>
      </c>
      <c r="F6357" s="31"/>
      <c r="G6357" s="31"/>
      <c r="H6357" s="31"/>
      <c r="I6357" s="56"/>
      <c r="J6357" s="56"/>
      <c r="K6357" s="82" t="str">
        <f t="shared" si="1917"/>
        <v>Invoice</v>
      </c>
      <c r="L6357" s="83" t="str">
        <f>"SI_109198"</f>
        <v>SI_109198</v>
      </c>
      <c r="M6357" s="84">
        <v>43799</v>
      </c>
      <c r="N6357" s="85">
        <f t="shared" si="1918"/>
        <v>13</v>
      </c>
      <c r="O6357" s="86">
        <f t="shared" si="1919"/>
        <v>3241.9799999999996</v>
      </c>
      <c r="P6357" s="86">
        <f t="shared" si="1920"/>
        <v>0</v>
      </c>
      <c r="Q6357" s="86">
        <f t="shared" si="1921"/>
        <v>3241.9799999999996</v>
      </c>
      <c r="R6357" s="86">
        <f t="shared" si="1922"/>
        <v>0</v>
      </c>
      <c r="S6357" s="86">
        <f t="shared" si="1923"/>
        <v>0</v>
      </c>
      <c r="T6357" s="86">
        <f t="shared" si="1924"/>
        <v>0</v>
      </c>
      <c r="U6357" s="87">
        <v>3241.9799999999996</v>
      </c>
    </row>
    <row r="6358" spans="1:21" s="30" customFormat="1" ht="24.6" hidden="1" outlineLevel="1" x14ac:dyDescent="0.55000000000000004">
      <c r="A6358" s="27" t="s">
        <v>327</v>
      </c>
      <c r="B6358" s="28"/>
      <c r="C6358" s="27"/>
      <c r="D6358" s="27" t="str">
        <f>"""NAV Direct"",""CRONUS JetCorp USA"",""21"",""1"",""299758"""</f>
        <v>"NAV Direct","CRONUS JetCorp USA","21","1","299758"</v>
      </c>
      <c r="E6358" s="31">
        <f t="shared" si="1916"/>
        <v>0</v>
      </c>
      <c r="F6358" s="31"/>
      <c r="G6358" s="31"/>
      <c r="H6358" s="31"/>
      <c r="I6358" s="56"/>
      <c r="J6358" s="56"/>
      <c r="K6358" s="82" t="str">
        <f t="shared" si="1917"/>
        <v>Invoice</v>
      </c>
      <c r="L6358" s="83" t="str">
        <f>"SI_109226"</f>
        <v>SI_109226</v>
      </c>
      <c r="M6358" s="84">
        <v>42031</v>
      </c>
      <c r="N6358" s="85">
        <f t="shared" si="1918"/>
        <v>1781</v>
      </c>
      <c r="O6358" s="86">
        <f t="shared" si="1919"/>
        <v>3566.36</v>
      </c>
      <c r="P6358" s="86">
        <f t="shared" si="1920"/>
        <v>0</v>
      </c>
      <c r="Q6358" s="86">
        <f t="shared" si="1921"/>
        <v>0</v>
      </c>
      <c r="R6358" s="86">
        <f t="shared" si="1922"/>
        <v>0</v>
      </c>
      <c r="S6358" s="86">
        <f t="shared" si="1923"/>
        <v>0</v>
      </c>
      <c r="T6358" s="86">
        <f t="shared" si="1924"/>
        <v>3566.36</v>
      </c>
      <c r="U6358" s="87">
        <v>3566.36</v>
      </c>
    </row>
    <row r="6359" spans="1:21" s="30" customFormat="1" ht="24.6" hidden="1" outlineLevel="1" x14ac:dyDescent="0.55000000000000004">
      <c r="A6359" s="27" t="s">
        <v>327</v>
      </c>
      <c r="B6359" s="28"/>
      <c r="C6359" s="27"/>
      <c r="D6359" s="27" t="str">
        <f>"""NAV Direct"",""CRONUS JetCorp USA"",""21"",""1"",""299900"""</f>
        <v>"NAV Direct","CRONUS JetCorp USA","21","1","299900"</v>
      </c>
      <c r="E6359" s="31" t="str">
        <f t="shared" si="1916"/>
        <v>C100522</v>
      </c>
      <c r="F6359" s="31"/>
      <c r="G6359" s="31"/>
      <c r="H6359" s="31"/>
      <c r="I6359" s="56"/>
      <c r="J6359" s="56"/>
      <c r="K6359" s="82" t="str">
        <f t="shared" si="1917"/>
        <v>Invoice</v>
      </c>
      <c r="L6359" s="83" t="str">
        <f>"SI_109230"</f>
        <v>SI_109230</v>
      </c>
      <c r="M6359" s="84">
        <v>42043</v>
      </c>
      <c r="N6359" s="85">
        <f t="shared" si="1918"/>
        <v>1769</v>
      </c>
      <c r="O6359" s="86">
        <f t="shared" si="1919"/>
        <v>3566.36</v>
      </c>
      <c r="P6359" s="86">
        <f t="shared" si="1920"/>
        <v>0</v>
      </c>
      <c r="Q6359" s="86">
        <f t="shared" si="1921"/>
        <v>0</v>
      </c>
      <c r="R6359" s="86">
        <f t="shared" si="1922"/>
        <v>0</v>
      </c>
      <c r="S6359" s="86">
        <f t="shared" si="1923"/>
        <v>0</v>
      </c>
      <c r="T6359" s="86">
        <f t="shared" si="1924"/>
        <v>3566.36</v>
      </c>
      <c r="U6359" s="87">
        <v>3566.36</v>
      </c>
    </row>
    <row r="6360" spans="1:21" s="30" customFormat="1" ht="24.6" hidden="1" outlineLevel="1" x14ac:dyDescent="0.55000000000000004">
      <c r="A6360" s="27" t="s">
        <v>327</v>
      </c>
      <c r="B6360" s="28"/>
      <c r="C6360" s="27"/>
      <c r="D6360" s="27" t="str">
        <f>"""NAV Direct"",""CRONUS JetCorp USA"",""21"",""1"",""301697"""</f>
        <v>"NAV Direct","CRONUS JetCorp USA","21","1","301697"</v>
      </c>
      <c r="E6360" s="31">
        <f t="shared" si="1916"/>
        <v>0</v>
      </c>
      <c r="F6360" s="31"/>
      <c r="G6360" s="31"/>
      <c r="H6360" s="31"/>
      <c r="I6360" s="56"/>
      <c r="J6360" s="56"/>
      <c r="K6360" s="82" t="str">
        <f t="shared" si="1917"/>
        <v>Invoice</v>
      </c>
      <c r="L6360" s="83" t="str">
        <f>"SI_109282"</f>
        <v>SI_109282</v>
      </c>
      <c r="M6360" s="84">
        <v>42086</v>
      </c>
      <c r="N6360" s="85">
        <f t="shared" si="1918"/>
        <v>1726</v>
      </c>
      <c r="O6360" s="86">
        <f t="shared" si="1919"/>
        <v>3566.42</v>
      </c>
      <c r="P6360" s="86">
        <f t="shared" si="1920"/>
        <v>0</v>
      </c>
      <c r="Q6360" s="86">
        <f t="shared" si="1921"/>
        <v>0</v>
      </c>
      <c r="R6360" s="86">
        <f t="shared" si="1922"/>
        <v>0</v>
      </c>
      <c r="S6360" s="86">
        <f t="shared" si="1923"/>
        <v>0</v>
      </c>
      <c r="T6360" s="86">
        <f t="shared" si="1924"/>
        <v>3566.42</v>
      </c>
      <c r="U6360" s="87">
        <v>3566.42</v>
      </c>
    </row>
    <row r="6361" spans="1:21" s="30" customFormat="1" ht="24.6" hidden="1" outlineLevel="1" x14ac:dyDescent="0.55000000000000004">
      <c r="A6361" s="27" t="s">
        <v>327</v>
      </c>
      <c r="B6361" s="28"/>
      <c r="C6361" s="27"/>
      <c r="D6361" s="27" t="str">
        <f>"""NAV Direct"",""CRONUS JetCorp USA"",""21"",""1"",""301874"""</f>
        <v>"NAV Direct","CRONUS JetCorp USA","21","1","301874"</v>
      </c>
      <c r="E6361" s="31" t="str">
        <f t="shared" si="1916"/>
        <v>C100522</v>
      </c>
      <c r="F6361" s="31"/>
      <c r="G6361" s="31"/>
      <c r="H6361" s="31"/>
      <c r="I6361" s="56"/>
      <c r="J6361" s="56"/>
      <c r="K6361" s="82" t="str">
        <f t="shared" si="1917"/>
        <v>Invoice</v>
      </c>
      <c r="L6361" s="83" t="str">
        <f>"SI_109287"</f>
        <v>SI_109287</v>
      </c>
      <c r="M6361" s="84">
        <v>42134</v>
      </c>
      <c r="N6361" s="85">
        <f t="shared" si="1918"/>
        <v>1678</v>
      </c>
      <c r="O6361" s="86">
        <f t="shared" si="1919"/>
        <v>3922.96</v>
      </c>
      <c r="P6361" s="86">
        <f t="shared" si="1920"/>
        <v>0</v>
      </c>
      <c r="Q6361" s="86">
        <f t="shared" si="1921"/>
        <v>0</v>
      </c>
      <c r="R6361" s="86">
        <f t="shared" si="1922"/>
        <v>0</v>
      </c>
      <c r="S6361" s="86">
        <f t="shared" si="1923"/>
        <v>0</v>
      </c>
      <c r="T6361" s="86">
        <f t="shared" si="1924"/>
        <v>3922.96</v>
      </c>
      <c r="U6361" s="87">
        <v>3922.96</v>
      </c>
    </row>
    <row r="6362" spans="1:21" s="30" customFormat="1" ht="24.6" hidden="1" outlineLevel="1" x14ac:dyDescent="0.55000000000000004">
      <c r="A6362" s="27" t="s">
        <v>327</v>
      </c>
      <c r="B6362" s="28"/>
      <c r="C6362" s="27"/>
      <c r="D6362" s="27" t="str">
        <f>"""NAV Direct"",""CRONUS JetCorp USA"",""21"",""1"",""302415"""</f>
        <v>"NAV Direct","CRONUS JetCorp USA","21","1","302415"</v>
      </c>
      <c r="E6362" s="31">
        <f t="shared" si="1916"/>
        <v>0</v>
      </c>
      <c r="F6362" s="31"/>
      <c r="G6362" s="31"/>
      <c r="H6362" s="31"/>
      <c r="I6362" s="56"/>
      <c r="J6362" s="56"/>
      <c r="K6362" s="82" t="str">
        <f t="shared" si="1917"/>
        <v>Invoice</v>
      </c>
      <c r="L6362" s="83" t="str">
        <f>"SI_109302"</f>
        <v>SI_109302</v>
      </c>
      <c r="M6362" s="84">
        <v>42146</v>
      </c>
      <c r="N6362" s="85">
        <f t="shared" si="1918"/>
        <v>1666</v>
      </c>
      <c r="O6362" s="86">
        <f t="shared" si="1919"/>
        <v>3923.08</v>
      </c>
      <c r="P6362" s="86">
        <f t="shared" si="1920"/>
        <v>0</v>
      </c>
      <c r="Q6362" s="86">
        <f t="shared" si="1921"/>
        <v>0</v>
      </c>
      <c r="R6362" s="86">
        <f t="shared" si="1922"/>
        <v>0</v>
      </c>
      <c r="S6362" s="86">
        <f t="shared" si="1923"/>
        <v>0</v>
      </c>
      <c r="T6362" s="86">
        <f t="shared" si="1924"/>
        <v>3923.08</v>
      </c>
      <c r="U6362" s="87">
        <v>3923.08</v>
      </c>
    </row>
    <row r="6363" spans="1:21" s="30" customFormat="1" ht="24.6" hidden="1" outlineLevel="1" x14ac:dyDescent="0.55000000000000004">
      <c r="A6363" s="27" t="s">
        <v>327</v>
      </c>
      <c r="B6363" s="28"/>
      <c r="C6363" s="27"/>
      <c r="D6363" s="27" t="str">
        <f>"""NAV Direct"",""CRONUS JetCorp USA"",""21"",""1"",""302810"""</f>
        <v>"NAV Direct","CRONUS JetCorp USA","21","1","302810"</v>
      </c>
      <c r="E6363" s="31" t="str">
        <f t="shared" si="1916"/>
        <v>C100522</v>
      </c>
      <c r="F6363" s="31"/>
      <c r="G6363" s="31"/>
      <c r="H6363" s="31"/>
      <c r="I6363" s="56"/>
      <c r="J6363" s="56"/>
      <c r="K6363" s="82" t="str">
        <f t="shared" si="1917"/>
        <v>Invoice</v>
      </c>
      <c r="L6363" s="83" t="str">
        <f>"SI_109314"</f>
        <v>SI_109314</v>
      </c>
      <c r="M6363" s="84">
        <v>42159</v>
      </c>
      <c r="N6363" s="85">
        <f t="shared" si="1918"/>
        <v>1653</v>
      </c>
      <c r="O6363" s="86">
        <f t="shared" si="1919"/>
        <v>3923.0600000000004</v>
      </c>
      <c r="P6363" s="86">
        <f t="shared" si="1920"/>
        <v>0</v>
      </c>
      <c r="Q6363" s="86">
        <f t="shared" si="1921"/>
        <v>0</v>
      </c>
      <c r="R6363" s="86">
        <f t="shared" si="1922"/>
        <v>0</v>
      </c>
      <c r="S6363" s="86">
        <f t="shared" si="1923"/>
        <v>0</v>
      </c>
      <c r="T6363" s="86">
        <f t="shared" si="1924"/>
        <v>3923.0600000000004</v>
      </c>
      <c r="U6363" s="87">
        <v>3923.0600000000004</v>
      </c>
    </row>
    <row r="6364" spans="1:21" s="30" customFormat="1" ht="24.6" hidden="1" outlineLevel="1" x14ac:dyDescent="0.55000000000000004">
      <c r="A6364" s="27" t="s">
        <v>327</v>
      </c>
      <c r="B6364" s="28"/>
      <c r="C6364" s="27"/>
      <c r="D6364" s="27" t="str">
        <f>"""NAV Direct"",""CRONUS JetCorp USA"",""21"",""1"",""303734"""</f>
        <v>"NAV Direct","CRONUS JetCorp USA","21","1","303734"</v>
      </c>
      <c r="E6364" s="31">
        <f t="shared" si="1916"/>
        <v>0</v>
      </c>
      <c r="F6364" s="31"/>
      <c r="G6364" s="31"/>
      <c r="H6364" s="31"/>
      <c r="I6364" s="56"/>
      <c r="J6364" s="56"/>
      <c r="K6364" s="82" t="str">
        <f t="shared" si="1917"/>
        <v>Invoice</v>
      </c>
      <c r="L6364" s="83" t="str">
        <f>"SI_109341"</f>
        <v>SI_109341</v>
      </c>
      <c r="M6364" s="84">
        <v>42186</v>
      </c>
      <c r="N6364" s="85">
        <f t="shared" si="1918"/>
        <v>1626</v>
      </c>
      <c r="O6364" s="86">
        <f t="shared" si="1919"/>
        <v>3922.92</v>
      </c>
      <c r="P6364" s="86">
        <f t="shared" si="1920"/>
        <v>0</v>
      </c>
      <c r="Q6364" s="86">
        <f t="shared" si="1921"/>
        <v>0</v>
      </c>
      <c r="R6364" s="86">
        <f t="shared" si="1922"/>
        <v>0</v>
      </c>
      <c r="S6364" s="86">
        <f t="shared" si="1923"/>
        <v>0</v>
      </c>
      <c r="T6364" s="86">
        <f t="shared" si="1924"/>
        <v>3922.92</v>
      </c>
      <c r="U6364" s="87">
        <v>3922.92</v>
      </c>
    </row>
    <row r="6365" spans="1:21" s="22" customFormat="1" ht="20.399999999999999" collapsed="1" x14ac:dyDescent="0.45">
      <c r="A6365" s="12" t="s">
        <v>327</v>
      </c>
      <c r="B6365" s="19"/>
      <c r="C6365" s="12"/>
      <c r="D6365" s="12"/>
      <c r="E6365" s="23"/>
      <c r="F6365" s="23"/>
      <c r="G6365" s="23"/>
      <c r="H6365" s="23"/>
      <c r="I6365" s="49"/>
      <c r="J6365" s="88"/>
      <c r="K6365" s="88"/>
      <c r="L6365" s="89"/>
      <c r="M6365" s="89"/>
      <c r="N6365" s="89"/>
      <c r="O6365" s="89"/>
      <c r="P6365" s="89"/>
      <c r="Q6365" s="90"/>
      <c r="R6365" s="90"/>
      <c r="S6365" s="91"/>
      <c r="T6365" s="92"/>
      <c r="U6365" s="92"/>
    </row>
    <row r="6366" spans="1:21" s="22" customFormat="1" ht="20.399999999999999" x14ac:dyDescent="0.45">
      <c r="A6366" s="12" t="s">
        <v>327</v>
      </c>
      <c r="B6366" s="19"/>
      <c r="C6366" s="12"/>
      <c r="D6366" s="12"/>
      <c r="E6366" s="23"/>
      <c r="F6366" s="23"/>
      <c r="G6366" s="23"/>
      <c r="H6366" s="23"/>
      <c r="I6366" s="49"/>
      <c r="J6366" s="88"/>
      <c r="K6366" s="88"/>
      <c r="L6366" s="89"/>
      <c r="M6366" s="89"/>
      <c r="N6366" s="89"/>
      <c r="O6366" s="89"/>
      <c r="P6366" s="89"/>
      <c r="Q6366" s="90"/>
      <c r="R6366" s="90"/>
      <c r="S6366" s="91"/>
      <c r="T6366" s="92"/>
      <c r="U6366" s="92"/>
    </row>
    <row r="6367" spans="1:21" s="26" customFormat="1" ht="24.6" x14ac:dyDescent="0.55000000000000004">
      <c r="A6367" s="27" t="s">
        <v>327</v>
      </c>
      <c r="B6367" s="28"/>
      <c r="C6367" s="27" t="str">
        <f>"""NAV Direct"",""CRONUS JetCorp USA"",""18"",""1"",""C100523"""</f>
        <v>"NAV Direct","CRONUS JetCorp USA","18","1","C100523"</v>
      </c>
      <c r="D6367" s="27"/>
      <c r="E6367" s="28" t="str">
        <f>H6367</f>
        <v>C100523</v>
      </c>
      <c r="F6367" s="28"/>
      <c r="G6367" s="28"/>
      <c r="H6367" s="28" t="str">
        <f>"C100523"</f>
        <v>C100523</v>
      </c>
      <c r="I6367" s="116" t="str">
        <f>"C100523  -  Stan's Trophies"</f>
        <v>C100523  -  Stan's Trophies</v>
      </c>
      <c r="J6367" s="117" t="str">
        <f>""</f>
        <v/>
      </c>
      <c r="K6367" s="118"/>
      <c r="L6367" s="119">
        <f>SUBTOTAL(3,L6368:L6401)</f>
        <v>30</v>
      </c>
      <c r="M6367" s="118"/>
      <c r="N6367" s="118"/>
      <c r="O6367" s="120">
        <f t="shared" ref="O6367:T6367" si="1925">SUBTOTAL(9,O6368:O6401)</f>
        <v>62277.990000000005</v>
      </c>
      <c r="P6367" s="120">
        <f t="shared" si="1925"/>
        <v>0</v>
      </c>
      <c r="Q6367" s="120">
        <f t="shared" si="1925"/>
        <v>0</v>
      </c>
      <c r="R6367" s="120">
        <f t="shared" si="1925"/>
        <v>3947.54</v>
      </c>
      <c r="S6367" s="120">
        <f t="shared" si="1925"/>
        <v>0</v>
      </c>
      <c r="T6367" s="120">
        <f t="shared" si="1925"/>
        <v>58330.45</v>
      </c>
      <c r="U6367" s="81"/>
    </row>
    <row r="6368" spans="1:21" s="26" customFormat="1" ht="24.6" x14ac:dyDescent="0.55000000000000004">
      <c r="A6368" s="27" t="s">
        <v>327</v>
      </c>
      <c r="B6368" s="28"/>
      <c r="C6368" s="27" t="str">
        <f>C6367</f>
        <v>"NAV Direct","CRONUS JetCorp USA","18","1","C100523"</v>
      </c>
      <c r="D6368" s="27"/>
      <c r="E6368" s="28" t="str">
        <f>E6367</f>
        <v>C100523</v>
      </c>
      <c r="F6368" s="28"/>
      <c r="G6368" s="28"/>
      <c r="H6368" s="28"/>
      <c r="I6368" s="121" t="str">
        <f>"Contact: Stan Stan"</f>
        <v>Contact: Stan Stan</v>
      </c>
      <c r="J6368" s="121"/>
      <c r="K6368" s="122"/>
      <c r="L6368" s="123"/>
      <c r="M6368" s="123"/>
      <c r="N6368" s="124"/>
      <c r="O6368" s="124"/>
      <c r="P6368" s="123"/>
      <c r="Q6368" s="125"/>
      <c r="R6368" s="126"/>
      <c r="S6368" s="126"/>
      <c r="T6368" s="125"/>
      <c r="U6368" s="81"/>
    </row>
    <row r="6369" spans="1:22" s="26" customFormat="1" ht="24.6" x14ac:dyDescent="0.55000000000000004">
      <c r="A6369" s="27" t="s">
        <v>327</v>
      </c>
      <c r="B6369" s="28"/>
      <c r="C6369" s="27" t="str">
        <f>C6368</f>
        <v>"NAV Direct","CRONUS JetCorp USA","18","1","C100523"</v>
      </c>
      <c r="D6369" s="27"/>
      <c r="E6369" s="28" t="str">
        <f>E6368</f>
        <v>C100523</v>
      </c>
      <c r="F6369" s="28"/>
      <c r="G6369" s="28"/>
      <c r="H6369" s="28"/>
      <c r="I6369" s="121" t="str">
        <f>"Stan's Trophies@cronuscorp.net"</f>
        <v>Stan's Trophies@cronuscorp.net</v>
      </c>
      <c r="J6369" s="121"/>
      <c r="K6369" s="122"/>
      <c r="L6369" s="124"/>
      <c r="M6369" s="124"/>
      <c r="N6369" s="124"/>
      <c r="O6369" s="124"/>
      <c r="P6369" s="123"/>
      <c r="Q6369" s="125"/>
      <c r="R6369" s="126"/>
      <c r="S6369" s="126"/>
      <c r="T6369" s="125"/>
      <c r="U6369" s="81"/>
    </row>
    <row r="6370" spans="1:22" ht="12.75" hidden="1" customHeight="1" outlineLevel="1" x14ac:dyDescent="0.45">
      <c r="A6370" s="12" t="s">
        <v>328</v>
      </c>
      <c r="B6370" s="19"/>
      <c r="E6370" s="19"/>
      <c r="F6370" s="19"/>
      <c r="G6370" s="19"/>
      <c r="H6370" s="19"/>
      <c r="I6370" s="61"/>
      <c r="J6370" s="61"/>
      <c r="K6370" s="61"/>
      <c r="L6370" s="61"/>
      <c r="M6370" s="61"/>
      <c r="N6370" s="61"/>
      <c r="O6370" s="61"/>
      <c r="P6370" s="61"/>
      <c r="Q6370" s="61"/>
      <c r="R6370" s="61"/>
      <c r="S6370" s="61"/>
      <c r="T6370" s="61"/>
      <c r="U6370" s="61"/>
      <c r="V6370" s="21"/>
    </row>
    <row r="6371" spans="1:22" s="30" customFormat="1" ht="24.6" hidden="1" outlineLevel="1" x14ac:dyDescent="0.55000000000000004">
      <c r="A6371" s="27" t="s">
        <v>327</v>
      </c>
      <c r="B6371" s="28"/>
      <c r="C6371" s="27"/>
      <c r="D6371" s="27" t="str">
        <f>"""NAV Direct"",""CRONUS JetCorp USA"",""21"",""1"",""280835"""</f>
        <v>"NAV Direct","CRONUS JetCorp USA","21","1","280835"</v>
      </c>
      <c r="E6371" s="31" t="str">
        <f t="shared" ref="E6371:E6400" si="1926">E6369</f>
        <v>C100523</v>
      </c>
      <c r="F6371" s="31"/>
      <c r="G6371" s="31"/>
      <c r="H6371" s="31"/>
      <c r="I6371" s="56"/>
      <c r="J6371" s="56"/>
      <c r="K6371" s="82" t="str">
        <f t="shared" ref="K6371:K6400" si="1927">"Invoice"</f>
        <v>Invoice</v>
      </c>
      <c r="L6371" s="83" t="str">
        <f>"SI_108584"</f>
        <v>SI_108584</v>
      </c>
      <c r="M6371" s="84">
        <v>43537</v>
      </c>
      <c r="N6371" s="85">
        <f t="shared" ref="N6371:N6400" si="1928">StartDate-$M6371+1</f>
        <v>275</v>
      </c>
      <c r="O6371" s="86">
        <f t="shared" ref="O6371:O6400" si="1929">SUM(P6371:T6371)</f>
        <v>587.85</v>
      </c>
      <c r="P6371" s="86">
        <f t="shared" ref="P6371:P6400" si="1930">IF($M6371&gt;=$P$18,U6371,0)</f>
        <v>0</v>
      </c>
      <c r="Q6371" s="86">
        <f t="shared" ref="Q6371:Q6400" si="1931">IF(AND($M6371&gt;=$Q$16,$M6371&lt;=$Q$18),U6371,0)</f>
        <v>0</v>
      </c>
      <c r="R6371" s="86">
        <f t="shared" ref="R6371:R6400" si="1932">IF(AND($M6371&gt;=$R$16,$M6371&lt;=$R$18),U6371,0)</f>
        <v>0</v>
      </c>
      <c r="S6371" s="86">
        <f t="shared" ref="S6371:S6400" si="1933">IF(AND($M6371&gt;=$S$16,$M6371&lt;=$S$18),U6371,0)</f>
        <v>0</v>
      </c>
      <c r="T6371" s="86">
        <f t="shared" ref="T6371:T6400" si="1934">IF($M6371&lt;=$T$18,U6371,0)</f>
        <v>587.85</v>
      </c>
      <c r="U6371" s="87">
        <v>587.85</v>
      </c>
    </row>
    <row r="6372" spans="1:22" s="30" customFormat="1" ht="24.6" hidden="1" outlineLevel="1" x14ac:dyDescent="0.55000000000000004">
      <c r="A6372" s="27" t="s">
        <v>327</v>
      </c>
      <c r="B6372" s="28"/>
      <c r="C6372" s="27"/>
      <c r="D6372" s="27" t="str">
        <f>"""NAV Direct"",""CRONUS JetCorp USA"",""21"",""1"",""281946"""</f>
        <v>"NAV Direct","CRONUS JetCorp USA","21","1","281946"</v>
      </c>
      <c r="E6372" s="31">
        <f t="shared" si="1926"/>
        <v>0</v>
      </c>
      <c r="F6372" s="31"/>
      <c r="G6372" s="31"/>
      <c r="H6372" s="31"/>
      <c r="I6372" s="56"/>
      <c r="J6372" s="56"/>
      <c r="K6372" s="82" t="str">
        <f t="shared" si="1927"/>
        <v>Invoice</v>
      </c>
      <c r="L6372" s="83" t="str">
        <f>"SI_108629"</f>
        <v>SI_108629</v>
      </c>
      <c r="M6372" s="84">
        <v>43770</v>
      </c>
      <c r="N6372" s="85">
        <f t="shared" si="1928"/>
        <v>42</v>
      </c>
      <c r="O6372" s="86">
        <f t="shared" si="1929"/>
        <v>705.31999999999994</v>
      </c>
      <c r="P6372" s="86">
        <f t="shared" si="1930"/>
        <v>0</v>
      </c>
      <c r="Q6372" s="86">
        <f t="shared" si="1931"/>
        <v>0</v>
      </c>
      <c r="R6372" s="86">
        <f t="shared" si="1932"/>
        <v>705.31999999999994</v>
      </c>
      <c r="S6372" s="86">
        <f t="shared" si="1933"/>
        <v>0</v>
      </c>
      <c r="T6372" s="86">
        <f t="shared" si="1934"/>
        <v>0</v>
      </c>
      <c r="U6372" s="87">
        <v>705.31999999999994</v>
      </c>
    </row>
    <row r="6373" spans="1:22" s="30" customFormat="1" ht="24.6" hidden="1" outlineLevel="1" x14ac:dyDescent="0.55000000000000004">
      <c r="A6373" s="27" t="s">
        <v>327</v>
      </c>
      <c r="B6373" s="28"/>
      <c r="C6373" s="27"/>
      <c r="D6373" s="27" t="str">
        <f>"""NAV Direct"",""CRONUS JetCorp USA"",""21"",""1"",""282554"""</f>
        <v>"NAV Direct","CRONUS JetCorp USA","21","1","282554"</v>
      </c>
      <c r="E6373" s="31" t="str">
        <f t="shared" si="1926"/>
        <v>C100523</v>
      </c>
      <c r="F6373" s="31"/>
      <c r="G6373" s="31"/>
      <c r="H6373" s="31"/>
      <c r="I6373" s="56"/>
      <c r="J6373" s="56"/>
      <c r="K6373" s="82" t="str">
        <f t="shared" si="1927"/>
        <v>Invoice</v>
      </c>
      <c r="L6373" s="83" t="str">
        <f>"SI_108653"</f>
        <v>SI_108653</v>
      </c>
      <c r="M6373" s="84">
        <v>42054</v>
      </c>
      <c r="N6373" s="85">
        <f t="shared" si="1928"/>
        <v>1758</v>
      </c>
      <c r="O6373" s="86">
        <f t="shared" si="1929"/>
        <v>775.96</v>
      </c>
      <c r="P6373" s="86">
        <f t="shared" si="1930"/>
        <v>0</v>
      </c>
      <c r="Q6373" s="86">
        <f t="shared" si="1931"/>
        <v>0</v>
      </c>
      <c r="R6373" s="86">
        <f t="shared" si="1932"/>
        <v>0</v>
      </c>
      <c r="S6373" s="86">
        <f t="shared" si="1933"/>
        <v>0</v>
      </c>
      <c r="T6373" s="86">
        <f t="shared" si="1934"/>
        <v>775.96</v>
      </c>
      <c r="U6373" s="87">
        <v>775.96</v>
      </c>
    </row>
    <row r="6374" spans="1:22" s="30" customFormat="1" ht="24.6" hidden="1" outlineLevel="1" x14ac:dyDescent="0.55000000000000004">
      <c r="A6374" s="27" t="s">
        <v>327</v>
      </c>
      <c r="B6374" s="28"/>
      <c r="C6374" s="27"/>
      <c r="D6374" s="27" t="str">
        <f>"""NAV Direct"",""CRONUS JetCorp USA"",""21"",""1"",""283235"""</f>
        <v>"NAV Direct","CRONUS JetCorp USA","21","1","283235"</v>
      </c>
      <c r="E6374" s="31">
        <f t="shared" si="1926"/>
        <v>0</v>
      </c>
      <c r="F6374" s="31"/>
      <c r="G6374" s="31"/>
      <c r="H6374" s="31"/>
      <c r="I6374" s="56"/>
      <c r="J6374" s="56"/>
      <c r="K6374" s="82" t="str">
        <f t="shared" si="1927"/>
        <v>Invoice</v>
      </c>
      <c r="L6374" s="83" t="str">
        <f>"SI_108679"</f>
        <v>SI_108679</v>
      </c>
      <c r="M6374" s="84">
        <v>42224</v>
      </c>
      <c r="N6374" s="85">
        <f t="shared" si="1928"/>
        <v>1588</v>
      </c>
      <c r="O6374" s="86">
        <f t="shared" si="1929"/>
        <v>939.06</v>
      </c>
      <c r="P6374" s="86">
        <f t="shared" si="1930"/>
        <v>0</v>
      </c>
      <c r="Q6374" s="86">
        <f t="shared" si="1931"/>
        <v>0</v>
      </c>
      <c r="R6374" s="86">
        <f t="shared" si="1932"/>
        <v>0</v>
      </c>
      <c r="S6374" s="86">
        <f t="shared" si="1933"/>
        <v>0</v>
      </c>
      <c r="T6374" s="86">
        <f t="shared" si="1934"/>
        <v>939.06</v>
      </c>
      <c r="U6374" s="87">
        <v>939.06</v>
      </c>
    </row>
    <row r="6375" spans="1:22" s="30" customFormat="1" ht="24.6" hidden="1" outlineLevel="1" x14ac:dyDescent="0.55000000000000004">
      <c r="A6375" s="27" t="s">
        <v>327</v>
      </c>
      <c r="B6375" s="28"/>
      <c r="C6375" s="27"/>
      <c r="D6375" s="27" t="str">
        <f>"""NAV Direct"",""CRONUS JetCorp USA"",""21"",""1"",""285680"""</f>
        <v>"NAV Direct","CRONUS JetCorp USA","21","1","285680"</v>
      </c>
      <c r="E6375" s="31" t="str">
        <f t="shared" si="1926"/>
        <v>C100523</v>
      </c>
      <c r="F6375" s="31"/>
      <c r="G6375" s="31"/>
      <c r="H6375" s="31"/>
      <c r="I6375" s="56"/>
      <c r="J6375" s="56"/>
      <c r="K6375" s="82" t="str">
        <f t="shared" si="1927"/>
        <v>Invoice</v>
      </c>
      <c r="L6375" s="83" t="str">
        <f>"SI_108769"</f>
        <v>SI_108769</v>
      </c>
      <c r="M6375" s="84">
        <v>42855</v>
      </c>
      <c r="N6375" s="85">
        <f t="shared" si="1928"/>
        <v>957</v>
      </c>
      <c r="O6375" s="86">
        <f t="shared" si="1929"/>
        <v>1250</v>
      </c>
      <c r="P6375" s="86">
        <f t="shared" si="1930"/>
        <v>0</v>
      </c>
      <c r="Q6375" s="86">
        <f t="shared" si="1931"/>
        <v>0</v>
      </c>
      <c r="R6375" s="86">
        <f t="shared" si="1932"/>
        <v>0</v>
      </c>
      <c r="S6375" s="86">
        <f t="shared" si="1933"/>
        <v>0</v>
      </c>
      <c r="T6375" s="86">
        <f t="shared" si="1934"/>
        <v>1250</v>
      </c>
      <c r="U6375" s="87">
        <v>1250</v>
      </c>
    </row>
    <row r="6376" spans="1:22" s="30" customFormat="1" ht="24.6" hidden="1" outlineLevel="1" x14ac:dyDescent="0.55000000000000004">
      <c r="A6376" s="27" t="s">
        <v>327</v>
      </c>
      <c r="B6376" s="28"/>
      <c r="C6376" s="27"/>
      <c r="D6376" s="27" t="str">
        <f>"""NAV Direct"",""CRONUS JetCorp USA"",""21"",""1"",""285734"""</f>
        <v>"NAV Direct","CRONUS JetCorp USA","21","1","285734"</v>
      </c>
      <c r="E6376" s="31">
        <f t="shared" si="1926"/>
        <v>0</v>
      </c>
      <c r="F6376" s="31"/>
      <c r="G6376" s="31"/>
      <c r="H6376" s="31"/>
      <c r="I6376" s="56"/>
      <c r="J6376" s="56"/>
      <c r="K6376" s="82" t="str">
        <f t="shared" si="1927"/>
        <v>Invoice</v>
      </c>
      <c r="L6376" s="83" t="str">
        <f>"SI_108771"</f>
        <v>SI_108771</v>
      </c>
      <c r="M6376" s="84">
        <v>42888</v>
      </c>
      <c r="N6376" s="85">
        <f t="shared" si="1928"/>
        <v>924</v>
      </c>
      <c r="O6376" s="86">
        <f t="shared" si="1929"/>
        <v>1250</v>
      </c>
      <c r="P6376" s="86">
        <f t="shared" si="1930"/>
        <v>0</v>
      </c>
      <c r="Q6376" s="86">
        <f t="shared" si="1931"/>
        <v>0</v>
      </c>
      <c r="R6376" s="86">
        <f t="shared" si="1932"/>
        <v>0</v>
      </c>
      <c r="S6376" s="86">
        <f t="shared" si="1933"/>
        <v>0</v>
      </c>
      <c r="T6376" s="86">
        <f t="shared" si="1934"/>
        <v>1250</v>
      </c>
      <c r="U6376" s="87">
        <v>1250</v>
      </c>
    </row>
    <row r="6377" spans="1:22" s="30" customFormat="1" ht="24.6" hidden="1" outlineLevel="1" x14ac:dyDescent="0.55000000000000004">
      <c r="A6377" s="27" t="s">
        <v>327</v>
      </c>
      <c r="B6377" s="28"/>
      <c r="C6377" s="27"/>
      <c r="D6377" s="27" t="str">
        <f>"""NAV Direct"",""CRONUS JetCorp USA"",""21"",""1"",""286040"""</f>
        <v>"NAV Direct","CRONUS JetCorp USA","21","1","286040"</v>
      </c>
      <c r="E6377" s="31" t="str">
        <f t="shared" si="1926"/>
        <v>C100523</v>
      </c>
      <c r="F6377" s="31"/>
      <c r="G6377" s="31"/>
      <c r="H6377" s="31"/>
      <c r="I6377" s="56"/>
      <c r="J6377" s="56"/>
      <c r="K6377" s="82" t="str">
        <f t="shared" si="1927"/>
        <v>Invoice</v>
      </c>
      <c r="L6377" s="83" t="str">
        <f>"SI_108781"</f>
        <v>SI_108781</v>
      </c>
      <c r="M6377" s="84">
        <v>42907</v>
      </c>
      <c r="N6377" s="85">
        <f t="shared" si="1928"/>
        <v>905</v>
      </c>
      <c r="O6377" s="86">
        <f t="shared" si="1929"/>
        <v>1249.97</v>
      </c>
      <c r="P6377" s="86">
        <f t="shared" si="1930"/>
        <v>0</v>
      </c>
      <c r="Q6377" s="86">
        <f t="shared" si="1931"/>
        <v>0</v>
      </c>
      <c r="R6377" s="86">
        <f t="shared" si="1932"/>
        <v>0</v>
      </c>
      <c r="S6377" s="86">
        <f t="shared" si="1933"/>
        <v>0</v>
      </c>
      <c r="T6377" s="86">
        <f t="shared" si="1934"/>
        <v>1249.97</v>
      </c>
      <c r="U6377" s="87">
        <v>1249.97</v>
      </c>
    </row>
    <row r="6378" spans="1:22" s="30" customFormat="1" ht="24.6" hidden="1" outlineLevel="1" x14ac:dyDescent="0.55000000000000004">
      <c r="A6378" s="27" t="s">
        <v>327</v>
      </c>
      <c r="B6378" s="28"/>
      <c r="C6378" s="27"/>
      <c r="D6378" s="27" t="str">
        <f>"""NAV Direct"",""CRONUS JetCorp USA"",""21"",""1"",""286612"""</f>
        <v>"NAV Direct","CRONUS JetCorp USA","21","1","286612"</v>
      </c>
      <c r="E6378" s="31">
        <f t="shared" si="1926"/>
        <v>0</v>
      </c>
      <c r="F6378" s="31"/>
      <c r="G6378" s="31"/>
      <c r="H6378" s="31"/>
      <c r="I6378" s="56"/>
      <c r="J6378" s="56"/>
      <c r="K6378" s="82" t="str">
        <f t="shared" si="1927"/>
        <v>Invoice</v>
      </c>
      <c r="L6378" s="83" t="str">
        <f>"SI_108799"</f>
        <v>SI_108799</v>
      </c>
      <c r="M6378" s="84">
        <v>42972</v>
      </c>
      <c r="N6378" s="85">
        <f t="shared" si="1928"/>
        <v>840</v>
      </c>
      <c r="O6378" s="86">
        <f t="shared" si="1929"/>
        <v>1374.93</v>
      </c>
      <c r="P6378" s="86">
        <f t="shared" si="1930"/>
        <v>0</v>
      </c>
      <c r="Q6378" s="86">
        <f t="shared" si="1931"/>
        <v>0</v>
      </c>
      <c r="R6378" s="86">
        <f t="shared" si="1932"/>
        <v>0</v>
      </c>
      <c r="S6378" s="86">
        <f t="shared" si="1933"/>
        <v>0</v>
      </c>
      <c r="T6378" s="86">
        <f t="shared" si="1934"/>
        <v>1374.93</v>
      </c>
      <c r="U6378" s="87">
        <v>1374.93</v>
      </c>
    </row>
    <row r="6379" spans="1:22" s="30" customFormat="1" ht="24.6" hidden="1" outlineLevel="1" x14ac:dyDescent="0.55000000000000004">
      <c r="A6379" s="27" t="s">
        <v>327</v>
      </c>
      <c r="B6379" s="28"/>
      <c r="C6379" s="27"/>
      <c r="D6379" s="27" t="str">
        <f>"""NAV Direct"",""CRONUS JetCorp USA"",""21"",""1"",""287367"""</f>
        <v>"NAV Direct","CRONUS JetCorp USA","21","1","287367"</v>
      </c>
      <c r="E6379" s="31" t="str">
        <f t="shared" si="1926"/>
        <v>C100523</v>
      </c>
      <c r="F6379" s="31"/>
      <c r="G6379" s="31"/>
      <c r="H6379" s="31"/>
      <c r="I6379" s="56"/>
      <c r="J6379" s="56"/>
      <c r="K6379" s="82" t="str">
        <f t="shared" si="1927"/>
        <v>Invoice</v>
      </c>
      <c r="L6379" s="83" t="str">
        <f>"SI_108826"</f>
        <v>SI_108826</v>
      </c>
      <c r="M6379" s="84">
        <v>43059</v>
      </c>
      <c r="N6379" s="85">
        <f t="shared" si="1928"/>
        <v>753</v>
      </c>
      <c r="O6379" s="86">
        <f t="shared" si="1929"/>
        <v>1512.3100000000002</v>
      </c>
      <c r="P6379" s="86">
        <f t="shared" si="1930"/>
        <v>0</v>
      </c>
      <c r="Q6379" s="86">
        <f t="shared" si="1931"/>
        <v>0</v>
      </c>
      <c r="R6379" s="86">
        <f t="shared" si="1932"/>
        <v>0</v>
      </c>
      <c r="S6379" s="86">
        <f t="shared" si="1933"/>
        <v>0</v>
      </c>
      <c r="T6379" s="86">
        <f t="shared" si="1934"/>
        <v>1512.3100000000002</v>
      </c>
      <c r="U6379" s="87">
        <v>1512.3100000000002</v>
      </c>
    </row>
    <row r="6380" spans="1:22" s="30" customFormat="1" ht="24.6" hidden="1" outlineLevel="1" x14ac:dyDescent="0.55000000000000004">
      <c r="A6380" s="27" t="s">
        <v>327</v>
      </c>
      <c r="B6380" s="28"/>
      <c r="C6380" s="27"/>
      <c r="D6380" s="27" t="str">
        <f>"""NAV Direct"",""CRONUS JetCorp USA"",""21"",""1"",""287460"""</f>
        <v>"NAV Direct","CRONUS JetCorp USA","21","1","287460"</v>
      </c>
      <c r="E6380" s="31">
        <f t="shared" si="1926"/>
        <v>0</v>
      </c>
      <c r="F6380" s="31"/>
      <c r="G6380" s="31"/>
      <c r="H6380" s="31"/>
      <c r="I6380" s="56"/>
      <c r="J6380" s="56"/>
      <c r="K6380" s="82" t="str">
        <f t="shared" si="1927"/>
        <v>Invoice</v>
      </c>
      <c r="L6380" s="83" t="str">
        <f>"SI_108829"</f>
        <v>SI_108829</v>
      </c>
      <c r="M6380" s="84">
        <v>43046</v>
      </c>
      <c r="N6380" s="85">
        <f t="shared" si="1928"/>
        <v>766</v>
      </c>
      <c r="O6380" s="86">
        <f t="shared" si="1929"/>
        <v>1512.45</v>
      </c>
      <c r="P6380" s="86">
        <f t="shared" si="1930"/>
        <v>0</v>
      </c>
      <c r="Q6380" s="86">
        <f t="shared" si="1931"/>
        <v>0</v>
      </c>
      <c r="R6380" s="86">
        <f t="shared" si="1932"/>
        <v>0</v>
      </c>
      <c r="S6380" s="86">
        <f t="shared" si="1933"/>
        <v>0</v>
      </c>
      <c r="T6380" s="86">
        <f t="shared" si="1934"/>
        <v>1512.45</v>
      </c>
      <c r="U6380" s="87">
        <v>1512.45</v>
      </c>
    </row>
    <row r="6381" spans="1:22" s="30" customFormat="1" ht="24.6" hidden="1" outlineLevel="1" x14ac:dyDescent="0.55000000000000004">
      <c r="A6381" s="27" t="s">
        <v>327</v>
      </c>
      <c r="B6381" s="28"/>
      <c r="C6381" s="27"/>
      <c r="D6381" s="27" t="str">
        <f>"""NAV Direct"",""CRONUS JetCorp USA"",""21"",""1"",""287835"""</f>
        <v>"NAV Direct","CRONUS JetCorp USA","21","1","287835"</v>
      </c>
      <c r="E6381" s="31" t="str">
        <f t="shared" si="1926"/>
        <v>C100523</v>
      </c>
      <c r="F6381" s="31"/>
      <c r="G6381" s="31"/>
      <c r="H6381" s="31"/>
      <c r="I6381" s="56"/>
      <c r="J6381" s="56"/>
      <c r="K6381" s="82" t="str">
        <f t="shared" si="1927"/>
        <v>Invoice</v>
      </c>
      <c r="L6381" s="83" t="str">
        <f>"SI_108843"</f>
        <v>SI_108843</v>
      </c>
      <c r="M6381" s="84">
        <v>43068</v>
      </c>
      <c r="N6381" s="85">
        <f t="shared" si="1928"/>
        <v>744</v>
      </c>
      <c r="O6381" s="86">
        <f t="shared" si="1929"/>
        <v>1512.4199999999998</v>
      </c>
      <c r="P6381" s="86">
        <f t="shared" si="1930"/>
        <v>0</v>
      </c>
      <c r="Q6381" s="86">
        <f t="shared" si="1931"/>
        <v>0</v>
      </c>
      <c r="R6381" s="86">
        <f t="shared" si="1932"/>
        <v>0</v>
      </c>
      <c r="S6381" s="86">
        <f t="shared" si="1933"/>
        <v>0</v>
      </c>
      <c r="T6381" s="86">
        <f t="shared" si="1934"/>
        <v>1512.4199999999998</v>
      </c>
      <c r="U6381" s="87">
        <v>1512.4199999999998</v>
      </c>
    </row>
    <row r="6382" spans="1:22" s="30" customFormat="1" ht="24.6" hidden="1" outlineLevel="1" x14ac:dyDescent="0.55000000000000004">
      <c r="A6382" s="27" t="s">
        <v>327</v>
      </c>
      <c r="B6382" s="28"/>
      <c r="C6382" s="27"/>
      <c r="D6382" s="27" t="str">
        <f>"""NAV Direct"",""CRONUS JetCorp USA"",""21"",""1"",""288085"""</f>
        <v>"NAV Direct","CRONUS JetCorp USA","21","1","288085"</v>
      </c>
      <c r="E6382" s="31">
        <f t="shared" si="1926"/>
        <v>0</v>
      </c>
      <c r="F6382" s="31"/>
      <c r="G6382" s="31"/>
      <c r="H6382" s="31"/>
      <c r="I6382" s="56"/>
      <c r="J6382" s="56"/>
      <c r="K6382" s="82" t="str">
        <f t="shared" si="1927"/>
        <v>Invoice</v>
      </c>
      <c r="L6382" s="83" t="str">
        <f>"SI_108851"</f>
        <v>SI_108851</v>
      </c>
      <c r="M6382" s="84">
        <v>43072</v>
      </c>
      <c r="N6382" s="85">
        <f t="shared" si="1928"/>
        <v>740</v>
      </c>
      <c r="O6382" s="86">
        <f t="shared" si="1929"/>
        <v>1512.41</v>
      </c>
      <c r="P6382" s="86">
        <f t="shared" si="1930"/>
        <v>0</v>
      </c>
      <c r="Q6382" s="86">
        <f t="shared" si="1931"/>
        <v>0</v>
      </c>
      <c r="R6382" s="86">
        <f t="shared" si="1932"/>
        <v>0</v>
      </c>
      <c r="S6382" s="86">
        <f t="shared" si="1933"/>
        <v>0</v>
      </c>
      <c r="T6382" s="86">
        <f t="shared" si="1934"/>
        <v>1512.41</v>
      </c>
      <c r="U6382" s="87">
        <v>1512.41</v>
      </c>
    </row>
    <row r="6383" spans="1:22" s="30" customFormat="1" ht="24.6" hidden="1" outlineLevel="1" x14ac:dyDescent="0.55000000000000004">
      <c r="A6383" s="27" t="s">
        <v>327</v>
      </c>
      <c r="B6383" s="28"/>
      <c r="C6383" s="27"/>
      <c r="D6383" s="27" t="str">
        <f>"""NAV Direct"",""CRONUS JetCorp USA"",""21"",""1"",""288254"""</f>
        <v>"NAV Direct","CRONUS JetCorp USA","21","1","288254"</v>
      </c>
      <c r="E6383" s="31" t="str">
        <f t="shared" si="1926"/>
        <v>C100523</v>
      </c>
      <c r="F6383" s="31"/>
      <c r="G6383" s="31"/>
      <c r="H6383" s="31"/>
      <c r="I6383" s="56"/>
      <c r="J6383" s="56"/>
      <c r="K6383" s="82" t="str">
        <f t="shared" si="1927"/>
        <v>Invoice</v>
      </c>
      <c r="L6383" s="83" t="str">
        <f>"SI_108857"</f>
        <v>SI_108857</v>
      </c>
      <c r="M6383" s="84">
        <v>43128</v>
      </c>
      <c r="N6383" s="85">
        <f t="shared" si="1928"/>
        <v>684</v>
      </c>
      <c r="O6383" s="86">
        <f t="shared" si="1929"/>
        <v>1663.7500000000002</v>
      </c>
      <c r="P6383" s="86">
        <f t="shared" si="1930"/>
        <v>0</v>
      </c>
      <c r="Q6383" s="86">
        <f t="shared" si="1931"/>
        <v>0</v>
      </c>
      <c r="R6383" s="86">
        <f t="shared" si="1932"/>
        <v>0</v>
      </c>
      <c r="S6383" s="86">
        <f t="shared" si="1933"/>
        <v>0</v>
      </c>
      <c r="T6383" s="86">
        <f t="shared" si="1934"/>
        <v>1663.7500000000002</v>
      </c>
      <c r="U6383" s="87">
        <v>1663.7500000000002</v>
      </c>
    </row>
    <row r="6384" spans="1:22" s="30" customFormat="1" ht="24.6" hidden="1" outlineLevel="1" x14ac:dyDescent="0.55000000000000004">
      <c r="A6384" s="27" t="s">
        <v>327</v>
      </c>
      <c r="B6384" s="28"/>
      <c r="C6384" s="27"/>
      <c r="D6384" s="27" t="str">
        <f>"""NAV Direct"",""CRONUS JetCorp USA"",""21"",""1"",""289103"""</f>
        <v>"NAV Direct","CRONUS JetCorp USA","21","1","289103"</v>
      </c>
      <c r="E6384" s="31">
        <f t="shared" si="1926"/>
        <v>0</v>
      </c>
      <c r="F6384" s="31"/>
      <c r="G6384" s="31"/>
      <c r="H6384" s="31"/>
      <c r="I6384" s="56"/>
      <c r="J6384" s="56"/>
      <c r="K6384" s="82" t="str">
        <f t="shared" si="1927"/>
        <v>Invoice</v>
      </c>
      <c r="L6384" s="83" t="str">
        <f>"SI_108885"</f>
        <v>SI_108885</v>
      </c>
      <c r="M6384" s="84">
        <v>43169</v>
      </c>
      <c r="N6384" s="85">
        <f t="shared" si="1928"/>
        <v>643</v>
      </c>
      <c r="O6384" s="86">
        <f t="shared" si="1929"/>
        <v>1663.73</v>
      </c>
      <c r="P6384" s="86">
        <f t="shared" si="1930"/>
        <v>0</v>
      </c>
      <c r="Q6384" s="86">
        <f t="shared" si="1931"/>
        <v>0</v>
      </c>
      <c r="R6384" s="86">
        <f t="shared" si="1932"/>
        <v>0</v>
      </c>
      <c r="S6384" s="86">
        <f t="shared" si="1933"/>
        <v>0</v>
      </c>
      <c r="T6384" s="86">
        <f t="shared" si="1934"/>
        <v>1663.73</v>
      </c>
      <c r="U6384" s="87">
        <v>1663.73</v>
      </c>
    </row>
    <row r="6385" spans="1:21" s="30" customFormat="1" ht="24.6" hidden="1" outlineLevel="1" x14ac:dyDescent="0.55000000000000004">
      <c r="A6385" s="27" t="s">
        <v>327</v>
      </c>
      <c r="B6385" s="28"/>
      <c r="C6385" s="27"/>
      <c r="D6385" s="27" t="str">
        <f>"""NAV Direct"",""CRONUS JetCorp USA"",""21"",""1"",""289449"""</f>
        <v>"NAV Direct","CRONUS JetCorp USA","21","1","289449"</v>
      </c>
      <c r="E6385" s="31" t="str">
        <f t="shared" si="1926"/>
        <v>C100523</v>
      </c>
      <c r="F6385" s="31"/>
      <c r="G6385" s="31"/>
      <c r="H6385" s="31"/>
      <c r="I6385" s="56"/>
      <c r="J6385" s="56"/>
      <c r="K6385" s="82" t="str">
        <f t="shared" si="1927"/>
        <v>Invoice</v>
      </c>
      <c r="L6385" s="83" t="str">
        <f>"SI_108897"</f>
        <v>SI_108897</v>
      </c>
      <c r="M6385" s="84">
        <v>43224</v>
      </c>
      <c r="N6385" s="85">
        <f t="shared" si="1928"/>
        <v>588</v>
      </c>
      <c r="O6385" s="86">
        <f t="shared" si="1929"/>
        <v>1830</v>
      </c>
      <c r="P6385" s="86">
        <f t="shared" si="1930"/>
        <v>0</v>
      </c>
      <c r="Q6385" s="86">
        <f t="shared" si="1931"/>
        <v>0</v>
      </c>
      <c r="R6385" s="86">
        <f t="shared" si="1932"/>
        <v>0</v>
      </c>
      <c r="S6385" s="86">
        <f t="shared" si="1933"/>
        <v>0</v>
      </c>
      <c r="T6385" s="86">
        <f t="shared" si="1934"/>
        <v>1830</v>
      </c>
      <c r="U6385" s="87">
        <v>1830</v>
      </c>
    </row>
    <row r="6386" spans="1:21" s="30" customFormat="1" ht="24.6" hidden="1" outlineLevel="1" x14ac:dyDescent="0.55000000000000004">
      <c r="A6386" s="27" t="s">
        <v>327</v>
      </c>
      <c r="B6386" s="28"/>
      <c r="C6386" s="27"/>
      <c r="D6386" s="27" t="str">
        <f>"""NAV Direct"",""CRONUS JetCorp USA"",""21"",""1"",""289979"""</f>
        <v>"NAV Direct","CRONUS JetCorp USA","21","1","289979"</v>
      </c>
      <c r="E6386" s="31">
        <f t="shared" si="1926"/>
        <v>0</v>
      </c>
      <c r="F6386" s="31"/>
      <c r="G6386" s="31"/>
      <c r="H6386" s="31"/>
      <c r="I6386" s="56"/>
      <c r="J6386" s="56"/>
      <c r="K6386" s="82" t="str">
        <f t="shared" si="1927"/>
        <v>Invoice</v>
      </c>
      <c r="L6386" s="83" t="str">
        <f>"SI_108914"</f>
        <v>SI_108914</v>
      </c>
      <c r="M6386" s="84">
        <v>43237</v>
      </c>
      <c r="N6386" s="85">
        <f t="shared" si="1928"/>
        <v>575</v>
      </c>
      <c r="O6386" s="86">
        <f t="shared" si="1929"/>
        <v>1829.92</v>
      </c>
      <c r="P6386" s="86">
        <f t="shared" si="1930"/>
        <v>0</v>
      </c>
      <c r="Q6386" s="86">
        <f t="shared" si="1931"/>
        <v>0</v>
      </c>
      <c r="R6386" s="86">
        <f t="shared" si="1932"/>
        <v>0</v>
      </c>
      <c r="S6386" s="86">
        <f t="shared" si="1933"/>
        <v>0</v>
      </c>
      <c r="T6386" s="86">
        <f t="shared" si="1934"/>
        <v>1829.92</v>
      </c>
      <c r="U6386" s="87">
        <v>1829.92</v>
      </c>
    </row>
    <row r="6387" spans="1:21" s="30" customFormat="1" ht="24.6" hidden="1" outlineLevel="1" x14ac:dyDescent="0.55000000000000004">
      <c r="A6387" s="27" t="s">
        <v>327</v>
      </c>
      <c r="B6387" s="28"/>
      <c r="C6387" s="27"/>
      <c r="D6387" s="27" t="str">
        <f>"""NAV Direct"",""CRONUS JetCorp USA"",""21"",""1"",""290316"""</f>
        <v>"NAV Direct","CRONUS JetCorp USA","21","1","290316"</v>
      </c>
      <c r="E6387" s="31" t="str">
        <f t="shared" si="1926"/>
        <v>C100523</v>
      </c>
      <c r="F6387" s="31"/>
      <c r="G6387" s="31"/>
      <c r="H6387" s="31"/>
      <c r="I6387" s="56"/>
      <c r="J6387" s="56"/>
      <c r="K6387" s="82" t="str">
        <f t="shared" si="1927"/>
        <v>Invoice</v>
      </c>
      <c r="L6387" s="83" t="str">
        <f>"SI_108926"</f>
        <v>SI_108926</v>
      </c>
      <c r="M6387" s="84">
        <v>43265</v>
      </c>
      <c r="N6387" s="85">
        <f t="shared" si="1928"/>
        <v>547</v>
      </c>
      <c r="O6387" s="86">
        <f t="shared" si="1929"/>
        <v>1830.1299999999999</v>
      </c>
      <c r="P6387" s="86">
        <f t="shared" si="1930"/>
        <v>0</v>
      </c>
      <c r="Q6387" s="86">
        <f t="shared" si="1931"/>
        <v>0</v>
      </c>
      <c r="R6387" s="86">
        <f t="shared" si="1932"/>
        <v>0</v>
      </c>
      <c r="S6387" s="86">
        <f t="shared" si="1933"/>
        <v>0</v>
      </c>
      <c r="T6387" s="86">
        <f t="shared" si="1934"/>
        <v>1830.1299999999999</v>
      </c>
      <c r="U6387" s="87">
        <v>1830.1299999999999</v>
      </c>
    </row>
    <row r="6388" spans="1:21" s="30" customFormat="1" ht="24.6" hidden="1" outlineLevel="1" x14ac:dyDescent="0.55000000000000004">
      <c r="A6388" s="27" t="s">
        <v>327</v>
      </c>
      <c r="B6388" s="28"/>
      <c r="C6388" s="27"/>
      <c r="D6388" s="27" t="str">
        <f>"""NAV Direct"",""CRONUS JetCorp USA"",""21"",""1"",""291086"""</f>
        <v>"NAV Direct","CRONUS JetCorp USA","21","1","291086"</v>
      </c>
      <c r="E6388" s="31">
        <f t="shared" si="1926"/>
        <v>0</v>
      </c>
      <c r="F6388" s="31"/>
      <c r="G6388" s="31"/>
      <c r="H6388" s="31"/>
      <c r="I6388" s="56"/>
      <c r="J6388" s="56"/>
      <c r="K6388" s="82" t="str">
        <f t="shared" si="1927"/>
        <v>Invoice</v>
      </c>
      <c r="L6388" s="83" t="str">
        <f>"SI_108951"</f>
        <v>SI_108951</v>
      </c>
      <c r="M6388" s="84">
        <v>43340</v>
      </c>
      <c r="N6388" s="85">
        <f t="shared" si="1928"/>
        <v>472</v>
      </c>
      <c r="O6388" s="86">
        <f t="shared" si="1929"/>
        <v>2013.1299999999999</v>
      </c>
      <c r="P6388" s="86">
        <f t="shared" si="1930"/>
        <v>0</v>
      </c>
      <c r="Q6388" s="86">
        <f t="shared" si="1931"/>
        <v>0</v>
      </c>
      <c r="R6388" s="86">
        <f t="shared" si="1932"/>
        <v>0</v>
      </c>
      <c r="S6388" s="86">
        <f t="shared" si="1933"/>
        <v>0</v>
      </c>
      <c r="T6388" s="86">
        <f t="shared" si="1934"/>
        <v>2013.1299999999999</v>
      </c>
      <c r="U6388" s="87">
        <v>2013.1299999999999</v>
      </c>
    </row>
    <row r="6389" spans="1:21" s="30" customFormat="1" ht="24.6" hidden="1" outlineLevel="1" x14ac:dyDescent="0.55000000000000004">
      <c r="A6389" s="27" t="s">
        <v>327</v>
      </c>
      <c r="B6389" s="28"/>
      <c r="C6389" s="27"/>
      <c r="D6389" s="27" t="str">
        <f>"""NAV Direct"",""CRONUS JetCorp USA"",""21"",""1"",""291333"""</f>
        <v>"NAV Direct","CRONUS JetCorp USA","21","1","291333"</v>
      </c>
      <c r="E6389" s="31" t="str">
        <f t="shared" si="1926"/>
        <v>C100523</v>
      </c>
      <c r="F6389" s="31"/>
      <c r="G6389" s="31"/>
      <c r="H6389" s="31"/>
      <c r="I6389" s="56"/>
      <c r="J6389" s="56"/>
      <c r="K6389" s="82" t="str">
        <f t="shared" si="1927"/>
        <v>Invoice</v>
      </c>
      <c r="L6389" s="83" t="str">
        <f>"SI_108959"</f>
        <v>SI_108959</v>
      </c>
      <c r="M6389" s="84">
        <v>43325</v>
      </c>
      <c r="N6389" s="85">
        <f t="shared" si="1928"/>
        <v>487</v>
      </c>
      <c r="O6389" s="86">
        <f t="shared" si="1929"/>
        <v>2013.16</v>
      </c>
      <c r="P6389" s="86">
        <f t="shared" si="1930"/>
        <v>0</v>
      </c>
      <c r="Q6389" s="86">
        <f t="shared" si="1931"/>
        <v>0</v>
      </c>
      <c r="R6389" s="86">
        <f t="shared" si="1932"/>
        <v>0</v>
      </c>
      <c r="S6389" s="86">
        <f t="shared" si="1933"/>
        <v>0</v>
      </c>
      <c r="T6389" s="86">
        <f t="shared" si="1934"/>
        <v>2013.16</v>
      </c>
      <c r="U6389" s="87">
        <v>2013.16</v>
      </c>
    </row>
    <row r="6390" spans="1:21" s="30" customFormat="1" ht="24.6" hidden="1" outlineLevel="1" x14ac:dyDescent="0.55000000000000004">
      <c r="A6390" s="27" t="s">
        <v>327</v>
      </c>
      <c r="B6390" s="28"/>
      <c r="C6390" s="27"/>
      <c r="D6390" s="27" t="str">
        <f>"""NAV Direct"",""CRONUS JetCorp USA"",""21"",""1"",""293282"""</f>
        <v>"NAV Direct","CRONUS JetCorp USA","21","1","293282"</v>
      </c>
      <c r="E6390" s="31">
        <f t="shared" si="1926"/>
        <v>0</v>
      </c>
      <c r="F6390" s="31"/>
      <c r="G6390" s="31"/>
      <c r="H6390" s="31"/>
      <c r="I6390" s="56"/>
      <c r="J6390" s="56"/>
      <c r="K6390" s="82" t="str">
        <f t="shared" si="1927"/>
        <v>Invoice</v>
      </c>
      <c r="L6390" s="83" t="str">
        <f>"SI_109026"</f>
        <v>SI_109026</v>
      </c>
      <c r="M6390" s="84">
        <v>43497</v>
      </c>
      <c r="N6390" s="85">
        <f t="shared" si="1928"/>
        <v>315</v>
      </c>
      <c r="O6390" s="86">
        <f t="shared" si="1929"/>
        <v>2435.9299999999998</v>
      </c>
      <c r="P6390" s="86">
        <f t="shared" si="1930"/>
        <v>0</v>
      </c>
      <c r="Q6390" s="86">
        <f t="shared" si="1931"/>
        <v>0</v>
      </c>
      <c r="R6390" s="86">
        <f t="shared" si="1932"/>
        <v>0</v>
      </c>
      <c r="S6390" s="86">
        <f t="shared" si="1933"/>
        <v>0</v>
      </c>
      <c r="T6390" s="86">
        <f t="shared" si="1934"/>
        <v>2435.9299999999998</v>
      </c>
      <c r="U6390" s="87">
        <v>2435.9299999999998</v>
      </c>
    </row>
    <row r="6391" spans="1:21" s="30" customFormat="1" ht="24.6" hidden="1" outlineLevel="1" x14ac:dyDescent="0.55000000000000004">
      <c r="A6391" s="27" t="s">
        <v>327</v>
      </c>
      <c r="B6391" s="28"/>
      <c r="C6391" s="27"/>
      <c r="D6391" s="27" t="str">
        <f>"""NAV Direct"",""CRONUS JetCorp USA"",""21"",""1"",""293701"""</f>
        <v>"NAV Direct","CRONUS JetCorp USA","21","1","293701"</v>
      </c>
      <c r="E6391" s="31" t="str">
        <f t="shared" si="1926"/>
        <v>C100523</v>
      </c>
      <c r="F6391" s="31"/>
      <c r="G6391" s="31"/>
      <c r="H6391" s="31"/>
      <c r="I6391" s="56"/>
      <c r="J6391" s="56"/>
      <c r="K6391" s="82" t="str">
        <f t="shared" si="1927"/>
        <v>Invoice</v>
      </c>
      <c r="L6391" s="83" t="str">
        <f>"SI_109040"</f>
        <v>SI_109040</v>
      </c>
      <c r="M6391" s="84">
        <v>43524</v>
      </c>
      <c r="N6391" s="85">
        <f t="shared" si="1928"/>
        <v>288</v>
      </c>
      <c r="O6391" s="86">
        <f t="shared" si="1929"/>
        <v>2435.77</v>
      </c>
      <c r="P6391" s="86">
        <f t="shared" si="1930"/>
        <v>0</v>
      </c>
      <c r="Q6391" s="86">
        <f t="shared" si="1931"/>
        <v>0</v>
      </c>
      <c r="R6391" s="86">
        <f t="shared" si="1932"/>
        <v>0</v>
      </c>
      <c r="S6391" s="86">
        <f t="shared" si="1933"/>
        <v>0</v>
      </c>
      <c r="T6391" s="86">
        <f t="shared" si="1934"/>
        <v>2435.77</v>
      </c>
      <c r="U6391" s="87">
        <v>2435.77</v>
      </c>
    </row>
    <row r="6392" spans="1:21" s="30" customFormat="1" ht="24.6" hidden="1" outlineLevel="1" x14ac:dyDescent="0.55000000000000004">
      <c r="A6392" s="27" t="s">
        <v>327</v>
      </c>
      <c r="B6392" s="28"/>
      <c r="C6392" s="27"/>
      <c r="D6392" s="27" t="str">
        <f>"""NAV Direct"",""CRONUS JetCorp USA"",""21"",""1"",""294258"""</f>
        <v>"NAV Direct","CRONUS JetCorp USA","21","1","294258"</v>
      </c>
      <c r="E6392" s="31">
        <f t="shared" si="1926"/>
        <v>0</v>
      </c>
      <c r="F6392" s="31"/>
      <c r="G6392" s="31"/>
      <c r="H6392" s="31"/>
      <c r="I6392" s="56"/>
      <c r="J6392" s="56"/>
      <c r="K6392" s="82" t="str">
        <f t="shared" si="1927"/>
        <v>Invoice</v>
      </c>
      <c r="L6392" s="83" t="str">
        <f>"SI_109057"</f>
        <v>SI_109057</v>
      </c>
      <c r="M6392" s="84">
        <v>43527</v>
      </c>
      <c r="N6392" s="85">
        <f t="shared" si="1928"/>
        <v>285</v>
      </c>
      <c r="O6392" s="86">
        <f t="shared" si="1929"/>
        <v>2435.7399999999998</v>
      </c>
      <c r="P6392" s="86">
        <f t="shared" si="1930"/>
        <v>0</v>
      </c>
      <c r="Q6392" s="86">
        <f t="shared" si="1931"/>
        <v>0</v>
      </c>
      <c r="R6392" s="86">
        <f t="shared" si="1932"/>
        <v>0</v>
      </c>
      <c r="S6392" s="86">
        <f t="shared" si="1933"/>
        <v>0</v>
      </c>
      <c r="T6392" s="86">
        <f t="shared" si="1934"/>
        <v>2435.7399999999998</v>
      </c>
      <c r="U6392" s="87">
        <v>2435.7399999999998</v>
      </c>
    </row>
    <row r="6393" spans="1:21" s="30" customFormat="1" ht="24.6" hidden="1" outlineLevel="1" x14ac:dyDescent="0.55000000000000004">
      <c r="A6393" s="27" t="s">
        <v>327</v>
      </c>
      <c r="B6393" s="28"/>
      <c r="C6393" s="27"/>
      <c r="D6393" s="27" t="str">
        <f>"""NAV Direct"",""CRONUS JetCorp USA"",""21"",""1"",""296974"""</f>
        <v>"NAV Direct","CRONUS JetCorp USA","21","1","296974"</v>
      </c>
      <c r="E6393" s="31" t="str">
        <f t="shared" si="1926"/>
        <v>C100523</v>
      </c>
      <c r="F6393" s="31"/>
      <c r="G6393" s="31"/>
      <c r="H6393" s="31"/>
      <c r="I6393" s="56"/>
      <c r="J6393" s="56"/>
      <c r="K6393" s="82" t="str">
        <f t="shared" si="1927"/>
        <v>Invoice</v>
      </c>
      <c r="L6393" s="83" t="str">
        <f>"SI_109140"</f>
        <v>SI_109140</v>
      </c>
      <c r="M6393" s="84">
        <v>43701</v>
      </c>
      <c r="N6393" s="85">
        <f t="shared" si="1928"/>
        <v>111</v>
      </c>
      <c r="O6393" s="86">
        <f t="shared" si="1929"/>
        <v>2947.27</v>
      </c>
      <c r="P6393" s="86">
        <f t="shared" si="1930"/>
        <v>0</v>
      </c>
      <c r="Q6393" s="86">
        <f t="shared" si="1931"/>
        <v>0</v>
      </c>
      <c r="R6393" s="86">
        <f t="shared" si="1932"/>
        <v>0</v>
      </c>
      <c r="S6393" s="86">
        <f t="shared" si="1933"/>
        <v>0</v>
      </c>
      <c r="T6393" s="86">
        <f t="shared" si="1934"/>
        <v>2947.27</v>
      </c>
      <c r="U6393" s="87">
        <v>2947.27</v>
      </c>
    </row>
    <row r="6394" spans="1:21" s="30" customFormat="1" ht="24.6" hidden="1" outlineLevel="1" x14ac:dyDescent="0.55000000000000004">
      <c r="A6394" s="27" t="s">
        <v>327</v>
      </c>
      <c r="B6394" s="28"/>
      <c r="C6394" s="27"/>
      <c r="D6394" s="27" t="str">
        <f>"""NAV Direct"",""CRONUS JetCorp USA"",""21"",""1"",""298240"""</f>
        <v>"NAV Direct","CRONUS JetCorp USA","21","1","298240"</v>
      </c>
      <c r="E6394" s="31">
        <f t="shared" si="1926"/>
        <v>0</v>
      </c>
      <c r="F6394" s="31"/>
      <c r="G6394" s="31"/>
      <c r="H6394" s="31"/>
      <c r="I6394" s="56"/>
      <c r="J6394" s="56"/>
      <c r="K6394" s="82" t="str">
        <f t="shared" si="1927"/>
        <v>Invoice</v>
      </c>
      <c r="L6394" s="83" t="str">
        <f>"SI_109180"</f>
        <v>SI_109180</v>
      </c>
      <c r="M6394" s="84">
        <v>43781</v>
      </c>
      <c r="N6394" s="85">
        <f t="shared" si="1928"/>
        <v>31</v>
      </c>
      <c r="O6394" s="86">
        <f t="shared" si="1929"/>
        <v>3242.2200000000003</v>
      </c>
      <c r="P6394" s="86">
        <f t="shared" si="1930"/>
        <v>0</v>
      </c>
      <c r="Q6394" s="86">
        <f t="shared" si="1931"/>
        <v>0</v>
      </c>
      <c r="R6394" s="86">
        <f t="shared" si="1932"/>
        <v>3242.2200000000003</v>
      </c>
      <c r="S6394" s="86">
        <f t="shared" si="1933"/>
        <v>0</v>
      </c>
      <c r="T6394" s="86">
        <f t="shared" si="1934"/>
        <v>0</v>
      </c>
      <c r="U6394" s="87">
        <v>3242.2200000000003</v>
      </c>
    </row>
    <row r="6395" spans="1:21" s="30" customFormat="1" ht="24.6" hidden="1" outlineLevel="1" x14ac:dyDescent="0.55000000000000004">
      <c r="A6395" s="27" t="s">
        <v>327</v>
      </c>
      <c r="B6395" s="28"/>
      <c r="C6395" s="27"/>
      <c r="D6395" s="27" t="str">
        <f>"""NAV Direct"",""CRONUS JetCorp USA"",""21"",""1"",""299867"""</f>
        <v>"NAV Direct","CRONUS JetCorp USA","21","1","299867"</v>
      </c>
      <c r="E6395" s="31" t="str">
        <f t="shared" si="1926"/>
        <v>C100523</v>
      </c>
      <c r="F6395" s="31"/>
      <c r="G6395" s="31"/>
      <c r="H6395" s="31"/>
      <c r="I6395" s="56"/>
      <c r="J6395" s="56"/>
      <c r="K6395" s="82" t="str">
        <f t="shared" si="1927"/>
        <v>Invoice</v>
      </c>
      <c r="L6395" s="83" t="str">
        <f>"SI_109229"</f>
        <v>SI_109229</v>
      </c>
      <c r="M6395" s="84">
        <v>42044</v>
      </c>
      <c r="N6395" s="85">
        <f t="shared" si="1928"/>
        <v>1768</v>
      </c>
      <c r="O6395" s="86">
        <f t="shared" si="1929"/>
        <v>3566.4</v>
      </c>
      <c r="P6395" s="86">
        <f t="shared" si="1930"/>
        <v>0</v>
      </c>
      <c r="Q6395" s="86">
        <f t="shared" si="1931"/>
        <v>0</v>
      </c>
      <c r="R6395" s="86">
        <f t="shared" si="1932"/>
        <v>0</v>
      </c>
      <c r="S6395" s="86">
        <f t="shared" si="1933"/>
        <v>0</v>
      </c>
      <c r="T6395" s="86">
        <f t="shared" si="1934"/>
        <v>3566.4</v>
      </c>
      <c r="U6395" s="87">
        <v>3566.4</v>
      </c>
    </row>
    <row r="6396" spans="1:21" s="30" customFormat="1" ht="24.6" hidden="1" outlineLevel="1" x14ac:dyDescent="0.55000000000000004">
      <c r="A6396" s="27" t="s">
        <v>327</v>
      </c>
      <c r="B6396" s="28"/>
      <c r="C6396" s="27"/>
      <c r="D6396" s="27" t="str">
        <f>"""NAV Direct"",""CRONUS JetCorp USA"",""21"",""1"",""300890"""</f>
        <v>"NAV Direct","CRONUS JetCorp USA","21","1","300890"</v>
      </c>
      <c r="E6396" s="31">
        <f t="shared" si="1926"/>
        <v>0</v>
      </c>
      <c r="F6396" s="31"/>
      <c r="G6396" s="31"/>
      <c r="H6396" s="31"/>
      <c r="I6396" s="56"/>
      <c r="J6396" s="56"/>
      <c r="K6396" s="82" t="str">
        <f t="shared" si="1927"/>
        <v>Invoice</v>
      </c>
      <c r="L6396" s="83" t="str">
        <f>"SI_109259"</f>
        <v>SI_109259</v>
      </c>
      <c r="M6396" s="84">
        <v>42070</v>
      </c>
      <c r="N6396" s="85">
        <f t="shared" si="1928"/>
        <v>1742</v>
      </c>
      <c r="O6396" s="86">
        <f t="shared" si="1929"/>
        <v>3566.2599999999998</v>
      </c>
      <c r="P6396" s="86">
        <f t="shared" si="1930"/>
        <v>0</v>
      </c>
      <c r="Q6396" s="86">
        <f t="shared" si="1931"/>
        <v>0</v>
      </c>
      <c r="R6396" s="86">
        <f t="shared" si="1932"/>
        <v>0</v>
      </c>
      <c r="S6396" s="86">
        <f t="shared" si="1933"/>
        <v>0</v>
      </c>
      <c r="T6396" s="86">
        <f t="shared" si="1934"/>
        <v>3566.2599999999998</v>
      </c>
      <c r="U6396" s="87">
        <v>3566.2599999999998</v>
      </c>
    </row>
    <row r="6397" spans="1:21" s="30" customFormat="1" ht="24.6" hidden="1" outlineLevel="1" x14ac:dyDescent="0.55000000000000004">
      <c r="A6397" s="27" t="s">
        <v>327</v>
      </c>
      <c r="B6397" s="28"/>
      <c r="C6397" s="27"/>
      <c r="D6397" s="27" t="str">
        <f>"""NAV Direct"",""CRONUS JetCorp USA"",""21"",""1"",""301017"""</f>
        <v>"NAV Direct","CRONUS JetCorp USA","21","1","301017"</v>
      </c>
      <c r="E6397" s="31" t="str">
        <f t="shared" si="1926"/>
        <v>C100523</v>
      </c>
      <c r="F6397" s="31"/>
      <c r="G6397" s="31"/>
      <c r="H6397" s="31"/>
      <c r="I6397" s="56"/>
      <c r="J6397" s="56"/>
      <c r="K6397" s="82" t="str">
        <f t="shared" si="1927"/>
        <v>Invoice</v>
      </c>
      <c r="L6397" s="83" t="str">
        <f>"SI_109263"</f>
        <v>SI_109263</v>
      </c>
      <c r="M6397" s="84">
        <v>42068</v>
      </c>
      <c r="N6397" s="85">
        <f t="shared" si="1928"/>
        <v>1744</v>
      </c>
      <c r="O6397" s="86">
        <f t="shared" si="1929"/>
        <v>3566.39</v>
      </c>
      <c r="P6397" s="86">
        <f t="shared" si="1930"/>
        <v>0</v>
      </c>
      <c r="Q6397" s="86">
        <f t="shared" si="1931"/>
        <v>0</v>
      </c>
      <c r="R6397" s="86">
        <f t="shared" si="1932"/>
        <v>0</v>
      </c>
      <c r="S6397" s="86">
        <f t="shared" si="1933"/>
        <v>0</v>
      </c>
      <c r="T6397" s="86">
        <f t="shared" si="1934"/>
        <v>3566.39</v>
      </c>
      <c r="U6397" s="87">
        <v>3566.39</v>
      </c>
    </row>
    <row r="6398" spans="1:21" s="30" customFormat="1" ht="24.6" hidden="1" outlineLevel="1" x14ac:dyDescent="0.55000000000000004">
      <c r="A6398" s="27" t="s">
        <v>327</v>
      </c>
      <c r="B6398" s="28"/>
      <c r="C6398" s="27"/>
      <c r="D6398" s="27" t="str">
        <f>"""NAV Direct"",""CRONUS JetCorp USA"",""21"",""1"",""301050"""</f>
        <v>"NAV Direct","CRONUS JetCorp USA","21","1","301050"</v>
      </c>
      <c r="E6398" s="31">
        <f t="shared" si="1926"/>
        <v>0</v>
      </c>
      <c r="F6398" s="31"/>
      <c r="G6398" s="31"/>
      <c r="H6398" s="31"/>
      <c r="I6398" s="56"/>
      <c r="J6398" s="56"/>
      <c r="K6398" s="82" t="str">
        <f t="shared" si="1927"/>
        <v>Invoice</v>
      </c>
      <c r="L6398" s="83" t="str">
        <f>"SI_109264"</f>
        <v>SI_109264</v>
      </c>
      <c r="M6398" s="84">
        <v>42074</v>
      </c>
      <c r="N6398" s="85">
        <f t="shared" si="1928"/>
        <v>1738</v>
      </c>
      <c r="O6398" s="86">
        <f t="shared" si="1929"/>
        <v>3566.36</v>
      </c>
      <c r="P6398" s="86">
        <f t="shared" si="1930"/>
        <v>0</v>
      </c>
      <c r="Q6398" s="86">
        <f t="shared" si="1931"/>
        <v>0</v>
      </c>
      <c r="R6398" s="86">
        <f t="shared" si="1932"/>
        <v>0</v>
      </c>
      <c r="S6398" s="86">
        <f t="shared" si="1933"/>
        <v>0</v>
      </c>
      <c r="T6398" s="86">
        <f t="shared" si="1934"/>
        <v>3566.36</v>
      </c>
      <c r="U6398" s="87">
        <v>3566.36</v>
      </c>
    </row>
    <row r="6399" spans="1:21" s="30" customFormat="1" ht="24.6" hidden="1" outlineLevel="1" x14ac:dyDescent="0.55000000000000004">
      <c r="A6399" s="27" t="s">
        <v>327</v>
      </c>
      <c r="B6399" s="28"/>
      <c r="C6399" s="27"/>
      <c r="D6399" s="27" t="str">
        <f>"""NAV Direct"",""CRONUS JetCorp USA"",""21"",""1"",""301081"""</f>
        <v>"NAV Direct","CRONUS JetCorp USA","21","1","301081"</v>
      </c>
      <c r="E6399" s="31" t="str">
        <f t="shared" si="1926"/>
        <v>C100523</v>
      </c>
      <c r="F6399" s="31"/>
      <c r="G6399" s="31"/>
      <c r="H6399" s="31"/>
      <c r="I6399" s="56"/>
      <c r="J6399" s="56"/>
      <c r="K6399" s="82" t="str">
        <f t="shared" si="1927"/>
        <v>Invoice</v>
      </c>
      <c r="L6399" s="83" t="str">
        <f>"SI_109265"</f>
        <v>SI_109265</v>
      </c>
      <c r="M6399" s="84">
        <v>42068</v>
      </c>
      <c r="N6399" s="85">
        <f t="shared" si="1928"/>
        <v>1744</v>
      </c>
      <c r="O6399" s="86">
        <f t="shared" si="1929"/>
        <v>3566.3099999999995</v>
      </c>
      <c r="P6399" s="86">
        <f t="shared" si="1930"/>
        <v>0</v>
      </c>
      <c r="Q6399" s="86">
        <f t="shared" si="1931"/>
        <v>0</v>
      </c>
      <c r="R6399" s="86">
        <f t="shared" si="1932"/>
        <v>0</v>
      </c>
      <c r="S6399" s="86">
        <f t="shared" si="1933"/>
        <v>0</v>
      </c>
      <c r="T6399" s="86">
        <f t="shared" si="1934"/>
        <v>3566.3099999999995</v>
      </c>
      <c r="U6399" s="87">
        <v>3566.3099999999995</v>
      </c>
    </row>
    <row r="6400" spans="1:21" s="30" customFormat="1" ht="24.6" hidden="1" outlineLevel="1" x14ac:dyDescent="0.55000000000000004">
      <c r="A6400" s="27" t="s">
        <v>327</v>
      </c>
      <c r="B6400" s="28"/>
      <c r="C6400" s="27"/>
      <c r="D6400" s="27" t="str">
        <f>"""NAV Direct"",""CRONUS JetCorp USA"",""21"",""1"",""303434"""</f>
        <v>"NAV Direct","CRONUS JetCorp USA","21","1","303434"</v>
      </c>
      <c r="E6400" s="31">
        <f t="shared" si="1926"/>
        <v>0</v>
      </c>
      <c r="F6400" s="31"/>
      <c r="G6400" s="31"/>
      <c r="H6400" s="31"/>
      <c r="I6400" s="56"/>
      <c r="J6400" s="56"/>
      <c r="K6400" s="82" t="str">
        <f t="shared" si="1927"/>
        <v>Invoice</v>
      </c>
      <c r="L6400" s="83" t="str">
        <f>"SI_109332"</f>
        <v>SI_109332</v>
      </c>
      <c r="M6400" s="84">
        <v>42172</v>
      </c>
      <c r="N6400" s="85">
        <f t="shared" si="1928"/>
        <v>1640</v>
      </c>
      <c r="O6400" s="86">
        <f t="shared" si="1929"/>
        <v>3922.84</v>
      </c>
      <c r="P6400" s="86">
        <f t="shared" si="1930"/>
        <v>0</v>
      </c>
      <c r="Q6400" s="86">
        <f t="shared" si="1931"/>
        <v>0</v>
      </c>
      <c r="R6400" s="86">
        <f t="shared" si="1932"/>
        <v>0</v>
      </c>
      <c r="S6400" s="86">
        <f t="shared" si="1933"/>
        <v>0</v>
      </c>
      <c r="T6400" s="86">
        <f t="shared" si="1934"/>
        <v>3922.84</v>
      </c>
      <c r="U6400" s="87">
        <v>3922.84</v>
      </c>
    </row>
    <row r="6401" spans="1:22" s="22" customFormat="1" ht="20.399999999999999" collapsed="1" x14ac:dyDescent="0.45">
      <c r="A6401" s="12" t="s">
        <v>327</v>
      </c>
      <c r="B6401" s="19"/>
      <c r="C6401" s="12"/>
      <c r="D6401" s="12"/>
      <c r="E6401" s="23"/>
      <c r="F6401" s="23"/>
      <c r="G6401" s="23"/>
      <c r="H6401" s="23"/>
      <c r="I6401" s="49"/>
      <c r="J6401" s="88"/>
      <c r="K6401" s="88"/>
      <c r="L6401" s="89"/>
      <c r="M6401" s="89"/>
      <c r="N6401" s="89"/>
      <c r="O6401" s="89"/>
      <c r="P6401" s="89"/>
      <c r="Q6401" s="90"/>
      <c r="R6401" s="90"/>
      <c r="S6401" s="91"/>
      <c r="T6401" s="92"/>
      <c r="U6401" s="92"/>
    </row>
    <row r="6402" spans="1:22" s="22" customFormat="1" ht="20.399999999999999" x14ac:dyDescent="0.45">
      <c r="A6402" s="12" t="s">
        <v>327</v>
      </c>
      <c r="B6402" s="19"/>
      <c r="C6402" s="12"/>
      <c r="D6402" s="12"/>
      <c r="E6402" s="23"/>
      <c r="F6402" s="23"/>
      <c r="G6402" s="23"/>
      <c r="H6402" s="23"/>
      <c r="I6402" s="49"/>
      <c r="J6402" s="88"/>
      <c r="K6402" s="88"/>
      <c r="L6402" s="89"/>
      <c r="M6402" s="89"/>
      <c r="N6402" s="89"/>
      <c r="O6402" s="89"/>
      <c r="P6402" s="89"/>
      <c r="Q6402" s="90"/>
      <c r="R6402" s="90"/>
      <c r="S6402" s="91"/>
      <c r="T6402" s="92"/>
      <c r="U6402" s="92"/>
    </row>
    <row r="6403" spans="1:22" s="26" customFormat="1" ht="24.6" x14ac:dyDescent="0.55000000000000004">
      <c r="A6403" s="27" t="s">
        <v>327</v>
      </c>
      <c r="B6403" s="28"/>
      <c r="C6403" s="27" t="str">
        <f>"""NAV Direct"",""CRONUS JetCorp USA"",""18"",""1"",""C100524"""</f>
        <v>"NAV Direct","CRONUS JetCorp USA","18","1","C100524"</v>
      </c>
      <c r="D6403" s="27"/>
      <c r="E6403" s="28" t="str">
        <f>H6403</f>
        <v>C100524</v>
      </c>
      <c r="F6403" s="28"/>
      <c r="G6403" s="28"/>
      <c r="H6403" s="28" t="str">
        <f>"C100524"</f>
        <v>C100524</v>
      </c>
      <c r="I6403" s="116" t="str">
        <f>"C100524  -  Bill's Trophies"</f>
        <v>C100524  -  Bill's Trophies</v>
      </c>
      <c r="J6403" s="117" t="str">
        <f>""</f>
        <v/>
      </c>
      <c r="K6403" s="118"/>
      <c r="L6403" s="119">
        <f>SUBTOTAL(3,L6404:L6444)</f>
        <v>37</v>
      </c>
      <c r="M6403" s="118"/>
      <c r="N6403" s="118"/>
      <c r="O6403" s="120">
        <f t="shared" ref="O6403:T6403" si="1935">SUBTOTAL(9,O6404:O6444)</f>
        <v>74712.3</v>
      </c>
      <c r="P6403" s="120">
        <f t="shared" si="1935"/>
        <v>3242.1600000000003</v>
      </c>
      <c r="Q6403" s="120">
        <f t="shared" si="1935"/>
        <v>10431.93</v>
      </c>
      <c r="R6403" s="120">
        <f t="shared" si="1935"/>
        <v>0</v>
      </c>
      <c r="S6403" s="120">
        <f t="shared" si="1935"/>
        <v>0</v>
      </c>
      <c r="T6403" s="120">
        <f t="shared" si="1935"/>
        <v>61038.209999999992</v>
      </c>
      <c r="U6403" s="81"/>
    </row>
    <row r="6404" spans="1:22" s="26" customFormat="1" ht="24.6" x14ac:dyDescent="0.55000000000000004">
      <c r="A6404" s="27" t="s">
        <v>327</v>
      </c>
      <c r="B6404" s="28"/>
      <c r="C6404" s="27" t="str">
        <f>C6403</f>
        <v>"NAV Direct","CRONUS JetCorp USA","18","1","C100524"</v>
      </c>
      <c r="D6404" s="27"/>
      <c r="E6404" s="28" t="str">
        <f>E6403</f>
        <v>C100524</v>
      </c>
      <c r="F6404" s="28"/>
      <c r="G6404" s="28"/>
      <c r="H6404" s="28"/>
      <c r="I6404" s="121" t="str">
        <f>"Contact: Bill Briggs"</f>
        <v>Contact: Bill Briggs</v>
      </c>
      <c r="J6404" s="121"/>
      <c r="K6404" s="122"/>
      <c r="L6404" s="123"/>
      <c r="M6404" s="123"/>
      <c r="N6404" s="124"/>
      <c r="O6404" s="124"/>
      <c r="P6404" s="123"/>
      <c r="Q6404" s="125"/>
      <c r="R6404" s="126"/>
      <c r="S6404" s="126"/>
      <c r="T6404" s="125"/>
      <c r="U6404" s="81"/>
    </row>
    <row r="6405" spans="1:22" s="26" customFormat="1" ht="24.6" x14ac:dyDescent="0.55000000000000004">
      <c r="A6405" s="27" t="s">
        <v>327</v>
      </c>
      <c r="B6405" s="28"/>
      <c r="C6405" s="27" t="str">
        <f>C6404</f>
        <v>"NAV Direct","CRONUS JetCorp USA","18","1","C100524"</v>
      </c>
      <c r="D6405" s="27"/>
      <c r="E6405" s="28" t="str">
        <f>E6404</f>
        <v>C100524</v>
      </c>
      <c r="F6405" s="28"/>
      <c r="G6405" s="28"/>
      <c r="H6405" s="28"/>
      <c r="I6405" s="121" t="str">
        <f>"Bill's Trophies@cronuscorp.net"</f>
        <v>Bill's Trophies@cronuscorp.net</v>
      </c>
      <c r="J6405" s="121"/>
      <c r="K6405" s="122"/>
      <c r="L6405" s="124"/>
      <c r="M6405" s="124"/>
      <c r="N6405" s="124"/>
      <c r="O6405" s="124"/>
      <c r="P6405" s="123"/>
      <c r="Q6405" s="125"/>
      <c r="R6405" s="126"/>
      <c r="S6405" s="126"/>
      <c r="T6405" s="125"/>
      <c r="U6405" s="81"/>
    </row>
    <row r="6406" spans="1:22" ht="12.75" hidden="1" customHeight="1" outlineLevel="1" x14ac:dyDescent="0.45">
      <c r="A6406" s="12" t="s">
        <v>328</v>
      </c>
      <c r="B6406" s="19"/>
      <c r="E6406" s="19"/>
      <c r="F6406" s="19"/>
      <c r="G6406" s="19"/>
      <c r="H6406" s="19"/>
      <c r="I6406" s="61"/>
      <c r="J6406" s="61"/>
      <c r="K6406" s="61"/>
      <c r="L6406" s="61"/>
      <c r="M6406" s="61"/>
      <c r="N6406" s="61"/>
      <c r="O6406" s="61"/>
      <c r="P6406" s="61"/>
      <c r="Q6406" s="61"/>
      <c r="R6406" s="61"/>
      <c r="S6406" s="61"/>
      <c r="T6406" s="61"/>
      <c r="U6406" s="61"/>
      <c r="V6406" s="21"/>
    </row>
    <row r="6407" spans="1:22" s="30" customFormat="1" ht="24.6" hidden="1" outlineLevel="1" x14ac:dyDescent="0.55000000000000004">
      <c r="A6407" s="27" t="s">
        <v>327</v>
      </c>
      <c r="B6407" s="28"/>
      <c r="C6407" s="27"/>
      <c r="D6407" s="27" t="str">
        <f>"""NAV Direct"",""CRONUS JetCorp USA"",""21"",""1"",""280925"""</f>
        <v>"NAV Direct","CRONUS JetCorp USA","21","1","280925"</v>
      </c>
      <c r="E6407" s="31" t="str">
        <f t="shared" ref="E6407:E6443" si="1936">E6405</f>
        <v>C100524</v>
      </c>
      <c r="F6407" s="31"/>
      <c r="G6407" s="31"/>
      <c r="H6407" s="31"/>
      <c r="I6407" s="56"/>
      <c r="J6407" s="56"/>
      <c r="K6407" s="82" t="str">
        <f t="shared" ref="K6407:K6443" si="1937">"Invoice"</f>
        <v>Invoice</v>
      </c>
      <c r="L6407" s="83" t="str">
        <f>"SI_108588"</f>
        <v>SI_108588</v>
      </c>
      <c r="M6407" s="84">
        <v>43533</v>
      </c>
      <c r="N6407" s="85">
        <f t="shared" ref="N6407:N6443" si="1938">StartDate-$M6407+1</f>
        <v>279</v>
      </c>
      <c r="O6407" s="86">
        <f t="shared" ref="O6407:O6443" si="1939">SUM(P6407:T6407)</f>
        <v>587.91999999999996</v>
      </c>
      <c r="P6407" s="86">
        <f t="shared" ref="P6407:P6443" si="1940">IF($M6407&gt;=$P$18,U6407,0)</f>
        <v>0</v>
      </c>
      <c r="Q6407" s="86">
        <f t="shared" ref="Q6407:Q6443" si="1941">IF(AND($M6407&gt;=$Q$16,$M6407&lt;=$Q$18),U6407,0)</f>
        <v>0</v>
      </c>
      <c r="R6407" s="86">
        <f t="shared" ref="R6407:R6443" si="1942">IF(AND($M6407&gt;=$R$16,$M6407&lt;=$R$18),U6407,0)</f>
        <v>0</v>
      </c>
      <c r="S6407" s="86">
        <f t="shared" ref="S6407:S6443" si="1943">IF(AND($M6407&gt;=$S$16,$M6407&lt;=$S$18),U6407,0)</f>
        <v>0</v>
      </c>
      <c r="T6407" s="86">
        <f t="shared" ref="T6407:T6443" si="1944">IF($M6407&lt;=$T$18,U6407,0)</f>
        <v>587.91999999999996</v>
      </c>
      <c r="U6407" s="87">
        <v>587.91999999999996</v>
      </c>
    </row>
    <row r="6408" spans="1:22" s="30" customFormat="1" ht="24.6" hidden="1" outlineLevel="1" x14ac:dyDescent="0.55000000000000004">
      <c r="A6408" s="27" t="s">
        <v>327</v>
      </c>
      <c r="B6408" s="28"/>
      <c r="C6408" s="27"/>
      <c r="D6408" s="27" t="str">
        <f>"""NAV Direct"",""CRONUS JetCorp USA"",""21"",""1"",""281030"""</f>
        <v>"NAV Direct","CRONUS JetCorp USA","21","1","281030"</v>
      </c>
      <c r="E6408" s="31">
        <f t="shared" si="1936"/>
        <v>0</v>
      </c>
      <c r="F6408" s="31"/>
      <c r="G6408" s="31"/>
      <c r="H6408" s="31"/>
      <c r="I6408" s="56"/>
      <c r="J6408" s="56"/>
      <c r="K6408" s="82" t="str">
        <f t="shared" si="1937"/>
        <v>Invoice</v>
      </c>
      <c r="L6408" s="83" t="str">
        <f>"SI_108592"</f>
        <v>SI_108592</v>
      </c>
      <c r="M6408" s="84">
        <v>43539</v>
      </c>
      <c r="N6408" s="85">
        <f t="shared" si="1938"/>
        <v>273</v>
      </c>
      <c r="O6408" s="86">
        <f t="shared" si="1939"/>
        <v>587.99</v>
      </c>
      <c r="P6408" s="86">
        <f t="shared" si="1940"/>
        <v>0</v>
      </c>
      <c r="Q6408" s="86">
        <f t="shared" si="1941"/>
        <v>0</v>
      </c>
      <c r="R6408" s="86">
        <f t="shared" si="1942"/>
        <v>0</v>
      </c>
      <c r="S6408" s="86">
        <f t="shared" si="1943"/>
        <v>0</v>
      </c>
      <c r="T6408" s="86">
        <f t="shared" si="1944"/>
        <v>587.99</v>
      </c>
      <c r="U6408" s="87">
        <v>587.99</v>
      </c>
    </row>
    <row r="6409" spans="1:22" s="30" customFormat="1" ht="24.6" hidden="1" outlineLevel="1" x14ac:dyDescent="0.55000000000000004">
      <c r="A6409" s="27" t="s">
        <v>327</v>
      </c>
      <c r="B6409" s="28"/>
      <c r="C6409" s="27"/>
      <c r="D6409" s="27" t="str">
        <f>"""NAV Direct"",""CRONUS JetCorp USA"",""21"",""1"",""281418"""</f>
        <v>"NAV Direct","CRONUS JetCorp USA","21","1","281418"</v>
      </c>
      <c r="E6409" s="31" t="str">
        <f t="shared" si="1936"/>
        <v>C100524</v>
      </c>
      <c r="F6409" s="31"/>
      <c r="G6409" s="31"/>
      <c r="H6409" s="31"/>
      <c r="I6409" s="56"/>
      <c r="J6409" s="56"/>
      <c r="K6409" s="82" t="str">
        <f t="shared" si="1937"/>
        <v>Invoice</v>
      </c>
      <c r="L6409" s="83" t="str">
        <f>"SI_108609"</f>
        <v>SI_108609</v>
      </c>
      <c r="M6409" s="84">
        <v>43719</v>
      </c>
      <c r="N6409" s="85">
        <f t="shared" si="1938"/>
        <v>93</v>
      </c>
      <c r="O6409" s="86">
        <f t="shared" si="1939"/>
        <v>587.91999999999996</v>
      </c>
      <c r="P6409" s="86">
        <f t="shared" si="1940"/>
        <v>0</v>
      </c>
      <c r="Q6409" s="86">
        <f t="shared" si="1941"/>
        <v>0</v>
      </c>
      <c r="R6409" s="86">
        <f t="shared" si="1942"/>
        <v>0</v>
      </c>
      <c r="S6409" s="86">
        <f t="shared" si="1943"/>
        <v>0</v>
      </c>
      <c r="T6409" s="86">
        <f t="shared" si="1944"/>
        <v>587.91999999999996</v>
      </c>
      <c r="U6409" s="87">
        <v>587.91999999999996</v>
      </c>
    </row>
    <row r="6410" spans="1:22" s="30" customFormat="1" ht="24.6" hidden="1" outlineLevel="1" x14ac:dyDescent="0.55000000000000004">
      <c r="A6410" s="27" t="s">
        <v>327</v>
      </c>
      <c r="B6410" s="28"/>
      <c r="C6410" s="27"/>
      <c r="D6410" s="27" t="str">
        <f>"""NAV Direct"",""CRONUS JetCorp USA"",""21"",""1"",""281650"""</f>
        <v>"NAV Direct","CRONUS JetCorp USA","21","1","281650"</v>
      </c>
      <c r="E6410" s="31">
        <f t="shared" si="1936"/>
        <v>0</v>
      </c>
      <c r="F6410" s="31"/>
      <c r="G6410" s="31"/>
      <c r="H6410" s="31"/>
      <c r="I6410" s="56"/>
      <c r="J6410" s="56"/>
      <c r="K6410" s="82" t="str">
        <f t="shared" si="1937"/>
        <v>Invoice</v>
      </c>
      <c r="L6410" s="83" t="str">
        <f>"SI_108618"</f>
        <v>SI_108618</v>
      </c>
      <c r="M6410" s="84">
        <v>43700</v>
      </c>
      <c r="N6410" s="85">
        <f t="shared" si="1938"/>
        <v>112</v>
      </c>
      <c r="O6410" s="86">
        <f t="shared" si="1939"/>
        <v>587.91</v>
      </c>
      <c r="P6410" s="86">
        <f t="shared" si="1940"/>
        <v>0</v>
      </c>
      <c r="Q6410" s="86">
        <f t="shared" si="1941"/>
        <v>0</v>
      </c>
      <c r="R6410" s="86">
        <f t="shared" si="1942"/>
        <v>0</v>
      </c>
      <c r="S6410" s="86">
        <f t="shared" si="1943"/>
        <v>0</v>
      </c>
      <c r="T6410" s="86">
        <f t="shared" si="1944"/>
        <v>587.91</v>
      </c>
      <c r="U6410" s="87">
        <v>587.91</v>
      </c>
    </row>
    <row r="6411" spans="1:22" s="30" customFormat="1" ht="24.6" hidden="1" outlineLevel="1" x14ac:dyDescent="0.55000000000000004">
      <c r="A6411" s="27" t="s">
        <v>327</v>
      </c>
      <c r="B6411" s="28"/>
      <c r="C6411" s="27"/>
      <c r="D6411" s="27" t="str">
        <f>"""NAV Direct"",""CRONUS JetCorp USA"",""21"",""1"",""281885"""</f>
        <v>"NAV Direct","CRONUS JetCorp USA","21","1","281885"</v>
      </c>
      <c r="E6411" s="31" t="str">
        <f t="shared" si="1936"/>
        <v>C100524</v>
      </c>
      <c r="F6411" s="31"/>
      <c r="G6411" s="31"/>
      <c r="H6411" s="31"/>
      <c r="I6411" s="56"/>
      <c r="J6411" s="56"/>
      <c r="K6411" s="82" t="str">
        <f t="shared" si="1937"/>
        <v>Invoice</v>
      </c>
      <c r="L6411" s="83" t="str">
        <f>"SI_108627"</f>
        <v>SI_108627</v>
      </c>
      <c r="M6411" s="84">
        <v>43782</v>
      </c>
      <c r="N6411" s="85">
        <f t="shared" si="1938"/>
        <v>30</v>
      </c>
      <c r="O6411" s="86">
        <f t="shared" si="1939"/>
        <v>705.42</v>
      </c>
      <c r="P6411" s="86">
        <f t="shared" si="1940"/>
        <v>0</v>
      </c>
      <c r="Q6411" s="86">
        <f t="shared" si="1941"/>
        <v>705.42</v>
      </c>
      <c r="R6411" s="86">
        <f t="shared" si="1942"/>
        <v>0</v>
      </c>
      <c r="S6411" s="86">
        <f t="shared" si="1943"/>
        <v>0</v>
      </c>
      <c r="T6411" s="86">
        <f t="shared" si="1944"/>
        <v>0</v>
      </c>
      <c r="U6411" s="87">
        <v>705.42</v>
      </c>
    </row>
    <row r="6412" spans="1:22" s="30" customFormat="1" ht="24.6" hidden="1" outlineLevel="1" x14ac:dyDescent="0.55000000000000004">
      <c r="A6412" s="27" t="s">
        <v>327</v>
      </c>
      <c r="B6412" s="28"/>
      <c r="C6412" s="27"/>
      <c r="D6412" s="27" t="str">
        <f>"""NAV Direct"",""CRONUS JetCorp USA"",""21"",""1"",""283147"""</f>
        <v>"NAV Direct","CRONUS JetCorp USA","21","1","283147"</v>
      </c>
      <c r="E6412" s="31">
        <f t="shared" si="1936"/>
        <v>0</v>
      </c>
      <c r="F6412" s="31"/>
      <c r="G6412" s="31"/>
      <c r="H6412" s="31"/>
      <c r="I6412" s="56"/>
      <c r="J6412" s="56"/>
      <c r="K6412" s="82" t="str">
        <f t="shared" si="1937"/>
        <v>Invoice</v>
      </c>
      <c r="L6412" s="83" t="str">
        <f>"SI_108675"</f>
        <v>SI_108675</v>
      </c>
      <c r="M6412" s="84">
        <v>42236</v>
      </c>
      <c r="N6412" s="85">
        <f t="shared" si="1938"/>
        <v>1576</v>
      </c>
      <c r="O6412" s="86">
        <f t="shared" si="1939"/>
        <v>939.11</v>
      </c>
      <c r="P6412" s="86">
        <f t="shared" si="1940"/>
        <v>0</v>
      </c>
      <c r="Q6412" s="86">
        <f t="shared" si="1941"/>
        <v>0</v>
      </c>
      <c r="R6412" s="86">
        <f t="shared" si="1942"/>
        <v>0</v>
      </c>
      <c r="S6412" s="86">
        <f t="shared" si="1943"/>
        <v>0</v>
      </c>
      <c r="T6412" s="86">
        <f t="shared" si="1944"/>
        <v>939.11</v>
      </c>
      <c r="U6412" s="87">
        <v>939.11</v>
      </c>
    </row>
    <row r="6413" spans="1:22" s="30" customFormat="1" ht="24.6" hidden="1" outlineLevel="1" x14ac:dyDescent="0.55000000000000004">
      <c r="A6413" s="27" t="s">
        <v>327</v>
      </c>
      <c r="B6413" s="28"/>
      <c r="C6413" s="27"/>
      <c r="D6413" s="27" t="str">
        <f>"""NAV Direct"",""CRONUS JetCorp USA"",""21"",""1"",""283214"""</f>
        <v>"NAV Direct","CRONUS JetCorp USA","21","1","283214"</v>
      </c>
      <c r="E6413" s="31" t="str">
        <f t="shared" si="1936"/>
        <v>C100524</v>
      </c>
      <c r="F6413" s="31"/>
      <c r="G6413" s="31"/>
      <c r="H6413" s="31"/>
      <c r="I6413" s="56"/>
      <c r="J6413" s="56"/>
      <c r="K6413" s="82" t="str">
        <f t="shared" si="1937"/>
        <v>Invoice</v>
      </c>
      <c r="L6413" s="83" t="str">
        <f>"SI_108678"</f>
        <v>SI_108678</v>
      </c>
      <c r="M6413" s="84">
        <v>42209</v>
      </c>
      <c r="N6413" s="85">
        <f t="shared" si="1938"/>
        <v>1603</v>
      </c>
      <c r="O6413" s="86">
        <f t="shared" si="1939"/>
        <v>939.1</v>
      </c>
      <c r="P6413" s="86">
        <f t="shared" si="1940"/>
        <v>0</v>
      </c>
      <c r="Q6413" s="86">
        <f t="shared" si="1941"/>
        <v>0</v>
      </c>
      <c r="R6413" s="86">
        <f t="shared" si="1942"/>
        <v>0</v>
      </c>
      <c r="S6413" s="86">
        <f t="shared" si="1943"/>
        <v>0</v>
      </c>
      <c r="T6413" s="86">
        <f t="shared" si="1944"/>
        <v>939.1</v>
      </c>
      <c r="U6413" s="87">
        <v>939.1</v>
      </c>
    </row>
    <row r="6414" spans="1:22" s="30" customFormat="1" ht="24.6" hidden="1" outlineLevel="1" x14ac:dyDescent="0.55000000000000004">
      <c r="A6414" s="27" t="s">
        <v>327</v>
      </c>
      <c r="B6414" s="28"/>
      <c r="C6414" s="27"/>
      <c r="D6414" s="27" t="str">
        <f>"""NAV Direct"",""CRONUS JetCorp USA"",""21"",""1"",""284495"""</f>
        <v>"NAV Direct","CRONUS JetCorp USA","21","1","284495"</v>
      </c>
      <c r="E6414" s="31">
        <f t="shared" si="1936"/>
        <v>0</v>
      </c>
      <c r="F6414" s="31"/>
      <c r="G6414" s="31"/>
      <c r="H6414" s="31"/>
      <c r="I6414" s="56"/>
      <c r="J6414" s="56"/>
      <c r="K6414" s="82" t="str">
        <f t="shared" si="1937"/>
        <v>Invoice</v>
      </c>
      <c r="L6414" s="83" t="str">
        <f>"SI_108725"</f>
        <v>SI_108725</v>
      </c>
      <c r="M6414" s="84">
        <v>42769</v>
      </c>
      <c r="N6414" s="85">
        <f t="shared" si="1938"/>
        <v>1043</v>
      </c>
      <c r="O6414" s="86">
        <f t="shared" si="1939"/>
        <v>1136.3599999999999</v>
      </c>
      <c r="P6414" s="86">
        <f t="shared" si="1940"/>
        <v>0</v>
      </c>
      <c r="Q6414" s="86">
        <f t="shared" si="1941"/>
        <v>0</v>
      </c>
      <c r="R6414" s="86">
        <f t="shared" si="1942"/>
        <v>0</v>
      </c>
      <c r="S6414" s="86">
        <f t="shared" si="1943"/>
        <v>0</v>
      </c>
      <c r="T6414" s="86">
        <f t="shared" si="1944"/>
        <v>1136.3599999999999</v>
      </c>
      <c r="U6414" s="87">
        <v>1136.3599999999999</v>
      </c>
    </row>
    <row r="6415" spans="1:22" s="30" customFormat="1" ht="24.6" hidden="1" outlineLevel="1" x14ac:dyDescent="0.55000000000000004">
      <c r="A6415" s="27" t="s">
        <v>327</v>
      </c>
      <c r="B6415" s="28"/>
      <c r="C6415" s="27"/>
      <c r="D6415" s="27" t="str">
        <f>"""NAV Direct"",""CRONUS JetCorp USA"",""21"",""1"",""284594"""</f>
        <v>"NAV Direct","CRONUS JetCorp USA","21","1","284594"</v>
      </c>
      <c r="E6415" s="31" t="str">
        <f t="shared" si="1936"/>
        <v>C100524</v>
      </c>
      <c r="F6415" s="31"/>
      <c r="G6415" s="31"/>
      <c r="H6415" s="31"/>
      <c r="I6415" s="56"/>
      <c r="J6415" s="56"/>
      <c r="K6415" s="82" t="str">
        <f t="shared" si="1937"/>
        <v>Invoice</v>
      </c>
      <c r="L6415" s="83" t="str">
        <f>"SI_108729"</f>
        <v>SI_108729</v>
      </c>
      <c r="M6415" s="84">
        <v>42767</v>
      </c>
      <c r="N6415" s="85">
        <f t="shared" si="1938"/>
        <v>1045</v>
      </c>
      <c r="O6415" s="86">
        <f t="shared" si="1939"/>
        <v>1136.3699999999999</v>
      </c>
      <c r="P6415" s="86">
        <f t="shared" si="1940"/>
        <v>0</v>
      </c>
      <c r="Q6415" s="86">
        <f t="shared" si="1941"/>
        <v>0</v>
      </c>
      <c r="R6415" s="86">
        <f t="shared" si="1942"/>
        <v>0</v>
      </c>
      <c r="S6415" s="86">
        <f t="shared" si="1943"/>
        <v>0</v>
      </c>
      <c r="T6415" s="86">
        <f t="shared" si="1944"/>
        <v>1136.3699999999999</v>
      </c>
      <c r="U6415" s="87">
        <v>1136.3699999999999</v>
      </c>
    </row>
    <row r="6416" spans="1:22" s="30" customFormat="1" ht="24.6" hidden="1" outlineLevel="1" x14ac:dyDescent="0.55000000000000004">
      <c r="A6416" s="27" t="s">
        <v>327</v>
      </c>
      <c r="B6416" s="28"/>
      <c r="C6416" s="27"/>
      <c r="D6416" s="27" t="str">
        <f>"""NAV Direct"",""CRONUS JetCorp USA"",""21"",""1"",""284652"""</f>
        <v>"NAV Direct","CRONUS JetCorp USA","21","1","284652"</v>
      </c>
      <c r="E6416" s="31">
        <f t="shared" si="1936"/>
        <v>0</v>
      </c>
      <c r="F6416" s="31"/>
      <c r="G6416" s="31"/>
      <c r="H6416" s="31"/>
      <c r="I6416" s="56"/>
      <c r="J6416" s="56"/>
      <c r="K6416" s="82" t="str">
        <f t="shared" si="1937"/>
        <v>Invoice</v>
      </c>
      <c r="L6416" s="83" t="str">
        <f>"SI_108731"</f>
        <v>SI_108731</v>
      </c>
      <c r="M6416" s="84">
        <v>42772</v>
      </c>
      <c r="N6416" s="85">
        <f t="shared" si="1938"/>
        <v>1040</v>
      </c>
      <c r="O6416" s="86">
        <f t="shared" si="1939"/>
        <v>1136.31</v>
      </c>
      <c r="P6416" s="86">
        <f t="shared" si="1940"/>
        <v>0</v>
      </c>
      <c r="Q6416" s="86">
        <f t="shared" si="1941"/>
        <v>0</v>
      </c>
      <c r="R6416" s="86">
        <f t="shared" si="1942"/>
        <v>0</v>
      </c>
      <c r="S6416" s="86">
        <f t="shared" si="1943"/>
        <v>0</v>
      </c>
      <c r="T6416" s="86">
        <f t="shared" si="1944"/>
        <v>1136.31</v>
      </c>
      <c r="U6416" s="87">
        <v>1136.31</v>
      </c>
    </row>
    <row r="6417" spans="1:21" s="30" customFormat="1" ht="24.6" hidden="1" outlineLevel="1" x14ac:dyDescent="0.55000000000000004">
      <c r="A6417" s="27" t="s">
        <v>327</v>
      </c>
      <c r="B6417" s="28"/>
      <c r="C6417" s="27"/>
      <c r="D6417" s="27" t="str">
        <f>"""NAV Direct"",""CRONUS JetCorp USA"",""21"",""1"",""284817"""</f>
        <v>"NAV Direct","CRONUS JetCorp USA","21","1","284817"</v>
      </c>
      <c r="E6417" s="31" t="str">
        <f t="shared" si="1936"/>
        <v>C100524</v>
      </c>
      <c r="F6417" s="31"/>
      <c r="G6417" s="31"/>
      <c r="H6417" s="31"/>
      <c r="I6417" s="56"/>
      <c r="J6417" s="56"/>
      <c r="K6417" s="82" t="str">
        <f t="shared" si="1937"/>
        <v>Invoice</v>
      </c>
      <c r="L6417" s="83" t="str">
        <f>"SI_108737"</f>
        <v>SI_108737</v>
      </c>
      <c r="M6417" s="84">
        <v>42788</v>
      </c>
      <c r="N6417" s="85">
        <f t="shared" si="1938"/>
        <v>1024</v>
      </c>
      <c r="O6417" s="86">
        <f t="shared" si="1939"/>
        <v>1136.22</v>
      </c>
      <c r="P6417" s="86">
        <f t="shared" si="1940"/>
        <v>0</v>
      </c>
      <c r="Q6417" s="86">
        <f t="shared" si="1941"/>
        <v>0</v>
      </c>
      <c r="R6417" s="86">
        <f t="shared" si="1942"/>
        <v>0</v>
      </c>
      <c r="S6417" s="86">
        <f t="shared" si="1943"/>
        <v>0</v>
      </c>
      <c r="T6417" s="86">
        <f t="shared" si="1944"/>
        <v>1136.22</v>
      </c>
      <c r="U6417" s="87">
        <v>1136.22</v>
      </c>
    </row>
    <row r="6418" spans="1:21" s="30" customFormat="1" ht="24.6" hidden="1" outlineLevel="1" x14ac:dyDescent="0.55000000000000004">
      <c r="A6418" s="27" t="s">
        <v>327</v>
      </c>
      <c r="B6418" s="28"/>
      <c r="C6418" s="27"/>
      <c r="D6418" s="27" t="str">
        <f>"""NAV Direct"",""CRONUS JetCorp USA"",""21"",""1"",""284937"""</f>
        <v>"NAV Direct","CRONUS JetCorp USA","21","1","284937"</v>
      </c>
      <c r="E6418" s="31">
        <f t="shared" si="1936"/>
        <v>0</v>
      </c>
      <c r="F6418" s="31"/>
      <c r="G6418" s="31"/>
      <c r="H6418" s="31"/>
      <c r="I6418" s="56"/>
      <c r="J6418" s="56"/>
      <c r="K6418" s="82" t="str">
        <f t="shared" si="1937"/>
        <v>Invoice</v>
      </c>
      <c r="L6418" s="83" t="str">
        <f>"SI_108741"</f>
        <v>SI_108741</v>
      </c>
      <c r="M6418" s="84">
        <v>42781</v>
      </c>
      <c r="N6418" s="85">
        <f t="shared" si="1938"/>
        <v>1031</v>
      </c>
      <c r="O6418" s="86">
        <f t="shared" si="1939"/>
        <v>1136.3200000000002</v>
      </c>
      <c r="P6418" s="86">
        <f t="shared" si="1940"/>
        <v>0</v>
      </c>
      <c r="Q6418" s="86">
        <f t="shared" si="1941"/>
        <v>0</v>
      </c>
      <c r="R6418" s="86">
        <f t="shared" si="1942"/>
        <v>0</v>
      </c>
      <c r="S6418" s="86">
        <f t="shared" si="1943"/>
        <v>0</v>
      </c>
      <c r="T6418" s="86">
        <f t="shared" si="1944"/>
        <v>1136.3200000000002</v>
      </c>
      <c r="U6418" s="87">
        <v>1136.3200000000002</v>
      </c>
    </row>
    <row r="6419" spans="1:21" s="30" customFormat="1" ht="24.6" hidden="1" outlineLevel="1" x14ac:dyDescent="0.55000000000000004">
      <c r="A6419" s="27" t="s">
        <v>327</v>
      </c>
      <c r="B6419" s="28"/>
      <c r="C6419" s="27"/>
      <c r="D6419" s="27" t="str">
        <f>"""NAV Direct"",""CRONUS JetCorp USA"",""21"",""1"",""285011"""</f>
        <v>"NAV Direct","CRONUS JetCorp USA","21","1","285011"</v>
      </c>
      <c r="E6419" s="31" t="str">
        <f t="shared" si="1936"/>
        <v>C100524</v>
      </c>
      <c r="F6419" s="31"/>
      <c r="G6419" s="31"/>
      <c r="H6419" s="31"/>
      <c r="I6419" s="56"/>
      <c r="J6419" s="56"/>
      <c r="K6419" s="82" t="str">
        <f t="shared" si="1937"/>
        <v>Invoice</v>
      </c>
      <c r="L6419" s="83" t="str">
        <f>"SI_108744"</f>
        <v>SI_108744</v>
      </c>
      <c r="M6419" s="84">
        <v>42812</v>
      </c>
      <c r="N6419" s="85">
        <f t="shared" si="1938"/>
        <v>1000</v>
      </c>
      <c r="O6419" s="86">
        <f t="shared" si="1939"/>
        <v>1136.3399999999999</v>
      </c>
      <c r="P6419" s="86">
        <f t="shared" si="1940"/>
        <v>0</v>
      </c>
      <c r="Q6419" s="86">
        <f t="shared" si="1941"/>
        <v>0</v>
      </c>
      <c r="R6419" s="86">
        <f t="shared" si="1942"/>
        <v>0</v>
      </c>
      <c r="S6419" s="86">
        <f t="shared" si="1943"/>
        <v>0</v>
      </c>
      <c r="T6419" s="86">
        <f t="shared" si="1944"/>
        <v>1136.3399999999999</v>
      </c>
      <c r="U6419" s="87">
        <v>1136.3399999999999</v>
      </c>
    </row>
    <row r="6420" spans="1:21" s="30" customFormat="1" ht="24.6" hidden="1" outlineLevel="1" x14ac:dyDescent="0.55000000000000004">
      <c r="A6420" s="27" t="s">
        <v>327</v>
      </c>
      <c r="B6420" s="28"/>
      <c r="C6420" s="27"/>
      <c r="D6420" s="27" t="str">
        <f>"""NAV Direct"",""CRONUS JetCorp USA"",""21"",""1"",""285177"""</f>
        <v>"NAV Direct","CRONUS JetCorp USA","21","1","285177"</v>
      </c>
      <c r="E6420" s="31">
        <f t="shared" si="1936"/>
        <v>0</v>
      </c>
      <c r="F6420" s="31"/>
      <c r="G6420" s="31"/>
      <c r="H6420" s="31"/>
      <c r="I6420" s="56"/>
      <c r="J6420" s="56"/>
      <c r="K6420" s="82" t="str">
        <f t="shared" si="1937"/>
        <v>Invoice</v>
      </c>
      <c r="L6420" s="83" t="str">
        <f>"SI_108750"</f>
        <v>SI_108750</v>
      </c>
      <c r="M6420" s="84">
        <v>42797</v>
      </c>
      <c r="N6420" s="85">
        <f t="shared" si="1938"/>
        <v>1015</v>
      </c>
      <c r="O6420" s="86">
        <f t="shared" si="1939"/>
        <v>1136.29</v>
      </c>
      <c r="P6420" s="86">
        <f t="shared" si="1940"/>
        <v>0</v>
      </c>
      <c r="Q6420" s="86">
        <f t="shared" si="1941"/>
        <v>0</v>
      </c>
      <c r="R6420" s="86">
        <f t="shared" si="1942"/>
        <v>0</v>
      </c>
      <c r="S6420" s="86">
        <f t="shared" si="1943"/>
        <v>0</v>
      </c>
      <c r="T6420" s="86">
        <f t="shared" si="1944"/>
        <v>1136.29</v>
      </c>
      <c r="U6420" s="87">
        <v>1136.29</v>
      </c>
    </row>
    <row r="6421" spans="1:21" s="30" customFormat="1" ht="24.6" hidden="1" outlineLevel="1" x14ac:dyDescent="0.55000000000000004">
      <c r="A6421" s="27" t="s">
        <v>327</v>
      </c>
      <c r="B6421" s="28"/>
      <c r="C6421" s="27"/>
      <c r="D6421" s="27" t="str">
        <f>"""NAV Direct"",""CRONUS JetCorp USA"",""21"",""1"",""285283"""</f>
        <v>"NAV Direct","CRONUS JetCorp USA","21","1","285283"</v>
      </c>
      <c r="E6421" s="31" t="str">
        <f t="shared" si="1936"/>
        <v>C100524</v>
      </c>
      <c r="F6421" s="31"/>
      <c r="G6421" s="31"/>
      <c r="H6421" s="31"/>
      <c r="I6421" s="56"/>
      <c r="J6421" s="56"/>
      <c r="K6421" s="82" t="str">
        <f t="shared" si="1937"/>
        <v>Invoice</v>
      </c>
      <c r="L6421" s="83" t="str">
        <f>"SI_108754"</f>
        <v>SI_108754</v>
      </c>
      <c r="M6421" s="84">
        <v>42880</v>
      </c>
      <c r="N6421" s="85">
        <f t="shared" si="1938"/>
        <v>932</v>
      </c>
      <c r="O6421" s="86">
        <f t="shared" si="1939"/>
        <v>1249.96</v>
      </c>
      <c r="P6421" s="86">
        <f t="shared" si="1940"/>
        <v>0</v>
      </c>
      <c r="Q6421" s="86">
        <f t="shared" si="1941"/>
        <v>0</v>
      </c>
      <c r="R6421" s="86">
        <f t="shared" si="1942"/>
        <v>0</v>
      </c>
      <c r="S6421" s="86">
        <f t="shared" si="1943"/>
        <v>0</v>
      </c>
      <c r="T6421" s="86">
        <f t="shared" si="1944"/>
        <v>1249.96</v>
      </c>
      <c r="U6421" s="87">
        <v>1249.96</v>
      </c>
    </row>
    <row r="6422" spans="1:21" s="30" customFormat="1" ht="24.6" hidden="1" outlineLevel="1" x14ac:dyDescent="0.55000000000000004">
      <c r="A6422" s="27" t="s">
        <v>327</v>
      </c>
      <c r="B6422" s="28"/>
      <c r="C6422" s="27"/>
      <c r="D6422" s="27" t="str">
        <f>"""NAV Direct"",""CRONUS JetCorp USA"",""21"",""1"",""285526"""</f>
        <v>"NAV Direct","CRONUS JetCorp USA","21","1","285526"</v>
      </c>
      <c r="E6422" s="31">
        <f t="shared" si="1936"/>
        <v>0</v>
      </c>
      <c r="F6422" s="31"/>
      <c r="G6422" s="31"/>
      <c r="H6422" s="31"/>
      <c r="I6422" s="56"/>
      <c r="J6422" s="56"/>
      <c r="K6422" s="82" t="str">
        <f t="shared" si="1937"/>
        <v>Invoice</v>
      </c>
      <c r="L6422" s="83" t="str">
        <f>"SI_108763"</f>
        <v>SI_108763</v>
      </c>
      <c r="M6422" s="84">
        <v>42892</v>
      </c>
      <c r="N6422" s="85">
        <f t="shared" si="1938"/>
        <v>920</v>
      </c>
      <c r="O6422" s="86">
        <f t="shared" si="1939"/>
        <v>1249.9299999999998</v>
      </c>
      <c r="P6422" s="86">
        <f t="shared" si="1940"/>
        <v>0</v>
      </c>
      <c r="Q6422" s="86">
        <f t="shared" si="1941"/>
        <v>0</v>
      </c>
      <c r="R6422" s="86">
        <f t="shared" si="1942"/>
        <v>0</v>
      </c>
      <c r="S6422" s="86">
        <f t="shared" si="1943"/>
        <v>0</v>
      </c>
      <c r="T6422" s="86">
        <f t="shared" si="1944"/>
        <v>1249.9299999999998</v>
      </c>
      <c r="U6422" s="87">
        <v>1249.9299999999998</v>
      </c>
    </row>
    <row r="6423" spans="1:21" s="30" customFormat="1" ht="24.6" hidden="1" outlineLevel="1" x14ac:dyDescent="0.55000000000000004">
      <c r="A6423" s="27" t="s">
        <v>327</v>
      </c>
      <c r="B6423" s="28"/>
      <c r="C6423" s="27"/>
      <c r="D6423" s="27" t="str">
        <f>"""NAV Direct"",""CRONUS JetCorp USA"",""21"",""1"",""285788"""</f>
        <v>"NAV Direct","CRONUS JetCorp USA","21","1","285788"</v>
      </c>
      <c r="E6423" s="31" t="str">
        <f t="shared" si="1936"/>
        <v>C100524</v>
      </c>
      <c r="F6423" s="31"/>
      <c r="G6423" s="31"/>
      <c r="H6423" s="31"/>
      <c r="I6423" s="56"/>
      <c r="J6423" s="56"/>
      <c r="K6423" s="82" t="str">
        <f t="shared" si="1937"/>
        <v>Invoice</v>
      </c>
      <c r="L6423" s="83" t="str">
        <f>"SI_108773"</f>
        <v>SI_108773</v>
      </c>
      <c r="M6423" s="84">
        <v>42864</v>
      </c>
      <c r="N6423" s="85">
        <f t="shared" si="1938"/>
        <v>948</v>
      </c>
      <c r="O6423" s="86">
        <f t="shared" si="1939"/>
        <v>1249.97</v>
      </c>
      <c r="P6423" s="86">
        <f t="shared" si="1940"/>
        <v>0</v>
      </c>
      <c r="Q6423" s="86">
        <f t="shared" si="1941"/>
        <v>0</v>
      </c>
      <c r="R6423" s="86">
        <f t="shared" si="1942"/>
        <v>0</v>
      </c>
      <c r="S6423" s="86">
        <f t="shared" si="1943"/>
        <v>0</v>
      </c>
      <c r="T6423" s="86">
        <f t="shared" si="1944"/>
        <v>1249.97</v>
      </c>
      <c r="U6423" s="87">
        <v>1249.97</v>
      </c>
    </row>
    <row r="6424" spans="1:21" s="30" customFormat="1" ht="24.6" hidden="1" outlineLevel="1" x14ac:dyDescent="0.55000000000000004">
      <c r="A6424" s="27" t="s">
        <v>327</v>
      </c>
      <c r="B6424" s="28"/>
      <c r="C6424" s="27"/>
      <c r="D6424" s="27" t="str">
        <f>"""NAV Direct"",""CRONUS JetCorp USA"",""21"",""1"",""286104"""</f>
        <v>"NAV Direct","CRONUS JetCorp USA","21","1","286104"</v>
      </c>
      <c r="E6424" s="31">
        <f t="shared" si="1936"/>
        <v>0</v>
      </c>
      <c r="F6424" s="31"/>
      <c r="G6424" s="31"/>
      <c r="H6424" s="31"/>
      <c r="I6424" s="56"/>
      <c r="J6424" s="56"/>
      <c r="K6424" s="82" t="str">
        <f t="shared" si="1937"/>
        <v>Invoice</v>
      </c>
      <c r="L6424" s="83" t="str">
        <f>"SI_108783"</f>
        <v>SI_108783</v>
      </c>
      <c r="M6424" s="84">
        <v>42901</v>
      </c>
      <c r="N6424" s="85">
        <f t="shared" si="1938"/>
        <v>911</v>
      </c>
      <c r="O6424" s="86">
        <f t="shared" si="1939"/>
        <v>1249.97</v>
      </c>
      <c r="P6424" s="86">
        <f t="shared" si="1940"/>
        <v>0</v>
      </c>
      <c r="Q6424" s="86">
        <f t="shared" si="1941"/>
        <v>0</v>
      </c>
      <c r="R6424" s="86">
        <f t="shared" si="1942"/>
        <v>0</v>
      </c>
      <c r="S6424" s="86">
        <f t="shared" si="1943"/>
        <v>0</v>
      </c>
      <c r="T6424" s="86">
        <f t="shared" si="1944"/>
        <v>1249.97</v>
      </c>
      <c r="U6424" s="87">
        <v>1249.97</v>
      </c>
    </row>
    <row r="6425" spans="1:21" s="30" customFormat="1" ht="24.6" hidden="1" outlineLevel="1" x14ac:dyDescent="0.55000000000000004">
      <c r="A6425" s="27" t="s">
        <v>327</v>
      </c>
      <c r="B6425" s="28"/>
      <c r="C6425" s="27"/>
      <c r="D6425" s="27" t="str">
        <f>"""NAV Direct"",""CRONUS JetCorp USA"",""21"",""1"",""286799"""</f>
        <v>"NAV Direct","CRONUS JetCorp USA","21","1","286799"</v>
      </c>
      <c r="E6425" s="31" t="str">
        <f t="shared" si="1936"/>
        <v>C100524</v>
      </c>
      <c r="F6425" s="31"/>
      <c r="G6425" s="31"/>
      <c r="H6425" s="31"/>
      <c r="I6425" s="56"/>
      <c r="J6425" s="56"/>
      <c r="K6425" s="82" t="str">
        <f t="shared" si="1937"/>
        <v>Invoice</v>
      </c>
      <c r="L6425" s="83" t="str">
        <f>"SI_108806"</f>
        <v>SI_108806</v>
      </c>
      <c r="M6425" s="84">
        <v>42979</v>
      </c>
      <c r="N6425" s="85">
        <f t="shared" si="1938"/>
        <v>833</v>
      </c>
      <c r="O6425" s="86">
        <f t="shared" si="1939"/>
        <v>1374.96</v>
      </c>
      <c r="P6425" s="86">
        <f t="shared" si="1940"/>
        <v>0</v>
      </c>
      <c r="Q6425" s="86">
        <f t="shared" si="1941"/>
        <v>0</v>
      </c>
      <c r="R6425" s="86">
        <f t="shared" si="1942"/>
        <v>0</v>
      </c>
      <c r="S6425" s="86">
        <f t="shared" si="1943"/>
        <v>0</v>
      </c>
      <c r="T6425" s="86">
        <f t="shared" si="1944"/>
        <v>1374.96</v>
      </c>
      <c r="U6425" s="87">
        <v>1374.96</v>
      </c>
    </row>
    <row r="6426" spans="1:21" s="30" customFormat="1" ht="24.6" hidden="1" outlineLevel="1" x14ac:dyDescent="0.55000000000000004">
      <c r="A6426" s="27" t="s">
        <v>327</v>
      </c>
      <c r="B6426" s="28"/>
      <c r="C6426" s="27"/>
      <c r="D6426" s="27" t="str">
        <f>"""NAV Direct"",""CRONUS JetCorp USA"",""21"",""1"",""288661"""</f>
        <v>"NAV Direct","CRONUS JetCorp USA","21","1","288661"</v>
      </c>
      <c r="E6426" s="31">
        <f t="shared" si="1936"/>
        <v>0</v>
      </c>
      <c r="F6426" s="31"/>
      <c r="G6426" s="31"/>
      <c r="H6426" s="31"/>
      <c r="I6426" s="56"/>
      <c r="J6426" s="56"/>
      <c r="K6426" s="82" t="str">
        <f t="shared" si="1937"/>
        <v>Invoice</v>
      </c>
      <c r="L6426" s="83" t="str">
        <f>"SI_108871"</f>
        <v>SI_108871</v>
      </c>
      <c r="M6426" s="84">
        <v>43144</v>
      </c>
      <c r="N6426" s="85">
        <f t="shared" si="1938"/>
        <v>668</v>
      </c>
      <c r="O6426" s="86">
        <f t="shared" si="1939"/>
        <v>1663.73</v>
      </c>
      <c r="P6426" s="86">
        <f t="shared" si="1940"/>
        <v>0</v>
      </c>
      <c r="Q6426" s="86">
        <f t="shared" si="1941"/>
        <v>0</v>
      </c>
      <c r="R6426" s="86">
        <f t="shared" si="1942"/>
        <v>0</v>
      </c>
      <c r="S6426" s="86">
        <f t="shared" si="1943"/>
        <v>0</v>
      </c>
      <c r="T6426" s="86">
        <f t="shared" si="1944"/>
        <v>1663.73</v>
      </c>
      <c r="U6426" s="87">
        <v>1663.73</v>
      </c>
    </row>
    <row r="6427" spans="1:21" s="30" customFormat="1" ht="24.6" hidden="1" outlineLevel="1" x14ac:dyDescent="0.55000000000000004">
      <c r="A6427" s="27" t="s">
        <v>327</v>
      </c>
      <c r="B6427" s="28"/>
      <c r="C6427" s="27"/>
      <c r="D6427" s="27" t="str">
        <f>"""NAV Direct"",""CRONUS JetCorp USA"",""21"",""1"",""289412"""</f>
        <v>"NAV Direct","CRONUS JetCorp USA","21","1","289412"</v>
      </c>
      <c r="E6427" s="31" t="str">
        <f t="shared" si="1936"/>
        <v>C100524</v>
      </c>
      <c r="F6427" s="31"/>
      <c r="G6427" s="31"/>
      <c r="H6427" s="31"/>
      <c r="I6427" s="56"/>
      <c r="J6427" s="56"/>
      <c r="K6427" s="82" t="str">
        <f t="shared" si="1937"/>
        <v>Invoice</v>
      </c>
      <c r="L6427" s="83" t="str">
        <f>"SI_108896"</f>
        <v>SI_108896</v>
      </c>
      <c r="M6427" s="84">
        <v>43217</v>
      </c>
      <c r="N6427" s="85">
        <f t="shared" si="1938"/>
        <v>595</v>
      </c>
      <c r="O6427" s="86">
        <f t="shared" si="1939"/>
        <v>1830.1200000000001</v>
      </c>
      <c r="P6427" s="86">
        <f t="shared" si="1940"/>
        <v>0</v>
      </c>
      <c r="Q6427" s="86">
        <f t="shared" si="1941"/>
        <v>0</v>
      </c>
      <c r="R6427" s="86">
        <f t="shared" si="1942"/>
        <v>0</v>
      </c>
      <c r="S6427" s="86">
        <f t="shared" si="1943"/>
        <v>0</v>
      </c>
      <c r="T6427" s="86">
        <f t="shared" si="1944"/>
        <v>1830.1200000000001</v>
      </c>
      <c r="U6427" s="87">
        <v>1830.1200000000001</v>
      </c>
    </row>
    <row r="6428" spans="1:21" s="30" customFormat="1" ht="24.6" hidden="1" outlineLevel="1" x14ac:dyDescent="0.55000000000000004">
      <c r="A6428" s="27" t="s">
        <v>327</v>
      </c>
      <c r="B6428" s="28"/>
      <c r="C6428" s="27"/>
      <c r="D6428" s="27" t="str">
        <f>"""NAV Direct"",""CRONUS JetCorp USA"",""21"",""1"",""290658"""</f>
        <v>"NAV Direct","CRONUS JetCorp USA","21","1","290658"</v>
      </c>
      <c r="E6428" s="31">
        <f t="shared" si="1936"/>
        <v>0</v>
      </c>
      <c r="F6428" s="31"/>
      <c r="G6428" s="31"/>
      <c r="H6428" s="31"/>
      <c r="I6428" s="56"/>
      <c r="J6428" s="56"/>
      <c r="K6428" s="82" t="str">
        <f t="shared" si="1937"/>
        <v>Invoice</v>
      </c>
      <c r="L6428" s="83" t="str">
        <f>"SI_108937"</f>
        <v>SI_108937</v>
      </c>
      <c r="M6428" s="84">
        <v>43329</v>
      </c>
      <c r="N6428" s="85">
        <f t="shared" si="1938"/>
        <v>483</v>
      </c>
      <c r="O6428" s="86">
        <f t="shared" si="1939"/>
        <v>2012.89</v>
      </c>
      <c r="P6428" s="86">
        <f t="shared" si="1940"/>
        <v>0</v>
      </c>
      <c r="Q6428" s="86">
        <f t="shared" si="1941"/>
        <v>0</v>
      </c>
      <c r="R6428" s="86">
        <f t="shared" si="1942"/>
        <v>0</v>
      </c>
      <c r="S6428" s="86">
        <f t="shared" si="1943"/>
        <v>0</v>
      </c>
      <c r="T6428" s="86">
        <f t="shared" si="1944"/>
        <v>2012.89</v>
      </c>
      <c r="U6428" s="87">
        <v>2012.89</v>
      </c>
    </row>
    <row r="6429" spans="1:21" s="30" customFormat="1" ht="24.6" hidden="1" outlineLevel="1" x14ac:dyDescent="0.55000000000000004">
      <c r="A6429" s="27" t="s">
        <v>327</v>
      </c>
      <c r="B6429" s="28"/>
      <c r="C6429" s="27"/>
      <c r="D6429" s="27" t="str">
        <f>"""NAV Direct"",""CRONUS JetCorp USA"",""21"",""1"",""290829"""</f>
        <v>"NAV Direct","CRONUS JetCorp USA","21","1","290829"</v>
      </c>
      <c r="E6429" s="31" t="str">
        <f t="shared" si="1936"/>
        <v>C100524</v>
      </c>
      <c r="F6429" s="31"/>
      <c r="G6429" s="31"/>
      <c r="H6429" s="31"/>
      <c r="I6429" s="56"/>
      <c r="J6429" s="56"/>
      <c r="K6429" s="82" t="str">
        <f t="shared" si="1937"/>
        <v>Invoice</v>
      </c>
      <c r="L6429" s="83" t="str">
        <f>"SI_108942"</f>
        <v>SI_108942</v>
      </c>
      <c r="M6429" s="84">
        <v>43323</v>
      </c>
      <c r="N6429" s="85">
        <f t="shared" si="1938"/>
        <v>489</v>
      </c>
      <c r="O6429" s="86">
        <f t="shared" si="1939"/>
        <v>2013.07</v>
      </c>
      <c r="P6429" s="86">
        <f t="shared" si="1940"/>
        <v>0</v>
      </c>
      <c r="Q6429" s="86">
        <f t="shared" si="1941"/>
        <v>0</v>
      </c>
      <c r="R6429" s="86">
        <f t="shared" si="1942"/>
        <v>0</v>
      </c>
      <c r="S6429" s="86">
        <f t="shared" si="1943"/>
        <v>0</v>
      </c>
      <c r="T6429" s="86">
        <f t="shared" si="1944"/>
        <v>2013.07</v>
      </c>
      <c r="U6429" s="87">
        <v>2013.07</v>
      </c>
    </row>
    <row r="6430" spans="1:21" s="30" customFormat="1" ht="24.6" hidden="1" outlineLevel="1" x14ac:dyDescent="0.55000000000000004">
      <c r="A6430" s="27" t="s">
        <v>327</v>
      </c>
      <c r="B6430" s="28"/>
      <c r="C6430" s="27"/>
      <c r="D6430" s="27" t="str">
        <f>"""NAV Direct"",""CRONUS JetCorp USA"",""21"",""1"",""294683"""</f>
        <v>"NAV Direct","CRONUS JetCorp USA","21","1","294683"</v>
      </c>
      <c r="E6430" s="31">
        <f t="shared" si="1936"/>
        <v>0</v>
      </c>
      <c r="F6430" s="31"/>
      <c r="G6430" s="31"/>
      <c r="H6430" s="31"/>
      <c r="I6430" s="56"/>
      <c r="J6430" s="56"/>
      <c r="K6430" s="82" t="str">
        <f t="shared" si="1937"/>
        <v>Invoice</v>
      </c>
      <c r="L6430" s="83" t="str">
        <f>"SI_109070"</f>
        <v>SI_109070</v>
      </c>
      <c r="M6430" s="84">
        <v>43596</v>
      </c>
      <c r="N6430" s="85">
        <f t="shared" si="1938"/>
        <v>216</v>
      </c>
      <c r="O6430" s="86">
        <f t="shared" si="1939"/>
        <v>2679.44</v>
      </c>
      <c r="P6430" s="86">
        <f t="shared" si="1940"/>
        <v>0</v>
      </c>
      <c r="Q6430" s="86">
        <f t="shared" si="1941"/>
        <v>0</v>
      </c>
      <c r="R6430" s="86">
        <f t="shared" si="1942"/>
        <v>0</v>
      </c>
      <c r="S6430" s="86">
        <f t="shared" si="1943"/>
        <v>0</v>
      </c>
      <c r="T6430" s="86">
        <f t="shared" si="1944"/>
        <v>2679.44</v>
      </c>
      <c r="U6430" s="87">
        <v>2679.44</v>
      </c>
    </row>
    <row r="6431" spans="1:21" s="30" customFormat="1" ht="24.6" hidden="1" outlineLevel="1" x14ac:dyDescent="0.55000000000000004">
      <c r="A6431" s="27" t="s">
        <v>327</v>
      </c>
      <c r="B6431" s="28"/>
      <c r="C6431" s="27"/>
      <c r="D6431" s="27" t="str">
        <f>"""NAV Direct"",""CRONUS JetCorp USA"",""21"",""1"",""295857"""</f>
        <v>"NAV Direct","CRONUS JetCorp USA","21","1","295857"</v>
      </c>
      <c r="E6431" s="31" t="str">
        <f t="shared" si="1936"/>
        <v>C100524</v>
      </c>
      <c r="F6431" s="31"/>
      <c r="G6431" s="31"/>
      <c r="H6431" s="31"/>
      <c r="I6431" s="56"/>
      <c r="J6431" s="56"/>
      <c r="K6431" s="82" t="str">
        <f t="shared" si="1937"/>
        <v>Invoice</v>
      </c>
      <c r="L6431" s="83" t="str">
        <f>"SI_109105"</f>
        <v>SI_109105</v>
      </c>
      <c r="M6431" s="84">
        <v>43624</v>
      </c>
      <c r="N6431" s="85">
        <f t="shared" si="1938"/>
        <v>188</v>
      </c>
      <c r="O6431" s="86">
        <f t="shared" si="1939"/>
        <v>2679.4700000000003</v>
      </c>
      <c r="P6431" s="86">
        <f t="shared" si="1940"/>
        <v>0</v>
      </c>
      <c r="Q6431" s="86">
        <f t="shared" si="1941"/>
        <v>0</v>
      </c>
      <c r="R6431" s="86">
        <f t="shared" si="1942"/>
        <v>0</v>
      </c>
      <c r="S6431" s="86">
        <f t="shared" si="1943"/>
        <v>0</v>
      </c>
      <c r="T6431" s="86">
        <f t="shared" si="1944"/>
        <v>2679.4700000000003</v>
      </c>
      <c r="U6431" s="87">
        <v>2679.4700000000003</v>
      </c>
    </row>
    <row r="6432" spans="1:21" s="30" customFormat="1" ht="24.6" hidden="1" outlineLevel="1" x14ac:dyDescent="0.55000000000000004">
      <c r="A6432" s="27" t="s">
        <v>327</v>
      </c>
      <c r="B6432" s="28"/>
      <c r="C6432" s="27"/>
      <c r="D6432" s="27" t="str">
        <f>"""NAV Direct"",""CRONUS JetCorp USA"",""21"",""1"",""299131"""</f>
        <v>"NAV Direct","CRONUS JetCorp USA","21","1","299131"</v>
      </c>
      <c r="E6432" s="31">
        <f t="shared" si="1936"/>
        <v>0</v>
      </c>
      <c r="F6432" s="31"/>
      <c r="G6432" s="31"/>
      <c r="H6432" s="31"/>
      <c r="I6432" s="56"/>
      <c r="J6432" s="56"/>
      <c r="K6432" s="82" t="str">
        <f t="shared" si="1937"/>
        <v>Invoice</v>
      </c>
      <c r="L6432" s="83" t="str">
        <f>"SI_109207"</f>
        <v>SI_109207</v>
      </c>
      <c r="M6432" s="84">
        <v>43806</v>
      </c>
      <c r="N6432" s="85">
        <f t="shared" si="1938"/>
        <v>6</v>
      </c>
      <c r="O6432" s="86">
        <f t="shared" si="1939"/>
        <v>3242.17</v>
      </c>
      <c r="P6432" s="86">
        <f t="shared" si="1940"/>
        <v>0</v>
      </c>
      <c r="Q6432" s="86">
        <f t="shared" si="1941"/>
        <v>3242.17</v>
      </c>
      <c r="R6432" s="86">
        <f t="shared" si="1942"/>
        <v>0</v>
      </c>
      <c r="S6432" s="86">
        <f t="shared" si="1943"/>
        <v>0</v>
      </c>
      <c r="T6432" s="86">
        <f t="shared" si="1944"/>
        <v>0</v>
      </c>
      <c r="U6432" s="87">
        <v>3242.17</v>
      </c>
    </row>
    <row r="6433" spans="1:21" s="30" customFormat="1" ht="24.6" hidden="1" outlineLevel="1" x14ac:dyDescent="0.55000000000000004">
      <c r="A6433" s="27" t="s">
        <v>327</v>
      </c>
      <c r="B6433" s="28"/>
      <c r="C6433" s="27"/>
      <c r="D6433" s="27" t="str">
        <f>"""NAV Direct"",""CRONUS JetCorp USA"",""21"",""1"",""299162"""</f>
        <v>"NAV Direct","CRONUS JetCorp USA","21","1","299162"</v>
      </c>
      <c r="E6433" s="31" t="str">
        <f t="shared" si="1936"/>
        <v>C100524</v>
      </c>
      <c r="F6433" s="31"/>
      <c r="G6433" s="31"/>
      <c r="H6433" s="31"/>
      <c r="I6433" s="56"/>
      <c r="J6433" s="56"/>
      <c r="K6433" s="82" t="str">
        <f t="shared" si="1937"/>
        <v>Invoice</v>
      </c>
      <c r="L6433" s="83" t="str">
        <f>"SI_109208"</f>
        <v>SI_109208</v>
      </c>
      <c r="M6433" s="84">
        <v>43805</v>
      </c>
      <c r="N6433" s="85">
        <f t="shared" si="1938"/>
        <v>7</v>
      </c>
      <c r="O6433" s="86">
        <f t="shared" si="1939"/>
        <v>3242.17</v>
      </c>
      <c r="P6433" s="86">
        <f t="shared" si="1940"/>
        <v>0</v>
      </c>
      <c r="Q6433" s="86">
        <f t="shared" si="1941"/>
        <v>3242.17</v>
      </c>
      <c r="R6433" s="86">
        <f t="shared" si="1942"/>
        <v>0</v>
      </c>
      <c r="S6433" s="86">
        <f t="shared" si="1943"/>
        <v>0</v>
      </c>
      <c r="T6433" s="86">
        <f t="shared" si="1944"/>
        <v>0</v>
      </c>
      <c r="U6433" s="87">
        <v>3242.17</v>
      </c>
    </row>
    <row r="6434" spans="1:21" s="30" customFormat="1" ht="24.6" hidden="1" outlineLevel="1" x14ac:dyDescent="0.55000000000000004">
      <c r="A6434" s="27" t="s">
        <v>327</v>
      </c>
      <c r="B6434" s="28"/>
      <c r="C6434" s="27"/>
      <c r="D6434" s="27" t="str">
        <f>"""NAV Direct"",""CRONUS JetCorp USA"",""21"",""1"",""299259"""</f>
        <v>"NAV Direct","CRONUS JetCorp USA","21","1","299259"</v>
      </c>
      <c r="E6434" s="31">
        <f t="shared" si="1936"/>
        <v>0</v>
      </c>
      <c r="F6434" s="31"/>
      <c r="G6434" s="31"/>
      <c r="H6434" s="31"/>
      <c r="I6434" s="56"/>
      <c r="J6434" s="56"/>
      <c r="K6434" s="82" t="str">
        <f t="shared" si="1937"/>
        <v>Invoice</v>
      </c>
      <c r="L6434" s="83" t="str">
        <f>"SI_109211"</f>
        <v>SI_109211</v>
      </c>
      <c r="M6434" s="84">
        <v>43811</v>
      </c>
      <c r="N6434" s="85">
        <f t="shared" si="1938"/>
        <v>1</v>
      </c>
      <c r="O6434" s="86">
        <f t="shared" si="1939"/>
        <v>3242.17</v>
      </c>
      <c r="P6434" s="86">
        <f t="shared" si="1940"/>
        <v>0</v>
      </c>
      <c r="Q6434" s="86">
        <f t="shared" si="1941"/>
        <v>3242.17</v>
      </c>
      <c r="R6434" s="86">
        <f t="shared" si="1942"/>
        <v>0</v>
      </c>
      <c r="S6434" s="86">
        <f t="shared" si="1943"/>
        <v>0</v>
      </c>
      <c r="T6434" s="86">
        <f t="shared" si="1944"/>
        <v>0</v>
      </c>
      <c r="U6434" s="87">
        <v>3242.17</v>
      </c>
    </row>
    <row r="6435" spans="1:21" s="30" customFormat="1" ht="24.6" hidden="1" outlineLevel="1" x14ac:dyDescent="0.55000000000000004">
      <c r="A6435" s="27" t="s">
        <v>327</v>
      </c>
      <c r="B6435" s="28"/>
      <c r="C6435" s="27"/>
      <c r="D6435" s="27" t="str">
        <f>"""NAV Direct"",""CRONUS JetCorp USA"",""21"",""1"",""299689"""</f>
        <v>"NAV Direct","CRONUS JetCorp USA","21","1","299689"</v>
      </c>
      <c r="E6435" s="31" t="str">
        <f t="shared" si="1936"/>
        <v>C100524</v>
      </c>
      <c r="F6435" s="31"/>
      <c r="G6435" s="31"/>
      <c r="H6435" s="31"/>
      <c r="I6435" s="56"/>
      <c r="J6435" s="56"/>
      <c r="K6435" s="82" t="str">
        <f t="shared" si="1937"/>
        <v>Invoice</v>
      </c>
      <c r="L6435" s="83" t="str">
        <f>"SI_109224"</f>
        <v>SI_109224</v>
      </c>
      <c r="M6435" s="84">
        <v>43820</v>
      </c>
      <c r="N6435" s="85">
        <f t="shared" si="1938"/>
        <v>-8</v>
      </c>
      <c r="O6435" s="86">
        <f t="shared" si="1939"/>
        <v>3242.1600000000003</v>
      </c>
      <c r="P6435" s="86">
        <f t="shared" si="1940"/>
        <v>3242.1600000000003</v>
      </c>
      <c r="Q6435" s="86">
        <f t="shared" si="1941"/>
        <v>0</v>
      </c>
      <c r="R6435" s="86">
        <f t="shared" si="1942"/>
        <v>0</v>
      </c>
      <c r="S6435" s="86">
        <f t="shared" si="1943"/>
        <v>0</v>
      </c>
      <c r="T6435" s="86">
        <f t="shared" si="1944"/>
        <v>0</v>
      </c>
      <c r="U6435" s="87">
        <v>3242.1600000000003</v>
      </c>
    </row>
    <row r="6436" spans="1:21" s="30" customFormat="1" ht="24.6" hidden="1" outlineLevel="1" x14ac:dyDescent="0.55000000000000004">
      <c r="A6436" s="27" t="s">
        <v>327</v>
      </c>
      <c r="B6436" s="28"/>
      <c r="C6436" s="27"/>
      <c r="D6436" s="27" t="str">
        <f>"""NAV Direct"",""CRONUS JetCorp USA"",""21"",""1"",""299832"""</f>
        <v>"NAV Direct","CRONUS JetCorp USA","21","1","299832"</v>
      </c>
      <c r="E6436" s="31">
        <f t="shared" si="1936"/>
        <v>0</v>
      </c>
      <c r="F6436" s="31"/>
      <c r="G6436" s="31"/>
      <c r="H6436" s="31"/>
      <c r="I6436" s="56"/>
      <c r="J6436" s="56"/>
      <c r="K6436" s="82" t="str">
        <f t="shared" si="1937"/>
        <v>Invoice</v>
      </c>
      <c r="L6436" s="83" t="str">
        <f>"SI_109228"</f>
        <v>SI_109228</v>
      </c>
      <c r="M6436" s="84">
        <v>42038</v>
      </c>
      <c r="N6436" s="85">
        <f t="shared" si="1938"/>
        <v>1774</v>
      </c>
      <c r="O6436" s="86">
        <f t="shared" si="1939"/>
        <v>3566.2599999999998</v>
      </c>
      <c r="P6436" s="86">
        <f t="shared" si="1940"/>
        <v>0</v>
      </c>
      <c r="Q6436" s="86">
        <f t="shared" si="1941"/>
        <v>0</v>
      </c>
      <c r="R6436" s="86">
        <f t="shared" si="1942"/>
        <v>0</v>
      </c>
      <c r="S6436" s="86">
        <f t="shared" si="1943"/>
        <v>0</v>
      </c>
      <c r="T6436" s="86">
        <f t="shared" si="1944"/>
        <v>3566.2599999999998</v>
      </c>
      <c r="U6436" s="87">
        <v>3566.2599999999998</v>
      </c>
    </row>
    <row r="6437" spans="1:21" s="30" customFormat="1" ht="24.6" hidden="1" outlineLevel="1" x14ac:dyDescent="0.55000000000000004">
      <c r="A6437" s="27" t="s">
        <v>327</v>
      </c>
      <c r="B6437" s="28"/>
      <c r="C6437" s="27"/>
      <c r="D6437" s="27" t="str">
        <f>"""NAV Direct"",""CRONUS JetCorp USA"",""21"",""1"",""300338"""</f>
        <v>"NAV Direct","CRONUS JetCorp USA","21","1","300338"</v>
      </c>
      <c r="E6437" s="31" t="str">
        <f t="shared" si="1936"/>
        <v>C100524</v>
      </c>
      <c r="F6437" s="31"/>
      <c r="G6437" s="31"/>
      <c r="H6437" s="31"/>
      <c r="I6437" s="56"/>
      <c r="J6437" s="56"/>
      <c r="K6437" s="82" t="str">
        <f t="shared" si="1937"/>
        <v>Invoice</v>
      </c>
      <c r="L6437" s="83" t="str">
        <f>"SI_109242"</f>
        <v>SI_109242</v>
      </c>
      <c r="M6437" s="84">
        <v>42051</v>
      </c>
      <c r="N6437" s="85">
        <f t="shared" si="1938"/>
        <v>1761</v>
      </c>
      <c r="O6437" s="86">
        <f t="shared" si="1939"/>
        <v>3566.23</v>
      </c>
      <c r="P6437" s="86">
        <f t="shared" si="1940"/>
        <v>0</v>
      </c>
      <c r="Q6437" s="86">
        <f t="shared" si="1941"/>
        <v>0</v>
      </c>
      <c r="R6437" s="86">
        <f t="shared" si="1942"/>
        <v>0</v>
      </c>
      <c r="S6437" s="86">
        <f t="shared" si="1943"/>
        <v>0</v>
      </c>
      <c r="T6437" s="86">
        <f t="shared" si="1944"/>
        <v>3566.23</v>
      </c>
      <c r="U6437" s="87">
        <v>3566.23</v>
      </c>
    </row>
    <row r="6438" spans="1:21" s="30" customFormat="1" ht="24.6" hidden="1" outlineLevel="1" x14ac:dyDescent="0.55000000000000004">
      <c r="A6438" s="27" t="s">
        <v>327</v>
      </c>
      <c r="B6438" s="28"/>
      <c r="C6438" s="27"/>
      <c r="D6438" s="27" t="str">
        <f>"""NAV Direct"",""CRONUS JetCorp USA"",""21"",""1"",""300507"""</f>
        <v>"NAV Direct","CRONUS JetCorp USA","21","1","300507"</v>
      </c>
      <c r="E6438" s="31">
        <f t="shared" si="1936"/>
        <v>0</v>
      </c>
      <c r="F6438" s="31"/>
      <c r="G6438" s="31"/>
      <c r="H6438" s="31"/>
      <c r="I6438" s="56"/>
      <c r="J6438" s="56"/>
      <c r="K6438" s="82" t="str">
        <f t="shared" si="1937"/>
        <v>Invoice</v>
      </c>
      <c r="L6438" s="83" t="str">
        <f>"SI_109247"</f>
        <v>SI_109247</v>
      </c>
      <c r="M6438" s="84">
        <v>42063</v>
      </c>
      <c r="N6438" s="85">
        <f t="shared" si="1938"/>
        <v>1749</v>
      </c>
      <c r="O6438" s="86">
        <f t="shared" si="1939"/>
        <v>3566.42</v>
      </c>
      <c r="P6438" s="86">
        <f t="shared" si="1940"/>
        <v>0</v>
      </c>
      <c r="Q6438" s="86">
        <f t="shared" si="1941"/>
        <v>0</v>
      </c>
      <c r="R6438" s="86">
        <f t="shared" si="1942"/>
        <v>0</v>
      </c>
      <c r="S6438" s="86">
        <f t="shared" si="1943"/>
        <v>0</v>
      </c>
      <c r="T6438" s="86">
        <f t="shared" si="1944"/>
        <v>3566.42</v>
      </c>
      <c r="U6438" s="87">
        <v>3566.42</v>
      </c>
    </row>
    <row r="6439" spans="1:21" s="30" customFormat="1" ht="24.6" hidden="1" outlineLevel="1" x14ac:dyDescent="0.55000000000000004">
      <c r="A6439" s="27" t="s">
        <v>327</v>
      </c>
      <c r="B6439" s="28"/>
      <c r="C6439" s="27"/>
      <c r="D6439" s="27" t="str">
        <f>"""NAV Direct"",""CRONUS JetCorp USA"",""21"",""1"",""301430"""</f>
        <v>"NAV Direct","CRONUS JetCorp USA","21","1","301430"</v>
      </c>
      <c r="E6439" s="31" t="str">
        <f t="shared" si="1936"/>
        <v>C100524</v>
      </c>
      <c r="F6439" s="31"/>
      <c r="G6439" s="31"/>
      <c r="H6439" s="31"/>
      <c r="I6439" s="56"/>
      <c r="J6439" s="56"/>
      <c r="K6439" s="82" t="str">
        <f t="shared" si="1937"/>
        <v>Invoice</v>
      </c>
      <c r="L6439" s="83" t="str">
        <f>"SI_109275"</f>
        <v>SI_109275</v>
      </c>
      <c r="M6439" s="84">
        <v>42079</v>
      </c>
      <c r="N6439" s="85">
        <f t="shared" si="1938"/>
        <v>1733</v>
      </c>
      <c r="O6439" s="86">
        <f t="shared" si="1939"/>
        <v>3566.39</v>
      </c>
      <c r="P6439" s="86">
        <f t="shared" si="1940"/>
        <v>0</v>
      </c>
      <c r="Q6439" s="86">
        <f t="shared" si="1941"/>
        <v>0</v>
      </c>
      <c r="R6439" s="86">
        <f t="shared" si="1942"/>
        <v>0</v>
      </c>
      <c r="S6439" s="86">
        <f t="shared" si="1943"/>
        <v>0</v>
      </c>
      <c r="T6439" s="86">
        <f t="shared" si="1944"/>
        <v>3566.39</v>
      </c>
      <c r="U6439" s="87">
        <v>3566.39</v>
      </c>
    </row>
    <row r="6440" spans="1:21" s="30" customFormat="1" ht="24.6" hidden="1" outlineLevel="1" x14ac:dyDescent="0.55000000000000004">
      <c r="A6440" s="27" t="s">
        <v>327</v>
      </c>
      <c r="B6440" s="28"/>
      <c r="C6440" s="27"/>
      <c r="D6440" s="27" t="str">
        <f>"""NAV Direct"",""CRONUS JetCorp USA"",""21"",""1"",""301477"""</f>
        <v>"NAV Direct","CRONUS JetCorp USA","21","1","301477"</v>
      </c>
      <c r="E6440" s="31">
        <f t="shared" si="1936"/>
        <v>0</v>
      </c>
      <c r="F6440" s="31"/>
      <c r="G6440" s="31"/>
      <c r="H6440" s="31"/>
      <c r="I6440" s="56"/>
      <c r="J6440" s="56"/>
      <c r="K6440" s="82" t="str">
        <f t="shared" si="1937"/>
        <v>Invoice</v>
      </c>
      <c r="L6440" s="83" t="str">
        <f>"SI_109276"</f>
        <v>SI_109276</v>
      </c>
      <c r="M6440" s="84">
        <v>42085</v>
      </c>
      <c r="N6440" s="85">
        <f t="shared" si="1938"/>
        <v>1727</v>
      </c>
      <c r="O6440" s="86">
        <f t="shared" si="1939"/>
        <v>3566.35</v>
      </c>
      <c r="P6440" s="86">
        <f t="shared" si="1940"/>
        <v>0</v>
      </c>
      <c r="Q6440" s="86">
        <f t="shared" si="1941"/>
        <v>0</v>
      </c>
      <c r="R6440" s="86">
        <f t="shared" si="1942"/>
        <v>0</v>
      </c>
      <c r="S6440" s="86">
        <f t="shared" si="1943"/>
        <v>0</v>
      </c>
      <c r="T6440" s="86">
        <f t="shared" si="1944"/>
        <v>3566.35</v>
      </c>
      <c r="U6440" s="87">
        <v>3566.35</v>
      </c>
    </row>
    <row r="6441" spans="1:21" s="30" customFormat="1" ht="24.6" hidden="1" outlineLevel="1" x14ac:dyDescent="0.55000000000000004">
      <c r="A6441" s="27" t="s">
        <v>327</v>
      </c>
      <c r="B6441" s="28"/>
      <c r="C6441" s="27"/>
      <c r="D6441" s="27" t="str">
        <f>"""NAV Direct"",""CRONUS JetCorp USA"",""21"",""1"",""302519"""</f>
        <v>"NAV Direct","CRONUS JetCorp USA","21","1","302519"</v>
      </c>
      <c r="E6441" s="31" t="str">
        <f t="shared" si="1936"/>
        <v>C100524</v>
      </c>
      <c r="F6441" s="31"/>
      <c r="G6441" s="31"/>
      <c r="H6441" s="31"/>
      <c r="I6441" s="56"/>
      <c r="J6441" s="56"/>
      <c r="K6441" s="82" t="str">
        <f t="shared" si="1937"/>
        <v>Invoice</v>
      </c>
      <c r="L6441" s="83" t="str">
        <f>"SI_109305"</f>
        <v>SI_109305</v>
      </c>
      <c r="M6441" s="84">
        <v>42147</v>
      </c>
      <c r="N6441" s="85">
        <f t="shared" si="1938"/>
        <v>1665</v>
      </c>
      <c r="O6441" s="86">
        <f t="shared" si="1939"/>
        <v>3922.92</v>
      </c>
      <c r="P6441" s="86">
        <f t="shared" si="1940"/>
        <v>0</v>
      </c>
      <c r="Q6441" s="86">
        <f t="shared" si="1941"/>
        <v>0</v>
      </c>
      <c r="R6441" s="86">
        <f t="shared" si="1942"/>
        <v>0</v>
      </c>
      <c r="S6441" s="86">
        <f t="shared" si="1943"/>
        <v>0</v>
      </c>
      <c r="T6441" s="86">
        <f t="shared" si="1944"/>
        <v>3922.92</v>
      </c>
      <c r="U6441" s="87">
        <v>3922.92</v>
      </c>
    </row>
    <row r="6442" spans="1:21" s="30" customFormat="1" ht="24.6" hidden="1" outlineLevel="1" x14ac:dyDescent="0.55000000000000004">
      <c r="A6442" s="27" t="s">
        <v>327</v>
      </c>
      <c r="B6442" s="28"/>
      <c r="C6442" s="27"/>
      <c r="D6442" s="27" t="str">
        <f>"""NAV Direct"",""CRONUS JetCorp USA"",""21"",""1"",""302641"""</f>
        <v>"NAV Direct","CRONUS JetCorp USA","21","1","302641"</v>
      </c>
      <c r="E6442" s="31">
        <f t="shared" si="1936"/>
        <v>0</v>
      </c>
      <c r="F6442" s="31"/>
      <c r="G6442" s="31"/>
      <c r="H6442" s="31"/>
      <c r="I6442" s="56"/>
      <c r="J6442" s="56"/>
      <c r="K6442" s="82" t="str">
        <f t="shared" si="1937"/>
        <v>Invoice</v>
      </c>
      <c r="L6442" s="83" t="str">
        <f>"SI_109309"</f>
        <v>SI_109309</v>
      </c>
      <c r="M6442" s="84">
        <v>42158</v>
      </c>
      <c r="N6442" s="85">
        <f t="shared" si="1938"/>
        <v>1654</v>
      </c>
      <c r="O6442" s="86">
        <f t="shared" si="1939"/>
        <v>3922.9399999999996</v>
      </c>
      <c r="P6442" s="86">
        <f t="shared" si="1940"/>
        <v>0</v>
      </c>
      <c r="Q6442" s="86">
        <f t="shared" si="1941"/>
        <v>0</v>
      </c>
      <c r="R6442" s="86">
        <f t="shared" si="1942"/>
        <v>0</v>
      </c>
      <c r="S6442" s="86">
        <f t="shared" si="1943"/>
        <v>0</v>
      </c>
      <c r="T6442" s="86">
        <f t="shared" si="1944"/>
        <v>3922.9399999999996</v>
      </c>
      <c r="U6442" s="87">
        <v>3922.9399999999996</v>
      </c>
    </row>
    <row r="6443" spans="1:21" s="30" customFormat="1" ht="24.6" hidden="1" outlineLevel="1" x14ac:dyDescent="0.55000000000000004">
      <c r="A6443" s="27" t="s">
        <v>327</v>
      </c>
      <c r="B6443" s="28"/>
      <c r="C6443" s="27"/>
      <c r="D6443" s="27" t="str">
        <f>"""NAV Direct"",""CRONUS JetCorp USA"",""21"",""1"",""303464"""</f>
        <v>"NAV Direct","CRONUS JetCorp USA","21","1","303464"</v>
      </c>
      <c r="E6443" s="31" t="str">
        <f t="shared" si="1936"/>
        <v>C100524</v>
      </c>
      <c r="F6443" s="31"/>
      <c r="G6443" s="31"/>
      <c r="H6443" s="31"/>
      <c r="I6443" s="56"/>
      <c r="J6443" s="56"/>
      <c r="K6443" s="82" t="str">
        <f t="shared" si="1937"/>
        <v>Invoice</v>
      </c>
      <c r="L6443" s="83" t="str">
        <f>"SI_109333"</f>
        <v>SI_109333</v>
      </c>
      <c r="M6443" s="84">
        <v>42182</v>
      </c>
      <c r="N6443" s="85">
        <f t="shared" si="1938"/>
        <v>1630</v>
      </c>
      <c r="O6443" s="86">
        <f t="shared" si="1939"/>
        <v>3923.0299999999997</v>
      </c>
      <c r="P6443" s="86">
        <f t="shared" si="1940"/>
        <v>0</v>
      </c>
      <c r="Q6443" s="86">
        <f t="shared" si="1941"/>
        <v>0</v>
      </c>
      <c r="R6443" s="86">
        <f t="shared" si="1942"/>
        <v>0</v>
      </c>
      <c r="S6443" s="86">
        <f t="shared" si="1943"/>
        <v>0</v>
      </c>
      <c r="T6443" s="86">
        <f t="shared" si="1944"/>
        <v>3923.0299999999997</v>
      </c>
      <c r="U6443" s="87">
        <v>3923.0299999999997</v>
      </c>
    </row>
    <row r="6444" spans="1:21" s="22" customFormat="1" ht="20.399999999999999" collapsed="1" x14ac:dyDescent="0.45">
      <c r="A6444" s="12" t="s">
        <v>327</v>
      </c>
      <c r="B6444" s="19"/>
      <c r="C6444" s="12"/>
      <c r="D6444" s="12"/>
      <c r="E6444" s="23"/>
      <c r="F6444" s="23"/>
      <c r="G6444" s="23"/>
      <c r="H6444" s="23"/>
      <c r="I6444" s="49"/>
      <c r="J6444" s="88"/>
      <c r="K6444" s="88"/>
      <c r="L6444" s="89"/>
      <c r="M6444" s="89"/>
      <c r="N6444" s="89"/>
      <c r="O6444" s="89"/>
      <c r="P6444" s="89"/>
      <c r="Q6444" s="90"/>
      <c r="R6444" s="90"/>
      <c r="S6444" s="91"/>
      <c r="T6444" s="92"/>
      <c r="U6444" s="92"/>
    </row>
    <row r="6445" spans="1:21" s="22" customFormat="1" ht="20.399999999999999" x14ac:dyDescent="0.45">
      <c r="A6445" s="12" t="s">
        <v>327</v>
      </c>
      <c r="B6445" s="19"/>
      <c r="C6445" s="12"/>
      <c r="D6445" s="12"/>
      <c r="E6445" s="23"/>
      <c r="F6445" s="23"/>
      <c r="G6445" s="23"/>
      <c r="H6445" s="23"/>
      <c r="I6445" s="49"/>
      <c r="J6445" s="88"/>
      <c r="K6445" s="88"/>
      <c r="L6445" s="89"/>
      <c r="M6445" s="89"/>
      <c r="N6445" s="89"/>
      <c r="O6445" s="89"/>
      <c r="P6445" s="89"/>
      <c r="Q6445" s="90"/>
      <c r="R6445" s="90"/>
      <c r="S6445" s="91"/>
      <c r="T6445" s="92"/>
      <c r="U6445" s="92"/>
    </row>
    <row r="6446" spans="1:21" s="26" customFormat="1" ht="24.6" x14ac:dyDescent="0.55000000000000004">
      <c r="A6446" s="27" t="s">
        <v>327</v>
      </c>
      <c r="B6446" s="28"/>
      <c r="C6446" s="27" t="str">
        <f>"""NAV Direct"",""CRONUS JetCorp USA"",""18"",""1"",""C100525"""</f>
        <v>"NAV Direct","CRONUS JetCorp USA","18","1","C100525"</v>
      </c>
      <c r="D6446" s="27"/>
      <c r="E6446" s="28" t="str">
        <f>H6446</f>
        <v>C100525</v>
      </c>
      <c r="F6446" s="28"/>
      <c r="G6446" s="28"/>
      <c r="H6446" s="28" t="str">
        <f>"C100525"</f>
        <v>C100525</v>
      </c>
      <c r="I6446" s="116" t="str">
        <f>"C100525  -  Team Trophy"</f>
        <v>C100525  -  Team Trophy</v>
      </c>
      <c r="J6446" s="117" t="str">
        <f>""</f>
        <v/>
      </c>
      <c r="K6446" s="118"/>
      <c r="L6446" s="119">
        <f>SUBTOTAL(3,L6447:L6475)</f>
        <v>25</v>
      </c>
      <c r="M6446" s="118"/>
      <c r="N6446" s="118"/>
      <c r="O6446" s="120">
        <f t="shared" ref="O6446:T6446" si="1945">SUBTOTAL(9,O6447:O6475)</f>
        <v>50087.15</v>
      </c>
      <c r="P6446" s="120">
        <f t="shared" si="1945"/>
        <v>0</v>
      </c>
      <c r="Q6446" s="120">
        <f t="shared" si="1945"/>
        <v>0</v>
      </c>
      <c r="R6446" s="120">
        <f t="shared" si="1945"/>
        <v>0</v>
      </c>
      <c r="S6446" s="120">
        <f t="shared" si="1945"/>
        <v>0</v>
      </c>
      <c r="T6446" s="120">
        <f t="shared" si="1945"/>
        <v>50087.15</v>
      </c>
      <c r="U6446" s="81"/>
    </row>
    <row r="6447" spans="1:21" s="26" customFormat="1" ht="24.6" x14ac:dyDescent="0.55000000000000004">
      <c r="A6447" s="27" t="s">
        <v>327</v>
      </c>
      <c r="B6447" s="28"/>
      <c r="C6447" s="27" t="str">
        <f>C6446</f>
        <v>"NAV Direct","CRONUS JetCorp USA","18","1","C100525"</v>
      </c>
      <c r="D6447" s="27"/>
      <c r="E6447" s="28" t="str">
        <f>E6446</f>
        <v>C100525</v>
      </c>
      <c r="F6447" s="28"/>
      <c r="G6447" s="28"/>
      <c r="H6447" s="28"/>
      <c r="I6447" s="121" t="str">
        <f>"Contact: J. Salinger"</f>
        <v>Contact: J. Salinger</v>
      </c>
      <c r="J6447" s="121"/>
      <c r="K6447" s="122"/>
      <c r="L6447" s="123"/>
      <c r="M6447" s="123"/>
      <c r="N6447" s="124"/>
      <c r="O6447" s="124"/>
      <c r="P6447" s="123"/>
      <c r="Q6447" s="125"/>
      <c r="R6447" s="126"/>
      <c r="S6447" s="126"/>
      <c r="T6447" s="125"/>
      <c r="U6447" s="81"/>
    </row>
    <row r="6448" spans="1:21" s="26" customFormat="1" ht="24.6" x14ac:dyDescent="0.55000000000000004">
      <c r="A6448" s="27" t="s">
        <v>327</v>
      </c>
      <c r="B6448" s="28"/>
      <c r="C6448" s="27" t="str">
        <f>C6447</f>
        <v>"NAV Direct","CRONUS JetCorp USA","18","1","C100525"</v>
      </c>
      <c r="D6448" s="27"/>
      <c r="E6448" s="28" t="str">
        <f>E6447</f>
        <v>C100525</v>
      </c>
      <c r="F6448" s="28"/>
      <c r="G6448" s="28"/>
      <c r="H6448" s="28"/>
      <c r="I6448" s="121" t="str">
        <f>"Team Trophy@cronuscorp.net"</f>
        <v>Team Trophy@cronuscorp.net</v>
      </c>
      <c r="J6448" s="121"/>
      <c r="K6448" s="122"/>
      <c r="L6448" s="124"/>
      <c r="M6448" s="124"/>
      <c r="N6448" s="124"/>
      <c r="O6448" s="124"/>
      <c r="P6448" s="123"/>
      <c r="Q6448" s="125"/>
      <c r="R6448" s="126"/>
      <c r="S6448" s="126"/>
      <c r="T6448" s="125"/>
      <c r="U6448" s="81"/>
    </row>
    <row r="6449" spans="1:22" ht="12.75" hidden="1" customHeight="1" outlineLevel="1" x14ac:dyDescent="0.45">
      <c r="A6449" s="12" t="s">
        <v>328</v>
      </c>
      <c r="B6449" s="19"/>
      <c r="E6449" s="19"/>
      <c r="F6449" s="19"/>
      <c r="G6449" s="19"/>
      <c r="H6449" s="19"/>
      <c r="I6449" s="61"/>
      <c r="J6449" s="61"/>
      <c r="K6449" s="61"/>
      <c r="L6449" s="61"/>
      <c r="M6449" s="61"/>
      <c r="N6449" s="61"/>
      <c r="O6449" s="61"/>
      <c r="P6449" s="61"/>
      <c r="Q6449" s="61"/>
      <c r="R6449" s="61"/>
      <c r="S6449" s="61"/>
      <c r="T6449" s="61"/>
      <c r="U6449" s="61"/>
      <c r="V6449" s="21"/>
    </row>
    <row r="6450" spans="1:22" s="30" customFormat="1" ht="24.6" hidden="1" outlineLevel="1" x14ac:dyDescent="0.55000000000000004">
      <c r="A6450" s="27" t="s">
        <v>327</v>
      </c>
      <c r="B6450" s="28"/>
      <c r="C6450" s="27"/>
      <c r="D6450" s="27" t="str">
        <f>"""NAV Direct"",""CRONUS JetCorp USA"",""21"",""1"",""281068"""</f>
        <v>"NAV Direct","CRONUS JetCorp USA","21","1","281068"</v>
      </c>
      <c r="E6450" s="31" t="str">
        <f t="shared" ref="E6450:E6474" si="1946">E6448</f>
        <v>C100525</v>
      </c>
      <c r="F6450" s="31"/>
      <c r="G6450" s="31"/>
      <c r="H6450" s="31"/>
      <c r="I6450" s="56"/>
      <c r="J6450" s="56"/>
      <c r="K6450" s="82" t="str">
        <f t="shared" ref="K6450:K6474" si="1947">"Invoice"</f>
        <v>Invoice</v>
      </c>
      <c r="L6450" s="83" t="str">
        <f>"SI_108594"</f>
        <v>SI_108594</v>
      </c>
      <c r="M6450" s="84">
        <v>43588</v>
      </c>
      <c r="N6450" s="85">
        <f t="shared" ref="N6450:N6474" si="1948">StartDate-$M6450+1</f>
        <v>224</v>
      </c>
      <c r="O6450" s="86">
        <f t="shared" ref="O6450:O6474" si="1949">SUM(P6450:T6450)</f>
        <v>587.98</v>
      </c>
      <c r="P6450" s="86">
        <f t="shared" ref="P6450:P6474" si="1950">IF($M6450&gt;=$P$18,U6450,0)</f>
        <v>0</v>
      </c>
      <c r="Q6450" s="86">
        <f t="shared" ref="Q6450:Q6474" si="1951">IF(AND($M6450&gt;=$Q$16,$M6450&lt;=$Q$18),U6450,0)</f>
        <v>0</v>
      </c>
      <c r="R6450" s="86">
        <f t="shared" ref="R6450:R6474" si="1952">IF(AND($M6450&gt;=$R$16,$M6450&lt;=$R$18),U6450,0)</f>
        <v>0</v>
      </c>
      <c r="S6450" s="86">
        <f t="shared" ref="S6450:S6474" si="1953">IF(AND($M6450&gt;=$S$16,$M6450&lt;=$S$18),U6450,0)</f>
        <v>0</v>
      </c>
      <c r="T6450" s="86">
        <f t="shared" ref="T6450:T6474" si="1954">IF($M6450&lt;=$T$18,U6450,0)</f>
        <v>587.98</v>
      </c>
      <c r="U6450" s="87">
        <v>587.98</v>
      </c>
    </row>
    <row r="6451" spans="1:22" s="30" customFormat="1" ht="24.6" hidden="1" outlineLevel="1" x14ac:dyDescent="0.55000000000000004">
      <c r="A6451" s="27" t="s">
        <v>327</v>
      </c>
      <c r="B6451" s="28"/>
      <c r="C6451" s="27"/>
      <c r="D6451" s="27" t="str">
        <f>"""NAV Direct"",""CRONUS JetCorp USA"",""21"",""1"",""282145"""</f>
        <v>"NAV Direct","CRONUS JetCorp USA","21","1","282145"</v>
      </c>
      <c r="E6451" s="31">
        <f t="shared" si="1946"/>
        <v>0</v>
      </c>
      <c r="F6451" s="31"/>
      <c r="G6451" s="31"/>
      <c r="H6451" s="31"/>
      <c r="I6451" s="56"/>
      <c r="J6451" s="56"/>
      <c r="K6451" s="82" t="str">
        <f t="shared" si="1947"/>
        <v>Invoice</v>
      </c>
      <c r="L6451" s="83" t="str">
        <f>"SI_108637"</f>
        <v>SI_108637</v>
      </c>
      <c r="M6451" s="84">
        <v>42044</v>
      </c>
      <c r="N6451" s="85">
        <f t="shared" si="1948"/>
        <v>1768</v>
      </c>
      <c r="O6451" s="86">
        <f t="shared" si="1949"/>
        <v>776.15</v>
      </c>
      <c r="P6451" s="86">
        <f t="shared" si="1950"/>
        <v>0</v>
      </c>
      <c r="Q6451" s="86">
        <f t="shared" si="1951"/>
        <v>0</v>
      </c>
      <c r="R6451" s="86">
        <f t="shared" si="1952"/>
        <v>0</v>
      </c>
      <c r="S6451" s="86">
        <f t="shared" si="1953"/>
        <v>0</v>
      </c>
      <c r="T6451" s="86">
        <f t="shared" si="1954"/>
        <v>776.15</v>
      </c>
      <c r="U6451" s="87">
        <v>776.15</v>
      </c>
    </row>
    <row r="6452" spans="1:22" s="30" customFormat="1" ht="24.6" hidden="1" outlineLevel="1" x14ac:dyDescent="0.55000000000000004">
      <c r="A6452" s="27" t="s">
        <v>327</v>
      </c>
      <c r="B6452" s="28"/>
      <c r="C6452" s="27"/>
      <c r="D6452" s="27" t="str">
        <f>"""NAV Direct"",""CRONUS JetCorp USA"",""21"",""1"",""282335"""</f>
        <v>"NAV Direct","CRONUS JetCorp USA","21","1","282335"</v>
      </c>
      <c r="E6452" s="31" t="str">
        <f t="shared" si="1946"/>
        <v>C100525</v>
      </c>
      <c r="F6452" s="31"/>
      <c r="G6452" s="31"/>
      <c r="H6452" s="31"/>
      <c r="I6452" s="56"/>
      <c r="J6452" s="56"/>
      <c r="K6452" s="82" t="str">
        <f t="shared" si="1947"/>
        <v>Invoice</v>
      </c>
      <c r="L6452" s="83" t="str">
        <f>"SI_108644"</f>
        <v>SI_108644</v>
      </c>
      <c r="M6452" s="84">
        <v>42027</v>
      </c>
      <c r="N6452" s="85">
        <f t="shared" si="1948"/>
        <v>1785</v>
      </c>
      <c r="O6452" s="86">
        <f t="shared" si="1949"/>
        <v>776.08</v>
      </c>
      <c r="P6452" s="86">
        <f t="shared" si="1950"/>
        <v>0</v>
      </c>
      <c r="Q6452" s="86">
        <f t="shared" si="1951"/>
        <v>0</v>
      </c>
      <c r="R6452" s="86">
        <f t="shared" si="1952"/>
        <v>0</v>
      </c>
      <c r="S6452" s="86">
        <f t="shared" si="1953"/>
        <v>0</v>
      </c>
      <c r="T6452" s="86">
        <f t="shared" si="1954"/>
        <v>776.08</v>
      </c>
      <c r="U6452" s="87">
        <v>776.08</v>
      </c>
    </row>
    <row r="6453" spans="1:22" s="30" customFormat="1" ht="24.6" hidden="1" outlineLevel="1" x14ac:dyDescent="0.55000000000000004">
      <c r="A6453" s="27" t="s">
        <v>327</v>
      </c>
      <c r="B6453" s="28"/>
      <c r="C6453" s="27"/>
      <c r="D6453" s="27" t="str">
        <f>"""NAV Direct"",""CRONUS JetCorp USA"",""21"",""1"",""282402"""</f>
        <v>"NAV Direct","CRONUS JetCorp USA","21","1","282402"</v>
      </c>
      <c r="E6453" s="31">
        <f t="shared" si="1946"/>
        <v>0</v>
      </c>
      <c r="F6453" s="31"/>
      <c r="G6453" s="31"/>
      <c r="H6453" s="31"/>
      <c r="I6453" s="56"/>
      <c r="J6453" s="56"/>
      <c r="K6453" s="82" t="str">
        <f t="shared" si="1947"/>
        <v>Invoice</v>
      </c>
      <c r="L6453" s="83" t="str">
        <f>"SI_108647"</f>
        <v>SI_108647</v>
      </c>
      <c r="M6453" s="84">
        <v>42037</v>
      </c>
      <c r="N6453" s="85">
        <f t="shared" si="1948"/>
        <v>1775</v>
      </c>
      <c r="O6453" s="86">
        <f t="shared" si="1949"/>
        <v>775.99999999999989</v>
      </c>
      <c r="P6453" s="86">
        <f t="shared" si="1950"/>
        <v>0</v>
      </c>
      <c r="Q6453" s="86">
        <f t="shared" si="1951"/>
        <v>0</v>
      </c>
      <c r="R6453" s="86">
        <f t="shared" si="1952"/>
        <v>0</v>
      </c>
      <c r="S6453" s="86">
        <f t="shared" si="1953"/>
        <v>0</v>
      </c>
      <c r="T6453" s="86">
        <f t="shared" si="1954"/>
        <v>775.99999999999989</v>
      </c>
      <c r="U6453" s="87">
        <v>775.99999999999989</v>
      </c>
    </row>
    <row r="6454" spans="1:22" s="30" customFormat="1" ht="24.6" hidden="1" outlineLevel="1" x14ac:dyDescent="0.55000000000000004">
      <c r="A6454" s="27" t="s">
        <v>327</v>
      </c>
      <c r="B6454" s="28"/>
      <c r="C6454" s="27"/>
      <c r="D6454" s="27" t="str">
        <f>"""NAV Direct"",""CRONUS JetCorp USA"",""21"",""1"",""282589"""</f>
        <v>"NAV Direct","CRONUS JetCorp USA","21","1","282589"</v>
      </c>
      <c r="E6454" s="31" t="str">
        <f t="shared" si="1946"/>
        <v>C100525</v>
      </c>
      <c r="F6454" s="31"/>
      <c r="G6454" s="31"/>
      <c r="H6454" s="31"/>
      <c r="I6454" s="56"/>
      <c r="J6454" s="56"/>
      <c r="K6454" s="82" t="str">
        <f t="shared" si="1947"/>
        <v>Invoice</v>
      </c>
      <c r="L6454" s="83" t="str">
        <f>"SI_108654"</f>
        <v>SI_108654</v>
      </c>
      <c r="M6454" s="84">
        <v>42110</v>
      </c>
      <c r="N6454" s="85">
        <f t="shared" si="1948"/>
        <v>1702</v>
      </c>
      <c r="O6454" s="86">
        <f t="shared" si="1949"/>
        <v>853.78000000000009</v>
      </c>
      <c r="P6454" s="86">
        <f t="shared" si="1950"/>
        <v>0</v>
      </c>
      <c r="Q6454" s="86">
        <f t="shared" si="1951"/>
        <v>0</v>
      </c>
      <c r="R6454" s="86">
        <f t="shared" si="1952"/>
        <v>0</v>
      </c>
      <c r="S6454" s="86">
        <f t="shared" si="1953"/>
        <v>0</v>
      </c>
      <c r="T6454" s="86">
        <f t="shared" si="1954"/>
        <v>853.78000000000009</v>
      </c>
      <c r="U6454" s="87">
        <v>853.78000000000009</v>
      </c>
    </row>
    <row r="6455" spans="1:22" s="30" customFormat="1" ht="24.6" hidden="1" outlineLevel="1" x14ac:dyDescent="0.55000000000000004">
      <c r="A6455" s="27" t="s">
        <v>327</v>
      </c>
      <c r="B6455" s="28"/>
      <c r="C6455" s="27"/>
      <c r="D6455" s="27" t="str">
        <f>"""NAV Direct"",""CRONUS JetCorp USA"",""21"",""1"",""283039"""</f>
        <v>"NAV Direct","CRONUS JetCorp USA","21","1","283039"</v>
      </c>
      <c r="E6455" s="31">
        <f t="shared" si="1946"/>
        <v>0</v>
      </c>
      <c r="F6455" s="31"/>
      <c r="G6455" s="31"/>
      <c r="H6455" s="31"/>
      <c r="I6455" s="56"/>
      <c r="J6455" s="56"/>
      <c r="K6455" s="82" t="str">
        <f t="shared" si="1947"/>
        <v>Invoice</v>
      </c>
      <c r="L6455" s="83" t="str">
        <f>"SI_108671"</f>
        <v>SI_108671</v>
      </c>
      <c r="M6455" s="84">
        <v>42136</v>
      </c>
      <c r="N6455" s="85">
        <f t="shared" si="1948"/>
        <v>1676</v>
      </c>
      <c r="O6455" s="86">
        <f t="shared" si="1949"/>
        <v>853.62000000000012</v>
      </c>
      <c r="P6455" s="86">
        <f t="shared" si="1950"/>
        <v>0</v>
      </c>
      <c r="Q6455" s="86">
        <f t="shared" si="1951"/>
        <v>0</v>
      </c>
      <c r="R6455" s="86">
        <f t="shared" si="1952"/>
        <v>0</v>
      </c>
      <c r="S6455" s="86">
        <f t="shared" si="1953"/>
        <v>0</v>
      </c>
      <c r="T6455" s="86">
        <f t="shared" si="1954"/>
        <v>853.62000000000012</v>
      </c>
      <c r="U6455" s="87">
        <v>853.62000000000012</v>
      </c>
    </row>
    <row r="6456" spans="1:22" s="30" customFormat="1" ht="24.6" hidden="1" outlineLevel="1" x14ac:dyDescent="0.55000000000000004">
      <c r="A6456" s="27" t="s">
        <v>327</v>
      </c>
      <c r="B6456" s="28"/>
      <c r="C6456" s="27"/>
      <c r="D6456" s="27" t="str">
        <f>"""NAV Direct"",""CRONUS JetCorp USA"",""21"",""1"",""284771"""</f>
        <v>"NAV Direct","CRONUS JetCorp USA","21","1","284771"</v>
      </c>
      <c r="E6456" s="31" t="str">
        <f t="shared" si="1946"/>
        <v>C100525</v>
      </c>
      <c r="F6456" s="31"/>
      <c r="G6456" s="31"/>
      <c r="H6456" s="31"/>
      <c r="I6456" s="56"/>
      <c r="J6456" s="56"/>
      <c r="K6456" s="82" t="str">
        <f t="shared" si="1947"/>
        <v>Invoice</v>
      </c>
      <c r="L6456" s="83" t="str">
        <f>"SI_108735"</f>
        <v>SI_108735</v>
      </c>
      <c r="M6456" s="84">
        <v>42794</v>
      </c>
      <c r="N6456" s="85">
        <f t="shared" si="1948"/>
        <v>1018</v>
      </c>
      <c r="O6456" s="86">
        <f t="shared" si="1949"/>
        <v>1136.3</v>
      </c>
      <c r="P6456" s="86">
        <f t="shared" si="1950"/>
        <v>0</v>
      </c>
      <c r="Q6456" s="86">
        <f t="shared" si="1951"/>
        <v>0</v>
      </c>
      <c r="R6456" s="86">
        <f t="shared" si="1952"/>
        <v>0</v>
      </c>
      <c r="S6456" s="86">
        <f t="shared" si="1953"/>
        <v>0</v>
      </c>
      <c r="T6456" s="86">
        <f t="shared" si="1954"/>
        <v>1136.3</v>
      </c>
      <c r="U6456" s="87">
        <v>1136.3</v>
      </c>
    </row>
    <row r="6457" spans="1:22" s="30" customFormat="1" ht="24.6" hidden="1" outlineLevel="1" x14ac:dyDescent="0.55000000000000004">
      <c r="A6457" s="27" t="s">
        <v>327</v>
      </c>
      <c r="B6457" s="28"/>
      <c r="C6457" s="27"/>
      <c r="D6457" s="27" t="str">
        <f>"""NAV Direct"",""CRONUS JetCorp USA"",""21"",""1"",""285761"""</f>
        <v>"NAV Direct","CRONUS JetCorp USA","21","1","285761"</v>
      </c>
      <c r="E6457" s="31">
        <f t="shared" si="1946"/>
        <v>0</v>
      </c>
      <c r="F6457" s="31"/>
      <c r="G6457" s="31"/>
      <c r="H6457" s="31"/>
      <c r="I6457" s="56"/>
      <c r="J6457" s="56"/>
      <c r="K6457" s="82" t="str">
        <f t="shared" si="1947"/>
        <v>Invoice</v>
      </c>
      <c r="L6457" s="83" t="str">
        <f>"SI_108772"</f>
        <v>SI_108772</v>
      </c>
      <c r="M6457" s="84">
        <v>42882</v>
      </c>
      <c r="N6457" s="85">
        <f t="shared" si="1948"/>
        <v>930</v>
      </c>
      <c r="O6457" s="86">
        <f t="shared" si="1949"/>
        <v>1249.8499999999999</v>
      </c>
      <c r="P6457" s="86">
        <f t="shared" si="1950"/>
        <v>0</v>
      </c>
      <c r="Q6457" s="86">
        <f t="shared" si="1951"/>
        <v>0</v>
      </c>
      <c r="R6457" s="86">
        <f t="shared" si="1952"/>
        <v>0</v>
      </c>
      <c r="S6457" s="86">
        <f t="shared" si="1953"/>
        <v>0</v>
      </c>
      <c r="T6457" s="86">
        <f t="shared" si="1954"/>
        <v>1249.8499999999999</v>
      </c>
      <c r="U6457" s="87">
        <v>1249.8499999999999</v>
      </c>
    </row>
    <row r="6458" spans="1:22" s="30" customFormat="1" ht="24.6" hidden="1" outlineLevel="1" x14ac:dyDescent="0.55000000000000004">
      <c r="A6458" s="27" t="s">
        <v>327</v>
      </c>
      <c r="B6458" s="28"/>
      <c r="C6458" s="27"/>
      <c r="D6458" s="27" t="str">
        <f>"""NAV Direct"",""CRONUS JetCorp USA"",""21"",""1"",""287658"""</f>
        <v>"NAV Direct","CRONUS JetCorp USA","21","1","287658"</v>
      </c>
      <c r="E6458" s="31" t="str">
        <f t="shared" si="1946"/>
        <v>C100525</v>
      </c>
      <c r="F6458" s="31"/>
      <c r="G6458" s="31"/>
      <c r="H6458" s="31"/>
      <c r="I6458" s="56"/>
      <c r="J6458" s="56"/>
      <c r="K6458" s="82" t="str">
        <f t="shared" si="1947"/>
        <v>Invoice</v>
      </c>
      <c r="L6458" s="83" t="str">
        <f>"SI_108837"</f>
        <v>SI_108837</v>
      </c>
      <c r="M6458" s="84">
        <v>43060</v>
      </c>
      <c r="N6458" s="85">
        <f t="shared" si="1948"/>
        <v>752</v>
      </c>
      <c r="O6458" s="86">
        <f t="shared" si="1949"/>
        <v>1512.47</v>
      </c>
      <c r="P6458" s="86">
        <f t="shared" si="1950"/>
        <v>0</v>
      </c>
      <c r="Q6458" s="86">
        <f t="shared" si="1951"/>
        <v>0</v>
      </c>
      <c r="R6458" s="86">
        <f t="shared" si="1952"/>
        <v>0</v>
      </c>
      <c r="S6458" s="86">
        <f t="shared" si="1953"/>
        <v>0</v>
      </c>
      <c r="T6458" s="86">
        <f t="shared" si="1954"/>
        <v>1512.47</v>
      </c>
      <c r="U6458" s="87">
        <v>1512.47</v>
      </c>
    </row>
    <row r="6459" spans="1:22" s="30" customFormat="1" ht="24.6" hidden="1" outlineLevel="1" x14ac:dyDescent="0.55000000000000004">
      <c r="A6459" s="27" t="s">
        <v>327</v>
      </c>
      <c r="B6459" s="28"/>
      <c r="C6459" s="27"/>
      <c r="D6459" s="27" t="str">
        <f>"""NAV Direct"",""CRONUS JetCorp USA"",""21"",""1"",""289186"""</f>
        <v>"NAV Direct","CRONUS JetCorp USA","21","1","289186"</v>
      </c>
      <c r="E6459" s="31">
        <f t="shared" si="1946"/>
        <v>0</v>
      </c>
      <c r="F6459" s="31"/>
      <c r="G6459" s="31"/>
      <c r="H6459" s="31"/>
      <c r="I6459" s="56"/>
      <c r="J6459" s="56"/>
      <c r="K6459" s="82" t="str">
        <f t="shared" si="1947"/>
        <v>Invoice</v>
      </c>
      <c r="L6459" s="83" t="str">
        <f>"SI_108888"</f>
        <v>SI_108888</v>
      </c>
      <c r="M6459" s="84">
        <v>43164</v>
      </c>
      <c r="N6459" s="85">
        <f t="shared" si="1948"/>
        <v>648</v>
      </c>
      <c r="O6459" s="86">
        <f t="shared" si="1949"/>
        <v>1663.6899999999998</v>
      </c>
      <c r="P6459" s="86">
        <f t="shared" si="1950"/>
        <v>0</v>
      </c>
      <c r="Q6459" s="86">
        <f t="shared" si="1951"/>
        <v>0</v>
      </c>
      <c r="R6459" s="86">
        <f t="shared" si="1952"/>
        <v>0</v>
      </c>
      <c r="S6459" s="86">
        <f t="shared" si="1953"/>
        <v>0</v>
      </c>
      <c r="T6459" s="86">
        <f t="shared" si="1954"/>
        <v>1663.6899999999998</v>
      </c>
      <c r="U6459" s="87">
        <v>1663.6899999999998</v>
      </c>
    </row>
    <row r="6460" spans="1:22" s="30" customFormat="1" ht="24.6" hidden="1" outlineLevel="1" x14ac:dyDescent="0.55000000000000004">
      <c r="A6460" s="27" t="s">
        <v>327</v>
      </c>
      <c r="B6460" s="28"/>
      <c r="C6460" s="27"/>
      <c r="D6460" s="27" t="str">
        <f>"""NAV Direct"",""CRONUS JetCorp USA"",""21"",""1"",""289746"""</f>
        <v>"NAV Direct","CRONUS JetCorp USA","21","1","289746"</v>
      </c>
      <c r="E6460" s="31" t="str">
        <f t="shared" si="1946"/>
        <v>C100525</v>
      </c>
      <c r="F6460" s="31"/>
      <c r="G6460" s="31"/>
      <c r="H6460" s="31"/>
      <c r="I6460" s="56"/>
      <c r="J6460" s="56"/>
      <c r="K6460" s="82" t="str">
        <f t="shared" si="1947"/>
        <v>Invoice</v>
      </c>
      <c r="L6460" s="83" t="str">
        <f>"SI_108906"</f>
        <v>SI_108906</v>
      </c>
      <c r="M6460" s="84">
        <v>43214</v>
      </c>
      <c r="N6460" s="85">
        <f t="shared" si="1948"/>
        <v>598</v>
      </c>
      <c r="O6460" s="86">
        <f t="shared" si="1949"/>
        <v>1830.07</v>
      </c>
      <c r="P6460" s="86">
        <f t="shared" si="1950"/>
        <v>0</v>
      </c>
      <c r="Q6460" s="86">
        <f t="shared" si="1951"/>
        <v>0</v>
      </c>
      <c r="R6460" s="86">
        <f t="shared" si="1952"/>
        <v>0</v>
      </c>
      <c r="S6460" s="86">
        <f t="shared" si="1953"/>
        <v>0</v>
      </c>
      <c r="T6460" s="86">
        <f t="shared" si="1954"/>
        <v>1830.07</v>
      </c>
      <c r="U6460" s="87">
        <v>1830.07</v>
      </c>
    </row>
    <row r="6461" spans="1:22" s="30" customFormat="1" ht="24.6" hidden="1" outlineLevel="1" x14ac:dyDescent="0.55000000000000004">
      <c r="A6461" s="27" t="s">
        <v>327</v>
      </c>
      <c r="B6461" s="28"/>
      <c r="C6461" s="27"/>
      <c r="D6461" s="27" t="str">
        <f>"""NAV Direct"",""CRONUS JetCorp USA"",""21"",""1"",""289898"""</f>
        <v>"NAV Direct","CRONUS JetCorp USA","21","1","289898"</v>
      </c>
      <c r="E6461" s="31">
        <f t="shared" si="1946"/>
        <v>0</v>
      </c>
      <c r="F6461" s="31"/>
      <c r="G6461" s="31"/>
      <c r="H6461" s="31"/>
      <c r="I6461" s="56"/>
      <c r="J6461" s="56"/>
      <c r="K6461" s="82" t="str">
        <f t="shared" si="1947"/>
        <v>Invoice</v>
      </c>
      <c r="L6461" s="83" t="str">
        <f>"SI_108911"</f>
        <v>SI_108911</v>
      </c>
      <c r="M6461" s="84">
        <v>43232</v>
      </c>
      <c r="N6461" s="85">
        <f t="shared" si="1948"/>
        <v>580</v>
      </c>
      <c r="O6461" s="86">
        <f t="shared" si="1949"/>
        <v>1830.1100000000001</v>
      </c>
      <c r="P6461" s="86">
        <f t="shared" si="1950"/>
        <v>0</v>
      </c>
      <c r="Q6461" s="86">
        <f t="shared" si="1951"/>
        <v>0</v>
      </c>
      <c r="R6461" s="86">
        <f t="shared" si="1952"/>
        <v>0</v>
      </c>
      <c r="S6461" s="86">
        <f t="shared" si="1953"/>
        <v>0</v>
      </c>
      <c r="T6461" s="86">
        <f t="shared" si="1954"/>
        <v>1830.1100000000001</v>
      </c>
      <c r="U6461" s="87">
        <v>1830.1100000000001</v>
      </c>
    </row>
    <row r="6462" spans="1:22" s="30" customFormat="1" ht="24.6" hidden="1" outlineLevel="1" x14ac:dyDescent="0.55000000000000004">
      <c r="A6462" s="27" t="s">
        <v>327</v>
      </c>
      <c r="B6462" s="28"/>
      <c r="C6462" s="27"/>
      <c r="D6462" s="27" t="str">
        <f>"""NAV Direct"",""CRONUS JetCorp USA"",""21"",""1"",""290149"""</f>
        <v>"NAV Direct","CRONUS JetCorp USA","21","1","290149"</v>
      </c>
      <c r="E6462" s="31" t="str">
        <f t="shared" si="1946"/>
        <v>C100525</v>
      </c>
      <c r="F6462" s="31"/>
      <c r="G6462" s="31"/>
      <c r="H6462" s="31"/>
      <c r="I6462" s="56"/>
      <c r="J6462" s="56"/>
      <c r="K6462" s="82" t="str">
        <f t="shared" si="1947"/>
        <v>Invoice</v>
      </c>
      <c r="L6462" s="83" t="str">
        <f>"SI_108920"</f>
        <v>SI_108920</v>
      </c>
      <c r="M6462" s="84">
        <v>43231</v>
      </c>
      <c r="N6462" s="85">
        <f t="shared" si="1948"/>
        <v>581</v>
      </c>
      <c r="O6462" s="86">
        <f t="shared" si="1949"/>
        <v>1830.1299999999999</v>
      </c>
      <c r="P6462" s="86">
        <f t="shared" si="1950"/>
        <v>0</v>
      </c>
      <c r="Q6462" s="86">
        <f t="shared" si="1951"/>
        <v>0</v>
      </c>
      <c r="R6462" s="86">
        <f t="shared" si="1952"/>
        <v>0</v>
      </c>
      <c r="S6462" s="86">
        <f t="shared" si="1953"/>
        <v>0</v>
      </c>
      <c r="T6462" s="86">
        <f t="shared" si="1954"/>
        <v>1830.1299999999999</v>
      </c>
      <c r="U6462" s="87">
        <v>1830.1299999999999</v>
      </c>
    </row>
    <row r="6463" spans="1:22" s="30" customFormat="1" ht="24.6" hidden="1" outlineLevel="1" x14ac:dyDescent="0.55000000000000004">
      <c r="A6463" s="27" t="s">
        <v>327</v>
      </c>
      <c r="B6463" s="28"/>
      <c r="C6463" s="27"/>
      <c r="D6463" s="27" t="str">
        <f>"""NAV Direct"",""CRONUS JetCorp USA"",""21"",""1"",""290296"""</f>
        <v>"NAV Direct","CRONUS JetCorp USA","21","1","290296"</v>
      </c>
      <c r="E6463" s="31">
        <f t="shared" si="1946"/>
        <v>0</v>
      </c>
      <c r="F6463" s="31"/>
      <c r="G6463" s="31"/>
      <c r="H6463" s="31"/>
      <c r="I6463" s="56"/>
      <c r="J6463" s="56"/>
      <c r="K6463" s="82" t="str">
        <f t="shared" si="1947"/>
        <v>Invoice</v>
      </c>
      <c r="L6463" s="83" t="str">
        <f>"SI_108925"</f>
        <v>SI_108925</v>
      </c>
      <c r="M6463" s="84">
        <v>43267</v>
      </c>
      <c r="N6463" s="85">
        <f t="shared" si="1948"/>
        <v>545</v>
      </c>
      <c r="O6463" s="86">
        <f t="shared" si="1949"/>
        <v>1830.06</v>
      </c>
      <c r="P6463" s="86">
        <f t="shared" si="1950"/>
        <v>0</v>
      </c>
      <c r="Q6463" s="86">
        <f t="shared" si="1951"/>
        <v>0</v>
      </c>
      <c r="R6463" s="86">
        <f t="shared" si="1952"/>
        <v>0</v>
      </c>
      <c r="S6463" s="86">
        <f t="shared" si="1953"/>
        <v>0</v>
      </c>
      <c r="T6463" s="86">
        <f t="shared" si="1954"/>
        <v>1830.06</v>
      </c>
      <c r="U6463" s="87">
        <v>1830.06</v>
      </c>
    </row>
    <row r="6464" spans="1:22" s="30" customFormat="1" ht="24.6" hidden="1" outlineLevel="1" x14ac:dyDescent="0.55000000000000004">
      <c r="A6464" s="27" t="s">
        <v>327</v>
      </c>
      <c r="B6464" s="28"/>
      <c r="C6464" s="27"/>
      <c r="D6464" s="27" t="str">
        <f>"""NAV Direct"",""CRONUS JetCorp USA"",""21"",""1"",""290579"""</f>
        <v>"NAV Direct","CRONUS JetCorp USA","21","1","290579"</v>
      </c>
      <c r="E6464" s="31" t="str">
        <f t="shared" si="1946"/>
        <v>C100525</v>
      </c>
      <c r="F6464" s="31"/>
      <c r="G6464" s="31"/>
      <c r="H6464" s="31"/>
      <c r="I6464" s="56"/>
      <c r="J6464" s="56"/>
      <c r="K6464" s="82" t="str">
        <f t="shared" si="1947"/>
        <v>Invoice</v>
      </c>
      <c r="L6464" s="83" t="str">
        <f>"SI_108934"</f>
        <v>SI_108934</v>
      </c>
      <c r="M6464" s="84">
        <v>43333</v>
      </c>
      <c r="N6464" s="85">
        <f t="shared" si="1948"/>
        <v>479</v>
      </c>
      <c r="O6464" s="86">
        <f t="shared" si="1949"/>
        <v>2013.01</v>
      </c>
      <c r="P6464" s="86">
        <f t="shared" si="1950"/>
        <v>0</v>
      </c>
      <c r="Q6464" s="86">
        <f t="shared" si="1951"/>
        <v>0</v>
      </c>
      <c r="R6464" s="86">
        <f t="shared" si="1952"/>
        <v>0</v>
      </c>
      <c r="S6464" s="86">
        <f t="shared" si="1953"/>
        <v>0</v>
      </c>
      <c r="T6464" s="86">
        <f t="shared" si="1954"/>
        <v>2013.01</v>
      </c>
      <c r="U6464" s="87">
        <v>2013.01</v>
      </c>
    </row>
    <row r="6465" spans="1:22" s="30" customFormat="1" ht="24.6" hidden="1" outlineLevel="1" x14ac:dyDescent="0.55000000000000004">
      <c r="A6465" s="27" t="s">
        <v>327</v>
      </c>
      <c r="B6465" s="28"/>
      <c r="C6465" s="27"/>
      <c r="D6465" s="27" t="str">
        <f>"""NAV Direct"",""CRONUS JetCorp USA"",""21"",""1"",""293166"""</f>
        <v>"NAV Direct","CRONUS JetCorp USA","21","1","293166"</v>
      </c>
      <c r="E6465" s="31">
        <f t="shared" si="1946"/>
        <v>0</v>
      </c>
      <c r="F6465" s="31"/>
      <c r="G6465" s="31"/>
      <c r="H6465" s="31"/>
      <c r="I6465" s="56"/>
      <c r="J6465" s="56"/>
      <c r="K6465" s="82" t="str">
        <f t="shared" si="1947"/>
        <v>Invoice</v>
      </c>
      <c r="L6465" s="83" t="str">
        <f>"SI_109022"</f>
        <v>SI_109022</v>
      </c>
      <c r="M6465" s="84">
        <v>43506</v>
      </c>
      <c r="N6465" s="85">
        <f t="shared" si="1948"/>
        <v>306</v>
      </c>
      <c r="O6465" s="86">
        <f t="shared" si="1949"/>
        <v>2435.77</v>
      </c>
      <c r="P6465" s="86">
        <f t="shared" si="1950"/>
        <v>0</v>
      </c>
      <c r="Q6465" s="86">
        <f t="shared" si="1951"/>
        <v>0</v>
      </c>
      <c r="R6465" s="86">
        <f t="shared" si="1952"/>
        <v>0</v>
      </c>
      <c r="S6465" s="86">
        <f t="shared" si="1953"/>
        <v>0</v>
      </c>
      <c r="T6465" s="86">
        <f t="shared" si="1954"/>
        <v>2435.77</v>
      </c>
      <c r="U6465" s="87">
        <v>2435.77</v>
      </c>
    </row>
    <row r="6466" spans="1:22" s="30" customFormat="1" ht="24.6" hidden="1" outlineLevel="1" x14ac:dyDescent="0.55000000000000004">
      <c r="A6466" s="27" t="s">
        <v>327</v>
      </c>
      <c r="B6466" s="28"/>
      <c r="C6466" s="27"/>
      <c r="D6466" s="27" t="str">
        <f>"""NAV Direct"",""CRONUS JetCorp USA"",""21"",""1"",""294223"""</f>
        <v>"NAV Direct","CRONUS JetCorp USA","21","1","294223"</v>
      </c>
      <c r="E6466" s="31" t="str">
        <f t="shared" si="1946"/>
        <v>C100525</v>
      </c>
      <c r="F6466" s="31"/>
      <c r="G6466" s="31"/>
      <c r="H6466" s="31"/>
      <c r="I6466" s="56"/>
      <c r="J6466" s="56"/>
      <c r="K6466" s="82" t="str">
        <f t="shared" si="1947"/>
        <v>Invoice</v>
      </c>
      <c r="L6466" s="83" t="str">
        <f>"SI_109056"</f>
        <v>SI_109056</v>
      </c>
      <c r="M6466" s="84">
        <v>43519</v>
      </c>
      <c r="N6466" s="85">
        <f t="shared" si="1948"/>
        <v>293</v>
      </c>
      <c r="O6466" s="86">
        <f t="shared" si="1949"/>
        <v>2435.91</v>
      </c>
      <c r="P6466" s="86">
        <f t="shared" si="1950"/>
        <v>0</v>
      </c>
      <c r="Q6466" s="86">
        <f t="shared" si="1951"/>
        <v>0</v>
      </c>
      <c r="R6466" s="86">
        <f t="shared" si="1952"/>
        <v>0</v>
      </c>
      <c r="S6466" s="86">
        <f t="shared" si="1953"/>
        <v>0</v>
      </c>
      <c r="T6466" s="86">
        <f t="shared" si="1954"/>
        <v>2435.91</v>
      </c>
      <c r="U6466" s="87">
        <v>2435.91</v>
      </c>
    </row>
    <row r="6467" spans="1:22" s="30" customFormat="1" ht="24.6" hidden="1" outlineLevel="1" x14ac:dyDescent="0.55000000000000004">
      <c r="A6467" s="27" t="s">
        <v>327</v>
      </c>
      <c r="B6467" s="28"/>
      <c r="C6467" s="27"/>
      <c r="D6467" s="27" t="str">
        <f>"""NAV Direct"",""CRONUS JetCorp USA"",""21"",""1"",""294710"""</f>
        <v>"NAV Direct","CRONUS JetCorp USA","21","1","294710"</v>
      </c>
      <c r="E6467" s="31">
        <f t="shared" si="1946"/>
        <v>0</v>
      </c>
      <c r="F6467" s="31"/>
      <c r="G6467" s="31"/>
      <c r="H6467" s="31"/>
      <c r="I6467" s="56"/>
      <c r="J6467" s="56"/>
      <c r="K6467" s="82" t="str">
        <f t="shared" si="1947"/>
        <v>Invoice</v>
      </c>
      <c r="L6467" s="83" t="str">
        <f>"SI_109071"</f>
        <v>SI_109071</v>
      </c>
      <c r="M6467" s="84">
        <v>43585</v>
      </c>
      <c r="N6467" s="85">
        <f t="shared" si="1948"/>
        <v>227</v>
      </c>
      <c r="O6467" s="86">
        <f t="shared" si="1949"/>
        <v>2679.3199999999997</v>
      </c>
      <c r="P6467" s="86">
        <f t="shared" si="1950"/>
        <v>0</v>
      </c>
      <c r="Q6467" s="86">
        <f t="shared" si="1951"/>
        <v>0</v>
      </c>
      <c r="R6467" s="86">
        <f t="shared" si="1952"/>
        <v>0</v>
      </c>
      <c r="S6467" s="86">
        <f t="shared" si="1953"/>
        <v>0</v>
      </c>
      <c r="T6467" s="86">
        <f t="shared" si="1954"/>
        <v>2679.3199999999997</v>
      </c>
      <c r="U6467" s="87">
        <v>2679.3199999999997</v>
      </c>
    </row>
    <row r="6468" spans="1:22" s="30" customFormat="1" ht="24.6" hidden="1" outlineLevel="1" x14ac:dyDescent="0.55000000000000004">
      <c r="A6468" s="27" t="s">
        <v>327</v>
      </c>
      <c r="B6468" s="28"/>
      <c r="C6468" s="27"/>
      <c r="D6468" s="27" t="str">
        <f>"""NAV Direct"",""CRONUS JetCorp USA"",""21"",""1"",""294933"""</f>
        <v>"NAV Direct","CRONUS JetCorp USA","21","1","294933"</v>
      </c>
      <c r="E6468" s="31" t="str">
        <f t="shared" si="1946"/>
        <v>C100525</v>
      </c>
      <c r="F6468" s="31"/>
      <c r="G6468" s="31"/>
      <c r="H6468" s="31"/>
      <c r="I6468" s="56"/>
      <c r="J6468" s="56"/>
      <c r="K6468" s="82" t="str">
        <f t="shared" si="1947"/>
        <v>Invoice</v>
      </c>
      <c r="L6468" s="83" t="str">
        <f>"SI_109079"</f>
        <v>SI_109079</v>
      </c>
      <c r="M6468" s="84">
        <v>43598</v>
      </c>
      <c r="N6468" s="85">
        <f t="shared" si="1948"/>
        <v>214</v>
      </c>
      <c r="O6468" s="86">
        <f t="shared" si="1949"/>
        <v>2679.28</v>
      </c>
      <c r="P6468" s="86">
        <f t="shared" si="1950"/>
        <v>0</v>
      </c>
      <c r="Q6468" s="86">
        <f t="shared" si="1951"/>
        <v>0</v>
      </c>
      <c r="R6468" s="86">
        <f t="shared" si="1952"/>
        <v>0</v>
      </c>
      <c r="S6468" s="86">
        <f t="shared" si="1953"/>
        <v>0</v>
      </c>
      <c r="T6468" s="86">
        <f t="shared" si="1954"/>
        <v>2679.28</v>
      </c>
      <c r="U6468" s="87">
        <v>2679.28</v>
      </c>
    </row>
    <row r="6469" spans="1:22" s="30" customFormat="1" ht="24.6" hidden="1" outlineLevel="1" x14ac:dyDescent="0.55000000000000004">
      <c r="A6469" s="27" t="s">
        <v>327</v>
      </c>
      <c r="B6469" s="28"/>
      <c r="C6469" s="27"/>
      <c r="D6469" s="27" t="str">
        <f>"""NAV Direct"",""CRONUS JetCorp USA"",""21"",""1"",""295479"""</f>
        <v>"NAV Direct","CRONUS JetCorp USA","21","1","295479"</v>
      </c>
      <c r="E6469" s="31">
        <f t="shared" si="1946"/>
        <v>0</v>
      </c>
      <c r="F6469" s="31"/>
      <c r="G6469" s="31"/>
      <c r="H6469" s="31"/>
      <c r="I6469" s="56"/>
      <c r="J6469" s="56"/>
      <c r="K6469" s="82" t="str">
        <f t="shared" si="1947"/>
        <v>Invoice</v>
      </c>
      <c r="L6469" s="83" t="str">
        <f>"SI_109095"</f>
        <v>SI_109095</v>
      </c>
      <c r="M6469" s="84">
        <v>43627</v>
      </c>
      <c r="N6469" s="85">
        <f t="shared" si="1948"/>
        <v>185</v>
      </c>
      <c r="O6469" s="86">
        <f t="shared" si="1949"/>
        <v>2679.52</v>
      </c>
      <c r="P6469" s="86">
        <f t="shared" si="1950"/>
        <v>0</v>
      </c>
      <c r="Q6469" s="86">
        <f t="shared" si="1951"/>
        <v>0</v>
      </c>
      <c r="R6469" s="86">
        <f t="shared" si="1952"/>
        <v>0</v>
      </c>
      <c r="S6469" s="86">
        <f t="shared" si="1953"/>
        <v>0</v>
      </c>
      <c r="T6469" s="86">
        <f t="shared" si="1954"/>
        <v>2679.52</v>
      </c>
      <c r="U6469" s="87">
        <v>2679.52</v>
      </c>
    </row>
    <row r="6470" spans="1:22" s="30" customFormat="1" ht="24.6" hidden="1" outlineLevel="1" x14ac:dyDescent="0.55000000000000004">
      <c r="A6470" s="27" t="s">
        <v>327</v>
      </c>
      <c r="B6470" s="28"/>
      <c r="C6470" s="27"/>
      <c r="D6470" s="27" t="str">
        <f>"""NAV Direct"",""CRONUS JetCorp USA"",""21"",""1"",""295736"""</f>
        <v>"NAV Direct","CRONUS JetCorp USA","21","1","295736"</v>
      </c>
      <c r="E6470" s="31" t="str">
        <f t="shared" si="1946"/>
        <v>C100525</v>
      </c>
      <c r="F6470" s="31"/>
      <c r="G6470" s="31"/>
      <c r="H6470" s="31"/>
      <c r="I6470" s="56"/>
      <c r="J6470" s="56"/>
      <c r="K6470" s="82" t="str">
        <f t="shared" si="1947"/>
        <v>Invoice</v>
      </c>
      <c r="L6470" s="83" t="str">
        <f>"SI_109102"</f>
        <v>SI_109102</v>
      </c>
      <c r="M6470" s="84">
        <v>43623</v>
      </c>
      <c r="N6470" s="85">
        <f t="shared" si="1948"/>
        <v>189</v>
      </c>
      <c r="O6470" s="86">
        <f t="shared" si="1949"/>
        <v>2679.4100000000003</v>
      </c>
      <c r="P6470" s="86">
        <f t="shared" si="1950"/>
        <v>0</v>
      </c>
      <c r="Q6470" s="86">
        <f t="shared" si="1951"/>
        <v>0</v>
      </c>
      <c r="R6470" s="86">
        <f t="shared" si="1952"/>
        <v>0</v>
      </c>
      <c r="S6470" s="86">
        <f t="shared" si="1953"/>
        <v>0</v>
      </c>
      <c r="T6470" s="86">
        <f t="shared" si="1954"/>
        <v>2679.4100000000003</v>
      </c>
      <c r="U6470" s="87">
        <v>2679.4100000000003</v>
      </c>
    </row>
    <row r="6471" spans="1:22" s="30" customFormat="1" ht="24.6" hidden="1" outlineLevel="1" x14ac:dyDescent="0.55000000000000004">
      <c r="A6471" s="27" t="s">
        <v>327</v>
      </c>
      <c r="B6471" s="28"/>
      <c r="C6471" s="27"/>
      <c r="D6471" s="27" t="str">
        <f>"""NAV Direct"",""CRONUS JetCorp USA"",""21"",""1"",""300410"""</f>
        <v>"NAV Direct","CRONUS JetCorp USA","21","1","300410"</v>
      </c>
      <c r="E6471" s="31">
        <f t="shared" si="1946"/>
        <v>0</v>
      </c>
      <c r="F6471" s="31"/>
      <c r="G6471" s="31"/>
      <c r="H6471" s="31"/>
      <c r="I6471" s="56"/>
      <c r="J6471" s="56"/>
      <c r="K6471" s="82" t="str">
        <f t="shared" si="1947"/>
        <v>Invoice</v>
      </c>
      <c r="L6471" s="83" t="str">
        <f>"SI_109244"</f>
        <v>SI_109244</v>
      </c>
      <c r="M6471" s="84">
        <v>42052</v>
      </c>
      <c r="N6471" s="85">
        <f t="shared" si="1948"/>
        <v>1760</v>
      </c>
      <c r="O6471" s="86">
        <f t="shared" si="1949"/>
        <v>3566.17</v>
      </c>
      <c r="P6471" s="86">
        <f t="shared" si="1950"/>
        <v>0</v>
      </c>
      <c r="Q6471" s="86">
        <f t="shared" si="1951"/>
        <v>0</v>
      </c>
      <c r="R6471" s="86">
        <f t="shared" si="1952"/>
        <v>0</v>
      </c>
      <c r="S6471" s="86">
        <f t="shared" si="1953"/>
        <v>0</v>
      </c>
      <c r="T6471" s="86">
        <f t="shared" si="1954"/>
        <v>3566.17</v>
      </c>
      <c r="U6471" s="87">
        <v>3566.17</v>
      </c>
    </row>
    <row r="6472" spans="1:22" s="30" customFormat="1" ht="24.6" hidden="1" outlineLevel="1" x14ac:dyDescent="0.55000000000000004">
      <c r="A6472" s="27" t="s">
        <v>327</v>
      </c>
      <c r="B6472" s="28"/>
      <c r="C6472" s="27"/>
      <c r="D6472" s="27" t="str">
        <f>"""NAV Direct"",""CRONUS JetCorp USA"",""21"",""1"",""301596"""</f>
        <v>"NAV Direct","CRONUS JetCorp USA","21","1","301596"</v>
      </c>
      <c r="E6472" s="31" t="str">
        <f t="shared" si="1946"/>
        <v>C100525</v>
      </c>
      <c r="F6472" s="31"/>
      <c r="G6472" s="31"/>
      <c r="H6472" s="31"/>
      <c r="I6472" s="56"/>
      <c r="J6472" s="56"/>
      <c r="K6472" s="82" t="str">
        <f t="shared" si="1947"/>
        <v>Invoice</v>
      </c>
      <c r="L6472" s="83" t="str">
        <f>"SI_109279"</f>
        <v>SI_109279</v>
      </c>
      <c r="M6472" s="84">
        <v>42085</v>
      </c>
      <c r="N6472" s="85">
        <f t="shared" si="1948"/>
        <v>1727</v>
      </c>
      <c r="O6472" s="86">
        <f t="shared" si="1949"/>
        <v>3566.39</v>
      </c>
      <c r="P6472" s="86">
        <f t="shared" si="1950"/>
        <v>0</v>
      </c>
      <c r="Q6472" s="86">
        <f t="shared" si="1951"/>
        <v>0</v>
      </c>
      <c r="R6472" s="86">
        <f t="shared" si="1952"/>
        <v>0</v>
      </c>
      <c r="S6472" s="86">
        <f t="shared" si="1953"/>
        <v>0</v>
      </c>
      <c r="T6472" s="86">
        <f t="shared" si="1954"/>
        <v>3566.39</v>
      </c>
      <c r="U6472" s="87">
        <v>3566.39</v>
      </c>
    </row>
    <row r="6473" spans="1:22" s="30" customFormat="1" ht="24.6" hidden="1" outlineLevel="1" x14ac:dyDescent="0.55000000000000004">
      <c r="A6473" s="27" t="s">
        <v>327</v>
      </c>
      <c r="B6473" s="28"/>
      <c r="C6473" s="27"/>
      <c r="D6473" s="27" t="str">
        <f>"""NAV Direct"",""CRONUS JetCorp USA"",""21"",""1"",""303532"""</f>
        <v>"NAV Direct","CRONUS JetCorp USA","21","1","303532"</v>
      </c>
      <c r="E6473" s="31">
        <f t="shared" si="1946"/>
        <v>0</v>
      </c>
      <c r="F6473" s="31"/>
      <c r="G6473" s="31"/>
      <c r="H6473" s="31"/>
      <c r="I6473" s="56"/>
      <c r="J6473" s="56"/>
      <c r="K6473" s="82" t="str">
        <f t="shared" si="1947"/>
        <v>Invoice</v>
      </c>
      <c r="L6473" s="83" t="str">
        <f>"SI_109335"</f>
        <v>SI_109335</v>
      </c>
      <c r="M6473" s="84">
        <v>42183</v>
      </c>
      <c r="N6473" s="85">
        <f t="shared" si="1948"/>
        <v>1629</v>
      </c>
      <c r="O6473" s="86">
        <f t="shared" si="1949"/>
        <v>3923.0099999999998</v>
      </c>
      <c r="P6473" s="86">
        <f t="shared" si="1950"/>
        <v>0</v>
      </c>
      <c r="Q6473" s="86">
        <f t="shared" si="1951"/>
        <v>0</v>
      </c>
      <c r="R6473" s="86">
        <f t="shared" si="1952"/>
        <v>0</v>
      </c>
      <c r="S6473" s="86">
        <f t="shared" si="1953"/>
        <v>0</v>
      </c>
      <c r="T6473" s="86">
        <f t="shared" si="1954"/>
        <v>3923.0099999999998</v>
      </c>
      <c r="U6473" s="87">
        <v>3923.0099999999998</v>
      </c>
    </row>
    <row r="6474" spans="1:22" s="30" customFormat="1" ht="24.6" hidden="1" outlineLevel="1" x14ac:dyDescent="0.55000000000000004">
      <c r="A6474" s="27" t="s">
        <v>327</v>
      </c>
      <c r="B6474" s="28"/>
      <c r="C6474" s="27"/>
      <c r="D6474" s="27" t="str">
        <f>"""NAV Direct"",""CRONUS JetCorp USA"",""21"",""1"",""303696"""</f>
        <v>"NAV Direct","CRONUS JetCorp USA","21","1","303696"</v>
      </c>
      <c r="E6474" s="31" t="str">
        <f t="shared" si="1946"/>
        <v>C100525</v>
      </c>
      <c r="F6474" s="31"/>
      <c r="G6474" s="31"/>
      <c r="H6474" s="31"/>
      <c r="I6474" s="56"/>
      <c r="J6474" s="56"/>
      <c r="K6474" s="82" t="str">
        <f t="shared" si="1947"/>
        <v>Invoice</v>
      </c>
      <c r="L6474" s="83" t="str">
        <f>"SI_109340"</f>
        <v>SI_109340</v>
      </c>
      <c r="M6474" s="84">
        <v>42185</v>
      </c>
      <c r="N6474" s="85">
        <f t="shared" si="1948"/>
        <v>1627</v>
      </c>
      <c r="O6474" s="86">
        <f t="shared" si="1949"/>
        <v>3923.0699999999997</v>
      </c>
      <c r="P6474" s="86">
        <f t="shared" si="1950"/>
        <v>0</v>
      </c>
      <c r="Q6474" s="86">
        <f t="shared" si="1951"/>
        <v>0</v>
      </c>
      <c r="R6474" s="86">
        <f t="shared" si="1952"/>
        <v>0</v>
      </c>
      <c r="S6474" s="86">
        <f t="shared" si="1953"/>
        <v>0</v>
      </c>
      <c r="T6474" s="86">
        <f t="shared" si="1954"/>
        <v>3923.0699999999997</v>
      </c>
      <c r="U6474" s="87">
        <v>3923.0699999999997</v>
      </c>
    </row>
    <row r="6475" spans="1:22" s="22" customFormat="1" ht="20.399999999999999" collapsed="1" x14ac:dyDescent="0.45">
      <c r="A6475" s="12" t="s">
        <v>327</v>
      </c>
      <c r="B6475" s="19"/>
      <c r="C6475" s="12"/>
      <c r="D6475" s="12"/>
      <c r="E6475" s="23"/>
      <c r="F6475" s="23"/>
      <c r="G6475" s="23"/>
      <c r="H6475" s="23"/>
      <c r="I6475" s="49"/>
      <c r="J6475" s="88"/>
      <c r="K6475" s="88"/>
      <c r="L6475" s="89"/>
      <c r="M6475" s="89"/>
      <c r="N6475" s="89"/>
      <c r="O6475" s="89"/>
      <c r="P6475" s="89"/>
      <c r="Q6475" s="90"/>
      <c r="R6475" s="90"/>
      <c r="S6475" s="91"/>
      <c r="T6475" s="92"/>
      <c r="U6475" s="92"/>
    </row>
    <row r="6476" spans="1:22" s="22" customFormat="1" ht="20.399999999999999" x14ac:dyDescent="0.45">
      <c r="A6476" s="12" t="s">
        <v>327</v>
      </c>
      <c r="B6476" s="19"/>
      <c r="C6476" s="12"/>
      <c r="D6476" s="12"/>
      <c r="E6476" s="23"/>
      <c r="F6476" s="23"/>
      <c r="G6476" s="23"/>
      <c r="H6476" s="23"/>
      <c r="I6476" s="49"/>
      <c r="J6476" s="88"/>
      <c r="K6476" s="88"/>
      <c r="L6476" s="89"/>
      <c r="M6476" s="89"/>
      <c r="N6476" s="89"/>
      <c r="O6476" s="89"/>
      <c r="P6476" s="89"/>
      <c r="Q6476" s="90"/>
      <c r="R6476" s="90"/>
      <c r="S6476" s="91"/>
      <c r="T6476" s="92"/>
      <c r="U6476" s="92"/>
    </row>
    <row r="6477" spans="1:22" s="26" customFormat="1" ht="24.6" x14ac:dyDescent="0.55000000000000004">
      <c r="A6477" s="27" t="s">
        <v>327</v>
      </c>
      <c r="B6477" s="28"/>
      <c r="C6477" s="27" t="str">
        <f>"""NAV Direct"",""CRONUS JetCorp USA"",""18"",""1"",""C100526"""</f>
        <v>"NAV Direct","CRONUS JetCorp USA","18","1","C100526"</v>
      </c>
      <c r="D6477" s="27"/>
      <c r="E6477" s="28" t="str">
        <f>H6477</f>
        <v>C100526</v>
      </c>
      <c r="F6477" s="28"/>
      <c r="G6477" s="28"/>
      <c r="H6477" s="28" t="str">
        <f>"C100526"</f>
        <v>C100526</v>
      </c>
      <c r="I6477" s="116" t="str">
        <f>"C100526  -  AAA Trophy"</f>
        <v>C100526  -  AAA Trophy</v>
      </c>
      <c r="J6477" s="117" t="str">
        <f>""</f>
        <v/>
      </c>
      <c r="K6477" s="118"/>
      <c r="L6477" s="119">
        <f>SUBTOTAL(3,L6478:L6510)</f>
        <v>29</v>
      </c>
      <c r="M6477" s="118"/>
      <c r="N6477" s="118"/>
      <c r="O6477" s="120">
        <f t="shared" ref="O6477:T6477" si="1955">SUBTOTAL(9,O6478:O6510)</f>
        <v>62602.700000000004</v>
      </c>
      <c r="P6477" s="120">
        <f t="shared" si="1955"/>
        <v>6484.33</v>
      </c>
      <c r="Q6477" s="120">
        <f t="shared" si="1955"/>
        <v>3242.1099999999997</v>
      </c>
      <c r="R6477" s="120">
        <f t="shared" si="1955"/>
        <v>0</v>
      </c>
      <c r="S6477" s="120">
        <f t="shared" si="1955"/>
        <v>705.29</v>
      </c>
      <c r="T6477" s="120">
        <f t="shared" si="1955"/>
        <v>52170.970000000008</v>
      </c>
      <c r="U6477" s="81"/>
    </row>
    <row r="6478" spans="1:22" s="26" customFormat="1" ht="24.6" x14ac:dyDescent="0.55000000000000004">
      <c r="A6478" s="27" t="s">
        <v>327</v>
      </c>
      <c r="B6478" s="28"/>
      <c r="C6478" s="27" t="str">
        <f>C6477</f>
        <v>"NAV Direct","CRONUS JetCorp USA","18","1","C100526"</v>
      </c>
      <c r="D6478" s="27"/>
      <c r="E6478" s="28" t="str">
        <f>E6477</f>
        <v>C100526</v>
      </c>
      <c r="F6478" s="28"/>
      <c r="G6478" s="28"/>
      <c r="H6478" s="28"/>
      <c r="I6478" s="121" t="str">
        <f>"Contact: Bob Oldhart"</f>
        <v>Contact: Bob Oldhart</v>
      </c>
      <c r="J6478" s="121"/>
      <c r="K6478" s="122"/>
      <c r="L6478" s="123"/>
      <c r="M6478" s="123"/>
      <c r="N6478" s="124"/>
      <c r="O6478" s="124"/>
      <c r="P6478" s="123"/>
      <c r="Q6478" s="125"/>
      <c r="R6478" s="126"/>
      <c r="S6478" s="126"/>
      <c r="T6478" s="125"/>
      <c r="U6478" s="81"/>
    </row>
    <row r="6479" spans="1:22" s="26" customFormat="1" ht="24.6" x14ac:dyDescent="0.55000000000000004">
      <c r="A6479" s="27" t="s">
        <v>327</v>
      </c>
      <c r="B6479" s="28"/>
      <c r="C6479" s="27" t="str">
        <f>C6478</f>
        <v>"NAV Direct","CRONUS JetCorp USA","18","1","C100526"</v>
      </c>
      <c r="D6479" s="27"/>
      <c r="E6479" s="28" t="str">
        <f>E6478</f>
        <v>C100526</v>
      </c>
      <c r="F6479" s="28"/>
      <c r="G6479" s="28"/>
      <c r="H6479" s="28"/>
      <c r="I6479" s="121" t="str">
        <f>"AAA Trophy@cronuscorp.net"</f>
        <v>AAA Trophy@cronuscorp.net</v>
      </c>
      <c r="J6479" s="121"/>
      <c r="K6479" s="122"/>
      <c r="L6479" s="124"/>
      <c r="M6479" s="124"/>
      <c r="N6479" s="124"/>
      <c r="O6479" s="124"/>
      <c r="P6479" s="123"/>
      <c r="Q6479" s="125"/>
      <c r="R6479" s="126"/>
      <c r="S6479" s="126"/>
      <c r="T6479" s="125"/>
      <c r="U6479" s="81"/>
    </row>
    <row r="6480" spans="1:22" ht="12.75" hidden="1" customHeight="1" outlineLevel="1" x14ac:dyDescent="0.45">
      <c r="A6480" s="12" t="s">
        <v>328</v>
      </c>
      <c r="B6480" s="19"/>
      <c r="E6480" s="19"/>
      <c r="F6480" s="19"/>
      <c r="G6480" s="19"/>
      <c r="H6480" s="19"/>
      <c r="I6480" s="61"/>
      <c r="J6480" s="61"/>
      <c r="K6480" s="61"/>
      <c r="L6480" s="61"/>
      <c r="M6480" s="61"/>
      <c r="N6480" s="61"/>
      <c r="O6480" s="61"/>
      <c r="P6480" s="61"/>
      <c r="Q6480" s="61"/>
      <c r="R6480" s="61"/>
      <c r="S6480" s="61"/>
      <c r="T6480" s="61"/>
      <c r="U6480" s="61"/>
      <c r="V6480" s="21"/>
    </row>
    <row r="6481" spans="1:21" s="30" customFormat="1" ht="24.6" hidden="1" outlineLevel="1" x14ac:dyDescent="0.55000000000000004">
      <c r="A6481" s="27" t="s">
        <v>327</v>
      </c>
      <c r="B6481" s="28"/>
      <c r="C6481" s="27"/>
      <c r="D6481" s="27" t="str">
        <f>"""NAV Direct"",""CRONUS JetCorp USA"",""21"",""1"",""281831"""</f>
        <v>"NAV Direct","CRONUS JetCorp USA","21","1","281831"</v>
      </c>
      <c r="E6481" s="31" t="str">
        <f t="shared" ref="E6481:E6509" si="1956">E6479</f>
        <v>C100526</v>
      </c>
      <c r="F6481" s="31"/>
      <c r="G6481" s="31"/>
      <c r="H6481" s="31"/>
      <c r="I6481" s="56"/>
      <c r="J6481" s="56"/>
      <c r="K6481" s="82" t="str">
        <f t="shared" ref="K6481:K6509" si="1957">"Invoice"</f>
        <v>Invoice</v>
      </c>
      <c r="L6481" s="83" t="str">
        <f>"SI_108625"</f>
        <v>SI_108625</v>
      </c>
      <c r="M6481" s="84">
        <v>43748</v>
      </c>
      <c r="N6481" s="85">
        <f t="shared" ref="N6481:N6509" si="1958">StartDate-$M6481+1</f>
        <v>64</v>
      </c>
      <c r="O6481" s="86">
        <f t="shared" ref="O6481:O6509" si="1959">SUM(P6481:T6481)</f>
        <v>705.29</v>
      </c>
      <c r="P6481" s="86">
        <f t="shared" ref="P6481:P6509" si="1960">IF($M6481&gt;=$P$18,U6481,0)</f>
        <v>0</v>
      </c>
      <c r="Q6481" s="86">
        <f t="shared" ref="Q6481:Q6509" si="1961">IF(AND($M6481&gt;=$Q$16,$M6481&lt;=$Q$18),U6481,0)</f>
        <v>0</v>
      </c>
      <c r="R6481" s="86">
        <f t="shared" ref="R6481:R6509" si="1962">IF(AND($M6481&gt;=$R$16,$M6481&lt;=$R$18),U6481,0)</f>
        <v>0</v>
      </c>
      <c r="S6481" s="86">
        <f t="shared" ref="S6481:S6509" si="1963">IF(AND($M6481&gt;=$S$16,$M6481&lt;=$S$18),U6481,0)</f>
        <v>705.29</v>
      </c>
      <c r="T6481" s="86">
        <f t="shared" ref="T6481:T6509" si="1964">IF($M6481&lt;=$T$18,U6481,0)</f>
        <v>0</v>
      </c>
      <c r="U6481" s="87">
        <v>705.29</v>
      </c>
    </row>
    <row r="6482" spans="1:21" s="30" customFormat="1" ht="24.6" hidden="1" outlineLevel="1" x14ac:dyDescent="0.55000000000000004">
      <c r="A6482" s="27" t="s">
        <v>327</v>
      </c>
      <c r="B6482" s="28"/>
      <c r="C6482" s="27"/>
      <c r="D6482" s="27" t="str">
        <f>"""NAV Direct"",""CRONUS JetCorp USA"",""21"",""1"",""283091"""</f>
        <v>"NAV Direct","CRONUS JetCorp USA","21","1","283091"</v>
      </c>
      <c r="E6482" s="31">
        <f t="shared" si="1956"/>
        <v>0</v>
      </c>
      <c r="F6482" s="31"/>
      <c r="G6482" s="31"/>
      <c r="H6482" s="31"/>
      <c r="I6482" s="56"/>
      <c r="J6482" s="56"/>
      <c r="K6482" s="82" t="str">
        <f t="shared" si="1957"/>
        <v>Invoice</v>
      </c>
      <c r="L6482" s="83" t="str">
        <f>"SI_108673"</f>
        <v>SI_108673</v>
      </c>
      <c r="M6482" s="84">
        <v>42141</v>
      </c>
      <c r="N6482" s="85">
        <f t="shared" si="1958"/>
        <v>1671</v>
      </c>
      <c r="O6482" s="86">
        <f t="shared" si="1959"/>
        <v>853.76</v>
      </c>
      <c r="P6482" s="86">
        <f t="shared" si="1960"/>
        <v>0</v>
      </c>
      <c r="Q6482" s="86">
        <f t="shared" si="1961"/>
        <v>0</v>
      </c>
      <c r="R6482" s="86">
        <f t="shared" si="1962"/>
        <v>0</v>
      </c>
      <c r="S6482" s="86">
        <f t="shared" si="1963"/>
        <v>0</v>
      </c>
      <c r="T6482" s="86">
        <f t="shared" si="1964"/>
        <v>853.76</v>
      </c>
      <c r="U6482" s="87">
        <v>853.76</v>
      </c>
    </row>
    <row r="6483" spans="1:21" s="30" customFormat="1" ht="24.6" hidden="1" outlineLevel="1" x14ac:dyDescent="0.55000000000000004">
      <c r="A6483" s="27" t="s">
        <v>327</v>
      </c>
      <c r="B6483" s="28"/>
      <c r="C6483" s="27"/>
      <c r="D6483" s="27" t="str">
        <f>"""NAV Direct"",""CRONUS JetCorp USA"",""21"",""1"",""283312"""</f>
        <v>"NAV Direct","CRONUS JetCorp USA","21","1","283312"</v>
      </c>
      <c r="E6483" s="31" t="str">
        <f t="shared" si="1956"/>
        <v>C100526</v>
      </c>
      <c r="F6483" s="31"/>
      <c r="G6483" s="31"/>
      <c r="H6483" s="31"/>
      <c r="I6483" s="56"/>
      <c r="J6483" s="56"/>
      <c r="K6483" s="82" t="str">
        <f t="shared" si="1957"/>
        <v>Invoice</v>
      </c>
      <c r="L6483" s="83" t="str">
        <f>"SI_108682"</f>
        <v>SI_108682</v>
      </c>
      <c r="M6483" s="84">
        <v>42230</v>
      </c>
      <c r="N6483" s="85">
        <f t="shared" si="1958"/>
        <v>1582</v>
      </c>
      <c r="O6483" s="86">
        <f t="shared" si="1959"/>
        <v>939.14</v>
      </c>
      <c r="P6483" s="86">
        <f t="shared" si="1960"/>
        <v>0</v>
      </c>
      <c r="Q6483" s="86">
        <f t="shared" si="1961"/>
        <v>0</v>
      </c>
      <c r="R6483" s="86">
        <f t="shared" si="1962"/>
        <v>0</v>
      </c>
      <c r="S6483" s="86">
        <f t="shared" si="1963"/>
        <v>0</v>
      </c>
      <c r="T6483" s="86">
        <f t="shared" si="1964"/>
        <v>939.14</v>
      </c>
      <c r="U6483" s="87">
        <v>939.14</v>
      </c>
    </row>
    <row r="6484" spans="1:21" s="30" customFormat="1" ht="24.6" hidden="1" outlineLevel="1" x14ac:dyDescent="0.55000000000000004">
      <c r="A6484" s="27" t="s">
        <v>327</v>
      </c>
      <c r="B6484" s="28"/>
      <c r="C6484" s="27"/>
      <c r="D6484" s="27" t="str">
        <f>"""NAV Direct"",""CRONUS JetCorp USA"",""21"",""1"",""283459"""</f>
        <v>"NAV Direct","CRONUS JetCorp USA","21","1","283459"</v>
      </c>
      <c r="E6484" s="31">
        <f t="shared" si="1956"/>
        <v>0</v>
      </c>
      <c r="F6484" s="31"/>
      <c r="G6484" s="31"/>
      <c r="H6484" s="31"/>
      <c r="I6484" s="56"/>
      <c r="J6484" s="56"/>
      <c r="K6484" s="82" t="str">
        <f t="shared" si="1957"/>
        <v>Invoice</v>
      </c>
      <c r="L6484" s="83" t="str">
        <f>"SI_108688"</f>
        <v>SI_108688</v>
      </c>
      <c r="M6484" s="84">
        <v>42210</v>
      </c>
      <c r="N6484" s="85">
        <f t="shared" si="1958"/>
        <v>1602</v>
      </c>
      <c r="O6484" s="86">
        <f t="shared" si="1959"/>
        <v>939.16</v>
      </c>
      <c r="P6484" s="86">
        <f t="shared" si="1960"/>
        <v>0</v>
      </c>
      <c r="Q6484" s="86">
        <f t="shared" si="1961"/>
        <v>0</v>
      </c>
      <c r="R6484" s="86">
        <f t="shared" si="1962"/>
        <v>0</v>
      </c>
      <c r="S6484" s="86">
        <f t="shared" si="1963"/>
        <v>0</v>
      </c>
      <c r="T6484" s="86">
        <f t="shared" si="1964"/>
        <v>939.16</v>
      </c>
      <c r="U6484" s="87">
        <v>939.16</v>
      </c>
    </row>
    <row r="6485" spans="1:21" s="30" customFormat="1" ht="24.6" hidden="1" outlineLevel="1" x14ac:dyDescent="0.55000000000000004">
      <c r="A6485" s="27" t="s">
        <v>327</v>
      </c>
      <c r="B6485" s="28"/>
      <c r="C6485" s="27"/>
      <c r="D6485" s="27" t="str">
        <f>"""NAV Direct"",""CRONUS JetCorp USA"",""21"",""1"",""283511"""</f>
        <v>"NAV Direct","CRONUS JetCorp USA","21","1","283511"</v>
      </c>
      <c r="E6485" s="31" t="str">
        <f t="shared" si="1956"/>
        <v>C100526</v>
      </c>
      <c r="F6485" s="31"/>
      <c r="G6485" s="31"/>
      <c r="H6485" s="31"/>
      <c r="I6485" s="56"/>
      <c r="J6485" s="56"/>
      <c r="K6485" s="82" t="str">
        <f t="shared" si="1957"/>
        <v>Invoice</v>
      </c>
      <c r="L6485" s="83" t="str">
        <f>"SI_108690"</f>
        <v>SI_108690</v>
      </c>
      <c r="M6485" s="84">
        <v>42214</v>
      </c>
      <c r="N6485" s="85">
        <f t="shared" si="1958"/>
        <v>1598</v>
      </c>
      <c r="O6485" s="86">
        <f t="shared" si="1959"/>
        <v>938.98</v>
      </c>
      <c r="P6485" s="86">
        <f t="shared" si="1960"/>
        <v>0</v>
      </c>
      <c r="Q6485" s="86">
        <f t="shared" si="1961"/>
        <v>0</v>
      </c>
      <c r="R6485" s="86">
        <f t="shared" si="1962"/>
        <v>0</v>
      </c>
      <c r="S6485" s="86">
        <f t="shared" si="1963"/>
        <v>0</v>
      </c>
      <c r="T6485" s="86">
        <f t="shared" si="1964"/>
        <v>938.98</v>
      </c>
      <c r="U6485" s="87">
        <v>938.98</v>
      </c>
    </row>
    <row r="6486" spans="1:21" s="30" customFormat="1" ht="24.6" hidden="1" outlineLevel="1" x14ac:dyDescent="0.55000000000000004">
      <c r="A6486" s="27" t="s">
        <v>327</v>
      </c>
      <c r="B6486" s="28"/>
      <c r="C6486" s="27"/>
      <c r="D6486" s="27" t="str">
        <f>"""NAV Direct"",""CRONUS JetCorp USA"",""21"",""1"",""283873"""</f>
        <v>"NAV Direct","CRONUS JetCorp USA","21","1","283873"</v>
      </c>
      <c r="E6486" s="31">
        <f t="shared" si="1956"/>
        <v>0</v>
      </c>
      <c r="F6486" s="31"/>
      <c r="G6486" s="31"/>
      <c r="H6486" s="31"/>
      <c r="I6486" s="56"/>
      <c r="J6486" s="56"/>
      <c r="K6486" s="82" t="str">
        <f t="shared" si="1957"/>
        <v>Invoice</v>
      </c>
      <c r="L6486" s="83" t="str">
        <f>"SI_108703"</f>
        <v>SI_108703</v>
      </c>
      <c r="M6486" s="84">
        <v>42279</v>
      </c>
      <c r="N6486" s="85">
        <f t="shared" si="1958"/>
        <v>1533</v>
      </c>
      <c r="O6486" s="86">
        <f t="shared" si="1959"/>
        <v>1032.94</v>
      </c>
      <c r="P6486" s="86">
        <f t="shared" si="1960"/>
        <v>0</v>
      </c>
      <c r="Q6486" s="86">
        <f t="shared" si="1961"/>
        <v>0</v>
      </c>
      <c r="R6486" s="86">
        <f t="shared" si="1962"/>
        <v>0</v>
      </c>
      <c r="S6486" s="86">
        <f t="shared" si="1963"/>
        <v>0</v>
      </c>
      <c r="T6486" s="86">
        <f t="shared" si="1964"/>
        <v>1032.94</v>
      </c>
      <c r="U6486" s="87">
        <v>1032.94</v>
      </c>
    </row>
    <row r="6487" spans="1:21" s="30" customFormat="1" ht="24.6" hidden="1" outlineLevel="1" x14ac:dyDescent="0.55000000000000004">
      <c r="A6487" s="27" t="s">
        <v>327</v>
      </c>
      <c r="B6487" s="28"/>
      <c r="C6487" s="27"/>
      <c r="D6487" s="27" t="str">
        <f>"""NAV Direct"",""CRONUS JetCorp USA"",""21"",""1"",""283928"""</f>
        <v>"NAV Direct","CRONUS JetCorp USA","21","1","283928"</v>
      </c>
      <c r="E6487" s="31" t="str">
        <f t="shared" si="1956"/>
        <v>C100526</v>
      </c>
      <c r="F6487" s="31"/>
      <c r="G6487" s="31"/>
      <c r="H6487" s="31"/>
      <c r="I6487" s="56"/>
      <c r="J6487" s="56"/>
      <c r="K6487" s="82" t="str">
        <f t="shared" si="1957"/>
        <v>Invoice</v>
      </c>
      <c r="L6487" s="83" t="str">
        <f>"SI_108705"</f>
        <v>SI_108705</v>
      </c>
      <c r="M6487" s="84">
        <v>42312</v>
      </c>
      <c r="N6487" s="85">
        <f t="shared" si="1958"/>
        <v>1500</v>
      </c>
      <c r="O6487" s="86">
        <f t="shared" si="1959"/>
        <v>1033.03</v>
      </c>
      <c r="P6487" s="86">
        <f t="shared" si="1960"/>
        <v>0</v>
      </c>
      <c r="Q6487" s="86">
        <f t="shared" si="1961"/>
        <v>0</v>
      </c>
      <c r="R6487" s="86">
        <f t="shared" si="1962"/>
        <v>0</v>
      </c>
      <c r="S6487" s="86">
        <f t="shared" si="1963"/>
        <v>0</v>
      </c>
      <c r="T6487" s="86">
        <f t="shared" si="1964"/>
        <v>1033.03</v>
      </c>
      <c r="U6487" s="87">
        <v>1033.03</v>
      </c>
    </row>
    <row r="6488" spans="1:21" s="30" customFormat="1" ht="24.6" hidden="1" outlineLevel="1" x14ac:dyDescent="0.55000000000000004">
      <c r="A6488" s="27" t="s">
        <v>327</v>
      </c>
      <c r="B6488" s="28"/>
      <c r="C6488" s="27"/>
      <c r="D6488" s="27" t="str">
        <f>"""NAV Direct"",""CRONUS JetCorp USA"",""21"",""1"",""285042"""</f>
        <v>"NAV Direct","CRONUS JetCorp USA","21","1","285042"</v>
      </c>
      <c r="E6488" s="31">
        <f t="shared" si="1956"/>
        <v>0</v>
      </c>
      <c r="F6488" s="31"/>
      <c r="G6488" s="31"/>
      <c r="H6488" s="31"/>
      <c r="I6488" s="56"/>
      <c r="J6488" s="56"/>
      <c r="K6488" s="82" t="str">
        <f t="shared" si="1957"/>
        <v>Invoice</v>
      </c>
      <c r="L6488" s="83" t="str">
        <f>"SI_108745"</f>
        <v>SI_108745</v>
      </c>
      <c r="M6488" s="84">
        <v>42764</v>
      </c>
      <c r="N6488" s="85">
        <f t="shared" si="1958"/>
        <v>1048</v>
      </c>
      <c r="O6488" s="86">
        <f t="shared" si="1959"/>
        <v>1136.24</v>
      </c>
      <c r="P6488" s="86">
        <f t="shared" si="1960"/>
        <v>0</v>
      </c>
      <c r="Q6488" s="86">
        <f t="shared" si="1961"/>
        <v>0</v>
      </c>
      <c r="R6488" s="86">
        <f t="shared" si="1962"/>
        <v>0</v>
      </c>
      <c r="S6488" s="86">
        <f t="shared" si="1963"/>
        <v>0</v>
      </c>
      <c r="T6488" s="86">
        <f t="shared" si="1964"/>
        <v>1136.24</v>
      </c>
      <c r="U6488" s="87">
        <v>1136.24</v>
      </c>
    </row>
    <row r="6489" spans="1:21" s="30" customFormat="1" ht="24.6" hidden="1" outlineLevel="1" x14ac:dyDescent="0.55000000000000004">
      <c r="A6489" s="27" t="s">
        <v>327</v>
      </c>
      <c r="B6489" s="28"/>
      <c r="C6489" s="27"/>
      <c r="D6489" s="27" t="str">
        <f>"""NAV Direct"",""CRONUS JetCorp USA"",""21"",""1"",""286326"""</f>
        <v>"NAV Direct","CRONUS JetCorp USA","21","1","286326"</v>
      </c>
      <c r="E6489" s="31" t="str">
        <f t="shared" si="1956"/>
        <v>C100526</v>
      </c>
      <c r="F6489" s="31"/>
      <c r="G6489" s="31"/>
      <c r="H6489" s="31"/>
      <c r="I6489" s="56"/>
      <c r="J6489" s="56"/>
      <c r="K6489" s="82" t="str">
        <f t="shared" si="1957"/>
        <v>Invoice</v>
      </c>
      <c r="L6489" s="83" t="str">
        <f>"SI_108790"</f>
        <v>SI_108790</v>
      </c>
      <c r="M6489" s="84">
        <v>42935</v>
      </c>
      <c r="N6489" s="85">
        <f t="shared" si="1958"/>
        <v>877</v>
      </c>
      <c r="O6489" s="86">
        <f t="shared" si="1959"/>
        <v>1374.95</v>
      </c>
      <c r="P6489" s="86">
        <f t="shared" si="1960"/>
        <v>0</v>
      </c>
      <c r="Q6489" s="86">
        <f t="shared" si="1961"/>
        <v>0</v>
      </c>
      <c r="R6489" s="86">
        <f t="shared" si="1962"/>
        <v>0</v>
      </c>
      <c r="S6489" s="86">
        <f t="shared" si="1963"/>
        <v>0</v>
      </c>
      <c r="T6489" s="86">
        <f t="shared" si="1964"/>
        <v>1374.95</v>
      </c>
      <c r="U6489" s="87">
        <v>1374.95</v>
      </c>
    </row>
    <row r="6490" spans="1:21" s="30" customFormat="1" ht="24.6" hidden="1" outlineLevel="1" x14ac:dyDescent="0.55000000000000004">
      <c r="A6490" s="27" t="s">
        <v>327</v>
      </c>
      <c r="B6490" s="28"/>
      <c r="C6490" s="27"/>
      <c r="D6490" s="27" t="str">
        <f>"""NAV Direct"",""CRONUS JetCorp USA"",""21"",""1"",""287429"""</f>
        <v>"NAV Direct","CRONUS JetCorp USA","21","1","287429"</v>
      </c>
      <c r="E6490" s="31">
        <f t="shared" si="1956"/>
        <v>0</v>
      </c>
      <c r="F6490" s="31"/>
      <c r="G6490" s="31"/>
      <c r="H6490" s="31"/>
      <c r="I6490" s="56"/>
      <c r="J6490" s="56"/>
      <c r="K6490" s="82" t="str">
        <f t="shared" si="1957"/>
        <v>Invoice</v>
      </c>
      <c r="L6490" s="83" t="str">
        <f>"SI_108828"</f>
        <v>SI_108828</v>
      </c>
      <c r="M6490" s="84">
        <v>43065</v>
      </c>
      <c r="N6490" s="85">
        <f t="shared" si="1958"/>
        <v>747</v>
      </c>
      <c r="O6490" s="86">
        <f t="shared" si="1959"/>
        <v>1512.48</v>
      </c>
      <c r="P6490" s="86">
        <f t="shared" si="1960"/>
        <v>0</v>
      </c>
      <c r="Q6490" s="86">
        <f t="shared" si="1961"/>
        <v>0</v>
      </c>
      <c r="R6490" s="86">
        <f t="shared" si="1962"/>
        <v>0</v>
      </c>
      <c r="S6490" s="86">
        <f t="shared" si="1963"/>
        <v>0</v>
      </c>
      <c r="T6490" s="86">
        <f t="shared" si="1964"/>
        <v>1512.48</v>
      </c>
      <c r="U6490" s="87">
        <v>1512.48</v>
      </c>
    </row>
    <row r="6491" spans="1:21" s="30" customFormat="1" ht="24.6" hidden="1" outlineLevel="1" x14ac:dyDescent="0.55000000000000004">
      <c r="A6491" s="27" t="s">
        <v>327</v>
      </c>
      <c r="B6491" s="28"/>
      <c r="C6491" s="27"/>
      <c r="D6491" s="27" t="str">
        <f>"""NAV Direct"",""CRONUS JetCorp USA"",""21"",""1"",""288060"""</f>
        <v>"NAV Direct","CRONUS JetCorp USA","21","1","288060"</v>
      </c>
      <c r="E6491" s="31" t="str">
        <f t="shared" si="1956"/>
        <v>C100526</v>
      </c>
      <c r="F6491" s="31"/>
      <c r="G6491" s="31"/>
      <c r="H6491" s="31"/>
      <c r="I6491" s="56"/>
      <c r="J6491" s="56"/>
      <c r="K6491" s="82" t="str">
        <f t="shared" si="1957"/>
        <v>Invoice</v>
      </c>
      <c r="L6491" s="83" t="str">
        <f>"SI_108850"</f>
        <v>SI_108850</v>
      </c>
      <c r="M6491" s="84">
        <v>43070</v>
      </c>
      <c r="N6491" s="85">
        <f t="shared" si="1958"/>
        <v>742</v>
      </c>
      <c r="O6491" s="86">
        <f t="shared" si="1959"/>
        <v>1512.48</v>
      </c>
      <c r="P6491" s="86">
        <f t="shared" si="1960"/>
        <v>0</v>
      </c>
      <c r="Q6491" s="86">
        <f t="shared" si="1961"/>
        <v>0</v>
      </c>
      <c r="R6491" s="86">
        <f t="shared" si="1962"/>
        <v>0</v>
      </c>
      <c r="S6491" s="86">
        <f t="shared" si="1963"/>
        <v>0</v>
      </c>
      <c r="T6491" s="86">
        <f t="shared" si="1964"/>
        <v>1512.48</v>
      </c>
      <c r="U6491" s="87">
        <v>1512.48</v>
      </c>
    </row>
    <row r="6492" spans="1:21" s="30" customFormat="1" ht="24.6" hidden="1" outlineLevel="1" x14ac:dyDescent="0.55000000000000004">
      <c r="A6492" s="27" t="s">
        <v>327</v>
      </c>
      <c r="B6492" s="28"/>
      <c r="C6492" s="27"/>
      <c r="D6492" s="27" t="str">
        <f>"""NAV Direct"",""CRONUS JetCorp USA"",""21"",""1"",""288308"""</f>
        <v>"NAV Direct","CRONUS JetCorp USA","21","1","288308"</v>
      </c>
      <c r="E6492" s="31">
        <f t="shared" si="1956"/>
        <v>0</v>
      </c>
      <c r="F6492" s="31"/>
      <c r="G6492" s="31"/>
      <c r="H6492" s="31"/>
      <c r="I6492" s="56"/>
      <c r="J6492" s="56"/>
      <c r="K6492" s="82" t="str">
        <f t="shared" si="1957"/>
        <v>Invoice</v>
      </c>
      <c r="L6492" s="83" t="str">
        <f>"SI_108859"</f>
        <v>SI_108859</v>
      </c>
      <c r="M6492" s="84">
        <v>43143</v>
      </c>
      <c r="N6492" s="85">
        <f t="shared" si="1958"/>
        <v>669</v>
      </c>
      <c r="O6492" s="86">
        <f t="shared" si="1959"/>
        <v>1663.5800000000002</v>
      </c>
      <c r="P6492" s="86">
        <f t="shared" si="1960"/>
        <v>0</v>
      </c>
      <c r="Q6492" s="86">
        <f t="shared" si="1961"/>
        <v>0</v>
      </c>
      <c r="R6492" s="86">
        <f t="shared" si="1962"/>
        <v>0</v>
      </c>
      <c r="S6492" s="86">
        <f t="shared" si="1963"/>
        <v>0</v>
      </c>
      <c r="T6492" s="86">
        <f t="shared" si="1964"/>
        <v>1663.5800000000002</v>
      </c>
      <c r="U6492" s="87">
        <v>1663.5800000000002</v>
      </c>
    </row>
    <row r="6493" spans="1:21" s="30" customFormat="1" ht="24.6" hidden="1" outlineLevel="1" x14ac:dyDescent="0.55000000000000004">
      <c r="A6493" s="27" t="s">
        <v>327</v>
      </c>
      <c r="B6493" s="28"/>
      <c r="C6493" s="27"/>
      <c r="D6493" s="27" t="str">
        <f>"""NAV Direct"",""CRONUS JetCorp USA"",""21"",""1"",""289719"""</f>
        <v>"NAV Direct","CRONUS JetCorp USA","21","1","289719"</v>
      </c>
      <c r="E6493" s="31" t="str">
        <f t="shared" si="1956"/>
        <v>C100526</v>
      </c>
      <c r="F6493" s="31"/>
      <c r="G6493" s="31"/>
      <c r="H6493" s="31"/>
      <c r="I6493" s="56"/>
      <c r="J6493" s="56"/>
      <c r="K6493" s="82" t="str">
        <f t="shared" si="1957"/>
        <v>Invoice</v>
      </c>
      <c r="L6493" s="83" t="str">
        <f>"SI_108905"</f>
        <v>SI_108905</v>
      </c>
      <c r="M6493" s="84">
        <v>43246</v>
      </c>
      <c r="N6493" s="85">
        <f t="shared" si="1958"/>
        <v>566</v>
      </c>
      <c r="O6493" s="86">
        <f t="shared" si="1959"/>
        <v>1830.0800000000002</v>
      </c>
      <c r="P6493" s="86">
        <f t="shared" si="1960"/>
        <v>0</v>
      </c>
      <c r="Q6493" s="86">
        <f t="shared" si="1961"/>
        <v>0</v>
      </c>
      <c r="R6493" s="86">
        <f t="shared" si="1962"/>
        <v>0</v>
      </c>
      <c r="S6493" s="86">
        <f t="shared" si="1963"/>
        <v>0</v>
      </c>
      <c r="T6493" s="86">
        <f t="shared" si="1964"/>
        <v>1830.0800000000002</v>
      </c>
      <c r="U6493" s="87">
        <v>1830.0800000000002</v>
      </c>
    </row>
    <row r="6494" spans="1:21" s="30" customFormat="1" ht="24.6" hidden="1" outlineLevel="1" x14ac:dyDescent="0.55000000000000004">
      <c r="A6494" s="27" t="s">
        <v>327</v>
      </c>
      <c r="B6494" s="28"/>
      <c r="C6494" s="27"/>
      <c r="D6494" s="27" t="str">
        <f>"""NAV Direct"",""CRONUS JetCorp USA"",""21"",""1"",""290355"""</f>
        <v>"NAV Direct","CRONUS JetCorp USA","21","1","290355"</v>
      </c>
      <c r="E6494" s="31">
        <f t="shared" si="1956"/>
        <v>0</v>
      </c>
      <c r="F6494" s="31"/>
      <c r="G6494" s="31"/>
      <c r="H6494" s="31"/>
      <c r="I6494" s="56"/>
      <c r="J6494" s="56"/>
      <c r="K6494" s="82" t="str">
        <f t="shared" si="1957"/>
        <v>Invoice</v>
      </c>
      <c r="L6494" s="83" t="str">
        <f>"SI_108927"</f>
        <v>SI_108927</v>
      </c>
      <c r="M6494" s="84">
        <v>43242</v>
      </c>
      <c r="N6494" s="85">
        <f t="shared" si="1958"/>
        <v>570</v>
      </c>
      <c r="O6494" s="86">
        <f t="shared" si="1959"/>
        <v>1830.03</v>
      </c>
      <c r="P6494" s="86">
        <f t="shared" si="1960"/>
        <v>0</v>
      </c>
      <c r="Q6494" s="86">
        <f t="shared" si="1961"/>
        <v>0</v>
      </c>
      <c r="R6494" s="86">
        <f t="shared" si="1962"/>
        <v>0</v>
      </c>
      <c r="S6494" s="86">
        <f t="shared" si="1963"/>
        <v>0</v>
      </c>
      <c r="T6494" s="86">
        <f t="shared" si="1964"/>
        <v>1830.03</v>
      </c>
      <c r="U6494" s="87">
        <v>1830.03</v>
      </c>
    </row>
    <row r="6495" spans="1:21" s="30" customFormat="1" ht="24.6" hidden="1" outlineLevel="1" x14ac:dyDescent="0.55000000000000004">
      <c r="A6495" s="27" t="s">
        <v>327</v>
      </c>
      <c r="B6495" s="28"/>
      <c r="C6495" s="27"/>
      <c r="D6495" s="27" t="str">
        <f>"""NAV Direct"",""CRONUS JetCorp USA"",""21"",""1"",""291741"""</f>
        <v>"NAV Direct","CRONUS JetCorp USA","21","1","291741"</v>
      </c>
      <c r="E6495" s="31" t="str">
        <f t="shared" si="1956"/>
        <v>C100526</v>
      </c>
      <c r="F6495" s="31"/>
      <c r="G6495" s="31"/>
      <c r="H6495" s="31"/>
      <c r="I6495" s="56"/>
      <c r="J6495" s="56"/>
      <c r="K6495" s="82" t="str">
        <f t="shared" si="1957"/>
        <v>Invoice</v>
      </c>
      <c r="L6495" s="83" t="str">
        <f>"SI_108973"</f>
        <v>SI_108973</v>
      </c>
      <c r="M6495" s="84">
        <v>43351</v>
      </c>
      <c r="N6495" s="85">
        <f t="shared" si="1958"/>
        <v>461</v>
      </c>
      <c r="O6495" s="86">
        <f t="shared" si="1959"/>
        <v>2013.1299999999999</v>
      </c>
      <c r="P6495" s="86">
        <f t="shared" si="1960"/>
        <v>0</v>
      </c>
      <c r="Q6495" s="86">
        <f t="shared" si="1961"/>
        <v>0</v>
      </c>
      <c r="R6495" s="86">
        <f t="shared" si="1962"/>
        <v>0</v>
      </c>
      <c r="S6495" s="86">
        <f t="shared" si="1963"/>
        <v>0</v>
      </c>
      <c r="T6495" s="86">
        <f t="shared" si="1964"/>
        <v>2013.1299999999999</v>
      </c>
      <c r="U6495" s="87">
        <v>2013.1299999999999</v>
      </c>
    </row>
    <row r="6496" spans="1:21" s="30" customFormat="1" ht="24.6" hidden="1" outlineLevel="1" x14ac:dyDescent="0.55000000000000004">
      <c r="A6496" s="27" t="s">
        <v>327</v>
      </c>
      <c r="B6496" s="28"/>
      <c r="C6496" s="27"/>
      <c r="D6496" s="27" t="str">
        <f>"""NAV Direct"",""CRONUS JetCorp USA"",""21"",""1"",""291770"""</f>
        <v>"NAV Direct","CRONUS JetCorp USA","21","1","291770"</v>
      </c>
      <c r="E6496" s="31">
        <f t="shared" si="1956"/>
        <v>0</v>
      </c>
      <c r="F6496" s="31"/>
      <c r="G6496" s="31"/>
      <c r="H6496" s="31"/>
      <c r="I6496" s="56"/>
      <c r="J6496" s="56"/>
      <c r="K6496" s="82" t="str">
        <f t="shared" si="1957"/>
        <v>Invoice</v>
      </c>
      <c r="L6496" s="83" t="str">
        <f>"SI_108974"</f>
        <v>SI_108974</v>
      </c>
      <c r="M6496" s="84">
        <v>43354</v>
      </c>
      <c r="N6496" s="85">
        <f t="shared" si="1958"/>
        <v>458</v>
      </c>
      <c r="O6496" s="86">
        <f t="shared" si="1959"/>
        <v>2012.93</v>
      </c>
      <c r="P6496" s="86">
        <f t="shared" si="1960"/>
        <v>0</v>
      </c>
      <c r="Q6496" s="86">
        <f t="shared" si="1961"/>
        <v>0</v>
      </c>
      <c r="R6496" s="86">
        <f t="shared" si="1962"/>
        <v>0</v>
      </c>
      <c r="S6496" s="86">
        <f t="shared" si="1963"/>
        <v>0</v>
      </c>
      <c r="T6496" s="86">
        <f t="shared" si="1964"/>
        <v>2012.93</v>
      </c>
      <c r="U6496" s="87">
        <v>2012.93</v>
      </c>
    </row>
    <row r="6497" spans="1:21" s="30" customFormat="1" ht="24.6" hidden="1" outlineLevel="1" x14ac:dyDescent="0.55000000000000004">
      <c r="A6497" s="27" t="s">
        <v>327</v>
      </c>
      <c r="B6497" s="28"/>
      <c r="C6497" s="27"/>
      <c r="D6497" s="27" t="str">
        <f>"""NAV Direct"",""CRONUS JetCorp USA"",""21"",""1"",""291878"""</f>
        <v>"NAV Direct","CRONUS JetCorp USA","21","1","291878"</v>
      </c>
      <c r="E6497" s="31" t="str">
        <f t="shared" si="1956"/>
        <v>C100526</v>
      </c>
      <c r="F6497" s="31"/>
      <c r="G6497" s="31"/>
      <c r="H6497" s="31"/>
      <c r="I6497" s="56"/>
      <c r="J6497" s="56"/>
      <c r="K6497" s="82" t="str">
        <f t="shared" si="1957"/>
        <v>Invoice</v>
      </c>
      <c r="L6497" s="83" t="str">
        <f>"SI_108978"</f>
        <v>SI_108978</v>
      </c>
      <c r="M6497" s="84">
        <v>43419</v>
      </c>
      <c r="N6497" s="85">
        <f t="shared" si="1958"/>
        <v>393</v>
      </c>
      <c r="O6497" s="86">
        <f t="shared" si="1959"/>
        <v>2214.4299999999998</v>
      </c>
      <c r="P6497" s="86">
        <f t="shared" si="1960"/>
        <v>0</v>
      </c>
      <c r="Q6497" s="86">
        <f t="shared" si="1961"/>
        <v>0</v>
      </c>
      <c r="R6497" s="86">
        <f t="shared" si="1962"/>
        <v>0</v>
      </c>
      <c r="S6497" s="86">
        <f t="shared" si="1963"/>
        <v>0</v>
      </c>
      <c r="T6497" s="86">
        <f t="shared" si="1964"/>
        <v>2214.4299999999998</v>
      </c>
      <c r="U6497" s="87">
        <v>2214.4299999999998</v>
      </c>
    </row>
    <row r="6498" spans="1:21" s="30" customFormat="1" ht="24.6" hidden="1" outlineLevel="1" x14ac:dyDescent="0.55000000000000004">
      <c r="A6498" s="27" t="s">
        <v>327</v>
      </c>
      <c r="B6498" s="28"/>
      <c r="C6498" s="27"/>
      <c r="D6498" s="27" t="str">
        <f>"""NAV Direct"",""CRONUS JetCorp USA"",""21"",""1"",""292639"""</f>
        <v>"NAV Direct","CRONUS JetCorp USA","21","1","292639"</v>
      </c>
      <c r="E6498" s="31">
        <f t="shared" si="1956"/>
        <v>0</v>
      </c>
      <c r="F6498" s="31"/>
      <c r="G6498" s="31"/>
      <c r="H6498" s="31"/>
      <c r="I6498" s="56"/>
      <c r="J6498" s="56"/>
      <c r="K6498" s="82" t="str">
        <f t="shared" si="1957"/>
        <v>Invoice</v>
      </c>
      <c r="L6498" s="83" t="str">
        <f>"SI_109003"</f>
        <v>SI_109003</v>
      </c>
      <c r="M6498" s="84">
        <v>43423</v>
      </c>
      <c r="N6498" s="85">
        <f t="shared" si="1958"/>
        <v>389</v>
      </c>
      <c r="O6498" s="86">
        <f t="shared" si="1959"/>
        <v>2214.42</v>
      </c>
      <c r="P6498" s="86">
        <f t="shared" si="1960"/>
        <v>0</v>
      </c>
      <c r="Q6498" s="86">
        <f t="shared" si="1961"/>
        <v>0</v>
      </c>
      <c r="R6498" s="86">
        <f t="shared" si="1962"/>
        <v>0</v>
      </c>
      <c r="S6498" s="86">
        <f t="shared" si="1963"/>
        <v>0</v>
      </c>
      <c r="T6498" s="86">
        <f t="shared" si="1964"/>
        <v>2214.42</v>
      </c>
      <c r="U6498" s="87">
        <v>2214.42</v>
      </c>
    </row>
    <row r="6499" spans="1:21" s="30" customFormat="1" ht="24.6" hidden="1" outlineLevel="1" x14ac:dyDescent="0.55000000000000004">
      <c r="A6499" s="27" t="s">
        <v>327</v>
      </c>
      <c r="B6499" s="28"/>
      <c r="C6499" s="27"/>
      <c r="D6499" s="27" t="str">
        <f>"""NAV Direct"",""CRONUS JetCorp USA"",""21"",""1"",""294736"""</f>
        <v>"NAV Direct","CRONUS JetCorp USA","21","1","294736"</v>
      </c>
      <c r="E6499" s="31" t="str">
        <f t="shared" si="1956"/>
        <v>C100526</v>
      </c>
      <c r="F6499" s="31"/>
      <c r="G6499" s="31"/>
      <c r="H6499" s="31"/>
      <c r="I6499" s="56"/>
      <c r="J6499" s="56"/>
      <c r="K6499" s="82" t="str">
        <f t="shared" si="1957"/>
        <v>Invoice</v>
      </c>
      <c r="L6499" s="83" t="str">
        <f>"SI_109072"</f>
        <v>SI_109072</v>
      </c>
      <c r="M6499" s="84">
        <v>43595</v>
      </c>
      <c r="N6499" s="85">
        <f t="shared" si="1958"/>
        <v>217</v>
      </c>
      <c r="O6499" s="86">
        <f t="shared" si="1959"/>
        <v>2679.3199999999997</v>
      </c>
      <c r="P6499" s="86">
        <f t="shared" si="1960"/>
        <v>0</v>
      </c>
      <c r="Q6499" s="86">
        <f t="shared" si="1961"/>
        <v>0</v>
      </c>
      <c r="R6499" s="86">
        <f t="shared" si="1962"/>
        <v>0</v>
      </c>
      <c r="S6499" s="86">
        <f t="shared" si="1963"/>
        <v>0</v>
      </c>
      <c r="T6499" s="86">
        <f t="shared" si="1964"/>
        <v>2679.3199999999997</v>
      </c>
      <c r="U6499" s="87">
        <v>2679.3199999999997</v>
      </c>
    </row>
    <row r="6500" spans="1:21" s="30" customFormat="1" ht="24.6" hidden="1" outlineLevel="1" x14ac:dyDescent="0.55000000000000004">
      <c r="A6500" s="27" t="s">
        <v>327</v>
      </c>
      <c r="B6500" s="28"/>
      <c r="C6500" s="27"/>
      <c r="D6500" s="27" t="str">
        <f>"""NAV Direct"",""CRONUS JetCorp USA"",""21"",""1"",""296906"""</f>
        <v>"NAV Direct","CRONUS JetCorp USA","21","1","296906"</v>
      </c>
      <c r="E6500" s="31">
        <f t="shared" si="1956"/>
        <v>0</v>
      </c>
      <c r="F6500" s="31"/>
      <c r="G6500" s="31"/>
      <c r="H6500" s="31"/>
      <c r="I6500" s="56"/>
      <c r="J6500" s="56"/>
      <c r="K6500" s="82" t="str">
        <f t="shared" si="1957"/>
        <v>Invoice</v>
      </c>
      <c r="L6500" s="83" t="str">
        <f>"SI_109138"</f>
        <v>SI_109138</v>
      </c>
      <c r="M6500" s="84">
        <v>43691</v>
      </c>
      <c r="N6500" s="85">
        <f t="shared" si="1958"/>
        <v>121</v>
      </c>
      <c r="O6500" s="86">
        <f t="shared" si="1959"/>
        <v>2947.33</v>
      </c>
      <c r="P6500" s="86">
        <f t="shared" si="1960"/>
        <v>0</v>
      </c>
      <c r="Q6500" s="86">
        <f t="shared" si="1961"/>
        <v>0</v>
      </c>
      <c r="R6500" s="86">
        <f t="shared" si="1962"/>
        <v>0</v>
      </c>
      <c r="S6500" s="86">
        <f t="shared" si="1963"/>
        <v>0</v>
      </c>
      <c r="T6500" s="86">
        <f t="shared" si="1964"/>
        <v>2947.33</v>
      </c>
      <c r="U6500" s="87">
        <v>2947.33</v>
      </c>
    </row>
    <row r="6501" spans="1:21" s="30" customFormat="1" ht="24.6" hidden="1" outlineLevel="1" x14ac:dyDescent="0.55000000000000004">
      <c r="A6501" s="27" t="s">
        <v>327</v>
      </c>
      <c r="B6501" s="28"/>
      <c r="C6501" s="27"/>
      <c r="D6501" s="27" t="str">
        <f>"""NAV Direct"",""CRONUS JetCorp USA"",""21"",""1"",""297119"""</f>
        <v>"NAV Direct","CRONUS JetCorp USA","21","1","297119"</v>
      </c>
      <c r="E6501" s="31" t="str">
        <f t="shared" si="1956"/>
        <v>C100526</v>
      </c>
      <c r="F6501" s="31"/>
      <c r="G6501" s="31"/>
      <c r="H6501" s="31"/>
      <c r="I6501" s="56"/>
      <c r="J6501" s="56"/>
      <c r="K6501" s="82" t="str">
        <f t="shared" si="1957"/>
        <v>Invoice</v>
      </c>
      <c r="L6501" s="83" t="str">
        <f>"SI_109145"</f>
        <v>SI_109145</v>
      </c>
      <c r="M6501" s="84">
        <v>43702</v>
      </c>
      <c r="N6501" s="85">
        <f t="shared" si="1958"/>
        <v>110</v>
      </c>
      <c r="O6501" s="86">
        <f t="shared" si="1959"/>
        <v>2947.41</v>
      </c>
      <c r="P6501" s="86">
        <f t="shared" si="1960"/>
        <v>0</v>
      </c>
      <c r="Q6501" s="86">
        <f t="shared" si="1961"/>
        <v>0</v>
      </c>
      <c r="R6501" s="86">
        <f t="shared" si="1962"/>
        <v>0</v>
      </c>
      <c r="S6501" s="86">
        <f t="shared" si="1963"/>
        <v>0</v>
      </c>
      <c r="T6501" s="86">
        <f t="shared" si="1964"/>
        <v>2947.41</v>
      </c>
      <c r="U6501" s="87">
        <v>2947.41</v>
      </c>
    </row>
    <row r="6502" spans="1:21" s="30" customFormat="1" ht="24.6" hidden="1" outlineLevel="1" x14ac:dyDescent="0.55000000000000004">
      <c r="A6502" s="27" t="s">
        <v>327</v>
      </c>
      <c r="B6502" s="28"/>
      <c r="C6502" s="27"/>
      <c r="D6502" s="27" t="str">
        <f>"""NAV Direct"",""CRONUS JetCorp USA"",""21"",""1"",""298493"""</f>
        <v>"NAV Direct","CRONUS JetCorp USA","21","1","298493"</v>
      </c>
      <c r="E6502" s="31">
        <f t="shared" si="1956"/>
        <v>0</v>
      </c>
      <c r="F6502" s="31"/>
      <c r="G6502" s="31"/>
      <c r="H6502" s="31"/>
      <c r="I6502" s="56"/>
      <c r="J6502" s="56"/>
      <c r="K6502" s="82" t="str">
        <f t="shared" si="1957"/>
        <v>Invoice</v>
      </c>
      <c r="L6502" s="83" t="str">
        <f>"SI_109188"</f>
        <v>SI_109188</v>
      </c>
      <c r="M6502" s="84">
        <v>43794</v>
      </c>
      <c r="N6502" s="85">
        <f t="shared" si="1958"/>
        <v>18</v>
      </c>
      <c r="O6502" s="86">
        <f t="shared" si="1959"/>
        <v>3242.1099999999997</v>
      </c>
      <c r="P6502" s="86">
        <f t="shared" si="1960"/>
        <v>0</v>
      </c>
      <c r="Q6502" s="86">
        <f t="shared" si="1961"/>
        <v>3242.1099999999997</v>
      </c>
      <c r="R6502" s="86">
        <f t="shared" si="1962"/>
        <v>0</v>
      </c>
      <c r="S6502" s="86">
        <f t="shared" si="1963"/>
        <v>0</v>
      </c>
      <c r="T6502" s="86">
        <f t="shared" si="1964"/>
        <v>0</v>
      </c>
      <c r="U6502" s="87">
        <v>3242.1099999999997</v>
      </c>
    </row>
    <row r="6503" spans="1:21" s="30" customFormat="1" ht="24.6" hidden="1" outlineLevel="1" x14ac:dyDescent="0.55000000000000004">
      <c r="A6503" s="27" t="s">
        <v>327</v>
      </c>
      <c r="B6503" s="28"/>
      <c r="C6503" s="27"/>
      <c r="D6503" s="27" t="str">
        <f>"""NAV Direct"",""CRONUS JetCorp USA"",""21"",""1"",""299490"""</f>
        <v>"NAV Direct","CRONUS JetCorp USA","21","1","299490"</v>
      </c>
      <c r="E6503" s="31" t="str">
        <f t="shared" si="1956"/>
        <v>C100526</v>
      </c>
      <c r="F6503" s="31"/>
      <c r="G6503" s="31"/>
      <c r="H6503" s="31"/>
      <c r="I6503" s="56"/>
      <c r="J6503" s="56"/>
      <c r="K6503" s="82" t="str">
        <f t="shared" si="1957"/>
        <v>Invoice</v>
      </c>
      <c r="L6503" s="83" t="str">
        <f>"SI_109218"</f>
        <v>SI_109218</v>
      </c>
      <c r="M6503" s="84">
        <v>43818</v>
      </c>
      <c r="N6503" s="85">
        <f t="shared" si="1958"/>
        <v>-6</v>
      </c>
      <c r="O6503" s="86">
        <f t="shared" si="1959"/>
        <v>3242.12</v>
      </c>
      <c r="P6503" s="86">
        <f t="shared" si="1960"/>
        <v>3242.12</v>
      </c>
      <c r="Q6503" s="86">
        <f t="shared" si="1961"/>
        <v>0</v>
      </c>
      <c r="R6503" s="86">
        <f t="shared" si="1962"/>
        <v>0</v>
      </c>
      <c r="S6503" s="86">
        <f t="shared" si="1963"/>
        <v>0</v>
      </c>
      <c r="T6503" s="86">
        <f t="shared" si="1964"/>
        <v>0</v>
      </c>
      <c r="U6503" s="87">
        <v>3242.12</v>
      </c>
    </row>
    <row r="6504" spans="1:21" s="30" customFormat="1" ht="24.6" hidden="1" outlineLevel="1" x14ac:dyDescent="0.55000000000000004">
      <c r="A6504" s="27" t="s">
        <v>327</v>
      </c>
      <c r="B6504" s="28"/>
      <c r="C6504" s="27"/>
      <c r="D6504" s="27" t="str">
        <f>"""NAV Direct"",""CRONUS JetCorp USA"",""21"",""1"",""299587"""</f>
        <v>"NAV Direct","CRONUS JetCorp USA","21","1","299587"</v>
      </c>
      <c r="E6504" s="31">
        <f t="shared" si="1956"/>
        <v>0</v>
      </c>
      <c r="F6504" s="31"/>
      <c r="G6504" s="31"/>
      <c r="H6504" s="31"/>
      <c r="I6504" s="56"/>
      <c r="J6504" s="56"/>
      <c r="K6504" s="82" t="str">
        <f t="shared" si="1957"/>
        <v>Invoice</v>
      </c>
      <c r="L6504" s="83" t="str">
        <f>"SI_109221"</f>
        <v>SI_109221</v>
      </c>
      <c r="M6504" s="84">
        <v>43821</v>
      </c>
      <c r="N6504" s="85">
        <f t="shared" si="1958"/>
        <v>-9</v>
      </c>
      <c r="O6504" s="86">
        <f t="shared" si="1959"/>
        <v>3242.21</v>
      </c>
      <c r="P6504" s="86">
        <f t="shared" si="1960"/>
        <v>3242.21</v>
      </c>
      <c r="Q6504" s="86">
        <f t="shared" si="1961"/>
        <v>0</v>
      </c>
      <c r="R6504" s="86">
        <f t="shared" si="1962"/>
        <v>0</v>
      </c>
      <c r="S6504" s="86">
        <f t="shared" si="1963"/>
        <v>0</v>
      </c>
      <c r="T6504" s="86">
        <f t="shared" si="1964"/>
        <v>0</v>
      </c>
      <c r="U6504" s="87">
        <v>3242.21</v>
      </c>
    </row>
    <row r="6505" spans="1:21" s="30" customFormat="1" ht="24.6" hidden="1" outlineLevel="1" x14ac:dyDescent="0.55000000000000004">
      <c r="A6505" s="27" t="s">
        <v>327</v>
      </c>
      <c r="B6505" s="28"/>
      <c r="C6505" s="27"/>
      <c r="D6505" s="27" t="str">
        <f>"""NAV Direct"",""CRONUS JetCorp USA"",""21"",""1"",""300924"""</f>
        <v>"NAV Direct","CRONUS JetCorp USA","21","1","300924"</v>
      </c>
      <c r="E6505" s="31" t="str">
        <f t="shared" si="1956"/>
        <v>C100526</v>
      </c>
      <c r="F6505" s="31"/>
      <c r="G6505" s="31"/>
      <c r="H6505" s="31"/>
      <c r="I6505" s="56"/>
      <c r="J6505" s="56"/>
      <c r="K6505" s="82" t="str">
        <f t="shared" si="1957"/>
        <v>Invoice</v>
      </c>
      <c r="L6505" s="83" t="str">
        <f>"SI_109260"</f>
        <v>SI_109260</v>
      </c>
      <c r="M6505" s="84">
        <v>42068</v>
      </c>
      <c r="N6505" s="85">
        <f t="shared" si="1958"/>
        <v>1744</v>
      </c>
      <c r="O6505" s="86">
        <f t="shared" si="1959"/>
        <v>3566.33</v>
      </c>
      <c r="P6505" s="86">
        <f t="shared" si="1960"/>
        <v>0</v>
      </c>
      <c r="Q6505" s="86">
        <f t="shared" si="1961"/>
        <v>0</v>
      </c>
      <c r="R6505" s="86">
        <f t="shared" si="1962"/>
        <v>0</v>
      </c>
      <c r="S6505" s="86">
        <f t="shared" si="1963"/>
        <v>0</v>
      </c>
      <c r="T6505" s="86">
        <f t="shared" si="1964"/>
        <v>3566.33</v>
      </c>
      <c r="U6505" s="87">
        <v>3566.33</v>
      </c>
    </row>
    <row r="6506" spans="1:21" s="30" customFormat="1" ht="24.6" hidden="1" outlineLevel="1" x14ac:dyDescent="0.55000000000000004">
      <c r="A6506" s="27" t="s">
        <v>327</v>
      </c>
      <c r="B6506" s="28"/>
      <c r="C6506" s="27"/>
      <c r="D6506" s="27" t="str">
        <f>"""NAV Direct"",""CRONUS JetCorp USA"",""21"",""1"",""301393"""</f>
        <v>"NAV Direct","CRONUS JetCorp USA","21","1","301393"</v>
      </c>
      <c r="E6506" s="31">
        <f t="shared" si="1956"/>
        <v>0</v>
      </c>
      <c r="F6506" s="31"/>
      <c r="G6506" s="31"/>
      <c r="H6506" s="31"/>
      <c r="I6506" s="56"/>
      <c r="J6506" s="56"/>
      <c r="K6506" s="82" t="str">
        <f t="shared" si="1957"/>
        <v>Invoice</v>
      </c>
      <c r="L6506" s="83" t="str">
        <f>"SI_109274"</f>
        <v>SI_109274</v>
      </c>
      <c r="M6506" s="84">
        <v>42086</v>
      </c>
      <c r="N6506" s="85">
        <f t="shared" si="1958"/>
        <v>1726</v>
      </c>
      <c r="O6506" s="86">
        <f t="shared" si="1959"/>
        <v>3566.4300000000003</v>
      </c>
      <c r="P6506" s="86">
        <f t="shared" si="1960"/>
        <v>0</v>
      </c>
      <c r="Q6506" s="86">
        <f t="shared" si="1961"/>
        <v>0</v>
      </c>
      <c r="R6506" s="86">
        <f t="shared" si="1962"/>
        <v>0</v>
      </c>
      <c r="S6506" s="86">
        <f t="shared" si="1963"/>
        <v>0</v>
      </c>
      <c r="T6506" s="86">
        <f t="shared" si="1964"/>
        <v>3566.4300000000003</v>
      </c>
      <c r="U6506" s="87">
        <v>3566.4300000000003</v>
      </c>
    </row>
    <row r="6507" spans="1:21" s="30" customFormat="1" ht="24.6" hidden="1" outlineLevel="1" x14ac:dyDescent="0.55000000000000004">
      <c r="A6507" s="27" t="s">
        <v>327</v>
      </c>
      <c r="B6507" s="28"/>
      <c r="C6507" s="27"/>
      <c r="D6507" s="27" t="str">
        <f>"""NAV Direct"",""CRONUS JetCorp USA"",""21"",""1"",""301666"""</f>
        <v>"NAV Direct","CRONUS JetCorp USA","21","1","301666"</v>
      </c>
      <c r="E6507" s="31" t="str">
        <f t="shared" si="1956"/>
        <v>C100526</v>
      </c>
      <c r="F6507" s="31"/>
      <c r="G6507" s="31"/>
      <c r="H6507" s="31"/>
      <c r="I6507" s="56"/>
      <c r="J6507" s="56"/>
      <c r="K6507" s="82" t="str">
        <f t="shared" si="1957"/>
        <v>Invoice</v>
      </c>
      <c r="L6507" s="83" t="str">
        <f>"SI_109281"</f>
        <v>SI_109281</v>
      </c>
      <c r="M6507" s="84">
        <v>42098</v>
      </c>
      <c r="N6507" s="85">
        <f t="shared" si="1958"/>
        <v>1714</v>
      </c>
      <c r="O6507" s="86">
        <f t="shared" si="1959"/>
        <v>3566.41</v>
      </c>
      <c r="P6507" s="86">
        <f t="shared" si="1960"/>
        <v>0</v>
      </c>
      <c r="Q6507" s="86">
        <f t="shared" si="1961"/>
        <v>0</v>
      </c>
      <c r="R6507" s="86">
        <f t="shared" si="1962"/>
        <v>0</v>
      </c>
      <c r="S6507" s="86">
        <f t="shared" si="1963"/>
        <v>0</v>
      </c>
      <c r="T6507" s="86">
        <f t="shared" si="1964"/>
        <v>3566.41</v>
      </c>
      <c r="U6507" s="87">
        <v>3566.41</v>
      </c>
    </row>
    <row r="6508" spans="1:21" s="30" customFormat="1" ht="24.6" hidden="1" outlineLevel="1" x14ac:dyDescent="0.55000000000000004">
      <c r="A6508" s="27" t="s">
        <v>327</v>
      </c>
      <c r="B6508" s="28"/>
      <c r="C6508" s="27"/>
      <c r="D6508" s="27" t="str">
        <f>"""NAV Direct"",""CRONUS JetCorp USA"",""21"",""1"",""301995"""</f>
        <v>"NAV Direct","CRONUS JetCorp USA","21","1","301995"</v>
      </c>
      <c r="E6508" s="31">
        <f t="shared" si="1956"/>
        <v>0</v>
      </c>
      <c r="F6508" s="31"/>
      <c r="G6508" s="31"/>
      <c r="H6508" s="31"/>
      <c r="I6508" s="56"/>
      <c r="J6508" s="56"/>
      <c r="K6508" s="82" t="str">
        <f t="shared" si="1957"/>
        <v>Invoice</v>
      </c>
      <c r="L6508" s="83" t="str">
        <f>"SI_109290"</f>
        <v>SI_109290</v>
      </c>
      <c r="M6508" s="84">
        <v>42127</v>
      </c>
      <c r="N6508" s="85">
        <f t="shared" si="1958"/>
        <v>1685</v>
      </c>
      <c r="O6508" s="86">
        <f t="shared" si="1959"/>
        <v>3922.9399999999996</v>
      </c>
      <c r="P6508" s="86">
        <f t="shared" si="1960"/>
        <v>0</v>
      </c>
      <c r="Q6508" s="86">
        <f t="shared" si="1961"/>
        <v>0</v>
      </c>
      <c r="R6508" s="86">
        <f t="shared" si="1962"/>
        <v>0</v>
      </c>
      <c r="S6508" s="86">
        <f t="shared" si="1963"/>
        <v>0</v>
      </c>
      <c r="T6508" s="86">
        <f t="shared" si="1964"/>
        <v>3922.9399999999996</v>
      </c>
      <c r="U6508" s="87">
        <v>3922.9399999999996</v>
      </c>
    </row>
    <row r="6509" spans="1:21" s="30" customFormat="1" ht="24.6" hidden="1" outlineLevel="1" x14ac:dyDescent="0.55000000000000004">
      <c r="A6509" s="27" t="s">
        <v>327</v>
      </c>
      <c r="B6509" s="28"/>
      <c r="C6509" s="27"/>
      <c r="D6509" s="27" t="str">
        <f>"""NAV Direct"",""CRONUS JetCorp USA"",""21"",""1"",""302829"""</f>
        <v>"NAV Direct","CRONUS JetCorp USA","21","1","302829"</v>
      </c>
      <c r="E6509" s="31" t="str">
        <f t="shared" si="1956"/>
        <v>C100526</v>
      </c>
      <c r="F6509" s="31"/>
      <c r="G6509" s="31"/>
      <c r="H6509" s="31"/>
      <c r="I6509" s="56"/>
      <c r="J6509" s="56"/>
      <c r="K6509" s="82" t="str">
        <f t="shared" si="1957"/>
        <v>Invoice</v>
      </c>
      <c r="L6509" s="83" t="str">
        <f>"SI_109315"</f>
        <v>SI_109315</v>
      </c>
      <c r="M6509" s="84">
        <v>42158</v>
      </c>
      <c r="N6509" s="85">
        <f t="shared" si="1958"/>
        <v>1654</v>
      </c>
      <c r="O6509" s="86">
        <f t="shared" si="1959"/>
        <v>3923.04</v>
      </c>
      <c r="P6509" s="86">
        <f t="shared" si="1960"/>
        <v>0</v>
      </c>
      <c r="Q6509" s="86">
        <f t="shared" si="1961"/>
        <v>0</v>
      </c>
      <c r="R6509" s="86">
        <f t="shared" si="1962"/>
        <v>0</v>
      </c>
      <c r="S6509" s="86">
        <f t="shared" si="1963"/>
        <v>0</v>
      </c>
      <c r="T6509" s="86">
        <f t="shared" si="1964"/>
        <v>3923.04</v>
      </c>
      <c r="U6509" s="87">
        <v>3923.04</v>
      </c>
    </row>
    <row r="6510" spans="1:21" s="22" customFormat="1" ht="20.399999999999999" collapsed="1" x14ac:dyDescent="0.45">
      <c r="A6510" s="12" t="s">
        <v>327</v>
      </c>
      <c r="B6510" s="19"/>
      <c r="C6510" s="12"/>
      <c r="D6510" s="12"/>
      <c r="E6510" s="23"/>
      <c r="F6510" s="23"/>
      <c r="G6510" s="23"/>
      <c r="H6510" s="23"/>
      <c r="I6510" s="49"/>
      <c r="J6510" s="88"/>
      <c r="K6510" s="88"/>
      <c r="L6510" s="89"/>
      <c r="M6510" s="89"/>
      <c r="N6510" s="89"/>
      <c r="O6510" s="89"/>
      <c r="P6510" s="89"/>
      <c r="Q6510" s="90"/>
      <c r="R6510" s="90"/>
      <c r="S6510" s="91"/>
      <c r="T6510" s="92"/>
      <c r="U6510" s="92"/>
    </row>
    <row r="6511" spans="1:21" s="22" customFormat="1" ht="20.399999999999999" x14ac:dyDescent="0.45">
      <c r="A6511" s="12" t="s">
        <v>327</v>
      </c>
      <c r="B6511" s="19"/>
      <c r="C6511" s="12"/>
      <c r="D6511" s="12"/>
      <c r="E6511" s="23"/>
      <c r="F6511" s="23"/>
      <c r="G6511" s="23"/>
      <c r="H6511" s="23"/>
      <c r="I6511" s="49"/>
      <c r="J6511" s="88"/>
      <c r="K6511" s="88"/>
      <c r="L6511" s="89"/>
      <c r="M6511" s="89"/>
      <c r="N6511" s="89"/>
      <c r="O6511" s="89"/>
      <c r="P6511" s="89"/>
      <c r="Q6511" s="90"/>
      <c r="R6511" s="90"/>
      <c r="S6511" s="91"/>
      <c r="T6511" s="92"/>
      <c r="U6511" s="92"/>
    </row>
    <row r="6512" spans="1:21" s="26" customFormat="1" ht="24.6" x14ac:dyDescent="0.55000000000000004">
      <c r="A6512" s="27" t="s">
        <v>327</v>
      </c>
      <c r="B6512" s="28"/>
      <c r="C6512" s="27" t="str">
        <f>"""NAV Direct"",""CRONUS JetCorp USA"",""18"",""1"",""C100527"""</f>
        <v>"NAV Direct","CRONUS JetCorp USA","18","1","C100527"</v>
      </c>
      <c r="D6512" s="27"/>
      <c r="E6512" s="28" t="str">
        <f>H6512</f>
        <v>C100527</v>
      </c>
      <c r="F6512" s="28"/>
      <c r="G6512" s="28"/>
      <c r="H6512" s="28" t="str">
        <f>"C100527"</f>
        <v>C100527</v>
      </c>
      <c r="I6512" s="116" t="str">
        <f>"C100527  -  BBB Trophy"</f>
        <v>C100527  -  BBB Trophy</v>
      </c>
      <c r="J6512" s="117" t="str">
        <f>""</f>
        <v/>
      </c>
      <c r="K6512" s="118"/>
      <c r="L6512" s="119">
        <f>SUBTOTAL(3,L6513:L6561)</f>
        <v>45</v>
      </c>
      <c r="M6512" s="118"/>
      <c r="N6512" s="118"/>
      <c r="O6512" s="120">
        <f t="shared" ref="O6512:T6512" si="1965">SUBTOTAL(9,O6513:O6561)</f>
        <v>92559.160000000018</v>
      </c>
      <c r="P6512" s="120">
        <f t="shared" si="1965"/>
        <v>3242.08</v>
      </c>
      <c r="Q6512" s="120">
        <f t="shared" si="1965"/>
        <v>6484.27</v>
      </c>
      <c r="R6512" s="120">
        <f t="shared" si="1965"/>
        <v>3242.0499999999997</v>
      </c>
      <c r="S6512" s="120">
        <f t="shared" si="1965"/>
        <v>2947.3999999999996</v>
      </c>
      <c r="T6512" s="120">
        <f t="shared" si="1965"/>
        <v>76643.360000000015</v>
      </c>
      <c r="U6512" s="81"/>
    </row>
    <row r="6513" spans="1:22" s="26" customFormat="1" ht="24.6" x14ac:dyDescent="0.55000000000000004">
      <c r="A6513" s="27" t="s">
        <v>327</v>
      </c>
      <c r="B6513" s="28"/>
      <c r="C6513" s="27" t="str">
        <f>C6512</f>
        <v>"NAV Direct","CRONUS JetCorp USA","18","1","C100527"</v>
      </c>
      <c r="D6513" s="27"/>
      <c r="E6513" s="28" t="str">
        <f>E6512</f>
        <v>C100527</v>
      </c>
      <c r="F6513" s="28"/>
      <c r="G6513" s="28"/>
      <c r="H6513" s="28"/>
      <c r="I6513" s="121" t="str">
        <f>"Contact: Nadia Comkon"</f>
        <v>Contact: Nadia Comkon</v>
      </c>
      <c r="J6513" s="121"/>
      <c r="K6513" s="122"/>
      <c r="L6513" s="123"/>
      <c r="M6513" s="123"/>
      <c r="N6513" s="124"/>
      <c r="O6513" s="124"/>
      <c r="P6513" s="123"/>
      <c r="Q6513" s="125"/>
      <c r="R6513" s="126"/>
      <c r="S6513" s="126"/>
      <c r="T6513" s="125"/>
      <c r="U6513" s="81"/>
    </row>
    <row r="6514" spans="1:22" s="26" customFormat="1" ht="24.6" x14ac:dyDescent="0.55000000000000004">
      <c r="A6514" s="27" t="s">
        <v>327</v>
      </c>
      <c r="B6514" s="28"/>
      <c r="C6514" s="27" t="str">
        <f>C6513</f>
        <v>"NAV Direct","CRONUS JetCorp USA","18","1","C100527"</v>
      </c>
      <c r="D6514" s="27"/>
      <c r="E6514" s="28" t="str">
        <f>E6513</f>
        <v>C100527</v>
      </c>
      <c r="F6514" s="28"/>
      <c r="G6514" s="28"/>
      <c r="H6514" s="28"/>
      <c r="I6514" s="121" t="str">
        <f>"BBB Trophy@cronuscorp.net"</f>
        <v>BBB Trophy@cronuscorp.net</v>
      </c>
      <c r="J6514" s="121"/>
      <c r="K6514" s="122"/>
      <c r="L6514" s="124"/>
      <c r="M6514" s="124"/>
      <c r="N6514" s="124"/>
      <c r="O6514" s="124"/>
      <c r="P6514" s="123"/>
      <c r="Q6514" s="125"/>
      <c r="R6514" s="126"/>
      <c r="S6514" s="126"/>
      <c r="T6514" s="125"/>
      <c r="U6514" s="81"/>
    </row>
    <row r="6515" spans="1:22" ht="12.75" hidden="1" customHeight="1" outlineLevel="1" x14ac:dyDescent="0.45">
      <c r="A6515" s="12" t="s">
        <v>328</v>
      </c>
      <c r="B6515" s="19"/>
      <c r="E6515" s="19"/>
      <c r="F6515" s="19"/>
      <c r="G6515" s="19"/>
      <c r="H6515" s="19"/>
      <c r="I6515" s="61"/>
      <c r="J6515" s="61"/>
      <c r="K6515" s="61"/>
      <c r="L6515" s="61"/>
      <c r="M6515" s="61"/>
      <c r="N6515" s="61"/>
      <c r="O6515" s="61"/>
      <c r="P6515" s="61"/>
      <c r="Q6515" s="61"/>
      <c r="R6515" s="61"/>
      <c r="S6515" s="61"/>
      <c r="T6515" s="61"/>
      <c r="U6515" s="61"/>
      <c r="V6515" s="21"/>
    </row>
    <row r="6516" spans="1:22" s="30" customFormat="1" ht="24.6" hidden="1" outlineLevel="1" x14ac:dyDescent="0.55000000000000004">
      <c r="A6516" s="27" t="s">
        <v>327</v>
      </c>
      <c r="B6516" s="28"/>
      <c r="C6516" s="27"/>
      <c r="D6516" s="27" t="str">
        <f>"""NAV Direct"",""CRONUS JetCorp USA"",""21"",""1"",""281320"""</f>
        <v>"NAV Direct","CRONUS JetCorp USA","21","1","281320"</v>
      </c>
      <c r="E6516" s="31" t="str">
        <f t="shared" ref="E6516:E6560" si="1966">E6514</f>
        <v>C100527</v>
      </c>
      <c r="F6516" s="31"/>
      <c r="G6516" s="31"/>
      <c r="H6516" s="31"/>
      <c r="I6516" s="56"/>
      <c r="J6516" s="56"/>
      <c r="K6516" s="82" t="str">
        <f t="shared" ref="K6516:K6560" si="1967">"Invoice"</f>
        <v>Invoice</v>
      </c>
      <c r="L6516" s="83" t="str">
        <f>"SI_108605"</f>
        <v>SI_108605</v>
      </c>
      <c r="M6516" s="84">
        <v>43714</v>
      </c>
      <c r="N6516" s="85">
        <f t="shared" ref="N6516:N6560" si="1968">StartDate-$M6516+1</f>
        <v>98</v>
      </c>
      <c r="O6516" s="86">
        <f t="shared" ref="O6516:O6560" si="1969">SUM(P6516:T6516)</f>
        <v>588</v>
      </c>
      <c r="P6516" s="86">
        <f t="shared" ref="P6516:P6560" si="1970">IF($M6516&gt;=$P$18,U6516,0)</f>
        <v>0</v>
      </c>
      <c r="Q6516" s="86">
        <f t="shared" ref="Q6516:Q6560" si="1971">IF(AND($M6516&gt;=$Q$16,$M6516&lt;=$Q$18),U6516,0)</f>
        <v>0</v>
      </c>
      <c r="R6516" s="86">
        <f t="shared" ref="R6516:R6560" si="1972">IF(AND($M6516&gt;=$R$16,$M6516&lt;=$R$18),U6516,0)</f>
        <v>0</v>
      </c>
      <c r="S6516" s="86">
        <f t="shared" ref="S6516:S6560" si="1973">IF(AND($M6516&gt;=$S$16,$M6516&lt;=$S$18),U6516,0)</f>
        <v>0</v>
      </c>
      <c r="T6516" s="86">
        <f t="shared" ref="T6516:T6560" si="1974">IF($M6516&lt;=$T$18,U6516,0)</f>
        <v>588</v>
      </c>
      <c r="U6516" s="87">
        <v>588</v>
      </c>
    </row>
    <row r="6517" spans="1:22" s="30" customFormat="1" ht="24.6" hidden="1" outlineLevel="1" x14ac:dyDescent="0.55000000000000004">
      <c r="A6517" s="27" t="s">
        <v>327</v>
      </c>
      <c r="B6517" s="28"/>
      <c r="C6517" s="27"/>
      <c r="D6517" s="27" t="str">
        <f>"""NAV Direct"",""CRONUS JetCorp USA"",""21"",""1"",""282498"""</f>
        <v>"NAV Direct","CRONUS JetCorp USA","21","1","282498"</v>
      </c>
      <c r="E6517" s="31">
        <f t="shared" si="1966"/>
        <v>0</v>
      </c>
      <c r="F6517" s="31"/>
      <c r="G6517" s="31"/>
      <c r="H6517" s="31"/>
      <c r="I6517" s="56"/>
      <c r="J6517" s="56"/>
      <c r="K6517" s="82" t="str">
        <f t="shared" si="1967"/>
        <v>Invoice</v>
      </c>
      <c r="L6517" s="83" t="str">
        <f>"SI_108651"</f>
        <v>SI_108651</v>
      </c>
      <c r="M6517" s="84">
        <v>42029</v>
      </c>
      <c r="N6517" s="85">
        <f t="shared" si="1968"/>
        <v>1783</v>
      </c>
      <c r="O6517" s="86">
        <f t="shared" si="1969"/>
        <v>775.93999999999994</v>
      </c>
      <c r="P6517" s="86">
        <f t="shared" si="1970"/>
        <v>0</v>
      </c>
      <c r="Q6517" s="86">
        <f t="shared" si="1971"/>
        <v>0</v>
      </c>
      <c r="R6517" s="86">
        <f t="shared" si="1972"/>
        <v>0</v>
      </c>
      <c r="S6517" s="86">
        <f t="shared" si="1973"/>
        <v>0</v>
      </c>
      <c r="T6517" s="86">
        <f t="shared" si="1974"/>
        <v>775.93999999999994</v>
      </c>
      <c r="U6517" s="87">
        <v>775.93999999999994</v>
      </c>
    </row>
    <row r="6518" spans="1:22" s="30" customFormat="1" ht="24.6" hidden="1" outlineLevel="1" x14ac:dyDescent="0.55000000000000004">
      <c r="A6518" s="27" t="s">
        <v>327</v>
      </c>
      <c r="B6518" s="28"/>
      <c r="C6518" s="27"/>
      <c r="D6518" s="27" t="str">
        <f>"""NAV Direct"",""CRONUS JetCorp USA"",""21"",""1"",""282858"""</f>
        <v>"NAV Direct","CRONUS JetCorp USA","21","1","282858"</v>
      </c>
      <c r="E6518" s="31" t="str">
        <f t="shared" si="1966"/>
        <v>C100527</v>
      </c>
      <c r="F6518" s="31"/>
      <c r="G6518" s="31"/>
      <c r="H6518" s="31"/>
      <c r="I6518" s="56"/>
      <c r="J6518" s="56"/>
      <c r="K6518" s="82" t="str">
        <f t="shared" si="1967"/>
        <v>Invoice</v>
      </c>
      <c r="L6518" s="83" t="str">
        <f>"SI_108664"</f>
        <v>SI_108664</v>
      </c>
      <c r="M6518" s="84">
        <v>42125</v>
      </c>
      <c r="N6518" s="85">
        <f t="shared" si="1968"/>
        <v>1687</v>
      </c>
      <c r="O6518" s="86">
        <f t="shared" si="1969"/>
        <v>853.65000000000009</v>
      </c>
      <c r="P6518" s="86">
        <f t="shared" si="1970"/>
        <v>0</v>
      </c>
      <c r="Q6518" s="86">
        <f t="shared" si="1971"/>
        <v>0</v>
      </c>
      <c r="R6518" s="86">
        <f t="shared" si="1972"/>
        <v>0</v>
      </c>
      <c r="S6518" s="86">
        <f t="shared" si="1973"/>
        <v>0</v>
      </c>
      <c r="T6518" s="86">
        <f t="shared" si="1974"/>
        <v>853.65000000000009</v>
      </c>
      <c r="U6518" s="87">
        <v>853.65000000000009</v>
      </c>
    </row>
    <row r="6519" spans="1:22" s="30" customFormat="1" ht="24.6" hidden="1" outlineLevel="1" x14ac:dyDescent="0.55000000000000004">
      <c r="A6519" s="27" t="s">
        <v>327</v>
      </c>
      <c r="B6519" s="28"/>
      <c r="C6519" s="27"/>
      <c r="D6519" s="27" t="str">
        <f>"""NAV Direct"",""CRONUS JetCorp USA"",""21"",""1"",""283170"""</f>
        <v>"NAV Direct","CRONUS JetCorp USA","21","1","283170"</v>
      </c>
      <c r="E6519" s="31">
        <f t="shared" si="1966"/>
        <v>0</v>
      </c>
      <c r="F6519" s="31"/>
      <c r="G6519" s="31"/>
      <c r="H6519" s="31"/>
      <c r="I6519" s="56"/>
      <c r="J6519" s="56"/>
      <c r="K6519" s="82" t="str">
        <f t="shared" si="1967"/>
        <v>Invoice</v>
      </c>
      <c r="L6519" s="83" t="str">
        <f>"SI_108676"</f>
        <v>SI_108676</v>
      </c>
      <c r="M6519" s="84">
        <v>42240</v>
      </c>
      <c r="N6519" s="85">
        <f t="shared" si="1968"/>
        <v>1572</v>
      </c>
      <c r="O6519" s="86">
        <f t="shared" si="1969"/>
        <v>939.11</v>
      </c>
      <c r="P6519" s="86">
        <f t="shared" si="1970"/>
        <v>0</v>
      </c>
      <c r="Q6519" s="86">
        <f t="shared" si="1971"/>
        <v>0</v>
      </c>
      <c r="R6519" s="86">
        <f t="shared" si="1972"/>
        <v>0</v>
      </c>
      <c r="S6519" s="86">
        <f t="shared" si="1973"/>
        <v>0</v>
      </c>
      <c r="T6519" s="86">
        <f t="shared" si="1974"/>
        <v>939.11</v>
      </c>
      <c r="U6519" s="87">
        <v>939.11</v>
      </c>
    </row>
    <row r="6520" spans="1:22" s="30" customFormat="1" ht="24.6" hidden="1" outlineLevel="1" x14ac:dyDescent="0.55000000000000004">
      <c r="A6520" s="27" t="s">
        <v>327</v>
      </c>
      <c r="B6520" s="28"/>
      <c r="C6520" s="27"/>
      <c r="D6520" s="27" t="str">
        <f>"""NAV Direct"",""CRONUS JetCorp USA"",""21"",""1"",""283335"""</f>
        <v>"NAV Direct","CRONUS JetCorp USA","21","1","283335"</v>
      </c>
      <c r="E6520" s="31" t="str">
        <f t="shared" si="1966"/>
        <v>C100527</v>
      </c>
      <c r="F6520" s="31"/>
      <c r="G6520" s="31"/>
      <c r="H6520" s="31"/>
      <c r="I6520" s="56"/>
      <c r="J6520" s="56"/>
      <c r="K6520" s="82" t="str">
        <f t="shared" si="1967"/>
        <v>Invoice</v>
      </c>
      <c r="L6520" s="83" t="str">
        <f>"SI_108683"</f>
        <v>SI_108683</v>
      </c>
      <c r="M6520" s="84">
        <v>42240</v>
      </c>
      <c r="N6520" s="85">
        <f t="shared" si="1968"/>
        <v>1572</v>
      </c>
      <c r="O6520" s="86">
        <f t="shared" si="1969"/>
        <v>939.05000000000007</v>
      </c>
      <c r="P6520" s="86">
        <f t="shared" si="1970"/>
        <v>0</v>
      </c>
      <c r="Q6520" s="86">
        <f t="shared" si="1971"/>
        <v>0</v>
      </c>
      <c r="R6520" s="86">
        <f t="shared" si="1972"/>
        <v>0</v>
      </c>
      <c r="S6520" s="86">
        <f t="shared" si="1973"/>
        <v>0</v>
      </c>
      <c r="T6520" s="86">
        <f t="shared" si="1974"/>
        <v>939.05000000000007</v>
      </c>
      <c r="U6520" s="87">
        <v>939.05000000000007</v>
      </c>
    </row>
    <row r="6521" spans="1:22" s="30" customFormat="1" ht="24.6" hidden="1" outlineLevel="1" x14ac:dyDescent="0.55000000000000004">
      <c r="A6521" s="27" t="s">
        <v>327</v>
      </c>
      <c r="B6521" s="28"/>
      <c r="C6521" s="27"/>
      <c r="D6521" s="27" t="str">
        <f>"""NAV Direct"",""CRONUS JetCorp USA"",""21"",""1"",""283406"""</f>
        <v>"NAV Direct","CRONUS JetCorp USA","21","1","283406"</v>
      </c>
      <c r="E6521" s="31">
        <f t="shared" si="1966"/>
        <v>0</v>
      </c>
      <c r="F6521" s="31"/>
      <c r="G6521" s="31"/>
      <c r="H6521" s="31"/>
      <c r="I6521" s="56"/>
      <c r="J6521" s="56"/>
      <c r="K6521" s="82" t="str">
        <f t="shared" si="1967"/>
        <v>Invoice</v>
      </c>
      <c r="L6521" s="83" t="str">
        <f>"SI_108686"</f>
        <v>SI_108686</v>
      </c>
      <c r="M6521" s="84">
        <v>42230</v>
      </c>
      <c r="N6521" s="85">
        <f t="shared" si="1968"/>
        <v>1582</v>
      </c>
      <c r="O6521" s="86">
        <f t="shared" si="1969"/>
        <v>938.93000000000006</v>
      </c>
      <c r="P6521" s="86">
        <f t="shared" si="1970"/>
        <v>0</v>
      </c>
      <c r="Q6521" s="86">
        <f t="shared" si="1971"/>
        <v>0</v>
      </c>
      <c r="R6521" s="86">
        <f t="shared" si="1972"/>
        <v>0</v>
      </c>
      <c r="S6521" s="86">
        <f t="shared" si="1973"/>
        <v>0</v>
      </c>
      <c r="T6521" s="86">
        <f t="shared" si="1974"/>
        <v>938.93000000000006</v>
      </c>
      <c r="U6521" s="87">
        <v>938.93000000000006</v>
      </c>
    </row>
    <row r="6522" spans="1:22" s="30" customFormat="1" ht="24.6" hidden="1" outlineLevel="1" x14ac:dyDescent="0.55000000000000004">
      <c r="A6522" s="27" t="s">
        <v>327</v>
      </c>
      <c r="B6522" s="28"/>
      <c r="C6522" s="27"/>
      <c r="D6522" s="27" t="str">
        <f>"""NAV Direct"",""CRONUS JetCorp USA"",""21"",""1"",""284103"""</f>
        <v>"NAV Direct","CRONUS JetCorp USA","21","1","284103"</v>
      </c>
      <c r="E6522" s="31" t="str">
        <f t="shared" si="1966"/>
        <v>C100527</v>
      </c>
      <c r="F6522" s="31"/>
      <c r="G6522" s="31"/>
      <c r="H6522" s="31"/>
      <c r="I6522" s="56"/>
      <c r="J6522" s="56"/>
      <c r="K6522" s="82" t="str">
        <f t="shared" si="1967"/>
        <v>Invoice</v>
      </c>
      <c r="L6522" s="83" t="str">
        <f>"SI_108711"</f>
        <v>SI_108711</v>
      </c>
      <c r="M6522" s="84">
        <v>42345</v>
      </c>
      <c r="N6522" s="85">
        <f t="shared" si="1968"/>
        <v>1467</v>
      </c>
      <c r="O6522" s="86">
        <f t="shared" si="1969"/>
        <v>1033.03</v>
      </c>
      <c r="P6522" s="86">
        <f t="shared" si="1970"/>
        <v>0</v>
      </c>
      <c r="Q6522" s="86">
        <f t="shared" si="1971"/>
        <v>0</v>
      </c>
      <c r="R6522" s="86">
        <f t="shared" si="1972"/>
        <v>0</v>
      </c>
      <c r="S6522" s="86">
        <f t="shared" si="1973"/>
        <v>0</v>
      </c>
      <c r="T6522" s="86">
        <f t="shared" si="1974"/>
        <v>1033.03</v>
      </c>
      <c r="U6522" s="87">
        <v>1033.03</v>
      </c>
    </row>
    <row r="6523" spans="1:22" s="30" customFormat="1" ht="24.6" hidden="1" outlineLevel="1" x14ac:dyDescent="0.55000000000000004">
      <c r="A6523" s="27" t="s">
        <v>327</v>
      </c>
      <c r="B6523" s="28"/>
      <c r="C6523" s="27"/>
      <c r="D6523" s="27" t="str">
        <f>"""NAV Direct"",""CRONUS JetCorp USA"",""21"",""1"",""284683"""</f>
        <v>"NAV Direct","CRONUS JetCorp USA","21","1","284683"</v>
      </c>
      <c r="E6523" s="31">
        <f t="shared" si="1966"/>
        <v>0</v>
      </c>
      <c r="F6523" s="31"/>
      <c r="G6523" s="31"/>
      <c r="H6523" s="31"/>
      <c r="I6523" s="56"/>
      <c r="J6523" s="56"/>
      <c r="K6523" s="82" t="str">
        <f t="shared" si="1967"/>
        <v>Invoice</v>
      </c>
      <c r="L6523" s="83" t="str">
        <f>"SI_108732"</f>
        <v>SI_108732</v>
      </c>
      <c r="M6523" s="84">
        <v>42775</v>
      </c>
      <c r="N6523" s="85">
        <f t="shared" si="1968"/>
        <v>1037</v>
      </c>
      <c r="O6523" s="86">
        <f t="shared" si="1969"/>
        <v>1136.3200000000002</v>
      </c>
      <c r="P6523" s="86">
        <f t="shared" si="1970"/>
        <v>0</v>
      </c>
      <c r="Q6523" s="86">
        <f t="shared" si="1971"/>
        <v>0</v>
      </c>
      <c r="R6523" s="86">
        <f t="shared" si="1972"/>
        <v>0</v>
      </c>
      <c r="S6523" s="86">
        <f t="shared" si="1973"/>
        <v>0</v>
      </c>
      <c r="T6523" s="86">
        <f t="shared" si="1974"/>
        <v>1136.3200000000002</v>
      </c>
      <c r="U6523" s="87">
        <v>1136.3200000000002</v>
      </c>
    </row>
    <row r="6524" spans="1:22" s="30" customFormat="1" ht="24.6" hidden="1" outlineLevel="1" x14ac:dyDescent="0.55000000000000004">
      <c r="A6524" s="27" t="s">
        <v>327</v>
      </c>
      <c r="B6524" s="28"/>
      <c r="C6524" s="27"/>
      <c r="D6524" s="27" t="str">
        <f>"""NAV Direct"",""CRONUS JetCorp USA"",""21"",""1"",""284887"""</f>
        <v>"NAV Direct","CRONUS JetCorp USA","21","1","284887"</v>
      </c>
      <c r="E6524" s="31" t="str">
        <f t="shared" si="1966"/>
        <v>C100527</v>
      </c>
      <c r="F6524" s="31"/>
      <c r="G6524" s="31"/>
      <c r="H6524" s="31"/>
      <c r="I6524" s="56"/>
      <c r="J6524" s="56"/>
      <c r="K6524" s="82" t="str">
        <f t="shared" si="1967"/>
        <v>Invoice</v>
      </c>
      <c r="L6524" s="83" t="str">
        <f>"SI_108739"</f>
        <v>SI_108739</v>
      </c>
      <c r="M6524" s="84">
        <v>42774</v>
      </c>
      <c r="N6524" s="85">
        <f t="shared" si="1968"/>
        <v>1038</v>
      </c>
      <c r="O6524" s="86">
        <f t="shared" si="1969"/>
        <v>1136.33</v>
      </c>
      <c r="P6524" s="86">
        <f t="shared" si="1970"/>
        <v>0</v>
      </c>
      <c r="Q6524" s="86">
        <f t="shared" si="1971"/>
        <v>0</v>
      </c>
      <c r="R6524" s="86">
        <f t="shared" si="1972"/>
        <v>0</v>
      </c>
      <c r="S6524" s="86">
        <f t="shared" si="1973"/>
        <v>0</v>
      </c>
      <c r="T6524" s="86">
        <f t="shared" si="1974"/>
        <v>1136.33</v>
      </c>
      <c r="U6524" s="87">
        <v>1136.33</v>
      </c>
    </row>
    <row r="6525" spans="1:22" s="30" customFormat="1" ht="24.6" hidden="1" outlineLevel="1" x14ac:dyDescent="0.55000000000000004">
      <c r="A6525" s="27" t="s">
        <v>327</v>
      </c>
      <c r="B6525" s="28"/>
      <c r="C6525" s="27"/>
      <c r="D6525" s="27" t="str">
        <f>"""NAV Direct"",""CRONUS JetCorp USA"",""21"",""1"",""284993"""</f>
        <v>"NAV Direct","CRONUS JetCorp USA","21","1","284993"</v>
      </c>
      <c r="E6525" s="31">
        <f t="shared" si="1966"/>
        <v>0</v>
      </c>
      <c r="F6525" s="31"/>
      <c r="G6525" s="31"/>
      <c r="H6525" s="31"/>
      <c r="I6525" s="56"/>
      <c r="J6525" s="56"/>
      <c r="K6525" s="82" t="str">
        <f t="shared" si="1967"/>
        <v>Invoice</v>
      </c>
      <c r="L6525" s="83" t="str">
        <f>"SI_108743"</f>
        <v>SI_108743</v>
      </c>
      <c r="M6525" s="84">
        <v>42794</v>
      </c>
      <c r="N6525" s="85">
        <f t="shared" si="1968"/>
        <v>1018</v>
      </c>
      <c r="O6525" s="86">
        <f t="shared" si="1969"/>
        <v>1136.3599999999999</v>
      </c>
      <c r="P6525" s="86">
        <f t="shared" si="1970"/>
        <v>0</v>
      </c>
      <c r="Q6525" s="86">
        <f t="shared" si="1971"/>
        <v>0</v>
      </c>
      <c r="R6525" s="86">
        <f t="shared" si="1972"/>
        <v>0</v>
      </c>
      <c r="S6525" s="86">
        <f t="shared" si="1973"/>
        <v>0</v>
      </c>
      <c r="T6525" s="86">
        <f t="shared" si="1974"/>
        <v>1136.3599999999999</v>
      </c>
      <c r="U6525" s="87">
        <v>1136.3599999999999</v>
      </c>
    </row>
    <row r="6526" spans="1:22" s="30" customFormat="1" ht="24.6" hidden="1" outlineLevel="1" x14ac:dyDescent="0.55000000000000004">
      <c r="A6526" s="27" t="s">
        <v>327</v>
      </c>
      <c r="B6526" s="28"/>
      <c r="C6526" s="27"/>
      <c r="D6526" s="27" t="str">
        <f>"""NAV Direct"",""CRONUS JetCorp USA"",""21"",""1"",""285235"""</f>
        <v>"NAV Direct","CRONUS JetCorp USA","21","1","285235"</v>
      </c>
      <c r="E6526" s="31" t="str">
        <f t="shared" si="1966"/>
        <v>C100527</v>
      </c>
      <c r="F6526" s="31"/>
      <c r="G6526" s="31"/>
      <c r="H6526" s="31"/>
      <c r="I6526" s="56"/>
      <c r="J6526" s="56"/>
      <c r="K6526" s="82" t="str">
        <f t="shared" si="1967"/>
        <v>Invoice</v>
      </c>
      <c r="L6526" s="83" t="str">
        <f>"SI_108752"</f>
        <v>SI_108752</v>
      </c>
      <c r="M6526" s="84">
        <v>42806</v>
      </c>
      <c r="N6526" s="85">
        <f t="shared" si="1968"/>
        <v>1006</v>
      </c>
      <c r="O6526" s="86">
        <f t="shared" si="1969"/>
        <v>1136.31</v>
      </c>
      <c r="P6526" s="86">
        <f t="shared" si="1970"/>
        <v>0</v>
      </c>
      <c r="Q6526" s="86">
        <f t="shared" si="1971"/>
        <v>0</v>
      </c>
      <c r="R6526" s="86">
        <f t="shared" si="1972"/>
        <v>0</v>
      </c>
      <c r="S6526" s="86">
        <f t="shared" si="1973"/>
        <v>0</v>
      </c>
      <c r="T6526" s="86">
        <f t="shared" si="1974"/>
        <v>1136.31</v>
      </c>
      <c r="U6526" s="87">
        <v>1136.31</v>
      </c>
    </row>
    <row r="6527" spans="1:22" s="30" customFormat="1" ht="24.6" hidden="1" outlineLevel="1" x14ac:dyDescent="0.55000000000000004">
      <c r="A6527" s="27" t="s">
        <v>327</v>
      </c>
      <c r="B6527" s="28"/>
      <c r="C6527" s="27"/>
      <c r="D6527" s="27" t="str">
        <f>"""NAV Direct"",""CRONUS JetCorp USA"",""21"",""1"",""285399"""</f>
        <v>"NAV Direct","CRONUS JetCorp USA","21","1","285399"</v>
      </c>
      <c r="E6527" s="31">
        <f t="shared" si="1966"/>
        <v>0</v>
      </c>
      <c r="F6527" s="31"/>
      <c r="G6527" s="31"/>
      <c r="H6527" s="31"/>
      <c r="I6527" s="56"/>
      <c r="J6527" s="56"/>
      <c r="K6527" s="82" t="str">
        <f t="shared" si="1967"/>
        <v>Invoice</v>
      </c>
      <c r="L6527" s="83" t="str">
        <f>"SI_108758"</f>
        <v>SI_108758</v>
      </c>
      <c r="M6527" s="84">
        <v>42842</v>
      </c>
      <c r="N6527" s="85">
        <f t="shared" si="1968"/>
        <v>970</v>
      </c>
      <c r="O6527" s="86">
        <f t="shared" si="1969"/>
        <v>1249.94</v>
      </c>
      <c r="P6527" s="86">
        <f t="shared" si="1970"/>
        <v>0</v>
      </c>
      <c r="Q6527" s="86">
        <f t="shared" si="1971"/>
        <v>0</v>
      </c>
      <c r="R6527" s="86">
        <f t="shared" si="1972"/>
        <v>0</v>
      </c>
      <c r="S6527" s="86">
        <f t="shared" si="1973"/>
        <v>0</v>
      </c>
      <c r="T6527" s="86">
        <f t="shared" si="1974"/>
        <v>1249.94</v>
      </c>
      <c r="U6527" s="87">
        <v>1249.94</v>
      </c>
    </row>
    <row r="6528" spans="1:22" s="30" customFormat="1" ht="24.6" hidden="1" outlineLevel="1" x14ac:dyDescent="0.55000000000000004">
      <c r="A6528" s="27" t="s">
        <v>327</v>
      </c>
      <c r="B6528" s="28"/>
      <c r="C6528" s="27"/>
      <c r="D6528" s="27" t="str">
        <f>"""NAV Direct"",""CRONUS JetCorp USA"",""21"",""1"",""285451"""</f>
        <v>"NAV Direct","CRONUS JetCorp USA","21","1","285451"</v>
      </c>
      <c r="E6528" s="31" t="str">
        <f t="shared" si="1966"/>
        <v>C100527</v>
      </c>
      <c r="F6528" s="31"/>
      <c r="G6528" s="31"/>
      <c r="H6528" s="31"/>
      <c r="I6528" s="56"/>
      <c r="J6528" s="56"/>
      <c r="K6528" s="82" t="str">
        <f t="shared" si="1967"/>
        <v>Invoice</v>
      </c>
      <c r="L6528" s="83" t="str">
        <f>"SI_108760"</f>
        <v>SI_108760</v>
      </c>
      <c r="M6528" s="84">
        <v>42855</v>
      </c>
      <c r="N6528" s="85">
        <f t="shared" si="1968"/>
        <v>957</v>
      </c>
      <c r="O6528" s="86">
        <f t="shared" si="1969"/>
        <v>1250.01</v>
      </c>
      <c r="P6528" s="86">
        <f t="shared" si="1970"/>
        <v>0</v>
      </c>
      <c r="Q6528" s="86">
        <f t="shared" si="1971"/>
        <v>0</v>
      </c>
      <c r="R6528" s="86">
        <f t="shared" si="1972"/>
        <v>0</v>
      </c>
      <c r="S6528" s="86">
        <f t="shared" si="1973"/>
        <v>0</v>
      </c>
      <c r="T6528" s="86">
        <f t="shared" si="1974"/>
        <v>1250.01</v>
      </c>
      <c r="U6528" s="87">
        <v>1250.01</v>
      </c>
    </row>
    <row r="6529" spans="1:21" s="30" customFormat="1" ht="24.6" hidden="1" outlineLevel="1" x14ac:dyDescent="0.55000000000000004">
      <c r="A6529" s="27" t="s">
        <v>327</v>
      </c>
      <c r="B6529" s="28"/>
      <c r="C6529" s="27"/>
      <c r="D6529" s="27" t="str">
        <f>"""NAV Direct"",""CRONUS JetCorp USA"",""21"",""1"",""285574"""</f>
        <v>"NAV Direct","CRONUS JetCorp USA","21","1","285574"</v>
      </c>
      <c r="E6529" s="31">
        <f t="shared" si="1966"/>
        <v>0</v>
      </c>
      <c r="F6529" s="31"/>
      <c r="G6529" s="31"/>
      <c r="H6529" s="31"/>
      <c r="I6529" s="56"/>
      <c r="J6529" s="56"/>
      <c r="K6529" s="82" t="str">
        <f t="shared" si="1967"/>
        <v>Invoice</v>
      </c>
      <c r="L6529" s="83" t="str">
        <f>"SI_108765"</f>
        <v>SI_108765</v>
      </c>
      <c r="M6529" s="84">
        <v>42881</v>
      </c>
      <c r="N6529" s="85">
        <f t="shared" si="1968"/>
        <v>931</v>
      </c>
      <c r="O6529" s="86">
        <f t="shared" si="1969"/>
        <v>1249.99</v>
      </c>
      <c r="P6529" s="86">
        <f t="shared" si="1970"/>
        <v>0</v>
      </c>
      <c r="Q6529" s="86">
        <f t="shared" si="1971"/>
        <v>0</v>
      </c>
      <c r="R6529" s="86">
        <f t="shared" si="1972"/>
        <v>0</v>
      </c>
      <c r="S6529" s="86">
        <f t="shared" si="1973"/>
        <v>0</v>
      </c>
      <c r="T6529" s="86">
        <f t="shared" si="1974"/>
        <v>1249.99</v>
      </c>
      <c r="U6529" s="87">
        <v>1249.99</v>
      </c>
    </row>
    <row r="6530" spans="1:21" s="30" customFormat="1" ht="24.6" hidden="1" outlineLevel="1" x14ac:dyDescent="0.55000000000000004">
      <c r="A6530" s="27" t="s">
        <v>327</v>
      </c>
      <c r="B6530" s="28"/>
      <c r="C6530" s="27"/>
      <c r="D6530" s="27" t="str">
        <f>"""NAV Direct"",""CRONUS JetCorp USA"",""21"",""1"",""285657"""</f>
        <v>"NAV Direct","CRONUS JetCorp USA","21","1","285657"</v>
      </c>
      <c r="E6530" s="31" t="str">
        <f t="shared" si="1966"/>
        <v>C100527</v>
      </c>
      <c r="F6530" s="31"/>
      <c r="G6530" s="31"/>
      <c r="H6530" s="31"/>
      <c r="I6530" s="56"/>
      <c r="J6530" s="56"/>
      <c r="K6530" s="82" t="str">
        <f t="shared" si="1967"/>
        <v>Invoice</v>
      </c>
      <c r="L6530" s="83" t="str">
        <f>"SI_108768"</f>
        <v>SI_108768</v>
      </c>
      <c r="M6530" s="84">
        <v>42850</v>
      </c>
      <c r="N6530" s="85">
        <f t="shared" si="1968"/>
        <v>962</v>
      </c>
      <c r="O6530" s="86">
        <f t="shared" si="1969"/>
        <v>1249.79</v>
      </c>
      <c r="P6530" s="86">
        <f t="shared" si="1970"/>
        <v>0</v>
      </c>
      <c r="Q6530" s="86">
        <f t="shared" si="1971"/>
        <v>0</v>
      </c>
      <c r="R6530" s="86">
        <f t="shared" si="1972"/>
        <v>0</v>
      </c>
      <c r="S6530" s="86">
        <f t="shared" si="1973"/>
        <v>0</v>
      </c>
      <c r="T6530" s="86">
        <f t="shared" si="1974"/>
        <v>1249.79</v>
      </c>
      <c r="U6530" s="87">
        <v>1249.79</v>
      </c>
    </row>
    <row r="6531" spans="1:21" s="30" customFormat="1" ht="24.6" hidden="1" outlineLevel="1" x14ac:dyDescent="0.55000000000000004">
      <c r="A6531" s="27" t="s">
        <v>327</v>
      </c>
      <c r="B6531" s="28"/>
      <c r="C6531" s="27"/>
      <c r="D6531" s="27" t="str">
        <f>"""NAV Direct"",""CRONUS JetCorp USA"",""21"",""1"",""285980"""</f>
        <v>"NAV Direct","CRONUS JetCorp USA","21","1","285980"</v>
      </c>
      <c r="E6531" s="31">
        <f t="shared" si="1966"/>
        <v>0</v>
      </c>
      <c r="F6531" s="31"/>
      <c r="G6531" s="31"/>
      <c r="H6531" s="31"/>
      <c r="I6531" s="56"/>
      <c r="J6531" s="56"/>
      <c r="K6531" s="82" t="str">
        <f t="shared" si="1967"/>
        <v>Invoice</v>
      </c>
      <c r="L6531" s="83" t="str">
        <f>"SI_108779"</f>
        <v>SI_108779</v>
      </c>
      <c r="M6531" s="84">
        <v>42854</v>
      </c>
      <c r="N6531" s="85">
        <f t="shared" si="1968"/>
        <v>958</v>
      </c>
      <c r="O6531" s="86">
        <f t="shared" si="1969"/>
        <v>1249.8</v>
      </c>
      <c r="P6531" s="86">
        <f t="shared" si="1970"/>
        <v>0</v>
      </c>
      <c r="Q6531" s="86">
        <f t="shared" si="1971"/>
        <v>0</v>
      </c>
      <c r="R6531" s="86">
        <f t="shared" si="1972"/>
        <v>0</v>
      </c>
      <c r="S6531" s="86">
        <f t="shared" si="1973"/>
        <v>0</v>
      </c>
      <c r="T6531" s="86">
        <f t="shared" si="1974"/>
        <v>1249.8</v>
      </c>
      <c r="U6531" s="87">
        <v>1249.8</v>
      </c>
    </row>
    <row r="6532" spans="1:21" s="30" customFormat="1" ht="24.6" hidden="1" outlineLevel="1" x14ac:dyDescent="0.55000000000000004">
      <c r="A6532" s="27" t="s">
        <v>327</v>
      </c>
      <c r="B6532" s="28"/>
      <c r="C6532" s="27"/>
      <c r="D6532" s="27" t="str">
        <f>"""NAV Direct"",""CRONUS JetCorp USA"",""21"",""1"",""286826"""</f>
        <v>"NAV Direct","CRONUS JetCorp USA","21","1","286826"</v>
      </c>
      <c r="E6532" s="31" t="str">
        <f t="shared" si="1966"/>
        <v>C100527</v>
      </c>
      <c r="F6532" s="31"/>
      <c r="G6532" s="31"/>
      <c r="H6532" s="31"/>
      <c r="I6532" s="56"/>
      <c r="J6532" s="56"/>
      <c r="K6532" s="82" t="str">
        <f t="shared" si="1967"/>
        <v>Invoice</v>
      </c>
      <c r="L6532" s="83" t="str">
        <f>"SI_108807"</f>
        <v>SI_108807</v>
      </c>
      <c r="M6532" s="84">
        <v>42955</v>
      </c>
      <c r="N6532" s="85">
        <f t="shared" si="1968"/>
        <v>857</v>
      </c>
      <c r="O6532" s="86">
        <f t="shared" si="1969"/>
        <v>1374.97</v>
      </c>
      <c r="P6532" s="86">
        <f t="shared" si="1970"/>
        <v>0</v>
      </c>
      <c r="Q6532" s="86">
        <f t="shared" si="1971"/>
        <v>0</v>
      </c>
      <c r="R6532" s="86">
        <f t="shared" si="1972"/>
        <v>0</v>
      </c>
      <c r="S6532" s="86">
        <f t="shared" si="1973"/>
        <v>0</v>
      </c>
      <c r="T6532" s="86">
        <f t="shared" si="1974"/>
        <v>1374.97</v>
      </c>
      <c r="U6532" s="87">
        <v>1374.97</v>
      </c>
    </row>
    <row r="6533" spans="1:21" s="30" customFormat="1" ht="24.6" hidden="1" outlineLevel="1" x14ac:dyDescent="0.55000000000000004">
      <c r="A6533" s="27" t="s">
        <v>327</v>
      </c>
      <c r="B6533" s="28"/>
      <c r="C6533" s="27"/>
      <c r="D6533" s="27" t="str">
        <f>"""NAV Direct"",""CRONUS JetCorp USA"",""21"",""1"",""287037"""</f>
        <v>"NAV Direct","CRONUS JetCorp USA","21","1","287037"</v>
      </c>
      <c r="E6533" s="31">
        <f t="shared" si="1966"/>
        <v>0</v>
      </c>
      <c r="F6533" s="31"/>
      <c r="G6533" s="31"/>
      <c r="H6533" s="31"/>
      <c r="I6533" s="56"/>
      <c r="J6533" s="56"/>
      <c r="K6533" s="82" t="str">
        <f t="shared" si="1967"/>
        <v>Invoice</v>
      </c>
      <c r="L6533" s="83" t="str">
        <f>"SI_108814"</f>
        <v>SI_108814</v>
      </c>
      <c r="M6533" s="84">
        <v>42986</v>
      </c>
      <c r="N6533" s="85">
        <f t="shared" si="1968"/>
        <v>826</v>
      </c>
      <c r="O6533" s="86">
        <f t="shared" si="1969"/>
        <v>1374.93</v>
      </c>
      <c r="P6533" s="86">
        <f t="shared" si="1970"/>
        <v>0</v>
      </c>
      <c r="Q6533" s="86">
        <f t="shared" si="1971"/>
        <v>0</v>
      </c>
      <c r="R6533" s="86">
        <f t="shared" si="1972"/>
        <v>0</v>
      </c>
      <c r="S6533" s="86">
        <f t="shared" si="1973"/>
        <v>0</v>
      </c>
      <c r="T6533" s="86">
        <f t="shared" si="1974"/>
        <v>1374.93</v>
      </c>
      <c r="U6533" s="87">
        <v>1374.93</v>
      </c>
    </row>
    <row r="6534" spans="1:21" s="30" customFormat="1" ht="24.6" hidden="1" outlineLevel="1" x14ac:dyDescent="0.55000000000000004">
      <c r="A6534" s="27" t="s">
        <v>327</v>
      </c>
      <c r="B6534" s="28"/>
      <c r="C6534" s="27"/>
      <c r="D6534" s="27" t="str">
        <f>"""NAV Direct"",""CRONUS JetCorp USA"",""21"",""1"",""287589"""</f>
        <v>"NAV Direct","CRONUS JetCorp USA","21","1","287589"</v>
      </c>
      <c r="E6534" s="31" t="str">
        <f t="shared" si="1966"/>
        <v>C100527</v>
      </c>
      <c r="F6534" s="31"/>
      <c r="G6534" s="31"/>
      <c r="H6534" s="31"/>
      <c r="I6534" s="56"/>
      <c r="J6534" s="56"/>
      <c r="K6534" s="82" t="str">
        <f t="shared" si="1967"/>
        <v>Invoice</v>
      </c>
      <c r="L6534" s="83" t="str">
        <f>"SI_108834"</f>
        <v>SI_108834</v>
      </c>
      <c r="M6534" s="84">
        <v>43050</v>
      </c>
      <c r="N6534" s="85">
        <f t="shared" si="1968"/>
        <v>762</v>
      </c>
      <c r="O6534" s="86">
        <f t="shared" si="1969"/>
        <v>1512.44</v>
      </c>
      <c r="P6534" s="86">
        <f t="shared" si="1970"/>
        <v>0</v>
      </c>
      <c r="Q6534" s="86">
        <f t="shared" si="1971"/>
        <v>0</v>
      </c>
      <c r="R6534" s="86">
        <f t="shared" si="1972"/>
        <v>0</v>
      </c>
      <c r="S6534" s="86">
        <f t="shared" si="1973"/>
        <v>0</v>
      </c>
      <c r="T6534" s="86">
        <f t="shared" si="1974"/>
        <v>1512.44</v>
      </c>
      <c r="U6534" s="87">
        <v>1512.44</v>
      </c>
    </row>
    <row r="6535" spans="1:21" s="30" customFormat="1" ht="24.6" hidden="1" outlineLevel="1" x14ac:dyDescent="0.55000000000000004">
      <c r="A6535" s="27" t="s">
        <v>327</v>
      </c>
      <c r="B6535" s="28"/>
      <c r="C6535" s="27"/>
      <c r="D6535" s="27" t="str">
        <f>"""NAV Direct"",""CRONUS JetCorp USA"",""21"",""1"",""289682"""</f>
        <v>"NAV Direct","CRONUS JetCorp USA","21","1","289682"</v>
      </c>
      <c r="E6535" s="31">
        <f t="shared" si="1966"/>
        <v>0</v>
      </c>
      <c r="F6535" s="31"/>
      <c r="G6535" s="31"/>
      <c r="H6535" s="31"/>
      <c r="I6535" s="56"/>
      <c r="J6535" s="56"/>
      <c r="K6535" s="82" t="str">
        <f t="shared" si="1967"/>
        <v>Invoice</v>
      </c>
      <c r="L6535" s="83" t="str">
        <f>"SI_108904"</f>
        <v>SI_108904</v>
      </c>
      <c r="M6535" s="84">
        <v>43237</v>
      </c>
      <c r="N6535" s="85">
        <f t="shared" si="1968"/>
        <v>575</v>
      </c>
      <c r="O6535" s="86">
        <f t="shared" si="1969"/>
        <v>1830.1299999999999</v>
      </c>
      <c r="P6535" s="86">
        <f t="shared" si="1970"/>
        <v>0</v>
      </c>
      <c r="Q6535" s="86">
        <f t="shared" si="1971"/>
        <v>0</v>
      </c>
      <c r="R6535" s="86">
        <f t="shared" si="1972"/>
        <v>0</v>
      </c>
      <c r="S6535" s="86">
        <f t="shared" si="1973"/>
        <v>0</v>
      </c>
      <c r="T6535" s="86">
        <f t="shared" si="1974"/>
        <v>1830.1299999999999</v>
      </c>
      <c r="U6535" s="87">
        <v>1830.1299999999999</v>
      </c>
    </row>
    <row r="6536" spans="1:21" s="30" customFormat="1" ht="24.6" hidden="1" outlineLevel="1" x14ac:dyDescent="0.55000000000000004">
      <c r="A6536" s="27" t="s">
        <v>327</v>
      </c>
      <c r="B6536" s="28"/>
      <c r="C6536" s="27"/>
      <c r="D6536" s="27" t="str">
        <f>"""NAV Direct"",""CRONUS JetCorp USA"",""21"",""1"",""289848"""</f>
        <v>"NAV Direct","CRONUS JetCorp USA","21","1","289848"</v>
      </c>
      <c r="E6536" s="31" t="str">
        <f t="shared" si="1966"/>
        <v>C100527</v>
      </c>
      <c r="F6536" s="31"/>
      <c r="G6536" s="31"/>
      <c r="H6536" s="31"/>
      <c r="I6536" s="56"/>
      <c r="J6536" s="56"/>
      <c r="K6536" s="82" t="str">
        <f t="shared" si="1967"/>
        <v>Invoice</v>
      </c>
      <c r="L6536" s="83" t="str">
        <f>"SI_108909"</f>
        <v>SI_108909</v>
      </c>
      <c r="M6536" s="84">
        <v>43252</v>
      </c>
      <c r="N6536" s="85">
        <f t="shared" si="1968"/>
        <v>560</v>
      </c>
      <c r="O6536" s="86">
        <f t="shared" si="1969"/>
        <v>1830.04</v>
      </c>
      <c r="P6536" s="86">
        <f t="shared" si="1970"/>
        <v>0</v>
      </c>
      <c r="Q6536" s="86">
        <f t="shared" si="1971"/>
        <v>0</v>
      </c>
      <c r="R6536" s="86">
        <f t="shared" si="1972"/>
        <v>0</v>
      </c>
      <c r="S6536" s="86">
        <f t="shared" si="1973"/>
        <v>0</v>
      </c>
      <c r="T6536" s="86">
        <f t="shared" si="1974"/>
        <v>1830.04</v>
      </c>
      <c r="U6536" s="87">
        <v>1830.04</v>
      </c>
    </row>
    <row r="6537" spans="1:21" s="30" customFormat="1" ht="24.6" hidden="1" outlineLevel="1" x14ac:dyDescent="0.55000000000000004">
      <c r="A6537" s="27" t="s">
        <v>327</v>
      </c>
      <c r="B6537" s="28"/>
      <c r="C6537" s="27"/>
      <c r="D6537" s="27" t="str">
        <f>"""NAV Direct"",""CRONUS JetCorp USA"",""21"",""1"",""290416"""</f>
        <v>"NAV Direct","CRONUS JetCorp USA","21","1","290416"</v>
      </c>
      <c r="E6537" s="31">
        <f t="shared" si="1966"/>
        <v>0</v>
      </c>
      <c r="F6537" s="31"/>
      <c r="G6537" s="31"/>
      <c r="H6537" s="31"/>
      <c r="I6537" s="56"/>
      <c r="J6537" s="56"/>
      <c r="K6537" s="82" t="str">
        <f t="shared" si="1967"/>
        <v>Invoice</v>
      </c>
      <c r="L6537" s="83" t="str">
        <f>"SI_108929"</f>
        <v>SI_108929</v>
      </c>
      <c r="M6537" s="84">
        <v>43261</v>
      </c>
      <c r="N6537" s="85">
        <f t="shared" si="1968"/>
        <v>551</v>
      </c>
      <c r="O6537" s="86">
        <f t="shared" si="1969"/>
        <v>1829.9299999999998</v>
      </c>
      <c r="P6537" s="86">
        <f t="shared" si="1970"/>
        <v>0</v>
      </c>
      <c r="Q6537" s="86">
        <f t="shared" si="1971"/>
        <v>0</v>
      </c>
      <c r="R6537" s="86">
        <f t="shared" si="1972"/>
        <v>0</v>
      </c>
      <c r="S6537" s="86">
        <f t="shared" si="1973"/>
        <v>0</v>
      </c>
      <c r="T6537" s="86">
        <f t="shared" si="1974"/>
        <v>1829.9299999999998</v>
      </c>
      <c r="U6537" s="87">
        <v>1829.9299999999998</v>
      </c>
    </row>
    <row r="6538" spans="1:21" s="30" customFormat="1" ht="24.6" hidden="1" outlineLevel="1" x14ac:dyDescent="0.55000000000000004">
      <c r="A6538" s="27" t="s">
        <v>327</v>
      </c>
      <c r="B6538" s="28"/>
      <c r="C6538" s="27"/>
      <c r="D6538" s="27" t="str">
        <f>"""NAV Direct"",""CRONUS JetCorp USA"",""21"",""1"",""291024"""</f>
        <v>"NAV Direct","CRONUS JetCorp USA","21","1","291024"</v>
      </c>
      <c r="E6538" s="31" t="str">
        <f t="shared" si="1966"/>
        <v>C100527</v>
      </c>
      <c r="F6538" s="31"/>
      <c r="G6538" s="31"/>
      <c r="H6538" s="31"/>
      <c r="I6538" s="56"/>
      <c r="J6538" s="56"/>
      <c r="K6538" s="82" t="str">
        <f t="shared" si="1967"/>
        <v>Invoice</v>
      </c>
      <c r="L6538" s="83" t="str">
        <f>"SI_108949"</f>
        <v>SI_108949</v>
      </c>
      <c r="M6538" s="84">
        <v>43350</v>
      </c>
      <c r="N6538" s="85">
        <f t="shared" si="1968"/>
        <v>462</v>
      </c>
      <c r="O6538" s="86">
        <f t="shared" si="1969"/>
        <v>2012.9399999999998</v>
      </c>
      <c r="P6538" s="86">
        <f t="shared" si="1970"/>
        <v>0</v>
      </c>
      <c r="Q6538" s="86">
        <f t="shared" si="1971"/>
        <v>0</v>
      </c>
      <c r="R6538" s="86">
        <f t="shared" si="1972"/>
        <v>0</v>
      </c>
      <c r="S6538" s="86">
        <f t="shared" si="1973"/>
        <v>0</v>
      </c>
      <c r="T6538" s="86">
        <f t="shared" si="1974"/>
        <v>2012.9399999999998</v>
      </c>
      <c r="U6538" s="87">
        <v>2012.9399999999998</v>
      </c>
    </row>
    <row r="6539" spans="1:21" s="30" customFormat="1" ht="24.6" hidden="1" outlineLevel="1" x14ac:dyDescent="0.55000000000000004">
      <c r="A6539" s="27" t="s">
        <v>327</v>
      </c>
      <c r="B6539" s="28"/>
      <c r="C6539" s="27"/>
      <c r="D6539" s="27" t="str">
        <f>"""NAV Direct"",""CRONUS JetCorp USA"",""21"",""1"",""291424"""</f>
        <v>"NAV Direct","CRONUS JetCorp USA","21","1","291424"</v>
      </c>
      <c r="E6539" s="31">
        <f t="shared" si="1966"/>
        <v>0</v>
      </c>
      <c r="F6539" s="31"/>
      <c r="G6539" s="31"/>
      <c r="H6539" s="31"/>
      <c r="I6539" s="56"/>
      <c r="J6539" s="56"/>
      <c r="K6539" s="82" t="str">
        <f t="shared" si="1967"/>
        <v>Invoice</v>
      </c>
      <c r="L6539" s="83" t="str">
        <f>"SI_108962"</f>
        <v>SI_108962</v>
      </c>
      <c r="M6539" s="84">
        <v>43323</v>
      </c>
      <c r="N6539" s="85">
        <f t="shared" si="1968"/>
        <v>489</v>
      </c>
      <c r="O6539" s="86">
        <f t="shared" si="1969"/>
        <v>2013.04</v>
      </c>
      <c r="P6539" s="86">
        <f t="shared" si="1970"/>
        <v>0</v>
      </c>
      <c r="Q6539" s="86">
        <f t="shared" si="1971"/>
        <v>0</v>
      </c>
      <c r="R6539" s="86">
        <f t="shared" si="1972"/>
        <v>0</v>
      </c>
      <c r="S6539" s="86">
        <f t="shared" si="1973"/>
        <v>0</v>
      </c>
      <c r="T6539" s="86">
        <f t="shared" si="1974"/>
        <v>2013.04</v>
      </c>
      <c r="U6539" s="87">
        <v>2013.04</v>
      </c>
    </row>
    <row r="6540" spans="1:21" s="30" customFormat="1" ht="24.6" hidden="1" outlineLevel="1" x14ac:dyDescent="0.55000000000000004">
      <c r="A6540" s="27" t="s">
        <v>327</v>
      </c>
      <c r="B6540" s="28"/>
      <c r="C6540" s="27"/>
      <c r="D6540" s="27" t="str">
        <f>"""NAV Direct"",""CRONUS JetCorp USA"",""21"",""1"",""291525"""</f>
        <v>"NAV Direct","CRONUS JetCorp USA","21","1","291525"</v>
      </c>
      <c r="E6540" s="31" t="str">
        <f t="shared" si="1966"/>
        <v>C100527</v>
      </c>
      <c r="F6540" s="31"/>
      <c r="G6540" s="31"/>
      <c r="H6540" s="31"/>
      <c r="I6540" s="56"/>
      <c r="J6540" s="56"/>
      <c r="K6540" s="82" t="str">
        <f t="shared" si="1967"/>
        <v>Invoice</v>
      </c>
      <c r="L6540" s="83" t="str">
        <f>"SI_108965"</f>
        <v>SI_108965</v>
      </c>
      <c r="M6540" s="84">
        <v>43361</v>
      </c>
      <c r="N6540" s="85">
        <f t="shared" si="1968"/>
        <v>451</v>
      </c>
      <c r="O6540" s="86">
        <f t="shared" si="1969"/>
        <v>2012.98</v>
      </c>
      <c r="P6540" s="86">
        <f t="shared" si="1970"/>
        <v>0</v>
      </c>
      <c r="Q6540" s="86">
        <f t="shared" si="1971"/>
        <v>0</v>
      </c>
      <c r="R6540" s="86">
        <f t="shared" si="1972"/>
        <v>0</v>
      </c>
      <c r="S6540" s="86">
        <f t="shared" si="1973"/>
        <v>0</v>
      </c>
      <c r="T6540" s="86">
        <f t="shared" si="1974"/>
        <v>2012.98</v>
      </c>
      <c r="U6540" s="87">
        <v>2012.98</v>
      </c>
    </row>
    <row r="6541" spans="1:21" s="30" customFormat="1" ht="24.6" hidden="1" outlineLevel="1" x14ac:dyDescent="0.55000000000000004">
      <c r="A6541" s="27" t="s">
        <v>327</v>
      </c>
      <c r="B6541" s="28"/>
      <c r="C6541" s="27"/>
      <c r="D6541" s="27" t="str">
        <f>"""NAV Direct"",""CRONUS JetCorp USA"",""21"",""1"",""292612"""</f>
        <v>"NAV Direct","CRONUS JetCorp USA","21","1","292612"</v>
      </c>
      <c r="E6541" s="31">
        <f t="shared" si="1966"/>
        <v>0</v>
      </c>
      <c r="F6541" s="31"/>
      <c r="G6541" s="31"/>
      <c r="H6541" s="31"/>
      <c r="I6541" s="56"/>
      <c r="J6541" s="56"/>
      <c r="K6541" s="82" t="str">
        <f t="shared" si="1967"/>
        <v>Invoice</v>
      </c>
      <c r="L6541" s="83" t="str">
        <f>"SI_109002"</f>
        <v>SI_109002</v>
      </c>
      <c r="M6541" s="84">
        <v>43439</v>
      </c>
      <c r="N6541" s="85">
        <f t="shared" si="1968"/>
        <v>373</v>
      </c>
      <c r="O6541" s="86">
        <f t="shared" si="1969"/>
        <v>2214.4299999999998</v>
      </c>
      <c r="P6541" s="86">
        <f t="shared" si="1970"/>
        <v>0</v>
      </c>
      <c r="Q6541" s="86">
        <f t="shared" si="1971"/>
        <v>0</v>
      </c>
      <c r="R6541" s="86">
        <f t="shared" si="1972"/>
        <v>0</v>
      </c>
      <c r="S6541" s="86">
        <f t="shared" si="1973"/>
        <v>0</v>
      </c>
      <c r="T6541" s="86">
        <f t="shared" si="1974"/>
        <v>2214.4299999999998</v>
      </c>
      <c r="U6541" s="87">
        <v>2214.4299999999998</v>
      </c>
    </row>
    <row r="6542" spans="1:21" s="30" customFormat="1" ht="24.6" hidden="1" outlineLevel="1" x14ac:dyDescent="0.55000000000000004">
      <c r="A6542" s="27" t="s">
        <v>327</v>
      </c>
      <c r="B6542" s="28"/>
      <c r="C6542" s="27"/>
      <c r="D6542" s="27" t="str">
        <f>"""NAV Direct"",""CRONUS JetCorp USA"",""21"",""1"",""292695"""</f>
        <v>"NAV Direct","CRONUS JetCorp USA","21","1","292695"</v>
      </c>
      <c r="E6542" s="31" t="str">
        <f t="shared" si="1966"/>
        <v>C100527</v>
      </c>
      <c r="F6542" s="31"/>
      <c r="G6542" s="31"/>
      <c r="H6542" s="31"/>
      <c r="I6542" s="56"/>
      <c r="J6542" s="56"/>
      <c r="K6542" s="82" t="str">
        <f t="shared" si="1967"/>
        <v>Invoice</v>
      </c>
      <c r="L6542" s="83" t="str">
        <f>"SI_109005"</f>
        <v>SI_109005</v>
      </c>
      <c r="M6542" s="84">
        <v>43439</v>
      </c>
      <c r="N6542" s="85">
        <f t="shared" si="1968"/>
        <v>373</v>
      </c>
      <c r="O6542" s="86">
        <f t="shared" si="1969"/>
        <v>2214.42</v>
      </c>
      <c r="P6542" s="86">
        <f t="shared" si="1970"/>
        <v>0</v>
      </c>
      <c r="Q6542" s="86">
        <f t="shared" si="1971"/>
        <v>0</v>
      </c>
      <c r="R6542" s="86">
        <f t="shared" si="1972"/>
        <v>0</v>
      </c>
      <c r="S6542" s="86">
        <f t="shared" si="1973"/>
        <v>0</v>
      </c>
      <c r="T6542" s="86">
        <f t="shared" si="1974"/>
        <v>2214.42</v>
      </c>
      <c r="U6542" s="87">
        <v>2214.42</v>
      </c>
    </row>
    <row r="6543" spans="1:21" s="30" customFormat="1" ht="24.6" hidden="1" outlineLevel="1" x14ac:dyDescent="0.55000000000000004">
      <c r="A6543" s="27" t="s">
        <v>327</v>
      </c>
      <c r="B6543" s="28"/>
      <c r="C6543" s="27"/>
      <c r="D6543" s="27" t="str">
        <f>"""NAV Direct"",""CRONUS JetCorp USA"",""21"",""1"",""293309"""</f>
        <v>"NAV Direct","CRONUS JetCorp USA","21","1","293309"</v>
      </c>
      <c r="E6543" s="31">
        <f t="shared" si="1966"/>
        <v>0</v>
      </c>
      <c r="F6543" s="31"/>
      <c r="G6543" s="31"/>
      <c r="H6543" s="31"/>
      <c r="I6543" s="56"/>
      <c r="J6543" s="56"/>
      <c r="K6543" s="82" t="str">
        <f t="shared" si="1967"/>
        <v>Invoice</v>
      </c>
      <c r="L6543" s="83" t="str">
        <f>"SI_109027"</f>
        <v>SI_109027</v>
      </c>
      <c r="M6543" s="84">
        <v>43499</v>
      </c>
      <c r="N6543" s="85">
        <f t="shared" si="1968"/>
        <v>313</v>
      </c>
      <c r="O6543" s="86">
        <f t="shared" si="1969"/>
        <v>2435.85</v>
      </c>
      <c r="P6543" s="86">
        <f t="shared" si="1970"/>
        <v>0</v>
      </c>
      <c r="Q6543" s="86">
        <f t="shared" si="1971"/>
        <v>0</v>
      </c>
      <c r="R6543" s="86">
        <f t="shared" si="1972"/>
        <v>0</v>
      </c>
      <c r="S6543" s="86">
        <f t="shared" si="1973"/>
        <v>0</v>
      </c>
      <c r="T6543" s="86">
        <f t="shared" si="1974"/>
        <v>2435.85</v>
      </c>
      <c r="U6543" s="87">
        <v>2435.85</v>
      </c>
    </row>
    <row r="6544" spans="1:21" s="30" customFormat="1" ht="24.6" hidden="1" outlineLevel="1" x14ac:dyDescent="0.55000000000000004">
      <c r="A6544" s="27" t="s">
        <v>327</v>
      </c>
      <c r="B6544" s="28"/>
      <c r="C6544" s="27"/>
      <c r="D6544" s="27" t="str">
        <f>"""NAV Direct"",""CRONUS JetCorp USA"",""21"",""1"",""293369"""</f>
        <v>"NAV Direct","CRONUS JetCorp USA","21","1","293369"</v>
      </c>
      <c r="E6544" s="31" t="str">
        <f t="shared" si="1966"/>
        <v>C100527</v>
      </c>
      <c r="F6544" s="31"/>
      <c r="G6544" s="31"/>
      <c r="H6544" s="31"/>
      <c r="I6544" s="56"/>
      <c r="J6544" s="56"/>
      <c r="K6544" s="82" t="str">
        <f t="shared" si="1967"/>
        <v>Invoice</v>
      </c>
      <c r="L6544" s="83" t="str">
        <f>"SI_109029"</f>
        <v>SI_109029</v>
      </c>
      <c r="M6544" s="84">
        <v>43519</v>
      </c>
      <c r="N6544" s="85">
        <f t="shared" si="1968"/>
        <v>293</v>
      </c>
      <c r="O6544" s="86">
        <f t="shared" si="1969"/>
        <v>2435.84</v>
      </c>
      <c r="P6544" s="86">
        <f t="shared" si="1970"/>
        <v>0</v>
      </c>
      <c r="Q6544" s="86">
        <f t="shared" si="1971"/>
        <v>0</v>
      </c>
      <c r="R6544" s="86">
        <f t="shared" si="1972"/>
        <v>0</v>
      </c>
      <c r="S6544" s="86">
        <f t="shared" si="1973"/>
        <v>0</v>
      </c>
      <c r="T6544" s="86">
        <f t="shared" si="1974"/>
        <v>2435.84</v>
      </c>
      <c r="U6544" s="87">
        <v>2435.84</v>
      </c>
    </row>
    <row r="6545" spans="1:21" s="30" customFormat="1" ht="24.6" hidden="1" outlineLevel="1" x14ac:dyDescent="0.55000000000000004">
      <c r="A6545" s="27" t="s">
        <v>327</v>
      </c>
      <c r="B6545" s="28"/>
      <c r="C6545" s="27"/>
      <c r="D6545" s="27" t="str">
        <f>"""NAV Direct"",""CRONUS JetCorp USA"",""21"",""1"",""293419"""</f>
        <v>"NAV Direct","CRONUS JetCorp USA","21","1","293419"</v>
      </c>
      <c r="E6545" s="31">
        <f t="shared" si="1966"/>
        <v>0</v>
      </c>
      <c r="F6545" s="31"/>
      <c r="G6545" s="31"/>
      <c r="H6545" s="31"/>
      <c r="I6545" s="56"/>
      <c r="J6545" s="56"/>
      <c r="K6545" s="82" t="str">
        <f t="shared" si="1967"/>
        <v>Invoice</v>
      </c>
      <c r="L6545" s="83" t="str">
        <f>"SI_109031"</f>
        <v>SI_109031</v>
      </c>
      <c r="M6545" s="84">
        <v>43501</v>
      </c>
      <c r="N6545" s="85">
        <f t="shared" si="1968"/>
        <v>311</v>
      </c>
      <c r="O6545" s="86">
        <f t="shared" si="1969"/>
        <v>2435.85</v>
      </c>
      <c r="P6545" s="86">
        <f t="shared" si="1970"/>
        <v>0</v>
      </c>
      <c r="Q6545" s="86">
        <f t="shared" si="1971"/>
        <v>0</v>
      </c>
      <c r="R6545" s="86">
        <f t="shared" si="1972"/>
        <v>0</v>
      </c>
      <c r="S6545" s="86">
        <f t="shared" si="1973"/>
        <v>0</v>
      </c>
      <c r="T6545" s="86">
        <f t="shared" si="1974"/>
        <v>2435.85</v>
      </c>
      <c r="U6545" s="87">
        <v>2435.85</v>
      </c>
    </row>
    <row r="6546" spans="1:21" s="30" customFormat="1" ht="24.6" hidden="1" outlineLevel="1" x14ac:dyDescent="0.55000000000000004">
      <c r="A6546" s="27" t="s">
        <v>327</v>
      </c>
      <c r="B6546" s="28"/>
      <c r="C6546" s="27"/>
      <c r="D6546" s="27" t="str">
        <f>"""NAV Direct"",""CRONUS JetCorp USA"",""21"",""1"",""293570"""</f>
        <v>"NAV Direct","CRONUS JetCorp USA","21","1","293570"</v>
      </c>
      <c r="E6546" s="31" t="str">
        <f t="shared" si="1966"/>
        <v>C100527</v>
      </c>
      <c r="F6546" s="31"/>
      <c r="G6546" s="31"/>
      <c r="H6546" s="31"/>
      <c r="I6546" s="56"/>
      <c r="J6546" s="56"/>
      <c r="K6546" s="82" t="str">
        <f t="shared" si="1967"/>
        <v>Invoice</v>
      </c>
      <c r="L6546" s="83" t="str">
        <f>"SI_109036"</f>
        <v>SI_109036</v>
      </c>
      <c r="M6546" s="84">
        <v>43524</v>
      </c>
      <c r="N6546" s="85">
        <f t="shared" si="1968"/>
        <v>288</v>
      </c>
      <c r="O6546" s="86">
        <f t="shared" si="1969"/>
        <v>2435.69</v>
      </c>
      <c r="P6546" s="86">
        <f t="shared" si="1970"/>
        <v>0</v>
      </c>
      <c r="Q6546" s="86">
        <f t="shared" si="1971"/>
        <v>0</v>
      </c>
      <c r="R6546" s="86">
        <f t="shared" si="1972"/>
        <v>0</v>
      </c>
      <c r="S6546" s="86">
        <f t="shared" si="1973"/>
        <v>0</v>
      </c>
      <c r="T6546" s="86">
        <f t="shared" si="1974"/>
        <v>2435.69</v>
      </c>
      <c r="U6546" s="87">
        <v>2435.69</v>
      </c>
    </row>
    <row r="6547" spans="1:21" s="30" customFormat="1" ht="24.6" hidden="1" outlineLevel="1" x14ac:dyDescent="0.55000000000000004">
      <c r="A6547" s="27" t="s">
        <v>327</v>
      </c>
      <c r="B6547" s="28"/>
      <c r="C6547" s="27"/>
      <c r="D6547" s="27" t="str">
        <f>"""NAV Direct"",""CRONUS JetCorp USA"",""21"",""1"",""294297"""</f>
        <v>"NAV Direct","CRONUS JetCorp USA","21","1","294297"</v>
      </c>
      <c r="E6547" s="31">
        <f t="shared" si="1966"/>
        <v>0</v>
      </c>
      <c r="F6547" s="31"/>
      <c r="G6547" s="31"/>
      <c r="H6547" s="31"/>
      <c r="I6547" s="56"/>
      <c r="J6547" s="56"/>
      <c r="K6547" s="82" t="str">
        <f t="shared" si="1967"/>
        <v>Invoice</v>
      </c>
      <c r="L6547" s="83" t="str">
        <f>"SI_109058"</f>
        <v>SI_109058</v>
      </c>
      <c r="M6547" s="84">
        <v>43521</v>
      </c>
      <c r="N6547" s="85">
        <f t="shared" si="1968"/>
        <v>291</v>
      </c>
      <c r="O6547" s="86">
        <f t="shared" si="1969"/>
        <v>2435.84</v>
      </c>
      <c r="P6547" s="86">
        <f t="shared" si="1970"/>
        <v>0</v>
      </c>
      <c r="Q6547" s="86">
        <f t="shared" si="1971"/>
        <v>0</v>
      </c>
      <c r="R6547" s="86">
        <f t="shared" si="1972"/>
        <v>0</v>
      </c>
      <c r="S6547" s="86">
        <f t="shared" si="1973"/>
        <v>0</v>
      </c>
      <c r="T6547" s="86">
        <f t="shared" si="1974"/>
        <v>2435.84</v>
      </c>
      <c r="U6547" s="87">
        <v>2435.84</v>
      </c>
    </row>
    <row r="6548" spans="1:21" s="30" customFormat="1" ht="24.6" hidden="1" outlineLevel="1" x14ac:dyDescent="0.55000000000000004">
      <c r="A6548" s="27" t="s">
        <v>327</v>
      </c>
      <c r="B6548" s="28"/>
      <c r="C6548" s="27"/>
      <c r="D6548" s="27" t="str">
        <f>"""NAV Direct"",""CRONUS JetCorp USA"",""21"",""1"",""295627"""</f>
        <v>"NAV Direct","CRONUS JetCorp USA","21","1","295627"</v>
      </c>
      <c r="E6548" s="31" t="str">
        <f t="shared" si="1966"/>
        <v>C100527</v>
      </c>
      <c r="F6548" s="31"/>
      <c r="G6548" s="31"/>
      <c r="H6548" s="31"/>
      <c r="I6548" s="56"/>
      <c r="J6548" s="56"/>
      <c r="K6548" s="82" t="str">
        <f t="shared" si="1967"/>
        <v>Invoice</v>
      </c>
      <c r="L6548" s="83" t="str">
        <f>"SI_109099"</f>
        <v>SI_109099</v>
      </c>
      <c r="M6548" s="84">
        <v>43627</v>
      </c>
      <c r="N6548" s="85">
        <f t="shared" si="1968"/>
        <v>185</v>
      </c>
      <c r="O6548" s="86">
        <f t="shared" si="1969"/>
        <v>2679.42</v>
      </c>
      <c r="P6548" s="86">
        <f t="shared" si="1970"/>
        <v>0</v>
      </c>
      <c r="Q6548" s="86">
        <f t="shared" si="1971"/>
        <v>0</v>
      </c>
      <c r="R6548" s="86">
        <f t="shared" si="1972"/>
        <v>0</v>
      </c>
      <c r="S6548" s="86">
        <f t="shared" si="1973"/>
        <v>0</v>
      </c>
      <c r="T6548" s="86">
        <f t="shared" si="1974"/>
        <v>2679.42</v>
      </c>
      <c r="U6548" s="87">
        <v>2679.42</v>
      </c>
    </row>
    <row r="6549" spans="1:21" s="30" customFormat="1" ht="24.6" hidden="1" outlineLevel="1" x14ac:dyDescent="0.55000000000000004">
      <c r="A6549" s="27" t="s">
        <v>327</v>
      </c>
      <c r="B6549" s="28"/>
      <c r="C6549" s="27"/>
      <c r="D6549" s="27" t="str">
        <f>"""NAV Direct"",""CRONUS JetCorp USA"",""21"",""1"",""296377"""</f>
        <v>"NAV Direct","CRONUS JetCorp USA","21","1","296377"</v>
      </c>
      <c r="E6549" s="31">
        <f t="shared" si="1966"/>
        <v>0</v>
      </c>
      <c r="F6549" s="31"/>
      <c r="G6549" s="31"/>
      <c r="H6549" s="31"/>
      <c r="I6549" s="56"/>
      <c r="J6549" s="56"/>
      <c r="K6549" s="82" t="str">
        <f t="shared" si="1967"/>
        <v>Invoice</v>
      </c>
      <c r="L6549" s="83" t="str">
        <f>"SI_109122"</f>
        <v>SI_109122</v>
      </c>
      <c r="M6549" s="84">
        <v>43690</v>
      </c>
      <c r="N6549" s="85">
        <f t="shared" si="1968"/>
        <v>122</v>
      </c>
      <c r="O6549" s="86">
        <f t="shared" si="1969"/>
        <v>2947.36</v>
      </c>
      <c r="P6549" s="86">
        <f t="shared" si="1970"/>
        <v>0</v>
      </c>
      <c r="Q6549" s="86">
        <f t="shared" si="1971"/>
        <v>0</v>
      </c>
      <c r="R6549" s="86">
        <f t="shared" si="1972"/>
        <v>0</v>
      </c>
      <c r="S6549" s="86">
        <f t="shared" si="1973"/>
        <v>0</v>
      </c>
      <c r="T6549" s="86">
        <f t="shared" si="1974"/>
        <v>2947.36</v>
      </c>
      <c r="U6549" s="87">
        <v>2947.36</v>
      </c>
    </row>
    <row r="6550" spans="1:21" s="30" customFormat="1" ht="24.6" hidden="1" outlineLevel="1" x14ac:dyDescent="0.55000000000000004">
      <c r="A6550" s="27" t="s">
        <v>327</v>
      </c>
      <c r="B6550" s="28"/>
      <c r="C6550" s="27"/>
      <c r="D6550" s="27" t="str">
        <f>"""NAV Direct"",""CRONUS JetCorp USA"",""21"",""1"",""297914"""</f>
        <v>"NAV Direct","CRONUS JetCorp USA","21","1","297914"</v>
      </c>
      <c r="E6550" s="31" t="str">
        <f t="shared" si="1966"/>
        <v>C100527</v>
      </c>
      <c r="F6550" s="31"/>
      <c r="G6550" s="31"/>
      <c r="H6550" s="31"/>
      <c r="I6550" s="56"/>
      <c r="J6550" s="56"/>
      <c r="K6550" s="82" t="str">
        <f t="shared" si="1967"/>
        <v>Invoice</v>
      </c>
      <c r="L6550" s="83" t="str">
        <f>"SI_109169"</f>
        <v>SI_109169</v>
      </c>
      <c r="M6550" s="84">
        <v>43728</v>
      </c>
      <c r="N6550" s="85">
        <f t="shared" si="1968"/>
        <v>84</v>
      </c>
      <c r="O6550" s="86">
        <f t="shared" si="1969"/>
        <v>2947.3999999999996</v>
      </c>
      <c r="P6550" s="86">
        <f t="shared" si="1970"/>
        <v>0</v>
      </c>
      <c r="Q6550" s="86">
        <f t="shared" si="1971"/>
        <v>0</v>
      </c>
      <c r="R6550" s="86">
        <f t="shared" si="1972"/>
        <v>0</v>
      </c>
      <c r="S6550" s="86">
        <f t="shared" si="1973"/>
        <v>2947.3999999999996</v>
      </c>
      <c r="T6550" s="86">
        <f t="shared" si="1974"/>
        <v>0</v>
      </c>
      <c r="U6550" s="87">
        <v>2947.3999999999996</v>
      </c>
    </row>
    <row r="6551" spans="1:21" s="30" customFormat="1" ht="24.6" hidden="1" outlineLevel="1" x14ac:dyDescent="0.55000000000000004">
      <c r="A6551" s="27" t="s">
        <v>327</v>
      </c>
      <c r="B6551" s="28"/>
      <c r="C6551" s="27"/>
      <c r="D6551" s="27" t="str">
        <f>"""NAV Direct"",""CRONUS JetCorp USA"",""21"",""1"",""298220"""</f>
        <v>"NAV Direct","CRONUS JetCorp USA","21","1","298220"</v>
      </c>
      <c r="E6551" s="31">
        <f t="shared" si="1966"/>
        <v>0</v>
      </c>
      <c r="F6551" s="31"/>
      <c r="G6551" s="31"/>
      <c r="H6551" s="31"/>
      <c r="I6551" s="56"/>
      <c r="J6551" s="56"/>
      <c r="K6551" s="82" t="str">
        <f t="shared" si="1967"/>
        <v>Invoice</v>
      </c>
      <c r="L6551" s="83" t="str">
        <f>"SI_109179"</f>
        <v>SI_109179</v>
      </c>
      <c r="M6551" s="84">
        <v>43778</v>
      </c>
      <c r="N6551" s="85">
        <f t="shared" si="1968"/>
        <v>34</v>
      </c>
      <c r="O6551" s="86">
        <f t="shared" si="1969"/>
        <v>3242.0499999999997</v>
      </c>
      <c r="P6551" s="86">
        <f t="shared" si="1970"/>
        <v>0</v>
      </c>
      <c r="Q6551" s="86">
        <f t="shared" si="1971"/>
        <v>0</v>
      </c>
      <c r="R6551" s="86">
        <f t="shared" si="1972"/>
        <v>3242.0499999999997</v>
      </c>
      <c r="S6551" s="86">
        <f t="shared" si="1973"/>
        <v>0</v>
      </c>
      <c r="T6551" s="86">
        <f t="shared" si="1974"/>
        <v>0</v>
      </c>
      <c r="U6551" s="87">
        <v>3242.0499999999997</v>
      </c>
    </row>
    <row r="6552" spans="1:21" s="30" customFormat="1" ht="24.6" hidden="1" outlineLevel="1" x14ac:dyDescent="0.55000000000000004">
      <c r="A6552" s="27" t="s">
        <v>327</v>
      </c>
      <c r="B6552" s="28"/>
      <c r="C6552" s="27"/>
      <c r="D6552" s="27" t="str">
        <f>"""NAV Direct"",""CRONUS JetCorp USA"",""21"",""1"",""298712"""</f>
        <v>"NAV Direct","CRONUS JetCorp USA","21","1","298712"</v>
      </c>
      <c r="E6552" s="31" t="str">
        <f t="shared" si="1966"/>
        <v>C100527</v>
      </c>
      <c r="F6552" s="31"/>
      <c r="G6552" s="31"/>
      <c r="H6552" s="31"/>
      <c r="I6552" s="56"/>
      <c r="J6552" s="56"/>
      <c r="K6552" s="82" t="str">
        <f t="shared" si="1967"/>
        <v>Invoice</v>
      </c>
      <c r="L6552" s="83" t="str">
        <f>"SI_109195"</f>
        <v>SI_109195</v>
      </c>
      <c r="M6552" s="84">
        <v>43796</v>
      </c>
      <c r="N6552" s="85">
        <f t="shared" si="1968"/>
        <v>16</v>
      </c>
      <c r="O6552" s="86">
        <f t="shared" si="1969"/>
        <v>3242.15</v>
      </c>
      <c r="P6552" s="86">
        <f t="shared" si="1970"/>
        <v>0</v>
      </c>
      <c r="Q6552" s="86">
        <f t="shared" si="1971"/>
        <v>3242.15</v>
      </c>
      <c r="R6552" s="86">
        <f t="shared" si="1972"/>
        <v>0</v>
      </c>
      <c r="S6552" s="86">
        <f t="shared" si="1973"/>
        <v>0</v>
      </c>
      <c r="T6552" s="86">
        <f t="shared" si="1974"/>
        <v>0</v>
      </c>
      <c r="U6552" s="87">
        <v>3242.15</v>
      </c>
    </row>
    <row r="6553" spans="1:21" s="30" customFormat="1" ht="24.6" hidden="1" outlineLevel="1" x14ac:dyDescent="0.55000000000000004">
      <c r="A6553" s="27" t="s">
        <v>327</v>
      </c>
      <c r="B6553" s="28"/>
      <c r="C6553" s="27"/>
      <c r="D6553" s="27" t="str">
        <f>"""NAV Direct"",""CRONUS JetCorp USA"",""21"",""1"",""299300"""</f>
        <v>"NAV Direct","CRONUS JetCorp USA","21","1","299300"</v>
      </c>
      <c r="E6553" s="31">
        <f t="shared" si="1966"/>
        <v>0</v>
      </c>
      <c r="F6553" s="31"/>
      <c r="G6553" s="31"/>
      <c r="H6553" s="31"/>
      <c r="I6553" s="56"/>
      <c r="J6553" s="56"/>
      <c r="K6553" s="82" t="str">
        <f t="shared" si="1967"/>
        <v>Invoice</v>
      </c>
      <c r="L6553" s="83" t="str">
        <f>"SI_109212"</f>
        <v>SI_109212</v>
      </c>
      <c r="M6553" s="84">
        <v>43813</v>
      </c>
      <c r="N6553" s="85">
        <f t="shared" si="1968"/>
        <v>-1</v>
      </c>
      <c r="O6553" s="86">
        <f t="shared" si="1969"/>
        <v>3242.08</v>
      </c>
      <c r="P6553" s="86">
        <f t="shared" si="1970"/>
        <v>3242.08</v>
      </c>
      <c r="Q6553" s="86">
        <f t="shared" si="1971"/>
        <v>0</v>
      </c>
      <c r="R6553" s="86">
        <f t="shared" si="1972"/>
        <v>0</v>
      </c>
      <c r="S6553" s="86">
        <f t="shared" si="1973"/>
        <v>0</v>
      </c>
      <c r="T6553" s="86">
        <f t="shared" si="1974"/>
        <v>0</v>
      </c>
      <c r="U6553" s="87">
        <v>3242.08</v>
      </c>
    </row>
    <row r="6554" spans="1:21" s="30" customFormat="1" ht="24.6" hidden="1" outlineLevel="1" x14ac:dyDescent="0.55000000000000004">
      <c r="A6554" s="27" t="s">
        <v>327</v>
      </c>
      <c r="B6554" s="28"/>
      <c r="C6554" s="27"/>
      <c r="D6554" s="27" t="str">
        <f>"""NAV Direct"",""CRONUS JetCorp USA"",""21"",""1"",""299420"""</f>
        <v>"NAV Direct","CRONUS JetCorp USA","21","1","299420"</v>
      </c>
      <c r="E6554" s="31" t="str">
        <f t="shared" si="1966"/>
        <v>C100527</v>
      </c>
      <c r="F6554" s="31"/>
      <c r="G6554" s="31"/>
      <c r="H6554" s="31"/>
      <c r="I6554" s="56"/>
      <c r="J6554" s="56"/>
      <c r="K6554" s="82" t="str">
        <f t="shared" si="1967"/>
        <v>Invoice</v>
      </c>
      <c r="L6554" s="83" t="str">
        <f>"SI_109216"</f>
        <v>SI_109216</v>
      </c>
      <c r="M6554" s="84">
        <v>43810</v>
      </c>
      <c r="N6554" s="85">
        <f t="shared" si="1968"/>
        <v>2</v>
      </c>
      <c r="O6554" s="86">
        <f t="shared" si="1969"/>
        <v>3242.12</v>
      </c>
      <c r="P6554" s="86">
        <f t="shared" si="1970"/>
        <v>0</v>
      </c>
      <c r="Q6554" s="86">
        <f t="shared" si="1971"/>
        <v>3242.12</v>
      </c>
      <c r="R6554" s="86">
        <f t="shared" si="1972"/>
        <v>0</v>
      </c>
      <c r="S6554" s="86">
        <f t="shared" si="1973"/>
        <v>0</v>
      </c>
      <c r="T6554" s="86">
        <f t="shared" si="1974"/>
        <v>0</v>
      </c>
      <c r="U6554" s="87">
        <v>3242.12</v>
      </c>
    </row>
    <row r="6555" spans="1:21" s="30" customFormat="1" ht="24.6" hidden="1" outlineLevel="1" x14ac:dyDescent="0.55000000000000004">
      <c r="A6555" s="27" t="s">
        <v>327</v>
      </c>
      <c r="B6555" s="28"/>
      <c r="C6555" s="27"/>
      <c r="D6555" s="27" t="str">
        <f>"""NAV Direct"",""CRONUS JetCorp USA"",""21"",""1"",""299935"""</f>
        <v>"NAV Direct","CRONUS JetCorp USA","21","1","299935"</v>
      </c>
      <c r="E6555" s="31">
        <f t="shared" si="1966"/>
        <v>0</v>
      </c>
      <c r="F6555" s="31"/>
      <c r="G6555" s="31"/>
      <c r="H6555" s="31"/>
      <c r="I6555" s="56"/>
      <c r="J6555" s="56"/>
      <c r="K6555" s="82" t="str">
        <f t="shared" si="1967"/>
        <v>Invoice</v>
      </c>
      <c r="L6555" s="83" t="str">
        <f>"SI_109231"</f>
        <v>SI_109231</v>
      </c>
      <c r="M6555" s="84">
        <v>42043</v>
      </c>
      <c r="N6555" s="85">
        <f t="shared" si="1968"/>
        <v>1769</v>
      </c>
      <c r="O6555" s="86">
        <f t="shared" si="1969"/>
        <v>3566.3799999999997</v>
      </c>
      <c r="P6555" s="86">
        <f t="shared" si="1970"/>
        <v>0</v>
      </c>
      <c r="Q6555" s="86">
        <f t="shared" si="1971"/>
        <v>0</v>
      </c>
      <c r="R6555" s="86">
        <f t="shared" si="1972"/>
        <v>0</v>
      </c>
      <c r="S6555" s="86">
        <f t="shared" si="1973"/>
        <v>0</v>
      </c>
      <c r="T6555" s="86">
        <f t="shared" si="1974"/>
        <v>3566.3799999999997</v>
      </c>
      <c r="U6555" s="87">
        <v>3566.3799999999997</v>
      </c>
    </row>
    <row r="6556" spans="1:21" s="30" customFormat="1" ht="24.6" hidden="1" outlineLevel="1" x14ac:dyDescent="0.55000000000000004">
      <c r="A6556" s="27" t="s">
        <v>327</v>
      </c>
      <c r="B6556" s="28"/>
      <c r="C6556" s="27"/>
      <c r="D6556" s="27" t="str">
        <f>"""NAV Direct"",""CRONUS JetCorp USA"",""21"",""1"",""299972"""</f>
        <v>"NAV Direct","CRONUS JetCorp USA","21","1","299972"</v>
      </c>
      <c r="E6556" s="31" t="str">
        <f t="shared" si="1966"/>
        <v>C100527</v>
      </c>
      <c r="F6556" s="31"/>
      <c r="G6556" s="31"/>
      <c r="H6556" s="31"/>
      <c r="I6556" s="56"/>
      <c r="J6556" s="56"/>
      <c r="K6556" s="82" t="str">
        <f t="shared" si="1967"/>
        <v>Invoice</v>
      </c>
      <c r="L6556" s="83" t="str">
        <f>"SI_109232"</f>
        <v>SI_109232</v>
      </c>
      <c r="M6556" s="84">
        <v>42044</v>
      </c>
      <c r="N6556" s="85">
        <f t="shared" si="1968"/>
        <v>1768</v>
      </c>
      <c r="O6556" s="86">
        <f t="shared" si="1969"/>
        <v>3566.23</v>
      </c>
      <c r="P6556" s="86">
        <f t="shared" si="1970"/>
        <v>0</v>
      </c>
      <c r="Q6556" s="86">
        <f t="shared" si="1971"/>
        <v>0</v>
      </c>
      <c r="R6556" s="86">
        <f t="shared" si="1972"/>
        <v>0</v>
      </c>
      <c r="S6556" s="86">
        <f t="shared" si="1973"/>
        <v>0</v>
      </c>
      <c r="T6556" s="86">
        <f t="shared" si="1974"/>
        <v>3566.23</v>
      </c>
      <c r="U6556" s="87">
        <v>3566.23</v>
      </c>
    </row>
    <row r="6557" spans="1:21" s="30" customFormat="1" ht="24.6" hidden="1" outlineLevel="1" x14ac:dyDescent="0.55000000000000004">
      <c r="A6557" s="27" t="s">
        <v>327</v>
      </c>
      <c r="B6557" s="28"/>
      <c r="C6557" s="27"/>
      <c r="D6557" s="27" t="str">
        <f>"""NAV Direct"",""CRONUS JetCorp USA"",""21"",""1"",""300266"""</f>
        <v>"NAV Direct","CRONUS JetCorp USA","21","1","300266"</v>
      </c>
      <c r="E6557" s="31">
        <f t="shared" si="1966"/>
        <v>0</v>
      </c>
      <c r="F6557" s="31"/>
      <c r="G6557" s="31"/>
      <c r="H6557" s="31"/>
      <c r="I6557" s="56"/>
      <c r="J6557" s="56"/>
      <c r="K6557" s="82" t="str">
        <f t="shared" si="1967"/>
        <v>Invoice</v>
      </c>
      <c r="L6557" s="83" t="str">
        <f>"SI_109240"</f>
        <v>SI_109240</v>
      </c>
      <c r="M6557" s="84">
        <v>42049</v>
      </c>
      <c r="N6557" s="85">
        <f t="shared" si="1968"/>
        <v>1763</v>
      </c>
      <c r="O6557" s="86">
        <f t="shared" si="1969"/>
        <v>3566.41</v>
      </c>
      <c r="P6557" s="86">
        <f t="shared" si="1970"/>
        <v>0</v>
      </c>
      <c r="Q6557" s="86">
        <f t="shared" si="1971"/>
        <v>0</v>
      </c>
      <c r="R6557" s="86">
        <f t="shared" si="1972"/>
        <v>0</v>
      </c>
      <c r="S6557" s="86">
        <f t="shared" si="1973"/>
        <v>0</v>
      </c>
      <c r="T6557" s="86">
        <f t="shared" si="1974"/>
        <v>3566.41</v>
      </c>
      <c r="U6557" s="87">
        <v>3566.41</v>
      </c>
    </row>
    <row r="6558" spans="1:21" s="30" customFormat="1" ht="24.6" hidden="1" outlineLevel="1" x14ac:dyDescent="0.55000000000000004">
      <c r="A6558" s="27" t="s">
        <v>327</v>
      </c>
      <c r="B6558" s="28"/>
      <c r="C6558" s="27"/>
      <c r="D6558" s="27" t="str">
        <f>"""NAV Direct"",""CRONUS JetCorp USA"",""21"",""1"",""300683"""</f>
        <v>"NAV Direct","CRONUS JetCorp USA","21","1","300683"</v>
      </c>
      <c r="E6558" s="31" t="str">
        <f t="shared" si="1966"/>
        <v>C100527</v>
      </c>
      <c r="F6558" s="31"/>
      <c r="G6558" s="31"/>
      <c r="H6558" s="31"/>
      <c r="I6558" s="56"/>
      <c r="J6558" s="56"/>
      <c r="K6558" s="82" t="str">
        <f t="shared" si="1967"/>
        <v>Invoice</v>
      </c>
      <c r="L6558" s="83" t="str">
        <f>"SI_109253"</f>
        <v>SI_109253</v>
      </c>
      <c r="M6558" s="84">
        <v>42063</v>
      </c>
      <c r="N6558" s="85">
        <f t="shared" si="1968"/>
        <v>1749</v>
      </c>
      <c r="O6558" s="86">
        <f t="shared" si="1969"/>
        <v>3566.3099999999995</v>
      </c>
      <c r="P6558" s="86">
        <f t="shared" si="1970"/>
        <v>0</v>
      </c>
      <c r="Q6558" s="86">
        <f t="shared" si="1971"/>
        <v>0</v>
      </c>
      <c r="R6558" s="86">
        <f t="shared" si="1972"/>
        <v>0</v>
      </c>
      <c r="S6558" s="86">
        <f t="shared" si="1973"/>
        <v>0</v>
      </c>
      <c r="T6558" s="86">
        <f t="shared" si="1974"/>
        <v>3566.3099999999995</v>
      </c>
      <c r="U6558" s="87">
        <v>3566.3099999999995</v>
      </c>
    </row>
    <row r="6559" spans="1:21" s="30" customFormat="1" ht="24.6" hidden="1" outlineLevel="1" x14ac:dyDescent="0.55000000000000004">
      <c r="A6559" s="27" t="s">
        <v>327</v>
      </c>
      <c r="B6559" s="28"/>
      <c r="C6559" s="27"/>
      <c r="D6559" s="27" t="str">
        <f>"""NAV Direct"",""CRONUS JetCorp USA"",""21"",""1"",""301208"""</f>
        <v>"NAV Direct","CRONUS JetCorp USA","21","1","301208"</v>
      </c>
      <c r="E6559" s="31">
        <f t="shared" si="1966"/>
        <v>0</v>
      </c>
      <c r="F6559" s="31"/>
      <c r="G6559" s="31"/>
      <c r="H6559" s="31"/>
      <c r="I6559" s="56"/>
      <c r="J6559" s="56"/>
      <c r="K6559" s="82" t="str">
        <f t="shared" si="1967"/>
        <v>Invoice</v>
      </c>
      <c r="L6559" s="83" t="str">
        <f>"SI_109268"</f>
        <v>SI_109268</v>
      </c>
      <c r="M6559" s="84">
        <v>42080</v>
      </c>
      <c r="N6559" s="85">
        <f t="shared" si="1968"/>
        <v>1732</v>
      </c>
      <c r="O6559" s="86">
        <f t="shared" si="1969"/>
        <v>3566.41</v>
      </c>
      <c r="P6559" s="86">
        <f t="shared" si="1970"/>
        <v>0</v>
      </c>
      <c r="Q6559" s="86">
        <f t="shared" si="1971"/>
        <v>0</v>
      </c>
      <c r="R6559" s="86">
        <f t="shared" si="1972"/>
        <v>0</v>
      </c>
      <c r="S6559" s="86">
        <f t="shared" si="1973"/>
        <v>0</v>
      </c>
      <c r="T6559" s="86">
        <f t="shared" si="1974"/>
        <v>3566.41</v>
      </c>
      <c r="U6559" s="87">
        <v>3566.41</v>
      </c>
    </row>
    <row r="6560" spans="1:21" s="30" customFormat="1" ht="24.6" hidden="1" outlineLevel="1" x14ac:dyDescent="0.55000000000000004">
      <c r="A6560" s="27" t="s">
        <v>327</v>
      </c>
      <c r="B6560" s="28"/>
      <c r="C6560" s="27"/>
      <c r="D6560" s="27" t="str">
        <f>"""NAV Direct"",""CRONUS JetCorp USA"",""21"",""1"",""302897"""</f>
        <v>"NAV Direct","CRONUS JetCorp USA","21","1","302897"</v>
      </c>
      <c r="E6560" s="31" t="str">
        <f t="shared" si="1966"/>
        <v>C100527</v>
      </c>
      <c r="F6560" s="31"/>
      <c r="G6560" s="31"/>
      <c r="H6560" s="31"/>
      <c r="I6560" s="56"/>
      <c r="J6560" s="56"/>
      <c r="K6560" s="82" t="str">
        <f t="shared" si="1967"/>
        <v>Invoice</v>
      </c>
      <c r="L6560" s="83" t="str">
        <f>"SI_109317"</f>
        <v>SI_109317</v>
      </c>
      <c r="M6560" s="84">
        <v>42160</v>
      </c>
      <c r="N6560" s="85">
        <f t="shared" si="1968"/>
        <v>1652</v>
      </c>
      <c r="O6560" s="86">
        <f t="shared" si="1969"/>
        <v>3922.96</v>
      </c>
      <c r="P6560" s="86">
        <f t="shared" si="1970"/>
        <v>0</v>
      </c>
      <c r="Q6560" s="86">
        <f t="shared" si="1971"/>
        <v>0</v>
      </c>
      <c r="R6560" s="86">
        <f t="shared" si="1972"/>
        <v>0</v>
      </c>
      <c r="S6560" s="86">
        <f t="shared" si="1973"/>
        <v>0</v>
      </c>
      <c r="T6560" s="86">
        <f t="shared" si="1974"/>
        <v>3922.96</v>
      </c>
      <c r="U6560" s="87">
        <v>3922.96</v>
      </c>
    </row>
    <row r="6561" spans="1:21" s="22" customFormat="1" ht="20.399999999999999" collapsed="1" x14ac:dyDescent="0.45">
      <c r="A6561" s="12" t="s">
        <v>327</v>
      </c>
      <c r="B6561" s="19"/>
      <c r="C6561" s="12"/>
      <c r="D6561" s="12"/>
      <c r="E6561" s="23"/>
      <c r="F6561" s="23"/>
      <c r="G6561" s="23"/>
      <c r="H6561" s="23"/>
      <c r="I6561" s="49"/>
      <c r="J6561" s="88"/>
      <c r="K6561" s="88"/>
      <c r="L6561" s="89"/>
      <c r="M6561" s="89"/>
      <c r="N6561" s="89"/>
      <c r="O6561" s="89"/>
      <c r="P6561" s="89"/>
      <c r="Q6561" s="90"/>
      <c r="R6561" s="90"/>
      <c r="S6561" s="91"/>
      <c r="T6561" s="92"/>
      <c r="U6561" s="92"/>
    </row>
    <row r="6562" spans="1:21" s="22" customFormat="1" ht="20.399999999999999" x14ac:dyDescent="0.45">
      <c r="A6562" s="12" t="s">
        <v>327</v>
      </c>
      <c r="B6562" s="19"/>
      <c r="C6562" s="12"/>
      <c r="D6562" s="12"/>
      <c r="E6562" s="23"/>
      <c r="F6562" s="23"/>
      <c r="G6562" s="23"/>
      <c r="H6562" s="23"/>
      <c r="I6562" s="49"/>
      <c r="J6562" s="88"/>
      <c r="K6562" s="88"/>
      <c r="L6562" s="89"/>
      <c r="M6562" s="89"/>
      <c r="N6562" s="89"/>
      <c r="O6562" s="89"/>
      <c r="P6562" s="89"/>
      <c r="Q6562" s="90"/>
      <c r="R6562" s="90"/>
      <c r="S6562" s="91"/>
      <c r="T6562" s="92"/>
      <c r="U6562" s="92"/>
    </row>
    <row r="6563" spans="1:21" ht="20.399999999999999" hidden="1" x14ac:dyDescent="0.45">
      <c r="A6563" s="12" t="s">
        <v>73</v>
      </c>
      <c r="I6563" s="49"/>
      <c r="J6563" s="49"/>
      <c r="K6563" s="49"/>
      <c r="L6563" s="50"/>
      <c r="M6563" s="50"/>
      <c r="N6563" s="50"/>
      <c r="O6563" s="50"/>
      <c r="P6563" s="50"/>
      <c r="Q6563" s="50"/>
      <c r="R6563" s="50"/>
      <c r="S6563" s="93"/>
      <c r="T6563" s="94"/>
      <c r="U6563" s="94"/>
    </row>
    <row r="6564" spans="1:21" s="26" customFormat="1" ht="24.6" x14ac:dyDescent="0.55000000000000004">
      <c r="A6564" s="27"/>
      <c r="B6564" s="29"/>
      <c r="C6564" s="29"/>
      <c r="D6564" s="29"/>
      <c r="E6564" s="29"/>
      <c r="F6564" s="29"/>
      <c r="G6564" s="29"/>
      <c r="H6564" s="29"/>
      <c r="I6564" s="95"/>
      <c r="J6564" s="55"/>
      <c r="K6564" s="95" t="s">
        <v>19</v>
      </c>
      <c r="L6564" s="96"/>
      <c r="M6564" s="97"/>
      <c r="N6564" s="97"/>
      <c r="O6564" s="98">
        <f t="shared" ref="O6564:T6564" si="1975">SUBTOTAL(9,O23:O6563)</f>
        <v>52016912.260000162</v>
      </c>
      <c r="P6564" s="98">
        <f t="shared" si="1975"/>
        <v>775948.55999999982</v>
      </c>
      <c r="Q6564" s="98">
        <f t="shared" si="1975"/>
        <v>1139763.5</v>
      </c>
      <c r="R6564" s="98">
        <f t="shared" si="1975"/>
        <v>869599.64</v>
      </c>
      <c r="S6564" s="98">
        <f t="shared" si="1975"/>
        <v>793265.40999999992</v>
      </c>
      <c r="T6564" s="98">
        <f t="shared" si="1975"/>
        <v>48438335.150000177</v>
      </c>
      <c r="U6564" s="60"/>
    </row>
    <row r="6565" spans="1:21" s="26" customFormat="1" ht="20.25" customHeight="1" x14ac:dyDescent="0.55000000000000004">
      <c r="A6565" s="27"/>
      <c r="B6565" s="29"/>
      <c r="C6565" s="29"/>
      <c r="D6565" s="29"/>
      <c r="E6565" s="29"/>
      <c r="F6565" s="29"/>
      <c r="G6565" s="29"/>
      <c r="H6565" s="29"/>
      <c r="I6565" s="95"/>
      <c r="J6565" s="55"/>
      <c r="K6565" s="60"/>
      <c r="L6565" s="56"/>
      <c r="M6565" s="56"/>
      <c r="N6565" s="60"/>
      <c r="O6565" s="99" t="s">
        <v>69</v>
      </c>
      <c r="P6565" s="100">
        <f>P6564/TotalAR</f>
        <v>1.4917236073558462E-2</v>
      </c>
      <c r="Q6565" s="100">
        <f>Q6564/TotalAR</f>
        <v>2.1911402474315118E-2</v>
      </c>
      <c r="R6565" s="100">
        <f>R6564/TotalAR</f>
        <v>1.6717632827827473E-2</v>
      </c>
      <c r="S6565" s="100">
        <f>S6564/TotalAR</f>
        <v>1.5250144146099253E-2</v>
      </c>
      <c r="T6565" s="100">
        <f>T6564/TotalAR</f>
        <v>0.93120358447819995</v>
      </c>
      <c r="U6565" s="60"/>
    </row>
    <row r="6566" spans="1:21" s="26" customFormat="1" ht="15.75" hidden="1" customHeight="1" x14ac:dyDescent="0.55000000000000004">
      <c r="A6566" s="27" t="s">
        <v>1</v>
      </c>
      <c r="B6566" s="27"/>
      <c r="C6566" s="27"/>
      <c r="D6566" s="27"/>
      <c r="E6566" s="27"/>
      <c r="F6566" s="27"/>
      <c r="G6566" s="27"/>
      <c r="H6566" s="27"/>
      <c r="I6566" s="55"/>
      <c r="J6566" s="55"/>
      <c r="K6566" s="60"/>
      <c r="L6566" s="60"/>
      <c r="M6566" s="60"/>
      <c r="N6566" s="60"/>
      <c r="O6566" s="60"/>
      <c r="P6566" s="60"/>
      <c r="Q6566" s="60"/>
      <c r="R6566" s="101"/>
      <c r="S6566" s="102">
        <f>SUM(Q6564:S6564)</f>
        <v>2802628.55</v>
      </c>
      <c r="T6566" s="103"/>
      <c r="U6566" s="60"/>
    </row>
    <row r="6567" spans="1:21" s="26" customFormat="1" ht="24.6" x14ac:dyDescent="0.55000000000000004">
      <c r="A6567" s="27"/>
      <c r="B6567" s="27"/>
      <c r="C6567" s="27"/>
      <c r="D6567" s="27"/>
      <c r="E6567" s="27"/>
      <c r="F6567" s="27"/>
      <c r="G6567" s="27"/>
      <c r="H6567" s="27"/>
      <c r="I6567" s="55"/>
      <c r="J6567" s="55"/>
      <c r="K6567" s="56" t="s">
        <v>48</v>
      </c>
      <c r="L6567" s="104">
        <f>SUM(P6567:T6567)</f>
        <v>5735</v>
      </c>
      <c r="M6567" s="60"/>
      <c r="N6567" s="60"/>
      <c r="O6567" s="60"/>
      <c r="P6567" s="104">
        <v>75</v>
      </c>
      <c r="Q6567" s="104">
        <v>122</v>
      </c>
      <c r="R6567" s="104">
        <v>107</v>
      </c>
      <c r="S6567" s="104">
        <v>91</v>
      </c>
      <c r="T6567" s="104">
        <v>5340</v>
      </c>
      <c r="U6567" s="60"/>
    </row>
    <row r="6568" spans="1:21" ht="20.399999999999999" x14ac:dyDescent="0.45">
      <c r="I6568" s="49"/>
      <c r="J6568" s="49"/>
      <c r="K6568" s="49"/>
      <c r="L6568" s="50"/>
      <c r="M6568" s="50"/>
      <c r="N6568" s="50"/>
      <c r="O6568" s="50"/>
      <c r="P6568" s="50"/>
      <c r="Q6568" s="50"/>
      <c r="R6568" s="50"/>
      <c r="S6568" s="50"/>
      <c r="T6568" s="51"/>
      <c r="U6568" s="50"/>
    </row>
    <row r="6569" spans="1:21" ht="20.399999999999999" x14ac:dyDescent="0.45">
      <c r="I6569" s="49"/>
      <c r="J6569" s="49"/>
      <c r="K6569" s="49"/>
      <c r="L6569" s="50"/>
      <c r="M6569" s="50"/>
      <c r="N6569" s="50"/>
      <c r="O6569" s="50"/>
      <c r="P6569" s="50"/>
      <c r="Q6569" s="50"/>
      <c r="R6569" s="50"/>
      <c r="S6569" s="51"/>
      <c r="T6569" s="50"/>
      <c r="U6569" s="50"/>
    </row>
    <row r="6570" spans="1:21" ht="20.399999999999999" x14ac:dyDescent="0.45">
      <c r="I6570" s="49"/>
      <c r="J6570" s="49"/>
      <c r="K6570" s="49"/>
      <c r="L6570" s="50"/>
      <c r="M6570" s="50"/>
      <c r="N6570" s="50"/>
      <c r="O6570" s="50"/>
      <c r="P6570" s="50"/>
      <c r="Q6570" s="50"/>
      <c r="R6570" s="50"/>
      <c r="S6570" s="50"/>
      <c r="T6570" s="51"/>
      <c r="U6570" s="50"/>
    </row>
    <row r="6571" spans="1:21" ht="20.399999999999999" x14ac:dyDescent="0.45">
      <c r="I6571" s="49"/>
      <c r="J6571" s="49"/>
      <c r="K6571" s="49"/>
      <c r="L6571" s="50"/>
      <c r="M6571" s="50"/>
      <c r="N6571" s="50"/>
      <c r="O6571" s="50"/>
      <c r="P6571" s="50"/>
      <c r="Q6571" s="50"/>
      <c r="R6571" s="50"/>
      <c r="S6571" s="50"/>
      <c r="T6571" s="51"/>
      <c r="U6571" s="50"/>
    </row>
    <row r="6572" spans="1:21" ht="20.399999999999999" x14ac:dyDescent="0.45">
      <c r="I6572" s="49"/>
      <c r="J6572" s="49"/>
      <c r="K6572" s="49"/>
      <c r="L6572" s="50"/>
      <c r="M6572" s="50"/>
      <c r="N6572" s="50"/>
      <c r="O6572" s="50"/>
      <c r="P6572" s="50"/>
      <c r="Q6572" s="50"/>
      <c r="R6572" s="50"/>
      <c r="S6572" s="50"/>
      <c r="T6572" s="51"/>
      <c r="U6572" s="50"/>
    </row>
    <row r="6573" spans="1:21" ht="20.399999999999999" x14ac:dyDescent="0.45">
      <c r="I6573" s="49"/>
      <c r="J6573" s="49"/>
      <c r="K6573" s="49"/>
      <c r="L6573" s="50"/>
      <c r="M6573" s="50"/>
      <c r="N6573" s="50"/>
      <c r="O6573" s="50"/>
      <c r="P6573" s="50"/>
      <c r="Q6573" s="50"/>
      <c r="R6573" s="50"/>
      <c r="S6573" s="50"/>
      <c r="T6573" s="51"/>
      <c r="U6573" s="50"/>
    </row>
    <row r="6574" spans="1:21" ht="20.399999999999999" x14ac:dyDescent="0.45">
      <c r="I6574" s="49"/>
      <c r="J6574" s="49"/>
      <c r="K6574" s="49"/>
      <c r="L6574" s="50"/>
      <c r="M6574" s="50"/>
      <c r="N6574" s="50"/>
      <c r="O6574" s="50"/>
      <c r="P6574" s="50"/>
      <c r="Q6574" s="50"/>
      <c r="R6574" s="50"/>
      <c r="S6574" s="51"/>
      <c r="T6574" s="50"/>
      <c r="U6574" s="50"/>
    </row>
    <row r="6575" spans="1:21" ht="20.399999999999999" x14ac:dyDescent="0.45">
      <c r="I6575" s="49"/>
      <c r="J6575" s="49"/>
      <c r="K6575" s="49"/>
      <c r="L6575" s="50"/>
      <c r="M6575" s="50"/>
      <c r="N6575" s="50"/>
      <c r="O6575" s="50"/>
      <c r="P6575" s="50"/>
      <c r="Q6575" s="50"/>
      <c r="R6575" s="50"/>
      <c r="S6575" s="51"/>
      <c r="T6575" s="50"/>
      <c r="U6575" s="50"/>
    </row>
    <row r="6576" spans="1:21" ht="20.399999999999999" x14ac:dyDescent="0.45">
      <c r="I6576" s="49"/>
      <c r="J6576" s="49"/>
      <c r="K6576" s="49"/>
      <c r="L6576" s="50"/>
      <c r="M6576" s="50"/>
      <c r="N6576" s="50"/>
      <c r="O6576" s="50"/>
      <c r="P6576" s="50"/>
      <c r="Q6576" s="50"/>
      <c r="R6576" s="50"/>
      <c r="S6576" s="51"/>
      <c r="T6576" s="50"/>
      <c r="U6576" s="50"/>
    </row>
    <row r="6577" spans="24:25" x14ac:dyDescent="0.3">
      <c r="X6577" s="13"/>
    </row>
    <row r="6578" spans="24:25" x14ac:dyDescent="0.3">
      <c r="Y6578" s="13"/>
    </row>
  </sheetData>
  <mergeCells count="2">
    <mergeCell ref="R10:T10"/>
    <mergeCell ref="K18:L18"/>
  </mergeCells>
  <conditionalFormatting sqref="J24">
    <cfRule type="iconSet" priority="185">
      <iconSet iconSet="3TrafficLights2" reverse="1">
        <cfvo type="percent" val="0"/>
        <cfvo type="num" val="0.6"/>
        <cfvo type="num" val="0.8"/>
      </iconSet>
    </cfRule>
  </conditionalFormatting>
  <conditionalFormatting sqref="J76 J136 J162 J187 J234 J263 J312 J326 J359 J375 J445 J514 J563 J623 J695 J743 J774 J841 J892 J920 J1027 J1050 J1109 J1177 J1217 J1254 J1288 J1332 J1369 J1421 J1450 J1475 J1545 J1603 J1627 J1647 J1728 J1772 J1798 J1819 J1898 J1919 J2068 J2085 J2122 J2160 J2217 J2243 J2345 J2408 J2431 J2496 J2650 J2700 J2723 J2856 J2930 J2979 J3002 J3019 J3081 J3126 J3188 J3246 J3452 J3496 J3539 J3595 J3643 J3702 J3753 J3805 J3837 J3902 J3922 J3996 J4032 J4057 J4108 J4145 J4168 J4212 J4266 J4332 J4353 J4384 J4404 J4428 J4473 J4522 J4546 J4593 J4665 J4710 J4737 J4810 J4889 J4938 J5030 J5071 J5217 J5317 J5355 J5386 J5483 J5587 J5641 J5676 J5721 J5751 J5778 J5811 J5846 J5880 J5914 J5942 J5973 J6008 J6038 J6066 J6096 J6123 J6156 J6195 J6226 J6264 J6300 J6331 J6367 J6403 J6446 J6477 J6512">
    <cfRule type="iconSet" priority="1">
      <iconSet iconSet="3TrafficLights2" reverse="1">
        <cfvo type="percent" val="0"/>
        <cfvo type="num" val="0.6"/>
        <cfvo type="num" val="0.8"/>
      </iconSet>
    </cfRule>
  </conditionalFormatting>
  <pageMargins left="0.25" right="0.25" top="0.75" bottom="0.75" header="0.3" footer="0.3"/>
  <pageSetup scale="42" fitToHeight="0" orientation="landscape" r:id="rId1"/>
  <headerFooter alignWithMargins="0">
    <oddHeader>&amp;C&amp;"Times New Roman,Regular"&amp;12&amp;F
&lt;&lt;COMPANY NAME&gt;&gt;&amp;R&amp;"Times New Roman,Regular"Date: &amp;D
Time: &amp;T
Page: &amp;P of &amp;N</oddHeader>
    <oddFooter>&amp;L&amp;"Times New Roman,Italic"&amp;8Created by:&amp;"Times New Roman,Regular" &lt;&lt;USER&gt;&gt;,  Jet Reports  &lt;&lt;DATE&gt;&gt;&amp;R&amp;"Times New Roman,Regular"&amp;8&amp;P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8"/>
  <sheetViews>
    <sheetView workbookViewId="0"/>
  </sheetViews>
  <sheetFormatPr defaultRowHeight="13.2" x14ac:dyDescent="0.25"/>
  <sheetData>
    <row r="1" spans="1:5" x14ac:dyDescent="0.25">
      <c r="A1" s="213" t="s">
        <v>77398</v>
      </c>
      <c r="B1" s="213" t="s">
        <v>3</v>
      </c>
      <c r="C1" s="213" t="s">
        <v>4</v>
      </c>
      <c r="D1" s="213" t="s">
        <v>5</v>
      </c>
      <c r="E1" s="213" t="s">
        <v>75</v>
      </c>
    </row>
    <row r="5" spans="1:5" x14ac:dyDescent="0.25">
      <c r="B5" s="213" t="s">
        <v>0</v>
      </c>
    </row>
    <row r="6" spans="1:5" x14ac:dyDescent="0.25">
      <c r="A6" s="213" t="s">
        <v>6</v>
      </c>
      <c r="B6" s="213" t="s">
        <v>79</v>
      </c>
      <c r="C6" s="213" t="s">
        <v>77370</v>
      </c>
      <c r="D6" s="213" t="s">
        <v>80</v>
      </c>
    </row>
    <row r="7" spans="1:5" x14ac:dyDescent="0.25">
      <c r="A7" s="213" t="s">
        <v>6</v>
      </c>
      <c r="B7" s="213" t="s">
        <v>62</v>
      </c>
      <c r="C7" s="213" t="s">
        <v>77397</v>
      </c>
      <c r="E7" s="213" t="s">
        <v>76</v>
      </c>
    </row>
    <row r="8" spans="1:5" x14ac:dyDescent="0.25">
      <c r="A8" s="213" t="s">
        <v>6</v>
      </c>
      <c r="B8" s="213" t="s">
        <v>42</v>
      </c>
      <c r="C8" s="213" t="s">
        <v>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8"/>
  <sheetViews>
    <sheetView workbookViewId="0"/>
  </sheetViews>
  <sheetFormatPr defaultRowHeight="13.2" x14ac:dyDescent="0.25"/>
  <sheetData>
    <row r="1" spans="1:5" x14ac:dyDescent="0.25">
      <c r="A1" s="213" t="s">
        <v>77398</v>
      </c>
      <c r="B1" s="213" t="s">
        <v>3</v>
      </c>
      <c r="C1" s="213" t="s">
        <v>4</v>
      </c>
      <c r="D1" s="213" t="s">
        <v>5</v>
      </c>
      <c r="E1" s="213" t="s">
        <v>75</v>
      </c>
    </row>
    <row r="5" spans="1:5" x14ac:dyDescent="0.25">
      <c r="B5" s="213" t="s">
        <v>0</v>
      </c>
    </row>
    <row r="6" spans="1:5" x14ac:dyDescent="0.25">
      <c r="A6" s="213" t="s">
        <v>6</v>
      </c>
      <c r="B6" s="213" t="s">
        <v>79</v>
      </c>
      <c r="C6" s="213" t="s">
        <v>77370</v>
      </c>
      <c r="D6" s="213" t="s">
        <v>80</v>
      </c>
    </row>
    <row r="7" spans="1:5" x14ac:dyDescent="0.25">
      <c r="A7" s="213" t="s">
        <v>6</v>
      </c>
      <c r="B7" s="213" t="s">
        <v>62</v>
      </c>
      <c r="C7" s="213" t="s">
        <v>77397</v>
      </c>
      <c r="E7" s="213" t="s">
        <v>76</v>
      </c>
    </row>
    <row r="8" spans="1:5" x14ac:dyDescent="0.25">
      <c r="A8" s="213" t="s">
        <v>6</v>
      </c>
      <c r="B8" s="213" t="s">
        <v>42</v>
      </c>
      <c r="C8" s="213" t="s">
        <v>81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1"/>
  <sheetViews>
    <sheetView workbookViewId="0"/>
  </sheetViews>
  <sheetFormatPr defaultRowHeight="13.2" x14ac:dyDescent="0.25"/>
  <sheetData>
    <row r="1" spans="1:14" x14ac:dyDescent="0.25">
      <c r="A1" s="213" t="s">
        <v>77400</v>
      </c>
      <c r="B1" s="213" t="s">
        <v>1</v>
      </c>
      <c r="C1" s="213" t="s">
        <v>1</v>
      </c>
      <c r="D1" s="213" t="s">
        <v>1</v>
      </c>
      <c r="F1" s="213" t="s">
        <v>60</v>
      </c>
      <c r="G1" s="213" t="s">
        <v>10</v>
      </c>
      <c r="H1" s="213" t="s">
        <v>10</v>
      </c>
      <c r="I1" s="213" t="s">
        <v>10</v>
      </c>
      <c r="J1" s="213" t="s">
        <v>10</v>
      </c>
      <c r="K1" s="213" t="s">
        <v>10</v>
      </c>
      <c r="L1" s="213" t="s">
        <v>10</v>
      </c>
    </row>
    <row r="2" spans="1:14" x14ac:dyDescent="0.25">
      <c r="B2" s="213" t="s">
        <v>7</v>
      </c>
      <c r="C2" s="213" t="s">
        <v>224</v>
      </c>
    </row>
    <row r="3" spans="1:14" x14ac:dyDescent="0.25">
      <c r="A3" s="213" t="s">
        <v>73</v>
      </c>
    </row>
    <row r="4" spans="1:14" x14ac:dyDescent="0.25">
      <c r="A4" s="213" t="s">
        <v>73</v>
      </c>
      <c r="B4" s="213" t="s">
        <v>62</v>
      </c>
      <c r="C4" s="213" t="s">
        <v>82</v>
      </c>
    </row>
    <row r="5" spans="1:14" x14ac:dyDescent="0.25">
      <c r="A5" s="213" t="s">
        <v>73</v>
      </c>
      <c r="B5" s="213" t="s">
        <v>63</v>
      </c>
      <c r="C5" s="213" t="s">
        <v>83</v>
      </c>
    </row>
    <row r="6" spans="1:14" x14ac:dyDescent="0.25">
      <c r="A6" s="213" t="s">
        <v>73</v>
      </c>
      <c r="B6" s="213" t="s">
        <v>39</v>
      </c>
      <c r="C6" s="213" t="s">
        <v>41</v>
      </c>
    </row>
    <row r="7" spans="1:14" x14ac:dyDescent="0.25">
      <c r="B7" s="213" t="s">
        <v>26</v>
      </c>
      <c r="C7" s="213" t="s">
        <v>84</v>
      </c>
      <c r="F7" s="213" t="s">
        <v>29</v>
      </c>
    </row>
    <row r="8" spans="1:14" x14ac:dyDescent="0.25">
      <c r="B8" s="213" t="s">
        <v>27</v>
      </c>
      <c r="C8" s="213" t="s">
        <v>85</v>
      </c>
      <c r="F8" s="213" t="s">
        <v>86</v>
      </c>
      <c r="H8" s="213" t="s">
        <v>77395</v>
      </c>
      <c r="I8" s="213" t="s">
        <v>77399</v>
      </c>
      <c r="N8" s="213" t="s">
        <v>77396</v>
      </c>
    </row>
    <row r="9" spans="1:14" x14ac:dyDescent="0.25">
      <c r="B9" s="213" t="s">
        <v>8</v>
      </c>
      <c r="C9" s="213" t="s">
        <v>87</v>
      </c>
    </row>
    <row r="10" spans="1:14" x14ac:dyDescent="0.25">
      <c r="B10" s="213" t="s">
        <v>38</v>
      </c>
      <c r="C10" s="213" t="s">
        <v>88</v>
      </c>
      <c r="D10" s="213" t="s">
        <v>323</v>
      </c>
      <c r="H10" s="213" t="s">
        <v>47</v>
      </c>
      <c r="I10" s="213" t="s">
        <v>45</v>
      </c>
      <c r="J10" s="213" t="s">
        <v>66</v>
      </c>
      <c r="K10" s="213" t="s">
        <v>46</v>
      </c>
      <c r="L10" s="213" t="s">
        <v>44</v>
      </c>
    </row>
    <row r="11" spans="1:14" x14ac:dyDescent="0.25">
      <c r="B11" s="213" t="s">
        <v>23</v>
      </c>
      <c r="C11" s="213" t="s">
        <v>89</v>
      </c>
      <c r="D11" s="213" t="s">
        <v>324</v>
      </c>
      <c r="H11" s="213" t="s">
        <v>90</v>
      </c>
      <c r="I11" s="213" t="s">
        <v>91</v>
      </c>
      <c r="J11" s="213" t="s">
        <v>92</v>
      </c>
      <c r="K11" s="213" t="s">
        <v>93</v>
      </c>
      <c r="L11" s="213" t="s">
        <v>94</v>
      </c>
    </row>
    <row r="12" spans="1:14" x14ac:dyDescent="0.25">
      <c r="B12" s="213" t="s">
        <v>40</v>
      </c>
      <c r="H12" s="213" t="s">
        <v>95</v>
      </c>
      <c r="I12" s="213" t="s">
        <v>96</v>
      </c>
      <c r="J12" s="213" t="s">
        <v>97</v>
      </c>
      <c r="K12" s="213" t="s">
        <v>98</v>
      </c>
      <c r="L12" s="213" t="s">
        <v>99</v>
      </c>
    </row>
    <row r="13" spans="1:14" x14ac:dyDescent="0.25">
      <c r="B13" s="213" t="s">
        <v>26</v>
      </c>
      <c r="C13" s="213" t="s">
        <v>100</v>
      </c>
      <c r="H13" s="213" t="s">
        <v>101</v>
      </c>
      <c r="I13" s="213" t="s">
        <v>102</v>
      </c>
      <c r="J13" s="213" t="s">
        <v>103</v>
      </c>
      <c r="K13" s="213" t="s">
        <v>104</v>
      </c>
      <c r="L13" s="213" t="s">
        <v>105</v>
      </c>
    </row>
    <row r="14" spans="1:14" x14ac:dyDescent="0.25">
      <c r="B14" s="213" t="s">
        <v>27</v>
      </c>
      <c r="C14" s="213" t="s">
        <v>106</v>
      </c>
      <c r="H14" s="213" t="s">
        <v>107</v>
      </c>
      <c r="I14" s="213" t="s">
        <v>108</v>
      </c>
      <c r="J14" s="213" t="s">
        <v>109</v>
      </c>
      <c r="K14" s="213" t="s">
        <v>110</v>
      </c>
      <c r="L14" s="213" t="s">
        <v>111</v>
      </c>
    </row>
    <row r="15" spans="1:14" x14ac:dyDescent="0.25">
      <c r="B15" s="213" t="s">
        <v>8</v>
      </c>
      <c r="C15" s="213" t="s">
        <v>112</v>
      </c>
      <c r="H15" s="213" t="s">
        <v>113</v>
      </c>
      <c r="I15" s="213" t="s">
        <v>114</v>
      </c>
      <c r="J15" s="213" t="s">
        <v>115</v>
      </c>
      <c r="K15" s="213" t="s">
        <v>116</v>
      </c>
      <c r="L15" s="213" t="s">
        <v>117</v>
      </c>
    </row>
    <row r="16" spans="1:14" x14ac:dyDescent="0.25">
      <c r="B16" s="213" t="s">
        <v>38</v>
      </c>
      <c r="C16" s="213" t="s">
        <v>118</v>
      </c>
      <c r="D16" s="213" t="s">
        <v>325</v>
      </c>
    </row>
    <row r="17" spans="1:15" x14ac:dyDescent="0.25">
      <c r="B17" s="213" t="s">
        <v>23</v>
      </c>
      <c r="C17" s="213" t="s">
        <v>119</v>
      </c>
      <c r="D17" s="213" t="s">
        <v>326</v>
      </c>
      <c r="H17" s="213" t="s">
        <v>34</v>
      </c>
      <c r="I17" s="213" t="s">
        <v>120</v>
      </c>
      <c r="J17" s="213" t="s">
        <v>121</v>
      </c>
      <c r="K17" s="213" t="s">
        <v>122</v>
      </c>
      <c r="L17" s="213" t="s">
        <v>123</v>
      </c>
    </row>
    <row r="18" spans="1:15" x14ac:dyDescent="0.25">
      <c r="H18" s="213" t="s">
        <v>65</v>
      </c>
      <c r="I18" s="213" t="s">
        <v>124</v>
      </c>
      <c r="K18" s="213" t="s">
        <v>125</v>
      </c>
      <c r="L18" s="213" t="s">
        <v>126</v>
      </c>
    </row>
    <row r="20" spans="1:15" x14ac:dyDescent="0.25">
      <c r="F20" s="213" t="s">
        <v>72</v>
      </c>
    </row>
    <row r="21" spans="1:15" x14ac:dyDescent="0.25">
      <c r="F21" s="213" t="s">
        <v>30</v>
      </c>
      <c r="G21" s="213" t="s">
        <v>31</v>
      </c>
      <c r="I21" s="213" t="s">
        <v>71</v>
      </c>
      <c r="J21" s="213" t="s">
        <v>32</v>
      </c>
      <c r="K21" s="213" t="s">
        <v>2</v>
      </c>
      <c r="L21" s="213" t="s">
        <v>67</v>
      </c>
    </row>
    <row r="22" spans="1:15" x14ac:dyDescent="0.25">
      <c r="B22" s="213" t="s">
        <v>77379</v>
      </c>
      <c r="F22" s="213" t="s">
        <v>127</v>
      </c>
      <c r="G22" s="213" t="s">
        <v>77372</v>
      </c>
      <c r="I22" s="213" t="s">
        <v>128</v>
      </c>
      <c r="J22" s="213" t="s">
        <v>129</v>
      </c>
      <c r="K22" s="213" t="s">
        <v>130</v>
      </c>
      <c r="L22" s="213" t="s">
        <v>131</v>
      </c>
    </row>
    <row r="23" spans="1:15" x14ac:dyDescent="0.25">
      <c r="A23" s="213" t="s">
        <v>1</v>
      </c>
      <c r="G23" s="213" t="s">
        <v>77</v>
      </c>
      <c r="L23" s="213" t="s">
        <v>132</v>
      </c>
    </row>
    <row r="24" spans="1:15" x14ac:dyDescent="0.25">
      <c r="K24" s="213" t="s">
        <v>33</v>
      </c>
      <c r="L24" s="213" t="s">
        <v>133</v>
      </c>
    </row>
    <row r="25" spans="1:15" x14ac:dyDescent="0.25">
      <c r="J25" s="213" t="s">
        <v>43</v>
      </c>
      <c r="L25" s="213" t="s">
        <v>134</v>
      </c>
    </row>
    <row r="26" spans="1:15" x14ac:dyDescent="0.25">
      <c r="F26" s="213" t="s">
        <v>74</v>
      </c>
    </row>
    <row r="27" spans="1:15" x14ac:dyDescent="0.25">
      <c r="F27" s="213" t="s">
        <v>30</v>
      </c>
      <c r="G27" s="213" t="s">
        <v>31</v>
      </c>
      <c r="I27" s="213" t="s">
        <v>64</v>
      </c>
      <c r="J27" s="213" t="s">
        <v>32</v>
      </c>
      <c r="K27" s="213" t="s">
        <v>2</v>
      </c>
      <c r="L27" s="213" t="s">
        <v>67</v>
      </c>
    </row>
    <row r="28" spans="1:15" x14ac:dyDescent="0.25">
      <c r="B28" s="213" t="s">
        <v>77380</v>
      </c>
      <c r="F28" s="213" t="s">
        <v>135</v>
      </c>
      <c r="G28" s="213" t="s">
        <v>77373</v>
      </c>
      <c r="I28" s="213" t="s">
        <v>136</v>
      </c>
      <c r="J28" s="213" t="s">
        <v>137</v>
      </c>
      <c r="K28" s="213" t="s">
        <v>138</v>
      </c>
      <c r="L28" s="213" t="s">
        <v>139</v>
      </c>
    </row>
    <row r="29" spans="1:15" x14ac:dyDescent="0.25">
      <c r="A29" s="213" t="s">
        <v>1</v>
      </c>
      <c r="G29" s="213" t="s">
        <v>77</v>
      </c>
      <c r="L29" s="213" t="s">
        <v>132</v>
      </c>
    </row>
    <row r="30" spans="1:15" x14ac:dyDescent="0.25">
      <c r="K30" s="213" t="s">
        <v>33</v>
      </c>
      <c r="L30" s="213" t="s">
        <v>140</v>
      </c>
    </row>
    <row r="31" spans="1:15" x14ac:dyDescent="0.25">
      <c r="J31" s="213" t="s">
        <v>43</v>
      </c>
      <c r="L31" s="213" t="s">
        <v>141</v>
      </c>
      <c r="O31" s="213" t="s">
        <v>58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1"/>
  <sheetViews>
    <sheetView workbookViewId="0"/>
  </sheetViews>
  <sheetFormatPr defaultRowHeight="13.2" x14ac:dyDescent="0.25"/>
  <sheetData>
    <row r="1" spans="1:14" x14ac:dyDescent="0.25">
      <c r="A1" s="213" t="s">
        <v>77400</v>
      </c>
      <c r="B1" s="213" t="s">
        <v>1</v>
      </c>
      <c r="C1" s="213" t="s">
        <v>1</v>
      </c>
      <c r="D1" s="213" t="s">
        <v>1</v>
      </c>
      <c r="F1" s="213" t="s">
        <v>60</v>
      </c>
      <c r="G1" s="213" t="s">
        <v>10</v>
      </c>
      <c r="H1" s="213" t="s">
        <v>10</v>
      </c>
      <c r="I1" s="213" t="s">
        <v>10</v>
      </c>
      <c r="J1" s="213" t="s">
        <v>10</v>
      </c>
      <c r="K1" s="213" t="s">
        <v>10</v>
      </c>
      <c r="L1" s="213" t="s">
        <v>10</v>
      </c>
    </row>
    <row r="2" spans="1:14" x14ac:dyDescent="0.25">
      <c r="B2" s="213" t="s">
        <v>7</v>
      </c>
      <c r="C2" s="213" t="s">
        <v>224</v>
      </c>
    </row>
    <row r="3" spans="1:14" x14ac:dyDescent="0.25">
      <c r="A3" s="213" t="s">
        <v>73</v>
      </c>
    </row>
    <row r="4" spans="1:14" x14ac:dyDescent="0.25">
      <c r="A4" s="213" t="s">
        <v>73</v>
      </c>
      <c r="B4" s="213" t="s">
        <v>62</v>
      </c>
      <c r="C4" s="213" t="s">
        <v>82</v>
      </c>
    </row>
    <row r="5" spans="1:14" x14ac:dyDescent="0.25">
      <c r="A5" s="213" t="s">
        <v>73</v>
      </c>
      <c r="B5" s="213" t="s">
        <v>63</v>
      </c>
      <c r="C5" s="213" t="s">
        <v>83</v>
      </c>
    </row>
    <row r="6" spans="1:14" x14ac:dyDescent="0.25">
      <c r="A6" s="213" t="s">
        <v>73</v>
      </c>
      <c r="B6" s="213" t="s">
        <v>39</v>
      </c>
      <c r="C6" s="213" t="s">
        <v>41</v>
      </c>
    </row>
    <row r="7" spans="1:14" x14ac:dyDescent="0.25">
      <c r="B7" s="213" t="s">
        <v>26</v>
      </c>
      <c r="C7" s="213" t="s">
        <v>84</v>
      </c>
      <c r="F7" s="213" t="s">
        <v>29</v>
      </c>
    </row>
    <row r="8" spans="1:14" x14ac:dyDescent="0.25">
      <c r="B8" s="213" t="s">
        <v>27</v>
      </c>
      <c r="C8" s="213" t="s">
        <v>85</v>
      </c>
      <c r="F8" s="213" t="s">
        <v>86</v>
      </c>
      <c r="H8" s="213" t="s">
        <v>77395</v>
      </c>
      <c r="I8" s="213" t="s">
        <v>77399</v>
      </c>
      <c r="N8" s="213" t="s">
        <v>77396</v>
      </c>
    </row>
    <row r="9" spans="1:14" x14ac:dyDescent="0.25">
      <c r="B9" s="213" t="s">
        <v>8</v>
      </c>
      <c r="C9" s="213" t="s">
        <v>87</v>
      </c>
    </row>
    <row r="10" spans="1:14" x14ac:dyDescent="0.25">
      <c r="B10" s="213" t="s">
        <v>38</v>
      </c>
      <c r="C10" s="213" t="s">
        <v>88</v>
      </c>
      <c r="D10" s="213" t="s">
        <v>78</v>
      </c>
      <c r="H10" s="213" t="s">
        <v>47</v>
      </c>
      <c r="I10" s="213" t="s">
        <v>45</v>
      </c>
      <c r="J10" s="213" t="s">
        <v>66</v>
      </c>
      <c r="K10" s="213" t="s">
        <v>46</v>
      </c>
      <c r="L10" s="213" t="s">
        <v>44</v>
      </c>
    </row>
    <row r="11" spans="1:14" x14ac:dyDescent="0.25">
      <c r="B11" s="213" t="s">
        <v>23</v>
      </c>
      <c r="C11" s="213" t="s">
        <v>89</v>
      </c>
      <c r="D11" s="213" t="s">
        <v>78</v>
      </c>
      <c r="H11" s="213" t="s">
        <v>90</v>
      </c>
      <c r="I11" s="213" t="s">
        <v>91</v>
      </c>
      <c r="J11" s="213" t="s">
        <v>92</v>
      </c>
      <c r="K11" s="213" t="s">
        <v>93</v>
      </c>
      <c r="L11" s="213" t="s">
        <v>94</v>
      </c>
    </row>
    <row r="12" spans="1:14" x14ac:dyDescent="0.25">
      <c r="B12" s="213" t="s">
        <v>40</v>
      </c>
      <c r="H12" s="213" t="s">
        <v>95</v>
      </c>
      <c r="I12" s="213" t="s">
        <v>96</v>
      </c>
      <c r="J12" s="213" t="s">
        <v>97</v>
      </c>
      <c r="K12" s="213" t="s">
        <v>98</v>
      </c>
      <c r="L12" s="213" t="s">
        <v>99</v>
      </c>
    </row>
    <row r="13" spans="1:14" x14ac:dyDescent="0.25">
      <c r="B13" s="213" t="s">
        <v>26</v>
      </c>
      <c r="C13" s="213" t="s">
        <v>100</v>
      </c>
      <c r="H13" s="213" t="s">
        <v>101</v>
      </c>
      <c r="I13" s="213" t="s">
        <v>102</v>
      </c>
      <c r="J13" s="213" t="s">
        <v>103</v>
      </c>
      <c r="K13" s="213" t="s">
        <v>104</v>
      </c>
      <c r="L13" s="213" t="s">
        <v>105</v>
      </c>
    </row>
    <row r="14" spans="1:14" x14ac:dyDescent="0.25">
      <c r="B14" s="213" t="s">
        <v>27</v>
      </c>
      <c r="C14" s="213" t="s">
        <v>106</v>
      </c>
      <c r="H14" s="213" t="s">
        <v>107</v>
      </c>
      <c r="I14" s="213" t="s">
        <v>108</v>
      </c>
      <c r="J14" s="213" t="s">
        <v>109</v>
      </c>
      <c r="K14" s="213" t="s">
        <v>110</v>
      </c>
      <c r="L14" s="213" t="s">
        <v>111</v>
      </c>
    </row>
    <row r="15" spans="1:14" x14ac:dyDescent="0.25">
      <c r="B15" s="213" t="s">
        <v>8</v>
      </c>
      <c r="C15" s="213" t="s">
        <v>112</v>
      </c>
      <c r="H15" s="213" t="s">
        <v>113</v>
      </c>
      <c r="I15" s="213" t="s">
        <v>114</v>
      </c>
      <c r="J15" s="213" t="s">
        <v>115</v>
      </c>
      <c r="K15" s="213" t="s">
        <v>116</v>
      </c>
      <c r="L15" s="213" t="s">
        <v>117</v>
      </c>
    </row>
    <row r="16" spans="1:14" x14ac:dyDescent="0.25">
      <c r="B16" s="213" t="s">
        <v>38</v>
      </c>
      <c r="C16" s="213" t="s">
        <v>118</v>
      </c>
      <c r="D16" s="213" t="s">
        <v>78</v>
      </c>
    </row>
    <row r="17" spans="1:15" x14ac:dyDescent="0.25">
      <c r="B17" s="213" t="s">
        <v>23</v>
      </c>
      <c r="C17" s="213" t="s">
        <v>119</v>
      </c>
      <c r="D17" s="213" t="s">
        <v>78</v>
      </c>
      <c r="H17" s="213" t="s">
        <v>34</v>
      </c>
      <c r="I17" s="213" t="s">
        <v>120</v>
      </c>
      <c r="J17" s="213" t="s">
        <v>121</v>
      </c>
      <c r="K17" s="213" t="s">
        <v>122</v>
      </c>
      <c r="L17" s="213" t="s">
        <v>123</v>
      </c>
    </row>
    <row r="18" spans="1:15" x14ac:dyDescent="0.25">
      <c r="H18" s="213" t="s">
        <v>65</v>
      </c>
      <c r="I18" s="213" t="s">
        <v>124</v>
      </c>
      <c r="K18" s="213" t="s">
        <v>125</v>
      </c>
      <c r="L18" s="213" t="s">
        <v>126</v>
      </c>
    </row>
    <row r="20" spans="1:15" x14ac:dyDescent="0.25">
      <c r="F20" s="213" t="s">
        <v>72</v>
      </c>
    </row>
    <row r="21" spans="1:15" x14ac:dyDescent="0.25">
      <c r="F21" s="213" t="s">
        <v>30</v>
      </c>
      <c r="G21" s="213" t="s">
        <v>31</v>
      </c>
      <c r="I21" s="213" t="s">
        <v>71</v>
      </c>
      <c r="J21" s="213" t="s">
        <v>32</v>
      </c>
      <c r="K21" s="213" t="s">
        <v>2</v>
      </c>
      <c r="L21" s="213" t="s">
        <v>67</v>
      </c>
    </row>
    <row r="22" spans="1:15" x14ac:dyDescent="0.25">
      <c r="B22" s="213" t="s">
        <v>77379</v>
      </c>
      <c r="F22" s="213" t="s">
        <v>127</v>
      </c>
      <c r="G22" s="213" t="s">
        <v>77372</v>
      </c>
      <c r="I22" s="213" t="s">
        <v>128</v>
      </c>
      <c r="J22" s="213" t="s">
        <v>129</v>
      </c>
      <c r="K22" s="213" t="s">
        <v>130</v>
      </c>
      <c r="L22" s="213" t="s">
        <v>131</v>
      </c>
    </row>
    <row r="23" spans="1:15" x14ac:dyDescent="0.25">
      <c r="A23" s="213" t="s">
        <v>1</v>
      </c>
      <c r="G23" s="213" t="s">
        <v>77</v>
      </c>
      <c r="L23" s="213" t="s">
        <v>132</v>
      </c>
    </row>
    <row r="24" spans="1:15" x14ac:dyDescent="0.25">
      <c r="K24" s="213" t="s">
        <v>33</v>
      </c>
      <c r="L24" s="213" t="s">
        <v>133</v>
      </c>
    </row>
    <row r="25" spans="1:15" x14ac:dyDescent="0.25">
      <c r="J25" s="213" t="s">
        <v>43</v>
      </c>
      <c r="L25" s="213" t="s">
        <v>134</v>
      </c>
    </row>
    <row r="26" spans="1:15" x14ac:dyDescent="0.25">
      <c r="F26" s="213" t="s">
        <v>74</v>
      </c>
    </row>
    <row r="27" spans="1:15" x14ac:dyDescent="0.25">
      <c r="F27" s="213" t="s">
        <v>30</v>
      </c>
      <c r="G27" s="213" t="s">
        <v>31</v>
      </c>
      <c r="I27" s="213" t="s">
        <v>64</v>
      </c>
      <c r="J27" s="213" t="s">
        <v>32</v>
      </c>
      <c r="K27" s="213" t="s">
        <v>2</v>
      </c>
      <c r="L27" s="213" t="s">
        <v>67</v>
      </c>
    </row>
    <row r="28" spans="1:15" x14ac:dyDescent="0.25">
      <c r="B28" s="213" t="s">
        <v>77380</v>
      </c>
      <c r="F28" s="213" t="s">
        <v>135</v>
      </c>
      <c r="G28" s="213" t="s">
        <v>77373</v>
      </c>
      <c r="I28" s="213" t="s">
        <v>136</v>
      </c>
      <c r="J28" s="213" t="s">
        <v>137</v>
      </c>
      <c r="K28" s="213" t="s">
        <v>138</v>
      </c>
      <c r="L28" s="213" t="s">
        <v>139</v>
      </c>
    </row>
    <row r="29" spans="1:15" x14ac:dyDescent="0.25">
      <c r="A29" s="213" t="s">
        <v>1</v>
      </c>
      <c r="G29" s="213" t="s">
        <v>77</v>
      </c>
      <c r="L29" s="213" t="s">
        <v>132</v>
      </c>
    </row>
    <row r="30" spans="1:15" x14ac:dyDescent="0.25">
      <c r="K30" s="213" t="s">
        <v>33</v>
      </c>
      <c r="L30" s="213" t="s">
        <v>140</v>
      </c>
    </row>
    <row r="31" spans="1:15" x14ac:dyDescent="0.25">
      <c r="J31" s="213" t="s">
        <v>43</v>
      </c>
      <c r="L31" s="213" t="s">
        <v>141</v>
      </c>
      <c r="O31" s="213" t="s">
        <v>58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6"/>
  <sheetViews>
    <sheetView workbookViewId="0"/>
  </sheetViews>
  <sheetFormatPr defaultRowHeight="13.2" x14ac:dyDescent="0.25"/>
  <sheetData>
    <row r="1" spans="1:20" x14ac:dyDescent="0.25">
      <c r="A1" s="213" t="s">
        <v>77401</v>
      </c>
    </row>
    <row r="2" spans="1:20" x14ac:dyDescent="0.25">
      <c r="C2" s="213" t="s">
        <v>142</v>
      </c>
    </row>
    <row r="4" spans="1:20" x14ac:dyDescent="0.25">
      <c r="D4" s="213" t="s">
        <v>49</v>
      </c>
    </row>
    <row r="5" spans="1:20" x14ac:dyDescent="0.25">
      <c r="I5" s="213" t="s">
        <v>77371</v>
      </c>
    </row>
    <row r="8" spans="1:20" x14ac:dyDescent="0.25">
      <c r="D8" s="213" t="s">
        <v>143</v>
      </c>
    </row>
    <row r="9" spans="1:20" x14ac:dyDescent="0.25">
      <c r="Q9" s="213" t="s">
        <v>59</v>
      </c>
    </row>
    <row r="10" spans="1:20" ht="52.8" x14ac:dyDescent="0.25">
      <c r="C10" s="213" t="s">
        <v>24</v>
      </c>
      <c r="D10" s="213" t="s">
        <v>26</v>
      </c>
      <c r="E10" s="214" t="s">
        <v>50</v>
      </c>
      <c r="F10" s="213" t="s">
        <v>27</v>
      </c>
      <c r="G10" s="213" t="s">
        <v>35</v>
      </c>
      <c r="H10" s="214" t="s">
        <v>51</v>
      </c>
      <c r="J10" s="213" t="s">
        <v>52</v>
      </c>
      <c r="K10" s="213" t="s">
        <v>8</v>
      </c>
      <c r="L10" s="214" t="s">
        <v>53</v>
      </c>
      <c r="M10" s="214" t="s">
        <v>54</v>
      </c>
      <c r="N10" s="214" t="s">
        <v>55</v>
      </c>
      <c r="O10" s="214" t="s">
        <v>56</v>
      </c>
      <c r="P10" s="214" t="s">
        <v>57</v>
      </c>
      <c r="Q10" s="213" t="s">
        <v>25</v>
      </c>
      <c r="R10" s="213" t="s">
        <v>36</v>
      </c>
      <c r="S10" s="213" t="s">
        <v>37</v>
      </c>
      <c r="T10" s="213" t="s">
        <v>144</v>
      </c>
    </row>
    <row r="11" spans="1:20" x14ac:dyDescent="0.25">
      <c r="B11" s="213" t="s">
        <v>145</v>
      </c>
      <c r="C11" s="213" t="s">
        <v>146</v>
      </c>
      <c r="D11" s="213" t="s">
        <v>147</v>
      </c>
      <c r="E11" s="213" t="s">
        <v>148</v>
      </c>
      <c r="F11" s="213" t="s">
        <v>149</v>
      </c>
      <c r="G11" s="213" t="s">
        <v>150</v>
      </c>
      <c r="H11" s="213" t="s">
        <v>151</v>
      </c>
      <c r="I11" s="213" t="s">
        <v>152</v>
      </c>
      <c r="J11" s="213" t="s">
        <v>153</v>
      </c>
      <c r="K11" s="213" t="s">
        <v>154</v>
      </c>
      <c r="L11" s="213" t="s">
        <v>293</v>
      </c>
      <c r="M11" s="213" t="s">
        <v>294</v>
      </c>
      <c r="N11" s="213" t="s">
        <v>295</v>
      </c>
      <c r="O11" s="213" t="s">
        <v>296</v>
      </c>
      <c r="P11" s="213" t="s">
        <v>155</v>
      </c>
      <c r="Q11" s="213" t="s">
        <v>297</v>
      </c>
      <c r="R11" s="213" t="s">
        <v>294</v>
      </c>
      <c r="S11" s="213" t="s">
        <v>156</v>
      </c>
      <c r="T11" s="213" t="s">
        <v>157</v>
      </c>
    </row>
    <row r="12" spans="1:20" x14ac:dyDescent="0.25">
      <c r="B12" s="213" t="s">
        <v>158</v>
      </c>
      <c r="C12" s="213" t="s">
        <v>159</v>
      </c>
      <c r="D12" s="213" t="s">
        <v>160</v>
      </c>
      <c r="E12" s="213" t="s">
        <v>161</v>
      </c>
      <c r="F12" s="213" t="s">
        <v>162</v>
      </c>
      <c r="G12" s="213" t="s">
        <v>163</v>
      </c>
      <c r="H12" s="213" t="s">
        <v>164</v>
      </c>
      <c r="I12" s="213" t="s">
        <v>165</v>
      </c>
      <c r="J12" s="213" t="s">
        <v>166</v>
      </c>
      <c r="K12" s="213" t="s">
        <v>167</v>
      </c>
      <c r="L12" s="213" t="s">
        <v>298</v>
      </c>
      <c r="M12" s="213" t="s">
        <v>299</v>
      </c>
      <c r="N12" s="213" t="s">
        <v>300</v>
      </c>
      <c r="O12" s="213" t="s">
        <v>301</v>
      </c>
      <c r="P12" s="213" t="s">
        <v>168</v>
      </c>
      <c r="Q12" s="213" t="s">
        <v>302</v>
      </c>
      <c r="R12" s="213" t="s">
        <v>299</v>
      </c>
      <c r="S12" s="213" t="s">
        <v>169</v>
      </c>
      <c r="T12" s="213" t="s">
        <v>170</v>
      </c>
    </row>
    <row r="13" spans="1:20" x14ac:dyDescent="0.25">
      <c r="B13" s="213" t="s">
        <v>171</v>
      </c>
      <c r="C13" s="213" t="s">
        <v>172</v>
      </c>
      <c r="D13" s="213" t="s">
        <v>173</v>
      </c>
      <c r="E13" s="213" t="s">
        <v>174</v>
      </c>
      <c r="F13" s="213" t="s">
        <v>175</v>
      </c>
      <c r="G13" s="213" t="s">
        <v>176</v>
      </c>
      <c r="H13" s="213" t="s">
        <v>177</v>
      </c>
      <c r="I13" s="213" t="s">
        <v>178</v>
      </c>
      <c r="J13" s="213" t="s">
        <v>179</v>
      </c>
      <c r="K13" s="213" t="s">
        <v>180</v>
      </c>
      <c r="L13" s="213" t="s">
        <v>303</v>
      </c>
      <c r="M13" s="213" t="s">
        <v>304</v>
      </c>
      <c r="N13" s="213" t="s">
        <v>305</v>
      </c>
      <c r="O13" s="213" t="s">
        <v>306</v>
      </c>
      <c r="P13" s="213" t="s">
        <v>181</v>
      </c>
      <c r="Q13" s="213" t="s">
        <v>307</v>
      </c>
      <c r="R13" s="213" t="s">
        <v>304</v>
      </c>
      <c r="S13" s="213" t="s">
        <v>182</v>
      </c>
      <c r="T13" s="213" t="s">
        <v>183</v>
      </c>
    </row>
    <row r="14" spans="1:20" x14ac:dyDescent="0.25">
      <c r="B14" s="213" t="s">
        <v>184</v>
      </c>
      <c r="C14" s="213" t="s">
        <v>185</v>
      </c>
      <c r="D14" s="213" t="s">
        <v>186</v>
      </c>
      <c r="E14" s="213" t="s">
        <v>187</v>
      </c>
      <c r="F14" s="213" t="s">
        <v>188</v>
      </c>
      <c r="G14" s="213" t="s">
        <v>189</v>
      </c>
      <c r="H14" s="213" t="s">
        <v>190</v>
      </c>
      <c r="I14" s="213" t="s">
        <v>191</v>
      </c>
      <c r="J14" s="213" t="s">
        <v>192</v>
      </c>
      <c r="K14" s="213" t="s">
        <v>193</v>
      </c>
      <c r="L14" s="213" t="s">
        <v>308</v>
      </c>
      <c r="M14" s="213" t="s">
        <v>309</v>
      </c>
      <c r="N14" s="213" t="s">
        <v>310</v>
      </c>
      <c r="O14" s="213" t="s">
        <v>311</v>
      </c>
      <c r="P14" s="213" t="s">
        <v>194</v>
      </c>
      <c r="Q14" s="213" t="s">
        <v>312</v>
      </c>
      <c r="R14" s="213" t="s">
        <v>309</v>
      </c>
      <c r="S14" s="213" t="s">
        <v>195</v>
      </c>
      <c r="T14" s="213" t="s">
        <v>196</v>
      </c>
    </row>
    <row r="15" spans="1:20" x14ac:dyDescent="0.25">
      <c r="B15" s="213" t="s">
        <v>197</v>
      </c>
      <c r="C15" s="213" t="s">
        <v>198</v>
      </c>
      <c r="D15" s="213" t="s">
        <v>199</v>
      </c>
      <c r="E15" s="213" t="s">
        <v>200</v>
      </c>
      <c r="F15" s="213" t="s">
        <v>201</v>
      </c>
      <c r="G15" s="213" t="s">
        <v>202</v>
      </c>
      <c r="H15" s="213" t="s">
        <v>203</v>
      </c>
      <c r="I15" s="213" t="s">
        <v>204</v>
      </c>
      <c r="J15" s="213" t="s">
        <v>205</v>
      </c>
      <c r="K15" s="213" t="s">
        <v>206</v>
      </c>
      <c r="L15" s="213" t="s">
        <v>313</v>
      </c>
      <c r="M15" s="213" t="s">
        <v>314</v>
      </c>
      <c r="N15" s="213" t="s">
        <v>315</v>
      </c>
      <c r="O15" s="213" t="s">
        <v>316</v>
      </c>
      <c r="P15" s="213" t="s">
        <v>207</v>
      </c>
      <c r="Q15" s="213" t="s">
        <v>317</v>
      </c>
      <c r="R15" s="213" t="s">
        <v>314</v>
      </c>
      <c r="S15" s="213" t="s">
        <v>208</v>
      </c>
      <c r="T15" s="213" t="s">
        <v>209</v>
      </c>
    </row>
    <row r="16" spans="1:20" x14ac:dyDescent="0.25">
      <c r="B16" s="213" t="s">
        <v>210</v>
      </c>
      <c r="C16" s="213" t="s">
        <v>211</v>
      </c>
      <c r="D16" s="213" t="s">
        <v>212</v>
      </c>
      <c r="E16" s="213" t="s">
        <v>213</v>
      </c>
      <c r="F16" s="213" t="s">
        <v>214</v>
      </c>
      <c r="G16" s="213" t="s">
        <v>215</v>
      </c>
      <c r="H16" s="213" t="s">
        <v>216</v>
      </c>
      <c r="I16" s="213" t="s">
        <v>217</v>
      </c>
      <c r="J16" s="213" t="s">
        <v>218</v>
      </c>
      <c r="K16" s="213" t="s">
        <v>219</v>
      </c>
      <c r="L16" s="213" t="s">
        <v>318</v>
      </c>
      <c r="M16" s="213" t="s">
        <v>319</v>
      </c>
      <c r="N16" s="213" t="s">
        <v>320</v>
      </c>
      <c r="O16" s="213" t="s">
        <v>321</v>
      </c>
      <c r="P16" s="213" t="s">
        <v>220</v>
      </c>
      <c r="Q16" s="213" t="s">
        <v>322</v>
      </c>
      <c r="R16" s="213" t="s">
        <v>319</v>
      </c>
      <c r="S16" s="213" t="s">
        <v>221</v>
      </c>
      <c r="T16" s="213" t="s">
        <v>222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19</vt:i4>
      </vt:variant>
    </vt:vector>
  </HeadingPairs>
  <TitlesOfParts>
    <vt:vector size="23" baseType="lpstr">
      <vt:lpstr>Options</vt:lpstr>
      <vt:lpstr>AR KPIs</vt:lpstr>
      <vt:lpstr>Collection Performance Index</vt:lpstr>
      <vt:lpstr>AR Aging</vt:lpstr>
      <vt:lpstr>AgingDate</vt:lpstr>
      <vt:lpstr>AgingPeriod</vt:lpstr>
      <vt:lpstr>AR_121to150</vt:lpstr>
      <vt:lpstr>AR_1to30</vt:lpstr>
      <vt:lpstr>AR_31to60</vt:lpstr>
      <vt:lpstr>AR_61to90</vt:lpstr>
      <vt:lpstr>AR_91to120</vt:lpstr>
      <vt:lpstr>AR_Current</vt:lpstr>
      <vt:lpstr>AR_PastDue</vt:lpstr>
      <vt:lpstr>AR_Period</vt:lpstr>
      <vt:lpstr>AR_Total</vt:lpstr>
      <vt:lpstr>ARInvCount</vt:lpstr>
      <vt:lpstr>CustomerNo</vt:lpstr>
      <vt:lpstr>EndDate</vt:lpstr>
      <vt:lpstr>'AR Aging'!Print_Area</vt:lpstr>
      <vt:lpstr>'AR KPIs'!Print_Area</vt:lpstr>
      <vt:lpstr>'AR Aging'!Print_Titles</vt:lpstr>
      <vt:lpstr>StartDate</vt:lpstr>
      <vt:lpstr>TotalAR</vt:lpstr>
    </vt:vector>
  </TitlesOfParts>
  <Company>Jet Reports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Accounts Receivable with KPIs</dc:title>
  <dc:subject>Jet Reports</dc:subject>
  <dc:creator>Amy Homan</dc:creator>
  <cp:keywords>Payment, Cash Receipts</cp:keywords>
  <dc:description>Accounts Receivable aging including KPIs such as Collections Performance Index, largest outstanding, longest outstanding.</dc:description>
  <cp:lastModifiedBy>Phoebe Adshead</cp:lastModifiedBy>
  <cp:lastPrinted>2014-01-08T23:48:03Z</cp:lastPrinted>
  <dcterms:created xsi:type="dcterms:W3CDTF">2004-11-16T19:09:45Z</dcterms:created>
  <dcterms:modified xsi:type="dcterms:W3CDTF">2022-09-05T09:51:42Z</dcterms:modified>
  <cp:category>Accounts Receivable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Drill Button Active">
    <vt:bool>true</vt:bool>
  </property>
  <property fmtid="{D5CDD505-2E9C-101B-9397-08002B2CF9AE}" pid="3" name="Jet Reports Last Version Refresh">
    <vt:lpwstr>Version 7.1.2  Released 12/9/2008 9:13:09 AM</vt:lpwstr>
  </property>
  <property fmtid="{D5CDD505-2E9C-101B-9397-08002B2CF9AE}" pid="4" name="Jet Reports Design Mode Active">
    <vt:bool>false</vt:bool>
  </property>
  <property fmtid="{D5CDD505-2E9C-101B-9397-08002B2CF9AE}" pid="5" name="NeedsREVERT">
    <vt:lpwstr>FALSE</vt:lpwstr>
  </property>
  <property fmtid="{D5CDD505-2E9C-101B-9397-08002B2CF9AE}" pid="6" name="OriginalName">
    <vt:lpwstr>_AR Customer AVG Days to Pay(SCG EDIT).xls</vt:lpwstr>
  </property>
  <property fmtid="{D5CDD505-2E9C-101B-9397-08002B2CF9AE}" pid="7" name="Jet Reports Function Literals">
    <vt:lpwstr>,	;	,	{	}	[@[{0}]]	1033</vt:lpwstr>
  </property>
</Properties>
</file>